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updateLinks="always"/>
  <mc:AlternateContent xmlns:mc="http://schemas.openxmlformats.org/markup-compatibility/2006">
    <mc:Choice Requires="x15">
      <x15ac:absPath xmlns:x15ac="http://schemas.microsoft.com/office/spreadsheetml/2010/11/ac" url="https://educacionbogota-my.sharepoint.com/personal/comunicacionesdiveliv_educacionbogota_gov_co/Documents/DIRECCION DE INSPECCION Y VIGILANCIA/DIV POAIV/POAIV 2025/EJECUCIÓN/"/>
    </mc:Choice>
  </mc:AlternateContent>
  <xr:revisionPtr revIDLastSave="0" documentId="8_{08A7C877-8BCA-4D9C-94B7-0D69358877F7}" xr6:coauthVersionLast="47" xr6:coauthVersionMax="47" xr10:uidLastSave="{00000000-0000-0000-0000-000000000000}"/>
  <bookViews>
    <workbookView xWindow="-120" yWindow="-120" windowWidth="29040" windowHeight="15720" xr2:uid="{00000000-000D-0000-FFFF-FFFF00000000}"/>
  </bookViews>
  <sheets>
    <sheet name="IE PRIORIZADA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0" hidden="1">'IE PRIORIZADAS'!$A$6:$U$6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62" i="1" l="1"/>
  <c r="A1961" i="1"/>
  <c r="A2090" i="1"/>
  <c r="B2090" i="1"/>
  <c r="C2090" i="1"/>
  <c r="D2090" i="1"/>
  <c r="E2090" i="1"/>
  <c r="F2090" i="1"/>
  <c r="G2090" i="1"/>
  <c r="H2090" i="1"/>
  <c r="I2090" i="1"/>
  <c r="J2090" i="1"/>
  <c r="K2090" i="1"/>
  <c r="L2090" i="1"/>
  <c r="M2090" i="1"/>
  <c r="N2090" i="1"/>
  <c r="O2090" i="1"/>
  <c r="P2090" i="1"/>
  <c r="R2090" i="1"/>
  <c r="S2090" i="1"/>
  <c r="T2090" i="1"/>
  <c r="U2090" i="1"/>
  <c r="A1834" i="1"/>
  <c r="A1637" i="1"/>
  <c r="A1601" i="1"/>
  <c r="A1205" i="1"/>
  <c r="A1206" i="1"/>
  <c r="A573" i="1"/>
  <c r="A574" i="1"/>
  <c r="A575" i="1"/>
  <c r="A576" i="1"/>
  <c r="A501" i="1"/>
  <c r="A502" i="1"/>
  <c r="A503" i="1"/>
  <c r="A504" i="1"/>
  <c r="A505" i="1"/>
  <c r="A506" i="1"/>
  <c r="A507" i="1"/>
  <c r="A508" i="1"/>
  <c r="A509" i="1"/>
  <c r="A510" i="1"/>
  <c r="A511" i="1"/>
  <c r="A512" i="1"/>
  <c r="A513" i="1"/>
  <c r="A514" i="1"/>
  <c r="A515" i="1"/>
  <c r="A516" i="1"/>
  <c r="A517" i="1"/>
  <c r="A518" i="1"/>
  <c r="A519" i="1"/>
  <c r="A520" i="1"/>
  <c r="A521" i="1"/>
  <c r="A522"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7" i="1"/>
  <c r="A478" i="1"/>
  <c r="A479" i="1"/>
  <c r="A480" i="1"/>
  <c r="A481" i="1"/>
  <c r="A482" i="1"/>
  <c r="A483" i="1"/>
  <c r="A484" i="1"/>
  <c r="A485" i="1"/>
  <c r="A486" i="1"/>
  <c r="A487" i="1"/>
  <c r="A488" i="1"/>
  <c r="A489" i="1"/>
  <c r="A490" i="1"/>
  <c r="A491" i="1"/>
  <c r="A492" i="1"/>
  <c r="A493" i="1"/>
  <c r="A494" i="1"/>
  <c r="A495" i="1"/>
  <c r="A496" i="1"/>
  <c r="A497" i="1"/>
  <c r="A498" i="1"/>
  <c r="A499" i="1"/>
  <c r="A500" i="1"/>
  <c r="A523" i="1"/>
  <c r="A524" i="1"/>
  <c r="N524" i="1" s="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1299" i="1"/>
  <c r="A1300" i="1"/>
  <c r="F1300" i="1" s="1"/>
  <c r="A1301" i="1"/>
  <c r="A1302" i="1"/>
  <c r="A1303" i="1"/>
  <c r="A1304" i="1"/>
  <c r="A1297" i="1"/>
  <c r="B1297" i="1" s="1"/>
  <c r="A1298" i="1"/>
  <c r="E1298" i="1" s="1"/>
  <c r="I1296" i="1"/>
  <c r="K1961" i="1" l="1"/>
  <c r="P1961" i="1"/>
  <c r="E1300" i="1"/>
  <c r="D1300" i="1"/>
  <c r="C1300" i="1"/>
  <c r="H1301" i="1"/>
  <c r="H1299" i="1"/>
  <c r="G1299" i="1"/>
  <c r="H1300" i="1"/>
  <c r="G1300" i="1"/>
  <c r="G1301" i="1"/>
  <c r="F1301" i="1"/>
  <c r="F1299" i="1"/>
  <c r="E1301" i="1"/>
  <c r="E1299" i="1"/>
  <c r="D1301" i="1"/>
  <c r="D1299" i="1"/>
  <c r="C1301" i="1"/>
  <c r="C1299" i="1"/>
  <c r="D1298" i="1"/>
  <c r="C1298" i="1"/>
  <c r="G1298" i="1"/>
  <c r="F1298" i="1"/>
  <c r="H1297" i="1"/>
  <c r="H1298" i="1"/>
  <c r="G1297" i="1"/>
  <c r="F1297" i="1"/>
  <c r="E1297" i="1"/>
  <c r="D1297" i="1"/>
  <c r="C1297" i="1"/>
  <c r="P499" i="1" l="1"/>
  <c r="L499" i="1"/>
  <c r="J499" i="1"/>
  <c r="K499" i="1"/>
  <c r="I499" i="1"/>
  <c r="H499" i="1"/>
  <c r="G499" i="1"/>
  <c r="F499" i="1"/>
  <c r="N499" i="1"/>
  <c r="U499" i="1"/>
  <c r="E499" i="1"/>
  <c r="M499" i="1"/>
  <c r="T499" i="1"/>
  <c r="D499" i="1"/>
  <c r="O499" i="1"/>
  <c r="S499" i="1"/>
  <c r="C499" i="1"/>
  <c r="R499" i="1"/>
  <c r="P498" i="1"/>
  <c r="U498" i="1"/>
  <c r="T498" i="1"/>
  <c r="S498" i="1"/>
  <c r="R498" i="1"/>
  <c r="O498" i="1"/>
  <c r="N498" i="1"/>
  <c r="M498" i="1"/>
  <c r="L498" i="1"/>
  <c r="K498" i="1"/>
  <c r="J498" i="1"/>
  <c r="I498" i="1"/>
  <c r="H498" i="1"/>
  <c r="G498" i="1"/>
  <c r="F498" i="1"/>
  <c r="E498" i="1"/>
  <c r="D498" i="1"/>
  <c r="C498" i="1"/>
  <c r="A1845" i="1"/>
  <c r="B1845" i="1" s="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S2704" i="1" s="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665"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561" i="1"/>
  <c r="A2563" i="1"/>
  <c r="A2564" i="1"/>
  <c r="A2565" i="1"/>
  <c r="A2566" i="1"/>
  <c r="A2567" i="1"/>
  <c r="A2568" i="1"/>
  <c r="A2569" i="1"/>
  <c r="A2570" i="1"/>
  <c r="A2571" i="1"/>
  <c r="A2572" i="1"/>
  <c r="A2573" i="1"/>
  <c r="A2574" i="1"/>
  <c r="A2575" i="1"/>
  <c r="A2576" i="1"/>
  <c r="A2577" i="1"/>
  <c r="A2578" i="1"/>
  <c r="A2579" i="1"/>
  <c r="A2580" i="1"/>
  <c r="A2581" i="1"/>
  <c r="A2582" i="1"/>
  <c r="A2560"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419"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R2418" i="1" s="1"/>
  <c r="A2358" i="1"/>
  <c r="U2358" i="1" s="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1846" i="1"/>
  <c r="C1846" i="1" s="1"/>
  <c r="A1847" i="1"/>
  <c r="C1847" i="1" s="1"/>
  <c r="A1848" i="1"/>
  <c r="C1848" i="1" s="1"/>
  <c r="A1849" i="1"/>
  <c r="C1849" i="1" s="1"/>
  <c r="A1850" i="1"/>
  <c r="C1850" i="1" s="1"/>
  <c r="A1851" i="1"/>
  <c r="C1851" i="1" s="1"/>
  <c r="A1852" i="1"/>
  <c r="C1852" i="1" s="1"/>
  <c r="A1853" i="1"/>
  <c r="C1853" i="1" s="1"/>
  <c r="A1854" i="1"/>
  <c r="C1854" i="1" s="1"/>
  <c r="A1855" i="1"/>
  <c r="C1855" i="1" s="1"/>
  <c r="A1856" i="1"/>
  <c r="C1856" i="1" s="1"/>
  <c r="A1857" i="1"/>
  <c r="C1857" i="1" s="1"/>
  <c r="A1858" i="1"/>
  <c r="C1858" i="1" s="1"/>
  <c r="A1859" i="1"/>
  <c r="C1859" i="1" s="1"/>
  <c r="A1860" i="1"/>
  <c r="C1860" i="1" s="1"/>
  <c r="A1861" i="1"/>
  <c r="C1861" i="1" s="1"/>
  <c r="A1862" i="1"/>
  <c r="C1862" i="1" s="1"/>
  <c r="A1863" i="1"/>
  <c r="C1863" i="1" s="1"/>
  <c r="A1864" i="1"/>
  <c r="C1864" i="1" s="1"/>
  <c r="A1865" i="1"/>
  <c r="C1865" i="1" s="1"/>
  <c r="A1866" i="1"/>
  <c r="C1866" i="1" s="1"/>
  <c r="A1867" i="1"/>
  <c r="C1867" i="1" s="1"/>
  <c r="A1868" i="1"/>
  <c r="C1868" i="1" s="1"/>
  <c r="A1869" i="1"/>
  <c r="C1869" i="1" s="1"/>
  <c r="A1870" i="1"/>
  <c r="C1870" i="1" s="1"/>
  <c r="A1871" i="1"/>
  <c r="C1871" i="1" s="1"/>
  <c r="A1872" i="1"/>
  <c r="C1872" i="1" s="1"/>
  <c r="A1873" i="1"/>
  <c r="C1873" i="1" s="1"/>
  <c r="A1874" i="1"/>
  <c r="C1874" i="1" s="1"/>
  <c r="A1875" i="1"/>
  <c r="C1875" i="1" s="1"/>
  <c r="A1876" i="1"/>
  <c r="C1876" i="1" s="1"/>
  <c r="A1877" i="1"/>
  <c r="C1877" i="1" s="1"/>
  <c r="A1878" i="1"/>
  <c r="C1878" i="1" s="1"/>
  <c r="A1879" i="1"/>
  <c r="C1879" i="1" s="1"/>
  <c r="A1880" i="1"/>
  <c r="C1880" i="1" s="1"/>
  <c r="A1881" i="1"/>
  <c r="C1881" i="1" s="1"/>
  <c r="A1882" i="1"/>
  <c r="C1882" i="1" s="1"/>
  <c r="A1883" i="1"/>
  <c r="C1883" i="1" s="1"/>
  <c r="A1884" i="1"/>
  <c r="C1884" i="1" s="1"/>
  <c r="A1885" i="1"/>
  <c r="C1885" i="1" s="1"/>
  <c r="A1886" i="1"/>
  <c r="C1886" i="1" s="1"/>
  <c r="A1887" i="1"/>
  <c r="C1887" i="1" s="1"/>
  <c r="A1888" i="1"/>
  <c r="C1888" i="1" s="1"/>
  <c r="A1889" i="1"/>
  <c r="C1889" i="1" s="1"/>
  <c r="A1890" i="1"/>
  <c r="C1890" i="1" s="1"/>
  <c r="A1891" i="1"/>
  <c r="C1891" i="1" s="1"/>
  <c r="A1892" i="1"/>
  <c r="C1892" i="1" s="1"/>
  <c r="A1893" i="1"/>
  <c r="C1893" i="1" s="1"/>
  <c r="A1894" i="1"/>
  <c r="C1894" i="1" s="1"/>
  <c r="A1895" i="1"/>
  <c r="C1895" i="1" s="1"/>
  <c r="A1896" i="1"/>
  <c r="C1896" i="1" s="1"/>
  <c r="A1897" i="1"/>
  <c r="C1897" i="1" s="1"/>
  <c r="A1898" i="1"/>
  <c r="C1898" i="1" s="1"/>
  <c r="A1899" i="1"/>
  <c r="C1899" i="1" s="1"/>
  <c r="A1900" i="1"/>
  <c r="C1900" i="1" s="1"/>
  <c r="A1901" i="1"/>
  <c r="C1901" i="1" s="1"/>
  <c r="A1902" i="1"/>
  <c r="C1902" i="1" s="1"/>
  <c r="A1903" i="1"/>
  <c r="C1903" i="1" s="1"/>
  <c r="A1904" i="1"/>
  <c r="C1904" i="1" s="1"/>
  <c r="A1905" i="1"/>
  <c r="C1905" i="1" s="1"/>
  <c r="A1906" i="1"/>
  <c r="C1906" i="1" s="1"/>
  <c r="A1907" i="1"/>
  <c r="C1907" i="1" s="1"/>
  <c r="A1908" i="1"/>
  <c r="C1908" i="1" s="1"/>
  <c r="A1909" i="1"/>
  <c r="C1909" i="1" s="1"/>
  <c r="A1910" i="1"/>
  <c r="C1910" i="1" s="1"/>
  <c r="A1911" i="1"/>
  <c r="C1911" i="1" s="1"/>
  <c r="A1912" i="1"/>
  <c r="C1912" i="1" s="1"/>
  <c r="A1913" i="1"/>
  <c r="C1913" i="1" s="1"/>
  <c r="A1914" i="1"/>
  <c r="C1914" i="1" s="1"/>
  <c r="A1915" i="1"/>
  <c r="C1915" i="1" s="1"/>
  <c r="A1916" i="1"/>
  <c r="C1916" i="1" s="1"/>
  <c r="A1917" i="1"/>
  <c r="C1917" i="1" s="1"/>
  <c r="A1918" i="1"/>
  <c r="C1918" i="1" s="1"/>
  <c r="A1919" i="1"/>
  <c r="C1919" i="1" s="1"/>
  <c r="A1920" i="1"/>
  <c r="C1920" i="1" s="1"/>
  <c r="A1921" i="1"/>
  <c r="C1921" i="1" s="1"/>
  <c r="A1922" i="1"/>
  <c r="C1922" i="1" s="1"/>
  <c r="A1923" i="1"/>
  <c r="C1923" i="1" s="1"/>
  <c r="A1924" i="1"/>
  <c r="C1924" i="1" s="1"/>
  <c r="A1925" i="1"/>
  <c r="C1925" i="1" s="1"/>
  <c r="A1926" i="1"/>
  <c r="C1926" i="1" s="1"/>
  <c r="A1927" i="1"/>
  <c r="C1927" i="1" s="1"/>
  <c r="A1928" i="1"/>
  <c r="A1929" i="1"/>
  <c r="C1929" i="1" s="1"/>
  <c r="A1930" i="1"/>
  <c r="C1930" i="1" s="1"/>
  <c r="A1931" i="1"/>
  <c r="C1931" i="1" s="1"/>
  <c r="A1932" i="1"/>
  <c r="C1932" i="1" s="1"/>
  <c r="A1933" i="1"/>
  <c r="C1933" i="1" s="1"/>
  <c r="A1934" i="1"/>
  <c r="C1934" i="1" s="1"/>
  <c r="A1935" i="1"/>
  <c r="C1935" i="1" s="1"/>
  <c r="A1936" i="1"/>
  <c r="C1936" i="1" s="1"/>
  <c r="A1937" i="1"/>
  <c r="C1937" i="1" s="1"/>
  <c r="A1938" i="1"/>
  <c r="C1938" i="1" s="1"/>
  <c r="A1939" i="1"/>
  <c r="C1939" i="1" s="1"/>
  <c r="A1940" i="1"/>
  <c r="C1940" i="1" s="1"/>
  <c r="A1941" i="1"/>
  <c r="C1941" i="1" s="1"/>
  <c r="A1942" i="1"/>
  <c r="C1942" i="1" s="1"/>
  <c r="A1943" i="1"/>
  <c r="C1943" i="1" s="1"/>
  <c r="A1944" i="1"/>
  <c r="C1944" i="1" s="1"/>
  <c r="A1945" i="1"/>
  <c r="C1945" i="1" s="1"/>
  <c r="A1946" i="1"/>
  <c r="C1946" i="1" s="1"/>
  <c r="A1947" i="1"/>
  <c r="C1947" i="1" s="1"/>
  <c r="A1948" i="1"/>
  <c r="C1948" i="1" s="1"/>
  <c r="A1949" i="1"/>
  <c r="C1949" i="1" s="1"/>
  <c r="A1950" i="1"/>
  <c r="C1950" i="1" s="1"/>
  <c r="A1951" i="1"/>
  <c r="C1951" i="1" s="1"/>
  <c r="A1952" i="1"/>
  <c r="C1952" i="1" s="1"/>
  <c r="A1953" i="1"/>
  <c r="C1953" i="1" s="1"/>
  <c r="A1954" i="1"/>
  <c r="C1954" i="1" s="1"/>
  <c r="A1955" i="1"/>
  <c r="C1955" i="1" s="1"/>
  <c r="A1956" i="1"/>
  <c r="C1956" i="1" s="1"/>
  <c r="A1957" i="1"/>
  <c r="C1957" i="1" s="1"/>
  <c r="A1958" i="1"/>
  <c r="C1958" i="1" s="1"/>
  <c r="A1959" i="1"/>
  <c r="C1959" i="1" s="1"/>
  <c r="A1960" i="1"/>
  <c r="C1960" i="1" s="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5" i="1"/>
  <c r="A1836" i="1"/>
  <c r="A1837" i="1"/>
  <c r="A1838" i="1"/>
  <c r="A1839" i="1"/>
  <c r="A1840" i="1"/>
  <c r="A1841" i="1"/>
  <c r="A1842" i="1"/>
  <c r="A1843" i="1"/>
  <c r="A1678" i="1"/>
  <c r="A1675" i="1"/>
  <c r="C1675" i="1" s="1"/>
  <c r="A1676" i="1"/>
  <c r="C1676" i="1" s="1"/>
  <c r="A1677" i="1"/>
  <c r="C1677" i="1" s="1"/>
  <c r="A1498" i="1"/>
  <c r="C1498" i="1" s="1"/>
  <c r="A1499" i="1"/>
  <c r="C1499" i="1" s="1"/>
  <c r="A1500" i="1"/>
  <c r="C1500" i="1" s="1"/>
  <c r="A1501" i="1"/>
  <c r="C1501" i="1" s="1"/>
  <c r="A1502" i="1"/>
  <c r="C1502" i="1" s="1"/>
  <c r="A1503" i="1"/>
  <c r="C1503" i="1" s="1"/>
  <c r="A1504" i="1"/>
  <c r="C1504" i="1" s="1"/>
  <c r="A1505" i="1"/>
  <c r="C1505" i="1" s="1"/>
  <c r="A1506" i="1"/>
  <c r="C1506" i="1" s="1"/>
  <c r="A1507" i="1"/>
  <c r="C1507" i="1" s="1"/>
  <c r="A1508" i="1"/>
  <c r="C1508" i="1" s="1"/>
  <c r="A1509" i="1"/>
  <c r="C1509" i="1" s="1"/>
  <c r="A1510" i="1"/>
  <c r="C1510" i="1" s="1"/>
  <c r="A1511" i="1"/>
  <c r="C1511" i="1" s="1"/>
  <c r="A1512" i="1"/>
  <c r="C1512" i="1" s="1"/>
  <c r="A1513" i="1"/>
  <c r="C1513" i="1" s="1"/>
  <c r="A1514" i="1"/>
  <c r="C1514" i="1" s="1"/>
  <c r="A1515" i="1"/>
  <c r="C1515" i="1" s="1"/>
  <c r="A1516" i="1"/>
  <c r="A1517" i="1"/>
  <c r="A1518" i="1"/>
  <c r="A1519" i="1"/>
  <c r="A1520" i="1"/>
  <c r="A1521" i="1"/>
  <c r="A1522" i="1"/>
  <c r="A1523" i="1"/>
  <c r="A1524" i="1"/>
  <c r="A1525" i="1"/>
  <c r="A1526" i="1"/>
  <c r="A1527" i="1"/>
  <c r="A1528" i="1"/>
  <c r="A1529" i="1"/>
  <c r="A1530" i="1"/>
  <c r="A1531" i="1"/>
  <c r="A1532" i="1"/>
  <c r="A1533" i="1"/>
  <c r="A1534" i="1"/>
  <c r="A1535" i="1"/>
  <c r="C1535" i="1" s="1"/>
  <c r="A1536" i="1"/>
  <c r="C1536" i="1" s="1"/>
  <c r="A1537" i="1"/>
  <c r="C1537" i="1" s="1"/>
  <c r="A1538" i="1"/>
  <c r="C1538" i="1" s="1"/>
  <c r="A1539" i="1"/>
  <c r="C1539" i="1" s="1"/>
  <c r="A1540" i="1"/>
  <c r="C1540" i="1" s="1"/>
  <c r="A1541" i="1"/>
  <c r="C1541" i="1" s="1"/>
  <c r="A1542" i="1"/>
  <c r="C1542" i="1" s="1"/>
  <c r="A1543" i="1"/>
  <c r="C1543" i="1" s="1"/>
  <c r="A1544" i="1"/>
  <c r="C1544" i="1" s="1"/>
  <c r="A1545" i="1"/>
  <c r="C1545" i="1" s="1"/>
  <c r="A1546" i="1"/>
  <c r="C1546" i="1" s="1"/>
  <c r="A1547" i="1"/>
  <c r="C1547" i="1" s="1"/>
  <c r="A1548" i="1"/>
  <c r="C1548" i="1" s="1"/>
  <c r="A1549" i="1"/>
  <c r="C1549" i="1" s="1"/>
  <c r="A1550" i="1"/>
  <c r="C1550" i="1" s="1"/>
  <c r="A1551" i="1"/>
  <c r="C1551" i="1" s="1"/>
  <c r="A1552" i="1"/>
  <c r="C1552" i="1" s="1"/>
  <c r="A1553" i="1"/>
  <c r="C1553" i="1" s="1"/>
  <c r="A1554" i="1"/>
  <c r="C1554" i="1" s="1"/>
  <c r="A1555" i="1"/>
  <c r="C1555" i="1" s="1"/>
  <c r="A1556" i="1"/>
  <c r="C1556" i="1" s="1"/>
  <c r="A1557" i="1"/>
  <c r="C1557" i="1" s="1"/>
  <c r="A1558" i="1"/>
  <c r="C1558" i="1" s="1"/>
  <c r="A1559" i="1"/>
  <c r="C1559" i="1" s="1"/>
  <c r="A1560" i="1"/>
  <c r="C1560" i="1" s="1"/>
  <c r="A1561" i="1"/>
  <c r="C1561" i="1" s="1"/>
  <c r="A1562" i="1"/>
  <c r="C1562" i="1" s="1"/>
  <c r="A1563" i="1"/>
  <c r="C1563" i="1" s="1"/>
  <c r="A1564" i="1"/>
  <c r="C1564" i="1" s="1"/>
  <c r="A1565" i="1"/>
  <c r="C1565" i="1" s="1"/>
  <c r="A1566" i="1"/>
  <c r="C1566" i="1" s="1"/>
  <c r="A1567" i="1"/>
  <c r="C1567" i="1" s="1"/>
  <c r="A1568" i="1"/>
  <c r="C1568" i="1" s="1"/>
  <c r="A1569" i="1"/>
  <c r="C1569" i="1" s="1"/>
  <c r="A1570" i="1"/>
  <c r="C1570" i="1" s="1"/>
  <c r="A1571" i="1"/>
  <c r="C1571" i="1" s="1"/>
  <c r="A1572" i="1"/>
  <c r="C1572" i="1" s="1"/>
  <c r="A1573" i="1"/>
  <c r="C1573" i="1" s="1"/>
  <c r="A1574" i="1"/>
  <c r="C1574" i="1" s="1"/>
  <c r="A1575" i="1"/>
  <c r="C1575" i="1" s="1"/>
  <c r="A1576" i="1"/>
  <c r="C1576" i="1" s="1"/>
  <c r="A1577" i="1"/>
  <c r="C1577" i="1" s="1"/>
  <c r="A1578" i="1"/>
  <c r="C1578" i="1" s="1"/>
  <c r="A1579" i="1"/>
  <c r="C1579" i="1" s="1"/>
  <c r="A1580" i="1"/>
  <c r="C1580" i="1" s="1"/>
  <c r="A1581" i="1"/>
  <c r="C1581" i="1" s="1"/>
  <c r="A1582" i="1"/>
  <c r="C1582" i="1" s="1"/>
  <c r="A1583" i="1"/>
  <c r="C1583" i="1" s="1"/>
  <c r="A1584" i="1"/>
  <c r="C1584" i="1" s="1"/>
  <c r="A1585" i="1"/>
  <c r="C1585" i="1" s="1"/>
  <c r="A1586" i="1"/>
  <c r="C1586" i="1" s="1"/>
  <c r="A1587" i="1"/>
  <c r="C1587" i="1" s="1"/>
  <c r="A1588" i="1"/>
  <c r="C1588" i="1" s="1"/>
  <c r="A1589" i="1"/>
  <c r="C1589" i="1" s="1"/>
  <c r="A1590" i="1"/>
  <c r="C1590" i="1" s="1"/>
  <c r="A1591" i="1"/>
  <c r="C1591" i="1" s="1"/>
  <c r="A1592" i="1"/>
  <c r="C1592" i="1" s="1"/>
  <c r="A1593" i="1"/>
  <c r="C1593" i="1" s="1"/>
  <c r="A1594" i="1"/>
  <c r="C1594" i="1" s="1"/>
  <c r="A1595" i="1"/>
  <c r="C1595" i="1" s="1"/>
  <c r="A1596" i="1"/>
  <c r="C1596" i="1" s="1"/>
  <c r="A1597" i="1"/>
  <c r="C1597" i="1" s="1"/>
  <c r="A1598" i="1"/>
  <c r="C1598" i="1" s="1"/>
  <c r="A1599" i="1"/>
  <c r="C1599" i="1" s="1"/>
  <c r="A1600" i="1"/>
  <c r="C1600" i="1" s="1"/>
  <c r="C1601" i="1"/>
  <c r="A1602" i="1"/>
  <c r="C1602" i="1" s="1"/>
  <c r="A1603" i="1"/>
  <c r="C1603" i="1" s="1"/>
  <c r="A1604" i="1"/>
  <c r="C1604" i="1" s="1"/>
  <c r="A1605" i="1"/>
  <c r="C1605" i="1" s="1"/>
  <c r="A1606" i="1"/>
  <c r="C1606" i="1" s="1"/>
  <c r="A1607" i="1"/>
  <c r="C1607" i="1" s="1"/>
  <c r="A1608" i="1"/>
  <c r="C1608" i="1" s="1"/>
  <c r="A1609" i="1"/>
  <c r="C1609" i="1" s="1"/>
  <c r="A1610" i="1"/>
  <c r="C1610" i="1" s="1"/>
  <c r="A1611" i="1"/>
  <c r="C1611" i="1" s="1"/>
  <c r="A1612" i="1"/>
  <c r="C1612" i="1" s="1"/>
  <c r="A1613" i="1"/>
  <c r="C1613" i="1" s="1"/>
  <c r="A1614" i="1"/>
  <c r="C1614" i="1" s="1"/>
  <c r="A1615" i="1"/>
  <c r="C1615" i="1" s="1"/>
  <c r="A1616" i="1"/>
  <c r="C1616" i="1" s="1"/>
  <c r="A1617" i="1"/>
  <c r="C1617" i="1" s="1"/>
  <c r="A1618" i="1"/>
  <c r="C1618" i="1" s="1"/>
  <c r="A1619" i="1"/>
  <c r="C1619" i="1" s="1"/>
  <c r="A1620" i="1"/>
  <c r="C1620" i="1" s="1"/>
  <c r="A1621" i="1"/>
  <c r="C1621" i="1" s="1"/>
  <c r="A1622" i="1"/>
  <c r="C1622" i="1" s="1"/>
  <c r="A1623" i="1"/>
  <c r="C1623" i="1" s="1"/>
  <c r="A1624" i="1"/>
  <c r="C1624" i="1" s="1"/>
  <c r="A1625" i="1"/>
  <c r="C1625" i="1" s="1"/>
  <c r="A1626" i="1"/>
  <c r="C1626" i="1" s="1"/>
  <c r="A1627" i="1"/>
  <c r="C1627" i="1" s="1"/>
  <c r="A1628" i="1"/>
  <c r="C1628" i="1" s="1"/>
  <c r="A1629" i="1"/>
  <c r="C1629" i="1" s="1"/>
  <c r="A1630" i="1"/>
  <c r="C1630" i="1" s="1"/>
  <c r="A1631" i="1"/>
  <c r="C1631" i="1" s="1"/>
  <c r="A1632" i="1"/>
  <c r="C1632" i="1" s="1"/>
  <c r="A1633" i="1"/>
  <c r="C1633" i="1" s="1"/>
  <c r="A1634" i="1"/>
  <c r="C1634" i="1" s="1"/>
  <c r="A1635" i="1"/>
  <c r="C1635" i="1" s="1"/>
  <c r="A1636" i="1"/>
  <c r="C1636" i="1" s="1"/>
  <c r="C1637" i="1"/>
  <c r="A1638" i="1"/>
  <c r="C1638" i="1" s="1"/>
  <c r="A1639" i="1"/>
  <c r="C1639" i="1" s="1"/>
  <c r="A1640" i="1"/>
  <c r="C1640" i="1" s="1"/>
  <c r="A1641" i="1"/>
  <c r="C1641" i="1" s="1"/>
  <c r="A1642" i="1"/>
  <c r="C1642" i="1" s="1"/>
  <c r="A1643" i="1"/>
  <c r="C1643" i="1" s="1"/>
  <c r="A1644" i="1"/>
  <c r="C1644" i="1" s="1"/>
  <c r="A1645" i="1"/>
  <c r="C1645" i="1" s="1"/>
  <c r="A1646" i="1"/>
  <c r="C1646" i="1" s="1"/>
  <c r="A1647" i="1"/>
  <c r="C1647" i="1" s="1"/>
  <c r="A1648" i="1"/>
  <c r="C1648" i="1" s="1"/>
  <c r="A1649" i="1"/>
  <c r="C1649" i="1" s="1"/>
  <c r="A1650" i="1"/>
  <c r="C1650" i="1" s="1"/>
  <c r="A1651" i="1"/>
  <c r="C1651" i="1" s="1"/>
  <c r="A1652" i="1"/>
  <c r="C1652" i="1" s="1"/>
  <c r="A1653" i="1"/>
  <c r="C1653" i="1" s="1"/>
  <c r="A1654" i="1"/>
  <c r="C1654" i="1" s="1"/>
  <c r="A1655" i="1"/>
  <c r="C1655" i="1" s="1"/>
  <c r="A1656" i="1"/>
  <c r="C1656" i="1" s="1"/>
  <c r="A1657" i="1"/>
  <c r="C1657" i="1" s="1"/>
  <c r="A1658" i="1"/>
  <c r="C1658" i="1" s="1"/>
  <c r="A1659" i="1"/>
  <c r="C1659" i="1" s="1"/>
  <c r="A1660" i="1"/>
  <c r="C1660" i="1" s="1"/>
  <c r="A1661" i="1"/>
  <c r="C1661" i="1" s="1"/>
  <c r="A1662" i="1"/>
  <c r="C1662" i="1" s="1"/>
  <c r="A1663" i="1"/>
  <c r="C1663" i="1" s="1"/>
  <c r="A1664" i="1"/>
  <c r="C1664" i="1" s="1"/>
  <c r="A1665" i="1"/>
  <c r="C1665" i="1" s="1"/>
  <c r="A1666" i="1"/>
  <c r="C1666" i="1" s="1"/>
  <c r="A1667" i="1"/>
  <c r="C1667" i="1" s="1"/>
  <c r="A1668" i="1"/>
  <c r="C1668" i="1" s="1"/>
  <c r="A1669" i="1"/>
  <c r="C1669" i="1" s="1"/>
  <c r="A1670" i="1"/>
  <c r="C1670" i="1" s="1"/>
  <c r="A1671" i="1"/>
  <c r="C1671" i="1" s="1"/>
  <c r="A1672" i="1"/>
  <c r="C1672" i="1" s="1"/>
  <c r="A1673" i="1"/>
  <c r="C1673" i="1" s="1"/>
  <c r="A1674" i="1"/>
  <c r="C1674" i="1" s="1"/>
  <c r="A1497" i="1"/>
  <c r="A1395" i="1"/>
  <c r="A1396" i="1"/>
  <c r="A1397" i="1"/>
  <c r="A1398" i="1"/>
  <c r="A1399" i="1"/>
  <c r="G1399" i="1" s="1"/>
  <c r="A1400" i="1"/>
  <c r="G1400" i="1" s="1"/>
  <c r="A1401" i="1"/>
  <c r="G1401" i="1" s="1"/>
  <c r="A1402" i="1"/>
  <c r="G1402" i="1" s="1"/>
  <c r="A1403" i="1"/>
  <c r="G1403" i="1" s="1"/>
  <c r="A1404" i="1"/>
  <c r="G1404" i="1" s="1"/>
  <c r="A1405" i="1"/>
  <c r="A1406" i="1"/>
  <c r="A1407" i="1"/>
  <c r="A1408" i="1"/>
  <c r="G1408" i="1" s="1"/>
  <c r="A1409" i="1"/>
  <c r="G1409" i="1" s="1"/>
  <c r="A1410" i="1"/>
  <c r="G1410" i="1" s="1"/>
  <c r="A1411" i="1"/>
  <c r="G1411" i="1" s="1"/>
  <c r="A1412" i="1"/>
  <c r="G1412" i="1" s="1"/>
  <c r="A1413" i="1"/>
  <c r="G1413" i="1" s="1"/>
  <c r="A1414" i="1"/>
  <c r="A1415" i="1"/>
  <c r="A1416" i="1"/>
  <c r="A1417" i="1"/>
  <c r="A1418" i="1"/>
  <c r="A1419" i="1"/>
  <c r="A1420" i="1"/>
  <c r="A1421" i="1"/>
  <c r="A1422" i="1"/>
  <c r="A1423" i="1"/>
  <c r="G1423" i="1" s="1"/>
  <c r="A1424" i="1"/>
  <c r="G1424" i="1" s="1"/>
  <c r="A1425" i="1"/>
  <c r="G1425" i="1" s="1"/>
  <c r="A1426" i="1"/>
  <c r="G1426" i="1" s="1"/>
  <c r="A1427" i="1"/>
  <c r="G1427" i="1" s="1"/>
  <c r="A1428" i="1"/>
  <c r="G1428" i="1" s="1"/>
  <c r="A1429" i="1"/>
  <c r="G1429" i="1" s="1"/>
  <c r="A1430" i="1"/>
  <c r="G1430" i="1" s="1"/>
  <c r="A1431" i="1"/>
  <c r="G1431" i="1" s="1"/>
  <c r="A1432" i="1"/>
  <c r="G1432" i="1" s="1"/>
  <c r="A1433" i="1"/>
  <c r="G1433" i="1" s="1"/>
  <c r="A1434" i="1"/>
  <c r="G1434" i="1" s="1"/>
  <c r="A1435" i="1"/>
  <c r="G1435" i="1" s="1"/>
  <c r="A1436" i="1"/>
  <c r="G1436" i="1" s="1"/>
  <c r="A1437" i="1"/>
  <c r="G1437" i="1" s="1"/>
  <c r="A1438" i="1"/>
  <c r="G1438" i="1" s="1"/>
  <c r="A1439" i="1"/>
  <c r="G1439" i="1" s="1"/>
  <c r="A1440" i="1"/>
  <c r="G1440" i="1" s="1"/>
  <c r="A1441" i="1"/>
  <c r="G1441" i="1" s="1"/>
  <c r="A1442" i="1"/>
  <c r="G1442" i="1" s="1"/>
  <c r="A1443" i="1"/>
  <c r="G1443" i="1" s="1"/>
  <c r="A1444" i="1"/>
  <c r="G1444" i="1" s="1"/>
  <c r="A1445" i="1"/>
  <c r="G1445" i="1" s="1"/>
  <c r="A1446" i="1"/>
  <c r="G1446" i="1" s="1"/>
  <c r="A1447" i="1"/>
  <c r="G1447" i="1" s="1"/>
  <c r="A1448" i="1"/>
  <c r="G1448" i="1" s="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G1473" i="1" s="1"/>
  <c r="A1474" i="1"/>
  <c r="G1474" i="1" s="1"/>
  <c r="A1475" i="1"/>
  <c r="G1475" i="1" s="1"/>
  <c r="A1476" i="1"/>
  <c r="G1476" i="1" s="1"/>
  <c r="A1477" i="1"/>
  <c r="G1477" i="1" s="1"/>
  <c r="A1478" i="1"/>
  <c r="G1478" i="1" s="1"/>
  <c r="A1479" i="1"/>
  <c r="G1479" i="1" s="1"/>
  <c r="A1480" i="1"/>
  <c r="G1480" i="1" s="1"/>
  <c r="A1481" i="1"/>
  <c r="G1481" i="1" s="1"/>
  <c r="A1482" i="1"/>
  <c r="G1482" i="1" s="1"/>
  <c r="A1483" i="1"/>
  <c r="G1483" i="1" s="1"/>
  <c r="A1484" i="1"/>
  <c r="G1484" i="1" s="1"/>
  <c r="A1485" i="1"/>
  <c r="G1485" i="1" s="1"/>
  <c r="A1486" i="1"/>
  <c r="G1486" i="1" s="1"/>
  <c r="A1487" i="1"/>
  <c r="G1487" i="1" s="1"/>
  <c r="A1488" i="1"/>
  <c r="G1488" i="1" s="1"/>
  <c r="A1489" i="1"/>
  <c r="A1490" i="1"/>
  <c r="A1491" i="1"/>
  <c r="A1492" i="1"/>
  <c r="A1493" i="1"/>
  <c r="A1494" i="1"/>
  <c r="A1495" i="1"/>
  <c r="G1495" i="1" s="1"/>
  <c r="A1496" i="1"/>
  <c r="A1394"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R1350" i="1" s="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11"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R1166" i="1" s="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7" i="1"/>
  <c r="A1208" i="1"/>
  <c r="A1209" i="1"/>
  <c r="A1210" i="1"/>
  <c r="A1211" i="1"/>
  <c r="A1212" i="1"/>
  <c r="A1213" i="1"/>
  <c r="A1214" i="1"/>
  <c r="A1215" i="1"/>
  <c r="A1216" i="1"/>
  <c r="A1217" i="1"/>
  <c r="A1218" i="1"/>
  <c r="A1219" i="1"/>
  <c r="A1220" i="1"/>
  <c r="A1221" i="1"/>
  <c r="A1222" i="1"/>
  <c r="A1223" i="1"/>
  <c r="A1224" i="1"/>
  <c r="A1225" i="1"/>
  <c r="A1226" i="1"/>
  <c r="A1227" i="1"/>
  <c r="A1228" i="1"/>
  <c r="J1228" i="1" s="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C1267" i="1" s="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029" i="1"/>
  <c r="A1018" i="1"/>
  <c r="A1019" i="1"/>
  <c r="A1020" i="1"/>
  <c r="A1021" i="1"/>
  <c r="A1022" i="1"/>
  <c r="A1023" i="1"/>
  <c r="A1024" i="1"/>
  <c r="A1025" i="1"/>
  <c r="A1026" i="1"/>
  <c r="A1027" i="1"/>
  <c r="A1028" i="1"/>
  <c r="A991" i="1"/>
  <c r="A992" i="1"/>
  <c r="A993" i="1"/>
  <c r="A994" i="1"/>
  <c r="A995" i="1"/>
  <c r="A996" i="1"/>
  <c r="A997" i="1"/>
  <c r="A999" i="1"/>
  <c r="A1000" i="1"/>
  <c r="A1001" i="1"/>
  <c r="A1002" i="1"/>
  <c r="A1003" i="1"/>
  <c r="A1004" i="1"/>
  <c r="A1005" i="1"/>
  <c r="A1006" i="1"/>
  <c r="A1007" i="1"/>
  <c r="A1008" i="1"/>
  <c r="A1009" i="1"/>
  <c r="A1010" i="1"/>
  <c r="A1011" i="1"/>
  <c r="A1012" i="1"/>
  <c r="A1013" i="1"/>
  <c r="A1014" i="1"/>
  <c r="A1015" i="1"/>
  <c r="A1016" i="1"/>
  <c r="A1017"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35"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778"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R740" i="1" s="1"/>
  <c r="A741" i="1"/>
  <c r="A742" i="1"/>
  <c r="A743" i="1"/>
  <c r="A744" i="1"/>
  <c r="A745" i="1"/>
  <c r="A746" i="1"/>
  <c r="A747" i="1"/>
  <c r="A748" i="1"/>
  <c r="A749" i="1"/>
  <c r="A750" i="1"/>
  <c r="A751" i="1"/>
  <c r="A752" i="1"/>
  <c r="A753" i="1"/>
  <c r="A754" i="1"/>
  <c r="A755" i="1"/>
  <c r="A756" i="1"/>
  <c r="A757" i="1"/>
  <c r="A758" i="1"/>
  <c r="R758" i="1" s="1"/>
  <c r="A759" i="1"/>
  <c r="A760" i="1"/>
  <c r="A761" i="1"/>
  <c r="A762" i="1"/>
  <c r="A763" i="1"/>
  <c r="A764" i="1"/>
  <c r="A765" i="1"/>
  <c r="A766" i="1"/>
  <c r="A767" i="1"/>
  <c r="A768" i="1"/>
  <c r="A769" i="1"/>
  <c r="A770" i="1"/>
  <c r="A771" i="1"/>
  <c r="A772" i="1"/>
  <c r="A773" i="1"/>
  <c r="A774" i="1"/>
  <c r="A775" i="1"/>
  <c r="A776" i="1"/>
  <c r="A777" i="1"/>
  <c r="F477" i="1"/>
  <c r="U197" i="1"/>
  <c r="U153" i="1"/>
  <c r="R181" i="1"/>
  <c r="U128" i="1"/>
  <c r="U18" i="1"/>
  <c r="U19" i="1"/>
  <c r="G68" i="1"/>
  <c r="R122" i="1"/>
  <c r="R126" i="1"/>
  <c r="R127" i="1"/>
  <c r="A7" i="1"/>
  <c r="U7" i="1" s="1"/>
  <c r="C1928" i="1" l="1"/>
  <c r="S1928" i="1"/>
  <c r="C1466" i="1"/>
  <c r="G1466" i="1"/>
  <c r="C1450" i="1"/>
  <c r="G1450" i="1"/>
  <c r="C1418" i="1"/>
  <c r="G1418" i="1"/>
  <c r="C1465" i="1"/>
  <c r="G1465" i="1"/>
  <c r="C1449" i="1"/>
  <c r="G1449" i="1"/>
  <c r="C1417" i="1"/>
  <c r="G1417" i="1"/>
  <c r="C1468" i="1"/>
  <c r="G1468" i="1"/>
  <c r="C1420" i="1"/>
  <c r="G1420" i="1"/>
  <c r="C1467" i="1"/>
  <c r="G1467" i="1"/>
  <c r="C1496" i="1"/>
  <c r="G1496" i="1"/>
  <c r="C1464" i="1"/>
  <c r="G1464" i="1"/>
  <c r="C1416" i="1"/>
  <c r="G1416" i="1"/>
  <c r="C1489" i="1"/>
  <c r="G1489" i="1"/>
  <c r="C1405" i="1"/>
  <c r="G1405" i="1"/>
  <c r="C1463" i="1"/>
  <c r="G1463" i="1"/>
  <c r="C1415" i="1"/>
  <c r="G1415" i="1"/>
  <c r="C1469" i="1"/>
  <c r="G1469" i="1"/>
  <c r="C1421" i="1"/>
  <c r="G1421" i="1"/>
  <c r="C1494" i="1"/>
  <c r="G1494" i="1"/>
  <c r="C1462" i="1"/>
  <c r="G1462" i="1"/>
  <c r="C1414" i="1"/>
  <c r="G1414" i="1"/>
  <c r="C1398" i="1"/>
  <c r="G1398" i="1"/>
  <c r="C1452" i="1"/>
  <c r="G1452" i="1"/>
  <c r="C1493" i="1"/>
  <c r="G1493" i="1"/>
  <c r="C1461" i="1"/>
  <c r="G1461" i="1"/>
  <c r="C1397" i="1"/>
  <c r="G1397" i="1"/>
  <c r="C1453" i="1"/>
  <c r="G1453" i="1"/>
  <c r="C1419" i="1"/>
  <c r="G1419" i="1"/>
  <c r="C1492" i="1"/>
  <c r="G1492" i="1"/>
  <c r="C1460" i="1"/>
  <c r="G1460" i="1"/>
  <c r="C1396" i="1"/>
  <c r="G1396" i="1"/>
  <c r="C1451" i="1"/>
  <c r="G1451" i="1"/>
  <c r="C1491" i="1"/>
  <c r="G1491" i="1"/>
  <c r="C1459" i="1"/>
  <c r="G1459" i="1"/>
  <c r="C1395" i="1"/>
  <c r="G1395" i="1"/>
  <c r="C1490" i="1"/>
  <c r="G1490" i="1"/>
  <c r="C1458" i="1"/>
  <c r="G1458" i="1"/>
  <c r="C1457" i="1"/>
  <c r="G1457" i="1"/>
  <c r="C1472" i="1"/>
  <c r="G1472" i="1"/>
  <c r="C1456" i="1"/>
  <c r="G1456" i="1"/>
  <c r="C1471" i="1"/>
  <c r="G1471" i="1"/>
  <c r="C1455" i="1"/>
  <c r="G1455" i="1"/>
  <c r="C1407" i="1"/>
  <c r="G1407" i="1"/>
  <c r="U1394" i="1"/>
  <c r="G1394" i="1"/>
  <c r="C1470" i="1"/>
  <c r="G1470" i="1"/>
  <c r="C1454" i="1"/>
  <c r="G1454" i="1"/>
  <c r="C1422" i="1"/>
  <c r="G1422" i="1"/>
  <c r="C1406" i="1"/>
  <c r="G1406" i="1"/>
  <c r="C1495" i="1"/>
  <c r="K1495" i="1"/>
  <c r="C1413" i="1"/>
  <c r="K1413" i="1"/>
  <c r="K1506" i="1"/>
  <c r="C2582" i="1"/>
  <c r="D2582" i="1"/>
  <c r="E2582" i="1"/>
  <c r="F2582" i="1"/>
  <c r="G2582" i="1"/>
  <c r="H2582" i="1"/>
  <c r="I2582" i="1"/>
  <c r="J2582" i="1"/>
  <c r="K2582" i="1"/>
  <c r="L2582" i="1"/>
  <c r="M2582" i="1"/>
  <c r="N2582" i="1"/>
  <c r="O2582" i="1"/>
  <c r="P2582" i="1"/>
  <c r="R2582" i="1"/>
  <c r="S2582" i="1"/>
  <c r="T2582" i="1"/>
  <c r="U2582" i="1"/>
  <c r="C2581" i="1"/>
  <c r="D2581" i="1"/>
  <c r="E2581" i="1"/>
  <c r="F2581" i="1"/>
  <c r="G2581" i="1"/>
  <c r="H2581" i="1"/>
  <c r="I2581" i="1"/>
  <c r="J2581" i="1"/>
  <c r="K2581" i="1"/>
  <c r="L2581" i="1"/>
  <c r="M2581" i="1"/>
  <c r="N2581" i="1"/>
  <c r="O2581" i="1"/>
  <c r="P2581" i="1"/>
  <c r="R2581" i="1"/>
  <c r="S2581" i="1"/>
  <c r="T2581" i="1"/>
  <c r="U2581" i="1"/>
  <c r="C2580" i="1"/>
  <c r="D2580" i="1"/>
  <c r="E2580" i="1"/>
  <c r="F2580" i="1"/>
  <c r="G2580" i="1"/>
  <c r="H2580" i="1"/>
  <c r="I2580" i="1"/>
  <c r="J2580" i="1"/>
  <c r="K2580" i="1"/>
  <c r="L2580" i="1"/>
  <c r="M2580" i="1"/>
  <c r="N2580" i="1"/>
  <c r="O2580" i="1"/>
  <c r="P2580" i="1"/>
  <c r="R2580" i="1"/>
  <c r="S2580" i="1"/>
  <c r="T2580" i="1"/>
  <c r="U2580" i="1"/>
  <c r="C2579" i="1"/>
  <c r="D2579" i="1"/>
  <c r="E2579" i="1"/>
  <c r="F2579" i="1"/>
  <c r="G2579" i="1"/>
  <c r="H2579" i="1"/>
  <c r="I2579" i="1"/>
  <c r="J2579" i="1"/>
  <c r="K2579" i="1"/>
  <c r="L2579" i="1"/>
  <c r="M2579" i="1"/>
  <c r="N2579" i="1"/>
  <c r="O2579" i="1"/>
  <c r="P2579" i="1"/>
  <c r="R2579" i="1"/>
  <c r="S2579" i="1"/>
  <c r="T2579" i="1"/>
  <c r="U2579" i="1"/>
  <c r="C2578" i="1"/>
  <c r="D2578" i="1"/>
  <c r="E2578" i="1"/>
  <c r="F2578" i="1"/>
  <c r="G2578" i="1"/>
  <c r="H2578" i="1"/>
  <c r="I2578" i="1"/>
  <c r="J2578" i="1"/>
  <c r="K2578" i="1"/>
  <c r="L2578" i="1"/>
  <c r="M2578" i="1"/>
  <c r="N2578" i="1"/>
  <c r="O2578" i="1"/>
  <c r="P2578" i="1"/>
  <c r="R2578" i="1"/>
  <c r="S2578" i="1"/>
  <c r="T2578" i="1"/>
  <c r="U2578" i="1"/>
  <c r="C2577" i="1"/>
  <c r="D2577" i="1"/>
  <c r="E2577" i="1"/>
  <c r="F2577" i="1"/>
  <c r="G2577" i="1"/>
  <c r="H2577" i="1"/>
  <c r="I2577" i="1"/>
  <c r="J2577" i="1"/>
  <c r="K2577" i="1"/>
  <c r="L2577" i="1"/>
  <c r="M2577" i="1"/>
  <c r="N2577" i="1"/>
  <c r="O2577" i="1"/>
  <c r="P2577" i="1"/>
  <c r="R2577" i="1"/>
  <c r="S2577" i="1"/>
  <c r="T2577" i="1"/>
  <c r="U2577" i="1"/>
  <c r="C2576" i="1"/>
  <c r="D2576" i="1"/>
  <c r="E2576" i="1"/>
  <c r="F2576" i="1"/>
  <c r="G2576" i="1"/>
  <c r="H2576" i="1"/>
  <c r="I2576" i="1"/>
  <c r="J2576" i="1"/>
  <c r="K2576" i="1"/>
  <c r="L2576" i="1"/>
  <c r="M2576" i="1"/>
  <c r="N2576" i="1"/>
  <c r="O2576" i="1"/>
  <c r="P2576" i="1"/>
  <c r="R2576" i="1"/>
  <c r="S2576" i="1"/>
  <c r="T2576" i="1"/>
  <c r="U2576" i="1"/>
  <c r="C2575" i="1"/>
  <c r="D2575" i="1"/>
  <c r="E2575" i="1"/>
  <c r="F2575" i="1"/>
  <c r="G2575" i="1"/>
  <c r="H2575" i="1"/>
  <c r="I2575" i="1"/>
  <c r="J2575" i="1"/>
  <c r="K2575" i="1"/>
  <c r="L2575" i="1"/>
  <c r="M2575" i="1"/>
  <c r="N2575" i="1"/>
  <c r="O2575" i="1"/>
  <c r="P2575" i="1"/>
  <c r="R2575" i="1"/>
  <c r="S2575" i="1"/>
  <c r="T2575" i="1"/>
  <c r="U2575" i="1"/>
  <c r="C2574" i="1"/>
  <c r="D2574" i="1"/>
  <c r="E2574" i="1"/>
  <c r="F2574" i="1"/>
  <c r="G2574" i="1"/>
  <c r="H2574" i="1"/>
  <c r="I2574" i="1"/>
  <c r="J2574" i="1"/>
  <c r="K2574" i="1"/>
  <c r="L2574" i="1"/>
  <c r="M2574" i="1"/>
  <c r="N2574" i="1"/>
  <c r="O2574" i="1"/>
  <c r="P2574" i="1"/>
  <c r="R2574" i="1"/>
  <c r="S2574" i="1"/>
  <c r="T2574" i="1"/>
  <c r="U2574" i="1"/>
  <c r="C2573" i="1"/>
  <c r="D2573" i="1"/>
  <c r="E2573" i="1"/>
  <c r="F2573" i="1"/>
  <c r="G2573" i="1"/>
  <c r="H2573" i="1"/>
  <c r="I2573" i="1"/>
  <c r="J2573" i="1"/>
  <c r="K2573" i="1"/>
  <c r="L2573" i="1"/>
  <c r="M2573" i="1"/>
  <c r="N2573" i="1"/>
  <c r="O2573" i="1"/>
  <c r="P2573" i="1"/>
  <c r="R2573" i="1"/>
  <c r="S2573" i="1"/>
  <c r="T2573" i="1"/>
  <c r="U2573" i="1"/>
  <c r="C2572" i="1"/>
  <c r="D2572" i="1"/>
  <c r="E2572" i="1"/>
  <c r="F2572" i="1"/>
  <c r="G2572" i="1"/>
  <c r="H2572" i="1"/>
  <c r="I2572" i="1"/>
  <c r="J2572" i="1"/>
  <c r="K2572" i="1"/>
  <c r="L2572" i="1"/>
  <c r="M2572" i="1"/>
  <c r="N2572" i="1"/>
  <c r="O2572" i="1"/>
  <c r="P2572" i="1"/>
  <c r="R2572" i="1"/>
  <c r="S2572" i="1"/>
  <c r="T2572" i="1"/>
  <c r="U2572" i="1"/>
  <c r="C2571" i="1"/>
  <c r="D2571" i="1"/>
  <c r="E2571" i="1"/>
  <c r="F2571" i="1"/>
  <c r="G2571" i="1"/>
  <c r="H2571" i="1"/>
  <c r="I2571" i="1"/>
  <c r="J2571" i="1"/>
  <c r="K2571" i="1"/>
  <c r="L2571" i="1"/>
  <c r="M2571" i="1"/>
  <c r="N2571" i="1"/>
  <c r="O2571" i="1"/>
  <c r="P2571" i="1"/>
  <c r="R2571" i="1"/>
  <c r="S2571" i="1"/>
  <c r="T2571" i="1"/>
  <c r="U2571" i="1"/>
  <c r="C2570" i="1"/>
  <c r="D2570" i="1"/>
  <c r="E2570" i="1"/>
  <c r="F2570" i="1"/>
  <c r="G2570" i="1"/>
  <c r="H2570" i="1"/>
  <c r="I2570" i="1"/>
  <c r="J2570" i="1"/>
  <c r="K2570" i="1"/>
  <c r="L2570" i="1"/>
  <c r="M2570" i="1"/>
  <c r="N2570" i="1"/>
  <c r="O2570" i="1"/>
  <c r="P2570" i="1"/>
  <c r="R2570" i="1"/>
  <c r="S2570" i="1"/>
  <c r="T2570" i="1"/>
  <c r="U2570" i="1"/>
  <c r="B2569" i="1"/>
  <c r="C2569" i="1"/>
  <c r="D2569" i="1"/>
  <c r="E2569" i="1"/>
  <c r="F2569" i="1"/>
  <c r="G2569" i="1"/>
  <c r="H2569" i="1"/>
  <c r="I2569" i="1"/>
  <c r="J2569" i="1"/>
  <c r="K2569" i="1"/>
  <c r="L2569" i="1"/>
  <c r="M2569" i="1"/>
  <c r="N2569" i="1"/>
  <c r="O2569" i="1"/>
  <c r="P2569" i="1"/>
  <c r="R2569" i="1"/>
  <c r="S2569" i="1"/>
  <c r="T2569" i="1"/>
  <c r="U2569" i="1"/>
  <c r="C2568" i="1"/>
  <c r="D2568" i="1"/>
  <c r="E2568" i="1"/>
  <c r="F2568" i="1"/>
  <c r="G2568" i="1"/>
  <c r="H2568" i="1"/>
  <c r="I2568" i="1"/>
  <c r="J2568" i="1"/>
  <c r="K2568" i="1"/>
  <c r="L2568" i="1"/>
  <c r="M2568" i="1"/>
  <c r="N2568" i="1"/>
  <c r="O2568" i="1"/>
  <c r="P2568" i="1"/>
  <c r="R2568" i="1"/>
  <c r="S2568" i="1"/>
  <c r="T2568" i="1"/>
  <c r="U2568" i="1"/>
  <c r="C2567" i="1"/>
  <c r="D2567" i="1"/>
  <c r="E2567" i="1"/>
  <c r="F2567" i="1"/>
  <c r="G2567" i="1"/>
  <c r="H2567" i="1"/>
  <c r="I2567" i="1"/>
  <c r="J2567" i="1"/>
  <c r="K2567" i="1"/>
  <c r="L2567" i="1"/>
  <c r="M2567" i="1"/>
  <c r="N2567" i="1"/>
  <c r="O2567" i="1"/>
  <c r="P2567" i="1"/>
  <c r="R2567" i="1"/>
  <c r="S2567" i="1"/>
  <c r="T2567" i="1"/>
  <c r="U2567" i="1"/>
  <c r="C2566" i="1"/>
  <c r="D2566" i="1"/>
  <c r="E2566" i="1"/>
  <c r="F2566" i="1"/>
  <c r="G2566" i="1"/>
  <c r="H2566" i="1"/>
  <c r="I2566" i="1"/>
  <c r="J2566" i="1"/>
  <c r="K2566" i="1"/>
  <c r="L2566" i="1"/>
  <c r="M2566" i="1"/>
  <c r="N2566" i="1"/>
  <c r="O2566" i="1"/>
  <c r="P2566" i="1"/>
  <c r="R2566" i="1"/>
  <c r="S2566" i="1"/>
  <c r="T2566" i="1"/>
  <c r="U2566" i="1"/>
  <c r="C2565" i="1"/>
  <c r="D2565" i="1"/>
  <c r="E2565" i="1"/>
  <c r="F2565" i="1"/>
  <c r="G2565" i="1"/>
  <c r="H2565" i="1"/>
  <c r="I2565" i="1"/>
  <c r="J2565" i="1"/>
  <c r="K2565" i="1"/>
  <c r="L2565" i="1"/>
  <c r="M2565" i="1"/>
  <c r="N2565" i="1"/>
  <c r="O2565" i="1"/>
  <c r="P2565" i="1"/>
  <c r="R2565" i="1"/>
  <c r="S2565" i="1"/>
  <c r="T2565" i="1"/>
  <c r="U2565" i="1"/>
  <c r="C2564" i="1"/>
  <c r="D2564" i="1"/>
  <c r="E2564" i="1"/>
  <c r="F2564" i="1"/>
  <c r="G2564" i="1"/>
  <c r="H2564" i="1"/>
  <c r="I2564" i="1"/>
  <c r="J2564" i="1"/>
  <c r="K2564" i="1"/>
  <c r="L2564" i="1"/>
  <c r="M2564" i="1"/>
  <c r="N2564" i="1"/>
  <c r="O2564" i="1"/>
  <c r="P2564" i="1"/>
  <c r="R2564" i="1"/>
  <c r="S2564" i="1"/>
  <c r="T2564" i="1"/>
  <c r="U2564" i="1"/>
  <c r="C2563" i="1"/>
  <c r="D2563" i="1"/>
  <c r="E2563" i="1"/>
  <c r="F2563" i="1"/>
  <c r="G2563" i="1"/>
  <c r="H2563" i="1"/>
  <c r="I2563" i="1"/>
  <c r="J2563" i="1"/>
  <c r="K2563" i="1"/>
  <c r="L2563" i="1"/>
  <c r="M2563" i="1"/>
  <c r="N2563" i="1"/>
  <c r="O2563" i="1"/>
  <c r="P2563" i="1"/>
  <c r="R2563" i="1"/>
  <c r="S2563" i="1"/>
  <c r="T2563" i="1"/>
  <c r="U2563" i="1"/>
  <c r="C2562" i="1"/>
  <c r="D2562" i="1"/>
  <c r="E2562" i="1"/>
  <c r="F2562" i="1"/>
  <c r="G2562" i="1"/>
  <c r="H2562" i="1"/>
  <c r="I2562" i="1"/>
  <c r="J2562" i="1"/>
  <c r="K2562" i="1"/>
  <c r="L2562" i="1"/>
  <c r="M2562" i="1"/>
  <c r="N2562" i="1"/>
  <c r="O2562" i="1"/>
  <c r="P2562" i="1"/>
  <c r="R2562" i="1"/>
  <c r="S2562" i="1"/>
  <c r="T2562" i="1"/>
  <c r="U2562" i="1"/>
  <c r="C2561" i="1"/>
  <c r="D2561" i="1"/>
  <c r="E2561" i="1"/>
  <c r="F2561" i="1"/>
  <c r="G2561" i="1"/>
  <c r="H2561" i="1"/>
  <c r="I2561" i="1"/>
  <c r="J2561" i="1"/>
  <c r="K2561" i="1"/>
  <c r="L2561" i="1"/>
  <c r="M2561" i="1"/>
  <c r="N2561" i="1"/>
  <c r="O2561" i="1"/>
  <c r="P2561" i="1"/>
  <c r="R2561" i="1"/>
  <c r="S2561" i="1"/>
  <c r="T2561" i="1"/>
  <c r="U2561" i="1"/>
  <c r="C2626" i="1"/>
  <c r="D2626" i="1"/>
  <c r="E2626" i="1"/>
  <c r="F2626" i="1"/>
  <c r="G2626" i="1"/>
  <c r="H2626" i="1"/>
  <c r="I2626" i="1"/>
  <c r="J2626" i="1"/>
  <c r="K2626" i="1"/>
  <c r="L2626" i="1"/>
  <c r="M2626" i="1"/>
  <c r="N2626" i="1"/>
  <c r="O2626" i="1"/>
  <c r="P2626" i="1"/>
  <c r="R2626" i="1"/>
  <c r="S2626" i="1"/>
  <c r="T2626" i="1"/>
  <c r="U2626" i="1"/>
  <c r="C2625" i="1"/>
  <c r="D2625" i="1"/>
  <c r="E2625" i="1"/>
  <c r="F2625" i="1"/>
  <c r="G2625" i="1"/>
  <c r="H2625" i="1"/>
  <c r="I2625" i="1"/>
  <c r="J2625" i="1"/>
  <c r="K2625" i="1"/>
  <c r="L2625" i="1"/>
  <c r="M2625" i="1"/>
  <c r="N2625" i="1"/>
  <c r="O2625" i="1"/>
  <c r="P2625" i="1"/>
  <c r="R2625" i="1"/>
  <c r="S2625" i="1"/>
  <c r="T2625" i="1"/>
  <c r="U2625" i="1"/>
  <c r="C2624" i="1"/>
  <c r="D2624" i="1"/>
  <c r="E2624" i="1"/>
  <c r="F2624" i="1"/>
  <c r="G2624" i="1"/>
  <c r="H2624" i="1"/>
  <c r="I2624" i="1"/>
  <c r="J2624" i="1"/>
  <c r="K2624" i="1"/>
  <c r="L2624" i="1"/>
  <c r="M2624" i="1"/>
  <c r="N2624" i="1"/>
  <c r="O2624" i="1"/>
  <c r="P2624" i="1"/>
  <c r="R2624" i="1"/>
  <c r="S2624" i="1"/>
  <c r="T2624" i="1"/>
  <c r="U2624" i="1"/>
  <c r="C2623" i="1"/>
  <c r="D2623" i="1"/>
  <c r="E2623" i="1"/>
  <c r="F2623" i="1"/>
  <c r="G2623" i="1"/>
  <c r="H2623" i="1"/>
  <c r="I2623" i="1"/>
  <c r="J2623" i="1"/>
  <c r="K2623" i="1"/>
  <c r="L2623" i="1"/>
  <c r="M2623" i="1"/>
  <c r="N2623" i="1"/>
  <c r="O2623" i="1"/>
  <c r="P2623" i="1"/>
  <c r="R2623" i="1"/>
  <c r="S2623" i="1"/>
  <c r="T2623" i="1"/>
  <c r="U2623" i="1"/>
  <c r="B2622" i="1"/>
  <c r="C2622" i="1"/>
  <c r="D2622" i="1"/>
  <c r="E2622" i="1"/>
  <c r="F2622" i="1"/>
  <c r="G2622" i="1"/>
  <c r="H2622" i="1"/>
  <c r="I2622" i="1"/>
  <c r="J2622" i="1"/>
  <c r="K2622" i="1"/>
  <c r="L2622" i="1"/>
  <c r="M2622" i="1"/>
  <c r="N2622" i="1"/>
  <c r="O2622" i="1"/>
  <c r="P2622" i="1"/>
  <c r="R2622" i="1"/>
  <c r="S2622" i="1"/>
  <c r="T2622" i="1"/>
  <c r="U2622" i="1"/>
  <c r="C2621" i="1"/>
  <c r="D2621" i="1"/>
  <c r="E2621" i="1"/>
  <c r="F2621" i="1"/>
  <c r="G2621" i="1"/>
  <c r="H2621" i="1"/>
  <c r="I2621" i="1"/>
  <c r="J2621" i="1"/>
  <c r="K2621" i="1"/>
  <c r="L2621" i="1"/>
  <c r="M2621" i="1"/>
  <c r="N2621" i="1"/>
  <c r="O2621" i="1"/>
  <c r="P2621" i="1"/>
  <c r="R2621" i="1"/>
  <c r="S2621" i="1"/>
  <c r="T2621" i="1"/>
  <c r="U2621" i="1"/>
  <c r="C2620" i="1"/>
  <c r="D2620" i="1"/>
  <c r="E2620" i="1"/>
  <c r="F2620" i="1"/>
  <c r="G2620" i="1"/>
  <c r="H2620" i="1"/>
  <c r="I2620" i="1"/>
  <c r="J2620" i="1"/>
  <c r="K2620" i="1"/>
  <c r="L2620" i="1"/>
  <c r="M2620" i="1"/>
  <c r="N2620" i="1"/>
  <c r="O2620" i="1"/>
  <c r="P2620" i="1"/>
  <c r="R2620" i="1"/>
  <c r="S2620" i="1"/>
  <c r="T2620" i="1"/>
  <c r="U2620" i="1"/>
  <c r="C2619" i="1"/>
  <c r="D2619" i="1"/>
  <c r="E2619" i="1"/>
  <c r="F2619" i="1"/>
  <c r="G2619" i="1"/>
  <c r="H2619" i="1"/>
  <c r="I2619" i="1"/>
  <c r="J2619" i="1"/>
  <c r="K2619" i="1"/>
  <c r="L2619" i="1"/>
  <c r="M2619" i="1"/>
  <c r="N2619" i="1"/>
  <c r="O2619" i="1"/>
  <c r="P2619" i="1"/>
  <c r="R2619" i="1"/>
  <c r="S2619" i="1"/>
  <c r="T2619" i="1"/>
  <c r="U2619" i="1"/>
  <c r="C2618" i="1"/>
  <c r="D2618" i="1"/>
  <c r="E2618" i="1"/>
  <c r="F2618" i="1"/>
  <c r="G2618" i="1"/>
  <c r="H2618" i="1"/>
  <c r="I2618" i="1"/>
  <c r="J2618" i="1"/>
  <c r="K2618" i="1"/>
  <c r="L2618" i="1"/>
  <c r="M2618" i="1"/>
  <c r="N2618" i="1"/>
  <c r="O2618" i="1"/>
  <c r="P2618" i="1"/>
  <c r="R2618" i="1"/>
  <c r="S2618" i="1"/>
  <c r="T2618" i="1"/>
  <c r="U2618" i="1"/>
  <c r="C2617" i="1"/>
  <c r="D2617" i="1"/>
  <c r="E2617" i="1"/>
  <c r="F2617" i="1"/>
  <c r="G2617" i="1"/>
  <c r="H2617" i="1"/>
  <c r="I2617" i="1"/>
  <c r="J2617" i="1"/>
  <c r="K2617" i="1"/>
  <c r="L2617" i="1"/>
  <c r="M2617" i="1"/>
  <c r="N2617" i="1"/>
  <c r="O2617" i="1"/>
  <c r="P2617" i="1"/>
  <c r="R2617" i="1"/>
  <c r="S2617" i="1"/>
  <c r="T2617" i="1"/>
  <c r="U2617" i="1"/>
  <c r="C2616" i="1"/>
  <c r="D2616" i="1"/>
  <c r="E2616" i="1"/>
  <c r="F2616" i="1"/>
  <c r="G2616" i="1"/>
  <c r="H2616" i="1"/>
  <c r="I2616" i="1"/>
  <c r="J2616" i="1"/>
  <c r="K2616" i="1"/>
  <c r="L2616" i="1"/>
  <c r="M2616" i="1"/>
  <c r="N2616" i="1"/>
  <c r="O2616" i="1"/>
  <c r="P2616" i="1"/>
  <c r="R2616" i="1"/>
  <c r="S2616" i="1"/>
  <c r="T2616" i="1"/>
  <c r="U2616" i="1"/>
  <c r="C2615" i="1"/>
  <c r="D2615" i="1"/>
  <c r="E2615" i="1"/>
  <c r="F2615" i="1"/>
  <c r="G2615" i="1"/>
  <c r="H2615" i="1"/>
  <c r="I2615" i="1"/>
  <c r="J2615" i="1"/>
  <c r="K2615" i="1"/>
  <c r="L2615" i="1"/>
  <c r="M2615" i="1"/>
  <c r="N2615" i="1"/>
  <c r="O2615" i="1"/>
  <c r="P2615" i="1"/>
  <c r="R2615" i="1"/>
  <c r="S2615" i="1"/>
  <c r="T2615" i="1"/>
  <c r="U2615" i="1"/>
  <c r="C2614" i="1"/>
  <c r="D2614" i="1"/>
  <c r="E2614" i="1"/>
  <c r="F2614" i="1"/>
  <c r="G2614" i="1"/>
  <c r="H2614" i="1"/>
  <c r="I2614" i="1"/>
  <c r="J2614" i="1"/>
  <c r="K2614" i="1"/>
  <c r="L2614" i="1"/>
  <c r="M2614" i="1"/>
  <c r="N2614" i="1"/>
  <c r="O2614" i="1"/>
  <c r="P2614" i="1"/>
  <c r="R2614" i="1"/>
  <c r="S2614" i="1"/>
  <c r="T2614" i="1"/>
  <c r="U2614" i="1"/>
  <c r="B2613" i="1"/>
  <c r="C2613" i="1"/>
  <c r="D2613" i="1"/>
  <c r="E2613" i="1"/>
  <c r="F2613" i="1"/>
  <c r="G2613" i="1"/>
  <c r="H2613" i="1"/>
  <c r="I2613" i="1"/>
  <c r="J2613" i="1"/>
  <c r="K2613" i="1"/>
  <c r="L2613" i="1"/>
  <c r="M2613" i="1"/>
  <c r="N2613" i="1"/>
  <c r="O2613" i="1"/>
  <c r="P2613" i="1"/>
  <c r="R2613" i="1"/>
  <c r="S2613" i="1"/>
  <c r="T2613" i="1"/>
  <c r="U2613" i="1"/>
  <c r="C2612" i="1"/>
  <c r="D2612" i="1"/>
  <c r="E2612" i="1"/>
  <c r="F2612" i="1"/>
  <c r="G2612" i="1"/>
  <c r="H2612" i="1"/>
  <c r="I2612" i="1"/>
  <c r="J2612" i="1"/>
  <c r="K2612" i="1"/>
  <c r="L2612" i="1"/>
  <c r="M2612" i="1"/>
  <c r="N2612" i="1"/>
  <c r="O2612" i="1"/>
  <c r="P2612" i="1"/>
  <c r="R2612" i="1"/>
  <c r="S2612" i="1"/>
  <c r="T2612" i="1"/>
  <c r="U2612" i="1"/>
  <c r="C2611" i="1"/>
  <c r="D2611" i="1"/>
  <c r="E2611" i="1"/>
  <c r="F2611" i="1"/>
  <c r="G2611" i="1"/>
  <c r="H2611" i="1"/>
  <c r="I2611" i="1"/>
  <c r="J2611" i="1"/>
  <c r="K2611" i="1"/>
  <c r="L2611" i="1"/>
  <c r="M2611" i="1"/>
  <c r="N2611" i="1"/>
  <c r="O2611" i="1"/>
  <c r="P2611" i="1"/>
  <c r="R2611" i="1"/>
  <c r="S2611" i="1"/>
  <c r="T2611" i="1"/>
  <c r="U2611" i="1"/>
  <c r="C2610" i="1"/>
  <c r="D2610" i="1"/>
  <c r="E2610" i="1"/>
  <c r="F2610" i="1"/>
  <c r="G2610" i="1"/>
  <c r="H2610" i="1"/>
  <c r="I2610" i="1"/>
  <c r="J2610" i="1"/>
  <c r="K2610" i="1"/>
  <c r="L2610" i="1"/>
  <c r="M2610" i="1"/>
  <c r="N2610" i="1"/>
  <c r="O2610" i="1"/>
  <c r="P2610" i="1"/>
  <c r="R2610" i="1"/>
  <c r="S2610" i="1"/>
  <c r="T2610" i="1"/>
  <c r="U2610" i="1"/>
  <c r="C2609" i="1"/>
  <c r="D2609" i="1"/>
  <c r="E2609" i="1"/>
  <c r="F2609" i="1"/>
  <c r="G2609" i="1"/>
  <c r="H2609" i="1"/>
  <c r="I2609" i="1"/>
  <c r="J2609" i="1"/>
  <c r="K2609" i="1"/>
  <c r="L2609" i="1"/>
  <c r="M2609" i="1"/>
  <c r="N2609" i="1"/>
  <c r="O2609" i="1"/>
  <c r="P2609" i="1"/>
  <c r="R2609" i="1"/>
  <c r="S2609" i="1"/>
  <c r="T2609" i="1"/>
  <c r="U2609" i="1"/>
  <c r="C2608" i="1"/>
  <c r="D2608" i="1"/>
  <c r="E2608" i="1"/>
  <c r="F2608" i="1"/>
  <c r="G2608" i="1"/>
  <c r="H2608" i="1"/>
  <c r="I2608" i="1"/>
  <c r="J2608" i="1"/>
  <c r="K2608" i="1"/>
  <c r="L2608" i="1"/>
  <c r="M2608" i="1"/>
  <c r="N2608" i="1"/>
  <c r="O2608" i="1"/>
  <c r="P2608" i="1"/>
  <c r="R2608" i="1"/>
  <c r="S2608" i="1"/>
  <c r="T2608" i="1"/>
  <c r="U2608" i="1"/>
  <c r="C2607" i="1"/>
  <c r="D2607" i="1"/>
  <c r="E2607" i="1"/>
  <c r="F2607" i="1"/>
  <c r="G2607" i="1"/>
  <c r="H2607" i="1"/>
  <c r="I2607" i="1"/>
  <c r="J2607" i="1"/>
  <c r="K2607" i="1"/>
  <c r="L2607" i="1"/>
  <c r="M2607" i="1"/>
  <c r="N2607" i="1"/>
  <c r="O2607" i="1"/>
  <c r="P2607" i="1"/>
  <c r="R2607" i="1"/>
  <c r="S2607" i="1"/>
  <c r="T2607" i="1"/>
  <c r="U2607" i="1"/>
  <c r="C2606" i="1"/>
  <c r="D2606" i="1"/>
  <c r="E2606" i="1"/>
  <c r="F2606" i="1"/>
  <c r="G2606" i="1"/>
  <c r="H2606" i="1"/>
  <c r="I2606" i="1"/>
  <c r="J2606" i="1"/>
  <c r="K2606" i="1"/>
  <c r="L2606" i="1"/>
  <c r="M2606" i="1"/>
  <c r="N2606" i="1"/>
  <c r="O2606" i="1"/>
  <c r="P2606" i="1"/>
  <c r="R2606" i="1"/>
  <c r="S2606" i="1"/>
  <c r="T2606" i="1"/>
  <c r="U2606" i="1"/>
  <c r="C2605" i="1"/>
  <c r="D2605" i="1"/>
  <c r="E2605" i="1"/>
  <c r="F2605" i="1"/>
  <c r="G2605" i="1"/>
  <c r="H2605" i="1"/>
  <c r="I2605" i="1"/>
  <c r="J2605" i="1"/>
  <c r="K2605" i="1"/>
  <c r="L2605" i="1"/>
  <c r="M2605" i="1"/>
  <c r="N2605" i="1"/>
  <c r="O2605" i="1"/>
  <c r="P2605" i="1"/>
  <c r="R2605" i="1"/>
  <c r="S2605" i="1"/>
  <c r="T2605" i="1"/>
  <c r="U2605" i="1"/>
  <c r="B2604" i="1"/>
  <c r="C2604" i="1"/>
  <c r="D2604" i="1"/>
  <c r="E2604" i="1"/>
  <c r="F2604" i="1"/>
  <c r="G2604" i="1"/>
  <c r="H2604" i="1"/>
  <c r="I2604" i="1"/>
  <c r="J2604" i="1"/>
  <c r="K2604" i="1"/>
  <c r="L2604" i="1"/>
  <c r="M2604" i="1"/>
  <c r="N2604" i="1"/>
  <c r="O2604" i="1"/>
  <c r="P2604" i="1"/>
  <c r="R2604" i="1"/>
  <c r="S2604" i="1"/>
  <c r="T2604" i="1"/>
  <c r="U2604" i="1"/>
  <c r="C2603" i="1"/>
  <c r="D2603" i="1"/>
  <c r="E2603" i="1"/>
  <c r="F2603" i="1"/>
  <c r="G2603" i="1"/>
  <c r="H2603" i="1"/>
  <c r="I2603" i="1"/>
  <c r="J2603" i="1"/>
  <c r="K2603" i="1"/>
  <c r="L2603" i="1"/>
  <c r="M2603" i="1"/>
  <c r="N2603" i="1"/>
  <c r="O2603" i="1"/>
  <c r="P2603" i="1"/>
  <c r="R2603" i="1"/>
  <c r="S2603" i="1"/>
  <c r="T2603" i="1"/>
  <c r="U2603" i="1"/>
  <c r="C2602" i="1"/>
  <c r="D2602" i="1"/>
  <c r="E2602" i="1"/>
  <c r="F2602" i="1"/>
  <c r="G2602" i="1"/>
  <c r="H2602" i="1"/>
  <c r="I2602" i="1"/>
  <c r="J2602" i="1"/>
  <c r="K2602" i="1"/>
  <c r="L2602" i="1"/>
  <c r="M2602" i="1"/>
  <c r="N2602" i="1"/>
  <c r="O2602" i="1"/>
  <c r="P2602" i="1"/>
  <c r="R2602" i="1"/>
  <c r="S2602" i="1"/>
  <c r="T2602" i="1"/>
  <c r="U2602" i="1"/>
  <c r="C2601" i="1"/>
  <c r="D2601" i="1"/>
  <c r="E2601" i="1"/>
  <c r="F2601" i="1"/>
  <c r="G2601" i="1"/>
  <c r="H2601" i="1"/>
  <c r="I2601" i="1"/>
  <c r="J2601" i="1"/>
  <c r="K2601" i="1"/>
  <c r="L2601" i="1"/>
  <c r="M2601" i="1"/>
  <c r="N2601" i="1"/>
  <c r="O2601" i="1"/>
  <c r="P2601" i="1"/>
  <c r="R2601" i="1"/>
  <c r="S2601" i="1"/>
  <c r="T2601" i="1"/>
  <c r="U2601" i="1"/>
  <c r="C2600" i="1"/>
  <c r="D2600" i="1"/>
  <c r="E2600" i="1"/>
  <c r="F2600" i="1"/>
  <c r="G2600" i="1"/>
  <c r="H2600" i="1"/>
  <c r="I2600" i="1"/>
  <c r="J2600" i="1"/>
  <c r="K2600" i="1"/>
  <c r="L2600" i="1"/>
  <c r="M2600" i="1"/>
  <c r="N2600" i="1"/>
  <c r="O2600" i="1"/>
  <c r="P2600" i="1"/>
  <c r="R2600" i="1"/>
  <c r="S2600" i="1"/>
  <c r="T2600" i="1"/>
  <c r="U2600" i="1"/>
  <c r="C2599" i="1"/>
  <c r="D2599" i="1"/>
  <c r="E2599" i="1"/>
  <c r="F2599" i="1"/>
  <c r="G2599" i="1"/>
  <c r="H2599" i="1"/>
  <c r="I2599" i="1"/>
  <c r="J2599" i="1"/>
  <c r="K2599" i="1"/>
  <c r="L2599" i="1"/>
  <c r="M2599" i="1"/>
  <c r="N2599" i="1"/>
  <c r="O2599" i="1"/>
  <c r="P2599" i="1"/>
  <c r="R2599" i="1"/>
  <c r="S2599" i="1"/>
  <c r="T2599" i="1"/>
  <c r="U2599" i="1"/>
  <c r="C2598" i="1"/>
  <c r="D2598" i="1"/>
  <c r="E2598" i="1"/>
  <c r="F2598" i="1"/>
  <c r="G2598" i="1"/>
  <c r="H2598" i="1"/>
  <c r="I2598" i="1"/>
  <c r="J2598" i="1"/>
  <c r="K2598" i="1"/>
  <c r="L2598" i="1"/>
  <c r="M2598" i="1"/>
  <c r="N2598" i="1"/>
  <c r="O2598" i="1"/>
  <c r="P2598" i="1"/>
  <c r="R2598" i="1"/>
  <c r="S2598" i="1"/>
  <c r="T2598" i="1"/>
  <c r="U2598" i="1"/>
  <c r="C2597" i="1"/>
  <c r="D2597" i="1"/>
  <c r="E2597" i="1"/>
  <c r="F2597" i="1"/>
  <c r="G2597" i="1"/>
  <c r="H2597" i="1"/>
  <c r="I2597" i="1"/>
  <c r="J2597" i="1"/>
  <c r="K2597" i="1"/>
  <c r="L2597" i="1"/>
  <c r="M2597" i="1"/>
  <c r="N2597" i="1"/>
  <c r="O2597" i="1"/>
  <c r="P2597" i="1"/>
  <c r="R2597" i="1"/>
  <c r="S2597" i="1"/>
  <c r="T2597" i="1"/>
  <c r="U2597" i="1"/>
  <c r="C2596" i="1"/>
  <c r="D2596" i="1"/>
  <c r="E2596" i="1"/>
  <c r="F2596" i="1"/>
  <c r="G2596" i="1"/>
  <c r="H2596" i="1"/>
  <c r="I2596" i="1"/>
  <c r="J2596" i="1"/>
  <c r="K2596" i="1"/>
  <c r="L2596" i="1"/>
  <c r="M2596" i="1"/>
  <c r="N2596" i="1"/>
  <c r="O2596" i="1"/>
  <c r="P2596" i="1"/>
  <c r="R2596" i="1"/>
  <c r="S2596" i="1"/>
  <c r="T2596" i="1"/>
  <c r="U2596" i="1"/>
  <c r="B2595" i="1"/>
  <c r="C2595" i="1"/>
  <c r="D2595" i="1"/>
  <c r="E2595" i="1"/>
  <c r="F2595" i="1"/>
  <c r="G2595" i="1"/>
  <c r="H2595" i="1"/>
  <c r="I2595" i="1"/>
  <c r="J2595" i="1"/>
  <c r="K2595" i="1"/>
  <c r="L2595" i="1"/>
  <c r="M2595" i="1"/>
  <c r="N2595" i="1"/>
  <c r="O2595" i="1"/>
  <c r="P2595" i="1"/>
  <c r="R2595" i="1"/>
  <c r="S2595" i="1"/>
  <c r="T2595" i="1"/>
  <c r="U2595" i="1"/>
  <c r="C2594" i="1"/>
  <c r="D2594" i="1"/>
  <c r="E2594" i="1"/>
  <c r="F2594" i="1"/>
  <c r="G2594" i="1"/>
  <c r="H2594" i="1"/>
  <c r="I2594" i="1"/>
  <c r="J2594" i="1"/>
  <c r="K2594" i="1"/>
  <c r="L2594" i="1"/>
  <c r="M2594" i="1"/>
  <c r="N2594" i="1"/>
  <c r="O2594" i="1"/>
  <c r="P2594" i="1"/>
  <c r="R2594" i="1"/>
  <c r="S2594" i="1"/>
  <c r="T2594" i="1"/>
  <c r="U2594" i="1"/>
  <c r="C2593" i="1"/>
  <c r="D2593" i="1"/>
  <c r="E2593" i="1"/>
  <c r="F2593" i="1"/>
  <c r="G2593" i="1"/>
  <c r="H2593" i="1"/>
  <c r="I2593" i="1"/>
  <c r="J2593" i="1"/>
  <c r="K2593" i="1"/>
  <c r="L2593" i="1"/>
  <c r="M2593" i="1"/>
  <c r="N2593" i="1"/>
  <c r="O2593" i="1"/>
  <c r="P2593" i="1"/>
  <c r="R2593" i="1"/>
  <c r="S2593" i="1"/>
  <c r="T2593" i="1"/>
  <c r="U2593" i="1"/>
  <c r="C2592" i="1"/>
  <c r="D2592" i="1"/>
  <c r="E2592" i="1"/>
  <c r="F2592" i="1"/>
  <c r="G2592" i="1"/>
  <c r="H2592" i="1"/>
  <c r="I2592" i="1"/>
  <c r="J2592" i="1"/>
  <c r="K2592" i="1"/>
  <c r="L2592" i="1"/>
  <c r="M2592" i="1"/>
  <c r="N2592" i="1"/>
  <c r="O2592" i="1"/>
  <c r="P2592" i="1"/>
  <c r="R2592" i="1"/>
  <c r="S2592" i="1"/>
  <c r="T2592" i="1"/>
  <c r="U2592" i="1"/>
  <c r="C2591" i="1"/>
  <c r="D2591" i="1"/>
  <c r="E2591" i="1"/>
  <c r="F2591" i="1"/>
  <c r="G2591" i="1"/>
  <c r="H2591" i="1"/>
  <c r="I2591" i="1"/>
  <c r="J2591" i="1"/>
  <c r="K2591" i="1"/>
  <c r="L2591" i="1"/>
  <c r="M2591" i="1"/>
  <c r="N2591" i="1"/>
  <c r="O2591" i="1"/>
  <c r="P2591" i="1"/>
  <c r="R2591" i="1"/>
  <c r="S2591" i="1"/>
  <c r="T2591" i="1"/>
  <c r="U2591" i="1"/>
  <c r="C2590" i="1"/>
  <c r="D2590" i="1"/>
  <c r="E2590" i="1"/>
  <c r="F2590" i="1"/>
  <c r="G2590" i="1"/>
  <c r="H2590" i="1"/>
  <c r="I2590" i="1"/>
  <c r="J2590" i="1"/>
  <c r="K2590" i="1"/>
  <c r="L2590" i="1"/>
  <c r="M2590" i="1"/>
  <c r="N2590" i="1"/>
  <c r="O2590" i="1"/>
  <c r="P2590" i="1"/>
  <c r="R2590" i="1"/>
  <c r="S2590" i="1"/>
  <c r="T2590" i="1"/>
  <c r="U2590" i="1"/>
  <c r="C2589" i="1"/>
  <c r="D2589" i="1"/>
  <c r="E2589" i="1"/>
  <c r="F2589" i="1"/>
  <c r="G2589" i="1"/>
  <c r="H2589" i="1"/>
  <c r="I2589" i="1"/>
  <c r="J2589" i="1"/>
  <c r="K2589" i="1"/>
  <c r="L2589" i="1"/>
  <c r="M2589" i="1"/>
  <c r="N2589" i="1"/>
  <c r="O2589" i="1"/>
  <c r="P2589" i="1"/>
  <c r="R2589" i="1"/>
  <c r="S2589" i="1"/>
  <c r="T2589" i="1"/>
  <c r="U2589" i="1"/>
  <c r="C2588" i="1"/>
  <c r="D2588" i="1"/>
  <c r="E2588" i="1"/>
  <c r="F2588" i="1"/>
  <c r="G2588" i="1"/>
  <c r="H2588" i="1"/>
  <c r="I2588" i="1"/>
  <c r="J2588" i="1"/>
  <c r="K2588" i="1"/>
  <c r="L2588" i="1"/>
  <c r="M2588" i="1"/>
  <c r="N2588" i="1"/>
  <c r="O2588" i="1"/>
  <c r="P2588" i="1"/>
  <c r="R2588" i="1"/>
  <c r="S2588" i="1"/>
  <c r="T2588" i="1"/>
  <c r="U2588" i="1"/>
  <c r="C2587" i="1"/>
  <c r="D2587" i="1"/>
  <c r="E2587" i="1"/>
  <c r="F2587" i="1"/>
  <c r="G2587" i="1"/>
  <c r="H2587" i="1"/>
  <c r="I2587" i="1"/>
  <c r="J2587" i="1"/>
  <c r="K2587" i="1"/>
  <c r="L2587" i="1"/>
  <c r="M2587" i="1"/>
  <c r="N2587" i="1"/>
  <c r="O2587" i="1"/>
  <c r="P2587" i="1"/>
  <c r="R2587" i="1"/>
  <c r="S2587" i="1"/>
  <c r="T2587" i="1"/>
  <c r="U2587" i="1"/>
  <c r="B2586" i="1"/>
  <c r="C2586" i="1"/>
  <c r="D2586" i="1"/>
  <c r="E2586" i="1"/>
  <c r="F2586" i="1"/>
  <c r="G2586" i="1"/>
  <c r="H2586" i="1"/>
  <c r="I2586" i="1"/>
  <c r="J2586" i="1"/>
  <c r="K2586" i="1"/>
  <c r="L2586" i="1"/>
  <c r="M2586" i="1"/>
  <c r="N2586" i="1"/>
  <c r="O2586" i="1"/>
  <c r="P2586" i="1"/>
  <c r="R2586" i="1"/>
  <c r="S2586" i="1"/>
  <c r="T2586" i="1"/>
  <c r="U2586" i="1"/>
  <c r="C2585" i="1"/>
  <c r="D2585" i="1"/>
  <c r="E2585" i="1"/>
  <c r="F2585" i="1"/>
  <c r="G2585" i="1"/>
  <c r="H2585" i="1"/>
  <c r="I2585" i="1"/>
  <c r="J2585" i="1"/>
  <c r="K2585" i="1"/>
  <c r="L2585" i="1"/>
  <c r="M2585" i="1"/>
  <c r="N2585" i="1"/>
  <c r="O2585" i="1"/>
  <c r="P2585" i="1"/>
  <c r="R2585" i="1"/>
  <c r="S2585" i="1"/>
  <c r="T2585" i="1"/>
  <c r="U2585" i="1"/>
  <c r="C2584" i="1"/>
  <c r="D2584" i="1"/>
  <c r="E2584" i="1"/>
  <c r="F2584" i="1"/>
  <c r="G2584" i="1"/>
  <c r="H2584" i="1"/>
  <c r="I2584" i="1"/>
  <c r="J2584" i="1"/>
  <c r="K2584" i="1"/>
  <c r="L2584" i="1"/>
  <c r="M2584" i="1"/>
  <c r="N2584" i="1"/>
  <c r="O2584" i="1"/>
  <c r="P2584" i="1"/>
  <c r="R2584" i="1"/>
  <c r="S2584" i="1"/>
  <c r="T2584" i="1"/>
  <c r="U2584" i="1"/>
  <c r="C2583" i="1"/>
  <c r="D2583" i="1"/>
  <c r="E2583" i="1"/>
  <c r="F2583" i="1"/>
  <c r="G2583" i="1"/>
  <c r="H2583" i="1"/>
  <c r="I2583" i="1"/>
  <c r="J2583" i="1"/>
  <c r="K2583" i="1"/>
  <c r="L2583" i="1"/>
  <c r="M2583" i="1"/>
  <c r="N2583" i="1"/>
  <c r="O2583" i="1"/>
  <c r="P2583" i="1"/>
  <c r="R2583" i="1"/>
  <c r="S2583" i="1"/>
  <c r="T2583" i="1"/>
  <c r="U2583" i="1"/>
  <c r="C2664" i="1"/>
  <c r="D2664" i="1"/>
  <c r="E2664" i="1"/>
  <c r="F2664" i="1"/>
  <c r="G2664" i="1"/>
  <c r="H2664" i="1"/>
  <c r="I2664" i="1"/>
  <c r="J2664" i="1"/>
  <c r="K2664" i="1"/>
  <c r="L2664" i="1"/>
  <c r="M2664" i="1"/>
  <c r="N2664" i="1"/>
  <c r="O2664" i="1"/>
  <c r="P2664" i="1"/>
  <c r="R2664" i="1"/>
  <c r="S2664" i="1"/>
  <c r="T2664" i="1"/>
  <c r="U2664" i="1"/>
  <c r="C2663" i="1"/>
  <c r="D2663" i="1"/>
  <c r="E2663" i="1"/>
  <c r="F2663" i="1"/>
  <c r="G2663" i="1"/>
  <c r="H2663" i="1"/>
  <c r="I2663" i="1"/>
  <c r="J2663" i="1"/>
  <c r="K2663" i="1"/>
  <c r="L2663" i="1"/>
  <c r="M2663" i="1"/>
  <c r="N2663" i="1"/>
  <c r="O2663" i="1"/>
  <c r="P2663" i="1"/>
  <c r="R2663" i="1"/>
  <c r="S2663" i="1"/>
  <c r="T2663" i="1"/>
  <c r="U2663" i="1"/>
  <c r="C2662" i="1"/>
  <c r="D2662" i="1"/>
  <c r="E2662" i="1"/>
  <c r="F2662" i="1"/>
  <c r="G2662" i="1"/>
  <c r="H2662" i="1"/>
  <c r="I2662" i="1"/>
  <c r="J2662" i="1"/>
  <c r="K2662" i="1"/>
  <c r="L2662" i="1"/>
  <c r="M2662" i="1"/>
  <c r="N2662" i="1"/>
  <c r="O2662" i="1"/>
  <c r="P2662" i="1"/>
  <c r="R2662" i="1"/>
  <c r="S2662" i="1"/>
  <c r="T2662" i="1"/>
  <c r="U2662" i="1"/>
  <c r="C2661" i="1"/>
  <c r="D2661" i="1"/>
  <c r="E2661" i="1"/>
  <c r="F2661" i="1"/>
  <c r="G2661" i="1"/>
  <c r="H2661" i="1"/>
  <c r="I2661" i="1"/>
  <c r="J2661" i="1"/>
  <c r="K2661" i="1"/>
  <c r="L2661" i="1"/>
  <c r="M2661" i="1"/>
  <c r="N2661" i="1"/>
  <c r="O2661" i="1"/>
  <c r="P2661" i="1"/>
  <c r="R2661" i="1"/>
  <c r="S2661" i="1"/>
  <c r="T2661" i="1"/>
  <c r="U2661" i="1"/>
  <c r="C2660" i="1"/>
  <c r="D2660" i="1"/>
  <c r="E2660" i="1"/>
  <c r="F2660" i="1"/>
  <c r="G2660" i="1"/>
  <c r="H2660" i="1"/>
  <c r="I2660" i="1"/>
  <c r="J2660" i="1"/>
  <c r="K2660" i="1"/>
  <c r="L2660" i="1"/>
  <c r="M2660" i="1"/>
  <c r="N2660" i="1"/>
  <c r="O2660" i="1"/>
  <c r="P2660" i="1"/>
  <c r="R2660" i="1"/>
  <c r="S2660" i="1"/>
  <c r="T2660" i="1"/>
  <c r="U2660" i="1"/>
  <c r="C2659" i="1"/>
  <c r="D2659" i="1"/>
  <c r="E2659" i="1"/>
  <c r="F2659" i="1"/>
  <c r="G2659" i="1"/>
  <c r="H2659" i="1"/>
  <c r="I2659" i="1"/>
  <c r="J2659" i="1"/>
  <c r="K2659" i="1"/>
  <c r="L2659" i="1"/>
  <c r="M2659" i="1"/>
  <c r="N2659" i="1"/>
  <c r="O2659" i="1"/>
  <c r="P2659" i="1"/>
  <c r="R2659" i="1"/>
  <c r="S2659" i="1"/>
  <c r="T2659" i="1"/>
  <c r="U2659" i="1"/>
  <c r="C2658" i="1"/>
  <c r="D2658" i="1"/>
  <c r="E2658" i="1"/>
  <c r="F2658" i="1"/>
  <c r="G2658" i="1"/>
  <c r="H2658" i="1"/>
  <c r="I2658" i="1"/>
  <c r="J2658" i="1"/>
  <c r="K2658" i="1"/>
  <c r="L2658" i="1"/>
  <c r="M2658" i="1"/>
  <c r="N2658" i="1"/>
  <c r="O2658" i="1"/>
  <c r="P2658" i="1"/>
  <c r="R2658" i="1"/>
  <c r="S2658" i="1"/>
  <c r="T2658" i="1"/>
  <c r="U2658" i="1"/>
  <c r="C2657" i="1"/>
  <c r="D2657" i="1"/>
  <c r="E2657" i="1"/>
  <c r="F2657" i="1"/>
  <c r="G2657" i="1"/>
  <c r="H2657" i="1"/>
  <c r="I2657" i="1"/>
  <c r="J2657" i="1"/>
  <c r="K2657" i="1"/>
  <c r="L2657" i="1"/>
  <c r="M2657" i="1"/>
  <c r="N2657" i="1"/>
  <c r="O2657" i="1"/>
  <c r="P2657" i="1"/>
  <c r="R2657" i="1"/>
  <c r="S2657" i="1"/>
  <c r="T2657" i="1"/>
  <c r="U2657" i="1"/>
  <c r="C2656" i="1"/>
  <c r="D2656" i="1"/>
  <c r="E2656" i="1"/>
  <c r="F2656" i="1"/>
  <c r="G2656" i="1"/>
  <c r="H2656" i="1"/>
  <c r="I2656" i="1"/>
  <c r="J2656" i="1"/>
  <c r="K2656" i="1"/>
  <c r="L2656" i="1"/>
  <c r="M2656" i="1"/>
  <c r="N2656" i="1"/>
  <c r="O2656" i="1"/>
  <c r="P2656" i="1"/>
  <c r="R2656" i="1"/>
  <c r="S2656" i="1"/>
  <c r="T2656" i="1"/>
  <c r="U2656" i="1"/>
  <c r="C2655" i="1"/>
  <c r="D2655" i="1"/>
  <c r="E2655" i="1"/>
  <c r="F2655" i="1"/>
  <c r="G2655" i="1"/>
  <c r="H2655" i="1"/>
  <c r="I2655" i="1"/>
  <c r="J2655" i="1"/>
  <c r="K2655" i="1"/>
  <c r="L2655" i="1"/>
  <c r="M2655" i="1"/>
  <c r="N2655" i="1"/>
  <c r="O2655" i="1"/>
  <c r="P2655" i="1"/>
  <c r="R2655" i="1"/>
  <c r="S2655" i="1"/>
  <c r="T2655" i="1"/>
  <c r="U2655" i="1"/>
  <c r="C2654" i="1"/>
  <c r="D2654" i="1"/>
  <c r="E2654" i="1"/>
  <c r="F2654" i="1"/>
  <c r="G2654" i="1"/>
  <c r="H2654" i="1"/>
  <c r="I2654" i="1"/>
  <c r="J2654" i="1"/>
  <c r="K2654" i="1"/>
  <c r="L2654" i="1"/>
  <c r="M2654" i="1"/>
  <c r="N2654" i="1"/>
  <c r="O2654" i="1"/>
  <c r="P2654" i="1"/>
  <c r="R2654" i="1"/>
  <c r="S2654" i="1"/>
  <c r="T2654" i="1"/>
  <c r="U2654" i="1"/>
  <c r="C2653" i="1"/>
  <c r="D2653" i="1"/>
  <c r="E2653" i="1"/>
  <c r="F2653" i="1"/>
  <c r="G2653" i="1"/>
  <c r="H2653" i="1"/>
  <c r="I2653" i="1"/>
  <c r="J2653" i="1"/>
  <c r="K2653" i="1"/>
  <c r="L2653" i="1"/>
  <c r="M2653" i="1"/>
  <c r="N2653" i="1"/>
  <c r="O2653" i="1"/>
  <c r="P2653" i="1"/>
  <c r="R2653" i="1"/>
  <c r="S2653" i="1"/>
  <c r="T2653" i="1"/>
  <c r="U2653" i="1"/>
  <c r="C2652" i="1"/>
  <c r="D2652" i="1"/>
  <c r="E2652" i="1"/>
  <c r="F2652" i="1"/>
  <c r="G2652" i="1"/>
  <c r="H2652" i="1"/>
  <c r="I2652" i="1"/>
  <c r="J2652" i="1"/>
  <c r="K2652" i="1"/>
  <c r="L2652" i="1"/>
  <c r="M2652" i="1"/>
  <c r="N2652" i="1"/>
  <c r="O2652" i="1"/>
  <c r="P2652" i="1"/>
  <c r="R2652" i="1"/>
  <c r="S2652" i="1"/>
  <c r="T2652" i="1"/>
  <c r="U2652" i="1"/>
  <c r="C2651" i="1"/>
  <c r="D2651" i="1"/>
  <c r="E2651" i="1"/>
  <c r="F2651" i="1"/>
  <c r="G2651" i="1"/>
  <c r="H2651" i="1"/>
  <c r="I2651" i="1"/>
  <c r="J2651" i="1"/>
  <c r="K2651" i="1"/>
  <c r="L2651" i="1"/>
  <c r="M2651" i="1"/>
  <c r="N2651" i="1"/>
  <c r="O2651" i="1"/>
  <c r="P2651" i="1"/>
  <c r="R2651" i="1"/>
  <c r="S2651" i="1"/>
  <c r="T2651" i="1"/>
  <c r="U2651" i="1"/>
  <c r="C2650" i="1"/>
  <c r="D2650" i="1"/>
  <c r="E2650" i="1"/>
  <c r="F2650" i="1"/>
  <c r="G2650" i="1"/>
  <c r="H2650" i="1"/>
  <c r="I2650" i="1"/>
  <c r="J2650" i="1"/>
  <c r="K2650" i="1"/>
  <c r="L2650" i="1"/>
  <c r="M2650" i="1"/>
  <c r="N2650" i="1"/>
  <c r="O2650" i="1"/>
  <c r="P2650" i="1"/>
  <c r="R2650" i="1"/>
  <c r="S2650" i="1"/>
  <c r="T2650" i="1"/>
  <c r="U2650" i="1"/>
  <c r="C2649" i="1"/>
  <c r="D2649" i="1"/>
  <c r="E2649" i="1"/>
  <c r="F2649" i="1"/>
  <c r="G2649" i="1"/>
  <c r="H2649" i="1"/>
  <c r="I2649" i="1"/>
  <c r="J2649" i="1"/>
  <c r="K2649" i="1"/>
  <c r="L2649" i="1"/>
  <c r="M2649" i="1"/>
  <c r="N2649" i="1"/>
  <c r="O2649" i="1"/>
  <c r="P2649" i="1"/>
  <c r="R2649" i="1"/>
  <c r="S2649" i="1"/>
  <c r="T2649" i="1"/>
  <c r="U2649" i="1"/>
  <c r="C2648" i="1"/>
  <c r="D2648" i="1"/>
  <c r="E2648" i="1"/>
  <c r="F2648" i="1"/>
  <c r="G2648" i="1"/>
  <c r="H2648" i="1"/>
  <c r="I2648" i="1"/>
  <c r="J2648" i="1"/>
  <c r="K2648" i="1"/>
  <c r="L2648" i="1"/>
  <c r="M2648" i="1"/>
  <c r="N2648" i="1"/>
  <c r="O2648" i="1"/>
  <c r="P2648" i="1"/>
  <c r="R2648" i="1"/>
  <c r="S2648" i="1"/>
  <c r="T2648" i="1"/>
  <c r="U2648" i="1"/>
  <c r="C2647" i="1"/>
  <c r="D2647" i="1"/>
  <c r="E2647" i="1"/>
  <c r="F2647" i="1"/>
  <c r="G2647" i="1"/>
  <c r="H2647" i="1"/>
  <c r="I2647" i="1"/>
  <c r="J2647" i="1"/>
  <c r="K2647" i="1"/>
  <c r="L2647" i="1"/>
  <c r="M2647" i="1"/>
  <c r="N2647" i="1"/>
  <c r="O2647" i="1"/>
  <c r="P2647" i="1"/>
  <c r="R2647" i="1"/>
  <c r="S2647" i="1"/>
  <c r="T2647" i="1"/>
  <c r="U2647" i="1"/>
  <c r="C2646" i="1"/>
  <c r="D2646" i="1"/>
  <c r="E2646" i="1"/>
  <c r="F2646" i="1"/>
  <c r="G2646" i="1"/>
  <c r="H2646" i="1"/>
  <c r="I2646" i="1"/>
  <c r="J2646" i="1"/>
  <c r="K2646" i="1"/>
  <c r="L2646" i="1"/>
  <c r="M2646" i="1"/>
  <c r="N2646" i="1"/>
  <c r="O2646" i="1"/>
  <c r="P2646" i="1"/>
  <c r="R2646" i="1"/>
  <c r="S2646" i="1"/>
  <c r="T2646" i="1"/>
  <c r="U2646" i="1"/>
  <c r="C2645" i="1"/>
  <c r="D2645" i="1"/>
  <c r="E2645" i="1"/>
  <c r="F2645" i="1"/>
  <c r="G2645" i="1"/>
  <c r="H2645" i="1"/>
  <c r="I2645" i="1"/>
  <c r="J2645" i="1"/>
  <c r="K2645" i="1"/>
  <c r="L2645" i="1"/>
  <c r="M2645" i="1"/>
  <c r="N2645" i="1"/>
  <c r="O2645" i="1"/>
  <c r="P2645" i="1"/>
  <c r="R2645" i="1"/>
  <c r="S2645" i="1"/>
  <c r="T2645" i="1"/>
  <c r="U2645" i="1"/>
  <c r="C2644" i="1"/>
  <c r="D2644" i="1"/>
  <c r="E2644" i="1"/>
  <c r="F2644" i="1"/>
  <c r="G2644" i="1"/>
  <c r="H2644" i="1"/>
  <c r="I2644" i="1"/>
  <c r="J2644" i="1"/>
  <c r="K2644" i="1"/>
  <c r="L2644" i="1"/>
  <c r="M2644" i="1"/>
  <c r="N2644" i="1"/>
  <c r="O2644" i="1"/>
  <c r="P2644" i="1"/>
  <c r="R2644" i="1"/>
  <c r="S2644" i="1"/>
  <c r="T2644" i="1"/>
  <c r="U2644" i="1"/>
  <c r="C2643" i="1"/>
  <c r="D2643" i="1"/>
  <c r="E2643" i="1"/>
  <c r="F2643" i="1"/>
  <c r="G2643" i="1"/>
  <c r="H2643" i="1"/>
  <c r="I2643" i="1"/>
  <c r="J2643" i="1"/>
  <c r="K2643" i="1"/>
  <c r="L2643" i="1"/>
  <c r="M2643" i="1"/>
  <c r="N2643" i="1"/>
  <c r="O2643" i="1"/>
  <c r="P2643" i="1"/>
  <c r="R2643" i="1"/>
  <c r="S2643" i="1"/>
  <c r="T2643" i="1"/>
  <c r="U2643" i="1"/>
  <c r="C2642" i="1"/>
  <c r="D2642" i="1"/>
  <c r="E2642" i="1"/>
  <c r="F2642" i="1"/>
  <c r="G2642" i="1"/>
  <c r="H2642" i="1"/>
  <c r="I2642" i="1"/>
  <c r="J2642" i="1"/>
  <c r="K2642" i="1"/>
  <c r="L2642" i="1"/>
  <c r="M2642" i="1"/>
  <c r="N2642" i="1"/>
  <c r="O2642" i="1"/>
  <c r="P2642" i="1"/>
  <c r="R2642" i="1"/>
  <c r="S2642" i="1"/>
  <c r="T2642" i="1"/>
  <c r="U2642" i="1"/>
  <c r="C2641" i="1"/>
  <c r="D2641" i="1"/>
  <c r="E2641" i="1"/>
  <c r="F2641" i="1"/>
  <c r="G2641" i="1"/>
  <c r="H2641" i="1"/>
  <c r="I2641" i="1"/>
  <c r="J2641" i="1"/>
  <c r="K2641" i="1"/>
  <c r="L2641" i="1"/>
  <c r="M2641" i="1"/>
  <c r="N2641" i="1"/>
  <c r="O2641" i="1"/>
  <c r="P2641" i="1"/>
  <c r="R2641" i="1"/>
  <c r="S2641" i="1"/>
  <c r="T2641" i="1"/>
  <c r="U2641" i="1"/>
  <c r="B2640" i="1"/>
  <c r="C2640" i="1"/>
  <c r="D2640" i="1"/>
  <c r="E2640" i="1"/>
  <c r="F2640" i="1"/>
  <c r="G2640" i="1"/>
  <c r="H2640" i="1"/>
  <c r="I2640" i="1"/>
  <c r="J2640" i="1"/>
  <c r="K2640" i="1"/>
  <c r="L2640" i="1"/>
  <c r="M2640" i="1"/>
  <c r="N2640" i="1"/>
  <c r="O2640" i="1"/>
  <c r="P2640" i="1"/>
  <c r="R2640" i="1"/>
  <c r="S2640" i="1"/>
  <c r="T2640" i="1"/>
  <c r="U2640" i="1"/>
  <c r="C2639" i="1"/>
  <c r="D2639" i="1"/>
  <c r="E2639" i="1"/>
  <c r="F2639" i="1"/>
  <c r="G2639" i="1"/>
  <c r="H2639" i="1"/>
  <c r="I2639" i="1"/>
  <c r="J2639" i="1"/>
  <c r="K2639" i="1"/>
  <c r="L2639" i="1"/>
  <c r="M2639" i="1"/>
  <c r="N2639" i="1"/>
  <c r="O2639" i="1"/>
  <c r="P2639" i="1"/>
  <c r="R2639" i="1"/>
  <c r="S2639" i="1"/>
  <c r="T2639" i="1"/>
  <c r="U2639" i="1"/>
  <c r="C2638" i="1"/>
  <c r="D2638" i="1"/>
  <c r="E2638" i="1"/>
  <c r="F2638" i="1"/>
  <c r="G2638" i="1"/>
  <c r="H2638" i="1"/>
  <c r="I2638" i="1"/>
  <c r="J2638" i="1"/>
  <c r="K2638" i="1"/>
  <c r="L2638" i="1"/>
  <c r="M2638" i="1"/>
  <c r="N2638" i="1"/>
  <c r="O2638" i="1"/>
  <c r="P2638" i="1"/>
  <c r="R2638" i="1"/>
  <c r="S2638" i="1"/>
  <c r="T2638" i="1"/>
  <c r="U2638" i="1"/>
  <c r="C2637" i="1"/>
  <c r="D2637" i="1"/>
  <c r="E2637" i="1"/>
  <c r="F2637" i="1"/>
  <c r="G2637" i="1"/>
  <c r="H2637" i="1"/>
  <c r="I2637" i="1"/>
  <c r="J2637" i="1"/>
  <c r="K2637" i="1"/>
  <c r="L2637" i="1"/>
  <c r="M2637" i="1"/>
  <c r="N2637" i="1"/>
  <c r="O2637" i="1"/>
  <c r="P2637" i="1"/>
  <c r="R2637" i="1"/>
  <c r="S2637" i="1"/>
  <c r="T2637" i="1"/>
  <c r="U2637" i="1"/>
  <c r="C2636" i="1"/>
  <c r="D2636" i="1"/>
  <c r="E2636" i="1"/>
  <c r="F2636" i="1"/>
  <c r="G2636" i="1"/>
  <c r="H2636" i="1"/>
  <c r="I2636" i="1"/>
  <c r="J2636" i="1"/>
  <c r="K2636" i="1"/>
  <c r="L2636" i="1"/>
  <c r="M2636" i="1"/>
  <c r="N2636" i="1"/>
  <c r="O2636" i="1"/>
  <c r="P2636" i="1"/>
  <c r="R2636" i="1"/>
  <c r="S2636" i="1"/>
  <c r="T2636" i="1"/>
  <c r="U2636" i="1"/>
  <c r="C2635" i="1"/>
  <c r="D2635" i="1"/>
  <c r="E2635" i="1"/>
  <c r="F2635" i="1"/>
  <c r="G2635" i="1"/>
  <c r="H2635" i="1"/>
  <c r="I2635" i="1"/>
  <c r="J2635" i="1"/>
  <c r="K2635" i="1"/>
  <c r="L2635" i="1"/>
  <c r="M2635" i="1"/>
  <c r="N2635" i="1"/>
  <c r="O2635" i="1"/>
  <c r="P2635" i="1"/>
  <c r="R2635" i="1"/>
  <c r="S2635" i="1"/>
  <c r="T2635" i="1"/>
  <c r="U2635" i="1"/>
  <c r="C2634" i="1"/>
  <c r="D2634" i="1"/>
  <c r="E2634" i="1"/>
  <c r="F2634" i="1"/>
  <c r="G2634" i="1"/>
  <c r="H2634" i="1"/>
  <c r="I2634" i="1"/>
  <c r="J2634" i="1"/>
  <c r="K2634" i="1"/>
  <c r="L2634" i="1"/>
  <c r="M2634" i="1"/>
  <c r="N2634" i="1"/>
  <c r="O2634" i="1"/>
  <c r="P2634" i="1"/>
  <c r="R2634" i="1"/>
  <c r="S2634" i="1"/>
  <c r="T2634" i="1"/>
  <c r="U2634" i="1"/>
  <c r="C2633" i="1"/>
  <c r="D2633" i="1"/>
  <c r="E2633" i="1"/>
  <c r="F2633" i="1"/>
  <c r="G2633" i="1"/>
  <c r="H2633" i="1"/>
  <c r="I2633" i="1"/>
  <c r="J2633" i="1"/>
  <c r="K2633" i="1"/>
  <c r="L2633" i="1"/>
  <c r="M2633" i="1"/>
  <c r="N2633" i="1"/>
  <c r="O2633" i="1"/>
  <c r="P2633" i="1"/>
  <c r="R2633" i="1"/>
  <c r="S2633" i="1"/>
  <c r="T2633" i="1"/>
  <c r="U2633" i="1"/>
  <c r="C2632" i="1"/>
  <c r="D2632" i="1"/>
  <c r="E2632" i="1"/>
  <c r="F2632" i="1"/>
  <c r="G2632" i="1"/>
  <c r="H2632" i="1"/>
  <c r="I2632" i="1"/>
  <c r="J2632" i="1"/>
  <c r="K2632" i="1"/>
  <c r="L2632" i="1"/>
  <c r="M2632" i="1"/>
  <c r="N2632" i="1"/>
  <c r="O2632" i="1"/>
  <c r="P2632" i="1"/>
  <c r="R2632" i="1"/>
  <c r="S2632" i="1"/>
  <c r="T2632" i="1"/>
  <c r="U2632" i="1"/>
  <c r="B2631" i="1"/>
  <c r="C2631" i="1"/>
  <c r="D2631" i="1"/>
  <c r="E2631" i="1"/>
  <c r="F2631" i="1"/>
  <c r="G2631" i="1"/>
  <c r="H2631" i="1"/>
  <c r="I2631" i="1"/>
  <c r="J2631" i="1"/>
  <c r="K2631" i="1"/>
  <c r="L2631" i="1"/>
  <c r="M2631" i="1"/>
  <c r="N2631" i="1"/>
  <c r="O2631" i="1"/>
  <c r="P2631" i="1"/>
  <c r="R2631" i="1"/>
  <c r="S2631" i="1"/>
  <c r="T2631" i="1"/>
  <c r="U2631" i="1"/>
  <c r="C2630" i="1"/>
  <c r="D2630" i="1"/>
  <c r="E2630" i="1"/>
  <c r="F2630" i="1"/>
  <c r="G2630" i="1"/>
  <c r="H2630" i="1"/>
  <c r="I2630" i="1"/>
  <c r="J2630" i="1"/>
  <c r="K2630" i="1"/>
  <c r="L2630" i="1"/>
  <c r="M2630" i="1"/>
  <c r="N2630" i="1"/>
  <c r="O2630" i="1"/>
  <c r="P2630" i="1"/>
  <c r="R2630" i="1"/>
  <c r="S2630" i="1"/>
  <c r="T2630" i="1"/>
  <c r="U2630" i="1"/>
  <c r="C2629" i="1"/>
  <c r="D2629" i="1"/>
  <c r="E2629" i="1"/>
  <c r="F2629" i="1"/>
  <c r="G2629" i="1"/>
  <c r="H2629" i="1"/>
  <c r="I2629" i="1"/>
  <c r="J2629" i="1"/>
  <c r="K2629" i="1"/>
  <c r="L2629" i="1"/>
  <c r="M2629" i="1"/>
  <c r="N2629" i="1"/>
  <c r="O2629" i="1"/>
  <c r="P2629" i="1"/>
  <c r="R2629" i="1"/>
  <c r="S2629" i="1"/>
  <c r="T2629" i="1"/>
  <c r="U2629" i="1"/>
  <c r="C2628" i="1"/>
  <c r="D2628" i="1"/>
  <c r="E2628" i="1"/>
  <c r="F2628" i="1"/>
  <c r="G2628" i="1"/>
  <c r="H2628" i="1"/>
  <c r="I2628" i="1"/>
  <c r="J2628" i="1"/>
  <c r="K2628" i="1"/>
  <c r="L2628" i="1"/>
  <c r="M2628" i="1"/>
  <c r="N2628" i="1"/>
  <c r="O2628" i="1"/>
  <c r="P2628" i="1"/>
  <c r="R2628" i="1"/>
  <c r="S2628" i="1"/>
  <c r="T2628" i="1"/>
  <c r="U2628" i="1"/>
  <c r="C2627" i="1"/>
  <c r="D2627" i="1"/>
  <c r="E2627" i="1"/>
  <c r="F2627" i="1"/>
  <c r="G2627" i="1"/>
  <c r="H2627" i="1"/>
  <c r="I2627" i="1"/>
  <c r="J2627" i="1"/>
  <c r="K2627" i="1"/>
  <c r="L2627" i="1"/>
  <c r="M2627" i="1"/>
  <c r="N2627" i="1"/>
  <c r="O2627" i="1"/>
  <c r="P2627" i="1"/>
  <c r="R2627" i="1"/>
  <c r="S2627" i="1"/>
  <c r="T2627" i="1"/>
  <c r="U2627" i="1"/>
  <c r="B2796" i="1"/>
  <c r="C2796" i="1"/>
  <c r="D2796" i="1"/>
  <c r="E2796" i="1"/>
  <c r="F2796" i="1"/>
  <c r="G2796" i="1"/>
  <c r="H2796" i="1"/>
  <c r="I2796" i="1"/>
  <c r="J2796" i="1"/>
  <c r="K2796" i="1"/>
  <c r="L2796" i="1"/>
  <c r="M2796" i="1"/>
  <c r="N2796" i="1"/>
  <c r="O2796" i="1"/>
  <c r="P2796" i="1"/>
  <c r="R2796" i="1"/>
  <c r="S2796" i="1"/>
  <c r="T2796" i="1"/>
  <c r="U2796" i="1"/>
  <c r="B2795" i="1"/>
  <c r="C2795" i="1"/>
  <c r="D2795" i="1"/>
  <c r="E2795" i="1"/>
  <c r="F2795" i="1"/>
  <c r="G2795" i="1"/>
  <c r="H2795" i="1"/>
  <c r="I2795" i="1"/>
  <c r="J2795" i="1"/>
  <c r="K2795" i="1"/>
  <c r="L2795" i="1"/>
  <c r="M2795" i="1"/>
  <c r="N2795" i="1"/>
  <c r="O2795" i="1"/>
  <c r="P2795" i="1"/>
  <c r="R2795" i="1"/>
  <c r="S2795" i="1"/>
  <c r="T2795" i="1"/>
  <c r="U2795" i="1"/>
  <c r="B2794" i="1"/>
  <c r="C2794" i="1"/>
  <c r="D2794" i="1"/>
  <c r="E2794" i="1"/>
  <c r="F2794" i="1"/>
  <c r="G2794" i="1"/>
  <c r="H2794" i="1"/>
  <c r="I2794" i="1"/>
  <c r="J2794" i="1"/>
  <c r="K2794" i="1"/>
  <c r="L2794" i="1"/>
  <c r="M2794" i="1"/>
  <c r="N2794" i="1"/>
  <c r="O2794" i="1"/>
  <c r="P2794" i="1"/>
  <c r="R2794" i="1"/>
  <c r="S2794" i="1"/>
  <c r="T2794" i="1"/>
  <c r="U2794" i="1"/>
  <c r="B2793" i="1"/>
  <c r="C2793" i="1"/>
  <c r="D2793" i="1"/>
  <c r="E2793" i="1"/>
  <c r="F2793" i="1"/>
  <c r="G2793" i="1"/>
  <c r="H2793" i="1"/>
  <c r="I2793" i="1"/>
  <c r="J2793" i="1"/>
  <c r="K2793" i="1"/>
  <c r="L2793" i="1"/>
  <c r="M2793" i="1"/>
  <c r="N2793" i="1"/>
  <c r="O2793" i="1"/>
  <c r="P2793" i="1"/>
  <c r="R2793" i="1"/>
  <c r="S2793" i="1"/>
  <c r="T2793" i="1"/>
  <c r="U2793" i="1"/>
  <c r="B2792" i="1"/>
  <c r="C2792" i="1"/>
  <c r="D2792" i="1"/>
  <c r="E2792" i="1"/>
  <c r="F2792" i="1"/>
  <c r="G2792" i="1"/>
  <c r="H2792" i="1"/>
  <c r="I2792" i="1"/>
  <c r="J2792" i="1"/>
  <c r="K2792" i="1"/>
  <c r="L2792" i="1"/>
  <c r="M2792" i="1"/>
  <c r="N2792" i="1"/>
  <c r="O2792" i="1"/>
  <c r="P2792" i="1"/>
  <c r="R2792" i="1"/>
  <c r="S2792" i="1"/>
  <c r="T2792" i="1"/>
  <c r="U2792" i="1"/>
  <c r="B2791" i="1"/>
  <c r="C2791" i="1"/>
  <c r="D2791" i="1"/>
  <c r="E2791" i="1"/>
  <c r="F2791" i="1"/>
  <c r="G2791" i="1"/>
  <c r="H2791" i="1"/>
  <c r="I2791" i="1"/>
  <c r="J2791" i="1"/>
  <c r="K2791" i="1"/>
  <c r="L2791" i="1"/>
  <c r="M2791" i="1"/>
  <c r="N2791" i="1"/>
  <c r="O2791" i="1"/>
  <c r="P2791" i="1"/>
  <c r="R2791" i="1"/>
  <c r="S2791" i="1"/>
  <c r="T2791" i="1"/>
  <c r="U2791" i="1"/>
  <c r="B2790" i="1"/>
  <c r="C2790" i="1"/>
  <c r="D2790" i="1"/>
  <c r="E2790" i="1"/>
  <c r="F2790" i="1"/>
  <c r="G2790" i="1"/>
  <c r="H2790" i="1"/>
  <c r="I2790" i="1"/>
  <c r="J2790" i="1"/>
  <c r="K2790" i="1"/>
  <c r="L2790" i="1"/>
  <c r="M2790" i="1"/>
  <c r="N2790" i="1"/>
  <c r="O2790" i="1"/>
  <c r="P2790" i="1"/>
  <c r="R2790" i="1"/>
  <c r="S2790" i="1"/>
  <c r="T2790" i="1"/>
  <c r="U2790" i="1"/>
  <c r="B2789" i="1"/>
  <c r="C2789" i="1"/>
  <c r="D2789" i="1"/>
  <c r="E2789" i="1"/>
  <c r="F2789" i="1"/>
  <c r="G2789" i="1"/>
  <c r="H2789" i="1"/>
  <c r="I2789" i="1"/>
  <c r="J2789" i="1"/>
  <c r="K2789" i="1"/>
  <c r="L2789" i="1"/>
  <c r="M2789" i="1"/>
  <c r="N2789" i="1"/>
  <c r="O2789" i="1"/>
  <c r="P2789" i="1"/>
  <c r="R2789" i="1"/>
  <c r="S2789" i="1"/>
  <c r="T2789" i="1"/>
  <c r="U2789" i="1"/>
  <c r="B2788" i="1"/>
  <c r="C2788" i="1"/>
  <c r="D2788" i="1"/>
  <c r="E2788" i="1"/>
  <c r="F2788" i="1"/>
  <c r="G2788" i="1"/>
  <c r="H2788" i="1"/>
  <c r="I2788" i="1"/>
  <c r="J2788" i="1"/>
  <c r="K2788" i="1"/>
  <c r="L2788" i="1"/>
  <c r="M2788" i="1"/>
  <c r="N2788" i="1"/>
  <c r="O2788" i="1"/>
  <c r="P2788" i="1"/>
  <c r="R2788" i="1"/>
  <c r="S2788" i="1"/>
  <c r="T2788" i="1"/>
  <c r="U2788" i="1"/>
  <c r="B2787" i="1"/>
  <c r="C2787" i="1"/>
  <c r="D2787" i="1"/>
  <c r="E2787" i="1"/>
  <c r="F2787" i="1"/>
  <c r="G2787" i="1"/>
  <c r="H2787" i="1"/>
  <c r="I2787" i="1"/>
  <c r="J2787" i="1"/>
  <c r="K2787" i="1"/>
  <c r="L2787" i="1"/>
  <c r="M2787" i="1"/>
  <c r="N2787" i="1"/>
  <c r="O2787" i="1"/>
  <c r="P2787" i="1"/>
  <c r="R2787" i="1"/>
  <c r="S2787" i="1"/>
  <c r="T2787" i="1"/>
  <c r="U2787" i="1"/>
  <c r="B2786" i="1"/>
  <c r="C2786" i="1"/>
  <c r="D2786" i="1"/>
  <c r="E2786" i="1"/>
  <c r="F2786" i="1"/>
  <c r="G2786" i="1"/>
  <c r="H2786" i="1"/>
  <c r="I2786" i="1"/>
  <c r="J2786" i="1"/>
  <c r="K2786" i="1"/>
  <c r="L2786" i="1"/>
  <c r="M2786" i="1"/>
  <c r="N2786" i="1"/>
  <c r="O2786" i="1"/>
  <c r="P2786" i="1"/>
  <c r="R2786" i="1"/>
  <c r="S2786" i="1"/>
  <c r="T2786" i="1"/>
  <c r="U2786" i="1"/>
  <c r="B2785" i="1"/>
  <c r="C2785" i="1"/>
  <c r="D2785" i="1"/>
  <c r="E2785" i="1"/>
  <c r="F2785" i="1"/>
  <c r="G2785" i="1"/>
  <c r="H2785" i="1"/>
  <c r="I2785" i="1"/>
  <c r="J2785" i="1"/>
  <c r="K2785" i="1"/>
  <c r="L2785" i="1"/>
  <c r="M2785" i="1"/>
  <c r="N2785" i="1"/>
  <c r="O2785" i="1"/>
  <c r="P2785" i="1"/>
  <c r="R2785" i="1"/>
  <c r="S2785" i="1"/>
  <c r="T2785" i="1"/>
  <c r="U2785" i="1"/>
  <c r="B2784" i="1"/>
  <c r="C2784" i="1"/>
  <c r="D2784" i="1"/>
  <c r="E2784" i="1"/>
  <c r="F2784" i="1"/>
  <c r="G2784" i="1"/>
  <c r="H2784" i="1"/>
  <c r="I2784" i="1"/>
  <c r="J2784" i="1"/>
  <c r="K2784" i="1"/>
  <c r="L2784" i="1"/>
  <c r="M2784" i="1"/>
  <c r="N2784" i="1"/>
  <c r="O2784" i="1"/>
  <c r="P2784" i="1"/>
  <c r="R2784" i="1"/>
  <c r="S2784" i="1"/>
  <c r="T2784" i="1"/>
  <c r="U2784" i="1"/>
  <c r="B2783" i="1"/>
  <c r="C2783" i="1"/>
  <c r="D2783" i="1"/>
  <c r="E2783" i="1"/>
  <c r="F2783" i="1"/>
  <c r="G2783" i="1"/>
  <c r="H2783" i="1"/>
  <c r="I2783" i="1"/>
  <c r="J2783" i="1"/>
  <c r="K2783" i="1"/>
  <c r="L2783" i="1"/>
  <c r="M2783" i="1"/>
  <c r="N2783" i="1"/>
  <c r="O2783" i="1"/>
  <c r="P2783" i="1"/>
  <c r="R2783" i="1"/>
  <c r="S2783" i="1"/>
  <c r="T2783" i="1"/>
  <c r="U2783" i="1"/>
  <c r="B2782" i="1"/>
  <c r="C2782" i="1"/>
  <c r="D2782" i="1"/>
  <c r="E2782" i="1"/>
  <c r="F2782" i="1"/>
  <c r="G2782" i="1"/>
  <c r="H2782" i="1"/>
  <c r="I2782" i="1"/>
  <c r="J2782" i="1"/>
  <c r="K2782" i="1"/>
  <c r="L2782" i="1"/>
  <c r="M2782" i="1"/>
  <c r="N2782" i="1"/>
  <c r="O2782" i="1"/>
  <c r="P2782" i="1"/>
  <c r="R2782" i="1"/>
  <c r="S2782" i="1"/>
  <c r="T2782" i="1"/>
  <c r="U2782" i="1"/>
  <c r="B2781" i="1"/>
  <c r="C2781" i="1"/>
  <c r="D2781" i="1"/>
  <c r="E2781" i="1"/>
  <c r="F2781" i="1"/>
  <c r="G2781" i="1"/>
  <c r="H2781" i="1"/>
  <c r="I2781" i="1"/>
  <c r="J2781" i="1"/>
  <c r="K2781" i="1"/>
  <c r="L2781" i="1"/>
  <c r="M2781" i="1"/>
  <c r="N2781" i="1"/>
  <c r="O2781" i="1"/>
  <c r="P2781" i="1"/>
  <c r="R2781" i="1"/>
  <c r="S2781" i="1"/>
  <c r="T2781" i="1"/>
  <c r="U2781" i="1"/>
  <c r="B2780" i="1"/>
  <c r="C2780" i="1"/>
  <c r="D2780" i="1"/>
  <c r="E2780" i="1"/>
  <c r="F2780" i="1"/>
  <c r="G2780" i="1"/>
  <c r="H2780" i="1"/>
  <c r="I2780" i="1"/>
  <c r="J2780" i="1"/>
  <c r="K2780" i="1"/>
  <c r="L2780" i="1"/>
  <c r="M2780" i="1"/>
  <c r="N2780" i="1"/>
  <c r="O2780" i="1"/>
  <c r="P2780" i="1"/>
  <c r="R2780" i="1"/>
  <c r="S2780" i="1"/>
  <c r="T2780" i="1"/>
  <c r="U2780" i="1"/>
  <c r="B2779" i="1"/>
  <c r="C2779" i="1"/>
  <c r="D2779" i="1"/>
  <c r="E2779" i="1"/>
  <c r="F2779" i="1"/>
  <c r="G2779" i="1"/>
  <c r="H2779" i="1"/>
  <c r="I2779" i="1"/>
  <c r="J2779" i="1"/>
  <c r="K2779" i="1"/>
  <c r="L2779" i="1"/>
  <c r="M2779" i="1"/>
  <c r="N2779" i="1"/>
  <c r="O2779" i="1"/>
  <c r="P2779" i="1"/>
  <c r="R2779" i="1"/>
  <c r="S2779" i="1"/>
  <c r="T2779" i="1"/>
  <c r="U2779" i="1"/>
  <c r="B2778" i="1"/>
  <c r="C2778" i="1"/>
  <c r="D2778" i="1"/>
  <c r="E2778" i="1"/>
  <c r="F2778" i="1"/>
  <c r="G2778" i="1"/>
  <c r="H2778" i="1"/>
  <c r="I2778" i="1"/>
  <c r="J2778" i="1"/>
  <c r="K2778" i="1"/>
  <c r="L2778" i="1"/>
  <c r="M2778" i="1"/>
  <c r="N2778" i="1"/>
  <c r="O2778" i="1"/>
  <c r="P2778" i="1"/>
  <c r="R2778" i="1"/>
  <c r="S2778" i="1"/>
  <c r="T2778" i="1"/>
  <c r="U2778" i="1"/>
  <c r="B2777" i="1"/>
  <c r="C2777" i="1"/>
  <c r="D2777" i="1"/>
  <c r="E2777" i="1"/>
  <c r="F2777" i="1"/>
  <c r="G2777" i="1"/>
  <c r="H2777" i="1"/>
  <c r="I2777" i="1"/>
  <c r="J2777" i="1"/>
  <c r="K2777" i="1"/>
  <c r="L2777" i="1"/>
  <c r="M2777" i="1"/>
  <c r="N2777" i="1"/>
  <c r="O2777" i="1"/>
  <c r="P2777" i="1"/>
  <c r="R2777" i="1"/>
  <c r="S2777" i="1"/>
  <c r="T2777" i="1"/>
  <c r="U2777" i="1"/>
  <c r="B2776" i="1"/>
  <c r="C2776" i="1"/>
  <c r="D2776" i="1"/>
  <c r="E2776" i="1"/>
  <c r="F2776" i="1"/>
  <c r="G2776" i="1"/>
  <c r="H2776" i="1"/>
  <c r="I2776" i="1"/>
  <c r="J2776" i="1"/>
  <c r="K2776" i="1"/>
  <c r="L2776" i="1"/>
  <c r="M2776" i="1"/>
  <c r="N2776" i="1"/>
  <c r="O2776" i="1"/>
  <c r="P2776" i="1"/>
  <c r="R2776" i="1"/>
  <c r="S2776" i="1"/>
  <c r="T2776" i="1"/>
  <c r="U2776" i="1"/>
  <c r="B2775" i="1"/>
  <c r="C2775" i="1"/>
  <c r="D2775" i="1"/>
  <c r="E2775" i="1"/>
  <c r="F2775" i="1"/>
  <c r="G2775" i="1"/>
  <c r="H2775" i="1"/>
  <c r="I2775" i="1"/>
  <c r="J2775" i="1"/>
  <c r="K2775" i="1"/>
  <c r="L2775" i="1"/>
  <c r="M2775" i="1"/>
  <c r="N2775" i="1"/>
  <c r="O2775" i="1"/>
  <c r="P2775" i="1"/>
  <c r="R2775" i="1"/>
  <c r="S2775" i="1"/>
  <c r="T2775" i="1"/>
  <c r="U2775" i="1"/>
  <c r="B2774" i="1"/>
  <c r="C2774" i="1"/>
  <c r="D2774" i="1"/>
  <c r="E2774" i="1"/>
  <c r="F2774" i="1"/>
  <c r="G2774" i="1"/>
  <c r="H2774" i="1"/>
  <c r="I2774" i="1"/>
  <c r="J2774" i="1"/>
  <c r="K2774" i="1"/>
  <c r="L2774" i="1"/>
  <c r="M2774" i="1"/>
  <c r="N2774" i="1"/>
  <c r="O2774" i="1"/>
  <c r="P2774" i="1"/>
  <c r="R2774" i="1"/>
  <c r="S2774" i="1"/>
  <c r="T2774" i="1"/>
  <c r="U2774" i="1"/>
  <c r="B2773" i="1"/>
  <c r="C2773" i="1"/>
  <c r="D2773" i="1"/>
  <c r="E2773" i="1"/>
  <c r="F2773" i="1"/>
  <c r="G2773" i="1"/>
  <c r="H2773" i="1"/>
  <c r="I2773" i="1"/>
  <c r="J2773" i="1"/>
  <c r="K2773" i="1"/>
  <c r="L2773" i="1"/>
  <c r="M2773" i="1"/>
  <c r="N2773" i="1"/>
  <c r="O2773" i="1"/>
  <c r="P2773" i="1"/>
  <c r="R2773" i="1"/>
  <c r="S2773" i="1"/>
  <c r="T2773" i="1"/>
  <c r="U2773" i="1"/>
  <c r="B2772" i="1"/>
  <c r="C2772" i="1"/>
  <c r="D2772" i="1"/>
  <c r="E2772" i="1"/>
  <c r="F2772" i="1"/>
  <c r="G2772" i="1"/>
  <c r="H2772" i="1"/>
  <c r="I2772" i="1"/>
  <c r="J2772" i="1"/>
  <c r="K2772" i="1"/>
  <c r="L2772" i="1"/>
  <c r="M2772" i="1"/>
  <c r="N2772" i="1"/>
  <c r="O2772" i="1"/>
  <c r="P2772" i="1"/>
  <c r="R2772" i="1"/>
  <c r="S2772" i="1"/>
  <c r="T2772" i="1"/>
  <c r="U2772" i="1"/>
  <c r="B2771" i="1"/>
  <c r="C2771" i="1"/>
  <c r="D2771" i="1"/>
  <c r="E2771" i="1"/>
  <c r="F2771" i="1"/>
  <c r="G2771" i="1"/>
  <c r="H2771" i="1"/>
  <c r="I2771" i="1"/>
  <c r="J2771" i="1"/>
  <c r="K2771" i="1"/>
  <c r="L2771" i="1"/>
  <c r="M2771" i="1"/>
  <c r="N2771" i="1"/>
  <c r="O2771" i="1"/>
  <c r="P2771" i="1"/>
  <c r="R2771" i="1"/>
  <c r="S2771" i="1"/>
  <c r="T2771" i="1"/>
  <c r="U2771" i="1"/>
  <c r="B2770" i="1"/>
  <c r="C2770" i="1"/>
  <c r="D2770" i="1"/>
  <c r="E2770" i="1"/>
  <c r="F2770" i="1"/>
  <c r="G2770" i="1"/>
  <c r="H2770" i="1"/>
  <c r="I2770" i="1"/>
  <c r="J2770" i="1"/>
  <c r="K2770" i="1"/>
  <c r="L2770" i="1"/>
  <c r="M2770" i="1"/>
  <c r="N2770" i="1"/>
  <c r="O2770" i="1"/>
  <c r="P2770" i="1"/>
  <c r="R2770" i="1"/>
  <c r="S2770" i="1"/>
  <c r="T2770" i="1"/>
  <c r="U2770" i="1"/>
  <c r="B2769" i="1"/>
  <c r="C2769" i="1"/>
  <c r="D2769" i="1"/>
  <c r="E2769" i="1"/>
  <c r="F2769" i="1"/>
  <c r="G2769" i="1"/>
  <c r="H2769" i="1"/>
  <c r="I2769" i="1"/>
  <c r="J2769" i="1"/>
  <c r="K2769" i="1"/>
  <c r="L2769" i="1"/>
  <c r="M2769" i="1"/>
  <c r="N2769" i="1"/>
  <c r="O2769" i="1"/>
  <c r="P2769" i="1"/>
  <c r="R2769" i="1"/>
  <c r="S2769" i="1"/>
  <c r="T2769" i="1"/>
  <c r="U2769" i="1"/>
  <c r="B2768" i="1"/>
  <c r="C2768" i="1"/>
  <c r="D2768" i="1"/>
  <c r="E2768" i="1"/>
  <c r="F2768" i="1"/>
  <c r="G2768" i="1"/>
  <c r="H2768" i="1"/>
  <c r="I2768" i="1"/>
  <c r="J2768" i="1"/>
  <c r="K2768" i="1"/>
  <c r="L2768" i="1"/>
  <c r="M2768" i="1"/>
  <c r="N2768" i="1"/>
  <c r="O2768" i="1"/>
  <c r="P2768" i="1"/>
  <c r="R2768" i="1"/>
  <c r="S2768" i="1"/>
  <c r="T2768" i="1"/>
  <c r="U2768" i="1"/>
  <c r="B2767" i="1"/>
  <c r="C2767" i="1"/>
  <c r="D2767" i="1"/>
  <c r="E2767" i="1"/>
  <c r="F2767" i="1"/>
  <c r="G2767" i="1"/>
  <c r="H2767" i="1"/>
  <c r="I2767" i="1"/>
  <c r="J2767" i="1"/>
  <c r="K2767" i="1"/>
  <c r="L2767" i="1"/>
  <c r="M2767" i="1"/>
  <c r="N2767" i="1"/>
  <c r="O2767" i="1"/>
  <c r="P2767" i="1"/>
  <c r="R2767" i="1"/>
  <c r="S2767" i="1"/>
  <c r="T2767" i="1"/>
  <c r="U2767" i="1"/>
  <c r="B2766" i="1"/>
  <c r="C2766" i="1"/>
  <c r="D2766" i="1"/>
  <c r="E2766" i="1"/>
  <c r="F2766" i="1"/>
  <c r="G2766" i="1"/>
  <c r="H2766" i="1"/>
  <c r="I2766" i="1"/>
  <c r="J2766" i="1"/>
  <c r="K2766" i="1"/>
  <c r="L2766" i="1"/>
  <c r="M2766" i="1"/>
  <c r="N2766" i="1"/>
  <c r="O2766" i="1"/>
  <c r="P2766" i="1"/>
  <c r="R2766" i="1"/>
  <c r="S2766" i="1"/>
  <c r="T2766" i="1"/>
  <c r="U2766" i="1"/>
  <c r="B2765" i="1"/>
  <c r="C2765" i="1"/>
  <c r="D2765" i="1"/>
  <c r="E2765" i="1"/>
  <c r="F2765" i="1"/>
  <c r="G2765" i="1"/>
  <c r="H2765" i="1"/>
  <c r="I2765" i="1"/>
  <c r="J2765" i="1"/>
  <c r="K2765" i="1"/>
  <c r="L2765" i="1"/>
  <c r="M2765" i="1"/>
  <c r="N2765" i="1"/>
  <c r="O2765" i="1"/>
  <c r="P2765" i="1"/>
  <c r="R2765" i="1"/>
  <c r="S2765" i="1"/>
  <c r="T2765" i="1"/>
  <c r="U2765" i="1"/>
  <c r="B2764" i="1"/>
  <c r="C2764" i="1"/>
  <c r="D2764" i="1"/>
  <c r="E2764" i="1"/>
  <c r="F2764" i="1"/>
  <c r="G2764" i="1"/>
  <c r="H2764" i="1"/>
  <c r="I2764" i="1"/>
  <c r="J2764" i="1"/>
  <c r="K2764" i="1"/>
  <c r="L2764" i="1"/>
  <c r="M2764" i="1"/>
  <c r="N2764" i="1"/>
  <c r="O2764" i="1"/>
  <c r="P2764" i="1"/>
  <c r="R2764" i="1"/>
  <c r="S2764" i="1"/>
  <c r="T2764" i="1"/>
  <c r="U2764" i="1"/>
  <c r="B2763" i="1"/>
  <c r="C2763" i="1"/>
  <c r="D2763" i="1"/>
  <c r="E2763" i="1"/>
  <c r="F2763" i="1"/>
  <c r="G2763" i="1"/>
  <c r="H2763" i="1"/>
  <c r="I2763" i="1"/>
  <c r="J2763" i="1"/>
  <c r="K2763" i="1"/>
  <c r="L2763" i="1"/>
  <c r="M2763" i="1"/>
  <c r="N2763" i="1"/>
  <c r="O2763" i="1"/>
  <c r="P2763" i="1"/>
  <c r="R2763" i="1"/>
  <c r="S2763" i="1"/>
  <c r="T2763" i="1"/>
  <c r="U2763" i="1"/>
  <c r="B2762" i="1"/>
  <c r="C2762" i="1"/>
  <c r="D2762" i="1"/>
  <c r="E2762" i="1"/>
  <c r="F2762" i="1"/>
  <c r="G2762" i="1"/>
  <c r="H2762" i="1"/>
  <c r="I2762" i="1"/>
  <c r="J2762" i="1"/>
  <c r="K2762" i="1"/>
  <c r="L2762" i="1"/>
  <c r="M2762" i="1"/>
  <c r="N2762" i="1"/>
  <c r="O2762" i="1"/>
  <c r="P2762" i="1"/>
  <c r="R2762" i="1"/>
  <c r="S2762" i="1"/>
  <c r="T2762" i="1"/>
  <c r="U2762" i="1"/>
  <c r="B2761" i="1"/>
  <c r="C2761" i="1"/>
  <c r="D2761" i="1"/>
  <c r="E2761" i="1"/>
  <c r="F2761" i="1"/>
  <c r="G2761" i="1"/>
  <c r="H2761" i="1"/>
  <c r="I2761" i="1"/>
  <c r="J2761" i="1"/>
  <c r="K2761" i="1"/>
  <c r="L2761" i="1"/>
  <c r="M2761" i="1"/>
  <c r="N2761" i="1"/>
  <c r="O2761" i="1"/>
  <c r="P2761" i="1"/>
  <c r="R2761" i="1"/>
  <c r="S2761" i="1"/>
  <c r="T2761" i="1"/>
  <c r="U2761" i="1"/>
  <c r="B2760" i="1"/>
  <c r="C2760" i="1"/>
  <c r="D2760" i="1"/>
  <c r="E2760" i="1"/>
  <c r="F2760" i="1"/>
  <c r="G2760" i="1"/>
  <c r="H2760" i="1"/>
  <c r="I2760" i="1"/>
  <c r="J2760" i="1"/>
  <c r="K2760" i="1"/>
  <c r="L2760" i="1"/>
  <c r="M2760" i="1"/>
  <c r="N2760" i="1"/>
  <c r="O2760" i="1"/>
  <c r="P2760" i="1"/>
  <c r="R2760" i="1"/>
  <c r="S2760" i="1"/>
  <c r="T2760" i="1"/>
  <c r="U2760" i="1"/>
  <c r="B2759" i="1"/>
  <c r="C2759" i="1"/>
  <c r="D2759" i="1"/>
  <c r="E2759" i="1"/>
  <c r="F2759" i="1"/>
  <c r="G2759" i="1"/>
  <c r="H2759" i="1"/>
  <c r="I2759" i="1"/>
  <c r="J2759" i="1"/>
  <c r="K2759" i="1"/>
  <c r="L2759" i="1"/>
  <c r="M2759" i="1"/>
  <c r="N2759" i="1"/>
  <c r="O2759" i="1"/>
  <c r="P2759" i="1"/>
  <c r="R2759" i="1"/>
  <c r="S2759" i="1"/>
  <c r="T2759" i="1"/>
  <c r="U2759" i="1"/>
  <c r="B2758" i="1"/>
  <c r="C2758" i="1"/>
  <c r="D2758" i="1"/>
  <c r="E2758" i="1"/>
  <c r="F2758" i="1"/>
  <c r="G2758" i="1"/>
  <c r="H2758" i="1"/>
  <c r="I2758" i="1"/>
  <c r="J2758" i="1"/>
  <c r="K2758" i="1"/>
  <c r="L2758" i="1"/>
  <c r="M2758" i="1"/>
  <c r="N2758" i="1"/>
  <c r="O2758" i="1"/>
  <c r="P2758" i="1"/>
  <c r="R2758" i="1"/>
  <c r="S2758" i="1"/>
  <c r="T2758" i="1"/>
  <c r="U2758" i="1"/>
  <c r="B2757" i="1"/>
  <c r="C2757" i="1"/>
  <c r="D2757" i="1"/>
  <c r="E2757" i="1"/>
  <c r="F2757" i="1"/>
  <c r="G2757" i="1"/>
  <c r="H2757" i="1"/>
  <c r="I2757" i="1"/>
  <c r="J2757" i="1"/>
  <c r="K2757" i="1"/>
  <c r="L2757" i="1"/>
  <c r="M2757" i="1"/>
  <c r="N2757" i="1"/>
  <c r="O2757" i="1"/>
  <c r="P2757" i="1"/>
  <c r="R2757" i="1"/>
  <c r="S2757" i="1"/>
  <c r="T2757" i="1"/>
  <c r="U2757" i="1"/>
  <c r="B2756" i="1"/>
  <c r="C2756" i="1"/>
  <c r="D2756" i="1"/>
  <c r="E2756" i="1"/>
  <c r="F2756" i="1"/>
  <c r="G2756" i="1"/>
  <c r="H2756" i="1"/>
  <c r="I2756" i="1"/>
  <c r="J2756" i="1"/>
  <c r="K2756" i="1"/>
  <c r="L2756" i="1"/>
  <c r="M2756" i="1"/>
  <c r="N2756" i="1"/>
  <c r="O2756" i="1"/>
  <c r="P2756" i="1"/>
  <c r="R2756" i="1"/>
  <c r="S2756" i="1"/>
  <c r="T2756" i="1"/>
  <c r="U2756" i="1"/>
  <c r="B2755" i="1"/>
  <c r="C2755" i="1"/>
  <c r="D2755" i="1"/>
  <c r="E2755" i="1"/>
  <c r="F2755" i="1"/>
  <c r="G2755" i="1"/>
  <c r="H2755" i="1"/>
  <c r="I2755" i="1"/>
  <c r="J2755" i="1"/>
  <c r="K2755" i="1"/>
  <c r="L2755" i="1"/>
  <c r="M2755" i="1"/>
  <c r="N2755" i="1"/>
  <c r="O2755" i="1"/>
  <c r="P2755" i="1"/>
  <c r="R2755" i="1"/>
  <c r="S2755" i="1"/>
  <c r="T2755" i="1"/>
  <c r="U2755" i="1"/>
  <c r="B2754" i="1"/>
  <c r="C2754" i="1"/>
  <c r="D2754" i="1"/>
  <c r="E2754" i="1"/>
  <c r="F2754" i="1"/>
  <c r="G2754" i="1"/>
  <c r="H2754" i="1"/>
  <c r="I2754" i="1"/>
  <c r="J2754" i="1"/>
  <c r="K2754" i="1"/>
  <c r="L2754" i="1"/>
  <c r="M2754" i="1"/>
  <c r="N2754" i="1"/>
  <c r="O2754" i="1"/>
  <c r="P2754" i="1"/>
  <c r="R2754" i="1"/>
  <c r="S2754" i="1"/>
  <c r="T2754" i="1"/>
  <c r="U2754" i="1"/>
  <c r="B2753" i="1"/>
  <c r="C2753" i="1"/>
  <c r="D2753" i="1"/>
  <c r="E2753" i="1"/>
  <c r="F2753" i="1"/>
  <c r="G2753" i="1"/>
  <c r="H2753" i="1"/>
  <c r="I2753" i="1"/>
  <c r="J2753" i="1"/>
  <c r="K2753" i="1"/>
  <c r="L2753" i="1"/>
  <c r="M2753" i="1"/>
  <c r="N2753" i="1"/>
  <c r="O2753" i="1"/>
  <c r="P2753" i="1"/>
  <c r="R2753" i="1"/>
  <c r="S2753" i="1"/>
  <c r="T2753" i="1"/>
  <c r="U2753" i="1"/>
  <c r="B2752" i="1"/>
  <c r="C2752" i="1"/>
  <c r="D2752" i="1"/>
  <c r="E2752" i="1"/>
  <c r="F2752" i="1"/>
  <c r="G2752" i="1"/>
  <c r="H2752" i="1"/>
  <c r="I2752" i="1"/>
  <c r="J2752" i="1"/>
  <c r="K2752" i="1"/>
  <c r="L2752" i="1"/>
  <c r="M2752" i="1"/>
  <c r="N2752" i="1"/>
  <c r="O2752" i="1"/>
  <c r="P2752" i="1"/>
  <c r="R2752" i="1"/>
  <c r="S2752" i="1"/>
  <c r="T2752" i="1"/>
  <c r="U2752" i="1"/>
  <c r="B2751" i="1"/>
  <c r="C2751" i="1"/>
  <c r="D2751" i="1"/>
  <c r="E2751" i="1"/>
  <c r="F2751" i="1"/>
  <c r="G2751" i="1"/>
  <c r="H2751" i="1"/>
  <c r="I2751" i="1"/>
  <c r="J2751" i="1"/>
  <c r="K2751" i="1"/>
  <c r="L2751" i="1"/>
  <c r="M2751" i="1"/>
  <c r="N2751" i="1"/>
  <c r="O2751" i="1"/>
  <c r="P2751" i="1"/>
  <c r="R2751" i="1"/>
  <c r="S2751" i="1"/>
  <c r="T2751" i="1"/>
  <c r="U2751" i="1"/>
  <c r="B2750" i="1"/>
  <c r="C2750" i="1"/>
  <c r="D2750" i="1"/>
  <c r="E2750" i="1"/>
  <c r="F2750" i="1"/>
  <c r="G2750" i="1"/>
  <c r="H2750" i="1"/>
  <c r="I2750" i="1"/>
  <c r="J2750" i="1"/>
  <c r="K2750" i="1"/>
  <c r="L2750" i="1"/>
  <c r="M2750" i="1"/>
  <c r="N2750" i="1"/>
  <c r="O2750" i="1"/>
  <c r="P2750" i="1"/>
  <c r="R2750" i="1"/>
  <c r="S2750" i="1"/>
  <c r="T2750" i="1"/>
  <c r="U2750" i="1"/>
  <c r="B2749" i="1"/>
  <c r="C2749" i="1"/>
  <c r="D2749" i="1"/>
  <c r="E2749" i="1"/>
  <c r="F2749" i="1"/>
  <c r="G2749" i="1"/>
  <c r="H2749" i="1"/>
  <c r="I2749" i="1"/>
  <c r="J2749" i="1"/>
  <c r="K2749" i="1"/>
  <c r="L2749" i="1"/>
  <c r="M2749" i="1"/>
  <c r="N2749" i="1"/>
  <c r="O2749" i="1"/>
  <c r="P2749" i="1"/>
  <c r="R2749" i="1"/>
  <c r="S2749" i="1"/>
  <c r="T2749" i="1"/>
  <c r="U2749" i="1"/>
  <c r="B2748" i="1"/>
  <c r="C2748" i="1"/>
  <c r="D2748" i="1"/>
  <c r="E2748" i="1"/>
  <c r="F2748" i="1"/>
  <c r="G2748" i="1"/>
  <c r="H2748" i="1"/>
  <c r="I2748" i="1"/>
  <c r="J2748" i="1"/>
  <c r="K2748" i="1"/>
  <c r="L2748" i="1"/>
  <c r="M2748" i="1"/>
  <c r="N2748" i="1"/>
  <c r="O2748" i="1"/>
  <c r="P2748" i="1"/>
  <c r="R2748" i="1"/>
  <c r="S2748" i="1"/>
  <c r="T2748" i="1"/>
  <c r="U2748" i="1"/>
  <c r="B2747" i="1"/>
  <c r="C2747" i="1"/>
  <c r="D2747" i="1"/>
  <c r="E2747" i="1"/>
  <c r="F2747" i="1"/>
  <c r="G2747" i="1"/>
  <c r="H2747" i="1"/>
  <c r="I2747" i="1"/>
  <c r="J2747" i="1"/>
  <c r="K2747" i="1"/>
  <c r="L2747" i="1"/>
  <c r="M2747" i="1"/>
  <c r="N2747" i="1"/>
  <c r="O2747" i="1"/>
  <c r="P2747" i="1"/>
  <c r="R2747" i="1"/>
  <c r="S2747" i="1"/>
  <c r="T2747" i="1"/>
  <c r="U2747" i="1"/>
  <c r="B2746" i="1"/>
  <c r="C2746" i="1"/>
  <c r="D2746" i="1"/>
  <c r="E2746" i="1"/>
  <c r="F2746" i="1"/>
  <c r="G2746" i="1"/>
  <c r="H2746" i="1"/>
  <c r="I2746" i="1"/>
  <c r="J2746" i="1"/>
  <c r="K2746" i="1"/>
  <c r="L2746" i="1"/>
  <c r="M2746" i="1"/>
  <c r="N2746" i="1"/>
  <c r="O2746" i="1"/>
  <c r="P2746" i="1"/>
  <c r="R2746" i="1"/>
  <c r="S2746" i="1"/>
  <c r="T2746" i="1"/>
  <c r="U2746" i="1"/>
  <c r="B2745" i="1"/>
  <c r="C2745" i="1"/>
  <c r="D2745" i="1"/>
  <c r="E2745" i="1"/>
  <c r="F2745" i="1"/>
  <c r="G2745" i="1"/>
  <c r="H2745" i="1"/>
  <c r="I2745" i="1"/>
  <c r="J2745" i="1"/>
  <c r="K2745" i="1"/>
  <c r="L2745" i="1"/>
  <c r="M2745" i="1"/>
  <c r="N2745" i="1"/>
  <c r="O2745" i="1"/>
  <c r="P2745" i="1"/>
  <c r="R2745" i="1"/>
  <c r="S2745" i="1"/>
  <c r="T2745" i="1"/>
  <c r="U2745" i="1"/>
  <c r="B2744" i="1"/>
  <c r="C2744" i="1"/>
  <c r="D2744" i="1"/>
  <c r="E2744" i="1"/>
  <c r="F2744" i="1"/>
  <c r="G2744" i="1"/>
  <c r="H2744" i="1"/>
  <c r="I2744" i="1"/>
  <c r="J2744" i="1"/>
  <c r="K2744" i="1"/>
  <c r="L2744" i="1"/>
  <c r="M2744" i="1"/>
  <c r="N2744" i="1"/>
  <c r="O2744" i="1"/>
  <c r="P2744" i="1"/>
  <c r="R2744" i="1"/>
  <c r="S2744" i="1"/>
  <c r="T2744" i="1"/>
  <c r="U2744" i="1"/>
  <c r="B2743" i="1"/>
  <c r="C2743" i="1"/>
  <c r="D2743" i="1"/>
  <c r="E2743" i="1"/>
  <c r="F2743" i="1"/>
  <c r="G2743" i="1"/>
  <c r="H2743" i="1"/>
  <c r="I2743" i="1"/>
  <c r="J2743" i="1"/>
  <c r="K2743" i="1"/>
  <c r="L2743" i="1"/>
  <c r="M2743" i="1"/>
  <c r="N2743" i="1"/>
  <c r="O2743" i="1"/>
  <c r="P2743" i="1"/>
  <c r="R2743" i="1"/>
  <c r="S2743" i="1"/>
  <c r="T2743" i="1"/>
  <c r="U2743" i="1"/>
  <c r="B2742" i="1"/>
  <c r="C2742" i="1"/>
  <c r="D2742" i="1"/>
  <c r="E2742" i="1"/>
  <c r="F2742" i="1"/>
  <c r="G2742" i="1"/>
  <c r="H2742" i="1"/>
  <c r="I2742" i="1"/>
  <c r="J2742" i="1"/>
  <c r="K2742" i="1"/>
  <c r="L2742" i="1"/>
  <c r="M2742" i="1"/>
  <c r="N2742" i="1"/>
  <c r="O2742" i="1"/>
  <c r="P2742" i="1"/>
  <c r="R2742" i="1"/>
  <c r="S2742" i="1"/>
  <c r="T2742" i="1"/>
  <c r="U2742" i="1"/>
  <c r="B2741" i="1"/>
  <c r="C2741" i="1"/>
  <c r="D2741" i="1"/>
  <c r="E2741" i="1"/>
  <c r="F2741" i="1"/>
  <c r="G2741" i="1"/>
  <c r="H2741" i="1"/>
  <c r="I2741" i="1"/>
  <c r="J2741" i="1"/>
  <c r="K2741" i="1"/>
  <c r="L2741" i="1"/>
  <c r="M2741" i="1"/>
  <c r="N2741" i="1"/>
  <c r="O2741" i="1"/>
  <c r="P2741" i="1"/>
  <c r="R2741" i="1"/>
  <c r="S2741" i="1"/>
  <c r="T2741" i="1"/>
  <c r="U2741" i="1"/>
  <c r="B2740" i="1"/>
  <c r="C2740" i="1"/>
  <c r="D2740" i="1"/>
  <c r="E2740" i="1"/>
  <c r="F2740" i="1"/>
  <c r="G2740" i="1"/>
  <c r="H2740" i="1"/>
  <c r="I2740" i="1"/>
  <c r="J2740" i="1"/>
  <c r="K2740" i="1"/>
  <c r="L2740" i="1"/>
  <c r="M2740" i="1"/>
  <c r="N2740" i="1"/>
  <c r="O2740" i="1"/>
  <c r="P2740" i="1"/>
  <c r="R2740" i="1"/>
  <c r="S2740" i="1"/>
  <c r="T2740" i="1"/>
  <c r="U2740" i="1"/>
  <c r="B2739" i="1"/>
  <c r="C2739" i="1"/>
  <c r="D2739" i="1"/>
  <c r="E2739" i="1"/>
  <c r="F2739" i="1"/>
  <c r="G2739" i="1"/>
  <c r="H2739" i="1"/>
  <c r="I2739" i="1"/>
  <c r="J2739" i="1"/>
  <c r="K2739" i="1"/>
  <c r="L2739" i="1"/>
  <c r="M2739" i="1"/>
  <c r="N2739" i="1"/>
  <c r="O2739" i="1"/>
  <c r="P2739" i="1"/>
  <c r="R2739" i="1"/>
  <c r="S2739" i="1"/>
  <c r="T2739" i="1"/>
  <c r="U2739" i="1"/>
  <c r="B2738" i="1"/>
  <c r="C2738" i="1"/>
  <c r="D2738" i="1"/>
  <c r="E2738" i="1"/>
  <c r="F2738" i="1"/>
  <c r="G2738" i="1"/>
  <c r="H2738" i="1"/>
  <c r="I2738" i="1"/>
  <c r="J2738" i="1"/>
  <c r="K2738" i="1"/>
  <c r="L2738" i="1"/>
  <c r="M2738" i="1"/>
  <c r="N2738" i="1"/>
  <c r="O2738" i="1"/>
  <c r="P2738" i="1"/>
  <c r="R2738" i="1"/>
  <c r="S2738" i="1"/>
  <c r="T2738" i="1"/>
  <c r="U2738" i="1"/>
  <c r="B2737" i="1"/>
  <c r="C2737" i="1"/>
  <c r="D2737" i="1"/>
  <c r="E2737" i="1"/>
  <c r="F2737" i="1"/>
  <c r="G2737" i="1"/>
  <c r="H2737" i="1"/>
  <c r="I2737" i="1"/>
  <c r="J2737" i="1"/>
  <c r="K2737" i="1"/>
  <c r="L2737" i="1"/>
  <c r="M2737" i="1"/>
  <c r="N2737" i="1"/>
  <c r="O2737" i="1"/>
  <c r="P2737" i="1"/>
  <c r="R2737" i="1"/>
  <c r="S2737" i="1"/>
  <c r="T2737" i="1"/>
  <c r="U2737" i="1"/>
  <c r="B2736" i="1"/>
  <c r="C2736" i="1"/>
  <c r="D2736" i="1"/>
  <c r="E2736" i="1"/>
  <c r="F2736" i="1"/>
  <c r="G2736" i="1"/>
  <c r="H2736" i="1"/>
  <c r="I2736" i="1"/>
  <c r="J2736" i="1"/>
  <c r="K2736" i="1"/>
  <c r="L2736" i="1"/>
  <c r="M2736" i="1"/>
  <c r="N2736" i="1"/>
  <c r="O2736" i="1"/>
  <c r="P2736" i="1"/>
  <c r="R2736" i="1"/>
  <c r="S2736" i="1"/>
  <c r="T2736" i="1"/>
  <c r="U2736" i="1"/>
  <c r="B2735" i="1"/>
  <c r="C2735" i="1"/>
  <c r="D2735" i="1"/>
  <c r="E2735" i="1"/>
  <c r="F2735" i="1"/>
  <c r="G2735" i="1"/>
  <c r="H2735" i="1"/>
  <c r="I2735" i="1"/>
  <c r="J2735" i="1"/>
  <c r="K2735" i="1"/>
  <c r="L2735" i="1"/>
  <c r="M2735" i="1"/>
  <c r="N2735" i="1"/>
  <c r="O2735" i="1"/>
  <c r="P2735" i="1"/>
  <c r="R2735" i="1"/>
  <c r="S2735" i="1"/>
  <c r="T2735" i="1"/>
  <c r="U2735" i="1"/>
  <c r="B2734" i="1"/>
  <c r="C2734" i="1"/>
  <c r="D2734" i="1"/>
  <c r="E2734" i="1"/>
  <c r="F2734" i="1"/>
  <c r="G2734" i="1"/>
  <c r="H2734" i="1"/>
  <c r="I2734" i="1"/>
  <c r="J2734" i="1"/>
  <c r="K2734" i="1"/>
  <c r="L2734" i="1"/>
  <c r="M2734" i="1"/>
  <c r="N2734" i="1"/>
  <c r="O2734" i="1"/>
  <c r="P2734" i="1"/>
  <c r="R2734" i="1"/>
  <c r="S2734" i="1"/>
  <c r="T2734" i="1"/>
  <c r="U2734" i="1"/>
  <c r="B2733" i="1"/>
  <c r="C2733" i="1"/>
  <c r="D2733" i="1"/>
  <c r="E2733" i="1"/>
  <c r="F2733" i="1"/>
  <c r="G2733" i="1"/>
  <c r="H2733" i="1"/>
  <c r="I2733" i="1"/>
  <c r="J2733" i="1"/>
  <c r="K2733" i="1"/>
  <c r="L2733" i="1"/>
  <c r="M2733" i="1"/>
  <c r="N2733" i="1"/>
  <c r="O2733" i="1"/>
  <c r="P2733" i="1"/>
  <c r="R2733" i="1"/>
  <c r="S2733" i="1"/>
  <c r="T2733" i="1"/>
  <c r="U2733" i="1"/>
  <c r="B2732" i="1"/>
  <c r="C2732" i="1"/>
  <c r="D2732" i="1"/>
  <c r="E2732" i="1"/>
  <c r="F2732" i="1"/>
  <c r="G2732" i="1"/>
  <c r="H2732" i="1"/>
  <c r="I2732" i="1"/>
  <c r="J2732" i="1"/>
  <c r="K2732" i="1"/>
  <c r="L2732" i="1"/>
  <c r="M2732" i="1"/>
  <c r="N2732" i="1"/>
  <c r="O2732" i="1"/>
  <c r="P2732" i="1"/>
  <c r="R2732" i="1"/>
  <c r="S2732" i="1"/>
  <c r="T2732" i="1"/>
  <c r="U2732" i="1"/>
  <c r="B2731" i="1"/>
  <c r="C2731" i="1"/>
  <c r="D2731" i="1"/>
  <c r="E2731" i="1"/>
  <c r="F2731" i="1"/>
  <c r="G2731" i="1"/>
  <c r="H2731" i="1"/>
  <c r="I2731" i="1"/>
  <c r="J2731" i="1"/>
  <c r="K2731" i="1"/>
  <c r="L2731" i="1"/>
  <c r="M2731" i="1"/>
  <c r="N2731" i="1"/>
  <c r="O2731" i="1"/>
  <c r="P2731" i="1"/>
  <c r="R2731" i="1"/>
  <c r="S2731" i="1"/>
  <c r="T2731" i="1"/>
  <c r="U2731" i="1"/>
  <c r="B2730" i="1"/>
  <c r="C2730" i="1"/>
  <c r="D2730" i="1"/>
  <c r="E2730" i="1"/>
  <c r="F2730" i="1"/>
  <c r="G2730" i="1"/>
  <c r="H2730" i="1"/>
  <c r="I2730" i="1"/>
  <c r="J2730" i="1"/>
  <c r="K2730" i="1"/>
  <c r="L2730" i="1"/>
  <c r="M2730" i="1"/>
  <c r="N2730" i="1"/>
  <c r="O2730" i="1"/>
  <c r="P2730" i="1"/>
  <c r="R2730" i="1"/>
  <c r="S2730" i="1"/>
  <c r="T2730" i="1"/>
  <c r="U2730" i="1"/>
  <c r="B2729" i="1"/>
  <c r="C2729" i="1"/>
  <c r="D2729" i="1"/>
  <c r="E2729" i="1"/>
  <c r="F2729" i="1"/>
  <c r="G2729" i="1"/>
  <c r="H2729" i="1"/>
  <c r="I2729" i="1"/>
  <c r="J2729" i="1"/>
  <c r="K2729" i="1"/>
  <c r="L2729" i="1"/>
  <c r="M2729" i="1"/>
  <c r="N2729" i="1"/>
  <c r="O2729" i="1"/>
  <c r="P2729" i="1"/>
  <c r="R2729" i="1"/>
  <c r="S2729" i="1"/>
  <c r="T2729" i="1"/>
  <c r="U2729" i="1"/>
  <c r="B2728" i="1"/>
  <c r="C2728" i="1"/>
  <c r="D2728" i="1"/>
  <c r="E2728" i="1"/>
  <c r="F2728" i="1"/>
  <c r="G2728" i="1"/>
  <c r="H2728" i="1"/>
  <c r="I2728" i="1"/>
  <c r="J2728" i="1"/>
  <c r="K2728" i="1"/>
  <c r="L2728" i="1"/>
  <c r="M2728" i="1"/>
  <c r="N2728" i="1"/>
  <c r="O2728" i="1"/>
  <c r="P2728" i="1"/>
  <c r="R2728" i="1"/>
  <c r="S2728" i="1"/>
  <c r="T2728" i="1"/>
  <c r="U2728" i="1"/>
  <c r="B2727" i="1"/>
  <c r="C2727" i="1"/>
  <c r="D2727" i="1"/>
  <c r="E2727" i="1"/>
  <c r="F2727" i="1"/>
  <c r="G2727" i="1"/>
  <c r="H2727" i="1"/>
  <c r="I2727" i="1"/>
  <c r="J2727" i="1"/>
  <c r="K2727" i="1"/>
  <c r="L2727" i="1"/>
  <c r="M2727" i="1"/>
  <c r="N2727" i="1"/>
  <c r="O2727" i="1"/>
  <c r="P2727" i="1"/>
  <c r="R2727" i="1"/>
  <c r="S2727" i="1"/>
  <c r="T2727" i="1"/>
  <c r="U2727" i="1"/>
  <c r="B2726" i="1"/>
  <c r="C2726" i="1"/>
  <c r="D2726" i="1"/>
  <c r="E2726" i="1"/>
  <c r="F2726" i="1"/>
  <c r="G2726" i="1"/>
  <c r="H2726" i="1"/>
  <c r="I2726" i="1"/>
  <c r="J2726" i="1"/>
  <c r="K2726" i="1"/>
  <c r="L2726" i="1"/>
  <c r="M2726" i="1"/>
  <c r="N2726" i="1"/>
  <c r="O2726" i="1"/>
  <c r="P2726" i="1"/>
  <c r="R2726" i="1"/>
  <c r="S2726" i="1"/>
  <c r="T2726" i="1"/>
  <c r="U2726" i="1"/>
  <c r="B2725" i="1"/>
  <c r="C2725" i="1"/>
  <c r="D2725" i="1"/>
  <c r="E2725" i="1"/>
  <c r="F2725" i="1"/>
  <c r="G2725" i="1"/>
  <c r="H2725" i="1"/>
  <c r="I2725" i="1"/>
  <c r="J2725" i="1"/>
  <c r="K2725" i="1"/>
  <c r="L2725" i="1"/>
  <c r="M2725" i="1"/>
  <c r="N2725" i="1"/>
  <c r="O2725" i="1"/>
  <c r="P2725" i="1"/>
  <c r="R2725" i="1"/>
  <c r="S2725" i="1"/>
  <c r="T2725" i="1"/>
  <c r="U2725" i="1"/>
  <c r="B2724" i="1"/>
  <c r="C2724" i="1"/>
  <c r="D2724" i="1"/>
  <c r="E2724" i="1"/>
  <c r="F2724" i="1"/>
  <c r="G2724" i="1"/>
  <c r="H2724" i="1"/>
  <c r="I2724" i="1"/>
  <c r="J2724" i="1"/>
  <c r="K2724" i="1"/>
  <c r="L2724" i="1"/>
  <c r="M2724" i="1"/>
  <c r="N2724" i="1"/>
  <c r="O2724" i="1"/>
  <c r="P2724" i="1"/>
  <c r="R2724" i="1"/>
  <c r="S2724" i="1"/>
  <c r="T2724" i="1"/>
  <c r="U2724" i="1"/>
  <c r="B2723" i="1"/>
  <c r="C2723" i="1"/>
  <c r="D2723" i="1"/>
  <c r="E2723" i="1"/>
  <c r="F2723" i="1"/>
  <c r="G2723" i="1"/>
  <c r="H2723" i="1"/>
  <c r="I2723" i="1"/>
  <c r="J2723" i="1"/>
  <c r="K2723" i="1"/>
  <c r="L2723" i="1"/>
  <c r="M2723" i="1"/>
  <c r="N2723" i="1"/>
  <c r="O2723" i="1"/>
  <c r="P2723" i="1"/>
  <c r="R2723" i="1"/>
  <c r="S2723" i="1"/>
  <c r="T2723" i="1"/>
  <c r="U2723" i="1"/>
  <c r="B2722" i="1"/>
  <c r="C2722" i="1"/>
  <c r="D2722" i="1"/>
  <c r="E2722" i="1"/>
  <c r="F2722" i="1"/>
  <c r="G2722" i="1"/>
  <c r="H2722" i="1"/>
  <c r="I2722" i="1"/>
  <c r="J2722" i="1"/>
  <c r="K2722" i="1"/>
  <c r="L2722" i="1"/>
  <c r="M2722" i="1"/>
  <c r="N2722" i="1"/>
  <c r="O2722" i="1"/>
  <c r="P2722" i="1"/>
  <c r="R2722" i="1"/>
  <c r="S2722" i="1"/>
  <c r="T2722" i="1"/>
  <c r="U2722" i="1"/>
  <c r="B2721" i="1"/>
  <c r="C2721" i="1"/>
  <c r="D2721" i="1"/>
  <c r="E2721" i="1"/>
  <c r="F2721" i="1"/>
  <c r="G2721" i="1"/>
  <c r="H2721" i="1"/>
  <c r="I2721" i="1"/>
  <c r="J2721" i="1"/>
  <c r="K2721" i="1"/>
  <c r="L2721" i="1"/>
  <c r="M2721" i="1"/>
  <c r="N2721" i="1"/>
  <c r="O2721" i="1"/>
  <c r="P2721" i="1"/>
  <c r="R2721" i="1"/>
  <c r="S2721" i="1"/>
  <c r="T2721" i="1"/>
  <c r="U2721" i="1"/>
  <c r="B2720" i="1"/>
  <c r="C2720" i="1"/>
  <c r="D2720" i="1"/>
  <c r="E2720" i="1"/>
  <c r="F2720" i="1"/>
  <c r="G2720" i="1"/>
  <c r="H2720" i="1"/>
  <c r="I2720" i="1"/>
  <c r="J2720" i="1"/>
  <c r="K2720" i="1"/>
  <c r="L2720" i="1"/>
  <c r="M2720" i="1"/>
  <c r="N2720" i="1"/>
  <c r="O2720" i="1"/>
  <c r="P2720" i="1"/>
  <c r="R2720" i="1"/>
  <c r="S2720" i="1"/>
  <c r="T2720" i="1"/>
  <c r="U2720" i="1"/>
  <c r="B2719" i="1"/>
  <c r="C2719" i="1"/>
  <c r="D2719" i="1"/>
  <c r="E2719" i="1"/>
  <c r="F2719" i="1"/>
  <c r="G2719" i="1"/>
  <c r="H2719" i="1"/>
  <c r="I2719" i="1"/>
  <c r="J2719" i="1"/>
  <c r="K2719" i="1"/>
  <c r="L2719" i="1"/>
  <c r="M2719" i="1"/>
  <c r="N2719" i="1"/>
  <c r="O2719" i="1"/>
  <c r="P2719" i="1"/>
  <c r="R2719" i="1"/>
  <c r="S2719" i="1"/>
  <c r="T2719" i="1"/>
  <c r="U2719" i="1"/>
  <c r="B2718" i="1"/>
  <c r="C2718" i="1"/>
  <c r="D2718" i="1"/>
  <c r="E2718" i="1"/>
  <c r="F2718" i="1"/>
  <c r="G2718" i="1"/>
  <c r="H2718" i="1"/>
  <c r="I2718" i="1"/>
  <c r="J2718" i="1"/>
  <c r="K2718" i="1"/>
  <c r="L2718" i="1"/>
  <c r="M2718" i="1"/>
  <c r="N2718" i="1"/>
  <c r="O2718" i="1"/>
  <c r="P2718" i="1"/>
  <c r="R2718" i="1"/>
  <c r="S2718" i="1"/>
  <c r="T2718" i="1"/>
  <c r="U2718" i="1"/>
  <c r="B2717" i="1"/>
  <c r="C2717" i="1"/>
  <c r="D2717" i="1"/>
  <c r="E2717" i="1"/>
  <c r="F2717" i="1"/>
  <c r="G2717" i="1"/>
  <c r="H2717" i="1"/>
  <c r="I2717" i="1"/>
  <c r="J2717" i="1"/>
  <c r="K2717" i="1"/>
  <c r="L2717" i="1"/>
  <c r="M2717" i="1"/>
  <c r="N2717" i="1"/>
  <c r="O2717" i="1"/>
  <c r="P2717" i="1"/>
  <c r="R2717" i="1"/>
  <c r="S2717" i="1"/>
  <c r="T2717" i="1"/>
  <c r="U2717" i="1"/>
  <c r="B2716" i="1"/>
  <c r="C2716" i="1"/>
  <c r="D2716" i="1"/>
  <c r="E2716" i="1"/>
  <c r="F2716" i="1"/>
  <c r="G2716" i="1"/>
  <c r="H2716" i="1"/>
  <c r="I2716" i="1"/>
  <c r="J2716" i="1"/>
  <c r="K2716" i="1"/>
  <c r="L2716" i="1"/>
  <c r="M2716" i="1"/>
  <c r="N2716" i="1"/>
  <c r="O2716" i="1"/>
  <c r="P2716" i="1"/>
  <c r="R2716" i="1"/>
  <c r="S2716" i="1"/>
  <c r="T2716" i="1"/>
  <c r="U2716" i="1"/>
  <c r="B2715" i="1"/>
  <c r="C2715" i="1"/>
  <c r="D2715" i="1"/>
  <c r="E2715" i="1"/>
  <c r="F2715" i="1"/>
  <c r="G2715" i="1"/>
  <c r="H2715" i="1"/>
  <c r="I2715" i="1"/>
  <c r="J2715" i="1"/>
  <c r="K2715" i="1"/>
  <c r="L2715" i="1"/>
  <c r="M2715" i="1"/>
  <c r="N2715" i="1"/>
  <c r="O2715" i="1"/>
  <c r="P2715" i="1"/>
  <c r="R2715" i="1"/>
  <c r="S2715" i="1"/>
  <c r="T2715" i="1"/>
  <c r="U2715" i="1"/>
  <c r="B2714" i="1"/>
  <c r="C2714" i="1"/>
  <c r="D2714" i="1"/>
  <c r="E2714" i="1"/>
  <c r="F2714" i="1"/>
  <c r="G2714" i="1"/>
  <c r="H2714" i="1"/>
  <c r="I2714" i="1"/>
  <c r="J2714" i="1"/>
  <c r="K2714" i="1"/>
  <c r="L2714" i="1"/>
  <c r="M2714" i="1"/>
  <c r="N2714" i="1"/>
  <c r="O2714" i="1"/>
  <c r="P2714" i="1"/>
  <c r="R2714" i="1"/>
  <c r="S2714" i="1"/>
  <c r="T2714" i="1"/>
  <c r="U2714" i="1"/>
  <c r="B2713" i="1"/>
  <c r="C2713" i="1"/>
  <c r="D2713" i="1"/>
  <c r="E2713" i="1"/>
  <c r="F2713" i="1"/>
  <c r="G2713" i="1"/>
  <c r="H2713" i="1"/>
  <c r="I2713" i="1"/>
  <c r="J2713" i="1"/>
  <c r="K2713" i="1"/>
  <c r="L2713" i="1"/>
  <c r="M2713" i="1"/>
  <c r="N2713" i="1"/>
  <c r="O2713" i="1"/>
  <c r="P2713" i="1"/>
  <c r="R2713" i="1"/>
  <c r="S2713" i="1"/>
  <c r="T2713" i="1"/>
  <c r="U2713" i="1"/>
  <c r="B2712" i="1"/>
  <c r="C2712" i="1"/>
  <c r="D2712" i="1"/>
  <c r="E2712" i="1"/>
  <c r="F2712" i="1"/>
  <c r="G2712" i="1"/>
  <c r="H2712" i="1"/>
  <c r="I2712" i="1"/>
  <c r="J2712" i="1"/>
  <c r="K2712" i="1"/>
  <c r="L2712" i="1"/>
  <c r="M2712" i="1"/>
  <c r="N2712" i="1"/>
  <c r="O2712" i="1"/>
  <c r="P2712" i="1"/>
  <c r="R2712" i="1"/>
  <c r="S2712" i="1"/>
  <c r="T2712" i="1"/>
  <c r="U2712" i="1"/>
  <c r="B2711" i="1"/>
  <c r="C2711" i="1"/>
  <c r="D2711" i="1"/>
  <c r="E2711" i="1"/>
  <c r="F2711" i="1"/>
  <c r="G2711" i="1"/>
  <c r="H2711" i="1"/>
  <c r="I2711" i="1"/>
  <c r="J2711" i="1"/>
  <c r="K2711" i="1"/>
  <c r="L2711" i="1"/>
  <c r="M2711" i="1"/>
  <c r="N2711" i="1"/>
  <c r="O2711" i="1"/>
  <c r="P2711" i="1"/>
  <c r="R2711" i="1"/>
  <c r="S2711" i="1"/>
  <c r="T2711" i="1"/>
  <c r="U2711" i="1"/>
  <c r="B2710" i="1"/>
  <c r="C2710" i="1"/>
  <c r="D2710" i="1"/>
  <c r="E2710" i="1"/>
  <c r="F2710" i="1"/>
  <c r="G2710" i="1"/>
  <c r="H2710" i="1"/>
  <c r="I2710" i="1"/>
  <c r="J2710" i="1"/>
  <c r="K2710" i="1"/>
  <c r="L2710" i="1"/>
  <c r="M2710" i="1"/>
  <c r="N2710" i="1"/>
  <c r="O2710" i="1"/>
  <c r="P2710" i="1"/>
  <c r="R2710" i="1"/>
  <c r="S2710" i="1"/>
  <c r="T2710" i="1"/>
  <c r="U2710" i="1"/>
  <c r="B2709" i="1"/>
  <c r="C2709" i="1"/>
  <c r="D2709" i="1"/>
  <c r="E2709" i="1"/>
  <c r="F2709" i="1"/>
  <c r="G2709" i="1"/>
  <c r="H2709" i="1"/>
  <c r="I2709" i="1"/>
  <c r="J2709" i="1"/>
  <c r="K2709" i="1"/>
  <c r="L2709" i="1"/>
  <c r="M2709" i="1"/>
  <c r="N2709" i="1"/>
  <c r="O2709" i="1"/>
  <c r="P2709" i="1"/>
  <c r="R2709" i="1"/>
  <c r="S2709" i="1"/>
  <c r="T2709" i="1"/>
  <c r="U2709" i="1"/>
  <c r="B2708" i="1"/>
  <c r="C2708" i="1"/>
  <c r="D2708" i="1"/>
  <c r="E2708" i="1"/>
  <c r="F2708" i="1"/>
  <c r="G2708" i="1"/>
  <c r="H2708" i="1"/>
  <c r="I2708" i="1"/>
  <c r="J2708" i="1"/>
  <c r="K2708" i="1"/>
  <c r="L2708" i="1"/>
  <c r="M2708" i="1"/>
  <c r="N2708" i="1"/>
  <c r="O2708" i="1"/>
  <c r="P2708" i="1"/>
  <c r="R2708" i="1"/>
  <c r="S2708" i="1"/>
  <c r="T2708" i="1"/>
  <c r="U2708" i="1"/>
  <c r="B2707" i="1"/>
  <c r="C2707" i="1"/>
  <c r="D2707" i="1"/>
  <c r="E2707" i="1"/>
  <c r="F2707" i="1"/>
  <c r="G2707" i="1"/>
  <c r="H2707" i="1"/>
  <c r="I2707" i="1"/>
  <c r="J2707" i="1"/>
  <c r="K2707" i="1"/>
  <c r="L2707" i="1"/>
  <c r="M2707" i="1"/>
  <c r="N2707" i="1"/>
  <c r="O2707" i="1"/>
  <c r="P2707" i="1"/>
  <c r="R2707" i="1"/>
  <c r="S2707" i="1"/>
  <c r="T2707" i="1"/>
  <c r="U2707" i="1"/>
  <c r="B2706" i="1"/>
  <c r="C2706" i="1"/>
  <c r="D2706" i="1"/>
  <c r="E2706" i="1"/>
  <c r="F2706" i="1"/>
  <c r="G2706" i="1"/>
  <c r="H2706" i="1"/>
  <c r="I2706" i="1"/>
  <c r="J2706" i="1"/>
  <c r="K2706" i="1"/>
  <c r="L2706" i="1"/>
  <c r="M2706" i="1"/>
  <c r="N2706" i="1"/>
  <c r="O2706" i="1"/>
  <c r="P2706" i="1"/>
  <c r="R2706" i="1"/>
  <c r="S2706" i="1"/>
  <c r="T2706" i="1"/>
  <c r="U2706" i="1"/>
  <c r="B2705" i="1"/>
  <c r="C2705" i="1"/>
  <c r="D2705" i="1"/>
  <c r="E2705" i="1"/>
  <c r="F2705" i="1"/>
  <c r="G2705" i="1"/>
  <c r="H2705" i="1"/>
  <c r="I2705" i="1"/>
  <c r="J2705" i="1"/>
  <c r="K2705" i="1"/>
  <c r="L2705" i="1"/>
  <c r="M2705" i="1"/>
  <c r="N2705" i="1"/>
  <c r="O2705" i="1"/>
  <c r="P2705" i="1"/>
  <c r="R2705" i="1"/>
  <c r="S2705" i="1"/>
  <c r="T2705" i="1"/>
  <c r="U2705" i="1"/>
  <c r="B2704" i="1"/>
  <c r="C2704" i="1"/>
  <c r="D2704" i="1"/>
  <c r="E2704" i="1"/>
  <c r="F2704" i="1"/>
  <c r="G2704" i="1"/>
  <c r="H2704" i="1"/>
  <c r="I2704" i="1"/>
  <c r="J2704" i="1"/>
  <c r="K2704" i="1"/>
  <c r="L2704" i="1"/>
  <c r="M2704" i="1"/>
  <c r="N2704" i="1"/>
  <c r="O2704" i="1"/>
  <c r="P2704" i="1"/>
  <c r="R2704" i="1"/>
  <c r="T2704" i="1"/>
  <c r="U2704" i="1"/>
  <c r="B2703" i="1"/>
  <c r="C2703" i="1"/>
  <c r="D2703" i="1"/>
  <c r="E2703" i="1"/>
  <c r="F2703" i="1"/>
  <c r="G2703" i="1"/>
  <c r="H2703" i="1"/>
  <c r="I2703" i="1"/>
  <c r="J2703" i="1"/>
  <c r="K2703" i="1"/>
  <c r="L2703" i="1"/>
  <c r="M2703" i="1"/>
  <c r="N2703" i="1"/>
  <c r="O2703" i="1"/>
  <c r="P2703" i="1"/>
  <c r="R2703" i="1"/>
  <c r="S2703" i="1"/>
  <c r="T2703" i="1"/>
  <c r="U2703" i="1"/>
  <c r="B2702" i="1"/>
  <c r="C2702" i="1"/>
  <c r="D2702" i="1"/>
  <c r="E2702" i="1"/>
  <c r="F2702" i="1"/>
  <c r="G2702" i="1"/>
  <c r="H2702" i="1"/>
  <c r="I2702" i="1"/>
  <c r="J2702" i="1"/>
  <c r="K2702" i="1"/>
  <c r="L2702" i="1"/>
  <c r="M2702" i="1"/>
  <c r="N2702" i="1"/>
  <c r="O2702" i="1"/>
  <c r="P2702" i="1"/>
  <c r="R2702" i="1"/>
  <c r="S2702" i="1"/>
  <c r="T2702" i="1"/>
  <c r="U2702" i="1"/>
  <c r="B2701" i="1"/>
  <c r="C2701" i="1"/>
  <c r="D2701" i="1"/>
  <c r="E2701" i="1"/>
  <c r="F2701" i="1"/>
  <c r="G2701" i="1"/>
  <c r="H2701" i="1"/>
  <c r="I2701" i="1"/>
  <c r="J2701" i="1"/>
  <c r="K2701" i="1"/>
  <c r="L2701" i="1"/>
  <c r="M2701" i="1"/>
  <c r="N2701" i="1"/>
  <c r="O2701" i="1"/>
  <c r="P2701" i="1"/>
  <c r="R2701" i="1"/>
  <c r="S2701" i="1"/>
  <c r="T2701" i="1"/>
  <c r="U2701" i="1"/>
  <c r="B2700" i="1"/>
  <c r="C2700" i="1"/>
  <c r="D2700" i="1"/>
  <c r="E2700" i="1"/>
  <c r="F2700" i="1"/>
  <c r="G2700" i="1"/>
  <c r="H2700" i="1"/>
  <c r="I2700" i="1"/>
  <c r="J2700" i="1"/>
  <c r="K2700" i="1"/>
  <c r="L2700" i="1"/>
  <c r="M2700" i="1"/>
  <c r="N2700" i="1"/>
  <c r="O2700" i="1"/>
  <c r="P2700" i="1"/>
  <c r="R2700" i="1"/>
  <c r="S2700" i="1"/>
  <c r="T2700" i="1"/>
  <c r="U2700" i="1"/>
  <c r="B2699" i="1"/>
  <c r="C2699" i="1"/>
  <c r="D2699" i="1"/>
  <c r="E2699" i="1"/>
  <c r="F2699" i="1"/>
  <c r="G2699" i="1"/>
  <c r="H2699" i="1"/>
  <c r="I2699" i="1"/>
  <c r="J2699" i="1"/>
  <c r="K2699" i="1"/>
  <c r="L2699" i="1"/>
  <c r="M2699" i="1"/>
  <c r="N2699" i="1"/>
  <c r="O2699" i="1"/>
  <c r="P2699" i="1"/>
  <c r="R2699" i="1"/>
  <c r="S2699" i="1"/>
  <c r="T2699" i="1"/>
  <c r="U2699" i="1"/>
  <c r="B2698" i="1"/>
  <c r="C2698" i="1"/>
  <c r="D2698" i="1"/>
  <c r="E2698" i="1"/>
  <c r="F2698" i="1"/>
  <c r="G2698" i="1"/>
  <c r="H2698" i="1"/>
  <c r="I2698" i="1"/>
  <c r="J2698" i="1"/>
  <c r="K2698" i="1"/>
  <c r="L2698" i="1"/>
  <c r="M2698" i="1"/>
  <c r="N2698" i="1"/>
  <c r="O2698" i="1"/>
  <c r="P2698" i="1"/>
  <c r="R2698" i="1"/>
  <c r="S2698" i="1"/>
  <c r="T2698" i="1"/>
  <c r="U2698" i="1"/>
  <c r="B2697" i="1"/>
  <c r="C2697" i="1"/>
  <c r="D2697" i="1"/>
  <c r="E2697" i="1"/>
  <c r="F2697" i="1"/>
  <c r="G2697" i="1"/>
  <c r="H2697" i="1"/>
  <c r="I2697" i="1"/>
  <c r="J2697" i="1"/>
  <c r="K2697" i="1"/>
  <c r="L2697" i="1"/>
  <c r="M2697" i="1"/>
  <c r="N2697" i="1"/>
  <c r="O2697" i="1"/>
  <c r="P2697" i="1"/>
  <c r="R2697" i="1"/>
  <c r="S2697" i="1"/>
  <c r="T2697" i="1"/>
  <c r="U2697" i="1"/>
  <c r="B2696" i="1"/>
  <c r="C2696" i="1"/>
  <c r="D2696" i="1"/>
  <c r="E2696" i="1"/>
  <c r="F2696" i="1"/>
  <c r="G2696" i="1"/>
  <c r="H2696" i="1"/>
  <c r="I2696" i="1"/>
  <c r="J2696" i="1"/>
  <c r="K2696" i="1"/>
  <c r="L2696" i="1"/>
  <c r="M2696" i="1"/>
  <c r="N2696" i="1"/>
  <c r="O2696" i="1"/>
  <c r="P2696" i="1"/>
  <c r="R2696" i="1"/>
  <c r="S2696" i="1"/>
  <c r="T2696" i="1"/>
  <c r="U2696" i="1"/>
  <c r="B2695" i="1"/>
  <c r="C2695" i="1"/>
  <c r="D2695" i="1"/>
  <c r="E2695" i="1"/>
  <c r="F2695" i="1"/>
  <c r="G2695" i="1"/>
  <c r="H2695" i="1"/>
  <c r="I2695" i="1"/>
  <c r="J2695" i="1"/>
  <c r="K2695" i="1"/>
  <c r="L2695" i="1"/>
  <c r="M2695" i="1"/>
  <c r="N2695" i="1"/>
  <c r="O2695" i="1"/>
  <c r="P2695" i="1"/>
  <c r="R2695" i="1"/>
  <c r="S2695" i="1"/>
  <c r="T2695" i="1"/>
  <c r="U2695" i="1"/>
  <c r="B2694" i="1"/>
  <c r="C2694" i="1"/>
  <c r="D2694" i="1"/>
  <c r="E2694" i="1"/>
  <c r="F2694" i="1"/>
  <c r="G2694" i="1"/>
  <c r="H2694" i="1"/>
  <c r="I2694" i="1"/>
  <c r="J2694" i="1"/>
  <c r="K2694" i="1"/>
  <c r="L2694" i="1"/>
  <c r="M2694" i="1"/>
  <c r="N2694" i="1"/>
  <c r="O2694" i="1"/>
  <c r="P2694" i="1"/>
  <c r="R2694" i="1"/>
  <c r="S2694" i="1"/>
  <c r="T2694" i="1"/>
  <c r="U2694" i="1"/>
  <c r="B2693" i="1"/>
  <c r="C2693" i="1"/>
  <c r="D2693" i="1"/>
  <c r="E2693" i="1"/>
  <c r="F2693" i="1"/>
  <c r="G2693" i="1"/>
  <c r="H2693" i="1"/>
  <c r="I2693" i="1"/>
  <c r="J2693" i="1"/>
  <c r="K2693" i="1"/>
  <c r="L2693" i="1"/>
  <c r="M2693" i="1"/>
  <c r="N2693" i="1"/>
  <c r="O2693" i="1"/>
  <c r="P2693" i="1"/>
  <c r="R2693" i="1"/>
  <c r="S2693" i="1"/>
  <c r="T2693" i="1"/>
  <c r="U2693" i="1"/>
  <c r="B2692" i="1"/>
  <c r="C2692" i="1"/>
  <c r="D2692" i="1"/>
  <c r="E2692" i="1"/>
  <c r="F2692" i="1"/>
  <c r="G2692" i="1"/>
  <c r="H2692" i="1"/>
  <c r="I2692" i="1"/>
  <c r="J2692" i="1"/>
  <c r="K2692" i="1"/>
  <c r="L2692" i="1"/>
  <c r="M2692" i="1"/>
  <c r="N2692" i="1"/>
  <c r="O2692" i="1"/>
  <c r="P2692" i="1"/>
  <c r="R2692" i="1"/>
  <c r="S2692" i="1"/>
  <c r="T2692" i="1"/>
  <c r="U2692" i="1"/>
  <c r="B2691" i="1"/>
  <c r="C2691" i="1"/>
  <c r="D2691" i="1"/>
  <c r="E2691" i="1"/>
  <c r="F2691" i="1"/>
  <c r="G2691" i="1"/>
  <c r="H2691" i="1"/>
  <c r="I2691" i="1"/>
  <c r="J2691" i="1"/>
  <c r="K2691" i="1"/>
  <c r="L2691" i="1"/>
  <c r="M2691" i="1"/>
  <c r="N2691" i="1"/>
  <c r="O2691" i="1"/>
  <c r="P2691" i="1"/>
  <c r="R2691" i="1"/>
  <c r="S2691" i="1"/>
  <c r="T2691" i="1"/>
  <c r="U2691" i="1"/>
  <c r="B2690" i="1"/>
  <c r="C2690" i="1"/>
  <c r="D2690" i="1"/>
  <c r="E2690" i="1"/>
  <c r="F2690" i="1"/>
  <c r="G2690" i="1"/>
  <c r="H2690" i="1"/>
  <c r="I2690" i="1"/>
  <c r="J2690" i="1"/>
  <c r="K2690" i="1"/>
  <c r="L2690" i="1"/>
  <c r="M2690" i="1"/>
  <c r="N2690" i="1"/>
  <c r="O2690" i="1"/>
  <c r="P2690" i="1"/>
  <c r="R2690" i="1"/>
  <c r="S2690" i="1"/>
  <c r="T2690" i="1"/>
  <c r="U2690" i="1"/>
  <c r="B2689" i="1"/>
  <c r="C2689" i="1"/>
  <c r="D2689" i="1"/>
  <c r="E2689" i="1"/>
  <c r="F2689" i="1"/>
  <c r="G2689" i="1"/>
  <c r="H2689" i="1"/>
  <c r="I2689" i="1"/>
  <c r="J2689" i="1"/>
  <c r="K2689" i="1"/>
  <c r="L2689" i="1"/>
  <c r="M2689" i="1"/>
  <c r="N2689" i="1"/>
  <c r="O2689" i="1"/>
  <c r="P2689" i="1"/>
  <c r="R2689" i="1"/>
  <c r="S2689" i="1"/>
  <c r="T2689" i="1"/>
  <c r="U2689" i="1"/>
  <c r="B2688" i="1"/>
  <c r="C2688" i="1"/>
  <c r="D2688" i="1"/>
  <c r="E2688" i="1"/>
  <c r="F2688" i="1"/>
  <c r="G2688" i="1"/>
  <c r="H2688" i="1"/>
  <c r="I2688" i="1"/>
  <c r="J2688" i="1"/>
  <c r="K2688" i="1"/>
  <c r="L2688" i="1"/>
  <c r="M2688" i="1"/>
  <c r="N2688" i="1"/>
  <c r="O2688" i="1"/>
  <c r="P2688" i="1"/>
  <c r="R2688" i="1"/>
  <c r="S2688" i="1"/>
  <c r="T2688" i="1"/>
  <c r="U2688" i="1"/>
  <c r="B2687" i="1"/>
  <c r="C2687" i="1"/>
  <c r="D2687" i="1"/>
  <c r="E2687" i="1"/>
  <c r="F2687" i="1"/>
  <c r="G2687" i="1"/>
  <c r="H2687" i="1"/>
  <c r="I2687" i="1"/>
  <c r="J2687" i="1"/>
  <c r="K2687" i="1"/>
  <c r="L2687" i="1"/>
  <c r="M2687" i="1"/>
  <c r="N2687" i="1"/>
  <c r="O2687" i="1"/>
  <c r="P2687" i="1"/>
  <c r="R2687" i="1"/>
  <c r="S2687" i="1"/>
  <c r="T2687" i="1"/>
  <c r="U2687" i="1"/>
  <c r="B2686" i="1"/>
  <c r="C2686" i="1"/>
  <c r="D2686" i="1"/>
  <c r="E2686" i="1"/>
  <c r="F2686" i="1"/>
  <c r="G2686" i="1"/>
  <c r="H2686" i="1"/>
  <c r="I2686" i="1"/>
  <c r="J2686" i="1"/>
  <c r="K2686" i="1"/>
  <c r="L2686" i="1"/>
  <c r="M2686" i="1"/>
  <c r="N2686" i="1"/>
  <c r="O2686" i="1"/>
  <c r="P2686" i="1"/>
  <c r="R2686" i="1"/>
  <c r="S2686" i="1"/>
  <c r="T2686" i="1"/>
  <c r="U2686" i="1"/>
  <c r="B2685" i="1"/>
  <c r="C2685" i="1"/>
  <c r="D2685" i="1"/>
  <c r="E2685" i="1"/>
  <c r="F2685" i="1"/>
  <c r="G2685" i="1"/>
  <c r="H2685" i="1"/>
  <c r="I2685" i="1"/>
  <c r="J2685" i="1"/>
  <c r="K2685" i="1"/>
  <c r="L2685" i="1"/>
  <c r="M2685" i="1"/>
  <c r="N2685" i="1"/>
  <c r="O2685" i="1"/>
  <c r="P2685" i="1"/>
  <c r="R2685" i="1"/>
  <c r="S2685" i="1"/>
  <c r="T2685" i="1"/>
  <c r="U2685" i="1"/>
  <c r="B2684" i="1"/>
  <c r="C2684" i="1"/>
  <c r="D2684" i="1"/>
  <c r="E2684" i="1"/>
  <c r="F2684" i="1"/>
  <c r="G2684" i="1"/>
  <c r="H2684" i="1"/>
  <c r="I2684" i="1"/>
  <c r="J2684" i="1"/>
  <c r="K2684" i="1"/>
  <c r="L2684" i="1"/>
  <c r="M2684" i="1"/>
  <c r="N2684" i="1"/>
  <c r="O2684" i="1"/>
  <c r="P2684" i="1"/>
  <c r="R2684" i="1"/>
  <c r="S2684" i="1"/>
  <c r="T2684" i="1"/>
  <c r="U2684" i="1"/>
  <c r="B2683" i="1"/>
  <c r="C2683" i="1"/>
  <c r="D2683" i="1"/>
  <c r="E2683" i="1"/>
  <c r="F2683" i="1"/>
  <c r="G2683" i="1"/>
  <c r="H2683" i="1"/>
  <c r="I2683" i="1"/>
  <c r="J2683" i="1"/>
  <c r="K2683" i="1"/>
  <c r="L2683" i="1"/>
  <c r="M2683" i="1"/>
  <c r="N2683" i="1"/>
  <c r="O2683" i="1"/>
  <c r="P2683" i="1"/>
  <c r="R2683" i="1"/>
  <c r="S2683" i="1"/>
  <c r="T2683" i="1"/>
  <c r="U2683" i="1"/>
  <c r="B2682" i="1"/>
  <c r="C2682" i="1"/>
  <c r="D2682" i="1"/>
  <c r="E2682" i="1"/>
  <c r="F2682" i="1"/>
  <c r="G2682" i="1"/>
  <c r="H2682" i="1"/>
  <c r="I2682" i="1"/>
  <c r="J2682" i="1"/>
  <c r="K2682" i="1"/>
  <c r="L2682" i="1"/>
  <c r="M2682" i="1"/>
  <c r="N2682" i="1"/>
  <c r="O2682" i="1"/>
  <c r="P2682" i="1"/>
  <c r="R2682" i="1"/>
  <c r="S2682" i="1"/>
  <c r="T2682" i="1"/>
  <c r="U2682" i="1"/>
  <c r="B2681" i="1"/>
  <c r="C2681" i="1"/>
  <c r="D2681" i="1"/>
  <c r="E2681" i="1"/>
  <c r="F2681" i="1"/>
  <c r="G2681" i="1"/>
  <c r="H2681" i="1"/>
  <c r="I2681" i="1"/>
  <c r="J2681" i="1"/>
  <c r="K2681" i="1"/>
  <c r="L2681" i="1"/>
  <c r="M2681" i="1"/>
  <c r="N2681" i="1"/>
  <c r="O2681" i="1"/>
  <c r="P2681" i="1"/>
  <c r="R2681" i="1"/>
  <c r="S2681" i="1"/>
  <c r="T2681" i="1"/>
  <c r="U2681" i="1"/>
  <c r="B2680" i="1"/>
  <c r="C2680" i="1"/>
  <c r="D2680" i="1"/>
  <c r="E2680" i="1"/>
  <c r="F2680" i="1"/>
  <c r="G2680" i="1"/>
  <c r="H2680" i="1"/>
  <c r="I2680" i="1"/>
  <c r="J2680" i="1"/>
  <c r="K2680" i="1"/>
  <c r="L2680" i="1"/>
  <c r="M2680" i="1"/>
  <c r="N2680" i="1"/>
  <c r="O2680" i="1"/>
  <c r="P2680" i="1"/>
  <c r="R2680" i="1"/>
  <c r="S2680" i="1"/>
  <c r="T2680" i="1"/>
  <c r="U2680" i="1"/>
  <c r="B2679" i="1"/>
  <c r="C2679" i="1"/>
  <c r="D2679" i="1"/>
  <c r="E2679" i="1"/>
  <c r="F2679" i="1"/>
  <c r="G2679" i="1"/>
  <c r="H2679" i="1"/>
  <c r="I2679" i="1"/>
  <c r="J2679" i="1"/>
  <c r="K2679" i="1"/>
  <c r="L2679" i="1"/>
  <c r="M2679" i="1"/>
  <c r="N2679" i="1"/>
  <c r="O2679" i="1"/>
  <c r="P2679" i="1"/>
  <c r="R2679" i="1"/>
  <c r="S2679" i="1"/>
  <c r="T2679" i="1"/>
  <c r="U2679" i="1"/>
  <c r="B2678" i="1"/>
  <c r="C2678" i="1"/>
  <c r="D2678" i="1"/>
  <c r="E2678" i="1"/>
  <c r="F2678" i="1"/>
  <c r="G2678" i="1"/>
  <c r="H2678" i="1"/>
  <c r="I2678" i="1"/>
  <c r="J2678" i="1"/>
  <c r="K2678" i="1"/>
  <c r="L2678" i="1"/>
  <c r="M2678" i="1"/>
  <c r="N2678" i="1"/>
  <c r="O2678" i="1"/>
  <c r="P2678" i="1"/>
  <c r="R2678" i="1"/>
  <c r="S2678" i="1"/>
  <c r="T2678" i="1"/>
  <c r="U2678" i="1"/>
  <c r="B2677" i="1"/>
  <c r="C2677" i="1"/>
  <c r="D2677" i="1"/>
  <c r="E2677" i="1"/>
  <c r="F2677" i="1"/>
  <c r="G2677" i="1"/>
  <c r="H2677" i="1"/>
  <c r="I2677" i="1"/>
  <c r="J2677" i="1"/>
  <c r="K2677" i="1"/>
  <c r="L2677" i="1"/>
  <c r="M2677" i="1"/>
  <c r="N2677" i="1"/>
  <c r="O2677" i="1"/>
  <c r="P2677" i="1"/>
  <c r="R2677" i="1"/>
  <c r="S2677" i="1"/>
  <c r="T2677" i="1"/>
  <c r="U2677" i="1"/>
  <c r="B2676" i="1"/>
  <c r="C2676" i="1"/>
  <c r="D2676" i="1"/>
  <c r="E2676" i="1"/>
  <c r="F2676" i="1"/>
  <c r="G2676" i="1"/>
  <c r="H2676" i="1"/>
  <c r="I2676" i="1"/>
  <c r="J2676" i="1"/>
  <c r="K2676" i="1"/>
  <c r="L2676" i="1"/>
  <c r="M2676" i="1"/>
  <c r="N2676" i="1"/>
  <c r="O2676" i="1"/>
  <c r="P2676" i="1"/>
  <c r="R2676" i="1"/>
  <c r="S2676" i="1"/>
  <c r="T2676" i="1"/>
  <c r="U2676" i="1"/>
  <c r="B2675" i="1"/>
  <c r="C2675" i="1"/>
  <c r="D2675" i="1"/>
  <c r="E2675" i="1"/>
  <c r="F2675" i="1"/>
  <c r="G2675" i="1"/>
  <c r="H2675" i="1"/>
  <c r="I2675" i="1"/>
  <c r="J2675" i="1"/>
  <c r="K2675" i="1"/>
  <c r="L2675" i="1"/>
  <c r="M2675" i="1"/>
  <c r="N2675" i="1"/>
  <c r="O2675" i="1"/>
  <c r="P2675" i="1"/>
  <c r="R2675" i="1"/>
  <c r="S2675" i="1"/>
  <c r="T2675" i="1"/>
  <c r="U2675" i="1"/>
  <c r="B2674" i="1"/>
  <c r="C2674" i="1"/>
  <c r="D2674" i="1"/>
  <c r="E2674" i="1"/>
  <c r="F2674" i="1"/>
  <c r="G2674" i="1"/>
  <c r="H2674" i="1"/>
  <c r="I2674" i="1"/>
  <c r="J2674" i="1"/>
  <c r="K2674" i="1"/>
  <c r="L2674" i="1"/>
  <c r="M2674" i="1"/>
  <c r="N2674" i="1"/>
  <c r="O2674" i="1"/>
  <c r="P2674" i="1"/>
  <c r="R2674" i="1"/>
  <c r="S2674" i="1"/>
  <c r="T2674" i="1"/>
  <c r="U2674" i="1"/>
  <c r="B2673" i="1"/>
  <c r="C2673" i="1"/>
  <c r="D2673" i="1"/>
  <c r="E2673" i="1"/>
  <c r="F2673" i="1"/>
  <c r="G2673" i="1"/>
  <c r="H2673" i="1"/>
  <c r="I2673" i="1"/>
  <c r="J2673" i="1"/>
  <c r="K2673" i="1"/>
  <c r="L2673" i="1"/>
  <c r="M2673" i="1"/>
  <c r="N2673" i="1"/>
  <c r="O2673" i="1"/>
  <c r="P2673" i="1"/>
  <c r="R2673" i="1"/>
  <c r="S2673" i="1"/>
  <c r="T2673" i="1"/>
  <c r="U2673" i="1"/>
  <c r="B2672" i="1"/>
  <c r="C2672" i="1"/>
  <c r="D2672" i="1"/>
  <c r="E2672" i="1"/>
  <c r="F2672" i="1"/>
  <c r="G2672" i="1"/>
  <c r="H2672" i="1"/>
  <c r="I2672" i="1"/>
  <c r="J2672" i="1"/>
  <c r="K2672" i="1"/>
  <c r="L2672" i="1"/>
  <c r="M2672" i="1"/>
  <c r="N2672" i="1"/>
  <c r="O2672" i="1"/>
  <c r="P2672" i="1"/>
  <c r="R2672" i="1"/>
  <c r="S2672" i="1"/>
  <c r="T2672" i="1"/>
  <c r="U2672" i="1"/>
  <c r="B2671" i="1"/>
  <c r="C2671" i="1"/>
  <c r="D2671" i="1"/>
  <c r="E2671" i="1"/>
  <c r="F2671" i="1"/>
  <c r="G2671" i="1"/>
  <c r="H2671" i="1"/>
  <c r="I2671" i="1"/>
  <c r="J2671" i="1"/>
  <c r="K2671" i="1"/>
  <c r="L2671" i="1"/>
  <c r="M2671" i="1"/>
  <c r="N2671" i="1"/>
  <c r="O2671" i="1"/>
  <c r="P2671" i="1"/>
  <c r="R2671" i="1"/>
  <c r="S2671" i="1"/>
  <c r="T2671" i="1"/>
  <c r="U2671" i="1"/>
  <c r="B2670" i="1"/>
  <c r="C2670" i="1"/>
  <c r="D2670" i="1"/>
  <c r="E2670" i="1"/>
  <c r="F2670" i="1"/>
  <c r="G2670" i="1"/>
  <c r="H2670" i="1"/>
  <c r="I2670" i="1"/>
  <c r="J2670" i="1"/>
  <c r="K2670" i="1"/>
  <c r="L2670" i="1"/>
  <c r="M2670" i="1"/>
  <c r="N2670" i="1"/>
  <c r="O2670" i="1"/>
  <c r="P2670" i="1"/>
  <c r="R2670" i="1"/>
  <c r="S2670" i="1"/>
  <c r="T2670" i="1"/>
  <c r="U2670" i="1"/>
  <c r="B2669" i="1"/>
  <c r="C2669" i="1"/>
  <c r="D2669" i="1"/>
  <c r="E2669" i="1"/>
  <c r="F2669" i="1"/>
  <c r="G2669" i="1"/>
  <c r="H2669" i="1"/>
  <c r="I2669" i="1"/>
  <c r="J2669" i="1"/>
  <c r="K2669" i="1"/>
  <c r="L2669" i="1"/>
  <c r="M2669" i="1"/>
  <c r="N2669" i="1"/>
  <c r="O2669" i="1"/>
  <c r="P2669" i="1"/>
  <c r="R2669" i="1"/>
  <c r="S2669" i="1"/>
  <c r="T2669" i="1"/>
  <c r="U2669" i="1"/>
  <c r="B2668" i="1"/>
  <c r="C2668" i="1"/>
  <c r="D2668" i="1"/>
  <c r="E2668" i="1"/>
  <c r="F2668" i="1"/>
  <c r="G2668" i="1"/>
  <c r="H2668" i="1"/>
  <c r="I2668" i="1"/>
  <c r="J2668" i="1"/>
  <c r="K2668" i="1"/>
  <c r="L2668" i="1"/>
  <c r="M2668" i="1"/>
  <c r="N2668" i="1"/>
  <c r="O2668" i="1"/>
  <c r="P2668" i="1"/>
  <c r="R2668" i="1"/>
  <c r="S2668" i="1"/>
  <c r="T2668" i="1"/>
  <c r="U2668" i="1"/>
  <c r="B2667" i="1"/>
  <c r="C2667" i="1"/>
  <c r="D2667" i="1"/>
  <c r="E2667" i="1"/>
  <c r="F2667" i="1"/>
  <c r="G2667" i="1"/>
  <c r="H2667" i="1"/>
  <c r="I2667" i="1"/>
  <c r="J2667" i="1"/>
  <c r="K2667" i="1"/>
  <c r="L2667" i="1"/>
  <c r="M2667" i="1"/>
  <c r="N2667" i="1"/>
  <c r="O2667" i="1"/>
  <c r="P2667" i="1"/>
  <c r="R2667" i="1"/>
  <c r="S2667" i="1"/>
  <c r="T2667" i="1"/>
  <c r="U2667" i="1"/>
  <c r="B2666" i="1"/>
  <c r="C2666" i="1"/>
  <c r="D2666" i="1"/>
  <c r="E2666" i="1"/>
  <c r="F2666" i="1"/>
  <c r="G2666" i="1"/>
  <c r="H2666" i="1"/>
  <c r="I2666" i="1"/>
  <c r="J2666" i="1"/>
  <c r="K2666" i="1"/>
  <c r="L2666" i="1"/>
  <c r="M2666" i="1"/>
  <c r="N2666" i="1"/>
  <c r="O2666" i="1"/>
  <c r="P2666" i="1"/>
  <c r="R2666" i="1"/>
  <c r="S2666" i="1"/>
  <c r="T2666" i="1"/>
  <c r="U2666" i="1"/>
  <c r="T2665" i="1"/>
  <c r="U2665" i="1"/>
  <c r="R2665" i="1"/>
  <c r="S2665" i="1"/>
  <c r="P2665" i="1"/>
  <c r="N2665" i="1"/>
  <c r="O2665" i="1"/>
  <c r="L2665" i="1"/>
  <c r="M2665" i="1"/>
  <c r="K2665" i="1"/>
  <c r="J2665" i="1"/>
  <c r="I2665" i="1"/>
  <c r="H2665" i="1"/>
  <c r="F2665" i="1"/>
  <c r="G2665" i="1"/>
  <c r="D2665" i="1"/>
  <c r="E2665" i="1"/>
  <c r="B2665" i="1"/>
  <c r="C2665" i="1"/>
  <c r="T2560" i="1"/>
  <c r="U2560" i="1"/>
  <c r="R2560" i="1"/>
  <c r="S2560" i="1"/>
  <c r="P2560" i="1"/>
  <c r="N2560" i="1"/>
  <c r="O2560" i="1"/>
  <c r="M2560" i="1"/>
  <c r="L2560" i="1"/>
  <c r="K2560" i="1"/>
  <c r="J2560" i="1"/>
  <c r="I2560" i="1"/>
  <c r="H2560" i="1"/>
  <c r="F2560" i="1"/>
  <c r="G2560" i="1"/>
  <c r="D2560" i="1"/>
  <c r="E2560" i="1"/>
  <c r="B2560" i="1"/>
  <c r="C2560" i="1"/>
  <c r="D1674" i="1"/>
  <c r="E1674" i="1"/>
  <c r="F1674" i="1"/>
  <c r="G1674" i="1"/>
  <c r="H1674" i="1"/>
  <c r="I1674" i="1"/>
  <c r="J1674" i="1"/>
  <c r="K1674" i="1"/>
  <c r="L1674" i="1"/>
  <c r="M1674" i="1"/>
  <c r="N1674" i="1"/>
  <c r="O1674" i="1"/>
  <c r="P1674" i="1"/>
  <c r="R1674" i="1"/>
  <c r="S1674" i="1"/>
  <c r="T1674" i="1"/>
  <c r="U1674" i="1"/>
  <c r="D1673" i="1"/>
  <c r="E1673" i="1"/>
  <c r="F1673" i="1"/>
  <c r="G1673" i="1"/>
  <c r="H1673" i="1"/>
  <c r="I1673" i="1"/>
  <c r="J1673" i="1"/>
  <c r="K1673" i="1"/>
  <c r="L1673" i="1"/>
  <c r="M1673" i="1"/>
  <c r="N1673" i="1"/>
  <c r="O1673" i="1"/>
  <c r="P1673" i="1"/>
  <c r="R1673" i="1"/>
  <c r="S1673" i="1"/>
  <c r="T1673" i="1"/>
  <c r="U1673" i="1"/>
  <c r="D1672" i="1"/>
  <c r="E1672" i="1"/>
  <c r="F1672" i="1"/>
  <c r="G1672" i="1"/>
  <c r="H1672" i="1"/>
  <c r="I1672" i="1"/>
  <c r="J1672" i="1"/>
  <c r="K1672" i="1"/>
  <c r="L1672" i="1"/>
  <c r="M1672" i="1"/>
  <c r="N1672" i="1"/>
  <c r="O1672" i="1"/>
  <c r="P1672" i="1"/>
  <c r="R1672" i="1"/>
  <c r="S1672" i="1"/>
  <c r="T1672" i="1"/>
  <c r="U1672" i="1"/>
  <c r="D1671" i="1"/>
  <c r="E1671" i="1"/>
  <c r="F1671" i="1"/>
  <c r="G1671" i="1"/>
  <c r="H1671" i="1"/>
  <c r="I1671" i="1"/>
  <c r="J1671" i="1"/>
  <c r="K1671" i="1"/>
  <c r="L1671" i="1"/>
  <c r="M1671" i="1"/>
  <c r="N1671" i="1"/>
  <c r="O1671" i="1"/>
  <c r="P1671" i="1"/>
  <c r="R1671" i="1"/>
  <c r="S1671" i="1"/>
  <c r="T1671" i="1"/>
  <c r="U1671" i="1"/>
  <c r="D1670" i="1"/>
  <c r="E1670" i="1"/>
  <c r="F1670" i="1"/>
  <c r="G1670" i="1"/>
  <c r="H1670" i="1"/>
  <c r="I1670" i="1"/>
  <c r="J1670" i="1"/>
  <c r="K1670" i="1"/>
  <c r="L1670" i="1"/>
  <c r="M1670" i="1"/>
  <c r="N1670" i="1"/>
  <c r="O1670" i="1"/>
  <c r="P1670" i="1"/>
  <c r="R1670" i="1"/>
  <c r="S1670" i="1"/>
  <c r="T1670" i="1"/>
  <c r="U1670" i="1"/>
  <c r="B1669" i="1"/>
  <c r="D1669" i="1"/>
  <c r="E1669" i="1"/>
  <c r="F1669" i="1"/>
  <c r="G1669" i="1"/>
  <c r="H1669" i="1"/>
  <c r="I1669" i="1"/>
  <c r="J1669" i="1"/>
  <c r="K1669" i="1"/>
  <c r="L1669" i="1"/>
  <c r="M1669" i="1"/>
  <c r="N1669" i="1"/>
  <c r="O1669" i="1"/>
  <c r="P1669" i="1"/>
  <c r="R1669" i="1"/>
  <c r="S1669" i="1"/>
  <c r="T1669" i="1"/>
  <c r="U1669" i="1"/>
  <c r="D1668" i="1"/>
  <c r="E1668" i="1"/>
  <c r="F1668" i="1"/>
  <c r="G1668" i="1"/>
  <c r="H1668" i="1"/>
  <c r="I1668" i="1"/>
  <c r="J1668" i="1"/>
  <c r="K1668" i="1"/>
  <c r="L1668" i="1"/>
  <c r="M1668" i="1"/>
  <c r="N1668" i="1"/>
  <c r="O1668" i="1"/>
  <c r="P1668" i="1"/>
  <c r="R1668" i="1"/>
  <c r="S1668" i="1"/>
  <c r="T1668" i="1"/>
  <c r="U1668" i="1"/>
  <c r="D1667" i="1"/>
  <c r="E1667" i="1"/>
  <c r="F1667" i="1"/>
  <c r="G1667" i="1"/>
  <c r="H1667" i="1"/>
  <c r="I1667" i="1"/>
  <c r="J1667" i="1"/>
  <c r="K1667" i="1"/>
  <c r="L1667" i="1"/>
  <c r="M1667" i="1"/>
  <c r="N1667" i="1"/>
  <c r="O1667" i="1"/>
  <c r="P1667" i="1"/>
  <c r="R1667" i="1"/>
  <c r="S1667" i="1"/>
  <c r="T1667" i="1"/>
  <c r="U1667" i="1"/>
  <c r="D1666" i="1"/>
  <c r="E1666" i="1"/>
  <c r="F1666" i="1"/>
  <c r="G1666" i="1"/>
  <c r="H1666" i="1"/>
  <c r="I1666" i="1"/>
  <c r="J1666" i="1"/>
  <c r="K1666" i="1"/>
  <c r="L1666" i="1"/>
  <c r="M1666" i="1"/>
  <c r="N1666" i="1"/>
  <c r="O1666" i="1"/>
  <c r="P1666" i="1"/>
  <c r="R1666" i="1"/>
  <c r="S1666" i="1"/>
  <c r="T1666" i="1"/>
  <c r="U1666" i="1"/>
  <c r="D1665" i="1"/>
  <c r="E1665" i="1"/>
  <c r="F1665" i="1"/>
  <c r="G1665" i="1"/>
  <c r="H1665" i="1"/>
  <c r="I1665" i="1"/>
  <c r="J1665" i="1"/>
  <c r="K1665" i="1"/>
  <c r="L1665" i="1"/>
  <c r="M1665" i="1"/>
  <c r="N1665" i="1"/>
  <c r="O1665" i="1"/>
  <c r="P1665" i="1"/>
  <c r="R1665" i="1"/>
  <c r="S1665" i="1"/>
  <c r="T1665" i="1"/>
  <c r="U1665" i="1"/>
  <c r="D1664" i="1"/>
  <c r="E1664" i="1"/>
  <c r="F1664" i="1"/>
  <c r="G1664" i="1"/>
  <c r="H1664" i="1"/>
  <c r="I1664" i="1"/>
  <c r="J1664" i="1"/>
  <c r="K1664" i="1"/>
  <c r="L1664" i="1"/>
  <c r="M1664" i="1"/>
  <c r="N1664" i="1"/>
  <c r="O1664" i="1"/>
  <c r="P1664" i="1"/>
  <c r="R1664" i="1"/>
  <c r="S1664" i="1"/>
  <c r="T1664" i="1"/>
  <c r="U1664" i="1"/>
  <c r="D1663" i="1"/>
  <c r="E1663" i="1"/>
  <c r="F1663" i="1"/>
  <c r="G1663" i="1"/>
  <c r="H1663" i="1"/>
  <c r="I1663" i="1"/>
  <c r="J1663" i="1"/>
  <c r="K1663" i="1"/>
  <c r="L1663" i="1"/>
  <c r="M1663" i="1"/>
  <c r="N1663" i="1"/>
  <c r="O1663" i="1"/>
  <c r="P1663" i="1"/>
  <c r="R1663" i="1"/>
  <c r="S1663" i="1"/>
  <c r="T1663" i="1"/>
  <c r="U1663" i="1"/>
  <c r="D1662" i="1"/>
  <c r="E1662" i="1"/>
  <c r="F1662" i="1"/>
  <c r="G1662" i="1"/>
  <c r="H1662" i="1"/>
  <c r="I1662" i="1"/>
  <c r="J1662" i="1"/>
  <c r="K1662" i="1"/>
  <c r="L1662" i="1"/>
  <c r="M1662" i="1"/>
  <c r="N1662" i="1"/>
  <c r="O1662" i="1"/>
  <c r="P1662" i="1"/>
  <c r="R1662" i="1"/>
  <c r="S1662" i="1"/>
  <c r="T1662" i="1"/>
  <c r="U1662" i="1"/>
  <c r="B1661" i="1"/>
  <c r="D1661" i="1"/>
  <c r="E1661" i="1"/>
  <c r="F1661" i="1"/>
  <c r="G1661" i="1"/>
  <c r="H1661" i="1"/>
  <c r="I1661" i="1"/>
  <c r="J1661" i="1"/>
  <c r="K1661" i="1"/>
  <c r="L1661" i="1"/>
  <c r="M1661" i="1"/>
  <c r="N1661" i="1"/>
  <c r="O1661" i="1"/>
  <c r="P1661" i="1"/>
  <c r="R1661" i="1"/>
  <c r="S1661" i="1"/>
  <c r="T1661" i="1"/>
  <c r="U1661" i="1"/>
  <c r="D1660" i="1"/>
  <c r="E1660" i="1"/>
  <c r="F1660" i="1"/>
  <c r="G1660" i="1"/>
  <c r="H1660" i="1"/>
  <c r="I1660" i="1"/>
  <c r="J1660" i="1"/>
  <c r="K1660" i="1"/>
  <c r="L1660" i="1"/>
  <c r="M1660" i="1"/>
  <c r="N1660" i="1"/>
  <c r="O1660" i="1"/>
  <c r="P1660" i="1"/>
  <c r="R1660" i="1"/>
  <c r="S1660" i="1"/>
  <c r="T1660" i="1"/>
  <c r="U1660" i="1"/>
  <c r="D1659" i="1"/>
  <c r="E1659" i="1"/>
  <c r="F1659" i="1"/>
  <c r="G1659" i="1"/>
  <c r="H1659" i="1"/>
  <c r="I1659" i="1"/>
  <c r="J1659" i="1"/>
  <c r="K1659" i="1"/>
  <c r="L1659" i="1"/>
  <c r="M1659" i="1"/>
  <c r="N1659" i="1"/>
  <c r="O1659" i="1"/>
  <c r="P1659" i="1"/>
  <c r="R1659" i="1"/>
  <c r="S1659" i="1"/>
  <c r="T1659" i="1"/>
  <c r="U1659" i="1"/>
  <c r="D1658" i="1"/>
  <c r="E1658" i="1"/>
  <c r="F1658" i="1"/>
  <c r="G1658" i="1"/>
  <c r="H1658" i="1"/>
  <c r="I1658" i="1"/>
  <c r="J1658" i="1"/>
  <c r="K1658" i="1"/>
  <c r="L1658" i="1"/>
  <c r="M1658" i="1"/>
  <c r="N1658" i="1"/>
  <c r="O1658" i="1"/>
  <c r="P1658" i="1"/>
  <c r="R1658" i="1"/>
  <c r="S1658" i="1"/>
  <c r="T1658" i="1"/>
  <c r="U1658" i="1"/>
  <c r="D1657" i="1"/>
  <c r="E1657" i="1"/>
  <c r="F1657" i="1"/>
  <c r="G1657" i="1"/>
  <c r="H1657" i="1"/>
  <c r="I1657" i="1"/>
  <c r="J1657" i="1"/>
  <c r="K1657" i="1"/>
  <c r="L1657" i="1"/>
  <c r="M1657" i="1"/>
  <c r="N1657" i="1"/>
  <c r="O1657" i="1"/>
  <c r="P1657" i="1"/>
  <c r="R1657" i="1"/>
  <c r="S1657" i="1"/>
  <c r="T1657" i="1"/>
  <c r="U1657" i="1"/>
  <c r="D1656" i="1"/>
  <c r="E1656" i="1"/>
  <c r="F1656" i="1"/>
  <c r="G1656" i="1"/>
  <c r="H1656" i="1"/>
  <c r="I1656" i="1"/>
  <c r="J1656" i="1"/>
  <c r="K1656" i="1"/>
  <c r="L1656" i="1"/>
  <c r="M1656" i="1"/>
  <c r="N1656" i="1"/>
  <c r="O1656" i="1"/>
  <c r="P1656" i="1"/>
  <c r="R1656" i="1"/>
  <c r="S1656" i="1"/>
  <c r="T1656" i="1"/>
  <c r="U1656" i="1"/>
  <c r="D1655" i="1"/>
  <c r="E1655" i="1"/>
  <c r="F1655" i="1"/>
  <c r="G1655" i="1"/>
  <c r="H1655" i="1"/>
  <c r="I1655" i="1"/>
  <c r="J1655" i="1"/>
  <c r="K1655" i="1"/>
  <c r="L1655" i="1"/>
  <c r="M1655" i="1"/>
  <c r="N1655" i="1"/>
  <c r="O1655" i="1"/>
  <c r="P1655" i="1"/>
  <c r="R1655" i="1"/>
  <c r="S1655" i="1"/>
  <c r="T1655" i="1"/>
  <c r="U1655" i="1"/>
  <c r="D1654" i="1"/>
  <c r="E1654" i="1"/>
  <c r="F1654" i="1"/>
  <c r="G1654" i="1"/>
  <c r="H1654" i="1"/>
  <c r="I1654" i="1"/>
  <c r="J1654" i="1"/>
  <c r="K1654" i="1"/>
  <c r="L1654" i="1"/>
  <c r="M1654" i="1"/>
  <c r="N1654" i="1"/>
  <c r="O1654" i="1"/>
  <c r="P1654" i="1"/>
  <c r="R1654" i="1"/>
  <c r="S1654" i="1"/>
  <c r="T1654" i="1"/>
  <c r="U1654" i="1"/>
  <c r="B1653" i="1"/>
  <c r="D1653" i="1"/>
  <c r="E1653" i="1"/>
  <c r="F1653" i="1"/>
  <c r="G1653" i="1"/>
  <c r="H1653" i="1"/>
  <c r="I1653" i="1"/>
  <c r="J1653" i="1"/>
  <c r="K1653" i="1"/>
  <c r="L1653" i="1"/>
  <c r="M1653" i="1"/>
  <c r="N1653" i="1"/>
  <c r="O1653" i="1"/>
  <c r="P1653" i="1"/>
  <c r="R1653" i="1"/>
  <c r="S1653" i="1"/>
  <c r="T1653" i="1"/>
  <c r="U1653" i="1"/>
  <c r="D1652" i="1"/>
  <c r="E1652" i="1"/>
  <c r="F1652" i="1"/>
  <c r="G1652" i="1"/>
  <c r="H1652" i="1"/>
  <c r="I1652" i="1"/>
  <c r="J1652" i="1"/>
  <c r="K1652" i="1"/>
  <c r="L1652" i="1"/>
  <c r="M1652" i="1"/>
  <c r="N1652" i="1"/>
  <c r="O1652" i="1"/>
  <c r="P1652" i="1"/>
  <c r="R1652" i="1"/>
  <c r="S1652" i="1"/>
  <c r="T1652" i="1"/>
  <c r="U1652" i="1"/>
  <c r="D1651" i="1"/>
  <c r="E1651" i="1"/>
  <c r="F1651" i="1"/>
  <c r="G1651" i="1"/>
  <c r="H1651" i="1"/>
  <c r="I1651" i="1"/>
  <c r="J1651" i="1"/>
  <c r="K1651" i="1"/>
  <c r="L1651" i="1"/>
  <c r="M1651" i="1"/>
  <c r="N1651" i="1"/>
  <c r="O1651" i="1"/>
  <c r="P1651" i="1"/>
  <c r="R1651" i="1"/>
  <c r="S1651" i="1"/>
  <c r="T1651" i="1"/>
  <c r="U1651" i="1"/>
  <c r="D1650" i="1"/>
  <c r="E1650" i="1"/>
  <c r="F1650" i="1"/>
  <c r="G1650" i="1"/>
  <c r="H1650" i="1"/>
  <c r="I1650" i="1"/>
  <c r="J1650" i="1"/>
  <c r="K1650" i="1"/>
  <c r="L1650" i="1"/>
  <c r="M1650" i="1"/>
  <c r="N1650" i="1"/>
  <c r="O1650" i="1"/>
  <c r="P1650" i="1"/>
  <c r="R1650" i="1"/>
  <c r="S1650" i="1"/>
  <c r="T1650" i="1"/>
  <c r="U1650" i="1"/>
  <c r="D1649" i="1"/>
  <c r="E1649" i="1"/>
  <c r="F1649" i="1"/>
  <c r="G1649" i="1"/>
  <c r="H1649" i="1"/>
  <c r="I1649" i="1"/>
  <c r="J1649" i="1"/>
  <c r="K1649" i="1"/>
  <c r="L1649" i="1"/>
  <c r="M1649" i="1"/>
  <c r="N1649" i="1"/>
  <c r="O1649" i="1"/>
  <c r="P1649" i="1"/>
  <c r="R1649" i="1"/>
  <c r="S1649" i="1"/>
  <c r="T1649" i="1"/>
  <c r="U1649" i="1"/>
  <c r="D1648" i="1"/>
  <c r="E1648" i="1"/>
  <c r="F1648" i="1"/>
  <c r="G1648" i="1"/>
  <c r="H1648" i="1"/>
  <c r="I1648" i="1"/>
  <c r="J1648" i="1"/>
  <c r="K1648" i="1"/>
  <c r="L1648" i="1"/>
  <c r="M1648" i="1"/>
  <c r="N1648" i="1"/>
  <c r="O1648" i="1"/>
  <c r="P1648" i="1"/>
  <c r="R1648" i="1"/>
  <c r="S1648" i="1"/>
  <c r="T1648" i="1"/>
  <c r="U1648" i="1"/>
  <c r="D1647" i="1"/>
  <c r="E1647" i="1"/>
  <c r="F1647" i="1"/>
  <c r="G1647" i="1"/>
  <c r="H1647" i="1"/>
  <c r="I1647" i="1"/>
  <c r="J1647" i="1"/>
  <c r="K1647" i="1"/>
  <c r="L1647" i="1"/>
  <c r="M1647" i="1"/>
  <c r="N1647" i="1"/>
  <c r="O1647" i="1"/>
  <c r="P1647" i="1"/>
  <c r="R1647" i="1"/>
  <c r="S1647" i="1"/>
  <c r="T1647" i="1"/>
  <c r="U1647" i="1"/>
  <c r="D1646" i="1"/>
  <c r="E1646" i="1"/>
  <c r="F1646" i="1"/>
  <c r="G1646" i="1"/>
  <c r="H1646" i="1"/>
  <c r="I1646" i="1"/>
  <c r="J1646" i="1"/>
  <c r="K1646" i="1"/>
  <c r="L1646" i="1"/>
  <c r="M1646" i="1"/>
  <c r="N1646" i="1"/>
  <c r="O1646" i="1"/>
  <c r="P1646" i="1"/>
  <c r="R1646" i="1"/>
  <c r="S1646" i="1"/>
  <c r="T1646" i="1"/>
  <c r="U1646" i="1"/>
  <c r="B1645" i="1"/>
  <c r="D1645" i="1"/>
  <c r="E1645" i="1"/>
  <c r="F1645" i="1"/>
  <c r="G1645" i="1"/>
  <c r="H1645" i="1"/>
  <c r="I1645" i="1"/>
  <c r="J1645" i="1"/>
  <c r="K1645" i="1"/>
  <c r="L1645" i="1"/>
  <c r="M1645" i="1"/>
  <c r="N1645" i="1"/>
  <c r="O1645" i="1"/>
  <c r="P1645" i="1"/>
  <c r="R1645" i="1"/>
  <c r="S1645" i="1"/>
  <c r="T1645" i="1"/>
  <c r="U1645" i="1"/>
  <c r="D1644" i="1"/>
  <c r="E1644" i="1"/>
  <c r="F1644" i="1"/>
  <c r="G1644" i="1"/>
  <c r="H1644" i="1"/>
  <c r="I1644" i="1"/>
  <c r="J1644" i="1"/>
  <c r="K1644" i="1"/>
  <c r="L1644" i="1"/>
  <c r="M1644" i="1"/>
  <c r="N1644" i="1"/>
  <c r="O1644" i="1"/>
  <c r="P1644" i="1"/>
  <c r="R1644" i="1"/>
  <c r="S1644" i="1"/>
  <c r="T1644" i="1"/>
  <c r="U1644" i="1"/>
  <c r="D1643" i="1"/>
  <c r="E1643" i="1"/>
  <c r="F1643" i="1"/>
  <c r="G1643" i="1"/>
  <c r="H1643" i="1"/>
  <c r="I1643" i="1"/>
  <c r="J1643" i="1"/>
  <c r="K1643" i="1"/>
  <c r="L1643" i="1"/>
  <c r="M1643" i="1"/>
  <c r="N1643" i="1"/>
  <c r="O1643" i="1"/>
  <c r="P1643" i="1"/>
  <c r="R1643" i="1"/>
  <c r="S1643" i="1"/>
  <c r="T1643" i="1"/>
  <c r="U1643" i="1"/>
  <c r="D1642" i="1"/>
  <c r="E1642" i="1"/>
  <c r="F1642" i="1"/>
  <c r="G1642" i="1"/>
  <c r="H1642" i="1"/>
  <c r="I1642" i="1"/>
  <c r="J1642" i="1"/>
  <c r="K1642" i="1"/>
  <c r="L1642" i="1"/>
  <c r="M1642" i="1"/>
  <c r="N1642" i="1"/>
  <c r="O1642" i="1"/>
  <c r="P1642" i="1"/>
  <c r="R1642" i="1"/>
  <c r="S1642" i="1"/>
  <c r="T1642" i="1"/>
  <c r="U1642" i="1"/>
  <c r="D1641" i="1"/>
  <c r="E1641" i="1"/>
  <c r="F1641" i="1"/>
  <c r="G1641" i="1"/>
  <c r="H1641" i="1"/>
  <c r="I1641" i="1"/>
  <c r="J1641" i="1"/>
  <c r="K1641" i="1"/>
  <c r="L1641" i="1"/>
  <c r="M1641" i="1"/>
  <c r="N1641" i="1"/>
  <c r="O1641" i="1"/>
  <c r="P1641" i="1"/>
  <c r="R1641" i="1"/>
  <c r="S1641" i="1"/>
  <c r="T1641" i="1"/>
  <c r="U1641" i="1"/>
  <c r="D1640" i="1"/>
  <c r="E1640" i="1"/>
  <c r="F1640" i="1"/>
  <c r="G1640" i="1"/>
  <c r="H1640" i="1"/>
  <c r="I1640" i="1"/>
  <c r="J1640" i="1"/>
  <c r="K1640" i="1"/>
  <c r="L1640" i="1"/>
  <c r="M1640" i="1"/>
  <c r="N1640" i="1"/>
  <c r="O1640" i="1"/>
  <c r="P1640" i="1"/>
  <c r="R1640" i="1"/>
  <c r="S1640" i="1"/>
  <c r="T1640" i="1"/>
  <c r="U1640" i="1"/>
  <c r="D1639" i="1"/>
  <c r="E1639" i="1"/>
  <c r="F1639" i="1"/>
  <c r="G1639" i="1"/>
  <c r="H1639" i="1"/>
  <c r="I1639" i="1"/>
  <c r="J1639" i="1"/>
  <c r="K1639" i="1"/>
  <c r="L1639" i="1"/>
  <c r="M1639" i="1"/>
  <c r="N1639" i="1"/>
  <c r="O1639" i="1"/>
  <c r="P1639" i="1"/>
  <c r="R1639" i="1"/>
  <c r="S1639" i="1"/>
  <c r="T1639" i="1"/>
  <c r="U1639" i="1"/>
  <c r="D1638" i="1"/>
  <c r="E1638" i="1"/>
  <c r="F1638" i="1"/>
  <c r="G1638" i="1"/>
  <c r="H1638" i="1"/>
  <c r="I1638" i="1"/>
  <c r="J1638" i="1"/>
  <c r="K1638" i="1"/>
  <c r="L1638" i="1"/>
  <c r="M1638" i="1"/>
  <c r="N1638" i="1"/>
  <c r="O1638" i="1"/>
  <c r="P1638" i="1"/>
  <c r="R1638" i="1"/>
  <c r="S1638" i="1"/>
  <c r="T1638" i="1"/>
  <c r="U1638" i="1"/>
  <c r="D1637" i="1"/>
  <c r="E1637" i="1"/>
  <c r="F1637" i="1"/>
  <c r="G1637" i="1"/>
  <c r="H1637" i="1"/>
  <c r="I1637" i="1"/>
  <c r="J1637" i="1"/>
  <c r="K1637" i="1"/>
  <c r="L1637" i="1"/>
  <c r="M1637" i="1"/>
  <c r="N1637" i="1"/>
  <c r="O1637" i="1"/>
  <c r="P1637" i="1"/>
  <c r="R1637" i="1"/>
  <c r="S1637" i="1"/>
  <c r="T1637" i="1"/>
  <c r="U1637" i="1"/>
  <c r="B1636" i="1"/>
  <c r="D1636" i="1"/>
  <c r="E1636" i="1"/>
  <c r="F1636" i="1"/>
  <c r="G1636" i="1"/>
  <c r="H1636" i="1"/>
  <c r="I1636" i="1"/>
  <c r="J1636" i="1"/>
  <c r="K1636" i="1"/>
  <c r="L1636" i="1"/>
  <c r="M1636" i="1"/>
  <c r="N1636" i="1"/>
  <c r="O1636" i="1"/>
  <c r="P1636" i="1"/>
  <c r="R1636" i="1"/>
  <c r="S1636" i="1"/>
  <c r="T1636" i="1"/>
  <c r="U1636" i="1"/>
  <c r="D1635" i="1"/>
  <c r="E1635" i="1"/>
  <c r="F1635" i="1"/>
  <c r="G1635" i="1"/>
  <c r="H1635" i="1"/>
  <c r="I1635" i="1"/>
  <c r="J1635" i="1"/>
  <c r="K1635" i="1"/>
  <c r="L1635" i="1"/>
  <c r="M1635" i="1"/>
  <c r="N1635" i="1"/>
  <c r="O1635" i="1"/>
  <c r="P1635" i="1"/>
  <c r="R1635" i="1"/>
  <c r="S1635" i="1"/>
  <c r="T1635" i="1"/>
  <c r="U1635" i="1"/>
  <c r="D1634" i="1"/>
  <c r="E1634" i="1"/>
  <c r="F1634" i="1"/>
  <c r="G1634" i="1"/>
  <c r="H1634" i="1"/>
  <c r="I1634" i="1"/>
  <c r="J1634" i="1"/>
  <c r="K1634" i="1"/>
  <c r="L1634" i="1"/>
  <c r="M1634" i="1"/>
  <c r="N1634" i="1"/>
  <c r="O1634" i="1"/>
  <c r="P1634" i="1"/>
  <c r="R1634" i="1"/>
  <c r="S1634" i="1"/>
  <c r="T1634" i="1"/>
  <c r="U1634" i="1"/>
  <c r="D1633" i="1"/>
  <c r="E1633" i="1"/>
  <c r="F1633" i="1"/>
  <c r="G1633" i="1"/>
  <c r="H1633" i="1"/>
  <c r="I1633" i="1"/>
  <c r="J1633" i="1"/>
  <c r="K1633" i="1"/>
  <c r="L1633" i="1"/>
  <c r="M1633" i="1"/>
  <c r="N1633" i="1"/>
  <c r="O1633" i="1"/>
  <c r="P1633" i="1"/>
  <c r="R1633" i="1"/>
  <c r="S1633" i="1"/>
  <c r="T1633" i="1"/>
  <c r="U1633" i="1"/>
  <c r="D1632" i="1"/>
  <c r="E1632" i="1"/>
  <c r="F1632" i="1"/>
  <c r="G1632" i="1"/>
  <c r="H1632" i="1"/>
  <c r="I1632" i="1"/>
  <c r="J1632" i="1"/>
  <c r="K1632" i="1"/>
  <c r="L1632" i="1"/>
  <c r="M1632" i="1"/>
  <c r="N1632" i="1"/>
  <c r="O1632" i="1"/>
  <c r="P1632" i="1"/>
  <c r="R1632" i="1"/>
  <c r="S1632" i="1"/>
  <c r="T1632" i="1"/>
  <c r="U1632" i="1"/>
  <c r="D1631" i="1"/>
  <c r="E1631" i="1"/>
  <c r="F1631" i="1"/>
  <c r="G1631" i="1"/>
  <c r="H1631" i="1"/>
  <c r="I1631" i="1"/>
  <c r="J1631" i="1"/>
  <c r="K1631" i="1"/>
  <c r="L1631" i="1"/>
  <c r="M1631" i="1"/>
  <c r="N1631" i="1"/>
  <c r="O1631" i="1"/>
  <c r="P1631" i="1"/>
  <c r="R1631" i="1"/>
  <c r="S1631" i="1"/>
  <c r="T1631" i="1"/>
  <c r="U1631" i="1"/>
  <c r="D1630" i="1"/>
  <c r="E1630" i="1"/>
  <c r="F1630" i="1"/>
  <c r="G1630" i="1"/>
  <c r="H1630" i="1"/>
  <c r="I1630" i="1"/>
  <c r="J1630" i="1"/>
  <c r="K1630" i="1"/>
  <c r="L1630" i="1"/>
  <c r="M1630" i="1"/>
  <c r="N1630" i="1"/>
  <c r="O1630" i="1"/>
  <c r="P1630" i="1"/>
  <c r="R1630" i="1"/>
  <c r="S1630" i="1"/>
  <c r="T1630" i="1"/>
  <c r="U1630" i="1"/>
  <c r="D1629" i="1"/>
  <c r="E1629" i="1"/>
  <c r="F1629" i="1"/>
  <c r="G1629" i="1"/>
  <c r="H1629" i="1"/>
  <c r="I1629" i="1"/>
  <c r="J1629" i="1"/>
  <c r="K1629" i="1"/>
  <c r="L1629" i="1"/>
  <c r="M1629" i="1"/>
  <c r="N1629" i="1"/>
  <c r="O1629" i="1"/>
  <c r="P1629" i="1"/>
  <c r="R1629" i="1"/>
  <c r="S1629" i="1"/>
  <c r="T1629" i="1"/>
  <c r="U1629" i="1"/>
  <c r="D1628" i="1"/>
  <c r="E1628" i="1"/>
  <c r="F1628" i="1"/>
  <c r="G1628" i="1"/>
  <c r="H1628" i="1"/>
  <c r="I1628" i="1"/>
  <c r="J1628" i="1"/>
  <c r="K1628" i="1"/>
  <c r="L1628" i="1"/>
  <c r="M1628" i="1"/>
  <c r="N1628" i="1"/>
  <c r="O1628" i="1"/>
  <c r="P1628" i="1"/>
  <c r="R1628" i="1"/>
  <c r="S1628" i="1"/>
  <c r="T1628" i="1"/>
  <c r="U1628" i="1"/>
  <c r="B1627" i="1"/>
  <c r="D1627" i="1"/>
  <c r="E1627" i="1"/>
  <c r="F1627" i="1"/>
  <c r="G1627" i="1"/>
  <c r="H1627" i="1"/>
  <c r="I1627" i="1"/>
  <c r="J1627" i="1"/>
  <c r="K1627" i="1"/>
  <c r="L1627" i="1"/>
  <c r="M1627" i="1"/>
  <c r="N1627" i="1"/>
  <c r="O1627" i="1"/>
  <c r="P1627" i="1"/>
  <c r="R1627" i="1"/>
  <c r="S1627" i="1"/>
  <c r="T1627" i="1"/>
  <c r="U1627" i="1"/>
  <c r="D1626" i="1"/>
  <c r="E1626" i="1"/>
  <c r="F1626" i="1"/>
  <c r="G1626" i="1"/>
  <c r="H1626" i="1"/>
  <c r="I1626" i="1"/>
  <c r="J1626" i="1"/>
  <c r="K1626" i="1"/>
  <c r="L1626" i="1"/>
  <c r="M1626" i="1"/>
  <c r="N1626" i="1"/>
  <c r="O1626" i="1"/>
  <c r="P1626" i="1"/>
  <c r="R1626" i="1"/>
  <c r="S1626" i="1"/>
  <c r="T1626" i="1"/>
  <c r="U1626" i="1"/>
  <c r="D1625" i="1"/>
  <c r="E1625" i="1"/>
  <c r="F1625" i="1"/>
  <c r="G1625" i="1"/>
  <c r="H1625" i="1"/>
  <c r="I1625" i="1"/>
  <c r="J1625" i="1"/>
  <c r="K1625" i="1"/>
  <c r="L1625" i="1"/>
  <c r="M1625" i="1"/>
  <c r="N1625" i="1"/>
  <c r="O1625" i="1"/>
  <c r="P1625" i="1"/>
  <c r="R1625" i="1"/>
  <c r="S1625" i="1"/>
  <c r="T1625" i="1"/>
  <c r="U1625" i="1"/>
  <c r="D1624" i="1"/>
  <c r="E1624" i="1"/>
  <c r="F1624" i="1"/>
  <c r="G1624" i="1"/>
  <c r="H1624" i="1"/>
  <c r="I1624" i="1"/>
  <c r="J1624" i="1"/>
  <c r="K1624" i="1"/>
  <c r="L1624" i="1"/>
  <c r="M1624" i="1"/>
  <c r="N1624" i="1"/>
  <c r="O1624" i="1"/>
  <c r="P1624" i="1"/>
  <c r="R1624" i="1"/>
  <c r="S1624" i="1"/>
  <c r="T1624" i="1"/>
  <c r="U1624" i="1"/>
  <c r="D1623" i="1"/>
  <c r="E1623" i="1"/>
  <c r="F1623" i="1"/>
  <c r="G1623" i="1"/>
  <c r="H1623" i="1"/>
  <c r="I1623" i="1"/>
  <c r="J1623" i="1"/>
  <c r="K1623" i="1"/>
  <c r="L1623" i="1"/>
  <c r="M1623" i="1"/>
  <c r="N1623" i="1"/>
  <c r="O1623" i="1"/>
  <c r="P1623" i="1"/>
  <c r="R1623" i="1"/>
  <c r="S1623" i="1"/>
  <c r="T1623" i="1"/>
  <c r="U1623" i="1"/>
  <c r="D1622" i="1"/>
  <c r="E1622" i="1"/>
  <c r="F1622" i="1"/>
  <c r="G1622" i="1"/>
  <c r="H1622" i="1"/>
  <c r="I1622" i="1"/>
  <c r="J1622" i="1"/>
  <c r="K1622" i="1"/>
  <c r="L1622" i="1"/>
  <c r="M1622" i="1"/>
  <c r="N1622" i="1"/>
  <c r="O1622" i="1"/>
  <c r="P1622" i="1"/>
  <c r="R1622" i="1"/>
  <c r="S1622" i="1"/>
  <c r="T1622" i="1"/>
  <c r="U1622" i="1"/>
  <c r="D1621" i="1"/>
  <c r="E1621" i="1"/>
  <c r="F1621" i="1"/>
  <c r="G1621" i="1"/>
  <c r="H1621" i="1"/>
  <c r="I1621" i="1"/>
  <c r="J1621" i="1"/>
  <c r="K1621" i="1"/>
  <c r="L1621" i="1"/>
  <c r="M1621" i="1"/>
  <c r="N1621" i="1"/>
  <c r="O1621" i="1"/>
  <c r="P1621" i="1"/>
  <c r="R1621" i="1"/>
  <c r="S1621" i="1"/>
  <c r="T1621" i="1"/>
  <c r="U1621" i="1"/>
  <c r="D1620" i="1"/>
  <c r="E1620" i="1"/>
  <c r="F1620" i="1"/>
  <c r="G1620" i="1"/>
  <c r="H1620" i="1"/>
  <c r="I1620" i="1"/>
  <c r="J1620" i="1"/>
  <c r="K1620" i="1"/>
  <c r="L1620" i="1"/>
  <c r="M1620" i="1"/>
  <c r="N1620" i="1"/>
  <c r="O1620" i="1"/>
  <c r="P1620" i="1"/>
  <c r="R1620" i="1"/>
  <c r="S1620" i="1"/>
  <c r="T1620" i="1"/>
  <c r="U1620" i="1"/>
  <c r="D1619" i="1"/>
  <c r="E1619" i="1"/>
  <c r="F1619" i="1"/>
  <c r="G1619" i="1"/>
  <c r="H1619" i="1"/>
  <c r="I1619" i="1"/>
  <c r="J1619" i="1"/>
  <c r="K1619" i="1"/>
  <c r="L1619" i="1"/>
  <c r="M1619" i="1"/>
  <c r="N1619" i="1"/>
  <c r="O1619" i="1"/>
  <c r="P1619" i="1"/>
  <c r="R1619" i="1"/>
  <c r="S1619" i="1"/>
  <c r="T1619" i="1"/>
  <c r="U1619" i="1"/>
  <c r="B1618" i="1"/>
  <c r="D1618" i="1"/>
  <c r="E1618" i="1"/>
  <c r="F1618" i="1"/>
  <c r="G1618" i="1"/>
  <c r="H1618" i="1"/>
  <c r="I1618" i="1"/>
  <c r="J1618" i="1"/>
  <c r="K1618" i="1"/>
  <c r="L1618" i="1"/>
  <c r="M1618" i="1"/>
  <c r="N1618" i="1"/>
  <c r="O1618" i="1"/>
  <c r="P1618" i="1"/>
  <c r="R1618" i="1"/>
  <c r="S1618" i="1"/>
  <c r="T1618" i="1"/>
  <c r="U1618" i="1"/>
  <c r="D1617" i="1"/>
  <c r="E1617" i="1"/>
  <c r="F1617" i="1"/>
  <c r="G1617" i="1"/>
  <c r="H1617" i="1"/>
  <c r="I1617" i="1"/>
  <c r="J1617" i="1"/>
  <c r="K1617" i="1"/>
  <c r="L1617" i="1"/>
  <c r="M1617" i="1"/>
  <c r="N1617" i="1"/>
  <c r="O1617" i="1"/>
  <c r="P1617" i="1"/>
  <c r="R1617" i="1"/>
  <c r="S1617" i="1"/>
  <c r="T1617" i="1"/>
  <c r="U1617" i="1"/>
  <c r="D1616" i="1"/>
  <c r="E1616" i="1"/>
  <c r="F1616" i="1"/>
  <c r="G1616" i="1"/>
  <c r="H1616" i="1"/>
  <c r="I1616" i="1"/>
  <c r="J1616" i="1"/>
  <c r="K1616" i="1"/>
  <c r="L1616" i="1"/>
  <c r="M1616" i="1"/>
  <c r="N1616" i="1"/>
  <c r="O1616" i="1"/>
  <c r="P1616" i="1"/>
  <c r="R1616" i="1"/>
  <c r="S1616" i="1"/>
  <c r="T1616" i="1"/>
  <c r="U1616" i="1"/>
  <c r="D1615" i="1"/>
  <c r="E1615" i="1"/>
  <c r="F1615" i="1"/>
  <c r="G1615" i="1"/>
  <c r="H1615" i="1"/>
  <c r="I1615" i="1"/>
  <c r="J1615" i="1"/>
  <c r="K1615" i="1"/>
  <c r="L1615" i="1"/>
  <c r="M1615" i="1"/>
  <c r="N1615" i="1"/>
  <c r="O1615" i="1"/>
  <c r="P1615" i="1"/>
  <c r="R1615" i="1"/>
  <c r="S1615" i="1"/>
  <c r="T1615" i="1"/>
  <c r="U1615" i="1"/>
  <c r="D1614" i="1"/>
  <c r="E1614" i="1"/>
  <c r="F1614" i="1"/>
  <c r="G1614" i="1"/>
  <c r="H1614" i="1"/>
  <c r="I1614" i="1"/>
  <c r="J1614" i="1"/>
  <c r="K1614" i="1"/>
  <c r="L1614" i="1"/>
  <c r="M1614" i="1"/>
  <c r="N1614" i="1"/>
  <c r="O1614" i="1"/>
  <c r="P1614" i="1"/>
  <c r="R1614" i="1"/>
  <c r="S1614" i="1"/>
  <c r="T1614" i="1"/>
  <c r="U1614" i="1"/>
  <c r="D1613" i="1"/>
  <c r="E1613" i="1"/>
  <c r="F1613" i="1"/>
  <c r="G1613" i="1"/>
  <c r="H1613" i="1"/>
  <c r="I1613" i="1"/>
  <c r="J1613" i="1"/>
  <c r="K1613" i="1"/>
  <c r="L1613" i="1"/>
  <c r="M1613" i="1"/>
  <c r="N1613" i="1"/>
  <c r="O1613" i="1"/>
  <c r="P1613" i="1"/>
  <c r="R1613" i="1"/>
  <c r="S1613" i="1"/>
  <c r="T1613" i="1"/>
  <c r="U1613" i="1"/>
  <c r="D1612" i="1"/>
  <c r="E1612" i="1"/>
  <c r="F1612" i="1"/>
  <c r="G1612" i="1"/>
  <c r="H1612" i="1"/>
  <c r="I1612" i="1"/>
  <c r="J1612" i="1"/>
  <c r="K1612" i="1"/>
  <c r="L1612" i="1"/>
  <c r="M1612" i="1"/>
  <c r="N1612" i="1"/>
  <c r="O1612" i="1"/>
  <c r="P1612" i="1"/>
  <c r="R1612" i="1"/>
  <c r="S1612" i="1"/>
  <c r="T1612" i="1"/>
  <c r="U1612" i="1"/>
  <c r="D1611" i="1"/>
  <c r="E1611" i="1"/>
  <c r="F1611" i="1"/>
  <c r="G1611" i="1"/>
  <c r="H1611" i="1"/>
  <c r="I1611" i="1"/>
  <c r="J1611" i="1"/>
  <c r="K1611" i="1"/>
  <c r="L1611" i="1"/>
  <c r="M1611" i="1"/>
  <c r="N1611" i="1"/>
  <c r="O1611" i="1"/>
  <c r="P1611" i="1"/>
  <c r="R1611" i="1"/>
  <c r="S1611" i="1"/>
  <c r="T1611" i="1"/>
  <c r="U1611" i="1"/>
  <c r="D1610" i="1"/>
  <c r="E1610" i="1"/>
  <c r="F1610" i="1"/>
  <c r="G1610" i="1"/>
  <c r="H1610" i="1"/>
  <c r="I1610" i="1"/>
  <c r="J1610" i="1"/>
  <c r="K1610" i="1"/>
  <c r="L1610" i="1"/>
  <c r="M1610" i="1"/>
  <c r="N1610" i="1"/>
  <c r="O1610" i="1"/>
  <c r="P1610" i="1"/>
  <c r="R1610" i="1"/>
  <c r="S1610" i="1"/>
  <c r="T1610" i="1"/>
  <c r="U1610" i="1"/>
  <c r="B1609" i="1"/>
  <c r="D1609" i="1"/>
  <c r="E1609" i="1"/>
  <c r="F1609" i="1"/>
  <c r="G1609" i="1"/>
  <c r="H1609" i="1"/>
  <c r="I1609" i="1"/>
  <c r="J1609" i="1"/>
  <c r="K1609" i="1"/>
  <c r="L1609" i="1"/>
  <c r="M1609" i="1"/>
  <c r="N1609" i="1"/>
  <c r="O1609" i="1"/>
  <c r="P1609" i="1"/>
  <c r="R1609" i="1"/>
  <c r="S1609" i="1"/>
  <c r="T1609" i="1"/>
  <c r="U1609" i="1"/>
  <c r="D1608" i="1"/>
  <c r="E1608" i="1"/>
  <c r="F1608" i="1"/>
  <c r="G1608" i="1"/>
  <c r="H1608" i="1"/>
  <c r="I1608" i="1"/>
  <c r="J1608" i="1"/>
  <c r="K1608" i="1"/>
  <c r="L1608" i="1"/>
  <c r="M1608" i="1"/>
  <c r="N1608" i="1"/>
  <c r="O1608" i="1"/>
  <c r="P1608" i="1"/>
  <c r="R1608" i="1"/>
  <c r="S1608" i="1"/>
  <c r="T1608" i="1"/>
  <c r="U1608" i="1"/>
  <c r="D1607" i="1"/>
  <c r="E1607" i="1"/>
  <c r="F1607" i="1"/>
  <c r="G1607" i="1"/>
  <c r="H1607" i="1"/>
  <c r="I1607" i="1"/>
  <c r="J1607" i="1"/>
  <c r="K1607" i="1"/>
  <c r="L1607" i="1"/>
  <c r="M1607" i="1"/>
  <c r="N1607" i="1"/>
  <c r="O1607" i="1"/>
  <c r="P1607" i="1"/>
  <c r="R1607" i="1"/>
  <c r="S1607" i="1"/>
  <c r="T1607" i="1"/>
  <c r="U1607" i="1"/>
  <c r="D1606" i="1"/>
  <c r="E1606" i="1"/>
  <c r="F1606" i="1"/>
  <c r="G1606" i="1"/>
  <c r="H1606" i="1"/>
  <c r="I1606" i="1"/>
  <c r="J1606" i="1"/>
  <c r="K1606" i="1"/>
  <c r="L1606" i="1"/>
  <c r="M1606" i="1"/>
  <c r="N1606" i="1"/>
  <c r="O1606" i="1"/>
  <c r="P1606" i="1"/>
  <c r="R1606" i="1"/>
  <c r="S1606" i="1"/>
  <c r="T1606" i="1"/>
  <c r="U1606" i="1"/>
  <c r="D1605" i="1"/>
  <c r="E1605" i="1"/>
  <c r="F1605" i="1"/>
  <c r="G1605" i="1"/>
  <c r="H1605" i="1"/>
  <c r="I1605" i="1"/>
  <c r="J1605" i="1"/>
  <c r="K1605" i="1"/>
  <c r="L1605" i="1"/>
  <c r="M1605" i="1"/>
  <c r="N1605" i="1"/>
  <c r="O1605" i="1"/>
  <c r="P1605" i="1"/>
  <c r="R1605" i="1"/>
  <c r="S1605" i="1"/>
  <c r="T1605" i="1"/>
  <c r="U1605" i="1"/>
  <c r="D1604" i="1"/>
  <c r="E1604" i="1"/>
  <c r="F1604" i="1"/>
  <c r="G1604" i="1"/>
  <c r="H1604" i="1"/>
  <c r="I1604" i="1"/>
  <c r="J1604" i="1"/>
  <c r="K1604" i="1"/>
  <c r="L1604" i="1"/>
  <c r="M1604" i="1"/>
  <c r="N1604" i="1"/>
  <c r="O1604" i="1"/>
  <c r="P1604" i="1"/>
  <c r="R1604" i="1"/>
  <c r="S1604" i="1"/>
  <c r="T1604" i="1"/>
  <c r="U1604" i="1"/>
  <c r="D1603" i="1"/>
  <c r="E1603" i="1"/>
  <c r="F1603" i="1"/>
  <c r="G1603" i="1"/>
  <c r="H1603" i="1"/>
  <c r="I1603" i="1"/>
  <c r="J1603" i="1"/>
  <c r="K1603" i="1"/>
  <c r="L1603" i="1"/>
  <c r="M1603" i="1"/>
  <c r="N1603" i="1"/>
  <c r="O1603" i="1"/>
  <c r="P1603" i="1"/>
  <c r="R1603" i="1"/>
  <c r="S1603" i="1"/>
  <c r="T1603" i="1"/>
  <c r="U1603" i="1"/>
  <c r="D1602" i="1"/>
  <c r="E1602" i="1"/>
  <c r="F1602" i="1"/>
  <c r="G1602" i="1"/>
  <c r="H1602" i="1"/>
  <c r="I1602" i="1"/>
  <c r="J1602" i="1"/>
  <c r="K1602" i="1"/>
  <c r="L1602" i="1"/>
  <c r="M1602" i="1"/>
  <c r="N1602" i="1"/>
  <c r="O1602" i="1"/>
  <c r="P1602" i="1"/>
  <c r="R1602" i="1"/>
  <c r="S1602" i="1"/>
  <c r="T1602" i="1"/>
  <c r="U1602" i="1"/>
  <c r="D1601" i="1"/>
  <c r="E1601" i="1"/>
  <c r="F1601" i="1"/>
  <c r="G1601" i="1"/>
  <c r="H1601" i="1"/>
  <c r="I1601" i="1"/>
  <c r="J1601" i="1"/>
  <c r="K1601" i="1"/>
  <c r="L1601" i="1"/>
  <c r="M1601" i="1"/>
  <c r="N1601" i="1"/>
  <c r="O1601" i="1"/>
  <c r="P1601" i="1"/>
  <c r="R1601" i="1"/>
  <c r="S1601" i="1"/>
  <c r="T1601" i="1"/>
  <c r="U1601" i="1"/>
  <c r="B1600" i="1"/>
  <c r="D1600" i="1"/>
  <c r="E1600" i="1"/>
  <c r="F1600" i="1"/>
  <c r="G1600" i="1"/>
  <c r="H1600" i="1"/>
  <c r="I1600" i="1"/>
  <c r="J1600" i="1"/>
  <c r="K1600" i="1"/>
  <c r="L1600" i="1"/>
  <c r="M1600" i="1"/>
  <c r="N1600" i="1"/>
  <c r="O1600" i="1"/>
  <c r="P1600" i="1"/>
  <c r="R1600" i="1"/>
  <c r="S1600" i="1"/>
  <c r="T1600" i="1"/>
  <c r="U1600" i="1"/>
  <c r="D1599" i="1"/>
  <c r="E1599" i="1"/>
  <c r="F1599" i="1"/>
  <c r="G1599" i="1"/>
  <c r="H1599" i="1"/>
  <c r="I1599" i="1"/>
  <c r="J1599" i="1"/>
  <c r="K1599" i="1"/>
  <c r="L1599" i="1"/>
  <c r="M1599" i="1"/>
  <c r="N1599" i="1"/>
  <c r="O1599" i="1"/>
  <c r="P1599" i="1"/>
  <c r="R1599" i="1"/>
  <c r="S1599" i="1"/>
  <c r="T1599" i="1"/>
  <c r="U1599" i="1"/>
  <c r="D1598" i="1"/>
  <c r="E1598" i="1"/>
  <c r="F1598" i="1"/>
  <c r="G1598" i="1"/>
  <c r="H1598" i="1"/>
  <c r="I1598" i="1"/>
  <c r="J1598" i="1"/>
  <c r="K1598" i="1"/>
  <c r="L1598" i="1"/>
  <c r="M1598" i="1"/>
  <c r="N1598" i="1"/>
  <c r="O1598" i="1"/>
  <c r="P1598" i="1"/>
  <c r="R1598" i="1"/>
  <c r="S1598" i="1"/>
  <c r="T1598" i="1"/>
  <c r="U1598" i="1"/>
  <c r="D1597" i="1"/>
  <c r="E1597" i="1"/>
  <c r="F1597" i="1"/>
  <c r="G1597" i="1"/>
  <c r="H1597" i="1"/>
  <c r="I1597" i="1"/>
  <c r="J1597" i="1"/>
  <c r="K1597" i="1"/>
  <c r="L1597" i="1"/>
  <c r="M1597" i="1"/>
  <c r="N1597" i="1"/>
  <c r="O1597" i="1"/>
  <c r="P1597" i="1"/>
  <c r="R1597" i="1"/>
  <c r="S1597" i="1"/>
  <c r="T1597" i="1"/>
  <c r="U1597" i="1"/>
  <c r="D1596" i="1"/>
  <c r="E1596" i="1"/>
  <c r="F1596" i="1"/>
  <c r="G1596" i="1"/>
  <c r="H1596" i="1"/>
  <c r="I1596" i="1"/>
  <c r="J1596" i="1"/>
  <c r="K1596" i="1"/>
  <c r="L1596" i="1"/>
  <c r="M1596" i="1"/>
  <c r="N1596" i="1"/>
  <c r="O1596" i="1"/>
  <c r="P1596" i="1"/>
  <c r="R1596" i="1"/>
  <c r="S1596" i="1"/>
  <c r="T1596" i="1"/>
  <c r="U1596" i="1"/>
  <c r="D1595" i="1"/>
  <c r="E1595" i="1"/>
  <c r="F1595" i="1"/>
  <c r="G1595" i="1"/>
  <c r="H1595" i="1"/>
  <c r="I1595" i="1"/>
  <c r="J1595" i="1"/>
  <c r="K1595" i="1"/>
  <c r="L1595" i="1"/>
  <c r="M1595" i="1"/>
  <c r="N1595" i="1"/>
  <c r="O1595" i="1"/>
  <c r="P1595" i="1"/>
  <c r="R1595" i="1"/>
  <c r="S1595" i="1"/>
  <c r="T1595" i="1"/>
  <c r="U1595" i="1"/>
  <c r="D1594" i="1"/>
  <c r="E1594" i="1"/>
  <c r="F1594" i="1"/>
  <c r="G1594" i="1"/>
  <c r="H1594" i="1"/>
  <c r="I1594" i="1"/>
  <c r="J1594" i="1"/>
  <c r="K1594" i="1"/>
  <c r="L1594" i="1"/>
  <c r="M1594" i="1"/>
  <c r="N1594" i="1"/>
  <c r="O1594" i="1"/>
  <c r="P1594" i="1"/>
  <c r="R1594" i="1"/>
  <c r="S1594" i="1"/>
  <c r="T1594" i="1"/>
  <c r="U1594" i="1"/>
  <c r="D1593" i="1"/>
  <c r="E1593" i="1"/>
  <c r="F1593" i="1"/>
  <c r="G1593" i="1"/>
  <c r="H1593" i="1"/>
  <c r="I1593" i="1"/>
  <c r="J1593" i="1"/>
  <c r="K1593" i="1"/>
  <c r="L1593" i="1"/>
  <c r="M1593" i="1"/>
  <c r="N1593" i="1"/>
  <c r="O1593" i="1"/>
  <c r="P1593" i="1"/>
  <c r="R1593" i="1"/>
  <c r="S1593" i="1"/>
  <c r="T1593" i="1"/>
  <c r="U1593" i="1"/>
  <c r="D1592" i="1"/>
  <c r="E1592" i="1"/>
  <c r="F1592" i="1"/>
  <c r="G1592" i="1"/>
  <c r="H1592" i="1"/>
  <c r="I1592" i="1"/>
  <c r="J1592" i="1"/>
  <c r="K1592" i="1"/>
  <c r="L1592" i="1"/>
  <c r="M1592" i="1"/>
  <c r="N1592" i="1"/>
  <c r="O1592" i="1"/>
  <c r="P1592" i="1"/>
  <c r="R1592" i="1"/>
  <c r="S1592" i="1"/>
  <c r="T1592" i="1"/>
  <c r="U1592" i="1"/>
  <c r="D1591" i="1"/>
  <c r="E1591" i="1"/>
  <c r="F1591" i="1"/>
  <c r="G1591" i="1"/>
  <c r="H1591" i="1"/>
  <c r="I1591" i="1"/>
  <c r="J1591" i="1"/>
  <c r="K1591" i="1"/>
  <c r="L1591" i="1"/>
  <c r="M1591" i="1"/>
  <c r="N1591" i="1"/>
  <c r="O1591" i="1"/>
  <c r="P1591" i="1"/>
  <c r="R1591" i="1"/>
  <c r="S1591" i="1"/>
  <c r="T1591" i="1"/>
  <c r="U1591" i="1"/>
  <c r="D1590" i="1"/>
  <c r="E1590" i="1"/>
  <c r="F1590" i="1"/>
  <c r="G1590" i="1"/>
  <c r="H1590" i="1"/>
  <c r="I1590" i="1"/>
  <c r="J1590" i="1"/>
  <c r="K1590" i="1"/>
  <c r="L1590" i="1"/>
  <c r="M1590" i="1"/>
  <c r="N1590" i="1"/>
  <c r="O1590" i="1"/>
  <c r="P1590" i="1"/>
  <c r="R1590" i="1"/>
  <c r="S1590" i="1"/>
  <c r="T1590" i="1"/>
  <c r="U1590" i="1"/>
  <c r="D1589" i="1"/>
  <c r="E1589" i="1"/>
  <c r="F1589" i="1"/>
  <c r="G1589" i="1"/>
  <c r="H1589" i="1"/>
  <c r="I1589" i="1"/>
  <c r="J1589" i="1"/>
  <c r="K1589" i="1"/>
  <c r="L1589" i="1"/>
  <c r="M1589" i="1"/>
  <c r="N1589" i="1"/>
  <c r="O1589" i="1"/>
  <c r="P1589" i="1"/>
  <c r="R1589" i="1"/>
  <c r="S1589" i="1"/>
  <c r="T1589" i="1"/>
  <c r="U1589" i="1"/>
  <c r="D1588" i="1"/>
  <c r="E1588" i="1"/>
  <c r="F1588" i="1"/>
  <c r="G1588" i="1"/>
  <c r="H1588" i="1"/>
  <c r="I1588" i="1"/>
  <c r="J1588" i="1"/>
  <c r="K1588" i="1"/>
  <c r="L1588" i="1"/>
  <c r="M1588" i="1"/>
  <c r="N1588" i="1"/>
  <c r="O1588" i="1"/>
  <c r="P1588" i="1"/>
  <c r="R1588" i="1"/>
  <c r="S1588" i="1"/>
  <c r="T1588" i="1"/>
  <c r="U1588" i="1"/>
  <c r="D1587" i="1"/>
  <c r="E1587" i="1"/>
  <c r="F1587" i="1"/>
  <c r="G1587" i="1"/>
  <c r="H1587" i="1"/>
  <c r="I1587" i="1"/>
  <c r="J1587" i="1"/>
  <c r="K1587" i="1"/>
  <c r="L1587" i="1"/>
  <c r="M1587" i="1"/>
  <c r="N1587" i="1"/>
  <c r="O1587" i="1"/>
  <c r="P1587" i="1"/>
  <c r="R1587" i="1"/>
  <c r="S1587" i="1"/>
  <c r="T1587" i="1"/>
  <c r="U1587" i="1"/>
  <c r="D1586" i="1"/>
  <c r="E1586" i="1"/>
  <c r="F1586" i="1"/>
  <c r="G1586" i="1"/>
  <c r="H1586" i="1"/>
  <c r="I1586" i="1"/>
  <c r="J1586" i="1"/>
  <c r="K1586" i="1"/>
  <c r="L1586" i="1"/>
  <c r="M1586" i="1"/>
  <c r="N1586" i="1"/>
  <c r="O1586" i="1"/>
  <c r="P1586" i="1"/>
  <c r="R1586" i="1"/>
  <c r="S1586" i="1"/>
  <c r="T1586" i="1"/>
  <c r="U1586" i="1"/>
  <c r="D1585" i="1"/>
  <c r="E1585" i="1"/>
  <c r="F1585" i="1"/>
  <c r="G1585" i="1"/>
  <c r="H1585" i="1"/>
  <c r="I1585" i="1"/>
  <c r="J1585" i="1"/>
  <c r="K1585" i="1"/>
  <c r="L1585" i="1"/>
  <c r="M1585" i="1"/>
  <c r="N1585" i="1"/>
  <c r="O1585" i="1"/>
  <c r="P1585" i="1"/>
  <c r="R1585" i="1"/>
  <c r="S1585" i="1"/>
  <c r="T1585" i="1"/>
  <c r="U1585" i="1"/>
  <c r="D1584" i="1"/>
  <c r="E1584" i="1"/>
  <c r="F1584" i="1"/>
  <c r="G1584" i="1"/>
  <c r="H1584" i="1"/>
  <c r="I1584" i="1"/>
  <c r="J1584" i="1"/>
  <c r="K1584" i="1"/>
  <c r="L1584" i="1"/>
  <c r="M1584" i="1"/>
  <c r="N1584" i="1"/>
  <c r="O1584" i="1"/>
  <c r="P1584" i="1"/>
  <c r="R1584" i="1"/>
  <c r="S1584" i="1"/>
  <c r="T1584" i="1"/>
  <c r="U1584" i="1"/>
  <c r="D1583" i="1"/>
  <c r="E1583" i="1"/>
  <c r="F1583" i="1"/>
  <c r="G1583" i="1"/>
  <c r="H1583" i="1"/>
  <c r="I1583" i="1"/>
  <c r="J1583" i="1"/>
  <c r="K1583" i="1"/>
  <c r="L1583" i="1"/>
  <c r="M1583" i="1"/>
  <c r="N1583" i="1"/>
  <c r="O1583" i="1"/>
  <c r="P1583" i="1"/>
  <c r="R1583" i="1"/>
  <c r="S1583" i="1"/>
  <c r="T1583" i="1"/>
  <c r="U1583" i="1"/>
  <c r="D1582" i="1"/>
  <c r="E1582" i="1"/>
  <c r="F1582" i="1"/>
  <c r="G1582" i="1"/>
  <c r="H1582" i="1"/>
  <c r="I1582" i="1"/>
  <c r="J1582" i="1"/>
  <c r="K1582" i="1"/>
  <c r="L1582" i="1"/>
  <c r="M1582" i="1"/>
  <c r="N1582" i="1"/>
  <c r="O1582" i="1"/>
  <c r="P1582" i="1"/>
  <c r="R1582" i="1"/>
  <c r="S1582" i="1"/>
  <c r="T1582" i="1"/>
  <c r="U1582" i="1"/>
  <c r="B1581" i="1"/>
  <c r="D1581" i="1"/>
  <c r="E1581" i="1"/>
  <c r="F1581" i="1"/>
  <c r="G1581" i="1"/>
  <c r="H1581" i="1"/>
  <c r="I1581" i="1"/>
  <c r="J1581" i="1"/>
  <c r="K1581" i="1"/>
  <c r="L1581" i="1"/>
  <c r="M1581" i="1"/>
  <c r="N1581" i="1"/>
  <c r="O1581" i="1"/>
  <c r="P1581" i="1"/>
  <c r="R1581" i="1"/>
  <c r="S1581" i="1"/>
  <c r="T1581" i="1"/>
  <c r="U1581" i="1"/>
  <c r="D1580" i="1"/>
  <c r="E1580" i="1"/>
  <c r="F1580" i="1"/>
  <c r="G1580" i="1"/>
  <c r="H1580" i="1"/>
  <c r="I1580" i="1"/>
  <c r="J1580" i="1"/>
  <c r="K1580" i="1"/>
  <c r="L1580" i="1"/>
  <c r="M1580" i="1"/>
  <c r="N1580" i="1"/>
  <c r="O1580" i="1"/>
  <c r="P1580" i="1"/>
  <c r="R1580" i="1"/>
  <c r="S1580" i="1"/>
  <c r="T1580" i="1"/>
  <c r="U1580" i="1"/>
  <c r="D1579" i="1"/>
  <c r="E1579" i="1"/>
  <c r="F1579" i="1"/>
  <c r="G1579" i="1"/>
  <c r="H1579" i="1"/>
  <c r="I1579" i="1"/>
  <c r="J1579" i="1"/>
  <c r="K1579" i="1"/>
  <c r="L1579" i="1"/>
  <c r="M1579" i="1"/>
  <c r="N1579" i="1"/>
  <c r="O1579" i="1"/>
  <c r="P1579" i="1"/>
  <c r="R1579" i="1"/>
  <c r="S1579" i="1"/>
  <c r="T1579" i="1"/>
  <c r="U1579" i="1"/>
  <c r="D1578" i="1"/>
  <c r="E1578" i="1"/>
  <c r="F1578" i="1"/>
  <c r="G1578" i="1"/>
  <c r="H1578" i="1"/>
  <c r="I1578" i="1"/>
  <c r="J1578" i="1"/>
  <c r="K1578" i="1"/>
  <c r="L1578" i="1"/>
  <c r="M1578" i="1"/>
  <c r="N1578" i="1"/>
  <c r="O1578" i="1"/>
  <c r="P1578" i="1"/>
  <c r="R1578" i="1"/>
  <c r="S1578" i="1"/>
  <c r="T1578" i="1"/>
  <c r="U1578" i="1"/>
  <c r="D1577" i="1"/>
  <c r="E1577" i="1"/>
  <c r="F1577" i="1"/>
  <c r="G1577" i="1"/>
  <c r="H1577" i="1"/>
  <c r="I1577" i="1"/>
  <c r="J1577" i="1"/>
  <c r="K1577" i="1"/>
  <c r="L1577" i="1"/>
  <c r="M1577" i="1"/>
  <c r="N1577" i="1"/>
  <c r="O1577" i="1"/>
  <c r="P1577" i="1"/>
  <c r="R1577" i="1"/>
  <c r="S1577" i="1"/>
  <c r="T1577" i="1"/>
  <c r="U1577" i="1"/>
  <c r="D1576" i="1"/>
  <c r="E1576" i="1"/>
  <c r="F1576" i="1"/>
  <c r="G1576" i="1"/>
  <c r="H1576" i="1"/>
  <c r="I1576" i="1"/>
  <c r="J1576" i="1"/>
  <c r="K1576" i="1"/>
  <c r="L1576" i="1"/>
  <c r="M1576" i="1"/>
  <c r="N1576" i="1"/>
  <c r="O1576" i="1"/>
  <c r="P1576" i="1"/>
  <c r="R1576" i="1"/>
  <c r="S1576" i="1"/>
  <c r="T1576" i="1"/>
  <c r="U1576" i="1"/>
  <c r="D1575" i="1"/>
  <c r="E1575" i="1"/>
  <c r="F1575" i="1"/>
  <c r="G1575" i="1"/>
  <c r="H1575" i="1"/>
  <c r="I1575" i="1"/>
  <c r="J1575" i="1"/>
  <c r="K1575" i="1"/>
  <c r="L1575" i="1"/>
  <c r="M1575" i="1"/>
  <c r="N1575" i="1"/>
  <c r="O1575" i="1"/>
  <c r="P1575" i="1"/>
  <c r="R1575" i="1"/>
  <c r="S1575" i="1"/>
  <c r="T1575" i="1"/>
  <c r="U1575" i="1"/>
  <c r="D1574" i="1"/>
  <c r="E1574" i="1"/>
  <c r="F1574" i="1"/>
  <c r="G1574" i="1"/>
  <c r="H1574" i="1"/>
  <c r="I1574" i="1"/>
  <c r="J1574" i="1"/>
  <c r="K1574" i="1"/>
  <c r="L1574" i="1"/>
  <c r="M1574" i="1"/>
  <c r="N1574" i="1"/>
  <c r="O1574" i="1"/>
  <c r="P1574" i="1"/>
  <c r="R1574" i="1"/>
  <c r="S1574" i="1"/>
  <c r="T1574" i="1"/>
  <c r="U1574" i="1"/>
  <c r="D1573" i="1"/>
  <c r="E1573" i="1"/>
  <c r="F1573" i="1"/>
  <c r="G1573" i="1"/>
  <c r="H1573" i="1"/>
  <c r="I1573" i="1"/>
  <c r="J1573" i="1"/>
  <c r="K1573" i="1"/>
  <c r="L1573" i="1"/>
  <c r="M1573" i="1"/>
  <c r="N1573" i="1"/>
  <c r="O1573" i="1"/>
  <c r="P1573" i="1"/>
  <c r="R1573" i="1"/>
  <c r="S1573" i="1"/>
  <c r="T1573" i="1"/>
  <c r="U1573" i="1"/>
  <c r="D1572" i="1"/>
  <c r="E1572" i="1"/>
  <c r="F1572" i="1"/>
  <c r="G1572" i="1"/>
  <c r="H1572" i="1"/>
  <c r="I1572" i="1"/>
  <c r="J1572" i="1"/>
  <c r="K1572" i="1"/>
  <c r="L1572" i="1"/>
  <c r="M1572" i="1"/>
  <c r="N1572" i="1"/>
  <c r="O1572" i="1"/>
  <c r="P1572" i="1"/>
  <c r="R1572" i="1"/>
  <c r="S1572" i="1"/>
  <c r="T1572" i="1"/>
  <c r="U1572" i="1"/>
  <c r="D1571" i="1"/>
  <c r="E1571" i="1"/>
  <c r="F1571" i="1"/>
  <c r="G1571" i="1"/>
  <c r="H1571" i="1"/>
  <c r="I1571" i="1"/>
  <c r="J1571" i="1"/>
  <c r="K1571" i="1"/>
  <c r="L1571" i="1"/>
  <c r="M1571" i="1"/>
  <c r="N1571" i="1"/>
  <c r="O1571" i="1"/>
  <c r="P1571" i="1"/>
  <c r="R1571" i="1"/>
  <c r="S1571" i="1"/>
  <c r="T1571" i="1"/>
  <c r="U1571" i="1"/>
  <c r="D1570" i="1"/>
  <c r="E1570" i="1"/>
  <c r="F1570" i="1"/>
  <c r="G1570" i="1"/>
  <c r="H1570" i="1"/>
  <c r="I1570" i="1"/>
  <c r="J1570" i="1"/>
  <c r="K1570" i="1"/>
  <c r="L1570" i="1"/>
  <c r="M1570" i="1"/>
  <c r="N1570" i="1"/>
  <c r="O1570" i="1"/>
  <c r="P1570" i="1"/>
  <c r="R1570" i="1"/>
  <c r="S1570" i="1"/>
  <c r="T1570" i="1"/>
  <c r="U1570" i="1"/>
  <c r="D1569" i="1"/>
  <c r="E1569" i="1"/>
  <c r="F1569" i="1"/>
  <c r="G1569" i="1"/>
  <c r="H1569" i="1"/>
  <c r="I1569" i="1"/>
  <c r="J1569" i="1"/>
  <c r="K1569" i="1"/>
  <c r="L1569" i="1"/>
  <c r="M1569" i="1"/>
  <c r="N1569" i="1"/>
  <c r="O1569" i="1"/>
  <c r="P1569" i="1"/>
  <c r="R1569" i="1"/>
  <c r="S1569" i="1"/>
  <c r="T1569" i="1"/>
  <c r="U1569" i="1"/>
  <c r="D1568" i="1"/>
  <c r="E1568" i="1"/>
  <c r="F1568" i="1"/>
  <c r="G1568" i="1"/>
  <c r="H1568" i="1"/>
  <c r="I1568" i="1"/>
  <c r="J1568" i="1"/>
  <c r="K1568" i="1"/>
  <c r="L1568" i="1"/>
  <c r="M1568" i="1"/>
  <c r="N1568" i="1"/>
  <c r="O1568" i="1"/>
  <c r="P1568" i="1"/>
  <c r="R1568" i="1"/>
  <c r="S1568" i="1"/>
  <c r="T1568" i="1"/>
  <c r="U1568" i="1"/>
  <c r="D1567" i="1"/>
  <c r="E1567" i="1"/>
  <c r="F1567" i="1"/>
  <c r="G1567" i="1"/>
  <c r="H1567" i="1"/>
  <c r="I1567" i="1"/>
  <c r="J1567" i="1"/>
  <c r="K1567" i="1"/>
  <c r="L1567" i="1"/>
  <c r="M1567" i="1"/>
  <c r="N1567" i="1"/>
  <c r="O1567" i="1"/>
  <c r="P1567" i="1"/>
  <c r="R1567" i="1"/>
  <c r="S1567" i="1"/>
  <c r="T1567" i="1"/>
  <c r="U1567" i="1"/>
  <c r="D1566" i="1"/>
  <c r="E1566" i="1"/>
  <c r="F1566" i="1"/>
  <c r="G1566" i="1"/>
  <c r="H1566" i="1"/>
  <c r="I1566" i="1"/>
  <c r="J1566" i="1"/>
  <c r="K1566" i="1"/>
  <c r="L1566" i="1"/>
  <c r="M1566" i="1"/>
  <c r="N1566" i="1"/>
  <c r="O1566" i="1"/>
  <c r="P1566" i="1"/>
  <c r="R1566" i="1"/>
  <c r="S1566" i="1"/>
  <c r="T1566" i="1"/>
  <c r="U1566" i="1"/>
  <c r="D1565" i="1"/>
  <c r="E1565" i="1"/>
  <c r="F1565" i="1"/>
  <c r="G1565" i="1"/>
  <c r="H1565" i="1"/>
  <c r="I1565" i="1"/>
  <c r="J1565" i="1"/>
  <c r="K1565" i="1"/>
  <c r="L1565" i="1"/>
  <c r="M1565" i="1"/>
  <c r="N1565" i="1"/>
  <c r="O1565" i="1"/>
  <c r="P1565" i="1"/>
  <c r="R1565" i="1"/>
  <c r="S1565" i="1"/>
  <c r="T1565" i="1"/>
  <c r="U1565" i="1"/>
  <c r="D1564" i="1"/>
  <c r="E1564" i="1"/>
  <c r="F1564" i="1"/>
  <c r="G1564" i="1"/>
  <c r="H1564" i="1"/>
  <c r="I1564" i="1"/>
  <c r="J1564" i="1"/>
  <c r="K1564" i="1"/>
  <c r="L1564" i="1"/>
  <c r="M1564" i="1"/>
  <c r="N1564" i="1"/>
  <c r="O1564" i="1"/>
  <c r="P1564" i="1"/>
  <c r="R1564" i="1"/>
  <c r="S1564" i="1"/>
  <c r="T1564" i="1"/>
  <c r="U1564" i="1"/>
  <c r="D1563" i="1"/>
  <c r="E1563" i="1"/>
  <c r="F1563" i="1"/>
  <c r="G1563" i="1"/>
  <c r="H1563" i="1"/>
  <c r="I1563" i="1"/>
  <c r="J1563" i="1"/>
  <c r="K1563" i="1"/>
  <c r="L1563" i="1"/>
  <c r="M1563" i="1"/>
  <c r="N1563" i="1"/>
  <c r="O1563" i="1"/>
  <c r="P1563" i="1"/>
  <c r="R1563" i="1"/>
  <c r="S1563" i="1"/>
  <c r="T1563" i="1"/>
  <c r="U1563" i="1"/>
  <c r="B1562" i="1"/>
  <c r="D1562" i="1"/>
  <c r="E1562" i="1"/>
  <c r="F1562" i="1"/>
  <c r="G1562" i="1"/>
  <c r="H1562" i="1"/>
  <c r="I1562" i="1"/>
  <c r="J1562" i="1"/>
  <c r="K1562" i="1"/>
  <c r="L1562" i="1"/>
  <c r="M1562" i="1"/>
  <c r="N1562" i="1"/>
  <c r="O1562" i="1"/>
  <c r="P1562" i="1"/>
  <c r="R1562" i="1"/>
  <c r="S1562" i="1"/>
  <c r="T1562" i="1"/>
  <c r="U1562" i="1"/>
  <c r="D1561" i="1"/>
  <c r="E1561" i="1"/>
  <c r="F1561" i="1"/>
  <c r="G1561" i="1"/>
  <c r="H1561" i="1"/>
  <c r="I1561" i="1"/>
  <c r="J1561" i="1"/>
  <c r="K1561" i="1"/>
  <c r="L1561" i="1"/>
  <c r="M1561" i="1"/>
  <c r="N1561" i="1"/>
  <c r="O1561" i="1"/>
  <c r="P1561" i="1"/>
  <c r="R1561" i="1"/>
  <c r="S1561" i="1"/>
  <c r="T1561" i="1"/>
  <c r="U1561" i="1"/>
  <c r="D1560" i="1"/>
  <c r="E1560" i="1"/>
  <c r="F1560" i="1"/>
  <c r="G1560" i="1"/>
  <c r="H1560" i="1"/>
  <c r="I1560" i="1"/>
  <c r="J1560" i="1"/>
  <c r="K1560" i="1"/>
  <c r="L1560" i="1"/>
  <c r="M1560" i="1"/>
  <c r="N1560" i="1"/>
  <c r="O1560" i="1"/>
  <c r="P1560" i="1"/>
  <c r="R1560" i="1"/>
  <c r="S1560" i="1"/>
  <c r="T1560" i="1"/>
  <c r="U1560" i="1"/>
  <c r="D1559" i="1"/>
  <c r="E1559" i="1"/>
  <c r="F1559" i="1"/>
  <c r="G1559" i="1"/>
  <c r="H1559" i="1"/>
  <c r="I1559" i="1"/>
  <c r="J1559" i="1"/>
  <c r="K1559" i="1"/>
  <c r="L1559" i="1"/>
  <c r="M1559" i="1"/>
  <c r="N1559" i="1"/>
  <c r="O1559" i="1"/>
  <c r="P1559" i="1"/>
  <c r="R1559" i="1"/>
  <c r="S1559" i="1"/>
  <c r="T1559" i="1"/>
  <c r="U1559" i="1"/>
  <c r="D1558" i="1"/>
  <c r="E1558" i="1"/>
  <c r="F1558" i="1"/>
  <c r="G1558" i="1"/>
  <c r="H1558" i="1"/>
  <c r="I1558" i="1"/>
  <c r="J1558" i="1"/>
  <c r="K1558" i="1"/>
  <c r="L1558" i="1"/>
  <c r="M1558" i="1"/>
  <c r="N1558" i="1"/>
  <c r="O1558" i="1"/>
  <c r="P1558" i="1"/>
  <c r="R1558" i="1"/>
  <c r="S1558" i="1"/>
  <c r="T1558" i="1"/>
  <c r="U1558" i="1"/>
  <c r="D1557" i="1"/>
  <c r="E1557" i="1"/>
  <c r="F1557" i="1"/>
  <c r="G1557" i="1"/>
  <c r="H1557" i="1"/>
  <c r="I1557" i="1"/>
  <c r="J1557" i="1"/>
  <c r="K1557" i="1"/>
  <c r="L1557" i="1"/>
  <c r="M1557" i="1"/>
  <c r="N1557" i="1"/>
  <c r="O1557" i="1"/>
  <c r="P1557" i="1"/>
  <c r="R1557" i="1"/>
  <c r="S1557" i="1"/>
  <c r="T1557" i="1"/>
  <c r="U1557" i="1"/>
  <c r="D1556" i="1"/>
  <c r="E1556" i="1"/>
  <c r="F1556" i="1"/>
  <c r="G1556" i="1"/>
  <c r="H1556" i="1"/>
  <c r="I1556" i="1"/>
  <c r="J1556" i="1"/>
  <c r="K1556" i="1"/>
  <c r="L1556" i="1"/>
  <c r="M1556" i="1"/>
  <c r="N1556" i="1"/>
  <c r="O1556" i="1"/>
  <c r="P1556" i="1"/>
  <c r="R1556" i="1"/>
  <c r="S1556" i="1"/>
  <c r="T1556" i="1"/>
  <c r="U1556" i="1"/>
  <c r="D1555" i="1"/>
  <c r="E1555" i="1"/>
  <c r="F1555" i="1"/>
  <c r="G1555" i="1"/>
  <c r="H1555" i="1"/>
  <c r="I1555" i="1"/>
  <c r="J1555" i="1"/>
  <c r="K1555" i="1"/>
  <c r="L1555" i="1"/>
  <c r="M1555" i="1"/>
  <c r="N1555" i="1"/>
  <c r="O1555" i="1"/>
  <c r="P1555" i="1"/>
  <c r="R1555" i="1"/>
  <c r="S1555" i="1"/>
  <c r="T1555" i="1"/>
  <c r="U1555" i="1"/>
  <c r="D1554" i="1"/>
  <c r="E1554" i="1"/>
  <c r="F1554" i="1"/>
  <c r="G1554" i="1"/>
  <c r="H1554" i="1"/>
  <c r="I1554" i="1"/>
  <c r="J1554" i="1"/>
  <c r="K1554" i="1"/>
  <c r="L1554" i="1"/>
  <c r="M1554" i="1"/>
  <c r="N1554" i="1"/>
  <c r="O1554" i="1"/>
  <c r="P1554" i="1"/>
  <c r="R1554" i="1"/>
  <c r="S1554" i="1"/>
  <c r="T1554" i="1"/>
  <c r="U1554" i="1"/>
  <c r="B1553" i="1"/>
  <c r="D1553" i="1"/>
  <c r="E1553" i="1"/>
  <c r="F1553" i="1"/>
  <c r="G1553" i="1"/>
  <c r="H1553" i="1"/>
  <c r="I1553" i="1"/>
  <c r="J1553" i="1"/>
  <c r="K1553" i="1"/>
  <c r="L1553" i="1"/>
  <c r="M1553" i="1"/>
  <c r="N1553" i="1"/>
  <c r="O1553" i="1"/>
  <c r="P1553" i="1"/>
  <c r="R1553" i="1"/>
  <c r="S1553" i="1"/>
  <c r="T1553" i="1"/>
  <c r="U1553" i="1"/>
  <c r="D1552" i="1"/>
  <c r="E1552" i="1"/>
  <c r="F1552" i="1"/>
  <c r="G1552" i="1"/>
  <c r="H1552" i="1"/>
  <c r="I1552" i="1"/>
  <c r="J1552" i="1"/>
  <c r="K1552" i="1"/>
  <c r="L1552" i="1"/>
  <c r="M1552" i="1"/>
  <c r="N1552" i="1"/>
  <c r="O1552" i="1"/>
  <c r="P1552" i="1"/>
  <c r="R1552" i="1"/>
  <c r="S1552" i="1"/>
  <c r="T1552" i="1"/>
  <c r="U1552" i="1"/>
  <c r="D1551" i="1"/>
  <c r="E1551" i="1"/>
  <c r="F1551" i="1"/>
  <c r="G1551" i="1"/>
  <c r="H1551" i="1"/>
  <c r="I1551" i="1"/>
  <c r="J1551" i="1"/>
  <c r="K1551" i="1"/>
  <c r="L1551" i="1"/>
  <c r="M1551" i="1"/>
  <c r="N1551" i="1"/>
  <c r="O1551" i="1"/>
  <c r="P1551" i="1"/>
  <c r="R1551" i="1"/>
  <c r="S1551" i="1"/>
  <c r="T1551" i="1"/>
  <c r="U1551" i="1"/>
  <c r="D1550" i="1"/>
  <c r="E1550" i="1"/>
  <c r="F1550" i="1"/>
  <c r="G1550" i="1"/>
  <c r="H1550" i="1"/>
  <c r="I1550" i="1"/>
  <c r="J1550" i="1"/>
  <c r="K1550" i="1"/>
  <c r="L1550" i="1"/>
  <c r="M1550" i="1"/>
  <c r="N1550" i="1"/>
  <c r="O1550" i="1"/>
  <c r="P1550" i="1"/>
  <c r="R1550" i="1"/>
  <c r="S1550" i="1"/>
  <c r="T1550" i="1"/>
  <c r="U1550" i="1"/>
  <c r="D1549" i="1"/>
  <c r="E1549" i="1"/>
  <c r="F1549" i="1"/>
  <c r="G1549" i="1"/>
  <c r="H1549" i="1"/>
  <c r="I1549" i="1"/>
  <c r="J1549" i="1"/>
  <c r="K1549" i="1"/>
  <c r="L1549" i="1"/>
  <c r="M1549" i="1"/>
  <c r="N1549" i="1"/>
  <c r="O1549" i="1"/>
  <c r="P1549" i="1"/>
  <c r="R1549" i="1"/>
  <c r="S1549" i="1"/>
  <c r="T1549" i="1"/>
  <c r="U1549" i="1"/>
  <c r="D1548" i="1"/>
  <c r="E1548" i="1"/>
  <c r="F1548" i="1"/>
  <c r="G1548" i="1"/>
  <c r="H1548" i="1"/>
  <c r="I1548" i="1"/>
  <c r="J1548" i="1"/>
  <c r="K1548" i="1"/>
  <c r="L1548" i="1"/>
  <c r="M1548" i="1"/>
  <c r="N1548" i="1"/>
  <c r="O1548" i="1"/>
  <c r="P1548" i="1"/>
  <c r="R1548" i="1"/>
  <c r="S1548" i="1"/>
  <c r="T1548" i="1"/>
  <c r="U1548" i="1"/>
  <c r="D1547" i="1"/>
  <c r="E1547" i="1"/>
  <c r="F1547" i="1"/>
  <c r="G1547" i="1"/>
  <c r="H1547" i="1"/>
  <c r="I1547" i="1"/>
  <c r="J1547" i="1"/>
  <c r="K1547" i="1"/>
  <c r="L1547" i="1"/>
  <c r="M1547" i="1"/>
  <c r="N1547" i="1"/>
  <c r="O1547" i="1"/>
  <c r="P1547" i="1"/>
  <c r="R1547" i="1"/>
  <c r="S1547" i="1"/>
  <c r="T1547" i="1"/>
  <c r="U1547" i="1"/>
  <c r="D1546" i="1"/>
  <c r="E1546" i="1"/>
  <c r="F1546" i="1"/>
  <c r="G1546" i="1"/>
  <c r="H1546" i="1"/>
  <c r="I1546" i="1"/>
  <c r="J1546" i="1"/>
  <c r="K1546" i="1"/>
  <c r="L1546" i="1"/>
  <c r="M1546" i="1"/>
  <c r="N1546" i="1"/>
  <c r="O1546" i="1"/>
  <c r="P1546" i="1"/>
  <c r="R1546" i="1"/>
  <c r="S1546" i="1"/>
  <c r="T1546" i="1"/>
  <c r="U1546" i="1"/>
  <c r="D1545" i="1"/>
  <c r="E1545" i="1"/>
  <c r="F1545" i="1"/>
  <c r="G1545" i="1"/>
  <c r="H1545" i="1"/>
  <c r="I1545" i="1"/>
  <c r="J1545" i="1"/>
  <c r="K1545" i="1"/>
  <c r="L1545" i="1"/>
  <c r="M1545" i="1"/>
  <c r="N1545" i="1"/>
  <c r="O1545" i="1"/>
  <c r="P1545" i="1"/>
  <c r="R1545" i="1"/>
  <c r="S1545" i="1"/>
  <c r="T1545" i="1"/>
  <c r="U1545" i="1"/>
  <c r="D1544" i="1"/>
  <c r="E1544" i="1"/>
  <c r="F1544" i="1"/>
  <c r="G1544" i="1"/>
  <c r="H1544" i="1"/>
  <c r="I1544" i="1"/>
  <c r="J1544" i="1"/>
  <c r="K1544" i="1"/>
  <c r="L1544" i="1"/>
  <c r="M1544" i="1"/>
  <c r="N1544" i="1"/>
  <c r="O1544" i="1"/>
  <c r="P1544" i="1"/>
  <c r="R1544" i="1"/>
  <c r="S1544" i="1"/>
  <c r="T1544" i="1"/>
  <c r="U1544" i="1"/>
  <c r="B1543" i="1"/>
  <c r="D1543" i="1"/>
  <c r="E1543" i="1"/>
  <c r="F1543" i="1"/>
  <c r="G1543" i="1"/>
  <c r="H1543" i="1"/>
  <c r="I1543" i="1"/>
  <c r="J1543" i="1"/>
  <c r="K1543" i="1"/>
  <c r="L1543" i="1"/>
  <c r="M1543" i="1"/>
  <c r="N1543" i="1"/>
  <c r="O1543" i="1"/>
  <c r="P1543" i="1"/>
  <c r="R1543" i="1"/>
  <c r="S1543" i="1"/>
  <c r="T1543" i="1"/>
  <c r="U1543" i="1"/>
  <c r="D1542" i="1"/>
  <c r="E1542" i="1"/>
  <c r="F1542" i="1"/>
  <c r="G1542" i="1"/>
  <c r="H1542" i="1"/>
  <c r="I1542" i="1"/>
  <c r="J1542" i="1"/>
  <c r="K1542" i="1"/>
  <c r="L1542" i="1"/>
  <c r="M1542" i="1"/>
  <c r="N1542" i="1"/>
  <c r="O1542" i="1"/>
  <c r="P1542" i="1"/>
  <c r="R1542" i="1"/>
  <c r="S1542" i="1"/>
  <c r="T1542" i="1"/>
  <c r="U1542" i="1"/>
  <c r="D1541" i="1"/>
  <c r="E1541" i="1"/>
  <c r="F1541" i="1"/>
  <c r="G1541" i="1"/>
  <c r="H1541" i="1"/>
  <c r="I1541" i="1"/>
  <c r="J1541" i="1"/>
  <c r="K1541" i="1"/>
  <c r="L1541" i="1"/>
  <c r="M1541" i="1"/>
  <c r="N1541" i="1"/>
  <c r="O1541" i="1"/>
  <c r="P1541" i="1"/>
  <c r="R1541" i="1"/>
  <c r="S1541" i="1"/>
  <c r="T1541" i="1"/>
  <c r="U1541" i="1"/>
  <c r="D1540" i="1"/>
  <c r="E1540" i="1"/>
  <c r="F1540" i="1"/>
  <c r="G1540" i="1"/>
  <c r="H1540" i="1"/>
  <c r="I1540" i="1"/>
  <c r="J1540" i="1"/>
  <c r="K1540" i="1"/>
  <c r="L1540" i="1"/>
  <c r="M1540" i="1"/>
  <c r="N1540" i="1"/>
  <c r="O1540" i="1"/>
  <c r="P1540" i="1"/>
  <c r="R1540" i="1"/>
  <c r="S1540" i="1"/>
  <c r="T1540" i="1"/>
  <c r="U1540" i="1"/>
  <c r="D1539" i="1"/>
  <c r="E1539" i="1"/>
  <c r="F1539" i="1"/>
  <c r="G1539" i="1"/>
  <c r="H1539" i="1"/>
  <c r="I1539" i="1"/>
  <c r="J1539" i="1"/>
  <c r="K1539" i="1"/>
  <c r="L1539" i="1"/>
  <c r="M1539" i="1"/>
  <c r="N1539" i="1"/>
  <c r="O1539" i="1"/>
  <c r="P1539" i="1"/>
  <c r="R1539" i="1"/>
  <c r="S1539" i="1"/>
  <c r="T1539" i="1"/>
  <c r="U1539" i="1"/>
  <c r="D1538" i="1"/>
  <c r="E1538" i="1"/>
  <c r="F1538" i="1"/>
  <c r="G1538" i="1"/>
  <c r="H1538" i="1"/>
  <c r="I1538" i="1"/>
  <c r="J1538" i="1"/>
  <c r="K1538" i="1"/>
  <c r="L1538" i="1"/>
  <c r="M1538" i="1"/>
  <c r="N1538" i="1"/>
  <c r="O1538" i="1"/>
  <c r="P1538" i="1"/>
  <c r="R1538" i="1"/>
  <c r="S1538" i="1"/>
  <c r="T1538" i="1"/>
  <c r="U1538" i="1"/>
  <c r="D1537" i="1"/>
  <c r="E1537" i="1"/>
  <c r="F1537" i="1"/>
  <c r="G1537" i="1"/>
  <c r="H1537" i="1"/>
  <c r="I1537" i="1"/>
  <c r="J1537" i="1"/>
  <c r="K1537" i="1"/>
  <c r="L1537" i="1"/>
  <c r="M1537" i="1"/>
  <c r="N1537" i="1"/>
  <c r="O1537" i="1"/>
  <c r="P1537" i="1"/>
  <c r="R1537" i="1"/>
  <c r="S1537" i="1"/>
  <c r="T1537" i="1"/>
  <c r="U1537" i="1"/>
  <c r="D1536" i="1"/>
  <c r="E1536" i="1"/>
  <c r="F1536" i="1"/>
  <c r="G1536" i="1"/>
  <c r="H1536" i="1"/>
  <c r="I1536" i="1"/>
  <c r="J1536" i="1"/>
  <c r="K1536" i="1"/>
  <c r="L1536" i="1"/>
  <c r="M1536" i="1"/>
  <c r="N1536" i="1"/>
  <c r="O1536" i="1"/>
  <c r="P1536" i="1"/>
  <c r="R1536" i="1"/>
  <c r="S1536" i="1"/>
  <c r="T1536" i="1"/>
  <c r="U1536" i="1"/>
  <c r="D1535" i="1"/>
  <c r="E1535" i="1"/>
  <c r="F1535" i="1"/>
  <c r="G1535" i="1"/>
  <c r="H1535" i="1"/>
  <c r="I1535" i="1"/>
  <c r="J1535" i="1"/>
  <c r="K1535" i="1"/>
  <c r="L1535" i="1"/>
  <c r="M1535" i="1"/>
  <c r="N1535" i="1"/>
  <c r="O1535" i="1"/>
  <c r="P1535" i="1"/>
  <c r="R1535" i="1"/>
  <c r="S1535" i="1"/>
  <c r="T1535" i="1"/>
  <c r="U1535" i="1"/>
  <c r="B1534" i="1"/>
  <c r="C1534" i="1"/>
  <c r="D1534" i="1"/>
  <c r="E1534" i="1"/>
  <c r="F1534" i="1"/>
  <c r="G1534" i="1"/>
  <c r="H1534" i="1"/>
  <c r="I1534" i="1"/>
  <c r="J1534" i="1"/>
  <c r="K1534" i="1"/>
  <c r="L1534" i="1"/>
  <c r="M1534" i="1"/>
  <c r="N1534" i="1"/>
  <c r="O1534" i="1"/>
  <c r="P1534" i="1"/>
  <c r="R1534" i="1"/>
  <c r="S1534" i="1"/>
  <c r="T1534" i="1"/>
  <c r="U1534" i="1"/>
  <c r="C1533" i="1"/>
  <c r="D1533" i="1"/>
  <c r="E1533" i="1"/>
  <c r="F1533" i="1"/>
  <c r="G1533" i="1"/>
  <c r="H1533" i="1"/>
  <c r="I1533" i="1"/>
  <c r="J1533" i="1"/>
  <c r="K1533" i="1"/>
  <c r="L1533" i="1"/>
  <c r="M1533" i="1"/>
  <c r="N1533" i="1"/>
  <c r="O1533" i="1"/>
  <c r="P1533" i="1"/>
  <c r="R1533" i="1"/>
  <c r="S1533" i="1"/>
  <c r="T1533" i="1"/>
  <c r="U1533" i="1"/>
  <c r="C1532" i="1"/>
  <c r="D1532" i="1"/>
  <c r="E1532" i="1"/>
  <c r="F1532" i="1"/>
  <c r="G1532" i="1"/>
  <c r="H1532" i="1"/>
  <c r="I1532" i="1"/>
  <c r="J1532" i="1"/>
  <c r="K1532" i="1"/>
  <c r="L1532" i="1"/>
  <c r="M1532" i="1"/>
  <c r="N1532" i="1"/>
  <c r="O1532" i="1"/>
  <c r="P1532" i="1"/>
  <c r="R1532" i="1"/>
  <c r="S1532" i="1"/>
  <c r="T1532" i="1"/>
  <c r="U1532" i="1"/>
  <c r="C1531" i="1"/>
  <c r="D1531" i="1"/>
  <c r="E1531" i="1"/>
  <c r="F1531" i="1"/>
  <c r="G1531" i="1"/>
  <c r="H1531" i="1"/>
  <c r="I1531" i="1"/>
  <c r="J1531" i="1"/>
  <c r="K1531" i="1"/>
  <c r="L1531" i="1"/>
  <c r="M1531" i="1"/>
  <c r="N1531" i="1"/>
  <c r="O1531" i="1"/>
  <c r="P1531" i="1"/>
  <c r="R1531" i="1"/>
  <c r="S1531" i="1"/>
  <c r="T1531" i="1"/>
  <c r="U1531" i="1"/>
  <c r="C1530" i="1"/>
  <c r="D1530" i="1"/>
  <c r="E1530" i="1"/>
  <c r="F1530" i="1"/>
  <c r="G1530" i="1"/>
  <c r="H1530" i="1"/>
  <c r="I1530" i="1"/>
  <c r="J1530" i="1"/>
  <c r="K1530" i="1"/>
  <c r="L1530" i="1"/>
  <c r="M1530" i="1"/>
  <c r="N1530" i="1"/>
  <c r="O1530" i="1"/>
  <c r="P1530" i="1"/>
  <c r="R1530" i="1"/>
  <c r="S1530" i="1"/>
  <c r="T1530" i="1"/>
  <c r="U1530" i="1"/>
  <c r="C1529" i="1"/>
  <c r="D1529" i="1"/>
  <c r="E1529" i="1"/>
  <c r="F1529" i="1"/>
  <c r="G1529" i="1"/>
  <c r="H1529" i="1"/>
  <c r="I1529" i="1"/>
  <c r="J1529" i="1"/>
  <c r="K1529" i="1"/>
  <c r="L1529" i="1"/>
  <c r="M1529" i="1"/>
  <c r="N1529" i="1"/>
  <c r="O1529" i="1"/>
  <c r="P1529" i="1"/>
  <c r="R1529" i="1"/>
  <c r="S1529" i="1"/>
  <c r="T1529" i="1"/>
  <c r="U1529" i="1"/>
  <c r="C1528" i="1"/>
  <c r="D1528" i="1"/>
  <c r="E1528" i="1"/>
  <c r="F1528" i="1"/>
  <c r="G1528" i="1"/>
  <c r="H1528" i="1"/>
  <c r="I1528" i="1"/>
  <c r="J1528" i="1"/>
  <c r="K1528" i="1"/>
  <c r="L1528" i="1"/>
  <c r="M1528" i="1"/>
  <c r="N1528" i="1"/>
  <c r="O1528" i="1"/>
  <c r="P1528" i="1"/>
  <c r="R1528" i="1"/>
  <c r="S1528" i="1"/>
  <c r="T1528" i="1"/>
  <c r="U1528" i="1"/>
  <c r="C1527" i="1"/>
  <c r="D1527" i="1"/>
  <c r="E1527" i="1"/>
  <c r="F1527" i="1"/>
  <c r="G1527" i="1"/>
  <c r="H1527" i="1"/>
  <c r="I1527" i="1"/>
  <c r="J1527" i="1"/>
  <c r="K1527" i="1"/>
  <c r="L1527" i="1"/>
  <c r="M1527" i="1"/>
  <c r="N1527" i="1"/>
  <c r="O1527" i="1"/>
  <c r="P1527" i="1"/>
  <c r="R1527" i="1"/>
  <c r="S1527" i="1"/>
  <c r="T1527" i="1"/>
  <c r="U1527" i="1"/>
  <c r="C1526" i="1"/>
  <c r="D1526" i="1"/>
  <c r="E1526" i="1"/>
  <c r="F1526" i="1"/>
  <c r="G1526" i="1"/>
  <c r="H1526" i="1"/>
  <c r="I1526" i="1"/>
  <c r="J1526" i="1"/>
  <c r="K1526" i="1"/>
  <c r="L1526" i="1"/>
  <c r="M1526" i="1"/>
  <c r="N1526" i="1"/>
  <c r="O1526" i="1"/>
  <c r="P1526" i="1"/>
  <c r="R1526" i="1"/>
  <c r="S1526" i="1"/>
  <c r="T1526" i="1"/>
  <c r="U1526" i="1"/>
  <c r="B1525" i="1"/>
  <c r="C1525" i="1"/>
  <c r="D1525" i="1"/>
  <c r="E1525" i="1"/>
  <c r="F1525" i="1"/>
  <c r="G1525" i="1"/>
  <c r="H1525" i="1"/>
  <c r="I1525" i="1"/>
  <c r="J1525" i="1"/>
  <c r="K1525" i="1"/>
  <c r="L1525" i="1"/>
  <c r="M1525" i="1"/>
  <c r="N1525" i="1"/>
  <c r="O1525" i="1"/>
  <c r="P1525" i="1"/>
  <c r="R1525" i="1"/>
  <c r="S1525" i="1"/>
  <c r="T1525" i="1"/>
  <c r="U1525" i="1"/>
  <c r="C1524" i="1"/>
  <c r="D1524" i="1"/>
  <c r="E1524" i="1"/>
  <c r="F1524" i="1"/>
  <c r="G1524" i="1"/>
  <c r="H1524" i="1"/>
  <c r="I1524" i="1"/>
  <c r="J1524" i="1"/>
  <c r="K1524" i="1"/>
  <c r="L1524" i="1"/>
  <c r="M1524" i="1"/>
  <c r="N1524" i="1"/>
  <c r="O1524" i="1"/>
  <c r="P1524" i="1"/>
  <c r="R1524" i="1"/>
  <c r="S1524" i="1"/>
  <c r="T1524" i="1"/>
  <c r="U1524" i="1"/>
  <c r="C1523" i="1"/>
  <c r="D1523" i="1"/>
  <c r="E1523" i="1"/>
  <c r="F1523" i="1"/>
  <c r="G1523" i="1"/>
  <c r="H1523" i="1"/>
  <c r="I1523" i="1"/>
  <c r="J1523" i="1"/>
  <c r="K1523" i="1"/>
  <c r="L1523" i="1"/>
  <c r="M1523" i="1"/>
  <c r="N1523" i="1"/>
  <c r="O1523" i="1"/>
  <c r="P1523" i="1"/>
  <c r="R1523" i="1"/>
  <c r="S1523" i="1"/>
  <c r="T1523" i="1"/>
  <c r="U1523" i="1"/>
  <c r="C1522" i="1"/>
  <c r="D1522" i="1"/>
  <c r="E1522" i="1"/>
  <c r="F1522" i="1"/>
  <c r="G1522" i="1"/>
  <c r="H1522" i="1"/>
  <c r="I1522" i="1"/>
  <c r="J1522" i="1"/>
  <c r="K1522" i="1"/>
  <c r="L1522" i="1"/>
  <c r="M1522" i="1"/>
  <c r="N1522" i="1"/>
  <c r="O1522" i="1"/>
  <c r="P1522" i="1"/>
  <c r="R1522" i="1"/>
  <c r="S1522" i="1"/>
  <c r="T1522" i="1"/>
  <c r="U1522" i="1"/>
  <c r="C1521" i="1"/>
  <c r="D1521" i="1"/>
  <c r="E1521" i="1"/>
  <c r="F1521" i="1"/>
  <c r="G1521" i="1"/>
  <c r="H1521" i="1"/>
  <c r="I1521" i="1"/>
  <c r="J1521" i="1"/>
  <c r="K1521" i="1"/>
  <c r="L1521" i="1"/>
  <c r="M1521" i="1"/>
  <c r="N1521" i="1"/>
  <c r="O1521" i="1"/>
  <c r="P1521" i="1"/>
  <c r="R1521" i="1"/>
  <c r="S1521" i="1"/>
  <c r="T1521" i="1"/>
  <c r="U1521" i="1"/>
  <c r="C1520" i="1"/>
  <c r="D1520" i="1"/>
  <c r="E1520" i="1"/>
  <c r="F1520" i="1"/>
  <c r="G1520" i="1"/>
  <c r="H1520" i="1"/>
  <c r="I1520" i="1"/>
  <c r="J1520" i="1"/>
  <c r="K1520" i="1"/>
  <c r="L1520" i="1"/>
  <c r="M1520" i="1"/>
  <c r="N1520" i="1"/>
  <c r="O1520" i="1"/>
  <c r="P1520" i="1"/>
  <c r="R1520" i="1"/>
  <c r="S1520" i="1"/>
  <c r="T1520" i="1"/>
  <c r="U1520" i="1"/>
  <c r="C1519" i="1"/>
  <c r="D1519" i="1"/>
  <c r="E1519" i="1"/>
  <c r="F1519" i="1"/>
  <c r="G1519" i="1"/>
  <c r="H1519" i="1"/>
  <c r="I1519" i="1"/>
  <c r="J1519" i="1"/>
  <c r="K1519" i="1"/>
  <c r="L1519" i="1"/>
  <c r="M1519" i="1"/>
  <c r="N1519" i="1"/>
  <c r="O1519" i="1"/>
  <c r="P1519" i="1"/>
  <c r="R1519" i="1"/>
  <c r="S1519" i="1"/>
  <c r="T1519" i="1"/>
  <c r="U1519" i="1"/>
  <c r="C1518" i="1"/>
  <c r="D1518" i="1"/>
  <c r="E1518" i="1"/>
  <c r="F1518" i="1"/>
  <c r="G1518" i="1"/>
  <c r="H1518" i="1"/>
  <c r="I1518" i="1"/>
  <c r="J1518" i="1"/>
  <c r="K1518" i="1"/>
  <c r="L1518" i="1"/>
  <c r="M1518" i="1"/>
  <c r="N1518" i="1"/>
  <c r="O1518" i="1"/>
  <c r="P1518" i="1"/>
  <c r="R1518" i="1"/>
  <c r="S1518" i="1"/>
  <c r="T1518" i="1"/>
  <c r="U1518" i="1"/>
  <c r="C1517" i="1"/>
  <c r="D1517" i="1"/>
  <c r="E1517" i="1"/>
  <c r="F1517" i="1"/>
  <c r="G1517" i="1"/>
  <c r="H1517" i="1"/>
  <c r="I1517" i="1"/>
  <c r="J1517" i="1"/>
  <c r="K1517" i="1"/>
  <c r="L1517" i="1"/>
  <c r="M1517" i="1"/>
  <c r="N1517" i="1"/>
  <c r="O1517" i="1"/>
  <c r="P1517" i="1"/>
  <c r="R1517" i="1"/>
  <c r="S1517" i="1"/>
  <c r="T1517" i="1"/>
  <c r="U1517" i="1"/>
  <c r="C1516" i="1"/>
  <c r="D1516" i="1"/>
  <c r="E1516" i="1"/>
  <c r="F1516" i="1"/>
  <c r="G1516" i="1"/>
  <c r="H1516" i="1"/>
  <c r="I1516" i="1"/>
  <c r="J1516" i="1"/>
  <c r="K1516" i="1"/>
  <c r="L1516" i="1"/>
  <c r="M1516" i="1"/>
  <c r="N1516" i="1"/>
  <c r="O1516" i="1"/>
  <c r="P1516" i="1"/>
  <c r="R1516" i="1"/>
  <c r="S1516" i="1"/>
  <c r="T1516" i="1"/>
  <c r="U1516" i="1"/>
  <c r="B1515" i="1"/>
  <c r="D1515" i="1"/>
  <c r="E1515" i="1"/>
  <c r="F1515" i="1"/>
  <c r="G1515" i="1"/>
  <c r="H1515" i="1"/>
  <c r="I1515" i="1"/>
  <c r="J1515" i="1"/>
  <c r="K1515" i="1"/>
  <c r="L1515" i="1"/>
  <c r="M1515" i="1"/>
  <c r="N1515" i="1"/>
  <c r="O1515" i="1"/>
  <c r="P1515" i="1"/>
  <c r="R1515" i="1"/>
  <c r="S1515" i="1"/>
  <c r="T1515" i="1"/>
  <c r="U1515" i="1"/>
  <c r="D1514" i="1"/>
  <c r="E1514" i="1"/>
  <c r="F1514" i="1"/>
  <c r="G1514" i="1"/>
  <c r="H1514" i="1"/>
  <c r="I1514" i="1"/>
  <c r="J1514" i="1"/>
  <c r="K1514" i="1"/>
  <c r="L1514" i="1"/>
  <c r="M1514" i="1"/>
  <c r="N1514" i="1"/>
  <c r="O1514" i="1"/>
  <c r="P1514" i="1"/>
  <c r="R1514" i="1"/>
  <c r="S1514" i="1"/>
  <c r="T1514" i="1"/>
  <c r="U1514" i="1"/>
  <c r="D1513" i="1"/>
  <c r="E1513" i="1"/>
  <c r="F1513" i="1"/>
  <c r="G1513" i="1"/>
  <c r="H1513" i="1"/>
  <c r="I1513" i="1"/>
  <c r="J1513" i="1"/>
  <c r="K1513" i="1"/>
  <c r="L1513" i="1"/>
  <c r="M1513" i="1"/>
  <c r="N1513" i="1"/>
  <c r="O1513" i="1"/>
  <c r="P1513" i="1"/>
  <c r="R1513" i="1"/>
  <c r="S1513" i="1"/>
  <c r="T1513" i="1"/>
  <c r="U1513" i="1"/>
  <c r="D1512" i="1"/>
  <c r="E1512" i="1"/>
  <c r="F1512" i="1"/>
  <c r="G1512" i="1"/>
  <c r="H1512" i="1"/>
  <c r="I1512" i="1"/>
  <c r="J1512" i="1"/>
  <c r="K1512" i="1"/>
  <c r="L1512" i="1"/>
  <c r="M1512" i="1"/>
  <c r="N1512" i="1"/>
  <c r="O1512" i="1"/>
  <c r="P1512" i="1"/>
  <c r="R1512" i="1"/>
  <c r="S1512" i="1"/>
  <c r="T1512" i="1"/>
  <c r="U1512" i="1"/>
  <c r="D1511" i="1"/>
  <c r="E1511" i="1"/>
  <c r="F1511" i="1"/>
  <c r="G1511" i="1"/>
  <c r="H1511" i="1"/>
  <c r="I1511" i="1"/>
  <c r="J1511" i="1"/>
  <c r="K1511" i="1"/>
  <c r="L1511" i="1"/>
  <c r="M1511" i="1"/>
  <c r="N1511" i="1"/>
  <c r="O1511" i="1"/>
  <c r="P1511" i="1"/>
  <c r="R1511" i="1"/>
  <c r="S1511" i="1"/>
  <c r="T1511" i="1"/>
  <c r="U1511" i="1"/>
  <c r="D1510" i="1"/>
  <c r="E1510" i="1"/>
  <c r="F1510" i="1"/>
  <c r="G1510" i="1"/>
  <c r="H1510" i="1"/>
  <c r="I1510" i="1"/>
  <c r="J1510" i="1"/>
  <c r="K1510" i="1"/>
  <c r="L1510" i="1"/>
  <c r="M1510" i="1"/>
  <c r="N1510" i="1"/>
  <c r="O1510" i="1"/>
  <c r="P1510" i="1"/>
  <c r="R1510" i="1"/>
  <c r="S1510" i="1"/>
  <c r="T1510" i="1"/>
  <c r="U1510" i="1"/>
  <c r="D1509" i="1"/>
  <c r="E1509" i="1"/>
  <c r="F1509" i="1"/>
  <c r="G1509" i="1"/>
  <c r="H1509" i="1"/>
  <c r="I1509" i="1"/>
  <c r="J1509" i="1"/>
  <c r="K1509" i="1"/>
  <c r="L1509" i="1"/>
  <c r="M1509" i="1"/>
  <c r="N1509" i="1"/>
  <c r="O1509" i="1"/>
  <c r="P1509" i="1"/>
  <c r="R1509" i="1"/>
  <c r="S1509" i="1"/>
  <c r="T1509" i="1"/>
  <c r="U1509" i="1"/>
  <c r="D1508" i="1"/>
  <c r="E1508" i="1"/>
  <c r="F1508" i="1"/>
  <c r="G1508" i="1"/>
  <c r="H1508" i="1"/>
  <c r="I1508" i="1"/>
  <c r="J1508" i="1"/>
  <c r="K1508" i="1"/>
  <c r="L1508" i="1"/>
  <c r="M1508" i="1"/>
  <c r="N1508" i="1"/>
  <c r="O1508" i="1"/>
  <c r="P1508" i="1"/>
  <c r="R1508" i="1"/>
  <c r="S1508" i="1"/>
  <c r="T1508" i="1"/>
  <c r="U1508" i="1"/>
  <c r="D1507" i="1"/>
  <c r="E1507" i="1"/>
  <c r="F1507" i="1"/>
  <c r="G1507" i="1"/>
  <c r="H1507" i="1"/>
  <c r="I1507" i="1"/>
  <c r="J1507" i="1"/>
  <c r="K1507" i="1"/>
  <c r="L1507" i="1"/>
  <c r="M1507" i="1"/>
  <c r="N1507" i="1"/>
  <c r="O1507" i="1"/>
  <c r="P1507" i="1"/>
  <c r="R1507" i="1"/>
  <c r="S1507" i="1"/>
  <c r="T1507" i="1"/>
  <c r="U1507" i="1"/>
  <c r="B1506" i="1"/>
  <c r="D1506" i="1"/>
  <c r="E1506" i="1"/>
  <c r="F1506" i="1"/>
  <c r="G1506" i="1"/>
  <c r="H1506" i="1"/>
  <c r="I1506" i="1"/>
  <c r="J1506" i="1"/>
  <c r="L1506" i="1"/>
  <c r="M1506" i="1"/>
  <c r="N1506" i="1"/>
  <c r="O1506" i="1"/>
  <c r="P1506" i="1"/>
  <c r="R1506" i="1"/>
  <c r="S1506" i="1"/>
  <c r="T1506" i="1"/>
  <c r="U1506" i="1"/>
  <c r="D1505" i="1"/>
  <c r="E1505" i="1"/>
  <c r="F1505" i="1"/>
  <c r="G1505" i="1"/>
  <c r="H1505" i="1"/>
  <c r="I1505" i="1"/>
  <c r="J1505" i="1"/>
  <c r="K1505" i="1"/>
  <c r="L1505" i="1"/>
  <c r="M1505" i="1"/>
  <c r="N1505" i="1"/>
  <c r="O1505" i="1"/>
  <c r="P1505" i="1"/>
  <c r="R1505" i="1"/>
  <c r="S1505" i="1"/>
  <c r="T1505" i="1"/>
  <c r="U1505" i="1"/>
  <c r="D1504" i="1"/>
  <c r="E1504" i="1"/>
  <c r="F1504" i="1"/>
  <c r="G1504" i="1"/>
  <c r="H1504" i="1"/>
  <c r="I1504" i="1"/>
  <c r="J1504" i="1"/>
  <c r="K1504" i="1"/>
  <c r="L1504" i="1"/>
  <c r="M1504" i="1"/>
  <c r="N1504" i="1"/>
  <c r="O1504" i="1"/>
  <c r="P1504" i="1"/>
  <c r="R1504" i="1"/>
  <c r="S1504" i="1"/>
  <c r="T1504" i="1"/>
  <c r="U1504" i="1"/>
  <c r="D1503" i="1"/>
  <c r="E1503" i="1"/>
  <c r="F1503" i="1"/>
  <c r="G1503" i="1"/>
  <c r="H1503" i="1"/>
  <c r="I1503" i="1"/>
  <c r="J1503" i="1"/>
  <c r="K1503" i="1"/>
  <c r="L1503" i="1"/>
  <c r="M1503" i="1"/>
  <c r="N1503" i="1"/>
  <c r="O1503" i="1"/>
  <c r="P1503" i="1"/>
  <c r="R1503" i="1"/>
  <c r="S1503" i="1"/>
  <c r="T1503" i="1"/>
  <c r="U1503" i="1"/>
  <c r="D1502" i="1"/>
  <c r="E1502" i="1"/>
  <c r="F1502" i="1"/>
  <c r="G1502" i="1"/>
  <c r="H1502" i="1"/>
  <c r="I1502" i="1"/>
  <c r="J1502" i="1"/>
  <c r="K1502" i="1"/>
  <c r="L1502" i="1"/>
  <c r="M1502" i="1"/>
  <c r="N1502" i="1"/>
  <c r="O1502" i="1"/>
  <c r="P1502" i="1"/>
  <c r="R1502" i="1"/>
  <c r="S1502" i="1"/>
  <c r="T1502" i="1"/>
  <c r="U1502" i="1"/>
  <c r="D1501" i="1"/>
  <c r="E1501" i="1"/>
  <c r="F1501" i="1"/>
  <c r="G1501" i="1"/>
  <c r="H1501" i="1"/>
  <c r="I1501" i="1"/>
  <c r="J1501" i="1"/>
  <c r="K1501" i="1"/>
  <c r="L1501" i="1"/>
  <c r="M1501" i="1"/>
  <c r="N1501" i="1"/>
  <c r="O1501" i="1"/>
  <c r="P1501" i="1"/>
  <c r="R1501" i="1"/>
  <c r="S1501" i="1"/>
  <c r="T1501" i="1"/>
  <c r="U1501" i="1"/>
  <c r="D1500" i="1"/>
  <c r="E1500" i="1"/>
  <c r="F1500" i="1"/>
  <c r="G1500" i="1"/>
  <c r="H1500" i="1"/>
  <c r="I1500" i="1"/>
  <c r="J1500" i="1"/>
  <c r="K1500" i="1"/>
  <c r="L1500" i="1"/>
  <c r="M1500" i="1"/>
  <c r="N1500" i="1"/>
  <c r="O1500" i="1"/>
  <c r="P1500" i="1"/>
  <c r="R1500" i="1"/>
  <c r="S1500" i="1"/>
  <c r="T1500" i="1"/>
  <c r="U1500" i="1"/>
  <c r="D1499" i="1"/>
  <c r="E1499" i="1"/>
  <c r="F1499" i="1"/>
  <c r="G1499" i="1"/>
  <c r="H1499" i="1"/>
  <c r="I1499" i="1"/>
  <c r="J1499" i="1"/>
  <c r="K1499" i="1"/>
  <c r="L1499" i="1"/>
  <c r="M1499" i="1"/>
  <c r="N1499" i="1"/>
  <c r="O1499" i="1"/>
  <c r="P1499" i="1"/>
  <c r="R1499" i="1"/>
  <c r="S1499" i="1"/>
  <c r="T1499" i="1"/>
  <c r="U1499" i="1"/>
  <c r="D1498" i="1"/>
  <c r="E1498" i="1"/>
  <c r="F1498" i="1"/>
  <c r="G1498" i="1"/>
  <c r="H1498" i="1"/>
  <c r="I1498" i="1"/>
  <c r="J1498" i="1"/>
  <c r="K1498" i="1"/>
  <c r="L1498" i="1"/>
  <c r="M1498" i="1"/>
  <c r="N1498" i="1"/>
  <c r="O1498" i="1"/>
  <c r="P1498" i="1"/>
  <c r="R1498" i="1"/>
  <c r="S1498" i="1"/>
  <c r="T1498" i="1"/>
  <c r="U1498" i="1"/>
  <c r="D1677" i="1"/>
  <c r="E1677" i="1"/>
  <c r="F1677" i="1"/>
  <c r="G1677" i="1"/>
  <c r="H1677" i="1"/>
  <c r="I1677" i="1"/>
  <c r="J1677" i="1"/>
  <c r="K1677" i="1"/>
  <c r="L1677" i="1"/>
  <c r="M1677" i="1"/>
  <c r="N1677" i="1"/>
  <c r="O1677" i="1"/>
  <c r="P1677" i="1"/>
  <c r="R1677" i="1"/>
  <c r="S1677" i="1"/>
  <c r="T1677" i="1"/>
  <c r="U1677" i="1"/>
  <c r="D1676" i="1"/>
  <c r="E1676" i="1"/>
  <c r="F1676" i="1"/>
  <c r="G1676" i="1"/>
  <c r="H1676" i="1"/>
  <c r="I1676" i="1"/>
  <c r="J1676" i="1"/>
  <c r="K1676" i="1"/>
  <c r="L1676" i="1"/>
  <c r="M1676" i="1"/>
  <c r="N1676" i="1"/>
  <c r="O1676" i="1"/>
  <c r="P1676" i="1"/>
  <c r="R1676" i="1"/>
  <c r="S1676" i="1"/>
  <c r="T1676" i="1"/>
  <c r="U1676" i="1"/>
  <c r="D1675" i="1"/>
  <c r="E1675" i="1"/>
  <c r="F1675" i="1"/>
  <c r="G1675" i="1"/>
  <c r="H1675" i="1"/>
  <c r="I1675" i="1"/>
  <c r="J1675" i="1"/>
  <c r="K1675" i="1"/>
  <c r="L1675" i="1"/>
  <c r="M1675" i="1"/>
  <c r="N1675" i="1"/>
  <c r="O1675" i="1"/>
  <c r="P1675" i="1"/>
  <c r="R1675" i="1"/>
  <c r="S1675" i="1"/>
  <c r="T1675" i="1"/>
  <c r="U1675" i="1"/>
  <c r="B1960" i="1"/>
  <c r="D1960" i="1"/>
  <c r="E1960" i="1"/>
  <c r="F1960" i="1"/>
  <c r="G1960" i="1"/>
  <c r="H1960" i="1"/>
  <c r="I1960" i="1"/>
  <c r="J1960" i="1"/>
  <c r="K1960" i="1"/>
  <c r="L1960" i="1"/>
  <c r="M1960" i="1"/>
  <c r="N1960" i="1"/>
  <c r="O1960" i="1"/>
  <c r="P1960" i="1"/>
  <c r="R1960" i="1"/>
  <c r="S1960" i="1"/>
  <c r="T1960" i="1"/>
  <c r="U1960" i="1"/>
  <c r="B1959" i="1"/>
  <c r="D1959" i="1"/>
  <c r="E1959" i="1"/>
  <c r="F1959" i="1"/>
  <c r="G1959" i="1"/>
  <c r="H1959" i="1"/>
  <c r="I1959" i="1"/>
  <c r="J1959" i="1"/>
  <c r="K1959" i="1"/>
  <c r="L1959" i="1"/>
  <c r="M1959" i="1"/>
  <c r="N1959" i="1"/>
  <c r="O1959" i="1"/>
  <c r="P1959" i="1"/>
  <c r="R1959" i="1"/>
  <c r="S1959" i="1"/>
  <c r="T1959" i="1"/>
  <c r="U1959" i="1"/>
  <c r="B1958" i="1"/>
  <c r="D1958" i="1"/>
  <c r="E1958" i="1"/>
  <c r="F1958" i="1"/>
  <c r="G1958" i="1"/>
  <c r="H1958" i="1"/>
  <c r="I1958" i="1"/>
  <c r="J1958" i="1"/>
  <c r="K1958" i="1"/>
  <c r="L1958" i="1"/>
  <c r="M1958" i="1"/>
  <c r="N1958" i="1"/>
  <c r="O1958" i="1"/>
  <c r="P1958" i="1"/>
  <c r="R1958" i="1"/>
  <c r="S1958" i="1"/>
  <c r="T1958" i="1"/>
  <c r="U1958" i="1"/>
  <c r="B1957" i="1"/>
  <c r="D1957" i="1"/>
  <c r="E1957" i="1"/>
  <c r="F1957" i="1"/>
  <c r="G1957" i="1"/>
  <c r="H1957" i="1"/>
  <c r="I1957" i="1"/>
  <c r="J1957" i="1"/>
  <c r="K1957" i="1"/>
  <c r="L1957" i="1"/>
  <c r="M1957" i="1"/>
  <c r="N1957" i="1"/>
  <c r="O1957" i="1"/>
  <c r="P1957" i="1"/>
  <c r="R1957" i="1"/>
  <c r="S1957" i="1"/>
  <c r="T1957" i="1"/>
  <c r="U1957" i="1"/>
  <c r="B1956" i="1"/>
  <c r="D1956" i="1"/>
  <c r="E1956" i="1"/>
  <c r="F1956" i="1"/>
  <c r="G1956" i="1"/>
  <c r="H1956" i="1"/>
  <c r="I1956" i="1"/>
  <c r="J1956" i="1"/>
  <c r="K1956" i="1"/>
  <c r="L1956" i="1"/>
  <c r="M1956" i="1"/>
  <c r="N1956" i="1"/>
  <c r="O1956" i="1"/>
  <c r="P1956" i="1"/>
  <c r="R1956" i="1"/>
  <c r="S1956" i="1"/>
  <c r="T1956" i="1"/>
  <c r="U1956" i="1"/>
  <c r="B1955" i="1"/>
  <c r="D1955" i="1"/>
  <c r="E1955" i="1"/>
  <c r="F1955" i="1"/>
  <c r="G1955" i="1"/>
  <c r="H1955" i="1"/>
  <c r="I1955" i="1"/>
  <c r="J1955" i="1"/>
  <c r="K1955" i="1"/>
  <c r="L1955" i="1"/>
  <c r="M1955" i="1"/>
  <c r="N1955" i="1"/>
  <c r="O1955" i="1"/>
  <c r="P1955" i="1"/>
  <c r="R1955" i="1"/>
  <c r="S1955" i="1"/>
  <c r="T1955" i="1"/>
  <c r="U1955" i="1"/>
  <c r="B1954" i="1"/>
  <c r="D1954" i="1"/>
  <c r="E1954" i="1"/>
  <c r="F1954" i="1"/>
  <c r="G1954" i="1"/>
  <c r="H1954" i="1"/>
  <c r="I1954" i="1"/>
  <c r="J1954" i="1"/>
  <c r="K1954" i="1"/>
  <c r="L1954" i="1"/>
  <c r="M1954" i="1"/>
  <c r="N1954" i="1"/>
  <c r="O1954" i="1"/>
  <c r="P1954" i="1"/>
  <c r="R1954" i="1"/>
  <c r="S1954" i="1"/>
  <c r="T1954" i="1"/>
  <c r="U1954" i="1"/>
  <c r="B1953" i="1"/>
  <c r="D1953" i="1"/>
  <c r="E1953" i="1"/>
  <c r="F1953" i="1"/>
  <c r="G1953" i="1"/>
  <c r="H1953" i="1"/>
  <c r="I1953" i="1"/>
  <c r="J1953" i="1"/>
  <c r="K1953" i="1"/>
  <c r="L1953" i="1"/>
  <c r="M1953" i="1"/>
  <c r="N1953" i="1"/>
  <c r="O1953" i="1"/>
  <c r="P1953" i="1"/>
  <c r="R1953" i="1"/>
  <c r="S1953" i="1"/>
  <c r="T1953" i="1"/>
  <c r="U1953" i="1"/>
  <c r="B1952" i="1"/>
  <c r="D1952" i="1"/>
  <c r="E1952" i="1"/>
  <c r="F1952" i="1"/>
  <c r="G1952" i="1"/>
  <c r="H1952" i="1"/>
  <c r="I1952" i="1"/>
  <c r="J1952" i="1"/>
  <c r="K1952" i="1"/>
  <c r="L1952" i="1"/>
  <c r="M1952" i="1"/>
  <c r="N1952" i="1"/>
  <c r="O1952" i="1"/>
  <c r="P1952" i="1"/>
  <c r="R1952" i="1"/>
  <c r="S1952" i="1"/>
  <c r="T1952" i="1"/>
  <c r="U1952" i="1"/>
  <c r="B1951" i="1"/>
  <c r="D1951" i="1"/>
  <c r="E1951" i="1"/>
  <c r="F1951" i="1"/>
  <c r="G1951" i="1"/>
  <c r="H1951" i="1"/>
  <c r="I1951" i="1"/>
  <c r="J1951" i="1"/>
  <c r="K1951" i="1"/>
  <c r="L1951" i="1"/>
  <c r="M1951" i="1"/>
  <c r="N1951" i="1"/>
  <c r="O1951" i="1"/>
  <c r="P1951" i="1"/>
  <c r="R1951" i="1"/>
  <c r="S1951" i="1"/>
  <c r="T1951" i="1"/>
  <c r="U1951" i="1"/>
  <c r="B1950" i="1"/>
  <c r="D1950" i="1"/>
  <c r="E1950" i="1"/>
  <c r="F1950" i="1"/>
  <c r="G1950" i="1"/>
  <c r="H1950" i="1"/>
  <c r="I1950" i="1"/>
  <c r="J1950" i="1"/>
  <c r="K1950" i="1"/>
  <c r="L1950" i="1"/>
  <c r="M1950" i="1"/>
  <c r="N1950" i="1"/>
  <c r="O1950" i="1"/>
  <c r="P1950" i="1"/>
  <c r="R1950" i="1"/>
  <c r="S1950" i="1"/>
  <c r="T1950" i="1"/>
  <c r="U1950" i="1"/>
  <c r="B1949" i="1"/>
  <c r="D1949" i="1"/>
  <c r="E1949" i="1"/>
  <c r="F1949" i="1"/>
  <c r="G1949" i="1"/>
  <c r="H1949" i="1"/>
  <c r="I1949" i="1"/>
  <c r="J1949" i="1"/>
  <c r="K1949" i="1"/>
  <c r="L1949" i="1"/>
  <c r="M1949" i="1"/>
  <c r="N1949" i="1"/>
  <c r="O1949" i="1"/>
  <c r="P1949" i="1"/>
  <c r="R1949" i="1"/>
  <c r="S1949" i="1"/>
  <c r="T1949" i="1"/>
  <c r="U1949" i="1"/>
  <c r="B1948" i="1"/>
  <c r="D1948" i="1"/>
  <c r="E1948" i="1"/>
  <c r="F1948" i="1"/>
  <c r="G1948" i="1"/>
  <c r="H1948" i="1"/>
  <c r="I1948" i="1"/>
  <c r="J1948" i="1"/>
  <c r="K1948" i="1"/>
  <c r="L1948" i="1"/>
  <c r="M1948" i="1"/>
  <c r="N1948" i="1"/>
  <c r="O1948" i="1"/>
  <c r="P1948" i="1"/>
  <c r="R1948" i="1"/>
  <c r="S1948" i="1"/>
  <c r="T1948" i="1"/>
  <c r="U1948" i="1"/>
  <c r="B1947" i="1"/>
  <c r="D1947" i="1"/>
  <c r="E1947" i="1"/>
  <c r="F1947" i="1"/>
  <c r="G1947" i="1"/>
  <c r="H1947" i="1"/>
  <c r="I1947" i="1"/>
  <c r="J1947" i="1"/>
  <c r="K1947" i="1"/>
  <c r="L1947" i="1"/>
  <c r="M1947" i="1"/>
  <c r="N1947" i="1"/>
  <c r="O1947" i="1"/>
  <c r="P1947" i="1"/>
  <c r="R1947" i="1"/>
  <c r="S1947" i="1"/>
  <c r="T1947" i="1"/>
  <c r="U1947" i="1"/>
  <c r="B1946" i="1"/>
  <c r="D1946" i="1"/>
  <c r="E1946" i="1"/>
  <c r="F1946" i="1"/>
  <c r="G1946" i="1"/>
  <c r="H1946" i="1"/>
  <c r="I1946" i="1"/>
  <c r="J1946" i="1"/>
  <c r="K1946" i="1"/>
  <c r="L1946" i="1"/>
  <c r="M1946" i="1"/>
  <c r="N1946" i="1"/>
  <c r="O1946" i="1"/>
  <c r="P1946" i="1"/>
  <c r="R1946" i="1"/>
  <c r="S1946" i="1"/>
  <c r="T1946" i="1"/>
  <c r="U1946" i="1"/>
  <c r="B1945" i="1"/>
  <c r="D1945" i="1"/>
  <c r="E1945" i="1"/>
  <c r="F1945" i="1"/>
  <c r="G1945" i="1"/>
  <c r="H1945" i="1"/>
  <c r="I1945" i="1"/>
  <c r="J1945" i="1"/>
  <c r="K1945" i="1"/>
  <c r="L1945" i="1"/>
  <c r="M1945" i="1"/>
  <c r="N1945" i="1"/>
  <c r="O1945" i="1"/>
  <c r="P1945" i="1"/>
  <c r="R1945" i="1"/>
  <c r="S1945" i="1"/>
  <c r="T1945" i="1"/>
  <c r="U1945" i="1"/>
  <c r="B1944" i="1"/>
  <c r="D1944" i="1"/>
  <c r="E1944" i="1"/>
  <c r="F1944" i="1"/>
  <c r="G1944" i="1"/>
  <c r="H1944" i="1"/>
  <c r="I1944" i="1"/>
  <c r="J1944" i="1"/>
  <c r="K1944" i="1"/>
  <c r="L1944" i="1"/>
  <c r="M1944" i="1"/>
  <c r="N1944" i="1"/>
  <c r="O1944" i="1"/>
  <c r="P1944" i="1"/>
  <c r="R1944" i="1"/>
  <c r="S1944" i="1"/>
  <c r="T1944" i="1"/>
  <c r="U1944" i="1"/>
  <c r="B1943" i="1"/>
  <c r="D1943" i="1"/>
  <c r="E1943" i="1"/>
  <c r="F1943" i="1"/>
  <c r="G1943" i="1"/>
  <c r="H1943" i="1"/>
  <c r="I1943" i="1"/>
  <c r="J1943" i="1"/>
  <c r="K1943" i="1"/>
  <c r="L1943" i="1"/>
  <c r="M1943" i="1"/>
  <c r="N1943" i="1"/>
  <c r="O1943" i="1"/>
  <c r="P1943" i="1"/>
  <c r="R1943" i="1"/>
  <c r="S1943" i="1"/>
  <c r="T1943" i="1"/>
  <c r="U1943" i="1"/>
  <c r="B1942" i="1"/>
  <c r="D1942" i="1"/>
  <c r="E1942" i="1"/>
  <c r="F1942" i="1"/>
  <c r="G1942" i="1"/>
  <c r="H1942" i="1"/>
  <c r="I1942" i="1"/>
  <c r="J1942" i="1"/>
  <c r="K1942" i="1"/>
  <c r="L1942" i="1"/>
  <c r="M1942" i="1"/>
  <c r="N1942" i="1"/>
  <c r="O1942" i="1"/>
  <c r="P1942" i="1"/>
  <c r="R1942" i="1"/>
  <c r="S1942" i="1"/>
  <c r="T1942" i="1"/>
  <c r="U1942" i="1"/>
  <c r="B1941" i="1"/>
  <c r="D1941" i="1"/>
  <c r="E1941" i="1"/>
  <c r="F1941" i="1"/>
  <c r="G1941" i="1"/>
  <c r="H1941" i="1"/>
  <c r="I1941" i="1"/>
  <c r="J1941" i="1"/>
  <c r="K1941" i="1"/>
  <c r="L1941" i="1"/>
  <c r="M1941" i="1"/>
  <c r="N1941" i="1"/>
  <c r="O1941" i="1"/>
  <c r="P1941" i="1"/>
  <c r="R1941" i="1"/>
  <c r="S1941" i="1"/>
  <c r="T1941" i="1"/>
  <c r="U1941" i="1"/>
  <c r="B1940" i="1"/>
  <c r="D1940" i="1"/>
  <c r="E1940" i="1"/>
  <c r="F1940" i="1"/>
  <c r="G1940" i="1"/>
  <c r="H1940" i="1"/>
  <c r="I1940" i="1"/>
  <c r="J1940" i="1"/>
  <c r="K1940" i="1"/>
  <c r="L1940" i="1"/>
  <c r="M1940" i="1"/>
  <c r="N1940" i="1"/>
  <c r="O1940" i="1"/>
  <c r="P1940" i="1"/>
  <c r="R1940" i="1"/>
  <c r="S1940" i="1"/>
  <c r="T1940" i="1"/>
  <c r="U1940" i="1"/>
  <c r="B1939" i="1"/>
  <c r="D1939" i="1"/>
  <c r="E1939" i="1"/>
  <c r="F1939" i="1"/>
  <c r="G1939" i="1"/>
  <c r="H1939" i="1"/>
  <c r="I1939" i="1"/>
  <c r="J1939" i="1"/>
  <c r="K1939" i="1"/>
  <c r="L1939" i="1"/>
  <c r="M1939" i="1"/>
  <c r="N1939" i="1"/>
  <c r="O1939" i="1"/>
  <c r="P1939" i="1"/>
  <c r="R1939" i="1"/>
  <c r="S1939" i="1"/>
  <c r="T1939" i="1"/>
  <c r="U1939" i="1"/>
  <c r="B1938" i="1"/>
  <c r="D1938" i="1"/>
  <c r="E1938" i="1"/>
  <c r="F1938" i="1"/>
  <c r="G1938" i="1"/>
  <c r="H1938" i="1"/>
  <c r="I1938" i="1"/>
  <c r="J1938" i="1"/>
  <c r="K1938" i="1"/>
  <c r="L1938" i="1"/>
  <c r="M1938" i="1"/>
  <c r="N1938" i="1"/>
  <c r="O1938" i="1"/>
  <c r="P1938" i="1"/>
  <c r="R1938" i="1"/>
  <c r="S1938" i="1"/>
  <c r="T1938" i="1"/>
  <c r="U1938" i="1"/>
  <c r="B1937" i="1"/>
  <c r="D1937" i="1"/>
  <c r="E1937" i="1"/>
  <c r="F1937" i="1"/>
  <c r="G1937" i="1"/>
  <c r="H1937" i="1"/>
  <c r="I1937" i="1"/>
  <c r="J1937" i="1"/>
  <c r="K1937" i="1"/>
  <c r="L1937" i="1"/>
  <c r="M1937" i="1"/>
  <c r="N1937" i="1"/>
  <c r="O1937" i="1"/>
  <c r="P1937" i="1"/>
  <c r="R1937" i="1"/>
  <c r="S1937" i="1"/>
  <c r="T1937" i="1"/>
  <c r="U1937" i="1"/>
  <c r="B1936" i="1"/>
  <c r="D1936" i="1"/>
  <c r="E1936" i="1"/>
  <c r="F1936" i="1"/>
  <c r="G1936" i="1"/>
  <c r="H1936" i="1"/>
  <c r="I1936" i="1"/>
  <c r="J1936" i="1"/>
  <c r="K1936" i="1"/>
  <c r="L1936" i="1"/>
  <c r="M1936" i="1"/>
  <c r="N1936" i="1"/>
  <c r="O1936" i="1"/>
  <c r="P1936" i="1"/>
  <c r="R1936" i="1"/>
  <c r="S1936" i="1"/>
  <c r="T1936" i="1"/>
  <c r="U1936" i="1"/>
  <c r="B1935" i="1"/>
  <c r="D1935" i="1"/>
  <c r="E1935" i="1"/>
  <c r="F1935" i="1"/>
  <c r="G1935" i="1"/>
  <c r="H1935" i="1"/>
  <c r="I1935" i="1"/>
  <c r="J1935" i="1"/>
  <c r="K1935" i="1"/>
  <c r="L1935" i="1"/>
  <c r="M1935" i="1"/>
  <c r="N1935" i="1"/>
  <c r="O1935" i="1"/>
  <c r="P1935" i="1"/>
  <c r="R1935" i="1"/>
  <c r="S1935" i="1"/>
  <c r="T1935" i="1"/>
  <c r="U1935" i="1"/>
  <c r="B1934" i="1"/>
  <c r="D1934" i="1"/>
  <c r="E1934" i="1"/>
  <c r="F1934" i="1"/>
  <c r="G1934" i="1"/>
  <c r="H1934" i="1"/>
  <c r="I1934" i="1"/>
  <c r="J1934" i="1"/>
  <c r="K1934" i="1"/>
  <c r="L1934" i="1"/>
  <c r="M1934" i="1"/>
  <c r="N1934" i="1"/>
  <c r="O1934" i="1"/>
  <c r="P1934" i="1"/>
  <c r="R1934" i="1"/>
  <c r="S1934" i="1"/>
  <c r="T1934" i="1"/>
  <c r="U1934" i="1"/>
  <c r="B1933" i="1"/>
  <c r="D1933" i="1"/>
  <c r="E1933" i="1"/>
  <c r="F1933" i="1"/>
  <c r="G1933" i="1"/>
  <c r="H1933" i="1"/>
  <c r="I1933" i="1"/>
  <c r="J1933" i="1"/>
  <c r="K1933" i="1"/>
  <c r="L1933" i="1"/>
  <c r="M1933" i="1"/>
  <c r="N1933" i="1"/>
  <c r="O1933" i="1"/>
  <c r="P1933" i="1"/>
  <c r="R1933" i="1"/>
  <c r="S1933" i="1"/>
  <c r="T1933" i="1"/>
  <c r="U1933" i="1"/>
  <c r="B1932" i="1"/>
  <c r="D1932" i="1"/>
  <c r="E1932" i="1"/>
  <c r="F1932" i="1"/>
  <c r="G1932" i="1"/>
  <c r="H1932" i="1"/>
  <c r="I1932" i="1"/>
  <c r="J1932" i="1"/>
  <c r="K1932" i="1"/>
  <c r="L1932" i="1"/>
  <c r="M1932" i="1"/>
  <c r="N1932" i="1"/>
  <c r="O1932" i="1"/>
  <c r="P1932" i="1"/>
  <c r="R1932" i="1"/>
  <c r="S1932" i="1"/>
  <c r="T1932" i="1"/>
  <c r="U1932" i="1"/>
  <c r="B1931" i="1"/>
  <c r="D1931" i="1"/>
  <c r="E1931" i="1"/>
  <c r="F1931" i="1"/>
  <c r="G1931" i="1"/>
  <c r="H1931" i="1"/>
  <c r="I1931" i="1"/>
  <c r="J1931" i="1"/>
  <c r="K1931" i="1"/>
  <c r="L1931" i="1"/>
  <c r="M1931" i="1"/>
  <c r="N1931" i="1"/>
  <c r="O1931" i="1"/>
  <c r="P1931" i="1"/>
  <c r="R1931" i="1"/>
  <c r="S1931" i="1"/>
  <c r="T1931" i="1"/>
  <c r="U1931" i="1"/>
  <c r="B1930" i="1"/>
  <c r="D1930" i="1"/>
  <c r="E1930" i="1"/>
  <c r="F1930" i="1"/>
  <c r="G1930" i="1"/>
  <c r="H1930" i="1"/>
  <c r="I1930" i="1"/>
  <c r="J1930" i="1"/>
  <c r="K1930" i="1"/>
  <c r="L1930" i="1"/>
  <c r="M1930" i="1"/>
  <c r="N1930" i="1"/>
  <c r="O1930" i="1"/>
  <c r="P1930" i="1"/>
  <c r="R1930" i="1"/>
  <c r="S1930" i="1"/>
  <c r="T1930" i="1"/>
  <c r="U1930" i="1"/>
  <c r="B1929" i="1"/>
  <c r="D1929" i="1"/>
  <c r="E1929" i="1"/>
  <c r="F1929" i="1"/>
  <c r="G1929" i="1"/>
  <c r="H1929" i="1"/>
  <c r="I1929" i="1"/>
  <c r="J1929" i="1"/>
  <c r="K1929" i="1"/>
  <c r="L1929" i="1"/>
  <c r="M1929" i="1"/>
  <c r="N1929" i="1"/>
  <c r="O1929" i="1"/>
  <c r="P1929" i="1"/>
  <c r="R1929" i="1"/>
  <c r="S1929" i="1"/>
  <c r="T1929" i="1"/>
  <c r="U1929" i="1"/>
  <c r="B1928" i="1"/>
  <c r="D1928" i="1"/>
  <c r="E1928" i="1"/>
  <c r="F1928" i="1"/>
  <c r="G1928" i="1"/>
  <c r="H1928" i="1"/>
  <c r="I1928" i="1"/>
  <c r="J1928" i="1"/>
  <c r="K1928" i="1"/>
  <c r="L1928" i="1"/>
  <c r="M1928" i="1"/>
  <c r="N1928" i="1"/>
  <c r="O1928" i="1"/>
  <c r="P1928" i="1"/>
  <c r="R1928" i="1"/>
  <c r="T1928" i="1"/>
  <c r="U1928" i="1"/>
  <c r="B1927" i="1"/>
  <c r="D1927" i="1"/>
  <c r="E1927" i="1"/>
  <c r="F1927" i="1"/>
  <c r="G1927" i="1"/>
  <c r="H1927" i="1"/>
  <c r="I1927" i="1"/>
  <c r="J1927" i="1"/>
  <c r="K1927" i="1"/>
  <c r="L1927" i="1"/>
  <c r="M1927" i="1"/>
  <c r="N1927" i="1"/>
  <c r="O1927" i="1"/>
  <c r="P1927" i="1"/>
  <c r="R1927" i="1"/>
  <c r="S1927" i="1"/>
  <c r="T1927" i="1"/>
  <c r="U1927" i="1"/>
  <c r="B1926" i="1"/>
  <c r="D1926" i="1"/>
  <c r="E1926" i="1"/>
  <c r="F1926" i="1"/>
  <c r="G1926" i="1"/>
  <c r="H1926" i="1"/>
  <c r="I1926" i="1"/>
  <c r="J1926" i="1"/>
  <c r="K1926" i="1"/>
  <c r="L1926" i="1"/>
  <c r="M1926" i="1"/>
  <c r="N1926" i="1"/>
  <c r="O1926" i="1"/>
  <c r="P1926" i="1"/>
  <c r="R1926" i="1"/>
  <c r="S1926" i="1"/>
  <c r="T1926" i="1"/>
  <c r="U1926" i="1"/>
  <c r="B1925" i="1"/>
  <c r="D1925" i="1"/>
  <c r="E1925" i="1"/>
  <c r="F1925" i="1"/>
  <c r="G1925" i="1"/>
  <c r="H1925" i="1"/>
  <c r="I1925" i="1"/>
  <c r="J1925" i="1"/>
  <c r="K1925" i="1"/>
  <c r="L1925" i="1"/>
  <c r="M1925" i="1"/>
  <c r="N1925" i="1"/>
  <c r="O1925" i="1"/>
  <c r="P1925" i="1"/>
  <c r="R1925" i="1"/>
  <c r="S1925" i="1"/>
  <c r="T1925" i="1"/>
  <c r="U1925" i="1"/>
  <c r="B1924" i="1"/>
  <c r="D1924" i="1"/>
  <c r="E1924" i="1"/>
  <c r="F1924" i="1"/>
  <c r="G1924" i="1"/>
  <c r="H1924" i="1"/>
  <c r="I1924" i="1"/>
  <c r="J1924" i="1"/>
  <c r="K1924" i="1"/>
  <c r="L1924" i="1"/>
  <c r="M1924" i="1"/>
  <c r="N1924" i="1"/>
  <c r="O1924" i="1"/>
  <c r="P1924" i="1"/>
  <c r="R1924" i="1"/>
  <c r="S1924" i="1"/>
  <c r="T1924" i="1"/>
  <c r="U1924" i="1"/>
  <c r="B1923" i="1"/>
  <c r="D1923" i="1"/>
  <c r="E1923" i="1"/>
  <c r="F1923" i="1"/>
  <c r="G1923" i="1"/>
  <c r="H1923" i="1"/>
  <c r="I1923" i="1"/>
  <c r="J1923" i="1"/>
  <c r="K1923" i="1"/>
  <c r="L1923" i="1"/>
  <c r="M1923" i="1"/>
  <c r="N1923" i="1"/>
  <c r="O1923" i="1"/>
  <c r="P1923" i="1"/>
  <c r="R1923" i="1"/>
  <c r="S1923" i="1"/>
  <c r="T1923" i="1"/>
  <c r="U1923" i="1"/>
  <c r="B1922" i="1"/>
  <c r="D1922" i="1"/>
  <c r="E1922" i="1"/>
  <c r="F1922" i="1"/>
  <c r="G1922" i="1"/>
  <c r="H1922" i="1"/>
  <c r="I1922" i="1"/>
  <c r="J1922" i="1"/>
  <c r="K1922" i="1"/>
  <c r="L1922" i="1"/>
  <c r="M1922" i="1"/>
  <c r="N1922" i="1"/>
  <c r="O1922" i="1"/>
  <c r="P1922" i="1"/>
  <c r="R1922" i="1"/>
  <c r="S1922" i="1"/>
  <c r="T1922" i="1"/>
  <c r="U1922" i="1"/>
  <c r="B1921" i="1"/>
  <c r="D1921" i="1"/>
  <c r="E1921" i="1"/>
  <c r="F1921" i="1"/>
  <c r="G1921" i="1"/>
  <c r="H1921" i="1"/>
  <c r="I1921" i="1"/>
  <c r="J1921" i="1"/>
  <c r="K1921" i="1"/>
  <c r="L1921" i="1"/>
  <c r="M1921" i="1"/>
  <c r="N1921" i="1"/>
  <c r="O1921" i="1"/>
  <c r="P1921" i="1"/>
  <c r="R1921" i="1"/>
  <c r="S1921" i="1"/>
  <c r="T1921" i="1"/>
  <c r="U1921" i="1"/>
  <c r="B1920" i="1"/>
  <c r="D1920" i="1"/>
  <c r="E1920" i="1"/>
  <c r="F1920" i="1"/>
  <c r="G1920" i="1"/>
  <c r="H1920" i="1"/>
  <c r="I1920" i="1"/>
  <c r="J1920" i="1"/>
  <c r="K1920" i="1"/>
  <c r="L1920" i="1"/>
  <c r="M1920" i="1"/>
  <c r="N1920" i="1"/>
  <c r="O1920" i="1"/>
  <c r="P1920" i="1"/>
  <c r="R1920" i="1"/>
  <c r="S1920" i="1"/>
  <c r="T1920" i="1"/>
  <c r="U1920" i="1"/>
  <c r="B1919" i="1"/>
  <c r="D1919" i="1"/>
  <c r="E1919" i="1"/>
  <c r="F1919" i="1"/>
  <c r="G1919" i="1"/>
  <c r="H1919" i="1"/>
  <c r="I1919" i="1"/>
  <c r="J1919" i="1"/>
  <c r="K1919" i="1"/>
  <c r="L1919" i="1"/>
  <c r="M1919" i="1"/>
  <c r="N1919" i="1"/>
  <c r="O1919" i="1"/>
  <c r="P1919" i="1"/>
  <c r="R1919" i="1"/>
  <c r="S1919" i="1"/>
  <c r="T1919" i="1"/>
  <c r="U1919" i="1"/>
  <c r="B1918" i="1"/>
  <c r="D1918" i="1"/>
  <c r="E1918" i="1"/>
  <c r="F1918" i="1"/>
  <c r="G1918" i="1"/>
  <c r="H1918" i="1"/>
  <c r="I1918" i="1"/>
  <c r="J1918" i="1"/>
  <c r="K1918" i="1"/>
  <c r="L1918" i="1"/>
  <c r="M1918" i="1"/>
  <c r="N1918" i="1"/>
  <c r="O1918" i="1"/>
  <c r="P1918" i="1"/>
  <c r="R1918" i="1"/>
  <c r="S1918" i="1"/>
  <c r="T1918" i="1"/>
  <c r="U1918" i="1"/>
  <c r="B1917" i="1"/>
  <c r="D1917" i="1"/>
  <c r="E1917" i="1"/>
  <c r="F1917" i="1"/>
  <c r="G1917" i="1"/>
  <c r="H1917" i="1"/>
  <c r="I1917" i="1"/>
  <c r="J1917" i="1"/>
  <c r="K1917" i="1"/>
  <c r="L1917" i="1"/>
  <c r="M1917" i="1"/>
  <c r="N1917" i="1"/>
  <c r="O1917" i="1"/>
  <c r="P1917" i="1"/>
  <c r="R1917" i="1"/>
  <c r="S1917" i="1"/>
  <c r="T1917" i="1"/>
  <c r="U1917" i="1"/>
  <c r="B1916" i="1"/>
  <c r="D1916" i="1"/>
  <c r="E1916" i="1"/>
  <c r="F1916" i="1"/>
  <c r="G1916" i="1"/>
  <c r="H1916" i="1"/>
  <c r="I1916" i="1"/>
  <c r="J1916" i="1"/>
  <c r="K1916" i="1"/>
  <c r="L1916" i="1"/>
  <c r="M1916" i="1"/>
  <c r="N1916" i="1"/>
  <c r="O1916" i="1"/>
  <c r="P1916" i="1"/>
  <c r="R1916" i="1"/>
  <c r="S1916" i="1"/>
  <c r="T1916" i="1"/>
  <c r="U1916" i="1"/>
  <c r="B1915" i="1"/>
  <c r="D1915" i="1"/>
  <c r="E1915" i="1"/>
  <c r="F1915" i="1"/>
  <c r="G1915" i="1"/>
  <c r="H1915" i="1"/>
  <c r="I1915" i="1"/>
  <c r="J1915" i="1"/>
  <c r="K1915" i="1"/>
  <c r="L1915" i="1"/>
  <c r="M1915" i="1"/>
  <c r="N1915" i="1"/>
  <c r="O1915" i="1"/>
  <c r="P1915" i="1"/>
  <c r="R1915" i="1"/>
  <c r="S1915" i="1"/>
  <c r="T1915" i="1"/>
  <c r="U1915" i="1"/>
  <c r="B1914" i="1"/>
  <c r="D1914" i="1"/>
  <c r="E1914" i="1"/>
  <c r="F1914" i="1"/>
  <c r="G1914" i="1"/>
  <c r="H1914" i="1"/>
  <c r="I1914" i="1"/>
  <c r="J1914" i="1"/>
  <c r="K1914" i="1"/>
  <c r="L1914" i="1"/>
  <c r="M1914" i="1"/>
  <c r="N1914" i="1"/>
  <c r="O1914" i="1"/>
  <c r="P1914" i="1"/>
  <c r="R1914" i="1"/>
  <c r="S1914" i="1"/>
  <c r="T1914" i="1"/>
  <c r="U1914" i="1"/>
  <c r="B1913" i="1"/>
  <c r="D1913" i="1"/>
  <c r="E1913" i="1"/>
  <c r="F1913" i="1"/>
  <c r="G1913" i="1"/>
  <c r="H1913" i="1"/>
  <c r="I1913" i="1"/>
  <c r="J1913" i="1"/>
  <c r="K1913" i="1"/>
  <c r="L1913" i="1"/>
  <c r="M1913" i="1"/>
  <c r="N1913" i="1"/>
  <c r="O1913" i="1"/>
  <c r="P1913" i="1"/>
  <c r="R1913" i="1"/>
  <c r="S1913" i="1"/>
  <c r="T1913" i="1"/>
  <c r="U1913" i="1"/>
  <c r="B1912" i="1"/>
  <c r="D1912" i="1"/>
  <c r="E1912" i="1"/>
  <c r="F1912" i="1"/>
  <c r="G1912" i="1"/>
  <c r="H1912" i="1"/>
  <c r="I1912" i="1"/>
  <c r="J1912" i="1"/>
  <c r="K1912" i="1"/>
  <c r="L1912" i="1"/>
  <c r="M1912" i="1"/>
  <c r="N1912" i="1"/>
  <c r="O1912" i="1"/>
  <c r="P1912" i="1"/>
  <c r="R1912" i="1"/>
  <c r="S1912" i="1"/>
  <c r="T1912" i="1"/>
  <c r="U1912" i="1"/>
  <c r="B1911" i="1"/>
  <c r="D1911" i="1"/>
  <c r="E1911" i="1"/>
  <c r="F1911" i="1"/>
  <c r="G1911" i="1"/>
  <c r="H1911" i="1"/>
  <c r="I1911" i="1"/>
  <c r="J1911" i="1"/>
  <c r="K1911" i="1"/>
  <c r="L1911" i="1"/>
  <c r="M1911" i="1"/>
  <c r="N1911" i="1"/>
  <c r="O1911" i="1"/>
  <c r="P1911" i="1"/>
  <c r="R1911" i="1"/>
  <c r="S1911" i="1"/>
  <c r="T1911" i="1"/>
  <c r="U1911" i="1"/>
  <c r="B1910" i="1"/>
  <c r="D1910" i="1"/>
  <c r="E1910" i="1"/>
  <c r="F1910" i="1"/>
  <c r="G1910" i="1"/>
  <c r="H1910" i="1"/>
  <c r="I1910" i="1"/>
  <c r="J1910" i="1"/>
  <c r="K1910" i="1"/>
  <c r="L1910" i="1"/>
  <c r="M1910" i="1"/>
  <c r="N1910" i="1"/>
  <c r="O1910" i="1"/>
  <c r="P1910" i="1"/>
  <c r="R1910" i="1"/>
  <c r="S1910" i="1"/>
  <c r="T1910" i="1"/>
  <c r="U1910" i="1"/>
  <c r="B1909" i="1"/>
  <c r="D1909" i="1"/>
  <c r="E1909" i="1"/>
  <c r="F1909" i="1"/>
  <c r="G1909" i="1"/>
  <c r="H1909" i="1"/>
  <c r="I1909" i="1"/>
  <c r="J1909" i="1"/>
  <c r="K1909" i="1"/>
  <c r="L1909" i="1"/>
  <c r="M1909" i="1"/>
  <c r="N1909" i="1"/>
  <c r="O1909" i="1"/>
  <c r="P1909" i="1"/>
  <c r="R1909" i="1"/>
  <c r="S1909" i="1"/>
  <c r="T1909" i="1"/>
  <c r="U1909" i="1"/>
  <c r="B1908" i="1"/>
  <c r="D1908" i="1"/>
  <c r="E1908" i="1"/>
  <c r="F1908" i="1"/>
  <c r="G1908" i="1"/>
  <c r="H1908" i="1"/>
  <c r="I1908" i="1"/>
  <c r="J1908" i="1"/>
  <c r="K1908" i="1"/>
  <c r="L1908" i="1"/>
  <c r="M1908" i="1"/>
  <c r="N1908" i="1"/>
  <c r="O1908" i="1"/>
  <c r="P1908" i="1"/>
  <c r="R1908" i="1"/>
  <c r="S1908" i="1"/>
  <c r="T1908" i="1"/>
  <c r="U1908" i="1"/>
  <c r="B1907" i="1"/>
  <c r="D1907" i="1"/>
  <c r="E1907" i="1"/>
  <c r="F1907" i="1"/>
  <c r="G1907" i="1"/>
  <c r="H1907" i="1"/>
  <c r="I1907" i="1"/>
  <c r="J1907" i="1"/>
  <c r="K1907" i="1"/>
  <c r="L1907" i="1"/>
  <c r="M1907" i="1"/>
  <c r="N1907" i="1"/>
  <c r="O1907" i="1"/>
  <c r="P1907" i="1"/>
  <c r="R1907" i="1"/>
  <c r="S1907" i="1"/>
  <c r="T1907" i="1"/>
  <c r="U1907" i="1"/>
  <c r="B1906" i="1"/>
  <c r="D1906" i="1"/>
  <c r="E1906" i="1"/>
  <c r="F1906" i="1"/>
  <c r="G1906" i="1"/>
  <c r="H1906" i="1"/>
  <c r="I1906" i="1"/>
  <c r="J1906" i="1"/>
  <c r="K1906" i="1"/>
  <c r="L1906" i="1"/>
  <c r="M1906" i="1"/>
  <c r="N1906" i="1"/>
  <c r="O1906" i="1"/>
  <c r="P1906" i="1"/>
  <c r="R1906" i="1"/>
  <c r="S1906" i="1"/>
  <c r="T1906" i="1"/>
  <c r="U1906" i="1"/>
  <c r="B1905" i="1"/>
  <c r="D1905" i="1"/>
  <c r="E1905" i="1"/>
  <c r="F1905" i="1"/>
  <c r="G1905" i="1"/>
  <c r="H1905" i="1"/>
  <c r="I1905" i="1"/>
  <c r="J1905" i="1"/>
  <c r="K1905" i="1"/>
  <c r="L1905" i="1"/>
  <c r="M1905" i="1"/>
  <c r="N1905" i="1"/>
  <c r="O1905" i="1"/>
  <c r="P1905" i="1"/>
  <c r="R1905" i="1"/>
  <c r="S1905" i="1"/>
  <c r="T1905" i="1"/>
  <c r="U1905" i="1"/>
  <c r="B1904" i="1"/>
  <c r="D1904" i="1"/>
  <c r="E1904" i="1"/>
  <c r="F1904" i="1"/>
  <c r="G1904" i="1"/>
  <c r="H1904" i="1"/>
  <c r="I1904" i="1"/>
  <c r="J1904" i="1"/>
  <c r="K1904" i="1"/>
  <c r="L1904" i="1"/>
  <c r="M1904" i="1"/>
  <c r="N1904" i="1"/>
  <c r="O1904" i="1"/>
  <c r="P1904" i="1"/>
  <c r="R1904" i="1"/>
  <c r="S1904" i="1"/>
  <c r="T1904" i="1"/>
  <c r="U1904" i="1"/>
  <c r="B1903" i="1"/>
  <c r="D1903" i="1"/>
  <c r="E1903" i="1"/>
  <c r="F1903" i="1"/>
  <c r="G1903" i="1"/>
  <c r="H1903" i="1"/>
  <c r="I1903" i="1"/>
  <c r="J1903" i="1"/>
  <c r="K1903" i="1"/>
  <c r="L1903" i="1"/>
  <c r="M1903" i="1"/>
  <c r="N1903" i="1"/>
  <c r="O1903" i="1"/>
  <c r="P1903" i="1"/>
  <c r="R1903" i="1"/>
  <c r="S1903" i="1"/>
  <c r="T1903" i="1"/>
  <c r="U1903" i="1"/>
  <c r="B1902" i="1"/>
  <c r="D1902" i="1"/>
  <c r="E1902" i="1"/>
  <c r="F1902" i="1"/>
  <c r="G1902" i="1"/>
  <c r="H1902" i="1"/>
  <c r="I1902" i="1"/>
  <c r="J1902" i="1"/>
  <c r="K1902" i="1"/>
  <c r="L1902" i="1"/>
  <c r="M1902" i="1"/>
  <c r="N1902" i="1"/>
  <c r="O1902" i="1"/>
  <c r="P1902" i="1"/>
  <c r="R1902" i="1"/>
  <c r="S1902" i="1"/>
  <c r="T1902" i="1"/>
  <c r="U1902" i="1"/>
  <c r="B1901" i="1"/>
  <c r="D1901" i="1"/>
  <c r="E1901" i="1"/>
  <c r="F1901" i="1"/>
  <c r="G1901" i="1"/>
  <c r="H1901" i="1"/>
  <c r="I1901" i="1"/>
  <c r="J1901" i="1"/>
  <c r="K1901" i="1"/>
  <c r="L1901" i="1"/>
  <c r="M1901" i="1"/>
  <c r="N1901" i="1"/>
  <c r="O1901" i="1"/>
  <c r="P1901" i="1"/>
  <c r="R1901" i="1"/>
  <c r="S1901" i="1"/>
  <c r="T1901" i="1"/>
  <c r="U1901" i="1"/>
  <c r="B1900" i="1"/>
  <c r="D1900" i="1"/>
  <c r="E1900" i="1"/>
  <c r="F1900" i="1"/>
  <c r="G1900" i="1"/>
  <c r="H1900" i="1"/>
  <c r="I1900" i="1"/>
  <c r="J1900" i="1"/>
  <c r="K1900" i="1"/>
  <c r="L1900" i="1"/>
  <c r="M1900" i="1"/>
  <c r="N1900" i="1"/>
  <c r="O1900" i="1"/>
  <c r="P1900" i="1"/>
  <c r="R1900" i="1"/>
  <c r="S1900" i="1"/>
  <c r="T1900" i="1"/>
  <c r="U1900" i="1"/>
  <c r="B1899" i="1"/>
  <c r="D1899" i="1"/>
  <c r="E1899" i="1"/>
  <c r="F1899" i="1"/>
  <c r="G1899" i="1"/>
  <c r="H1899" i="1"/>
  <c r="I1899" i="1"/>
  <c r="J1899" i="1"/>
  <c r="K1899" i="1"/>
  <c r="L1899" i="1"/>
  <c r="M1899" i="1"/>
  <c r="N1899" i="1"/>
  <c r="O1899" i="1"/>
  <c r="P1899" i="1"/>
  <c r="R1899" i="1"/>
  <c r="S1899" i="1"/>
  <c r="T1899" i="1"/>
  <c r="U1899" i="1"/>
  <c r="B1898" i="1"/>
  <c r="D1898" i="1"/>
  <c r="E1898" i="1"/>
  <c r="F1898" i="1"/>
  <c r="G1898" i="1"/>
  <c r="H1898" i="1"/>
  <c r="I1898" i="1"/>
  <c r="J1898" i="1"/>
  <c r="K1898" i="1"/>
  <c r="L1898" i="1"/>
  <c r="M1898" i="1"/>
  <c r="N1898" i="1"/>
  <c r="O1898" i="1"/>
  <c r="P1898" i="1"/>
  <c r="R1898" i="1"/>
  <c r="S1898" i="1"/>
  <c r="T1898" i="1"/>
  <c r="U1898" i="1"/>
  <c r="B1897" i="1"/>
  <c r="D1897" i="1"/>
  <c r="E1897" i="1"/>
  <c r="F1897" i="1"/>
  <c r="G1897" i="1"/>
  <c r="H1897" i="1"/>
  <c r="I1897" i="1"/>
  <c r="J1897" i="1"/>
  <c r="K1897" i="1"/>
  <c r="L1897" i="1"/>
  <c r="M1897" i="1"/>
  <c r="N1897" i="1"/>
  <c r="O1897" i="1"/>
  <c r="P1897" i="1"/>
  <c r="R1897" i="1"/>
  <c r="S1897" i="1"/>
  <c r="T1897" i="1"/>
  <c r="U1897" i="1"/>
  <c r="B1896" i="1"/>
  <c r="D1896" i="1"/>
  <c r="E1896" i="1"/>
  <c r="F1896" i="1"/>
  <c r="G1896" i="1"/>
  <c r="H1896" i="1"/>
  <c r="I1896" i="1"/>
  <c r="J1896" i="1"/>
  <c r="K1896" i="1"/>
  <c r="L1896" i="1"/>
  <c r="M1896" i="1"/>
  <c r="N1896" i="1"/>
  <c r="O1896" i="1"/>
  <c r="P1896" i="1"/>
  <c r="R1896" i="1"/>
  <c r="S1896" i="1"/>
  <c r="T1896" i="1"/>
  <c r="U1896" i="1"/>
  <c r="B1895" i="1"/>
  <c r="D1895" i="1"/>
  <c r="E1895" i="1"/>
  <c r="F1895" i="1"/>
  <c r="G1895" i="1"/>
  <c r="H1895" i="1"/>
  <c r="I1895" i="1"/>
  <c r="J1895" i="1"/>
  <c r="K1895" i="1"/>
  <c r="L1895" i="1"/>
  <c r="M1895" i="1"/>
  <c r="N1895" i="1"/>
  <c r="O1895" i="1"/>
  <c r="P1895" i="1"/>
  <c r="R1895" i="1"/>
  <c r="S1895" i="1"/>
  <c r="T1895" i="1"/>
  <c r="U1895" i="1"/>
  <c r="B1894" i="1"/>
  <c r="D1894" i="1"/>
  <c r="E1894" i="1"/>
  <c r="F1894" i="1"/>
  <c r="G1894" i="1"/>
  <c r="H1894" i="1"/>
  <c r="I1894" i="1"/>
  <c r="J1894" i="1"/>
  <c r="K1894" i="1"/>
  <c r="L1894" i="1"/>
  <c r="M1894" i="1"/>
  <c r="N1894" i="1"/>
  <c r="O1894" i="1"/>
  <c r="P1894" i="1"/>
  <c r="R1894" i="1"/>
  <c r="S1894" i="1"/>
  <c r="T1894" i="1"/>
  <c r="U1894" i="1"/>
  <c r="B1893" i="1"/>
  <c r="D1893" i="1"/>
  <c r="E1893" i="1"/>
  <c r="F1893" i="1"/>
  <c r="G1893" i="1"/>
  <c r="H1893" i="1"/>
  <c r="I1893" i="1"/>
  <c r="J1893" i="1"/>
  <c r="K1893" i="1"/>
  <c r="L1893" i="1"/>
  <c r="M1893" i="1"/>
  <c r="N1893" i="1"/>
  <c r="O1893" i="1"/>
  <c r="P1893" i="1"/>
  <c r="R1893" i="1"/>
  <c r="S1893" i="1"/>
  <c r="T1893" i="1"/>
  <c r="U1893" i="1"/>
  <c r="B1892" i="1"/>
  <c r="D1892" i="1"/>
  <c r="E1892" i="1"/>
  <c r="F1892" i="1"/>
  <c r="G1892" i="1"/>
  <c r="H1892" i="1"/>
  <c r="I1892" i="1"/>
  <c r="J1892" i="1"/>
  <c r="K1892" i="1"/>
  <c r="L1892" i="1"/>
  <c r="M1892" i="1"/>
  <c r="N1892" i="1"/>
  <c r="O1892" i="1"/>
  <c r="P1892" i="1"/>
  <c r="R1892" i="1"/>
  <c r="S1892" i="1"/>
  <c r="T1892" i="1"/>
  <c r="U1892" i="1"/>
  <c r="B1891" i="1"/>
  <c r="D1891" i="1"/>
  <c r="E1891" i="1"/>
  <c r="F1891" i="1"/>
  <c r="G1891" i="1"/>
  <c r="H1891" i="1"/>
  <c r="I1891" i="1"/>
  <c r="J1891" i="1"/>
  <c r="K1891" i="1"/>
  <c r="L1891" i="1"/>
  <c r="M1891" i="1"/>
  <c r="N1891" i="1"/>
  <c r="O1891" i="1"/>
  <c r="P1891" i="1"/>
  <c r="R1891" i="1"/>
  <c r="S1891" i="1"/>
  <c r="T1891" i="1"/>
  <c r="U1891" i="1"/>
  <c r="B1890" i="1"/>
  <c r="D1890" i="1"/>
  <c r="E1890" i="1"/>
  <c r="F1890" i="1"/>
  <c r="G1890" i="1"/>
  <c r="H1890" i="1"/>
  <c r="I1890" i="1"/>
  <c r="J1890" i="1"/>
  <c r="K1890" i="1"/>
  <c r="L1890" i="1"/>
  <c r="M1890" i="1"/>
  <c r="N1890" i="1"/>
  <c r="O1890" i="1"/>
  <c r="P1890" i="1"/>
  <c r="R1890" i="1"/>
  <c r="S1890" i="1"/>
  <c r="T1890" i="1"/>
  <c r="U1890" i="1"/>
  <c r="B1889" i="1"/>
  <c r="D1889" i="1"/>
  <c r="E1889" i="1"/>
  <c r="F1889" i="1"/>
  <c r="G1889" i="1"/>
  <c r="H1889" i="1"/>
  <c r="I1889" i="1"/>
  <c r="J1889" i="1"/>
  <c r="K1889" i="1"/>
  <c r="L1889" i="1"/>
  <c r="M1889" i="1"/>
  <c r="N1889" i="1"/>
  <c r="O1889" i="1"/>
  <c r="P1889" i="1"/>
  <c r="R1889" i="1"/>
  <c r="S1889" i="1"/>
  <c r="T1889" i="1"/>
  <c r="U1889" i="1"/>
  <c r="B1888" i="1"/>
  <c r="D1888" i="1"/>
  <c r="E1888" i="1"/>
  <c r="F1888" i="1"/>
  <c r="G1888" i="1"/>
  <c r="H1888" i="1"/>
  <c r="I1888" i="1"/>
  <c r="J1888" i="1"/>
  <c r="K1888" i="1"/>
  <c r="L1888" i="1"/>
  <c r="M1888" i="1"/>
  <c r="N1888" i="1"/>
  <c r="O1888" i="1"/>
  <c r="P1888" i="1"/>
  <c r="R1888" i="1"/>
  <c r="S1888" i="1"/>
  <c r="T1888" i="1"/>
  <c r="U1888" i="1"/>
  <c r="B1887" i="1"/>
  <c r="D1887" i="1"/>
  <c r="E1887" i="1"/>
  <c r="F1887" i="1"/>
  <c r="G1887" i="1"/>
  <c r="H1887" i="1"/>
  <c r="I1887" i="1"/>
  <c r="J1887" i="1"/>
  <c r="K1887" i="1"/>
  <c r="L1887" i="1"/>
  <c r="M1887" i="1"/>
  <c r="N1887" i="1"/>
  <c r="O1887" i="1"/>
  <c r="P1887" i="1"/>
  <c r="R1887" i="1"/>
  <c r="S1887" i="1"/>
  <c r="T1887" i="1"/>
  <c r="U1887" i="1"/>
  <c r="B1886" i="1"/>
  <c r="D1886" i="1"/>
  <c r="E1886" i="1"/>
  <c r="F1886" i="1"/>
  <c r="G1886" i="1"/>
  <c r="H1886" i="1"/>
  <c r="I1886" i="1"/>
  <c r="J1886" i="1"/>
  <c r="K1886" i="1"/>
  <c r="L1886" i="1"/>
  <c r="M1886" i="1"/>
  <c r="N1886" i="1"/>
  <c r="O1886" i="1"/>
  <c r="P1886" i="1"/>
  <c r="R1886" i="1"/>
  <c r="S1886" i="1"/>
  <c r="T1886" i="1"/>
  <c r="U1886" i="1"/>
  <c r="B1885" i="1"/>
  <c r="D1885" i="1"/>
  <c r="E1885" i="1"/>
  <c r="F1885" i="1"/>
  <c r="G1885" i="1"/>
  <c r="H1885" i="1"/>
  <c r="I1885" i="1"/>
  <c r="J1885" i="1"/>
  <c r="K1885" i="1"/>
  <c r="L1885" i="1"/>
  <c r="M1885" i="1"/>
  <c r="N1885" i="1"/>
  <c r="O1885" i="1"/>
  <c r="P1885" i="1"/>
  <c r="R1885" i="1"/>
  <c r="S1885" i="1"/>
  <c r="T1885" i="1"/>
  <c r="U1885" i="1"/>
  <c r="B1884" i="1"/>
  <c r="D1884" i="1"/>
  <c r="E1884" i="1"/>
  <c r="F1884" i="1"/>
  <c r="G1884" i="1"/>
  <c r="H1884" i="1"/>
  <c r="I1884" i="1"/>
  <c r="J1884" i="1"/>
  <c r="K1884" i="1"/>
  <c r="L1884" i="1"/>
  <c r="M1884" i="1"/>
  <c r="N1884" i="1"/>
  <c r="O1884" i="1"/>
  <c r="P1884" i="1"/>
  <c r="R1884" i="1"/>
  <c r="S1884" i="1"/>
  <c r="T1884" i="1"/>
  <c r="U1884" i="1"/>
  <c r="B1883" i="1"/>
  <c r="D1883" i="1"/>
  <c r="E1883" i="1"/>
  <c r="F1883" i="1"/>
  <c r="G1883" i="1"/>
  <c r="H1883" i="1"/>
  <c r="I1883" i="1"/>
  <c r="J1883" i="1"/>
  <c r="K1883" i="1"/>
  <c r="L1883" i="1"/>
  <c r="M1883" i="1"/>
  <c r="N1883" i="1"/>
  <c r="O1883" i="1"/>
  <c r="P1883" i="1"/>
  <c r="R1883" i="1"/>
  <c r="S1883" i="1"/>
  <c r="T1883" i="1"/>
  <c r="U1883" i="1"/>
  <c r="B1882" i="1"/>
  <c r="D1882" i="1"/>
  <c r="E1882" i="1"/>
  <c r="F1882" i="1"/>
  <c r="G1882" i="1"/>
  <c r="H1882" i="1"/>
  <c r="I1882" i="1"/>
  <c r="J1882" i="1"/>
  <c r="K1882" i="1"/>
  <c r="L1882" i="1"/>
  <c r="M1882" i="1"/>
  <c r="N1882" i="1"/>
  <c r="O1882" i="1"/>
  <c r="P1882" i="1"/>
  <c r="R1882" i="1"/>
  <c r="S1882" i="1"/>
  <c r="T1882" i="1"/>
  <c r="U1882" i="1"/>
  <c r="B1881" i="1"/>
  <c r="D1881" i="1"/>
  <c r="E1881" i="1"/>
  <c r="F1881" i="1"/>
  <c r="G1881" i="1"/>
  <c r="H1881" i="1"/>
  <c r="I1881" i="1"/>
  <c r="J1881" i="1"/>
  <c r="K1881" i="1"/>
  <c r="L1881" i="1"/>
  <c r="M1881" i="1"/>
  <c r="N1881" i="1"/>
  <c r="O1881" i="1"/>
  <c r="P1881" i="1"/>
  <c r="R1881" i="1"/>
  <c r="S1881" i="1"/>
  <c r="T1881" i="1"/>
  <c r="U1881" i="1"/>
  <c r="B1880" i="1"/>
  <c r="D1880" i="1"/>
  <c r="E1880" i="1"/>
  <c r="F1880" i="1"/>
  <c r="G1880" i="1"/>
  <c r="H1880" i="1"/>
  <c r="I1880" i="1"/>
  <c r="J1880" i="1"/>
  <c r="K1880" i="1"/>
  <c r="L1880" i="1"/>
  <c r="M1880" i="1"/>
  <c r="N1880" i="1"/>
  <c r="O1880" i="1"/>
  <c r="P1880" i="1"/>
  <c r="R1880" i="1"/>
  <c r="S1880" i="1"/>
  <c r="T1880" i="1"/>
  <c r="U1880" i="1"/>
  <c r="B1879" i="1"/>
  <c r="D1879" i="1"/>
  <c r="E1879" i="1"/>
  <c r="F1879" i="1"/>
  <c r="G1879" i="1"/>
  <c r="H1879" i="1"/>
  <c r="I1879" i="1"/>
  <c r="J1879" i="1"/>
  <c r="K1879" i="1"/>
  <c r="L1879" i="1"/>
  <c r="M1879" i="1"/>
  <c r="N1879" i="1"/>
  <c r="O1879" i="1"/>
  <c r="P1879" i="1"/>
  <c r="R1879" i="1"/>
  <c r="S1879" i="1"/>
  <c r="T1879" i="1"/>
  <c r="U1879" i="1"/>
  <c r="B1878" i="1"/>
  <c r="D1878" i="1"/>
  <c r="E1878" i="1"/>
  <c r="F1878" i="1"/>
  <c r="G1878" i="1"/>
  <c r="H1878" i="1"/>
  <c r="I1878" i="1"/>
  <c r="J1878" i="1"/>
  <c r="K1878" i="1"/>
  <c r="L1878" i="1"/>
  <c r="M1878" i="1"/>
  <c r="N1878" i="1"/>
  <c r="O1878" i="1"/>
  <c r="P1878" i="1"/>
  <c r="R1878" i="1"/>
  <c r="S1878" i="1"/>
  <c r="T1878" i="1"/>
  <c r="U1878" i="1"/>
  <c r="B1877" i="1"/>
  <c r="D1877" i="1"/>
  <c r="E1877" i="1"/>
  <c r="F1877" i="1"/>
  <c r="G1877" i="1"/>
  <c r="H1877" i="1"/>
  <c r="I1877" i="1"/>
  <c r="J1877" i="1"/>
  <c r="K1877" i="1"/>
  <c r="L1877" i="1"/>
  <c r="M1877" i="1"/>
  <c r="N1877" i="1"/>
  <c r="O1877" i="1"/>
  <c r="P1877" i="1"/>
  <c r="R1877" i="1"/>
  <c r="S1877" i="1"/>
  <c r="T1877" i="1"/>
  <c r="U1877" i="1"/>
  <c r="B1876" i="1"/>
  <c r="D1876" i="1"/>
  <c r="E1876" i="1"/>
  <c r="F1876" i="1"/>
  <c r="G1876" i="1"/>
  <c r="H1876" i="1"/>
  <c r="I1876" i="1"/>
  <c r="J1876" i="1"/>
  <c r="K1876" i="1"/>
  <c r="L1876" i="1"/>
  <c r="M1876" i="1"/>
  <c r="N1876" i="1"/>
  <c r="O1876" i="1"/>
  <c r="P1876" i="1"/>
  <c r="R1876" i="1"/>
  <c r="S1876" i="1"/>
  <c r="T1876" i="1"/>
  <c r="U1876" i="1"/>
  <c r="B1875" i="1"/>
  <c r="D1875" i="1"/>
  <c r="E1875" i="1"/>
  <c r="F1875" i="1"/>
  <c r="G1875" i="1"/>
  <c r="H1875" i="1"/>
  <c r="I1875" i="1"/>
  <c r="J1875" i="1"/>
  <c r="K1875" i="1"/>
  <c r="L1875" i="1"/>
  <c r="M1875" i="1"/>
  <c r="N1875" i="1"/>
  <c r="O1875" i="1"/>
  <c r="P1875" i="1"/>
  <c r="R1875" i="1"/>
  <c r="S1875" i="1"/>
  <c r="T1875" i="1"/>
  <c r="U1875" i="1"/>
  <c r="B1874" i="1"/>
  <c r="D1874" i="1"/>
  <c r="E1874" i="1"/>
  <c r="F1874" i="1"/>
  <c r="G1874" i="1"/>
  <c r="H1874" i="1"/>
  <c r="I1874" i="1"/>
  <c r="J1874" i="1"/>
  <c r="K1874" i="1"/>
  <c r="L1874" i="1"/>
  <c r="M1874" i="1"/>
  <c r="N1874" i="1"/>
  <c r="O1874" i="1"/>
  <c r="P1874" i="1"/>
  <c r="R1874" i="1"/>
  <c r="S1874" i="1"/>
  <c r="T1874" i="1"/>
  <c r="U1874" i="1"/>
  <c r="B1873" i="1"/>
  <c r="D1873" i="1"/>
  <c r="E1873" i="1"/>
  <c r="F1873" i="1"/>
  <c r="G1873" i="1"/>
  <c r="H1873" i="1"/>
  <c r="I1873" i="1"/>
  <c r="J1873" i="1"/>
  <c r="K1873" i="1"/>
  <c r="L1873" i="1"/>
  <c r="M1873" i="1"/>
  <c r="N1873" i="1"/>
  <c r="O1873" i="1"/>
  <c r="P1873" i="1"/>
  <c r="R1873" i="1"/>
  <c r="S1873" i="1"/>
  <c r="T1873" i="1"/>
  <c r="U1873" i="1"/>
  <c r="B1872" i="1"/>
  <c r="D1872" i="1"/>
  <c r="E1872" i="1"/>
  <c r="F1872" i="1"/>
  <c r="G1872" i="1"/>
  <c r="H1872" i="1"/>
  <c r="I1872" i="1"/>
  <c r="J1872" i="1"/>
  <c r="K1872" i="1"/>
  <c r="L1872" i="1"/>
  <c r="M1872" i="1"/>
  <c r="N1872" i="1"/>
  <c r="O1872" i="1"/>
  <c r="P1872" i="1"/>
  <c r="R1872" i="1"/>
  <c r="S1872" i="1"/>
  <c r="T1872" i="1"/>
  <c r="U1872" i="1"/>
  <c r="B1871" i="1"/>
  <c r="D1871" i="1"/>
  <c r="E1871" i="1"/>
  <c r="F1871" i="1"/>
  <c r="G1871" i="1"/>
  <c r="H1871" i="1"/>
  <c r="I1871" i="1"/>
  <c r="J1871" i="1"/>
  <c r="K1871" i="1"/>
  <c r="L1871" i="1"/>
  <c r="M1871" i="1"/>
  <c r="N1871" i="1"/>
  <c r="O1871" i="1"/>
  <c r="P1871" i="1"/>
  <c r="R1871" i="1"/>
  <c r="S1871" i="1"/>
  <c r="T1871" i="1"/>
  <c r="U1871" i="1"/>
  <c r="B1870" i="1"/>
  <c r="D1870" i="1"/>
  <c r="E1870" i="1"/>
  <c r="F1870" i="1"/>
  <c r="G1870" i="1"/>
  <c r="H1870" i="1"/>
  <c r="I1870" i="1"/>
  <c r="J1870" i="1"/>
  <c r="K1870" i="1"/>
  <c r="L1870" i="1"/>
  <c r="M1870" i="1"/>
  <c r="N1870" i="1"/>
  <c r="O1870" i="1"/>
  <c r="P1870" i="1"/>
  <c r="R1870" i="1"/>
  <c r="S1870" i="1"/>
  <c r="T1870" i="1"/>
  <c r="U1870" i="1"/>
  <c r="B1869" i="1"/>
  <c r="D1869" i="1"/>
  <c r="E1869" i="1"/>
  <c r="F1869" i="1"/>
  <c r="G1869" i="1"/>
  <c r="H1869" i="1"/>
  <c r="I1869" i="1"/>
  <c r="J1869" i="1"/>
  <c r="K1869" i="1"/>
  <c r="L1869" i="1"/>
  <c r="M1869" i="1"/>
  <c r="N1869" i="1"/>
  <c r="O1869" i="1"/>
  <c r="P1869" i="1"/>
  <c r="R1869" i="1"/>
  <c r="S1869" i="1"/>
  <c r="T1869" i="1"/>
  <c r="U1869" i="1"/>
  <c r="B1868" i="1"/>
  <c r="D1868" i="1"/>
  <c r="E1868" i="1"/>
  <c r="F1868" i="1"/>
  <c r="G1868" i="1"/>
  <c r="H1868" i="1"/>
  <c r="I1868" i="1"/>
  <c r="J1868" i="1"/>
  <c r="K1868" i="1"/>
  <c r="L1868" i="1"/>
  <c r="M1868" i="1"/>
  <c r="N1868" i="1"/>
  <c r="O1868" i="1"/>
  <c r="P1868" i="1"/>
  <c r="R1868" i="1"/>
  <c r="S1868" i="1"/>
  <c r="T1868" i="1"/>
  <c r="U1868" i="1"/>
  <c r="B1867" i="1"/>
  <c r="D1867" i="1"/>
  <c r="E1867" i="1"/>
  <c r="F1867" i="1"/>
  <c r="G1867" i="1"/>
  <c r="H1867" i="1"/>
  <c r="I1867" i="1"/>
  <c r="J1867" i="1"/>
  <c r="K1867" i="1"/>
  <c r="L1867" i="1"/>
  <c r="M1867" i="1"/>
  <c r="N1867" i="1"/>
  <c r="O1867" i="1"/>
  <c r="P1867" i="1"/>
  <c r="R1867" i="1"/>
  <c r="S1867" i="1"/>
  <c r="T1867" i="1"/>
  <c r="U1867" i="1"/>
  <c r="B1866" i="1"/>
  <c r="D1866" i="1"/>
  <c r="E1866" i="1"/>
  <c r="F1866" i="1"/>
  <c r="G1866" i="1"/>
  <c r="H1866" i="1"/>
  <c r="I1866" i="1"/>
  <c r="J1866" i="1"/>
  <c r="K1866" i="1"/>
  <c r="L1866" i="1"/>
  <c r="M1866" i="1"/>
  <c r="N1866" i="1"/>
  <c r="O1866" i="1"/>
  <c r="P1866" i="1"/>
  <c r="R1866" i="1"/>
  <c r="S1866" i="1"/>
  <c r="T1866" i="1"/>
  <c r="U1866" i="1"/>
  <c r="B1865" i="1"/>
  <c r="D1865" i="1"/>
  <c r="E1865" i="1"/>
  <c r="F1865" i="1"/>
  <c r="G1865" i="1"/>
  <c r="H1865" i="1"/>
  <c r="I1865" i="1"/>
  <c r="J1865" i="1"/>
  <c r="K1865" i="1"/>
  <c r="L1865" i="1"/>
  <c r="M1865" i="1"/>
  <c r="N1865" i="1"/>
  <c r="O1865" i="1"/>
  <c r="P1865" i="1"/>
  <c r="R1865" i="1"/>
  <c r="S1865" i="1"/>
  <c r="T1865" i="1"/>
  <c r="U1865" i="1"/>
  <c r="B1864" i="1"/>
  <c r="D1864" i="1"/>
  <c r="E1864" i="1"/>
  <c r="F1864" i="1"/>
  <c r="G1864" i="1"/>
  <c r="H1864" i="1"/>
  <c r="I1864" i="1"/>
  <c r="J1864" i="1"/>
  <c r="K1864" i="1"/>
  <c r="L1864" i="1"/>
  <c r="M1864" i="1"/>
  <c r="N1864" i="1"/>
  <c r="O1864" i="1"/>
  <c r="P1864" i="1"/>
  <c r="R1864" i="1"/>
  <c r="S1864" i="1"/>
  <c r="T1864" i="1"/>
  <c r="U1864" i="1"/>
  <c r="B1863" i="1"/>
  <c r="D1863" i="1"/>
  <c r="E1863" i="1"/>
  <c r="F1863" i="1"/>
  <c r="G1863" i="1"/>
  <c r="H1863" i="1"/>
  <c r="I1863" i="1"/>
  <c r="J1863" i="1"/>
  <c r="K1863" i="1"/>
  <c r="L1863" i="1"/>
  <c r="M1863" i="1"/>
  <c r="N1863" i="1"/>
  <c r="O1863" i="1"/>
  <c r="P1863" i="1"/>
  <c r="R1863" i="1"/>
  <c r="S1863" i="1"/>
  <c r="T1863" i="1"/>
  <c r="U1863" i="1"/>
  <c r="B1862" i="1"/>
  <c r="D1862" i="1"/>
  <c r="E1862" i="1"/>
  <c r="F1862" i="1"/>
  <c r="G1862" i="1"/>
  <c r="H1862" i="1"/>
  <c r="I1862" i="1"/>
  <c r="J1862" i="1"/>
  <c r="K1862" i="1"/>
  <c r="L1862" i="1"/>
  <c r="M1862" i="1"/>
  <c r="N1862" i="1"/>
  <c r="O1862" i="1"/>
  <c r="P1862" i="1"/>
  <c r="R1862" i="1"/>
  <c r="S1862" i="1"/>
  <c r="T1862" i="1"/>
  <c r="U1862" i="1"/>
  <c r="B1861" i="1"/>
  <c r="D1861" i="1"/>
  <c r="E1861" i="1"/>
  <c r="F1861" i="1"/>
  <c r="G1861" i="1"/>
  <c r="H1861" i="1"/>
  <c r="I1861" i="1"/>
  <c r="J1861" i="1"/>
  <c r="K1861" i="1"/>
  <c r="L1861" i="1"/>
  <c r="M1861" i="1"/>
  <c r="N1861" i="1"/>
  <c r="O1861" i="1"/>
  <c r="P1861" i="1"/>
  <c r="R1861" i="1"/>
  <c r="S1861" i="1"/>
  <c r="T1861" i="1"/>
  <c r="U1861" i="1"/>
  <c r="B1860" i="1"/>
  <c r="D1860" i="1"/>
  <c r="E1860" i="1"/>
  <c r="F1860" i="1"/>
  <c r="G1860" i="1"/>
  <c r="H1860" i="1"/>
  <c r="I1860" i="1"/>
  <c r="J1860" i="1"/>
  <c r="K1860" i="1"/>
  <c r="L1860" i="1"/>
  <c r="M1860" i="1"/>
  <c r="N1860" i="1"/>
  <c r="O1860" i="1"/>
  <c r="P1860" i="1"/>
  <c r="R1860" i="1"/>
  <c r="S1860" i="1"/>
  <c r="T1860" i="1"/>
  <c r="U1860" i="1"/>
  <c r="B1859" i="1"/>
  <c r="D1859" i="1"/>
  <c r="E1859" i="1"/>
  <c r="F1859" i="1"/>
  <c r="G1859" i="1"/>
  <c r="H1859" i="1"/>
  <c r="I1859" i="1"/>
  <c r="J1859" i="1"/>
  <c r="K1859" i="1"/>
  <c r="L1859" i="1"/>
  <c r="M1859" i="1"/>
  <c r="N1859" i="1"/>
  <c r="O1859" i="1"/>
  <c r="P1859" i="1"/>
  <c r="R1859" i="1"/>
  <c r="S1859" i="1"/>
  <c r="T1859" i="1"/>
  <c r="U1859" i="1"/>
  <c r="B1858" i="1"/>
  <c r="D1858" i="1"/>
  <c r="E1858" i="1"/>
  <c r="F1858" i="1"/>
  <c r="G1858" i="1"/>
  <c r="H1858" i="1"/>
  <c r="I1858" i="1"/>
  <c r="J1858" i="1"/>
  <c r="K1858" i="1"/>
  <c r="L1858" i="1"/>
  <c r="M1858" i="1"/>
  <c r="N1858" i="1"/>
  <c r="O1858" i="1"/>
  <c r="P1858" i="1"/>
  <c r="R1858" i="1"/>
  <c r="S1858" i="1"/>
  <c r="T1858" i="1"/>
  <c r="U1858" i="1"/>
  <c r="B1857" i="1"/>
  <c r="D1857" i="1"/>
  <c r="E1857" i="1"/>
  <c r="F1857" i="1"/>
  <c r="G1857" i="1"/>
  <c r="H1857" i="1"/>
  <c r="I1857" i="1"/>
  <c r="J1857" i="1"/>
  <c r="K1857" i="1"/>
  <c r="L1857" i="1"/>
  <c r="M1857" i="1"/>
  <c r="N1857" i="1"/>
  <c r="O1857" i="1"/>
  <c r="P1857" i="1"/>
  <c r="R1857" i="1"/>
  <c r="S1857" i="1"/>
  <c r="T1857" i="1"/>
  <c r="U1857" i="1"/>
  <c r="B1856" i="1"/>
  <c r="D1856" i="1"/>
  <c r="E1856" i="1"/>
  <c r="F1856" i="1"/>
  <c r="G1856" i="1"/>
  <c r="H1856" i="1"/>
  <c r="I1856" i="1"/>
  <c r="J1856" i="1"/>
  <c r="K1856" i="1"/>
  <c r="L1856" i="1"/>
  <c r="M1856" i="1"/>
  <c r="N1856" i="1"/>
  <c r="O1856" i="1"/>
  <c r="P1856" i="1"/>
  <c r="R1856" i="1"/>
  <c r="S1856" i="1"/>
  <c r="T1856" i="1"/>
  <c r="U1856" i="1"/>
  <c r="B1855" i="1"/>
  <c r="D1855" i="1"/>
  <c r="E1855" i="1"/>
  <c r="F1855" i="1"/>
  <c r="G1855" i="1"/>
  <c r="H1855" i="1"/>
  <c r="I1855" i="1"/>
  <c r="J1855" i="1"/>
  <c r="K1855" i="1"/>
  <c r="L1855" i="1"/>
  <c r="M1855" i="1"/>
  <c r="N1855" i="1"/>
  <c r="O1855" i="1"/>
  <c r="P1855" i="1"/>
  <c r="R1855" i="1"/>
  <c r="S1855" i="1"/>
  <c r="T1855" i="1"/>
  <c r="U1855" i="1"/>
  <c r="B1854" i="1"/>
  <c r="D1854" i="1"/>
  <c r="E1854" i="1"/>
  <c r="F1854" i="1"/>
  <c r="G1854" i="1"/>
  <c r="H1854" i="1"/>
  <c r="I1854" i="1"/>
  <c r="J1854" i="1"/>
  <c r="K1854" i="1"/>
  <c r="L1854" i="1"/>
  <c r="M1854" i="1"/>
  <c r="N1854" i="1"/>
  <c r="O1854" i="1"/>
  <c r="P1854" i="1"/>
  <c r="R1854" i="1"/>
  <c r="S1854" i="1"/>
  <c r="T1854" i="1"/>
  <c r="U1854" i="1"/>
  <c r="B1853" i="1"/>
  <c r="D1853" i="1"/>
  <c r="E1853" i="1"/>
  <c r="F1853" i="1"/>
  <c r="G1853" i="1"/>
  <c r="H1853" i="1"/>
  <c r="I1853" i="1"/>
  <c r="J1853" i="1"/>
  <c r="K1853" i="1"/>
  <c r="L1853" i="1"/>
  <c r="M1853" i="1"/>
  <c r="N1853" i="1"/>
  <c r="O1853" i="1"/>
  <c r="P1853" i="1"/>
  <c r="R1853" i="1"/>
  <c r="S1853" i="1"/>
  <c r="T1853" i="1"/>
  <c r="U1853" i="1"/>
  <c r="B1852" i="1"/>
  <c r="D1852" i="1"/>
  <c r="E1852" i="1"/>
  <c r="F1852" i="1"/>
  <c r="G1852" i="1"/>
  <c r="H1852" i="1"/>
  <c r="I1852" i="1"/>
  <c r="J1852" i="1"/>
  <c r="K1852" i="1"/>
  <c r="L1852" i="1"/>
  <c r="M1852" i="1"/>
  <c r="N1852" i="1"/>
  <c r="O1852" i="1"/>
  <c r="P1852" i="1"/>
  <c r="R1852" i="1"/>
  <c r="S1852" i="1"/>
  <c r="T1852" i="1"/>
  <c r="U1852" i="1"/>
  <c r="B1851" i="1"/>
  <c r="D1851" i="1"/>
  <c r="E1851" i="1"/>
  <c r="F1851" i="1"/>
  <c r="G1851" i="1"/>
  <c r="H1851" i="1"/>
  <c r="I1851" i="1"/>
  <c r="J1851" i="1"/>
  <c r="K1851" i="1"/>
  <c r="L1851" i="1"/>
  <c r="M1851" i="1"/>
  <c r="N1851" i="1"/>
  <c r="O1851" i="1"/>
  <c r="P1851" i="1"/>
  <c r="R1851" i="1"/>
  <c r="S1851" i="1"/>
  <c r="T1851" i="1"/>
  <c r="U1851" i="1"/>
  <c r="B1850" i="1"/>
  <c r="D1850" i="1"/>
  <c r="E1850" i="1"/>
  <c r="F1850" i="1"/>
  <c r="G1850" i="1"/>
  <c r="H1850" i="1"/>
  <c r="I1850" i="1"/>
  <c r="J1850" i="1"/>
  <c r="K1850" i="1"/>
  <c r="L1850" i="1"/>
  <c r="M1850" i="1"/>
  <c r="N1850" i="1"/>
  <c r="O1850" i="1"/>
  <c r="P1850" i="1"/>
  <c r="R1850" i="1"/>
  <c r="S1850" i="1"/>
  <c r="T1850" i="1"/>
  <c r="U1850" i="1"/>
  <c r="B1849" i="1"/>
  <c r="D1849" i="1"/>
  <c r="E1849" i="1"/>
  <c r="F1849" i="1"/>
  <c r="G1849" i="1"/>
  <c r="H1849" i="1"/>
  <c r="I1849" i="1"/>
  <c r="J1849" i="1"/>
  <c r="K1849" i="1"/>
  <c r="L1849" i="1"/>
  <c r="M1849" i="1"/>
  <c r="N1849" i="1"/>
  <c r="O1849" i="1"/>
  <c r="P1849" i="1"/>
  <c r="R1849" i="1"/>
  <c r="S1849" i="1"/>
  <c r="T1849" i="1"/>
  <c r="U1849" i="1"/>
  <c r="B1848" i="1"/>
  <c r="D1848" i="1"/>
  <c r="E1848" i="1"/>
  <c r="F1848" i="1"/>
  <c r="G1848" i="1"/>
  <c r="H1848" i="1"/>
  <c r="I1848" i="1"/>
  <c r="J1848" i="1"/>
  <c r="K1848" i="1"/>
  <c r="L1848" i="1"/>
  <c r="M1848" i="1"/>
  <c r="N1848" i="1"/>
  <c r="O1848" i="1"/>
  <c r="P1848" i="1"/>
  <c r="R1848" i="1"/>
  <c r="S1848" i="1"/>
  <c r="T1848" i="1"/>
  <c r="U1848" i="1"/>
  <c r="B1847" i="1"/>
  <c r="D1847" i="1"/>
  <c r="E1847" i="1"/>
  <c r="F1847" i="1"/>
  <c r="G1847" i="1"/>
  <c r="H1847" i="1"/>
  <c r="I1847" i="1"/>
  <c r="J1847" i="1"/>
  <c r="K1847" i="1"/>
  <c r="L1847" i="1"/>
  <c r="M1847" i="1"/>
  <c r="N1847" i="1"/>
  <c r="O1847" i="1"/>
  <c r="P1847" i="1"/>
  <c r="R1847" i="1"/>
  <c r="S1847" i="1"/>
  <c r="T1847" i="1"/>
  <c r="U1847" i="1"/>
  <c r="B1846" i="1"/>
  <c r="D1846" i="1"/>
  <c r="E1846" i="1"/>
  <c r="F1846" i="1"/>
  <c r="G1846" i="1"/>
  <c r="H1846" i="1"/>
  <c r="I1846" i="1"/>
  <c r="J1846" i="1"/>
  <c r="K1846" i="1"/>
  <c r="L1846" i="1"/>
  <c r="M1846" i="1"/>
  <c r="N1846" i="1"/>
  <c r="O1846" i="1"/>
  <c r="P1846" i="1"/>
  <c r="R1846" i="1"/>
  <c r="S1846" i="1"/>
  <c r="T1846" i="1"/>
  <c r="U1846" i="1"/>
  <c r="B2418" i="1"/>
  <c r="C2418" i="1"/>
  <c r="D2418" i="1"/>
  <c r="E2418" i="1"/>
  <c r="F2418" i="1"/>
  <c r="G2418" i="1"/>
  <c r="H2418" i="1"/>
  <c r="I2418" i="1"/>
  <c r="J2418" i="1"/>
  <c r="M2418" i="1"/>
  <c r="N2418" i="1"/>
  <c r="O2418" i="1"/>
  <c r="P2418" i="1"/>
  <c r="S2418" i="1"/>
  <c r="T2418" i="1"/>
  <c r="U2418" i="1"/>
  <c r="B2417" i="1"/>
  <c r="C2417" i="1"/>
  <c r="D2417" i="1"/>
  <c r="E2417" i="1"/>
  <c r="F2417" i="1"/>
  <c r="G2417" i="1"/>
  <c r="H2417" i="1"/>
  <c r="I2417" i="1"/>
  <c r="J2417" i="1"/>
  <c r="M2417" i="1"/>
  <c r="N2417" i="1"/>
  <c r="O2417" i="1"/>
  <c r="P2417" i="1"/>
  <c r="R2417" i="1"/>
  <c r="S2417" i="1"/>
  <c r="T2417" i="1"/>
  <c r="U2417" i="1"/>
  <c r="B2416" i="1"/>
  <c r="C2416" i="1"/>
  <c r="D2416" i="1"/>
  <c r="E2416" i="1"/>
  <c r="F2416" i="1"/>
  <c r="G2416" i="1"/>
  <c r="H2416" i="1"/>
  <c r="I2416" i="1"/>
  <c r="J2416" i="1"/>
  <c r="M2416" i="1"/>
  <c r="N2416" i="1"/>
  <c r="O2416" i="1"/>
  <c r="P2416" i="1"/>
  <c r="R2416" i="1"/>
  <c r="S2416" i="1"/>
  <c r="T2416" i="1"/>
  <c r="U2416" i="1"/>
  <c r="B2415" i="1"/>
  <c r="C2415" i="1"/>
  <c r="D2415" i="1"/>
  <c r="E2415" i="1"/>
  <c r="F2415" i="1"/>
  <c r="G2415" i="1"/>
  <c r="H2415" i="1"/>
  <c r="I2415" i="1"/>
  <c r="J2415" i="1"/>
  <c r="M2415" i="1"/>
  <c r="N2415" i="1"/>
  <c r="O2415" i="1"/>
  <c r="P2415" i="1"/>
  <c r="R2415" i="1"/>
  <c r="S2415" i="1"/>
  <c r="T2415" i="1"/>
  <c r="U2415" i="1"/>
  <c r="B2414" i="1"/>
  <c r="C2414" i="1"/>
  <c r="D2414" i="1"/>
  <c r="E2414" i="1"/>
  <c r="F2414" i="1"/>
  <c r="G2414" i="1"/>
  <c r="H2414" i="1"/>
  <c r="I2414" i="1"/>
  <c r="J2414" i="1"/>
  <c r="M2414" i="1"/>
  <c r="N2414" i="1"/>
  <c r="O2414" i="1"/>
  <c r="P2414" i="1"/>
  <c r="R2414" i="1"/>
  <c r="S2414" i="1"/>
  <c r="T2414" i="1"/>
  <c r="U2414" i="1"/>
  <c r="B2413" i="1"/>
  <c r="C2413" i="1"/>
  <c r="D2413" i="1"/>
  <c r="E2413" i="1"/>
  <c r="F2413" i="1"/>
  <c r="G2413" i="1"/>
  <c r="H2413" i="1"/>
  <c r="I2413" i="1"/>
  <c r="J2413" i="1"/>
  <c r="M2413" i="1"/>
  <c r="N2413" i="1"/>
  <c r="O2413" i="1"/>
  <c r="P2413" i="1"/>
  <c r="R2413" i="1"/>
  <c r="S2413" i="1"/>
  <c r="T2413" i="1"/>
  <c r="U2413" i="1"/>
  <c r="B2412" i="1"/>
  <c r="C2412" i="1"/>
  <c r="D2412" i="1"/>
  <c r="E2412" i="1"/>
  <c r="F2412" i="1"/>
  <c r="G2412" i="1"/>
  <c r="H2412" i="1"/>
  <c r="I2412" i="1"/>
  <c r="J2412" i="1"/>
  <c r="M2412" i="1"/>
  <c r="N2412" i="1"/>
  <c r="O2412" i="1"/>
  <c r="P2412" i="1"/>
  <c r="R2412" i="1"/>
  <c r="S2412" i="1"/>
  <c r="T2412" i="1"/>
  <c r="U2412" i="1"/>
  <c r="B2411" i="1"/>
  <c r="C2411" i="1"/>
  <c r="D2411" i="1"/>
  <c r="E2411" i="1"/>
  <c r="F2411" i="1"/>
  <c r="G2411" i="1"/>
  <c r="H2411" i="1"/>
  <c r="I2411" i="1"/>
  <c r="J2411" i="1"/>
  <c r="M2411" i="1"/>
  <c r="N2411" i="1"/>
  <c r="O2411" i="1"/>
  <c r="P2411" i="1"/>
  <c r="R2411" i="1"/>
  <c r="S2411" i="1"/>
  <c r="T2411" i="1"/>
  <c r="U2411" i="1"/>
  <c r="B2410" i="1"/>
  <c r="C2410" i="1"/>
  <c r="D2410" i="1"/>
  <c r="E2410" i="1"/>
  <c r="F2410" i="1"/>
  <c r="G2410" i="1"/>
  <c r="H2410" i="1"/>
  <c r="I2410" i="1"/>
  <c r="J2410" i="1"/>
  <c r="M2410" i="1"/>
  <c r="N2410" i="1"/>
  <c r="O2410" i="1"/>
  <c r="P2410" i="1"/>
  <c r="R2410" i="1"/>
  <c r="S2410" i="1"/>
  <c r="T2410" i="1"/>
  <c r="U2410" i="1"/>
  <c r="B2409" i="1"/>
  <c r="C2409" i="1"/>
  <c r="D2409" i="1"/>
  <c r="E2409" i="1"/>
  <c r="F2409" i="1"/>
  <c r="G2409" i="1"/>
  <c r="H2409" i="1"/>
  <c r="I2409" i="1"/>
  <c r="J2409" i="1"/>
  <c r="M2409" i="1"/>
  <c r="N2409" i="1"/>
  <c r="O2409" i="1"/>
  <c r="P2409" i="1"/>
  <c r="R2409" i="1"/>
  <c r="S2409" i="1"/>
  <c r="T2409" i="1"/>
  <c r="U2409" i="1"/>
  <c r="B2408" i="1"/>
  <c r="C2408" i="1"/>
  <c r="D2408" i="1"/>
  <c r="E2408" i="1"/>
  <c r="F2408" i="1"/>
  <c r="G2408" i="1"/>
  <c r="H2408" i="1"/>
  <c r="I2408" i="1"/>
  <c r="J2408" i="1"/>
  <c r="M2408" i="1"/>
  <c r="N2408" i="1"/>
  <c r="O2408" i="1"/>
  <c r="P2408" i="1"/>
  <c r="R2408" i="1"/>
  <c r="S2408" i="1"/>
  <c r="T2408" i="1"/>
  <c r="U2408" i="1"/>
  <c r="B2407" i="1"/>
  <c r="C2407" i="1"/>
  <c r="D2407" i="1"/>
  <c r="E2407" i="1"/>
  <c r="F2407" i="1"/>
  <c r="G2407" i="1"/>
  <c r="H2407" i="1"/>
  <c r="I2407" i="1"/>
  <c r="J2407" i="1"/>
  <c r="M2407" i="1"/>
  <c r="N2407" i="1"/>
  <c r="O2407" i="1"/>
  <c r="P2407" i="1"/>
  <c r="R2407" i="1"/>
  <c r="S2407" i="1"/>
  <c r="T2407" i="1"/>
  <c r="U2407" i="1"/>
  <c r="B2406" i="1"/>
  <c r="C2406" i="1"/>
  <c r="D2406" i="1"/>
  <c r="E2406" i="1"/>
  <c r="F2406" i="1"/>
  <c r="G2406" i="1"/>
  <c r="H2406" i="1"/>
  <c r="I2406" i="1"/>
  <c r="J2406" i="1"/>
  <c r="M2406" i="1"/>
  <c r="N2406" i="1"/>
  <c r="O2406" i="1"/>
  <c r="P2406" i="1"/>
  <c r="R2406" i="1"/>
  <c r="S2406" i="1"/>
  <c r="T2406" i="1"/>
  <c r="U2406" i="1"/>
  <c r="B2405" i="1"/>
  <c r="C2405" i="1"/>
  <c r="D2405" i="1"/>
  <c r="E2405" i="1"/>
  <c r="F2405" i="1"/>
  <c r="G2405" i="1"/>
  <c r="H2405" i="1"/>
  <c r="I2405" i="1"/>
  <c r="J2405" i="1"/>
  <c r="M2405" i="1"/>
  <c r="N2405" i="1"/>
  <c r="O2405" i="1"/>
  <c r="P2405" i="1"/>
  <c r="R2405" i="1"/>
  <c r="S2405" i="1"/>
  <c r="T2405" i="1"/>
  <c r="U2405" i="1"/>
  <c r="B2404" i="1"/>
  <c r="C2404" i="1"/>
  <c r="D2404" i="1"/>
  <c r="E2404" i="1"/>
  <c r="F2404" i="1"/>
  <c r="G2404" i="1"/>
  <c r="H2404" i="1"/>
  <c r="I2404" i="1"/>
  <c r="J2404" i="1"/>
  <c r="M2404" i="1"/>
  <c r="N2404" i="1"/>
  <c r="O2404" i="1"/>
  <c r="P2404" i="1"/>
  <c r="R2404" i="1"/>
  <c r="S2404" i="1"/>
  <c r="T2404" i="1"/>
  <c r="U2404" i="1"/>
  <c r="B2403" i="1"/>
  <c r="C2403" i="1"/>
  <c r="D2403" i="1"/>
  <c r="E2403" i="1"/>
  <c r="F2403" i="1"/>
  <c r="G2403" i="1"/>
  <c r="H2403" i="1"/>
  <c r="I2403" i="1"/>
  <c r="J2403" i="1"/>
  <c r="M2403" i="1"/>
  <c r="N2403" i="1"/>
  <c r="O2403" i="1"/>
  <c r="P2403" i="1"/>
  <c r="R2403" i="1"/>
  <c r="S2403" i="1"/>
  <c r="T2403" i="1"/>
  <c r="U2403" i="1"/>
  <c r="B2402" i="1"/>
  <c r="C2402" i="1"/>
  <c r="D2402" i="1"/>
  <c r="E2402" i="1"/>
  <c r="F2402" i="1"/>
  <c r="G2402" i="1"/>
  <c r="H2402" i="1"/>
  <c r="I2402" i="1"/>
  <c r="J2402" i="1"/>
  <c r="M2402" i="1"/>
  <c r="N2402" i="1"/>
  <c r="O2402" i="1"/>
  <c r="P2402" i="1"/>
  <c r="R2402" i="1"/>
  <c r="S2402" i="1"/>
  <c r="T2402" i="1"/>
  <c r="U2402" i="1"/>
  <c r="B2401" i="1"/>
  <c r="C2401" i="1"/>
  <c r="D2401" i="1"/>
  <c r="E2401" i="1"/>
  <c r="F2401" i="1"/>
  <c r="G2401" i="1"/>
  <c r="H2401" i="1"/>
  <c r="I2401" i="1"/>
  <c r="J2401" i="1"/>
  <c r="M2401" i="1"/>
  <c r="N2401" i="1"/>
  <c r="O2401" i="1"/>
  <c r="P2401" i="1"/>
  <c r="R2401" i="1"/>
  <c r="S2401" i="1"/>
  <c r="T2401" i="1"/>
  <c r="U2401" i="1"/>
  <c r="B2400" i="1"/>
  <c r="C2400" i="1"/>
  <c r="D2400" i="1"/>
  <c r="E2400" i="1"/>
  <c r="F2400" i="1"/>
  <c r="G2400" i="1"/>
  <c r="H2400" i="1"/>
  <c r="I2400" i="1"/>
  <c r="J2400" i="1"/>
  <c r="M2400" i="1"/>
  <c r="N2400" i="1"/>
  <c r="O2400" i="1"/>
  <c r="P2400" i="1"/>
  <c r="R2400" i="1"/>
  <c r="S2400" i="1"/>
  <c r="T2400" i="1"/>
  <c r="U2400" i="1"/>
  <c r="B2399" i="1"/>
  <c r="C2399" i="1"/>
  <c r="D2399" i="1"/>
  <c r="E2399" i="1"/>
  <c r="F2399" i="1"/>
  <c r="G2399" i="1"/>
  <c r="H2399" i="1"/>
  <c r="I2399" i="1"/>
  <c r="J2399" i="1"/>
  <c r="M2399" i="1"/>
  <c r="N2399" i="1"/>
  <c r="O2399" i="1"/>
  <c r="P2399" i="1"/>
  <c r="R2399" i="1"/>
  <c r="S2399" i="1"/>
  <c r="T2399" i="1"/>
  <c r="U2399" i="1"/>
  <c r="B2398" i="1"/>
  <c r="C2398" i="1"/>
  <c r="D2398" i="1"/>
  <c r="E2398" i="1"/>
  <c r="F2398" i="1"/>
  <c r="G2398" i="1"/>
  <c r="H2398" i="1"/>
  <c r="I2398" i="1"/>
  <c r="J2398" i="1"/>
  <c r="M2398" i="1"/>
  <c r="N2398" i="1"/>
  <c r="O2398" i="1"/>
  <c r="P2398" i="1"/>
  <c r="R2398" i="1"/>
  <c r="S2398" i="1"/>
  <c r="T2398" i="1"/>
  <c r="U2398" i="1"/>
  <c r="B2397" i="1"/>
  <c r="C2397" i="1"/>
  <c r="D2397" i="1"/>
  <c r="E2397" i="1"/>
  <c r="F2397" i="1"/>
  <c r="G2397" i="1"/>
  <c r="H2397" i="1"/>
  <c r="I2397" i="1"/>
  <c r="J2397" i="1"/>
  <c r="M2397" i="1"/>
  <c r="N2397" i="1"/>
  <c r="O2397" i="1"/>
  <c r="P2397" i="1"/>
  <c r="R2397" i="1"/>
  <c r="S2397" i="1"/>
  <c r="T2397" i="1"/>
  <c r="U2397" i="1"/>
  <c r="B2396" i="1"/>
  <c r="C2396" i="1"/>
  <c r="D2396" i="1"/>
  <c r="E2396" i="1"/>
  <c r="F2396" i="1"/>
  <c r="G2396" i="1"/>
  <c r="H2396" i="1"/>
  <c r="I2396" i="1"/>
  <c r="J2396" i="1"/>
  <c r="M2396" i="1"/>
  <c r="N2396" i="1"/>
  <c r="O2396" i="1"/>
  <c r="P2396" i="1"/>
  <c r="R2396" i="1"/>
  <c r="S2396" i="1"/>
  <c r="T2396" i="1"/>
  <c r="U2396" i="1"/>
  <c r="B2395" i="1"/>
  <c r="C2395" i="1"/>
  <c r="D2395" i="1"/>
  <c r="E2395" i="1"/>
  <c r="F2395" i="1"/>
  <c r="G2395" i="1"/>
  <c r="H2395" i="1"/>
  <c r="I2395" i="1"/>
  <c r="J2395" i="1"/>
  <c r="M2395" i="1"/>
  <c r="N2395" i="1"/>
  <c r="O2395" i="1"/>
  <c r="P2395" i="1"/>
  <c r="R2395" i="1"/>
  <c r="S2395" i="1"/>
  <c r="T2395" i="1"/>
  <c r="U2395" i="1"/>
  <c r="B2394" i="1"/>
  <c r="C2394" i="1"/>
  <c r="D2394" i="1"/>
  <c r="E2394" i="1"/>
  <c r="F2394" i="1"/>
  <c r="G2394" i="1"/>
  <c r="H2394" i="1"/>
  <c r="I2394" i="1"/>
  <c r="J2394" i="1"/>
  <c r="M2394" i="1"/>
  <c r="N2394" i="1"/>
  <c r="O2394" i="1"/>
  <c r="P2394" i="1"/>
  <c r="R2394" i="1"/>
  <c r="S2394" i="1"/>
  <c r="T2394" i="1"/>
  <c r="U2394" i="1"/>
  <c r="B2393" i="1"/>
  <c r="C2393" i="1"/>
  <c r="D2393" i="1"/>
  <c r="E2393" i="1"/>
  <c r="F2393" i="1"/>
  <c r="G2393" i="1"/>
  <c r="H2393" i="1"/>
  <c r="I2393" i="1"/>
  <c r="J2393" i="1"/>
  <c r="M2393" i="1"/>
  <c r="N2393" i="1"/>
  <c r="O2393" i="1"/>
  <c r="P2393" i="1"/>
  <c r="R2393" i="1"/>
  <c r="S2393" i="1"/>
  <c r="T2393" i="1"/>
  <c r="U2393" i="1"/>
  <c r="B2392" i="1"/>
  <c r="C2392" i="1"/>
  <c r="D2392" i="1"/>
  <c r="E2392" i="1"/>
  <c r="F2392" i="1"/>
  <c r="G2392" i="1"/>
  <c r="H2392" i="1"/>
  <c r="I2392" i="1"/>
  <c r="J2392" i="1"/>
  <c r="M2392" i="1"/>
  <c r="N2392" i="1"/>
  <c r="O2392" i="1"/>
  <c r="P2392" i="1"/>
  <c r="R2392" i="1"/>
  <c r="S2392" i="1"/>
  <c r="T2392" i="1"/>
  <c r="U2392" i="1"/>
  <c r="B2391" i="1"/>
  <c r="C2391" i="1"/>
  <c r="D2391" i="1"/>
  <c r="E2391" i="1"/>
  <c r="F2391" i="1"/>
  <c r="G2391" i="1"/>
  <c r="H2391" i="1"/>
  <c r="I2391" i="1"/>
  <c r="J2391" i="1"/>
  <c r="M2391" i="1"/>
  <c r="N2391" i="1"/>
  <c r="O2391" i="1"/>
  <c r="P2391" i="1"/>
  <c r="R2391" i="1"/>
  <c r="S2391" i="1"/>
  <c r="T2391" i="1"/>
  <c r="U2391" i="1"/>
  <c r="B2390" i="1"/>
  <c r="C2390" i="1"/>
  <c r="D2390" i="1"/>
  <c r="E2390" i="1"/>
  <c r="F2390" i="1"/>
  <c r="G2390" i="1"/>
  <c r="H2390" i="1"/>
  <c r="I2390" i="1"/>
  <c r="J2390" i="1"/>
  <c r="M2390" i="1"/>
  <c r="N2390" i="1"/>
  <c r="O2390" i="1"/>
  <c r="P2390" i="1"/>
  <c r="R2390" i="1"/>
  <c r="S2390" i="1"/>
  <c r="T2390" i="1"/>
  <c r="U2390" i="1"/>
  <c r="B2389" i="1"/>
  <c r="C2389" i="1"/>
  <c r="D2389" i="1"/>
  <c r="E2389" i="1"/>
  <c r="F2389" i="1"/>
  <c r="G2389" i="1"/>
  <c r="H2389" i="1"/>
  <c r="I2389" i="1"/>
  <c r="J2389" i="1"/>
  <c r="M2389" i="1"/>
  <c r="N2389" i="1"/>
  <c r="O2389" i="1"/>
  <c r="P2389" i="1"/>
  <c r="R2389" i="1"/>
  <c r="S2389" i="1"/>
  <c r="T2389" i="1"/>
  <c r="U2389" i="1"/>
  <c r="B2388" i="1"/>
  <c r="C2388" i="1"/>
  <c r="D2388" i="1"/>
  <c r="E2388" i="1"/>
  <c r="F2388" i="1"/>
  <c r="G2388" i="1"/>
  <c r="H2388" i="1"/>
  <c r="I2388" i="1"/>
  <c r="J2388" i="1"/>
  <c r="M2388" i="1"/>
  <c r="N2388" i="1"/>
  <c r="O2388" i="1"/>
  <c r="P2388" i="1"/>
  <c r="R2388" i="1"/>
  <c r="S2388" i="1"/>
  <c r="T2388" i="1"/>
  <c r="U2388" i="1"/>
  <c r="B2387" i="1"/>
  <c r="C2387" i="1"/>
  <c r="D2387" i="1"/>
  <c r="E2387" i="1"/>
  <c r="F2387" i="1"/>
  <c r="G2387" i="1"/>
  <c r="H2387" i="1"/>
  <c r="I2387" i="1"/>
  <c r="J2387" i="1"/>
  <c r="M2387" i="1"/>
  <c r="N2387" i="1"/>
  <c r="O2387" i="1"/>
  <c r="P2387" i="1"/>
  <c r="R2387" i="1"/>
  <c r="S2387" i="1"/>
  <c r="T2387" i="1"/>
  <c r="U2387" i="1"/>
  <c r="B2386" i="1"/>
  <c r="C2386" i="1"/>
  <c r="D2386" i="1"/>
  <c r="E2386" i="1"/>
  <c r="F2386" i="1"/>
  <c r="G2386" i="1"/>
  <c r="H2386" i="1"/>
  <c r="I2386" i="1"/>
  <c r="J2386" i="1"/>
  <c r="M2386" i="1"/>
  <c r="N2386" i="1"/>
  <c r="O2386" i="1"/>
  <c r="P2386" i="1"/>
  <c r="R2386" i="1"/>
  <c r="S2386" i="1"/>
  <c r="T2386" i="1"/>
  <c r="U2386" i="1"/>
  <c r="B2385" i="1"/>
  <c r="C2385" i="1"/>
  <c r="D2385" i="1"/>
  <c r="E2385" i="1"/>
  <c r="F2385" i="1"/>
  <c r="G2385" i="1"/>
  <c r="H2385" i="1"/>
  <c r="I2385" i="1"/>
  <c r="J2385" i="1"/>
  <c r="M2385" i="1"/>
  <c r="N2385" i="1"/>
  <c r="O2385" i="1"/>
  <c r="P2385" i="1"/>
  <c r="R2385" i="1"/>
  <c r="S2385" i="1"/>
  <c r="T2385" i="1"/>
  <c r="U2385" i="1"/>
  <c r="B2384" i="1"/>
  <c r="C2384" i="1"/>
  <c r="D2384" i="1"/>
  <c r="E2384" i="1"/>
  <c r="F2384" i="1"/>
  <c r="G2384" i="1"/>
  <c r="H2384" i="1"/>
  <c r="I2384" i="1"/>
  <c r="J2384" i="1"/>
  <c r="M2384" i="1"/>
  <c r="N2384" i="1"/>
  <c r="O2384" i="1"/>
  <c r="P2384" i="1"/>
  <c r="R2384" i="1"/>
  <c r="S2384" i="1"/>
  <c r="T2384" i="1"/>
  <c r="U2384" i="1"/>
  <c r="B2383" i="1"/>
  <c r="C2383" i="1"/>
  <c r="D2383" i="1"/>
  <c r="E2383" i="1"/>
  <c r="F2383" i="1"/>
  <c r="G2383" i="1"/>
  <c r="H2383" i="1"/>
  <c r="I2383" i="1"/>
  <c r="J2383" i="1"/>
  <c r="M2383" i="1"/>
  <c r="N2383" i="1"/>
  <c r="O2383" i="1"/>
  <c r="P2383" i="1"/>
  <c r="R2383" i="1"/>
  <c r="S2383" i="1"/>
  <c r="T2383" i="1"/>
  <c r="U2383" i="1"/>
  <c r="B2382" i="1"/>
  <c r="C2382" i="1"/>
  <c r="D2382" i="1"/>
  <c r="E2382" i="1"/>
  <c r="F2382" i="1"/>
  <c r="G2382" i="1"/>
  <c r="H2382" i="1"/>
  <c r="I2382" i="1"/>
  <c r="J2382" i="1"/>
  <c r="M2382" i="1"/>
  <c r="N2382" i="1"/>
  <c r="O2382" i="1"/>
  <c r="P2382" i="1"/>
  <c r="R2382" i="1"/>
  <c r="S2382" i="1"/>
  <c r="T2382" i="1"/>
  <c r="U2382" i="1"/>
  <c r="B2381" i="1"/>
  <c r="C2381" i="1"/>
  <c r="D2381" i="1"/>
  <c r="E2381" i="1"/>
  <c r="F2381" i="1"/>
  <c r="G2381" i="1"/>
  <c r="H2381" i="1"/>
  <c r="I2381" i="1"/>
  <c r="J2381" i="1"/>
  <c r="M2381" i="1"/>
  <c r="N2381" i="1"/>
  <c r="O2381" i="1"/>
  <c r="P2381" i="1"/>
  <c r="R2381" i="1"/>
  <c r="S2381" i="1"/>
  <c r="T2381" i="1"/>
  <c r="U2381" i="1"/>
  <c r="B2380" i="1"/>
  <c r="C2380" i="1"/>
  <c r="D2380" i="1"/>
  <c r="E2380" i="1"/>
  <c r="F2380" i="1"/>
  <c r="G2380" i="1"/>
  <c r="H2380" i="1"/>
  <c r="I2380" i="1"/>
  <c r="J2380" i="1"/>
  <c r="M2380" i="1"/>
  <c r="N2380" i="1"/>
  <c r="O2380" i="1"/>
  <c r="P2380" i="1"/>
  <c r="R2380" i="1"/>
  <c r="S2380" i="1"/>
  <c r="T2380" i="1"/>
  <c r="U2380" i="1"/>
  <c r="B2379" i="1"/>
  <c r="C2379" i="1"/>
  <c r="D2379" i="1"/>
  <c r="E2379" i="1"/>
  <c r="F2379" i="1"/>
  <c r="G2379" i="1"/>
  <c r="H2379" i="1"/>
  <c r="I2379" i="1"/>
  <c r="J2379" i="1"/>
  <c r="M2379" i="1"/>
  <c r="N2379" i="1"/>
  <c r="O2379" i="1"/>
  <c r="P2379" i="1"/>
  <c r="R2379" i="1"/>
  <c r="S2379" i="1"/>
  <c r="T2379" i="1"/>
  <c r="U2379" i="1"/>
  <c r="B2378" i="1"/>
  <c r="C2378" i="1"/>
  <c r="D2378" i="1"/>
  <c r="E2378" i="1"/>
  <c r="F2378" i="1"/>
  <c r="G2378" i="1"/>
  <c r="H2378" i="1"/>
  <c r="I2378" i="1"/>
  <c r="J2378" i="1"/>
  <c r="M2378" i="1"/>
  <c r="N2378" i="1"/>
  <c r="O2378" i="1"/>
  <c r="P2378" i="1"/>
  <c r="R2378" i="1"/>
  <c r="S2378" i="1"/>
  <c r="T2378" i="1"/>
  <c r="U2378" i="1"/>
  <c r="B2377" i="1"/>
  <c r="C2377" i="1"/>
  <c r="D2377" i="1"/>
  <c r="E2377" i="1"/>
  <c r="F2377" i="1"/>
  <c r="G2377" i="1"/>
  <c r="H2377" i="1"/>
  <c r="I2377" i="1"/>
  <c r="J2377" i="1"/>
  <c r="M2377" i="1"/>
  <c r="N2377" i="1"/>
  <c r="O2377" i="1"/>
  <c r="P2377" i="1"/>
  <c r="R2377" i="1"/>
  <c r="S2377" i="1"/>
  <c r="T2377" i="1"/>
  <c r="U2377" i="1"/>
  <c r="B2376" i="1"/>
  <c r="C2376" i="1"/>
  <c r="D2376" i="1"/>
  <c r="E2376" i="1"/>
  <c r="F2376" i="1"/>
  <c r="G2376" i="1"/>
  <c r="H2376" i="1"/>
  <c r="I2376" i="1"/>
  <c r="J2376" i="1"/>
  <c r="M2376" i="1"/>
  <c r="N2376" i="1"/>
  <c r="O2376" i="1"/>
  <c r="P2376" i="1"/>
  <c r="R2376" i="1"/>
  <c r="S2376" i="1"/>
  <c r="T2376" i="1"/>
  <c r="U2376" i="1"/>
  <c r="B2375" i="1"/>
  <c r="C2375" i="1"/>
  <c r="D2375" i="1"/>
  <c r="E2375" i="1"/>
  <c r="F2375" i="1"/>
  <c r="G2375" i="1"/>
  <c r="H2375" i="1"/>
  <c r="I2375" i="1"/>
  <c r="J2375" i="1"/>
  <c r="M2375" i="1"/>
  <c r="N2375" i="1"/>
  <c r="O2375" i="1"/>
  <c r="P2375" i="1"/>
  <c r="R2375" i="1"/>
  <c r="S2375" i="1"/>
  <c r="T2375" i="1"/>
  <c r="U2375" i="1"/>
  <c r="B2374" i="1"/>
  <c r="C2374" i="1"/>
  <c r="D2374" i="1"/>
  <c r="E2374" i="1"/>
  <c r="F2374" i="1"/>
  <c r="G2374" i="1"/>
  <c r="H2374" i="1"/>
  <c r="I2374" i="1"/>
  <c r="J2374" i="1"/>
  <c r="M2374" i="1"/>
  <c r="N2374" i="1"/>
  <c r="O2374" i="1"/>
  <c r="P2374" i="1"/>
  <c r="R2374" i="1"/>
  <c r="S2374" i="1"/>
  <c r="T2374" i="1"/>
  <c r="U2374" i="1"/>
  <c r="B2373" i="1"/>
  <c r="C2373" i="1"/>
  <c r="D2373" i="1"/>
  <c r="E2373" i="1"/>
  <c r="F2373" i="1"/>
  <c r="G2373" i="1"/>
  <c r="H2373" i="1"/>
  <c r="I2373" i="1"/>
  <c r="J2373" i="1"/>
  <c r="M2373" i="1"/>
  <c r="N2373" i="1"/>
  <c r="O2373" i="1"/>
  <c r="P2373" i="1"/>
  <c r="R2373" i="1"/>
  <c r="S2373" i="1"/>
  <c r="T2373" i="1"/>
  <c r="U2373" i="1"/>
  <c r="B2372" i="1"/>
  <c r="C2372" i="1"/>
  <c r="D2372" i="1"/>
  <c r="E2372" i="1"/>
  <c r="F2372" i="1"/>
  <c r="G2372" i="1"/>
  <c r="H2372" i="1"/>
  <c r="I2372" i="1"/>
  <c r="J2372" i="1"/>
  <c r="M2372" i="1"/>
  <c r="N2372" i="1"/>
  <c r="O2372" i="1"/>
  <c r="P2372" i="1"/>
  <c r="R2372" i="1"/>
  <c r="S2372" i="1"/>
  <c r="T2372" i="1"/>
  <c r="U2372" i="1"/>
  <c r="B2371" i="1"/>
  <c r="C2371" i="1"/>
  <c r="D2371" i="1"/>
  <c r="E2371" i="1"/>
  <c r="F2371" i="1"/>
  <c r="G2371" i="1"/>
  <c r="H2371" i="1"/>
  <c r="I2371" i="1"/>
  <c r="J2371" i="1"/>
  <c r="M2371" i="1"/>
  <c r="N2371" i="1"/>
  <c r="O2371" i="1"/>
  <c r="P2371" i="1"/>
  <c r="R2371" i="1"/>
  <c r="S2371" i="1"/>
  <c r="T2371" i="1"/>
  <c r="U2371" i="1"/>
  <c r="B2370" i="1"/>
  <c r="C2370" i="1"/>
  <c r="D2370" i="1"/>
  <c r="E2370" i="1"/>
  <c r="F2370" i="1"/>
  <c r="G2370" i="1"/>
  <c r="H2370" i="1"/>
  <c r="I2370" i="1"/>
  <c r="J2370" i="1"/>
  <c r="M2370" i="1"/>
  <c r="N2370" i="1"/>
  <c r="O2370" i="1"/>
  <c r="P2370" i="1"/>
  <c r="R2370" i="1"/>
  <c r="S2370" i="1"/>
  <c r="T2370" i="1"/>
  <c r="U2370" i="1"/>
  <c r="B2369" i="1"/>
  <c r="C2369" i="1"/>
  <c r="D2369" i="1"/>
  <c r="E2369" i="1"/>
  <c r="F2369" i="1"/>
  <c r="G2369" i="1"/>
  <c r="H2369" i="1"/>
  <c r="I2369" i="1"/>
  <c r="J2369" i="1"/>
  <c r="M2369" i="1"/>
  <c r="N2369" i="1"/>
  <c r="O2369" i="1"/>
  <c r="P2369" i="1"/>
  <c r="R2369" i="1"/>
  <c r="S2369" i="1"/>
  <c r="T2369" i="1"/>
  <c r="U2369" i="1"/>
  <c r="B2368" i="1"/>
  <c r="C2368" i="1"/>
  <c r="D2368" i="1"/>
  <c r="E2368" i="1"/>
  <c r="F2368" i="1"/>
  <c r="G2368" i="1"/>
  <c r="H2368" i="1"/>
  <c r="I2368" i="1"/>
  <c r="J2368" i="1"/>
  <c r="M2368" i="1"/>
  <c r="N2368" i="1"/>
  <c r="O2368" i="1"/>
  <c r="P2368" i="1"/>
  <c r="R2368" i="1"/>
  <c r="S2368" i="1"/>
  <c r="T2368" i="1"/>
  <c r="U2368" i="1"/>
  <c r="B2367" i="1"/>
  <c r="C2367" i="1"/>
  <c r="D2367" i="1"/>
  <c r="E2367" i="1"/>
  <c r="F2367" i="1"/>
  <c r="G2367" i="1"/>
  <c r="H2367" i="1"/>
  <c r="I2367" i="1"/>
  <c r="J2367" i="1"/>
  <c r="M2367" i="1"/>
  <c r="N2367" i="1"/>
  <c r="O2367" i="1"/>
  <c r="P2367" i="1"/>
  <c r="R2367" i="1"/>
  <c r="S2367" i="1"/>
  <c r="T2367" i="1"/>
  <c r="U2367" i="1"/>
  <c r="B2366" i="1"/>
  <c r="C2366" i="1"/>
  <c r="D2366" i="1"/>
  <c r="E2366" i="1"/>
  <c r="F2366" i="1"/>
  <c r="G2366" i="1"/>
  <c r="H2366" i="1"/>
  <c r="I2366" i="1"/>
  <c r="J2366" i="1"/>
  <c r="M2366" i="1"/>
  <c r="N2366" i="1"/>
  <c r="O2366" i="1"/>
  <c r="P2366" i="1"/>
  <c r="R2366" i="1"/>
  <c r="S2366" i="1"/>
  <c r="T2366" i="1"/>
  <c r="U2366" i="1"/>
  <c r="B2365" i="1"/>
  <c r="C2365" i="1"/>
  <c r="D2365" i="1"/>
  <c r="E2365" i="1"/>
  <c r="F2365" i="1"/>
  <c r="G2365" i="1"/>
  <c r="H2365" i="1"/>
  <c r="I2365" i="1"/>
  <c r="J2365" i="1"/>
  <c r="M2365" i="1"/>
  <c r="N2365" i="1"/>
  <c r="O2365" i="1"/>
  <c r="P2365" i="1"/>
  <c r="R2365" i="1"/>
  <c r="S2365" i="1"/>
  <c r="T2365" i="1"/>
  <c r="U2365" i="1"/>
  <c r="B2364" i="1"/>
  <c r="C2364" i="1"/>
  <c r="D2364" i="1"/>
  <c r="E2364" i="1"/>
  <c r="F2364" i="1"/>
  <c r="G2364" i="1"/>
  <c r="H2364" i="1"/>
  <c r="I2364" i="1"/>
  <c r="J2364" i="1"/>
  <c r="M2364" i="1"/>
  <c r="N2364" i="1"/>
  <c r="O2364" i="1"/>
  <c r="P2364" i="1"/>
  <c r="R2364" i="1"/>
  <c r="S2364" i="1"/>
  <c r="T2364" i="1"/>
  <c r="U2364" i="1"/>
  <c r="B2363" i="1"/>
  <c r="C2363" i="1"/>
  <c r="D2363" i="1"/>
  <c r="E2363" i="1"/>
  <c r="F2363" i="1"/>
  <c r="G2363" i="1"/>
  <c r="H2363" i="1"/>
  <c r="I2363" i="1"/>
  <c r="J2363" i="1"/>
  <c r="M2363" i="1"/>
  <c r="N2363" i="1"/>
  <c r="O2363" i="1"/>
  <c r="P2363" i="1"/>
  <c r="R2363" i="1"/>
  <c r="S2363" i="1"/>
  <c r="T2363" i="1"/>
  <c r="U2363" i="1"/>
  <c r="B2362" i="1"/>
  <c r="C2362" i="1"/>
  <c r="D2362" i="1"/>
  <c r="E2362" i="1"/>
  <c r="F2362" i="1"/>
  <c r="G2362" i="1"/>
  <c r="H2362" i="1"/>
  <c r="I2362" i="1"/>
  <c r="J2362" i="1"/>
  <c r="M2362" i="1"/>
  <c r="N2362" i="1"/>
  <c r="O2362" i="1"/>
  <c r="P2362" i="1"/>
  <c r="R2362" i="1"/>
  <c r="S2362" i="1"/>
  <c r="T2362" i="1"/>
  <c r="U2362" i="1"/>
  <c r="B2361" i="1"/>
  <c r="C2361" i="1"/>
  <c r="D2361" i="1"/>
  <c r="E2361" i="1"/>
  <c r="F2361" i="1"/>
  <c r="G2361" i="1"/>
  <c r="H2361" i="1"/>
  <c r="I2361" i="1"/>
  <c r="J2361" i="1"/>
  <c r="M2361" i="1"/>
  <c r="N2361" i="1"/>
  <c r="O2361" i="1"/>
  <c r="P2361" i="1"/>
  <c r="R2361" i="1"/>
  <c r="S2361" i="1"/>
  <c r="T2361" i="1"/>
  <c r="U2361" i="1"/>
  <c r="B2360" i="1"/>
  <c r="C2360" i="1"/>
  <c r="D2360" i="1"/>
  <c r="E2360" i="1"/>
  <c r="F2360" i="1"/>
  <c r="G2360" i="1"/>
  <c r="H2360" i="1"/>
  <c r="I2360" i="1"/>
  <c r="J2360" i="1"/>
  <c r="M2360" i="1"/>
  <c r="N2360" i="1"/>
  <c r="O2360" i="1"/>
  <c r="P2360" i="1"/>
  <c r="R2360" i="1"/>
  <c r="S2360" i="1"/>
  <c r="T2360" i="1"/>
  <c r="U2360" i="1"/>
  <c r="B2359" i="1"/>
  <c r="C2359" i="1"/>
  <c r="D2359" i="1"/>
  <c r="E2359" i="1"/>
  <c r="F2359" i="1"/>
  <c r="G2359" i="1"/>
  <c r="H2359" i="1"/>
  <c r="I2359" i="1"/>
  <c r="J2359" i="1"/>
  <c r="M2359" i="1"/>
  <c r="N2359" i="1"/>
  <c r="O2359" i="1"/>
  <c r="P2359" i="1"/>
  <c r="R2359" i="1"/>
  <c r="S2359" i="1"/>
  <c r="T2359" i="1"/>
  <c r="U2359" i="1"/>
  <c r="C2559" i="1"/>
  <c r="D2559" i="1"/>
  <c r="E2559" i="1"/>
  <c r="F2559" i="1"/>
  <c r="G2559" i="1"/>
  <c r="H2559" i="1"/>
  <c r="I2559" i="1"/>
  <c r="J2559" i="1"/>
  <c r="K2559" i="1"/>
  <c r="L2559" i="1"/>
  <c r="M2559" i="1"/>
  <c r="N2559" i="1"/>
  <c r="O2559" i="1"/>
  <c r="P2559" i="1"/>
  <c r="R2559" i="1"/>
  <c r="S2559" i="1"/>
  <c r="T2559" i="1"/>
  <c r="U2559" i="1"/>
  <c r="C2558" i="1"/>
  <c r="D2558" i="1"/>
  <c r="E2558" i="1"/>
  <c r="F2558" i="1"/>
  <c r="G2558" i="1"/>
  <c r="H2558" i="1"/>
  <c r="I2558" i="1"/>
  <c r="J2558" i="1"/>
  <c r="K2558" i="1"/>
  <c r="L2558" i="1"/>
  <c r="M2558" i="1"/>
  <c r="N2558" i="1"/>
  <c r="O2558" i="1"/>
  <c r="P2558" i="1"/>
  <c r="R2558" i="1"/>
  <c r="S2558" i="1"/>
  <c r="T2558" i="1"/>
  <c r="U2558" i="1"/>
  <c r="B2557" i="1"/>
  <c r="C2557" i="1"/>
  <c r="D2557" i="1"/>
  <c r="E2557" i="1"/>
  <c r="F2557" i="1"/>
  <c r="G2557" i="1"/>
  <c r="H2557" i="1"/>
  <c r="I2557" i="1"/>
  <c r="J2557" i="1"/>
  <c r="K2557" i="1"/>
  <c r="L2557" i="1"/>
  <c r="M2557" i="1"/>
  <c r="N2557" i="1"/>
  <c r="O2557" i="1"/>
  <c r="P2557" i="1"/>
  <c r="R2557" i="1"/>
  <c r="S2557" i="1"/>
  <c r="T2557" i="1"/>
  <c r="U2557" i="1"/>
  <c r="C2556" i="1"/>
  <c r="D2556" i="1"/>
  <c r="E2556" i="1"/>
  <c r="F2556" i="1"/>
  <c r="G2556" i="1"/>
  <c r="H2556" i="1"/>
  <c r="I2556" i="1"/>
  <c r="J2556" i="1"/>
  <c r="K2556" i="1"/>
  <c r="L2556" i="1"/>
  <c r="M2556" i="1"/>
  <c r="N2556" i="1"/>
  <c r="O2556" i="1"/>
  <c r="P2556" i="1"/>
  <c r="R2556" i="1"/>
  <c r="S2556" i="1"/>
  <c r="T2556" i="1"/>
  <c r="U2556" i="1"/>
  <c r="C2555" i="1"/>
  <c r="D2555" i="1"/>
  <c r="E2555" i="1"/>
  <c r="F2555" i="1"/>
  <c r="G2555" i="1"/>
  <c r="H2555" i="1"/>
  <c r="I2555" i="1"/>
  <c r="J2555" i="1"/>
  <c r="K2555" i="1"/>
  <c r="L2555" i="1"/>
  <c r="M2555" i="1"/>
  <c r="N2555" i="1"/>
  <c r="O2555" i="1"/>
  <c r="P2555" i="1"/>
  <c r="R2555" i="1"/>
  <c r="S2555" i="1"/>
  <c r="T2555" i="1"/>
  <c r="U2555" i="1"/>
  <c r="C2554" i="1"/>
  <c r="D2554" i="1"/>
  <c r="E2554" i="1"/>
  <c r="F2554" i="1"/>
  <c r="G2554" i="1"/>
  <c r="H2554" i="1"/>
  <c r="I2554" i="1"/>
  <c r="J2554" i="1"/>
  <c r="K2554" i="1"/>
  <c r="L2554" i="1"/>
  <c r="M2554" i="1"/>
  <c r="N2554" i="1"/>
  <c r="O2554" i="1"/>
  <c r="P2554" i="1"/>
  <c r="R2554" i="1"/>
  <c r="S2554" i="1"/>
  <c r="T2554" i="1"/>
  <c r="U2554" i="1"/>
  <c r="C2553" i="1"/>
  <c r="D2553" i="1"/>
  <c r="E2553" i="1"/>
  <c r="F2553" i="1"/>
  <c r="G2553" i="1"/>
  <c r="H2553" i="1"/>
  <c r="I2553" i="1"/>
  <c r="J2553" i="1"/>
  <c r="K2553" i="1"/>
  <c r="L2553" i="1"/>
  <c r="M2553" i="1"/>
  <c r="N2553" i="1"/>
  <c r="O2553" i="1"/>
  <c r="P2553" i="1"/>
  <c r="R2553" i="1"/>
  <c r="S2553" i="1"/>
  <c r="T2553" i="1"/>
  <c r="U2553" i="1"/>
  <c r="C2552" i="1"/>
  <c r="D2552" i="1"/>
  <c r="E2552" i="1"/>
  <c r="F2552" i="1"/>
  <c r="G2552" i="1"/>
  <c r="H2552" i="1"/>
  <c r="I2552" i="1"/>
  <c r="J2552" i="1"/>
  <c r="K2552" i="1"/>
  <c r="L2552" i="1"/>
  <c r="M2552" i="1"/>
  <c r="N2552" i="1"/>
  <c r="O2552" i="1"/>
  <c r="P2552" i="1"/>
  <c r="R2552" i="1"/>
  <c r="S2552" i="1"/>
  <c r="T2552" i="1"/>
  <c r="U2552" i="1"/>
  <c r="B2551" i="1"/>
  <c r="C2551" i="1"/>
  <c r="D2551" i="1"/>
  <c r="E2551" i="1"/>
  <c r="F2551" i="1"/>
  <c r="G2551" i="1"/>
  <c r="H2551" i="1"/>
  <c r="I2551" i="1"/>
  <c r="J2551" i="1"/>
  <c r="K2551" i="1"/>
  <c r="L2551" i="1"/>
  <c r="M2551" i="1"/>
  <c r="N2551" i="1"/>
  <c r="O2551" i="1"/>
  <c r="P2551" i="1"/>
  <c r="R2551" i="1"/>
  <c r="S2551" i="1"/>
  <c r="T2551" i="1"/>
  <c r="U2551" i="1"/>
  <c r="C2550" i="1"/>
  <c r="D2550" i="1"/>
  <c r="E2550" i="1"/>
  <c r="F2550" i="1"/>
  <c r="G2550" i="1"/>
  <c r="H2550" i="1"/>
  <c r="I2550" i="1"/>
  <c r="J2550" i="1"/>
  <c r="K2550" i="1"/>
  <c r="L2550" i="1"/>
  <c r="M2550" i="1"/>
  <c r="N2550" i="1"/>
  <c r="O2550" i="1"/>
  <c r="P2550" i="1"/>
  <c r="R2550" i="1"/>
  <c r="S2550" i="1"/>
  <c r="T2550" i="1"/>
  <c r="U2550" i="1"/>
  <c r="C2549" i="1"/>
  <c r="D2549" i="1"/>
  <c r="E2549" i="1"/>
  <c r="F2549" i="1"/>
  <c r="G2549" i="1"/>
  <c r="H2549" i="1"/>
  <c r="I2549" i="1"/>
  <c r="J2549" i="1"/>
  <c r="K2549" i="1"/>
  <c r="L2549" i="1"/>
  <c r="M2549" i="1"/>
  <c r="N2549" i="1"/>
  <c r="O2549" i="1"/>
  <c r="P2549" i="1"/>
  <c r="R2549" i="1"/>
  <c r="S2549" i="1"/>
  <c r="T2549" i="1"/>
  <c r="U2549" i="1"/>
  <c r="C2548" i="1"/>
  <c r="D2548" i="1"/>
  <c r="E2548" i="1"/>
  <c r="F2548" i="1"/>
  <c r="G2548" i="1"/>
  <c r="H2548" i="1"/>
  <c r="I2548" i="1"/>
  <c r="J2548" i="1"/>
  <c r="K2548" i="1"/>
  <c r="L2548" i="1"/>
  <c r="M2548" i="1"/>
  <c r="N2548" i="1"/>
  <c r="O2548" i="1"/>
  <c r="P2548" i="1"/>
  <c r="R2548" i="1"/>
  <c r="S2548" i="1"/>
  <c r="T2548" i="1"/>
  <c r="U2548" i="1"/>
  <c r="C2547" i="1"/>
  <c r="D2547" i="1"/>
  <c r="E2547" i="1"/>
  <c r="F2547" i="1"/>
  <c r="G2547" i="1"/>
  <c r="H2547" i="1"/>
  <c r="I2547" i="1"/>
  <c r="J2547" i="1"/>
  <c r="K2547" i="1"/>
  <c r="L2547" i="1"/>
  <c r="M2547" i="1"/>
  <c r="N2547" i="1"/>
  <c r="O2547" i="1"/>
  <c r="P2547" i="1"/>
  <c r="R2547" i="1"/>
  <c r="S2547" i="1"/>
  <c r="T2547" i="1"/>
  <c r="U2547" i="1"/>
  <c r="C2546" i="1"/>
  <c r="D2546" i="1"/>
  <c r="E2546" i="1"/>
  <c r="F2546" i="1"/>
  <c r="G2546" i="1"/>
  <c r="H2546" i="1"/>
  <c r="I2546" i="1"/>
  <c r="J2546" i="1"/>
  <c r="K2546" i="1"/>
  <c r="L2546" i="1"/>
  <c r="M2546" i="1"/>
  <c r="N2546" i="1"/>
  <c r="O2546" i="1"/>
  <c r="P2546" i="1"/>
  <c r="R2546" i="1"/>
  <c r="S2546" i="1"/>
  <c r="T2546" i="1"/>
  <c r="U2546" i="1"/>
  <c r="B2545" i="1"/>
  <c r="C2545" i="1"/>
  <c r="D2545" i="1"/>
  <c r="E2545" i="1"/>
  <c r="F2545" i="1"/>
  <c r="G2545" i="1"/>
  <c r="H2545" i="1"/>
  <c r="I2545" i="1"/>
  <c r="J2545" i="1"/>
  <c r="K2545" i="1"/>
  <c r="L2545" i="1"/>
  <c r="M2545" i="1"/>
  <c r="N2545" i="1"/>
  <c r="O2545" i="1"/>
  <c r="P2545" i="1"/>
  <c r="R2545" i="1"/>
  <c r="S2545" i="1"/>
  <c r="T2545" i="1"/>
  <c r="U2545" i="1"/>
  <c r="C2544" i="1"/>
  <c r="D2544" i="1"/>
  <c r="E2544" i="1"/>
  <c r="F2544" i="1"/>
  <c r="G2544" i="1"/>
  <c r="H2544" i="1"/>
  <c r="I2544" i="1"/>
  <c r="J2544" i="1"/>
  <c r="K2544" i="1"/>
  <c r="L2544" i="1"/>
  <c r="M2544" i="1"/>
  <c r="N2544" i="1"/>
  <c r="O2544" i="1"/>
  <c r="P2544" i="1"/>
  <c r="R2544" i="1"/>
  <c r="S2544" i="1"/>
  <c r="T2544" i="1"/>
  <c r="U2544" i="1"/>
  <c r="C2543" i="1"/>
  <c r="D2543" i="1"/>
  <c r="E2543" i="1"/>
  <c r="F2543" i="1"/>
  <c r="G2543" i="1"/>
  <c r="H2543" i="1"/>
  <c r="I2543" i="1"/>
  <c r="J2543" i="1"/>
  <c r="K2543" i="1"/>
  <c r="L2543" i="1"/>
  <c r="M2543" i="1"/>
  <c r="N2543" i="1"/>
  <c r="O2543" i="1"/>
  <c r="P2543" i="1"/>
  <c r="R2543" i="1"/>
  <c r="S2543" i="1"/>
  <c r="T2543" i="1"/>
  <c r="U2543" i="1"/>
  <c r="C2542" i="1"/>
  <c r="D2542" i="1"/>
  <c r="E2542" i="1"/>
  <c r="F2542" i="1"/>
  <c r="G2542" i="1"/>
  <c r="H2542" i="1"/>
  <c r="I2542" i="1"/>
  <c r="J2542" i="1"/>
  <c r="K2542" i="1"/>
  <c r="L2542" i="1"/>
  <c r="M2542" i="1"/>
  <c r="N2542" i="1"/>
  <c r="O2542" i="1"/>
  <c r="P2542" i="1"/>
  <c r="R2542" i="1"/>
  <c r="S2542" i="1"/>
  <c r="T2542" i="1"/>
  <c r="U2542" i="1"/>
  <c r="C2541" i="1"/>
  <c r="D2541" i="1"/>
  <c r="E2541" i="1"/>
  <c r="F2541" i="1"/>
  <c r="G2541" i="1"/>
  <c r="H2541" i="1"/>
  <c r="I2541" i="1"/>
  <c r="J2541" i="1"/>
  <c r="K2541" i="1"/>
  <c r="L2541" i="1"/>
  <c r="M2541" i="1"/>
  <c r="N2541" i="1"/>
  <c r="O2541" i="1"/>
  <c r="P2541" i="1"/>
  <c r="R2541" i="1"/>
  <c r="S2541" i="1"/>
  <c r="T2541" i="1"/>
  <c r="U2541" i="1"/>
  <c r="C2540" i="1"/>
  <c r="D2540" i="1"/>
  <c r="E2540" i="1"/>
  <c r="F2540" i="1"/>
  <c r="G2540" i="1"/>
  <c r="H2540" i="1"/>
  <c r="I2540" i="1"/>
  <c r="J2540" i="1"/>
  <c r="K2540" i="1"/>
  <c r="L2540" i="1"/>
  <c r="M2540" i="1"/>
  <c r="N2540" i="1"/>
  <c r="O2540" i="1"/>
  <c r="P2540" i="1"/>
  <c r="R2540" i="1"/>
  <c r="S2540" i="1"/>
  <c r="T2540" i="1"/>
  <c r="U2540" i="1"/>
  <c r="C2539" i="1"/>
  <c r="D2539" i="1"/>
  <c r="E2539" i="1"/>
  <c r="F2539" i="1"/>
  <c r="G2539" i="1"/>
  <c r="H2539" i="1"/>
  <c r="I2539" i="1"/>
  <c r="J2539" i="1"/>
  <c r="K2539" i="1"/>
  <c r="L2539" i="1"/>
  <c r="M2539" i="1"/>
  <c r="N2539" i="1"/>
  <c r="O2539" i="1"/>
  <c r="P2539" i="1"/>
  <c r="R2539" i="1"/>
  <c r="S2539" i="1"/>
  <c r="T2539" i="1"/>
  <c r="U2539" i="1"/>
  <c r="B2538" i="1"/>
  <c r="C2538" i="1"/>
  <c r="D2538" i="1"/>
  <c r="E2538" i="1"/>
  <c r="F2538" i="1"/>
  <c r="G2538" i="1"/>
  <c r="H2538" i="1"/>
  <c r="I2538" i="1"/>
  <c r="J2538" i="1"/>
  <c r="K2538" i="1"/>
  <c r="L2538" i="1"/>
  <c r="M2538" i="1"/>
  <c r="N2538" i="1"/>
  <c r="O2538" i="1"/>
  <c r="P2538" i="1"/>
  <c r="R2538" i="1"/>
  <c r="S2538" i="1"/>
  <c r="T2538" i="1"/>
  <c r="U2538" i="1"/>
  <c r="C2537" i="1"/>
  <c r="D2537" i="1"/>
  <c r="E2537" i="1"/>
  <c r="F2537" i="1"/>
  <c r="G2537" i="1"/>
  <c r="H2537" i="1"/>
  <c r="I2537" i="1"/>
  <c r="J2537" i="1"/>
  <c r="K2537" i="1"/>
  <c r="L2537" i="1"/>
  <c r="M2537" i="1"/>
  <c r="N2537" i="1"/>
  <c r="O2537" i="1"/>
  <c r="P2537" i="1"/>
  <c r="R2537" i="1"/>
  <c r="S2537" i="1"/>
  <c r="T2537" i="1"/>
  <c r="U2537" i="1"/>
  <c r="C2536" i="1"/>
  <c r="D2536" i="1"/>
  <c r="E2536" i="1"/>
  <c r="F2536" i="1"/>
  <c r="G2536" i="1"/>
  <c r="H2536" i="1"/>
  <c r="I2536" i="1"/>
  <c r="J2536" i="1"/>
  <c r="K2536" i="1"/>
  <c r="L2536" i="1"/>
  <c r="M2536" i="1"/>
  <c r="N2536" i="1"/>
  <c r="O2536" i="1"/>
  <c r="P2536" i="1"/>
  <c r="R2536" i="1"/>
  <c r="S2536" i="1"/>
  <c r="T2536" i="1"/>
  <c r="U2536" i="1"/>
  <c r="C2535" i="1"/>
  <c r="D2535" i="1"/>
  <c r="E2535" i="1"/>
  <c r="F2535" i="1"/>
  <c r="G2535" i="1"/>
  <c r="H2535" i="1"/>
  <c r="I2535" i="1"/>
  <c r="J2535" i="1"/>
  <c r="K2535" i="1"/>
  <c r="L2535" i="1"/>
  <c r="M2535" i="1"/>
  <c r="N2535" i="1"/>
  <c r="O2535" i="1"/>
  <c r="P2535" i="1"/>
  <c r="R2535" i="1"/>
  <c r="S2535" i="1"/>
  <c r="T2535" i="1"/>
  <c r="U2535" i="1"/>
  <c r="C2534" i="1"/>
  <c r="D2534" i="1"/>
  <c r="E2534" i="1"/>
  <c r="F2534" i="1"/>
  <c r="G2534" i="1"/>
  <c r="H2534" i="1"/>
  <c r="I2534" i="1"/>
  <c r="J2534" i="1"/>
  <c r="K2534" i="1"/>
  <c r="L2534" i="1"/>
  <c r="M2534" i="1"/>
  <c r="N2534" i="1"/>
  <c r="O2534" i="1"/>
  <c r="P2534" i="1"/>
  <c r="R2534" i="1"/>
  <c r="S2534" i="1"/>
  <c r="T2534" i="1"/>
  <c r="U2534" i="1"/>
  <c r="C2533" i="1"/>
  <c r="D2533" i="1"/>
  <c r="E2533" i="1"/>
  <c r="F2533" i="1"/>
  <c r="G2533" i="1"/>
  <c r="H2533" i="1"/>
  <c r="I2533" i="1"/>
  <c r="J2533" i="1"/>
  <c r="K2533" i="1"/>
  <c r="L2533" i="1"/>
  <c r="M2533" i="1"/>
  <c r="N2533" i="1"/>
  <c r="O2533" i="1"/>
  <c r="P2533" i="1"/>
  <c r="R2533" i="1"/>
  <c r="S2533" i="1"/>
  <c r="T2533" i="1"/>
  <c r="U2533" i="1"/>
  <c r="C2532" i="1"/>
  <c r="D2532" i="1"/>
  <c r="E2532" i="1"/>
  <c r="F2532" i="1"/>
  <c r="G2532" i="1"/>
  <c r="H2532" i="1"/>
  <c r="I2532" i="1"/>
  <c r="J2532" i="1"/>
  <c r="K2532" i="1"/>
  <c r="L2532" i="1"/>
  <c r="M2532" i="1"/>
  <c r="N2532" i="1"/>
  <c r="O2532" i="1"/>
  <c r="P2532" i="1"/>
  <c r="R2532" i="1"/>
  <c r="S2532" i="1"/>
  <c r="T2532" i="1"/>
  <c r="U2532" i="1"/>
  <c r="B2531" i="1"/>
  <c r="C2531" i="1"/>
  <c r="D2531" i="1"/>
  <c r="E2531" i="1"/>
  <c r="F2531" i="1"/>
  <c r="G2531" i="1"/>
  <c r="H2531" i="1"/>
  <c r="I2531" i="1"/>
  <c r="J2531" i="1"/>
  <c r="K2531" i="1"/>
  <c r="L2531" i="1"/>
  <c r="M2531" i="1"/>
  <c r="N2531" i="1"/>
  <c r="O2531" i="1"/>
  <c r="P2531" i="1"/>
  <c r="R2531" i="1"/>
  <c r="S2531" i="1"/>
  <c r="T2531" i="1"/>
  <c r="U2531" i="1"/>
  <c r="C2530" i="1"/>
  <c r="D2530" i="1"/>
  <c r="E2530" i="1"/>
  <c r="F2530" i="1"/>
  <c r="G2530" i="1"/>
  <c r="H2530" i="1"/>
  <c r="I2530" i="1"/>
  <c r="J2530" i="1"/>
  <c r="K2530" i="1"/>
  <c r="L2530" i="1"/>
  <c r="M2530" i="1"/>
  <c r="N2530" i="1"/>
  <c r="O2530" i="1"/>
  <c r="P2530" i="1"/>
  <c r="R2530" i="1"/>
  <c r="S2530" i="1"/>
  <c r="T2530" i="1"/>
  <c r="U2530" i="1"/>
  <c r="C2529" i="1"/>
  <c r="D2529" i="1"/>
  <c r="E2529" i="1"/>
  <c r="F2529" i="1"/>
  <c r="G2529" i="1"/>
  <c r="H2529" i="1"/>
  <c r="I2529" i="1"/>
  <c r="J2529" i="1"/>
  <c r="K2529" i="1"/>
  <c r="L2529" i="1"/>
  <c r="M2529" i="1"/>
  <c r="N2529" i="1"/>
  <c r="O2529" i="1"/>
  <c r="P2529" i="1"/>
  <c r="R2529" i="1"/>
  <c r="S2529" i="1"/>
  <c r="T2529" i="1"/>
  <c r="U2529" i="1"/>
  <c r="C2528" i="1"/>
  <c r="D2528" i="1"/>
  <c r="E2528" i="1"/>
  <c r="F2528" i="1"/>
  <c r="G2528" i="1"/>
  <c r="H2528" i="1"/>
  <c r="I2528" i="1"/>
  <c r="J2528" i="1"/>
  <c r="K2528" i="1"/>
  <c r="L2528" i="1"/>
  <c r="M2528" i="1"/>
  <c r="N2528" i="1"/>
  <c r="O2528" i="1"/>
  <c r="P2528" i="1"/>
  <c r="R2528" i="1"/>
  <c r="S2528" i="1"/>
  <c r="T2528" i="1"/>
  <c r="U2528" i="1"/>
  <c r="C2527" i="1"/>
  <c r="D2527" i="1"/>
  <c r="E2527" i="1"/>
  <c r="F2527" i="1"/>
  <c r="G2527" i="1"/>
  <c r="H2527" i="1"/>
  <c r="I2527" i="1"/>
  <c r="J2527" i="1"/>
  <c r="K2527" i="1"/>
  <c r="L2527" i="1"/>
  <c r="M2527" i="1"/>
  <c r="N2527" i="1"/>
  <c r="O2527" i="1"/>
  <c r="P2527" i="1"/>
  <c r="R2527" i="1"/>
  <c r="S2527" i="1"/>
  <c r="T2527" i="1"/>
  <c r="U2527" i="1"/>
  <c r="C2526" i="1"/>
  <c r="D2526" i="1"/>
  <c r="E2526" i="1"/>
  <c r="F2526" i="1"/>
  <c r="G2526" i="1"/>
  <c r="H2526" i="1"/>
  <c r="I2526" i="1"/>
  <c r="J2526" i="1"/>
  <c r="K2526" i="1"/>
  <c r="L2526" i="1"/>
  <c r="M2526" i="1"/>
  <c r="N2526" i="1"/>
  <c r="O2526" i="1"/>
  <c r="P2526" i="1"/>
  <c r="R2526" i="1"/>
  <c r="S2526" i="1"/>
  <c r="T2526" i="1"/>
  <c r="U2526" i="1"/>
  <c r="C2525" i="1"/>
  <c r="D2525" i="1"/>
  <c r="E2525" i="1"/>
  <c r="F2525" i="1"/>
  <c r="G2525" i="1"/>
  <c r="H2525" i="1"/>
  <c r="I2525" i="1"/>
  <c r="J2525" i="1"/>
  <c r="K2525" i="1"/>
  <c r="L2525" i="1"/>
  <c r="M2525" i="1"/>
  <c r="N2525" i="1"/>
  <c r="O2525" i="1"/>
  <c r="P2525" i="1"/>
  <c r="R2525" i="1"/>
  <c r="S2525" i="1"/>
  <c r="T2525" i="1"/>
  <c r="U2525" i="1"/>
  <c r="C2524" i="1"/>
  <c r="D2524" i="1"/>
  <c r="E2524" i="1"/>
  <c r="F2524" i="1"/>
  <c r="G2524" i="1"/>
  <c r="H2524" i="1"/>
  <c r="I2524" i="1"/>
  <c r="J2524" i="1"/>
  <c r="K2524" i="1"/>
  <c r="L2524" i="1"/>
  <c r="M2524" i="1"/>
  <c r="N2524" i="1"/>
  <c r="O2524" i="1"/>
  <c r="P2524" i="1"/>
  <c r="R2524" i="1"/>
  <c r="S2524" i="1"/>
  <c r="T2524" i="1"/>
  <c r="U2524" i="1"/>
  <c r="C2523" i="1"/>
  <c r="D2523" i="1"/>
  <c r="E2523" i="1"/>
  <c r="F2523" i="1"/>
  <c r="G2523" i="1"/>
  <c r="H2523" i="1"/>
  <c r="I2523" i="1"/>
  <c r="J2523" i="1"/>
  <c r="K2523" i="1"/>
  <c r="L2523" i="1"/>
  <c r="M2523" i="1"/>
  <c r="N2523" i="1"/>
  <c r="O2523" i="1"/>
  <c r="P2523" i="1"/>
  <c r="R2523" i="1"/>
  <c r="S2523" i="1"/>
  <c r="T2523" i="1"/>
  <c r="U2523" i="1"/>
  <c r="B2522" i="1"/>
  <c r="C2522" i="1"/>
  <c r="D2522" i="1"/>
  <c r="E2522" i="1"/>
  <c r="F2522" i="1"/>
  <c r="G2522" i="1"/>
  <c r="H2522" i="1"/>
  <c r="I2522" i="1"/>
  <c r="J2522" i="1"/>
  <c r="K2522" i="1"/>
  <c r="L2522" i="1"/>
  <c r="M2522" i="1"/>
  <c r="N2522" i="1"/>
  <c r="O2522" i="1"/>
  <c r="P2522" i="1"/>
  <c r="R2522" i="1"/>
  <c r="S2522" i="1"/>
  <c r="T2522" i="1"/>
  <c r="U2522" i="1"/>
  <c r="C2521" i="1"/>
  <c r="D2521" i="1"/>
  <c r="E2521" i="1"/>
  <c r="F2521" i="1"/>
  <c r="G2521" i="1"/>
  <c r="H2521" i="1"/>
  <c r="I2521" i="1"/>
  <c r="J2521" i="1"/>
  <c r="K2521" i="1"/>
  <c r="L2521" i="1"/>
  <c r="M2521" i="1"/>
  <c r="N2521" i="1"/>
  <c r="O2521" i="1"/>
  <c r="P2521" i="1"/>
  <c r="R2521" i="1"/>
  <c r="S2521" i="1"/>
  <c r="T2521" i="1"/>
  <c r="U2521" i="1"/>
  <c r="C2520" i="1"/>
  <c r="D2520" i="1"/>
  <c r="E2520" i="1"/>
  <c r="F2520" i="1"/>
  <c r="G2520" i="1"/>
  <c r="H2520" i="1"/>
  <c r="I2520" i="1"/>
  <c r="J2520" i="1"/>
  <c r="K2520" i="1"/>
  <c r="L2520" i="1"/>
  <c r="M2520" i="1"/>
  <c r="N2520" i="1"/>
  <c r="O2520" i="1"/>
  <c r="P2520" i="1"/>
  <c r="R2520" i="1"/>
  <c r="S2520" i="1"/>
  <c r="T2520" i="1"/>
  <c r="U2520" i="1"/>
  <c r="C2519" i="1"/>
  <c r="D2519" i="1"/>
  <c r="E2519" i="1"/>
  <c r="F2519" i="1"/>
  <c r="G2519" i="1"/>
  <c r="H2519" i="1"/>
  <c r="I2519" i="1"/>
  <c r="J2519" i="1"/>
  <c r="K2519" i="1"/>
  <c r="L2519" i="1"/>
  <c r="M2519" i="1"/>
  <c r="N2519" i="1"/>
  <c r="O2519" i="1"/>
  <c r="P2519" i="1"/>
  <c r="R2519" i="1"/>
  <c r="S2519" i="1"/>
  <c r="T2519" i="1"/>
  <c r="U2519" i="1"/>
  <c r="C2518" i="1"/>
  <c r="D2518" i="1"/>
  <c r="E2518" i="1"/>
  <c r="F2518" i="1"/>
  <c r="G2518" i="1"/>
  <c r="H2518" i="1"/>
  <c r="I2518" i="1"/>
  <c r="J2518" i="1"/>
  <c r="K2518" i="1"/>
  <c r="L2518" i="1"/>
  <c r="M2518" i="1"/>
  <c r="N2518" i="1"/>
  <c r="O2518" i="1"/>
  <c r="P2518" i="1"/>
  <c r="R2518" i="1"/>
  <c r="S2518" i="1"/>
  <c r="T2518" i="1"/>
  <c r="U2518" i="1"/>
  <c r="C2517" i="1"/>
  <c r="D2517" i="1"/>
  <c r="E2517" i="1"/>
  <c r="F2517" i="1"/>
  <c r="G2517" i="1"/>
  <c r="H2517" i="1"/>
  <c r="I2517" i="1"/>
  <c r="J2517" i="1"/>
  <c r="K2517" i="1"/>
  <c r="L2517" i="1"/>
  <c r="M2517" i="1"/>
  <c r="N2517" i="1"/>
  <c r="O2517" i="1"/>
  <c r="P2517" i="1"/>
  <c r="R2517" i="1"/>
  <c r="S2517" i="1"/>
  <c r="T2517" i="1"/>
  <c r="U2517" i="1"/>
  <c r="C2516" i="1"/>
  <c r="D2516" i="1"/>
  <c r="E2516" i="1"/>
  <c r="F2516" i="1"/>
  <c r="G2516" i="1"/>
  <c r="H2516" i="1"/>
  <c r="I2516" i="1"/>
  <c r="J2516" i="1"/>
  <c r="K2516" i="1"/>
  <c r="L2516" i="1"/>
  <c r="M2516" i="1"/>
  <c r="N2516" i="1"/>
  <c r="O2516" i="1"/>
  <c r="P2516" i="1"/>
  <c r="R2516" i="1"/>
  <c r="S2516" i="1"/>
  <c r="T2516" i="1"/>
  <c r="U2516" i="1"/>
  <c r="C2515" i="1"/>
  <c r="D2515" i="1"/>
  <c r="E2515" i="1"/>
  <c r="F2515" i="1"/>
  <c r="G2515" i="1"/>
  <c r="H2515" i="1"/>
  <c r="I2515" i="1"/>
  <c r="J2515" i="1"/>
  <c r="K2515" i="1"/>
  <c r="L2515" i="1"/>
  <c r="M2515" i="1"/>
  <c r="N2515" i="1"/>
  <c r="O2515" i="1"/>
  <c r="P2515" i="1"/>
  <c r="R2515" i="1"/>
  <c r="S2515" i="1"/>
  <c r="T2515" i="1"/>
  <c r="U2515" i="1"/>
  <c r="B2514" i="1"/>
  <c r="C2514" i="1"/>
  <c r="D2514" i="1"/>
  <c r="E2514" i="1"/>
  <c r="F2514" i="1"/>
  <c r="G2514" i="1"/>
  <c r="H2514" i="1"/>
  <c r="I2514" i="1"/>
  <c r="J2514" i="1"/>
  <c r="K2514" i="1"/>
  <c r="L2514" i="1"/>
  <c r="M2514" i="1"/>
  <c r="N2514" i="1"/>
  <c r="O2514" i="1"/>
  <c r="P2514" i="1"/>
  <c r="R2514" i="1"/>
  <c r="S2514" i="1"/>
  <c r="T2514" i="1"/>
  <c r="U2514" i="1"/>
  <c r="C2513" i="1"/>
  <c r="D2513" i="1"/>
  <c r="E2513" i="1"/>
  <c r="F2513" i="1"/>
  <c r="G2513" i="1"/>
  <c r="H2513" i="1"/>
  <c r="I2513" i="1"/>
  <c r="J2513" i="1"/>
  <c r="K2513" i="1"/>
  <c r="L2513" i="1"/>
  <c r="M2513" i="1"/>
  <c r="N2513" i="1"/>
  <c r="O2513" i="1"/>
  <c r="P2513" i="1"/>
  <c r="R2513" i="1"/>
  <c r="S2513" i="1"/>
  <c r="T2513" i="1"/>
  <c r="U2513" i="1"/>
  <c r="C2512" i="1"/>
  <c r="D2512" i="1"/>
  <c r="E2512" i="1"/>
  <c r="F2512" i="1"/>
  <c r="G2512" i="1"/>
  <c r="H2512" i="1"/>
  <c r="I2512" i="1"/>
  <c r="J2512" i="1"/>
  <c r="K2512" i="1"/>
  <c r="L2512" i="1"/>
  <c r="M2512" i="1"/>
  <c r="N2512" i="1"/>
  <c r="O2512" i="1"/>
  <c r="P2512" i="1"/>
  <c r="R2512" i="1"/>
  <c r="S2512" i="1"/>
  <c r="T2512" i="1"/>
  <c r="U2512" i="1"/>
  <c r="C2511" i="1"/>
  <c r="D2511" i="1"/>
  <c r="E2511" i="1"/>
  <c r="F2511" i="1"/>
  <c r="G2511" i="1"/>
  <c r="H2511" i="1"/>
  <c r="I2511" i="1"/>
  <c r="J2511" i="1"/>
  <c r="K2511" i="1"/>
  <c r="L2511" i="1"/>
  <c r="M2511" i="1"/>
  <c r="N2511" i="1"/>
  <c r="O2511" i="1"/>
  <c r="P2511" i="1"/>
  <c r="R2511" i="1"/>
  <c r="S2511" i="1"/>
  <c r="T2511" i="1"/>
  <c r="U2511" i="1"/>
  <c r="C2510" i="1"/>
  <c r="D2510" i="1"/>
  <c r="E2510" i="1"/>
  <c r="F2510" i="1"/>
  <c r="G2510" i="1"/>
  <c r="H2510" i="1"/>
  <c r="I2510" i="1"/>
  <c r="J2510" i="1"/>
  <c r="K2510" i="1"/>
  <c r="L2510" i="1"/>
  <c r="M2510" i="1"/>
  <c r="N2510" i="1"/>
  <c r="O2510" i="1"/>
  <c r="P2510" i="1"/>
  <c r="R2510" i="1"/>
  <c r="S2510" i="1"/>
  <c r="T2510" i="1"/>
  <c r="U2510" i="1"/>
  <c r="C2509" i="1"/>
  <c r="D2509" i="1"/>
  <c r="E2509" i="1"/>
  <c r="F2509" i="1"/>
  <c r="G2509" i="1"/>
  <c r="H2509" i="1"/>
  <c r="I2509" i="1"/>
  <c r="J2509" i="1"/>
  <c r="K2509" i="1"/>
  <c r="L2509" i="1"/>
  <c r="M2509" i="1"/>
  <c r="N2509" i="1"/>
  <c r="O2509" i="1"/>
  <c r="P2509" i="1"/>
  <c r="R2509" i="1"/>
  <c r="S2509" i="1"/>
  <c r="T2509" i="1"/>
  <c r="U2509" i="1"/>
  <c r="C2508" i="1"/>
  <c r="D2508" i="1"/>
  <c r="E2508" i="1"/>
  <c r="F2508" i="1"/>
  <c r="G2508" i="1"/>
  <c r="H2508" i="1"/>
  <c r="I2508" i="1"/>
  <c r="J2508" i="1"/>
  <c r="K2508" i="1"/>
  <c r="L2508" i="1"/>
  <c r="M2508" i="1"/>
  <c r="N2508" i="1"/>
  <c r="O2508" i="1"/>
  <c r="P2508" i="1"/>
  <c r="R2508" i="1"/>
  <c r="S2508" i="1"/>
  <c r="T2508" i="1"/>
  <c r="U2508" i="1"/>
  <c r="C2507" i="1"/>
  <c r="D2507" i="1"/>
  <c r="E2507" i="1"/>
  <c r="F2507" i="1"/>
  <c r="G2507" i="1"/>
  <c r="H2507" i="1"/>
  <c r="I2507" i="1"/>
  <c r="J2507" i="1"/>
  <c r="K2507" i="1"/>
  <c r="L2507" i="1"/>
  <c r="M2507" i="1"/>
  <c r="N2507" i="1"/>
  <c r="O2507" i="1"/>
  <c r="P2507" i="1"/>
  <c r="R2507" i="1"/>
  <c r="S2507" i="1"/>
  <c r="T2507" i="1"/>
  <c r="U2507" i="1"/>
  <c r="C2506" i="1"/>
  <c r="D2506" i="1"/>
  <c r="E2506" i="1"/>
  <c r="F2506" i="1"/>
  <c r="G2506" i="1"/>
  <c r="H2506" i="1"/>
  <c r="I2506" i="1"/>
  <c r="J2506" i="1"/>
  <c r="K2506" i="1"/>
  <c r="L2506" i="1"/>
  <c r="M2506" i="1"/>
  <c r="N2506" i="1"/>
  <c r="O2506" i="1"/>
  <c r="P2506" i="1"/>
  <c r="R2506" i="1"/>
  <c r="S2506" i="1"/>
  <c r="T2506" i="1"/>
  <c r="U2506" i="1"/>
  <c r="C2505" i="1"/>
  <c r="D2505" i="1"/>
  <c r="E2505" i="1"/>
  <c r="F2505" i="1"/>
  <c r="G2505" i="1"/>
  <c r="H2505" i="1"/>
  <c r="I2505" i="1"/>
  <c r="J2505" i="1"/>
  <c r="K2505" i="1"/>
  <c r="L2505" i="1"/>
  <c r="M2505" i="1"/>
  <c r="N2505" i="1"/>
  <c r="O2505" i="1"/>
  <c r="P2505" i="1"/>
  <c r="R2505" i="1"/>
  <c r="S2505" i="1"/>
  <c r="T2505" i="1"/>
  <c r="U2505" i="1"/>
  <c r="C2504" i="1"/>
  <c r="D2504" i="1"/>
  <c r="E2504" i="1"/>
  <c r="F2504" i="1"/>
  <c r="G2504" i="1"/>
  <c r="H2504" i="1"/>
  <c r="I2504" i="1"/>
  <c r="J2504" i="1"/>
  <c r="K2504" i="1"/>
  <c r="L2504" i="1"/>
  <c r="M2504" i="1"/>
  <c r="N2504" i="1"/>
  <c r="O2504" i="1"/>
  <c r="P2504" i="1"/>
  <c r="R2504" i="1"/>
  <c r="S2504" i="1"/>
  <c r="T2504" i="1"/>
  <c r="U2504" i="1"/>
  <c r="C2503" i="1"/>
  <c r="D2503" i="1"/>
  <c r="E2503" i="1"/>
  <c r="F2503" i="1"/>
  <c r="G2503" i="1"/>
  <c r="H2503" i="1"/>
  <c r="I2503" i="1"/>
  <c r="J2503" i="1"/>
  <c r="K2503" i="1"/>
  <c r="L2503" i="1"/>
  <c r="M2503" i="1"/>
  <c r="N2503" i="1"/>
  <c r="O2503" i="1"/>
  <c r="P2503" i="1"/>
  <c r="R2503" i="1"/>
  <c r="S2503" i="1"/>
  <c r="T2503" i="1"/>
  <c r="U2503" i="1"/>
  <c r="C2502" i="1"/>
  <c r="D2502" i="1"/>
  <c r="E2502" i="1"/>
  <c r="F2502" i="1"/>
  <c r="G2502" i="1"/>
  <c r="H2502" i="1"/>
  <c r="I2502" i="1"/>
  <c r="J2502" i="1"/>
  <c r="K2502" i="1"/>
  <c r="L2502" i="1"/>
  <c r="M2502" i="1"/>
  <c r="N2502" i="1"/>
  <c r="O2502" i="1"/>
  <c r="P2502" i="1"/>
  <c r="R2502" i="1"/>
  <c r="S2502" i="1"/>
  <c r="T2502" i="1"/>
  <c r="U2502" i="1"/>
  <c r="C2501" i="1"/>
  <c r="D2501" i="1"/>
  <c r="E2501" i="1"/>
  <c r="F2501" i="1"/>
  <c r="G2501" i="1"/>
  <c r="H2501" i="1"/>
  <c r="I2501" i="1"/>
  <c r="J2501" i="1"/>
  <c r="K2501" i="1"/>
  <c r="L2501" i="1"/>
  <c r="M2501" i="1"/>
  <c r="N2501" i="1"/>
  <c r="O2501" i="1"/>
  <c r="P2501" i="1"/>
  <c r="R2501" i="1"/>
  <c r="S2501" i="1"/>
  <c r="T2501" i="1"/>
  <c r="U2501" i="1"/>
  <c r="C2500" i="1"/>
  <c r="D2500" i="1"/>
  <c r="E2500" i="1"/>
  <c r="F2500" i="1"/>
  <c r="G2500" i="1"/>
  <c r="H2500" i="1"/>
  <c r="I2500" i="1"/>
  <c r="J2500" i="1"/>
  <c r="K2500" i="1"/>
  <c r="L2500" i="1"/>
  <c r="M2500" i="1"/>
  <c r="N2500" i="1"/>
  <c r="O2500" i="1"/>
  <c r="P2500" i="1"/>
  <c r="R2500" i="1"/>
  <c r="S2500" i="1"/>
  <c r="T2500" i="1"/>
  <c r="U2500" i="1"/>
  <c r="C2499" i="1"/>
  <c r="D2499" i="1"/>
  <c r="E2499" i="1"/>
  <c r="F2499" i="1"/>
  <c r="G2499" i="1"/>
  <c r="H2499" i="1"/>
  <c r="I2499" i="1"/>
  <c r="J2499" i="1"/>
  <c r="K2499" i="1"/>
  <c r="L2499" i="1"/>
  <c r="M2499" i="1"/>
  <c r="N2499" i="1"/>
  <c r="O2499" i="1"/>
  <c r="P2499" i="1"/>
  <c r="R2499" i="1"/>
  <c r="S2499" i="1"/>
  <c r="T2499" i="1"/>
  <c r="U2499" i="1"/>
  <c r="C2498" i="1"/>
  <c r="D2498" i="1"/>
  <c r="E2498" i="1"/>
  <c r="F2498" i="1"/>
  <c r="G2498" i="1"/>
  <c r="H2498" i="1"/>
  <c r="I2498" i="1"/>
  <c r="J2498" i="1"/>
  <c r="K2498" i="1"/>
  <c r="L2498" i="1"/>
  <c r="M2498" i="1"/>
  <c r="N2498" i="1"/>
  <c r="O2498" i="1"/>
  <c r="P2498" i="1"/>
  <c r="R2498" i="1"/>
  <c r="S2498" i="1"/>
  <c r="T2498" i="1"/>
  <c r="U2498" i="1"/>
  <c r="C2497" i="1"/>
  <c r="D2497" i="1"/>
  <c r="E2497" i="1"/>
  <c r="F2497" i="1"/>
  <c r="G2497" i="1"/>
  <c r="H2497" i="1"/>
  <c r="I2497" i="1"/>
  <c r="J2497" i="1"/>
  <c r="K2497" i="1"/>
  <c r="L2497" i="1"/>
  <c r="M2497" i="1"/>
  <c r="N2497" i="1"/>
  <c r="O2497" i="1"/>
  <c r="P2497" i="1"/>
  <c r="R2497" i="1"/>
  <c r="S2497" i="1"/>
  <c r="T2497" i="1"/>
  <c r="U2497" i="1"/>
  <c r="C2496" i="1"/>
  <c r="D2496" i="1"/>
  <c r="E2496" i="1"/>
  <c r="F2496" i="1"/>
  <c r="G2496" i="1"/>
  <c r="H2496" i="1"/>
  <c r="I2496" i="1"/>
  <c r="J2496" i="1"/>
  <c r="K2496" i="1"/>
  <c r="L2496" i="1"/>
  <c r="M2496" i="1"/>
  <c r="N2496" i="1"/>
  <c r="O2496" i="1"/>
  <c r="P2496" i="1"/>
  <c r="R2496" i="1"/>
  <c r="S2496" i="1"/>
  <c r="T2496" i="1"/>
  <c r="U2496" i="1"/>
  <c r="C2495" i="1"/>
  <c r="D2495" i="1"/>
  <c r="E2495" i="1"/>
  <c r="F2495" i="1"/>
  <c r="G2495" i="1"/>
  <c r="H2495" i="1"/>
  <c r="I2495" i="1"/>
  <c r="J2495" i="1"/>
  <c r="K2495" i="1"/>
  <c r="L2495" i="1"/>
  <c r="M2495" i="1"/>
  <c r="N2495" i="1"/>
  <c r="O2495" i="1"/>
  <c r="P2495" i="1"/>
  <c r="R2495" i="1"/>
  <c r="S2495" i="1"/>
  <c r="T2495" i="1"/>
  <c r="U2495" i="1"/>
  <c r="C2494" i="1"/>
  <c r="D2494" i="1"/>
  <c r="E2494" i="1"/>
  <c r="F2494" i="1"/>
  <c r="G2494" i="1"/>
  <c r="H2494" i="1"/>
  <c r="I2494" i="1"/>
  <c r="J2494" i="1"/>
  <c r="K2494" i="1"/>
  <c r="L2494" i="1"/>
  <c r="M2494" i="1"/>
  <c r="N2494" i="1"/>
  <c r="O2494" i="1"/>
  <c r="P2494" i="1"/>
  <c r="R2494" i="1"/>
  <c r="S2494" i="1"/>
  <c r="T2494" i="1"/>
  <c r="U2494" i="1"/>
  <c r="C2493" i="1"/>
  <c r="D2493" i="1"/>
  <c r="E2493" i="1"/>
  <c r="F2493" i="1"/>
  <c r="G2493" i="1"/>
  <c r="H2493" i="1"/>
  <c r="I2493" i="1"/>
  <c r="J2493" i="1"/>
  <c r="K2493" i="1"/>
  <c r="L2493" i="1"/>
  <c r="M2493" i="1"/>
  <c r="N2493" i="1"/>
  <c r="O2493" i="1"/>
  <c r="P2493" i="1"/>
  <c r="R2493" i="1"/>
  <c r="S2493" i="1"/>
  <c r="T2493" i="1"/>
  <c r="U2493" i="1"/>
  <c r="C2492" i="1"/>
  <c r="D2492" i="1"/>
  <c r="E2492" i="1"/>
  <c r="F2492" i="1"/>
  <c r="G2492" i="1"/>
  <c r="H2492" i="1"/>
  <c r="I2492" i="1"/>
  <c r="J2492" i="1"/>
  <c r="K2492" i="1"/>
  <c r="L2492" i="1"/>
  <c r="M2492" i="1"/>
  <c r="N2492" i="1"/>
  <c r="O2492" i="1"/>
  <c r="P2492" i="1"/>
  <c r="R2492" i="1"/>
  <c r="S2492" i="1"/>
  <c r="T2492" i="1"/>
  <c r="U2492" i="1"/>
  <c r="C2491" i="1"/>
  <c r="D2491" i="1"/>
  <c r="E2491" i="1"/>
  <c r="F2491" i="1"/>
  <c r="G2491" i="1"/>
  <c r="H2491" i="1"/>
  <c r="I2491" i="1"/>
  <c r="J2491" i="1"/>
  <c r="K2491" i="1"/>
  <c r="L2491" i="1"/>
  <c r="M2491" i="1"/>
  <c r="N2491" i="1"/>
  <c r="O2491" i="1"/>
  <c r="P2491" i="1"/>
  <c r="R2491" i="1"/>
  <c r="S2491" i="1"/>
  <c r="T2491" i="1"/>
  <c r="U2491" i="1"/>
  <c r="B2490" i="1"/>
  <c r="C2490" i="1"/>
  <c r="D2490" i="1"/>
  <c r="E2490" i="1"/>
  <c r="F2490" i="1"/>
  <c r="G2490" i="1"/>
  <c r="H2490" i="1"/>
  <c r="I2490" i="1"/>
  <c r="J2490" i="1"/>
  <c r="K2490" i="1"/>
  <c r="L2490" i="1"/>
  <c r="M2490" i="1"/>
  <c r="N2490" i="1"/>
  <c r="O2490" i="1"/>
  <c r="P2490" i="1"/>
  <c r="R2490" i="1"/>
  <c r="S2490" i="1"/>
  <c r="T2490" i="1"/>
  <c r="U2490" i="1"/>
  <c r="C2489" i="1"/>
  <c r="D2489" i="1"/>
  <c r="E2489" i="1"/>
  <c r="F2489" i="1"/>
  <c r="G2489" i="1"/>
  <c r="H2489" i="1"/>
  <c r="I2489" i="1"/>
  <c r="J2489" i="1"/>
  <c r="K2489" i="1"/>
  <c r="L2489" i="1"/>
  <c r="M2489" i="1"/>
  <c r="N2489" i="1"/>
  <c r="O2489" i="1"/>
  <c r="P2489" i="1"/>
  <c r="R2489" i="1"/>
  <c r="S2489" i="1"/>
  <c r="T2489" i="1"/>
  <c r="U2489" i="1"/>
  <c r="C2488" i="1"/>
  <c r="D2488" i="1"/>
  <c r="E2488" i="1"/>
  <c r="F2488" i="1"/>
  <c r="G2488" i="1"/>
  <c r="H2488" i="1"/>
  <c r="I2488" i="1"/>
  <c r="J2488" i="1"/>
  <c r="K2488" i="1"/>
  <c r="L2488" i="1"/>
  <c r="M2488" i="1"/>
  <c r="N2488" i="1"/>
  <c r="O2488" i="1"/>
  <c r="P2488" i="1"/>
  <c r="R2488" i="1"/>
  <c r="S2488" i="1"/>
  <c r="T2488" i="1"/>
  <c r="U2488" i="1"/>
  <c r="C2487" i="1"/>
  <c r="D2487" i="1"/>
  <c r="E2487" i="1"/>
  <c r="F2487" i="1"/>
  <c r="G2487" i="1"/>
  <c r="H2487" i="1"/>
  <c r="I2487" i="1"/>
  <c r="J2487" i="1"/>
  <c r="K2487" i="1"/>
  <c r="L2487" i="1"/>
  <c r="M2487" i="1"/>
  <c r="N2487" i="1"/>
  <c r="O2487" i="1"/>
  <c r="P2487" i="1"/>
  <c r="R2487" i="1"/>
  <c r="S2487" i="1"/>
  <c r="T2487" i="1"/>
  <c r="U2487" i="1"/>
  <c r="C2486" i="1"/>
  <c r="D2486" i="1"/>
  <c r="E2486" i="1"/>
  <c r="F2486" i="1"/>
  <c r="G2486" i="1"/>
  <c r="H2486" i="1"/>
  <c r="I2486" i="1"/>
  <c r="J2486" i="1"/>
  <c r="K2486" i="1"/>
  <c r="L2486" i="1"/>
  <c r="M2486" i="1"/>
  <c r="N2486" i="1"/>
  <c r="O2486" i="1"/>
  <c r="P2486" i="1"/>
  <c r="R2486" i="1"/>
  <c r="S2486" i="1"/>
  <c r="T2486" i="1"/>
  <c r="U2486" i="1"/>
  <c r="C2485" i="1"/>
  <c r="D2485" i="1"/>
  <c r="E2485" i="1"/>
  <c r="F2485" i="1"/>
  <c r="G2485" i="1"/>
  <c r="H2485" i="1"/>
  <c r="I2485" i="1"/>
  <c r="J2485" i="1"/>
  <c r="K2485" i="1"/>
  <c r="L2485" i="1"/>
  <c r="M2485" i="1"/>
  <c r="N2485" i="1"/>
  <c r="O2485" i="1"/>
  <c r="P2485" i="1"/>
  <c r="R2485" i="1"/>
  <c r="S2485" i="1"/>
  <c r="T2485" i="1"/>
  <c r="U2485" i="1"/>
  <c r="C2484" i="1"/>
  <c r="D2484" i="1"/>
  <c r="E2484" i="1"/>
  <c r="F2484" i="1"/>
  <c r="G2484" i="1"/>
  <c r="H2484" i="1"/>
  <c r="I2484" i="1"/>
  <c r="J2484" i="1"/>
  <c r="K2484" i="1"/>
  <c r="L2484" i="1"/>
  <c r="M2484" i="1"/>
  <c r="N2484" i="1"/>
  <c r="O2484" i="1"/>
  <c r="P2484" i="1"/>
  <c r="R2484" i="1"/>
  <c r="S2484" i="1"/>
  <c r="T2484" i="1"/>
  <c r="U2484" i="1"/>
  <c r="C2483" i="1"/>
  <c r="D2483" i="1"/>
  <c r="E2483" i="1"/>
  <c r="F2483" i="1"/>
  <c r="G2483" i="1"/>
  <c r="H2483" i="1"/>
  <c r="I2483" i="1"/>
  <c r="J2483" i="1"/>
  <c r="K2483" i="1"/>
  <c r="L2483" i="1"/>
  <c r="M2483" i="1"/>
  <c r="N2483" i="1"/>
  <c r="O2483" i="1"/>
  <c r="P2483" i="1"/>
  <c r="R2483" i="1"/>
  <c r="S2483" i="1"/>
  <c r="T2483" i="1"/>
  <c r="U2483" i="1"/>
  <c r="C2482" i="1"/>
  <c r="D2482" i="1"/>
  <c r="E2482" i="1"/>
  <c r="F2482" i="1"/>
  <c r="G2482" i="1"/>
  <c r="H2482" i="1"/>
  <c r="I2482" i="1"/>
  <c r="J2482" i="1"/>
  <c r="K2482" i="1"/>
  <c r="L2482" i="1"/>
  <c r="M2482" i="1"/>
  <c r="N2482" i="1"/>
  <c r="O2482" i="1"/>
  <c r="P2482" i="1"/>
  <c r="R2482" i="1"/>
  <c r="S2482" i="1"/>
  <c r="T2482" i="1"/>
  <c r="U2482" i="1"/>
  <c r="B2481" i="1"/>
  <c r="C2481" i="1"/>
  <c r="D2481" i="1"/>
  <c r="E2481" i="1"/>
  <c r="F2481" i="1"/>
  <c r="G2481" i="1"/>
  <c r="H2481" i="1"/>
  <c r="I2481" i="1"/>
  <c r="J2481" i="1"/>
  <c r="K2481" i="1"/>
  <c r="L2481" i="1"/>
  <c r="M2481" i="1"/>
  <c r="N2481" i="1"/>
  <c r="O2481" i="1"/>
  <c r="P2481" i="1"/>
  <c r="R2481" i="1"/>
  <c r="S2481" i="1"/>
  <c r="T2481" i="1"/>
  <c r="U2481" i="1"/>
  <c r="C2480" i="1"/>
  <c r="D2480" i="1"/>
  <c r="E2480" i="1"/>
  <c r="F2480" i="1"/>
  <c r="G2480" i="1"/>
  <c r="H2480" i="1"/>
  <c r="I2480" i="1"/>
  <c r="J2480" i="1"/>
  <c r="K2480" i="1"/>
  <c r="L2480" i="1"/>
  <c r="M2480" i="1"/>
  <c r="N2480" i="1"/>
  <c r="O2480" i="1"/>
  <c r="P2480" i="1"/>
  <c r="R2480" i="1"/>
  <c r="S2480" i="1"/>
  <c r="T2480" i="1"/>
  <c r="U2480" i="1"/>
  <c r="C2479" i="1"/>
  <c r="D2479" i="1"/>
  <c r="E2479" i="1"/>
  <c r="F2479" i="1"/>
  <c r="G2479" i="1"/>
  <c r="H2479" i="1"/>
  <c r="I2479" i="1"/>
  <c r="J2479" i="1"/>
  <c r="K2479" i="1"/>
  <c r="L2479" i="1"/>
  <c r="M2479" i="1"/>
  <c r="N2479" i="1"/>
  <c r="O2479" i="1"/>
  <c r="P2479" i="1"/>
  <c r="R2479" i="1"/>
  <c r="S2479" i="1"/>
  <c r="T2479" i="1"/>
  <c r="U2479" i="1"/>
  <c r="C2478" i="1"/>
  <c r="D2478" i="1"/>
  <c r="E2478" i="1"/>
  <c r="F2478" i="1"/>
  <c r="G2478" i="1"/>
  <c r="H2478" i="1"/>
  <c r="I2478" i="1"/>
  <c r="J2478" i="1"/>
  <c r="K2478" i="1"/>
  <c r="L2478" i="1"/>
  <c r="M2478" i="1"/>
  <c r="N2478" i="1"/>
  <c r="O2478" i="1"/>
  <c r="P2478" i="1"/>
  <c r="R2478" i="1"/>
  <c r="S2478" i="1"/>
  <c r="T2478" i="1"/>
  <c r="U2478" i="1"/>
  <c r="C2477" i="1"/>
  <c r="D2477" i="1"/>
  <c r="E2477" i="1"/>
  <c r="F2477" i="1"/>
  <c r="G2477" i="1"/>
  <c r="H2477" i="1"/>
  <c r="I2477" i="1"/>
  <c r="J2477" i="1"/>
  <c r="K2477" i="1"/>
  <c r="L2477" i="1"/>
  <c r="M2477" i="1"/>
  <c r="N2477" i="1"/>
  <c r="O2477" i="1"/>
  <c r="P2477" i="1"/>
  <c r="R2477" i="1"/>
  <c r="S2477" i="1"/>
  <c r="T2477" i="1"/>
  <c r="U2477" i="1"/>
  <c r="C2476" i="1"/>
  <c r="D2476" i="1"/>
  <c r="E2476" i="1"/>
  <c r="F2476" i="1"/>
  <c r="G2476" i="1"/>
  <c r="H2476" i="1"/>
  <c r="I2476" i="1"/>
  <c r="J2476" i="1"/>
  <c r="K2476" i="1"/>
  <c r="L2476" i="1"/>
  <c r="M2476" i="1"/>
  <c r="N2476" i="1"/>
  <c r="O2476" i="1"/>
  <c r="P2476" i="1"/>
  <c r="R2476" i="1"/>
  <c r="S2476" i="1"/>
  <c r="T2476" i="1"/>
  <c r="U2476" i="1"/>
  <c r="C2475" i="1"/>
  <c r="D2475" i="1"/>
  <c r="E2475" i="1"/>
  <c r="F2475" i="1"/>
  <c r="G2475" i="1"/>
  <c r="H2475" i="1"/>
  <c r="I2475" i="1"/>
  <c r="J2475" i="1"/>
  <c r="K2475" i="1"/>
  <c r="L2475" i="1"/>
  <c r="M2475" i="1"/>
  <c r="N2475" i="1"/>
  <c r="O2475" i="1"/>
  <c r="P2475" i="1"/>
  <c r="R2475" i="1"/>
  <c r="S2475" i="1"/>
  <c r="T2475" i="1"/>
  <c r="U2475" i="1"/>
  <c r="C2474" i="1"/>
  <c r="D2474" i="1"/>
  <c r="E2474" i="1"/>
  <c r="F2474" i="1"/>
  <c r="G2474" i="1"/>
  <c r="H2474" i="1"/>
  <c r="I2474" i="1"/>
  <c r="J2474" i="1"/>
  <c r="K2474" i="1"/>
  <c r="L2474" i="1"/>
  <c r="M2474" i="1"/>
  <c r="N2474" i="1"/>
  <c r="O2474" i="1"/>
  <c r="P2474" i="1"/>
  <c r="R2474" i="1"/>
  <c r="S2474" i="1"/>
  <c r="T2474" i="1"/>
  <c r="U2474" i="1"/>
  <c r="C2473" i="1"/>
  <c r="D2473" i="1"/>
  <c r="E2473" i="1"/>
  <c r="F2473" i="1"/>
  <c r="G2473" i="1"/>
  <c r="H2473" i="1"/>
  <c r="I2473" i="1"/>
  <c r="J2473" i="1"/>
  <c r="K2473" i="1"/>
  <c r="L2473" i="1"/>
  <c r="M2473" i="1"/>
  <c r="N2473" i="1"/>
  <c r="O2473" i="1"/>
  <c r="P2473" i="1"/>
  <c r="R2473" i="1"/>
  <c r="S2473" i="1"/>
  <c r="T2473" i="1"/>
  <c r="U2473" i="1"/>
  <c r="B2472" i="1"/>
  <c r="C2472" i="1"/>
  <c r="D2472" i="1"/>
  <c r="E2472" i="1"/>
  <c r="F2472" i="1"/>
  <c r="G2472" i="1"/>
  <c r="H2472" i="1"/>
  <c r="I2472" i="1"/>
  <c r="J2472" i="1"/>
  <c r="K2472" i="1"/>
  <c r="L2472" i="1"/>
  <c r="M2472" i="1"/>
  <c r="N2472" i="1"/>
  <c r="O2472" i="1"/>
  <c r="P2472" i="1"/>
  <c r="R2472" i="1"/>
  <c r="S2472" i="1"/>
  <c r="T2472" i="1"/>
  <c r="U2472" i="1"/>
  <c r="C2471" i="1"/>
  <c r="D2471" i="1"/>
  <c r="E2471" i="1"/>
  <c r="F2471" i="1"/>
  <c r="G2471" i="1"/>
  <c r="H2471" i="1"/>
  <c r="I2471" i="1"/>
  <c r="J2471" i="1"/>
  <c r="K2471" i="1"/>
  <c r="L2471" i="1"/>
  <c r="M2471" i="1"/>
  <c r="N2471" i="1"/>
  <c r="O2471" i="1"/>
  <c r="P2471" i="1"/>
  <c r="R2471" i="1"/>
  <c r="S2471" i="1"/>
  <c r="T2471" i="1"/>
  <c r="U2471" i="1"/>
  <c r="C2470" i="1"/>
  <c r="D2470" i="1"/>
  <c r="E2470" i="1"/>
  <c r="F2470" i="1"/>
  <c r="G2470" i="1"/>
  <c r="H2470" i="1"/>
  <c r="I2470" i="1"/>
  <c r="J2470" i="1"/>
  <c r="K2470" i="1"/>
  <c r="L2470" i="1"/>
  <c r="M2470" i="1"/>
  <c r="N2470" i="1"/>
  <c r="O2470" i="1"/>
  <c r="P2470" i="1"/>
  <c r="R2470" i="1"/>
  <c r="S2470" i="1"/>
  <c r="T2470" i="1"/>
  <c r="U2470" i="1"/>
  <c r="C2469" i="1"/>
  <c r="D2469" i="1"/>
  <c r="E2469" i="1"/>
  <c r="F2469" i="1"/>
  <c r="G2469" i="1"/>
  <c r="H2469" i="1"/>
  <c r="I2469" i="1"/>
  <c r="J2469" i="1"/>
  <c r="K2469" i="1"/>
  <c r="L2469" i="1"/>
  <c r="M2469" i="1"/>
  <c r="N2469" i="1"/>
  <c r="O2469" i="1"/>
  <c r="P2469" i="1"/>
  <c r="R2469" i="1"/>
  <c r="S2469" i="1"/>
  <c r="T2469" i="1"/>
  <c r="U2469" i="1"/>
  <c r="C2468" i="1"/>
  <c r="D2468" i="1"/>
  <c r="E2468" i="1"/>
  <c r="F2468" i="1"/>
  <c r="G2468" i="1"/>
  <c r="H2468" i="1"/>
  <c r="I2468" i="1"/>
  <c r="J2468" i="1"/>
  <c r="K2468" i="1"/>
  <c r="L2468" i="1"/>
  <c r="M2468" i="1"/>
  <c r="N2468" i="1"/>
  <c r="O2468" i="1"/>
  <c r="P2468" i="1"/>
  <c r="R2468" i="1"/>
  <c r="S2468" i="1"/>
  <c r="T2468" i="1"/>
  <c r="U2468" i="1"/>
  <c r="C2467" i="1"/>
  <c r="D2467" i="1"/>
  <c r="E2467" i="1"/>
  <c r="F2467" i="1"/>
  <c r="G2467" i="1"/>
  <c r="H2467" i="1"/>
  <c r="I2467" i="1"/>
  <c r="J2467" i="1"/>
  <c r="K2467" i="1"/>
  <c r="L2467" i="1"/>
  <c r="M2467" i="1"/>
  <c r="N2467" i="1"/>
  <c r="O2467" i="1"/>
  <c r="P2467" i="1"/>
  <c r="R2467" i="1"/>
  <c r="S2467" i="1"/>
  <c r="T2467" i="1"/>
  <c r="U2467" i="1"/>
  <c r="C2466" i="1"/>
  <c r="D2466" i="1"/>
  <c r="E2466" i="1"/>
  <c r="F2466" i="1"/>
  <c r="G2466" i="1"/>
  <c r="H2466" i="1"/>
  <c r="I2466" i="1"/>
  <c r="J2466" i="1"/>
  <c r="K2466" i="1"/>
  <c r="L2466" i="1"/>
  <c r="M2466" i="1"/>
  <c r="N2466" i="1"/>
  <c r="O2466" i="1"/>
  <c r="P2466" i="1"/>
  <c r="R2466" i="1"/>
  <c r="S2466" i="1"/>
  <c r="T2466" i="1"/>
  <c r="U2466" i="1"/>
  <c r="C2465" i="1"/>
  <c r="D2465" i="1"/>
  <c r="E2465" i="1"/>
  <c r="F2465" i="1"/>
  <c r="G2465" i="1"/>
  <c r="H2465" i="1"/>
  <c r="I2465" i="1"/>
  <c r="J2465" i="1"/>
  <c r="K2465" i="1"/>
  <c r="L2465" i="1"/>
  <c r="M2465" i="1"/>
  <c r="N2465" i="1"/>
  <c r="O2465" i="1"/>
  <c r="P2465" i="1"/>
  <c r="R2465" i="1"/>
  <c r="S2465" i="1"/>
  <c r="T2465" i="1"/>
  <c r="U2465" i="1"/>
  <c r="C2464" i="1"/>
  <c r="D2464" i="1"/>
  <c r="E2464" i="1"/>
  <c r="F2464" i="1"/>
  <c r="G2464" i="1"/>
  <c r="H2464" i="1"/>
  <c r="I2464" i="1"/>
  <c r="J2464" i="1"/>
  <c r="K2464" i="1"/>
  <c r="L2464" i="1"/>
  <c r="M2464" i="1"/>
  <c r="N2464" i="1"/>
  <c r="O2464" i="1"/>
  <c r="P2464" i="1"/>
  <c r="R2464" i="1"/>
  <c r="S2464" i="1"/>
  <c r="T2464" i="1"/>
  <c r="U2464" i="1"/>
  <c r="B2463" i="1"/>
  <c r="C2463" i="1"/>
  <c r="D2463" i="1"/>
  <c r="E2463" i="1"/>
  <c r="F2463" i="1"/>
  <c r="G2463" i="1"/>
  <c r="H2463" i="1"/>
  <c r="I2463" i="1"/>
  <c r="J2463" i="1"/>
  <c r="K2463" i="1"/>
  <c r="L2463" i="1"/>
  <c r="M2463" i="1"/>
  <c r="N2463" i="1"/>
  <c r="O2463" i="1"/>
  <c r="P2463" i="1"/>
  <c r="R2463" i="1"/>
  <c r="S2463" i="1"/>
  <c r="T2463" i="1"/>
  <c r="U2463" i="1"/>
  <c r="C2462" i="1"/>
  <c r="D2462" i="1"/>
  <c r="E2462" i="1"/>
  <c r="F2462" i="1"/>
  <c r="G2462" i="1"/>
  <c r="H2462" i="1"/>
  <c r="I2462" i="1"/>
  <c r="J2462" i="1"/>
  <c r="K2462" i="1"/>
  <c r="L2462" i="1"/>
  <c r="M2462" i="1"/>
  <c r="N2462" i="1"/>
  <c r="O2462" i="1"/>
  <c r="P2462" i="1"/>
  <c r="R2462" i="1"/>
  <c r="S2462" i="1"/>
  <c r="T2462" i="1"/>
  <c r="U2462" i="1"/>
  <c r="C2461" i="1"/>
  <c r="D2461" i="1"/>
  <c r="E2461" i="1"/>
  <c r="F2461" i="1"/>
  <c r="G2461" i="1"/>
  <c r="H2461" i="1"/>
  <c r="I2461" i="1"/>
  <c r="J2461" i="1"/>
  <c r="K2461" i="1"/>
  <c r="L2461" i="1"/>
  <c r="M2461" i="1"/>
  <c r="N2461" i="1"/>
  <c r="O2461" i="1"/>
  <c r="P2461" i="1"/>
  <c r="R2461" i="1"/>
  <c r="S2461" i="1"/>
  <c r="T2461" i="1"/>
  <c r="U2461" i="1"/>
  <c r="C2460" i="1"/>
  <c r="D2460" i="1"/>
  <c r="E2460" i="1"/>
  <c r="F2460" i="1"/>
  <c r="G2460" i="1"/>
  <c r="H2460" i="1"/>
  <c r="I2460" i="1"/>
  <c r="J2460" i="1"/>
  <c r="K2460" i="1"/>
  <c r="L2460" i="1"/>
  <c r="M2460" i="1"/>
  <c r="N2460" i="1"/>
  <c r="O2460" i="1"/>
  <c r="P2460" i="1"/>
  <c r="R2460" i="1"/>
  <c r="S2460" i="1"/>
  <c r="T2460" i="1"/>
  <c r="U2460" i="1"/>
  <c r="C2459" i="1"/>
  <c r="D2459" i="1"/>
  <c r="E2459" i="1"/>
  <c r="F2459" i="1"/>
  <c r="G2459" i="1"/>
  <c r="H2459" i="1"/>
  <c r="I2459" i="1"/>
  <c r="J2459" i="1"/>
  <c r="K2459" i="1"/>
  <c r="L2459" i="1"/>
  <c r="M2459" i="1"/>
  <c r="N2459" i="1"/>
  <c r="O2459" i="1"/>
  <c r="P2459" i="1"/>
  <c r="R2459" i="1"/>
  <c r="S2459" i="1"/>
  <c r="T2459" i="1"/>
  <c r="U2459" i="1"/>
  <c r="C2458" i="1"/>
  <c r="D2458" i="1"/>
  <c r="E2458" i="1"/>
  <c r="F2458" i="1"/>
  <c r="G2458" i="1"/>
  <c r="H2458" i="1"/>
  <c r="I2458" i="1"/>
  <c r="J2458" i="1"/>
  <c r="K2458" i="1"/>
  <c r="L2458" i="1"/>
  <c r="M2458" i="1"/>
  <c r="N2458" i="1"/>
  <c r="O2458" i="1"/>
  <c r="P2458" i="1"/>
  <c r="R2458" i="1"/>
  <c r="S2458" i="1"/>
  <c r="T2458" i="1"/>
  <c r="U2458" i="1"/>
  <c r="C2457" i="1"/>
  <c r="D2457" i="1"/>
  <c r="E2457" i="1"/>
  <c r="F2457" i="1"/>
  <c r="G2457" i="1"/>
  <c r="H2457" i="1"/>
  <c r="I2457" i="1"/>
  <c r="J2457" i="1"/>
  <c r="K2457" i="1"/>
  <c r="L2457" i="1"/>
  <c r="M2457" i="1"/>
  <c r="N2457" i="1"/>
  <c r="O2457" i="1"/>
  <c r="P2457" i="1"/>
  <c r="R2457" i="1"/>
  <c r="S2457" i="1"/>
  <c r="T2457" i="1"/>
  <c r="U2457" i="1"/>
  <c r="C2456" i="1"/>
  <c r="D2456" i="1"/>
  <c r="E2456" i="1"/>
  <c r="F2456" i="1"/>
  <c r="G2456" i="1"/>
  <c r="H2456" i="1"/>
  <c r="I2456" i="1"/>
  <c r="J2456" i="1"/>
  <c r="K2456" i="1"/>
  <c r="L2456" i="1"/>
  <c r="M2456" i="1"/>
  <c r="N2456" i="1"/>
  <c r="O2456" i="1"/>
  <c r="P2456" i="1"/>
  <c r="R2456" i="1"/>
  <c r="S2456" i="1"/>
  <c r="T2456" i="1"/>
  <c r="U2456" i="1"/>
  <c r="C2455" i="1"/>
  <c r="D2455" i="1"/>
  <c r="E2455" i="1"/>
  <c r="F2455" i="1"/>
  <c r="G2455" i="1"/>
  <c r="H2455" i="1"/>
  <c r="I2455" i="1"/>
  <c r="J2455" i="1"/>
  <c r="K2455" i="1"/>
  <c r="L2455" i="1"/>
  <c r="M2455" i="1"/>
  <c r="N2455" i="1"/>
  <c r="O2455" i="1"/>
  <c r="P2455" i="1"/>
  <c r="R2455" i="1"/>
  <c r="S2455" i="1"/>
  <c r="T2455" i="1"/>
  <c r="U2455" i="1"/>
  <c r="B2454" i="1"/>
  <c r="C2454" i="1"/>
  <c r="D2454" i="1"/>
  <c r="E2454" i="1"/>
  <c r="F2454" i="1"/>
  <c r="G2454" i="1"/>
  <c r="H2454" i="1"/>
  <c r="I2454" i="1"/>
  <c r="J2454" i="1"/>
  <c r="K2454" i="1"/>
  <c r="L2454" i="1"/>
  <c r="M2454" i="1"/>
  <c r="N2454" i="1"/>
  <c r="O2454" i="1"/>
  <c r="P2454" i="1"/>
  <c r="R2454" i="1"/>
  <c r="S2454" i="1"/>
  <c r="T2454" i="1"/>
  <c r="U2454" i="1"/>
  <c r="C2453" i="1"/>
  <c r="D2453" i="1"/>
  <c r="E2453" i="1"/>
  <c r="F2453" i="1"/>
  <c r="G2453" i="1"/>
  <c r="H2453" i="1"/>
  <c r="I2453" i="1"/>
  <c r="J2453" i="1"/>
  <c r="K2453" i="1"/>
  <c r="L2453" i="1"/>
  <c r="M2453" i="1"/>
  <c r="N2453" i="1"/>
  <c r="O2453" i="1"/>
  <c r="P2453" i="1"/>
  <c r="R2453" i="1"/>
  <c r="S2453" i="1"/>
  <c r="T2453" i="1"/>
  <c r="U2453" i="1"/>
  <c r="C2452" i="1"/>
  <c r="D2452" i="1"/>
  <c r="E2452" i="1"/>
  <c r="F2452" i="1"/>
  <c r="G2452" i="1"/>
  <c r="H2452" i="1"/>
  <c r="I2452" i="1"/>
  <c r="J2452" i="1"/>
  <c r="K2452" i="1"/>
  <c r="L2452" i="1"/>
  <c r="M2452" i="1"/>
  <c r="N2452" i="1"/>
  <c r="O2452" i="1"/>
  <c r="P2452" i="1"/>
  <c r="R2452" i="1"/>
  <c r="S2452" i="1"/>
  <c r="T2452" i="1"/>
  <c r="U2452" i="1"/>
  <c r="C2451" i="1"/>
  <c r="D2451" i="1"/>
  <c r="E2451" i="1"/>
  <c r="F2451" i="1"/>
  <c r="G2451" i="1"/>
  <c r="H2451" i="1"/>
  <c r="I2451" i="1"/>
  <c r="J2451" i="1"/>
  <c r="K2451" i="1"/>
  <c r="L2451" i="1"/>
  <c r="M2451" i="1"/>
  <c r="N2451" i="1"/>
  <c r="O2451" i="1"/>
  <c r="P2451" i="1"/>
  <c r="R2451" i="1"/>
  <c r="S2451" i="1"/>
  <c r="T2451" i="1"/>
  <c r="U2451" i="1"/>
  <c r="C2450" i="1"/>
  <c r="D2450" i="1"/>
  <c r="E2450" i="1"/>
  <c r="F2450" i="1"/>
  <c r="G2450" i="1"/>
  <c r="H2450" i="1"/>
  <c r="I2450" i="1"/>
  <c r="J2450" i="1"/>
  <c r="K2450" i="1"/>
  <c r="L2450" i="1"/>
  <c r="M2450" i="1"/>
  <c r="N2450" i="1"/>
  <c r="O2450" i="1"/>
  <c r="P2450" i="1"/>
  <c r="R2450" i="1"/>
  <c r="S2450" i="1"/>
  <c r="T2450" i="1"/>
  <c r="U2450" i="1"/>
  <c r="C2449" i="1"/>
  <c r="D2449" i="1"/>
  <c r="E2449" i="1"/>
  <c r="F2449" i="1"/>
  <c r="G2449" i="1"/>
  <c r="H2449" i="1"/>
  <c r="I2449" i="1"/>
  <c r="J2449" i="1"/>
  <c r="K2449" i="1"/>
  <c r="L2449" i="1"/>
  <c r="M2449" i="1"/>
  <c r="N2449" i="1"/>
  <c r="O2449" i="1"/>
  <c r="P2449" i="1"/>
  <c r="R2449" i="1"/>
  <c r="S2449" i="1"/>
  <c r="T2449" i="1"/>
  <c r="U2449" i="1"/>
  <c r="C2448" i="1"/>
  <c r="D2448" i="1"/>
  <c r="E2448" i="1"/>
  <c r="F2448" i="1"/>
  <c r="G2448" i="1"/>
  <c r="H2448" i="1"/>
  <c r="I2448" i="1"/>
  <c r="J2448" i="1"/>
  <c r="K2448" i="1"/>
  <c r="L2448" i="1"/>
  <c r="M2448" i="1"/>
  <c r="N2448" i="1"/>
  <c r="O2448" i="1"/>
  <c r="P2448" i="1"/>
  <c r="R2448" i="1"/>
  <c r="S2448" i="1"/>
  <c r="T2448" i="1"/>
  <c r="U2448" i="1"/>
  <c r="C2447" i="1"/>
  <c r="D2447" i="1"/>
  <c r="E2447" i="1"/>
  <c r="F2447" i="1"/>
  <c r="G2447" i="1"/>
  <c r="H2447" i="1"/>
  <c r="I2447" i="1"/>
  <c r="J2447" i="1"/>
  <c r="K2447" i="1"/>
  <c r="L2447" i="1"/>
  <c r="M2447" i="1"/>
  <c r="N2447" i="1"/>
  <c r="O2447" i="1"/>
  <c r="P2447" i="1"/>
  <c r="R2447" i="1"/>
  <c r="S2447" i="1"/>
  <c r="T2447" i="1"/>
  <c r="U2447" i="1"/>
  <c r="C2446" i="1"/>
  <c r="D2446" i="1"/>
  <c r="E2446" i="1"/>
  <c r="F2446" i="1"/>
  <c r="G2446" i="1"/>
  <c r="H2446" i="1"/>
  <c r="I2446" i="1"/>
  <c r="J2446" i="1"/>
  <c r="K2446" i="1"/>
  <c r="L2446" i="1"/>
  <c r="M2446" i="1"/>
  <c r="N2446" i="1"/>
  <c r="O2446" i="1"/>
  <c r="P2446" i="1"/>
  <c r="R2446" i="1"/>
  <c r="S2446" i="1"/>
  <c r="T2446" i="1"/>
  <c r="U2446" i="1"/>
  <c r="C2445" i="1"/>
  <c r="D2445" i="1"/>
  <c r="E2445" i="1"/>
  <c r="F2445" i="1"/>
  <c r="G2445" i="1"/>
  <c r="H2445" i="1"/>
  <c r="I2445" i="1"/>
  <c r="J2445" i="1"/>
  <c r="K2445" i="1"/>
  <c r="L2445" i="1"/>
  <c r="M2445" i="1"/>
  <c r="N2445" i="1"/>
  <c r="O2445" i="1"/>
  <c r="P2445" i="1"/>
  <c r="R2445" i="1"/>
  <c r="S2445" i="1"/>
  <c r="T2445" i="1"/>
  <c r="U2445" i="1"/>
  <c r="C2444" i="1"/>
  <c r="D2444" i="1"/>
  <c r="E2444" i="1"/>
  <c r="F2444" i="1"/>
  <c r="G2444" i="1"/>
  <c r="H2444" i="1"/>
  <c r="I2444" i="1"/>
  <c r="J2444" i="1"/>
  <c r="K2444" i="1"/>
  <c r="L2444" i="1"/>
  <c r="M2444" i="1"/>
  <c r="N2444" i="1"/>
  <c r="O2444" i="1"/>
  <c r="P2444" i="1"/>
  <c r="R2444" i="1"/>
  <c r="S2444" i="1"/>
  <c r="T2444" i="1"/>
  <c r="U2444" i="1"/>
  <c r="C2443" i="1"/>
  <c r="D2443" i="1"/>
  <c r="E2443" i="1"/>
  <c r="F2443" i="1"/>
  <c r="G2443" i="1"/>
  <c r="H2443" i="1"/>
  <c r="I2443" i="1"/>
  <c r="J2443" i="1"/>
  <c r="K2443" i="1"/>
  <c r="L2443" i="1"/>
  <c r="M2443" i="1"/>
  <c r="N2443" i="1"/>
  <c r="O2443" i="1"/>
  <c r="P2443" i="1"/>
  <c r="R2443" i="1"/>
  <c r="S2443" i="1"/>
  <c r="T2443" i="1"/>
  <c r="U2443" i="1"/>
  <c r="C2442" i="1"/>
  <c r="D2442" i="1"/>
  <c r="E2442" i="1"/>
  <c r="F2442" i="1"/>
  <c r="G2442" i="1"/>
  <c r="H2442" i="1"/>
  <c r="I2442" i="1"/>
  <c r="J2442" i="1"/>
  <c r="K2442" i="1"/>
  <c r="L2442" i="1"/>
  <c r="M2442" i="1"/>
  <c r="N2442" i="1"/>
  <c r="O2442" i="1"/>
  <c r="P2442" i="1"/>
  <c r="R2442" i="1"/>
  <c r="S2442" i="1"/>
  <c r="T2442" i="1"/>
  <c r="U2442" i="1"/>
  <c r="C2441" i="1"/>
  <c r="D2441" i="1"/>
  <c r="E2441" i="1"/>
  <c r="F2441" i="1"/>
  <c r="G2441" i="1"/>
  <c r="H2441" i="1"/>
  <c r="I2441" i="1"/>
  <c r="J2441" i="1"/>
  <c r="K2441" i="1"/>
  <c r="L2441" i="1"/>
  <c r="M2441" i="1"/>
  <c r="N2441" i="1"/>
  <c r="O2441" i="1"/>
  <c r="P2441" i="1"/>
  <c r="R2441" i="1"/>
  <c r="S2441" i="1"/>
  <c r="T2441" i="1"/>
  <c r="U2441" i="1"/>
  <c r="C2440" i="1"/>
  <c r="D2440" i="1"/>
  <c r="E2440" i="1"/>
  <c r="F2440" i="1"/>
  <c r="G2440" i="1"/>
  <c r="H2440" i="1"/>
  <c r="I2440" i="1"/>
  <c r="J2440" i="1"/>
  <c r="K2440" i="1"/>
  <c r="L2440" i="1"/>
  <c r="M2440" i="1"/>
  <c r="N2440" i="1"/>
  <c r="O2440" i="1"/>
  <c r="P2440" i="1"/>
  <c r="R2440" i="1"/>
  <c r="S2440" i="1"/>
  <c r="T2440" i="1"/>
  <c r="U2440" i="1"/>
  <c r="C2439" i="1"/>
  <c r="D2439" i="1"/>
  <c r="E2439" i="1"/>
  <c r="F2439" i="1"/>
  <c r="G2439" i="1"/>
  <c r="H2439" i="1"/>
  <c r="I2439" i="1"/>
  <c r="J2439" i="1"/>
  <c r="K2439" i="1"/>
  <c r="L2439" i="1"/>
  <c r="M2439" i="1"/>
  <c r="N2439" i="1"/>
  <c r="O2439" i="1"/>
  <c r="P2439" i="1"/>
  <c r="R2439" i="1"/>
  <c r="S2439" i="1"/>
  <c r="T2439" i="1"/>
  <c r="U2439" i="1"/>
  <c r="B2438" i="1"/>
  <c r="C2438" i="1"/>
  <c r="D2438" i="1"/>
  <c r="E2438" i="1"/>
  <c r="F2438" i="1"/>
  <c r="G2438" i="1"/>
  <c r="H2438" i="1"/>
  <c r="I2438" i="1"/>
  <c r="J2438" i="1"/>
  <c r="K2438" i="1"/>
  <c r="L2438" i="1"/>
  <c r="M2438" i="1"/>
  <c r="N2438" i="1"/>
  <c r="O2438" i="1"/>
  <c r="P2438" i="1"/>
  <c r="R2438" i="1"/>
  <c r="S2438" i="1"/>
  <c r="T2438" i="1"/>
  <c r="U2438" i="1"/>
  <c r="C2437" i="1"/>
  <c r="D2437" i="1"/>
  <c r="E2437" i="1"/>
  <c r="F2437" i="1"/>
  <c r="G2437" i="1"/>
  <c r="H2437" i="1"/>
  <c r="I2437" i="1"/>
  <c r="J2437" i="1"/>
  <c r="K2437" i="1"/>
  <c r="L2437" i="1"/>
  <c r="M2437" i="1"/>
  <c r="N2437" i="1"/>
  <c r="O2437" i="1"/>
  <c r="P2437" i="1"/>
  <c r="R2437" i="1"/>
  <c r="S2437" i="1"/>
  <c r="T2437" i="1"/>
  <c r="U2437" i="1"/>
  <c r="C2436" i="1"/>
  <c r="D2436" i="1"/>
  <c r="E2436" i="1"/>
  <c r="F2436" i="1"/>
  <c r="G2436" i="1"/>
  <c r="H2436" i="1"/>
  <c r="I2436" i="1"/>
  <c r="J2436" i="1"/>
  <c r="K2436" i="1"/>
  <c r="L2436" i="1"/>
  <c r="M2436" i="1"/>
  <c r="N2436" i="1"/>
  <c r="O2436" i="1"/>
  <c r="P2436" i="1"/>
  <c r="R2436" i="1"/>
  <c r="S2436" i="1"/>
  <c r="T2436" i="1"/>
  <c r="U2436" i="1"/>
  <c r="C2435" i="1"/>
  <c r="D2435" i="1"/>
  <c r="E2435" i="1"/>
  <c r="F2435" i="1"/>
  <c r="G2435" i="1"/>
  <c r="H2435" i="1"/>
  <c r="I2435" i="1"/>
  <c r="J2435" i="1"/>
  <c r="K2435" i="1"/>
  <c r="L2435" i="1"/>
  <c r="M2435" i="1"/>
  <c r="N2435" i="1"/>
  <c r="O2435" i="1"/>
  <c r="P2435" i="1"/>
  <c r="R2435" i="1"/>
  <c r="S2435" i="1"/>
  <c r="T2435" i="1"/>
  <c r="U2435" i="1"/>
  <c r="C2434" i="1"/>
  <c r="D2434" i="1"/>
  <c r="E2434" i="1"/>
  <c r="F2434" i="1"/>
  <c r="G2434" i="1"/>
  <c r="H2434" i="1"/>
  <c r="I2434" i="1"/>
  <c r="J2434" i="1"/>
  <c r="K2434" i="1"/>
  <c r="L2434" i="1"/>
  <c r="M2434" i="1"/>
  <c r="N2434" i="1"/>
  <c r="O2434" i="1"/>
  <c r="P2434" i="1"/>
  <c r="R2434" i="1"/>
  <c r="S2434" i="1"/>
  <c r="T2434" i="1"/>
  <c r="U2434" i="1"/>
  <c r="C2433" i="1"/>
  <c r="D2433" i="1"/>
  <c r="E2433" i="1"/>
  <c r="F2433" i="1"/>
  <c r="G2433" i="1"/>
  <c r="H2433" i="1"/>
  <c r="I2433" i="1"/>
  <c r="J2433" i="1"/>
  <c r="K2433" i="1"/>
  <c r="L2433" i="1"/>
  <c r="M2433" i="1"/>
  <c r="N2433" i="1"/>
  <c r="O2433" i="1"/>
  <c r="P2433" i="1"/>
  <c r="R2433" i="1"/>
  <c r="S2433" i="1"/>
  <c r="T2433" i="1"/>
  <c r="U2433" i="1"/>
  <c r="C2432" i="1"/>
  <c r="D2432" i="1"/>
  <c r="E2432" i="1"/>
  <c r="F2432" i="1"/>
  <c r="G2432" i="1"/>
  <c r="H2432" i="1"/>
  <c r="I2432" i="1"/>
  <c r="J2432" i="1"/>
  <c r="K2432" i="1"/>
  <c r="L2432" i="1"/>
  <c r="M2432" i="1"/>
  <c r="N2432" i="1"/>
  <c r="O2432" i="1"/>
  <c r="P2432" i="1"/>
  <c r="R2432" i="1"/>
  <c r="S2432" i="1"/>
  <c r="T2432" i="1"/>
  <c r="U2432" i="1"/>
  <c r="C2431" i="1"/>
  <c r="D2431" i="1"/>
  <c r="E2431" i="1"/>
  <c r="F2431" i="1"/>
  <c r="G2431" i="1"/>
  <c r="H2431" i="1"/>
  <c r="I2431" i="1"/>
  <c r="J2431" i="1"/>
  <c r="K2431" i="1"/>
  <c r="L2431" i="1"/>
  <c r="M2431" i="1"/>
  <c r="N2431" i="1"/>
  <c r="O2431" i="1"/>
  <c r="P2431" i="1"/>
  <c r="R2431" i="1"/>
  <c r="S2431" i="1"/>
  <c r="T2431" i="1"/>
  <c r="U2431" i="1"/>
  <c r="C2430" i="1"/>
  <c r="D2430" i="1"/>
  <c r="E2430" i="1"/>
  <c r="F2430" i="1"/>
  <c r="G2430" i="1"/>
  <c r="H2430" i="1"/>
  <c r="I2430" i="1"/>
  <c r="J2430" i="1"/>
  <c r="K2430" i="1"/>
  <c r="L2430" i="1"/>
  <c r="M2430" i="1"/>
  <c r="N2430" i="1"/>
  <c r="O2430" i="1"/>
  <c r="P2430" i="1"/>
  <c r="R2430" i="1"/>
  <c r="S2430" i="1"/>
  <c r="T2430" i="1"/>
  <c r="U2430" i="1"/>
  <c r="B2429" i="1"/>
  <c r="C2429" i="1"/>
  <c r="D2429" i="1"/>
  <c r="E2429" i="1"/>
  <c r="F2429" i="1"/>
  <c r="G2429" i="1"/>
  <c r="H2429" i="1"/>
  <c r="I2429" i="1"/>
  <c r="J2429" i="1"/>
  <c r="K2429" i="1"/>
  <c r="L2429" i="1"/>
  <c r="M2429" i="1"/>
  <c r="N2429" i="1"/>
  <c r="O2429" i="1"/>
  <c r="P2429" i="1"/>
  <c r="R2429" i="1"/>
  <c r="S2429" i="1"/>
  <c r="T2429" i="1"/>
  <c r="U2429" i="1"/>
  <c r="C2428" i="1"/>
  <c r="D2428" i="1"/>
  <c r="E2428" i="1"/>
  <c r="F2428" i="1"/>
  <c r="G2428" i="1"/>
  <c r="H2428" i="1"/>
  <c r="I2428" i="1"/>
  <c r="J2428" i="1"/>
  <c r="K2428" i="1"/>
  <c r="L2428" i="1"/>
  <c r="M2428" i="1"/>
  <c r="N2428" i="1"/>
  <c r="O2428" i="1"/>
  <c r="P2428" i="1"/>
  <c r="R2428" i="1"/>
  <c r="S2428" i="1"/>
  <c r="T2428" i="1"/>
  <c r="U2428" i="1"/>
  <c r="C2427" i="1"/>
  <c r="D2427" i="1"/>
  <c r="E2427" i="1"/>
  <c r="F2427" i="1"/>
  <c r="G2427" i="1"/>
  <c r="H2427" i="1"/>
  <c r="I2427" i="1"/>
  <c r="J2427" i="1"/>
  <c r="K2427" i="1"/>
  <c r="L2427" i="1"/>
  <c r="M2427" i="1"/>
  <c r="N2427" i="1"/>
  <c r="O2427" i="1"/>
  <c r="P2427" i="1"/>
  <c r="R2427" i="1"/>
  <c r="S2427" i="1"/>
  <c r="T2427" i="1"/>
  <c r="U2427" i="1"/>
  <c r="C2426" i="1"/>
  <c r="D2426" i="1"/>
  <c r="E2426" i="1"/>
  <c r="F2426" i="1"/>
  <c r="G2426" i="1"/>
  <c r="H2426" i="1"/>
  <c r="I2426" i="1"/>
  <c r="J2426" i="1"/>
  <c r="K2426" i="1"/>
  <c r="L2426" i="1"/>
  <c r="M2426" i="1"/>
  <c r="N2426" i="1"/>
  <c r="O2426" i="1"/>
  <c r="P2426" i="1"/>
  <c r="R2426" i="1"/>
  <c r="S2426" i="1"/>
  <c r="T2426" i="1"/>
  <c r="U2426" i="1"/>
  <c r="C2425" i="1"/>
  <c r="D2425" i="1"/>
  <c r="E2425" i="1"/>
  <c r="F2425" i="1"/>
  <c r="G2425" i="1"/>
  <c r="H2425" i="1"/>
  <c r="I2425" i="1"/>
  <c r="J2425" i="1"/>
  <c r="K2425" i="1"/>
  <c r="L2425" i="1"/>
  <c r="M2425" i="1"/>
  <c r="N2425" i="1"/>
  <c r="O2425" i="1"/>
  <c r="P2425" i="1"/>
  <c r="R2425" i="1"/>
  <c r="S2425" i="1"/>
  <c r="T2425" i="1"/>
  <c r="U2425" i="1"/>
  <c r="C2424" i="1"/>
  <c r="D2424" i="1"/>
  <c r="E2424" i="1"/>
  <c r="F2424" i="1"/>
  <c r="G2424" i="1"/>
  <c r="H2424" i="1"/>
  <c r="I2424" i="1"/>
  <c r="J2424" i="1"/>
  <c r="K2424" i="1"/>
  <c r="L2424" i="1"/>
  <c r="M2424" i="1"/>
  <c r="N2424" i="1"/>
  <c r="O2424" i="1"/>
  <c r="P2424" i="1"/>
  <c r="R2424" i="1"/>
  <c r="S2424" i="1"/>
  <c r="T2424" i="1"/>
  <c r="U2424" i="1"/>
  <c r="C2423" i="1"/>
  <c r="D2423" i="1"/>
  <c r="E2423" i="1"/>
  <c r="F2423" i="1"/>
  <c r="G2423" i="1"/>
  <c r="H2423" i="1"/>
  <c r="I2423" i="1"/>
  <c r="J2423" i="1"/>
  <c r="K2423" i="1"/>
  <c r="L2423" i="1"/>
  <c r="M2423" i="1"/>
  <c r="N2423" i="1"/>
  <c r="O2423" i="1"/>
  <c r="P2423" i="1"/>
  <c r="R2423" i="1"/>
  <c r="S2423" i="1"/>
  <c r="T2423" i="1"/>
  <c r="U2423" i="1"/>
  <c r="C2422" i="1"/>
  <c r="D2422" i="1"/>
  <c r="E2422" i="1"/>
  <c r="F2422" i="1"/>
  <c r="G2422" i="1"/>
  <c r="H2422" i="1"/>
  <c r="I2422" i="1"/>
  <c r="J2422" i="1"/>
  <c r="K2422" i="1"/>
  <c r="L2422" i="1"/>
  <c r="M2422" i="1"/>
  <c r="N2422" i="1"/>
  <c r="O2422" i="1"/>
  <c r="P2422" i="1"/>
  <c r="R2422" i="1"/>
  <c r="S2422" i="1"/>
  <c r="T2422" i="1"/>
  <c r="U2422" i="1"/>
  <c r="C2421" i="1"/>
  <c r="D2421" i="1"/>
  <c r="E2421" i="1"/>
  <c r="F2421" i="1"/>
  <c r="G2421" i="1"/>
  <c r="H2421" i="1"/>
  <c r="I2421" i="1"/>
  <c r="J2421" i="1"/>
  <c r="K2421" i="1"/>
  <c r="L2421" i="1"/>
  <c r="M2421" i="1"/>
  <c r="N2421" i="1"/>
  <c r="O2421" i="1"/>
  <c r="P2421" i="1"/>
  <c r="R2421" i="1"/>
  <c r="S2421" i="1"/>
  <c r="T2421" i="1"/>
  <c r="U2421" i="1"/>
  <c r="C2420" i="1"/>
  <c r="D2420" i="1"/>
  <c r="E2420" i="1"/>
  <c r="F2420" i="1"/>
  <c r="G2420" i="1"/>
  <c r="H2420" i="1"/>
  <c r="I2420" i="1"/>
  <c r="J2420" i="1"/>
  <c r="K2420" i="1"/>
  <c r="L2420" i="1"/>
  <c r="M2420" i="1"/>
  <c r="N2420" i="1"/>
  <c r="O2420" i="1"/>
  <c r="P2420" i="1"/>
  <c r="R2420" i="1"/>
  <c r="S2420" i="1"/>
  <c r="T2420" i="1"/>
  <c r="U2420" i="1"/>
  <c r="T2419" i="1"/>
  <c r="U2419" i="1"/>
  <c r="R2419" i="1"/>
  <c r="S2419" i="1"/>
  <c r="P2419" i="1"/>
  <c r="O2419" i="1"/>
  <c r="N2419" i="1"/>
  <c r="L2419" i="1"/>
  <c r="M2419" i="1"/>
  <c r="J2419" i="1"/>
  <c r="K2419" i="1"/>
  <c r="H2419" i="1"/>
  <c r="I2419" i="1"/>
  <c r="F2419" i="1"/>
  <c r="G2419" i="1"/>
  <c r="D2419" i="1"/>
  <c r="E2419" i="1"/>
  <c r="B2419" i="1"/>
  <c r="C2419" i="1"/>
  <c r="S2358" i="1"/>
  <c r="T2358" i="1"/>
  <c r="R2358" i="1"/>
  <c r="O2358" i="1"/>
  <c r="P2358" i="1"/>
  <c r="M2358" i="1"/>
  <c r="N2358" i="1"/>
  <c r="J2358" i="1"/>
  <c r="H2358" i="1"/>
  <c r="I2358" i="1"/>
  <c r="F2358" i="1"/>
  <c r="G2358" i="1"/>
  <c r="D2358" i="1"/>
  <c r="E2358" i="1"/>
  <c r="B2358" i="1"/>
  <c r="C2358" i="1"/>
  <c r="B1496" i="1"/>
  <c r="D1496" i="1"/>
  <c r="E1496" i="1"/>
  <c r="F1496" i="1"/>
  <c r="H1496" i="1"/>
  <c r="I1496" i="1"/>
  <c r="J1496" i="1"/>
  <c r="K1496" i="1"/>
  <c r="L1496" i="1"/>
  <c r="M1496" i="1"/>
  <c r="N1496" i="1"/>
  <c r="O1496" i="1"/>
  <c r="P1496" i="1"/>
  <c r="R1496" i="1"/>
  <c r="S1496" i="1"/>
  <c r="T1496" i="1"/>
  <c r="U1496" i="1"/>
  <c r="B1495" i="1"/>
  <c r="D1495" i="1"/>
  <c r="E1495" i="1"/>
  <c r="F1495" i="1"/>
  <c r="H1495" i="1"/>
  <c r="I1495" i="1"/>
  <c r="J1495" i="1"/>
  <c r="L1495" i="1"/>
  <c r="M1495" i="1"/>
  <c r="N1495" i="1"/>
  <c r="O1495" i="1"/>
  <c r="P1495" i="1"/>
  <c r="R1495" i="1"/>
  <c r="S1495" i="1"/>
  <c r="T1495" i="1"/>
  <c r="U1495" i="1"/>
  <c r="B1494" i="1"/>
  <c r="D1494" i="1"/>
  <c r="E1494" i="1"/>
  <c r="F1494" i="1"/>
  <c r="H1494" i="1"/>
  <c r="I1494" i="1"/>
  <c r="J1494" i="1"/>
  <c r="K1494" i="1"/>
  <c r="L1494" i="1"/>
  <c r="M1494" i="1"/>
  <c r="N1494" i="1"/>
  <c r="O1494" i="1"/>
  <c r="P1494" i="1"/>
  <c r="R1494" i="1"/>
  <c r="S1494" i="1"/>
  <c r="T1494" i="1"/>
  <c r="U1494" i="1"/>
  <c r="B1493" i="1"/>
  <c r="D1493" i="1"/>
  <c r="E1493" i="1"/>
  <c r="F1493" i="1"/>
  <c r="H1493" i="1"/>
  <c r="I1493" i="1"/>
  <c r="J1493" i="1"/>
  <c r="K1493" i="1"/>
  <c r="L1493" i="1"/>
  <c r="M1493" i="1"/>
  <c r="N1493" i="1"/>
  <c r="O1493" i="1"/>
  <c r="P1493" i="1"/>
  <c r="R1493" i="1"/>
  <c r="S1493" i="1"/>
  <c r="T1493" i="1"/>
  <c r="U1493" i="1"/>
  <c r="B1492" i="1"/>
  <c r="D1492" i="1"/>
  <c r="E1492" i="1"/>
  <c r="F1492" i="1"/>
  <c r="H1492" i="1"/>
  <c r="I1492" i="1"/>
  <c r="J1492" i="1"/>
  <c r="K1492" i="1"/>
  <c r="L1492" i="1"/>
  <c r="M1492" i="1"/>
  <c r="N1492" i="1"/>
  <c r="O1492" i="1"/>
  <c r="P1492" i="1"/>
  <c r="R1492" i="1"/>
  <c r="S1492" i="1"/>
  <c r="T1492" i="1"/>
  <c r="U1492" i="1"/>
  <c r="B1491" i="1"/>
  <c r="D1491" i="1"/>
  <c r="E1491" i="1"/>
  <c r="F1491" i="1"/>
  <c r="H1491" i="1"/>
  <c r="I1491" i="1"/>
  <c r="J1491" i="1"/>
  <c r="K1491" i="1"/>
  <c r="L1491" i="1"/>
  <c r="M1491" i="1"/>
  <c r="N1491" i="1"/>
  <c r="O1491" i="1"/>
  <c r="P1491" i="1"/>
  <c r="R1491" i="1"/>
  <c r="S1491" i="1"/>
  <c r="T1491" i="1"/>
  <c r="U1491" i="1"/>
  <c r="B1490" i="1"/>
  <c r="D1490" i="1"/>
  <c r="E1490" i="1"/>
  <c r="F1490" i="1"/>
  <c r="H1490" i="1"/>
  <c r="I1490" i="1"/>
  <c r="J1490" i="1"/>
  <c r="K1490" i="1"/>
  <c r="L1490" i="1"/>
  <c r="M1490" i="1"/>
  <c r="N1490" i="1"/>
  <c r="O1490" i="1"/>
  <c r="P1490" i="1"/>
  <c r="R1490" i="1"/>
  <c r="S1490" i="1"/>
  <c r="T1490" i="1"/>
  <c r="U1490" i="1"/>
  <c r="B1489" i="1"/>
  <c r="D1489" i="1"/>
  <c r="E1489" i="1"/>
  <c r="F1489" i="1"/>
  <c r="H1489" i="1"/>
  <c r="I1489" i="1"/>
  <c r="J1489" i="1"/>
  <c r="K1489" i="1"/>
  <c r="L1489" i="1"/>
  <c r="M1489" i="1"/>
  <c r="N1489" i="1"/>
  <c r="O1489" i="1"/>
  <c r="P1489" i="1"/>
  <c r="R1489" i="1"/>
  <c r="S1489" i="1"/>
  <c r="T1489" i="1"/>
  <c r="U1489" i="1"/>
  <c r="B1488" i="1"/>
  <c r="C1488" i="1"/>
  <c r="D1488" i="1"/>
  <c r="E1488" i="1"/>
  <c r="F1488" i="1"/>
  <c r="H1488" i="1"/>
  <c r="I1488" i="1"/>
  <c r="J1488" i="1"/>
  <c r="K1488" i="1"/>
  <c r="L1488" i="1"/>
  <c r="M1488" i="1"/>
  <c r="N1488" i="1"/>
  <c r="O1488" i="1"/>
  <c r="P1488" i="1"/>
  <c r="R1488" i="1"/>
  <c r="S1488" i="1"/>
  <c r="T1488" i="1"/>
  <c r="U1488" i="1"/>
  <c r="B1487" i="1"/>
  <c r="C1487" i="1"/>
  <c r="D1487" i="1"/>
  <c r="E1487" i="1"/>
  <c r="F1487" i="1"/>
  <c r="H1487" i="1"/>
  <c r="I1487" i="1"/>
  <c r="J1487" i="1"/>
  <c r="K1487" i="1"/>
  <c r="L1487" i="1"/>
  <c r="M1487" i="1"/>
  <c r="N1487" i="1"/>
  <c r="O1487" i="1"/>
  <c r="P1487" i="1"/>
  <c r="R1487" i="1"/>
  <c r="S1487" i="1"/>
  <c r="T1487" i="1"/>
  <c r="U1487" i="1"/>
  <c r="B1486" i="1"/>
  <c r="C1486" i="1"/>
  <c r="D1486" i="1"/>
  <c r="E1486" i="1"/>
  <c r="F1486" i="1"/>
  <c r="H1486" i="1"/>
  <c r="I1486" i="1"/>
  <c r="J1486" i="1"/>
  <c r="K1486" i="1"/>
  <c r="L1486" i="1"/>
  <c r="M1486" i="1"/>
  <c r="N1486" i="1"/>
  <c r="O1486" i="1"/>
  <c r="P1486" i="1"/>
  <c r="R1486" i="1"/>
  <c r="S1486" i="1"/>
  <c r="T1486" i="1"/>
  <c r="U1486" i="1"/>
  <c r="B1485" i="1"/>
  <c r="C1485" i="1"/>
  <c r="D1485" i="1"/>
  <c r="E1485" i="1"/>
  <c r="F1485" i="1"/>
  <c r="H1485" i="1"/>
  <c r="I1485" i="1"/>
  <c r="J1485" i="1"/>
  <c r="K1485" i="1"/>
  <c r="L1485" i="1"/>
  <c r="M1485" i="1"/>
  <c r="N1485" i="1"/>
  <c r="O1485" i="1"/>
  <c r="P1485" i="1"/>
  <c r="R1485" i="1"/>
  <c r="S1485" i="1"/>
  <c r="T1485" i="1"/>
  <c r="U1485" i="1"/>
  <c r="B1484" i="1"/>
  <c r="C1484" i="1"/>
  <c r="D1484" i="1"/>
  <c r="E1484" i="1"/>
  <c r="F1484" i="1"/>
  <c r="H1484" i="1"/>
  <c r="I1484" i="1"/>
  <c r="J1484" i="1"/>
  <c r="K1484" i="1"/>
  <c r="L1484" i="1"/>
  <c r="M1484" i="1"/>
  <c r="N1484" i="1"/>
  <c r="O1484" i="1"/>
  <c r="P1484" i="1"/>
  <c r="R1484" i="1"/>
  <c r="S1484" i="1"/>
  <c r="T1484" i="1"/>
  <c r="U1484" i="1"/>
  <c r="B1483" i="1"/>
  <c r="C1483" i="1"/>
  <c r="D1483" i="1"/>
  <c r="E1483" i="1"/>
  <c r="F1483" i="1"/>
  <c r="H1483" i="1"/>
  <c r="I1483" i="1"/>
  <c r="J1483" i="1"/>
  <c r="K1483" i="1"/>
  <c r="L1483" i="1"/>
  <c r="M1483" i="1"/>
  <c r="N1483" i="1"/>
  <c r="O1483" i="1"/>
  <c r="P1483" i="1"/>
  <c r="R1483" i="1"/>
  <c r="S1483" i="1"/>
  <c r="T1483" i="1"/>
  <c r="U1483" i="1"/>
  <c r="B1482" i="1"/>
  <c r="C1482" i="1"/>
  <c r="D1482" i="1"/>
  <c r="E1482" i="1"/>
  <c r="F1482" i="1"/>
  <c r="H1482" i="1"/>
  <c r="I1482" i="1"/>
  <c r="J1482" i="1"/>
  <c r="K1482" i="1"/>
  <c r="L1482" i="1"/>
  <c r="M1482" i="1"/>
  <c r="N1482" i="1"/>
  <c r="O1482" i="1"/>
  <c r="P1482" i="1"/>
  <c r="R1482" i="1"/>
  <c r="S1482" i="1"/>
  <c r="T1482" i="1"/>
  <c r="U1482" i="1"/>
  <c r="B1481" i="1"/>
  <c r="C1481" i="1"/>
  <c r="D1481" i="1"/>
  <c r="E1481" i="1"/>
  <c r="F1481" i="1"/>
  <c r="H1481" i="1"/>
  <c r="I1481" i="1"/>
  <c r="J1481" i="1"/>
  <c r="K1481" i="1"/>
  <c r="L1481" i="1"/>
  <c r="M1481" i="1"/>
  <c r="N1481" i="1"/>
  <c r="O1481" i="1"/>
  <c r="P1481" i="1"/>
  <c r="R1481" i="1"/>
  <c r="S1481" i="1"/>
  <c r="T1481" i="1"/>
  <c r="U1481" i="1"/>
  <c r="B1480" i="1"/>
  <c r="C1480" i="1"/>
  <c r="D1480" i="1"/>
  <c r="E1480" i="1"/>
  <c r="F1480" i="1"/>
  <c r="H1480" i="1"/>
  <c r="I1480" i="1"/>
  <c r="J1480" i="1"/>
  <c r="K1480" i="1"/>
  <c r="L1480" i="1"/>
  <c r="M1480" i="1"/>
  <c r="N1480" i="1"/>
  <c r="O1480" i="1"/>
  <c r="P1480" i="1"/>
  <c r="R1480" i="1"/>
  <c r="S1480" i="1"/>
  <c r="T1480" i="1"/>
  <c r="U1480" i="1"/>
  <c r="B1479" i="1"/>
  <c r="C1479" i="1"/>
  <c r="D1479" i="1"/>
  <c r="E1479" i="1"/>
  <c r="F1479" i="1"/>
  <c r="H1479" i="1"/>
  <c r="I1479" i="1"/>
  <c r="J1479" i="1"/>
  <c r="K1479" i="1"/>
  <c r="L1479" i="1"/>
  <c r="M1479" i="1"/>
  <c r="N1479" i="1"/>
  <c r="O1479" i="1"/>
  <c r="P1479" i="1"/>
  <c r="R1479" i="1"/>
  <c r="S1479" i="1"/>
  <c r="T1479" i="1"/>
  <c r="U1479" i="1"/>
  <c r="B1478" i="1"/>
  <c r="C1478" i="1"/>
  <c r="D1478" i="1"/>
  <c r="E1478" i="1"/>
  <c r="F1478" i="1"/>
  <c r="H1478" i="1"/>
  <c r="I1478" i="1"/>
  <c r="J1478" i="1"/>
  <c r="K1478" i="1"/>
  <c r="L1478" i="1"/>
  <c r="M1478" i="1"/>
  <c r="N1478" i="1"/>
  <c r="O1478" i="1"/>
  <c r="P1478" i="1"/>
  <c r="R1478" i="1"/>
  <c r="S1478" i="1"/>
  <c r="T1478" i="1"/>
  <c r="U1478" i="1"/>
  <c r="B1477" i="1"/>
  <c r="C1477" i="1"/>
  <c r="D1477" i="1"/>
  <c r="E1477" i="1"/>
  <c r="F1477" i="1"/>
  <c r="H1477" i="1"/>
  <c r="I1477" i="1"/>
  <c r="J1477" i="1"/>
  <c r="K1477" i="1"/>
  <c r="L1477" i="1"/>
  <c r="M1477" i="1"/>
  <c r="N1477" i="1"/>
  <c r="O1477" i="1"/>
  <c r="P1477" i="1"/>
  <c r="R1477" i="1"/>
  <c r="S1477" i="1"/>
  <c r="T1477" i="1"/>
  <c r="U1477" i="1"/>
  <c r="B1476" i="1"/>
  <c r="C1476" i="1"/>
  <c r="D1476" i="1"/>
  <c r="E1476" i="1"/>
  <c r="F1476" i="1"/>
  <c r="H1476" i="1"/>
  <c r="I1476" i="1"/>
  <c r="J1476" i="1"/>
  <c r="K1476" i="1"/>
  <c r="L1476" i="1"/>
  <c r="M1476" i="1"/>
  <c r="N1476" i="1"/>
  <c r="O1476" i="1"/>
  <c r="P1476" i="1"/>
  <c r="R1476" i="1"/>
  <c r="S1476" i="1"/>
  <c r="T1476" i="1"/>
  <c r="U1476" i="1"/>
  <c r="B1475" i="1"/>
  <c r="C1475" i="1"/>
  <c r="D1475" i="1"/>
  <c r="E1475" i="1"/>
  <c r="F1475" i="1"/>
  <c r="H1475" i="1"/>
  <c r="I1475" i="1"/>
  <c r="J1475" i="1"/>
  <c r="K1475" i="1"/>
  <c r="L1475" i="1"/>
  <c r="M1475" i="1"/>
  <c r="N1475" i="1"/>
  <c r="O1475" i="1"/>
  <c r="P1475" i="1"/>
  <c r="R1475" i="1"/>
  <c r="S1475" i="1"/>
  <c r="T1475" i="1"/>
  <c r="U1475" i="1"/>
  <c r="B1474" i="1"/>
  <c r="C1474" i="1"/>
  <c r="D1474" i="1"/>
  <c r="E1474" i="1"/>
  <c r="F1474" i="1"/>
  <c r="H1474" i="1"/>
  <c r="I1474" i="1"/>
  <c r="J1474" i="1"/>
  <c r="K1474" i="1"/>
  <c r="L1474" i="1"/>
  <c r="M1474" i="1"/>
  <c r="N1474" i="1"/>
  <c r="O1474" i="1"/>
  <c r="P1474" i="1"/>
  <c r="R1474" i="1"/>
  <c r="S1474" i="1"/>
  <c r="T1474" i="1"/>
  <c r="U1474" i="1"/>
  <c r="B1473" i="1"/>
  <c r="C1473" i="1"/>
  <c r="D1473" i="1"/>
  <c r="E1473" i="1"/>
  <c r="F1473" i="1"/>
  <c r="H1473" i="1"/>
  <c r="I1473" i="1"/>
  <c r="J1473" i="1"/>
  <c r="K1473" i="1"/>
  <c r="L1473" i="1"/>
  <c r="M1473" i="1"/>
  <c r="N1473" i="1"/>
  <c r="O1473" i="1"/>
  <c r="P1473" i="1"/>
  <c r="R1473" i="1"/>
  <c r="S1473" i="1"/>
  <c r="T1473" i="1"/>
  <c r="U1473" i="1"/>
  <c r="B1472" i="1"/>
  <c r="D1472" i="1"/>
  <c r="E1472" i="1"/>
  <c r="F1472" i="1"/>
  <c r="H1472" i="1"/>
  <c r="I1472" i="1"/>
  <c r="J1472" i="1"/>
  <c r="K1472" i="1"/>
  <c r="L1472" i="1"/>
  <c r="M1472" i="1"/>
  <c r="N1472" i="1"/>
  <c r="O1472" i="1"/>
  <c r="P1472" i="1"/>
  <c r="R1472" i="1"/>
  <c r="S1472" i="1"/>
  <c r="T1472" i="1"/>
  <c r="U1472" i="1"/>
  <c r="B1471" i="1"/>
  <c r="D1471" i="1"/>
  <c r="E1471" i="1"/>
  <c r="F1471" i="1"/>
  <c r="H1471" i="1"/>
  <c r="I1471" i="1"/>
  <c r="J1471" i="1"/>
  <c r="K1471" i="1"/>
  <c r="L1471" i="1"/>
  <c r="M1471" i="1"/>
  <c r="N1471" i="1"/>
  <c r="O1471" i="1"/>
  <c r="P1471" i="1"/>
  <c r="R1471" i="1"/>
  <c r="S1471" i="1"/>
  <c r="T1471" i="1"/>
  <c r="U1471" i="1"/>
  <c r="B1470" i="1"/>
  <c r="D1470" i="1"/>
  <c r="E1470" i="1"/>
  <c r="F1470" i="1"/>
  <c r="H1470" i="1"/>
  <c r="I1470" i="1"/>
  <c r="J1470" i="1"/>
  <c r="K1470" i="1"/>
  <c r="L1470" i="1"/>
  <c r="M1470" i="1"/>
  <c r="N1470" i="1"/>
  <c r="O1470" i="1"/>
  <c r="P1470" i="1"/>
  <c r="R1470" i="1"/>
  <c r="S1470" i="1"/>
  <c r="T1470" i="1"/>
  <c r="U1470" i="1"/>
  <c r="B1469" i="1"/>
  <c r="D1469" i="1"/>
  <c r="E1469" i="1"/>
  <c r="F1469" i="1"/>
  <c r="H1469" i="1"/>
  <c r="I1469" i="1"/>
  <c r="J1469" i="1"/>
  <c r="K1469" i="1"/>
  <c r="L1469" i="1"/>
  <c r="M1469" i="1"/>
  <c r="N1469" i="1"/>
  <c r="O1469" i="1"/>
  <c r="P1469" i="1"/>
  <c r="R1469" i="1"/>
  <c r="S1469" i="1"/>
  <c r="T1469" i="1"/>
  <c r="U1469" i="1"/>
  <c r="B1468" i="1"/>
  <c r="D1468" i="1"/>
  <c r="E1468" i="1"/>
  <c r="F1468" i="1"/>
  <c r="H1468" i="1"/>
  <c r="I1468" i="1"/>
  <c r="J1468" i="1"/>
  <c r="K1468" i="1"/>
  <c r="L1468" i="1"/>
  <c r="M1468" i="1"/>
  <c r="N1468" i="1"/>
  <c r="O1468" i="1"/>
  <c r="P1468" i="1"/>
  <c r="R1468" i="1"/>
  <c r="S1468" i="1"/>
  <c r="T1468" i="1"/>
  <c r="U1468" i="1"/>
  <c r="B1467" i="1"/>
  <c r="D1467" i="1"/>
  <c r="E1467" i="1"/>
  <c r="F1467" i="1"/>
  <c r="H1467" i="1"/>
  <c r="I1467" i="1"/>
  <c r="J1467" i="1"/>
  <c r="K1467" i="1"/>
  <c r="L1467" i="1"/>
  <c r="M1467" i="1"/>
  <c r="N1467" i="1"/>
  <c r="O1467" i="1"/>
  <c r="P1467" i="1"/>
  <c r="R1467" i="1"/>
  <c r="S1467" i="1"/>
  <c r="T1467" i="1"/>
  <c r="U1467" i="1"/>
  <c r="B1466" i="1"/>
  <c r="D1466" i="1"/>
  <c r="E1466" i="1"/>
  <c r="F1466" i="1"/>
  <c r="H1466" i="1"/>
  <c r="I1466" i="1"/>
  <c r="J1466" i="1"/>
  <c r="K1466" i="1"/>
  <c r="L1466" i="1"/>
  <c r="M1466" i="1"/>
  <c r="N1466" i="1"/>
  <c r="O1466" i="1"/>
  <c r="P1466" i="1"/>
  <c r="R1466" i="1"/>
  <c r="S1466" i="1"/>
  <c r="T1466" i="1"/>
  <c r="U1466" i="1"/>
  <c r="B1465" i="1"/>
  <c r="D1465" i="1"/>
  <c r="E1465" i="1"/>
  <c r="F1465" i="1"/>
  <c r="H1465" i="1"/>
  <c r="I1465" i="1"/>
  <c r="J1465" i="1"/>
  <c r="K1465" i="1"/>
  <c r="L1465" i="1"/>
  <c r="M1465" i="1"/>
  <c r="N1465" i="1"/>
  <c r="O1465" i="1"/>
  <c r="P1465" i="1"/>
  <c r="R1465" i="1"/>
  <c r="S1465" i="1"/>
  <c r="T1465" i="1"/>
  <c r="U1465" i="1"/>
  <c r="B1464" i="1"/>
  <c r="D1464" i="1"/>
  <c r="E1464" i="1"/>
  <c r="F1464" i="1"/>
  <c r="H1464" i="1"/>
  <c r="I1464" i="1"/>
  <c r="J1464" i="1"/>
  <c r="K1464" i="1"/>
  <c r="L1464" i="1"/>
  <c r="M1464" i="1"/>
  <c r="N1464" i="1"/>
  <c r="O1464" i="1"/>
  <c r="P1464" i="1"/>
  <c r="R1464" i="1"/>
  <c r="S1464" i="1"/>
  <c r="T1464" i="1"/>
  <c r="U1464" i="1"/>
  <c r="B1463" i="1"/>
  <c r="D1463" i="1"/>
  <c r="E1463" i="1"/>
  <c r="F1463" i="1"/>
  <c r="H1463" i="1"/>
  <c r="I1463" i="1"/>
  <c r="J1463" i="1"/>
  <c r="K1463" i="1"/>
  <c r="L1463" i="1"/>
  <c r="M1463" i="1"/>
  <c r="N1463" i="1"/>
  <c r="O1463" i="1"/>
  <c r="P1463" i="1"/>
  <c r="R1463" i="1"/>
  <c r="S1463" i="1"/>
  <c r="T1463" i="1"/>
  <c r="U1463" i="1"/>
  <c r="B1462" i="1"/>
  <c r="D1462" i="1"/>
  <c r="E1462" i="1"/>
  <c r="F1462" i="1"/>
  <c r="H1462" i="1"/>
  <c r="I1462" i="1"/>
  <c r="J1462" i="1"/>
  <c r="K1462" i="1"/>
  <c r="L1462" i="1"/>
  <c r="M1462" i="1"/>
  <c r="N1462" i="1"/>
  <c r="O1462" i="1"/>
  <c r="P1462" i="1"/>
  <c r="R1462" i="1"/>
  <c r="S1462" i="1"/>
  <c r="T1462" i="1"/>
  <c r="U1462" i="1"/>
  <c r="B1461" i="1"/>
  <c r="D1461" i="1"/>
  <c r="E1461" i="1"/>
  <c r="F1461" i="1"/>
  <c r="H1461" i="1"/>
  <c r="I1461" i="1"/>
  <c r="J1461" i="1"/>
  <c r="K1461" i="1"/>
  <c r="L1461" i="1"/>
  <c r="M1461" i="1"/>
  <c r="N1461" i="1"/>
  <c r="O1461" i="1"/>
  <c r="P1461" i="1"/>
  <c r="R1461" i="1"/>
  <c r="S1461" i="1"/>
  <c r="T1461" i="1"/>
  <c r="U1461" i="1"/>
  <c r="B1460" i="1"/>
  <c r="D1460" i="1"/>
  <c r="E1460" i="1"/>
  <c r="F1460" i="1"/>
  <c r="H1460" i="1"/>
  <c r="I1460" i="1"/>
  <c r="J1460" i="1"/>
  <c r="K1460" i="1"/>
  <c r="L1460" i="1"/>
  <c r="M1460" i="1"/>
  <c r="N1460" i="1"/>
  <c r="O1460" i="1"/>
  <c r="P1460" i="1"/>
  <c r="R1460" i="1"/>
  <c r="S1460" i="1"/>
  <c r="T1460" i="1"/>
  <c r="U1460" i="1"/>
  <c r="B1459" i="1"/>
  <c r="D1459" i="1"/>
  <c r="E1459" i="1"/>
  <c r="F1459" i="1"/>
  <c r="H1459" i="1"/>
  <c r="I1459" i="1"/>
  <c r="J1459" i="1"/>
  <c r="K1459" i="1"/>
  <c r="L1459" i="1"/>
  <c r="M1459" i="1"/>
  <c r="N1459" i="1"/>
  <c r="O1459" i="1"/>
  <c r="P1459" i="1"/>
  <c r="R1459" i="1"/>
  <c r="S1459" i="1"/>
  <c r="T1459" i="1"/>
  <c r="U1459" i="1"/>
  <c r="B1458" i="1"/>
  <c r="D1458" i="1"/>
  <c r="E1458" i="1"/>
  <c r="F1458" i="1"/>
  <c r="H1458" i="1"/>
  <c r="I1458" i="1"/>
  <c r="J1458" i="1"/>
  <c r="K1458" i="1"/>
  <c r="L1458" i="1"/>
  <c r="M1458" i="1"/>
  <c r="N1458" i="1"/>
  <c r="O1458" i="1"/>
  <c r="P1458" i="1"/>
  <c r="R1458" i="1"/>
  <c r="S1458" i="1"/>
  <c r="T1458" i="1"/>
  <c r="U1458" i="1"/>
  <c r="B1457" i="1"/>
  <c r="D1457" i="1"/>
  <c r="E1457" i="1"/>
  <c r="F1457" i="1"/>
  <c r="H1457" i="1"/>
  <c r="I1457" i="1"/>
  <c r="J1457" i="1"/>
  <c r="K1457" i="1"/>
  <c r="L1457" i="1"/>
  <c r="M1457" i="1"/>
  <c r="N1457" i="1"/>
  <c r="O1457" i="1"/>
  <c r="P1457" i="1"/>
  <c r="R1457" i="1"/>
  <c r="S1457" i="1"/>
  <c r="T1457" i="1"/>
  <c r="U1457" i="1"/>
  <c r="B1456" i="1"/>
  <c r="D1456" i="1"/>
  <c r="E1456" i="1"/>
  <c r="F1456" i="1"/>
  <c r="H1456" i="1"/>
  <c r="I1456" i="1"/>
  <c r="J1456" i="1"/>
  <c r="K1456" i="1"/>
  <c r="L1456" i="1"/>
  <c r="M1456" i="1"/>
  <c r="N1456" i="1"/>
  <c r="O1456" i="1"/>
  <c r="P1456" i="1"/>
  <c r="R1456" i="1"/>
  <c r="S1456" i="1"/>
  <c r="T1456" i="1"/>
  <c r="U1456" i="1"/>
  <c r="B1455" i="1"/>
  <c r="D1455" i="1"/>
  <c r="E1455" i="1"/>
  <c r="F1455" i="1"/>
  <c r="H1455" i="1"/>
  <c r="I1455" i="1"/>
  <c r="J1455" i="1"/>
  <c r="K1455" i="1"/>
  <c r="L1455" i="1"/>
  <c r="M1455" i="1"/>
  <c r="N1455" i="1"/>
  <c r="O1455" i="1"/>
  <c r="P1455" i="1"/>
  <c r="R1455" i="1"/>
  <c r="S1455" i="1"/>
  <c r="T1455" i="1"/>
  <c r="U1455" i="1"/>
  <c r="B1454" i="1"/>
  <c r="D1454" i="1"/>
  <c r="E1454" i="1"/>
  <c r="F1454" i="1"/>
  <c r="H1454" i="1"/>
  <c r="I1454" i="1"/>
  <c r="J1454" i="1"/>
  <c r="K1454" i="1"/>
  <c r="L1454" i="1"/>
  <c r="M1454" i="1"/>
  <c r="N1454" i="1"/>
  <c r="O1454" i="1"/>
  <c r="P1454" i="1"/>
  <c r="R1454" i="1"/>
  <c r="S1454" i="1"/>
  <c r="T1454" i="1"/>
  <c r="U1454" i="1"/>
  <c r="B1453" i="1"/>
  <c r="D1453" i="1"/>
  <c r="E1453" i="1"/>
  <c r="F1453" i="1"/>
  <c r="H1453" i="1"/>
  <c r="I1453" i="1"/>
  <c r="J1453" i="1"/>
  <c r="K1453" i="1"/>
  <c r="L1453" i="1"/>
  <c r="M1453" i="1"/>
  <c r="N1453" i="1"/>
  <c r="O1453" i="1"/>
  <c r="P1453" i="1"/>
  <c r="R1453" i="1"/>
  <c r="S1453" i="1"/>
  <c r="T1453" i="1"/>
  <c r="U1453" i="1"/>
  <c r="B1452" i="1"/>
  <c r="D1452" i="1"/>
  <c r="E1452" i="1"/>
  <c r="F1452" i="1"/>
  <c r="H1452" i="1"/>
  <c r="I1452" i="1"/>
  <c r="J1452" i="1"/>
  <c r="K1452" i="1"/>
  <c r="L1452" i="1"/>
  <c r="M1452" i="1"/>
  <c r="N1452" i="1"/>
  <c r="O1452" i="1"/>
  <c r="P1452" i="1"/>
  <c r="R1452" i="1"/>
  <c r="S1452" i="1"/>
  <c r="T1452" i="1"/>
  <c r="U1452" i="1"/>
  <c r="B1451" i="1"/>
  <c r="D1451" i="1"/>
  <c r="E1451" i="1"/>
  <c r="F1451" i="1"/>
  <c r="H1451" i="1"/>
  <c r="I1451" i="1"/>
  <c r="J1451" i="1"/>
  <c r="K1451" i="1"/>
  <c r="L1451" i="1"/>
  <c r="M1451" i="1"/>
  <c r="N1451" i="1"/>
  <c r="O1451" i="1"/>
  <c r="P1451" i="1"/>
  <c r="R1451" i="1"/>
  <c r="S1451" i="1"/>
  <c r="T1451" i="1"/>
  <c r="U1451" i="1"/>
  <c r="B1450" i="1"/>
  <c r="D1450" i="1"/>
  <c r="E1450" i="1"/>
  <c r="F1450" i="1"/>
  <c r="H1450" i="1"/>
  <c r="I1450" i="1"/>
  <c r="J1450" i="1"/>
  <c r="K1450" i="1"/>
  <c r="L1450" i="1"/>
  <c r="M1450" i="1"/>
  <c r="N1450" i="1"/>
  <c r="O1450" i="1"/>
  <c r="P1450" i="1"/>
  <c r="R1450" i="1"/>
  <c r="S1450" i="1"/>
  <c r="T1450" i="1"/>
  <c r="U1450" i="1"/>
  <c r="B1449" i="1"/>
  <c r="D1449" i="1"/>
  <c r="E1449" i="1"/>
  <c r="F1449" i="1"/>
  <c r="H1449" i="1"/>
  <c r="I1449" i="1"/>
  <c r="J1449" i="1"/>
  <c r="K1449" i="1"/>
  <c r="L1449" i="1"/>
  <c r="M1449" i="1"/>
  <c r="N1449" i="1"/>
  <c r="O1449" i="1"/>
  <c r="P1449" i="1"/>
  <c r="R1449" i="1"/>
  <c r="S1449" i="1"/>
  <c r="T1449" i="1"/>
  <c r="U1449" i="1"/>
  <c r="B1448" i="1"/>
  <c r="C1448" i="1"/>
  <c r="D1448" i="1"/>
  <c r="E1448" i="1"/>
  <c r="F1448" i="1"/>
  <c r="H1448" i="1"/>
  <c r="I1448" i="1"/>
  <c r="J1448" i="1"/>
  <c r="K1448" i="1"/>
  <c r="L1448" i="1"/>
  <c r="M1448" i="1"/>
  <c r="N1448" i="1"/>
  <c r="O1448" i="1"/>
  <c r="P1448" i="1"/>
  <c r="R1448" i="1"/>
  <c r="S1448" i="1"/>
  <c r="T1448" i="1"/>
  <c r="U1448" i="1"/>
  <c r="B1447" i="1"/>
  <c r="C1447" i="1"/>
  <c r="D1447" i="1"/>
  <c r="E1447" i="1"/>
  <c r="F1447" i="1"/>
  <c r="H1447" i="1"/>
  <c r="I1447" i="1"/>
  <c r="J1447" i="1"/>
  <c r="K1447" i="1"/>
  <c r="L1447" i="1"/>
  <c r="M1447" i="1"/>
  <c r="N1447" i="1"/>
  <c r="O1447" i="1"/>
  <c r="P1447" i="1"/>
  <c r="R1447" i="1"/>
  <c r="S1447" i="1"/>
  <c r="T1447" i="1"/>
  <c r="U1447" i="1"/>
  <c r="B1446" i="1"/>
  <c r="C1446" i="1"/>
  <c r="D1446" i="1"/>
  <c r="E1446" i="1"/>
  <c r="F1446" i="1"/>
  <c r="H1446" i="1"/>
  <c r="I1446" i="1"/>
  <c r="J1446" i="1"/>
  <c r="K1446" i="1"/>
  <c r="L1446" i="1"/>
  <c r="M1446" i="1"/>
  <c r="N1446" i="1"/>
  <c r="O1446" i="1"/>
  <c r="P1446" i="1"/>
  <c r="R1446" i="1"/>
  <c r="S1446" i="1"/>
  <c r="T1446" i="1"/>
  <c r="U1446" i="1"/>
  <c r="B1445" i="1"/>
  <c r="C1445" i="1"/>
  <c r="D1445" i="1"/>
  <c r="E1445" i="1"/>
  <c r="F1445" i="1"/>
  <c r="H1445" i="1"/>
  <c r="I1445" i="1"/>
  <c r="J1445" i="1"/>
  <c r="K1445" i="1"/>
  <c r="L1445" i="1"/>
  <c r="M1445" i="1"/>
  <c r="N1445" i="1"/>
  <c r="O1445" i="1"/>
  <c r="P1445" i="1"/>
  <c r="R1445" i="1"/>
  <c r="S1445" i="1"/>
  <c r="T1445" i="1"/>
  <c r="U1445" i="1"/>
  <c r="B1444" i="1"/>
  <c r="C1444" i="1"/>
  <c r="D1444" i="1"/>
  <c r="E1444" i="1"/>
  <c r="F1444" i="1"/>
  <c r="H1444" i="1"/>
  <c r="I1444" i="1"/>
  <c r="J1444" i="1"/>
  <c r="K1444" i="1"/>
  <c r="L1444" i="1"/>
  <c r="M1444" i="1"/>
  <c r="N1444" i="1"/>
  <c r="O1444" i="1"/>
  <c r="P1444" i="1"/>
  <c r="R1444" i="1"/>
  <c r="S1444" i="1"/>
  <c r="T1444" i="1"/>
  <c r="U1444" i="1"/>
  <c r="B1443" i="1"/>
  <c r="C1443" i="1"/>
  <c r="D1443" i="1"/>
  <c r="E1443" i="1"/>
  <c r="F1443" i="1"/>
  <c r="H1443" i="1"/>
  <c r="I1443" i="1"/>
  <c r="J1443" i="1"/>
  <c r="K1443" i="1"/>
  <c r="L1443" i="1"/>
  <c r="M1443" i="1"/>
  <c r="N1443" i="1"/>
  <c r="O1443" i="1"/>
  <c r="P1443" i="1"/>
  <c r="R1443" i="1"/>
  <c r="S1443" i="1"/>
  <c r="T1443" i="1"/>
  <c r="U1443" i="1"/>
  <c r="B1442" i="1"/>
  <c r="C1442" i="1"/>
  <c r="D1442" i="1"/>
  <c r="E1442" i="1"/>
  <c r="F1442" i="1"/>
  <c r="H1442" i="1"/>
  <c r="I1442" i="1"/>
  <c r="J1442" i="1"/>
  <c r="K1442" i="1"/>
  <c r="L1442" i="1"/>
  <c r="M1442" i="1"/>
  <c r="N1442" i="1"/>
  <c r="O1442" i="1"/>
  <c r="P1442" i="1"/>
  <c r="R1442" i="1"/>
  <c r="S1442" i="1"/>
  <c r="T1442" i="1"/>
  <c r="U1442" i="1"/>
  <c r="B1441" i="1"/>
  <c r="C1441" i="1"/>
  <c r="D1441" i="1"/>
  <c r="E1441" i="1"/>
  <c r="F1441" i="1"/>
  <c r="H1441" i="1"/>
  <c r="I1441" i="1"/>
  <c r="J1441" i="1"/>
  <c r="K1441" i="1"/>
  <c r="L1441" i="1"/>
  <c r="M1441" i="1"/>
  <c r="N1441" i="1"/>
  <c r="O1441" i="1"/>
  <c r="P1441" i="1"/>
  <c r="R1441" i="1"/>
  <c r="S1441" i="1"/>
  <c r="T1441" i="1"/>
  <c r="U1441" i="1"/>
  <c r="B1440" i="1"/>
  <c r="C1440" i="1"/>
  <c r="D1440" i="1"/>
  <c r="E1440" i="1"/>
  <c r="F1440" i="1"/>
  <c r="H1440" i="1"/>
  <c r="I1440" i="1"/>
  <c r="J1440" i="1"/>
  <c r="K1440" i="1"/>
  <c r="L1440" i="1"/>
  <c r="M1440" i="1"/>
  <c r="N1440" i="1"/>
  <c r="O1440" i="1"/>
  <c r="P1440" i="1"/>
  <c r="R1440" i="1"/>
  <c r="S1440" i="1"/>
  <c r="T1440" i="1"/>
  <c r="U1440" i="1"/>
  <c r="B1439" i="1"/>
  <c r="C1439" i="1"/>
  <c r="D1439" i="1"/>
  <c r="E1439" i="1"/>
  <c r="F1439" i="1"/>
  <c r="H1439" i="1"/>
  <c r="I1439" i="1"/>
  <c r="J1439" i="1"/>
  <c r="K1439" i="1"/>
  <c r="L1439" i="1"/>
  <c r="M1439" i="1"/>
  <c r="N1439" i="1"/>
  <c r="O1439" i="1"/>
  <c r="P1439" i="1"/>
  <c r="R1439" i="1"/>
  <c r="S1439" i="1"/>
  <c r="T1439" i="1"/>
  <c r="U1439" i="1"/>
  <c r="B1438" i="1"/>
  <c r="C1438" i="1"/>
  <c r="D1438" i="1"/>
  <c r="E1438" i="1"/>
  <c r="F1438" i="1"/>
  <c r="H1438" i="1"/>
  <c r="I1438" i="1"/>
  <c r="J1438" i="1"/>
  <c r="K1438" i="1"/>
  <c r="L1438" i="1"/>
  <c r="M1438" i="1"/>
  <c r="N1438" i="1"/>
  <c r="O1438" i="1"/>
  <c r="P1438" i="1"/>
  <c r="R1438" i="1"/>
  <c r="S1438" i="1"/>
  <c r="T1438" i="1"/>
  <c r="U1438" i="1"/>
  <c r="B1437" i="1"/>
  <c r="C1437" i="1"/>
  <c r="D1437" i="1"/>
  <c r="E1437" i="1"/>
  <c r="F1437" i="1"/>
  <c r="H1437" i="1"/>
  <c r="I1437" i="1"/>
  <c r="J1437" i="1"/>
  <c r="K1437" i="1"/>
  <c r="L1437" i="1"/>
  <c r="M1437" i="1"/>
  <c r="N1437" i="1"/>
  <c r="O1437" i="1"/>
  <c r="P1437" i="1"/>
  <c r="R1437" i="1"/>
  <c r="S1437" i="1"/>
  <c r="T1437" i="1"/>
  <c r="U1437" i="1"/>
  <c r="B1436" i="1"/>
  <c r="C1436" i="1"/>
  <c r="D1436" i="1"/>
  <c r="E1436" i="1"/>
  <c r="F1436" i="1"/>
  <c r="H1436" i="1"/>
  <c r="I1436" i="1"/>
  <c r="J1436" i="1"/>
  <c r="K1436" i="1"/>
  <c r="L1436" i="1"/>
  <c r="M1436" i="1"/>
  <c r="N1436" i="1"/>
  <c r="O1436" i="1"/>
  <c r="P1436" i="1"/>
  <c r="R1436" i="1"/>
  <c r="S1436" i="1"/>
  <c r="T1436" i="1"/>
  <c r="U1436" i="1"/>
  <c r="B1435" i="1"/>
  <c r="C1435" i="1"/>
  <c r="D1435" i="1"/>
  <c r="E1435" i="1"/>
  <c r="F1435" i="1"/>
  <c r="H1435" i="1"/>
  <c r="I1435" i="1"/>
  <c r="J1435" i="1"/>
  <c r="K1435" i="1"/>
  <c r="L1435" i="1"/>
  <c r="M1435" i="1"/>
  <c r="N1435" i="1"/>
  <c r="O1435" i="1"/>
  <c r="P1435" i="1"/>
  <c r="R1435" i="1"/>
  <c r="S1435" i="1"/>
  <c r="T1435" i="1"/>
  <c r="U1435" i="1"/>
  <c r="B1434" i="1"/>
  <c r="C1434" i="1"/>
  <c r="D1434" i="1"/>
  <c r="E1434" i="1"/>
  <c r="F1434" i="1"/>
  <c r="H1434" i="1"/>
  <c r="I1434" i="1"/>
  <c r="J1434" i="1"/>
  <c r="K1434" i="1"/>
  <c r="L1434" i="1"/>
  <c r="M1434" i="1"/>
  <c r="N1434" i="1"/>
  <c r="O1434" i="1"/>
  <c r="P1434" i="1"/>
  <c r="R1434" i="1"/>
  <c r="S1434" i="1"/>
  <c r="T1434" i="1"/>
  <c r="U1434" i="1"/>
  <c r="B1433" i="1"/>
  <c r="C1433" i="1"/>
  <c r="D1433" i="1"/>
  <c r="E1433" i="1"/>
  <c r="F1433" i="1"/>
  <c r="H1433" i="1"/>
  <c r="I1433" i="1"/>
  <c r="J1433" i="1"/>
  <c r="K1433" i="1"/>
  <c r="L1433" i="1"/>
  <c r="M1433" i="1"/>
  <c r="N1433" i="1"/>
  <c r="O1433" i="1"/>
  <c r="P1433" i="1"/>
  <c r="R1433" i="1"/>
  <c r="S1433" i="1"/>
  <c r="T1433" i="1"/>
  <c r="U1433" i="1"/>
  <c r="B1432" i="1"/>
  <c r="C1432" i="1"/>
  <c r="D1432" i="1"/>
  <c r="E1432" i="1"/>
  <c r="F1432" i="1"/>
  <c r="H1432" i="1"/>
  <c r="I1432" i="1"/>
  <c r="J1432" i="1"/>
  <c r="K1432" i="1"/>
  <c r="L1432" i="1"/>
  <c r="M1432" i="1"/>
  <c r="N1432" i="1"/>
  <c r="O1432" i="1"/>
  <c r="P1432" i="1"/>
  <c r="R1432" i="1"/>
  <c r="S1432" i="1"/>
  <c r="T1432" i="1"/>
  <c r="U1432" i="1"/>
  <c r="B1431" i="1"/>
  <c r="C1431" i="1"/>
  <c r="D1431" i="1"/>
  <c r="E1431" i="1"/>
  <c r="F1431" i="1"/>
  <c r="H1431" i="1"/>
  <c r="I1431" i="1"/>
  <c r="J1431" i="1"/>
  <c r="K1431" i="1"/>
  <c r="L1431" i="1"/>
  <c r="M1431" i="1"/>
  <c r="N1431" i="1"/>
  <c r="O1431" i="1"/>
  <c r="P1431" i="1"/>
  <c r="R1431" i="1"/>
  <c r="S1431" i="1"/>
  <c r="T1431" i="1"/>
  <c r="U1431" i="1"/>
  <c r="B1430" i="1"/>
  <c r="C1430" i="1"/>
  <c r="D1430" i="1"/>
  <c r="E1430" i="1"/>
  <c r="F1430" i="1"/>
  <c r="H1430" i="1"/>
  <c r="I1430" i="1"/>
  <c r="J1430" i="1"/>
  <c r="K1430" i="1"/>
  <c r="L1430" i="1"/>
  <c r="M1430" i="1"/>
  <c r="N1430" i="1"/>
  <c r="O1430" i="1"/>
  <c r="P1430" i="1"/>
  <c r="R1430" i="1"/>
  <c r="S1430" i="1"/>
  <c r="T1430" i="1"/>
  <c r="U1430" i="1"/>
  <c r="B1429" i="1"/>
  <c r="C1429" i="1"/>
  <c r="D1429" i="1"/>
  <c r="E1429" i="1"/>
  <c r="F1429" i="1"/>
  <c r="H1429" i="1"/>
  <c r="I1429" i="1"/>
  <c r="J1429" i="1"/>
  <c r="K1429" i="1"/>
  <c r="L1429" i="1"/>
  <c r="M1429" i="1"/>
  <c r="N1429" i="1"/>
  <c r="O1429" i="1"/>
  <c r="P1429" i="1"/>
  <c r="R1429" i="1"/>
  <c r="S1429" i="1"/>
  <c r="T1429" i="1"/>
  <c r="U1429" i="1"/>
  <c r="B1428" i="1"/>
  <c r="C1428" i="1"/>
  <c r="D1428" i="1"/>
  <c r="E1428" i="1"/>
  <c r="F1428" i="1"/>
  <c r="H1428" i="1"/>
  <c r="I1428" i="1"/>
  <c r="J1428" i="1"/>
  <c r="K1428" i="1"/>
  <c r="L1428" i="1"/>
  <c r="M1428" i="1"/>
  <c r="N1428" i="1"/>
  <c r="O1428" i="1"/>
  <c r="P1428" i="1"/>
  <c r="R1428" i="1"/>
  <c r="S1428" i="1"/>
  <c r="T1428" i="1"/>
  <c r="U1428" i="1"/>
  <c r="B1427" i="1"/>
  <c r="C1427" i="1"/>
  <c r="D1427" i="1"/>
  <c r="E1427" i="1"/>
  <c r="F1427" i="1"/>
  <c r="H1427" i="1"/>
  <c r="I1427" i="1"/>
  <c r="J1427" i="1"/>
  <c r="K1427" i="1"/>
  <c r="L1427" i="1"/>
  <c r="M1427" i="1"/>
  <c r="N1427" i="1"/>
  <c r="O1427" i="1"/>
  <c r="P1427" i="1"/>
  <c r="R1427" i="1"/>
  <c r="S1427" i="1"/>
  <c r="T1427" i="1"/>
  <c r="U1427" i="1"/>
  <c r="B1426" i="1"/>
  <c r="C1426" i="1"/>
  <c r="D1426" i="1"/>
  <c r="E1426" i="1"/>
  <c r="F1426" i="1"/>
  <c r="H1426" i="1"/>
  <c r="I1426" i="1"/>
  <c r="J1426" i="1"/>
  <c r="K1426" i="1"/>
  <c r="L1426" i="1"/>
  <c r="M1426" i="1"/>
  <c r="N1426" i="1"/>
  <c r="O1426" i="1"/>
  <c r="P1426" i="1"/>
  <c r="R1426" i="1"/>
  <c r="S1426" i="1"/>
  <c r="T1426" i="1"/>
  <c r="U1426" i="1"/>
  <c r="B1425" i="1"/>
  <c r="C1425" i="1"/>
  <c r="D1425" i="1"/>
  <c r="E1425" i="1"/>
  <c r="F1425" i="1"/>
  <c r="H1425" i="1"/>
  <c r="I1425" i="1"/>
  <c r="J1425" i="1"/>
  <c r="K1425" i="1"/>
  <c r="L1425" i="1"/>
  <c r="M1425" i="1"/>
  <c r="N1425" i="1"/>
  <c r="O1425" i="1"/>
  <c r="P1425" i="1"/>
  <c r="R1425" i="1"/>
  <c r="S1425" i="1"/>
  <c r="T1425" i="1"/>
  <c r="U1425" i="1"/>
  <c r="B1424" i="1"/>
  <c r="C1424" i="1"/>
  <c r="D1424" i="1"/>
  <c r="E1424" i="1"/>
  <c r="F1424" i="1"/>
  <c r="H1424" i="1"/>
  <c r="I1424" i="1"/>
  <c r="J1424" i="1"/>
  <c r="K1424" i="1"/>
  <c r="L1424" i="1"/>
  <c r="M1424" i="1"/>
  <c r="N1424" i="1"/>
  <c r="O1424" i="1"/>
  <c r="P1424" i="1"/>
  <c r="R1424" i="1"/>
  <c r="S1424" i="1"/>
  <c r="T1424" i="1"/>
  <c r="U1424" i="1"/>
  <c r="B1423" i="1"/>
  <c r="C1423" i="1"/>
  <c r="D1423" i="1"/>
  <c r="E1423" i="1"/>
  <c r="F1423" i="1"/>
  <c r="H1423" i="1"/>
  <c r="I1423" i="1"/>
  <c r="J1423" i="1"/>
  <c r="K1423" i="1"/>
  <c r="L1423" i="1"/>
  <c r="M1423" i="1"/>
  <c r="N1423" i="1"/>
  <c r="O1423" i="1"/>
  <c r="P1423" i="1"/>
  <c r="R1423" i="1"/>
  <c r="S1423" i="1"/>
  <c r="T1423" i="1"/>
  <c r="U1423" i="1"/>
  <c r="B1422" i="1"/>
  <c r="D1422" i="1"/>
  <c r="E1422" i="1"/>
  <c r="F1422" i="1"/>
  <c r="H1422" i="1"/>
  <c r="I1422" i="1"/>
  <c r="J1422" i="1"/>
  <c r="K1422" i="1"/>
  <c r="L1422" i="1"/>
  <c r="M1422" i="1"/>
  <c r="N1422" i="1"/>
  <c r="O1422" i="1"/>
  <c r="P1422" i="1"/>
  <c r="R1422" i="1"/>
  <c r="S1422" i="1"/>
  <c r="T1422" i="1"/>
  <c r="U1422" i="1"/>
  <c r="B1421" i="1"/>
  <c r="D1421" i="1"/>
  <c r="E1421" i="1"/>
  <c r="F1421" i="1"/>
  <c r="H1421" i="1"/>
  <c r="I1421" i="1"/>
  <c r="J1421" i="1"/>
  <c r="K1421" i="1"/>
  <c r="L1421" i="1"/>
  <c r="M1421" i="1"/>
  <c r="N1421" i="1"/>
  <c r="O1421" i="1"/>
  <c r="P1421" i="1"/>
  <c r="R1421" i="1"/>
  <c r="S1421" i="1"/>
  <c r="T1421" i="1"/>
  <c r="U1421" i="1"/>
  <c r="B1420" i="1"/>
  <c r="D1420" i="1"/>
  <c r="E1420" i="1"/>
  <c r="F1420" i="1"/>
  <c r="H1420" i="1"/>
  <c r="I1420" i="1"/>
  <c r="J1420" i="1"/>
  <c r="K1420" i="1"/>
  <c r="L1420" i="1"/>
  <c r="M1420" i="1"/>
  <c r="N1420" i="1"/>
  <c r="O1420" i="1"/>
  <c r="P1420" i="1"/>
  <c r="R1420" i="1"/>
  <c r="S1420" i="1"/>
  <c r="T1420" i="1"/>
  <c r="U1420" i="1"/>
  <c r="B1419" i="1"/>
  <c r="D1419" i="1"/>
  <c r="E1419" i="1"/>
  <c r="F1419" i="1"/>
  <c r="H1419" i="1"/>
  <c r="I1419" i="1"/>
  <c r="J1419" i="1"/>
  <c r="K1419" i="1"/>
  <c r="L1419" i="1"/>
  <c r="M1419" i="1"/>
  <c r="N1419" i="1"/>
  <c r="O1419" i="1"/>
  <c r="P1419" i="1"/>
  <c r="R1419" i="1"/>
  <c r="S1419" i="1"/>
  <c r="T1419" i="1"/>
  <c r="U1419" i="1"/>
  <c r="B1418" i="1"/>
  <c r="D1418" i="1"/>
  <c r="E1418" i="1"/>
  <c r="F1418" i="1"/>
  <c r="H1418" i="1"/>
  <c r="I1418" i="1"/>
  <c r="J1418" i="1"/>
  <c r="K1418" i="1"/>
  <c r="L1418" i="1"/>
  <c r="M1418" i="1"/>
  <c r="N1418" i="1"/>
  <c r="O1418" i="1"/>
  <c r="P1418" i="1"/>
  <c r="R1418" i="1"/>
  <c r="S1418" i="1"/>
  <c r="T1418" i="1"/>
  <c r="U1418" i="1"/>
  <c r="B1417" i="1"/>
  <c r="D1417" i="1"/>
  <c r="E1417" i="1"/>
  <c r="F1417" i="1"/>
  <c r="H1417" i="1"/>
  <c r="I1417" i="1"/>
  <c r="J1417" i="1"/>
  <c r="K1417" i="1"/>
  <c r="L1417" i="1"/>
  <c r="M1417" i="1"/>
  <c r="N1417" i="1"/>
  <c r="O1417" i="1"/>
  <c r="P1417" i="1"/>
  <c r="R1417" i="1"/>
  <c r="S1417" i="1"/>
  <c r="T1417" i="1"/>
  <c r="U1417" i="1"/>
  <c r="B1416" i="1"/>
  <c r="D1416" i="1"/>
  <c r="E1416" i="1"/>
  <c r="F1416" i="1"/>
  <c r="H1416" i="1"/>
  <c r="I1416" i="1"/>
  <c r="J1416" i="1"/>
  <c r="K1416" i="1"/>
  <c r="L1416" i="1"/>
  <c r="M1416" i="1"/>
  <c r="N1416" i="1"/>
  <c r="O1416" i="1"/>
  <c r="P1416" i="1"/>
  <c r="R1416" i="1"/>
  <c r="S1416" i="1"/>
  <c r="T1416" i="1"/>
  <c r="U1416" i="1"/>
  <c r="B1415" i="1"/>
  <c r="D1415" i="1"/>
  <c r="E1415" i="1"/>
  <c r="F1415" i="1"/>
  <c r="H1415" i="1"/>
  <c r="I1415" i="1"/>
  <c r="J1415" i="1"/>
  <c r="K1415" i="1"/>
  <c r="L1415" i="1"/>
  <c r="M1415" i="1"/>
  <c r="N1415" i="1"/>
  <c r="O1415" i="1"/>
  <c r="P1415" i="1"/>
  <c r="R1415" i="1"/>
  <c r="S1415" i="1"/>
  <c r="T1415" i="1"/>
  <c r="U1415" i="1"/>
  <c r="B1414" i="1"/>
  <c r="D1414" i="1"/>
  <c r="E1414" i="1"/>
  <c r="F1414" i="1"/>
  <c r="H1414" i="1"/>
  <c r="I1414" i="1"/>
  <c r="J1414" i="1"/>
  <c r="K1414" i="1"/>
  <c r="L1414" i="1"/>
  <c r="M1414" i="1"/>
  <c r="N1414" i="1"/>
  <c r="O1414" i="1"/>
  <c r="P1414" i="1"/>
  <c r="R1414" i="1"/>
  <c r="S1414" i="1"/>
  <c r="T1414" i="1"/>
  <c r="U1414" i="1"/>
  <c r="B1413" i="1"/>
  <c r="D1413" i="1"/>
  <c r="E1413" i="1"/>
  <c r="F1413" i="1"/>
  <c r="H1413" i="1"/>
  <c r="I1413" i="1"/>
  <c r="J1413" i="1"/>
  <c r="L1413" i="1"/>
  <c r="M1413" i="1"/>
  <c r="N1413" i="1"/>
  <c r="O1413" i="1"/>
  <c r="P1413" i="1"/>
  <c r="R1413" i="1"/>
  <c r="S1413" i="1"/>
  <c r="T1413" i="1"/>
  <c r="U1413" i="1"/>
  <c r="B1412" i="1"/>
  <c r="C1412" i="1"/>
  <c r="D1412" i="1"/>
  <c r="E1412" i="1"/>
  <c r="F1412" i="1"/>
  <c r="H1412" i="1"/>
  <c r="I1412" i="1"/>
  <c r="J1412" i="1"/>
  <c r="K1412" i="1"/>
  <c r="L1412" i="1"/>
  <c r="M1412" i="1"/>
  <c r="N1412" i="1"/>
  <c r="O1412" i="1"/>
  <c r="P1412" i="1"/>
  <c r="R1412" i="1"/>
  <c r="S1412" i="1"/>
  <c r="T1412" i="1"/>
  <c r="U1412" i="1"/>
  <c r="B1411" i="1"/>
  <c r="C1411" i="1"/>
  <c r="D1411" i="1"/>
  <c r="E1411" i="1"/>
  <c r="F1411" i="1"/>
  <c r="H1411" i="1"/>
  <c r="I1411" i="1"/>
  <c r="J1411" i="1"/>
  <c r="K1411" i="1"/>
  <c r="L1411" i="1"/>
  <c r="M1411" i="1"/>
  <c r="N1411" i="1"/>
  <c r="O1411" i="1"/>
  <c r="P1411" i="1"/>
  <c r="R1411" i="1"/>
  <c r="S1411" i="1"/>
  <c r="T1411" i="1"/>
  <c r="U1411" i="1"/>
  <c r="B1410" i="1"/>
  <c r="C1410" i="1"/>
  <c r="D1410" i="1"/>
  <c r="E1410" i="1"/>
  <c r="F1410" i="1"/>
  <c r="H1410" i="1"/>
  <c r="I1410" i="1"/>
  <c r="J1410" i="1"/>
  <c r="K1410" i="1"/>
  <c r="L1410" i="1"/>
  <c r="M1410" i="1"/>
  <c r="N1410" i="1"/>
  <c r="O1410" i="1"/>
  <c r="P1410" i="1"/>
  <c r="R1410" i="1"/>
  <c r="S1410" i="1"/>
  <c r="T1410" i="1"/>
  <c r="U1410" i="1"/>
  <c r="B1409" i="1"/>
  <c r="C1409" i="1"/>
  <c r="D1409" i="1"/>
  <c r="E1409" i="1"/>
  <c r="F1409" i="1"/>
  <c r="H1409" i="1"/>
  <c r="I1409" i="1"/>
  <c r="J1409" i="1"/>
  <c r="K1409" i="1"/>
  <c r="L1409" i="1"/>
  <c r="M1409" i="1"/>
  <c r="N1409" i="1"/>
  <c r="O1409" i="1"/>
  <c r="P1409" i="1"/>
  <c r="R1409" i="1"/>
  <c r="S1409" i="1"/>
  <c r="T1409" i="1"/>
  <c r="U1409" i="1"/>
  <c r="B1408" i="1"/>
  <c r="C1408" i="1"/>
  <c r="D1408" i="1"/>
  <c r="E1408" i="1"/>
  <c r="F1408" i="1"/>
  <c r="H1408" i="1"/>
  <c r="I1408" i="1"/>
  <c r="J1408" i="1"/>
  <c r="K1408" i="1"/>
  <c r="L1408" i="1"/>
  <c r="M1408" i="1"/>
  <c r="N1408" i="1"/>
  <c r="O1408" i="1"/>
  <c r="P1408" i="1"/>
  <c r="R1408" i="1"/>
  <c r="S1408" i="1"/>
  <c r="T1408" i="1"/>
  <c r="U1408" i="1"/>
  <c r="B1407" i="1"/>
  <c r="D1407" i="1"/>
  <c r="E1407" i="1"/>
  <c r="F1407" i="1"/>
  <c r="H1407" i="1"/>
  <c r="I1407" i="1"/>
  <c r="J1407" i="1"/>
  <c r="K1407" i="1"/>
  <c r="L1407" i="1"/>
  <c r="M1407" i="1"/>
  <c r="N1407" i="1"/>
  <c r="O1407" i="1"/>
  <c r="P1407" i="1"/>
  <c r="R1407" i="1"/>
  <c r="S1407" i="1"/>
  <c r="T1407" i="1"/>
  <c r="U1407" i="1"/>
  <c r="B1406" i="1"/>
  <c r="D1406" i="1"/>
  <c r="E1406" i="1"/>
  <c r="F1406" i="1"/>
  <c r="H1406" i="1"/>
  <c r="I1406" i="1"/>
  <c r="J1406" i="1"/>
  <c r="K1406" i="1"/>
  <c r="L1406" i="1"/>
  <c r="M1406" i="1"/>
  <c r="N1406" i="1"/>
  <c r="O1406" i="1"/>
  <c r="P1406" i="1"/>
  <c r="R1406" i="1"/>
  <c r="S1406" i="1"/>
  <c r="T1406" i="1"/>
  <c r="U1406" i="1"/>
  <c r="B1405" i="1"/>
  <c r="D1405" i="1"/>
  <c r="E1405" i="1"/>
  <c r="F1405" i="1"/>
  <c r="H1405" i="1"/>
  <c r="I1405" i="1"/>
  <c r="J1405" i="1"/>
  <c r="K1405" i="1"/>
  <c r="L1405" i="1"/>
  <c r="M1405" i="1"/>
  <c r="N1405" i="1"/>
  <c r="O1405" i="1"/>
  <c r="P1405" i="1"/>
  <c r="R1405" i="1"/>
  <c r="S1405" i="1"/>
  <c r="T1405" i="1"/>
  <c r="U1405" i="1"/>
  <c r="B1404" i="1"/>
  <c r="C1404" i="1"/>
  <c r="D1404" i="1"/>
  <c r="E1404" i="1"/>
  <c r="F1404" i="1"/>
  <c r="H1404" i="1"/>
  <c r="I1404" i="1"/>
  <c r="J1404" i="1"/>
  <c r="K1404" i="1"/>
  <c r="L1404" i="1"/>
  <c r="M1404" i="1"/>
  <c r="N1404" i="1"/>
  <c r="O1404" i="1"/>
  <c r="P1404" i="1"/>
  <c r="R1404" i="1"/>
  <c r="S1404" i="1"/>
  <c r="T1404" i="1"/>
  <c r="U1404" i="1"/>
  <c r="B1403" i="1"/>
  <c r="C1403" i="1"/>
  <c r="D1403" i="1"/>
  <c r="E1403" i="1"/>
  <c r="F1403" i="1"/>
  <c r="H1403" i="1"/>
  <c r="I1403" i="1"/>
  <c r="J1403" i="1"/>
  <c r="K1403" i="1"/>
  <c r="L1403" i="1"/>
  <c r="M1403" i="1"/>
  <c r="N1403" i="1"/>
  <c r="O1403" i="1"/>
  <c r="P1403" i="1"/>
  <c r="R1403" i="1"/>
  <c r="S1403" i="1"/>
  <c r="T1403" i="1"/>
  <c r="U1403" i="1"/>
  <c r="B1402" i="1"/>
  <c r="C1402" i="1"/>
  <c r="D1402" i="1"/>
  <c r="E1402" i="1"/>
  <c r="F1402" i="1"/>
  <c r="H1402" i="1"/>
  <c r="I1402" i="1"/>
  <c r="J1402" i="1"/>
  <c r="K1402" i="1"/>
  <c r="L1402" i="1"/>
  <c r="M1402" i="1"/>
  <c r="N1402" i="1"/>
  <c r="O1402" i="1"/>
  <c r="P1402" i="1"/>
  <c r="R1402" i="1"/>
  <c r="S1402" i="1"/>
  <c r="T1402" i="1"/>
  <c r="U1402" i="1"/>
  <c r="B1401" i="1"/>
  <c r="C1401" i="1"/>
  <c r="D1401" i="1"/>
  <c r="E1401" i="1"/>
  <c r="F1401" i="1"/>
  <c r="H1401" i="1"/>
  <c r="I1401" i="1"/>
  <c r="J1401" i="1"/>
  <c r="K1401" i="1"/>
  <c r="L1401" i="1"/>
  <c r="M1401" i="1"/>
  <c r="N1401" i="1"/>
  <c r="O1401" i="1"/>
  <c r="P1401" i="1"/>
  <c r="R1401" i="1"/>
  <c r="S1401" i="1"/>
  <c r="T1401" i="1"/>
  <c r="U1401" i="1"/>
  <c r="B1400" i="1"/>
  <c r="C1400" i="1"/>
  <c r="D1400" i="1"/>
  <c r="E1400" i="1"/>
  <c r="F1400" i="1"/>
  <c r="H1400" i="1"/>
  <c r="I1400" i="1"/>
  <c r="J1400" i="1"/>
  <c r="K1400" i="1"/>
  <c r="L1400" i="1"/>
  <c r="M1400" i="1"/>
  <c r="N1400" i="1"/>
  <c r="O1400" i="1"/>
  <c r="P1400" i="1"/>
  <c r="R1400" i="1"/>
  <c r="S1400" i="1"/>
  <c r="T1400" i="1"/>
  <c r="U1400" i="1"/>
  <c r="B1399" i="1"/>
  <c r="C1399" i="1"/>
  <c r="D1399" i="1"/>
  <c r="E1399" i="1"/>
  <c r="F1399" i="1"/>
  <c r="H1399" i="1"/>
  <c r="I1399" i="1"/>
  <c r="J1399" i="1"/>
  <c r="K1399" i="1"/>
  <c r="L1399" i="1"/>
  <c r="M1399" i="1"/>
  <c r="N1399" i="1"/>
  <c r="O1399" i="1"/>
  <c r="P1399" i="1"/>
  <c r="R1399" i="1"/>
  <c r="S1399" i="1"/>
  <c r="T1399" i="1"/>
  <c r="U1399" i="1"/>
  <c r="B1398" i="1"/>
  <c r="D1398" i="1"/>
  <c r="E1398" i="1"/>
  <c r="F1398" i="1"/>
  <c r="H1398" i="1"/>
  <c r="I1398" i="1"/>
  <c r="J1398" i="1"/>
  <c r="K1398" i="1"/>
  <c r="L1398" i="1"/>
  <c r="M1398" i="1"/>
  <c r="N1398" i="1"/>
  <c r="O1398" i="1"/>
  <c r="P1398" i="1"/>
  <c r="R1398" i="1"/>
  <c r="S1398" i="1"/>
  <c r="T1398" i="1"/>
  <c r="U1398" i="1"/>
  <c r="B1397" i="1"/>
  <c r="D1397" i="1"/>
  <c r="E1397" i="1"/>
  <c r="F1397" i="1"/>
  <c r="H1397" i="1"/>
  <c r="I1397" i="1"/>
  <c r="J1397" i="1"/>
  <c r="K1397" i="1"/>
  <c r="L1397" i="1"/>
  <c r="M1397" i="1"/>
  <c r="N1397" i="1"/>
  <c r="O1397" i="1"/>
  <c r="P1397" i="1"/>
  <c r="R1397" i="1"/>
  <c r="S1397" i="1"/>
  <c r="T1397" i="1"/>
  <c r="U1397" i="1"/>
  <c r="B1396" i="1"/>
  <c r="D1396" i="1"/>
  <c r="E1396" i="1"/>
  <c r="F1396" i="1"/>
  <c r="H1396" i="1"/>
  <c r="I1396" i="1"/>
  <c r="J1396" i="1"/>
  <c r="K1396" i="1"/>
  <c r="L1396" i="1"/>
  <c r="M1396" i="1"/>
  <c r="N1396" i="1"/>
  <c r="O1396" i="1"/>
  <c r="P1396" i="1"/>
  <c r="R1396" i="1"/>
  <c r="S1396" i="1"/>
  <c r="T1396" i="1"/>
  <c r="U1396" i="1"/>
  <c r="B1395" i="1"/>
  <c r="D1395" i="1"/>
  <c r="E1395" i="1"/>
  <c r="F1395" i="1"/>
  <c r="H1395" i="1"/>
  <c r="I1395" i="1"/>
  <c r="J1395" i="1"/>
  <c r="K1395" i="1"/>
  <c r="L1395" i="1"/>
  <c r="M1395" i="1"/>
  <c r="N1395" i="1"/>
  <c r="O1395" i="1"/>
  <c r="P1395" i="1"/>
  <c r="R1395" i="1"/>
  <c r="S1395" i="1"/>
  <c r="T1395" i="1"/>
  <c r="U1395" i="1"/>
  <c r="B2357" i="1"/>
  <c r="D2357" i="1"/>
  <c r="E2357" i="1"/>
  <c r="F2357" i="1"/>
  <c r="G2357" i="1"/>
  <c r="H2357" i="1"/>
  <c r="I2357" i="1"/>
  <c r="J2357" i="1"/>
  <c r="K2357" i="1"/>
  <c r="L2357" i="1"/>
  <c r="M2357" i="1"/>
  <c r="N2357" i="1"/>
  <c r="O2357" i="1"/>
  <c r="P2357" i="1"/>
  <c r="R2357" i="1"/>
  <c r="S2357" i="1"/>
  <c r="T2357" i="1"/>
  <c r="U2357" i="1"/>
  <c r="B2356" i="1"/>
  <c r="D2356" i="1"/>
  <c r="E2356" i="1"/>
  <c r="F2356" i="1"/>
  <c r="G2356" i="1"/>
  <c r="H2356" i="1"/>
  <c r="I2356" i="1"/>
  <c r="J2356" i="1"/>
  <c r="K2356" i="1"/>
  <c r="L2356" i="1"/>
  <c r="M2356" i="1"/>
  <c r="N2356" i="1"/>
  <c r="O2356" i="1"/>
  <c r="P2356" i="1"/>
  <c r="R2356" i="1"/>
  <c r="S2356" i="1"/>
  <c r="T2356" i="1"/>
  <c r="U2356" i="1"/>
  <c r="B2355" i="1"/>
  <c r="D2355" i="1"/>
  <c r="E2355" i="1"/>
  <c r="F2355" i="1"/>
  <c r="G2355" i="1"/>
  <c r="H2355" i="1"/>
  <c r="I2355" i="1"/>
  <c r="J2355" i="1"/>
  <c r="K2355" i="1"/>
  <c r="L2355" i="1"/>
  <c r="M2355" i="1"/>
  <c r="N2355" i="1"/>
  <c r="O2355" i="1"/>
  <c r="P2355" i="1"/>
  <c r="R2355" i="1"/>
  <c r="S2355" i="1"/>
  <c r="T2355" i="1"/>
  <c r="U2355" i="1"/>
  <c r="B2354" i="1"/>
  <c r="D2354" i="1"/>
  <c r="E2354" i="1"/>
  <c r="F2354" i="1"/>
  <c r="G2354" i="1"/>
  <c r="H2354" i="1"/>
  <c r="I2354" i="1"/>
  <c r="J2354" i="1"/>
  <c r="K2354" i="1"/>
  <c r="L2354" i="1"/>
  <c r="M2354" i="1"/>
  <c r="N2354" i="1"/>
  <c r="O2354" i="1"/>
  <c r="P2354" i="1"/>
  <c r="R2354" i="1"/>
  <c r="S2354" i="1"/>
  <c r="T2354" i="1"/>
  <c r="U2354" i="1"/>
  <c r="B2353" i="1"/>
  <c r="D2353" i="1"/>
  <c r="E2353" i="1"/>
  <c r="F2353" i="1"/>
  <c r="G2353" i="1"/>
  <c r="H2353" i="1"/>
  <c r="I2353" i="1"/>
  <c r="J2353" i="1"/>
  <c r="K2353" i="1"/>
  <c r="L2353" i="1"/>
  <c r="M2353" i="1"/>
  <c r="N2353" i="1"/>
  <c r="O2353" i="1"/>
  <c r="P2353" i="1"/>
  <c r="R2353" i="1"/>
  <c r="S2353" i="1"/>
  <c r="T2353" i="1"/>
  <c r="U2353" i="1"/>
  <c r="B2352" i="1"/>
  <c r="D2352" i="1"/>
  <c r="E2352" i="1"/>
  <c r="F2352" i="1"/>
  <c r="G2352" i="1"/>
  <c r="H2352" i="1"/>
  <c r="I2352" i="1"/>
  <c r="J2352" i="1"/>
  <c r="K2352" i="1"/>
  <c r="L2352" i="1"/>
  <c r="M2352" i="1"/>
  <c r="N2352" i="1"/>
  <c r="O2352" i="1"/>
  <c r="P2352" i="1"/>
  <c r="R2352" i="1"/>
  <c r="S2352" i="1"/>
  <c r="T2352" i="1"/>
  <c r="U2352" i="1"/>
  <c r="B2351" i="1"/>
  <c r="D2351" i="1"/>
  <c r="E2351" i="1"/>
  <c r="F2351" i="1"/>
  <c r="G2351" i="1"/>
  <c r="H2351" i="1"/>
  <c r="I2351" i="1"/>
  <c r="J2351" i="1"/>
  <c r="K2351" i="1"/>
  <c r="L2351" i="1"/>
  <c r="M2351" i="1"/>
  <c r="N2351" i="1"/>
  <c r="O2351" i="1"/>
  <c r="P2351" i="1"/>
  <c r="R2351" i="1"/>
  <c r="S2351" i="1"/>
  <c r="T2351" i="1"/>
  <c r="U2351" i="1"/>
  <c r="B2350" i="1"/>
  <c r="D2350" i="1"/>
  <c r="E2350" i="1"/>
  <c r="F2350" i="1"/>
  <c r="G2350" i="1"/>
  <c r="H2350" i="1"/>
  <c r="I2350" i="1"/>
  <c r="J2350" i="1"/>
  <c r="K2350" i="1"/>
  <c r="L2350" i="1"/>
  <c r="M2350" i="1"/>
  <c r="N2350" i="1"/>
  <c r="O2350" i="1"/>
  <c r="P2350" i="1"/>
  <c r="R2350" i="1"/>
  <c r="S2350" i="1"/>
  <c r="T2350" i="1"/>
  <c r="U2350" i="1"/>
  <c r="B2349" i="1"/>
  <c r="D2349" i="1"/>
  <c r="E2349" i="1"/>
  <c r="F2349" i="1"/>
  <c r="G2349" i="1"/>
  <c r="H2349" i="1"/>
  <c r="I2349" i="1"/>
  <c r="J2349" i="1"/>
  <c r="K2349" i="1"/>
  <c r="L2349" i="1"/>
  <c r="M2349" i="1"/>
  <c r="N2349" i="1"/>
  <c r="O2349" i="1"/>
  <c r="P2349" i="1"/>
  <c r="R2349" i="1"/>
  <c r="S2349" i="1"/>
  <c r="T2349" i="1"/>
  <c r="U2349" i="1"/>
  <c r="B2348" i="1"/>
  <c r="D2348" i="1"/>
  <c r="E2348" i="1"/>
  <c r="F2348" i="1"/>
  <c r="G2348" i="1"/>
  <c r="H2348" i="1"/>
  <c r="I2348" i="1"/>
  <c r="J2348" i="1"/>
  <c r="K2348" i="1"/>
  <c r="L2348" i="1"/>
  <c r="M2348" i="1"/>
  <c r="N2348" i="1"/>
  <c r="O2348" i="1"/>
  <c r="P2348" i="1"/>
  <c r="R2348" i="1"/>
  <c r="S2348" i="1"/>
  <c r="T2348" i="1"/>
  <c r="U2348" i="1"/>
  <c r="B2347" i="1"/>
  <c r="D2347" i="1"/>
  <c r="E2347" i="1"/>
  <c r="F2347" i="1"/>
  <c r="G2347" i="1"/>
  <c r="H2347" i="1"/>
  <c r="I2347" i="1"/>
  <c r="J2347" i="1"/>
  <c r="K2347" i="1"/>
  <c r="L2347" i="1"/>
  <c r="M2347" i="1"/>
  <c r="N2347" i="1"/>
  <c r="O2347" i="1"/>
  <c r="P2347" i="1"/>
  <c r="R2347" i="1"/>
  <c r="S2347" i="1"/>
  <c r="T2347" i="1"/>
  <c r="U2347" i="1"/>
  <c r="B2346" i="1"/>
  <c r="D2346" i="1"/>
  <c r="E2346" i="1"/>
  <c r="F2346" i="1"/>
  <c r="G2346" i="1"/>
  <c r="H2346" i="1"/>
  <c r="I2346" i="1"/>
  <c r="J2346" i="1"/>
  <c r="K2346" i="1"/>
  <c r="L2346" i="1"/>
  <c r="M2346" i="1"/>
  <c r="N2346" i="1"/>
  <c r="O2346" i="1"/>
  <c r="P2346" i="1"/>
  <c r="R2346" i="1"/>
  <c r="S2346" i="1"/>
  <c r="T2346" i="1"/>
  <c r="U2346" i="1"/>
  <c r="B2345" i="1"/>
  <c r="D2345" i="1"/>
  <c r="E2345" i="1"/>
  <c r="F2345" i="1"/>
  <c r="G2345" i="1"/>
  <c r="H2345" i="1"/>
  <c r="I2345" i="1"/>
  <c r="J2345" i="1"/>
  <c r="K2345" i="1"/>
  <c r="L2345" i="1"/>
  <c r="M2345" i="1"/>
  <c r="N2345" i="1"/>
  <c r="O2345" i="1"/>
  <c r="P2345" i="1"/>
  <c r="R2345" i="1"/>
  <c r="S2345" i="1"/>
  <c r="T2345" i="1"/>
  <c r="U2345" i="1"/>
  <c r="B2344" i="1"/>
  <c r="D2344" i="1"/>
  <c r="E2344" i="1"/>
  <c r="F2344" i="1"/>
  <c r="G2344" i="1"/>
  <c r="H2344" i="1"/>
  <c r="I2344" i="1"/>
  <c r="J2344" i="1"/>
  <c r="K2344" i="1"/>
  <c r="L2344" i="1"/>
  <c r="M2344" i="1"/>
  <c r="N2344" i="1"/>
  <c r="O2344" i="1"/>
  <c r="P2344" i="1"/>
  <c r="R2344" i="1"/>
  <c r="S2344" i="1"/>
  <c r="T2344" i="1"/>
  <c r="U2344" i="1"/>
  <c r="B2343" i="1"/>
  <c r="D2343" i="1"/>
  <c r="E2343" i="1"/>
  <c r="F2343" i="1"/>
  <c r="G2343" i="1"/>
  <c r="H2343" i="1"/>
  <c r="I2343" i="1"/>
  <c r="J2343" i="1"/>
  <c r="K2343" i="1"/>
  <c r="L2343" i="1"/>
  <c r="M2343" i="1"/>
  <c r="N2343" i="1"/>
  <c r="O2343" i="1"/>
  <c r="P2343" i="1"/>
  <c r="R2343" i="1"/>
  <c r="S2343" i="1"/>
  <c r="T2343" i="1"/>
  <c r="U2343" i="1"/>
  <c r="B2342" i="1"/>
  <c r="D2342" i="1"/>
  <c r="E2342" i="1"/>
  <c r="F2342" i="1"/>
  <c r="G2342" i="1"/>
  <c r="H2342" i="1"/>
  <c r="I2342" i="1"/>
  <c r="J2342" i="1"/>
  <c r="K2342" i="1"/>
  <c r="L2342" i="1"/>
  <c r="M2342" i="1"/>
  <c r="N2342" i="1"/>
  <c r="O2342" i="1"/>
  <c r="P2342" i="1"/>
  <c r="R2342" i="1"/>
  <c r="S2342" i="1"/>
  <c r="T2342" i="1"/>
  <c r="U2342" i="1"/>
  <c r="B2341" i="1"/>
  <c r="D2341" i="1"/>
  <c r="E2341" i="1"/>
  <c r="F2341" i="1"/>
  <c r="G2341" i="1"/>
  <c r="H2341" i="1"/>
  <c r="I2341" i="1"/>
  <c r="J2341" i="1"/>
  <c r="K2341" i="1"/>
  <c r="L2341" i="1"/>
  <c r="M2341" i="1"/>
  <c r="N2341" i="1"/>
  <c r="O2341" i="1"/>
  <c r="P2341" i="1"/>
  <c r="R2341" i="1"/>
  <c r="S2341" i="1"/>
  <c r="T2341" i="1"/>
  <c r="U2341" i="1"/>
  <c r="B2340" i="1"/>
  <c r="D2340" i="1"/>
  <c r="E2340" i="1"/>
  <c r="F2340" i="1"/>
  <c r="G2340" i="1"/>
  <c r="H2340" i="1"/>
  <c r="I2340" i="1"/>
  <c r="J2340" i="1"/>
  <c r="K2340" i="1"/>
  <c r="L2340" i="1"/>
  <c r="M2340" i="1"/>
  <c r="N2340" i="1"/>
  <c r="O2340" i="1"/>
  <c r="P2340" i="1"/>
  <c r="R2340" i="1"/>
  <c r="S2340" i="1"/>
  <c r="T2340" i="1"/>
  <c r="U2340" i="1"/>
  <c r="B2339" i="1"/>
  <c r="D2339" i="1"/>
  <c r="E2339" i="1"/>
  <c r="F2339" i="1"/>
  <c r="G2339" i="1"/>
  <c r="H2339" i="1"/>
  <c r="I2339" i="1"/>
  <c r="J2339" i="1"/>
  <c r="K2339" i="1"/>
  <c r="L2339" i="1"/>
  <c r="M2339" i="1"/>
  <c r="N2339" i="1"/>
  <c r="O2339" i="1"/>
  <c r="P2339" i="1"/>
  <c r="R2339" i="1"/>
  <c r="S2339" i="1"/>
  <c r="T2339" i="1"/>
  <c r="U2339" i="1"/>
  <c r="B2338" i="1"/>
  <c r="D2338" i="1"/>
  <c r="E2338" i="1"/>
  <c r="F2338" i="1"/>
  <c r="G2338" i="1"/>
  <c r="H2338" i="1"/>
  <c r="I2338" i="1"/>
  <c r="J2338" i="1"/>
  <c r="K2338" i="1"/>
  <c r="L2338" i="1"/>
  <c r="M2338" i="1"/>
  <c r="N2338" i="1"/>
  <c r="O2338" i="1"/>
  <c r="P2338" i="1"/>
  <c r="R2338" i="1"/>
  <c r="S2338" i="1"/>
  <c r="T2338" i="1"/>
  <c r="U2338" i="1"/>
  <c r="B2337" i="1"/>
  <c r="D2337" i="1"/>
  <c r="E2337" i="1"/>
  <c r="F2337" i="1"/>
  <c r="G2337" i="1"/>
  <c r="H2337" i="1"/>
  <c r="I2337" i="1"/>
  <c r="J2337" i="1"/>
  <c r="K2337" i="1"/>
  <c r="L2337" i="1"/>
  <c r="M2337" i="1"/>
  <c r="N2337" i="1"/>
  <c r="O2337" i="1"/>
  <c r="P2337" i="1"/>
  <c r="R2337" i="1"/>
  <c r="S2337" i="1"/>
  <c r="T2337" i="1"/>
  <c r="U2337" i="1"/>
  <c r="B2336" i="1"/>
  <c r="D2336" i="1"/>
  <c r="E2336" i="1"/>
  <c r="F2336" i="1"/>
  <c r="G2336" i="1"/>
  <c r="H2336" i="1"/>
  <c r="I2336" i="1"/>
  <c r="J2336" i="1"/>
  <c r="K2336" i="1"/>
  <c r="L2336" i="1"/>
  <c r="M2336" i="1"/>
  <c r="N2336" i="1"/>
  <c r="O2336" i="1"/>
  <c r="P2336" i="1"/>
  <c r="R2336" i="1"/>
  <c r="S2336" i="1"/>
  <c r="T2336" i="1"/>
  <c r="U2336" i="1"/>
  <c r="B2335" i="1"/>
  <c r="D2335" i="1"/>
  <c r="E2335" i="1"/>
  <c r="F2335" i="1"/>
  <c r="G2335" i="1"/>
  <c r="H2335" i="1"/>
  <c r="I2335" i="1"/>
  <c r="J2335" i="1"/>
  <c r="K2335" i="1"/>
  <c r="L2335" i="1"/>
  <c r="M2335" i="1"/>
  <c r="N2335" i="1"/>
  <c r="O2335" i="1"/>
  <c r="P2335" i="1"/>
  <c r="R2335" i="1"/>
  <c r="S2335" i="1"/>
  <c r="T2335" i="1"/>
  <c r="U2335" i="1"/>
  <c r="B2334" i="1"/>
  <c r="D2334" i="1"/>
  <c r="E2334" i="1"/>
  <c r="F2334" i="1"/>
  <c r="G2334" i="1"/>
  <c r="H2334" i="1"/>
  <c r="I2334" i="1"/>
  <c r="J2334" i="1"/>
  <c r="K2334" i="1"/>
  <c r="L2334" i="1"/>
  <c r="M2334" i="1"/>
  <c r="N2334" i="1"/>
  <c r="O2334" i="1"/>
  <c r="P2334" i="1"/>
  <c r="R2334" i="1"/>
  <c r="S2334" i="1"/>
  <c r="T2334" i="1"/>
  <c r="U2334" i="1"/>
  <c r="B2333" i="1"/>
  <c r="D2333" i="1"/>
  <c r="E2333" i="1"/>
  <c r="F2333" i="1"/>
  <c r="G2333" i="1"/>
  <c r="H2333" i="1"/>
  <c r="I2333" i="1"/>
  <c r="J2333" i="1"/>
  <c r="K2333" i="1"/>
  <c r="L2333" i="1"/>
  <c r="M2333" i="1"/>
  <c r="N2333" i="1"/>
  <c r="O2333" i="1"/>
  <c r="P2333" i="1"/>
  <c r="R2333" i="1"/>
  <c r="S2333" i="1"/>
  <c r="T2333" i="1"/>
  <c r="U2333" i="1"/>
  <c r="B2332" i="1"/>
  <c r="D2332" i="1"/>
  <c r="E2332" i="1"/>
  <c r="F2332" i="1"/>
  <c r="G2332" i="1"/>
  <c r="H2332" i="1"/>
  <c r="I2332" i="1"/>
  <c r="J2332" i="1"/>
  <c r="K2332" i="1"/>
  <c r="L2332" i="1"/>
  <c r="M2332" i="1"/>
  <c r="N2332" i="1"/>
  <c r="O2332" i="1"/>
  <c r="P2332" i="1"/>
  <c r="R2332" i="1"/>
  <c r="S2332" i="1"/>
  <c r="T2332" i="1"/>
  <c r="U2332" i="1"/>
  <c r="B2331" i="1"/>
  <c r="D2331" i="1"/>
  <c r="E2331" i="1"/>
  <c r="F2331" i="1"/>
  <c r="G2331" i="1"/>
  <c r="H2331" i="1"/>
  <c r="I2331" i="1"/>
  <c r="J2331" i="1"/>
  <c r="K2331" i="1"/>
  <c r="L2331" i="1"/>
  <c r="M2331" i="1"/>
  <c r="N2331" i="1"/>
  <c r="O2331" i="1"/>
  <c r="P2331" i="1"/>
  <c r="R2331" i="1"/>
  <c r="S2331" i="1"/>
  <c r="T2331" i="1"/>
  <c r="U2331" i="1"/>
  <c r="B2330" i="1"/>
  <c r="D2330" i="1"/>
  <c r="E2330" i="1"/>
  <c r="F2330" i="1"/>
  <c r="G2330" i="1"/>
  <c r="H2330" i="1"/>
  <c r="I2330" i="1"/>
  <c r="J2330" i="1"/>
  <c r="K2330" i="1"/>
  <c r="L2330" i="1"/>
  <c r="M2330" i="1"/>
  <c r="N2330" i="1"/>
  <c r="O2330" i="1"/>
  <c r="P2330" i="1"/>
  <c r="R2330" i="1"/>
  <c r="S2330" i="1"/>
  <c r="T2330" i="1"/>
  <c r="U2330" i="1"/>
  <c r="B2329" i="1"/>
  <c r="D2329" i="1"/>
  <c r="E2329" i="1"/>
  <c r="F2329" i="1"/>
  <c r="G2329" i="1"/>
  <c r="H2329" i="1"/>
  <c r="I2329" i="1"/>
  <c r="J2329" i="1"/>
  <c r="K2329" i="1"/>
  <c r="L2329" i="1"/>
  <c r="M2329" i="1"/>
  <c r="N2329" i="1"/>
  <c r="O2329" i="1"/>
  <c r="P2329" i="1"/>
  <c r="R2329" i="1"/>
  <c r="S2329" i="1"/>
  <c r="T2329" i="1"/>
  <c r="U2329" i="1"/>
  <c r="B2328" i="1"/>
  <c r="D2328" i="1"/>
  <c r="E2328" i="1"/>
  <c r="F2328" i="1"/>
  <c r="G2328" i="1"/>
  <c r="H2328" i="1"/>
  <c r="I2328" i="1"/>
  <c r="J2328" i="1"/>
  <c r="K2328" i="1"/>
  <c r="L2328" i="1"/>
  <c r="M2328" i="1"/>
  <c r="N2328" i="1"/>
  <c r="O2328" i="1"/>
  <c r="P2328" i="1"/>
  <c r="R2328" i="1"/>
  <c r="S2328" i="1"/>
  <c r="T2328" i="1"/>
  <c r="U2328" i="1"/>
  <c r="B2327" i="1"/>
  <c r="D2327" i="1"/>
  <c r="E2327" i="1"/>
  <c r="F2327" i="1"/>
  <c r="G2327" i="1"/>
  <c r="H2327" i="1"/>
  <c r="I2327" i="1"/>
  <c r="J2327" i="1"/>
  <c r="K2327" i="1"/>
  <c r="L2327" i="1"/>
  <c r="M2327" i="1"/>
  <c r="N2327" i="1"/>
  <c r="O2327" i="1"/>
  <c r="P2327" i="1"/>
  <c r="R2327" i="1"/>
  <c r="S2327" i="1"/>
  <c r="T2327" i="1"/>
  <c r="U2327" i="1"/>
  <c r="B2326" i="1"/>
  <c r="D2326" i="1"/>
  <c r="E2326" i="1"/>
  <c r="F2326" i="1"/>
  <c r="G2326" i="1"/>
  <c r="H2326" i="1"/>
  <c r="I2326" i="1"/>
  <c r="J2326" i="1"/>
  <c r="K2326" i="1"/>
  <c r="L2326" i="1"/>
  <c r="M2326" i="1"/>
  <c r="N2326" i="1"/>
  <c r="O2326" i="1"/>
  <c r="P2326" i="1"/>
  <c r="R2326" i="1"/>
  <c r="S2326" i="1"/>
  <c r="T2326" i="1"/>
  <c r="U2326" i="1"/>
  <c r="B2325" i="1"/>
  <c r="D2325" i="1"/>
  <c r="E2325" i="1"/>
  <c r="F2325" i="1"/>
  <c r="G2325" i="1"/>
  <c r="H2325" i="1"/>
  <c r="I2325" i="1"/>
  <c r="J2325" i="1"/>
  <c r="K2325" i="1"/>
  <c r="L2325" i="1"/>
  <c r="M2325" i="1"/>
  <c r="N2325" i="1"/>
  <c r="O2325" i="1"/>
  <c r="P2325" i="1"/>
  <c r="R2325" i="1"/>
  <c r="S2325" i="1"/>
  <c r="T2325" i="1"/>
  <c r="U2325" i="1"/>
  <c r="B2324" i="1"/>
  <c r="D2324" i="1"/>
  <c r="E2324" i="1"/>
  <c r="F2324" i="1"/>
  <c r="G2324" i="1"/>
  <c r="H2324" i="1"/>
  <c r="I2324" i="1"/>
  <c r="J2324" i="1"/>
  <c r="K2324" i="1"/>
  <c r="L2324" i="1"/>
  <c r="M2324" i="1"/>
  <c r="N2324" i="1"/>
  <c r="O2324" i="1"/>
  <c r="P2324" i="1"/>
  <c r="R2324" i="1"/>
  <c r="S2324" i="1"/>
  <c r="T2324" i="1"/>
  <c r="U2324" i="1"/>
  <c r="B2323" i="1"/>
  <c r="D2323" i="1"/>
  <c r="E2323" i="1"/>
  <c r="F2323" i="1"/>
  <c r="G2323" i="1"/>
  <c r="H2323" i="1"/>
  <c r="I2323" i="1"/>
  <c r="J2323" i="1"/>
  <c r="K2323" i="1"/>
  <c r="L2323" i="1"/>
  <c r="M2323" i="1"/>
  <c r="N2323" i="1"/>
  <c r="O2323" i="1"/>
  <c r="P2323" i="1"/>
  <c r="R2323" i="1"/>
  <c r="S2323" i="1"/>
  <c r="T2323" i="1"/>
  <c r="U2323" i="1"/>
  <c r="B2322" i="1"/>
  <c r="D2322" i="1"/>
  <c r="E2322" i="1"/>
  <c r="F2322" i="1"/>
  <c r="G2322" i="1"/>
  <c r="H2322" i="1"/>
  <c r="I2322" i="1"/>
  <c r="J2322" i="1"/>
  <c r="K2322" i="1"/>
  <c r="L2322" i="1"/>
  <c r="M2322" i="1"/>
  <c r="N2322" i="1"/>
  <c r="O2322" i="1"/>
  <c r="P2322" i="1"/>
  <c r="R2322" i="1"/>
  <c r="S2322" i="1"/>
  <c r="T2322" i="1"/>
  <c r="U2322" i="1"/>
  <c r="B2321" i="1"/>
  <c r="D2321" i="1"/>
  <c r="E2321" i="1"/>
  <c r="F2321" i="1"/>
  <c r="G2321" i="1"/>
  <c r="H2321" i="1"/>
  <c r="I2321" i="1"/>
  <c r="J2321" i="1"/>
  <c r="K2321" i="1"/>
  <c r="L2321" i="1"/>
  <c r="M2321" i="1"/>
  <c r="N2321" i="1"/>
  <c r="O2321" i="1"/>
  <c r="P2321" i="1"/>
  <c r="R2321" i="1"/>
  <c r="S2321" i="1"/>
  <c r="T2321" i="1"/>
  <c r="U2321" i="1"/>
  <c r="B2320" i="1"/>
  <c r="D2320" i="1"/>
  <c r="E2320" i="1"/>
  <c r="F2320" i="1"/>
  <c r="G2320" i="1"/>
  <c r="H2320" i="1"/>
  <c r="I2320" i="1"/>
  <c r="J2320" i="1"/>
  <c r="K2320" i="1"/>
  <c r="L2320" i="1"/>
  <c r="M2320" i="1"/>
  <c r="N2320" i="1"/>
  <c r="O2320" i="1"/>
  <c r="P2320" i="1"/>
  <c r="R2320" i="1"/>
  <c r="S2320" i="1"/>
  <c r="T2320" i="1"/>
  <c r="U2320" i="1"/>
  <c r="B2319" i="1"/>
  <c r="D2319" i="1"/>
  <c r="E2319" i="1"/>
  <c r="F2319" i="1"/>
  <c r="G2319" i="1"/>
  <c r="H2319" i="1"/>
  <c r="I2319" i="1"/>
  <c r="J2319" i="1"/>
  <c r="K2319" i="1"/>
  <c r="L2319" i="1"/>
  <c r="M2319" i="1"/>
  <c r="N2319" i="1"/>
  <c r="O2319" i="1"/>
  <c r="P2319" i="1"/>
  <c r="R2319" i="1"/>
  <c r="S2319" i="1"/>
  <c r="T2319" i="1"/>
  <c r="U2319" i="1"/>
  <c r="B2318" i="1"/>
  <c r="D2318" i="1"/>
  <c r="E2318" i="1"/>
  <c r="F2318" i="1"/>
  <c r="G2318" i="1"/>
  <c r="H2318" i="1"/>
  <c r="I2318" i="1"/>
  <c r="J2318" i="1"/>
  <c r="K2318" i="1"/>
  <c r="L2318" i="1"/>
  <c r="M2318" i="1"/>
  <c r="N2318" i="1"/>
  <c r="O2318" i="1"/>
  <c r="P2318" i="1"/>
  <c r="R2318" i="1"/>
  <c r="S2318" i="1"/>
  <c r="T2318" i="1"/>
  <c r="U2318" i="1"/>
  <c r="B2317" i="1"/>
  <c r="D2317" i="1"/>
  <c r="E2317" i="1"/>
  <c r="F2317" i="1"/>
  <c r="G2317" i="1"/>
  <c r="H2317" i="1"/>
  <c r="I2317" i="1"/>
  <c r="J2317" i="1"/>
  <c r="K2317" i="1"/>
  <c r="L2317" i="1"/>
  <c r="M2317" i="1"/>
  <c r="N2317" i="1"/>
  <c r="O2317" i="1"/>
  <c r="P2317" i="1"/>
  <c r="R2317" i="1"/>
  <c r="S2317" i="1"/>
  <c r="T2317" i="1"/>
  <c r="U2317" i="1"/>
  <c r="B2316" i="1"/>
  <c r="D2316" i="1"/>
  <c r="E2316" i="1"/>
  <c r="F2316" i="1"/>
  <c r="G2316" i="1"/>
  <c r="H2316" i="1"/>
  <c r="I2316" i="1"/>
  <c r="J2316" i="1"/>
  <c r="K2316" i="1"/>
  <c r="L2316" i="1"/>
  <c r="M2316" i="1"/>
  <c r="N2316" i="1"/>
  <c r="O2316" i="1"/>
  <c r="P2316" i="1"/>
  <c r="R2316" i="1"/>
  <c r="S2316" i="1"/>
  <c r="T2316" i="1"/>
  <c r="U2316" i="1"/>
  <c r="B2315" i="1"/>
  <c r="D2315" i="1"/>
  <c r="E2315" i="1"/>
  <c r="F2315" i="1"/>
  <c r="G2315" i="1"/>
  <c r="H2315" i="1"/>
  <c r="I2315" i="1"/>
  <c r="J2315" i="1"/>
  <c r="K2315" i="1"/>
  <c r="L2315" i="1"/>
  <c r="M2315" i="1"/>
  <c r="N2315" i="1"/>
  <c r="O2315" i="1"/>
  <c r="P2315" i="1"/>
  <c r="R2315" i="1"/>
  <c r="S2315" i="1"/>
  <c r="T2315" i="1"/>
  <c r="U2315" i="1"/>
  <c r="B2314" i="1"/>
  <c r="D2314" i="1"/>
  <c r="E2314" i="1"/>
  <c r="F2314" i="1"/>
  <c r="G2314" i="1"/>
  <c r="H2314" i="1"/>
  <c r="I2314" i="1"/>
  <c r="J2314" i="1"/>
  <c r="K2314" i="1"/>
  <c r="L2314" i="1"/>
  <c r="M2314" i="1"/>
  <c r="N2314" i="1"/>
  <c r="O2314" i="1"/>
  <c r="P2314" i="1"/>
  <c r="R2314" i="1"/>
  <c r="S2314" i="1"/>
  <c r="T2314" i="1"/>
  <c r="U2314" i="1"/>
  <c r="B2313" i="1"/>
  <c r="D2313" i="1"/>
  <c r="E2313" i="1"/>
  <c r="F2313" i="1"/>
  <c r="G2313" i="1"/>
  <c r="H2313" i="1"/>
  <c r="I2313" i="1"/>
  <c r="J2313" i="1"/>
  <c r="K2313" i="1"/>
  <c r="L2313" i="1"/>
  <c r="M2313" i="1"/>
  <c r="N2313" i="1"/>
  <c r="O2313" i="1"/>
  <c r="P2313" i="1"/>
  <c r="R2313" i="1"/>
  <c r="S2313" i="1"/>
  <c r="T2313" i="1"/>
  <c r="U2313" i="1"/>
  <c r="B2312" i="1"/>
  <c r="D2312" i="1"/>
  <c r="E2312" i="1"/>
  <c r="F2312" i="1"/>
  <c r="G2312" i="1"/>
  <c r="H2312" i="1"/>
  <c r="I2312" i="1"/>
  <c r="J2312" i="1"/>
  <c r="K2312" i="1"/>
  <c r="L2312" i="1"/>
  <c r="M2312" i="1"/>
  <c r="N2312" i="1"/>
  <c r="O2312" i="1"/>
  <c r="P2312" i="1"/>
  <c r="R2312" i="1"/>
  <c r="S2312" i="1"/>
  <c r="T2312" i="1"/>
  <c r="U2312" i="1"/>
  <c r="B2311" i="1"/>
  <c r="D2311" i="1"/>
  <c r="E2311" i="1"/>
  <c r="F2311" i="1"/>
  <c r="G2311" i="1"/>
  <c r="H2311" i="1"/>
  <c r="I2311" i="1"/>
  <c r="J2311" i="1"/>
  <c r="K2311" i="1"/>
  <c r="L2311" i="1"/>
  <c r="M2311" i="1"/>
  <c r="N2311" i="1"/>
  <c r="O2311" i="1"/>
  <c r="P2311" i="1"/>
  <c r="R2311" i="1"/>
  <c r="S2311" i="1"/>
  <c r="T2311" i="1"/>
  <c r="U2311" i="1"/>
  <c r="B2310" i="1"/>
  <c r="D2310" i="1"/>
  <c r="E2310" i="1"/>
  <c r="F2310" i="1"/>
  <c r="G2310" i="1"/>
  <c r="H2310" i="1"/>
  <c r="I2310" i="1"/>
  <c r="J2310" i="1"/>
  <c r="K2310" i="1"/>
  <c r="L2310" i="1"/>
  <c r="M2310" i="1"/>
  <c r="N2310" i="1"/>
  <c r="O2310" i="1"/>
  <c r="P2310" i="1"/>
  <c r="R2310" i="1"/>
  <c r="S2310" i="1"/>
  <c r="T2310" i="1"/>
  <c r="U2310" i="1"/>
  <c r="B2309" i="1"/>
  <c r="D2309" i="1"/>
  <c r="E2309" i="1"/>
  <c r="F2309" i="1"/>
  <c r="G2309" i="1"/>
  <c r="H2309" i="1"/>
  <c r="I2309" i="1"/>
  <c r="J2309" i="1"/>
  <c r="K2309" i="1"/>
  <c r="L2309" i="1"/>
  <c r="M2309" i="1"/>
  <c r="N2309" i="1"/>
  <c r="O2309" i="1"/>
  <c r="P2309" i="1"/>
  <c r="R2309" i="1"/>
  <c r="S2309" i="1"/>
  <c r="T2309" i="1"/>
  <c r="U2309" i="1"/>
  <c r="B2308" i="1"/>
  <c r="D2308" i="1"/>
  <c r="E2308" i="1"/>
  <c r="F2308" i="1"/>
  <c r="G2308" i="1"/>
  <c r="H2308" i="1"/>
  <c r="I2308" i="1"/>
  <c r="J2308" i="1"/>
  <c r="K2308" i="1"/>
  <c r="L2308" i="1"/>
  <c r="M2308" i="1"/>
  <c r="N2308" i="1"/>
  <c r="O2308" i="1"/>
  <c r="P2308" i="1"/>
  <c r="R2308" i="1"/>
  <c r="S2308" i="1"/>
  <c r="T2308" i="1"/>
  <c r="U2308" i="1"/>
  <c r="B2307" i="1"/>
  <c r="D2307" i="1"/>
  <c r="E2307" i="1"/>
  <c r="F2307" i="1"/>
  <c r="G2307" i="1"/>
  <c r="H2307" i="1"/>
  <c r="I2307" i="1"/>
  <c r="J2307" i="1"/>
  <c r="K2307" i="1"/>
  <c r="L2307" i="1"/>
  <c r="M2307" i="1"/>
  <c r="N2307" i="1"/>
  <c r="O2307" i="1"/>
  <c r="P2307" i="1"/>
  <c r="R2307" i="1"/>
  <c r="S2307" i="1"/>
  <c r="T2307" i="1"/>
  <c r="U2307" i="1"/>
  <c r="B2306" i="1"/>
  <c r="D2306" i="1"/>
  <c r="E2306" i="1"/>
  <c r="F2306" i="1"/>
  <c r="G2306" i="1"/>
  <c r="H2306" i="1"/>
  <c r="I2306" i="1"/>
  <c r="J2306" i="1"/>
  <c r="K2306" i="1"/>
  <c r="L2306" i="1"/>
  <c r="M2306" i="1"/>
  <c r="N2306" i="1"/>
  <c r="O2306" i="1"/>
  <c r="P2306" i="1"/>
  <c r="R2306" i="1"/>
  <c r="S2306" i="1"/>
  <c r="T2306" i="1"/>
  <c r="U2306" i="1"/>
  <c r="B2305" i="1"/>
  <c r="D2305" i="1"/>
  <c r="E2305" i="1"/>
  <c r="F2305" i="1"/>
  <c r="G2305" i="1"/>
  <c r="H2305" i="1"/>
  <c r="I2305" i="1"/>
  <c r="J2305" i="1"/>
  <c r="K2305" i="1"/>
  <c r="L2305" i="1"/>
  <c r="M2305" i="1"/>
  <c r="N2305" i="1"/>
  <c r="O2305" i="1"/>
  <c r="P2305" i="1"/>
  <c r="R2305" i="1"/>
  <c r="S2305" i="1"/>
  <c r="T2305" i="1"/>
  <c r="U2305" i="1"/>
  <c r="B2304" i="1"/>
  <c r="D2304" i="1"/>
  <c r="E2304" i="1"/>
  <c r="F2304" i="1"/>
  <c r="G2304" i="1"/>
  <c r="H2304" i="1"/>
  <c r="I2304" i="1"/>
  <c r="J2304" i="1"/>
  <c r="K2304" i="1"/>
  <c r="L2304" i="1"/>
  <c r="M2304" i="1"/>
  <c r="N2304" i="1"/>
  <c r="O2304" i="1"/>
  <c r="P2304" i="1"/>
  <c r="R2304" i="1"/>
  <c r="S2304" i="1"/>
  <c r="T2304" i="1"/>
  <c r="U2304" i="1"/>
  <c r="B2303" i="1"/>
  <c r="D2303" i="1"/>
  <c r="E2303" i="1"/>
  <c r="F2303" i="1"/>
  <c r="G2303" i="1"/>
  <c r="H2303" i="1"/>
  <c r="I2303" i="1"/>
  <c r="J2303" i="1"/>
  <c r="K2303" i="1"/>
  <c r="L2303" i="1"/>
  <c r="M2303" i="1"/>
  <c r="N2303" i="1"/>
  <c r="O2303" i="1"/>
  <c r="P2303" i="1"/>
  <c r="R2303" i="1"/>
  <c r="S2303" i="1"/>
  <c r="T2303" i="1"/>
  <c r="U2303" i="1"/>
  <c r="B2302" i="1"/>
  <c r="D2302" i="1"/>
  <c r="E2302" i="1"/>
  <c r="F2302" i="1"/>
  <c r="G2302" i="1"/>
  <c r="H2302" i="1"/>
  <c r="I2302" i="1"/>
  <c r="J2302" i="1"/>
  <c r="K2302" i="1"/>
  <c r="L2302" i="1"/>
  <c r="M2302" i="1"/>
  <c r="N2302" i="1"/>
  <c r="O2302" i="1"/>
  <c r="P2302" i="1"/>
  <c r="R2302" i="1"/>
  <c r="S2302" i="1"/>
  <c r="T2302" i="1"/>
  <c r="U2302" i="1"/>
  <c r="B2301" i="1"/>
  <c r="D2301" i="1"/>
  <c r="E2301" i="1"/>
  <c r="F2301" i="1"/>
  <c r="G2301" i="1"/>
  <c r="H2301" i="1"/>
  <c r="I2301" i="1"/>
  <c r="J2301" i="1"/>
  <c r="K2301" i="1"/>
  <c r="L2301" i="1"/>
  <c r="M2301" i="1"/>
  <c r="N2301" i="1"/>
  <c r="O2301" i="1"/>
  <c r="P2301" i="1"/>
  <c r="R2301" i="1"/>
  <c r="S2301" i="1"/>
  <c r="T2301" i="1"/>
  <c r="U2301" i="1"/>
  <c r="B2300" i="1"/>
  <c r="D2300" i="1"/>
  <c r="E2300" i="1"/>
  <c r="F2300" i="1"/>
  <c r="G2300" i="1"/>
  <c r="H2300" i="1"/>
  <c r="I2300" i="1"/>
  <c r="J2300" i="1"/>
  <c r="K2300" i="1"/>
  <c r="L2300" i="1"/>
  <c r="M2300" i="1"/>
  <c r="N2300" i="1"/>
  <c r="O2300" i="1"/>
  <c r="P2300" i="1"/>
  <c r="R2300" i="1"/>
  <c r="S2300" i="1"/>
  <c r="T2300" i="1"/>
  <c r="U2300" i="1"/>
  <c r="B2299" i="1"/>
  <c r="D2299" i="1"/>
  <c r="E2299" i="1"/>
  <c r="F2299" i="1"/>
  <c r="G2299" i="1"/>
  <c r="H2299" i="1"/>
  <c r="I2299" i="1"/>
  <c r="J2299" i="1"/>
  <c r="K2299" i="1"/>
  <c r="L2299" i="1"/>
  <c r="M2299" i="1"/>
  <c r="N2299" i="1"/>
  <c r="O2299" i="1"/>
  <c r="P2299" i="1"/>
  <c r="R2299" i="1"/>
  <c r="S2299" i="1"/>
  <c r="T2299" i="1"/>
  <c r="U2299" i="1"/>
  <c r="B2298" i="1"/>
  <c r="D2298" i="1"/>
  <c r="E2298" i="1"/>
  <c r="F2298" i="1"/>
  <c r="G2298" i="1"/>
  <c r="H2298" i="1"/>
  <c r="I2298" i="1"/>
  <c r="J2298" i="1"/>
  <c r="K2298" i="1"/>
  <c r="L2298" i="1"/>
  <c r="M2298" i="1"/>
  <c r="N2298" i="1"/>
  <c r="O2298" i="1"/>
  <c r="P2298" i="1"/>
  <c r="R2298" i="1"/>
  <c r="S2298" i="1"/>
  <c r="T2298" i="1"/>
  <c r="U2298" i="1"/>
  <c r="B2297" i="1"/>
  <c r="D2297" i="1"/>
  <c r="E2297" i="1"/>
  <c r="F2297" i="1"/>
  <c r="G2297" i="1"/>
  <c r="H2297" i="1"/>
  <c r="I2297" i="1"/>
  <c r="J2297" i="1"/>
  <c r="K2297" i="1"/>
  <c r="L2297" i="1"/>
  <c r="M2297" i="1"/>
  <c r="N2297" i="1"/>
  <c r="O2297" i="1"/>
  <c r="P2297" i="1"/>
  <c r="R2297" i="1"/>
  <c r="S2297" i="1"/>
  <c r="T2297" i="1"/>
  <c r="U2297" i="1"/>
  <c r="B2296" i="1"/>
  <c r="D2296" i="1"/>
  <c r="E2296" i="1"/>
  <c r="F2296" i="1"/>
  <c r="G2296" i="1"/>
  <c r="H2296" i="1"/>
  <c r="I2296" i="1"/>
  <c r="J2296" i="1"/>
  <c r="K2296" i="1"/>
  <c r="L2296" i="1"/>
  <c r="M2296" i="1"/>
  <c r="N2296" i="1"/>
  <c r="O2296" i="1"/>
  <c r="P2296" i="1"/>
  <c r="R2296" i="1"/>
  <c r="S2296" i="1"/>
  <c r="T2296" i="1"/>
  <c r="U2296" i="1"/>
  <c r="B2295" i="1"/>
  <c r="D2295" i="1"/>
  <c r="E2295" i="1"/>
  <c r="F2295" i="1"/>
  <c r="G2295" i="1"/>
  <c r="H2295" i="1"/>
  <c r="I2295" i="1"/>
  <c r="J2295" i="1"/>
  <c r="K2295" i="1"/>
  <c r="L2295" i="1"/>
  <c r="M2295" i="1"/>
  <c r="N2295" i="1"/>
  <c r="O2295" i="1"/>
  <c r="P2295" i="1"/>
  <c r="R2295" i="1"/>
  <c r="S2295" i="1"/>
  <c r="T2295" i="1"/>
  <c r="U2295" i="1"/>
  <c r="B2294" i="1"/>
  <c r="D2294" i="1"/>
  <c r="E2294" i="1"/>
  <c r="F2294" i="1"/>
  <c r="G2294" i="1"/>
  <c r="H2294" i="1"/>
  <c r="I2294" i="1"/>
  <c r="J2294" i="1"/>
  <c r="K2294" i="1"/>
  <c r="L2294" i="1"/>
  <c r="M2294" i="1"/>
  <c r="N2294" i="1"/>
  <c r="O2294" i="1"/>
  <c r="P2294" i="1"/>
  <c r="R2294" i="1"/>
  <c r="S2294" i="1"/>
  <c r="T2294" i="1"/>
  <c r="U2294" i="1"/>
  <c r="B2293" i="1"/>
  <c r="D2293" i="1"/>
  <c r="E2293" i="1"/>
  <c r="F2293" i="1"/>
  <c r="G2293" i="1"/>
  <c r="H2293" i="1"/>
  <c r="I2293" i="1"/>
  <c r="J2293" i="1"/>
  <c r="K2293" i="1"/>
  <c r="L2293" i="1"/>
  <c r="M2293" i="1"/>
  <c r="N2293" i="1"/>
  <c r="O2293" i="1"/>
  <c r="P2293" i="1"/>
  <c r="R2293" i="1"/>
  <c r="S2293" i="1"/>
  <c r="T2293" i="1"/>
  <c r="U2293" i="1"/>
  <c r="B2292" i="1"/>
  <c r="D2292" i="1"/>
  <c r="E2292" i="1"/>
  <c r="F2292" i="1"/>
  <c r="G2292" i="1"/>
  <c r="H2292" i="1"/>
  <c r="I2292" i="1"/>
  <c r="J2292" i="1"/>
  <c r="K2292" i="1"/>
  <c r="L2292" i="1"/>
  <c r="M2292" i="1"/>
  <c r="N2292" i="1"/>
  <c r="O2292" i="1"/>
  <c r="P2292" i="1"/>
  <c r="R2292" i="1"/>
  <c r="S2292" i="1"/>
  <c r="T2292" i="1"/>
  <c r="U2292" i="1"/>
  <c r="B2291" i="1"/>
  <c r="D2291" i="1"/>
  <c r="E2291" i="1"/>
  <c r="F2291" i="1"/>
  <c r="G2291" i="1"/>
  <c r="H2291" i="1"/>
  <c r="I2291" i="1"/>
  <c r="J2291" i="1"/>
  <c r="K2291" i="1"/>
  <c r="L2291" i="1"/>
  <c r="M2291" i="1"/>
  <c r="N2291" i="1"/>
  <c r="O2291" i="1"/>
  <c r="P2291" i="1"/>
  <c r="R2291" i="1"/>
  <c r="S2291" i="1"/>
  <c r="T2291" i="1"/>
  <c r="U2291" i="1"/>
  <c r="B2290" i="1"/>
  <c r="D2290" i="1"/>
  <c r="E2290" i="1"/>
  <c r="F2290" i="1"/>
  <c r="G2290" i="1"/>
  <c r="H2290" i="1"/>
  <c r="I2290" i="1"/>
  <c r="J2290" i="1"/>
  <c r="K2290" i="1"/>
  <c r="L2290" i="1"/>
  <c r="M2290" i="1"/>
  <c r="N2290" i="1"/>
  <c r="O2290" i="1"/>
  <c r="P2290" i="1"/>
  <c r="R2290" i="1"/>
  <c r="S2290" i="1"/>
  <c r="T2290" i="1"/>
  <c r="U2290" i="1"/>
  <c r="B2289" i="1"/>
  <c r="D2289" i="1"/>
  <c r="E2289" i="1"/>
  <c r="F2289" i="1"/>
  <c r="G2289" i="1"/>
  <c r="H2289" i="1"/>
  <c r="I2289" i="1"/>
  <c r="J2289" i="1"/>
  <c r="K2289" i="1"/>
  <c r="L2289" i="1"/>
  <c r="M2289" i="1"/>
  <c r="N2289" i="1"/>
  <c r="O2289" i="1"/>
  <c r="P2289" i="1"/>
  <c r="R2289" i="1"/>
  <c r="S2289" i="1"/>
  <c r="T2289" i="1"/>
  <c r="U2289" i="1"/>
  <c r="B2288" i="1"/>
  <c r="D2288" i="1"/>
  <c r="E2288" i="1"/>
  <c r="F2288" i="1"/>
  <c r="G2288" i="1"/>
  <c r="H2288" i="1"/>
  <c r="I2288" i="1"/>
  <c r="J2288" i="1"/>
  <c r="K2288" i="1"/>
  <c r="L2288" i="1"/>
  <c r="M2288" i="1"/>
  <c r="N2288" i="1"/>
  <c r="O2288" i="1"/>
  <c r="P2288" i="1"/>
  <c r="R2288" i="1"/>
  <c r="S2288" i="1"/>
  <c r="T2288" i="1"/>
  <c r="U2288" i="1"/>
  <c r="B2287" i="1"/>
  <c r="D2287" i="1"/>
  <c r="E2287" i="1"/>
  <c r="F2287" i="1"/>
  <c r="G2287" i="1"/>
  <c r="H2287" i="1"/>
  <c r="I2287" i="1"/>
  <c r="J2287" i="1"/>
  <c r="K2287" i="1"/>
  <c r="L2287" i="1"/>
  <c r="M2287" i="1"/>
  <c r="N2287" i="1"/>
  <c r="O2287" i="1"/>
  <c r="P2287" i="1"/>
  <c r="R2287" i="1"/>
  <c r="S2287" i="1"/>
  <c r="T2287" i="1"/>
  <c r="U2287" i="1"/>
  <c r="B2286" i="1"/>
  <c r="D2286" i="1"/>
  <c r="E2286" i="1"/>
  <c r="F2286" i="1"/>
  <c r="G2286" i="1"/>
  <c r="H2286" i="1"/>
  <c r="I2286" i="1"/>
  <c r="J2286" i="1"/>
  <c r="K2286" i="1"/>
  <c r="L2286" i="1"/>
  <c r="M2286" i="1"/>
  <c r="N2286" i="1"/>
  <c r="O2286" i="1"/>
  <c r="P2286" i="1"/>
  <c r="R2286" i="1"/>
  <c r="S2286" i="1"/>
  <c r="T2286" i="1"/>
  <c r="U2286" i="1"/>
  <c r="B2285" i="1"/>
  <c r="D2285" i="1"/>
  <c r="E2285" i="1"/>
  <c r="F2285" i="1"/>
  <c r="G2285" i="1"/>
  <c r="H2285" i="1"/>
  <c r="I2285" i="1"/>
  <c r="J2285" i="1"/>
  <c r="K2285" i="1"/>
  <c r="L2285" i="1"/>
  <c r="M2285" i="1"/>
  <c r="N2285" i="1"/>
  <c r="O2285" i="1"/>
  <c r="P2285" i="1"/>
  <c r="R2285" i="1"/>
  <c r="S2285" i="1"/>
  <c r="T2285" i="1"/>
  <c r="U2285" i="1"/>
  <c r="B2284" i="1"/>
  <c r="D2284" i="1"/>
  <c r="E2284" i="1"/>
  <c r="F2284" i="1"/>
  <c r="G2284" i="1"/>
  <c r="H2284" i="1"/>
  <c r="I2284" i="1"/>
  <c r="J2284" i="1"/>
  <c r="K2284" i="1"/>
  <c r="L2284" i="1"/>
  <c r="M2284" i="1"/>
  <c r="N2284" i="1"/>
  <c r="O2284" i="1"/>
  <c r="P2284" i="1"/>
  <c r="R2284" i="1"/>
  <c r="S2284" i="1"/>
  <c r="T2284" i="1"/>
  <c r="U2284" i="1"/>
  <c r="B2283" i="1"/>
  <c r="D2283" i="1"/>
  <c r="E2283" i="1"/>
  <c r="F2283" i="1"/>
  <c r="G2283" i="1"/>
  <c r="H2283" i="1"/>
  <c r="I2283" i="1"/>
  <c r="J2283" i="1"/>
  <c r="K2283" i="1"/>
  <c r="L2283" i="1"/>
  <c r="M2283" i="1"/>
  <c r="N2283" i="1"/>
  <c r="O2283" i="1"/>
  <c r="P2283" i="1"/>
  <c r="R2283" i="1"/>
  <c r="S2283" i="1"/>
  <c r="T2283" i="1"/>
  <c r="U2283" i="1"/>
  <c r="B2282" i="1"/>
  <c r="D2282" i="1"/>
  <c r="E2282" i="1"/>
  <c r="F2282" i="1"/>
  <c r="G2282" i="1"/>
  <c r="H2282" i="1"/>
  <c r="I2282" i="1"/>
  <c r="J2282" i="1"/>
  <c r="K2282" i="1"/>
  <c r="L2282" i="1"/>
  <c r="M2282" i="1"/>
  <c r="N2282" i="1"/>
  <c r="O2282" i="1"/>
  <c r="P2282" i="1"/>
  <c r="R2282" i="1"/>
  <c r="S2282" i="1"/>
  <c r="T2282" i="1"/>
  <c r="U2282" i="1"/>
  <c r="B2281" i="1"/>
  <c r="D2281" i="1"/>
  <c r="E2281" i="1"/>
  <c r="F2281" i="1"/>
  <c r="G2281" i="1"/>
  <c r="H2281" i="1"/>
  <c r="I2281" i="1"/>
  <c r="J2281" i="1"/>
  <c r="K2281" i="1"/>
  <c r="L2281" i="1"/>
  <c r="M2281" i="1"/>
  <c r="N2281" i="1"/>
  <c r="O2281" i="1"/>
  <c r="P2281" i="1"/>
  <c r="R2281" i="1"/>
  <c r="S2281" i="1"/>
  <c r="T2281" i="1"/>
  <c r="U2281" i="1"/>
  <c r="B2280" i="1"/>
  <c r="D2280" i="1"/>
  <c r="E2280" i="1"/>
  <c r="F2280" i="1"/>
  <c r="G2280" i="1"/>
  <c r="H2280" i="1"/>
  <c r="I2280" i="1"/>
  <c r="J2280" i="1"/>
  <c r="K2280" i="1"/>
  <c r="L2280" i="1"/>
  <c r="M2280" i="1"/>
  <c r="N2280" i="1"/>
  <c r="O2280" i="1"/>
  <c r="P2280" i="1"/>
  <c r="R2280" i="1"/>
  <c r="S2280" i="1"/>
  <c r="T2280" i="1"/>
  <c r="U2280" i="1"/>
  <c r="B2279" i="1"/>
  <c r="D2279" i="1"/>
  <c r="E2279" i="1"/>
  <c r="F2279" i="1"/>
  <c r="G2279" i="1"/>
  <c r="H2279" i="1"/>
  <c r="I2279" i="1"/>
  <c r="J2279" i="1"/>
  <c r="K2279" i="1"/>
  <c r="L2279" i="1"/>
  <c r="M2279" i="1"/>
  <c r="N2279" i="1"/>
  <c r="O2279" i="1"/>
  <c r="P2279" i="1"/>
  <c r="R2279" i="1"/>
  <c r="S2279" i="1"/>
  <c r="T2279" i="1"/>
  <c r="U2279" i="1"/>
  <c r="B2278" i="1"/>
  <c r="D2278" i="1"/>
  <c r="E2278" i="1"/>
  <c r="F2278" i="1"/>
  <c r="G2278" i="1"/>
  <c r="H2278" i="1"/>
  <c r="I2278" i="1"/>
  <c r="J2278" i="1"/>
  <c r="K2278" i="1"/>
  <c r="L2278" i="1"/>
  <c r="M2278" i="1"/>
  <c r="N2278" i="1"/>
  <c r="O2278" i="1"/>
  <c r="P2278" i="1"/>
  <c r="R2278" i="1"/>
  <c r="S2278" i="1"/>
  <c r="T2278" i="1"/>
  <c r="U2278" i="1"/>
  <c r="B2277" i="1"/>
  <c r="D2277" i="1"/>
  <c r="E2277" i="1"/>
  <c r="F2277" i="1"/>
  <c r="G2277" i="1"/>
  <c r="H2277" i="1"/>
  <c r="I2277" i="1"/>
  <c r="J2277" i="1"/>
  <c r="K2277" i="1"/>
  <c r="L2277" i="1"/>
  <c r="M2277" i="1"/>
  <c r="N2277" i="1"/>
  <c r="O2277" i="1"/>
  <c r="P2277" i="1"/>
  <c r="R2277" i="1"/>
  <c r="S2277" i="1"/>
  <c r="T2277" i="1"/>
  <c r="U2277" i="1"/>
  <c r="B2276" i="1"/>
  <c r="D2276" i="1"/>
  <c r="E2276" i="1"/>
  <c r="F2276" i="1"/>
  <c r="G2276" i="1"/>
  <c r="H2276" i="1"/>
  <c r="I2276" i="1"/>
  <c r="J2276" i="1"/>
  <c r="K2276" i="1"/>
  <c r="L2276" i="1"/>
  <c r="M2276" i="1"/>
  <c r="N2276" i="1"/>
  <c r="O2276" i="1"/>
  <c r="P2276" i="1"/>
  <c r="R2276" i="1"/>
  <c r="S2276" i="1"/>
  <c r="T2276" i="1"/>
  <c r="U2276" i="1"/>
  <c r="B2275" i="1"/>
  <c r="D2275" i="1"/>
  <c r="E2275" i="1"/>
  <c r="F2275" i="1"/>
  <c r="G2275" i="1"/>
  <c r="H2275" i="1"/>
  <c r="I2275" i="1"/>
  <c r="J2275" i="1"/>
  <c r="K2275" i="1"/>
  <c r="L2275" i="1"/>
  <c r="M2275" i="1"/>
  <c r="N2275" i="1"/>
  <c r="O2275" i="1"/>
  <c r="P2275" i="1"/>
  <c r="R2275" i="1"/>
  <c r="S2275" i="1"/>
  <c r="T2275" i="1"/>
  <c r="U2275" i="1"/>
  <c r="B2274" i="1"/>
  <c r="D2274" i="1"/>
  <c r="E2274" i="1"/>
  <c r="F2274" i="1"/>
  <c r="G2274" i="1"/>
  <c r="H2274" i="1"/>
  <c r="I2274" i="1"/>
  <c r="J2274" i="1"/>
  <c r="K2274" i="1"/>
  <c r="L2274" i="1"/>
  <c r="M2274" i="1"/>
  <c r="N2274" i="1"/>
  <c r="O2274" i="1"/>
  <c r="P2274" i="1"/>
  <c r="R2274" i="1"/>
  <c r="S2274" i="1"/>
  <c r="T2274" i="1"/>
  <c r="U2274" i="1"/>
  <c r="B2273" i="1"/>
  <c r="D2273" i="1"/>
  <c r="E2273" i="1"/>
  <c r="F2273" i="1"/>
  <c r="G2273" i="1"/>
  <c r="H2273" i="1"/>
  <c r="I2273" i="1"/>
  <c r="J2273" i="1"/>
  <c r="K2273" i="1"/>
  <c r="L2273" i="1"/>
  <c r="M2273" i="1"/>
  <c r="N2273" i="1"/>
  <c r="O2273" i="1"/>
  <c r="P2273" i="1"/>
  <c r="R2273" i="1"/>
  <c r="S2273" i="1"/>
  <c r="T2273" i="1"/>
  <c r="U2273" i="1"/>
  <c r="B2272" i="1"/>
  <c r="D2272" i="1"/>
  <c r="E2272" i="1"/>
  <c r="F2272" i="1"/>
  <c r="G2272" i="1"/>
  <c r="H2272" i="1"/>
  <c r="I2272" i="1"/>
  <c r="J2272" i="1"/>
  <c r="K2272" i="1"/>
  <c r="L2272" i="1"/>
  <c r="M2272" i="1"/>
  <c r="N2272" i="1"/>
  <c r="O2272" i="1"/>
  <c r="P2272" i="1"/>
  <c r="R2272" i="1"/>
  <c r="S2272" i="1"/>
  <c r="T2272" i="1"/>
  <c r="U2272" i="1"/>
  <c r="B2271" i="1"/>
  <c r="D2271" i="1"/>
  <c r="E2271" i="1"/>
  <c r="F2271" i="1"/>
  <c r="G2271" i="1"/>
  <c r="H2271" i="1"/>
  <c r="I2271" i="1"/>
  <c r="J2271" i="1"/>
  <c r="K2271" i="1"/>
  <c r="L2271" i="1"/>
  <c r="M2271" i="1"/>
  <c r="N2271" i="1"/>
  <c r="O2271" i="1"/>
  <c r="P2271" i="1"/>
  <c r="R2271" i="1"/>
  <c r="S2271" i="1"/>
  <c r="T2271" i="1"/>
  <c r="U2271" i="1"/>
  <c r="B2270" i="1"/>
  <c r="D2270" i="1"/>
  <c r="E2270" i="1"/>
  <c r="F2270" i="1"/>
  <c r="G2270" i="1"/>
  <c r="H2270" i="1"/>
  <c r="I2270" i="1"/>
  <c r="J2270" i="1"/>
  <c r="K2270" i="1"/>
  <c r="L2270" i="1"/>
  <c r="M2270" i="1"/>
  <c r="N2270" i="1"/>
  <c r="O2270" i="1"/>
  <c r="P2270" i="1"/>
  <c r="R2270" i="1"/>
  <c r="S2270" i="1"/>
  <c r="T2270" i="1"/>
  <c r="U2270" i="1"/>
  <c r="B2269" i="1"/>
  <c r="D2269" i="1"/>
  <c r="E2269" i="1"/>
  <c r="F2269" i="1"/>
  <c r="G2269" i="1"/>
  <c r="H2269" i="1"/>
  <c r="I2269" i="1"/>
  <c r="J2269" i="1"/>
  <c r="K2269" i="1"/>
  <c r="L2269" i="1"/>
  <c r="M2269" i="1"/>
  <c r="N2269" i="1"/>
  <c r="O2269" i="1"/>
  <c r="P2269" i="1"/>
  <c r="R2269" i="1"/>
  <c r="S2269" i="1"/>
  <c r="T2269" i="1"/>
  <c r="U2269" i="1"/>
  <c r="B2268" i="1"/>
  <c r="D2268" i="1"/>
  <c r="E2268" i="1"/>
  <c r="F2268" i="1"/>
  <c r="G2268" i="1"/>
  <c r="H2268" i="1"/>
  <c r="I2268" i="1"/>
  <c r="J2268" i="1"/>
  <c r="K2268" i="1"/>
  <c r="L2268" i="1"/>
  <c r="M2268" i="1"/>
  <c r="N2268" i="1"/>
  <c r="O2268" i="1"/>
  <c r="P2268" i="1"/>
  <c r="R2268" i="1"/>
  <c r="S2268" i="1"/>
  <c r="T2268" i="1"/>
  <c r="U2268" i="1"/>
  <c r="B2267" i="1"/>
  <c r="D2267" i="1"/>
  <c r="E2267" i="1"/>
  <c r="F2267" i="1"/>
  <c r="G2267" i="1"/>
  <c r="H2267" i="1"/>
  <c r="I2267" i="1"/>
  <c r="J2267" i="1"/>
  <c r="K2267" i="1"/>
  <c r="L2267" i="1"/>
  <c r="M2267" i="1"/>
  <c r="N2267" i="1"/>
  <c r="O2267" i="1"/>
  <c r="P2267" i="1"/>
  <c r="R2267" i="1"/>
  <c r="S2267" i="1"/>
  <c r="T2267" i="1"/>
  <c r="U2267" i="1"/>
  <c r="B2266" i="1"/>
  <c r="D2266" i="1"/>
  <c r="E2266" i="1"/>
  <c r="F2266" i="1"/>
  <c r="G2266" i="1"/>
  <c r="H2266" i="1"/>
  <c r="I2266" i="1"/>
  <c r="J2266" i="1"/>
  <c r="K2266" i="1"/>
  <c r="L2266" i="1"/>
  <c r="M2266" i="1"/>
  <c r="N2266" i="1"/>
  <c r="O2266" i="1"/>
  <c r="P2266" i="1"/>
  <c r="R2266" i="1"/>
  <c r="S2266" i="1"/>
  <c r="T2266" i="1"/>
  <c r="U2266" i="1"/>
  <c r="B2265" i="1"/>
  <c r="D2265" i="1"/>
  <c r="E2265" i="1"/>
  <c r="F2265" i="1"/>
  <c r="G2265" i="1"/>
  <c r="H2265" i="1"/>
  <c r="I2265" i="1"/>
  <c r="J2265" i="1"/>
  <c r="K2265" i="1"/>
  <c r="L2265" i="1"/>
  <c r="M2265" i="1"/>
  <c r="N2265" i="1"/>
  <c r="O2265" i="1"/>
  <c r="P2265" i="1"/>
  <c r="R2265" i="1"/>
  <c r="S2265" i="1"/>
  <c r="T2265" i="1"/>
  <c r="U2265" i="1"/>
  <c r="B2264" i="1"/>
  <c r="D2264" i="1"/>
  <c r="E2264" i="1"/>
  <c r="F2264" i="1"/>
  <c r="G2264" i="1"/>
  <c r="H2264" i="1"/>
  <c r="I2264" i="1"/>
  <c r="J2264" i="1"/>
  <c r="K2264" i="1"/>
  <c r="L2264" i="1"/>
  <c r="M2264" i="1"/>
  <c r="N2264" i="1"/>
  <c r="O2264" i="1"/>
  <c r="P2264" i="1"/>
  <c r="R2264" i="1"/>
  <c r="S2264" i="1"/>
  <c r="T2264" i="1"/>
  <c r="U2264" i="1"/>
  <c r="B2263" i="1"/>
  <c r="D2263" i="1"/>
  <c r="E2263" i="1"/>
  <c r="F2263" i="1"/>
  <c r="G2263" i="1"/>
  <c r="H2263" i="1"/>
  <c r="I2263" i="1"/>
  <c r="J2263" i="1"/>
  <c r="K2263" i="1"/>
  <c r="L2263" i="1"/>
  <c r="M2263" i="1"/>
  <c r="N2263" i="1"/>
  <c r="O2263" i="1"/>
  <c r="P2263" i="1"/>
  <c r="R2263" i="1"/>
  <c r="S2263" i="1"/>
  <c r="T2263" i="1"/>
  <c r="U2263" i="1"/>
  <c r="B2262" i="1"/>
  <c r="D2262" i="1"/>
  <c r="E2262" i="1"/>
  <c r="F2262" i="1"/>
  <c r="G2262" i="1"/>
  <c r="H2262" i="1"/>
  <c r="I2262" i="1"/>
  <c r="J2262" i="1"/>
  <c r="K2262" i="1"/>
  <c r="L2262" i="1"/>
  <c r="M2262" i="1"/>
  <c r="N2262" i="1"/>
  <c r="O2262" i="1"/>
  <c r="P2262" i="1"/>
  <c r="R2262" i="1"/>
  <c r="S2262" i="1"/>
  <c r="T2262" i="1"/>
  <c r="U2262" i="1"/>
  <c r="B2261" i="1"/>
  <c r="D2261" i="1"/>
  <c r="E2261" i="1"/>
  <c r="F2261" i="1"/>
  <c r="G2261" i="1"/>
  <c r="H2261" i="1"/>
  <c r="I2261" i="1"/>
  <c r="J2261" i="1"/>
  <c r="K2261" i="1"/>
  <c r="L2261" i="1"/>
  <c r="M2261" i="1"/>
  <c r="N2261" i="1"/>
  <c r="O2261" i="1"/>
  <c r="P2261" i="1"/>
  <c r="R2261" i="1"/>
  <c r="S2261" i="1"/>
  <c r="T2261" i="1"/>
  <c r="U2261" i="1"/>
  <c r="B2260" i="1"/>
  <c r="D2260" i="1"/>
  <c r="E2260" i="1"/>
  <c r="F2260" i="1"/>
  <c r="G2260" i="1"/>
  <c r="H2260" i="1"/>
  <c r="I2260" i="1"/>
  <c r="J2260" i="1"/>
  <c r="K2260" i="1"/>
  <c r="L2260" i="1"/>
  <c r="M2260" i="1"/>
  <c r="N2260" i="1"/>
  <c r="O2260" i="1"/>
  <c r="P2260" i="1"/>
  <c r="R2260" i="1"/>
  <c r="S2260" i="1"/>
  <c r="T2260" i="1"/>
  <c r="U2260" i="1"/>
  <c r="B2259" i="1"/>
  <c r="D2259" i="1"/>
  <c r="E2259" i="1"/>
  <c r="F2259" i="1"/>
  <c r="G2259" i="1"/>
  <c r="H2259" i="1"/>
  <c r="I2259" i="1"/>
  <c r="J2259" i="1"/>
  <c r="K2259" i="1"/>
  <c r="L2259" i="1"/>
  <c r="M2259" i="1"/>
  <c r="N2259" i="1"/>
  <c r="O2259" i="1"/>
  <c r="P2259" i="1"/>
  <c r="R2259" i="1"/>
  <c r="S2259" i="1"/>
  <c r="T2259" i="1"/>
  <c r="U2259" i="1"/>
  <c r="B2258" i="1"/>
  <c r="D2258" i="1"/>
  <c r="E2258" i="1"/>
  <c r="F2258" i="1"/>
  <c r="G2258" i="1"/>
  <c r="H2258" i="1"/>
  <c r="I2258" i="1"/>
  <c r="J2258" i="1"/>
  <c r="K2258" i="1"/>
  <c r="L2258" i="1"/>
  <c r="M2258" i="1"/>
  <c r="N2258" i="1"/>
  <c r="O2258" i="1"/>
  <c r="P2258" i="1"/>
  <c r="R2258" i="1"/>
  <c r="S2258" i="1"/>
  <c r="T2258" i="1"/>
  <c r="U2258" i="1"/>
  <c r="B2257" i="1"/>
  <c r="D2257" i="1"/>
  <c r="E2257" i="1"/>
  <c r="F2257" i="1"/>
  <c r="G2257" i="1"/>
  <c r="H2257" i="1"/>
  <c r="I2257" i="1"/>
  <c r="J2257" i="1"/>
  <c r="K2257" i="1"/>
  <c r="L2257" i="1"/>
  <c r="M2257" i="1"/>
  <c r="N2257" i="1"/>
  <c r="O2257" i="1"/>
  <c r="P2257" i="1"/>
  <c r="R2257" i="1"/>
  <c r="S2257" i="1"/>
  <c r="T2257" i="1"/>
  <c r="U2257" i="1"/>
  <c r="B2256" i="1"/>
  <c r="D2256" i="1"/>
  <c r="E2256" i="1"/>
  <c r="F2256" i="1"/>
  <c r="G2256" i="1"/>
  <c r="H2256" i="1"/>
  <c r="I2256" i="1"/>
  <c r="J2256" i="1"/>
  <c r="K2256" i="1"/>
  <c r="L2256" i="1"/>
  <c r="M2256" i="1"/>
  <c r="N2256" i="1"/>
  <c r="O2256" i="1"/>
  <c r="P2256" i="1"/>
  <c r="R2256" i="1"/>
  <c r="S2256" i="1"/>
  <c r="T2256" i="1"/>
  <c r="U2256" i="1"/>
  <c r="B2255" i="1"/>
  <c r="D2255" i="1"/>
  <c r="E2255" i="1"/>
  <c r="F2255" i="1"/>
  <c r="G2255" i="1"/>
  <c r="H2255" i="1"/>
  <c r="I2255" i="1"/>
  <c r="J2255" i="1"/>
  <c r="K2255" i="1"/>
  <c r="L2255" i="1"/>
  <c r="M2255" i="1"/>
  <c r="N2255" i="1"/>
  <c r="O2255" i="1"/>
  <c r="P2255" i="1"/>
  <c r="R2255" i="1"/>
  <c r="S2255" i="1"/>
  <c r="T2255" i="1"/>
  <c r="U2255" i="1"/>
  <c r="B2254" i="1"/>
  <c r="D2254" i="1"/>
  <c r="E2254" i="1"/>
  <c r="F2254" i="1"/>
  <c r="G2254" i="1"/>
  <c r="H2254" i="1"/>
  <c r="I2254" i="1"/>
  <c r="J2254" i="1"/>
  <c r="K2254" i="1"/>
  <c r="L2254" i="1"/>
  <c r="M2254" i="1"/>
  <c r="N2254" i="1"/>
  <c r="O2254" i="1"/>
  <c r="P2254" i="1"/>
  <c r="R2254" i="1"/>
  <c r="S2254" i="1"/>
  <c r="T2254" i="1"/>
  <c r="U2254" i="1"/>
  <c r="B2253" i="1"/>
  <c r="D2253" i="1"/>
  <c r="E2253" i="1"/>
  <c r="F2253" i="1"/>
  <c r="G2253" i="1"/>
  <c r="H2253" i="1"/>
  <c r="I2253" i="1"/>
  <c r="J2253" i="1"/>
  <c r="K2253" i="1"/>
  <c r="L2253" i="1"/>
  <c r="M2253" i="1"/>
  <c r="N2253" i="1"/>
  <c r="O2253" i="1"/>
  <c r="P2253" i="1"/>
  <c r="R2253" i="1"/>
  <c r="S2253" i="1"/>
  <c r="T2253" i="1"/>
  <c r="U2253" i="1"/>
  <c r="B2252" i="1"/>
  <c r="D2252" i="1"/>
  <c r="E2252" i="1"/>
  <c r="F2252" i="1"/>
  <c r="G2252" i="1"/>
  <c r="H2252" i="1"/>
  <c r="I2252" i="1"/>
  <c r="J2252" i="1"/>
  <c r="K2252" i="1"/>
  <c r="L2252" i="1"/>
  <c r="M2252" i="1"/>
  <c r="N2252" i="1"/>
  <c r="O2252" i="1"/>
  <c r="P2252" i="1"/>
  <c r="R2252" i="1"/>
  <c r="S2252" i="1"/>
  <c r="T2252" i="1"/>
  <c r="U2252" i="1"/>
  <c r="B2251" i="1"/>
  <c r="D2251" i="1"/>
  <c r="E2251" i="1"/>
  <c r="F2251" i="1"/>
  <c r="G2251" i="1"/>
  <c r="H2251" i="1"/>
  <c r="I2251" i="1"/>
  <c r="J2251" i="1"/>
  <c r="K2251" i="1"/>
  <c r="L2251" i="1"/>
  <c r="M2251" i="1"/>
  <c r="N2251" i="1"/>
  <c r="O2251" i="1"/>
  <c r="P2251" i="1"/>
  <c r="R2251" i="1"/>
  <c r="S2251" i="1"/>
  <c r="T2251" i="1"/>
  <c r="U2251" i="1"/>
  <c r="B2250" i="1"/>
  <c r="D2250" i="1"/>
  <c r="E2250" i="1"/>
  <c r="F2250" i="1"/>
  <c r="G2250" i="1"/>
  <c r="H2250" i="1"/>
  <c r="I2250" i="1"/>
  <c r="J2250" i="1"/>
  <c r="K2250" i="1"/>
  <c r="L2250" i="1"/>
  <c r="M2250" i="1"/>
  <c r="N2250" i="1"/>
  <c r="O2250" i="1"/>
  <c r="P2250" i="1"/>
  <c r="R2250" i="1"/>
  <c r="S2250" i="1"/>
  <c r="T2250" i="1"/>
  <c r="U2250" i="1"/>
  <c r="B2249" i="1"/>
  <c r="D2249" i="1"/>
  <c r="E2249" i="1"/>
  <c r="F2249" i="1"/>
  <c r="G2249" i="1"/>
  <c r="H2249" i="1"/>
  <c r="I2249" i="1"/>
  <c r="J2249" i="1"/>
  <c r="K2249" i="1"/>
  <c r="L2249" i="1"/>
  <c r="M2249" i="1"/>
  <c r="N2249" i="1"/>
  <c r="O2249" i="1"/>
  <c r="P2249" i="1"/>
  <c r="R2249" i="1"/>
  <c r="S2249" i="1"/>
  <c r="T2249" i="1"/>
  <c r="U2249" i="1"/>
  <c r="B2248" i="1"/>
  <c r="D2248" i="1"/>
  <c r="E2248" i="1"/>
  <c r="F2248" i="1"/>
  <c r="G2248" i="1"/>
  <c r="H2248" i="1"/>
  <c r="I2248" i="1"/>
  <c r="J2248" i="1"/>
  <c r="K2248" i="1"/>
  <c r="L2248" i="1"/>
  <c r="M2248" i="1"/>
  <c r="N2248" i="1"/>
  <c r="O2248" i="1"/>
  <c r="P2248" i="1"/>
  <c r="R2248" i="1"/>
  <c r="S2248" i="1"/>
  <c r="T2248" i="1"/>
  <c r="U2248" i="1"/>
  <c r="B2247" i="1"/>
  <c r="D2247" i="1"/>
  <c r="E2247" i="1"/>
  <c r="F2247" i="1"/>
  <c r="G2247" i="1"/>
  <c r="H2247" i="1"/>
  <c r="I2247" i="1"/>
  <c r="J2247" i="1"/>
  <c r="K2247" i="1"/>
  <c r="L2247" i="1"/>
  <c r="M2247" i="1"/>
  <c r="N2247" i="1"/>
  <c r="O2247" i="1"/>
  <c r="P2247" i="1"/>
  <c r="R2247" i="1"/>
  <c r="S2247" i="1"/>
  <c r="T2247" i="1"/>
  <c r="U2247" i="1"/>
  <c r="B2246" i="1"/>
  <c r="D2246" i="1"/>
  <c r="E2246" i="1"/>
  <c r="F2246" i="1"/>
  <c r="G2246" i="1"/>
  <c r="H2246" i="1"/>
  <c r="I2246" i="1"/>
  <c r="J2246" i="1"/>
  <c r="K2246" i="1"/>
  <c r="L2246" i="1"/>
  <c r="M2246" i="1"/>
  <c r="N2246" i="1"/>
  <c r="O2246" i="1"/>
  <c r="P2246" i="1"/>
  <c r="R2246" i="1"/>
  <c r="S2246" i="1"/>
  <c r="T2246" i="1"/>
  <c r="U2246" i="1"/>
  <c r="B2245" i="1"/>
  <c r="D2245" i="1"/>
  <c r="E2245" i="1"/>
  <c r="F2245" i="1"/>
  <c r="G2245" i="1"/>
  <c r="H2245" i="1"/>
  <c r="I2245" i="1"/>
  <c r="J2245" i="1"/>
  <c r="K2245" i="1"/>
  <c r="L2245" i="1"/>
  <c r="M2245" i="1"/>
  <c r="N2245" i="1"/>
  <c r="O2245" i="1"/>
  <c r="P2245" i="1"/>
  <c r="R2245" i="1"/>
  <c r="S2245" i="1"/>
  <c r="T2245" i="1"/>
  <c r="U2245" i="1"/>
  <c r="B2244" i="1"/>
  <c r="D2244" i="1"/>
  <c r="E2244" i="1"/>
  <c r="F2244" i="1"/>
  <c r="G2244" i="1"/>
  <c r="H2244" i="1"/>
  <c r="I2244" i="1"/>
  <c r="J2244" i="1"/>
  <c r="K2244" i="1"/>
  <c r="L2244" i="1"/>
  <c r="M2244" i="1"/>
  <c r="N2244" i="1"/>
  <c r="O2244" i="1"/>
  <c r="P2244" i="1"/>
  <c r="R2244" i="1"/>
  <c r="S2244" i="1"/>
  <c r="T2244" i="1"/>
  <c r="U2244" i="1"/>
  <c r="B2243" i="1"/>
  <c r="D2243" i="1"/>
  <c r="E2243" i="1"/>
  <c r="F2243" i="1"/>
  <c r="G2243" i="1"/>
  <c r="H2243" i="1"/>
  <c r="I2243" i="1"/>
  <c r="J2243" i="1"/>
  <c r="K2243" i="1"/>
  <c r="L2243" i="1"/>
  <c r="M2243" i="1"/>
  <c r="N2243" i="1"/>
  <c r="O2243" i="1"/>
  <c r="P2243" i="1"/>
  <c r="R2243" i="1"/>
  <c r="S2243" i="1"/>
  <c r="T2243" i="1"/>
  <c r="U2243" i="1"/>
  <c r="B2242" i="1"/>
  <c r="D2242" i="1"/>
  <c r="E2242" i="1"/>
  <c r="F2242" i="1"/>
  <c r="G2242" i="1"/>
  <c r="H2242" i="1"/>
  <c r="I2242" i="1"/>
  <c r="J2242" i="1"/>
  <c r="K2242" i="1"/>
  <c r="L2242" i="1"/>
  <c r="M2242" i="1"/>
  <c r="N2242" i="1"/>
  <c r="O2242" i="1"/>
  <c r="P2242" i="1"/>
  <c r="R2242" i="1"/>
  <c r="S2242" i="1"/>
  <c r="T2242" i="1"/>
  <c r="U2242" i="1"/>
  <c r="B2241" i="1"/>
  <c r="D2241" i="1"/>
  <c r="E2241" i="1"/>
  <c r="F2241" i="1"/>
  <c r="G2241" i="1"/>
  <c r="H2241" i="1"/>
  <c r="I2241" i="1"/>
  <c r="J2241" i="1"/>
  <c r="K2241" i="1"/>
  <c r="L2241" i="1"/>
  <c r="M2241" i="1"/>
  <c r="N2241" i="1"/>
  <c r="O2241" i="1"/>
  <c r="P2241" i="1"/>
  <c r="R2241" i="1"/>
  <c r="S2241" i="1"/>
  <c r="T2241" i="1"/>
  <c r="U2241" i="1"/>
  <c r="B2240" i="1"/>
  <c r="D2240" i="1"/>
  <c r="E2240" i="1"/>
  <c r="F2240" i="1"/>
  <c r="G2240" i="1"/>
  <c r="H2240" i="1"/>
  <c r="I2240" i="1"/>
  <c r="J2240" i="1"/>
  <c r="K2240" i="1"/>
  <c r="L2240" i="1"/>
  <c r="M2240" i="1"/>
  <c r="N2240" i="1"/>
  <c r="O2240" i="1"/>
  <c r="P2240" i="1"/>
  <c r="R2240" i="1"/>
  <c r="S2240" i="1"/>
  <c r="T2240" i="1"/>
  <c r="U2240" i="1"/>
  <c r="B2239" i="1"/>
  <c r="D2239" i="1"/>
  <c r="E2239" i="1"/>
  <c r="F2239" i="1"/>
  <c r="G2239" i="1"/>
  <c r="H2239" i="1"/>
  <c r="I2239" i="1"/>
  <c r="J2239" i="1"/>
  <c r="K2239" i="1"/>
  <c r="L2239" i="1"/>
  <c r="M2239" i="1"/>
  <c r="N2239" i="1"/>
  <c r="O2239" i="1"/>
  <c r="P2239" i="1"/>
  <c r="R2239" i="1"/>
  <c r="S2239" i="1"/>
  <c r="T2239" i="1"/>
  <c r="U2239" i="1"/>
  <c r="B2238" i="1"/>
  <c r="D2238" i="1"/>
  <c r="E2238" i="1"/>
  <c r="F2238" i="1"/>
  <c r="G2238" i="1"/>
  <c r="H2238" i="1"/>
  <c r="I2238" i="1"/>
  <c r="J2238" i="1"/>
  <c r="K2238" i="1"/>
  <c r="L2238" i="1"/>
  <c r="M2238" i="1"/>
  <c r="N2238" i="1"/>
  <c r="O2238" i="1"/>
  <c r="P2238" i="1"/>
  <c r="R2238" i="1"/>
  <c r="S2238" i="1"/>
  <c r="T2238" i="1"/>
  <c r="U2238" i="1"/>
  <c r="B2237" i="1"/>
  <c r="D2237" i="1"/>
  <c r="E2237" i="1"/>
  <c r="F2237" i="1"/>
  <c r="G2237" i="1"/>
  <c r="H2237" i="1"/>
  <c r="I2237" i="1"/>
  <c r="J2237" i="1"/>
  <c r="K2237" i="1"/>
  <c r="L2237" i="1"/>
  <c r="M2237" i="1"/>
  <c r="N2237" i="1"/>
  <c r="O2237" i="1"/>
  <c r="P2237" i="1"/>
  <c r="R2237" i="1"/>
  <c r="S2237" i="1"/>
  <c r="T2237" i="1"/>
  <c r="U2237" i="1"/>
  <c r="B2236" i="1"/>
  <c r="D2236" i="1"/>
  <c r="E2236" i="1"/>
  <c r="F2236" i="1"/>
  <c r="G2236" i="1"/>
  <c r="H2236" i="1"/>
  <c r="I2236" i="1"/>
  <c r="J2236" i="1"/>
  <c r="K2236" i="1"/>
  <c r="L2236" i="1"/>
  <c r="M2236" i="1"/>
  <c r="N2236" i="1"/>
  <c r="O2236" i="1"/>
  <c r="P2236" i="1"/>
  <c r="R2236" i="1"/>
  <c r="S2236" i="1"/>
  <c r="T2236" i="1"/>
  <c r="U2236" i="1"/>
  <c r="B2235" i="1"/>
  <c r="D2235" i="1"/>
  <c r="E2235" i="1"/>
  <c r="F2235" i="1"/>
  <c r="G2235" i="1"/>
  <c r="H2235" i="1"/>
  <c r="I2235" i="1"/>
  <c r="J2235" i="1"/>
  <c r="K2235" i="1"/>
  <c r="L2235" i="1"/>
  <c r="M2235" i="1"/>
  <c r="N2235" i="1"/>
  <c r="O2235" i="1"/>
  <c r="P2235" i="1"/>
  <c r="R2235" i="1"/>
  <c r="S2235" i="1"/>
  <c r="T2235" i="1"/>
  <c r="U2235" i="1"/>
  <c r="B2234" i="1"/>
  <c r="D2234" i="1"/>
  <c r="E2234" i="1"/>
  <c r="F2234" i="1"/>
  <c r="G2234" i="1"/>
  <c r="H2234" i="1"/>
  <c r="I2234" i="1"/>
  <c r="J2234" i="1"/>
  <c r="K2234" i="1"/>
  <c r="L2234" i="1"/>
  <c r="M2234" i="1"/>
  <c r="N2234" i="1"/>
  <c r="O2234" i="1"/>
  <c r="P2234" i="1"/>
  <c r="R2234" i="1"/>
  <c r="S2234" i="1"/>
  <c r="T2234" i="1"/>
  <c r="U2234" i="1"/>
  <c r="B2233" i="1"/>
  <c r="D2233" i="1"/>
  <c r="E2233" i="1"/>
  <c r="F2233" i="1"/>
  <c r="G2233" i="1"/>
  <c r="H2233" i="1"/>
  <c r="I2233" i="1"/>
  <c r="J2233" i="1"/>
  <c r="K2233" i="1"/>
  <c r="L2233" i="1"/>
  <c r="M2233" i="1"/>
  <c r="N2233" i="1"/>
  <c r="O2233" i="1"/>
  <c r="P2233" i="1"/>
  <c r="R2233" i="1"/>
  <c r="S2233" i="1"/>
  <c r="T2233" i="1"/>
  <c r="U2233" i="1"/>
  <c r="B2232" i="1"/>
  <c r="D2232" i="1"/>
  <c r="E2232" i="1"/>
  <c r="F2232" i="1"/>
  <c r="G2232" i="1"/>
  <c r="H2232" i="1"/>
  <c r="I2232" i="1"/>
  <c r="J2232" i="1"/>
  <c r="K2232" i="1"/>
  <c r="L2232" i="1"/>
  <c r="M2232" i="1"/>
  <c r="N2232" i="1"/>
  <c r="O2232" i="1"/>
  <c r="P2232" i="1"/>
  <c r="R2232" i="1"/>
  <c r="S2232" i="1"/>
  <c r="T2232" i="1"/>
  <c r="U2232" i="1"/>
  <c r="B2231" i="1"/>
  <c r="D2231" i="1"/>
  <c r="E2231" i="1"/>
  <c r="F2231" i="1"/>
  <c r="G2231" i="1"/>
  <c r="H2231" i="1"/>
  <c r="I2231" i="1"/>
  <c r="J2231" i="1"/>
  <c r="K2231" i="1"/>
  <c r="L2231" i="1"/>
  <c r="M2231" i="1"/>
  <c r="N2231" i="1"/>
  <c r="O2231" i="1"/>
  <c r="P2231" i="1"/>
  <c r="R2231" i="1"/>
  <c r="S2231" i="1"/>
  <c r="T2231" i="1"/>
  <c r="U2231" i="1"/>
  <c r="B2230" i="1"/>
  <c r="D2230" i="1"/>
  <c r="E2230" i="1"/>
  <c r="F2230" i="1"/>
  <c r="G2230" i="1"/>
  <c r="H2230" i="1"/>
  <c r="I2230" i="1"/>
  <c r="J2230" i="1"/>
  <c r="K2230" i="1"/>
  <c r="L2230" i="1"/>
  <c r="M2230" i="1"/>
  <c r="N2230" i="1"/>
  <c r="O2230" i="1"/>
  <c r="P2230" i="1"/>
  <c r="R2230" i="1"/>
  <c r="S2230" i="1"/>
  <c r="T2230" i="1"/>
  <c r="U2230" i="1"/>
  <c r="B2229" i="1"/>
  <c r="D2229" i="1"/>
  <c r="E2229" i="1"/>
  <c r="F2229" i="1"/>
  <c r="G2229" i="1"/>
  <c r="H2229" i="1"/>
  <c r="I2229" i="1"/>
  <c r="J2229" i="1"/>
  <c r="K2229" i="1"/>
  <c r="L2229" i="1"/>
  <c r="M2229" i="1"/>
  <c r="N2229" i="1"/>
  <c r="O2229" i="1"/>
  <c r="P2229" i="1"/>
  <c r="R2229" i="1"/>
  <c r="S2229" i="1"/>
  <c r="T2229" i="1"/>
  <c r="U2229" i="1"/>
  <c r="B2228" i="1"/>
  <c r="D2228" i="1"/>
  <c r="E2228" i="1"/>
  <c r="F2228" i="1"/>
  <c r="G2228" i="1"/>
  <c r="H2228" i="1"/>
  <c r="I2228" i="1"/>
  <c r="J2228" i="1"/>
  <c r="K2228" i="1"/>
  <c r="L2228" i="1"/>
  <c r="M2228" i="1"/>
  <c r="N2228" i="1"/>
  <c r="O2228" i="1"/>
  <c r="P2228" i="1"/>
  <c r="R2228" i="1"/>
  <c r="S2228" i="1"/>
  <c r="T2228" i="1"/>
  <c r="U2228" i="1"/>
  <c r="B2227" i="1"/>
  <c r="D2227" i="1"/>
  <c r="E2227" i="1"/>
  <c r="F2227" i="1"/>
  <c r="G2227" i="1"/>
  <c r="H2227" i="1"/>
  <c r="I2227" i="1"/>
  <c r="J2227" i="1"/>
  <c r="K2227" i="1"/>
  <c r="L2227" i="1"/>
  <c r="M2227" i="1"/>
  <c r="N2227" i="1"/>
  <c r="O2227" i="1"/>
  <c r="P2227" i="1"/>
  <c r="R2227" i="1"/>
  <c r="S2227" i="1"/>
  <c r="T2227" i="1"/>
  <c r="U2227" i="1"/>
  <c r="B2226" i="1"/>
  <c r="D2226" i="1"/>
  <c r="E2226" i="1"/>
  <c r="F2226" i="1"/>
  <c r="G2226" i="1"/>
  <c r="H2226" i="1"/>
  <c r="I2226" i="1"/>
  <c r="J2226" i="1"/>
  <c r="K2226" i="1"/>
  <c r="L2226" i="1"/>
  <c r="M2226" i="1"/>
  <c r="N2226" i="1"/>
  <c r="O2226" i="1"/>
  <c r="P2226" i="1"/>
  <c r="R2226" i="1"/>
  <c r="S2226" i="1"/>
  <c r="T2226" i="1"/>
  <c r="U2226" i="1"/>
  <c r="B2225" i="1"/>
  <c r="D2225" i="1"/>
  <c r="E2225" i="1"/>
  <c r="F2225" i="1"/>
  <c r="G2225" i="1"/>
  <c r="H2225" i="1"/>
  <c r="I2225" i="1"/>
  <c r="J2225" i="1"/>
  <c r="K2225" i="1"/>
  <c r="L2225" i="1"/>
  <c r="M2225" i="1"/>
  <c r="N2225" i="1"/>
  <c r="O2225" i="1"/>
  <c r="P2225" i="1"/>
  <c r="R2225" i="1"/>
  <c r="S2225" i="1"/>
  <c r="T2225" i="1"/>
  <c r="U2225" i="1"/>
  <c r="B2224" i="1"/>
  <c r="D2224" i="1"/>
  <c r="E2224" i="1"/>
  <c r="F2224" i="1"/>
  <c r="G2224" i="1"/>
  <c r="H2224" i="1"/>
  <c r="I2224" i="1"/>
  <c r="J2224" i="1"/>
  <c r="K2224" i="1"/>
  <c r="L2224" i="1"/>
  <c r="M2224" i="1"/>
  <c r="N2224" i="1"/>
  <c r="O2224" i="1"/>
  <c r="P2224" i="1"/>
  <c r="R2224" i="1"/>
  <c r="S2224" i="1"/>
  <c r="T2224" i="1"/>
  <c r="U2224" i="1"/>
  <c r="B2223" i="1"/>
  <c r="D2223" i="1"/>
  <c r="E2223" i="1"/>
  <c r="F2223" i="1"/>
  <c r="G2223" i="1"/>
  <c r="H2223" i="1"/>
  <c r="I2223" i="1"/>
  <c r="J2223" i="1"/>
  <c r="K2223" i="1"/>
  <c r="L2223" i="1"/>
  <c r="M2223" i="1"/>
  <c r="N2223" i="1"/>
  <c r="O2223" i="1"/>
  <c r="P2223" i="1"/>
  <c r="R2223" i="1"/>
  <c r="S2223" i="1"/>
  <c r="T2223" i="1"/>
  <c r="U2223" i="1"/>
  <c r="B2222" i="1"/>
  <c r="D2222" i="1"/>
  <c r="E2222" i="1"/>
  <c r="F2222" i="1"/>
  <c r="G2222" i="1"/>
  <c r="H2222" i="1"/>
  <c r="I2222" i="1"/>
  <c r="J2222" i="1"/>
  <c r="K2222" i="1"/>
  <c r="L2222" i="1"/>
  <c r="M2222" i="1"/>
  <c r="N2222" i="1"/>
  <c r="O2222" i="1"/>
  <c r="P2222" i="1"/>
  <c r="R2222" i="1"/>
  <c r="S2222" i="1"/>
  <c r="T2222" i="1"/>
  <c r="U2222" i="1"/>
  <c r="B2221" i="1"/>
  <c r="D2221" i="1"/>
  <c r="E2221" i="1"/>
  <c r="F2221" i="1"/>
  <c r="G2221" i="1"/>
  <c r="H2221" i="1"/>
  <c r="I2221" i="1"/>
  <c r="J2221" i="1"/>
  <c r="K2221" i="1"/>
  <c r="L2221" i="1"/>
  <c r="M2221" i="1"/>
  <c r="N2221" i="1"/>
  <c r="O2221" i="1"/>
  <c r="P2221" i="1"/>
  <c r="R2221" i="1"/>
  <c r="S2221" i="1"/>
  <c r="T2221" i="1"/>
  <c r="U2221" i="1"/>
  <c r="B2220" i="1"/>
  <c r="D2220" i="1"/>
  <c r="E2220" i="1"/>
  <c r="F2220" i="1"/>
  <c r="G2220" i="1"/>
  <c r="H2220" i="1"/>
  <c r="I2220" i="1"/>
  <c r="J2220" i="1"/>
  <c r="K2220" i="1"/>
  <c r="L2220" i="1"/>
  <c r="M2220" i="1"/>
  <c r="N2220" i="1"/>
  <c r="O2220" i="1"/>
  <c r="P2220" i="1"/>
  <c r="R2220" i="1"/>
  <c r="S2220" i="1"/>
  <c r="T2220" i="1"/>
  <c r="U2220" i="1"/>
  <c r="B2219" i="1"/>
  <c r="D2219" i="1"/>
  <c r="E2219" i="1"/>
  <c r="F2219" i="1"/>
  <c r="G2219" i="1"/>
  <c r="H2219" i="1"/>
  <c r="I2219" i="1"/>
  <c r="J2219" i="1"/>
  <c r="K2219" i="1"/>
  <c r="L2219" i="1"/>
  <c r="M2219" i="1"/>
  <c r="N2219" i="1"/>
  <c r="O2219" i="1"/>
  <c r="P2219" i="1"/>
  <c r="R2219" i="1"/>
  <c r="S2219" i="1"/>
  <c r="T2219" i="1"/>
  <c r="U2219" i="1"/>
  <c r="B2218" i="1"/>
  <c r="D2218" i="1"/>
  <c r="E2218" i="1"/>
  <c r="F2218" i="1"/>
  <c r="G2218" i="1"/>
  <c r="H2218" i="1"/>
  <c r="I2218" i="1"/>
  <c r="J2218" i="1"/>
  <c r="K2218" i="1"/>
  <c r="L2218" i="1"/>
  <c r="M2218" i="1"/>
  <c r="N2218" i="1"/>
  <c r="O2218" i="1"/>
  <c r="P2218" i="1"/>
  <c r="R2218" i="1"/>
  <c r="S2218" i="1"/>
  <c r="T2218" i="1"/>
  <c r="U2218" i="1"/>
  <c r="B2217" i="1"/>
  <c r="D2217" i="1"/>
  <c r="E2217" i="1"/>
  <c r="F2217" i="1"/>
  <c r="G2217" i="1"/>
  <c r="H2217" i="1"/>
  <c r="I2217" i="1"/>
  <c r="J2217" i="1"/>
  <c r="K2217" i="1"/>
  <c r="L2217" i="1"/>
  <c r="M2217" i="1"/>
  <c r="N2217" i="1"/>
  <c r="O2217" i="1"/>
  <c r="P2217" i="1"/>
  <c r="R2217" i="1"/>
  <c r="S2217" i="1"/>
  <c r="T2217" i="1"/>
  <c r="U2217" i="1"/>
  <c r="B2216" i="1"/>
  <c r="D2216" i="1"/>
  <c r="E2216" i="1"/>
  <c r="F2216" i="1"/>
  <c r="G2216" i="1"/>
  <c r="H2216" i="1"/>
  <c r="I2216" i="1"/>
  <c r="J2216" i="1"/>
  <c r="K2216" i="1"/>
  <c r="L2216" i="1"/>
  <c r="M2216" i="1"/>
  <c r="N2216" i="1"/>
  <c r="O2216" i="1"/>
  <c r="P2216" i="1"/>
  <c r="R2216" i="1"/>
  <c r="S2216" i="1"/>
  <c r="T2216" i="1"/>
  <c r="U2216" i="1"/>
  <c r="B2215" i="1"/>
  <c r="D2215" i="1"/>
  <c r="E2215" i="1"/>
  <c r="F2215" i="1"/>
  <c r="G2215" i="1"/>
  <c r="H2215" i="1"/>
  <c r="I2215" i="1"/>
  <c r="J2215" i="1"/>
  <c r="K2215" i="1"/>
  <c r="L2215" i="1"/>
  <c r="M2215" i="1"/>
  <c r="N2215" i="1"/>
  <c r="O2215" i="1"/>
  <c r="P2215" i="1"/>
  <c r="R2215" i="1"/>
  <c r="S2215" i="1"/>
  <c r="T2215" i="1"/>
  <c r="U2215" i="1"/>
  <c r="B2214" i="1"/>
  <c r="D2214" i="1"/>
  <c r="E2214" i="1"/>
  <c r="F2214" i="1"/>
  <c r="G2214" i="1"/>
  <c r="H2214" i="1"/>
  <c r="I2214" i="1"/>
  <c r="J2214" i="1"/>
  <c r="K2214" i="1"/>
  <c r="L2214" i="1"/>
  <c r="M2214" i="1"/>
  <c r="N2214" i="1"/>
  <c r="O2214" i="1"/>
  <c r="P2214" i="1"/>
  <c r="R2214" i="1"/>
  <c r="S2214" i="1"/>
  <c r="T2214" i="1"/>
  <c r="U2214" i="1"/>
  <c r="B2213" i="1"/>
  <c r="D2213" i="1"/>
  <c r="E2213" i="1"/>
  <c r="F2213" i="1"/>
  <c r="G2213" i="1"/>
  <c r="H2213" i="1"/>
  <c r="I2213" i="1"/>
  <c r="J2213" i="1"/>
  <c r="K2213" i="1"/>
  <c r="L2213" i="1"/>
  <c r="M2213" i="1"/>
  <c r="N2213" i="1"/>
  <c r="O2213" i="1"/>
  <c r="P2213" i="1"/>
  <c r="R2213" i="1"/>
  <c r="S2213" i="1"/>
  <c r="T2213" i="1"/>
  <c r="U2213" i="1"/>
  <c r="B2212" i="1"/>
  <c r="D2212" i="1"/>
  <c r="E2212" i="1"/>
  <c r="F2212" i="1"/>
  <c r="G2212" i="1"/>
  <c r="H2212" i="1"/>
  <c r="I2212" i="1"/>
  <c r="J2212" i="1"/>
  <c r="K2212" i="1"/>
  <c r="L2212" i="1"/>
  <c r="M2212" i="1"/>
  <c r="N2212" i="1"/>
  <c r="O2212" i="1"/>
  <c r="P2212" i="1"/>
  <c r="R2212" i="1"/>
  <c r="S2212" i="1"/>
  <c r="T2212" i="1"/>
  <c r="U2212" i="1"/>
  <c r="B2211" i="1"/>
  <c r="D2211" i="1"/>
  <c r="E2211" i="1"/>
  <c r="F2211" i="1"/>
  <c r="G2211" i="1"/>
  <c r="H2211" i="1"/>
  <c r="I2211" i="1"/>
  <c r="J2211" i="1"/>
  <c r="K2211" i="1"/>
  <c r="L2211" i="1"/>
  <c r="M2211" i="1"/>
  <c r="N2211" i="1"/>
  <c r="O2211" i="1"/>
  <c r="P2211" i="1"/>
  <c r="R2211" i="1"/>
  <c r="S2211" i="1"/>
  <c r="T2211" i="1"/>
  <c r="U2211" i="1"/>
  <c r="B2210" i="1"/>
  <c r="D2210" i="1"/>
  <c r="E2210" i="1"/>
  <c r="F2210" i="1"/>
  <c r="G2210" i="1"/>
  <c r="H2210" i="1"/>
  <c r="I2210" i="1"/>
  <c r="J2210" i="1"/>
  <c r="K2210" i="1"/>
  <c r="L2210" i="1"/>
  <c r="M2210" i="1"/>
  <c r="N2210" i="1"/>
  <c r="O2210" i="1"/>
  <c r="P2210" i="1"/>
  <c r="R2210" i="1"/>
  <c r="S2210" i="1"/>
  <c r="T2210" i="1"/>
  <c r="U2210" i="1"/>
  <c r="B2209" i="1"/>
  <c r="D2209" i="1"/>
  <c r="E2209" i="1"/>
  <c r="F2209" i="1"/>
  <c r="G2209" i="1"/>
  <c r="H2209" i="1"/>
  <c r="I2209" i="1"/>
  <c r="J2209" i="1"/>
  <c r="K2209" i="1"/>
  <c r="L2209" i="1"/>
  <c r="M2209" i="1"/>
  <c r="N2209" i="1"/>
  <c r="O2209" i="1"/>
  <c r="P2209" i="1"/>
  <c r="R2209" i="1"/>
  <c r="S2209" i="1"/>
  <c r="T2209" i="1"/>
  <c r="U2209" i="1"/>
  <c r="B2208" i="1"/>
  <c r="D2208" i="1"/>
  <c r="E2208" i="1"/>
  <c r="F2208" i="1"/>
  <c r="G2208" i="1"/>
  <c r="H2208" i="1"/>
  <c r="I2208" i="1"/>
  <c r="J2208" i="1"/>
  <c r="K2208" i="1"/>
  <c r="L2208" i="1"/>
  <c r="M2208" i="1"/>
  <c r="N2208" i="1"/>
  <c r="O2208" i="1"/>
  <c r="P2208" i="1"/>
  <c r="R2208" i="1"/>
  <c r="S2208" i="1"/>
  <c r="T2208" i="1"/>
  <c r="U2208" i="1"/>
  <c r="B2207" i="1"/>
  <c r="D2207" i="1"/>
  <c r="E2207" i="1"/>
  <c r="F2207" i="1"/>
  <c r="G2207" i="1"/>
  <c r="H2207" i="1"/>
  <c r="I2207" i="1"/>
  <c r="J2207" i="1"/>
  <c r="K2207" i="1"/>
  <c r="L2207" i="1"/>
  <c r="M2207" i="1"/>
  <c r="N2207" i="1"/>
  <c r="O2207" i="1"/>
  <c r="P2207" i="1"/>
  <c r="R2207" i="1"/>
  <c r="S2207" i="1"/>
  <c r="T2207" i="1"/>
  <c r="U2207" i="1"/>
  <c r="B2206" i="1"/>
  <c r="D2206" i="1"/>
  <c r="E2206" i="1"/>
  <c r="F2206" i="1"/>
  <c r="G2206" i="1"/>
  <c r="H2206" i="1"/>
  <c r="I2206" i="1"/>
  <c r="J2206" i="1"/>
  <c r="K2206" i="1"/>
  <c r="L2206" i="1"/>
  <c r="M2206" i="1"/>
  <c r="N2206" i="1"/>
  <c r="O2206" i="1"/>
  <c r="P2206" i="1"/>
  <c r="R2206" i="1"/>
  <c r="S2206" i="1"/>
  <c r="T2206" i="1"/>
  <c r="U2206" i="1"/>
  <c r="B2205" i="1"/>
  <c r="D2205" i="1"/>
  <c r="E2205" i="1"/>
  <c r="F2205" i="1"/>
  <c r="G2205" i="1"/>
  <c r="H2205" i="1"/>
  <c r="I2205" i="1"/>
  <c r="J2205" i="1"/>
  <c r="K2205" i="1"/>
  <c r="L2205" i="1"/>
  <c r="M2205" i="1"/>
  <c r="N2205" i="1"/>
  <c r="O2205" i="1"/>
  <c r="P2205" i="1"/>
  <c r="R2205" i="1"/>
  <c r="S2205" i="1"/>
  <c r="T2205" i="1"/>
  <c r="U2205" i="1"/>
  <c r="B2204" i="1"/>
  <c r="D2204" i="1"/>
  <c r="E2204" i="1"/>
  <c r="F2204" i="1"/>
  <c r="G2204" i="1"/>
  <c r="H2204" i="1"/>
  <c r="I2204" i="1"/>
  <c r="J2204" i="1"/>
  <c r="K2204" i="1"/>
  <c r="L2204" i="1"/>
  <c r="M2204" i="1"/>
  <c r="N2204" i="1"/>
  <c r="O2204" i="1"/>
  <c r="P2204" i="1"/>
  <c r="R2204" i="1"/>
  <c r="S2204" i="1"/>
  <c r="T2204" i="1"/>
  <c r="U2204" i="1"/>
  <c r="B2203" i="1"/>
  <c r="D2203" i="1"/>
  <c r="E2203" i="1"/>
  <c r="F2203" i="1"/>
  <c r="G2203" i="1"/>
  <c r="H2203" i="1"/>
  <c r="I2203" i="1"/>
  <c r="J2203" i="1"/>
  <c r="K2203" i="1"/>
  <c r="L2203" i="1"/>
  <c r="M2203" i="1"/>
  <c r="N2203" i="1"/>
  <c r="O2203" i="1"/>
  <c r="P2203" i="1"/>
  <c r="R2203" i="1"/>
  <c r="S2203" i="1"/>
  <c r="T2203" i="1"/>
  <c r="U2203" i="1"/>
  <c r="B2202" i="1"/>
  <c r="D2202" i="1"/>
  <c r="E2202" i="1"/>
  <c r="F2202" i="1"/>
  <c r="G2202" i="1"/>
  <c r="H2202" i="1"/>
  <c r="I2202" i="1"/>
  <c r="J2202" i="1"/>
  <c r="K2202" i="1"/>
  <c r="L2202" i="1"/>
  <c r="M2202" i="1"/>
  <c r="N2202" i="1"/>
  <c r="O2202" i="1"/>
  <c r="P2202" i="1"/>
  <c r="R2202" i="1"/>
  <c r="S2202" i="1"/>
  <c r="T2202" i="1"/>
  <c r="U2202" i="1"/>
  <c r="B2201" i="1"/>
  <c r="D2201" i="1"/>
  <c r="E2201" i="1"/>
  <c r="F2201" i="1"/>
  <c r="G2201" i="1"/>
  <c r="H2201" i="1"/>
  <c r="I2201" i="1"/>
  <c r="J2201" i="1"/>
  <c r="K2201" i="1"/>
  <c r="L2201" i="1"/>
  <c r="M2201" i="1"/>
  <c r="N2201" i="1"/>
  <c r="O2201" i="1"/>
  <c r="P2201" i="1"/>
  <c r="R2201" i="1"/>
  <c r="S2201" i="1"/>
  <c r="T2201" i="1"/>
  <c r="U2201" i="1"/>
  <c r="B2200" i="1"/>
  <c r="D2200" i="1"/>
  <c r="E2200" i="1"/>
  <c r="F2200" i="1"/>
  <c r="G2200" i="1"/>
  <c r="H2200" i="1"/>
  <c r="I2200" i="1"/>
  <c r="J2200" i="1"/>
  <c r="K2200" i="1"/>
  <c r="L2200" i="1"/>
  <c r="M2200" i="1"/>
  <c r="N2200" i="1"/>
  <c r="O2200" i="1"/>
  <c r="P2200" i="1"/>
  <c r="R2200" i="1"/>
  <c r="S2200" i="1"/>
  <c r="T2200" i="1"/>
  <c r="U2200" i="1"/>
  <c r="B2199" i="1"/>
  <c r="D2199" i="1"/>
  <c r="E2199" i="1"/>
  <c r="F2199" i="1"/>
  <c r="G2199" i="1"/>
  <c r="H2199" i="1"/>
  <c r="I2199" i="1"/>
  <c r="J2199" i="1"/>
  <c r="K2199" i="1"/>
  <c r="L2199" i="1"/>
  <c r="M2199" i="1"/>
  <c r="N2199" i="1"/>
  <c r="O2199" i="1"/>
  <c r="P2199" i="1"/>
  <c r="R2199" i="1"/>
  <c r="S2199" i="1"/>
  <c r="T2199" i="1"/>
  <c r="U2199" i="1"/>
  <c r="B2198" i="1"/>
  <c r="D2198" i="1"/>
  <c r="E2198" i="1"/>
  <c r="F2198" i="1"/>
  <c r="G2198" i="1"/>
  <c r="H2198" i="1"/>
  <c r="I2198" i="1"/>
  <c r="J2198" i="1"/>
  <c r="K2198" i="1"/>
  <c r="L2198" i="1"/>
  <c r="M2198" i="1"/>
  <c r="N2198" i="1"/>
  <c r="O2198" i="1"/>
  <c r="P2198" i="1"/>
  <c r="R2198" i="1"/>
  <c r="S2198" i="1"/>
  <c r="T2198" i="1"/>
  <c r="U2198" i="1"/>
  <c r="B2197" i="1"/>
  <c r="D2197" i="1"/>
  <c r="E2197" i="1"/>
  <c r="F2197" i="1"/>
  <c r="G2197" i="1"/>
  <c r="H2197" i="1"/>
  <c r="I2197" i="1"/>
  <c r="J2197" i="1"/>
  <c r="K2197" i="1"/>
  <c r="L2197" i="1"/>
  <c r="M2197" i="1"/>
  <c r="N2197" i="1"/>
  <c r="O2197" i="1"/>
  <c r="P2197" i="1"/>
  <c r="R2197" i="1"/>
  <c r="S2197" i="1"/>
  <c r="T2197" i="1"/>
  <c r="U2197" i="1"/>
  <c r="B2196" i="1"/>
  <c r="D2196" i="1"/>
  <c r="E2196" i="1"/>
  <c r="F2196" i="1"/>
  <c r="G2196" i="1"/>
  <c r="H2196" i="1"/>
  <c r="I2196" i="1"/>
  <c r="J2196" i="1"/>
  <c r="K2196" i="1"/>
  <c r="L2196" i="1"/>
  <c r="M2196" i="1"/>
  <c r="N2196" i="1"/>
  <c r="O2196" i="1"/>
  <c r="P2196" i="1"/>
  <c r="R2196" i="1"/>
  <c r="S2196" i="1"/>
  <c r="T2196" i="1"/>
  <c r="U2196" i="1"/>
  <c r="B2195" i="1"/>
  <c r="D2195" i="1"/>
  <c r="E2195" i="1"/>
  <c r="F2195" i="1"/>
  <c r="G2195" i="1"/>
  <c r="H2195" i="1"/>
  <c r="I2195" i="1"/>
  <c r="J2195" i="1"/>
  <c r="K2195" i="1"/>
  <c r="L2195" i="1"/>
  <c r="M2195" i="1"/>
  <c r="N2195" i="1"/>
  <c r="O2195" i="1"/>
  <c r="P2195" i="1"/>
  <c r="R2195" i="1"/>
  <c r="S2195" i="1"/>
  <c r="T2195" i="1"/>
  <c r="U2195" i="1"/>
  <c r="B2194" i="1"/>
  <c r="D2194" i="1"/>
  <c r="E2194" i="1"/>
  <c r="F2194" i="1"/>
  <c r="G2194" i="1"/>
  <c r="H2194" i="1"/>
  <c r="I2194" i="1"/>
  <c r="J2194" i="1"/>
  <c r="K2194" i="1"/>
  <c r="L2194" i="1"/>
  <c r="M2194" i="1"/>
  <c r="N2194" i="1"/>
  <c r="O2194" i="1"/>
  <c r="P2194" i="1"/>
  <c r="R2194" i="1"/>
  <c r="S2194" i="1"/>
  <c r="T2194" i="1"/>
  <c r="U2194" i="1"/>
  <c r="B2193" i="1"/>
  <c r="D2193" i="1"/>
  <c r="E2193" i="1"/>
  <c r="F2193" i="1"/>
  <c r="G2193" i="1"/>
  <c r="H2193" i="1"/>
  <c r="I2193" i="1"/>
  <c r="J2193" i="1"/>
  <c r="K2193" i="1"/>
  <c r="L2193" i="1"/>
  <c r="M2193" i="1"/>
  <c r="N2193" i="1"/>
  <c r="O2193" i="1"/>
  <c r="P2193" i="1"/>
  <c r="R2193" i="1"/>
  <c r="S2193" i="1"/>
  <c r="T2193" i="1"/>
  <c r="U2193" i="1"/>
  <c r="B2192" i="1"/>
  <c r="D2192" i="1"/>
  <c r="E2192" i="1"/>
  <c r="F2192" i="1"/>
  <c r="G2192" i="1"/>
  <c r="H2192" i="1"/>
  <c r="I2192" i="1"/>
  <c r="J2192" i="1"/>
  <c r="K2192" i="1"/>
  <c r="L2192" i="1"/>
  <c r="M2192" i="1"/>
  <c r="N2192" i="1"/>
  <c r="O2192" i="1"/>
  <c r="P2192" i="1"/>
  <c r="R2192" i="1"/>
  <c r="S2192" i="1"/>
  <c r="T2192" i="1"/>
  <c r="U2192" i="1"/>
  <c r="B2191" i="1"/>
  <c r="D2191" i="1"/>
  <c r="E2191" i="1"/>
  <c r="F2191" i="1"/>
  <c r="G2191" i="1"/>
  <c r="H2191" i="1"/>
  <c r="I2191" i="1"/>
  <c r="J2191" i="1"/>
  <c r="K2191" i="1"/>
  <c r="L2191" i="1"/>
  <c r="M2191" i="1"/>
  <c r="N2191" i="1"/>
  <c r="O2191" i="1"/>
  <c r="P2191" i="1"/>
  <c r="R2191" i="1"/>
  <c r="S2191" i="1"/>
  <c r="T2191" i="1"/>
  <c r="U2191" i="1"/>
  <c r="B2190" i="1"/>
  <c r="D2190" i="1"/>
  <c r="E2190" i="1"/>
  <c r="F2190" i="1"/>
  <c r="G2190" i="1"/>
  <c r="H2190" i="1"/>
  <c r="I2190" i="1"/>
  <c r="J2190" i="1"/>
  <c r="K2190" i="1"/>
  <c r="L2190" i="1"/>
  <c r="M2190" i="1"/>
  <c r="N2190" i="1"/>
  <c r="O2190" i="1"/>
  <c r="P2190" i="1"/>
  <c r="R2190" i="1"/>
  <c r="S2190" i="1"/>
  <c r="T2190" i="1"/>
  <c r="U2190" i="1"/>
  <c r="B2189" i="1"/>
  <c r="D2189" i="1"/>
  <c r="E2189" i="1"/>
  <c r="F2189" i="1"/>
  <c r="G2189" i="1"/>
  <c r="H2189" i="1"/>
  <c r="I2189" i="1"/>
  <c r="J2189" i="1"/>
  <c r="K2189" i="1"/>
  <c r="L2189" i="1"/>
  <c r="M2189" i="1"/>
  <c r="N2189" i="1"/>
  <c r="O2189" i="1"/>
  <c r="P2189" i="1"/>
  <c r="R2189" i="1"/>
  <c r="S2189" i="1"/>
  <c r="T2189" i="1"/>
  <c r="U2189" i="1"/>
  <c r="B2188" i="1"/>
  <c r="D2188" i="1"/>
  <c r="E2188" i="1"/>
  <c r="F2188" i="1"/>
  <c r="G2188" i="1"/>
  <c r="H2188" i="1"/>
  <c r="I2188" i="1"/>
  <c r="J2188" i="1"/>
  <c r="K2188" i="1"/>
  <c r="L2188" i="1"/>
  <c r="M2188" i="1"/>
  <c r="N2188" i="1"/>
  <c r="O2188" i="1"/>
  <c r="P2188" i="1"/>
  <c r="R2188" i="1"/>
  <c r="S2188" i="1"/>
  <c r="T2188" i="1"/>
  <c r="U2188" i="1"/>
  <c r="B2187" i="1"/>
  <c r="D2187" i="1"/>
  <c r="E2187" i="1"/>
  <c r="F2187" i="1"/>
  <c r="G2187" i="1"/>
  <c r="H2187" i="1"/>
  <c r="I2187" i="1"/>
  <c r="J2187" i="1"/>
  <c r="K2187" i="1"/>
  <c r="L2187" i="1"/>
  <c r="M2187" i="1"/>
  <c r="N2187" i="1"/>
  <c r="O2187" i="1"/>
  <c r="P2187" i="1"/>
  <c r="R2187" i="1"/>
  <c r="S2187" i="1"/>
  <c r="T2187" i="1"/>
  <c r="U2187" i="1"/>
  <c r="B2186" i="1"/>
  <c r="D2186" i="1"/>
  <c r="E2186" i="1"/>
  <c r="F2186" i="1"/>
  <c r="G2186" i="1"/>
  <c r="H2186" i="1"/>
  <c r="I2186" i="1"/>
  <c r="J2186" i="1"/>
  <c r="K2186" i="1"/>
  <c r="L2186" i="1"/>
  <c r="M2186" i="1"/>
  <c r="N2186" i="1"/>
  <c r="O2186" i="1"/>
  <c r="P2186" i="1"/>
  <c r="R2186" i="1"/>
  <c r="S2186" i="1"/>
  <c r="T2186" i="1"/>
  <c r="U2186" i="1"/>
  <c r="B2185" i="1"/>
  <c r="D2185" i="1"/>
  <c r="E2185" i="1"/>
  <c r="F2185" i="1"/>
  <c r="G2185" i="1"/>
  <c r="H2185" i="1"/>
  <c r="I2185" i="1"/>
  <c r="J2185" i="1"/>
  <c r="K2185" i="1"/>
  <c r="L2185" i="1"/>
  <c r="M2185" i="1"/>
  <c r="N2185" i="1"/>
  <c r="O2185" i="1"/>
  <c r="P2185" i="1"/>
  <c r="R2185" i="1"/>
  <c r="S2185" i="1"/>
  <c r="T2185" i="1"/>
  <c r="U2185" i="1"/>
  <c r="B2184" i="1"/>
  <c r="D2184" i="1"/>
  <c r="E2184" i="1"/>
  <c r="F2184" i="1"/>
  <c r="G2184" i="1"/>
  <c r="H2184" i="1"/>
  <c r="I2184" i="1"/>
  <c r="J2184" i="1"/>
  <c r="K2184" i="1"/>
  <c r="L2184" i="1"/>
  <c r="M2184" i="1"/>
  <c r="N2184" i="1"/>
  <c r="O2184" i="1"/>
  <c r="P2184" i="1"/>
  <c r="R2184" i="1"/>
  <c r="S2184" i="1"/>
  <c r="T2184" i="1"/>
  <c r="U2184" i="1"/>
  <c r="B2183" i="1"/>
  <c r="D2183" i="1"/>
  <c r="E2183" i="1"/>
  <c r="F2183" i="1"/>
  <c r="G2183" i="1"/>
  <c r="H2183" i="1"/>
  <c r="I2183" i="1"/>
  <c r="J2183" i="1"/>
  <c r="K2183" i="1"/>
  <c r="L2183" i="1"/>
  <c r="M2183" i="1"/>
  <c r="N2183" i="1"/>
  <c r="O2183" i="1"/>
  <c r="P2183" i="1"/>
  <c r="R2183" i="1"/>
  <c r="S2183" i="1"/>
  <c r="T2183" i="1"/>
  <c r="U2183" i="1"/>
  <c r="B2182" i="1"/>
  <c r="D2182" i="1"/>
  <c r="E2182" i="1"/>
  <c r="F2182" i="1"/>
  <c r="G2182" i="1"/>
  <c r="H2182" i="1"/>
  <c r="I2182" i="1"/>
  <c r="J2182" i="1"/>
  <c r="K2182" i="1"/>
  <c r="L2182" i="1"/>
  <c r="M2182" i="1"/>
  <c r="N2182" i="1"/>
  <c r="O2182" i="1"/>
  <c r="P2182" i="1"/>
  <c r="R2182" i="1"/>
  <c r="S2182" i="1"/>
  <c r="T2182" i="1"/>
  <c r="U2182" i="1"/>
  <c r="D2181" i="1"/>
  <c r="E2181" i="1"/>
  <c r="F2181" i="1"/>
  <c r="G2181" i="1"/>
  <c r="H2181" i="1"/>
  <c r="I2181" i="1"/>
  <c r="J2181" i="1"/>
  <c r="K2181" i="1"/>
  <c r="L2181" i="1"/>
  <c r="M2181" i="1"/>
  <c r="N2181" i="1"/>
  <c r="O2181" i="1"/>
  <c r="P2181" i="1"/>
  <c r="R2181" i="1"/>
  <c r="S2181" i="1"/>
  <c r="T2181" i="1"/>
  <c r="U2181" i="1"/>
  <c r="B2180" i="1"/>
  <c r="D2180" i="1"/>
  <c r="E2180" i="1"/>
  <c r="F2180" i="1"/>
  <c r="G2180" i="1"/>
  <c r="H2180" i="1"/>
  <c r="I2180" i="1"/>
  <c r="J2180" i="1"/>
  <c r="K2180" i="1"/>
  <c r="L2180" i="1"/>
  <c r="M2180" i="1"/>
  <c r="N2180" i="1"/>
  <c r="O2180" i="1"/>
  <c r="P2180" i="1"/>
  <c r="R2180" i="1"/>
  <c r="S2180" i="1"/>
  <c r="T2180" i="1"/>
  <c r="U2180" i="1"/>
  <c r="B2179" i="1"/>
  <c r="D2179" i="1"/>
  <c r="E2179" i="1"/>
  <c r="F2179" i="1"/>
  <c r="G2179" i="1"/>
  <c r="H2179" i="1"/>
  <c r="I2179" i="1"/>
  <c r="J2179" i="1"/>
  <c r="K2179" i="1"/>
  <c r="L2179" i="1"/>
  <c r="M2179" i="1"/>
  <c r="N2179" i="1"/>
  <c r="O2179" i="1"/>
  <c r="P2179" i="1"/>
  <c r="R2179" i="1"/>
  <c r="S2179" i="1"/>
  <c r="T2179" i="1"/>
  <c r="U2179" i="1"/>
  <c r="B2178" i="1"/>
  <c r="D2178" i="1"/>
  <c r="E2178" i="1"/>
  <c r="F2178" i="1"/>
  <c r="G2178" i="1"/>
  <c r="H2178" i="1"/>
  <c r="I2178" i="1"/>
  <c r="J2178" i="1"/>
  <c r="K2178" i="1"/>
  <c r="L2178" i="1"/>
  <c r="M2178" i="1"/>
  <c r="N2178" i="1"/>
  <c r="O2178" i="1"/>
  <c r="P2178" i="1"/>
  <c r="R2178" i="1"/>
  <c r="S2178" i="1"/>
  <c r="T2178" i="1"/>
  <c r="U2178" i="1"/>
  <c r="B2177" i="1"/>
  <c r="D2177" i="1"/>
  <c r="E2177" i="1"/>
  <c r="F2177" i="1"/>
  <c r="G2177" i="1"/>
  <c r="H2177" i="1"/>
  <c r="I2177" i="1"/>
  <c r="J2177" i="1"/>
  <c r="K2177" i="1"/>
  <c r="L2177" i="1"/>
  <c r="M2177" i="1"/>
  <c r="N2177" i="1"/>
  <c r="O2177" i="1"/>
  <c r="P2177" i="1"/>
  <c r="R2177" i="1"/>
  <c r="S2177" i="1"/>
  <c r="T2177" i="1"/>
  <c r="U2177" i="1"/>
  <c r="B2176" i="1"/>
  <c r="D2176" i="1"/>
  <c r="E2176" i="1"/>
  <c r="F2176" i="1"/>
  <c r="G2176" i="1"/>
  <c r="H2176" i="1"/>
  <c r="I2176" i="1"/>
  <c r="J2176" i="1"/>
  <c r="K2176" i="1"/>
  <c r="L2176" i="1"/>
  <c r="M2176" i="1"/>
  <c r="N2176" i="1"/>
  <c r="O2176" i="1"/>
  <c r="P2176" i="1"/>
  <c r="R2176" i="1"/>
  <c r="S2176" i="1"/>
  <c r="T2176" i="1"/>
  <c r="U2176" i="1"/>
  <c r="B2175" i="1"/>
  <c r="D2175" i="1"/>
  <c r="E2175" i="1"/>
  <c r="F2175" i="1"/>
  <c r="G2175" i="1"/>
  <c r="H2175" i="1"/>
  <c r="I2175" i="1"/>
  <c r="J2175" i="1"/>
  <c r="K2175" i="1"/>
  <c r="L2175" i="1"/>
  <c r="M2175" i="1"/>
  <c r="N2175" i="1"/>
  <c r="O2175" i="1"/>
  <c r="P2175" i="1"/>
  <c r="R2175" i="1"/>
  <c r="S2175" i="1"/>
  <c r="T2175" i="1"/>
  <c r="U2175" i="1"/>
  <c r="B2174" i="1"/>
  <c r="D2174" i="1"/>
  <c r="E2174" i="1"/>
  <c r="F2174" i="1"/>
  <c r="G2174" i="1"/>
  <c r="H2174" i="1"/>
  <c r="I2174" i="1"/>
  <c r="J2174" i="1"/>
  <c r="K2174" i="1"/>
  <c r="L2174" i="1"/>
  <c r="M2174" i="1"/>
  <c r="N2174" i="1"/>
  <c r="O2174" i="1"/>
  <c r="P2174" i="1"/>
  <c r="R2174" i="1"/>
  <c r="S2174" i="1"/>
  <c r="T2174" i="1"/>
  <c r="U2174" i="1"/>
  <c r="B2173" i="1"/>
  <c r="D2173" i="1"/>
  <c r="E2173" i="1"/>
  <c r="F2173" i="1"/>
  <c r="G2173" i="1"/>
  <c r="H2173" i="1"/>
  <c r="I2173" i="1"/>
  <c r="J2173" i="1"/>
  <c r="K2173" i="1"/>
  <c r="L2173" i="1"/>
  <c r="M2173" i="1"/>
  <c r="N2173" i="1"/>
  <c r="O2173" i="1"/>
  <c r="P2173" i="1"/>
  <c r="R2173" i="1"/>
  <c r="S2173" i="1"/>
  <c r="T2173" i="1"/>
  <c r="U2173" i="1"/>
  <c r="B2172" i="1"/>
  <c r="D2172" i="1"/>
  <c r="E2172" i="1"/>
  <c r="F2172" i="1"/>
  <c r="G2172" i="1"/>
  <c r="H2172" i="1"/>
  <c r="I2172" i="1"/>
  <c r="J2172" i="1"/>
  <c r="K2172" i="1"/>
  <c r="L2172" i="1"/>
  <c r="M2172" i="1"/>
  <c r="N2172" i="1"/>
  <c r="O2172" i="1"/>
  <c r="P2172" i="1"/>
  <c r="R2172" i="1"/>
  <c r="S2172" i="1"/>
  <c r="T2172" i="1"/>
  <c r="U2172" i="1"/>
  <c r="B2171" i="1"/>
  <c r="D2171" i="1"/>
  <c r="E2171" i="1"/>
  <c r="F2171" i="1"/>
  <c r="G2171" i="1"/>
  <c r="H2171" i="1"/>
  <c r="I2171" i="1"/>
  <c r="J2171" i="1"/>
  <c r="K2171" i="1"/>
  <c r="L2171" i="1"/>
  <c r="M2171" i="1"/>
  <c r="N2171" i="1"/>
  <c r="O2171" i="1"/>
  <c r="P2171" i="1"/>
  <c r="R2171" i="1"/>
  <c r="S2171" i="1"/>
  <c r="T2171" i="1"/>
  <c r="U2171" i="1"/>
  <c r="B2170" i="1"/>
  <c r="D2170" i="1"/>
  <c r="E2170" i="1"/>
  <c r="F2170" i="1"/>
  <c r="G2170" i="1"/>
  <c r="H2170" i="1"/>
  <c r="I2170" i="1"/>
  <c r="J2170" i="1"/>
  <c r="K2170" i="1"/>
  <c r="L2170" i="1"/>
  <c r="M2170" i="1"/>
  <c r="N2170" i="1"/>
  <c r="O2170" i="1"/>
  <c r="P2170" i="1"/>
  <c r="R2170" i="1"/>
  <c r="S2170" i="1"/>
  <c r="T2170" i="1"/>
  <c r="U2170" i="1"/>
  <c r="B2169" i="1"/>
  <c r="D2169" i="1"/>
  <c r="E2169" i="1"/>
  <c r="F2169" i="1"/>
  <c r="G2169" i="1"/>
  <c r="H2169" i="1"/>
  <c r="I2169" i="1"/>
  <c r="J2169" i="1"/>
  <c r="K2169" i="1"/>
  <c r="L2169" i="1"/>
  <c r="M2169" i="1"/>
  <c r="N2169" i="1"/>
  <c r="O2169" i="1"/>
  <c r="P2169" i="1"/>
  <c r="R2169" i="1"/>
  <c r="S2169" i="1"/>
  <c r="T2169" i="1"/>
  <c r="U2169" i="1"/>
  <c r="B2168" i="1"/>
  <c r="D2168" i="1"/>
  <c r="E2168" i="1"/>
  <c r="F2168" i="1"/>
  <c r="G2168" i="1"/>
  <c r="H2168" i="1"/>
  <c r="I2168" i="1"/>
  <c r="J2168" i="1"/>
  <c r="K2168" i="1"/>
  <c r="L2168" i="1"/>
  <c r="M2168" i="1"/>
  <c r="N2168" i="1"/>
  <c r="O2168" i="1"/>
  <c r="P2168" i="1"/>
  <c r="R2168" i="1"/>
  <c r="S2168" i="1"/>
  <c r="T2168" i="1"/>
  <c r="U2168" i="1"/>
  <c r="B2167" i="1"/>
  <c r="D2167" i="1"/>
  <c r="E2167" i="1"/>
  <c r="F2167" i="1"/>
  <c r="G2167" i="1"/>
  <c r="H2167" i="1"/>
  <c r="I2167" i="1"/>
  <c r="J2167" i="1"/>
  <c r="K2167" i="1"/>
  <c r="L2167" i="1"/>
  <c r="M2167" i="1"/>
  <c r="N2167" i="1"/>
  <c r="O2167" i="1"/>
  <c r="P2167" i="1"/>
  <c r="R2167" i="1"/>
  <c r="S2167" i="1"/>
  <c r="T2167" i="1"/>
  <c r="U2167" i="1"/>
  <c r="B2166" i="1"/>
  <c r="D2166" i="1"/>
  <c r="E2166" i="1"/>
  <c r="F2166" i="1"/>
  <c r="G2166" i="1"/>
  <c r="H2166" i="1"/>
  <c r="I2166" i="1"/>
  <c r="J2166" i="1"/>
  <c r="K2166" i="1"/>
  <c r="L2166" i="1"/>
  <c r="M2166" i="1"/>
  <c r="N2166" i="1"/>
  <c r="O2166" i="1"/>
  <c r="P2166" i="1"/>
  <c r="R2166" i="1"/>
  <c r="S2166" i="1"/>
  <c r="T2166" i="1"/>
  <c r="U2166" i="1"/>
  <c r="B2165" i="1"/>
  <c r="D2165" i="1"/>
  <c r="E2165" i="1"/>
  <c r="F2165" i="1"/>
  <c r="G2165" i="1"/>
  <c r="H2165" i="1"/>
  <c r="I2165" i="1"/>
  <c r="J2165" i="1"/>
  <c r="K2165" i="1"/>
  <c r="L2165" i="1"/>
  <c r="M2165" i="1"/>
  <c r="N2165" i="1"/>
  <c r="O2165" i="1"/>
  <c r="P2165" i="1"/>
  <c r="R2165" i="1"/>
  <c r="S2165" i="1"/>
  <c r="T2165" i="1"/>
  <c r="U2165" i="1"/>
  <c r="B2164" i="1"/>
  <c r="D2164" i="1"/>
  <c r="E2164" i="1"/>
  <c r="F2164" i="1"/>
  <c r="G2164" i="1"/>
  <c r="H2164" i="1"/>
  <c r="I2164" i="1"/>
  <c r="J2164" i="1"/>
  <c r="K2164" i="1"/>
  <c r="L2164" i="1"/>
  <c r="M2164" i="1"/>
  <c r="N2164" i="1"/>
  <c r="O2164" i="1"/>
  <c r="P2164" i="1"/>
  <c r="R2164" i="1"/>
  <c r="S2164" i="1"/>
  <c r="T2164" i="1"/>
  <c r="U2164" i="1"/>
  <c r="B2163" i="1"/>
  <c r="D2163" i="1"/>
  <c r="E2163" i="1"/>
  <c r="F2163" i="1"/>
  <c r="G2163" i="1"/>
  <c r="H2163" i="1"/>
  <c r="I2163" i="1"/>
  <c r="J2163" i="1"/>
  <c r="K2163" i="1"/>
  <c r="L2163" i="1"/>
  <c r="M2163" i="1"/>
  <c r="N2163" i="1"/>
  <c r="O2163" i="1"/>
  <c r="P2163" i="1"/>
  <c r="R2163" i="1"/>
  <c r="S2163" i="1"/>
  <c r="T2163" i="1"/>
  <c r="U2163" i="1"/>
  <c r="B2162" i="1"/>
  <c r="D2162" i="1"/>
  <c r="E2162" i="1"/>
  <c r="F2162" i="1"/>
  <c r="G2162" i="1"/>
  <c r="H2162" i="1"/>
  <c r="I2162" i="1"/>
  <c r="J2162" i="1"/>
  <c r="K2162" i="1"/>
  <c r="L2162" i="1"/>
  <c r="M2162" i="1"/>
  <c r="N2162" i="1"/>
  <c r="O2162" i="1"/>
  <c r="P2162" i="1"/>
  <c r="R2162" i="1"/>
  <c r="S2162" i="1"/>
  <c r="T2162" i="1"/>
  <c r="U2162" i="1"/>
  <c r="B2161" i="1"/>
  <c r="D2161" i="1"/>
  <c r="E2161" i="1"/>
  <c r="F2161" i="1"/>
  <c r="G2161" i="1"/>
  <c r="H2161" i="1"/>
  <c r="I2161" i="1"/>
  <c r="J2161" i="1"/>
  <c r="K2161" i="1"/>
  <c r="L2161" i="1"/>
  <c r="M2161" i="1"/>
  <c r="N2161" i="1"/>
  <c r="O2161" i="1"/>
  <c r="P2161" i="1"/>
  <c r="R2161" i="1"/>
  <c r="S2161" i="1"/>
  <c r="T2161" i="1"/>
  <c r="U2161" i="1"/>
  <c r="B2160" i="1"/>
  <c r="D2160" i="1"/>
  <c r="E2160" i="1"/>
  <c r="F2160" i="1"/>
  <c r="G2160" i="1"/>
  <c r="H2160" i="1"/>
  <c r="I2160" i="1"/>
  <c r="J2160" i="1"/>
  <c r="K2160" i="1"/>
  <c r="L2160" i="1"/>
  <c r="M2160" i="1"/>
  <c r="N2160" i="1"/>
  <c r="O2160" i="1"/>
  <c r="P2160" i="1"/>
  <c r="R2160" i="1"/>
  <c r="S2160" i="1"/>
  <c r="T2160" i="1"/>
  <c r="U2160" i="1"/>
  <c r="B2159" i="1"/>
  <c r="D2159" i="1"/>
  <c r="E2159" i="1"/>
  <c r="F2159" i="1"/>
  <c r="G2159" i="1"/>
  <c r="H2159" i="1"/>
  <c r="I2159" i="1"/>
  <c r="J2159" i="1"/>
  <c r="K2159" i="1"/>
  <c r="L2159" i="1"/>
  <c r="M2159" i="1"/>
  <c r="N2159" i="1"/>
  <c r="O2159" i="1"/>
  <c r="P2159" i="1"/>
  <c r="R2159" i="1"/>
  <c r="S2159" i="1"/>
  <c r="T2159" i="1"/>
  <c r="U2159" i="1"/>
  <c r="B2158" i="1"/>
  <c r="D2158" i="1"/>
  <c r="E2158" i="1"/>
  <c r="F2158" i="1"/>
  <c r="G2158" i="1"/>
  <c r="H2158" i="1"/>
  <c r="I2158" i="1"/>
  <c r="J2158" i="1"/>
  <c r="K2158" i="1"/>
  <c r="L2158" i="1"/>
  <c r="M2158" i="1"/>
  <c r="N2158" i="1"/>
  <c r="O2158" i="1"/>
  <c r="P2158" i="1"/>
  <c r="R2158" i="1"/>
  <c r="S2158" i="1"/>
  <c r="T2158" i="1"/>
  <c r="U2158" i="1"/>
  <c r="B2157" i="1"/>
  <c r="D2157" i="1"/>
  <c r="E2157" i="1"/>
  <c r="F2157" i="1"/>
  <c r="G2157" i="1"/>
  <c r="H2157" i="1"/>
  <c r="I2157" i="1"/>
  <c r="J2157" i="1"/>
  <c r="K2157" i="1"/>
  <c r="L2157" i="1"/>
  <c r="M2157" i="1"/>
  <c r="N2157" i="1"/>
  <c r="O2157" i="1"/>
  <c r="P2157" i="1"/>
  <c r="R2157" i="1"/>
  <c r="S2157" i="1"/>
  <c r="T2157" i="1"/>
  <c r="U2157" i="1"/>
  <c r="B2156" i="1"/>
  <c r="D2156" i="1"/>
  <c r="E2156" i="1"/>
  <c r="F2156" i="1"/>
  <c r="G2156" i="1"/>
  <c r="H2156" i="1"/>
  <c r="I2156" i="1"/>
  <c r="J2156" i="1"/>
  <c r="K2156" i="1"/>
  <c r="L2156" i="1"/>
  <c r="M2156" i="1"/>
  <c r="N2156" i="1"/>
  <c r="O2156" i="1"/>
  <c r="P2156" i="1"/>
  <c r="R2156" i="1"/>
  <c r="S2156" i="1"/>
  <c r="T2156" i="1"/>
  <c r="U2156" i="1"/>
  <c r="B2155" i="1"/>
  <c r="D2155" i="1"/>
  <c r="E2155" i="1"/>
  <c r="F2155" i="1"/>
  <c r="G2155" i="1"/>
  <c r="H2155" i="1"/>
  <c r="I2155" i="1"/>
  <c r="J2155" i="1"/>
  <c r="K2155" i="1"/>
  <c r="L2155" i="1"/>
  <c r="M2155" i="1"/>
  <c r="N2155" i="1"/>
  <c r="O2155" i="1"/>
  <c r="P2155" i="1"/>
  <c r="R2155" i="1"/>
  <c r="S2155" i="1"/>
  <c r="T2155" i="1"/>
  <c r="U2155" i="1"/>
  <c r="B2154" i="1"/>
  <c r="D2154" i="1"/>
  <c r="E2154" i="1"/>
  <c r="F2154" i="1"/>
  <c r="G2154" i="1"/>
  <c r="H2154" i="1"/>
  <c r="I2154" i="1"/>
  <c r="J2154" i="1"/>
  <c r="K2154" i="1"/>
  <c r="L2154" i="1"/>
  <c r="M2154" i="1"/>
  <c r="N2154" i="1"/>
  <c r="O2154" i="1"/>
  <c r="P2154" i="1"/>
  <c r="R2154" i="1"/>
  <c r="S2154" i="1"/>
  <c r="T2154" i="1"/>
  <c r="U2154" i="1"/>
  <c r="B2153" i="1"/>
  <c r="D2153" i="1"/>
  <c r="E2153" i="1"/>
  <c r="F2153" i="1"/>
  <c r="G2153" i="1"/>
  <c r="H2153" i="1"/>
  <c r="I2153" i="1"/>
  <c r="J2153" i="1"/>
  <c r="K2153" i="1"/>
  <c r="L2153" i="1"/>
  <c r="M2153" i="1"/>
  <c r="N2153" i="1"/>
  <c r="O2153" i="1"/>
  <c r="P2153" i="1"/>
  <c r="R2153" i="1"/>
  <c r="S2153" i="1"/>
  <c r="T2153" i="1"/>
  <c r="U2153" i="1"/>
  <c r="B2152" i="1"/>
  <c r="D2152" i="1"/>
  <c r="E2152" i="1"/>
  <c r="F2152" i="1"/>
  <c r="G2152" i="1"/>
  <c r="H2152" i="1"/>
  <c r="I2152" i="1"/>
  <c r="J2152" i="1"/>
  <c r="K2152" i="1"/>
  <c r="L2152" i="1"/>
  <c r="M2152" i="1"/>
  <c r="N2152" i="1"/>
  <c r="O2152" i="1"/>
  <c r="P2152" i="1"/>
  <c r="R2152" i="1"/>
  <c r="S2152" i="1"/>
  <c r="T2152" i="1"/>
  <c r="U2152" i="1"/>
  <c r="B2151" i="1"/>
  <c r="D2151" i="1"/>
  <c r="E2151" i="1"/>
  <c r="F2151" i="1"/>
  <c r="G2151" i="1"/>
  <c r="H2151" i="1"/>
  <c r="I2151" i="1"/>
  <c r="J2151" i="1"/>
  <c r="K2151" i="1"/>
  <c r="L2151" i="1"/>
  <c r="M2151" i="1"/>
  <c r="N2151" i="1"/>
  <c r="O2151" i="1"/>
  <c r="P2151" i="1"/>
  <c r="R2151" i="1"/>
  <c r="S2151" i="1"/>
  <c r="T2151" i="1"/>
  <c r="U2151" i="1"/>
  <c r="B2150" i="1"/>
  <c r="D2150" i="1"/>
  <c r="E2150" i="1"/>
  <c r="F2150" i="1"/>
  <c r="G2150" i="1"/>
  <c r="H2150" i="1"/>
  <c r="I2150" i="1"/>
  <c r="J2150" i="1"/>
  <c r="K2150" i="1"/>
  <c r="L2150" i="1"/>
  <c r="M2150" i="1"/>
  <c r="N2150" i="1"/>
  <c r="O2150" i="1"/>
  <c r="P2150" i="1"/>
  <c r="R2150" i="1"/>
  <c r="S2150" i="1"/>
  <c r="T2150" i="1"/>
  <c r="U2150" i="1"/>
  <c r="B2149" i="1"/>
  <c r="D2149" i="1"/>
  <c r="E2149" i="1"/>
  <c r="F2149" i="1"/>
  <c r="G2149" i="1"/>
  <c r="H2149" i="1"/>
  <c r="I2149" i="1"/>
  <c r="J2149" i="1"/>
  <c r="K2149" i="1"/>
  <c r="L2149" i="1"/>
  <c r="M2149" i="1"/>
  <c r="N2149" i="1"/>
  <c r="O2149" i="1"/>
  <c r="P2149" i="1"/>
  <c r="R2149" i="1"/>
  <c r="S2149" i="1"/>
  <c r="T2149" i="1"/>
  <c r="U2149" i="1"/>
  <c r="B2148" i="1"/>
  <c r="D2148" i="1"/>
  <c r="E2148" i="1"/>
  <c r="F2148" i="1"/>
  <c r="G2148" i="1"/>
  <c r="H2148" i="1"/>
  <c r="I2148" i="1"/>
  <c r="J2148" i="1"/>
  <c r="K2148" i="1"/>
  <c r="L2148" i="1"/>
  <c r="M2148" i="1"/>
  <c r="N2148" i="1"/>
  <c r="O2148" i="1"/>
  <c r="P2148" i="1"/>
  <c r="R2148" i="1"/>
  <c r="S2148" i="1"/>
  <c r="T2148" i="1"/>
  <c r="U2148" i="1"/>
  <c r="B2147" i="1"/>
  <c r="D2147" i="1"/>
  <c r="E2147" i="1"/>
  <c r="F2147" i="1"/>
  <c r="G2147" i="1"/>
  <c r="H2147" i="1"/>
  <c r="I2147" i="1"/>
  <c r="J2147" i="1"/>
  <c r="K2147" i="1"/>
  <c r="L2147" i="1"/>
  <c r="M2147" i="1"/>
  <c r="N2147" i="1"/>
  <c r="O2147" i="1"/>
  <c r="P2147" i="1"/>
  <c r="R2147" i="1"/>
  <c r="S2147" i="1"/>
  <c r="T2147" i="1"/>
  <c r="U2147" i="1"/>
  <c r="B2146" i="1"/>
  <c r="D2146" i="1"/>
  <c r="E2146" i="1"/>
  <c r="F2146" i="1"/>
  <c r="G2146" i="1"/>
  <c r="H2146" i="1"/>
  <c r="I2146" i="1"/>
  <c r="J2146" i="1"/>
  <c r="K2146" i="1"/>
  <c r="L2146" i="1"/>
  <c r="M2146" i="1"/>
  <c r="N2146" i="1"/>
  <c r="O2146" i="1"/>
  <c r="P2146" i="1"/>
  <c r="R2146" i="1"/>
  <c r="S2146" i="1"/>
  <c r="T2146" i="1"/>
  <c r="U2146" i="1"/>
  <c r="B2145" i="1"/>
  <c r="D2145" i="1"/>
  <c r="E2145" i="1"/>
  <c r="F2145" i="1"/>
  <c r="G2145" i="1"/>
  <c r="H2145" i="1"/>
  <c r="I2145" i="1"/>
  <c r="J2145" i="1"/>
  <c r="K2145" i="1"/>
  <c r="L2145" i="1"/>
  <c r="M2145" i="1"/>
  <c r="N2145" i="1"/>
  <c r="O2145" i="1"/>
  <c r="P2145" i="1"/>
  <c r="R2145" i="1"/>
  <c r="S2145" i="1"/>
  <c r="T2145" i="1"/>
  <c r="U2145" i="1"/>
  <c r="B2144" i="1"/>
  <c r="D2144" i="1"/>
  <c r="E2144" i="1"/>
  <c r="F2144" i="1"/>
  <c r="G2144" i="1"/>
  <c r="H2144" i="1"/>
  <c r="I2144" i="1"/>
  <c r="J2144" i="1"/>
  <c r="K2144" i="1"/>
  <c r="L2144" i="1"/>
  <c r="M2144" i="1"/>
  <c r="N2144" i="1"/>
  <c r="O2144" i="1"/>
  <c r="P2144" i="1"/>
  <c r="R2144" i="1"/>
  <c r="S2144" i="1"/>
  <c r="T2144" i="1"/>
  <c r="U2144" i="1"/>
  <c r="B2143" i="1"/>
  <c r="D2143" i="1"/>
  <c r="E2143" i="1"/>
  <c r="F2143" i="1"/>
  <c r="G2143" i="1"/>
  <c r="H2143" i="1"/>
  <c r="I2143" i="1"/>
  <c r="J2143" i="1"/>
  <c r="K2143" i="1"/>
  <c r="L2143" i="1"/>
  <c r="M2143" i="1"/>
  <c r="N2143" i="1"/>
  <c r="O2143" i="1"/>
  <c r="P2143" i="1"/>
  <c r="R2143" i="1"/>
  <c r="S2143" i="1"/>
  <c r="T2143" i="1"/>
  <c r="U2143" i="1"/>
  <c r="B2142" i="1"/>
  <c r="D2142" i="1"/>
  <c r="E2142" i="1"/>
  <c r="F2142" i="1"/>
  <c r="G2142" i="1"/>
  <c r="H2142" i="1"/>
  <c r="I2142" i="1"/>
  <c r="J2142" i="1"/>
  <c r="K2142" i="1"/>
  <c r="L2142" i="1"/>
  <c r="M2142" i="1"/>
  <c r="N2142" i="1"/>
  <c r="O2142" i="1"/>
  <c r="P2142" i="1"/>
  <c r="R2142" i="1"/>
  <c r="S2142" i="1"/>
  <c r="T2142" i="1"/>
  <c r="U2142" i="1"/>
  <c r="B2141" i="1"/>
  <c r="D2141" i="1"/>
  <c r="E2141" i="1"/>
  <c r="F2141" i="1"/>
  <c r="G2141" i="1"/>
  <c r="H2141" i="1"/>
  <c r="I2141" i="1"/>
  <c r="J2141" i="1"/>
  <c r="K2141" i="1"/>
  <c r="L2141" i="1"/>
  <c r="M2141" i="1"/>
  <c r="N2141" i="1"/>
  <c r="O2141" i="1"/>
  <c r="P2141" i="1"/>
  <c r="R2141" i="1"/>
  <c r="S2141" i="1"/>
  <c r="T2141" i="1"/>
  <c r="U2141" i="1"/>
  <c r="B2140" i="1"/>
  <c r="D2140" i="1"/>
  <c r="E2140" i="1"/>
  <c r="F2140" i="1"/>
  <c r="G2140" i="1"/>
  <c r="H2140" i="1"/>
  <c r="I2140" i="1"/>
  <c r="J2140" i="1"/>
  <c r="K2140" i="1"/>
  <c r="L2140" i="1"/>
  <c r="M2140" i="1"/>
  <c r="N2140" i="1"/>
  <c r="O2140" i="1"/>
  <c r="P2140" i="1"/>
  <c r="R2140" i="1"/>
  <c r="S2140" i="1"/>
  <c r="T2140" i="1"/>
  <c r="U2140" i="1"/>
  <c r="B2139" i="1"/>
  <c r="D2139" i="1"/>
  <c r="E2139" i="1"/>
  <c r="F2139" i="1"/>
  <c r="G2139" i="1"/>
  <c r="H2139" i="1"/>
  <c r="I2139" i="1"/>
  <c r="J2139" i="1"/>
  <c r="K2139" i="1"/>
  <c r="L2139" i="1"/>
  <c r="M2139" i="1"/>
  <c r="N2139" i="1"/>
  <c r="O2139" i="1"/>
  <c r="P2139" i="1"/>
  <c r="R2139" i="1"/>
  <c r="S2139" i="1"/>
  <c r="T2139" i="1"/>
  <c r="U2139" i="1"/>
  <c r="B2138" i="1"/>
  <c r="D2138" i="1"/>
  <c r="E2138" i="1"/>
  <c r="F2138" i="1"/>
  <c r="G2138" i="1"/>
  <c r="H2138" i="1"/>
  <c r="I2138" i="1"/>
  <c r="J2138" i="1"/>
  <c r="K2138" i="1"/>
  <c r="L2138" i="1"/>
  <c r="M2138" i="1"/>
  <c r="N2138" i="1"/>
  <c r="O2138" i="1"/>
  <c r="P2138" i="1"/>
  <c r="R2138" i="1"/>
  <c r="S2138" i="1"/>
  <c r="T2138" i="1"/>
  <c r="U2138" i="1"/>
  <c r="B2137" i="1"/>
  <c r="D2137" i="1"/>
  <c r="E2137" i="1"/>
  <c r="F2137" i="1"/>
  <c r="G2137" i="1"/>
  <c r="H2137" i="1"/>
  <c r="I2137" i="1"/>
  <c r="J2137" i="1"/>
  <c r="K2137" i="1"/>
  <c r="L2137" i="1"/>
  <c r="M2137" i="1"/>
  <c r="N2137" i="1"/>
  <c r="O2137" i="1"/>
  <c r="P2137" i="1"/>
  <c r="R2137" i="1"/>
  <c r="S2137" i="1"/>
  <c r="T2137" i="1"/>
  <c r="U2137" i="1"/>
  <c r="B2136" i="1"/>
  <c r="D2136" i="1"/>
  <c r="E2136" i="1"/>
  <c r="F2136" i="1"/>
  <c r="G2136" i="1"/>
  <c r="H2136" i="1"/>
  <c r="I2136" i="1"/>
  <c r="J2136" i="1"/>
  <c r="K2136" i="1"/>
  <c r="L2136" i="1"/>
  <c r="M2136" i="1"/>
  <c r="N2136" i="1"/>
  <c r="O2136" i="1"/>
  <c r="P2136" i="1"/>
  <c r="R2136" i="1"/>
  <c r="S2136" i="1"/>
  <c r="T2136" i="1"/>
  <c r="U2136" i="1"/>
  <c r="B2135" i="1"/>
  <c r="D2135" i="1"/>
  <c r="E2135" i="1"/>
  <c r="F2135" i="1"/>
  <c r="G2135" i="1"/>
  <c r="H2135" i="1"/>
  <c r="I2135" i="1"/>
  <c r="J2135" i="1"/>
  <c r="K2135" i="1"/>
  <c r="L2135" i="1"/>
  <c r="M2135" i="1"/>
  <c r="N2135" i="1"/>
  <c r="O2135" i="1"/>
  <c r="P2135" i="1"/>
  <c r="R2135" i="1"/>
  <c r="S2135" i="1"/>
  <c r="T2135" i="1"/>
  <c r="U2135" i="1"/>
  <c r="B2134" i="1"/>
  <c r="D2134" i="1"/>
  <c r="E2134" i="1"/>
  <c r="F2134" i="1"/>
  <c r="G2134" i="1"/>
  <c r="H2134" i="1"/>
  <c r="I2134" i="1"/>
  <c r="J2134" i="1"/>
  <c r="K2134" i="1"/>
  <c r="L2134" i="1"/>
  <c r="M2134" i="1"/>
  <c r="N2134" i="1"/>
  <c r="O2134" i="1"/>
  <c r="P2134" i="1"/>
  <c r="R2134" i="1"/>
  <c r="S2134" i="1"/>
  <c r="T2134" i="1"/>
  <c r="U2134" i="1"/>
  <c r="B2133" i="1"/>
  <c r="D2133" i="1"/>
  <c r="E2133" i="1"/>
  <c r="F2133" i="1"/>
  <c r="G2133" i="1"/>
  <c r="H2133" i="1"/>
  <c r="I2133" i="1"/>
  <c r="J2133" i="1"/>
  <c r="K2133" i="1"/>
  <c r="L2133" i="1"/>
  <c r="M2133" i="1"/>
  <c r="N2133" i="1"/>
  <c r="O2133" i="1"/>
  <c r="P2133" i="1"/>
  <c r="R2133" i="1"/>
  <c r="S2133" i="1"/>
  <c r="T2133" i="1"/>
  <c r="U2133" i="1"/>
  <c r="B2132" i="1"/>
  <c r="D2132" i="1"/>
  <c r="E2132" i="1"/>
  <c r="F2132" i="1"/>
  <c r="G2132" i="1"/>
  <c r="H2132" i="1"/>
  <c r="I2132" i="1"/>
  <c r="J2132" i="1"/>
  <c r="K2132" i="1"/>
  <c r="L2132" i="1"/>
  <c r="M2132" i="1"/>
  <c r="N2132" i="1"/>
  <c r="O2132" i="1"/>
  <c r="P2132" i="1"/>
  <c r="R2132" i="1"/>
  <c r="S2132" i="1"/>
  <c r="T2132" i="1"/>
  <c r="U2132" i="1"/>
  <c r="B2131" i="1"/>
  <c r="D2131" i="1"/>
  <c r="E2131" i="1"/>
  <c r="F2131" i="1"/>
  <c r="G2131" i="1"/>
  <c r="H2131" i="1"/>
  <c r="I2131" i="1"/>
  <c r="J2131" i="1"/>
  <c r="K2131" i="1"/>
  <c r="L2131" i="1"/>
  <c r="M2131" i="1"/>
  <c r="N2131" i="1"/>
  <c r="O2131" i="1"/>
  <c r="P2131" i="1"/>
  <c r="R2131" i="1"/>
  <c r="S2131" i="1"/>
  <c r="T2131" i="1"/>
  <c r="U2131" i="1"/>
  <c r="B2130" i="1"/>
  <c r="D2130" i="1"/>
  <c r="E2130" i="1"/>
  <c r="F2130" i="1"/>
  <c r="G2130" i="1"/>
  <c r="H2130" i="1"/>
  <c r="I2130" i="1"/>
  <c r="J2130" i="1"/>
  <c r="K2130" i="1"/>
  <c r="L2130" i="1"/>
  <c r="M2130" i="1"/>
  <c r="N2130" i="1"/>
  <c r="O2130" i="1"/>
  <c r="P2130" i="1"/>
  <c r="R2130" i="1"/>
  <c r="S2130" i="1"/>
  <c r="T2130" i="1"/>
  <c r="U2130" i="1"/>
  <c r="B2129" i="1"/>
  <c r="D2129" i="1"/>
  <c r="E2129" i="1"/>
  <c r="F2129" i="1"/>
  <c r="G2129" i="1"/>
  <c r="H2129" i="1"/>
  <c r="I2129" i="1"/>
  <c r="J2129" i="1"/>
  <c r="K2129" i="1"/>
  <c r="L2129" i="1"/>
  <c r="M2129" i="1"/>
  <c r="N2129" i="1"/>
  <c r="O2129" i="1"/>
  <c r="P2129" i="1"/>
  <c r="R2129" i="1"/>
  <c r="S2129" i="1"/>
  <c r="T2129" i="1"/>
  <c r="U2129" i="1"/>
  <c r="B2128" i="1"/>
  <c r="D2128" i="1"/>
  <c r="E2128" i="1"/>
  <c r="F2128" i="1"/>
  <c r="G2128" i="1"/>
  <c r="H2128" i="1"/>
  <c r="I2128" i="1"/>
  <c r="J2128" i="1"/>
  <c r="K2128" i="1"/>
  <c r="L2128" i="1"/>
  <c r="M2128" i="1"/>
  <c r="N2128" i="1"/>
  <c r="O2128" i="1"/>
  <c r="P2128" i="1"/>
  <c r="R2128" i="1"/>
  <c r="S2128" i="1"/>
  <c r="T2128" i="1"/>
  <c r="U2128" i="1"/>
  <c r="B2127" i="1"/>
  <c r="D2127" i="1"/>
  <c r="E2127" i="1"/>
  <c r="F2127" i="1"/>
  <c r="G2127" i="1"/>
  <c r="H2127" i="1"/>
  <c r="I2127" i="1"/>
  <c r="J2127" i="1"/>
  <c r="K2127" i="1"/>
  <c r="L2127" i="1"/>
  <c r="M2127" i="1"/>
  <c r="N2127" i="1"/>
  <c r="O2127" i="1"/>
  <c r="P2127" i="1"/>
  <c r="R2127" i="1"/>
  <c r="S2127" i="1"/>
  <c r="T2127" i="1"/>
  <c r="U2127" i="1"/>
  <c r="B2126" i="1"/>
  <c r="D2126" i="1"/>
  <c r="E2126" i="1"/>
  <c r="F2126" i="1"/>
  <c r="G2126" i="1"/>
  <c r="H2126" i="1"/>
  <c r="I2126" i="1"/>
  <c r="J2126" i="1"/>
  <c r="K2126" i="1"/>
  <c r="L2126" i="1"/>
  <c r="M2126" i="1"/>
  <c r="N2126" i="1"/>
  <c r="O2126" i="1"/>
  <c r="P2126" i="1"/>
  <c r="R2126" i="1"/>
  <c r="S2126" i="1"/>
  <c r="T2126" i="1"/>
  <c r="U2126" i="1"/>
  <c r="B2125" i="1"/>
  <c r="D2125" i="1"/>
  <c r="E2125" i="1"/>
  <c r="F2125" i="1"/>
  <c r="G2125" i="1"/>
  <c r="H2125" i="1"/>
  <c r="I2125" i="1"/>
  <c r="J2125" i="1"/>
  <c r="K2125" i="1"/>
  <c r="L2125" i="1"/>
  <c r="M2125" i="1"/>
  <c r="N2125" i="1"/>
  <c r="O2125" i="1"/>
  <c r="P2125" i="1"/>
  <c r="R2125" i="1"/>
  <c r="S2125" i="1"/>
  <c r="T2125" i="1"/>
  <c r="U2125" i="1"/>
  <c r="B2124" i="1"/>
  <c r="D2124" i="1"/>
  <c r="E2124" i="1"/>
  <c r="F2124" i="1"/>
  <c r="G2124" i="1"/>
  <c r="H2124" i="1"/>
  <c r="I2124" i="1"/>
  <c r="J2124" i="1"/>
  <c r="K2124" i="1"/>
  <c r="L2124" i="1"/>
  <c r="M2124" i="1"/>
  <c r="N2124" i="1"/>
  <c r="O2124" i="1"/>
  <c r="P2124" i="1"/>
  <c r="R2124" i="1"/>
  <c r="S2124" i="1"/>
  <c r="T2124" i="1"/>
  <c r="U2124" i="1"/>
  <c r="B2123" i="1"/>
  <c r="D2123" i="1"/>
  <c r="E2123" i="1"/>
  <c r="F2123" i="1"/>
  <c r="G2123" i="1"/>
  <c r="H2123" i="1"/>
  <c r="I2123" i="1"/>
  <c r="J2123" i="1"/>
  <c r="K2123" i="1"/>
  <c r="L2123" i="1"/>
  <c r="M2123" i="1"/>
  <c r="N2123" i="1"/>
  <c r="O2123" i="1"/>
  <c r="P2123" i="1"/>
  <c r="R2123" i="1"/>
  <c r="S2123" i="1"/>
  <c r="T2123" i="1"/>
  <c r="U2123" i="1"/>
  <c r="B2122" i="1"/>
  <c r="D2122" i="1"/>
  <c r="E2122" i="1"/>
  <c r="F2122" i="1"/>
  <c r="G2122" i="1"/>
  <c r="H2122" i="1"/>
  <c r="I2122" i="1"/>
  <c r="J2122" i="1"/>
  <c r="K2122" i="1"/>
  <c r="L2122" i="1"/>
  <c r="M2122" i="1"/>
  <c r="N2122" i="1"/>
  <c r="O2122" i="1"/>
  <c r="P2122" i="1"/>
  <c r="R2122" i="1"/>
  <c r="S2122" i="1"/>
  <c r="T2122" i="1"/>
  <c r="U2122" i="1"/>
  <c r="B2121" i="1"/>
  <c r="D2121" i="1"/>
  <c r="E2121" i="1"/>
  <c r="F2121" i="1"/>
  <c r="G2121" i="1"/>
  <c r="H2121" i="1"/>
  <c r="I2121" i="1"/>
  <c r="J2121" i="1"/>
  <c r="K2121" i="1"/>
  <c r="L2121" i="1"/>
  <c r="M2121" i="1"/>
  <c r="N2121" i="1"/>
  <c r="O2121" i="1"/>
  <c r="P2121" i="1"/>
  <c r="R2121" i="1"/>
  <c r="S2121" i="1"/>
  <c r="T2121" i="1"/>
  <c r="U2121" i="1"/>
  <c r="B2120" i="1"/>
  <c r="D2120" i="1"/>
  <c r="E2120" i="1"/>
  <c r="F2120" i="1"/>
  <c r="G2120" i="1"/>
  <c r="H2120" i="1"/>
  <c r="I2120" i="1"/>
  <c r="J2120" i="1"/>
  <c r="K2120" i="1"/>
  <c r="L2120" i="1"/>
  <c r="M2120" i="1"/>
  <c r="N2120" i="1"/>
  <c r="O2120" i="1"/>
  <c r="P2120" i="1"/>
  <c r="R2120" i="1"/>
  <c r="S2120" i="1"/>
  <c r="T2120" i="1"/>
  <c r="U2120" i="1"/>
  <c r="B2119" i="1"/>
  <c r="D2119" i="1"/>
  <c r="E2119" i="1"/>
  <c r="F2119" i="1"/>
  <c r="G2119" i="1"/>
  <c r="H2119" i="1"/>
  <c r="I2119" i="1"/>
  <c r="J2119" i="1"/>
  <c r="K2119" i="1"/>
  <c r="L2119" i="1"/>
  <c r="M2119" i="1"/>
  <c r="N2119" i="1"/>
  <c r="O2119" i="1"/>
  <c r="P2119" i="1"/>
  <c r="R2119" i="1"/>
  <c r="S2119" i="1"/>
  <c r="T2119" i="1"/>
  <c r="U2119" i="1"/>
  <c r="B2118" i="1"/>
  <c r="D2118" i="1"/>
  <c r="E2118" i="1"/>
  <c r="F2118" i="1"/>
  <c r="G2118" i="1"/>
  <c r="H2118" i="1"/>
  <c r="I2118" i="1"/>
  <c r="J2118" i="1"/>
  <c r="K2118" i="1"/>
  <c r="L2118" i="1"/>
  <c r="M2118" i="1"/>
  <c r="N2118" i="1"/>
  <c r="O2118" i="1"/>
  <c r="P2118" i="1"/>
  <c r="R2118" i="1"/>
  <c r="S2118" i="1"/>
  <c r="T2118" i="1"/>
  <c r="U2118" i="1"/>
  <c r="B2117" i="1"/>
  <c r="D2117" i="1"/>
  <c r="E2117" i="1"/>
  <c r="F2117" i="1"/>
  <c r="G2117" i="1"/>
  <c r="H2117" i="1"/>
  <c r="I2117" i="1"/>
  <c r="J2117" i="1"/>
  <c r="K2117" i="1"/>
  <c r="L2117" i="1"/>
  <c r="M2117" i="1"/>
  <c r="N2117" i="1"/>
  <c r="O2117" i="1"/>
  <c r="P2117" i="1"/>
  <c r="R2117" i="1"/>
  <c r="S2117" i="1"/>
  <c r="T2117" i="1"/>
  <c r="U2117" i="1"/>
  <c r="B2116" i="1"/>
  <c r="D2116" i="1"/>
  <c r="E2116" i="1"/>
  <c r="F2116" i="1"/>
  <c r="G2116" i="1"/>
  <c r="H2116" i="1"/>
  <c r="I2116" i="1"/>
  <c r="J2116" i="1"/>
  <c r="K2116" i="1"/>
  <c r="L2116" i="1"/>
  <c r="M2116" i="1"/>
  <c r="N2116" i="1"/>
  <c r="O2116" i="1"/>
  <c r="P2116" i="1"/>
  <c r="R2116" i="1"/>
  <c r="S2116" i="1"/>
  <c r="T2116" i="1"/>
  <c r="U2116" i="1"/>
  <c r="B2115" i="1"/>
  <c r="D2115" i="1"/>
  <c r="E2115" i="1"/>
  <c r="F2115" i="1"/>
  <c r="G2115" i="1"/>
  <c r="H2115" i="1"/>
  <c r="I2115" i="1"/>
  <c r="J2115" i="1"/>
  <c r="K2115" i="1"/>
  <c r="L2115" i="1"/>
  <c r="M2115" i="1"/>
  <c r="N2115" i="1"/>
  <c r="O2115" i="1"/>
  <c r="P2115" i="1"/>
  <c r="R2115" i="1"/>
  <c r="S2115" i="1"/>
  <c r="T2115" i="1"/>
  <c r="U2115" i="1"/>
  <c r="B2114" i="1"/>
  <c r="D2114" i="1"/>
  <c r="E2114" i="1"/>
  <c r="F2114" i="1"/>
  <c r="G2114" i="1"/>
  <c r="H2114" i="1"/>
  <c r="I2114" i="1"/>
  <c r="J2114" i="1"/>
  <c r="K2114" i="1"/>
  <c r="L2114" i="1"/>
  <c r="M2114" i="1"/>
  <c r="N2114" i="1"/>
  <c r="O2114" i="1"/>
  <c r="P2114" i="1"/>
  <c r="R2114" i="1"/>
  <c r="S2114" i="1"/>
  <c r="T2114" i="1"/>
  <c r="U2114" i="1"/>
  <c r="B2113" i="1"/>
  <c r="D2113" i="1"/>
  <c r="E2113" i="1"/>
  <c r="F2113" i="1"/>
  <c r="G2113" i="1"/>
  <c r="H2113" i="1"/>
  <c r="I2113" i="1"/>
  <c r="J2113" i="1"/>
  <c r="K2113" i="1"/>
  <c r="L2113" i="1"/>
  <c r="M2113" i="1"/>
  <c r="N2113" i="1"/>
  <c r="O2113" i="1"/>
  <c r="P2113" i="1"/>
  <c r="R2113" i="1"/>
  <c r="S2113" i="1"/>
  <c r="T2113" i="1"/>
  <c r="U2113" i="1"/>
  <c r="B2112" i="1"/>
  <c r="D2112" i="1"/>
  <c r="E2112" i="1"/>
  <c r="F2112" i="1"/>
  <c r="G2112" i="1"/>
  <c r="H2112" i="1"/>
  <c r="I2112" i="1"/>
  <c r="J2112" i="1"/>
  <c r="K2112" i="1"/>
  <c r="L2112" i="1"/>
  <c r="M2112" i="1"/>
  <c r="N2112" i="1"/>
  <c r="O2112" i="1"/>
  <c r="P2112" i="1"/>
  <c r="R2112" i="1"/>
  <c r="S2112" i="1"/>
  <c r="T2112" i="1"/>
  <c r="U2112" i="1"/>
  <c r="B2111" i="1"/>
  <c r="D2111" i="1"/>
  <c r="E2111" i="1"/>
  <c r="F2111" i="1"/>
  <c r="G2111" i="1"/>
  <c r="H2111" i="1"/>
  <c r="I2111" i="1"/>
  <c r="J2111" i="1"/>
  <c r="K2111" i="1"/>
  <c r="L2111" i="1"/>
  <c r="M2111" i="1"/>
  <c r="N2111" i="1"/>
  <c r="O2111" i="1"/>
  <c r="P2111" i="1"/>
  <c r="R2111" i="1"/>
  <c r="S2111" i="1"/>
  <c r="T2111" i="1"/>
  <c r="U2111" i="1"/>
  <c r="B2110" i="1"/>
  <c r="D2110" i="1"/>
  <c r="E2110" i="1"/>
  <c r="F2110" i="1"/>
  <c r="G2110" i="1"/>
  <c r="H2110" i="1"/>
  <c r="I2110" i="1"/>
  <c r="J2110" i="1"/>
  <c r="K2110" i="1"/>
  <c r="L2110" i="1"/>
  <c r="M2110" i="1"/>
  <c r="N2110" i="1"/>
  <c r="O2110" i="1"/>
  <c r="P2110" i="1"/>
  <c r="R2110" i="1"/>
  <c r="S2110" i="1"/>
  <c r="T2110" i="1"/>
  <c r="U2110" i="1"/>
  <c r="B2109" i="1"/>
  <c r="D2109" i="1"/>
  <c r="E2109" i="1"/>
  <c r="F2109" i="1"/>
  <c r="G2109" i="1"/>
  <c r="H2109" i="1"/>
  <c r="I2109" i="1"/>
  <c r="J2109" i="1"/>
  <c r="K2109" i="1"/>
  <c r="L2109" i="1"/>
  <c r="M2109" i="1"/>
  <c r="N2109" i="1"/>
  <c r="O2109" i="1"/>
  <c r="P2109" i="1"/>
  <c r="R2109" i="1"/>
  <c r="S2109" i="1"/>
  <c r="T2109" i="1"/>
  <c r="U2109" i="1"/>
  <c r="B2108" i="1"/>
  <c r="D2108" i="1"/>
  <c r="E2108" i="1"/>
  <c r="F2108" i="1"/>
  <c r="G2108" i="1"/>
  <c r="H2108" i="1"/>
  <c r="I2108" i="1"/>
  <c r="J2108" i="1"/>
  <c r="K2108" i="1"/>
  <c r="L2108" i="1"/>
  <c r="M2108" i="1"/>
  <c r="N2108" i="1"/>
  <c r="O2108" i="1"/>
  <c r="P2108" i="1"/>
  <c r="R2108" i="1"/>
  <c r="S2108" i="1"/>
  <c r="T2108" i="1"/>
  <c r="U2108" i="1"/>
  <c r="B2107" i="1"/>
  <c r="D2107" i="1"/>
  <c r="E2107" i="1"/>
  <c r="F2107" i="1"/>
  <c r="G2107" i="1"/>
  <c r="H2107" i="1"/>
  <c r="I2107" i="1"/>
  <c r="J2107" i="1"/>
  <c r="K2107" i="1"/>
  <c r="L2107" i="1"/>
  <c r="M2107" i="1"/>
  <c r="N2107" i="1"/>
  <c r="O2107" i="1"/>
  <c r="P2107" i="1"/>
  <c r="R2107" i="1"/>
  <c r="S2107" i="1"/>
  <c r="T2107" i="1"/>
  <c r="U2107" i="1"/>
  <c r="B2106" i="1"/>
  <c r="D2106" i="1"/>
  <c r="E2106" i="1"/>
  <c r="F2106" i="1"/>
  <c r="G2106" i="1"/>
  <c r="H2106" i="1"/>
  <c r="I2106" i="1"/>
  <c r="J2106" i="1"/>
  <c r="K2106" i="1"/>
  <c r="L2106" i="1"/>
  <c r="M2106" i="1"/>
  <c r="N2106" i="1"/>
  <c r="O2106" i="1"/>
  <c r="P2106" i="1"/>
  <c r="R2106" i="1"/>
  <c r="S2106" i="1"/>
  <c r="T2106" i="1"/>
  <c r="U2106" i="1"/>
  <c r="B2105" i="1"/>
  <c r="D2105" i="1"/>
  <c r="E2105" i="1"/>
  <c r="F2105" i="1"/>
  <c r="G2105" i="1"/>
  <c r="H2105" i="1"/>
  <c r="I2105" i="1"/>
  <c r="J2105" i="1"/>
  <c r="K2105" i="1"/>
  <c r="L2105" i="1"/>
  <c r="M2105" i="1"/>
  <c r="N2105" i="1"/>
  <c r="O2105" i="1"/>
  <c r="P2105" i="1"/>
  <c r="R2105" i="1"/>
  <c r="S2105" i="1"/>
  <c r="T2105" i="1"/>
  <c r="U2105" i="1"/>
  <c r="B2104" i="1"/>
  <c r="D2104" i="1"/>
  <c r="E2104" i="1"/>
  <c r="F2104" i="1"/>
  <c r="G2104" i="1"/>
  <c r="H2104" i="1"/>
  <c r="I2104" i="1"/>
  <c r="J2104" i="1"/>
  <c r="K2104" i="1"/>
  <c r="L2104" i="1"/>
  <c r="M2104" i="1"/>
  <c r="N2104" i="1"/>
  <c r="O2104" i="1"/>
  <c r="P2104" i="1"/>
  <c r="R2104" i="1"/>
  <c r="S2104" i="1"/>
  <c r="T2104" i="1"/>
  <c r="U2104" i="1"/>
  <c r="B2103" i="1"/>
  <c r="D2103" i="1"/>
  <c r="E2103" i="1"/>
  <c r="F2103" i="1"/>
  <c r="G2103" i="1"/>
  <c r="H2103" i="1"/>
  <c r="I2103" i="1"/>
  <c r="J2103" i="1"/>
  <c r="K2103" i="1"/>
  <c r="L2103" i="1"/>
  <c r="M2103" i="1"/>
  <c r="N2103" i="1"/>
  <c r="O2103" i="1"/>
  <c r="P2103" i="1"/>
  <c r="R2103" i="1"/>
  <c r="S2103" i="1"/>
  <c r="T2103" i="1"/>
  <c r="U2103" i="1"/>
  <c r="B2102" i="1"/>
  <c r="D2102" i="1"/>
  <c r="E2102" i="1"/>
  <c r="F2102" i="1"/>
  <c r="G2102" i="1"/>
  <c r="H2102" i="1"/>
  <c r="I2102" i="1"/>
  <c r="J2102" i="1"/>
  <c r="K2102" i="1"/>
  <c r="L2102" i="1"/>
  <c r="M2102" i="1"/>
  <c r="N2102" i="1"/>
  <c r="O2102" i="1"/>
  <c r="P2102" i="1"/>
  <c r="R2102" i="1"/>
  <c r="S2102" i="1"/>
  <c r="T2102" i="1"/>
  <c r="U2102" i="1"/>
  <c r="B2101" i="1"/>
  <c r="D2101" i="1"/>
  <c r="E2101" i="1"/>
  <c r="F2101" i="1"/>
  <c r="G2101" i="1"/>
  <c r="H2101" i="1"/>
  <c r="I2101" i="1"/>
  <c r="J2101" i="1"/>
  <c r="K2101" i="1"/>
  <c r="L2101" i="1"/>
  <c r="M2101" i="1"/>
  <c r="N2101" i="1"/>
  <c r="O2101" i="1"/>
  <c r="P2101" i="1"/>
  <c r="R2101" i="1"/>
  <c r="S2101" i="1"/>
  <c r="T2101" i="1"/>
  <c r="U2101" i="1"/>
  <c r="B2100" i="1"/>
  <c r="D2100" i="1"/>
  <c r="E2100" i="1"/>
  <c r="F2100" i="1"/>
  <c r="G2100" i="1"/>
  <c r="H2100" i="1"/>
  <c r="I2100" i="1"/>
  <c r="J2100" i="1"/>
  <c r="K2100" i="1"/>
  <c r="L2100" i="1"/>
  <c r="M2100" i="1"/>
  <c r="N2100" i="1"/>
  <c r="O2100" i="1"/>
  <c r="P2100" i="1"/>
  <c r="R2100" i="1"/>
  <c r="S2100" i="1"/>
  <c r="T2100" i="1"/>
  <c r="U2100" i="1"/>
  <c r="B2099" i="1"/>
  <c r="D2099" i="1"/>
  <c r="E2099" i="1"/>
  <c r="F2099" i="1"/>
  <c r="G2099" i="1"/>
  <c r="H2099" i="1"/>
  <c r="I2099" i="1"/>
  <c r="J2099" i="1"/>
  <c r="K2099" i="1"/>
  <c r="L2099" i="1"/>
  <c r="M2099" i="1"/>
  <c r="N2099" i="1"/>
  <c r="O2099" i="1"/>
  <c r="P2099" i="1"/>
  <c r="R2099" i="1"/>
  <c r="S2099" i="1"/>
  <c r="T2099" i="1"/>
  <c r="U2099" i="1"/>
  <c r="B2098" i="1"/>
  <c r="D2098" i="1"/>
  <c r="E2098" i="1"/>
  <c r="F2098" i="1"/>
  <c r="G2098" i="1"/>
  <c r="H2098" i="1"/>
  <c r="I2098" i="1"/>
  <c r="J2098" i="1"/>
  <c r="K2098" i="1"/>
  <c r="L2098" i="1"/>
  <c r="M2098" i="1"/>
  <c r="N2098" i="1"/>
  <c r="O2098" i="1"/>
  <c r="P2098" i="1"/>
  <c r="R2098" i="1"/>
  <c r="S2098" i="1"/>
  <c r="T2098" i="1"/>
  <c r="U2098" i="1"/>
  <c r="B2097" i="1"/>
  <c r="D2097" i="1"/>
  <c r="E2097" i="1"/>
  <c r="F2097" i="1"/>
  <c r="G2097" i="1"/>
  <c r="H2097" i="1"/>
  <c r="I2097" i="1"/>
  <c r="J2097" i="1"/>
  <c r="K2097" i="1"/>
  <c r="L2097" i="1"/>
  <c r="M2097" i="1"/>
  <c r="N2097" i="1"/>
  <c r="O2097" i="1"/>
  <c r="P2097" i="1"/>
  <c r="R2097" i="1"/>
  <c r="S2097" i="1"/>
  <c r="T2097" i="1"/>
  <c r="U2097" i="1"/>
  <c r="B2096" i="1"/>
  <c r="D2096" i="1"/>
  <c r="E2096" i="1"/>
  <c r="F2096" i="1"/>
  <c r="G2096" i="1"/>
  <c r="H2096" i="1"/>
  <c r="I2096" i="1"/>
  <c r="J2096" i="1"/>
  <c r="K2096" i="1"/>
  <c r="L2096" i="1"/>
  <c r="M2096" i="1"/>
  <c r="N2096" i="1"/>
  <c r="O2096" i="1"/>
  <c r="P2096" i="1"/>
  <c r="R2096" i="1"/>
  <c r="S2096" i="1"/>
  <c r="T2096" i="1"/>
  <c r="U2096" i="1"/>
  <c r="B2095" i="1"/>
  <c r="D2095" i="1"/>
  <c r="E2095" i="1"/>
  <c r="F2095" i="1"/>
  <c r="G2095" i="1"/>
  <c r="H2095" i="1"/>
  <c r="I2095" i="1"/>
  <c r="J2095" i="1"/>
  <c r="K2095" i="1"/>
  <c r="L2095" i="1"/>
  <c r="M2095" i="1"/>
  <c r="N2095" i="1"/>
  <c r="O2095" i="1"/>
  <c r="P2095" i="1"/>
  <c r="R2095" i="1"/>
  <c r="S2095" i="1"/>
  <c r="T2095" i="1"/>
  <c r="U2095" i="1"/>
  <c r="B2094" i="1"/>
  <c r="D2094" i="1"/>
  <c r="E2094" i="1"/>
  <c r="F2094" i="1"/>
  <c r="G2094" i="1"/>
  <c r="H2094" i="1"/>
  <c r="I2094" i="1"/>
  <c r="J2094" i="1"/>
  <c r="K2094" i="1"/>
  <c r="L2094" i="1"/>
  <c r="M2094" i="1"/>
  <c r="N2094" i="1"/>
  <c r="O2094" i="1"/>
  <c r="P2094" i="1"/>
  <c r="R2094" i="1"/>
  <c r="S2094" i="1"/>
  <c r="T2094" i="1"/>
  <c r="U2094" i="1"/>
  <c r="B2093" i="1"/>
  <c r="D2093" i="1"/>
  <c r="E2093" i="1"/>
  <c r="F2093" i="1"/>
  <c r="G2093" i="1"/>
  <c r="H2093" i="1"/>
  <c r="I2093" i="1"/>
  <c r="J2093" i="1"/>
  <c r="K2093" i="1"/>
  <c r="L2093" i="1"/>
  <c r="M2093" i="1"/>
  <c r="N2093" i="1"/>
  <c r="O2093" i="1"/>
  <c r="P2093" i="1"/>
  <c r="R2093" i="1"/>
  <c r="S2093" i="1"/>
  <c r="T2093" i="1"/>
  <c r="U2093" i="1"/>
  <c r="B2092" i="1"/>
  <c r="D2092" i="1"/>
  <c r="E2092" i="1"/>
  <c r="F2092" i="1"/>
  <c r="G2092" i="1"/>
  <c r="H2092" i="1"/>
  <c r="I2092" i="1"/>
  <c r="J2092" i="1"/>
  <c r="K2092" i="1"/>
  <c r="L2092" i="1"/>
  <c r="M2092" i="1"/>
  <c r="N2092" i="1"/>
  <c r="O2092" i="1"/>
  <c r="P2092" i="1"/>
  <c r="R2092" i="1"/>
  <c r="S2092" i="1"/>
  <c r="T2092" i="1"/>
  <c r="U2092" i="1"/>
  <c r="B2091" i="1"/>
  <c r="D2091" i="1"/>
  <c r="E2091" i="1"/>
  <c r="F2091" i="1"/>
  <c r="G2091" i="1"/>
  <c r="H2091" i="1"/>
  <c r="I2091" i="1"/>
  <c r="J2091" i="1"/>
  <c r="K2091" i="1"/>
  <c r="L2091" i="1"/>
  <c r="M2091" i="1"/>
  <c r="N2091" i="1"/>
  <c r="O2091" i="1"/>
  <c r="P2091" i="1"/>
  <c r="R2091" i="1"/>
  <c r="S2091" i="1"/>
  <c r="T2091" i="1"/>
  <c r="U2091" i="1"/>
  <c r="B2089" i="1"/>
  <c r="D2089" i="1"/>
  <c r="E2089" i="1"/>
  <c r="F2089" i="1"/>
  <c r="G2089" i="1"/>
  <c r="H2089" i="1"/>
  <c r="I2089" i="1"/>
  <c r="J2089" i="1"/>
  <c r="K2089" i="1"/>
  <c r="L2089" i="1"/>
  <c r="M2089" i="1"/>
  <c r="N2089" i="1"/>
  <c r="O2089" i="1"/>
  <c r="P2089" i="1"/>
  <c r="R2089" i="1"/>
  <c r="S2089" i="1"/>
  <c r="T2089" i="1"/>
  <c r="U2089" i="1"/>
  <c r="B2088" i="1"/>
  <c r="D2088" i="1"/>
  <c r="E2088" i="1"/>
  <c r="F2088" i="1"/>
  <c r="G2088" i="1"/>
  <c r="H2088" i="1"/>
  <c r="I2088" i="1"/>
  <c r="J2088" i="1"/>
  <c r="K2088" i="1"/>
  <c r="L2088" i="1"/>
  <c r="M2088" i="1"/>
  <c r="N2088" i="1"/>
  <c r="O2088" i="1"/>
  <c r="P2088" i="1"/>
  <c r="R2088" i="1"/>
  <c r="S2088" i="1"/>
  <c r="T2088" i="1"/>
  <c r="U2088" i="1"/>
  <c r="B2087" i="1"/>
  <c r="D2087" i="1"/>
  <c r="E2087" i="1"/>
  <c r="F2087" i="1"/>
  <c r="G2087" i="1"/>
  <c r="H2087" i="1"/>
  <c r="I2087" i="1"/>
  <c r="J2087" i="1"/>
  <c r="K2087" i="1"/>
  <c r="L2087" i="1"/>
  <c r="M2087" i="1"/>
  <c r="N2087" i="1"/>
  <c r="O2087" i="1"/>
  <c r="P2087" i="1"/>
  <c r="R2087" i="1"/>
  <c r="S2087" i="1"/>
  <c r="T2087" i="1"/>
  <c r="U2087" i="1"/>
  <c r="B2086" i="1"/>
  <c r="D2086" i="1"/>
  <c r="E2086" i="1"/>
  <c r="F2086" i="1"/>
  <c r="G2086" i="1"/>
  <c r="H2086" i="1"/>
  <c r="I2086" i="1"/>
  <c r="J2086" i="1"/>
  <c r="K2086" i="1"/>
  <c r="L2086" i="1"/>
  <c r="M2086" i="1"/>
  <c r="N2086" i="1"/>
  <c r="O2086" i="1"/>
  <c r="P2086" i="1"/>
  <c r="R2086" i="1"/>
  <c r="S2086" i="1"/>
  <c r="T2086" i="1"/>
  <c r="U2086" i="1"/>
  <c r="B2085" i="1"/>
  <c r="D2085" i="1"/>
  <c r="E2085" i="1"/>
  <c r="F2085" i="1"/>
  <c r="G2085" i="1"/>
  <c r="H2085" i="1"/>
  <c r="I2085" i="1"/>
  <c r="J2085" i="1"/>
  <c r="K2085" i="1"/>
  <c r="L2085" i="1"/>
  <c r="M2085" i="1"/>
  <c r="N2085" i="1"/>
  <c r="O2085" i="1"/>
  <c r="P2085" i="1"/>
  <c r="R2085" i="1"/>
  <c r="S2085" i="1"/>
  <c r="T2085" i="1"/>
  <c r="U2085" i="1"/>
  <c r="B2084" i="1"/>
  <c r="D2084" i="1"/>
  <c r="E2084" i="1"/>
  <c r="F2084" i="1"/>
  <c r="G2084" i="1"/>
  <c r="H2084" i="1"/>
  <c r="I2084" i="1"/>
  <c r="J2084" i="1"/>
  <c r="K2084" i="1"/>
  <c r="L2084" i="1"/>
  <c r="M2084" i="1"/>
  <c r="N2084" i="1"/>
  <c r="O2084" i="1"/>
  <c r="P2084" i="1"/>
  <c r="R2084" i="1"/>
  <c r="S2084" i="1"/>
  <c r="T2084" i="1"/>
  <c r="U2084" i="1"/>
  <c r="B2083" i="1"/>
  <c r="D2083" i="1"/>
  <c r="E2083" i="1"/>
  <c r="F2083" i="1"/>
  <c r="G2083" i="1"/>
  <c r="H2083" i="1"/>
  <c r="I2083" i="1"/>
  <c r="J2083" i="1"/>
  <c r="K2083" i="1"/>
  <c r="L2083" i="1"/>
  <c r="M2083" i="1"/>
  <c r="N2083" i="1"/>
  <c r="O2083" i="1"/>
  <c r="P2083" i="1"/>
  <c r="R2083" i="1"/>
  <c r="S2083" i="1"/>
  <c r="T2083" i="1"/>
  <c r="U2083" i="1"/>
  <c r="B2082" i="1"/>
  <c r="D2082" i="1"/>
  <c r="E2082" i="1"/>
  <c r="F2082" i="1"/>
  <c r="G2082" i="1"/>
  <c r="H2082" i="1"/>
  <c r="I2082" i="1"/>
  <c r="J2082" i="1"/>
  <c r="K2082" i="1"/>
  <c r="L2082" i="1"/>
  <c r="M2082" i="1"/>
  <c r="N2082" i="1"/>
  <c r="O2082" i="1"/>
  <c r="P2082" i="1"/>
  <c r="R2082" i="1"/>
  <c r="S2082" i="1"/>
  <c r="T2082" i="1"/>
  <c r="U2082" i="1"/>
  <c r="B2081" i="1"/>
  <c r="D2081" i="1"/>
  <c r="E2081" i="1"/>
  <c r="F2081" i="1"/>
  <c r="G2081" i="1"/>
  <c r="H2081" i="1"/>
  <c r="I2081" i="1"/>
  <c r="J2081" i="1"/>
  <c r="K2081" i="1"/>
  <c r="L2081" i="1"/>
  <c r="M2081" i="1"/>
  <c r="N2081" i="1"/>
  <c r="O2081" i="1"/>
  <c r="P2081" i="1"/>
  <c r="R2081" i="1"/>
  <c r="S2081" i="1"/>
  <c r="T2081" i="1"/>
  <c r="U2081" i="1"/>
  <c r="B2080" i="1"/>
  <c r="D2080" i="1"/>
  <c r="E2080" i="1"/>
  <c r="F2080" i="1"/>
  <c r="G2080" i="1"/>
  <c r="H2080" i="1"/>
  <c r="I2080" i="1"/>
  <c r="J2080" i="1"/>
  <c r="K2080" i="1"/>
  <c r="L2080" i="1"/>
  <c r="M2080" i="1"/>
  <c r="N2080" i="1"/>
  <c r="O2080" i="1"/>
  <c r="P2080" i="1"/>
  <c r="R2080" i="1"/>
  <c r="S2080" i="1"/>
  <c r="T2080" i="1"/>
  <c r="U2080" i="1"/>
  <c r="B2079" i="1"/>
  <c r="D2079" i="1"/>
  <c r="E2079" i="1"/>
  <c r="F2079" i="1"/>
  <c r="G2079" i="1"/>
  <c r="H2079" i="1"/>
  <c r="I2079" i="1"/>
  <c r="J2079" i="1"/>
  <c r="K2079" i="1"/>
  <c r="L2079" i="1"/>
  <c r="M2079" i="1"/>
  <c r="N2079" i="1"/>
  <c r="O2079" i="1"/>
  <c r="P2079" i="1"/>
  <c r="R2079" i="1"/>
  <c r="S2079" i="1"/>
  <c r="T2079" i="1"/>
  <c r="U2079" i="1"/>
  <c r="B2078" i="1"/>
  <c r="D2078" i="1"/>
  <c r="E2078" i="1"/>
  <c r="F2078" i="1"/>
  <c r="G2078" i="1"/>
  <c r="H2078" i="1"/>
  <c r="I2078" i="1"/>
  <c r="J2078" i="1"/>
  <c r="K2078" i="1"/>
  <c r="L2078" i="1"/>
  <c r="M2078" i="1"/>
  <c r="N2078" i="1"/>
  <c r="O2078" i="1"/>
  <c r="P2078" i="1"/>
  <c r="R2078" i="1"/>
  <c r="S2078" i="1"/>
  <c r="T2078" i="1"/>
  <c r="U2078" i="1"/>
  <c r="B2077" i="1"/>
  <c r="D2077" i="1"/>
  <c r="E2077" i="1"/>
  <c r="F2077" i="1"/>
  <c r="G2077" i="1"/>
  <c r="H2077" i="1"/>
  <c r="I2077" i="1"/>
  <c r="J2077" i="1"/>
  <c r="K2077" i="1"/>
  <c r="L2077" i="1"/>
  <c r="M2077" i="1"/>
  <c r="N2077" i="1"/>
  <c r="O2077" i="1"/>
  <c r="P2077" i="1"/>
  <c r="R2077" i="1"/>
  <c r="S2077" i="1"/>
  <c r="T2077" i="1"/>
  <c r="U2077" i="1"/>
  <c r="B2076" i="1"/>
  <c r="D2076" i="1"/>
  <c r="E2076" i="1"/>
  <c r="F2076" i="1"/>
  <c r="G2076" i="1"/>
  <c r="H2076" i="1"/>
  <c r="I2076" i="1"/>
  <c r="J2076" i="1"/>
  <c r="K2076" i="1"/>
  <c r="L2076" i="1"/>
  <c r="M2076" i="1"/>
  <c r="N2076" i="1"/>
  <c r="O2076" i="1"/>
  <c r="P2076" i="1"/>
  <c r="R2076" i="1"/>
  <c r="S2076" i="1"/>
  <c r="T2076" i="1"/>
  <c r="U2076" i="1"/>
  <c r="B2075" i="1"/>
  <c r="D2075" i="1"/>
  <c r="E2075" i="1"/>
  <c r="F2075" i="1"/>
  <c r="G2075" i="1"/>
  <c r="H2075" i="1"/>
  <c r="I2075" i="1"/>
  <c r="J2075" i="1"/>
  <c r="K2075" i="1"/>
  <c r="L2075" i="1"/>
  <c r="M2075" i="1"/>
  <c r="N2075" i="1"/>
  <c r="O2075" i="1"/>
  <c r="P2075" i="1"/>
  <c r="R2075" i="1"/>
  <c r="S2075" i="1"/>
  <c r="T2075" i="1"/>
  <c r="U2075" i="1"/>
  <c r="B2074" i="1"/>
  <c r="D2074" i="1"/>
  <c r="E2074" i="1"/>
  <c r="F2074" i="1"/>
  <c r="G2074" i="1"/>
  <c r="H2074" i="1"/>
  <c r="I2074" i="1"/>
  <c r="J2074" i="1"/>
  <c r="K2074" i="1"/>
  <c r="L2074" i="1"/>
  <c r="M2074" i="1"/>
  <c r="N2074" i="1"/>
  <c r="O2074" i="1"/>
  <c r="P2074" i="1"/>
  <c r="R2074" i="1"/>
  <c r="S2074" i="1"/>
  <c r="T2074" i="1"/>
  <c r="U2074" i="1"/>
  <c r="B2073" i="1"/>
  <c r="D2073" i="1"/>
  <c r="E2073" i="1"/>
  <c r="F2073" i="1"/>
  <c r="G2073" i="1"/>
  <c r="H2073" i="1"/>
  <c r="I2073" i="1"/>
  <c r="J2073" i="1"/>
  <c r="K2073" i="1"/>
  <c r="L2073" i="1"/>
  <c r="M2073" i="1"/>
  <c r="N2073" i="1"/>
  <c r="O2073" i="1"/>
  <c r="P2073" i="1"/>
  <c r="R2073" i="1"/>
  <c r="S2073" i="1"/>
  <c r="T2073" i="1"/>
  <c r="U2073" i="1"/>
  <c r="B2072" i="1"/>
  <c r="D2072" i="1"/>
  <c r="E2072" i="1"/>
  <c r="F2072" i="1"/>
  <c r="G2072" i="1"/>
  <c r="H2072" i="1"/>
  <c r="I2072" i="1"/>
  <c r="J2072" i="1"/>
  <c r="K2072" i="1"/>
  <c r="L2072" i="1"/>
  <c r="M2072" i="1"/>
  <c r="N2072" i="1"/>
  <c r="O2072" i="1"/>
  <c r="P2072" i="1"/>
  <c r="R2072" i="1"/>
  <c r="S2072" i="1"/>
  <c r="T2072" i="1"/>
  <c r="U2072" i="1"/>
  <c r="B2071" i="1"/>
  <c r="D2071" i="1"/>
  <c r="E2071" i="1"/>
  <c r="F2071" i="1"/>
  <c r="G2071" i="1"/>
  <c r="H2071" i="1"/>
  <c r="I2071" i="1"/>
  <c r="J2071" i="1"/>
  <c r="K2071" i="1"/>
  <c r="L2071" i="1"/>
  <c r="M2071" i="1"/>
  <c r="N2071" i="1"/>
  <c r="O2071" i="1"/>
  <c r="P2071" i="1"/>
  <c r="R2071" i="1"/>
  <c r="S2071" i="1"/>
  <c r="T2071" i="1"/>
  <c r="U2071" i="1"/>
  <c r="B2070" i="1"/>
  <c r="D2070" i="1"/>
  <c r="E2070" i="1"/>
  <c r="F2070" i="1"/>
  <c r="G2070" i="1"/>
  <c r="H2070" i="1"/>
  <c r="I2070" i="1"/>
  <c r="J2070" i="1"/>
  <c r="K2070" i="1"/>
  <c r="L2070" i="1"/>
  <c r="M2070" i="1"/>
  <c r="N2070" i="1"/>
  <c r="O2070" i="1"/>
  <c r="P2070" i="1"/>
  <c r="R2070" i="1"/>
  <c r="S2070" i="1"/>
  <c r="T2070" i="1"/>
  <c r="U2070" i="1"/>
  <c r="B2069" i="1"/>
  <c r="D2069" i="1"/>
  <c r="E2069" i="1"/>
  <c r="F2069" i="1"/>
  <c r="G2069" i="1"/>
  <c r="H2069" i="1"/>
  <c r="I2069" i="1"/>
  <c r="J2069" i="1"/>
  <c r="K2069" i="1"/>
  <c r="L2069" i="1"/>
  <c r="M2069" i="1"/>
  <c r="N2069" i="1"/>
  <c r="O2069" i="1"/>
  <c r="P2069" i="1"/>
  <c r="R2069" i="1"/>
  <c r="S2069" i="1"/>
  <c r="T2069" i="1"/>
  <c r="U2069" i="1"/>
  <c r="B2068" i="1"/>
  <c r="D2068" i="1"/>
  <c r="E2068" i="1"/>
  <c r="F2068" i="1"/>
  <c r="G2068" i="1"/>
  <c r="H2068" i="1"/>
  <c r="I2068" i="1"/>
  <c r="J2068" i="1"/>
  <c r="K2068" i="1"/>
  <c r="L2068" i="1"/>
  <c r="M2068" i="1"/>
  <c r="N2068" i="1"/>
  <c r="O2068" i="1"/>
  <c r="P2068" i="1"/>
  <c r="R2068" i="1"/>
  <c r="S2068" i="1"/>
  <c r="T2068" i="1"/>
  <c r="U2068" i="1"/>
  <c r="B2067" i="1"/>
  <c r="D2067" i="1"/>
  <c r="E2067" i="1"/>
  <c r="F2067" i="1"/>
  <c r="G2067" i="1"/>
  <c r="H2067" i="1"/>
  <c r="I2067" i="1"/>
  <c r="J2067" i="1"/>
  <c r="K2067" i="1"/>
  <c r="L2067" i="1"/>
  <c r="M2067" i="1"/>
  <c r="N2067" i="1"/>
  <c r="O2067" i="1"/>
  <c r="P2067" i="1"/>
  <c r="R2067" i="1"/>
  <c r="S2067" i="1"/>
  <c r="T2067" i="1"/>
  <c r="U2067" i="1"/>
  <c r="B2066" i="1"/>
  <c r="D2066" i="1"/>
  <c r="E2066" i="1"/>
  <c r="F2066" i="1"/>
  <c r="G2066" i="1"/>
  <c r="H2066" i="1"/>
  <c r="I2066" i="1"/>
  <c r="J2066" i="1"/>
  <c r="K2066" i="1"/>
  <c r="L2066" i="1"/>
  <c r="M2066" i="1"/>
  <c r="N2066" i="1"/>
  <c r="O2066" i="1"/>
  <c r="P2066" i="1"/>
  <c r="R2066" i="1"/>
  <c r="S2066" i="1"/>
  <c r="T2066" i="1"/>
  <c r="U2066" i="1"/>
  <c r="B2065" i="1"/>
  <c r="D2065" i="1"/>
  <c r="E2065" i="1"/>
  <c r="F2065" i="1"/>
  <c r="G2065" i="1"/>
  <c r="H2065" i="1"/>
  <c r="I2065" i="1"/>
  <c r="J2065" i="1"/>
  <c r="K2065" i="1"/>
  <c r="L2065" i="1"/>
  <c r="M2065" i="1"/>
  <c r="N2065" i="1"/>
  <c r="O2065" i="1"/>
  <c r="P2065" i="1"/>
  <c r="R2065" i="1"/>
  <c r="S2065" i="1"/>
  <c r="T2065" i="1"/>
  <c r="U2065" i="1"/>
  <c r="B2064" i="1"/>
  <c r="D2064" i="1"/>
  <c r="E2064" i="1"/>
  <c r="F2064" i="1"/>
  <c r="G2064" i="1"/>
  <c r="H2064" i="1"/>
  <c r="I2064" i="1"/>
  <c r="J2064" i="1"/>
  <c r="K2064" i="1"/>
  <c r="L2064" i="1"/>
  <c r="M2064" i="1"/>
  <c r="N2064" i="1"/>
  <c r="O2064" i="1"/>
  <c r="P2064" i="1"/>
  <c r="R2064" i="1"/>
  <c r="S2064" i="1"/>
  <c r="T2064" i="1"/>
  <c r="U2064" i="1"/>
  <c r="B2063" i="1"/>
  <c r="D2063" i="1"/>
  <c r="E2063" i="1"/>
  <c r="F2063" i="1"/>
  <c r="G2063" i="1"/>
  <c r="H2063" i="1"/>
  <c r="I2063" i="1"/>
  <c r="J2063" i="1"/>
  <c r="K2063" i="1"/>
  <c r="L2063" i="1"/>
  <c r="M2063" i="1"/>
  <c r="N2063" i="1"/>
  <c r="O2063" i="1"/>
  <c r="P2063" i="1"/>
  <c r="R2063" i="1"/>
  <c r="S2063" i="1"/>
  <c r="T2063" i="1"/>
  <c r="U2063" i="1"/>
  <c r="B2062" i="1"/>
  <c r="D2062" i="1"/>
  <c r="E2062" i="1"/>
  <c r="F2062" i="1"/>
  <c r="G2062" i="1"/>
  <c r="H2062" i="1"/>
  <c r="I2062" i="1"/>
  <c r="J2062" i="1"/>
  <c r="K2062" i="1"/>
  <c r="L2062" i="1"/>
  <c r="M2062" i="1"/>
  <c r="N2062" i="1"/>
  <c r="O2062" i="1"/>
  <c r="P2062" i="1"/>
  <c r="R2062" i="1"/>
  <c r="S2062" i="1"/>
  <c r="T2062" i="1"/>
  <c r="U2062" i="1"/>
  <c r="B2061" i="1"/>
  <c r="D2061" i="1"/>
  <c r="E2061" i="1"/>
  <c r="F2061" i="1"/>
  <c r="G2061" i="1"/>
  <c r="H2061" i="1"/>
  <c r="I2061" i="1"/>
  <c r="J2061" i="1"/>
  <c r="K2061" i="1"/>
  <c r="L2061" i="1"/>
  <c r="M2061" i="1"/>
  <c r="N2061" i="1"/>
  <c r="O2061" i="1"/>
  <c r="P2061" i="1"/>
  <c r="R2061" i="1"/>
  <c r="S2061" i="1"/>
  <c r="T2061" i="1"/>
  <c r="U2061" i="1"/>
  <c r="B2060" i="1"/>
  <c r="D2060" i="1"/>
  <c r="E2060" i="1"/>
  <c r="F2060" i="1"/>
  <c r="G2060" i="1"/>
  <c r="H2060" i="1"/>
  <c r="I2060" i="1"/>
  <c r="J2060" i="1"/>
  <c r="K2060" i="1"/>
  <c r="L2060" i="1"/>
  <c r="M2060" i="1"/>
  <c r="N2060" i="1"/>
  <c r="O2060" i="1"/>
  <c r="P2060" i="1"/>
  <c r="R2060" i="1"/>
  <c r="S2060" i="1"/>
  <c r="T2060" i="1"/>
  <c r="U2060" i="1"/>
  <c r="B2059" i="1"/>
  <c r="D2059" i="1"/>
  <c r="E2059" i="1"/>
  <c r="F2059" i="1"/>
  <c r="G2059" i="1"/>
  <c r="H2059" i="1"/>
  <c r="I2059" i="1"/>
  <c r="J2059" i="1"/>
  <c r="K2059" i="1"/>
  <c r="L2059" i="1"/>
  <c r="M2059" i="1"/>
  <c r="N2059" i="1"/>
  <c r="O2059" i="1"/>
  <c r="P2059" i="1"/>
  <c r="R2059" i="1"/>
  <c r="S2059" i="1"/>
  <c r="T2059" i="1"/>
  <c r="U2059" i="1"/>
  <c r="B2058" i="1"/>
  <c r="D2058" i="1"/>
  <c r="E2058" i="1"/>
  <c r="F2058" i="1"/>
  <c r="G2058" i="1"/>
  <c r="H2058" i="1"/>
  <c r="I2058" i="1"/>
  <c r="J2058" i="1"/>
  <c r="K2058" i="1"/>
  <c r="L2058" i="1"/>
  <c r="M2058" i="1"/>
  <c r="N2058" i="1"/>
  <c r="O2058" i="1"/>
  <c r="P2058" i="1"/>
  <c r="R2058" i="1"/>
  <c r="S2058" i="1"/>
  <c r="T2058" i="1"/>
  <c r="U2058" i="1"/>
  <c r="B2057" i="1"/>
  <c r="D2057" i="1"/>
  <c r="E2057" i="1"/>
  <c r="F2057" i="1"/>
  <c r="G2057" i="1"/>
  <c r="H2057" i="1"/>
  <c r="I2057" i="1"/>
  <c r="J2057" i="1"/>
  <c r="K2057" i="1"/>
  <c r="L2057" i="1"/>
  <c r="M2057" i="1"/>
  <c r="N2057" i="1"/>
  <c r="O2057" i="1"/>
  <c r="P2057" i="1"/>
  <c r="R2057" i="1"/>
  <c r="S2057" i="1"/>
  <c r="T2057" i="1"/>
  <c r="U2057" i="1"/>
  <c r="B2056" i="1"/>
  <c r="D2056" i="1"/>
  <c r="E2056" i="1"/>
  <c r="F2056" i="1"/>
  <c r="G2056" i="1"/>
  <c r="H2056" i="1"/>
  <c r="I2056" i="1"/>
  <c r="J2056" i="1"/>
  <c r="K2056" i="1"/>
  <c r="L2056" i="1"/>
  <c r="M2056" i="1"/>
  <c r="N2056" i="1"/>
  <c r="O2056" i="1"/>
  <c r="P2056" i="1"/>
  <c r="R2056" i="1"/>
  <c r="S2056" i="1"/>
  <c r="T2056" i="1"/>
  <c r="U2056" i="1"/>
  <c r="B2055" i="1"/>
  <c r="D2055" i="1"/>
  <c r="E2055" i="1"/>
  <c r="F2055" i="1"/>
  <c r="G2055" i="1"/>
  <c r="H2055" i="1"/>
  <c r="I2055" i="1"/>
  <c r="J2055" i="1"/>
  <c r="K2055" i="1"/>
  <c r="L2055" i="1"/>
  <c r="M2055" i="1"/>
  <c r="N2055" i="1"/>
  <c r="O2055" i="1"/>
  <c r="P2055" i="1"/>
  <c r="R2055" i="1"/>
  <c r="S2055" i="1"/>
  <c r="T2055" i="1"/>
  <c r="U2055" i="1"/>
  <c r="B2054" i="1"/>
  <c r="D2054" i="1"/>
  <c r="E2054" i="1"/>
  <c r="F2054" i="1"/>
  <c r="G2054" i="1"/>
  <c r="H2054" i="1"/>
  <c r="I2054" i="1"/>
  <c r="J2054" i="1"/>
  <c r="K2054" i="1"/>
  <c r="L2054" i="1"/>
  <c r="M2054" i="1"/>
  <c r="N2054" i="1"/>
  <c r="O2054" i="1"/>
  <c r="P2054" i="1"/>
  <c r="R2054" i="1"/>
  <c r="S2054" i="1"/>
  <c r="T2054" i="1"/>
  <c r="U2054" i="1"/>
  <c r="B2053" i="1"/>
  <c r="D2053" i="1"/>
  <c r="E2053" i="1"/>
  <c r="F2053" i="1"/>
  <c r="G2053" i="1"/>
  <c r="H2053" i="1"/>
  <c r="I2053" i="1"/>
  <c r="J2053" i="1"/>
  <c r="K2053" i="1"/>
  <c r="L2053" i="1"/>
  <c r="M2053" i="1"/>
  <c r="N2053" i="1"/>
  <c r="O2053" i="1"/>
  <c r="P2053" i="1"/>
  <c r="R2053" i="1"/>
  <c r="S2053" i="1"/>
  <c r="T2053" i="1"/>
  <c r="U2053" i="1"/>
  <c r="B2052" i="1"/>
  <c r="D2052" i="1"/>
  <c r="E2052" i="1"/>
  <c r="F2052" i="1"/>
  <c r="G2052" i="1"/>
  <c r="H2052" i="1"/>
  <c r="I2052" i="1"/>
  <c r="J2052" i="1"/>
  <c r="K2052" i="1"/>
  <c r="L2052" i="1"/>
  <c r="M2052" i="1"/>
  <c r="N2052" i="1"/>
  <c r="O2052" i="1"/>
  <c r="P2052" i="1"/>
  <c r="R2052" i="1"/>
  <c r="S2052" i="1"/>
  <c r="T2052" i="1"/>
  <c r="U2052" i="1"/>
  <c r="B2051" i="1"/>
  <c r="D2051" i="1"/>
  <c r="E2051" i="1"/>
  <c r="F2051" i="1"/>
  <c r="G2051" i="1"/>
  <c r="H2051" i="1"/>
  <c r="I2051" i="1"/>
  <c r="J2051" i="1"/>
  <c r="K2051" i="1"/>
  <c r="L2051" i="1"/>
  <c r="M2051" i="1"/>
  <c r="N2051" i="1"/>
  <c r="O2051" i="1"/>
  <c r="P2051" i="1"/>
  <c r="R2051" i="1"/>
  <c r="S2051" i="1"/>
  <c r="T2051" i="1"/>
  <c r="U2051" i="1"/>
  <c r="B2050" i="1"/>
  <c r="D2050" i="1"/>
  <c r="E2050" i="1"/>
  <c r="F2050" i="1"/>
  <c r="G2050" i="1"/>
  <c r="H2050" i="1"/>
  <c r="I2050" i="1"/>
  <c r="J2050" i="1"/>
  <c r="K2050" i="1"/>
  <c r="L2050" i="1"/>
  <c r="M2050" i="1"/>
  <c r="N2050" i="1"/>
  <c r="O2050" i="1"/>
  <c r="P2050" i="1"/>
  <c r="R2050" i="1"/>
  <c r="S2050" i="1"/>
  <c r="T2050" i="1"/>
  <c r="U2050" i="1"/>
  <c r="B2049" i="1"/>
  <c r="D2049" i="1"/>
  <c r="E2049" i="1"/>
  <c r="F2049" i="1"/>
  <c r="G2049" i="1"/>
  <c r="H2049" i="1"/>
  <c r="I2049" i="1"/>
  <c r="J2049" i="1"/>
  <c r="K2049" i="1"/>
  <c r="L2049" i="1"/>
  <c r="M2049" i="1"/>
  <c r="N2049" i="1"/>
  <c r="O2049" i="1"/>
  <c r="P2049" i="1"/>
  <c r="R2049" i="1"/>
  <c r="S2049" i="1"/>
  <c r="T2049" i="1"/>
  <c r="U2049" i="1"/>
  <c r="B2048" i="1"/>
  <c r="D2048" i="1"/>
  <c r="E2048" i="1"/>
  <c r="F2048" i="1"/>
  <c r="G2048" i="1"/>
  <c r="H2048" i="1"/>
  <c r="I2048" i="1"/>
  <c r="J2048" i="1"/>
  <c r="K2048" i="1"/>
  <c r="L2048" i="1"/>
  <c r="M2048" i="1"/>
  <c r="N2048" i="1"/>
  <c r="O2048" i="1"/>
  <c r="P2048" i="1"/>
  <c r="R2048" i="1"/>
  <c r="S2048" i="1"/>
  <c r="T2048" i="1"/>
  <c r="U2048" i="1"/>
  <c r="B2047" i="1"/>
  <c r="D2047" i="1"/>
  <c r="E2047" i="1"/>
  <c r="F2047" i="1"/>
  <c r="G2047" i="1"/>
  <c r="H2047" i="1"/>
  <c r="I2047" i="1"/>
  <c r="J2047" i="1"/>
  <c r="K2047" i="1"/>
  <c r="L2047" i="1"/>
  <c r="M2047" i="1"/>
  <c r="N2047" i="1"/>
  <c r="O2047" i="1"/>
  <c r="P2047" i="1"/>
  <c r="R2047" i="1"/>
  <c r="S2047" i="1"/>
  <c r="T2047" i="1"/>
  <c r="U2047" i="1"/>
  <c r="B2046" i="1"/>
  <c r="D2046" i="1"/>
  <c r="E2046" i="1"/>
  <c r="F2046" i="1"/>
  <c r="G2046" i="1"/>
  <c r="H2046" i="1"/>
  <c r="I2046" i="1"/>
  <c r="J2046" i="1"/>
  <c r="K2046" i="1"/>
  <c r="L2046" i="1"/>
  <c r="M2046" i="1"/>
  <c r="N2046" i="1"/>
  <c r="O2046" i="1"/>
  <c r="P2046" i="1"/>
  <c r="R2046" i="1"/>
  <c r="S2046" i="1"/>
  <c r="T2046" i="1"/>
  <c r="U2046" i="1"/>
  <c r="B2045" i="1"/>
  <c r="D2045" i="1"/>
  <c r="E2045" i="1"/>
  <c r="F2045" i="1"/>
  <c r="G2045" i="1"/>
  <c r="H2045" i="1"/>
  <c r="I2045" i="1"/>
  <c r="J2045" i="1"/>
  <c r="K2045" i="1"/>
  <c r="L2045" i="1"/>
  <c r="M2045" i="1"/>
  <c r="N2045" i="1"/>
  <c r="O2045" i="1"/>
  <c r="P2045" i="1"/>
  <c r="R2045" i="1"/>
  <c r="S2045" i="1"/>
  <c r="T2045" i="1"/>
  <c r="U2045" i="1"/>
  <c r="B2044" i="1"/>
  <c r="D2044" i="1"/>
  <c r="E2044" i="1"/>
  <c r="F2044" i="1"/>
  <c r="G2044" i="1"/>
  <c r="H2044" i="1"/>
  <c r="I2044" i="1"/>
  <c r="J2044" i="1"/>
  <c r="K2044" i="1"/>
  <c r="L2044" i="1"/>
  <c r="M2044" i="1"/>
  <c r="N2044" i="1"/>
  <c r="O2044" i="1"/>
  <c r="P2044" i="1"/>
  <c r="R2044" i="1"/>
  <c r="S2044" i="1"/>
  <c r="T2044" i="1"/>
  <c r="U2044" i="1"/>
  <c r="B2043" i="1"/>
  <c r="D2043" i="1"/>
  <c r="E2043" i="1"/>
  <c r="F2043" i="1"/>
  <c r="G2043" i="1"/>
  <c r="H2043" i="1"/>
  <c r="I2043" i="1"/>
  <c r="J2043" i="1"/>
  <c r="K2043" i="1"/>
  <c r="L2043" i="1"/>
  <c r="M2043" i="1"/>
  <c r="N2043" i="1"/>
  <c r="O2043" i="1"/>
  <c r="P2043" i="1"/>
  <c r="R2043" i="1"/>
  <c r="S2043" i="1"/>
  <c r="T2043" i="1"/>
  <c r="U2043" i="1"/>
  <c r="B2042" i="1"/>
  <c r="D2042" i="1"/>
  <c r="E2042" i="1"/>
  <c r="F2042" i="1"/>
  <c r="G2042" i="1"/>
  <c r="H2042" i="1"/>
  <c r="I2042" i="1"/>
  <c r="J2042" i="1"/>
  <c r="K2042" i="1"/>
  <c r="L2042" i="1"/>
  <c r="M2042" i="1"/>
  <c r="N2042" i="1"/>
  <c r="O2042" i="1"/>
  <c r="P2042" i="1"/>
  <c r="R2042" i="1"/>
  <c r="S2042" i="1"/>
  <c r="T2042" i="1"/>
  <c r="U2042" i="1"/>
  <c r="B2041" i="1"/>
  <c r="D2041" i="1"/>
  <c r="E2041" i="1"/>
  <c r="F2041" i="1"/>
  <c r="G2041" i="1"/>
  <c r="H2041" i="1"/>
  <c r="I2041" i="1"/>
  <c r="J2041" i="1"/>
  <c r="K2041" i="1"/>
  <c r="L2041" i="1"/>
  <c r="M2041" i="1"/>
  <c r="N2041" i="1"/>
  <c r="O2041" i="1"/>
  <c r="P2041" i="1"/>
  <c r="R2041" i="1"/>
  <c r="S2041" i="1"/>
  <c r="T2041" i="1"/>
  <c r="U2041" i="1"/>
  <c r="B2040" i="1"/>
  <c r="D2040" i="1"/>
  <c r="E2040" i="1"/>
  <c r="F2040" i="1"/>
  <c r="G2040" i="1"/>
  <c r="H2040" i="1"/>
  <c r="I2040" i="1"/>
  <c r="J2040" i="1"/>
  <c r="K2040" i="1"/>
  <c r="L2040" i="1"/>
  <c r="M2040" i="1"/>
  <c r="N2040" i="1"/>
  <c r="O2040" i="1"/>
  <c r="P2040" i="1"/>
  <c r="R2040" i="1"/>
  <c r="S2040" i="1"/>
  <c r="T2040" i="1"/>
  <c r="U2040" i="1"/>
  <c r="B2039" i="1"/>
  <c r="D2039" i="1"/>
  <c r="E2039" i="1"/>
  <c r="F2039" i="1"/>
  <c r="G2039" i="1"/>
  <c r="H2039" i="1"/>
  <c r="I2039" i="1"/>
  <c r="J2039" i="1"/>
  <c r="K2039" i="1"/>
  <c r="L2039" i="1"/>
  <c r="M2039" i="1"/>
  <c r="N2039" i="1"/>
  <c r="O2039" i="1"/>
  <c r="P2039" i="1"/>
  <c r="R2039" i="1"/>
  <c r="S2039" i="1"/>
  <c r="T2039" i="1"/>
  <c r="U2039" i="1"/>
  <c r="B2038" i="1"/>
  <c r="D2038" i="1"/>
  <c r="E2038" i="1"/>
  <c r="F2038" i="1"/>
  <c r="G2038" i="1"/>
  <c r="H2038" i="1"/>
  <c r="I2038" i="1"/>
  <c r="J2038" i="1"/>
  <c r="K2038" i="1"/>
  <c r="L2038" i="1"/>
  <c r="M2038" i="1"/>
  <c r="N2038" i="1"/>
  <c r="O2038" i="1"/>
  <c r="P2038" i="1"/>
  <c r="R2038" i="1"/>
  <c r="S2038" i="1"/>
  <c r="T2038" i="1"/>
  <c r="U2038" i="1"/>
  <c r="B2037" i="1"/>
  <c r="D2037" i="1"/>
  <c r="E2037" i="1"/>
  <c r="F2037" i="1"/>
  <c r="G2037" i="1"/>
  <c r="H2037" i="1"/>
  <c r="I2037" i="1"/>
  <c r="J2037" i="1"/>
  <c r="K2037" i="1"/>
  <c r="L2037" i="1"/>
  <c r="M2037" i="1"/>
  <c r="N2037" i="1"/>
  <c r="O2037" i="1"/>
  <c r="P2037" i="1"/>
  <c r="R2037" i="1"/>
  <c r="S2037" i="1"/>
  <c r="T2037" i="1"/>
  <c r="U2037" i="1"/>
  <c r="B2036" i="1"/>
  <c r="D2036" i="1"/>
  <c r="E2036" i="1"/>
  <c r="F2036" i="1"/>
  <c r="G2036" i="1"/>
  <c r="H2036" i="1"/>
  <c r="I2036" i="1"/>
  <c r="J2036" i="1"/>
  <c r="K2036" i="1"/>
  <c r="L2036" i="1"/>
  <c r="M2036" i="1"/>
  <c r="N2036" i="1"/>
  <c r="O2036" i="1"/>
  <c r="P2036" i="1"/>
  <c r="R2036" i="1"/>
  <c r="S2036" i="1"/>
  <c r="T2036" i="1"/>
  <c r="U2036" i="1"/>
  <c r="B2035" i="1"/>
  <c r="D2035" i="1"/>
  <c r="E2035" i="1"/>
  <c r="F2035" i="1"/>
  <c r="G2035" i="1"/>
  <c r="H2035" i="1"/>
  <c r="I2035" i="1"/>
  <c r="J2035" i="1"/>
  <c r="K2035" i="1"/>
  <c r="L2035" i="1"/>
  <c r="M2035" i="1"/>
  <c r="N2035" i="1"/>
  <c r="O2035" i="1"/>
  <c r="P2035" i="1"/>
  <c r="R2035" i="1"/>
  <c r="S2035" i="1"/>
  <c r="T2035" i="1"/>
  <c r="U2035" i="1"/>
  <c r="B2034" i="1"/>
  <c r="D2034" i="1"/>
  <c r="E2034" i="1"/>
  <c r="F2034" i="1"/>
  <c r="G2034" i="1"/>
  <c r="H2034" i="1"/>
  <c r="I2034" i="1"/>
  <c r="J2034" i="1"/>
  <c r="K2034" i="1"/>
  <c r="L2034" i="1"/>
  <c r="M2034" i="1"/>
  <c r="N2034" i="1"/>
  <c r="O2034" i="1"/>
  <c r="P2034" i="1"/>
  <c r="R2034" i="1"/>
  <c r="S2034" i="1"/>
  <c r="T2034" i="1"/>
  <c r="U2034" i="1"/>
  <c r="B2033" i="1"/>
  <c r="D2033" i="1"/>
  <c r="E2033" i="1"/>
  <c r="F2033" i="1"/>
  <c r="G2033" i="1"/>
  <c r="H2033" i="1"/>
  <c r="I2033" i="1"/>
  <c r="J2033" i="1"/>
  <c r="K2033" i="1"/>
  <c r="L2033" i="1"/>
  <c r="M2033" i="1"/>
  <c r="N2033" i="1"/>
  <c r="O2033" i="1"/>
  <c r="P2033" i="1"/>
  <c r="R2033" i="1"/>
  <c r="S2033" i="1"/>
  <c r="T2033" i="1"/>
  <c r="U2033" i="1"/>
  <c r="B2032" i="1"/>
  <c r="D2032" i="1"/>
  <c r="E2032" i="1"/>
  <c r="F2032" i="1"/>
  <c r="G2032" i="1"/>
  <c r="H2032" i="1"/>
  <c r="I2032" i="1"/>
  <c r="J2032" i="1"/>
  <c r="K2032" i="1"/>
  <c r="L2032" i="1"/>
  <c r="M2032" i="1"/>
  <c r="N2032" i="1"/>
  <c r="O2032" i="1"/>
  <c r="P2032" i="1"/>
  <c r="R2032" i="1"/>
  <c r="S2032" i="1"/>
  <c r="T2032" i="1"/>
  <c r="U2032" i="1"/>
  <c r="B2031" i="1"/>
  <c r="D2031" i="1"/>
  <c r="E2031" i="1"/>
  <c r="F2031" i="1"/>
  <c r="G2031" i="1"/>
  <c r="H2031" i="1"/>
  <c r="I2031" i="1"/>
  <c r="J2031" i="1"/>
  <c r="K2031" i="1"/>
  <c r="L2031" i="1"/>
  <c r="M2031" i="1"/>
  <c r="N2031" i="1"/>
  <c r="O2031" i="1"/>
  <c r="P2031" i="1"/>
  <c r="R2031" i="1"/>
  <c r="S2031" i="1"/>
  <c r="T2031" i="1"/>
  <c r="U2031" i="1"/>
  <c r="B2030" i="1"/>
  <c r="D2030" i="1"/>
  <c r="E2030" i="1"/>
  <c r="F2030" i="1"/>
  <c r="G2030" i="1"/>
  <c r="H2030" i="1"/>
  <c r="I2030" i="1"/>
  <c r="J2030" i="1"/>
  <c r="K2030" i="1"/>
  <c r="L2030" i="1"/>
  <c r="M2030" i="1"/>
  <c r="N2030" i="1"/>
  <c r="O2030" i="1"/>
  <c r="P2030" i="1"/>
  <c r="R2030" i="1"/>
  <c r="S2030" i="1"/>
  <c r="T2030" i="1"/>
  <c r="U2030" i="1"/>
  <c r="B2029" i="1"/>
  <c r="D2029" i="1"/>
  <c r="E2029" i="1"/>
  <c r="F2029" i="1"/>
  <c r="G2029" i="1"/>
  <c r="H2029" i="1"/>
  <c r="I2029" i="1"/>
  <c r="J2029" i="1"/>
  <c r="K2029" i="1"/>
  <c r="L2029" i="1"/>
  <c r="M2029" i="1"/>
  <c r="N2029" i="1"/>
  <c r="O2029" i="1"/>
  <c r="P2029" i="1"/>
  <c r="R2029" i="1"/>
  <c r="S2029" i="1"/>
  <c r="T2029" i="1"/>
  <c r="U2029" i="1"/>
  <c r="B2028" i="1"/>
  <c r="D2028" i="1"/>
  <c r="E2028" i="1"/>
  <c r="F2028" i="1"/>
  <c r="G2028" i="1"/>
  <c r="H2028" i="1"/>
  <c r="I2028" i="1"/>
  <c r="J2028" i="1"/>
  <c r="K2028" i="1"/>
  <c r="L2028" i="1"/>
  <c r="M2028" i="1"/>
  <c r="N2028" i="1"/>
  <c r="O2028" i="1"/>
  <c r="P2028" i="1"/>
  <c r="R2028" i="1"/>
  <c r="S2028" i="1"/>
  <c r="T2028" i="1"/>
  <c r="U2028" i="1"/>
  <c r="B2027" i="1"/>
  <c r="D2027" i="1"/>
  <c r="E2027" i="1"/>
  <c r="F2027" i="1"/>
  <c r="G2027" i="1"/>
  <c r="H2027" i="1"/>
  <c r="I2027" i="1"/>
  <c r="J2027" i="1"/>
  <c r="K2027" i="1"/>
  <c r="L2027" i="1"/>
  <c r="M2027" i="1"/>
  <c r="N2027" i="1"/>
  <c r="O2027" i="1"/>
  <c r="P2027" i="1"/>
  <c r="R2027" i="1"/>
  <c r="S2027" i="1"/>
  <c r="T2027" i="1"/>
  <c r="U2027" i="1"/>
  <c r="B2026" i="1"/>
  <c r="D2026" i="1"/>
  <c r="E2026" i="1"/>
  <c r="F2026" i="1"/>
  <c r="G2026" i="1"/>
  <c r="H2026" i="1"/>
  <c r="I2026" i="1"/>
  <c r="J2026" i="1"/>
  <c r="K2026" i="1"/>
  <c r="L2026" i="1"/>
  <c r="M2026" i="1"/>
  <c r="N2026" i="1"/>
  <c r="O2026" i="1"/>
  <c r="P2026" i="1"/>
  <c r="R2026" i="1"/>
  <c r="S2026" i="1"/>
  <c r="T2026" i="1"/>
  <c r="U2026" i="1"/>
  <c r="B2025" i="1"/>
  <c r="D2025" i="1"/>
  <c r="E2025" i="1"/>
  <c r="F2025" i="1"/>
  <c r="G2025" i="1"/>
  <c r="H2025" i="1"/>
  <c r="I2025" i="1"/>
  <c r="J2025" i="1"/>
  <c r="K2025" i="1"/>
  <c r="L2025" i="1"/>
  <c r="M2025" i="1"/>
  <c r="N2025" i="1"/>
  <c r="O2025" i="1"/>
  <c r="P2025" i="1"/>
  <c r="R2025" i="1"/>
  <c r="S2025" i="1"/>
  <c r="T2025" i="1"/>
  <c r="U2025" i="1"/>
  <c r="B2024" i="1"/>
  <c r="D2024" i="1"/>
  <c r="E2024" i="1"/>
  <c r="F2024" i="1"/>
  <c r="G2024" i="1"/>
  <c r="H2024" i="1"/>
  <c r="I2024" i="1"/>
  <c r="J2024" i="1"/>
  <c r="K2024" i="1"/>
  <c r="L2024" i="1"/>
  <c r="M2024" i="1"/>
  <c r="N2024" i="1"/>
  <c r="O2024" i="1"/>
  <c r="P2024" i="1"/>
  <c r="R2024" i="1"/>
  <c r="S2024" i="1"/>
  <c r="T2024" i="1"/>
  <c r="U2024" i="1"/>
  <c r="B2023" i="1"/>
  <c r="D2023" i="1"/>
  <c r="E2023" i="1"/>
  <c r="F2023" i="1"/>
  <c r="G2023" i="1"/>
  <c r="H2023" i="1"/>
  <c r="I2023" i="1"/>
  <c r="J2023" i="1"/>
  <c r="K2023" i="1"/>
  <c r="L2023" i="1"/>
  <c r="M2023" i="1"/>
  <c r="N2023" i="1"/>
  <c r="O2023" i="1"/>
  <c r="P2023" i="1"/>
  <c r="R2023" i="1"/>
  <c r="S2023" i="1"/>
  <c r="T2023" i="1"/>
  <c r="U2023" i="1"/>
  <c r="B2022" i="1"/>
  <c r="D2022" i="1"/>
  <c r="E2022" i="1"/>
  <c r="F2022" i="1"/>
  <c r="G2022" i="1"/>
  <c r="H2022" i="1"/>
  <c r="I2022" i="1"/>
  <c r="J2022" i="1"/>
  <c r="K2022" i="1"/>
  <c r="L2022" i="1"/>
  <c r="M2022" i="1"/>
  <c r="N2022" i="1"/>
  <c r="O2022" i="1"/>
  <c r="P2022" i="1"/>
  <c r="R2022" i="1"/>
  <c r="S2022" i="1"/>
  <c r="T2022" i="1"/>
  <c r="U2022" i="1"/>
  <c r="B2021" i="1"/>
  <c r="D2021" i="1"/>
  <c r="E2021" i="1"/>
  <c r="F2021" i="1"/>
  <c r="G2021" i="1"/>
  <c r="H2021" i="1"/>
  <c r="I2021" i="1"/>
  <c r="J2021" i="1"/>
  <c r="K2021" i="1"/>
  <c r="L2021" i="1"/>
  <c r="M2021" i="1"/>
  <c r="N2021" i="1"/>
  <c r="O2021" i="1"/>
  <c r="P2021" i="1"/>
  <c r="R2021" i="1"/>
  <c r="S2021" i="1"/>
  <c r="T2021" i="1"/>
  <c r="U2021" i="1"/>
  <c r="B2020" i="1"/>
  <c r="D2020" i="1"/>
  <c r="E2020" i="1"/>
  <c r="F2020" i="1"/>
  <c r="G2020" i="1"/>
  <c r="H2020" i="1"/>
  <c r="I2020" i="1"/>
  <c r="J2020" i="1"/>
  <c r="K2020" i="1"/>
  <c r="L2020" i="1"/>
  <c r="M2020" i="1"/>
  <c r="N2020" i="1"/>
  <c r="O2020" i="1"/>
  <c r="P2020" i="1"/>
  <c r="R2020" i="1"/>
  <c r="S2020" i="1"/>
  <c r="T2020" i="1"/>
  <c r="U2020" i="1"/>
  <c r="B2019" i="1"/>
  <c r="D2019" i="1"/>
  <c r="E2019" i="1"/>
  <c r="F2019" i="1"/>
  <c r="G2019" i="1"/>
  <c r="H2019" i="1"/>
  <c r="I2019" i="1"/>
  <c r="J2019" i="1"/>
  <c r="K2019" i="1"/>
  <c r="L2019" i="1"/>
  <c r="M2019" i="1"/>
  <c r="N2019" i="1"/>
  <c r="O2019" i="1"/>
  <c r="P2019" i="1"/>
  <c r="R2019" i="1"/>
  <c r="S2019" i="1"/>
  <c r="T2019" i="1"/>
  <c r="U2019" i="1"/>
  <c r="B2018" i="1"/>
  <c r="D2018" i="1"/>
  <c r="E2018" i="1"/>
  <c r="F2018" i="1"/>
  <c r="G2018" i="1"/>
  <c r="H2018" i="1"/>
  <c r="I2018" i="1"/>
  <c r="J2018" i="1"/>
  <c r="K2018" i="1"/>
  <c r="L2018" i="1"/>
  <c r="M2018" i="1"/>
  <c r="N2018" i="1"/>
  <c r="O2018" i="1"/>
  <c r="P2018" i="1"/>
  <c r="R2018" i="1"/>
  <c r="S2018" i="1"/>
  <c r="T2018" i="1"/>
  <c r="U2018" i="1"/>
  <c r="B2017" i="1"/>
  <c r="D2017" i="1"/>
  <c r="E2017" i="1"/>
  <c r="F2017" i="1"/>
  <c r="G2017" i="1"/>
  <c r="H2017" i="1"/>
  <c r="I2017" i="1"/>
  <c r="J2017" i="1"/>
  <c r="K2017" i="1"/>
  <c r="L2017" i="1"/>
  <c r="M2017" i="1"/>
  <c r="N2017" i="1"/>
  <c r="O2017" i="1"/>
  <c r="P2017" i="1"/>
  <c r="R2017" i="1"/>
  <c r="S2017" i="1"/>
  <c r="T2017" i="1"/>
  <c r="U2017" i="1"/>
  <c r="B2016" i="1"/>
  <c r="D2016" i="1"/>
  <c r="E2016" i="1"/>
  <c r="F2016" i="1"/>
  <c r="G2016" i="1"/>
  <c r="H2016" i="1"/>
  <c r="I2016" i="1"/>
  <c r="J2016" i="1"/>
  <c r="K2016" i="1"/>
  <c r="L2016" i="1"/>
  <c r="M2016" i="1"/>
  <c r="N2016" i="1"/>
  <c r="O2016" i="1"/>
  <c r="P2016" i="1"/>
  <c r="R2016" i="1"/>
  <c r="S2016" i="1"/>
  <c r="T2016" i="1"/>
  <c r="U2016" i="1"/>
  <c r="B2015" i="1"/>
  <c r="D2015" i="1"/>
  <c r="E2015" i="1"/>
  <c r="F2015" i="1"/>
  <c r="G2015" i="1"/>
  <c r="H2015" i="1"/>
  <c r="I2015" i="1"/>
  <c r="J2015" i="1"/>
  <c r="K2015" i="1"/>
  <c r="L2015" i="1"/>
  <c r="M2015" i="1"/>
  <c r="N2015" i="1"/>
  <c r="O2015" i="1"/>
  <c r="P2015" i="1"/>
  <c r="R2015" i="1"/>
  <c r="S2015" i="1"/>
  <c r="T2015" i="1"/>
  <c r="U2015" i="1"/>
  <c r="B2014" i="1"/>
  <c r="D2014" i="1"/>
  <c r="E2014" i="1"/>
  <c r="F2014" i="1"/>
  <c r="G2014" i="1"/>
  <c r="H2014" i="1"/>
  <c r="I2014" i="1"/>
  <c r="J2014" i="1"/>
  <c r="K2014" i="1"/>
  <c r="L2014" i="1"/>
  <c r="M2014" i="1"/>
  <c r="N2014" i="1"/>
  <c r="O2014" i="1"/>
  <c r="P2014" i="1"/>
  <c r="R2014" i="1"/>
  <c r="S2014" i="1"/>
  <c r="T2014" i="1"/>
  <c r="U2014" i="1"/>
  <c r="B2013" i="1"/>
  <c r="D2013" i="1"/>
  <c r="E2013" i="1"/>
  <c r="F2013" i="1"/>
  <c r="G2013" i="1"/>
  <c r="H2013" i="1"/>
  <c r="I2013" i="1"/>
  <c r="J2013" i="1"/>
  <c r="K2013" i="1"/>
  <c r="L2013" i="1"/>
  <c r="M2013" i="1"/>
  <c r="N2013" i="1"/>
  <c r="O2013" i="1"/>
  <c r="P2013" i="1"/>
  <c r="R2013" i="1"/>
  <c r="S2013" i="1"/>
  <c r="T2013" i="1"/>
  <c r="U2013" i="1"/>
  <c r="B2012" i="1"/>
  <c r="D2012" i="1"/>
  <c r="E2012" i="1"/>
  <c r="F2012" i="1"/>
  <c r="G2012" i="1"/>
  <c r="H2012" i="1"/>
  <c r="I2012" i="1"/>
  <c r="J2012" i="1"/>
  <c r="K2012" i="1"/>
  <c r="L2012" i="1"/>
  <c r="M2012" i="1"/>
  <c r="N2012" i="1"/>
  <c r="O2012" i="1"/>
  <c r="P2012" i="1"/>
  <c r="R2012" i="1"/>
  <c r="S2012" i="1"/>
  <c r="T2012" i="1"/>
  <c r="U2012" i="1"/>
  <c r="B2011" i="1"/>
  <c r="D2011" i="1"/>
  <c r="E2011" i="1"/>
  <c r="F2011" i="1"/>
  <c r="G2011" i="1"/>
  <c r="H2011" i="1"/>
  <c r="I2011" i="1"/>
  <c r="J2011" i="1"/>
  <c r="K2011" i="1"/>
  <c r="L2011" i="1"/>
  <c r="M2011" i="1"/>
  <c r="N2011" i="1"/>
  <c r="O2011" i="1"/>
  <c r="P2011" i="1"/>
  <c r="R2011" i="1"/>
  <c r="S2011" i="1"/>
  <c r="T2011" i="1"/>
  <c r="U2011" i="1"/>
  <c r="B2010" i="1"/>
  <c r="D2010" i="1"/>
  <c r="E2010" i="1"/>
  <c r="F2010" i="1"/>
  <c r="G2010" i="1"/>
  <c r="H2010" i="1"/>
  <c r="I2010" i="1"/>
  <c r="J2010" i="1"/>
  <c r="K2010" i="1"/>
  <c r="L2010" i="1"/>
  <c r="M2010" i="1"/>
  <c r="N2010" i="1"/>
  <c r="O2010" i="1"/>
  <c r="P2010" i="1"/>
  <c r="R2010" i="1"/>
  <c r="S2010" i="1"/>
  <c r="T2010" i="1"/>
  <c r="U2010" i="1"/>
  <c r="B2009" i="1"/>
  <c r="D2009" i="1"/>
  <c r="E2009" i="1"/>
  <c r="F2009" i="1"/>
  <c r="G2009" i="1"/>
  <c r="H2009" i="1"/>
  <c r="I2009" i="1"/>
  <c r="J2009" i="1"/>
  <c r="K2009" i="1"/>
  <c r="L2009" i="1"/>
  <c r="M2009" i="1"/>
  <c r="N2009" i="1"/>
  <c r="O2009" i="1"/>
  <c r="P2009" i="1"/>
  <c r="R2009" i="1"/>
  <c r="S2009" i="1"/>
  <c r="T2009" i="1"/>
  <c r="U2009" i="1"/>
  <c r="B2008" i="1"/>
  <c r="D2008" i="1"/>
  <c r="E2008" i="1"/>
  <c r="F2008" i="1"/>
  <c r="G2008" i="1"/>
  <c r="H2008" i="1"/>
  <c r="I2008" i="1"/>
  <c r="J2008" i="1"/>
  <c r="K2008" i="1"/>
  <c r="L2008" i="1"/>
  <c r="M2008" i="1"/>
  <c r="N2008" i="1"/>
  <c r="O2008" i="1"/>
  <c r="P2008" i="1"/>
  <c r="R2008" i="1"/>
  <c r="S2008" i="1"/>
  <c r="T2008" i="1"/>
  <c r="U2008" i="1"/>
  <c r="B2007" i="1"/>
  <c r="D2007" i="1"/>
  <c r="E2007" i="1"/>
  <c r="F2007" i="1"/>
  <c r="G2007" i="1"/>
  <c r="H2007" i="1"/>
  <c r="I2007" i="1"/>
  <c r="J2007" i="1"/>
  <c r="K2007" i="1"/>
  <c r="L2007" i="1"/>
  <c r="M2007" i="1"/>
  <c r="N2007" i="1"/>
  <c r="O2007" i="1"/>
  <c r="P2007" i="1"/>
  <c r="R2007" i="1"/>
  <c r="S2007" i="1"/>
  <c r="T2007" i="1"/>
  <c r="U2007" i="1"/>
  <c r="B2006" i="1"/>
  <c r="D2006" i="1"/>
  <c r="E2006" i="1"/>
  <c r="F2006" i="1"/>
  <c r="G2006" i="1"/>
  <c r="H2006" i="1"/>
  <c r="I2006" i="1"/>
  <c r="J2006" i="1"/>
  <c r="K2006" i="1"/>
  <c r="L2006" i="1"/>
  <c r="M2006" i="1"/>
  <c r="N2006" i="1"/>
  <c r="O2006" i="1"/>
  <c r="P2006" i="1"/>
  <c r="R2006" i="1"/>
  <c r="S2006" i="1"/>
  <c r="T2006" i="1"/>
  <c r="U2006" i="1"/>
  <c r="B2005" i="1"/>
  <c r="D2005" i="1"/>
  <c r="E2005" i="1"/>
  <c r="F2005" i="1"/>
  <c r="G2005" i="1"/>
  <c r="H2005" i="1"/>
  <c r="I2005" i="1"/>
  <c r="J2005" i="1"/>
  <c r="K2005" i="1"/>
  <c r="L2005" i="1"/>
  <c r="M2005" i="1"/>
  <c r="N2005" i="1"/>
  <c r="O2005" i="1"/>
  <c r="P2005" i="1"/>
  <c r="R2005" i="1"/>
  <c r="S2005" i="1"/>
  <c r="T2005" i="1"/>
  <c r="U2005" i="1"/>
  <c r="B2004" i="1"/>
  <c r="D2004" i="1"/>
  <c r="E2004" i="1"/>
  <c r="F2004" i="1"/>
  <c r="G2004" i="1"/>
  <c r="H2004" i="1"/>
  <c r="I2004" i="1"/>
  <c r="J2004" i="1"/>
  <c r="K2004" i="1"/>
  <c r="L2004" i="1"/>
  <c r="M2004" i="1"/>
  <c r="N2004" i="1"/>
  <c r="O2004" i="1"/>
  <c r="P2004" i="1"/>
  <c r="R2004" i="1"/>
  <c r="S2004" i="1"/>
  <c r="T2004" i="1"/>
  <c r="U2004" i="1"/>
  <c r="B2003" i="1"/>
  <c r="D2003" i="1"/>
  <c r="E2003" i="1"/>
  <c r="F2003" i="1"/>
  <c r="G2003" i="1"/>
  <c r="H2003" i="1"/>
  <c r="I2003" i="1"/>
  <c r="J2003" i="1"/>
  <c r="K2003" i="1"/>
  <c r="L2003" i="1"/>
  <c r="M2003" i="1"/>
  <c r="N2003" i="1"/>
  <c r="O2003" i="1"/>
  <c r="P2003" i="1"/>
  <c r="R2003" i="1"/>
  <c r="S2003" i="1"/>
  <c r="T2003" i="1"/>
  <c r="U2003" i="1"/>
  <c r="B2002" i="1"/>
  <c r="D2002" i="1"/>
  <c r="E2002" i="1"/>
  <c r="F2002" i="1"/>
  <c r="G2002" i="1"/>
  <c r="H2002" i="1"/>
  <c r="I2002" i="1"/>
  <c r="J2002" i="1"/>
  <c r="K2002" i="1"/>
  <c r="L2002" i="1"/>
  <c r="M2002" i="1"/>
  <c r="N2002" i="1"/>
  <c r="O2002" i="1"/>
  <c r="P2002" i="1"/>
  <c r="R2002" i="1"/>
  <c r="S2002" i="1"/>
  <c r="T2002" i="1"/>
  <c r="U2002" i="1"/>
  <c r="B2001" i="1"/>
  <c r="D2001" i="1"/>
  <c r="E2001" i="1"/>
  <c r="F2001" i="1"/>
  <c r="G2001" i="1"/>
  <c r="H2001" i="1"/>
  <c r="I2001" i="1"/>
  <c r="J2001" i="1"/>
  <c r="K2001" i="1"/>
  <c r="L2001" i="1"/>
  <c r="M2001" i="1"/>
  <c r="N2001" i="1"/>
  <c r="O2001" i="1"/>
  <c r="P2001" i="1"/>
  <c r="R2001" i="1"/>
  <c r="S2001" i="1"/>
  <c r="T2001" i="1"/>
  <c r="U2001" i="1"/>
  <c r="B2000" i="1"/>
  <c r="D2000" i="1"/>
  <c r="E2000" i="1"/>
  <c r="F2000" i="1"/>
  <c r="G2000" i="1"/>
  <c r="H2000" i="1"/>
  <c r="I2000" i="1"/>
  <c r="J2000" i="1"/>
  <c r="K2000" i="1"/>
  <c r="L2000" i="1"/>
  <c r="M2000" i="1"/>
  <c r="N2000" i="1"/>
  <c r="O2000" i="1"/>
  <c r="P2000" i="1"/>
  <c r="R2000" i="1"/>
  <c r="S2000" i="1"/>
  <c r="T2000" i="1"/>
  <c r="U2000" i="1"/>
  <c r="B1999" i="1"/>
  <c r="D1999" i="1"/>
  <c r="E1999" i="1"/>
  <c r="F1999" i="1"/>
  <c r="G1999" i="1"/>
  <c r="H1999" i="1"/>
  <c r="I1999" i="1"/>
  <c r="J1999" i="1"/>
  <c r="K1999" i="1"/>
  <c r="L1999" i="1"/>
  <c r="M1999" i="1"/>
  <c r="N1999" i="1"/>
  <c r="O1999" i="1"/>
  <c r="P1999" i="1"/>
  <c r="R1999" i="1"/>
  <c r="S1999" i="1"/>
  <c r="T1999" i="1"/>
  <c r="U1999" i="1"/>
  <c r="B1998" i="1"/>
  <c r="D1998" i="1"/>
  <c r="E1998" i="1"/>
  <c r="F1998" i="1"/>
  <c r="G1998" i="1"/>
  <c r="H1998" i="1"/>
  <c r="I1998" i="1"/>
  <c r="J1998" i="1"/>
  <c r="K1998" i="1"/>
  <c r="L1998" i="1"/>
  <c r="M1998" i="1"/>
  <c r="N1998" i="1"/>
  <c r="O1998" i="1"/>
  <c r="P1998" i="1"/>
  <c r="R1998" i="1"/>
  <c r="S1998" i="1"/>
  <c r="T1998" i="1"/>
  <c r="U1998" i="1"/>
  <c r="B1997" i="1"/>
  <c r="D1997" i="1"/>
  <c r="E1997" i="1"/>
  <c r="F1997" i="1"/>
  <c r="G1997" i="1"/>
  <c r="H1997" i="1"/>
  <c r="I1997" i="1"/>
  <c r="J1997" i="1"/>
  <c r="K1997" i="1"/>
  <c r="L1997" i="1"/>
  <c r="M1997" i="1"/>
  <c r="N1997" i="1"/>
  <c r="O1997" i="1"/>
  <c r="P1997" i="1"/>
  <c r="R1997" i="1"/>
  <c r="S1997" i="1"/>
  <c r="T1997" i="1"/>
  <c r="U1997" i="1"/>
  <c r="B1996" i="1"/>
  <c r="D1996" i="1"/>
  <c r="E1996" i="1"/>
  <c r="F1996" i="1"/>
  <c r="G1996" i="1"/>
  <c r="H1996" i="1"/>
  <c r="I1996" i="1"/>
  <c r="J1996" i="1"/>
  <c r="K1996" i="1"/>
  <c r="L1996" i="1"/>
  <c r="M1996" i="1"/>
  <c r="N1996" i="1"/>
  <c r="O1996" i="1"/>
  <c r="P1996" i="1"/>
  <c r="R1996" i="1"/>
  <c r="S1996" i="1"/>
  <c r="T1996" i="1"/>
  <c r="U1996" i="1"/>
  <c r="B1995" i="1"/>
  <c r="D1995" i="1"/>
  <c r="E1995" i="1"/>
  <c r="F1995" i="1"/>
  <c r="G1995" i="1"/>
  <c r="H1995" i="1"/>
  <c r="I1995" i="1"/>
  <c r="J1995" i="1"/>
  <c r="K1995" i="1"/>
  <c r="L1995" i="1"/>
  <c r="M1995" i="1"/>
  <c r="N1995" i="1"/>
  <c r="O1995" i="1"/>
  <c r="P1995" i="1"/>
  <c r="R1995" i="1"/>
  <c r="S1995" i="1"/>
  <c r="T1995" i="1"/>
  <c r="U1995" i="1"/>
  <c r="B1994" i="1"/>
  <c r="D1994" i="1"/>
  <c r="E1994" i="1"/>
  <c r="F1994" i="1"/>
  <c r="G1994" i="1"/>
  <c r="H1994" i="1"/>
  <c r="I1994" i="1"/>
  <c r="J1994" i="1"/>
  <c r="K1994" i="1"/>
  <c r="L1994" i="1"/>
  <c r="M1994" i="1"/>
  <c r="N1994" i="1"/>
  <c r="O1994" i="1"/>
  <c r="P1994" i="1"/>
  <c r="R1994" i="1"/>
  <c r="S1994" i="1"/>
  <c r="T1994" i="1"/>
  <c r="U1994" i="1"/>
  <c r="B1993" i="1"/>
  <c r="D1993" i="1"/>
  <c r="E1993" i="1"/>
  <c r="F1993" i="1"/>
  <c r="G1993" i="1"/>
  <c r="H1993" i="1"/>
  <c r="I1993" i="1"/>
  <c r="J1993" i="1"/>
  <c r="K1993" i="1"/>
  <c r="L1993" i="1"/>
  <c r="M1993" i="1"/>
  <c r="N1993" i="1"/>
  <c r="O1993" i="1"/>
  <c r="P1993" i="1"/>
  <c r="R1993" i="1"/>
  <c r="S1993" i="1"/>
  <c r="T1993" i="1"/>
  <c r="U1993" i="1"/>
  <c r="B1992" i="1"/>
  <c r="D1992" i="1"/>
  <c r="E1992" i="1"/>
  <c r="F1992" i="1"/>
  <c r="G1992" i="1"/>
  <c r="H1992" i="1"/>
  <c r="I1992" i="1"/>
  <c r="J1992" i="1"/>
  <c r="K1992" i="1"/>
  <c r="L1992" i="1"/>
  <c r="M1992" i="1"/>
  <c r="N1992" i="1"/>
  <c r="O1992" i="1"/>
  <c r="P1992" i="1"/>
  <c r="R1992" i="1"/>
  <c r="S1992" i="1"/>
  <c r="T1992" i="1"/>
  <c r="U1992" i="1"/>
  <c r="B1991" i="1"/>
  <c r="D1991" i="1"/>
  <c r="E1991" i="1"/>
  <c r="F1991" i="1"/>
  <c r="G1991" i="1"/>
  <c r="H1991" i="1"/>
  <c r="I1991" i="1"/>
  <c r="J1991" i="1"/>
  <c r="K1991" i="1"/>
  <c r="L1991" i="1"/>
  <c r="M1991" i="1"/>
  <c r="N1991" i="1"/>
  <c r="O1991" i="1"/>
  <c r="P1991" i="1"/>
  <c r="R1991" i="1"/>
  <c r="S1991" i="1"/>
  <c r="T1991" i="1"/>
  <c r="U1991" i="1"/>
  <c r="B1990" i="1"/>
  <c r="D1990" i="1"/>
  <c r="E1990" i="1"/>
  <c r="F1990" i="1"/>
  <c r="G1990" i="1"/>
  <c r="H1990" i="1"/>
  <c r="I1990" i="1"/>
  <c r="J1990" i="1"/>
  <c r="K1990" i="1"/>
  <c r="L1990" i="1"/>
  <c r="M1990" i="1"/>
  <c r="N1990" i="1"/>
  <c r="O1990" i="1"/>
  <c r="P1990" i="1"/>
  <c r="R1990" i="1"/>
  <c r="S1990" i="1"/>
  <c r="T1990" i="1"/>
  <c r="U1990" i="1"/>
  <c r="B1989" i="1"/>
  <c r="D1989" i="1"/>
  <c r="E1989" i="1"/>
  <c r="F1989" i="1"/>
  <c r="G1989" i="1"/>
  <c r="H1989" i="1"/>
  <c r="I1989" i="1"/>
  <c r="J1989" i="1"/>
  <c r="K1989" i="1"/>
  <c r="L1989" i="1"/>
  <c r="M1989" i="1"/>
  <c r="N1989" i="1"/>
  <c r="O1989" i="1"/>
  <c r="P1989" i="1"/>
  <c r="R1989" i="1"/>
  <c r="S1989" i="1"/>
  <c r="T1989" i="1"/>
  <c r="U1989" i="1"/>
  <c r="B1988" i="1"/>
  <c r="D1988" i="1"/>
  <c r="E1988" i="1"/>
  <c r="F1988" i="1"/>
  <c r="G1988" i="1"/>
  <c r="H1988" i="1"/>
  <c r="I1988" i="1"/>
  <c r="J1988" i="1"/>
  <c r="K1988" i="1"/>
  <c r="L1988" i="1"/>
  <c r="M1988" i="1"/>
  <c r="N1988" i="1"/>
  <c r="O1988" i="1"/>
  <c r="P1988" i="1"/>
  <c r="R1988" i="1"/>
  <c r="S1988" i="1"/>
  <c r="T1988" i="1"/>
  <c r="U1988" i="1"/>
  <c r="B1987" i="1"/>
  <c r="D1987" i="1"/>
  <c r="E1987" i="1"/>
  <c r="F1987" i="1"/>
  <c r="G1987" i="1"/>
  <c r="H1987" i="1"/>
  <c r="I1987" i="1"/>
  <c r="J1987" i="1"/>
  <c r="K1987" i="1"/>
  <c r="L1987" i="1"/>
  <c r="M1987" i="1"/>
  <c r="N1987" i="1"/>
  <c r="O1987" i="1"/>
  <c r="P1987" i="1"/>
  <c r="R1987" i="1"/>
  <c r="S1987" i="1"/>
  <c r="T1987" i="1"/>
  <c r="U1987" i="1"/>
  <c r="B1986" i="1"/>
  <c r="D1986" i="1"/>
  <c r="E1986" i="1"/>
  <c r="F1986" i="1"/>
  <c r="G1986" i="1"/>
  <c r="H1986" i="1"/>
  <c r="I1986" i="1"/>
  <c r="J1986" i="1"/>
  <c r="K1986" i="1"/>
  <c r="L1986" i="1"/>
  <c r="M1986" i="1"/>
  <c r="N1986" i="1"/>
  <c r="O1986" i="1"/>
  <c r="P1986" i="1"/>
  <c r="R1986" i="1"/>
  <c r="S1986" i="1"/>
  <c r="T1986" i="1"/>
  <c r="U1986" i="1"/>
  <c r="B1985" i="1"/>
  <c r="D1985" i="1"/>
  <c r="E1985" i="1"/>
  <c r="F1985" i="1"/>
  <c r="G1985" i="1"/>
  <c r="H1985" i="1"/>
  <c r="I1985" i="1"/>
  <c r="J1985" i="1"/>
  <c r="K1985" i="1"/>
  <c r="L1985" i="1"/>
  <c r="M1985" i="1"/>
  <c r="N1985" i="1"/>
  <c r="O1985" i="1"/>
  <c r="P1985" i="1"/>
  <c r="R1985" i="1"/>
  <c r="S1985" i="1"/>
  <c r="T1985" i="1"/>
  <c r="U1985" i="1"/>
  <c r="B1984" i="1"/>
  <c r="D1984" i="1"/>
  <c r="E1984" i="1"/>
  <c r="F1984" i="1"/>
  <c r="G1984" i="1"/>
  <c r="H1984" i="1"/>
  <c r="I1984" i="1"/>
  <c r="J1984" i="1"/>
  <c r="K1984" i="1"/>
  <c r="L1984" i="1"/>
  <c r="M1984" i="1"/>
  <c r="N1984" i="1"/>
  <c r="O1984" i="1"/>
  <c r="P1984" i="1"/>
  <c r="R1984" i="1"/>
  <c r="S1984" i="1"/>
  <c r="T1984" i="1"/>
  <c r="U1984" i="1"/>
  <c r="B1983" i="1"/>
  <c r="D1983" i="1"/>
  <c r="E1983" i="1"/>
  <c r="F1983" i="1"/>
  <c r="G1983" i="1"/>
  <c r="H1983" i="1"/>
  <c r="I1983" i="1"/>
  <c r="J1983" i="1"/>
  <c r="K1983" i="1"/>
  <c r="L1983" i="1"/>
  <c r="M1983" i="1"/>
  <c r="N1983" i="1"/>
  <c r="O1983" i="1"/>
  <c r="P1983" i="1"/>
  <c r="R1983" i="1"/>
  <c r="S1983" i="1"/>
  <c r="T1983" i="1"/>
  <c r="U1983" i="1"/>
  <c r="B1982" i="1"/>
  <c r="D1982" i="1"/>
  <c r="E1982" i="1"/>
  <c r="F1982" i="1"/>
  <c r="G1982" i="1"/>
  <c r="H1982" i="1"/>
  <c r="I1982" i="1"/>
  <c r="J1982" i="1"/>
  <c r="K1982" i="1"/>
  <c r="L1982" i="1"/>
  <c r="M1982" i="1"/>
  <c r="N1982" i="1"/>
  <c r="O1982" i="1"/>
  <c r="P1982" i="1"/>
  <c r="R1982" i="1"/>
  <c r="S1982" i="1"/>
  <c r="T1982" i="1"/>
  <c r="U1982" i="1"/>
  <c r="B1981" i="1"/>
  <c r="D1981" i="1"/>
  <c r="E1981" i="1"/>
  <c r="F1981" i="1"/>
  <c r="G1981" i="1"/>
  <c r="H1981" i="1"/>
  <c r="I1981" i="1"/>
  <c r="J1981" i="1"/>
  <c r="K1981" i="1"/>
  <c r="L1981" i="1"/>
  <c r="M1981" i="1"/>
  <c r="N1981" i="1"/>
  <c r="O1981" i="1"/>
  <c r="P1981" i="1"/>
  <c r="R1981" i="1"/>
  <c r="S1981" i="1"/>
  <c r="T1981" i="1"/>
  <c r="U1981" i="1"/>
  <c r="B1980" i="1"/>
  <c r="D1980" i="1"/>
  <c r="E1980" i="1"/>
  <c r="F1980" i="1"/>
  <c r="G1980" i="1"/>
  <c r="H1980" i="1"/>
  <c r="I1980" i="1"/>
  <c r="J1980" i="1"/>
  <c r="K1980" i="1"/>
  <c r="L1980" i="1"/>
  <c r="M1980" i="1"/>
  <c r="N1980" i="1"/>
  <c r="O1980" i="1"/>
  <c r="P1980" i="1"/>
  <c r="R1980" i="1"/>
  <c r="S1980" i="1"/>
  <c r="T1980" i="1"/>
  <c r="U1980" i="1"/>
  <c r="B1979" i="1"/>
  <c r="D1979" i="1"/>
  <c r="E1979" i="1"/>
  <c r="F1979" i="1"/>
  <c r="G1979" i="1"/>
  <c r="H1979" i="1"/>
  <c r="I1979" i="1"/>
  <c r="J1979" i="1"/>
  <c r="K1979" i="1"/>
  <c r="L1979" i="1"/>
  <c r="M1979" i="1"/>
  <c r="N1979" i="1"/>
  <c r="O1979" i="1"/>
  <c r="P1979" i="1"/>
  <c r="R1979" i="1"/>
  <c r="S1979" i="1"/>
  <c r="T1979" i="1"/>
  <c r="U1979" i="1"/>
  <c r="B1978" i="1"/>
  <c r="D1978" i="1"/>
  <c r="E1978" i="1"/>
  <c r="F1978" i="1"/>
  <c r="G1978" i="1"/>
  <c r="H1978" i="1"/>
  <c r="I1978" i="1"/>
  <c r="J1978" i="1"/>
  <c r="K1978" i="1"/>
  <c r="L1978" i="1"/>
  <c r="M1978" i="1"/>
  <c r="N1978" i="1"/>
  <c r="O1978" i="1"/>
  <c r="P1978" i="1"/>
  <c r="R1978" i="1"/>
  <c r="S1978" i="1"/>
  <c r="T1978" i="1"/>
  <c r="U1978" i="1"/>
  <c r="B1977" i="1"/>
  <c r="D1977" i="1"/>
  <c r="E1977" i="1"/>
  <c r="F1977" i="1"/>
  <c r="G1977" i="1"/>
  <c r="H1977" i="1"/>
  <c r="I1977" i="1"/>
  <c r="J1977" i="1"/>
  <c r="K1977" i="1"/>
  <c r="L1977" i="1"/>
  <c r="M1977" i="1"/>
  <c r="N1977" i="1"/>
  <c r="O1977" i="1"/>
  <c r="P1977" i="1"/>
  <c r="R1977" i="1"/>
  <c r="S1977" i="1"/>
  <c r="T1977" i="1"/>
  <c r="U1977" i="1"/>
  <c r="B1976" i="1"/>
  <c r="D1976" i="1"/>
  <c r="E1976" i="1"/>
  <c r="F1976" i="1"/>
  <c r="G1976" i="1"/>
  <c r="H1976" i="1"/>
  <c r="I1976" i="1"/>
  <c r="J1976" i="1"/>
  <c r="K1976" i="1"/>
  <c r="L1976" i="1"/>
  <c r="M1976" i="1"/>
  <c r="N1976" i="1"/>
  <c r="O1976" i="1"/>
  <c r="P1976" i="1"/>
  <c r="R1976" i="1"/>
  <c r="S1976" i="1"/>
  <c r="T1976" i="1"/>
  <c r="U1976" i="1"/>
  <c r="B1975" i="1"/>
  <c r="D1975" i="1"/>
  <c r="E1975" i="1"/>
  <c r="F1975" i="1"/>
  <c r="G1975" i="1"/>
  <c r="H1975" i="1"/>
  <c r="I1975" i="1"/>
  <c r="J1975" i="1"/>
  <c r="K1975" i="1"/>
  <c r="L1975" i="1"/>
  <c r="M1975" i="1"/>
  <c r="N1975" i="1"/>
  <c r="O1975" i="1"/>
  <c r="P1975" i="1"/>
  <c r="R1975" i="1"/>
  <c r="S1975" i="1"/>
  <c r="T1975" i="1"/>
  <c r="U1975" i="1"/>
  <c r="B1974" i="1"/>
  <c r="D1974" i="1"/>
  <c r="E1974" i="1"/>
  <c r="F1974" i="1"/>
  <c r="G1974" i="1"/>
  <c r="H1974" i="1"/>
  <c r="I1974" i="1"/>
  <c r="J1974" i="1"/>
  <c r="K1974" i="1"/>
  <c r="L1974" i="1"/>
  <c r="M1974" i="1"/>
  <c r="N1974" i="1"/>
  <c r="O1974" i="1"/>
  <c r="P1974" i="1"/>
  <c r="R1974" i="1"/>
  <c r="S1974" i="1"/>
  <c r="T1974" i="1"/>
  <c r="U1974" i="1"/>
  <c r="B1973" i="1"/>
  <c r="D1973" i="1"/>
  <c r="E1973" i="1"/>
  <c r="F1973" i="1"/>
  <c r="G1973" i="1"/>
  <c r="H1973" i="1"/>
  <c r="I1973" i="1"/>
  <c r="J1973" i="1"/>
  <c r="K1973" i="1"/>
  <c r="L1973" i="1"/>
  <c r="M1973" i="1"/>
  <c r="N1973" i="1"/>
  <c r="O1973" i="1"/>
  <c r="P1973" i="1"/>
  <c r="R1973" i="1"/>
  <c r="S1973" i="1"/>
  <c r="T1973" i="1"/>
  <c r="U1973" i="1"/>
  <c r="B1972" i="1"/>
  <c r="D1972" i="1"/>
  <c r="E1972" i="1"/>
  <c r="F1972" i="1"/>
  <c r="G1972" i="1"/>
  <c r="H1972" i="1"/>
  <c r="I1972" i="1"/>
  <c r="J1972" i="1"/>
  <c r="K1972" i="1"/>
  <c r="L1972" i="1"/>
  <c r="M1972" i="1"/>
  <c r="N1972" i="1"/>
  <c r="O1972" i="1"/>
  <c r="P1972" i="1"/>
  <c r="R1972" i="1"/>
  <c r="S1972" i="1"/>
  <c r="T1972" i="1"/>
  <c r="U1972" i="1"/>
  <c r="B1971" i="1"/>
  <c r="D1971" i="1"/>
  <c r="E1971" i="1"/>
  <c r="F1971" i="1"/>
  <c r="G1971" i="1"/>
  <c r="H1971" i="1"/>
  <c r="I1971" i="1"/>
  <c r="J1971" i="1"/>
  <c r="K1971" i="1"/>
  <c r="L1971" i="1"/>
  <c r="M1971" i="1"/>
  <c r="N1971" i="1"/>
  <c r="O1971" i="1"/>
  <c r="P1971" i="1"/>
  <c r="R1971" i="1"/>
  <c r="S1971" i="1"/>
  <c r="T1971" i="1"/>
  <c r="U1971" i="1"/>
  <c r="B1970" i="1"/>
  <c r="D1970" i="1"/>
  <c r="E1970" i="1"/>
  <c r="F1970" i="1"/>
  <c r="G1970" i="1"/>
  <c r="H1970" i="1"/>
  <c r="I1970" i="1"/>
  <c r="J1970" i="1"/>
  <c r="K1970" i="1"/>
  <c r="L1970" i="1"/>
  <c r="M1970" i="1"/>
  <c r="N1970" i="1"/>
  <c r="O1970" i="1"/>
  <c r="P1970" i="1"/>
  <c r="R1970" i="1"/>
  <c r="S1970" i="1"/>
  <c r="T1970" i="1"/>
  <c r="U1970" i="1"/>
  <c r="B1969" i="1"/>
  <c r="D1969" i="1"/>
  <c r="E1969" i="1"/>
  <c r="F1969" i="1"/>
  <c r="G1969" i="1"/>
  <c r="H1969" i="1"/>
  <c r="I1969" i="1"/>
  <c r="J1969" i="1"/>
  <c r="K1969" i="1"/>
  <c r="L1969" i="1"/>
  <c r="M1969" i="1"/>
  <c r="N1969" i="1"/>
  <c r="O1969" i="1"/>
  <c r="P1969" i="1"/>
  <c r="R1969" i="1"/>
  <c r="S1969" i="1"/>
  <c r="T1969" i="1"/>
  <c r="U1969" i="1"/>
  <c r="B1968" i="1"/>
  <c r="D1968" i="1"/>
  <c r="E1968" i="1"/>
  <c r="F1968" i="1"/>
  <c r="G1968" i="1"/>
  <c r="H1968" i="1"/>
  <c r="I1968" i="1"/>
  <c r="J1968" i="1"/>
  <c r="K1968" i="1"/>
  <c r="L1968" i="1"/>
  <c r="M1968" i="1"/>
  <c r="N1968" i="1"/>
  <c r="O1968" i="1"/>
  <c r="P1968" i="1"/>
  <c r="R1968" i="1"/>
  <c r="S1968" i="1"/>
  <c r="T1968" i="1"/>
  <c r="U1968" i="1"/>
  <c r="B1967" i="1"/>
  <c r="D1967" i="1"/>
  <c r="E1967" i="1"/>
  <c r="F1967" i="1"/>
  <c r="G1967" i="1"/>
  <c r="H1967" i="1"/>
  <c r="I1967" i="1"/>
  <c r="J1967" i="1"/>
  <c r="K1967" i="1"/>
  <c r="L1967" i="1"/>
  <c r="M1967" i="1"/>
  <c r="N1967" i="1"/>
  <c r="O1967" i="1"/>
  <c r="P1967" i="1"/>
  <c r="R1967" i="1"/>
  <c r="S1967" i="1"/>
  <c r="T1967" i="1"/>
  <c r="U1967" i="1"/>
  <c r="B1966" i="1"/>
  <c r="D1966" i="1"/>
  <c r="E1966" i="1"/>
  <c r="F1966" i="1"/>
  <c r="G1966" i="1"/>
  <c r="H1966" i="1"/>
  <c r="I1966" i="1"/>
  <c r="J1966" i="1"/>
  <c r="K1966" i="1"/>
  <c r="L1966" i="1"/>
  <c r="M1966" i="1"/>
  <c r="N1966" i="1"/>
  <c r="O1966" i="1"/>
  <c r="P1966" i="1"/>
  <c r="R1966" i="1"/>
  <c r="S1966" i="1"/>
  <c r="T1966" i="1"/>
  <c r="U1966" i="1"/>
  <c r="B1965" i="1"/>
  <c r="D1965" i="1"/>
  <c r="E1965" i="1"/>
  <c r="F1965" i="1"/>
  <c r="G1965" i="1"/>
  <c r="H1965" i="1"/>
  <c r="I1965" i="1"/>
  <c r="J1965" i="1"/>
  <c r="K1965" i="1"/>
  <c r="L1965" i="1"/>
  <c r="M1965" i="1"/>
  <c r="N1965" i="1"/>
  <c r="O1965" i="1"/>
  <c r="P1965" i="1"/>
  <c r="R1965" i="1"/>
  <c r="S1965" i="1"/>
  <c r="T1965" i="1"/>
  <c r="U1965" i="1"/>
  <c r="B1964" i="1"/>
  <c r="D1964" i="1"/>
  <c r="E1964" i="1"/>
  <c r="F1964" i="1"/>
  <c r="G1964" i="1"/>
  <c r="H1964" i="1"/>
  <c r="I1964" i="1"/>
  <c r="J1964" i="1"/>
  <c r="K1964" i="1"/>
  <c r="L1964" i="1"/>
  <c r="M1964" i="1"/>
  <c r="N1964" i="1"/>
  <c r="O1964" i="1"/>
  <c r="P1964" i="1"/>
  <c r="R1964" i="1"/>
  <c r="S1964" i="1"/>
  <c r="T1964" i="1"/>
  <c r="U1964" i="1"/>
  <c r="B1963" i="1"/>
  <c r="D1963" i="1"/>
  <c r="E1963" i="1"/>
  <c r="F1963" i="1"/>
  <c r="G1963" i="1"/>
  <c r="H1963" i="1"/>
  <c r="I1963" i="1"/>
  <c r="J1963" i="1"/>
  <c r="K1963" i="1"/>
  <c r="L1963" i="1"/>
  <c r="M1963" i="1"/>
  <c r="N1963" i="1"/>
  <c r="O1963" i="1"/>
  <c r="P1963" i="1"/>
  <c r="R1963" i="1"/>
  <c r="S1963" i="1"/>
  <c r="T1963" i="1"/>
  <c r="U1963" i="1"/>
  <c r="B1962" i="1"/>
  <c r="D1962" i="1"/>
  <c r="E1962" i="1"/>
  <c r="F1962" i="1"/>
  <c r="G1962" i="1"/>
  <c r="H1962" i="1"/>
  <c r="I1962" i="1"/>
  <c r="J1962" i="1"/>
  <c r="K1962" i="1"/>
  <c r="L1962" i="1"/>
  <c r="M1962" i="1"/>
  <c r="N1962" i="1"/>
  <c r="O1962" i="1"/>
  <c r="P1962" i="1"/>
  <c r="R1962" i="1"/>
  <c r="S1962" i="1"/>
  <c r="T1962" i="1"/>
  <c r="U1962" i="1"/>
  <c r="T1961" i="1"/>
  <c r="U1961" i="1"/>
  <c r="R1961" i="1"/>
  <c r="S1961" i="1"/>
  <c r="N1961" i="1"/>
  <c r="O1961" i="1"/>
  <c r="L1961" i="1"/>
  <c r="M1961" i="1"/>
  <c r="J1961" i="1"/>
  <c r="I1961" i="1"/>
  <c r="H1961" i="1"/>
  <c r="F1961" i="1"/>
  <c r="G1961" i="1"/>
  <c r="D1961" i="1"/>
  <c r="E1961" i="1"/>
  <c r="B1961" i="1"/>
  <c r="T1845" i="1"/>
  <c r="U1845" i="1"/>
  <c r="R1845" i="1"/>
  <c r="S1845" i="1"/>
  <c r="P1845" i="1"/>
  <c r="N1845" i="1"/>
  <c r="O1845" i="1"/>
  <c r="L1845" i="1"/>
  <c r="M1845" i="1"/>
  <c r="J1845" i="1"/>
  <c r="K1845" i="1"/>
  <c r="H1845" i="1"/>
  <c r="I1845" i="1"/>
  <c r="F1845" i="1"/>
  <c r="G1845" i="1"/>
  <c r="D1845" i="1"/>
  <c r="E1845" i="1"/>
  <c r="C1845" i="1"/>
  <c r="C1843" i="1"/>
  <c r="D1843" i="1"/>
  <c r="E1843" i="1"/>
  <c r="F1843" i="1"/>
  <c r="G1843" i="1"/>
  <c r="H1843" i="1"/>
  <c r="I1843" i="1"/>
  <c r="J1843" i="1"/>
  <c r="K1843" i="1"/>
  <c r="L1843" i="1"/>
  <c r="M1843" i="1"/>
  <c r="N1843" i="1"/>
  <c r="O1843" i="1"/>
  <c r="P1843" i="1"/>
  <c r="R1843" i="1"/>
  <c r="S1843" i="1"/>
  <c r="T1843" i="1"/>
  <c r="U1843" i="1"/>
  <c r="B1842" i="1"/>
  <c r="C1842" i="1"/>
  <c r="D1842" i="1"/>
  <c r="E1842" i="1"/>
  <c r="F1842" i="1"/>
  <c r="G1842" i="1"/>
  <c r="H1842" i="1"/>
  <c r="I1842" i="1"/>
  <c r="J1842" i="1"/>
  <c r="K1842" i="1"/>
  <c r="L1842" i="1"/>
  <c r="M1842" i="1"/>
  <c r="N1842" i="1"/>
  <c r="O1842" i="1"/>
  <c r="P1842" i="1"/>
  <c r="R1842" i="1"/>
  <c r="S1842" i="1"/>
  <c r="T1842" i="1"/>
  <c r="U1842" i="1"/>
  <c r="C1841" i="1"/>
  <c r="D1841" i="1"/>
  <c r="E1841" i="1"/>
  <c r="F1841" i="1"/>
  <c r="G1841" i="1"/>
  <c r="H1841" i="1"/>
  <c r="I1841" i="1"/>
  <c r="J1841" i="1"/>
  <c r="K1841" i="1"/>
  <c r="L1841" i="1"/>
  <c r="M1841" i="1"/>
  <c r="N1841" i="1"/>
  <c r="O1841" i="1"/>
  <c r="P1841" i="1"/>
  <c r="R1841" i="1"/>
  <c r="S1841" i="1"/>
  <c r="T1841" i="1"/>
  <c r="U1841" i="1"/>
  <c r="C1840" i="1"/>
  <c r="D1840" i="1"/>
  <c r="E1840" i="1"/>
  <c r="F1840" i="1"/>
  <c r="G1840" i="1"/>
  <c r="H1840" i="1"/>
  <c r="I1840" i="1"/>
  <c r="J1840" i="1"/>
  <c r="K1840" i="1"/>
  <c r="L1840" i="1"/>
  <c r="M1840" i="1"/>
  <c r="N1840" i="1"/>
  <c r="O1840" i="1"/>
  <c r="P1840" i="1"/>
  <c r="R1840" i="1"/>
  <c r="S1840" i="1"/>
  <c r="T1840" i="1"/>
  <c r="U1840" i="1"/>
  <c r="C1839" i="1"/>
  <c r="D1839" i="1"/>
  <c r="E1839" i="1"/>
  <c r="F1839" i="1"/>
  <c r="G1839" i="1"/>
  <c r="H1839" i="1"/>
  <c r="I1839" i="1"/>
  <c r="J1839" i="1"/>
  <c r="K1839" i="1"/>
  <c r="L1839" i="1"/>
  <c r="M1839" i="1"/>
  <c r="N1839" i="1"/>
  <c r="O1839" i="1"/>
  <c r="P1839" i="1"/>
  <c r="R1839" i="1"/>
  <c r="S1839" i="1"/>
  <c r="T1839" i="1"/>
  <c r="U1839" i="1"/>
  <c r="C1838" i="1"/>
  <c r="D1838" i="1"/>
  <c r="E1838" i="1"/>
  <c r="F1838" i="1"/>
  <c r="G1838" i="1"/>
  <c r="H1838" i="1"/>
  <c r="I1838" i="1"/>
  <c r="J1838" i="1"/>
  <c r="K1838" i="1"/>
  <c r="L1838" i="1"/>
  <c r="M1838" i="1"/>
  <c r="N1838" i="1"/>
  <c r="O1838" i="1"/>
  <c r="P1838" i="1"/>
  <c r="R1838" i="1"/>
  <c r="S1838" i="1"/>
  <c r="T1838" i="1"/>
  <c r="U1838" i="1"/>
  <c r="C1837" i="1"/>
  <c r="D1837" i="1"/>
  <c r="E1837" i="1"/>
  <c r="F1837" i="1"/>
  <c r="G1837" i="1"/>
  <c r="H1837" i="1"/>
  <c r="I1837" i="1"/>
  <c r="J1837" i="1"/>
  <c r="K1837" i="1"/>
  <c r="L1837" i="1"/>
  <c r="M1837" i="1"/>
  <c r="N1837" i="1"/>
  <c r="O1837" i="1"/>
  <c r="P1837" i="1"/>
  <c r="R1837" i="1"/>
  <c r="S1837" i="1"/>
  <c r="T1837" i="1"/>
  <c r="U1837" i="1"/>
  <c r="B1836" i="1"/>
  <c r="C1836" i="1"/>
  <c r="D1836" i="1"/>
  <c r="E1836" i="1"/>
  <c r="F1836" i="1"/>
  <c r="G1836" i="1"/>
  <c r="H1836" i="1"/>
  <c r="I1836" i="1"/>
  <c r="J1836" i="1"/>
  <c r="K1836" i="1"/>
  <c r="L1836" i="1"/>
  <c r="M1836" i="1"/>
  <c r="N1836" i="1"/>
  <c r="O1836" i="1"/>
  <c r="P1836" i="1"/>
  <c r="R1836" i="1"/>
  <c r="S1836" i="1"/>
  <c r="T1836" i="1"/>
  <c r="U1836" i="1"/>
  <c r="C1835" i="1"/>
  <c r="D1835" i="1"/>
  <c r="E1835" i="1"/>
  <c r="F1835" i="1"/>
  <c r="G1835" i="1"/>
  <c r="H1835" i="1"/>
  <c r="I1835" i="1"/>
  <c r="J1835" i="1"/>
  <c r="K1835" i="1"/>
  <c r="L1835" i="1"/>
  <c r="M1835" i="1"/>
  <c r="N1835" i="1"/>
  <c r="O1835" i="1"/>
  <c r="P1835" i="1"/>
  <c r="R1835" i="1"/>
  <c r="S1835" i="1"/>
  <c r="T1835" i="1"/>
  <c r="U1835" i="1"/>
  <c r="C1834" i="1"/>
  <c r="D1834" i="1"/>
  <c r="E1834" i="1"/>
  <c r="F1834" i="1"/>
  <c r="G1834" i="1"/>
  <c r="H1834" i="1"/>
  <c r="I1834" i="1"/>
  <c r="J1834" i="1"/>
  <c r="K1834" i="1"/>
  <c r="L1834" i="1"/>
  <c r="M1834" i="1"/>
  <c r="N1834" i="1"/>
  <c r="O1834" i="1"/>
  <c r="P1834" i="1"/>
  <c r="R1834" i="1"/>
  <c r="S1834" i="1"/>
  <c r="T1834" i="1"/>
  <c r="U1834" i="1"/>
  <c r="B1833" i="1"/>
  <c r="C1833" i="1"/>
  <c r="D1833" i="1"/>
  <c r="E1833" i="1"/>
  <c r="F1833" i="1"/>
  <c r="G1833" i="1"/>
  <c r="H1833" i="1"/>
  <c r="I1833" i="1"/>
  <c r="J1833" i="1"/>
  <c r="K1833" i="1"/>
  <c r="L1833" i="1"/>
  <c r="M1833" i="1"/>
  <c r="N1833" i="1"/>
  <c r="O1833" i="1"/>
  <c r="P1833" i="1"/>
  <c r="R1833" i="1"/>
  <c r="S1833" i="1"/>
  <c r="T1833" i="1"/>
  <c r="U1833" i="1"/>
  <c r="C1832" i="1"/>
  <c r="D1832" i="1"/>
  <c r="E1832" i="1"/>
  <c r="F1832" i="1"/>
  <c r="G1832" i="1"/>
  <c r="H1832" i="1"/>
  <c r="I1832" i="1"/>
  <c r="J1832" i="1"/>
  <c r="K1832" i="1"/>
  <c r="L1832" i="1"/>
  <c r="M1832" i="1"/>
  <c r="N1832" i="1"/>
  <c r="O1832" i="1"/>
  <c r="P1832" i="1"/>
  <c r="R1832" i="1"/>
  <c r="S1832" i="1"/>
  <c r="T1832" i="1"/>
  <c r="U1832" i="1"/>
  <c r="C1831" i="1"/>
  <c r="D1831" i="1"/>
  <c r="E1831" i="1"/>
  <c r="F1831" i="1"/>
  <c r="G1831" i="1"/>
  <c r="H1831" i="1"/>
  <c r="I1831" i="1"/>
  <c r="J1831" i="1"/>
  <c r="K1831" i="1"/>
  <c r="L1831" i="1"/>
  <c r="M1831" i="1"/>
  <c r="N1831" i="1"/>
  <c r="O1831" i="1"/>
  <c r="P1831" i="1"/>
  <c r="R1831" i="1"/>
  <c r="S1831" i="1"/>
  <c r="T1831" i="1"/>
  <c r="U1831" i="1"/>
  <c r="C1830" i="1"/>
  <c r="D1830" i="1"/>
  <c r="E1830" i="1"/>
  <c r="F1830" i="1"/>
  <c r="G1830" i="1"/>
  <c r="H1830" i="1"/>
  <c r="I1830" i="1"/>
  <c r="J1830" i="1"/>
  <c r="K1830" i="1"/>
  <c r="L1830" i="1"/>
  <c r="M1830" i="1"/>
  <c r="N1830" i="1"/>
  <c r="O1830" i="1"/>
  <c r="P1830" i="1"/>
  <c r="R1830" i="1"/>
  <c r="S1830" i="1"/>
  <c r="T1830" i="1"/>
  <c r="U1830" i="1"/>
  <c r="C1829" i="1"/>
  <c r="D1829" i="1"/>
  <c r="E1829" i="1"/>
  <c r="F1829" i="1"/>
  <c r="G1829" i="1"/>
  <c r="H1829" i="1"/>
  <c r="I1829" i="1"/>
  <c r="J1829" i="1"/>
  <c r="K1829" i="1"/>
  <c r="L1829" i="1"/>
  <c r="M1829" i="1"/>
  <c r="N1829" i="1"/>
  <c r="O1829" i="1"/>
  <c r="P1829" i="1"/>
  <c r="R1829" i="1"/>
  <c r="S1829" i="1"/>
  <c r="T1829" i="1"/>
  <c r="U1829" i="1"/>
  <c r="C1828" i="1"/>
  <c r="D1828" i="1"/>
  <c r="E1828" i="1"/>
  <c r="F1828" i="1"/>
  <c r="G1828" i="1"/>
  <c r="H1828" i="1"/>
  <c r="I1828" i="1"/>
  <c r="J1828" i="1"/>
  <c r="K1828" i="1"/>
  <c r="L1828" i="1"/>
  <c r="M1828" i="1"/>
  <c r="N1828" i="1"/>
  <c r="O1828" i="1"/>
  <c r="P1828" i="1"/>
  <c r="R1828" i="1"/>
  <c r="S1828" i="1"/>
  <c r="T1828" i="1"/>
  <c r="U1828" i="1"/>
  <c r="C1827" i="1"/>
  <c r="D1827" i="1"/>
  <c r="E1827" i="1"/>
  <c r="F1827" i="1"/>
  <c r="G1827" i="1"/>
  <c r="H1827" i="1"/>
  <c r="I1827" i="1"/>
  <c r="J1827" i="1"/>
  <c r="K1827" i="1"/>
  <c r="L1827" i="1"/>
  <c r="M1827" i="1"/>
  <c r="N1827" i="1"/>
  <c r="O1827" i="1"/>
  <c r="P1827" i="1"/>
  <c r="R1827" i="1"/>
  <c r="S1827" i="1"/>
  <c r="T1827" i="1"/>
  <c r="U1827" i="1"/>
  <c r="C1826" i="1"/>
  <c r="D1826" i="1"/>
  <c r="E1826" i="1"/>
  <c r="F1826" i="1"/>
  <c r="G1826" i="1"/>
  <c r="H1826" i="1"/>
  <c r="I1826" i="1"/>
  <c r="J1826" i="1"/>
  <c r="K1826" i="1"/>
  <c r="L1826" i="1"/>
  <c r="M1826" i="1"/>
  <c r="N1826" i="1"/>
  <c r="O1826" i="1"/>
  <c r="P1826" i="1"/>
  <c r="R1826" i="1"/>
  <c r="S1826" i="1"/>
  <c r="T1826" i="1"/>
  <c r="U1826" i="1"/>
  <c r="C1825" i="1"/>
  <c r="D1825" i="1"/>
  <c r="E1825" i="1"/>
  <c r="F1825" i="1"/>
  <c r="G1825" i="1"/>
  <c r="H1825" i="1"/>
  <c r="I1825" i="1"/>
  <c r="J1825" i="1"/>
  <c r="K1825" i="1"/>
  <c r="L1825" i="1"/>
  <c r="M1825" i="1"/>
  <c r="N1825" i="1"/>
  <c r="O1825" i="1"/>
  <c r="P1825" i="1"/>
  <c r="R1825" i="1"/>
  <c r="S1825" i="1"/>
  <c r="T1825" i="1"/>
  <c r="U1825" i="1"/>
  <c r="C1824" i="1"/>
  <c r="D1824" i="1"/>
  <c r="E1824" i="1"/>
  <c r="F1824" i="1"/>
  <c r="G1824" i="1"/>
  <c r="H1824" i="1"/>
  <c r="I1824" i="1"/>
  <c r="J1824" i="1"/>
  <c r="K1824" i="1"/>
  <c r="L1824" i="1"/>
  <c r="M1824" i="1"/>
  <c r="N1824" i="1"/>
  <c r="O1824" i="1"/>
  <c r="P1824" i="1"/>
  <c r="R1824" i="1"/>
  <c r="S1824" i="1"/>
  <c r="T1824" i="1"/>
  <c r="U1824" i="1"/>
  <c r="C1823" i="1"/>
  <c r="D1823" i="1"/>
  <c r="E1823" i="1"/>
  <c r="F1823" i="1"/>
  <c r="G1823" i="1"/>
  <c r="H1823" i="1"/>
  <c r="I1823" i="1"/>
  <c r="J1823" i="1"/>
  <c r="K1823" i="1"/>
  <c r="L1823" i="1"/>
  <c r="M1823" i="1"/>
  <c r="N1823" i="1"/>
  <c r="O1823" i="1"/>
  <c r="P1823" i="1"/>
  <c r="R1823" i="1"/>
  <c r="S1823" i="1"/>
  <c r="T1823" i="1"/>
  <c r="U1823" i="1"/>
  <c r="B1822" i="1"/>
  <c r="C1822" i="1"/>
  <c r="D1822" i="1"/>
  <c r="E1822" i="1"/>
  <c r="F1822" i="1"/>
  <c r="G1822" i="1"/>
  <c r="H1822" i="1"/>
  <c r="I1822" i="1"/>
  <c r="J1822" i="1"/>
  <c r="K1822" i="1"/>
  <c r="L1822" i="1"/>
  <c r="M1822" i="1"/>
  <c r="N1822" i="1"/>
  <c r="O1822" i="1"/>
  <c r="P1822" i="1"/>
  <c r="R1822" i="1"/>
  <c r="S1822" i="1"/>
  <c r="T1822" i="1"/>
  <c r="U1822" i="1"/>
  <c r="C1821" i="1"/>
  <c r="D1821" i="1"/>
  <c r="E1821" i="1"/>
  <c r="F1821" i="1"/>
  <c r="G1821" i="1"/>
  <c r="H1821" i="1"/>
  <c r="I1821" i="1"/>
  <c r="J1821" i="1"/>
  <c r="K1821" i="1"/>
  <c r="L1821" i="1"/>
  <c r="M1821" i="1"/>
  <c r="N1821" i="1"/>
  <c r="O1821" i="1"/>
  <c r="P1821" i="1"/>
  <c r="R1821" i="1"/>
  <c r="S1821" i="1"/>
  <c r="T1821" i="1"/>
  <c r="U1821" i="1"/>
  <c r="C1820" i="1"/>
  <c r="D1820" i="1"/>
  <c r="E1820" i="1"/>
  <c r="F1820" i="1"/>
  <c r="G1820" i="1"/>
  <c r="H1820" i="1"/>
  <c r="I1820" i="1"/>
  <c r="J1820" i="1"/>
  <c r="K1820" i="1"/>
  <c r="L1820" i="1"/>
  <c r="M1820" i="1"/>
  <c r="N1820" i="1"/>
  <c r="O1820" i="1"/>
  <c r="P1820" i="1"/>
  <c r="R1820" i="1"/>
  <c r="S1820" i="1"/>
  <c r="T1820" i="1"/>
  <c r="U1820" i="1"/>
  <c r="C1819" i="1"/>
  <c r="D1819" i="1"/>
  <c r="E1819" i="1"/>
  <c r="F1819" i="1"/>
  <c r="G1819" i="1"/>
  <c r="H1819" i="1"/>
  <c r="I1819" i="1"/>
  <c r="J1819" i="1"/>
  <c r="K1819" i="1"/>
  <c r="L1819" i="1"/>
  <c r="M1819" i="1"/>
  <c r="N1819" i="1"/>
  <c r="O1819" i="1"/>
  <c r="P1819" i="1"/>
  <c r="R1819" i="1"/>
  <c r="S1819" i="1"/>
  <c r="T1819" i="1"/>
  <c r="U1819" i="1"/>
  <c r="C1818" i="1"/>
  <c r="D1818" i="1"/>
  <c r="E1818" i="1"/>
  <c r="F1818" i="1"/>
  <c r="G1818" i="1"/>
  <c r="H1818" i="1"/>
  <c r="I1818" i="1"/>
  <c r="J1818" i="1"/>
  <c r="K1818" i="1"/>
  <c r="L1818" i="1"/>
  <c r="M1818" i="1"/>
  <c r="N1818" i="1"/>
  <c r="O1818" i="1"/>
  <c r="P1818" i="1"/>
  <c r="R1818" i="1"/>
  <c r="S1818" i="1"/>
  <c r="T1818" i="1"/>
  <c r="U1818" i="1"/>
  <c r="C1817" i="1"/>
  <c r="D1817" i="1"/>
  <c r="E1817" i="1"/>
  <c r="F1817" i="1"/>
  <c r="G1817" i="1"/>
  <c r="H1817" i="1"/>
  <c r="I1817" i="1"/>
  <c r="J1817" i="1"/>
  <c r="K1817" i="1"/>
  <c r="L1817" i="1"/>
  <c r="M1817" i="1"/>
  <c r="N1817" i="1"/>
  <c r="O1817" i="1"/>
  <c r="P1817" i="1"/>
  <c r="R1817" i="1"/>
  <c r="S1817" i="1"/>
  <c r="T1817" i="1"/>
  <c r="U1817" i="1"/>
  <c r="C1816" i="1"/>
  <c r="D1816" i="1"/>
  <c r="E1816" i="1"/>
  <c r="F1816" i="1"/>
  <c r="G1816" i="1"/>
  <c r="H1816" i="1"/>
  <c r="I1816" i="1"/>
  <c r="J1816" i="1"/>
  <c r="K1816" i="1"/>
  <c r="L1816" i="1"/>
  <c r="M1816" i="1"/>
  <c r="N1816" i="1"/>
  <c r="O1816" i="1"/>
  <c r="P1816" i="1"/>
  <c r="R1816" i="1"/>
  <c r="S1816" i="1"/>
  <c r="T1816" i="1"/>
  <c r="U1816" i="1"/>
  <c r="C1815" i="1"/>
  <c r="D1815" i="1"/>
  <c r="E1815" i="1"/>
  <c r="F1815" i="1"/>
  <c r="G1815" i="1"/>
  <c r="H1815" i="1"/>
  <c r="I1815" i="1"/>
  <c r="J1815" i="1"/>
  <c r="K1815" i="1"/>
  <c r="L1815" i="1"/>
  <c r="M1815" i="1"/>
  <c r="N1815" i="1"/>
  <c r="O1815" i="1"/>
  <c r="P1815" i="1"/>
  <c r="R1815" i="1"/>
  <c r="S1815" i="1"/>
  <c r="T1815" i="1"/>
  <c r="U1815" i="1"/>
  <c r="C1814" i="1"/>
  <c r="D1814" i="1"/>
  <c r="E1814" i="1"/>
  <c r="F1814" i="1"/>
  <c r="G1814" i="1"/>
  <c r="H1814" i="1"/>
  <c r="I1814" i="1"/>
  <c r="J1814" i="1"/>
  <c r="K1814" i="1"/>
  <c r="L1814" i="1"/>
  <c r="M1814" i="1"/>
  <c r="N1814" i="1"/>
  <c r="O1814" i="1"/>
  <c r="P1814" i="1"/>
  <c r="R1814" i="1"/>
  <c r="S1814" i="1"/>
  <c r="T1814" i="1"/>
  <c r="U1814" i="1"/>
  <c r="B1813" i="1"/>
  <c r="C1813" i="1"/>
  <c r="D1813" i="1"/>
  <c r="E1813" i="1"/>
  <c r="F1813" i="1"/>
  <c r="G1813" i="1"/>
  <c r="H1813" i="1"/>
  <c r="I1813" i="1"/>
  <c r="J1813" i="1"/>
  <c r="K1813" i="1"/>
  <c r="L1813" i="1"/>
  <c r="M1813" i="1"/>
  <c r="N1813" i="1"/>
  <c r="O1813" i="1"/>
  <c r="P1813" i="1"/>
  <c r="R1813" i="1"/>
  <c r="S1813" i="1"/>
  <c r="T1813" i="1"/>
  <c r="U1813" i="1"/>
  <c r="C1812" i="1"/>
  <c r="D1812" i="1"/>
  <c r="E1812" i="1"/>
  <c r="F1812" i="1"/>
  <c r="G1812" i="1"/>
  <c r="H1812" i="1"/>
  <c r="I1812" i="1"/>
  <c r="J1812" i="1"/>
  <c r="K1812" i="1"/>
  <c r="L1812" i="1"/>
  <c r="M1812" i="1"/>
  <c r="N1812" i="1"/>
  <c r="O1812" i="1"/>
  <c r="P1812" i="1"/>
  <c r="R1812" i="1"/>
  <c r="S1812" i="1"/>
  <c r="T1812" i="1"/>
  <c r="U1812" i="1"/>
  <c r="C1811" i="1"/>
  <c r="D1811" i="1"/>
  <c r="E1811" i="1"/>
  <c r="F1811" i="1"/>
  <c r="G1811" i="1"/>
  <c r="H1811" i="1"/>
  <c r="I1811" i="1"/>
  <c r="J1811" i="1"/>
  <c r="K1811" i="1"/>
  <c r="L1811" i="1"/>
  <c r="M1811" i="1"/>
  <c r="N1811" i="1"/>
  <c r="O1811" i="1"/>
  <c r="P1811" i="1"/>
  <c r="R1811" i="1"/>
  <c r="S1811" i="1"/>
  <c r="T1811" i="1"/>
  <c r="U1811" i="1"/>
  <c r="C1810" i="1"/>
  <c r="D1810" i="1"/>
  <c r="E1810" i="1"/>
  <c r="F1810" i="1"/>
  <c r="G1810" i="1"/>
  <c r="H1810" i="1"/>
  <c r="I1810" i="1"/>
  <c r="J1810" i="1"/>
  <c r="K1810" i="1"/>
  <c r="L1810" i="1"/>
  <c r="M1810" i="1"/>
  <c r="N1810" i="1"/>
  <c r="O1810" i="1"/>
  <c r="P1810" i="1"/>
  <c r="R1810" i="1"/>
  <c r="S1810" i="1"/>
  <c r="T1810" i="1"/>
  <c r="U1810" i="1"/>
  <c r="C1809" i="1"/>
  <c r="D1809" i="1"/>
  <c r="E1809" i="1"/>
  <c r="F1809" i="1"/>
  <c r="G1809" i="1"/>
  <c r="H1809" i="1"/>
  <c r="I1809" i="1"/>
  <c r="J1809" i="1"/>
  <c r="K1809" i="1"/>
  <c r="L1809" i="1"/>
  <c r="M1809" i="1"/>
  <c r="N1809" i="1"/>
  <c r="O1809" i="1"/>
  <c r="P1809" i="1"/>
  <c r="R1809" i="1"/>
  <c r="S1809" i="1"/>
  <c r="T1809" i="1"/>
  <c r="U1809" i="1"/>
  <c r="C1808" i="1"/>
  <c r="D1808" i="1"/>
  <c r="E1808" i="1"/>
  <c r="F1808" i="1"/>
  <c r="G1808" i="1"/>
  <c r="H1808" i="1"/>
  <c r="I1808" i="1"/>
  <c r="J1808" i="1"/>
  <c r="K1808" i="1"/>
  <c r="L1808" i="1"/>
  <c r="M1808" i="1"/>
  <c r="N1808" i="1"/>
  <c r="O1808" i="1"/>
  <c r="P1808" i="1"/>
  <c r="R1808" i="1"/>
  <c r="S1808" i="1"/>
  <c r="T1808" i="1"/>
  <c r="U1808" i="1"/>
  <c r="C1807" i="1"/>
  <c r="D1807" i="1"/>
  <c r="E1807" i="1"/>
  <c r="F1807" i="1"/>
  <c r="G1807" i="1"/>
  <c r="H1807" i="1"/>
  <c r="I1807" i="1"/>
  <c r="J1807" i="1"/>
  <c r="K1807" i="1"/>
  <c r="L1807" i="1"/>
  <c r="M1807" i="1"/>
  <c r="N1807" i="1"/>
  <c r="O1807" i="1"/>
  <c r="P1807" i="1"/>
  <c r="R1807" i="1"/>
  <c r="S1807" i="1"/>
  <c r="T1807" i="1"/>
  <c r="U1807" i="1"/>
  <c r="C1806" i="1"/>
  <c r="D1806" i="1"/>
  <c r="E1806" i="1"/>
  <c r="F1806" i="1"/>
  <c r="G1806" i="1"/>
  <c r="H1806" i="1"/>
  <c r="I1806" i="1"/>
  <c r="J1806" i="1"/>
  <c r="K1806" i="1"/>
  <c r="L1806" i="1"/>
  <c r="M1806" i="1"/>
  <c r="N1806" i="1"/>
  <c r="O1806" i="1"/>
  <c r="P1806" i="1"/>
  <c r="R1806" i="1"/>
  <c r="S1806" i="1"/>
  <c r="T1806" i="1"/>
  <c r="U1806" i="1"/>
  <c r="C1805" i="1"/>
  <c r="D1805" i="1"/>
  <c r="E1805" i="1"/>
  <c r="F1805" i="1"/>
  <c r="G1805" i="1"/>
  <c r="H1805" i="1"/>
  <c r="I1805" i="1"/>
  <c r="J1805" i="1"/>
  <c r="K1805" i="1"/>
  <c r="L1805" i="1"/>
  <c r="M1805" i="1"/>
  <c r="N1805" i="1"/>
  <c r="O1805" i="1"/>
  <c r="P1805" i="1"/>
  <c r="R1805" i="1"/>
  <c r="S1805" i="1"/>
  <c r="T1805" i="1"/>
  <c r="U1805" i="1"/>
  <c r="B1804" i="1"/>
  <c r="C1804" i="1"/>
  <c r="D1804" i="1"/>
  <c r="E1804" i="1"/>
  <c r="F1804" i="1"/>
  <c r="G1804" i="1"/>
  <c r="H1804" i="1"/>
  <c r="I1804" i="1"/>
  <c r="J1804" i="1"/>
  <c r="K1804" i="1"/>
  <c r="L1804" i="1"/>
  <c r="M1804" i="1"/>
  <c r="N1804" i="1"/>
  <c r="O1804" i="1"/>
  <c r="P1804" i="1"/>
  <c r="R1804" i="1"/>
  <c r="S1804" i="1"/>
  <c r="T1804" i="1"/>
  <c r="U1804" i="1"/>
  <c r="C1803" i="1"/>
  <c r="D1803" i="1"/>
  <c r="E1803" i="1"/>
  <c r="F1803" i="1"/>
  <c r="G1803" i="1"/>
  <c r="H1803" i="1"/>
  <c r="I1803" i="1"/>
  <c r="J1803" i="1"/>
  <c r="K1803" i="1"/>
  <c r="L1803" i="1"/>
  <c r="M1803" i="1"/>
  <c r="N1803" i="1"/>
  <c r="O1803" i="1"/>
  <c r="P1803" i="1"/>
  <c r="R1803" i="1"/>
  <c r="S1803" i="1"/>
  <c r="T1803" i="1"/>
  <c r="U1803" i="1"/>
  <c r="C1802" i="1"/>
  <c r="D1802" i="1"/>
  <c r="E1802" i="1"/>
  <c r="F1802" i="1"/>
  <c r="G1802" i="1"/>
  <c r="H1802" i="1"/>
  <c r="I1802" i="1"/>
  <c r="J1802" i="1"/>
  <c r="K1802" i="1"/>
  <c r="L1802" i="1"/>
  <c r="M1802" i="1"/>
  <c r="N1802" i="1"/>
  <c r="O1802" i="1"/>
  <c r="P1802" i="1"/>
  <c r="R1802" i="1"/>
  <c r="S1802" i="1"/>
  <c r="T1802" i="1"/>
  <c r="U1802" i="1"/>
  <c r="C1801" i="1"/>
  <c r="D1801" i="1"/>
  <c r="E1801" i="1"/>
  <c r="F1801" i="1"/>
  <c r="G1801" i="1"/>
  <c r="H1801" i="1"/>
  <c r="I1801" i="1"/>
  <c r="J1801" i="1"/>
  <c r="K1801" i="1"/>
  <c r="L1801" i="1"/>
  <c r="M1801" i="1"/>
  <c r="N1801" i="1"/>
  <c r="O1801" i="1"/>
  <c r="P1801" i="1"/>
  <c r="R1801" i="1"/>
  <c r="S1801" i="1"/>
  <c r="T1801" i="1"/>
  <c r="U1801" i="1"/>
  <c r="C1800" i="1"/>
  <c r="D1800" i="1"/>
  <c r="E1800" i="1"/>
  <c r="F1800" i="1"/>
  <c r="G1800" i="1"/>
  <c r="H1800" i="1"/>
  <c r="I1800" i="1"/>
  <c r="J1800" i="1"/>
  <c r="K1800" i="1"/>
  <c r="L1800" i="1"/>
  <c r="M1800" i="1"/>
  <c r="N1800" i="1"/>
  <c r="O1800" i="1"/>
  <c r="P1800" i="1"/>
  <c r="R1800" i="1"/>
  <c r="S1800" i="1"/>
  <c r="T1800" i="1"/>
  <c r="U1800" i="1"/>
  <c r="C1799" i="1"/>
  <c r="D1799" i="1"/>
  <c r="E1799" i="1"/>
  <c r="F1799" i="1"/>
  <c r="G1799" i="1"/>
  <c r="H1799" i="1"/>
  <c r="I1799" i="1"/>
  <c r="J1799" i="1"/>
  <c r="K1799" i="1"/>
  <c r="L1799" i="1"/>
  <c r="M1799" i="1"/>
  <c r="N1799" i="1"/>
  <c r="O1799" i="1"/>
  <c r="P1799" i="1"/>
  <c r="R1799" i="1"/>
  <c r="S1799" i="1"/>
  <c r="T1799" i="1"/>
  <c r="U1799" i="1"/>
  <c r="C1798" i="1"/>
  <c r="D1798" i="1"/>
  <c r="E1798" i="1"/>
  <c r="F1798" i="1"/>
  <c r="G1798" i="1"/>
  <c r="H1798" i="1"/>
  <c r="I1798" i="1"/>
  <c r="J1798" i="1"/>
  <c r="K1798" i="1"/>
  <c r="L1798" i="1"/>
  <c r="M1798" i="1"/>
  <c r="N1798" i="1"/>
  <c r="O1798" i="1"/>
  <c r="P1798" i="1"/>
  <c r="R1798" i="1"/>
  <c r="S1798" i="1"/>
  <c r="T1798" i="1"/>
  <c r="U1798" i="1"/>
  <c r="C1797" i="1"/>
  <c r="D1797" i="1"/>
  <c r="E1797" i="1"/>
  <c r="F1797" i="1"/>
  <c r="G1797" i="1"/>
  <c r="H1797" i="1"/>
  <c r="I1797" i="1"/>
  <c r="J1797" i="1"/>
  <c r="K1797" i="1"/>
  <c r="L1797" i="1"/>
  <c r="M1797" i="1"/>
  <c r="N1797" i="1"/>
  <c r="O1797" i="1"/>
  <c r="P1797" i="1"/>
  <c r="R1797" i="1"/>
  <c r="S1797" i="1"/>
  <c r="T1797" i="1"/>
  <c r="U1797" i="1"/>
  <c r="C1796" i="1"/>
  <c r="D1796" i="1"/>
  <c r="E1796" i="1"/>
  <c r="F1796" i="1"/>
  <c r="G1796" i="1"/>
  <c r="H1796" i="1"/>
  <c r="I1796" i="1"/>
  <c r="J1796" i="1"/>
  <c r="K1796" i="1"/>
  <c r="L1796" i="1"/>
  <c r="M1796" i="1"/>
  <c r="N1796" i="1"/>
  <c r="O1796" i="1"/>
  <c r="P1796" i="1"/>
  <c r="R1796" i="1"/>
  <c r="S1796" i="1"/>
  <c r="T1796" i="1"/>
  <c r="U1796" i="1"/>
  <c r="C1795" i="1"/>
  <c r="D1795" i="1"/>
  <c r="E1795" i="1"/>
  <c r="F1795" i="1"/>
  <c r="G1795" i="1"/>
  <c r="H1795" i="1"/>
  <c r="I1795" i="1"/>
  <c r="J1795" i="1"/>
  <c r="K1795" i="1"/>
  <c r="L1795" i="1"/>
  <c r="M1795" i="1"/>
  <c r="N1795" i="1"/>
  <c r="O1795" i="1"/>
  <c r="P1795" i="1"/>
  <c r="R1795" i="1"/>
  <c r="S1795" i="1"/>
  <c r="T1795" i="1"/>
  <c r="U1795" i="1"/>
  <c r="C1794" i="1"/>
  <c r="D1794" i="1"/>
  <c r="E1794" i="1"/>
  <c r="F1794" i="1"/>
  <c r="G1794" i="1"/>
  <c r="H1794" i="1"/>
  <c r="I1794" i="1"/>
  <c r="J1794" i="1"/>
  <c r="K1794" i="1"/>
  <c r="L1794" i="1"/>
  <c r="M1794" i="1"/>
  <c r="N1794" i="1"/>
  <c r="O1794" i="1"/>
  <c r="P1794" i="1"/>
  <c r="R1794" i="1"/>
  <c r="S1794" i="1"/>
  <c r="T1794" i="1"/>
  <c r="U1794" i="1"/>
  <c r="C1793" i="1"/>
  <c r="D1793" i="1"/>
  <c r="E1793" i="1"/>
  <c r="F1793" i="1"/>
  <c r="G1793" i="1"/>
  <c r="H1793" i="1"/>
  <c r="I1793" i="1"/>
  <c r="J1793" i="1"/>
  <c r="K1793" i="1"/>
  <c r="L1793" i="1"/>
  <c r="M1793" i="1"/>
  <c r="N1793" i="1"/>
  <c r="O1793" i="1"/>
  <c r="P1793" i="1"/>
  <c r="R1793" i="1"/>
  <c r="S1793" i="1"/>
  <c r="T1793" i="1"/>
  <c r="U1793" i="1"/>
  <c r="C1792" i="1"/>
  <c r="D1792" i="1"/>
  <c r="E1792" i="1"/>
  <c r="F1792" i="1"/>
  <c r="G1792" i="1"/>
  <c r="H1792" i="1"/>
  <c r="I1792" i="1"/>
  <c r="J1792" i="1"/>
  <c r="K1792" i="1"/>
  <c r="L1792" i="1"/>
  <c r="M1792" i="1"/>
  <c r="N1792" i="1"/>
  <c r="O1792" i="1"/>
  <c r="P1792" i="1"/>
  <c r="R1792" i="1"/>
  <c r="S1792" i="1"/>
  <c r="T1792" i="1"/>
  <c r="U1792" i="1"/>
  <c r="C1791" i="1"/>
  <c r="D1791" i="1"/>
  <c r="E1791" i="1"/>
  <c r="F1791" i="1"/>
  <c r="G1791" i="1"/>
  <c r="H1791" i="1"/>
  <c r="I1791" i="1"/>
  <c r="J1791" i="1"/>
  <c r="K1791" i="1"/>
  <c r="L1791" i="1"/>
  <c r="M1791" i="1"/>
  <c r="N1791" i="1"/>
  <c r="O1791" i="1"/>
  <c r="P1791" i="1"/>
  <c r="R1791" i="1"/>
  <c r="S1791" i="1"/>
  <c r="T1791" i="1"/>
  <c r="U1791" i="1"/>
  <c r="C1790" i="1"/>
  <c r="D1790" i="1"/>
  <c r="E1790" i="1"/>
  <c r="F1790" i="1"/>
  <c r="G1790" i="1"/>
  <c r="H1790" i="1"/>
  <c r="I1790" i="1"/>
  <c r="J1790" i="1"/>
  <c r="K1790" i="1"/>
  <c r="L1790" i="1"/>
  <c r="M1790" i="1"/>
  <c r="N1790" i="1"/>
  <c r="O1790" i="1"/>
  <c r="P1790" i="1"/>
  <c r="R1790" i="1"/>
  <c r="S1790" i="1"/>
  <c r="T1790" i="1"/>
  <c r="U1790" i="1"/>
  <c r="C1789" i="1"/>
  <c r="D1789" i="1"/>
  <c r="E1789" i="1"/>
  <c r="F1789" i="1"/>
  <c r="G1789" i="1"/>
  <c r="H1789" i="1"/>
  <c r="I1789" i="1"/>
  <c r="J1789" i="1"/>
  <c r="K1789" i="1"/>
  <c r="L1789" i="1"/>
  <c r="M1789" i="1"/>
  <c r="N1789" i="1"/>
  <c r="O1789" i="1"/>
  <c r="P1789" i="1"/>
  <c r="R1789" i="1"/>
  <c r="S1789" i="1"/>
  <c r="T1789" i="1"/>
  <c r="U1789" i="1"/>
  <c r="C1788" i="1"/>
  <c r="D1788" i="1"/>
  <c r="E1788" i="1"/>
  <c r="F1788" i="1"/>
  <c r="G1788" i="1"/>
  <c r="H1788" i="1"/>
  <c r="I1788" i="1"/>
  <c r="J1788" i="1"/>
  <c r="K1788" i="1"/>
  <c r="L1788" i="1"/>
  <c r="M1788" i="1"/>
  <c r="N1788" i="1"/>
  <c r="O1788" i="1"/>
  <c r="P1788" i="1"/>
  <c r="R1788" i="1"/>
  <c r="S1788" i="1"/>
  <c r="T1788" i="1"/>
  <c r="U1788" i="1"/>
  <c r="C1787" i="1"/>
  <c r="D1787" i="1"/>
  <c r="E1787" i="1"/>
  <c r="F1787" i="1"/>
  <c r="G1787" i="1"/>
  <c r="H1787" i="1"/>
  <c r="I1787" i="1"/>
  <c r="J1787" i="1"/>
  <c r="K1787" i="1"/>
  <c r="L1787" i="1"/>
  <c r="M1787" i="1"/>
  <c r="N1787" i="1"/>
  <c r="O1787" i="1"/>
  <c r="P1787" i="1"/>
  <c r="R1787" i="1"/>
  <c r="S1787" i="1"/>
  <c r="T1787" i="1"/>
  <c r="U1787" i="1"/>
  <c r="C1786" i="1"/>
  <c r="D1786" i="1"/>
  <c r="E1786" i="1"/>
  <c r="F1786" i="1"/>
  <c r="G1786" i="1"/>
  <c r="H1786" i="1"/>
  <c r="I1786" i="1"/>
  <c r="J1786" i="1"/>
  <c r="K1786" i="1"/>
  <c r="L1786" i="1"/>
  <c r="M1786" i="1"/>
  <c r="N1786" i="1"/>
  <c r="O1786" i="1"/>
  <c r="P1786" i="1"/>
  <c r="R1786" i="1"/>
  <c r="S1786" i="1"/>
  <c r="T1786" i="1"/>
  <c r="U1786" i="1"/>
  <c r="C1785" i="1"/>
  <c r="D1785" i="1"/>
  <c r="E1785" i="1"/>
  <c r="F1785" i="1"/>
  <c r="G1785" i="1"/>
  <c r="H1785" i="1"/>
  <c r="I1785" i="1"/>
  <c r="J1785" i="1"/>
  <c r="K1785" i="1"/>
  <c r="L1785" i="1"/>
  <c r="M1785" i="1"/>
  <c r="N1785" i="1"/>
  <c r="O1785" i="1"/>
  <c r="P1785" i="1"/>
  <c r="R1785" i="1"/>
  <c r="S1785" i="1"/>
  <c r="T1785" i="1"/>
  <c r="U1785" i="1"/>
  <c r="C1784" i="1"/>
  <c r="D1784" i="1"/>
  <c r="E1784" i="1"/>
  <c r="F1784" i="1"/>
  <c r="G1784" i="1"/>
  <c r="H1784" i="1"/>
  <c r="I1784" i="1"/>
  <c r="J1784" i="1"/>
  <c r="K1784" i="1"/>
  <c r="L1784" i="1"/>
  <c r="M1784" i="1"/>
  <c r="N1784" i="1"/>
  <c r="O1784" i="1"/>
  <c r="P1784" i="1"/>
  <c r="R1784" i="1"/>
  <c r="S1784" i="1"/>
  <c r="T1784" i="1"/>
  <c r="U1784" i="1"/>
  <c r="C1783" i="1"/>
  <c r="D1783" i="1"/>
  <c r="E1783" i="1"/>
  <c r="F1783" i="1"/>
  <c r="G1783" i="1"/>
  <c r="H1783" i="1"/>
  <c r="I1783" i="1"/>
  <c r="J1783" i="1"/>
  <c r="K1783" i="1"/>
  <c r="L1783" i="1"/>
  <c r="M1783" i="1"/>
  <c r="N1783" i="1"/>
  <c r="O1783" i="1"/>
  <c r="P1783" i="1"/>
  <c r="R1783" i="1"/>
  <c r="S1783" i="1"/>
  <c r="T1783" i="1"/>
  <c r="U1783" i="1"/>
  <c r="C1782" i="1"/>
  <c r="D1782" i="1"/>
  <c r="E1782" i="1"/>
  <c r="F1782" i="1"/>
  <c r="G1782" i="1"/>
  <c r="H1782" i="1"/>
  <c r="I1782" i="1"/>
  <c r="J1782" i="1"/>
  <c r="K1782" i="1"/>
  <c r="L1782" i="1"/>
  <c r="M1782" i="1"/>
  <c r="N1782" i="1"/>
  <c r="O1782" i="1"/>
  <c r="P1782" i="1"/>
  <c r="R1782" i="1"/>
  <c r="S1782" i="1"/>
  <c r="T1782" i="1"/>
  <c r="U1782" i="1"/>
  <c r="C1781" i="1"/>
  <c r="D1781" i="1"/>
  <c r="E1781" i="1"/>
  <c r="F1781" i="1"/>
  <c r="G1781" i="1"/>
  <c r="H1781" i="1"/>
  <c r="I1781" i="1"/>
  <c r="J1781" i="1"/>
  <c r="K1781" i="1"/>
  <c r="L1781" i="1"/>
  <c r="M1781" i="1"/>
  <c r="N1781" i="1"/>
  <c r="O1781" i="1"/>
  <c r="P1781" i="1"/>
  <c r="R1781" i="1"/>
  <c r="S1781" i="1"/>
  <c r="T1781" i="1"/>
  <c r="U1781" i="1"/>
  <c r="C1780" i="1"/>
  <c r="D1780" i="1"/>
  <c r="E1780" i="1"/>
  <c r="F1780" i="1"/>
  <c r="G1780" i="1"/>
  <c r="H1780" i="1"/>
  <c r="I1780" i="1"/>
  <c r="J1780" i="1"/>
  <c r="K1780" i="1"/>
  <c r="L1780" i="1"/>
  <c r="M1780" i="1"/>
  <c r="N1780" i="1"/>
  <c r="O1780" i="1"/>
  <c r="P1780" i="1"/>
  <c r="R1780" i="1"/>
  <c r="S1780" i="1"/>
  <c r="T1780" i="1"/>
  <c r="U1780" i="1"/>
  <c r="C1779" i="1"/>
  <c r="D1779" i="1"/>
  <c r="E1779" i="1"/>
  <c r="F1779" i="1"/>
  <c r="G1779" i="1"/>
  <c r="H1779" i="1"/>
  <c r="I1779" i="1"/>
  <c r="J1779" i="1"/>
  <c r="K1779" i="1"/>
  <c r="L1779" i="1"/>
  <c r="M1779" i="1"/>
  <c r="N1779" i="1"/>
  <c r="O1779" i="1"/>
  <c r="P1779" i="1"/>
  <c r="R1779" i="1"/>
  <c r="S1779" i="1"/>
  <c r="T1779" i="1"/>
  <c r="U1779" i="1"/>
  <c r="C1778" i="1"/>
  <c r="D1778" i="1"/>
  <c r="E1778" i="1"/>
  <c r="F1778" i="1"/>
  <c r="G1778" i="1"/>
  <c r="H1778" i="1"/>
  <c r="I1778" i="1"/>
  <c r="J1778" i="1"/>
  <c r="K1778" i="1"/>
  <c r="L1778" i="1"/>
  <c r="M1778" i="1"/>
  <c r="N1778" i="1"/>
  <c r="O1778" i="1"/>
  <c r="P1778" i="1"/>
  <c r="R1778" i="1"/>
  <c r="S1778" i="1"/>
  <c r="T1778" i="1"/>
  <c r="U1778" i="1"/>
  <c r="B1777" i="1"/>
  <c r="C1777" i="1"/>
  <c r="D1777" i="1"/>
  <c r="E1777" i="1"/>
  <c r="F1777" i="1"/>
  <c r="G1777" i="1"/>
  <c r="H1777" i="1"/>
  <c r="I1777" i="1"/>
  <c r="J1777" i="1"/>
  <c r="K1777" i="1"/>
  <c r="L1777" i="1"/>
  <c r="M1777" i="1"/>
  <c r="N1777" i="1"/>
  <c r="O1777" i="1"/>
  <c r="P1777" i="1"/>
  <c r="R1777" i="1"/>
  <c r="S1777" i="1"/>
  <c r="T1777" i="1"/>
  <c r="U1777" i="1"/>
  <c r="C1776" i="1"/>
  <c r="D1776" i="1"/>
  <c r="E1776" i="1"/>
  <c r="F1776" i="1"/>
  <c r="G1776" i="1"/>
  <c r="H1776" i="1"/>
  <c r="I1776" i="1"/>
  <c r="J1776" i="1"/>
  <c r="K1776" i="1"/>
  <c r="L1776" i="1"/>
  <c r="M1776" i="1"/>
  <c r="N1776" i="1"/>
  <c r="O1776" i="1"/>
  <c r="P1776" i="1"/>
  <c r="R1776" i="1"/>
  <c r="S1776" i="1"/>
  <c r="T1776" i="1"/>
  <c r="U1776" i="1"/>
  <c r="C1775" i="1"/>
  <c r="D1775" i="1"/>
  <c r="E1775" i="1"/>
  <c r="F1775" i="1"/>
  <c r="G1775" i="1"/>
  <c r="H1775" i="1"/>
  <c r="I1775" i="1"/>
  <c r="J1775" i="1"/>
  <c r="K1775" i="1"/>
  <c r="L1775" i="1"/>
  <c r="M1775" i="1"/>
  <c r="N1775" i="1"/>
  <c r="O1775" i="1"/>
  <c r="P1775" i="1"/>
  <c r="R1775" i="1"/>
  <c r="S1775" i="1"/>
  <c r="T1775" i="1"/>
  <c r="U1775" i="1"/>
  <c r="C1774" i="1"/>
  <c r="D1774" i="1"/>
  <c r="E1774" i="1"/>
  <c r="F1774" i="1"/>
  <c r="G1774" i="1"/>
  <c r="H1774" i="1"/>
  <c r="I1774" i="1"/>
  <c r="J1774" i="1"/>
  <c r="K1774" i="1"/>
  <c r="L1774" i="1"/>
  <c r="M1774" i="1"/>
  <c r="N1774" i="1"/>
  <c r="O1774" i="1"/>
  <c r="P1774" i="1"/>
  <c r="R1774" i="1"/>
  <c r="S1774" i="1"/>
  <c r="T1774" i="1"/>
  <c r="U1774" i="1"/>
  <c r="C1773" i="1"/>
  <c r="D1773" i="1"/>
  <c r="E1773" i="1"/>
  <c r="F1773" i="1"/>
  <c r="G1773" i="1"/>
  <c r="H1773" i="1"/>
  <c r="I1773" i="1"/>
  <c r="J1773" i="1"/>
  <c r="K1773" i="1"/>
  <c r="L1773" i="1"/>
  <c r="M1773" i="1"/>
  <c r="N1773" i="1"/>
  <c r="O1773" i="1"/>
  <c r="P1773" i="1"/>
  <c r="R1773" i="1"/>
  <c r="S1773" i="1"/>
  <c r="T1773" i="1"/>
  <c r="U1773" i="1"/>
  <c r="C1772" i="1"/>
  <c r="D1772" i="1"/>
  <c r="E1772" i="1"/>
  <c r="F1772" i="1"/>
  <c r="G1772" i="1"/>
  <c r="H1772" i="1"/>
  <c r="I1772" i="1"/>
  <c r="J1772" i="1"/>
  <c r="K1772" i="1"/>
  <c r="L1772" i="1"/>
  <c r="M1772" i="1"/>
  <c r="N1772" i="1"/>
  <c r="O1772" i="1"/>
  <c r="P1772" i="1"/>
  <c r="R1772" i="1"/>
  <c r="S1772" i="1"/>
  <c r="T1772" i="1"/>
  <c r="U1772" i="1"/>
  <c r="C1771" i="1"/>
  <c r="D1771" i="1"/>
  <c r="E1771" i="1"/>
  <c r="F1771" i="1"/>
  <c r="G1771" i="1"/>
  <c r="H1771" i="1"/>
  <c r="I1771" i="1"/>
  <c r="J1771" i="1"/>
  <c r="K1771" i="1"/>
  <c r="L1771" i="1"/>
  <c r="M1771" i="1"/>
  <c r="N1771" i="1"/>
  <c r="O1771" i="1"/>
  <c r="P1771" i="1"/>
  <c r="R1771" i="1"/>
  <c r="S1771" i="1"/>
  <c r="T1771" i="1"/>
  <c r="U1771" i="1"/>
  <c r="C1770" i="1"/>
  <c r="D1770" i="1"/>
  <c r="E1770" i="1"/>
  <c r="F1770" i="1"/>
  <c r="G1770" i="1"/>
  <c r="H1770" i="1"/>
  <c r="I1770" i="1"/>
  <c r="J1770" i="1"/>
  <c r="K1770" i="1"/>
  <c r="L1770" i="1"/>
  <c r="M1770" i="1"/>
  <c r="N1770" i="1"/>
  <c r="O1770" i="1"/>
  <c r="P1770" i="1"/>
  <c r="R1770" i="1"/>
  <c r="S1770" i="1"/>
  <c r="T1770" i="1"/>
  <c r="U1770" i="1"/>
  <c r="C1769" i="1"/>
  <c r="D1769" i="1"/>
  <c r="E1769" i="1"/>
  <c r="F1769" i="1"/>
  <c r="G1769" i="1"/>
  <c r="H1769" i="1"/>
  <c r="I1769" i="1"/>
  <c r="J1769" i="1"/>
  <c r="K1769" i="1"/>
  <c r="L1769" i="1"/>
  <c r="M1769" i="1"/>
  <c r="N1769" i="1"/>
  <c r="O1769" i="1"/>
  <c r="P1769" i="1"/>
  <c r="R1769" i="1"/>
  <c r="S1769" i="1"/>
  <c r="T1769" i="1"/>
  <c r="U1769" i="1"/>
  <c r="B1768" i="1"/>
  <c r="C1768" i="1"/>
  <c r="D1768" i="1"/>
  <c r="E1768" i="1"/>
  <c r="F1768" i="1"/>
  <c r="G1768" i="1"/>
  <c r="H1768" i="1"/>
  <c r="I1768" i="1"/>
  <c r="J1768" i="1"/>
  <c r="K1768" i="1"/>
  <c r="L1768" i="1"/>
  <c r="M1768" i="1"/>
  <c r="N1768" i="1"/>
  <c r="O1768" i="1"/>
  <c r="P1768" i="1"/>
  <c r="R1768" i="1"/>
  <c r="S1768" i="1"/>
  <c r="T1768" i="1"/>
  <c r="U1768" i="1"/>
  <c r="C1767" i="1"/>
  <c r="D1767" i="1"/>
  <c r="E1767" i="1"/>
  <c r="F1767" i="1"/>
  <c r="G1767" i="1"/>
  <c r="H1767" i="1"/>
  <c r="I1767" i="1"/>
  <c r="J1767" i="1"/>
  <c r="K1767" i="1"/>
  <c r="L1767" i="1"/>
  <c r="M1767" i="1"/>
  <c r="N1767" i="1"/>
  <c r="O1767" i="1"/>
  <c r="P1767" i="1"/>
  <c r="R1767" i="1"/>
  <c r="S1767" i="1"/>
  <c r="T1767" i="1"/>
  <c r="U1767" i="1"/>
  <c r="C1766" i="1"/>
  <c r="D1766" i="1"/>
  <c r="E1766" i="1"/>
  <c r="F1766" i="1"/>
  <c r="G1766" i="1"/>
  <c r="H1766" i="1"/>
  <c r="I1766" i="1"/>
  <c r="J1766" i="1"/>
  <c r="K1766" i="1"/>
  <c r="L1766" i="1"/>
  <c r="M1766" i="1"/>
  <c r="N1766" i="1"/>
  <c r="O1766" i="1"/>
  <c r="P1766" i="1"/>
  <c r="R1766" i="1"/>
  <c r="S1766" i="1"/>
  <c r="T1766" i="1"/>
  <c r="U1766" i="1"/>
  <c r="C1765" i="1"/>
  <c r="D1765" i="1"/>
  <c r="E1765" i="1"/>
  <c r="F1765" i="1"/>
  <c r="G1765" i="1"/>
  <c r="H1765" i="1"/>
  <c r="I1765" i="1"/>
  <c r="J1765" i="1"/>
  <c r="K1765" i="1"/>
  <c r="L1765" i="1"/>
  <c r="M1765" i="1"/>
  <c r="N1765" i="1"/>
  <c r="O1765" i="1"/>
  <c r="P1765" i="1"/>
  <c r="R1765" i="1"/>
  <c r="S1765" i="1"/>
  <c r="T1765" i="1"/>
  <c r="U1765" i="1"/>
  <c r="C1764" i="1"/>
  <c r="D1764" i="1"/>
  <c r="E1764" i="1"/>
  <c r="F1764" i="1"/>
  <c r="G1764" i="1"/>
  <c r="H1764" i="1"/>
  <c r="I1764" i="1"/>
  <c r="J1764" i="1"/>
  <c r="K1764" i="1"/>
  <c r="L1764" i="1"/>
  <c r="M1764" i="1"/>
  <c r="N1764" i="1"/>
  <c r="O1764" i="1"/>
  <c r="P1764" i="1"/>
  <c r="R1764" i="1"/>
  <c r="S1764" i="1"/>
  <c r="T1764" i="1"/>
  <c r="U1764" i="1"/>
  <c r="C1763" i="1"/>
  <c r="D1763" i="1"/>
  <c r="E1763" i="1"/>
  <c r="F1763" i="1"/>
  <c r="G1763" i="1"/>
  <c r="H1763" i="1"/>
  <c r="I1763" i="1"/>
  <c r="J1763" i="1"/>
  <c r="K1763" i="1"/>
  <c r="L1763" i="1"/>
  <c r="M1763" i="1"/>
  <c r="N1763" i="1"/>
  <c r="O1763" i="1"/>
  <c r="P1763" i="1"/>
  <c r="R1763" i="1"/>
  <c r="S1763" i="1"/>
  <c r="T1763" i="1"/>
  <c r="U1763" i="1"/>
  <c r="C1762" i="1"/>
  <c r="D1762" i="1"/>
  <c r="E1762" i="1"/>
  <c r="F1762" i="1"/>
  <c r="G1762" i="1"/>
  <c r="H1762" i="1"/>
  <c r="I1762" i="1"/>
  <c r="J1762" i="1"/>
  <c r="K1762" i="1"/>
  <c r="L1762" i="1"/>
  <c r="M1762" i="1"/>
  <c r="N1762" i="1"/>
  <c r="O1762" i="1"/>
  <c r="P1762" i="1"/>
  <c r="R1762" i="1"/>
  <c r="S1762" i="1"/>
  <c r="T1762" i="1"/>
  <c r="U1762" i="1"/>
  <c r="C1761" i="1"/>
  <c r="D1761" i="1"/>
  <c r="E1761" i="1"/>
  <c r="F1761" i="1"/>
  <c r="G1761" i="1"/>
  <c r="H1761" i="1"/>
  <c r="I1761" i="1"/>
  <c r="J1761" i="1"/>
  <c r="K1761" i="1"/>
  <c r="L1761" i="1"/>
  <c r="M1761" i="1"/>
  <c r="N1761" i="1"/>
  <c r="O1761" i="1"/>
  <c r="P1761" i="1"/>
  <c r="R1761" i="1"/>
  <c r="S1761" i="1"/>
  <c r="T1761" i="1"/>
  <c r="U1761" i="1"/>
  <c r="C1760" i="1"/>
  <c r="D1760" i="1"/>
  <c r="E1760" i="1"/>
  <c r="F1760" i="1"/>
  <c r="G1760" i="1"/>
  <c r="H1760" i="1"/>
  <c r="I1760" i="1"/>
  <c r="J1760" i="1"/>
  <c r="K1760" i="1"/>
  <c r="L1760" i="1"/>
  <c r="M1760" i="1"/>
  <c r="N1760" i="1"/>
  <c r="O1760" i="1"/>
  <c r="P1760" i="1"/>
  <c r="R1760" i="1"/>
  <c r="S1760" i="1"/>
  <c r="T1760" i="1"/>
  <c r="U1760" i="1"/>
  <c r="B1759" i="1"/>
  <c r="C1759" i="1"/>
  <c r="D1759" i="1"/>
  <c r="E1759" i="1"/>
  <c r="F1759" i="1"/>
  <c r="G1759" i="1"/>
  <c r="H1759" i="1"/>
  <c r="I1759" i="1"/>
  <c r="J1759" i="1"/>
  <c r="K1759" i="1"/>
  <c r="L1759" i="1"/>
  <c r="M1759" i="1"/>
  <c r="N1759" i="1"/>
  <c r="O1759" i="1"/>
  <c r="P1759" i="1"/>
  <c r="R1759" i="1"/>
  <c r="S1759" i="1"/>
  <c r="T1759" i="1"/>
  <c r="U1759" i="1"/>
  <c r="C1758" i="1"/>
  <c r="D1758" i="1"/>
  <c r="E1758" i="1"/>
  <c r="F1758" i="1"/>
  <c r="G1758" i="1"/>
  <c r="H1758" i="1"/>
  <c r="I1758" i="1"/>
  <c r="J1758" i="1"/>
  <c r="K1758" i="1"/>
  <c r="L1758" i="1"/>
  <c r="M1758" i="1"/>
  <c r="N1758" i="1"/>
  <c r="O1758" i="1"/>
  <c r="P1758" i="1"/>
  <c r="R1758" i="1"/>
  <c r="S1758" i="1"/>
  <c r="T1758" i="1"/>
  <c r="U1758" i="1"/>
  <c r="C1757" i="1"/>
  <c r="D1757" i="1"/>
  <c r="E1757" i="1"/>
  <c r="F1757" i="1"/>
  <c r="G1757" i="1"/>
  <c r="H1757" i="1"/>
  <c r="I1757" i="1"/>
  <c r="J1757" i="1"/>
  <c r="K1757" i="1"/>
  <c r="L1757" i="1"/>
  <c r="M1757" i="1"/>
  <c r="N1757" i="1"/>
  <c r="O1757" i="1"/>
  <c r="P1757" i="1"/>
  <c r="R1757" i="1"/>
  <c r="S1757" i="1"/>
  <c r="T1757" i="1"/>
  <c r="U1757" i="1"/>
  <c r="C1756" i="1"/>
  <c r="D1756" i="1"/>
  <c r="E1756" i="1"/>
  <c r="F1756" i="1"/>
  <c r="G1756" i="1"/>
  <c r="H1756" i="1"/>
  <c r="I1756" i="1"/>
  <c r="J1756" i="1"/>
  <c r="K1756" i="1"/>
  <c r="L1756" i="1"/>
  <c r="M1756" i="1"/>
  <c r="N1756" i="1"/>
  <c r="O1756" i="1"/>
  <c r="P1756" i="1"/>
  <c r="R1756" i="1"/>
  <c r="S1756" i="1"/>
  <c r="T1756" i="1"/>
  <c r="U1756" i="1"/>
  <c r="C1755" i="1"/>
  <c r="D1755" i="1"/>
  <c r="E1755" i="1"/>
  <c r="F1755" i="1"/>
  <c r="G1755" i="1"/>
  <c r="H1755" i="1"/>
  <c r="I1755" i="1"/>
  <c r="J1755" i="1"/>
  <c r="K1755" i="1"/>
  <c r="L1755" i="1"/>
  <c r="M1755" i="1"/>
  <c r="N1755" i="1"/>
  <c r="O1755" i="1"/>
  <c r="P1755" i="1"/>
  <c r="R1755" i="1"/>
  <c r="S1755" i="1"/>
  <c r="T1755" i="1"/>
  <c r="U1755" i="1"/>
  <c r="C1754" i="1"/>
  <c r="D1754" i="1"/>
  <c r="E1754" i="1"/>
  <c r="F1754" i="1"/>
  <c r="G1754" i="1"/>
  <c r="H1754" i="1"/>
  <c r="I1754" i="1"/>
  <c r="J1754" i="1"/>
  <c r="K1754" i="1"/>
  <c r="L1754" i="1"/>
  <c r="M1754" i="1"/>
  <c r="N1754" i="1"/>
  <c r="O1754" i="1"/>
  <c r="P1754" i="1"/>
  <c r="R1754" i="1"/>
  <c r="S1754" i="1"/>
  <c r="T1754" i="1"/>
  <c r="U1754" i="1"/>
  <c r="C1753" i="1"/>
  <c r="D1753" i="1"/>
  <c r="E1753" i="1"/>
  <c r="F1753" i="1"/>
  <c r="G1753" i="1"/>
  <c r="H1753" i="1"/>
  <c r="I1753" i="1"/>
  <c r="J1753" i="1"/>
  <c r="K1753" i="1"/>
  <c r="L1753" i="1"/>
  <c r="M1753" i="1"/>
  <c r="N1753" i="1"/>
  <c r="O1753" i="1"/>
  <c r="P1753" i="1"/>
  <c r="R1753" i="1"/>
  <c r="S1753" i="1"/>
  <c r="T1753" i="1"/>
  <c r="U1753" i="1"/>
  <c r="C1752" i="1"/>
  <c r="D1752" i="1"/>
  <c r="E1752" i="1"/>
  <c r="F1752" i="1"/>
  <c r="G1752" i="1"/>
  <c r="H1752" i="1"/>
  <c r="I1752" i="1"/>
  <c r="J1752" i="1"/>
  <c r="K1752" i="1"/>
  <c r="L1752" i="1"/>
  <c r="M1752" i="1"/>
  <c r="N1752" i="1"/>
  <c r="O1752" i="1"/>
  <c r="P1752" i="1"/>
  <c r="R1752" i="1"/>
  <c r="S1752" i="1"/>
  <c r="T1752" i="1"/>
  <c r="U1752" i="1"/>
  <c r="C1751" i="1"/>
  <c r="D1751" i="1"/>
  <c r="E1751" i="1"/>
  <c r="F1751" i="1"/>
  <c r="G1751" i="1"/>
  <c r="H1751" i="1"/>
  <c r="I1751" i="1"/>
  <c r="J1751" i="1"/>
  <c r="K1751" i="1"/>
  <c r="L1751" i="1"/>
  <c r="M1751" i="1"/>
  <c r="N1751" i="1"/>
  <c r="O1751" i="1"/>
  <c r="P1751" i="1"/>
  <c r="R1751" i="1"/>
  <c r="S1751" i="1"/>
  <c r="T1751" i="1"/>
  <c r="U1751" i="1"/>
  <c r="B1750" i="1"/>
  <c r="C1750" i="1"/>
  <c r="D1750" i="1"/>
  <c r="E1750" i="1"/>
  <c r="F1750" i="1"/>
  <c r="G1750" i="1"/>
  <c r="H1750" i="1"/>
  <c r="I1750" i="1"/>
  <c r="J1750" i="1"/>
  <c r="K1750" i="1"/>
  <c r="L1750" i="1"/>
  <c r="M1750" i="1"/>
  <c r="N1750" i="1"/>
  <c r="O1750" i="1"/>
  <c r="P1750" i="1"/>
  <c r="R1750" i="1"/>
  <c r="S1750" i="1"/>
  <c r="T1750" i="1"/>
  <c r="U1750" i="1"/>
  <c r="C1749" i="1"/>
  <c r="D1749" i="1"/>
  <c r="E1749" i="1"/>
  <c r="F1749" i="1"/>
  <c r="G1749" i="1"/>
  <c r="H1749" i="1"/>
  <c r="I1749" i="1"/>
  <c r="J1749" i="1"/>
  <c r="K1749" i="1"/>
  <c r="L1749" i="1"/>
  <c r="M1749" i="1"/>
  <c r="N1749" i="1"/>
  <c r="O1749" i="1"/>
  <c r="P1749" i="1"/>
  <c r="R1749" i="1"/>
  <c r="S1749" i="1"/>
  <c r="T1749" i="1"/>
  <c r="U1749" i="1"/>
  <c r="C1748" i="1"/>
  <c r="D1748" i="1"/>
  <c r="E1748" i="1"/>
  <c r="F1748" i="1"/>
  <c r="G1748" i="1"/>
  <c r="H1748" i="1"/>
  <c r="I1748" i="1"/>
  <c r="J1748" i="1"/>
  <c r="K1748" i="1"/>
  <c r="L1748" i="1"/>
  <c r="M1748" i="1"/>
  <c r="N1748" i="1"/>
  <c r="O1748" i="1"/>
  <c r="P1748" i="1"/>
  <c r="R1748" i="1"/>
  <c r="S1748" i="1"/>
  <c r="T1748" i="1"/>
  <c r="U1748" i="1"/>
  <c r="C1747" i="1"/>
  <c r="D1747" i="1"/>
  <c r="E1747" i="1"/>
  <c r="F1747" i="1"/>
  <c r="G1747" i="1"/>
  <c r="H1747" i="1"/>
  <c r="I1747" i="1"/>
  <c r="J1747" i="1"/>
  <c r="K1747" i="1"/>
  <c r="L1747" i="1"/>
  <c r="M1747" i="1"/>
  <c r="N1747" i="1"/>
  <c r="O1747" i="1"/>
  <c r="P1747" i="1"/>
  <c r="R1747" i="1"/>
  <c r="S1747" i="1"/>
  <c r="T1747" i="1"/>
  <c r="U1747" i="1"/>
  <c r="C1746" i="1"/>
  <c r="D1746" i="1"/>
  <c r="E1746" i="1"/>
  <c r="F1746" i="1"/>
  <c r="G1746" i="1"/>
  <c r="H1746" i="1"/>
  <c r="I1746" i="1"/>
  <c r="J1746" i="1"/>
  <c r="K1746" i="1"/>
  <c r="L1746" i="1"/>
  <c r="M1746" i="1"/>
  <c r="N1746" i="1"/>
  <c r="O1746" i="1"/>
  <c r="P1746" i="1"/>
  <c r="R1746" i="1"/>
  <c r="S1746" i="1"/>
  <c r="T1746" i="1"/>
  <c r="U1746" i="1"/>
  <c r="C1745" i="1"/>
  <c r="D1745" i="1"/>
  <c r="E1745" i="1"/>
  <c r="F1745" i="1"/>
  <c r="G1745" i="1"/>
  <c r="H1745" i="1"/>
  <c r="I1745" i="1"/>
  <c r="J1745" i="1"/>
  <c r="K1745" i="1"/>
  <c r="L1745" i="1"/>
  <c r="M1745" i="1"/>
  <c r="N1745" i="1"/>
  <c r="O1745" i="1"/>
  <c r="P1745" i="1"/>
  <c r="R1745" i="1"/>
  <c r="S1745" i="1"/>
  <c r="T1745" i="1"/>
  <c r="U1745" i="1"/>
  <c r="C1744" i="1"/>
  <c r="D1744" i="1"/>
  <c r="E1744" i="1"/>
  <c r="F1744" i="1"/>
  <c r="G1744" i="1"/>
  <c r="H1744" i="1"/>
  <c r="I1744" i="1"/>
  <c r="J1744" i="1"/>
  <c r="K1744" i="1"/>
  <c r="L1744" i="1"/>
  <c r="M1744" i="1"/>
  <c r="N1744" i="1"/>
  <c r="O1744" i="1"/>
  <c r="P1744" i="1"/>
  <c r="R1744" i="1"/>
  <c r="S1744" i="1"/>
  <c r="T1744" i="1"/>
  <c r="U1744" i="1"/>
  <c r="C1743" i="1"/>
  <c r="D1743" i="1"/>
  <c r="E1743" i="1"/>
  <c r="F1743" i="1"/>
  <c r="G1743" i="1"/>
  <c r="H1743" i="1"/>
  <c r="I1743" i="1"/>
  <c r="J1743" i="1"/>
  <c r="K1743" i="1"/>
  <c r="L1743" i="1"/>
  <c r="M1743" i="1"/>
  <c r="N1743" i="1"/>
  <c r="O1743" i="1"/>
  <c r="P1743" i="1"/>
  <c r="R1743" i="1"/>
  <c r="S1743" i="1"/>
  <c r="T1743" i="1"/>
  <c r="U1743" i="1"/>
  <c r="C1742" i="1"/>
  <c r="D1742" i="1"/>
  <c r="E1742" i="1"/>
  <c r="F1742" i="1"/>
  <c r="G1742" i="1"/>
  <c r="H1742" i="1"/>
  <c r="I1742" i="1"/>
  <c r="J1742" i="1"/>
  <c r="K1742" i="1"/>
  <c r="L1742" i="1"/>
  <c r="M1742" i="1"/>
  <c r="N1742" i="1"/>
  <c r="O1742" i="1"/>
  <c r="P1742" i="1"/>
  <c r="R1742" i="1"/>
  <c r="S1742" i="1"/>
  <c r="T1742" i="1"/>
  <c r="U1742" i="1"/>
  <c r="B1741" i="1"/>
  <c r="C1741" i="1"/>
  <c r="D1741" i="1"/>
  <c r="E1741" i="1"/>
  <c r="F1741" i="1"/>
  <c r="G1741" i="1"/>
  <c r="H1741" i="1"/>
  <c r="I1741" i="1"/>
  <c r="J1741" i="1"/>
  <c r="K1741" i="1"/>
  <c r="L1741" i="1"/>
  <c r="M1741" i="1"/>
  <c r="N1741" i="1"/>
  <c r="O1741" i="1"/>
  <c r="P1741" i="1"/>
  <c r="R1741" i="1"/>
  <c r="S1741" i="1"/>
  <c r="T1741" i="1"/>
  <c r="U1741" i="1"/>
  <c r="C1740" i="1"/>
  <c r="D1740" i="1"/>
  <c r="E1740" i="1"/>
  <c r="F1740" i="1"/>
  <c r="G1740" i="1"/>
  <c r="H1740" i="1"/>
  <c r="I1740" i="1"/>
  <c r="J1740" i="1"/>
  <c r="K1740" i="1"/>
  <c r="L1740" i="1"/>
  <c r="M1740" i="1"/>
  <c r="N1740" i="1"/>
  <c r="O1740" i="1"/>
  <c r="P1740" i="1"/>
  <c r="R1740" i="1"/>
  <c r="S1740" i="1"/>
  <c r="T1740" i="1"/>
  <c r="U1740" i="1"/>
  <c r="C1739" i="1"/>
  <c r="D1739" i="1"/>
  <c r="E1739" i="1"/>
  <c r="F1739" i="1"/>
  <c r="G1739" i="1"/>
  <c r="H1739" i="1"/>
  <c r="I1739" i="1"/>
  <c r="J1739" i="1"/>
  <c r="K1739" i="1"/>
  <c r="L1739" i="1"/>
  <c r="M1739" i="1"/>
  <c r="N1739" i="1"/>
  <c r="O1739" i="1"/>
  <c r="P1739" i="1"/>
  <c r="R1739" i="1"/>
  <c r="S1739" i="1"/>
  <c r="T1739" i="1"/>
  <c r="U1739" i="1"/>
  <c r="C1738" i="1"/>
  <c r="D1738" i="1"/>
  <c r="E1738" i="1"/>
  <c r="F1738" i="1"/>
  <c r="G1738" i="1"/>
  <c r="H1738" i="1"/>
  <c r="I1738" i="1"/>
  <c r="J1738" i="1"/>
  <c r="K1738" i="1"/>
  <c r="L1738" i="1"/>
  <c r="M1738" i="1"/>
  <c r="N1738" i="1"/>
  <c r="O1738" i="1"/>
  <c r="P1738" i="1"/>
  <c r="R1738" i="1"/>
  <c r="S1738" i="1"/>
  <c r="T1738" i="1"/>
  <c r="U1738" i="1"/>
  <c r="C1737" i="1"/>
  <c r="D1737" i="1"/>
  <c r="E1737" i="1"/>
  <c r="F1737" i="1"/>
  <c r="G1737" i="1"/>
  <c r="H1737" i="1"/>
  <c r="I1737" i="1"/>
  <c r="J1737" i="1"/>
  <c r="K1737" i="1"/>
  <c r="L1737" i="1"/>
  <c r="M1737" i="1"/>
  <c r="N1737" i="1"/>
  <c r="O1737" i="1"/>
  <c r="P1737" i="1"/>
  <c r="R1737" i="1"/>
  <c r="S1737" i="1"/>
  <c r="T1737" i="1"/>
  <c r="U1737" i="1"/>
  <c r="C1736" i="1"/>
  <c r="D1736" i="1"/>
  <c r="E1736" i="1"/>
  <c r="F1736" i="1"/>
  <c r="G1736" i="1"/>
  <c r="H1736" i="1"/>
  <c r="I1736" i="1"/>
  <c r="J1736" i="1"/>
  <c r="K1736" i="1"/>
  <c r="L1736" i="1"/>
  <c r="M1736" i="1"/>
  <c r="N1736" i="1"/>
  <c r="O1736" i="1"/>
  <c r="P1736" i="1"/>
  <c r="R1736" i="1"/>
  <c r="S1736" i="1"/>
  <c r="T1736" i="1"/>
  <c r="U1736" i="1"/>
  <c r="C1735" i="1"/>
  <c r="D1735" i="1"/>
  <c r="E1735" i="1"/>
  <c r="F1735" i="1"/>
  <c r="G1735" i="1"/>
  <c r="H1735" i="1"/>
  <c r="I1735" i="1"/>
  <c r="J1735" i="1"/>
  <c r="K1735" i="1"/>
  <c r="L1735" i="1"/>
  <c r="M1735" i="1"/>
  <c r="N1735" i="1"/>
  <c r="O1735" i="1"/>
  <c r="P1735" i="1"/>
  <c r="R1735" i="1"/>
  <c r="S1735" i="1"/>
  <c r="T1735" i="1"/>
  <c r="U1735" i="1"/>
  <c r="C1734" i="1"/>
  <c r="D1734" i="1"/>
  <c r="E1734" i="1"/>
  <c r="F1734" i="1"/>
  <c r="G1734" i="1"/>
  <c r="H1734" i="1"/>
  <c r="I1734" i="1"/>
  <c r="J1734" i="1"/>
  <c r="K1734" i="1"/>
  <c r="L1734" i="1"/>
  <c r="M1734" i="1"/>
  <c r="N1734" i="1"/>
  <c r="O1734" i="1"/>
  <c r="P1734" i="1"/>
  <c r="R1734" i="1"/>
  <c r="S1734" i="1"/>
  <c r="T1734" i="1"/>
  <c r="U1734" i="1"/>
  <c r="C1733" i="1"/>
  <c r="D1733" i="1"/>
  <c r="E1733" i="1"/>
  <c r="F1733" i="1"/>
  <c r="G1733" i="1"/>
  <c r="H1733" i="1"/>
  <c r="I1733" i="1"/>
  <c r="J1733" i="1"/>
  <c r="K1733" i="1"/>
  <c r="L1733" i="1"/>
  <c r="M1733" i="1"/>
  <c r="N1733" i="1"/>
  <c r="O1733" i="1"/>
  <c r="P1733" i="1"/>
  <c r="R1733" i="1"/>
  <c r="S1733" i="1"/>
  <c r="T1733" i="1"/>
  <c r="U1733" i="1"/>
  <c r="B1732" i="1"/>
  <c r="C1732" i="1"/>
  <c r="D1732" i="1"/>
  <c r="E1732" i="1"/>
  <c r="F1732" i="1"/>
  <c r="G1732" i="1"/>
  <c r="H1732" i="1"/>
  <c r="I1732" i="1"/>
  <c r="J1732" i="1"/>
  <c r="K1732" i="1"/>
  <c r="L1732" i="1"/>
  <c r="M1732" i="1"/>
  <c r="N1732" i="1"/>
  <c r="O1732" i="1"/>
  <c r="P1732" i="1"/>
  <c r="R1732" i="1"/>
  <c r="S1732" i="1"/>
  <c r="T1732" i="1"/>
  <c r="U1732" i="1"/>
  <c r="C1731" i="1"/>
  <c r="D1731" i="1"/>
  <c r="E1731" i="1"/>
  <c r="F1731" i="1"/>
  <c r="G1731" i="1"/>
  <c r="H1731" i="1"/>
  <c r="I1731" i="1"/>
  <c r="J1731" i="1"/>
  <c r="K1731" i="1"/>
  <c r="L1731" i="1"/>
  <c r="M1731" i="1"/>
  <c r="N1731" i="1"/>
  <c r="O1731" i="1"/>
  <c r="P1731" i="1"/>
  <c r="R1731" i="1"/>
  <c r="S1731" i="1"/>
  <c r="T1731" i="1"/>
  <c r="U1731" i="1"/>
  <c r="C1730" i="1"/>
  <c r="D1730" i="1"/>
  <c r="E1730" i="1"/>
  <c r="F1730" i="1"/>
  <c r="G1730" i="1"/>
  <c r="H1730" i="1"/>
  <c r="I1730" i="1"/>
  <c r="J1730" i="1"/>
  <c r="K1730" i="1"/>
  <c r="L1730" i="1"/>
  <c r="M1730" i="1"/>
  <c r="N1730" i="1"/>
  <c r="O1730" i="1"/>
  <c r="P1730" i="1"/>
  <c r="R1730" i="1"/>
  <c r="S1730" i="1"/>
  <c r="T1730" i="1"/>
  <c r="U1730" i="1"/>
  <c r="C1729" i="1"/>
  <c r="D1729" i="1"/>
  <c r="E1729" i="1"/>
  <c r="F1729" i="1"/>
  <c r="G1729" i="1"/>
  <c r="H1729" i="1"/>
  <c r="I1729" i="1"/>
  <c r="J1729" i="1"/>
  <c r="K1729" i="1"/>
  <c r="L1729" i="1"/>
  <c r="M1729" i="1"/>
  <c r="N1729" i="1"/>
  <c r="O1729" i="1"/>
  <c r="P1729" i="1"/>
  <c r="R1729" i="1"/>
  <c r="S1729" i="1"/>
  <c r="T1729" i="1"/>
  <c r="U1729" i="1"/>
  <c r="C1728" i="1"/>
  <c r="D1728" i="1"/>
  <c r="E1728" i="1"/>
  <c r="F1728" i="1"/>
  <c r="G1728" i="1"/>
  <c r="H1728" i="1"/>
  <c r="I1728" i="1"/>
  <c r="J1728" i="1"/>
  <c r="K1728" i="1"/>
  <c r="L1728" i="1"/>
  <c r="M1728" i="1"/>
  <c r="N1728" i="1"/>
  <c r="O1728" i="1"/>
  <c r="P1728" i="1"/>
  <c r="R1728" i="1"/>
  <c r="S1728" i="1"/>
  <c r="T1728" i="1"/>
  <c r="U1728" i="1"/>
  <c r="C1727" i="1"/>
  <c r="D1727" i="1"/>
  <c r="E1727" i="1"/>
  <c r="F1727" i="1"/>
  <c r="G1727" i="1"/>
  <c r="H1727" i="1"/>
  <c r="I1727" i="1"/>
  <c r="J1727" i="1"/>
  <c r="K1727" i="1"/>
  <c r="L1727" i="1"/>
  <c r="M1727" i="1"/>
  <c r="N1727" i="1"/>
  <c r="O1727" i="1"/>
  <c r="P1727" i="1"/>
  <c r="R1727" i="1"/>
  <c r="S1727" i="1"/>
  <c r="T1727" i="1"/>
  <c r="U1727" i="1"/>
  <c r="C1726" i="1"/>
  <c r="D1726" i="1"/>
  <c r="E1726" i="1"/>
  <c r="F1726" i="1"/>
  <c r="G1726" i="1"/>
  <c r="H1726" i="1"/>
  <c r="I1726" i="1"/>
  <c r="J1726" i="1"/>
  <c r="K1726" i="1"/>
  <c r="L1726" i="1"/>
  <c r="M1726" i="1"/>
  <c r="N1726" i="1"/>
  <c r="O1726" i="1"/>
  <c r="P1726" i="1"/>
  <c r="R1726" i="1"/>
  <c r="S1726" i="1"/>
  <c r="T1726" i="1"/>
  <c r="U1726" i="1"/>
  <c r="C1725" i="1"/>
  <c r="D1725" i="1"/>
  <c r="E1725" i="1"/>
  <c r="F1725" i="1"/>
  <c r="G1725" i="1"/>
  <c r="H1725" i="1"/>
  <c r="I1725" i="1"/>
  <c r="J1725" i="1"/>
  <c r="K1725" i="1"/>
  <c r="L1725" i="1"/>
  <c r="M1725" i="1"/>
  <c r="N1725" i="1"/>
  <c r="O1725" i="1"/>
  <c r="P1725" i="1"/>
  <c r="R1725" i="1"/>
  <c r="S1725" i="1"/>
  <c r="T1725" i="1"/>
  <c r="U1725" i="1"/>
  <c r="C1724" i="1"/>
  <c r="D1724" i="1"/>
  <c r="E1724" i="1"/>
  <c r="F1724" i="1"/>
  <c r="G1724" i="1"/>
  <c r="H1724" i="1"/>
  <c r="I1724" i="1"/>
  <c r="J1724" i="1"/>
  <c r="K1724" i="1"/>
  <c r="L1724" i="1"/>
  <c r="M1724" i="1"/>
  <c r="N1724" i="1"/>
  <c r="O1724" i="1"/>
  <c r="P1724" i="1"/>
  <c r="R1724" i="1"/>
  <c r="S1724" i="1"/>
  <c r="T1724" i="1"/>
  <c r="U1724" i="1"/>
  <c r="B1723" i="1"/>
  <c r="C1723" i="1"/>
  <c r="D1723" i="1"/>
  <c r="E1723" i="1"/>
  <c r="F1723" i="1"/>
  <c r="G1723" i="1"/>
  <c r="H1723" i="1"/>
  <c r="I1723" i="1"/>
  <c r="J1723" i="1"/>
  <c r="K1723" i="1"/>
  <c r="L1723" i="1"/>
  <c r="M1723" i="1"/>
  <c r="N1723" i="1"/>
  <c r="O1723" i="1"/>
  <c r="P1723" i="1"/>
  <c r="R1723" i="1"/>
  <c r="S1723" i="1"/>
  <c r="T1723" i="1"/>
  <c r="U1723" i="1"/>
  <c r="C1722" i="1"/>
  <c r="D1722" i="1"/>
  <c r="E1722" i="1"/>
  <c r="F1722" i="1"/>
  <c r="G1722" i="1"/>
  <c r="H1722" i="1"/>
  <c r="I1722" i="1"/>
  <c r="J1722" i="1"/>
  <c r="K1722" i="1"/>
  <c r="L1722" i="1"/>
  <c r="M1722" i="1"/>
  <c r="N1722" i="1"/>
  <c r="O1722" i="1"/>
  <c r="P1722" i="1"/>
  <c r="R1722" i="1"/>
  <c r="S1722" i="1"/>
  <c r="T1722" i="1"/>
  <c r="U1722" i="1"/>
  <c r="C1721" i="1"/>
  <c r="D1721" i="1"/>
  <c r="E1721" i="1"/>
  <c r="F1721" i="1"/>
  <c r="G1721" i="1"/>
  <c r="H1721" i="1"/>
  <c r="I1721" i="1"/>
  <c r="J1721" i="1"/>
  <c r="K1721" i="1"/>
  <c r="L1721" i="1"/>
  <c r="M1721" i="1"/>
  <c r="N1721" i="1"/>
  <c r="O1721" i="1"/>
  <c r="P1721" i="1"/>
  <c r="R1721" i="1"/>
  <c r="S1721" i="1"/>
  <c r="T1721" i="1"/>
  <c r="U1721" i="1"/>
  <c r="C1720" i="1"/>
  <c r="D1720" i="1"/>
  <c r="E1720" i="1"/>
  <c r="F1720" i="1"/>
  <c r="G1720" i="1"/>
  <c r="H1720" i="1"/>
  <c r="I1720" i="1"/>
  <c r="J1720" i="1"/>
  <c r="K1720" i="1"/>
  <c r="L1720" i="1"/>
  <c r="M1720" i="1"/>
  <c r="N1720" i="1"/>
  <c r="O1720" i="1"/>
  <c r="P1720" i="1"/>
  <c r="R1720" i="1"/>
  <c r="S1720" i="1"/>
  <c r="T1720" i="1"/>
  <c r="U1720" i="1"/>
  <c r="C1719" i="1"/>
  <c r="D1719" i="1"/>
  <c r="E1719" i="1"/>
  <c r="F1719" i="1"/>
  <c r="G1719" i="1"/>
  <c r="H1719" i="1"/>
  <c r="I1719" i="1"/>
  <c r="J1719" i="1"/>
  <c r="K1719" i="1"/>
  <c r="L1719" i="1"/>
  <c r="M1719" i="1"/>
  <c r="N1719" i="1"/>
  <c r="O1719" i="1"/>
  <c r="P1719" i="1"/>
  <c r="R1719" i="1"/>
  <c r="S1719" i="1"/>
  <c r="T1719" i="1"/>
  <c r="U1719" i="1"/>
  <c r="C1718" i="1"/>
  <c r="D1718" i="1"/>
  <c r="E1718" i="1"/>
  <c r="F1718" i="1"/>
  <c r="G1718" i="1"/>
  <c r="H1718" i="1"/>
  <c r="I1718" i="1"/>
  <c r="J1718" i="1"/>
  <c r="K1718" i="1"/>
  <c r="L1718" i="1"/>
  <c r="M1718" i="1"/>
  <c r="N1718" i="1"/>
  <c r="O1718" i="1"/>
  <c r="P1718" i="1"/>
  <c r="R1718" i="1"/>
  <c r="S1718" i="1"/>
  <c r="T1718" i="1"/>
  <c r="U1718" i="1"/>
  <c r="C1717" i="1"/>
  <c r="D1717" i="1"/>
  <c r="E1717" i="1"/>
  <c r="F1717" i="1"/>
  <c r="G1717" i="1"/>
  <c r="H1717" i="1"/>
  <c r="I1717" i="1"/>
  <c r="J1717" i="1"/>
  <c r="K1717" i="1"/>
  <c r="L1717" i="1"/>
  <c r="M1717" i="1"/>
  <c r="N1717" i="1"/>
  <c r="O1717" i="1"/>
  <c r="P1717" i="1"/>
  <c r="R1717" i="1"/>
  <c r="S1717" i="1"/>
  <c r="T1717" i="1"/>
  <c r="U1717" i="1"/>
  <c r="C1716" i="1"/>
  <c r="D1716" i="1"/>
  <c r="E1716" i="1"/>
  <c r="F1716" i="1"/>
  <c r="G1716" i="1"/>
  <c r="H1716" i="1"/>
  <c r="I1716" i="1"/>
  <c r="J1716" i="1"/>
  <c r="K1716" i="1"/>
  <c r="L1716" i="1"/>
  <c r="M1716" i="1"/>
  <c r="N1716" i="1"/>
  <c r="O1716" i="1"/>
  <c r="P1716" i="1"/>
  <c r="R1716" i="1"/>
  <c r="S1716" i="1"/>
  <c r="T1716" i="1"/>
  <c r="U1716" i="1"/>
  <c r="C1715" i="1"/>
  <c r="D1715" i="1"/>
  <c r="E1715" i="1"/>
  <c r="F1715" i="1"/>
  <c r="G1715" i="1"/>
  <c r="H1715" i="1"/>
  <c r="I1715" i="1"/>
  <c r="J1715" i="1"/>
  <c r="K1715" i="1"/>
  <c r="L1715" i="1"/>
  <c r="M1715" i="1"/>
  <c r="N1715" i="1"/>
  <c r="O1715" i="1"/>
  <c r="P1715" i="1"/>
  <c r="R1715" i="1"/>
  <c r="S1715" i="1"/>
  <c r="T1715" i="1"/>
  <c r="U1715" i="1"/>
  <c r="B1714" i="1"/>
  <c r="C1714" i="1"/>
  <c r="D1714" i="1"/>
  <c r="E1714" i="1"/>
  <c r="F1714" i="1"/>
  <c r="G1714" i="1"/>
  <c r="H1714" i="1"/>
  <c r="I1714" i="1"/>
  <c r="J1714" i="1"/>
  <c r="K1714" i="1"/>
  <c r="L1714" i="1"/>
  <c r="M1714" i="1"/>
  <c r="N1714" i="1"/>
  <c r="O1714" i="1"/>
  <c r="P1714" i="1"/>
  <c r="R1714" i="1"/>
  <c r="S1714" i="1"/>
  <c r="T1714" i="1"/>
  <c r="U1714" i="1"/>
  <c r="C1713" i="1"/>
  <c r="D1713" i="1"/>
  <c r="E1713" i="1"/>
  <c r="F1713" i="1"/>
  <c r="G1713" i="1"/>
  <c r="H1713" i="1"/>
  <c r="I1713" i="1"/>
  <c r="J1713" i="1"/>
  <c r="K1713" i="1"/>
  <c r="L1713" i="1"/>
  <c r="M1713" i="1"/>
  <c r="N1713" i="1"/>
  <c r="O1713" i="1"/>
  <c r="P1713" i="1"/>
  <c r="R1713" i="1"/>
  <c r="S1713" i="1"/>
  <c r="T1713" i="1"/>
  <c r="U1713" i="1"/>
  <c r="C1712" i="1"/>
  <c r="D1712" i="1"/>
  <c r="E1712" i="1"/>
  <c r="F1712" i="1"/>
  <c r="G1712" i="1"/>
  <c r="H1712" i="1"/>
  <c r="I1712" i="1"/>
  <c r="J1712" i="1"/>
  <c r="K1712" i="1"/>
  <c r="L1712" i="1"/>
  <c r="M1712" i="1"/>
  <c r="N1712" i="1"/>
  <c r="O1712" i="1"/>
  <c r="P1712" i="1"/>
  <c r="R1712" i="1"/>
  <c r="S1712" i="1"/>
  <c r="T1712" i="1"/>
  <c r="U1712" i="1"/>
  <c r="C1711" i="1"/>
  <c r="D1711" i="1"/>
  <c r="E1711" i="1"/>
  <c r="F1711" i="1"/>
  <c r="G1711" i="1"/>
  <c r="H1711" i="1"/>
  <c r="I1711" i="1"/>
  <c r="J1711" i="1"/>
  <c r="K1711" i="1"/>
  <c r="L1711" i="1"/>
  <c r="M1711" i="1"/>
  <c r="N1711" i="1"/>
  <c r="O1711" i="1"/>
  <c r="P1711" i="1"/>
  <c r="R1711" i="1"/>
  <c r="S1711" i="1"/>
  <c r="T1711" i="1"/>
  <c r="U1711" i="1"/>
  <c r="C1710" i="1"/>
  <c r="D1710" i="1"/>
  <c r="E1710" i="1"/>
  <c r="F1710" i="1"/>
  <c r="G1710" i="1"/>
  <c r="H1710" i="1"/>
  <c r="I1710" i="1"/>
  <c r="J1710" i="1"/>
  <c r="K1710" i="1"/>
  <c r="L1710" i="1"/>
  <c r="M1710" i="1"/>
  <c r="N1710" i="1"/>
  <c r="O1710" i="1"/>
  <c r="P1710" i="1"/>
  <c r="R1710" i="1"/>
  <c r="S1710" i="1"/>
  <c r="T1710" i="1"/>
  <c r="U1710" i="1"/>
  <c r="C1709" i="1"/>
  <c r="D1709" i="1"/>
  <c r="E1709" i="1"/>
  <c r="F1709" i="1"/>
  <c r="G1709" i="1"/>
  <c r="H1709" i="1"/>
  <c r="I1709" i="1"/>
  <c r="J1709" i="1"/>
  <c r="K1709" i="1"/>
  <c r="L1709" i="1"/>
  <c r="M1709" i="1"/>
  <c r="N1709" i="1"/>
  <c r="O1709" i="1"/>
  <c r="P1709" i="1"/>
  <c r="R1709" i="1"/>
  <c r="S1709" i="1"/>
  <c r="T1709" i="1"/>
  <c r="U1709" i="1"/>
  <c r="C1708" i="1"/>
  <c r="D1708" i="1"/>
  <c r="E1708" i="1"/>
  <c r="F1708" i="1"/>
  <c r="G1708" i="1"/>
  <c r="H1708" i="1"/>
  <c r="I1708" i="1"/>
  <c r="J1708" i="1"/>
  <c r="K1708" i="1"/>
  <c r="L1708" i="1"/>
  <c r="M1708" i="1"/>
  <c r="N1708" i="1"/>
  <c r="O1708" i="1"/>
  <c r="P1708" i="1"/>
  <c r="R1708" i="1"/>
  <c r="S1708" i="1"/>
  <c r="T1708" i="1"/>
  <c r="U1708" i="1"/>
  <c r="C1707" i="1"/>
  <c r="D1707" i="1"/>
  <c r="E1707" i="1"/>
  <c r="F1707" i="1"/>
  <c r="G1707" i="1"/>
  <c r="H1707" i="1"/>
  <c r="I1707" i="1"/>
  <c r="J1707" i="1"/>
  <c r="K1707" i="1"/>
  <c r="L1707" i="1"/>
  <c r="M1707" i="1"/>
  <c r="N1707" i="1"/>
  <c r="O1707" i="1"/>
  <c r="P1707" i="1"/>
  <c r="R1707" i="1"/>
  <c r="S1707" i="1"/>
  <c r="T1707" i="1"/>
  <c r="U1707" i="1"/>
  <c r="C1706" i="1"/>
  <c r="D1706" i="1"/>
  <c r="E1706" i="1"/>
  <c r="F1706" i="1"/>
  <c r="G1706" i="1"/>
  <c r="H1706" i="1"/>
  <c r="I1706" i="1"/>
  <c r="J1706" i="1"/>
  <c r="K1706" i="1"/>
  <c r="L1706" i="1"/>
  <c r="M1706" i="1"/>
  <c r="N1706" i="1"/>
  <c r="O1706" i="1"/>
  <c r="P1706" i="1"/>
  <c r="R1706" i="1"/>
  <c r="S1706" i="1"/>
  <c r="T1706" i="1"/>
  <c r="U1706" i="1"/>
  <c r="B1705" i="1"/>
  <c r="C1705" i="1"/>
  <c r="D1705" i="1"/>
  <c r="E1705" i="1"/>
  <c r="F1705" i="1"/>
  <c r="G1705" i="1"/>
  <c r="H1705" i="1"/>
  <c r="I1705" i="1"/>
  <c r="J1705" i="1"/>
  <c r="K1705" i="1"/>
  <c r="L1705" i="1"/>
  <c r="M1705" i="1"/>
  <c r="N1705" i="1"/>
  <c r="O1705" i="1"/>
  <c r="P1705" i="1"/>
  <c r="R1705" i="1"/>
  <c r="S1705" i="1"/>
  <c r="T1705" i="1"/>
  <c r="U1705" i="1"/>
  <c r="C1704" i="1"/>
  <c r="D1704" i="1"/>
  <c r="E1704" i="1"/>
  <c r="F1704" i="1"/>
  <c r="G1704" i="1"/>
  <c r="H1704" i="1"/>
  <c r="I1704" i="1"/>
  <c r="J1704" i="1"/>
  <c r="K1704" i="1"/>
  <c r="L1704" i="1"/>
  <c r="M1704" i="1"/>
  <c r="N1704" i="1"/>
  <c r="O1704" i="1"/>
  <c r="P1704" i="1"/>
  <c r="R1704" i="1"/>
  <c r="S1704" i="1"/>
  <c r="T1704" i="1"/>
  <c r="U1704" i="1"/>
  <c r="C1703" i="1"/>
  <c r="D1703" i="1"/>
  <c r="E1703" i="1"/>
  <c r="F1703" i="1"/>
  <c r="G1703" i="1"/>
  <c r="H1703" i="1"/>
  <c r="I1703" i="1"/>
  <c r="J1703" i="1"/>
  <c r="K1703" i="1"/>
  <c r="L1703" i="1"/>
  <c r="M1703" i="1"/>
  <c r="N1703" i="1"/>
  <c r="O1703" i="1"/>
  <c r="P1703" i="1"/>
  <c r="R1703" i="1"/>
  <c r="S1703" i="1"/>
  <c r="T1703" i="1"/>
  <c r="U1703" i="1"/>
  <c r="C1702" i="1"/>
  <c r="D1702" i="1"/>
  <c r="E1702" i="1"/>
  <c r="F1702" i="1"/>
  <c r="G1702" i="1"/>
  <c r="H1702" i="1"/>
  <c r="I1702" i="1"/>
  <c r="J1702" i="1"/>
  <c r="K1702" i="1"/>
  <c r="L1702" i="1"/>
  <c r="M1702" i="1"/>
  <c r="N1702" i="1"/>
  <c r="O1702" i="1"/>
  <c r="P1702" i="1"/>
  <c r="R1702" i="1"/>
  <c r="S1702" i="1"/>
  <c r="T1702" i="1"/>
  <c r="U1702" i="1"/>
  <c r="C1701" i="1"/>
  <c r="D1701" i="1"/>
  <c r="E1701" i="1"/>
  <c r="F1701" i="1"/>
  <c r="G1701" i="1"/>
  <c r="H1701" i="1"/>
  <c r="I1701" i="1"/>
  <c r="J1701" i="1"/>
  <c r="K1701" i="1"/>
  <c r="L1701" i="1"/>
  <c r="M1701" i="1"/>
  <c r="N1701" i="1"/>
  <c r="O1701" i="1"/>
  <c r="P1701" i="1"/>
  <c r="R1701" i="1"/>
  <c r="S1701" i="1"/>
  <c r="T1701" i="1"/>
  <c r="U1701" i="1"/>
  <c r="C1700" i="1"/>
  <c r="D1700" i="1"/>
  <c r="E1700" i="1"/>
  <c r="F1700" i="1"/>
  <c r="G1700" i="1"/>
  <c r="H1700" i="1"/>
  <c r="I1700" i="1"/>
  <c r="J1700" i="1"/>
  <c r="K1700" i="1"/>
  <c r="L1700" i="1"/>
  <c r="M1700" i="1"/>
  <c r="N1700" i="1"/>
  <c r="O1700" i="1"/>
  <c r="P1700" i="1"/>
  <c r="R1700" i="1"/>
  <c r="S1700" i="1"/>
  <c r="T1700" i="1"/>
  <c r="U1700" i="1"/>
  <c r="C1699" i="1"/>
  <c r="D1699" i="1"/>
  <c r="E1699" i="1"/>
  <c r="F1699" i="1"/>
  <c r="G1699" i="1"/>
  <c r="H1699" i="1"/>
  <c r="I1699" i="1"/>
  <c r="J1699" i="1"/>
  <c r="K1699" i="1"/>
  <c r="L1699" i="1"/>
  <c r="M1699" i="1"/>
  <c r="N1699" i="1"/>
  <c r="O1699" i="1"/>
  <c r="P1699" i="1"/>
  <c r="R1699" i="1"/>
  <c r="S1699" i="1"/>
  <c r="T1699" i="1"/>
  <c r="U1699" i="1"/>
  <c r="C1698" i="1"/>
  <c r="D1698" i="1"/>
  <c r="E1698" i="1"/>
  <c r="F1698" i="1"/>
  <c r="G1698" i="1"/>
  <c r="H1698" i="1"/>
  <c r="I1698" i="1"/>
  <c r="J1698" i="1"/>
  <c r="K1698" i="1"/>
  <c r="L1698" i="1"/>
  <c r="M1698" i="1"/>
  <c r="N1698" i="1"/>
  <c r="O1698" i="1"/>
  <c r="P1698" i="1"/>
  <c r="R1698" i="1"/>
  <c r="S1698" i="1"/>
  <c r="T1698" i="1"/>
  <c r="U1698" i="1"/>
  <c r="C1697" i="1"/>
  <c r="D1697" i="1"/>
  <c r="E1697" i="1"/>
  <c r="F1697" i="1"/>
  <c r="G1697" i="1"/>
  <c r="H1697" i="1"/>
  <c r="I1697" i="1"/>
  <c r="J1697" i="1"/>
  <c r="K1697" i="1"/>
  <c r="L1697" i="1"/>
  <c r="M1697" i="1"/>
  <c r="N1697" i="1"/>
  <c r="O1697" i="1"/>
  <c r="P1697" i="1"/>
  <c r="R1697" i="1"/>
  <c r="S1697" i="1"/>
  <c r="T1697" i="1"/>
  <c r="U1697" i="1"/>
  <c r="B1696" i="1"/>
  <c r="C1696" i="1"/>
  <c r="D1696" i="1"/>
  <c r="E1696" i="1"/>
  <c r="F1696" i="1"/>
  <c r="G1696" i="1"/>
  <c r="H1696" i="1"/>
  <c r="I1696" i="1"/>
  <c r="J1696" i="1"/>
  <c r="K1696" i="1"/>
  <c r="L1696" i="1"/>
  <c r="M1696" i="1"/>
  <c r="N1696" i="1"/>
  <c r="O1696" i="1"/>
  <c r="P1696" i="1"/>
  <c r="R1696" i="1"/>
  <c r="S1696" i="1"/>
  <c r="T1696" i="1"/>
  <c r="U1696" i="1"/>
  <c r="C1695" i="1"/>
  <c r="D1695" i="1"/>
  <c r="E1695" i="1"/>
  <c r="F1695" i="1"/>
  <c r="G1695" i="1"/>
  <c r="H1695" i="1"/>
  <c r="I1695" i="1"/>
  <c r="J1695" i="1"/>
  <c r="K1695" i="1"/>
  <c r="L1695" i="1"/>
  <c r="M1695" i="1"/>
  <c r="N1695" i="1"/>
  <c r="O1695" i="1"/>
  <c r="P1695" i="1"/>
  <c r="R1695" i="1"/>
  <c r="S1695" i="1"/>
  <c r="T1695" i="1"/>
  <c r="U1695" i="1"/>
  <c r="C1694" i="1"/>
  <c r="D1694" i="1"/>
  <c r="E1694" i="1"/>
  <c r="F1694" i="1"/>
  <c r="G1694" i="1"/>
  <c r="H1694" i="1"/>
  <c r="I1694" i="1"/>
  <c r="J1694" i="1"/>
  <c r="K1694" i="1"/>
  <c r="L1694" i="1"/>
  <c r="M1694" i="1"/>
  <c r="N1694" i="1"/>
  <c r="O1694" i="1"/>
  <c r="P1694" i="1"/>
  <c r="R1694" i="1"/>
  <c r="S1694" i="1"/>
  <c r="T1694" i="1"/>
  <c r="U1694" i="1"/>
  <c r="C1693" i="1"/>
  <c r="D1693" i="1"/>
  <c r="E1693" i="1"/>
  <c r="F1693" i="1"/>
  <c r="G1693" i="1"/>
  <c r="H1693" i="1"/>
  <c r="I1693" i="1"/>
  <c r="J1693" i="1"/>
  <c r="K1693" i="1"/>
  <c r="L1693" i="1"/>
  <c r="M1693" i="1"/>
  <c r="N1693" i="1"/>
  <c r="O1693" i="1"/>
  <c r="P1693" i="1"/>
  <c r="R1693" i="1"/>
  <c r="S1693" i="1"/>
  <c r="T1693" i="1"/>
  <c r="U1693" i="1"/>
  <c r="C1692" i="1"/>
  <c r="D1692" i="1"/>
  <c r="E1692" i="1"/>
  <c r="F1692" i="1"/>
  <c r="G1692" i="1"/>
  <c r="H1692" i="1"/>
  <c r="I1692" i="1"/>
  <c r="J1692" i="1"/>
  <c r="K1692" i="1"/>
  <c r="L1692" i="1"/>
  <c r="M1692" i="1"/>
  <c r="N1692" i="1"/>
  <c r="O1692" i="1"/>
  <c r="P1692" i="1"/>
  <c r="R1692" i="1"/>
  <c r="S1692" i="1"/>
  <c r="T1692" i="1"/>
  <c r="U1692" i="1"/>
  <c r="C1691" i="1"/>
  <c r="D1691" i="1"/>
  <c r="E1691" i="1"/>
  <c r="F1691" i="1"/>
  <c r="G1691" i="1"/>
  <c r="H1691" i="1"/>
  <c r="I1691" i="1"/>
  <c r="J1691" i="1"/>
  <c r="K1691" i="1"/>
  <c r="L1691" i="1"/>
  <c r="M1691" i="1"/>
  <c r="N1691" i="1"/>
  <c r="O1691" i="1"/>
  <c r="P1691" i="1"/>
  <c r="R1691" i="1"/>
  <c r="S1691" i="1"/>
  <c r="T1691" i="1"/>
  <c r="U1691" i="1"/>
  <c r="C1690" i="1"/>
  <c r="D1690" i="1"/>
  <c r="E1690" i="1"/>
  <c r="F1690" i="1"/>
  <c r="G1690" i="1"/>
  <c r="H1690" i="1"/>
  <c r="I1690" i="1"/>
  <c r="J1690" i="1"/>
  <c r="K1690" i="1"/>
  <c r="L1690" i="1"/>
  <c r="M1690" i="1"/>
  <c r="N1690" i="1"/>
  <c r="O1690" i="1"/>
  <c r="P1690" i="1"/>
  <c r="R1690" i="1"/>
  <c r="S1690" i="1"/>
  <c r="T1690" i="1"/>
  <c r="U1690" i="1"/>
  <c r="C1689" i="1"/>
  <c r="D1689" i="1"/>
  <c r="E1689" i="1"/>
  <c r="F1689" i="1"/>
  <c r="G1689" i="1"/>
  <c r="H1689" i="1"/>
  <c r="I1689" i="1"/>
  <c r="J1689" i="1"/>
  <c r="K1689" i="1"/>
  <c r="L1689" i="1"/>
  <c r="M1689" i="1"/>
  <c r="N1689" i="1"/>
  <c r="O1689" i="1"/>
  <c r="P1689" i="1"/>
  <c r="R1689" i="1"/>
  <c r="S1689" i="1"/>
  <c r="T1689" i="1"/>
  <c r="U1689" i="1"/>
  <c r="C1688" i="1"/>
  <c r="D1688" i="1"/>
  <c r="E1688" i="1"/>
  <c r="F1688" i="1"/>
  <c r="G1688" i="1"/>
  <c r="H1688" i="1"/>
  <c r="I1688" i="1"/>
  <c r="J1688" i="1"/>
  <c r="K1688" i="1"/>
  <c r="L1688" i="1"/>
  <c r="M1688" i="1"/>
  <c r="N1688" i="1"/>
  <c r="O1688" i="1"/>
  <c r="P1688" i="1"/>
  <c r="R1688" i="1"/>
  <c r="S1688" i="1"/>
  <c r="T1688" i="1"/>
  <c r="U1688" i="1"/>
  <c r="B1687" i="1"/>
  <c r="C1687" i="1"/>
  <c r="D1687" i="1"/>
  <c r="E1687" i="1"/>
  <c r="F1687" i="1"/>
  <c r="G1687" i="1"/>
  <c r="H1687" i="1"/>
  <c r="I1687" i="1"/>
  <c r="J1687" i="1"/>
  <c r="K1687" i="1"/>
  <c r="L1687" i="1"/>
  <c r="M1687" i="1"/>
  <c r="N1687" i="1"/>
  <c r="O1687" i="1"/>
  <c r="P1687" i="1"/>
  <c r="R1687" i="1"/>
  <c r="S1687" i="1"/>
  <c r="T1687" i="1"/>
  <c r="U1687" i="1"/>
  <c r="C1686" i="1"/>
  <c r="D1686" i="1"/>
  <c r="E1686" i="1"/>
  <c r="F1686" i="1"/>
  <c r="G1686" i="1"/>
  <c r="H1686" i="1"/>
  <c r="I1686" i="1"/>
  <c r="J1686" i="1"/>
  <c r="K1686" i="1"/>
  <c r="L1686" i="1"/>
  <c r="M1686" i="1"/>
  <c r="N1686" i="1"/>
  <c r="O1686" i="1"/>
  <c r="P1686" i="1"/>
  <c r="R1686" i="1"/>
  <c r="S1686" i="1"/>
  <c r="T1686" i="1"/>
  <c r="U1686" i="1"/>
  <c r="C1685" i="1"/>
  <c r="D1685" i="1"/>
  <c r="E1685" i="1"/>
  <c r="F1685" i="1"/>
  <c r="G1685" i="1"/>
  <c r="H1685" i="1"/>
  <c r="I1685" i="1"/>
  <c r="J1685" i="1"/>
  <c r="K1685" i="1"/>
  <c r="L1685" i="1"/>
  <c r="M1685" i="1"/>
  <c r="N1685" i="1"/>
  <c r="O1685" i="1"/>
  <c r="P1685" i="1"/>
  <c r="R1685" i="1"/>
  <c r="S1685" i="1"/>
  <c r="T1685" i="1"/>
  <c r="U1685" i="1"/>
  <c r="C1684" i="1"/>
  <c r="D1684" i="1"/>
  <c r="E1684" i="1"/>
  <c r="F1684" i="1"/>
  <c r="G1684" i="1"/>
  <c r="H1684" i="1"/>
  <c r="I1684" i="1"/>
  <c r="J1684" i="1"/>
  <c r="K1684" i="1"/>
  <c r="L1684" i="1"/>
  <c r="M1684" i="1"/>
  <c r="N1684" i="1"/>
  <c r="O1684" i="1"/>
  <c r="P1684" i="1"/>
  <c r="R1684" i="1"/>
  <c r="S1684" i="1"/>
  <c r="T1684" i="1"/>
  <c r="U1684" i="1"/>
  <c r="C1683" i="1"/>
  <c r="D1683" i="1"/>
  <c r="E1683" i="1"/>
  <c r="F1683" i="1"/>
  <c r="G1683" i="1"/>
  <c r="H1683" i="1"/>
  <c r="I1683" i="1"/>
  <c r="J1683" i="1"/>
  <c r="K1683" i="1"/>
  <c r="L1683" i="1"/>
  <c r="M1683" i="1"/>
  <c r="N1683" i="1"/>
  <c r="O1683" i="1"/>
  <c r="P1683" i="1"/>
  <c r="R1683" i="1"/>
  <c r="S1683" i="1"/>
  <c r="T1683" i="1"/>
  <c r="U1683" i="1"/>
  <c r="C1682" i="1"/>
  <c r="D1682" i="1"/>
  <c r="E1682" i="1"/>
  <c r="F1682" i="1"/>
  <c r="G1682" i="1"/>
  <c r="H1682" i="1"/>
  <c r="I1682" i="1"/>
  <c r="J1682" i="1"/>
  <c r="K1682" i="1"/>
  <c r="L1682" i="1"/>
  <c r="M1682" i="1"/>
  <c r="N1682" i="1"/>
  <c r="O1682" i="1"/>
  <c r="P1682" i="1"/>
  <c r="R1682" i="1"/>
  <c r="S1682" i="1"/>
  <c r="T1682" i="1"/>
  <c r="U1682" i="1"/>
  <c r="C1681" i="1"/>
  <c r="D1681" i="1"/>
  <c r="E1681" i="1"/>
  <c r="F1681" i="1"/>
  <c r="G1681" i="1"/>
  <c r="H1681" i="1"/>
  <c r="I1681" i="1"/>
  <c r="J1681" i="1"/>
  <c r="K1681" i="1"/>
  <c r="L1681" i="1"/>
  <c r="M1681" i="1"/>
  <c r="N1681" i="1"/>
  <c r="O1681" i="1"/>
  <c r="P1681" i="1"/>
  <c r="R1681" i="1"/>
  <c r="S1681" i="1"/>
  <c r="T1681" i="1"/>
  <c r="U1681" i="1"/>
  <c r="C1680" i="1"/>
  <c r="D1680" i="1"/>
  <c r="E1680" i="1"/>
  <c r="F1680" i="1"/>
  <c r="G1680" i="1"/>
  <c r="H1680" i="1"/>
  <c r="I1680" i="1"/>
  <c r="J1680" i="1"/>
  <c r="K1680" i="1"/>
  <c r="L1680" i="1"/>
  <c r="M1680" i="1"/>
  <c r="N1680" i="1"/>
  <c r="O1680" i="1"/>
  <c r="P1680" i="1"/>
  <c r="R1680" i="1"/>
  <c r="S1680" i="1"/>
  <c r="T1680" i="1"/>
  <c r="U1680" i="1"/>
  <c r="C1679" i="1"/>
  <c r="D1679" i="1"/>
  <c r="E1679" i="1"/>
  <c r="F1679" i="1"/>
  <c r="G1679" i="1"/>
  <c r="H1679" i="1"/>
  <c r="I1679" i="1"/>
  <c r="J1679" i="1"/>
  <c r="K1679" i="1"/>
  <c r="L1679" i="1"/>
  <c r="M1679" i="1"/>
  <c r="N1679" i="1"/>
  <c r="O1679" i="1"/>
  <c r="P1679" i="1"/>
  <c r="R1679" i="1"/>
  <c r="S1679" i="1"/>
  <c r="T1679" i="1"/>
  <c r="U1679" i="1"/>
  <c r="U1678" i="1"/>
  <c r="T1678" i="1"/>
  <c r="R1678" i="1"/>
  <c r="S1678" i="1"/>
  <c r="P1678" i="1"/>
  <c r="N1678" i="1"/>
  <c r="O1678" i="1"/>
  <c r="L1678" i="1"/>
  <c r="M1678" i="1"/>
  <c r="J1678" i="1"/>
  <c r="K1678" i="1"/>
  <c r="H1678" i="1"/>
  <c r="I1678" i="1"/>
  <c r="F1678" i="1"/>
  <c r="G1678" i="1"/>
  <c r="D1678" i="1"/>
  <c r="E1678" i="1"/>
  <c r="B1678" i="1"/>
  <c r="C1678" i="1"/>
  <c r="T1497" i="1"/>
  <c r="U1497" i="1"/>
  <c r="R1497" i="1"/>
  <c r="S1497" i="1"/>
  <c r="P1497" i="1"/>
  <c r="O1497" i="1"/>
  <c r="N1497" i="1"/>
  <c r="M1497" i="1"/>
  <c r="L1497" i="1"/>
  <c r="J1497" i="1"/>
  <c r="K1497" i="1"/>
  <c r="H1497" i="1"/>
  <c r="I1497" i="1"/>
  <c r="F1497" i="1"/>
  <c r="G1497" i="1"/>
  <c r="D1497" i="1"/>
  <c r="E1497" i="1"/>
  <c r="B1497" i="1"/>
  <c r="C1497" i="1"/>
  <c r="S1394" i="1"/>
  <c r="T1394" i="1"/>
  <c r="R1394" i="1"/>
  <c r="O1394" i="1"/>
  <c r="P1394" i="1"/>
  <c r="M1394" i="1"/>
  <c r="N1394" i="1"/>
  <c r="K1394" i="1"/>
  <c r="L1394" i="1"/>
  <c r="I1394" i="1"/>
  <c r="J1394" i="1"/>
  <c r="H1394" i="1"/>
  <c r="F1394" i="1"/>
  <c r="E1394" i="1"/>
  <c r="D1394" i="1"/>
  <c r="B1394" i="1"/>
  <c r="C1394" i="1"/>
  <c r="B990" i="1"/>
  <c r="C990" i="1"/>
  <c r="D990" i="1"/>
  <c r="E990" i="1"/>
  <c r="F990" i="1"/>
  <c r="G990" i="1"/>
  <c r="H990" i="1"/>
  <c r="I990" i="1"/>
  <c r="J990" i="1"/>
  <c r="K990" i="1"/>
  <c r="L990" i="1"/>
  <c r="M990" i="1"/>
  <c r="N990" i="1"/>
  <c r="O990" i="1"/>
  <c r="P990" i="1"/>
  <c r="R990" i="1"/>
  <c r="S990" i="1"/>
  <c r="T990" i="1"/>
  <c r="U990" i="1"/>
  <c r="B989" i="1"/>
  <c r="C989" i="1"/>
  <c r="D989" i="1"/>
  <c r="E989" i="1"/>
  <c r="F989" i="1"/>
  <c r="G989" i="1"/>
  <c r="H989" i="1"/>
  <c r="I989" i="1"/>
  <c r="J989" i="1"/>
  <c r="K989" i="1"/>
  <c r="L989" i="1"/>
  <c r="M989" i="1"/>
  <c r="N989" i="1"/>
  <c r="O989" i="1"/>
  <c r="P989" i="1"/>
  <c r="R989" i="1"/>
  <c r="S989" i="1"/>
  <c r="T989" i="1"/>
  <c r="U989" i="1"/>
  <c r="B988" i="1"/>
  <c r="C988" i="1"/>
  <c r="D988" i="1"/>
  <c r="E988" i="1"/>
  <c r="F988" i="1"/>
  <c r="G988" i="1"/>
  <c r="H988" i="1"/>
  <c r="I988" i="1"/>
  <c r="J988" i="1"/>
  <c r="K988" i="1"/>
  <c r="L988" i="1"/>
  <c r="M988" i="1"/>
  <c r="N988" i="1"/>
  <c r="O988" i="1"/>
  <c r="P988" i="1"/>
  <c r="R988" i="1"/>
  <c r="S988" i="1"/>
  <c r="T988" i="1"/>
  <c r="U988" i="1"/>
  <c r="B987" i="1"/>
  <c r="C987" i="1"/>
  <c r="D987" i="1"/>
  <c r="E987" i="1"/>
  <c r="F987" i="1"/>
  <c r="G987" i="1"/>
  <c r="H987" i="1"/>
  <c r="I987" i="1"/>
  <c r="J987" i="1"/>
  <c r="K987" i="1"/>
  <c r="L987" i="1"/>
  <c r="M987" i="1"/>
  <c r="N987" i="1"/>
  <c r="O987" i="1"/>
  <c r="P987" i="1"/>
  <c r="R987" i="1"/>
  <c r="S987" i="1"/>
  <c r="T987" i="1"/>
  <c r="U987" i="1"/>
  <c r="B986" i="1"/>
  <c r="C986" i="1"/>
  <c r="D986" i="1"/>
  <c r="E986" i="1"/>
  <c r="F986" i="1"/>
  <c r="G986" i="1"/>
  <c r="H986" i="1"/>
  <c r="I986" i="1"/>
  <c r="J986" i="1"/>
  <c r="K986" i="1"/>
  <c r="L986" i="1"/>
  <c r="M986" i="1"/>
  <c r="N986" i="1"/>
  <c r="O986" i="1"/>
  <c r="P986" i="1"/>
  <c r="R986" i="1"/>
  <c r="S986" i="1"/>
  <c r="T986" i="1"/>
  <c r="U986" i="1"/>
  <c r="B985" i="1"/>
  <c r="C985" i="1"/>
  <c r="D985" i="1"/>
  <c r="E985" i="1"/>
  <c r="F985" i="1"/>
  <c r="G985" i="1"/>
  <c r="H985" i="1"/>
  <c r="I985" i="1"/>
  <c r="J985" i="1"/>
  <c r="K985" i="1"/>
  <c r="L985" i="1"/>
  <c r="M985" i="1"/>
  <c r="N985" i="1"/>
  <c r="O985" i="1"/>
  <c r="P985" i="1"/>
  <c r="R985" i="1"/>
  <c r="S985" i="1"/>
  <c r="T985" i="1"/>
  <c r="U985" i="1"/>
  <c r="B984" i="1"/>
  <c r="C984" i="1"/>
  <c r="D984" i="1"/>
  <c r="E984" i="1"/>
  <c r="F984" i="1"/>
  <c r="G984" i="1"/>
  <c r="H984" i="1"/>
  <c r="I984" i="1"/>
  <c r="J984" i="1"/>
  <c r="K984" i="1"/>
  <c r="L984" i="1"/>
  <c r="M984" i="1"/>
  <c r="N984" i="1"/>
  <c r="O984" i="1"/>
  <c r="P984" i="1"/>
  <c r="R984" i="1"/>
  <c r="S984" i="1"/>
  <c r="T984" i="1"/>
  <c r="U984" i="1"/>
  <c r="B983" i="1"/>
  <c r="C983" i="1"/>
  <c r="D983" i="1"/>
  <c r="E983" i="1"/>
  <c r="F983" i="1"/>
  <c r="G983" i="1"/>
  <c r="H983" i="1"/>
  <c r="I983" i="1"/>
  <c r="J983" i="1"/>
  <c r="K983" i="1"/>
  <c r="L983" i="1"/>
  <c r="M983" i="1"/>
  <c r="N983" i="1"/>
  <c r="O983" i="1"/>
  <c r="P983" i="1"/>
  <c r="R983" i="1"/>
  <c r="S983" i="1"/>
  <c r="T983" i="1"/>
  <c r="U983" i="1"/>
  <c r="B982" i="1"/>
  <c r="C982" i="1"/>
  <c r="D982" i="1"/>
  <c r="E982" i="1"/>
  <c r="F982" i="1"/>
  <c r="G982" i="1"/>
  <c r="H982" i="1"/>
  <c r="I982" i="1"/>
  <c r="J982" i="1"/>
  <c r="K982" i="1"/>
  <c r="L982" i="1"/>
  <c r="M982" i="1"/>
  <c r="N982" i="1"/>
  <c r="O982" i="1"/>
  <c r="P982" i="1"/>
  <c r="R982" i="1"/>
  <c r="S982" i="1"/>
  <c r="T982" i="1"/>
  <c r="U982" i="1"/>
  <c r="B981" i="1"/>
  <c r="C981" i="1"/>
  <c r="D981" i="1"/>
  <c r="E981" i="1"/>
  <c r="F981" i="1"/>
  <c r="G981" i="1"/>
  <c r="H981" i="1"/>
  <c r="I981" i="1"/>
  <c r="J981" i="1"/>
  <c r="K981" i="1"/>
  <c r="L981" i="1"/>
  <c r="M981" i="1"/>
  <c r="N981" i="1"/>
  <c r="O981" i="1"/>
  <c r="P981" i="1"/>
  <c r="R981" i="1"/>
  <c r="S981" i="1"/>
  <c r="T981" i="1"/>
  <c r="U981" i="1"/>
  <c r="B980" i="1"/>
  <c r="C980" i="1"/>
  <c r="D980" i="1"/>
  <c r="E980" i="1"/>
  <c r="F980" i="1"/>
  <c r="G980" i="1"/>
  <c r="H980" i="1"/>
  <c r="I980" i="1"/>
  <c r="J980" i="1"/>
  <c r="K980" i="1"/>
  <c r="L980" i="1"/>
  <c r="M980" i="1"/>
  <c r="N980" i="1"/>
  <c r="O980" i="1"/>
  <c r="P980" i="1"/>
  <c r="R980" i="1"/>
  <c r="S980" i="1"/>
  <c r="T980" i="1"/>
  <c r="U980" i="1"/>
  <c r="B979" i="1"/>
  <c r="C979" i="1"/>
  <c r="D979" i="1"/>
  <c r="E979" i="1"/>
  <c r="F979" i="1"/>
  <c r="G979" i="1"/>
  <c r="H979" i="1"/>
  <c r="I979" i="1"/>
  <c r="J979" i="1"/>
  <c r="K979" i="1"/>
  <c r="L979" i="1"/>
  <c r="M979" i="1"/>
  <c r="N979" i="1"/>
  <c r="O979" i="1"/>
  <c r="P979" i="1"/>
  <c r="R979" i="1"/>
  <c r="S979" i="1"/>
  <c r="T979" i="1"/>
  <c r="U979" i="1"/>
  <c r="B978" i="1"/>
  <c r="C978" i="1"/>
  <c r="D978" i="1"/>
  <c r="E978" i="1"/>
  <c r="F978" i="1"/>
  <c r="G978" i="1"/>
  <c r="H978" i="1"/>
  <c r="I978" i="1"/>
  <c r="J978" i="1"/>
  <c r="K978" i="1"/>
  <c r="L978" i="1"/>
  <c r="M978" i="1"/>
  <c r="N978" i="1"/>
  <c r="O978" i="1"/>
  <c r="P978" i="1"/>
  <c r="R978" i="1"/>
  <c r="S978" i="1"/>
  <c r="T978" i="1"/>
  <c r="U978" i="1"/>
  <c r="B977" i="1"/>
  <c r="C977" i="1"/>
  <c r="D977" i="1"/>
  <c r="E977" i="1"/>
  <c r="F977" i="1"/>
  <c r="G977" i="1"/>
  <c r="H977" i="1"/>
  <c r="I977" i="1"/>
  <c r="J977" i="1"/>
  <c r="K977" i="1"/>
  <c r="L977" i="1"/>
  <c r="M977" i="1"/>
  <c r="N977" i="1"/>
  <c r="O977" i="1"/>
  <c r="P977" i="1"/>
  <c r="R977" i="1"/>
  <c r="S977" i="1"/>
  <c r="T977" i="1"/>
  <c r="U977" i="1"/>
  <c r="B976" i="1"/>
  <c r="C976" i="1"/>
  <c r="D976" i="1"/>
  <c r="E976" i="1"/>
  <c r="F976" i="1"/>
  <c r="G976" i="1"/>
  <c r="H976" i="1"/>
  <c r="I976" i="1"/>
  <c r="J976" i="1"/>
  <c r="K976" i="1"/>
  <c r="L976" i="1"/>
  <c r="M976" i="1"/>
  <c r="N976" i="1"/>
  <c r="O976" i="1"/>
  <c r="P976" i="1"/>
  <c r="R976" i="1"/>
  <c r="S976" i="1"/>
  <c r="T976" i="1"/>
  <c r="U976" i="1"/>
  <c r="B975" i="1"/>
  <c r="C975" i="1"/>
  <c r="D975" i="1"/>
  <c r="E975" i="1"/>
  <c r="F975" i="1"/>
  <c r="G975" i="1"/>
  <c r="H975" i="1"/>
  <c r="I975" i="1"/>
  <c r="J975" i="1"/>
  <c r="K975" i="1"/>
  <c r="L975" i="1"/>
  <c r="M975" i="1"/>
  <c r="N975" i="1"/>
  <c r="O975" i="1"/>
  <c r="P975" i="1"/>
  <c r="R975" i="1"/>
  <c r="S975" i="1"/>
  <c r="T975" i="1"/>
  <c r="U975" i="1"/>
  <c r="B974" i="1"/>
  <c r="C974" i="1"/>
  <c r="D974" i="1"/>
  <c r="E974" i="1"/>
  <c r="F974" i="1"/>
  <c r="G974" i="1"/>
  <c r="H974" i="1"/>
  <c r="I974" i="1"/>
  <c r="J974" i="1"/>
  <c r="K974" i="1"/>
  <c r="L974" i="1"/>
  <c r="M974" i="1"/>
  <c r="N974" i="1"/>
  <c r="O974" i="1"/>
  <c r="P974" i="1"/>
  <c r="R974" i="1"/>
  <c r="S974" i="1"/>
  <c r="T974" i="1"/>
  <c r="U974" i="1"/>
  <c r="B973" i="1"/>
  <c r="C973" i="1"/>
  <c r="D973" i="1"/>
  <c r="E973" i="1"/>
  <c r="F973" i="1"/>
  <c r="G973" i="1"/>
  <c r="H973" i="1"/>
  <c r="I973" i="1"/>
  <c r="J973" i="1"/>
  <c r="K973" i="1"/>
  <c r="L973" i="1"/>
  <c r="M973" i="1"/>
  <c r="N973" i="1"/>
  <c r="O973" i="1"/>
  <c r="P973" i="1"/>
  <c r="R973" i="1"/>
  <c r="S973" i="1"/>
  <c r="T973" i="1"/>
  <c r="U973" i="1"/>
  <c r="B972" i="1"/>
  <c r="C972" i="1"/>
  <c r="D972" i="1"/>
  <c r="E972" i="1"/>
  <c r="F972" i="1"/>
  <c r="G972" i="1"/>
  <c r="H972" i="1"/>
  <c r="I972" i="1"/>
  <c r="J972" i="1"/>
  <c r="K972" i="1"/>
  <c r="L972" i="1"/>
  <c r="M972" i="1"/>
  <c r="N972" i="1"/>
  <c r="O972" i="1"/>
  <c r="P972" i="1"/>
  <c r="R972" i="1"/>
  <c r="S972" i="1"/>
  <c r="T972" i="1"/>
  <c r="U972" i="1"/>
  <c r="B971" i="1"/>
  <c r="C971" i="1"/>
  <c r="D971" i="1"/>
  <c r="E971" i="1"/>
  <c r="F971" i="1"/>
  <c r="G971" i="1"/>
  <c r="H971" i="1"/>
  <c r="I971" i="1"/>
  <c r="J971" i="1"/>
  <c r="K971" i="1"/>
  <c r="L971" i="1"/>
  <c r="M971" i="1"/>
  <c r="N971" i="1"/>
  <c r="O971" i="1"/>
  <c r="P971" i="1"/>
  <c r="R971" i="1"/>
  <c r="S971" i="1"/>
  <c r="T971" i="1"/>
  <c r="U971" i="1"/>
  <c r="B970" i="1"/>
  <c r="C970" i="1"/>
  <c r="D970" i="1"/>
  <c r="E970" i="1"/>
  <c r="F970" i="1"/>
  <c r="G970" i="1"/>
  <c r="H970" i="1"/>
  <c r="I970" i="1"/>
  <c r="J970" i="1"/>
  <c r="K970" i="1"/>
  <c r="L970" i="1"/>
  <c r="M970" i="1"/>
  <c r="N970" i="1"/>
  <c r="O970" i="1"/>
  <c r="P970" i="1"/>
  <c r="R970" i="1"/>
  <c r="S970" i="1"/>
  <c r="T970" i="1"/>
  <c r="U970" i="1"/>
  <c r="B969" i="1"/>
  <c r="C969" i="1"/>
  <c r="D969" i="1"/>
  <c r="E969" i="1"/>
  <c r="F969" i="1"/>
  <c r="G969" i="1"/>
  <c r="H969" i="1"/>
  <c r="I969" i="1"/>
  <c r="J969" i="1"/>
  <c r="K969" i="1"/>
  <c r="L969" i="1"/>
  <c r="M969" i="1"/>
  <c r="N969" i="1"/>
  <c r="O969" i="1"/>
  <c r="P969" i="1"/>
  <c r="R969" i="1"/>
  <c r="S969" i="1"/>
  <c r="T969" i="1"/>
  <c r="U969" i="1"/>
  <c r="B968" i="1"/>
  <c r="C968" i="1"/>
  <c r="D968" i="1"/>
  <c r="E968" i="1"/>
  <c r="F968" i="1"/>
  <c r="G968" i="1"/>
  <c r="H968" i="1"/>
  <c r="I968" i="1"/>
  <c r="J968" i="1"/>
  <c r="K968" i="1"/>
  <c r="L968" i="1"/>
  <c r="M968" i="1"/>
  <c r="N968" i="1"/>
  <c r="O968" i="1"/>
  <c r="P968" i="1"/>
  <c r="R968" i="1"/>
  <c r="S968" i="1"/>
  <c r="T968" i="1"/>
  <c r="U968" i="1"/>
  <c r="B967" i="1"/>
  <c r="C967" i="1"/>
  <c r="D967" i="1"/>
  <c r="E967" i="1"/>
  <c r="F967" i="1"/>
  <c r="G967" i="1"/>
  <c r="H967" i="1"/>
  <c r="I967" i="1"/>
  <c r="J967" i="1"/>
  <c r="K967" i="1"/>
  <c r="L967" i="1"/>
  <c r="M967" i="1"/>
  <c r="N967" i="1"/>
  <c r="O967" i="1"/>
  <c r="P967" i="1"/>
  <c r="R967" i="1"/>
  <c r="S967" i="1"/>
  <c r="T967" i="1"/>
  <c r="U967" i="1"/>
  <c r="B966" i="1"/>
  <c r="C966" i="1"/>
  <c r="D966" i="1"/>
  <c r="E966" i="1"/>
  <c r="F966" i="1"/>
  <c r="G966" i="1"/>
  <c r="H966" i="1"/>
  <c r="I966" i="1"/>
  <c r="J966" i="1"/>
  <c r="K966" i="1"/>
  <c r="L966" i="1"/>
  <c r="M966" i="1"/>
  <c r="N966" i="1"/>
  <c r="O966" i="1"/>
  <c r="P966" i="1"/>
  <c r="R966" i="1"/>
  <c r="S966" i="1"/>
  <c r="T966" i="1"/>
  <c r="U966" i="1"/>
  <c r="B965" i="1"/>
  <c r="C965" i="1"/>
  <c r="D965" i="1"/>
  <c r="E965" i="1"/>
  <c r="F965" i="1"/>
  <c r="G965" i="1"/>
  <c r="H965" i="1"/>
  <c r="I965" i="1"/>
  <c r="J965" i="1"/>
  <c r="K965" i="1"/>
  <c r="L965" i="1"/>
  <c r="M965" i="1"/>
  <c r="N965" i="1"/>
  <c r="O965" i="1"/>
  <c r="P965" i="1"/>
  <c r="R965" i="1"/>
  <c r="S965" i="1"/>
  <c r="T965" i="1"/>
  <c r="U965" i="1"/>
  <c r="B964" i="1"/>
  <c r="C964" i="1"/>
  <c r="D964" i="1"/>
  <c r="E964" i="1"/>
  <c r="F964" i="1"/>
  <c r="G964" i="1"/>
  <c r="H964" i="1"/>
  <c r="I964" i="1"/>
  <c r="J964" i="1"/>
  <c r="K964" i="1"/>
  <c r="L964" i="1"/>
  <c r="M964" i="1"/>
  <c r="N964" i="1"/>
  <c r="O964" i="1"/>
  <c r="P964" i="1"/>
  <c r="R964" i="1"/>
  <c r="S964" i="1"/>
  <c r="T964" i="1"/>
  <c r="U964" i="1"/>
  <c r="B963" i="1"/>
  <c r="C963" i="1"/>
  <c r="D963" i="1"/>
  <c r="E963" i="1"/>
  <c r="F963" i="1"/>
  <c r="G963" i="1"/>
  <c r="H963" i="1"/>
  <c r="I963" i="1"/>
  <c r="J963" i="1"/>
  <c r="K963" i="1"/>
  <c r="L963" i="1"/>
  <c r="M963" i="1"/>
  <c r="N963" i="1"/>
  <c r="O963" i="1"/>
  <c r="P963" i="1"/>
  <c r="R963" i="1"/>
  <c r="S963" i="1"/>
  <c r="T963" i="1"/>
  <c r="U963" i="1"/>
  <c r="B962" i="1"/>
  <c r="C962" i="1"/>
  <c r="D962" i="1"/>
  <c r="E962" i="1"/>
  <c r="F962" i="1"/>
  <c r="G962" i="1"/>
  <c r="H962" i="1"/>
  <c r="I962" i="1"/>
  <c r="J962" i="1"/>
  <c r="K962" i="1"/>
  <c r="L962" i="1"/>
  <c r="M962" i="1"/>
  <c r="N962" i="1"/>
  <c r="O962" i="1"/>
  <c r="P962" i="1"/>
  <c r="R962" i="1"/>
  <c r="S962" i="1"/>
  <c r="T962" i="1"/>
  <c r="U962" i="1"/>
  <c r="B961" i="1"/>
  <c r="C961" i="1"/>
  <c r="D961" i="1"/>
  <c r="E961" i="1"/>
  <c r="F961" i="1"/>
  <c r="G961" i="1"/>
  <c r="H961" i="1"/>
  <c r="I961" i="1"/>
  <c r="J961" i="1"/>
  <c r="K961" i="1"/>
  <c r="L961" i="1"/>
  <c r="M961" i="1"/>
  <c r="N961" i="1"/>
  <c r="O961" i="1"/>
  <c r="P961" i="1"/>
  <c r="R961" i="1"/>
  <c r="S961" i="1"/>
  <c r="T961" i="1"/>
  <c r="U961" i="1"/>
  <c r="B960" i="1"/>
  <c r="C960" i="1"/>
  <c r="D960" i="1"/>
  <c r="E960" i="1"/>
  <c r="F960" i="1"/>
  <c r="G960" i="1"/>
  <c r="H960" i="1"/>
  <c r="I960" i="1"/>
  <c r="J960" i="1"/>
  <c r="K960" i="1"/>
  <c r="L960" i="1"/>
  <c r="M960" i="1"/>
  <c r="N960" i="1"/>
  <c r="O960" i="1"/>
  <c r="P960" i="1"/>
  <c r="R960" i="1"/>
  <c r="S960" i="1"/>
  <c r="T960" i="1"/>
  <c r="U960" i="1"/>
  <c r="B959" i="1"/>
  <c r="C959" i="1"/>
  <c r="D959" i="1"/>
  <c r="E959" i="1"/>
  <c r="F959" i="1"/>
  <c r="G959" i="1"/>
  <c r="H959" i="1"/>
  <c r="I959" i="1"/>
  <c r="J959" i="1"/>
  <c r="K959" i="1"/>
  <c r="L959" i="1"/>
  <c r="M959" i="1"/>
  <c r="N959" i="1"/>
  <c r="O959" i="1"/>
  <c r="P959" i="1"/>
  <c r="R959" i="1"/>
  <c r="S959" i="1"/>
  <c r="T959" i="1"/>
  <c r="U959" i="1"/>
  <c r="B958" i="1"/>
  <c r="C958" i="1"/>
  <c r="D958" i="1"/>
  <c r="E958" i="1"/>
  <c r="F958" i="1"/>
  <c r="G958" i="1"/>
  <c r="H958" i="1"/>
  <c r="I958" i="1"/>
  <c r="J958" i="1"/>
  <c r="K958" i="1"/>
  <c r="L958" i="1"/>
  <c r="M958" i="1"/>
  <c r="N958" i="1"/>
  <c r="O958" i="1"/>
  <c r="P958" i="1"/>
  <c r="R958" i="1"/>
  <c r="S958" i="1"/>
  <c r="T958" i="1"/>
  <c r="U958" i="1"/>
  <c r="B957" i="1"/>
  <c r="C957" i="1"/>
  <c r="D957" i="1"/>
  <c r="E957" i="1"/>
  <c r="F957" i="1"/>
  <c r="G957" i="1"/>
  <c r="H957" i="1"/>
  <c r="I957" i="1"/>
  <c r="J957" i="1"/>
  <c r="K957" i="1"/>
  <c r="L957" i="1"/>
  <c r="M957" i="1"/>
  <c r="N957" i="1"/>
  <c r="O957" i="1"/>
  <c r="P957" i="1"/>
  <c r="R957" i="1"/>
  <c r="S957" i="1"/>
  <c r="T957" i="1"/>
  <c r="U957" i="1"/>
  <c r="B956" i="1"/>
  <c r="C956" i="1"/>
  <c r="D956" i="1"/>
  <c r="E956" i="1"/>
  <c r="F956" i="1"/>
  <c r="G956" i="1"/>
  <c r="H956" i="1"/>
  <c r="I956" i="1"/>
  <c r="J956" i="1"/>
  <c r="K956" i="1"/>
  <c r="L956" i="1"/>
  <c r="M956" i="1"/>
  <c r="N956" i="1"/>
  <c r="O956" i="1"/>
  <c r="P956" i="1"/>
  <c r="R956" i="1"/>
  <c r="S956" i="1"/>
  <c r="T956" i="1"/>
  <c r="U956" i="1"/>
  <c r="B955" i="1"/>
  <c r="C955" i="1"/>
  <c r="D955" i="1"/>
  <c r="E955" i="1"/>
  <c r="F955" i="1"/>
  <c r="G955" i="1"/>
  <c r="H955" i="1"/>
  <c r="I955" i="1"/>
  <c r="J955" i="1"/>
  <c r="K955" i="1"/>
  <c r="L955" i="1"/>
  <c r="M955" i="1"/>
  <c r="N955" i="1"/>
  <c r="O955" i="1"/>
  <c r="P955" i="1"/>
  <c r="R955" i="1"/>
  <c r="S955" i="1"/>
  <c r="T955" i="1"/>
  <c r="U955" i="1"/>
  <c r="B954" i="1"/>
  <c r="C954" i="1"/>
  <c r="D954" i="1"/>
  <c r="E954" i="1"/>
  <c r="F954" i="1"/>
  <c r="G954" i="1"/>
  <c r="H954" i="1"/>
  <c r="I954" i="1"/>
  <c r="J954" i="1"/>
  <c r="K954" i="1"/>
  <c r="L954" i="1"/>
  <c r="M954" i="1"/>
  <c r="N954" i="1"/>
  <c r="O954" i="1"/>
  <c r="P954" i="1"/>
  <c r="R954" i="1"/>
  <c r="S954" i="1"/>
  <c r="T954" i="1"/>
  <c r="U954" i="1"/>
  <c r="B953" i="1"/>
  <c r="C953" i="1"/>
  <c r="D953" i="1"/>
  <c r="E953" i="1"/>
  <c r="F953" i="1"/>
  <c r="G953" i="1"/>
  <c r="H953" i="1"/>
  <c r="I953" i="1"/>
  <c r="J953" i="1"/>
  <c r="K953" i="1"/>
  <c r="L953" i="1"/>
  <c r="M953" i="1"/>
  <c r="N953" i="1"/>
  <c r="O953" i="1"/>
  <c r="P953" i="1"/>
  <c r="R953" i="1"/>
  <c r="S953" i="1"/>
  <c r="T953" i="1"/>
  <c r="U953" i="1"/>
  <c r="B952" i="1"/>
  <c r="C952" i="1"/>
  <c r="D952" i="1"/>
  <c r="E952" i="1"/>
  <c r="F952" i="1"/>
  <c r="G952" i="1"/>
  <c r="H952" i="1"/>
  <c r="I952" i="1"/>
  <c r="J952" i="1"/>
  <c r="K952" i="1"/>
  <c r="L952" i="1"/>
  <c r="M952" i="1"/>
  <c r="N952" i="1"/>
  <c r="O952" i="1"/>
  <c r="P952" i="1"/>
  <c r="R952" i="1"/>
  <c r="S952" i="1"/>
  <c r="T952" i="1"/>
  <c r="U952" i="1"/>
  <c r="B951" i="1"/>
  <c r="C951" i="1"/>
  <c r="D951" i="1"/>
  <c r="E951" i="1"/>
  <c r="F951" i="1"/>
  <c r="G951" i="1"/>
  <c r="H951" i="1"/>
  <c r="I951" i="1"/>
  <c r="J951" i="1"/>
  <c r="K951" i="1"/>
  <c r="L951" i="1"/>
  <c r="M951" i="1"/>
  <c r="N951" i="1"/>
  <c r="O951" i="1"/>
  <c r="P951" i="1"/>
  <c r="R951" i="1"/>
  <c r="S951" i="1"/>
  <c r="T951" i="1"/>
  <c r="U951" i="1"/>
  <c r="B950" i="1"/>
  <c r="C950" i="1"/>
  <c r="D950" i="1"/>
  <c r="E950" i="1"/>
  <c r="F950" i="1"/>
  <c r="G950" i="1"/>
  <c r="H950" i="1"/>
  <c r="I950" i="1"/>
  <c r="J950" i="1"/>
  <c r="K950" i="1"/>
  <c r="L950" i="1"/>
  <c r="M950" i="1"/>
  <c r="N950" i="1"/>
  <c r="O950" i="1"/>
  <c r="P950" i="1"/>
  <c r="R950" i="1"/>
  <c r="S950" i="1"/>
  <c r="T950" i="1"/>
  <c r="U950" i="1"/>
  <c r="B949" i="1"/>
  <c r="C949" i="1"/>
  <c r="D949" i="1"/>
  <c r="E949" i="1"/>
  <c r="F949" i="1"/>
  <c r="G949" i="1"/>
  <c r="H949" i="1"/>
  <c r="I949" i="1"/>
  <c r="J949" i="1"/>
  <c r="K949" i="1"/>
  <c r="L949" i="1"/>
  <c r="M949" i="1"/>
  <c r="N949" i="1"/>
  <c r="O949" i="1"/>
  <c r="P949" i="1"/>
  <c r="R949" i="1"/>
  <c r="S949" i="1"/>
  <c r="T949" i="1"/>
  <c r="U949" i="1"/>
  <c r="B948" i="1"/>
  <c r="C948" i="1"/>
  <c r="D948" i="1"/>
  <c r="E948" i="1"/>
  <c r="F948" i="1"/>
  <c r="G948" i="1"/>
  <c r="H948" i="1"/>
  <c r="I948" i="1"/>
  <c r="J948" i="1"/>
  <c r="K948" i="1"/>
  <c r="L948" i="1"/>
  <c r="M948" i="1"/>
  <c r="N948" i="1"/>
  <c r="O948" i="1"/>
  <c r="P948" i="1"/>
  <c r="R948" i="1"/>
  <c r="S948" i="1"/>
  <c r="T948" i="1"/>
  <c r="U948" i="1"/>
  <c r="B947" i="1"/>
  <c r="C947" i="1"/>
  <c r="D947" i="1"/>
  <c r="E947" i="1"/>
  <c r="F947" i="1"/>
  <c r="G947" i="1"/>
  <c r="H947" i="1"/>
  <c r="I947" i="1"/>
  <c r="J947" i="1"/>
  <c r="K947" i="1"/>
  <c r="L947" i="1"/>
  <c r="M947" i="1"/>
  <c r="N947" i="1"/>
  <c r="O947" i="1"/>
  <c r="P947" i="1"/>
  <c r="R947" i="1"/>
  <c r="S947" i="1"/>
  <c r="T947" i="1"/>
  <c r="U947" i="1"/>
  <c r="B946" i="1"/>
  <c r="C946" i="1"/>
  <c r="D946" i="1"/>
  <c r="E946" i="1"/>
  <c r="F946" i="1"/>
  <c r="G946" i="1"/>
  <c r="H946" i="1"/>
  <c r="I946" i="1"/>
  <c r="J946" i="1"/>
  <c r="K946" i="1"/>
  <c r="L946" i="1"/>
  <c r="M946" i="1"/>
  <c r="N946" i="1"/>
  <c r="O946" i="1"/>
  <c r="P946" i="1"/>
  <c r="R946" i="1"/>
  <c r="S946" i="1"/>
  <c r="T946" i="1"/>
  <c r="U946" i="1"/>
  <c r="B945" i="1"/>
  <c r="C945" i="1"/>
  <c r="D945" i="1"/>
  <c r="E945" i="1"/>
  <c r="F945" i="1"/>
  <c r="G945" i="1"/>
  <c r="H945" i="1"/>
  <c r="I945" i="1"/>
  <c r="J945" i="1"/>
  <c r="K945" i="1"/>
  <c r="L945" i="1"/>
  <c r="M945" i="1"/>
  <c r="N945" i="1"/>
  <c r="O945" i="1"/>
  <c r="P945" i="1"/>
  <c r="R945" i="1"/>
  <c r="S945" i="1"/>
  <c r="T945" i="1"/>
  <c r="U945" i="1"/>
  <c r="B944" i="1"/>
  <c r="C944" i="1"/>
  <c r="D944" i="1"/>
  <c r="E944" i="1"/>
  <c r="F944" i="1"/>
  <c r="G944" i="1"/>
  <c r="H944" i="1"/>
  <c r="I944" i="1"/>
  <c r="J944" i="1"/>
  <c r="K944" i="1"/>
  <c r="L944" i="1"/>
  <c r="M944" i="1"/>
  <c r="N944" i="1"/>
  <c r="O944" i="1"/>
  <c r="P944" i="1"/>
  <c r="R944" i="1"/>
  <c r="S944" i="1"/>
  <c r="T944" i="1"/>
  <c r="U944" i="1"/>
  <c r="B943" i="1"/>
  <c r="C943" i="1"/>
  <c r="D943" i="1"/>
  <c r="E943" i="1"/>
  <c r="F943" i="1"/>
  <c r="G943" i="1"/>
  <c r="H943" i="1"/>
  <c r="I943" i="1"/>
  <c r="J943" i="1"/>
  <c r="K943" i="1"/>
  <c r="L943" i="1"/>
  <c r="M943" i="1"/>
  <c r="N943" i="1"/>
  <c r="O943" i="1"/>
  <c r="P943" i="1"/>
  <c r="R943" i="1"/>
  <c r="S943" i="1"/>
  <c r="T943" i="1"/>
  <c r="U943" i="1"/>
  <c r="B942" i="1"/>
  <c r="C942" i="1"/>
  <c r="D942" i="1"/>
  <c r="E942" i="1"/>
  <c r="F942" i="1"/>
  <c r="G942" i="1"/>
  <c r="H942" i="1"/>
  <c r="I942" i="1"/>
  <c r="J942" i="1"/>
  <c r="K942" i="1"/>
  <c r="L942" i="1"/>
  <c r="M942" i="1"/>
  <c r="N942" i="1"/>
  <c r="O942" i="1"/>
  <c r="P942" i="1"/>
  <c r="R942" i="1"/>
  <c r="S942" i="1"/>
  <c r="T942" i="1"/>
  <c r="U942" i="1"/>
  <c r="B941" i="1"/>
  <c r="C941" i="1"/>
  <c r="D941" i="1"/>
  <c r="E941" i="1"/>
  <c r="F941" i="1"/>
  <c r="G941" i="1"/>
  <c r="H941" i="1"/>
  <c r="I941" i="1"/>
  <c r="J941" i="1"/>
  <c r="K941" i="1"/>
  <c r="L941" i="1"/>
  <c r="M941" i="1"/>
  <c r="N941" i="1"/>
  <c r="O941" i="1"/>
  <c r="P941" i="1"/>
  <c r="R941" i="1"/>
  <c r="S941" i="1"/>
  <c r="T941" i="1"/>
  <c r="U941" i="1"/>
  <c r="B940" i="1"/>
  <c r="C940" i="1"/>
  <c r="D940" i="1"/>
  <c r="E940" i="1"/>
  <c r="F940" i="1"/>
  <c r="G940" i="1"/>
  <c r="H940" i="1"/>
  <c r="I940" i="1"/>
  <c r="J940" i="1"/>
  <c r="K940" i="1"/>
  <c r="L940" i="1"/>
  <c r="M940" i="1"/>
  <c r="N940" i="1"/>
  <c r="O940" i="1"/>
  <c r="P940" i="1"/>
  <c r="R940" i="1"/>
  <c r="S940" i="1"/>
  <c r="T940" i="1"/>
  <c r="U940" i="1"/>
  <c r="B939" i="1"/>
  <c r="C939" i="1"/>
  <c r="D939" i="1"/>
  <c r="E939" i="1"/>
  <c r="F939" i="1"/>
  <c r="G939" i="1"/>
  <c r="H939" i="1"/>
  <c r="I939" i="1"/>
  <c r="J939" i="1"/>
  <c r="K939" i="1"/>
  <c r="L939" i="1"/>
  <c r="M939" i="1"/>
  <c r="N939" i="1"/>
  <c r="O939" i="1"/>
  <c r="P939" i="1"/>
  <c r="R939" i="1"/>
  <c r="S939" i="1"/>
  <c r="T939" i="1"/>
  <c r="U939" i="1"/>
  <c r="B938" i="1"/>
  <c r="C938" i="1"/>
  <c r="D938" i="1"/>
  <c r="E938" i="1"/>
  <c r="F938" i="1"/>
  <c r="G938" i="1"/>
  <c r="H938" i="1"/>
  <c r="I938" i="1"/>
  <c r="J938" i="1"/>
  <c r="K938" i="1"/>
  <c r="L938" i="1"/>
  <c r="M938" i="1"/>
  <c r="N938" i="1"/>
  <c r="O938" i="1"/>
  <c r="P938" i="1"/>
  <c r="R938" i="1"/>
  <c r="S938" i="1"/>
  <c r="T938" i="1"/>
  <c r="U938" i="1"/>
  <c r="B937" i="1"/>
  <c r="C937" i="1"/>
  <c r="D937" i="1"/>
  <c r="E937" i="1"/>
  <c r="F937" i="1"/>
  <c r="G937" i="1"/>
  <c r="H937" i="1"/>
  <c r="I937" i="1"/>
  <c r="J937" i="1"/>
  <c r="K937" i="1"/>
  <c r="L937" i="1"/>
  <c r="M937" i="1"/>
  <c r="N937" i="1"/>
  <c r="O937" i="1"/>
  <c r="P937" i="1"/>
  <c r="R937" i="1"/>
  <c r="S937" i="1"/>
  <c r="T937" i="1"/>
  <c r="U937" i="1"/>
  <c r="B936" i="1"/>
  <c r="C936" i="1"/>
  <c r="D936" i="1"/>
  <c r="E936" i="1"/>
  <c r="F936" i="1"/>
  <c r="G936" i="1"/>
  <c r="H936" i="1"/>
  <c r="I936" i="1"/>
  <c r="J936" i="1"/>
  <c r="K936" i="1"/>
  <c r="L936" i="1"/>
  <c r="M936" i="1"/>
  <c r="N936" i="1"/>
  <c r="O936" i="1"/>
  <c r="P936" i="1"/>
  <c r="R936" i="1"/>
  <c r="S936" i="1"/>
  <c r="T936" i="1"/>
  <c r="U936" i="1"/>
  <c r="B1017" i="1"/>
  <c r="C1017" i="1"/>
  <c r="D1017" i="1"/>
  <c r="E1017" i="1"/>
  <c r="F1017" i="1"/>
  <c r="G1017" i="1"/>
  <c r="H1017" i="1"/>
  <c r="I1017" i="1"/>
  <c r="J1017" i="1"/>
  <c r="K1017" i="1"/>
  <c r="L1017" i="1"/>
  <c r="M1017" i="1"/>
  <c r="N1017" i="1"/>
  <c r="O1017" i="1"/>
  <c r="P1017" i="1"/>
  <c r="R1017" i="1"/>
  <c r="S1017" i="1"/>
  <c r="T1017" i="1"/>
  <c r="U1017" i="1"/>
  <c r="B1016" i="1"/>
  <c r="C1016" i="1"/>
  <c r="D1016" i="1"/>
  <c r="E1016" i="1"/>
  <c r="F1016" i="1"/>
  <c r="G1016" i="1"/>
  <c r="H1016" i="1"/>
  <c r="I1016" i="1"/>
  <c r="J1016" i="1"/>
  <c r="K1016" i="1"/>
  <c r="L1016" i="1"/>
  <c r="M1016" i="1"/>
  <c r="N1016" i="1"/>
  <c r="O1016" i="1"/>
  <c r="P1016" i="1"/>
  <c r="R1016" i="1"/>
  <c r="S1016" i="1"/>
  <c r="T1016" i="1"/>
  <c r="U1016" i="1"/>
  <c r="B1015" i="1"/>
  <c r="C1015" i="1"/>
  <c r="D1015" i="1"/>
  <c r="E1015" i="1"/>
  <c r="F1015" i="1"/>
  <c r="G1015" i="1"/>
  <c r="H1015" i="1"/>
  <c r="I1015" i="1"/>
  <c r="J1015" i="1"/>
  <c r="K1015" i="1"/>
  <c r="L1015" i="1"/>
  <c r="M1015" i="1"/>
  <c r="N1015" i="1"/>
  <c r="O1015" i="1"/>
  <c r="P1015" i="1"/>
  <c r="R1015" i="1"/>
  <c r="S1015" i="1"/>
  <c r="T1015" i="1"/>
  <c r="U1015" i="1"/>
  <c r="B1014" i="1"/>
  <c r="C1014" i="1"/>
  <c r="D1014" i="1"/>
  <c r="E1014" i="1"/>
  <c r="F1014" i="1"/>
  <c r="G1014" i="1"/>
  <c r="H1014" i="1"/>
  <c r="I1014" i="1"/>
  <c r="J1014" i="1"/>
  <c r="K1014" i="1"/>
  <c r="L1014" i="1"/>
  <c r="M1014" i="1"/>
  <c r="N1014" i="1"/>
  <c r="O1014" i="1"/>
  <c r="P1014" i="1"/>
  <c r="R1014" i="1"/>
  <c r="S1014" i="1"/>
  <c r="T1014" i="1"/>
  <c r="U1014" i="1"/>
  <c r="B1013" i="1"/>
  <c r="C1013" i="1"/>
  <c r="D1013" i="1"/>
  <c r="E1013" i="1"/>
  <c r="F1013" i="1"/>
  <c r="G1013" i="1"/>
  <c r="H1013" i="1"/>
  <c r="I1013" i="1"/>
  <c r="J1013" i="1"/>
  <c r="K1013" i="1"/>
  <c r="L1013" i="1"/>
  <c r="M1013" i="1"/>
  <c r="N1013" i="1"/>
  <c r="O1013" i="1"/>
  <c r="P1013" i="1"/>
  <c r="R1013" i="1"/>
  <c r="S1013" i="1"/>
  <c r="T1013" i="1"/>
  <c r="U1013" i="1"/>
  <c r="B1012" i="1"/>
  <c r="C1012" i="1"/>
  <c r="D1012" i="1"/>
  <c r="E1012" i="1"/>
  <c r="F1012" i="1"/>
  <c r="G1012" i="1"/>
  <c r="H1012" i="1"/>
  <c r="I1012" i="1"/>
  <c r="J1012" i="1"/>
  <c r="K1012" i="1"/>
  <c r="L1012" i="1"/>
  <c r="M1012" i="1"/>
  <c r="N1012" i="1"/>
  <c r="O1012" i="1"/>
  <c r="P1012" i="1"/>
  <c r="R1012" i="1"/>
  <c r="S1012" i="1"/>
  <c r="T1012" i="1"/>
  <c r="U1012" i="1"/>
  <c r="B1011" i="1"/>
  <c r="C1011" i="1"/>
  <c r="D1011" i="1"/>
  <c r="E1011" i="1"/>
  <c r="F1011" i="1"/>
  <c r="G1011" i="1"/>
  <c r="H1011" i="1"/>
  <c r="I1011" i="1"/>
  <c r="J1011" i="1"/>
  <c r="K1011" i="1"/>
  <c r="L1011" i="1"/>
  <c r="M1011" i="1"/>
  <c r="N1011" i="1"/>
  <c r="O1011" i="1"/>
  <c r="P1011" i="1"/>
  <c r="R1011" i="1"/>
  <c r="S1011" i="1"/>
  <c r="T1011" i="1"/>
  <c r="U1011" i="1"/>
  <c r="B1010" i="1"/>
  <c r="C1010" i="1"/>
  <c r="D1010" i="1"/>
  <c r="E1010" i="1"/>
  <c r="F1010" i="1"/>
  <c r="G1010" i="1"/>
  <c r="H1010" i="1"/>
  <c r="I1010" i="1"/>
  <c r="J1010" i="1"/>
  <c r="K1010" i="1"/>
  <c r="L1010" i="1"/>
  <c r="M1010" i="1"/>
  <c r="N1010" i="1"/>
  <c r="O1010" i="1"/>
  <c r="P1010" i="1"/>
  <c r="R1010" i="1"/>
  <c r="S1010" i="1"/>
  <c r="T1010" i="1"/>
  <c r="U1010" i="1"/>
  <c r="B1009" i="1"/>
  <c r="C1009" i="1"/>
  <c r="D1009" i="1"/>
  <c r="E1009" i="1"/>
  <c r="F1009" i="1"/>
  <c r="G1009" i="1"/>
  <c r="H1009" i="1"/>
  <c r="I1009" i="1"/>
  <c r="J1009" i="1"/>
  <c r="K1009" i="1"/>
  <c r="L1009" i="1"/>
  <c r="M1009" i="1"/>
  <c r="N1009" i="1"/>
  <c r="O1009" i="1"/>
  <c r="P1009" i="1"/>
  <c r="R1009" i="1"/>
  <c r="S1009" i="1"/>
  <c r="T1009" i="1"/>
  <c r="U1009" i="1"/>
  <c r="B1008" i="1"/>
  <c r="C1008" i="1"/>
  <c r="D1008" i="1"/>
  <c r="E1008" i="1"/>
  <c r="F1008" i="1"/>
  <c r="G1008" i="1"/>
  <c r="H1008" i="1"/>
  <c r="I1008" i="1"/>
  <c r="J1008" i="1"/>
  <c r="K1008" i="1"/>
  <c r="L1008" i="1"/>
  <c r="M1008" i="1"/>
  <c r="N1008" i="1"/>
  <c r="O1008" i="1"/>
  <c r="P1008" i="1"/>
  <c r="R1008" i="1"/>
  <c r="S1008" i="1"/>
  <c r="T1008" i="1"/>
  <c r="U1008" i="1"/>
  <c r="B1007" i="1"/>
  <c r="C1007" i="1"/>
  <c r="D1007" i="1"/>
  <c r="E1007" i="1"/>
  <c r="F1007" i="1"/>
  <c r="G1007" i="1"/>
  <c r="H1007" i="1"/>
  <c r="I1007" i="1"/>
  <c r="J1007" i="1"/>
  <c r="K1007" i="1"/>
  <c r="L1007" i="1"/>
  <c r="M1007" i="1"/>
  <c r="N1007" i="1"/>
  <c r="O1007" i="1"/>
  <c r="P1007" i="1"/>
  <c r="R1007" i="1"/>
  <c r="S1007" i="1"/>
  <c r="T1007" i="1"/>
  <c r="U1007" i="1"/>
  <c r="B1006" i="1"/>
  <c r="C1006" i="1"/>
  <c r="D1006" i="1"/>
  <c r="E1006" i="1"/>
  <c r="F1006" i="1"/>
  <c r="G1006" i="1"/>
  <c r="H1006" i="1"/>
  <c r="I1006" i="1"/>
  <c r="J1006" i="1"/>
  <c r="K1006" i="1"/>
  <c r="L1006" i="1"/>
  <c r="M1006" i="1"/>
  <c r="N1006" i="1"/>
  <c r="O1006" i="1"/>
  <c r="P1006" i="1"/>
  <c r="R1006" i="1"/>
  <c r="S1006" i="1"/>
  <c r="T1006" i="1"/>
  <c r="U1006" i="1"/>
  <c r="B1005" i="1"/>
  <c r="C1005" i="1"/>
  <c r="D1005" i="1"/>
  <c r="E1005" i="1"/>
  <c r="F1005" i="1"/>
  <c r="G1005" i="1"/>
  <c r="H1005" i="1"/>
  <c r="I1005" i="1"/>
  <c r="J1005" i="1"/>
  <c r="K1005" i="1"/>
  <c r="L1005" i="1"/>
  <c r="M1005" i="1"/>
  <c r="N1005" i="1"/>
  <c r="O1005" i="1"/>
  <c r="P1005" i="1"/>
  <c r="R1005" i="1"/>
  <c r="S1005" i="1"/>
  <c r="T1005" i="1"/>
  <c r="U1005" i="1"/>
  <c r="B1004" i="1"/>
  <c r="C1004" i="1"/>
  <c r="D1004" i="1"/>
  <c r="E1004" i="1"/>
  <c r="F1004" i="1"/>
  <c r="G1004" i="1"/>
  <c r="H1004" i="1"/>
  <c r="I1004" i="1"/>
  <c r="J1004" i="1"/>
  <c r="K1004" i="1"/>
  <c r="L1004" i="1"/>
  <c r="M1004" i="1"/>
  <c r="N1004" i="1"/>
  <c r="O1004" i="1"/>
  <c r="P1004" i="1"/>
  <c r="R1004" i="1"/>
  <c r="S1004" i="1"/>
  <c r="T1004" i="1"/>
  <c r="U1004" i="1"/>
  <c r="B1003" i="1"/>
  <c r="C1003" i="1"/>
  <c r="D1003" i="1"/>
  <c r="E1003" i="1"/>
  <c r="F1003" i="1"/>
  <c r="G1003" i="1"/>
  <c r="H1003" i="1"/>
  <c r="I1003" i="1"/>
  <c r="J1003" i="1"/>
  <c r="K1003" i="1"/>
  <c r="L1003" i="1"/>
  <c r="M1003" i="1"/>
  <c r="N1003" i="1"/>
  <c r="O1003" i="1"/>
  <c r="P1003" i="1"/>
  <c r="R1003" i="1"/>
  <c r="S1003" i="1"/>
  <c r="T1003" i="1"/>
  <c r="U1003" i="1"/>
  <c r="B1002" i="1"/>
  <c r="C1002" i="1"/>
  <c r="D1002" i="1"/>
  <c r="E1002" i="1"/>
  <c r="F1002" i="1"/>
  <c r="G1002" i="1"/>
  <c r="H1002" i="1"/>
  <c r="I1002" i="1"/>
  <c r="J1002" i="1"/>
  <c r="K1002" i="1"/>
  <c r="L1002" i="1"/>
  <c r="M1002" i="1"/>
  <c r="N1002" i="1"/>
  <c r="O1002" i="1"/>
  <c r="P1002" i="1"/>
  <c r="R1002" i="1"/>
  <c r="S1002" i="1"/>
  <c r="T1002" i="1"/>
  <c r="U1002" i="1"/>
  <c r="B1001" i="1"/>
  <c r="C1001" i="1"/>
  <c r="D1001" i="1"/>
  <c r="E1001" i="1"/>
  <c r="F1001" i="1"/>
  <c r="G1001" i="1"/>
  <c r="H1001" i="1"/>
  <c r="I1001" i="1"/>
  <c r="J1001" i="1"/>
  <c r="K1001" i="1"/>
  <c r="L1001" i="1"/>
  <c r="M1001" i="1"/>
  <c r="N1001" i="1"/>
  <c r="O1001" i="1"/>
  <c r="P1001" i="1"/>
  <c r="R1001" i="1"/>
  <c r="S1001" i="1"/>
  <c r="T1001" i="1"/>
  <c r="U1001" i="1"/>
  <c r="B1000" i="1"/>
  <c r="C1000" i="1"/>
  <c r="D1000" i="1"/>
  <c r="E1000" i="1"/>
  <c r="F1000" i="1"/>
  <c r="G1000" i="1"/>
  <c r="H1000" i="1"/>
  <c r="I1000" i="1"/>
  <c r="J1000" i="1"/>
  <c r="K1000" i="1"/>
  <c r="L1000" i="1"/>
  <c r="M1000" i="1"/>
  <c r="N1000" i="1"/>
  <c r="O1000" i="1"/>
  <c r="P1000" i="1"/>
  <c r="R1000" i="1"/>
  <c r="S1000" i="1"/>
  <c r="T1000" i="1"/>
  <c r="U1000" i="1"/>
  <c r="B999" i="1"/>
  <c r="C999" i="1"/>
  <c r="D999" i="1"/>
  <c r="E999" i="1"/>
  <c r="F999" i="1"/>
  <c r="G999" i="1"/>
  <c r="H999" i="1"/>
  <c r="I999" i="1"/>
  <c r="J999" i="1"/>
  <c r="K999" i="1"/>
  <c r="L999" i="1"/>
  <c r="M999" i="1"/>
  <c r="N999" i="1"/>
  <c r="O999" i="1"/>
  <c r="P999" i="1"/>
  <c r="R999" i="1"/>
  <c r="S999" i="1"/>
  <c r="T999" i="1"/>
  <c r="U999" i="1"/>
  <c r="B997" i="1"/>
  <c r="C997" i="1"/>
  <c r="D997" i="1"/>
  <c r="E997" i="1"/>
  <c r="F997" i="1"/>
  <c r="G997" i="1"/>
  <c r="H997" i="1"/>
  <c r="I997" i="1"/>
  <c r="J997" i="1"/>
  <c r="K997" i="1"/>
  <c r="L997" i="1"/>
  <c r="M997" i="1"/>
  <c r="N997" i="1"/>
  <c r="O997" i="1"/>
  <c r="P997" i="1"/>
  <c r="R997" i="1"/>
  <c r="S997" i="1"/>
  <c r="T997" i="1"/>
  <c r="U997" i="1"/>
  <c r="B996" i="1"/>
  <c r="C996" i="1"/>
  <c r="D996" i="1"/>
  <c r="E996" i="1"/>
  <c r="F996" i="1"/>
  <c r="G996" i="1"/>
  <c r="H996" i="1"/>
  <c r="I996" i="1"/>
  <c r="J996" i="1"/>
  <c r="K996" i="1"/>
  <c r="L996" i="1"/>
  <c r="M996" i="1"/>
  <c r="N996" i="1"/>
  <c r="O996" i="1"/>
  <c r="P996" i="1"/>
  <c r="R996" i="1"/>
  <c r="S996" i="1"/>
  <c r="T996" i="1"/>
  <c r="U996" i="1"/>
  <c r="B995" i="1"/>
  <c r="C995" i="1"/>
  <c r="D995" i="1"/>
  <c r="E995" i="1"/>
  <c r="F995" i="1"/>
  <c r="G995" i="1"/>
  <c r="H995" i="1"/>
  <c r="I995" i="1"/>
  <c r="J995" i="1"/>
  <c r="K995" i="1"/>
  <c r="L995" i="1"/>
  <c r="M995" i="1"/>
  <c r="N995" i="1"/>
  <c r="O995" i="1"/>
  <c r="P995" i="1"/>
  <c r="R995" i="1"/>
  <c r="S995" i="1"/>
  <c r="T995" i="1"/>
  <c r="U995" i="1"/>
  <c r="B994" i="1"/>
  <c r="C994" i="1"/>
  <c r="D994" i="1"/>
  <c r="E994" i="1"/>
  <c r="F994" i="1"/>
  <c r="G994" i="1"/>
  <c r="H994" i="1"/>
  <c r="I994" i="1"/>
  <c r="J994" i="1"/>
  <c r="K994" i="1"/>
  <c r="L994" i="1"/>
  <c r="M994" i="1"/>
  <c r="N994" i="1"/>
  <c r="O994" i="1"/>
  <c r="P994" i="1"/>
  <c r="R994" i="1"/>
  <c r="S994" i="1"/>
  <c r="T994" i="1"/>
  <c r="U994" i="1"/>
  <c r="B993" i="1"/>
  <c r="C993" i="1"/>
  <c r="D993" i="1"/>
  <c r="E993" i="1"/>
  <c r="F993" i="1"/>
  <c r="G993" i="1"/>
  <c r="H993" i="1"/>
  <c r="I993" i="1"/>
  <c r="J993" i="1"/>
  <c r="K993" i="1"/>
  <c r="L993" i="1"/>
  <c r="M993" i="1"/>
  <c r="N993" i="1"/>
  <c r="O993" i="1"/>
  <c r="P993" i="1"/>
  <c r="R993" i="1"/>
  <c r="S993" i="1"/>
  <c r="T993" i="1"/>
  <c r="U993" i="1"/>
  <c r="B992" i="1"/>
  <c r="C992" i="1"/>
  <c r="D992" i="1"/>
  <c r="E992" i="1"/>
  <c r="F992" i="1"/>
  <c r="G992" i="1"/>
  <c r="H992" i="1"/>
  <c r="I992" i="1"/>
  <c r="J992" i="1"/>
  <c r="K992" i="1"/>
  <c r="L992" i="1"/>
  <c r="M992" i="1"/>
  <c r="N992" i="1"/>
  <c r="O992" i="1"/>
  <c r="P992" i="1"/>
  <c r="R992" i="1"/>
  <c r="S992" i="1"/>
  <c r="T992" i="1"/>
  <c r="U992" i="1"/>
  <c r="B991" i="1"/>
  <c r="C991" i="1"/>
  <c r="D991" i="1"/>
  <c r="E991" i="1"/>
  <c r="F991" i="1"/>
  <c r="G991" i="1"/>
  <c r="H991" i="1"/>
  <c r="I991" i="1"/>
  <c r="J991" i="1"/>
  <c r="K991" i="1"/>
  <c r="L991" i="1"/>
  <c r="M991" i="1"/>
  <c r="N991" i="1"/>
  <c r="O991" i="1"/>
  <c r="P991" i="1"/>
  <c r="R991" i="1"/>
  <c r="S991" i="1"/>
  <c r="T991" i="1"/>
  <c r="U991" i="1"/>
  <c r="B1028" i="1"/>
  <c r="C1028" i="1"/>
  <c r="D1028" i="1"/>
  <c r="E1028" i="1"/>
  <c r="F1028" i="1"/>
  <c r="G1028" i="1"/>
  <c r="H1028" i="1"/>
  <c r="I1028" i="1"/>
  <c r="J1028" i="1"/>
  <c r="K1028" i="1"/>
  <c r="L1028" i="1"/>
  <c r="M1028" i="1"/>
  <c r="N1028" i="1"/>
  <c r="O1028" i="1"/>
  <c r="P1028" i="1"/>
  <c r="R1028" i="1"/>
  <c r="S1028" i="1"/>
  <c r="T1028" i="1"/>
  <c r="U1028" i="1"/>
  <c r="B1027" i="1"/>
  <c r="C1027" i="1"/>
  <c r="D1027" i="1"/>
  <c r="E1027" i="1"/>
  <c r="F1027" i="1"/>
  <c r="G1027" i="1"/>
  <c r="H1027" i="1"/>
  <c r="I1027" i="1"/>
  <c r="J1027" i="1"/>
  <c r="K1027" i="1"/>
  <c r="L1027" i="1"/>
  <c r="M1027" i="1"/>
  <c r="N1027" i="1"/>
  <c r="O1027" i="1"/>
  <c r="P1027" i="1"/>
  <c r="R1027" i="1"/>
  <c r="S1027" i="1"/>
  <c r="T1027" i="1"/>
  <c r="U1027" i="1"/>
  <c r="B1026" i="1"/>
  <c r="C1026" i="1"/>
  <c r="D1026" i="1"/>
  <c r="E1026" i="1"/>
  <c r="F1026" i="1"/>
  <c r="G1026" i="1"/>
  <c r="H1026" i="1"/>
  <c r="I1026" i="1"/>
  <c r="J1026" i="1"/>
  <c r="K1026" i="1"/>
  <c r="L1026" i="1"/>
  <c r="M1026" i="1"/>
  <c r="N1026" i="1"/>
  <c r="O1026" i="1"/>
  <c r="P1026" i="1"/>
  <c r="R1026" i="1"/>
  <c r="S1026" i="1"/>
  <c r="T1026" i="1"/>
  <c r="U1026" i="1"/>
  <c r="B1025" i="1"/>
  <c r="C1025" i="1"/>
  <c r="D1025" i="1"/>
  <c r="E1025" i="1"/>
  <c r="F1025" i="1"/>
  <c r="G1025" i="1"/>
  <c r="H1025" i="1"/>
  <c r="I1025" i="1"/>
  <c r="J1025" i="1"/>
  <c r="K1025" i="1"/>
  <c r="L1025" i="1"/>
  <c r="M1025" i="1"/>
  <c r="N1025" i="1"/>
  <c r="O1025" i="1"/>
  <c r="P1025" i="1"/>
  <c r="R1025" i="1"/>
  <c r="S1025" i="1"/>
  <c r="T1025" i="1"/>
  <c r="U1025" i="1"/>
  <c r="B1024" i="1"/>
  <c r="C1024" i="1"/>
  <c r="D1024" i="1"/>
  <c r="E1024" i="1"/>
  <c r="F1024" i="1"/>
  <c r="G1024" i="1"/>
  <c r="H1024" i="1"/>
  <c r="I1024" i="1"/>
  <c r="J1024" i="1"/>
  <c r="K1024" i="1"/>
  <c r="L1024" i="1"/>
  <c r="M1024" i="1"/>
  <c r="N1024" i="1"/>
  <c r="O1024" i="1"/>
  <c r="P1024" i="1"/>
  <c r="R1024" i="1"/>
  <c r="S1024" i="1"/>
  <c r="T1024" i="1"/>
  <c r="U1024" i="1"/>
  <c r="B1023" i="1"/>
  <c r="C1023" i="1"/>
  <c r="D1023" i="1"/>
  <c r="E1023" i="1"/>
  <c r="F1023" i="1"/>
  <c r="G1023" i="1"/>
  <c r="H1023" i="1"/>
  <c r="I1023" i="1"/>
  <c r="J1023" i="1"/>
  <c r="K1023" i="1"/>
  <c r="L1023" i="1"/>
  <c r="M1023" i="1"/>
  <c r="N1023" i="1"/>
  <c r="O1023" i="1"/>
  <c r="P1023" i="1"/>
  <c r="R1023" i="1"/>
  <c r="S1023" i="1"/>
  <c r="T1023" i="1"/>
  <c r="U1023" i="1"/>
  <c r="B1022" i="1"/>
  <c r="C1022" i="1"/>
  <c r="D1022" i="1"/>
  <c r="E1022" i="1"/>
  <c r="F1022" i="1"/>
  <c r="G1022" i="1"/>
  <c r="H1022" i="1"/>
  <c r="I1022" i="1"/>
  <c r="J1022" i="1"/>
  <c r="K1022" i="1"/>
  <c r="L1022" i="1"/>
  <c r="M1022" i="1"/>
  <c r="N1022" i="1"/>
  <c r="O1022" i="1"/>
  <c r="P1022" i="1"/>
  <c r="R1022" i="1"/>
  <c r="S1022" i="1"/>
  <c r="T1022" i="1"/>
  <c r="U1022" i="1"/>
  <c r="B1021" i="1"/>
  <c r="C1021" i="1"/>
  <c r="D1021" i="1"/>
  <c r="E1021" i="1"/>
  <c r="F1021" i="1"/>
  <c r="G1021" i="1"/>
  <c r="H1021" i="1"/>
  <c r="I1021" i="1"/>
  <c r="J1021" i="1"/>
  <c r="K1021" i="1"/>
  <c r="L1021" i="1"/>
  <c r="M1021" i="1"/>
  <c r="N1021" i="1"/>
  <c r="O1021" i="1"/>
  <c r="P1021" i="1"/>
  <c r="R1021" i="1"/>
  <c r="S1021" i="1"/>
  <c r="T1021" i="1"/>
  <c r="U1021" i="1"/>
  <c r="B1020" i="1"/>
  <c r="C1020" i="1"/>
  <c r="D1020" i="1"/>
  <c r="E1020" i="1"/>
  <c r="F1020" i="1"/>
  <c r="G1020" i="1"/>
  <c r="H1020" i="1"/>
  <c r="I1020" i="1"/>
  <c r="J1020" i="1"/>
  <c r="K1020" i="1"/>
  <c r="L1020" i="1"/>
  <c r="M1020" i="1"/>
  <c r="N1020" i="1"/>
  <c r="O1020" i="1"/>
  <c r="P1020" i="1"/>
  <c r="R1020" i="1"/>
  <c r="S1020" i="1"/>
  <c r="T1020" i="1"/>
  <c r="U1020" i="1"/>
  <c r="B1019" i="1"/>
  <c r="C1019" i="1"/>
  <c r="D1019" i="1"/>
  <c r="E1019" i="1"/>
  <c r="F1019" i="1"/>
  <c r="G1019" i="1"/>
  <c r="H1019" i="1"/>
  <c r="I1019" i="1"/>
  <c r="J1019" i="1"/>
  <c r="K1019" i="1"/>
  <c r="L1019" i="1"/>
  <c r="M1019" i="1"/>
  <c r="N1019" i="1"/>
  <c r="O1019" i="1"/>
  <c r="P1019" i="1"/>
  <c r="R1019" i="1"/>
  <c r="S1019" i="1"/>
  <c r="T1019" i="1"/>
  <c r="U1019" i="1"/>
  <c r="B1018" i="1"/>
  <c r="C1018" i="1"/>
  <c r="D1018" i="1"/>
  <c r="E1018" i="1"/>
  <c r="F1018" i="1"/>
  <c r="G1018" i="1"/>
  <c r="H1018" i="1"/>
  <c r="I1018" i="1"/>
  <c r="J1018" i="1"/>
  <c r="K1018" i="1"/>
  <c r="L1018" i="1"/>
  <c r="M1018" i="1"/>
  <c r="N1018" i="1"/>
  <c r="O1018" i="1"/>
  <c r="P1018" i="1"/>
  <c r="R1018" i="1"/>
  <c r="S1018" i="1"/>
  <c r="T1018" i="1"/>
  <c r="U1018" i="1"/>
  <c r="B1393" i="1"/>
  <c r="C1393" i="1"/>
  <c r="D1393" i="1"/>
  <c r="E1393" i="1"/>
  <c r="F1393" i="1"/>
  <c r="G1393" i="1"/>
  <c r="H1393" i="1"/>
  <c r="I1393" i="1"/>
  <c r="J1393" i="1"/>
  <c r="K1393" i="1"/>
  <c r="L1393" i="1"/>
  <c r="M1393" i="1"/>
  <c r="N1393" i="1"/>
  <c r="O1393" i="1"/>
  <c r="P1393" i="1"/>
  <c r="R1393" i="1"/>
  <c r="S1393" i="1"/>
  <c r="T1393" i="1"/>
  <c r="U1393" i="1"/>
  <c r="B1392" i="1"/>
  <c r="C1392" i="1"/>
  <c r="D1392" i="1"/>
  <c r="E1392" i="1"/>
  <c r="F1392" i="1"/>
  <c r="G1392" i="1"/>
  <c r="H1392" i="1"/>
  <c r="I1392" i="1"/>
  <c r="J1392" i="1"/>
  <c r="K1392" i="1"/>
  <c r="L1392" i="1"/>
  <c r="M1392" i="1"/>
  <c r="N1392" i="1"/>
  <c r="O1392" i="1"/>
  <c r="P1392" i="1"/>
  <c r="R1392" i="1"/>
  <c r="S1392" i="1"/>
  <c r="T1392" i="1"/>
  <c r="U1392" i="1"/>
  <c r="B1391" i="1"/>
  <c r="C1391" i="1"/>
  <c r="D1391" i="1"/>
  <c r="E1391" i="1"/>
  <c r="F1391" i="1"/>
  <c r="G1391" i="1"/>
  <c r="H1391" i="1"/>
  <c r="I1391" i="1"/>
  <c r="J1391" i="1"/>
  <c r="K1391" i="1"/>
  <c r="L1391" i="1"/>
  <c r="M1391" i="1"/>
  <c r="N1391" i="1"/>
  <c r="O1391" i="1"/>
  <c r="P1391" i="1"/>
  <c r="R1391" i="1"/>
  <c r="S1391" i="1"/>
  <c r="T1391" i="1"/>
  <c r="U1391" i="1"/>
  <c r="B1390" i="1"/>
  <c r="C1390" i="1"/>
  <c r="D1390" i="1"/>
  <c r="E1390" i="1"/>
  <c r="F1390" i="1"/>
  <c r="G1390" i="1"/>
  <c r="H1390" i="1"/>
  <c r="I1390" i="1"/>
  <c r="J1390" i="1"/>
  <c r="K1390" i="1"/>
  <c r="L1390" i="1"/>
  <c r="M1390" i="1"/>
  <c r="N1390" i="1"/>
  <c r="O1390" i="1"/>
  <c r="P1390" i="1"/>
  <c r="R1390" i="1"/>
  <c r="S1390" i="1"/>
  <c r="T1390" i="1"/>
  <c r="U1390" i="1"/>
  <c r="B1389" i="1"/>
  <c r="C1389" i="1"/>
  <c r="D1389" i="1"/>
  <c r="E1389" i="1"/>
  <c r="F1389" i="1"/>
  <c r="G1389" i="1"/>
  <c r="H1389" i="1"/>
  <c r="I1389" i="1"/>
  <c r="J1389" i="1"/>
  <c r="K1389" i="1"/>
  <c r="L1389" i="1"/>
  <c r="M1389" i="1"/>
  <c r="N1389" i="1"/>
  <c r="O1389" i="1"/>
  <c r="P1389" i="1"/>
  <c r="R1389" i="1"/>
  <c r="S1389" i="1"/>
  <c r="T1389" i="1"/>
  <c r="U1389" i="1"/>
  <c r="B1388" i="1"/>
  <c r="C1388" i="1"/>
  <c r="D1388" i="1"/>
  <c r="E1388" i="1"/>
  <c r="F1388" i="1"/>
  <c r="G1388" i="1"/>
  <c r="H1388" i="1"/>
  <c r="I1388" i="1"/>
  <c r="J1388" i="1"/>
  <c r="K1388" i="1"/>
  <c r="L1388" i="1"/>
  <c r="M1388" i="1"/>
  <c r="N1388" i="1"/>
  <c r="O1388" i="1"/>
  <c r="P1388" i="1"/>
  <c r="R1388" i="1"/>
  <c r="S1388" i="1"/>
  <c r="T1388" i="1"/>
  <c r="U1388" i="1"/>
  <c r="B1387" i="1"/>
  <c r="C1387" i="1"/>
  <c r="D1387" i="1"/>
  <c r="E1387" i="1"/>
  <c r="F1387" i="1"/>
  <c r="G1387" i="1"/>
  <c r="H1387" i="1"/>
  <c r="I1387" i="1"/>
  <c r="J1387" i="1"/>
  <c r="K1387" i="1"/>
  <c r="L1387" i="1"/>
  <c r="M1387" i="1"/>
  <c r="N1387" i="1"/>
  <c r="O1387" i="1"/>
  <c r="P1387" i="1"/>
  <c r="R1387" i="1"/>
  <c r="S1387" i="1"/>
  <c r="T1387" i="1"/>
  <c r="U1387" i="1"/>
  <c r="B1386" i="1"/>
  <c r="C1386" i="1"/>
  <c r="D1386" i="1"/>
  <c r="E1386" i="1"/>
  <c r="F1386" i="1"/>
  <c r="G1386" i="1"/>
  <c r="H1386" i="1"/>
  <c r="I1386" i="1"/>
  <c r="J1386" i="1"/>
  <c r="K1386" i="1"/>
  <c r="L1386" i="1"/>
  <c r="M1386" i="1"/>
  <c r="N1386" i="1"/>
  <c r="O1386" i="1"/>
  <c r="P1386" i="1"/>
  <c r="R1386" i="1"/>
  <c r="S1386" i="1"/>
  <c r="T1386" i="1"/>
  <c r="U1386" i="1"/>
  <c r="B1385" i="1"/>
  <c r="C1385" i="1"/>
  <c r="D1385" i="1"/>
  <c r="E1385" i="1"/>
  <c r="F1385" i="1"/>
  <c r="G1385" i="1"/>
  <c r="H1385" i="1"/>
  <c r="I1385" i="1"/>
  <c r="J1385" i="1"/>
  <c r="K1385" i="1"/>
  <c r="L1385" i="1"/>
  <c r="M1385" i="1"/>
  <c r="N1385" i="1"/>
  <c r="O1385" i="1"/>
  <c r="P1385" i="1"/>
  <c r="R1385" i="1"/>
  <c r="S1385" i="1"/>
  <c r="T1385" i="1"/>
  <c r="U1385" i="1"/>
  <c r="B1384" i="1"/>
  <c r="C1384" i="1"/>
  <c r="D1384" i="1"/>
  <c r="E1384" i="1"/>
  <c r="F1384" i="1"/>
  <c r="G1384" i="1"/>
  <c r="H1384" i="1"/>
  <c r="I1384" i="1"/>
  <c r="J1384" i="1"/>
  <c r="K1384" i="1"/>
  <c r="L1384" i="1"/>
  <c r="M1384" i="1"/>
  <c r="N1384" i="1"/>
  <c r="O1384" i="1"/>
  <c r="P1384" i="1"/>
  <c r="R1384" i="1"/>
  <c r="S1384" i="1"/>
  <c r="T1384" i="1"/>
  <c r="U1384" i="1"/>
  <c r="B1383" i="1"/>
  <c r="C1383" i="1"/>
  <c r="D1383" i="1"/>
  <c r="E1383" i="1"/>
  <c r="F1383" i="1"/>
  <c r="G1383" i="1"/>
  <c r="H1383" i="1"/>
  <c r="I1383" i="1"/>
  <c r="J1383" i="1"/>
  <c r="K1383" i="1"/>
  <c r="L1383" i="1"/>
  <c r="M1383" i="1"/>
  <c r="N1383" i="1"/>
  <c r="O1383" i="1"/>
  <c r="P1383" i="1"/>
  <c r="R1383" i="1"/>
  <c r="S1383" i="1"/>
  <c r="T1383" i="1"/>
  <c r="U1383" i="1"/>
  <c r="B1382" i="1"/>
  <c r="C1382" i="1"/>
  <c r="D1382" i="1"/>
  <c r="E1382" i="1"/>
  <c r="F1382" i="1"/>
  <c r="G1382" i="1"/>
  <c r="H1382" i="1"/>
  <c r="I1382" i="1"/>
  <c r="J1382" i="1"/>
  <c r="K1382" i="1"/>
  <c r="L1382" i="1"/>
  <c r="M1382" i="1"/>
  <c r="N1382" i="1"/>
  <c r="O1382" i="1"/>
  <c r="P1382" i="1"/>
  <c r="R1382" i="1"/>
  <c r="S1382" i="1"/>
  <c r="T1382" i="1"/>
  <c r="U1382" i="1"/>
  <c r="B1381" i="1"/>
  <c r="C1381" i="1"/>
  <c r="D1381" i="1"/>
  <c r="E1381" i="1"/>
  <c r="F1381" i="1"/>
  <c r="G1381" i="1"/>
  <c r="H1381" i="1"/>
  <c r="I1381" i="1"/>
  <c r="J1381" i="1"/>
  <c r="K1381" i="1"/>
  <c r="L1381" i="1"/>
  <c r="M1381" i="1"/>
  <c r="N1381" i="1"/>
  <c r="O1381" i="1"/>
  <c r="P1381" i="1"/>
  <c r="R1381" i="1"/>
  <c r="S1381" i="1"/>
  <c r="T1381" i="1"/>
  <c r="U1381" i="1"/>
  <c r="B1380" i="1"/>
  <c r="C1380" i="1"/>
  <c r="D1380" i="1"/>
  <c r="E1380" i="1"/>
  <c r="F1380" i="1"/>
  <c r="G1380" i="1"/>
  <c r="H1380" i="1"/>
  <c r="I1380" i="1"/>
  <c r="J1380" i="1"/>
  <c r="K1380" i="1"/>
  <c r="L1380" i="1"/>
  <c r="M1380" i="1"/>
  <c r="N1380" i="1"/>
  <c r="O1380" i="1"/>
  <c r="P1380" i="1"/>
  <c r="R1380" i="1"/>
  <c r="S1380" i="1"/>
  <c r="T1380" i="1"/>
  <c r="U1380" i="1"/>
  <c r="B1379" i="1"/>
  <c r="C1379" i="1"/>
  <c r="D1379" i="1"/>
  <c r="E1379" i="1"/>
  <c r="F1379" i="1"/>
  <c r="G1379" i="1"/>
  <c r="H1379" i="1"/>
  <c r="I1379" i="1"/>
  <c r="J1379" i="1"/>
  <c r="K1379" i="1"/>
  <c r="L1379" i="1"/>
  <c r="M1379" i="1"/>
  <c r="N1379" i="1"/>
  <c r="O1379" i="1"/>
  <c r="P1379" i="1"/>
  <c r="R1379" i="1"/>
  <c r="S1379" i="1"/>
  <c r="T1379" i="1"/>
  <c r="U1379" i="1"/>
  <c r="B1378" i="1"/>
  <c r="C1378" i="1"/>
  <c r="D1378" i="1"/>
  <c r="E1378" i="1"/>
  <c r="F1378" i="1"/>
  <c r="G1378" i="1"/>
  <c r="H1378" i="1"/>
  <c r="I1378" i="1"/>
  <c r="J1378" i="1"/>
  <c r="K1378" i="1"/>
  <c r="L1378" i="1"/>
  <c r="M1378" i="1"/>
  <c r="N1378" i="1"/>
  <c r="O1378" i="1"/>
  <c r="P1378" i="1"/>
  <c r="R1378" i="1"/>
  <c r="S1378" i="1"/>
  <c r="T1378" i="1"/>
  <c r="U1378" i="1"/>
  <c r="B1377" i="1"/>
  <c r="C1377" i="1"/>
  <c r="D1377" i="1"/>
  <c r="E1377" i="1"/>
  <c r="F1377" i="1"/>
  <c r="G1377" i="1"/>
  <c r="H1377" i="1"/>
  <c r="I1377" i="1"/>
  <c r="J1377" i="1"/>
  <c r="K1377" i="1"/>
  <c r="L1377" i="1"/>
  <c r="M1377" i="1"/>
  <c r="N1377" i="1"/>
  <c r="O1377" i="1"/>
  <c r="P1377" i="1"/>
  <c r="R1377" i="1"/>
  <c r="S1377" i="1"/>
  <c r="T1377" i="1"/>
  <c r="U1377" i="1"/>
  <c r="B1376" i="1"/>
  <c r="C1376" i="1"/>
  <c r="D1376" i="1"/>
  <c r="E1376" i="1"/>
  <c r="F1376" i="1"/>
  <c r="G1376" i="1"/>
  <c r="H1376" i="1"/>
  <c r="I1376" i="1"/>
  <c r="J1376" i="1"/>
  <c r="K1376" i="1"/>
  <c r="L1376" i="1"/>
  <c r="M1376" i="1"/>
  <c r="N1376" i="1"/>
  <c r="O1376" i="1"/>
  <c r="P1376" i="1"/>
  <c r="R1376" i="1"/>
  <c r="S1376" i="1"/>
  <c r="T1376" i="1"/>
  <c r="U1376" i="1"/>
  <c r="B1375" i="1"/>
  <c r="C1375" i="1"/>
  <c r="D1375" i="1"/>
  <c r="E1375" i="1"/>
  <c r="F1375" i="1"/>
  <c r="G1375" i="1"/>
  <c r="H1375" i="1"/>
  <c r="I1375" i="1"/>
  <c r="J1375" i="1"/>
  <c r="K1375" i="1"/>
  <c r="L1375" i="1"/>
  <c r="M1375" i="1"/>
  <c r="N1375" i="1"/>
  <c r="O1375" i="1"/>
  <c r="P1375" i="1"/>
  <c r="R1375" i="1"/>
  <c r="S1375" i="1"/>
  <c r="T1375" i="1"/>
  <c r="U1375" i="1"/>
  <c r="B1374" i="1"/>
  <c r="C1374" i="1"/>
  <c r="D1374" i="1"/>
  <c r="E1374" i="1"/>
  <c r="F1374" i="1"/>
  <c r="G1374" i="1"/>
  <c r="H1374" i="1"/>
  <c r="I1374" i="1"/>
  <c r="J1374" i="1"/>
  <c r="K1374" i="1"/>
  <c r="L1374" i="1"/>
  <c r="M1374" i="1"/>
  <c r="N1374" i="1"/>
  <c r="O1374" i="1"/>
  <c r="P1374" i="1"/>
  <c r="R1374" i="1"/>
  <c r="S1374" i="1"/>
  <c r="T1374" i="1"/>
  <c r="U1374" i="1"/>
  <c r="B1373" i="1"/>
  <c r="C1373" i="1"/>
  <c r="D1373" i="1"/>
  <c r="E1373" i="1"/>
  <c r="F1373" i="1"/>
  <c r="G1373" i="1"/>
  <c r="H1373" i="1"/>
  <c r="I1373" i="1"/>
  <c r="J1373" i="1"/>
  <c r="K1373" i="1"/>
  <c r="L1373" i="1"/>
  <c r="M1373" i="1"/>
  <c r="N1373" i="1"/>
  <c r="O1373" i="1"/>
  <c r="P1373" i="1"/>
  <c r="R1373" i="1"/>
  <c r="S1373" i="1"/>
  <c r="T1373" i="1"/>
  <c r="U1373" i="1"/>
  <c r="B1372" i="1"/>
  <c r="C1372" i="1"/>
  <c r="D1372" i="1"/>
  <c r="E1372" i="1"/>
  <c r="F1372" i="1"/>
  <c r="G1372" i="1"/>
  <c r="H1372" i="1"/>
  <c r="I1372" i="1"/>
  <c r="J1372" i="1"/>
  <c r="K1372" i="1"/>
  <c r="L1372" i="1"/>
  <c r="M1372" i="1"/>
  <c r="N1372" i="1"/>
  <c r="O1372" i="1"/>
  <c r="P1372" i="1"/>
  <c r="R1372" i="1"/>
  <c r="S1372" i="1"/>
  <c r="T1372" i="1"/>
  <c r="U1372" i="1"/>
  <c r="B1371" i="1"/>
  <c r="C1371" i="1"/>
  <c r="D1371" i="1"/>
  <c r="E1371" i="1"/>
  <c r="F1371" i="1"/>
  <c r="G1371" i="1"/>
  <c r="H1371" i="1"/>
  <c r="I1371" i="1"/>
  <c r="J1371" i="1"/>
  <c r="K1371" i="1"/>
  <c r="L1371" i="1"/>
  <c r="M1371" i="1"/>
  <c r="N1371" i="1"/>
  <c r="O1371" i="1"/>
  <c r="P1371" i="1"/>
  <c r="R1371" i="1"/>
  <c r="S1371" i="1"/>
  <c r="T1371" i="1"/>
  <c r="U1371" i="1"/>
  <c r="B1370" i="1"/>
  <c r="C1370" i="1"/>
  <c r="D1370" i="1"/>
  <c r="E1370" i="1"/>
  <c r="F1370" i="1"/>
  <c r="G1370" i="1"/>
  <c r="H1370" i="1"/>
  <c r="I1370" i="1"/>
  <c r="J1370" i="1"/>
  <c r="K1370" i="1"/>
  <c r="L1370" i="1"/>
  <c r="M1370" i="1"/>
  <c r="N1370" i="1"/>
  <c r="O1370" i="1"/>
  <c r="P1370" i="1"/>
  <c r="R1370" i="1"/>
  <c r="S1370" i="1"/>
  <c r="T1370" i="1"/>
  <c r="U1370" i="1"/>
  <c r="B1369" i="1"/>
  <c r="C1369" i="1"/>
  <c r="D1369" i="1"/>
  <c r="E1369" i="1"/>
  <c r="F1369" i="1"/>
  <c r="G1369" i="1"/>
  <c r="H1369" i="1"/>
  <c r="I1369" i="1"/>
  <c r="J1369" i="1"/>
  <c r="K1369" i="1"/>
  <c r="L1369" i="1"/>
  <c r="M1369" i="1"/>
  <c r="N1369" i="1"/>
  <c r="O1369" i="1"/>
  <c r="P1369" i="1"/>
  <c r="R1369" i="1"/>
  <c r="S1369" i="1"/>
  <c r="T1369" i="1"/>
  <c r="U1369" i="1"/>
  <c r="B1368" i="1"/>
  <c r="C1368" i="1"/>
  <c r="D1368" i="1"/>
  <c r="E1368" i="1"/>
  <c r="F1368" i="1"/>
  <c r="G1368" i="1"/>
  <c r="H1368" i="1"/>
  <c r="I1368" i="1"/>
  <c r="J1368" i="1"/>
  <c r="K1368" i="1"/>
  <c r="L1368" i="1"/>
  <c r="M1368" i="1"/>
  <c r="N1368" i="1"/>
  <c r="O1368" i="1"/>
  <c r="P1368" i="1"/>
  <c r="R1368" i="1"/>
  <c r="S1368" i="1"/>
  <c r="T1368" i="1"/>
  <c r="U1368" i="1"/>
  <c r="B1367" i="1"/>
  <c r="C1367" i="1"/>
  <c r="D1367" i="1"/>
  <c r="E1367" i="1"/>
  <c r="F1367" i="1"/>
  <c r="G1367" i="1"/>
  <c r="H1367" i="1"/>
  <c r="I1367" i="1"/>
  <c r="J1367" i="1"/>
  <c r="K1367" i="1"/>
  <c r="L1367" i="1"/>
  <c r="M1367" i="1"/>
  <c r="N1367" i="1"/>
  <c r="O1367" i="1"/>
  <c r="P1367" i="1"/>
  <c r="R1367" i="1"/>
  <c r="S1367" i="1"/>
  <c r="T1367" i="1"/>
  <c r="U1367" i="1"/>
  <c r="B1366" i="1"/>
  <c r="C1366" i="1"/>
  <c r="D1366" i="1"/>
  <c r="E1366" i="1"/>
  <c r="F1366" i="1"/>
  <c r="G1366" i="1"/>
  <c r="H1366" i="1"/>
  <c r="I1366" i="1"/>
  <c r="J1366" i="1"/>
  <c r="K1366" i="1"/>
  <c r="L1366" i="1"/>
  <c r="M1366" i="1"/>
  <c r="N1366" i="1"/>
  <c r="O1366" i="1"/>
  <c r="P1366" i="1"/>
  <c r="R1366" i="1"/>
  <c r="S1366" i="1"/>
  <c r="T1366" i="1"/>
  <c r="U1366" i="1"/>
  <c r="B1365" i="1"/>
  <c r="C1365" i="1"/>
  <c r="D1365" i="1"/>
  <c r="E1365" i="1"/>
  <c r="F1365" i="1"/>
  <c r="G1365" i="1"/>
  <c r="H1365" i="1"/>
  <c r="I1365" i="1"/>
  <c r="J1365" i="1"/>
  <c r="K1365" i="1"/>
  <c r="L1365" i="1"/>
  <c r="M1365" i="1"/>
  <c r="N1365" i="1"/>
  <c r="O1365" i="1"/>
  <c r="P1365" i="1"/>
  <c r="R1365" i="1"/>
  <c r="S1365" i="1"/>
  <c r="T1365" i="1"/>
  <c r="U1365" i="1"/>
  <c r="B1364" i="1"/>
  <c r="C1364" i="1"/>
  <c r="D1364" i="1"/>
  <c r="E1364" i="1"/>
  <c r="F1364" i="1"/>
  <c r="G1364" i="1"/>
  <c r="H1364" i="1"/>
  <c r="I1364" i="1"/>
  <c r="J1364" i="1"/>
  <c r="K1364" i="1"/>
  <c r="L1364" i="1"/>
  <c r="M1364" i="1"/>
  <c r="N1364" i="1"/>
  <c r="O1364" i="1"/>
  <c r="P1364" i="1"/>
  <c r="R1364" i="1"/>
  <c r="S1364" i="1"/>
  <c r="T1364" i="1"/>
  <c r="U1364" i="1"/>
  <c r="B1363" i="1"/>
  <c r="C1363" i="1"/>
  <c r="D1363" i="1"/>
  <c r="E1363" i="1"/>
  <c r="F1363" i="1"/>
  <c r="G1363" i="1"/>
  <c r="H1363" i="1"/>
  <c r="I1363" i="1"/>
  <c r="J1363" i="1"/>
  <c r="K1363" i="1"/>
  <c r="L1363" i="1"/>
  <c r="M1363" i="1"/>
  <c r="N1363" i="1"/>
  <c r="O1363" i="1"/>
  <c r="P1363" i="1"/>
  <c r="R1363" i="1"/>
  <c r="S1363" i="1"/>
  <c r="T1363" i="1"/>
  <c r="U1363" i="1"/>
  <c r="B1362" i="1"/>
  <c r="C1362" i="1"/>
  <c r="D1362" i="1"/>
  <c r="E1362" i="1"/>
  <c r="F1362" i="1"/>
  <c r="G1362" i="1"/>
  <c r="H1362" i="1"/>
  <c r="I1362" i="1"/>
  <c r="J1362" i="1"/>
  <c r="K1362" i="1"/>
  <c r="L1362" i="1"/>
  <c r="M1362" i="1"/>
  <c r="N1362" i="1"/>
  <c r="O1362" i="1"/>
  <c r="P1362" i="1"/>
  <c r="R1362" i="1"/>
  <c r="S1362" i="1"/>
  <c r="T1362" i="1"/>
  <c r="U1362" i="1"/>
  <c r="B1361" i="1"/>
  <c r="C1361" i="1"/>
  <c r="D1361" i="1"/>
  <c r="E1361" i="1"/>
  <c r="F1361" i="1"/>
  <c r="G1361" i="1"/>
  <c r="H1361" i="1"/>
  <c r="I1361" i="1"/>
  <c r="J1361" i="1"/>
  <c r="K1361" i="1"/>
  <c r="L1361" i="1"/>
  <c r="M1361" i="1"/>
  <c r="N1361" i="1"/>
  <c r="O1361" i="1"/>
  <c r="P1361" i="1"/>
  <c r="R1361" i="1"/>
  <c r="S1361" i="1"/>
  <c r="T1361" i="1"/>
  <c r="U1361" i="1"/>
  <c r="B1360" i="1"/>
  <c r="C1360" i="1"/>
  <c r="D1360" i="1"/>
  <c r="E1360" i="1"/>
  <c r="F1360" i="1"/>
  <c r="G1360" i="1"/>
  <c r="H1360" i="1"/>
  <c r="I1360" i="1"/>
  <c r="J1360" i="1"/>
  <c r="K1360" i="1"/>
  <c r="L1360" i="1"/>
  <c r="M1360" i="1"/>
  <c r="N1360" i="1"/>
  <c r="O1360" i="1"/>
  <c r="P1360" i="1"/>
  <c r="R1360" i="1"/>
  <c r="S1360" i="1"/>
  <c r="T1360" i="1"/>
  <c r="U1360" i="1"/>
  <c r="B1359" i="1"/>
  <c r="C1359" i="1"/>
  <c r="D1359" i="1"/>
  <c r="E1359" i="1"/>
  <c r="F1359" i="1"/>
  <c r="G1359" i="1"/>
  <c r="H1359" i="1"/>
  <c r="I1359" i="1"/>
  <c r="J1359" i="1"/>
  <c r="K1359" i="1"/>
  <c r="L1359" i="1"/>
  <c r="M1359" i="1"/>
  <c r="N1359" i="1"/>
  <c r="O1359" i="1"/>
  <c r="P1359" i="1"/>
  <c r="R1359" i="1"/>
  <c r="S1359" i="1"/>
  <c r="T1359" i="1"/>
  <c r="U1359" i="1"/>
  <c r="B1358" i="1"/>
  <c r="C1358" i="1"/>
  <c r="D1358" i="1"/>
  <c r="E1358" i="1"/>
  <c r="F1358" i="1"/>
  <c r="G1358" i="1"/>
  <c r="H1358" i="1"/>
  <c r="I1358" i="1"/>
  <c r="J1358" i="1"/>
  <c r="K1358" i="1"/>
  <c r="L1358" i="1"/>
  <c r="M1358" i="1"/>
  <c r="N1358" i="1"/>
  <c r="O1358" i="1"/>
  <c r="P1358" i="1"/>
  <c r="R1358" i="1"/>
  <c r="S1358" i="1"/>
  <c r="T1358" i="1"/>
  <c r="U1358" i="1"/>
  <c r="B1357" i="1"/>
  <c r="C1357" i="1"/>
  <c r="D1357" i="1"/>
  <c r="E1357" i="1"/>
  <c r="F1357" i="1"/>
  <c r="G1357" i="1"/>
  <c r="H1357" i="1"/>
  <c r="I1357" i="1"/>
  <c r="J1357" i="1"/>
  <c r="K1357" i="1"/>
  <c r="L1357" i="1"/>
  <c r="M1357" i="1"/>
  <c r="N1357" i="1"/>
  <c r="O1357" i="1"/>
  <c r="P1357" i="1"/>
  <c r="R1357" i="1"/>
  <c r="S1357" i="1"/>
  <c r="T1357" i="1"/>
  <c r="U1357" i="1"/>
  <c r="B1356" i="1"/>
  <c r="C1356" i="1"/>
  <c r="D1356" i="1"/>
  <c r="E1356" i="1"/>
  <c r="F1356" i="1"/>
  <c r="G1356" i="1"/>
  <c r="H1356" i="1"/>
  <c r="I1356" i="1"/>
  <c r="J1356" i="1"/>
  <c r="K1356" i="1"/>
  <c r="L1356" i="1"/>
  <c r="M1356" i="1"/>
  <c r="N1356" i="1"/>
  <c r="O1356" i="1"/>
  <c r="P1356" i="1"/>
  <c r="R1356" i="1"/>
  <c r="S1356" i="1"/>
  <c r="T1356" i="1"/>
  <c r="U1356" i="1"/>
  <c r="B1355" i="1"/>
  <c r="C1355" i="1"/>
  <c r="D1355" i="1"/>
  <c r="E1355" i="1"/>
  <c r="F1355" i="1"/>
  <c r="G1355" i="1"/>
  <c r="H1355" i="1"/>
  <c r="I1355" i="1"/>
  <c r="J1355" i="1"/>
  <c r="K1355" i="1"/>
  <c r="L1355" i="1"/>
  <c r="M1355" i="1"/>
  <c r="N1355" i="1"/>
  <c r="O1355" i="1"/>
  <c r="P1355" i="1"/>
  <c r="R1355" i="1"/>
  <c r="S1355" i="1"/>
  <c r="T1355" i="1"/>
  <c r="U1355" i="1"/>
  <c r="B1354" i="1"/>
  <c r="C1354" i="1"/>
  <c r="D1354" i="1"/>
  <c r="E1354" i="1"/>
  <c r="F1354" i="1"/>
  <c r="G1354" i="1"/>
  <c r="H1354" i="1"/>
  <c r="I1354" i="1"/>
  <c r="J1354" i="1"/>
  <c r="K1354" i="1"/>
  <c r="L1354" i="1"/>
  <c r="M1354" i="1"/>
  <c r="N1354" i="1"/>
  <c r="O1354" i="1"/>
  <c r="P1354" i="1"/>
  <c r="R1354" i="1"/>
  <c r="S1354" i="1"/>
  <c r="T1354" i="1"/>
  <c r="U1354" i="1"/>
  <c r="B1353" i="1"/>
  <c r="C1353" i="1"/>
  <c r="D1353" i="1"/>
  <c r="E1353" i="1"/>
  <c r="F1353" i="1"/>
  <c r="G1353" i="1"/>
  <c r="H1353" i="1"/>
  <c r="I1353" i="1"/>
  <c r="J1353" i="1"/>
  <c r="K1353" i="1"/>
  <c r="L1353" i="1"/>
  <c r="M1353" i="1"/>
  <c r="N1353" i="1"/>
  <c r="O1353" i="1"/>
  <c r="P1353" i="1"/>
  <c r="R1353" i="1"/>
  <c r="S1353" i="1"/>
  <c r="T1353" i="1"/>
  <c r="U1353" i="1"/>
  <c r="B1352" i="1"/>
  <c r="C1352" i="1"/>
  <c r="D1352" i="1"/>
  <c r="E1352" i="1"/>
  <c r="F1352" i="1"/>
  <c r="G1352" i="1"/>
  <c r="H1352" i="1"/>
  <c r="I1352" i="1"/>
  <c r="J1352" i="1"/>
  <c r="K1352" i="1"/>
  <c r="L1352" i="1"/>
  <c r="M1352" i="1"/>
  <c r="N1352" i="1"/>
  <c r="O1352" i="1"/>
  <c r="P1352" i="1"/>
  <c r="R1352" i="1"/>
  <c r="S1352" i="1"/>
  <c r="T1352" i="1"/>
  <c r="U1352" i="1"/>
  <c r="B1351" i="1"/>
  <c r="C1351" i="1"/>
  <c r="D1351" i="1"/>
  <c r="E1351" i="1"/>
  <c r="F1351" i="1"/>
  <c r="G1351" i="1"/>
  <c r="H1351" i="1"/>
  <c r="I1351" i="1"/>
  <c r="J1351" i="1"/>
  <c r="K1351" i="1"/>
  <c r="L1351" i="1"/>
  <c r="M1351" i="1"/>
  <c r="N1351" i="1"/>
  <c r="O1351" i="1"/>
  <c r="P1351" i="1"/>
  <c r="R1351" i="1"/>
  <c r="S1351" i="1"/>
  <c r="T1351" i="1"/>
  <c r="U1351" i="1"/>
  <c r="B1350" i="1"/>
  <c r="C1350" i="1"/>
  <c r="D1350" i="1"/>
  <c r="E1350" i="1"/>
  <c r="F1350" i="1"/>
  <c r="G1350" i="1"/>
  <c r="H1350" i="1"/>
  <c r="I1350" i="1"/>
  <c r="J1350" i="1"/>
  <c r="K1350" i="1"/>
  <c r="L1350" i="1"/>
  <c r="M1350" i="1"/>
  <c r="N1350" i="1"/>
  <c r="O1350" i="1"/>
  <c r="P1350" i="1"/>
  <c r="S1350" i="1"/>
  <c r="T1350" i="1"/>
  <c r="U1350" i="1"/>
  <c r="B1349" i="1"/>
  <c r="C1349" i="1"/>
  <c r="D1349" i="1"/>
  <c r="E1349" i="1"/>
  <c r="F1349" i="1"/>
  <c r="G1349" i="1"/>
  <c r="H1349" i="1"/>
  <c r="I1349" i="1"/>
  <c r="J1349" i="1"/>
  <c r="K1349" i="1"/>
  <c r="L1349" i="1"/>
  <c r="M1349" i="1"/>
  <c r="N1349" i="1"/>
  <c r="O1349" i="1"/>
  <c r="P1349" i="1"/>
  <c r="R1349" i="1"/>
  <c r="S1349" i="1"/>
  <c r="T1349" i="1"/>
  <c r="U1349" i="1"/>
  <c r="B1348" i="1"/>
  <c r="C1348" i="1"/>
  <c r="D1348" i="1"/>
  <c r="E1348" i="1"/>
  <c r="F1348" i="1"/>
  <c r="G1348" i="1"/>
  <c r="H1348" i="1"/>
  <c r="I1348" i="1"/>
  <c r="J1348" i="1"/>
  <c r="K1348" i="1"/>
  <c r="L1348" i="1"/>
  <c r="M1348" i="1"/>
  <c r="N1348" i="1"/>
  <c r="O1348" i="1"/>
  <c r="P1348" i="1"/>
  <c r="R1348" i="1"/>
  <c r="S1348" i="1"/>
  <c r="T1348" i="1"/>
  <c r="U1348" i="1"/>
  <c r="B1347" i="1"/>
  <c r="C1347" i="1"/>
  <c r="D1347" i="1"/>
  <c r="E1347" i="1"/>
  <c r="F1347" i="1"/>
  <c r="G1347" i="1"/>
  <c r="H1347" i="1"/>
  <c r="I1347" i="1"/>
  <c r="J1347" i="1"/>
  <c r="K1347" i="1"/>
  <c r="L1347" i="1"/>
  <c r="M1347" i="1"/>
  <c r="N1347" i="1"/>
  <c r="O1347" i="1"/>
  <c r="P1347" i="1"/>
  <c r="R1347" i="1"/>
  <c r="S1347" i="1"/>
  <c r="T1347" i="1"/>
  <c r="U1347" i="1"/>
  <c r="B1346" i="1"/>
  <c r="C1346" i="1"/>
  <c r="D1346" i="1"/>
  <c r="E1346" i="1"/>
  <c r="F1346" i="1"/>
  <c r="G1346" i="1"/>
  <c r="H1346" i="1"/>
  <c r="I1346" i="1"/>
  <c r="J1346" i="1"/>
  <c r="K1346" i="1"/>
  <c r="L1346" i="1"/>
  <c r="M1346" i="1"/>
  <c r="N1346" i="1"/>
  <c r="O1346" i="1"/>
  <c r="P1346" i="1"/>
  <c r="R1346" i="1"/>
  <c r="S1346" i="1"/>
  <c r="T1346" i="1"/>
  <c r="U1346" i="1"/>
  <c r="B1345" i="1"/>
  <c r="C1345" i="1"/>
  <c r="D1345" i="1"/>
  <c r="E1345" i="1"/>
  <c r="F1345" i="1"/>
  <c r="G1345" i="1"/>
  <c r="H1345" i="1"/>
  <c r="I1345" i="1"/>
  <c r="J1345" i="1"/>
  <c r="K1345" i="1"/>
  <c r="L1345" i="1"/>
  <c r="M1345" i="1"/>
  <c r="N1345" i="1"/>
  <c r="O1345" i="1"/>
  <c r="P1345" i="1"/>
  <c r="R1345" i="1"/>
  <c r="S1345" i="1"/>
  <c r="T1345" i="1"/>
  <c r="U1345" i="1"/>
  <c r="B1344" i="1"/>
  <c r="C1344" i="1"/>
  <c r="D1344" i="1"/>
  <c r="E1344" i="1"/>
  <c r="F1344" i="1"/>
  <c r="G1344" i="1"/>
  <c r="H1344" i="1"/>
  <c r="I1344" i="1"/>
  <c r="J1344" i="1"/>
  <c r="K1344" i="1"/>
  <c r="L1344" i="1"/>
  <c r="M1344" i="1"/>
  <c r="N1344" i="1"/>
  <c r="O1344" i="1"/>
  <c r="P1344" i="1"/>
  <c r="R1344" i="1"/>
  <c r="S1344" i="1"/>
  <c r="T1344" i="1"/>
  <c r="U1344" i="1"/>
  <c r="B1343" i="1"/>
  <c r="C1343" i="1"/>
  <c r="D1343" i="1"/>
  <c r="E1343" i="1"/>
  <c r="F1343" i="1"/>
  <c r="G1343" i="1"/>
  <c r="H1343" i="1"/>
  <c r="I1343" i="1"/>
  <c r="J1343" i="1"/>
  <c r="K1343" i="1"/>
  <c r="L1343" i="1"/>
  <c r="M1343" i="1"/>
  <c r="N1343" i="1"/>
  <c r="O1343" i="1"/>
  <c r="P1343" i="1"/>
  <c r="R1343" i="1"/>
  <c r="S1343" i="1"/>
  <c r="T1343" i="1"/>
  <c r="U1343" i="1"/>
  <c r="B1342" i="1"/>
  <c r="C1342" i="1"/>
  <c r="D1342" i="1"/>
  <c r="E1342" i="1"/>
  <c r="F1342" i="1"/>
  <c r="G1342" i="1"/>
  <c r="H1342" i="1"/>
  <c r="I1342" i="1"/>
  <c r="J1342" i="1"/>
  <c r="K1342" i="1"/>
  <c r="L1342" i="1"/>
  <c r="M1342" i="1"/>
  <c r="N1342" i="1"/>
  <c r="O1342" i="1"/>
  <c r="P1342" i="1"/>
  <c r="R1342" i="1"/>
  <c r="S1342" i="1"/>
  <c r="T1342" i="1"/>
  <c r="U1342" i="1"/>
  <c r="B1341" i="1"/>
  <c r="C1341" i="1"/>
  <c r="D1341" i="1"/>
  <c r="E1341" i="1"/>
  <c r="F1341" i="1"/>
  <c r="G1341" i="1"/>
  <c r="H1341" i="1"/>
  <c r="I1341" i="1"/>
  <c r="J1341" i="1"/>
  <c r="K1341" i="1"/>
  <c r="L1341" i="1"/>
  <c r="M1341" i="1"/>
  <c r="N1341" i="1"/>
  <c r="O1341" i="1"/>
  <c r="P1341" i="1"/>
  <c r="R1341" i="1"/>
  <c r="S1341" i="1"/>
  <c r="T1341" i="1"/>
  <c r="U1341" i="1"/>
  <c r="B1340" i="1"/>
  <c r="C1340" i="1"/>
  <c r="D1340" i="1"/>
  <c r="E1340" i="1"/>
  <c r="F1340" i="1"/>
  <c r="G1340" i="1"/>
  <c r="H1340" i="1"/>
  <c r="I1340" i="1"/>
  <c r="J1340" i="1"/>
  <c r="K1340" i="1"/>
  <c r="L1340" i="1"/>
  <c r="M1340" i="1"/>
  <c r="N1340" i="1"/>
  <c r="O1340" i="1"/>
  <c r="P1340" i="1"/>
  <c r="R1340" i="1"/>
  <c r="S1340" i="1"/>
  <c r="T1340" i="1"/>
  <c r="U1340" i="1"/>
  <c r="B1339" i="1"/>
  <c r="C1339" i="1"/>
  <c r="D1339" i="1"/>
  <c r="E1339" i="1"/>
  <c r="F1339" i="1"/>
  <c r="G1339" i="1"/>
  <c r="H1339" i="1"/>
  <c r="I1339" i="1"/>
  <c r="J1339" i="1"/>
  <c r="K1339" i="1"/>
  <c r="L1339" i="1"/>
  <c r="M1339" i="1"/>
  <c r="N1339" i="1"/>
  <c r="O1339" i="1"/>
  <c r="P1339" i="1"/>
  <c r="R1339" i="1"/>
  <c r="S1339" i="1"/>
  <c r="T1339" i="1"/>
  <c r="U1339" i="1"/>
  <c r="B1338" i="1"/>
  <c r="C1338" i="1"/>
  <c r="D1338" i="1"/>
  <c r="E1338" i="1"/>
  <c r="F1338" i="1"/>
  <c r="G1338" i="1"/>
  <c r="H1338" i="1"/>
  <c r="I1338" i="1"/>
  <c r="J1338" i="1"/>
  <c r="K1338" i="1"/>
  <c r="L1338" i="1"/>
  <c r="M1338" i="1"/>
  <c r="N1338" i="1"/>
  <c r="O1338" i="1"/>
  <c r="P1338" i="1"/>
  <c r="R1338" i="1"/>
  <c r="S1338" i="1"/>
  <c r="T1338" i="1"/>
  <c r="U1338" i="1"/>
  <c r="B1337" i="1"/>
  <c r="C1337" i="1"/>
  <c r="D1337" i="1"/>
  <c r="E1337" i="1"/>
  <c r="F1337" i="1"/>
  <c r="G1337" i="1"/>
  <c r="H1337" i="1"/>
  <c r="I1337" i="1"/>
  <c r="J1337" i="1"/>
  <c r="K1337" i="1"/>
  <c r="L1337" i="1"/>
  <c r="M1337" i="1"/>
  <c r="N1337" i="1"/>
  <c r="O1337" i="1"/>
  <c r="P1337" i="1"/>
  <c r="R1337" i="1"/>
  <c r="S1337" i="1"/>
  <c r="T1337" i="1"/>
  <c r="U1337" i="1"/>
  <c r="B1336" i="1"/>
  <c r="C1336" i="1"/>
  <c r="D1336" i="1"/>
  <c r="E1336" i="1"/>
  <c r="F1336" i="1"/>
  <c r="G1336" i="1"/>
  <c r="H1336" i="1"/>
  <c r="I1336" i="1"/>
  <c r="J1336" i="1"/>
  <c r="K1336" i="1"/>
  <c r="L1336" i="1"/>
  <c r="M1336" i="1"/>
  <c r="N1336" i="1"/>
  <c r="O1336" i="1"/>
  <c r="P1336" i="1"/>
  <c r="R1336" i="1"/>
  <c r="S1336" i="1"/>
  <c r="T1336" i="1"/>
  <c r="U1336" i="1"/>
  <c r="B1335" i="1"/>
  <c r="C1335" i="1"/>
  <c r="D1335" i="1"/>
  <c r="E1335" i="1"/>
  <c r="F1335" i="1"/>
  <c r="G1335" i="1"/>
  <c r="H1335" i="1"/>
  <c r="I1335" i="1"/>
  <c r="J1335" i="1"/>
  <c r="K1335" i="1"/>
  <c r="L1335" i="1"/>
  <c r="M1335" i="1"/>
  <c r="N1335" i="1"/>
  <c r="O1335" i="1"/>
  <c r="P1335" i="1"/>
  <c r="R1335" i="1"/>
  <c r="S1335" i="1"/>
  <c r="T1335" i="1"/>
  <c r="U1335" i="1"/>
  <c r="B1334" i="1"/>
  <c r="C1334" i="1"/>
  <c r="D1334" i="1"/>
  <c r="E1334" i="1"/>
  <c r="F1334" i="1"/>
  <c r="G1334" i="1"/>
  <c r="H1334" i="1"/>
  <c r="I1334" i="1"/>
  <c r="J1334" i="1"/>
  <c r="K1334" i="1"/>
  <c r="L1334" i="1"/>
  <c r="M1334" i="1"/>
  <c r="N1334" i="1"/>
  <c r="O1334" i="1"/>
  <c r="P1334" i="1"/>
  <c r="R1334" i="1"/>
  <c r="S1334" i="1"/>
  <c r="T1334" i="1"/>
  <c r="U1334" i="1"/>
  <c r="B1333" i="1"/>
  <c r="C1333" i="1"/>
  <c r="D1333" i="1"/>
  <c r="E1333" i="1"/>
  <c r="F1333" i="1"/>
  <c r="G1333" i="1"/>
  <c r="H1333" i="1"/>
  <c r="I1333" i="1"/>
  <c r="J1333" i="1"/>
  <c r="K1333" i="1"/>
  <c r="L1333" i="1"/>
  <c r="M1333" i="1"/>
  <c r="N1333" i="1"/>
  <c r="O1333" i="1"/>
  <c r="P1333" i="1"/>
  <c r="R1333" i="1"/>
  <c r="S1333" i="1"/>
  <c r="T1333" i="1"/>
  <c r="U1333" i="1"/>
  <c r="B1332" i="1"/>
  <c r="C1332" i="1"/>
  <c r="D1332" i="1"/>
  <c r="E1332" i="1"/>
  <c r="F1332" i="1"/>
  <c r="G1332" i="1"/>
  <c r="H1332" i="1"/>
  <c r="I1332" i="1"/>
  <c r="J1332" i="1"/>
  <c r="K1332" i="1"/>
  <c r="L1332" i="1"/>
  <c r="M1332" i="1"/>
  <c r="N1332" i="1"/>
  <c r="O1332" i="1"/>
  <c r="P1332" i="1"/>
  <c r="R1332" i="1"/>
  <c r="S1332" i="1"/>
  <c r="T1332" i="1"/>
  <c r="U1332" i="1"/>
  <c r="B1331" i="1"/>
  <c r="C1331" i="1"/>
  <c r="D1331" i="1"/>
  <c r="E1331" i="1"/>
  <c r="F1331" i="1"/>
  <c r="G1331" i="1"/>
  <c r="H1331" i="1"/>
  <c r="I1331" i="1"/>
  <c r="J1331" i="1"/>
  <c r="K1331" i="1"/>
  <c r="L1331" i="1"/>
  <c r="M1331" i="1"/>
  <c r="N1331" i="1"/>
  <c r="O1331" i="1"/>
  <c r="P1331" i="1"/>
  <c r="R1331" i="1"/>
  <c r="S1331" i="1"/>
  <c r="T1331" i="1"/>
  <c r="U1331" i="1"/>
  <c r="B1330" i="1"/>
  <c r="C1330" i="1"/>
  <c r="D1330" i="1"/>
  <c r="E1330" i="1"/>
  <c r="F1330" i="1"/>
  <c r="G1330" i="1"/>
  <c r="H1330" i="1"/>
  <c r="I1330" i="1"/>
  <c r="J1330" i="1"/>
  <c r="K1330" i="1"/>
  <c r="L1330" i="1"/>
  <c r="M1330" i="1"/>
  <c r="N1330" i="1"/>
  <c r="O1330" i="1"/>
  <c r="P1330" i="1"/>
  <c r="R1330" i="1"/>
  <c r="S1330" i="1"/>
  <c r="T1330" i="1"/>
  <c r="U1330" i="1"/>
  <c r="B1329" i="1"/>
  <c r="C1329" i="1"/>
  <c r="D1329" i="1"/>
  <c r="E1329" i="1"/>
  <c r="F1329" i="1"/>
  <c r="G1329" i="1"/>
  <c r="H1329" i="1"/>
  <c r="I1329" i="1"/>
  <c r="J1329" i="1"/>
  <c r="K1329" i="1"/>
  <c r="L1329" i="1"/>
  <c r="M1329" i="1"/>
  <c r="N1329" i="1"/>
  <c r="O1329" i="1"/>
  <c r="P1329" i="1"/>
  <c r="R1329" i="1"/>
  <c r="S1329" i="1"/>
  <c r="T1329" i="1"/>
  <c r="U1329" i="1"/>
  <c r="B1328" i="1"/>
  <c r="C1328" i="1"/>
  <c r="D1328" i="1"/>
  <c r="E1328" i="1"/>
  <c r="F1328" i="1"/>
  <c r="G1328" i="1"/>
  <c r="H1328" i="1"/>
  <c r="I1328" i="1"/>
  <c r="J1328" i="1"/>
  <c r="K1328" i="1"/>
  <c r="L1328" i="1"/>
  <c r="M1328" i="1"/>
  <c r="N1328" i="1"/>
  <c r="O1328" i="1"/>
  <c r="P1328" i="1"/>
  <c r="R1328" i="1"/>
  <c r="S1328" i="1"/>
  <c r="T1328" i="1"/>
  <c r="U1328" i="1"/>
  <c r="B1327" i="1"/>
  <c r="C1327" i="1"/>
  <c r="D1327" i="1"/>
  <c r="E1327" i="1"/>
  <c r="F1327" i="1"/>
  <c r="G1327" i="1"/>
  <c r="H1327" i="1"/>
  <c r="I1327" i="1"/>
  <c r="J1327" i="1"/>
  <c r="K1327" i="1"/>
  <c r="L1327" i="1"/>
  <c r="M1327" i="1"/>
  <c r="N1327" i="1"/>
  <c r="O1327" i="1"/>
  <c r="P1327" i="1"/>
  <c r="R1327" i="1"/>
  <c r="S1327" i="1"/>
  <c r="T1327" i="1"/>
  <c r="U1327" i="1"/>
  <c r="B1326" i="1"/>
  <c r="C1326" i="1"/>
  <c r="D1326" i="1"/>
  <c r="E1326" i="1"/>
  <c r="F1326" i="1"/>
  <c r="G1326" i="1"/>
  <c r="H1326" i="1"/>
  <c r="I1326" i="1"/>
  <c r="J1326" i="1"/>
  <c r="K1326" i="1"/>
  <c r="L1326" i="1"/>
  <c r="M1326" i="1"/>
  <c r="N1326" i="1"/>
  <c r="O1326" i="1"/>
  <c r="P1326" i="1"/>
  <c r="R1326" i="1"/>
  <c r="S1326" i="1"/>
  <c r="T1326" i="1"/>
  <c r="U1326" i="1"/>
  <c r="B1325" i="1"/>
  <c r="C1325" i="1"/>
  <c r="D1325" i="1"/>
  <c r="E1325" i="1"/>
  <c r="F1325" i="1"/>
  <c r="G1325" i="1"/>
  <c r="H1325" i="1"/>
  <c r="I1325" i="1"/>
  <c r="J1325" i="1"/>
  <c r="K1325" i="1"/>
  <c r="L1325" i="1"/>
  <c r="M1325" i="1"/>
  <c r="N1325" i="1"/>
  <c r="O1325" i="1"/>
  <c r="P1325" i="1"/>
  <c r="R1325" i="1"/>
  <c r="S1325" i="1"/>
  <c r="T1325" i="1"/>
  <c r="U1325" i="1"/>
  <c r="B1324" i="1"/>
  <c r="C1324" i="1"/>
  <c r="D1324" i="1"/>
  <c r="E1324" i="1"/>
  <c r="F1324" i="1"/>
  <c r="G1324" i="1"/>
  <c r="H1324" i="1"/>
  <c r="I1324" i="1"/>
  <c r="J1324" i="1"/>
  <c r="K1324" i="1"/>
  <c r="L1324" i="1"/>
  <c r="M1324" i="1"/>
  <c r="N1324" i="1"/>
  <c r="O1324" i="1"/>
  <c r="P1324" i="1"/>
  <c r="R1324" i="1"/>
  <c r="S1324" i="1"/>
  <c r="T1324" i="1"/>
  <c r="U1324" i="1"/>
  <c r="B1323" i="1"/>
  <c r="C1323" i="1"/>
  <c r="D1323" i="1"/>
  <c r="E1323" i="1"/>
  <c r="F1323" i="1"/>
  <c r="G1323" i="1"/>
  <c r="H1323" i="1"/>
  <c r="I1323" i="1"/>
  <c r="J1323" i="1"/>
  <c r="K1323" i="1"/>
  <c r="L1323" i="1"/>
  <c r="M1323" i="1"/>
  <c r="N1323" i="1"/>
  <c r="O1323" i="1"/>
  <c r="P1323" i="1"/>
  <c r="R1323" i="1"/>
  <c r="S1323" i="1"/>
  <c r="T1323" i="1"/>
  <c r="U1323" i="1"/>
  <c r="B1322" i="1"/>
  <c r="C1322" i="1"/>
  <c r="D1322" i="1"/>
  <c r="E1322" i="1"/>
  <c r="F1322" i="1"/>
  <c r="G1322" i="1"/>
  <c r="H1322" i="1"/>
  <c r="I1322" i="1"/>
  <c r="J1322" i="1"/>
  <c r="K1322" i="1"/>
  <c r="L1322" i="1"/>
  <c r="M1322" i="1"/>
  <c r="N1322" i="1"/>
  <c r="O1322" i="1"/>
  <c r="P1322" i="1"/>
  <c r="R1322" i="1"/>
  <c r="S1322" i="1"/>
  <c r="T1322" i="1"/>
  <c r="U1322" i="1"/>
  <c r="B1321" i="1"/>
  <c r="C1321" i="1"/>
  <c r="D1321" i="1"/>
  <c r="E1321" i="1"/>
  <c r="F1321" i="1"/>
  <c r="G1321" i="1"/>
  <c r="H1321" i="1"/>
  <c r="I1321" i="1"/>
  <c r="J1321" i="1"/>
  <c r="K1321" i="1"/>
  <c r="L1321" i="1"/>
  <c r="M1321" i="1"/>
  <c r="N1321" i="1"/>
  <c r="O1321" i="1"/>
  <c r="P1321" i="1"/>
  <c r="R1321" i="1"/>
  <c r="S1321" i="1"/>
  <c r="T1321" i="1"/>
  <c r="U1321" i="1"/>
  <c r="B1320" i="1"/>
  <c r="C1320" i="1"/>
  <c r="D1320" i="1"/>
  <c r="E1320" i="1"/>
  <c r="F1320" i="1"/>
  <c r="G1320" i="1"/>
  <c r="H1320" i="1"/>
  <c r="I1320" i="1"/>
  <c r="J1320" i="1"/>
  <c r="K1320" i="1"/>
  <c r="L1320" i="1"/>
  <c r="M1320" i="1"/>
  <c r="N1320" i="1"/>
  <c r="O1320" i="1"/>
  <c r="P1320" i="1"/>
  <c r="R1320" i="1"/>
  <c r="S1320" i="1"/>
  <c r="T1320" i="1"/>
  <c r="U1320" i="1"/>
  <c r="B1319" i="1"/>
  <c r="C1319" i="1"/>
  <c r="D1319" i="1"/>
  <c r="E1319" i="1"/>
  <c r="F1319" i="1"/>
  <c r="G1319" i="1"/>
  <c r="H1319" i="1"/>
  <c r="I1319" i="1"/>
  <c r="J1319" i="1"/>
  <c r="K1319" i="1"/>
  <c r="L1319" i="1"/>
  <c r="M1319" i="1"/>
  <c r="N1319" i="1"/>
  <c r="O1319" i="1"/>
  <c r="P1319" i="1"/>
  <c r="R1319" i="1"/>
  <c r="S1319" i="1"/>
  <c r="T1319" i="1"/>
  <c r="U1319" i="1"/>
  <c r="B1318" i="1"/>
  <c r="C1318" i="1"/>
  <c r="D1318" i="1"/>
  <c r="E1318" i="1"/>
  <c r="F1318" i="1"/>
  <c r="G1318" i="1"/>
  <c r="H1318" i="1"/>
  <c r="I1318" i="1"/>
  <c r="J1318" i="1"/>
  <c r="K1318" i="1"/>
  <c r="L1318" i="1"/>
  <c r="M1318" i="1"/>
  <c r="N1318" i="1"/>
  <c r="O1318" i="1"/>
  <c r="P1318" i="1"/>
  <c r="R1318" i="1"/>
  <c r="S1318" i="1"/>
  <c r="T1318" i="1"/>
  <c r="U1318" i="1"/>
  <c r="B1317" i="1"/>
  <c r="C1317" i="1"/>
  <c r="D1317" i="1"/>
  <c r="E1317" i="1"/>
  <c r="F1317" i="1"/>
  <c r="G1317" i="1"/>
  <c r="H1317" i="1"/>
  <c r="I1317" i="1"/>
  <c r="J1317" i="1"/>
  <c r="K1317" i="1"/>
  <c r="L1317" i="1"/>
  <c r="M1317" i="1"/>
  <c r="N1317" i="1"/>
  <c r="O1317" i="1"/>
  <c r="P1317" i="1"/>
  <c r="R1317" i="1"/>
  <c r="S1317" i="1"/>
  <c r="T1317" i="1"/>
  <c r="U1317" i="1"/>
  <c r="B1316" i="1"/>
  <c r="C1316" i="1"/>
  <c r="D1316" i="1"/>
  <c r="E1316" i="1"/>
  <c r="F1316" i="1"/>
  <c r="G1316" i="1"/>
  <c r="H1316" i="1"/>
  <c r="I1316" i="1"/>
  <c r="J1316" i="1"/>
  <c r="K1316" i="1"/>
  <c r="L1316" i="1"/>
  <c r="M1316" i="1"/>
  <c r="N1316" i="1"/>
  <c r="O1316" i="1"/>
  <c r="P1316" i="1"/>
  <c r="R1316" i="1"/>
  <c r="S1316" i="1"/>
  <c r="T1316" i="1"/>
  <c r="U1316" i="1"/>
  <c r="B1315" i="1"/>
  <c r="C1315" i="1"/>
  <c r="D1315" i="1"/>
  <c r="E1315" i="1"/>
  <c r="F1315" i="1"/>
  <c r="G1315" i="1"/>
  <c r="H1315" i="1"/>
  <c r="I1315" i="1"/>
  <c r="J1315" i="1"/>
  <c r="K1315" i="1"/>
  <c r="L1315" i="1"/>
  <c r="M1315" i="1"/>
  <c r="N1315" i="1"/>
  <c r="O1315" i="1"/>
  <c r="P1315" i="1"/>
  <c r="R1315" i="1"/>
  <c r="S1315" i="1"/>
  <c r="T1315" i="1"/>
  <c r="U1315" i="1"/>
  <c r="B1314" i="1"/>
  <c r="C1314" i="1"/>
  <c r="D1314" i="1"/>
  <c r="E1314" i="1"/>
  <c r="F1314" i="1"/>
  <c r="G1314" i="1"/>
  <c r="H1314" i="1"/>
  <c r="I1314" i="1"/>
  <c r="J1314" i="1"/>
  <c r="K1314" i="1"/>
  <c r="L1314" i="1"/>
  <c r="M1314" i="1"/>
  <c r="N1314" i="1"/>
  <c r="O1314" i="1"/>
  <c r="P1314" i="1"/>
  <c r="R1314" i="1"/>
  <c r="S1314" i="1"/>
  <c r="T1314" i="1"/>
  <c r="U1314" i="1"/>
  <c r="B1313" i="1"/>
  <c r="C1313" i="1"/>
  <c r="D1313" i="1"/>
  <c r="E1313" i="1"/>
  <c r="F1313" i="1"/>
  <c r="G1313" i="1"/>
  <c r="H1313" i="1"/>
  <c r="I1313" i="1"/>
  <c r="J1313" i="1"/>
  <c r="K1313" i="1"/>
  <c r="L1313" i="1"/>
  <c r="M1313" i="1"/>
  <c r="N1313" i="1"/>
  <c r="O1313" i="1"/>
  <c r="P1313" i="1"/>
  <c r="R1313" i="1"/>
  <c r="S1313" i="1"/>
  <c r="T1313" i="1"/>
  <c r="U1313" i="1"/>
  <c r="B1312" i="1"/>
  <c r="C1312" i="1"/>
  <c r="D1312" i="1"/>
  <c r="E1312" i="1"/>
  <c r="F1312" i="1"/>
  <c r="G1312" i="1"/>
  <c r="H1312" i="1"/>
  <c r="I1312" i="1"/>
  <c r="J1312" i="1"/>
  <c r="K1312" i="1"/>
  <c r="L1312" i="1"/>
  <c r="M1312" i="1"/>
  <c r="N1312" i="1"/>
  <c r="O1312" i="1"/>
  <c r="P1312" i="1"/>
  <c r="R1312" i="1"/>
  <c r="S1312" i="1"/>
  <c r="T1312" i="1"/>
  <c r="U1312" i="1"/>
  <c r="T1311" i="1"/>
  <c r="U1311" i="1"/>
  <c r="R1311" i="1"/>
  <c r="S1311" i="1"/>
  <c r="P1311" i="1"/>
  <c r="N1311" i="1"/>
  <c r="O1311" i="1"/>
  <c r="L1311" i="1"/>
  <c r="M1311" i="1"/>
  <c r="J1311" i="1"/>
  <c r="K1311" i="1"/>
  <c r="H1311" i="1"/>
  <c r="I1311" i="1"/>
  <c r="F1311" i="1"/>
  <c r="G1311" i="1"/>
  <c r="D1311" i="1"/>
  <c r="E1311" i="1"/>
  <c r="C1311" i="1"/>
  <c r="C1296" i="1"/>
  <c r="D1296" i="1"/>
  <c r="E1296" i="1"/>
  <c r="F1296" i="1"/>
  <c r="G1296" i="1"/>
  <c r="H1296" i="1"/>
  <c r="C1295" i="1"/>
  <c r="D1295" i="1"/>
  <c r="E1295" i="1"/>
  <c r="F1295" i="1"/>
  <c r="G1295" i="1"/>
  <c r="H1295" i="1"/>
  <c r="I1295" i="1"/>
  <c r="J1295" i="1"/>
  <c r="K1295" i="1"/>
  <c r="L1295" i="1"/>
  <c r="M1295" i="1"/>
  <c r="N1295" i="1"/>
  <c r="O1295" i="1"/>
  <c r="P1295" i="1"/>
  <c r="R1295" i="1"/>
  <c r="S1295" i="1"/>
  <c r="T1295" i="1"/>
  <c r="U1295" i="1"/>
  <c r="C1294" i="1"/>
  <c r="D1294" i="1"/>
  <c r="E1294" i="1"/>
  <c r="F1294" i="1"/>
  <c r="G1294" i="1"/>
  <c r="H1294" i="1"/>
  <c r="I1294" i="1"/>
  <c r="J1294" i="1"/>
  <c r="K1294" i="1"/>
  <c r="L1294" i="1"/>
  <c r="M1294" i="1"/>
  <c r="N1294" i="1"/>
  <c r="O1294" i="1"/>
  <c r="P1294" i="1"/>
  <c r="R1294" i="1"/>
  <c r="S1294" i="1"/>
  <c r="T1294" i="1"/>
  <c r="U1294" i="1"/>
  <c r="C1293" i="1"/>
  <c r="D1293" i="1"/>
  <c r="E1293" i="1"/>
  <c r="F1293" i="1"/>
  <c r="G1293" i="1"/>
  <c r="H1293" i="1"/>
  <c r="I1293" i="1"/>
  <c r="J1293" i="1"/>
  <c r="K1293" i="1"/>
  <c r="L1293" i="1"/>
  <c r="M1293" i="1"/>
  <c r="N1293" i="1"/>
  <c r="O1293" i="1"/>
  <c r="P1293" i="1"/>
  <c r="R1293" i="1"/>
  <c r="S1293" i="1"/>
  <c r="T1293" i="1"/>
  <c r="U1293" i="1"/>
  <c r="C1292" i="1"/>
  <c r="D1292" i="1"/>
  <c r="E1292" i="1"/>
  <c r="F1292" i="1"/>
  <c r="G1292" i="1"/>
  <c r="H1292" i="1"/>
  <c r="I1292" i="1"/>
  <c r="J1292" i="1"/>
  <c r="K1292" i="1"/>
  <c r="L1292" i="1"/>
  <c r="M1292" i="1"/>
  <c r="N1292" i="1"/>
  <c r="O1292" i="1"/>
  <c r="P1292" i="1"/>
  <c r="R1292" i="1"/>
  <c r="S1292" i="1"/>
  <c r="T1292" i="1"/>
  <c r="U1292" i="1"/>
  <c r="C1291" i="1"/>
  <c r="D1291" i="1"/>
  <c r="E1291" i="1"/>
  <c r="F1291" i="1"/>
  <c r="G1291" i="1"/>
  <c r="H1291" i="1"/>
  <c r="I1291" i="1"/>
  <c r="J1291" i="1"/>
  <c r="K1291" i="1"/>
  <c r="L1291" i="1"/>
  <c r="M1291" i="1"/>
  <c r="N1291" i="1"/>
  <c r="O1291" i="1"/>
  <c r="P1291" i="1"/>
  <c r="R1291" i="1"/>
  <c r="S1291" i="1"/>
  <c r="T1291" i="1"/>
  <c r="U1291" i="1"/>
  <c r="C1290" i="1"/>
  <c r="D1290" i="1"/>
  <c r="E1290" i="1"/>
  <c r="F1290" i="1"/>
  <c r="G1290" i="1"/>
  <c r="H1290" i="1"/>
  <c r="I1290" i="1"/>
  <c r="J1290" i="1"/>
  <c r="K1290" i="1"/>
  <c r="L1290" i="1"/>
  <c r="M1290" i="1"/>
  <c r="N1290" i="1"/>
  <c r="O1290" i="1"/>
  <c r="P1290" i="1"/>
  <c r="R1290" i="1"/>
  <c r="S1290" i="1"/>
  <c r="T1290" i="1"/>
  <c r="U1290" i="1"/>
  <c r="C1289" i="1"/>
  <c r="D1289" i="1"/>
  <c r="E1289" i="1"/>
  <c r="F1289" i="1"/>
  <c r="G1289" i="1"/>
  <c r="H1289" i="1"/>
  <c r="I1289" i="1"/>
  <c r="J1289" i="1"/>
  <c r="K1289" i="1"/>
  <c r="L1289" i="1"/>
  <c r="M1289" i="1"/>
  <c r="N1289" i="1"/>
  <c r="O1289" i="1"/>
  <c r="P1289" i="1"/>
  <c r="R1289" i="1"/>
  <c r="S1289" i="1"/>
  <c r="T1289" i="1"/>
  <c r="U1289" i="1"/>
  <c r="B1288" i="1"/>
  <c r="C1288" i="1"/>
  <c r="D1288" i="1"/>
  <c r="E1288" i="1"/>
  <c r="F1288" i="1"/>
  <c r="G1288" i="1"/>
  <c r="H1288" i="1"/>
  <c r="I1288" i="1"/>
  <c r="J1288" i="1"/>
  <c r="K1288" i="1"/>
  <c r="L1288" i="1"/>
  <c r="M1288" i="1"/>
  <c r="N1288" i="1"/>
  <c r="O1288" i="1"/>
  <c r="P1288" i="1"/>
  <c r="R1288" i="1"/>
  <c r="S1288" i="1"/>
  <c r="T1288" i="1"/>
  <c r="U1288" i="1"/>
  <c r="C1287" i="1"/>
  <c r="D1287" i="1"/>
  <c r="E1287" i="1"/>
  <c r="F1287" i="1"/>
  <c r="G1287" i="1"/>
  <c r="H1287" i="1"/>
  <c r="I1287" i="1"/>
  <c r="J1287" i="1"/>
  <c r="K1287" i="1"/>
  <c r="L1287" i="1"/>
  <c r="M1287" i="1"/>
  <c r="N1287" i="1"/>
  <c r="O1287" i="1"/>
  <c r="P1287" i="1"/>
  <c r="R1287" i="1"/>
  <c r="S1287" i="1"/>
  <c r="T1287" i="1"/>
  <c r="U1287" i="1"/>
  <c r="C1286" i="1"/>
  <c r="D1286" i="1"/>
  <c r="E1286" i="1"/>
  <c r="F1286" i="1"/>
  <c r="G1286" i="1"/>
  <c r="H1286" i="1"/>
  <c r="I1286" i="1"/>
  <c r="J1286" i="1"/>
  <c r="K1286" i="1"/>
  <c r="L1286" i="1"/>
  <c r="M1286" i="1"/>
  <c r="N1286" i="1"/>
  <c r="O1286" i="1"/>
  <c r="P1286" i="1"/>
  <c r="R1286" i="1"/>
  <c r="S1286" i="1"/>
  <c r="T1286" i="1"/>
  <c r="U1286" i="1"/>
  <c r="C1285" i="1"/>
  <c r="D1285" i="1"/>
  <c r="E1285" i="1"/>
  <c r="F1285" i="1"/>
  <c r="G1285" i="1"/>
  <c r="H1285" i="1"/>
  <c r="I1285" i="1"/>
  <c r="J1285" i="1"/>
  <c r="K1285" i="1"/>
  <c r="L1285" i="1"/>
  <c r="M1285" i="1"/>
  <c r="N1285" i="1"/>
  <c r="O1285" i="1"/>
  <c r="P1285" i="1"/>
  <c r="R1285" i="1"/>
  <c r="S1285" i="1"/>
  <c r="T1285" i="1"/>
  <c r="U1285" i="1"/>
  <c r="C1284" i="1"/>
  <c r="D1284" i="1"/>
  <c r="E1284" i="1"/>
  <c r="F1284" i="1"/>
  <c r="G1284" i="1"/>
  <c r="H1284" i="1"/>
  <c r="I1284" i="1"/>
  <c r="J1284" i="1"/>
  <c r="K1284" i="1"/>
  <c r="L1284" i="1"/>
  <c r="M1284" i="1"/>
  <c r="N1284" i="1"/>
  <c r="O1284" i="1"/>
  <c r="P1284" i="1"/>
  <c r="R1284" i="1"/>
  <c r="S1284" i="1"/>
  <c r="T1284" i="1"/>
  <c r="U1284" i="1"/>
  <c r="C1283" i="1"/>
  <c r="D1283" i="1"/>
  <c r="E1283" i="1"/>
  <c r="F1283" i="1"/>
  <c r="G1283" i="1"/>
  <c r="H1283" i="1"/>
  <c r="I1283" i="1"/>
  <c r="J1283" i="1"/>
  <c r="K1283" i="1"/>
  <c r="L1283" i="1"/>
  <c r="M1283" i="1"/>
  <c r="N1283" i="1"/>
  <c r="O1283" i="1"/>
  <c r="P1283" i="1"/>
  <c r="R1283" i="1"/>
  <c r="S1283" i="1"/>
  <c r="T1283" i="1"/>
  <c r="U1283" i="1"/>
  <c r="C1282" i="1"/>
  <c r="D1282" i="1"/>
  <c r="E1282" i="1"/>
  <c r="F1282" i="1"/>
  <c r="G1282" i="1"/>
  <c r="H1282" i="1"/>
  <c r="I1282" i="1"/>
  <c r="J1282" i="1"/>
  <c r="K1282" i="1"/>
  <c r="L1282" i="1"/>
  <c r="M1282" i="1"/>
  <c r="N1282" i="1"/>
  <c r="O1282" i="1"/>
  <c r="P1282" i="1"/>
  <c r="R1282" i="1"/>
  <c r="S1282" i="1"/>
  <c r="T1282" i="1"/>
  <c r="U1282" i="1"/>
  <c r="C1281" i="1"/>
  <c r="D1281" i="1"/>
  <c r="E1281" i="1"/>
  <c r="F1281" i="1"/>
  <c r="G1281" i="1"/>
  <c r="H1281" i="1"/>
  <c r="I1281" i="1"/>
  <c r="J1281" i="1"/>
  <c r="K1281" i="1"/>
  <c r="L1281" i="1"/>
  <c r="M1281" i="1"/>
  <c r="N1281" i="1"/>
  <c r="O1281" i="1"/>
  <c r="P1281" i="1"/>
  <c r="R1281" i="1"/>
  <c r="S1281" i="1"/>
  <c r="T1281" i="1"/>
  <c r="U1281" i="1"/>
  <c r="C1280" i="1"/>
  <c r="D1280" i="1"/>
  <c r="E1280" i="1"/>
  <c r="F1280" i="1"/>
  <c r="G1280" i="1"/>
  <c r="H1280" i="1"/>
  <c r="I1280" i="1"/>
  <c r="J1280" i="1"/>
  <c r="K1280" i="1"/>
  <c r="L1280" i="1"/>
  <c r="M1280" i="1"/>
  <c r="N1280" i="1"/>
  <c r="O1280" i="1"/>
  <c r="P1280" i="1"/>
  <c r="R1280" i="1"/>
  <c r="S1280" i="1"/>
  <c r="T1280" i="1"/>
  <c r="U1280" i="1"/>
  <c r="B1279" i="1"/>
  <c r="C1279" i="1"/>
  <c r="D1279" i="1"/>
  <c r="E1279" i="1"/>
  <c r="F1279" i="1"/>
  <c r="G1279" i="1"/>
  <c r="H1279" i="1"/>
  <c r="I1279" i="1"/>
  <c r="J1279" i="1"/>
  <c r="K1279" i="1"/>
  <c r="L1279" i="1"/>
  <c r="M1279" i="1"/>
  <c r="N1279" i="1"/>
  <c r="O1279" i="1"/>
  <c r="P1279" i="1"/>
  <c r="R1279" i="1"/>
  <c r="S1279" i="1"/>
  <c r="T1279" i="1"/>
  <c r="U1279" i="1"/>
  <c r="C1278" i="1"/>
  <c r="D1278" i="1"/>
  <c r="E1278" i="1"/>
  <c r="F1278" i="1"/>
  <c r="G1278" i="1"/>
  <c r="H1278" i="1"/>
  <c r="I1278" i="1"/>
  <c r="J1278" i="1"/>
  <c r="K1278" i="1"/>
  <c r="L1278" i="1"/>
  <c r="M1278" i="1"/>
  <c r="N1278" i="1"/>
  <c r="O1278" i="1"/>
  <c r="P1278" i="1"/>
  <c r="R1278" i="1"/>
  <c r="S1278" i="1"/>
  <c r="T1278" i="1"/>
  <c r="U1278" i="1"/>
  <c r="C1277" i="1"/>
  <c r="D1277" i="1"/>
  <c r="E1277" i="1"/>
  <c r="F1277" i="1"/>
  <c r="G1277" i="1"/>
  <c r="H1277" i="1"/>
  <c r="I1277" i="1"/>
  <c r="J1277" i="1"/>
  <c r="K1277" i="1"/>
  <c r="L1277" i="1"/>
  <c r="M1277" i="1"/>
  <c r="N1277" i="1"/>
  <c r="O1277" i="1"/>
  <c r="P1277" i="1"/>
  <c r="R1277" i="1"/>
  <c r="S1277" i="1"/>
  <c r="T1277" i="1"/>
  <c r="U1277" i="1"/>
  <c r="C1276" i="1"/>
  <c r="D1276" i="1"/>
  <c r="E1276" i="1"/>
  <c r="F1276" i="1"/>
  <c r="G1276" i="1"/>
  <c r="H1276" i="1"/>
  <c r="I1276" i="1"/>
  <c r="J1276" i="1"/>
  <c r="K1276" i="1"/>
  <c r="L1276" i="1"/>
  <c r="M1276" i="1"/>
  <c r="N1276" i="1"/>
  <c r="O1276" i="1"/>
  <c r="P1276" i="1"/>
  <c r="R1276" i="1"/>
  <c r="S1276" i="1"/>
  <c r="T1276" i="1"/>
  <c r="U1276" i="1"/>
  <c r="C1275" i="1"/>
  <c r="D1275" i="1"/>
  <c r="E1275" i="1"/>
  <c r="F1275" i="1"/>
  <c r="G1275" i="1"/>
  <c r="H1275" i="1"/>
  <c r="I1275" i="1"/>
  <c r="J1275" i="1"/>
  <c r="K1275" i="1"/>
  <c r="L1275" i="1"/>
  <c r="M1275" i="1"/>
  <c r="N1275" i="1"/>
  <c r="O1275" i="1"/>
  <c r="P1275" i="1"/>
  <c r="R1275" i="1"/>
  <c r="S1275" i="1"/>
  <c r="T1275" i="1"/>
  <c r="U1275" i="1"/>
  <c r="C1274" i="1"/>
  <c r="D1274" i="1"/>
  <c r="E1274" i="1"/>
  <c r="F1274" i="1"/>
  <c r="G1274" i="1"/>
  <c r="H1274" i="1"/>
  <c r="I1274" i="1"/>
  <c r="J1274" i="1"/>
  <c r="K1274" i="1"/>
  <c r="L1274" i="1"/>
  <c r="M1274" i="1"/>
  <c r="N1274" i="1"/>
  <c r="O1274" i="1"/>
  <c r="P1274" i="1"/>
  <c r="R1274" i="1"/>
  <c r="S1274" i="1"/>
  <c r="T1274" i="1"/>
  <c r="U1274" i="1"/>
  <c r="C1273" i="1"/>
  <c r="D1273" i="1"/>
  <c r="E1273" i="1"/>
  <c r="F1273" i="1"/>
  <c r="G1273" i="1"/>
  <c r="H1273" i="1"/>
  <c r="I1273" i="1"/>
  <c r="J1273" i="1"/>
  <c r="K1273" i="1"/>
  <c r="L1273" i="1"/>
  <c r="M1273" i="1"/>
  <c r="N1273" i="1"/>
  <c r="O1273" i="1"/>
  <c r="P1273" i="1"/>
  <c r="R1273" i="1"/>
  <c r="S1273" i="1"/>
  <c r="T1273" i="1"/>
  <c r="U1273" i="1"/>
  <c r="C1272" i="1"/>
  <c r="D1272" i="1"/>
  <c r="E1272" i="1"/>
  <c r="F1272" i="1"/>
  <c r="G1272" i="1"/>
  <c r="H1272" i="1"/>
  <c r="I1272" i="1"/>
  <c r="J1272" i="1"/>
  <c r="K1272" i="1"/>
  <c r="L1272" i="1"/>
  <c r="M1272" i="1"/>
  <c r="N1272" i="1"/>
  <c r="O1272" i="1"/>
  <c r="P1272" i="1"/>
  <c r="R1272" i="1"/>
  <c r="S1272" i="1"/>
  <c r="T1272" i="1"/>
  <c r="U1272" i="1"/>
  <c r="C1271" i="1"/>
  <c r="D1271" i="1"/>
  <c r="E1271" i="1"/>
  <c r="F1271" i="1"/>
  <c r="G1271" i="1"/>
  <c r="H1271" i="1"/>
  <c r="I1271" i="1"/>
  <c r="J1271" i="1"/>
  <c r="K1271" i="1"/>
  <c r="L1271" i="1"/>
  <c r="M1271" i="1"/>
  <c r="N1271" i="1"/>
  <c r="O1271" i="1"/>
  <c r="P1271" i="1"/>
  <c r="R1271" i="1"/>
  <c r="S1271" i="1"/>
  <c r="T1271" i="1"/>
  <c r="U1271" i="1"/>
  <c r="C1270" i="1"/>
  <c r="D1270" i="1"/>
  <c r="E1270" i="1"/>
  <c r="F1270" i="1"/>
  <c r="G1270" i="1"/>
  <c r="H1270" i="1"/>
  <c r="I1270" i="1"/>
  <c r="J1270" i="1"/>
  <c r="K1270" i="1"/>
  <c r="L1270" i="1"/>
  <c r="M1270" i="1"/>
  <c r="N1270" i="1"/>
  <c r="O1270" i="1"/>
  <c r="P1270" i="1"/>
  <c r="R1270" i="1"/>
  <c r="S1270" i="1"/>
  <c r="T1270" i="1"/>
  <c r="U1270" i="1"/>
  <c r="C1269" i="1"/>
  <c r="D1269" i="1"/>
  <c r="E1269" i="1"/>
  <c r="F1269" i="1"/>
  <c r="G1269" i="1"/>
  <c r="H1269" i="1"/>
  <c r="I1269" i="1"/>
  <c r="J1269" i="1"/>
  <c r="K1269" i="1"/>
  <c r="L1269" i="1"/>
  <c r="M1269" i="1"/>
  <c r="N1269" i="1"/>
  <c r="O1269" i="1"/>
  <c r="P1269" i="1"/>
  <c r="R1269" i="1"/>
  <c r="S1269" i="1"/>
  <c r="T1269" i="1"/>
  <c r="U1269" i="1"/>
  <c r="C1268" i="1"/>
  <c r="D1268" i="1"/>
  <c r="E1268" i="1"/>
  <c r="F1268" i="1"/>
  <c r="G1268" i="1"/>
  <c r="H1268" i="1"/>
  <c r="I1268" i="1"/>
  <c r="J1268" i="1"/>
  <c r="K1268" i="1"/>
  <c r="L1268" i="1"/>
  <c r="M1268" i="1"/>
  <c r="N1268" i="1"/>
  <c r="O1268" i="1"/>
  <c r="P1268" i="1"/>
  <c r="R1268" i="1"/>
  <c r="S1268" i="1"/>
  <c r="T1268" i="1"/>
  <c r="U1268" i="1"/>
  <c r="D1267" i="1"/>
  <c r="E1267" i="1"/>
  <c r="F1267" i="1"/>
  <c r="G1267" i="1"/>
  <c r="H1267" i="1"/>
  <c r="I1267" i="1"/>
  <c r="J1267" i="1"/>
  <c r="K1267" i="1"/>
  <c r="L1267" i="1"/>
  <c r="M1267" i="1"/>
  <c r="N1267" i="1"/>
  <c r="O1267" i="1"/>
  <c r="P1267" i="1"/>
  <c r="R1267" i="1"/>
  <c r="S1267" i="1"/>
  <c r="T1267" i="1"/>
  <c r="U1267" i="1"/>
  <c r="C1266" i="1"/>
  <c r="D1266" i="1"/>
  <c r="E1266" i="1"/>
  <c r="F1266" i="1"/>
  <c r="G1266" i="1"/>
  <c r="H1266" i="1"/>
  <c r="I1266" i="1"/>
  <c r="J1266" i="1"/>
  <c r="K1266" i="1"/>
  <c r="L1266" i="1"/>
  <c r="M1266" i="1"/>
  <c r="N1266" i="1"/>
  <c r="O1266" i="1"/>
  <c r="P1266" i="1"/>
  <c r="R1266" i="1"/>
  <c r="S1266" i="1"/>
  <c r="T1266" i="1"/>
  <c r="U1266" i="1"/>
  <c r="C1265" i="1"/>
  <c r="D1265" i="1"/>
  <c r="E1265" i="1"/>
  <c r="F1265" i="1"/>
  <c r="G1265" i="1"/>
  <c r="H1265" i="1"/>
  <c r="I1265" i="1"/>
  <c r="J1265" i="1"/>
  <c r="K1265" i="1"/>
  <c r="L1265" i="1"/>
  <c r="M1265" i="1"/>
  <c r="N1265" i="1"/>
  <c r="O1265" i="1"/>
  <c r="P1265" i="1"/>
  <c r="R1265" i="1"/>
  <c r="S1265" i="1"/>
  <c r="T1265" i="1"/>
  <c r="U1265" i="1"/>
  <c r="C1264" i="1"/>
  <c r="D1264" i="1"/>
  <c r="E1264" i="1"/>
  <c r="F1264" i="1"/>
  <c r="G1264" i="1"/>
  <c r="H1264" i="1"/>
  <c r="I1264" i="1"/>
  <c r="J1264" i="1"/>
  <c r="K1264" i="1"/>
  <c r="L1264" i="1"/>
  <c r="M1264" i="1"/>
  <c r="N1264" i="1"/>
  <c r="O1264" i="1"/>
  <c r="P1264" i="1"/>
  <c r="R1264" i="1"/>
  <c r="S1264" i="1"/>
  <c r="T1264" i="1"/>
  <c r="U1264" i="1"/>
  <c r="C1263" i="1"/>
  <c r="D1263" i="1"/>
  <c r="E1263" i="1"/>
  <c r="F1263" i="1"/>
  <c r="G1263" i="1"/>
  <c r="H1263" i="1"/>
  <c r="I1263" i="1"/>
  <c r="J1263" i="1"/>
  <c r="K1263" i="1"/>
  <c r="L1263" i="1"/>
  <c r="M1263" i="1"/>
  <c r="N1263" i="1"/>
  <c r="O1263" i="1"/>
  <c r="P1263" i="1"/>
  <c r="R1263" i="1"/>
  <c r="S1263" i="1"/>
  <c r="T1263" i="1"/>
  <c r="U1263" i="1"/>
  <c r="C1262" i="1"/>
  <c r="D1262" i="1"/>
  <c r="E1262" i="1"/>
  <c r="F1262" i="1"/>
  <c r="G1262" i="1"/>
  <c r="H1262" i="1"/>
  <c r="I1262" i="1"/>
  <c r="J1262" i="1"/>
  <c r="K1262" i="1"/>
  <c r="L1262" i="1"/>
  <c r="M1262" i="1"/>
  <c r="N1262" i="1"/>
  <c r="O1262" i="1"/>
  <c r="P1262" i="1"/>
  <c r="R1262" i="1"/>
  <c r="S1262" i="1"/>
  <c r="T1262" i="1"/>
  <c r="U1262" i="1"/>
  <c r="B1261" i="1"/>
  <c r="C1261" i="1"/>
  <c r="D1261" i="1"/>
  <c r="E1261" i="1"/>
  <c r="F1261" i="1"/>
  <c r="G1261" i="1"/>
  <c r="H1261" i="1"/>
  <c r="I1261" i="1"/>
  <c r="J1261" i="1"/>
  <c r="K1261" i="1"/>
  <c r="L1261" i="1"/>
  <c r="M1261" i="1"/>
  <c r="N1261" i="1"/>
  <c r="O1261" i="1"/>
  <c r="P1261" i="1"/>
  <c r="R1261" i="1"/>
  <c r="S1261" i="1"/>
  <c r="T1261" i="1"/>
  <c r="U1261" i="1"/>
  <c r="C1260" i="1"/>
  <c r="D1260" i="1"/>
  <c r="E1260" i="1"/>
  <c r="F1260" i="1"/>
  <c r="G1260" i="1"/>
  <c r="H1260" i="1"/>
  <c r="I1260" i="1"/>
  <c r="J1260" i="1"/>
  <c r="K1260" i="1"/>
  <c r="L1260" i="1"/>
  <c r="M1260" i="1"/>
  <c r="N1260" i="1"/>
  <c r="O1260" i="1"/>
  <c r="P1260" i="1"/>
  <c r="R1260" i="1"/>
  <c r="S1260" i="1"/>
  <c r="T1260" i="1"/>
  <c r="U1260" i="1"/>
  <c r="C1259" i="1"/>
  <c r="D1259" i="1"/>
  <c r="E1259" i="1"/>
  <c r="F1259" i="1"/>
  <c r="G1259" i="1"/>
  <c r="H1259" i="1"/>
  <c r="I1259" i="1"/>
  <c r="J1259" i="1"/>
  <c r="K1259" i="1"/>
  <c r="L1259" i="1"/>
  <c r="M1259" i="1"/>
  <c r="N1259" i="1"/>
  <c r="O1259" i="1"/>
  <c r="P1259" i="1"/>
  <c r="R1259" i="1"/>
  <c r="S1259" i="1"/>
  <c r="T1259" i="1"/>
  <c r="U1259" i="1"/>
  <c r="C1258" i="1"/>
  <c r="D1258" i="1"/>
  <c r="E1258" i="1"/>
  <c r="F1258" i="1"/>
  <c r="G1258" i="1"/>
  <c r="H1258" i="1"/>
  <c r="I1258" i="1"/>
  <c r="J1258" i="1"/>
  <c r="K1258" i="1"/>
  <c r="L1258" i="1"/>
  <c r="M1258" i="1"/>
  <c r="N1258" i="1"/>
  <c r="O1258" i="1"/>
  <c r="P1258" i="1"/>
  <c r="R1258" i="1"/>
  <c r="S1258" i="1"/>
  <c r="T1258" i="1"/>
  <c r="U1258" i="1"/>
  <c r="C1257" i="1"/>
  <c r="D1257" i="1"/>
  <c r="E1257" i="1"/>
  <c r="F1257" i="1"/>
  <c r="G1257" i="1"/>
  <c r="H1257" i="1"/>
  <c r="I1257" i="1"/>
  <c r="J1257" i="1"/>
  <c r="K1257" i="1"/>
  <c r="L1257" i="1"/>
  <c r="M1257" i="1"/>
  <c r="N1257" i="1"/>
  <c r="O1257" i="1"/>
  <c r="P1257" i="1"/>
  <c r="R1257" i="1"/>
  <c r="S1257" i="1"/>
  <c r="T1257" i="1"/>
  <c r="U1257" i="1"/>
  <c r="C1256" i="1"/>
  <c r="D1256" i="1"/>
  <c r="E1256" i="1"/>
  <c r="F1256" i="1"/>
  <c r="G1256" i="1"/>
  <c r="H1256" i="1"/>
  <c r="I1256" i="1"/>
  <c r="J1256" i="1"/>
  <c r="K1256" i="1"/>
  <c r="L1256" i="1"/>
  <c r="M1256" i="1"/>
  <c r="N1256" i="1"/>
  <c r="O1256" i="1"/>
  <c r="P1256" i="1"/>
  <c r="R1256" i="1"/>
  <c r="S1256" i="1"/>
  <c r="T1256" i="1"/>
  <c r="U1256" i="1"/>
  <c r="C1254" i="1"/>
  <c r="D1254" i="1"/>
  <c r="E1254" i="1"/>
  <c r="F1254" i="1"/>
  <c r="G1254" i="1"/>
  <c r="H1254" i="1"/>
  <c r="I1254" i="1"/>
  <c r="J1254" i="1"/>
  <c r="K1254" i="1"/>
  <c r="L1254" i="1"/>
  <c r="M1254" i="1"/>
  <c r="N1254" i="1"/>
  <c r="O1254" i="1"/>
  <c r="P1254" i="1"/>
  <c r="R1254" i="1"/>
  <c r="S1254" i="1"/>
  <c r="T1254" i="1"/>
  <c r="U1254" i="1"/>
  <c r="C1253" i="1"/>
  <c r="D1253" i="1"/>
  <c r="E1253" i="1"/>
  <c r="F1253" i="1"/>
  <c r="G1253" i="1"/>
  <c r="H1253" i="1"/>
  <c r="I1253" i="1"/>
  <c r="J1253" i="1"/>
  <c r="K1253" i="1"/>
  <c r="L1253" i="1"/>
  <c r="M1253" i="1"/>
  <c r="N1253" i="1"/>
  <c r="O1253" i="1"/>
  <c r="P1253" i="1"/>
  <c r="R1253" i="1"/>
  <c r="S1253" i="1"/>
  <c r="T1253" i="1"/>
  <c r="U1253" i="1"/>
  <c r="B1252" i="1"/>
  <c r="C1252" i="1"/>
  <c r="D1252" i="1"/>
  <c r="E1252" i="1"/>
  <c r="F1252" i="1"/>
  <c r="G1252" i="1"/>
  <c r="H1252" i="1"/>
  <c r="I1252" i="1"/>
  <c r="J1252" i="1"/>
  <c r="K1252" i="1"/>
  <c r="L1252" i="1"/>
  <c r="M1252" i="1"/>
  <c r="N1252" i="1"/>
  <c r="O1252" i="1"/>
  <c r="P1252" i="1"/>
  <c r="R1252" i="1"/>
  <c r="S1252" i="1"/>
  <c r="T1252" i="1"/>
  <c r="U1252" i="1"/>
  <c r="C1251" i="1"/>
  <c r="D1251" i="1"/>
  <c r="E1251" i="1"/>
  <c r="F1251" i="1"/>
  <c r="G1251" i="1"/>
  <c r="H1251" i="1"/>
  <c r="I1251" i="1"/>
  <c r="J1251" i="1"/>
  <c r="K1251" i="1"/>
  <c r="L1251" i="1"/>
  <c r="M1251" i="1"/>
  <c r="N1251" i="1"/>
  <c r="O1251" i="1"/>
  <c r="P1251" i="1"/>
  <c r="R1251" i="1"/>
  <c r="S1251" i="1"/>
  <c r="T1251" i="1"/>
  <c r="U1251" i="1"/>
  <c r="C1250" i="1"/>
  <c r="D1250" i="1"/>
  <c r="E1250" i="1"/>
  <c r="F1250" i="1"/>
  <c r="G1250" i="1"/>
  <c r="H1250" i="1"/>
  <c r="I1250" i="1"/>
  <c r="J1250" i="1"/>
  <c r="K1250" i="1"/>
  <c r="L1250" i="1"/>
  <c r="M1250" i="1"/>
  <c r="N1250" i="1"/>
  <c r="O1250" i="1"/>
  <c r="P1250" i="1"/>
  <c r="R1250" i="1"/>
  <c r="S1250" i="1"/>
  <c r="T1250" i="1"/>
  <c r="U1250" i="1"/>
  <c r="C1249" i="1"/>
  <c r="D1249" i="1"/>
  <c r="E1249" i="1"/>
  <c r="F1249" i="1"/>
  <c r="G1249" i="1"/>
  <c r="H1249" i="1"/>
  <c r="I1249" i="1"/>
  <c r="J1249" i="1"/>
  <c r="K1249" i="1"/>
  <c r="L1249" i="1"/>
  <c r="M1249" i="1"/>
  <c r="N1249" i="1"/>
  <c r="O1249" i="1"/>
  <c r="P1249" i="1"/>
  <c r="R1249" i="1"/>
  <c r="S1249" i="1"/>
  <c r="T1249" i="1"/>
  <c r="U1249" i="1"/>
  <c r="C1248" i="1"/>
  <c r="D1248" i="1"/>
  <c r="E1248" i="1"/>
  <c r="F1248" i="1"/>
  <c r="G1248" i="1"/>
  <c r="H1248" i="1"/>
  <c r="I1248" i="1"/>
  <c r="J1248" i="1"/>
  <c r="K1248" i="1"/>
  <c r="L1248" i="1"/>
  <c r="M1248" i="1"/>
  <c r="N1248" i="1"/>
  <c r="O1248" i="1"/>
  <c r="P1248" i="1"/>
  <c r="R1248" i="1"/>
  <c r="S1248" i="1"/>
  <c r="T1248" i="1"/>
  <c r="U1248" i="1"/>
  <c r="C1247" i="1"/>
  <c r="D1247" i="1"/>
  <c r="E1247" i="1"/>
  <c r="F1247" i="1"/>
  <c r="G1247" i="1"/>
  <c r="H1247" i="1"/>
  <c r="I1247" i="1"/>
  <c r="J1247" i="1"/>
  <c r="K1247" i="1"/>
  <c r="L1247" i="1"/>
  <c r="M1247" i="1"/>
  <c r="N1247" i="1"/>
  <c r="O1247" i="1"/>
  <c r="P1247" i="1"/>
  <c r="R1247" i="1"/>
  <c r="S1247" i="1"/>
  <c r="T1247" i="1"/>
  <c r="U1247" i="1"/>
  <c r="C1246" i="1"/>
  <c r="D1246" i="1"/>
  <c r="E1246" i="1"/>
  <c r="F1246" i="1"/>
  <c r="G1246" i="1"/>
  <c r="H1246" i="1"/>
  <c r="I1246" i="1"/>
  <c r="J1246" i="1"/>
  <c r="K1246" i="1"/>
  <c r="L1246" i="1"/>
  <c r="M1246" i="1"/>
  <c r="N1246" i="1"/>
  <c r="O1246" i="1"/>
  <c r="P1246" i="1"/>
  <c r="R1246" i="1"/>
  <c r="S1246" i="1"/>
  <c r="T1246" i="1"/>
  <c r="U1246" i="1"/>
  <c r="C1245" i="1"/>
  <c r="D1245" i="1"/>
  <c r="E1245" i="1"/>
  <c r="F1245" i="1"/>
  <c r="G1245" i="1"/>
  <c r="H1245" i="1"/>
  <c r="I1245" i="1"/>
  <c r="J1245" i="1"/>
  <c r="K1245" i="1"/>
  <c r="L1245" i="1"/>
  <c r="M1245" i="1"/>
  <c r="N1245" i="1"/>
  <c r="O1245" i="1"/>
  <c r="P1245" i="1"/>
  <c r="R1245" i="1"/>
  <c r="S1245" i="1"/>
  <c r="T1245" i="1"/>
  <c r="U1245" i="1"/>
  <c r="C1244" i="1"/>
  <c r="D1244" i="1"/>
  <c r="E1244" i="1"/>
  <c r="F1244" i="1"/>
  <c r="G1244" i="1"/>
  <c r="H1244" i="1"/>
  <c r="I1244" i="1"/>
  <c r="J1244" i="1"/>
  <c r="K1244" i="1"/>
  <c r="L1244" i="1"/>
  <c r="M1244" i="1"/>
  <c r="N1244" i="1"/>
  <c r="O1244" i="1"/>
  <c r="P1244" i="1"/>
  <c r="R1244" i="1"/>
  <c r="S1244" i="1"/>
  <c r="T1244" i="1"/>
  <c r="U1244" i="1"/>
  <c r="B1243" i="1"/>
  <c r="C1243" i="1"/>
  <c r="D1243" i="1"/>
  <c r="E1243" i="1"/>
  <c r="F1243" i="1"/>
  <c r="G1243" i="1"/>
  <c r="H1243" i="1"/>
  <c r="I1243" i="1"/>
  <c r="J1243" i="1"/>
  <c r="K1243" i="1"/>
  <c r="L1243" i="1"/>
  <c r="M1243" i="1"/>
  <c r="N1243" i="1"/>
  <c r="O1243" i="1"/>
  <c r="P1243" i="1"/>
  <c r="R1243" i="1"/>
  <c r="S1243" i="1"/>
  <c r="T1243" i="1"/>
  <c r="U1243" i="1"/>
  <c r="C1242" i="1"/>
  <c r="D1242" i="1"/>
  <c r="E1242" i="1"/>
  <c r="F1242" i="1"/>
  <c r="G1242" i="1"/>
  <c r="H1242" i="1"/>
  <c r="I1242" i="1"/>
  <c r="J1242" i="1"/>
  <c r="K1242" i="1"/>
  <c r="L1242" i="1"/>
  <c r="M1242" i="1"/>
  <c r="N1242" i="1"/>
  <c r="O1242" i="1"/>
  <c r="P1242" i="1"/>
  <c r="R1242" i="1"/>
  <c r="S1242" i="1"/>
  <c r="T1242" i="1"/>
  <c r="U1242" i="1"/>
  <c r="C1241" i="1"/>
  <c r="D1241" i="1"/>
  <c r="E1241" i="1"/>
  <c r="F1241" i="1"/>
  <c r="G1241" i="1"/>
  <c r="H1241" i="1"/>
  <c r="I1241" i="1"/>
  <c r="J1241" i="1"/>
  <c r="K1241" i="1"/>
  <c r="L1241" i="1"/>
  <c r="M1241" i="1"/>
  <c r="N1241" i="1"/>
  <c r="O1241" i="1"/>
  <c r="P1241" i="1"/>
  <c r="R1241" i="1"/>
  <c r="S1241" i="1"/>
  <c r="T1241" i="1"/>
  <c r="U1241" i="1"/>
  <c r="C1240" i="1"/>
  <c r="D1240" i="1"/>
  <c r="E1240" i="1"/>
  <c r="F1240" i="1"/>
  <c r="G1240" i="1"/>
  <c r="H1240" i="1"/>
  <c r="I1240" i="1"/>
  <c r="J1240" i="1"/>
  <c r="K1240" i="1"/>
  <c r="L1240" i="1"/>
  <c r="M1240" i="1"/>
  <c r="N1240" i="1"/>
  <c r="O1240" i="1"/>
  <c r="P1240" i="1"/>
  <c r="R1240" i="1"/>
  <c r="S1240" i="1"/>
  <c r="T1240" i="1"/>
  <c r="U1240" i="1"/>
  <c r="C1239" i="1"/>
  <c r="D1239" i="1"/>
  <c r="E1239" i="1"/>
  <c r="F1239" i="1"/>
  <c r="G1239" i="1"/>
  <c r="H1239" i="1"/>
  <c r="I1239" i="1"/>
  <c r="J1239" i="1"/>
  <c r="K1239" i="1"/>
  <c r="L1239" i="1"/>
  <c r="M1239" i="1"/>
  <c r="N1239" i="1"/>
  <c r="O1239" i="1"/>
  <c r="P1239" i="1"/>
  <c r="R1239" i="1"/>
  <c r="S1239" i="1"/>
  <c r="T1239" i="1"/>
  <c r="U1239" i="1"/>
  <c r="C1238" i="1"/>
  <c r="D1238" i="1"/>
  <c r="E1238" i="1"/>
  <c r="F1238" i="1"/>
  <c r="G1238" i="1"/>
  <c r="H1238" i="1"/>
  <c r="I1238" i="1"/>
  <c r="J1238" i="1"/>
  <c r="K1238" i="1"/>
  <c r="L1238" i="1"/>
  <c r="M1238" i="1"/>
  <c r="N1238" i="1"/>
  <c r="O1238" i="1"/>
  <c r="P1238" i="1"/>
  <c r="R1238" i="1"/>
  <c r="S1238" i="1"/>
  <c r="T1238" i="1"/>
  <c r="U1238" i="1"/>
  <c r="C1236" i="1"/>
  <c r="D1236" i="1"/>
  <c r="E1236" i="1"/>
  <c r="F1236" i="1"/>
  <c r="G1236" i="1"/>
  <c r="H1236" i="1"/>
  <c r="I1236" i="1"/>
  <c r="J1236" i="1"/>
  <c r="K1236" i="1"/>
  <c r="L1236" i="1"/>
  <c r="M1236" i="1"/>
  <c r="N1236" i="1"/>
  <c r="O1236" i="1"/>
  <c r="P1236" i="1"/>
  <c r="R1236" i="1"/>
  <c r="S1236" i="1"/>
  <c r="T1236" i="1"/>
  <c r="U1236" i="1"/>
  <c r="C1235" i="1"/>
  <c r="D1235" i="1"/>
  <c r="E1235" i="1"/>
  <c r="F1235" i="1"/>
  <c r="G1235" i="1"/>
  <c r="H1235" i="1"/>
  <c r="I1235" i="1"/>
  <c r="J1235" i="1"/>
  <c r="K1235" i="1"/>
  <c r="L1235" i="1"/>
  <c r="M1235" i="1"/>
  <c r="N1235" i="1"/>
  <c r="O1235" i="1"/>
  <c r="P1235" i="1"/>
  <c r="R1235" i="1"/>
  <c r="S1235" i="1"/>
  <c r="T1235" i="1"/>
  <c r="U1235" i="1"/>
  <c r="C1234" i="1"/>
  <c r="D1234" i="1"/>
  <c r="E1234" i="1"/>
  <c r="F1234" i="1"/>
  <c r="G1234" i="1"/>
  <c r="H1234" i="1"/>
  <c r="I1234" i="1"/>
  <c r="J1234" i="1"/>
  <c r="K1234" i="1"/>
  <c r="L1234" i="1"/>
  <c r="M1234" i="1"/>
  <c r="N1234" i="1"/>
  <c r="O1234" i="1"/>
  <c r="P1234" i="1"/>
  <c r="R1234" i="1"/>
  <c r="S1234" i="1"/>
  <c r="T1234" i="1"/>
  <c r="U1234" i="1"/>
  <c r="C1233" i="1"/>
  <c r="D1233" i="1"/>
  <c r="E1233" i="1"/>
  <c r="F1233" i="1"/>
  <c r="G1233" i="1"/>
  <c r="H1233" i="1"/>
  <c r="I1233" i="1"/>
  <c r="J1233" i="1"/>
  <c r="K1233" i="1"/>
  <c r="L1233" i="1"/>
  <c r="M1233" i="1"/>
  <c r="N1233" i="1"/>
  <c r="O1233" i="1"/>
  <c r="P1233" i="1"/>
  <c r="R1233" i="1"/>
  <c r="S1233" i="1"/>
  <c r="T1233" i="1"/>
  <c r="U1233" i="1"/>
  <c r="C1232" i="1"/>
  <c r="D1232" i="1"/>
  <c r="E1232" i="1"/>
  <c r="F1232" i="1"/>
  <c r="G1232" i="1"/>
  <c r="H1232" i="1"/>
  <c r="I1232" i="1"/>
  <c r="J1232" i="1"/>
  <c r="K1232" i="1"/>
  <c r="L1232" i="1"/>
  <c r="M1232" i="1"/>
  <c r="N1232" i="1"/>
  <c r="O1232" i="1"/>
  <c r="P1232" i="1"/>
  <c r="R1232" i="1"/>
  <c r="S1232" i="1"/>
  <c r="T1232" i="1"/>
  <c r="U1232" i="1"/>
  <c r="C1231" i="1"/>
  <c r="D1231" i="1"/>
  <c r="E1231" i="1"/>
  <c r="F1231" i="1"/>
  <c r="G1231" i="1"/>
  <c r="H1231" i="1"/>
  <c r="I1231" i="1"/>
  <c r="J1231" i="1"/>
  <c r="K1231" i="1"/>
  <c r="L1231" i="1"/>
  <c r="M1231" i="1"/>
  <c r="N1231" i="1"/>
  <c r="O1231" i="1"/>
  <c r="P1231" i="1"/>
  <c r="R1231" i="1"/>
  <c r="S1231" i="1"/>
  <c r="T1231" i="1"/>
  <c r="U1231" i="1"/>
  <c r="C1230" i="1"/>
  <c r="D1230" i="1"/>
  <c r="E1230" i="1"/>
  <c r="F1230" i="1"/>
  <c r="G1230" i="1"/>
  <c r="H1230" i="1"/>
  <c r="I1230" i="1"/>
  <c r="J1230" i="1"/>
  <c r="K1230" i="1"/>
  <c r="L1230" i="1"/>
  <c r="M1230" i="1"/>
  <c r="N1230" i="1"/>
  <c r="O1230" i="1"/>
  <c r="P1230" i="1"/>
  <c r="R1230" i="1"/>
  <c r="S1230" i="1"/>
  <c r="T1230" i="1"/>
  <c r="U1230" i="1"/>
  <c r="C1228" i="1"/>
  <c r="D1228" i="1"/>
  <c r="E1228" i="1"/>
  <c r="F1228" i="1"/>
  <c r="G1228" i="1"/>
  <c r="H1228" i="1"/>
  <c r="I1228" i="1"/>
  <c r="K1228" i="1"/>
  <c r="L1228" i="1"/>
  <c r="M1228" i="1"/>
  <c r="N1228" i="1"/>
  <c r="O1228" i="1"/>
  <c r="P1228" i="1"/>
  <c r="R1228" i="1"/>
  <c r="S1228" i="1"/>
  <c r="T1228" i="1"/>
  <c r="U1228" i="1"/>
  <c r="C1227" i="1"/>
  <c r="D1227" i="1"/>
  <c r="E1227" i="1"/>
  <c r="F1227" i="1"/>
  <c r="G1227" i="1"/>
  <c r="H1227" i="1"/>
  <c r="I1227" i="1"/>
  <c r="J1227" i="1"/>
  <c r="K1227" i="1"/>
  <c r="L1227" i="1"/>
  <c r="M1227" i="1"/>
  <c r="N1227" i="1"/>
  <c r="O1227" i="1"/>
  <c r="P1227" i="1"/>
  <c r="R1227" i="1"/>
  <c r="S1227" i="1"/>
  <c r="T1227" i="1"/>
  <c r="U1227" i="1"/>
  <c r="C1226" i="1"/>
  <c r="D1226" i="1"/>
  <c r="E1226" i="1"/>
  <c r="F1226" i="1"/>
  <c r="G1226" i="1"/>
  <c r="H1226" i="1"/>
  <c r="I1226" i="1"/>
  <c r="J1226" i="1"/>
  <c r="K1226" i="1"/>
  <c r="L1226" i="1"/>
  <c r="M1226" i="1"/>
  <c r="N1226" i="1"/>
  <c r="O1226" i="1"/>
  <c r="P1226" i="1"/>
  <c r="R1226" i="1"/>
  <c r="S1226" i="1"/>
  <c r="T1226" i="1"/>
  <c r="U1226" i="1"/>
  <c r="C1225" i="1"/>
  <c r="D1225" i="1"/>
  <c r="E1225" i="1"/>
  <c r="F1225" i="1"/>
  <c r="G1225" i="1"/>
  <c r="H1225" i="1"/>
  <c r="I1225" i="1"/>
  <c r="J1225" i="1"/>
  <c r="K1225" i="1"/>
  <c r="L1225" i="1"/>
  <c r="M1225" i="1"/>
  <c r="N1225" i="1"/>
  <c r="O1225" i="1"/>
  <c r="P1225" i="1"/>
  <c r="R1225" i="1"/>
  <c r="S1225" i="1"/>
  <c r="T1225" i="1"/>
  <c r="U1225" i="1"/>
  <c r="C1224" i="1"/>
  <c r="D1224" i="1"/>
  <c r="E1224" i="1"/>
  <c r="F1224" i="1"/>
  <c r="G1224" i="1"/>
  <c r="H1224" i="1"/>
  <c r="I1224" i="1"/>
  <c r="J1224" i="1"/>
  <c r="K1224" i="1"/>
  <c r="L1224" i="1"/>
  <c r="M1224" i="1"/>
  <c r="N1224" i="1"/>
  <c r="O1224" i="1"/>
  <c r="P1224" i="1"/>
  <c r="R1224" i="1"/>
  <c r="S1224" i="1"/>
  <c r="T1224" i="1"/>
  <c r="U1224" i="1"/>
  <c r="C1223" i="1"/>
  <c r="D1223" i="1"/>
  <c r="E1223" i="1"/>
  <c r="F1223" i="1"/>
  <c r="G1223" i="1"/>
  <c r="H1223" i="1"/>
  <c r="I1223" i="1"/>
  <c r="J1223" i="1"/>
  <c r="K1223" i="1"/>
  <c r="L1223" i="1"/>
  <c r="M1223" i="1"/>
  <c r="N1223" i="1"/>
  <c r="O1223" i="1"/>
  <c r="P1223" i="1"/>
  <c r="R1223" i="1"/>
  <c r="S1223" i="1"/>
  <c r="T1223" i="1"/>
  <c r="U1223" i="1"/>
  <c r="C1222" i="1"/>
  <c r="D1222" i="1"/>
  <c r="E1222" i="1"/>
  <c r="F1222" i="1"/>
  <c r="G1222" i="1"/>
  <c r="H1222" i="1"/>
  <c r="I1222" i="1"/>
  <c r="J1222" i="1"/>
  <c r="K1222" i="1"/>
  <c r="L1222" i="1"/>
  <c r="M1222" i="1"/>
  <c r="N1222" i="1"/>
  <c r="O1222" i="1"/>
  <c r="P1222" i="1"/>
  <c r="R1222" i="1"/>
  <c r="S1222" i="1"/>
  <c r="T1222" i="1"/>
  <c r="U1222" i="1"/>
  <c r="C1221" i="1"/>
  <c r="D1221" i="1"/>
  <c r="E1221" i="1"/>
  <c r="F1221" i="1"/>
  <c r="G1221" i="1"/>
  <c r="H1221" i="1"/>
  <c r="I1221" i="1"/>
  <c r="J1221" i="1"/>
  <c r="K1221" i="1"/>
  <c r="L1221" i="1"/>
  <c r="M1221" i="1"/>
  <c r="N1221" i="1"/>
  <c r="O1221" i="1"/>
  <c r="P1221" i="1"/>
  <c r="R1221" i="1"/>
  <c r="S1221" i="1"/>
  <c r="T1221" i="1"/>
  <c r="U1221" i="1"/>
  <c r="C1220" i="1"/>
  <c r="D1220" i="1"/>
  <c r="E1220" i="1"/>
  <c r="F1220" i="1"/>
  <c r="G1220" i="1"/>
  <c r="H1220" i="1"/>
  <c r="I1220" i="1"/>
  <c r="J1220" i="1"/>
  <c r="K1220" i="1"/>
  <c r="L1220" i="1"/>
  <c r="M1220" i="1"/>
  <c r="N1220" i="1"/>
  <c r="O1220" i="1"/>
  <c r="P1220" i="1"/>
  <c r="R1220" i="1"/>
  <c r="S1220" i="1"/>
  <c r="T1220" i="1"/>
  <c r="U1220" i="1"/>
  <c r="C1219" i="1"/>
  <c r="D1219" i="1"/>
  <c r="E1219" i="1"/>
  <c r="F1219" i="1"/>
  <c r="G1219" i="1"/>
  <c r="H1219" i="1"/>
  <c r="I1219" i="1"/>
  <c r="J1219" i="1"/>
  <c r="K1219" i="1"/>
  <c r="L1219" i="1"/>
  <c r="M1219" i="1"/>
  <c r="N1219" i="1"/>
  <c r="O1219" i="1"/>
  <c r="P1219" i="1"/>
  <c r="R1219" i="1"/>
  <c r="S1219" i="1"/>
  <c r="T1219" i="1"/>
  <c r="U1219" i="1"/>
  <c r="C1218" i="1"/>
  <c r="D1218" i="1"/>
  <c r="E1218" i="1"/>
  <c r="F1218" i="1"/>
  <c r="G1218" i="1"/>
  <c r="H1218" i="1"/>
  <c r="I1218" i="1"/>
  <c r="J1218" i="1"/>
  <c r="K1218" i="1"/>
  <c r="L1218" i="1"/>
  <c r="M1218" i="1"/>
  <c r="N1218" i="1"/>
  <c r="O1218" i="1"/>
  <c r="P1218" i="1"/>
  <c r="R1218" i="1"/>
  <c r="S1218" i="1"/>
  <c r="T1218" i="1"/>
  <c r="U1218" i="1"/>
  <c r="C1217" i="1"/>
  <c r="D1217" i="1"/>
  <c r="E1217" i="1"/>
  <c r="F1217" i="1"/>
  <c r="G1217" i="1"/>
  <c r="H1217" i="1"/>
  <c r="I1217" i="1"/>
  <c r="J1217" i="1"/>
  <c r="K1217" i="1"/>
  <c r="L1217" i="1"/>
  <c r="M1217" i="1"/>
  <c r="N1217" i="1"/>
  <c r="O1217" i="1"/>
  <c r="P1217" i="1"/>
  <c r="R1217" i="1"/>
  <c r="S1217" i="1"/>
  <c r="T1217" i="1"/>
  <c r="U1217" i="1"/>
  <c r="C1216" i="1"/>
  <c r="D1216" i="1"/>
  <c r="E1216" i="1"/>
  <c r="F1216" i="1"/>
  <c r="G1216" i="1"/>
  <c r="H1216" i="1"/>
  <c r="I1216" i="1"/>
  <c r="J1216" i="1"/>
  <c r="K1216" i="1"/>
  <c r="L1216" i="1"/>
  <c r="M1216" i="1"/>
  <c r="N1216" i="1"/>
  <c r="O1216" i="1"/>
  <c r="P1216" i="1"/>
  <c r="R1216" i="1"/>
  <c r="S1216" i="1"/>
  <c r="T1216" i="1"/>
  <c r="U1216" i="1"/>
  <c r="C1215" i="1"/>
  <c r="D1215" i="1"/>
  <c r="E1215" i="1"/>
  <c r="F1215" i="1"/>
  <c r="G1215" i="1"/>
  <c r="H1215" i="1"/>
  <c r="I1215" i="1"/>
  <c r="J1215" i="1"/>
  <c r="K1215" i="1"/>
  <c r="L1215" i="1"/>
  <c r="M1215" i="1"/>
  <c r="N1215" i="1"/>
  <c r="O1215" i="1"/>
  <c r="P1215" i="1"/>
  <c r="R1215" i="1"/>
  <c r="S1215" i="1"/>
  <c r="T1215" i="1"/>
  <c r="U1215" i="1"/>
  <c r="C1214" i="1"/>
  <c r="D1214" i="1"/>
  <c r="E1214" i="1"/>
  <c r="F1214" i="1"/>
  <c r="G1214" i="1"/>
  <c r="H1214" i="1"/>
  <c r="I1214" i="1"/>
  <c r="J1214" i="1"/>
  <c r="K1214" i="1"/>
  <c r="L1214" i="1"/>
  <c r="M1214" i="1"/>
  <c r="N1214" i="1"/>
  <c r="O1214" i="1"/>
  <c r="P1214" i="1"/>
  <c r="R1214" i="1"/>
  <c r="S1214" i="1"/>
  <c r="T1214" i="1"/>
  <c r="U1214" i="1"/>
  <c r="C1213" i="1"/>
  <c r="D1213" i="1"/>
  <c r="E1213" i="1"/>
  <c r="F1213" i="1"/>
  <c r="G1213" i="1"/>
  <c r="H1213" i="1"/>
  <c r="I1213" i="1"/>
  <c r="J1213" i="1"/>
  <c r="K1213" i="1"/>
  <c r="L1213" i="1"/>
  <c r="M1213" i="1"/>
  <c r="N1213" i="1"/>
  <c r="O1213" i="1"/>
  <c r="P1213" i="1"/>
  <c r="R1213" i="1"/>
  <c r="S1213" i="1"/>
  <c r="T1213" i="1"/>
  <c r="U1213" i="1"/>
  <c r="C1212" i="1"/>
  <c r="D1212" i="1"/>
  <c r="E1212" i="1"/>
  <c r="F1212" i="1"/>
  <c r="G1212" i="1"/>
  <c r="H1212" i="1"/>
  <c r="I1212" i="1"/>
  <c r="J1212" i="1"/>
  <c r="K1212" i="1"/>
  <c r="L1212" i="1"/>
  <c r="M1212" i="1"/>
  <c r="N1212" i="1"/>
  <c r="O1212" i="1"/>
  <c r="P1212" i="1"/>
  <c r="R1212" i="1"/>
  <c r="S1212" i="1"/>
  <c r="T1212" i="1"/>
  <c r="U1212" i="1"/>
  <c r="C1211" i="1"/>
  <c r="D1211" i="1"/>
  <c r="E1211" i="1"/>
  <c r="F1211" i="1"/>
  <c r="G1211" i="1"/>
  <c r="H1211" i="1"/>
  <c r="I1211" i="1"/>
  <c r="J1211" i="1"/>
  <c r="K1211" i="1"/>
  <c r="L1211" i="1"/>
  <c r="M1211" i="1"/>
  <c r="N1211" i="1"/>
  <c r="O1211" i="1"/>
  <c r="P1211" i="1"/>
  <c r="R1211" i="1"/>
  <c r="S1211" i="1"/>
  <c r="T1211" i="1"/>
  <c r="U1211" i="1"/>
  <c r="C1210" i="1"/>
  <c r="D1210" i="1"/>
  <c r="E1210" i="1"/>
  <c r="F1210" i="1"/>
  <c r="G1210" i="1"/>
  <c r="H1210" i="1"/>
  <c r="I1210" i="1"/>
  <c r="J1210" i="1"/>
  <c r="K1210" i="1"/>
  <c r="L1210" i="1"/>
  <c r="M1210" i="1"/>
  <c r="N1210" i="1"/>
  <c r="O1210" i="1"/>
  <c r="P1210" i="1"/>
  <c r="R1210" i="1"/>
  <c r="S1210" i="1"/>
  <c r="T1210" i="1"/>
  <c r="U1210" i="1"/>
  <c r="C1209" i="1"/>
  <c r="D1209" i="1"/>
  <c r="E1209" i="1"/>
  <c r="F1209" i="1"/>
  <c r="G1209" i="1"/>
  <c r="H1209" i="1"/>
  <c r="I1209" i="1"/>
  <c r="J1209" i="1"/>
  <c r="K1209" i="1"/>
  <c r="L1209" i="1"/>
  <c r="M1209" i="1"/>
  <c r="N1209" i="1"/>
  <c r="O1209" i="1"/>
  <c r="P1209" i="1"/>
  <c r="R1209" i="1"/>
  <c r="S1209" i="1"/>
  <c r="T1209" i="1"/>
  <c r="U1209" i="1"/>
  <c r="C1208" i="1"/>
  <c r="D1208" i="1"/>
  <c r="E1208" i="1"/>
  <c r="F1208" i="1"/>
  <c r="G1208" i="1"/>
  <c r="H1208" i="1"/>
  <c r="I1208" i="1"/>
  <c r="J1208" i="1"/>
  <c r="K1208" i="1"/>
  <c r="L1208" i="1"/>
  <c r="M1208" i="1"/>
  <c r="N1208" i="1"/>
  <c r="O1208" i="1"/>
  <c r="P1208" i="1"/>
  <c r="R1208" i="1"/>
  <c r="S1208" i="1"/>
  <c r="T1208" i="1"/>
  <c r="U1208" i="1"/>
  <c r="C1207" i="1"/>
  <c r="D1207" i="1"/>
  <c r="E1207" i="1"/>
  <c r="F1207" i="1"/>
  <c r="G1207" i="1"/>
  <c r="H1207" i="1"/>
  <c r="I1207" i="1"/>
  <c r="J1207" i="1"/>
  <c r="K1207" i="1"/>
  <c r="L1207" i="1"/>
  <c r="M1207" i="1"/>
  <c r="N1207" i="1"/>
  <c r="O1207" i="1"/>
  <c r="P1207" i="1"/>
  <c r="R1207" i="1"/>
  <c r="S1207" i="1"/>
  <c r="T1207" i="1"/>
  <c r="U1207" i="1"/>
  <c r="C1204" i="1"/>
  <c r="D1204" i="1"/>
  <c r="E1204" i="1"/>
  <c r="F1204" i="1"/>
  <c r="G1204" i="1"/>
  <c r="H1204" i="1"/>
  <c r="I1204" i="1"/>
  <c r="J1204" i="1"/>
  <c r="K1204" i="1"/>
  <c r="L1204" i="1"/>
  <c r="M1204" i="1"/>
  <c r="N1204" i="1"/>
  <c r="O1204" i="1"/>
  <c r="P1204" i="1"/>
  <c r="R1204" i="1"/>
  <c r="S1204" i="1"/>
  <c r="T1204" i="1"/>
  <c r="U1204" i="1"/>
  <c r="C1203" i="1"/>
  <c r="D1203" i="1"/>
  <c r="E1203" i="1"/>
  <c r="F1203" i="1"/>
  <c r="G1203" i="1"/>
  <c r="H1203" i="1"/>
  <c r="I1203" i="1"/>
  <c r="J1203" i="1"/>
  <c r="K1203" i="1"/>
  <c r="L1203" i="1"/>
  <c r="M1203" i="1"/>
  <c r="N1203" i="1"/>
  <c r="O1203" i="1"/>
  <c r="P1203" i="1"/>
  <c r="R1203" i="1"/>
  <c r="S1203" i="1"/>
  <c r="T1203" i="1"/>
  <c r="U1203" i="1"/>
  <c r="C1202" i="1"/>
  <c r="D1202" i="1"/>
  <c r="E1202" i="1"/>
  <c r="F1202" i="1"/>
  <c r="G1202" i="1"/>
  <c r="H1202" i="1"/>
  <c r="I1202" i="1"/>
  <c r="J1202" i="1"/>
  <c r="K1202" i="1"/>
  <c r="L1202" i="1"/>
  <c r="M1202" i="1"/>
  <c r="N1202" i="1"/>
  <c r="O1202" i="1"/>
  <c r="P1202" i="1"/>
  <c r="R1202" i="1"/>
  <c r="S1202" i="1"/>
  <c r="T1202" i="1"/>
  <c r="U1202" i="1"/>
  <c r="C1201" i="1"/>
  <c r="D1201" i="1"/>
  <c r="E1201" i="1"/>
  <c r="F1201" i="1"/>
  <c r="G1201" i="1"/>
  <c r="H1201" i="1"/>
  <c r="I1201" i="1"/>
  <c r="J1201" i="1"/>
  <c r="K1201" i="1"/>
  <c r="L1201" i="1"/>
  <c r="M1201" i="1"/>
  <c r="N1201" i="1"/>
  <c r="O1201" i="1"/>
  <c r="P1201" i="1"/>
  <c r="R1201" i="1"/>
  <c r="S1201" i="1"/>
  <c r="T1201" i="1"/>
  <c r="U1201" i="1"/>
  <c r="C1200" i="1"/>
  <c r="D1200" i="1"/>
  <c r="E1200" i="1"/>
  <c r="F1200" i="1"/>
  <c r="G1200" i="1"/>
  <c r="H1200" i="1"/>
  <c r="I1200" i="1"/>
  <c r="J1200" i="1"/>
  <c r="K1200" i="1"/>
  <c r="L1200" i="1"/>
  <c r="M1200" i="1"/>
  <c r="N1200" i="1"/>
  <c r="O1200" i="1"/>
  <c r="P1200" i="1"/>
  <c r="R1200" i="1"/>
  <c r="S1200" i="1"/>
  <c r="T1200" i="1"/>
  <c r="U1200" i="1"/>
  <c r="C1199" i="1"/>
  <c r="D1199" i="1"/>
  <c r="E1199" i="1"/>
  <c r="F1199" i="1"/>
  <c r="G1199" i="1"/>
  <c r="H1199" i="1"/>
  <c r="I1199" i="1"/>
  <c r="J1199" i="1"/>
  <c r="K1199" i="1"/>
  <c r="L1199" i="1"/>
  <c r="M1199" i="1"/>
  <c r="N1199" i="1"/>
  <c r="O1199" i="1"/>
  <c r="P1199" i="1"/>
  <c r="R1199" i="1"/>
  <c r="S1199" i="1"/>
  <c r="T1199" i="1"/>
  <c r="U1199" i="1"/>
  <c r="C1198" i="1"/>
  <c r="D1198" i="1"/>
  <c r="E1198" i="1"/>
  <c r="F1198" i="1"/>
  <c r="G1198" i="1"/>
  <c r="H1198" i="1"/>
  <c r="I1198" i="1"/>
  <c r="J1198" i="1"/>
  <c r="K1198" i="1"/>
  <c r="L1198" i="1"/>
  <c r="M1198" i="1"/>
  <c r="N1198" i="1"/>
  <c r="O1198" i="1"/>
  <c r="P1198" i="1"/>
  <c r="R1198" i="1"/>
  <c r="S1198" i="1"/>
  <c r="T1198" i="1"/>
  <c r="U1198" i="1"/>
  <c r="C1197" i="1"/>
  <c r="D1197" i="1"/>
  <c r="E1197" i="1"/>
  <c r="F1197" i="1"/>
  <c r="G1197" i="1"/>
  <c r="H1197" i="1"/>
  <c r="I1197" i="1"/>
  <c r="J1197" i="1"/>
  <c r="K1197" i="1"/>
  <c r="L1197" i="1"/>
  <c r="M1197" i="1"/>
  <c r="N1197" i="1"/>
  <c r="O1197" i="1"/>
  <c r="P1197" i="1"/>
  <c r="R1197" i="1"/>
  <c r="S1197" i="1"/>
  <c r="T1197" i="1"/>
  <c r="U1197" i="1"/>
  <c r="C1196" i="1"/>
  <c r="D1196" i="1"/>
  <c r="E1196" i="1"/>
  <c r="F1196" i="1"/>
  <c r="G1196" i="1"/>
  <c r="H1196" i="1"/>
  <c r="I1196" i="1"/>
  <c r="J1196" i="1"/>
  <c r="K1196" i="1"/>
  <c r="L1196" i="1"/>
  <c r="M1196" i="1"/>
  <c r="N1196" i="1"/>
  <c r="O1196" i="1"/>
  <c r="P1196" i="1"/>
  <c r="R1196" i="1"/>
  <c r="S1196" i="1"/>
  <c r="T1196" i="1"/>
  <c r="U1196" i="1"/>
  <c r="B1195" i="1"/>
  <c r="C1195" i="1"/>
  <c r="D1195" i="1"/>
  <c r="E1195" i="1"/>
  <c r="F1195" i="1"/>
  <c r="G1195" i="1"/>
  <c r="H1195" i="1"/>
  <c r="I1195" i="1"/>
  <c r="J1195" i="1"/>
  <c r="K1195" i="1"/>
  <c r="L1195" i="1"/>
  <c r="M1195" i="1"/>
  <c r="N1195" i="1"/>
  <c r="O1195" i="1"/>
  <c r="P1195" i="1"/>
  <c r="R1195" i="1"/>
  <c r="S1195" i="1"/>
  <c r="T1195" i="1"/>
  <c r="U1195" i="1"/>
  <c r="C1194" i="1"/>
  <c r="D1194" i="1"/>
  <c r="E1194" i="1"/>
  <c r="F1194" i="1"/>
  <c r="G1194" i="1"/>
  <c r="H1194" i="1"/>
  <c r="I1194" i="1"/>
  <c r="J1194" i="1"/>
  <c r="K1194" i="1"/>
  <c r="L1194" i="1"/>
  <c r="M1194" i="1"/>
  <c r="N1194" i="1"/>
  <c r="O1194" i="1"/>
  <c r="P1194" i="1"/>
  <c r="R1194" i="1"/>
  <c r="S1194" i="1"/>
  <c r="T1194" i="1"/>
  <c r="U1194" i="1"/>
  <c r="C1193" i="1"/>
  <c r="D1193" i="1"/>
  <c r="E1193" i="1"/>
  <c r="F1193" i="1"/>
  <c r="G1193" i="1"/>
  <c r="H1193" i="1"/>
  <c r="I1193" i="1"/>
  <c r="J1193" i="1"/>
  <c r="K1193" i="1"/>
  <c r="L1193" i="1"/>
  <c r="M1193" i="1"/>
  <c r="N1193" i="1"/>
  <c r="O1193" i="1"/>
  <c r="P1193" i="1"/>
  <c r="R1193" i="1"/>
  <c r="S1193" i="1"/>
  <c r="T1193" i="1"/>
  <c r="U1193" i="1"/>
  <c r="C1192" i="1"/>
  <c r="D1192" i="1"/>
  <c r="E1192" i="1"/>
  <c r="F1192" i="1"/>
  <c r="G1192" i="1"/>
  <c r="H1192" i="1"/>
  <c r="I1192" i="1"/>
  <c r="J1192" i="1"/>
  <c r="K1192" i="1"/>
  <c r="L1192" i="1"/>
  <c r="M1192" i="1"/>
  <c r="N1192" i="1"/>
  <c r="O1192" i="1"/>
  <c r="P1192" i="1"/>
  <c r="R1192" i="1"/>
  <c r="S1192" i="1"/>
  <c r="T1192" i="1"/>
  <c r="U1192" i="1"/>
  <c r="C1191" i="1"/>
  <c r="D1191" i="1"/>
  <c r="E1191" i="1"/>
  <c r="F1191" i="1"/>
  <c r="G1191" i="1"/>
  <c r="H1191" i="1"/>
  <c r="I1191" i="1"/>
  <c r="J1191" i="1"/>
  <c r="K1191" i="1"/>
  <c r="L1191" i="1"/>
  <c r="M1191" i="1"/>
  <c r="N1191" i="1"/>
  <c r="O1191" i="1"/>
  <c r="P1191" i="1"/>
  <c r="R1191" i="1"/>
  <c r="S1191" i="1"/>
  <c r="T1191" i="1"/>
  <c r="U1191" i="1"/>
  <c r="C1190" i="1"/>
  <c r="D1190" i="1"/>
  <c r="E1190" i="1"/>
  <c r="F1190" i="1"/>
  <c r="G1190" i="1"/>
  <c r="H1190" i="1"/>
  <c r="I1190" i="1"/>
  <c r="J1190" i="1"/>
  <c r="K1190" i="1"/>
  <c r="L1190" i="1"/>
  <c r="M1190" i="1"/>
  <c r="N1190" i="1"/>
  <c r="O1190" i="1"/>
  <c r="P1190" i="1"/>
  <c r="R1190" i="1"/>
  <c r="S1190" i="1"/>
  <c r="T1190" i="1"/>
  <c r="U1190" i="1"/>
  <c r="C1189" i="1"/>
  <c r="D1189" i="1"/>
  <c r="E1189" i="1"/>
  <c r="F1189" i="1"/>
  <c r="G1189" i="1"/>
  <c r="H1189" i="1"/>
  <c r="I1189" i="1"/>
  <c r="J1189" i="1"/>
  <c r="K1189" i="1"/>
  <c r="L1189" i="1"/>
  <c r="M1189" i="1"/>
  <c r="N1189" i="1"/>
  <c r="O1189" i="1"/>
  <c r="P1189" i="1"/>
  <c r="R1189" i="1"/>
  <c r="S1189" i="1"/>
  <c r="T1189" i="1"/>
  <c r="U1189" i="1"/>
  <c r="B1188" i="1"/>
  <c r="C1188" i="1"/>
  <c r="D1188" i="1"/>
  <c r="E1188" i="1"/>
  <c r="F1188" i="1"/>
  <c r="G1188" i="1"/>
  <c r="H1188" i="1"/>
  <c r="I1188" i="1"/>
  <c r="J1188" i="1"/>
  <c r="K1188" i="1"/>
  <c r="L1188" i="1"/>
  <c r="M1188" i="1"/>
  <c r="N1188" i="1"/>
  <c r="O1188" i="1"/>
  <c r="P1188" i="1"/>
  <c r="R1188" i="1"/>
  <c r="S1188" i="1"/>
  <c r="T1188" i="1"/>
  <c r="U1188" i="1"/>
  <c r="C1187" i="1"/>
  <c r="D1187" i="1"/>
  <c r="E1187" i="1"/>
  <c r="F1187" i="1"/>
  <c r="G1187" i="1"/>
  <c r="H1187" i="1"/>
  <c r="I1187" i="1"/>
  <c r="J1187" i="1"/>
  <c r="K1187" i="1"/>
  <c r="L1187" i="1"/>
  <c r="M1187" i="1"/>
  <c r="N1187" i="1"/>
  <c r="O1187" i="1"/>
  <c r="P1187" i="1"/>
  <c r="R1187" i="1"/>
  <c r="S1187" i="1"/>
  <c r="T1187" i="1"/>
  <c r="U1187" i="1"/>
  <c r="C1186" i="1"/>
  <c r="D1186" i="1"/>
  <c r="E1186" i="1"/>
  <c r="F1186" i="1"/>
  <c r="G1186" i="1"/>
  <c r="H1186" i="1"/>
  <c r="I1186" i="1"/>
  <c r="J1186" i="1"/>
  <c r="K1186" i="1"/>
  <c r="L1186" i="1"/>
  <c r="M1186" i="1"/>
  <c r="N1186" i="1"/>
  <c r="O1186" i="1"/>
  <c r="P1186" i="1"/>
  <c r="R1186" i="1"/>
  <c r="S1186" i="1"/>
  <c r="T1186" i="1"/>
  <c r="U1186" i="1"/>
  <c r="C1185" i="1"/>
  <c r="D1185" i="1"/>
  <c r="E1185" i="1"/>
  <c r="F1185" i="1"/>
  <c r="G1185" i="1"/>
  <c r="H1185" i="1"/>
  <c r="I1185" i="1"/>
  <c r="J1185" i="1"/>
  <c r="K1185" i="1"/>
  <c r="L1185" i="1"/>
  <c r="M1185" i="1"/>
  <c r="N1185" i="1"/>
  <c r="O1185" i="1"/>
  <c r="P1185" i="1"/>
  <c r="R1185" i="1"/>
  <c r="S1185" i="1"/>
  <c r="T1185" i="1"/>
  <c r="U1185" i="1"/>
  <c r="C1184" i="1"/>
  <c r="D1184" i="1"/>
  <c r="E1184" i="1"/>
  <c r="F1184" i="1"/>
  <c r="G1184" i="1"/>
  <c r="H1184" i="1"/>
  <c r="I1184" i="1"/>
  <c r="J1184" i="1"/>
  <c r="K1184" i="1"/>
  <c r="L1184" i="1"/>
  <c r="M1184" i="1"/>
  <c r="N1184" i="1"/>
  <c r="O1184" i="1"/>
  <c r="P1184" i="1"/>
  <c r="R1184" i="1"/>
  <c r="S1184" i="1"/>
  <c r="T1184" i="1"/>
  <c r="U1184" i="1"/>
  <c r="C1183" i="1"/>
  <c r="D1183" i="1"/>
  <c r="E1183" i="1"/>
  <c r="F1183" i="1"/>
  <c r="G1183" i="1"/>
  <c r="H1183" i="1"/>
  <c r="I1183" i="1"/>
  <c r="J1183" i="1"/>
  <c r="K1183" i="1"/>
  <c r="L1183" i="1"/>
  <c r="M1183" i="1"/>
  <c r="N1183" i="1"/>
  <c r="O1183" i="1"/>
  <c r="P1183" i="1"/>
  <c r="R1183" i="1"/>
  <c r="S1183" i="1"/>
  <c r="T1183" i="1"/>
  <c r="U1183" i="1"/>
  <c r="C1182" i="1"/>
  <c r="D1182" i="1"/>
  <c r="E1182" i="1"/>
  <c r="F1182" i="1"/>
  <c r="G1182" i="1"/>
  <c r="H1182" i="1"/>
  <c r="I1182" i="1"/>
  <c r="J1182" i="1"/>
  <c r="K1182" i="1"/>
  <c r="L1182" i="1"/>
  <c r="M1182" i="1"/>
  <c r="N1182" i="1"/>
  <c r="O1182" i="1"/>
  <c r="P1182" i="1"/>
  <c r="R1182" i="1"/>
  <c r="S1182" i="1"/>
  <c r="T1182" i="1"/>
  <c r="U1182" i="1"/>
  <c r="C1181" i="1"/>
  <c r="D1181" i="1"/>
  <c r="E1181" i="1"/>
  <c r="F1181" i="1"/>
  <c r="G1181" i="1"/>
  <c r="H1181" i="1"/>
  <c r="I1181" i="1"/>
  <c r="J1181" i="1"/>
  <c r="K1181" i="1"/>
  <c r="L1181" i="1"/>
  <c r="M1181" i="1"/>
  <c r="N1181" i="1"/>
  <c r="O1181" i="1"/>
  <c r="P1181" i="1"/>
  <c r="R1181" i="1"/>
  <c r="S1181" i="1"/>
  <c r="T1181" i="1"/>
  <c r="U1181" i="1"/>
  <c r="B1180" i="1"/>
  <c r="C1180" i="1"/>
  <c r="D1180" i="1"/>
  <c r="E1180" i="1"/>
  <c r="F1180" i="1"/>
  <c r="G1180" i="1"/>
  <c r="H1180" i="1"/>
  <c r="I1180" i="1"/>
  <c r="J1180" i="1"/>
  <c r="K1180" i="1"/>
  <c r="L1180" i="1"/>
  <c r="M1180" i="1"/>
  <c r="N1180" i="1"/>
  <c r="O1180" i="1"/>
  <c r="P1180" i="1"/>
  <c r="R1180" i="1"/>
  <c r="S1180" i="1"/>
  <c r="T1180" i="1"/>
  <c r="U1180" i="1"/>
  <c r="C1179" i="1"/>
  <c r="D1179" i="1"/>
  <c r="E1179" i="1"/>
  <c r="F1179" i="1"/>
  <c r="G1179" i="1"/>
  <c r="H1179" i="1"/>
  <c r="I1179" i="1"/>
  <c r="J1179" i="1"/>
  <c r="K1179" i="1"/>
  <c r="L1179" i="1"/>
  <c r="M1179" i="1"/>
  <c r="N1179" i="1"/>
  <c r="O1179" i="1"/>
  <c r="P1179" i="1"/>
  <c r="R1179" i="1"/>
  <c r="S1179" i="1"/>
  <c r="T1179" i="1"/>
  <c r="U1179" i="1"/>
  <c r="C1178" i="1"/>
  <c r="D1178" i="1"/>
  <c r="E1178" i="1"/>
  <c r="F1178" i="1"/>
  <c r="G1178" i="1"/>
  <c r="H1178" i="1"/>
  <c r="I1178" i="1"/>
  <c r="J1178" i="1"/>
  <c r="K1178" i="1"/>
  <c r="L1178" i="1"/>
  <c r="M1178" i="1"/>
  <c r="N1178" i="1"/>
  <c r="O1178" i="1"/>
  <c r="P1178" i="1"/>
  <c r="R1178" i="1"/>
  <c r="S1178" i="1"/>
  <c r="T1178" i="1"/>
  <c r="U1178" i="1"/>
  <c r="C1177" i="1"/>
  <c r="D1177" i="1"/>
  <c r="E1177" i="1"/>
  <c r="F1177" i="1"/>
  <c r="G1177" i="1"/>
  <c r="H1177" i="1"/>
  <c r="I1177" i="1"/>
  <c r="J1177" i="1"/>
  <c r="K1177" i="1"/>
  <c r="L1177" i="1"/>
  <c r="M1177" i="1"/>
  <c r="N1177" i="1"/>
  <c r="O1177" i="1"/>
  <c r="P1177" i="1"/>
  <c r="R1177" i="1"/>
  <c r="S1177" i="1"/>
  <c r="T1177" i="1"/>
  <c r="U1177" i="1"/>
  <c r="C1176" i="1"/>
  <c r="D1176" i="1"/>
  <c r="E1176" i="1"/>
  <c r="F1176" i="1"/>
  <c r="G1176" i="1"/>
  <c r="H1176" i="1"/>
  <c r="I1176" i="1"/>
  <c r="J1176" i="1"/>
  <c r="K1176" i="1"/>
  <c r="L1176" i="1"/>
  <c r="M1176" i="1"/>
  <c r="N1176" i="1"/>
  <c r="O1176" i="1"/>
  <c r="P1176" i="1"/>
  <c r="R1176" i="1"/>
  <c r="S1176" i="1"/>
  <c r="T1176" i="1"/>
  <c r="U1176" i="1"/>
  <c r="B1175" i="1"/>
  <c r="C1175" i="1"/>
  <c r="D1175" i="1"/>
  <c r="E1175" i="1"/>
  <c r="F1175" i="1"/>
  <c r="G1175" i="1"/>
  <c r="H1175" i="1"/>
  <c r="I1175" i="1"/>
  <c r="J1175" i="1"/>
  <c r="K1175" i="1"/>
  <c r="L1175" i="1"/>
  <c r="M1175" i="1"/>
  <c r="N1175" i="1"/>
  <c r="O1175" i="1"/>
  <c r="P1175" i="1"/>
  <c r="R1175" i="1"/>
  <c r="S1175" i="1"/>
  <c r="T1175" i="1"/>
  <c r="U1175" i="1"/>
  <c r="C1174" i="1"/>
  <c r="D1174" i="1"/>
  <c r="E1174" i="1"/>
  <c r="F1174" i="1"/>
  <c r="G1174" i="1"/>
  <c r="H1174" i="1"/>
  <c r="I1174" i="1"/>
  <c r="J1174" i="1"/>
  <c r="K1174" i="1"/>
  <c r="L1174" i="1"/>
  <c r="M1174" i="1"/>
  <c r="N1174" i="1"/>
  <c r="O1174" i="1"/>
  <c r="P1174" i="1"/>
  <c r="R1174" i="1"/>
  <c r="S1174" i="1"/>
  <c r="T1174" i="1"/>
  <c r="U1174" i="1"/>
  <c r="D1173" i="1"/>
  <c r="E1173" i="1"/>
  <c r="F1173" i="1"/>
  <c r="G1173" i="1"/>
  <c r="H1173" i="1"/>
  <c r="I1173" i="1"/>
  <c r="J1173" i="1"/>
  <c r="K1173" i="1"/>
  <c r="L1173" i="1"/>
  <c r="M1173" i="1"/>
  <c r="N1173" i="1"/>
  <c r="O1173" i="1"/>
  <c r="P1173" i="1"/>
  <c r="R1173" i="1"/>
  <c r="S1173" i="1"/>
  <c r="T1173" i="1"/>
  <c r="U1173" i="1"/>
  <c r="C1172" i="1"/>
  <c r="D1172" i="1"/>
  <c r="E1172" i="1"/>
  <c r="F1172" i="1"/>
  <c r="G1172" i="1"/>
  <c r="H1172" i="1"/>
  <c r="I1172" i="1"/>
  <c r="J1172" i="1"/>
  <c r="K1172" i="1"/>
  <c r="L1172" i="1"/>
  <c r="M1172" i="1"/>
  <c r="N1172" i="1"/>
  <c r="O1172" i="1"/>
  <c r="P1172" i="1"/>
  <c r="R1172" i="1"/>
  <c r="S1172" i="1"/>
  <c r="T1172" i="1"/>
  <c r="U1172" i="1"/>
  <c r="C1171" i="1"/>
  <c r="D1171" i="1"/>
  <c r="E1171" i="1"/>
  <c r="F1171" i="1"/>
  <c r="G1171" i="1"/>
  <c r="H1171" i="1"/>
  <c r="I1171" i="1"/>
  <c r="J1171" i="1"/>
  <c r="K1171" i="1"/>
  <c r="L1171" i="1"/>
  <c r="M1171" i="1"/>
  <c r="N1171" i="1"/>
  <c r="O1171" i="1"/>
  <c r="P1171" i="1"/>
  <c r="R1171" i="1"/>
  <c r="S1171" i="1"/>
  <c r="T1171" i="1"/>
  <c r="U1171" i="1"/>
  <c r="C1170" i="1"/>
  <c r="D1170" i="1"/>
  <c r="E1170" i="1"/>
  <c r="F1170" i="1"/>
  <c r="G1170" i="1"/>
  <c r="H1170" i="1"/>
  <c r="I1170" i="1"/>
  <c r="J1170" i="1"/>
  <c r="K1170" i="1"/>
  <c r="L1170" i="1"/>
  <c r="M1170" i="1"/>
  <c r="N1170" i="1"/>
  <c r="O1170" i="1"/>
  <c r="P1170" i="1"/>
  <c r="R1170" i="1"/>
  <c r="S1170" i="1"/>
  <c r="T1170" i="1"/>
  <c r="U1170" i="1"/>
  <c r="C1169" i="1"/>
  <c r="D1169" i="1"/>
  <c r="E1169" i="1"/>
  <c r="F1169" i="1"/>
  <c r="G1169" i="1"/>
  <c r="H1169" i="1"/>
  <c r="I1169" i="1"/>
  <c r="J1169" i="1"/>
  <c r="K1169" i="1"/>
  <c r="L1169" i="1"/>
  <c r="M1169" i="1"/>
  <c r="N1169" i="1"/>
  <c r="O1169" i="1"/>
  <c r="P1169" i="1"/>
  <c r="R1169" i="1"/>
  <c r="S1169" i="1"/>
  <c r="T1169" i="1"/>
  <c r="U1169" i="1"/>
  <c r="C1168" i="1"/>
  <c r="D1168" i="1"/>
  <c r="E1168" i="1"/>
  <c r="F1168" i="1"/>
  <c r="G1168" i="1"/>
  <c r="H1168" i="1"/>
  <c r="I1168" i="1"/>
  <c r="J1168" i="1"/>
  <c r="K1168" i="1"/>
  <c r="L1168" i="1"/>
  <c r="M1168" i="1"/>
  <c r="N1168" i="1"/>
  <c r="O1168" i="1"/>
  <c r="P1168" i="1"/>
  <c r="R1168" i="1"/>
  <c r="S1168" i="1"/>
  <c r="T1168" i="1"/>
  <c r="U1168" i="1"/>
  <c r="C1167" i="1"/>
  <c r="D1167" i="1"/>
  <c r="E1167" i="1"/>
  <c r="F1167" i="1"/>
  <c r="G1167" i="1"/>
  <c r="H1167" i="1"/>
  <c r="I1167" i="1"/>
  <c r="J1167" i="1"/>
  <c r="K1167" i="1"/>
  <c r="L1167" i="1"/>
  <c r="M1167" i="1"/>
  <c r="N1167" i="1"/>
  <c r="O1167" i="1"/>
  <c r="P1167" i="1"/>
  <c r="R1167" i="1"/>
  <c r="S1167" i="1"/>
  <c r="T1167" i="1"/>
  <c r="U1167" i="1"/>
  <c r="B1166" i="1"/>
  <c r="C1166" i="1"/>
  <c r="D1166" i="1"/>
  <c r="E1166" i="1"/>
  <c r="F1166" i="1"/>
  <c r="G1166" i="1"/>
  <c r="H1166" i="1"/>
  <c r="I1166" i="1"/>
  <c r="J1166" i="1"/>
  <c r="K1166" i="1"/>
  <c r="L1166" i="1"/>
  <c r="M1166" i="1"/>
  <c r="N1166" i="1"/>
  <c r="O1166" i="1"/>
  <c r="P1166" i="1"/>
  <c r="S1166" i="1"/>
  <c r="T1166" i="1"/>
  <c r="U1166" i="1"/>
  <c r="C1165" i="1"/>
  <c r="D1165" i="1"/>
  <c r="E1165" i="1"/>
  <c r="F1165" i="1"/>
  <c r="G1165" i="1"/>
  <c r="H1165" i="1"/>
  <c r="I1165" i="1"/>
  <c r="J1165" i="1"/>
  <c r="K1165" i="1"/>
  <c r="L1165" i="1"/>
  <c r="M1165" i="1"/>
  <c r="N1165" i="1"/>
  <c r="O1165" i="1"/>
  <c r="P1165" i="1"/>
  <c r="R1165" i="1"/>
  <c r="S1165" i="1"/>
  <c r="T1165" i="1"/>
  <c r="U1165" i="1"/>
  <c r="C1164" i="1"/>
  <c r="D1164" i="1"/>
  <c r="E1164" i="1"/>
  <c r="F1164" i="1"/>
  <c r="G1164" i="1"/>
  <c r="H1164" i="1"/>
  <c r="I1164" i="1"/>
  <c r="J1164" i="1"/>
  <c r="K1164" i="1"/>
  <c r="L1164" i="1"/>
  <c r="M1164" i="1"/>
  <c r="N1164" i="1"/>
  <c r="O1164" i="1"/>
  <c r="P1164" i="1"/>
  <c r="R1164" i="1"/>
  <c r="S1164" i="1"/>
  <c r="T1164" i="1"/>
  <c r="U1164" i="1"/>
  <c r="C1163" i="1"/>
  <c r="D1163" i="1"/>
  <c r="E1163" i="1"/>
  <c r="F1163" i="1"/>
  <c r="G1163" i="1"/>
  <c r="H1163" i="1"/>
  <c r="I1163" i="1"/>
  <c r="J1163" i="1"/>
  <c r="K1163" i="1"/>
  <c r="L1163" i="1"/>
  <c r="M1163" i="1"/>
  <c r="N1163" i="1"/>
  <c r="O1163" i="1"/>
  <c r="P1163" i="1"/>
  <c r="R1163" i="1"/>
  <c r="S1163" i="1"/>
  <c r="T1163" i="1"/>
  <c r="U1163" i="1"/>
  <c r="C1162" i="1"/>
  <c r="D1162" i="1"/>
  <c r="E1162" i="1"/>
  <c r="F1162" i="1"/>
  <c r="G1162" i="1"/>
  <c r="H1162" i="1"/>
  <c r="I1162" i="1"/>
  <c r="J1162" i="1"/>
  <c r="K1162" i="1"/>
  <c r="L1162" i="1"/>
  <c r="M1162" i="1"/>
  <c r="N1162" i="1"/>
  <c r="O1162" i="1"/>
  <c r="P1162" i="1"/>
  <c r="R1162" i="1"/>
  <c r="S1162" i="1"/>
  <c r="T1162" i="1"/>
  <c r="U1162" i="1"/>
  <c r="C1161" i="1"/>
  <c r="D1161" i="1"/>
  <c r="E1161" i="1"/>
  <c r="F1161" i="1"/>
  <c r="G1161" i="1"/>
  <c r="H1161" i="1"/>
  <c r="I1161" i="1"/>
  <c r="J1161" i="1"/>
  <c r="K1161" i="1"/>
  <c r="L1161" i="1"/>
  <c r="M1161" i="1"/>
  <c r="N1161" i="1"/>
  <c r="O1161" i="1"/>
  <c r="P1161" i="1"/>
  <c r="R1161" i="1"/>
  <c r="S1161" i="1"/>
  <c r="T1161" i="1"/>
  <c r="U1161" i="1"/>
  <c r="C1160" i="1"/>
  <c r="D1160" i="1"/>
  <c r="E1160" i="1"/>
  <c r="F1160" i="1"/>
  <c r="G1160" i="1"/>
  <c r="H1160" i="1"/>
  <c r="I1160" i="1"/>
  <c r="J1160" i="1"/>
  <c r="K1160" i="1"/>
  <c r="L1160" i="1"/>
  <c r="M1160" i="1"/>
  <c r="N1160" i="1"/>
  <c r="O1160" i="1"/>
  <c r="P1160" i="1"/>
  <c r="R1160" i="1"/>
  <c r="S1160" i="1"/>
  <c r="T1160" i="1"/>
  <c r="U1160" i="1"/>
  <c r="C1159" i="1"/>
  <c r="D1159" i="1"/>
  <c r="E1159" i="1"/>
  <c r="F1159" i="1"/>
  <c r="G1159" i="1"/>
  <c r="H1159" i="1"/>
  <c r="I1159" i="1"/>
  <c r="J1159" i="1"/>
  <c r="K1159" i="1"/>
  <c r="L1159" i="1"/>
  <c r="M1159" i="1"/>
  <c r="N1159" i="1"/>
  <c r="O1159" i="1"/>
  <c r="P1159" i="1"/>
  <c r="R1159" i="1"/>
  <c r="S1159" i="1"/>
  <c r="T1159" i="1"/>
  <c r="U1159" i="1"/>
  <c r="B1158" i="1"/>
  <c r="C1158" i="1"/>
  <c r="D1158" i="1"/>
  <c r="E1158" i="1"/>
  <c r="F1158" i="1"/>
  <c r="G1158" i="1"/>
  <c r="H1158" i="1"/>
  <c r="I1158" i="1"/>
  <c r="J1158" i="1"/>
  <c r="K1158" i="1"/>
  <c r="L1158" i="1"/>
  <c r="M1158" i="1"/>
  <c r="N1158" i="1"/>
  <c r="O1158" i="1"/>
  <c r="P1158" i="1"/>
  <c r="R1158" i="1"/>
  <c r="S1158" i="1"/>
  <c r="T1158" i="1"/>
  <c r="U1158" i="1"/>
  <c r="C1157" i="1"/>
  <c r="D1157" i="1"/>
  <c r="E1157" i="1"/>
  <c r="F1157" i="1"/>
  <c r="G1157" i="1"/>
  <c r="H1157" i="1"/>
  <c r="I1157" i="1"/>
  <c r="J1157" i="1"/>
  <c r="K1157" i="1"/>
  <c r="L1157" i="1"/>
  <c r="M1157" i="1"/>
  <c r="N1157" i="1"/>
  <c r="O1157" i="1"/>
  <c r="P1157" i="1"/>
  <c r="R1157" i="1"/>
  <c r="S1157" i="1"/>
  <c r="T1157" i="1"/>
  <c r="U1157" i="1"/>
  <c r="C1156" i="1"/>
  <c r="D1156" i="1"/>
  <c r="E1156" i="1"/>
  <c r="F1156" i="1"/>
  <c r="G1156" i="1"/>
  <c r="H1156" i="1"/>
  <c r="I1156" i="1"/>
  <c r="J1156" i="1"/>
  <c r="K1156" i="1"/>
  <c r="L1156" i="1"/>
  <c r="M1156" i="1"/>
  <c r="N1156" i="1"/>
  <c r="O1156" i="1"/>
  <c r="P1156" i="1"/>
  <c r="R1156" i="1"/>
  <c r="S1156" i="1"/>
  <c r="T1156" i="1"/>
  <c r="U1156" i="1"/>
  <c r="C1155" i="1"/>
  <c r="D1155" i="1"/>
  <c r="E1155" i="1"/>
  <c r="F1155" i="1"/>
  <c r="G1155" i="1"/>
  <c r="H1155" i="1"/>
  <c r="I1155" i="1"/>
  <c r="J1155" i="1"/>
  <c r="K1155" i="1"/>
  <c r="L1155" i="1"/>
  <c r="M1155" i="1"/>
  <c r="N1155" i="1"/>
  <c r="O1155" i="1"/>
  <c r="P1155" i="1"/>
  <c r="R1155" i="1"/>
  <c r="S1155" i="1"/>
  <c r="T1155" i="1"/>
  <c r="U1155" i="1"/>
  <c r="C1154" i="1"/>
  <c r="D1154" i="1"/>
  <c r="E1154" i="1"/>
  <c r="F1154" i="1"/>
  <c r="G1154" i="1"/>
  <c r="H1154" i="1"/>
  <c r="I1154" i="1"/>
  <c r="J1154" i="1"/>
  <c r="K1154" i="1"/>
  <c r="L1154" i="1"/>
  <c r="M1154" i="1"/>
  <c r="N1154" i="1"/>
  <c r="O1154" i="1"/>
  <c r="P1154" i="1"/>
  <c r="R1154" i="1"/>
  <c r="S1154" i="1"/>
  <c r="T1154" i="1"/>
  <c r="U1154" i="1"/>
  <c r="C1153" i="1"/>
  <c r="D1153" i="1"/>
  <c r="E1153" i="1"/>
  <c r="F1153" i="1"/>
  <c r="G1153" i="1"/>
  <c r="H1153" i="1"/>
  <c r="I1153" i="1"/>
  <c r="J1153" i="1"/>
  <c r="K1153" i="1"/>
  <c r="L1153" i="1"/>
  <c r="M1153" i="1"/>
  <c r="N1153" i="1"/>
  <c r="O1153" i="1"/>
  <c r="P1153" i="1"/>
  <c r="R1153" i="1"/>
  <c r="S1153" i="1"/>
  <c r="T1153" i="1"/>
  <c r="U1153" i="1"/>
  <c r="B1152" i="1"/>
  <c r="C1152" i="1"/>
  <c r="D1152" i="1"/>
  <c r="E1152" i="1"/>
  <c r="F1152" i="1"/>
  <c r="G1152" i="1"/>
  <c r="H1152" i="1"/>
  <c r="I1152" i="1"/>
  <c r="J1152" i="1"/>
  <c r="K1152" i="1"/>
  <c r="L1152" i="1"/>
  <c r="M1152" i="1"/>
  <c r="N1152" i="1"/>
  <c r="O1152" i="1"/>
  <c r="P1152" i="1"/>
  <c r="R1152" i="1"/>
  <c r="S1152" i="1"/>
  <c r="T1152" i="1"/>
  <c r="U1152" i="1"/>
  <c r="C1151" i="1"/>
  <c r="D1151" i="1"/>
  <c r="E1151" i="1"/>
  <c r="F1151" i="1"/>
  <c r="G1151" i="1"/>
  <c r="H1151" i="1"/>
  <c r="I1151" i="1"/>
  <c r="J1151" i="1"/>
  <c r="K1151" i="1"/>
  <c r="L1151" i="1"/>
  <c r="M1151" i="1"/>
  <c r="N1151" i="1"/>
  <c r="O1151" i="1"/>
  <c r="P1151" i="1"/>
  <c r="R1151" i="1"/>
  <c r="S1151" i="1"/>
  <c r="T1151" i="1"/>
  <c r="U1151" i="1"/>
  <c r="C1150" i="1"/>
  <c r="D1150" i="1"/>
  <c r="E1150" i="1"/>
  <c r="F1150" i="1"/>
  <c r="G1150" i="1"/>
  <c r="H1150" i="1"/>
  <c r="I1150" i="1"/>
  <c r="J1150" i="1"/>
  <c r="K1150" i="1"/>
  <c r="L1150" i="1"/>
  <c r="M1150" i="1"/>
  <c r="N1150" i="1"/>
  <c r="O1150" i="1"/>
  <c r="P1150" i="1"/>
  <c r="R1150" i="1"/>
  <c r="S1150" i="1"/>
  <c r="T1150" i="1"/>
  <c r="U1150" i="1"/>
  <c r="C1149" i="1"/>
  <c r="D1149" i="1"/>
  <c r="E1149" i="1"/>
  <c r="F1149" i="1"/>
  <c r="G1149" i="1"/>
  <c r="H1149" i="1"/>
  <c r="I1149" i="1"/>
  <c r="J1149" i="1"/>
  <c r="K1149" i="1"/>
  <c r="L1149" i="1"/>
  <c r="M1149" i="1"/>
  <c r="N1149" i="1"/>
  <c r="O1149" i="1"/>
  <c r="P1149" i="1"/>
  <c r="R1149" i="1"/>
  <c r="S1149" i="1"/>
  <c r="T1149" i="1"/>
  <c r="U1149" i="1"/>
  <c r="C1148" i="1"/>
  <c r="D1148" i="1"/>
  <c r="E1148" i="1"/>
  <c r="F1148" i="1"/>
  <c r="G1148" i="1"/>
  <c r="H1148" i="1"/>
  <c r="I1148" i="1"/>
  <c r="J1148" i="1"/>
  <c r="K1148" i="1"/>
  <c r="L1148" i="1"/>
  <c r="M1148" i="1"/>
  <c r="N1148" i="1"/>
  <c r="O1148" i="1"/>
  <c r="P1148" i="1"/>
  <c r="R1148" i="1"/>
  <c r="S1148" i="1"/>
  <c r="T1148" i="1"/>
  <c r="U1148" i="1"/>
  <c r="C1147" i="1"/>
  <c r="D1147" i="1"/>
  <c r="E1147" i="1"/>
  <c r="F1147" i="1"/>
  <c r="G1147" i="1"/>
  <c r="H1147" i="1"/>
  <c r="I1147" i="1"/>
  <c r="J1147" i="1"/>
  <c r="K1147" i="1"/>
  <c r="L1147" i="1"/>
  <c r="M1147" i="1"/>
  <c r="N1147" i="1"/>
  <c r="O1147" i="1"/>
  <c r="P1147" i="1"/>
  <c r="R1147" i="1"/>
  <c r="S1147" i="1"/>
  <c r="T1147" i="1"/>
  <c r="U1147" i="1"/>
  <c r="C1146" i="1"/>
  <c r="D1146" i="1"/>
  <c r="E1146" i="1"/>
  <c r="F1146" i="1"/>
  <c r="G1146" i="1"/>
  <c r="H1146" i="1"/>
  <c r="I1146" i="1"/>
  <c r="J1146" i="1"/>
  <c r="K1146" i="1"/>
  <c r="L1146" i="1"/>
  <c r="M1146" i="1"/>
  <c r="N1146" i="1"/>
  <c r="O1146" i="1"/>
  <c r="P1146" i="1"/>
  <c r="R1146" i="1"/>
  <c r="S1146" i="1"/>
  <c r="T1146" i="1"/>
  <c r="U1146" i="1"/>
  <c r="B1145" i="1"/>
  <c r="C1145" i="1"/>
  <c r="D1145" i="1"/>
  <c r="E1145" i="1"/>
  <c r="F1145" i="1"/>
  <c r="G1145" i="1"/>
  <c r="H1145" i="1"/>
  <c r="I1145" i="1"/>
  <c r="J1145" i="1"/>
  <c r="K1145" i="1"/>
  <c r="L1145" i="1"/>
  <c r="M1145" i="1"/>
  <c r="N1145" i="1"/>
  <c r="O1145" i="1"/>
  <c r="P1145" i="1"/>
  <c r="R1145" i="1"/>
  <c r="S1145" i="1"/>
  <c r="T1145" i="1"/>
  <c r="U1145" i="1"/>
  <c r="C1144" i="1"/>
  <c r="D1144" i="1"/>
  <c r="E1144" i="1"/>
  <c r="F1144" i="1"/>
  <c r="G1144" i="1"/>
  <c r="H1144" i="1"/>
  <c r="I1144" i="1"/>
  <c r="J1144" i="1"/>
  <c r="K1144" i="1"/>
  <c r="L1144" i="1"/>
  <c r="M1144" i="1"/>
  <c r="N1144" i="1"/>
  <c r="O1144" i="1"/>
  <c r="P1144" i="1"/>
  <c r="R1144" i="1"/>
  <c r="S1144" i="1"/>
  <c r="T1144" i="1"/>
  <c r="U1144" i="1"/>
  <c r="C1143" i="1"/>
  <c r="D1143" i="1"/>
  <c r="E1143" i="1"/>
  <c r="F1143" i="1"/>
  <c r="G1143" i="1"/>
  <c r="H1143" i="1"/>
  <c r="I1143" i="1"/>
  <c r="J1143" i="1"/>
  <c r="K1143" i="1"/>
  <c r="L1143" i="1"/>
  <c r="M1143" i="1"/>
  <c r="N1143" i="1"/>
  <c r="O1143" i="1"/>
  <c r="P1143" i="1"/>
  <c r="R1143" i="1"/>
  <c r="S1143" i="1"/>
  <c r="T1143" i="1"/>
  <c r="U1143" i="1"/>
  <c r="C1142" i="1"/>
  <c r="D1142" i="1"/>
  <c r="E1142" i="1"/>
  <c r="F1142" i="1"/>
  <c r="G1142" i="1"/>
  <c r="H1142" i="1"/>
  <c r="I1142" i="1"/>
  <c r="J1142" i="1"/>
  <c r="K1142" i="1"/>
  <c r="L1142" i="1"/>
  <c r="M1142" i="1"/>
  <c r="N1142" i="1"/>
  <c r="O1142" i="1"/>
  <c r="P1142" i="1"/>
  <c r="R1142" i="1"/>
  <c r="S1142" i="1"/>
  <c r="T1142" i="1"/>
  <c r="U1142" i="1"/>
  <c r="C1141" i="1"/>
  <c r="D1141" i="1"/>
  <c r="E1141" i="1"/>
  <c r="F1141" i="1"/>
  <c r="G1141" i="1"/>
  <c r="H1141" i="1"/>
  <c r="I1141" i="1"/>
  <c r="J1141" i="1"/>
  <c r="K1141" i="1"/>
  <c r="L1141" i="1"/>
  <c r="M1141" i="1"/>
  <c r="N1141" i="1"/>
  <c r="O1141" i="1"/>
  <c r="P1141" i="1"/>
  <c r="R1141" i="1"/>
  <c r="S1141" i="1"/>
  <c r="T1141" i="1"/>
  <c r="U1141" i="1"/>
  <c r="C1140" i="1"/>
  <c r="D1140" i="1"/>
  <c r="E1140" i="1"/>
  <c r="F1140" i="1"/>
  <c r="G1140" i="1"/>
  <c r="H1140" i="1"/>
  <c r="I1140" i="1"/>
  <c r="J1140" i="1"/>
  <c r="K1140" i="1"/>
  <c r="L1140" i="1"/>
  <c r="M1140" i="1"/>
  <c r="N1140" i="1"/>
  <c r="O1140" i="1"/>
  <c r="P1140" i="1"/>
  <c r="R1140" i="1"/>
  <c r="S1140" i="1"/>
  <c r="T1140" i="1"/>
  <c r="U1140" i="1"/>
  <c r="C1139" i="1"/>
  <c r="D1139" i="1"/>
  <c r="E1139" i="1"/>
  <c r="F1139" i="1"/>
  <c r="G1139" i="1"/>
  <c r="H1139" i="1"/>
  <c r="I1139" i="1"/>
  <c r="J1139" i="1"/>
  <c r="K1139" i="1"/>
  <c r="L1139" i="1"/>
  <c r="M1139" i="1"/>
  <c r="N1139" i="1"/>
  <c r="O1139" i="1"/>
  <c r="P1139" i="1"/>
  <c r="R1139" i="1"/>
  <c r="S1139" i="1"/>
  <c r="T1139" i="1"/>
  <c r="U1139" i="1"/>
  <c r="C1138" i="1"/>
  <c r="D1138" i="1"/>
  <c r="E1138" i="1"/>
  <c r="F1138" i="1"/>
  <c r="G1138" i="1"/>
  <c r="H1138" i="1"/>
  <c r="I1138" i="1"/>
  <c r="J1138" i="1"/>
  <c r="K1138" i="1"/>
  <c r="L1138" i="1"/>
  <c r="M1138" i="1"/>
  <c r="N1138" i="1"/>
  <c r="O1138" i="1"/>
  <c r="P1138" i="1"/>
  <c r="R1138" i="1"/>
  <c r="S1138" i="1"/>
  <c r="T1138" i="1"/>
  <c r="U1138" i="1"/>
  <c r="C1137" i="1"/>
  <c r="D1137" i="1"/>
  <c r="E1137" i="1"/>
  <c r="F1137" i="1"/>
  <c r="G1137" i="1"/>
  <c r="H1137" i="1"/>
  <c r="I1137" i="1"/>
  <c r="J1137" i="1"/>
  <c r="K1137" i="1"/>
  <c r="L1137" i="1"/>
  <c r="M1137" i="1"/>
  <c r="N1137" i="1"/>
  <c r="O1137" i="1"/>
  <c r="P1137" i="1"/>
  <c r="R1137" i="1"/>
  <c r="S1137" i="1"/>
  <c r="T1137" i="1"/>
  <c r="U1137" i="1"/>
  <c r="B1136" i="1"/>
  <c r="C1136" i="1"/>
  <c r="D1136" i="1"/>
  <c r="E1136" i="1"/>
  <c r="F1136" i="1"/>
  <c r="G1136" i="1"/>
  <c r="H1136" i="1"/>
  <c r="I1136" i="1"/>
  <c r="J1136" i="1"/>
  <c r="K1136" i="1"/>
  <c r="L1136" i="1"/>
  <c r="M1136" i="1"/>
  <c r="N1136" i="1"/>
  <c r="O1136" i="1"/>
  <c r="P1136" i="1"/>
  <c r="R1136" i="1"/>
  <c r="S1136" i="1"/>
  <c r="T1136" i="1"/>
  <c r="U1136" i="1"/>
  <c r="C1135" i="1"/>
  <c r="D1135" i="1"/>
  <c r="E1135" i="1"/>
  <c r="F1135" i="1"/>
  <c r="G1135" i="1"/>
  <c r="H1135" i="1"/>
  <c r="I1135" i="1"/>
  <c r="J1135" i="1"/>
  <c r="K1135" i="1"/>
  <c r="L1135" i="1"/>
  <c r="M1135" i="1"/>
  <c r="N1135" i="1"/>
  <c r="O1135" i="1"/>
  <c r="P1135" i="1"/>
  <c r="R1135" i="1"/>
  <c r="S1135" i="1"/>
  <c r="T1135" i="1"/>
  <c r="U1135" i="1"/>
  <c r="C1134" i="1"/>
  <c r="D1134" i="1"/>
  <c r="E1134" i="1"/>
  <c r="F1134" i="1"/>
  <c r="G1134" i="1"/>
  <c r="H1134" i="1"/>
  <c r="I1134" i="1"/>
  <c r="J1134" i="1"/>
  <c r="K1134" i="1"/>
  <c r="L1134" i="1"/>
  <c r="M1134" i="1"/>
  <c r="N1134" i="1"/>
  <c r="O1134" i="1"/>
  <c r="P1134" i="1"/>
  <c r="R1134" i="1"/>
  <c r="S1134" i="1"/>
  <c r="T1134" i="1"/>
  <c r="U1134" i="1"/>
  <c r="C1133" i="1"/>
  <c r="D1133" i="1"/>
  <c r="E1133" i="1"/>
  <c r="F1133" i="1"/>
  <c r="G1133" i="1"/>
  <c r="H1133" i="1"/>
  <c r="I1133" i="1"/>
  <c r="J1133" i="1"/>
  <c r="K1133" i="1"/>
  <c r="L1133" i="1"/>
  <c r="M1133" i="1"/>
  <c r="N1133" i="1"/>
  <c r="O1133" i="1"/>
  <c r="P1133" i="1"/>
  <c r="R1133" i="1"/>
  <c r="S1133" i="1"/>
  <c r="T1133" i="1"/>
  <c r="U1133" i="1"/>
  <c r="C1132" i="1"/>
  <c r="D1132" i="1"/>
  <c r="E1132" i="1"/>
  <c r="F1132" i="1"/>
  <c r="G1132" i="1"/>
  <c r="H1132" i="1"/>
  <c r="I1132" i="1"/>
  <c r="J1132" i="1"/>
  <c r="K1132" i="1"/>
  <c r="L1132" i="1"/>
  <c r="M1132" i="1"/>
  <c r="N1132" i="1"/>
  <c r="O1132" i="1"/>
  <c r="P1132" i="1"/>
  <c r="R1132" i="1"/>
  <c r="S1132" i="1"/>
  <c r="T1132" i="1"/>
  <c r="U1132" i="1"/>
  <c r="C1131" i="1"/>
  <c r="D1131" i="1"/>
  <c r="E1131" i="1"/>
  <c r="F1131" i="1"/>
  <c r="G1131" i="1"/>
  <c r="H1131" i="1"/>
  <c r="I1131" i="1"/>
  <c r="J1131" i="1"/>
  <c r="K1131" i="1"/>
  <c r="L1131" i="1"/>
  <c r="M1131" i="1"/>
  <c r="N1131" i="1"/>
  <c r="O1131" i="1"/>
  <c r="P1131" i="1"/>
  <c r="R1131" i="1"/>
  <c r="S1131" i="1"/>
  <c r="T1131" i="1"/>
  <c r="U1131" i="1"/>
  <c r="C1130" i="1"/>
  <c r="D1130" i="1"/>
  <c r="E1130" i="1"/>
  <c r="F1130" i="1"/>
  <c r="G1130" i="1"/>
  <c r="H1130" i="1"/>
  <c r="I1130" i="1"/>
  <c r="J1130" i="1"/>
  <c r="K1130" i="1"/>
  <c r="L1130" i="1"/>
  <c r="M1130" i="1"/>
  <c r="N1130" i="1"/>
  <c r="O1130" i="1"/>
  <c r="P1130" i="1"/>
  <c r="R1130" i="1"/>
  <c r="S1130" i="1"/>
  <c r="T1130" i="1"/>
  <c r="U1130" i="1"/>
  <c r="C1129" i="1"/>
  <c r="D1129" i="1"/>
  <c r="E1129" i="1"/>
  <c r="F1129" i="1"/>
  <c r="G1129" i="1"/>
  <c r="H1129" i="1"/>
  <c r="I1129" i="1"/>
  <c r="J1129" i="1"/>
  <c r="K1129" i="1"/>
  <c r="L1129" i="1"/>
  <c r="M1129" i="1"/>
  <c r="N1129" i="1"/>
  <c r="O1129" i="1"/>
  <c r="P1129" i="1"/>
  <c r="R1129" i="1"/>
  <c r="S1129" i="1"/>
  <c r="T1129" i="1"/>
  <c r="U1129" i="1"/>
  <c r="C1128" i="1"/>
  <c r="D1128" i="1"/>
  <c r="E1128" i="1"/>
  <c r="F1128" i="1"/>
  <c r="G1128" i="1"/>
  <c r="H1128" i="1"/>
  <c r="I1128" i="1"/>
  <c r="J1128" i="1"/>
  <c r="K1128" i="1"/>
  <c r="L1128" i="1"/>
  <c r="M1128" i="1"/>
  <c r="N1128" i="1"/>
  <c r="O1128" i="1"/>
  <c r="P1128" i="1"/>
  <c r="R1128" i="1"/>
  <c r="S1128" i="1"/>
  <c r="T1128" i="1"/>
  <c r="U1128" i="1"/>
  <c r="C1127" i="1"/>
  <c r="D1127" i="1"/>
  <c r="E1127" i="1"/>
  <c r="F1127" i="1"/>
  <c r="G1127" i="1"/>
  <c r="H1127" i="1"/>
  <c r="I1127" i="1"/>
  <c r="J1127" i="1"/>
  <c r="K1127" i="1"/>
  <c r="L1127" i="1"/>
  <c r="M1127" i="1"/>
  <c r="N1127" i="1"/>
  <c r="O1127" i="1"/>
  <c r="P1127" i="1"/>
  <c r="R1127" i="1"/>
  <c r="S1127" i="1"/>
  <c r="T1127" i="1"/>
  <c r="U1127" i="1"/>
  <c r="B1126" i="1"/>
  <c r="C1126" i="1"/>
  <c r="D1126" i="1"/>
  <c r="E1126" i="1"/>
  <c r="F1126" i="1"/>
  <c r="G1126" i="1"/>
  <c r="H1126" i="1"/>
  <c r="I1126" i="1"/>
  <c r="J1126" i="1"/>
  <c r="K1126" i="1"/>
  <c r="L1126" i="1"/>
  <c r="M1126" i="1"/>
  <c r="N1126" i="1"/>
  <c r="O1126" i="1"/>
  <c r="P1126" i="1"/>
  <c r="R1126" i="1"/>
  <c r="S1126" i="1"/>
  <c r="T1126" i="1"/>
  <c r="U1126" i="1"/>
  <c r="C1125" i="1"/>
  <c r="D1125" i="1"/>
  <c r="E1125" i="1"/>
  <c r="F1125" i="1"/>
  <c r="G1125" i="1"/>
  <c r="H1125" i="1"/>
  <c r="I1125" i="1"/>
  <c r="J1125" i="1"/>
  <c r="K1125" i="1"/>
  <c r="L1125" i="1"/>
  <c r="M1125" i="1"/>
  <c r="N1125" i="1"/>
  <c r="O1125" i="1"/>
  <c r="P1125" i="1"/>
  <c r="R1125" i="1"/>
  <c r="S1125" i="1"/>
  <c r="T1125" i="1"/>
  <c r="U1125" i="1"/>
  <c r="C1124" i="1"/>
  <c r="D1124" i="1"/>
  <c r="E1124" i="1"/>
  <c r="F1124" i="1"/>
  <c r="G1124" i="1"/>
  <c r="H1124" i="1"/>
  <c r="I1124" i="1"/>
  <c r="J1124" i="1"/>
  <c r="K1124" i="1"/>
  <c r="L1124" i="1"/>
  <c r="M1124" i="1"/>
  <c r="N1124" i="1"/>
  <c r="O1124" i="1"/>
  <c r="P1124" i="1"/>
  <c r="R1124" i="1"/>
  <c r="S1124" i="1"/>
  <c r="T1124" i="1"/>
  <c r="U1124" i="1"/>
  <c r="C1123" i="1"/>
  <c r="D1123" i="1"/>
  <c r="E1123" i="1"/>
  <c r="F1123" i="1"/>
  <c r="G1123" i="1"/>
  <c r="H1123" i="1"/>
  <c r="I1123" i="1"/>
  <c r="J1123" i="1"/>
  <c r="K1123" i="1"/>
  <c r="L1123" i="1"/>
  <c r="M1123" i="1"/>
  <c r="N1123" i="1"/>
  <c r="O1123" i="1"/>
  <c r="P1123" i="1"/>
  <c r="R1123" i="1"/>
  <c r="S1123" i="1"/>
  <c r="T1123" i="1"/>
  <c r="U1123" i="1"/>
  <c r="C1122" i="1"/>
  <c r="D1122" i="1"/>
  <c r="E1122" i="1"/>
  <c r="F1122" i="1"/>
  <c r="G1122" i="1"/>
  <c r="H1122" i="1"/>
  <c r="I1122" i="1"/>
  <c r="J1122" i="1"/>
  <c r="K1122" i="1"/>
  <c r="L1122" i="1"/>
  <c r="M1122" i="1"/>
  <c r="N1122" i="1"/>
  <c r="O1122" i="1"/>
  <c r="P1122" i="1"/>
  <c r="R1122" i="1"/>
  <c r="S1122" i="1"/>
  <c r="T1122" i="1"/>
  <c r="U1122" i="1"/>
  <c r="C1121" i="1"/>
  <c r="D1121" i="1"/>
  <c r="E1121" i="1"/>
  <c r="F1121" i="1"/>
  <c r="G1121" i="1"/>
  <c r="H1121" i="1"/>
  <c r="I1121" i="1"/>
  <c r="J1121" i="1"/>
  <c r="K1121" i="1"/>
  <c r="L1121" i="1"/>
  <c r="M1121" i="1"/>
  <c r="N1121" i="1"/>
  <c r="O1121" i="1"/>
  <c r="P1121" i="1"/>
  <c r="R1121" i="1"/>
  <c r="S1121" i="1"/>
  <c r="T1121" i="1"/>
  <c r="U1121" i="1"/>
  <c r="C1120" i="1"/>
  <c r="D1120" i="1"/>
  <c r="E1120" i="1"/>
  <c r="F1120" i="1"/>
  <c r="G1120" i="1"/>
  <c r="H1120" i="1"/>
  <c r="I1120" i="1"/>
  <c r="J1120" i="1"/>
  <c r="K1120" i="1"/>
  <c r="L1120" i="1"/>
  <c r="M1120" i="1"/>
  <c r="N1120" i="1"/>
  <c r="O1120" i="1"/>
  <c r="P1120" i="1"/>
  <c r="R1120" i="1"/>
  <c r="S1120" i="1"/>
  <c r="T1120" i="1"/>
  <c r="U1120" i="1"/>
  <c r="B1119" i="1"/>
  <c r="C1119" i="1"/>
  <c r="D1119" i="1"/>
  <c r="E1119" i="1"/>
  <c r="F1119" i="1"/>
  <c r="G1119" i="1"/>
  <c r="H1119" i="1"/>
  <c r="I1119" i="1"/>
  <c r="J1119" i="1"/>
  <c r="K1119" i="1"/>
  <c r="L1119" i="1"/>
  <c r="M1119" i="1"/>
  <c r="N1119" i="1"/>
  <c r="O1119" i="1"/>
  <c r="P1119" i="1"/>
  <c r="R1119" i="1"/>
  <c r="S1119" i="1"/>
  <c r="T1119" i="1"/>
  <c r="U1119" i="1"/>
  <c r="C1118" i="1"/>
  <c r="D1118" i="1"/>
  <c r="E1118" i="1"/>
  <c r="F1118" i="1"/>
  <c r="G1118" i="1"/>
  <c r="H1118" i="1"/>
  <c r="I1118" i="1"/>
  <c r="J1118" i="1"/>
  <c r="K1118" i="1"/>
  <c r="L1118" i="1"/>
  <c r="M1118" i="1"/>
  <c r="N1118" i="1"/>
  <c r="O1118" i="1"/>
  <c r="P1118" i="1"/>
  <c r="R1118" i="1"/>
  <c r="S1118" i="1"/>
  <c r="T1118" i="1"/>
  <c r="U1118" i="1"/>
  <c r="C1117" i="1"/>
  <c r="D1117" i="1"/>
  <c r="E1117" i="1"/>
  <c r="F1117" i="1"/>
  <c r="G1117" i="1"/>
  <c r="H1117" i="1"/>
  <c r="I1117" i="1"/>
  <c r="J1117" i="1"/>
  <c r="K1117" i="1"/>
  <c r="L1117" i="1"/>
  <c r="M1117" i="1"/>
  <c r="N1117" i="1"/>
  <c r="O1117" i="1"/>
  <c r="P1117" i="1"/>
  <c r="R1117" i="1"/>
  <c r="S1117" i="1"/>
  <c r="T1117" i="1"/>
  <c r="U1117" i="1"/>
  <c r="C1116" i="1"/>
  <c r="D1116" i="1"/>
  <c r="E1116" i="1"/>
  <c r="F1116" i="1"/>
  <c r="G1116" i="1"/>
  <c r="H1116" i="1"/>
  <c r="I1116" i="1"/>
  <c r="J1116" i="1"/>
  <c r="K1116" i="1"/>
  <c r="L1116" i="1"/>
  <c r="M1116" i="1"/>
  <c r="N1116" i="1"/>
  <c r="O1116" i="1"/>
  <c r="P1116" i="1"/>
  <c r="R1116" i="1"/>
  <c r="S1116" i="1"/>
  <c r="T1116" i="1"/>
  <c r="U1116" i="1"/>
  <c r="B1115" i="1"/>
  <c r="C1115" i="1"/>
  <c r="D1115" i="1"/>
  <c r="E1115" i="1"/>
  <c r="F1115" i="1"/>
  <c r="G1115" i="1"/>
  <c r="H1115" i="1"/>
  <c r="I1115" i="1"/>
  <c r="J1115" i="1"/>
  <c r="K1115" i="1"/>
  <c r="L1115" i="1"/>
  <c r="M1115" i="1"/>
  <c r="N1115" i="1"/>
  <c r="O1115" i="1"/>
  <c r="P1115" i="1"/>
  <c r="R1115" i="1"/>
  <c r="S1115" i="1"/>
  <c r="T1115" i="1"/>
  <c r="U1115" i="1"/>
  <c r="C1114" i="1"/>
  <c r="D1114" i="1"/>
  <c r="E1114" i="1"/>
  <c r="F1114" i="1"/>
  <c r="G1114" i="1"/>
  <c r="H1114" i="1"/>
  <c r="I1114" i="1"/>
  <c r="J1114" i="1"/>
  <c r="K1114" i="1"/>
  <c r="L1114" i="1"/>
  <c r="M1114" i="1"/>
  <c r="N1114" i="1"/>
  <c r="O1114" i="1"/>
  <c r="P1114" i="1"/>
  <c r="R1114" i="1"/>
  <c r="S1114" i="1"/>
  <c r="T1114" i="1"/>
  <c r="U1114" i="1"/>
  <c r="C1113" i="1"/>
  <c r="D1113" i="1"/>
  <c r="E1113" i="1"/>
  <c r="F1113" i="1"/>
  <c r="G1113" i="1"/>
  <c r="H1113" i="1"/>
  <c r="I1113" i="1"/>
  <c r="J1113" i="1"/>
  <c r="K1113" i="1"/>
  <c r="L1113" i="1"/>
  <c r="M1113" i="1"/>
  <c r="N1113" i="1"/>
  <c r="O1113" i="1"/>
  <c r="P1113" i="1"/>
  <c r="R1113" i="1"/>
  <c r="S1113" i="1"/>
  <c r="T1113" i="1"/>
  <c r="U1113" i="1"/>
  <c r="C1112" i="1"/>
  <c r="D1112" i="1"/>
  <c r="E1112" i="1"/>
  <c r="F1112" i="1"/>
  <c r="G1112" i="1"/>
  <c r="H1112" i="1"/>
  <c r="I1112" i="1"/>
  <c r="J1112" i="1"/>
  <c r="K1112" i="1"/>
  <c r="L1112" i="1"/>
  <c r="M1112" i="1"/>
  <c r="N1112" i="1"/>
  <c r="O1112" i="1"/>
  <c r="P1112" i="1"/>
  <c r="R1112" i="1"/>
  <c r="S1112" i="1"/>
  <c r="T1112" i="1"/>
  <c r="U1112" i="1"/>
  <c r="B1111" i="1"/>
  <c r="C1111" i="1"/>
  <c r="D1111" i="1"/>
  <c r="E1111" i="1"/>
  <c r="F1111" i="1"/>
  <c r="G1111" i="1"/>
  <c r="H1111" i="1"/>
  <c r="I1111" i="1"/>
  <c r="J1111" i="1"/>
  <c r="K1111" i="1"/>
  <c r="L1111" i="1"/>
  <c r="M1111" i="1"/>
  <c r="N1111" i="1"/>
  <c r="O1111" i="1"/>
  <c r="P1111" i="1"/>
  <c r="R1111" i="1"/>
  <c r="S1111" i="1"/>
  <c r="T1111" i="1"/>
  <c r="U1111" i="1"/>
  <c r="C1110" i="1"/>
  <c r="D1110" i="1"/>
  <c r="E1110" i="1"/>
  <c r="F1110" i="1"/>
  <c r="G1110" i="1"/>
  <c r="H1110" i="1"/>
  <c r="I1110" i="1"/>
  <c r="J1110" i="1"/>
  <c r="K1110" i="1"/>
  <c r="L1110" i="1"/>
  <c r="M1110" i="1"/>
  <c r="N1110" i="1"/>
  <c r="O1110" i="1"/>
  <c r="P1110" i="1"/>
  <c r="R1110" i="1"/>
  <c r="S1110" i="1"/>
  <c r="T1110" i="1"/>
  <c r="U1110" i="1"/>
  <c r="C1109" i="1"/>
  <c r="D1109" i="1"/>
  <c r="E1109" i="1"/>
  <c r="F1109" i="1"/>
  <c r="G1109" i="1"/>
  <c r="H1109" i="1"/>
  <c r="I1109" i="1"/>
  <c r="J1109" i="1"/>
  <c r="K1109" i="1"/>
  <c r="L1109" i="1"/>
  <c r="M1109" i="1"/>
  <c r="N1109" i="1"/>
  <c r="O1109" i="1"/>
  <c r="P1109" i="1"/>
  <c r="R1109" i="1"/>
  <c r="S1109" i="1"/>
  <c r="T1109" i="1"/>
  <c r="U1109" i="1"/>
  <c r="C1108" i="1"/>
  <c r="D1108" i="1"/>
  <c r="E1108" i="1"/>
  <c r="F1108" i="1"/>
  <c r="G1108" i="1"/>
  <c r="H1108" i="1"/>
  <c r="I1108" i="1"/>
  <c r="J1108" i="1"/>
  <c r="K1108" i="1"/>
  <c r="L1108" i="1"/>
  <c r="M1108" i="1"/>
  <c r="N1108" i="1"/>
  <c r="O1108" i="1"/>
  <c r="P1108" i="1"/>
  <c r="R1108" i="1"/>
  <c r="S1108" i="1"/>
  <c r="T1108" i="1"/>
  <c r="U1108" i="1"/>
  <c r="C1107" i="1"/>
  <c r="D1107" i="1"/>
  <c r="E1107" i="1"/>
  <c r="F1107" i="1"/>
  <c r="G1107" i="1"/>
  <c r="H1107" i="1"/>
  <c r="I1107" i="1"/>
  <c r="J1107" i="1"/>
  <c r="K1107" i="1"/>
  <c r="L1107" i="1"/>
  <c r="M1107" i="1"/>
  <c r="N1107" i="1"/>
  <c r="O1107" i="1"/>
  <c r="P1107" i="1"/>
  <c r="R1107" i="1"/>
  <c r="S1107" i="1"/>
  <c r="T1107" i="1"/>
  <c r="U1107" i="1"/>
  <c r="C1106" i="1"/>
  <c r="D1106" i="1"/>
  <c r="E1106" i="1"/>
  <c r="F1106" i="1"/>
  <c r="G1106" i="1"/>
  <c r="H1106" i="1"/>
  <c r="I1106" i="1"/>
  <c r="J1106" i="1"/>
  <c r="K1106" i="1"/>
  <c r="L1106" i="1"/>
  <c r="M1106" i="1"/>
  <c r="N1106" i="1"/>
  <c r="O1106" i="1"/>
  <c r="P1106" i="1"/>
  <c r="R1106" i="1"/>
  <c r="S1106" i="1"/>
  <c r="T1106" i="1"/>
  <c r="U1106" i="1"/>
  <c r="C1105" i="1"/>
  <c r="D1105" i="1"/>
  <c r="E1105" i="1"/>
  <c r="F1105" i="1"/>
  <c r="G1105" i="1"/>
  <c r="H1105" i="1"/>
  <c r="I1105" i="1"/>
  <c r="J1105" i="1"/>
  <c r="K1105" i="1"/>
  <c r="L1105" i="1"/>
  <c r="M1105" i="1"/>
  <c r="N1105" i="1"/>
  <c r="O1105" i="1"/>
  <c r="P1105" i="1"/>
  <c r="R1105" i="1"/>
  <c r="S1105" i="1"/>
  <c r="T1105" i="1"/>
  <c r="U1105" i="1"/>
  <c r="C1104" i="1"/>
  <c r="D1104" i="1"/>
  <c r="E1104" i="1"/>
  <c r="F1104" i="1"/>
  <c r="G1104" i="1"/>
  <c r="H1104" i="1"/>
  <c r="I1104" i="1"/>
  <c r="J1104" i="1"/>
  <c r="K1104" i="1"/>
  <c r="L1104" i="1"/>
  <c r="M1104" i="1"/>
  <c r="N1104" i="1"/>
  <c r="O1104" i="1"/>
  <c r="P1104" i="1"/>
  <c r="R1104" i="1"/>
  <c r="S1104" i="1"/>
  <c r="T1104" i="1"/>
  <c r="U1104" i="1"/>
  <c r="C1103" i="1"/>
  <c r="D1103" i="1"/>
  <c r="E1103" i="1"/>
  <c r="F1103" i="1"/>
  <c r="G1103" i="1"/>
  <c r="H1103" i="1"/>
  <c r="I1103" i="1"/>
  <c r="J1103" i="1"/>
  <c r="K1103" i="1"/>
  <c r="L1103" i="1"/>
  <c r="M1103" i="1"/>
  <c r="N1103" i="1"/>
  <c r="O1103" i="1"/>
  <c r="P1103" i="1"/>
  <c r="R1103" i="1"/>
  <c r="S1103" i="1"/>
  <c r="T1103" i="1"/>
  <c r="U1103" i="1"/>
  <c r="C1102" i="1"/>
  <c r="D1102" i="1"/>
  <c r="E1102" i="1"/>
  <c r="F1102" i="1"/>
  <c r="G1102" i="1"/>
  <c r="H1102" i="1"/>
  <c r="I1102" i="1"/>
  <c r="J1102" i="1"/>
  <c r="K1102" i="1"/>
  <c r="L1102" i="1"/>
  <c r="M1102" i="1"/>
  <c r="N1102" i="1"/>
  <c r="O1102" i="1"/>
  <c r="P1102" i="1"/>
  <c r="R1102" i="1"/>
  <c r="S1102" i="1"/>
  <c r="T1102" i="1"/>
  <c r="U1102" i="1"/>
  <c r="C1101" i="1"/>
  <c r="D1101" i="1"/>
  <c r="E1101" i="1"/>
  <c r="F1101" i="1"/>
  <c r="G1101" i="1"/>
  <c r="H1101" i="1"/>
  <c r="I1101" i="1"/>
  <c r="J1101" i="1"/>
  <c r="K1101" i="1"/>
  <c r="L1101" i="1"/>
  <c r="M1101" i="1"/>
  <c r="N1101" i="1"/>
  <c r="O1101" i="1"/>
  <c r="P1101" i="1"/>
  <c r="R1101" i="1"/>
  <c r="S1101" i="1"/>
  <c r="T1101" i="1"/>
  <c r="U1101" i="1"/>
  <c r="C1100" i="1"/>
  <c r="D1100" i="1"/>
  <c r="E1100" i="1"/>
  <c r="F1100" i="1"/>
  <c r="G1100" i="1"/>
  <c r="H1100" i="1"/>
  <c r="I1100" i="1"/>
  <c r="J1100" i="1"/>
  <c r="K1100" i="1"/>
  <c r="L1100" i="1"/>
  <c r="M1100" i="1"/>
  <c r="N1100" i="1"/>
  <c r="O1100" i="1"/>
  <c r="P1100" i="1"/>
  <c r="R1100" i="1"/>
  <c r="S1100" i="1"/>
  <c r="T1100" i="1"/>
  <c r="U1100" i="1"/>
  <c r="C1099" i="1"/>
  <c r="D1099" i="1"/>
  <c r="E1099" i="1"/>
  <c r="F1099" i="1"/>
  <c r="G1099" i="1"/>
  <c r="H1099" i="1"/>
  <c r="I1099" i="1"/>
  <c r="J1099" i="1"/>
  <c r="K1099" i="1"/>
  <c r="L1099" i="1"/>
  <c r="M1099" i="1"/>
  <c r="N1099" i="1"/>
  <c r="O1099" i="1"/>
  <c r="P1099" i="1"/>
  <c r="R1099" i="1"/>
  <c r="S1099" i="1"/>
  <c r="T1099" i="1"/>
  <c r="U1099" i="1"/>
  <c r="C1098" i="1"/>
  <c r="D1098" i="1"/>
  <c r="E1098" i="1"/>
  <c r="F1098" i="1"/>
  <c r="G1098" i="1"/>
  <c r="H1098" i="1"/>
  <c r="I1098" i="1"/>
  <c r="J1098" i="1"/>
  <c r="K1098" i="1"/>
  <c r="L1098" i="1"/>
  <c r="M1098" i="1"/>
  <c r="N1098" i="1"/>
  <c r="O1098" i="1"/>
  <c r="P1098" i="1"/>
  <c r="R1098" i="1"/>
  <c r="S1098" i="1"/>
  <c r="T1098" i="1"/>
  <c r="U1098" i="1"/>
  <c r="C1097" i="1"/>
  <c r="D1097" i="1"/>
  <c r="E1097" i="1"/>
  <c r="F1097" i="1"/>
  <c r="G1097" i="1"/>
  <c r="H1097" i="1"/>
  <c r="I1097" i="1"/>
  <c r="J1097" i="1"/>
  <c r="K1097" i="1"/>
  <c r="L1097" i="1"/>
  <c r="M1097" i="1"/>
  <c r="N1097" i="1"/>
  <c r="O1097" i="1"/>
  <c r="P1097" i="1"/>
  <c r="R1097" i="1"/>
  <c r="S1097" i="1"/>
  <c r="T1097" i="1"/>
  <c r="U1097" i="1"/>
  <c r="C1096" i="1"/>
  <c r="D1096" i="1"/>
  <c r="E1096" i="1"/>
  <c r="F1096" i="1"/>
  <c r="G1096" i="1"/>
  <c r="H1096" i="1"/>
  <c r="I1096" i="1"/>
  <c r="J1096" i="1"/>
  <c r="K1096" i="1"/>
  <c r="L1096" i="1"/>
  <c r="M1096" i="1"/>
  <c r="N1096" i="1"/>
  <c r="O1096" i="1"/>
  <c r="P1096" i="1"/>
  <c r="R1096" i="1"/>
  <c r="S1096" i="1"/>
  <c r="T1096" i="1"/>
  <c r="U1096" i="1"/>
  <c r="C1095" i="1"/>
  <c r="D1095" i="1"/>
  <c r="E1095" i="1"/>
  <c r="F1095" i="1"/>
  <c r="G1095" i="1"/>
  <c r="H1095" i="1"/>
  <c r="I1095" i="1"/>
  <c r="J1095" i="1"/>
  <c r="K1095" i="1"/>
  <c r="L1095" i="1"/>
  <c r="M1095" i="1"/>
  <c r="N1095" i="1"/>
  <c r="O1095" i="1"/>
  <c r="P1095" i="1"/>
  <c r="R1095" i="1"/>
  <c r="S1095" i="1"/>
  <c r="T1095" i="1"/>
  <c r="U1095" i="1"/>
  <c r="C1094" i="1"/>
  <c r="D1094" i="1"/>
  <c r="E1094" i="1"/>
  <c r="F1094" i="1"/>
  <c r="G1094" i="1"/>
  <c r="H1094" i="1"/>
  <c r="I1094" i="1"/>
  <c r="J1094" i="1"/>
  <c r="K1094" i="1"/>
  <c r="L1094" i="1"/>
  <c r="M1094" i="1"/>
  <c r="N1094" i="1"/>
  <c r="O1094" i="1"/>
  <c r="P1094" i="1"/>
  <c r="R1094" i="1"/>
  <c r="S1094" i="1"/>
  <c r="T1094" i="1"/>
  <c r="U1094" i="1"/>
  <c r="C1093" i="1"/>
  <c r="D1093" i="1"/>
  <c r="E1093" i="1"/>
  <c r="F1093" i="1"/>
  <c r="G1093" i="1"/>
  <c r="H1093" i="1"/>
  <c r="I1093" i="1"/>
  <c r="J1093" i="1"/>
  <c r="K1093" i="1"/>
  <c r="L1093" i="1"/>
  <c r="M1093" i="1"/>
  <c r="N1093" i="1"/>
  <c r="O1093" i="1"/>
  <c r="P1093" i="1"/>
  <c r="R1093" i="1"/>
  <c r="S1093" i="1"/>
  <c r="T1093" i="1"/>
  <c r="U1093" i="1"/>
  <c r="C1092" i="1"/>
  <c r="D1092" i="1"/>
  <c r="E1092" i="1"/>
  <c r="F1092" i="1"/>
  <c r="G1092" i="1"/>
  <c r="H1092" i="1"/>
  <c r="I1092" i="1"/>
  <c r="J1092" i="1"/>
  <c r="K1092" i="1"/>
  <c r="L1092" i="1"/>
  <c r="M1092" i="1"/>
  <c r="N1092" i="1"/>
  <c r="O1092" i="1"/>
  <c r="P1092" i="1"/>
  <c r="R1092" i="1"/>
  <c r="S1092" i="1"/>
  <c r="T1092" i="1"/>
  <c r="U1092" i="1"/>
  <c r="C1091" i="1"/>
  <c r="D1091" i="1"/>
  <c r="E1091" i="1"/>
  <c r="F1091" i="1"/>
  <c r="G1091" i="1"/>
  <c r="H1091" i="1"/>
  <c r="I1091" i="1"/>
  <c r="J1091" i="1"/>
  <c r="K1091" i="1"/>
  <c r="L1091" i="1"/>
  <c r="M1091" i="1"/>
  <c r="N1091" i="1"/>
  <c r="O1091" i="1"/>
  <c r="P1091" i="1"/>
  <c r="R1091" i="1"/>
  <c r="S1091" i="1"/>
  <c r="T1091" i="1"/>
  <c r="U1091" i="1"/>
  <c r="C1090" i="1"/>
  <c r="D1090" i="1"/>
  <c r="E1090" i="1"/>
  <c r="F1090" i="1"/>
  <c r="G1090" i="1"/>
  <c r="H1090" i="1"/>
  <c r="I1090" i="1"/>
  <c r="J1090" i="1"/>
  <c r="K1090" i="1"/>
  <c r="L1090" i="1"/>
  <c r="M1090" i="1"/>
  <c r="N1090" i="1"/>
  <c r="O1090" i="1"/>
  <c r="P1090" i="1"/>
  <c r="R1090" i="1"/>
  <c r="S1090" i="1"/>
  <c r="T1090" i="1"/>
  <c r="U1090" i="1"/>
  <c r="C1089" i="1"/>
  <c r="D1089" i="1"/>
  <c r="E1089" i="1"/>
  <c r="F1089" i="1"/>
  <c r="G1089" i="1"/>
  <c r="H1089" i="1"/>
  <c r="I1089" i="1"/>
  <c r="J1089" i="1"/>
  <c r="K1089" i="1"/>
  <c r="L1089" i="1"/>
  <c r="M1089" i="1"/>
  <c r="N1089" i="1"/>
  <c r="O1089" i="1"/>
  <c r="P1089" i="1"/>
  <c r="R1089" i="1"/>
  <c r="S1089" i="1"/>
  <c r="T1089" i="1"/>
  <c r="U1089" i="1"/>
  <c r="B1088" i="1"/>
  <c r="C1088" i="1"/>
  <c r="D1088" i="1"/>
  <c r="E1088" i="1"/>
  <c r="F1088" i="1"/>
  <c r="G1088" i="1"/>
  <c r="H1088" i="1"/>
  <c r="I1088" i="1"/>
  <c r="J1088" i="1"/>
  <c r="K1088" i="1"/>
  <c r="L1088" i="1"/>
  <c r="M1088" i="1"/>
  <c r="N1088" i="1"/>
  <c r="O1088" i="1"/>
  <c r="P1088" i="1"/>
  <c r="R1088" i="1"/>
  <c r="S1088" i="1"/>
  <c r="T1088" i="1"/>
  <c r="U1088" i="1"/>
  <c r="C1087" i="1"/>
  <c r="D1087" i="1"/>
  <c r="E1087" i="1"/>
  <c r="F1087" i="1"/>
  <c r="G1087" i="1"/>
  <c r="H1087" i="1"/>
  <c r="I1087" i="1"/>
  <c r="J1087" i="1"/>
  <c r="K1087" i="1"/>
  <c r="L1087" i="1"/>
  <c r="M1087" i="1"/>
  <c r="N1087" i="1"/>
  <c r="O1087" i="1"/>
  <c r="P1087" i="1"/>
  <c r="R1087" i="1"/>
  <c r="S1087" i="1"/>
  <c r="T1087" i="1"/>
  <c r="U1087" i="1"/>
  <c r="C1086" i="1"/>
  <c r="D1086" i="1"/>
  <c r="E1086" i="1"/>
  <c r="F1086" i="1"/>
  <c r="G1086" i="1"/>
  <c r="H1086" i="1"/>
  <c r="I1086" i="1"/>
  <c r="J1086" i="1"/>
  <c r="K1086" i="1"/>
  <c r="L1086" i="1"/>
  <c r="M1086" i="1"/>
  <c r="N1086" i="1"/>
  <c r="O1086" i="1"/>
  <c r="P1086" i="1"/>
  <c r="R1086" i="1"/>
  <c r="S1086" i="1"/>
  <c r="T1086" i="1"/>
  <c r="U1086" i="1"/>
  <c r="C1085" i="1"/>
  <c r="D1085" i="1"/>
  <c r="E1085" i="1"/>
  <c r="F1085" i="1"/>
  <c r="G1085" i="1"/>
  <c r="H1085" i="1"/>
  <c r="I1085" i="1"/>
  <c r="J1085" i="1"/>
  <c r="K1085" i="1"/>
  <c r="L1085" i="1"/>
  <c r="M1085" i="1"/>
  <c r="N1085" i="1"/>
  <c r="O1085" i="1"/>
  <c r="P1085" i="1"/>
  <c r="R1085" i="1"/>
  <c r="S1085" i="1"/>
  <c r="T1085" i="1"/>
  <c r="U1085" i="1"/>
  <c r="C1084" i="1"/>
  <c r="D1084" i="1"/>
  <c r="E1084" i="1"/>
  <c r="F1084" i="1"/>
  <c r="G1084" i="1"/>
  <c r="H1084" i="1"/>
  <c r="I1084" i="1"/>
  <c r="J1084" i="1"/>
  <c r="K1084" i="1"/>
  <c r="L1084" i="1"/>
  <c r="M1084" i="1"/>
  <c r="N1084" i="1"/>
  <c r="O1084" i="1"/>
  <c r="P1084" i="1"/>
  <c r="R1084" i="1"/>
  <c r="S1084" i="1"/>
  <c r="T1084" i="1"/>
  <c r="U1084" i="1"/>
  <c r="C1083" i="1"/>
  <c r="D1083" i="1"/>
  <c r="E1083" i="1"/>
  <c r="F1083" i="1"/>
  <c r="G1083" i="1"/>
  <c r="H1083" i="1"/>
  <c r="I1083" i="1"/>
  <c r="J1083" i="1"/>
  <c r="K1083" i="1"/>
  <c r="L1083" i="1"/>
  <c r="M1083" i="1"/>
  <c r="N1083" i="1"/>
  <c r="O1083" i="1"/>
  <c r="P1083" i="1"/>
  <c r="R1083" i="1"/>
  <c r="S1083" i="1"/>
  <c r="T1083" i="1"/>
  <c r="U1083" i="1"/>
  <c r="C1082" i="1"/>
  <c r="D1082" i="1"/>
  <c r="E1082" i="1"/>
  <c r="F1082" i="1"/>
  <c r="G1082" i="1"/>
  <c r="H1082" i="1"/>
  <c r="I1082" i="1"/>
  <c r="J1082" i="1"/>
  <c r="K1082" i="1"/>
  <c r="L1082" i="1"/>
  <c r="M1082" i="1"/>
  <c r="N1082" i="1"/>
  <c r="O1082" i="1"/>
  <c r="P1082" i="1"/>
  <c r="R1082" i="1"/>
  <c r="S1082" i="1"/>
  <c r="T1082" i="1"/>
  <c r="U1082" i="1"/>
  <c r="C1081" i="1"/>
  <c r="D1081" i="1"/>
  <c r="E1081" i="1"/>
  <c r="F1081" i="1"/>
  <c r="G1081" i="1"/>
  <c r="H1081" i="1"/>
  <c r="I1081" i="1"/>
  <c r="J1081" i="1"/>
  <c r="K1081" i="1"/>
  <c r="L1081" i="1"/>
  <c r="M1081" i="1"/>
  <c r="N1081" i="1"/>
  <c r="O1081" i="1"/>
  <c r="P1081" i="1"/>
  <c r="R1081" i="1"/>
  <c r="S1081" i="1"/>
  <c r="T1081" i="1"/>
  <c r="U1081" i="1"/>
  <c r="C1080" i="1"/>
  <c r="D1080" i="1"/>
  <c r="E1080" i="1"/>
  <c r="F1080" i="1"/>
  <c r="G1080" i="1"/>
  <c r="H1080" i="1"/>
  <c r="I1080" i="1"/>
  <c r="J1080" i="1"/>
  <c r="K1080" i="1"/>
  <c r="L1080" i="1"/>
  <c r="M1080" i="1"/>
  <c r="N1080" i="1"/>
  <c r="O1080" i="1"/>
  <c r="P1080" i="1"/>
  <c r="R1080" i="1"/>
  <c r="S1080" i="1"/>
  <c r="T1080" i="1"/>
  <c r="U1080" i="1"/>
  <c r="C1079" i="1"/>
  <c r="D1079" i="1"/>
  <c r="E1079" i="1"/>
  <c r="F1079" i="1"/>
  <c r="G1079" i="1"/>
  <c r="H1079" i="1"/>
  <c r="I1079" i="1"/>
  <c r="J1079" i="1"/>
  <c r="K1079" i="1"/>
  <c r="L1079" i="1"/>
  <c r="M1079" i="1"/>
  <c r="N1079" i="1"/>
  <c r="O1079" i="1"/>
  <c r="P1079" i="1"/>
  <c r="R1079" i="1"/>
  <c r="S1079" i="1"/>
  <c r="T1079" i="1"/>
  <c r="U1079" i="1"/>
  <c r="C1078" i="1"/>
  <c r="D1078" i="1"/>
  <c r="E1078" i="1"/>
  <c r="F1078" i="1"/>
  <c r="G1078" i="1"/>
  <c r="H1078" i="1"/>
  <c r="I1078" i="1"/>
  <c r="J1078" i="1"/>
  <c r="K1078" i="1"/>
  <c r="L1078" i="1"/>
  <c r="M1078" i="1"/>
  <c r="N1078" i="1"/>
  <c r="O1078" i="1"/>
  <c r="P1078" i="1"/>
  <c r="R1078" i="1"/>
  <c r="S1078" i="1"/>
  <c r="T1078" i="1"/>
  <c r="U1078" i="1"/>
  <c r="C1077" i="1"/>
  <c r="D1077" i="1"/>
  <c r="E1077" i="1"/>
  <c r="F1077" i="1"/>
  <c r="G1077" i="1"/>
  <c r="H1077" i="1"/>
  <c r="I1077" i="1"/>
  <c r="J1077" i="1"/>
  <c r="K1077" i="1"/>
  <c r="L1077" i="1"/>
  <c r="M1077" i="1"/>
  <c r="N1077" i="1"/>
  <c r="O1077" i="1"/>
  <c r="P1077" i="1"/>
  <c r="R1077" i="1"/>
  <c r="S1077" i="1"/>
  <c r="T1077" i="1"/>
  <c r="U1077" i="1"/>
  <c r="B1076" i="1"/>
  <c r="C1076" i="1"/>
  <c r="D1076" i="1"/>
  <c r="E1076" i="1"/>
  <c r="F1076" i="1"/>
  <c r="G1076" i="1"/>
  <c r="H1076" i="1"/>
  <c r="I1076" i="1"/>
  <c r="J1076" i="1"/>
  <c r="K1076" i="1"/>
  <c r="L1076" i="1"/>
  <c r="M1076" i="1"/>
  <c r="N1076" i="1"/>
  <c r="O1076" i="1"/>
  <c r="P1076" i="1"/>
  <c r="R1076" i="1"/>
  <c r="S1076" i="1"/>
  <c r="T1076" i="1"/>
  <c r="U1076" i="1"/>
  <c r="C1075" i="1"/>
  <c r="D1075" i="1"/>
  <c r="E1075" i="1"/>
  <c r="F1075" i="1"/>
  <c r="G1075" i="1"/>
  <c r="H1075" i="1"/>
  <c r="I1075" i="1"/>
  <c r="J1075" i="1"/>
  <c r="K1075" i="1"/>
  <c r="L1075" i="1"/>
  <c r="M1075" i="1"/>
  <c r="N1075" i="1"/>
  <c r="O1075" i="1"/>
  <c r="P1075" i="1"/>
  <c r="R1075" i="1"/>
  <c r="S1075" i="1"/>
  <c r="T1075" i="1"/>
  <c r="U1075" i="1"/>
  <c r="C1074" i="1"/>
  <c r="D1074" i="1"/>
  <c r="E1074" i="1"/>
  <c r="F1074" i="1"/>
  <c r="G1074" i="1"/>
  <c r="H1074" i="1"/>
  <c r="I1074" i="1"/>
  <c r="J1074" i="1"/>
  <c r="K1074" i="1"/>
  <c r="L1074" i="1"/>
  <c r="M1074" i="1"/>
  <c r="N1074" i="1"/>
  <c r="O1074" i="1"/>
  <c r="P1074" i="1"/>
  <c r="R1074" i="1"/>
  <c r="S1074" i="1"/>
  <c r="T1074" i="1"/>
  <c r="U1074" i="1"/>
  <c r="C1073" i="1"/>
  <c r="D1073" i="1"/>
  <c r="E1073" i="1"/>
  <c r="F1073" i="1"/>
  <c r="G1073" i="1"/>
  <c r="H1073" i="1"/>
  <c r="I1073" i="1"/>
  <c r="J1073" i="1"/>
  <c r="K1073" i="1"/>
  <c r="L1073" i="1"/>
  <c r="M1073" i="1"/>
  <c r="N1073" i="1"/>
  <c r="O1073" i="1"/>
  <c r="P1073" i="1"/>
  <c r="R1073" i="1"/>
  <c r="S1073" i="1"/>
  <c r="T1073" i="1"/>
  <c r="U1073" i="1"/>
  <c r="C1072" i="1"/>
  <c r="D1072" i="1"/>
  <c r="E1072" i="1"/>
  <c r="F1072" i="1"/>
  <c r="G1072" i="1"/>
  <c r="H1072" i="1"/>
  <c r="I1072" i="1"/>
  <c r="J1072" i="1"/>
  <c r="K1072" i="1"/>
  <c r="L1072" i="1"/>
  <c r="M1072" i="1"/>
  <c r="N1072" i="1"/>
  <c r="O1072" i="1"/>
  <c r="P1072" i="1"/>
  <c r="R1072" i="1"/>
  <c r="S1072" i="1"/>
  <c r="T1072" i="1"/>
  <c r="U1072" i="1"/>
  <c r="C1071" i="1"/>
  <c r="D1071" i="1"/>
  <c r="E1071" i="1"/>
  <c r="F1071" i="1"/>
  <c r="G1071" i="1"/>
  <c r="H1071" i="1"/>
  <c r="I1071" i="1"/>
  <c r="J1071" i="1"/>
  <c r="K1071" i="1"/>
  <c r="L1071" i="1"/>
  <c r="M1071" i="1"/>
  <c r="N1071" i="1"/>
  <c r="O1071" i="1"/>
  <c r="P1071" i="1"/>
  <c r="R1071" i="1"/>
  <c r="S1071" i="1"/>
  <c r="T1071" i="1"/>
  <c r="U1071" i="1"/>
  <c r="C1070" i="1"/>
  <c r="D1070" i="1"/>
  <c r="E1070" i="1"/>
  <c r="F1070" i="1"/>
  <c r="G1070" i="1"/>
  <c r="H1070" i="1"/>
  <c r="I1070" i="1"/>
  <c r="J1070" i="1"/>
  <c r="K1070" i="1"/>
  <c r="L1070" i="1"/>
  <c r="M1070" i="1"/>
  <c r="N1070" i="1"/>
  <c r="O1070" i="1"/>
  <c r="P1070" i="1"/>
  <c r="R1070" i="1"/>
  <c r="S1070" i="1"/>
  <c r="T1070" i="1"/>
  <c r="U1070" i="1"/>
  <c r="C1069" i="1"/>
  <c r="D1069" i="1"/>
  <c r="E1069" i="1"/>
  <c r="F1069" i="1"/>
  <c r="G1069" i="1"/>
  <c r="H1069" i="1"/>
  <c r="I1069" i="1"/>
  <c r="J1069" i="1"/>
  <c r="K1069" i="1"/>
  <c r="L1069" i="1"/>
  <c r="M1069" i="1"/>
  <c r="N1069" i="1"/>
  <c r="O1069" i="1"/>
  <c r="P1069" i="1"/>
  <c r="R1069" i="1"/>
  <c r="S1069" i="1"/>
  <c r="T1069" i="1"/>
  <c r="U1069" i="1"/>
  <c r="C1068" i="1"/>
  <c r="D1068" i="1"/>
  <c r="E1068" i="1"/>
  <c r="F1068" i="1"/>
  <c r="G1068" i="1"/>
  <c r="H1068" i="1"/>
  <c r="I1068" i="1"/>
  <c r="J1068" i="1"/>
  <c r="K1068" i="1"/>
  <c r="L1068" i="1"/>
  <c r="M1068" i="1"/>
  <c r="N1068" i="1"/>
  <c r="O1068" i="1"/>
  <c r="P1068" i="1"/>
  <c r="R1068" i="1"/>
  <c r="S1068" i="1"/>
  <c r="T1068" i="1"/>
  <c r="U1068" i="1"/>
  <c r="C1067" i="1"/>
  <c r="D1067" i="1"/>
  <c r="E1067" i="1"/>
  <c r="F1067" i="1"/>
  <c r="G1067" i="1"/>
  <c r="H1067" i="1"/>
  <c r="I1067" i="1"/>
  <c r="J1067" i="1"/>
  <c r="K1067" i="1"/>
  <c r="L1067" i="1"/>
  <c r="M1067" i="1"/>
  <c r="N1067" i="1"/>
  <c r="O1067" i="1"/>
  <c r="P1067" i="1"/>
  <c r="R1067" i="1"/>
  <c r="S1067" i="1"/>
  <c r="T1067" i="1"/>
  <c r="U1067" i="1"/>
  <c r="C1066" i="1"/>
  <c r="D1066" i="1"/>
  <c r="E1066" i="1"/>
  <c r="F1066" i="1"/>
  <c r="G1066" i="1"/>
  <c r="H1066" i="1"/>
  <c r="I1066" i="1"/>
  <c r="J1066" i="1"/>
  <c r="K1066" i="1"/>
  <c r="L1066" i="1"/>
  <c r="M1066" i="1"/>
  <c r="N1066" i="1"/>
  <c r="O1066" i="1"/>
  <c r="P1066" i="1"/>
  <c r="R1066" i="1"/>
  <c r="S1066" i="1"/>
  <c r="T1066" i="1"/>
  <c r="U1066" i="1"/>
  <c r="B1065" i="1"/>
  <c r="C1065" i="1"/>
  <c r="D1065" i="1"/>
  <c r="E1065" i="1"/>
  <c r="F1065" i="1"/>
  <c r="G1065" i="1"/>
  <c r="H1065" i="1"/>
  <c r="I1065" i="1"/>
  <c r="J1065" i="1"/>
  <c r="K1065" i="1"/>
  <c r="L1065" i="1"/>
  <c r="M1065" i="1"/>
  <c r="N1065" i="1"/>
  <c r="O1065" i="1"/>
  <c r="P1065" i="1"/>
  <c r="R1065" i="1"/>
  <c r="S1065" i="1"/>
  <c r="T1065" i="1"/>
  <c r="U1065" i="1"/>
  <c r="C1064" i="1"/>
  <c r="D1064" i="1"/>
  <c r="E1064" i="1"/>
  <c r="F1064" i="1"/>
  <c r="G1064" i="1"/>
  <c r="H1064" i="1"/>
  <c r="I1064" i="1"/>
  <c r="J1064" i="1"/>
  <c r="K1064" i="1"/>
  <c r="L1064" i="1"/>
  <c r="M1064" i="1"/>
  <c r="N1064" i="1"/>
  <c r="O1064" i="1"/>
  <c r="P1064" i="1"/>
  <c r="R1064" i="1"/>
  <c r="S1064" i="1"/>
  <c r="T1064" i="1"/>
  <c r="U1064" i="1"/>
  <c r="C1063" i="1"/>
  <c r="D1063" i="1"/>
  <c r="E1063" i="1"/>
  <c r="F1063" i="1"/>
  <c r="G1063" i="1"/>
  <c r="H1063" i="1"/>
  <c r="I1063" i="1"/>
  <c r="J1063" i="1"/>
  <c r="K1063" i="1"/>
  <c r="L1063" i="1"/>
  <c r="M1063" i="1"/>
  <c r="N1063" i="1"/>
  <c r="O1063" i="1"/>
  <c r="P1063" i="1"/>
  <c r="R1063" i="1"/>
  <c r="S1063" i="1"/>
  <c r="T1063" i="1"/>
  <c r="U1063" i="1"/>
  <c r="C1062" i="1"/>
  <c r="D1062" i="1"/>
  <c r="E1062" i="1"/>
  <c r="F1062" i="1"/>
  <c r="G1062" i="1"/>
  <c r="H1062" i="1"/>
  <c r="I1062" i="1"/>
  <c r="J1062" i="1"/>
  <c r="K1062" i="1"/>
  <c r="L1062" i="1"/>
  <c r="M1062" i="1"/>
  <c r="N1062" i="1"/>
  <c r="O1062" i="1"/>
  <c r="P1062" i="1"/>
  <c r="R1062" i="1"/>
  <c r="S1062" i="1"/>
  <c r="T1062" i="1"/>
  <c r="U1062" i="1"/>
  <c r="C1061" i="1"/>
  <c r="D1061" i="1"/>
  <c r="E1061" i="1"/>
  <c r="F1061" i="1"/>
  <c r="G1061" i="1"/>
  <c r="H1061" i="1"/>
  <c r="I1061" i="1"/>
  <c r="J1061" i="1"/>
  <c r="K1061" i="1"/>
  <c r="L1061" i="1"/>
  <c r="M1061" i="1"/>
  <c r="N1061" i="1"/>
  <c r="O1061" i="1"/>
  <c r="P1061" i="1"/>
  <c r="R1061" i="1"/>
  <c r="S1061" i="1"/>
  <c r="T1061" i="1"/>
  <c r="U1061" i="1"/>
  <c r="C1060" i="1"/>
  <c r="D1060" i="1"/>
  <c r="E1060" i="1"/>
  <c r="F1060" i="1"/>
  <c r="G1060" i="1"/>
  <c r="H1060" i="1"/>
  <c r="I1060" i="1"/>
  <c r="J1060" i="1"/>
  <c r="K1060" i="1"/>
  <c r="L1060" i="1"/>
  <c r="M1060" i="1"/>
  <c r="N1060" i="1"/>
  <c r="O1060" i="1"/>
  <c r="P1060" i="1"/>
  <c r="R1060" i="1"/>
  <c r="S1060" i="1"/>
  <c r="T1060" i="1"/>
  <c r="U1060" i="1"/>
  <c r="C1059" i="1"/>
  <c r="D1059" i="1"/>
  <c r="E1059" i="1"/>
  <c r="F1059" i="1"/>
  <c r="G1059" i="1"/>
  <c r="H1059" i="1"/>
  <c r="I1059" i="1"/>
  <c r="J1059" i="1"/>
  <c r="K1059" i="1"/>
  <c r="L1059" i="1"/>
  <c r="M1059" i="1"/>
  <c r="N1059" i="1"/>
  <c r="O1059" i="1"/>
  <c r="P1059" i="1"/>
  <c r="R1059" i="1"/>
  <c r="S1059" i="1"/>
  <c r="T1059" i="1"/>
  <c r="U1059" i="1"/>
  <c r="C1058" i="1"/>
  <c r="D1058" i="1"/>
  <c r="E1058" i="1"/>
  <c r="F1058" i="1"/>
  <c r="G1058" i="1"/>
  <c r="H1058" i="1"/>
  <c r="I1058" i="1"/>
  <c r="J1058" i="1"/>
  <c r="K1058" i="1"/>
  <c r="L1058" i="1"/>
  <c r="M1058" i="1"/>
  <c r="N1058" i="1"/>
  <c r="O1058" i="1"/>
  <c r="P1058" i="1"/>
  <c r="R1058" i="1"/>
  <c r="S1058" i="1"/>
  <c r="T1058" i="1"/>
  <c r="U1058" i="1"/>
  <c r="B1057" i="1"/>
  <c r="C1057" i="1"/>
  <c r="D1057" i="1"/>
  <c r="E1057" i="1"/>
  <c r="F1057" i="1"/>
  <c r="G1057" i="1"/>
  <c r="H1057" i="1"/>
  <c r="I1057" i="1"/>
  <c r="J1057" i="1"/>
  <c r="K1057" i="1"/>
  <c r="L1057" i="1"/>
  <c r="M1057" i="1"/>
  <c r="N1057" i="1"/>
  <c r="O1057" i="1"/>
  <c r="P1057" i="1"/>
  <c r="R1057" i="1"/>
  <c r="S1057" i="1"/>
  <c r="T1057" i="1"/>
  <c r="U1057" i="1"/>
  <c r="C1056" i="1"/>
  <c r="D1056" i="1"/>
  <c r="E1056" i="1"/>
  <c r="F1056" i="1"/>
  <c r="G1056" i="1"/>
  <c r="H1056" i="1"/>
  <c r="I1056" i="1"/>
  <c r="J1056" i="1"/>
  <c r="K1056" i="1"/>
  <c r="L1056" i="1"/>
  <c r="M1056" i="1"/>
  <c r="N1056" i="1"/>
  <c r="O1056" i="1"/>
  <c r="P1056" i="1"/>
  <c r="R1056" i="1"/>
  <c r="S1056" i="1"/>
  <c r="T1056" i="1"/>
  <c r="U1056" i="1"/>
  <c r="C1055" i="1"/>
  <c r="D1055" i="1"/>
  <c r="E1055" i="1"/>
  <c r="F1055" i="1"/>
  <c r="G1055" i="1"/>
  <c r="H1055" i="1"/>
  <c r="I1055" i="1"/>
  <c r="J1055" i="1"/>
  <c r="K1055" i="1"/>
  <c r="L1055" i="1"/>
  <c r="M1055" i="1"/>
  <c r="N1055" i="1"/>
  <c r="O1055" i="1"/>
  <c r="P1055" i="1"/>
  <c r="R1055" i="1"/>
  <c r="S1055" i="1"/>
  <c r="T1055" i="1"/>
  <c r="U1055" i="1"/>
  <c r="C1054" i="1"/>
  <c r="D1054" i="1"/>
  <c r="E1054" i="1"/>
  <c r="F1054" i="1"/>
  <c r="G1054" i="1"/>
  <c r="H1054" i="1"/>
  <c r="I1054" i="1"/>
  <c r="J1054" i="1"/>
  <c r="K1054" i="1"/>
  <c r="L1054" i="1"/>
  <c r="M1054" i="1"/>
  <c r="N1054" i="1"/>
  <c r="O1054" i="1"/>
  <c r="P1054" i="1"/>
  <c r="R1054" i="1"/>
  <c r="S1054" i="1"/>
  <c r="T1054" i="1"/>
  <c r="U1054" i="1"/>
  <c r="B1053" i="1"/>
  <c r="C1053" i="1"/>
  <c r="D1053" i="1"/>
  <c r="E1053" i="1"/>
  <c r="F1053" i="1"/>
  <c r="G1053" i="1"/>
  <c r="H1053" i="1"/>
  <c r="I1053" i="1"/>
  <c r="J1053" i="1"/>
  <c r="K1053" i="1"/>
  <c r="L1053" i="1"/>
  <c r="M1053" i="1"/>
  <c r="N1053" i="1"/>
  <c r="O1053" i="1"/>
  <c r="P1053" i="1"/>
  <c r="R1053" i="1"/>
  <c r="S1053" i="1"/>
  <c r="T1053" i="1"/>
  <c r="U1053" i="1"/>
  <c r="C1052" i="1"/>
  <c r="D1052" i="1"/>
  <c r="E1052" i="1"/>
  <c r="F1052" i="1"/>
  <c r="G1052" i="1"/>
  <c r="H1052" i="1"/>
  <c r="I1052" i="1"/>
  <c r="J1052" i="1"/>
  <c r="K1052" i="1"/>
  <c r="L1052" i="1"/>
  <c r="M1052" i="1"/>
  <c r="N1052" i="1"/>
  <c r="O1052" i="1"/>
  <c r="P1052" i="1"/>
  <c r="R1052" i="1"/>
  <c r="S1052" i="1"/>
  <c r="T1052" i="1"/>
  <c r="U1052" i="1"/>
  <c r="C1051" i="1"/>
  <c r="D1051" i="1"/>
  <c r="E1051" i="1"/>
  <c r="F1051" i="1"/>
  <c r="G1051" i="1"/>
  <c r="H1051" i="1"/>
  <c r="I1051" i="1"/>
  <c r="J1051" i="1"/>
  <c r="K1051" i="1"/>
  <c r="L1051" i="1"/>
  <c r="M1051" i="1"/>
  <c r="N1051" i="1"/>
  <c r="O1051" i="1"/>
  <c r="P1051" i="1"/>
  <c r="R1051" i="1"/>
  <c r="S1051" i="1"/>
  <c r="T1051" i="1"/>
  <c r="U1051" i="1"/>
  <c r="C1050" i="1"/>
  <c r="D1050" i="1"/>
  <c r="E1050" i="1"/>
  <c r="F1050" i="1"/>
  <c r="G1050" i="1"/>
  <c r="H1050" i="1"/>
  <c r="I1050" i="1"/>
  <c r="J1050" i="1"/>
  <c r="K1050" i="1"/>
  <c r="L1050" i="1"/>
  <c r="M1050" i="1"/>
  <c r="N1050" i="1"/>
  <c r="O1050" i="1"/>
  <c r="P1050" i="1"/>
  <c r="R1050" i="1"/>
  <c r="S1050" i="1"/>
  <c r="T1050" i="1"/>
  <c r="U1050" i="1"/>
  <c r="C1049" i="1"/>
  <c r="D1049" i="1"/>
  <c r="E1049" i="1"/>
  <c r="F1049" i="1"/>
  <c r="G1049" i="1"/>
  <c r="H1049" i="1"/>
  <c r="I1049" i="1"/>
  <c r="J1049" i="1"/>
  <c r="K1049" i="1"/>
  <c r="L1049" i="1"/>
  <c r="M1049" i="1"/>
  <c r="N1049" i="1"/>
  <c r="O1049" i="1"/>
  <c r="P1049" i="1"/>
  <c r="R1049" i="1"/>
  <c r="S1049" i="1"/>
  <c r="T1049" i="1"/>
  <c r="U1049" i="1"/>
  <c r="C1048" i="1"/>
  <c r="D1048" i="1"/>
  <c r="E1048" i="1"/>
  <c r="F1048" i="1"/>
  <c r="G1048" i="1"/>
  <c r="H1048" i="1"/>
  <c r="I1048" i="1"/>
  <c r="J1048" i="1"/>
  <c r="K1048" i="1"/>
  <c r="L1048" i="1"/>
  <c r="M1048" i="1"/>
  <c r="N1048" i="1"/>
  <c r="O1048" i="1"/>
  <c r="P1048" i="1"/>
  <c r="R1048" i="1"/>
  <c r="S1048" i="1"/>
  <c r="T1048" i="1"/>
  <c r="U1048" i="1"/>
  <c r="C1047" i="1"/>
  <c r="D1047" i="1"/>
  <c r="E1047" i="1"/>
  <c r="F1047" i="1"/>
  <c r="G1047" i="1"/>
  <c r="H1047" i="1"/>
  <c r="I1047" i="1"/>
  <c r="J1047" i="1"/>
  <c r="K1047" i="1"/>
  <c r="L1047" i="1"/>
  <c r="M1047" i="1"/>
  <c r="N1047" i="1"/>
  <c r="O1047" i="1"/>
  <c r="P1047" i="1"/>
  <c r="R1047" i="1"/>
  <c r="S1047" i="1"/>
  <c r="T1047" i="1"/>
  <c r="U1047" i="1"/>
  <c r="C1046" i="1"/>
  <c r="D1046" i="1"/>
  <c r="E1046" i="1"/>
  <c r="F1046" i="1"/>
  <c r="G1046" i="1"/>
  <c r="H1046" i="1"/>
  <c r="I1046" i="1"/>
  <c r="J1046" i="1"/>
  <c r="K1046" i="1"/>
  <c r="L1046" i="1"/>
  <c r="M1046" i="1"/>
  <c r="N1046" i="1"/>
  <c r="O1046" i="1"/>
  <c r="P1046" i="1"/>
  <c r="R1046" i="1"/>
  <c r="S1046" i="1"/>
  <c r="T1046" i="1"/>
  <c r="U1046" i="1"/>
  <c r="C1045" i="1"/>
  <c r="D1045" i="1"/>
  <c r="E1045" i="1"/>
  <c r="F1045" i="1"/>
  <c r="G1045" i="1"/>
  <c r="H1045" i="1"/>
  <c r="I1045" i="1"/>
  <c r="J1045" i="1"/>
  <c r="K1045" i="1"/>
  <c r="L1045" i="1"/>
  <c r="M1045" i="1"/>
  <c r="N1045" i="1"/>
  <c r="O1045" i="1"/>
  <c r="P1045" i="1"/>
  <c r="R1045" i="1"/>
  <c r="S1045" i="1"/>
  <c r="T1045" i="1"/>
  <c r="U1045" i="1"/>
  <c r="B1044" i="1"/>
  <c r="C1044" i="1"/>
  <c r="D1044" i="1"/>
  <c r="E1044" i="1"/>
  <c r="F1044" i="1"/>
  <c r="G1044" i="1"/>
  <c r="H1044" i="1"/>
  <c r="I1044" i="1"/>
  <c r="J1044" i="1"/>
  <c r="K1044" i="1"/>
  <c r="L1044" i="1"/>
  <c r="M1044" i="1"/>
  <c r="N1044" i="1"/>
  <c r="O1044" i="1"/>
  <c r="P1044" i="1"/>
  <c r="S1044" i="1"/>
  <c r="T1044" i="1"/>
  <c r="U1044" i="1"/>
  <c r="C1043" i="1"/>
  <c r="D1043" i="1"/>
  <c r="E1043" i="1"/>
  <c r="F1043" i="1"/>
  <c r="G1043" i="1"/>
  <c r="H1043" i="1"/>
  <c r="I1043" i="1"/>
  <c r="J1043" i="1"/>
  <c r="K1043" i="1"/>
  <c r="L1043" i="1"/>
  <c r="M1043" i="1"/>
  <c r="N1043" i="1"/>
  <c r="O1043" i="1"/>
  <c r="P1043" i="1"/>
  <c r="S1043" i="1"/>
  <c r="T1043" i="1"/>
  <c r="U1043" i="1"/>
  <c r="C1042" i="1"/>
  <c r="D1042" i="1"/>
  <c r="E1042" i="1"/>
  <c r="F1042" i="1"/>
  <c r="G1042" i="1"/>
  <c r="H1042" i="1"/>
  <c r="I1042" i="1"/>
  <c r="J1042" i="1"/>
  <c r="K1042" i="1"/>
  <c r="L1042" i="1"/>
  <c r="M1042" i="1"/>
  <c r="N1042" i="1"/>
  <c r="O1042" i="1"/>
  <c r="P1042" i="1"/>
  <c r="S1042" i="1"/>
  <c r="T1042" i="1"/>
  <c r="U1042" i="1"/>
  <c r="C1041" i="1"/>
  <c r="D1041" i="1"/>
  <c r="E1041" i="1"/>
  <c r="F1041" i="1"/>
  <c r="G1041" i="1"/>
  <c r="H1041" i="1"/>
  <c r="I1041" i="1"/>
  <c r="J1041" i="1"/>
  <c r="K1041" i="1"/>
  <c r="L1041" i="1"/>
  <c r="M1041" i="1"/>
  <c r="N1041" i="1"/>
  <c r="O1041" i="1"/>
  <c r="P1041" i="1"/>
  <c r="S1041" i="1"/>
  <c r="T1041" i="1"/>
  <c r="U1041" i="1"/>
  <c r="C1040" i="1"/>
  <c r="D1040" i="1"/>
  <c r="E1040" i="1"/>
  <c r="F1040" i="1"/>
  <c r="G1040" i="1"/>
  <c r="H1040" i="1"/>
  <c r="I1040" i="1"/>
  <c r="J1040" i="1"/>
  <c r="K1040" i="1"/>
  <c r="L1040" i="1"/>
  <c r="M1040" i="1"/>
  <c r="N1040" i="1"/>
  <c r="O1040" i="1"/>
  <c r="P1040" i="1"/>
  <c r="R1040" i="1"/>
  <c r="S1040" i="1"/>
  <c r="T1040" i="1"/>
  <c r="U1040" i="1"/>
  <c r="C1039" i="1"/>
  <c r="D1039" i="1"/>
  <c r="E1039" i="1"/>
  <c r="F1039" i="1"/>
  <c r="G1039" i="1"/>
  <c r="H1039" i="1"/>
  <c r="I1039" i="1"/>
  <c r="J1039" i="1"/>
  <c r="K1039" i="1"/>
  <c r="L1039" i="1"/>
  <c r="M1039" i="1"/>
  <c r="N1039" i="1"/>
  <c r="O1039" i="1"/>
  <c r="P1039" i="1"/>
  <c r="R1039" i="1"/>
  <c r="S1039" i="1"/>
  <c r="T1039" i="1"/>
  <c r="U1039" i="1"/>
  <c r="C1038" i="1"/>
  <c r="D1038" i="1"/>
  <c r="E1038" i="1"/>
  <c r="F1038" i="1"/>
  <c r="G1038" i="1"/>
  <c r="H1038" i="1"/>
  <c r="I1038" i="1"/>
  <c r="J1038" i="1"/>
  <c r="K1038" i="1"/>
  <c r="L1038" i="1"/>
  <c r="M1038" i="1"/>
  <c r="N1038" i="1"/>
  <c r="O1038" i="1"/>
  <c r="P1038" i="1"/>
  <c r="R1038" i="1"/>
  <c r="S1038" i="1"/>
  <c r="T1038" i="1"/>
  <c r="U1038" i="1"/>
  <c r="C1037" i="1"/>
  <c r="D1037" i="1"/>
  <c r="E1037" i="1"/>
  <c r="F1037" i="1"/>
  <c r="G1037" i="1"/>
  <c r="H1037" i="1"/>
  <c r="I1037" i="1"/>
  <c r="J1037" i="1"/>
  <c r="K1037" i="1"/>
  <c r="L1037" i="1"/>
  <c r="M1037" i="1"/>
  <c r="N1037" i="1"/>
  <c r="O1037" i="1"/>
  <c r="P1037" i="1"/>
  <c r="R1037" i="1"/>
  <c r="S1037" i="1"/>
  <c r="T1037" i="1"/>
  <c r="U1037" i="1"/>
  <c r="C1036" i="1"/>
  <c r="D1036" i="1"/>
  <c r="E1036" i="1"/>
  <c r="F1036" i="1"/>
  <c r="G1036" i="1"/>
  <c r="H1036" i="1"/>
  <c r="I1036" i="1"/>
  <c r="J1036" i="1"/>
  <c r="K1036" i="1"/>
  <c r="L1036" i="1"/>
  <c r="M1036" i="1"/>
  <c r="N1036" i="1"/>
  <c r="O1036" i="1"/>
  <c r="P1036" i="1"/>
  <c r="R1036" i="1"/>
  <c r="S1036" i="1"/>
  <c r="T1036" i="1"/>
  <c r="U1036" i="1"/>
  <c r="B1035" i="1"/>
  <c r="C1035" i="1"/>
  <c r="D1035" i="1"/>
  <c r="E1035" i="1"/>
  <c r="F1035" i="1"/>
  <c r="G1035" i="1"/>
  <c r="H1035" i="1"/>
  <c r="I1035" i="1"/>
  <c r="J1035" i="1"/>
  <c r="K1035" i="1"/>
  <c r="L1035" i="1"/>
  <c r="M1035" i="1"/>
  <c r="N1035" i="1"/>
  <c r="O1035" i="1"/>
  <c r="P1035" i="1"/>
  <c r="R1035" i="1"/>
  <c r="S1035" i="1"/>
  <c r="T1035" i="1"/>
  <c r="U1035" i="1"/>
  <c r="C1034" i="1"/>
  <c r="D1034" i="1"/>
  <c r="E1034" i="1"/>
  <c r="F1034" i="1"/>
  <c r="G1034" i="1"/>
  <c r="H1034" i="1"/>
  <c r="I1034" i="1"/>
  <c r="J1034" i="1"/>
  <c r="K1034" i="1"/>
  <c r="L1034" i="1"/>
  <c r="M1034" i="1"/>
  <c r="N1034" i="1"/>
  <c r="O1034" i="1"/>
  <c r="P1034" i="1"/>
  <c r="R1034" i="1"/>
  <c r="S1034" i="1"/>
  <c r="T1034" i="1"/>
  <c r="U1034" i="1"/>
  <c r="C1033" i="1"/>
  <c r="D1033" i="1"/>
  <c r="E1033" i="1"/>
  <c r="F1033" i="1"/>
  <c r="G1033" i="1"/>
  <c r="H1033" i="1"/>
  <c r="I1033" i="1"/>
  <c r="J1033" i="1"/>
  <c r="K1033" i="1"/>
  <c r="L1033" i="1"/>
  <c r="M1033" i="1"/>
  <c r="N1033" i="1"/>
  <c r="O1033" i="1"/>
  <c r="P1033" i="1"/>
  <c r="R1033" i="1"/>
  <c r="S1033" i="1"/>
  <c r="T1033" i="1"/>
  <c r="U1033" i="1"/>
  <c r="C1032" i="1"/>
  <c r="D1032" i="1"/>
  <c r="E1032" i="1"/>
  <c r="F1032" i="1"/>
  <c r="G1032" i="1"/>
  <c r="H1032" i="1"/>
  <c r="I1032" i="1"/>
  <c r="J1032" i="1"/>
  <c r="K1032" i="1"/>
  <c r="L1032" i="1"/>
  <c r="M1032" i="1"/>
  <c r="N1032" i="1"/>
  <c r="O1032" i="1"/>
  <c r="P1032" i="1"/>
  <c r="R1032" i="1"/>
  <c r="S1032" i="1"/>
  <c r="T1032" i="1"/>
  <c r="U1032" i="1"/>
  <c r="C1031" i="1"/>
  <c r="D1031" i="1"/>
  <c r="E1031" i="1"/>
  <c r="F1031" i="1"/>
  <c r="G1031" i="1"/>
  <c r="H1031" i="1"/>
  <c r="I1031" i="1"/>
  <c r="J1031" i="1"/>
  <c r="K1031" i="1"/>
  <c r="L1031" i="1"/>
  <c r="M1031" i="1"/>
  <c r="N1031" i="1"/>
  <c r="O1031" i="1"/>
  <c r="P1031" i="1"/>
  <c r="R1031" i="1"/>
  <c r="S1031" i="1"/>
  <c r="T1031" i="1"/>
  <c r="U1031" i="1"/>
  <c r="C1030" i="1"/>
  <c r="D1030" i="1"/>
  <c r="E1030" i="1"/>
  <c r="F1030" i="1"/>
  <c r="G1030" i="1"/>
  <c r="H1030" i="1"/>
  <c r="I1030" i="1"/>
  <c r="J1030" i="1"/>
  <c r="K1030" i="1"/>
  <c r="L1030" i="1"/>
  <c r="M1030" i="1"/>
  <c r="N1030" i="1"/>
  <c r="O1030" i="1"/>
  <c r="P1030" i="1"/>
  <c r="R1030" i="1"/>
  <c r="S1030" i="1"/>
  <c r="T1030" i="1"/>
  <c r="U1030" i="1"/>
  <c r="T1029" i="1"/>
  <c r="U1029" i="1"/>
  <c r="R1029" i="1"/>
  <c r="S1029" i="1"/>
  <c r="P1029" i="1"/>
  <c r="N1029" i="1"/>
  <c r="O1029" i="1"/>
  <c r="L1029" i="1"/>
  <c r="M1029" i="1"/>
  <c r="J1029" i="1"/>
  <c r="K1029" i="1"/>
  <c r="H1029" i="1"/>
  <c r="I1029" i="1"/>
  <c r="F1029" i="1"/>
  <c r="G1029" i="1"/>
  <c r="D1029" i="1"/>
  <c r="E1029" i="1"/>
  <c r="B1029" i="1"/>
  <c r="C1029" i="1"/>
  <c r="T935" i="1"/>
  <c r="U935" i="1"/>
  <c r="R935" i="1"/>
  <c r="S935" i="1"/>
  <c r="P935" i="1"/>
  <c r="N935" i="1"/>
  <c r="O935" i="1"/>
  <c r="L935" i="1"/>
  <c r="M935" i="1"/>
  <c r="J935" i="1"/>
  <c r="K935" i="1"/>
  <c r="H935" i="1"/>
  <c r="I935" i="1"/>
  <c r="F935" i="1"/>
  <c r="G935" i="1"/>
  <c r="D935" i="1"/>
  <c r="E935" i="1"/>
  <c r="B935" i="1"/>
  <c r="C935" i="1"/>
  <c r="B777" i="1"/>
  <c r="C777" i="1"/>
  <c r="D777" i="1"/>
  <c r="E777" i="1"/>
  <c r="F777" i="1"/>
  <c r="G777" i="1"/>
  <c r="H777" i="1"/>
  <c r="I777" i="1"/>
  <c r="J777" i="1"/>
  <c r="K777" i="1"/>
  <c r="L777" i="1"/>
  <c r="M777" i="1"/>
  <c r="N777" i="1"/>
  <c r="O777" i="1"/>
  <c r="P777" i="1"/>
  <c r="R777" i="1"/>
  <c r="S777" i="1"/>
  <c r="T777" i="1"/>
  <c r="U777" i="1"/>
  <c r="B776" i="1"/>
  <c r="C776" i="1"/>
  <c r="D776" i="1"/>
  <c r="E776" i="1"/>
  <c r="F776" i="1"/>
  <c r="G776" i="1"/>
  <c r="H776" i="1"/>
  <c r="I776" i="1"/>
  <c r="J776" i="1"/>
  <c r="K776" i="1"/>
  <c r="L776" i="1"/>
  <c r="M776" i="1"/>
  <c r="N776" i="1"/>
  <c r="O776" i="1"/>
  <c r="P776" i="1"/>
  <c r="R776" i="1"/>
  <c r="S776" i="1"/>
  <c r="T776" i="1"/>
  <c r="U776" i="1"/>
  <c r="B775" i="1"/>
  <c r="C775" i="1"/>
  <c r="D775" i="1"/>
  <c r="E775" i="1"/>
  <c r="F775" i="1"/>
  <c r="G775" i="1"/>
  <c r="H775" i="1"/>
  <c r="I775" i="1"/>
  <c r="J775" i="1"/>
  <c r="K775" i="1"/>
  <c r="L775" i="1"/>
  <c r="M775" i="1"/>
  <c r="N775" i="1"/>
  <c r="O775" i="1"/>
  <c r="P775" i="1"/>
  <c r="R775" i="1"/>
  <c r="S775" i="1"/>
  <c r="T775" i="1"/>
  <c r="U775" i="1"/>
  <c r="B774" i="1"/>
  <c r="C774" i="1"/>
  <c r="D774" i="1"/>
  <c r="E774" i="1"/>
  <c r="F774" i="1"/>
  <c r="G774" i="1"/>
  <c r="H774" i="1"/>
  <c r="I774" i="1"/>
  <c r="J774" i="1"/>
  <c r="K774" i="1"/>
  <c r="L774" i="1"/>
  <c r="M774" i="1"/>
  <c r="N774" i="1"/>
  <c r="O774" i="1"/>
  <c r="P774" i="1"/>
  <c r="R774" i="1"/>
  <c r="S774" i="1"/>
  <c r="T774" i="1"/>
  <c r="U774" i="1"/>
  <c r="B773" i="1"/>
  <c r="C773" i="1"/>
  <c r="D773" i="1"/>
  <c r="E773" i="1"/>
  <c r="F773" i="1"/>
  <c r="G773" i="1"/>
  <c r="H773" i="1"/>
  <c r="I773" i="1"/>
  <c r="J773" i="1"/>
  <c r="K773" i="1"/>
  <c r="L773" i="1"/>
  <c r="M773" i="1"/>
  <c r="N773" i="1"/>
  <c r="O773" i="1"/>
  <c r="P773" i="1"/>
  <c r="R773" i="1"/>
  <c r="S773" i="1"/>
  <c r="T773" i="1"/>
  <c r="U773" i="1"/>
  <c r="B772" i="1"/>
  <c r="C772" i="1"/>
  <c r="D772" i="1"/>
  <c r="E772" i="1"/>
  <c r="F772" i="1"/>
  <c r="G772" i="1"/>
  <c r="H772" i="1"/>
  <c r="I772" i="1"/>
  <c r="J772" i="1"/>
  <c r="K772" i="1"/>
  <c r="L772" i="1"/>
  <c r="M772" i="1"/>
  <c r="N772" i="1"/>
  <c r="O772" i="1"/>
  <c r="P772" i="1"/>
  <c r="R772" i="1"/>
  <c r="S772" i="1"/>
  <c r="T772" i="1"/>
  <c r="U772" i="1"/>
  <c r="B771" i="1"/>
  <c r="C771" i="1"/>
  <c r="D771" i="1"/>
  <c r="E771" i="1"/>
  <c r="F771" i="1"/>
  <c r="G771" i="1"/>
  <c r="H771" i="1"/>
  <c r="I771" i="1"/>
  <c r="J771" i="1"/>
  <c r="K771" i="1"/>
  <c r="L771" i="1"/>
  <c r="M771" i="1"/>
  <c r="N771" i="1"/>
  <c r="O771" i="1"/>
  <c r="P771" i="1"/>
  <c r="R771" i="1"/>
  <c r="S771" i="1"/>
  <c r="T771" i="1"/>
  <c r="U771" i="1"/>
  <c r="B770" i="1"/>
  <c r="C770" i="1"/>
  <c r="D770" i="1"/>
  <c r="E770" i="1"/>
  <c r="F770" i="1"/>
  <c r="G770" i="1"/>
  <c r="H770" i="1"/>
  <c r="I770" i="1"/>
  <c r="J770" i="1"/>
  <c r="K770" i="1"/>
  <c r="L770" i="1"/>
  <c r="M770" i="1"/>
  <c r="N770" i="1"/>
  <c r="O770" i="1"/>
  <c r="P770" i="1"/>
  <c r="R770" i="1"/>
  <c r="S770" i="1"/>
  <c r="T770" i="1"/>
  <c r="U770" i="1"/>
  <c r="B769" i="1"/>
  <c r="C769" i="1"/>
  <c r="D769" i="1"/>
  <c r="E769" i="1"/>
  <c r="F769" i="1"/>
  <c r="G769" i="1"/>
  <c r="H769" i="1"/>
  <c r="I769" i="1"/>
  <c r="J769" i="1"/>
  <c r="K769" i="1"/>
  <c r="L769" i="1"/>
  <c r="M769" i="1"/>
  <c r="N769" i="1"/>
  <c r="O769" i="1"/>
  <c r="P769" i="1"/>
  <c r="R769" i="1"/>
  <c r="S769" i="1"/>
  <c r="T769" i="1"/>
  <c r="U769" i="1"/>
  <c r="B768" i="1"/>
  <c r="C768" i="1"/>
  <c r="D768" i="1"/>
  <c r="E768" i="1"/>
  <c r="F768" i="1"/>
  <c r="G768" i="1"/>
  <c r="H768" i="1"/>
  <c r="I768" i="1"/>
  <c r="J768" i="1"/>
  <c r="K768" i="1"/>
  <c r="L768" i="1"/>
  <c r="M768" i="1"/>
  <c r="N768" i="1"/>
  <c r="O768" i="1"/>
  <c r="P768" i="1"/>
  <c r="R768" i="1"/>
  <c r="S768" i="1"/>
  <c r="T768" i="1"/>
  <c r="U768" i="1"/>
  <c r="B767" i="1"/>
  <c r="C767" i="1"/>
  <c r="D767" i="1"/>
  <c r="E767" i="1"/>
  <c r="F767" i="1"/>
  <c r="G767" i="1"/>
  <c r="H767" i="1"/>
  <c r="I767" i="1"/>
  <c r="J767" i="1"/>
  <c r="K767" i="1"/>
  <c r="L767" i="1"/>
  <c r="M767" i="1"/>
  <c r="N767" i="1"/>
  <c r="O767" i="1"/>
  <c r="P767" i="1"/>
  <c r="R767" i="1"/>
  <c r="S767" i="1"/>
  <c r="T767" i="1"/>
  <c r="U767" i="1"/>
  <c r="B766" i="1"/>
  <c r="C766" i="1"/>
  <c r="D766" i="1"/>
  <c r="E766" i="1"/>
  <c r="F766" i="1"/>
  <c r="G766" i="1"/>
  <c r="H766" i="1"/>
  <c r="I766" i="1"/>
  <c r="J766" i="1"/>
  <c r="K766" i="1"/>
  <c r="L766" i="1"/>
  <c r="M766" i="1"/>
  <c r="N766" i="1"/>
  <c r="O766" i="1"/>
  <c r="P766" i="1"/>
  <c r="R766" i="1"/>
  <c r="S766" i="1"/>
  <c r="T766" i="1"/>
  <c r="U766" i="1"/>
  <c r="B765" i="1"/>
  <c r="C765" i="1"/>
  <c r="D765" i="1"/>
  <c r="E765" i="1"/>
  <c r="F765" i="1"/>
  <c r="G765" i="1"/>
  <c r="H765" i="1"/>
  <c r="I765" i="1"/>
  <c r="J765" i="1"/>
  <c r="K765" i="1"/>
  <c r="L765" i="1"/>
  <c r="M765" i="1"/>
  <c r="N765" i="1"/>
  <c r="O765" i="1"/>
  <c r="P765" i="1"/>
  <c r="R765" i="1"/>
  <c r="S765" i="1"/>
  <c r="T765" i="1"/>
  <c r="U765" i="1"/>
  <c r="B764" i="1"/>
  <c r="C764" i="1"/>
  <c r="D764" i="1"/>
  <c r="E764" i="1"/>
  <c r="F764" i="1"/>
  <c r="G764" i="1"/>
  <c r="H764" i="1"/>
  <c r="I764" i="1"/>
  <c r="J764" i="1"/>
  <c r="K764" i="1"/>
  <c r="L764" i="1"/>
  <c r="M764" i="1"/>
  <c r="N764" i="1"/>
  <c r="O764" i="1"/>
  <c r="P764" i="1"/>
  <c r="R764" i="1"/>
  <c r="S764" i="1"/>
  <c r="T764" i="1"/>
  <c r="U764" i="1"/>
  <c r="B763" i="1"/>
  <c r="C763" i="1"/>
  <c r="D763" i="1"/>
  <c r="E763" i="1"/>
  <c r="F763" i="1"/>
  <c r="G763" i="1"/>
  <c r="H763" i="1"/>
  <c r="I763" i="1"/>
  <c r="J763" i="1"/>
  <c r="K763" i="1"/>
  <c r="L763" i="1"/>
  <c r="M763" i="1"/>
  <c r="N763" i="1"/>
  <c r="O763" i="1"/>
  <c r="P763" i="1"/>
  <c r="R763" i="1"/>
  <c r="S763" i="1"/>
  <c r="T763" i="1"/>
  <c r="U763" i="1"/>
  <c r="B762" i="1"/>
  <c r="C762" i="1"/>
  <c r="D762" i="1"/>
  <c r="E762" i="1"/>
  <c r="F762" i="1"/>
  <c r="G762" i="1"/>
  <c r="H762" i="1"/>
  <c r="I762" i="1"/>
  <c r="J762" i="1"/>
  <c r="K762" i="1"/>
  <c r="L762" i="1"/>
  <c r="M762" i="1"/>
  <c r="N762" i="1"/>
  <c r="O762" i="1"/>
  <c r="P762" i="1"/>
  <c r="R762" i="1"/>
  <c r="S762" i="1"/>
  <c r="T762" i="1"/>
  <c r="U762" i="1"/>
  <c r="B761" i="1"/>
  <c r="C761" i="1"/>
  <c r="D761" i="1"/>
  <c r="E761" i="1"/>
  <c r="F761" i="1"/>
  <c r="G761" i="1"/>
  <c r="H761" i="1"/>
  <c r="I761" i="1"/>
  <c r="J761" i="1"/>
  <c r="K761" i="1"/>
  <c r="L761" i="1"/>
  <c r="M761" i="1"/>
  <c r="N761" i="1"/>
  <c r="O761" i="1"/>
  <c r="P761" i="1"/>
  <c r="R761" i="1"/>
  <c r="S761" i="1"/>
  <c r="T761" i="1"/>
  <c r="U761" i="1"/>
  <c r="B760" i="1"/>
  <c r="C760" i="1"/>
  <c r="D760" i="1"/>
  <c r="E760" i="1"/>
  <c r="F760" i="1"/>
  <c r="G760" i="1"/>
  <c r="H760" i="1"/>
  <c r="I760" i="1"/>
  <c r="J760" i="1"/>
  <c r="K760" i="1"/>
  <c r="L760" i="1"/>
  <c r="M760" i="1"/>
  <c r="N760" i="1"/>
  <c r="O760" i="1"/>
  <c r="P760" i="1"/>
  <c r="R760" i="1"/>
  <c r="S760" i="1"/>
  <c r="T760" i="1"/>
  <c r="U760" i="1"/>
  <c r="B759" i="1"/>
  <c r="C759" i="1"/>
  <c r="D759" i="1"/>
  <c r="E759" i="1"/>
  <c r="F759" i="1"/>
  <c r="G759" i="1"/>
  <c r="H759" i="1"/>
  <c r="I759" i="1"/>
  <c r="J759" i="1"/>
  <c r="K759" i="1"/>
  <c r="L759" i="1"/>
  <c r="M759" i="1"/>
  <c r="N759" i="1"/>
  <c r="O759" i="1"/>
  <c r="P759" i="1"/>
  <c r="R759" i="1"/>
  <c r="S759" i="1"/>
  <c r="T759" i="1"/>
  <c r="U759" i="1"/>
  <c r="B758" i="1"/>
  <c r="C758" i="1"/>
  <c r="D758" i="1"/>
  <c r="E758" i="1"/>
  <c r="F758" i="1"/>
  <c r="G758" i="1"/>
  <c r="H758" i="1"/>
  <c r="I758" i="1"/>
  <c r="J758" i="1"/>
  <c r="K758" i="1"/>
  <c r="L758" i="1"/>
  <c r="M758" i="1"/>
  <c r="N758" i="1"/>
  <c r="O758" i="1"/>
  <c r="P758" i="1"/>
  <c r="S758" i="1"/>
  <c r="T758" i="1"/>
  <c r="U758" i="1"/>
  <c r="B757" i="1"/>
  <c r="C757" i="1"/>
  <c r="D757" i="1"/>
  <c r="E757" i="1"/>
  <c r="F757" i="1"/>
  <c r="G757" i="1"/>
  <c r="H757" i="1"/>
  <c r="I757" i="1"/>
  <c r="J757" i="1"/>
  <c r="K757" i="1"/>
  <c r="L757" i="1"/>
  <c r="M757" i="1"/>
  <c r="N757" i="1"/>
  <c r="O757" i="1"/>
  <c r="P757" i="1"/>
  <c r="R757" i="1"/>
  <c r="S757" i="1"/>
  <c r="T757" i="1"/>
  <c r="U757" i="1"/>
  <c r="B756" i="1"/>
  <c r="C756" i="1"/>
  <c r="D756" i="1"/>
  <c r="E756" i="1"/>
  <c r="F756" i="1"/>
  <c r="G756" i="1"/>
  <c r="H756" i="1"/>
  <c r="I756" i="1"/>
  <c r="J756" i="1"/>
  <c r="K756" i="1"/>
  <c r="L756" i="1"/>
  <c r="M756" i="1"/>
  <c r="N756" i="1"/>
  <c r="O756" i="1"/>
  <c r="P756" i="1"/>
  <c r="R756" i="1"/>
  <c r="S756" i="1"/>
  <c r="T756" i="1"/>
  <c r="U756" i="1"/>
  <c r="B755" i="1"/>
  <c r="C755" i="1"/>
  <c r="D755" i="1"/>
  <c r="E755" i="1"/>
  <c r="F755" i="1"/>
  <c r="G755" i="1"/>
  <c r="H755" i="1"/>
  <c r="I755" i="1"/>
  <c r="J755" i="1"/>
  <c r="K755" i="1"/>
  <c r="L755" i="1"/>
  <c r="M755" i="1"/>
  <c r="N755" i="1"/>
  <c r="O755" i="1"/>
  <c r="P755" i="1"/>
  <c r="R755" i="1"/>
  <c r="S755" i="1"/>
  <c r="T755" i="1"/>
  <c r="U755" i="1"/>
  <c r="B754" i="1"/>
  <c r="C754" i="1"/>
  <c r="D754" i="1"/>
  <c r="E754" i="1"/>
  <c r="F754" i="1"/>
  <c r="G754" i="1"/>
  <c r="H754" i="1"/>
  <c r="I754" i="1"/>
  <c r="J754" i="1"/>
  <c r="K754" i="1"/>
  <c r="L754" i="1"/>
  <c r="M754" i="1"/>
  <c r="N754" i="1"/>
  <c r="O754" i="1"/>
  <c r="P754" i="1"/>
  <c r="R754" i="1"/>
  <c r="S754" i="1"/>
  <c r="T754" i="1"/>
  <c r="U754" i="1"/>
  <c r="B753" i="1"/>
  <c r="C753" i="1"/>
  <c r="D753" i="1"/>
  <c r="E753" i="1"/>
  <c r="F753" i="1"/>
  <c r="G753" i="1"/>
  <c r="H753" i="1"/>
  <c r="I753" i="1"/>
  <c r="J753" i="1"/>
  <c r="K753" i="1"/>
  <c r="L753" i="1"/>
  <c r="M753" i="1"/>
  <c r="N753" i="1"/>
  <c r="O753" i="1"/>
  <c r="P753" i="1"/>
  <c r="R753" i="1"/>
  <c r="S753" i="1"/>
  <c r="T753" i="1"/>
  <c r="U753" i="1"/>
  <c r="B752" i="1"/>
  <c r="C752" i="1"/>
  <c r="D752" i="1"/>
  <c r="E752" i="1"/>
  <c r="F752" i="1"/>
  <c r="G752" i="1"/>
  <c r="H752" i="1"/>
  <c r="I752" i="1"/>
  <c r="J752" i="1"/>
  <c r="K752" i="1"/>
  <c r="L752" i="1"/>
  <c r="M752" i="1"/>
  <c r="N752" i="1"/>
  <c r="O752" i="1"/>
  <c r="P752" i="1"/>
  <c r="R752" i="1"/>
  <c r="S752" i="1"/>
  <c r="T752" i="1"/>
  <c r="U752" i="1"/>
  <c r="B751" i="1"/>
  <c r="C751" i="1"/>
  <c r="D751" i="1"/>
  <c r="E751" i="1"/>
  <c r="F751" i="1"/>
  <c r="G751" i="1"/>
  <c r="H751" i="1"/>
  <c r="I751" i="1"/>
  <c r="J751" i="1"/>
  <c r="K751" i="1"/>
  <c r="L751" i="1"/>
  <c r="M751" i="1"/>
  <c r="N751" i="1"/>
  <c r="O751" i="1"/>
  <c r="P751" i="1"/>
  <c r="R751" i="1"/>
  <c r="S751" i="1"/>
  <c r="T751" i="1"/>
  <c r="U751" i="1"/>
  <c r="B750" i="1"/>
  <c r="C750" i="1"/>
  <c r="D750" i="1"/>
  <c r="E750" i="1"/>
  <c r="F750" i="1"/>
  <c r="G750" i="1"/>
  <c r="H750" i="1"/>
  <c r="I750" i="1"/>
  <c r="J750" i="1"/>
  <c r="K750" i="1"/>
  <c r="L750" i="1"/>
  <c r="M750" i="1"/>
  <c r="N750" i="1"/>
  <c r="O750" i="1"/>
  <c r="P750" i="1"/>
  <c r="R750" i="1"/>
  <c r="S750" i="1"/>
  <c r="T750" i="1"/>
  <c r="U750" i="1"/>
  <c r="B749" i="1"/>
  <c r="C749" i="1"/>
  <c r="D749" i="1"/>
  <c r="E749" i="1"/>
  <c r="F749" i="1"/>
  <c r="G749" i="1"/>
  <c r="H749" i="1"/>
  <c r="I749" i="1"/>
  <c r="J749" i="1"/>
  <c r="K749" i="1"/>
  <c r="L749" i="1"/>
  <c r="M749" i="1"/>
  <c r="N749" i="1"/>
  <c r="O749" i="1"/>
  <c r="P749" i="1"/>
  <c r="R749" i="1"/>
  <c r="S749" i="1"/>
  <c r="T749" i="1"/>
  <c r="U749" i="1"/>
  <c r="B748" i="1"/>
  <c r="C748" i="1"/>
  <c r="D748" i="1"/>
  <c r="E748" i="1"/>
  <c r="F748" i="1"/>
  <c r="G748" i="1"/>
  <c r="H748" i="1"/>
  <c r="I748" i="1"/>
  <c r="J748" i="1"/>
  <c r="K748" i="1"/>
  <c r="L748" i="1"/>
  <c r="M748" i="1"/>
  <c r="N748" i="1"/>
  <c r="O748" i="1"/>
  <c r="P748" i="1"/>
  <c r="R748" i="1"/>
  <c r="S748" i="1"/>
  <c r="T748" i="1"/>
  <c r="U748" i="1"/>
  <c r="B747" i="1"/>
  <c r="C747" i="1"/>
  <c r="D747" i="1"/>
  <c r="E747" i="1"/>
  <c r="F747" i="1"/>
  <c r="G747" i="1"/>
  <c r="H747" i="1"/>
  <c r="I747" i="1"/>
  <c r="J747" i="1"/>
  <c r="K747" i="1"/>
  <c r="L747" i="1"/>
  <c r="M747" i="1"/>
  <c r="N747" i="1"/>
  <c r="O747" i="1"/>
  <c r="P747" i="1"/>
  <c r="R747" i="1"/>
  <c r="S747" i="1"/>
  <c r="T747" i="1"/>
  <c r="U747" i="1"/>
  <c r="B746" i="1"/>
  <c r="C746" i="1"/>
  <c r="D746" i="1"/>
  <c r="E746" i="1"/>
  <c r="F746" i="1"/>
  <c r="G746" i="1"/>
  <c r="H746" i="1"/>
  <c r="I746" i="1"/>
  <c r="J746" i="1"/>
  <c r="K746" i="1"/>
  <c r="L746" i="1"/>
  <c r="M746" i="1"/>
  <c r="N746" i="1"/>
  <c r="O746" i="1"/>
  <c r="P746" i="1"/>
  <c r="R746" i="1"/>
  <c r="S746" i="1"/>
  <c r="T746" i="1"/>
  <c r="U746" i="1"/>
  <c r="B745" i="1"/>
  <c r="C745" i="1"/>
  <c r="D745" i="1"/>
  <c r="E745" i="1"/>
  <c r="F745" i="1"/>
  <c r="G745" i="1"/>
  <c r="H745" i="1"/>
  <c r="I745" i="1"/>
  <c r="J745" i="1"/>
  <c r="K745" i="1"/>
  <c r="L745" i="1"/>
  <c r="M745" i="1"/>
  <c r="N745" i="1"/>
  <c r="O745" i="1"/>
  <c r="P745" i="1"/>
  <c r="R745" i="1"/>
  <c r="S745" i="1"/>
  <c r="T745" i="1"/>
  <c r="U745" i="1"/>
  <c r="B744" i="1"/>
  <c r="C744" i="1"/>
  <c r="D744" i="1"/>
  <c r="E744" i="1"/>
  <c r="F744" i="1"/>
  <c r="G744" i="1"/>
  <c r="H744" i="1"/>
  <c r="I744" i="1"/>
  <c r="J744" i="1"/>
  <c r="K744" i="1"/>
  <c r="L744" i="1"/>
  <c r="M744" i="1"/>
  <c r="N744" i="1"/>
  <c r="O744" i="1"/>
  <c r="P744" i="1"/>
  <c r="R744" i="1"/>
  <c r="S744" i="1"/>
  <c r="T744" i="1"/>
  <c r="U744" i="1"/>
  <c r="B743" i="1"/>
  <c r="C743" i="1"/>
  <c r="D743" i="1"/>
  <c r="E743" i="1"/>
  <c r="F743" i="1"/>
  <c r="G743" i="1"/>
  <c r="H743" i="1"/>
  <c r="I743" i="1"/>
  <c r="J743" i="1"/>
  <c r="K743" i="1"/>
  <c r="L743" i="1"/>
  <c r="M743" i="1"/>
  <c r="N743" i="1"/>
  <c r="O743" i="1"/>
  <c r="P743" i="1"/>
  <c r="R743" i="1"/>
  <c r="S743" i="1"/>
  <c r="T743" i="1"/>
  <c r="U743" i="1"/>
  <c r="B742" i="1"/>
  <c r="C742" i="1"/>
  <c r="D742" i="1"/>
  <c r="E742" i="1"/>
  <c r="F742" i="1"/>
  <c r="G742" i="1"/>
  <c r="H742" i="1"/>
  <c r="I742" i="1"/>
  <c r="J742" i="1"/>
  <c r="K742" i="1"/>
  <c r="L742" i="1"/>
  <c r="M742" i="1"/>
  <c r="N742" i="1"/>
  <c r="O742" i="1"/>
  <c r="P742" i="1"/>
  <c r="R742" i="1"/>
  <c r="S742" i="1"/>
  <c r="T742" i="1"/>
  <c r="U742" i="1"/>
  <c r="B741" i="1"/>
  <c r="C741" i="1"/>
  <c r="D741" i="1"/>
  <c r="E741" i="1"/>
  <c r="F741" i="1"/>
  <c r="G741" i="1"/>
  <c r="H741" i="1"/>
  <c r="I741" i="1"/>
  <c r="J741" i="1"/>
  <c r="K741" i="1"/>
  <c r="L741" i="1"/>
  <c r="M741" i="1"/>
  <c r="N741" i="1"/>
  <c r="O741" i="1"/>
  <c r="P741" i="1"/>
  <c r="R741" i="1"/>
  <c r="S741" i="1"/>
  <c r="T741" i="1"/>
  <c r="U741" i="1"/>
  <c r="B740" i="1"/>
  <c r="C740" i="1"/>
  <c r="D740" i="1"/>
  <c r="E740" i="1"/>
  <c r="F740" i="1"/>
  <c r="G740" i="1"/>
  <c r="H740" i="1"/>
  <c r="I740" i="1"/>
  <c r="J740" i="1"/>
  <c r="K740" i="1"/>
  <c r="L740" i="1"/>
  <c r="M740" i="1"/>
  <c r="N740" i="1"/>
  <c r="O740" i="1"/>
  <c r="P740" i="1"/>
  <c r="S740" i="1"/>
  <c r="T740" i="1"/>
  <c r="U740" i="1"/>
  <c r="B739" i="1"/>
  <c r="C739" i="1"/>
  <c r="D739" i="1"/>
  <c r="E739" i="1"/>
  <c r="F739" i="1"/>
  <c r="G739" i="1"/>
  <c r="H739" i="1"/>
  <c r="I739" i="1"/>
  <c r="J739" i="1"/>
  <c r="K739" i="1"/>
  <c r="L739" i="1"/>
  <c r="M739" i="1"/>
  <c r="N739" i="1"/>
  <c r="O739" i="1"/>
  <c r="P739" i="1"/>
  <c r="R739" i="1"/>
  <c r="S739" i="1"/>
  <c r="T739" i="1"/>
  <c r="U739" i="1"/>
  <c r="B738" i="1"/>
  <c r="C738" i="1"/>
  <c r="D738" i="1"/>
  <c r="E738" i="1"/>
  <c r="F738" i="1"/>
  <c r="G738" i="1"/>
  <c r="H738" i="1"/>
  <c r="I738" i="1"/>
  <c r="J738" i="1"/>
  <c r="K738" i="1"/>
  <c r="L738" i="1"/>
  <c r="M738" i="1"/>
  <c r="N738" i="1"/>
  <c r="O738" i="1"/>
  <c r="P738" i="1"/>
  <c r="R738" i="1"/>
  <c r="S738" i="1"/>
  <c r="T738" i="1"/>
  <c r="U738" i="1"/>
  <c r="B737" i="1"/>
  <c r="C737" i="1"/>
  <c r="D737" i="1"/>
  <c r="E737" i="1"/>
  <c r="F737" i="1"/>
  <c r="G737" i="1"/>
  <c r="H737" i="1"/>
  <c r="I737" i="1"/>
  <c r="J737" i="1"/>
  <c r="K737" i="1"/>
  <c r="L737" i="1"/>
  <c r="M737" i="1"/>
  <c r="N737" i="1"/>
  <c r="O737" i="1"/>
  <c r="P737" i="1"/>
  <c r="R737" i="1"/>
  <c r="S737" i="1"/>
  <c r="T737" i="1"/>
  <c r="U737" i="1"/>
  <c r="B736" i="1"/>
  <c r="C736" i="1"/>
  <c r="D736" i="1"/>
  <c r="E736" i="1"/>
  <c r="F736" i="1"/>
  <c r="G736" i="1"/>
  <c r="H736" i="1"/>
  <c r="I736" i="1"/>
  <c r="J736" i="1"/>
  <c r="K736" i="1"/>
  <c r="L736" i="1"/>
  <c r="M736" i="1"/>
  <c r="N736" i="1"/>
  <c r="O736" i="1"/>
  <c r="P736" i="1"/>
  <c r="R736" i="1"/>
  <c r="S736" i="1"/>
  <c r="T736" i="1"/>
  <c r="U736" i="1"/>
  <c r="B735" i="1"/>
  <c r="C735" i="1"/>
  <c r="D735" i="1"/>
  <c r="E735" i="1"/>
  <c r="F735" i="1"/>
  <c r="G735" i="1"/>
  <c r="H735" i="1"/>
  <c r="I735" i="1"/>
  <c r="J735" i="1"/>
  <c r="K735" i="1"/>
  <c r="L735" i="1"/>
  <c r="M735" i="1"/>
  <c r="N735" i="1"/>
  <c r="O735" i="1"/>
  <c r="P735" i="1"/>
  <c r="R735" i="1"/>
  <c r="S735" i="1"/>
  <c r="T735" i="1"/>
  <c r="U735" i="1"/>
  <c r="B734" i="1"/>
  <c r="C734" i="1"/>
  <c r="D734" i="1"/>
  <c r="E734" i="1"/>
  <c r="F734" i="1"/>
  <c r="G734" i="1"/>
  <c r="H734" i="1"/>
  <c r="I734" i="1"/>
  <c r="J734" i="1"/>
  <c r="K734" i="1"/>
  <c r="L734" i="1"/>
  <c r="M734" i="1"/>
  <c r="N734" i="1"/>
  <c r="O734" i="1"/>
  <c r="P734" i="1"/>
  <c r="R734" i="1"/>
  <c r="S734" i="1"/>
  <c r="T734" i="1"/>
  <c r="U734" i="1"/>
  <c r="B733" i="1"/>
  <c r="C733" i="1"/>
  <c r="D733" i="1"/>
  <c r="E733" i="1"/>
  <c r="F733" i="1"/>
  <c r="G733" i="1"/>
  <c r="H733" i="1"/>
  <c r="I733" i="1"/>
  <c r="J733" i="1"/>
  <c r="K733" i="1"/>
  <c r="L733" i="1"/>
  <c r="M733" i="1"/>
  <c r="N733" i="1"/>
  <c r="O733" i="1"/>
  <c r="P733" i="1"/>
  <c r="R733" i="1"/>
  <c r="S733" i="1"/>
  <c r="T733" i="1"/>
  <c r="U733" i="1"/>
  <c r="B732" i="1"/>
  <c r="C732" i="1"/>
  <c r="D732" i="1"/>
  <c r="E732" i="1"/>
  <c r="F732" i="1"/>
  <c r="G732" i="1"/>
  <c r="H732" i="1"/>
  <c r="I732" i="1"/>
  <c r="J732" i="1"/>
  <c r="K732" i="1"/>
  <c r="L732" i="1"/>
  <c r="M732" i="1"/>
  <c r="N732" i="1"/>
  <c r="O732" i="1"/>
  <c r="P732" i="1"/>
  <c r="R732" i="1"/>
  <c r="S732" i="1"/>
  <c r="T732" i="1"/>
  <c r="U732" i="1"/>
  <c r="B731" i="1"/>
  <c r="C731" i="1"/>
  <c r="D731" i="1"/>
  <c r="E731" i="1"/>
  <c r="F731" i="1"/>
  <c r="G731" i="1"/>
  <c r="H731" i="1"/>
  <c r="I731" i="1"/>
  <c r="J731" i="1"/>
  <c r="K731" i="1"/>
  <c r="L731" i="1"/>
  <c r="M731" i="1"/>
  <c r="N731" i="1"/>
  <c r="O731" i="1"/>
  <c r="P731" i="1"/>
  <c r="R731" i="1"/>
  <c r="S731" i="1"/>
  <c r="T731" i="1"/>
  <c r="U731" i="1"/>
  <c r="B730" i="1"/>
  <c r="C730" i="1"/>
  <c r="D730" i="1"/>
  <c r="E730" i="1"/>
  <c r="F730" i="1"/>
  <c r="G730" i="1"/>
  <c r="H730" i="1"/>
  <c r="I730" i="1"/>
  <c r="J730" i="1"/>
  <c r="K730" i="1"/>
  <c r="L730" i="1"/>
  <c r="M730" i="1"/>
  <c r="N730" i="1"/>
  <c r="O730" i="1"/>
  <c r="P730" i="1"/>
  <c r="R730" i="1"/>
  <c r="S730" i="1"/>
  <c r="T730" i="1"/>
  <c r="U730" i="1"/>
  <c r="B729" i="1"/>
  <c r="C729" i="1"/>
  <c r="D729" i="1"/>
  <c r="E729" i="1"/>
  <c r="F729" i="1"/>
  <c r="G729" i="1"/>
  <c r="H729" i="1"/>
  <c r="I729" i="1"/>
  <c r="J729" i="1"/>
  <c r="K729" i="1"/>
  <c r="L729" i="1"/>
  <c r="M729" i="1"/>
  <c r="N729" i="1"/>
  <c r="O729" i="1"/>
  <c r="P729" i="1"/>
  <c r="R729" i="1"/>
  <c r="S729" i="1"/>
  <c r="T729" i="1"/>
  <c r="U729" i="1"/>
  <c r="B728" i="1"/>
  <c r="C728" i="1"/>
  <c r="D728" i="1"/>
  <c r="E728" i="1"/>
  <c r="F728" i="1"/>
  <c r="G728" i="1"/>
  <c r="H728" i="1"/>
  <c r="I728" i="1"/>
  <c r="J728" i="1"/>
  <c r="K728" i="1"/>
  <c r="L728" i="1"/>
  <c r="M728" i="1"/>
  <c r="N728" i="1"/>
  <c r="O728" i="1"/>
  <c r="P728" i="1"/>
  <c r="R728" i="1"/>
  <c r="S728" i="1"/>
  <c r="T728" i="1"/>
  <c r="U728" i="1"/>
  <c r="B727" i="1"/>
  <c r="C727" i="1"/>
  <c r="D727" i="1"/>
  <c r="E727" i="1"/>
  <c r="F727" i="1"/>
  <c r="G727" i="1"/>
  <c r="H727" i="1"/>
  <c r="I727" i="1"/>
  <c r="J727" i="1"/>
  <c r="K727" i="1"/>
  <c r="L727" i="1"/>
  <c r="M727" i="1"/>
  <c r="N727" i="1"/>
  <c r="O727" i="1"/>
  <c r="P727" i="1"/>
  <c r="R727" i="1"/>
  <c r="S727" i="1"/>
  <c r="T727" i="1"/>
  <c r="U727" i="1"/>
  <c r="B726" i="1"/>
  <c r="C726" i="1"/>
  <c r="D726" i="1"/>
  <c r="E726" i="1"/>
  <c r="F726" i="1"/>
  <c r="G726" i="1"/>
  <c r="H726" i="1"/>
  <c r="I726" i="1"/>
  <c r="J726" i="1"/>
  <c r="K726" i="1"/>
  <c r="L726" i="1"/>
  <c r="M726" i="1"/>
  <c r="N726" i="1"/>
  <c r="O726" i="1"/>
  <c r="P726" i="1"/>
  <c r="R726" i="1"/>
  <c r="S726" i="1"/>
  <c r="T726" i="1"/>
  <c r="U726" i="1"/>
  <c r="B725" i="1"/>
  <c r="C725" i="1"/>
  <c r="D725" i="1"/>
  <c r="E725" i="1"/>
  <c r="F725" i="1"/>
  <c r="G725" i="1"/>
  <c r="H725" i="1"/>
  <c r="I725" i="1"/>
  <c r="J725" i="1"/>
  <c r="K725" i="1"/>
  <c r="L725" i="1"/>
  <c r="M725" i="1"/>
  <c r="N725" i="1"/>
  <c r="O725" i="1"/>
  <c r="P725" i="1"/>
  <c r="R725" i="1"/>
  <c r="S725" i="1"/>
  <c r="T725" i="1"/>
  <c r="U725" i="1"/>
  <c r="B724" i="1"/>
  <c r="C724" i="1"/>
  <c r="D724" i="1"/>
  <c r="E724" i="1"/>
  <c r="F724" i="1"/>
  <c r="G724" i="1"/>
  <c r="H724" i="1"/>
  <c r="I724" i="1"/>
  <c r="J724" i="1"/>
  <c r="K724" i="1"/>
  <c r="L724" i="1"/>
  <c r="M724" i="1"/>
  <c r="N724" i="1"/>
  <c r="O724" i="1"/>
  <c r="P724" i="1"/>
  <c r="R724" i="1"/>
  <c r="S724" i="1"/>
  <c r="T724" i="1"/>
  <c r="U724" i="1"/>
  <c r="B723" i="1"/>
  <c r="C723" i="1"/>
  <c r="D723" i="1"/>
  <c r="E723" i="1"/>
  <c r="F723" i="1"/>
  <c r="G723" i="1"/>
  <c r="H723" i="1"/>
  <c r="I723" i="1"/>
  <c r="J723" i="1"/>
  <c r="K723" i="1"/>
  <c r="L723" i="1"/>
  <c r="M723" i="1"/>
  <c r="N723" i="1"/>
  <c r="O723" i="1"/>
  <c r="P723" i="1"/>
  <c r="R723" i="1"/>
  <c r="S723" i="1"/>
  <c r="T723" i="1"/>
  <c r="U723" i="1"/>
  <c r="B722" i="1"/>
  <c r="C722" i="1"/>
  <c r="D722" i="1"/>
  <c r="E722" i="1"/>
  <c r="F722" i="1"/>
  <c r="G722" i="1"/>
  <c r="H722" i="1"/>
  <c r="I722" i="1"/>
  <c r="J722" i="1"/>
  <c r="K722" i="1"/>
  <c r="L722" i="1"/>
  <c r="M722" i="1"/>
  <c r="N722" i="1"/>
  <c r="O722" i="1"/>
  <c r="P722" i="1"/>
  <c r="R722" i="1"/>
  <c r="S722" i="1"/>
  <c r="T722" i="1"/>
  <c r="U722" i="1"/>
  <c r="B721" i="1"/>
  <c r="C721" i="1"/>
  <c r="D721" i="1"/>
  <c r="E721" i="1"/>
  <c r="F721" i="1"/>
  <c r="G721" i="1"/>
  <c r="H721" i="1"/>
  <c r="I721" i="1"/>
  <c r="J721" i="1"/>
  <c r="K721" i="1"/>
  <c r="L721" i="1"/>
  <c r="M721" i="1"/>
  <c r="N721" i="1"/>
  <c r="O721" i="1"/>
  <c r="P721" i="1"/>
  <c r="R721" i="1"/>
  <c r="S721" i="1"/>
  <c r="T721" i="1"/>
  <c r="U721" i="1"/>
  <c r="B720" i="1"/>
  <c r="C720" i="1"/>
  <c r="D720" i="1"/>
  <c r="E720" i="1"/>
  <c r="F720" i="1"/>
  <c r="G720" i="1"/>
  <c r="H720" i="1"/>
  <c r="I720" i="1"/>
  <c r="J720" i="1"/>
  <c r="K720" i="1"/>
  <c r="L720" i="1"/>
  <c r="M720" i="1"/>
  <c r="N720" i="1"/>
  <c r="O720" i="1"/>
  <c r="P720" i="1"/>
  <c r="R720" i="1"/>
  <c r="S720" i="1"/>
  <c r="T720" i="1"/>
  <c r="U720" i="1"/>
  <c r="B719" i="1"/>
  <c r="C719" i="1"/>
  <c r="D719" i="1"/>
  <c r="E719" i="1"/>
  <c r="F719" i="1"/>
  <c r="G719" i="1"/>
  <c r="H719" i="1"/>
  <c r="I719" i="1"/>
  <c r="J719" i="1"/>
  <c r="K719" i="1"/>
  <c r="L719" i="1"/>
  <c r="M719" i="1"/>
  <c r="N719" i="1"/>
  <c r="O719" i="1"/>
  <c r="P719" i="1"/>
  <c r="R719" i="1"/>
  <c r="S719" i="1"/>
  <c r="T719" i="1"/>
  <c r="U719" i="1"/>
  <c r="B718" i="1"/>
  <c r="C718" i="1"/>
  <c r="D718" i="1"/>
  <c r="E718" i="1"/>
  <c r="F718" i="1"/>
  <c r="G718" i="1"/>
  <c r="H718" i="1"/>
  <c r="I718" i="1"/>
  <c r="J718" i="1"/>
  <c r="K718" i="1"/>
  <c r="L718" i="1"/>
  <c r="M718" i="1"/>
  <c r="N718" i="1"/>
  <c r="O718" i="1"/>
  <c r="P718" i="1"/>
  <c r="R718" i="1"/>
  <c r="S718" i="1"/>
  <c r="T718" i="1"/>
  <c r="U718" i="1"/>
  <c r="B717" i="1"/>
  <c r="C717" i="1"/>
  <c r="D717" i="1"/>
  <c r="E717" i="1"/>
  <c r="F717" i="1"/>
  <c r="G717" i="1"/>
  <c r="H717" i="1"/>
  <c r="I717" i="1"/>
  <c r="J717" i="1"/>
  <c r="K717" i="1"/>
  <c r="L717" i="1"/>
  <c r="M717" i="1"/>
  <c r="N717" i="1"/>
  <c r="O717" i="1"/>
  <c r="P717" i="1"/>
  <c r="R717" i="1"/>
  <c r="S717" i="1"/>
  <c r="T717" i="1"/>
  <c r="U717" i="1"/>
  <c r="B716" i="1"/>
  <c r="C716" i="1"/>
  <c r="D716" i="1"/>
  <c r="E716" i="1"/>
  <c r="F716" i="1"/>
  <c r="G716" i="1"/>
  <c r="H716" i="1"/>
  <c r="I716" i="1"/>
  <c r="J716" i="1"/>
  <c r="K716" i="1"/>
  <c r="L716" i="1"/>
  <c r="M716" i="1"/>
  <c r="N716" i="1"/>
  <c r="O716" i="1"/>
  <c r="P716" i="1"/>
  <c r="R716" i="1"/>
  <c r="S716" i="1"/>
  <c r="T716" i="1"/>
  <c r="U716" i="1"/>
  <c r="B715" i="1"/>
  <c r="C715" i="1"/>
  <c r="D715" i="1"/>
  <c r="E715" i="1"/>
  <c r="F715" i="1"/>
  <c r="G715" i="1"/>
  <c r="H715" i="1"/>
  <c r="I715" i="1"/>
  <c r="J715" i="1"/>
  <c r="K715" i="1"/>
  <c r="L715" i="1"/>
  <c r="M715" i="1"/>
  <c r="N715" i="1"/>
  <c r="O715" i="1"/>
  <c r="P715" i="1"/>
  <c r="R715" i="1"/>
  <c r="S715" i="1"/>
  <c r="T715" i="1"/>
  <c r="U715" i="1"/>
  <c r="B714" i="1"/>
  <c r="C714" i="1"/>
  <c r="D714" i="1"/>
  <c r="E714" i="1"/>
  <c r="F714" i="1"/>
  <c r="G714" i="1"/>
  <c r="H714" i="1"/>
  <c r="I714" i="1"/>
  <c r="J714" i="1"/>
  <c r="K714" i="1"/>
  <c r="L714" i="1"/>
  <c r="M714" i="1"/>
  <c r="N714" i="1"/>
  <c r="O714" i="1"/>
  <c r="P714" i="1"/>
  <c r="R714" i="1"/>
  <c r="S714" i="1"/>
  <c r="T714" i="1"/>
  <c r="U714" i="1"/>
  <c r="B713" i="1"/>
  <c r="C713" i="1"/>
  <c r="D713" i="1"/>
  <c r="E713" i="1"/>
  <c r="F713" i="1"/>
  <c r="G713" i="1"/>
  <c r="H713" i="1"/>
  <c r="I713" i="1"/>
  <c r="J713" i="1"/>
  <c r="K713" i="1"/>
  <c r="L713" i="1"/>
  <c r="M713" i="1"/>
  <c r="N713" i="1"/>
  <c r="O713" i="1"/>
  <c r="P713" i="1"/>
  <c r="R713" i="1"/>
  <c r="S713" i="1"/>
  <c r="T713" i="1"/>
  <c r="U713" i="1"/>
  <c r="B712" i="1"/>
  <c r="C712" i="1"/>
  <c r="D712" i="1"/>
  <c r="E712" i="1"/>
  <c r="F712" i="1"/>
  <c r="G712" i="1"/>
  <c r="H712" i="1"/>
  <c r="I712" i="1"/>
  <c r="J712" i="1"/>
  <c r="K712" i="1"/>
  <c r="L712" i="1"/>
  <c r="M712" i="1"/>
  <c r="N712" i="1"/>
  <c r="O712" i="1"/>
  <c r="P712" i="1"/>
  <c r="R712" i="1"/>
  <c r="S712" i="1"/>
  <c r="T712" i="1"/>
  <c r="U712" i="1"/>
  <c r="B711" i="1"/>
  <c r="C711" i="1"/>
  <c r="D711" i="1"/>
  <c r="E711" i="1"/>
  <c r="F711" i="1"/>
  <c r="G711" i="1"/>
  <c r="H711" i="1"/>
  <c r="I711" i="1"/>
  <c r="J711" i="1"/>
  <c r="K711" i="1"/>
  <c r="L711" i="1"/>
  <c r="M711" i="1"/>
  <c r="N711" i="1"/>
  <c r="O711" i="1"/>
  <c r="P711" i="1"/>
  <c r="R711" i="1"/>
  <c r="S711" i="1"/>
  <c r="T711" i="1"/>
  <c r="U711" i="1"/>
  <c r="B710" i="1"/>
  <c r="C710" i="1"/>
  <c r="D710" i="1"/>
  <c r="E710" i="1"/>
  <c r="F710" i="1"/>
  <c r="G710" i="1"/>
  <c r="H710" i="1"/>
  <c r="I710" i="1"/>
  <c r="J710" i="1"/>
  <c r="K710" i="1"/>
  <c r="L710" i="1"/>
  <c r="M710" i="1"/>
  <c r="N710" i="1"/>
  <c r="O710" i="1"/>
  <c r="P710" i="1"/>
  <c r="R710" i="1"/>
  <c r="S710" i="1"/>
  <c r="T710" i="1"/>
  <c r="U710" i="1"/>
  <c r="B709" i="1"/>
  <c r="C709" i="1"/>
  <c r="D709" i="1"/>
  <c r="E709" i="1"/>
  <c r="F709" i="1"/>
  <c r="G709" i="1"/>
  <c r="H709" i="1"/>
  <c r="I709" i="1"/>
  <c r="J709" i="1"/>
  <c r="K709" i="1"/>
  <c r="L709" i="1"/>
  <c r="M709" i="1"/>
  <c r="N709" i="1"/>
  <c r="O709" i="1"/>
  <c r="P709" i="1"/>
  <c r="R709" i="1"/>
  <c r="S709" i="1"/>
  <c r="T709" i="1"/>
  <c r="U709" i="1"/>
  <c r="B708" i="1"/>
  <c r="C708" i="1"/>
  <c r="D708" i="1"/>
  <c r="E708" i="1"/>
  <c r="F708" i="1"/>
  <c r="G708" i="1"/>
  <c r="H708" i="1"/>
  <c r="I708" i="1"/>
  <c r="J708" i="1"/>
  <c r="K708" i="1"/>
  <c r="L708" i="1"/>
  <c r="M708" i="1"/>
  <c r="N708" i="1"/>
  <c r="O708" i="1"/>
  <c r="P708" i="1"/>
  <c r="R708" i="1"/>
  <c r="S708" i="1"/>
  <c r="T708" i="1"/>
  <c r="U708" i="1"/>
  <c r="B707" i="1"/>
  <c r="C707" i="1"/>
  <c r="D707" i="1"/>
  <c r="E707" i="1"/>
  <c r="F707" i="1"/>
  <c r="G707" i="1"/>
  <c r="H707" i="1"/>
  <c r="I707" i="1"/>
  <c r="J707" i="1"/>
  <c r="K707" i="1"/>
  <c r="L707" i="1"/>
  <c r="M707" i="1"/>
  <c r="N707" i="1"/>
  <c r="O707" i="1"/>
  <c r="P707" i="1"/>
  <c r="R707" i="1"/>
  <c r="S707" i="1"/>
  <c r="T707" i="1"/>
  <c r="U707" i="1"/>
  <c r="B706" i="1"/>
  <c r="C706" i="1"/>
  <c r="D706" i="1"/>
  <c r="E706" i="1"/>
  <c r="F706" i="1"/>
  <c r="G706" i="1"/>
  <c r="H706" i="1"/>
  <c r="I706" i="1"/>
  <c r="J706" i="1"/>
  <c r="K706" i="1"/>
  <c r="L706" i="1"/>
  <c r="M706" i="1"/>
  <c r="N706" i="1"/>
  <c r="O706" i="1"/>
  <c r="P706" i="1"/>
  <c r="R706" i="1"/>
  <c r="S706" i="1"/>
  <c r="T706" i="1"/>
  <c r="U706" i="1"/>
  <c r="B705" i="1"/>
  <c r="C705" i="1"/>
  <c r="D705" i="1"/>
  <c r="E705" i="1"/>
  <c r="F705" i="1"/>
  <c r="G705" i="1"/>
  <c r="H705" i="1"/>
  <c r="I705" i="1"/>
  <c r="J705" i="1"/>
  <c r="K705" i="1"/>
  <c r="L705" i="1"/>
  <c r="M705" i="1"/>
  <c r="N705" i="1"/>
  <c r="O705" i="1"/>
  <c r="P705" i="1"/>
  <c r="R705" i="1"/>
  <c r="S705" i="1"/>
  <c r="T705" i="1"/>
  <c r="U705" i="1"/>
  <c r="B704" i="1"/>
  <c r="C704" i="1"/>
  <c r="D704" i="1"/>
  <c r="E704" i="1"/>
  <c r="F704" i="1"/>
  <c r="G704" i="1"/>
  <c r="H704" i="1"/>
  <c r="I704" i="1"/>
  <c r="J704" i="1"/>
  <c r="K704" i="1"/>
  <c r="L704" i="1"/>
  <c r="M704" i="1"/>
  <c r="N704" i="1"/>
  <c r="O704" i="1"/>
  <c r="P704" i="1"/>
  <c r="R704" i="1"/>
  <c r="S704" i="1"/>
  <c r="T704" i="1"/>
  <c r="U704" i="1"/>
  <c r="B703" i="1"/>
  <c r="C703" i="1"/>
  <c r="D703" i="1"/>
  <c r="E703" i="1"/>
  <c r="F703" i="1"/>
  <c r="G703" i="1"/>
  <c r="H703" i="1"/>
  <c r="I703" i="1"/>
  <c r="J703" i="1"/>
  <c r="K703" i="1"/>
  <c r="L703" i="1"/>
  <c r="M703" i="1"/>
  <c r="N703" i="1"/>
  <c r="O703" i="1"/>
  <c r="P703" i="1"/>
  <c r="R703" i="1"/>
  <c r="S703" i="1"/>
  <c r="T703" i="1"/>
  <c r="U703" i="1"/>
  <c r="B702" i="1"/>
  <c r="C702" i="1"/>
  <c r="D702" i="1"/>
  <c r="E702" i="1"/>
  <c r="F702" i="1"/>
  <c r="G702" i="1"/>
  <c r="H702" i="1"/>
  <c r="I702" i="1"/>
  <c r="J702" i="1"/>
  <c r="K702" i="1"/>
  <c r="L702" i="1"/>
  <c r="M702" i="1"/>
  <c r="N702" i="1"/>
  <c r="O702" i="1"/>
  <c r="P702" i="1"/>
  <c r="R702" i="1"/>
  <c r="S702" i="1"/>
  <c r="T702" i="1"/>
  <c r="U702" i="1"/>
  <c r="B701" i="1"/>
  <c r="C701" i="1"/>
  <c r="D701" i="1"/>
  <c r="E701" i="1"/>
  <c r="F701" i="1"/>
  <c r="G701" i="1"/>
  <c r="H701" i="1"/>
  <c r="I701" i="1"/>
  <c r="J701" i="1"/>
  <c r="K701" i="1"/>
  <c r="L701" i="1"/>
  <c r="M701" i="1"/>
  <c r="N701" i="1"/>
  <c r="O701" i="1"/>
  <c r="P701" i="1"/>
  <c r="R701" i="1"/>
  <c r="S701" i="1"/>
  <c r="T701" i="1"/>
  <c r="U701" i="1"/>
  <c r="B700" i="1"/>
  <c r="C700" i="1"/>
  <c r="D700" i="1"/>
  <c r="E700" i="1"/>
  <c r="F700" i="1"/>
  <c r="G700" i="1"/>
  <c r="H700" i="1"/>
  <c r="I700" i="1"/>
  <c r="J700" i="1"/>
  <c r="K700" i="1"/>
  <c r="L700" i="1"/>
  <c r="M700" i="1"/>
  <c r="N700" i="1"/>
  <c r="O700" i="1"/>
  <c r="P700" i="1"/>
  <c r="R700" i="1"/>
  <c r="S700" i="1"/>
  <c r="T700" i="1"/>
  <c r="U700" i="1"/>
  <c r="B699" i="1"/>
  <c r="C699" i="1"/>
  <c r="D699" i="1"/>
  <c r="E699" i="1"/>
  <c r="F699" i="1"/>
  <c r="G699" i="1"/>
  <c r="H699" i="1"/>
  <c r="I699" i="1"/>
  <c r="J699" i="1"/>
  <c r="K699" i="1"/>
  <c r="L699" i="1"/>
  <c r="M699" i="1"/>
  <c r="N699" i="1"/>
  <c r="O699" i="1"/>
  <c r="P699" i="1"/>
  <c r="R699" i="1"/>
  <c r="S699" i="1"/>
  <c r="T699" i="1"/>
  <c r="U699" i="1"/>
  <c r="B698" i="1"/>
  <c r="C698" i="1"/>
  <c r="D698" i="1"/>
  <c r="E698" i="1"/>
  <c r="F698" i="1"/>
  <c r="G698" i="1"/>
  <c r="H698" i="1"/>
  <c r="I698" i="1"/>
  <c r="J698" i="1"/>
  <c r="K698" i="1"/>
  <c r="L698" i="1"/>
  <c r="M698" i="1"/>
  <c r="N698" i="1"/>
  <c r="O698" i="1"/>
  <c r="P698" i="1"/>
  <c r="R698" i="1"/>
  <c r="S698" i="1"/>
  <c r="T698" i="1"/>
  <c r="U698" i="1"/>
  <c r="B697" i="1"/>
  <c r="C697" i="1"/>
  <c r="D697" i="1"/>
  <c r="E697" i="1"/>
  <c r="F697" i="1"/>
  <c r="G697" i="1"/>
  <c r="H697" i="1"/>
  <c r="I697" i="1"/>
  <c r="J697" i="1"/>
  <c r="K697" i="1"/>
  <c r="L697" i="1"/>
  <c r="M697" i="1"/>
  <c r="N697" i="1"/>
  <c r="O697" i="1"/>
  <c r="P697" i="1"/>
  <c r="R697" i="1"/>
  <c r="S697" i="1"/>
  <c r="T697" i="1"/>
  <c r="U697" i="1"/>
  <c r="B696" i="1"/>
  <c r="C696" i="1"/>
  <c r="D696" i="1"/>
  <c r="E696" i="1"/>
  <c r="F696" i="1"/>
  <c r="G696" i="1"/>
  <c r="H696" i="1"/>
  <c r="I696" i="1"/>
  <c r="J696" i="1"/>
  <c r="K696" i="1"/>
  <c r="L696" i="1"/>
  <c r="M696" i="1"/>
  <c r="N696" i="1"/>
  <c r="O696" i="1"/>
  <c r="P696" i="1"/>
  <c r="R696" i="1"/>
  <c r="S696" i="1"/>
  <c r="T696" i="1"/>
  <c r="U696" i="1"/>
  <c r="B695" i="1"/>
  <c r="C695" i="1"/>
  <c r="D695" i="1"/>
  <c r="E695" i="1"/>
  <c r="F695" i="1"/>
  <c r="G695" i="1"/>
  <c r="H695" i="1"/>
  <c r="I695" i="1"/>
  <c r="J695" i="1"/>
  <c r="K695" i="1"/>
  <c r="L695" i="1"/>
  <c r="M695" i="1"/>
  <c r="N695" i="1"/>
  <c r="O695" i="1"/>
  <c r="P695" i="1"/>
  <c r="R695" i="1"/>
  <c r="S695" i="1"/>
  <c r="T695" i="1"/>
  <c r="U695" i="1"/>
  <c r="B694" i="1"/>
  <c r="C694" i="1"/>
  <c r="D694" i="1"/>
  <c r="E694" i="1"/>
  <c r="F694" i="1"/>
  <c r="G694" i="1"/>
  <c r="H694" i="1"/>
  <c r="I694" i="1"/>
  <c r="J694" i="1"/>
  <c r="K694" i="1"/>
  <c r="L694" i="1"/>
  <c r="M694" i="1"/>
  <c r="N694" i="1"/>
  <c r="O694" i="1"/>
  <c r="P694" i="1"/>
  <c r="R694" i="1"/>
  <c r="S694" i="1"/>
  <c r="T694" i="1"/>
  <c r="U694" i="1"/>
  <c r="B693" i="1"/>
  <c r="C693" i="1"/>
  <c r="D693" i="1"/>
  <c r="E693" i="1"/>
  <c r="F693" i="1"/>
  <c r="G693" i="1"/>
  <c r="H693" i="1"/>
  <c r="I693" i="1"/>
  <c r="J693" i="1"/>
  <c r="K693" i="1"/>
  <c r="L693" i="1"/>
  <c r="M693" i="1"/>
  <c r="N693" i="1"/>
  <c r="O693" i="1"/>
  <c r="P693" i="1"/>
  <c r="R693" i="1"/>
  <c r="S693" i="1"/>
  <c r="T693" i="1"/>
  <c r="U693" i="1"/>
  <c r="B692" i="1"/>
  <c r="C692" i="1"/>
  <c r="D692" i="1"/>
  <c r="E692" i="1"/>
  <c r="F692" i="1"/>
  <c r="G692" i="1"/>
  <c r="H692" i="1"/>
  <c r="I692" i="1"/>
  <c r="J692" i="1"/>
  <c r="K692" i="1"/>
  <c r="L692" i="1"/>
  <c r="M692" i="1"/>
  <c r="N692" i="1"/>
  <c r="O692" i="1"/>
  <c r="P692" i="1"/>
  <c r="R692" i="1"/>
  <c r="S692" i="1"/>
  <c r="T692" i="1"/>
  <c r="U692" i="1"/>
  <c r="B691" i="1"/>
  <c r="C691" i="1"/>
  <c r="D691" i="1"/>
  <c r="E691" i="1"/>
  <c r="F691" i="1"/>
  <c r="G691" i="1"/>
  <c r="H691" i="1"/>
  <c r="I691" i="1"/>
  <c r="J691" i="1"/>
  <c r="K691" i="1"/>
  <c r="L691" i="1"/>
  <c r="M691" i="1"/>
  <c r="N691" i="1"/>
  <c r="O691" i="1"/>
  <c r="P691" i="1"/>
  <c r="R691" i="1"/>
  <c r="S691" i="1"/>
  <c r="T691" i="1"/>
  <c r="U691" i="1"/>
  <c r="B690" i="1"/>
  <c r="C690" i="1"/>
  <c r="D690" i="1"/>
  <c r="E690" i="1"/>
  <c r="F690" i="1"/>
  <c r="G690" i="1"/>
  <c r="H690" i="1"/>
  <c r="I690" i="1"/>
  <c r="J690" i="1"/>
  <c r="K690" i="1"/>
  <c r="L690" i="1"/>
  <c r="M690" i="1"/>
  <c r="N690" i="1"/>
  <c r="O690" i="1"/>
  <c r="P690" i="1"/>
  <c r="R690" i="1"/>
  <c r="S690" i="1"/>
  <c r="T690" i="1"/>
  <c r="U690" i="1"/>
  <c r="B689" i="1"/>
  <c r="C689" i="1"/>
  <c r="D689" i="1"/>
  <c r="E689" i="1"/>
  <c r="F689" i="1"/>
  <c r="G689" i="1"/>
  <c r="H689" i="1"/>
  <c r="I689" i="1"/>
  <c r="J689" i="1"/>
  <c r="K689" i="1"/>
  <c r="L689" i="1"/>
  <c r="M689" i="1"/>
  <c r="N689" i="1"/>
  <c r="O689" i="1"/>
  <c r="P689" i="1"/>
  <c r="R689" i="1"/>
  <c r="S689" i="1"/>
  <c r="T689" i="1"/>
  <c r="U689" i="1"/>
  <c r="B688" i="1"/>
  <c r="C688" i="1"/>
  <c r="D688" i="1"/>
  <c r="E688" i="1"/>
  <c r="F688" i="1"/>
  <c r="G688" i="1"/>
  <c r="H688" i="1"/>
  <c r="I688" i="1"/>
  <c r="J688" i="1"/>
  <c r="K688" i="1"/>
  <c r="L688" i="1"/>
  <c r="M688" i="1"/>
  <c r="N688" i="1"/>
  <c r="O688" i="1"/>
  <c r="P688" i="1"/>
  <c r="R688" i="1"/>
  <c r="S688" i="1"/>
  <c r="T688" i="1"/>
  <c r="U688" i="1"/>
  <c r="B687" i="1"/>
  <c r="C687" i="1"/>
  <c r="D687" i="1"/>
  <c r="E687" i="1"/>
  <c r="F687" i="1"/>
  <c r="G687" i="1"/>
  <c r="H687" i="1"/>
  <c r="I687" i="1"/>
  <c r="J687" i="1"/>
  <c r="K687" i="1"/>
  <c r="L687" i="1"/>
  <c r="M687" i="1"/>
  <c r="N687" i="1"/>
  <c r="O687" i="1"/>
  <c r="P687" i="1"/>
  <c r="R687" i="1"/>
  <c r="S687" i="1"/>
  <c r="T687" i="1"/>
  <c r="U687" i="1"/>
  <c r="B686" i="1"/>
  <c r="C686" i="1"/>
  <c r="D686" i="1"/>
  <c r="E686" i="1"/>
  <c r="F686" i="1"/>
  <c r="G686" i="1"/>
  <c r="H686" i="1"/>
  <c r="I686" i="1"/>
  <c r="J686" i="1"/>
  <c r="K686" i="1"/>
  <c r="L686" i="1"/>
  <c r="M686" i="1"/>
  <c r="N686" i="1"/>
  <c r="O686" i="1"/>
  <c r="P686" i="1"/>
  <c r="R686" i="1"/>
  <c r="S686" i="1"/>
  <c r="T686" i="1"/>
  <c r="U686" i="1"/>
  <c r="B685" i="1"/>
  <c r="C685" i="1"/>
  <c r="D685" i="1"/>
  <c r="E685" i="1"/>
  <c r="F685" i="1"/>
  <c r="G685" i="1"/>
  <c r="H685" i="1"/>
  <c r="I685" i="1"/>
  <c r="J685" i="1"/>
  <c r="K685" i="1"/>
  <c r="L685" i="1"/>
  <c r="M685" i="1"/>
  <c r="N685" i="1"/>
  <c r="O685" i="1"/>
  <c r="P685" i="1"/>
  <c r="R685" i="1"/>
  <c r="S685" i="1"/>
  <c r="T685" i="1"/>
  <c r="U685" i="1"/>
  <c r="B684" i="1"/>
  <c r="C684" i="1"/>
  <c r="D684" i="1"/>
  <c r="E684" i="1"/>
  <c r="F684" i="1"/>
  <c r="G684" i="1"/>
  <c r="H684" i="1"/>
  <c r="I684" i="1"/>
  <c r="J684" i="1"/>
  <c r="K684" i="1"/>
  <c r="L684" i="1"/>
  <c r="M684" i="1"/>
  <c r="N684" i="1"/>
  <c r="O684" i="1"/>
  <c r="P684" i="1"/>
  <c r="R684" i="1"/>
  <c r="S684" i="1"/>
  <c r="T684" i="1"/>
  <c r="U684" i="1"/>
  <c r="B683" i="1"/>
  <c r="C683" i="1"/>
  <c r="D683" i="1"/>
  <c r="E683" i="1"/>
  <c r="F683" i="1"/>
  <c r="G683" i="1"/>
  <c r="H683" i="1"/>
  <c r="I683" i="1"/>
  <c r="J683" i="1"/>
  <c r="K683" i="1"/>
  <c r="L683" i="1"/>
  <c r="M683" i="1"/>
  <c r="N683" i="1"/>
  <c r="O683" i="1"/>
  <c r="P683" i="1"/>
  <c r="R683" i="1"/>
  <c r="S683" i="1"/>
  <c r="T683" i="1"/>
  <c r="U683" i="1"/>
  <c r="B682" i="1"/>
  <c r="C682" i="1"/>
  <c r="D682" i="1"/>
  <c r="E682" i="1"/>
  <c r="F682" i="1"/>
  <c r="G682" i="1"/>
  <c r="H682" i="1"/>
  <c r="I682" i="1"/>
  <c r="J682" i="1"/>
  <c r="K682" i="1"/>
  <c r="L682" i="1"/>
  <c r="M682" i="1"/>
  <c r="N682" i="1"/>
  <c r="O682" i="1"/>
  <c r="P682" i="1"/>
  <c r="R682" i="1"/>
  <c r="S682" i="1"/>
  <c r="T682" i="1"/>
  <c r="U682" i="1"/>
  <c r="B681" i="1"/>
  <c r="C681" i="1"/>
  <c r="D681" i="1"/>
  <c r="E681" i="1"/>
  <c r="F681" i="1"/>
  <c r="G681" i="1"/>
  <c r="H681" i="1"/>
  <c r="I681" i="1"/>
  <c r="J681" i="1"/>
  <c r="K681" i="1"/>
  <c r="L681" i="1"/>
  <c r="M681" i="1"/>
  <c r="N681" i="1"/>
  <c r="O681" i="1"/>
  <c r="P681" i="1"/>
  <c r="R681" i="1"/>
  <c r="S681" i="1"/>
  <c r="T681" i="1"/>
  <c r="U681" i="1"/>
  <c r="B680" i="1"/>
  <c r="C680" i="1"/>
  <c r="D680" i="1"/>
  <c r="E680" i="1"/>
  <c r="F680" i="1"/>
  <c r="G680" i="1"/>
  <c r="H680" i="1"/>
  <c r="I680" i="1"/>
  <c r="J680" i="1"/>
  <c r="K680" i="1"/>
  <c r="L680" i="1"/>
  <c r="M680" i="1"/>
  <c r="N680" i="1"/>
  <c r="O680" i="1"/>
  <c r="P680" i="1"/>
  <c r="R680" i="1"/>
  <c r="S680" i="1"/>
  <c r="T680" i="1"/>
  <c r="U680" i="1"/>
  <c r="B679" i="1"/>
  <c r="C679" i="1"/>
  <c r="D679" i="1"/>
  <c r="E679" i="1"/>
  <c r="F679" i="1"/>
  <c r="G679" i="1"/>
  <c r="H679" i="1"/>
  <c r="I679" i="1"/>
  <c r="J679" i="1"/>
  <c r="K679" i="1"/>
  <c r="L679" i="1"/>
  <c r="M679" i="1"/>
  <c r="N679" i="1"/>
  <c r="O679" i="1"/>
  <c r="P679" i="1"/>
  <c r="R679" i="1"/>
  <c r="S679" i="1"/>
  <c r="T679" i="1"/>
  <c r="U679" i="1"/>
  <c r="B678" i="1"/>
  <c r="C678" i="1"/>
  <c r="D678" i="1"/>
  <c r="E678" i="1"/>
  <c r="F678" i="1"/>
  <c r="G678" i="1"/>
  <c r="H678" i="1"/>
  <c r="I678" i="1"/>
  <c r="J678" i="1"/>
  <c r="K678" i="1"/>
  <c r="L678" i="1"/>
  <c r="M678" i="1"/>
  <c r="N678" i="1"/>
  <c r="O678" i="1"/>
  <c r="P678" i="1"/>
  <c r="R678" i="1"/>
  <c r="S678" i="1"/>
  <c r="T678" i="1"/>
  <c r="U678" i="1"/>
  <c r="B677" i="1"/>
  <c r="C677" i="1"/>
  <c r="D677" i="1"/>
  <c r="E677" i="1"/>
  <c r="F677" i="1"/>
  <c r="G677" i="1"/>
  <c r="H677" i="1"/>
  <c r="I677" i="1"/>
  <c r="J677" i="1"/>
  <c r="K677" i="1"/>
  <c r="L677" i="1"/>
  <c r="M677" i="1"/>
  <c r="N677" i="1"/>
  <c r="O677" i="1"/>
  <c r="P677" i="1"/>
  <c r="R677" i="1"/>
  <c r="S677" i="1"/>
  <c r="T677" i="1"/>
  <c r="U677" i="1"/>
  <c r="B676" i="1"/>
  <c r="C676" i="1"/>
  <c r="D676" i="1"/>
  <c r="E676" i="1"/>
  <c r="F676" i="1"/>
  <c r="G676" i="1"/>
  <c r="H676" i="1"/>
  <c r="I676" i="1"/>
  <c r="J676" i="1"/>
  <c r="K676" i="1"/>
  <c r="L676" i="1"/>
  <c r="M676" i="1"/>
  <c r="N676" i="1"/>
  <c r="O676" i="1"/>
  <c r="P676" i="1"/>
  <c r="R676" i="1"/>
  <c r="S676" i="1"/>
  <c r="T676" i="1"/>
  <c r="U676" i="1"/>
  <c r="B675" i="1"/>
  <c r="C675" i="1"/>
  <c r="D675" i="1"/>
  <c r="E675" i="1"/>
  <c r="F675" i="1"/>
  <c r="G675" i="1"/>
  <c r="H675" i="1"/>
  <c r="I675" i="1"/>
  <c r="J675" i="1"/>
  <c r="K675" i="1"/>
  <c r="L675" i="1"/>
  <c r="M675" i="1"/>
  <c r="N675" i="1"/>
  <c r="O675" i="1"/>
  <c r="P675" i="1"/>
  <c r="R675" i="1"/>
  <c r="S675" i="1"/>
  <c r="T675" i="1"/>
  <c r="U675" i="1"/>
  <c r="B674" i="1"/>
  <c r="C674" i="1"/>
  <c r="D674" i="1"/>
  <c r="E674" i="1"/>
  <c r="F674" i="1"/>
  <c r="G674" i="1"/>
  <c r="H674" i="1"/>
  <c r="I674" i="1"/>
  <c r="J674" i="1"/>
  <c r="K674" i="1"/>
  <c r="L674" i="1"/>
  <c r="M674" i="1"/>
  <c r="N674" i="1"/>
  <c r="O674" i="1"/>
  <c r="P674" i="1"/>
  <c r="R674" i="1"/>
  <c r="S674" i="1"/>
  <c r="T674" i="1"/>
  <c r="U674" i="1"/>
  <c r="B673" i="1"/>
  <c r="C673" i="1"/>
  <c r="D673" i="1"/>
  <c r="E673" i="1"/>
  <c r="F673" i="1"/>
  <c r="G673" i="1"/>
  <c r="H673" i="1"/>
  <c r="I673" i="1"/>
  <c r="J673" i="1"/>
  <c r="K673" i="1"/>
  <c r="L673" i="1"/>
  <c r="M673" i="1"/>
  <c r="N673" i="1"/>
  <c r="O673" i="1"/>
  <c r="P673" i="1"/>
  <c r="R673" i="1"/>
  <c r="S673" i="1"/>
  <c r="T673" i="1"/>
  <c r="U673" i="1"/>
  <c r="B672" i="1"/>
  <c r="C672" i="1"/>
  <c r="D672" i="1"/>
  <c r="E672" i="1"/>
  <c r="F672" i="1"/>
  <c r="G672" i="1"/>
  <c r="H672" i="1"/>
  <c r="I672" i="1"/>
  <c r="J672" i="1"/>
  <c r="K672" i="1"/>
  <c r="L672" i="1"/>
  <c r="M672" i="1"/>
  <c r="N672" i="1"/>
  <c r="O672" i="1"/>
  <c r="P672" i="1"/>
  <c r="R672" i="1"/>
  <c r="S672" i="1"/>
  <c r="T672" i="1"/>
  <c r="U672" i="1"/>
  <c r="B671" i="1"/>
  <c r="C671" i="1"/>
  <c r="D671" i="1"/>
  <c r="E671" i="1"/>
  <c r="F671" i="1"/>
  <c r="G671" i="1"/>
  <c r="H671" i="1"/>
  <c r="I671" i="1"/>
  <c r="J671" i="1"/>
  <c r="K671" i="1"/>
  <c r="L671" i="1"/>
  <c r="M671" i="1"/>
  <c r="N671" i="1"/>
  <c r="O671" i="1"/>
  <c r="P671" i="1"/>
  <c r="R671" i="1"/>
  <c r="S671" i="1"/>
  <c r="T671" i="1"/>
  <c r="U671" i="1"/>
  <c r="B670" i="1"/>
  <c r="C670" i="1"/>
  <c r="D670" i="1"/>
  <c r="E670" i="1"/>
  <c r="F670" i="1"/>
  <c r="G670" i="1"/>
  <c r="H670" i="1"/>
  <c r="I670" i="1"/>
  <c r="J670" i="1"/>
  <c r="K670" i="1"/>
  <c r="L670" i="1"/>
  <c r="M670" i="1"/>
  <c r="N670" i="1"/>
  <c r="O670" i="1"/>
  <c r="P670" i="1"/>
  <c r="R670" i="1"/>
  <c r="S670" i="1"/>
  <c r="T670" i="1"/>
  <c r="U670" i="1"/>
  <c r="B669" i="1"/>
  <c r="C669" i="1"/>
  <c r="D669" i="1"/>
  <c r="E669" i="1"/>
  <c r="F669" i="1"/>
  <c r="G669" i="1"/>
  <c r="H669" i="1"/>
  <c r="I669" i="1"/>
  <c r="J669" i="1"/>
  <c r="K669" i="1"/>
  <c r="L669" i="1"/>
  <c r="M669" i="1"/>
  <c r="N669" i="1"/>
  <c r="O669" i="1"/>
  <c r="P669" i="1"/>
  <c r="R669" i="1"/>
  <c r="S669" i="1"/>
  <c r="T669" i="1"/>
  <c r="U669" i="1"/>
  <c r="B668" i="1"/>
  <c r="C668" i="1"/>
  <c r="D668" i="1"/>
  <c r="E668" i="1"/>
  <c r="F668" i="1"/>
  <c r="G668" i="1"/>
  <c r="H668" i="1"/>
  <c r="I668" i="1"/>
  <c r="J668" i="1"/>
  <c r="K668" i="1"/>
  <c r="L668" i="1"/>
  <c r="M668" i="1"/>
  <c r="N668" i="1"/>
  <c r="O668" i="1"/>
  <c r="P668" i="1"/>
  <c r="R668" i="1"/>
  <c r="S668" i="1"/>
  <c r="T668" i="1"/>
  <c r="U668" i="1"/>
  <c r="B667" i="1"/>
  <c r="C667" i="1"/>
  <c r="D667" i="1"/>
  <c r="E667" i="1"/>
  <c r="F667" i="1"/>
  <c r="G667" i="1"/>
  <c r="H667" i="1"/>
  <c r="I667" i="1"/>
  <c r="J667" i="1"/>
  <c r="K667" i="1"/>
  <c r="L667" i="1"/>
  <c r="M667" i="1"/>
  <c r="N667" i="1"/>
  <c r="O667" i="1"/>
  <c r="P667" i="1"/>
  <c r="R667" i="1"/>
  <c r="S667" i="1"/>
  <c r="T667" i="1"/>
  <c r="U667" i="1"/>
  <c r="B666" i="1"/>
  <c r="C666" i="1"/>
  <c r="D666" i="1"/>
  <c r="E666" i="1"/>
  <c r="F666" i="1"/>
  <c r="G666" i="1"/>
  <c r="H666" i="1"/>
  <c r="I666" i="1"/>
  <c r="J666" i="1"/>
  <c r="K666" i="1"/>
  <c r="L666" i="1"/>
  <c r="M666" i="1"/>
  <c r="N666" i="1"/>
  <c r="O666" i="1"/>
  <c r="P666" i="1"/>
  <c r="R666" i="1"/>
  <c r="S666" i="1"/>
  <c r="T666" i="1"/>
  <c r="U666" i="1"/>
  <c r="B665" i="1"/>
  <c r="C665" i="1"/>
  <c r="D665" i="1"/>
  <c r="E665" i="1"/>
  <c r="F665" i="1"/>
  <c r="G665" i="1"/>
  <c r="H665" i="1"/>
  <c r="I665" i="1"/>
  <c r="J665" i="1"/>
  <c r="K665" i="1"/>
  <c r="L665" i="1"/>
  <c r="M665" i="1"/>
  <c r="N665" i="1"/>
  <c r="O665" i="1"/>
  <c r="P665" i="1"/>
  <c r="R665" i="1"/>
  <c r="S665" i="1"/>
  <c r="T665" i="1"/>
  <c r="U665" i="1"/>
  <c r="B664" i="1"/>
  <c r="C664" i="1"/>
  <c r="D664" i="1"/>
  <c r="E664" i="1"/>
  <c r="F664" i="1"/>
  <c r="G664" i="1"/>
  <c r="H664" i="1"/>
  <c r="I664" i="1"/>
  <c r="J664" i="1"/>
  <c r="K664" i="1"/>
  <c r="L664" i="1"/>
  <c r="M664" i="1"/>
  <c r="N664" i="1"/>
  <c r="O664" i="1"/>
  <c r="P664" i="1"/>
  <c r="R664" i="1"/>
  <c r="S664" i="1"/>
  <c r="T664" i="1"/>
  <c r="U664" i="1"/>
  <c r="B663" i="1"/>
  <c r="C663" i="1"/>
  <c r="D663" i="1"/>
  <c r="E663" i="1"/>
  <c r="F663" i="1"/>
  <c r="G663" i="1"/>
  <c r="H663" i="1"/>
  <c r="I663" i="1"/>
  <c r="J663" i="1"/>
  <c r="K663" i="1"/>
  <c r="L663" i="1"/>
  <c r="M663" i="1"/>
  <c r="N663" i="1"/>
  <c r="O663" i="1"/>
  <c r="P663" i="1"/>
  <c r="R663" i="1"/>
  <c r="S663" i="1"/>
  <c r="T663" i="1"/>
  <c r="U663" i="1"/>
  <c r="B662" i="1"/>
  <c r="C662" i="1"/>
  <c r="D662" i="1"/>
  <c r="E662" i="1"/>
  <c r="F662" i="1"/>
  <c r="G662" i="1"/>
  <c r="H662" i="1"/>
  <c r="I662" i="1"/>
  <c r="J662" i="1"/>
  <c r="K662" i="1"/>
  <c r="L662" i="1"/>
  <c r="M662" i="1"/>
  <c r="N662" i="1"/>
  <c r="O662" i="1"/>
  <c r="P662" i="1"/>
  <c r="R662" i="1"/>
  <c r="S662" i="1"/>
  <c r="T662" i="1"/>
  <c r="U662" i="1"/>
  <c r="B661" i="1"/>
  <c r="C661" i="1"/>
  <c r="D661" i="1"/>
  <c r="E661" i="1"/>
  <c r="F661" i="1"/>
  <c r="G661" i="1"/>
  <c r="H661" i="1"/>
  <c r="I661" i="1"/>
  <c r="J661" i="1"/>
  <c r="K661" i="1"/>
  <c r="L661" i="1"/>
  <c r="M661" i="1"/>
  <c r="N661" i="1"/>
  <c r="O661" i="1"/>
  <c r="P661" i="1"/>
  <c r="R661" i="1"/>
  <c r="S661" i="1"/>
  <c r="T661" i="1"/>
  <c r="U661" i="1"/>
  <c r="B660" i="1"/>
  <c r="C660" i="1"/>
  <c r="D660" i="1"/>
  <c r="E660" i="1"/>
  <c r="F660" i="1"/>
  <c r="G660" i="1"/>
  <c r="H660" i="1"/>
  <c r="I660" i="1"/>
  <c r="J660" i="1"/>
  <c r="K660" i="1"/>
  <c r="L660" i="1"/>
  <c r="M660" i="1"/>
  <c r="N660" i="1"/>
  <c r="O660" i="1"/>
  <c r="P660" i="1"/>
  <c r="R660" i="1"/>
  <c r="S660" i="1"/>
  <c r="T660" i="1"/>
  <c r="U660" i="1"/>
  <c r="B659" i="1"/>
  <c r="C659" i="1"/>
  <c r="D659" i="1"/>
  <c r="E659" i="1"/>
  <c r="F659" i="1"/>
  <c r="G659" i="1"/>
  <c r="H659" i="1"/>
  <c r="I659" i="1"/>
  <c r="J659" i="1"/>
  <c r="K659" i="1"/>
  <c r="L659" i="1"/>
  <c r="M659" i="1"/>
  <c r="N659" i="1"/>
  <c r="O659" i="1"/>
  <c r="P659" i="1"/>
  <c r="R659" i="1"/>
  <c r="S659" i="1"/>
  <c r="T659" i="1"/>
  <c r="U659" i="1"/>
  <c r="B658" i="1"/>
  <c r="C658" i="1"/>
  <c r="D658" i="1"/>
  <c r="E658" i="1"/>
  <c r="F658" i="1"/>
  <c r="G658" i="1"/>
  <c r="H658" i="1"/>
  <c r="I658" i="1"/>
  <c r="J658" i="1"/>
  <c r="K658" i="1"/>
  <c r="L658" i="1"/>
  <c r="M658" i="1"/>
  <c r="N658" i="1"/>
  <c r="O658" i="1"/>
  <c r="P658" i="1"/>
  <c r="R658" i="1"/>
  <c r="S658" i="1"/>
  <c r="T658" i="1"/>
  <c r="U658" i="1"/>
  <c r="B657" i="1"/>
  <c r="C657" i="1"/>
  <c r="D657" i="1"/>
  <c r="E657" i="1"/>
  <c r="F657" i="1"/>
  <c r="G657" i="1"/>
  <c r="H657" i="1"/>
  <c r="I657" i="1"/>
  <c r="J657" i="1"/>
  <c r="K657" i="1"/>
  <c r="L657" i="1"/>
  <c r="M657" i="1"/>
  <c r="N657" i="1"/>
  <c r="O657" i="1"/>
  <c r="P657" i="1"/>
  <c r="R657" i="1"/>
  <c r="S657" i="1"/>
  <c r="T657" i="1"/>
  <c r="U657" i="1"/>
  <c r="B656" i="1"/>
  <c r="C656" i="1"/>
  <c r="D656" i="1"/>
  <c r="E656" i="1"/>
  <c r="F656" i="1"/>
  <c r="G656" i="1"/>
  <c r="H656" i="1"/>
  <c r="I656" i="1"/>
  <c r="J656" i="1"/>
  <c r="K656" i="1"/>
  <c r="L656" i="1"/>
  <c r="M656" i="1"/>
  <c r="N656" i="1"/>
  <c r="O656" i="1"/>
  <c r="P656" i="1"/>
  <c r="R656" i="1"/>
  <c r="S656" i="1"/>
  <c r="T656" i="1"/>
  <c r="U656" i="1"/>
  <c r="B655" i="1"/>
  <c r="C655" i="1"/>
  <c r="D655" i="1"/>
  <c r="E655" i="1"/>
  <c r="F655" i="1"/>
  <c r="G655" i="1"/>
  <c r="H655" i="1"/>
  <c r="I655" i="1"/>
  <c r="J655" i="1"/>
  <c r="K655" i="1"/>
  <c r="L655" i="1"/>
  <c r="M655" i="1"/>
  <c r="N655" i="1"/>
  <c r="O655" i="1"/>
  <c r="P655" i="1"/>
  <c r="R655" i="1"/>
  <c r="S655" i="1"/>
  <c r="T655" i="1"/>
  <c r="U655" i="1"/>
  <c r="B654" i="1"/>
  <c r="C654" i="1"/>
  <c r="D654" i="1"/>
  <c r="E654" i="1"/>
  <c r="F654" i="1"/>
  <c r="G654" i="1"/>
  <c r="H654" i="1"/>
  <c r="I654" i="1"/>
  <c r="J654" i="1"/>
  <c r="K654" i="1"/>
  <c r="L654" i="1"/>
  <c r="M654" i="1"/>
  <c r="N654" i="1"/>
  <c r="O654" i="1"/>
  <c r="P654" i="1"/>
  <c r="R654" i="1"/>
  <c r="S654" i="1"/>
  <c r="T654" i="1"/>
  <c r="U654" i="1"/>
  <c r="B653" i="1"/>
  <c r="C653" i="1"/>
  <c r="D653" i="1"/>
  <c r="E653" i="1"/>
  <c r="F653" i="1"/>
  <c r="G653" i="1"/>
  <c r="H653" i="1"/>
  <c r="I653" i="1"/>
  <c r="J653" i="1"/>
  <c r="K653" i="1"/>
  <c r="L653" i="1"/>
  <c r="M653" i="1"/>
  <c r="N653" i="1"/>
  <c r="O653" i="1"/>
  <c r="P653" i="1"/>
  <c r="R653" i="1"/>
  <c r="S653" i="1"/>
  <c r="T653" i="1"/>
  <c r="U653" i="1"/>
  <c r="B652" i="1"/>
  <c r="C652" i="1"/>
  <c r="D652" i="1"/>
  <c r="E652" i="1"/>
  <c r="F652" i="1"/>
  <c r="G652" i="1"/>
  <c r="H652" i="1"/>
  <c r="I652" i="1"/>
  <c r="J652" i="1"/>
  <c r="K652" i="1"/>
  <c r="L652" i="1"/>
  <c r="M652" i="1"/>
  <c r="N652" i="1"/>
  <c r="O652" i="1"/>
  <c r="P652" i="1"/>
  <c r="R652" i="1"/>
  <c r="S652" i="1"/>
  <c r="T652" i="1"/>
  <c r="U652" i="1"/>
  <c r="B651" i="1"/>
  <c r="C651" i="1"/>
  <c r="D651" i="1"/>
  <c r="E651" i="1"/>
  <c r="F651" i="1"/>
  <c r="G651" i="1"/>
  <c r="H651" i="1"/>
  <c r="I651" i="1"/>
  <c r="J651" i="1"/>
  <c r="K651" i="1"/>
  <c r="L651" i="1"/>
  <c r="M651" i="1"/>
  <c r="N651" i="1"/>
  <c r="O651" i="1"/>
  <c r="P651" i="1"/>
  <c r="R651" i="1"/>
  <c r="S651" i="1"/>
  <c r="T651" i="1"/>
  <c r="U651" i="1"/>
  <c r="B650" i="1"/>
  <c r="C650" i="1"/>
  <c r="D650" i="1"/>
  <c r="E650" i="1"/>
  <c r="F650" i="1"/>
  <c r="G650" i="1"/>
  <c r="H650" i="1"/>
  <c r="I650" i="1"/>
  <c r="J650" i="1"/>
  <c r="K650" i="1"/>
  <c r="L650" i="1"/>
  <c r="M650" i="1"/>
  <c r="N650" i="1"/>
  <c r="O650" i="1"/>
  <c r="P650" i="1"/>
  <c r="R650" i="1"/>
  <c r="S650" i="1"/>
  <c r="T650" i="1"/>
  <c r="U650" i="1"/>
  <c r="B649" i="1"/>
  <c r="C649" i="1"/>
  <c r="D649" i="1"/>
  <c r="E649" i="1"/>
  <c r="F649" i="1"/>
  <c r="G649" i="1"/>
  <c r="H649" i="1"/>
  <c r="I649" i="1"/>
  <c r="J649" i="1"/>
  <c r="K649" i="1"/>
  <c r="L649" i="1"/>
  <c r="M649" i="1"/>
  <c r="N649" i="1"/>
  <c r="O649" i="1"/>
  <c r="P649" i="1"/>
  <c r="R649" i="1"/>
  <c r="S649" i="1"/>
  <c r="T649" i="1"/>
  <c r="U649" i="1"/>
  <c r="B648" i="1"/>
  <c r="C648" i="1"/>
  <c r="D648" i="1"/>
  <c r="E648" i="1"/>
  <c r="F648" i="1"/>
  <c r="G648" i="1"/>
  <c r="H648" i="1"/>
  <c r="I648" i="1"/>
  <c r="J648" i="1"/>
  <c r="K648" i="1"/>
  <c r="L648" i="1"/>
  <c r="M648" i="1"/>
  <c r="N648" i="1"/>
  <c r="O648" i="1"/>
  <c r="P648" i="1"/>
  <c r="R648" i="1"/>
  <c r="S648" i="1"/>
  <c r="T648" i="1"/>
  <c r="U648" i="1"/>
  <c r="B647" i="1"/>
  <c r="C647" i="1"/>
  <c r="D647" i="1"/>
  <c r="E647" i="1"/>
  <c r="F647" i="1"/>
  <c r="G647" i="1"/>
  <c r="H647" i="1"/>
  <c r="I647" i="1"/>
  <c r="J647" i="1"/>
  <c r="K647" i="1"/>
  <c r="L647" i="1"/>
  <c r="M647" i="1"/>
  <c r="N647" i="1"/>
  <c r="O647" i="1"/>
  <c r="P647" i="1"/>
  <c r="R647" i="1"/>
  <c r="S647" i="1"/>
  <c r="T647" i="1"/>
  <c r="U647" i="1"/>
  <c r="B646" i="1"/>
  <c r="C646" i="1"/>
  <c r="D646" i="1"/>
  <c r="E646" i="1"/>
  <c r="F646" i="1"/>
  <c r="G646" i="1"/>
  <c r="H646" i="1"/>
  <c r="I646" i="1"/>
  <c r="J646" i="1"/>
  <c r="K646" i="1"/>
  <c r="L646" i="1"/>
  <c r="M646" i="1"/>
  <c r="N646" i="1"/>
  <c r="O646" i="1"/>
  <c r="P646" i="1"/>
  <c r="R646" i="1"/>
  <c r="S646" i="1"/>
  <c r="T646" i="1"/>
  <c r="U646" i="1"/>
  <c r="B645" i="1"/>
  <c r="C645" i="1"/>
  <c r="D645" i="1"/>
  <c r="E645" i="1"/>
  <c r="F645" i="1"/>
  <c r="G645" i="1"/>
  <c r="H645" i="1"/>
  <c r="I645" i="1"/>
  <c r="J645" i="1"/>
  <c r="K645" i="1"/>
  <c r="L645" i="1"/>
  <c r="M645" i="1"/>
  <c r="N645" i="1"/>
  <c r="O645" i="1"/>
  <c r="P645" i="1"/>
  <c r="R645" i="1"/>
  <c r="S645" i="1"/>
  <c r="T645" i="1"/>
  <c r="U645" i="1"/>
  <c r="B644" i="1"/>
  <c r="C644" i="1"/>
  <c r="D644" i="1"/>
  <c r="E644" i="1"/>
  <c r="F644" i="1"/>
  <c r="G644" i="1"/>
  <c r="H644" i="1"/>
  <c r="I644" i="1"/>
  <c r="J644" i="1"/>
  <c r="K644" i="1"/>
  <c r="L644" i="1"/>
  <c r="M644" i="1"/>
  <c r="N644" i="1"/>
  <c r="O644" i="1"/>
  <c r="P644" i="1"/>
  <c r="R644" i="1"/>
  <c r="S644" i="1"/>
  <c r="T644" i="1"/>
  <c r="U644" i="1"/>
  <c r="B643" i="1"/>
  <c r="C643" i="1"/>
  <c r="D643" i="1"/>
  <c r="E643" i="1"/>
  <c r="F643" i="1"/>
  <c r="G643" i="1"/>
  <c r="H643" i="1"/>
  <c r="I643" i="1"/>
  <c r="J643" i="1"/>
  <c r="K643" i="1"/>
  <c r="L643" i="1"/>
  <c r="M643" i="1"/>
  <c r="N643" i="1"/>
  <c r="O643" i="1"/>
  <c r="P643" i="1"/>
  <c r="R643" i="1"/>
  <c r="S643" i="1"/>
  <c r="T643" i="1"/>
  <c r="U643" i="1"/>
  <c r="B778" i="1"/>
  <c r="C778" i="1"/>
  <c r="D778" i="1"/>
  <c r="E778" i="1"/>
  <c r="F778" i="1"/>
  <c r="G778" i="1"/>
  <c r="H778" i="1"/>
  <c r="I778" i="1"/>
  <c r="J778" i="1"/>
  <c r="K778" i="1"/>
  <c r="L778" i="1"/>
  <c r="M778" i="1"/>
  <c r="N778" i="1"/>
  <c r="O778" i="1"/>
  <c r="P778" i="1"/>
  <c r="R778" i="1"/>
  <c r="S778" i="1"/>
  <c r="T778" i="1"/>
  <c r="U778" i="1"/>
  <c r="B857" i="1"/>
  <c r="C857" i="1"/>
  <c r="D857" i="1"/>
  <c r="E857" i="1"/>
  <c r="F857" i="1"/>
  <c r="G857" i="1"/>
  <c r="H857" i="1"/>
  <c r="I857" i="1"/>
  <c r="J857" i="1"/>
  <c r="K857" i="1"/>
  <c r="L857" i="1"/>
  <c r="M857" i="1"/>
  <c r="N857" i="1"/>
  <c r="O857" i="1"/>
  <c r="P857" i="1"/>
  <c r="R857" i="1"/>
  <c r="S857" i="1"/>
  <c r="T857" i="1"/>
  <c r="U857" i="1"/>
  <c r="B856" i="1"/>
  <c r="C856" i="1"/>
  <c r="D856" i="1"/>
  <c r="E856" i="1"/>
  <c r="F856" i="1"/>
  <c r="G856" i="1"/>
  <c r="H856" i="1"/>
  <c r="I856" i="1"/>
  <c r="J856" i="1"/>
  <c r="K856" i="1"/>
  <c r="L856" i="1"/>
  <c r="M856" i="1"/>
  <c r="N856" i="1"/>
  <c r="O856" i="1"/>
  <c r="P856" i="1"/>
  <c r="R856" i="1"/>
  <c r="S856" i="1"/>
  <c r="T856" i="1"/>
  <c r="U856" i="1"/>
  <c r="B855" i="1"/>
  <c r="C855" i="1"/>
  <c r="D855" i="1"/>
  <c r="E855" i="1"/>
  <c r="F855" i="1"/>
  <c r="G855" i="1"/>
  <c r="H855" i="1"/>
  <c r="I855" i="1"/>
  <c r="J855" i="1"/>
  <c r="K855" i="1"/>
  <c r="L855" i="1"/>
  <c r="M855" i="1"/>
  <c r="N855" i="1"/>
  <c r="O855" i="1"/>
  <c r="P855" i="1"/>
  <c r="R855" i="1"/>
  <c r="S855" i="1"/>
  <c r="T855" i="1"/>
  <c r="U855" i="1"/>
  <c r="B854" i="1"/>
  <c r="C854" i="1"/>
  <c r="D854" i="1"/>
  <c r="E854" i="1"/>
  <c r="F854" i="1"/>
  <c r="G854" i="1"/>
  <c r="H854" i="1"/>
  <c r="I854" i="1"/>
  <c r="J854" i="1"/>
  <c r="K854" i="1"/>
  <c r="L854" i="1"/>
  <c r="M854" i="1"/>
  <c r="N854" i="1"/>
  <c r="O854" i="1"/>
  <c r="P854" i="1"/>
  <c r="R854" i="1"/>
  <c r="S854" i="1"/>
  <c r="T854" i="1"/>
  <c r="U854" i="1"/>
  <c r="B853" i="1"/>
  <c r="C853" i="1"/>
  <c r="D853" i="1"/>
  <c r="E853" i="1"/>
  <c r="F853" i="1"/>
  <c r="G853" i="1"/>
  <c r="H853" i="1"/>
  <c r="I853" i="1"/>
  <c r="J853" i="1"/>
  <c r="K853" i="1"/>
  <c r="L853" i="1"/>
  <c r="M853" i="1"/>
  <c r="N853" i="1"/>
  <c r="O853" i="1"/>
  <c r="P853" i="1"/>
  <c r="R853" i="1"/>
  <c r="S853" i="1"/>
  <c r="T853" i="1"/>
  <c r="U853" i="1"/>
  <c r="B852" i="1"/>
  <c r="C852" i="1"/>
  <c r="D852" i="1"/>
  <c r="E852" i="1"/>
  <c r="F852" i="1"/>
  <c r="G852" i="1"/>
  <c r="H852" i="1"/>
  <c r="I852" i="1"/>
  <c r="J852" i="1"/>
  <c r="K852" i="1"/>
  <c r="L852" i="1"/>
  <c r="M852" i="1"/>
  <c r="N852" i="1"/>
  <c r="O852" i="1"/>
  <c r="P852" i="1"/>
  <c r="R852" i="1"/>
  <c r="S852" i="1"/>
  <c r="T852" i="1"/>
  <c r="U852" i="1"/>
  <c r="B851" i="1"/>
  <c r="C851" i="1"/>
  <c r="D851" i="1"/>
  <c r="E851" i="1"/>
  <c r="F851" i="1"/>
  <c r="G851" i="1"/>
  <c r="H851" i="1"/>
  <c r="I851" i="1"/>
  <c r="J851" i="1"/>
  <c r="K851" i="1"/>
  <c r="L851" i="1"/>
  <c r="M851" i="1"/>
  <c r="N851" i="1"/>
  <c r="O851" i="1"/>
  <c r="P851" i="1"/>
  <c r="R851" i="1"/>
  <c r="S851" i="1"/>
  <c r="T851" i="1"/>
  <c r="U851" i="1"/>
  <c r="B850" i="1"/>
  <c r="C850" i="1"/>
  <c r="D850" i="1"/>
  <c r="E850" i="1"/>
  <c r="F850" i="1"/>
  <c r="G850" i="1"/>
  <c r="H850" i="1"/>
  <c r="I850" i="1"/>
  <c r="J850" i="1"/>
  <c r="K850" i="1"/>
  <c r="L850" i="1"/>
  <c r="M850" i="1"/>
  <c r="N850" i="1"/>
  <c r="O850" i="1"/>
  <c r="P850" i="1"/>
  <c r="R850" i="1"/>
  <c r="S850" i="1"/>
  <c r="T850" i="1"/>
  <c r="U850" i="1"/>
  <c r="B849" i="1"/>
  <c r="C849" i="1"/>
  <c r="D849" i="1"/>
  <c r="E849" i="1"/>
  <c r="F849" i="1"/>
  <c r="G849" i="1"/>
  <c r="H849" i="1"/>
  <c r="I849" i="1"/>
  <c r="J849" i="1"/>
  <c r="K849" i="1"/>
  <c r="L849" i="1"/>
  <c r="M849" i="1"/>
  <c r="N849" i="1"/>
  <c r="O849" i="1"/>
  <c r="P849" i="1"/>
  <c r="R849" i="1"/>
  <c r="S849" i="1"/>
  <c r="T849" i="1"/>
  <c r="U849" i="1"/>
  <c r="B848" i="1"/>
  <c r="C848" i="1"/>
  <c r="D848" i="1"/>
  <c r="E848" i="1"/>
  <c r="F848" i="1"/>
  <c r="G848" i="1"/>
  <c r="H848" i="1"/>
  <c r="I848" i="1"/>
  <c r="J848" i="1"/>
  <c r="K848" i="1"/>
  <c r="L848" i="1"/>
  <c r="M848" i="1"/>
  <c r="N848" i="1"/>
  <c r="O848" i="1"/>
  <c r="P848" i="1"/>
  <c r="R848" i="1"/>
  <c r="S848" i="1"/>
  <c r="T848" i="1"/>
  <c r="U848" i="1"/>
  <c r="B847" i="1"/>
  <c r="C847" i="1"/>
  <c r="D847" i="1"/>
  <c r="E847" i="1"/>
  <c r="F847" i="1"/>
  <c r="G847" i="1"/>
  <c r="H847" i="1"/>
  <c r="I847" i="1"/>
  <c r="J847" i="1"/>
  <c r="K847" i="1"/>
  <c r="L847" i="1"/>
  <c r="M847" i="1"/>
  <c r="N847" i="1"/>
  <c r="O847" i="1"/>
  <c r="P847" i="1"/>
  <c r="R847" i="1"/>
  <c r="S847" i="1"/>
  <c r="T847" i="1"/>
  <c r="U847" i="1"/>
  <c r="B846" i="1"/>
  <c r="C846" i="1"/>
  <c r="D846" i="1"/>
  <c r="E846" i="1"/>
  <c r="F846" i="1"/>
  <c r="G846" i="1"/>
  <c r="H846" i="1"/>
  <c r="I846" i="1"/>
  <c r="J846" i="1"/>
  <c r="K846" i="1"/>
  <c r="L846" i="1"/>
  <c r="M846" i="1"/>
  <c r="N846" i="1"/>
  <c r="O846" i="1"/>
  <c r="P846" i="1"/>
  <c r="R846" i="1"/>
  <c r="S846" i="1"/>
  <c r="T846" i="1"/>
  <c r="U846" i="1"/>
  <c r="B845" i="1"/>
  <c r="C845" i="1"/>
  <c r="D845" i="1"/>
  <c r="E845" i="1"/>
  <c r="F845" i="1"/>
  <c r="G845" i="1"/>
  <c r="H845" i="1"/>
  <c r="I845" i="1"/>
  <c r="J845" i="1"/>
  <c r="K845" i="1"/>
  <c r="L845" i="1"/>
  <c r="M845" i="1"/>
  <c r="N845" i="1"/>
  <c r="O845" i="1"/>
  <c r="P845" i="1"/>
  <c r="R845" i="1"/>
  <c r="S845" i="1"/>
  <c r="T845" i="1"/>
  <c r="U845" i="1"/>
  <c r="B844" i="1"/>
  <c r="C844" i="1"/>
  <c r="D844" i="1"/>
  <c r="E844" i="1"/>
  <c r="F844" i="1"/>
  <c r="G844" i="1"/>
  <c r="H844" i="1"/>
  <c r="I844" i="1"/>
  <c r="J844" i="1"/>
  <c r="K844" i="1"/>
  <c r="L844" i="1"/>
  <c r="M844" i="1"/>
  <c r="N844" i="1"/>
  <c r="O844" i="1"/>
  <c r="P844" i="1"/>
  <c r="R844" i="1"/>
  <c r="S844" i="1"/>
  <c r="T844" i="1"/>
  <c r="U844" i="1"/>
  <c r="B843" i="1"/>
  <c r="C843" i="1"/>
  <c r="D843" i="1"/>
  <c r="E843" i="1"/>
  <c r="F843" i="1"/>
  <c r="G843" i="1"/>
  <c r="H843" i="1"/>
  <c r="I843" i="1"/>
  <c r="J843" i="1"/>
  <c r="K843" i="1"/>
  <c r="L843" i="1"/>
  <c r="M843" i="1"/>
  <c r="N843" i="1"/>
  <c r="O843" i="1"/>
  <c r="P843" i="1"/>
  <c r="R843" i="1"/>
  <c r="S843" i="1"/>
  <c r="T843" i="1"/>
  <c r="U843" i="1"/>
  <c r="B842" i="1"/>
  <c r="C842" i="1"/>
  <c r="D842" i="1"/>
  <c r="E842" i="1"/>
  <c r="F842" i="1"/>
  <c r="G842" i="1"/>
  <c r="H842" i="1"/>
  <c r="I842" i="1"/>
  <c r="J842" i="1"/>
  <c r="K842" i="1"/>
  <c r="L842" i="1"/>
  <c r="M842" i="1"/>
  <c r="N842" i="1"/>
  <c r="O842" i="1"/>
  <c r="P842" i="1"/>
  <c r="R842" i="1"/>
  <c r="S842" i="1"/>
  <c r="T842" i="1"/>
  <c r="U842" i="1"/>
  <c r="B841" i="1"/>
  <c r="C841" i="1"/>
  <c r="D841" i="1"/>
  <c r="E841" i="1"/>
  <c r="F841" i="1"/>
  <c r="G841" i="1"/>
  <c r="H841" i="1"/>
  <c r="I841" i="1"/>
  <c r="J841" i="1"/>
  <c r="K841" i="1"/>
  <c r="L841" i="1"/>
  <c r="M841" i="1"/>
  <c r="N841" i="1"/>
  <c r="O841" i="1"/>
  <c r="P841" i="1"/>
  <c r="R841" i="1"/>
  <c r="S841" i="1"/>
  <c r="T841" i="1"/>
  <c r="U841" i="1"/>
  <c r="B840" i="1"/>
  <c r="C840" i="1"/>
  <c r="D840" i="1"/>
  <c r="E840" i="1"/>
  <c r="F840" i="1"/>
  <c r="G840" i="1"/>
  <c r="H840" i="1"/>
  <c r="I840" i="1"/>
  <c r="J840" i="1"/>
  <c r="K840" i="1"/>
  <c r="L840" i="1"/>
  <c r="M840" i="1"/>
  <c r="N840" i="1"/>
  <c r="O840" i="1"/>
  <c r="P840" i="1"/>
  <c r="R840" i="1"/>
  <c r="S840" i="1"/>
  <c r="T840" i="1"/>
  <c r="U840" i="1"/>
  <c r="B839" i="1"/>
  <c r="C839" i="1"/>
  <c r="D839" i="1"/>
  <c r="E839" i="1"/>
  <c r="F839" i="1"/>
  <c r="G839" i="1"/>
  <c r="H839" i="1"/>
  <c r="I839" i="1"/>
  <c r="J839" i="1"/>
  <c r="K839" i="1"/>
  <c r="L839" i="1"/>
  <c r="M839" i="1"/>
  <c r="N839" i="1"/>
  <c r="O839" i="1"/>
  <c r="P839" i="1"/>
  <c r="R839" i="1"/>
  <c r="S839" i="1"/>
  <c r="T839" i="1"/>
  <c r="U839" i="1"/>
  <c r="B838" i="1"/>
  <c r="C838" i="1"/>
  <c r="D838" i="1"/>
  <c r="E838" i="1"/>
  <c r="F838" i="1"/>
  <c r="G838" i="1"/>
  <c r="H838" i="1"/>
  <c r="I838" i="1"/>
  <c r="J838" i="1"/>
  <c r="K838" i="1"/>
  <c r="L838" i="1"/>
  <c r="M838" i="1"/>
  <c r="N838" i="1"/>
  <c r="O838" i="1"/>
  <c r="P838" i="1"/>
  <c r="R838" i="1"/>
  <c r="S838" i="1"/>
  <c r="T838" i="1"/>
  <c r="U838" i="1"/>
  <c r="B837" i="1"/>
  <c r="C837" i="1"/>
  <c r="D837" i="1"/>
  <c r="E837" i="1"/>
  <c r="F837" i="1"/>
  <c r="G837" i="1"/>
  <c r="H837" i="1"/>
  <c r="I837" i="1"/>
  <c r="J837" i="1"/>
  <c r="K837" i="1"/>
  <c r="L837" i="1"/>
  <c r="M837" i="1"/>
  <c r="N837" i="1"/>
  <c r="O837" i="1"/>
  <c r="P837" i="1"/>
  <c r="R837" i="1"/>
  <c r="S837" i="1"/>
  <c r="T837" i="1"/>
  <c r="U837" i="1"/>
  <c r="B836" i="1"/>
  <c r="C836" i="1"/>
  <c r="D836" i="1"/>
  <c r="E836" i="1"/>
  <c r="F836" i="1"/>
  <c r="G836" i="1"/>
  <c r="H836" i="1"/>
  <c r="I836" i="1"/>
  <c r="J836" i="1"/>
  <c r="K836" i="1"/>
  <c r="L836" i="1"/>
  <c r="M836" i="1"/>
  <c r="N836" i="1"/>
  <c r="O836" i="1"/>
  <c r="P836" i="1"/>
  <c r="R836" i="1"/>
  <c r="S836" i="1"/>
  <c r="T836" i="1"/>
  <c r="U836" i="1"/>
  <c r="B835" i="1"/>
  <c r="C835" i="1"/>
  <c r="D835" i="1"/>
  <c r="E835" i="1"/>
  <c r="F835" i="1"/>
  <c r="G835" i="1"/>
  <c r="H835" i="1"/>
  <c r="I835" i="1"/>
  <c r="J835" i="1"/>
  <c r="K835" i="1"/>
  <c r="L835" i="1"/>
  <c r="M835" i="1"/>
  <c r="N835" i="1"/>
  <c r="O835" i="1"/>
  <c r="P835" i="1"/>
  <c r="R835" i="1"/>
  <c r="S835" i="1"/>
  <c r="T835" i="1"/>
  <c r="U835" i="1"/>
  <c r="B834" i="1"/>
  <c r="C834" i="1"/>
  <c r="D834" i="1"/>
  <c r="E834" i="1"/>
  <c r="F834" i="1"/>
  <c r="G834" i="1"/>
  <c r="H834" i="1"/>
  <c r="I834" i="1"/>
  <c r="J834" i="1"/>
  <c r="K834" i="1"/>
  <c r="L834" i="1"/>
  <c r="M834" i="1"/>
  <c r="N834" i="1"/>
  <c r="O834" i="1"/>
  <c r="P834" i="1"/>
  <c r="R834" i="1"/>
  <c r="S834" i="1"/>
  <c r="T834" i="1"/>
  <c r="U834" i="1"/>
  <c r="B833" i="1"/>
  <c r="C833" i="1"/>
  <c r="D833" i="1"/>
  <c r="E833" i="1"/>
  <c r="F833" i="1"/>
  <c r="G833" i="1"/>
  <c r="H833" i="1"/>
  <c r="I833" i="1"/>
  <c r="J833" i="1"/>
  <c r="K833" i="1"/>
  <c r="L833" i="1"/>
  <c r="M833" i="1"/>
  <c r="N833" i="1"/>
  <c r="O833" i="1"/>
  <c r="P833" i="1"/>
  <c r="R833" i="1"/>
  <c r="S833" i="1"/>
  <c r="T833" i="1"/>
  <c r="U833" i="1"/>
  <c r="B832" i="1"/>
  <c r="C832" i="1"/>
  <c r="D832" i="1"/>
  <c r="E832" i="1"/>
  <c r="F832" i="1"/>
  <c r="G832" i="1"/>
  <c r="H832" i="1"/>
  <c r="I832" i="1"/>
  <c r="J832" i="1"/>
  <c r="K832" i="1"/>
  <c r="L832" i="1"/>
  <c r="M832" i="1"/>
  <c r="N832" i="1"/>
  <c r="O832" i="1"/>
  <c r="P832" i="1"/>
  <c r="R832" i="1"/>
  <c r="S832" i="1"/>
  <c r="T832" i="1"/>
  <c r="U832" i="1"/>
  <c r="B831" i="1"/>
  <c r="C831" i="1"/>
  <c r="D831" i="1"/>
  <c r="E831" i="1"/>
  <c r="F831" i="1"/>
  <c r="G831" i="1"/>
  <c r="H831" i="1"/>
  <c r="I831" i="1"/>
  <c r="J831" i="1"/>
  <c r="K831" i="1"/>
  <c r="L831" i="1"/>
  <c r="M831" i="1"/>
  <c r="N831" i="1"/>
  <c r="O831" i="1"/>
  <c r="P831" i="1"/>
  <c r="R831" i="1"/>
  <c r="S831" i="1"/>
  <c r="T831" i="1"/>
  <c r="U831" i="1"/>
  <c r="B830" i="1"/>
  <c r="C830" i="1"/>
  <c r="D830" i="1"/>
  <c r="E830" i="1"/>
  <c r="F830" i="1"/>
  <c r="G830" i="1"/>
  <c r="H830" i="1"/>
  <c r="I830" i="1"/>
  <c r="J830" i="1"/>
  <c r="K830" i="1"/>
  <c r="L830" i="1"/>
  <c r="M830" i="1"/>
  <c r="N830" i="1"/>
  <c r="O830" i="1"/>
  <c r="P830" i="1"/>
  <c r="R830" i="1"/>
  <c r="S830" i="1"/>
  <c r="T830" i="1"/>
  <c r="U830" i="1"/>
  <c r="B829" i="1"/>
  <c r="C829" i="1"/>
  <c r="D829" i="1"/>
  <c r="E829" i="1"/>
  <c r="F829" i="1"/>
  <c r="G829" i="1"/>
  <c r="H829" i="1"/>
  <c r="I829" i="1"/>
  <c r="J829" i="1"/>
  <c r="K829" i="1"/>
  <c r="L829" i="1"/>
  <c r="M829" i="1"/>
  <c r="N829" i="1"/>
  <c r="O829" i="1"/>
  <c r="P829" i="1"/>
  <c r="R829" i="1"/>
  <c r="S829" i="1"/>
  <c r="T829" i="1"/>
  <c r="U829" i="1"/>
  <c r="B828" i="1"/>
  <c r="C828" i="1"/>
  <c r="D828" i="1"/>
  <c r="E828" i="1"/>
  <c r="F828" i="1"/>
  <c r="G828" i="1"/>
  <c r="H828" i="1"/>
  <c r="I828" i="1"/>
  <c r="J828" i="1"/>
  <c r="K828" i="1"/>
  <c r="L828" i="1"/>
  <c r="M828" i="1"/>
  <c r="N828" i="1"/>
  <c r="O828" i="1"/>
  <c r="P828" i="1"/>
  <c r="R828" i="1"/>
  <c r="S828" i="1"/>
  <c r="T828" i="1"/>
  <c r="U828" i="1"/>
  <c r="B827" i="1"/>
  <c r="C827" i="1"/>
  <c r="D827" i="1"/>
  <c r="E827" i="1"/>
  <c r="F827" i="1"/>
  <c r="G827" i="1"/>
  <c r="H827" i="1"/>
  <c r="I827" i="1"/>
  <c r="J827" i="1"/>
  <c r="K827" i="1"/>
  <c r="L827" i="1"/>
  <c r="M827" i="1"/>
  <c r="N827" i="1"/>
  <c r="O827" i="1"/>
  <c r="P827" i="1"/>
  <c r="R827" i="1"/>
  <c r="S827" i="1"/>
  <c r="T827" i="1"/>
  <c r="U827" i="1"/>
  <c r="B826" i="1"/>
  <c r="C826" i="1"/>
  <c r="D826" i="1"/>
  <c r="E826" i="1"/>
  <c r="F826" i="1"/>
  <c r="G826" i="1"/>
  <c r="H826" i="1"/>
  <c r="I826" i="1"/>
  <c r="J826" i="1"/>
  <c r="K826" i="1"/>
  <c r="L826" i="1"/>
  <c r="M826" i="1"/>
  <c r="N826" i="1"/>
  <c r="O826" i="1"/>
  <c r="P826" i="1"/>
  <c r="R826" i="1"/>
  <c r="S826" i="1"/>
  <c r="T826" i="1"/>
  <c r="U826" i="1"/>
  <c r="B825" i="1"/>
  <c r="C825" i="1"/>
  <c r="D825" i="1"/>
  <c r="E825" i="1"/>
  <c r="F825" i="1"/>
  <c r="G825" i="1"/>
  <c r="H825" i="1"/>
  <c r="I825" i="1"/>
  <c r="J825" i="1"/>
  <c r="K825" i="1"/>
  <c r="L825" i="1"/>
  <c r="M825" i="1"/>
  <c r="N825" i="1"/>
  <c r="O825" i="1"/>
  <c r="P825" i="1"/>
  <c r="R825" i="1"/>
  <c r="S825" i="1"/>
  <c r="T825" i="1"/>
  <c r="U825" i="1"/>
  <c r="B824" i="1"/>
  <c r="C824" i="1"/>
  <c r="D824" i="1"/>
  <c r="E824" i="1"/>
  <c r="F824" i="1"/>
  <c r="G824" i="1"/>
  <c r="H824" i="1"/>
  <c r="I824" i="1"/>
  <c r="J824" i="1"/>
  <c r="K824" i="1"/>
  <c r="L824" i="1"/>
  <c r="M824" i="1"/>
  <c r="N824" i="1"/>
  <c r="O824" i="1"/>
  <c r="P824" i="1"/>
  <c r="R824" i="1"/>
  <c r="S824" i="1"/>
  <c r="T824" i="1"/>
  <c r="U824" i="1"/>
  <c r="B823" i="1"/>
  <c r="C823" i="1"/>
  <c r="D823" i="1"/>
  <c r="E823" i="1"/>
  <c r="F823" i="1"/>
  <c r="G823" i="1"/>
  <c r="H823" i="1"/>
  <c r="I823" i="1"/>
  <c r="J823" i="1"/>
  <c r="K823" i="1"/>
  <c r="L823" i="1"/>
  <c r="M823" i="1"/>
  <c r="N823" i="1"/>
  <c r="O823" i="1"/>
  <c r="P823" i="1"/>
  <c r="R823" i="1"/>
  <c r="S823" i="1"/>
  <c r="T823" i="1"/>
  <c r="U823" i="1"/>
  <c r="B822" i="1"/>
  <c r="C822" i="1"/>
  <c r="D822" i="1"/>
  <c r="E822" i="1"/>
  <c r="F822" i="1"/>
  <c r="G822" i="1"/>
  <c r="H822" i="1"/>
  <c r="I822" i="1"/>
  <c r="J822" i="1"/>
  <c r="K822" i="1"/>
  <c r="L822" i="1"/>
  <c r="M822" i="1"/>
  <c r="N822" i="1"/>
  <c r="O822" i="1"/>
  <c r="P822" i="1"/>
  <c r="R822" i="1"/>
  <c r="S822" i="1"/>
  <c r="T822" i="1"/>
  <c r="U822" i="1"/>
  <c r="B821" i="1"/>
  <c r="C821" i="1"/>
  <c r="D821" i="1"/>
  <c r="E821" i="1"/>
  <c r="F821" i="1"/>
  <c r="G821" i="1"/>
  <c r="H821" i="1"/>
  <c r="I821" i="1"/>
  <c r="J821" i="1"/>
  <c r="K821" i="1"/>
  <c r="L821" i="1"/>
  <c r="M821" i="1"/>
  <c r="N821" i="1"/>
  <c r="O821" i="1"/>
  <c r="P821" i="1"/>
  <c r="R821" i="1"/>
  <c r="S821" i="1"/>
  <c r="T821" i="1"/>
  <c r="U821" i="1"/>
  <c r="B820" i="1"/>
  <c r="C820" i="1"/>
  <c r="D820" i="1"/>
  <c r="E820" i="1"/>
  <c r="F820" i="1"/>
  <c r="G820" i="1"/>
  <c r="H820" i="1"/>
  <c r="I820" i="1"/>
  <c r="J820" i="1"/>
  <c r="K820" i="1"/>
  <c r="L820" i="1"/>
  <c r="M820" i="1"/>
  <c r="N820" i="1"/>
  <c r="O820" i="1"/>
  <c r="P820" i="1"/>
  <c r="R820" i="1"/>
  <c r="S820" i="1"/>
  <c r="T820" i="1"/>
  <c r="U820" i="1"/>
  <c r="B819" i="1"/>
  <c r="C819" i="1"/>
  <c r="D819" i="1"/>
  <c r="E819" i="1"/>
  <c r="F819" i="1"/>
  <c r="G819" i="1"/>
  <c r="H819" i="1"/>
  <c r="I819" i="1"/>
  <c r="J819" i="1"/>
  <c r="K819" i="1"/>
  <c r="L819" i="1"/>
  <c r="M819" i="1"/>
  <c r="N819" i="1"/>
  <c r="O819" i="1"/>
  <c r="P819" i="1"/>
  <c r="R819" i="1"/>
  <c r="S819" i="1"/>
  <c r="T819" i="1"/>
  <c r="U819" i="1"/>
  <c r="B818" i="1"/>
  <c r="C818" i="1"/>
  <c r="D818" i="1"/>
  <c r="E818" i="1"/>
  <c r="F818" i="1"/>
  <c r="G818" i="1"/>
  <c r="H818" i="1"/>
  <c r="I818" i="1"/>
  <c r="J818" i="1"/>
  <c r="K818" i="1"/>
  <c r="L818" i="1"/>
  <c r="M818" i="1"/>
  <c r="N818" i="1"/>
  <c r="O818" i="1"/>
  <c r="P818" i="1"/>
  <c r="R818" i="1"/>
  <c r="S818" i="1"/>
  <c r="T818" i="1"/>
  <c r="U818" i="1"/>
  <c r="B817" i="1"/>
  <c r="C817" i="1"/>
  <c r="D817" i="1"/>
  <c r="E817" i="1"/>
  <c r="F817" i="1"/>
  <c r="G817" i="1"/>
  <c r="H817" i="1"/>
  <c r="I817" i="1"/>
  <c r="J817" i="1"/>
  <c r="K817" i="1"/>
  <c r="L817" i="1"/>
  <c r="M817" i="1"/>
  <c r="N817" i="1"/>
  <c r="O817" i="1"/>
  <c r="P817" i="1"/>
  <c r="R817" i="1"/>
  <c r="S817" i="1"/>
  <c r="T817" i="1"/>
  <c r="U817" i="1"/>
  <c r="B816" i="1"/>
  <c r="C816" i="1"/>
  <c r="D816" i="1"/>
  <c r="E816" i="1"/>
  <c r="F816" i="1"/>
  <c r="G816" i="1"/>
  <c r="H816" i="1"/>
  <c r="I816" i="1"/>
  <c r="J816" i="1"/>
  <c r="K816" i="1"/>
  <c r="L816" i="1"/>
  <c r="M816" i="1"/>
  <c r="N816" i="1"/>
  <c r="O816" i="1"/>
  <c r="P816" i="1"/>
  <c r="R816" i="1"/>
  <c r="S816" i="1"/>
  <c r="T816" i="1"/>
  <c r="U816" i="1"/>
  <c r="B815" i="1"/>
  <c r="C815" i="1"/>
  <c r="D815" i="1"/>
  <c r="E815" i="1"/>
  <c r="F815" i="1"/>
  <c r="G815" i="1"/>
  <c r="H815" i="1"/>
  <c r="I815" i="1"/>
  <c r="J815" i="1"/>
  <c r="K815" i="1"/>
  <c r="L815" i="1"/>
  <c r="M815" i="1"/>
  <c r="N815" i="1"/>
  <c r="O815" i="1"/>
  <c r="P815" i="1"/>
  <c r="R815" i="1"/>
  <c r="S815" i="1"/>
  <c r="T815" i="1"/>
  <c r="U815" i="1"/>
  <c r="B814" i="1"/>
  <c r="C814" i="1"/>
  <c r="D814" i="1"/>
  <c r="E814" i="1"/>
  <c r="F814" i="1"/>
  <c r="G814" i="1"/>
  <c r="H814" i="1"/>
  <c r="I814" i="1"/>
  <c r="J814" i="1"/>
  <c r="K814" i="1"/>
  <c r="L814" i="1"/>
  <c r="M814" i="1"/>
  <c r="N814" i="1"/>
  <c r="O814" i="1"/>
  <c r="P814" i="1"/>
  <c r="R814" i="1"/>
  <c r="S814" i="1"/>
  <c r="T814" i="1"/>
  <c r="U814" i="1"/>
  <c r="B813" i="1"/>
  <c r="C813" i="1"/>
  <c r="D813" i="1"/>
  <c r="E813" i="1"/>
  <c r="F813" i="1"/>
  <c r="G813" i="1"/>
  <c r="H813" i="1"/>
  <c r="I813" i="1"/>
  <c r="J813" i="1"/>
  <c r="K813" i="1"/>
  <c r="L813" i="1"/>
  <c r="M813" i="1"/>
  <c r="N813" i="1"/>
  <c r="O813" i="1"/>
  <c r="P813" i="1"/>
  <c r="R813" i="1"/>
  <c r="S813" i="1"/>
  <c r="T813" i="1"/>
  <c r="U813" i="1"/>
  <c r="B812" i="1"/>
  <c r="C812" i="1"/>
  <c r="D812" i="1"/>
  <c r="E812" i="1"/>
  <c r="F812" i="1"/>
  <c r="G812" i="1"/>
  <c r="H812" i="1"/>
  <c r="I812" i="1"/>
  <c r="J812" i="1"/>
  <c r="K812" i="1"/>
  <c r="L812" i="1"/>
  <c r="M812" i="1"/>
  <c r="N812" i="1"/>
  <c r="O812" i="1"/>
  <c r="P812" i="1"/>
  <c r="R812" i="1"/>
  <c r="S812" i="1"/>
  <c r="T812" i="1"/>
  <c r="U812" i="1"/>
  <c r="B811" i="1"/>
  <c r="C811" i="1"/>
  <c r="D811" i="1"/>
  <c r="E811" i="1"/>
  <c r="F811" i="1"/>
  <c r="G811" i="1"/>
  <c r="H811" i="1"/>
  <c r="I811" i="1"/>
  <c r="J811" i="1"/>
  <c r="K811" i="1"/>
  <c r="L811" i="1"/>
  <c r="M811" i="1"/>
  <c r="N811" i="1"/>
  <c r="O811" i="1"/>
  <c r="P811" i="1"/>
  <c r="R811" i="1"/>
  <c r="S811" i="1"/>
  <c r="T811" i="1"/>
  <c r="U811" i="1"/>
  <c r="B810" i="1"/>
  <c r="C810" i="1"/>
  <c r="D810" i="1"/>
  <c r="E810" i="1"/>
  <c r="F810" i="1"/>
  <c r="G810" i="1"/>
  <c r="H810" i="1"/>
  <c r="I810" i="1"/>
  <c r="J810" i="1"/>
  <c r="K810" i="1"/>
  <c r="L810" i="1"/>
  <c r="M810" i="1"/>
  <c r="N810" i="1"/>
  <c r="O810" i="1"/>
  <c r="P810" i="1"/>
  <c r="R810" i="1"/>
  <c r="S810" i="1"/>
  <c r="T810" i="1"/>
  <c r="U810" i="1"/>
  <c r="B809" i="1"/>
  <c r="C809" i="1"/>
  <c r="D809" i="1"/>
  <c r="E809" i="1"/>
  <c r="F809" i="1"/>
  <c r="G809" i="1"/>
  <c r="H809" i="1"/>
  <c r="I809" i="1"/>
  <c r="J809" i="1"/>
  <c r="K809" i="1"/>
  <c r="L809" i="1"/>
  <c r="M809" i="1"/>
  <c r="N809" i="1"/>
  <c r="O809" i="1"/>
  <c r="P809" i="1"/>
  <c r="R809" i="1"/>
  <c r="S809" i="1"/>
  <c r="T809" i="1"/>
  <c r="U809" i="1"/>
  <c r="B808" i="1"/>
  <c r="C808" i="1"/>
  <c r="D808" i="1"/>
  <c r="E808" i="1"/>
  <c r="F808" i="1"/>
  <c r="G808" i="1"/>
  <c r="H808" i="1"/>
  <c r="I808" i="1"/>
  <c r="J808" i="1"/>
  <c r="K808" i="1"/>
  <c r="L808" i="1"/>
  <c r="M808" i="1"/>
  <c r="N808" i="1"/>
  <c r="O808" i="1"/>
  <c r="P808" i="1"/>
  <c r="R808" i="1"/>
  <c r="S808" i="1"/>
  <c r="T808" i="1"/>
  <c r="U808" i="1"/>
  <c r="B807" i="1"/>
  <c r="C807" i="1"/>
  <c r="D807" i="1"/>
  <c r="E807" i="1"/>
  <c r="F807" i="1"/>
  <c r="G807" i="1"/>
  <c r="H807" i="1"/>
  <c r="I807" i="1"/>
  <c r="J807" i="1"/>
  <c r="K807" i="1"/>
  <c r="L807" i="1"/>
  <c r="M807" i="1"/>
  <c r="N807" i="1"/>
  <c r="O807" i="1"/>
  <c r="P807" i="1"/>
  <c r="R807" i="1"/>
  <c r="S807" i="1"/>
  <c r="T807" i="1"/>
  <c r="U807" i="1"/>
  <c r="B806" i="1"/>
  <c r="C806" i="1"/>
  <c r="D806" i="1"/>
  <c r="E806" i="1"/>
  <c r="F806" i="1"/>
  <c r="G806" i="1"/>
  <c r="H806" i="1"/>
  <c r="I806" i="1"/>
  <c r="J806" i="1"/>
  <c r="K806" i="1"/>
  <c r="L806" i="1"/>
  <c r="M806" i="1"/>
  <c r="N806" i="1"/>
  <c r="O806" i="1"/>
  <c r="P806" i="1"/>
  <c r="R806" i="1"/>
  <c r="S806" i="1"/>
  <c r="T806" i="1"/>
  <c r="U806" i="1"/>
  <c r="B805" i="1"/>
  <c r="C805" i="1"/>
  <c r="D805" i="1"/>
  <c r="E805" i="1"/>
  <c r="F805" i="1"/>
  <c r="G805" i="1"/>
  <c r="H805" i="1"/>
  <c r="I805" i="1"/>
  <c r="J805" i="1"/>
  <c r="K805" i="1"/>
  <c r="L805" i="1"/>
  <c r="M805" i="1"/>
  <c r="N805" i="1"/>
  <c r="O805" i="1"/>
  <c r="P805" i="1"/>
  <c r="R805" i="1"/>
  <c r="S805" i="1"/>
  <c r="T805" i="1"/>
  <c r="U805" i="1"/>
  <c r="B804" i="1"/>
  <c r="C804" i="1"/>
  <c r="D804" i="1"/>
  <c r="E804" i="1"/>
  <c r="F804" i="1"/>
  <c r="G804" i="1"/>
  <c r="H804" i="1"/>
  <c r="I804" i="1"/>
  <c r="J804" i="1"/>
  <c r="K804" i="1"/>
  <c r="L804" i="1"/>
  <c r="M804" i="1"/>
  <c r="N804" i="1"/>
  <c r="O804" i="1"/>
  <c r="P804" i="1"/>
  <c r="R804" i="1"/>
  <c r="S804" i="1"/>
  <c r="T804" i="1"/>
  <c r="U804" i="1"/>
  <c r="B803" i="1"/>
  <c r="C803" i="1"/>
  <c r="D803" i="1"/>
  <c r="E803" i="1"/>
  <c r="F803" i="1"/>
  <c r="G803" i="1"/>
  <c r="H803" i="1"/>
  <c r="I803" i="1"/>
  <c r="J803" i="1"/>
  <c r="K803" i="1"/>
  <c r="L803" i="1"/>
  <c r="M803" i="1"/>
  <c r="N803" i="1"/>
  <c r="O803" i="1"/>
  <c r="P803" i="1"/>
  <c r="R803" i="1"/>
  <c r="S803" i="1"/>
  <c r="T803" i="1"/>
  <c r="U803" i="1"/>
  <c r="B802" i="1"/>
  <c r="C802" i="1"/>
  <c r="D802" i="1"/>
  <c r="E802" i="1"/>
  <c r="F802" i="1"/>
  <c r="G802" i="1"/>
  <c r="H802" i="1"/>
  <c r="I802" i="1"/>
  <c r="J802" i="1"/>
  <c r="K802" i="1"/>
  <c r="L802" i="1"/>
  <c r="M802" i="1"/>
  <c r="N802" i="1"/>
  <c r="O802" i="1"/>
  <c r="P802" i="1"/>
  <c r="R802" i="1"/>
  <c r="S802" i="1"/>
  <c r="T802" i="1"/>
  <c r="U802" i="1"/>
  <c r="B801" i="1"/>
  <c r="C801" i="1"/>
  <c r="D801" i="1"/>
  <c r="E801" i="1"/>
  <c r="F801" i="1"/>
  <c r="G801" i="1"/>
  <c r="H801" i="1"/>
  <c r="I801" i="1"/>
  <c r="J801" i="1"/>
  <c r="K801" i="1"/>
  <c r="L801" i="1"/>
  <c r="M801" i="1"/>
  <c r="N801" i="1"/>
  <c r="O801" i="1"/>
  <c r="P801" i="1"/>
  <c r="R801" i="1"/>
  <c r="S801" i="1"/>
  <c r="T801" i="1"/>
  <c r="U801" i="1"/>
  <c r="B800" i="1"/>
  <c r="C800" i="1"/>
  <c r="D800" i="1"/>
  <c r="E800" i="1"/>
  <c r="F800" i="1"/>
  <c r="G800" i="1"/>
  <c r="H800" i="1"/>
  <c r="I800" i="1"/>
  <c r="J800" i="1"/>
  <c r="K800" i="1"/>
  <c r="L800" i="1"/>
  <c r="M800" i="1"/>
  <c r="N800" i="1"/>
  <c r="O800" i="1"/>
  <c r="P800" i="1"/>
  <c r="R800" i="1"/>
  <c r="S800" i="1"/>
  <c r="T800" i="1"/>
  <c r="U800" i="1"/>
  <c r="B799" i="1"/>
  <c r="C799" i="1"/>
  <c r="D799" i="1"/>
  <c r="E799" i="1"/>
  <c r="F799" i="1"/>
  <c r="G799" i="1"/>
  <c r="H799" i="1"/>
  <c r="I799" i="1"/>
  <c r="J799" i="1"/>
  <c r="K799" i="1"/>
  <c r="L799" i="1"/>
  <c r="M799" i="1"/>
  <c r="N799" i="1"/>
  <c r="O799" i="1"/>
  <c r="P799" i="1"/>
  <c r="R799" i="1"/>
  <c r="S799" i="1"/>
  <c r="T799" i="1"/>
  <c r="U799" i="1"/>
  <c r="B798" i="1"/>
  <c r="C798" i="1"/>
  <c r="D798" i="1"/>
  <c r="E798" i="1"/>
  <c r="F798" i="1"/>
  <c r="G798" i="1"/>
  <c r="H798" i="1"/>
  <c r="I798" i="1"/>
  <c r="J798" i="1"/>
  <c r="K798" i="1"/>
  <c r="L798" i="1"/>
  <c r="M798" i="1"/>
  <c r="N798" i="1"/>
  <c r="O798" i="1"/>
  <c r="P798" i="1"/>
  <c r="R798" i="1"/>
  <c r="S798" i="1"/>
  <c r="T798" i="1"/>
  <c r="U798" i="1"/>
  <c r="B797" i="1"/>
  <c r="C797" i="1"/>
  <c r="D797" i="1"/>
  <c r="E797" i="1"/>
  <c r="F797" i="1"/>
  <c r="G797" i="1"/>
  <c r="H797" i="1"/>
  <c r="I797" i="1"/>
  <c r="J797" i="1"/>
  <c r="K797" i="1"/>
  <c r="L797" i="1"/>
  <c r="M797" i="1"/>
  <c r="N797" i="1"/>
  <c r="O797" i="1"/>
  <c r="P797" i="1"/>
  <c r="R797" i="1"/>
  <c r="S797" i="1"/>
  <c r="T797" i="1"/>
  <c r="U797" i="1"/>
  <c r="B796" i="1"/>
  <c r="C796" i="1"/>
  <c r="D796" i="1"/>
  <c r="E796" i="1"/>
  <c r="F796" i="1"/>
  <c r="G796" i="1"/>
  <c r="H796" i="1"/>
  <c r="I796" i="1"/>
  <c r="J796" i="1"/>
  <c r="K796" i="1"/>
  <c r="L796" i="1"/>
  <c r="M796" i="1"/>
  <c r="N796" i="1"/>
  <c r="O796" i="1"/>
  <c r="P796" i="1"/>
  <c r="R796" i="1"/>
  <c r="S796" i="1"/>
  <c r="T796" i="1"/>
  <c r="U796" i="1"/>
  <c r="B795" i="1"/>
  <c r="C795" i="1"/>
  <c r="D795" i="1"/>
  <c r="E795" i="1"/>
  <c r="F795" i="1"/>
  <c r="G795" i="1"/>
  <c r="H795" i="1"/>
  <c r="I795" i="1"/>
  <c r="J795" i="1"/>
  <c r="K795" i="1"/>
  <c r="L795" i="1"/>
  <c r="M795" i="1"/>
  <c r="N795" i="1"/>
  <c r="O795" i="1"/>
  <c r="P795" i="1"/>
  <c r="R795" i="1"/>
  <c r="S795" i="1"/>
  <c r="T795" i="1"/>
  <c r="U795" i="1"/>
  <c r="B794" i="1"/>
  <c r="C794" i="1"/>
  <c r="D794" i="1"/>
  <c r="E794" i="1"/>
  <c r="F794" i="1"/>
  <c r="G794" i="1"/>
  <c r="H794" i="1"/>
  <c r="I794" i="1"/>
  <c r="J794" i="1"/>
  <c r="K794" i="1"/>
  <c r="L794" i="1"/>
  <c r="M794" i="1"/>
  <c r="N794" i="1"/>
  <c r="O794" i="1"/>
  <c r="P794" i="1"/>
  <c r="R794" i="1"/>
  <c r="S794" i="1"/>
  <c r="T794" i="1"/>
  <c r="U794" i="1"/>
  <c r="B793" i="1"/>
  <c r="C793" i="1"/>
  <c r="D793" i="1"/>
  <c r="E793" i="1"/>
  <c r="F793" i="1"/>
  <c r="G793" i="1"/>
  <c r="H793" i="1"/>
  <c r="I793" i="1"/>
  <c r="J793" i="1"/>
  <c r="K793" i="1"/>
  <c r="L793" i="1"/>
  <c r="M793" i="1"/>
  <c r="N793" i="1"/>
  <c r="O793" i="1"/>
  <c r="P793" i="1"/>
  <c r="R793" i="1"/>
  <c r="S793" i="1"/>
  <c r="T793" i="1"/>
  <c r="U793" i="1"/>
  <c r="B792" i="1"/>
  <c r="C792" i="1"/>
  <c r="D792" i="1"/>
  <c r="E792" i="1"/>
  <c r="F792" i="1"/>
  <c r="G792" i="1"/>
  <c r="H792" i="1"/>
  <c r="I792" i="1"/>
  <c r="J792" i="1"/>
  <c r="K792" i="1"/>
  <c r="L792" i="1"/>
  <c r="M792" i="1"/>
  <c r="N792" i="1"/>
  <c r="O792" i="1"/>
  <c r="P792" i="1"/>
  <c r="R792" i="1"/>
  <c r="S792" i="1"/>
  <c r="T792" i="1"/>
  <c r="U792" i="1"/>
  <c r="B791" i="1"/>
  <c r="C791" i="1"/>
  <c r="D791" i="1"/>
  <c r="E791" i="1"/>
  <c r="F791" i="1"/>
  <c r="G791" i="1"/>
  <c r="H791" i="1"/>
  <c r="I791" i="1"/>
  <c r="J791" i="1"/>
  <c r="K791" i="1"/>
  <c r="L791" i="1"/>
  <c r="M791" i="1"/>
  <c r="N791" i="1"/>
  <c r="O791" i="1"/>
  <c r="P791" i="1"/>
  <c r="R791" i="1"/>
  <c r="S791" i="1"/>
  <c r="T791" i="1"/>
  <c r="U791" i="1"/>
  <c r="B790" i="1"/>
  <c r="C790" i="1"/>
  <c r="D790" i="1"/>
  <c r="E790" i="1"/>
  <c r="F790" i="1"/>
  <c r="G790" i="1"/>
  <c r="H790" i="1"/>
  <c r="I790" i="1"/>
  <c r="J790" i="1"/>
  <c r="K790" i="1"/>
  <c r="L790" i="1"/>
  <c r="M790" i="1"/>
  <c r="N790" i="1"/>
  <c r="O790" i="1"/>
  <c r="P790" i="1"/>
  <c r="R790" i="1"/>
  <c r="S790" i="1"/>
  <c r="T790" i="1"/>
  <c r="U790" i="1"/>
  <c r="B789" i="1"/>
  <c r="C789" i="1"/>
  <c r="D789" i="1"/>
  <c r="E789" i="1"/>
  <c r="F789" i="1"/>
  <c r="G789" i="1"/>
  <c r="H789" i="1"/>
  <c r="I789" i="1"/>
  <c r="J789" i="1"/>
  <c r="K789" i="1"/>
  <c r="L789" i="1"/>
  <c r="M789" i="1"/>
  <c r="N789" i="1"/>
  <c r="O789" i="1"/>
  <c r="P789" i="1"/>
  <c r="R789" i="1"/>
  <c r="S789" i="1"/>
  <c r="T789" i="1"/>
  <c r="U789" i="1"/>
  <c r="B788" i="1"/>
  <c r="C788" i="1"/>
  <c r="D788" i="1"/>
  <c r="E788" i="1"/>
  <c r="F788" i="1"/>
  <c r="G788" i="1"/>
  <c r="H788" i="1"/>
  <c r="I788" i="1"/>
  <c r="J788" i="1"/>
  <c r="K788" i="1"/>
  <c r="L788" i="1"/>
  <c r="M788" i="1"/>
  <c r="N788" i="1"/>
  <c r="O788" i="1"/>
  <c r="P788" i="1"/>
  <c r="R788" i="1"/>
  <c r="S788" i="1"/>
  <c r="T788" i="1"/>
  <c r="U788" i="1"/>
  <c r="B787" i="1"/>
  <c r="C787" i="1"/>
  <c r="D787" i="1"/>
  <c r="E787" i="1"/>
  <c r="F787" i="1"/>
  <c r="G787" i="1"/>
  <c r="H787" i="1"/>
  <c r="I787" i="1"/>
  <c r="J787" i="1"/>
  <c r="K787" i="1"/>
  <c r="L787" i="1"/>
  <c r="M787" i="1"/>
  <c r="N787" i="1"/>
  <c r="O787" i="1"/>
  <c r="P787" i="1"/>
  <c r="R787" i="1"/>
  <c r="S787" i="1"/>
  <c r="T787" i="1"/>
  <c r="U787" i="1"/>
  <c r="B786" i="1"/>
  <c r="C786" i="1"/>
  <c r="D786" i="1"/>
  <c r="E786" i="1"/>
  <c r="F786" i="1"/>
  <c r="G786" i="1"/>
  <c r="H786" i="1"/>
  <c r="I786" i="1"/>
  <c r="J786" i="1"/>
  <c r="K786" i="1"/>
  <c r="L786" i="1"/>
  <c r="M786" i="1"/>
  <c r="N786" i="1"/>
  <c r="O786" i="1"/>
  <c r="P786" i="1"/>
  <c r="R786" i="1"/>
  <c r="S786" i="1"/>
  <c r="T786" i="1"/>
  <c r="U786" i="1"/>
  <c r="B785" i="1"/>
  <c r="C785" i="1"/>
  <c r="D785" i="1"/>
  <c r="E785" i="1"/>
  <c r="F785" i="1"/>
  <c r="G785" i="1"/>
  <c r="H785" i="1"/>
  <c r="I785" i="1"/>
  <c r="J785" i="1"/>
  <c r="K785" i="1"/>
  <c r="L785" i="1"/>
  <c r="M785" i="1"/>
  <c r="N785" i="1"/>
  <c r="O785" i="1"/>
  <c r="P785" i="1"/>
  <c r="R785" i="1"/>
  <c r="S785" i="1"/>
  <c r="T785" i="1"/>
  <c r="U785" i="1"/>
  <c r="B784" i="1"/>
  <c r="C784" i="1"/>
  <c r="D784" i="1"/>
  <c r="E784" i="1"/>
  <c r="F784" i="1"/>
  <c r="G784" i="1"/>
  <c r="H784" i="1"/>
  <c r="I784" i="1"/>
  <c r="J784" i="1"/>
  <c r="K784" i="1"/>
  <c r="L784" i="1"/>
  <c r="M784" i="1"/>
  <c r="N784" i="1"/>
  <c r="O784" i="1"/>
  <c r="P784" i="1"/>
  <c r="R784" i="1"/>
  <c r="S784" i="1"/>
  <c r="T784" i="1"/>
  <c r="U784" i="1"/>
  <c r="B783" i="1"/>
  <c r="C783" i="1"/>
  <c r="D783" i="1"/>
  <c r="E783" i="1"/>
  <c r="F783" i="1"/>
  <c r="G783" i="1"/>
  <c r="H783" i="1"/>
  <c r="I783" i="1"/>
  <c r="J783" i="1"/>
  <c r="K783" i="1"/>
  <c r="L783" i="1"/>
  <c r="M783" i="1"/>
  <c r="N783" i="1"/>
  <c r="O783" i="1"/>
  <c r="P783" i="1"/>
  <c r="R783" i="1"/>
  <c r="S783" i="1"/>
  <c r="T783" i="1"/>
  <c r="U783" i="1"/>
  <c r="B782" i="1"/>
  <c r="C782" i="1"/>
  <c r="D782" i="1"/>
  <c r="E782" i="1"/>
  <c r="F782" i="1"/>
  <c r="G782" i="1"/>
  <c r="H782" i="1"/>
  <c r="I782" i="1"/>
  <c r="J782" i="1"/>
  <c r="K782" i="1"/>
  <c r="L782" i="1"/>
  <c r="M782" i="1"/>
  <c r="N782" i="1"/>
  <c r="O782" i="1"/>
  <c r="P782" i="1"/>
  <c r="R782" i="1"/>
  <c r="S782" i="1"/>
  <c r="T782" i="1"/>
  <c r="U782" i="1"/>
  <c r="B781" i="1"/>
  <c r="C781" i="1"/>
  <c r="D781" i="1"/>
  <c r="E781" i="1"/>
  <c r="F781" i="1"/>
  <c r="G781" i="1"/>
  <c r="H781" i="1"/>
  <c r="I781" i="1"/>
  <c r="J781" i="1"/>
  <c r="K781" i="1"/>
  <c r="L781" i="1"/>
  <c r="M781" i="1"/>
  <c r="N781" i="1"/>
  <c r="O781" i="1"/>
  <c r="P781" i="1"/>
  <c r="R781" i="1"/>
  <c r="S781" i="1"/>
  <c r="T781" i="1"/>
  <c r="U781" i="1"/>
  <c r="B780" i="1"/>
  <c r="C780" i="1"/>
  <c r="D780" i="1"/>
  <c r="E780" i="1"/>
  <c r="F780" i="1"/>
  <c r="G780" i="1"/>
  <c r="H780" i="1"/>
  <c r="I780" i="1"/>
  <c r="J780" i="1"/>
  <c r="K780" i="1"/>
  <c r="L780" i="1"/>
  <c r="M780" i="1"/>
  <c r="N780" i="1"/>
  <c r="O780" i="1"/>
  <c r="P780" i="1"/>
  <c r="R780" i="1"/>
  <c r="S780" i="1"/>
  <c r="T780" i="1"/>
  <c r="U780" i="1"/>
  <c r="B779" i="1"/>
  <c r="C779" i="1"/>
  <c r="D779" i="1"/>
  <c r="E779" i="1"/>
  <c r="F779" i="1"/>
  <c r="G779" i="1"/>
  <c r="H779" i="1"/>
  <c r="I779" i="1"/>
  <c r="J779" i="1"/>
  <c r="K779" i="1"/>
  <c r="L779" i="1"/>
  <c r="M779" i="1"/>
  <c r="N779" i="1"/>
  <c r="O779" i="1"/>
  <c r="P779" i="1"/>
  <c r="R779" i="1"/>
  <c r="S779" i="1"/>
  <c r="T779" i="1"/>
  <c r="U779" i="1"/>
  <c r="B934" i="1"/>
  <c r="C934" i="1"/>
  <c r="D934" i="1"/>
  <c r="E934" i="1"/>
  <c r="F934" i="1"/>
  <c r="G934" i="1"/>
  <c r="H934" i="1"/>
  <c r="I934" i="1"/>
  <c r="J934" i="1"/>
  <c r="K934" i="1"/>
  <c r="L934" i="1"/>
  <c r="M934" i="1"/>
  <c r="N934" i="1"/>
  <c r="O934" i="1"/>
  <c r="P934" i="1"/>
  <c r="R934" i="1"/>
  <c r="S934" i="1"/>
  <c r="T934" i="1"/>
  <c r="U934" i="1"/>
  <c r="B933" i="1"/>
  <c r="C933" i="1"/>
  <c r="D933" i="1"/>
  <c r="E933" i="1"/>
  <c r="F933" i="1"/>
  <c r="G933" i="1"/>
  <c r="H933" i="1"/>
  <c r="I933" i="1"/>
  <c r="J933" i="1"/>
  <c r="K933" i="1"/>
  <c r="L933" i="1"/>
  <c r="M933" i="1"/>
  <c r="N933" i="1"/>
  <c r="O933" i="1"/>
  <c r="P933" i="1"/>
  <c r="R933" i="1"/>
  <c r="S933" i="1"/>
  <c r="T933" i="1"/>
  <c r="U933" i="1"/>
  <c r="B932" i="1"/>
  <c r="C932" i="1"/>
  <c r="D932" i="1"/>
  <c r="E932" i="1"/>
  <c r="F932" i="1"/>
  <c r="G932" i="1"/>
  <c r="H932" i="1"/>
  <c r="I932" i="1"/>
  <c r="J932" i="1"/>
  <c r="K932" i="1"/>
  <c r="L932" i="1"/>
  <c r="M932" i="1"/>
  <c r="N932" i="1"/>
  <c r="O932" i="1"/>
  <c r="P932" i="1"/>
  <c r="R932" i="1"/>
  <c r="S932" i="1"/>
  <c r="T932" i="1"/>
  <c r="U932" i="1"/>
  <c r="B931" i="1"/>
  <c r="C931" i="1"/>
  <c r="D931" i="1"/>
  <c r="E931" i="1"/>
  <c r="F931" i="1"/>
  <c r="G931" i="1"/>
  <c r="H931" i="1"/>
  <c r="I931" i="1"/>
  <c r="J931" i="1"/>
  <c r="K931" i="1"/>
  <c r="L931" i="1"/>
  <c r="M931" i="1"/>
  <c r="N931" i="1"/>
  <c r="O931" i="1"/>
  <c r="P931" i="1"/>
  <c r="R931" i="1"/>
  <c r="S931" i="1"/>
  <c r="T931" i="1"/>
  <c r="U931" i="1"/>
  <c r="B930" i="1"/>
  <c r="C930" i="1"/>
  <c r="D930" i="1"/>
  <c r="E930" i="1"/>
  <c r="F930" i="1"/>
  <c r="G930" i="1"/>
  <c r="H930" i="1"/>
  <c r="I930" i="1"/>
  <c r="J930" i="1"/>
  <c r="K930" i="1"/>
  <c r="L930" i="1"/>
  <c r="M930" i="1"/>
  <c r="N930" i="1"/>
  <c r="O930" i="1"/>
  <c r="P930" i="1"/>
  <c r="R930" i="1"/>
  <c r="S930" i="1"/>
  <c r="T930" i="1"/>
  <c r="U930" i="1"/>
  <c r="B929" i="1"/>
  <c r="C929" i="1"/>
  <c r="D929" i="1"/>
  <c r="E929" i="1"/>
  <c r="F929" i="1"/>
  <c r="G929" i="1"/>
  <c r="H929" i="1"/>
  <c r="I929" i="1"/>
  <c r="J929" i="1"/>
  <c r="K929" i="1"/>
  <c r="L929" i="1"/>
  <c r="M929" i="1"/>
  <c r="N929" i="1"/>
  <c r="O929" i="1"/>
  <c r="P929" i="1"/>
  <c r="R929" i="1"/>
  <c r="S929" i="1"/>
  <c r="T929" i="1"/>
  <c r="U929" i="1"/>
  <c r="B928" i="1"/>
  <c r="C928" i="1"/>
  <c r="D928" i="1"/>
  <c r="E928" i="1"/>
  <c r="F928" i="1"/>
  <c r="G928" i="1"/>
  <c r="H928" i="1"/>
  <c r="I928" i="1"/>
  <c r="J928" i="1"/>
  <c r="K928" i="1"/>
  <c r="L928" i="1"/>
  <c r="M928" i="1"/>
  <c r="N928" i="1"/>
  <c r="O928" i="1"/>
  <c r="P928" i="1"/>
  <c r="R928" i="1"/>
  <c r="S928" i="1"/>
  <c r="T928" i="1"/>
  <c r="U928" i="1"/>
  <c r="B927" i="1"/>
  <c r="C927" i="1"/>
  <c r="D927" i="1"/>
  <c r="E927" i="1"/>
  <c r="F927" i="1"/>
  <c r="G927" i="1"/>
  <c r="H927" i="1"/>
  <c r="I927" i="1"/>
  <c r="J927" i="1"/>
  <c r="K927" i="1"/>
  <c r="L927" i="1"/>
  <c r="M927" i="1"/>
  <c r="N927" i="1"/>
  <c r="O927" i="1"/>
  <c r="P927" i="1"/>
  <c r="R927" i="1"/>
  <c r="S927" i="1"/>
  <c r="T927" i="1"/>
  <c r="U927" i="1"/>
  <c r="B926" i="1"/>
  <c r="C926" i="1"/>
  <c r="D926" i="1"/>
  <c r="E926" i="1"/>
  <c r="F926" i="1"/>
  <c r="G926" i="1"/>
  <c r="H926" i="1"/>
  <c r="I926" i="1"/>
  <c r="J926" i="1"/>
  <c r="K926" i="1"/>
  <c r="L926" i="1"/>
  <c r="M926" i="1"/>
  <c r="N926" i="1"/>
  <c r="O926" i="1"/>
  <c r="P926" i="1"/>
  <c r="R926" i="1"/>
  <c r="S926" i="1"/>
  <c r="T926" i="1"/>
  <c r="U926" i="1"/>
  <c r="B925" i="1"/>
  <c r="C925" i="1"/>
  <c r="D925" i="1"/>
  <c r="E925" i="1"/>
  <c r="F925" i="1"/>
  <c r="G925" i="1"/>
  <c r="H925" i="1"/>
  <c r="I925" i="1"/>
  <c r="J925" i="1"/>
  <c r="K925" i="1"/>
  <c r="L925" i="1"/>
  <c r="M925" i="1"/>
  <c r="N925" i="1"/>
  <c r="O925" i="1"/>
  <c r="P925" i="1"/>
  <c r="R925" i="1"/>
  <c r="S925" i="1"/>
  <c r="T925" i="1"/>
  <c r="U925" i="1"/>
  <c r="B924" i="1"/>
  <c r="C924" i="1"/>
  <c r="D924" i="1"/>
  <c r="E924" i="1"/>
  <c r="F924" i="1"/>
  <c r="G924" i="1"/>
  <c r="H924" i="1"/>
  <c r="I924" i="1"/>
  <c r="J924" i="1"/>
  <c r="K924" i="1"/>
  <c r="L924" i="1"/>
  <c r="M924" i="1"/>
  <c r="N924" i="1"/>
  <c r="O924" i="1"/>
  <c r="P924" i="1"/>
  <c r="R924" i="1"/>
  <c r="S924" i="1"/>
  <c r="T924" i="1"/>
  <c r="U924" i="1"/>
  <c r="B923" i="1"/>
  <c r="C923" i="1"/>
  <c r="D923" i="1"/>
  <c r="E923" i="1"/>
  <c r="F923" i="1"/>
  <c r="G923" i="1"/>
  <c r="H923" i="1"/>
  <c r="I923" i="1"/>
  <c r="J923" i="1"/>
  <c r="K923" i="1"/>
  <c r="L923" i="1"/>
  <c r="M923" i="1"/>
  <c r="N923" i="1"/>
  <c r="O923" i="1"/>
  <c r="P923" i="1"/>
  <c r="R923" i="1"/>
  <c r="S923" i="1"/>
  <c r="T923" i="1"/>
  <c r="U923" i="1"/>
  <c r="B922" i="1"/>
  <c r="C922" i="1"/>
  <c r="D922" i="1"/>
  <c r="E922" i="1"/>
  <c r="F922" i="1"/>
  <c r="G922" i="1"/>
  <c r="H922" i="1"/>
  <c r="I922" i="1"/>
  <c r="J922" i="1"/>
  <c r="K922" i="1"/>
  <c r="L922" i="1"/>
  <c r="M922" i="1"/>
  <c r="N922" i="1"/>
  <c r="O922" i="1"/>
  <c r="P922" i="1"/>
  <c r="R922" i="1"/>
  <c r="S922" i="1"/>
  <c r="T922" i="1"/>
  <c r="U922" i="1"/>
  <c r="B921" i="1"/>
  <c r="C921" i="1"/>
  <c r="D921" i="1"/>
  <c r="E921" i="1"/>
  <c r="F921" i="1"/>
  <c r="G921" i="1"/>
  <c r="H921" i="1"/>
  <c r="I921" i="1"/>
  <c r="J921" i="1"/>
  <c r="K921" i="1"/>
  <c r="L921" i="1"/>
  <c r="M921" i="1"/>
  <c r="N921" i="1"/>
  <c r="O921" i="1"/>
  <c r="P921" i="1"/>
  <c r="R921" i="1"/>
  <c r="S921" i="1"/>
  <c r="T921" i="1"/>
  <c r="U921" i="1"/>
  <c r="B920" i="1"/>
  <c r="C920" i="1"/>
  <c r="D920" i="1"/>
  <c r="E920" i="1"/>
  <c r="F920" i="1"/>
  <c r="G920" i="1"/>
  <c r="H920" i="1"/>
  <c r="I920" i="1"/>
  <c r="J920" i="1"/>
  <c r="K920" i="1"/>
  <c r="L920" i="1"/>
  <c r="M920" i="1"/>
  <c r="N920" i="1"/>
  <c r="O920" i="1"/>
  <c r="P920" i="1"/>
  <c r="R920" i="1"/>
  <c r="S920" i="1"/>
  <c r="T920" i="1"/>
  <c r="U920" i="1"/>
  <c r="B919" i="1"/>
  <c r="C919" i="1"/>
  <c r="D919" i="1"/>
  <c r="E919" i="1"/>
  <c r="F919" i="1"/>
  <c r="G919" i="1"/>
  <c r="H919" i="1"/>
  <c r="I919" i="1"/>
  <c r="J919" i="1"/>
  <c r="K919" i="1"/>
  <c r="L919" i="1"/>
  <c r="M919" i="1"/>
  <c r="N919" i="1"/>
  <c r="O919" i="1"/>
  <c r="P919" i="1"/>
  <c r="R919" i="1"/>
  <c r="S919" i="1"/>
  <c r="T919" i="1"/>
  <c r="U919" i="1"/>
  <c r="B918" i="1"/>
  <c r="C918" i="1"/>
  <c r="D918" i="1"/>
  <c r="E918" i="1"/>
  <c r="F918" i="1"/>
  <c r="G918" i="1"/>
  <c r="H918" i="1"/>
  <c r="I918" i="1"/>
  <c r="J918" i="1"/>
  <c r="K918" i="1"/>
  <c r="L918" i="1"/>
  <c r="M918" i="1"/>
  <c r="N918" i="1"/>
  <c r="O918" i="1"/>
  <c r="P918" i="1"/>
  <c r="R918" i="1"/>
  <c r="S918" i="1"/>
  <c r="T918" i="1"/>
  <c r="U918" i="1"/>
  <c r="B917" i="1"/>
  <c r="C917" i="1"/>
  <c r="D917" i="1"/>
  <c r="E917" i="1"/>
  <c r="F917" i="1"/>
  <c r="G917" i="1"/>
  <c r="H917" i="1"/>
  <c r="I917" i="1"/>
  <c r="J917" i="1"/>
  <c r="K917" i="1"/>
  <c r="L917" i="1"/>
  <c r="M917" i="1"/>
  <c r="N917" i="1"/>
  <c r="O917" i="1"/>
  <c r="P917" i="1"/>
  <c r="R917" i="1"/>
  <c r="S917" i="1"/>
  <c r="T917" i="1"/>
  <c r="U917" i="1"/>
  <c r="B916" i="1"/>
  <c r="C916" i="1"/>
  <c r="D916" i="1"/>
  <c r="E916" i="1"/>
  <c r="F916" i="1"/>
  <c r="G916" i="1"/>
  <c r="H916" i="1"/>
  <c r="I916" i="1"/>
  <c r="J916" i="1"/>
  <c r="K916" i="1"/>
  <c r="L916" i="1"/>
  <c r="M916" i="1"/>
  <c r="N916" i="1"/>
  <c r="O916" i="1"/>
  <c r="P916" i="1"/>
  <c r="R916" i="1"/>
  <c r="S916" i="1"/>
  <c r="T916" i="1"/>
  <c r="U916" i="1"/>
  <c r="B915" i="1"/>
  <c r="C915" i="1"/>
  <c r="D915" i="1"/>
  <c r="E915" i="1"/>
  <c r="F915" i="1"/>
  <c r="G915" i="1"/>
  <c r="H915" i="1"/>
  <c r="I915" i="1"/>
  <c r="J915" i="1"/>
  <c r="K915" i="1"/>
  <c r="L915" i="1"/>
  <c r="M915" i="1"/>
  <c r="N915" i="1"/>
  <c r="O915" i="1"/>
  <c r="P915" i="1"/>
  <c r="R915" i="1"/>
  <c r="S915" i="1"/>
  <c r="T915" i="1"/>
  <c r="U915" i="1"/>
  <c r="B914" i="1"/>
  <c r="C914" i="1"/>
  <c r="D914" i="1"/>
  <c r="E914" i="1"/>
  <c r="F914" i="1"/>
  <c r="G914" i="1"/>
  <c r="H914" i="1"/>
  <c r="I914" i="1"/>
  <c r="J914" i="1"/>
  <c r="K914" i="1"/>
  <c r="L914" i="1"/>
  <c r="M914" i="1"/>
  <c r="N914" i="1"/>
  <c r="O914" i="1"/>
  <c r="P914" i="1"/>
  <c r="R914" i="1"/>
  <c r="S914" i="1"/>
  <c r="T914" i="1"/>
  <c r="U914" i="1"/>
  <c r="B913" i="1"/>
  <c r="C913" i="1"/>
  <c r="D913" i="1"/>
  <c r="E913" i="1"/>
  <c r="F913" i="1"/>
  <c r="G913" i="1"/>
  <c r="H913" i="1"/>
  <c r="I913" i="1"/>
  <c r="J913" i="1"/>
  <c r="K913" i="1"/>
  <c r="L913" i="1"/>
  <c r="M913" i="1"/>
  <c r="N913" i="1"/>
  <c r="O913" i="1"/>
  <c r="P913" i="1"/>
  <c r="R913" i="1"/>
  <c r="S913" i="1"/>
  <c r="T913" i="1"/>
  <c r="U913" i="1"/>
  <c r="B912" i="1"/>
  <c r="C912" i="1"/>
  <c r="D912" i="1"/>
  <c r="E912" i="1"/>
  <c r="F912" i="1"/>
  <c r="G912" i="1"/>
  <c r="H912" i="1"/>
  <c r="I912" i="1"/>
  <c r="J912" i="1"/>
  <c r="K912" i="1"/>
  <c r="L912" i="1"/>
  <c r="M912" i="1"/>
  <c r="N912" i="1"/>
  <c r="O912" i="1"/>
  <c r="P912" i="1"/>
  <c r="R912" i="1"/>
  <c r="S912" i="1"/>
  <c r="T912" i="1"/>
  <c r="U912" i="1"/>
  <c r="B911" i="1"/>
  <c r="C911" i="1"/>
  <c r="D911" i="1"/>
  <c r="E911" i="1"/>
  <c r="F911" i="1"/>
  <c r="G911" i="1"/>
  <c r="H911" i="1"/>
  <c r="I911" i="1"/>
  <c r="J911" i="1"/>
  <c r="K911" i="1"/>
  <c r="L911" i="1"/>
  <c r="M911" i="1"/>
  <c r="N911" i="1"/>
  <c r="O911" i="1"/>
  <c r="P911" i="1"/>
  <c r="R911" i="1"/>
  <c r="S911" i="1"/>
  <c r="T911" i="1"/>
  <c r="U911" i="1"/>
  <c r="B910" i="1"/>
  <c r="C910" i="1"/>
  <c r="D910" i="1"/>
  <c r="E910" i="1"/>
  <c r="F910" i="1"/>
  <c r="G910" i="1"/>
  <c r="H910" i="1"/>
  <c r="I910" i="1"/>
  <c r="J910" i="1"/>
  <c r="K910" i="1"/>
  <c r="L910" i="1"/>
  <c r="M910" i="1"/>
  <c r="N910" i="1"/>
  <c r="O910" i="1"/>
  <c r="P910" i="1"/>
  <c r="R910" i="1"/>
  <c r="S910" i="1"/>
  <c r="T910" i="1"/>
  <c r="U910" i="1"/>
  <c r="B909" i="1"/>
  <c r="C909" i="1"/>
  <c r="D909" i="1"/>
  <c r="E909" i="1"/>
  <c r="F909" i="1"/>
  <c r="G909" i="1"/>
  <c r="H909" i="1"/>
  <c r="I909" i="1"/>
  <c r="J909" i="1"/>
  <c r="K909" i="1"/>
  <c r="L909" i="1"/>
  <c r="M909" i="1"/>
  <c r="N909" i="1"/>
  <c r="O909" i="1"/>
  <c r="P909" i="1"/>
  <c r="R909" i="1"/>
  <c r="S909" i="1"/>
  <c r="T909" i="1"/>
  <c r="U909" i="1"/>
  <c r="B908" i="1"/>
  <c r="C908" i="1"/>
  <c r="D908" i="1"/>
  <c r="E908" i="1"/>
  <c r="F908" i="1"/>
  <c r="G908" i="1"/>
  <c r="H908" i="1"/>
  <c r="I908" i="1"/>
  <c r="J908" i="1"/>
  <c r="K908" i="1"/>
  <c r="L908" i="1"/>
  <c r="M908" i="1"/>
  <c r="N908" i="1"/>
  <c r="O908" i="1"/>
  <c r="P908" i="1"/>
  <c r="R908" i="1"/>
  <c r="S908" i="1"/>
  <c r="T908" i="1"/>
  <c r="U908" i="1"/>
  <c r="B907" i="1"/>
  <c r="C907" i="1"/>
  <c r="D907" i="1"/>
  <c r="E907" i="1"/>
  <c r="F907" i="1"/>
  <c r="G907" i="1"/>
  <c r="H907" i="1"/>
  <c r="I907" i="1"/>
  <c r="J907" i="1"/>
  <c r="K907" i="1"/>
  <c r="L907" i="1"/>
  <c r="M907" i="1"/>
  <c r="N907" i="1"/>
  <c r="O907" i="1"/>
  <c r="P907" i="1"/>
  <c r="R907" i="1"/>
  <c r="S907" i="1"/>
  <c r="T907" i="1"/>
  <c r="U907" i="1"/>
  <c r="B906" i="1"/>
  <c r="C906" i="1"/>
  <c r="D906" i="1"/>
  <c r="E906" i="1"/>
  <c r="F906" i="1"/>
  <c r="G906" i="1"/>
  <c r="H906" i="1"/>
  <c r="I906" i="1"/>
  <c r="J906" i="1"/>
  <c r="K906" i="1"/>
  <c r="L906" i="1"/>
  <c r="M906" i="1"/>
  <c r="N906" i="1"/>
  <c r="O906" i="1"/>
  <c r="P906" i="1"/>
  <c r="R906" i="1"/>
  <c r="S906" i="1"/>
  <c r="T906" i="1"/>
  <c r="U906" i="1"/>
  <c r="B905" i="1"/>
  <c r="C905" i="1"/>
  <c r="D905" i="1"/>
  <c r="E905" i="1"/>
  <c r="F905" i="1"/>
  <c r="G905" i="1"/>
  <c r="H905" i="1"/>
  <c r="I905" i="1"/>
  <c r="J905" i="1"/>
  <c r="K905" i="1"/>
  <c r="L905" i="1"/>
  <c r="M905" i="1"/>
  <c r="N905" i="1"/>
  <c r="O905" i="1"/>
  <c r="P905" i="1"/>
  <c r="R905" i="1"/>
  <c r="S905" i="1"/>
  <c r="T905" i="1"/>
  <c r="U905" i="1"/>
  <c r="B904" i="1"/>
  <c r="C904" i="1"/>
  <c r="D904" i="1"/>
  <c r="E904" i="1"/>
  <c r="F904" i="1"/>
  <c r="G904" i="1"/>
  <c r="H904" i="1"/>
  <c r="I904" i="1"/>
  <c r="J904" i="1"/>
  <c r="K904" i="1"/>
  <c r="L904" i="1"/>
  <c r="M904" i="1"/>
  <c r="N904" i="1"/>
  <c r="O904" i="1"/>
  <c r="P904" i="1"/>
  <c r="R904" i="1"/>
  <c r="S904" i="1"/>
  <c r="T904" i="1"/>
  <c r="U904" i="1"/>
  <c r="B903" i="1"/>
  <c r="C903" i="1"/>
  <c r="D903" i="1"/>
  <c r="E903" i="1"/>
  <c r="F903" i="1"/>
  <c r="G903" i="1"/>
  <c r="H903" i="1"/>
  <c r="I903" i="1"/>
  <c r="J903" i="1"/>
  <c r="K903" i="1"/>
  <c r="L903" i="1"/>
  <c r="M903" i="1"/>
  <c r="N903" i="1"/>
  <c r="O903" i="1"/>
  <c r="P903" i="1"/>
  <c r="R903" i="1"/>
  <c r="S903" i="1"/>
  <c r="T903" i="1"/>
  <c r="U903" i="1"/>
  <c r="B902" i="1"/>
  <c r="C902" i="1"/>
  <c r="D902" i="1"/>
  <c r="E902" i="1"/>
  <c r="F902" i="1"/>
  <c r="G902" i="1"/>
  <c r="H902" i="1"/>
  <c r="I902" i="1"/>
  <c r="J902" i="1"/>
  <c r="K902" i="1"/>
  <c r="L902" i="1"/>
  <c r="M902" i="1"/>
  <c r="N902" i="1"/>
  <c r="O902" i="1"/>
  <c r="P902" i="1"/>
  <c r="R902" i="1"/>
  <c r="S902" i="1"/>
  <c r="T902" i="1"/>
  <c r="U902" i="1"/>
  <c r="B901" i="1"/>
  <c r="C901" i="1"/>
  <c r="D901" i="1"/>
  <c r="E901" i="1"/>
  <c r="F901" i="1"/>
  <c r="G901" i="1"/>
  <c r="H901" i="1"/>
  <c r="I901" i="1"/>
  <c r="J901" i="1"/>
  <c r="K901" i="1"/>
  <c r="L901" i="1"/>
  <c r="M901" i="1"/>
  <c r="N901" i="1"/>
  <c r="O901" i="1"/>
  <c r="P901" i="1"/>
  <c r="R901" i="1"/>
  <c r="S901" i="1"/>
  <c r="T901" i="1"/>
  <c r="U901" i="1"/>
  <c r="B900" i="1"/>
  <c r="C900" i="1"/>
  <c r="D900" i="1"/>
  <c r="E900" i="1"/>
  <c r="F900" i="1"/>
  <c r="G900" i="1"/>
  <c r="H900" i="1"/>
  <c r="I900" i="1"/>
  <c r="J900" i="1"/>
  <c r="K900" i="1"/>
  <c r="L900" i="1"/>
  <c r="M900" i="1"/>
  <c r="N900" i="1"/>
  <c r="O900" i="1"/>
  <c r="P900" i="1"/>
  <c r="R900" i="1"/>
  <c r="S900" i="1"/>
  <c r="T900" i="1"/>
  <c r="U900" i="1"/>
  <c r="B899" i="1"/>
  <c r="C899" i="1"/>
  <c r="D899" i="1"/>
  <c r="E899" i="1"/>
  <c r="F899" i="1"/>
  <c r="G899" i="1"/>
  <c r="H899" i="1"/>
  <c r="I899" i="1"/>
  <c r="J899" i="1"/>
  <c r="K899" i="1"/>
  <c r="L899" i="1"/>
  <c r="M899" i="1"/>
  <c r="N899" i="1"/>
  <c r="O899" i="1"/>
  <c r="P899" i="1"/>
  <c r="R899" i="1"/>
  <c r="S899" i="1"/>
  <c r="T899" i="1"/>
  <c r="U899" i="1"/>
  <c r="B898" i="1"/>
  <c r="C898" i="1"/>
  <c r="D898" i="1"/>
  <c r="E898" i="1"/>
  <c r="F898" i="1"/>
  <c r="G898" i="1"/>
  <c r="H898" i="1"/>
  <c r="I898" i="1"/>
  <c r="J898" i="1"/>
  <c r="K898" i="1"/>
  <c r="L898" i="1"/>
  <c r="M898" i="1"/>
  <c r="N898" i="1"/>
  <c r="O898" i="1"/>
  <c r="P898" i="1"/>
  <c r="R898" i="1"/>
  <c r="S898" i="1"/>
  <c r="T898" i="1"/>
  <c r="U898" i="1"/>
  <c r="B897" i="1"/>
  <c r="C897" i="1"/>
  <c r="D897" i="1"/>
  <c r="E897" i="1"/>
  <c r="F897" i="1"/>
  <c r="G897" i="1"/>
  <c r="H897" i="1"/>
  <c r="I897" i="1"/>
  <c r="J897" i="1"/>
  <c r="K897" i="1"/>
  <c r="L897" i="1"/>
  <c r="M897" i="1"/>
  <c r="N897" i="1"/>
  <c r="O897" i="1"/>
  <c r="P897" i="1"/>
  <c r="R897" i="1"/>
  <c r="S897" i="1"/>
  <c r="T897" i="1"/>
  <c r="U897" i="1"/>
  <c r="B896" i="1"/>
  <c r="C896" i="1"/>
  <c r="D896" i="1"/>
  <c r="E896" i="1"/>
  <c r="F896" i="1"/>
  <c r="G896" i="1"/>
  <c r="H896" i="1"/>
  <c r="I896" i="1"/>
  <c r="J896" i="1"/>
  <c r="K896" i="1"/>
  <c r="L896" i="1"/>
  <c r="M896" i="1"/>
  <c r="N896" i="1"/>
  <c r="O896" i="1"/>
  <c r="P896" i="1"/>
  <c r="R896" i="1"/>
  <c r="S896" i="1"/>
  <c r="T896" i="1"/>
  <c r="U896" i="1"/>
  <c r="B895" i="1"/>
  <c r="C895" i="1"/>
  <c r="D895" i="1"/>
  <c r="E895" i="1"/>
  <c r="F895" i="1"/>
  <c r="G895" i="1"/>
  <c r="H895" i="1"/>
  <c r="I895" i="1"/>
  <c r="J895" i="1"/>
  <c r="K895" i="1"/>
  <c r="L895" i="1"/>
  <c r="M895" i="1"/>
  <c r="N895" i="1"/>
  <c r="O895" i="1"/>
  <c r="P895" i="1"/>
  <c r="R895" i="1"/>
  <c r="S895" i="1"/>
  <c r="T895" i="1"/>
  <c r="U895" i="1"/>
  <c r="B894" i="1"/>
  <c r="C894" i="1"/>
  <c r="D894" i="1"/>
  <c r="E894" i="1"/>
  <c r="F894" i="1"/>
  <c r="G894" i="1"/>
  <c r="H894" i="1"/>
  <c r="I894" i="1"/>
  <c r="J894" i="1"/>
  <c r="K894" i="1"/>
  <c r="L894" i="1"/>
  <c r="M894" i="1"/>
  <c r="N894" i="1"/>
  <c r="O894" i="1"/>
  <c r="P894" i="1"/>
  <c r="R894" i="1"/>
  <c r="S894" i="1"/>
  <c r="T894" i="1"/>
  <c r="U894" i="1"/>
  <c r="B893" i="1"/>
  <c r="C893" i="1"/>
  <c r="D893" i="1"/>
  <c r="E893" i="1"/>
  <c r="F893" i="1"/>
  <c r="G893" i="1"/>
  <c r="H893" i="1"/>
  <c r="I893" i="1"/>
  <c r="J893" i="1"/>
  <c r="K893" i="1"/>
  <c r="L893" i="1"/>
  <c r="M893" i="1"/>
  <c r="N893" i="1"/>
  <c r="O893" i="1"/>
  <c r="P893" i="1"/>
  <c r="R893" i="1"/>
  <c r="S893" i="1"/>
  <c r="T893" i="1"/>
  <c r="U893" i="1"/>
  <c r="B892" i="1"/>
  <c r="C892" i="1"/>
  <c r="D892" i="1"/>
  <c r="E892" i="1"/>
  <c r="F892" i="1"/>
  <c r="G892" i="1"/>
  <c r="H892" i="1"/>
  <c r="I892" i="1"/>
  <c r="J892" i="1"/>
  <c r="K892" i="1"/>
  <c r="L892" i="1"/>
  <c r="M892" i="1"/>
  <c r="N892" i="1"/>
  <c r="O892" i="1"/>
  <c r="P892" i="1"/>
  <c r="R892" i="1"/>
  <c r="S892" i="1"/>
  <c r="T892" i="1"/>
  <c r="U892" i="1"/>
  <c r="B891" i="1"/>
  <c r="C891" i="1"/>
  <c r="D891" i="1"/>
  <c r="E891" i="1"/>
  <c r="F891" i="1"/>
  <c r="G891" i="1"/>
  <c r="H891" i="1"/>
  <c r="I891" i="1"/>
  <c r="J891" i="1"/>
  <c r="K891" i="1"/>
  <c r="L891" i="1"/>
  <c r="M891" i="1"/>
  <c r="N891" i="1"/>
  <c r="O891" i="1"/>
  <c r="P891" i="1"/>
  <c r="R891" i="1"/>
  <c r="S891" i="1"/>
  <c r="T891" i="1"/>
  <c r="U891" i="1"/>
  <c r="B890" i="1"/>
  <c r="C890" i="1"/>
  <c r="D890" i="1"/>
  <c r="E890" i="1"/>
  <c r="F890" i="1"/>
  <c r="G890" i="1"/>
  <c r="H890" i="1"/>
  <c r="I890" i="1"/>
  <c r="J890" i="1"/>
  <c r="K890" i="1"/>
  <c r="L890" i="1"/>
  <c r="M890" i="1"/>
  <c r="N890" i="1"/>
  <c r="O890" i="1"/>
  <c r="P890" i="1"/>
  <c r="R890" i="1"/>
  <c r="S890" i="1"/>
  <c r="T890" i="1"/>
  <c r="U890" i="1"/>
  <c r="B889" i="1"/>
  <c r="C889" i="1"/>
  <c r="D889" i="1"/>
  <c r="E889" i="1"/>
  <c r="F889" i="1"/>
  <c r="G889" i="1"/>
  <c r="H889" i="1"/>
  <c r="I889" i="1"/>
  <c r="J889" i="1"/>
  <c r="K889" i="1"/>
  <c r="L889" i="1"/>
  <c r="M889" i="1"/>
  <c r="N889" i="1"/>
  <c r="O889" i="1"/>
  <c r="P889" i="1"/>
  <c r="R889" i="1"/>
  <c r="S889" i="1"/>
  <c r="T889" i="1"/>
  <c r="U889" i="1"/>
  <c r="B888" i="1"/>
  <c r="C888" i="1"/>
  <c r="D888" i="1"/>
  <c r="E888" i="1"/>
  <c r="F888" i="1"/>
  <c r="G888" i="1"/>
  <c r="H888" i="1"/>
  <c r="I888" i="1"/>
  <c r="J888" i="1"/>
  <c r="K888" i="1"/>
  <c r="L888" i="1"/>
  <c r="M888" i="1"/>
  <c r="N888" i="1"/>
  <c r="O888" i="1"/>
  <c r="P888" i="1"/>
  <c r="R888" i="1"/>
  <c r="S888" i="1"/>
  <c r="T888" i="1"/>
  <c r="U888" i="1"/>
  <c r="B887" i="1"/>
  <c r="C887" i="1"/>
  <c r="D887" i="1"/>
  <c r="E887" i="1"/>
  <c r="F887" i="1"/>
  <c r="G887" i="1"/>
  <c r="H887" i="1"/>
  <c r="I887" i="1"/>
  <c r="J887" i="1"/>
  <c r="K887" i="1"/>
  <c r="L887" i="1"/>
  <c r="M887" i="1"/>
  <c r="N887" i="1"/>
  <c r="O887" i="1"/>
  <c r="P887" i="1"/>
  <c r="R887" i="1"/>
  <c r="S887" i="1"/>
  <c r="T887" i="1"/>
  <c r="U887" i="1"/>
  <c r="B886" i="1"/>
  <c r="C886" i="1"/>
  <c r="D886" i="1"/>
  <c r="E886" i="1"/>
  <c r="F886" i="1"/>
  <c r="G886" i="1"/>
  <c r="H886" i="1"/>
  <c r="I886" i="1"/>
  <c r="J886" i="1"/>
  <c r="K886" i="1"/>
  <c r="L886" i="1"/>
  <c r="M886" i="1"/>
  <c r="N886" i="1"/>
  <c r="O886" i="1"/>
  <c r="P886" i="1"/>
  <c r="R886" i="1"/>
  <c r="S886" i="1"/>
  <c r="T886" i="1"/>
  <c r="U886" i="1"/>
  <c r="B885" i="1"/>
  <c r="C885" i="1"/>
  <c r="D885" i="1"/>
  <c r="E885" i="1"/>
  <c r="F885" i="1"/>
  <c r="G885" i="1"/>
  <c r="H885" i="1"/>
  <c r="I885" i="1"/>
  <c r="J885" i="1"/>
  <c r="K885" i="1"/>
  <c r="L885" i="1"/>
  <c r="M885" i="1"/>
  <c r="N885" i="1"/>
  <c r="O885" i="1"/>
  <c r="P885" i="1"/>
  <c r="R885" i="1"/>
  <c r="S885" i="1"/>
  <c r="T885" i="1"/>
  <c r="U885" i="1"/>
  <c r="B884" i="1"/>
  <c r="C884" i="1"/>
  <c r="D884" i="1"/>
  <c r="E884" i="1"/>
  <c r="F884" i="1"/>
  <c r="G884" i="1"/>
  <c r="H884" i="1"/>
  <c r="I884" i="1"/>
  <c r="J884" i="1"/>
  <c r="K884" i="1"/>
  <c r="L884" i="1"/>
  <c r="M884" i="1"/>
  <c r="N884" i="1"/>
  <c r="O884" i="1"/>
  <c r="P884" i="1"/>
  <c r="R884" i="1"/>
  <c r="S884" i="1"/>
  <c r="T884" i="1"/>
  <c r="U884" i="1"/>
  <c r="B883" i="1"/>
  <c r="C883" i="1"/>
  <c r="D883" i="1"/>
  <c r="E883" i="1"/>
  <c r="F883" i="1"/>
  <c r="G883" i="1"/>
  <c r="H883" i="1"/>
  <c r="I883" i="1"/>
  <c r="J883" i="1"/>
  <c r="K883" i="1"/>
  <c r="L883" i="1"/>
  <c r="M883" i="1"/>
  <c r="N883" i="1"/>
  <c r="O883" i="1"/>
  <c r="P883" i="1"/>
  <c r="R883" i="1"/>
  <c r="S883" i="1"/>
  <c r="T883" i="1"/>
  <c r="U883" i="1"/>
  <c r="B882" i="1"/>
  <c r="C882" i="1"/>
  <c r="D882" i="1"/>
  <c r="E882" i="1"/>
  <c r="F882" i="1"/>
  <c r="G882" i="1"/>
  <c r="H882" i="1"/>
  <c r="I882" i="1"/>
  <c r="J882" i="1"/>
  <c r="K882" i="1"/>
  <c r="L882" i="1"/>
  <c r="M882" i="1"/>
  <c r="N882" i="1"/>
  <c r="O882" i="1"/>
  <c r="P882" i="1"/>
  <c r="R882" i="1"/>
  <c r="S882" i="1"/>
  <c r="T882" i="1"/>
  <c r="U882" i="1"/>
  <c r="B881" i="1"/>
  <c r="C881" i="1"/>
  <c r="D881" i="1"/>
  <c r="E881" i="1"/>
  <c r="F881" i="1"/>
  <c r="G881" i="1"/>
  <c r="H881" i="1"/>
  <c r="I881" i="1"/>
  <c r="J881" i="1"/>
  <c r="K881" i="1"/>
  <c r="L881" i="1"/>
  <c r="M881" i="1"/>
  <c r="N881" i="1"/>
  <c r="O881" i="1"/>
  <c r="P881" i="1"/>
  <c r="R881" i="1"/>
  <c r="S881" i="1"/>
  <c r="T881" i="1"/>
  <c r="U881" i="1"/>
  <c r="B880" i="1"/>
  <c r="C880" i="1"/>
  <c r="D880" i="1"/>
  <c r="E880" i="1"/>
  <c r="F880" i="1"/>
  <c r="G880" i="1"/>
  <c r="H880" i="1"/>
  <c r="I880" i="1"/>
  <c r="J880" i="1"/>
  <c r="K880" i="1"/>
  <c r="L880" i="1"/>
  <c r="M880" i="1"/>
  <c r="N880" i="1"/>
  <c r="O880" i="1"/>
  <c r="P880" i="1"/>
  <c r="R880" i="1"/>
  <c r="S880" i="1"/>
  <c r="T880" i="1"/>
  <c r="U880" i="1"/>
  <c r="B879" i="1"/>
  <c r="C879" i="1"/>
  <c r="D879" i="1"/>
  <c r="E879" i="1"/>
  <c r="F879" i="1"/>
  <c r="G879" i="1"/>
  <c r="H879" i="1"/>
  <c r="I879" i="1"/>
  <c r="J879" i="1"/>
  <c r="K879" i="1"/>
  <c r="L879" i="1"/>
  <c r="M879" i="1"/>
  <c r="N879" i="1"/>
  <c r="O879" i="1"/>
  <c r="P879" i="1"/>
  <c r="R879" i="1"/>
  <c r="S879" i="1"/>
  <c r="T879" i="1"/>
  <c r="U879" i="1"/>
  <c r="B878" i="1"/>
  <c r="C878" i="1"/>
  <c r="D878" i="1"/>
  <c r="E878" i="1"/>
  <c r="F878" i="1"/>
  <c r="G878" i="1"/>
  <c r="H878" i="1"/>
  <c r="I878" i="1"/>
  <c r="J878" i="1"/>
  <c r="K878" i="1"/>
  <c r="L878" i="1"/>
  <c r="M878" i="1"/>
  <c r="N878" i="1"/>
  <c r="O878" i="1"/>
  <c r="P878" i="1"/>
  <c r="R878" i="1"/>
  <c r="S878" i="1"/>
  <c r="T878" i="1"/>
  <c r="U878" i="1"/>
  <c r="B877" i="1"/>
  <c r="C877" i="1"/>
  <c r="D877" i="1"/>
  <c r="E877" i="1"/>
  <c r="F877" i="1"/>
  <c r="G877" i="1"/>
  <c r="H877" i="1"/>
  <c r="I877" i="1"/>
  <c r="J877" i="1"/>
  <c r="K877" i="1"/>
  <c r="L877" i="1"/>
  <c r="M877" i="1"/>
  <c r="N877" i="1"/>
  <c r="O877" i="1"/>
  <c r="P877" i="1"/>
  <c r="R877" i="1"/>
  <c r="S877" i="1"/>
  <c r="T877" i="1"/>
  <c r="U877" i="1"/>
  <c r="B876" i="1"/>
  <c r="C876" i="1"/>
  <c r="D876" i="1"/>
  <c r="E876" i="1"/>
  <c r="F876" i="1"/>
  <c r="G876" i="1"/>
  <c r="H876" i="1"/>
  <c r="I876" i="1"/>
  <c r="J876" i="1"/>
  <c r="K876" i="1"/>
  <c r="L876" i="1"/>
  <c r="M876" i="1"/>
  <c r="N876" i="1"/>
  <c r="O876" i="1"/>
  <c r="P876" i="1"/>
  <c r="R876" i="1"/>
  <c r="S876" i="1"/>
  <c r="T876" i="1"/>
  <c r="U876" i="1"/>
  <c r="B875" i="1"/>
  <c r="C875" i="1"/>
  <c r="D875" i="1"/>
  <c r="E875" i="1"/>
  <c r="F875" i="1"/>
  <c r="G875" i="1"/>
  <c r="H875" i="1"/>
  <c r="I875" i="1"/>
  <c r="J875" i="1"/>
  <c r="K875" i="1"/>
  <c r="L875" i="1"/>
  <c r="M875" i="1"/>
  <c r="N875" i="1"/>
  <c r="O875" i="1"/>
  <c r="P875" i="1"/>
  <c r="R875" i="1"/>
  <c r="S875" i="1"/>
  <c r="T875" i="1"/>
  <c r="U875" i="1"/>
  <c r="B874" i="1"/>
  <c r="C874" i="1"/>
  <c r="D874" i="1"/>
  <c r="E874" i="1"/>
  <c r="F874" i="1"/>
  <c r="G874" i="1"/>
  <c r="H874" i="1"/>
  <c r="I874" i="1"/>
  <c r="J874" i="1"/>
  <c r="K874" i="1"/>
  <c r="L874" i="1"/>
  <c r="M874" i="1"/>
  <c r="N874" i="1"/>
  <c r="O874" i="1"/>
  <c r="P874" i="1"/>
  <c r="R874" i="1"/>
  <c r="S874" i="1"/>
  <c r="T874" i="1"/>
  <c r="U874" i="1"/>
  <c r="B873" i="1"/>
  <c r="C873" i="1"/>
  <c r="D873" i="1"/>
  <c r="E873" i="1"/>
  <c r="F873" i="1"/>
  <c r="G873" i="1"/>
  <c r="H873" i="1"/>
  <c r="I873" i="1"/>
  <c r="J873" i="1"/>
  <c r="K873" i="1"/>
  <c r="L873" i="1"/>
  <c r="M873" i="1"/>
  <c r="N873" i="1"/>
  <c r="O873" i="1"/>
  <c r="P873" i="1"/>
  <c r="R873" i="1"/>
  <c r="S873" i="1"/>
  <c r="T873" i="1"/>
  <c r="U873" i="1"/>
  <c r="B872" i="1"/>
  <c r="C872" i="1"/>
  <c r="D872" i="1"/>
  <c r="E872" i="1"/>
  <c r="F872" i="1"/>
  <c r="G872" i="1"/>
  <c r="H872" i="1"/>
  <c r="I872" i="1"/>
  <c r="J872" i="1"/>
  <c r="K872" i="1"/>
  <c r="L872" i="1"/>
  <c r="M872" i="1"/>
  <c r="N872" i="1"/>
  <c r="O872" i="1"/>
  <c r="P872" i="1"/>
  <c r="R872" i="1"/>
  <c r="S872" i="1"/>
  <c r="T872" i="1"/>
  <c r="U872" i="1"/>
  <c r="B871" i="1"/>
  <c r="C871" i="1"/>
  <c r="D871" i="1"/>
  <c r="E871" i="1"/>
  <c r="F871" i="1"/>
  <c r="G871" i="1"/>
  <c r="H871" i="1"/>
  <c r="I871" i="1"/>
  <c r="J871" i="1"/>
  <c r="K871" i="1"/>
  <c r="L871" i="1"/>
  <c r="M871" i="1"/>
  <c r="N871" i="1"/>
  <c r="O871" i="1"/>
  <c r="P871" i="1"/>
  <c r="R871" i="1"/>
  <c r="S871" i="1"/>
  <c r="T871" i="1"/>
  <c r="U871" i="1"/>
  <c r="B870" i="1"/>
  <c r="C870" i="1"/>
  <c r="D870" i="1"/>
  <c r="E870" i="1"/>
  <c r="F870" i="1"/>
  <c r="G870" i="1"/>
  <c r="H870" i="1"/>
  <c r="I870" i="1"/>
  <c r="J870" i="1"/>
  <c r="K870" i="1"/>
  <c r="L870" i="1"/>
  <c r="M870" i="1"/>
  <c r="N870" i="1"/>
  <c r="O870" i="1"/>
  <c r="P870" i="1"/>
  <c r="R870" i="1"/>
  <c r="S870" i="1"/>
  <c r="T870" i="1"/>
  <c r="U870" i="1"/>
  <c r="B869" i="1"/>
  <c r="C869" i="1"/>
  <c r="D869" i="1"/>
  <c r="E869" i="1"/>
  <c r="F869" i="1"/>
  <c r="G869" i="1"/>
  <c r="H869" i="1"/>
  <c r="I869" i="1"/>
  <c r="J869" i="1"/>
  <c r="K869" i="1"/>
  <c r="L869" i="1"/>
  <c r="M869" i="1"/>
  <c r="N869" i="1"/>
  <c r="O869" i="1"/>
  <c r="P869" i="1"/>
  <c r="R869" i="1"/>
  <c r="S869" i="1"/>
  <c r="T869" i="1"/>
  <c r="U869" i="1"/>
  <c r="B868" i="1"/>
  <c r="C868" i="1"/>
  <c r="D868" i="1"/>
  <c r="E868" i="1"/>
  <c r="F868" i="1"/>
  <c r="G868" i="1"/>
  <c r="H868" i="1"/>
  <c r="I868" i="1"/>
  <c r="J868" i="1"/>
  <c r="K868" i="1"/>
  <c r="L868" i="1"/>
  <c r="M868" i="1"/>
  <c r="N868" i="1"/>
  <c r="O868" i="1"/>
  <c r="P868" i="1"/>
  <c r="R868" i="1"/>
  <c r="S868" i="1"/>
  <c r="T868" i="1"/>
  <c r="U868" i="1"/>
  <c r="B867" i="1"/>
  <c r="C867" i="1"/>
  <c r="D867" i="1"/>
  <c r="E867" i="1"/>
  <c r="F867" i="1"/>
  <c r="G867" i="1"/>
  <c r="H867" i="1"/>
  <c r="I867" i="1"/>
  <c r="J867" i="1"/>
  <c r="K867" i="1"/>
  <c r="L867" i="1"/>
  <c r="M867" i="1"/>
  <c r="N867" i="1"/>
  <c r="O867" i="1"/>
  <c r="P867" i="1"/>
  <c r="R867" i="1"/>
  <c r="S867" i="1"/>
  <c r="T867" i="1"/>
  <c r="U867" i="1"/>
  <c r="B866" i="1"/>
  <c r="C866" i="1"/>
  <c r="D866" i="1"/>
  <c r="E866" i="1"/>
  <c r="F866" i="1"/>
  <c r="G866" i="1"/>
  <c r="H866" i="1"/>
  <c r="I866" i="1"/>
  <c r="J866" i="1"/>
  <c r="K866" i="1"/>
  <c r="L866" i="1"/>
  <c r="M866" i="1"/>
  <c r="N866" i="1"/>
  <c r="O866" i="1"/>
  <c r="P866" i="1"/>
  <c r="R866" i="1"/>
  <c r="S866" i="1"/>
  <c r="T866" i="1"/>
  <c r="U866" i="1"/>
  <c r="B865" i="1"/>
  <c r="C865" i="1"/>
  <c r="D865" i="1"/>
  <c r="E865" i="1"/>
  <c r="F865" i="1"/>
  <c r="G865" i="1"/>
  <c r="H865" i="1"/>
  <c r="I865" i="1"/>
  <c r="J865" i="1"/>
  <c r="K865" i="1"/>
  <c r="L865" i="1"/>
  <c r="M865" i="1"/>
  <c r="N865" i="1"/>
  <c r="O865" i="1"/>
  <c r="P865" i="1"/>
  <c r="R865" i="1"/>
  <c r="S865" i="1"/>
  <c r="T865" i="1"/>
  <c r="U865" i="1"/>
  <c r="B864" i="1"/>
  <c r="C864" i="1"/>
  <c r="D864" i="1"/>
  <c r="E864" i="1"/>
  <c r="F864" i="1"/>
  <c r="G864" i="1"/>
  <c r="H864" i="1"/>
  <c r="I864" i="1"/>
  <c r="J864" i="1"/>
  <c r="K864" i="1"/>
  <c r="L864" i="1"/>
  <c r="M864" i="1"/>
  <c r="N864" i="1"/>
  <c r="O864" i="1"/>
  <c r="P864" i="1"/>
  <c r="R864" i="1"/>
  <c r="S864" i="1"/>
  <c r="T864" i="1"/>
  <c r="U864" i="1"/>
  <c r="B863" i="1"/>
  <c r="C863" i="1"/>
  <c r="D863" i="1"/>
  <c r="E863" i="1"/>
  <c r="F863" i="1"/>
  <c r="G863" i="1"/>
  <c r="H863" i="1"/>
  <c r="I863" i="1"/>
  <c r="J863" i="1"/>
  <c r="K863" i="1"/>
  <c r="L863" i="1"/>
  <c r="M863" i="1"/>
  <c r="N863" i="1"/>
  <c r="O863" i="1"/>
  <c r="P863" i="1"/>
  <c r="R863" i="1"/>
  <c r="S863" i="1"/>
  <c r="T863" i="1"/>
  <c r="U863" i="1"/>
  <c r="B862" i="1"/>
  <c r="C862" i="1"/>
  <c r="D862" i="1"/>
  <c r="E862" i="1"/>
  <c r="F862" i="1"/>
  <c r="G862" i="1"/>
  <c r="H862" i="1"/>
  <c r="I862" i="1"/>
  <c r="J862" i="1"/>
  <c r="K862" i="1"/>
  <c r="L862" i="1"/>
  <c r="M862" i="1"/>
  <c r="N862" i="1"/>
  <c r="O862" i="1"/>
  <c r="P862" i="1"/>
  <c r="R862" i="1"/>
  <c r="S862" i="1"/>
  <c r="T862" i="1"/>
  <c r="U862" i="1"/>
  <c r="B861" i="1"/>
  <c r="C861" i="1"/>
  <c r="D861" i="1"/>
  <c r="E861" i="1"/>
  <c r="F861" i="1"/>
  <c r="G861" i="1"/>
  <c r="H861" i="1"/>
  <c r="I861" i="1"/>
  <c r="J861" i="1"/>
  <c r="K861" i="1"/>
  <c r="L861" i="1"/>
  <c r="M861" i="1"/>
  <c r="N861" i="1"/>
  <c r="O861" i="1"/>
  <c r="P861" i="1"/>
  <c r="R861" i="1"/>
  <c r="S861" i="1"/>
  <c r="T861" i="1"/>
  <c r="U861" i="1"/>
  <c r="B860" i="1"/>
  <c r="C860" i="1"/>
  <c r="D860" i="1"/>
  <c r="E860" i="1"/>
  <c r="F860" i="1"/>
  <c r="G860" i="1"/>
  <c r="H860" i="1"/>
  <c r="I860" i="1"/>
  <c r="J860" i="1"/>
  <c r="K860" i="1"/>
  <c r="L860" i="1"/>
  <c r="M860" i="1"/>
  <c r="N860" i="1"/>
  <c r="O860" i="1"/>
  <c r="P860" i="1"/>
  <c r="R860" i="1"/>
  <c r="S860" i="1"/>
  <c r="T860" i="1"/>
  <c r="U860" i="1"/>
  <c r="B859" i="1"/>
  <c r="C859" i="1"/>
  <c r="D859" i="1"/>
  <c r="E859" i="1"/>
  <c r="F859" i="1"/>
  <c r="G859" i="1"/>
  <c r="H859" i="1"/>
  <c r="I859" i="1"/>
  <c r="J859" i="1"/>
  <c r="K859" i="1"/>
  <c r="L859" i="1"/>
  <c r="M859" i="1"/>
  <c r="N859" i="1"/>
  <c r="O859" i="1"/>
  <c r="P859" i="1"/>
  <c r="R859" i="1"/>
  <c r="S859" i="1"/>
  <c r="T859" i="1"/>
  <c r="U859" i="1"/>
  <c r="B858" i="1"/>
  <c r="C858" i="1"/>
  <c r="D858" i="1"/>
  <c r="E858" i="1"/>
  <c r="F858" i="1"/>
  <c r="G858" i="1"/>
  <c r="H858" i="1"/>
  <c r="I858" i="1"/>
  <c r="J858" i="1"/>
  <c r="K858" i="1"/>
  <c r="L858" i="1"/>
  <c r="M858" i="1"/>
  <c r="N858" i="1"/>
  <c r="O858" i="1"/>
  <c r="P858" i="1"/>
  <c r="R858" i="1"/>
  <c r="S858" i="1"/>
  <c r="T858" i="1"/>
  <c r="U858" i="1"/>
  <c r="B600" i="1"/>
  <c r="C600" i="1"/>
  <c r="D600" i="1"/>
  <c r="E600" i="1"/>
  <c r="F600" i="1"/>
  <c r="G600" i="1"/>
  <c r="H600" i="1"/>
  <c r="I600" i="1"/>
  <c r="J600" i="1"/>
  <c r="K600" i="1"/>
  <c r="L600" i="1"/>
  <c r="M600" i="1"/>
  <c r="N600" i="1"/>
  <c r="O600" i="1"/>
  <c r="P600" i="1"/>
  <c r="R600" i="1"/>
  <c r="S600" i="1"/>
  <c r="T600" i="1"/>
  <c r="U600" i="1"/>
  <c r="B599" i="1"/>
  <c r="C599" i="1"/>
  <c r="D599" i="1"/>
  <c r="E599" i="1"/>
  <c r="F599" i="1"/>
  <c r="G599" i="1"/>
  <c r="H599" i="1"/>
  <c r="I599" i="1"/>
  <c r="J599" i="1"/>
  <c r="K599" i="1"/>
  <c r="L599" i="1"/>
  <c r="M599" i="1"/>
  <c r="N599" i="1"/>
  <c r="O599" i="1"/>
  <c r="P599" i="1"/>
  <c r="R599" i="1"/>
  <c r="S599" i="1"/>
  <c r="T599" i="1"/>
  <c r="U599" i="1"/>
  <c r="B598" i="1"/>
  <c r="C598" i="1"/>
  <c r="D598" i="1"/>
  <c r="E598" i="1"/>
  <c r="F598" i="1"/>
  <c r="G598" i="1"/>
  <c r="H598" i="1"/>
  <c r="I598" i="1"/>
  <c r="J598" i="1"/>
  <c r="K598" i="1"/>
  <c r="L598" i="1"/>
  <c r="M598" i="1"/>
  <c r="N598" i="1"/>
  <c r="O598" i="1"/>
  <c r="P598" i="1"/>
  <c r="R598" i="1"/>
  <c r="S598" i="1"/>
  <c r="T598" i="1"/>
  <c r="U598" i="1"/>
  <c r="B597" i="1"/>
  <c r="C597" i="1"/>
  <c r="D597" i="1"/>
  <c r="E597" i="1"/>
  <c r="F597" i="1"/>
  <c r="G597" i="1"/>
  <c r="H597" i="1"/>
  <c r="I597" i="1"/>
  <c r="J597" i="1"/>
  <c r="K597" i="1"/>
  <c r="L597" i="1"/>
  <c r="M597" i="1"/>
  <c r="N597" i="1"/>
  <c r="O597" i="1"/>
  <c r="P597" i="1"/>
  <c r="R597" i="1"/>
  <c r="S597" i="1"/>
  <c r="T597" i="1"/>
  <c r="U597" i="1"/>
  <c r="B596" i="1"/>
  <c r="C596" i="1"/>
  <c r="D596" i="1"/>
  <c r="E596" i="1"/>
  <c r="F596" i="1"/>
  <c r="G596" i="1"/>
  <c r="H596" i="1"/>
  <c r="I596" i="1"/>
  <c r="J596" i="1"/>
  <c r="K596" i="1"/>
  <c r="L596" i="1"/>
  <c r="M596" i="1"/>
  <c r="N596" i="1"/>
  <c r="O596" i="1"/>
  <c r="P596" i="1"/>
  <c r="R596" i="1"/>
  <c r="S596" i="1"/>
  <c r="T596" i="1"/>
  <c r="U596" i="1"/>
  <c r="B595" i="1"/>
  <c r="C595" i="1"/>
  <c r="D595" i="1"/>
  <c r="E595" i="1"/>
  <c r="F595" i="1"/>
  <c r="G595" i="1"/>
  <c r="H595" i="1"/>
  <c r="I595" i="1"/>
  <c r="J595" i="1"/>
  <c r="K595" i="1"/>
  <c r="L595" i="1"/>
  <c r="M595" i="1"/>
  <c r="N595" i="1"/>
  <c r="O595" i="1"/>
  <c r="P595" i="1"/>
  <c r="R595" i="1"/>
  <c r="S595" i="1"/>
  <c r="T595" i="1"/>
  <c r="U595" i="1"/>
  <c r="B594" i="1"/>
  <c r="C594" i="1"/>
  <c r="D594" i="1"/>
  <c r="E594" i="1"/>
  <c r="F594" i="1"/>
  <c r="G594" i="1"/>
  <c r="H594" i="1"/>
  <c r="I594" i="1"/>
  <c r="J594" i="1"/>
  <c r="K594" i="1"/>
  <c r="L594" i="1"/>
  <c r="M594" i="1"/>
  <c r="N594" i="1"/>
  <c r="O594" i="1"/>
  <c r="P594" i="1"/>
  <c r="R594" i="1"/>
  <c r="S594" i="1"/>
  <c r="T594" i="1"/>
  <c r="U594" i="1"/>
  <c r="B593" i="1"/>
  <c r="C593" i="1"/>
  <c r="D593" i="1"/>
  <c r="E593" i="1"/>
  <c r="F593" i="1"/>
  <c r="G593" i="1"/>
  <c r="H593" i="1"/>
  <c r="I593" i="1"/>
  <c r="J593" i="1"/>
  <c r="K593" i="1"/>
  <c r="L593" i="1"/>
  <c r="M593" i="1"/>
  <c r="N593" i="1"/>
  <c r="O593" i="1"/>
  <c r="P593" i="1"/>
  <c r="R593" i="1"/>
  <c r="S593" i="1"/>
  <c r="T593" i="1"/>
  <c r="U593" i="1"/>
  <c r="B592" i="1"/>
  <c r="C592" i="1"/>
  <c r="D592" i="1"/>
  <c r="E592" i="1"/>
  <c r="F592" i="1"/>
  <c r="G592" i="1"/>
  <c r="H592" i="1"/>
  <c r="I592" i="1"/>
  <c r="J592" i="1"/>
  <c r="K592" i="1"/>
  <c r="L592" i="1"/>
  <c r="M592" i="1"/>
  <c r="N592" i="1"/>
  <c r="O592" i="1"/>
  <c r="P592" i="1"/>
  <c r="R592" i="1"/>
  <c r="S592" i="1"/>
  <c r="T592" i="1"/>
  <c r="U592" i="1"/>
  <c r="B591" i="1"/>
  <c r="C591" i="1"/>
  <c r="D591" i="1"/>
  <c r="E591" i="1"/>
  <c r="F591" i="1"/>
  <c r="G591" i="1"/>
  <c r="H591" i="1"/>
  <c r="I591" i="1"/>
  <c r="J591" i="1"/>
  <c r="K591" i="1"/>
  <c r="L591" i="1"/>
  <c r="M591" i="1"/>
  <c r="N591" i="1"/>
  <c r="O591" i="1"/>
  <c r="P591" i="1"/>
  <c r="R591" i="1"/>
  <c r="S591" i="1"/>
  <c r="T591" i="1"/>
  <c r="U591" i="1"/>
  <c r="B590" i="1"/>
  <c r="C590" i="1"/>
  <c r="D590" i="1"/>
  <c r="E590" i="1"/>
  <c r="F590" i="1"/>
  <c r="G590" i="1"/>
  <c r="H590" i="1"/>
  <c r="I590" i="1"/>
  <c r="J590" i="1"/>
  <c r="K590" i="1"/>
  <c r="L590" i="1"/>
  <c r="M590" i="1"/>
  <c r="N590" i="1"/>
  <c r="O590" i="1"/>
  <c r="P590" i="1"/>
  <c r="R590" i="1"/>
  <c r="S590" i="1"/>
  <c r="T590" i="1"/>
  <c r="U590" i="1"/>
  <c r="B589" i="1"/>
  <c r="C589" i="1"/>
  <c r="D589" i="1"/>
  <c r="E589" i="1"/>
  <c r="F589" i="1"/>
  <c r="G589" i="1"/>
  <c r="H589" i="1"/>
  <c r="I589" i="1"/>
  <c r="J589" i="1"/>
  <c r="K589" i="1"/>
  <c r="L589" i="1"/>
  <c r="M589" i="1"/>
  <c r="N589" i="1"/>
  <c r="O589" i="1"/>
  <c r="P589" i="1"/>
  <c r="R589" i="1"/>
  <c r="S589" i="1"/>
  <c r="T589" i="1"/>
  <c r="U589" i="1"/>
  <c r="B588" i="1"/>
  <c r="C588" i="1"/>
  <c r="D588" i="1"/>
  <c r="E588" i="1"/>
  <c r="F588" i="1"/>
  <c r="G588" i="1"/>
  <c r="H588" i="1"/>
  <c r="I588" i="1"/>
  <c r="J588" i="1"/>
  <c r="K588" i="1"/>
  <c r="L588" i="1"/>
  <c r="M588" i="1"/>
  <c r="N588" i="1"/>
  <c r="O588" i="1"/>
  <c r="P588" i="1"/>
  <c r="R588" i="1"/>
  <c r="S588" i="1"/>
  <c r="T588" i="1"/>
  <c r="U588" i="1"/>
  <c r="B587" i="1"/>
  <c r="C587" i="1"/>
  <c r="D587" i="1"/>
  <c r="E587" i="1"/>
  <c r="F587" i="1"/>
  <c r="G587" i="1"/>
  <c r="H587" i="1"/>
  <c r="I587" i="1"/>
  <c r="J587" i="1"/>
  <c r="K587" i="1"/>
  <c r="L587" i="1"/>
  <c r="M587" i="1"/>
  <c r="N587" i="1"/>
  <c r="O587" i="1"/>
  <c r="P587" i="1"/>
  <c r="R587" i="1"/>
  <c r="S587" i="1"/>
  <c r="T587" i="1"/>
  <c r="U587" i="1"/>
  <c r="B586" i="1"/>
  <c r="C586" i="1"/>
  <c r="D586" i="1"/>
  <c r="E586" i="1"/>
  <c r="F586" i="1"/>
  <c r="G586" i="1"/>
  <c r="H586" i="1"/>
  <c r="I586" i="1"/>
  <c r="J586" i="1"/>
  <c r="K586" i="1"/>
  <c r="L586" i="1"/>
  <c r="M586" i="1"/>
  <c r="N586" i="1"/>
  <c r="O586" i="1"/>
  <c r="P586" i="1"/>
  <c r="R586" i="1"/>
  <c r="S586" i="1"/>
  <c r="T586" i="1"/>
  <c r="U586" i="1"/>
  <c r="B585" i="1"/>
  <c r="C585" i="1"/>
  <c r="D585" i="1"/>
  <c r="E585" i="1"/>
  <c r="F585" i="1"/>
  <c r="G585" i="1"/>
  <c r="H585" i="1"/>
  <c r="I585" i="1"/>
  <c r="J585" i="1"/>
  <c r="K585" i="1"/>
  <c r="L585" i="1"/>
  <c r="M585" i="1"/>
  <c r="N585" i="1"/>
  <c r="O585" i="1"/>
  <c r="P585" i="1"/>
  <c r="R585" i="1"/>
  <c r="S585" i="1"/>
  <c r="T585" i="1"/>
  <c r="U585" i="1"/>
  <c r="B584" i="1"/>
  <c r="C584" i="1"/>
  <c r="D584" i="1"/>
  <c r="E584" i="1"/>
  <c r="F584" i="1"/>
  <c r="G584" i="1"/>
  <c r="H584" i="1"/>
  <c r="I584" i="1"/>
  <c r="J584" i="1"/>
  <c r="K584" i="1"/>
  <c r="L584" i="1"/>
  <c r="M584" i="1"/>
  <c r="N584" i="1"/>
  <c r="O584" i="1"/>
  <c r="P584" i="1"/>
  <c r="R584" i="1"/>
  <c r="S584" i="1"/>
  <c r="T584" i="1"/>
  <c r="U584" i="1"/>
  <c r="B583" i="1"/>
  <c r="C583" i="1"/>
  <c r="D583" i="1"/>
  <c r="E583" i="1"/>
  <c r="F583" i="1"/>
  <c r="G583" i="1"/>
  <c r="H583" i="1"/>
  <c r="I583" i="1"/>
  <c r="J583" i="1"/>
  <c r="K583" i="1"/>
  <c r="L583" i="1"/>
  <c r="M583" i="1"/>
  <c r="N583" i="1"/>
  <c r="O583" i="1"/>
  <c r="P583" i="1"/>
  <c r="R583" i="1"/>
  <c r="S583" i="1"/>
  <c r="T583" i="1"/>
  <c r="U583" i="1"/>
  <c r="B582" i="1"/>
  <c r="C582" i="1"/>
  <c r="D582" i="1"/>
  <c r="E582" i="1"/>
  <c r="F582" i="1"/>
  <c r="G582" i="1"/>
  <c r="H582" i="1"/>
  <c r="I582" i="1"/>
  <c r="J582" i="1"/>
  <c r="K582" i="1"/>
  <c r="L582" i="1"/>
  <c r="M582" i="1"/>
  <c r="N582" i="1"/>
  <c r="O582" i="1"/>
  <c r="P582" i="1"/>
  <c r="R582" i="1"/>
  <c r="S582" i="1"/>
  <c r="T582" i="1"/>
  <c r="U582" i="1"/>
  <c r="B581" i="1"/>
  <c r="C581" i="1"/>
  <c r="D581" i="1"/>
  <c r="E581" i="1"/>
  <c r="F581" i="1"/>
  <c r="G581" i="1"/>
  <c r="H581" i="1"/>
  <c r="I581" i="1"/>
  <c r="J581" i="1"/>
  <c r="K581" i="1"/>
  <c r="L581" i="1"/>
  <c r="M581" i="1"/>
  <c r="N581" i="1"/>
  <c r="O581" i="1"/>
  <c r="P581" i="1"/>
  <c r="R581" i="1"/>
  <c r="S581" i="1"/>
  <c r="T581" i="1"/>
  <c r="U581" i="1"/>
  <c r="B580" i="1"/>
  <c r="C580" i="1"/>
  <c r="D580" i="1"/>
  <c r="E580" i="1"/>
  <c r="F580" i="1"/>
  <c r="G580" i="1"/>
  <c r="H580" i="1"/>
  <c r="I580" i="1"/>
  <c r="J580" i="1"/>
  <c r="K580" i="1"/>
  <c r="L580" i="1"/>
  <c r="M580" i="1"/>
  <c r="N580" i="1"/>
  <c r="O580" i="1"/>
  <c r="P580" i="1"/>
  <c r="R580" i="1"/>
  <c r="S580" i="1"/>
  <c r="T580" i="1"/>
  <c r="U580" i="1"/>
  <c r="B579" i="1"/>
  <c r="C579" i="1"/>
  <c r="D579" i="1"/>
  <c r="E579" i="1"/>
  <c r="F579" i="1"/>
  <c r="G579" i="1"/>
  <c r="H579" i="1"/>
  <c r="I579" i="1"/>
  <c r="J579" i="1"/>
  <c r="K579" i="1"/>
  <c r="L579" i="1"/>
  <c r="M579" i="1"/>
  <c r="N579" i="1"/>
  <c r="O579" i="1"/>
  <c r="P579" i="1"/>
  <c r="R579" i="1"/>
  <c r="S579" i="1"/>
  <c r="T579" i="1"/>
  <c r="U579" i="1"/>
  <c r="B578" i="1"/>
  <c r="C578" i="1"/>
  <c r="D578" i="1"/>
  <c r="E578" i="1"/>
  <c r="F578" i="1"/>
  <c r="G578" i="1"/>
  <c r="H578" i="1"/>
  <c r="I578" i="1"/>
  <c r="J578" i="1"/>
  <c r="K578" i="1"/>
  <c r="L578" i="1"/>
  <c r="M578" i="1"/>
  <c r="N578" i="1"/>
  <c r="O578" i="1"/>
  <c r="P578" i="1"/>
  <c r="R578" i="1"/>
  <c r="S578" i="1"/>
  <c r="T578" i="1"/>
  <c r="U578" i="1"/>
  <c r="B577" i="1"/>
  <c r="C577" i="1"/>
  <c r="D577" i="1"/>
  <c r="E577" i="1"/>
  <c r="F577" i="1"/>
  <c r="G577" i="1"/>
  <c r="H577" i="1"/>
  <c r="I577" i="1"/>
  <c r="J577" i="1"/>
  <c r="K577" i="1"/>
  <c r="L577" i="1"/>
  <c r="M577" i="1"/>
  <c r="N577" i="1"/>
  <c r="O577" i="1"/>
  <c r="P577" i="1"/>
  <c r="R577" i="1"/>
  <c r="S577" i="1"/>
  <c r="T577" i="1"/>
  <c r="U577" i="1"/>
  <c r="B576" i="1"/>
  <c r="C576" i="1"/>
  <c r="D576" i="1"/>
  <c r="E576" i="1"/>
  <c r="F576" i="1"/>
  <c r="G576" i="1"/>
  <c r="H576" i="1"/>
  <c r="I576" i="1"/>
  <c r="J576" i="1"/>
  <c r="K576" i="1"/>
  <c r="L576" i="1"/>
  <c r="M576" i="1"/>
  <c r="N576" i="1"/>
  <c r="O576" i="1"/>
  <c r="P576" i="1"/>
  <c r="R576" i="1"/>
  <c r="S576" i="1"/>
  <c r="T576" i="1"/>
  <c r="U576" i="1"/>
  <c r="B575" i="1"/>
  <c r="C575" i="1"/>
  <c r="D575" i="1"/>
  <c r="E575" i="1"/>
  <c r="F575" i="1"/>
  <c r="G575" i="1"/>
  <c r="H575" i="1"/>
  <c r="I575" i="1"/>
  <c r="J575" i="1"/>
  <c r="K575" i="1"/>
  <c r="L575" i="1"/>
  <c r="M575" i="1"/>
  <c r="N575" i="1"/>
  <c r="O575" i="1"/>
  <c r="P575" i="1"/>
  <c r="R575" i="1"/>
  <c r="S575" i="1"/>
  <c r="T575" i="1"/>
  <c r="U575" i="1"/>
  <c r="B574" i="1"/>
  <c r="C574" i="1"/>
  <c r="D574" i="1"/>
  <c r="E574" i="1"/>
  <c r="F574" i="1"/>
  <c r="G574" i="1"/>
  <c r="H574" i="1"/>
  <c r="I574" i="1"/>
  <c r="J574" i="1"/>
  <c r="K574" i="1"/>
  <c r="L574" i="1"/>
  <c r="M574" i="1"/>
  <c r="N574" i="1"/>
  <c r="O574" i="1"/>
  <c r="P574" i="1"/>
  <c r="R574" i="1"/>
  <c r="S574" i="1"/>
  <c r="T574" i="1"/>
  <c r="U574" i="1"/>
  <c r="B573" i="1"/>
  <c r="C573" i="1"/>
  <c r="D573" i="1"/>
  <c r="E573" i="1"/>
  <c r="F573" i="1"/>
  <c r="G573" i="1"/>
  <c r="H573" i="1"/>
  <c r="I573" i="1"/>
  <c r="J573" i="1"/>
  <c r="K573" i="1"/>
  <c r="L573" i="1"/>
  <c r="M573" i="1"/>
  <c r="N573" i="1"/>
  <c r="O573" i="1"/>
  <c r="P573" i="1"/>
  <c r="R573" i="1"/>
  <c r="S573" i="1"/>
  <c r="T573" i="1"/>
  <c r="U573" i="1"/>
  <c r="B572" i="1"/>
  <c r="C572" i="1"/>
  <c r="D572" i="1"/>
  <c r="E572" i="1"/>
  <c r="F572" i="1"/>
  <c r="G572" i="1"/>
  <c r="H572" i="1"/>
  <c r="I572" i="1"/>
  <c r="J572" i="1"/>
  <c r="K572" i="1"/>
  <c r="L572" i="1"/>
  <c r="M572" i="1"/>
  <c r="N572" i="1"/>
  <c r="O572" i="1"/>
  <c r="P572" i="1"/>
  <c r="R572" i="1"/>
  <c r="S572" i="1"/>
  <c r="T572" i="1"/>
  <c r="U572" i="1"/>
  <c r="B571" i="1"/>
  <c r="C571" i="1"/>
  <c r="D571" i="1"/>
  <c r="E571" i="1"/>
  <c r="F571" i="1"/>
  <c r="G571" i="1"/>
  <c r="H571" i="1"/>
  <c r="I571" i="1"/>
  <c r="J571" i="1"/>
  <c r="K571" i="1"/>
  <c r="L571" i="1"/>
  <c r="M571" i="1"/>
  <c r="N571" i="1"/>
  <c r="O571" i="1"/>
  <c r="P571" i="1"/>
  <c r="R571" i="1"/>
  <c r="S571" i="1"/>
  <c r="T571" i="1"/>
  <c r="U571" i="1"/>
  <c r="B570" i="1"/>
  <c r="C570" i="1"/>
  <c r="D570" i="1"/>
  <c r="E570" i="1"/>
  <c r="F570" i="1"/>
  <c r="G570" i="1"/>
  <c r="H570" i="1"/>
  <c r="I570" i="1"/>
  <c r="J570" i="1"/>
  <c r="K570" i="1"/>
  <c r="L570" i="1"/>
  <c r="M570" i="1"/>
  <c r="N570" i="1"/>
  <c r="O570" i="1"/>
  <c r="P570" i="1"/>
  <c r="R570" i="1"/>
  <c r="S570" i="1"/>
  <c r="T570" i="1"/>
  <c r="U570" i="1"/>
  <c r="B569" i="1"/>
  <c r="C569" i="1"/>
  <c r="D569" i="1"/>
  <c r="E569" i="1"/>
  <c r="F569" i="1"/>
  <c r="G569" i="1"/>
  <c r="H569" i="1"/>
  <c r="I569" i="1"/>
  <c r="J569" i="1"/>
  <c r="K569" i="1"/>
  <c r="L569" i="1"/>
  <c r="M569" i="1"/>
  <c r="N569" i="1"/>
  <c r="O569" i="1"/>
  <c r="P569" i="1"/>
  <c r="R569" i="1"/>
  <c r="S569" i="1"/>
  <c r="T569" i="1"/>
  <c r="U569" i="1"/>
  <c r="B568" i="1"/>
  <c r="C568" i="1"/>
  <c r="D568" i="1"/>
  <c r="E568" i="1"/>
  <c r="F568" i="1"/>
  <c r="G568" i="1"/>
  <c r="H568" i="1"/>
  <c r="I568" i="1"/>
  <c r="J568" i="1"/>
  <c r="K568" i="1"/>
  <c r="L568" i="1"/>
  <c r="M568" i="1"/>
  <c r="N568" i="1"/>
  <c r="O568" i="1"/>
  <c r="P568" i="1"/>
  <c r="R568" i="1"/>
  <c r="S568" i="1"/>
  <c r="T568" i="1"/>
  <c r="U568" i="1"/>
  <c r="B567" i="1"/>
  <c r="C567" i="1"/>
  <c r="D567" i="1"/>
  <c r="E567" i="1"/>
  <c r="F567" i="1"/>
  <c r="G567" i="1"/>
  <c r="H567" i="1"/>
  <c r="I567" i="1"/>
  <c r="J567" i="1"/>
  <c r="K567" i="1"/>
  <c r="L567" i="1"/>
  <c r="M567" i="1"/>
  <c r="N567" i="1"/>
  <c r="O567" i="1"/>
  <c r="P567" i="1"/>
  <c r="R567" i="1"/>
  <c r="S567" i="1"/>
  <c r="T567" i="1"/>
  <c r="U567" i="1"/>
  <c r="B566" i="1"/>
  <c r="C566" i="1"/>
  <c r="D566" i="1"/>
  <c r="E566" i="1"/>
  <c r="F566" i="1"/>
  <c r="G566" i="1"/>
  <c r="H566" i="1"/>
  <c r="I566" i="1"/>
  <c r="J566" i="1"/>
  <c r="K566" i="1"/>
  <c r="L566" i="1"/>
  <c r="M566" i="1"/>
  <c r="N566" i="1"/>
  <c r="O566" i="1"/>
  <c r="P566" i="1"/>
  <c r="R566" i="1"/>
  <c r="S566" i="1"/>
  <c r="T566" i="1"/>
  <c r="U566" i="1"/>
  <c r="B565" i="1"/>
  <c r="C565" i="1"/>
  <c r="D565" i="1"/>
  <c r="E565" i="1"/>
  <c r="F565" i="1"/>
  <c r="G565" i="1"/>
  <c r="H565" i="1"/>
  <c r="I565" i="1"/>
  <c r="J565" i="1"/>
  <c r="K565" i="1"/>
  <c r="L565" i="1"/>
  <c r="M565" i="1"/>
  <c r="N565" i="1"/>
  <c r="O565" i="1"/>
  <c r="P565" i="1"/>
  <c r="R565" i="1"/>
  <c r="S565" i="1"/>
  <c r="T565" i="1"/>
  <c r="U565" i="1"/>
  <c r="B564" i="1"/>
  <c r="C564" i="1"/>
  <c r="D564" i="1"/>
  <c r="E564" i="1"/>
  <c r="F564" i="1"/>
  <c r="G564" i="1"/>
  <c r="H564" i="1"/>
  <c r="I564" i="1"/>
  <c r="J564" i="1"/>
  <c r="K564" i="1"/>
  <c r="L564" i="1"/>
  <c r="M564" i="1"/>
  <c r="N564" i="1"/>
  <c r="O564" i="1"/>
  <c r="P564" i="1"/>
  <c r="R564" i="1"/>
  <c r="S564" i="1"/>
  <c r="T564" i="1"/>
  <c r="U564" i="1"/>
  <c r="B563" i="1"/>
  <c r="C563" i="1"/>
  <c r="D563" i="1"/>
  <c r="E563" i="1"/>
  <c r="F563" i="1"/>
  <c r="G563" i="1"/>
  <c r="H563" i="1"/>
  <c r="I563" i="1"/>
  <c r="J563" i="1"/>
  <c r="K563" i="1"/>
  <c r="L563" i="1"/>
  <c r="M563" i="1"/>
  <c r="N563" i="1"/>
  <c r="O563" i="1"/>
  <c r="P563" i="1"/>
  <c r="R563" i="1"/>
  <c r="S563" i="1"/>
  <c r="T563" i="1"/>
  <c r="U563" i="1"/>
  <c r="B562" i="1"/>
  <c r="C562" i="1"/>
  <c r="D562" i="1"/>
  <c r="E562" i="1"/>
  <c r="F562" i="1"/>
  <c r="G562" i="1"/>
  <c r="H562" i="1"/>
  <c r="I562" i="1"/>
  <c r="J562" i="1"/>
  <c r="K562" i="1"/>
  <c r="L562" i="1"/>
  <c r="M562" i="1"/>
  <c r="N562" i="1"/>
  <c r="O562" i="1"/>
  <c r="P562" i="1"/>
  <c r="R562" i="1"/>
  <c r="S562" i="1"/>
  <c r="T562" i="1"/>
  <c r="U562" i="1"/>
  <c r="B561" i="1"/>
  <c r="C561" i="1"/>
  <c r="D561" i="1"/>
  <c r="E561" i="1"/>
  <c r="F561" i="1"/>
  <c r="G561" i="1"/>
  <c r="H561" i="1"/>
  <c r="I561" i="1"/>
  <c r="J561" i="1"/>
  <c r="K561" i="1"/>
  <c r="L561" i="1"/>
  <c r="M561" i="1"/>
  <c r="N561" i="1"/>
  <c r="O561" i="1"/>
  <c r="P561" i="1"/>
  <c r="R561" i="1"/>
  <c r="S561" i="1"/>
  <c r="T561" i="1"/>
  <c r="U561" i="1"/>
  <c r="B560" i="1"/>
  <c r="C560" i="1"/>
  <c r="D560" i="1"/>
  <c r="E560" i="1"/>
  <c r="F560" i="1"/>
  <c r="G560" i="1"/>
  <c r="H560" i="1"/>
  <c r="I560" i="1"/>
  <c r="J560" i="1"/>
  <c r="K560" i="1"/>
  <c r="L560" i="1"/>
  <c r="M560" i="1"/>
  <c r="N560" i="1"/>
  <c r="O560" i="1"/>
  <c r="P560" i="1"/>
  <c r="R560" i="1"/>
  <c r="S560" i="1"/>
  <c r="T560" i="1"/>
  <c r="U560" i="1"/>
  <c r="B559" i="1"/>
  <c r="C559" i="1"/>
  <c r="D559" i="1"/>
  <c r="E559" i="1"/>
  <c r="F559" i="1"/>
  <c r="G559" i="1"/>
  <c r="H559" i="1"/>
  <c r="I559" i="1"/>
  <c r="J559" i="1"/>
  <c r="K559" i="1"/>
  <c r="L559" i="1"/>
  <c r="M559" i="1"/>
  <c r="N559" i="1"/>
  <c r="O559" i="1"/>
  <c r="P559" i="1"/>
  <c r="R559" i="1"/>
  <c r="S559" i="1"/>
  <c r="T559" i="1"/>
  <c r="U559" i="1"/>
  <c r="B558" i="1"/>
  <c r="C558" i="1"/>
  <c r="D558" i="1"/>
  <c r="E558" i="1"/>
  <c r="F558" i="1"/>
  <c r="G558" i="1"/>
  <c r="H558" i="1"/>
  <c r="I558" i="1"/>
  <c r="J558" i="1"/>
  <c r="K558" i="1"/>
  <c r="L558" i="1"/>
  <c r="M558" i="1"/>
  <c r="N558" i="1"/>
  <c r="O558" i="1"/>
  <c r="P558" i="1"/>
  <c r="R558" i="1"/>
  <c r="S558" i="1"/>
  <c r="T558" i="1"/>
  <c r="U558" i="1"/>
  <c r="B557" i="1"/>
  <c r="C557" i="1"/>
  <c r="D557" i="1"/>
  <c r="E557" i="1"/>
  <c r="F557" i="1"/>
  <c r="G557" i="1"/>
  <c r="H557" i="1"/>
  <c r="I557" i="1"/>
  <c r="J557" i="1"/>
  <c r="K557" i="1"/>
  <c r="L557" i="1"/>
  <c r="M557" i="1"/>
  <c r="N557" i="1"/>
  <c r="O557" i="1"/>
  <c r="P557" i="1"/>
  <c r="R557" i="1"/>
  <c r="S557" i="1"/>
  <c r="T557" i="1"/>
  <c r="U557" i="1"/>
  <c r="B556" i="1"/>
  <c r="C556" i="1"/>
  <c r="D556" i="1"/>
  <c r="E556" i="1"/>
  <c r="F556" i="1"/>
  <c r="G556" i="1"/>
  <c r="H556" i="1"/>
  <c r="I556" i="1"/>
  <c r="J556" i="1"/>
  <c r="K556" i="1"/>
  <c r="L556" i="1"/>
  <c r="M556" i="1"/>
  <c r="N556" i="1"/>
  <c r="O556" i="1"/>
  <c r="P556" i="1"/>
  <c r="R556" i="1"/>
  <c r="S556" i="1"/>
  <c r="T556" i="1"/>
  <c r="U556" i="1"/>
  <c r="B555" i="1"/>
  <c r="C555" i="1"/>
  <c r="D555" i="1"/>
  <c r="E555" i="1"/>
  <c r="F555" i="1"/>
  <c r="G555" i="1"/>
  <c r="H555" i="1"/>
  <c r="I555" i="1"/>
  <c r="J555" i="1"/>
  <c r="K555" i="1"/>
  <c r="L555" i="1"/>
  <c r="M555" i="1"/>
  <c r="N555" i="1"/>
  <c r="O555" i="1"/>
  <c r="P555" i="1"/>
  <c r="R555" i="1"/>
  <c r="S555" i="1"/>
  <c r="T555" i="1"/>
  <c r="U555" i="1"/>
  <c r="B554" i="1"/>
  <c r="C554" i="1"/>
  <c r="D554" i="1"/>
  <c r="E554" i="1"/>
  <c r="F554" i="1"/>
  <c r="G554" i="1"/>
  <c r="H554" i="1"/>
  <c r="I554" i="1"/>
  <c r="J554" i="1"/>
  <c r="K554" i="1"/>
  <c r="L554" i="1"/>
  <c r="M554" i="1"/>
  <c r="N554" i="1"/>
  <c r="O554" i="1"/>
  <c r="P554" i="1"/>
  <c r="R554" i="1"/>
  <c r="S554" i="1"/>
  <c r="T554" i="1"/>
  <c r="U554" i="1"/>
  <c r="B553" i="1"/>
  <c r="C553" i="1"/>
  <c r="D553" i="1"/>
  <c r="E553" i="1"/>
  <c r="F553" i="1"/>
  <c r="G553" i="1"/>
  <c r="H553" i="1"/>
  <c r="I553" i="1"/>
  <c r="J553" i="1"/>
  <c r="K553" i="1"/>
  <c r="L553" i="1"/>
  <c r="M553" i="1"/>
  <c r="N553" i="1"/>
  <c r="O553" i="1"/>
  <c r="P553" i="1"/>
  <c r="R553" i="1"/>
  <c r="S553" i="1"/>
  <c r="T553" i="1"/>
  <c r="U553" i="1"/>
  <c r="B552" i="1"/>
  <c r="C552" i="1"/>
  <c r="D552" i="1"/>
  <c r="E552" i="1"/>
  <c r="F552" i="1"/>
  <c r="G552" i="1"/>
  <c r="H552" i="1"/>
  <c r="I552" i="1"/>
  <c r="J552" i="1"/>
  <c r="K552" i="1"/>
  <c r="L552" i="1"/>
  <c r="M552" i="1"/>
  <c r="N552" i="1"/>
  <c r="O552" i="1"/>
  <c r="P552" i="1"/>
  <c r="R552" i="1"/>
  <c r="S552" i="1"/>
  <c r="T552" i="1"/>
  <c r="U552" i="1"/>
  <c r="B551" i="1"/>
  <c r="C551" i="1"/>
  <c r="D551" i="1"/>
  <c r="E551" i="1"/>
  <c r="F551" i="1"/>
  <c r="G551" i="1"/>
  <c r="H551" i="1"/>
  <c r="I551" i="1"/>
  <c r="J551" i="1"/>
  <c r="K551" i="1"/>
  <c r="L551" i="1"/>
  <c r="M551" i="1"/>
  <c r="N551" i="1"/>
  <c r="O551" i="1"/>
  <c r="P551" i="1"/>
  <c r="R551" i="1"/>
  <c r="S551" i="1"/>
  <c r="T551" i="1"/>
  <c r="U551" i="1"/>
  <c r="B550" i="1"/>
  <c r="C550" i="1"/>
  <c r="D550" i="1"/>
  <c r="E550" i="1"/>
  <c r="F550" i="1"/>
  <c r="G550" i="1"/>
  <c r="H550" i="1"/>
  <c r="I550" i="1"/>
  <c r="J550" i="1"/>
  <c r="K550" i="1"/>
  <c r="L550" i="1"/>
  <c r="M550" i="1"/>
  <c r="N550" i="1"/>
  <c r="O550" i="1"/>
  <c r="P550" i="1"/>
  <c r="R550" i="1"/>
  <c r="S550" i="1"/>
  <c r="T550" i="1"/>
  <c r="U550" i="1"/>
  <c r="B549" i="1"/>
  <c r="C549" i="1"/>
  <c r="D549" i="1"/>
  <c r="E549" i="1"/>
  <c r="F549" i="1"/>
  <c r="G549" i="1"/>
  <c r="H549" i="1"/>
  <c r="I549" i="1"/>
  <c r="J549" i="1"/>
  <c r="K549" i="1"/>
  <c r="L549" i="1"/>
  <c r="M549" i="1"/>
  <c r="N549" i="1"/>
  <c r="O549" i="1"/>
  <c r="P549" i="1"/>
  <c r="R549" i="1"/>
  <c r="S549" i="1"/>
  <c r="T549" i="1"/>
  <c r="U549" i="1"/>
  <c r="B548" i="1"/>
  <c r="C548" i="1"/>
  <c r="D548" i="1"/>
  <c r="E548" i="1"/>
  <c r="F548" i="1"/>
  <c r="G548" i="1"/>
  <c r="H548" i="1"/>
  <c r="I548" i="1"/>
  <c r="J548" i="1"/>
  <c r="K548" i="1"/>
  <c r="L548" i="1"/>
  <c r="M548" i="1"/>
  <c r="N548" i="1"/>
  <c r="O548" i="1"/>
  <c r="P548" i="1"/>
  <c r="R548" i="1"/>
  <c r="S548" i="1"/>
  <c r="T548" i="1"/>
  <c r="U548" i="1"/>
  <c r="B547" i="1"/>
  <c r="C547" i="1"/>
  <c r="D547" i="1"/>
  <c r="E547" i="1"/>
  <c r="F547" i="1"/>
  <c r="G547" i="1"/>
  <c r="H547" i="1"/>
  <c r="I547" i="1"/>
  <c r="J547" i="1"/>
  <c r="K547" i="1"/>
  <c r="L547" i="1"/>
  <c r="M547" i="1"/>
  <c r="N547" i="1"/>
  <c r="O547" i="1"/>
  <c r="P547" i="1"/>
  <c r="R547" i="1"/>
  <c r="S547" i="1"/>
  <c r="T547" i="1"/>
  <c r="U547" i="1"/>
  <c r="B546" i="1"/>
  <c r="C546" i="1"/>
  <c r="D546" i="1"/>
  <c r="E546" i="1"/>
  <c r="F546" i="1"/>
  <c r="G546" i="1"/>
  <c r="H546" i="1"/>
  <c r="I546" i="1"/>
  <c r="J546" i="1"/>
  <c r="K546" i="1"/>
  <c r="L546" i="1"/>
  <c r="M546" i="1"/>
  <c r="N546" i="1"/>
  <c r="O546" i="1"/>
  <c r="P546" i="1"/>
  <c r="R546" i="1"/>
  <c r="S546" i="1"/>
  <c r="T546" i="1"/>
  <c r="U546" i="1"/>
  <c r="B545" i="1"/>
  <c r="C545" i="1"/>
  <c r="D545" i="1"/>
  <c r="E545" i="1"/>
  <c r="F545" i="1"/>
  <c r="G545" i="1"/>
  <c r="H545" i="1"/>
  <c r="I545" i="1"/>
  <c r="J545" i="1"/>
  <c r="K545" i="1"/>
  <c r="L545" i="1"/>
  <c r="M545" i="1"/>
  <c r="N545" i="1"/>
  <c r="O545" i="1"/>
  <c r="P545" i="1"/>
  <c r="R545" i="1"/>
  <c r="S545" i="1"/>
  <c r="T545" i="1"/>
  <c r="U545" i="1"/>
  <c r="B544" i="1"/>
  <c r="C544" i="1"/>
  <c r="D544" i="1"/>
  <c r="E544" i="1"/>
  <c r="F544" i="1"/>
  <c r="G544" i="1"/>
  <c r="H544" i="1"/>
  <c r="I544" i="1"/>
  <c r="J544" i="1"/>
  <c r="K544" i="1"/>
  <c r="L544" i="1"/>
  <c r="M544" i="1"/>
  <c r="N544" i="1"/>
  <c r="O544" i="1"/>
  <c r="P544" i="1"/>
  <c r="R544" i="1"/>
  <c r="S544" i="1"/>
  <c r="T544" i="1"/>
  <c r="U544" i="1"/>
  <c r="B543" i="1"/>
  <c r="C543" i="1"/>
  <c r="D543" i="1"/>
  <c r="E543" i="1"/>
  <c r="F543" i="1"/>
  <c r="G543" i="1"/>
  <c r="H543" i="1"/>
  <c r="I543" i="1"/>
  <c r="J543" i="1"/>
  <c r="K543" i="1"/>
  <c r="L543" i="1"/>
  <c r="M543" i="1"/>
  <c r="N543" i="1"/>
  <c r="O543" i="1"/>
  <c r="P543" i="1"/>
  <c r="R543" i="1"/>
  <c r="S543" i="1"/>
  <c r="T543" i="1"/>
  <c r="U543" i="1"/>
  <c r="B542" i="1"/>
  <c r="C542" i="1"/>
  <c r="D542" i="1"/>
  <c r="E542" i="1"/>
  <c r="F542" i="1"/>
  <c r="G542" i="1"/>
  <c r="H542" i="1"/>
  <c r="I542" i="1"/>
  <c r="J542" i="1"/>
  <c r="K542" i="1"/>
  <c r="L542" i="1"/>
  <c r="M542" i="1"/>
  <c r="N542" i="1"/>
  <c r="O542" i="1"/>
  <c r="P542" i="1"/>
  <c r="R542" i="1"/>
  <c r="S542" i="1"/>
  <c r="T542" i="1"/>
  <c r="U542" i="1"/>
  <c r="B541" i="1"/>
  <c r="C541" i="1"/>
  <c r="D541" i="1"/>
  <c r="E541" i="1"/>
  <c r="F541" i="1"/>
  <c r="G541" i="1"/>
  <c r="H541" i="1"/>
  <c r="I541" i="1"/>
  <c r="J541" i="1"/>
  <c r="K541" i="1"/>
  <c r="L541" i="1"/>
  <c r="M541" i="1"/>
  <c r="N541" i="1"/>
  <c r="O541" i="1"/>
  <c r="P541" i="1"/>
  <c r="R541" i="1"/>
  <c r="S541" i="1"/>
  <c r="T541" i="1"/>
  <c r="U541" i="1"/>
  <c r="B540" i="1"/>
  <c r="C540" i="1"/>
  <c r="D540" i="1"/>
  <c r="E540" i="1"/>
  <c r="F540" i="1"/>
  <c r="G540" i="1"/>
  <c r="H540" i="1"/>
  <c r="I540" i="1"/>
  <c r="J540" i="1"/>
  <c r="K540" i="1"/>
  <c r="L540" i="1"/>
  <c r="M540" i="1"/>
  <c r="N540" i="1"/>
  <c r="O540" i="1"/>
  <c r="P540" i="1"/>
  <c r="R540" i="1"/>
  <c r="S540" i="1"/>
  <c r="T540" i="1"/>
  <c r="U540" i="1"/>
  <c r="B539" i="1"/>
  <c r="C539" i="1"/>
  <c r="D539" i="1"/>
  <c r="E539" i="1"/>
  <c r="F539" i="1"/>
  <c r="G539" i="1"/>
  <c r="H539" i="1"/>
  <c r="I539" i="1"/>
  <c r="J539" i="1"/>
  <c r="K539" i="1"/>
  <c r="L539" i="1"/>
  <c r="M539" i="1"/>
  <c r="N539" i="1"/>
  <c r="O539" i="1"/>
  <c r="P539" i="1"/>
  <c r="R539" i="1"/>
  <c r="S539" i="1"/>
  <c r="T539" i="1"/>
  <c r="U539" i="1"/>
  <c r="B538" i="1"/>
  <c r="C538" i="1"/>
  <c r="D538" i="1"/>
  <c r="E538" i="1"/>
  <c r="F538" i="1"/>
  <c r="G538" i="1"/>
  <c r="H538" i="1"/>
  <c r="I538" i="1"/>
  <c r="J538" i="1"/>
  <c r="K538" i="1"/>
  <c r="L538" i="1"/>
  <c r="M538" i="1"/>
  <c r="N538" i="1"/>
  <c r="O538" i="1"/>
  <c r="P538" i="1"/>
  <c r="R538" i="1"/>
  <c r="S538" i="1"/>
  <c r="T538" i="1"/>
  <c r="U538" i="1"/>
  <c r="B537" i="1"/>
  <c r="C537" i="1"/>
  <c r="D537" i="1"/>
  <c r="E537" i="1"/>
  <c r="F537" i="1"/>
  <c r="G537" i="1"/>
  <c r="H537" i="1"/>
  <c r="I537" i="1"/>
  <c r="J537" i="1"/>
  <c r="K537" i="1"/>
  <c r="L537" i="1"/>
  <c r="M537" i="1"/>
  <c r="N537" i="1"/>
  <c r="O537" i="1"/>
  <c r="P537" i="1"/>
  <c r="R537" i="1"/>
  <c r="S537" i="1"/>
  <c r="T537" i="1"/>
  <c r="U537" i="1"/>
  <c r="B536" i="1"/>
  <c r="C536" i="1"/>
  <c r="D536" i="1"/>
  <c r="E536" i="1"/>
  <c r="F536" i="1"/>
  <c r="G536" i="1"/>
  <c r="H536" i="1"/>
  <c r="I536" i="1"/>
  <c r="J536" i="1"/>
  <c r="K536" i="1"/>
  <c r="L536" i="1"/>
  <c r="M536" i="1"/>
  <c r="N536" i="1"/>
  <c r="O536" i="1"/>
  <c r="P536" i="1"/>
  <c r="R536" i="1"/>
  <c r="S536" i="1"/>
  <c r="T536" i="1"/>
  <c r="U536" i="1"/>
  <c r="B535" i="1"/>
  <c r="C535" i="1"/>
  <c r="D535" i="1"/>
  <c r="E535" i="1"/>
  <c r="F535" i="1"/>
  <c r="G535" i="1"/>
  <c r="H535" i="1"/>
  <c r="I535" i="1"/>
  <c r="J535" i="1"/>
  <c r="K535" i="1"/>
  <c r="L535" i="1"/>
  <c r="M535" i="1"/>
  <c r="N535" i="1"/>
  <c r="O535" i="1"/>
  <c r="P535" i="1"/>
  <c r="R535" i="1"/>
  <c r="S535" i="1"/>
  <c r="T535" i="1"/>
  <c r="U535" i="1"/>
  <c r="B534" i="1"/>
  <c r="C534" i="1"/>
  <c r="D534" i="1"/>
  <c r="E534" i="1"/>
  <c r="F534" i="1"/>
  <c r="G534" i="1"/>
  <c r="H534" i="1"/>
  <c r="I534" i="1"/>
  <c r="J534" i="1"/>
  <c r="K534" i="1"/>
  <c r="L534" i="1"/>
  <c r="M534" i="1"/>
  <c r="N534" i="1"/>
  <c r="O534" i="1"/>
  <c r="P534" i="1"/>
  <c r="R534" i="1"/>
  <c r="S534" i="1"/>
  <c r="T534" i="1"/>
  <c r="U534" i="1"/>
  <c r="B533" i="1"/>
  <c r="C533" i="1"/>
  <c r="D533" i="1"/>
  <c r="E533" i="1"/>
  <c r="F533" i="1"/>
  <c r="G533" i="1"/>
  <c r="H533" i="1"/>
  <c r="I533" i="1"/>
  <c r="J533" i="1"/>
  <c r="K533" i="1"/>
  <c r="L533" i="1"/>
  <c r="M533" i="1"/>
  <c r="N533" i="1"/>
  <c r="O533" i="1"/>
  <c r="P533" i="1"/>
  <c r="R533" i="1"/>
  <c r="S533" i="1"/>
  <c r="T533" i="1"/>
  <c r="U533" i="1"/>
  <c r="B532" i="1"/>
  <c r="C532" i="1"/>
  <c r="D532" i="1"/>
  <c r="E532" i="1"/>
  <c r="F532" i="1"/>
  <c r="G532" i="1"/>
  <c r="H532" i="1"/>
  <c r="I532" i="1"/>
  <c r="J532" i="1"/>
  <c r="K532" i="1"/>
  <c r="L532" i="1"/>
  <c r="M532" i="1"/>
  <c r="N532" i="1"/>
  <c r="O532" i="1"/>
  <c r="P532" i="1"/>
  <c r="R532" i="1"/>
  <c r="S532" i="1"/>
  <c r="T532" i="1"/>
  <c r="U532" i="1"/>
  <c r="B531" i="1"/>
  <c r="C531" i="1"/>
  <c r="D531" i="1"/>
  <c r="E531" i="1"/>
  <c r="F531" i="1"/>
  <c r="G531" i="1"/>
  <c r="H531" i="1"/>
  <c r="I531" i="1"/>
  <c r="J531" i="1"/>
  <c r="K531" i="1"/>
  <c r="L531" i="1"/>
  <c r="M531" i="1"/>
  <c r="N531" i="1"/>
  <c r="O531" i="1"/>
  <c r="P531" i="1"/>
  <c r="R531" i="1"/>
  <c r="S531" i="1"/>
  <c r="T531" i="1"/>
  <c r="U531" i="1"/>
  <c r="B530" i="1"/>
  <c r="C530" i="1"/>
  <c r="D530" i="1"/>
  <c r="E530" i="1"/>
  <c r="F530" i="1"/>
  <c r="G530" i="1"/>
  <c r="H530" i="1"/>
  <c r="I530" i="1"/>
  <c r="J530" i="1"/>
  <c r="K530" i="1"/>
  <c r="L530" i="1"/>
  <c r="M530" i="1"/>
  <c r="N530" i="1"/>
  <c r="O530" i="1"/>
  <c r="P530" i="1"/>
  <c r="R530" i="1"/>
  <c r="S530" i="1"/>
  <c r="T530" i="1"/>
  <c r="U530" i="1"/>
  <c r="B529" i="1"/>
  <c r="C529" i="1"/>
  <c r="D529" i="1"/>
  <c r="E529" i="1"/>
  <c r="F529" i="1"/>
  <c r="G529" i="1"/>
  <c r="H529" i="1"/>
  <c r="I529" i="1"/>
  <c r="J529" i="1"/>
  <c r="K529" i="1"/>
  <c r="L529" i="1"/>
  <c r="M529" i="1"/>
  <c r="N529" i="1"/>
  <c r="O529" i="1"/>
  <c r="P529" i="1"/>
  <c r="R529" i="1"/>
  <c r="S529" i="1"/>
  <c r="T529" i="1"/>
  <c r="U529" i="1"/>
  <c r="B528" i="1"/>
  <c r="C528" i="1"/>
  <c r="D528" i="1"/>
  <c r="E528" i="1"/>
  <c r="F528" i="1"/>
  <c r="G528" i="1"/>
  <c r="H528" i="1"/>
  <c r="I528" i="1"/>
  <c r="J528" i="1"/>
  <c r="K528" i="1"/>
  <c r="L528" i="1"/>
  <c r="M528" i="1"/>
  <c r="N528" i="1"/>
  <c r="O528" i="1"/>
  <c r="P528" i="1"/>
  <c r="R528" i="1"/>
  <c r="S528" i="1"/>
  <c r="T528" i="1"/>
  <c r="U528" i="1"/>
  <c r="B527" i="1"/>
  <c r="C527" i="1"/>
  <c r="D527" i="1"/>
  <c r="E527" i="1"/>
  <c r="F527" i="1"/>
  <c r="G527" i="1"/>
  <c r="H527" i="1"/>
  <c r="I527" i="1"/>
  <c r="J527" i="1"/>
  <c r="K527" i="1"/>
  <c r="L527" i="1"/>
  <c r="M527" i="1"/>
  <c r="N527" i="1"/>
  <c r="O527" i="1"/>
  <c r="P527" i="1"/>
  <c r="R527" i="1"/>
  <c r="S527" i="1"/>
  <c r="T527" i="1"/>
  <c r="U527" i="1"/>
  <c r="B526" i="1"/>
  <c r="C526" i="1"/>
  <c r="D526" i="1"/>
  <c r="E526" i="1"/>
  <c r="F526" i="1"/>
  <c r="G526" i="1"/>
  <c r="H526" i="1"/>
  <c r="I526" i="1"/>
  <c r="J526" i="1"/>
  <c r="K526" i="1"/>
  <c r="L526" i="1"/>
  <c r="M526" i="1"/>
  <c r="N526" i="1"/>
  <c r="O526" i="1"/>
  <c r="P526" i="1"/>
  <c r="R526" i="1"/>
  <c r="S526" i="1"/>
  <c r="T526" i="1"/>
  <c r="U526" i="1"/>
  <c r="B525" i="1"/>
  <c r="C525" i="1"/>
  <c r="D525" i="1"/>
  <c r="E525" i="1"/>
  <c r="F525" i="1"/>
  <c r="G525" i="1"/>
  <c r="H525" i="1"/>
  <c r="I525" i="1"/>
  <c r="J525" i="1"/>
  <c r="K525" i="1"/>
  <c r="L525" i="1"/>
  <c r="M525" i="1"/>
  <c r="N525" i="1"/>
  <c r="O525" i="1"/>
  <c r="P525" i="1"/>
  <c r="R525" i="1"/>
  <c r="S525" i="1"/>
  <c r="T525" i="1"/>
  <c r="U525" i="1"/>
  <c r="B524" i="1"/>
  <c r="C524" i="1"/>
  <c r="D524" i="1"/>
  <c r="E524" i="1"/>
  <c r="F524" i="1"/>
  <c r="G524" i="1"/>
  <c r="H524" i="1"/>
  <c r="I524" i="1"/>
  <c r="J524" i="1"/>
  <c r="K524" i="1"/>
  <c r="L524" i="1"/>
  <c r="M524" i="1"/>
  <c r="O524" i="1"/>
  <c r="P524" i="1"/>
  <c r="R524" i="1"/>
  <c r="S524" i="1"/>
  <c r="T524" i="1"/>
  <c r="U524" i="1"/>
  <c r="B523" i="1"/>
  <c r="C523" i="1"/>
  <c r="D523" i="1"/>
  <c r="E523" i="1"/>
  <c r="F523" i="1"/>
  <c r="G523" i="1"/>
  <c r="H523" i="1"/>
  <c r="I523" i="1"/>
  <c r="J523" i="1"/>
  <c r="K523" i="1"/>
  <c r="L523" i="1"/>
  <c r="M523" i="1"/>
  <c r="N523" i="1"/>
  <c r="O523" i="1"/>
  <c r="P523" i="1"/>
  <c r="R523" i="1"/>
  <c r="S523" i="1"/>
  <c r="T523" i="1"/>
  <c r="U523" i="1"/>
  <c r="B522" i="1"/>
  <c r="C522" i="1"/>
  <c r="D522" i="1"/>
  <c r="E522" i="1"/>
  <c r="F522" i="1"/>
  <c r="G522" i="1"/>
  <c r="H522" i="1"/>
  <c r="I522" i="1"/>
  <c r="J522" i="1"/>
  <c r="K522" i="1"/>
  <c r="L522" i="1"/>
  <c r="M522" i="1"/>
  <c r="N522" i="1"/>
  <c r="O522" i="1"/>
  <c r="P522" i="1"/>
  <c r="R522" i="1"/>
  <c r="S522" i="1"/>
  <c r="T522" i="1"/>
  <c r="U522" i="1"/>
  <c r="B521" i="1"/>
  <c r="C521" i="1"/>
  <c r="D521" i="1"/>
  <c r="E521" i="1"/>
  <c r="F521" i="1"/>
  <c r="G521" i="1"/>
  <c r="H521" i="1"/>
  <c r="I521" i="1"/>
  <c r="J521" i="1"/>
  <c r="K521" i="1"/>
  <c r="L521" i="1"/>
  <c r="M521" i="1"/>
  <c r="N521" i="1"/>
  <c r="O521" i="1"/>
  <c r="P521" i="1"/>
  <c r="R521" i="1"/>
  <c r="S521" i="1"/>
  <c r="T521" i="1"/>
  <c r="U521" i="1"/>
  <c r="B520" i="1"/>
  <c r="C520" i="1"/>
  <c r="D520" i="1"/>
  <c r="E520" i="1"/>
  <c r="F520" i="1"/>
  <c r="G520" i="1"/>
  <c r="H520" i="1"/>
  <c r="I520" i="1"/>
  <c r="J520" i="1"/>
  <c r="K520" i="1"/>
  <c r="L520" i="1"/>
  <c r="M520" i="1"/>
  <c r="N520" i="1"/>
  <c r="O520" i="1"/>
  <c r="P520" i="1"/>
  <c r="R520" i="1"/>
  <c r="S520" i="1"/>
  <c r="T520" i="1"/>
  <c r="U520" i="1"/>
  <c r="B519" i="1"/>
  <c r="C519" i="1"/>
  <c r="D519" i="1"/>
  <c r="E519" i="1"/>
  <c r="F519" i="1"/>
  <c r="G519" i="1"/>
  <c r="H519" i="1"/>
  <c r="I519" i="1"/>
  <c r="J519" i="1"/>
  <c r="K519" i="1"/>
  <c r="L519" i="1"/>
  <c r="M519" i="1"/>
  <c r="N519" i="1"/>
  <c r="O519" i="1"/>
  <c r="P519" i="1"/>
  <c r="R519" i="1"/>
  <c r="S519" i="1"/>
  <c r="T519" i="1"/>
  <c r="U519" i="1"/>
  <c r="B518" i="1"/>
  <c r="C518" i="1"/>
  <c r="D518" i="1"/>
  <c r="E518" i="1"/>
  <c r="F518" i="1"/>
  <c r="G518" i="1"/>
  <c r="H518" i="1"/>
  <c r="I518" i="1"/>
  <c r="J518" i="1"/>
  <c r="K518" i="1"/>
  <c r="L518" i="1"/>
  <c r="M518" i="1"/>
  <c r="N518" i="1"/>
  <c r="O518" i="1"/>
  <c r="P518" i="1"/>
  <c r="R518" i="1"/>
  <c r="S518" i="1"/>
  <c r="T518" i="1"/>
  <c r="U518" i="1"/>
  <c r="B517" i="1"/>
  <c r="C517" i="1"/>
  <c r="D517" i="1"/>
  <c r="E517" i="1"/>
  <c r="F517" i="1"/>
  <c r="G517" i="1"/>
  <c r="H517" i="1"/>
  <c r="I517" i="1"/>
  <c r="J517" i="1"/>
  <c r="K517" i="1"/>
  <c r="L517" i="1"/>
  <c r="M517" i="1"/>
  <c r="N517" i="1"/>
  <c r="O517" i="1"/>
  <c r="P517" i="1"/>
  <c r="R517" i="1"/>
  <c r="S517" i="1"/>
  <c r="T517" i="1"/>
  <c r="U517" i="1"/>
  <c r="B516" i="1"/>
  <c r="C516" i="1"/>
  <c r="D516" i="1"/>
  <c r="E516" i="1"/>
  <c r="F516" i="1"/>
  <c r="G516" i="1"/>
  <c r="H516" i="1"/>
  <c r="I516" i="1"/>
  <c r="J516" i="1"/>
  <c r="K516" i="1"/>
  <c r="L516" i="1"/>
  <c r="M516" i="1"/>
  <c r="N516" i="1"/>
  <c r="O516" i="1"/>
  <c r="P516" i="1"/>
  <c r="R516" i="1"/>
  <c r="S516" i="1"/>
  <c r="T516" i="1"/>
  <c r="U516" i="1"/>
  <c r="B515" i="1"/>
  <c r="C515" i="1"/>
  <c r="D515" i="1"/>
  <c r="E515" i="1"/>
  <c r="F515" i="1"/>
  <c r="G515" i="1"/>
  <c r="H515" i="1"/>
  <c r="I515" i="1"/>
  <c r="J515" i="1"/>
  <c r="K515" i="1"/>
  <c r="L515" i="1"/>
  <c r="M515" i="1"/>
  <c r="N515" i="1"/>
  <c r="O515" i="1"/>
  <c r="P515" i="1"/>
  <c r="R515" i="1"/>
  <c r="S515" i="1"/>
  <c r="T515" i="1"/>
  <c r="U515" i="1"/>
  <c r="B514" i="1"/>
  <c r="C514" i="1"/>
  <c r="D514" i="1"/>
  <c r="E514" i="1"/>
  <c r="F514" i="1"/>
  <c r="G514" i="1"/>
  <c r="H514" i="1"/>
  <c r="I514" i="1"/>
  <c r="J514" i="1"/>
  <c r="K514" i="1"/>
  <c r="L514" i="1"/>
  <c r="M514" i="1"/>
  <c r="N514" i="1"/>
  <c r="O514" i="1"/>
  <c r="P514" i="1"/>
  <c r="R514" i="1"/>
  <c r="S514" i="1"/>
  <c r="T514" i="1"/>
  <c r="U514" i="1"/>
  <c r="B513" i="1"/>
  <c r="C513" i="1"/>
  <c r="D513" i="1"/>
  <c r="E513" i="1"/>
  <c r="F513" i="1"/>
  <c r="G513" i="1"/>
  <c r="H513" i="1"/>
  <c r="I513" i="1"/>
  <c r="J513" i="1"/>
  <c r="K513" i="1"/>
  <c r="L513" i="1"/>
  <c r="M513" i="1"/>
  <c r="N513" i="1"/>
  <c r="O513" i="1"/>
  <c r="P513" i="1"/>
  <c r="R513" i="1"/>
  <c r="S513" i="1"/>
  <c r="T513" i="1"/>
  <c r="U513" i="1"/>
  <c r="B512" i="1"/>
  <c r="C512" i="1"/>
  <c r="D512" i="1"/>
  <c r="E512" i="1"/>
  <c r="F512" i="1"/>
  <c r="G512" i="1"/>
  <c r="H512" i="1"/>
  <c r="I512" i="1"/>
  <c r="J512" i="1"/>
  <c r="K512" i="1"/>
  <c r="L512" i="1"/>
  <c r="M512" i="1"/>
  <c r="N512" i="1"/>
  <c r="O512" i="1"/>
  <c r="P512" i="1"/>
  <c r="R512" i="1"/>
  <c r="S512" i="1"/>
  <c r="T512" i="1"/>
  <c r="U512" i="1"/>
  <c r="B511" i="1"/>
  <c r="C511" i="1"/>
  <c r="D511" i="1"/>
  <c r="E511" i="1"/>
  <c r="F511" i="1"/>
  <c r="G511" i="1"/>
  <c r="H511" i="1"/>
  <c r="I511" i="1"/>
  <c r="J511" i="1"/>
  <c r="K511" i="1"/>
  <c r="L511" i="1"/>
  <c r="M511" i="1"/>
  <c r="N511" i="1"/>
  <c r="O511" i="1"/>
  <c r="P511" i="1"/>
  <c r="R511" i="1"/>
  <c r="S511" i="1"/>
  <c r="T511" i="1"/>
  <c r="U511" i="1"/>
  <c r="B510" i="1"/>
  <c r="C510" i="1"/>
  <c r="D510" i="1"/>
  <c r="E510" i="1"/>
  <c r="F510" i="1"/>
  <c r="G510" i="1"/>
  <c r="H510" i="1"/>
  <c r="I510" i="1"/>
  <c r="J510" i="1"/>
  <c r="K510" i="1"/>
  <c r="L510" i="1"/>
  <c r="M510" i="1"/>
  <c r="N510" i="1"/>
  <c r="O510" i="1"/>
  <c r="P510" i="1"/>
  <c r="R510" i="1"/>
  <c r="S510" i="1"/>
  <c r="T510" i="1"/>
  <c r="U510" i="1"/>
  <c r="B509" i="1"/>
  <c r="C509" i="1"/>
  <c r="D509" i="1"/>
  <c r="E509" i="1"/>
  <c r="F509" i="1"/>
  <c r="G509" i="1"/>
  <c r="H509" i="1"/>
  <c r="I509" i="1"/>
  <c r="J509" i="1"/>
  <c r="K509" i="1"/>
  <c r="L509" i="1"/>
  <c r="M509" i="1"/>
  <c r="N509" i="1"/>
  <c r="O509" i="1"/>
  <c r="P509" i="1"/>
  <c r="R509" i="1"/>
  <c r="S509" i="1"/>
  <c r="T509" i="1"/>
  <c r="U509" i="1"/>
  <c r="B508" i="1"/>
  <c r="C508" i="1"/>
  <c r="D508" i="1"/>
  <c r="E508" i="1"/>
  <c r="F508" i="1"/>
  <c r="G508" i="1"/>
  <c r="H508" i="1"/>
  <c r="I508" i="1"/>
  <c r="J508" i="1"/>
  <c r="K508" i="1"/>
  <c r="L508" i="1"/>
  <c r="M508" i="1"/>
  <c r="N508" i="1"/>
  <c r="O508" i="1"/>
  <c r="P508" i="1"/>
  <c r="R508" i="1"/>
  <c r="S508" i="1"/>
  <c r="T508" i="1"/>
  <c r="U508" i="1"/>
  <c r="B507" i="1"/>
  <c r="C507" i="1"/>
  <c r="D507" i="1"/>
  <c r="E507" i="1"/>
  <c r="F507" i="1"/>
  <c r="G507" i="1"/>
  <c r="H507" i="1"/>
  <c r="I507" i="1"/>
  <c r="J507" i="1"/>
  <c r="K507" i="1"/>
  <c r="L507" i="1"/>
  <c r="M507" i="1"/>
  <c r="N507" i="1"/>
  <c r="O507" i="1"/>
  <c r="P507" i="1"/>
  <c r="R507" i="1"/>
  <c r="S507" i="1"/>
  <c r="T507" i="1"/>
  <c r="U507" i="1"/>
  <c r="B506" i="1"/>
  <c r="C506" i="1"/>
  <c r="D506" i="1"/>
  <c r="E506" i="1"/>
  <c r="F506" i="1"/>
  <c r="G506" i="1"/>
  <c r="H506" i="1"/>
  <c r="I506" i="1"/>
  <c r="J506" i="1"/>
  <c r="K506" i="1"/>
  <c r="L506" i="1"/>
  <c r="M506" i="1"/>
  <c r="N506" i="1"/>
  <c r="O506" i="1"/>
  <c r="P506" i="1"/>
  <c r="R506" i="1"/>
  <c r="S506" i="1"/>
  <c r="T506" i="1"/>
  <c r="U506" i="1"/>
  <c r="B505" i="1"/>
  <c r="C505" i="1"/>
  <c r="D505" i="1"/>
  <c r="E505" i="1"/>
  <c r="F505" i="1"/>
  <c r="G505" i="1"/>
  <c r="H505" i="1"/>
  <c r="I505" i="1"/>
  <c r="J505" i="1"/>
  <c r="K505" i="1"/>
  <c r="L505" i="1"/>
  <c r="M505" i="1"/>
  <c r="N505" i="1"/>
  <c r="O505" i="1"/>
  <c r="P505" i="1"/>
  <c r="R505" i="1"/>
  <c r="S505" i="1"/>
  <c r="T505" i="1"/>
  <c r="U505" i="1"/>
  <c r="B504" i="1"/>
  <c r="C504" i="1"/>
  <c r="D504" i="1"/>
  <c r="E504" i="1"/>
  <c r="F504" i="1"/>
  <c r="G504" i="1"/>
  <c r="H504" i="1"/>
  <c r="I504" i="1"/>
  <c r="J504" i="1"/>
  <c r="K504" i="1"/>
  <c r="L504" i="1"/>
  <c r="M504" i="1"/>
  <c r="N504" i="1"/>
  <c r="O504" i="1"/>
  <c r="P504" i="1"/>
  <c r="R504" i="1"/>
  <c r="S504" i="1"/>
  <c r="T504" i="1"/>
  <c r="U504" i="1"/>
  <c r="B503" i="1"/>
  <c r="C503" i="1"/>
  <c r="D503" i="1"/>
  <c r="E503" i="1"/>
  <c r="F503" i="1"/>
  <c r="G503" i="1"/>
  <c r="H503" i="1"/>
  <c r="I503" i="1"/>
  <c r="J503" i="1"/>
  <c r="K503" i="1"/>
  <c r="L503" i="1"/>
  <c r="M503" i="1"/>
  <c r="N503" i="1"/>
  <c r="O503" i="1"/>
  <c r="P503" i="1"/>
  <c r="R503" i="1"/>
  <c r="S503" i="1"/>
  <c r="T503" i="1"/>
  <c r="U503" i="1"/>
  <c r="B502" i="1"/>
  <c r="C502" i="1"/>
  <c r="D502" i="1"/>
  <c r="E502" i="1"/>
  <c r="F502" i="1"/>
  <c r="G502" i="1"/>
  <c r="H502" i="1"/>
  <c r="I502" i="1"/>
  <c r="J502" i="1"/>
  <c r="K502" i="1"/>
  <c r="L502" i="1"/>
  <c r="M502" i="1"/>
  <c r="N502" i="1"/>
  <c r="O502" i="1"/>
  <c r="P502" i="1"/>
  <c r="R502" i="1"/>
  <c r="S502" i="1"/>
  <c r="T502" i="1"/>
  <c r="U502" i="1"/>
  <c r="B501" i="1"/>
  <c r="C501" i="1"/>
  <c r="D501" i="1"/>
  <c r="E501" i="1"/>
  <c r="F501" i="1"/>
  <c r="G501" i="1"/>
  <c r="H501" i="1"/>
  <c r="I501" i="1"/>
  <c r="J501" i="1"/>
  <c r="K501" i="1"/>
  <c r="L501" i="1"/>
  <c r="M501" i="1"/>
  <c r="N501" i="1"/>
  <c r="O501" i="1"/>
  <c r="P501" i="1"/>
  <c r="R501" i="1"/>
  <c r="S501" i="1"/>
  <c r="T501" i="1"/>
  <c r="U501" i="1"/>
  <c r="B610" i="1"/>
  <c r="C610" i="1"/>
  <c r="D610" i="1"/>
  <c r="E610" i="1"/>
  <c r="F610" i="1"/>
  <c r="G610" i="1"/>
  <c r="H610" i="1"/>
  <c r="I610" i="1"/>
  <c r="J610" i="1"/>
  <c r="K610" i="1"/>
  <c r="L610" i="1"/>
  <c r="M610" i="1"/>
  <c r="N610" i="1"/>
  <c r="O610" i="1"/>
  <c r="P610" i="1"/>
  <c r="R610" i="1"/>
  <c r="S610" i="1"/>
  <c r="T610" i="1"/>
  <c r="U610" i="1"/>
  <c r="B609" i="1"/>
  <c r="C609" i="1"/>
  <c r="D609" i="1"/>
  <c r="E609" i="1"/>
  <c r="F609" i="1"/>
  <c r="G609" i="1"/>
  <c r="H609" i="1"/>
  <c r="I609" i="1"/>
  <c r="J609" i="1"/>
  <c r="K609" i="1"/>
  <c r="L609" i="1"/>
  <c r="M609" i="1"/>
  <c r="N609" i="1"/>
  <c r="O609" i="1"/>
  <c r="P609" i="1"/>
  <c r="R609" i="1"/>
  <c r="S609" i="1"/>
  <c r="T609" i="1"/>
  <c r="U609" i="1"/>
  <c r="B608" i="1"/>
  <c r="C608" i="1"/>
  <c r="D608" i="1"/>
  <c r="E608" i="1"/>
  <c r="F608" i="1"/>
  <c r="G608" i="1"/>
  <c r="H608" i="1"/>
  <c r="I608" i="1"/>
  <c r="J608" i="1"/>
  <c r="K608" i="1"/>
  <c r="L608" i="1"/>
  <c r="M608" i="1"/>
  <c r="N608" i="1"/>
  <c r="O608" i="1"/>
  <c r="P608" i="1"/>
  <c r="R608" i="1"/>
  <c r="S608" i="1"/>
  <c r="T608" i="1"/>
  <c r="U608" i="1"/>
  <c r="B607" i="1"/>
  <c r="C607" i="1"/>
  <c r="D607" i="1"/>
  <c r="E607" i="1"/>
  <c r="F607" i="1"/>
  <c r="G607" i="1"/>
  <c r="H607" i="1"/>
  <c r="I607" i="1"/>
  <c r="J607" i="1"/>
  <c r="K607" i="1"/>
  <c r="L607" i="1"/>
  <c r="M607" i="1"/>
  <c r="N607" i="1"/>
  <c r="O607" i="1"/>
  <c r="P607" i="1"/>
  <c r="R607" i="1"/>
  <c r="S607" i="1"/>
  <c r="T607" i="1"/>
  <c r="U607" i="1"/>
  <c r="B606" i="1"/>
  <c r="C606" i="1"/>
  <c r="D606" i="1"/>
  <c r="E606" i="1"/>
  <c r="F606" i="1"/>
  <c r="G606" i="1"/>
  <c r="H606" i="1"/>
  <c r="I606" i="1"/>
  <c r="J606" i="1"/>
  <c r="K606" i="1"/>
  <c r="L606" i="1"/>
  <c r="M606" i="1"/>
  <c r="N606" i="1"/>
  <c r="O606" i="1"/>
  <c r="P606" i="1"/>
  <c r="R606" i="1"/>
  <c r="S606" i="1"/>
  <c r="T606" i="1"/>
  <c r="U606" i="1"/>
  <c r="B605" i="1"/>
  <c r="C605" i="1"/>
  <c r="D605" i="1"/>
  <c r="E605" i="1"/>
  <c r="F605" i="1"/>
  <c r="G605" i="1"/>
  <c r="H605" i="1"/>
  <c r="I605" i="1"/>
  <c r="J605" i="1"/>
  <c r="K605" i="1"/>
  <c r="L605" i="1"/>
  <c r="M605" i="1"/>
  <c r="N605" i="1"/>
  <c r="O605" i="1"/>
  <c r="P605" i="1"/>
  <c r="R605" i="1"/>
  <c r="S605" i="1"/>
  <c r="T605" i="1"/>
  <c r="U605" i="1"/>
  <c r="B604" i="1"/>
  <c r="C604" i="1"/>
  <c r="D604" i="1"/>
  <c r="E604" i="1"/>
  <c r="F604" i="1"/>
  <c r="G604" i="1"/>
  <c r="H604" i="1"/>
  <c r="I604" i="1"/>
  <c r="J604" i="1"/>
  <c r="K604" i="1"/>
  <c r="L604" i="1"/>
  <c r="M604" i="1"/>
  <c r="N604" i="1"/>
  <c r="O604" i="1"/>
  <c r="P604" i="1"/>
  <c r="R604" i="1"/>
  <c r="S604" i="1"/>
  <c r="T604" i="1"/>
  <c r="U604" i="1"/>
  <c r="B603" i="1"/>
  <c r="C603" i="1"/>
  <c r="D603" i="1"/>
  <c r="E603" i="1"/>
  <c r="F603" i="1"/>
  <c r="G603" i="1"/>
  <c r="H603" i="1"/>
  <c r="I603" i="1"/>
  <c r="J603" i="1"/>
  <c r="K603" i="1"/>
  <c r="L603" i="1"/>
  <c r="M603" i="1"/>
  <c r="N603" i="1"/>
  <c r="O603" i="1"/>
  <c r="P603" i="1"/>
  <c r="R603" i="1"/>
  <c r="S603" i="1"/>
  <c r="T603" i="1"/>
  <c r="U603" i="1"/>
  <c r="B602" i="1"/>
  <c r="C602" i="1"/>
  <c r="D602" i="1"/>
  <c r="E602" i="1"/>
  <c r="F602" i="1"/>
  <c r="G602" i="1"/>
  <c r="H602" i="1"/>
  <c r="I602" i="1"/>
  <c r="J602" i="1"/>
  <c r="K602" i="1"/>
  <c r="L602" i="1"/>
  <c r="M602" i="1"/>
  <c r="N602" i="1"/>
  <c r="O602" i="1"/>
  <c r="P602" i="1"/>
  <c r="R602" i="1"/>
  <c r="S602" i="1"/>
  <c r="T602" i="1"/>
  <c r="U602" i="1"/>
  <c r="B601" i="1"/>
  <c r="C601" i="1"/>
  <c r="D601" i="1"/>
  <c r="E601" i="1"/>
  <c r="F601" i="1"/>
  <c r="G601" i="1"/>
  <c r="H601" i="1"/>
  <c r="I601" i="1"/>
  <c r="J601" i="1"/>
  <c r="K601" i="1"/>
  <c r="L601" i="1"/>
  <c r="M601" i="1"/>
  <c r="N601" i="1"/>
  <c r="O601" i="1"/>
  <c r="P601" i="1"/>
  <c r="R601" i="1"/>
  <c r="S601" i="1"/>
  <c r="T601" i="1"/>
  <c r="U601" i="1"/>
  <c r="B642" i="1"/>
  <c r="C642" i="1"/>
  <c r="D642" i="1"/>
  <c r="E642" i="1"/>
  <c r="F642" i="1"/>
  <c r="G642" i="1"/>
  <c r="H642" i="1"/>
  <c r="I642" i="1"/>
  <c r="J642" i="1"/>
  <c r="K642" i="1"/>
  <c r="L642" i="1"/>
  <c r="M642" i="1"/>
  <c r="N642" i="1"/>
  <c r="O642" i="1"/>
  <c r="P642" i="1"/>
  <c r="R642" i="1"/>
  <c r="S642" i="1"/>
  <c r="T642" i="1"/>
  <c r="U642" i="1"/>
  <c r="B641" i="1"/>
  <c r="C641" i="1"/>
  <c r="D641" i="1"/>
  <c r="E641" i="1"/>
  <c r="F641" i="1"/>
  <c r="G641" i="1"/>
  <c r="H641" i="1"/>
  <c r="I641" i="1"/>
  <c r="J641" i="1"/>
  <c r="K641" i="1"/>
  <c r="L641" i="1"/>
  <c r="M641" i="1"/>
  <c r="N641" i="1"/>
  <c r="O641" i="1"/>
  <c r="P641" i="1"/>
  <c r="R641" i="1"/>
  <c r="S641" i="1"/>
  <c r="T641" i="1"/>
  <c r="U641" i="1"/>
  <c r="B640" i="1"/>
  <c r="C640" i="1"/>
  <c r="D640" i="1"/>
  <c r="E640" i="1"/>
  <c r="F640" i="1"/>
  <c r="G640" i="1"/>
  <c r="H640" i="1"/>
  <c r="I640" i="1"/>
  <c r="J640" i="1"/>
  <c r="K640" i="1"/>
  <c r="L640" i="1"/>
  <c r="M640" i="1"/>
  <c r="N640" i="1"/>
  <c r="O640" i="1"/>
  <c r="P640" i="1"/>
  <c r="R640" i="1"/>
  <c r="S640" i="1"/>
  <c r="T640" i="1"/>
  <c r="U640" i="1"/>
  <c r="B639" i="1"/>
  <c r="C639" i="1"/>
  <c r="D639" i="1"/>
  <c r="E639" i="1"/>
  <c r="F639" i="1"/>
  <c r="G639" i="1"/>
  <c r="H639" i="1"/>
  <c r="I639" i="1"/>
  <c r="J639" i="1"/>
  <c r="K639" i="1"/>
  <c r="L639" i="1"/>
  <c r="M639" i="1"/>
  <c r="N639" i="1"/>
  <c r="O639" i="1"/>
  <c r="P639" i="1"/>
  <c r="R639" i="1"/>
  <c r="S639" i="1"/>
  <c r="T639" i="1"/>
  <c r="U639" i="1"/>
  <c r="B638" i="1"/>
  <c r="C638" i="1"/>
  <c r="D638" i="1"/>
  <c r="E638" i="1"/>
  <c r="F638" i="1"/>
  <c r="G638" i="1"/>
  <c r="H638" i="1"/>
  <c r="I638" i="1"/>
  <c r="J638" i="1"/>
  <c r="K638" i="1"/>
  <c r="L638" i="1"/>
  <c r="M638" i="1"/>
  <c r="N638" i="1"/>
  <c r="O638" i="1"/>
  <c r="P638" i="1"/>
  <c r="R638" i="1"/>
  <c r="S638" i="1"/>
  <c r="T638" i="1"/>
  <c r="U638" i="1"/>
  <c r="B637" i="1"/>
  <c r="C637" i="1"/>
  <c r="D637" i="1"/>
  <c r="E637" i="1"/>
  <c r="F637" i="1"/>
  <c r="G637" i="1"/>
  <c r="H637" i="1"/>
  <c r="I637" i="1"/>
  <c r="J637" i="1"/>
  <c r="K637" i="1"/>
  <c r="L637" i="1"/>
  <c r="M637" i="1"/>
  <c r="N637" i="1"/>
  <c r="O637" i="1"/>
  <c r="P637" i="1"/>
  <c r="R637" i="1"/>
  <c r="S637" i="1"/>
  <c r="T637" i="1"/>
  <c r="U637" i="1"/>
  <c r="B636" i="1"/>
  <c r="C636" i="1"/>
  <c r="D636" i="1"/>
  <c r="E636" i="1"/>
  <c r="F636" i="1"/>
  <c r="G636" i="1"/>
  <c r="H636" i="1"/>
  <c r="I636" i="1"/>
  <c r="J636" i="1"/>
  <c r="K636" i="1"/>
  <c r="L636" i="1"/>
  <c r="M636" i="1"/>
  <c r="N636" i="1"/>
  <c r="O636" i="1"/>
  <c r="P636" i="1"/>
  <c r="R636" i="1"/>
  <c r="S636" i="1"/>
  <c r="T636" i="1"/>
  <c r="U636" i="1"/>
  <c r="B635" i="1"/>
  <c r="C635" i="1"/>
  <c r="D635" i="1"/>
  <c r="E635" i="1"/>
  <c r="F635" i="1"/>
  <c r="G635" i="1"/>
  <c r="H635" i="1"/>
  <c r="I635" i="1"/>
  <c r="J635" i="1"/>
  <c r="K635" i="1"/>
  <c r="L635" i="1"/>
  <c r="M635" i="1"/>
  <c r="N635" i="1"/>
  <c r="O635" i="1"/>
  <c r="P635" i="1"/>
  <c r="R635" i="1"/>
  <c r="S635" i="1"/>
  <c r="T635" i="1"/>
  <c r="U635" i="1"/>
  <c r="B634" i="1"/>
  <c r="C634" i="1"/>
  <c r="D634" i="1"/>
  <c r="E634" i="1"/>
  <c r="F634" i="1"/>
  <c r="G634" i="1"/>
  <c r="H634" i="1"/>
  <c r="I634" i="1"/>
  <c r="J634" i="1"/>
  <c r="K634" i="1"/>
  <c r="L634" i="1"/>
  <c r="M634" i="1"/>
  <c r="N634" i="1"/>
  <c r="O634" i="1"/>
  <c r="P634" i="1"/>
  <c r="R634" i="1"/>
  <c r="S634" i="1"/>
  <c r="T634" i="1"/>
  <c r="U634" i="1"/>
  <c r="B633" i="1"/>
  <c r="C633" i="1"/>
  <c r="D633" i="1"/>
  <c r="E633" i="1"/>
  <c r="F633" i="1"/>
  <c r="G633" i="1"/>
  <c r="H633" i="1"/>
  <c r="I633" i="1"/>
  <c r="J633" i="1"/>
  <c r="K633" i="1"/>
  <c r="L633" i="1"/>
  <c r="M633" i="1"/>
  <c r="N633" i="1"/>
  <c r="O633" i="1"/>
  <c r="P633" i="1"/>
  <c r="R633" i="1"/>
  <c r="S633" i="1"/>
  <c r="T633" i="1"/>
  <c r="U633" i="1"/>
  <c r="B632" i="1"/>
  <c r="C632" i="1"/>
  <c r="D632" i="1"/>
  <c r="E632" i="1"/>
  <c r="F632" i="1"/>
  <c r="G632" i="1"/>
  <c r="H632" i="1"/>
  <c r="I632" i="1"/>
  <c r="J632" i="1"/>
  <c r="K632" i="1"/>
  <c r="L632" i="1"/>
  <c r="M632" i="1"/>
  <c r="N632" i="1"/>
  <c r="O632" i="1"/>
  <c r="P632" i="1"/>
  <c r="R632" i="1"/>
  <c r="S632" i="1"/>
  <c r="T632" i="1"/>
  <c r="U632" i="1"/>
  <c r="B631" i="1"/>
  <c r="C631" i="1"/>
  <c r="D631" i="1"/>
  <c r="E631" i="1"/>
  <c r="F631" i="1"/>
  <c r="G631" i="1"/>
  <c r="H631" i="1"/>
  <c r="I631" i="1"/>
  <c r="J631" i="1"/>
  <c r="K631" i="1"/>
  <c r="L631" i="1"/>
  <c r="M631" i="1"/>
  <c r="N631" i="1"/>
  <c r="O631" i="1"/>
  <c r="P631" i="1"/>
  <c r="R631" i="1"/>
  <c r="S631" i="1"/>
  <c r="T631" i="1"/>
  <c r="U631" i="1"/>
  <c r="B630" i="1"/>
  <c r="C630" i="1"/>
  <c r="D630" i="1"/>
  <c r="E630" i="1"/>
  <c r="F630" i="1"/>
  <c r="G630" i="1"/>
  <c r="H630" i="1"/>
  <c r="I630" i="1"/>
  <c r="J630" i="1"/>
  <c r="K630" i="1"/>
  <c r="L630" i="1"/>
  <c r="M630" i="1"/>
  <c r="N630" i="1"/>
  <c r="O630" i="1"/>
  <c r="P630" i="1"/>
  <c r="R630" i="1"/>
  <c r="S630" i="1"/>
  <c r="T630" i="1"/>
  <c r="U630" i="1"/>
  <c r="B629" i="1"/>
  <c r="C629" i="1"/>
  <c r="D629" i="1"/>
  <c r="E629" i="1"/>
  <c r="F629" i="1"/>
  <c r="G629" i="1"/>
  <c r="H629" i="1"/>
  <c r="I629" i="1"/>
  <c r="J629" i="1"/>
  <c r="K629" i="1"/>
  <c r="L629" i="1"/>
  <c r="M629" i="1"/>
  <c r="N629" i="1"/>
  <c r="O629" i="1"/>
  <c r="P629" i="1"/>
  <c r="R629" i="1"/>
  <c r="S629" i="1"/>
  <c r="T629" i="1"/>
  <c r="U629" i="1"/>
  <c r="B628" i="1"/>
  <c r="C628" i="1"/>
  <c r="D628" i="1"/>
  <c r="E628" i="1"/>
  <c r="F628" i="1"/>
  <c r="G628" i="1"/>
  <c r="H628" i="1"/>
  <c r="I628" i="1"/>
  <c r="J628" i="1"/>
  <c r="K628" i="1"/>
  <c r="L628" i="1"/>
  <c r="M628" i="1"/>
  <c r="N628" i="1"/>
  <c r="O628" i="1"/>
  <c r="P628" i="1"/>
  <c r="R628" i="1"/>
  <c r="S628" i="1"/>
  <c r="T628" i="1"/>
  <c r="U628" i="1"/>
  <c r="B627" i="1"/>
  <c r="C627" i="1"/>
  <c r="D627" i="1"/>
  <c r="E627" i="1"/>
  <c r="F627" i="1"/>
  <c r="G627" i="1"/>
  <c r="H627" i="1"/>
  <c r="I627" i="1"/>
  <c r="J627" i="1"/>
  <c r="K627" i="1"/>
  <c r="L627" i="1"/>
  <c r="M627" i="1"/>
  <c r="N627" i="1"/>
  <c r="O627" i="1"/>
  <c r="P627" i="1"/>
  <c r="R627" i="1"/>
  <c r="S627" i="1"/>
  <c r="T627" i="1"/>
  <c r="U627" i="1"/>
  <c r="B626" i="1"/>
  <c r="C626" i="1"/>
  <c r="D626" i="1"/>
  <c r="E626" i="1"/>
  <c r="F626" i="1"/>
  <c r="G626" i="1"/>
  <c r="H626" i="1"/>
  <c r="I626" i="1"/>
  <c r="J626" i="1"/>
  <c r="K626" i="1"/>
  <c r="L626" i="1"/>
  <c r="M626" i="1"/>
  <c r="N626" i="1"/>
  <c r="O626" i="1"/>
  <c r="P626" i="1"/>
  <c r="R626" i="1"/>
  <c r="S626" i="1"/>
  <c r="T626" i="1"/>
  <c r="U626" i="1"/>
  <c r="B625" i="1"/>
  <c r="C625" i="1"/>
  <c r="D625" i="1"/>
  <c r="E625" i="1"/>
  <c r="F625" i="1"/>
  <c r="G625" i="1"/>
  <c r="H625" i="1"/>
  <c r="I625" i="1"/>
  <c r="J625" i="1"/>
  <c r="K625" i="1"/>
  <c r="L625" i="1"/>
  <c r="M625" i="1"/>
  <c r="N625" i="1"/>
  <c r="O625" i="1"/>
  <c r="P625" i="1"/>
  <c r="R625" i="1"/>
  <c r="S625" i="1"/>
  <c r="T625" i="1"/>
  <c r="U625" i="1"/>
  <c r="B624" i="1"/>
  <c r="C624" i="1"/>
  <c r="D624" i="1"/>
  <c r="E624" i="1"/>
  <c r="F624" i="1"/>
  <c r="G624" i="1"/>
  <c r="H624" i="1"/>
  <c r="I624" i="1"/>
  <c r="J624" i="1"/>
  <c r="K624" i="1"/>
  <c r="L624" i="1"/>
  <c r="M624" i="1"/>
  <c r="N624" i="1"/>
  <c r="O624" i="1"/>
  <c r="P624" i="1"/>
  <c r="R624" i="1"/>
  <c r="S624" i="1"/>
  <c r="T624" i="1"/>
  <c r="U624" i="1"/>
  <c r="B623" i="1"/>
  <c r="C623" i="1"/>
  <c r="D623" i="1"/>
  <c r="E623" i="1"/>
  <c r="F623" i="1"/>
  <c r="G623" i="1"/>
  <c r="H623" i="1"/>
  <c r="I623" i="1"/>
  <c r="J623" i="1"/>
  <c r="K623" i="1"/>
  <c r="L623" i="1"/>
  <c r="M623" i="1"/>
  <c r="N623" i="1"/>
  <c r="O623" i="1"/>
  <c r="P623" i="1"/>
  <c r="R623" i="1"/>
  <c r="S623" i="1"/>
  <c r="T623" i="1"/>
  <c r="U623" i="1"/>
  <c r="B622" i="1"/>
  <c r="C622" i="1"/>
  <c r="D622" i="1"/>
  <c r="E622" i="1"/>
  <c r="F622" i="1"/>
  <c r="G622" i="1"/>
  <c r="H622" i="1"/>
  <c r="I622" i="1"/>
  <c r="J622" i="1"/>
  <c r="K622" i="1"/>
  <c r="L622" i="1"/>
  <c r="M622" i="1"/>
  <c r="N622" i="1"/>
  <c r="O622" i="1"/>
  <c r="P622" i="1"/>
  <c r="R622" i="1"/>
  <c r="S622" i="1"/>
  <c r="T622" i="1"/>
  <c r="U622" i="1"/>
  <c r="B621" i="1"/>
  <c r="C621" i="1"/>
  <c r="D621" i="1"/>
  <c r="E621" i="1"/>
  <c r="F621" i="1"/>
  <c r="G621" i="1"/>
  <c r="H621" i="1"/>
  <c r="I621" i="1"/>
  <c r="J621" i="1"/>
  <c r="K621" i="1"/>
  <c r="L621" i="1"/>
  <c r="M621" i="1"/>
  <c r="N621" i="1"/>
  <c r="O621" i="1"/>
  <c r="P621" i="1"/>
  <c r="R621" i="1"/>
  <c r="S621" i="1"/>
  <c r="T621" i="1"/>
  <c r="U621" i="1"/>
  <c r="B620" i="1"/>
  <c r="C620" i="1"/>
  <c r="D620" i="1"/>
  <c r="E620" i="1"/>
  <c r="F620" i="1"/>
  <c r="G620" i="1"/>
  <c r="H620" i="1"/>
  <c r="I620" i="1"/>
  <c r="J620" i="1"/>
  <c r="K620" i="1"/>
  <c r="L620" i="1"/>
  <c r="M620" i="1"/>
  <c r="N620" i="1"/>
  <c r="O620" i="1"/>
  <c r="P620" i="1"/>
  <c r="R620" i="1"/>
  <c r="S620" i="1"/>
  <c r="T620" i="1"/>
  <c r="U620" i="1"/>
  <c r="B619" i="1"/>
  <c r="C619" i="1"/>
  <c r="D619" i="1"/>
  <c r="E619" i="1"/>
  <c r="F619" i="1"/>
  <c r="G619" i="1"/>
  <c r="H619" i="1"/>
  <c r="I619" i="1"/>
  <c r="J619" i="1"/>
  <c r="K619" i="1"/>
  <c r="L619" i="1"/>
  <c r="M619" i="1"/>
  <c r="N619" i="1"/>
  <c r="O619" i="1"/>
  <c r="P619" i="1"/>
  <c r="R619" i="1"/>
  <c r="S619" i="1"/>
  <c r="T619" i="1"/>
  <c r="U619" i="1"/>
  <c r="B618" i="1"/>
  <c r="C618" i="1"/>
  <c r="D618" i="1"/>
  <c r="E618" i="1"/>
  <c r="F618" i="1"/>
  <c r="G618" i="1"/>
  <c r="H618" i="1"/>
  <c r="I618" i="1"/>
  <c r="J618" i="1"/>
  <c r="K618" i="1"/>
  <c r="L618" i="1"/>
  <c r="M618" i="1"/>
  <c r="N618" i="1"/>
  <c r="O618" i="1"/>
  <c r="P618" i="1"/>
  <c r="R618" i="1"/>
  <c r="S618" i="1"/>
  <c r="T618" i="1"/>
  <c r="U618" i="1"/>
  <c r="B617" i="1"/>
  <c r="C617" i="1"/>
  <c r="D617" i="1"/>
  <c r="E617" i="1"/>
  <c r="F617" i="1"/>
  <c r="G617" i="1"/>
  <c r="H617" i="1"/>
  <c r="I617" i="1"/>
  <c r="J617" i="1"/>
  <c r="K617" i="1"/>
  <c r="L617" i="1"/>
  <c r="M617" i="1"/>
  <c r="N617" i="1"/>
  <c r="O617" i="1"/>
  <c r="P617" i="1"/>
  <c r="R617" i="1"/>
  <c r="S617" i="1"/>
  <c r="T617" i="1"/>
  <c r="U617" i="1"/>
  <c r="B616" i="1"/>
  <c r="C616" i="1"/>
  <c r="D616" i="1"/>
  <c r="E616" i="1"/>
  <c r="F616" i="1"/>
  <c r="G616" i="1"/>
  <c r="H616" i="1"/>
  <c r="I616" i="1"/>
  <c r="J616" i="1"/>
  <c r="K616" i="1"/>
  <c r="L616" i="1"/>
  <c r="M616" i="1"/>
  <c r="N616" i="1"/>
  <c r="O616" i="1"/>
  <c r="P616" i="1"/>
  <c r="R616" i="1"/>
  <c r="S616" i="1"/>
  <c r="T616" i="1"/>
  <c r="U616" i="1"/>
  <c r="B615" i="1"/>
  <c r="C615" i="1"/>
  <c r="D615" i="1"/>
  <c r="E615" i="1"/>
  <c r="F615" i="1"/>
  <c r="G615" i="1"/>
  <c r="H615" i="1"/>
  <c r="I615" i="1"/>
  <c r="J615" i="1"/>
  <c r="K615" i="1"/>
  <c r="L615" i="1"/>
  <c r="M615" i="1"/>
  <c r="N615" i="1"/>
  <c r="O615" i="1"/>
  <c r="P615" i="1"/>
  <c r="R615" i="1"/>
  <c r="S615" i="1"/>
  <c r="T615" i="1"/>
  <c r="U615" i="1"/>
  <c r="B614" i="1"/>
  <c r="C614" i="1"/>
  <c r="D614" i="1"/>
  <c r="E614" i="1"/>
  <c r="F614" i="1"/>
  <c r="G614" i="1"/>
  <c r="H614" i="1"/>
  <c r="I614" i="1"/>
  <c r="J614" i="1"/>
  <c r="K614" i="1"/>
  <c r="L614" i="1"/>
  <c r="M614" i="1"/>
  <c r="N614" i="1"/>
  <c r="O614" i="1"/>
  <c r="P614" i="1"/>
  <c r="R614" i="1"/>
  <c r="S614" i="1"/>
  <c r="T614" i="1"/>
  <c r="U614" i="1"/>
  <c r="B613" i="1"/>
  <c r="C613" i="1"/>
  <c r="D613" i="1"/>
  <c r="E613" i="1"/>
  <c r="F613" i="1"/>
  <c r="G613" i="1"/>
  <c r="H613" i="1"/>
  <c r="I613" i="1"/>
  <c r="J613" i="1"/>
  <c r="K613" i="1"/>
  <c r="L613" i="1"/>
  <c r="M613" i="1"/>
  <c r="N613" i="1"/>
  <c r="O613" i="1"/>
  <c r="P613" i="1"/>
  <c r="R613" i="1"/>
  <c r="S613" i="1"/>
  <c r="T613" i="1"/>
  <c r="U613" i="1"/>
  <c r="B612" i="1"/>
  <c r="C612" i="1"/>
  <c r="D612" i="1"/>
  <c r="E612" i="1"/>
  <c r="F612" i="1"/>
  <c r="G612" i="1"/>
  <c r="H612" i="1"/>
  <c r="I612" i="1"/>
  <c r="J612" i="1"/>
  <c r="K612" i="1"/>
  <c r="L612" i="1"/>
  <c r="M612" i="1"/>
  <c r="N612" i="1"/>
  <c r="O612" i="1"/>
  <c r="P612" i="1"/>
  <c r="R612" i="1"/>
  <c r="S612" i="1"/>
  <c r="T612" i="1"/>
  <c r="U612" i="1"/>
  <c r="B611" i="1"/>
  <c r="C611" i="1"/>
  <c r="D611" i="1"/>
  <c r="E611" i="1"/>
  <c r="F611" i="1"/>
  <c r="G611" i="1"/>
  <c r="H611" i="1"/>
  <c r="I611" i="1"/>
  <c r="J611" i="1"/>
  <c r="K611" i="1"/>
  <c r="L611" i="1"/>
  <c r="M611" i="1"/>
  <c r="N611" i="1"/>
  <c r="O611" i="1"/>
  <c r="P611" i="1"/>
  <c r="R611" i="1"/>
  <c r="S611" i="1"/>
  <c r="T611" i="1"/>
  <c r="U611" i="1"/>
  <c r="T500" i="1"/>
  <c r="U500" i="1"/>
  <c r="R500" i="1"/>
  <c r="S500" i="1"/>
  <c r="P500" i="1"/>
  <c r="N500" i="1"/>
  <c r="O500" i="1"/>
  <c r="L500" i="1"/>
  <c r="M500" i="1"/>
  <c r="K500" i="1"/>
  <c r="I500" i="1"/>
  <c r="J500" i="1"/>
  <c r="G500" i="1"/>
  <c r="H500" i="1"/>
  <c r="F500" i="1"/>
  <c r="D500" i="1"/>
  <c r="E500" i="1"/>
  <c r="B500" i="1"/>
  <c r="C500" i="1"/>
  <c r="C491" i="1"/>
  <c r="D491" i="1"/>
  <c r="E491" i="1"/>
  <c r="F491" i="1"/>
  <c r="G491" i="1"/>
  <c r="H491" i="1"/>
  <c r="I491" i="1"/>
  <c r="J491" i="1"/>
  <c r="K491" i="1"/>
  <c r="L491" i="1"/>
  <c r="M491" i="1"/>
  <c r="N491" i="1"/>
  <c r="O491" i="1"/>
  <c r="P491" i="1"/>
  <c r="R491" i="1"/>
  <c r="S491" i="1"/>
  <c r="T491" i="1"/>
  <c r="U491" i="1"/>
  <c r="C490" i="1"/>
  <c r="D490" i="1"/>
  <c r="E490" i="1"/>
  <c r="F490" i="1"/>
  <c r="G490" i="1"/>
  <c r="H490" i="1"/>
  <c r="I490" i="1"/>
  <c r="J490" i="1"/>
  <c r="K490" i="1"/>
  <c r="L490" i="1"/>
  <c r="M490" i="1"/>
  <c r="N490" i="1"/>
  <c r="O490" i="1"/>
  <c r="P490" i="1"/>
  <c r="R490" i="1"/>
  <c r="S490" i="1"/>
  <c r="T490" i="1"/>
  <c r="U490" i="1"/>
  <c r="C489" i="1"/>
  <c r="D489" i="1"/>
  <c r="E489" i="1"/>
  <c r="F489" i="1"/>
  <c r="G489" i="1"/>
  <c r="H489" i="1"/>
  <c r="I489" i="1"/>
  <c r="J489" i="1"/>
  <c r="K489" i="1"/>
  <c r="L489" i="1"/>
  <c r="M489" i="1"/>
  <c r="N489" i="1"/>
  <c r="O489" i="1"/>
  <c r="P489" i="1"/>
  <c r="R489" i="1"/>
  <c r="S489" i="1"/>
  <c r="T489" i="1"/>
  <c r="U489" i="1"/>
  <c r="C488" i="1"/>
  <c r="D488" i="1"/>
  <c r="E488" i="1"/>
  <c r="F488" i="1"/>
  <c r="G488" i="1"/>
  <c r="H488" i="1"/>
  <c r="I488" i="1"/>
  <c r="J488" i="1"/>
  <c r="K488" i="1"/>
  <c r="L488" i="1"/>
  <c r="M488" i="1"/>
  <c r="N488" i="1"/>
  <c r="O488" i="1"/>
  <c r="P488" i="1"/>
  <c r="R488" i="1"/>
  <c r="S488" i="1"/>
  <c r="T488" i="1"/>
  <c r="U488" i="1"/>
  <c r="C487" i="1"/>
  <c r="D487" i="1"/>
  <c r="E487" i="1"/>
  <c r="F487" i="1"/>
  <c r="G487" i="1"/>
  <c r="H487" i="1"/>
  <c r="I487" i="1"/>
  <c r="J487" i="1"/>
  <c r="K487" i="1"/>
  <c r="L487" i="1"/>
  <c r="M487" i="1"/>
  <c r="N487" i="1"/>
  <c r="O487" i="1"/>
  <c r="P487" i="1"/>
  <c r="R487" i="1"/>
  <c r="S487" i="1"/>
  <c r="T487" i="1"/>
  <c r="U487" i="1"/>
  <c r="C486" i="1"/>
  <c r="D486" i="1"/>
  <c r="E486" i="1"/>
  <c r="F486" i="1"/>
  <c r="G486" i="1"/>
  <c r="H486" i="1"/>
  <c r="I486" i="1"/>
  <c r="J486" i="1"/>
  <c r="K486" i="1"/>
  <c r="L486" i="1"/>
  <c r="M486" i="1"/>
  <c r="N486" i="1"/>
  <c r="O486" i="1"/>
  <c r="P486" i="1"/>
  <c r="R486" i="1"/>
  <c r="S486" i="1"/>
  <c r="T486" i="1"/>
  <c r="U486" i="1"/>
  <c r="C485" i="1"/>
  <c r="D485" i="1"/>
  <c r="E485" i="1"/>
  <c r="F485" i="1"/>
  <c r="G485" i="1"/>
  <c r="H485" i="1"/>
  <c r="I485" i="1"/>
  <c r="J485" i="1"/>
  <c r="K485" i="1"/>
  <c r="L485" i="1"/>
  <c r="M485" i="1"/>
  <c r="N485" i="1"/>
  <c r="O485" i="1"/>
  <c r="P485" i="1"/>
  <c r="R485" i="1"/>
  <c r="S485" i="1"/>
  <c r="T485" i="1"/>
  <c r="U485" i="1"/>
  <c r="C484" i="1"/>
  <c r="D484" i="1"/>
  <c r="E484" i="1"/>
  <c r="F484" i="1"/>
  <c r="G484" i="1"/>
  <c r="H484" i="1"/>
  <c r="I484" i="1"/>
  <c r="J484" i="1"/>
  <c r="K484" i="1"/>
  <c r="L484" i="1"/>
  <c r="M484" i="1"/>
  <c r="N484" i="1"/>
  <c r="O484" i="1"/>
  <c r="P484" i="1"/>
  <c r="R484" i="1"/>
  <c r="S484" i="1"/>
  <c r="T484" i="1"/>
  <c r="U484" i="1"/>
  <c r="C483" i="1"/>
  <c r="D483" i="1"/>
  <c r="E483" i="1"/>
  <c r="F483" i="1"/>
  <c r="G483" i="1"/>
  <c r="H483" i="1"/>
  <c r="I483" i="1"/>
  <c r="J483" i="1"/>
  <c r="K483" i="1"/>
  <c r="L483" i="1"/>
  <c r="M483" i="1"/>
  <c r="N483" i="1"/>
  <c r="O483" i="1"/>
  <c r="P483" i="1"/>
  <c r="R483" i="1"/>
  <c r="S483" i="1"/>
  <c r="T483" i="1"/>
  <c r="U483" i="1"/>
  <c r="C482" i="1"/>
  <c r="D482" i="1"/>
  <c r="E482" i="1"/>
  <c r="F482" i="1"/>
  <c r="G482" i="1"/>
  <c r="H482" i="1"/>
  <c r="I482" i="1"/>
  <c r="J482" i="1"/>
  <c r="K482" i="1"/>
  <c r="L482" i="1"/>
  <c r="M482" i="1"/>
  <c r="N482" i="1"/>
  <c r="O482" i="1"/>
  <c r="P482" i="1"/>
  <c r="R482" i="1"/>
  <c r="S482" i="1"/>
  <c r="T482" i="1"/>
  <c r="U482" i="1"/>
  <c r="C481" i="1"/>
  <c r="D481" i="1"/>
  <c r="E481" i="1"/>
  <c r="F481" i="1"/>
  <c r="G481" i="1"/>
  <c r="H481" i="1"/>
  <c r="I481" i="1"/>
  <c r="J481" i="1"/>
  <c r="K481" i="1"/>
  <c r="L481" i="1"/>
  <c r="M481" i="1"/>
  <c r="N481" i="1"/>
  <c r="O481" i="1"/>
  <c r="P481" i="1"/>
  <c r="R481" i="1"/>
  <c r="S481" i="1"/>
  <c r="T481" i="1"/>
  <c r="U481" i="1"/>
  <c r="C480" i="1"/>
  <c r="D480" i="1"/>
  <c r="E480" i="1"/>
  <c r="F480" i="1"/>
  <c r="G480" i="1"/>
  <c r="H480" i="1"/>
  <c r="I480" i="1"/>
  <c r="J480" i="1"/>
  <c r="K480" i="1"/>
  <c r="L480" i="1"/>
  <c r="M480" i="1"/>
  <c r="N480" i="1"/>
  <c r="O480" i="1"/>
  <c r="P480" i="1"/>
  <c r="R480" i="1"/>
  <c r="S480" i="1"/>
  <c r="T480" i="1"/>
  <c r="U480" i="1"/>
  <c r="C479" i="1"/>
  <c r="D479" i="1"/>
  <c r="E479" i="1"/>
  <c r="F479" i="1"/>
  <c r="G479" i="1"/>
  <c r="H479" i="1"/>
  <c r="I479" i="1"/>
  <c r="J479" i="1"/>
  <c r="K479" i="1"/>
  <c r="L479" i="1"/>
  <c r="M479" i="1"/>
  <c r="N479" i="1"/>
  <c r="O479" i="1"/>
  <c r="P479" i="1"/>
  <c r="R479" i="1"/>
  <c r="S479" i="1"/>
  <c r="T479" i="1"/>
  <c r="U479" i="1"/>
  <c r="C478" i="1"/>
  <c r="D478" i="1"/>
  <c r="E478" i="1"/>
  <c r="F478" i="1"/>
  <c r="G478" i="1"/>
  <c r="H478" i="1"/>
  <c r="I478" i="1"/>
  <c r="J478" i="1"/>
  <c r="K478" i="1"/>
  <c r="L478" i="1"/>
  <c r="M478" i="1"/>
  <c r="N478" i="1"/>
  <c r="O478" i="1"/>
  <c r="P478" i="1"/>
  <c r="R478" i="1"/>
  <c r="S478" i="1"/>
  <c r="T478" i="1"/>
  <c r="U478" i="1"/>
  <c r="C477" i="1"/>
  <c r="D477" i="1"/>
  <c r="E477" i="1"/>
  <c r="G477" i="1"/>
  <c r="H477" i="1"/>
  <c r="I477" i="1"/>
  <c r="J477" i="1"/>
  <c r="K477" i="1"/>
  <c r="L477" i="1"/>
  <c r="M477" i="1"/>
  <c r="N477" i="1"/>
  <c r="O477" i="1"/>
  <c r="P477" i="1"/>
  <c r="R477" i="1"/>
  <c r="S477" i="1"/>
  <c r="T477" i="1"/>
  <c r="U477" i="1"/>
  <c r="C475" i="1"/>
  <c r="D475" i="1"/>
  <c r="E475" i="1"/>
  <c r="F475" i="1"/>
  <c r="G475" i="1"/>
  <c r="H475" i="1"/>
  <c r="I475" i="1"/>
  <c r="J475" i="1"/>
  <c r="K475" i="1"/>
  <c r="L475" i="1"/>
  <c r="M475" i="1"/>
  <c r="N475" i="1"/>
  <c r="O475" i="1"/>
  <c r="P475" i="1"/>
  <c r="R475" i="1"/>
  <c r="S475" i="1"/>
  <c r="T475" i="1"/>
  <c r="U475" i="1"/>
  <c r="C474" i="1"/>
  <c r="D474" i="1"/>
  <c r="E474" i="1"/>
  <c r="F474" i="1"/>
  <c r="G474" i="1"/>
  <c r="H474" i="1"/>
  <c r="I474" i="1"/>
  <c r="J474" i="1"/>
  <c r="K474" i="1"/>
  <c r="L474" i="1"/>
  <c r="M474" i="1"/>
  <c r="N474" i="1"/>
  <c r="O474" i="1"/>
  <c r="P474" i="1"/>
  <c r="R474" i="1"/>
  <c r="S474" i="1"/>
  <c r="T474" i="1"/>
  <c r="U474" i="1"/>
  <c r="C473" i="1"/>
  <c r="D473" i="1"/>
  <c r="E473" i="1"/>
  <c r="F473" i="1"/>
  <c r="G473" i="1"/>
  <c r="H473" i="1"/>
  <c r="I473" i="1"/>
  <c r="J473" i="1"/>
  <c r="K473" i="1"/>
  <c r="L473" i="1"/>
  <c r="M473" i="1"/>
  <c r="N473" i="1"/>
  <c r="O473" i="1"/>
  <c r="P473" i="1"/>
  <c r="R473" i="1"/>
  <c r="S473" i="1"/>
  <c r="T473" i="1"/>
  <c r="U473" i="1"/>
  <c r="C472" i="1"/>
  <c r="D472" i="1"/>
  <c r="E472" i="1"/>
  <c r="F472" i="1"/>
  <c r="G472" i="1"/>
  <c r="H472" i="1"/>
  <c r="I472" i="1"/>
  <c r="J472" i="1"/>
  <c r="K472" i="1"/>
  <c r="L472" i="1"/>
  <c r="M472" i="1"/>
  <c r="N472" i="1"/>
  <c r="O472" i="1"/>
  <c r="P472" i="1"/>
  <c r="R472" i="1"/>
  <c r="S472" i="1"/>
  <c r="T472" i="1"/>
  <c r="U472" i="1"/>
  <c r="C471" i="1"/>
  <c r="D471" i="1"/>
  <c r="E471" i="1"/>
  <c r="F471" i="1"/>
  <c r="G471" i="1"/>
  <c r="H471" i="1"/>
  <c r="I471" i="1"/>
  <c r="J471" i="1"/>
  <c r="K471" i="1"/>
  <c r="L471" i="1"/>
  <c r="M471" i="1"/>
  <c r="N471" i="1"/>
  <c r="O471" i="1"/>
  <c r="P471" i="1"/>
  <c r="R471" i="1"/>
  <c r="S471" i="1"/>
  <c r="T471" i="1"/>
  <c r="U471" i="1"/>
  <c r="C470" i="1"/>
  <c r="D470" i="1"/>
  <c r="E470" i="1"/>
  <c r="F470" i="1"/>
  <c r="G470" i="1"/>
  <c r="H470" i="1"/>
  <c r="I470" i="1"/>
  <c r="J470" i="1"/>
  <c r="K470" i="1"/>
  <c r="L470" i="1"/>
  <c r="M470" i="1"/>
  <c r="N470" i="1"/>
  <c r="O470" i="1"/>
  <c r="P470" i="1"/>
  <c r="R470" i="1"/>
  <c r="S470" i="1"/>
  <c r="T470" i="1"/>
  <c r="U470" i="1"/>
  <c r="C469" i="1"/>
  <c r="D469" i="1"/>
  <c r="E469" i="1"/>
  <c r="F469" i="1"/>
  <c r="G469" i="1"/>
  <c r="H469" i="1"/>
  <c r="I469" i="1"/>
  <c r="J469" i="1"/>
  <c r="K469" i="1"/>
  <c r="L469" i="1"/>
  <c r="M469" i="1"/>
  <c r="N469" i="1"/>
  <c r="O469" i="1"/>
  <c r="P469" i="1"/>
  <c r="R469" i="1"/>
  <c r="S469" i="1"/>
  <c r="T469" i="1"/>
  <c r="U469" i="1"/>
  <c r="C468" i="1"/>
  <c r="D468" i="1"/>
  <c r="E468" i="1"/>
  <c r="F468" i="1"/>
  <c r="G468" i="1"/>
  <c r="H468" i="1"/>
  <c r="I468" i="1"/>
  <c r="J468" i="1"/>
  <c r="K468" i="1"/>
  <c r="L468" i="1"/>
  <c r="M468" i="1"/>
  <c r="N468" i="1"/>
  <c r="O468" i="1"/>
  <c r="P468" i="1"/>
  <c r="R468" i="1"/>
  <c r="S468" i="1"/>
  <c r="T468" i="1"/>
  <c r="U468" i="1"/>
  <c r="C467" i="1"/>
  <c r="D467" i="1"/>
  <c r="E467" i="1"/>
  <c r="F467" i="1"/>
  <c r="G467" i="1"/>
  <c r="H467" i="1"/>
  <c r="I467" i="1"/>
  <c r="J467" i="1"/>
  <c r="K467" i="1"/>
  <c r="L467" i="1"/>
  <c r="M467" i="1"/>
  <c r="N467" i="1"/>
  <c r="O467" i="1"/>
  <c r="P467" i="1"/>
  <c r="R467" i="1"/>
  <c r="S467" i="1"/>
  <c r="T467" i="1"/>
  <c r="U467" i="1"/>
  <c r="C466" i="1"/>
  <c r="D466" i="1"/>
  <c r="E466" i="1"/>
  <c r="F466" i="1"/>
  <c r="G466" i="1"/>
  <c r="H466" i="1"/>
  <c r="I466" i="1"/>
  <c r="J466" i="1"/>
  <c r="K466" i="1"/>
  <c r="L466" i="1"/>
  <c r="M466" i="1"/>
  <c r="N466" i="1"/>
  <c r="O466" i="1"/>
  <c r="P466" i="1"/>
  <c r="R466" i="1"/>
  <c r="S466" i="1"/>
  <c r="T466" i="1"/>
  <c r="U466" i="1"/>
  <c r="C465" i="1"/>
  <c r="D465" i="1"/>
  <c r="E465" i="1"/>
  <c r="F465" i="1"/>
  <c r="G465" i="1"/>
  <c r="H465" i="1"/>
  <c r="I465" i="1"/>
  <c r="J465" i="1"/>
  <c r="K465" i="1"/>
  <c r="L465" i="1"/>
  <c r="M465" i="1"/>
  <c r="N465" i="1"/>
  <c r="O465" i="1"/>
  <c r="P465" i="1"/>
  <c r="R465" i="1"/>
  <c r="S465" i="1"/>
  <c r="T465" i="1"/>
  <c r="U465" i="1"/>
  <c r="C464" i="1"/>
  <c r="D464" i="1"/>
  <c r="E464" i="1"/>
  <c r="F464" i="1"/>
  <c r="G464" i="1"/>
  <c r="H464" i="1"/>
  <c r="I464" i="1"/>
  <c r="J464" i="1"/>
  <c r="K464" i="1"/>
  <c r="L464" i="1"/>
  <c r="M464" i="1"/>
  <c r="N464" i="1"/>
  <c r="O464" i="1"/>
  <c r="P464" i="1"/>
  <c r="R464" i="1"/>
  <c r="S464" i="1"/>
  <c r="T464" i="1"/>
  <c r="U464" i="1"/>
  <c r="C463" i="1"/>
  <c r="D463" i="1"/>
  <c r="E463" i="1"/>
  <c r="F463" i="1"/>
  <c r="G463" i="1"/>
  <c r="H463" i="1"/>
  <c r="I463" i="1"/>
  <c r="J463" i="1"/>
  <c r="K463" i="1"/>
  <c r="L463" i="1"/>
  <c r="M463" i="1"/>
  <c r="N463" i="1"/>
  <c r="O463" i="1"/>
  <c r="P463" i="1"/>
  <c r="R463" i="1"/>
  <c r="S463" i="1"/>
  <c r="T463" i="1"/>
  <c r="U463" i="1"/>
  <c r="C462" i="1"/>
  <c r="D462" i="1"/>
  <c r="E462" i="1"/>
  <c r="F462" i="1"/>
  <c r="G462" i="1"/>
  <c r="H462" i="1"/>
  <c r="I462" i="1"/>
  <c r="J462" i="1"/>
  <c r="K462" i="1"/>
  <c r="L462" i="1"/>
  <c r="M462" i="1"/>
  <c r="N462" i="1"/>
  <c r="O462" i="1"/>
  <c r="P462" i="1"/>
  <c r="R462" i="1"/>
  <c r="S462" i="1"/>
  <c r="T462" i="1"/>
  <c r="U462" i="1"/>
  <c r="C461" i="1"/>
  <c r="D461" i="1"/>
  <c r="E461" i="1"/>
  <c r="F461" i="1"/>
  <c r="G461" i="1"/>
  <c r="H461" i="1"/>
  <c r="I461" i="1"/>
  <c r="J461" i="1"/>
  <c r="K461" i="1"/>
  <c r="L461" i="1"/>
  <c r="M461" i="1"/>
  <c r="N461" i="1"/>
  <c r="O461" i="1"/>
  <c r="P461" i="1"/>
  <c r="R461" i="1"/>
  <c r="S461" i="1"/>
  <c r="T461" i="1"/>
  <c r="U461" i="1"/>
  <c r="C460" i="1"/>
  <c r="D460" i="1"/>
  <c r="E460" i="1"/>
  <c r="F460" i="1"/>
  <c r="G460" i="1"/>
  <c r="H460" i="1"/>
  <c r="I460" i="1"/>
  <c r="J460" i="1"/>
  <c r="K460" i="1"/>
  <c r="L460" i="1"/>
  <c r="M460" i="1"/>
  <c r="N460" i="1"/>
  <c r="O460" i="1"/>
  <c r="P460" i="1"/>
  <c r="R460" i="1"/>
  <c r="S460" i="1"/>
  <c r="T460" i="1"/>
  <c r="U460" i="1"/>
  <c r="C459" i="1"/>
  <c r="D459" i="1"/>
  <c r="E459" i="1"/>
  <c r="F459" i="1"/>
  <c r="G459" i="1"/>
  <c r="H459" i="1"/>
  <c r="I459" i="1"/>
  <c r="J459" i="1"/>
  <c r="K459" i="1"/>
  <c r="L459" i="1"/>
  <c r="M459" i="1"/>
  <c r="N459" i="1"/>
  <c r="O459" i="1"/>
  <c r="P459" i="1"/>
  <c r="R459" i="1"/>
  <c r="S459" i="1"/>
  <c r="T459" i="1"/>
  <c r="U459" i="1"/>
  <c r="C458" i="1"/>
  <c r="D458" i="1"/>
  <c r="E458" i="1"/>
  <c r="F458" i="1"/>
  <c r="G458" i="1"/>
  <c r="H458" i="1"/>
  <c r="I458" i="1"/>
  <c r="J458" i="1"/>
  <c r="K458" i="1"/>
  <c r="L458" i="1"/>
  <c r="M458" i="1"/>
  <c r="N458" i="1"/>
  <c r="O458" i="1"/>
  <c r="P458" i="1"/>
  <c r="R458" i="1"/>
  <c r="S458" i="1"/>
  <c r="T458" i="1"/>
  <c r="U458" i="1"/>
  <c r="C457" i="1"/>
  <c r="D457" i="1"/>
  <c r="E457" i="1"/>
  <c r="F457" i="1"/>
  <c r="G457" i="1"/>
  <c r="H457" i="1"/>
  <c r="I457" i="1"/>
  <c r="J457" i="1"/>
  <c r="K457" i="1"/>
  <c r="L457" i="1"/>
  <c r="M457" i="1"/>
  <c r="N457" i="1"/>
  <c r="O457" i="1"/>
  <c r="P457" i="1"/>
  <c r="R457" i="1"/>
  <c r="S457" i="1"/>
  <c r="T457" i="1"/>
  <c r="U457" i="1"/>
  <c r="C456" i="1"/>
  <c r="D456" i="1"/>
  <c r="E456" i="1"/>
  <c r="F456" i="1"/>
  <c r="G456" i="1"/>
  <c r="H456" i="1"/>
  <c r="I456" i="1"/>
  <c r="J456" i="1"/>
  <c r="K456" i="1"/>
  <c r="L456" i="1"/>
  <c r="M456" i="1"/>
  <c r="N456" i="1"/>
  <c r="O456" i="1"/>
  <c r="P456" i="1"/>
  <c r="R456" i="1"/>
  <c r="S456" i="1"/>
  <c r="T456" i="1"/>
  <c r="U456" i="1"/>
  <c r="C455" i="1"/>
  <c r="D455" i="1"/>
  <c r="E455" i="1"/>
  <c r="F455" i="1"/>
  <c r="G455" i="1"/>
  <c r="H455" i="1"/>
  <c r="I455" i="1"/>
  <c r="J455" i="1"/>
  <c r="K455" i="1"/>
  <c r="L455" i="1"/>
  <c r="M455" i="1"/>
  <c r="N455" i="1"/>
  <c r="O455" i="1"/>
  <c r="P455" i="1"/>
  <c r="R455" i="1"/>
  <c r="S455" i="1"/>
  <c r="T455" i="1"/>
  <c r="U455" i="1"/>
  <c r="C454" i="1"/>
  <c r="D454" i="1"/>
  <c r="E454" i="1"/>
  <c r="F454" i="1"/>
  <c r="G454" i="1"/>
  <c r="H454" i="1"/>
  <c r="I454" i="1"/>
  <c r="J454" i="1"/>
  <c r="K454" i="1"/>
  <c r="L454" i="1"/>
  <c r="M454" i="1"/>
  <c r="N454" i="1"/>
  <c r="O454" i="1"/>
  <c r="P454" i="1"/>
  <c r="R454" i="1"/>
  <c r="S454" i="1"/>
  <c r="T454" i="1"/>
  <c r="U454" i="1"/>
  <c r="C453" i="1"/>
  <c r="D453" i="1"/>
  <c r="E453" i="1"/>
  <c r="F453" i="1"/>
  <c r="G453" i="1"/>
  <c r="H453" i="1"/>
  <c r="I453" i="1"/>
  <c r="J453" i="1"/>
  <c r="K453" i="1"/>
  <c r="L453" i="1"/>
  <c r="M453" i="1"/>
  <c r="N453" i="1"/>
  <c r="O453" i="1"/>
  <c r="P453" i="1"/>
  <c r="R453" i="1"/>
  <c r="S453" i="1"/>
  <c r="T453" i="1"/>
  <c r="U453" i="1"/>
  <c r="C452" i="1"/>
  <c r="D452" i="1"/>
  <c r="E452" i="1"/>
  <c r="F452" i="1"/>
  <c r="G452" i="1"/>
  <c r="H452" i="1"/>
  <c r="I452" i="1"/>
  <c r="J452" i="1"/>
  <c r="K452" i="1"/>
  <c r="L452" i="1"/>
  <c r="M452" i="1"/>
  <c r="N452" i="1"/>
  <c r="O452" i="1"/>
  <c r="P452" i="1"/>
  <c r="R452" i="1"/>
  <c r="S452" i="1"/>
  <c r="T452" i="1"/>
  <c r="U452" i="1"/>
  <c r="C451" i="1"/>
  <c r="D451" i="1"/>
  <c r="E451" i="1"/>
  <c r="F451" i="1"/>
  <c r="G451" i="1"/>
  <c r="H451" i="1"/>
  <c r="I451" i="1"/>
  <c r="J451" i="1"/>
  <c r="K451" i="1"/>
  <c r="L451" i="1"/>
  <c r="M451" i="1"/>
  <c r="N451" i="1"/>
  <c r="O451" i="1"/>
  <c r="P451" i="1"/>
  <c r="R451" i="1"/>
  <c r="S451" i="1"/>
  <c r="T451" i="1"/>
  <c r="U451" i="1"/>
  <c r="C450" i="1"/>
  <c r="D450" i="1"/>
  <c r="E450" i="1"/>
  <c r="F450" i="1"/>
  <c r="G450" i="1"/>
  <c r="H450" i="1"/>
  <c r="I450" i="1"/>
  <c r="J450" i="1"/>
  <c r="K450" i="1"/>
  <c r="L450" i="1"/>
  <c r="M450" i="1"/>
  <c r="N450" i="1"/>
  <c r="O450" i="1"/>
  <c r="P450" i="1"/>
  <c r="R450" i="1"/>
  <c r="S450" i="1"/>
  <c r="T450" i="1"/>
  <c r="U450" i="1"/>
  <c r="C449" i="1"/>
  <c r="D449" i="1"/>
  <c r="E449" i="1"/>
  <c r="F449" i="1"/>
  <c r="G449" i="1"/>
  <c r="H449" i="1"/>
  <c r="I449" i="1"/>
  <c r="J449" i="1"/>
  <c r="K449" i="1"/>
  <c r="L449" i="1"/>
  <c r="M449" i="1"/>
  <c r="N449" i="1"/>
  <c r="O449" i="1"/>
  <c r="P449" i="1"/>
  <c r="R449" i="1"/>
  <c r="S449" i="1"/>
  <c r="T449" i="1"/>
  <c r="U449" i="1"/>
  <c r="C448" i="1"/>
  <c r="D448" i="1"/>
  <c r="E448" i="1"/>
  <c r="F448" i="1"/>
  <c r="G448" i="1"/>
  <c r="H448" i="1"/>
  <c r="I448" i="1"/>
  <c r="J448" i="1"/>
  <c r="K448" i="1"/>
  <c r="L448" i="1"/>
  <c r="M448" i="1"/>
  <c r="N448" i="1"/>
  <c r="O448" i="1"/>
  <c r="P448" i="1"/>
  <c r="R448" i="1"/>
  <c r="S448" i="1"/>
  <c r="T448" i="1"/>
  <c r="U448" i="1"/>
  <c r="C447" i="1"/>
  <c r="D447" i="1"/>
  <c r="E447" i="1"/>
  <c r="F447" i="1"/>
  <c r="G447" i="1"/>
  <c r="H447" i="1"/>
  <c r="I447" i="1"/>
  <c r="J447" i="1"/>
  <c r="K447" i="1"/>
  <c r="L447" i="1"/>
  <c r="M447" i="1"/>
  <c r="N447" i="1"/>
  <c r="O447" i="1"/>
  <c r="P447" i="1"/>
  <c r="R447" i="1"/>
  <c r="S447" i="1"/>
  <c r="T447" i="1"/>
  <c r="U447" i="1"/>
  <c r="C446" i="1"/>
  <c r="D446" i="1"/>
  <c r="E446" i="1"/>
  <c r="F446" i="1"/>
  <c r="G446" i="1"/>
  <c r="H446" i="1"/>
  <c r="I446" i="1"/>
  <c r="J446" i="1"/>
  <c r="K446" i="1"/>
  <c r="L446" i="1"/>
  <c r="M446" i="1"/>
  <c r="N446" i="1"/>
  <c r="O446" i="1"/>
  <c r="P446" i="1"/>
  <c r="R446" i="1"/>
  <c r="S446" i="1"/>
  <c r="T446" i="1"/>
  <c r="U446" i="1"/>
  <c r="C445" i="1"/>
  <c r="D445" i="1"/>
  <c r="E445" i="1"/>
  <c r="F445" i="1"/>
  <c r="G445" i="1"/>
  <c r="H445" i="1"/>
  <c r="I445" i="1"/>
  <c r="J445" i="1"/>
  <c r="K445" i="1"/>
  <c r="L445" i="1"/>
  <c r="M445" i="1"/>
  <c r="N445" i="1"/>
  <c r="O445" i="1"/>
  <c r="P445" i="1"/>
  <c r="R445" i="1"/>
  <c r="S445" i="1"/>
  <c r="T445" i="1"/>
  <c r="U445" i="1"/>
  <c r="C444" i="1"/>
  <c r="D444" i="1"/>
  <c r="E444" i="1"/>
  <c r="F444" i="1"/>
  <c r="G444" i="1"/>
  <c r="H444" i="1"/>
  <c r="I444" i="1"/>
  <c r="J444" i="1"/>
  <c r="K444" i="1"/>
  <c r="L444" i="1"/>
  <c r="M444" i="1"/>
  <c r="N444" i="1"/>
  <c r="O444" i="1"/>
  <c r="P444" i="1"/>
  <c r="R444" i="1"/>
  <c r="S444" i="1"/>
  <c r="T444" i="1"/>
  <c r="U444" i="1"/>
  <c r="C443" i="1"/>
  <c r="D443" i="1"/>
  <c r="E443" i="1"/>
  <c r="F443" i="1"/>
  <c r="G443" i="1"/>
  <c r="H443" i="1"/>
  <c r="I443" i="1"/>
  <c r="J443" i="1"/>
  <c r="K443" i="1"/>
  <c r="L443" i="1"/>
  <c r="M443" i="1"/>
  <c r="N443" i="1"/>
  <c r="O443" i="1"/>
  <c r="P443" i="1"/>
  <c r="R443" i="1"/>
  <c r="S443" i="1"/>
  <c r="T443" i="1"/>
  <c r="U443" i="1"/>
  <c r="C442" i="1"/>
  <c r="D442" i="1"/>
  <c r="E442" i="1"/>
  <c r="F442" i="1"/>
  <c r="G442" i="1"/>
  <c r="H442" i="1"/>
  <c r="I442" i="1"/>
  <c r="J442" i="1"/>
  <c r="K442" i="1"/>
  <c r="L442" i="1"/>
  <c r="M442" i="1"/>
  <c r="N442" i="1"/>
  <c r="O442" i="1"/>
  <c r="P442" i="1"/>
  <c r="R442" i="1"/>
  <c r="S442" i="1"/>
  <c r="T442" i="1"/>
  <c r="U442" i="1"/>
  <c r="C441" i="1"/>
  <c r="D441" i="1"/>
  <c r="E441" i="1"/>
  <c r="F441" i="1"/>
  <c r="G441" i="1"/>
  <c r="H441" i="1"/>
  <c r="I441" i="1"/>
  <c r="J441" i="1"/>
  <c r="K441" i="1"/>
  <c r="L441" i="1"/>
  <c r="M441" i="1"/>
  <c r="N441" i="1"/>
  <c r="O441" i="1"/>
  <c r="P441" i="1"/>
  <c r="R441" i="1"/>
  <c r="S441" i="1"/>
  <c r="T441" i="1"/>
  <c r="U441" i="1"/>
  <c r="C440" i="1"/>
  <c r="D440" i="1"/>
  <c r="E440" i="1"/>
  <c r="F440" i="1"/>
  <c r="G440" i="1"/>
  <c r="H440" i="1"/>
  <c r="I440" i="1"/>
  <c r="J440" i="1"/>
  <c r="K440" i="1"/>
  <c r="L440" i="1"/>
  <c r="M440" i="1"/>
  <c r="N440" i="1"/>
  <c r="O440" i="1"/>
  <c r="P440" i="1"/>
  <c r="R440" i="1"/>
  <c r="S440" i="1"/>
  <c r="T440" i="1"/>
  <c r="U440" i="1"/>
  <c r="C439" i="1"/>
  <c r="D439" i="1"/>
  <c r="E439" i="1"/>
  <c r="F439" i="1"/>
  <c r="G439" i="1"/>
  <c r="H439" i="1"/>
  <c r="I439" i="1"/>
  <c r="J439" i="1"/>
  <c r="K439" i="1"/>
  <c r="L439" i="1"/>
  <c r="M439" i="1"/>
  <c r="N439" i="1"/>
  <c r="O439" i="1"/>
  <c r="P439" i="1"/>
  <c r="R439" i="1"/>
  <c r="S439" i="1"/>
  <c r="T439" i="1"/>
  <c r="U439" i="1"/>
  <c r="C438" i="1"/>
  <c r="D438" i="1"/>
  <c r="E438" i="1"/>
  <c r="F438" i="1"/>
  <c r="G438" i="1"/>
  <c r="H438" i="1"/>
  <c r="I438" i="1"/>
  <c r="J438" i="1"/>
  <c r="K438" i="1"/>
  <c r="L438" i="1"/>
  <c r="M438" i="1"/>
  <c r="N438" i="1"/>
  <c r="O438" i="1"/>
  <c r="P438" i="1"/>
  <c r="R438" i="1"/>
  <c r="S438" i="1"/>
  <c r="T438" i="1"/>
  <c r="U438" i="1"/>
  <c r="C437" i="1"/>
  <c r="D437" i="1"/>
  <c r="E437" i="1"/>
  <c r="F437" i="1"/>
  <c r="G437" i="1"/>
  <c r="H437" i="1"/>
  <c r="I437" i="1"/>
  <c r="J437" i="1"/>
  <c r="K437" i="1"/>
  <c r="L437" i="1"/>
  <c r="M437" i="1"/>
  <c r="N437" i="1"/>
  <c r="O437" i="1"/>
  <c r="P437" i="1"/>
  <c r="R437" i="1"/>
  <c r="S437" i="1"/>
  <c r="T437" i="1"/>
  <c r="U437" i="1"/>
  <c r="C436" i="1"/>
  <c r="D436" i="1"/>
  <c r="E436" i="1"/>
  <c r="F436" i="1"/>
  <c r="G436" i="1"/>
  <c r="H436" i="1"/>
  <c r="I436" i="1"/>
  <c r="J436" i="1"/>
  <c r="K436" i="1"/>
  <c r="L436" i="1"/>
  <c r="M436" i="1"/>
  <c r="N436" i="1"/>
  <c r="O436" i="1"/>
  <c r="P436" i="1"/>
  <c r="R436" i="1"/>
  <c r="S436" i="1"/>
  <c r="T436" i="1"/>
  <c r="U436" i="1"/>
  <c r="C435" i="1"/>
  <c r="D435" i="1"/>
  <c r="E435" i="1"/>
  <c r="F435" i="1"/>
  <c r="G435" i="1"/>
  <c r="H435" i="1"/>
  <c r="I435" i="1"/>
  <c r="J435" i="1"/>
  <c r="K435" i="1"/>
  <c r="L435" i="1"/>
  <c r="M435" i="1"/>
  <c r="N435" i="1"/>
  <c r="O435" i="1"/>
  <c r="P435" i="1"/>
  <c r="R435" i="1"/>
  <c r="S435" i="1"/>
  <c r="T435" i="1"/>
  <c r="U435" i="1"/>
  <c r="C434" i="1"/>
  <c r="D434" i="1"/>
  <c r="E434" i="1"/>
  <c r="F434" i="1"/>
  <c r="G434" i="1"/>
  <c r="H434" i="1"/>
  <c r="I434" i="1"/>
  <c r="J434" i="1"/>
  <c r="K434" i="1"/>
  <c r="L434" i="1"/>
  <c r="M434" i="1"/>
  <c r="N434" i="1"/>
  <c r="O434" i="1"/>
  <c r="P434" i="1"/>
  <c r="R434" i="1"/>
  <c r="S434" i="1"/>
  <c r="T434" i="1"/>
  <c r="U434" i="1"/>
  <c r="C433" i="1"/>
  <c r="D433" i="1"/>
  <c r="E433" i="1"/>
  <c r="F433" i="1"/>
  <c r="G433" i="1"/>
  <c r="H433" i="1"/>
  <c r="I433" i="1"/>
  <c r="J433" i="1"/>
  <c r="K433" i="1"/>
  <c r="L433" i="1"/>
  <c r="M433" i="1"/>
  <c r="N433" i="1"/>
  <c r="O433" i="1"/>
  <c r="P433" i="1"/>
  <c r="R433" i="1"/>
  <c r="S433" i="1"/>
  <c r="T433" i="1"/>
  <c r="U433" i="1"/>
  <c r="C432" i="1"/>
  <c r="D432" i="1"/>
  <c r="E432" i="1"/>
  <c r="F432" i="1"/>
  <c r="G432" i="1"/>
  <c r="H432" i="1"/>
  <c r="I432" i="1"/>
  <c r="J432" i="1"/>
  <c r="K432" i="1"/>
  <c r="L432" i="1"/>
  <c r="M432" i="1"/>
  <c r="N432" i="1"/>
  <c r="O432" i="1"/>
  <c r="P432" i="1"/>
  <c r="R432" i="1"/>
  <c r="S432" i="1"/>
  <c r="T432" i="1"/>
  <c r="U432" i="1"/>
  <c r="C431" i="1"/>
  <c r="D431" i="1"/>
  <c r="E431" i="1"/>
  <c r="F431" i="1"/>
  <c r="G431" i="1"/>
  <c r="H431" i="1"/>
  <c r="I431" i="1"/>
  <c r="J431" i="1"/>
  <c r="K431" i="1"/>
  <c r="L431" i="1"/>
  <c r="M431" i="1"/>
  <c r="N431" i="1"/>
  <c r="O431" i="1"/>
  <c r="P431" i="1"/>
  <c r="R431" i="1"/>
  <c r="S431" i="1"/>
  <c r="T431" i="1"/>
  <c r="U431" i="1"/>
  <c r="C430" i="1"/>
  <c r="D430" i="1"/>
  <c r="E430" i="1"/>
  <c r="F430" i="1"/>
  <c r="G430" i="1"/>
  <c r="H430" i="1"/>
  <c r="I430" i="1"/>
  <c r="J430" i="1"/>
  <c r="K430" i="1"/>
  <c r="L430" i="1"/>
  <c r="M430" i="1"/>
  <c r="N430" i="1"/>
  <c r="O430" i="1"/>
  <c r="P430" i="1"/>
  <c r="R430" i="1"/>
  <c r="S430" i="1"/>
  <c r="T430" i="1"/>
  <c r="U430" i="1"/>
  <c r="C429" i="1"/>
  <c r="D429" i="1"/>
  <c r="E429" i="1"/>
  <c r="F429" i="1"/>
  <c r="G429" i="1"/>
  <c r="H429" i="1"/>
  <c r="I429" i="1"/>
  <c r="J429" i="1"/>
  <c r="K429" i="1"/>
  <c r="L429" i="1"/>
  <c r="M429" i="1"/>
  <c r="N429" i="1"/>
  <c r="O429" i="1"/>
  <c r="P429" i="1"/>
  <c r="R429" i="1"/>
  <c r="S429" i="1"/>
  <c r="T429" i="1"/>
  <c r="U429" i="1"/>
  <c r="C428" i="1"/>
  <c r="D428" i="1"/>
  <c r="E428" i="1"/>
  <c r="F428" i="1"/>
  <c r="G428" i="1"/>
  <c r="H428" i="1"/>
  <c r="I428" i="1"/>
  <c r="J428" i="1"/>
  <c r="K428" i="1"/>
  <c r="L428" i="1"/>
  <c r="M428" i="1"/>
  <c r="N428" i="1"/>
  <c r="O428" i="1"/>
  <c r="P428" i="1"/>
  <c r="R428" i="1"/>
  <c r="S428" i="1"/>
  <c r="T428" i="1"/>
  <c r="U428" i="1"/>
  <c r="C427" i="1"/>
  <c r="D427" i="1"/>
  <c r="E427" i="1"/>
  <c r="F427" i="1"/>
  <c r="G427" i="1"/>
  <c r="H427" i="1"/>
  <c r="I427" i="1"/>
  <c r="J427" i="1"/>
  <c r="K427" i="1"/>
  <c r="L427" i="1"/>
  <c r="M427" i="1"/>
  <c r="N427" i="1"/>
  <c r="O427" i="1"/>
  <c r="P427" i="1"/>
  <c r="R427" i="1"/>
  <c r="S427" i="1"/>
  <c r="T427" i="1"/>
  <c r="U427" i="1"/>
  <c r="C426" i="1"/>
  <c r="D426" i="1"/>
  <c r="E426" i="1"/>
  <c r="F426" i="1"/>
  <c r="G426" i="1"/>
  <c r="H426" i="1"/>
  <c r="I426" i="1"/>
  <c r="J426" i="1"/>
  <c r="K426" i="1"/>
  <c r="L426" i="1"/>
  <c r="M426" i="1"/>
  <c r="N426" i="1"/>
  <c r="O426" i="1"/>
  <c r="P426" i="1"/>
  <c r="R426" i="1"/>
  <c r="S426" i="1"/>
  <c r="T426" i="1"/>
  <c r="U426" i="1"/>
  <c r="C425" i="1"/>
  <c r="D425" i="1"/>
  <c r="E425" i="1"/>
  <c r="F425" i="1"/>
  <c r="G425" i="1"/>
  <c r="H425" i="1"/>
  <c r="I425" i="1"/>
  <c r="J425" i="1"/>
  <c r="K425" i="1"/>
  <c r="L425" i="1"/>
  <c r="M425" i="1"/>
  <c r="N425" i="1"/>
  <c r="O425" i="1"/>
  <c r="P425" i="1"/>
  <c r="R425" i="1"/>
  <c r="S425" i="1"/>
  <c r="T425" i="1"/>
  <c r="U425" i="1"/>
  <c r="C424" i="1"/>
  <c r="D424" i="1"/>
  <c r="E424" i="1"/>
  <c r="F424" i="1"/>
  <c r="G424" i="1"/>
  <c r="H424" i="1"/>
  <c r="I424" i="1"/>
  <c r="J424" i="1"/>
  <c r="K424" i="1"/>
  <c r="L424" i="1"/>
  <c r="M424" i="1"/>
  <c r="N424" i="1"/>
  <c r="O424" i="1"/>
  <c r="P424" i="1"/>
  <c r="R424" i="1"/>
  <c r="S424" i="1"/>
  <c r="T424" i="1"/>
  <c r="U424" i="1"/>
  <c r="C423" i="1"/>
  <c r="D423" i="1"/>
  <c r="E423" i="1"/>
  <c r="F423" i="1"/>
  <c r="G423" i="1"/>
  <c r="H423" i="1"/>
  <c r="I423" i="1"/>
  <c r="J423" i="1"/>
  <c r="K423" i="1"/>
  <c r="L423" i="1"/>
  <c r="M423" i="1"/>
  <c r="N423" i="1"/>
  <c r="O423" i="1"/>
  <c r="P423" i="1"/>
  <c r="R423" i="1"/>
  <c r="S423" i="1"/>
  <c r="T423" i="1"/>
  <c r="U423" i="1"/>
  <c r="C422" i="1"/>
  <c r="D422" i="1"/>
  <c r="E422" i="1"/>
  <c r="F422" i="1"/>
  <c r="G422" i="1"/>
  <c r="H422" i="1"/>
  <c r="I422" i="1"/>
  <c r="J422" i="1"/>
  <c r="K422" i="1"/>
  <c r="L422" i="1"/>
  <c r="M422" i="1"/>
  <c r="N422" i="1"/>
  <c r="O422" i="1"/>
  <c r="P422" i="1"/>
  <c r="R422" i="1"/>
  <c r="S422" i="1"/>
  <c r="T422" i="1"/>
  <c r="U422" i="1"/>
  <c r="C421" i="1"/>
  <c r="D421" i="1"/>
  <c r="E421" i="1"/>
  <c r="F421" i="1"/>
  <c r="G421" i="1"/>
  <c r="H421" i="1"/>
  <c r="I421" i="1"/>
  <c r="J421" i="1"/>
  <c r="K421" i="1"/>
  <c r="L421" i="1"/>
  <c r="M421" i="1"/>
  <c r="N421" i="1"/>
  <c r="O421" i="1"/>
  <c r="P421" i="1"/>
  <c r="R421" i="1"/>
  <c r="S421" i="1"/>
  <c r="T421" i="1"/>
  <c r="U421" i="1"/>
  <c r="C420" i="1"/>
  <c r="D420" i="1"/>
  <c r="E420" i="1"/>
  <c r="F420" i="1"/>
  <c r="G420" i="1"/>
  <c r="H420" i="1"/>
  <c r="I420" i="1"/>
  <c r="J420" i="1"/>
  <c r="K420" i="1"/>
  <c r="L420" i="1"/>
  <c r="M420" i="1"/>
  <c r="N420" i="1"/>
  <c r="O420" i="1"/>
  <c r="P420" i="1"/>
  <c r="R420" i="1"/>
  <c r="S420" i="1"/>
  <c r="T420" i="1"/>
  <c r="U420" i="1"/>
  <c r="C419" i="1"/>
  <c r="D419" i="1"/>
  <c r="E419" i="1"/>
  <c r="F419" i="1"/>
  <c r="G419" i="1"/>
  <c r="H419" i="1"/>
  <c r="I419" i="1"/>
  <c r="J419" i="1"/>
  <c r="K419" i="1"/>
  <c r="L419" i="1"/>
  <c r="M419" i="1"/>
  <c r="N419" i="1"/>
  <c r="O419" i="1"/>
  <c r="P419" i="1"/>
  <c r="R419" i="1"/>
  <c r="S419" i="1"/>
  <c r="T419" i="1"/>
  <c r="U419" i="1"/>
  <c r="C418" i="1"/>
  <c r="D418" i="1"/>
  <c r="E418" i="1"/>
  <c r="F418" i="1"/>
  <c r="G418" i="1"/>
  <c r="H418" i="1"/>
  <c r="I418" i="1"/>
  <c r="J418" i="1"/>
  <c r="K418" i="1"/>
  <c r="L418" i="1"/>
  <c r="M418" i="1"/>
  <c r="N418" i="1"/>
  <c r="O418" i="1"/>
  <c r="P418" i="1"/>
  <c r="R418" i="1"/>
  <c r="S418" i="1"/>
  <c r="T418" i="1"/>
  <c r="U418" i="1"/>
  <c r="C417" i="1"/>
  <c r="D417" i="1"/>
  <c r="E417" i="1"/>
  <c r="F417" i="1"/>
  <c r="G417" i="1"/>
  <c r="H417" i="1"/>
  <c r="I417" i="1"/>
  <c r="J417" i="1"/>
  <c r="K417" i="1"/>
  <c r="L417" i="1"/>
  <c r="M417" i="1"/>
  <c r="N417" i="1"/>
  <c r="O417" i="1"/>
  <c r="P417" i="1"/>
  <c r="R417" i="1"/>
  <c r="S417" i="1"/>
  <c r="T417" i="1"/>
  <c r="U417" i="1"/>
  <c r="C416" i="1"/>
  <c r="D416" i="1"/>
  <c r="E416" i="1"/>
  <c r="F416" i="1"/>
  <c r="G416" i="1"/>
  <c r="H416" i="1"/>
  <c r="I416" i="1"/>
  <c r="J416" i="1"/>
  <c r="K416" i="1"/>
  <c r="L416" i="1"/>
  <c r="M416" i="1"/>
  <c r="N416" i="1"/>
  <c r="O416" i="1"/>
  <c r="P416" i="1"/>
  <c r="R416" i="1"/>
  <c r="S416" i="1"/>
  <c r="T416" i="1"/>
  <c r="U416" i="1"/>
  <c r="C415" i="1"/>
  <c r="D415" i="1"/>
  <c r="E415" i="1"/>
  <c r="F415" i="1"/>
  <c r="G415" i="1"/>
  <c r="H415" i="1"/>
  <c r="I415" i="1"/>
  <c r="J415" i="1"/>
  <c r="K415" i="1"/>
  <c r="L415" i="1"/>
  <c r="M415" i="1"/>
  <c r="N415" i="1"/>
  <c r="O415" i="1"/>
  <c r="P415" i="1"/>
  <c r="R415" i="1"/>
  <c r="S415" i="1"/>
  <c r="T415" i="1"/>
  <c r="U415" i="1"/>
  <c r="C414" i="1"/>
  <c r="D414" i="1"/>
  <c r="E414" i="1"/>
  <c r="F414" i="1"/>
  <c r="G414" i="1"/>
  <c r="H414" i="1"/>
  <c r="I414" i="1"/>
  <c r="J414" i="1"/>
  <c r="K414" i="1"/>
  <c r="L414" i="1"/>
  <c r="M414" i="1"/>
  <c r="N414" i="1"/>
  <c r="O414" i="1"/>
  <c r="P414" i="1"/>
  <c r="R414" i="1"/>
  <c r="S414" i="1"/>
  <c r="T414" i="1"/>
  <c r="U414" i="1"/>
  <c r="C413" i="1"/>
  <c r="D413" i="1"/>
  <c r="E413" i="1"/>
  <c r="F413" i="1"/>
  <c r="G413" i="1"/>
  <c r="H413" i="1"/>
  <c r="I413" i="1"/>
  <c r="J413" i="1"/>
  <c r="K413" i="1"/>
  <c r="L413" i="1"/>
  <c r="M413" i="1"/>
  <c r="N413" i="1"/>
  <c r="O413" i="1"/>
  <c r="P413" i="1"/>
  <c r="R413" i="1"/>
  <c r="S413" i="1"/>
  <c r="T413" i="1"/>
  <c r="U413" i="1"/>
  <c r="C412" i="1"/>
  <c r="D412" i="1"/>
  <c r="E412" i="1"/>
  <c r="F412" i="1"/>
  <c r="G412" i="1"/>
  <c r="H412" i="1"/>
  <c r="I412" i="1"/>
  <c r="J412" i="1"/>
  <c r="K412" i="1"/>
  <c r="L412" i="1"/>
  <c r="M412" i="1"/>
  <c r="N412" i="1"/>
  <c r="O412" i="1"/>
  <c r="P412" i="1"/>
  <c r="R412" i="1"/>
  <c r="S412" i="1"/>
  <c r="T412" i="1"/>
  <c r="U412" i="1"/>
  <c r="C411" i="1"/>
  <c r="D411" i="1"/>
  <c r="E411" i="1"/>
  <c r="F411" i="1"/>
  <c r="G411" i="1"/>
  <c r="H411" i="1"/>
  <c r="I411" i="1"/>
  <c r="J411" i="1"/>
  <c r="K411" i="1"/>
  <c r="L411" i="1"/>
  <c r="M411" i="1"/>
  <c r="N411" i="1"/>
  <c r="O411" i="1"/>
  <c r="P411" i="1"/>
  <c r="R411" i="1"/>
  <c r="S411" i="1"/>
  <c r="T411" i="1"/>
  <c r="U411" i="1"/>
  <c r="C410" i="1"/>
  <c r="D410" i="1"/>
  <c r="E410" i="1"/>
  <c r="F410" i="1"/>
  <c r="G410" i="1"/>
  <c r="H410" i="1"/>
  <c r="I410" i="1"/>
  <c r="J410" i="1"/>
  <c r="K410" i="1"/>
  <c r="L410" i="1"/>
  <c r="M410" i="1"/>
  <c r="N410" i="1"/>
  <c r="O410" i="1"/>
  <c r="P410" i="1"/>
  <c r="R410" i="1"/>
  <c r="S410" i="1"/>
  <c r="T410" i="1"/>
  <c r="U410" i="1"/>
  <c r="C409" i="1"/>
  <c r="D409" i="1"/>
  <c r="E409" i="1"/>
  <c r="F409" i="1"/>
  <c r="G409" i="1"/>
  <c r="H409" i="1"/>
  <c r="I409" i="1"/>
  <c r="J409" i="1"/>
  <c r="K409" i="1"/>
  <c r="L409" i="1"/>
  <c r="M409" i="1"/>
  <c r="N409" i="1"/>
  <c r="O409" i="1"/>
  <c r="P409" i="1"/>
  <c r="R409" i="1"/>
  <c r="S409" i="1"/>
  <c r="T409" i="1"/>
  <c r="U409" i="1"/>
  <c r="C408" i="1"/>
  <c r="D408" i="1"/>
  <c r="E408" i="1"/>
  <c r="F408" i="1"/>
  <c r="G408" i="1"/>
  <c r="H408" i="1"/>
  <c r="I408" i="1"/>
  <c r="J408" i="1"/>
  <c r="K408" i="1"/>
  <c r="L408" i="1"/>
  <c r="M408" i="1"/>
  <c r="N408" i="1"/>
  <c r="O408" i="1"/>
  <c r="P408" i="1"/>
  <c r="R408" i="1"/>
  <c r="S408" i="1"/>
  <c r="T408" i="1"/>
  <c r="U408" i="1"/>
  <c r="C407" i="1"/>
  <c r="D407" i="1"/>
  <c r="E407" i="1"/>
  <c r="F407" i="1"/>
  <c r="G407" i="1"/>
  <c r="H407" i="1"/>
  <c r="I407" i="1"/>
  <c r="J407" i="1"/>
  <c r="K407" i="1"/>
  <c r="L407" i="1"/>
  <c r="M407" i="1"/>
  <c r="N407" i="1"/>
  <c r="O407" i="1"/>
  <c r="P407" i="1"/>
  <c r="R407" i="1"/>
  <c r="S407" i="1"/>
  <c r="T407" i="1"/>
  <c r="U407" i="1"/>
  <c r="C406" i="1"/>
  <c r="D406" i="1"/>
  <c r="E406" i="1"/>
  <c r="F406" i="1"/>
  <c r="G406" i="1"/>
  <c r="H406" i="1"/>
  <c r="I406" i="1"/>
  <c r="J406" i="1"/>
  <c r="K406" i="1"/>
  <c r="L406" i="1"/>
  <c r="M406" i="1"/>
  <c r="N406" i="1"/>
  <c r="O406" i="1"/>
  <c r="P406" i="1"/>
  <c r="R406" i="1"/>
  <c r="S406" i="1"/>
  <c r="T406" i="1"/>
  <c r="U406" i="1"/>
  <c r="C405" i="1"/>
  <c r="D405" i="1"/>
  <c r="E405" i="1"/>
  <c r="F405" i="1"/>
  <c r="G405" i="1"/>
  <c r="H405" i="1"/>
  <c r="I405" i="1"/>
  <c r="J405" i="1"/>
  <c r="K405" i="1"/>
  <c r="L405" i="1"/>
  <c r="M405" i="1"/>
  <c r="N405" i="1"/>
  <c r="O405" i="1"/>
  <c r="P405" i="1"/>
  <c r="R405" i="1"/>
  <c r="S405" i="1"/>
  <c r="T405" i="1"/>
  <c r="U405" i="1"/>
  <c r="C404" i="1"/>
  <c r="D404" i="1"/>
  <c r="E404" i="1"/>
  <c r="F404" i="1"/>
  <c r="G404" i="1"/>
  <c r="H404" i="1"/>
  <c r="I404" i="1"/>
  <c r="J404" i="1"/>
  <c r="K404" i="1"/>
  <c r="L404" i="1"/>
  <c r="M404" i="1"/>
  <c r="N404" i="1"/>
  <c r="O404" i="1"/>
  <c r="P404" i="1"/>
  <c r="R404" i="1"/>
  <c r="S404" i="1"/>
  <c r="T404" i="1"/>
  <c r="U404" i="1"/>
  <c r="C403" i="1"/>
  <c r="D403" i="1"/>
  <c r="E403" i="1"/>
  <c r="F403" i="1"/>
  <c r="G403" i="1"/>
  <c r="H403" i="1"/>
  <c r="I403" i="1"/>
  <c r="J403" i="1"/>
  <c r="K403" i="1"/>
  <c r="L403" i="1"/>
  <c r="M403" i="1"/>
  <c r="N403" i="1"/>
  <c r="O403" i="1"/>
  <c r="P403" i="1"/>
  <c r="R403" i="1"/>
  <c r="S403" i="1"/>
  <c r="T403" i="1"/>
  <c r="U403" i="1"/>
  <c r="C402" i="1"/>
  <c r="D402" i="1"/>
  <c r="E402" i="1"/>
  <c r="F402" i="1"/>
  <c r="G402" i="1"/>
  <c r="H402" i="1"/>
  <c r="I402" i="1"/>
  <c r="J402" i="1"/>
  <c r="K402" i="1"/>
  <c r="L402" i="1"/>
  <c r="M402" i="1"/>
  <c r="N402" i="1"/>
  <c r="O402" i="1"/>
  <c r="P402" i="1"/>
  <c r="R402" i="1"/>
  <c r="S402" i="1"/>
  <c r="T402" i="1"/>
  <c r="U402" i="1"/>
  <c r="C401" i="1"/>
  <c r="D401" i="1"/>
  <c r="E401" i="1"/>
  <c r="F401" i="1"/>
  <c r="G401" i="1"/>
  <c r="H401" i="1"/>
  <c r="I401" i="1"/>
  <c r="J401" i="1"/>
  <c r="K401" i="1"/>
  <c r="L401" i="1"/>
  <c r="M401" i="1"/>
  <c r="N401" i="1"/>
  <c r="O401" i="1"/>
  <c r="P401" i="1"/>
  <c r="R401" i="1"/>
  <c r="S401" i="1"/>
  <c r="T401" i="1"/>
  <c r="U401" i="1"/>
  <c r="C400" i="1"/>
  <c r="D400" i="1"/>
  <c r="E400" i="1"/>
  <c r="F400" i="1"/>
  <c r="G400" i="1"/>
  <c r="H400" i="1"/>
  <c r="I400" i="1"/>
  <c r="J400" i="1"/>
  <c r="K400" i="1"/>
  <c r="L400" i="1"/>
  <c r="M400" i="1"/>
  <c r="N400" i="1"/>
  <c r="O400" i="1"/>
  <c r="P400" i="1"/>
  <c r="R400" i="1"/>
  <c r="S400" i="1"/>
  <c r="T400" i="1"/>
  <c r="U400" i="1"/>
  <c r="C399" i="1"/>
  <c r="D399" i="1"/>
  <c r="E399" i="1"/>
  <c r="F399" i="1"/>
  <c r="G399" i="1"/>
  <c r="H399" i="1"/>
  <c r="I399" i="1"/>
  <c r="J399" i="1"/>
  <c r="K399" i="1"/>
  <c r="L399" i="1"/>
  <c r="M399" i="1"/>
  <c r="N399" i="1"/>
  <c r="O399" i="1"/>
  <c r="P399" i="1"/>
  <c r="R399" i="1"/>
  <c r="S399" i="1"/>
  <c r="T399" i="1"/>
  <c r="U399" i="1"/>
  <c r="C398" i="1"/>
  <c r="D398" i="1"/>
  <c r="E398" i="1"/>
  <c r="F398" i="1"/>
  <c r="G398" i="1"/>
  <c r="H398" i="1"/>
  <c r="I398" i="1"/>
  <c r="J398" i="1"/>
  <c r="K398" i="1"/>
  <c r="L398" i="1"/>
  <c r="M398" i="1"/>
  <c r="N398" i="1"/>
  <c r="O398" i="1"/>
  <c r="P398" i="1"/>
  <c r="R398" i="1"/>
  <c r="S398" i="1"/>
  <c r="T398" i="1"/>
  <c r="U398" i="1"/>
  <c r="C397" i="1"/>
  <c r="D397" i="1"/>
  <c r="E397" i="1"/>
  <c r="F397" i="1"/>
  <c r="G397" i="1"/>
  <c r="H397" i="1"/>
  <c r="I397" i="1"/>
  <c r="J397" i="1"/>
  <c r="K397" i="1"/>
  <c r="L397" i="1"/>
  <c r="M397" i="1"/>
  <c r="N397" i="1"/>
  <c r="O397" i="1"/>
  <c r="P397" i="1"/>
  <c r="R397" i="1"/>
  <c r="S397" i="1"/>
  <c r="T397" i="1"/>
  <c r="U397" i="1"/>
  <c r="C396" i="1"/>
  <c r="D396" i="1"/>
  <c r="E396" i="1"/>
  <c r="F396" i="1"/>
  <c r="G396" i="1"/>
  <c r="H396" i="1"/>
  <c r="I396" i="1"/>
  <c r="J396" i="1"/>
  <c r="K396" i="1"/>
  <c r="L396" i="1"/>
  <c r="M396" i="1"/>
  <c r="N396" i="1"/>
  <c r="O396" i="1"/>
  <c r="P396" i="1"/>
  <c r="R396" i="1"/>
  <c r="S396" i="1"/>
  <c r="T396" i="1"/>
  <c r="U396" i="1"/>
  <c r="C395" i="1"/>
  <c r="D395" i="1"/>
  <c r="E395" i="1"/>
  <c r="F395" i="1"/>
  <c r="G395" i="1"/>
  <c r="H395" i="1"/>
  <c r="I395" i="1"/>
  <c r="J395" i="1"/>
  <c r="K395" i="1"/>
  <c r="L395" i="1"/>
  <c r="M395" i="1"/>
  <c r="N395" i="1"/>
  <c r="O395" i="1"/>
  <c r="P395" i="1"/>
  <c r="R395" i="1"/>
  <c r="S395" i="1"/>
  <c r="T395" i="1"/>
  <c r="U395" i="1"/>
  <c r="C497" i="1"/>
  <c r="D497" i="1"/>
  <c r="E497" i="1"/>
  <c r="F497" i="1"/>
  <c r="G497" i="1"/>
  <c r="H497" i="1"/>
  <c r="I497" i="1"/>
  <c r="J497" i="1"/>
  <c r="K497" i="1"/>
  <c r="L497" i="1"/>
  <c r="M497" i="1"/>
  <c r="N497" i="1"/>
  <c r="O497" i="1"/>
  <c r="P497" i="1"/>
  <c r="R497" i="1"/>
  <c r="S497" i="1"/>
  <c r="T497" i="1"/>
  <c r="U497" i="1"/>
  <c r="C496" i="1"/>
  <c r="D496" i="1"/>
  <c r="E496" i="1"/>
  <c r="F496" i="1"/>
  <c r="G496" i="1"/>
  <c r="H496" i="1"/>
  <c r="I496" i="1"/>
  <c r="J496" i="1"/>
  <c r="K496" i="1"/>
  <c r="L496" i="1"/>
  <c r="M496" i="1"/>
  <c r="N496" i="1"/>
  <c r="O496" i="1"/>
  <c r="P496" i="1"/>
  <c r="R496" i="1"/>
  <c r="S496" i="1"/>
  <c r="T496" i="1"/>
  <c r="U496" i="1"/>
  <c r="C495" i="1"/>
  <c r="D495" i="1"/>
  <c r="E495" i="1"/>
  <c r="F495" i="1"/>
  <c r="G495" i="1"/>
  <c r="H495" i="1"/>
  <c r="I495" i="1"/>
  <c r="J495" i="1"/>
  <c r="K495" i="1"/>
  <c r="L495" i="1"/>
  <c r="M495" i="1"/>
  <c r="N495" i="1"/>
  <c r="O495" i="1"/>
  <c r="P495" i="1"/>
  <c r="R495" i="1"/>
  <c r="S495" i="1"/>
  <c r="T495" i="1"/>
  <c r="U495" i="1"/>
  <c r="C494" i="1"/>
  <c r="D494" i="1"/>
  <c r="E494" i="1"/>
  <c r="F494" i="1"/>
  <c r="G494" i="1"/>
  <c r="H494" i="1"/>
  <c r="I494" i="1"/>
  <c r="J494" i="1"/>
  <c r="K494" i="1"/>
  <c r="L494" i="1"/>
  <c r="M494" i="1"/>
  <c r="N494" i="1"/>
  <c r="O494" i="1"/>
  <c r="P494" i="1"/>
  <c r="R494" i="1"/>
  <c r="S494" i="1"/>
  <c r="T494" i="1"/>
  <c r="U494" i="1"/>
  <c r="C493" i="1"/>
  <c r="D493" i="1"/>
  <c r="E493" i="1"/>
  <c r="F493" i="1"/>
  <c r="G493" i="1"/>
  <c r="H493" i="1"/>
  <c r="I493" i="1"/>
  <c r="J493" i="1"/>
  <c r="K493" i="1"/>
  <c r="L493" i="1"/>
  <c r="M493" i="1"/>
  <c r="N493" i="1"/>
  <c r="O493" i="1"/>
  <c r="P493" i="1"/>
  <c r="R493" i="1"/>
  <c r="S493" i="1"/>
  <c r="T493" i="1"/>
  <c r="U493" i="1"/>
  <c r="C492" i="1"/>
  <c r="D492" i="1"/>
  <c r="E492" i="1"/>
  <c r="F492" i="1"/>
  <c r="G492" i="1"/>
  <c r="H492" i="1"/>
  <c r="I492" i="1"/>
  <c r="J492" i="1"/>
  <c r="K492" i="1"/>
  <c r="L492" i="1"/>
  <c r="M492" i="1"/>
  <c r="N492" i="1"/>
  <c r="O492" i="1"/>
  <c r="P492" i="1"/>
  <c r="R492" i="1"/>
  <c r="S492" i="1"/>
  <c r="T492" i="1"/>
  <c r="U492" i="1"/>
  <c r="B394" i="1"/>
  <c r="C394" i="1"/>
  <c r="D394" i="1"/>
  <c r="E394" i="1"/>
  <c r="F394" i="1"/>
  <c r="G394" i="1"/>
  <c r="H394" i="1"/>
  <c r="I394" i="1"/>
  <c r="J394" i="1"/>
  <c r="K394" i="1"/>
  <c r="L394" i="1"/>
  <c r="M394" i="1"/>
  <c r="N394" i="1"/>
  <c r="O394" i="1"/>
  <c r="P394" i="1"/>
  <c r="R394" i="1"/>
  <c r="S394" i="1"/>
  <c r="T394" i="1"/>
  <c r="U394" i="1"/>
  <c r="B393" i="1"/>
  <c r="C393" i="1"/>
  <c r="D393" i="1"/>
  <c r="E393" i="1"/>
  <c r="F393" i="1"/>
  <c r="G393" i="1"/>
  <c r="H393" i="1"/>
  <c r="I393" i="1"/>
  <c r="J393" i="1"/>
  <c r="K393" i="1"/>
  <c r="L393" i="1"/>
  <c r="M393" i="1"/>
  <c r="N393" i="1"/>
  <c r="O393" i="1"/>
  <c r="P393" i="1"/>
  <c r="R393" i="1"/>
  <c r="S393" i="1"/>
  <c r="T393" i="1"/>
  <c r="U393" i="1"/>
  <c r="B392" i="1"/>
  <c r="C392" i="1"/>
  <c r="D392" i="1"/>
  <c r="E392" i="1"/>
  <c r="F392" i="1"/>
  <c r="G392" i="1"/>
  <c r="H392" i="1"/>
  <c r="I392" i="1"/>
  <c r="J392" i="1"/>
  <c r="K392" i="1"/>
  <c r="L392" i="1"/>
  <c r="M392" i="1"/>
  <c r="N392" i="1"/>
  <c r="O392" i="1"/>
  <c r="P392" i="1"/>
  <c r="R392" i="1"/>
  <c r="S392" i="1"/>
  <c r="T392" i="1"/>
  <c r="U392" i="1"/>
  <c r="B391" i="1"/>
  <c r="C391" i="1"/>
  <c r="D391" i="1"/>
  <c r="E391" i="1"/>
  <c r="F391" i="1"/>
  <c r="G391" i="1"/>
  <c r="H391" i="1"/>
  <c r="I391" i="1"/>
  <c r="J391" i="1"/>
  <c r="K391" i="1"/>
  <c r="L391" i="1"/>
  <c r="M391" i="1"/>
  <c r="N391" i="1"/>
  <c r="O391" i="1"/>
  <c r="P391" i="1"/>
  <c r="R391" i="1"/>
  <c r="S391" i="1"/>
  <c r="T391" i="1"/>
  <c r="U391" i="1"/>
  <c r="B390" i="1"/>
  <c r="C390" i="1"/>
  <c r="D390" i="1"/>
  <c r="E390" i="1"/>
  <c r="F390" i="1"/>
  <c r="G390" i="1"/>
  <c r="H390" i="1"/>
  <c r="I390" i="1"/>
  <c r="J390" i="1"/>
  <c r="K390" i="1"/>
  <c r="L390" i="1"/>
  <c r="M390" i="1"/>
  <c r="N390" i="1"/>
  <c r="O390" i="1"/>
  <c r="P390" i="1"/>
  <c r="R390" i="1"/>
  <c r="S390" i="1"/>
  <c r="T390" i="1"/>
  <c r="U390" i="1"/>
  <c r="B389" i="1"/>
  <c r="C389" i="1"/>
  <c r="D389" i="1"/>
  <c r="E389" i="1"/>
  <c r="F389" i="1"/>
  <c r="G389" i="1"/>
  <c r="H389" i="1"/>
  <c r="I389" i="1"/>
  <c r="J389" i="1"/>
  <c r="K389" i="1"/>
  <c r="L389" i="1"/>
  <c r="M389" i="1"/>
  <c r="N389" i="1"/>
  <c r="O389" i="1"/>
  <c r="P389" i="1"/>
  <c r="R389" i="1"/>
  <c r="S389" i="1"/>
  <c r="T389" i="1"/>
  <c r="U389" i="1"/>
  <c r="B388" i="1"/>
  <c r="C388" i="1"/>
  <c r="D388" i="1"/>
  <c r="E388" i="1"/>
  <c r="F388" i="1"/>
  <c r="G388" i="1"/>
  <c r="H388" i="1"/>
  <c r="I388" i="1"/>
  <c r="J388" i="1"/>
  <c r="K388" i="1"/>
  <c r="L388" i="1"/>
  <c r="M388" i="1"/>
  <c r="N388" i="1"/>
  <c r="O388" i="1"/>
  <c r="P388" i="1"/>
  <c r="R388" i="1"/>
  <c r="S388" i="1"/>
  <c r="T388" i="1"/>
  <c r="U388" i="1"/>
  <c r="B387" i="1"/>
  <c r="C387" i="1"/>
  <c r="D387" i="1"/>
  <c r="E387" i="1"/>
  <c r="F387" i="1"/>
  <c r="G387" i="1"/>
  <c r="H387" i="1"/>
  <c r="I387" i="1"/>
  <c r="J387" i="1"/>
  <c r="K387" i="1"/>
  <c r="L387" i="1"/>
  <c r="M387" i="1"/>
  <c r="N387" i="1"/>
  <c r="O387" i="1"/>
  <c r="P387" i="1"/>
  <c r="R387" i="1"/>
  <c r="S387" i="1"/>
  <c r="T387" i="1"/>
  <c r="U387" i="1"/>
  <c r="B386" i="1"/>
  <c r="C386" i="1"/>
  <c r="D386" i="1"/>
  <c r="E386" i="1"/>
  <c r="F386" i="1"/>
  <c r="G386" i="1"/>
  <c r="H386" i="1"/>
  <c r="I386" i="1"/>
  <c r="J386" i="1"/>
  <c r="K386" i="1"/>
  <c r="L386" i="1"/>
  <c r="M386" i="1"/>
  <c r="N386" i="1"/>
  <c r="O386" i="1"/>
  <c r="P386" i="1"/>
  <c r="R386" i="1"/>
  <c r="S386" i="1"/>
  <c r="T386" i="1"/>
  <c r="U386" i="1"/>
  <c r="B385" i="1"/>
  <c r="C385" i="1"/>
  <c r="D385" i="1"/>
  <c r="E385" i="1"/>
  <c r="F385" i="1"/>
  <c r="G385" i="1"/>
  <c r="H385" i="1"/>
  <c r="I385" i="1"/>
  <c r="J385" i="1"/>
  <c r="K385" i="1"/>
  <c r="L385" i="1"/>
  <c r="M385" i="1"/>
  <c r="N385" i="1"/>
  <c r="O385" i="1"/>
  <c r="P385" i="1"/>
  <c r="R385" i="1"/>
  <c r="S385" i="1"/>
  <c r="T385" i="1"/>
  <c r="U385" i="1"/>
  <c r="B384" i="1"/>
  <c r="C384" i="1"/>
  <c r="D384" i="1"/>
  <c r="E384" i="1"/>
  <c r="F384" i="1"/>
  <c r="G384" i="1"/>
  <c r="H384" i="1"/>
  <c r="I384" i="1"/>
  <c r="J384" i="1"/>
  <c r="K384" i="1"/>
  <c r="L384" i="1"/>
  <c r="M384" i="1"/>
  <c r="N384" i="1"/>
  <c r="O384" i="1"/>
  <c r="P384" i="1"/>
  <c r="R384" i="1"/>
  <c r="S384" i="1"/>
  <c r="T384" i="1"/>
  <c r="U384" i="1"/>
  <c r="B383" i="1"/>
  <c r="C383" i="1"/>
  <c r="D383" i="1"/>
  <c r="E383" i="1"/>
  <c r="F383" i="1"/>
  <c r="G383" i="1"/>
  <c r="H383" i="1"/>
  <c r="I383" i="1"/>
  <c r="J383" i="1"/>
  <c r="K383" i="1"/>
  <c r="L383" i="1"/>
  <c r="M383" i="1"/>
  <c r="N383" i="1"/>
  <c r="O383" i="1"/>
  <c r="P383" i="1"/>
  <c r="R383" i="1"/>
  <c r="S383" i="1"/>
  <c r="T383" i="1"/>
  <c r="U383" i="1"/>
  <c r="B382" i="1"/>
  <c r="C382" i="1"/>
  <c r="D382" i="1"/>
  <c r="E382" i="1"/>
  <c r="F382" i="1"/>
  <c r="G382" i="1"/>
  <c r="H382" i="1"/>
  <c r="I382" i="1"/>
  <c r="J382" i="1"/>
  <c r="K382" i="1"/>
  <c r="L382" i="1"/>
  <c r="M382" i="1"/>
  <c r="N382" i="1"/>
  <c r="O382" i="1"/>
  <c r="P382" i="1"/>
  <c r="R382" i="1"/>
  <c r="S382" i="1"/>
  <c r="T382" i="1"/>
  <c r="U382" i="1"/>
  <c r="B381" i="1"/>
  <c r="C381" i="1"/>
  <c r="D381" i="1"/>
  <c r="E381" i="1"/>
  <c r="F381" i="1"/>
  <c r="G381" i="1"/>
  <c r="H381" i="1"/>
  <c r="I381" i="1"/>
  <c r="J381" i="1"/>
  <c r="K381" i="1"/>
  <c r="L381" i="1"/>
  <c r="M381" i="1"/>
  <c r="N381" i="1"/>
  <c r="O381" i="1"/>
  <c r="P381" i="1"/>
  <c r="R381" i="1"/>
  <c r="S381" i="1"/>
  <c r="T381" i="1"/>
  <c r="U381" i="1"/>
  <c r="B380" i="1"/>
  <c r="C380" i="1"/>
  <c r="D380" i="1"/>
  <c r="E380" i="1"/>
  <c r="F380" i="1"/>
  <c r="G380" i="1"/>
  <c r="H380" i="1"/>
  <c r="I380" i="1"/>
  <c r="J380" i="1"/>
  <c r="K380" i="1"/>
  <c r="L380" i="1"/>
  <c r="M380" i="1"/>
  <c r="N380" i="1"/>
  <c r="O380" i="1"/>
  <c r="P380" i="1"/>
  <c r="R380" i="1"/>
  <c r="S380" i="1"/>
  <c r="T380" i="1"/>
  <c r="U380" i="1"/>
  <c r="B379" i="1"/>
  <c r="C379" i="1"/>
  <c r="D379" i="1"/>
  <c r="E379" i="1"/>
  <c r="F379" i="1"/>
  <c r="G379" i="1"/>
  <c r="H379" i="1"/>
  <c r="I379" i="1"/>
  <c r="J379" i="1"/>
  <c r="K379" i="1"/>
  <c r="L379" i="1"/>
  <c r="M379" i="1"/>
  <c r="N379" i="1"/>
  <c r="O379" i="1"/>
  <c r="P379" i="1"/>
  <c r="R379" i="1"/>
  <c r="S379" i="1"/>
  <c r="T379" i="1"/>
  <c r="U379" i="1"/>
  <c r="B378" i="1"/>
  <c r="C378" i="1"/>
  <c r="D378" i="1"/>
  <c r="E378" i="1"/>
  <c r="F378" i="1"/>
  <c r="G378" i="1"/>
  <c r="H378" i="1"/>
  <c r="I378" i="1"/>
  <c r="J378" i="1"/>
  <c r="K378" i="1"/>
  <c r="L378" i="1"/>
  <c r="M378" i="1"/>
  <c r="N378" i="1"/>
  <c r="O378" i="1"/>
  <c r="P378" i="1"/>
  <c r="R378" i="1"/>
  <c r="S378" i="1"/>
  <c r="T378" i="1"/>
  <c r="U378" i="1"/>
  <c r="B377" i="1"/>
  <c r="C377" i="1"/>
  <c r="D377" i="1"/>
  <c r="E377" i="1"/>
  <c r="F377" i="1"/>
  <c r="G377" i="1"/>
  <c r="H377" i="1"/>
  <c r="I377" i="1"/>
  <c r="J377" i="1"/>
  <c r="K377" i="1"/>
  <c r="L377" i="1"/>
  <c r="M377" i="1"/>
  <c r="N377" i="1"/>
  <c r="O377" i="1"/>
  <c r="P377" i="1"/>
  <c r="R377" i="1"/>
  <c r="S377" i="1"/>
  <c r="T377" i="1"/>
  <c r="U377" i="1"/>
  <c r="B376" i="1"/>
  <c r="C376" i="1"/>
  <c r="D376" i="1"/>
  <c r="E376" i="1"/>
  <c r="F376" i="1"/>
  <c r="G376" i="1"/>
  <c r="H376" i="1"/>
  <c r="I376" i="1"/>
  <c r="J376" i="1"/>
  <c r="K376" i="1"/>
  <c r="L376" i="1"/>
  <c r="M376" i="1"/>
  <c r="N376" i="1"/>
  <c r="O376" i="1"/>
  <c r="P376" i="1"/>
  <c r="R376" i="1"/>
  <c r="S376" i="1"/>
  <c r="T376" i="1"/>
  <c r="U376" i="1"/>
  <c r="B375" i="1"/>
  <c r="C375" i="1"/>
  <c r="D375" i="1"/>
  <c r="E375" i="1"/>
  <c r="F375" i="1"/>
  <c r="G375" i="1"/>
  <c r="H375" i="1"/>
  <c r="I375" i="1"/>
  <c r="J375" i="1"/>
  <c r="K375" i="1"/>
  <c r="L375" i="1"/>
  <c r="M375" i="1"/>
  <c r="N375" i="1"/>
  <c r="O375" i="1"/>
  <c r="P375" i="1"/>
  <c r="R375" i="1"/>
  <c r="S375" i="1"/>
  <c r="T375" i="1"/>
  <c r="U375" i="1"/>
  <c r="B374" i="1"/>
  <c r="C374" i="1"/>
  <c r="D374" i="1"/>
  <c r="E374" i="1"/>
  <c r="F374" i="1"/>
  <c r="G374" i="1"/>
  <c r="H374" i="1"/>
  <c r="I374" i="1"/>
  <c r="J374" i="1"/>
  <c r="K374" i="1"/>
  <c r="L374" i="1"/>
  <c r="M374" i="1"/>
  <c r="N374" i="1"/>
  <c r="O374" i="1"/>
  <c r="P374" i="1"/>
  <c r="R374" i="1"/>
  <c r="S374" i="1"/>
  <c r="T374" i="1"/>
  <c r="U374" i="1"/>
  <c r="B373" i="1"/>
  <c r="C373" i="1"/>
  <c r="D373" i="1"/>
  <c r="E373" i="1"/>
  <c r="F373" i="1"/>
  <c r="G373" i="1"/>
  <c r="H373" i="1"/>
  <c r="I373" i="1"/>
  <c r="J373" i="1"/>
  <c r="K373" i="1"/>
  <c r="L373" i="1"/>
  <c r="M373" i="1"/>
  <c r="N373" i="1"/>
  <c r="O373" i="1"/>
  <c r="P373" i="1"/>
  <c r="R373" i="1"/>
  <c r="S373" i="1"/>
  <c r="T373" i="1"/>
  <c r="U373" i="1"/>
  <c r="B372" i="1"/>
  <c r="C372" i="1"/>
  <c r="D372" i="1"/>
  <c r="E372" i="1"/>
  <c r="F372" i="1"/>
  <c r="G372" i="1"/>
  <c r="H372" i="1"/>
  <c r="I372" i="1"/>
  <c r="J372" i="1"/>
  <c r="K372" i="1"/>
  <c r="L372" i="1"/>
  <c r="M372" i="1"/>
  <c r="N372" i="1"/>
  <c r="O372" i="1"/>
  <c r="P372" i="1"/>
  <c r="R372" i="1"/>
  <c r="S372" i="1"/>
  <c r="T372" i="1"/>
  <c r="U372" i="1"/>
  <c r="B371" i="1"/>
  <c r="C371" i="1"/>
  <c r="D371" i="1"/>
  <c r="E371" i="1"/>
  <c r="F371" i="1"/>
  <c r="G371" i="1"/>
  <c r="H371" i="1"/>
  <c r="I371" i="1"/>
  <c r="J371" i="1"/>
  <c r="K371" i="1"/>
  <c r="L371" i="1"/>
  <c r="M371" i="1"/>
  <c r="N371" i="1"/>
  <c r="O371" i="1"/>
  <c r="P371" i="1"/>
  <c r="R371" i="1"/>
  <c r="S371" i="1"/>
  <c r="T371" i="1"/>
  <c r="U371" i="1"/>
  <c r="B370" i="1"/>
  <c r="C370" i="1"/>
  <c r="D370" i="1"/>
  <c r="E370" i="1"/>
  <c r="F370" i="1"/>
  <c r="G370" i="1"/>
  <c r="H370" i="1"/>
  <c r="I370" i="1"/>
  <c r="J370" i="1"/>
  <c r="K370" i="1"/>
  <c r="L370" i="1"/>
  <c r="M370" i="1"/>
  <c r="N370" i="1"/>
  <c r="O370" i="1"/>
  <c r="P370" i="1"/>
  <c r="R370" i="1"/>
  <c r="S370" i="1"/>
  <c r="T370" i="1"/>
  <c r="U370" i="1"/>
  <c r="B369" i="1"/>
  <c r="C369" i="1"/>
  <c r="D369" i="1"/>
  <c r="E369" i="1"/>
  <c r="F369" i="1"/>
  <c r="G369" i="1"/>
  <c r="H369" i="1"/>
  <c r="I369" i="1"/>
  <c r="J369" i="1"/>
  <c r="K369" i="1"/>
  <c r="L369" i="1"/>
  <c r="M369" i="1"/>
  <c r="N369" i="1"/>
  <c r="O369" i="1"/>
  <c r="P369" i="1"/>
  <c r="R369" i="1"/>
  <c r="S369" i="1"/>
  <c r="T369" i="1"/>
  <c r="U369" i="1"/>
  <c r="B368" i="1"/>
  <c r="C368" i="1"/>
  <c r="D368" i="1"/>
  <c r="E368" i="1"/>
  <c r="F368" i="1"/>
  <c r="G368" i="1"/>
  <c r="H368" i="1"/>
  <c r="I368" i="1"/>
  <c r="J368" i="1"/>
  <c r="K368" i="1"/>
  <c r="L368" i="1"/>
  <c r="M368" i="1"/>
  <c r="N368" i="1"/>
  <c r="O368" i="1"/>
  <c r="P368" i="1"/>
  <c r="R368" i="1"/>
  <c r="S368" i="1"/>
  <c r="T368" i="1"/>
  <c r="U368" i="1"/>
  <c r="B367" i="1"/>
  <c r="C367" i="1"/>
  <c r="D367" i="1"/>
  <c r="E367" i="1"/>
  <c r="F367" i="1"/>
  <c r="G367" i="1"/>
  <c r="H367" i="1"/>
  <c r="I367" i="1"/>
  <c r="J367" i="1"/>
  <c r="K367" i="1"/>
  <c r="L367" i="1"/>
  <c r="M367" i="1"/>
  <c r="N367" i="1"/>
  <c r="O367" i="1"/>
  <c r="P367" i="1"/>
  <c r="R367" i="1"/>
  <c r="S367" i="1"/>
  <c r="T367" i="1"/>
  <c r="U367" i="1"/>
  <c r="B366" i="1"/>
  <c r="C366" i="1"/>
  <c r="D366" i="1"/>
  <c r="E366" i="1"/>
  <c r="F366" i="1"/>
  <c r="G366" i="1"/>
  <c r="H366" i="1"/>
  <c r="I366" i="1"/>
  <c r="J366" i="1"/>
  <c r="K366" i="1"/>
  <c r="L366" i="1"/>
  <c r="M366" i="1"/>
  <c r="N366" i="1"/>
  <c r="O366" i="1"/>
  <c r="P366" i="1"/>
  <c r="R366" i="1"/>
  <c r="S366" i="1"/>
  <c r="T366" i="1"/>
  <c r="U366" i="1"/>
  <c r="B365" i="1"/>
  <c r="C365" i="1"/>
  <c r="D365" i="1"/>
  <c r="E365" i="1"/>
  <c r="F365" i="1"/>
  <c r="G365" i="1"/>
  <c r="H365" i="1"/>
  <c r="I365" i="1"/>
  <c r="J365" i="1"/>
  <c r="K365" i="1"/>
  <c r="L365" i="1"/>
  <c r="M365" i="1"/>
  <c r="N365" i="1"/>
  <c r="O365" i="1"/>
  <c r="P365" i="1"/>
  <c r="R365" i="1"/>
  <c r="S365" i="1"/>
  <c r="T365" i="1"/>
  <c r="U365" i="1"/>
  <c r="B364" i="1"/>
  <c r="C364" i="1"/>
  <c r="D364" i="1"/>
  <c r="E364" i="1"/>
  <c r="F364" i="1"/>
  <c r="G364" i="1"/>
  <c r="H364" i="1"/>
  <c r="I364" i="1"/>
  <c r="J364" i="1"/>
  <c r="K364" i="1"/>
  <c r="L364" i="1"/>
  <c r="M364" i="1"/>
  <c r="N364" i="1"/>
  <c r="O364" i="1"/>
  <c r="P364" i="1"/>
  <c r="R364" i="1"/>
  <c r="S364" i="1"/>
  <c r="T364" i="1"/>
  <c r="U364" i="1"/>
  <c r="B363" i="1"/>
  <c r="C363" i="1"/>
  <c r="D363" i="1"/>
  <c r="E363" i="1"/>
  <c r="F363" i="1"/>
  <c r="G363" i="1"/>
  <c r="H363" i="1"/>
  <c r="I363" i="1"/>
  <c r="J363" i="1"/>
  <c r="K363" i="1"/>
  <c r="L363" i="1"/>
  <c r="M363" i="1"/>
  <c r="N363" i="1"/>
  <c r="O363" i="1"/>
  <c r="P363" i="1"/>
  <c r="R363" i="1"/>
  <c r="S363" i="1"/>
  <c r="T363" i="1"/>
  <c r="U363" i="1"/>
  <c r="B362" i="1"/>
  <c r="C362" i="1"/>
  <c r="D362" i="1"/>
  <c r="E362" i="1"/>
  <c r="F362" i="1"/>
  <c r="G362" i="1"/>
  <c r="H362" i="1"/>
  <c r="I362" i="1"/>
  <c r="J362" i="1"/>
  <c r="K362" i="1"/>
  <c r="L362" i="1"/>
  <c r="M362" i="1"/>
  <c r="N362" i="1"/>
  <c r="O362" i="1"/>
  <c r="P362" i="1"/>
  <c r="R362" i="1"/>
  <c r="S362" i="1"/>
  <c r="T362" i="1"/>
  <c r="U362" i="1"/>
  <c r="B361" i="1"/>
  <c r="C361" i="1"/>
  <c r="D361" i="1"/>
  <c r="E361" i="1"/>
  <c r="F361" i="1"/>
  <c r="G361" i="1"/>
  <c r="H361" i="1"/>
  <c r="I361" i="1"/>
  <c r="J361" i="1"/>
  <c r="K361" i="1"/>
  <c r="L361" i="1"/>
  <c r="M361" i="1"/>
  <c r="N361" i="1"/>
  <c r="O361" i="1"/>
  <c r="P361" i="1"/>
  <c r="R361" i="1"/>
  <c r="S361" i="1"/>
  <c r="T361" i="1"/>
  <c r="U361" i="1"/>
  <c r="B360" i="1"/>
  <c r="C360" i="1"/>
  <c r="D360" i="1"/>
  <c r="E360" i="1"/>
  <c r="F360" i="1"/>
  <c r="G360" i="1"/>
  <c r="H360" i="1"/>
  <c r="I360" i="1"/>
  <c r="J360" i="1"/>
  <c r="K360" i="1"/>
  <c r="L360" i="1"/>
  <c r="M360" i="1"/>
  <c r="N360" i="1"/>
  <c r="O360" i="1"/>
  <c r="P360" i="1"/>
  <c r="R360" i="1"/>
  <c r="S360" i="1"/>
  <c r="T360" i="1"/>
  <c r="U360" i="1"/>
  <c r="B359" i="1"/>
  <c r="C359" i="1"/>
  <c r="D359" i="1"/>
  <c r="E359" i="1"/>
  <c r="F359" i="1"/>
  <c r="G359" i="1"/>
  <c r="H359" i="1"/>
  <c r="I359" i="1"/>
  <c r="J359" i="1"/>
  <c r="K359" i="1"/>
  <c r="L359" i="1"/>
  <c r="M359" i="1"/>
  <c r="N359" i="1"/>
  <c r="O359" i="1"/>
  <c r="P359" i="1"/>
  <c r="R359" i="1"/>
  <c r="S359" i="1"/>
  <c r="T359" i="1"/>
  <c r="U359" i="1"/>
  <c r="B358" i="1"/>
  <c r="C358" i="1"/>
  <c r="D358" i="1"/>
  <c r="E358" i="1"/>
  <c r="F358" i="1"/>
  <c r="G358" i="1"/>
  <c r="H358" i="1"/>
  <c r="I358" i="1"/>
  <c r="J358" i="1"/>
  <c r="K358" i="1"/>
  <c r="L358" i="1"/>
  <c r="M358" i="1"/>
  <c r="N358" i="1"/>
  <c r="O358" i="1"/>
  <c r="P358" i="1"/>
  <c r="R358" i="1"/>
  <c r="S358" i="1"/>
  <c r="T358" i="1"/>
  <c r="U358" i="1"/>
  <c r="B357" i="1"/>
  <c r="C357" i="1"/>
  <c r="D357" i="1"/>
  <c r="E357" i="1"/>
  <c r="F357" i="1"/>
  <c r="G357" i="1"/>
  <c r="H357" i="1"/>
  <c r="I357" i="1"/>
  <c r="J357" i="1"/>
  <c r="K357" i="1"/>
  <c r="L357" i="1"/>
  <c r="M357" i="1"/>
  <c r="N357" i="1"/>
  <c r="O357" i="1"/>
  <c r="P357" i="1"/>
  <c r="R357" i="1"/>
  <c r="S357" i="1"/>
  <c r="T357" i="1"/>
  <c r="U357" i="1"/>
  <c r="B356" i="1"/>
  <c r="C356" i="1"/>
  <c r="D356" i="1"/>
  <c r="E356" i="1"/>
  <c r="F356" i="1"/>
  <c r="G356" i="1"/>
  <c r="H356" i="1"/>
  <c r="I356" i="1"/>
  <c r="J356" i="1"/>
  <c r="K356" i="1"/>
  <c r="L356" i="1"/>
  <c r="M356" i="1"/>
  <c r="N356" i="1"/>
  <c r="O356" i="1"/>
  <c r="P356" i="1"/>
  <c r="R356" i="1"/>
  <c r="S356" i="1"/>
  <c r="T356" i="1"/>
  <c r="U356" i="1"/>
  <c r="B355" i="1"/>
  <c r="C355" i="1"/>
  <c r="D355" i="1"/>
  <c r="E355" i="1"/>
  <c r="F355" i="1"/>
  <c r="G355" i="1"/>
  <c r="H355" i="1"/>
  <c r="I355" i="1"/>
  <c r="J355" i="1"/>
  <c r="K355" i="1"/>
  <c r="L355" i="1"/>
  <c r="M355" i="1"/>
  <c r="N355" i="1"/>
  <c r="O355" i="1"/>
  <c r="P355" i="1"/>
  <c r="R355" i="1"/>
  <c r="S355" i="1"/>
  <c r="T355" i="1"/>
  <c r="U355" i="1"/>
  <c r="B354" i="1"/>
  <c r="C354" i="1"/>
  <c r="D354" i="1"/>
  <c r="E354" i="1"/>
  <c r="F354" i="1"/>
  <c r="G354" i="1"/>
  <c r="H354" i="1"/>
  <c r="I354" i="1"/>
  <c r="J354" i="1"/>
  <c r="K354" i="1"/>
  <c r="L354" i="1"/>
  <c r="M354" i="1"/>
  <c r="N354" i="1"/>
  <c r="O354" i="1"/>
  <c r="P354" i="1"/>
  <c r="R354" i="1"/>
  <c r="S354" i="1"/>
  <c r="T354" i="1"/>
  <c r="U354" i="1"/>
  <c r="B353" i="1"/>
  <c r="C353" i="1"/>
  <c r="D353" i="1"/>
  <c r="E353" i="1"/>
  <c r="F353" i="1"/>
  <c r="G353" i="1"/>
  <c r="H353" i="1"/>
  <c r="I353" i="1"/>
  <c r="J353" i="1"/>
  <c r="K353" i="1"/>
  <c r="L353" i="1"/>
  <c r="M353" i="1"/>
  <c r="N353" i="1"/>
  <c r="O353" i="1"/>
  <c r="P353" i="1"/>
  <c r="R353" i="1"/>
  <c r="S353" i="1"/>
  <c r="T353" i="1"/>
  <c r="U353" i="1"/>
  <c r="B352" i="1"/>
  <c r="C352" i="1"/>
  <c r="D352" i="1"/>
  <c r="E352" i="1"/>
  <c r="F352" i="1"/>
  <c r="G352" i="1"/>
  <c r="H352" i="1"/>
  <c r="I352" i="1"/>
  <c r="J352" i="1"/>
  <c r="K352" i="1"/>
  <c r="L352" i="1"/>
  <c r="M352" i="1"/>
  <c r="N352" i="1"/>
  <c r="O352" i="1"/>
  <c r="P352" i="1"/>
  <c r="R352" i="1"/>
  <c r="S352" i="1"/>
  <c r="T352" i="1"/>
  <c r="U352" i="1"/>
  <c r="B351" i="1"/>
  <c r="C351" i="1"/>
  <c r="D351" i="1"/>
  <c r="E351" i="1"/>
  <c r="F351" i="1"/>
  <c r="G351" i="1"/>
  <c r="H351" i="1"/>
  <c r="I351" i="1"/>
  <c r="J351" i="1"/>
  <c r="K351" i="1"/>
  <c r="L351" i="1"/>
  <c r="M351" i="1"/>
  <c r="N351" i="1"/>
  <c r="O351" i="1"/>
  <c r="P351" i="1"/>
  <c r="R351" i="1"/>
  <c r="S351" i="1"/>
  <c r="T351" i="1"/>
  <c r="U351" i="1"/>
  <c r="B350" i="1"/>
  <c r="C350" i="1"/>
  <c r="D350" i="1"/>
  <c r="E350" i="1"/>
  <c r="F350" i="1"/>
  <c r="G350" i="1"/>
  <c r="H350" i="1"/>
  <c r="I350" i="1"/>
  <c r="J350" i="1"/>
  <c r="K350" i="1"/>
  <c r="L350" i="1"/>
  <c r="M350" i="1"/>
  <c r="N350" i="1"/>
  <c r="O350" i="1"/>
  <c r="P350" i="1"/>
  <c r="R350" i="1"/>
  <c r="S350" i="1"/>
  <c r="T350" i="1"/>
  <c r="U350" i="1"/>
  <c r="B349" i="1"/>
  <c r="C349" i="1"/>
  <c r="D349" i="1"/>
  <c r="E349" i="1"/>
  <c r="F349" i="1"/>
  <c r="G349" i="1"/>
  <c r="H349" i="1"/>
  <c r="I349" i="1"/>
  <c r="J349" i="1"/>
  <c r="K349" i="1"/>
  <c r="L349" i="1"/>
  <c r="M349" i="1"/>
  <c r="N349" i="1"/>
  <c r="O349" i="1"/>
  <c r="P349" i="1"/>
  <c r="R349" i="1"/>
  <c r="S349" i="1"/>
  <c r="T349" i="1"/>
  <c r="U349" i="1"/>
  <c r="B348" i="1"/>
  <c r="C348" i="1"/>
  <c r="D348" i="1"/>
  <c r="E348" i="1"/>
  <c r="F348" i="1"/>
  <c r="G348" i="1"/>
  <c r="H348" i="1"/>
  <c r="I348" i="1"/>
  <c r="J348" i="1"/>
  <c r="K348" i="1"/>
  <c r="L348" i="1"/>
  <c r="M348" i="1"/>
  <c r="N348" i="1"/>
  <c r="O348" i="1"/>
  <c r="P348" i="1"/>
  <c r="R348" i="1"/>
  <c r="S348" i="1"/>
  <c r="T348" i="1"/>
  <c r="U348" i="1"/>
  <c r="B347" i="1"/>
  <c r="C347" i="1"/>
  <c r="D347" i="1"/>
  <c r="E347" i="1"/>
  <c r="F347" i="1"/>
  <c r="G347" i="1"/>
  <c r="H347" i="1"/>
  <c r="I347" i="1"/>
  <c r="J347" i="1"/>
  <c r="K347" i="1"/>
  <c r="L347" i="1"/>
  <c r="M347" i="1"/>
  <c r="N347" i="1"/>
  <c r="O347" i="1"/>
  <c r="P347" i="1"/>
  <c r="R347" i="1"/>
  <c r="S347" i="1"/>
  <c r="T347" i="1"/>
  <c r="U347" i="1"/>
  <c r="B346" i="1"/>
  <c r="C346" i="1"/>
  <c r="D346" i="1"/>
  <c r="E346" i="1"/>
  <c r="F346" i="1"/>
  <c r="G346" i="1"/>
  <c r="H346" i="1"/>
  <c r="I346" i="1"/>
  <c r="J346" i="1"/>
  <c r="K346" i="1"/>
  <c r="L346" i="1"/>
  <c r="M346" i="1"/>
  <c r="N346" i="1"/>
  <c r="O346" i="1"/>
  <c r="P346" i="1"/>
  <c r="R346" i="1"/>
  <c r="S346" i="1"/>
  <c r="T346" i="1"/>
  <c r="U346" i="1"/>
  <c r="B345" i="1"/>
  <c r="C345" i="1"/>
  <c r="D345" i="1"/>
  <c r="E345" i="1"/>
  <c r="F345" i="1"/>
  <c r="G345" i="1"/>
  <c r="H345" i="1"/>
  <c r="I345" i="1"/>
  <c r="J345" i="1"/>
  <c r="K345" i="1"/>
  <c r="L345" i="1"/>
  <c r="M345" i="1"/>
  <c r="N345" i="1"/>
  <c r="O345" i="1"/>
  <c r="P345" i="1"/>
  <c r="R345" i="1"/>
  <c r="S345" i="1"/>
  <c r="T345" i="1"/>
  <c r="U345" i="1"/>
  <c r="B344" i="1"/>
  <c r="C344" i="1"/>
  <c r="D344" i="1"/>
  <c r="E344" i="1"/>
  <c r="F344" i="1"/>
  <c r="G344" i="1"/>
  <c r="H344" i="1"/>
  <c r="I344" i="1"/>
  <c r="J344" i="1"/>
  <c r="K344" i="1"/>
  <c r="L344" i="1"/>
  <c r="M344" i="1"/>
  <c r="N344" i="1"/>
  <c r="O344" i="1"/>
  <c r="P344" i="1"/>
  <c r="R344" i="1"/>
  <c r="S344" i="1"/>
  <c r="T344" i="1"/>
  <c r="U344" i="1"/>
  <c r="B343" i="1"/>
  <c r="C343" i="1"/>
  <c r="D343" i="1"/>
  <c r="E343" i="1"/>
  <c r="F343" i="1"/>
  <c r="G343" i="1"/>
  <c r="H343" i="1"/>
  <c r="I343" i="1"/>
  <c r="J343" i="1"/>
  <c r="K343" i="1"/>
  <c r="L343" i="1"/>
  <c r="M343" i="1"/>
  <c r="N343" i="1"/>
  <c r="O343" i="1"/>
  <c r="P343" i="1"/>
  <c r="R343" i="1"/>
  <c r="S343" i="1"/>
  <c r="T343" i="1"/>
  <c r="U343" i="1"/>
  <c r="B342" i="1"/>
  <c r="C342" i="1"/>
  <c r="D342" i="1"/>
  <c r="E342" i="1"/>
  <c r="F342" i="1"/>
  <c r="G342" i="1"/>
  <c r="H342" i="1"/>
  <c r="I342" i="1"/>
  <c r="J342" i="1"/>
  <c r="K342" i="1"/>
  <c r="L342" i="1"/>
  <c r="M342" i="1"/>
  <c r="N342" i="1"/>
  <c r="O342" i="1"/>
  <c r="P342" i="1"/>
  <c r="R342" i="1"/>
  <c r="S342" i="1"/>
  <c r="T342" i="1"/>
  <c r="U342" i="1"/>
  <c r="B341" i="1"/>
  <c r="C341" i="1"/>
  <c r="D341" i="1"/>
  <c r="E341" i="1"/>
  <c r="F341" i="1"/>
  <c r="G341" i="1"/>
  <c r="H341" i="1"/>
  <c r="I341" i="1"/>
  <c r="J341" i="1"/>
  <c r="K341" i="1"/>
  <c r="L341" i="1"/>
  <c r="M341" i="1"/>
  <c r="N341" i="1"/>
  <c r="O341" i="1"/>
  <c r="P341" i="1"/>
  <c r="R341" i="1"/>
  <c r="S341" i="1"/>
  <c r="T341" i="1"/>
  <c r="U341" i="1"/>
  <c r="B340" i="1"/>
  <c r="C340" i="1"/>
  <c r="D340" i="1"/>
  <c r="E340" i="1"/>
  <c r="F340" i="1"/>
  <c r="G340" i="1"/>
  <c r="H340" i="1"/>
  <c r="I340" i="1"/>
  <c r="J340" i="1"/>
  <c r="K340" i="1"/>
  <c r="L340" i="1"/>
  <c r="M340" i="1"/>
  <c r="N340" i="1"/>
  <c r="O340" i="1"/>
  <c r="P340" i="1"/>
  <c r="R340" i="1"/>
  <c r="S340" i="1"/>
  <c r="T340" i="1"/>
  <c r="U340" i="1"/>
  <c r="B339" i="1"/>
  <c r="C339" i="1"/>
  <c r="D339" i="1"/>
  <c r="E339" i="1"/>
  <c r="F339" i="1"/>
  <c r="G339" i="1"/>
  <c r="H339" i="1"/>
  <c r="I339" i="1"/>
  <c r="J339" i="1"/>
  <c r="K339" i="1"/>
  <c r="L339" i="1"/>
  <c r="M339" i="1"/>
  <c r="N339" i="1"/>
  <c r="O339" i="1"/>
  <c r="P339" i="1"/>
  <c r="R339" i="1"/>
  <c r="S339" i="1"/>
  <c r="T339" i="1"/>
  <c r="U339" i="1"/>
  <c r="B338" i="1"/>
  <c r="C338" i="1"/>
  <c r="D338" i="1"/>
  <c r="E338" i="1"/>
  <c r="F338" i="1"/>
  <c r="G338" i="1"/>
  <c r="H338" i="1"/>
  <c r="I338" i="1"/>
  <c r="J338" i="1"/>
  <c r="K338" i="1"/>
  <c r="L338" i="1"/>
  <c r="M338" i="1"/>
  <c r="N338" i="1"/>
  <c r="O338" i="1"/>
  <c r="P338" i="1"/>
  <c r="R338" i="1"/>
  <c r="S338" i="1"/>
  <c r="T338" i="1"/>
  <c r="U338" i="1"/>
  <c r="B337" i="1"/>
  <c r="C337" i="1"/>
  <c r="D337" i="1"/>
  <c r="E337" i="1"/>
  <c r="F337" i="1"/>
  <c r="G337" i="1"/>
  <c r="H337" i="1"/>
  <c r="I337" i="1"/>
  <c r="J337" i="1"/>
  <c r="K337" i="1"/>
  <c r="L337" i="1"/>
  <c r="M337" i="1"/>
  <c r="N337" i="1"/>
  <c r="O337" i="1"/>
  <c r="P337" i="1"/>
  <c r="R337" i="1"/>
  <c r="S337" i="1"/>
  <c r="T337" i="1"/>
  <c r="U337" i="1"/>
  <c r="B336" i="1"/>
  <c r="C336" i="1"/>
  <c r="D336" i="1"/>
  <c r="E336" i="1"/>
  <c r="F336" i="1"/>
  <c r="G336" i="1"/>
  <c r="H336" i="1"/>
  <c r="I336" i="1"/>
  <c r="J336" i="1"/>
  <c r="K336" i="1"/>
  <c r="L336" i="1"/>
  <c r="M336" i="1"/>
  <c r="N336" i="1"/>
  <c r="O336" i="1"/>
  <c r="P336" i="1"/>
  <c r="R336" i="1"/>
  <c r="S336" i="1"/>
  <c r="T336" i="1"/>
  <c r="U336" i="1"/>
  <c r="B335" i="1"/>
  <c r="C335" i="1"/>
  <c r="D335" i="1"/>
  <c r="E335" i="1"/>
  <c r="F335" i="1"/>
  <c r="G335" i="1"/>
  <c r="H335" i="1"/>
  <c r="I335" i="1"/>
  <c r="J335" i="1"/>
  <c r="K335" i="1"/>
  <c r="L335" i="1"/>
  <c r="M335" i="1"/>
  <c r="N335" i="1"/>
  <c r="O335" i="1"/>
  <c r="P335" i="1"/>
  <c r="R335" i="1"/>
  <c r="S335" i="1"/>
  <c r="T335" i="1"/>
  <c r="U335" i="1"/>
  <c r="B334" i="1"/>
  <c r="C334" i="1"/>
  <c r="D334" i="1"/>
  <c r="E334" i="1"/>
  <c r="F334" i="1"/>
  <c r="G334" i="1"/>
  <c r="H334" i="1"/>
  <c r="I334" i="1"/>
  <c r="J334" i="1"/>
  <c r="K334" i="1"/>
  <c r="L334" i="1"/>
  <c r="M334" i="1"/>
  <c r="N334" i="1"/>
  <c r="O334" i="1"/>
  <c r="P334" i="1"/>
  <c r="R334" i="1"/>
  <c r="S334" i="1"/>
  <c r="T334" i="1"/>
  <c r="U334" i="1"/>
  <c r="B333" i="1"/>
  <c r="C333" i="1"/>
  <c r="D333" i="1"/>
  <c r="E333" i="1"/>
  <c r="F333" i="1"/>
  <c r="G333" i="1"/>
  <c r="H333" i="1"/>
  <c r="I333" i="1"/>
  <c r="J333" i="1"/>
  <c r="K333" i="1"/>
  <c r="L333" i="1"/>
  <c r="M333" i="1"/>
  <c r="N333" i="1"/>
  <c r="O333" i="1"/>
  <c r="P333" i="1"/>
  <c r="R333" i="1"/>
  <c r="S333" i="1"/>
  <c r="T333" i="1"/>
  <c r="U333" i="1"/>
  <c r="B332" i="1"/>
  <c r="C332" i="1"/>
  <c r="D332" i="1"/>
  <c r="E332" i="1"/>
  <c r="F332" i="1"/>
  <c r="G332" i="1"/>
  <c r="H332" i="1"/>
  <c r="I332" i="1"/>
  <c r="J332" i="1"/>
  <c r="K332" i="1"/>
  <c r="L332" i="1"/>
  <c r="M332" i="1"/>
  <c r="N332" i="1"/>
  <c r="O332" i="1"/>
  <c r="P332" i="1"/>
  <c r="R332" i="1"/>
  <c r="S332" i="1"/>
  <c r="T332" i="1"/>
  <c r="U332" i="1"/>
  <c r="B331" i="1"/>
  <c r="C331" i="1"/>
  <c r="D331" i="1"/>
  <c r="E331" i="1"/>
  <c r="F331" i="1"/>
  <c r="G331" i="1"/>
  <c r="H331" i="1"/>
  <c r="I331" i="1"/>
  <c r="J331" i="1"/>
  <c r="K331" i="1"/>
  <c r="L331" i="1"/>
  <c r="M331" i="1"/>
  <c r="N331" i="1"/>
  <c r="O331" i="1"/>
  <c r="P331" i="1"/>
  <c r="R331" i="1"/>
  <c r="S331" i="1"/>
  <c r="T331" i="1"/>
  <c r="U331" i="1"/>
  <c r="B330" i="1"/>
  <c r="C330" i="1"/>
  <c r="D330" i="1"/>
  <c r="E330" i="1"/>
  <c r="F330" i="1"/>
  <c r="G330" i="1"/>
  <c r="H330" i="1"/>
  <c r="I330" i="1"/>
  <c r="J330" i="1"/>
  <c r="K330" i="1"/>
  <c r="L330" i="1"/>
  <c r="M330" i="1"/>
  <c r="N330" i="1"/>
  <c r="O330" i="1"/>
  <c r="P330" i="1"/>
  <c r="R330" i="1"/>
  <c r="S330" i="1"/>
  <c r="T330" i="1"/>
  <c r="U330" i="1"/>
  <c r="B329" i="1"/>
  <c r="C329" i="1"/>
  <c r="D329" i="1"/>
  <c r="E329" i="1"/>
  <c r="F329" i="1"/>
  <c r="G329" i="1"/>
  <c r="H329" i="1"/>
  <c r="I329" i="1"/>
  <c r="J329" i="1"/>
  <c r="K329" i="1"/>
  <c r="L329" i="1"/>
  <c r="M329" i="1"/>
  <c r="N329" i="1"/>
  <c r="O329" i="1"/>
  <c r="P329" i="1"/>
  <c r="R329" i="1"/>
  <c r="S329" i="1"/>
  <c r="T329" i="1"/>
  <c r="U329" i="1"/>
  <c r="B328" i="1"/>
  <c r="C328" i="1"/>
  <c r="D328" i="1"/>
  <c r="E328" i="1"/>
  <c r="F328" i="1"/>
  <c r="G328" i="1"/>
  <c r="H328" i="1"/>
  <c r="I328" i="1"/>
  <c r="J328" i="1"/>
  <c r="K328" i="1"/>
  <c r="L328" i="1"/>
  <c r="M328" i="1"/>
  <c r="N328" i="1"/>
  <c r="O328" i="1"/>
  <c r="P328" i="1"/>
  <c r="R328" i="1"/>
  <c r="S328" i="1"/>
  <c r="T328" i="1"/>
  <c r="U328" i="1"/>
  <c r="B327" i="1"/>
  <c r="C327" i="1"/>
  <c r="D327" i="1"/>
  <c r="E327" i="1"/>
  <c r="F327" i="1"/>
  <c r="G327" i="1"/>
  <c r="H327" i="1"/>
  <c r="I327" i="1"/>
  <c r="J327" i="1"/>
  <c r="K327" i="1"/>
  <c r="L327" i="1"/>
  <c r="M327" i="1"/>
  <c r="N327" i="1"/>
  <c r="O327" i="1"/>
  <c r="P327" i="1"/>
  <c r="R327" i="1"/>
  <c r="S327" i="1"/>
  <c r="T327" i="1"/>
  <c r="U327" i="1"/>
  <c r="B326" i="1"/>
  <c r="C326" i="1"/>
  <c r="D326" i="1"/>
  <c r="E326" i="1"/>
  <c r="F326" i="1"/>
  <c r="G326" i="1"/>
  <c r="H326" i="1"/>
  <c r="I326" i="1"/>
  <c r="J326" i="1"/>
  <c r="K326" i="1"/>
  <c r="L326" i="1"/>
  <c r="M326" i="1"/>
  <c r="N326" i="1"/>
  <c r="O326" i="1"/>
  <c r="P326" i="1"/>
  <c r="R326" i="1"/>
  <c r="S326" i="1"/>
  <c r="T326" i="1"/>
  <c r="U326" i="1"/>
  <c r="B325" i="1"/>
  <c r="C325" i="1"/>
  <c r="D325" i="1"/>
  <c r="E325" i="1"/>
  <c r="F325" i="1"/>
  <c r="G325" i="1"/>
  <c r="H325" i="1"/>
  <c r="I325" i="1"/>
  <c r="J325" i="1"/>
  <c r="K325" i="1"/>
  <c r="L325" i="1"/>
  <c r="M325" i="1"/>
  <c r="N325" i="1"/>
  <c r="O325" i="1"/>
  <c r="P325" i="1"/>
  <c r="R325" i="1"/>
  <c r="S325" i="1"/>
  <c r="T325" i="1"/>
  <c r="U325" i="1"/>
  <c r="B324" i="1"/>
  <c r="C324" i="1"/>
  <c r="D324" i="1"/>
  <c r="E324" i="1"/>
  <c r="F324" i="1"/>
  <c r="G324" i="1"/>
  <c r="H324" i="1"/>
  <c r="I324" i="1"/>
  <c r="J324" i="1"/>
  <c r="K324" i="1"/>
  <c r="L324" i="1"/>
  <c r="M324" i="1"/>
  <c r="N324" i="1"/>
  <c r="O324" i="1"/>
  <c r="P324" i="1"/>
  <c r="R324" i="1"/>
  <c r="S324" i="1"/>
  <c r="T324" i="1"/>
  <c r="U324" i="1"/>
  <c r="B323" i="1"/>
  <c r="C323" i="1"/>
  <c r="D323" i="1"/>
  <c r="E323" i="1"/>
  <c r="F323" i="1"/>
  <c r="G323" i="1"/>
  <c r="H323" i="1"/>
  <c r="I323" i="1"/>
  <c r="J323" i="1"/>
  <c r="K323" i="1"/>
  <c r="L323" i="1"/>
  <c r="M323" i="1"/>
  <c r="N323" i="1"/>
  <c r="O323" i="1"/>
  <c r="P323" i="1"/>
  <c r="R323" i="1"/>
  <c r="S323" i="1"/>
  <c r="T323" i="1"/>
  <c r="U323" i="1"/>
  <c r="B322" i="1"/>
  <c r="C322" i="1"/>
  <c r="D322" i="1"/>
  <c r="E322" i="1"/>
  <c r="F322" i="1"/>
  <c r="G322" i="1"/>
  <c r="H322" i="1"/>
  <c r="I322" i="1"/>
  <c r="J322" i="1"/>
  <c r="K322" i="1"/>
  <c r="L322" i="1"/>
  <c r="M322" i="1"/>
  <c r="N322" i="1"/>
  <c r="O322" i="1"/>
  <c r="P322" i="1"/>
  <c r="R322" i="1"/>
  <c r="S322" i="1"/>
  <c r="T322" i="1"/>
  <c r="U322" i="1"/>
  <c r="B321" i="1"/>
  <c r="C321" i="1"/>
  <c r="D321" i="1"/>
  <c r="E321" i="1"/>
  <c r="F321" i="1"/>
  <c r="G321" i="1"/>
  <c r="H321" i="1"/>
  <c r="I321" i="1"/>
  <c r="J321" i="1"/>
  <c r="K321" i="1"/>
  <c r="L321" i="1"/>
  <c r="M321" i="1"/>
  <c r="N321" i="1"/>
  <c r="O321" i="1"/>
  <c r="P321" i="1"/>
  <c r="R321" i="1"/>
  <c r="S321" i="1"/>
  <c r="T321" i="1"/>
  <c r="U321" i="1"/>
  <c r="B320" i="1"/>
  <c r="C320" i="1"/>
  <c r="D320" i="1"/>
  <c r="E320" i="1"/>
  <c r="F320" i="1"/>
  <c r="G320" i="1"/>
  <c r="H320" i="1"/>
  <c r="I320" i="1"/>
  <c r="J320" i="1"/>
  <c r="K320" i="1"/>
  <c r="L320" i="1"/>
  <c r="M320" i="1"/>
  <c r="N320" i="1"/>
  <c r="O320" i="1"/>
  <c r="P320" i="1"/>
  <c r="R320" i="1"/>
  <c r="S320" i="1"/>
  <c r="T320" i="1"/>
  <c r="U320" i="1"/>
  <c r="B319" i="1"/>
  <c r="C319" i="1"/>
  <c r="D319" i="1"/>
  <c r="E319" i="1"/>
  <c r="F319" i="1"/>
  <c r="G319" i="1"/>
  <c r="H319" i="1"/>
  <c r="I319" i="1"/>
  <c r="J319" i="1"/>
  <c r="K319" i="1"/>
  <c r="L319" i="1"/>
  <c r="M319" i="1"/>
  <c r="N319" i="1"/>
  <c r="O319" i="1"/>
  <c r="P319" i="1"/>
  <c r="R319" i="1"/>
  <c r="S319" i="1"/>
  <c r="T319" i="1"/>
  <c r="U319" i="1"/>
  <c r="B318" i="1"/>
  <c r="C318" i="1"/>
  <c r="D318" i="1"/>
  <c r="E318" i="1"/>
  <c r="F318" i="1"/>
  <c r="G318" i="1"/>
  <c r="H318" i="1"/>
  <c r="I318" i="1"/>
  <c r="J318" i="1"/>
  <c r="K318" i="1"/>
  <c r="L318" i="1"/>
  <c r="M318" i="1"/>
  <c r="N318" i="1"/>
  <c r="O318" i="1"/>
  <c r="P318" i="1"/>
  <c r="R318" i="1"/>
  <c r="S318" i="1"/>
  <c r="T318" i="1"/>
  <c r="U318" i="1"/>
  <c r="B317" i="1"/>
  <c r="C317" i="1"/>
  <c r="D317" i="1"/>
  <c r="E317" i="1"/>
  <c r="F317" i="1"/>
  <c r="G317" i="1"/>
  <c r="H317" i="1"/>
  <c r="I317" i="1"/>
  <c r="J317" i="1"/>
  <c r="K317" i="1"/>
  <c r="L317" i="1"/>
  <c r="M317" i="1"/>
  <c r="N317" i="1"/>
  <c r="O317" i="1"/>
  <c r="P317" i="1"/>
  <c r="R317" i="1"/>
  <c r="S317" i="1"/>
  <c r="T317" i="1"/>
  <c r="U317" i="1"/>
  <c r="B316" i="1"/>
  <c r="C316" i="1"/>
  <c r="D316" i="1"/>
  <c r="E316" i="1"/>
  <c r="F316" i="1"/>
  <c r="G316" i="1"/>
  <c r="H316" i="1"/>
  <c r="I316" i="1"/>
  <c r="J316" i="1"/>
  <c r="K316" i="1"/>
  <c r="L316" i="1"/>
  <c r="M316" i="1"/>
  <c r="N316" i="1"/>
  <c r="O316" i="1"/>
  <c r="P316" i="1"/>
  <c r="R316" i="1"/>
  <c r="S316" i="1"/>
  <c r="T316" i="1"/>
  <c r="U316" i="1"/>
  <c r="B315" i="1"/>
  <c r="C315" i="1"/>
  <c r="D315" i="1"/>
  <c r="E315" i="1"/>
  <c r="F315" i="1"/>
  <c r="G315" i="1"/>
  <c r="H315" i="1"/>
  <c r="I315" i="1"/>
  <c r="J315" i="1"/>
  <c r="K315" i="1"/>
  <c r="L315" i="1"/>
  <c r="M315" i="1"/>
  <c r="N315" i="1"/>
  <c r="O315" i="1"/>
  <c r="P315" i="1"/>
  <c r="R315" i="1"/>
  <c r="S315" i="1"/>
  <c r="T315" i="1"/>
  <c r="U315" i="1"/>
  <c r="B314" i="1"/>
  <c r="C314" i="1"/>
  <c r="D314" i="1"/>
  <c r="E314" i="1"/>
  <c r="F314" i="1"/>
  <c r="G314" i="1"/>
  <c r="H314" i="1"/>
  <c r="I314" i="1"/>
  <c r="J314" i="1"/>
  <c r="K314" i="1"/>
  <c r="L314" i="1"/>
  <c r="M314" i="1"/>
  <c r="N314" i="1"/>
  <c r="O314" i="1"/>
  <c r="P314" i="1"/>
  <c r="R314" i="1"/>
  <c r="S314" i="1"/>
  <c r="T314" i="1"/>
  <c r="U314" i="1"/>
  <c r="B313" i="1"/>
  <c r="C313" i="1"/>
  <c r="D313" i="1"/>
  <c r="E313" i="1"/>
  <c r="F313" i="1"/>
  <c r="G313" i="1"/>
  <c r="H313" i="1"/>
  <c r="I313" i="1"/>
  <c r="J313" i="1"/>
  <c r="K313" i="1"/>
  <c r="L313" i="1"/>
  <c r="M313" i="1"/>
  <c r="N313" i="1"/>
  <c r="O313" i="1"/>
  <c r="P313" i="1"/>
  <c r="R313" i="1"/>
  <c r="S313" i="1"/>
  <c r="T313" i="1"/>
  <c r="U313" i="1"/>
  <c r="B312" i="1"/>
  <c r="C312" i="1"/>
  <c r="D312" i="1"/>
  <c r="E312" i="1"/>
  <c r="F312" i="1"/>
  <c r="G312" i="1"/>
  <c r="H312" i="1"/>
  <c r="I312" i="1"/>
  <c r="J312" i="1"/>
  <c r="K312" i="1"/>
  <c r="L312" i="1"/>
  <c r="M312" i="1"/>
  <c r="N312" i="1"/>
  <c r="O312" i="1"/>
  <c r="P312" i="1"/>
  <c r="R312" i="1"/>
  <c r="S312" i="1"/>
  <c r="T312" i="1"/>
  <c r="U312" i="1"/>
  <c r="B311" i="1"/>
  <c r="C311" i="1"/>
  <c r="D311" i="1"/>
  <c r="E311" i="1"/>
  <c r="F311" i="1"/>
  <c r="G311" i="1"/>
  <c r="H311" i="1"/>
  <c r="I311" i="1"/>
  <c r="J311" i="1"/>
  <c r="K311" i="1"/>
  <c r="L311" i="1"/>
  <c r="M311" i="1"/>
  <c r="N311" i="1"/>
  <c r="O311" i="1"/>
  <c r="P311" i="1"/>
  <c r="R311" i="1"/>
  <c r="S311" i="1"/>
  <c r="T311" i="1"/>
  <c r="U311" i="1"/>
  <c r="B310" i="1"/>
  <c r="C310" i="1"/>
  <c r="D310" i="1"/>
  <c r="E310" i="1"/>
  <c r="F310" i="1"/>
  <c r="G310" i="1"/>
  <c r="H310" i="1"/>
  <c r="I310" i="1"/>
  <c r="J310" i="1"/>
  <c r="K310" i="1"/>
  <c r="L310" i="1"/>
  <c r="M310" i="1"/>
  <c r="N310" i="1"/>
  <c r="O310" i="1"/>
  <c r="P310" i="1"/>
  <c r="R310" i="1"/>
  <c r="S310" i="1"/>
  <c r="T310" i="1"/>
  <c r="U310" i="1"/>
  <c r="B309" i="1"/>
  <c r="C309" i="1"/>
  <c r="D309" i="1"/>
  <c r="E309" i="1"/>
  <c r="F309" i="1"/>
  <c r="G309" i="1"/>
  <c r="H309" i="1"/>
  <c r="I309" i="1"/>
  <c r="J309" i="1"/>
  <c r="K309" i="1"/>
  <c r="L309" i="1"/>
  <c r="M309" i="1"/>
  <c r="N309" i="1"/>
  <c r="O309" i="1"/>
  <c r="P309" i="1"/>
  <c r="R309" i="1"/>
  <c r="S309" i="1"/>
  <c r="T309" i="1"/>
  <c r="U309" i="1"/>
  <c r="B308" i="1"/>
  <c r="C308" i="1"/>
  <c r="D308" i="1"/>
  <c r="E308" i="1"/>
  <c r="F308" i="1"/>
  <c r="G308" i="1"/>
  <c r="H308" i="1"/>
  <c r="I308" i="1"/>
  <c r="J308" i="1"/>
  <c r="K308" i="1"/>
  <c r="L308" i="1"/>
  <c r="M308" i="1"/>
  <c r="N308" i="1"/>
  <c r="O308" i="1"/>
  <c r="P308" i="1"/>
  <c r="R308" i="1"/>
  <c r="S308" i="1"/>
  <c r="T308" i="1"/>
  <c r="U308" i="1"/>
  <c r="B307" i="1"/>
  <c r="C307" i="1"/>
  <c r="D307" i="1"/>
  <c r="E307" i="1"/>
  <c r="F307" i="1"/>
  <c r="G307" i="1"/>
  <c r="H307" i="1"/>
  <c r="I307" i="1"/>
  <c r="J307" i="1"/>
  <c r="K307" i="1"/>
  <c r="L307" i="1"/>
  <c r="M307" i="1"/>
  <c r="N307" i="1"/>
  <c r="O307" i="1"/>
  <c r="P307" i="1"/>
  <c r="R307" i="1"/>
  <c r="S307" i="1"/>
  <c r="T307" i="1"/>
  <c r="U307" i="1"/>
  <c r="B306" i="1"/>
  <c r="C306" i="1"/>
  <c r="D306" i="1"/>
  <c r="E306" i="1"/>
  <c r="F306" i="1"/>
  <c r="G306" i="1"/>
  <c r="H306" i="1"/>
  <c r="I306" i="1"/>
  <c r="J306" i="1"/>
  <c r="K306" i="1"/>
  <c r="L306" i="1"/>
  <c r="M306" i="1"/>
  <c r="N306" i="1"/>
  <c r="O306" i="1"/>
  <c r="P306" i="1"/>
  <c r="R306" i="1"/>
  <c r="S306" i="1"/>
  <c r="T306" i="1"/>
  <c r="U306" i="1"/>
  <c r="B305" i="1"/>
  <c r="C305" i="1"/>
  <c r="D305" i="1"/>
  <c r="E305" i="1"/>
  <c r="F305" i="1"/>
  <c r="G305" i="1"/>
  <c r="H305" i="1"/>
  <c r="I305" i="1"/>
  <c r="J305" i="1"/>
  <c r="K305" i="1"/>
  <c r="L305" i="1"/>
  <c r="M305" i="1"/>
  <c r="N305" i="1"/>
  <c r="O305" i="1"/>
  <c r="P305" i="1"/>
  <c r="R305" i="1"/>
  <c r="S305" i="1"/>
  <c r="T305" i="1"/>
  <c r="U305" i="1"/>
  <c r="B304" i="1"/>
  <c r="C304" i="1"/>
  <c r="D304" i="1"/>
  <c r="E304" i="1"/>
  <c r="F304" i="1"/>
  <c r="G304" i="1"/>
  <c r="H304" i="1"/>
  <c r="I304" i="1"/>
  <c r="J304" i="1"/>
  <c r="K304" i="1"/>
  <c r="L304" i="1"/>
  <c r="M304" i="1"/>
  <c r="N304" i="1"/>
  <c r="O304" i="1"/>
  <c r="P304" i="1"/>
  <c r="R304" i="1"/>
  <c r="S304" i="1"/>
  <c r="T304" i="1"/>
  <c r="U304" i="1"/>
  <c r="B303" i="1"/>
  <c r="C303" i="1"/>
  <c r="D303" i="1"/>
  <c r="E303" i="1"/>
  <c r="F303" i="1"/>
  <c r="G303" i="1"/>
  <c r="H303" i="1"/>
  <c r="I303" i="1"/>
  <c r="J303" i="1"/>
  <c r="K303" i="1"/>
  <c r="L303" i="1"/>
  <c r="M303" i="1"/>
  <c r="N303" i="1"/>
  <c r="O303" i="1"/>
  <c r="P303" i="1"/>
  <c r="R303" i="1"/>
  <c r="S303" i="1"/>
  <c r="T303" i="1"/>
  <c r="U303" i="1"/>
  <c r="B302" i="1"/>
  <c r="C302" i="1"/>
  <c r="D302" i="1"/>
  <c r="E302" i="1"/>
  <c r="F302" i="1"/>
  <c r="G302" i="1"/>
  <c r="H302" i="1"/>
  <c r="I302" i="1"/>
  <c r="J302" i="1"/>
  <c r="K302" i="1"/>
  <c r="L302" i="1"/>
  <c r="M302" i="1"/>
  <c r="N302" i="1"/>
  <c r="O302" i="1"/>
  <c r="P302" i="1"/>
  <c r="R302" i="1"/>
  <c r="S302" i="1"/>
  <c r="T302" i="1"/>
  <c r="U302" i="1"/>
  <c r="B301" i="1"/>
  <c r="C301" i="1"/>
  <c r="D301" i="1"/>
  <c r="E301" i="1"/>
  <c r="F301" i="1"/>
  <c r="G301" i="1"/>
  <c r="H301" i="1"/>
  <c r="I301" i="1"/>
  <c r="J301" i="1"/>
  <c r="K301" i="1"/>
  <c r="L301" i="1"/>
  <c r="M301" i="1"/>
  <c r="N301" i="1"/>
  <c r="O301" i="1"/>
  <c r="P301" i="1"/>
  <c r="R301" i="1"/>
  <c r="S301" i="1"/>
  <c r="T301" i="1"/>
  <c r="U301" i="1"/>
  <c r="B300" i="1"/>
  <c r="C300" i="1"/>
  <c r="D300" i="1"/>
  <c r="E300" i="1"/>
  <c r="F300" i="1"/>
  <c r="G300" i="1"/>
  <c r="H300" i="1"/>
  <c r="I300" i="1"/>
  <c r="J300" i="1"/>
  <c r="K300" i="1"/>
  <c r="L300" i="1"/>
  <c r="M300" i="1"/>
  <c r="N300" i="1"/>
  <c r="O300" i="1"/>
  <c r="P300" i="1"/>
  <c r="R300" i="1"/>
  <c r="S300" i="1"/>
  <c r="T300" i="1"/>
  <c r="U300" i="1"/>
  <c r="B299" i="1"/>
  <c r="C299" i="1"/>
  <c r="D299" i="1"/>
  <c r="E299" i="1"/>
  <c r="F299" i="1"/>
  <c r="G299" i="1"/>
  <c r="H299" i="1"/>
  <c r="I299" i="1"/>
  <c r="J299" i="1"/>
  <c r="K299" i="1"/>
  <c r="L299" i="1"/>
  <c r="M299" i="1"/>
  <c r="N299" i="1"/>
  <c r="O299" i="1"/>
  <c r="P299" i="1"/>
  <c r="R299" i="1"/>
  <c r="S299" i="1"/>
  <c r="T299" i="1"/>
  <c r="U299" i="1"/>
  <c r="B298" i="1"/>
  <c r="C298" i="1"/>
  <c r="D298" i="1"/>
  <c r="E298" i="1"/>
  <c r="F298" i="1"/>
  <c r="G298" i="1"/>
  <c r="H298" i="1"/>
  <c r="I298" i="1"/>
  <c r="J298" i="1"/>
  <c r="K298" i="1"/>
  <c r="L298" i="1"/>
  <c r="M298" i="1"/>
  <c r="N298" i="1"/>
  <c r="O298" i="1"/>
  <c r="P298" i="1"/>
  <c r="R298" i="1"/>
  <c r="S298" i="1"/>
  <c r="T298" i="1"/>
  <c r="U298" i="1"/>
  <c r="B297" i="1"/>
  <c r="C297" i="1"/>
  <c r="D297" i="1"/>
  <c r="E297" i="1"/>
  <c r="F297" i="1"/>
  <c r="G297" i="1"/>
  <c r="H297" i="1"/>
  <c r="I297" i="1"/>
  <c r="J297" i="1"/>
  <c r="K297" i="1"/>
  <c r="L297" i="1"/>
  <c r="M297" i="1"/>
  <c r="N297" i="1"/>
  <c r="O297" i="1"/>
  <c r="P297" i="1"/>
  <c r="R297" i="1"/>
  <c r="S297" i="1"/>
  <c r="T297" i="1"/>
  <c r="U297" i="1"/>
  <c r="B296" i="1"/>
  <c r="C296" i="1"/>
  <c r="D296" i="1"/>
  <c r="E296" i="1"/>
  <c r="F296" i="1"/>
  <c r="G296" i="1"/>
  <c r="H296" i="1"/>
  <c r="I296" i="1"/>
  <c r="J296" i="1"/>
  <c r="K296" i="1"/>
  <c r="L296" i="1"/>
  <c r="M296" i="1"/>
  <c r="N296" i="1"/>
  <c r="O296" i="1"/>
  <c r="P296" i="1"/>
  <c r="R296" i="1"/>
  <c r="S296" i="1"/>
  <c r="T296" i="1"/>
  <c r="U296" i="1"/>
  <c r="B295" i="1"/>
  <c r="C295" i="1"/>
  <c r="D295" i="1"/>
  <c r="E295" i="1"/>
  <c r="F295" i="1"/>
  <c r="G295" i="1"/>
  <c r="H295" i="1"/>
  <c r="I295" i="1"/>
  <c r="J295" i="1"/>
  <c r="K295" i="1"/>
  <c r="L295" i="1"/>
  <c r="M295" i="1"/>
  <c r="N295" i="1"/>
  <c r="O295" i="1"/>
  <c r="P295" i="1"/>
  <c r="R295" i="1"/>
  <c r="S295" i="1"/>
  <c r="T295" i="1"/>
  <c r="U295" i="1"/>
  <c r="B294" i="1"/>
  <c r="C294" i="1"/>
  <c r="D294" i="1"/>
  <c r="E294" i="1"/>
  <c r="F294" i="1"/>
  <c r="G294" i="1"/>
  <c r="H294" i="1"/>
  <c r="I294" i="1"/>
  <c r="J294" i="1"/>
  <c r="K294" i="1"/>
  <c r="L294" i="1"/>
  <c r="M294" i="1"/>
  <c r="N294" i="1"/>
  <c r="O294" i="1"/>
  <c r="P294" i="1"/>
  <c r="R294" i="1"/>
  <c r="S294" i="1"/>
  <c r="T294" i="1"/>
  <c r="U294" i="1"/>
  <c r="B293" i="1"/>
  <c r="C293" i="1"/>
  <c r="D293" i="1"/>
  <c r="E293" i="1"/>
  <c r="F293" i="1"/>
  <c r="G293" i="1"/>
  <c r="H293" i="1"/>
  <c r="I293" i="1"/>
  <c r="J293" i="1"/>
  <c r="K293" i="1"/>
  <c r="L293" i="1"/>
  <c r="M293" i="1"/>
  <c r="N293" i="1"/>
  <c r="O293" i="1"/>
  <c r="P293" i="1"/>
  <c r="R293" i="1"/>
  <c r="S293" i="1"/>
  <c r="T293" i="1"/>
  <c r="U293" i="1"/>
  <c r="B292" i="1"/>
  <c r="C292" i="1"/>
  <c r="D292" i="1"/>
  <c r="E292" i="1"/>
  <c r="F292" i="1"/>
  <c r="G292" i="1"/>
  <c r="H292" i="1"/>
  <c r="I292" i="1"/>
  <c r="J292" i="1"/>
  <c r="K292" i="1"/>
  <c r="L292" i="1"/>
  <c r="M292" i="1"/>
  <c r="N292" i="1"/>
  <c r="O292" i="1"/>
  <c r="P292" i="1"/>
  <c r="R292" i="1"/>
  <c r="S292" i="1"/>
  <c r="T292" i="1"/>
  <c r="U292" i="1"/>
  <c r="B291" i="1"/>
  <c r="C291" i="1"/>
  <c r="D291" i="1"/>
  <c r="E291" i="1"/>
  <c r="F291" i="1"/>
  <c r="G291" i="1"/>
  <c r="H291" i="1"/>
  <c r="I291" i="1"/>
  <c r="J291" i="1"/>
  <c r="K291" i="1"/>
  <c r="L291" i="1"/>
  <c r="M291" i="1"/>
  <c r="N291" i="1"/>
  <c r="O291" i="1"/>
  <c r="P291" i="1"/>
  <c r="R291" i="1"/>
  <c r="S291" i="1"/>
  <c r="T291" i="1"/>
  <c r="U291" i="1"/>
  <c r="B290" i="1"/>
  <c r="C290" i="1"/>
  <c r="D290" i="1"/>
  <c r="E290" i="1"/>
  <c r="F290" i="1"/>
  <c r="G290" i="1"/>
  <c r="H290" i="1"/>
  <c r="I290" i="1"/>
  <c r="J290" i="1"/>
  <c r="K290" i="1"/>
  <c r="L290" i="1"/>
  <c r="M290" i="1"/>
  <c r="N290" i="1"/>
  <c r="O290" i="1"/>
  <c r="P290" i="1"/>
  <c r="R290" i="1"/>
  <c r="S290" i="1"/>
  <c r="T290" i="1"/>
  <c r="U290" i="1"/>
  <c r="B289" i="1"/>
  <c r="C289" i="1"/>
  <c r="D289" i="1"/>
  <c r="E289" i="1"/>
  <c r="F289" i="1"/>
  <c r="G289" i="1"/>
  <c r="H289" i="1"/>
  <c r="I289" i="1"/>
  <c r="J289" i="1"/>
  <c r="K289" i="1"/>
  <c r="L289" i="1"/>
  <c r="M289" i="1"/>
  <c r="N289" i="1"/>
  <c r="O289" i="1"/>
  <c r="P289" i="1"/>
  <c r="R289" i="1"/>
  <c r="S289" i="1"/>
  <c r="T289" i="1"/>
  <c r="U289" i="1"/>
  <c r="B288" i="1"/>
  <c r="C288" i="1"/>
  <c r="D288" i="1"/>
  <c r="E288" i="1"/>
  <c r="F288" i="1"/>
  <c r="G288" i="1"/>
  <c r="H288" i="1"/>
  <c r="I288" i="1"/>
  <c r="J288" i="1"/>
  <c r="K288" i="1"/>
  <c r="L288" i="1"/>
  <c r="M288" i="1"/>
  <c r="N288" i="1"/>
  <c r="O288" i="1"/>
  <c r="P288" i="1"/>
  <c r="R288" i="1"/>
  <c r="S288" i="1"/>
  <c r="T288" i="1"/>
  <c r="U288" i="1"/>
  <c r="B287" i="1"/>
  <c r="C287" i="1"/>
  <c r="D287" i="1"/>
  <c r="E287" i="1"/>
  <c r="F287" i="1"/>
  <c r="G287" i="1"/>
  <c r="H287" i="1"/>
  <c r="I287" i="1"/>
  <c r="J287" i="1"/>
  <c r="K287" i="1"/>
  <c r="L287" i="1"/>
  <c r="M287" i="1"/>
  <c r="N287" i="1"/>
  <c r="O287" i="1"/>
  <c r="P287" i="1"/>
  <c r="R287" i="1"/>
  <c r="S287" i="1"/>
  <c r="T287" i="1"/>
  <c r="U287" i="1"/>
  <c r="B286" i="1"/>
  <c r="C286" i="1"/>
  <c r="D286" i="1"/>
  <c r="E286" i="1"/>
  <c r="F286" i="1"/>
  <c r="G286" i="1"/>
  <c r="H286" i="1"/>
  <c r="I286" i="1"/>
  <c r="J286" i="1"/>
  <c r="K286" i="1"/>
  <c r="L286" i="1"/>
  <c r="M286" i="1"/>
  <c r="N286" i="1"/>
  <c r="O286" i="1"/>
  <c r="P286" i="1"/>
  <c r="R286" i="1"/>
  <c r="S286" i="1"/>
  <c r="T286" i="1"/>
  <c r="U286" i="1"/>
  <c r="B285" i="1"/>
  <c r="C285" i="1"/>
  <c r="D285" i="1"/>
  <c r="E285" i="1"/>
  <c r="F285" i="1"/>
  <c r="G285" i="1"/>
  <c r="H285" i="1"/>
  <c r="I285" i="1"/>
  <c r="J285" i="1"/>
  <c r="K285" i="1"/>
  <c r="L285" i="1"/>
  <c r="M285" i="1"/>
  <c r="N285" i="1"/>
  <c r="O285" i="1"/>
  <c r="P285" i="1"/>
  <c r="R285" i="1"/>
  <c r="S285" i="1"/>
  <c r="T285" i="1"/>
  <c r="U285" i="1"/>
  <c r="B284" i="1"/>
  <c r="C284" i="1"/>
  <c r="D284" i="1"/>
  <c r="E284" i="1"/>
  <c r="F284" i="1"/>
  <c r="G284" i="1"/>
  <c r="H284" i="1"/>
  <c r="I284" i="1"/>
  <c r="J284" i="1"/>
  <c r="K284" i="1"/>
  <c r="L284" i="1"/>
  <c r="M284" i="1"/>
  <c r="N284" i="1"/>
  <c r="O284" i="1"/>
  <c r="P284" i="1"/>
  <c r="R284" i="1"/>
  <c r="S284" i="1"/>
  <c r="T284" i="1"/>
  <c r="U284" i="1"/>
  <c r="B283" i="1"/>
  <c r="C283" i="1"/>
  <c r="D283" i="1"/>
  <c r="E283" i="1"/>
  <c r="F283" i="1"/>
  <c r="G283" i="1"/>
  <c r="H283" i="1"/>
  <c r="I283" i="1"/>
  <c r="J283" i="1"/>
  <c r="K283" i="1"/>
  <c r="L283" i="1"/>
  <c r="M283" i="1"/>
  <c r="N283" i="1"/>
  <c r="O283" i="1"/>
  <c r="P283" i="1"/>
  <c r="R283" i="1"/>
  <c r="S283" i="1"/>
  <c r="T283" i="1"/>
  <c r="U283" i="1"/>
  <c r="B282" i="1"/>
  <c r="C282" i="1"/>
  <c r="D282" i="1"/>
  <c r="E282" i="1"/>
  <c r="F282" i="1"/>
  <c r="G282" i="1"/>
  <c r="H282" i="1"/>
  <c r="I282" i="1"/>
  <c r="J282" i="1"/>
  <c r="K282" i="1"/>
  <c r="L282" i="1"/>
  <c r="M282" i="1"/>
  <c r="N282" i="1"/>
  <c r="O282" i="1"/>
  <c r="P282" i="1"/>
  <c r="R282" i="1"/>
  <c r="S282" i="1"/>
  <c r="T282" i="1"/>
  <c r="U282" i="1"/>
  <c r="B281" i="1"/>
  <c r="C281" i="1"/>
  <c r="D281" i="1"/>
  <c r="E281" i="1"/>
  <c r="F281" i="1"/>
  <c r="G281" i="1"/>
  <c r="H281" i="1"/>
  <c r="I281" i="1"/>
  <c r="J281" i="1"/>
  <c r="K281" i="1"/>
  <c r="L281" i="1"/>
  <c r="M281" i="1"/>
  <c r="N281" i="1"/>
  <c r="O281" i="1"/>
  <c r="P281" i="1"/>
  <c r="R281" i="1"/>
  <c r="S281" i="1"/>
  <c r="T281" i="1"/>
  <c r="U281" i="1"/>
  <c r="B280" i="1"/>
  <c r="C280" i="1"/>
  <c r="D280" i="1"/>
  <c r="E280" i="1"/>
  <c r="F280" i="1"/>
  <c r="G280" i="1"/>
  <c r="H280" i="1"/>
  <c r="I280" i="1"/>
  <c r="J280" i="1"/>
  <c r="K280" i="1"/>
  <c r="L280" i="1"/>
  <c r="M280" i="1"/>
  <c r="N280" i="1"/>
  <c r="O280" i="1"/>
  <c r="P280" i="1"/>
  <c r="R280" i="1"/>
  <c r="S280" i="1"/>
  <c r="T280" i="1"/>
  <c r="U280" i="1"/>
  <c r="B279" i="1"/>
  <c r="C279" i="1"/>
  <c r="D279" i="1"/>
  <c r="E279" i="1"/>
  <c r="F279" i="1"/>
  <c r="G279" i="1"/>
  <c r="H279" i="1"/>
  <c r="I279" i="1"/>
  <c r="J279" i="1"/>
  <c r="K279" i="1"/>
  <c r="L279" i="1"/>
  <c r="M279" i="1"/>
  <c r="N279" i="1"/>
  <c r="O279" i="1"/>
  <c r="P279" i="1"/>
  <c r="R279" i="1"/>
  <c r="S279" i="1"/>
  <c r="T279" i="1"/>
  <c r="U279" i="1"/>
  <c r="B278" i="1"/>
  <c r="C278" i="1"/>
  <c r="D278" i="1"/>
  <c r="E278" i="1"/>
  <c r="F278" i="1"/>
  <c r="G278" i="1"/>
  <c r="H278" i="1"/>
  <c r="I278" i="1"/>
  <c r="J278" i="1"/>
  <c r="K278" i="1"/>
  <c r="L278" i="1"/>
  <c r="M278" i="1"/>
  <c r="N278" i="1"/>
  <c r="O278" i="1"/>
  <c r="P278" i="1"/>
  <c r="R278" i="1"/>
  <c r="S278" i="1"/>
  <c r="T278" i="1"/>
  <c r="U278" i="1"/>
  <c r="B277" i="1"/>
  <c r="C277" i="1"/>
  <c r="D277" i="1"/>
  <c r="E277" i="1"/>
  <c r="F277" i="1"/>
  <c r="G277" i="1"/>
  <c r="H277" i="1"/>
  <c r="I277" i="1"/>
  <c r="J277" i="1"/>
  <c r="K277" i="1"/>
  <c r="L277" i="1"/>
  <c r="M277" i="1"/>
  <c r="N277" i="1"/>
  <c r="O277" i="1"/>
  <c r="P277" i="1"/>
  <c r="R277" i="1"/>
  <c r="S277" i="1"/>
  <c r="T277" i="1"/>
  <c r="U277" i="1"/>
  <c r="B276" i="1"/>
  <c r="C276" i="1"/>
  <c r="D276" i="1"/>
  <c r="E276" i="1"/>
  <c r="F276" i="1"/>
  <c r="G276" i="1"/>
  <c r="H276" i="1"/>
  <c r="I276" i="1"/>
  <c r="J276" i="1"/>
  <c r="K276" i="1"/>
  <c r="L276" i="1"/>
  <c r="M276" i="1"/>
  <c r="N276" i="1"/>
  <c r="O276" i="1"/>
  <c r="P276" i="1"/>
  <c r="R276" i="1"/>
  <c r="S276" i="1"/>
  <c r="T276" i="1"/>
  <c r="U276" i="1"/>
  <c r="B275" i="1"/>
  <c r="C275" i="1"/>
  <c r="D275" i="1"/>
  <c r="E275" i="1"/>
  <c r="F275" i="1"/>
  <c r="G275" i="1"/>
  <c r="H275" i="1"/>
  <c r="I275" i="1"/>
  <c r="J275" i="1"/>
  <c r="K275" i="1"/>
  <c r="L275" i="1"/>
  <c r="M275" i="1"/>
  <c r="N275" i="1"/>
  <c r="O275" i="1"/>
  <c r="P275" i="1"/>
  <c r="R275" i="1"/>
  <c r="S275" i="1"/>
  <c r="T275" i="1"/>
  <c r="U275" i="1"/>
  <c r="B274" i="1"/>
  <c r="C274" i="1"/>
  <c r="D274" i="1"/>
  <c r="E274" i="1"/>
  <c r="F274" i="1"/>
  <c r="G274" i="1"/>
  <c r="H274" i="1"/>
  <c r="I274" i="1"/>
  <c r="J274" i="1"/>
  <c r="K274" i="1"/>
  <c r="L274" i="1"/>
  <c r="M274" i="1"/>
  <c r="N274" i="1"/>
  <c r="O274" i="1"/>
  <c r="P274" i="1"/>
  <c r="R274" i="1"/>
  <c r="S274" i="1"/>
  <c r="T274" i="1"/>
  <c r="U274" i="1"/>
  <c r="B273" i="1"/>
  <c r="C273" i="1"/>
  <c r="D273" i="1"/>
  <c r="E273" i="1"/>
  <c r="F273" i="1"/>
  <c r="G273" i="1"/>
  <c r="H273" i="1"/>
  <c r="I273" i="1"/>
  <c r="J273" i="1"/>
  <c r="K273" i="1"/>
  <c r="L273" i="1"/>
  <c r="M273" i="1"/>
  <c r="N273" i="1"/>
  <c r="O273" i="1"/>
  <c r="P273" i="1"/>
  <c r="R273" i="1"/>
  <c r="S273" i="1"/>
  <c r="T273" i="1"/>
  <c r="U273" i="1"/>
  <c r="B272" i="1"/>
  <c r="C272" i="1"/>
  <c r="D272" i="1"/>
  <c r="E272" i="1"/>
  <c r="F272" i="1"/>
  <c r="G272" i="1"/>
  <c r="H272" i="1"/>
  <c r="I272" i="1"/>
  <c r="J272" i="1"/>
  <c r="K272" i="1"/>
  <c r="L272" i="1"/>
  <c r="M272" i="1"/>
  <c r="N272" i="1"/>
  <c r="O272" i="1"/>
  <c r="P272" i="1"/>
  <c r="R272" i="1"/>
  <c r="S272" i="1"/>
  <c r="T272" i="1"/>
  <c r="U272" i="1"/>
  <c r="B271" i="1"/>
  <c r="C271" i="1"/>
  <c r="D271" i="1"/>
  <c r="E271" i="1"/>
  <c r="F271" i="1"/>
  <c r="G271" i="1"/>
  <c r="H271" i="1"/>
  <c r="I271" i="1"/>
  <c r="J271" i="1"/>
  <c r="K271" i="1"/>
  <c r="L271" i="1"/>
  <c r="M271" i="1"/>
  <c r="N271" i="1"/>
  <c r="O271" i="1"/>
  <c r="P271" i="1"/>
  <c r="R271" i="1"/>
  <c r="S271" i="1"/>
  <c r="T271" i="1"/>
  <c r="U271" i="1"/>
  <c r="B270" i="1"/>
  <c r="C270" i="1"/>
  <c r="D270" i="1"/>
  <c r="E270" i="1"/>
  <c r="F270" i="1"/>
  <c r="G270" i="1"/>
  <c r="H270" i="1"/>
  <c r="I270" i="1"/>
  <c r="J270" i="1"/>
  <c r="K270" i="1"/>
  <c r="L270" i="1"/>
  <c r="M270" i="1"/>
  <c r="N270" i="1"/>
  <c r="O270" i="1"/>
  <c r="P270" i="1"/>
  <c r="R270" i="1"/>
  <c r="S270" i="1"/>
  <c r="T270" i="1"/>
  <c r="U270" i="1"/>
  <c r="B269" i="1"/>
  <c r="C269" i="1"/>
  <c r="D269" i="1"/>
  <c r="E269" i="1"/>
  <c r="F269" i="1"/>
  <c r="G269" i="1"/>
  <c r="H269" i="1"/>
  <c r="I269" i="1"/>
  <c r="J269" i="1"/>
  <c r="K269" i="1"/>
  <c r="L269" i="1"/>
  <c r="M269" i="1"/>
  <c r="N269" i="1"/>
  <c r="O269" i="1"/>
  <c r="P269" i="1"/>
  <c r="R269" i="1"/>
  <c r="S269" i="1"/>
  <c r="T269" i="1"/>
  <c r="U269" i="1"/>
  <c r="B268" i="1"/>
  <c r="C268" i="1"/>
  <c r="D268" i="1"/>
  <c r="E268" i="1"/>
  <c r="F268" i="1"/>
  <c r="G268" i="1"/>
  <c r="H268" i="1"/>
  <c r="I268" i="1"/>
  <c r="J268" i="1"/>
  <c r="K268" i="1"/>
  <c r="L268" i="1"/>
  <c r="M268" i="1"/>
  <c r="N268" i="1"/>
  <c r="O268" i="1"/>
  <c r="P268" i="1"/>
  <c r="R268" i="1"/>
  <c r="S268" i="1"/>
  <c r="T268" i="1"/>
  <c r="U268" i="1"/>
  <c r="B267" i="1"/>
  <c r="C267" i="1"/>
  <c r="D267" i="1"/>
  <c r="E267" i="1"/>
  <c r="F267" i="1"/>
  <c r="G267" i="1"/>
  <c r="H267" i="1"/>
  <c r="I267" i="1"/>
  <c r="J267" i="1"/>
  <c r="K267" i="1"/>
  <c r="L267" i="1"/>
  <c r="M267" i="1"/>
  <c r="N267" i="1"/>
  <c r="O267" i="1"/>
  <c r="P267" i="1"/>
  <c r="R267" i="1"/>
  <c r="S267" i="1"/>
  <c r="T267" i="1"/>
  <c r="U267" i="1"/>
  <c r="B266" i="1"/>
  <c r="C266" i="1"/>
  <c r="D266" i="1"/>
  <c r="E266" i="1"/>
  <c r="F266" i="1"/>
  <c r="G266" i="1"/>
  <c r="H266" i="1"/>
  <c r="I266" i="1"/>
  <c r="J266" i="1"/>
  <c r="K266" i="1"/>
  <c r="L266" i="1"/>
  <c r="M266" i="1"/>
  <c r="N266" i="1"/>
  <c r="O266" i="1"/>
  <c r="P266" i="1"/>
  <c r="R266" i="1"/>
  <c r="S266" i="1"/>
  <c r="T266" i="1"/>
  <c r="U266" i="1"/>
  <c r="B265" i="1"/>
  <c r="C265" i="1"/>
  <c r="D265" i="1"/>
  <c r="E265" i="1"/>
  <c r="F265" i="1"/>
  <c r="G265" i="1"/>
  <c r="H265" i="1"/>
  <c r="I265" i="1"/>
  <c r="J265" i="1"/>
  <c r="K265" i="1"/>
  <c r="L265" i="1"/>
  <c r="M265" i="1"/>
  <c r="N265" i="1"/>
  <c r="O265" i="1"/>
  <c r="P265" i="1"/>
  <c r="R265" i="1"/>
  <c r="S265" i="1"/>
  <c r="T265" i="1"/>
  <c r="U265" i="1"/>
  <c r="B264" i="1"/>
  <c r="C264" i="1"/>
  <c r="D264" i="1"/>
  <c r="E264" i="1"/>
  <c r="F264" i="1"/>
  <c r="G264" i="1"/>
  <c r="H264" i="1"/>
  <c r="I264" i="1"/>
  <c r="J264" i="1"/>
  <c r="K264" i="1"/>
  <c r="L264" i="1"/>
  <c r="M264" i="1"/>
  <c r="N264" i="1"/>
  <c r="O264" i="1"/>
  <c r="P264" i="1"/>
  <c r="R264" i="1"/>
  <c r="S264" i="1"/>
  <c r="T264" i="1"/>
  <c r="U264" i="1"/>
  <c r="B263" i="1"/>
  <c r="C263" i="1"/>
  <c r="D263" i="1"/>
  <c r="E263" i="1"/>
  <c r="F263" i="1"/>
  <c r="G263" i="1"/>
  <c r="H263" i="1"/>
  <c r="I263" i="1"/>
  <c r="J263" i="1"/>
  <c r="K263" i="1"/>
  <c r="L263" i="1"/>
  <c r="M263" i="1"/>
  <c r="N263" i="1"/>
  <c r="O263" i="1"/>
  <c r="P263" i="1"/>
  <c r="R263" i="1"/>
  <c r="S263" i="1"/>
  <c r="T263" i="1"/>
  <c r="U263" i="1"/>
  <c r="B262" i="1"/>
  <c r="C262" i="1"/>
  <c r="D262" i="1"/>
  <c r="E262" i="1"/>
  <c r="F262" i="1"/>
  <c r="G262" i="1"/>
  <c r="H262" i="1"/>
  <c r="I262" i="1"/>
  <c r="J262" i="1"/>
  <c r="K262" i="1"/>
  <c r="L262" i="1"/>
  <c r="M262" i="1"/>
  <c r="N262" i="1"/>
  <c r="O262" i="1"/>
  <c r="P262" i="1"/>
  <c r="R262" i="1"/>
  <c r="S262" i="1"/>
  <c r="T262" i="1"/>
  <c r="U262" i="1"/>
  <c r="B261" i="1"/>
  <c r="C261" i="1"/>
  <c r="D261" i="1"/>
  <c r="E261" i="1"/>
  <c r="F261" i="1"/>
  <c r="G261" i="1"/>
  <c r="H261" i="1"/>
  <c r="I261" i="1"/>
  <c r="J261" i="1"/>
  <c r="K261" i="1"/>
  <c r="L261" i="1"/>
  <c r="M261" i="1"/>
  <c r="N261" i="1"/>
  <c r="O261" i="1"/>
  <c r="P261" i="1"/>
  <c r="R261" i="1"/>
  <c r="S261" i="1"/>
  <c r="T261" i="1"/>
  <c r="U261" i="1"/>
  <c r="B260" i="1"/>
  <c r="C260" i="1"/>
  <c r="D260" i="1"/>
  <c r="E260" i="1"/>
  <c r="F260" i="1"/>
  <c r="G260" i="1"/>
  <c r="H260" i="1"/>
  <c r="I260" i="1"/>
  <c r="J260" i="1"/>
  <c r="K260" i="1"/>
  <c r="L260" i="1"/>
  <c r="M260" i="1"/>
  <c r="N260" i="1"/>
  <c r="O260" i="1"/>
  <c r="P260" i="1"/>
  <c r="R260" i="1"/>
  <c r="S260" i="1"/>
  <c r="T260" i="1"/>
  <c r="U260" i="1"/>
  <c r="B259" i="1"/>
  <c r="C259" i="1"/>
  <c r="D259" i="1"/>
  <c r="E259" i="1"/>
  <c r="F259" i="1"/>
  <c r="G259" i="1"/>
  <c r="H259" i="1"/>
  <c r="I259" i="1"/>
  <c r="J259" i="1"/>
  <c r="K259" i="1"/>
  <c r="L259" i="1"/>
  <c r="M259" i="1"/>
  <c r="N259" i="1"/>
  <c r="O259" i="1"/>
  <c r="P259" i="1"/>
  <c r="R259" i="1"/>
  <c r="S259" i="1"/>
  <c r="T259" i="1"/>
  <c r="U259" i="1"/>
  <c r="B258" i="1"/>
  <c r="C258" i="1"/>
  <c r="D258" i="1"/>
  <c r="E258" i="1"/>
  <c r="F258" i="1"/>
  <c r="G258" i="1"/>
  <c r="H258" i="1"/>
  <c r="I258" i="1"/>
  <c r="J258" i="1"/>
  <c r="K258" i="1"/>
  <c r="L258" i="1"/>
  <c r="M258" i="1"/>
  <c r="N258" i="1"/>
  <c r="O258" i="1"/>
  <c r="P258" i="1"/>
  <c r="R258" i="1"/>
  <c r="S258" i="1"/>
  <c r="T258" i="1"/>
  <c r="U258" i="1"/>
  <c r="B257" i="1"/>
  <c r="C257" i="1"/>
  <c r="D257" i="1"/>
  <c r="E257" i="1"/>
  <c r="F257" i="1"/>
  <c r="G257" i="1"/>
  <c r="H257" i="1"/>
  <c r="I257" i="1"/>
  <c r="J257" i="1"/>
  <c r="K257" i="1"/>
  <c r="L257" i="1"/>
  <c r="M257" i="1"/>
  <c r="N257" i="1"/>
  <c r="O257" i="1"/>
  <c r="P257" i="1"/>
  <c r="R257" i="1"/>
  <c r="S257" i="1"/>
  <c r="T257" i="1"/>
  <c r="U257" i="1"/>
  <c r="B256" i="1"/>
  <c r="C256" i="1"/>
  <c r="D256" i="1"/>
  <c r="E256" i="1"/>
  <c r="F256" i="1"/>
  <c r="G256" i="1"/>
  <c r="H256" i="1"/>
  <c r="I256" i="1"/>
  <c r="J256" i="1"/>
  <c r="K256" i="1"/>
  <c r="L256" i="1"/>
  <c r="M256" i="1"/>
  <c r="N256" i="1"/>
  <c r="O256" i="1"/>
  <c r="P256" i="1"/>
  <c r="R256" i="1"/>
  <c r="S256" i="1"/>
  <c r="T256" i="1"/>
  <c r="U256" i="1"/>
  <c r="B255" i="1"/>
  <c r="C255" i="1"/>
  <c r="D255" i="1"/>
  <c r="E255" i="1"/>
  <c r="F255" i="1"/>
  <c r="G255" i="1"/>
  <c r="H255" i="1"/>
  <c r="I255" i="1"/>
  <c r="J255" i="1"/>
  <c r="K255" i="1"/>
  <c r="L255" i="1"/>
  <c r="M255" i="1"/>
  <c r="N255" i="1"/>
  <c r="O255" i="1"/>
  <c r="P255" i="1"/>
  <c r="R255" i="1"/>
  <c r="S255" i="1"/>
  <c r="T255" i="1"/>
  <c r="U255" i="1"/>
  <c r="B254" i="1"/>
  <c r="C254" i="1"/>
  <c r="D254" i="1"/>
  <c r="E254" i="1"/>
  <c r="F254" i="1"/>
  <c r="G254" i="1"/>
  <c r="H254" i="1"/>
  <c r="I254" i="1"/>
  <c r="J254" i="1"/>
  <c r="K254" i="1"/>
  <c r="L254" i="1"/>
  <c r="M254" i="1"/>
  <c r="N254" i="1"/>
  <c r="O254" i="1"/>
  <c r="P254" i="1"/>
  <c r="R254" i="1"/>
  <c r="S254" i="1"/>
  <c r="T254" i="1"/>
  <c r="U254" i="1"/>
  <c r="B253" i="1"/>
  <c r="C253" i="1"/>
  <c r="D253" i="1"/>
  <c r="E253" i="1"/>
  <c r="F253" i="1"/>
  <c r="G253" i="1"/>
  <c r="H253" i="1"/>
  <c r="I253" i="1"/>
  <c r="J253" i="1"/>
  <c r="K253" i="1"/>
  <c r="L253" i="1"/>
  <c r="M253" i="1"/>
  <c r="N253" i="1"/>
  <c r="O253" i="1"/>
  <c r="P253" i="1"/>
  <c r="R253" i="1"/>
  <c r="S253" i="1"/>
  <c r="T253" i="1"/>
  <c r="U253" i="1"/>
  <c r="B252" i="1"/>
  <c r="C252" i="1"/>
  <c r="D252" i="1"/>
  <c r="E252" i="1"/>
  <c r="F252" i="1"/>
  <c r="G252" i="1"/>
  <c r="H252" i="1"/>
  <c r="I252" i="1"/>
  <c r="J252" i="1"/>
  <c r="K252" i="1"/>
  <c r="L252" i="1"/>
  <c r="M252" i="1"/>
  <c r="N252" i="1"/>
  <c r="O252" i="1"/>
  <c r="P252" i="1"/>
  <c r="R252" i="1"/>
  <c r="S252" i="1"/>
  <c r="T252" i="1"/>
  <c r="U252" i="1"/>
  <c r="B251" i="1"/>
  <c r="C251" i="1"/>
  <c r="D251" i="1"/>
  <c r="E251" i="1"/>
  <c r="F251" i="1"/>
  <c r="G251" i="1"/>
  <c r="H251" i="1"/>
  <c r="I251" i="1"/>
  <c r="J251" i="1"/>
  <c r="K251" i="1"/>
  <c r="L251" i="1"/>
  <c r="M251" i="1"/>
  <c r="N251" i="1"/>
  <c r="O251" i="1"/>
  <c r="P251" i="1"/>
  <c r="R251" i="1"/>
  <c r="S251" i="1"/>
  <c r="T251" i="1"/>
  <c r="U251" i="1"/>
  <c r="B250" i="1"/>
  <c r="C250" i="1"/>
  <c r="D250" i="1"/>
  <c r="E250" i="1"/>
  <c r="F250" i="1"/>
  <c r="G250" i="1"/>
  <c r="H250" i="1"/>
  <c r="I250" i="1"/>
  <c r="J250" i="1"/>
  <c r="K250" i="1"/>
  <c r="L250" i="1"/>
  <c r="M250" i="1"/>
  <c r="N250" i="1"/>
  <c r="O250" i="1"/>
  <c r="P250" i="1"/>
  <c r="R250" i="1"/>
  <c r="S250" i="1"/>
  <c r="T250" i="1"/>
  <c r="U250" i="1"/>
  <c r="B249" i="1"/>
  <c r="C249" i="1"/>
  <c r="D249" i="1"/>
  <c r="E249" i="1"/>
  <c r="F249" i="1"/>
  <c r="G249" i="1"/>
  <c r="H249" i="1"/>
  <c r="I249" i="1"/>
  <c r="J249" i="1"/>
  <c r="K249" i="1"/>
  <c r="L249" i="1"/>
  <c r="M249" i="1"/>
  <c r="N249" i="1"/>
  <c r="O249" i="1"/>
  <c r="P249" i="1"/>
  <c r="R249" i="1"/>
  <c r="S249" i="1"/>
  <c r="T249" i="1"/>
  <c r="U249" i="1"/>
  <c r="B248" i="1"/>
  <c r="C248" i="1"/>
  <c r="D248" i="1"/>
  <c r="E248" i="1"/>
  <c r="F248" i="1"/>
  <c r="G248" i="1"/>
  <c r="H248" i="1"/>
  <c r="I248" i="1"/>
  <c r="J248" i="1"/>
  <c r="K248" i="1"/>
  <c r="L248" i="1"/>
  <c r="M248" i="1"/>
  <c r="N248" i="1"/>
  <c r="O248" i="1"/>
  <c r="P248" i="1"/>
  <c r="R248" i="1"/>
  <c r="S248" i="1"/>
  <c r="T248" i="1"/>
  <c r="U248" i="1"/>
  <c r="B247" i="1"/>
  <c r="C247" i="1"/>
  <c r="D247" i="1"/>
  <c r="E247" i="1"/>
  <c r="F247" i="1"/>
  <c r="G247" i="1"/>
  <c r="H247" i="1"/>
  <c r="I247" i="1"/>
  <c r="J247" i="1"/>
  <c r="K247" i="1"/>
  <c r="L247" i="1"/>
  <c r="M247" i="1"/>
  <c r="N247" i="1"/>
  <c r="O247" i="1"/>
  <c r="P247" i="1"/>
  <c r="R247" i="1"/>
  <c r="S247" i="1"/>
  <c r="T247" i="1"/>
  <c r="U247" i="1"/>
  <c r="B246" i="1"/>
  <c r="C246" i="1"/>
  <c r="D246" i="1"/>
  <c r="E246" i="1"/>
  <c r="F246" i="1"/>
  <c r="G246" i="1"/>
  <c r="H246" i="1"/>
  <c r="I246" i="1"/>
  <c r="J246" i="1"/>
  <c r="K246" i="1"/>
  <c r="L246" i="1"/>
  <c r="M246" i="1"/>
  <c r="N246" i="1"/>
  <c r="O246" i="1"/>
  <c r="P246" i="1"/>
  <c r="R246" i="1"/>
  <c r="S246" i="1"/>
  <c r="T246" i="1"/>
  <c r="U246" i="1"/>
  <c r="B245" i="1"/>
  <c r="C245" i="1"/>
  <c r="D245" i="1"/>
  <c r="E245" i="1"/>
  <c r="F245" i="1"/>
  <c r="G245" i="1"/>
  <c r="H245" i="1"/>
  <c r="I245" i="1"/>
  <c r="J245" i="1"/>
  <c r="K245" i="1"/>
  <c r="L245" i="1"/>
  <c r="M245" i="1"/>
  <c r="N245" i="1"/>
  <c r="O245" i="1"/>
  <c r="P245" i="1"/>
  <c r="R245" i="1"/>
  <c r="S245" i="1"/>
  <c r="T245" i="1"/>
  <c r="U245" i="1"/>
  <c r="B244" i="1"/>
  <c r="C244" i="1"/>
  <c r="D244" i="1"/>
  <c r="E244" i="1"/>
  <c r="F244" i="1"/>
  <c r="G244" i="1"/>
  <c r="H244" i="1"/>
  <c r="I244" i="1"/>
  <c r="J244" i="1"/>
  <c r="K244" i="1"/>
  <c r="L244" i="1"/>
  <c r="M244" i="1"/>
  <c r="N244" i="1"/>
  <c r="O244" i="1"/>
  <c r="P244" i="1"/>
  <c r="R244" i="1"/>
  <c r="S244" i="1"/>
  <c r="T244" i="1"/>
  <c r="U244" i="1"/>
  <c r="B243" i="1"/>
  <c r="C243" i="1"/>
  <c r="D243" i="1"/>
  <c r="E243" i="1"/>
  <c r="F243" i="1"/>
  <c r="G243" i="1"/>
  <c r="H243" i="1"/>
  <c r="I243" i="1"/>
  <c r="J243" i="1"/>
  <c r="K243" i="1"/>
  <c r="L243" i="1"/>
  <c r="M243" i="1"/>
  <c r="N243" i="1"/>
  <c r="O243" i="1"/>
  <c r="P243" i="1"/>
  <c r="R243" i="1"/>
  <c r="S243" i="1"/>
  <c r="T243" i="1"/>
  <c r="U243" i="1"/>
  <c r="B242" i="1"/>
  <c r="C242" i="1"/>
  <c r="D242" i="1"/>
  <c r="E242" i="1"/>
  <c r="F242" i="1"/>
  <c r="G242" i="1"/>
  <c r="H242" i="1"/>
  <c r="I242" i="1"/>
  <c r="J242" i="1"/>
  <c r="K242" i="1"/>
  <c r="L242" i="1"/>
  <c r="M242" i="1"/>
  <c r="N242" i="1"/>
  <c r="O242" i="1"/>
  <c r="P242" i="1"/>
  <c r="R242" i="1"/>
  <c r="S242" i="1"/>
  <c r="T242" i="1"/>
  <c r="U242" i="1"/>
  <c r="B241" i="1"/>
  <c r="C241" i="1"/>
  <c r="D241" i="1"/>
  <c r="E241" i="1"/>
  <c r="F241" i="1"/>
  <c r="G241" i="1"/>
  <c r="H241" i="1"/>
  <c r="I241" i="1"/>
  <c r="J241" i="1"/>
  <c r="K241" i="1"/>
  <c r="L241" i="1"/>
  <c r="M241" i="1"/>
  <c r="N241" i="1"/>
  <c r="O241" i="1"/>
  <c r="P241" i="1"/>
  <c r="R241" i="1"/>
  <c r="S241" i="1"/>
  <c r="T241" i="1"/>
  <c r="U241" i="1"/>
  <c r="B240" i="1"/>
  <c r="C240" i="1"/>
  <c r="D240" i="1"/>
  <c r="E240" i="1"/>
  <c r="F240" i="1"/>
  <c r="G240" i="1"/>
  <c r="H240" i="1"/>
  <c r="I240" i="1"/>
  <c r="J240" i="1"/>
  <c r="K240" i="1"/>
  <c r="L240" i="1"/>
  <c r="M240" i="1"/>
  <c r="N240" i="1"/>
  <c r="O240" i="1"/>
  <c r="P240" i="1"/>
  <c r="R240" i="1"/>
  <c r="S240" i="1"/>
  <c r="T240" i="1"/>
  <c r="U240" i="1"/>
  <c r="B239" i="1"/>
  <c r="C239" i="1"/>
  <c r="D239" i="1"/>
  <c r="E239" i="1"/>
  <c r="F239" i="1"/>
  <c r="G239" i="1"/>
  <c r="H239" i="1"/>
  <c r="I239" i="1"/>
  <c r="J239" i="1"/>
  <c r="K239" i="1"/>
  <c r="L239" i="1"/>
  <c r="M239" i="1"/>
  <c r="N239" i="1"/>
  <c r="O239" i="1"/>
  <c r="P239" i="1"/>
  <c r="R239" i="1"/>
  <c r="S239" i="1"/>
  <c r="T239" i="1"/>
  <c r="U239" i="1"/>
  <c r="B238" i="1"/>
  <c r="C238" i="1"/>
  <c r="D238" i="1"/>
  <c r="E238" i="1"/>
  <c r="F238" i="1"/>
  <c r="G238" i="1"/>
  <c r="H238" i="1"/>
  <c r="I238" i="1"/>
  <c r="J238" i="1"/>
  <c r="K238" i="1"/>
  <c r="L238" i="1"/>
  <c r="M238" i="1"/>
  <c r="N238" i="1"/>
  <c r="O238" i="1"/>
  <c r="P238" i="1"/>
  <c r="R238" i="1"/>
  <c r="S238" i="1"/>
  <c r="T238" i="1"/>
  <c r="U238" i="1"/>
  <c r="B237" i="1"/>
  <c r="C237" i="1"/>
  <c r="D237" i="1"/>
  <c r="E237" i="1"/>
  <c r="F237" i="1"/>
  <c r="G237" i="1"/>
  <c r="H237" i="1"/>
  <c r="I237" i="1"/>
  <c r="J237" i="1"/>
  <c r="K237" i="1"/>
  <c r="L237" i="1"/>
  <c r="M237" i="1"/>
  <c r="N237" i="1"/>
  <c r="O237" i="1"/>
  <c r="P237" i="1"/>
  <c r="R237" i="1"/>
  <c r="S237" i="1"/>
  <c r="T237" i="1"/>
  <c r="U237" i="1"/>
  <c r="B236" i="1"/>
  <c r="C236" i="1"/>
  <c r="D236" i="1"/>
  <c r="E236" i="1"/>
  <c r="F236" i="1"/>
  <c r="G236" i="1"/>
  <c r="H236" i="1"/>
  <c r="I236" i="1"/>
  <c r="J236" i="1"/>
  <c r="K236" i="1"/>
  <c r="L236" i="1"/>
  <c r="M236" i="1"/>
  <c r="N236" i="1"/>
  <c r="O236" i="1"/>
  <c r="P236" i="1"/>
  <c r="R236" i="1"/>
  <c r="S236" i="1"/>
  <c r="T236" i="1"/>
  <c r="U236" i="1"/>
  <c r="B235" i="1"/>
  <c r="C235" i="1"/>
  <c r="D235" i="1"/>
  <c r="E235" i="1"/>
  <c r="F235" i="1"/>
  <c r="G235" i="1"/>
  <c r="H235" i="1"/>
  <c r="I235" i="1"/>
  <c r="J235" i="1"/>
  <c r="K235" i="1"/>
  <c r="L235" i="1"/>
  <c r="M235" i="1"/>
  <c r="N235" i="1"/>
  <c r="O235" i="1"/>
  <c r="P235" i="1"/>
  <c r="R235" i="1"/>
  <c r="S235" i="1"/>
  <c r="T235" i="1"/>
  <c r="U235" i="1"/>
  <c r="B234" i="1"/>
  <c r="C234" i="1"/>
  <c r="D234" i="1"/>
  <c r="E234" i="1"/>
  <c r="F234" i="1"/>
  <c r="G234" i="1"/>
  <c r="H234" i="1"/>
  <c r="I234" i="1"/>
  <c r="J234" i="1"/>
  <c r="K234" i="1"/>
  <c r="L234" i="1"/>
  <c r="M234" i="1"/>
  <c r="N234" i="1"/>
  <c r="O234" i="1"/>
  <c r="P234" i="1"/>
  <c r="R234" i="1"/>
  <c r="S234" i="1"/>
  <c r="T234" i="1"/>
  <c r="U234" i="1"/>
  <c r="B233" i="1"/>
  <c r="C233" i="1"/>
  <c r="D233" i="1"/>
  <c r="E233" i="1"/>
  <c r="F233" i="1"/>
  <c r="G233" i="1"/>
  <c r="H233" i="1"/>
  <c r="I233" i="1"/>
  <c r="J233" i="1"/>
  <c r="K233" i="1"/>
  <c r="L233" i="1"/>
  <c r="M233" i="1"/>
  <c r="N233" i="1"/>
  <c r="O233" i="1"/>
  <c r="P233" i="1"/>
  <c r="R233" i="1"/>
  <c r="S233" i="1"/>
  <c r="T233" i="1"/>
  <c r="U233" i="1"/>
  <c r="B232" i="1"/>
  <c r="C232" i="1"/>
  <c r="D232" i="1"/>
  <c r="E232" i="1"/>
  <c r="F232" i="1"/>
  <c r="G232" i="1"/>
  <c r="H232" i="1"/>
  <c r="I232" i="1"/>
  <c r="J232" i="1"/>
  <c r="K232" i="1"/>
  <c r="L232" i="1"/>
  <c r="M232" i="1"/>
  <c r="N232" i="1"/>
  <c r="O232" i="1"/>
  <c r="P232" i="1"/>
  <c r="R232" i="1"/>
  <c r="S232" i="1"/>
  <c r="T232" i="1"/>
  <c r="U232" i="1"/>
  <c r="B231" i="1"/>
  <c r="C231" i="1"/>
  <c r="D231" i="1"/>
  <c r="E231" i="1"/>
  <c r="F231" i="1"/>
  <c r="G231" i="1"/>
  <c r="H231" i="1"/>
  <c r="I231" i="1"/>
  <c r="J231" i="1"/>
  <c r="K231" i="1"/>
  <c r="L231" i="1"/>
  <c r="M231" i="1"/>
  <c r="N231" i="1"/>
  <c r="O231" i="1"/>
  <c r="P231" i="1"/>
  <c r="R231" i="1"/>
  <c r="S231" i="1"/>
  <c r="T231" i="1"/>
  <c r="U231" i="1"/>
  <c r="B230" i="1"/>
  <c r="C230" i="1"/>
  <c r="D230" i="1"/>
  <c r="E230" i="1"/>
  <c r="F230" i="1"/>
  <c r="G230" i="1"/>
  <c r="H230" i="1"/>
  <c r="I230" i="1"/>
  <c r="J230" i="1"/>
  <c r="K230" i="1"/>
  <c r="L230" i="1"/>
  <c r="M230" i="1"/>
  <c r="N230" i="1"/>
  <c r="O230" i="1"/>
  <c r="P230" i="1"/>
  <c r="R230" i="1"/>
  <c r="S230" i="1"/>
  <c r="T230" i="1"/>
  <c r="U230" i="1"/>
  <c r="B229" i="1"/>
  <c r="C229" i="1"/>
  <c r="D229" i="1"/>
  <c r="E229" i="1"/>
  <c r="F229" i="1"/>
  <c r="G229" i="1"/>
  <c r="H229" i="1"/>
  <c r="I229" i="1"/>
  <c r="J229" i="1"/>
  <c r="K229" i="1"/>
  <c r="L229" i="1"/>
  <c r="M229" i="1"/>
  <c r="N229" i="1"/>
  <c r="O229" i="1"/>
  <c r="P229" i="1"/>
  <c r="R229" i="1"/>
  <c r="S229" i="1"/>
  <c r="T229" i="1"/>
  <c r="U229" i="1"/>
  <c r="B228" i="1"/>
  <c r="C228" i="1"/>
  <c r="D228" i="1"/>
  <c r="E228" i="1"/>
  <c r="F228" i="1"/>
  <c r="G228" i="1"/>
  <c r="H228" i="1"/>
  <c r="I228" i="1"/>
  <c r="J228" i="1"/>
  <c r="K228" i="1"/>
  <c r="L228" i="1"/>
  <c r="M228" i="1"/>
  <c r="N228" i="1"/>
  <c r="O228" i="1"/>
  <c r="P228" i="1"/>
  <c r="R228" i="1"/>
  <c r="S228" i="1"/>
  <c r="T228" i="1"/>
  <c r="U228" i="1"/>
  <c r="B227" i="1"/>
  <c r="C227" i="1"/>
  <c r="D227" i="1"/>
  <c r="E227" i="1"/>
  <c r="F227" i="1"/>
  <c r="G227" i="1"/>
  <c r="H227" i="1"/>
  <c r="I227" i="1"/>
  <c r="J227" i="1"/>
  <c r="K227" i="1"/>
  <c r="L227" i="1"/>
  <c r="M227" i="1"/>
  <c r="N227" i="1"/>
  <c r="O227" i="1"/>
  <c r="P227" i="1"/>
  <c r="R227" i="1"/>
  <c r="S227" i="1"/>
  <c r="T227" i="1"/>
  <c r="U227" i="1"/>
  <c r="B226" i="1"/>
  <c r="C226" i="1"/>
  <c r="D226" i="1"/>
  <c r="E226" i="1"/>
  <c r="F226" i="1"/>
  <c r="G226" i="1"/>
  <c r="H226" i="1"/>
  <c r="I226" i="1"/>
  <c r="J226" i="1"/>
  <c r="K226" i="1"/>
  <c r="L226" i="1"/>
  <c r="M226" i="1"/>
  <c r="N226" i="1"/>
  <c r="O226" i="1"/>
  <c r="P226" i="1"/>
  <c r="R226" i="1"/>
  <c r="S226" i="1"/>
  <c r="T226" i="1"/>
  <c r="U226" i="1"/>
  <c r="B225" i="1"/>
  <c r="C225" i="1"/>
  <c r="D225" i="1"/>
  <c r="E225" i="1"/>
  <c r="F225" i="1"/>
  <c r="G225" i="1"/>
  <c r="H225" i="1"/>
  <c r="I225" i="1"/>
  <c r="J225" i="1"/>
  <c r="K225" i="1"/>
  <c r="L225" i="1"/>
  <c r="M225" i="1"/>
  <c r="N225" i="1"/>
  <c r="O225" i="1"/>
  <c r="P225" i="1"/>
  <c r="R225" i="1"/>
  <c r="S225" i="1"/>
  <c r="T225" i="1"/>
  <c r="U225" i="1"/>
  <c r="B224" i="1"/>
  <c r="C224" i="1"/>
  <c r="D224" i="1"/>
  <c r="E224" i="1"/>
  <c r="F224" i="1"/>
  <c r="G224" i="1"/>
  <c r="H224" i="1"/>
  <c r="I224" i="1"/>
  <c r="J224" i="1"/>
  <c r="K224" i="1"/>
  <c r="L224" i="1"/>
  <c r="M224" i="1"/>
  <c r="N224" i="1"/>
  <c r="O224" i="1"/>
  <c r="P224" i="1"/>
  <c r="R224" i="1"/>
  <c r="S224" i="1"/>
  <c r="T224" i="1"/>
  <c r="U224" i="1"/>
  <c r="B223" i="1"/>
  <c r="C223" i="1"/>
  <c r="D223" i="1"/>
  <c r="E223" i="1"/>
  <c r="F223" i="1"/>
  <c r="G223" i="1"/>
  <c r="H223" i="1"/>
  <c r="I223" i="1"/>
  <c r="J223" i="1"/>
  <c r="K223" i="1"/>
  <c r="L223" i="1"/>
  <c r="M223" i="1"/>
  <c r="N223" i="1"/>
  <c r="O223" i="1"/>
  <c r="P223" i="1"/>
  <c r="R223" i="1"/>
  <c r="S223" i="1"/>
  <c r="T223" i="1"/>
  <c r="U223" i="1"/>
  <c r="B222" i="1"/>
  <c r="C222" i="1"/>
  <c r="D222" i="1"/>
  <c r="E222" i="1"/>
  <c r="F222" i="1"/>
  <c r="G222" i="1"/>
  <c r="H222" i="1"/>
  <c r="I222" i="1"/>
  <c r="J222" i="1"/>
  <c r="K222" i="1"/>
  <c r="L222" i="1"/>
  <c r="M222" i="1"/>
  <c r="N222" i="1"/>
  <c r="O222" i="1"/>
  <c r="P222" i="1"/>
  <c r="R222" i="1"/>
  <c r="S222" i="1"/>
  <c r="T222" i="1"/>
  <c r="U222" i="1"/>
  <c r="B221" i="1"/>
  <c r="C221" i="1"/>
  <c r="D221" i="1"/>
  <c r="E221" i="1"/>
  <c r="F221" i="1"/>
  <c r="G221" i="1"/>
  <c r="H221" i="1"/>
  <c r="I221" i="1"/>
  <c r="J221" i="1"/>
  <c r="K221" i="1"/>
  <c r="L221" i="1"/>
  <c r="M221" i="1"/>
  <c r="N221" i="1"/>
  <c r="O221" i="1"/>
  <c r="P221" i="1"/>
  <c r="R221" i="1"/>
  <c r="S221" i="1"/>
  <c r="T221" i="1"/>
  <c r="U221" i="1"/>
  <c r="B220" i="1"/>
  <c r="C220" i="1"/>
  <c r="D220" i="1"/>
  <c r="E220" i="1"/>
  <c r="F220" i="1"/>
  <c r="G220" i="1"/>
  <c r="H220" i="1"/>
  <c r="I220" i="1"/>
  <c r="J220" i="1"/>
  <c r="K220" i="1"/>
  <c r="L220" i="1"/>
  <c r="M220" i="1"/>
  <c r="N220" i="1"/>
  <c r="O220" i="1"/>
  <c r="P220" i="1"/>
  <c r="R220" i="1"/>
  <c r="S220" i="1"/>
  <c r="T220" i="1"/>
  <c r="U220" i="1"/>
  <c r="B219" i="1"/>
  <c r="C219" i="1"/>
  <c r="D219" i="1"/>
  <c r="E219" i="1"/>
  <c r="F219" i="1"/>
  <c r="G219" i="1"/>
  <c r="H219" i="1"/>
  <c r="I219" i="1"/>
  <c r="J219" i="1"/>
  <c r="K219" i="1"/>
  <c r="L219" i="1"/>
  <c r="M219" i="1"/>
  <c r="N219" i="1"/>
  <c r="O219" i="1"/>
  <c r="P219" i="1"/>
  <c r="R219" i="1"/>
  <c r="S219" i="1"/>
  <c r="T219" i="1"/>
  <c r="U219" i="1"/>
  <c r="B218" i="1"/>
  <c r="C218" i="1"/>
  <c r="D218" i="1"/>
  <c r="E218" i="1"/>
  <c r="F218" i="1"/>
  <c r="G218" i="1"/>
  <c r="H218" i="1"/>
  <c r="I218" i="1"/>
  <c r="J218" i="1"/>
  <c r="K218" i="1"/>
  <c r="L218" i="1"/>
  <c r="M218" i="1"/>
  <c r="N218" i="1"/>
  <c r="O218" i="1"/>
  <c r="P218" i="1"/>
  <c r="R218" i="1"/>
  <c r="S218" i="1"/>
  <c r="T218" i="1"/>
  <c r="U218" i="1"/>
  <c r="B217" i="1"/>
  <c r="C217" i="1"/>
  <c r="D217" i="1"/>
  <c r="E217" i="1"/>
  <c r="F217" i="1"/>
  <c r="G217" i="1"/>
  <c r="H217" i="1"/>
  <c r="I217" i="1"/>
  <c r="J217" i="1"/>
  <c r="K217" i="1"/>
  <c r="L217" i="1"/>
  <c r="M217" i="1"/>
  <c r="N217" i="1"/>
  <c r="O217" i="1"/>
  <c r="P217" i="1"/>
  <c r="R217" i="1"/>
  <c r="S217" i="1"/>
  <c r="T217" i="1"/>
  <c r="U217" i="1"/>
  <c r="B216" i="1"/>
  <c r="C216" i="1"/>
  <c r="D216" i="1"/>
  <c r="E216" i="1"/>
  <c r="F216" i="1"/>
  <c r="G216" i="1"/>
  <c r="H216" i="1"/>
  <c r="I216" i="1"/>
  <c r="J216" i="1"/>
  <c r="K216" i="1"/>
  <c r="L216" i="1"/>
  <c r="M216" i="1"/>
  <c r="N216" i="1"/>
  <c r="O216" i="1"/>
  <c r="P216" i="1"/>
  <c r="R216" i="1"/>
  <c r="S216" i="1"/>
  <c r="T216" i="1"/>
  <c r="U216" i="1"/>
  <c r="B215" i="1"/>
  <c r="C215" i="1"/>
  <c r="D215" i="1"/>
  <c r="E215" i="1"/>
  <c r="F215" i="1"/>
  <c r="G215" i="1"/>
  <c r="H215" i="1"/>
  <c r="I215" i="1"/>
  <c r="J215" i="1"/>
  <c r="K215" i="1"/>
  <c r="L215" i="1"/>
  <c r="M215" i="1"/>
  <c r="N215" i="1"/>
  <c r="O215" i="1"/>
  <c r="P215" i="1"/>
  <c r="R215" i="1"/>
  <c r="S215" i="1"/>
  <c r="T215" i="1"/>
  <c r="U215" i="1"/>
  <c r="B214" i="1"/>
  <c r="C214" i="1"/>
  <c r="D214" i="1"/>
  <c r="E214" i="1"/>
  <c r="F214" i="1"/>
  <c r="G214" i="1"/>
  <c r="H214" i="1"/>
  <c r="I214" i="1"/>
  <c r="J214" i="1"/>
  <c r="K214" i="1"/>
  <c r="L214" i="1"/>
  <c r="M214" i="1"/>
  <c r="N214" i="1"/>
  <c r="O214" i="1"/>
  <c r="P214" i="1"/>
  <c r="R214" i="1"/>
  <c r="S214" i="1"/>
  <c r="T214" i="1"/>
  <c r="U214" i="1"/>
  <c r="B213" i="1"/>
  <c r="C213" i="1"/>
  <c r="D213" i="1"/>
  <c r="E213" i="1"/>
  <c r="F213" i="1"/>
  <c r="G213" i="1"/>
  <c r="H213" i="1"/>
  <c r="I213" i="1"/>
  <c r="J213" i="1"/>
  <c r="K213" i="1"/>
  <c r="L213" i="1"/>
  <c r="M213" i="1"/>
  <c r="N213" i="1"/>
  <c r="O213" i="1"/>
  <c r="P213" i="1"/>
  <c r="R213" i="1"/>
  <c r="S213" i="1"/>
  <c r="T213" i="1"/>
  <c r="U213" i="1"/>
  <c r="B212" i="1"/>
  <c r="C212" i="1"/>
  <c r="D212" i="1"/>
  <c r="E212" i="1"/>
  <c r="F212" i="1"/>
  <c r="G212" i="1"/>
  <c r="H212" i="1"/>
  <c r="I212" i="1"/>
  <c r="J212" i="1"/>
  <c r="K212" i="1"/>
  <c r="L212" i="1"/>
  <c r="M212" i="1"/>
  <c r="N212" i="1"/>
  <c r="O212" i="1"/>
  <c r="P212" i="1"/>
  <c r="R212" i="1"/>
  <c r="S212" i="1"/>
  <c r="T212" i="1"/>
  <c r="U212" i="1"/>
  <c r="B211" i="1"/>
  <c r="C211" i="1"/>
  <c r="D211" i="1"/>
  <c r="E211" i="1"/>
  <c r="F211" i="1"/>
  <c r="G211" i="1"/>
  <c r="H211" i="1"/>
  <c r="I211" i="1"/>
  <c r="J211" i="1"/>
  <c r="K211" i="1"/>
  <c r="L211" i="1"/>
  <c r="M211" i="1"/>
  <c r="N211" i="1"/>
  <c r="O211" i="1"/>
  <c r="P211" i="1"/>
  <c r="R211" i="1"/>
  <c r="S211" i="1"/>
  <c r="T211" i="1"/>
  <c r="U211" i="1"/>
  <c r="B210" i="1"/>
  <c r="C210" i="1"/>
  <c r="D210" i="1"/>
  <c r="E210" i="1"/>
  <c r="F210" i="1"/>
  <c r="G210" i="1"/>
  <c r="H210" i="1"/>
  <c r="I210" i="1"/>
  <c r="J210" i="1"/>
  <c r="K210" i="1"/>
  <c r="L210" i="1"/>
  <c r="M210" i="1"/>
  <c r="N210" i="1"/>
  <c r="O210" i="1"/>
  <c r="P210" i="1"/>
  <c r="R210" i="1"/>
  <c r="S210" i="1"/>
  <c r="T210" i="1"/>
  <c r="U210" i="1"/>
  <c r="B209" i="1"/>
  <c r="C209" i="1"/>
  <c r="D209" i="1"/>
  <c r="E209" i="1"/>
  <c r="F209" i="1"/>
  <c r="G209" i="1"/>
  <c r="H209" i="1"/>
  <c r="I209" i="1"/>
  <c r="J209" i="1"/>
  <c r="K209" i="1"/>
  <c r="L209" i="1"/>
  <c r="M209" i="1"/>
  <c r="N209" i="1"/>
  <c r="O209" i="1"/>
  <c r="P209" i="1"/>
  <c r="R209" i="1"/>
  <c r="S209" i="1"/>
  <c r="T209" i="1"/>
  <c r="U209" i="1"/>
  <c r="B208" i="1"/>
  <c r="C208" i="1"/>
  <c r="D208" i="1"/>
  <c r="E208" i="1"/>
  <c r="F208" i="1"/>
  <c r="G208" i="1"/>
  <c r="H208" i="1"/>
  <c r="I208" i="1"/>
  <c r="J208" i="1"/>
  <c r="K208" i="1"/>
  <c r="L208" i="1"/>
  <c r="M208" i="1"/>
  <c r="N208" i="1"/>
  <c r="O208" i="1"/>
  <c r="P208" i="1"/>
  <c r="R208" i="1"/>
  <c r="S208" i="1"/>
  <c r="T208" i="1"/>
  <c r="U208" i="1"/>
  <c r="B207" i="1"/>
  <c r="C207" i="1"/>
  <c r="D207" i="1"/>
  <c r="E207" i="1"/>
  <c r="F207" i="1"/>
  <c r="G207" i="1"/>
  <c r="H207" i="1"/>
  <c r="I207" i="1"/>
  <c r="J207" i="1"/>
  <c r="K207" i="1"/>
  <c r="L207" i="1"/>
  <c r="M207" i="1"/>
  <c r="N207" i="1"/>
  <c r="O207" i="1"/>
  <c r="P207" i="1"/>
  <c r="R207" i="1"/>
  <c r="S207" i="1"/>
  <c r="T207" i="1"/>
  <c r="U207" i="1"/>
  <c r="B206" i="1"/>
  <c r="C206" i="1"/>
  <c r="D206" i="1"/>
  <c r="E206" i="1"/>
  <c r="F206" i="1"/>
  <c r="G206" i="1"/>
  <c r="H206" i="1"/>
  <c r="I206" i="1"/>
  <c r="J206" i="1"/>
  <c r="K206" i="1"/>
  <c r="L206" i="1"/>
  <c r="M206" i="1"/>
  <c r="N206" i="1"/>
  <c r="O206" i="1"/>
  <c r="P206" i="1"/>
  <c r="R206" i="1"/>
  <c r="S206" i="1"/>
  <c r="T206" i="1"/>
  <c r="U206" i="1"/>
  <c r="B205" i="1"/>
  <c r="C205" i="1"/>
  <c r="D205" i="1"/>
  <c r="E205" i="1"/>
  <c r="F205" i="1"/>
  <c r="G205" i="1"/>
  <c r="H205" i="1"/>
  <c r="I205" i="1"/>
  <c r="J205" i="1"/>
  <c r="K205" i="1"/>
  <c r="L205" i="1"/>
  <c r="M205" i="1"/>
  <c r="N205" i="1"/>
  <c r="O205" i="1"/>
  <c r="P205" i="1"/>
  <c r="R205" i="1"/>
  <c r="S205" i="1"/>
  <c r="T205" i="1"/>
  <c r="U205" i="1"/>
  <c r="B204" i="1"/>
  <c r="C204" i="1"/>
  <c r="D204" i="1"/>
  <c r="E204" i="1"/>
  <c r="F204" i="1"/>
  <c r="G204" i="1"/>
  <c r="H204" i="1"/>
  <c r="I204" i="1"/>
  <c r="J204" i="1"/>
  <c r="K204" i="1"/>
  <c r="L204" i="1"/>
  <c r="M204" i="1"/>
  <c r="N204" i="1"/>
  <c r="O204" i="1"/>
  <c r="P204" i="1"/>
  <c r="R204" i="1"/>
  <c r="S204" i="1"/>
  <c r="T204" i="1"/>
  <c r="U204" i="1"/>
  <c r="B203" i="1"/>
  <c r="C203" i="1"/>
  <c r="D203" i="1"/>
  <c r="E203" i="1"/>
  <c r="F203" i="1"/>
  <c r="G203" i="1"/>
  <c r="H203" i="1"/>
  <c r="I203" i="1"/>
  <c r="J203" i="1"/>
  <c r="K203" i="1"/>
  <c r="L203" i="1"/>
  <c r="M203" i="1"/>
  <c r="N203" i="1"/>
  <c r="O203" i="1"/>
  <c r="P203" i="1"/>
  <c r="R203" i="1"/>
  <c r="S203" i="1"/>
  <c r="T203" i="1"/>
  <c r="U203" i="1"/>
  <c r="B202" i="1"/>
  <c r="C202" i="1"/>
  <c r="D202" i="1"/>
  <c r="E202" i="1"/>
  <c r="F202" i="1"/>
  <c r="G202" i="1"/>
  <c r="H202" i="1"/>
  <c r="I202" i="1"/>
  <c r="J202" i="1"/>
  <c r="K202" i="1"/>
  <c r="L202" i="1"/>
  <c r="M202" i="1"/>
  <c r="N202" i="1"/>
  <c r="O202" i="1"/>
  <c r="P202" i="1"/>
  <c r="R202" i="1"/>
  <c r="S202" i="1"/>
  <c r="T202" i="1"/>
  <c r="U202" i="1"/>
  <c r="B201" i="1"/>
  <c r="C201" i="1"/>
  <c r="D201" i="1"/>
  <c r="E201" i="1"/>
  <c r="F201" i="1"/>
  <c r="G201" i="1"/>
  <c r="H201" i="1"/>
  <c r="I201" i="1"/>
  <c r="J201" i="1"/>
  <c r="K201" i="1"/>
  <c r="L201" i="1"/>
  <c r="M201" i="1"/>
  <c r="N201" i="1"/>
  <c r="O201" i="1"/>
  <c r="P201" i="1"/>
  <c r="R201" i="1"/>
  <c r="S201" i="1"/>
  <c r="T201" i="1"/>
  <c r="U201" i="1"/>
  <c r="B200" i="1"/>
  <c r="C200" i="1"/>
  <c r="D200" i="1"/>
  <c r="E200" i="1"/>
  <c r="F200" i="1"/>
  <c r="G200" i="1"/>
  <c r="H200" i="1"/>
  <c r="I200" i="1"/>
  <c r="J200" i="1"/>
  <c r="K200" i="1"/>
  <c r="L200" i="1"/>
  <c r="M200" i="1"/>
  <c r="N200" i="1"/>
  <c r="O200" i="1"/>
  <c r="P200" i="1"/>
  <c r="R200" i="1"/>
  <c r="S200" i="1"/>
  <c r="T200" i="1"/>
  <c r="U200" i="1"/>
  <c r="B199" i="1"/>
  <c r="C199" i="1"/>
  <c r="D199" i="1"/>
  <c r="E199" i="1"/>
  <c r="F199" i="1"/>
  <c r="G199" i="1"/>
  <c r="H199" i="1"/>
  <c r="I199" i="1"/>
  <c r="J199" i="1"/>
  <c r="K199" i="1"/>
  <c r="L199" i="1"/>
  <c r="M199" i="1"/>
  <c r="N199" i="1"/>
  <c r="O199" i="1"/>
  <c r="P199" i="1"/>
  <c r="R199" i="1"/>
  <c r="S199" i="1"/>
  <c r="T199" i="1"/>
  <c r="U199" i="1"/>
  <c r="B198" i="1"/>
  <c r="C198" i="1"/>
  <c r="D198" i="1"/>
  <c r="E198" i="1"/>
  <c r="F198" i="1"/>
  <c r="G198" i="1"/>
  <c r="H198" i="1"/>
  <c r="I198" i="1"/>
  <c r="J198" i="1"/>
  <c r="K198" i="1"/>
  <c r="L198" i="1"/>
  <c r="M198" i="1"/>
  <c r="N198" i="1"/>
  <c r="O198" i="1"/>
  <c r="P198" i="1"/>
  <c r="R198" i="1"/>
  <c r="S198" i="1"/>
  <c r="T198" i="1"/>
  <c r="U198" i="1"/>
  <c r="S197" i="1"/>
  <c r="T197" i="1"/>
  <c r="R197" i="1"/>
  <c r="P197" i="1"/>
  <c r="N197" i="1"/>
  <c r="O197" i="1"/>
  <c r="M197" i="1"/>
  <c r="L197" i="1"/>
  <c r="K197" i="1"/>
  <c r="J197" i="1"/>
  <c r="H197" i="1"/>
  <c r="I197" i="1"/>
  <c r="F197" i="1"/>
  <c r="G197" i="1"/>
  <c r="D197" i="1"/>
  <c r="E197" i="1"/>
  <c r="B197" i="1"/>
  <c r="C197" i="1"/>
  <c r="B196" i="1"/>
  <c r="D196" i="1"/>
  <c r="E196" i="1"/>
  <c r="F196" i="1"/>
  <c r="G196" i="1"/>
  <c r="H196" i="1"/>
  <c r="I196" i="1"/>
  <c r="J196" i="1"/>
  <c r="K196" i="1"/>
  <c r="L196" i="1"/>
  <c r="M196" i="1"/>
  <c r="N196" i="1"/>
  <c r="O196" i="1"/>
  <c r="P196" i="1"/>
  <c r="R196" i="1"/>
  <c r="S196" i="1"/>
  <c r="T196" i="1"/>
  <c r="U196" i="1"/>
  <c r="B195" i="1"/>
  <c r="D195" i="1"/>
  <c r="E195" i="1"/>
  <c r="F195" i="1"/>
  <c r="G195" i="1"/>
  <c r="H195" i="1"/>
  <c r="I195" i="1"/>
  <c r="J195" i="1"/>
  <c r="K195" i="1"/>
  <c r="L195" i="1"/>
  <c r="M195" i="1"/>
  <c r="N195" i="1"/>
  <c r="O195" i="1"/>
  <c r="P195" i="1"/>
  <c r="R195" i="1"/>
  <c r="S195" i="1"/>
  <c r="T195" i="1"/>
  <c r="U195" i="1"/>
  <c r="B194" i="1"/>
  <c r="D194" i="1"/>
  <c r="E194" i="1"/>
  <c r="F194" i="1"/>
  <c r="G194" i="1"/>
  <c r="H194" i="1"/>
  <c r="I194" i="1"/>
  <c r="J194" i="1"/>
  <c r="K194" i="1"/>
  <c r="L194" i="1"/>
  <c r="M194" i="1"/>
  <c r="N194" i="1"/>
  <c r="O194" i="1"/>
  <c r="P194" i="1"/>
  <c r="R194" i="1"/>
  <c r="S194" i="1"/>
  <c r="T194" i="1"/>
  <c r="U194" i="1"/>
  <c r="B193" i="1"/>
  <c r="D193" i="1"/>
  <c r="E193" i="1"/>
  <c r="F193" i="1"/>
  <c r="G193" i="1"/>
  <c r="H193" i="1"/>
  <c r="I193" i="1"/>
  <c r="J193" i="1"/>
  <c r="K193" i="1"/>
  <c r="L193" i="1"/>
  <c r="M193" i="1"/>
  <c r="N193" i="1"/>
  <c r="O193" i="1"/>
  <c r="P193" i="1"/>
  <c r="R193" i="1"/>
  <c r="S193" i="1"/>
  <c r="T193" i="1"/>
  <c r="U193" i="1"/>
  <c r="B192" i="1"/>
  <c r="D192" i="1"/>
  <c r="E192" i="1"/>
  <c r="F192" i="1"/>
  <c r="G192" i="1"/>
  <c r="H192" i="1"/>
  <c r="I192" i="1"/>
  <c r="J192" i="1"/>
  <c r="K192" i="1"/>
  <c r="L192" i="1"/>
  <c r="M192" i="1"/>
  <c r="N192" i="1"/>
  <c r="O192" i="1"/>
  <c r="P192" i="1"/>
  <c r="R192" i="1"/>
  <c r="S192" i="1"/>
  <c r="T192" i="1"/>
  <c r="U192" i="1"/>
  <c r="B191" i="1"/>
  <c r="D191" i="1"/>
  <c r="E191" i="1"/>
  <c r="F191" i="1"/>
  <c r="G191" i="1"/>
  <c r="H191" i="1"/>
  <c r="I191" i="1"/>
  <c r="J191" i="1"/>
  <c r="K191" i="1"/>
  <c r="L191" i="1"/>
  <c r="M191" i="1"/>
  <c r="N191" i="1"/>
  <c r="O191" i="1"/>
  <c r="P191" i="1"/>
  <c r="R191" i="1"/>
  <c r="S191" i="1"/>
  <c r="T191" i="1"/>
  <c r="U191" i="1"/>
  <c r="B190" i="1"/>
  <c r="D190" i="1"/>
  <c r="E190" i="1"/>
  <c r="F190" i="1"/>
  <c r="G190" i="1"/>
  <c r="H190" i="1"/>
  <c r="I190" i="1"/>
  <c r="J190" i="1"/>
  <c r="K190" i="1"/>
  <c r="L190" i="1"/>
  <c r="M190" i="1"/>
  <c r="N190" i="1"/>
  <c r="O190" i="1"/>
  <c r="P190" i="1"/>
  <c r="R190" i="1"/>
  <c r="S190" i="1"/>
  <c r="T190" i="1"/>
  <c r="U190" i="1"/>
  <c r="B189" i="1"/>
  <c r="D189" i="1"/>
  <c r="E189" i="1"/>
  <c r="F189" i="1"/>
  <c r="G189" i="1"/>
  <c r="H189" i="1"/>
  <c r="I189" i="1"/>
  <c r="J189" i="1"/>
  <c r="K189" i="1"/>
  <c r="L189" i="1"/>
  <c r="M189" i="1"/>
  <c r="N189" i="1"/>
  <c r="O189" i="1"/>
  <c r="P189" i="1"/>
  <c r="R189" i="1"/>
  <c r="S189" i="1"/>
  <c r="T189" i="1"/>
  <c r="U189" i="1"/>
  <c r="B188" i="1"/>
  <c r="D188" i="1"/>
  <c r="E188" i="1"/>
  <c r="F188" i="1"/>
  <c r="G188" i="1"/>
  <c r="H188" i="1"/>
  <c r="I188" i="1"/>
  <c r="J188" i="1"/>
  <c r="K188" i="1"/>
  <c r="L188" i="1"/>
  <c r="M188" i="1"/>
  <c r="N188" i="1"/>
  <c r="O188" i="1"/>
  <c r="P188" i="1"/>
  <c r="R188" i="1"/>
  <c r="S188" i="1"/>
  <c r="T188" i="1"/>
  <c r="U188" i="1"/>
  <c r="B187" i="1"/>
  <c r="D187" i="1"/>
  <c r="E187" i="1"/>
  <c r="F187" i="1"/>
  <c r="G187" i="1"/>
  <c r="H187" i="1"/>
  <c r="I187" i="1"/>
  <c r="J187" i="1"/>
  <c r="K187" i="1"/>
  <c r="L187" i="1"/>
  <c r="M187" i="1"/>
  <c r="N187" i="1"/>
  <c r="O187" i="1"/>
  <c r="P187" i="1"/>
  <c r="R187" i="1"/>
  <c r="S187" i="1"/>
  <c r="T187" i="1"/>
  <c r="U187" i="1"/>
  <c r="B186" i="1"/>
  <c r="D186" i="1"/>
  <c r="E186" i="1"/>
  <c r="F186" i="1"/>
  <c r="G186" i="1"/>
  <c r="H186" i="1"/>
  <c r="I186" i="1"/>
  <c r="J186" i="1"/>
  <c r="K186" i="1"/>
  <c r="L186" i="1"/>
  <c r="M186" i="1"/>
  <c r="N186" i="1"/>
  <c r="O186" i="1"/>
  <c r="P186" i="1"/>
  <c r="R186" i="1"/>
  <c r="S186" i="1"/>
  <c r="T186" i="1"/>
  <c r="U186" i="1"/>
  <c r="B185" i="1"/>
  <c r="D185" i="1"/>
  <c r="E185" i="1"/>
  <c r="F185" i="1"/>
  <c r="G185" i="1"/>
  <c r="H185" i="1"/>
  <c r="I185" i="1"/>
  <c r="J185" i="1"/>
  <c r="K185" i="1"/>
  <c r="L185" i="1"/>
  <c r="M185" i="1"/>
  <c r="N185" i="1"/>
  <c r="O185" i="1"/>
  <c r="P185" i="1"/>
  <c r="R185" i="1"/>
  <c r="S185" i="1"/>
  <c r="T185" i="1"/>
  <c r="U185" i="1"/>
  <c r="B184" i="1"/>
  <c r="D184" i="1"/>
  <c r="E184" i="1"/>
  <c r="F184" i="1"/>
  <c r="G184" i="1"/>
  <c r="H184" i="1"/>
  <c r="I184" i="1"/>
  <c r="J184" i="1"/>
  <c r="K184" i="1"/>
  <c r="L184" i="1"/>
  <c r="M184" i="1"/>
  <c r="N184" i="1"/>
  <c r="O184" i="1"/>
  <c r="P184" i="1"/>
  <c r="R184" i="1"/>
  <c r="S184" i="1"/>
  <c r="T184" i="1"/>
  <c r="U184" i="1"/>
  <c r="B183" i="1"/>
  <c r="D183" i="1"/>
  <c r="E183" i="1"/>
  <c r="F183" i="1"/>
  <c r="G183" i="1"/>
  <c r="H183" i="1"/>
  <c r="I183" i="1"/>
  <c r="J183" i="1"/>
  <c r="K183" i="1"/>
  <c r="L183" i="1"/>
  <c r="M183" i="1"/>
  <c r="N183" i="1"/>
  <c r="O183" i="1"/>
  <c r="P183" i="1"/>
  <c r="R183" i="1"/>
  <c r="S183" i="1"/>
  <c r="T183" i="1"/>
  <c r="U183" i="1"/>
  <c r="B182" i="1"/>
  <c r="D182" i="1"/>
  <c r="E182" i="1"/>
  <c r="F182" i="1"/>
  <c r="G182" i="1"/>
  <c r="H182" i="1"/>
  <c r="I182" i="1"/>
  <c r="J182" i="1"/>
  <c r="K182" i="1"/>
  <c r="L182" i="1"/>
  <c r="M182" i="1"/>
  <c r="N182" i="1"/>
  <c r="O182" i="1"/>
  <c r="P182" i="1"/>
  <c r="R182" i="1"/>
  <c r="S182" i="1"/>
  <c r="T182" i="1"/>
  <c r="U182" i="1"/>
  <c r="B181" i="1"/>
  <c r="D181" i="1"/>
  <c r="E181" i="1"/>
  <c r="F181" i="1"/>
  <c r="G181" i="1"/>
  <c r="H181" i="1"/>
  <c r="I181" i="1"/>
  <c r="J181" i="1"/>
  <c r="K181" i="1"/>
  <c r="L181" i="1"/>
  <c r="M181" i="1"/>
  <c r="N181" i="1"/>
  <c r="O181" i="1"/>
  <c r="P181" i="1"/>
  <c r="S181" i="1"/>
  <c r="T181" i="1"/>
  <c r="U181" i="1"/>
  <c r="B180" i="1"/>
  <c r="D180" i="1"/>
  <c r="E180" i="1"/>
  <c r="F180" i="1"/>
  <c r="G180" i="1"/>
  <c r="H180" i="1"/>
  <c r="I180" i="1"/>
  <c r="J180" i="1"/>
  <c r="K180" i="1"/>
  <c r="L180" i="1"/>
  <c r="M180" i="1"/>
  <c r="N180" i="1"/>
  <c r="O180" i="1"/>
  <c r="P180" i="1"/>
  <c r="R180" i="1"/>
  <c r="S180" i="1"/>
  <c r="T180" i="1"/>
  <c r="U180" i="1"/>
  <c r="B179" i="1"/>
  <c r="D179" i="1"/>
  <c r="E179" i="1"/>
  <c r="F179" i="1"/>
  <c r="G179" i="1"/>
  <c r="H179" i="1"/>
  <c r="I179" i="1"/>
  <c r="J179" i="1"/>
  <c r="K179" i="1"/>
  <c r="L179" i="1"/>
  <c r="M179" i="1"/>
  <c r="N179" i="1"/>
  <c r="O179" i="1"/>
  <c r="P179" i="1"/>
  <c r="R179" i="1"/>
  <c r="S179" i="1"/>
  <c r="T179" i="1"/>
  <c r="U179" i="1"/>
  <c r="B178" i="1"/>
  <c r="D178" i="1"/>
  <c r="E178" i="1"/>
  <c r="F178" i="1"/>
  <c r="G178" i="1"/>
  <c r="H178" i="1"/>
  <c r="I178" i="1"/>
  <c r="J178" i="1"/>
  <c r="K178" i="1"/>
  <c r="L178" i="1"/>
  <c r="M178" i="1"/>
  <c r="N178" i="1"/>
  <c r="O178" i="1"/>
  <c r="P178" i="1"/>
  <c r="R178" i="1"/>
  <c r="S178" i="1"/>
  <c r="T178" i="1"/>
  <c r="U178" i="1"/>
  <c r="B177" i="1"/>
  <c r="D177" i="1"/>
  <c r="E177" i="1"/>
  <c r="F177" i="1"/>
  <c r="G177" i="1"/>
  <c r="H177" i="1"/>
  <c r="I177" i="1"/>
  <c r="J177" i="1"/>
  <c r="K177" i="1"/>
  <c r="L177" i="1"/>
  <c r="M177" i="1"/>
  <c r="N177" i="1"/>
  <c r="O177" i="1"/>
  <c r="P177" i="1"/>
  <c r="R177" i="1"/>
  <c r="S177" i="1"/>
  <c r="T177" i="1"/>
  <c r="U177" i="1"/>
  <c r="B176" i="1"/>
  <c r="D176" i="1"/>
  <c r="E176" i="1"/>
  <c r="F176" i="1"/>
  <c r="G176" i="1"/>
  <c r="H176" i="1"/>
  <c r="I176" i="1"/>
  <c r="J176" i="1"/>
  <c r="K176" i="1"/>
  <c r="L176" i="1"/>
  <c r="M176" i="1"/>
  <c r="N176" i="1"/>
  <c r="O176" i="1"/>
  <c r="P176" i="1"/>
  <c r="R176" i="1"/>
  <c r="S176" i="1"/>
  <c r="T176" i="1"/>
  <c r="U176" i="1"/>
  <c r="B175" i="1"/>
  <c r="D175" i="1"/>
  <c r="E175" i="1"/>
  <c r="F175" i="1"/>
  <c r="G175" i="1"/>
  <c r="H175" i="1"/>
  <c r="I175" i="1"/>
  <c r="J175" i="1"/>
  <c r="K175" i="1"/>
  <c r="L175" i="1"/>
  <c r="M175" i="1"/>
  <c r="N175" i="1"/>
  <c r="O175" i="1"/>
  <c r="P175" i="1"/>
  <c r="R175" i="1"/>
  <c r="S175" i="1"/>
  <c r="T175" i="1"/>
  <c r="U175" i="1"/>
  <c r="B174" i="1"/>
  <c r="D174" i="1"/>
  <c r="E174" i="1"/>
  <c r="F174" i="1"/>
  <c r="G174" i="1"/>
  <c r="H174" i="1"/>
  <c r="I174" i="1"/>
  <c r="J174" i="1"/>
  <c r="K174" i="1"/>
  <c r="L174" i="1"/>
  <c r="M174" i="1"/>
  <c r="N174" i="1"/>
  <c r="O174" i="1"/>
  <c r="P174" i="1"/>
  <c r="R174" i="1"/>
  <c r="S174" i="1"/>
  <c r="T174" i="1"/>
  <c r="U174" i="1"/>
  <c r="B173" i="1"/>
  <c r="D173" i="1"/>
  <c r="E173" i="1"/>
  <c r="F173" i="1"/>
  <c r="G173" i="1"/>
  <c r="H173" i="1"/>
  <c r="I173" i="1"/>
  <c r="J173" i="1"/>
  <c r="K173" i="1"/>
  <c r="L173" i="1"/>
  <c r="M173" i="1"/>
  <c r="N173" i="1"/>
  <c r="O173" i="1"/>
  <c r="P173" i="1"/>
  <c r="R173" i="1"/>
  <c r="S173" i="1"/>
  <c r="T173" i="1"/>
  <c r="U173" i="1"/>
  <c r="B172" i="1"/>
  <c r="D172" i="1"/>
  <c r="E172" i="1"/>
  <c r="F172" i="1"/>
  <c r="G172" i="1"/>
  <c r="H172" i="1"/>
  <c r="I172" i="1"/>
  <c r="J172" i="1"/>
  <c r="K172" i="1"/>
  <c r="L172" i="1"/>
  <c r="M172" i="1"/>
  <c r="N172" i="1"/>
  <c r="O172" i="1"/>
  <c r="P172" i="1"/>
  <c r="R172" i="1"/>
  <c r="S172" i="1"/>
  <c r="T172" i="1"/>
  <c r="U172" i="1"/>
  <c r="B171" i="1"/>
  <c r="D171" i="1"/>
  <c r="E171" i="1"/>
  <c r="F171" i="1"/>
  <c r="G171" i="1"/>
  <c r="H171" i="1"/>
  <c r="I171" i="1"/>
  <c r="J171" i="1"/>
  <c r="K171" i="1"/>
  <c r="L171" i="1"/>
  <c r="M171" i="1"/>
  <c r="N171" i="1"/>
  <c r="O171" i="1"/>
  <c r="P171" i="1"/>
  <c r="R171" i="1"/>
  <c r="S171" i="1"/>
  <c r="T171" i="1"/>
  <c r="U171" i="1"/>
  <c r="B170" i="1"/>
  <c r="D170" i="1"/>
  <c r="E170" i="1"/>
  <c r="F170" i="1"/>
  <c r="G170" i="1"/>
  <c r="H170" i="1"/>
  <c r="I170" i="1"/>
  <c r="J170" i="1"/>
  <c r="K170" i="1"/>
  <c r="L170" i="1"/>
  <c r="M170" i="1"/>
  <c r="N170" i="1"/>
  <c r="O170" i="1"/>
  <c r="P170" i="1"/>
  <c r="R170" i="1"/>
  <c r="S170" i="1"/>
  <c r="T170" i="1"/>
  <c r="U170" i="1"/>
  <c r="B169" i="1"/>
  <c r="D169" i="1"/>
  <c r="E169" i="1"/>
  <c r="F169" i="1"/>
  <c r="G169" i="1"/>
  <c r="H169" i="1"/>
  <c r="I169" i="1"/>
  <c r="J169" i="1"/>
  <c r="K169" i="1"/>
  <c r="L169" i="1"/>
  <c r="M169" i="1"/>
  <c r="N169" i="1"/>
  <c r="O169" i="1"/>
  <c r="P169" i="1"/>
  <c r="R169" i="1"/>
  <c r="S169" i="1"/>
  <c r="T169" i="1"/>
  <c r="U169" i="1"/>
  <c r="B168" i="1"/>
  <c r="D168" i="1"/>
  <c r="E168" i="1"/>
  <c r="F168" i="1"/>
  <c r="G168" i="1"/>
  <c r="H168" i="1"/>
  <c r="I168" i="1"/>
  <c r="J168" i="1"/>
  <c r="K168" i="1"/>
  <c r="L168" i="1"/>
  <c r="M168" i="1"/>
  <c r="N168" i="1"/>
  <c r="O168" i="1"/>
  <c r="P168" i="1"/>
  <c r="R168" i="1"/>
  <c r="S168" i="1"/>
  <c r="T168" i="1"/>
  <c r="U168" i="1"/>
  <c r="B167" i="1"/>
  <c r="D167" i="1"/>
  <c r="E167" i="1"/>
  <c r="F167" i="1"/>
  <c r="G167" i="1"/>
  <c r="H167" i="1"/>
  <c r="I167" i="1"/>
  <c r="J167" i="1"/>
  <c r="K167" i="1"/>
  <c r="L167" i="1"/>
  <c r="M167" i="1"/>
  <c r="N167" i="1"/>
  <c r="O167" i="1"/>
  <c r="P167" i="1"/>
  <c r="R167" i="1"/>
  <c r="S167" i="1"/>
  <c r="T167" i="1"/>
  <c r="U167" i="1"/>
  <c r="B166" i="1"/>
  <c r="D166" i="1"/>
  <c r="E166" i="1"/>
  <c r="F166" i="1"/>
  <c r="G166" i="1"/>
  <c r="H166" i="1"/>
  <c r="I166" i="1"/>
  <c r="J166" i="1"/>
  <c r="K166" i="1"/>
  <c r="L166" i="1"/>
  <c r="M166" i="1"/>
  <c r="N166" i="1"/>
  <c r="O166" i="1"/>
  <c r="P166" i="1"/>
  <c r="R166" i="1"/>
  <c r="S166" i="1"/>
  <c r="T166" i="1"/>
  <c r="U166" i="1"/>
  <c r="B165" i="1"/>
  <c r="D165" i="1"/>
  <c r="E165" i="1"/>
  <c r="F165" i="1"/>
  <c r="G165" i="1"/>
  <c r="H165" i="1"/>
  <c r="I165" i="1"/>
  <c r="J165" i="1"/>
  <c r="K165" i="1"/>
  <c r="L165" i="1"/>
  <c r="M165" i="1"/>
  <c r="N165" i="1"/>
  <c r="O165" i="1"/>
  <c r="P165" i="1"/>
  <c r="R165" i="1"/>
  <c r="S165" i="1"/>
  <c r="T165" i="1"/>
  <c r="U165" i="1"/>
  <c r="B164" i="1"/>
  <c r="D164" i="1"/>
  <c r="E164" i="1"/>
  <c r="F164" i="1"/>
  <c r="G164" i="1"/>
  <c r="H164" i="1"/>
  <c r="I164" i="1"/>
  <c r="J164" i="1"/>
  <c r="K164" i="1"/>
  <c r="L164" i="1"/>
  <c r="M164" i="1"/>
  <c r="N164" i="1"/>
  <c r="O164" i="1"/>
  <c r="P164" i="1"/>
  <c r="R164" i="1"/>
  <c r="S164" i="1"/>
  <c r="T164" i="1"/>
  <c r="U164" i="1"/>
  <c r="B163" i="1"/>
  <c r="D163" i="1"/>
  <c r="E163" i="1"/>
  <c r="F163" i="1"/>
  <c r="G163" i="1"/>
  <c r="H163" i="1"/>
  <c r="I163" i="1"/>
  <c r="J163" i="1"/>
  <c r="K163" i="1"/>
  <c r="L163" i="1"/>
  <c r="M163" i="1"/>
  <c r="N163" i="1"/>
  <c r="O163" i="1"/>
  <c r="P163" i="1"/>
  <c r="R163" i="1"/>
  <c r="S163" i="1"/>
  <c r="T163" i="1"/>
  <c r="U163" i="1"/>
  <c r="B162" i="1"/>
  <c r="D162" i="1"/>
  <c r="E162" i="1"/>
  <c r="F162" i="1"/>
  <c r="G162" i="1"/>
  <c r="H162" i="1"/>
  <c r="I162" i="1"/>
  <c r="J162" i="1"/>
  <c r="K162" i="1"/>
  <c r="L162" i="1"/>
  <c r="M162" i="1"/>
  <c r="N162" i="1"/>
  <c r="O162" i="1"/>
  <c r="P162" i="1"/>
  <c r="R162" i="1"/>
  <c r="S162" i="1"/>
  <c r="T162" i="1"/>
  <c r="U162" i="1"/>
  <c r="B161" i="1"/>
  <c r="D161" i="1"/>
  <c r="E161" i="1"/>
  <c r="F161" i="1"/>
  <c r="G161" i="1"/>
  <c r="H161" i="1"/>
  <c r="I161" i="1"/>
  <c r="J161" i="1"/>
  <c r="K161" i="1"/>
  <c r="L161" i="1"/>
  <c r="M161" i="1"/>
  <c r="N161" i="1"/>
  <c r="O161" i="1"/>
  <c r="P161" i="1"/>
  <c r="R161" i="1"/>
  <c r="S161" i="1"/>
  <c r="T161" i="1"/>
  <c r="U161" i="1"/>
  <c r="B160" i="1"/>
  <c r="D160" i="1"/>
  <c r="E160" i="1"/>
  <c r="F160" i="1"/>
  <c r="G160" i="1"/>
  <c r="H160" i="1"/>
  <c r="I160" i="1"/>
  <c r="J160" i="1"/>
  <c r="K160" i="1"/>
  <c r="L160" i="1"/>
  <c r="M160" i="1"/>
  <c r="N160" i="1"/>
  <c r="O160" i="1"/>
  <c r="P160" i="1"/>
  <c r="R160" i="1"/>
  <c r="S160" i="1"/>
  <c r="T160" i="1"/>
  <c r="U160" i="1"/>
  <c r="B159" i="1"/>
  <c r="D159" i="1"/>
  <c r="E159" i="1"/>
  <c r="F159" i="1"/>
  <c r="G159" i="1"/>
  <c r="H159" i="1"/>
  <c r="I159" i="1"/>
  <c r="J159" i="1"/>
  <c r="K159" i="1"/>
  <c r="L159" i="1"/>
  <c r="M159" i="1"/>
  <c r="N159" i="1"/>
  <c r="O159" i="1"/>
  <c r="P159" i="1"/>
  <c r="R159" i="1"/>
  <c r="S159" i="1"/>
  <c r="T159" i="1"/>
  <c r="U159" i="1"/>
  <c r="B158" i="1"/>
  <c r="D158" i="1"/>
  <c r="E158" i="1"/>
  <c r="F158" i="1"/>
  <c r="G158" i="1"/>
  <c r="H158" i="1"/>
  <c r="I158" i="1"/>
  <c r="J158" i="1"/>
  <c r="K158" i="1"/>
  <c r="L158" i="1"/>
  <c r="M158" i="1"/>
  <c r="N158" i="1"/>
  <c r="O158" i="1"/>
  <c r="P158" i="1"/>
  <c r="R158" i="1"/>
  <c r="S158" i="1"/>
  <c r="T158" i="1"/>
  <c r="U158" i="1"/>
  <c r="B157" i="1"/>
  <c r="D157" i="1"/>
  <c r="E157" i="1"/>
  <c r="F157" i="1"/>
  <c r="G157" i="1"/>
  <c r="H157" i="1"/>
  <c r="I157" i="1"/>
  <c r="J157" i="1"/>
  <c r="K157" i="1"/>
  <c r="L157" i="1"/>
  <c r="M157" i="1"/>
  <c r="N157" i="1"/>
  <c r="O157" i="1"/>
  <c r="P157" i="1"/>
  <c r="R157" i="1"/>
  <c r="S157" i="1"/>
  <c r="T157" i="1"/>
  <c r="U157" i="1"/>
  <c r="B156" i="1"/>
  <c r="D156" i="1"/>
  <c r="E156" i="1"/>
  <c r="F156" i="1"/>
  <c r="G156" i="1"/>
  <c r="H156" i="1"/>
  <c r="I156" i="1"/>
  <c r="J156" i="1"/>
  <c r="K156" i="1"/>
  <c r="L156" i="1"/>
  <c r="M156" i="1"/>
  <c r="N156" i="1"/>
  <c r="O156" i="1"/>
  <c r="P156" i="1"/>
  <c r="R156" i="1"/>
  <c r="S156" i="1"/>
  <c r="T156" i="1"/>
  <c r="U156" i="1"/>
  <c r="B155" i="1"/>
  <c r="D155" i="1"/>
  <c r="E155" i="1"/>
  <c r="F155" i="1"/>
  <c r="G155" i="1"/>
  <c r="H155" i="1"/>
  <c r="I155" i="1"/>
  <c r="J155" i="1"/>
  <c r="K155" i="1"/>
  <c r="L155" i="1"/>
  <c r="M155" i="1"/>
  <c r="N155" i="1"/>
  <c r="O155" i="1"/>
  <c r="P155" i="1"/>
  <c r="R155" i="1"/>
  <c r="S155" i="1"/>
  <c r="T155" i="1"/>
  <c r="U155" i="1"/>
  <c r="B154" i="1"/>
  <c r="D154" i="1"/>
  <c r="E154" i="1"/>
  <c r="F154" i="1"/>
  <c r="G154" i="1"/>
  <c r="H154" i="1"/>
  <c r="I154" i="1"/>
  <c r="J154" i="1"/>
  <c r="K154" i="1"/>
  <c r="L154" i="1"/>
  <c r="M154" i="1"/>
  <c r="N154" i="1"/>
  <c r="O154" i="1"/>
  <c r="P154" i="1"/>
  <c r="R154" i="1"/>
  <c r="S154" i="1"/>
  <c r="T154" i="1"/>
  <c r="U154" i="1"/>
  <c r="B153" i="1"/>
  <c r="D153" i="1"/>
  <c r="E153" i="1"/>
  <c r="F153" i="1"/>
  <c r="G153" i="1"/>
  <c r="H153" i="1"/>
  <c r="I153" i="1"/>
  <c r="J153" i="1"/>
  <c r="K153" i="1"/>
  <c r="L153" i="1"/>
  <c r="M153" i="1"/>
  <c r="N153" i="1"/>
  <c r="O153" i="1"/>
  <c r="P153" i="1"/>
  <c r="R153" i="1"/>
  <c r="S153" i="1"/>
  <c r="T153" i="1"/>
  <c r="B152" i="1"/>
  <c r="D152" i="1"/>
  <c r="E152" i="1"/>
  <c r="F152" i="1"/>
  <c r="G152" i="1"/>
  <c r="H152" i="1"/>
  <c r="I152" i="1"/>
  <c r="J152" i="1"/>
  <c r="K152" i="1"/>
  <c r="L152" i="1"/>
  <c r="M152" i="1"/>
  <c r="N152" i="1"/>
  <c r="O152" i="1"/>
  <c r="P152" i="1"/>
  <c r="R152" i="1"/>
  <c r="S152" i="1"/>
  <c r="T152" i="1"/>
  <c r="U152" i="1"/>
  <c r="B151" i="1"/>
  <c r="D151" i="1"/>
  <c r="E151" i="1"/>
  <c r="F151" i="1"/>
  <c r="G151" i="1"/>
  <c r="H151" i="1"/>
  <c r="I151" i="1"/>
  <c r="J151" i="1"/>
  <c r="K151" i="1"/>
  <c r="L151" i="1"/>
  <c r="M151" i="1"/>
  <c r="N151" i="1"/>
  <c r="O151" i="1"/>
  <c r="P151" i="1"/>
  <c r="R151" i="1"/>
  <c r="S151" i="1"/>
  <c r="T151" i="1"/>
  <c r="U151" i="1"/>
  <c r="B150" i="1"/>
  <c r="D150" i="1"/>
  <c r="E150" i="1"/>
  <c r="F150" i="1"/>
  <c r="G150" i="1"/>
  <c r="H150" i="1"/>
  <c r="I150" i="1"/>
  <c r="J150" i="1"/>
  <c r="K150" i="1"/>
  <c r="L150" i="1"/>
  <c r="M150" i="1"/>
  <c r="N150" i="1"/>
  <c r="O150" i="1"/>
  <c r="P150" i="1"/>
  <c r="R150" i="1"/>
  <c r="S150" i="1"/>
  <c r="T150" i="1"/>
  <c r="U150" i="1"/>
  <c r="B149" i="1"/>
  <c r="D149" i="1"/>
  <c r="E149" i="1"/>
  <c r="F149" i="1"/>
  <c r="G149" i="1"/>
  <c r="H149" i="1"/>
  <c r="I149" i="1"/>
  <c r="J149" i="1"/>
  <c r="K149" i="1"/>
  <c r="L149" i="1"/>
  <c r="M149" i="1"/>
  <c r="N149" i="1"/>
  <c r="O149" i="1"/>
  <c r="P149" i="1"/>
  <c r="R149" i="1"/>
  <c r="S149" i="1"/>
  <c r="T149" i="1"/>
  <c r="U149" i="1"/>
  <c r="B148" i="1"/>
  <c r="D148" i="1"/>
  <c r="E148" i="1"/>
  <c r="F148" i="1"/>
  <c r="G148" i="1"/>
  <c r="H148" i="1"/>
  <c r="I148" i="1"/>
  <c r="J148" i="1"/>
  <c r="K148" i="1"/>
  <c r="L148" i="1"/>
  <c r="M148" i="1"/>
  <c r="N148" i="1"/>
  <c r="O148" i="1"/>
  <c r="P148" i="1"/>
  <c r="R148" i="1"/>
  <c r="S148" i="1"/>
  <c r="T148" i="1"/>
  <c r="U148" i="1"/>
  <c r="B147" i="1"/>
  <c r="D147" i="1"/>
  <c r="E147" i="1"/>
  <c r="F147" i="1"/>
  <c r="G147" i="1"/>
  <c r="H147" i="1"/>
  <c r="I147" i="1"/>
  <c r="J147" i="1"/>
  <c r="K147" i="1"/>
  <c r="L147" i="1"/>
  <c r="M147" i="1"/>
  <c r="N147" i="1"/>
  <c r="O147" i="1"/>
  <c r="P147" i="1"/>
  <c r="R147" i="1"/>
  <c r="S147" i="1"/>
  <c r="T147" i="1"/>
  <c r="U147" i="1"/>
  <c r="B146" i="1"/>
  <c r="D146" i="1"/>
  <c r="E146" i="1"/>
  <c r="F146" i="1"/>
  <c r="G146" i="1"/>
  <c r="H146" i="1"/>
  <c r="I146" i="1"/>
  <c r="J146" i="1"/>
  <c r="K146" i="1"/>
  <c r="L146" i="1"/>
  <c r="M146" i="1"/>
  <c r="N146" i="1"/>
  <c r="O146" i="1"/>
  <c r="P146" i="1"/>
  <c r="R146" i="1"/>
  <c r="S146" i="1"/>
  <c r="T146" i="1"/>
  <c r="U146" i="1"/>
  <c r="B145" i="1"/>
  <c r="D145" i="1"/>
  <c r="E145" i="1"/>
  <c r="F145" i="1"/>
  <c r="G145" i="1"/>
  <c r="H145" i="1"/>
  <c r="I145" i="1"/>
  <c r="J145" i="1"/>
  <c r="K145" i="1"/>
  <c r="L145" i="1"/>
  <c r="M145" i="1"/>
  <c r="N145" i="1"/>
  <c r="O145" i="1"/>
  <c r="P145" i="1"/>
  <c r="R145" i="1"/>
  <c r="S145" i="1"/>
  <c r="T145" i="1"/>
  <c r="U145" i="1"/>
  <c r="B144" i="1"/>
  <c r="D144" i="1"/>
  <c r="E144" i="1"/>
  <c r="F144" i="1"/>
  <c r="G144" i="1"/>
  <c r="H144" i="1"/>
  <c r="I144" i="1"/>
  <c r="J144" i="1"/>
  <c r="K144" i="1"/>
  <c r="L144" i="1"/>
  <c r="M144" i="1"/>
  <c r="N144" i="1"/>
  <c r="O144" i="1"/>
  <c r="P144" i="1"/>
  <c r="R144" i="1"/>
  <c r="S144" i="1"/>
  <c r="T144" i="1"/>
  <c r="U144" i="1"/>
  <c r="B143" i="1"/>
  <c r="D143" i="1"/>
  <c r="E143" i="1"/>
  <c r="F143" i="1"/>
  <c r="G143" i="1"/>
  <c r="H143" i="1"/>
  <c r="I143" i="1"/>
  <c r="J143" i="1"/>
  <c r="K143" i="1"/>
  <c r="L143" i="1"/>
  <c r="M143" i="1"/>
  <c r="N143" i="1"/>
  <c r="O143" i="1"/>
  <c r="P143" i="1"/>
  <c r="R143" i="1"/>
  <c r="S143" i="1"/>
  <c r="T143" i="1"/>
  <c r="U143" i="1"/>
  <c r="B142" i="1"/>
  <c r="D142" i="1"/>
  <c r="E142" i="1"/>
  <c r="F142" i="1"/>
  <c r="G142" i="1"/>
  <c r="H142" i="1"/>
  <c r="I142" i="1"/>
  <c r="J142" i="1"/>
  <c r="K142" i="1"/>
  <c r="L142" i="1"/>
  <c r="M142" i="1"/>
  <c r="N142" i="1"/>
  <c r="O142" i="1"/>
  <c r="P142" i="1"/>
  <c r="R142" i="1"/>
  <c r="S142" i="1"/>
  <c r="T142" i="1"/>
  <c r="U142" i="1"/>
  <c r="B141" i="1"/>
  <c r="D141" i="1"/>
  <c r="E141" i="1"/>
  <c r="F141" i="1"/>
  <c r="G141" i="1"/>
  <c r="H141" i="1"/>
  <c r="I141" i="1"/>
  <c r="J141" i="1"/>
  <c r="K141" i="1"/>
  <c r="L141" i="1"/>
  <c r="M141" i="1"/>
  <c r="N141" i="1"/>
  <c r="O141" i="1"/>
  <c r="P141" i="1"/>
  <c r="R141" i="1"/>
  <c r="S141" i="1"/>
  <c r="T141" i="1"/>
  <c r="U141" i="1"/>
  <c r="B140" i="1"/>
  <c r="D140" i="1"/>
  <c r="E140" i="1"/>
  <c r="F140" i="1"/>
  <c r="G140" i="1"/>
  <c r="H140" i="1"/>
  <c r="I140" i="1"/>
  <c r="J140" i="1"/>
  <c r="K140" i="1"/>
  <c r="L140" i="1"/>
  <c r="M140" i="1"/>
  <c r="N140" i="1"/>
  <c r="O140" i="1"/>
  <c r="P140" i="1"/>
  <c r="R140" i="1"/>
  <c r="S140" i="1"/>
  <c r="T140" i="1"/>
  <c r="U140" i="1"/>
  <c r="B139" i="1"/>
  <c r="D139" i="1"/>
  <c r="E139" i="1"/>
  <c r="F139" i="1"/>
  <c r="G139" i="1"/>
  <c r="H139" i="1"/>
  <c r="I139" i="1"/>
  <c r="J139" i="1"/>
  <c r="K139" i="1"/>
  <c r="L139" i="1"/>
  <c r="M139" i="1"/>
  <c r="N139" i="1"/>
  <c r="O139" i="1"/>
  <c r="P139" i="1"/>
  <c r="R139" i="1"/>
  <c r="S139" i="1"/>
  <c r="T139" i="1"/>
  <c r="U139" i="1"/>
  <c r="B138" i="1"/>
  <c r="D138" i="1"/>
  <c r="E138" i="1"/>
  <c r="F138" i="1"/>
  <c r="G138" i="1"/>
  <c r="H138" i="1"/>
  <c r="I138" i="1"/>
  <c r="J138" i="1"/>
  <c r="K138" i="1"/>
  <c r="L138" i="1"/>
  <c r="M138" i="1"/>
  <c r="N138" i="1"/>
  <c r="O138" i="1"/>
  <c r="P138" i="1"/>
  <c r="R138" i="1"/>
  <c r="S138" i="1"/>
  <c r="T138" i="1"/>
  <c r="U138" i="1"/>
  <c r="B137" i="1"/>
  <c r="D137" i="1"/>
  <c r="E137" i="1"/>
  <c r="F137" i="1"/>
  <c r="G137" i="1"/>
  <c r="H137" i="1"/>
  <c r="I137" i="1"/>
  <c r="J137" i="1"/>
  <c r="K137" i="1"/>
  <c r="L137" i="1"/>
  <c r="M137" i="1"/>
  <c r="N137" i="1"/>
  <c r="O137" i="1"/>
  <c r="P137" i="1"/>
  <c r="R137" i="1"/>
  <c r="S137" i="1"/>
  <c r="T137" i="1"/>
  <c r="U137" i="1"/>
  <c r="B136" i="1"/>
  <c r="D136" i="1"/>
  <c r="E136" i="1"/>
  <c r="F136" i="1"/>
  <c r="G136" i="1"/>
  <c r="H136" i="1"/>
  <c r="I136" i="1"/>
  <c r="J136" i="1"/>
  <c r="K136" i="1"/>
  <c r="L136" i="1"/>
  <c r="M136" i="1"/>
  <c r="N136" i="1"/>
  <c r="O136" i="1"/>
  <c r="P136" i="1"/>
  <c r="R136" i="1"/>
  <c r="S136" i="1"/>
  <c r="T136" i="1"/>
  <c r="U136" i="1"/>
  <c r="B135" i="1"/>
  <c r="D135" i="1"/>
  <c r="E135" i="1"/>
  <c r="F135" i="1"/>
  <c r="G135" i="1"/>
  <c r="H135" i="1"/>
  <c r="I135" i="1"/>
  <c r="J135" i="1"/>
  <c r="K135" i="1"/>
  <c r="L135" i="1"/>
  <c r="M135" i="1"/>
  <c r="N135" i="1"/>
  <c r="O135" i="1"/>
  <c r="P135" i="1"/>
  <c r="R135" i="1"/>
  <c r="S135" i="1"/>
  <c r="T135" i="1"/>
  <c r="U135" i="1"/>
  <c r="B134" i="1"/>
  <c r="D134" i="1"/>
  <c r="E134" i="1"/>
  <c r="F134" i="1"/>
  <c r="G134" i="1"/>
  <c r="H134" i="1"/>
  <c r="I134" i="1"/>
  <c r="J134" i="1"/>
  <c r="K134" i="1"/>
  <c r="L134" i="1"/>
  <c r="M134" i="1"/>
  <c r="N134" i="1"/>
  <c r="O134" i="1"/>
  <c r="P134" i="1"/>
  <c r="R134" i="1"/>
  <c r="S134" i="1"/>
  <c r="T134" i="1"/>
  <c r="U134" i="1"/>
  <c r="B133" i="1"/>
  <c r="D133" i="1"/>
  <c r="E133" i="1"/>
  <c r="F133" i="1"/>
  <c r="G133" i="1"/>
  <c r="H133" i="1"/>
  <c r="I133" i="1"/>
  <c r="J133" i="1"/>
  <c r="K133" i="1"/>
  <c r="L133" i="1"/>
  <c r="M133" i="1"/>
  <c r="N133" i="1"/>
  <c r="O133" i="1"/>
  <c r="P133" i="1"/>
  <c r="R133" i="1"/>
  <c r="S133" i="1"/>
  <c r="T133" i="1"/>
  <c r="U133" i="1"/>
  <c r="B132" i="1"/>
  <c r="D132" i="1"/>
  <c r="E132" i="1"/>
  <c r="F132" i="1"/>
  <c r="G132" i="1"/>
  <c r="H132" i="1"/>
  <c r="I132" i="1"/>
  <c r="J132" i="1"/>
  <c r="K132" i="1"/>
  <c r="L132" i="1"/>
  <c r="M132" i="1"/>
  <c r="N132" i="1"/>
  <c r="O132" i="1"/>
  <c r="P132" i="1"/>
  <c r="R132" i="1"/>
  <c r="S132" i="1"/>
  <c r="T132" i="1"/>
  <c r="U132" i="1"/>
  <c r="B131" i="1"/>
  <c r="D131" i="1"/>
  <c r="E131" i="1"/>
  <c r="F131" i="1"/>
  <c r="G131" i="1"/>
  <c r="H131" i="1"/>
  <c r="I131" i="1"/>
  <c r="J131" i="1"/>
  <c r="K131" i="1"/>
  <c r="L131" i="1"/>
  <c r="M131" i="1"/>
  <c r="N131" i="1"/>
  <c r="O131" i="1"/>
  <c r="P131" i="1"/>
  <c r="R131" i="1"/>
  <c r="S131" i="1"/>
  <c r="T131" i="1"/>
  <c r="U131" i="1"/>
  <c r="B130" i="1"/>
  <c r="D130" i="1"/>
  <c r="E130" i="1"/>
  <c r="F130" i="1"/>
  <c r="G130" i="1"/>
  <c r="H130" i="1"/>
  <c r="I130" i="1"/>
  <c r="J130" i="1"/>
  <c r="K130" i="1"/>
  <c r="L130" i="1"/>
  <c r="M130" i="1"/>
  <c r="N130" i="1"/>
  <c r="O130" i="1"/>
  <c r="P130" i="1"/>
  <c r="R130" i="1"/>
  <c r="S130" i="1"/>
  <c r="T130" i="1"/>
  <c r="U130" i="1"/>
  <c r="B129" i="1"/>
  <c r="D129" i="1"/>
  <c r="E129" i="1"/>
  <c r="F129" i="1"/>
  <c r="G129" i="1"/>
  <c r="H129" i="1"/>
  <c r="I129" i="1"/>
  <c r="J129" i="1"/>
  <c r="K129" i="1"/>
  <c r="L129" i="1"/>
  <c r="M129" i="1"/>
  <c r="N129" i="1"/>
  <c r="O129" i="1"/>
  <c r="P129" i="1"/>
  <c r="R129" i="1"/>
  <c r="S129" i="1"/>
  <c r="T129" i="1"/>
  <c r="U129" i="1"/>
  <c r="S128" i="1"/>
  <c r="T128" i="1"/>
  <c r="R128" i="1"/>
  <c r="O128" i="1"/>
  <c r="P128" i="1"/>
  <c r="M128" i="1"/>
  <c r="N128" i="1"/>
  <c r="K128" i="1"/>
  <c r="L128" i="1"/>
  <c r="I128" i="1"/>
  <c r="J128" i="1"/>
  <c r="H128" i="1"/>
  <c r="F128" i="1"/>
  <c r="G128" i="1"/>
  <c r="D128" i="1"/>
  <c r="E128"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B128" i="1"/>
  <c r="C128" i="1"/>
  <c r="U8" i="1"/>
  <c r="T8" i="1"/>
  <c r="U127" i="1"/>
  <c r="T127" i="1"/>
  <c r="U126" i="1"/>
  <c r="T126" i="1"/>
  <c r="U125" i="1"/>
  <c r="T125" i="1"/>
  <c r="U124" i="1"/>
  <c r="T124" i="1"/>
  <c r="U123" i="1"/>
  <c r="T123" i="1"/>
  <c r="U122" i="1"/>
  <c r="T122" i="1"/>
  <c r="U121" i="1"/>
  <c r="T121" i="1"/>
  <c r="U120" i="1"/>
  <c r="T120" i="1"/>
  <c r="U119" i="1"/>
  <c r="T119" i="1"/>
  <c r="U118" i="1"/>
  <c r="T118" i="1"/>
  <c r="U117" i="1"/>
  <c r="T117" i="1"/>
  <c r="U116" i="1"/>
  <c r="T116" i="1"/>
  <c r="U115" i="1"/>
  <c r="T115" i="1"/>
  <c r="U114" i="1"/>
  <c r="T114" i="1"/>
  <c r="U113" i="1"/>
  <c r="T113"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53" i="1"/>
  <c r="T53" i="1"/>
  <c r="U52" i="1"/>
  <c r="T52" i="1"/>
  <c r="U51" i="1"/>
  <c r="T51" i="1"/>
  <c r="U50" i="1"/>
  <c r="T50" i="1"/>
  <c r="U49" i="1"/>
  <c r="T49" i="1"/>
  <c r="U48" i="1"/>
  <c r="T48" i="1"/>
  <c r="U47" i="1"/>
  <c r="T47" i="1"/>
  <c r="U46" i="1"/>
  <c r="T46" i="1"/>
  <c r="U45" i="1"/>
  <c r="T45" i="1"/>
  <c r="U44" i="1"/>
  <c r="T44" i="1"/>
  <c r="U43" i="1"/>
  <c r="T43" i="1"/>
  <c r="U42" i="1"/>
  <c r="T42" i="1"/>
  <c r="U41" i="1"/>
  <c r="T41" i="1"/>
  <c r="U40" i="1"/>
  <c r="T40" i="1"/>
  <c r="U39" i="1"/>
  <c r="T39" i="1"/>
  <c r="U38" i="1"/>
  <c r="T38" i="1"/>
  <c r="U37" i="1"/>
  <c r="T37" i="1"/>
  <c r="U36" i="1"/>
  <c r="T36" i="1"/>
  <c r="U35" i="1"/>
  <c r="T35" i="1"/>
  <c r="U34" i="1"/>
  <c r="T34" i="1"/>
  <c r="U33" i="1"/>
  <c r="T33" i="1"/>
  <c r="U32" i="1"/>
  <c r="T32" i="1"/>
  <c r="U31" i="1"/>
  <c r="T31" i="1"/>
  <c r="U30" i="1"/>
  <c r="T30" i="1"/>
  <c r="U29" i="1"/>
  <c r="T29" i="1"/>
  <c r="U28" i="1"/>
  <c r="T28" i="1"/>
  <c r="U27" i="1"/>
  <c r="T27" i="1"/>
  <c r="U26" i="1"/>
  <c r="T26" i="1"/>
  <c r="U25" i="1"/>
  <c r="T25" i="1"/>
  <c r="U24" i="1"/>
  <c r="T24" i="1"/>
  <c r="U23" i="1"/>
  <c r="T23" i="1"/>
  <c r="U22" i="1"/>
  <c r="T22" i="1"/>
  <c r="U21" i="1"/>
  <c r="T21" i="1"/>
  <c r="U20" i="1"/>
  <c r="T20" i="1"/>
  <c r="T19" i="1"/>
  <c r="T18" i="1"/>
  <c r="U17" i="1"/>
  <c r="T17" i="1"/>
  <c r="U16" i="1"/>
  <c r="T16" i="1"/>
  <c r="U15" i="1"/>
  <c r="T15" i="1"/>
  <c r="U14" i="1"/>
  <c r="T14" i="1"/>
  <c r="U13" i="1"/>
  <c r="T13" i="1"/>
  <c r="U12" i="1"/>
  <c r="T12" i="1"/>
  <c r="U11" i="1"/>
  <c r="T11" i="1"/>
  <c r="U10" i="1"/>
  <c r="T10" i="1"/>
  <c r="U9" i="1"/>
  <c r="T9" i="1"/>
  <c r="T7" i="1"/>
  <c r="R8" i="1"/>
  <c r="S8" i="1"/>
  <c r="S127" i="1"/>
  <c r="S126" i="1"/>
  <c r="R125" i="1"/>
  <c r="S125" i="1"/>
  <c r="R124" i="1"/>
  <c r="S124" i="1"/>
  <c r="R123" i="1"/>
  <c r="S123" i="1"/>
  <c r="S122" i="1"/>
  <c r="R121" i="1"/>
  <c r="S121" i="1"/>
  <c r="R120" i="1"/>
  <c r="S120" i="1"/>
  <c r="R119" i="1"/>
  <c r="S119" i="1"/>
  <c r="R118" i="1"/>
  <c r="S118" i="1"/>
  <c r="R117" i="1"/>
  <c r="S117" i="1"/>
  <c r="R116" i="1"/>
  <c r="S116" i="1"/>
  <c r="R115" i="1"/>
  <c r="S115" i="1"/>
  <c r="R114" i="1"/>
  <c r="S114" i="1"/>
  <c r="R113" i="1"/>
  <c r="S113" i="1"/>
  <c r="R112" i="1"/>
  <c r="S112" i="1"/>
  <c r="R111" i="1"/>
  <c r="S111" i="1"/>
  <c r="R110" i="1"/>
  <c r="S110" i="1"/>
  <c r="R109" i="1"/>
  <c r="S109" i="1"/>
  <c r="R108" i="1"/>
  <c r="S108" i="1"/>
  <c r="R107" i="1"/>
  <c r="S107" i="1"/>
  <c r="R106" i="1"/>
  <c r="S106" i="1"/>
  <c r="R105" i="1"/>
  <c r="S105" i="1"/>
  <c r="R104" i="1"/>
  <c r="S104" i="1"/>
  <c r="R103" i="1"/>
  <c r="S103" i="1"/>
  <c r="R102" i="1"/>
  <c r="S102" i="1"/>
  <c r="R101" i="1"/>
  <c r="S101" i="1"/>
  <c r="R100" i="1"/>
  <c r="S100" i="1"/>
  <c r="R99" i="1"/>
  <c r="S99" i="1"/>
  <c r="R98" i="1"/>
  <c r="S98" i="1"/>
  <c r="R97" i="1"/>
  <c r="S97" i="1"/>
  <c r="R96" i="1"/>
  <c r="S96" i="1"/>
  <c r="R95" i="1"/>
  <c r="S95" i="1"/>
  <c r="R94" i="1"/>
  <c r="S94" i="1"/>
  <c r="R93" i="1"/>
  <c r="S93" i="1"/>
  <c r="R92" i="1"/>
  <c r="S92" i="1"/>
  <c r="R91" i="1"/>
  <c r="S91" i="1"/>
  <c r="R90" i="1"/>
  <c r="S90" i="1"/>
  <c r="R89" i="1"/>
  <c r="S89" i="1"/>
  <c r="R88" i="1"/>
  <c r="S88" i="1"/>
  <c r="R87" i="1"/>
  <c r="S87" i="1"/>
  <c r="R86" i="1"/>
  <c r="S86" i="1"/>
  <c r="R85" i="1"/>
  <c r="S85" i="1"/>
  <c r="R84" i="1"/>
  <c r="S84" i="1"/>
  <c r="R83" i="1"/>
  <c r="S83" i="1"/>
  <c r="R82" i="1"/>
  <c r="S82" i="1"/>
  <c r="R81" i="1"/>
  <c r="S81" i="1"/>
  <c r="R80" i="1"/>
  <c r="S80" i="1"/>
  <c r="R79" i="1"/>
  <c r="S79" i="1"/>
  <c r="R78" i="1"/>
  <c r="S78" i="1"/>
  <c r="R77" i="1"/>
  <c r="S77" i="1"/>
  <c r="R76" i="1"/>
  <c r="S76" i="1"/>
  <c r="R75" i="1"/>
  <c r="S75" i="1"/>
  <c r="R74" i="1"/>
  <c r="S74" i="1"/>
  <c r="R73" i="1"/>
  <c r="S73" i="1"/>
  <c r="R72" i="1"/>
  <c r="S72" i="1"/>
  <c r="R71" i="1"/>
  <c r="S71" i="1"/>
  <c r="R70" i="1"/>
  <c r="S70" i="1"/>
  <c r="R69" i="1"/>
  <c r="S69" i="1"/>
  <c r="R68" i="1"/>
  <c r="S68" i="1"/>
  <c r="R67" i="1"/>
  <c r="S67" i="1"/>
  <c r="R66" i="1"/>
  <c r="S66" i="1"/>
  <c r="R65" i="1"/>
  <c r="S65" i="1"/>
  <c r="R64" i="1"/>
  <c r="S64" i="1"/>
  <c r="R63" i="1"/>
  <c r="S63" i="1"/>
  <c r="R62" i="1"/>
  <c r="S62" i="1"/>
  <c r="R61" i="1"/>
  <c r="S61" i="1"/>
  <c r="R60" i="1"/>
  <c r="S60" i="1"/>
  <c r="R59" i="1"/>
  <c r="S59" i="1"/>
  <c r="R58" i="1"/>
  <c r="S58" i="1"/>
  <c r="R57" i="1"/>
  <c r="S57" i="1"/>
  <c r="R56" i="1"/>
  <c r="S56" i="1"/>
  <c r="R55" i="1"/>
  <c r="S55" i="1"/>
  <c r="R54" i="1"/>
  <c r="S54" i="1"/>
  <c r="R53" i="1"/>
  <c r="S53" i="1"/>
  <c r="R52" i="1"/>
  <c r="S52" i="1"/>
  <c r="R51" i="1"/>
  <c r="S51" i="1"/>
  <c r="R50" i="1"/>
  <c r="S50" i="1"/>
  <c r="R49" i="1"/>
  <c r="S49" i="1"/>
  <c r="R48" i="1"/>
  <c r="S48" i="1"/>
  <c r="R47" i="1"/>
  <c r="S47" i="1"/>
  <c r="R46" i="1"/>
  <c r="S46" i="1"/>
  <c r="R45" i="1"/>
  <c r="S45" i="1"/>
  <c r="R44" i="1"/>
  <c r="S44" i="1"/>
  <c r="R43" i="1"/>
  <c r="S43" i="1"/>
  <c r="R42" i="1"/>
  <c r="S42" i="1"/>
  <c r="R41" i="1"/>
  <c r="S41" i="1"/>
  <c r="R40" i="1"/>
  <c r="S40" i="1"/>
  <c r="R39" i="1"/>
  <c r="S39" i="1"/>
  <c r="R38" i="1"/>
  <c r="S38" i="1"/>
  <c r="R37" i="1"/>
  <c r="S37" i="1"/>
  <c r="R36" i="1"/>
  <c r="S36" i="1"/>
  <c r="R35" i="1"/>
  <c r="S35" i="1"/>
  <c r="R34" i="1"/>
  <c r="S34" i="1"/>
  <c r="R33" i="1"/>
  <c r="S33" i="1"/>
  <c r="R32" i="1"/>
  <c r="S32" i="1"/>
  <c r="R31" i="1"/>
  <c r="S31" i="1"/>
  <c r="R30" i="1"/>
  <c r="S30" i="1"/>
  <c r="R29" i="1"/>
  <c r="S29" i="1"/>
  <c r="R28" i="1"/>
  <c r="S28" i="1"/>
  <c r="R27" i="1"/>
  <c r="S27" i="1"/>
  <c r="R26" i="1"/>
  <c r="S26" i="1"/>
  <c r="R25" i="1"/>
  <c r="S25" i="1"/>
  <c r="R24" i="1"/>
  <c r="S24" i="1"/>
  <c r="R23" i="1"/>
  <c r="S23" i="1"/>
  <c r="R22" i="1"/>
  <c r="S22" i="1"/>
  <c r="R21" i="1"/>
  <c r="S21" i="1"/>
  <c r="R20" i="1"/>
  <c r="S20" i="1"/>
  <c r="R19" i="1"/>
  <c r="S19" i="1"/>
  <c r="R18" i="1"/>
  <c r="S18" i="1"/>
  <c r="R17" i="1"/>
  <c r="S17" i="1"/>
  <c r="R16" i="1"/>
  <c r="S16" i="1"/>
  <c r="R15" i="1"/>
  <c r="S15" i="1"/>
  <c r="R14" i="1"/>
  <c r="S14" i="1"/>
  <c r="R13" i="1"/>
  <c r="S13" i="1"/>
  <c r="R12" i="1"/>
  <c r="S12" i="1"/>
  <c r="R11" i="1"/>
  <c r="S11" i="1"/>
  <c r="R10" i="1"/>
  <c r="S10" i="1"/>
  <c r="R9" i="1"/>
  <c r="S9" i="1"/>
  <c r="R7" i="1"/>
  <c r="S7" i="1"/>
  <c r="P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7" i="1"/>
  <c r="N8" i="1"/>
  <c r="O8" i="1"/>
  <c r="N127" i="1"/>
  <c r="O127" i="1"/>
  <c r="N126" i="1"/>
  <c r="O126" i="1"/>
  <c r="N125" i="1"/>
  <c r="O125" i="1"/>
  <c r="N124" i="1"/>
  <c r="O124" i="1"/>
  <c r="N123" i="1"/>
  <c r="O123" i="1"/>
  <c r="N122" i="1"/>
  <c r="O122" i="1"/>
  <c r="N121" i="1"/>
  <c r="O121" i="1"/>
  <c r="N120" i="1"/>
  <c r="O120" i="1"/>
  <c r="N119" i="1"/>
  <c r="O119" i="1"/>
  <c r="N118" i="1"/>
  <c r="O118" i="1"/>
  <c r="N117" i="1"/>
  <c r="O117" i="1"/>
  <c r="N116" i="1"/>
  <c r="O116" i="1"/>
  <c r="N115" i="1"/>
  <c r="O115" i="1"/>
  <c r="N114" i="1"/>
  <c r="O114" i="1"/>
  <c r="N113" i="1"/>
  <c r="O113" i="1"/>
  <c r="N112" i="1"/>
  <c r="O112" i="1"/>
  <c r="N111" i="1"/>
  <c r="O111" i="1"/>
  <c r="N110" i="1"/>
  <c r="O110" i="1"/>
  <c r="N109" i="1"/>
  <c r="O109" i="1"/>
  <c r="N108" i="1"/>
  <c r="O108" i="1"/>
  <c r="N107" i="1"/>
  <c r="O107" i="1"/>
  <c r="N106" i="1"/>
  <c r="O106" i="1"/>
  <c r="N105" i="1"/>
  <c r="O105" i="1"/>
  <c r="N104" i="1"/>
  <c r="O104" i="1"/>
  <c r="N103" i="1"/>
  <c r="O103" i="1"/>
  <c r="N102" i="1"/>
  <c r="O102" i="1"/>
  <c r="N101" i="1"/>
  <c r="O101" i="1"/>
  <c r="N100" i="1"/>
  <c r="O100" i="1"/>
  <c r="N99" i="1"/>
  <c r="O99" i="1"/>
  <c r="N98" i="1"/>
  <c r="O98" i="1"/>
  <c r="N97" i="1"/>
  <c r="O97" i="1"/>
  <c r="N96" i="1"/>
  <c r="O96" i="1"/>
  <c r="N95" i="1"/>
  <c r="O95" i="1"/>
  <c r="N94" i="1"/>
  <c r="O94" i="1"/>
  <c r="N93" i="1"/>
  <c r="O93" i="1"/>
  <c r="N92" i="1"/>
  <c r="O92" i="1"/>
  <c r="N91" i="1"/>
  <c r="O91" i="1"/>
  <c r="N90" i="1"/>
  <c r="O90" i="1"/>
  <c r="N89" i="1"/>
  <c r="O89" i="1"/>
  <c r="N88" i="1"/>
  <c r="O88" i="1"/>
  <c r="N87" i="1"/>
  <c r="O87" i="1"/>
  <c r="N86" i="1"/>
  <c r="O86" i="1"/>
  <c r="N85" i="1"/>
  <c r="O85" i="1"/>
  <c r="N84" i="1"/>
  <c r="O84" i="1"/>
  <c r="N83" i="1"/>
  <c r="O83" i="1"/>
  <c r="N82" i="1"/>
  <c r="O82" i="1"/>
  <c r="N81" i="1"/>
  <c r="O81" i="1"/>
  <c r="N80" i="1"/>
  <c r="O80" i="1"/>
  <c r="N79" i="1"/>
  <c r="O79" i="1"/>
  <c r="N78" i="1"/>
  <c r="O78" i="1"/>
  <c r="N77" i="1"/>
  <c r="O77" i="1"/>
  <c r="N76" i="1"/>
  <c r="O76" i="1"/>
  <c r="N75" i="1"/>
  <c r="O75" i="1"/>
  <c r="N74" i="1"/>
  <c r="O74" i="1"/>
  <c r="N73" i="1"/>
  <c r="O73" i="1"/>
  <c r="N72" i="1"/>
  <c r="O72" i="1"/>
  <c r="N71" i="1"/>
  <c r="O71" i="1"/>
  <c r="N70" i="1"/>
  <c r="O70" i="1"/>
  <c r="N69" i="1"/>
  <c r="O69" i="1"/>
  <c r="N68" i="1"/>
  <c r="O68" i="1"/>
  <c r="N67" i="1"/>
  <c r="O67" i="1"/>
  <c r="N66" i="1"/>
  <c r="O66" i="1"/>
  <c r="N65" i="1"/>
  <c r="O65" i="1"/>
  <c r="N64" i="1"/>
  <c r="O64" i="1"/>
  <c r="N63" i="1"/>
  <c r="O63" i="1"/>
  <c r="N62" i="1"/>
  <c r="O62" i="1"/>
  <c r="N61" i="1"/>
  <c r="O61" i="1"/>
  <c r="N60" i="1"/>
  <c r="O60" i="1"/>
  <c r="N59" i="1"/>
  <c r="O59" i="1"/>
  <c r="N58" i="1"/>
  <c r="O58" i="1"/>
  <c r="N57" i="1"/>
  <c r="O57" i="1"/>
  <c r="N56" i="1"/>
  <c r="O56" i="1"/>
  <c r="N55" i="1"/>
  <c r="O55" i="1"/>
  <c r="N54" i="1"/>
  <c r="O54" i="1"/>
  <c r="N53" i="1"/>
  <c r="O53" i="1"/>
  <c r="N52" i="1"/>
  <c r="O52" i="1"/>
  <c r="N51" i="1"/>
  <c r="O51" i="1"/>
  <c r="N50" i="1"/>
  <c r="O50" i="1"/>
  <c r="N49" i="1"/>
  <c r="O49" i="1"/>
  <c r="N48" i="1"/>
  <c r="O48" i="1"/>
  <c r="N47" i="1"/>
  <c r="O47" i="1"/>
  <c r="N46" i="1"/>
  <c r="O46" i="1"/>
  <c r="N45" i="1"/>
  <c r="O45" i="1"/>
  <c r="N44" i="1"/>
  <c r="O44" i="1"/>
  <c r="N43" i="1"/>
  <c r="O43" i="1"/>
  <c r="N42" i="1"/>
  <c r="O42" i="1"/>
  <c r="N41" i="1"/>
  <c r="O41" i="1"/>
  <c r="N40" i="1"/>
  <c r="O40" i="1"/>
  <c r="N39" i="1"/>
  <c r="O39" i="1"/>
  <c r="N38" i="1"/>
  <c r="O38" i="1"/>
  <c r="N37" i="1"/>
  <c r="O37" i="1"/>
  <c r="N36" i="1"/>
  <c r="O36" i="1"/>
  <c r="N35" i="1"/>
  <c r="O35" i="1"/>
  <c r="N34" i="1"/>
  <c r="O34" i="1"/>
  <c r="N33" i="1"/>
  <c r="O33" i="1"/>
  <c r="N32" i="1"/>
  <c r="O32" i="1"/>
  <c r="N31" i="1"/>
  <c r="O31" i="1"/>
  <c r="N30" i="1"/>
  <c r="O30" i="1"/>
  <c r="N29" i="1"/>
  <c r="O29" i="1"/>
  <c r="N28" i="1"/>
  <c r="O28" i="1"/>
  <c r="N27" i="1"/>
  <c r="O27" i="1"/>
  <c r="N26" i="1"/>
  <c r="O26" i="1"/>
  <c r="N25" i="1"/>
  <c r="O25" i="1"/>
  <c r="N24" i="1"/>
  <c r="O24" i="1"/>
  <c r="N23" i="1"/>
  <c r="O23" i="1"/>
  <c r="N22" i="1"/>
  <c r="O22" i="1"/>
  <c r="N21" i="1"/>
  <c r="O21" i="1"/>
  <c r="N20" i="1"/>
  <c r="O20" i="1"/>
  <c r="N19" i="1"/>
  <c r="O19" i="1"/>
  <c r="N18" i="1"/>
  <c r="O18" i="1"/>
  <c r="N17" i="1"/>
  <c r="O17" i="1"/>
  <c r="N16" i="1"/>
  <c r="O16" i="1"/>
  <c r="N15" i="1"/>
  <c r="O15" i="1"/>
  <c r="N14" i="1"/>
  <c r="O14" i="1"/>
  <c r="N13" i="1"/>
  <c r="O13" i="1"/>
  <c r="N12" i="1"/>
  <c r="O12" i="1"/>
  <c r="N11" i="1"/>
  <c r="O11" i="1"/>
  <c r="N10" i="1"/>
  <c r="O10" i="1"/>
  <c r="N9" i="1"/>
  <c r="O9" i="1"/>
  <c r="N7" i="1"/>
  <c r="O7" i="1"/>
  <c r="L8" i="1"/>
  <c r="M8" i="1"/>
  <c r="L127" i="1"/>
  <c r="M127" i="1"/>
  <c r="L126" i="1"/>
  <c r="M126" i="1"/>
  <c r="L125" i="1"/>
  <c r="M125" i="1"/>
  <c r="L124" i="1"/>
  <c r="M124" i="1"/>
  <c r="L123" i="1"/>
  <c r="M123" i="1"/>
  <c r="L122" i="1"/>
  <c r="M122" i="1"/>
  <c r="L121" i="1"/>
  <c r="M121" i="1"/>
  <c r="L120" i="1"/>
  <c r="M120" i="1"/>
  <c r="L119" i="1"/>
  <c r="M119" i="1"/>
  <c r="L118" i="1"/>
  <c r="M118" i="1"/>
  <c r="L117" i="1"/>
  <c r="M117" i="1"/>
  <c r="L116" i="1"/>
  <c r="M116" i="1"/>
  <c r="L115" i="1"/>
  <c r="M115" i="1"/>
  <c r="L114" i="1"/>
  <c r="M114" i="1"/>
  <c r="L113" i="1"/>
  <c r="M113" i="1"/>
  <c r="L112" i="1"/>
  <c r="M112" i="1"/>
  <c r="L111" i="1"/>
  <c r="M111" i="1"/>
  <c r="L110" i="1"/>
  <c r="M110" i="1"/>
  <c r="L109" i="1"/>
  <c r="M109" i="1"/>
  <c r="L108" i="1"/>
  <c r="M108" i="1"/>
  <c r="L107" i="1"/>
  <c r="M107" i="1"/>
  <c r="L106" i="1"/>
  <c r="M106" i="1"/>
  <c r="L105" i="1"/>
  <c r="M105" i="1"/>
  <c r="L104" i="1"/>
  <c r="M104" i="1"/>
  <c r="L103" i="1"/>
  <c r="M103" i="1"/>
  <c r="L102" i="1"/>
  <c r="M102" i="1"/>
  <c r="L101" i="1"/>
  <c r="M101" i="1"/>
  <c r="L100" i="1"/>
  <c r="M100" i="1"/>
  <c r="L99" i="1"/>
  <c r="M99" i="1"/>
  <c r="L98" i="1"/>
  <c r="M98" i="1"/>
  <c r="L97" i="1"/>
  <c r="M97" i="1"/>
  <c r="L96" i="1"/>
  <c r="M96" i="1"/>
  <c r="L95" i="1"/>
  <c r="M95" i="1"/>
  <c r="L94" i="1"/>
  <c r="M94" i="1"/>
  <c r="L93" i="1"/>
  <c r="M93" i="1"/>
  <c r="L92" i="1"/>
  <c r="M92" i="1"/>
  <c r="L91" i="1"/>
  <c r="M91" i="1"/>
  <c r="L90" i="1"/>
  <c r="M90" i="1"/>
  <c r="L89" i="1"/>
  <c r="M89" i="1"/>
  <c r="L88" i="1"/>
  <c r="M88" i="1"/>
  <c r="L87" i="1"/>
  <c r="M87" i="1"/>
  <c r="L86" i="1"/>
  <c r="M86" i="1"/>
  <c r="L85" i="1"/>
  <c r="M85" i="1"/>
  <c r="L84" i="1"/>
  <c r="M84" i="1"/>
  <c r="L83" i="1"/>
  <c r="M83" i="1"/>
  <c r="L82" i="1"/>
  <c r="M82" i="1"/>
  <c r="L81" i="1"/>
  <c r="M81" i="1"/>
  <c r="L80" i="1"/>
  <c r="M80" i="1"/>
  <c r="L79" i="1"/>
  <c r="M79" i="1"/>
  <c r="L78" i="1"/>
  <c r="M78" i="1"/>
  <c r="L77" i="1"/>
  <c r="M77" i="1"/>
  <c r="L76" i="1"/>
  <c r="M76" i="1"/>
  <c r="L75" i="1"/>
  <c r="M75" i="1"/>
  <c r="L74" i="1"/>
  <c r="M74" i="1"/>
  <c r="L73" i="1"/>
  <c r="M73" i="1"/>
  <c r="L72" i="1"/>
  <c r="M72" i="1"/>
  <c r="L71" i="1"/>
  <c r="M71" i="1"/>
  <c r="L70" i="1"/>
  <c r="M70" i="1"/>
  <c r="L69" i="1"/>
  <c r="M69" i="1"/>
  <c r="L68" i="1"/>
  <c r="M68" i="1"/>
  <c r="L67" i="1"/>
  <c r="M67" i="1"/>
  <c r="L66" i="1"/>
  <c r="M66" i="1"/>
  <c r="L65" i="1"/>
  <c r="M65" i="1"/>
  <c r="L64" i="1"/>
  <c r="M64" i="1"/>
  <c r="L63" i="1"/>
  <c r="M63" i="1"/>
  <c r="L62" i="1"/>
  <c r="M62" i="1"/>
  <c r="L61" i="1"/>
  <c r="M61" i="1"/>
  <c r="L60" i="1"/>
  <c r="M60" i="1"/>
  <c r="L59" i="1"/>
  <c r="M59" i="1"/>
  <c r="L58" i="1"/>
  <c r="M58" i="1"/>
  <c r="L57" i="1"/>
  <c r="M57" i="1"/>
  <c r="L56" i="1"/>
  <c r="M56" i="1"/>
  <c r="L55" i="1"/>
  <c r="M55" i="1"/>
  <c r="L54" i="1"/>
  <c r="M54" i="1"/>
  <c r="L53" i="1"/>
  <c r="M53" i="1"/>
  <c r="L52" i="1"/>
  <c r="M52" i="1"/>
  <c r="L51" i="1"/>
  <c r="M51" i="1"/>
  <c r="L50" i="1"/>
  <c r="M50" i="1"/>
  <c r="L49" i="1"/>
  <c r="M49" i="1"/>
  <c r="L48" i="1"/>
  <c r="M48" i="1"/>
  <c r="L47" i="1"/>
  <c r="M47" i="1"/>
  <c r="L46" i="1"/>
  <c r="M46" i="1"/>
  <c r="L45" i="1"/>
  <c r="M45" i="1"/>
  <c r="L44" i="1"/>
  <c r="M44" i="1"/>
  <c r="L43" i="1"/>
  <c r="M43" i="1"/>
  <c r="L42" i="1"/>
  <c r="M42" i="1"/>
  <c r="L41" i="1"/>
  <c r="M41" i="1"/>
  <c r="L40" i="1"/>
  <c r="M40" i="1"/>
  <c r="L39" i="1"/>
  <c r="M39" i="1"/>
  <c r="L38" i="1"/>
  <c r="M38" i="1"/>
  <c r="L37" i="1"/>
  <c r="M37" i="1"/>
  <c r="L36" i="1"/>
  <c r="M36" i="1"/>
  <c r="L35" i="1"/>
  <c r="M35" i="1"/>
  <c r="L34" i="1"/>
  <c r="M34" i="1"/>
  <c r="L33" i="1"/>
  <c r="M33" i="1"/>
  <c r="L32" i="1"/>
  <c r="M32" i="1"/>
  <c r="L31" i="1"/>
  <c r="M31" i="1"/>
  <c r="L30" i="1"/>
  <c r="M30" i="1"/>
  <c r="L29" i="1"/>
  <c r="M29" i="1"/>
  <c r="L28" i="1"/>
  <c r="M28" i="1"/>
  <c r="L27" i="1"/>
  <c r="M27" i="1"/>
  <c r="L26" i="1"/>
  <c r="M26" i="1"/>
  <c r="L25" i="1"/>
  <c r="M25" i="1"/>
  <c r="L24" i="1"/>
  <c r="M24" i="1"/>
  <c r="L23" i="1"/>
  <c r="M23" i="1"/>
  <c r="L22" i="1"/>
  <c r="M22" i="1"/>
  <c r="L21" i="1"/>
  <c r="M21" i="1"/>
  <c r="L20" i="1"/>
  <c r="M20" i="1"/>
  <c r="L19" i="1"/>
  <c r="M19" i="1"/>
  <c r="L18" i="1"/>
  <c r="M18" i="1"/>
  <c r="L17" i="1"/>
  <c r="M17" i="1"/>
  <c r="L16" i="1"/>
  <c r="M16" i="1"/>
  <c r="L15" i="1"/>
  <c r="M15" i="1"/>
  <c r="L14" i="1"/>
  <c r="M14" i="1"/>
  <c r="L13" i="1"/>
  <c r="M13" i="1"/>
  <c r="L12" i="1"/>
  <c r="M12" i="1"/>
  <c r="L11" i="1"/>
  <c r="M11" i="1"/>
  <c r="L10" i="1"/>
  <c r="M10" i="1"/>
  <c r="L9" i="1"/>
  <c r="M9" i="1"/>
  <c r="L7" i="1"/>
  <c r="M7" i="1"/>
  <c r="J8" i="1"/>
  <c r="K8" i="1"/>
  <c r="J127" i="1"/>
  <c r="K127" i="1"/>
  <c r="J126" i="1"/>
  <c r="K126" i="1"/>
  <c r="J125" i="1"/>
  <c r="K125" i="1"/>
  <c r="J124" i="1"/>
  <c r="K124" i="1"/>
  <c r="J123" i="1"/>
  <c r="K123" i="1"/>
  <c r="J122" i="1"/>
  <c r="K122" i="1"/>
  <c r="J121" i="1"/>
  <c r="K121" i="1"/>
  <c r="J120" i="1"/>
  <c r="K120" i="1"/>
  <c r="J119" i="1"/>
  <c r="K119" i="1"/>
  <c r="J118" i="1"/>
  <c r="K118" i="1"/>
  <c r="J117" i="1"/>
  <c r="K117" i="1"/>
  <c r="J116" i="1"/>
  <c r="K116" i="1"/>
  <c r="J115" i="1"/>
  <c r="K115" i="1"/>
  <c r="J114" i="1"/>
  <c r="K114" i="1"/>
  <c r="J113" i="1"/>
  <c r="K113" i="1"/>
  <c r="J112" i="1"/>
  <c r="K112" i="1"/>
  <c r="J111" i="1"/>
  <c r="K111" i="1"/>
  <c r="J110" i="1"/>
  <c r="K110" i="1"/>
  <c r="J109" i="1"/>
  <c r="K109" i="1"/>
  <c r="J108" i="1"/>
  <c r="K108" i="1"/>
  <c r="J107" i="1"/>
  <c r="K107" i="1"/>
  <c r="J106" i="1"/>
  <c r="K106" i="1"/>
  <c r="J105" i="1"/>
  <c r="K105" i="1"/>
  <c r="J104" i="1"/>
  <c r="K104" i="1"/>
  <c r="J103" i="1"/>
  <c r="K103" i="1"/>
  <c r="J102" i="1"/>
  <c r="K102" i="1"/>
  <c r="J101" i="1"/>
  <c r="K101" i="1"/>
  <c r="J100" i="1"/>
  <c r="K100" i="1"/>
  <c r="J99" i="1"/>
  <c r="K99" i="1"/>
  <c r="J98" i="1"/>
  <c r="K98" i="1"/>
  <c r="J97" i="1"/>
  <c r="K97" i="1"/>
  <c r="J96" i="1"/>
  <c r="K96" i="1"/>
  <c r="J95" i="1"/>
  <c r="K95" i="1"/>
  <c r="J94" i="1"/>
  <c r="K94" i="1"/>
  <c r="J93" i="1"/>
  <c r="K93" i="1"/>
  <c r="J92" i="1"/>
  <c r="K92" i="1"/>
  <c r="J91" i="1"/>
  <c r="K91" i="1"/>
  <c r="J90" i="1"/>
  <c r="K90" i="1"/>
  <c r="J89" i="1"/>
  <c r="K89" i="1"/>
  <c r="J88" i="1"/>
  <c r="K88" i="1"/>
  <c r="J87" i="1"/>
  <c r="K87" i="1"/>
  <c r="J86" i="1"/>
  <c r="K86" i="1"/>
  <c r="J85" i="1"/>
  <c r="K85" i="1"/>
  <c r="J84" i="1"/>
  <c r="K84" i="1"/>
  <c r="J83" i="1"/>
  <c r="K83" i="1"/>
  <c r="J82" i="1"/>
  <c r="K82" i="1"/>
  <c r="J81" i="1"/>
  <c r="K81" i="1"/>
  <c r="J80" i="1"/>
  <c r="K80" i="1"/>
  <c r="J79" i="1"/>
  <c r="K79" i="1"/>
  <c r="J78" i="1"/>
  <c r="K78" i="1"/>
  <c r="J77" i="1"/>
  <c r="K77" i="1"/>
  <c r="J76" i="1"/>
  <c r="K76" i="1"/>
  <c r="J75" i="1"/>
  <c r="K75" i="1"/>
  <c r="J74" i="1"/>
  <c r="K74" i="1"/>
  <c r="J73" i="1"/>
  <c r="K73" i="1"/>
  <c r="J72" i="1"/>
  <c r="K72" i="1"/>
  <c r="J71" i="1"/>
  <c r="K71" i="1"/>
  <c r="J70" i="1"/>
  <c r="K70" i="1"/>
  <c r="J69" i="1"/>
  <c r="K69" i="1"/>
  <c r="J68" i="1"/>
  <c r="K68" i="1"/>
  <c r="J67" i="1"/>
  <c r="K67" i="1"/>
  <c r="J66" i="1"/>
  <c r="K66" i="1"/>
  <c r="J65" i="1"/>
  <c r="K65" i="1"/>
  <c r="J64" i="1"/>
  <c r="K64" i="1"/>
  <c r="J63" i="1"/>
  <c r="K63" i="1"/>
  <c r="J62" i="1"/>
  <c r="K62" i="1"/>
  <c r="J61" i="1"/>
  <c r="K61" i="1"/>
  <c r="J60" i="1"/>
  <c r="K60" i="1"/>
  <c r="J59" i="1"/>
  <c r="K59" i="1"/>
  <c r="J58" i="1"/>
  <c r="K58" i="1"/>
  <c r="J57" i="1"/>
  <c r="K57" i="1"/>
  <c r="J56" i="1"/>
  <c r="K56" i="1"/>
  <c r="J55" i="1"/>
  <c r="K55" i="1"/>
  <c r="J54" i="1"/>
  <c r="K54" i="1"/>
  <c r="J53" i="1"/>
  <c r="K53" i="1"/>
  <c r="J52" i="1"/>
  <c r="K52" i="1"/>
  <c r="J51" i="1"/>
  <c r="K51" i="1"/>
  <c r="J50" i="1"/>
  <c r="K50" i="1"/>
  <c r="J49" i="1"/>
  <c r="K49" i="1"/>
  <c r="J48" i="1"/>
  <c r="K48" i="1"/>
  <c r="J47" i="1"/>
  <c r="K47" i="1"/>
  <c r="J46" i="1"/>
  <c r="K46" i="1"/>
  <c r="J45" i="1"/>
  <c r="K45" i="1"/>
  <c r="J44" i="1"/>
  <c r="K44" i="1"/>
  <c r="J43" i="1"/>
  <c r="K43" i="1"/>
  <c r="J42" i="1"/>
  <c r="K42" i="1"/>
  <c r="J41" i="1"/>
  <c r="K41" i="1"/>
  <c r="J40" i="1"/>
  <c r="K40" i="1"/>
  <c r="J39" i="1"/>
  <c r="K39" i="1"/>
  <c r="J38" i="1"/>
  <c r="K38" i="1"/>
  <c r="J37" i="1"/>
  <c r="K37" i="1"/>
  <c r="J36" i="1"/>
  <c r="K36" i="1"/>
  <c r="J35" i="1"/>
  <c r="K35" i="1"/>
  <c r="J34" i="1"/>
  <c r="K34" i="1"/>
  <c r="J33" i="1"/>
  <c r="K33" i="1"/>
  <c r="J32" i="1"/>
  <c r="K32" i="1"/>
  <c r="J31" i="1"/>
  <c r="K31" i="1"/>
  <c r="J30" i="1"/>
  <c r="K30" i="1"/>
  <c r="J29" i="1"/>
  <c r="K29" i="1"/>
  <c r="J28" i="1"/>
  <c r="K28" i="1"/>
  <c r="J27" i="1"/>
  <c r="K27" i="1"/>
  <c r="J26" i="1"/>
  <c r="K26" i="1"/>
  <c r="J25" i="1"/>
  <c r="K25" i="1"/>
  <c r="J24" i="1"/>
  <c r="K24" i="1"/>
  <c r="J23" i="1"/>
  <c r="K23" i="1"/>
  <c r="J22" i="1"/>
  <c r="K22" i="1"/>
  <c r="J21" i="1"/>
  <c r="K21" i="1"/>
  <c r="J20" i="1"/>
  <c r="K20" i="1"/>
  <c r="J19" i="1"/>
  <c r="K19" i="1"/>
  <c r="J18" i="1"/>
  <c r="K18" i="1"/>
  <c r="J17" i="1"/>
  <c r="K17" i="1"/>
  <c r="J16" i="1"/>
  <c r="K16" i="1"/>
  <c r="J15" i="1"/>
  <c r="K15" i="1"/>
  <c r="J14" i="1"/>
  <c r="K14" i="1"/>
  <c r="J13" i="1"/>
  <c r="K13" i="1"/>
  <c r="J12" i="1"/>
  <c r="K12" i="1"/>
  <c r="J11" i="1"/>
  <c r="K11" i="1"/>
  <c r="J10" i="1"/>
  <c r="K10" i="1"/>
  <c r="J9" i="1"/>
  <c r="K9" i="1"/>
  <c r="J7" i="1"/>
  <c r="K7" i="1"/>
  <c r="H8" i="1"/>
  <c r="I8" i="1"/>
  <c r="H127" i="1"/>
  <c r="I127" i="1"/>
  <c r="H126" i="1"/>
  <c r="I126" i="1"/>
  <c r="H125" i="1"/>
  <c r="I125" i="1"/>
  <c r="H124" i="1"/>
  <c r="I124" i="1"/>
  <c r="H123" i="1"/>
  <c r="I123" i="1"/>
  <c r="H122" i="1"/>
  <c r="I122" i="1"/>
  <c r="H121" i="1"/>
  <c r="I121" i="1"/>
  <c r="H120" i="1"/>
  <c r="I120" i="1"/>
  <c r="H119" i="1"/>
  <c r="I119" i="1"/>
  <c r="H118" i="1"/>
  <c r="I118" i="1"/>
  <c r="H117" i="1"/>
  <c r="I117" i="1"/>
  <c r="H116" i="1"/>
  <c r="I116" i="1"/>
  <c r="H115" i="1"/>
  <c r="I115" i="1"/>
  <c r="H114" i="1"/>
  <c r="I114" i="1"/>
  <c r="H113" i="1"/>
  <c r="I113" i="1"/>
  <c r="H112" i="1"/>
  <c r="I112" i="1"/>
  <c r="H111" i="1"/>
  <c r="I111" i="1"/>
  <c r="H110" i="1"/>
  <c r="I110" i="1"/>
  <c r="H109" i="1"/>
  <c r="I109" i="1"/>
  <c r="H108" i="1"/>
  <c r="I108" i="1"/>
  <c r="H107" i="1"/>
  <c r="I107" i="1"/>
  <c r="H106" i="1"/>
  <c r="I106" i="1"/>
  <c r="H105" i="1"/>
  <c r="I105" i="1"/>
  <c r="H104" i="1"/>
  <c r="I104" i="1"/>
  <c r="H103" i="1"/>
  <c r="I103" i="1"/>
  <c r="H102" i="1"/>
  <c r="I102" i="1"/>
  <c r="H101" i="1"/>
  <c r="I101" i="1"/>
  <c r="H100" i="1"/>
  <c r="I100" i="1"/>
  <c r="H99" i="1"/>
  <c r="I99" i="1"/>
  <c r="H98" i="1"/>
  <c r="I98" i="1"/>
  <c r="H97" i="1"/>
  <c r="I97" i="1"/>
  <c r="H96" i="1"/>
  <c r="I96" i="1"/>
  <c r="H95" i="1"/>
  <c r="I95" i="1"/>
  <c r="H94" i="1"/>
  <c r="I94" i="1"/>
  <c r="H93" i="1"/>
  <c r="I93" i="1"/>
  <c r="H92" i="1"/>
  <c r="I92" i="1"/>
  <c r="H91" i="1"/>
  <c r="I91" i="1"/>
  <c r="H90" i="1"/>
  <c r="I90" i="1"/>
  <c r="H89" i="1"/>
  <c r="I89" i="1"/>
  <c r="H88" i="1"/>
  <c r="I88" i="1"/>
  <c r="H87" i="1"/>
  <c r="I87" i="1"/>
  <c r="H86" i="1"/>
  <c r="I86" i="1"/>
  <c r="H85" i="1"/>
  <c r="I85" i="1"/>
  <c r="H84" i="1"/>
  <c r="I84" i="1"/>
  <c r="H83" i="1"/>
  <c r="I83" i="1"/>
  <c r="H82" i="1"/>
  <c r="I82" i="1"/>
  <c r="H81" i="1"/>
  <c r="I81" i="1"/>
  <c r="H80" i="1"/>
  <c r="I80" i="1"/>
  <c r="H79" i="1"/>
  <c r="I79" i="1"/>
  <c r="H78" i="1"/>
  <c r="I78" i="1"/>
  <c r="H77" i="1"/>
  <c r="I77" i="1"/>
  <c r="H76" i="1"/>
  <c r="I76" i="1"/>
  <c r="H75" i="1"/>
  <c r="I75" i="1"/>
  <c r="H74" i="1"/>
  <c r="I74" i="1"/>
  <c r="H73" i="1"/>
  <c r="I73" i="1"/>
  <c r="H72" i="1"/>
  <c r="I72" i="1"/>
  <c r="H71" i="1"/>
  <c r="I71" i="1"/>
  <c r="H70" i="1"/>
  <c r="I70" i="1"/>
  <c r="H69" i="1"/>
  <c r="I69" i="1"/>
  <c r="H68" i="1"/>
  <c r="I68" i="1"/>
  <c r="H67" i="1"/>
  <c r="I67" i="1"/>
  <c r="H66" i="1"/>
  <c r="I66" i="1"/>
  <c r="H65" i="1"/>
  <c r="I65" i="1"/>
  <c r="H64" i="1"/>
  <c r="I64" i="1"/>
  <c r="H63" i="1"/>
  <c r="I63" i="1"/>
  <c r="H62" i="1"/>
  <c r="I62" i="1"/>
  <c r="H61" i="1"/>
  <c r="I61" i="1"/>
  <c r="H60" i="1"/>
  <c r="I60" i="1"/>
  <c r="H59" i="1"/>
  <c r="I59" i="1"/>
  <c r="H58" i="1"/>
  <c r="I58" i="1"/>
  <c r="H57" i="1"/>
  <c r="I57" i="1"/>
  <c r="H56" i="1"/>
  <c r="I56" i="1"/>
  <c r="H55" i="1"/>
  <c r="I55" i="1"/>
  <c r="H54" i="1"/>
  <c r="I54" i="1"/>
  <c r="H53" i="1"/>
  <c r="I53" i="1"/>
  <c r="H52" i="1"/>
  <c r="I52" i="1"/>
  <c r="H51" i="1"/>
  <c r="I51" i="1"/>
  <c r="H50" i="1"/>
  <c r="I50" i="1"/>
  <c r="H49" i="1"/>
  <c r="I49" i="1"/>
  <c r="H48" i="1"/>
  <c r="I48" i="1"/>
  <c r="H47" i="1"/>
  <c r="I47" i="1"/>
  <c r="H46" i="1"/>
  <c r="I46" i="1"/>
  <c r="H45" i="1"/>
  <c r="I45" i="1"/>
  <c r="H44" i="1"/>
  <c r="I44" i="1"/>
  <c r="H43" i="1"/>
  <c r="I43" i="1"/>
  <c r="H42" i="1"/>
  <c r="I42" i="1"/>
  <c r="H41" i="1"/>
  <c r="I41" i="1"/>
  <c r="H40" i="1"/>
  <c r="I40" i="1"/>
  <c r="H39" i="1"/>
  <c r="I39" i="1"/>
  <c r="H38" i="1"/>
  <c r="I38" i="1"/>
  <c r="H37" i="1"/>
  <c r="I37" i="1"/>
  <c r="H36" i="1"/>
  <c r="I36" i="1"/>
  <c r="H35" i="1"/>
  <c r="I35" i="1"/>
  <c r="H34" i="1"/>
  <c r="I34" i="1"/>
  <c r="H33" i="1"/>
  <c r="I33" i="1"/>
  <c r="H32" i="1"/>
  <c r="I32" i="1"/>
  <c r="H31" i="1"/>
  <c r="I31" i="1"/>
  <c r="H30" i="1"/>
  <c r="I30" i="1"/>
  <c r="H29" i="1"/>
  <c r="I29" i="1"/>
  <c r="H28" i="1"/>
  <c r="I28" i="1"/>
  <c r="H27" i="1"/>
  <c r="I27" i="1"/>
  <c r="H26" i="1"/>
  <c r="I26" i="1"/>
  <c r="H25" i="1"/>
  <c r="I25" i="1"/>
  <c r="H24" i="1"/>
  <c r="I24" i="1"/>
  <c r="H23" i="1"/>
  <c r="I23" i="1"/>
  <c r="H22" i="1"/>
  <c r="I22" i="1"/>
  <c r="H21" i="1"/>
  <c r="I21" i="1"/>
  <c r="H20" i="1"/>
  <c r="I20" i="1"/>
  <c r="H19" i="1"/>
  <c r="I19" i="1"/>
  <c r="H18" i="1"/>
  <c r="I18" i="1"/>
  <c r="H17" i="1"/>
  <c r="I17" i="1"/>
  <c r="H16" i="1"/>
  <c r="I16" i="1"/>
  <c r="H15" i="1"/>
  <c r="I15" i="1"/>
  <c r="H14" i="1"/>
  <c r="I14" i="1"/>
  <c r="H13" i="1"/>
  <c r="I13" i="1"/>
  <c r="H12" i="1"/>
  <c r="I12" i="1"/>
  <c r="H11" i="1"/>
  <c r="I11" i="1"/>
  <c r="H10" i="1"/>
  <c r="I10" i="1"/>
  <c r="H9" i="1"/>
  <c r="I9" i="1"/>
  <c r="H7" i="1"/>
  <c r="I7" i="1"/>
  <c r="F8" i="1"/>
  <c r="G8" i="1"/>
  <c r="F127" i="1"/>
  <c r="G127" i="1"/>
  <c r="F126" i="1"/>
  <c r="G126" i="1"/>
  <c r="F125" i="1"/>
  <c r="G125" i="1"/>
  <c r="F124" i="1"/>
  <c r="G124" i="1"/>
  <c r="F123" i="1"/>
  <c r="G123" i="1"/>
  <c r="F122" i="1"/>
  <c r="G122" i="1"/>
  <c r="F121" i="1"/>
  <c r="G121" i="1"/>
  <c r="F120" i="1"/>
  <c r="G120" i="1"/>
  <c r="F119" i="1"/>
  <c r="G119" i="1"/>
  <c r="F118" i="1"/>
  <c r="G118" i="1"/>
  <c r="F117" i="1"/>
  <c r="G117" i="1"/>
  <c r="F116" i="1"/>
  <c r="G116" i="1"/>
  <c r="F115" i="1"/>
  <c r="G115" i="1"/>
  <c r="F114" i="1"/>
  <c r="G114" i="1"/>
  <c r="F113" i="1"/>
  <c r="G113" i="1"/>
  <c r="F112" i="1"/>
  <c r="G112" i="1"/>
  <c r="F111" i="1"/>
  <c r="G111" i="1"/>
  <c r="F110" i="1"/>
  <c r="G110" i="1"/>
  <c r="F109" i="1"/>
  <c r="G109" i="1"/>
  <c r="F108" i="1"/>
  <c r="G108" i="1"/>
  <c r="F107" i="1"/>
  <c r="G107" i="1"/>
  <c r="F106" i="1"/>
  <c r="G106" i="1"/>
  <c r="F105" i="1"/>
  <c r="G105" i="1"/>
  <c r="F104" i="1"/>
  <c r="G104" i="1"/>
  <c r="F103" i="1"/>
  <c r="G103" i="1"/>
  <c r="F102" i="1"/>
  <c r="G102" i="1"/>
  <c r="F101" i="1"/>
  <c r="G101" i="1"/>
  <c r="F100" i="1"/>
  <c r="G100" i="1"/>
  <c r="F99" i="1"/>
  <c r="G99" i="1"/>
  <c r="F98" i="1"/>
  <c r="G98" i="1"/>
  <c r="F97" i="1"/>
  <c r="G97" i="1"/>
  <c r="F96" i="1"/>
  <c r="G96" i="1"/>
  <c r="F95" i="1"/>
  <c r="G95" i="1"/>
  <c r="F94" i="1"/>
  <c r="G94" i="1"/>
  <c r="F93" i="1"/>
  <c r="G93" i="1"/>
  <c r="F92" i="1"/>
  <c r="G92" i="1"/>
  <c r="F91" i="1"/>
  <c r="G91" i="1"/>
  <c r="F90" i="1"/>
  <c r="G90" i="1"/>
  <c r="F89" i="1"/>
  <c r="G89" i="1"/>
  <c r="F88" i="1"/>
  <c r="G88" i="1"/>
  <c r="F87" i="1"/>
  <c r="G87" i="1"/>
  <c r="F86" i="1"/>
  <c r="G86" i="1"/>
  <c r="F85" i="1"/>
  <c r="G85" i="1"/>
  <c r="F84" i="1"/>
  <c r="G84" i="1"/>
  <c r="F83" i="1"/>
  <c r="G83" i="1"/>
  <c r="F82" i="1"/>
  <c r="G82" i="1"/>
  <c r="F81" i="1"/>
  <c r="G81" i="1"/>
  <c r="F80" i="1"/>
  <c r="G80" i="1"/>
  <c r="F79" i="1"/>
  <c r="G79" i="1"/>
  <c r="F78" i="1"/>
  <c r="G78" i="1"/>
  <c r="F77" i="1"/>
  <c r="G77" i="1"/>
  <c r="F76" i="1"/>
  <c r="G76" i="1"/>
  <c r="F75" i="1"/>
  <c r="G75" i="1"/>
  <c r="F74" i="1"/>
  <c r="G74" i="1"/>
  <c r="F73" i="1"/>
  <c r="G73" i="1"/>
  <c r="F72" i="1"/>
  <c r="G72" i="1"/>
  <c r="F71" i="1"/>
  <c r="G71" i="1"/>
  <c r="F70" i="1"/>
  <c r="G70" i="1"/>
  <c r="F69" i="1"/>
  <c r="G69" i="1"/>
  <c r="F68" i="1"/>
  <c r="F67" i="1"/>
  <c r="G67" i="1"/>
  <c r="F66" i="1"/>
  <c r="G66" i="1"/>
  <c r="F65" i="1"/>
  <c r="G65" i="1"/>
  <c r="F64" i="1"/>
  <c r="G64" i="1"/>
  <c r="F63" i="1"/>
  <c r="G63" i="1"/>
  <c r="F62" i="1"/>
  <c r="G62" i="1"/>
  <c r="F61" i="1"/>
  <c r="G61" i="1"/>
  <c r="F60" i="1"/>
  <c r="G60" i="1"/>
  <c r="F59" i="1"/>
  <c r="G59" i="1"/>
  <c r="F58" i="1"/>
  <c r="G58" i="1"/>
  <c r="F57" i="1"/>
  <c r="G57" i="1"/>
  <c r="F56" i="1"/>
  <c r="G56" i="1"/>
  <c r="F55" i="1"/>
  <c r="G55" i="1"/>
  <c r="F54" i="1"/>
  <c r="G54" i="1"/>
  <c r="F53" i="1"/>
  <c r="G53" i="1"/>
  <c r="F52" i="1"/>
  <c r="G52" i="1"/>
  <c r="F51" i="1"/>
  <c r="G51" i="1"/>
  <c r="F50" i="1"/>
  <c r="G50" i="1"/>
  <c r="F49" i="1"/>
  <c r="G49" i="1"/>
  <c r="F48" i="1"/>
  <c r="G48" i="1"/>
  <c r="F47" i="1"/>
  <c r="G47" i="1"/>
  <c r="F46" i="1"/>
  <c r="G46" i="1"/>
  <c r="F45" i="1"/>
  <c r="G45" i="1"/>
  <c r="F44" i="1"/>
  <c r="G44" i="1"/>
  <c r="F43" i="1"/>
  <c r="G43" i="1"/>
  <c r="F42" i="1"/>
  <c r="G42" i="1"/>
  <c r="F41" i="1"/>
  <c r="G41" i="1"/>
  <c r="F40" i="1"/>
  <c r="G40" i="1"/>
  <c r="F39" i="1"/>
  <c r="G39" i="1"/>
  <c r="F38" i="1"/>
  <c r="G38" i="1"/>
  <c r="F37" i="1"/>
  <c r="G37" i="1"/>
  <c r="F36" i="1"/>
  <c r="G36" i="1"/>
  <c r="F35" i="1"/>
  <c r="G35" i="1"/>
  <c r="F34" i="1"/>
  <c r="G34" i="1"/>
  <c r="F33" i="1"/>
  <c r="G33" i="1"/>
  <c r="F32" i="1"/>
  <c r="G32" i="1"/>
  <c r="F31" i="1"/>
  <c r="G31" i="1"/>
  <c r="F30" i="1"/>
  <c r="G30" i="1"/>
  <c r="F29" i="1"/>
  <c r="G29" i="1"/>
  <c r="F28" i="1"/>
  <c r="G28" i="1"/>
  <c r="F27" i="1"/>
  <c r="G27" i="1"/>
  <c r="F26" i="1"/>
  <c r="G26" i="1"/>
  <c r="F25" i="1"/>
  <c r="G25" i="1"/>
  <c r="F24" i="1"/>
  <c r="G24" i="1"/>
  <c r="F23" i="1"/>
  <c r="G23" i="1"/>
  <c r="F22" i="1"/>
  <c r="G22" i="1"/>
  <c r="F21" i="1"/>
  <c r="G21" i="1"/>
  <c r="F20" i="1"/>
  <c r="G20" i="1"/>
  <c r="F19" i="1"/>
  <c r="G19" i="1"/>
  <c r="F18" i="1"/>
  <c r="G18" i="1"/>
  <c r="F17" i="1"/>
  <c r="G17" i="1"/>
  <c r="F16" i="1"/>
  <c r="G16" i="1"/>
  <c r="F15" i="1"/>
  <c r="G15" i="1"/>
  <c r="F14" i="1"/>
  <c r="G14" i="1"/>
  <c r="F13" i="1"/>
  <c r="G13" i="1"/>
  <c r="F12" i="1"/>
  <c r="G12" i="1"/>
  <c r="F11" i="1"/>
  <c r="G11" i="1"/>
  <c r="F10" i="1"/>
  <c r="G10" i="1"/>
  <c r="F9" i="1"/>
  <c r="G9" i="1"/>
  <c r="F7" i="1"/>
  <c r="G7" i="1"/>
  <c r="D8" i="1"/>
  <c r="E8" i="1"/>
  <c r="D127" i="1"/>
  <c r="E127" i="1"/>
  <c r="D126" i="1"/>
  <c r="E126" i="1"/>
  <c r="D125" i="1"/>
  <c r="E125" i="1"/>
  <c r="D124" i="1"/>
  <c r="E124" i="1"/>
  <c r="D123" i="1"/>
  <c r="E123" i="1"/>
  <c r="D122" i="1"/>
  <c r="E122" i="1"/>
  <c r="D121" i="1"/>
  <c r="E121" i="1"/>
  <c r="D120" i="1"/>
  <c r="E120" i="1"/>
  <c r="D119" i="1"/>
  <c r="E119" i="1"/>
  <c r="D118" i="1"/>
  <c r="E118" i="1"/>
  <c r="D117" i="1"/>
  <c r="E117" i="1"/>
  <c r="D116" i="1"/>
  <c r="E116" i="1"/>
  <c r="D115" i="1"/>
  <c r="E115" i="1"/>
  <c r="D114" i="1"/>
  <c r="E114" i="1"/>
  <c r="D113" i="1"/>
  <c r="E113" i="1"/>
  <c r="D112" i="1"/>
  <c r="E112" i="1"/>
  <c r="D111" i="1"/>
  <c r="E111" i="1"/>
  <c r="D110" i="1"/>
  <c r="E110" i="1"/>
  <c r="D109" i="1"/>
  <c r="E109" i="1"/>
  <c r="D108" i="1"/>
  <c r="E108" i="1"/>
  <c r="D107" i="1"/>
  <c r="E107" i="1"/>
  <c r="D106" i="1"/>
  <c r="E106" i="1"/>
  <c r="D105" i="1"/>
  <c r="E105" i="1"/>
  <c r="D104" i="1"/>
  <c r="E104" i="1"/>
  <c r="D103" i="1"/>
  <c r="E103" i="1"/>
  <c r="D102" i="1"/>
  <c r="E102" i="1"/>
  <c r="D101" i="1"/>
  <c r="E101" i="1"/>
  <c r="D100" i="1"/>
  <c r="E100" i="1"/>
  <c r="D99" i="1"/>
  <c r="E99" i="1"/>
  <c r="D98" i="1"/>
  <c r="E98" i="1"/>
  <c r="D97" i="1"/>
  <c r="E97" i="1"/>
  <c r="D96" i="1"/>
  <c r="E96" i="1"/>
  <c r="D95" i="1"/>
  <c r="E95" i="1"/>
  <c r="D94" i="1"/>
  <c r="E94" i="1"/>
  <c r="D93" i="1"/>
  <c r="E93" i="1"/>
  <c r="D92" i="1"/>
  <c r="E92" i="1"/>
  <c r="D91" i="1"/>
  <c r="E91" i="1"/>
  <c r="D90" i="1"/>
  <c r="E90" i="1"/>
  <c r="D89" i="1"/>
  <c r="E89" i="1"/>
  <c r="D88" i="1"/>
  <c r="E88" i="1"/>
  <c r="D87" i="1"/>
  <c r="E87" i="1"/>
  <c r="D86" i="1"/>
  <c r="E86" i="1"/>
  <c r="D85" i="1"/>
  <c r="E85" i="1"/>
  <c r="D84" i="1"/>
  <c r="E84" i="1"/>
  <c r="D83" i="1"/>
  <c r="E83" i="1"/>
  <c r="D82" i="1"/>
  <c r="E82" i="1"/>
  <c r="D81" i="1"/>
  <c r="E81" i="1"/>
  <c r="D80" i="1"/>
  <c r="E80" i="1"/>
  <c r="D79" i="1"/>
  <c r="E79" i="1"/>
  <c r="D78" i="1"/>
  <c r="E78" i="1"/>
  <c r="D77" i="1"/>
  <c r="E77" i="1"/>
  <c r="D76" i="1"/>
  <c r="E76" i="1"/>
  <c r="D75" i="1"/>
  <c r="E75" i="1"/>
  <c r="D74" i="1"/>
  <c r="E74" i="1"/>
  <c r="D73" i="1"/>
  <c r="E73" i="1"/>
  <c r="D72" i="1"/>
  <c r="E72" i="1"/>
  <c r="D71" i="1"/>
  <c r="E71" i="1"/>
  <c r="D70" i="1"/>
  <c r="E70" i="1"/>
  <c r="D69" i="1"/>
  <c r="E69" i="1"/>
  <c r="D68" i="1"/>
  <c r="E68" i="1"/>
  <c r="D67" i="1"/>
  <c r="E67" i="1"/>
  <c r="D66" i="1"/>
  <c r="E66" i="1"/>
  <c r="D65" i="1"/>
  <c r="E65" i="1"/>
  <c r="D64" i="1"/>
  <c r="E64" i="1"/>
  <c r="D63" i="1"/>
  <c r="E63" i="1"/>
  <c r="D62" i="1"/>
  <c r="E62" i="1"/>
  <c r="D61" i="1"/>
  <c r="E61" i="1"/>
  <c r="D60" i="1"/>
  <c r="E60" i="1"/>
  <c r="D59" i="1"/>
  <c r="E59" i="1"/>
  <c r="D58" i="1"/>
  <c r="E58" i="1"/>
  <c r="D57" i="1"/>
  <c r="E57" i="1"/>
  <c r="D56" i="1"/>
  <c r="E56" i="1"/>
  <c r="D55" i="1"/>
  <c r="E55" i="1"/>
  <c r="D54" i="1"/>
  <c r="E54" i="1"/>
  <c r="D53" i="1"/>
  <c r="E53" i="1"/>
  <c r="D52" i="1"/>
  <c r="E52" i="1"/>
  <c r="D51" i="1"/>
  <c r="E51" i="1"/>
  <c r="D50" i="1"/>
  <c r="E50" i="1"/>
  <c r="D49" i="1"/>
  <c r="E49" i="1"/>
  <c r="D48" i="1"/>
  <c r="E48" i="1"/>
  <c r="D47" i="1"/>
  <c r="E47" i="1"/>
  <c r="D46" i="1"/>
  <c r="E46" i="1"/>
  <c r="D45" i="1"/>
  <c r="E45" i="1"/>
  <c r="D44" i="1"/>
  <c r="E44" i="1"/>
  <c r="D43" i="1"/>
  <c r="E43" i="1"/>
  <c r="D42" i="1"/>
  <c r="E42" i="1"/>
  <c r="D41" i="1"/>
  <c r="E41" i="1"/>
  <c r="D40" i="1"/>
  <c r="E40" i="1"/>
  <c r="D39" i="1"/>
  <c r="E39" i="1"/>
  <c r="D38" i="1"/>
  <c r="E38" i="1"/>
  <c r="D37" i="1"/>
  <c r="E37" i="1"/>
  <c r="D36" i="1"/>
  <c r="E36" i="1"/>
  <c r="D35" i="1"/>
  <c r="E35" i="1"/>
  <c r="D34" i="1"/>
  <c r="E34" i="1"/>
  <c r="D33" i="1"/>
  <c r="E33" i="1"/>
  <c r="D32" i="1"/>
  <c r="E32" i="1"/>
  <c r="D31" i="1"/>
  <c r="E31" i="1"/>
  <c r="D30" i="1"/>
  <c r="E30" i="1"/>
  <c r="D29" i="1"/>
  <c r="E29" i="1"/>
  <c r="D28" i="1"/>
  <c r="E28" i="1"/>
  <c r="D27" i="1"/>
  <c r="E27" i="1"/>
  <c r="D26" i="1"/>
  <c r="E26" i="1"/>
  <c r="D25" i="1"/>
  <c r="E25" i="1"/>
  <c r="D24" i="1"/>
  <c r="E24" i="1"/>
  <c r="D23" i="1"/>
  <c r="E23" i="1"/>
  <c r="D22" i="1"/>
  <c r="E22" i="1"/>
  <c r="D21" i="1"/>
  <c r="E21" i="1"/>
  <c r="D20" i="1"/>
  <c r="E20" i="1"/>
  <c r="D19" i="1"/>
  <c r="E19" i="1"/>
  <c r="D18" i="1"/>
  <c r="E18" i="1"/>
  <c r="D17" i="1"/>
  <c r="E17" i="1"/>
  <c r="D16" i="1"/>
  <c r="E16" i="1"/>
  <c r="D15" i="1"/>
  <c r="E15" i="1"/>
  <c r="D14" i="1"/>
  <c r="E14" i="1"/>
  <c r="D13" i="1"/>
  <c r="E13" i="1"/>
  <c r="D12" i="1"/>
  <c r="E12" i="1"/>
  <c r="D11" i="1"/>
  <c r="E11" i="1"/>
  <c r="D10" i="1"/>
  <c r="E10" i="1"/>
  <c r="D9" i="1"/>
  <c r="E9" i="1"/>
  <c r="D7" i="1"/>
  <c r="E7" i="1"/>
  <c r="C8" i="1"/>
  <c r="C127" i="1"/>
  <c r="B126" i="1"/>
  <c r="C126" i="1"/>
  <c r="C125" i="1"/>
  <c r="B124" i="1"/>
  <c r="C124" i="1"/>
  <c r="C123" i="1"/>
  <c r="B122" i="1"/>
  <c r="C122" i="1"/>
  <c r="C121" i="1"/>
  <c r="B120" i="1"/>
  <c r="C120" i="1"/>
  <c r="C119" i="1"/>
  <c r="C118" i="1"/>
  <c r="C117" i="1"/>
  <c r="C116" i="1"/>
  <c r="C115" i="1"/>
  <c r="C114" i="1"/>
  <c r="C113" i="1"/>
  <c r="C112" i="1"/>
  <c r="B111" i="1"/>
  <c r="C111" i="1"/>
  <c r="C110" i="1"/>
  <c r="C109" i="1"/>
  <c r="C108" i="1"/>
  <c r="C107" i="1"/>
  <c r="C106" i="1"/>
  <c r="C105" i="1"/>
  <c r="C104" i="1"/>
  <c r="C103" i="1"/>
  <c r="C102" i="1"/>
  <c r="C101" i="1"/>
  <c r="C100" i="1"/>
  <c r="B99" i="1"/>
  <c r="C99" i="1"/>
  <c r="C98" i="1"/>
  <c r="C97" i="1"/>
  <c r="C96" i="1"/>
  <c r="C95" i="1"/>
  <c r="C94" i="1"/>
  <c r="C93" i="1"/>
  <c r="C92" i="1"/>
  <c r="C91" i="1"/>
  <c r="C90" i="1"/>
  <c r="C89" i="1"/>
  <c r="C88" i="1"/>
  <c r="C87" i="1"/>
  <c r="C86" i="1"/>
  <c r="C85" i="1"/>
  <c r="B84" i="1"/>
  <c r="C84" i="1"/>
  <c r="C83" i="1"/>
  <c r="C82" i="1"/>
  <c r="C81" i="1"/>
  <c r="C80" i="1"/>
  <c r="C79" i="1"/>
  <c r="C78" i="1"/>
  <c r="C77" i="1"/>
  <c r="C76" i="1"/>
  <c r="C75" i="1"/>
  <c r="C74" i="1"/>
  <c r="C73" i="1"/>
  <c r="C72" i="1"/>
  <c r="C71" i="1"/>
  <c r="C70" i="1"/>
  <c r="C69" i="1"/>
  <c r="B68" i="1"/>
  <c r="C68" i="1"/>
  <c r="C67" i="1"/>
  <c r="C66" i="1"/>
  <c r="C65" i="1"/>
  <c r="C64" i="1"/>
  <c r="C63" i="1"/>
  <c r="C62" i="1"/>
  <c r="C61" i="1"/>
  <c r="B60" i="1"/>
  <c r="C60" i="1"/>
  <c r="C59" i="1"/>
  <c r="C58" i="1"/>
  <c r="C57" i="1"/>
  <c r="C56" i="1"/>
  <c r="C55" i="1"/>
  <c r="C54" i="1"/>
  <c r="C53" i="1"/>
  <c r="B52" i="1"/>
  <c r="C52" i="1"/>
  <c r="C51" i="1"/>
  <c r="C50" i="1"/>
  <c r="C49" i="1"/>
  <c r="C48" i="1"/>
  <c r="C47" i="1"/>
  <c r="C46" i="1"/>
  <c r="C45" i="1"/>
  <c r="C44" i="1"/>
  <c r="B43" i="1"/>
  <c r="C43" i="1"/>
  <c r="C42" i="1"/>
  <c r="C41" i="1"/>
  <c r="C40" i="1"/>
  <c r="C39" i="1"/>
  <c r="C38" i="1"/>
  <c r="C37" i="1"/>
  <c r="C36" i="1"/>
  <c r="C35" i="1"/>
  <c r="C34" i="1"/>
  <c r="C33" i="1"/>
  <c r="C32" i="1"/>
  <c r="C31" i="1"/>
  <c r="C30" i="1"/>
  <c r="C29" i="1"/>
  <c r="C28" i="1"/>
  <c r="C27" i="1"/>
  <c r="C26" i="1"/>
  <c r="B25" i="1"/>
  <c r="C25" i="1"/>
  <c r="C24" i="1"/>
  <c r="C23" i="1"/>
  <c r="C22" i="1"/>
  <c r="C21" i="1"/>
  <c r="C20" i="1"/>
  <c r="C19" i="1"/>
  <c r="C18" i="1"/>
  <c r="C17" i="1"/>
  <c r="B16" i="1"/>
  <c r="C16" i="1"/>
  <c r="C15" i="1"/>
  <c r="C14" i="1"/>
  <c r="C13" i="1"/>
  <c r="C12" i="1"/>
  <c r="C11" i="1"/>
  <c r="C10" i="1"/>
  <c r="C9" i="1"/>
  <c r="B7" i="1"/>
  <c r="C7" i="1"/>
</calcChain>
</file>

<file path=xl/sharedStrings.xml><?xml version="1.0" encoding="utf-8"?>
<sst xmlns="http://schemas.openxmlformats.org/spreadsheetml/2006/main" count="3645" uniqueCount="531">
  <si>
    <t>SUBSECRETARÍA DE INTEGRACIÓN INTERINSTITUCIONAL
DIRECCIÓN DE INSPECCIÓN Y VIGILANCIA</t>
  </si>
  <si>
    <t>PLAN OPERATIVO ANUAL DE INSPECCIÓN Y VIGILANCIA 2025</t>
  </si>
  <si>
    <t>MATRIZ DE FORMULACIÓN Y SEGUIMIENTO A LA EJECUCIÓN DEL POAIV</t>
  </si>
  <si>
    <t>COMPONENTE DE FORMULACIÓN (PLANEACIÓN DE VISITAS, ACTUACIONES O INTERVENCIONES A LOS ESTABLECIMIENTOS EDUCATIVOS)</t>
  </si>
  <si>
    <t>COMPONENTE DE SEGUIMIENTO RESULTADOS DE LAS ACTUACIONES REALIZADAS - INFORMES DE EJECUCIÓN</t>
  </si>
  <si>
    <t>Codigo unico</t>
  </si>
  <si>
    <t>NÚMERO DE EE</t>
  </si>
  <si>
    <t>EQUIPO LOCAL</t>
  </si>
  <si>
    <t>SECTOR DEL ESTABLECIMIENTO</t>
  </si>
  <si>
    <t>TIPO DE ESTABLECIMIENTO EDUCATIVO</t>
  </si>
  <si>
    <t>NOMBRE DEL ESTABLECIMIENTO EDUCATIVO</t>
  </si>
  <si>
    <t xml:space="preserve">SEDE ATENDIDA </t>
  </si>
  <si>
    <t>CRITERIO DE PRIORIZACIÓN</t>
  </si>
  <si>
    <t>OPERACIÓN</t>
  </si>
  <si>
    <t>ACTIVIDAD (ES) A DESARROLLAR</t>
  </si>
  <si>
    <t>FUNCIONARIO RESPONSABLE</t>
  </si>
  <si>
    <t>FUNCIONARIO 
CORRESPONSABLE</t>
  </si>
  <si>
    <t>FECHA PROGRAMADA</t>
  </si>
  <si>
    <t>FECHA REAL DE INICIO DE LA ACTUACIÓN</t>
  </si>
  <si>
    <t>FECHA REAL FIN DE LA ACTUACIÓN</t>
  </si>
  <si>
    <t xml:space="preserve"> ACTUACIÓN REALIZADA
</t>
  </si>
  <si>
    <t xml:space="preserve">UBICACIÓN EVIDENCIA DOCUMENTAL 
</t>
  </si>
  <si>
    <t xml:space="preserve">SITUACIÓN ENCONTRADA
</t>
  </si>
  <si>
    <t xml:space="preserve">CONCLUSIONES Y/O COMPROMISOS ADQUIRIDOS </t>
  </si>
  <si>
    <t xml:space="preserve">PMI </t>
  </si>
  <si>
    <t xml:space="preserve">ACCIONES DE SEGUIMIENTO Y/O VERIFICACIÓN
</t>
  </si>
  <si>
    <t>06. Acta de visita Integral - Col. CENCOSISTEMAS.pdf</t>
  </si>
  <si>
    <t>04. Acta de visita Integral - Col. Ctro Panamericano de Capacitación.pdf</t>
  </si>
  <si>
    <t>02. Acta de visita Integral - Liceo Moderno Walt Withman.pdf</t>
  </si>
  <si>
    <t>03. Acta de visita Integral - COL. COOP MAGISTERIO DE CMARCA.pdf</t>
  </si>
  <si>
    <t>11. Acta de visita Integral - Col. Parroquial Ntra Sra de la Valvanera.pdf</t>
  </si>
  <si>
    <t>13. Acta Col Cristo Rey del Sur.pdf</t>
  </si>
  <si>
    <t>08. Acta de visita Integral - COLEGIO EDUARDO.pdf</t>
  </si>
  <si>
    <t>09. Acta de visita Integral - INSTITUTO BOGOTA.pdf</t>
  </si>
  <si>
    <t>10. Acta Inst. Julio Maria Matovelle.pdf</t>
  </si>
  <si>
    <t>12. Acta Centro Educativo CE Ntra Sra de la Paz.pdf</t>
  </si>
  <si>
    <t>16. Acta Col Francisco de Paula Santander (IED)_signed.pdf</t>
  </si>
  <si>
    <t>15. Acta Col. Guillermo León Valencia IED.pdf</t>
  </si>
  <si>
    <t>14. Acta de visita Integral - COLEGIO ENSDM Montessori IED.pdf</t>
  </si>
  <si>
    <t>01. Acta de visita Integral - Colegio Integral San Jorge Central.pdf</t>
  </si>
  <si>
    <t>07. Acta de visita Integral - ETDH CENCOSISTEMAS.pdf</t>
  </si>
  <si>
    <t>18. Acta de Visita Integral - CEA PORCHE.pdf</t>
  </si>
  <si>
    <t>17. Acta CEA La Gran Via.pdf</t>
  </si>
  <si>
    <t>05. Acta de Visita Ctro de Idiomas ULA.pdf</t>
  </si>
  <si>
    <t>Acta_visita_integral_LiceoFormación_20250708.pdf</t>
  </si>
  <si>
    <t>Acta_Visita_Integral_Cap2000_Chapinero.pdf</t>
  </si>
  <si>
    <t>Acta_Visita_Integral_Colegio_Triángulo_Chapinero.pdf</t>
  </si>
  <si>
    <t>Acta_Visita_Integral_Gimnasio_Americano.pdf</t>
  </si>
  <si>
    <t>Acta_Visita_Integral_Centro_de_Promoción_San_José.pdf</t>
  </si>
  <si>
    <t>Acta_Visita_Integral_Colegio_Santa_Rosa_de_Lima.pdf</t>
  </si>
  <si>
    <t>Acta_Visita_Integral_Colegio_Monserrate.pdf</t>
  </si>
  <si>
    <t>Acta_visita_Integral_Col_República_de_Panama.pdf</t>
  </si>
  <si>
    <t>https://acortar.link/yAlpUW</t>
  </si>
  <si>
    <t>https://shre.ink/Mn5W</t>
  </si>
  <si>
    <t>https://shre.ink/Mn7g</t>
  </si>
  <si>
    <t>https://shre.ink/Mnjr</t>
  </si>
  <si>
    <t>https://shre.ink/eCE6</t>
  </si>
  <si>
    <t>https://shre.ink/evUD</t>
  </si>
  <si>
    <t>https://shre.ink/evAg</t>
  </si>
  <si>
    <t>https://shre.ink/evjR</t>
  </si>
  <si>
    <t>https://shre.ink/evhA</t>
  </si>
  <si>
    <t>https://shre.ink/evCM</t>
  </si>
  <si>
    <t>https://shre.ink/eKSY</t>
  </si>
  <si>
    <t>https://shre.ink/eK5b</t>
  </si>
  <si>
    <t>https://shre.ink/eKLw</t>
  </si>
  <si>
    <t>https://acortar.link/WDQjzH</t>
  </si>
  <si>
    <t>https://shre.ink/e52M</t>
  </si>
  <si>
    <t>https://shre.ink/ebhv</t>
  </si>
  <si>
    <t>https://shre.ink/x7Bw</t>
  </si>
  <si>
    <t>https://shre.ink/SNnF</t>
  </si>
  <si>
    <t>17JUL25_LICEO MODERNO BETANIA.pdf</t>
  </si>
  <si>
    <t>22JUL25_LICEO OCTAVIO PAZ</t>
  </si>
  <si>
    <t>2415JUL25_LICEO PSICOPEDAGOGICO EL CARMELO</t>
  </si>
  <si>
    <t>29JUL25_LICEO SAN PABLO</t>
  </si>
  <si>
    <t>LICEO CERVANTES EL RETIRO</t>
  </si>
  <si>
    <t>POLITECNICO UNICAP</t>
  </si>
  <si>
    <t>POLITECNICO UNICAP MANUAL</t>
  </si>
  <si>
    <t>acta visita Colegio Unilatina.pdf</t>
  </si>
  <si>
    <t>Acta de visita administrativa.pdf</t>
  </si>
  <si>
    <t>ACTA FINAL FUND NUEVA GRANADA.pdf</t>
  </si>
  <si>
    <t>ACTA DE VISITA LICEO FRANCES.pdf</t>
  </si>
  <si>
    <t>20240913_FV_Manuales_Convivencia LICEO FRANCES.xlsx</t>
  </si>
  <si>
    <t>Acta JARDIN INFANTIL EL TALLER DEL ARCO IRIS.pdf</t>
  </si>
  <si>
    <t>COLEGIO KUEPA</t>
  </si>
  <si>
    <t>COLEGIO FILADELFIA</t>
  </si>
  <si>
    <t>MANUAL FILADELFIA</t>
  </si>
  <si>
    <t>ACTA DE VISITA FRIMADA.pdf</t>
  </si>
  <si>
    <t>20240913_FV_Manuales_Convivencia Simón rodriguez.xlsx</t>
  </si>
  <si>
    <t>Acta Visita Campestre Monte Verde_2025.pdf</t>
  </si>
  <si>
    <t>COLEGIO SAN MARTIN DE PORRES (IED)</t>
  </si>
  <si>
    <t>INFORME VERIFICACIÓN Y EVALUACIÓN MANUAL DE CONVIVENCIA COLEGIO SAN MARTÍN DE PORRES IED.pdf</t>
  </si>
  <si>
    <t>CHAPINERO</t>
  </si>
  <si>
    <t>PRIVADO_IETDH</t>
  </si>
  <si>
    <t>IETDH</t>
  </si>
  <si>
    <t>ESCUELA_DE_AUXILIARES_DE_ENFERMERIA_DEL_HOSPITAL_MILITAR_CENTRAL_</t>
  </si>
  <si>
    <t xml:space="preserve">ESCUELA DE AUXILIARES DE ENFERMERIA DEL HOSPITAL MILITAR CENTRAL </t>
  </si>
  <si>
    <t>IETDH priorizadas por cada ELIV (seguimiento a PMI, que no se hayan visitado en los últimos 3 años)</t>
  </si>
  <si>
    <t>SEGUIMIENTO_Y_SUPERVISIÓN.</t>
  </si>
  <si>
    <t>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t>
  </si>
  <si>
    <t>JUAN MANUEL AGUIRRE BOHÓRQUEZ</t>
  </si>
  <si>
    <t>CONNIE QUIÑONES CÁRDENAS</t>
  </si>
  <si>
    <t>Visitas de evaluación con fines de mejoramiento</t>
  </si>
  <si>
    <t>Escuela auxiliares en enfermeria hospital militar central</t>
  </si>
  <si>
    <t>Se verificó que la institución realiza los cobros de conformidad con lo autorizado y atendió las recomendaciones realizadas, Frente al SIET se encuentra al día en el reporte de matricula y certificados</t>
  </si>
  <si>
    <t>Continuar con el cumplimiento en cuanto al reporte anual de costos y el reporte de matriculados y certificados en cada cohorte en el SIET,</t>
  </si>
  <si>
    <t>No</t>
  </si>
  <si>
    <t>Verificación de continuidad del reporte de costos  y reporte de matriculados y certificados en el SIET, cuando se requiera</t>
  </si>
  <si>
    <t>ACTA DE VISITA SMART</t>
  </si>
  <si>
    <t>Acta IETDH INCAP.pdf</t>
  </si>
  <si>
    <t>Visita EAC</t>
  </si>
  <si>
    <t>ACTA BERLITZ.pdf</t>
  </si>
  <si>
    <t>CENTRO DE IDIOMAS UNIVERSAL</t>
  </si>
  <si>
    <t>CAEI</t>
  </si>
  <si>
    <t>ACADEMIA DANZA DESARROLLO CON PROPOSITO ADDA</t>
  </si>
  <si>
    <t>20250422ActaVisitaAdministrativaInsCoopIsmaelPerdomo.pdf</t>
  </si>
  <si>
    <t>NUEVO COLEGIO LUSADI</t>
  </si>
  <si>
    <t>20250407_Visita administrativa Colegio Nuevo Milenio.pdf</t>
  </si>
  <si>
    <t>20250408_ActaVisitaAdministrativaInstSanFrancisco.pdf</t>
  </si>
  <si>
    <t>20250408ActaVisitaInstInstPsicopedTesoroVerdad (2) (1).pdf</t>
  </si>
  <si>
    <t>20250515ActaVisitaInstJerusalen.pdf</t>
  </si>
  <si>
    <t>20250709_VisitaAdvaColSolesDelSaber.pdf</t>
  </si>
  <si>
    <t>Popular Bolivariano</t>
  </si>
  <si>
    <t>Santa Ana Luz del Carmen</t>
  </si>
  <si>
    <t>20250612 ActaVisitaInstitutoCerrosSur.pdf</t>
  </si>
  <si>
    <t>20250901_COLEGIO_DIOS_ES_AMOR.pdf</t>
  </si>
  <si>
    <t>20250812_Col Cofraternidad de San Fernando.pdf</t>
  </si>
  <si>
    <t>20250917_ActaVisitaAdministrativaColInteramericano.pdf</t>
  </si>
  <si>
    <t>20250903 LICEO LA CORUÑA</t>
  </si>
  <si>
    <t>20250909_ActaVisitaAdvaColOrestesSindici.pdf</t>
  </si>
  <si>
    <t>20251001_ActaVisitaAdministrativaLicMauritania.pdf</t>
  </si>
  <si>
    <t>20250329Acta visita corpoempresarial.pdf</t>
  </si>
  <si>
    <t>06_06_2025_INSTITUTO IP EDUCANDO LA JUVENTUD FUTURO DE COLOMBIa.pdf</t>
  </si>
  <si>
    <t>GIM MADRE TRINIDAD DE CALCUTA.pdf</t>
  </si>
  <si>
    <t>Acta visita Centro Panamericano05-04-2025.pdf</t>
  </si>
  <si>
    <t>ACTA VISITA CEL 27MAR2025</t>
  </si>
  <si>
    <t>ACTA MAYOR DE GALES.pdf</t>
  </si>
  <si>
    <t>ACTA DE VISITA COLEGIO EMMANUEL RUBIANO CORREGIDA.pdf</t>
  </si>
  <si>
    <t>30_05_2025_LICEO SAN LEON MAGNO.pdf</t>
  </si>
  <si>
    <t>20250326ActavisitaLicModLeeuwenhoek.pdf</t>
  </si>
  <si>
    <t>COLEGIO LUIS MARIANO 12_08_2025.pdf</t>
  </si>
  <si>
    <t>ACTA JOSE MARTINEZ RUIZ.pdf</t>
  </si>
  <si>
    <t>ACTA RAFAEL DE ALICANTE.pdf</t>
  </si>
  <si>
    <t>ACTA DE VISITA COLEGIO REAL DE BOGOTÁ.pdf</t>
  </si>
  <si>
    <t>ACTACOLARTESABER.pdf</t>
  </si>
  <si>
    <t>ACTAS J.J. VARGAS.pdf</t>
  </si>
  <si>
    <t>20250605ColmayEngat.pdf</t>
  </si>
  <si>
    <t>20250725VisitaInstHenaoyArrubla.pdf</t>
  </si>
  <si>
    <t>ACTA DE VISITA INST TECNICO ANGELI 22 DE AGO DE 2025.pdf</t>
  </si>
  <si>
    <t>ACTA DE VISITA PRIORIZADOS 2025 ATENEO JUAN EUDES 28-03-2025.pdf</t>
  </si>
  <si>
    <t>20251024Visitacolmonterrey.pdf</t>
  </si>
  <si>
    <t>ActaLicCelestinFrei.pdf</t>
  </si>
  <si>
    <t>ACTA DE VISITA COLEGIO HENRY WALLON 25 ABRIL DE 2025.pdf</t>
  </si>
  <si>
    <t>ActavisitaLiccialAmericas.pdf</t>
  </si>
  <si>
    <t>VISITA MARIA AUXILIADORA.pdf</t>
  </si>
  <si>
    <t>ACTA COOP ALAMOS.pdf</t>
  </si>
  <si>
    <t>ACTA VISITA COLEGIO REAL DE COLOMBIA.pdf</t>
  </si>
  <si>
    <t>COLEGIO REAL DE COLOMBIA.pdf</t>
  </si>
  <si>
    <t>ACTA LICEO NORMANDIA.pdf</t>
  </si>
  <si>
    <t>visita L. Da vinci.pdf</t>
  </si>
  <si>
    <t>ACTA VISITA GENERAL SANTANDER.pdf</t>
  </si>
  <si>
    <t>ACTA ABEL RODRIGUEZ CÉSPEDES_09_09_2025.pdf</t>
  </si>
  <si>
    <t>Acta visita Tomás Moro.pdf</t>
  </si>
  <si>
    <t>20250929visitacolsanjosenorte.pdf</t>
  </si>
  <si>
    <t>20250401 Acta visita Col la Palestina.pdf</t>
  </si>
  <si>
    <t>Acta visita Naciones Unidas.pdf</t>
  </si>
  <si>
    <t>ACTA VISITA SIDEP SAS IETDH 12JUL2025.pdf</t>
  </si>
  <si>
    <t>POLITECNICO MAYOR ANDINO.pdf</t>
  </si>
  <si>
    <t>acta visita firmada.pdf</t>
  </si>
  <si>
    <t>FORMATO UNIDAD EDUCATIVA BAHIA SOLANO.pdf</t>
  </si>
  <si>
    <t>VISITA CON FINES DE MEJORAMIENTO COLEGIO NUEVO MONTESSORIANO.pdf</t>
  </si>
  <si>
    <t>VISITA CON FINES DE MEJORAMIENTO INSTITUTO NAZARENO DE MODELIA.pdf</t>
  </si>
  <si>
    <t>acá de visita - militar.pdf</t>
  </si>
  <si>
    <t>ACTA FIRMADA PRADOS DE ALAMEDA.pdf</t>
  </si>
  <si>
    <t>acta de visita - marco aurelio.pdf</t>
  </si>
  <si>
    <t>FONTIBÓN</t>
  </si>
  <si>
    <t>PRIVADO</t>
  </si>
  <si>
    <t>Educación de Jóvenes y Adultos</t>
  </si>
  <si>
    <t>COLEGIO_MARCO_AURELIO</t>
  </si>
  <si>
    <t>Autoevaluación Institucional y Pruebas SABER 11</t>
  </si>
  <si>
    <t>EVALUACIÓN_CON_FINES_DE_MEJORAMIENTO.</t>
  </si>
  <si>
    <t>Verificar las condiciones en cuanto a: la estructura administrativa, condiciones de la planta física y medios educativos adecuados.</t>
  </si>
  <si>
    <t>JAIME GABRIEL GONZÁLEZ GAMBOA</t>
  </si>
  <si>
    <t>JOSÉ GUILLERMO ALARCÓN CUALLA</t>
  </si>
  <si>
    <t>No cuenta con espacios suficientes, administrativos, académicos y de bienestar, que estén dedicados a la atención integral del servicio.</t>
  </si>
  <si>
    <t>Los espacios académicos – pedagógicos no brindan a la población escolar un buen campo de desarrollo cognitivo y social.</t>
  </si>
  <si>
    <t>Si</t>
  </si>
  <si>
    <t>Deben incluir acciones de mejoramiento,  a las cuales se les realizara el seguimiento.</t>
  </si>
  <si>
    <t>VISITA CON FINES DE MEJORAMIENTO COLEGIO PARROQUIAL SAN JOSE DE FONTIBON.pdf</t>
  </si>
  <si>
    <t>VISITA CON FINES DE MEJORA COLEGIO MADRE MATILDE.pdf</t>
  </si>
  <si>
    <t>ACTA MARIA JOSEFA CANELONES.pdf</t>
  </si>
  <si>
    <t>3. Acta de Visita CON FINES DE MEJORAMIENTO 31032025 V.5 - COLEGIO LIDERES DEL MAÑANA 2025 04 25.pdf</t>
  </si>
  <si>
    <t>ACTA DE VISITA COLEGIO ROBERT HOOKE.pdf</t>
  </si>
  <si>
    <t>COLEGIO ALEXANDER FLEMING.pdf</t>
  </si>
  <si>
    <t>Se evidencia que cumple con la intensidad horaria mínima anual.</t>
  </si>
  <si>
    <t>Se evidenció la conformación del gobierno escolar, el cual contó con las instancias de participación de la comunidad educativa</t>
  </si>
  <si>
    <t>El organigrama que se encuentra documentado en el PEI no tiene concordancia con los perfiles de la realidad institucional del colegio</t>
  </si>
  <si>
    <t>COLEGIO ANTARES.pdf</t>
  </si>
  <si>
    <t>Se encontró coherencia entre la información registrada en el EVI y la realidad institucional en concordancia con los documentos aportados y la revisión de los mismos, al igual que la validación de los diferentes espacios con los que cuenta el colegio</t>
  </si>
  <si>
    <t>ACTA VISITA COLEGIO_ATENIENSE.pdf</t>
  </si>
  <si>
    <t>ACTA VISITA COLEGIO BRITANICO.pdf</t>
  </si>
  <si>
    <t>ACTA VISITA COLEGIO CENTRO DE INSTRUCCION SISTEMATIZADA CEIS.pdf</t>
  </si>
  <si>
    <t>ACTA VISITA COLEGIO_CHARLES_BABAGGE.pdf</t>
  </si>
  <si>
    <t>ACTA VISITA CIUDAD DE CALI.pdf</t>
  </si>
  <si>
    <t>ACTA VISITA COLEGIO CIUDAD DE FOMEQUE.pdf</t>
  </si>
  <si>
    <t>ACTA DE VISITA CIUDAD DE PATIO BONITO.pdf</t>
  </si>
  <si>
    <t>ACTA VISITA COLEGIO INCADE KENNEDY.pdf</t>
  </si>
  <si>
    <t>ACTA DE VISITA COLEGIO JAIME QUIJANO.pdf</t>
  </si>
  <si>
    <t>ACTA DE VISITA COLEGIO JAZMIN OCCIDENTAL.pdf</t>
  </si>
  <si>
    <t>ACTA DE VISITA COLEGIO LAZARILLO DE TORMES</t>
  </si>
  <si>
    <t>ACTA VISITA COLEGIO MANDALAY.pdf</t>
  </si>
  <si>
    <t>ACTA VISITA GIMNASIO MODERNO EL TINTAL.pdf</t>
  </si>
  <si>
    <t>ACTA DE VISITA COLEGIO MI PATRIA.pdf</t>
  </si>
  <si>
    <t>ACTA DE VISITA COLEGIO MILITAR ANTONIA SANTOS.pdf</t>
  </si>
  <si>
    <t>ACTA DE VISITA COLEGIO COOPERATIVO MILITAR JUSTINIANO QUIÑONEZ ANGULO.pdf</t>
  </si>
  <si>
    <t>ACTA VISITA COLEGIO RAFAEL GOBERNA.pdf</t>
  </si>
  <si>
    <t>ACTA DE VISITA COLEGIO SAGRADO CORAZON.pdf</t>
  </si>
  <si>
    <t>ACTA DE VISITA_COLEGIO SAN ANGEL.pdf</t>
  </si>
  <si>
    <t>ACTA VISITA COLEGIO SUPERIOR DE OCCIDENTE.pdf</t>
  </si>
  <si>
    <t>Acta Talentos</t>
  </si>
  <si>
    <t>ACTA DE VISITA COLEGIO TECNISISTEMAS.pdf</t>
  </si>
  <si>
    <t>ACTA DE VISITA COLEGIO TRIANGULO KENNEDY_29_05_2025.pdf</t>
  </si>
  <si>
    <t>KENNEDY</t>
  </si>
  <si>
    <t>ACTA DE VISITA COLEGIO TRIANGULO.pdf</t>
  </si>
  <si>
    <t>ACTA VISITA COLEGIO GIMNASIO IGNACIA CAMACHO DE CIPHUENTES.pdf</t>
  </si>
  <si>
    <t>ACTA LORETO SEDE B.pdf</t>
  </si>
  <si>
    <t>INSTITUTO CULTURAL CIUDAD DE KENNEDY</t>
  </si>
  <si>
    <t>ACTA DE VISITA_INSTITUTO DE EDUCACION EMAUS_22_05_25.pdf</t>
  </si>
  <si>
    <t>EPBM</t>
  </si>
  <si>
    <t>INSTITUTO_DE_EDUCACION_MEDIA_EMAUS</t>
  </si>
  <si>
    <t>INSTITUTO DE EDUCACION MEDIA EMAUS</t>
  </si>
  <si>
    <t>Realizar visitas para verificar la información registrada sobre la autoevaluación institucional en el aplicativo EVI, a los establecimientos de educación formal no oficial.</t>
  </si>
  <si>
    <t>ADRIANA VENEGAS VALERA</t>
  </si>
  <si>
    <t>LUIS FERNANDO CÁRDENAS URAN</t>
  </si>
  <si>
    <t>La institución registra en el aplicativo EVI, la realidad institucional.</t>
  </si>
  <si>
    <t xml:space="preserve">Continuar registrando la realidad institucional en el aplicativo EVI. </t>
  </si>
  <si>
    <t xml:space="preserve">El ELIV, verificará que la institución reporte la información que da cuenta de la realidad Institucional en el aplicativo EVI. </t>
  </si>
  <si>
    <t xml:space="preserve">Verificar la implementación por parte de los colegios, de acciones realizadas para la prevención y atención de las situaciones de convivencia en el entorno escolar, según lo establecido en la Directiva 01 de 2022 del MEN. </t>
  </si>
  <si>
    <t xml:space="preserve">La IE  no evidencia para la presente vigencia consultas por delitos sexuales del personal vinculado </t>
  </si>
  <si>
    <t>La IE debe verificar cada 4 meses las inhabilidades del personal vinculado por delitos sexuales.</t>
  </si>
  <si>
    <t xml:space="preserve">Seguimiento al cumplimiento del plan de mejoramiento. Se realiza mesa de seguimiento el día 1 de octubre de 2025. El cumplimiento total se enviará el 30 de octubre. </t>
  </si>
  <si>
    <t>INSTITUTO LEONARD EULER.pdf</t>
  </si>
  <si>
    <t>INSTITUTO SAN RICARDO PAMPURI.pdf</t>
  </si>
  <si>
    <t>INSTITUTO TENERIFE.pdf</t>
  </si>
  <si>
    <t>INSTITUTO_TENERIFE</t>
  </si>
  <si>
    <t>INSTITUTO TENERIFE</t>
  </si>
  <si>
    <t>VIVANA PILAR BOHÓRQUEZ DÍAZ</t>
  </si>
  <si>
    <t>La Institución realiza acciones de prevención y atención de las situaciones de convivencia en el entorno escolar.</t>
  </si>
  <si>
    <t xml:space="preserve">Continuar realizando acciones de prevención y atención de las situaciones de convivencia escolar. </t>
  </si>
  <si>
    <t>Verificar que las acciones de prevención y atención de las situaciones de convivencia en el entorno escolar se continúen realizando. Se realiza mesa de seguimiento el 14 de noviembre.</t>
  </si>
  <si>
    <t>ACTA DE VISITA INSTITUTO YOLKIN.pdf</t>
  </si>
  <si>
    <t>INSTITUTO_YOLKIN</t>
  </si>
  <si>
    <t>INSTITUTO YOLKIN</t>
  </si>
  <si>
    <t>GERMÁN EDUARDO TORO ROSERO</t>
  </si>
  <si>
    <t xml:space="preserve">Seguimiento al cumplimiento del plan de mejoramiento. Se realiza mesa de seguimiento el día 29 de septiembre 2025. Se validará el cumplimiento total del plan de mejoramiento el 30 de noviembre. </t>
  </si>
  <si>
    <t>LICEO EMANUEL MARLUI.pdf</t>
  </si>
  <si>
    <t>LICEO LUTHER KING.pdf</t>
  </si>
  <si>
    <t>LICEO_LUTHER_KING</t>
  </si>
  <si>
    <t>LICEO LUTHER KING</t>
  </si>
  <si>
    <t>Verificar que las acciones de prevención y atención de las situaciones de convivencia en el entorno escolar se continúen realizando.</t>
  </si>
  <si>
    <t>LICEO MODERNO LEON BAEZ</t>
  </si>
  <si>
    <t>LICEO NUEVA BRITALIA.pdf</t>
  </si>
  <si>
    <t>LICEO PIÑEROS CORTES.pdf</t>
  </si>
  <si>
    <t>LICEO REYNEL.pdf</t>
  </si>
  <si>
    <t>INGRID VIVIANA DÁVILA ÁVILA</t>
  </si>
  <si>
    <t xml:space="preserve">DIANA ZULAY HUERTAS ORTÍZ </t>
  </si>
  <si>
    <t>La IE cumple con las condiciones de estructura administrativa, condiciones de la planta física y medios educativos adecuados, ya que cuenta con espacios en condiciones adecuados de iluminación y ventilación.</t>
  </si>
  <si>
    <t xml:space="preserve">La EE debe mantener las condiciones de prestación del servicio, en cuanto estructura administrativa, planta física y medios educativos. </t>
  </si>
  <si>
    <t xml:space="preserve">El ELIV verificará que se mantengan las condiciones de prestación del servicio. </t>
  </si>
  <si>
    <t>U_E_FUTURO_DEL_MAÑANA</t>
  </si>
  <si>
    <t>La institución reporta la información que da cuenta de su realidad institucional.</t>
  </si>
  <si>
    <t>Seguir reportando la realidad institucional en el EVI</t>
  </si>
  <si>
    <t>Verificar el la próxima vigencia la información reportada en el EVI.</t>
  </si>
  <si>
    <t>Proponer estrategias en la formulación, verificar su elaboración y realizar seguimiento semestral al desarrollo de  las acciones establecidas en los planes de mejoramiento por pruebas SABER 11 de los establecimientos de educación formal.</t>
  </si>
  <si>
    <t>ACTA DE VISITA UNIDAD FUTURO DEL MAÑANA</t>
  </si>
  <si>
    <t>Se evidenció que la institución carece de un plan de mejoramiento sobre sus resultados de pruebas saber.</t>
  </si>
  <si>
    <t xml:space="preserve">EE debe adelantar un análisis detallado de los resultados de las pruebas saber 11, lo que les permitirá definir las estrategias pedagógicas para subir la clasificación. </t>
  </si>
  <si>
    <t xml:space="preserve">Revisión de las acciones ejecutadas por la institución educativa con respecto al análisis realizado de las pruebas saber  Se realiza mesa de seguimiento el día 18 de septiembre 2025. </t>
  </si>
  <si>
    <t>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t>
  </si>
  <si>
    <t xml:space="preserve">La EE carece de evidencias en la actualización, socialización e implementación del manual de convivencia. </t>
  </si>
  <si>
    <t xml:space="preserve">EE Actualizar, socializar e implementar el manual de convivencia, dejando evidencia de una construcción participativa con la comunidad educativa. </t>
  </si>
  <si>
    <t xml:space="preserve">ELIV hará seguimiento a la actualización del manual de convivencia, teniendo en cuenta la normatividad vigente. Se realiza mesa de seguimiento el día 18 de septiembre 2025. </t>
  </si>
  <si>
    <t>Revisar el calendario escolar, jornada escolar, la intensidad horaria mínima anual en cada nivel y las modificaciones que se realicen al mismo, de acuerdo con lo previsto en la normatividad vigente.</t>
  </si>
  <si>
    <t>El calendario académico no cumple con la normatividad vigente.</t>
  </si>
  <si>
    <t>La EE debe ajustar el calendario académico para cumplir con la normatividad vigente.</t>
  </si>
  <si>
    <t xml:space="preserve">Revisión del ajuste al calendario académico o modificación de la licencia de funcionamiento en modalidad semipresencial. Se realiza mesa de seguimiento el día 18 de septiembre 2025. </t>
  </si>
  <si>
    <t>Se evidenció que EE no cuenta con laboratorios de ciencias naturales.</t>
  </si>
  <si>
    <t>La EE debe acondicionar espacios para laboratorio con su respectiva dotación o gestionar convenios con otras entidades.</t>
  </si>
  <si>
    <t xml:space="preserve">ELIV realizará seguimiento al cumplimiento de este compromiso. Se realiza mesa de seguimiento el día 18 de septiembre 2025. </t>
  </si>
  <si>
    <t>UNIDAD_EDUCATIVA_JEAN_PIAGET</t>
  </si>
  <si>
    <t>UNIDAD EDUCATIVA JEAN PIAGET</t>
  </si>
  <si>
    <t>UNIDAD EDUCATIVA JEAN PIAGET.pdf</t>
  </si>
  <si>
    <t>La información reportada en el EVI es coherente con la realidad institucional.</t>
  </si>
  <si>
    <t>Continuar reportando la información en las condiciones que se realizaron en la vigencia anterior.</t>
  </si>
  <si>
    <t xml:space="preserve">Verificar en la próxima vigencia la información reportada en el EVI. </t>
  </si>
  <si>
    <t>La institución educativa cuenta con un plan de mejora para avanzar en los resultados de la pruebas SABER 11; sin embargo, este no ha sido avalado por el Consejo Académico.</t>
  </si>
  <si>
    <t xml:space="preserve">Contemplar el ajuste del currículo y el plan de estudios de acuerdo a los resultados de las pruebas SABER 11 y movilizarlo en el Consejo Académico. </t>
  </si>
  <si>
    <t>Seguimiento a las acciones avaladas por el Consejo Académico en relación con las pruebas SABER 11. Se realiza mesa de seguimiento el día 22 de septiembre 2025. El 5 de diciembre se validará el cumplimiento total del plan de mejoramiento.</t>
  </si>
  <si>
    <t>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t>
  </si>
  <si>
    <t xml:space="preserve">La IE cuenta con los Planes Individuales de Ajustes Razonables de los estudiantes caracterizados; sin embargo, no se encuentran firmados por los padres de familia y no se ha realizado el seguimiento pertinente. </t>
  </si>
  <si>
    <t xml:space="preserve">Los PIAR deben ser socializados con las familias y adelantar el respectivo seguimiento. </t>
  </si>
  <si>
    <t>Seguimiento al cumplimiento de las acciones definidas en el plan de mejoramiento.   Se realiza mesa de seguimiento el día 22 de septiembre 2025. El 5 de diciembre se validará el cumplimiento total del plan de mejoramiento.</t>
  </si>
  <si>
    <t xml:space="preserve"> Se han realizado las verificación de inhabilidades por delitos sexuales del personal vinculado.</t>
  </si>
  <si>
    <t xml:space="preserve">Verificar la inhabilidad por delitos sexuales cada 4 meses. </t>
  </si>
  <si>
    <t>En caso de presentarse una situación convivencial verificar la activación de ruta y el reporte en el sistema de alertas</t>
  </si>
  <si>
    <t xml:space="preserve">La institución educativa cuenta con un manual de convivencia robusto.  Es necesario avanzar en la comprensión de la tipología de las faltas, debido proceso, así como los enfoques de inclusión y justicia restaurativa escolar. </t>
  </si>
  <si>
    <t xml:space="preserve">Actualizar el manual de convivencia incorporando la tipología de las faltas, el debido proceso, así como los enfoques de inclusión y justicia restaurativa escolar. </t>
  </si>
  <si>
    <t>Seguimiento al cumplimiento de las acciones definidas en el plan de mejoramiento.  Se realiza mesa de seguimiento el día 22 de septiembre 2025. El 5 de diciembre se validará el cumplimiento total del plan de mejoramiento.</t>
  </si>
  <si>
    <t>Revisar la actualización, socialización e implementación del Sistema Institucional de Evaluación de Estudiantes - SIEE, en articulación con la actualización del PEI y la normatividad vigente.</t>
  </si>
  <si>
    <t>El SIEE de la IE no desarrolla un proceso de valoración y seguimiento del aprendizaje de los estudiantes de educación preescolar.</t>
  </si>
  <si>
    <t>La IE debe incluir en el SIEE proceso de valoración y seguimiento del aprendizaje de los estudiantes de educación preescolar.</t>
  </si>
  <si>
    <t>Seguimiento al cumplimiento de las acciones de mejoramiento.  Se realiza mesa de seguimiento el día 22 de septiembre 2025. El 5 de diciembre se validará el cumplimiento total del plan de mejoramiento.</t>
  </si>
  <si>
    <t xml:space="preserve">El calendario escolar cumple con lo establecido en la normatividad vigente y fue validado por la Dirección Local de Educación. </t>
  </si>
  <si>
    <t>Continuar con el cumplimiento del calendario académico de acuerdo a lo programado.</t>
  </si>
  <si>
    <t>Revisión del calendario académico de la siguiente vigencia en los tiempos definidos.  Se realiza mesa de seguimiento el día 22 de septiembre 2025. El 5 de diciembre se validará el cumplimiento total del plan de mejoramiento.</t>
  </si>
  <si>
    <t>Verificar el funcionamiento del Gobierno Escolar e instancias de participación con base en la información sobre conformación reportada por la institución educativa.</t>
  </si>
  <si>
    <t>La IE cumple con la conformación y funcionamiento del gobierno escolar y las instancias de participación.</t>
  </si>
  <si>
    <t>La IE debe continuar movilizando el gobierno escolar y  las instancias de participación del gobierno escolar de acuerdo con los reglamentos internos y la normatividad vigente.</t>
  </si>
  <si>
    <t xml:space="preserve">El ELIV verificará la operatividad del gobierno escolar. </t>
  </si>
  <si>
    <t>La IE cumple con las condiciones de estructura administrativa, condiciones de la planta física y medios educativos adecuados, sin embargo es necesario adelantar algunos ajustes razonables de infraestructura para la inclusión de las personas con discapacidad.</t>
  </si>
  <si>
    <t xml:space="preserve">La IE debe mantener las condiciones de prestación del servicio, en cuanto estructura administrativa, planta física y medios educativos y plantear los ajustes razonables que se pueden iniciar en la infraestructura. </t>
  </si>
  <si>
    <t>20250306_ActaVisita_Colegio_Bilingue_Integral.pdf</t>
  </si>
  <si>
    <t>V.3 Formato visita COL_REP BOL VZLA I.E.D..pdf</t>
  </si>
  <si>
    <t>Visita_CEA_WCAR.pdf</t>
  </si>
  <si>
    <t>20250411 IETDH_Corphoesthetic.pdf</t>
  </si>
  <si>
    <t>20250521_Acta_Visita_Colegio_San_Jose.pdf</t>
  </si>
  <si>
    <t>20250527 Acta Visita Col_Ntr_Sra_de_la_Paz</t>
  </si>
  <si>
    <t>20250717 Visita COL_NTRA_SRA_DE_LA_PRESENTACION_CENTRO.pdf</t>
  </si>
  <si>
    <t xml:space="preserve">20250822 ETDH_TRIANGULO
</t>
  </si>
  <si>
    <t>20250822 ETDH_TRIANGULO</t>
  </si>
  <si>
    <t>Visita_Col_Triangulo.pdf</t>
  </si>
  <si>
    <t>Vis_ESC_ENS_AUTOMOTRIZ.pdf</t>
  </si>
  <si>
    <t>Visita_Col_Panamericano_IED.pdf</t>
  </si>
  <si>
    <t>20250827 Visista_Admin_LN_Agustin_Nieto_C.pdf</t>
  </si>
  <si>
    <t>20250911 Acta_COL_BILG_CEDAM.pdf</t>
  </si>
  <si>
    <t>20250923 Col_Ricaurte IED</t>
  </si>
  <si>
    <t>25 03 26 acta Luis Concha Cordoba.pdf</t>
  </si>
  <si>
    <t xml:space="preserve">25 03 26 acta Luis Concha Córdoba </t>
  </si>
  <si>
    <t>Actas Gobierno Escolare Luis Concha Córdoba</t>
  </si>
  <si>
    <t>ACTA DE VISITA ADMINISTRATIVA COLEGIO PARROQUIAL DE LA DOTRINA CRISTIANA.pdf</t>
  </si>
  <si>
    <t>25 04 09 acta visita Emilio Brigard.pdf</t>
  </si>
  <si>
    <t>26 04 09 acta visita Emilio Brigard.pdf</t>
  </si>
  <si>
    <t>27 04 09 acta visita Emilio Brigard.pdf</t>
  </si>
  <si>
    <t>28 04 09 acta visita Emilio Brigard.pdf</t>
  </si>
  <si>
    <t>VISITA CON FINES DE MEJORAMIENTO COLEGIO SANTA TERESITA</t>
  </si>
  <si>
    <t>20250827_Visita fines mejoramiento Liceo Nuevo Chile</t>
  </si>
  <si>
    <t>S-2025-118820 Visita administrativa LPNSS.pdf</t>
  </si>
  <si>
    <t>20250527visitaAdministrativaRomuloGallegos.pdf</t>
  </si>
  <si>
    <t>20250429_F visitas mejoramiento_LC v2.pdf</t>
  </si>
  <si>
    <t>20250611_F visitas mejoramiento_ICL v2.pdf</t>
  </si>
  <si>
    <t>Acta Final Visita AngelesTraviesos.pdf</t>
  </si>
  <si>
    <t>25 07 23 acta visita PalomitosTraviesos.pdf</t>
  </si>
  <si>
    <t>25 06 11 acta visita Silveria.pdf</t>
  </si>
  <si>
    <t>V.5.Acta de visita con fines de mejoramiento Colegio España..pdf</t>
  </si>
  <si>
    <t>20250519_F visitas mejoramiento_La Merced.pdf</t>
  </si>
  <si>
    <t>20250801_Acta Visita CEA Bgta Vial.pdf</t>
  </si>
  <si>
    <t>VISITA ADMINISTRATIVA-CEA-VIA-LIBRE-19-08-2025.pdf</t>
  </si>
  <si>
    <t>ESCUELA DE AUXILIARES DE ENFERMERIA ESAE</t>
  </si>
  <si>
    <t>19-03-2025 Robert Hooke.pdf</t>
  </si>
  <si>
    <t>4 y 15 Sept 25 Michelin.pdf</t>
  </si>
  <si>
    <t>27-03-2025 Robert Owen.pdf</t>
  </si>
  <si>
    <t>1-04-2025 Nuevo Liceo Santa Clara.pdf</t>
  </si>
  <si>
    <t>19 agos y 2 sept 2025 Mayor Quiroga.pdf</t>
  </si>
  <si>
    <t>29-04-2025 Lic Psicop San Pablo.pdf</t>
  </si>
  <si>
    <t>9-05-2025 Liceo Juan Miguel.pdf</t>
  </si>
  <si>
    <t>14 y 20 Mayo 2025 Cristiano de Colombia.pdf</t>
  </si>
  <si>
    <t>17 y 24 junio 2025 Liceo Mayor Palermo.pdf</t>
  </si>
  <si>
    <t>6 y 11 junio 2025 Feyser Gordillo.pdf</t>
  </si>
  <si>
    <t>11 y 16 junio 2025 Danilo Cifuentes.pdf</t>
  </si>
  <si>
    <t>18 y 23 Julio 2025 Col Hermanos Beltrán.pdf</t>
  </si>
  <si>
    <t>15 y 17 Julio 2025 Principio Sabiduría.pdf</t>
  </si>
  <si>
    <t>25-04-2025 Col Rafael Maria Carrasquilla.pdf</t>
  </si>
  <si>
    <t>1 y 4 de agosto 2025 Gimnasio San José.pdf</t>
  </si>
  <si>
    <t>5 y 11 agosto Lic Parroq San Jose.pdf</t>
  </si>
  <si>
    <t>11-04-2025 Alexander Fleming.pdf</t>
  </si>
  <si>
    <t>Sept 16 Misael Pastrana.pdf</t>
  </si>
  <si>
    <t>12 y 15 agosto Col Jose Marti IED.pdf</t>
  </si>
  <si>
    <t>21 y 26 Mayo 2025 Gimnasio Nuestra Señora Esperanza.pdf</t>
  </si>
  <si>
    <t>0605 Acta de visita administrativa Centro Ccial. Madre Elisa Roncallo.pdf</t>
  </si>
  <si>
    <t>ACTA VISITA ADMINISTRATIVA COLEGIO INTEGRAL AVANCEMOS.pdf</t>
  </si>
  <si>
    <t>VERIFICACION DE CALENDARIO ACADEMICO.pdf</t>
  </si>
  <si>
    <t>0411 Acta de visita administrativa Isaac Newton.pdf</t>
  </si>
  <si>
    <t>0530 Visita Administrativa Colegio Lorenzo de Alcantuz .pdf</t>
  </si>
  <si>
    <t>0523 Acta de visita administrativa Col. Madre Paula Montal.pdf</t>
  </si>
  <si>
    <t>0519 Acta de Visita Colegio Monseñor Bernardo Sánchez final.pdf</t>
  </si>
  <si>
    <t>3004 Visita Administrativa Col Nueva Generacion Altamira.pdf</t>
  </si>
  <si>
    <t>6-06 VISITAS CON FINES DE MEJORAMIENTO COL. PRINCIPE DE PAZ.pdf</t>
  </si>
  <si>
    <t>0523 Visita Colegio SANTA CATALINA DEL SUR ORIENTE.pdf</t>
  </si>
  <si>
    <t>0613 Acta de Visita Colegio Sur Oriental Panamericano.pdf</t>
  </si>
  <si>
    <t>0403 Acta visita administrativa Fundesco adultos.pdf</t>
  </si>
  <si>
    <t>0613 Acta de visita administrativa Instituto Ccial. Eduardo Torres Quintero.pdf</t>
  </si>
  <si>
    <t>ACTA VISITA ADMINISTRATIVA INSTITUTO DE EDUCACION FORMAL DE ADULTOS EL PENSAMIENTO DE PITAGORAS.pdf</t>
  </si>
  <si>
    <t>0509 Acta visita Liceo el Encanto.pdf</t>
  </si>
  <si>
    <t>0430 Acta visita Liceo San José Oriental.pdf</t>
  </si>
  <si>
    <t>0411 Acta visita Liceo Sendero del Saber 11042025.pdf</t>
  </si>
  <si>
    <t>0509 Acta Visita Liceo Infantil Nuevos Fundadores.pdf</t>
  </si>
  <si>
    <t>ACTA VISITA ADMINISTRATIVA IETDH FRANCIS COLLINS.pdf</t>
  </si>
  <si>
    <t>0403 Acta visita administrativa Fundesco ETDH.pdf</t>
  </si>
  <si>
    <t>0403 Acta de Visita Autodominio final.pdf</t>
  </si>
  <si>
    <t>0508 Acta visita administrativa Centro de Capacitación Laboral Miquelina.pdf</t>
  </si>
  <si>
    <t>Formato visita administrativa integral IETDH San Camilo.pdf</t>
  </si>
  <si>
    <t>SAN CRISTÓBAL</t>
  </si>
  <si>
    <t>CENTRO_DE_FORMACIÓN_INTEGRAL_SAN_CAMILO</t>
  </si>
  <si>
    <t>CENTRO DE FORMACIÓN INTEGRAL SAN CAMILO</t>
  </si>
  <si>
    <t>JAIRO ANDRÉS ÁLVAREZ CHÁVEZ</t>
  </si>
  <si>
    <t>XIMENA CAROLINA RAMÍREZ MORALES</t>
  </si>
  <si>
    <t>Visitas de evaluación con fines de seguimiento</t>
  </si>
  <si>
    <t>ELIV recorre el inmueble y encuentra instalaciones adecuadas para la prestación del servicio educativo</t>
  </si>
  <si>
    <t>La IE está en tiempo de presentar el ajuste observado</t>
  </si>
  <si>
    <t>Se hará verificación en caso de presentarse requerimiento</t>
  </si>
  <si>
    <t>Jorge Soto del Corral</t>
  </si>
  <si>
    <t>El Santisismo Rosario</t>
  </si>
  <si>
    <t>2025 04 11 COl Benposta Acta de visita.pdf</t>
  </si>
  <si>
    <t>2025 04 22 Colegio Tirso de Molina Acta de visita.pdf</t>
  </si>
  <si>
    <t>2025 05 02 Colegio de Salerno.pdf</t>
  </si>
  <si>
    <t>2025 05 06 Acta visita Colegio Los Angeles.pdf</t>
  </si>
  <si>
    <t>2025 06 09 Liceo Mater Dei.pdf</t>
  </si>
  <si>
    <t>2025 05 20 Centro Educativo Libertad CEL Acta de visita.pdf</t>
  </si>
  <si>
    <t>2025 05 30 CENCABO Acta de visita.pdf</t>
  </si>
  <si>
    <t>2025 08 05 LA CANDELARIA IED Acta de visita</t>
  </si>
  <si>
    <t>2025 08 12 ACTA VISITA PRIORIZADA -AULAS COLOMBIANAS.pdf</t>
  </si>
  <si>
    <t>2025 06 17 Liceo Julio Cesar García Acta de visita.pdf</t>
  </si>
  <si>
    <t>2025 08 29 CAMPOALTO ASESALUD.pdf</t>
  </si>
  <si>
    <t>2025 08 27 CENTRO ANDINO ESTUDIOS</t>
  </si>
  <si>
    <t>2025 07 25 Colegio Las Mercedes Acta de visita.pdf</t>
  </si>
  <si>
    <t>SUBA</t>
  </si>
  <si>
    <t>20251008ActaFormates.pdf</t>
  </si>
  <si>
    <t>20250919ActaVisitaIntegralCentroEstudiosSanBasilio.pdf</t>
  </si>
  <si>
    <t>ACTA DE VISITA INSTITUCIONAL CENTRO DE ESTUDIOS PROPYMES.pdf</t>
  </si>
  <si>
    <t>Acta de visita administrativa Institución Fray Luis de León.pdf</t>
  </si>
  <si>
    <t>Acta de visita de fecha 4-09-2025.pdf</t>
  </si>
  <si>
    <t>VISITA INSCAP.pdf</t>
  </si>
  <si>
    <t>VISITA CON FINES DE MEJORAMIENTO LICEO BRITÁNICO SUPERIOR.pdf</t>
  </si>
  <si>
    <t>VISITA TECNISISTEMAS.pdf</t>
  </si>
  <si>
    <t>11052025 LASIT Acta de visita.pdf</t>
  </si>
  <si>
    <t>acta visita col CENCOSISTEMAS.pdf</t>
  </si>
  <si>
    <t>30042025 Acta de visita Nuevo Instituto San miguel.pdf</t>
  </si>
  <si>
    <t>ACTA DE VISITA INST INTEGRADO DE SUBA.pdf</t>
  </si>
  <si>
    <t>28032025 Instituto Central de estudios.pdf</t>
  </si>
  <si>
    <t>23042025 acta visita Gimnasio Franciscano de Suba.pdf</t>
  </si>
  <si>
    <t>VISITA NEOGRANADINO.pdf</t>
  </si>
  <si>
    <t>30062025 acta visita col eduardo caballero calderon.pdf</t>
  </si>
  <si>
    <t>ACTA DE VISITA COLEGIO NEIL ARMSTRONG.pdf</t>
  </si>
  <si>
    <t>01042025 colegio reina de gales.pdf</t>
  </si>
  <si>
    <t>ACTA DE VISITA GIMNASIO SANTANDER.pdf</t>
  </si>
  <si>
    <t>ACTA DE VISITA COLEGIO VAN LEEUWENHOEK.pdf</t>
  </si>
  <si>
    <t>29042025 Visita Gim moderno futuro.pdf</t>
  </si>
  <si>
    <t>23052025 Acta de visita Colegio Instituto Santiago de Compostela.pdf</t>
  </si>
  <si>
    <t>ACTA VISITA INTEGRAL GIMNASIO ROMANO MIXTO.pdf</t>
  </si>
  <si>
    <t>Acta de Visita Integral LICEO HOMERICO.pdf</t>
  </si>
  <si>
    <t>13052025 Acta de visita administrativa Liceo Riobamba.pdf</t>
  </si>
  <si>
    <t>03042025 GIMNASIO ESPECIALIZADO DEL NORTE.pdf</t>
  </si>
  <si>
    <t>VISITA INTEGRAL SAN ANSELMO.pdf</t>
  </si>
  <si>
    <t>20250926GimnasioArtisticodeSuba.pdf</t>
  </si>
  <si>
    <t>ACTA VISITA ADMINISTRATIVA del 2025-08-21 - GIMNASIO LA CAMPIÑA (1).pdf</t>
  </si>
  <si>
    <t>29042025 Acta gim campestre de guilford.pdf</t>
  </si>
  <si>
    <t>Acta de visita ROSAL DE SUBA.pdf</t>
  </si>
  <si>
    <t>VISITA INTEGRAL BET EL.pdf</t>
  </si>
  <si>
    <t>ACTA VISITA INTEGRAL INST TEC COM CERROS DE SUBRA Jun10_2025.pdf</t>
  </si>
  <si>
    <t>VISITA CON FINES DE MEJORAMIENTO LICEO GLOBERTH MIXTO.pdf</t>
  </si>
  <si>
    <t>acta visita col bosques del nogal.pdf</t>
  </si>
  <si>
    <t>20250924ActaVisitaIntegralGimnasioPsicopedagógicoGimsipei.pdf</t>
  </si>
  <si>
    <t>20250930LiceoTécnicoBiliguePauloFreire.pdf</t>
  </si>
  <si>
    <t>acta visita CMAN 21082025.pdf</t>
  </si>
  <si>
    <t>26032025 Col santo Toribo de Mongrovejo.pdf</t>
  </si>
  <si>
    <t>20252509ActaLiceoEmpresarialDelCampo.pdf</t>
  </si>
  <si>
    <t>GIMANSIO LA CIMA.pdf</t>
  </si>
  <si>
    <t>ACTA DE VISITA COLEGIO ÁLVARO GÓMEZ HURTADO.pdf</t>
  </si>
  <si>
    <t>ACTA DE VISITA COLEGIO HUNZA.pdf</t>
  </si>
  <si>
    <t>26032025 COLEGIO COMPARTIR SUBA IED.pdf</t>
  </si>
  <si>
    <t>MARÍA CLAUDIA LEÓN RIVERA</t>
  </si>
  <si>
    <t xml:space="preserve">MARTIN ALEJANDRO CELY ANDRADE </t>
  </si>
  <si>
    <t>2003 Acta visita COLEGIO BOGOTANO MIXTO.pdf</t>
  </si>
  <si>
    <t>EDGAR ANCIZAR CABRERA TELLO</t>
  </si>
  <si>
    <t>2803 Acta visita COLEGIO FORMARTE.pdf</t>
  </si>
  <si>
    <t>JOHN ALEXANDER RODRÍGUEZ CALDERÓN</t>
  </si>
  <si>
    <t>00_COL_BOSTON_ VISITA_FinesMejoramiento_AutoEva2025_02042025.pdf</t>
  </si>
  <si>
    <t>00_GW-MACKINLEY_VISITA_FinesMejoramiento_POAIV2025_10042025.pdf</t>
  </si>
  <si>
    <t>Charles Perrault</t>
  </si>
  <si>
    <t>00_A.A_GUERRERO_VISITA_FinesMejoramiento_POAIV2025_07052025_FirmadaSoportes.pdf</t>
  </si>
  <si>
    <t>Asesorias Integrales</t>
  </si>
  <si>
    <t>00_CODEMA_VISITA_FinesMejoramiento_POAIV2025_16052025_FirmadaSoportes.pdf</t>
  </si>
  <si>
    <t>05212025Visita_confinesde mejormaiento_DIGITALLAB..pdf</t>
  </si>
  <si>
    <t>00_ROSALITO_ActaAVISITA_FinesMejoramiento_POAIV2025_04062025_FirmadaSoportes.pdf</t>
  </si>
  <si>
    <t>C.E. SURAMERICANO 16-5-2025_250527_08125527052025.pdf</t>
  </si>
  <si>
    <t>COLEGIO BRITANICO 13-6-2025_250617_07543317062025.pdf</t>
  </si>
  <si>
    <t>Visita Nuevo Muzu</t>
  </si>
  <si>
    <t>ACTA VISITA COL COOPERATIVO VENECIA 16062025.pdf</t>
  </si>
  <si>
    <t>ACTA VISITA COLEGIO INCADE 25042025.pdf</t>
  </si>
  <si>
    <t>Visitita Col. Ntra Señora de las Victorias.pdf</t>
  </si>
  <si>
    <t>Tecnisistemas</t>
  </si>
  <si>
    <t>GIMN COMERCIAL LOS ANDES</t>
  </si>
  <si>
    <t>POLITECNICA COLOMBIA</t>
  </si>
  <si>
    <t>POLITECNICA COLOMBIANA</t>
  </si>
  <si>
    <t>JARDIN INFANTIL MIS PEQUEÑOS TIMPANITOS</t>
  </si>
  <si>
    <t>Bilingue del Sur</t>
  </si>
  <si>
    <t>Liceo Int. San Carlos Visita 30-05-2025.pdf</t>
  </si>
  <si>
    <t>ceil 17 de mayo_250523_09504323052025.pdf</t>
  </si>
  <si>
    <t>COLEGIO SAN CARLOS IED</t>
  </si>
  <si>
    <t>CamScanner 10-06-2025 07.50.pdf</t>
  </si>
  <si>
    <t>Instituto técnico Piloto</t>
  </si>
  <si>
    <t>Visita Instituto Britanico</t>
  </si>
  <si>
    <t>ACADEMIA FLOR DE LIZ NEW ESTHETIC ACADEMY SAS</t>
  </si>
  <si>
    <t>ACADEMIA LATINOAMERICANA DE BELLEZA</t>
  </si>
  <si>
    <t>ACTA VISITA ALFRED MARSHALL</t>
  </si>
  <si>
    <t>Acta visita GCL</t>
  </si>
  <si>
    <t>Acta visita Roble</t>
  </si>
  <si>
    <t>Acta Giovanni Pascoli</t>
  </si>
  <si>
    <t>Acta Piscop. Tibabita</t>
  </si>
  <si>
    <t>Acta Visita_Colegio_Monterosales_Ciclos.pdf</t>
  </si>
  <si>
    <t>Visita Ana Restrepo</t>
  </si>
  <si>
    <t>Acta_visita_Gimnasio_Marroquin_Campestre.pdf</t>
  </si>
  <si>
    <t>Acta_visita_Gimnasio_Marroquin_Campestre</t>
  </si>
  <si>
    <t>Acta_visita_Escuela_Pedagogica_Experimental.pdf</t>
  </si>
  <si>
    <t>Acta_visita_Instituto_Colombo_Sueco.pdf</t>
  </si>
  <si>
    <t>Acta Visita_Colegio_General:Sanatnder.pdf</t>
  </si>
  <si>
    <t>Acta definitiva Visita Integral Colegio la Estrellita.pdf</t>
  </si>
  <si>
    <t>01ActaVisitaAdministrativaColegioSanGregorioHernandez28022025.pdf</t>
  </si>
  <si>
    <t>02ActaVisitaAdministrativaColegioJuanRulfo12032025.pdf</t>
  </si>
  <si>
    <t>ActaVisitaAdministrativaColegioSantaMariaDeLaPaz280725.pdf</t>
  </si>
  <si>
    <t>02ActaVisitaAdministrativaColegioSanMarino23052025.pdf</t>
  </si>
  <si>
    <t>acta de visita con fines de mejoramiento centro cultural 09092025.pdf</t>
  </si>
  <si>
    <t>01ActaVisitaAdministrativaGimnasioDeToledo15052025.pdf</t>
  </si>
  <si>
    <t>05ActaVisitaAdministrativaLiceoMaxPlanck10062025.pdf</t>
  </si>
  <si>
    <t>04ActaVisitaAdministrativaInstitutoSusanaWesley05062025.pdf</t>
  </si>
  <si>
    <t>ActaVisitaAdministrativaColegioArielDavid23072025.pdf</t>
  </si>
  <si>
    <t>ActaVisitaAdministrativaLiceoMarata05082025.pdf</t>
  </si>
  <si>
    <t>ActaVisitaAdministrativaLiceoComercialNuevoAlejandrino19082025</t>
  </si>
  <si>
    <t>ActaVisitaAdministrativa ColegioSantaLibrada25082025.pdf</t>
  </si>
  <si>
    <t>ActaVisitaAdministrativaColegioLatinoamericanoDelSur01092025.pdf</t>
  </si>
  <si>
    <t>VISITA ADOLFO LEÓN GÓMEZ 26082025</t>
  </si>
  <si>
    <t>VISITA COL CIUDAD BOLIVAR 120825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</si>
</sst>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m/yyyy;@"/>
    <numFmt numFmtId="166" formatCode="d/m/yy;@"/>
  </numFmts>
  <fonts count="14">
    <font>
      <sz val="11"/>
      <color theme="1"/>
      <name val="Aptos Narrow"/>
      <family val="2"/>
      <scheme val="minor"/>
    </font>
    <font>
      <u/>
      <sz val="11"/>
      <color theme="10"/>
      <name val="Aptos Narrow"/>
      <family val="2"/>
      <scheme val="minor"/>
    </font>
    <font>
      <u/>
      <sz val="11"/>
      <color theme="10"/>
      <name val="Aptos Narrow"/>
      <family val="2"/>
      <scheme val="minor"/>
    </font>
    <font>
      <sz val="10"/>
      <color theme="1"/>
      <name val="Arial"/>
      <family val="2"/>
    </font>
    <font>
      <u/>
      <sz val="11"/>
      <color theme="10"/>
      <name val="Arial"/>
    </font>
    <font>
      <sz val="10"/>
      <color rgb="FF000000"/>
      <name val="Arial"/>
    </font>
    <font>
      <sz val="10"/>
      <color theme="1"/>
      <name val="Arial"/>
    </font>
    <font>
      <sz val="11"/>
      <color theme="1"/>
      <name val="Calibri"/>
      <family val="2"/>
      <scheme val="minor"/>
    </font>
    <font>
      <u/>
      <sz val="10"/>
      <color theme="10"/>
      <name val="Arial"/>
    </font>
    <font>
      <sz val="11"/>
      <color theme="1"/>
      <name val="Arial"/>
    </font>
    <font>
      <b/>
      <sz val="10"/>
      <color rgb="FF000000"/>
      <name val="Arial"/>
    </font>
    <font>
      <b/>
      <sz val="10"/>
      <color theme="0"/>
      <name val="Arial"/>
    </font>
    <font>
      <u/>
      <sz val="10"/>
      <color rgb="FF0563C1"/>
      <name val="Arial"/>
    </font>
    <font>
      <b/>
      <sz val="11"/>
      <color rgb="FF000000"/>
      <name val="Arial"/>
    </font>
  </fonts>
  <fills count="8">
    <fill>
      <patternFill patternType="none"/>
    </fill>
    <fill>
      <patternFill patternType="gray125"/>
    </fill>
    <fill>
      <patternFill patternType="solid">
        <fgColor rgb="FFFFC000"/>
        <bgColor rgb="FF000000"/>
      </patternFill>
    </fill>
    <fill>
      <patternFill patternType="solid">
        <fgColor rgb="FF0066FF"/>
        <bgColor rgb="FF000000"/>
      </patternFill>
    </fill>
    <fill>
      <patternFill patternType="solid">
        <fgColor rgb="FFF2F2F2"/>
        <bgColor rgb="FF000000"/>
      </patternFill>
    </fill>
    <fill>
      <patternFill patternType="solid">
        <fgColor theme="0"/>
        <bgColor indexed="64"/>
      </patternFill>
    </fill>
    <fill>
      <patternFill patternType="solid">
        <fgColor theme="4" tint="0.79998168889431442"/>
        <bgColor indexed="64"/>
      </patternFill>
    </fill>
    <fill>
      <patternFill patternType="solid">
        <fgColor rgb="FFFFFFFF"/>
        <bgColor rgb="FF000000"/>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505050"/>
      </left>
      <right style="thin">
        <color rgb="FF505050"/>
      </right>
      <top style="thin">
        <color rgb="FF505050"/>
      </top>
      <bottom style="thin">
        <color rgb="FF505050"/>
      </bottom>
      <diagonal/>
    </border>
    <border>
      <left style="thin">
        <color rgb="FF000000"/>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2" fillId="0" borderId="0" applyNumberFormat="0" applyFill="0" applyBorder="0" applyAlignment="0" applyProtection="0"/>
  </cellStyleXfs>
  <cellXfs count="279">
    <xf numFmtId="0" fontId="0" fillId="0" borderId="0" xfId="0"/>
    <xf numFmtId="0" fontId="3" fillId="0" borderId="0" xfId="0" applyFont="1" applyAlignment="1">
      <alignment vertical="center"/>
    </xf>
    <xf numFmtId="0" fontId="4" fillId="0" borderId="1" xfId="1" applyFont="1" applyBorder="1" applyAlignment="1">
      <alignment vertical="center" wrapText="1"/>
    </xf>
    <xf numFmtId="0" fontId="3" fillId="5" borderId="0" xfId="0" applyFont="1" applyFill="1" applyAlignment="1">
      <alignment vertical="center"/>
    </xf>
    <xf numFmtId="0" fontId="4" fillId="0" borderId="6" xfId="1" applyFont="1" applyBorder="1" applyAlignment="1">
      <alignment horizontal="left" vertical="center"/>
    </xf>
    <xf numFmtId="0" fontId="4" fillId="0" borderId="1" xfId="1" applyFont="1" applyBorder="1" applyAlignment="1">
      <alignment horizontal="left" vertical="center" wrapText="1"/>
    </xf>
    <xf numFmtId="0" fontId="4" fillId="0" borderId="1" xfId="2" applyFont="1" applyFill="1" applyBorder="1" applyAlignment="1">
      <alignment horizontal="left" vertical="center" wrapText="1"/>
    </xf>
    <xf numFmtId="0" fontId="4" fillId="0" borderId="1" xfId="2" applyFont="1" applyBorder="1" applyAlignment="1">
      <alignment horizontal="left" vertical="center" wrapText="1"/>
    </xf>
    <xf numFmtId="0" fontId="4" fillId="0" borderId="6" xfId="2" applyFont="1" applyBorder="1" applyAlignment="1">
      <alignment horizontal="left" vertical="center" wrapText="1"/>
    </xf>
    <xf numFmtId="0" fontId="4" fillId="0" borderId="2" xfId="2"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Border="1" applyAlignment="1">
      <alignment vertical="center" wrapText="1"/>
    </xf>
    <xf numFmtId="0" fontId="6" fillId="5" borderId="1" xfId="0" applyFont="1" applyFill="1" applyBorder="1" applyAlignment="1">
      <alignment vertical="center" wrapText="1"/>
    </xf>
    <xf numFmtId="165" fontId="6" fillId="0" borderId="1" xfId="0" applyNumberFormat="1" applyFont="1" applyBorder="1" applyAlignment="1">
      <alignment horizontal="center" vertical="center" wrapText="1"/>
    </xf>
    <xf numFmtId="165" fontId="6" fillId="0" borderId="1" xfId="0" applyNumberFormat="1" applyFont="1" applyBorder="1" applyAlignment="1" applyProtection="1">
      <alignment horizontal="center" vertical="center" wrapText="1"/>
      <protection locked="0"/>
    </xf>
    <xf numFmtId="166" fontId="6" fillId="0" borderId="1" xfId="0" applyNumberFormat="1" applyFont="1" applyBorder="1" applyAlignment="1" applyProtection="1">
      <alignment horizontal="center" vertical="center" wrapText="1"/>
      <protection locked="0"/>
    </xf>
    <xf numFmtId="0" fontId="6" fillId="0" borderId="5" xfId="0" applyFont="1" applyBorder="1" applyAlignment="1">
      <alignment vertical="center" wrapText="1"/>
    </xf>
    <xf numFmtId="0" fontId="5" fillId="0" borderId="1" xfId="0" applyFont="1" applyBorder="1" applyAlignment="1">
      <alignment vertical="center" wrapText="1"/>
    </xf>
    <xf numFmtId="0" fontId="5" fillId="0" borderId="11" xfId="0" applyFont="1" applyBorder="1" applyAlignment="1">
      <alignment vertical="center" wrapText="1"/>
    </xf>
    <xf numFmtId="0" fontId="6" fillId="0" borderId="14" xfId="0" applyFont="1" applyBorder="1" applyAlignment="1">
      <alignment vertical="center" wrapText="1"/>
    </xf>
    <xf numFmtId="0" fontId="5" fillId="0" borderId="0" xfId="0" applyFont="1" applyAlignment="1">
      <alignment vertical="center" wrapText="1"/>
    </xf>
    <xf numFmtId="0" fontId="4" fillId="0" borderId="1" xfId="2" applyFont="1" applyFill="1" applyBorder="1" applyAlignment="1">
      <alignment vertical="center" wrapText="1"/>
    </xf>
    <xf numFmtId="0" fontId="4" fillId="0" borderId="1" xfId="2" applyFont="1" applyBorder="1" applyAlignment="1">
      <alignment vertical="center" wrapText="1"/>
    </xf>
    <xf numFmtId="0" fontId="4" fillId="0" borderId="6" xfId="2" applyFont="1" applyBorder="1" applyAlignment="1">
      <alignment vertical="center" wrapText="1"/>
    </xf>
    <xf numFmtId="0" fontId="4" fillId="0" borderId="3" xfId="2" applyFont="1" applyBorder="1" applyAlignment="1">
      <alignment vertical="center" wrapText="1"/>
    </xf>
    <xf numFmtId="0" fontId="7" fillId="0" borderId="0" xfId="0" applyFont="1"/>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6" xfId="1" applyFont="1" applyFill="1" applyBorder="1" applyAlignment="1">
      <alignment vertical="center"/>
    </xf>
    <xf numFmtId="0" fontId="4" fillId="0" borderId="6" xfId="2" applyFont="1" applyBorder="1" applyAlignment="1">
      <alignment vertical="center"/>
    </xf>
    <xf numFmtId="0" fontId="4" fillId="0" borderId="3" xfId="2" applyFont="1" applyBorder="1" applyAlignment="1">
      <alignment horizontal="center" vertical="center" wrapText="1"/>
    </xf>
    <xf numFmtId="0" fontId="4" fillId="0" borderId="4" xfId="2" applyFont="1" applyBorder="1" applyAlignment="1" applyProtection="1">
      <alignment vertical="center" wrapText="1"/>
      <protection locked="0"/>
    </xf>
    <xf numFmtId="0" fontId="4" fillId="5" borderId="4" xfId="2" applyFont="1" applyFill="1" applyBorder="1" applyAlignment="1" applyProtection="1">
      <alignment vertical="center" wrapText="1"/>
      <protection locked="0"/>
    </xf>
    <xf numFmtId="0" fontId="4" fillId="5" borderId="8" xfId="2" applyFont="1" applyFill="1" applyBorder="1" applyAlignment="1" applyProtection="1">
      <alignment vertical="center" wrapText="1"/>
      <protection locked="0"/>
    </xf>
    <xf numFmtId="0" fontId="4" fillId="5" borderId="1" xfId="2" applyFont="1" applyFill="1" applyBorder="1" applyAlignment="1" applyProtection="1">
      <alignment vertical="center" wrapText="1"/>
      <protection locked="0"/>
    </xf>
    <xf numFmtId="0" fontId="4" fillId="5" borderId="6" xfId="2" applyFont="1" applyFill="1" applyBorder="1" applyAlignment="1" applyProtection="1">
      <alignment horizontal="center" vertical="center" wrapText="1"/>
      <protection locked="0"/>
    </xf>
    <xf numFmtId="0" fontId="4" fillId="0" borderId="1" xfId="1" applyFont="1" applyBorder="1" applyAlignment="1">
      <alignment horizontal="center" vertical="center" wrapText="1"/>
    </xf>
    <xf numFmtId="0" fontId="4" fillId="0" borderId="1" xfId="1" applyFont="1" applyBorder="1" applyAlignment="1">
      <alignment wrapText="1"/>
    </xf>
    <xf numFmtId="0" fontId="8" fillId="0" borderId="9" xfId="2" applyFont="1" applyBorder="1" applyAlignment="1">
      <alignment vertical="center" wrapText="1"/>
    </xf>
    <xf numFmtId="0" fontId="4" fillId="0" borderId="1" xfId="1" applyFont="1" applyFill="1" applyBorder="1" applyAlignment="1">
      <alignment vertical="center"/>
    </xf>
    <xf numFmtId="0" fontId="4" fillId="0" borderId="3" xfId="1" applyFont="1" applyFill="1" applyBorder="1" applyAlignment="1">
      <alignment vertical="center"/>
    </xf>
    <xf numFmtId="0" fontId="4" fillId="0" borderId="1" xfId="1" applyFont="1" applyFill="1" applyBorder="1" applyAlignment="1">
      <alignment vertical="center" wrapText="1"/>
    </xf>
    <xf numFmtId="0" fontId="4" fillId="0" borderId="6" xfId="1" applyFont="1" applyBorder="1" applyAlignment="1">
      <alignment vertical="center" wrapText="1"/>
    </xf>
    <xf numFmtId="0" fontId="4" fillId="0" borderId="5" xfId="1" applyFont="1" applyBorder="1" applyAlignment="1">
      <alignment horizontal="left" vertical="center" wrapText="1"/>
    </xf>
    <xf numFmtId="0" fontId="4" fillId="0" borderId="6" xfId="1" applyFont="1" applyBorder="1" applyAlignment="1">
      <alignment horizontal="left" vertical="center" wrapText="1"/>
    </xf>
    <xf numFmtId="0" fontId="4" fillId="0" borderId="3" xfId="1" applyFont="1" applyBorder="1" applyAlignment="1">
      <alignment horizontal="left" vertical="center" wrapText="1"/>
    </xf>
    <xf numFmtId="0" fontId="4" fillId="0" borderId="10" xfId="2" applyFont="1" applyBorder="1" applyAlignment="1">
      <alignment horizontal="center" vertical="center" wrapText="1"/>
    </xf>
    <xf numFmtId="0" fontId="4" fillId="0" borderId="4" xfId="2" applyFont="1" applyBorder="1" applyAlignment="1">
      <alignment horizontal="center"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10" xfId="0" applyFont="1" applyBorder="1" applyAlignment="1">
      <alignment vertical="center" wrapText="1"/>
    </xf>
    <xf numFmtId="0" fontId="4" fillId="0" borderId="9" xfId="2" applyFont="1" applyBorder="1" applyAlignment="1">
      <alignment horizontal="left" vertical="center" wrapText="1"/>
    </xf>
    <xf numFmtId="0" fontId="4" fillId="0" borderId="5" xfId="2" applyFont="1" applyBorder="1" applyAlignment="1">
      <alignment horizontal="left" vertical="center" wrapText="1"/>
    </xf>
    <xf numFmtId="0" fontId="4" fillId="0" borderId="6"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5" xfId="1" applyFont="1" applyFill="1" applyBorder="1" applyAlignment="1">
      <alignment horizontal="left" vertical="center" wrapText="1"/>
    </xf>
    <xf numFmtId="0" fontId="4" fillId="0" borderId="22" xfId="1" applyFont="1" applyFill="1" applyBorder="1" applyAlignment="1">
      <alignment horizontal="left" vertical="center" wrapText="1"/>
    </xf>
    <xf numFmtId="0" fontId="4" fillId="0" borderId="9" xfId="1" applyFont="1" applyFill="1" applyBorder="1" applyAlignment="1">
      <alignment horizontal="left" vertical="center" wrapText="1"/>
    </xf>
    <xf numFmtId="0" fontId="4" fillId="0" borderId="5" xfId="1" applyFont="1" applyBorder="1" applyAlignment="1">
      <alignment vertical="center" wrapText="1"/>
    </xf>
    <xf numFmtId="0" fontId="4" fillId="0" borderId="3" xfId="1" applyFont="1" applyBorder="1" applyAlignment="1">
      <alignment vertical="center" wrapText="1"/>
    </xf>
    <xf numFmtId="0" fontId="6" fillId="0" borderId="0" xfId="0" applyFont="1" applyAlignment="1">
      <alignment vertical="center"/>
    </xf>
    <xf numFmtId="0" fontId="10" fillId="4" borderId="1"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6" fillId="0" borderId="0" xfId="0" applyFont="1" applyAlignment="1">
      <alignment vertical="center" wrapText="1"/>
    </xf>
    <xf numFmtId="0" fontId="6" fillId="0" borderId="1" xfId="0" applyFont="1" applyBorder="1" applyAlignment="1">
      <alignment vertical="center"/>
    </xf>
    <xf numFmtId="0" fontId="6" fillId="0" borderId="1" xfId="0" applyFont="1" applyBorder="1" applyAlignment="1">
      <alignment horizontal="center" vertical="center" wrapText="1"/>
    </xf>
    <xf numFmtId="14" fontId="6" fillId="0" borderId="1" xfId="0" applyNumberFormat="1" applyFont="1" applyBorder="1" applyAlignment="1">
      <alignment vertical="center" wrapText="1"/>
    </xf>
    <xf numFmtId="0" fontId="6" fillId="0" borderId="6" xfId="0" applyFont="1" applyBorder="1" applyAlignment="1">
      <alignment vertical="center" wrapText="1"/>
    </xf>
    <xf numFmtId="0" fontId="9" fillId="0" borderId="4" xfId="0" applyFont="1" applyBorder="1" applyAlignment="1">
      <alignment horizontal="center" vertical="center" wrapText="1"/>
    </xf>
    <xf numFmtId="0" fontId="9" fillId="0" borderId="4" xfId="0" applyFont="1" applyBorder="1" applyAlignment="1" applyProtection="1">
      <alignment horizontal="center" vertical="center" wrapText="1"/>
      <protection locked="0"/>
    </xf>
    <xf numFmtId="0" fontId="9" fillId="0" borderId="4" xfId="0" applyFont="1" applyBorder="1" applyAlignment="1">
      <alignment horizontal="left" vertical="center" wrapText="1"/>
    </xf>
    <xf numFmtId="0" fontId="9" fillId="0" borderId="15" xfId="0" applyFont="1" applyBorder="1" applyAlignment="1">
      <alignment vertical="center" wrapText="1"/>
    </xf>
    <xf numFmtId="0" fontId="9" fillId="0" borderId="1" xfId="0" applyFont="1" applyBorder="1" applyAlignment="1">
      <alignment wrapText="1"/>
    </xf>
    <xf numFmtId="0" fontId="9" fillId="0" borderId="19" xfId="0" applyFont="1" applyBorder="1" applyAlignment="1">
      <alignment vertical="center" wrapText="1"/>
    </xf>
    <xf numFmtId="164" fontId="9" fillId="0" borderId="4" xfId="0" applyNumberFormat="1" applyFont="1" applyBorder="1" applyAlignment="1" applyProtection="1">
      <alignment horizontal="right" vertical="center" wrapText="1"/>
      <protection locked="0"/>
    </xf>
    <xf numFmtId="0" fontId="9" fillId="0" borderId="4" xfId="0" applyFont="1" applyBorder="1" applyAlignment="1" applyProtection="1">
      <alignment vertical="center" wrapText="1"/>
      <protection locked="0"/>
    </xf>
    <xf numFmtId="0" fontId="9" fillId="0" borderId="0" xfId="0" applyFont="1"/>
    <xf numFmtId="0" fontId="6" fillId="0" borderId="0" xfId="0" applyFont="1" applyAlignment="1">
      <alignment horizontal="center" vertical="center"/>
    </xf>
    <xf numFmtId="14" fontId="6" fillId="0" borderId="0" xfId="0" applyNumberFormat="1" applyFont="1" applyAlignment="1">
      <alignment horizontal="center" vertical="center"/>
    </xf>
    <xf numFmtId="14" fontId="6" fillId="0" borderId="0" xfId="0" applyNumberFormat="1"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xf>
    <xf numFmtId="14" fontId="6" fillId="0" borderId="1" xfId="0" applyNumberFormat="1" applyFont="1" applyBorder="1" applyAlignment="1">
      <alignment vertical="center"/>
    </xf>
    <xf numFmtId="0" fontId="8" fillId="0" borderId="4" xfId="2" applyFont="1" applyBorder="1" applyAlignment="1">
      <alignment horizontal="left" vertical="center" wrapText="1"/>
    </xf>
    <xf numFmtId="0" fontId="6" fillId="0" borderId="11" xfId="0" applyFont="1" applyBorder="1" applyAlignment="1">
      <alignment vertical="center" wrapText="1"/>
    </xf>
    <xf numFmtId="0" fontId="8" fillId="0" borderId="4" xfId="2" applyFont="1" applyFill="1" applyBorder="1" applyAlignment="1">
      <alignment horizontal="left"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14" fontId="6" fillId="5" borderId="1" xfId="0" applyNumberFormat="1" applyFont="1" applyFill="1" applyBorder="1" applyAlignment="1">
      <alignment vertical="center"/>
    </xf>
    <xf numFmtId="0" fontId="6" fillId="5" borderId="5" xfId="0" applyFont="1" applyFill="1" applyBorder="1" applyAlignment="1">
      <alignment vertical="center" wrapText="1"/>
    </xf>
    <xf numFmtId="0" fontId="8" fillId="5" borderId="4" xfId="2" applyFont="1" applyFill="1" applyBorder="1" applyAlignment="1">
      <alignment horizontal="left" vertical="center" wrapText="1"/>
    </xf>
    <xf numFmtId="0" fontId="6" fillId="5" borderId="11" xfId="0" applyFont="1" applyFill="1" applyBorder="1" applyAlignment="1">
      <alignment vertical="center" wrapText="1"/>
    </xf>
    <xf numFmtId="0" fontId="6" fillId="5" borderId="1" xfId="0" applyFont="1" applyFill="1" applyBorder="1" applyAlignment="1">
      <alignment horizontal="center" vertical="center" wrapText="1"/>
    </xf>
    <xf numFmtId="0" fontId="12" fillId="0" borderId="4" xfId="0" applyFont="1" applyBorder="1" applyAlignment="1">
      <alignment horizontal="left" vertical="center" wrapText="1"/>
    </xf>
    <xf numFmtId="0" fontId="6" fillId="0" borderId="6" xfId="0" applyFont="1" applyBorder="1" applyAlignment="1">
      <alignment vertical="center"/>
    </xf>
    <xf numFmtId="0" fontId="6" fillId="0" borderId="6" xfId="0" applyFont="1" applyBorder="1" applyAlignment="1">
      <alignment horizontal="center" vertical="center"/>
    </xf>
    <xf numFmtId="14" fontId="6" fillId="0" borderId="6" xfId="0" applyNumberFormat="1" applyFont="1" applyBorder="1" applyAlignment="1">
      <alignment vertical="center"/>
    </xf>
    <xf numFmtId="0" fontId="6" fillId="0" borderId="7" xfId="0" applyFont="1" applyBorder="1" applyAlignment="1">
      <alignment vertical="center" wrapText="1"/>
    </xf>
    <xf numFmtId="0" fontId="8" fillId="0" borderId="8" xfId="2" applyFont="1" applyBorder="1" applyAlignment="1">
      <alignment horizontal="left" vertical="center" wrapText="1"/>
    </xf>
    <xf numFmtId="0" fontId="6" fillId="0" borderId="12" xfId="0" applyFont="1" applyBorder="1" applyAlignment="1">
      <alignment vertical="center" wrapText="1"/>
    </xf>
    <xf numFmtId="0" fontId="6" fillId="0" borderId="6" xfId="0" applyFont="1" applyBorder="1" applyAlignment="1">
      <alignment horizontal="center" vertical="center" wrapText="1"/>
    </xf>
    <xf numFmtId="0" fontId="8" fillId="0" borderId="1" xfId="2" applyFont="1" applyBorder="1" applyAlignment="1">
      <alignment horizontal="left" vertical="center" wrapText="1"/>
    </xf>
    <xf numFmtId="0" fontId="6" fillId="0" borderId="3" xfId="0" applyFont="1" applyBorder="1" applyAlignment="1">
      <alignment vertical="center"/>
    </xf>
    <xf numFmtId="0" fontId="6" fillId="0" borderId="3" xfId="0" applyFont="1" applyBorder="1" applyAlignment="1">
      <alignment horizontal="center" vertical="center"/>
    </xf>
    <xf numFmtId="0" fontId="6" fillId="0" borderId="3" xfId="0" applyFont="1" applyBorder="1" applyAlignment="1">
      <alignment vertical="center" wrapText="1"/>
    </xf>
    <xf numFmtId="14" fontId="6" fillId="0" borderId="3" xfId="0" applyNumberFormat="1" applyFont="1" applyBorder="1" applyAlignment="1">
      <alignment vertical="center"/>
    </xf>
    <xf numFmtId="0" fontId="6" fillId="0" borderId="2" xfId="0" applyFont="1" applyBorder="1" applyAlignment="1">
      <alignment vertical="center" wrapText="1"/>
    </xf>
    <xf numFmtId="0" fontId="8" fillId="0" borderId="10" xfId="2" applyFont="1" applyBorder="1" applyAlignment="1">
      <alignment horizontal="left" vertical="center" wrapText="1"/>
    </xf>
    <xf numFmtId="0" fontId="6" fillId="0" borderId="3" xfId="0" applyFont="1" applyBorder="1" applyAlignment="1">
      <alignment horizontal="center" vertical="center" wrapText="1"/>
    </xf>
    <xf numFmtId="0" fontId="8" fillId="0" borderId="4" xfId="2" applyFont="1" applyBorder="1" applyAlignment="1">
      <alignment horizontal="left" vertical="center"/>
    </xf>
    <xf numFmtId="0" fontId="4" fillId="0" borderId="1" xfId="2" applyFont="1" applyBorder="1" applyAlignment="1" applyProtection="1">
      <alignment horizontal="left" vertical="center" wrapText="1"/>
      <protection locked="0"/>
    </xf>
    <xf numFmtId="0" fontId="4" fillId="0" borderId="4" xfId="2" applyFont="1" applyBorder="1" applyAlignment="1" applyProtection="1">
      <alignment horizontal="left" vertical="center" wrapText="1"/>
      <protection locked="0"/>
    </xf>
    <xf numFmtId="0" fontId="8" fillId="0" borderId="1" xfId="1" applyFont="1" applyFill="1" applyBorder="1" applyAlignment="1">
      <alignment horizontal="left" vertical="center" wrapText="1"/>
    </xf>
    <xf numFmtId="0" fontId="8" fillId="0" borderId="3" xfId="1" applyFont="1" applyFill="1" applyBorder="1" applyAlignment="1">
      <alignment horizontal="left" vertical="center" wrapText="1"/>
    </xf>
    <xf numFmtId="0" fontId="12" fillId="0" borderId="3" xfId="0" applyFont="1" applyBorder="1" applyAlignment="1">
      <alignment horizontal="left" vertical="center" wrapText="1"/>
    </xf>
    <xf numFmtId="0" fontId="8" fillId="0" borderId="1" xfId="2" applyFont="1" applyBorder="1" applyAlignment="1">
      <alignment horizontal="left" vertical="center"/>
    </xf>
    <xf numFmtId="0" fontId="8" fillId="0" borderId="1" xfId="1" applyFont="1" applyBorder="1" applyAlignment="1">
      <alignment horizontal="left" vertical="center" wrapText="1"/>
    </xf>
    <xf numFmtId="0" fontId="8" fillId="0" borderId="1" xfId="1" applyFont="1" applyBorder="1" applyAlignment="1">
      <alignment horizontal="left" vertical="center"/>
    </xf>
    <xf numFmtId="0" fontId="4" fillId="0" borderId="0" xfId="1" applyFont="1" applyAlignment="1">
      <alignment horizontal="left"/>
    </xf>
    <xf numFmtId="0" fontId="8" fillId="0" borderId="3" xfId="2" applyFont="1" applyBorder="1" applyAlignment="1">
      <alignment horizontal="left" vertical="center" wrapText="1"/>
    </xf>
    <xf numFmtId="0" fontId="8" fillId="0" borderId="6" xfId="2" applyFont="1" applyBorder="1" applyAlignment="1">
      <alignment horizontal="left" vertical="center" wrapText="1"/>
    </xf>
    <xf numFmtId="0" fontId="8" fillId="0" borderId="7" xfId="2" applyFont="1" applyBorder="1" applyAlignment="1">
      <alignment horizontal="left" vertical="center" wrapText="1"/>
    </xf>
    <xf numFmtId="0" fontId="8" fillId="0" borderId="0" xfId="2" applyFont="1" applyAlignment="1">
      <alignment horizontal="left" vertical="center" wrapText="1"/>
    </xf>
    <xf numFmtId="0" fontId="9" fillId="0" borderId="0" xfId="0" applyFont="1" applyAlignment="1">
      <alignment wrapText="1"/>
    </xf>
    <xf numFmtId="164" fontId="9" fillId="0" borderId="4" xfId="0" applyNumberFormat="1" applyFont="1" applyBorder="1" applyAlignment="1">
      <alignment horizontal="right" vertical="center" wrapText="1"/>
    </xf>
    <xf numFmtId="14" fontId="9" fillId="0" borderId="4" xfId="0" applyNumberFormat="1" applyFont="1" applyBorder="1" applyAlignment="1" applyProtection="1">
      <alignment horizontal="left" vertical="center" wrapText="1"/>
      <protection locked="0"/>
    </xf>
    <xf numFmtId="0" fontId="4" fillId="5" borderId="5" xfId="1" applyFont="1" applyFill="1" applyBorder="1" applyAlignment="1">
      <alignment horizontal="left" vertical="center" wrapText="1"/>
    </xf>
    <xf numFmtId="0" fontId="9" fillId="0" borderId="6" xfId="0" applyFont="1" applyBorder="1" applyAlignment="1" applyProtection="1">
      <alignment vertical="center" wrapText="1"/>
      <protection locked="0"/>
    </xf>
    <xf numFmtId="0" fontId="4" fillId="0" borderId="1" xfId="2" applyFont="1" applyBorder="1" applyAlignment="1">
      <alignment horizontal="left" vertical="center"/>
    </xf>
    <xf numFmtId="0" fontId="4" fillId="0" borderId="9" xfId="1" applyFont="1" applyBorder="1" applyAlignment="1">
      <alignment vertical="center" wrapText="1"/>
    </xf>
    <xf numFmtId="0" fontId="8" fillId="0" borderId="9" xfId="2" applyFont="1" applyBorder="1" applyAlignment="1">
      <alignment horizontal="left" vertical="center" wrapText="1"/>
    </xf>
    <xf numFmtId="0" fontId="4" fillId="5" borderId="3" xfId="1" applyFont="1" applyFill="1" applyBorder="1" applyAlignment="1">
      <alignment horizontal="left" vertical="center" wrapText="1"/>
    </xf>
    <xf numFmtId="0" fontId="4" fillId="0" borderId="1" xfId="1" applyFont="1" applyBorder="1" applyAlignment="1">
      <alignment horizontal="left" vertical="center"/>
    </xf>
    <xf numFmtId="14" fontId="6" fillId="0" borderId="1" xfId="0" applyNumberFormat="1" applyFont="1" applyBorder="1" applyAlignment="1">
      <alignment horizontal="center" vertical="center" wrapText="1"/>
    </xf>
    <xf numFmtId="0" fontId="4" fillId="0" borderId="0" xfId="1" applyFont="1" applyAlignment="1">
      <alignment wrapText="1"/>
    </xf>
    <xf numFmtId="0" fontId="8" fillId="0" borderId="12" xfId="2" applyFont="1" applyBorder="1" applyAlignment="1">
      <alignment horizontal="left" vertical="center" wrapText="1"/>
    </xf>
    <xf numFmtId="0" fontId="8" fillId="0" borderId="1" xfId="1" applyFont="1" applyBorder="1" applyAlignment="1">
      <alignment vertical="center" wrapText="1"/>
    </xf>
    <xf numFmtId="0" fontId="8" fillId="0" borderId="6" xfId="2" applyFont="1" applyBorder="1" applyAlignment="1">
      <alignment horizontal="left" vertical="center"/>
    </xf>
    <xf numFmtId="0" fontId="4" fillId="0" borderId="5" xfId="1" applyFont="1" applyBorder="1" applyAlignment="1">
      <alignment wrapText="1"/>
    </xf>
    <xf numFmtId="0" fontId="4" fillId="0" borderId="7" xfId="1" applyFont="1" applyBorder="1" applyAlignment="1">
      <alignment wrapText="1"/>
    </xf>
    <xf numFmtId="0" fontId="4" fillId="0" borderId="16" xfId="2" applyFont="1" applyBorder="1" applyAlignment="1">
      <alignment vertical="center" wrapText="1"/>
    </xf>
    <xf numFmtId="0" fontId="4" fillId="0" borderId="15" xfId="2" applyFont="1" applyBorder="1" applyAlignment="1">
      <alignment vertical="center" wrapText="1"/>
    </xf>
    <xf numFmtId="0" fontId="4" fillId="0" borderId="17" xfId="2" applyFont="1" applyBorder="1" applyAlignment="1">
      <alignment vertical="center" wrapText="1"/>
    </xf>
    <xf numFmtId="0" fontId="4" fillId="0" borderId="5" xfId="2" applyFont="1" applyBorder="1" applyAlignment="1">
      <alignment vertical="center" wrapText="1"/>
    </xf>
    <xf numFmtId="0" fontId="8" fillId="0" borderId="3" xfId="1" applyFont="1" applyBorder="1" applyAlignment="1">
      <alignment vertical="center" wrapText="1"/>
    </xf>
    <xf numFmtId="0" fontId="8" fillId="0" borderId="1" xfId="2" applyFont="1" applyBorder="1" applyAlignment="1">
      <alignment vertical="center" wrapText="1"/>
    </xf>
    <xf numFmtId="0" fontId="4" fillId="0" borderId="10" xfId="2" applyFont="1" applyBorder="1" applyAlignment="1">
      <alignment horizontal="left" vertical="center" wrapText="1"/>
    </xf>
    <xf numFmtId="0" fontId="4" fillId="0" borderId="4" xfId="2" applyFont="1" applyBorder="1" applyAlignment="1">
      <alignment horizontal="left" vertical="center" wrapText="1"/>
    </xf>
    <xf numFmtId="0" fontId="4" fillId="0" borderId="1" xfId="1" applyFont="1" applyBorder="1" applyAlignment="1">
      <alignment vertical="center"/>
    </xf>
    <xf numFmtId="0" fontId="4" fillId="0" borderId="1" xfId="2" applyFont="1" applyBorder="1" applyAlignment="1" applyProtection="1">
      <alignment vertical="center" wrapText="1"/>
      <protection locked="0"/>
    </xf>
    <xf numFmtId="14" fontId="6" fillId="0" borderId="1" xfId="0" applyNumberFormat="1" applyFont="1" applyBorder="1" applyAlignment="1">
      <alignment horizontal="center" vertical="center"/>
    </xf>
    <xf numFmtId="0" fontId="12" fillId="0" borderId="1" xfId="0" applyFont="1" applyBorder="1" applyAlignment="1">
      <alignment horizontal="left" vertical="center" wrapText="1"/>
    </xf>
    <xf numFmtId="0" fontId="9" fillId="0" borderId="1" xfId="0" applyFont="1" applyBorder="1" applyAlignment="1" applyProtection="1">
      <alignment vertical="center" wrapText="1"/>
      <protection locked="0"/>
    </xf>
    <xf numFmtId="0" fontId="9" fillId="0" borderId="9" xfId="0" applyFont="1" applyBorder="1" applyAlignment="1" applyProtection="1">
      <alignment vertical="center" wrapText="1"/>
      <protection locked="0"/>
    </xf>
    <xf numFmtId="0" fontId="4" fillId="0" borderId="3" xfId="2" applyFont="1" applyBorder="1" applyAlignment="1">
      <alignment horizontal="center" vertical="center"/>
    </xf>
    <xf numFmtId="0" fontId="4" fillId="0" borderId="1" xfId="2" applyFont="1" applyBorder="1" applyAlignment="1">
      <alignment horizontal="center" vertical="center"/>
    </xf>
    <xf numFmtId="0" fontId="8" fillId="0" borderId="5" xfId="2" applyFont="1" applyBorder="1" applyAlignment="1">
      <alignment horizontal="left" vertical="center" wrapText="1"/>
    </xf>
    <xf numFmtId="0" fontId="8" fillId="0" borderId="13" xfId="2" applyFont="1" applyBorder="1" applyAlignment="1">
      <alignment horizontal="left" vertical="center" wrapText="1"/>
    </xf>
    <xf numFmtId="0" fontId="8" fillId="0" borderId="11" xfId="2" applyFont="1" applyBorder="1" applyAlignment="1">
      <alignment horizontal="left" vertical="center" wrapText="1"/>
    </xf>
    <xf numFmtId="0" fontId="9" fillId="6" borderId="1" xfId="0" applyFont="1" applyFill="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wrapText="1"/>
    </xf>
    <xf numFmtId="164" fontId="9" fillId="0" borderId="1" xfId="0" applyNumberFormat="1" applyFont="1" applyBorder="1" applyAlignment="1">
      <alignment horizontal="right" vertical="center" wrapText="1"/>
    </xf>
    <xf numFmtId="14" fontId="9" fillId="0" borderId="1" xfId="0" applyNumberFormat="1" applyFont="1" applyBorder="1" applyAlignment="1" applyProtection="1">
      <alignment vertical="center" wrapText="1"/>
      <protection locked="0"/>
    </xf>
    <xf numFmtId="0" fontId="9" fillId="0" borderId="7" xfId="0" applyFont="1" applyBorder="1" applyAlignment="1" applyProtection="1">
      <alignment vertical="center" wrapText="1"/>
      <protection locked="0"/>
    </xf>
    <xf numFmtId="0" fontId="9" fillId="6" borderId="5" xfId="0" applyFont="1" applyFill="1" applyBorder="1" applyAlignment="1">
      <alignment vertical="center" wrapText="1"/>
    </xf>
    <xf numFmtId="0" fontId="9" fillId="0" borderId="11" xfId="0" applyFont="1" applyBorder="1" applyAlignment="1">
      <alignment vertical="center" wrapText="1"/>
    </xf>
    <xf numFmtId="14" fontId="9" fillId="0" borderId="5" xfId="0" applyNumberFormat="1" applyFont="1" applyBorder="1" applyAlignment="1" applyProtection="1">
      <alignment vertical="center" wrapText="1"/>
      <protection locked="0"/>
    </xf>
    <xf numFmtId="0" fontId="9" fillId="0" borderId="5" xfId="0" applyFont="1" applyBorder="1" applyAlignment="1" applyProtection="1">
      <alignment vertical="center" wrapText="1"/>
      <protection locked="0"/>
    </xf>
    <xf numFmtId="0" fontId="9" fillId="0" borderId="1" xfId="0" applyFont="1" applyBorder="1" applyAlignment="1">
      <alignment vertical="top" wrapText="1"/>
    </xf>
    <xf numFmtId="164" fontId="9" fillId="0" borderId="4" xfId="0" applyNumberFormat="1" applyFont="1" applyBorder="1" applyAlignment="1">
      <alignment horizontal="center" vertical="center" wrapText="1"/>
    </xf>
    <xf numFmtId="14" fontId="9" fillId="0" borderId="4" xfId="0" applyNumberFormat="1" applyFont="1" applyBorder="1" applyAlignment="1" applyProtection="1">
      <alignment vertical="center" wrapText="1"/>
      <protection locked="0"/>
    </xf>
    <xf numFmtId="0" fontId="9" fillId="0" borderId="5" xfId="0" applyFont="1" applyBorder="1" applyAlignment="1">
      <alignment vertical="center" wrapText="1"/>
    </xf>
    <xf numFmtId="0" fontId="9" fillId="0" borderId="18" xfId="0" applyFont="1" applyBorder="1" applyAlignment="1" applyProtection="1">
      <alignment vertical="center" wrapText="1"/>
      <protection locked="0"/>
    </xf>
    <xf numFmtId="0" fontId="9" fillId="0" borderId="10" xfId="0" applyFont="1" applyBorder="1" applyAlignment="1" applyProtection="1">
      <alignment vertical="center" wrapText="1"/>
      <protection locked="0"/>
    </xf>
    <xf numFmtId="164" fontId="9" fillId="0" borderId="10" xfId="0" applyNumberFormat="1" applyFont="1" applyBorder="1" applyAlignment="1">
      <alignment horizontal="center" vertical="center" wrapText="1"/>
    </xf>
    <xf numFmtId="14" fontId="9" fillId="0" borderId="16" xfId="0" applyNumberFormat="1" applyFont="1" applyBorder="1" applyAlignment="1" applyProtection="1">
      <alignment vertical="center" wrapText="1"/>
      <protection locked="0"/>
    </xf>
    <xf numFmtId="14" fontId="9" fillId="0" borderId="3" xfId="0" applyNumberFormat="1" applyFont="1" applyBorder="1" applyAlignment="1" applyProtection="1">
      <alignment vertical="center" wrapText="1"/>
      <protection locked="0"/>
    </xf>
    <xf numFmtId="0" fontId="9" fillId="0" borderId="2" xfId="0" applyFont="1" applyBorder="1" applyAlignment="1">
      <alignment vertical="center" wrapText="1"/>
    </xf>
    <xf numFmtId="0" fontId="9" fillId="0" borderId="3" xfId="0" applyFont="1" applyBorder="1" applyAlignment="1">
      <alignment vertical="top" wrapText="1"/>
    </xf>
    <xf numFmtId="0" fontId="8" fillId="0" borderId="2" xfId="2" applyFont="1" applyBorder="1" applyAlignment="1">
      <alignment horizontal="left" vertical="center" wrapText="1"/>
    </xf>
    <xf numFmtId="14" fontId="9" fillId="0" borderId="15" xfId="0" applyNumberFormat="1" applyFont="1" applyBorder="1" applyAlignment="1" applyProtection="1">
      <alignment vertical="center" wrapText="1"/>
      <protection locked="0"/>
    </xf>
    <xf numFmtId="0" fontId="9" fillId="0" borderId="18" xfId="0" applyFont="1" applyBorder="1" applyAlignment="1">
      <alignment vertical="center" wrapText="1"/>
    </xf>
    <xf numFmtId="0" fontId="4" fillId="0" borderId="3" xfId="2" applyFont="1" applyBorder="1" applyAlignment="1">
      <alignment horizontal="left" vertical="center"/>
    </xf>
    <xf numFmtId="0" fontId="4" fillId="0" borderId="9" xfId="2" applyFont="1" applyBorder="1" applyAlignment="1">
      <alignment horizontal="left" vertical="center"/>
    </xf>
    <xf numFmtId="0" fontId="4" fillId="0" borderId="6" xfId="2" applyFont="1" applyBorder="1" applyAlignment="1">
      <alignment horizontal="left" vertical="center"/>
    </xf>
    <xf numFmtId="0" fontId="4" fillId="0" borderId="6" xfId="2" applyFont="1" applyBorder="1" applyAlignment="1">
      <alignment horizontal="center" vertical="center"/>
    </xf>
    <xf numFmtId="164" fontId="9" fillId="0" borderId="1" xfId="0" applyNumberFormat="1" applyFont="1" applyBorder="1" applyAlignment="1">
      <alignment horizontal="center" vertical="center" wrapText="1"/>
    </xf>
    <xf numFmtId="0" fontId="9" fillId="0" borderId="11" xfId="0" applyFont="1" applyBorder="1" applyAlignment="1" applyProtection="1">
      <alignment vertical="center" wrapText="1"/>
      <protection locked="0"/>
    </xf>
    <xf numFmtId="0" fontId="9" fillId="0" borderId="1" xfId="0" applyFont="1" applyBorder="1"/>
    <xf numFmtId="0" fontId="9" fillId="0" borderId="18" xfId="0" applyFont="1" applyBorder="1" applyAlignment="1">
      <alignment horizontal="left" vertical="center" wrapText="1"/>
    </xf>
    <xf numFmtId="0" fontId="9" fillId="0" borderId="16" xfId="0" applyFont="1" applyBorder="1" applyAlignment="1">
      <alignment horizontal="left" vertical="center" wrapText="1"/>
    </xf>
    <xf numFmtId="0" fontId="9" fillId="0" borderId="1" xfId="0" applyFont="1" applyBorder="1" applyAlignment="1">
      <alignment horizontal="left" vertical="center" wrapText="1"/>
    </xf>
    <xf numFmtId="164" fontId="9" fillId="0" borderId="1" xfId="0" applyNumberFormat="1" applyFont="1" applyBorder="1" applyAlignment="1">
      <alignment horizontal="left" vertical="center" wrapText="1"/>
    </xf>
    <xf numFmtId="14" fontId="9" fillId="0" borderId="1" xfId="0" applyNumberFormat="1" applyFont="1" applyBorder="1" applyAlignment="1" applyProtection="1">
      <alignment horizontal="left" vertical="center" wrapText="1"/>
      <protection locked="0"/>
    </xf>
    <xf numFmtId="0" fontId="4" fillId="0" borderId="6" xfId="2"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9" fillId="0" borderId="10" xfId="0" applyFont="1" applyBorder="1" applyAlignment="1">
      <alignment horizontal="left" vertical="center" wrapText="1"/>
    </xf>
    <xf numFmtId="0" fontId="9" fillId="0" borderId="10" xfId="0" applyFont="1" applyBorder="1" applyAlignment="1" applyProtection="1">
      <alignment horizontal="left" vertical="center" wrapText="1"/>
      <protection locked="0"/>
    </xf>
    <xf numFmtId="0" fontId="9" fillId="0" borderId="19" xfId="0" applyFont="1" applyBorder="1" applyAlignment="1">
      <alignment horizontal="left" vertical="center" wrapText="1"/>
    </xf>
    <xf numFmtId="164" fontId="9" fillId="0" borderId="10" xfId="0" applyNumberFormat="1" applyFont="1" applyBorder="1" applyAlignment="1">
      <alignment horizontal="left" vertical="center" wrapText="1"/>
    </xf>
    <xf numFmtId="14" fontId="9" fillId="0" borderId="10" xfId="0" applyNumberFormat="1"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164" fontId="9" fillId="0" borderId="4" xfId="0" applyNumberFormat="1" applyFont="1" applyBorder="1" applyAlignment="1">
      <alignment horizontal="left" vertical="center" wrapText="1"/>
    </xf>
    <xf numFmtId="0" fontId="9" fillId="0" borderId="15" xfId="0" applyFont="1" applyBorder="1" applyAlignment="1">
      <alignment horizontal="left" vertical="center" wrapText="1"/>
    </xf>
    <xf numFmtId="0" fontId="9" fillId="0" borderId="19" xfId="0" applyFont="1" applyBorder="1" applyAlignment="1" applyProtection="1">
      <alignment horizontal="left" vertical="center" wrapText="1"/>
      <protection locked="0"/>
    </xf>
    <xf numFmtId="0" fontId="9" fillId="0" borderId="20" xfId="0" applyFont="1" applyBorder="1" applyAlignment="1">
      <alignment horizontal="left" vertical="center" wrapText="1"/>
    </xf>
    <xf numFmtId="0" fontId="9" fillId="0" borderId="8" xfId="0" applyFont="1" applyBorder="1" applyAlignment="1">
      <alignment horizontal="left" vertical="center" wrapText="1"/>
    </xf>
    <xf numFmtId="164" fontId="9" fillId="0" borderId="8" xfId="0" applyNumberFormat="1" applyFont="1" applyBorder="1" applyAlignment="1">
      <alignment horizontal="left" vertical="center" wrapText="1"/>
    </xf>
    <xf numFmtId="14" fontId="9" fillId="0" borderId="8" xfId="0" applyNumberFormat="1" applyFont="1" applyBorder="1" applyAlignment="1" applyProtection="1">
      <alignment horizontal="left" vertical="center" wrapText="1"/>
      <protection locked="0"/>
    </xf>
    <xf numFmtId="0" fontId="9" fillId="0" borderId="17" xfId="0" applyFont="1" applyBorder="1" applyAlignment="1">
      <alignment horizontal="left" vertical="center" wrapText="1"/>
    </xf>
    <xf numFmtId="0" fontId="9" fillId="0" borderId="20"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11" xfId="0" applyFont="1" applyBorder="1" applyAlignment="1">
      <alignment horizontal="left" vertical="center" wrapText="1"/>
    </xf>
    <xf numFmtId="0" fontId="9" fillId="0" borderId="5" xfId="0" applyFont="1" applyBorder="1" applyAlignment="1">
      <alignment horizontal="left" vertical="center" wrapText="1"/>
    </xf>
    <xf numFmtId="0" fontId="9" fillId="0" borderId="11" xfId="0" applyFont="1" applyBorder="1" applyAlignment="1" applyProtection="1">
      <alignment horizontal="left" vertical="center" wrapText="1"/>
      <protection locked="0"/>
    </xf>
    <xf numFmtId="0" fontId="9" fillId="0" borderId="19" xfId="0" applyFont="1" applyBorder="1" applyAlignment="1">
      <alignment horizontal="center" vertical="center" wrapText="1"/>
    </xf>
    <xf numFmtId="0" fontId="9" fillId="0" borderId="16" xfId="0" applyFont="1" applyBorder="1" applyAlignment="1">
      <alignment vertical="center" wrapText="1"/>
    </xf>
    <xf numFmtId="0" fontId="9" fillId="0" borderId="3" xfId="0" applyFont="1" applyBorder="1" applyAlignment="1">
      <alignment vertical="center" wrapText="1"/>
    </xf>
    <xf numFmtId="164" fontId="9" fillId="0" borderId="3" xfId="0" applyNumberFormat="1" applyFont="1" applyBorder="1" applyAlignment="1">
      <alignment horizontal="center" vertical="center" wrapText="1"/>
    </xf>
    <xf numFmtId="14" fontId="9" fillId="0" borderId="14" xfId="0" applyNumberFormat="1" applyFont="1" applyBorder="1" applyAlignment="1" applyProtection="1">
      <alignment vertical="center" wrapText="1"/>
      <protection locked="0"/>
    </xf>
    <xf numFmtId="0" fontId="9" fillId="0" borderId="19" xfId="0" applyFont="1" applyBorder="1" applyAlignment="1" applyProtection="1">
      <alignment vertical="center" wrapText="1"/>
      <protection locked="0"/>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9" fillId="0" borderId="3" xfId="0" applyFont="1" applyBorder="1" applyAlignment="1" applyProtection="1">
      <alignment vertical="center" wrapText="1"/>
      <protection locked="0"/>
    </xf>
    <xf numFmtId="0" fontId="9" fillId="0" borderId="12" xfId="0" applyFont="1" applyBorder="1" applyAlignment="1" applyProtection="1">
      <alignment vertical="center" wrapText="1"/>
      <protection locked="0"/>
    </xf>
    <xf numFmtId="0" fontId="4" fillId="0" borderId="0" xfId="1" applyFont="1" applyFill="1" applyBorder="1" applyAlignment="1"/>
    <xf numFmtId="0" fontId="4" fillId="0" borderId="1" xfId="1" applyFont="1" applyFill="1" applyBorder="1" applyAlignment="1"/>
    <xf numFmtId="0" fontId="4" fillId="0" borderId="21" xfId="1" applyFont="1" applyBorder="1" applyAlignment="1">
      <alignment horizontal="left" vertical="center" wrapText="1"/>
    </xf>
    <xf numFmtId="0" fontId="4" fillId="0" borderId="6" xfId="1" applyFont="1" applyBorder="1" applyAlignment="1">
      <alignment horizontal="center" vertical="center" wrapText="1"/>
    </xf>
    <xf numFmtId="0" fontId="4" fillId="0" borderId="11" xfId="1" applyFont="1" applyBorder="1" applyAlignment="1">
      <alignment horizontal="left" vertical="center" wrapText="1"/>
    </xf>
    <xf numFmtId="0" fontId="4" fillId="5" borderId="1" xfId="1" applyFont="1" applyFill="1" applyBorder="1" applyAlignment="1">
      <alignment horizontal="left" vertical="center" wrapText="1"/>
    </xf>
    <xf numFmtId="0" fontId="4" fillId="5" borderId="2" xfId="1" applyFont="1" applyFill="1" applyBorder="1" applyAlignment="1">
      <alignment horizontal="left" vertical="center" wrapText="1"/>
    </xf>
    <xf numFmtId="0" fontId="8" fillId="0" borderId="6" xfId="1" applyFont="1" applyBorder="1" applyAlignment="1">
      <alignment horizontal="left" vertical="center" wrapText="1"/>
    </xf>
    <xf numFmtId="0" fontId="8" fillId="0" borderId="4" xfId="1" applyFont="1" applyBorder="1" applyAlignment="1">
      <alignment horizontal="left" vertical="center" wrapText="1"/>
    </xf>
    <xf numFmtId="0" fontId="8" fillId="0" borderId="2" xfId="1" applyFont="1" applyBorder="1" applyAlignment="1">
      <alignment horizontal="left" vertical="center" wrapText="1"/>
    </xf>
    <xf numFmtId="0" fontId="8" fillId="0" borderId="5" xfId="1" applyFont="1" applyBorder="1" applyAlignment="1">
      <alignment horizontal="left" vertical="center" wrapText="1"/>
    </xf>
    <xf numFmtId="0" fontId="8" fillId="0" borderId="3" xfId="1" applyFont="1" applyBorder="1" applyAlignment="1">
      <alignment horizontal="left" vertical="center" wrapText="1"/>
    </xf>
    <xf numFmtId="0" fontId="8" fillId="0" borderId="7" xfId="1" applyFont="1" applyBorder="1" applyAlignment="1">
      <alignment horizontal="left" vertical="center" wrapText="1"/>
    </xf>
    <xf numFmtId="0" fontId="4" fillId="0" borderId="0" xfId="2" applyFont="1" applyAlignment="1">
      <alignment wrapText="1"/>
    </xf>
    <xf numFmtId="0" fontId="4" fillId="0" borderId="3" xfId="2" applyFont="1" applyBorder="1" applyAlignment="1">
      <alignment vertical="center"/>
    </xf>
    <xf numFmtId="0" fontId="4" fillId="0" borderId="1" xfId="2" applyFont="1" applyBorder="1" applyAlignment="1">
      <alignment vertical="center"/>
    </xf>
    <xf numFmtId="0" fontId="4" fillId="0" borderId="3" xfId="2" applyFont="1" applyBorder="1" applyAlignment="1">
      <alignment wrapText="1"/>
    </xf>
    <xf numFmtId="0" fontId="4" fillId="0" borderId="1" xfId="2" applyFont="1" applyBorder="1" applyAlignment="1">
      <alignment wrapText="1"/>
    </xf>
    <xf numFmtId="0" fontId="4" fillId="0" borderId="3" xfId="2" applyFont="1" applyBorder="1" applyAlignment="1">
      <alignment horizontal="left" vertical="center" wrapText="1"/>
    </xf>
    <xf numFmtId="0" fontId="4" fillId="5" borderId="1" xfId="2" applyFont="1" applyFill="1" applyBorder="1" applyAlignment="1">
      <alignment horizontal="left" vertical="center" wrapText="1"/>
    </xf>
    <xf numFmtId="0" fontId="4" fillId="0" borderId="8" xfId="2" applyFont="1" applyBorder="1" applyAlignment="1">
      <alignment horizontal="left" vertical="center" wrapText="1"/>
    </xf>
    <xf numFmtId="0" fontId="4" fillId="0" borderId="4"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0" xfId="2" applyFont="1" applyAlignment="1">
      <alignment vertical="center" wrapText="1"/>
    </xf>
    <xf numFmtId="0" fontId="4" fillId="0" borderId="3" xfId="1" applyFont="1" applyFill="1" applyBorder="1" applyAlignment="1">
      <alignment horizontal="left"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left" vertical="center" wrapText="1"/>
    </xf>
    <xf numFmtId="0" fontId="8" fillId="5" borderId="1" xfId="2" applyFont="1" applyFill="1" applyBorder="1" applyAlignment="1">
      <alignment horizontal="left" vertical="center" wrapText="1"/>
    </xf>
    <xf numFmtId="0" fontId="4" fillId="0" borderId="3" xfId="1" applyFont="1" applyBorder="1" applyAlignment="1">
      <alignment horizontal="left" vertical="center"/>
    </xf>
    <xf numFmtId="0" fontId="11" fillId="3" borderId="1" xfId="0" applyFont="1" applyFill="1" applyBorder="1" applyAlignment="1">
      <alignment horizontal="center" vertical="center" wrapText="1"/>
    </xf>
    <xf numFmtId="0" fontId="11" fillId="3" borderId="5" xfId="0" applyFont="1" applyFill="1" applyBorder="1" applyAlignment="1">
      <alignment vertical="center" wrapText="1"/>
    </xf>
    <xf numFmtId="0" fontId="11" fillId="3" borderId="0" xfId="0" applyFont="1" applyFill="1" applyAlignment="1">
      <alignment horizontal="left" vertical="center" wrapText="1"/>
    </xf>
    <xf numFmtId="0" fontId="11" fillId="3" borderId="11" xfId="0" applyFont="1" applyFill="1" applyBorder="1" applyAlignment="1">
      <alignment vertical="center" wrapText="1"/>
    </xf>
    <xf numFmtId="0" fontId="11" fillId="3" borderId="1" xfId="0" applyFont="1" applyFill="1" applyBorder="1" applyAlignment="1">
      <alignment vertical="center" wrapText="1"/>
    </xf>
    <xf numFmtId="0" fontId="10" fillId="2" borderId="1" xfId="0" applyFont="1" applyFill="1" applyBorder="1" applyAlignment="1">
      <alignment vertical="center"/>
    </xf>
    <xf numFmtId="0" fontId="10" fillId="2" borderId="1" xfId="0" applyFont="1" applyFill="1" applyBorder="1" applyAlignment="1">
      <alignment horizontal="center" vertical="center"/>
    </xf>
    <xf numFmtId="0" fontId="13" fillId="7" borderId="17" xfId="0" applyFont="1" applyFill="1" applyBorder="1" applyAlignment="1">
      <alignment horizontal="center" vertical="center" wrapText="1"/>
    </xf>
    <xf numFmtId="0" fontId="13" fillId="7" borderId="23" xfId="0" applyFont="1" applyFill="1" applyBorder="1" applyAlignment="1">
      <alignment horizontal="center" vertical="center" wrapText="1"/>
    </xf>
    <xf numFmtId="164" fontId="13" fillId="7" borderId="23" xfId="0" applyNumberFormat="1"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15" xfId="0" applyFont="1" applyFill="1" applyBorder="1" applyAlignment="1">
      <alignment horizontal="center" vertical="center"/>
    </xf>
    <xf numFmtId="0" fontId="13" fillId="7" borderId="25" xfId="0" applyFont="1" applyFill="1" applyBorder="1" applyAlignment="1">
      <alignment horizontal="center" vertical="center"/>
    </xf>
  </cellXfs>
  <cellStyles count="3">
    <cellStyle name="Hipervínculo" xfId="2" builtinId="8"/>
    <cellStyle name="Hyperlink" xfId="1" xr:uid="{00000000-000B-0000-0000-000008000000}"/>
    <cellStyle name="Normal" xfId="0" builtinId="0"/>
  </cellStyles>
  <dxfs count="10">
    <dxf>
      <font>
        <color theme="1"/>
      </font>
      <fill>
        <patternFill patternType="solid">
          <bgColor rgb="FFCC99FF"/>
        </patternFill>
      </fill>
    </dxf>
    <dxf>
      <font>
        <color theme="1"/>
      </font>
      <fill>
        <patternFill patternType="solid">
          <bgColor rgb="FFE79590"/>
        </patternFill>
      </fill>
    </dxf>
    <dxf>
      <font>
        <color theme="1"/>
      </font>
      <fill>
        <patternFill patternType="solid">
          <bgColor rgb="FFCC99FF"/>
        </patternFill>
      </fill>
    </dxf>
    <dxf>
      <font>
        <color theme="1"/>
      </font>
      <fill>
        <patternFill patternType="solid">
          <bgColor rgb="FFE79590"/>
        </patternFill>
      </fill>
    </dxf>
    <dxf>
      <font>
        <color theme="1"/>
      </font>
      <fill>
        <patternFill patternType="solid">
          <bgColor rgb="FFCC99FF"/>
        </patternFill>
      </fill>
    </dxf>
    <dxf>
      <font>
        <color theme="1"/>
      </font>
      <fill>
        <patternFill patternType="solid">
          <bgColor rgb="FFE79590"/>
        </patternFill>
      </fill>
    </dxf>
    <dxf>
      <font>
        <color theme="1"/>
      </font>
      <fill>
        <patternFill patternType="solid">
          <bgColor rgb="FFCC99FF"/>
        </patternFill>
      </fill>
    </dxf>
    <dxf>
      <font>
        <color theme="1"/>
      </font>
      <fill>
        <patternFill patternType="solid">
          <bgColor rgb="FFE79590"/>
        </patternFill>
      </fill>
    </dxf>
    <dxf>
      <font>
        <color theme="1"/>
      </font>
      <fill>
        <patternFill patternType="solid">
          <bgColor rgb="FFCC99FF"/>
        </patternFill>
      </fill>
    </dxf>
    <dxf>
      <font>
        <color theme="1"/>
      </font>
      <fill>
        <patternFill patternType="solid">
          <bgColor rgb="FFE7959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customXml" Target="../customXml/item3.xml"/><Relationship Id="rId3" Type="http://schemas.openxmlformats.org/officeDocument/2006/relationships/externalLink" Target="externalLinks/externalLink2.xml"/><Relationship Id="rId21"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ANTONIO%20NARI&#209;O/POAIV_ELIV_ANTONIO_NARI&#209;O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ANTONIO%20NARI&#209;O/POAIV_ELIV_ANTONIO_NARI&#209;O_2025.xlsx" TargetMode="External"/><Relationship Id="rId1" Type="http://schemas.microsoft.com/office/2019/04/relationships/externalLinkLongPath" Target="/personal/comunicacionesdiveliv_educacionbogota_gov_co/Documents/DIRECCION%20DE%20INSPECCION%20Y%20VIGILANCIA/DIV%20POAIV/POAIV%202025/ELIV%20ANTONIO%20NARI&#209;O/POAIV_ELIV_ANTONIO_NARI&#209;O_2025.xlsx" TargetMode="External"/></Relationships>
</file>

<file path=xl/externalLinks/_rels/externalLink10.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PUENTE%20ARANDA/MATRIZ_POAIV_ELIV_PUENTE%20ARANDA_2025.xlsx" TargetMode="External"/><Relationship Id="rId2" Type="http://schemas.microsoft.com/office/2019/04/relationships/externalLinkLongPath" Target="/personal/comunicacionesdiveliv_educacionbogota_gov_co/Documents/DIRECCION%20DE%20INSPECCION%20Y%20VIGILANCIA/DIV%20POAIV/POAIV%202025/ELIV%20PUENTE%20ARANDA/MATRIZ_POAIV_ELIV_PUENTE%20ARANDA_2025.xlsx?C7A2219B" TargetMode="External"/><Relationship Id="rId1" Type="http://schemas.openxmlformats.org/officeDocument/2006/relationships/externalLinkPath" Target="file:///\\C7A2219B\MATRIZ_POAIV_ELIV_PUENTE%20ARANDA_2025.xlsx" TargetMode="External"/><Relationship Id="rId4" Type="http://schemas.openxmlformats.org/officeDocument/2006/relationships/externalLinkPath" Target="../../../../../../personal/comunicacionesdiveliv_educacionbogota_gov_co/Documents/DIRECCION%20DE%20INSPECCION%20Y%20VIGILANCIA/DIV%20POAIV/POAIV%202025/ELIV%20PUENTE%20ARANDA/MATRIZ_POAIV_ELIV_PUENTE%20ARANDA_2025.xlsx"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RAFAEL%20URIBE%20URIBE/POAIV_ELIV_RAFAEL_URIBE_URIBE_2025.xlsx" TargetMode="External"/><Relationship Id="rId2" Type="http://schemas.microsoft.com/office/2019/04/relationships/externalLinkLongPath" Target="/personal/comunicacionesdiveliv_educacionbogota_gov_co/Documents/DIRECCION%20DE%20INSPECCION%20Y%20VIGILANCIA/DIV%20POAIV/POAIV%202025/ELIV%20RAFAEL%20URIBE%20URIBE/POAIV_ELIV_RAFAEL_URIBE_URIBE_2025.xlsx?0E52C290" TargetMode="External"/><Relationship Id="rId1" Type="http://schemas.openxmlformats.org/officeDocument/2006/relationships/externalLinkPath" Target="file:///\\0E52C290\POAIV_ELIV_RAFAEL_URIBE_URIBE_2025.xlsx" TargetMode="External"/><Relationship Id="rId4" Type="http://schemas.openxmlformats.org/officeDocument/2006/relationships/externalLinkPath" Target="../../../../../../personal/comunicacionesdiveliv_educacionbogota_gov_co/Documents/DIRECCION%20DE%20INSPECCION%20Y%20VIGILANCIA/DIV%20POAIV/POAIV%202025/ELIV%20RAFAEL%20URIBE%20URIBE/POAIV_ELIV_RAFAEL_URIBE_URIBE_2025.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SAN%20CRIST&#211;BAL/MATRIZ_POAIV_ELIV_SAN_CRISTOBAL_2025.xlsx" TargetMode="External"/><Relationship Id="rId2" Type="http://schemas.microsoft.com/office/2019/04/relationships/externalLinkLongPath" Target="/personal/comunicacionesdiveliv_educacionbogota_gov_co/Documents/DIRECCION%20DE%20INSPECCION%20Y%20VIGILANCIA/DIV%20POAIV/POAIV%202025/ELIV%20SAN%20CRIST&#211;BAL/MATRIZ_POAIV_ELIV_SAN_CRISTOBAL_2025.xlsx?CE85BFFF" TargetMode="External"/><Relationship Id="rId1" Type="http://schemas.openxmlformats.org/officeDocument/2006/relationships/externalLinkPath" Target="file:///\\CE85BFFF\MATRIZ_POAIV_ELIV_SAN_CRISTOBAL_2025.xlsx" TargetMode="External"/><Relationship Id="rId4" Type="http://schemas.openxmlformats.org/officeDocument/2006/relationships/externalLinkPath" Target="../../../../../../personal/comunicacionesdiveliv_educacionbogota_gov_co/Documents/DIRECCION%20DE%20INSPECCION%20Y%20VIGILANCIA/DIV%20POAIV/POAIV%202025/ELIV%20SAN%20CRIST&#211;BAL/MATRIZ_POAIV_ELIV_SAN_CRISTOBAL_2025.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SANTAFE%20Y%20LA%20CANDELARIA/MATRIZ_POAIV_ELIV_SANTAFE%20Y%20LA%20CANDELARIA_2025.xlsx" TargetMode="External"/><Relationship Id="rId2" Type="http://schemas.microsoft.com/office/2019/04/relationships/externalLinkLongPath" Target="/personal/comunicacionesdiveliv_educacionbogota_gov_co/Documents/DIRECCION%20DE%20INSPECCION%20Y%20VIGILANCIA/DIV%20POAIV/POAIV%202025/ELIV%20SANTAFE%20Y%20LA%20CANDELARIA/MATRIZ_POAIV_ELIV_SANTAFE%20Y%20LA%20CANDELARIA_2025.xlsx?B238DED0" TargetMode="External"/><Relationship Id="rId1" Type="http://schemas.openxmlformats.org/officeDocument/2006/relationships/externalLinkPath" Target="file:///\\B238DED0\MATRIZ_POAIV_ELIV_SANTAFE%20Y%20LA%20CANDELARIA_2025.xlsx" TargetMode="External"/><Relationship Id="rId4" Type="http://schemas.openxmlformats.org/officeDocument/2006/relationships/externalLinkPath" Target="../../../../../../personal/comunicacionesdiveliv_educacionbogota_gov_co/Documents/DIRECCION%20DE%20INSPECCION%20Y%20VIGILANCIA/DIV%20POAIV/POAIV%202025/ELIV%20SANTAFE%20Y%20LA%20CANDELARIA/MATRIZ_POAIV_ELIV_SANTAFE%20Y%20LA%20CANDELARIA_2025.xlsx" TargetMode="External"/></Relationships>
</file>

<file path=xl/externalLinks/_rels/externalLink14.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SUBA/POAIV_ELIV_SUBA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SUBA/POAIV_ELIV_SUBA_2025.xlsx" TargetMode="External"/><Relationship Id="rId1" Type="http://schemas.openxmlformats.org/officeDocument/2006/relationships/externalLinkPath" Target="/personal/comunicacionesdiveliv_educacionbogota_gov_co/Documents/DIRECCION%20DE%20INSPECCION%20Y%20VIGILANCIA/DIV%20POAIV/POAIV%202025/ELIV%20SUBA/POAIV_ELIV_SUBA_2025.xlsx" TargetMode="External"/></Relationships>
</file>

<file path=xl/externalLinks/_rels/externalLink15.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TEUSAQUILLO/MATRIZ_POAIV_ELIV_TEUSAQUILLO_2025%20190325.xlsx" TargetMode="External"/><Relationship Id="rId2" Type="http://schemas.microsoft.com/office/2019/04/relationships/externalLinkLongPath" Target="/personal/comunicacionesdiveliv_educacionbogota_gov_co/Documents/DIRECCION%20DE%20INSPECCION%20Y%20VIGILANCIA/DIV%20POAIV/POAIV%202025/ELIV%20TEUSAQUILLO/MATRIZ_POAIV_ELIV_TEUSAQUILLO_2025%20190325.xlsx?CD6A90B0" TargetMode="External"/><Relationship Id="rId1" Type="http://schemas.openxmlformats.org/officeDocument/2006/relationships/externalLinkPath" Target="file:///\\CD6A90B0\MATRIZ_POAIV_ELIV_TEUSAQUILLO_2025%20190325.xlsx" TargetMode="External"/><Relationship Id="rId4" Type="http://schemas.openxmlformats.org/officeDocument/2006/relationships/externalLinkPath" Target="../../../../../../personal/comunicacionesdiveliv_educacionbogota_gov_co/Documents/DIRECCION%20DE%20INSPECCION%20Y%20VIGILANCIA/DIV%20POAIV/POAIV%202025/ELIV%20TEUSAQUILLO/MATRIZ_POAIV_ELIV_TEUSAQUILLO_2025%20190325.xlsx" TargetMode="External"/></Relationships>
</file>

<file path=xl/externalLinks/_rels/externalLink16.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TUNJUELITO/MATRIZ_POAIV_ELIV_TUNJUELITO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TUNJUELITO/MATRIZ_POAIV_ELIV_TUNJUELITO_2025.xlsx" TargetMode="External"/><Relationship Id="rId1" Type="http://schemas.openxmlformats.org/officeDocument/2006/relationships/externalLinkPath" Target="/personal/comunicacionesdiveliv_educacionbogota_gov_co/Documents/DIRECCION%20DE%20INSPECCION%20Y%20VIGILANCIA/DIV%20POAIV/POAIV%202025/ELIV%20TUNJUELITO/MATRIZ_POAIV_ELIV_TUNJUELITO_2025.xlsx" TargetMode="External"/></Relationships>
</file>

<file path=xl/externalLinks/_rels/externalLink17.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USAQU&#201;N/POAIV_ELIV_USAQU&#201;N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USAQU&#201;N/POAIV_ELIV_USAQU&#201;N_2025.xlsx" TargetMode="External"/><Relationship Id="rId1" Type="http://schemas.openxmlformats.org/officeDocument/2006/relationships/externalLinkPath" Target="/personal/comunicacionesdiveliv_educacionbogota_gov_co/Documents/DIRECCION%20DE%20INSPECCION%20Y%20VIGILANCIA/DIV%20POAIV/POAIV%202025/ELIV%20USAQU&#201;N/POAIV_ELIV_USAQU&#201;N_2025.xlsx" TargetMode="External"/></Relationships>
</file>

<file path=xl/externalLinks/_rels/externalLink18.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USME/MATRIZ_POAIV_ELIV_USME_2025%201903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USME/MATRIZ_POAIV_ELIV_USME_2025%2019032025.xlsx" TargetMode="External"/><Relationship Id="rId1" Type="http://schemas.openxmlformats.org/officeDocument/2006/relationships/externalLinkPath" Target="/personal/comunicacionesdiveliv_educacionbogota_gov_co/Documents/DIRECCION%20DE%20INSPECCION%20Y%20VIGILANCIA/DIV%20POAIV/POAIV%202025/ELIV%20USME/MATRIZ_POAIV_ELIV_USME_2025%2019032025.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BARRIOS%20UNIDOS/MATRIZ_POAIV_ELIV_BARRIOS_UNIDOS_2025.xlsx" TargetMode="External"/><Relationship Id="rId2" Type="http://schemas.microsoft.com/office/2019/04/relationships/externalLinkLongPath" Target="/personal/comunicacionesdiveliv_educacionbogota_gov_co/Documents/DIRECCION%20DE%20INSPECCION%20Y%20VIGILANCIA/DIV%20POAIV/POAIV%202025/ELIV%20BARRIOS%20UNIDOS/MATRIZ_POAIV_ELIV_BARRIOS_UNIDOS_2025.xlsx?61B88DE0" TargetMode="External"/><Relationship Id="rId1" Type="http://schemas.openxmlformats.org/officeDocument/2006/relationships/externalLinkPath" Target="file:///\\61B88DE0\MATRIZ_POAIV_ELIV_BARRIOS_UNIDOS_2025.xlsx" TargetMode="External"/><Relationship Id="rId4" Type="http://schemas.openxmlformats.org/officeDocument/2006/relationships/externalLinkPath" Target="../../../../../../personal/comunicacionesdiveliv_educacionbogota_gov_co/Documents/DIRECCION%20DE%20INSPECCION%20Y%20VIGILANCIA/DIV%20POAIV/POAIV%202025/ELIV%20BARRIOS%20UNIDOS/MATRIZ_POAIV_ELIV_BARRIOS_UNIDOS_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BOSA/MATRIZ_POAIV_ELIV_BOSA_2025%201303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BOSA/MATRIZ_POAIV_ELIV_BOSA_2025%20130325.xlsx" TargetMode="External"/><Relationship Id="rId1" Type="http://schemas.openxmlformats.org/officeDocument/2006/relationships/externalLinkPath" Target="/personal/comunicacionesdiveliv_educacionbogota_gov_co/Documents/DIRECCION%20DE%20INSPECCION%20Y%20VIGILANCIA/DIV%20POAIV/POAIV%202025/ELIV%20BOSA/MATRIZ_POAIV_ELIV_BOSA_2025%20130325.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CHAPINERO/MATRIZ_POAIV_ELIV_CHAPINERO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CHAPINERO/MATRIZ_POAIV_ELIV_CHAPINERO_2025.xlsx" TargetMode="External"/><Relationship Id="rId1" Type="http://schemas.openxmlformats.org/officeDocument/2006/relationships/externalLinkPath" Target="/personal/comunicacionesdiveliv_educacionbogota_gov_co/Documents/DIRECCION%20DE%20INSPECCION%20Y%20VIGILANCIA/DIV%20POAIV/POAIV%202025/ELIV%20CHAPINERO/MATRIZ_POAIV_ELIV_CHAPINERO_2025.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CIUDAD%20BOL&#205;VAR/MATRIZ_POAIV_ELIV_CIUDAD_BOLIVAR_2025.xlsx" TargetMode="External"/><Relationship Id="rId2" Type="http://schemas.microsoft.com/office/2019/04/relationships/externalLinkLongPath" Target="/personal/comunicacionesdiveliv_educacionbogota_gov_co/Documents/DIRECCION%20DE%20INSPECCION%20Y%20VIGILANCIA/DIV%20POAIV/POAIV%202025/ELIV%20CIUDAD%20BOL&#205;VAR/MATRIZ_POAIV_ELIV_CIUDAD_BOLIVAR_2025.xlsx?1132E72F" TargetMode="External"/><Relationship Id="rId1" Type="http://schemas.openxmlformats.org/officeDocument/2006/relationships/externalLinkPath" Target="file:///\\1132E72F\MATRIZ_POAIV_ELIV_CIUDAD_BOLIVAR_2025.xlsx" TargetMode="External"/><Relationship Id="rId4" Type="http://schemas.openxmlformats.org/officeDocument/2006/relationships/externalLinkPath" Target="../../../../../../personal/comunicacionesdiveliv_educacionbogota_gov_co/Documents/DIRECCION%20DE%20INSPECCION%20Y%20VIGILANCIA/DIV%20POAIV/POAIV%202025/ELIV%20CIUDAD%20BOL&#205;VAR/MATRIZ_POAIV_ELIV_CIUDAD_BOLIVAR_2025.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ENGATIV&#193;/POAIV_ELIV_ENGATIV&#193;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ENGATIV&#193;/POAIV_ELIV_ENGATIV&#193;_2025.xlsx" TargetMode="External"/><Relationship Id="rId1" Type="http://schemas.openxmlformats.org/officeDocument/2006/relationships/externalLinkPath" Target="/personal/comunicacionesdiveliv_educacionbogota_gov_co/Documents/DIRECCION%20DE%20INSPECCION%20Y%20VIGILANCIA/DIV%20POAIV/POAIV%202025/ELIV%20ENGATIV&#193;/POAIV_ELIV_ENGATIV&#193;_2025.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FONTIB&#211;N/POAIV_ELIV_FONTIB&#211;N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FONTIB&#211;N/POAIV_ELIV_FONTIB&#211;N_2025.xlsx" TargetMode="External"/><Relationship Id="rId1" Type="http://schemas.openxmlformats.org/officeDocument/2006/relationships/externalLinkPath" Target="/personal/comunicacionesdiveliv_educacionbogota_gov_co/Documents/DIRECCION%20DE%20INSPECCION%20Y%20VIGILANCIA/DIV%20POAIV/POAIV%202025/ELIV%20FONTIB&#211;N/POAIV_ELIV_FONTIB&#211;N_2025.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personal/comunicacionesdiveliv_educacionbogota_gov_co/Documents/DIRECCION%20DE%20INSPECCION%20Y%20VIGILANCIA/DIV%20POAIV/POAIV%202025/ELIV%20KENNEDY/MATRIZ_POAIV_ELIV_KENNEDY_2025.xlsx" TargetMode="External"/><Relationship Id="rId2" Type="http://schemas.openxmlformats.org/officeDocument/2006/relationships/externalLinkPath" Target="https://educacionbogota-my.sharepoint.com/personal/comunicacionesdiveliv_educacionbogota_gov_co/Documents/DIRECCION%20DE%20INSPECCION%20Y%20VIGILANCIA/DIV%20POAIV/POAIV%202025/ELIV%20KENNEDY/MATRIZ_POAIV_ELIV_KENNEDY_2025.xlsx" TargetMode="External"/><Relationship Id="rId1" Type="http://schemas.openxmlformats.org/officeDocument/2006/relationships/externalLinkPath" Target="/personal/comunicacionesdiveliv_educacionbogota_gov_co/Documents/DIRECCION%20DE%20INSPECCION%20Y%20VIGILANCIA/DIV%20POAIV/POAIV%202025/ELIV%20KENNEDY/MATRIZ_POAIV_ELIV_KENNEDY_2025.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https://educacionbogota-my.sharepoint.com/personal/comunicacionesdiveliv_educacionbogota_gov_co/Documents/DIRECCION%20DE%20INSPECCION%20Y%20VIGILANCIA/DIV%20POAIV/POAIV%202025/ELIV%20LOS%20M&#193;RTIRES/MATRIZ_POAIV_ELIV_LOS%20M&#193;RTIRES_2025%20130325.xlsx" TargetMode="External"/><Relationship Id="rId2" Type="http://schemas.microsoft.com/office/2019/04/relationships/externalLinkLongPath" Target="/personal/comunicacionesdiveliv_educacionbogota_gov_co/Documents/DIRECCION%20DE%20INSPECCION%20Y%20VIGILANCIA/DIV%20POAIV/POAIV%202025/ELIV%20LOS%20M&#193;RTIRES/MATRIZ_POAIV_ELIV_LOS%20M&#193;RTIRES_2025%20130325.xlsx?842FE674" TargetMode="External"/><Relationship Id="rId1" Type="http://schemas.openxmlformats.org/officeDocument/2006/relationships/externalLinkPath" Target="file:///\\842FE674\MATRIZ_POAIV_ELIV_LOS%20M&#193;RTIRES_2025%20130325.xlsx" TargetMode="External"/><Relationship Id="rId4" Type="http://schemas.openxmlformats.org/officeDocument/2006/relationships/externalLinkPath" Target="../../../../../../personal/comunicacionesdiveliv_educacionbogota_gov_co/Documents/DIRECCION%20DE%20INSPECCION%20Y%20VIGILANCIA/DIV%20POAIV/POAIV%202025/ELIV%20LOS%20M&#193;RTIRES/MATRIZ_POAIV_ELIV_LOS%20M&#193;RTIRES_2025%20130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ARSZ2SAKL75B3Y2QG5BA6G5YU">
      <xxl21:absoluteUrl r:id="rId2"/>
      <xxl21:relativeUrl r:id="rId3"/>
    </xxl21:alternateUrls>
    <sheetNames>
      <sheetName val="PRIORIZADOS"/>
      <sheetName val="DEMANDA"/>
      <sheetName val="MESAS DIRECTIVOS IE"/>
      <sheetName val="MANUALES DE CONVIVENCIA IED"/>
      <sheetName val="OPERACIONES-ACTIVIDADES"/>
      <sheetName val="PEGRCC Y GOBIERNOS ESCOLARES"/>
      <sheetName val="COLEGIOS"/>
      <sheetName val="LISTAS"/>
      <sheetName val="ACTIVIDADES  "/>
      <sheetName val="OTRAS ACTIVIDADES "/>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15. ANTONIO NARIÑO</v>
          </cell>
          <cell r="G5"/>
          <cell r="H5"/>
          <cell r="I5"/>
          <cell r="J5"/>
          <cell r="K5"/>
          <cell r="L5"/>
          <cell r="M5"/>
          <cell r="N5"/>
          <cell r="O5"/>
          <cell r="P5"/>
          <cell r="Q5"/>
          <cell r="R5"/>
          <cell r="S5"/>
          <cell r="T5"/>
          <cell r="U5"/>
        </row>
        <row r="6">
          <cell r="A6" t="str">
            <v>COMPONENTE DE FORMULACIÓN (PLANEACIÓN DE VISITAS, ACTUACIONES O INTERVENCIONES A LOS ESTABLECIMIENTOS EDUCATIVOS)</v>
          </cell>
          <cell r="B6"/>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Unico</v>
          </cell>
          <cell r="B7" t="str">
            <v>NÚMERO DE EE
(Enumere los EE que serán visitados en el período)</v>
          </cell>
          <cell r="C7" t="str">
            <v>EQUIPO LOCAL</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seguimiento y/o verificación realizada o por realizar sobre los compromisos o PMI acordados)</v>
          </cell>
        </row>
        <row r="8">
          <cell r="A8">
            <v>1</v>
          </cell>
          <cell r="B8">
            <v>1</v>
          </cell>
          <cell r="C8" t="str">
            <v>ANTONIO NARIÑO</v>
          </cell>
          <cell r="D8" t="str">
            <v>PRIVADO</v>
          </cell>
          <cell r="E8" t="str">
            <v>Educación de Jóvenes y Adultos</v>
          </cell>
          <cell r="F8" t="str">
            <v>COLEGIO_CENCOSISTEMAS</v>
          </cell>
          <cell r="G8" t="str">
            <v>COLEGIO CENCOSISTEMAS</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JOHN JAIRO BOBADILLA BERMEO</v>
          </cell>
          <cell r="L8" t="str">
            <v>ORLANDO SUÁREZ SOTO
JOSÉ RODRIGO QUILAGUY BERNAL
JOHN JAIRO BOBADILLA BERMEO</v>
          </cell>
          <cell r="M8">
            <v>45860</v>
          </cell>
          <cell r="N8">
            <v>45790</v>
          </cell>
          <cell r="O8">
            <v>45790</v>
          </cell>
          <cell r="P8" t="str">
            <v>Visitas de evaluación con fines de seguimiento</v>
          </cell>
          <cell r="Q8" t="str">
            <v>06. Acta de visita Integral - Col. CENCOSISTEMAS.pdf</v>
          </cell>
          <cell r="R8" t="str">
            <v>La información registrada en la autoevaluación institucional, en el EVI, corresponde con lo autorizado en su resolución de tarifas educativas y en el contrato de prestación de servicios; sin embargo, frente al pago se seguridad social se evidencian planillas de aportes independiente.</v>
          </cell>
          <cell r="S8" t="str">
            <v xml:space="preserve">Vincular al personal mediante contrato laboral  que permita el cumplimiento de la instensidad horaria, y garantizar el pago de los aportes a seguridad social. </v>
          </cell>
          <cell r="T8" t="str">
            <v>Si</v>
          </cell>
          <cell r="U8" t="str">
            <v>Verificar las acciones definidas en el plan de mejoramiento una vez sea presentado 06.06.2025
Se realiza seguimiento del PMI, evidenciándose avance, conforme a lo orientado. (16/09/2025) Ver Carpeta POAIV - TRIM III</v>
          </cell>
        </row>
        <row r="9">
          <cell r="A9">
            <v>2</v>
          </cell>
          <cell r="B9"/>
          <cell r="C9" t="str">
            <v>ANTONIO NARIÑO</v>
          </cell>
          <cell r="D9" t="str">
            <v>PRIVADO</v>
          </cell>
          <cell r="E9" t="str">
            <v>Educación de Jóvenes y Adultos</v>
          </cell>
          <cell r="F9" t="str">
            <v>COLEGIO_CENCOSISTEMAS</v>
          </cell>
          <cell r="G9" t="str">
            <v>COLEGIO CENCOSISTEMAS</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JOHN JAIRO BOBADILLA BERMEO</v>
          </cell>
          <cell r="L9" t="str">
            <v>ORLANDO SUÁREZ SOTO
JOSÉ RODRIGO QUILAGUY BERNAL
JOHN JAIRO BOBADILLA BERMEO</v>
          </cell>
          <cell r="M9">
            <v>45860</v>
          </cell>
          <cell r="N9">
            <v>45790</v>
          </cell>
          <cell r="O9">
            <v>45790</v>
          </cell>
          <cell r="P9" t="str">
            <v>Visitas de evaluación con fines de seguimiento</v>
          </cell>
          <cell r="Q9" t="str">
            <v>06. Acta de visita Integral - Col. CENCOSISTEMAS.pdf</v>
          </cell>
          <cell r="R9" t="str">
            <v>La IE ha revisado los resultados de pruebas Saber 11 pero, no ha realizado un análisis que permita establecer acciones de mejoramiento de sus procesos académico administrativos.</v>
          </cell>
          <cell r="S9" t="str">
            <v xml:space="preserve">Realizar el análisis de resultados de pruebas Saber 11 y establecer actualización de sus mallas curriculares, planes de estudios y planes de aula </v>
          </cell>
          <cell r="T9" t="str">
            <v>Si</v>
          </cell>
          <cell r="U9" t="str">
            <v>Verificar las acciones definidas en el plan de mejoramiento una vez sea presentado 06.06.2025</v>
          </cell>
        </row>
        <row r="10">
          <cell r="A10">
            <v>3</v>
          </cell>
          <cell r="B10"/>
          <cell r="C10" t="str">
            <v>ANTONIO NARIÑO</v>
          </cell>
          <cell r="D10" t="str">
            <v>PRIVADO</v>
          </cell>
          <cell r="E10" t="str">
            <v>Educación de Jóvenes y Adultos</v>
          </cell>
          <cell r="F10" t="str">
            <v>COLEGIO_CENCOSISTEMAS</v>
          </cell>
          <cell r="G10" t="str">
            <v>COLEGIO CENCOSISTEMAS</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JOHN JAIRO BOBADILLA BERMEO</v>
          </cell>
          <cell r="L10" t="str">
            <v>ORLANDO SUÁREZ SOTO
JOSÉ RODRIGO QUILAGUY BERNAL
JOHN JAIRO BOBADILLA BERMEO</v>
          </cell>
          <cell r="M10">
            <v>45860</v>
          </cell>
          <cell r="N10">
            <v>45790</v>
          </cell>
          <cell r="O10">
            <v>45790</v>
          </cell>
          <cell r="P10" t="str">
            <v>Visitas de evaluación con fines de seguimiento</v>
          </cell>
          <cell r="Q10" t="str">
            <v>06. Acta de visita Integral - Col. CENCOSISTEMAS.pdf</v>
          </cell>
          <cell r="R10" t="str">
            <v>Se evidencio que  realizan consulta  de antecedentes de delitos sexuales del personal docente y administrativo; no obstante, no se encuentra evidencia de la operatividad del Comité de Convivencia Escolar.</v>
          </cell>
          <cell r="S10" t="str">
            <v xml:space="preserve">Continuar haciendo la consulta de antecedentes con la periodicidad establecida (cada 4 meses). Poner en funcionamiento el Comite de Convivencia para la implementación de acciones de prevención y atención de situaciones de convivencia en el entorno escolar. </v>
          </cell>
          <cell r="T10" t="str">
            <v>Si</v>
          </cell>
          <cell r="U10" t="str">
            <v>Verificar las acciones definidas en el plan de mejoramiento una vez sea presentado 06.06.2025
Se realiza seguimiento del PMI, evidenciándose avance, conforme a lo orientado. (16/09/2025) Ver Carpeta POAIV - TRIM III</v>
          </cell>
        </row>
        <row r="11">
          <cell r="A11">
            <v>4</v>
          </cell>
          <cell r="B11"/>
          <cell r="C11" t="str">
            <v>ANTONIO NARIÑO</v>
          </cell>
          <cell r="D11" t="str">
            <v>PRIVADO</v>
          </cell>
          <cell r="E11" t="str">
            <v>Educación de Jóvenes y Adultos</v>
          </cell>
          <cell r="F11" t="str">
            <v>COLEGIO_CENCOSISTEMAS</v>
          </cell>
          <cell r="G11" t="str">
            <v>COLEGIO CENCOSISTEMAS</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JOHN JAIRO BOBADILLA BERMEO</v>
          </cell>
          <cell r="L11" t="str">
            <v>ORLANDO SUÁREZ SOTO
JOSÉ RODRIGO QUILAGUY BERNAL
JOHN JAIRO BOBADILLA BERMEO</v>
          </cell>
          <cell r="M11">
            <v>45860</v>
          </cell>
          <cell r="N11">
            <v>45790</v>
          </cell>
          <cell r="O11">
            <v>45790</v>
          </cell>
          <cell r="P11" t="str">
            <v>Visitas de evaluación con fines de seguimiento</v>
          </cell>
          <cell r="Q11" t="str">
            <v>06. Acta de visita Integral - Col. CENCOSISTEMAS.pdf</v>
          </cell>
          <cell r="R11" t="str">
            <v xml:space="preserve">La IE no cuenta con la caracterización de estudiantes de inclusión y la implementación de Planes Individuales de Ajustes Razonables PIAR. </v>
          </cell>
          <cell r="S11" t="str">
            <v>Realizar la caracterización de estudiantes de inclusión e implementar los respectivos Planes Individuales de Ajustes Razonables PIAR.</v>
          </cell>
          <cell r="T11" t="str">
            <v>Si</v>
          </cell>
          <cell r="U11" t="str">
            <v>Verificar las acciones definidas en el plan de mejoramiento una vez sea presentado 06.06.2025
Se realiza seguimiento del PMI, evidenciándose avance, conforme a lo orientado. (16/09/2025) Ver Carpeta POAIV - TRIM III</v>
          </cell>
        </row>
        <row r="12">
          <cell r="A12">
            <v>5</v>
          </cell>
          <cell r="B12"/>
          <cell r="C12" t="str">
            <v>ANTONIO NARIÑO</v>
          </cell>
          <cell r="D12" t="str">
            <v>PRIVADO</v>
          </cell>
          <cell r="E12" t="str">
            <v>Educación de Jóvenes y Adultos</v>
          </cell>
          <cell r="F12" t="str">
            <v>COLEGIO_CENCOSISTEMAS</v>
          </cell>
          <cell r="G12" t="str">
            <v>COLEGIO CENCOSISTEMAS</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JOHN JAIRO BOBADILLA BERMEO</v>
          </cell>
          <cell r="L12" t="str">
            <v>ORLANDO SUÁREZ SOTO
JOSÉ RODRIGO QUILAGUY BERNAL
JOHN JAIRO BOBADILLA BERMEO</v>
          </cell>
          <cell r="M12">
            <v>45860</v>
          </cell>
          <cell r="N12">
            <v>45790</v>
          </cell>
          <cell r="O12">
            <v>45790</v>
          </cell>
          <cell r="P12" t="str">
            <v>Visitas de evaluación con fines de mejoramiento</v>
          </cell>
          <cell r="Q12" t="str">
            <v>06. Acta de visita Integral - Col. CENCOSISTEMAS.pdf</v>
          </cell>
          <cell r="R12" t="str">
            <v>El Manual de Convivencia no se encuentra actualizado, se requiere realizar ajustes en cuanto a los componentes  normativos y enfoques (restaurativo  de diversidad y   de derechos).</v>
          </cell>
          <cell r="S12" t="str">
            <v xml:space="preserve">Realizar la actualización anual del Manual de Convivencia con la participación de la Comunidad Educativa, teniendo en cuenta  los  componentes normativos,  los enfoques restaurativo  de diversidad y  de derechos. </v>
          </cell>
          <cell r="T12" t="str">
            <v>Si</v>
          </cell>
          <cell r="U12" t="str">
            <v>Verificar las acciones definidas en el plan de mejoramiento una vez sea presentado 06.06.2025 
Se realiza seguimiento del PMI, evidenciándose avance, conforme a lo orientado. (16/09/2025) Ver Carpeta POAIV - TRIM III</v>
          </cell>
        </row>
        <row r="13">
          <cell r="A13">
            <v>6</v>
          </cell>
          <cell r="B13"/>
          <cell r="C13" t="str">
            <v>ANTONIO NARIÑO</v>
          </cell>
          <cell r="D13" t="str">
            <v>PRIVADO</v>
          </cell>
          <cell r="E13" t="str">
            <v>Educación de Jóvenes y Adultos</v>
          </cell>
          <cell r="F13" t="str">
            <v>COLEGIO_CENCOSISTEMAS</v>
          </cell>
          <cell r="G13" t="str">
            <v>COLEGIO CENCOSISTEMAS</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JOHN JAIRO BOBADILLA BERMEO</v>
          </cell>
          <cell r="L13" t="str">
            <v>ORLANDO SUÁREZ SOTO
JOSÉ RODRIGO QUILAGUY BERNAL
JOHN JAIRO BOBADILLA BERMEO</v>
          </cell>
          <cell r="M13">
            <v>45860</v>
          </cell>
          <cell r="N13">
            <v>45790</v>
          </cell>
          <cell r="O13">
            <v>45790</v>
          </cell>
          <cell r="P13" t="str">
            <v>Visitas de evaluación con fines de mejoramiento</v>
          </cell>
          <cell r="Q13" t="str">
            <v>06. Acta de visita Integral - Col. CENCOSISTEMAS.pdf</v>
          </cell>
          <cell r="R13" t="str">
            <v>El SIEE no cuenta con el protocolo para que los estudiantes y padres familia puedan presentar un reclamo sobre una nota. Decreto 1075 de 2015. El boletín de notas no debe contener la valoración de los proyectos transversales, sólo asignaturas y áreas.</v>
          </cell>
          <cell r="S13" t="str">
            <v>Verificar cada uno de los componentes del SIEE indicados en el Decreto 1075 de 2015 y ajustar el Boletin de notas a la normatividad vigente.</v>
          </cell>
          <cell r="T13" t="str">
            <v>Si</v>
          </cell>
          <cell r="U13" t="str">
            <v>Verificar las acciones definidas en el plan de mejoramiento una vez sea presentado 06.06.2025, en particular el ajuste al boletin de calificaciones. 
Se realiza seguimiento del PMI, evidenciándose avance, conforme a lo orientado. (16/09/2025) Ver Carpeta POAIV - TRIM III</v>
          </cell>
        </row>
        <row r="14">
          <cell r="A14">
            <v>7</v>
          </cell>
          <cell r="B14"/>
          <cell r="C14" t="str">
            <v>ANTONIO NARIÑO</v>
          </cell>
          <cell r="D14" t="str">
            <v>PRIVADO</v>
          </cell>
          <cell r="E14" t="str">
            <v>Educación de Jóvenes y Adultos</v>
          </cell>
          <cell r="F14" t="str">
            <v>COLEGIO_CENCOSISTEMAS</v>
          </cell>
          <cell r="G14" t="str">
            <v>COLEGIO CENCOSISTEMAS</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JOHN JAIRO BOBADILLA BERMEO</v>
          </cell>
          <cell r="L14" t="str">
            <v>ORLANDO SUÁREZ SOTO
JOSÉ RODRIGO QUILAGUY BERNAL
JOHN JAIRO BOBADILLA BERMEO</v>
          </cell>
          <cell r="M14">
            <v>45860</v>
          </cell>
          <cell r="N14">
            <v>45790</v>
          </cell>
          <cell r="O14">
            <v>45790</v>
          </cell>
          <cell r="P14" t="str">
            <v>Visitas de evaluación con fines de mejoramiento</v>
          </cell>
          <cell r="Q14" t="str">
            <v>06. Acta de visita Integral - Col. CENCOSISTEMAS.pdf</v>
          </cell>
          <cell r="R14" t="str">
            <v>La IE cuenta con una intensidad horaria inferior a la indicada por la normatividad vigente que corresponde a 800 horas. Actualmente se cuenta con 764 horas.</v>
          </cell>
          <cell r="S14" t="str">
            <v>Ajustar, socializar e implemetar el  calendario académico de manera que  cumpla con la intensidad horaria indicada en  la normatividad vigente.</v>
          </cell>
          <cell r="T14" t="str">
            <v>Si</v>
          </cell>
          <cell r="U14" t="str">
            <v>Verificar las acciones definidas en el plan de mejoramiento una vez sea presentado 06.06.2025</v>
          </cell>
        </row>
        <row r="15">
          <cell r="A15">
            <v>8</v>
          </cell>
          <cell r="B15"/>
          <cell r="C15" t="str">
            <v>ANTONIO NARIÑO</v>
          </cell>
          <cell r="D15" t="str">
            <v>PRIVADO</v>
          </cell>
          <cell r="E15" t="str">
            <v>Educación de Jóvenes y Adultos</v>
          </cell>
          <cell r="F15" t="str">
            <v>COLEGIO_CENCOSISTEMAS</v>
          </cell>
          <cell r="G15" t="str">
            <v>COLEGIO CENCOSISTEMAS</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JOHN JAIRO BOBADILLA BERMEO</v>
          </cell>
          <cell r="L15" t="str">
            <v>ORLANDO SUÁREZ SOTO
JOSÉ RODRIGO QUILAGUY BERNAL
JOHN JAIRO BOBADILLA BERMEO</v>
          </cell>
          <cell r="M15">
            <v>45860</v>
          </cell>
          <cell r="N15">
            <v>45790</v>
          </cell>
          <cell r="O15">
            <v>45790</v>
          </cell>
          <cell r="P15" t="str">
            <v>Visitas de evaluación con fines de mejoramiento</v>
          </cell>
          <cell r="Q15" t="str">
            <v>06. Acta de visita Integral - Col. CENCOSISTEMAS.pdf</v>
          </cell>
          <cell r="R15" t="str">
            <v>No se evidencia conformación ni operatividad del Gobierno Escolar  ni de las instancias de participación de la comunidad educativa.</v>
          </cell>
          <cell r="S15" t="str">
            <v>Se requiere adelantar las acciones pertinentes para activar la particiación del Gobierno Escolar y las instancias de participación de la comunidad educativa, dejando evidencia en actas de cada instancia.</v>
          </cell>
          <cell r="T15" t="str">
            <v>Si</v>
          </cell>
          <cell r="U15" t="str">
            <v xml:space="preserve">Verificar las acciones definidas en el plan de mejoramiento una vez sea presentado 06.06.2025. Remitir las actas que dan cuenta del funcionamiento del Gobierno Escolar </v>
          </cell>
        </row>
        <row r="16">
          <cell r="A16">
            <v>9</v>
          </cell>
          <cell r="B16"/>
          <cell r="C16" t="str">
            <v>ANTONIO NARIÑO</v>
          </cell>
          <cell r="D16" t="str">
            <v>PRIVADO</v>
          </cell>
          <cell r="E16" t="str">
            <v>Educación de Jóvenes y Adultos</v>
          </cell>
          <cell r="F16" t="str">
            <v>COLEGIO_CENCOSISTEMAS</v>
          </cell>
          <cell r="G16" t="str">
            <v>COLEGIO CENCOSISTEMAS</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JOHN JAIRO BOBADILLA BERMEO</v>
          </cell>
          <cell r="L16" t="str">
            <v>ORLANDO SUÁREZ SOTO
JOSÉ RODRIGO QUILAGUY BERNAL
JOHN JAIRO BOBADILLA BERMEO</v>
          </cell>
          <cell r="M16">
            <v>45860</v>
          </cell>
          <cell r="N16">
            <v>45790</v>
          </cell>
          <cell r="O16">
            <v>45790</v>
          </cell>
          <cell r="P16" t="str">
            <v>Visitas de evaluación con fines de mejoramiento</v>
          </cell>
          <cell r="Q16" t="str">
            <v>06. Acta de visita Integral - Col. CENCOSISTEMAS.pdf</v>
          </cell>
          <cell r="R16" t="str">
            <v xml:space="preserve">La dotacion en los ambientes de aprendizaje no es suficiente y no tiene en cuenta a la población con discapacidad. </v>
          </cell>
          <cell r="S16" t="str">
            <v>Adelantar acciones en el ajuste de infraestructura  que permitan el acceso y la participación activa de estudiantes de inclusión en los distintos ambientes escolares.</v>
          </cell>
          <cell r="T16" t="str">
            <v>Si</v>
          </cell>
          <cell r="U16" t="str">
            <v>Verificar las acciones definidas en el plan de mejoramiento una vez sea presentado 06.06.2025</v>
          </cell>
        </row>
        <row r="17">
          <cell r="A17">
            <v>10</v>
          </cell>
          <cell r="B17">
            <v>2</v>
          </cell>
          <cell r="C17" t="str">
            <v>ANTONIO NARIÑO</v>
          </cell>
          <cell r="D17" t="str">
            <v>PRIVADO</v>
          </cell>
          <cell r="E17" t="str">
            <v>Educación de Jóvenes y Adultos</v>
          </cell>
          <cell r="F17" t="str">
            <v>CENTRO_PANAMERICANO_DE_CAPACITACION</v>
          </cell>
          <cell r="G17" t="str">
            <v>CENTRO PANAMERICANO DE CAPACITACION</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JOSÉ RODRIGO QUILAGUY BERNAL</v>
          </cell>
          <cell r="L17" t="str">
            <v>ORLANDO SUÁREZ SOTO
JOSÉ RODRIGO QUILAGUY BERNAL
JOHN JAIRO BOBADILLA BERMEO</v>
          </cell>
          <cell r="M17">
            <v>45755</v>
          </cell>
          <cell r="N17">
            <v>45755</v>
          </cell>
          <cell r="O17">
            <v>45755</v>
          </cell>
          <cell r="P17" t="str">
            <v>Visitas de evaluación con fines de seguimiento</v>
          </cell>
          <cell r="Q17" t="str">
            <v>04. Acta de visita Integral - Col. Ctro Panamericano de Capacitación.pdf</v>
          </cell>
          <cell r="R17" t="str">
            <v>IE presenta falta de documentación de procesos, lo que imposibilita una autoevaluación institucional integral y la formulación de un PMI.</v>
          </cell>
          <cell r="S17" t="str">
            <v>La falta de documentación de procesos en la IE impide la autoevaluación integral y el PMI. Es crucial implementar mecanismos para ambos, asegurando la mejora continua y la alineación con el contexto y la inclusión.</v>
          </cell>
          <cell r="T17" t="str">
            <v>Si</v>
          </cell>
          <cell r="U17" t="str">
            <v>Verificar las acciones definidas en el plan de mejoramiento una vez sea presentado 02.05.2025
Se realiza seguimiento del PMI, se realizan observaciones y retroalimentación frente a la documentación presentada, conforme a lo orientado. (30/09/2025) Ver Carpeta POAIV - TRIM III</v>
          </cell>
        </row>
        <row r="18">
          <cell r="A18">
            <v>11</v>
          </cell>
          <cell r="B18"/>
          <cell r="C18" t="str">
            <v>ANTONIO NARIÑO</v>
          </cell>
          <cell r="D18" t="str">
            <v>PRIVADO</v>
          </cell>
          <cell r="E18" t="str">
            <v>Educación de Jóvenes y Adultos</v>
          </cell>
          <cell r="F18" t="str">
            <v>CENTRO_PANAMERICANO_DE_CAPACITACION</v>
          </cell>
          <cell r="G18" t="str">
            <v>CENTRO PANAMERICANO DE CAPACITACION</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JOSÉ RODRIGO QUILAGUY BERNAL</v>
          </cell>
          <cell r="L18" t="str">
            <v>ORLANDO SUÁREZ SOTO
JOSÉ RODRIGO QUILAGUY BERNAL
JOHN JAIRO BOBADILLA BERMEO</v>
          </cell>
          <cell r="M18">
            <v>45755</v>
          </cell>
          <cell r="N18">
            <v>45755</v>
          </cell>
          <cell r="O18">
            <v>45755</v>
          </cell>
          <cell r="P18" t="str">
            <v>Visitas de evaluación con fines de seguimiento</v>
          </cell>
          <cell r="Q18" t="str">
            <v>04. Acta de visita Integral - Col. Ctro Panamericano de Capacitación.pdf</v>
          </cell>
          <cell r="R18" t="str">
            <v>La IE no ha realizado un análisis integral de los resultados recientes de las pruebas SABER 11. Se requiere que la IE documente los procesos necesarios para el análisis de esta información y la elaboración de Planes de Mejoramiento Institucional (PMI) basados en dichos análisis.</v>
          </cell>
          <cell r="S18" t="str">
            <v>La IE se compromete a documentar los procesos para el análisis integral de los resultados de las pruebas SABER 11 y a utilizar esta información para la formulación de Planes de Mejoramiento Institucional (PMI) efectivos.</v>
          </cell>
          <cell r="T18" t="str">
            <v>Si</v>
          </cell>
          <cell r="U18" t="str">
            <v>Verificar las acciones definidas en el plan de mejoramiento una vez sea presentado 02.05.2025
Se realiza seguimiento del PMI, se realizan observaciones y retroalimentación frente a la documentación presentada, conforme a lo orientado. (30/09/2025) Ver Carpeta POAIV - TRIM III</v>
          </cell>
        </row>
        <row r="19">
          <cell r="A19">
            <v>12</v>
          </cell>
          <cell r="B19"/>
          <cell r="C19" t="str">
            <v>ANTONIO NARIÑO</v>
          </cell>
          <cell r="D19" t="str">
            <v>PRIVADO</v>
          </cell>
          <cell r="E19" t="str">
            <v>Educación de Jóvenes y Adultos</v>
          </cell>
          <cell r="F19" t="str">
            <v>CENTRO_PANAMERICANO_DE_CAPACITACION</v>
          </cell>
          <cell r="G19" t="str">
            <v>CENTRO PANAMERICANO DE CAPACITACION</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JOSÉ RODRIGO QUILAGUY BERNAL</v>
          </cell>
          <cell r="L19" t="str">
            <v>ORLANDO SUÁREZ SOTO
JOSÉ RODRIGO QUILAGUY BERNAL
JOHN JAIRO BOBADILLA BERMEO</v>
          </cell>
          <cell r="M19">
            <v>45755</v>
          </cell>
          <cell r="N19">
            <v>45755</v>
          </cell>
          <cell r="O19">
            <v>45755</v>
          </cell>
          <cell r="P19" t="str">
            <v>Visitas de evaluación con fines de seguimiento</v>
          </cell>
          <cell r="Q19" t="str">
            <v>04. Acta de visita Integral - Col. Ctro Panamericano de Capacitación.pdf</v>
          </cell>
          <cell r="R19" t="str">
            <v>Se verifica que la IE realiza consultas cuatrimestrales de inhabilidades por delitos sexuales del personal en la página de la Policía Nacional, con soporte documental en las hojas de vida, conforme a la Directiva 01 MEN 2022.</v>
          </cell>
          <cell r="S19" t="str">
            <v>La IE cumple con la Directiva 01 MEN 2022 al realizar la consulta de inhabilidades por delitos sexuales del personal con la periodicidad requerida y mantener la documentación de estas verificaciones.</v>
          </cell>
          <cell r="T19" t="str">
            <v>No</v>
          </cell>
          <cell r="U19" t="str">
            <v>Se realizará nueva verificación en caso de requerirse o por queja.</v>
          </cell>
        </row>
        <row r="20">
          <cell r="A20">
            <v>13</v>
          </cell>
          <cell r="B20"/>
          <cell r="C20" t="str">
            <v>ANTONIO NARIÑO</v>
          </cell>
          <cell r="D20" t="str">
            <v>PRIVADO</v>
          </cell>
          <cell r="E20" t="str">
            <v>Educación de Jóvenes y Adultos</v>
          </cell>
          <cell r="F20" t="str">
            <v>CENTRO_PANAMERICANO_DE_CAPACITACION</v>
          </cell>
          <cell r="G20" t="str">
            <v>CENTRO PANAMERICANO DE CAPACITACION</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JOSÉ RODRIGO QUILAGUY BERNAL</v>
          </cell>
          <cell r="L20" t="str">
            <v>ORLANDO SUÁREZ SOTO
JOSÉ RODRIGO QUILAGUY BERNAL
JOHN JAIRO BOBADILLA BERMEO</v>
          </cell>
          <cell r="M20">
            <v>45755</v>
          </cell>
          <cell r="N20">
            <v>45755</v>
          </cell>
          <cell r="O20">
            <v>45755</v>
          </cell>
          <cell r="P20" t="str">
            <v>Visitas de evaluación con fines de seguimiento</v>
          </cell>
          <cell r="Q20" t="str">
            <v>04. Acta de visita Integral - Col. Ctro Panamericano de Capacitación.pdf</v>
          </cell>
          <cell r="R20" t="str">
            <v>No se encontraron Planes Individuales de Ajustes Razonables (PIAR) para estudiantes con discapacidad en la documentación. En su lugar, se hallaron planeaciones por asignatura.</v>
          </cell>
          <cell r="S20" t="str">
            <v>La IE se compromete a elaborar e implementar los Planes Individuales de Ajustes Razonables (PIAR) para los estudiantes con discapacidad, diferenciándolos de las planeaciones de asignatura.</v>
          </cell>
          <cell r="T20" t="str">
            <v>Si</v>
          </cell>
          <cell r="U20" t="str">
            <v>Verificar las acciones definidas en el plan de mejoramiento una vez sea presentado 02.05.2025
Se realiza seguimiento del PMI, se realizan observaciones y retroalimentación frente a la documentación presentada, conforme a lo orientado. (30/09/2025) Ver Carpeta POAIV - TRIM III</v>
          </cell>
        </row>
        <row r="21">
          <cell r="A21">
            <v>14</v>
          </cell>
          <cell r="B21"/>
          <cell r="C21" t="str">
            <v>ANTONIO NARIÑO</v>
          </cell>
          <cell r="D21" t="str">
            <v>PRIVADO</v>
          </cell>
          <cell r="E21" t="str">
            <v>Educación de Jóvenes y Adultos</v>
          </cell>
          <cell r="F21" t="str">
            <v>CENTRO_PANAMERICANO_DE_CAPACITACION</v>
          </cell>
          <cell r="G21" t="str">
            <v>CENTRO PANAMERICANO DE CAPACITACION</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JOSÉ RODRIGO QUILAGUY BERNAL</v>
          </cell>
          <cell r="L21" t="str">
            <v>ORLANDO SUÁREZ SOTO
JOSÉ RODRIGO QUILAGUY BERNAL
JOHN JAIRO BOBADILLA BERMEO</v>
          </cell>
          <cell r="M21">
            <v>45755</v>
          </cell>
          <cell r="N21">
            <v>45755</v>
          </cell>
          <cell r="O21">
            <v>45755</v>
          </cell>
          <cell r="P21" t="str">
            <v>Visitas de evaluación con fines de mejoramiento</v>
          </cell>
          <cell r="Q21" t="str">
            <v>04. Acta de visita Integral - Col. Ctro Panamericano de Capacitación.pdf</v>
          </cell>
          <cell r="R21" t="str">
            <v>El Manual de Convivencia (MC) de la IE muestra participación en su construcción y describe el respeto y enfoque restaurativo, socializados en reuniones. Sin embargo, no se actualiza desde 2021, incumpliendo su revisión anual. Se requiere actualizar el MC, registrando avances, ajustes y su socialización</v>
          </cell>
          <cell r="S21" t="str">
            <v>La IE se compromete a actualizar el Manual de Convivencia, registrando los avances y ajustes pertinentes, y a garantizar su adecuada socialización a la comunidad educativa, subsanando la falta de actualización desde 2021.</v>
          </cell>
          <cell r="T21" t="str">
            <v>Si</v>
          </cell>
          <cell r="U21" t="str">
            <v>Verificar las acciones definidas en el plan de mejoramiento una vez sea presentado 02.05.2025
Se realiza seguimiento del PMI, se realizan observaciones y retroalimentación frente a la documentación presentada, conforme a lo orientado. (30/09/2025) Ver Carpeta POAIV - TRIM III</v>
          </cell>
        </row>
        <row r="22">
          <cell r="A22">
            <v>15</v>
          </cell>
          <cell r="B22"/>
          <cell r="C22" t="str">
            <v>ANTONIO NARIÑO</v>
          </cell>
          <cell r="D22" t="str">
            <v>PRIVADO</v>
          </cell>
          <cell r="E22" t="str">
            <v>Educación de Jóvenes y Adultos</v>
          </cell>
          <cell r="F22" t="str">
            <v>CENTRO_PANAMERICANO_DE_CAPACITACION</v>
          </cell>
          <cell r="G22" t="str">
            <v>CENTRO PANAMERICANO DE CAPACITACION</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JOSÉ RODRIGO QUILAGUY BERNAL</v>
          </cell>
          <cell r="L22" t="str">
            <v>ORLANDO SUÁREZ SOTO
JOSÉ RODRIGO QUILAGUY BERNAL
JOHN JAIRO BOBADILLA BERMEO</v>
          </cell>
          <cell r="M22">
            <v>45755</v>
          </cell>
          <cell r="N22">
            <v>45755</v>
          </cell>
          <cell r="O22">
            <v>45755</v>
          </cell>
          <cell r="P22" t="str">
            <v>Visitas de evaluación con fines de mejoramiento</v>
          </cell>
          <cell r="Q22" t="str">
            <v>04. Acta de visita Integral - Col. Ctro Panamericano de Capacitación.pdf</v>
          </cell>
          <cell r="R22" t="str">
            <v>Se evidencia la ejecución y registro de información del SIEE (seguimiento, ponderación, recuperación). Se constatan estrategias de apoyo pedagógico y estrategias de nivelación y mejoramiento de aprendizajes implementadas en la IE.</v>
          </cell>
          <cell r="S22" t="str">
            <v>La IE demuestra la ejecución y el registro de información del SIEE, así como la implementación de estrategias de apoyo pedagógico y de nivelación para los estudiantes.</v>
          </cell>
          <cell r="T22" t="str">
            <v>No</v>
          </cell>
          <cell r="U22" t="str">
            <v>Se realizará nueva verificación en caso de requerirse o por queja.</v>
          </cell>
        </row>
        <row r="23">
          <cell r="A23">
            <v>16</v>
          </cell>
          <cell r="B23"/>
          <cell r="C23" t="str">
            <v>ANTONIO NARIÑO</v>
          </cell>
          <cell r="D23" t="str">
            <v>PRIVADO</v>
          </cell>
          <cell r="E23" t="str">
            <v>Educación de Jóvenes y Adultos</v>
          </cell>
          <cell r="F23" t="str">
            <v>CENTRO_PANAMERICANO_DE_CAPACITACION</v>
          </cell>
          <cell r="G23" t="str">
            <v>CENTRO PANAMERICANO DE CAPACITACION</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JOSÉ RODRIGO QUILAGUY BERNAL</v>
          </cell>
          <cell r="L23" t="str">
            <v>ORLANDO SUÁREZ SOTO
JOSÉ RODRIGO QUILAGUY BERNAL
JOHN JAIRO BOBADILLA BERMEO</v>
          </cell>
          <cell r="M23">
            <v>45755</v>
          </cell>
          <cell r="N23">
            <v>45755</v>
          </cell>
          <cell r="O23">
            <v>45755</v>
          </cell>
          <cell r="P23" t="str">
            <v>Visitas de evaluación con fines de mejoramiento</v>
          </cell>
          <cell r="Q23" t="str">
            <v>04. Acta de visita Integral - Col. Ctro Panamericano de Capacitación.pdf</v>
          </cell>
          <cell r="R23" t="str">
            <v>Se constata que la Institución Educativa garantiza el cumplimiento de la intensidad horaria mínima anual para todos los niveles educativos que ofrece.</v>
          </cell>
          <cell r="S23" t="str">
            <v>La IE asegura el cumplimiento de la intensidad horaria mínima anual establecida para cada uno de sus niveles educativos.</v>
          </cell>
          <cell r="T23" t="str">
            <v>No</v>
          </cell>
          <cell r="U23" t="str">
            <v>Se realizará nueva verificación en caso de requerirse o por queja.</v>
          </cell>
        </row>
        <row r="24">
          <cell r="A24">
            <v>17</v>
          </cell>
          <cell r="B24"/>
          <cell r="C24" t="str">
            <v>ANTONIO NARIÑO</v>
          </cell>
          <cell r="D24" t="str">
            <v>PRIVADO</v>
          </cell>
          <cell r="E24" t="str">
            <v>Educación de Jóvenes y Adultos</v>
          </cell>
          <cell r="F24" t="str">
            <v>CENTRO_PANAMERICANO_DE_CAPACITACION</v>
          </cell>
          <cell r="G24" t="str">
            <v>CENTRO PANAMERICANO DE CAPACITACION</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JOSÉ RODRIGO QUILAGUY BERNAL</v>
          </cell>
          <cell r="L24" t="str">
            <v>ORLANDO SUÁREZ SOTO
JOSÉ RODRIGO QUILAGUY BERNAL
JOHN JAIRO BOBADILLA BERMEO</v>
          </cell>
          <cell r="M24">
            <v>45755</v>
          </cell>
          <cell r="N24">
            <v>45755</v>
          </cell>
          <cell r="O24">
            <v>45755</v>
          </cell>
          <cell r="P24" t="str">
            <v>Visitas de evaluación con fines de mejoramiento</v>
          </cell>
          <cell r="Q24" t="str">
            <v>04. Acta de visita Integral - Col. Ctro Panamericano de Capacitación.pdf</v>
          </cell>
          <cell r="R24" t="str">
            <v>La IE conformó el gobierno escolar (Consejo Directivo y Académico) y existen actas de operatividad en 2024 (2 actas c/u). También conformó instancias de participación con reglamento interno (Consejo Estudiantil y Comité de Convivencia con 1 acta c/u en 2024). Se sugiere aumentar la periodicidad de las reuniones según las necesidades de la IE y el PEI.</v>
          </cell>
          <cell r="S24" t="str">
            <v>La IE tomará en consideración la sugerencia de incrementar la periodicidad de las reuniones del gobierno escolar y de las instancias de participación, asegurando que estas se realicen conforme a las necesidades institucionales y lo establecido en el Proyecto Educativo Institucional (PEI).</v>
          </cell>
          <cell r="T24" t="str">
            <v>No</v>
          </cell>
          <cell r="U24" t="str">
            <v>Se realizará nueva verificación en caso de requerirse o por queja.</v>
          </cell>
        </row>
        <row r="25">
          <cell r="A25">
            <v>18</v>
          </cell>
          <cell r="B25"/>
          <cell r="C25" t="str">
            <v>ANTONIO NARIÑO</v>
          </cell>
          <cell r="D25" t="str">
            <v>PRIVADO</v>
          </cell>
          <cell r="E25" t="str">
            <v>Educación de Jóvenes y Adultos</v>
          </cell>
          <cell r="F25" t="str">
            <v>CENTRO_PANAMERICANO_DE_CAPACITACION</v>
          </cell>
          <cell r="G25" t="str">
            <v>CENTRO PANAMERICANO DE CAPACITACION</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JOSÉ RODRIGO QUILAGUY BERNAL</v>
          </cell>
          <cell r="L25" t="str">
            <v>ORLANDO SUÁREZ SOTO
JOSÉ RODRIGO QUILAGUY BERNAL
JOHN JAIRO BOBADILLA BERMEO</v>
          </cell>
          <cell r="M25">
            <v>45755</v>
          </cell>
          <cell r="N25">
            <v>45755</v>
          </cell>
          <cell r="O25">
            <v>45755</v>
          </cell>
          <cell r="P25" t="str">
            <v>Visitas de evaluación con fines de mejoramiento</v>
          </cell>
          <cell r="Q25" t="str">
            <v>04. Acta de visita Integral - Col. Ctro Panamericano de Capacitación.pdf</v>
          </cell>
          <cell r="R25" t="str">
            <v>La IE no cuenta con biblioteca ni laboratorios, por lo que la dotación general no es suficiente para el número de estudiantes. El mobiliario, aunque operativo, presenta desgaste. Los espacios administrativos sí evidencian mantenimiento y buen estado</v>
          </cell>
          <cell r="S25" t="str">
            <v xml:space="preserve">La IE revisará la suficiencia y dotación de sus recursos, especialmente ante la falta de biblioteca y laboratorios. </v>
          </cell>
          <cell r="T25" t="str">
            <v>Si</v>
          </cell>
          <cell r="U25" t="str">
            <v>Verificar las acciones definidas en el plan de mejoramiento una vez sea presentado 02.05.2025
Se realiza seguimiento del PMI, se realizan observaciones y retroalimentación frente a la documentación presentada, conforme a lo orientado. (30/09/2025) Ver Carpeta POAIV - TRIM III</v>
          </cell>
        </row>
        <row r="26">
          <cell r="A26">
            <v>19</v>
          </cell>
          <cell r="B26">
            <v>3</v>
          </cell>
          <cell r="C26" t="str">
            <v>ANTONIO NARIÑO</v>
          </cell>
          <cell r="D26" t="str">
            <v>PRIVADO</v>
          </cell>
          <cell r="E26" t="str">
            <v>EPBM</v>
          </cell>
          <cell r="F26" t="str">
            <v>LICEO_MODERNO_WALT_WHITMAN</v>
          </cell>
          <cell r="G26" t="str">
            <v>LICEO MODERNO WALT WHITMAN</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ORLANDO SUÁREZ SOTO</v>
          </cell>
          <cell r="L26" t="str">
            <v>ORLANDO SUÁREZ SOTO
JOSÉ RODRIGO QUILAGUY BERNAL
JOHN JAIRO BOBADILLA BERMEO</v>
          </cell>
          <cell r="M26">
            <v>45736</v>
          </cell>
          <cell r="N26">
            <v>45736</v>
          </cell>
          <cell r="O26">
            <v>45736</v>
          </cell>
          <cell r="P26" t="str">
            <v>Visitas de evaluación con fines de seguimiento</v>
          </cell>
          <cell r="Q26" t="str">
            <v>02. Acta de visita Integral - Liceo Moderno Walt Withman.pdf</v>
          </cell>
          <cell r="R26" t="str">
            <v>La matricula  no guarda correspondencia entre lo reportado en el EVI y la oferta educativa, dado que se evidencia que existen grupos, reportados por las directivas, en sedes no autorizadas.</v>
          </cell>
          <cell r="S26" t="str">
            <v>La Intitucion Educativa, se compromete en trámitar el proceso para la legalizacion de las sedes aun no autorizadas</v>
          </cell>
          <cell r="T26" t="str">
            <v>Si</v>
          </cell>
          <cell r="U26" t="str">
            <v>Verificar las acciones definidas en el plan de mejoramiento una vez sea presentado. (04/04/2025)
Realizar seguimiento a traves de mesa técnica; Posterior a ello,se verificará de la documentación presentada por el EE  para la legalizacion de las sedes, a traves de la solcitud de modificacion de la licencia de funcionamiento. 
Se realiza seguimento del PMI, evidenciandose avance, conforme a lo orientado. (12/09/2025) Ver Carpeta POAIV - TRIM III</v>
          </cell>
        </row>
        <row r="27">
          <cell r="A27">
            <v>20</v>
          </cell>
          <cell r="B27"/>
          <cell r="C27" t="str">
            <v>ANTONIO NARIÑO</v>
          </cell>
          <cell r="D27" t="str">
            <v>PRIVADO</v>
          </cell>
          <cell r="E27" t="str">
            <v>EPBM</v>
          </cell>
          <cell r="F27" t="str">
            <v>LICEO_MODERNO_WALT_WHITMAN</v>
          </cell>
          <cell r="G27" t="str">
            <v>LICEO MODERNO WALT WHITMAN</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ORLANDO SUÁREZ SOTO</v>
          </cell>
          <cell r="L27" t="str">
            <v>ORLANDO SUÁREZ SOTO
JOSÉ RODRIGO QUILAGUY BERNAL
JOHN JAIRO BOBADILLA BERMEO</v>
          </cell>
          <cell r="M27">
            <v>45736</v>
          </cell>
          <cell r="N27">
            <v>45736</v>
          </cell>
          <cell r="O27">
            <v>45736</v>
          </cell>
          <cell r="P27" t="str">
            <v>Visitas de evaluación con fines de seguimiento</v>
          </cell>
          <cell r="Q27" t="str">
            <v>02. Acta de visita Integral - Liceo Moderno Walt Withman.pdf</v>
          </cell>
          <cell r="R27" t="str">
            <v>La IE está clasificada como A+ en las pruebas Saber 11 y presenta estrategias para mejorar sus estándares de calidad mediante socializaciones, capacitaciones y análisis de resultados. Sin embargo, se evidencia falta de documentación del proceso y ausencia de inclusión de estudiantes con discapacidad.</v>
          </cell>
          <cell r="S27" t="str">
            <v>La IE reforzará la inclusion de sus estrategias de calidad educativa, a tráves de la documentación de sus procesos y el manejo para el trabajo con estudiantes con Discapacidad.</v>
          </cell>
          <cell r="T27" t="str">
            <v>Si</v>
          </cell>
          <cell r="U27" t="str">
            <v>Verificar las acciones definidas en el plan de mejoramiento una vez sea presentado y a traves de los analisis compartivos insitucionales (04/04/2025)
Se realiza seguimento del PMI, evidenciandose avance, conforme a lo orientado. (12/09/2025) Ver Carpeta POAIV - TRIM III</v>
          </cell>
        </row>
        <row r="28">
          <cell r="A28">
            <v>21</v>
          </cell>
          <cell r="B28"/>
          <cell r="C28" t="str">
            <v>ANTONIO NARIÑO</v>
          </cell>
          <cell r="D28" t="str">
            <v>PRIVADO</v>
          </cell>
          <cell r="E28" t="str">
            <v>EPBM</v>
          </cell>
          <cell r="F28" t="str">
            <v>LICEO_MODERNO_WALT_WHITMAN</v>
          </cell>
          <cell r="G28" t="str">
            <v>LICEO MODERNO WALT WHITMAN</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ORLANDO SUÁREZ SOTO</v>
          </cell>
          <cell r="L28" t="str">
            <v>ORLANDO SUÁREZ SOTO
JOSÉ RODRIGO QUILAGUY BERNAL
JOHN JAIRO BOBADILLA BERMEO</v>
          </cell>
          <cell r="M28">
            <v>45736</v>
          </cell>
          <cell r="N28">
            <v>45736</v>
          </cell>
          <cell r="O28">
            <v>45736</v>
          </cell>
          <cell r="P28" t="str">
            <v>Visitas de evaluación con fines de seguimiento</v>
          </cell>
          <cell r="Q28" t="str">
            <v>02. Acta de visita Integral - Liceo Moderno Walt Withman.pdf</v>
          </cell>
          <cell r="R28" t="str">
            <v>Se evidencio que  realizan consulta  de antecedentes de delitos sexuales del personal docente y administrativo  y se encuentra evidencia de la operatividad del Comité de Convivencia Escolar.</v>
          </cell>
          <cell r="S28" t="str">
            <v xml:space="preserve">Continuar haciendo la consulta de antecedentes con la periodicidad establecida (cada 4 meses). Poner en funcionamiento el Comite de Convivencia para la implementación de acciones de prevención y atención de situaciones de convivencia en el entorno escolar. </v>
          </cell>
          <cell r="T28" t="str">
            <v>No</v>
          </cell>
          <cell r="U28" t="str">
            <v>Se realizará seguimiento a la conformación de los gobiernos e instancias de participación, según cronograma establecido por la SED, para la vigencia 2026.</v>
          </cell>
        </row>
        <row r="29">
          <cell r="A29">
            <v>22</v>
          </cell>
          <cell r="B29"/>
          <cell r="C29" t="str">
            <v>ANTONIO NARIÑO</v>
          </cell>
          <cell r="D29" t="str">
            <v>PRIVADO</v>
          </cell>
          <cell r="E29" t="str">
            <v>EPBM</v>
          </cell>
          <cell r="F29" t="str">
            <v>LICEO_MODERNO_WALT_WHITMAN</v>
          </cell>
          <cell r="G29" t="str">
            <v>LICEO MODERNO WALT WHITMAN</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ORLANDO SUÁREZ SOTO</v>
          </cell>
          <cell r="L29" t="str">
            <v>ORLANDO SUÁREZ SOTO
JOSÉ RODRIGO QUILAGUY BERNAL
JOHN JAIRO BOBADILLA BERMEO</v>
          </cell>
          <cell r="M29">
            <v>45736</v>
          </cell>
          <cell r="N29">
            <v>45736</v>
          </cell>
          <cell r="O29">
            <v>45736</v>
          </cell>
          <cell r="P29" t="str">
            <v>Visitas de evaluación con fines de seguimiento</v>
          </cell>
          <cell r="Q29" t="str">
            <v>02. Acta de visita Integral - Liceo Moderno Walt Withman.pdf</v>
          </cell>
          <cell r="R29" t="str">
            <v>Se evidencia que junto con el SIEE y el plan de estudios, existen lineamientos para el manejo y seguimiento de los PIAR, conforme al decreto 1421.</v>
          </cell>
          <cell r="S29" t="str">
            <v>Continuar con el establecimiento y seguimiento de los PIAR y su articulacion, valoracion de desempeño, evaluacion y promocion de los estudiantes, a partir de las acciones por parte de los docentes.</v>
          </cell>
          <cell r="T29" t="str">
            <v>No</v>
          </cell>
          <cell r="U29" t="str">
            <v>Se verificará el proceso en caso de presentarse queja.</v>
          </cell>
        </row>
        <row r="30">
          <cell r="A30">
            <v>23</v>
          </cell>
          <cell r="B30"/>
          <cell r="C30" t="str">
            <v>ANTONIO NARIÑO</v>
          </cell>
          <cell r="D30" t="str">
            <v>PRIVADO</v>
          </cell>
          <cell r="E30" t="str">
            <v>EPBM</v>
          </cell>
          <cell r="F30" t="str">
            <v>LICEO_MODERNO_WALT_WHITMAN</v>
          </cell>
          <cell r="G30" t="str">
            <v>LICEO MODERNO WALT WHITMAN</v>
          </cell>
          <cell r="H30" t="str">
            <v>Autoevaluación Institucional y Pruebas SABER 11</v>
          </cell>
          <cell r="I30" t="str">
            <v>EVALUACIÓN_CON_FINES_DE_MEJORAMIENTO.</v>
          </cell>
          <cell r="J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 t="str">
            <v>ORLANDO SUÁREZ SOTO</v>
          </cell>
          <cell r="L30" t="str">
            <v>ORLANDO SUÁREZ SOTO
JOSÉ RODRIGO QUILAGUY BERNAL
JOHN JAIRO BOBADILLA BERMEO</v>
          </cell>
          <cell r="M30">
            <v>45736</v>
          </cell>
          <cell r="N30">
            <v>45736</v>
          </cell>
          <cell r="O30">
            <v>45736</v>
          </cell>
          <cell r="P30" t="str">
            <v>Visitas de evaluación con fines de mejoramiento</v>
          </cell>
          <cell r="Q30" t="str">
            <v>02. Acta de visita Integral - Liceo Moderno Walt Withman.pdf</v>
          </cell>
          <cell r="R30" t="str">
            <v>El EE cuenta con las evidencias de participación. Además, existen evidencias (actas) de la construcción del manual de convivencia por parte de toda la comunidad educativa, no obstante, el proceso de seguimiento a la implementación del reglamento interno debe realizarse.</v>
          </cell>
          <cell r="S30" t="str">
            <v>Realizar la revisión y ajustes del Manual de Convivencia y con la construcción participativa de este documento orientado institucinal</v>
          </cell>
          <cell r="T30" t="str">
            <v>Si</v>
          </cell>
          <cell r="U30" t="str">
            <v>Verificar las acciones definidas en el plan de mejoramiento una vez sea presentado.(04/04/2025)
Se realiza seguimento del PMI, evidenciandose avance, conforme a lo orientado. (12/09/2025) Ver Carpeta POAIV - TRIM III</v>
          </cell>
        </row>
        <row r="31">
          <cell r="A31">
            <v>24</v>
          </cell>
          <cell r="B31"/>
          <cell r="C31" t="str">
            <v>ANTONIO NARIÑO</v>
          </cell>
          <cell r="D31" t="str">
            <v>PRIVADO</v>
          </cell>
          <cell r="E31" t="str">
            <v>EPBM</v>
          </cell>
          <cell r="F31" t="str">
            <v>LICEO_MODERNO_WALT_WHITMAN</v>
          </cell>
          <cell r="G31" t="str">
            <v>LICEO MODERNO WALT WHITMAN</v>
          </cell>
          <cell r="H31" t="str">
            <v>Autoevaluación Institucional y Pruebas SABER 11</v>
          </cell>
          <cell r="I31" t="str">
            <v>EVALUACIÓN_CON_FINES_DE_MEJORAMIENTO.</v>
          </cell>
          <cell r="J31" t="str">
            <v>Revisar la actualización, socialización e implementación del Sistema Institucional de Evaluación de Estudiantes - SIEE, en articulación con la actualización del PEI y la normatividad vigente.</v>
          </cell>
          <cell r="K31" t="str">
            <v>ORLANDO SUÁREZ SOTO</v>
          </cell>
          <cell r="L31" t="str">
            <v>ORLANDO SUÁREZ SOTO
JOSÉ RODRIGO QUILAGUY BERNAL
JOHN JAIRO BOBADILLA BERMEO</v>
          </cell>
          <cell r="M31">
            <v>45736</v>
          </cell>
          <cell r="N31">
            <v>45736</v>
          </cell>
          <cell r="O31">
            <v>45736</v>
          </cell>
          <cell r="P31" t="str">
            <v>Visitas de evaluación con fines de mejoramiento</v>
          </cell>
          <cell r="Q31" t="str">
            <v>02. Acta de visita Integral - Liceo Moderno Walt Withman.pdf</v>
          </cell>
          <cell r="R31" t="str">
            <v>Se evidencia que el documento SIEE esta construido participativamente, ademas esta socializada  y articulado con la normatividad vigente.</v>
          </cell>
          <cell r="S31" t="str">
            <v>Continuar con la actualizacion constante del  Sistema institucional de evaluación de los estudiantes- SIEE a tráves de su evaluación y registro de la información</v>
          </cell>
          <cell r="T31" t="str">
            <v>No</v>
          </cell>
          <cell r="U31" t="str">
            <v>Verificar en caso de requerimiento o queja</v>
          </cell>
        </row>
        <row r="32">
          <cell r="A32">
            <v>25</v>
          </cell>
          <cell r="B32"/>
          <cell r="C32" t="str">
            <v>ANTONIO NARIÑO</v>
          </cell>
          <cell r="D32" t="str">
            <v>PRIVADO</v>
          </cell>
          <cell r="E32" t="str">
            <v>EPBM</v>
          </cell>
          <cell r="F32" t="str">
            <v>LICEO_MODERNO_WALT_WHITMAN</v>
          </cell>
          <cell r="G32" t="str">
            <v>LICEO MODERNO WALT WHITMAN</v>
          </cell>
          <cell r="H32" t="str">
            <v>Autoevaluación Institucional y Pruebas SABER 11</v>
          </cell>
          <cell r="I32" t="str">
            <v>EVALUACIÓN_CON_FINES_DE_MEJORAMIENTO.</v>
          </cell>
          <cell r="J32" t="str">
            <v>Revisar el calendario escolar, jornada escolar, la intensidad horaria mínima anual en cada nivel y las modificaciones que se realicen al mismo, de acuerdo con lo previsto en la normatividad vigente.</v>
          </cell>
          <cell r="K32" t="str">
            <v>ORLANDO SUÁREZ SOTO</v>
          </cell>
          <cell r="L32" t="str">
            <v>ORLANDO SUÁREZ SOTO
JOSÉ RODRIGO QUILAGUY BERNAL
JOHN JAIRO BOBADILLA BERMEO</v>
          </cell>
          <cell r="M32">
            <v>45736</v>
          </cell>
          <cell r="N32">
            <v>45736</v>
          </cell>
          <cell r="O32">
            <v>45736</v>
          </cell>
          <cell r="P32" t="str">
            <v>Visitas de evaluación con fines de mejoramiento</v>
          </cell>
          <cell r="Q32" t="str">
            <v>02. Acta de visita Integral - Liceo Moderno Walt Withman.pdf</v>
          </cell>
          <cell r="R32" t="str">
            <v>Se constata que la Institución Educativa garantiza el cumplimiento de la intensidad horaria mínima anual para todos los niveles educativos que ofrece.</v>
          </cell>
          <cell r="S32" t="str">
            <v>La IE asegura el cumplimiento de la intensidad horaria mínima anual establecida para cada uno de sus niveles educativos.</v>
          </cell>
          <cell r="T32" t="str">
            <v>No</v>
          </cell>
          <cell r="U32" t="str">
            <v>Verificar en caso de requerimiento o queja</v>
          </cell>
        </row>
        <row r="33">
          <cell r="A33">
            <v>26</v>
          </cell>
          <cell r="B33"/>
          <cell r="C33" t="str">
            <v>ANTONIO NARIÑO</v>
          </cell>
          <cell r="D33" t="str">
            <v>PRIVADO</v>
          </cell>
          <cell r="E33" t="str">
            <v>EPBM</v>
          </cell>
          <cell r="F33" t="str">
            <v>LICEO_MODERNO_WALT_WHITMAN</v>
          </cell>
          <cell r="G33" t="str">
            <v>LICEO MODERNO WALT WHITMAN</v>
          </cell>
          <cell r="H33" t="str">
            <v>Autoevaluación Institucional y Pruebas SABER 11</v>
          </cell>
          <cell r="I33" t="str">
            <v>EVALUACIÓN_CON_FINES_DE_MEJORAMIENTO.</v>
          </cell>
          <cell r="J33" t="str">
            <v>Verificar el funcionamiento del Gobierno Escolar e instancias de participación con base en la información sobre conformación reportada por la institución educativa.</v>
          </cell>
          <cell r="K33" t="str">
            <v>ORLANDO SUÁREZ SOTO</v>
          </cell>
          <cell r="L33" t="str">
            <v>ORLANDO SUÁREZ SOTO
JOSÉ RODRIGO QUILAGUY BERNAL
JOHN JAIRO BOBADILLA BERMEO</v>
          </cell>
          <cell r="M33">
            <v>45736</v>
          </cell>
          <cell r="N33">
            <v>45736</v>
          </cell>
          <cell r="O33">
            <v>45736</v>
          </cell>
          <cell r="P33" t="str">
            <v>Visitas de evaluación con fines de mejoramiento</v>
          </cell>
          <cell r="Q33" t="str">
            <v>02. Acta de visita Integral - Liceo Moderno Walt Withman.pdf</v>
          </cell>
          <cell r="R33" t="str">
            <v>La IE ha realizado la conformacion del gobierno escolar y  su dinamica se desarrolla con la debida frecuencia en cada ente escolar.</v>
          </cell>
          <cell r="S33" t="str">
            <v>Realizar  reuniones periodicas conforme a lo reglamentado para cada estamento institucional, garantizando el funcionamiento y operatividad del Gobierno Escolar</v>
          </cell>
          <cell r="T33" t="str">
            <v>No</v>
          </cell>
          <cell r="U33" t="str">
            <v>Verificar la conformación del gobierno escolar para la vigencia 2026.</v>
          </cell>
        </row>
        <row r="34">
          <cell r="A34">
            <v>27</v>
          </cell>
          <cell r="B34"/>
          <cell r="C34" t="str">
            <v>ANTONIO NARIÑO</v>
          </cell>
          <cell r="D34" t="str">
            <v>PRIVADO</v>
          </cell>
          <cell r="E34" t="str">
            <v>EPBM</v>
          </cell>
          <cell r="F34" t="str">
            <v>LICEO_MODERNO_WALT_WHITMAN</v>
          </cell>
          <cell r="G34" t="str">
            <v>LICEO MODERNO WALT WHITMAN</v>
          </cell>
          <cell r="H34" t="str">
            <v>Autoevaluación Institucional y Pruebas SABER 11</v>
          </cell>
          <cell r="I34" t="str">
            <v>EVALUACIÓN_CON_FINES_DE_MEJORAMIENTO.</v>
          </cell>
          <cell r="J34" t="str">
            <v>Verificar las condiciones en cuanto a: la estructura administrativa, condiciones de la planta física y medios educativos adecuados.</v>
          </cell>
          <cell r="K34" t="str">
            <v>ORLANDO SUÁREZ SOTO</v>
          </cell>
          <cell r="L34" t="str">
            <v>ORLANDO SUÁREZ SOTO
JOSÉ RODRIGO QUILAGUY BERNAL
JOHN JAIRO BOBADILLA BERMEO</v>
          </cell>
          <cell r="M34">
            <v>45736</v>
          </cell>
          <cell r="N34">
            <v>45736</v>
          </cell>
          <cell r="O34">
            <v>45736</v>
          </cell>
          <cell r="P34" t="str">
            <v>Visitas de evaluación con fines de mejoramiento</v>
          </cell>
          <cell r="Q34" t="str">
            <v>02. Acta de visita Integral - Liceo Moderno Walt Withman.pdf</v>
          </cell>
          <cell r="R34" t="str">
            <v>Falta desarrollar el organigrama institucional y los perfiles profesionales de ingreso de los docentes; Se debe mejorar el procedimiento de asignacion de cupo y matriculas y el procedimietno para la atencion de peticiones, quejas y reclamos de la comunidad educativa</v>
          </cell>
          <cell r="S34" t="str">
            <v>Relacionar en los documentos Institucionales, las mejoras en los proceso administrativos y de gestión.</v>
          </cell>
          <cell r="T34" t="str">
            <v>Si</v>
          </cell>
          <cell r="U34" t="str">
            <v>Verificar las acciones definidas en el plan de mejoramiento una vez sea presentado. (04/04/2025)
Se realiza seguimento del PMI, evidenciandose avance, conforme a lo orientado. (12/09/2025) Ver Carpeta POAIV - TRIM III</v>
          </cell>
        </row>
        <row r="35">
          <cell r="A35">
            <v>28</v>
          </cell>
          <cell r="B35">
            <v>4</v>
          </cell>
          <cell r="C35" t="str">
            <v>ANTONIO NARIÑO</v>
          </cell>
          <cell r="D35" t="str">
            <v>PRIVADO</v>
          </cell>
          <cell r="E35" t="str">
            <v>EPBM</v>
          </cell>
          <cell r="F35" t="str">
            <v>COLEGIO_COOPERATIVO_DEL_MAGISTERIO_DE_CUNDINAMARCA</v>
          </cell>
          <cell r="G35" t="str">
            <v>COLEGIO COOPERATIVO DEL MAGISTERIO DE CUNDINAMARCA</v>
          </cell>
          <cell r="H35" t="str">
            <v>Autoevaluación Institucional y Pruebas SABER 11</v>
          </cell>
          <cell r="I35" t="str">
            <v>SEGUIMIENTO_Y_SUPERVISIÓN.</v>
          </cell>
          <cell r="J35" t="str">
            <v>Realizar visitas para verificar la información registrada sobre la autoevaluación institucional en el aplicativo EVI, a los establecimientos de educación formal no oficial.</v>
          </cell>
          <cell r="K35" t="str">
            <v>JOHN JAIRO BOBADILLA BERMEO</v>
          </cell>
          <cell r="L35" t="str">
            <v>ORLANDO SUÁREZ SOTO
JOSÉ RODRIGO QUILAGUY BERNAL
JOHN JAIRO BOBADILLA BERMEO</v>
          </cell>
          <cell r="M35">
            <v>45771</v>
          </cell>
          <cell r="N35">
            <v>45751</v>
          </cell>
          <cell r="O35">
            <v>45751</v>
          </cell>
          <cell r="P35" t="str">
            <v>Visitas de evaluación con fines de seguimiento</v>
          </cell>
          <cell r="Q35" t="str">
            <v>03. Acta de visita Integral - COL. COOP MAGISTERIO DE CMARCA.pdf</v>
          </cell>
          <cell r="R35" t="str">
            <v>La información registrada en la autoevaluación institucional en el aplicativo, EVI, corresponde con lo autorizado en su resolución de tarifas educativas y en el contrato de prestación de servicios de los docentes</v>
          </cell>
          <cell r="S35" t="str">
            <v>Realitizar la autoevaluación  institucional en el aplicativo EVI, para las tarifas  vigencia 2026.</v>
          </cell>
          <cell r="T35" t="str">
            <v>No</v>
          </cell>
          <cell r="U35" t="str">
            <v>Emitir concepto para tarifas educativas 2026</v>
          </cell>
        </row>
        <row r="36">
          <cell r="A36">
            <v>29</v>
          </cell>
          <cell r="B36"/>
          <cell r="C36" t="str">
            <v>ANTONIO NARIÑO</v>
          </cell>
          <cell r="D36" t="str">
            <v>PRIVADO</v>
          </cell>
          <cell r="E36" t="str">
            <v>EPBM</v>
          </cell>
          <cell r="F36" t="str">
            <v>COLEGIO_COOPERATIVO_DEL_MAGISTERIO_DE_CUNDINAMARCA</v>
          </cell>
          <cell r="G36" t="str">
            <v>COLEGIO COOPERATIVO DEL MAGISTERIO DE CUNDINAMARCA</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JOHN JAIRO BOBADILLA BERMEO</v>
          </cell>
          <cell r="L36" t="str">
            <v>ORLANDO SUÁREZ SOTO
JOSÉ RODRIGO QUILAGUY BERNAL
JOHN JAIRO BOBADILLA BERMEO</v>
          </cell>
          <cell r="M36">
            <v>45771</v>
          </cell>
          <cell r="N36">
            <v>45751</v>
          </cell>
          <cell r="O36">
            <v>45751</v>
          </cell>
          <cell r="P36" t="str">
            <v>Visitas de evaluación con fines de seguimiento</v>
          </cell>
          <cell r="Q36" t="str">
            <v>03. Acta de visita Integral - COL. COOP MAGISTERIO DE CMARCA.pdf</v>
          </cell>
          <cell r="R36" t="str">
            <v>La IE ha formulado el PMI que contempla acciones específicas basadas en los resultados de las pruebas Saber, los cuales incluya a la población con discapacidad. Así mismo, se realiza evaluación por gestiones y se toman decisiones a partir de la opciones de mejora</v>
          </cell>
          <cell r="S36" t="str">
            <v>Formular e implementar el plan de mejoramiento desde el Consejo Académico para mejorar los resultados de las Pruebas Saber e incorporar las necesidades de la población con discapacidad. Fecha: (15.08.2025)</v>
          </cell>
          <cell r="T36" t="str">
            <v>Si</v>
          </cell>
          <cell r="U36" t="str">
            <v>Realizar seguimiento a la ejecución del PMI. Relacionado con las Prueba Saber Fecha: (15.08.2025)
Se realiza seguimiento del PMI, evidenciándose avance, conforme a lo orientado. (15/09/2025) Ver Carpeta POAIV - TRIM III</v>
          </cell>
        </row>
        <row r="37">
          <cell r="A37">
            <v>30</v>
          </cell>
          <cell r="B37"/>
          <cell r="C37" t="str">
            <v>ANTONIO NARIÑO</v>
          </cell>
          <cell r="D37" t="str">
            <v>PRIVADO</v>
          </cell>
          <cell r="E37" t="str">
            <v>EPBM</v>
          </cell>
          <cell r="F37" t="str">
            <v>COLEGIO_COOPERATIVO_DEL_MAGISTERIO_DE_CUNDINAMARCA</v>
          </cell>
          <cell r="G37" t="str">
            <v>COLEGIO COOPERATIVO DEL MAGISTERIO DE CUNDINAMARCA</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JOHN JAIRO BOBADILLA BERMEO</v>
          </cell>
          <cell r="L37" t="str">
            <v>ORLANDO SUÁREZ SOTO
JOSÉ RODRIGO QUILAGUY BERNAL
JOHN JAIRO BOBADILLA BERMEO</v>
          </cell>
          <cell r="M37">
            <v>45771</v>
          </cell>
          <cell r="N37">
            <v>45751</v>
          </cell>
          <cell r="O37">
            <v>45751</v>
          </cell>
          <cell r="P37" t="str">
            <v>Visitas de evaluación con fines de seguimiento</v>
          </cell>
          <cell r="Q37" t="str">
            <v>03. Acta de visita Integral - COL. COOP MAGISTERIO DE CMARCA.pdf</v>
          </cell>
          <cell r="R37" t="str">
            <v>Se evidencia que la IE realiza periódicamente verificación del registro de inhabilidades y el Comité de Convivencia Escolar adelanta acciones de prevención de violencia sexual.</v>
          </cell>
          <cell r="S37" t="str">
            <v>Ejecutar las acciones propuestas por el Comité de Convivencia Escolar en relación con acción de promoción, prevención, atención y mitigación de violencia sexual.
Continúar realizando ejercicios de verificación  de inhabilidades por delitos de violencia sexual
Fecha: (15.08.2025)</v>
          </cell>
          <cell r="T37" t="str">
            <v>No</v>
          </cell>
          <cell r="U37" t="str">
            <v>Verificar en caso de requerirse o si hubiese queja.</v>
          </cell>
        </row>
        <row r="38">
          <cell r="A38">
            <v>31</v>
          </cell>
          <cell r="B38"/>
          <cell r="C38" t="str">
            <v>ANTONIO NARIÑO</v>
          </cell>
          <cell r="D38" t="str">
            <v>PRIVADO</v>
          </cell>
          <cell r="E38" t="str">
            <v>EPBM</v>
          </cell>
          <cell r="F38" t="str">
            <v>COLEGIO_COOPERATIVO_DEL_MAGISTERIO_DE_CUNDINAMARCA</v>
          </cell>
          <cell r="G38" t="str">
            <v>COLEGIO COOPERATIVO DEL MAGISTERIO DE CUNDINAMARCA</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JOHN JAIRO BOBADILLA BERMEO</v>
          </cell>
          <cell r="L38" t="str">
            <v>ORLANDO SUÁREZ SOTO
JOSÉ RODRIGO QUILAGUY BERNAL
JOHN JAIRO BOBADILLA BERMEO</v>
          </cell>
          <cell r="M38">
            <v>45771</v>
          </cell>
          <cell r="N38">
            <v>45751</v>
          </cell>
          <cell r="O38">
            <v>45751</v>
          </cell>
          <cell r="P38" t="str">
            <v>Visitas de evaluación con fines de seguimiento</v>
          </cell>
          <cell r="Q38" t="str">
            <v>03. Acta de visita Integral - COL. COOP MAGISTERIO DE CMARCA.pdf</v>
          </cell>
          <cell r="R38" t="str">
            <v>La IE tiene caracterizados 8 estudiantes con trastornos de aprendizaje y talentos excepcionales y  ha implementado estrategias para su atención.</v>
          </cell>
          <cell r="S38" t="str">
            <v>Realizar seguimiento continuo a estudiantes caracterizados o diagnosticados con trastornos de aprendizaje y/o talentos excepcionales. 
Fecha: (15.08.2025)</v>
          </cell>
          <cell r="T38" t="str">
            <v>No</v>
          </cell>
          <cell r="U38" t="str">
            <v>Realizar verificación en caso de requerirse.</v>
          </cell>
        </row>
        <row r="39">
          <cell r="A39">
            <v>32</v>
          </cell>
          <cell r="B39"/>
          <cell r="C39" t="str">
            <v>ANTONIO NARIÑO</v>
          </cell>
          <cell r="D39" t="str">
            <v>PRIVADO</v>
          </cell>
          <cell r="E39" t="str">
            <v>EPBM</v>
          </cell>
          <cell r="F39" t="str">
            <v>COLEGIO_COOPERATIVO_DEL_MAGISTERIO_DE_CUNDINAMARCA</v>
          </cell>
          <cell r="G39" t="str">
            <v>COLEGIO COOPERATIVO DEL MAGISTERIO DE CUNDINAMARCA</v>
          </cell>
          <cell r="H39" t="str">
            <v>Autoevaluación Institucional y Pruebas SABER 11</v>
          </cell>
          <cell r="I39" t="str">
            <v>EVALUACIÓN_CON_FINES_DE_MEJORAMIENTO.</v>
          </cell>
          <cell r="J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 t="str">
            <v>JOHN JAIRO BOBADILLA BERMEO</v>
          </cell>
          <cell r="L39" t="str">
            <v>ORLANDO SUÁREZ SOTO
JOSÉ RODRIGO QUILAGUY BERNAL
JOHN JAIRO BOBADILLA BERMEO</v>
          </cell>
          <cell r="M39">
            <v>45771</v>
          </cell>
          <cell r="N39">
            <v>45751</v>
          </cell>
          <cell r="O39">
            <v>45751</v>
          </cell>
          <cell r="P39" t="str">
            <v>Visitas de evaluación con fines de mejoramiento</v>
          </cell>
          <cell r="Q39" t="str">
            <v>03. Acta de visita Integral - COL. COOP MAGISTERIO DE CMARCA.pdf</v>
          </cell>
          <cell r="R39" t="str">
            <v>En relación con el Manual de Convivencia se requiere fortalecer el enfoque restaurativo partir de los reportes realizados en el sistema a alertas.</v>
          </cell>
          <cell r="S39" t="str">
            <v>Promover acciones por parte del Comité de Convivencia atendiendo los casos más recurrentes reportado en sistema de alertas. Fecha: (15.08.2025)</v>
          </cell>
          <cell r="T39" t="str">
            <v>Si</v>
          </cell>
          <cell r="U39" t="str">
            <v>Realizar seguimiento a las situaciones tipo II y III reportadas en el sistema alertas con más recurrencia Fecha: (15.08.2025)</v>
          </cell>
        </row>
        <row r="40">
          <cell r="A40">
            <v>33</v>
          </cell>
          <cell r="B40"/>
          <cell r="C40" t="str">
            <v>ANTONIO NARIÑO</v>
          </cell>
          <cell r="D40" t="str">
            <v>PRIVADO</v>
          </cell>
          <cell r="E40" t="str">
            <v>EPBM</v>
          </cell>
          <cell r="F40" t="str">
            <v>COLEGIO_COOPERATIVO_DEL_MAGISTERIO_DE_CUNDINAMARCA</v>
          </cell>
          <cell r="G40" t="str">
            <v>COLEGIO COOPERATIVO DEL MAGISTERIO DE CUNDINAMARCA</v>
          </cell>
          <cell r="H40" t="str">
            <v>Autoevaluación Institucional y Pruebas SABER 11</v>
          </cell>
          <cell r="I40" t="str">
            <v>EVALUACIÓN_CON_FINES_DE_MEJORAMIENTO.</v>
          </cell>
          <cell r="J40" t="str">
            <v>Revisar la actualización, socialización e implementación del Sistema Institucional de Evaluación de Estudiantes - SIEE, en articulación con la actualización del PEI y la normatividad vigente.</v>
          </cell>
          <cell r="K40" t="str">
            <v>JOHN JAIRO BOBADILLA BERMEO</v>
          </cell>
          <cell r="L40" t="str">
            <v>ORLANDO SUÁREZ SOTO
JOSÉ RODRIGO QUILAGUY BERNAL
JOHN JAIRO BOBADILLA BERMEO</v>
          </cell>
          <cell r="M40">
            <v>45771</v>
          </cell>
          <cell r="N40">
            <v>45751</v>
          </cell>
          <cell r="O40">
            <v>45751</v>
          </cell>
          <cell r="P40" t="str">
            <v>Visitas de evaluación con fines de mejoramiento</v>
          </cell>
          <cell r="Q40" t="str">
            <v>03. Acta de visita Integral - COL. COOP MAGISTERIO DE CMARCA.pdf</v>
          </cell>
          <cell r="R40" t="str">
            <v>En relación con el SIEE la I.E. cuenta con: registro de la información, estrategias de apoyo para resolver situaciones pedagógicas de estudiantes en el aula, estrategias pedagógicas de nivelación y mejoramiento de aprendizajes.</v>
          </cell>
          <cell r="S40" t="str">
            <v>Realizar la revisión continua del SIEE con los miembros de la comunidad educativa y realizar los ajustes que resulten pertinentes fruto de la autoevaluación. Fecha: (15.08.2025)</v>
          </cell>
          <cell r="T40" t="str">
            <v>No</v>
          </cell>
          <cell r="U40" t="str">
            <v>Verificar en caso de requerirse o si hubiese queja.</v>
          </cell>
        </row>
        <row r="41">
          <cell r="A41">
            <v>34</v>
          </cell>
          <cell r="B41"/>
          <cell r="C41" t="str">
            <v>ANTONIO NARIÑO</v>
          </cell>
          <cell r="D41" t="str">
            <v>PRIVADO</v>
          </cell>
          <cell r="E41" t="str">
            <v>EPBM</v>
          </cell>
          <cell r="F41" t="str">
            <v>COLEGIO_COOPERATIVO_DEL_MAGISTERIO_DE_CUNDINAMARCA</v>
          </cell>
          <cell r="G41" t="str">
            <v>COLEGIO COOPERATIVO DEL MAGISTERIO DE CUNDINAMARCA</v>
          </cell>
          <cell r="H41" t="str">
            <v>Autoevaluación Institucional y Pruebas SABER 11</v>
          </cell>
          <cell r="I41" t="str">
            <v>EVALUACIÓN_CON_FINES_DE_MEJORAMIENTO.</v>
          </cell>
          <cell r="J41" t="str">
            <v>Revisar el calendario escolar, jornada escolar, la intensidad horaria mínima anual en cada nivel y las modificaciones que se realicen al mismo, de acuerdo con lo previsto en la normatividad vigente.</v>
          </cell>
          <cell r="K41" t="str">
            <v>JOHN JAIRO BOBADILLA BERMEO</v>
          </cell>
          <cell r="L41" t="str">
            <v>ORLANDO SUÁREZ SOTO
JOSÉ RODRIGO QUILAGUY BERNAL
JOHN JAIRO BOBADILLA BERMEO</v>
          </cell>
          <cell r="M41">
            <v>45771</v>
          </cell>
          <cell r="N41">
            <v>45751</v>
          </cell>
          <cell r="O41">
            <v>45751</v>
          </cell>
          <cell r="P41" t="str">
            <v>Visitas de evaluación con fines de mejoramiento</v>
          </cell>
          <cell r="Q41" t="str">
            <v>03. Acta de visita Integral - COL. COOP MAGISTERIO DE CMARCA.pdf</v>
          </cell>
          <cell r="R41" t="str">
            <v>Se evidencia que sólo existe una docente para los dos grados de preescolar con toda la asignación académica para estos grados. Los estudiantes de prejardín, jardín y transición se encuentran en el mismo salón y como un solo grupo.</v>
          </cell>
          <cell r="S41" t="str">
            <v>Establecer las acciones que le permita a los estudiantes de los niveles de preescolar contar con un espacio pedagógico independiente y la docente en cada grupo. Fecha: (15.08.2025)</v>
          </cell>
          <cell r="T41" t="str">
            <v>Si</v>
          </cell>
          <cell r="U41" t="str">
            <v>Realizar seguimiento a la implementación del calendario académico y los espacios pedagógicos del nivel de preescolar. Fecha: (15.08.2025)
Se realiza seguimiento del PMI, evidenciándose avance, conforme a lo orientado. (15/09/2025) Ver Carpeta POAIV - TRIM III</v>
          </cell>
        </row>
        <row r="42">
          <cell r="A42">
            <v>35</v>
          </cell>
          <cell r="B42"/>
          <cell r="C42" t="str">
            <v>ANTONIO NARIÑO</v>
          </cell>
          <cell r="D42" t="str">
            <v>PRIVADO</v>
          </cell>
          <cell r="E42" t="str">
            <v>EPBM</v>
          </cell>
          <cell r="F42" t="str">
            <v>COLEGIO_COOPERATIVO_DEL_MAGISTERIO_DE_CUNDINAMARCA</v>
          </cell>
          <cell r="G42" t="str">
            <v>COLEGIO COOPERATIVO DEL MAGISTERIO DE CUNDINAMARCA</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JOHN JAIRO BOBADILLA BERMEO</v>
          </cell>
          <cell r="L42" t="str">
            <v>ORLANDO SUÁREZ SOTO
JOSÉ RODRIGO QUILAGUY BERNAL
JOHN JAIRO BOBADILLA BERMEO</v>
          </cell>
          <cell r="M42">
            <v>45771</v>
          </cell>
          <cell r="N42">
            <v>45751</v>
          </cell>
          <cell r="O42">
            <v>45751</v>
          </cell>
          <cell r="P42" t="str">
            <v>Visitas de evaluación con fines de mejoramiento</v>
          </cell>
          <cell r="Q42" t="str">
            <v>03. Acta de visita Integral - COL. COOP MAGISTERIO DE CMARCA.pdf</v>
          </cell>
          <cell r="R42" t="str">
            <v>La conformación y operatividad del Gobierno Escolar  y las instancias de participación se realiza teniendo en cuenta sus funciones.</v>
          </cell>
          <cell r="S42" t="str">
            <v>Generar especios de participación del Gobierno Escolar y las instancias de participación acorde con sus roles. Fecha: (15.08.2025)</v>
          </cell>
          <cell r="T42" t="str">
            <v>No</v>
          </cell>
          <cell r="U42" t="str">
            <v>Realizar verificación en caso de requerirse.</v>
          </cell>
        </row>
        <row r="43">
          <cell r="A43">
            <v>36</v>
          </cell>
          <cell r="B43"/>
          <cell r="C43" t="str">
            <v>ANTONIO NARIÑO</v>
          </cell>
          <cell r="D43" t="str">
            <v>PRIVADO</v>
          </cell>
          <cell r="E43" t="str">
            <v>EPBM</v>
          </cell>
          <cell r="F43" t="str">
            <v>COLEGIO_COOPERATIVO_DEL_MAGISTERIO_DE_CUNDINAMARCA</v>
          </cell>
          <cell r="G43" t="str">
            <v>COLEGIO COOPERATIVO DEL MAGISTERIO DE CUNDINAMARCA</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JOHN JAIRO BOBADILLA BERMEO</v>
          </cell>
          <cell r="L43" t="str">
            <v>ORLANDO SUÁREZ SOTO
JOSÉ RODRIGO QUILAGUY BERNAL
JOHN JAIRO BOBADILLA BERMEO</v>
          </cell>
          <cell r="M43">
            <v>45771</v>
          </cell>
          <cell r="N43">
            <v>45751</v>
          </cell>
          <cell r="O43">
            <v>45751</v>
          </cell>
          <cell r="P43" t="str">
            <v>Visitas de evaluación con fines de mejoramiento</v>
          </cell>
          <cell r="Q43" t="str">
            <v>03. Acta de visita Integral - COL. COOP MAGISTERIO DE CMARCA.pdf</v>
          </cell>
          <cell r="R43" t="str">
            <v>La institución educativa cuenta con los espacios pedagógicos, deportivos y artísticos suficientes para la prestación del servicio educativo, no obstante, deberá colocar en funcionamiento la bibliteca</v>
          </cell>
          <cell r="S43" t="str">
            <v>Promover el uso y  mantenimiento continuo de los espacios pedagógicos para mantenernos actualizados, dinámicos y estáticos.Fecha: (15.08.2025)</v>
          </cell>
          <cell r="T43" t="str">
            <v>Si</v>
          </cell>
          <cell r="U43" t="str">
            <v>Realizar seguimiento al mantenimiento de la infraestructura. Fecha: (15.08.2025)
Se realiza seguimiento del PMI, evidenciándose avance, conforme a lo orientado. (15/09/2025) Ver Carpeta POAIV - TRIM III</v>
          </cell>
        </row>
        <row r="44">
          <cell r="A44">
            <v>37</v>
          </cell>
          <cell r="B44">
            <v>5</v>
          </cell>
          <cell r="C44" t="str">
            <v>ANTONIO NARIÑO</v>
          </cell>
          <cell r="D44" t="str">
            <v>PRIVADO</v>
          </cell>
          <cell r="E44" t="str">
            <v>EPBM</v>
          </cell>
          <cell r="F44" t="str">
            <v>COLEGIO_PARROQUIAL_NUESTRA_SEÑORA_DE_LA_VALVANERA</v>
          </cell>
          <cell r="G44" t="str">
            <v>COLEGIO PARROQUIAL NUESTRA SEÑORA DE LA VALVANERA</v>
          </cell>
          <cell r="H44" t="str">
            <v>Autoevaluación Institucional y Pruebas SABER 11</v>
          </cell>
          <cell r="I44" t="str">
            <v>SEGUIMIENTO_Y_SUPERVISIÓN.</v>
          </cell>
          <cell r="J44" t="str">
            <v>Realizar visitas para verificar la información registrada sobre la autoevaluación institucional en el aplicativo EVI, a los establecimientos de educación formal no oficial.</v>
          </cell>
          <cell r="K44" t="str">
            <v>ORLANDO SUÁREZ SOTO</v>
          </cell>
          <cell r="L44" t="str">
            <v>JOSÉ RODRIGO QUILAGUY BERNAL</v>
          </cell>
          <cell r="M44">
            <v>45790</v>
          </cell>
          <cell r="N44">
            <v>45796</v>
          </cell>
          <cell r="O44">
            <v>45796</v>
          </cell>
          <cell r="P44" t="str">
            <v>Visitas de evaluación con fines de seguimiento</v>
          </cell>
          <cell r="Q44" t="str">
            <v>11. Acta de visita Integral - Col. Parroquial Ntra Sra de la Valvanera.pdf</v>
          </cell>
          <cell r="R44" t="str">
            <v>La información registrada sobre la autoevaluación institucional en el aplicativo EVI se encuentra acorde con los items y valoraciones encontradas en visita administrativa</v>
          </cell>
          <cell r="S44" t="str">
            <v>Preservación y fidelidad en el cargue de información en el sistema EVI</v>
          </cell>
          <cell r="T44" t="str">
            <v>No</v>
          </cell>
          <cell r="U44" t="str">
            <v>Emitir concepto para tarifas educativas 2026</v>
          </cell>
        </row>
        <row r="45">
          <cell r="A45">
            <v>38</v>
          </cell>
          <cell r="B45"/>
          <cell r="C45" t="str">
            <v>ANTONIO NARIÑO</v>
          </cell>
          <cell r="D45" t="str">
            <v>PRIVADO</v>
          </cell>
          <cell r="E45" t="str">
            <v>EPBM</v>
          </cell>
          <cell r="F45" t="str">
            <v>COLEGIO_PARROQUIAL_NUESTRA_SEÑORA_DE_LA_VALVANERA</v>
          </cell>
          <cell r="G45" t="str">
            <v>COLEGIO PARROQUIAL NUESTRA SEÑORA DE LA VALVANERA</v>
          </cell>
          <cell r="H45" t="str">
            <v>Autoevaluación Institucional y Pruebas SABER 11</v>
          </cell>
          <cell r="I45" t="str">
            <v>SEGUIMIENTO_Y_SUPERVISIÓN.</v>
          </cell>
          <cell r="J45" t="str">
            <v>Proponer estrategias en la formulación, verificar su elaboración y realizar seguimiento semestral al desarrollo de  las acciones establecidas en los planes de mejoramiento por pruebas SABER 11 de los establecimientos de educación formal.</v>
          </cell>
          <cell r="K45" t="str">
            <v>ORLANDO SUÁREZ SOTO</v>
          </cell>
          <cell r="L45" t="str">
            <v>JOSÉ RODRIGO QUILAGUY BERNAL</v>
          </cell>
          <cell r="M45">
            <v>45790</v>
          </cell>
          <cell r="N45">
            <v>45796</v>
          </cell>
          <cell r="O45">
            <v>45796</v>
          </cell>
          <cell r="P45" t="str">
            <v>Visitas de evaluación con fines de seguimiento</v>
          </cell>
          <cell r="Q45" t="str">
            <v>11. Acta de visita Integral - Col. Parroquial Ntra Sra de la Valvanera.pdf</v>
          </cell>
          <cell r="R45" t="str">
            <v>Existen estrategias para la formulación de mejoras en referencia al análisis de resultados de las pruebas Saber 11</v>
          </cell>
          <cell r="S45" t="str">
            <v>Implementar herramientas (matriz de control) que le permitan a la IE estrategias de mejora y de inclusion escolar, en lo referente a las pruebas Saber 11</v>
          </cell>
          <cell r="T45" t="str">
            <v>Si</v>
          </cell>
          <cell r="U45" t="str">
            <v>La IE revisará y hará la propuesta al ELIV sobre el plan de mejoramiento institucional y lo reportara dentro de los siguiente 15 dias para su revision y seguimiento
Se realiza seguimento del PMI, evidenciandose avance, conforme a lo orientado. (12/09/2025) Ver Carpeta POAIV - TRIM III</v>
          </cell>
        </row>
        <row r="46">
          <cell r="A46">
            <v>39</v>
          </cell>
          <cell r="B46"/>
          <cell r="C46" t="str">
            <v>ANTONIO NARIÑO</v>
          </cell>
          <cell r="D46" t="str">
            <v>PRIVADO</v>
          </cell>
          <cell r="E46" t="str">
            <v>EPBM</v>
          </cell>
          <cell r="F46" t="str">
            <v>COLEGIO_PARROQUIAL_NUESTRA_SEÑORA_DE_LA_VALVANERA</v>
          </cell>
          <cell r="G46" t="str">
            <v>COLEGIO PARROQUIAL NUESTRA SEÑORA DE LA VALVANERA</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ORLANDO SUÁREZ SOTO</v>
          </cell>
          <cell r="L46" t="str">
            <v>JOSÉ RODRIGO QUILAGUY BERNAL</v>
          </cell>
          <cell r="M46">
            <v>45790</v>
          </cell>
          <cell r="N46">
            <v>45796</v>
          </cell>
          <cell r="O46">
            <v>45796</v>
          </cell>
          <cell r="P46" t="str">
            <v>Visitas de evaluación con fines de seguimiento</v>
          </cell>
          <cell r="Q46" t="str">
            <v>11. Acta de visita Integral - Col. Parroquial Ntra Sra de la Valvanera.pdf</v>
          </cell>
          <cell r="R46" t="str">
            <v>Se evidenciaron  soportes documental que dan a  las verificacion de antecedentes del personal en las carpetas de hojas de vida. Ademas, de otras medidas de consulta y verificacion.</v>
          </cell>
          <cell r="S46" t="str">
            <v>Revisón periodica de antecedentes, conforme a la normatividad vigente</v>
          </cell>
          <cell r="T46" t="str">
            <v>No</v>
          </cell>
          <cell r="U46" t="str">
            <v>Verificar en caso de requerirse o de presentarse queja</v>
          </cell>
        </row>
        <row r="47">
          <cell r="A47">
            <v>40</v>
          </cell>
          <cell r="B47"/>
          <cell r="C47" t="str">
            <v>ANTONIO NARIÑO</v>
          </cell>
          <cell r="D47" t="str">
            <v>PRIVADO</v>
          </cell>
          <cell r="E47" t="str">
            <v>EPBM</v>
          </cell>
          <cell r="F47" t="str">
            <v>COLEGIO_PARROQUIAL_NUESTRA_SEÑORA_DE_LA_VALVANERA</v>
          </cell>
          <cell r="G47" t="str">
            <v>COLEGIO PARROQUIAL NUESTRA SEÑORA DE LA VALVANERA</v>
          </cell>
          <cell r="H47" t="str">
            <v>Autoevaluación Institucional y Pruebas SABER 11</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ORLANDO SUÁREZ SOTO</v>
          </cell>
          <cell r="L47" t="str">
            <v>JOSÉ RODRIGO QUILAGUY BERNAL</v>
          </cell>
          <cell r="M47">
            <v>45790</v>
          </cell>
          <cell r="N47">
            <v>45796</v>
          </cell>
          <cell r="O47">
            <v>45796</v>
          </cell>
          <cell r="P47" t="str">
            <v>Visitas de evaluación con fines de seguimiento</v>
          </cell>
          <cell r="Q47" t="str">
            <v>11. Acta de visita Integral - Col. Parroquial Ntra Sra de la Valvanera.pdf</v>
          </cell>
          <cell r="R47" t="str">
            <v>La IE tiene caracterizados los estudiantes con trastornos de aprendizaje y talentos excepcionales, y se evidencia que ha implementado estrategias para su atención. Existe evidencia de implementación en el PEI del Diseño Universal de Aprendizaje (DUA) y estrategias diferenciadas para atender las necesidades especiales de los estudiantes.</v>
          </cell>
          <cell r="S47" t="str">
            <v>Se recominda la verificación del reporte de matrícula en SIMAT</v>
          </cell>
          <cell r="T47" t="str">
            <v>No</v>
          </cell>
          <cell r="U47" t="str">
            <v>Verificar en caso de requerirse o de presentarse queja</v>
          </cell>
        </row>
        <row r="48">
          <cell r="A48">
            <v>41</v>
          </cell>
          <cell r="B48"/>
          <cell r="C48" t="str">
            <v>ANTONIO NARIÑO</v>
          </cell>
          <cell r="D48" t="str">
            <v>PRIVADO</v>
          </cell>
          <cell r="E48" t="str">
            <v>EPBM</v>
          </cell>
          <cell r="F48" t="str">
            <v>COLEGIO_PARROQUIAL_NUESTRA_SEÑORA_DE_LA_VALVANERA</v>
          </cell>
          <cell r="G48" t="str">
            <v>COLEGIO PARROQUIAL NUESTRA SEÑORA DE LA VALVANERA</v>
          </cell>
          <cell r="H48" t="str">
            <v>Autoevaluación Institucional y Pruebas SABER 11</v>
          </cell>
          <cell r="I48" t="str">
            <v>EVALUACIÓN_CON_FINES_DE_MEJORAMIENTO.</v>
          </cell>
          <cell r="J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8" t="str">
            <v>ORLANDO SUÁREZ SOTO</v>
          </cell>
          <cell r="L48" t="str">
            <v>JOSÉ RODRIGO QUILAGUY BERNAL</v>
          </cell>
          <cell r="M48">
            <v>45790</v>
          </cell>
          <cell r="N48">
            <v>45796</v>
          </cell>
          <cell r="O48">
            <v>45796</v>
          </cell>
          <cell r="P48" t="str">
            <v>Visitas de evaluación con fines de mejoramiento</v>
          </cell>
          <cell r="Q48" t="str">
            <v>11. Acta de visita Integral - Col. Parroquial Ntra Sra de la Valvanera.pdf</v>
          </cell>
          <cell r="R48" t="str">
            <v>Se evidencia participación y cumplimiento de los requisitos legales y sociales. Existe participación de la comunidad educativa en la construcción, incluye bases legales, y contempla socialización y actualización</v>
          </cell>
          <cell r="S48" t="str">
            <v>Continuar los procesos participativos y de socialización con la comunidad educativa.</v>
          </cell>
          <cell r="T48" t="str">
            <v>No</v>
          </cell>
          <cell r="U48" t="str">
            <v>Verificar en caso de requerirse o de presentarse queja</v>
          </cell>
        </row>
        <row r="49">
          <cell r="A49">
            <v>42</v>
          </cell>
          <cell r="B49"/>
          <cell r="C49" t="str">
            <v>ANTONIO NARIÑO</v>
          </cell>
          <cell r="D49" t="str">
            <v>PRIVADO</v>
          </cell>
          <cell r="E49" t="str">
            <v>EPBM</v>
          </cell>
          <cell r="F49" t="str">
            <v>COLEGIO_PARROQUIAL_NUESTRA_SEÑORA_DE_LA_VALVANERA</v>
          </cell>
          <cell r="G49" t="str">
            <v>COLEGIO PARROQUIAL NUESTRA SEÑORA DE LA VALVANERA</v>
          </cell>
          <cell r="H49" t="str">
            <v>Autoevaluación Institucional y Pruebas SABER 11</v>
          </cell>
          <cell r="I49" t="str">
            <v>EVALUACIÓN_CON_FINES_DE_MEJORAMIENTO.</v>
          </cell>
          <cell r="J49" t="str">
            <v>Revisar la actualización, socialización e implementación del Sistema Institucional de Evaluación de Estudiantes - SIEE, en articulación con la actualización del PEI y la normatividad vigente.</v>
          </cell>
          <cell r="K49" t="str">
            <v>ORLANDO SUÁREZ SOTO</v>
          </cell>
          <cell r="L49" t="str">
            <v>JOSÉ RODRIGO QUILAGUY BERNAL</v>
          </cell>
          <cell r="M49">
            <v>45790</v>
          </cell>
          <cell r="N49">
            <v>45796</v>
          </cell>
          <cell r="O49">
            <v>45796</v>
          </cell>
          <cell r="P49" t="str">
            <v>Visitas de evaluación con fines de mejoramiento</v>
          </cell>
          <cell r="Q49" t="str">
            <v>11. Acta de visita Integral - Col. Parroquial Ntra Sra de la Valvanera.pdf</v>
          </cell>
          <cell r="R49" t="str">
            <v>Se evidencia ejecución y registro de la información del SIIE, además que este esta basado en la normatividad vigente</v>
          </cell>
          <cell r="S49" t="str">
            <v>Continuar los procesos participativos y de socialización con la comunidad educativa.</v>
          </cell>
          <cell r="T49" t="str">
            <v>No</v>
          </cell>
          <cell r="U49" t="str">
            <v>Verificar en caso de requerirse o de presentarse queja</v>
          </cell>
        </row>
        <row r="50">
          <cell r="A50">
            <v>43</v>
          </cell>
          <cell r="B50"/>
          <cell r="C50" t="str">
            <v>ANTONIO NARIÑO</v>
          </cell>
          <cell r="D50" t="str">
            <v>PRIVADO</v>
          </cell>
          <cell r="E50" t="str">
            <v>EPBM</v>
          </cell>
          <cell r="F50" t="str">
            <v>COLEGIO_PARROQUIAL_NUESTRA_SEÑORA_DE_LA_VALVANERA</v>
          </cell>
          <cell r="G50" t="str">
            <v>COLEGIO PARROQUIAL NUESTRA SEÑORA DE LA VALVANERA</v>
          </cell>
          <cell r="H50" t="str">
            <v>Autoevaluación Institucional y Pruebas SABER 11</v>
          </cell>
          <cell r="I50" t="str">
            <v>EVALUACIÓN_CON_FINES_DE_MEJORAMIENTO.</v>
          </cell>
          <cell r="J50" t="str">
            <v>Revisar el calendario escolar, jornada escolar, la intensidad horaria mínima anual en cada nivel y las modificaciones que se realicen al mismo, de acuerdo con lo previsto en la normatividad vigente.</v>
          </cell>
          <cell r="K50" t="str">
            <v>ORLANDO SUÁREZ SOTO</v>
          </cell>
          <cell r="L50" t="str">
            <v>JOSÉ RODRIGO QUILAGUY BERNAL</v>
          </cell>
          <cell r="M50">
            <v>45790</v>
          </cell>
          <cell r="N50">
            <v>45796</v>
          </cell>
          <cell r="O50">
            <v>45796</v>
          </cell>
          <cell r="P50" t="str">
            <v>Visitas de evaluación con fines de mejoramiento</v>
          </cell>
          <cell r="Q50" t="str">
            <v>11. Acta de visita Integral - Col. Parroquial Ntra Sra de la Valvanera.pdf</v>
          </cell>
          <cell r="R50" t="str">
            <v>Calendario escolar, jornada escolar, intensidad horaria mínima anual en cada nivel, se encuentran de acuerdo con lo previsto en la normatividad vigente.</v>
          </cell>
          <cell r="S50" t="str">
            <v>Garantizar los minimos de ley  para la prestacion del servicio educativo, de acuerdo a la planeacion institucional presentada a la DLE</v>
          </cell>
          <cell r="T50" t="str">
            <v>No</v>
          </cell>
          <cell r="U50" t="str">
            <v>Verificar en caso de requerirse o de presentarse queja</v>
          </cell>
        </row>
        <row r="51">
          <cell r="A51">
            <v>44</v>
          </cell>
          <cell r="B51"/>
          <cell r="C51" t="str">
            <v>ANTONIO NARIÑO</v>
          </cell>
          <cell r="D51" t="str">
            <v>PRIVADO</v>
          </cell>
          <cell r="E51" t="str">
            <v>EPBM</v>
          </cell>
          <cell r="F51" t="str">
            <v>COLEGIO_PARROQUIAL_NUESTRA_SEÑORA_DE_LA_VALVANERA</v>
          </cell>
          <cell r="G51" t="str">
            <v>COLEGIO PARROQUIAL NUESTRA SEÑORA DE LA VALVANERA</v>
          </cell>
          <cell r="H51" t="str">
            <v>Autoevaluación Institucional y Pruebas SABER 11</v>
          </cell>
          <cell r="I51" t="str">
            <v>EVALUACIÓN_CON_FINES_DE_MEJORAMIENTO.</v>
          </cell>
          <cell r="J51" t="str">
            <v>Verificar el funcionamiento del Gobierno Escolar e instancias de participación con base en la información sobre conformación reportada por la institución educativa.</v>
          </cell>
          <cell r="K51" t="str">
            <v>ORLANDO SUÁREZ SOTO</v>
          </cell>
          <cell r="L51" t="str">
            <v>JOSÉ RODRIGO QUILAGUY BERNAL</v>
          </cell>
          <cell r="M51">
            <v>45790</v>
          </cell>
          <cell r="N51">
            <v>45796</v>
          </cell>
          <cell r="O51">
            <v>45796</v>
          </cell>
          <cell r="P51" t="str">
            <v>Visitas de evaluación con fines de mejoramiento</v>
          </cell>
          <cell r="Q51" t="str">
            <v>11. Acta de visita Integral - Col. Parroquial Ntra Sra de la Valvanera.pdf</v>
          </cell>
          <cell r="R51" t="str">
            <v>Se verificó el funcionamiento del Gobierno escolar</v>
          </cell>
          <cell r="S51" t="str">
            <v>Se recomienda realizar  reuniones periodicas conforme a lo reglamentado para cada estamento institucional</v>
          </cell>
          <cell r="T51" t="str">
            <v>No</v>
          </cell>
          <cell r="U51" t="str">
            <v>Verificar en caso de requerirse o de presentarse queja</v>
          </cell>
        </row>
        <row r="52">
          <cell r="A52">
            <v>45</v>
          </cell>
          <cell r="B52"/>
          <cell r="C52" t="str">
            <v>ANTONIO NARIÑO</v>
          </cell>
          <cell r="D52" t="str">
            <v>PRIVADO</v>
          </cell>
          <cell r="E52" t="str">
            <v>EPBM</v>
          </cell>
          <cell r="F52" t="str">
            <v>COLEGIO_PARROQUIAL_NUESTRA_SEÑORA_DE_LA_VALVANERA</v>
          </cell>
          <cell r="G52" t="str">
            <v>COLEGIO PARROQUIAL NUESTRA SEÑORA DE LA VALVANERA</v>
          </cell>
          <cell r="H52" t="str">
            <v>Autoevaluación Institucional y Pruebas SABER 11</v>
          </cell>
          <cell r="I52" t="str">
            <v>EVALUACIÓN_CON_FINES_DE_MEJORAMIENTO.</v>
          </cell>
          <cell r="J52" t="str">
            <v>Verificar las condiciones en cuanto a: la estructura administrativa, condiciones de la planta física y medios educativos adecuados.</v>
          </cell>
          <cell r="K52" t="str">
            <v>ORLANDO SUÁREZ SOTO</v>
          </cell>
          <cell r="L52" t="str">
            <v>JOSÉ RODRIGO QUILAGUY BERNAL</v>
          </cell>
          <cell r="M52">
            <v>45790</v>
          </cell>
          <cell r="N52">
            <v>45796</v>
          </cell>
          <cell r="O52">
            <v>45796</v>
          </cell>
          <cell r="P52" t="str">
            <v>Visitas de evaluación con fines de mejoramiento</v>
          </cell>
          <cell r="Q52" t="str">
            <v>11. Acta de visita Integral - Col. Parroquial Ntra Sra de la Valvanera.pdf</v>
          </cell>
          <cell r="R52" t="str">
            <v>Los espacios administrativos, ambientes de aprendizaje, espacios ludicos, recreativos y culturales  son suficientes y cuentan con la dotación pertinente.</v>
          </cell>
          <cell r="S52" t="str">
            <v xml:space="preserve">Continuar con la revision, ajuste y seguimietno para la conservacion de la planta y recursos de la IE. </v>
          </cell>
          <cell r="T52" t="str">
            <v>No</v>
          </cell>
          <cell r="U52" t="str">
            <v>Se realizará nueva visita en caso de ser necesario o presentarse queja</v>
          </cell>
        </row>
        <row r="53">
          <cell r="A53">
            <v>46</v>
          </cell>
          <cell r="B53">
            <v>6</v>
          </cell>
          <cell r="C53" t="str">
            <v>ANTONIO NARIÑO</v>
          </cell>
          <cell r="D53" t="str">
            <v>PRIVADO</v>
          </cell>
          <cell r="E53" t="str">
            <v>EPBM</v>
          </cell>
          <cell r="F53" t="str">
            <v>COLEGIO_CRISTO_REY_DEL_SUR</v>
          </cell>
          <cell r="G53" t="str">
            <v>COLEGIO CRISTO REY DEL SUR</v>
          </cell>
          <cell r="H53" t="str">
            <v>Autoevaluación Institucional y Pruebas SABER 11</v>
          </cell>
          <cell r="I53" t="str">
            <v>SEGUIMIENTO_Y_SUPERVISIÓN.</v>
          </cell>
          <cell r="J53" t="str">
            <v>Realizar visitas para verificar la información registrada sobre la autoevaluación institucional en el aplicativo EVI, a los establecimientos de educación formal no oficial.</v>
          </cell>
          <cell r="K53" t="str">
            <v>JOSÉ RODRIGO QUILAGUY BERNAL</v>
          </cell>
          <cell r="L53" t="str">
            <v>ORLANDO SUÁREZ SOTO</v>
          </cell>
          <cell r="M53">
            <v>45799</v>
          </cell>
          <cell r="N53">
            <v>45800</v>
          </cell>
          <cell r="O53">
            <v>45800</v>
          </cell>
          <cell r="P53" t="str">
            <v>Visitas de evaluación con fines de seguimiento</v>
          </cell>
          <cell r="Q53" t="str">
            <v>13. Acta Col Cristo Rey del Sur.pdf</v>
          </cell>
          <cell r="R53" t="str">
            <v>La información reportada y la realidad constatada durante la actuación realizada conservan una coherencia general, en términos amplios,  respaldan la situación observada.</v>
          </cell>
          <cell r="S53" t="str">
            <v>Se considera generalmente coherente con la realidad observada en la visita. Esto sugiere un proceso de autoevaluación interno con un nivel aceptable de fiabilidad y veracidad.</v>
          </cell>
          <cell r="T53" t="str">
            <v>No</v>
          </cell>
          <cell r="U53" t="str">
            <v>Emitir concepto para tarifas educativas 2026</v>
          </cell>
        </row>
        <row r="54">
          <cell r="A54">
            <v>48</v>
          </cell>
          <cell r="B54"/>
          <cell r="C54" t="str">
            <v>ANTONIO NARIÑO</v>
          </cell>
          <cell r="D54" t="str">
            <v>PRIVADO</v>
          </cell>
          <cell r="E54" t="str">
            <v>EPBM</v>
          </cell>
          <cell r="F54" t="str">
            <v>COLEGIO_CRISTO_REY_DEL_SUR</v>
          </cell>
          <cell r="G54" t="str">
            <v>COLEGIO CRISTO REY DEL SUR</v>
          </cell>
          <cell r="H54" t="str">
            <v>Autoevaluación Institucional y Pruebas SABER 11</v>
          </cell>
          <cell r="I54" t="str">
            <v>SEGUIMIENTO_Y_SUPERVISIÓN.</v>
          </cell>
          <cell r="J54" t="str">
            <v xml:space="preserve">Verificar la implementación por parte de los colegios, de acciones realizadas para la prevención y atención de las situaciones de convivencia en el entorno escolar, según lo establecido en la Directiva 01 de 2022 del MEN. </v>
          </cell>
          <cell r="K54" t="str">
            <v>JOSÉ RODRIGO QUILAGUY BERNAL</v>
          </cell>
          <cell r="L54" t="str">
            <v>ORLANDO SUÁREZ SOTO</v>
          </cell>
          <cell r="M54">
            <v>45799</v>
          </cell>
          <cell r="N54">
            <v>45800</v>
          </cell>
          <cell r="O54">
            <v>45800</v>
          </cell>
          <cell r="P54" t="str">
            <v>Visitas de evaluación con fines de seguimiento</v>
          </cell>
          <cell r="Q54" t="str">
            <v>13. Acta Col Cristo Rey del Sur.pdf</v>
          </cell>
          <cell r="R54" t="str">
            <v>Se verificó que la Institución Educativa cumple cabalmente con lo estipulado en la Directiva 01 de 2022 del Ministerio de Educación Nacional, al realizar con una periodicidad cuatrimestral la consulta de inhabilidades por delitos sexuales del personal vinculado.</v>
          </cell>
          <cell r="S54" t="str">
            <v>El establecimiento educativo está dando pleno cumplimiento a lo establecido en la Directiva 01 de 2022 del Ministerio de Educación Nacional en lo referente a la prevención de riesgos y la garantía de un entorno escolar seguro.</v>
          </cell>
          <cell r="T54" t="str">
            <v>No</v>
          </cell>
          <cell r="U54" t="str">
            <v>Se realizará nueva visita en caso de ser necesario o presentarse queja</v>
          </cell>
        </row>
        <row r="55">
          <cell r="A55">
            <v>49</v>
          </cell>
          <cell r="B55"/>
          <cell r="C55" t="str">
            <v>ANTONIO NARIÑO</v>
          </cell>
          <cell r="D55" t="str">
            <v>PRIVADO</v>
          </cell>
          <cell r="E55" t="str">
            <v>EPBM</v>
          </cell>
          <cell r="F55" t="str">
            <v>COLEGIO_CRISTO_REY_DEL_SUR</v>
          </cell>
          <cell r="G55" t="str">
            <v>COLEGIO CRISTO REY DEL SUR</v>
          </cell>
          <cell r="H55" t="str">
            <v>Autoevaluación Institucional y Pruebas SABER 11</v>
          </cell>
          <cell r="I55" t="str">
            <v>SEGUIMIENTO_Y_SUPERVISIÓN.</v>
          </cell>
          <cell r="J5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5" t="str">
            <v>JOSÉ RODRIGO QUILAGUY BERNAL</v>
          </cell>
          <cell r="L55" t="str">
            <v>ORLANDO SUÁREZ SOTO</v>
          </cell>
          <cell r="M55">
            <v>45799</v>
          </cell>
          <cell r="N55">
            <v>45800</v>
          </cell>
          <cell r="O55">
            <v>45800</v>
          </cell>
          <cell r="P55" t="str">
            <v>Visitas de evaluación con fines de seguimiento</v>
          </cell>
          <cell r="Q55" t="str">
            <v>13. Acta Col Cristo Rey del Sur.pdf</v>
          </cell>
          <cell r="R55" t="str">
            <v>Elaboración y actualización trimestral con familia, docentes, orientador. Contienen necesidades y ajustes (curricular/infraestructura). Requiere fortalecer autonomía pedagógica en caracterización, reduciendo dependencia de orientación. Falta formalidad en firmas.</v>
          </cell>
          <cell r="S55" t="str">
            <v>Que el establecimiento formalice mediante firmas de todos los integrantes de la comunidad educativa involucrados en los PIAR, asegurando así la validez y el compromiso documental de los ajustes establecidos</v>
          </cell>
          <cell r="T55" t="str">
            <v>Si</v>
          </cell>
          <cell r="U55" t="str">
            <v>Verificar las acciones definidas en el plan de mejoramiento una vez sea presentado 17.06.2025.
Se realiza seguimiento del PMI, se realizan observaciones y retroalimentación frente a la documentación presentada, conforme a lo orientado. (23/09/2025) Ver Carpeta POAIV - TRIM III</v>
          </cell>
        </row>
        <row r="56">
          <cell r="A56">
            <v>50</v>
          </cell>
          <cell r="B56"/>
          <cell r="C56" t="str">
            <v>ANTONIO NARIÑO</v>
          </cell>
          <cell r="D56" t="str">
            <v>PRIVADO</v>
          </cell>
          <cell r="E56" t="str">
            <v>EPBM</v>
          </cell>
          <cell r="F56" t="str">
            <v>COLEGIO_CRISTO_REY_DEL_SUR</v>
          </cell>
          <cell r="G56" t="str">
            <v>COLEGIO CRISTO REY DEL SUR</v>
          </cell>
          <cell r="H56" t="str">
            <v>Autoevaluación Institucional y Pruebas SABER 11</v>
          </cell>
          <cell r="I56" t="str">
            <v>EVALUACIÓN_CON_FINES_DE_MEJORAMIENTO.</v>
          </cell>
          <cell r="J5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6" t="str">
            <v>JOSÉ RODRIGO QUILAGUY BERNAL</v>
          </cell>
          <cell r="L56" t="str">
            <v>ORLANDO SUÁREZ SOTO</v>
          </cell>
          <cell r="M56">
            <v>45799</v>
          </cell>
          <cell r="N56">
            <v>45800</v>
          </cell>
          <cell r="O56">
            <v>45800</v>
          </cell>
          <cell r="P56" t="str">
            <v>Visitas de evaluación con fines de mejoramiento</v>
          </cell>
          <cell r="Q56" t="str">
            <v>13. Acta Col Cristo Rey del Sur.pdf</v>
          </cell>
          <cell r="R56" t="str">
            <v xml:space="preserve">Manual de Convivencia elaborado participativamente y actualizado (Res. Rectoral 001/2023), incluye elementos legales y enfoques de diversidad para 2024. Se recomienda protocolizar su actualización 2025 y que ajustes sean adoptados por acto administrativo rectoral. El CCE opera bimensualmente. </v>
          </cell>
          <cell r="S56" t="str">
            <v>Se compromete a la Institución Educativa a protocolizar formalmente la actualización del Manual para la vigencia 2025, mediante acto administrativo rectoral, y a asegurar la plena implementación del plan de convivencia escolar y su reglamento interno, manteniendo la periodicidad normativa en el funcionamiento del Comité de Convivencia Escolar.</v>
          </cell>
          <cell r="T56" t="str">
            <v>Si</v>
          </cell>
          <cell r="U56" t="str">
            <v>Verificar las acciones definidas en el plan de mejoramiento una vez sea presentado 17.06.2025.
Se realiza seguimiento del PMI, se subsana con la documentación presentada, conforme a lo orientado. (23/09/2025) Ver Carpeta POAIV - TRIM III</v>
          </cell>
        </row>
        <row r="57">
          <cell r="A57">
            <v>51</v>
          </cell>
          <cell r="B57"/>
          <cell r="C57" t="str">
            <v>ANTONIO NARIÑO</v>
          </cell>
          <cell r="D57" t="str">
            <v>PRIVADO</v>
          </cell>
          <cell r="E57" t="str">
            <v>EPBM</v>
          </cell>
          <cell r="F57" t="str">
            <v>COLEGIO_CRISTO_REY_DEL_SUR</v>
          </cell>
          <cell r="G57" t="str">
            <v>COLEGIO CRISTO REY DEL SUR</v>
          </cell>
          <cell r="H57" t="str">
            <v>Autoevaluación Institucional y Pruebas SABER 11</v>
          </cell>
          <cell r="I57" t="str">
            <v>EVALUACIÓN_CON_FINES_DE_MEJORAMIENTO.</v>
          </cell>
          <cell r="J57" t="str">
            <v>Revisar la actualización, socialización e implementación del Sistema Institucional de Evaluación de Estudiantes - SIEE, en articulación con la actualización del PEI y la normatividad vigente.</v>
          </cell>
          <cell r="K57" t="str">
            <v>JOSÉ RODRIGO QUILAGUY BERNAL</v>
          </cell>
          <cell r="L57" t="str">
            <v>ORLANDO SUÁREZ SOTO</v>
          </cell>
          <cell r="M57">
            <v>45799</v>
          </cell>
          <cell r="N57">
            <v>45800</v>
          </cell>
          <cell r="O57">
            <v>45800</v>
          </cell>
          <cell r="P57" t="str">
            <v>Visitas de evaluación con fines de mejoramiento</v>
          </cell>
          <cell r="Q57" t="str">
            <v>13. Acta Col Cristo Rey del Sur.pdf</v>
          </cell>
          <cell r="R57" t="str">
            <v>La institución implementa estrategias coordinadas de seguimiento académico (agenda, formato estandarizado, observador). Se identifican estrategias de refuerzo (intra-periodo, contrajornada, excepcional con padres) que no están debidamente documentadas.</v>
          </cell>
          <cell r="S57" t="str">
            <v>Existe una clara oportunidad de mejora en la formalización y documentación de sus estrategias de refuerzo académico y otras buenas prácticas, las cuales, al ser incorporadas explícitamente en los documentos institucionales.</v>
          </cell>
          <cell r="T57" t="str">
            <v>Si</v>
          </cell>
          <cell r="U57" t="str">
            <v>Verificar las acciones definidas en el plan de mejoramiento una vez sea presentado 17.06.2025.
Se realiza seguimiento del PMI, se realizan observaciones y retroalimentación frente a la documentación presentada, conforme a lo orientado. (23/09/2025) Ver Carpeta POAIV - TRIM III</v>
          </cell>
        </row>
        <row r="58">
          <cell r="A58">
            <v>52</v>
          </cell>
          <cell r="B58"/>
          <cell r="C58" t="str">
            <v>ANTONIO NARIÑO</v>
          </cell>
          <cell r="D58" t="str">
            <v>PRIVADO</v>
          </cell>
          <cell r="E58" t="str">
            <v>EPBM</v>
          </cell>
          <cell r="F58" t="str">
            <v>COLEGIO_CRISTO_REY_DEL_SUR</v>
          </cell>
          <cell r="G58" t="str">
            <v>COLEGIO CRISTO REY DEL SUR</v>
          </cell>
          <cell r="H58" t="str">
            <v>Autoevaluación Institucional y Pruebas SABER 11</v>
          </cell>
          <cell r="I58" t="str">
            <v>EVALUACIÓN_CON_FINES_DE_MEJORAMIENTO.</v>
          </cell>
          <cell r="J58" t="str">
            <v>Revisar el calendario escolar, jornada escolar, la intensidad horaria mínima anual en cada nivel y las modificaciones que se realicen al mismo, de acuerdo con lo previsto en la normatividad vigente.</v>
          </cell>
          <cell r="K58" t="str">
            <v>JOSÉ RODRIGO QUILAGUY BERNAL</v>
          </cell>
          <cell r="L58" t="str">
            <v>ORLANDO SUÁREZ SOTO</v>
          </cell>
          <cell r="M58">
            <v>45799</v>
          </cell>
          <cell r="N58">
            <v>45800</v>
          </cell>
          <cell r="O58">
            <v>45800</v>
          </cell>
          <cell r="P58" t="str">
            <v>Visitas de evaluación con fines de mejoramiento</v>
          </cell>
          <cell r="Q58" t="str">
            <v>13. Acta Col Cristo Rey del Sur.pdf</v>
          </cell>
          <cell r="R58" t="str">
            <v>Se constata que la Institución Educativa garantiza el cumplimiento de la intensidad horaria mínima anual establecida para cada el nivel educativo que ofrece.</v>
          </cell>
          <cell r="S58" t="str">
            <v>Se concluye que el establecimiento educativo está dando pleno cumplimiento a la normativa vigente en cuanto a la organización del calendario y la jornada escolar</v>
          </cell>
          <cell r="T58" t="str">
            <v>No</v>
          </cell>
          <cell r="U58" t="str">
            <v>Se hará nueva verificación en caso de requerirse.</v>
          </cell>
        </row>
        <row r="59">
          <cell r="A59">
            <v>53</v>
          </cell>
          <cell r="B59"/>
          <cell r="C59" t="str">
            <v>ANTONIO NARIÑO</v>
          </cell>
          <cell r="D59" t="str">
            <v>PRIVADO</v>
          </cell>
          <cell r="E59" t="str">
            <v>EPBM</v>
          </cell>
          <cell r="F59" t="str">
            <v>COLEGIO_CRISTO_REY_DEL_SUR</v>
          </cell>
          <cell r="G59" t="str">
            <v>COLEGIO CRISTO REY DEL SUR</v>
          </cell>
          <cell r="H59" t="str">
            <v>Autoevaluación Institucional y Pruebas SABER 11</v>
          </cell>
          <cell r="I59" t="str">
            <v>EVALUACIÓN_CON_FINES_DE_MEJORAMIENTO.</v>
          </cell>
          <cell r="J59" t="str">
            <v>Verificar el funcionamiento del Gobierno Escolar e instancias de participación con base en la información sobre conformación reportada por la institución educativa.</v>
          </cell>
          <cell r="K59" t="str">
            <v>JOSÉ RODRIGO QUILAGUY BERNAL</v>
          </cell>
          <cell r="L59" t="str">
            <v>ORLANDO SUÁREZ SOTO</v>
          </cell>
          <cell r="M59">
            <v>45799</v>
          </cell>
          <cell r="N59">
            <v>45800</v>
          </cell>
          <cell r="O59">
            <v>45800</v>
          </cell>
          <cell r="P59" t="str">
            <v>Visitas de evaluación con fines de mejoramiento</v>
          </cell>
          <cell r="Q59" t="str">
            <v>13. Acta Col Cristo Rey del Sur.pdf</v>
          </cell>
          <cell r="R59" t="str">
            <v>La Institución Educativa realizó la conformación del Gobierno Escolar (Consejo Directivo y Consejo Académico), y sus actas de comités demuestran operatividad y cumplimiento de funciones en 2024 (2 actas para cada consejo).</v>
          </cell>
          <cell r="S59" t="str">
            <v>Se recomienda tener en cuenta la periodicidad de las reuniones de estas instancias</v>
          </cell>
          <cell r="T59" t="str">
            <v>No</v>
          </cell>
          <cell r="U59" t="str">
            <v>Se verificará la conformación de los gobiernos escolares e instancias para la vigencia 2026.</v>
          </cell>
        </row>
        <row r="60">
          <cell r="A60">
            <v>54</v>
          </cell>
          <cell r="B60"/>
          <cell r="C60" t="str">
            <v>ANTONIO NARIÑO</v>
          </cell>
          <cell r="D60" t="str">
            <v>PRIVADO</v>
          </cell>
          <cell r="E60" t="str">
            <v>EPBM</v>
          </cell>
          <cell r="F60" t="str">
            <v>COLEGIO_CRISTO_REY_DEL_SUR</v>
          </cell>
          <cell r="G60" t="str">
            <v>COLEGIO CRISTO REY DEL SUR</v>
          </cell>
          <cell r="H60" t="str">
            <v>Autoevaluación Institucional y Pruebas SABER 11</v>
          </cell>
          <cell r="I60" t="str">
            <v>EVALUACIÓN_CON_FINES_DE_MEJORAMIENTO.</v>
          </cell>
          <cell r="J60" t="str">
            <v>Verificar las condiciones en cuanto a: la estructura administrativa, condiciones de la planta física y medios educativos adecuados.</v>
          </cell>
          <cell r="K60" t="str">
            <v>JOSÉ RODRIGO QUILAGUY BERNAL</v>
          </cell>
          <cell r="L60" t="str">
            <v>ORLANDO SUÁREZ SOTO</v>
          </cell>
          <cell r="M60">
            <v>45799</v>
          </cell>
          <cell r="N60">
            <v>45800</v>
          </cell>
          <cell r="O60">
            <v>45800</v>
          </cell>
          <cell r="P60" t="str">
            <v>Visitas de evaluación con fines de mejoramiento</v>
          </cell>
          <cell r="Q60" t="str">
            <v>13. Acta Col Cristo Rey del Sur.pdf</v>
          </cell>
          <cell r="R60" t="str">
            <v xml:space="preserve">IE opera con estructura funcional, sin organigrama explícito en PEI. Roles directivos detallados, pero se recomienda referenciar perfiles mínimos. Ambientes y medios educativos, y espacios (adm., lúdicos) suficientes y dotados. </v>
          </cell>
          <cell r="S60" t="str">
            <v>IE cumple en infraestructura y recursos; debe mejorar formalidad administrativa y perfiles de cargo.</v>
          </cell>
          <cell r="T60" t="str">
            <v>No</v>
          </cell>
          <cell r="U60" t="str">
            <v>Se hará nueva verificación en caso de requerirse.</v>
          </cell>
        </row>
        <row r="61">
          <cell r="A61">
            <v>55</v>
          </cell>
          <cell r="B61">
            <v>7</v>
          </cell>
          <cell r="C61" t="str">
            <v>ANTONIO NARIÑO</v>
          </cell>
          <cell r="D61" t="str">
            <v>PRIVADO</v>
          </cell>
          <cell r="E61" t="str">
            <v>EPBM</v>
          </cell>
          <cell r="F61" t="str">
            <v>COLEGIO_EDUARDO_FREI</v>
          </cell>
          <cell r="G61" t="str">
            <v>COLEGIO EDUARDO FREI</v>
          </cell>
          <cell r="H61" t="str">
            <v>Autoevaluación Institucional y Pruebas SABER 11</v>
          </cell>
          <cell r="I61" t="str">
            <v>SEGUIMIENTO_Y_SUPERVISIÓN.</v>
          </cell>
          <cell r="J61" t="str">
            <v>Realizar visitas para verificar la información registrada sobre la autoevaluación institucional en el aplicativo EVI, a los establecimientos de educación formal no oficial.</v>
          </cell>
          <cell r="K61" t="str">
            <v>JOHN JAIRO BOBADILLA BERMEO</v>
          </cell>
          <cell r="L61" t="str">
            <v>ORLANDO SUÁREZ SOTO
JOSÉ RODRIGO QUILAGUY BERNAL
JOHN JAIRO BOBADILLA BERMEO</v>
          </cell>
          <cell r="M61">
            <v>45811</v>
          </cell>
          <cell r="N61">
            <v>45791</v>
          </cell>
          <cell r="O61">
            <v>45791</v>
          </cell>
          <cell r="P61" t="str">
            <v>Visitas de evaluación con fines de seguimiento</v>
          </cell>
          <cell r="Q61" t="str">
            <v>08. Acta de visita Integral - COLEGIO EDUARDO.pdf</v>
          </cell>
          <cell r="R61" t="str">
            <v>Se evidencia la cohoerencia entre lo registrado en el EVI y la realidad institucional frente a recursos y procesos.</v>
          </cell>
          <cell r="S61" t="str">
            <v>Realizar la auevaluación anual conforme las condicones, procesos y recursos de la IE,</v>
          </cell>
          <cell r="T61" t="str">
            <v>No</v>
          </cell>
          <cell r="U61" t="str">
            <v>Emitir concepto para las tarifas 2026.</v>
          </cell>
        </row>
        <row r="62">
          <cell r="A62">
            <v>57</v>
          </cell>
          <cell r="B62"/>
          <cell r="C62" t="str">
            <v>ANTONIO NARIÑO</v>
          </cell>
          <cell r="D62" t="str">
            <v>PRIVADO</v>
          </cell>
          <cell r="E62" t="str">
            <v>EPBM</v>
          </cell>
          <cell r="F62" t="str">
            <v>COLEGIO_EDUARDO_FREI</v>
          </cell>
          <cell r="G62" t="str">
            <v>COLEGIO EDUARDO FREI</v>
          </cell>
          <cell r="H62" t="str">
            <v>Autoevaluación Institucional y Pruebas SABER 11</v>
          </cell>
          <cell r="I62" t="str">
            <v>SEGUIMIENTO_Y_SUPERVISIÓN.</v>
          </cell>
          <cell r="J62" t="str">
            <v xml:space="preserve">Verificar la implementación por parte de los colegios, de acciones realizadas para la prevención y atención de las situaciones de convivencia en el entorno escolar, según lo establecido en la Directiva 01 de 2022 del MEN. </v>
          </cell>
          <cell r="K62" t="str">
            <v>JOHN JAIRO BOBADILLA BERMEO</v>
          </cell>
          <cell r="L62" t="str">
            <v>ORLANDO SUÁREZ SOTO
JOSÉ RODRIGO QUILAGUY BERNAL
JOHN JAIRO BOBADILLA BERMEO</v>
          </cell>
          <cell r="M62">
            <v>45811</v>
          </cell>
          <cell r="N62">
            <v>45791</v>
          </cell>
          <cell r="O62">
            <v>45791</v>
          </cell>
          <cell r="P62" t="str">
            <v>Visitas de evaluación con fines de seguimiento</v>
          </cell>
          <cell r="Q62" t="str">
            <v>08. Acta de visita Integral - COLEGIO EDUARDO.pdf</v>
          </cell>
          <cell r="R62" t="str">
            <v>Se observó baja articulación entre el manual de convivencia y la directiva 01 de 2022.</v>
          </cell>
          <cell r="S62" t="str">
            <v>El establecimiento debe adelantar acciones de promoción, prevención, atención, teniendo en cuenta el reporte del sistema de alertas del distrito, ademas del aumento de la concurrencia con la que se reune el Comite de convivencia y demas estamentos de participacion desde lo convivencial.</v>
          </cell>
          <cell r="T62" t="str">
            <v>Si</v>
          </cell>
          <cell r="U62" t="str">
            <v>El EE se comprometió a actualizar su protocolo de convivencia con base en la directiva del MEN. Se realizarán jornadas de capacitación a toda la comunidad educativa sobre las rutas de atención.
Se realiza seguimiento del PMI, evidenciándose avance, conforme a lo orientado. (17/09/2025) Ver Carpeta POAIV - TRIM III</v>
          </cell>
        </row>
        <row r="63">
          <cell r="A63">
            <v>58</v>
          </cell>
          <cell r="B63"/>
          <cell r="C63" t="str">
            <v>ANTONIO NARIÑO</v>
          </cell>
          <cell r="D63" t="str">
            <v>PRIVADO</v>
          </cell>
          <cell r="E63" t="str">
            <v>EPBM</v>
          </cell>
          <cell r="F63" t="str">
            <v>COLEGIO_EDUARDO_FREI</v>
          </cell>
          <cell r="G63" t="str">
            <v>COLEGIO EDUARDO FREI</v>
          </cell>
          <cell r="H63" t="str">
            <v>Autoevaluación Institucional y Pruebas SABER 11</v>
          </cell>
          <cell r="I63" t="str">
            <v>SEGUIMIENTO_Y_SUPERVISIÓN.</v>
          </cell>
          <cell r="J6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3" t="str">
            <v>JOHN JAIRO BOBADILLA BERMEO</v>
          </cell>
          <cell r="L63" t="str">
            <v>ORLANDO SUÁREZ SOTO
JOSÉ RODRIGO QUILAGUY BERNAL
JOHN JAIRO BOBADILLA BERMEO</v>
          </cell>
          <cell r="M63">
            <v>45811</v>
          </cell>
          <cell r="N63">
            <v>45791</v>
          </cell>
          <cell r="O63">
            <v>45791</v>
          </cell>
          <cell r="P63" t="str">
            <v>Visitas de evaluación con fines de seguimiento</v>
          </cell>
          <cell r="Q63" t="str">
            <v>08. Acta de visita Integral - COLEGIO EDUARDO.pdf</v>
          </cell>
          <cell r="R63" t="str">
            <v>Se evidencia que la IE tiene caracterizados los estudiantes con trastornos de aprendizaje y talentos excepcionales y ha implementado estrategias para su atención. Sin embargo, no se evidencia la implementación del decreto 1421 de 2017 con el Proyecto de inclusión en el PEI.</v>
          </cell>
          <cell r="S63" t="str">
            <v>Se establecerán metas medibles en términos de cobertura y calidad.</v>
          </cell>
          <cell r="T63" t="str">
            <v>Si</v>
          </cell>
          <cell r="U63" t="str">
            <v>Se realizará seguimiento documental a los PIAR construidos o actualizados. Se verificará la existencia de actas de concertación con familias y docentes. Se revisará la implementación de adaptaciones curriculares en el aula.
Se realiza seguimiento del PMI, evidenciándose avance, conforme a lo orientado. (17/09/2025) Ver Carpeta POAIV - TRIM III</v>
          </cell>
        </row>
        <row r="64">
          <cell r="A64">
            <v>59</v>
          </cell>
          <cell r="B64"/>
          <cell r="C64" t="str">
            <v>ANTONIO NARIÑO</v>
          </cell>
          <cell r="D64" t="str">
            <v>PRIVADO</v>
          </cell>
          <cell r="E64" t="str">
            <v>EPBM</v>
          </cell>
          <cell r="F64" t="str">
            <v>COLEGIO_EDUARDO_FREI</v>
          </cell>
          <cell r="G64" t="str">
            <v>COLEGIO EDUARDO FREI</v>
          </cell>
          <cell r="H64" t="str">
            <v>Autoevaluación Institucional y Pruebas SABER 11</v>
          </cell>
          <cell r="I64" t="str">
            <v>EVALUACIÓN_CON_FINES_DE_MEJORAMIENTO.</v>
          </cell>
          <cell r="J6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4" t="str">
            <v>JOHN JAIRO BOBADILLA BERMEO</v>
          </cell>
          <cell r="L64" t="str">
            <v>ORLANDO SUÁREZ SOTO
JOSÉ RODRIGO QUILAGUY BERNAL
JOHN JAIRO BOBADILLA BERMEO</v>
          </cell>
          <cell r="M64">
            <v>45811</v>
          </cell>
          <cell r="N64">
            <v>45791</v>
          </cell>
          <cell r="O64">
            <v>45791</v>
          </cell>
          <cell r="P64" t="str">
            <v>Visitas de evaluación con fines de mejoramiento</v>
          </cell>
          <cell r="Q64" t="str">
            <v>08. Acta de visita Integral - COLEGIO EDUARDO.pdf</v>
          </cell>
          <cell r="R64" t="str">
            <v>Se evidenció que el Manual de Convivencia está incluido en el PEI y presenta una fecha reciente de actualización (febrero de 2025). Sin embargo, se identificaron observaciones sobre la separación y claridad de la misión y visión institucional.</v>
          </cell>
          <cell r="S64" t="str">
            <v>Se adquirió el compromiso de ajustar la redacción y estructura de la misión y visión en el PEI. Se implementarán estrategias para mejorar la difusión y socialización del Manual de Convivencia con toda la comunidad educativa. Se fortalecerá el conocimiento normativo del personal directivo para garantizar el cumplimiento de las leyes aplicables.</v>
          </cell>
          <cell r="T64" t="str">
            <v>Si</v>
          </cell>
          <cell r="U64" t="str">
            <v>Se solicitará evidencia documental de la socialización con estudiantes, docentes y padres. También se revisará la articulación del Manual con las rutas de atención integral y protocolos de convivencia escolar.
Se realiza seguimiento del PMI, evidenciándose avance, conforme a lo orientado. (17/09/2025) Ver Carpeta POAIV - TRIM III</v>
          </cell>
        </row>
        <row r="65">
          <cell r="A65">
            <v>60</v>
          </cell>
          <cell r="B65"/>
          <cell r="C65" t="str">
            <v>ANTONIO NARIÑO</v>
          </cell>
          <cell r="D65" t="str">
            <v>PRIVADO</v>
          </cell>
          <cell r="E65" t="str">
            <v>EPBM</v>
          </cell>
          <cell r="F65" t="str">
            <v>COLEGIO_EDUARDO_FREI</v>
          </cell>
          <cell r="G65" t="str">
            <v>COLEGIO EDUARDO FREI</v>
          </cell>
          <cell r="H65" t="str">
            <v>Autoevaluación Institucional y Pruebas SABER 11</v>
          </cell>
          <cell r="I65" t="str">
            <v>EVALUACIÓN_CON_FINES_DE_MEJORAMIENTO.</v>
          </cell>
          <cell r="J65" t="str">
            <v>Revisar la actualización, socialización e implementación del Sistema Institucional de Evaluación de Estudiantes - SIEE, en articulación con la actualización del PEI y la normatividad vigente.</v>
          </cell>
          <cell r="K65" t="str">
            <v>JOHN JAIRO BOBADILLA BERMEO</v>
          </cell>
          <cell r="L65" t="str">
            <v>ORLANDO SUÁREZ SOTO
JOSÉ RODRIGO QUILAGUY BERNAL
JOHN JAIRO BOBADILLA BERMEO</v>
          </cell>
          <cell r="M65">
            <v>45811</v>
          </cell>
          <cell r="N65">
            <v>45791</v>
          </cell>
          <cell r="O65">
            <v>45791</v>
          </cell>
          <cell r="P65" t="str">
            <v>Visitas de evaluación con fines de mejoramiento</v>
          </cell>
          <cell r="Q65" t="str">
            <v>08. Acta de visita Integral - COLEGIO EDUARDO.pdf</v>
          </cell>
          <cell r="R65" t="str">
            <v>Se evidenció que el SIEE está formulado y cuenta con registros de actividades, pero carece de estrategias claras de nivelación y apoyo para mitigar casos especiales.</v>
          </cell>
          <cell r="S65" t="str">
            <v>El EE se comprometió a revisar y actualizar el SIEE para articularlo de forma coherente con el PEI. Se definirá un plan de socialización del SIEE con todos los actores escolares. Además, se establecerán estrategias pedagógicas específicas para nivelación y resolución de casos especiales.</v>
          </cell>
          <cell r="T65" t="str">
            <v>Si</v>
          </cell>
          <cell r="U65" t="str">
            <v>Se hará seguimiento mediante revisión documental del nuevo SIEE y su implementación. Se solicitarán actas de socialización con docentes, estudiantes y padres. Además, se evaluará la eficacia de las estrategias implementadas para mitigar dificultades académicas.
Se realiza seguimiento del PMI, evidenciándose avance, conforme a lo orientado. (17/09/2025) Ver Carpeta POAIV - TRIM III</v>
          </cell>
        </row>
        <row r="66">
          <cell r="A66">
            <v>61</v>
          </cell>
          <cell r="B66"/>
          <cell r="C66" t="str">
            <v>ANTONIO NARIÑO</v>
          </cell>
          <cell r="D66" t="str">
            <v>PRIVADO</v>
          </cell>
          <cell r="E66" t="str">
            <v>EPBM</v>
          </cell>
          <cell r="F66" t="str">
            <v>COLEGIO_EDUARDO_FREI</v>
          </cell>
          <cell r="G66" t="str">
            <v>COLEGIO EDUARDO FREI</v>
          </cell>
          <cell r="H66" t="str">
            <v>Autoevaluación Institucional y Pruebas SABER 11</v>
          </cell>
          <cell r="I66" t="str">
            <v>EVALUACIÓN_CON_FINES_DE_MEJORAMIENTO.</v>
          </cell>
          <cell r="J66" t="str">
            <v>Revisar el calendario escolar, jornada escolar, la intensidad horaria mínima anual en cada nivel y las modificaciones que se realicen al mismo, de acuerdo con lo previsto en la normatividad vigente.</v>
          </cell>
          <cell r="K66" t="str">
            <v>JOHN JAIRO BOBADILLA BERMEO</v>
          </cell>
          <cell r="L66" t="str">
            <v>ORLANDO SUÁREZ SOTO
JOSÉ RODRIGO QUILAGUY BERNAL
JOHN JAIRO BOBADILLA BERMEO</v>
          </cell>
          <cell r="M66">
            <v>45811</v>
          </cell>
          <cell r="N66">
            <v>45791</v>
          </cell>
          <cell r="O66">
            <v>45791</v>
          </cell>
          <cell r="P66" t="str">
            <v>Visitas de evaluación con fines de mejoramiento</v>
          </cell>
          <cell r="Q66" t="str">
            <v>08. Acta de visita Integral - COLEGIO EDUARDO.pdf</v>
          </cell>
          <cell r="R66" t="str">
            <v>Se verificó que la institución educativa cumple con la intensidad horaria mínima anual establecida para cada nivel educativo.</v>
          </cell>
          <cell r="S66" t="str">
            <v xml:space="preserve">Realizar la remsión anual del Calendario Académico para revisión,  y socializarlo con la comunidad educativa. </v>
          </cell>
          <cell r="T66" t="str">
            <v>No</v>
          </cell>
          <cell r="U66" t="str">
            <v>Se revisará para la siguente vigencia el calendario escolar presentado.</v>
          </cell>
        </row>
        <row r="67">
          <cell r="A67">
            <v>62</v>
          </cell>
          <cell r="B67"/>
          <cell r="C67" t="str">
            <v>ANTONIO NARIÑO</v>
          </cell>
          <cell r="D67" t="str">
            <v>PRIVADO</v>
          </cell>
          <cell r="E67" t="str">
            <v>EPBM</v>
          </cell>
          <cell r="F67" t="str">
            <v>COLEGIO_EDUARDO_FREI</v>
          </cell>
          <cell r="G67" t="str">
            <v>COLEGIO EDUARDO FREI</v>
          </cell>
          <cell r="H67" t="str">
            <v>Autoevaluación Institucional y Pruebas SABER 11</v>
          </cell>
          <cell r="I67" t="str">
            <v>EVALUACIÓN_CON_FINES_DE_MEJORAMIENTO.</v>
          </cell>
          <cell r="J67" t="str">
            <v>Verificar el funcionamiento del Gobierno Escolar e instancias de participación con base en la información sobre conformación reportada por la institución educativa.</v>
          </cell>
          <cell r="K67" t="str">
            <v>JOHN JAIRO BOBADILLA BERMEO</v>
          </cell>
          <cell r="L67" t="str">
            <v>ORLANDO SUÁREZ SOTO
JOSÉ RODRIGO QUILAGUY BERNAL
JOHN JAIRO BOBADILLA BERMEO</v>
          </cell>
          <cell r="M67">
            <v>45811</v>
          </cell>
          <cell r="N67">
            <v>45791</v>
          </cell>
          <cell r="O67">
            <v>45791</v>
          </cell>
          <cell r="P67" t="str">
            <v>Visitas de evaluación con fines de mejoramiento</v>
          </cell>
          <cell r="Q67" t="str">
            <v>08. Acta de visita Integral - COLEGIO EDUARDO.pdf</v>
          </cell>
          <cell r="R67" t="str">
            <v>Se evidenció la conformación formal del Consejo Académico  con participación activa. También se confirmó la existencia de estamentos de participación como el Consejo Directivo y demás órganos del Gobierno Escolar.</v>
          </cell>
          <cell r="S67" t="str">
            <v>El EE se compromete en continuar mejorando la documentación de los procesos del Gobierno Escolar, y la socialización de sus funciones.</v>
          </cell>
          <cell r="T67" t="str">
            <v>No</v>
          </cell>
          <cell r="U67" t="str">
            <v>Se realiza la verificación de la conformacion del gobierno escolar para la siguiente vigencia</v>
          </cell>
        </row>
        <row r="68">
          <cell r="A68">
            <v>63</v>
          </cell>
          <cell r="B68"/>
          <cell r="C68" t="str">
            <v>ANTONIO NARIÑO</v>
          </cell>
          <cell r="D68" t="str">
            <v>PRIVADO</v>
          </cell>
          <cell r="E68" t="str">
            <v>EPBM</v>
          </cell>
          <cell r="F68" t="str">
            <v>COLEGIO_EDUARDO_FREI</v>
          </cell>
          <cell r="G68" t="str">
            <v>COLEGIO EDUARDO FREI</v>
          </cell>
          <cell r="H68" t="str">
            <v>Autoevaluación Institucional y Pruebas SABER 11</v>
          </cell>
          <cell r="I68" t="str">
            <v>EVALUACIÓN_CON_FINES_DE_MEJORAMIENTO.</v>
          </cell>
          <cell r="J68" t="str">
            <v>Verificar las condiciones en cuanto a: la estructura administrativa, condiciones de la planta física y medios educativos adecuados.</v>
          </cell>
          <cell r="K68" t="str">
            <v>JOHN JAIRO BOBADILLA BERMEO</v>
          </cell>
          <cell r="L68" t="str">
            <v>ORLANDO SUÁREZ SOTO
JOSÉ RODRIGO QUILAGUY BERNAL
JOHN JAIRO BOBADILLA BERMEO</v>
          </cell>
          <cell r="M68">
            <v>45811</v>
          </cell>
          <cell r="N68">
            <v>45791</v>
          </cell>
          <cell r="O68">
            <v>45791</v>
          </cell>
          <cell r="P68" t="str">
            <v>Visitas de evaluación con fines de mejoramiento</v>
          </cell>
          <cell r="Q68" t="str">
            <v>08. Acta de visita Integral - COLEGIO EDUARDO.pdf</v>
          </cell>
          <cell r="R68" t="str">
            <v>Se constató que los ambientes de aprendizaje y medios educativos son suficientes y están bien dotados. La infraestructura contempla adecuaciones para población con discapacidad y el mobiliario presenta mantenimiento adecuado. Los espacios administrativos también son suficientes, bien organizados y funcionales para las labores institucionales.</v>
          </cell>
          <cell r="S68" t="str">
            <v>Mantener programas permanentes de mantenimiento preventivo, y la dotación con recursos tecnológicos y pedagógicos actualizados.</v>
          </cell>
          <cell r="T68" t="str">
            <v>No</v>
          </cell>
          <cell r="U68" t="str">
            <v>Se verificará mediante visita en caso de presentarse queja</v>
          </cell>
        </row>
        <row r="69">
          <cell r="A69">
            <v>64</v>
          </cell>
          <cell r="B69">
            <v>8</v>
          </cell>
          <cell r="C69" t="str">
            <v>ANTONIO NARIÑO</v>
          </cell>
          <cell r="D69" t="str">
            <v>PRIVADO</v>
          </cell>
          <cell r="E69" t="str">
            <v>EPBM</v>
          </cell>
          <cell r="F69" t="str">
            <v>INSTITUTO_BOGOTA</v>
          </cell>
          <cell r="G69" t="str">
            <v>INSTITUTO BOGOTA</v>
          </cell>
          <cell r="H69" t="str">
            <v>Autoevaluación Institucional y Pruebas SABER 11</v>
          </cell>
          <cell r="I69" t="str">
            <v>SEGUIMIENTO_Y_SUPERVISIÓN.</v>
          </cell>
          <cell r="J69" t="str">
            <v>Realizar visitas para verificar la información registrada sobre la autoevaluación institucional en el aplicativo EVI, a los establecimientos de educación formal no oficial.</v>
          </cell>
          <cell r="K69" t="str">
            <v>ORLANDO SUÁREZ SOTO</v>
          </cell>
          <cell r="L69" t="str">
            <v>JOSÉ RODRIGO QUILAGUY BERNAL</v>
          </cell>
          <cell r="M69">
            <v>45820</v>
          </cell>
          <cell r="N69">
            <v>45792</v>
          </cell>
          <cell r="O69">
            <v>45792</v>
          </cell>
          <cell r="P69" t="str">
            <v>Visitas de evaluación con fines de seguimiento</v>
          </cell>
          <cell r="Q69" t="str">
            <v>09. Acta de visita Integral - INSTITUTO BOGOTA.pdf</v>
          </cell>
          <cell r="R69" t="str">
            <v>Se evidencia la coherencia entre lo registrado en el EVI y la realidad institucional frente recursos y procesos.</v>
          </cell>
          <cell r="S69" t="str">
            <v>Continuar con la autoevaluación anual en   en aplicativo  EVI con oportunidad y completitud</v>
          </cell>
          <cell r="T69" t="str">
            <v>No</v>
          </cell>
          <cell r="U69" t="str">
            <v>Emitir concepto para las tarifas 2026.</v>
          </cell>
        </row>
        <row r="70">
          <cell r="A70">
            <v>66</v>
          </cell>
          <cell r="B70"/>
          <cell r="C70" t="str">
            <v>ANTONIO NARIÑO</v>
          </cell>
          <cell r="D70" t="str">
            <v>PRIVADO</v>
          </cell>
          <cell r="E70" t="str">
            <v>EPBM</v>
          </cell>
          <cell r="F70" t="str">
            <v>INSTITUTO_BOGOTA</v>
          </cell>
          <cell r="G70" t="str">
            <v>INSTITUTO BOGOTA</v>
          </cell>
          <cell r="H70" t="str">
            <v>Autoevaluación Institucional y Pruebas SABER 11</v>
          </cell>
          <cell r="I70" t="str">
            <v>SEGUIMIENTO_Y_SUPERVISIÓN.</v>
          </cell>
          <cell r="J70" t="str">
            <v xml:space="preserve">Verificar la implementación por parte de los colegios, de acciones realizadas para la prevención y atención de las situaciones de convivencia en el entorno escolar, según lo establecido en la Directiva 01 de 2022 del MEN. </v>
          </cell>
          <cell r="K70" t="str">
            <v>ORLANDO SUÁREZ SOTO</v>
          </cell>
          <cell r="L70" t="str">
            <v>JOSÉ RODRIGO QUILAGUY BERNAL</v>
          </cell>
          <cell r="M70">
            <v>45820</v>
          </cell>
          <cell r="N70">
            <v>45792</v>
          </cell>
          <cell r="O70">
            <v>45792</v>
          </cell>
          <cell r="P70" t="str">
            <v>Visitas de evaluación con fines de seguimiento</v>
          </cell>
          <cell r="Q70" t="str">
            <v>09. Acta de visita Integral - INSTITUTO BOGOTA.pdf</v>
          </cell>
          <cell r="R70" t="str">
            <v>Se evidencia que el PEI contempla acciones orientadas a la prevención de conflictos y promoción de la sana convivencia.</v>
          </cell>
          <cell r="S70" t="str">
            <v>Reforzar la implementación de estrategias del PEI relacionadas con la convivencia. Se deben formalizar los protocolos de atención, capacitar al personal y sistematizar el seguimiento de los casos.</v>
          </cell>
          <cell r="T70" t="str">
            <v>Si</v>
          </cell>
          <cell r="U70" t="str">
            <v>La IE Mejorara los mecanismos de atención y prevención de conflictos escolares, reforzara los canales de denuncia y generar cultura de paz.
Se realiza seguimento del PMI, evidenciandose avance, conforme a lo orientado. (12/09/2025) Ver Carpeta POAIV - TRIM III</v>
          </cell>
        </row>
        <row r="71">
          <cell r="A71">
            <v>67</v>
          </cell>
          <cell r="B71"/>
          <cell r="C71" t="str">
            <v>ANTONIO NARIÑO</v>
          </cell>
          <cell r="D71" t="str">
            <v>PRIVADO</v>
          </cell>
          <cell r="E71" t="str">
            <v>EPBM</v>
          </cell>
          <cell r="F71" t="str">
            <v>INSTITUTO_BOGOTA</v>
          </cell>
          <cell r="G71" t="str">
            <v>INSTITUTO BOGOTA</v>
          </cell>
          <cell r="H71" t="str">
            <v>Autoevaluación Institucional y Pruebas SABER 11</v>
          </cell>
          <cell r="I71" t="str">
            <v>SEGUIMIENTO_Y_SUPERVISIÓN.</v>
          </cell>
          <cell r="J7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1" t="str">
            <v>ORLANDO SUÁREZ SOTO</v>
          </cell>
          <cell r="L71" t="str">
            <v>JOSÉ RODRIGO QUILAGUY BERNAL</v>
          </cell>
          <cell r="M71">
            <v>45820</v>
          </cell>
          <cell r="N71">
            <v>45792</v>
          </cell>
          <cell r="O71">
            <v>45792</v>
          </cell>
          <cell r="P71" t="str">
            <v>Visitas de evaluación con fines de seguimiento</v>
          </cell>
          <cell r="Q71" t="str">
            <v>09. Acta de visita Integral - INSTITUTO BOGOTA.pdf</v>
          </cell>
          <cell r="R71" t="str">
            <v>La institución educativa cuenta con caracterización de estudiantes con discapacidad y talentos excepcionales. Se evidencian PIAR elaborados, actualizados y organizados por estudiante, con soporte documental.</v>
          </cell>
          <cell r="S71" t="str">
            <v>Se consolidará el seguimiento individual a la implementación de los PIAR, con énfasis en la articulación con el PEI y el manual de convivencia. También se fortalecerá la formación docente en inclusión.</v>
          </cell>
          <cell r="T71" t="str">
            <v>No</v>
          </cell>
          <cell r="U71" t="str">
            <v>Verificar en caso de presentarse queja durante la prestación del servicio educativo.</v>
          </cell>
        </row>
        <row r="72">
          <cell r="A72">
            <v>68</v>
          </cell>
          <cell r="B72"/>
          <cell r="C72" t="str">
            <v>ANTONIO NARIÑO</v>
          </cell>
          <cell r="D72" t="str">
            <v>PRIVADO</v>
          </cell>
          <cell r="E72" t="str">
            <v>EPBM</v>
          </cell>
          <cell r="F72" t="str">
            <v>INSTITUTO_BOGOTA</v>
          </cell>
          <cell r="G72" t="str">
            <v>INSTITUTO BOGOTA</v>
          </cell>
          <cell r="H72" t="str">
            <v>Autoevaluación Institucional y Pruebas SABER 11</v>
          </cell>
          <cell r="I72" t="str">
            <v>EVALUACIÓN_CON_FINES_DE_MEJORAMIENTO.</v>
          </cell>
          <cell r="J7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2" t="str">
            <v>ORLANDO SUÁREZ SOTO</v>
          </cell>
          <cell r="L72" t="str">
            <v>JOSÉ RODRIGO QUILAGUY BERNAL</v>
          </cell>
          <cell r="M72">
            <v>45820</v>
          </cell>
          <cell r="N72">
            <v>45792</v>
          </cell>
          <cell r="O72">
            <v>45792</v>
          </cell>
          <cell r="P72" t="str">
            <v>Visitas de evaluación con fines de mejoramiento</v>
          </cell>
          <cell r="Q72" t="str">
            <v>09. Acta de visita Integral - INSTITUTO BOGOTA.pdf</v>
          </cell>
          <cell r="R72" t="str">
            <v>El Manual de Convivencia se encuentra elaborado y actualizado. Existe articulación con el PEI y contiene principios institucionales claros.</v>
          </cell>
          <cell r="S72" t="str">
            <v>La institución se compromete a reforzar los espacios de socialización del Manual de Convivencia, actualizar sus contenidos con base en la normativa vigente, y fomentar la apropiación de sus principios por parte de la comunidad educativa.</v>
          </cell>
          <cell r="T72" t="str">
            <v>Si</v>
          </cell>
          <cell r="U72" t="str">
            <v>La IE fortalecera la implementación del Manual, evaluara su impacto, y promovera estrategias pedagógicas para su apropiación.
Se realiza seguimento del PMI, evidenciandose avance, conforme a lo orientado. (12/09/2025) Ver Carpeta POAIV - TRIM III</v>
          </cell>
        </row>
        <row r="73">
          <cell r="A73">
            <v>69</v>
          </cell>
          <cell r="B73"/>
          <cell r="C73" t="str">
            <v>ANTONIO NARIÑO</v>
          </cell>
          <cell r="D73" t="str">
            <v>PRIVADO</v>
          </cell>
          <cell r="E73" t="str">
            <v>EPBM</v>
          </cell>
          <cell r="F73" t="str">
            <v>INSTITUTO_BOGOTA</v>
          </cell>
          <cell r="G73" t="str">
            <v>INSTITUTO BOGOTA</v>
          </cell>
          <cell r="H73" t="str">
            <v>Autoevaluación Institucional y Pruebas SABER 11</v>
          </cell>
          <cell r="I73" t="str">
            <v>EVALUACIÓN_CON_FINES_DE_MEJORAMIENTO.</v>
          </cell>
          <cell r="J73" t="str">
            <v>Revisar la actualización, socialización e implementación del Sistema Institucional de Evaluación de Estudiantes - SIEE, en articulación con la actualización del PEI y la normatividad vigente.</v>
          </cell>
          <cell r="K73" t="str">
            <v>ORLANDO SUÁREZ SOTO</v>
          </cell>
          <cell r="L73" t="str">
            <v>JOSÉ RODRIGO QUILAGUY BERNAL</v>
          </cell>
          <cell r="M73">
            <v>45820</v>
          </cell>
          <cell r="N73">
            <v>45792</v>
          </cell>
          <cell r="O73">
            <v>45792</v>
          </cell>
          <cell r="P73" t="str">
            <v>Visitas de evaluación con fines de mejoramiento</v>
          </cell>
          <cell r="Q73" t="str">
            <v>09. Acta de visita Integral - INSTITUTO BOGOTA.pdf</v>
          </cell>
          <cell r="R73" t="str">
            <v>Se evidencia la ejecución sistemática y registros documentados, también se describe la implementación del SIEE, reuniones de evaluación por período, uso de observadores y formatos</v>
          </cell>
          <cell r="S73" t="str">
            <v>La institución se compromete a actualizar el SIEE con base en las orientaciones actuales del MEN y a desarrollar estrategias de socialización dirigidas a docentes, estudiantes y padres de familia.</v>
          </cell>
          <cell r="T73" t="str">
            <v>Si</v>
          </cell>
          <cell r="U73" t="str">
            <v>La IE hará revisión documental, aplicación de encuestas de socialización y evaluación de coherencia entre prácticas pedagógicas y lineamientos del SIEE.
Se realiza seguimento del PMI, evidenciandose avance, conforme a lo orientado. (12/09/2025) Ver Carpeta POAIV - TRIM III</v>
          </cell>
        </row>
        <row r="74">
          <cell r="A74">
            <v>70</v>
          </cell>
          <cell r="B74"/>
          <cell r="C74" t="str">
            <v>ANTONIO NARIÑO</v>
          </cell>
          <cell r="D74" t="str">
            <v>PRIVADO</v>
          </cell>
          <cell r="E74" t="str">
            <v>EPBM</v>
          </cell>
          <cell r="F74" t="str">
            <v>INSTITUTO_BOGOTA</v>
          </cell>
          <cell r="G74" t="str">
            <v>INSTITUTO BOGOTA</v>
          </cell>
          <cell r="H74" t="str">
            <v>Autoevaluación Institucional y Pruebas SABER 11</v>
          </cell>
          <cell r="I74" t="str">
            <v>EVALUACIÓN_CON_FINES_DE_MEJORAMIENTO.</v>
          </cell>
          <cell r="J74" t="str">
            <v>Revisar el calendario escolar, jornada escolar, la intensidad horaria mínima anual en cada nivel y las modificaciones que se realicen al mismo, de acuerdo con lo previsto en la normatividad vigente.</v>
          </cell>
          <cell r="K74" t="str">
            <v>ORLANDO SUÁREZ SOTO</v>
          </cell>
          <cell r="L74" t="str">
            <v>JOSÉ RODRIGO QUILAGUY BERNAL</v>
          </cell>
          <cell r="M74">
            <v>45820</v>
          </cell>
          <cell r="N74">
            <v>45792</v>
          </cell>
          <cell r="O74">
            <v>45792</v>
          </cell>
          <cell r="P74" t="str">
            <v>Visitas de evaluación con fines de mejoramiento</v>
          </cell>
          <cell r="Q74" t="str">
            <v>09. Acta de visita Integral - INSTITUTO BOGOTA.pdf</v>
          </cell>
          <cell r="R74" t="str">
            <v>Se verificó que la institución educativa cumple con la intensidad horaria mínima anual establecida para cada nivel educativo.</v>
          </cell>
          <cell r="S74" t="str">
            <v>Mantener el seguimiento a la implementación del calendario escolar.</v>
          </cell>
          <cell r="T74" t="str">
            <v>No</v>
          </cell>
          <cell r="U74" t="str">
            <v>Verificar nuevamente en caso de requerirse.</v>
          </cell>
        </row>
        <row r="75">
          <cell r="A75">
            <v>71</v>
          </cell>
          <cell r="B75"/>
          <cell r="C75" t="str">
            <v>ANTONIO NARIÑO</v>
          </cell>
          <cell r="D75" t="str">
            <v>PRIVADO</v>
          </cell>
          <cell r="E75" t="str">
            <v>EPBM</v>
          </cell>
          <cell r="F75" t="str">
            <v>INSTITUTO_BOGOTA</v>
          </cell>
          <cell r="G75" t="str">
            <v>INSTITUTO BOGOTA</v>
          </cell>
          <cell r="H75" t="str">
            <v>Autoevaluación Institucional y Pruebas SABER 11</v>
          </cell>
          <cell r="I75" t="str">
            <v>EVALUACIÓN_CON_FINES_DE_MEJORAMIENTO.</v>
          </cell>
          <cell r="J75" t="str">
            <v>Verificar el funcionamiento del Gobierno Escolar e instancias de participación con base en la información sobre conformación reportada por la institución educativa.</v>
          </cell>
          <cell r="K75" t="str">
            <v>ORLANDO SUÁREZ SOTO</v>
          </cell>
          <cell r="L75" t="str">
            <v>JOSÉ RODRIGO QUILAGUY BERNAL</v>
          </cell>
          <cell r="M75">
            <v>45820</v>
          </cell>
          <cell r="N75">
            <v>45792</v>
          </cell>
          <cell r="O75">
            <v>45792</v>
          </cell>
          <cell r="P75" t="str">
            <v>Visitas de evaluación con fines de mejoramiento</v>
          </cell>
          <cell r="Q75" t="str">
            <v>09. Acta de visita Integral - INSTITUTO BOGOTA.pdf</v>
          </cell>
          <cell r="R75" t="str">
            <v>La institución educativa reporta la conformación de las instancias del Gobierno Escolar, incluyendo el Consejo Académico y otras instancias de participación. Se cuenta con actas de reuniones y registros de participación</v>
          </cell>
          <cell r="S75" t="str">
            <v>Se acordó fortalecer la divulgación y operatividad de las instancias del Gobierno Escolar, garantizando la participación activa de los estamentos y el seguimiento a sus decisiones.</v>
          </cell>
          <cell r="T75" t="str">
            <v>No</v>
          </cell>
          <cell r="U75" t="str">
            <v xml:space="preserve">Se verificará la conformación de los gobiernos escolares e instancias para la vigencia 2026. </v>
          </cell>
        </row>
        <row r="76">
          <cell r="A76">
            <v>72</v>
          </cell>
          <cell r="B76"/>
          <cell r="C76" t="str">
            <v>ANTONIO NARIÑO</v>
          </cell>
          <cell r="D76" t="str">
            <v>PRIVADO</v>
          </cell>
          <cell r="E76" t="str">
            <v>EPBM</v>
          </cell>
          <cell r="F76" t="str">
            <v>INSTITUTO_BOGOTA</v>
          </cell>
          <cell r="G76" t="str">
            <v>INSTITUTO BOGOTA</v>
          </cell>
          <cell r="H76" t="str">
            <v>Autoevaluación Institucional y Pruebas SABER 11</v>
          </cell>
          <cell r="I76" t="str">
            <v>EVALUACIÓN_CON_FINES_DE_MEJORAMIENTO.</v>
          </cell>
          <cell r="J76" t="str">
            <v>Verificar las condiciones en cuanto a: la estructura administrativa, condiciones de la planta física y medios educativos adecuados.</v>
          </cell>
          <cell r="K76" t="str">
            <v>ORLANDO SUÁREZ SOTO</v>
          </cell>
          <cell r="L76" t="str">
            <v>JOSÉ RODRIGO QUILAGUY BERNAL</v>
          </cell>
          <cell r="M76">
            <v>45820</v>
          </cell>
          <cell r="N76">
            <v>45792</v>
          </cell>
          <cell r="O76">
            <v>45792</v>
          </cell>
          <cell r="P76" t="str">
            <v>Visitas de evaluación con fines de mejoramiento</v>
          </cell>
          <cell r="Q76" t="str">
            <v>09. Acta de visita Integral - INSTITUTO BOGOTA.pdf</v>
          </cell>
          <cell r="R76" t="str">
            <v>La institución cuenta con espacios adecuados en cantidad y dotación para las actividades académicas, administrativas y recreativas. Se observa inclusión de población con discapacidad en la infraestructura.</v>
          </cell>
          <cell r="S76" t="str">
            <v>Se continuará fortaleciendo la dotación tecnológica, adecuación de espacios inclusivos y el mantenimiento periódico de la infraestructura física.</v>
          </cell>
          <cell r="T76" t="str">
            <v>No</v>
          </cell>
          <cell r="U76" t="str">
            <v>Verificar nuevamente en caso de requerirse.</v>
          </cell>
        </row>
        <row r="77">
          <cell r="A77">
            <v>73</v>
          </cell>
          <cell r="B77">
            <v>9</v>
          </cell>
          <cell r="C77" t="str">
            <v>ANTONIO NARIÑO</v>
          </cell>
          <cell r="D77" t="str">
            <v>PRIVADO</v>
          </cell>
          <cell r="E77" t="str">
            <v>Educación Inicial</v>
          </cell>
          <cell r="F77" t="str">
            <v>INSTITUTO_JULIO_MARIA_MATOVELLE</v>
          </cell>
          <cell r="G77" t="str">
            <v>INSTITUTO JULIO MARIA MATOVELLE</v>
          </cell>
          <cell r="H77" t="str">
            <v>Autoevaluación Institucional y Pruebas SABER 11</v>
          </cell>
          <cell r="I77" t="str">
            <v>SEGUIMIENTO_Y_SUPERVISIÓN.</v>
          </cell>
          <cell r="J77" t="str">
            <v>Realizar visitas para verificar la información registrada sobre la autoevaluación institucional en el aplicativo EVI, a los establecimientos de educación formal no oficial.</v>
          </cell>
          <cell r="K77" t="str">
            <v>JOSÉ RODRIGO QUILAGUY BERNAL</v>
          </cell>
          <cell r="L77" t="str">
            <v>ORLANDO SUÁREZ SOTO</v>
          </cell>
          <cell r="M77">
            <v>45855</v>
          </cell>
          <cell r="N77">
            <v>45793</v>
          </cell>
          <cell r="O77">
            <v>45793</v>
          </cell>
          <cell r="P77" t="str">
            <v>Visitas de evaluación con fines de seguimiento</v>
          </cell>
          <cell r="Q77" t="str">
            <v>10. Acta Inst. Julio Maria Matovelle.pdf</v>
          </cell>
          <cell r="R77" t="str">
            <v>La institución fundamenta su filosofía y valores en el humanismo cristiano, y metodológicamente aplica las Inteligencias Múltiples de Gardner y el Aprendizaje Significativo. No obstante, se identifica la necesidad de fortalecer la articulación de estos elementos con el uso de la literatura infantil, declarada como énfasis institucional</v>
          </cell>
          <cell r="S77" t="str">
            <v>Se concluye que la Filosofía y metodologías son claras, pero se sugiere articularlas mejor con el énfasis en literatura infantil.</v>
          </cell>
          <cell r="T77" t="str">
            <v>No</v>
          </cell>
          <cell r="U77" t="str">
            <v>Verificar nuevamente en caso de requerirse.</v>
          </cell>
        </row>
        <row r="78">
          <cell r="A78">
            <v>75</v>
          </cell>
          <cell r="B78"/>
          <cell r="C78" t="str">
            <v>ANTONIO NARIÑO</v>
          </cell>
          <cell r="D78" t="str">
            <v>PRIVADO</v>
          </cell>
          <cell r="E78" t="str">
            <v>Educación Inicial</v>
          </cell>
          <cell r="F78" t="str">
            <v>INSTITUTO_JULIO_MARIA_MATOVELLE</v>
          </cell>
          <cell r="G78" t="str">
            <v>INSTITUTO JULIO MARIA MATOVELLE</v>
          </cell>
          <cell r="H78" t="str">
            <v>Autoevaluación Institucional y Pruebas SABER 11</v>
          </cell>
          <cell r="I78" t="str">
            <v>SEGUIMIENTO_Y_SUPERVISIÓN.</v>
          </cell>
          <cell r="J78" t="str">
            <v xml:space="preserve">Verificar la implementación por parte de los colegios, de acciones realizadas para la prevención y atención de las situaciones de convivencia en el entorno escolar, según lo establecido en la Directiva 01 de 2022 del MEN. </v>
          </cell>
          <cell r="K78" t="str">
            <v>JOSÉ RODRIGO QUILAGUY BERNAL</v>
          </cell>
          <cell r="L78" t="str">
            <v>ORLANDO SUÁREZ SOTO</v>
          </cell>
          <cell r="M78">
            <v>45855</v>
          </cell>
          <cell r="N78">
            <v>45793</v>
          </cell>
          <cell r="O78">
            <v>45793</v>
          </cell>
          <cell r="P78" t="str">
            <v>Visitas de evaluación con fines de seguimiento</v>
          </cell>
          <cell r="Q78" t="str">
            <v>10. Acta Inst. Julio Maria Matovelle.pdf</v>
          </cell>
          <cell r="R78" t="str">
            <v>la Institución Educativa cumple con la Directiva 01 MEN 2022 al consultar cuatrimestralmente las inhabilidades por delitos sexuales del personal en la Policía Nacional, con soporte documental en las hojas de vida.</v>
          </cell>
          <cell r="S78" t="str">
            <v>La IE cumple con la Directiva 01 MEN 2022 al verificar inhabilidades, garantizando seguridad escolar.</v>
          </cell>
          <cell r="T78" t="str">
            <v>No</v>
          </cell>
          <cell r="U78" t="str">
            <v>Verificar nuevamente en caso de requerirse.</v>
          </cell>
        </row>
        <row r="79">
          <cell r="A79">
            <v>76</v>
          </cell>
          <cell r="B79"/>
          <cell r="C79" t="str">
            <v>ANTONIO NARIÑO</v>
          </cell>
          <cell r="D79" t="str">
            <v>PRIVADO</v>
          </cell>
          <cell r="E79" t="str">
            <v>Educación Inicial</v>
          </cell>
          <cell r="F79" t="str">
            <v>INSTITUTO_JULIO_MARIA_MATOVELLE</v>
          </cell>
          <cell r="G79" t="str">
            <v>INSTITUTO JULIO MARIA MATOVELLE</v>
          </cell>
          <cell r="H79" t="str">
            <v>Autoevaluación Institucional y Pruebas SABER 11</v>
          </cell>
          <cell r="I79" t="str">
            <v>SEGUIMIENTO_Y_SUPERVISIÓN.</v>
          </cell>
          <cell r="J7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9" t="str">
            <v>JOSÉ RODRIGO QUILAGUY BERNAL</v>
          </cell>
          <cell r="L79" t="str">
            <v>ORLANDO SUÁREZ SOTO</v>
          </cell>
          <cell r="M79">
            <v>45855</v>
          </cell>
          <cell r="N79">
            <v>45793</v>
          </cell>
          <cell r="O79">
            <v>45793</v>
          </cell>
          <cell r="P79" t="str">
            <v>Visitas de evaluación con fines de seguimiento</v>
          </cell>
          <cell r="Q79" t="str">
            <v>10. Acta Inst. Julio Maria Matovelle.pdf</v>
          </cell>
          <cell r="R79" t="str">
            <v>Se identifica que la institución ha iniciado de manera oportuna la formulación de los Planes Individuales de Ajustes Razonables (PIAR) para aquellos estudiantes con un diagnóstico oficial ya consolidado.</v>
          </cell>
          <cell r="S79" t="str">
            <v>PIARs iniciados con diagnósticos; su plena operatividad depende de finalizar y validar más diagnósticos pendientes.</v>
          </cell>
          <cell r="T79" t="str">
            <v>No</v>
          </cell>
          <cell r="U79" t="str">
            <v>Verificar nuevamente en caso de requerirse.</v>
          </cell>
        </row>
        <row r="80">
          <cell r="A80">
            <v>77</v>
          </cell>
          <cell r="B80"/>
          <cell r="C80" t="str">
            <v>ANTONIO NARIÑO</v>
          </cell>
          <cell r="D80" t="str">
            <v>PRIVADO</v>
          </cell>
          <cell r="E80" t="str">
            <v>Educación Inicial</v>
          </cell>
          <cell r="F80" t="str">
            <v>INSTITUTO_JULIO_MARIA_MATOVELLE</v>
          </cell>
          <cell r="G80" t="str">
            <v>INSTITUTO JULIO MARIA MATOVELLE</v>
          </cell>
          <cell r="H80" t="str">
            <v>Autoevaluación Institucional y Pruebas SABER 11</v>
          </cell>
          <cell r="I80" t="str">
            <v>EVALUACIÓN_CON_FINES_DE_MEJORAMIENTO.</v>
          </cell>
          <cell r="J8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0" t="str">
            <v>JOSÉ RODRIGO QUILAGUY BERNAL</v>
          </cell>
          <cell r="L80" t="str">
            <v>ORLANDO SUÁREZ SOTO</v>
          </cell>
          <cell r="M80">
            <v>45855</v>
          </cell>
          <cell r="N80">
            <v>45793</v>
          </cell>
          <cell r="O80">
            <v>45793</v>
          </cell>
          <cell r="P80" t="str">
            <v>Visitas de evaluación con fines de mejoramiento</v>
          </cell>
          <cell r="Q80" t="str">
            <v>10. Acta Inst. Julio Maria Matovelle.pdf</v>
          </cell>
          <cell r="R80" t="str">
            <v>El PEI muestra coherencia, aunque los principios se inclinan a la norma. Urge un proceso curricular participativo, formalizado por Resolución Rectoral. El MC cumple la ley, pero necesita mayor contextualización.</v>
          </cell>
          <cell r="S80" t="str">
            <v>PEI y MC cumplen, pero el currículo y principios deben ser más contextualizados y formalizados con participación.</v>
          </cell>
          <cell r="T80" t="str">
            <v>No</v>
          </cell>
          <cell r="U80" t="str">
            <v>Verificar nuevamente en caso de requerirse.</v>
          </cell>
        </row>
        <row r="81">
          <cell r="A81">
            <v>78</v>
          </cell>
          <cell r="B81"/>
          <cell r="C81" t="str">
            <v>ANTONIO NARIÑO</v>
          </cell>
          <cell r="D81" t="str">
            <v>PRIVADO</v>
          </cell>
          <cell r="E81" t="str">
            <v>Educación Inicial</v>
          </cell>
          <cell r="F81" t="str">
            <v>INSTITUTO_JULIO_MARIA_MATOVELLE</v>
          </cell>
          <cell r="G81" t="str">
            <v>INSTITUTO JULIO MARIA MATOVELLE</v>
          </cell>
          <cell r="H81" t="str">
            <v>Autoevaluación Institucional y Pruebas SABER 11</v>
          </cell>
          <cell r="I81" t="str">
            <v>EVALUACIÓN_CON_FINES_DE_MEJORAMIENTO.</v>
          </cell>
          <cell r="J81" t="str">
            <v>Revisar la actualización, socialización e implementación del Sistema Institucional de Evaluación de Estudiantes - SIEE, en articulación con la actualización del PEI y la normatividad vigente.</v>
          </cell>
          <cell r="K81" t="str">
            <v>JOSÉ RODRIGO QUILAGUY BERNAL</v>
          </cell>
          <cell r="L81" t="str">
            <v>ORLANDO SUÁREZ SOTO</v>
          </cell>
          <cell r="M81">
            <v>45855</v>
          </cell>
          <cell r="N81">
            <v>45793</v>
          </cell>
          <cell r="O81">
            <v>45793</v>
          </cell>
          <cell r="P81" t="str">
            <v>Visitas de evaluación con fines de mejoramiento</v>
          </cell>
          <cell r="Q81" t="str">
            <v>10. Acta Inst. Julio Maria Matovelle.pdf</v>
          </cell>
          <cell r="R81" t="str">
            <v>Evidencian la trazabilidad y el registro de actividades académicas y procesos de seguimiento. La institución cuenta con un manual que contempla diversas estrategias pedagógicas y de apoyo (evaluación formativa, nivelación, apoyo psicosocial, ajustes curriculares y seguimiento)</v>
          </cell>
          <cell r="S81" t="str">
            <v>La IE demuestra buena gestión académica y apoyo con estrategias documentadas y diversas para las necesidades estudiantiles</v>
          </cell>
          <cell r="T81" t="str">
            <v>No</v>
          </cell>
          <cell r="U81" t="str">
            <v>Verificar nuevamente en caso de requerirse.</v>
          </cell>
        </row>
        <row r="82">
          <cell r="A82">
            <v>79</v>
          </cell>
          <cell r="B82"/>
          <cell r="C82" t="str">
            <v>ANTONIO NARIÑO</v>
          </cell>
          <cell r="D82" t="str">
            <v>PRIVADO</v>
          </cell>
          <cell r="E82" t="str">
            <v>Educación Inicial</v>
          </cell>
          <cell r="F82" t="str">
            <v>INSTITUTO_JULIO_MARIA_MATOVELLE</v>
          </cell>
          <cell r="G82" t="str">
            <v>INSTITUTO JULIO MARIA MATOVELLE</v>
          </cell>
          <cell r="H82" t="str">
            <v>Autoevaluación Institucional y Pruebas SABER 11</v>
          </cell>
          <cell r="I82" t="str">
            <v>EVALUACIÓN_CON_FINES_DE_MEJORAMIENTO.</v>
          </cell>
          <cell r="J82" t="str">
            <v>Revisar el calendario escolar, jornada escolar, la intensidad horaria mínima anual en cada nivel y las modificaciones que se realicen al mismo, de acuerdo con lo previsto en la normatividad vigente.</v>
          </cell>
          <cell r="K82" t="str">
            <v>JOSÉ RODRIGO QUILAGUY BERNAL</v>
          </cell>
          <cell r="L82" t="str">
            <v>ORLANDO SUÁREZ SOTO</v>
          </cell>
          <cell r="M82">
            <v>45855</v>
          </cell>
          <cell r="N82">
            <v>45793</v>
          </cell>
          <cell r="O82">
            <v>45793</v>
          </cell>
          <cell r="P82" t="str">
            <v>Visitas de evaluación con fines de mejoramiento</v>
          </cell>
          <cell r="Q82" t="str">
            <v>10. Acta Inst. Julio Maria Matovelle.pdf</v>
          </cell>
          <cell r="R82" t="str">
            <v>Se constata que la Institución Educativa garantiza el cumplimiento de la intensidad horaria mínima anual establecida para cada el nivel educativo que ofrece.</v>
          </cell>
          <cell r="S82" t="str">
            <v>Se concluye que el establecimiento educativo está dando pleno cumplimiento a la normativa vigente en cuanto a la organización del calendario y la jornada escolar</v>
          </cell>
          <cell r="T82" t="str">
            <v>No</v>
          </cell>
          <cell r="U82" t="str">
            <v>Verificar nuevamente en caso de requerirse.</v>
          </cell>
        </row>
        <row r="83">
          <cell r="A83">
            <v>80</v>
          </cell>
          <cell r="B83"/>
          <cell r="C83" t="str">
            <v>ANTONIO NARIÑO</v>
          </cell>
          <cell r="D83" t="str">
            <v>PRIVADO</v>
          </cell>
          <cell r="E83" t="str">
            <v>Educación Inicial</v>
          </cell>
          <cell r="F83" t="str">
            <v>INSTITUTO_JULIO_MARIA_MATOVELLE</v>
          </cell>
          <cell r="G83" t="str">
            <v>INSTITUTO JULIO MARIA MATOVELLE</v>
          </cell>
          <cell r="H83" t="str">
            <v>Autoevaluación Institucional y Pruebas SABER 11</v>
          </cell>
          <cell r="I83" t="str">
            <v>EVALUACIÓN_CON_FINES_DE_MEJORAMIENTO.</v>
          </cell>
          <cell r="J83" t="str">
            <v>Verificar el funcionamiento del Gobierno Escolar e instancias de participación con base en la información sobre conformación reportada por la institución educativa.</v>
          </cell>
          <cell r="K83" t="str">
            <v>JOSÉ RODRIGO QUILAGUY BERNAL</v>
          </cell>
          <cell r="L83" t="str">
            <v>ORLANDO SUÁREZ SOTO</v>
          </cell>
          <cell r="M83">
            <v>45855</v>
          </cell>
          <cell r="N83">
            <v>45793</v>
          </cell>
          <cell r="O83">
            <v>45793</v>
          </cell>
          <cell r="P83" t="str">
            <v>Visitas de evaluación con fines de mejoramiento</v>
          </cell>
          <cell r="Q83" t="str">
            <v>10. Acta Inst. Julio Maria Matovelle.pdf</v>
          </cell>
          <cell r="R83" t="str">
            <v>Gobierno Escolar y Comisión de Evaluación operan con funciones claras y registro en actas. Buen seguimiento académico.</v>
          </cell>
          <cell r="S83" t="str">
            <v>IE demuestra operatividad del Gobierno Escolar y Comisión de Evaluación, con seguimiento académico efectivo.</v>
          </cell>
          <cell r="T83" t="str">
            <v>No</v>
          </cell>
          <cell r="U83" t="str">
            <v>Verificar nuevamente en caso de requerirse.</v>
          </cell>
        </row>
        <row r="84">
          <cell r="A84">
            <v>81</v>
          </cell>
          <cell r="B84"/>
          <cell r="C84" t="str">
            <v>ANTONIO NARIÑO</v>
          </cell>
          <cell r="D84" t="str">
            <v>PRIVADO</v>
          </cell>
          <cell r="E84" t="str">
            <v>Educación Inicial</v>
          </cell>
          <cell r="F84" t="str">
            <v>INSTITUTO_JULIO_MARIA_MATOVELLE</v>
          </cell>
          <cell r="G84" t="str">
            <v>INSTITUTO JULIO MARIA MATOVELLE</v>
          </cell>
          <cell r="H84" t="str">
            <v>Autoevaluación Institucional y Pruebas SABER 11</v>
          </cell>
          <cell r="I84" t="str">
            <v>EVALUACIÓN_CON_FINES_DE_MEJORAMIENTO.</v>
          </cell>
          <cell r="J84" t="str">
            <v>Verificar las condiciones en cuanto a: la estructura administrativa, condiciones de la planta física y medios educativos adecuados.</v>
          </cell>
          <cell r="K84" t="str">
            <v>JOSÉ RODRIGO QUILAGUY BERNAL</v>
          </cell>
          <cell r="L84" t="str">
            <v>ORLANDO SUÁREZ SOTO</v>
          </cell>
          <cell r="M84">
            <v>45855</v>
          </cell>
          <cell r="N84">
            <v>45793</v>
          </cell>
          <cell r="O84">
            <v>45793</v>
          </cell>
          <cell r="P84" t="str">
            <v>Visitas de evaluación con fines de mejoramiento</v>
          </cell>
          <cell r="Q84" t="str">
            <v>10. Acta Inst. Julio Maria Matovelle.pdf</v>
          </cell>
          <cell r="R84" t="str">
            <v>Ambientes y medios educativos adecuados, salvo infraestructura para discapacidad física. Espacios óptimos y mantenidos.</v>
          </cell>
          <cell r="S84" t="str">
            <v>La Infraestructura y recursos son adecuados.</v>
          </cell>
          <cell r="T84" t="str">
            <v>No</v>
          </cell>
          <cell r="U84" t="str">
            <v>Verificar nuevamente en caso de requerirse.</v>
          </cell>
        </row>
        <row r="85">
          <cell r="A85">
            <v>82</v>
          </cell>
          <cell r="B85">
            <v>10</v>
          </cell>
          <cell r="C85" t="str">
            <v>ANTONIO NARIÑO</v>
          </cell>
          <cell r="D85" t="str">
            <v>PRIVADO</v>
          </cell>
          <cell r="E85" t="str">
            <v>EPBM</v>
          </cell>
          <cell r="F85" t="str">
            <v>CENTRO_EDUCATIVO_DE_NUESTRA_SEÑORA_DE_LA_PAZ</v>
          </cell>
          <cell r="G85" t="str">
            <v>CENTRO EDUCATIVO DE NUESTRA SEÑORA DE LA PAZ</v>
          </cell>
          <cell r="H85" t="str">
            <v>Convivencia escolar</v>
          </cell>
          <cell r="I85" t="str">
            <v>SEGUIMIENTO_Y_SUPERVISIÓN.</v>
          </cell>
          <cell r="J85" t="str">
            <v xml:space="preserve">Verificar la implementación por parte de los colegios, de acciones realizadas para la prevención y atención de las situaciones de convivencia en el entorno escolar, según lo establecido en la Directiva 01 de 2022 del MEN. </v>
          </cell>
          <cell r="K85" t="str">
            <v>JOSÉ RODRIGO QUILAGUY BERNAL</v>
          </cell>
          <cell r="L85" t="str">
            <v>ORLANDO SUÁREZ SOTO</v>
          </cell>
          <cell r="M85">
            <v>45881</v>
          </cell>
          <cell r="N85">
            <v>45797</v>
          </cell>
          <cell r="O85">
            <v>45797</v>
          </cell>
          <cell r="P85" t="str">
            <v>Visitas de evaluación con fines de seguimiento</v>
          </cell>
          <cell r="Q85" t="str">
            <v>12. Acta Centro Educativo CE Ntra Sra de la Paz.pdf</v>
          </cell>
          <cell r="R85" t="str">
            <v>Se constata la consulta cuatrimestral de inhabilidades por delitos sexuales del personal en la Policía Nacional, conforme Directiva 01 MEN 2022. Soportes documentales en hojas de vida.</v>
          </cell>
          <cell r="S85" t="str">
            <v>IE cumple la Directiva 01 MEN 2022 al verificar inhabilidades.</v>
          </cell>
          <cell r="T85" t="str">
            <v>No</v>
          </cell>
          <cell r="U85" t="str">
            <v>Verificar nuevamente en caso de requerirse.</v>
          </cell>
        </row>
        <row r="86">
          <cell r="A86">
            <v>83</v>
          </cell>
          <cell r="B86"/>
          <cell r="C86" t="str">
            <v>ANTONIO NARIÑO</v>
          </cell>
          <cell r="D86" t="str">
            <v>PRIVADO</v>
          </cell>
          <cell r="E86" t="str">
            <v>EPBM</v>
          </cell>
          <cell r="F86" t="str">
            <v>CENTRO_EDUCATIVO_DE_NUESTRA_SEÑORA_DE_LA_PAZ</v>
          </cell>
          <cell r="G86" t="str">
            <v>CENTRO EDUCATIVO DE NUESTRA SEÑORA DE LA PAZ</v>
          </cell>
          <cell r="H86" t="str">
            <v>Convivencia escolar</v>
          </cell>
          <cell r="I86" t="str">
            <v>SEGUIMIENTO_Y_SUPERVISIÓN.</v>
          </cell>
          <cell r="J8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6" t="str">
            <v>JOSÉ RODRIGO QUILAGUY BERNAL</v>
          </cell>
          <cell r="L86" t="str">
            <v>ORLANDO SUÁREZ SOTO</v>
          </cell>
          <cell r="M86">
            <v>45881</v>
          </cell>
          <cell r="N86">
            <v>45797</v>
          </cell>
          <cell r="O86">
            <v>45797</v>
          </cell>
          <cell r="P86" t="str">
            <v>Visitas de evaluación con fines de seguimiento</v>
          </cell>
          <cell r="Q86" t="str">
            <v>12. Acta Centro Educativo CE Ntra Sra de la Paz.pdf</v>
          </cell>
          <cell r="R86" t="str">
            <v>IE cuenta con PIAR para discapacidad, implementados con familia y apoyo fonoaudiológico colaborativo.</v>
          </cell>
          <cell r="S86" t="str">
            <v>IE implementa PIARs  para discapacidad, con apoyo familiar y fonoaudiológico colaborativo.</v>
          </cell>
          <cell r="T86" t="str">
            <v>No</v>
          </cell>
          <cell r="U86" t="str">
            <v>Verificar nuevamente en caso de requerirse.</v>
          </cell>
        </row>
        <row r="87">
          <cell r="A87">
            <v>84</v>
          </cell>
          <cell r="B87"/>
          <cell r="C87" t="str">
            <v>ANTONIO NARIÑO</v>
          </cell>
          <cell r="D87" t="str">
            <v>PRIVADO</v>
          </cell>
          <cell r="E87" t="str">
            <v>EPBM</v>
          </cell>
          <cell r="F87" t="str">
            <v>CENTRO_EDUCATIVO_DE_NUESTRA_SEÑORA_DE_LA_PAZ</v>
          </cell>
          <cell r="G87" t="str">
            <v>CENTRO EDUCATIVO DE NUESTRA SEÑORA DE LA PAZ</v>
          </cell>
          <cell r="H87" t="str">
            <v>Convivencia escolar</v>
          </cell>
          <cell r="I87" t="str">
            <v>EVALUACIÓN_CON_FINES_DE_MEJORAMIENTO.</v>
          </cell>
          <cell r="J8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7" t="str">
            <v>JOSÉ RODRIGO QUILAGUY BERNAL</v>
          </cell>
          <cell r="L87" t="str">
            <v>ORLANDO SUÁREZ SOTO</v>
          </cell>
          <cell r="M87">
            <v>45881</v>
          </cell>
          <cell r="N87">
            <v>45797</v>
          </cell>
          <cell r="O87">
            <v>45797</v>
          </cell>
          <cell r="P87" t="str">
            <v>Visitas de evaluación con fines de mejoramiento</v>
          </cell>
          <cell r="Q87" t="str">
            <v>12. Acta Centro Educativo CE Ntra Sra de la Paz.pdf</v>
          </cell>
          <cell r="R87" t="str">
            <v>El MC es participativo y normativo. Se recomienda que la Resolución que lo aprueba derogue versiones previas explícitamente.</v>
          </cell>
          <cell r="S87" t="str">
            <v>El MC cumple y es participativo; se requiere formalizar la derogación de versiones previas para claridad normativa.</v>
          </cell>
          <cell r="T87" t="str">
            <v>No</v>
          </cell>
          <cell r="U87" t="str">
            <v>Verificar nuevamente en caso de requerirse.</v>
          </cell>
        </row>
        <row r="88">
          <cell r="A88">
            <v>85</v>
          </cell>
          <cell r="B88"/>
          <cell r="C88" t="str">
            <v>ANTONIO NARIÑO</v>
          </cell>
          <cell r="D88" t="str">
            <v>PRIVADO</v>
          </cell>
          <cell r="E88" t="str">
            <v>EPBM</v>
          </cell>
          <cell r="F88" t="str">
            <v>CENTRO_EDUCATIVO_DE_NUESTRA_SEÑORA_DE_LA_PAZ</v>
          </cell>
          <cell r="G88" t="str">
            <v>CENTRO EDUCATIVO DE NUESTRA SEÑORA DE LA PAZ</v>
          </cell>
          <cell r="H88" t="str">
            <v>Convivencia escolar</v>
          </cell>
          <cell r="I88" t="str">
            <v>EVALUACIÓN_CON_FINES_DE_MEJORAMIENTO.</v>
          </cell>
          <cell r="J88" t="str">
            <v>Revisar la actualización, socialización e implementación del Sistema Institucional de Evaluación de Estudiantes - SIEE, en articulación con la actualización del PEI y la normatividad vigente.</v>
          </cell>
          <cell r="K88" t="str">
            <v>JOSÉ RODRIGO QUILAGUY BERNAL</v>
          </cell>
          <cell r="L88" t="str">
            <v>ORLANDO SUÁREZ SOTO</v>
          </cell>
          <cell r="M88">
            <v>45881</v>
          </cell>
          <cell r="N88">
            <v>45797</v>
          </cell>
          <cell r="O88">
            <v>45797</v>
          </cell>
          <cell r="P88" t="str">
            <v>Visitas de evaluación con fines de mejoramiento</v>
          </cell>
          <cell r="Q88" t="str">
            <v>12. Acta Centro Educativo CE Ntra Sra de la Paz.pdf</v>
          </cell>
          <cell r="R88" t="str">
            <v>SIEE con insumos y evaluación formativa. Comunicación fluida, orientación y recuperación. Se evidencia seguimiento académico.</v>
          </cell>
          <cell r="S88" t="str">
            <v>El El SIEE es  funcional, con evaluación formativa, comunicación y apoyo integral al estudiante.</v>
          </cell>
          <cell r="T88" t="str">
            <v>No</v>
          </cell>
          <cell r="U88" t="str">
            <v>Verificar nuevamente en caso de requerirse.</v>
          </cell>
        </row>
        <row r="89">
          <cell r="A89">
            <v>86</v>
          </cell>
          <cell r="B89"/>
          <cell r="C89" t="str">
            <v>ANTONIO NARIÑO</v>
          </cell>
          <cell r="D89" t="str">
            <v>PRIVADO</v>
          </cell>
          <cell r="E89" t="str">
            <v>EPBM</v>
          </cell>
          <cell r="F89" t="str">
            <v>CENTRO_EDUCATIVO_DE_NUESTRA_SEÑORA_DE_LA_PAZ</v>
          </cell>
          <cell r="G89" t="str">
            <v>CENTRO EDUCATIVO DE NUESTRA SEÑORA DE LA PAZ</v>
          </cell>
          <cell r="H89" t="str">
            <v>Convivencia escolar</v>
          </cell>
          <cell r="I89" t="str">
            <v>EVALUACIÓN_CON_FINES_DE_MEJORAMIENTO.</v>
          </cell>
          <cell r="J89" t="str">
            <v>Revisar el calendario escolar, jornada escolar, la intensidad horaria mínima anual en cada nivel y las modificaciones que se realicen al mismo, de acuerdo con lo previsto en la normatividad vigente.</v>
          </cell>
          <cell r="K89" t="str">
            <v>JOSÉ RODRIGO QUILAGUY BERNAL</v>
          </cell>
          <cell r="L89" t="str">
            <v>ORLANDO SUÁREZ SOTO</v>
          </cell>
          <cell r="M89">
            <v>45881</v>
          </cell>
          <cell r="N89">
            <v>45797</v>
          </cell>
          <cell r="O89">
            <v>45797</v>
          </cell>
          <cell r="P89" t="str">
            <v>Visitas de evaluación con fines de mejoramiento</v>
          </cell>
          <cell r="Q89" t="str">
            <v>12. Acta Centro Educativo CE Ntra Sra de la Paz.pdf</v>
          </cell>
          <cell r="R89" t="str">
            <v>Se constata que la Institución Educativa garantiza el cumplimiento de la intensidad horaria mínima anual establecida para cada el nivel educativo que ofrece.</v>
          </cell>
          <cell r="S89" t="str">
            <v>Se concluye que el establecimiento educativo está dando pleno cumplimiento a la normativa vigente en cuanto a la organización del calendario y la jornada escolar</v>
          </cell>
          <cell r="T89" t="str">
            <v>No</v>
          </cell>
          <cell r="U89" t="str">
            <v>Verificar nuevamente en caso de requerirse.</v>
          </cell>
        </row>
        <row r="90">
          <cell r="A90">
            <v>87</v>
          </cell>
          <cell r="B90"/>
          <cell r="C90" t="str">
            <v>ANTONIO NARIÑO</v>
          </cell>
          <cell r="D90" t="str">
            <v>PRIVADO</v>
          </cell>
          <cell r="E90" t="str">
            <v>EPBM</v>
          </cell>
          <cell r="F90" t="str">
            <v>CENTRO_EDUCATIVO_DE_NUESTRA_SEÑORA_DE_LA_PAZ</v>
          </cell>
          <cell r="G90" t="str">
            <v>CENTRO EDUCATIVO DE NUESTRA SEÑORA DE LA PAZ</v>
          </cell>
          <cell r="H90" t="str">
            <v>Convivencia escolar</v>
          </cell>
          <cell r="I90" t="str">
            <v>EVALUACIÓN_CON_FINES_DE_MEJORAMIENTO.</v>
          </cell>
          <cell r="J90" t="str">
            <v>Verificar el funcionamiento del Gobierno Escolar e instancias de participación con base en la información sobre conformación reportada por la institución educativa.</v>
          </cell>
          <cell r="K90" t="str">
            <v>JOSÉ RODRIGO QUILAGUY BERNAL</v>
          </cell>
          <cell r="L90" t="str">
            <v>ORLANDO SUÁREZ SOTO</v>
          </cell>
          <cell r="M90">
            <v>45881</v>
          </cell>
          <cell r="N90">
            <v>45797</v>
          </cell>
          <cell r="O90">
            <v>45797</v>
          </cell>
          <cell r="P90" t="str">
            <v>Visitas de evaluación con fines de mejoramiento</v>
          </cell>
          <cell r="Q90" t="str">
            <v>12. Acta Centro Educativo CE Ntra Sra de la Paz.pdf</v>
          </cell>
          <cell r="R90" t="str">
            <v>La conformación y operatividad del Gobierno Escolar (Consejo Directivo y Consejo Académico) y del sistema SAE (Sistema de Atención al Estudiante), se encuentran acordes con los requerimientos y el ELIV, evidenciado en la carpeta de trazabilidad que documenta su proceso de conformación.</v>
          </cell>
          <cell r="S90" t="str">
            <v>Gobierno Escolar y SAE cumplen requisitos; su conformación y operatividad están bien documentadas.</v>
          </cell>
          <cell r="T90" t="str">
            <v>No</v>
          </cell>
          <cell r="U90" t="str">
            <v>Revisar la conformación de gobiernos escolares e instancias para la siguiente vigencia</v>
          </cell>
        </row>
        <row r="91">
          <cell r="A91">
            <v>88</v>
          </cell>
          <cell r="B91"/>
          <cell r="C91" t="str">
            <v>ANTONIO NARIÑO</v>
          </cell>
          <cell r="D91" t="str">
            <v>PRIVADO</v>
          </cell>
          <cell r="E91" t="str">
            <v>EPBM</v>
          </cell>
          <cell r="F91" t="str">
            <v>CENTRO_EDUCATIVO_DE_NUESTRA_SEÑORA_DE_LA_PAZ</v>
          </cell>
          <cell r="G91" t="str">
            <v>CENTRO EDUCATIVO DE NUESTRA SEÑORA DE LA PAZ</v>
          </cell>
          <cell r="H91" t="str">
            <v>Convivencia escolar</v>
          </cell>
          <cell r="I91" t="str">
            <v>EVALUACIÓN_CON_FINES_DE_MEJORAMIENTO.</v>
          </cell>
          <cell r="J91" t="str">
            <v>Verificar las condiciones en cuanto a: la estructura administrativa, condiciones de la planta física y medios educativos adecuados.</v>
          </cell>
          <cell r="K91" t="str">
            <v>JOSÉ RODRIGO QUILAGUY BERNAL</v>
          </cell>
          <cell r="L91" t="str">
            <v>ORLANDO SUÁREZ SOTO</v>
          </cell>
          <cell r="M91">
            <v>45881</v>
          </cell>
          <cell r="N91">
            <v>45797</v>
          </cell>
          <cell r="O91">
            <v>45797</v>
          </cell>
          <cell r="P91" t="str">
            <v>Visitas de evaluación con fines de mejoramiento</v>
          </cell>
          <cell r="Q91" t="str">
            <v>12. Acta Centro Educativo CE Ntra Sra de la Paz.pdf</v>
          </cell>
          <cell r="R91" t="str">
            <v>Espacios educativos, administrativos y lúdicos son suficientes, dotados y con buen mantenimiento general.</v>
          </cell>
          <cell r="S91" t="str">
            <v>La institución cuenta con espacios y dotación adecuados y bien mantenidos en todas sus áreas.</v>
          </cell>
          <cell r="T91" t="str">
            <v>No</v>
          </cell>
          <cell r="U91" t="str">
            <v>Realizar nueva visita y verificación en caso de requerirse.</v>
          </cell>
        </row>
        <row r="92">
          <cell r="A92">
            <v>89</v>
          </cell>
          <cell r="B92">
            <v>11</v>
          </cell>
          <cell r="C92" t="str">
            <v>ANTONIO NARIÑO</v>
          </cell>
          <cell r="D92" t="str">
            <v>OFICIAL.</v>
          </cell>
          <cell r="E92" t="str">
            <v>EPBM</v>
          </cell>
          <cell r="F92" t="str">
            <v>COLEGIO_FRANCISCO_DE_PAULA_SANTANDER_IED</v>
          </cell>
          <cell r="G92" t="str">
            <v>FRANCISCO DE PAULA SANTANDER</v>
          </cell>
          <cell r="H92" t="str">
            <v>Convivencia escolar</v>
          </cell>
          <cell r="I92" t="str">
            <v>SEGUIMIENTO_Y_SUPERVISIÓN.</v>
          </cell>
          <cell r="J92" t="str">
            <v xml:space="preserve">Verificar la implementación por parte de los colegios, de acciones realizadas para la prevención y atención de las situaciones de convivencia en el entorno escolar, según lo establecido en la Directiva 01 de 2022 del MEN. </v>
          </cell>
          <cell r="K92" t="str">
            <v>JOHN JAIRO BOBADILLA BERMEO</v>
          </cell>
          <cell r="L92" t="str">
            <v>ORLANDO SUÁREZ SOTO
JOSÉ RODRIGO QUILAGUY BERNAL
JOHN JAIRO BOBADILLA BERMEO</v>
          </cell>
          <cell r="M92">
            <v>45890</v>
          </cell>
          <cell r="N92">
            <v>45811</v>
          </cell>
          <cell r="O92">
            <v>45811</v>
          </cell>
          <cell r="P92" t="str">
            <v>Visitas de evaluación con fines de seguimiento</v>
          </cell>
          <cell r="Q92" t="str">
            <v>16. Acta Col Francisco de Paula Santander (IED)_signed.pdf</v>
          </cell>
          <cell r="R92" t="str">
            <v>Se ha realizado la implementación de acciones para la prevención y atención de situaciones de convivencia en el entorno escolar, de acuerdo a lo establecido en la Directiva 01 de 2022 del MEN</v>
          </cell>
          <cell r="S92" t="str">
            <v>Realizar seguimiento a la implementación de acciones para la prevención y atención de situaciones de convivencia en el entorno escolar.</v>
          </cell>
          <cell r="T92" t="str">
            <v>No</v>
          </cell>
          <cell r="U92" t="str">
            <v>Realizar nueva verificación de la actividad en caso de presentarse queja</v>
          </cell>
        </row>
        <row r="93">
          <cell r="A93">
            <v>90</v>
          </cell>
          <cell r="B93"/>
          <cell r="C93" t="str">
            <v>ANTONIO NARIÑO</v>
          </cell>
          <cell r="D93" t="str">
            <v>OFICIAL.</v>
          </cell>
          <cell r="E93" t="str">
            <v>EPBM</v>
          </cell>
          <cell r="F93" t="str">
            <v>COLEGIO_FRANCISCO_DE_PAULA_SANTANDER_IED</v>
          </cell>
          <cell r="G93" t="str">
            <v>FRANCISCO DE PAULA SANTANDER</v>
          </cell>
          <cell r="H93" t="str">
            <v>Convivencia escolar</v>
          </cell>
          <cell r="I93" t="str">
            <v>SEGUIMIENTO_Y_SUPERVISIÓN.</v>
          </cell>
          <cell r="J9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3" t="str">
            <v>JOHN JAIRO BOBADILLA BERMEO</v>
          </cell>
          <cell r="L93" t="str">
            <v>ORLANDO SUÁREZ SOTO
JOSÉ RODRIGO QUILAGUY BERNAL
JOHN JAIRO BOBADILLA BERMEO</v>
          </cell>
          <cell r="M93">
            <v>45890</v>
          </cell>
          <cell r="N93">
            <v>45811</v>
          </cell>
          <cell r="O93">
            <v>45811</v>
          </cell>
          <cell r="P93" t="str">
            <v>Visitas de evaluación con fines de seguimiento</v>
          </cell>
          <cell r="Q93" t="str">
            <v>16. Acta Col Francisco de Paula Santander (IED)_signed.pdf</v>
          </cell>
          <cell r="R93" t="str">
            <v xml:space="preserve">La IE cuenta con la caracterización de 14 estudiantes de inclusión y la implementación y seguimiento a  Planes Individuales de Ajustes Razonables PIAR. </v>
          </cell>
          <cell r="S93" t="str">
            <v>Realizar seguimiento continuo a estudiantes de inclusión implementando Planes Individuales de Ajustes Razonables PIAR adaptados a cada uno de las necesidades.</v>
          </cell>
          <cell r="T93" t="str">
            <v>No</v>
          </cell>
          <cell r="U93" t="str">
            <v>Realizar nueva verificación de la actividad en caso de presentarse queja</v>
          </cell>
        </row>
        <row r="94">
          <cell r="A94">
            <v>91</v>
          </cell>
          <cell r="B94"/>
          <cell r="C94" t="str">
            <v>ANTONIO NARIÑO</v>
          </cell>
          <cell r="D94" t="str">
            <v>OFICIAL.</v>
          </cell>
          <cell r="E94" t="str">
            <v>EPBM</v>
          </cell>
          <cell r="F94" t="str">
            <v>COLEGIO_FRANCISCO_DE_PAULA_SANTANDER_IED</v>
          </cell>
          <cell r="G94" t="str">
            <v>FRANCISCO DE PAULA SANTANDER</v>
          </cell>
          <cell r="H94" t="str">
            <v>Convivencia escolar</v>
          </cell>
          <cell r="I94" t="str">
            <v>EVALUACIÓN_CON_FINES_DE_MEJORAMIENTO.</v>
          </cell>
          <cell r="J94" t="str">
            <v>Revisar la actualización, socialización e implementación del Sistema Institucional de Evaluación de Estudiantes - SIEE, en articulación con la actualización del PEI y la normatividad vigente.</v>
          </cell>
          <cell r="K94" t="str">
            <v>JOHN JAIRO BOBADILLA BERMEO</v>
          </cell>
          <cell r="L94" t="str">
            <v>ORLANDO SUÁREZ SOTO
JOSÉ RODRIGO QUILAGUY BERNAL
JOHN JAIRO BOBADILLA BERMEO</v>
          </cell>
          <cell r="M94">
            <v>45890</v>
          </cell>
          <cell r="N94">
            <v>45811</v>
          </cell>
          <cell r="O94">
            <v>45811</v>
          </cell>
          <cell r="P94" t="str">
            <v>Visitas de evaluación con fines de seguimiento</v>
          </cell>
          <cell r="Q94" t="str">
            <v>16. Acta Col Francisco de Paula Santander (IED)_signed.pdf</v>
          </cell>
          <cell r="R94" t="str">
            <v xml:space="preserve">No se evidencian estrategias de apoyo, metodología de evaluación y promoción para estudiantes de inclusión en SIEE. </v>
          </cell>
          <cell r="S94" t="str">
            <v>Implementar estrategias de apoyo, metodología, de evaluación y promoción de estudiantes  de inclusión en el SIEE</v>
          </cell>
          <cell r="T94" t="str">
            <v>Si</v>
          </cell>
          <cell r="U94" t="str">
            <v>Verificar la implementación de estrategias de apoyo, metodología, de evaluación y promoción de estudiantes de inclusión en el SIEE.
Se realiza seguimiento del PMI, se realizan observaciones y retroalimentación frente a la documentación presentada, conforme a lo orientado. (19/09/2025) Ver Carpeta POAIV - TRIM III</v>
          </cell>
        </row>
        <row r="95">
          <cell r="A95">
            <v>92</v>
          </cell>
          <cell r="B95"/>
          <cell r="C95" t="str">
            <v>ANTONIO NARIÑO</v>
          </cell>
          <cell r="D95" t="str">
            <v>OFICIAL.</v>
          </cell>
          <cell r="E95" t="str">
            <v>EPBM</v>
          </cell>
          <cell r="F95" t="str">
            <v>COLEGIO_FRANCISCO_DE_PAULA_SANTANDER_IED</v>
          </cell>
          <cell r="G95" t="str">
            <v>FRANCISCO DE PAULA SANTANDER</v>
          </cell>
          <cell r="H95" t="str">
            <v>Convivencia escolar</v>
          </cell>
          <cell r="I95" t="str">
            <v>EVALUACIÓN_CON_FINES_DE_MEJORAMIENTO.</v>
          </cell>
          <cell r="J95" t="str">
            <v>Revisar el calendario escolar, jornada escolar, la intensidad horaria mínima anual en cada nivel y las modificaciones que se realicen al mismo, de acuerdo con lo previsto en la normatividad vigente.</v>
          </cell>
          <cell r="K95" t="str">
            <v>JOHN JAIRO BOBADILLA BERMEO</v>
          </cell>
          <cell r="L95" t="str">
            <v>ORLANDO SUÁREZ SOTO
JOSÉ RODRIGO QUILAGUY BERNAL
JOHN JAIRO BOBADILLA BERMEO</v>
          </cell>
          <cell r="M95">
            <v>45890</v>
          </cell>
          <cell r="N95">
            <v>45811</v>
          </cell>
          <cell r="O95">
            <v>45811</v>
          </cell>
          <cell r="P95" t="str">
            <v>Visitas de evaluación con fines de mejoramiento</v>
          </cell>
          <cell r="Q95" t="str">
            <v>16. Acta Col Francisco de Paula Santander (IED)_signed.pdf</v>
          </cell>
          <cell r="R95" t="str">
            <v>Se constata que la Institución Educativa garantiza el cumplimiento de la intensidad horaria mínima anual establecida para cada el nivel educativo que ofrece.</v>
          </cell>
          <cell r="S95" t="str">
            <v>Se concluye que el establecimiento educativo está dando pleno cumplimiento a la normativa vigente en cuanto a la organización del calendario y la jornada escolar</v>
          </cell>
          <cell r="T95" t="str">
            <v>No</v>
          </cell>
          <cell r="U95" t="str">
            <v>Verificar nuevamente en caso de requerirse.</v>
          </cell>
        </row>
        <row r="96">
          <cell r="A96">
            <v>93</v>
          </cell>
          <cell r="B96"/>
          <cell r="C96" t="str">
            <v>ANTONIO NARIÑO</v>
          </cell>
          <cell r="D96" t="str">
            <v>OFICIAL.</v>
          </cell>
          <cell r="E96" t="str">
            <v>EPBM</v>
          </cell>
          <cell r="F96" t="str">
            <v>COLEGIO_FRANCISCO_DE_PAULA_SANTANDER_IED</v>
          </cell>
          <cell r="G96" t="str">
            <v>FRANCISCO DE PAULA SANTANDER</v>
          </cell>
          <cell r="H96" t="str">
            <v>Convivencia escolar</v>
          </cell>
          <cell r="I96" t="str">
            <v>EVALUACIÓN_CON_FINES_DE_MEJORAMIENTO.</v>
          </cell>
          <cell r="J96" t="str">
            <v>Verificar el funcionamiento del Gobierno Escolar e instancias de participación con base en la información sobre conformación reportada por la institución educativa.</v>
          </cell>
          <cell r="K96" t="str">
            <v>JOHN JAIRO BOBADILLA BERMEO</v>
          </cell>
          <cell r="L96" t="str">
            <v>ORLANDO SUÁREZ SOTO
JOSÉ RODRIGO QUILAGUY BERNAL
JOHN JAIRO BOBADILLA BERMEO</v>
          </cell>
          <cell r="M96">
            <v>45890</v>
          </cell>
          <cell r="N96">
            <v>45811</v>
          </cell>
          <cell r="O96">
            <v>45811</v>
          </cell>
          <cell r="P96" t="str">
            <v>Visitas de evaluación con fines de mejoramiento</v>
          </cell>
          <cell r="Q96" t="str">
            <v>16. Acta Col Francisco de Paula Santander (IED)_signed.pdf</v>
          </cell>
          <cell r="R96" t="str">
            <v>La institución educativa reporta la conformación de las instancias del Gobierno Escolar, incluyendo el Consejo Académico y otras instancias de participación. Se cuenta con actas de reuniones y registros de participación</v>
          </cell>
          <cell r="S96" t="str">
            <v>Se recomienda tener en cuenta la periodicidad de las reuniones de estas instancias</v>
          </cell>
          <cell r="T96" t="str">
            <v>No</v>
          </cell>
          <cell r="U96" t="str">
            <v xml:space="preserve">Se verificará la conformación de los gobiernos escolares e instancias para la vigencia 2026. </v>
          </cell>
        </row>
        <row r="97">
          <cell r="A97">
            <v>94</v>
          </cell>
          <cell r="B97"/>
          <cell r="C97" t="str">
            <v>ANTONIO NARIÑO</v>
          </cell>
          <cell r="D97" t="str">
            <v>OFICIAL.</v>
          </cell>
          <cell r="E97" t="str">
            <v>EPBM</v>
          </cell>
          <cell r="F97" t="str">
            <v>COLEGIO_FRANCISCO_DE_PAULA_SANTANDER_IED</v>
          </cell>
          <cell r="G97" t="str">
            <v>FRANCISCO DE PAULA SANTANDER</v>
          </cell>
          <cell r="H97" t="str">
            <v>Convivencia escolar</v>
          </cell>
          <cell r="I97" t="str">
            <v>EVALUACIÓN_CON_FINES_DE_MEJORAMIENTO.</v>
          </cell>
          <cell r="J97" t="str">
            <v>Verificar las condiciones en cuanto a: la estructura administrativa, condiciones de la planta física y medios educativos adecuados.</v>
          </cell>
          <cell r="K97" t="str">
            <v>JOHN JAIRO BOBADILLA BERMEO</v>
          </cell>
          <cell r="L97" t="str">
            <v>ORLANDO SUÁREZ SOTO
JOSÉ RODRIGO QUILAGUY BERNAL
JOHN JAIRO BOBADILLA BERMEO</v>
          </cell>
          <cell r="M97">
            <v>45890</v>
          </cell>
          <cell r="N97">
            <v>45811</v>
          </cell>
          <cell r="O97">
            <v>45811</v>
          </cell>
          <cell r="P97" t="str">
            <v>Visitas de evaluación con fines de mejoramiento</v>
          </cell>
          <cell r="Q97" t="str">
            <v>16. Acta Col Francisco de Paula Santander (IED)_signed.pdf</v>
          </cell>
          <cell r="R97" t="str">
            <v>La estructura administrativa, condiciones de la planta física y medios educativos, son suficientes para atender a la población escolar. Sin embargo,
Se presentan barreras arquitectónicas para estudiantes de inclusión con movilidad reducida.</v>
          </cell>
          <cell r="S97" t="str">
            <v>La IE gestionará las acciones que permita mitigar las barreras de acceso a los estudiantes de inclusión con movilidad reducida, en la medida que la SED autorice y d´{e solución en referencia a la infraestructura escolar, dentro de su competencia.</v>
          </cell>
          <cell r="T97" t="str">
            <v>Si</v>
          </cell>
          <cell r="U97" t="str">
            <v>Verificar las condiciones de la planta fisicas  y medios educativos adecuados pertinentes para estudiantes.
Se realiza seguimiento del PMI, se realizan observaciones y retroalimentación frente a la documentación presentada, conforme a lo orientado. (19/09/2025) Ver Carpeta POAIV - TRIM III</v>
          </cell>
        </row>
        <row r="98">
          <cell r="A98">
            <v>95</v>
          </cell>
          <cell r="B98"/>
          <cell r="C98" t="str">
            <v>ANTONIO NARIÑO</v>
          </cell>
          <cell r="D98" t="str">
            <v>OFICIAL.</v>
          </cell>
          <cell r="E98" t="str">
            <v>EPBM</v>
          </cell>
          <cell r="F98" t="str">
            <v>COLEGIO_FRANCISCO_DE_PAULA_SANTANDER_IED</v>
          </cell>
          <cell r="G98" t="str">
            <v>FRANCISCO DE PAULA SANTANDER</v>
          </cell>
          <cell r="H98" t="str">
            <v>Convivencia escolar</v>
          </cell>
          <cell r="I98" t="str">
            <v>EVALUACIÓN_CON_FINES_DE_MEJORAMIENTO.</v>
          </cell>
          <cell r="J98" t="str">
            <v>Verificar el funcionamiento del Gobierno Escolar e instancias de participación con base en la información sobre conformación reportada por la institución educativa.</v>
          </cell>
          <cell r="K98" t="str">
            <v>JOHN JAIRO BOBADILLA BERMEO</v>
          </cell>
          <cell r="L98" t="str">
            <v>ORLANDO SUÁREZ SOTO
JOSÉ RODRIGO QUILAGUY BERNAL
JOHN JAIRO BOBADILLA BERMEO</v>
          </cell>
          <cell r="M98">
            <v>45890</v>
          </cell>
          <cell r="N98">
            <v>45811</v>
          </cell>
          <cell r="O98">
            <v>45811</v>
          </cell>
          <cell r="P98" t="str">
            <v>Visitas de evaluación con fines de mejoramiento</v>
          </cell>
          <cell r="Q98" t="str">
            <v>16. Acta Col Francisco de Paula Santander (IED)_signed.pdf</v>
          </cell>
          <cell r="R98" t="str">
            <v>La institución educativa reporta la conformación de las instancias del Gobierno Escolar, incluyendo el Consejo Académico y otras instancias de participación. Se cuenta con actas de reuniones y registros de participación</v>
          </cell>
          <cell r="S98" t="str">
            <v>Se recomienda tener en cuenta la periodicidad de las reuniones de estas instancias</v>
          </cell>
          <cell r="T98" t="str">
            <v>No</v>
          </cell>
          <cell r="U98" t="str">
            <v xml:space="preserve">Se verificará la conformación de los gobiernos escolares e instancias para la vigencia 2026. </v>
          </cell>
        </row>
        <row r="99">
          <cell r="A99">
            <v>96</v>
          </cell>
          <cell r="B99"/>
          <cell r="C99" t="str">
            <v>ANTONIO NARIÑO</v>
          </cell>
          <cell r="D99" t="str">
            <v>OFICIAL.</v>
          </cell>
          <cell r="E99" t="str">
            <v>EPBM</v>
          </cell>
          <cell r="F99" t="str">
            <v>COLEGIO_FRANCISCO_DE_PAULA_SANTANDER_IED</v>
          </cell>
          <cell r="G99" t="str">
            <v>FRANCISCO DE PAULA SANTANDER</v>
          </cell>
          <cell r="H99" t="str">
            <v>Convivencia escolar</v>
          </cell>
          <cell r="I99" t="str">
            <v>EVALUACIÓN_CON_FINES_DE_MEJORAMIENTO.</v>
          </cell>
          <cell r="J99" t="str">
            <v>Verificar las condiciones en cuanto a: la estructura administrativa, condiciones de la planta física y medios educativos adecuados.</v>
          </cell>
          <cell r="K99" t="str">
            <v>JOHN JAIRO BOBADILLA BERMEO</v>
          </cell>
          <cell r="L99" t="str">
            <v>ORLANDO SUÁREZ SOTO
JOSÉ RODRIGO QUILAGUY BERNAL
JOHN JAIRO BOBADILLA BERMEO</v>
          </cell>
          <cell r="M99">
            <v>45890</v>
          </cell>
          <cell r="N99">
            <v>45811</v>
          </cell>
          <cell r="O99">
            <v>45811</v>
          </cell>
          <cell r="P99" t="str">
            <v>Visitas de evaluación con fines de mejoramiento</v>
          </cell>
          <cell r="Q99" t="str">
            <v>16. Acta Col Francisco de Paula Santander (IED)_signed.pdf</v>
          </cell>
          <cell r="R99" t="str">
            <v>La estructura administrativa, condiciones de la planta física y medios educativos, son suficientes para atender a la población escolar. Sin embargo,
Se presentan barreras arquitectónicas para estudiantes de inclusión con movilidad reducida.</v>
          </cell>
          <cell r="S99" t="str">
            <v>La IE gestionará las acciones que permita mitigar las barreras de acceso a los estudiantes de inclusión con movilidad reducida, en la medida que la SED autorice y d´{e solución en referencia a la infraestructura escolar, dentro de su competencia.</v>
          </cell>
          <cell r="T99" t="str">
            <v>Si</v>
          </cell>
          <cell r="U99" t="str">
            <v>Verificar las condiciones de la planta fisicas  y medios educativos adecuados pertinentes para estudiantes.
Se realiza seguimiento del PMI, se realizan observaciones y retroalimentación frente a la documentación presentada, conforme a lo orientado. (19/09/2025) Ver Carpeta POAIV - TRIM III</v>
          </cell>
        </row>
        <row r="100">
          <cell r="A100">
            <v>97</v>
          </cell>
          <cell r="B100">
            <v>12</v>
          </cell>
          <cell r="C100" t="str">
            <v>ANTONIO NARIÑO</v>
          </cell>
          <cell r="D100" t="str">
            <v>OFICIAL.</v>
          </cell>
          <cell r="E100" t="str">
            <v>EPBM</v>
          </cell>
          <cell r="F100" t="str">
            <v>COLEGIO_GUILLERMO_LEON_VALENCIA_IED</v>
          </cell>
          <cell r="G100" t="str">
            <v>GUILLERMO LEON VALENCIA</v>
          </cell>
          <cell r="H100" t="str">
            <v>Convivencia escolar</v>
          </cell>
          <cell r="I100" t="str">
            <v>SEGUIMIENTO_Y_SUPERVISIÓN.</v>
          </cell>
          <cell r="J100" t="str">
            <v xml:space="preserve">Verificar la implementación por parte de los colegios, de acciones realizadas para la prevención y atención de las situaciones de convivencia en el entorno escolar, según lo establecido en la Directiva 01 de 2022 del MEN. </v>
          </cell>
          <cell r="K100" t="str">
            <v>JOSÉ RODRIGO QUILAGUY BERNAL</v>
          </cell>
          <cell r="L100" t="str">
            <v>ORLANDO SUÁREZ SOTO
JOSÉ RODRIGO QUILAGUY BERNAL
JOHN JAIRO BOBADILLA BERMEO</v>
          </cell>
          <cell r="M100">
            <v>45918</v>
          </cell>
          <cell r="N100">
            <v>45804</v>
          </cell>
          <cell r="O100">
            <v>45804</v>
          </cell>
          <cell r="P100" t="str">
            <v>Visitas de evaluación con fines de seguimiento</v>
          </cell>
          <cell r="Q100" t="str">
            <v>15. Acta Col. Guillermo León Valencia IED.pdf</v>
          </cell>
          <cell r="R100" t="str">
            <v>La institución aplica la Ruta de Atención Integral y protocolos de convivencia conforme a la Ley 1620 de 2013, con reportes al sistema de alertas. Sin embargo, se requiere un plan de convivencia específico para el establecimiento, analizar los resultados del sistema de alertas para el plan del Comité de Convivencia, y documentar las etapas del debido proceso en el Manual de Convivencia.</v>
          </cell>
          <cell r="S100" t="str">
            <v>La institución se requiere implementar un plan de convivencia específico para el establecimiento, que permita analizar los resultados del sistema de alertas para el plan del Comité de Convivencia, y documentar las etapas del debido proceso en el Manual de Convivencia.</v>
          </cell>
          <cell r="T100" t="str">
            <v>Si</v>
          </cell>
          <cell r="U100" t="str">
            <v>Verificar las acciones definidas en el plan de mejoramiento una vez sea presentado 17.06.2025.
Se realiza seguimiento del PMI, se realizan observaciones y retroalimentación frente a la documentación presentada, conforme a lo orientado. (23/09/2025) Ver Carpeta POAIV - TRIM III</v>
          </cell>
        </row>
        <row r="101">
          <cell r="A101">
            <v>98</v>
          </cell>
          <cell r="B101"/>
          <cell r="C101" t="str">
            <v>ANTONIO NARIÑO</v>
          </cell>
          <cell r="D101" t="str">
            <v>OFICIAL.</v>
          </cell>
          <cell r="E101" t="str">
            <v>EPBM</v>
          </cell>
          <cell r="F101" t="str">
            <v>COLEGIO_GUILLERMO_LEON_VALENCIA_IED</v>
          </cell>
          <cell r="G101" t="str">
            <v>GUILLERMO LEON VALENCIA</v>
          </cell>
          <cell r="H101" t="str">
            <v>Convivencia escolar</v>
          </cell>
          <cell r="I101" t="str">
            <v>SEGUIMIENTO_Y_SUPERVISIÓN.</v>
          </cell>
          <cell r="J10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1" t="str">
            <v>JOSÉ RODRIGO QUILAGUY BERNAL</v>
          </cell>
          <cell r="L101" t="str">
            <v>ORLANDO SUÁREZ SOTO
JOSÉ RODRIGO QUILAGUY BERNAL
JOHN JAIRO BOBADILLA BERMEO</v>
          </cell>
          <cell r="M101">
            <v>45918</v>
          </cell>
          <cell r="N101">
            <v>45804</v>
          </cell>
          <cell r="O101">
            <v>45804</v>
          </cell>
          <cell r="P101" t="str">
            <v>Visitas de evaluación con fines de seguimiento</v>
          </cell>
          <cell r="Q101" t="str">
            <v>15. Acta Col. Guillermo León Valencia IED.pdf</v>
          </cell>
          <cell r="R101" t="str">
            <v>No se reflejan totalmente en PEI /MC avances inclusivos. Sin embargo, el PIAR y estrategias para diversidad estan implementadas.</v>
          </cell>
          <cell r="S101" t="str">
            <v>Continuar con la actualización del PEI y el Manual de Convivencia para reflejar plenamente los avances en inclusión y el perfil de los estudiantes, asegurando su coherencia normativa.</v>
          </cell>
          <cell r="T101" t="str">
            <v>Si</v>
          </cell>
          <cell r="U101" t="str">
            <v>Verificar las acciones definidas en el plan de mejoramiento una vez sea presentado 17.06.2025.
Se realiza seguimiento del PMI, se realizan observaciones y retroalimentación frente a la documentación presentada, conforme a lo orientado. (23/09/2025) Ver Carpeta POAIV - TRIM III</v>
          </cell>
        </row>
        <row r="102">
          <cell r="A102">
            <v>99</v>
          </cell>
          <cell r="B102"/>
          <cell r="C102" t="str">
            <v>ANTONIO NARIÑO</v>
          </cell>
          <cell r="D102" t="str">
            <v>OFICIAL.</v>
          </cell>
          <cell r="E102" t="str">
            <v>EPBM</v>
          </cell>
          <cell r="F102" t="str">
            <v>COLEGIO_GUILLERMO_LEON_VALENCIA_IED</v>
          </cell>
          <cell r="G102" t="str">
            <v>GUILLERMO LEON VALENCIA</v>
          </cell>
          <cell r="H102" t="str">
            <v>Convivencia escolar</v>
          </cell>
          <cell r="I102" t="str">
            <v>EVALUACIÓN_CON_FINES_DE_MEJORAMIENTO.</v>
          </cell>
          <cell r="J102" t="str">
            <v>Revisar la actualización, socialización e implementación del Sistema Institucional de Evaluación de Estudiantes - SIEE, en articulación con la actualización del PEI y la normatividad vigente.</v>
          </cell>
          <cell r="K102" t="str">
            <v>JOSÉ RODRIGO QUILAGUY BERNAL</v>
          </cell>
          <cell r="L102" t="str">
            <v>ORLANDO SUÁREZ SOTO
JOSÉ RODRIGO QUILAGUY BERNAL
JOHN JAIRO BOBADILLA BERMEO</v>
          </cell>
          <cell r="M102">
            <v>45918</v>
          </cell>
          <cell r="N102">
            <v>45804</v>
          </cell>
          <cell r="O102">
            <v>45804</v>
          </cell>
          <cell r="P102" t="str">
            <v>Visitas de evaluación con fines de seguimiento</v>
          </cell>
          <cell r="Q102" t="str">
            <v>15. Acta Col. Guillermo León Valencia IED.pdf</v>
          </cell>
          <cell r="R102" t="str">
            <v>Se implementan de forma estructurada las Acciones de Mejoramiento Pedagógico (A.M.P.) y semanas de apoyo pedagógico semestrales, junto con semanas de superación que incluyen el acompañamiento de acudientes.</v>
          </cell>
          <cell r="S102" t="str">
            <v>La IE implementa opciones académicas y apoyo pedagógico organizado y registrado para la mejora estudiantil</v>
          </cell>
          <cell r="T102" t="str">
            <v>No</v>
          </cell>
          <cell r="U102" t="str">
            <v>Verificar nuevamente en caso de requerirse.</v>
          </cell>
        </row>
        <row r="103">
          <cell r="A103">
            <v>100</v>
          </cell>
          <cell r="B103"/>
          <cell r="C103" t="str">
            <v>ANTONIO NARIÑO</v>
          </cell>
          <cell r="D103" t="str">
            <v>OFICIAL.</v>
          </cell>
          <cell r="E103" t="str">
            <v>EPBM</v>
          </cell>
          <cell r="F103" t="str">
            <v>COLEGIO_GUILLERMO_LEON_VALENCIA_IED</v>
          </cell>
          <cell r="G103" t="str">
            <v>GUILLERMO LEON VALENCIA</v>
          </cell>
          <cell r="H103" t="str">
            <v>Convivencia escolar</v>
          </cell>
          <cell r="I103" t="str">
            <v>EVALUACIÓN_CON_FINES_DE_MEJORAMIENTO.</v>
          </cell>
          <cell r="J103" t="str">
            <v>Revisar el calendario escolar, jornada escolar, la intensidad horaria mínima anual en cada nivel y las modificaciones que se realicen al mismo, de acuerdo con lo previsto en la normatividad vigente.</v>
          </cell>
          <cell r="K103" t="str">
            <v>JOSÉ RODRIGO QUILAGUY BERNAL</v>
          </cell>
          <cell r="L103" t="str">
            <v>ORLANDO SUÁREZ SOTO
JOSÉ RODRIGO QUILAGUY BERNAL
JOHN JAIRO BOBADILLA BERMEO</v>
          </cell>
          <cell r="M103">
            <v>45918</v>
          </cell>
          <cell r="N103">
            <v>45804</v>
          </cell>
          <cell r="O103">
            <v>45804</v>
          </cell>
          <cell r="P103" t="str">
            <v>Visitas de evaluación con fines de mejoramiento</v>
          </cell>
          <cell r="Q103" t="str">
            <v>15. Acta Col. Guillermo León Valencia IED.pdf</v>
          </cell>
          <cell r="R103" t="str">
            <v>Se constata que la Institución Educativa garantiza el cumplimiento de la intensidad horaria mínima anual establecida para cada el nivel educativo que ofrece.</v>
          </cell>
          <cell r="S103" t="str">
            <v>Se concluye que el establecimiento educativo está dando pleno cumplimiento a la normativa vigente en cuanto a la organización del calendario y la jornada escolar</v>
          </cell>
          <cell r="T103" t="str">
            <v>No</v>
          </cell>
          <cell r="U103" t="str">
            <v>Verificar nuevamente en caso de requerirse.</v>
          </cell>
        </row>
        <row r="104">
          <cell r="A104">
            <v>101</v>
          </cell>
          <cell r="B104"/>
          <cell r="C104" t="str">
            <v>ANTONIO NARIÑO</v>
          </cell>
          <cell r="D104" t="str">
            <v>OFICIAL.</v>
          </cell>
          <cell r="E104" t="str">
            <v>EPBM</v>
          </cell>
          <cell r="F104" t="str">
            <v>COLEGIO_GUILLERMO_LEON_VALENCIA_IED</v>
          </cell>
          <cell r="G104" t="str">
            <v>GUILLERMO LEON VALENCIA</v>
          </cell>
          <cell r="H104" t="str">
            <v>Convivencia escolar</v>
          </cell>
          <cell r="I104" t="str">
            <v>EVALUACIÓN_CON_FINES_DE_MEJORAMIENTO.</v>
          </cell>
          <cell r="J104" t="str">
            <v>Verificar el funcionamiento del Gobierno Escolar e instancias de participación con base en la información sobre conformación reportada por la institución educativa.</v>
          </cell>
          <cell r="K104" t="str">
            <v>JOSÉ RODRIGO QUILAGUY BERNAL</v>
          </cell>
          <cell r="L104" t="str">
            <v>ORLANDO SUÁREZ SOTO
JOSÉ RODRIGO QUILAGUY BERNAL
JOHN JAIRO BOBADILLA BERMEO</v>
          </cell>
          <cell r="M104">
            <v>45918</v>
          </cell>
          <cell r="N104">
            <v>45804</v>
          </cell>
          <cell r="O104">
            <v>45804</v>
          </cell>
          <cell r="P104" t="str">
            <v>Visitas de evaluación con fines de mejoramiento</v>
          </cell>
          <cell r="Q104" t="str">
            <v>15. Acta Col. Guillermo León Valencia IED.pdf</v>
          </cell>
          <cell r="R104" t="str">
            <v>La institución educativa reporta la conformación de las instancias del Gobierno Escolar, incluyendo el Consejo Académico y otras instancias de participación. Se cuenta con actas de reuniones y registros de participación</v>
          </cell>
          <cell r="S104" t="str">
            <v>Se recomienda tener en cuenta la periodicidad de las reuniones de estas instancias</v>
          </cell>
          <cell r="T104" t="str">
            <v>No</v>
          </cell>
          <cell r="U104" t="str">
            <v xml:space="preserve">Se verificará la conformación de los gobiernos escolares e instancias para la vigencia 2026. </v>
          </cell>
        </row>
        <row r="105">
          <cell r="A105">
            <v>102</v>
          </cell>
          <cell r="B105"/>
          <cell r="C105" t="str">
            <v>ANTONIO NARIÑO</v>
          </cell>
          <cell r="D105" t="str">
            <v>OFICIAL.</v>
          </cell>
          <cell r="E105" t="str">
            <v>EPBM</v>
          </cell>
          <cell r="F105" t="str">
            <v>COLEGIO_GUILLERMO_LEON_VALENCIA_IED</v>
          </cell>
          <cell r="G105" t="str">
            <v>GUILLERMO LEON VALENCIA</v>
          </cell>
          <cell r="H105" t="str">
            <v>Convivencia escolar</v>
          </cell>
          <cell r="I105" t="str">
            <v>EVALUACIÓN_CON_FINES_DE_MEJORAMIENTO.</v>
          </cell>
          <cell r="J105" t="str">
            <v>Verificar las condiciones en cuanto a: la estructura administrativa, condiciones de la planta física y medios educativos adecuados.</v>
          </cell>
          <cell r="K105" t="str">
            <v>JOSÉ RODRIGO QUILAGUY BERNAL</v>
          </cell>
          <cell r="L105" t="str">
            <v>ORLANDO SUÁREZ SOTO
JOSÉ RODRIGO QUILAGUY BERNAL
JOHN JAIRO BOBADILLA BERMEO</v>
          </cell>
          <cell r="M105">
            <v>45918</v>
          </cell>
          <cell r="N105">
            <v>45804</v>
          </cell>
          <cell r="O105">
            <v>45804</v>
          </cell>
          <cell r="P105" t="str">
            <v>Visitas de evaluación con fines de mejoramiento</v>
          </cell>
          <cell r="Q105" t="str">
            <v>15. Acta Col. Guillermo León Valencia IED.pdf</v>
          </cell>
          <cell r="R105" t="str">
            <v>Espacios educativos, administrativos y lúdicos son suficientes, dotados y con buen mantenimiento general.</v>
          </cell>
          <cell r="S105" t="str">
            <v>La institución cuenta con espacios y dotación adecuados y bien mantenidos en todas sus áreas.</v>
          </cell>
          <cell r="T105" t="str">
            <v>No</v>
          </cell>
          <cell r="U105" t="str">
            <v>Realizar nueva visita y verificación en caso de requerirse.</v>
          </cell>
        </row>
        <row r="106">
          <cell r="A106">
            <v>105</v>
          </cell>
          <cell r="B106">
            <v>13</v>
          </cell>
          <cell r="C106" t="str">
            <v>ANTONIO NARIÑO</v>
          </cell>
          <cell r="D106" t="str">
            <v>OFICIAL.</v>
          </cell>
          <cell r="E106" t="str">
            <v>EPBM</v>
          </cell>
          <cell r="F106" t="str">
            <v>COLEGIO_ESCUELA_NORMAL_SUPERIOR_DISTRITAL_MARIA_MONTESSORI_IED</v>
          </cell>
          <cell r="G106" t="str">
            <v>NORMAL SUPERIOR DISTRITAL MARIA MONTESSORI</v>
          </cell>
          <cell r="H106" t="str">
            <v>Convivencia escolar</v>
          </cell>
          <cell r="I106" t="str">
            <v>SEGUIMIENTO_Y_SUPERVISIÓN.</v>
          </cell>
          <cell r="J106" t="str">
            <v xml:space="preserve">Verificar la implementación por parte de los colegios, de acciones realizadas para la prevención y atención de las situaciones de convivencia en el entorno escolar, según lo establecido en la Directiva 01 de 2022 del MEN. </v>
          </cell>
          <cell r="K106" t="str">
            <v>ORLANDO SUÁREZ SOTO</v>
          </cell>
          <cell r="L106" t="str">
            <v>ORLANDO SUÁREZ SOTO
JOSÉ RODRIGO QUILAGUY BERNAL
JOHN JAIRO BOBADILLA BERMEO</v>
          </cell>
          <cell r="M106">
            <v>45909</v>
          </cell>
          <cell r="N106">
            <v>45803</v>
          </cell>
          <cell r="O106">
            <v>45803</v>
          </cell>
          <cell r="P106" t="str">
            <v>Visitas de evaluación con fines de seguimiento</v>
          </cell>
          <cell r="Q106" t="str">
            <v>14. Acta de visita Integral - COLEGIO ENSDM Montessori IED.pdf</v>
          </cell>
          <cell r="R106" t="str">
            <v>El EE cuenta con un Manual de Convivencia con enfoque participativo e inclusivo. El Comité de Convivencia Escolar opera de manera activa y cumple con sus funciones. Se evidencian protocolos detallados para la atención de situaciones de convivencia, conforme a la Directiva 01 de 2022. El registro en el Sistema de Alertas del Distrito es adecuado. Los principios de debido proceso y proporcionalidad están claramente contemplados en el Manual.</v>
          </cell>
          <cell r="S106" t="str">
            <v xml:space="preserve">El EE se compromete a mantener actualizados los protocolos y el Manual de Convivencia y la capacitación continua para los integrantes del Comité de Convivencia. </v>
          </cell>
          <cell r="T106" t="str">
            <v>No</v>
          </cell>
          <cell r="U106" t="str">
            <v>Realizar nueva verificación de la actividad en caso de presentarse queja</v>
          </cell>
        </row>
        <row r="107">
          <cell r="A107">
            <v>106</v>
          </cell>
          <cell r="B107"/>
          <cell r="C107" t="str">
            <v>ANTONIO NARIÑO</v>
          </cell>
          <cell r="D107" t="str">
            <v>OFICIAL.</v>
          </cell>
          <cell r="E107" t="str">
            <v>EPBM</v>
          </cell>
          <cell r="F107" t="str">
            <v>COLEGIO_ESCUELA_NORMAL_SUPERIOR_DISTRITAL_MARIA_MONTESSORI_IED</v>
          </cell>
          <cell r="G107" t="str">
            <v>NORMAL SUPERIOR DISTRITAL MARIA MONTESSORI</v>
          </cell>
          <cell r="H107" t="str">
            <v>Convivencia escolar</v>
          </cell>
          <cell r="I107" t="str">
            <v>SEGUIMIENTO_Y_SUPERVISIÓN.</v>
          </cell>
          <cell r="J10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7" t="str">
            <v>ORLANDO SUÁREZ SOTO</v>
          </cell>
          <cell r="L107" t="str">
            <v>ORLANDO SUÁREZ SOTO
JOSÉ RODRIGO QUILAGUY BERNAL
JOHN JAIRO BOBADILLA BERMEO</v>
          </cell>
          <cell r="M107">
            <v>45909</v>
          </cell>
          <cell r="N107">
            <v>45803</v>
          </cell>
          <cell r="O107">
            <v>45803</v>
          </cell>
          <cell r="P107" t="str">
            <v>Visitas de evaluación con fines de seguimiento</v>
          </cell>
          <cell r="Q107" t="str">
            <v>14. Acta de visita Integral - COLEGIO ENSDM Montessori IED.pdf</v>
          </cell>
          <cell r="R107" t="str">
            <v>El EE ha caracterizado a estudiantes con discapacidad, trastornos del aprendizaje y talentos excepcionales. Se cuenta con PIAR articulados al PEI y al Manual de Convivencia, con seguimiento interdisciplinario e implementación inclusiva.</v>
          </cell>
          <cell r="S107" t="str">
            <v>El EE promoverá el fortalecimiento del diseño y actualización de los PIAR y la capacitación permanente del equipo interdisciplinario institucional</v>
          </cell>
          <cell r="T107" t="str">
            <v>No</v>
          </cell>
          <cell r="U107" t="str">
            <v>Verificar nuevamente en caso de requerirse.</v>
          </cell>
        </row>
        <row r="108">
          <cell r="A108">
            <v>107</v>
          </cell>
          <cell r="B108"/>
          <cell r="C108" t="str">
            <v>ANTONIO NARIÑO</v>
          </cell>
          <cell r="D108" t="str">
            <v>OFICIAL.</v>
          </cell>
          <cell r="E108" t="str">
            <v>EPBM</v>
          </cell>
          <cell r="F108" t="str">
            <v>COLEGIO_ESCUELA_NORMAL_SUPERIOR_DISTRITAL_MARIA_MONTESSORI_IED</v>
          </cell>
          <cell r="G108" t="str">
            <v>NORMAL SUPERIOR DISTRITAL MARIA MONTESSORI</v>
          </cell>
          <cell r="H108" t="str">
            <v>Convivencia escolar</v>
          </cell>
          <cell r="I108" t="str">
            <v>EVALUACIÓN_CON_FINES_DE_MEJORAMIENTO.</v>
          </cell>
          <cell r="J108" t="str">
            <v>Revisar la actualización, socialización e implementación del Sistema Institucional de Evaluación de Estudiantes - SIEE, en articulación con la actualización del PEI y la normatividad vigente.</v>
          </cell>
          <cell r="K108" t="str">
            <v>ORLANDO SUÁREZ SOTO</v>
          </cell>
          <cell r="L108" t="str">
            <v>ORLANDO SUÁREZ SOTO
JOSÉ RODRIGO QUILAGUY BERNAL
JOHN JAIRO BOBADILLA BERMEO</v>
          </cell>
          <cell r="M108">
            <v>45909</v>
          </cell>
          <cell r="N108">
            <v>45803</v>
          </cell>
          <cell r="O108">
            <v>45803</v>
          </cell>
          <cell r="P108" t="str">
            <v>Visitas de evaluación con fines de seguimiento</v>
          </cell>
          <cell r="Q108" t="str">
            <v>14. Acta de visita Integral - COLEGIO ENSDM Montessori IED.pdf</v>
          </cell>
          <cell r="R108" t="str">
            <v>El SIEE está actualizado y articulado con el PEI. Participaron los consejos académico y directivo en su formulación. Fue socializado con la comunidad educativa y cuenta con registros de seguimiento. Las prácticas evaluativas reflejan lo establecido.</v>
          </cell>
          <cell r="S108" t="str">
            <v>La IE demuestra buena gestión académica y apoyo con estrategias documentadas y diversas para las necesidades estudiantiles</v>
          </cell>
          <cell r="T108" t="str">
            <v>No</v>
          </cell>
          <cell r="U108" t="str">
            <v>Verificar nuevamente en caso de requerirse.</v>
          </cell>
        </row>
        <row r="109">
          <cell r="A109">
            <v>108</v>
          </cell>
          <cell r="B109"/>
          <cell r="C109" t="str">
            <v>ANTONIO NARIÑO</v>
          </cell>
          <cell r="D109" t="str">
            <v>OFICIAL.</v>
          </cell>
          <cell r="E109" t="str">
            <v>EPBM</v>
          </cell>
          <cell r="F109" t="str">
            <v>COLEGIO_ESCUELA_NORMAL_SUPERIOR_DISTRITAL_MARIA_MONTESSORI_IED</v>
          </cell>
          <cell r="G109" t="str">
            <v>NORMAL SUPERIOR DISTRITAL MARIA MONTESSORI</v>
          </cell>
          <cell r="H109" t="str">
            <v>Convivencia escolar</v>
          </cell>
          <cell r="I109" t="str">
            <v>EVALUACIÓN_CON_FINES_DE_MEJORAMIENTO.</v>
          </cell>
          <cell r="J109" t="str">
            <v>Revisar el calendario escolar, jornada escolar, la intensidad horaria mínima anual en cada nivel y las modificaciones que se realicen al mismo, de acuerdo con lo previsto en la normatividad vigente.</v>
          </cell>
          <cell r="K109" t="str">
            <v>ORLANDO SUÁREZ SOTO</v>
          </cell>
          <cell r="L109" t="str">
            <v>ORLANDO SUÁREZ SOTO
JOSÉ RODRIGO QUILAGUY BERNAL
JOHN JAIRO BOBADILLA BERMEO</v>
          </cell>
          <cell r="M109">
            <v>45909</v>
          </cell>
          <cell r="N109">
            <v>45803</v>
          </cell>
          <cell r="O109">
            <v>45803</v>
          </cell>
          <cell r="P109" t="str">
            <v>Visitas de evaluación con fines de seguimiento</v>
          </cell>
          <cell r="Q109" t="str">
            <v>14. Acta de visita Integral - COLEGIO ENSDM Montessori IED.pdf</v>
          </cell>
          <cell r="R109" t="str">
            <v>Se constata que la Institución Educativa garantiza el cumplimiento de la intensidad horaria mínima anual establecida para cada el nivel educativo que ofrece.</v>
          </cell>
          <cell r="S109" t="str">
            <v>Se concluye que el establecimiento educativo está dando pleno cumplimiento a la normativa vigente en cuanto a la organización del calendario y la jornada escolar</v>
          </cell>
          <cell r="T109" t="str">
            <v>No</v>
          </cell>
          <cell r="U109" t="str">
            <v>Verificar nuevamente en caso de requerirse.</v>
          </cell>
        </row>
        <row r="110">
          <cell r="A110">
            <v>109</v>
          </cell>
          <cell r="B110"/>
          <cell r="C110" t="str">
            <v>ANTONIO NARIÑO</v>
          </cell>
          <cell r="D110" t="str">
            <v>OFICIAL.</v>
          </cell>
          <cell r="E110" t="str">
            <v>EPBM</v>
          </cell>
          <cell r="F110" t="str">
            <v>COLEGIO_ESCUELA_NORMAL_SUPERIOR_DISTRITAL_MARIA_MONTESSORI_IED</v>
          </cell>
          <cell r="G110" t="str">
            <v>NORMAL SUPERIOR DISTRITAL MARIA MONTESSORI</v>
          </cell>
          <cell r="H110" t="str">
            <v>Convivencia escolar</v>
          </cell>
          <cell r="I110" t="str">
            <v>EVALUACIÓN_CON_FINES_DE_MEJORAMIENTO.</v>
          </cell>
          <cell r="J110" t="str">
            <v>Verificar el funcionamiento del Gobierno Escolar e instancias de participación con base en la información sobre conformación reportada por la institución educativa.</v>
          </cell>
          <cell r="K110" t="str">
            <v>ORLANDO SUÁREZ SOTO</v>
          </cell>
          <cell r="L110" t="str">
            <v>ORLANDO SUÁREZ SOTO
JOSÉ RODRIGO QUILAGUY BERNAL
JOHN JAIRO BOBADILLA BERMEO</v>
          </cell>
          <cell r="M110">
            <v>45909</v>
          </cell>
          <cell r="N110">
            <v>45803</v>
          </cell>
          <cell r="O110">
            <v>45803</v>
          </cell>
          <cell r="P110" t="str">
            <v>Visitas de evaluación con fines de mejoramiento</v>
          </cell>
          <cell r="Q110" t="str">
            <v>14. Acta de visita Integral - COLEGIO ENSDM Montessori IED.pdf</v>
          </cell>
          <cell r="R110" t="str">
            <v>La institución educativa reporta la conformación de las instancias del Gobierno Escolar, incluyendo el Consejo Académico y otras instancias de participación. Se cuenta con actas de reuniones y registros de participación</v>
          </cell>
          <cell r="S110" t="str">
            <v>Se recomienda tener en cuenta la periodicidad de las reuniones de estas instancias</v>
          </cell>
          <cell r="T110" t="str">
            <v>No</v>
          </cell>
          <cell r="U110" t="str">
            <v xml:space="preserve">Se verificará la conformación de los gobiernos escolares e instancias para la vigencia 2026. </v>
          </cell>
        </row>
        <row r="111">
          <cell r="A111">
            <v>110</v>
          </cell>
          <cell r="B111"/>
          <cell r="C111" t="str">
            <v>ANTONIO NARIÑO</v>
          </cell>
          <cell r="D111" t="str">
            <v>OFICIAL.</v>
          </cell>
          <cell r="E111" t="str">
            <v>EPBM</v>
          </cell>
          <cell r="F111" t="str">
            <v>COLEGIO_ESCUELA_NORMAL_SUPERIOR_DISTRITAL_MARIA_MONTESSORI_IED</v>
          </cell>
          <cell r="G111" t="str">
            <v>NORMAL SUPERIOR DISTRITAL MARIA MONTESSORI</v>
          </cell>
          <cell r="H111" t="str">
            <v>Convivencia escolar</v>
          </cell>
          <cell r="I111" t="str">
            <v>EVALUACIÓN_CON_FINES_DE_MEJORAMIENTO.</v>
          </cell>
          <cell r="J111" t="str">
            <v>Verificar las condiciones en cuanto a: la estructura administrativa, condiciones de la planta física y medios educativos adecuados.</v>
          </cell>
          <cell r="K111" t="str">
            <v>ORLANDO SUÁREZ SOTO</v>
          </cell>
          <cell r="L111" t="str">
            <v>ORLANDO SUÁREZ SOTO
JOSÉ RODRIGO QUILAGUY BERNAL
JOHN JAIRO BOBADILLA BERMEO</v>
          </cell>
          <cell r="M111">
            <v>45909</v>
          </cell>
          <cell r="N111">
            <v>45803</v>
          </cell>
          <cell r="O111">
            <v>45803</v>
          </cell>
          <cell r="P111" t="str">
            <v>Visitas de evaluación con fines de mejoramiento</v>
          </cell>
          <cell r="Q111" t="str">
            <v>14. Acta de visita Integral - COLEGIO ENSDM Montessori IED.pdf</v>
          </cell>
          <cell r="R111" t="str">
            <v>Espacios educativos, administrativos y lúdicos son suficientes, dotados y con buen mantenimiento general.</v>
          </cell>
          <cell r="S111" t="str">
            <v>La institución cuenta con espacios y dotación adecuados y bien mantenidos en todas sus áreas.</v>
          </cell>
          <cell r="T111" t="str">
            <v>No</v>
          </cell>
          <cell r="U111" t="str">
            <v>Realizar nueva visita y verificación en caso de requerirse.</v>
          </cell>
        </row>
        <row r="112">
          <cell r="A112">
            <v>113</v>
          </cell>
          <cell r="B112">
            <v>14</v>
          </cell>
          <cell r="C112" t="str">
            <v>ANTONIO NARIÑO</v>
          </cell>
          <cell r="D112" t="str">
            <v>PRIVADO</v>
          </cell>
          <cell r="E112" t="str">
            <v>Educación Inicial</v>
          </cell>
          <cell r="F112" t="str">
            <v>COLEGIO_INTEGRAL_SAN_JORGE_CENTRAL</v>
          </cell>
          <cell r="G112" t="str">
            <v>COLEGIO INTEGRAL SAN JORGE CENTRAL</v>
          </cell>
          <cell r="H112" t="str">
            <v>Autoevaluación Institucional y Pruebas SABER 11</v>
          </cell>
          <cell r="I112" t="str">
            <v>SEGUIMIENTO_Y_SUPERVISIÓN.</v>
          </cell>
          <cell r="J112"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112" t="str">
            <v>JOHN JAIRO BOBADILLA BERMEO</v>
          </cell>
          <cell r="L112" t="str">
            <v>ORLANDO SUÁREZ SOTO
JOSÉ RODRIGO QUILAGUY BERNAL
JOHN JAIRO BOBADILLA BERMEO</v>
          </cell>
          <cell r="M112">
            <v>45727</v>
          </cell>
          <cell r="N112">
            <v>45727</v>
          </cell>
          <cell r="O112">
            <v>45727</v>
          </cell>
          <cell r="P112" t="str">
            <v>Visitas de evaluación con fines de seguimiento</v>
          </cell>
          <cell r="Q112" t="str">
            <v>01. Acta de visita Integral - Colegio Integral San Jorge Central.pdf</v>
          </cell>
          <cell r="R112" t="str">
            <v xml:space="preserve">El establecimiento se encuentra en régimen controlado por no pago de para fiscales, aún no ha subsanado la causal. No ha implementado el plan de mejoramiento cargado en el EVI. </v>
          </cell>
          <cell r="S112" t="str">
            <v>Realizar el pago de parafiscales de cada uno de los empleados contratados por la I.E., a partir del mes de abril, con el propósito de superar la causal que lo tiene clasificado en  régimen controlado.</v>
          </cell>
          <cell r="T112" t="str">
            <v>Si</v>
          </cell>
          <cell r="U112" t="str">
            <v>Se hará revisión y seguimiento al plan de mejoramiento que  presentará el establecimiento educativo, a partir de  (01.08.2025)
Se realiza seguimiento del PMI, se realizan observaciones y retroalimentación frente a la documentación presentada, conforme a lo orientado. (23/09/2025) Ver Carpeta POAIV - TRIM III</v>
          </cell>
        </row>
        <row r="113">
          <cell r="A113">
            <v>114</v>
          </cell>
          <cell r="B113"/>
          <cell r="C113" t="str">
            <v>ANTONIO NARIÑO</v>
          </cell>
          <cell r="D113" t="str">
            <v>PRIVADO</v>
          </cell>
          <cell r="E113" t="str">
            <v>Educación Inicial</v>
          </cell>
          <cell r="F113" t="str">
            <v>COLEGIO_INTEGRAL_SAN_JORGE_CENTRAL</v>
          </cell>
          <cell r="G113" t="str">
            <v>COLEGIO INTEGRAL SAN JORGE CENTRAL</v>
          </cell>
          <cell r="H113" t="str">
            <v>Autoevaluación Institucional y Pruebas SABER 11</v>
          </cell>
          <cell r="I113" t="str">
            <v>SEGUIMIENTO_Y_SUPERVISIÓN.</v>
          </cell>
          <cell r="J113" t="str">
            <v>Realizar visitas para verificar la información registrada sobre la autoevaluación institucional en el aplicativo EVI, a los establecimientos de educación formal no oficial.</v>
          </cell>
          <cell r="K113" t="str">
            <v>JOHN JAIRO BOBADILLA BERMEO</v>
          </cell>
          <cell r="L113" t="str">
            <v>ORLANDO SUÁREZ SOTO
JOSÉ RODRIGO QUILAGUY BERNAL
JOHN JAIRO BOBADILLA BERMEO</v>
          </cell>
          <cell r="M113">
            <v>45727</v>
          </cell>
          <cell r="N113">
            <v>45727</v>
          </cell>
          <cell r="O113">
            <v>45727</v>
          </cell>
          <cell r="P113" t="str">
            <v>Visitas de evaluación con fines de seguimiento</v>
          </cell>
          <cell r="Q113" t="str">
            <v>01. Acta de visita Integral - Colegio Integral San Jorge Central.pdf</v>
          </cell>
          <cell r="R113" t="str">
            <v>El establecimiento no cuenta con un sistema contable, ni con registros de contratos de matrícula, lo cual no permite evidenciar la correspondencia con información registrada en la aplicativo EVI</v>
          </cell>
          <cell r="S113" t="str">
            <v>Adelantar las acciones que le permitan a la I.E. el desarrollo de un sistema de control y gestión contable que permita evidenciar la realidad institucional en cuanto a indicadores financieros</v>
          </cell>
          <cell r="T113" t="str">
            <v>Si</v>
          </cell>
          <cell r="U113"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4">
          <cell r="A114">
            <v>115</v>
          </cell>
          <cell r="B114"/>
          <cell r="C114" t="str">
            <v>ANTONIO NARIÑO</v>
          </cell>
          <cell r="D114" t="str">
            <v>PRIVADO</v>
          </cell>
          <cell r="E114" t="str">
            <v>Educación Inicial</v>
          </cell>
          <cell r="F114" t="str">
            <v>COLEGIO_INTEGRAL_SAN_JORGE_CENTRAL</v>
          </cell>
          <cell r="G114" t="str">
            <v>COLEGIO INTEGRAL SAN JORGE CENTRAL</v>
          </cell>
          <cell r="H114" t="str">
            <v>Autoevaluación Institucional y Pruebas SABER 11</v>
          </cell>
          <cell r="I114" t="str">
            <v>SEGUIMIENTO_Y_SUPERVISIÓN.</v>
          </cell>
          <cell r="J114" t="str">
            <v xml:space="preserve">Verificar la implementación por parte de los colegios, de acciones realizadas para la prevención y atención de las situaciones de convivencia en el entorno escolar, según lo establecido en la Directiva 01 de 2022 del MEN. </v>
          </cell>
          <cell r="K114" t="str">
            <v>JOHN JAIRO BOBADILLA BERMEO</v>
          </cell>
          <cell r="L114" t="str">
            <v>ORLANDO SUÁREZ SOTO
JOSÉ RODRIGO QUILAGUY BERNAL
JOHN JAIRO BOBADILLA BERMEO</v>
          </cell>
          <cell r="M114">
            <v>45727</v>
          </cell>
          <cell r="N114">
            <v>45727</v>
          </cell>
          <cell r="O114">
            <v>45727</v>
          </cell>
          <cell r="P114" t="str">
            <v>Visitas de evaluación con fines de seguimiento</v>
          </cell>
          <cell r="Q114" t="str">
            <v>01. Acta de visita Integral - Colegio Integral San Jorge Central.pdf</v>
          </cell>
          <cell r="R114" t="str">
            <v>No se evidencia la verificación de antedentes al personal de la IE. Asimismo, no evidencia suficientes acciones desarrolladas por el  comité de Convivencia Escolar.</v>
          </cell>
          <cell r="S114" t="str">
            <v>La IE requiere fortalecer las acciones que debe desarrollarr el  comité de Convivencia Escolar e implementar todos los componentes de la Directiva 01.</v>
          </cell>
          <cell r="T114" t="str">
            <v>Si</v>
          </cell>
          <cell r="U114"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5">
          <cell r="A115">
            <v>116</v>
          </cell>
          <cell r="B115"/>
          <cell r="C115" t="str">
            <v>ANTONIO NARIÑO</v>
          </cell>
          <cell r="D115" t="str">
            <v>PRIVADO</v>
          </cell>
          <cell r="E115" t="str">
            <v>Educación Inicial</v>
          </cell>
          <cell r="F115" t="str">
            <v>COLEGIO_INTEGRAL_SAN_JORGE_CENTRAL</v>
          </cell>
          <cell r="G115" t="str">
            <v>COLEGIO INTEGRAL SAN JORGE CENTRAL</v>
          </cell>
          <cell r="H115" t="str">
            <v>Autoevaluación Institucional y Pruebas SABER 11</v>
          </cell>
          <cell r="I115" t="str">
            <v>SEGUIMIENTO_Y_SUPERVISIÓN.</v>
          </cell>
          <cell r="J11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5" t="str">
            <v>JOHN JAIRO BOBADILLA BERMEO</v>
          </cell>
          <cell r="L115" t="str">
            <v>ORLANDO SUÁREZ SOTO
JOSÉ RODRIGO QUILAGUY BERNAL
JOHN JAIRO BOBADILLA BERMEO</v>
          </cell>
          <cell r="M115">
            <v>45727</v>
          </cell>
          <cell r="N115">
            <v>45727</v>
          </cell>
          <cell r="O115">
            <v>45727</v>
          </cell>
          <cell r="P115" t="str">
            <v>Visitas de evaluación con fines de seguimiento</v>
          </cell>
          <cell r="Q115" t="str">
            <v>01. Acta de visita Integral - Colegio Integral San Jorge Central.pdf</v>
          </cell>
          <cell r="R115" t="str">
            <v>El establecimiento educativo no cuenta con estudiantes de inclusión a la fecha.</v>
          </cell>
          <cell r="S115" t="str">
            <v>La IE desarrollara en el PEI el Proyecto de inclusió conforme al Decreto 1421 de 2017</v>
          </cell>
          <cell r="T115" t="str">
            <v>Si</v>
          </cell>
          <cell r="U115"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6">
          <cell r="A116">
            <v>117</v>
          </cell>
          <cell r="B116"/>
          <cell r="C116" t="str">
            <v>ANTONIO NARIÑO</v>
          </cell>
          <cell r="D116" t="str">
            <v>PRIVADO</v>
          </cell>
          <cell r="E116" t="str">
            <v>Educación Inicial</v>
          </cell>
          <cell r="F116" t="str">
            <v>COLEGIO_INTEGRAL_SAN_JORGE_CENTRAL</v>
          </cell>
          <cell r="G116" t="str">
            <v>COLEGIO INTEGRAL SAN JORGE CENTRAL</v>
          </cell>
          <cell r="H116" t="str">
            <v>Autoevaluación Institucional y Pruebas SABER 11</v>
          </cell>
          <cell r="I116" t="str">
            <v>EVALUACIÓN_CON_FINES_DE_MEJORAMIENTO.</v>
          </cell>
          <cell r="J11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6" t="str">
            <v>JOHN JAIRO BOBADILLA BERMEO</v>
          </cell>
          <cell r="L116" t="str">
            <v>ORLANDO SUÁREZ SOTO
JOSÉ RODRIGO QUILAGUY BERNAL
JOHN JAIRO BOBADILLA BERMEO</v>
          </cell>
          <cell r="M116">
            <v>45727</v>
          </cell>
          <cell r="N116">
            <v>45727</v>
          </cell>
          <cell r="O116">
            <v>45727</v>
          </cell>
          <cell r="P116" t="str">
            <v>Visitas de evaluación con fines de mejoramiento</v>
          </cell>
          <cell r="Q116" t="str">
            <v>01. Acta de visita Integral - Colegio Integral San Jorge Central.pdf</v>
          </cell>
          <cell r="R116" t="str">
            <v>El Manual de convivencia contiene algunos elementos de ley, se encuentra ajustado para el servicio de preescolar. 
Requiere hacer ajustes relacionados enfoques diferenciales.</v>
          </cell>
          <cell r="S116" t="str">
            <v xml:space="preserve">Actualizar el Manual de Convivencia de manera participativa y socializarlo con la comunidad. </v>
          </cell>
          <cell r="T116" t="str">
            <v>Si</v>
          </cell>
          <cell r="U116"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7">
          <cell r="A117">
            <v>118</v>
          </cell>
          <cell r="B117"/>
          <cell r="C117" t="str">
            <v>ANTONIO NARIÑO</v>
          </cell>
          <cell r="D117" t="str">
            <v>PRIVADO</v>
          </cell>
          <cell r="E117" t="str">
            <v>Educación Inicial</v>
          </cell>
          <cell r="F117" t="str">
            <v>COLEGIO_INTEGRAL_SAN_JORGE_CENTRAL</v>
          </cell>
          <cell r="G117" t="str">
            <v>COLEGIO INTEGRAL SAN JORGE CENTRAL</v>
          </cell>
          <cell r="H117" t="str">
            <v>Autoevaluación Institucional y Pruebas SABER 11</v>
          </cell>
          <cell r="I117" t="str">
            <v>EVALUACIÓN_CON_FINES_DE_MEJORAMIENTO.</v>
          </cell>
          <cell r="J117" t="str">
            <v>Revisar la actualización, socialización e implementación del Sistema Institucional de Evaluación de Estudiantes - SIEE, en articulación con la actualización del PEI y la normatividad vigente.</v>
          </cell>
          <cell r="K117" t="str">
            <v>JOHN JAIRO BOBADILLA BERMEO</v>
          </cell>
          <cell r="L117" t="str">
            <v>ORLANDO SUÁREZ SOTO
JOSÉ RODRIGO QUILAGUY BERNAL
JOHN JAIRO BOBADILLA BERMEO</v>
          </cell>
          <cell r="M117">
            <v>45727</v>
          </cell>
          <cell r="N117">
            <v>45727</v>
          </cell>
          <cell r="O117">
            <v>45727</v>
          </cell>
          <cell r="P117" t="str">
            <v>Visitas de evaluación con fines de mejoramiento</v>
          </cell>
          <cell r="Q117" t="str">
            <v>01. Acta de visita Integral - Colegio Integral San Jorge Central.pdf</v>
          </cell>
          <cell r="R117" t="str">
            <v xml:space="preserve">Cuenta con SIEE el cual requiere incluir procedimientos, mecanismos e instancias para la resolución de reclamaciones frente a la evaluación y promoción.  </v>
          </cell>
          <cell r="S117" t="str">
            <v>La IE actualizará el SIEE de acuerdo con la normatividad vigente, y conforme a lo proyectado dentro de sus acciones de mejora en el PMI</v>
          </cell>
          <cell r="T117" t="str">
            <v>Si</v>
          </cell>
          <cell r="U117"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8">
          <cell r="A118">
            <v>119</v>
          </cell>
          <cell r="B118"/>
          <cell r="C118" t="str">
            <v>ANTONIO NARIÑO</v>
          </cell>
          <cell r="D118" t="str">
            <v>PRIVADO</v>
          </cell>
          <cell r="E118" t="str">
            <v>Educación Inicial</v>
          </cell>
          <cell r="F118" t="str">
            <v>COLEGIO_INTEGRAL_SAN_JORGE_CENTRAL</v>
          </cell>
          <cell r="G118" t="str">
            <v>COLEGIO INTEGRAL SAN JORGE CENTRAL</v>
          </cell>
          <cell r="H118" t="str">
            <v>Autoevaluación Institucional y Pruebas SABER 11</v>
          </cell>
          <cell r="I118" t="str">
            <v>EVALUACIÓN_CON_FINES_DE_MEJORAMIENTO.</v>
          </cell>
          <cell r="J118" t="str">
            <v>Revisar el calendario escolar, jornada escolar, la intensidad horaria mínima anual en cada nivel y las modificaciones que se realicen al mismo, de acuerdo con lo previsto en la normatividad vigente.</v>
          </cell>
          <cell r="K118" t="str">
            <v>JOHN JAIRO BOBADILLA BERMEO</v>
          </cell>
          <cell r="L118" t="str">
            <v>ORLANDO SUÁREZ SOTO
JOSÉ RODRIGO QUILAGUY BERNAL
JOHN JAIRO BOBADILLA BERMEO</v>
          </cell>
          <cell r="M118">
            <v>45727</v>
          </cell>
          <cell r="N118">
            <v>45727</v>
          </cell>
          <cell r="O118">
            <v>45727</v>
          </cell>
          <cell r="P118" t="str">
            <v>Visitas de evaluación con fines de mejoramiento</v>
          </cell>
          <cell r="Q118" t="str">
            <v>01. Acta de visita Integral - Colegio Integral San Jorge Central.pdf</v>
          </cell>
          <cell r="R118" t="str">
            <v>La IE presenta diferencia en la horas efectivas ofertadas, lo presentado a la DLE y a lo normado para el nivel en el que ofrece el servicio educativo.</v>
          </cell>
          <cell r="S118" t="str">
            <v xml:space="preserve">La IE realizará el ajuste al horario de salida  garantizando el cumplimiento de las horas que establece la norma para preescolar. </v>
          </cell>
          <cell r="T118" t="str">
            <v>Si</v>
          </cell>
          <cell r="U118"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19">
          <cell r="A119">
            <v>120</v>
          </cell>
          <cell r="B119"/>
          <cell r="C119" t="str">
            <v>ANTONIO NARIÑO</v>
          </cell>
          <cell r="D119" t="str">
            <v>PRIVADO</v>
          </cell>
          <cell r="E119" t="str">
            <v>Educación Inicial</v>
          </cell>
          <cell r="F119" t="str">
            <v>COLEGIO_INTEGRAL_SAN_JORGE_CENTRAL</v>
          </cell>
          <cell r="G119" t="str">
            <v>COLEGIO INTEGRAL SAN JORGE CENTRAL</v>
          </cell>
          <cell r="H119" t="str">
            <v>Autoevaluación Institucional y Pruebas SABER 11</v>
          </cell>
          <cell r="I119" t="str">
            <v>EVALUACIÓN_CON_FINES_DE_MEJORAMIENTO.</v>
          </cell>
          <cell r="J119" t="str">
            <v>Verificar el funcionamiento del Gobierno Escolar e instancias de participación con base en la información sobre conformación reportada por la institución educativa.</v>
          </cell>
          <cell r="K119" t="str">
            <v>JOHN JAIRO BOBADILLA BERMEO</v>
          </cell>
          <cell r="L119" t="str">
            <v>ORLANDO SUÁREZ SOTO
JOSÉ RODRIGO QUILAGUY BERNAL
JOHN JAIRO BOBADILLA BERMEO</v>
          </cell>
          <cell r="M119">
            <v>45727</v>
          </cell>
          <cell r="N119">
            <v>45727</v>
          </cell>
          <cell r="O119">
            <v>45727</v>
          </cell>
          <cell r="P119" t="str">
            <v>Visitas de evaluación con fines de mejoramiento</v>
          </cell>
          <cell r="Q119" t="str">
            <v>01. Acta de visita Integral - Colegio Integral San Jorge Central.pdf</v>
          </cell>
          <cell r="R119" t="str">
            <v xml:space="preserve">No tiene conformado su Gobierno Escolar y no se evidencia su operatividad en la vigencia anterior </v>
          </cell>
          <cell r="S119" t="str">
            <v xml:space="preserve">Se recomienda abrir los espacios y garantizar el esgablecimiento de los organos de participación del Gobierno Escolar y los Mecanismos de Participación y documentarlos. Fecha: (01.04.2025)
</v>
          </cell>
          <cell r="T119" t="str">
            <v>Si</v>
          </cell>
          <cell r="U119"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20">
          <cell r="A120">
            <v>121</v>
          </cell>
          <cell r="B120"/>
          <cell r="C120" t="str">
            <v>ANTONIO NARIÑO</v>
          </cell>
          <cell r="D120" t="str">
            <v>PRIVADO</v>
          </cell>
          <cell r="E120" t="str">
            <v>Educación Inicial</v>
          </cell>
          <cell r="F120" t="str">
            <v>COLEGIO_INTEGRAL_SAN_JORGE_CENTRAL</v>
          </cell>
          <cell r="G120" t="str">
            <v>COLEGIO INTEGRAL SAN JORGE CENTRAL</v>
          </cell>
          <cell r="H120" t="str">
            <v>Autoevaluación Institucional y Pruebas SABER 11</v>
          </cell>
          <cell r="I120" t="str">
            <v>EVALUACIÓN_CON_FINES_DE_MEJORAMIENTO.</v>
          </cell>
          <cell r="J120" t="str">
            <v>Verificar las condiciones en cuanto a: la estructura administrativa, condiciones de la planta física y medios educativos adecuados.</v>
          </cell>
          <cell r="K120" t="str">
            <v>JOHN JAIRO BOBADILLA BERMEO</v>
          </cell>
          <cell r="L120" t="str">
            <v>ORLANDO SUÁREZ SOTO
JOSÉ RODRIGO QUILAGUY BERNAL
JOHN JAIRO BOBADILLA BERMEO</v>
          </cell>
          <cell r="M120">
            <v>45727</v>
          </cell>
          <cell r="N120">
            <v>45727</v>
          </cell>
          <cell r="O120">
            <v>45727</v>
          </cell>
          <cell r="P120" t="str">
            <v>Visitas de evaluación con fines de mejoramiento</v>
          </cell>
          <cell r="Q120" t="str">
            <v>01. Acta de visita Integral - Colegio Integral San Jorge Central.pdf</v>
          </cell>
          <cell r="R120" t="str">
            <v xml:space="preserve">La estructura administrativa básica, las condiciones de la planta física y los recursos educativos son suficientes para la prestación del servicio educativo, sin embargo,  no son incluyentes, cómodos  ni adecuados para la atención a la primera infancia. </v>
          </cell>
          <cell r="S120" t="str">
            <v xml:space="preserve">La IE realizará mejoras del área administrativa y la planta física de la IE,  garantizando que estas sean mas comodas y confortables para la prestación del servicio educativo, demostrables dentro de lo proyectado en el PMI
</v>
          </cell>
          <cell r="T120" t="str">
            <v>Si</v>
          </cell>
          <cell r="U120" t="str">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ell>
        </row>
        <row r="121">
          <cell r="A121">
            <v>122</v>
          </cell>
          <cell r="B121">
            <v>15</v>
          </cell>
          <cell r="C121" t="str">
            <v>ANTONIO NARIÑO</v>
          </cell>
          <cell r="D121" t="str">
            <v>PRIVADO_IETDH</v>
          </cell>
          <cell r="E121" t="str">
            <v>IETDH</v>
          </cell>
          <cell r="F121" t="str">
            <v>CENTRO_DE_CONTABILIDAD_Y_SISTEMAS_CENCOSISTEMAS_</v>
          </cell>
          <cell r="G121" t="str">
            <v xml:space="preserve">CENTRO DE CONTABILIDAD Y SISTEMAS "CENCOSISTEMAS" </v>
          </cell>
          <cell r="H121" t="str">
            <v>IETDH priorizadas por cada ELIV (seguimiento a PMI, que no se hayan visitado en los últimos 3 años)</v>
          </cell>
          <cell r="I121" t="str">
            <v>SEGUIMIENTO_Y_SUPERVISIÓN.</v>
          </cell>
          <cell r="J121" t="str">
            <v>Adelantar visitas para verificar que el desarrollo de los programas de ETDH, esté de acuerdo con lo autorizado y la normatividad vigente, para propender por su pertinencia, legalidad y actualización constante.</v>
          </cell>
          <cell r="K121" t="str">
            <v>ORLANDO SUÁREZ SOTO</v>
          </cell>
          <cell r="L121" t="str">
            <v>ORLANDO SUÁREZ SOTO
JOSÉ RODRIGO QUILAGUY BERNAL
JOHN JAIRO BOBADILLA BERMEO</v>
          </cell>
          <cell r="M121">
            <v>45860</v>
          </cell>
          <cell r="N121">
            <v>45790</v>
          </cell>
          <cell r="O121">
            <v>45790</v>
          </cell>
          <cell r="P121" t="str">
            <v>Visitas de evaluación con fines de seguimiento</v>
          </cell>
          <cell r="Q121" t="str">
            <v>07. Acta de visita Integral - ETDH CENCOSISTEMAS.pdf</v>
          </cell>
          <cell r="R121" t="str">
            <v>El EE cuenta con un diseño curricular alineado a la normativa vigente. Se identifican convenios activos y cumplimiento de intensidad horaria. Hay registros de autoevaluación y planeación. Sin embargo, se observa que hay programas descritos no autorizados y falta documentación en algunos convenios.</v>
          </cell>
          <cell r="S121" t="str">
            <v>La IE se compromete a la verificación y actualización curricular. Se plantea fortalecer convenios y consolidar la documentación soporte. También se promoverán más reuniones de formación para programas ETDH.</v>
          </cell>
          <cell r="T121" t="str">
            <v>Si</v>
          </cell>
          <cell r="U121" t="str">
            <v>Se realizará seguimiento a través de autoevaluaciones institucionales, revisión documental periódica del PEI y verificación de convenios activos.
Se realiza seguimento del PMI, evidenciandose avance, conforme a lo orientado. (12/09/2025) Ver Carpeta POAIV - TRIM III</v>
          </cell>
        </row>
        <row r="122">
          <cell r="A122">
            <v>123</v>
          </cell>
          <cell r="B122"/>
          <cell r="C122" t="str">
            <v>ANTONIO NARIÑO</v>
          </cell>
          <cell r="D122" t="str">
            <v>PRIVADO_IETDH</v>
          </cell>
          <cell r="E122" t="str">
            <v>IETDH</v>
          </cell>
          <cell r="F122" t="str">
            <v>CENTRO_DE_CONTABILIDAD_Y_SISTEMAS_CENCOSISTEMAS_</v>
          </cell>
          <cell r="G122" t="str">
            <v xml:space="preserve">CENTRO DE CONTABILIDAD Y SISTEMAS "CENCOSISTEMAS" </v>
          </cell>
          <cell r="H122" t="str">
            <v>IETDH priorizadas por cada ELIV (seguimiento a PMI, que no se hayan visitado en los últimos 3 años)</v>
          </cell>
          <cell r="I122" t="str">
            <v>SEGUIMIENTO_Y_SUPERVISIÓN.</v>
          </cell>
          <cell r="J122"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22" t="str">
            <v>ORLANDO SUÁREZ SOTO</v>
          </cell>
          <cell r="L122" t="str">
            <v>ORLANDO SUÁREZ SOTO
JOSÉ RODRIGO QUILAGUY BERNAL
JOHN JAIRO BOBADILLA BERMEO</v>
          </cell>
          <cell r="M122">
            <v>45860</v>
          </cell>
          <cell r="N122">
            <v>45790</v>
          </cell>
          <cell r="O122">
            <v>45790</v>
          </cell>
          <cell r="P122" t="str">
            <v>Visitas de evaluación con fines de seguimiento</v>
          </cell>
          <cell r="Q122" t="str">
            <v>07. Acta de visita Integral - ETDH CENCOSISTEMAS.pdf</v>
          </cell>
          <cell r="R122" t="str">
            <v xml:space="preserve">La IE cuenta con procedimientos documentados para ingreso y seguimiento de matrícula. Se evidencian registros en el Manual de Convivencia. Los costos de matrícula están consignados en los contratos. El ajuste anual se basa en el índice de inflación. </v>
          </cell>
          <cell r="S122" t="str">
            <v>La IE fortalecerá el control de novedades de matrícula y certificados emitidos. Asimismo, actualizará el contrato de matrícula para dejar constancia clara de estos criterios.</v>
          </cell>
          <cell r="T122" t="str">
            <v>No</v>
          </cell>
          <cell r="U122" t="str">
            <v>Verificar nuevamente en caso de requerirse.</v>
          </cell>
        </row>
        <row r="123">
          <cell r="A123">
            <v>124</v>
          </cell>
          <cell r="B123">
            <v>16</v>
          </cell>
          <cell r="C123" t="str">
            <v>ANTONIO NARIÑO</v>
          </cell>
          <cell r="D123" t="str">
            <v>PRIVADO_IETDH</v>
          </cell>
          <cell r="E123" t="str">
            <v>IETDH</v>
          </cell>
          <cell r="F123" t="str">
            <v>CENTRO_DE_ENSEÑANZA_AUTOMOVILISTICA_PORSCHE</v>
          </cell>
          <cell r="G123" t="str">
            <v>CENTRO DE ENSEÑANZA AUTOMOVILISTICA PORSCHE</v>
          </cell>
          <cell r="H123" t="str">
            <v>IETDH priorizadas por cada ELIV (seguimiento a PMI, que no se hayan visitado en los últimos 3 años)</v>
          </cell>
          <cell r="I123" t="str">
            <v>SEGUIMIENTO_Y_SUPERVISIÓN.</v>
          </cell>
          <cell r="J123" t="str">
            <v>Adelantar visitas para verificar que el desarrollo de los programas de ETDH, esté de acuerdo con lo autorizado y la normatividad vigente, para propender por su pertinencia, legalidad y actualización constante.</v>
          </cell>
          <cell r="K123" t="str">
            <v>ORLANDO SUÁREZ SOTO</v>
          </cell>
          <cell r="L123" t="str">
            <v>JOSÉ RODRIGO QUILAGUY BERNAL</v>
          </cell>
          <cell r="M123">
            <v>45953</v>
          </cell>
          <cell r="N123">
            <v>45819</v>
          </cell>
          <cell r="O123">
            <v>45819</v>
          </cell>
          <cell r="P123" t="str">
            <v>Visitas de evaluación con fines de seguimiento</v>
          </cell>
          <cell r="Q123" t="str">
            <v>18. Acta de Visita Integral - CEA PORCHE.pdf</v>
          </cell>
          <cell r="R123" t="str">
            <v>La institución no reportó tarifas a la Dirección Local y la verificación fue solo en sitio, sin soporte documental. No hay evidencia de jornadas pedagógicas ni autoevaluación formal. La infraestructura del PEI no refleja mejoras y las socializaciones son limitadas. Aspectos normativos y actualización de programas no se evidencian en la práctica.</v>
          </cell>
          <cell r="S123" t="str">
            <v>La institución se compromete a reportar tarifas oportunamente, documentar jornadas pedagógicas y formalizar procesos de autoevaluación. Implementará mejoras en infraestructura basadas en evaluaciones, socializará resultados de manera participativa y priorizará la actualización continua de programas.</v>
          </cell>
          <cell r="T123" t="str">
            <v>Si</v>
          </cell>
          <cell r="U123" t="str">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(07/10/2025) Ver Carpeta POAIV - TRIM III</v>
          </cell>
        </row>
        <row r="124">
          <cell r="A124">
            <v>125</v>
          </cell>
          <cell r="B124"/>
          <cell r="C124" t="str">
            <v>ANTONIO NARIÑO</v>
          </cell>
          <cell r="D124" t="str">
            <v>PRIVADO_IETDH</v>
          </cell>
          <cell r="E124" t="str">
            <v>IETDH</v>
          </cell>
          <cell r="F124" t="str">
            <v>CENTRO_DE_ENSEÑANZA_AUTOMOVILISTICA_PORSCHE</v>
          </cell>
          <cell r="G124" t="str">
            <v>CENTRO DE ENSEÑANZA AUTOMOVILISTICA PORSCHE</v>
          </cell>
          <cell r="H124" t="str">
            <v>IETDH priorizadas por cada ELIV (seguimiento a PMI, que no se hayan visitado en los últimos 3 años)</v>
          </cell>
          <cell r="I124" t="str">
            <v>SEGUIMIENTO_Y_SUPERVISIÓN.</v>
          </cell>
          <cell r="J124"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24" t="str">
            <v>ORLANDO SUÁREZ SOTO</v>
          </cell>
          <cell r="L124" t="str">
            <v>JOSÉ RODRIGO QUILAGUY BERNAL</v>
          </cell>
          <cell r="M124">
            <v>45953</v>
          </cell>
          <cell r="N124">
            <v>45819</v>
          </cell>
          <cell r="O124">
            <v>45819</v>
          </cell>
          <cell r="P124" t="str">
            <v>Visitas de evaluación con fines de seguimiento</v>
          </cell>
          <cell r="Q124" t="str">
            <v>18. Acta de Visita Integral - CEA PORCHE.pdf</v>
          </cell>
          <cell r="R124" t="str">
            <v>La institución no presenta evidencia suficiente sobre el registro actualizado de matrículas, certificados y costos de programas. Los contratos no reflejan claramente las variaciones ni ajustes por inflación, y la información interna carece de respaldo documental. No se evidencia control formal ni seguimiento de costos conforme a la normativa, lo que afecta la trazabilidad y transparencia de los registros.</v>
          </cell>
          <cell r="S124" t="str">
            <v>La institución se compromete a actualizar y documentar oportunamente los registros de matrícula, certificados y novedades, conforme a la normativa vigente. Se acordó incluir en los contratos los ajustes anuales de costos según el índice de inflación, e implementar controles estandarizados que aseguren trazabilidad y cumplimiento legal.</v>
          </cell>
          <cell r="T124" t="str">
            <v>Si</v>
          </cell>
          <cell r="U124" t="str">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(07/10/2025) Ver Carpeta POAIV - TRIM III</v>
          </cell>
        </row>
        <row r="125">
          <cell r="A125">
            <v>126</v>
          </cell>
          <cell r="B125">
            <v>17</v>
          </cell>
          <cell r="C125" t="str">
            <v>ANTONIO NARIÑO</v>
          </cell>
          <cell r="D125" t="str">
            <v>PRIVADO_IETDH</v>
          </cell>
          <cell r="E125" t="str">
            <v>IETDH</v>
          </cell>
          <cell r="F125" t="str">
            <v>CENTRO_DE_ENSEÑANZA_AUTOMOVILÍSTICA_CEA_LA_GRAN_VÍA</v>
          </cell>
          <cell r="G125" t="str">
            <v>CENTRO DE ENSEÑANZA AUTOMOVILÍSTICA "CEA LA GRAN VÍA"</v>
          </cell>
          <cell r="H125" t="str">
            <v>IETDH priorizadas por cada ELIV (seguimiento a PMI, que no se hayan visitado en los últimos 3 años)</v>
          </cell>
          <cell r="I125" t="str">
            <v>SEGUIMIENTO_Y_SUPERVISIÓN.</v>
          </cell>
          <cell r="J125" t="str">
            <v>Adelantar visitas para verificar que el desarrollo de los programas de ETDH, esté de acuerdo con lo autorizado y la normatividad vigente, para propender por su pertinencia, legalidad y actualización constante.</v>
          </cell>
          <cell r="K125" t="str">
            <v>JOSÉ RODRIGO QUILAGUY BERNAL</v>
          </cell>
          <cell r="L125" t="str">
            <v>ORLANDO SUÁREZ SOTO</v>
          </cell>
          <cell r="M125">
            <v>45944</v>
          </cell>
          <cell r="N125">
            <v>45819</v>
          </cell>
          <cell r="O125">
            <v>45819</v>
          </cell>
          <cell r="P125" t="str">
            <v>Visitas de evaluación con fines de seguimiento</v>
          </cell>
          <cell r="Q125" t="str">
            <v>17. Acta CEA La Gran Via.pdf</v>
          </cell>
          <cell r="R125" t="str">
            <v>Existe coherencia entre lo autorizado y lo encontrado. Son embargo, falta documentar el Plan de Emergencias y reportarlo en el sistema SURE</v>
          </cell>
          <cell r="S125" t="str">
            <v>La IE se compromete a documentar el Plan de Emergencias y reportarlo en el sistema SURE, para entregarlo como acciones de mejora en su PMI</v>
          </cell>
          <cell r="T125" t="str">
            <v>Si</v>
          </cell>
          <cell r="U125" t="str">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(18/09/2025) Ver Carpeta POAIV - TRIM III</v>
          </cell>
        </row>
        <row r="126">
          <cell r="A126">
            <v>127</v>
          </cell>
          <cell r="B126"/>
          <cell r="C126" t="str">
            <v>ANTONIO NARIÑO</v>
          </cell>
          <cell r="D126" t="str">
            <v>PRIVADO_IETDH</v>
          </cell>
          <cell r="E126" t="str">
            <v>IETDH</v>
          </cell>
          <cell r="F126" t="str">
            <v>CENTRO_DE_ENSEÑANZA_AUTOMOVILÍSTICA_CEA_LA_GRAN_VÍA</v>
          </cell>
          <cell r="G126" t="str">
            <v>CENTRO DE ENSEÑANZA AUTOMOVILÍSTICA "CEA LA GRAN VÍA"</v>
          </cell>
          <cell r="H126" t="str">
            <v>IETDH priorizadas por cada ELIV (seguimiento a PMI, que no se hayan visitado en los últimos 3 años)</v>
          </cell>
          <cell r="I126" t="str">
            <v>SEGUIMIENTO_Y_SUPERVISIÓN.</v>
          </cell>
          <cell r="J126"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26" t="str">
            <v>JOSÉ RODRIGO QUILAGUY BERNAL</v>
          </cell>
          <cell r="L126" t="str">
            <v>ORLANDO SUÁREZ SOTO</v>
          </cell>
          <cell r="M126">
            <v>45944</v>
          </cell>
          <cell r="N126">
            <v>45819</v>
          </cell>
          <cell r="O126">
            <v>45819</v>
          </cell>
          <cell r="P126" t="str">
            <v>Visitas de evaluación con fines de seguimiento</v>
          </cell>
          <cell r="Q126" t="str">
            <v>17. Acta CEA La Gran Via.pdf</v>
          </cell>
          <cell r="R126" t="str">
            <v>La matrícula y los costos son coherentes con lo regulado por el MinTransporte, ademas se evidencian  publicos y de facíl acceso para los usuarios del CEA.</v>
          </cell>
          <cell r="S126" t="str">
            <v xml:space="preserve">La IE contunuara dando publicidad y reporte de las tarifas educativa, como de la actualizacion normativa de los contratos de matricula </v>
          </cell>
          <cell r="T126" t="str">
            <v>No</v>
          </cell>
          <cell r="U126" t="str">
            <v>Verificar nuevamente en caso de requerirse.</v>
          </cell>
        </row>
        <row r="127">
          <cell r="A127">
            <v>128</v>
          </cell>
          <cell r="B127">
            <v>18</v>
          </cell>
          <cell r="C127" t="str">
            <v>ANTONIO NARIÑO</v>
          </cell>
          <cell r="D127" t="str">
            <v>PRIVADO_IETDH</v>
          </cell>
          <cell r="E127" t="str">
            <v>IETDH</v>
          </cell>
          <cell r="F127" t="str">
            <v>CENTRO_DE_IDIOMAS_ULA_RESTREPO</v>
          </cell>
          <cell r="G127" t="str">
            <v>CENTRO DE IDIOMAS ULA RESTREPO</v>
          </cell>
          <cell r="H127" t="str">
            <v>IETDH priorizadas por cada ELIV (seguimiento a PMI, que no se hayan visitado en los últimos 3 años)</v>
          </cell>
          <cell r="I127" t="str">
            <v>SEGUIMIENTO_Y_SUPERVISIÓN.</v>
          </cell>
          <cell r="J127" t="str">
            <v>Adelantar visitas para verificar que el desarrollo de los programas de ETDH, esté de acuerdo con lo autorizado y la normatividad vigente, para propender por su pertinencia, legalidad y actualización constante.</v>
          </cell>
          <cell r="K127" t="str">
            <v>JOSÉ RODRIGO QUILAGUY BERNAL</v>
          </cell>
          <cell r="L127" t="str">
            <v>ORLANDO SUÁREZ SOTO
JOSÉ RODRIGO QUILAGUY BERNAL
JOHN JAIRO BOBADILLA BERMEO</v>
          </cell>
          <cell r="M127">
            <v>45972</v>
          </cell>
          <cell r="N127">
            <v>45786</v>
          </cell>
          <cell r="O127">
            <v>45786</v>
          </cell>
          <cell r="P127" t="str">
            <v>Visitas de evaluación con fines de seguimiento</v>
          </cell>
          <cell r="Q127" t="str">
            <v>05. Acta de Visita Ctro de Idiomas ULA.pdf</v>
          </cell>
          <cell r="R127" t="str">
            <v>La estructura institucional se basa en un modelo de gestión coherente con el PEI y normativas (NTC 5555, 5580), pero falta una descripción clara del modelo pedagógico y sus enfoques didácticos. La sede Restrepo debe elaborar un PEI y Manual de Convivencia propios para su metodología presencial, evitando incluir otras sedes. Además, se requiere revisar los fundamentos teleológicos del Manual de Convivencia.</v>
          </cell>
          <cell r="S127" t="str">
            <v>La institución se compromete a detallar su modelo pedagógico y elaborar PEI/MC exclusivos para sede Restrepo.</v>
          </cell>
          <cell r="T127" t="str">
            <v>Si</v>
          </cell>
          <cell r="U127" t="str">
            <v>Verificar las acciones definidas en el plan de mejoramiento una vez sea presentado 16.06.2025.
Se realiza seguimiento del PMI, se realizan observaciones y retroalimentación frente a la documentación presentada, conforme a lo orientado. (23/09/2025) Ver Carpeta POAIV - TRIM III</v>
          </cell>
        </row>
        <row r="128">
          <cell r="A128">
            <v>129</v>
          </cell>
          <cell r="B128"/>
          <cell r="C128" t="str">
            <v>ANTONIO NARIÑO</v>
          </cell>
          <cell r="D128" t="str">
            <v>PRIVADO_IETDH</v>
          </cell>
          <cell r="E128" t="str">
            <v>IETDH</v>
          </cell>
          <cell r="F128" t="str">
            <v>CENTRO_DE_IDIOMAS_ULA_RESTREPO</v>
          </cell>
          <cell r="G128" t="str">
            <v>CENTRO DE IDIOMAS ULA RESTREPO</v>
          </cell>
          <cell r="H128" t="str">
            <v>IETDH priorizadas por cada ELIV (seguimiento a PMI, que no se hayan visitado en los últimos 3 años)</v>
          </cell>
          <cell r="I128" t="str">
            <v>SEGUIMIENTO_Y_SUPERVISIÓN.</v>
          </cell>
          <cell r="J128"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28" t="str">
            <v>JOSÉ RODRIGO QUILAGUY BERNAL</v>
          </cell>
          <cell r="L128" t="str">
            <v>ORLANDO SUÁREZ SOTO
JOSÉ RODRIGO QUILAGUY BERNAL
JOHN JAIRO BOBADILLA BERMEO</v>
          </cell>
          <cell r="M128">
            <v>45972</v>
          </cell>
          <cell r="N128">
            <v>45786</v>
          </cell>
          <cell r="O128">
            <v>45786</v>
          </cell>
          <cell r="P128" t="str">
            <v>Visitas de evaluación con fines de seguimiento</v>
          </cell>
          <cell r="Q128" t="str">
            <v>05. Acta de Visita Ctro de Idiomas ULA.pdf</v>
          </cell>
          <cell r="R128" t="str">
            <v>db</v>
          </cell>
          <cell r="S128" t="str">
            <v>La ETDH se compromete a gestionar acceso a SIET delegando personal a DILE para regularizar su registro.</v>
          </cell>
          <cell r="T128" t="str">
            <v>Si</v>
          </cell>
          <cell r="U128" t="str">
            <v>Verificar las acciones definidas en el plan de mejoramiento una vez sea presentado 16.06.2025.
Se realiza seguimiento del PMI, se realizan observaciones y retroalimentación frente a la documentación presentada, conforme a lo orientado. (23/09/2025) Ver Carpeta POAIV - TRIM III</v>
          </cell>
        </row>
        <row r="129">
          <cell r="M129"/>
          <cell r="N129"/>
          <cell r="O129"/>
          <cell r="Q129"/>
          <cell r="R129"/>
          <cell r="S129"/>
          <cell r="U129"/>
        </row>
        <row r="130">
          <cell r="M130"/>
          <cell r="N130"/>
          <cell r="O130"/>
          <cell r="Q130"/>
          <cell r="R130"/>
          <cell r="S130"/>
          <cell r="U130"/>
        </row>
        <row r="131">
          <cell r="M131"/>
          <cell r="N131"/>
          <cell r="O131"/>
          <cell r="Q131"/>
          <cell r="R131"/>
          <cell r="S131"/>
          <cell r="U131"/>
        </row>
        <row r="132">
          <cell r="M132"/>
          <cell r="N132"/>
          <cell r="O132"/>
          <cell r="Q132"/>
          <cell r="R132"/>
          <cell r="S132"/>
          <cell r="U132"/>
        </row>
        <row r="133">
          <cell r="M133"/>
          <cell r="N133"/>
          <cell r="O133"/>
          <cell r="Q133"/>
          <cell r="R133"/>
          <cell r="S133"/>
          <cell r="U133"/>
        </row>
        <row r="134">
          <cell r="M134"/>
          <cell r="N134"/>
          <cell r="O134"/>
          <cell r="Q134"/>
          <cell r="R134"/>
          <cell r="S134"/>
          <cell r="U134"/>
        </row>
        <row r="135">
          <cell r="M135"/>
          <cell r="N135"/>
          <cell r="O135"/>
          <cell r="Q135"/>
          <cell r="R135"/>
          <cell r="S135"/>
          <cell r="U135"/>
        </row>
        <row r="136">
          <cell r="M136"/>
          <cell r="N136"/>
          <cell r="O136"/>
          <cell r="Q136"/>
          <cell r="R136"/>
          <cell r="S136"/>
          <cell r="U136"/>
        </row>
        <row r="137">
          <cell r="M137"/>
          <cell r="N137"/>
          <cell r="O137"/>
          <cell r="Q137"/>
          <cell r="R137"/>
          <cell r="S137"/>
          <cell r="U137"/>
        </row>
        <row r="138">
          <cell r="M138"/>
          <cell r="N138"/>
          <cell r="O138"/>
          <cell r="Q138"/>
          <cell r="R138"/>
          <cell r="S138"/>
          <cell r="U138"/>
        </row>
        <row r="139">
          <cell r="M139"/>
          <cell r="N139"/>
          <cell r="O139"/>
          <cell r="Q139"/>
          <cell r="R139"/>
          <cell r="S139"/>
          <cell r="U139"/>
        </row>
        <row r="140">
          <cell r="M140"/>
          <cell r="N140"/>
          <cell r="O140"/>
          <cell r="Q140"/>
          <cell r="R140"/>
          <cell r="S140"/>
          <cell r="U140"/>
        </row>
        <row r="141">
          <cell r="M141"/>
          <cell r="N141"/>
          <cell r="O141"/>
          <cell r="Q141"/>
          <cell r="R141"/>
          <cell r="S141"/>
          <cell r="U141"/>
        </row>
        <row r="142">
          <cell r="M142"/>
          <cell r="N142"/>
          <cell r="O142"/>
          <cell r="Q142"/>
          <cell r="R142"/>
          <cell r="S142"/>
          <cell r="U142"/>
        </row>
        <row r="143">
          <cell r="M143"/>
          <cell r="N143"/>
          <cell r="O143"/>
          <cell r="Q143"/>
          <cell r="R143"/>
          <cell r="S143"/>
          <cell r="U143"/>
        </row>
        <row r="144">
          <cell r="M144"/>
          <cell r="N144"/>
          <cell r="O144"/>
          <cell r="Q144"/>
          <cell r="R144"/>
          <cell r="S144"/>
          <cell r="U144"/>
        </row>
        <row r="145">
          <cell r="M145"/>
          <cell r="N145"/>
          <cell r="O145"/>
          <cell r="Q145"/>
          <cell r="R145"/>
          <cell r="S145"/>
          <cell r="U145"/>
        </row>
        <row r="146">
          <cell r="M146"/>
          <cell r="N146"/>
          <cell r="O146"/>
          <cell r="Q146"/>
          <cell r="R146"/>
          <cell r="S146"/>
          <cell r="U146"/>
        </row>
        <row r="147">
          <cell r="M147"/>
          <cell r="N147"/>
          <cell r="O147"/>
          <cell r="Q147"/>
          <cell r="R147"/>
          <cell r="S147"/>
          <cell r="U147"/>
        </row>
        <row r="148">
          <cell r="M148"/>
          <cell r="N148"/>
          <cell r="O148"/>
          <cell r="Q148"/>
          <cell r="R148"/>
          <cell r="S148"/>
          <cell r="U148"/>
        </row>
        <row r="149">
          <cell r="M149"/>
          <cell r="N149"/>
          <cell r="O149"/>
          <cell r="Q149"/>
          <cell r="R149"/>
          <cell r="S149"/>
          <cell r="U149"/>
        </row>
        <row r="150">
          <cell r="M150"/>
          <cell r="N150"/>
          <cell r="O150"/>
          <cell r="Q150"/>
          <cell r="R150"/>
          <cell r="S150"/>
          <cell r="U150"/>
        </row>
        <row r="151">
          <cell r="M151"/>
          <cell r="N151"/>
          <cell r="O151"/>
          <cell r="Q151"/>
          <cell r="R151"/>
          <cell r="S151"/>
          <cell r="U151"/>
        </row>
        <row r="152">
          <cell r="M152"/>
          <cell r="N152"/>
          <cell r="O152"/>
          <cell r="Q152"/>
          <cell r="R152"/>
          <cell r="S152"/>
          <cell r="U152"/>
        </row>
        <row r="153">
          <cell r="M153"/>
          <cell r="N153"/>
          <cell r="O153"/>
          <cell r="Q153"/>
          <cell r="R153"/>
          <cell r="S153"/>
          <cell r="U153"/>
        </row>
        <row r="154">
          <cell r="M154"/>
          <cell r="N154"/>
          <cell r="O154"/>
          <cell r="Q154"/>
          <cell r="R154"/>
          <cell r="S154"/>
          <cell r="U154"/>
        </row>
        <row r="155">
          <cell r="M155"/>
          <cell r="N155"/>
          <cell r="O155"/>
          <cell r="Q155"/>
          <cell r="R155"/>
          <cell r="S155"/>
          <cell r="U155"/>
        </row>
        <row r="156">
          <cell r="M156"/>
          <cell r="N156"/>
          <cell r="O156"/>
          <cell r="Q156"/>
          <cell r="R156"/>
          <cell r="S156"/>
          <cell r="U156"/>
        </row>
        <row r="157">
          <cell r="M157"/>
          <cell r="N157"/>
          <cell r="O157"/>
          <cell r="Q157"/>
          <cell r="R157"/>
          <cell r="S157"/>
          <cell r="U157"/>
        </row>
        <row r="158">
          <cell r="M158"/>
          <cell r="N158"/>
          <cell r="O158"/>
          <cell r="Q158"/>
          <cell r="R158"/>
          <cell r="S158"/>
          <cell r="U158"/>
        </row>
        <row r="159">
          <cell r="M159"/>
          <cell r="N159"/>
          <cell r="O159"/>
          <cell r="Q159"/>
          <cell r="R159"/>
          <cell r="S159"/>
          <cell r="U159"/>
        </row>
        <row r="160">
          <cell r="M160"/>
          <cell r="N160"/>
          <cell r="O160"/>
          <cell r="Q160"/>
          <cell r="R160"/>
          <cell r="S160"/>
          <cell r="U160"/>
        </row>
        <row r="161">
          <cell r="M161"/>
          <cell r="N161"/>
          <cell r="O161"/>
          <cell r="Q161"/>
          <cell r="R161"/>
          <cell r="S161"/>
          <cell r="U161"/>
        </row>
        <row r="162">
          <cell r="M162"/>
          <cell r="N162"/>
          <cell r="O162"/>
          <cell r="Q162"/>
          <cell r="R162"/>
          <cell r="S162"/>
          <cell r="U162"/>
        </row>
        <row r="163">
          <cell r="M163"/>
          <cell r="N163"/>
          <cell r="O163"/>
          <cell r="Q163"/>
          <cell r="R163"/>
          <cell r="S163"/>
          <cell r="U163"/>
        </row>
        <row r="164">
          <cell r="M164"/>
          <cell r="N164"/>
          <cell r="O164"/>
          <cell r="Q164"/>
          <cell r="R164"/>
          <cell r="S164"/>
          <cell r="U164"/>
        </row>
        <row r="165">
          <cell r="M165"/>
          <cell r="N165"/>
          <cell r="O165"/>
          <cell r="Q165"/>
          <cell r="R165"/>
          <cell r="S165"/>
          <cell r="U165"/>
        </row>
        <row r="166">
          <cell r="M166"/>
          <cell r="N166"/>
          <cell r="O166"/>
          <cell r="Q166"/>
          <cell r="R166"/>
          <cell r="S166"/>
          <cell r="U166"/>
        </row>
        <row r="167">
          <cell r="M167"/>
          <cell r="N167"/>
          <cell r="O167"/>
          <cell r="Q167"/>
          <cell r="R167"/>
          <cell r="S167"/>
          <cell r="U167"/>
        </row>
        <row r="168">
          <cell r="M168"/>
          <cell r="N168"/>
          <cell r="O168"/>
          <cell r="Q168"/>
          <cell r="R168"/>
          <cell r="S168"/>
          <cell r="U168"/>
        </row>
        <row r="169">
          <cell r="M169"/>
          <cell r="N169"/>
          <cell r="O169"/>
          <cell r="Q169"/>
          <cell r="R169"/>
          <cell r="S169"/>
          <cell r="U169"/>
        </row>
        <row r="170">
          <cell r="M170"/>
          <cell r="N170"/>
          <cell r="O170"/>
          <cell r="Q170"/>
          <cell r="R170"/>
          <cell r="S170"/>
          <cell r="U170"/>
        </row>
        <row r="171">
          <cell r="M171"/>
          <cell r="N171"/>
          <cell r="O171"/>
          <cell r="Q171"/>
          <cell r="R171"/>
          <cell r="S171"/>
          <cell r="U171"/>
        </row>
        <row r="172">
          <cell r="M172"/>
          <cell r="N172"/>
          <cell r="O172"/>
          <cell r="Q172"/>
          <cell r="R172"/>
          <cell r="S172"/>
          <cell r="U172"/>
        </row>
        <row r="173">
          <cell r="M173"/>
          <cell r="N173"/>
          <cell r="O173"/>
          <cell r="Q173"/>
          <cell r="R173"/>
          <cell r="S173"/>
          <cell r="U173"/>
        </row>
        <row r="174">
          <cell r="M174"/>
          <cell r="N174"/>
          <cell r="O174"/>
          <cell r="Q174"/>
          <cell r="R174"/>
          <cell r="S174"/>
          <cell r="U174"/>
        </row>
        <row r="175">
          <cell r="M175"/>
          <cell r="N175"/>
          <cell r="O175"/>
          <cell r="Q175"/>
          <cell r="R175"/>
          <cell r="S175"/>
          <cell r="U175"/>
        </row>
        <row r="176">
          <cell r="M176"/>
          <cell r="N176"/>
          <cell r="O176"/>
          <cell r="Q176"/>
          <cell r="R176"/>
          <cell r="S176"/>
          <cell r="U176"/>
        </row>
        <row r="177">
          <cell r="M177"/>
          <cell r="N177"/>
          <cell r="O177"/>
          <cell r="Q177"/>
          <cell r="R177"/>
          <cell r="S177"/>
          <cell r="U177"/>
        </row>
        <row r="178">
          <cell r="M178"/>
          <cell r="N178"/>
          <cell r="O178"/>
          <cell r="Q178"/>
          <cell r="R178"/>
          <cell r="S178"/>
          <cell r="U178"/>
        </row>
        <row r="179">
          <cell r="M179"/>
          <cell r="N179"/>
          <cell r="O179"/>
          <cell r="Q179"/>
          <cell r="R179"/>
          <cell r="S179"/>
          <cell r="U179"/>
        </row>
        <row r="180">
          <cell r="M180"/>
          <cell r="N180"/>
          <cell r="O180"/>
          <cell r="Q180"/>
          <cell r="R180"/>
          <cell r="S180"/>
          <cell r="U180"/>
        </row>
        <row r="181">
          <cell r="M181"/>
          <cell r="N181"/>
          <cell r="O181"/>
          <cell r="Q181"/>
          <cell r="R181"/>
          <cell r="S181"/>
          <cell r="U181"/>
        </row>
        <row r="182">
          <cell r="M182"/>
          <cell r="N182"/>
          <cell r="O182"/>
          <cell r="Q182"/>
          <cell r="R182"/>
          <cell r="S182"/>
          <cell r="U182"/>
        </row>
        <row r="183">
          <cell r="M183"/>
          <cell r="N183"/>
          <cell r="O183"/>
          <cell r="Q183"/>
          <cell r="R183"/>
          <cell r="S183"/>
          <cell r="U183"/>
        </row>
        <row r="184">
          <cell r="M184"/>
          <cell r="N184"/>
          <cell r="O184"/>
          <cell r="Q184"/>
          <cell r="R184"/>
          <cell r="S184"/>
          <cell r="U184"/>
        </row>
        <row r="185">
          <cell r="M185"/>
          <cell r="N185"/>
          <cell r="O185"/>
          <cell r="Q185"/>
          <cell r="R185"/>
          <cell r="S185"/>
          <cell r="U185"/>
        </row>
        <row r="186">
          <cell r="M186"/>
          <cell r="N186"/>
          <cell r="O186"/>
          <cell r="Q186"/>
          <cell r="R186"/>
          <cell r="S186"/>
          <cell r="U186"/>
        </row>
        <row r="187">
          <cell r="M187"/>
          <cell r="N187"/>
          <cell r="O187"/>
          <cell r="Q187"/>
          <cell r="R187"/>
          <cell r="S187"/>
          <cell r="U187"/>
        </row>
        <row r="188">
          <cell r="M188"/>
          <cell r="N188"/>
          <cell r="O188"/>
          <cell r="Q188"/>
          <cell r="R188"/>
          <cell r="S188"/>
          <cell r="U188"/>
        </row>
        <row r="189">
          <cell r="M189"/>
          <cell r="N189"/>
          <cell r="O189"/>
          <cell r="Q189"/>
          <cell r="R189"/>
          <cell r="S189"/>
          <cell r="U189"/>
        </row>
        <row r="190">
          <cell r="M190"/>
          <cell r="N190"/>
          <cell r="O190"/>
          <cell r="Q190"/>
          <cell r="R190"/>
          <cell r="S190"/>
          <cell r="U190"/>
        </row>
        <row r="191">
          <cell r="M191"/>
          <cell r="N191"/>
          <cell r="O191"/>
          <cell r="Q191"/>
          <cell r="R191"/>
          <cell r="S191"/>
          <cell r="U191"/>
        </row>
        <row r="192">
          <cell r="M192"/>
          <cell r="N192"/>
          <cell r="O192"/>
          <cell r="Q192"/>
          <cell r="R192"/>
          <cell r="S192"/>
          <cell r="U192"/>
        </row>
        <row r="193">
          <cell r="M193"/>
          <cell r="N193"/>
          <cell r="O193"/>
          <cell r="Q193"/>
          <cell r="R193"/>
          <cell r="S193"/>
          <cell r="U193"/>
        </row>
        <row r="194">
          <cell r="M194"/>
          <cell r="N194"/>
          <cell r="O194"/>
          <cell r="Q194"/>
          <cell r="R194"/>
          <cell r="S194"/>
          <cell r="U194"/>
        </row>
        <row r="195">
          <cell r="M195"/>
          <cell r="N195"/>
          <cell r="O195"/>
          <cell r="Q195"/>
          <cell r="R195"/>
          <cell r="S195"/>
          <cell r="U195"/>
        </row>
        <row r="196">
          <cell r="M196"/>
          <cell r="N196"/>
          <cell r="O196"/>
          <cell r="Q196"/>
          <cell r="R196"/>
          <cell r="S196"/>
          <cell r="U196"/>
        </row>
        <row r="197">
          <cell r="M197"/>
          <cell r="N197"/>
          <cell r="O197"/>
          <cell r="Q197"/>
          <cell r="R197"/>
          <cell r="S197"/>
        </row>
        <row r="198">
          <cell r="M198"/>
          <cell r="N198"/>
          <cell r="O198"/>
          <cell r="Q198"/>
          <cell r="R198"/>
          <cell r="S198"/>
        </row>
        <row r="199">
          <cell r="M199"/>
          <cell r="N199"/>
          <cell r="O199"/>
          <cell r="Q199"/>
          <cell r="R199"/>
          <cell r="S199"/>
        </row>
        <row r="200">
          <cell r="Q200"/>
          <cell r="R200"/>
          <cell r="S200"/>
        </row>
      </sheetData>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IIGZNP4X62NFAJTKTGH75W56Z7">
      <xxl21:absoluteUrl r:id="rId3"/>
      <xxl21:relativeUrl r:id="rId4"/>
    </xxl21:alternateUrls>
    <sheetNames>
      <sheetName val="PRIORIZADOS"/>
      <sheetName val="DEMANDA"/>
      <sheetName val="MESAS DIRECTIVOS IE"/>
      <sheetName val="MANUALES DE CONVIVENCIA IED"/>
      <sheetName val="COLEGIOS"/>
      <sheetName val="LISTAS"/>
      <sheetName val="PEGRCC Y GOBIERNOS ESCOLARES"/>
      <sheetName val="ACTIVIDADES  "/>
      <sheetName val="OPERACIONES-ACTIVIDADES"/>
    </sheetNames>
    <sheetDataSet>
      <sheetData sheetId="0">
        <row r="1">
          <cell r="A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16. PUENTE ARANDA</v>
          </cell>
          <cell r="G5"/>
          <cell r="H5"/>
          <cell r="I5"/>
          <cell r="J5"/>
          <cell r="K5"/>
          <cell r="L5"/>
          <cell r="M5"/>
          <cell r="N5"/>
          <cell r="O5"/>
          <cell r="P5"/>
          <cell r="Q5"/>
          <cell r="R5"/>
          <cell r="S5"/>
          <cell r="T5"/>
          <cell r="U5"/>
        </row>
        <row r="6">
          <cell r="A6" t="str">
            <v>COMPONENTE DE FORMULACIÓN (PLANEACIÓN DE VISITAS, ACTUACIONES O INTERVENCIONES A LOS ESTABLECIMIENTOS EDUCATIVOS)</v>
          </cell>
          <cell r="B6"/>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Código Único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1336</v>
          </cell>
          <cell r="B8">
            <v>1</v>
          </cell>
          <cell r="C8" t="str">
            <v>PUENTE ARANDA</v>
          </cell>
          <cell r="D8" t="str">
            <v>PRIVADO</v>
          </cell>
          <cell r="E8" t="str">
            <v>EPBM</v>
          </cell>
          <cell r="F8" t="str">
            <v>COLEGIO_LUIS_CONCHA_CORDOBA</v>
          </cell>
          <cell r="G8" t="str">
            <v>COLEGIO LUIS CONCHA CORDOBA</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OSCAR GERMAN CLAVIJO PALACIOS</v>
          </cell>
          <cell r="L8" t="str">
            <v>IGNACIO ABDÓN MONTENEGRO ALDANA</v>
          </cell>
          <cell r="M8">
            <v>45742</v>
          </cell>
          <cell r="N8">
            <v>45742</v>
          </cell>
          <cell r="O8">
            <v>45742</v>
          </cell>
          <cell r="P8" t="str">
            <v>Visitas de evaluación con fines de seguimiento</v>
          </cell>
          <cell r="Q8" t="str">
            <v>25 03 26 acta Luis Concha Cordoba.pdf</v>
          </cell>
          <cell r="R8" t="str">
            <v>Se evidencia falencias en algunos aspectos de la gestión administrativa; algunos salones no cumplen con las condiciones de aireación e iluminación natural</v>
          </cell>
          <cell r="S8" t="str">
            <v>Elaborar un plan de mejoramiento y comunicarlo al el 21 de abril de 2025</v>
          </cell>
          <cell r="T8" t="str">
            <v>Si</v>
          </cell>
          <cell r="U8" t="str">
            <v>Revisión del plan de mejoramiento el 21 de abril de 2025. El cual, fue presentado el 22 mayo de 2025</v>
          </cell>
        </row>
        <row r="9">
          <cell r="A9">
            <v>1337</v>
          </cell>
          <cell r="B9">
            <v>1</v>
          </cell>
          <cell r="C9" t="str">
            <v>PUENTE ARANDA</v>
          </cell>
          <cell r="D9" t="str">
            <v>PRIVADO</v>
          </cell>
          <cell r="E9" t="str">
            <v>EPBM</v>
          </cell>
          <cell r="F9" t="str">
            <v>COLEGIO_LUIS_CONCHA_CORDOBA</v>
          </cell>
          <cell r="G9" t="str">
            <v>COLEGIO LUIS CONCHA CORDOBA</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OSCAR GERMAN CLAVIJO PALACIOS</v>
          </cell>
          <cell r="L9" t="str">
            <v>IGNACIO ABDÓN MONTENEGRO ALDANA</v>
          </cell>
          <cell r="M9">
            <v>45742</v>
          </cell>
          <cell r="N9">
            <v>45742</v>
          </cell>
          <cell r="O9">
            <v>45742</v>
          </cell>
          <cell r="P9" t="str">
            <v>Visitas de evaluación con fines de mejoramiento</v>
          </cell>
          <cell r="Q9" t="str">
            <v>25 03 26 acta Luis Concha Cordoba.pdf</v>
          </cell>
          <cell r="R9" t="str">
            <v xml:space="preserve">Se evidencio que se adelantó análisis de resultados de las pruebas saber 11 y ha previsto acciones de mejoramiento en los procesos académicos </v>
          </cell>
          <cell r="S9" t="str">
            <v>Establecer acciones de mejora e incorporar al plan de mejoramiento y reportarlo el 21 de abril</v>
          </cell>
          <cell r="T9" t="str">
            <v>Si</v>
          </cell>
          <cell r="U9" t="str">
            <v>Revisión del plan de mejoramiento el 21 de abril de 2025.</v>
          </cell>
        </row>
        <row r="10">
          <cell r="A10">
            <v>1338</v>
          </cell>
          <cell r="B10">
            <v>1</v>
          </cell>
          <cell r="C10" t="str">
            <v>PUENTE ARANDA</v>
          </cell>
          <cell r="D10" t="str">
            <v>PRIVADO</v>
          </cell>
          <cell r="E10" t="str">
            <v>EPBM</v>
          </cell>
          <cell r="F10" t="str">
            <v>COLEGIO_LUIS_CONCHA_CORDOBA</v>
          </cell>
          <cell r="G10" t="str">
            <v>COLEGIO LUIS CONCHA CORDOBA</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OSCAR GERMAN CLAVIJO PALACIOS</v>
          </cell>
          <cell r="L10" t="str">
            <v>IGNACIO ABDÓN MONTENEGRO ALDANA</v>
          </cell>
          <cell r="M10">
            <v>45742</v>
          </cell>
          <cell r="N10">
            <v>45742</v>
          </cell>
          <cell r="O10">
            <v>45742</v>
          </cell>
          <cell r="P10" t="str">
            <v>Visitas de evaluación con fines de mejoramiento</v>
          </cell>
          <cell r="Q10" t="str">
            <v>25 03 26 acta Luis Concha Cordoba.pdf</v>
          </cell>
          <cell r="R10" t="str">
            <v xml:space="preserve">sobre la verificación de antecedentes se encontró: que solo 13 docente de 21 tienen la certificación de la consulta de inhabilidades </v>
          </cell>
          <cell r="S10" t="str">
            <v>Hacer la verificación de los docentes faltantes en el sistema de la policía  y reportarlo el 21 de abril</v>
          </cell>
          <cell r="T10" t="str">
            <v>Si</v>
          </cell>
          <cell r="U10" t="str">
            <v>Revisión del plan de mejoramiento el 21 de abril de 2025.</v>
          </cell>
        </row>
        <row r="11">
          <cell r="A11">
            <v>1339</v>
          </cell>
          <cell r="B11">
            <v>1</v>
          </cell>
          <cell r="C11" t="str">
            <v>PUENTE ARANDA</v>
          </cell>
          <cell r="D11" t="str">
            <v>PRIVADO</v>
          </cell>
          <cell r="E11" t="str">
            <v>EPBM</v>
          </cell>
          <cell r="F11" t="str">
            <v>COLEGIO_LUIS_CONCHA_CORDOBA</v>
          </cell>
          <cell r="G11" t="str">
            <v>COLEGIO LUIS CONCHA CORDOBA</v>
          </cell>
          <cell r="H11" t="str">
            <v>Autoevaluación Institucional y Pruebas SABER 11</v>
          </cell>
          <cell r="I11" t="str">
            <v>EVALUACIÓN_CON_FINES_DE_MEJORAMIENTO.</v>
          </cell>
          <cell r="J11" t="str">
            <v>Revisar el calendario escolar, jornada escolar, la intensidad horaria mínima anual en cada nivel y las modificaciones que se realicen al mismo, de acuerdo con lo previsto en la normatividad vigente.</v>
          </cell>
          <cell r="K11" t="str">
            <v>OSCAR GERMAN CLAVIJO PALACIOS</v>
          </cell>
          <cell r="L11" t="str">
            <v>IGNACIO ABDÓN MONTENEGRO ALDANA</v>
          </cell>
          <cell r="M11">
            <v>45742</v>
          </cell>
          <cell r="N11">
            <v>45742</v>
          </cell>
          <cell r="O11">
            <v>45742</v>
          </cell>
          <cell r="P11" t="str">
            <v>Visitas de evaluación con fines de mejoramiento</v>
          </cell>
          <cell r="Q11" t="str">
            <v xml:space="preserve">25 03 26 acta Luis Concha Córdoba </v>
          </cell>
          <cell r="R11" t="str">
            <v xml:space="preserve">Se revisó en el aplicativo creado por la Dirección de Inspección y Vigilancia, donde se evidencia el cumplimiento de los tiempos en cada nivel educativo. </v>
          </cell>
          <cell r="S11" t="str">
            <v>El colegio cumple con las horas académicas determinadas por la Ley en cada nivel educativo</v>
          </cell>
          <cell r="T11" t="str">
            <v>No</v>
          </cell>
          <cell r="U11" t="str">
            <v>Se hará revisión del calendario académico en la vigencia 2026</v>
          </cell>
        </row>
        <row r="12">
          <cell r="A12">
            <v>1340</v>
          </cell>
          <cell r="B12">
            <v>1</v>
          </cell>
          <cell r="C12" t="str">
            <v>PUENTE ARANDA</v>
          </cell>
          <cell r="D12" t="str">
            <v>PRIVADO</v>
          </cell>
          <cell r="E12" t="str">
            <v>EPBM</v>
          </cell>
          <cell r="F12" t="str">
            <v>COLEGIO_LUIS_CONCHA_CORDOBA</v>
          </cell>
          <cell r="G12" t="str">
            <v>COLEGIO LUIS CONCHA CORDOBA</v>
          </cell>
          <cell r="H12" t="str">
            <v>Autoevaluación Institucional y Pruebas SABER 11</v>
          </cell>
          <cell r="I12" t="str">
            <v>EVALUACIÓN_CON_FINES_DE_MEJORAMIENTO.</v>
          </cell>
          <cell r="J12" t="str">
            <v>Verificar el funcionamiento del Gobierno Escolar e instancias de participación con base en la información sobre conformación reportada por la institución educativa.</v>
          </cell>
          <cell r="K12" t="str">
            <v>OSCAR GERMAN CLAVIJO PALACIOS</v>
          </cell>
          <cell r="L12" t="str">
            <v>IGNACIO ABDÓN MONTENEGRO ALDANA</v>
          </cell>
          <cell r="M12">
            <v>45742</v>
          </cell>
          <cell r="N12">
            <v>45742</v>
          </cell>
          <cell r="O12">
            <v>45742</v>
          </cell>
          <cell r="P12" t="str">
            <v>Visitas de evaluación con fines de mejoramiento</v>
          </cell>
          <cell r="Q12" t="str">
            <v>Actas Gobierno Escolare Luis Concha Córdoba</v>
          </cell>
          <cell r="R12" t="str">
            <v>Se encontró que la institución subió las actas de elección del gobierno escolar en el aplicativo SAE, a lo cual se le dio visto bueno en correo del 14 de mayo. No fue posible verificar el funcionamiento dada la fecha en la cual fue desarrolada la visita.</v>
          </cell>
          <cell r="S12" t="str">
            <v xml:space="preserve">Reconocer el trabajo de la institución educativa, en el cumplimiento de la adecuada información registrada en el SAE, lo que permitió que las actas de Gobierno Escolar se descargaran correctamente </v>
          </cell>
          <cell r="T12" t="str">
            <v>No</v>
          </cell>
          <cell r="U12" t="str">
            <v>Se realizará solicitud de evidencias del funcionamiento del gobierno escolar en la vigencia 2025</v>
          </cell>
        </row>
        <row r="13">
          <cell r="A13">
            <v>1341</v>
          </cell>
          <cell r="B13">
            <v>2</v>
          </cell>
          <cell r="C13" t="str">
            <v>PUENTE ARANDA</v>
          </cell>
          <cell r="D13" t="str">
            <v>PRIVADO</v>
          </cell>
          <cell r="E13" t="str">
            <v>EPBM</v>
          </cell>
          <cell r="F13" t="str">
            <v>COLEGIO_PARROQUIAL_CONFRATERNIDAD_DE_LA_DOCTRINA_CRISTIANA</v>
          </cell>
          <cell r="G13" t="str">
            <v>COLEGIO PARROQUIAL CONFRATERNIDAD DE LA DOCTRINA CRISTIANA</v>
          </cell>
          <cell r="H13" t="str">
            <v>Autoevaluación Institucional y Pruebas SABER 11</v>
          </cell>
          <cell r="I13" t="str">
            <v>SEGUIMIENTO_Y_SUPERVISIÓN.</v>
          </cell>
          <cell r="J13" t="str">
            <v>Realizar visitas para verificar la información registrada sobre la autoevaluación institucional en el aplicativo EVI, a los establecimientos de educación formal no oficial.</v>
          </cell>
          <cell r="K13" t="str">
            <v>ALBERTO ESCARRAGA PEÑUELA</v>
          </cell>
          <cell r="L13" t="str">
            <v>CRISTIAN CAMILO LÓPEZ VELANDIA</v>
          </cell>
          <cell r="M13">
            <v>45743</v>
          </cell>
          <cell r="N13">
            <v>45743</v>
          </cell>
          <cell r="O13">
            <v>45743</v>
          </cell>
          <cell r="P13" t="str">
            <v>Visitas de evaluación con fines de mejoramiento</v>
          </cell>
          <cell r="Q13" t="str">
            <v>ACTA DE VISITA ADMINISTRATIVA COLEGIO PARROQUIAL DE LA DOTRINA CRISTIANA.pdf</v>
          </cell>
          <cell r="R13" t="str">
            <v>Se encontró que la institución no cuenta con un sistema de gestión documental que facilite el acceso a la información de los procesos académicos y administrativo</v>
          </cell>
          <cell r="S13" t="str">
            <v>Elaborar un plan de mejoramiento y comunicarlo a ELIV el 12 de mayo de 2025</v>
          </cell>
          <cell r="T13" t="str">
            <v>Si</v>
          </cell>
          <cell r="U13" t="str">
            <v>Revisión del plan de mejoramiento el 12 de mayo de 2025.</v>
          </cell>
        </row>
        <row r="14">
          <cell r="A14">
            <v>1342</v>
          </cell>
          <cell r="B14">
            <v>2</v>
          </cell>
          <cell r="C14" t="str">
            <v>PUENTE ARANDA</v>
          </cell>
          <cell r="D14" t="str">
            <v>PRIVADO</v>
          </cell>
          <cell r="E14" t="str">
            <v>EPBM</v>
          </cell>
          <cell r="F14" t="str">
            <v>COLEGIO_PARROQUIAL_CONFRATERNIDAD_DE_LA_DOCTRINA_CRISTIANA</v>
          </cell>
          <cell r="G14" t="str">
            <v>COLEGIO PARROQUIAL CONFRATERNIDAD DE LA DOCTRINA CRISTIANA</v>
          </cell>
          <cell r="H14" t="str">
            <v>Autoevaluación Institucional y Pruebas SABER 11</v>
          </cell>
          <cell r="I14" t="str">
            <v>SEGUIMIENTO_Y_SUPERVISIÓN.</v>
          </cell>
          <cell r="J14" t="str">
            <v>Proponer estrategias en la formulación, verificar su elaboración y realizar seguimiento semestral al desarrollo de  las acciones establecidas en los planes de mejoramiento por pruebas SABER 11 de los establecimientos de educación formal.</v>
          </cell>
          <cell r="K14" t="str">
            <v>ALBERTO ESCARRAGA PEÑUELA</v>
          </cell>
          <cell r="L14" t="str">
            <v>CRISTIAN CAMILO LÓPEZ VELANDIA</v>
          </cell>
          <cell r="M14">
            <v>45743</v>
          </cell>
          <cell r="N14">
            <v>45743</v>
          </cell>
          <cell r="O14">
            <v>45743</v>
          </cell>
          <cell r="P14" t="str">
            <v>Visitas de evaluación con fines de mejoramiento</v>
          </cell>
          <cell r="Q14" t="str">
            <v>ACTA DE VISITA ADMINISTRATIVA COLEGIO PARROQUIAL DE LA DOTRINA CRISTIANA.pdf</v>
          </cell>
          <cell r="R14" t="str">
            <v>Se encontró que la institución no diseño un plan de mejoramiento para las pruebas saber 11 año 2025</v>
          </cell>
          <cell r="S14" t="str">
            <v>Elaborar un plan de mejoramiento y comunicarlo a ELIV el 12 de mayo de 2025</v>
          </cell>
          <cell r="T14" t="str">
            <v>Si</v>
          </cell>
          <cell r="U14" t="str">
            <v>Revisión del plan de mejoramiento el 12 de mayo de 2025.</v>
          </cell>
        </row>
        <row r="15">
          <cell r="A15">
            <v>1343</v>
          </cell>
          <cell r="B15">
            <v>2</v>
          </cell>
          <cell r="C15" t="str">
            <v>PUENTE ARANDA</v>
          </cell>
          <cell r="D15" t="str">
            <v>PRIVADO</v>
          </cell>
          <cell r="E15" t="str">
            <v>EPBM</v>
          </cell>
          <cell r="F15" t="str">
            <v>COLEGIO_PARROQUIAL_CONFRATERNIDAD_DE_LA_DOCTRINA_CRISTIANA</v>
          </cell>
          <cell r="G15" t="str">
            <v>COLEGIO PARROQUIAL CONFRATERNIDAD DE LA DOCTRINA CRISTIANA</v>
          </cell>
          <cell r="H15" t="str">
            <v>Autoevaluación Institucional y Pruebas SABER 11</v>
          </cell>
          <cell r="I15" t="str">
            <v>SEGUIMIENTO_Y_SUPERVISIÓN.</v>
          </cell>
          <cell r="J1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 t="str">
            <v>ALBERTO ESCARRAGA PEÑUELA</v>
          </cell>
          <cell r="L15" t="str">
            <v>CRISTIAN CAMILO LÓPEZ VELANDIA</v>
          </cell>
          <cell r="M15">
            <v>45743</v>
          </cell>
          <cell r="N15">
            <v>45743</v>
          </cell>
          <cell r="O15">
            <v>45743</v>
          </cell>
          <cell r="P15" t="str">
            <v>Visitas de evaluación con fines de mejoramiento</v>
          </cell>
          <cell r="Q15" t="str">
            <v>ACTA DE VISITA ADMINISTRATIVA COLEGIO PARROQUIAL DE LA DOTRINA CRISTIANA.pdf</v>
          </cell>
          <cell r="R15" t="str">
            <v xml:space="preserve">Se encontró que la institución no diseño los planes individuales de ajustes razonables para los estudiantes de discapacidad </v>
          </cell>
          <cell r="S15" t="str">
            <v>Elaborar un plan de mejoramiento y comunicarlo a ELIV el 12 de mayo de 2025</v>
          </cell>
          <cell r="T15" t="str">
            <v>Si</v>
          </cell>
          <cell r="U15" t="str">
            <v>Revisión del plan de mejoramiento el 12 de mayo de 2025.</v>
          </cell>
        </row>
        <row r="16">
          <cell r="A16">
            <v>1344</v>
          </cell>
          <cell r="B16">
            <v>2</v>
          </cell>
          <cell r="C16" t="str">
            <v>PUENTE ARANDA</v>
          </cell>
          <cell r="D16" t="str">
            <v>PRIVADO</v>
          </cell>
          <cell r="E16" t="str">
            <v>EPBM</v>
          </cell>
          <cell r="F16" t="str">
            <v>COLEGIO_PARROQUIAL_CONFRATERNIDAD_DE_LA_DOCTRINA_CRISTIANA</v>
          </cell>
          <cell r="G16" t="str">
            <v>COLEGIO PARROQUIAL CONFRATERNIDAD DE LA DOCTRINA CRISTIANA</v>
          </cell>
          <cell r="H16" t="str">
            <v>Autoevaluación Institucional y Pruebas SABER 11</v>
          </cell>
          <cell r="I16" t="str">
            <v>EVALUACIÓN_CON_FINES_DE_MEJORAMIENTO.</v>
          </cell>
          <cell r="J16" t="str">
            <v>Verificar el funcionamiento del Gobierno Escolar e instancias de participación con base en la información sobre conformación reportada por la institución educativa.</v>
          </cell>
          <cell r="K16" t="str">
            <v>ALBERTO ESCARRAGA PEÑUELA</v>
          </cell>
          <cell r="L16" t="str">
            <v>CRISTIAN CAMILO LÓPEZ VELANDIA</v>
          </cell>
          <cell r="M16">
            <v>45743</v>
          </cell>
          <cell r="N16">
            <v>45743</v>
          </cell>
          <cell r="O16">
            <v>45743</v>
          </cell>
          <cell r="P16" t="str">
            <v>Visitas de evaluación con fines de mejoramiento</v>
          </cell>
          <cell r="Q16" t="str">
            <v>ACTA DE VISITA ADMINISTRATIVA COLEGIO PARROQUIAL DE LA DOTRINA CRISTIANA.pdf</v>
          </cell>
          <cell r="R16" t="str">
            <v>Se encontró que la institución no subió las actas de elección del gobierno escolar en el aplicativo SAE</v>
          </cell>
          <cell r="S16" t="str">
            <v>Elaborar un plan de mejoramiento y comunicarlo a ELIV el 12 de mayo de 2025</v>
          </cell>
          <cell r="T16" t="str">
            <v>Si</v>
          </cell>
          <cell r="U16" t="str">
            <v>Revisión del plan de mejoramiento el 12 de mayo de 2025.</v>
          </cell>
        </row>
        <row r="17">
          <cell r="A17">
            <v>1345</v>
          </cell>
          <cell r="B17">
            <v>2</v>
          </cell>
          <cell r="C17" t="str">
            <v>PUENTE ARANDA</v>
          </cell>
          <cell r="D17" t="str">
            <v>PRIVADO</v>
          </cell>
          <cell r="E17" t="str">
            <v>EPBM</v>
          </cell>
          <cell r="F17" t="str">
            <v>COLEGIO_PARROQUIAL_CONFRATERNIDAD_DE_LA_DOCTRINA_CRISTIANA</v>
          </cell>
          <cell r="G17" t="str">
            <v>COLEGIO PARROQUIAL CONFRATERNIDAD DE LA DOCTRINA CRISTIANA</v>
          </cell>
          <cell r="H17" t="str">
            <v>Autoevaluación Institucional y Pruebas SABER 11</v>
          </cell>
          <cell r="I17" t="str">
            <v>EVALUACIÓN_CON_FINES_DE_MEJORAMIENTO.</v>
          </cell>
          <cell r="J17" t="str">
            <v>Verificar las condiciones en cuanto a: la estructura administrativa, condiciones de la planta física y medios educativos adecuados.</v>
          </cell>
          <cell r="K17" t="str">
            <v>ALBERTO ESCARRAGA PEÑUELA</v>
          </cell>
          <cell r="L17" t="str">
            <v>CRISTIAN CAMILO LÓPEZ VELANDIA</v>
          </cell>
          <cell r="M17">
            <v>45743</v>
          </cell>
          <cell r="N17">
            <v>45743</v>
          </cell>
          <cell r="O17">
            <v>45743</v>
          </cell>
          <cell r="P17" t="str">
            <v>Visitas de evaluación con fines de mejoramiento</v>
          </cell>
          <cell r="Q17" t="str">
            <v>ACTA DE VISITA ADMINISTRATIVA COLEGIO PARROQUIAL DE LA DOTRINA CRISTIANA.pdf</v>
          </cell>
          <cell r="R17" t="str">
            <v>Se encontró que la institución cuenta con estructura administrativa, condiciones de la planta física y medios educativos adecuados, con debilidades a mejorar.</v>
          </cell>
          <cell r="S17" t="str">
            <v>Elaborar un plan de mejoramiento y comunicarlo a ELIV el 12 de mayo de 2025</v>
          </cell>
          <cell r="T17" t="str">
            <v>Si</v>
          </cell>
          <cell r="U17" t="str">
            <v>Revisión del plan de mejoramiento el 12 de mayo de 2025.</v>
          </cell>
        </row>
        <row r="18">
          <cell r="A18">
            <v>1346</v>
          </cell>
          <cell r="B18">
            <v>3</v>
          </cell>
          <cell r="C18" t="str">
            <v>PUENTE ARANDA</v>
          </cell>
          <cell r="D18" t="str">
            <v>PRIVADO</v>
          </cell>
          <cell r="E18" t="str">
            <v>EPBM</v>
          </cell>
          <cell r="F18" t="str">
            <v>COLEGIO_PARROQUIAL_MONSEÑOR_EMILIO_DE_BRIGARD</v>
          </cell>
          <cell r="G18" t="str">
            <v>COLEGIO PARROQUIAL MONSEÑOR EMILIO DE BRIGARD</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IGNACIO ABDÓN MONTENEGRO ALDANA</v>
          </cell>
          <cell r="L18" t="str">
            <v>ALBERTO ESCARRAGA PEÑUELA</v>
          </cell>
          <cell r="M18">
            <v>45756</v>
          </cell>
          <cell r="N18">
            <v>45756</v>
          </cell>
          <cell r="O18">
            <v>45757</v>
          </cell>
          <cell r="P18" t="str">
            <v>Visitas de evaluación con fines de mejoramiento</v>
          </cell>
          <cell r="Q18" t="str">
            <v>25 04 09 acta visita Emilio Brigard.pdf</v>
          </cell>
          <cell r="R18" t="str">
            <v>El Colegio ha realizado análisis de los resultados de las pruebas Saber, tiene un operador externo para instruir a los estudiantes y ha realizado algunas acciones de mejoramiento, entre ellas, cursos a los docentes sobre manejo de pruebas. Los estudiantes realizan simulaciones de pruebas por parte de una entidad externa a la Institución</v>
          </cell>
          <cell r="S18" t="str">
            <v xml:space="preserve">Colegio: Analizar los resultados de las pruebas saber por área y definir estrategias de mejoramiento. Priorizar las pruebas internas frente a las externas. Proponer a los estudiantes de grado 10° presentarse a las pruebas Presaber. </v>
          </cell>
          <cell r="T18" t="str">
            <v>Si</v>
          </cell>
          <cell r="U18" t="str">
            <v>El 2 de mayo, el Colegio presentó el plan de mejoramiento. Se efectuará seguimiento semestral a los avances correspondientes.</v>
          </cell>
        </row>
        <row r="19">
          <cell r="A19">
            <v>1347</v>
          </cell>
          <cell r="B19">
            <v>3</v>
          </cell>
          <cell r="C19" t="str">
            <v>PUENTE ARANDA</v>
          </cell>
          <cell r="D19" t="str">
            <v>PRIVADO</v>
          </cell>
          <cell r="E19" t="str">
            <v>EPBM</v>
          </cell>
          <cell r="F19" t="str">
            <v>COLEGIO_PARROQUIAL_MONSEÑOR_EMILIO_DE_BRIGARD</v>
          </cell>
          <cell r="G19" t="str">
            <v>COLEGIO PARROQUIAL MONSEÑOR EMILIO DE BRIGARD</v>
          </cell>
          <cell r="H19" t="str">
            <v>Autoevaluación Institucional y Pruebas SABER 11</v>
          </cell>
          <cell r="I19" t="str">
            <v>SEGUIMIENTO_Y_SUPERVISIÓN.</v>
          </cell>
          <cell r="J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 t="str">
            <v>IGNACIO ABDÓN MONTENEGRO ALDANA</v>
          </cell>
          <cell r="L19" t="str">
            <v>ALBERTO ESCARRAGA PEÑUELA</v>
          </cell>
          <cell r="M19">
            <v>45756</v>
          </cell>
          <cell r="N19">
            <v>45756</v>
          </cell>
          <cell r="O19">
            <v>45758</v>
          </cell>
          <cell r="P19" t="str">
            <v>Visitas de evaluación con fines de mejoramiento</v>
          </cell>
          <cell r="Q19" t="str">
            <v>26 04 09 acta visita Emilio Brigard.pdf</v>
          </cell>
          <cell r="R19" t="str">
            <v xml:space="preserve">El Colegio dispone de un baño en el primer piso, acondicionado para personas en condicion de discapacidad física temporal o permanente. Hay 9 estudiantes en situación de discapacidad; sin embargo, los respectivos PIAR no están actualizados.  </v>
          </cell>
          <cell r="S19" t="str">
            <v xml:space="preserve">Actualizar  los PIAR de los 9 estudiantes e implementar estrategias de seguimiento a su implementación. Actualizar los datos en SIMAT. </v>
          </cell>
          <cell r="T19" t="str">
            <v>Si</v>
          </cell>
          <cell r="U19" t="str">
            <v>Realizar seguimiento semestral a los avances respectivos de plan de mejoramiento entregado por el Colegio el 2 de mayo de 2025.</v>
          </cell>
        </row>
        <row r="20">
          <cell r="A20">
            <v>1348</v>
          </cell>
          <cell r="B20">
            <v>3</v>
          </cell>
          <cell r="C20" t="str">
            <v>PUENTE ARANDA</v>
          </cell>
          <cell r="D20" t="str">
            <v>PRIVADO</v>
          </cell>
          <cell r="E20" t="str">
            <v>EPBM</v>
          </cell>
          <cell r="F20" t="str">
            <v>COLEGIO_PARROQUIAL_MONSEÑOR_EMILIO_DE_BRIGARD</v>
          </cell>
          <cell r="G20" t="str">
            <v>COLEGIO PARROQUIAL MONSEÑOR EMILIO DE BRIGARD</v>
          </cell>
          <cell r="H20" t="str">
            <v>Autoevaluación Institucional y Pruebas SABER 11</v>
          </cell>
          <cell r="I20" t="str">
            <v>EVALUACIÓN_CON_FINES_DE_MEJORAMIENTO.</v>
          </cell>
          <cell r="J20" t="str">
            <v>Revisar el calendario escolar, jornada escolar, la intensidad horaria mínima anual en cada nivel y las modificaciones que se realicen al mismo, de acuerdo con lo previsto en la normatividad vigente.</v>
          </cell>
          <cell r="K20" t="str">
            <v>IGNACIO ABDÓN MONTENEGRO ALDANA</v>
          </cell>
          <cell r="L20" t="str">
            <v>ALBERTO ESCARRAGA PEÑUELA</v>
          </cell>
          <cell r="M20">
            <v>45756</v>
          </cell>
          <cell r="N20">
            <v>45756</v>
          </cell>
          <cell r="O20">
            <v>45759</v>
          </cell>
          <cell r="P20" t="str">
            <v>Revisión documental</v>
          </cell>
          <cell r="Q20" t="str">
            <v>27 04 09 acta visita Emilio Brigard.pdf</v>
          </cell>
          <cell r="R20" t="str">
            <v>El colegio tiene un calendario académico definido de acuerdo con la normatividad, garantizar la intensidad horaria en cada nivel educativo.</v>
          </cell>
          <cell r="S20" t="str">
            <v>Otimizar el uso del tiempo escolar para lograr los objetivos de formación de los estudiantes.</v>
          </cell>
          <cell r="T20" t="str">
            <v>No</v>
          </cell>
          <cell r="U20" t="str">
            <v>Analizar en el siguiente año los resultados de las Pruebas Saber 11 como indicador de la utilización del tiempo escolar.</v>
          </cell>
        </row>
        <row r="21">
          <cell r="A21">
            <v>1349</v>
          </cell>
          <cell r="B21">
            <v>3</v>
          </cell>
          <cell r="C21" t="str">
            <v>PUENTE ARANDA</v>
          </cell>
          <cell r="D21" t="str">
            <v>PRIVADO</v>
          </cell>
          <cell r="E21" t="str">
            <v>EPBM</v>
          </cell>
          <cell r="F21" t="str">
            <v>COLEGIO_PARROQUIAL_MONSEÑOR_EMILIO_DE_BRIGARD</v>
          </cell>
          <cell r="G21" t="str">
            <v>COLEGIO PARROQUIAL MONSEÑOR EMILIO DE BRIGARD</v>
          </cell>
          <cell r="H21" t="str">
            <v>Autoevaluación Institucional y Pruebas SABER 11</v>
          </cell>
          <cell r="I21" t="str">
            <v>EVALUACIÓN_CON_FINES_DE_MEJORAMIENTO.</v>
          </cell>
          <cell r="J21" t="str">
            <v>Verificar el funcionamiento del Gobierno Escolar e instancias de participación con base en la información sobre conformación reportada por la institución educativa.</v>
          </cell>
          <cell r="K21" t="str">
            <v>IGNACIO ABDÓN MONTENEGRO ALDANA</v>
          </cell>
          <cell r="L21" t="str">
            <v>ALBERTO ESCARRAGA PEÑUELA</v>
          </cell>
          <cell r="M21">
            <v>45756</v>
          </cell>
          <cell r="N21">
            <v>45756</v>
          </cell>
          <cell r="O21">
            <v>45760</v>
          </cell>
          <cell r="P21" t="str">
            <v>Revisión documental</v>
          </cell>
          <cell r="Q21" t="str">
            <v>28 04 09 acta visita Emilio Brigard.pdf</v>
          </cell>
          <cell r="R21" t="str">
            <v>El Colegio constituyó los órganos de gobierno escolar y demás instancias de participación.</v>
          </cell>
          <cell r="S21" t="str">
            <v>Elaborar reglamentos por cada instancia de participación y elaborar un plan de trabajo para el 2025.</v>
          </cell>
          <cell r="T21" t="str">
            <v>No</v>
          </cell>
          <cell r="U21" t="str">
            <v>Análisis del funcionamiento de la organización escolar en reunión de rectores del sector en 2026.</v>
          </cell>
        </row>
        <row r="22">
          <cell r="A22">
            <v>1350</v>
          </cell>
          <cell r="B22">
            <v>4</v>
          </cell>
          <cell r="C22" t="str">
            <v>PUENTE ARANDA</v>
          </cell>
          <cell r="D22" t="str">
            <v>PRIVADO</v>
          </cell>
          <cell r="E22" t="str">
            <v>EPBM</v>
          </cell>
          <cell r="F22" t="str">
            <v>COLEGIO_SANTA_TERESITA</v>
          </cell>
          <cell r="G22" t="str">
            <v>COLEGIO SANTA TERESITA</v>
          </cell>
          <cell r="H22" t="str">
            <v>Autoevaluación Institucional y Pruebas SABER 11</v>
          </cell>
          <cell r="I22" t="str">
            <v>SEGUIMIENTO_Y_SUPERVISIÓN.</v>
          </cell>
          <cell r="J22" t="str">
            <v>Realizar visitas para verificar la información registrada sobre la autoevaluación institucional en el aplicativo EVI, a los establecimientos de educación formal no oficial.</v>
          </cell>
          <cell r="K22" t="str">
            <v>ALBERTO ESCARRAGA PEÑUELA</v>
          </cell>
          <cell r="L22" t="str">
            <v>OSCAR GERMAN CLAVIJO PALACIOS</v>
          </cell>
          <cell r="M22">
            <v>45757</v>
          </cell>
          <cell r="N22">
            <v>45757</v>
          </cell>
          <cell r="O22">
            <v>45757</v>
          </cell>
          <cell r="P22" t="str">
            <v>Visitas de evaluación con fines de mejoramiento</v>
          </cell>
          <cell r="Q22" t="str">
            <v>VISITA CON FINES DE MEJORAMIENTO COLEGIO SANTA TERESITA</v>
          </cell>
          <cell r="R22" t="str">
            <v>Se encontró novedades en la matricula del colegio vs. el reporte SIMAT</v>
          </cell>
          <cell r="S22" t="str">
            <v>Elaborar un plan de mejoramiento y comunicarlo a ELIV el 8 de mayo de 2025</v>
          </cell>
          <cell r="T22" t="str">
            <v>Si</v>
          </cell>
          <cell r="U22" t="str">
            <v>Revisión del plan de mejoramiento el 8 de mayo de 2025.</v>
          </cell>
        </row>
        <row r="23">
          <cell r="A23">
            <v>1352</v>
          </cell>
          <cell r="B23">
            <v>4</v>
          </cell>
          <cell r="C23" t="str">
            <v>PUENTE ARANDA</v>
          </cell>
          <cell r="D23" t="str">
            <v>PRIVADO</v>
          </cell>
          <cell r="E23" t="str">
            <v>EPBM</v>
          </cell>
          <cell r="F23" t="str">
            <v>COLEGIO_SANTA_TERESITA</v>
          </cell>
          <cell r="G23" t="str">
            <v>COLEGIO SANTA TERESITA</v>
          </cell>
          <cell r="H23" t="str">
            <v>Autoevaluación Institucional y Pruebas SABER 11</v>
          </cell>
          <cell r="I23" t="str">
            <v>SEGUIMIENTO_Y_SUPERVISIÓN.</v>
          </cell>
          <cell r="J23" t="str">
            <v>Realizar visitas para verificar la información registrada sobre la autoevaluación institucional en el aplicativo EVI, a los establecimientos de educación formal no oficial.</v>
          </cell>
          <cell r="K23" t="str">
            <v>ALBERTO ESCARRAGA PEÑUELA</v>
          </cell>
          <cell r="L23" t="str">
            <v>OSCAR GERMAN CLAVIJO PALACIOS</v>
          </cell>
          <cell r="M23">
            <v>45757</v>
          </cell>
          <cell r="N23">
            <v>45757</v>
          </cell>
          <cell r="O23">
            <v>45757</v>
          </cell>
          <cell r="P23" t="str">
            <v>Visitas de evaluación con fines de mejoramiento</v>
          </cell>
          <cell r="Q23" t="str">
            <v>VISITA CON FINES DE MEJORAMIENTO COLEGIO SANTA TERESITA</v>
          </cell>
          <cell r="R23" t="str">
            <v>Se encontró que la institución no registro en la plataforma SIMAT a los estudiantes de inclusión</v>
          </cell>
          <cell r="S23" t="str">
            <v>Elaborar un plan de mejoramiento y comunicarlo a ELIV el 8 de mayo de 2025</v>
          </cell>
          <cell r="T23" t="str">
            <v>Si</v>
          </cell>
          <cell r="U23" t="str">
            <v>Revisión del plan de mejoramiento el 8 de mayo de 2025.</v>
          </cell>
        </row>
        <row r="24">
          <cell r="A24">
            <v>1353</v>
          </cell>
          <cell r="B24">
            <v>4</v>
          </cell>
          <cell r="C24" t="str">
            <v>PUENTE ARANDA</v>
          </cell>
          <cell r="D24" t="str">
            <v>PRIVADO</v>
          </cell>
          <cell r="E24" t="str">
            <v>EPBM</v>
          </cell>
          <cell r="F24" t="str">
            <v>COLEGIO_SANTA_TERESITA</v>
          </cell>
          <cell r="G24" t="str">
            <v>COLEGIO SANTA TERESITA</v>
          </cell>
          <cell r="H24" t="str">
            <v>Autoevaluación Institucional y Pruebas SABER 11</v>
          </cell>
          <cell r="I24" t="str">
            <v>SEGUIMIENTO_Y_SUPERVISIÓN.</v>
          </cell>
          <cell r="J24" t="str">
            <v>Realizar visitas para verificar la información registrada sobre la autoevaluación institucional en el aplicativo EVI, a los establecimientos de educación formal no oficial.</v>
          </cell>
          <cell r="K24" t="str">
            <v>ALBERTO ESCARRAGA PEÑUELA</v>
          </cell>
          <cell r="L24" t="str">
            <v>OSCAR GERMAN CLAVIJO PALACIOS</v>
          </cell>
          <cell r="M24">
            <v>45757</v>
          </cell>
          <cell r="N24">
            <v>45757</v>
          </cell>
          <cell r="O24">
            <v>45757</v>
          </cell>
          <cell r="P24" t="str">
            <v>Visitas de evaluación con fines de mejoramiento</v>
          </cell>
          <cell r="Q24" t="str">
            <v>VISITA CON FINES DE MEJORAMIENTO COLEGIO SANTA TERESITA</v>
          </cell>
          <cell r="R24" t="str">
            <v>Se encontró que la institución no tuvo en cuenta a los estudiantes de inclusión en el plan de mejoramiento.</v>
          </cell>
          <cell r="S24" t="str">
            <v>Elaborar un plan de mejoramiento y comunicarlo a ELIV el 8 de mayo de 2025</v>
          </cell>
          <cell r="T24" t="str">
            <v>Si</v>
          </cell>
          <cell r="U24" t="str">
            <v>Revisión del plan de mejoramiento el 8 de mayo de 2025.</v>
          </cell>
        </row>
        <row r="25">
          <cell r="A25">
            <v>1354</v>
          </cell>
          <cell r="B25">
            <v>4</v>
          </cell>
          <cell r="C25" t="str">
            <v>PUENTE ARANDA</v>
          </cell>
          <cell r="D25" t="str">
            <v>PRIVADO</v>
          </cell>
          <cell r="E25" t="str">
            <v>EPBM</v>
          </cell>
          <cell r="F25" t="str">
            <v>COLEGIO_SANTA_TERESITA</v>
          </cell>
          <cell r="G25" t="str">
            <v>COLEGIO SANTA TERESITA</v>
          </cell>
          <cell r="H25" t="str">
            <v>Autoevaluación Institucional y Pruebas SABER 11</v>
          </cell>
          <cell r="I25" t="str">
            <v>EVALUACIÓN_CON_FINES_DE_MEJORAMIENTO.</v>
          </cell>
          <cell r="J2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 t="str">
            <v>ALBERTO ESCARRAGA PEÑUELA</v>
          </cell>
          <cell r="L25" t="str">
            <v>OSCAR GERMAN CLAVIJO PALACIOS</v>
          </cell>
          <cell r="M25">
            <v>45757</v>
          </cell>
          <cell r="N25">
            <v>45757</v>
          </cell>
          <cell r="O25">
            <v>45757</v>
          </cell>
          <cell r="P25" t="str">
            <v>Visitas de evaluación con fines de mejoramiento</v>
          </cell>
          <cell r="Q25" t="str">
            <v>VISITA CON FINES DE MEJORAMIENTO COLEGIO SANTA TERESITA</v>
          </cell>
          <cell r="R25" t="str">
            <v xml:space="preserve">Se encontró que en el documento denominado informe de análisis comparativo de las pruebas saber 11, no se contempló fechas de seguimiento y evaluación </v>
          </cell>
          <cell r="S25" t="str">
            <v>Elaborar un plan de mejoramiento y comunicarlo a ELIV el 8 de mayo de 2025</v>
          </cell>
          <cell r="T25" t="str">
            <v>Si</v>
          </cell>
          <cell r="U25" t="str">
            <v>Revisión del plan de mejoramiento el 8 de mayo de 2025.</v>
          </cell>
        </row>
        <row r="26">
          <cell r="A26">
            <v>1351</v>
          </cell>
          <cell r="B26">
            <v>4</v>
          </cell>
          <cell r="C26" t="str">
            <v>PUENTE ARANDA</v>
          </cell>
          <cell r="D26" t="str">
            <v>PRIVADO</v>
          </cell>
          <cell r="E26" t="str">
            <v>EPBM</v>
          </cell>
          <cell r="F26" t="str">
            <v>COLEGIO_SANTA_TERESITA</v>
          </cell>
          <cell r="G26" t="str">
            <v>COLEGIO SANTA TERESITA</v>
          </cell>
          <cell r="H26" t="str">
            <v>Autoevaluación Institucional y Pruebas SABER 11</v>
          </cell>
          <cell r="I26" t="str">
            <v>EVALUACIÓN_CON_FINES_DE_MEJORAMIENTO.</v>
          </cell>
          <cell r="J26" t="str">
            <v>Verificar las condiciones en cuanto a: la estructura administrativa, condiciones de la planta física y medios educativos adecuados.</v>
          </cell>
          <cell r="K26" t="str">
            <v>ALBERTO ESCARRAGA PEÑUELA</v>
          </cell>
          <cell r="L26" t="str">
            <v>OSCAR GERMAN CLAVIJO PALACIOS</v>
          </cell>
          <cell r="M26">
            <v>45757</v>
          </cell>
          <cell r="N26">
            <v>45757</v>
          </cell>
          <cell r="O26">
            <v>45934</v>
          </cell>
          <cell r="P26" t="str">
            <v>Visitas de evaluación con fines de mejoramiento</v>
          </cell>
          <cell r="Q26" t="str">
            <v>VISITA CON FINES DE MEJORAMIENTO COLEGIO SANTA TERESITA</v>
          </cell>
          <cell r="R26" t="str">
            <v>Se encontraron inconsistencias en las carpetas de matrícula de los estudiantes</v>
          </cell>
          <cell r="S26" t="str">
            <v>Elaborar un plan de mejoramiento y comunicarlo a ELIV el 8 de mayo de 2025</v>
          </cell>
          <cell r="T26" t="str">
            <v>Si</v>
          </cell>
          <cell r="U26" t="str">
            <v>Revisión del plan de mejoramiento el 8 de mayo de 2025.</v>
          </cell>
        </row>
        <row r="27">
          <cell r="A27">
            <v>1355</v>
          </cell>
          <cell r="B27">
            <v>5</v>
          </cell>
          <cell r="C27" t="str">
            <v>PUENTE ARANDA</v>
          </cell>
          <cell r="D27" t="str">
            <v>PRIVADO</v>
          </cell>
          <cell r="E27" t="str">
            <v>Educación de Jóvenes y Adultos</v>
          </cell>
          <cell r="F27" t="str">
            <v>LICEO_NUEVO_CHILE</v>
          </cell>
          <cell r="G27" t="str">
            <v>LICEO NUEVO CHILE</v>
          </cell>
          <cell r="H27" t="str">
            <v>Autoevaluación Institucional y Pruebas SABER 11</v>
          </cell>
          <cell r="I27" t="str">
            <v>SEGUIMIENTO_Y_SUPERVISIÓN.</v>
          </cell>
          <cell r="J27" t="str">
            <v>Realizar visitas para verificar la información registrada sobre la autoevaluación institucional en el aplicativo EVI, a los establecimientos de educación formal no oficial.</v>
          </cell>
          <cell r="K27" t="str">
            <v>CRISTIAN CAMILO LÓPEZ VELANDIA</v>
          </cell>
          <cell r="L27" t="str">
            <v>OSCAR GERMAN CLAVIJO PALACIOS</v>
          </cell>
          <cell r="M27">
            <v>45769</v>
          </cell>
          <cell r="N27">
            <v>45896</v>
          </cell>
          <cell r="O27">
            <v>45896</v>
          </cell>
          <cell r="P27" t="str">
            <v>Visitas de evaluación con fines de mejoramiento</v>
          </cell>
          <cell r="Q27" t="str">
            <v>20250827_Visita fines mejoramiento Liceo Nuevo Chile</v>
          </cell>
          <cell r="R27" t="str">
            <v>Se encontró diferencias en la matrícula de la institución y lo reportado en el aplicativo SIMAT, las actividades pedagogicos de los estudiantes de nivel del preescolar y basica primaria y secundaria no responden a los lineamientos de la normatividad educativa</v>
          </cell>
          <cell r="S27" t="str">
            <v>Elaborar un plan de mejoramiento y comunicarlo a ELIV el 6 de septiembre de 2025</v>
          </cell>
          <cell r="T27" t="str">
            <v>SI</v>
          </cell>
          <cell r="U27" t="str">
            <v>Revisión del plan de mejoramiento el 26/09/2025.</v>
          </cell>
        </row>
        <row r="28">
          <cell r="A28">
            <v>1356</v>
          </cell>
          <cell r="B28">
            <v>5</v>
          </cell>
          <cell r="C28" t="str">
            <v>PUENTE ARANDA</v>
          </cell>
          <cell r="D28" t="str">
            <v>PRIVADO</v>
          </cell>
          <cell r="E28" t="str">
            <v>Educación de Jóvenes y Adultos</v>
          </cell>
          <cell r="F28" t="str">
            <v>LICEO_NUEVO_CHILE</v>
          </cell>
          <cell r="G28" t="str">
            <v>LICEO NUEVO CHILE</v>
          </cell>
          <cell r="H28" t="str">
            <v>Autoevaluación Institucional y Pruebas SABER 11</v>
          </cell>
          <cell r="I28" t="str">
            <v>SEGUIMIENTO_Y_SUPERVISIÓN.</v>
          </cell>
          <cell r="J28" t="str">
            <v>Proponer estrategias en la formulación, verificar su elaboración y realizar seguimiento semestral al desarrollo de  las acciones establecidas en los planes de mejoramiento por pruebas SABER 11 de los establecimientos de educación formal.</v>
          </cell>
          <cell r="K28" t="str">
            <v>CRISTIAN CAMILO LÓPEZ VELANDIA</v>
          </cell>
          <cell r="L28" t="str">
            <v>OSCAR GERMAN CLAVIJO PALACIOS</v>
          </cell>
          <cell r="M28">
            <v>45771</v>
          </cell>
          <cell r="N28">
            <v>45896</v>
          </cell>
          <cell r="O28">
            <v>45896</v>
          </cell>
          <cell r="P28" t="str">
            <v>Visitas de evaluación con fines de mejoramiento</v>
          </cell>
          <cell r="Q28" t="str">
            <v>20250827_Visita fines mejoramiento Liceo Nuevo Chile</v>
          </cell>
          <cell r="R28" t="str">
            <v>El Colegio ha realizado análisis de los resultados de las pruebas Saber, tiene un operador externo para instruir a los estudiantes y ha realizado acciones de mejoramiento, entre ellas, revision de plan de estudios basado en las competencias de las pruebas saber 11. Las actividades están aprobadas por consejo directivo.</v>
          </cell>
          <cell r="S28" t="str">
            <v>Continuar con el seguimiento a las pruebas saber 11 y continuar con las actividades que están ejecutando</v>
          </cell>
          <cell r="T28" t="str">
            <v>No</v>
          </cell>
          <cell r="U28" t="str">
            <v>En caso de presentarse PQR se procederá a realizar su respectiva revisión.</v>
          </cell>
        </row>
        <row r="29">
          <cell r="A29">
            <v>1357</v>
          </cell>
          <cell r="B29">
            <v>5</v>
          </cell>
          <cell r="C29" t="str">
            <v>PUENTE ARANDA</v>
          </cell>
          <cell r="D29" t="str">
            <v>PRIVADO</v>
          </cell>
          <cell r="E29" t="str">
            <v>Educación de Jóvenes y Adultos</v>
          </cell>
          <cell r="F29" t="str">
            <v>LICEO_NUEVO_CHILE</v>
          </cell>
          <cell r="G29" t="str">
            <v>LICEO NUEVO CHILE</v>
          </cell>
          <cell r="H29" t="str">
            <v>Autoevaluación Institucional y Pruebas SABER 11</v>
          </cell>
          <cell r="I29" t="str">
            <v>SEGUIMIENTO_Y_SUPERVISIÓN.</v>
          </cell>
          <cell r="J29" t="str">
            <v xml:space="preserve">Verificar la implementación por parte de los colegios, de acciones realizadas para la prevención y atención de las situaciones de convivencia en el entorno escolar, según lo establecido en la Directiva 01 de 2022 del MEN. </v>
          </cell>
          <cell r="K29" t="str">
            <v>CRISTIAN CAMILO LÓPEZ VELANDIA</v>
          </cell>
          <cell r="L29" t="str">
            <v>OSCAR GERMAN CLAVIJO PALACIOS</v>
          </cell>
          <cell r="M29">
            <v>45771</v>
          </cell>
          <cell r="N29">
            <v>45896</v>
          </cell>
          <cell r="O29">
            <v>45896</v>
          </cell>
          <cell r="P29" t="str">
            <v>Visitas de evaluación con fines de mejoramiento</v>
          </cell>
          <cell r="Q29" t="str">
            <v>20250827_Visita fines mejoramiento Liceo Nuevo Chile</v>
          </cell>
          <cell r="R29" t="str">
            <v>La institución realiza periódicamente la consulta de inhabilidades y realiza la activación de los protocolos en casos de convivencia escolar v 5.0</v>
          </cell>
          <cell r="S29" t="str">
            <v>Continuar con las acciones establecidas en la directiva 1/2022</v>
          </cell>
          <cell r="T29" t="str">
            <v>No</v>
          </cell>
          <cell r="U29" t="str">
            <v>En caso de presentarse PQR se procederá a realizar su respectiva revisión.</v>
          </cell>
        </row>
        <row r="30">
          <cell r="A30">
            <v>1358</v>
          </cell>
          <cell r="B30">
            <v>5</v>
          </cell>
          <cell r="C30" t="str">
            <v>PUENTE ARANDA</v>
          </cell>
          <cell r="D30" t="str">
            <v>PRIVADO</v>
          </cell>
          <cell r="E30" t="str">
            <v>Educación de Jóvenes y Adultos</v>
          </cell>
          <cell r="F30" t="str">
            <v>LICEO_NUEVO_CHILE</v>
          </cell>
          <cell r="G30" t="str">
            <v>LICEO NUEVO CHILE</v>
          </cell>
          <cell r="H30" t="str">
            <v>Autoevaluación Institucional y Pruebas SABER 11</v>
          </cell>
          <cell r="I30" t="str">
            <v>SEGUIMIENTO_Y_SUPERVISIÓN.</v>
          </cell>
          <cell r="J3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0" t="str">
            <v>CRISTIAN CAMILO LÓPEZ VELANDIA</v>
          </cell>
          <cell r="L30" t="str">
            <v>OSCAR GERMAN CLAVIJO PALACIOS</v>
          </cell>
          <cell r="M30">
            <v>45771</v>
          </cell>
          <cell r="N30">
            <v>45896</v>
          </cell>
          <cell r="O30">
            <v>45896</v>
          </cell>
          <cell r="P30" t="str">
            <v>Visitas de evaluación con fines de mejoramiento</v>
          </cell>
          <cell r="Q30" t="str">
            <v>20250827_Visita fines mejoramiento Liceo Nuevo Chile</v>
          </cell>
          <cell r="R30" t="str">
            <v>La institución debe modificar los ajustes razonables, indicando las acciones que desarrollara la institucion educativa (e.g.modificacion de actividades de evaluacion, ajustes sobre los resultados de aprendizaje)</v>
          </cell>
          <cell r="S30" t="str">
            <v>Actualizar los PIAR de los estudiantes e implementar estrategias de seguimiento a su implementación. Elaborar un plan de mejoramiento y comunicarlo a ELIV el 26/09/2025</v>
          </cell>
          <cell r="T30" t="str">
            <v>Si</v>
          </cell>
          <cell r="U30" t="str">
            <v>Revisión del plan de mejoramiento el 26/09/2025</v>
          </cell>
        </row>
        <row r="31">
          <cell r="A31">
            <v>1359</v>
          </cell>
          <cell r="B31">
            <v>5</v>
          </cell>
          <cell r="C31" t="str">
            <v>PUENTE ARANDA</v>
          </cell>
          <cell r="D31" t="str">
            <v>PRIVADO</v>
          </cell>
          <cell r="E31" t="str">
            <v>EPBM</v>
          </cell>
          <cell r="F31" t="str">
            <v>LICEO_NUEVO_CHILE</v>
          </cell>
          <cell r="G31" t="str">
            <v>LICEO NUEVO CHILE</v>
          </cell>
          <cell r="H31" t="str">
            <v>Autoevaluación Institucional y Pruebas SABER 11</v>
          </cell>
          <cell r="I31" t="str">
            <v>EVALUACIÓN_CON_FINES_DE_MEJORAMIENTO.</v>
          </cell>
          <cell r="J3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1" t="str">
            <v>CRISTIAN CAMILO LÓPEZ VELANDIA</v>
          </cell>
          <cell r="L31" t="str">
            <v>OSCAR GERMAN CLAVIJO PALACIOS</v>
          </cell>
          <cell r="M31">
            <v>45771</v>
          </cell>
          <cell r="N31">
            <v>45896</v>
          </cell>
          <cell r="O31">
            <v>45896</v>
          </cell>
          <cell r="P31" t="str">
            <v>Visitas de evaluación con fines de mejoramiento</v>
          </cell>
          <cell r="Q31" t="str">
            <v>20250827_Visita fines mejoramiento Liceo Nuevo Chile</v>
          </cell>
          <cell r="R31" t="str">
            <v>Se refiere la actualización del manual de convivencia de manera anual, sin embargo no existen actas o documentación que soporte este accionar. La institución debe revisar nuevamente el manual, implementando las diferentes sentencias de la corte particularmente las que evidencian la necesidad de la garantía del libre desarrollo de la personalidad y del debido proceso para procesos administrativos</v>
          </cell>
          <cell r="S31" t="str">
            <v>Realizar las actas donde se evidencie la actualización, socialización e implementación del manual de convivencia. Así mismo, iniciar nuevamente los procesos de revisión de este documento en las diferentes instancias del gobierno escolar. Establecer acciones de mejora e incorporar el plan de mejoramiento a reportar el 26/09/2025</v>
          </cell>
          <cell r="T31" t="str">
            <v>SI</v>
          </cell>
          <cell r="U31" t="str">
            <v>Revisión del plan de mejora, contemplada su entrega para el 26/09/2025.</v>
          </cell>
        </row>
        <row r="32">
          <cell r="A32">
            <v>1360</v>
          </cell>
          <cell r="B32">
            <v>5</v>
          </cell>
          <cell r="C32" t="str">
            <v>PUENTE ARANDA</v>
          </cell>
          <cell r="D32" t="str">
            <v>PRIVADO</v>
          </cell>
          <cell r="E32" t="str">
            <v>EPBM</v>
          </cell>
          <cell r="F32" t="str">
            <v>LICEO_NUEVO_CHILE</v>
          </cell>
          <cell r="G32" t="str">
            <v>LICEO NUEVO CHILE</v>
          </cell>
          <cell r="H32" t="str">
            <v>Autoevaluación Institucional y Pruebas SABER 11</v>
          </cell>
          <cell r="I32" t="str">
            <v>EVALUACIÓN_CON_FINES_DE_MEJORAMIENTO.</v>
          </cell>
          <cell r="J32" t="str">
            <v>Revisar la actualización, socialización e implementación del Sistema Institucional de Evaluación de Estudiantes - SIEE, en articulación con la actualización del PEI y la normatividad vigente.</v>
          </cell>
          <cell r="K32" t="str">
            <v>CRISTIAN CAMILO LÓPEZ VELANDIA</v>
          </cell>
          <cell r="L32" t="str">
            <v>OSCAR GERMAN CLAVIJO PALACIOS</v>
          </cell>
          <cell r="M32">
            <v>45771</v>
          </cell>
          <cell r="N32">
            <v>45896</v>
          </cell>
          <cell r="O32">
            <v>45896</v>
          </cell>
          <cell r="P32" t="str">
            <v>Visitas de evaluación con fines de mejoramiento</v>
          </cell>
          <cell r="Q32" t="str">
            <v>20250827_Visita fines mejoramiento Liceo Nuevo Chile</v>
          </cell>
          <cell r="R32" t="str">
            <v>Se evidencia la ejecución y registro de la información del SIEE, el cual cuenta con estrategias de apoyo para resolver situaciones en el aula y de nivelación y mejoramiento del aprendizaje de los estudiantes a través de planes de mejora individuales y seguimiento con familias</v>
          </cell>
          <cell r="S32" t="str">
            <v>Se debe continuar con el proceso de revisión y actualización</v>
          </cell>
          <cell r="T32" t="str">
            <v>No</v>
          </cell>
          <cell r="U32" t="str">
            <v>En caso de presentarse PQR se procederá a realizar su respectiva revisión.</v>
          </cell>
        </row>
        <row r="33">
          <cell r="A33">
            <v>1361</v>
          </cell>
          <cell r="B33">
            <v>5</v>
          </cell>
          <cell r="C33" t="str">
            <v>PUENTE ARANDA</v>
          </cell>
          <cell r="D33" t="str">
            <v>PRIVADO</v>
          </cell>
          <cell r="E33" t="str">
            <v>EPBM</v>
          </cell>
          <cell r="F33" t="str">
            <v>LICEO_NUEVO_CHILE</v>
          </cell>
          <cell r="G33" t="str">
            <v>LICEO NUEVO CHILE</v>
          </cell>
          <cell r="H33" t="str">
            <v>Autoevaluación Institucional y Pruebas SABER 11</v>
          </cell>
          <cell r="I33" t="str">
            <v>EVALUACIÓN_CON_FINES_DE_MEJORAMIENTO.</v>
          </cell>
          <cell r="J33" t="str">
            <v>Revisar el calendario escolar, jornada escolar, la intensidad horaria mínima anual en cada nivel y las modificaciones que se realicen al mismo, de acuerdo con lo previsto en la normatividad vigente.</v>
          </cell>
          <cell r="K33" t="str">
            <v>CRISTIAN CAMILO LÓPEZ VELANDIA</v>
          </cell>
          <cell r="L33" t="str">
            <v>OSCAR GERMAN CLAVIJO PALACIOS</v>
          </cell>
          <cell r="M33">
            <v>45771</v>
          </cell>
          <cell r="N33">
            <v>45896</v>
          </cell>
          <cell r="O33">
            <v>45896</v>
          </cell>
          <cell r="P33" t="str">
            <v>Visitas de evaluación con fines de mejoramiento</v>
          </cell>
          <cell r="Q33" t="str">
            <v>20250827_Visita fines mejoramiento Liceo Nuevo Chile</v>
          </cell>
          <cell r="R33" t="str">
            <v>El colegio cumple el número mínimo de horas exigidas para los niveles de educacion aprobados</v>
          </cell>
          <cell r="S33" t="str">
            <v>Cumple con la intensidad de horas académicas mínimas</v>
          </cell>
          <cell r="T33" t="str">
            <v>No</v>
          </cell>
          <cell r="U33" t="str">
            <v>En caso de presentarse PQR se procederá a realizar su respectiva revisión.</v>
          </cell>
        </row>
        <row r="34">
          <cell r="A34">
            <v>1362</v>
          </cell>
          <cell r="B34">
            <v>5</v>
          </cell>
          <cell r="C34" t="str">
            <v>PUENTE ARANDA</v>
          </cell>
          <cell r="D34" t="str">
            <v>PRIVADO</v>
          </cell>
          <cell r="E34" t="str">
            <v>EPBM</v>
          </cell>
          <cell r="F34" t="str">
            <v>LICEO_NUEVO_CHILE</v>
          </cell>
          <cell r="G34" t="str">
            <v>LICEO NUEVO CHILE</v>
          </cell>
          <cell r="H34" t="str">
            <v>Autoevaluación Institucional y Pruebas SABER 11</v>
          </cell>
          <cell r="I34" t="str">
            <v>EVALUACIÓN_CON_FINES_DE_MEJORAMIENTO.</v>
          </cell>
          <cell r="J34" t="str">
            <v>Verificar el funcionamiento del Gobierno Escolar e instancias de participación con base en la información sobre conformación reportada por la institución educativa.</v>
          </cell>
          <cell r="K34" t="str">
            <v>CRISTIAN CAMILO LÓPEZ VELANDIA</v>
          </cell>
          <cell r="L34" t="str">
            <v>OSCAR GERMAN CLAVIJO PALACIOS</v>
          </cell>
          <cell r="M34">
            <v>45771</v>
          </cell>
          <cell r="N34">
            <v>45896</v>
          </cell>
          <cell r="O34">
            <v>45896</v>
          </cell>
          <cell r="P34" t="str">
            <v>Visitas de evaluación con fines de mejoramiento</v>
          </cell>
          <cell r="Q34" t="str">
            <v>20250827_Visita fines mejoramiento Liceo Nuevo Chile</v>
          </cell>
          <cell r="R34" t="str">
            <v>El colegio presenta las actas de conformación del gobierno escolar en el sistema SAE para el año 2025, sin embargo no existen actas de la operación de las instancias del gobierno escolar.</v>
          </cell>
          <cell r="S34" t="str">
            <v>Reorganizar, realizar y reconstruir las actas donde se evidencie la operación de las instancias del gobierno escolar y continuar con su ejecución en la vigencia 2025.</v>
          </cell>
          <cell r="T34" t="str">
            <v>SI</v>
          </cell>
          <cell r="U34" t="str">
            <v>Revisión del plan de mejora, contemplada su entrega para el 26/09/2025.</v>
          </cell>
        </row>
        <row r="35">
          <cell r="A35">
            <v>1363</v>
          </cell>
          <cell r="B35">
            <v>5</v>
          </cell>
          <cell r="C35" t="str">
            <v>PUENTE ARANDA</v>
          </cell>
          <cell r="D35" t="str">
            <v>PRIVADO</v>
          </cell>
          <cell r="E35" t="str">
            <v>EPBM</v>
          </cell>
          <cell r="F35" t="str">
            <v>LICEO_NUEVO_CHILE</v>
          </cell>
          <cell r="G35" t="str">
            <v>LICEO NUEVO CHILE</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CRISTIAN CAMILO LÓPEZ VELANDIA</v>
          </cell>
          <cell r="L35" t="str">
            <v>OSCAR GERMAN CLAVIJO PALACIOS</v>
          </cell>
          <cell r="M35">
            <v>45771</v>
          </cell>
          <cell r="N35">
            <v>45896</v>
          </cell>
          <cell r="O35">
            <v>45896</v>
          </cell>
          <cell r="P35" t="str">
            <v>Visitas de evaluación con fines de mejoramiento</v>
          </cell>
          <cell r="Q35" t="str">
            <v>20250827_Visita fines mejoramiento Liceo Nuevo Chile</v>
          </cell>
          <cell r="R35" t="str">
            <v>Cuenta con condiciones de plana física y medios educativos adecuados. Se encontró que la documentación del PEGR-CC no cuenta con documentos actualizados.</v>
          </cell>
          <cell r="S35" t="str">
            <v>Elaborar un plan de mejoramiento y comunicarlo a ELIV el 26/09/2025</v>
          </cell>
          <cell r="T35" t="str">
            <v>SI</v>
          </cell>
          <cell r="U35" t="str">
            <v>Revisión del plan de mejoramiento el 26/09/2025.</v>
          </cell>
        </row>
        <row r="36">
          <cell r="A36">
            <v>1364</v>
          </cell>
          <cell r="B36">
            <v>6</v>
          </cell>
          <cell r="C36" t="str">
            <v>PUENTE ARANDA</v>
          </cell>
          <cell r="D36" t="str">
            <v>PRIVADO</v>
          </cell>
          <cell r="E36" t="str">
            <v>EPBM</v>
          </cell>
          <cell r="F36" t="str">
            <v>LICEO_PEDAGOGICO_NUESTRA_SEÑORA_DE_LA_SABIDURIA</v>
          </cell>
          <cell r="G36" t="str">
            <v>LICEO PEDAGOGICO NUESTRA SEÑORA DE LA SABIDURIA</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CRISTIAN CAMILO LÓPEZ VELANDIA</v>
          </cell>
          <cell r="L36" t="str">
            <v>ALBERTO ESCARRAGA PEÑUELA</v>
          </cell>
          <cell r="M36">
            <v>45777</v>
          </cell>
          <cell r="N36">
            <v>45777</v>
          </cell>
          <cell r="O36">
            <v>45777</v>
          </cell>
          <cell r="P36" t="str">
            <v>Visitas de evaluación con fines de mejoramiento</v>
          </cell>
          <cell r="Q36" t="str">
            <v>S-2025-118820 Visita administrativa LPNSS.pdf</v>
          </cell>
          <cell r="R36" t="str">
            <v>El colegio entrega datos de resultados de pruebas SABER 11 que soportan la revisión realizada, sin embargo no existen actas de las instancias del gobierno escolar donde se desarrollaron estas actividades</v>
          </cell>
          <cell r="S36" t="str">
            <v>Reconstruir las actas donde se evidencia el análisis y diseño de las estrategias para la mejora en las pruebas saber 11, y continuar con la aplicación de las estrategias presentadas. Establecer acciones de mejora e incorporar el plan de mejoramiento a reportar el 21/05/2025.</v>
          </cell>
          <cell r="T36" t="str">
            <v>SI</v>
          </cell>
          <cell r="U36" t="str">
            <v>Revisión del plan de mejora, contemplada su entrega para el 21/05/2025.</v>
          </cell>
        </row>
        <row r="37">
          <cell r="A37">
            <v>1365</v>
          </cell>
          <cell r="B37">
            <v>6</v>
          </cell>
          <cell r="C37" t="str">
            <v>PUENTE ARANDA</v>
          </cell>
          <cell r="D37" t="str">
            <v>PRIVADO</v>
          </cell>
          <cell r="E37" t="str">
            <v>EPBM</v>
          </cell>
          <cell r="F37" t="str">
            <v>LICEO_PEDAGOGICO_NUESTRA_SEÑORA_DE_LA_SABIDURIA</v>
          </cell>
          <cell r="G37" t="str">
            <v>LICEO PEDAGOGICO NUESTRA SEÑORA DE LA SABIDURIA</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CRISTIAN CAMILO LÓPEZ VELANDIA</v>
          </cell>
          <cell r="L37" t="str">
            <v>ALBERTO ESCARRAGA PEÑUELA</v>
          </cell>
          <cell r="M37">
            <v>45777</v>
          </cell>
          <cell r="N37">
            <v>45777</v>
          </cell>
          <cell r="O37">
            <v>45777</v>
          </cell>
          <cell r="P37" t="str">
            <v>Visitas de evaluación con fines de mejoramiento</v>
          </cell>
          <cell r="Q37" t="str">
            <v>S-2025-118820 Visita administrativa LPNSS.pdf</v>
          </cell>
          <cell r="R37" t="str">
            <v>Se verificó la implementación de los protocolos de atención integral para la convivencia escolar y el ejercicio de los derechos humanos, derechos sexuales y derechos reproductivos por parte de la orientadora y la implementación de acciones preventivas y pedagógicas frente a situaciones de violencia sexual en el 
entorno escolar, sin embargo, no se encontraron actas o documentos que soporten el accionar por parte de esta instancia del gobierno escolar.</v>
          </cell>
          <cell r="S37" t="str">
            <v>Reconstruir las actas donde se evidencie la implementación de acciones preventivas y pedagógicas frente a situaciones de violencia sexual por parte del comité de convivencia escolar. Establecer acciones de mejora e incorporar el plan de mejoramiento a reportar el 21/05/2025</v>
          </cell>
          <cell r="T37" t="str">
            <v>SI</v>
          </cell>
          <cell r="U37" t="str">
            <v>Revisión del plan de mejora, contemplada su entrega para el 21/05/2025.</v>
          </cell>
        </row>
        <row r="38">
          <cell r="A38">
            <v>1366</v>
          </cell>
          <cell r="B38">
            <v>6</v>
          </cell>
          <cell r="C38" t="str">
            <v>PUENTE ARANDA</v>
          </cell>
          <cell r="D38" t="str">
            <v>PRIVADO</v>
          </cell>
          <cell r="E38" t="str">
            <v>EPBM</v>
          </cell>
          <cell r="F38" t="str">
            <v>LICEO_PEDAGOGICO_NUESTRA_SEÑORA_DE_LA_SABIDURIA</v>
          </cell>
          <cell r="G38" t="str">
            <v>LICEO PEDAGOGICO NUESTRA SEÑORA DE LA SABIDURIA</v>
          </cell>
          <cell r="H38" t="str">
            <v>Autoevaluación Institucional y Pruebas SABER 11</v>
          </cell>
          <cell r="I38" t="str">
            <v>EVALUACIÓN_CON_FINES_DE_MEJORAMIENTO.</v>
          </cell>
          <cell r="J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8" t="str">
            <v>CRISTIAN CAMILO LÓPEZ VELANDIA</v>
          </cell>
          <cell r="L38" t="str">
            <v>ALBERTO ESCARRAGA PEÑUELA</v>
          </cell>
          <cell r="M38">
            <v>45777</v>
          </cell>
          <cell r="N38">
            <v>45777</v>
          </cell>
          <cell r="O38">
            <v>45777</v>
          </cell>
          <cell r="P38" t="str">
            <v>Visitas de evaluación con fines de mejoramiento</v>
          </cell>
          <cell r="Q38" t="str">
            <v>S-2025-118820 Visita administrativa LPNSS.pdf</v>
          </cell>
          <cell r="R38" t="str">
            <v>Se refiere la actualización del manual de convivencia de manera anual, sin embargo no existen actas o documentación que soporte este accionar. La institución debe revisar nuevamente el manual, implementando las diferentes sentencias de la corte particularmente las que evidencian la necesidad de la garantía del libre desarrollo de la personalidad y del debido proceso para procesos administrativos</v>
          </cell>
          <cell r="S38" t="str">
            <v>Reconstruir las actas donde se evidencie la actualización, socialización e implementación del manual de convivencia. Así mismo, iniciar nuevamente los procesos de revisión de este documento en las diferentes instancias del gobierno escolar. Establecer acciones de mejora e incorporar el plan de mejoramiento a reportar el 21/05/2025</v>
          </cell>
          <cell r="T38" t="str">
            <v>SI</v>
          </cell>
          <cell r="U38" t="str">
            <v>Revisión del plan de mejora, contemplada su entrega para el 21/05/2025.</v>
          </cell>
        </row>
        <row r="39">
          <cell r="A39">
            <v>1367</v>
          </cell>
          <cell r="B39">
            <v>6</v>
          </cell>
          <cell r="C39" t="str">
            <v>PUENTE ARANDA</v>
          </cell>
          <cell r="D39" t="str">
            <v>PRIVADO</v>
          </cell>
          <cell r="E39" t="str">
            <v>EPBM</v>
          </cell>
          <cell r="F39" t="str">
            <v>LICEO_PEDAGOGICO_NUESTRA_SEÑORA_DE_LA_SABIDURIA</v>
          </cell>
          <cell r="G39" t="str">
            <v>LICEO PEDAGOGICO NUESTRA SEÑORA DE LA SABIDURIA</v>
          </cell>
          <cell r="H39" t="str">
            <v>Autoevaluación Institucional y Pruebas SABER 11</v>
          </cell>
          <cell r="I39" t="str">
            <v>EVALUACIÓN_CON_FINES_DE_MEJORAMIENTO.</v>
          </cell>
          <cell r="J39" t="str">
            <v>Revisar el calendario escolar, jornada escolar, la intensidad horaria mínima anual en cada nivel y las modificaciones que se realicen al mismo, de acuerdo con lo previsto en la normatividad vigente.</v>
          </cell>
          <cell r="K39" t="str">
            <v>CRISTIAN CAMILO LÓPEZ VELANDIA</v>
          </cell>
          <cell r="L39" t="str">
            <v>ALBERTO ESCARRAGA PEÑUELA</v>
          </cell>
          <cell r="M39">
            <v>45777</v>
          </cell>
          <cell r="N39">
            <v>45777</v>
          </cell>
          <cell r="O39">
            <v>45777</v>
          </cell>
          <cell r="P39" t="str">
            <v>Visitas de evaluación con fines de mejoramiento</v>
          </cell>
          <cell r="Q39" t="str">
            <v>S-2025-118820 Visita administrativa LPNSS.pdf</v>
          </cell>
          <cell r="R39" t="str">
            <v>Presenta cargue de documentos en la plataforma planteada por la DIV</v>
          </cell>
          <cell r="S39" t="str">
            <v>Cumple con la intensidad de horas académicas mínimas</v>
          </cell>
          <cell r="T39" t="str">
            <v>No</v>
          </cell>
          <cell r="U39" t="str">
            <v>En caso de presentarse PQR se procederá a realizar su respectiva revisión.</v>
          </cell>
        </row>
        <row r="40">
          <cell r="A40">
            <v>1368</v>
          </cell>
          <cell r="B40">
            <v>6</v>
          </cell>
          <cell r="C40" t="str">
            <v>PUENTE ARANDA</v>
          </cell>
          <cell r="D40" t="str">
            <v>PRIVADO</v>
          </cell>
          <cell r="E40" t="str">
            <v>EPBM</v>
          </cell>
          <cell r="F40" t="str">
            <v>LICEO_PEDAGOGICO_NUESTRA_SEÑORA_DE_LA_SABIDURIA</v>
          </cell>
          <cell r="G40" t="str">
            <v>LICEO PEDAGOGICO NUESTRA SEÑORA DE LA SABIDURIA</v>
          </cell>
          <cell r="H40" t="str">
            <v>Autoevaluación Institucional y Pruebas SABER 11</v>
          </cell>
          <cell r="I40" t="str">
            <v>EVALUACIÓN_CON_FINES_DE_MEJORAMIENTO.</v>
          </cell>
          <cell r="J40" t="str">
            <v>Verificar el funcionamiento del Gobierno Escolar e instancias de participación con base en la información sobre conformación reportada por la institución educativa.</v>
          </cell>
          <cell r="K40" t="str">
            <v>CRISTIAN CAMILO LÓPEZ VELANDIA</v>
          </cell>
          <cell r="L40" t="str">
            <v>ALBERTO ESCARRAGA PEÑUELA</v>
          </cell>
          <cell r="M40">
            <v>45777</v>
          </cell>
          <cell r="N40">
            <v>45777</v>
          </cell>
          <cell r="O40">
            <v>45777</v>
          </cell>
          <cell r="P40" t="str">
            <v>Visitas de evaluación con fines de mejoramiento</v>
          </cell>
          <cell r="Q40" t="str">
            <v>S-2025-118820 Visita administrativa LPNSS.pdf</v>
          </cell>
          <cell r="R40" t="str">
            <v>El colegio presenta las actas de conformación del gobierno escolar en el sistema SAE para el año 2025, sin embargo no existen actas de la operación de las instancias del gobierno escolar.</v>
          </cell>
          <cell r="S40" t="str">
            <v>Reconstruir las actas donde se evidencie la operación de las instancias del gobierno escolar y continuar con su ejecución en la vigencia 2025.</v>
          </cell>
          <cell r="T40" t="str">
            <v>SI</v>
          </cell>
          <cell r="U40" t="str">
            <v>Revisión del plan de mejora, contemplada su entrega para el 21/05/2025.</v>
          </cell>
        </row>
        <row r="41">
          <cell r="A41">
            <v>1369</v>
          </cell>
          <cell r="B41">
            <v>7</v>
          </cell>
          <cell r="C41" t="str">
            <v>PUENTE ARANDA</v>
          </cell>
          <cell r="D41" t="str">
            <v>PRIVADO</v>
          </cell>
          <cell r="E41" t="str">
            <v>EPBM</v>
          </cell>
          <cell r="F41" t="str">
            <v>LICEO_ROMULO_GALLEGOS</v>
          </cell>
          <cell r="G41" t="str">
            <v>LICEO ROMULO GALLEGOS</v>
          </cell>
          <cell r="H41" t="str">
            <v>Autoevaluación Institucional y Pruebas SABER 11</v>
          </cell>
          <cell r="I41" t="str">
            <v>SEGUIMIENTO_Y_SUPERVISIÓN.</v>
          </cell>
          <cell r="J41" t="str">
            <v>Realizar visitas para verificar la información registrada sobre la autoevaluación institucional en el aplicativo EVI, a los establecimientos de educación formal no oficial.</v>
          </cell>
          <cell r="K41" t="str">
            <v>ALBERTO ESCARRAGA PEÑUELA</v>
          </cell>
          <cell r="L41" t="str">
            <v>OSCAR GERMAN CLAVIJO PALACIOS</v>
          </cell>
          <cell r="M41">
            <v>45786</v>
          </cell>
          <cell r="N41">
            <v>45804</v>
          </cell>
          <cell r="O41">
            <v>45804</v>
          </cell>
          <cell r="P41" t="str">
            <v>Visitas de evaluación con fines de mejoramiento</v>
          </cell>
          <cell r="Q41" t="str">
            <v>20250527visitaAdministrativaRomuloGallegos.pdf</v>
          </cell>
          <cell r="R41" t="str">
            <v xml:space="preserve">Se encontró diferencias en la matrícula de la institución y lo reportado en el aplicativo SIMAT, las valoraciones académicas de los estudiantes de nivel del preescolar no responden a los lineamientos de las políticas de educación inicial </v>
          </cell>
          <cell r="S41" t="str">
            <v>Elaborar un plan de mejoramiento y comunicarlo a ELIV el 20  de junio de 2025</v>
          </cell>
          <cell r="T41" t="str">
            <v>SI</v>
          </cell>
          <cell r="U41" t="str">
            <v>Revisión del plan de mejoramiento el 06/07/2025.</v>
          </cell>
        </row>
        <row r="42">
          <cell r="A42">
            <v>1370</v>
          </cell>
          <cell r="B42">
            <v>7</v>
          </cell>
          <cell r="C42" t="str">
            <v>PUENTE ARANDA</v>
          </cell>
          <cell r="D42" t="str">
            <v>PRIVADO</v>
          </cell>
          <cell r="E42" t="str">
            <v>EPBM</v>
          </cell>
          <cell r="F42" t="str">
            <v>LICEO_ROMULO_GALLEGOS</v>
          </cell>
          <cell r="G42" t="str">
            <v>LICEO ROMULO GALLEGOS</v>
          </cell>
          <cell r="H42" t="str">
            <v>Autoevaluación Institucional y Pruebas SABER 11</v>
          </cell>
          <cell r="I42" t="str">
            <v>SEGUIMIENTO_Y_SUPERVISIÓN.</v>
          </cell>
          <cell r="J42" t="str">
            <v>Proponer estrategias en la formulación, verificar su elaboración y realizar seguimiento semestral al desarrollo de  las acciones establecidas en los planes de mejoramiento por pruebas SABER 11 de los establecimientos de educación formal.</v>
          </cell>
          <cell r="K42" t="str">
            <v>ALBERTO ESCARRAGA PEÑUELA</v>
          </cell>
          <cell r="L42" t="str">
            <v>OSCAR GERMAN CLAVIJO PALACIOS</v>
          </cell>
          <cell r="M42">
            <v>45786</v>
          </cell>
          <cell r="N42">
            <v>45804</v>
          </cell>
          <cell r="O42">
            <v>45804</v>
          </cell>
          <cell r="P42" t="str">
            <v>Visitas de evaluación con fines de mejoramiento</v>
          </cell>
          <cell r="Q42" t="str">
            <v>20250527visitaAdministrativaRomuloGallegos.pdf</v>
          </cell>
          <cell r="R42" t="str">
            <v xml:space="preserve">La institución aunque tiene diseñado plan de mejoramiento para la pruebas saber este no está avalado por el consejo académico </v>
          </cell>
          <cell r="S42" t="str">
            <v>Elaborar un plan de mejoramiento y comunicarlo a ELIV el 20  de junio de 2025</v>
          </cell>
          <cell r="T42" t="str">
            <v>SI</v>
          </cell>
          <cell r="U42" t="str">
            <v>Revisión del plan de mejoramiento el 06/07/2025.</v>
          </cell>
        </row>
        <row r="43">
          <cell r="A43">
            <v>1371</v>
          </cell>
          <cell r="B43">
            <v>7</v>
          </cell>
          <cell r="C43" t="str">
            <v>PUENTE ARANDA</v>
          </cell>
          <cell r="D43" t="str">
            <v>PRIVADO</v>
          </cell>
          <cell r="E43" t="str">
            <v>EPBM</v>
          </cell>
          <cell r="F43" t="str">
            <v>LICEO_ROMULO_GALLEGOS</v>
          </cell>
          <cell r="G43" t="str">
            <v>LICEO ROMULO GALLEGOS</v>
          </cell>
          <cell r="H43" t="str">
            <v>Autoevaluación Institucional y Pruebas SABER 11</v>
          </cell>
          <cell r="I43" t="str">
            <v>SEGUIMIENTO_Y_SUPERVISIÓN.</v>
          </cell>
          <cell r="J43" t="str">
            <v xml:space="preserve">Verificar la implementación por parte de los colegios, de acciones realizadas para la prevención y atención de las situaciones de convivencia en el entorno escolar, según lo establecido en la Directiva 01 de 2022 del MEN. </v>
          </cell>
          <cell r="K43" t="str">
            <v>ALBERTO ESCARRAGA PEÑUELA</v>
          </cell>
          <cell r="L43" t="str">
            <v>OSCAR GERMAN CLAVIJO PALACIOS</v>
          </cell>
          <cell r="M43">
            <v>45786</v>
          </cell>
          <cell r="N43">
            <v>45804</v>
          </cell>
          <cell r="O43">
            <v>45804</v>
          </cell>
          <cell r="P43" t="str">
            <v>Visitas de evaluación con fines de mejoramiento</v>
          </cell>
          <cell r="Q43" t="str">
            <v>20250527visitaAdministrativaRomuloGallegos.pdf</v>
          </cell>
          <cell r="R43" t="str">
            <v>La institución realiza periódicamente la consulta de inhabilidades y realiza la activación de los protocolos en casos de convivencia escolar v 5.0</v>
          </cell>
          <cell r="S43" t="str">
            <v>Continuar con las acciones establecidas en la directiva 1/2022</v>
          </cell>
          <cell r="T43" t="str">
            <v>No</v>
          </cell>
          <cell r="U43" t="str">
            <v>En caso de presentarse PQR se procederá a realizar su respectiva revisión.</v>
          </cell>
        </row>
        <row r="44">
          <cell r="A44">
            <v>1372</v>
          </cell>
          <cell r="B44">
            <v>7</v>
          </cell>
          <cell r="C44" t="str">
            <v>PUENTE ARANDA</v>
          </cell>
          <cell r="D44" t="str">
            <v>PRIVADO</v>
          </cell>
          <cell r="E44" t="str">
            <v>EPBM</v>
          </cell>
          <cell r="F44" t="str">
            <v>LICEO_ROMULO_GALLEGOS</v>
          </cell>
          <cell r="G44" t="str">
            <v>LICEO ROMULO GALLEGOS</v>
          </cell>
          <cell r="H44" t="str">
            <v>Autoevaluación Institucional y Pruebas SABER 11</v>
          </cell>
          <cell r="I44" t="str">
            <v>SEGUIMIENTO_Y_SUPERVISIÓN.</v>
          </cell>
          <cell r="J4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4" t="str">
            <v>ALBERTO ESCARRAGA PEÑUELA</v>
          </cell>
          <cell r="L44" t="str">
            <v>OSCAR GERMAN CLAVIJO PALACIOS</v>
          </cell>
          <cell r="M44">
            <v>45786</v>
          </cell>
          <cell r="N44">
            <v>45804</v>
          </cell>
          <cell r="O44">
            <v>45804</v>
          </cell>
          <cell r="P44" t="str">
            <v>Visitas de evaluación con fines de mejoramiento</v>
          </cell>
          <cell r="Q44" t="str">
            <v>20250527visitaAdministrativaRomuloGallegos.pdf</v>
          </cell>
          <cell r="R44" t="str">
            <v>La institución no atiende estudiantes de inclusión dentro de la matrícula</v>
          </cell>
          <cell r="S44" t="str">
            <v>Realizar PIAR cuando la institución cuente con estudiantes de inclusión</v>
          </cell>
          <cell r="T44" t="str">
            <v>No</v>
          </cell>
          <cell r="U44" t="str">
            <v>En caso de presentarse PQR se procederá a realizar su respectiva revisión.</v>
          </cell>
        </row>
        <row r="45">
          <cell r="A45">
            <v>1373</v>
          </cell>
          <cell r="B45">
            <v>7</v>
          </cell>
          <cell r="C45" t="str">
            <v>PUENTE ARANDA</v>
          </cell>
          <cell r="D45" t="str">
            <v>PRIVADO</v>
          </cell>
          <cell r="E45" t="str">
            <v>EPBM</v>
          </cell>
          <cell r="F45" t="str">
            <v>LICEO_ROMULO_GALLEGOS</v>
          </cell>
          <cell r="G45" t="str">
            <v>LICEO ROMULO GALLEGOS</v>
          </cell>
          <cell r="H45" t="str">
            <v>Autoevaluación Institucional y Pruebas SABER 11</v>
          </cell>
          <cell r="I45" t="str">
            <v>EVALUACIÓN_CON_FINES_DE_MEJORAMIENTO.</v>
          </cell>
          <cell r="J4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5" t="str">
            <v>ALBERTO ESCARRAGA PEÑUELA</v>
          </cell>
          <cell r="L45" t="str">
            <v>OSCAR GERMAN CLAVIJO PALACIOS</v>
          </cell>
          <cell r="M45">
            <v>45786</v>
          </cell>
          <cell r="N45">
            <v>45804</v>
          </cell>
          <cell r="O45">
            <v>45804</v>
          </cell>
          <cell r="P45" t="str">
            <v>Visitas de evaluación con fines de mejoramiento</v>
          </cell>
          <cell r="Q45" t="str">
            <v>20250527visitaAdministrativaRomuloGallegos.pdf</v>
          </cell>
          <cell r="R45" t="str">
            <v xml:space="preserve">Se encontró que el manual de convivencia no está actualizado de acuerdo con la normatividad vigente en especial al enfoque restaurativo, enfoque de género, derechos sexuales y reproductivos e inclusión ni no está avalado por el consejo directivo </v>
          </cell>
          <cell r="S45" t="str">
            <v>Elaborar un plan de mejoramiento y comunicarlo a ELIV el 20  de junio de 2025</v>
          </cell>
          <cell r="T45" t="str">
            <v>SI</v>
          </cell>
          <cell r="U45" t="str">
            <v>Revisión del plan de mejoramiento el 06/07/2025.</v>
          </cell>
        </row>
        <row r="46">
          <cell r="A46">
            <v>1374</v>
          </cell>
          <cell r="B46">
            <v>7</v>
          </cell>
          <cell r="C46" t="str">
            <v>PUENTE ARANDA</v>
          </cell>
          <cell r="D46" t="str">
            <v>PRIVADO</v>
          </cell>
          <cell r="E46" t="str">
            <v>EPBM</v>
          </cell>
          <cell r="F46" t="str">
            <v>LICEO_ROMULO_GALLEGOS</v>
          </cell>
          <cell r="G46" t="str">
            <v>LICEO ROMULO GALLEGOS</v>
          </cell>
          <cell r="H46" t="str">
            <v>Autoevaluación Institucional y Pruebas SABER 11</v>
          </cell>
          <cell r="I46" t="str">
            <v>EVALUACIÓN_CON_FINES_DE_MEJORAMIENTO.</v>
          </cell>
          <cell r="J46" t="str">
            <v>Revisar la actualización, socialización e implementación del Sistema Institucional de Evaluación de Estudiantes - SIEE, en articulación con la actualización del PEI y la normatividad vigente.</v>
          </cell>
          <cell r="K46" t="str">
            <v>ALBERTO ESCARRAGA PEÑUELA</v>
          </cell>
          <cell r="L46" t="str">
            <v>OSCAR GERMAN CLAVIJO PALACIOS</v>
          </cell>
          <cell r="M46">
            <v>45786</v>
          </cell>
          <cell r="N46">
            <v>45804</v>
          </cell>
          <cell r="O46">
            <v>45804</v>
          </cell>
          <cell r="P46" t="str">
            <v>Visitas de evaluación con fines de mejoramiento</v>
          </cell>
          <cell r="Q46" t="str">
            <v>20250527visitaAdministrativaRomuloGallegos.pdf</v>
          </cell>
          <cell r="R46" t="str">
            <v xml:space="preserve">Se encontró que el plan de mejoramiento contemplado en el SIE, para los estudiantes no está firmado por el docente y el padre de familia o acudiente </v>
          </cell>
          <cell r="S46" t="str">
            <v>Elaborar un plan de mejoramiento y comunicarlo a ELIV el 20  de junio de 2025</v>
          </cell>
          <cell r="T46" t="str">
            <v>SI</v>
          </cell>
          <cell r="U46" t="str">
            <v>Revisión del plan de mejoramiento el 06/07/2025.</v>
          </cell>
        </row>
        <row r="47">
          <cell r="A47">
            <v>1375</v>
          </cell>
          <cell r="B47">
            <v>7</v>
          </cell>
          <cell r="C47" t="str">
            <v>PUENTE ARANDA</v>
          </cell>
          <cell r="D47" t="str">
            <v>PRIVADO</v>
          </cell>
          <cell r="E47" t="str">
            <v>EPBM</v>
          </cell>
          <cell r="F47" t="str">
            <v>LICEO_ROMULO_GALLEGOS</v>
          </cell>
          <cell r="G47" t="str">
            <v>LICEO ROMULO GALLEGOS</v>
          </cell>
          <cell r="H47" t="str">
            <v>Autoevaluación Institucional y Pruebas SABER 11</v>
          </cell>
          <cell r="I47" t="str">
            <v>EVALUACIÓN_CON_FINES_DE_MEJORAMIENTO.</v>
          </cell>
          <cell r="J47" t="str">
            <v>Revisar el calendario escolar, jornada escolar, la intensidad horaria mínima anual en cada nivel y las modificaciones que se realicen al mismo, de acuerdo con lo previsto en la normatividad vigente.</v>
          </cell>
          <cell r="K47" t="str">
            <v>ALBERTO ESCARRAGA PEÑUELA</v>
          </cell>
          <cell r="L47" t="str">
            <v>OSCAR GERMAN CLAVIJO PALACIOS</v>
          </cell>
          <cell r="M47">
            <v>45786</v>
          </cell>
          <cell r="N47">
            <v>45804</v>
          </cell>
          <cell r="O47">
            <v>45804</v>
          </cell>
          <cell r="P47" t="str">
            <v>Visitas de evaluación con fines de mejoramiento</v>
          </cell>
          <cell r="Q47" t="str">
            <v>20250527visitaAdministrativaRomuloGallegos.pdf</v>
          </cell>
          <cell r="R47" t="str">
            <v>Se encontró que la institución cuenta con estructura administrativa, condiciones de la planta física y medios educativos adecuados, con debilidades a mejorar.</v>
          </cell>
          <cell r="S47" t="str">
            <v>Elaborar un plan de mejoramiento y comunicarlo a ELIV el 20  de junio de 2025</v>
          </cell>
          <cell r="T47" t="str">
            <v>SI</v>
          </cell>
          <cell r="U47" t="str">
            <v>Revisión del plan de mejoramiento el 06/07/2025.</v>
          </cell>
        </row>
        <row r="48">
          <cell r="A48">
            <v>1376</v>
          </cell>
          <cell r="B48">
            <v>7</v>
          </cell>
          <cell r="C48" t="str">
            <v>PUENTE ARANDA</v>
          </cell>
          <cell r="D48" t="str">
            <v>PRIVADO</v>
          </cell>
          <cell r="E48" t="str">
            <v>EPBM</v>
          </cell>
          <cell r="F48" t="str">
            <v>LICEO_ROMULO_GALLEGOS</v>
          </cell>
          <cell r="G48" t="str">
            <v>LICEO ROMULO GALLEGOS</v>
          </cell>
          <cell r="H48" t="str">
            <v>Autoevaluación Institucional y Pruebas SABER 11</v>
          </cell>
          <cell r="I48" t="str">
            <v>EVALUACIÓN_CON_FINES_DE_MEJORAMIENTO.</v>
          </cell>
          <cell r="J48" t="str">
            <v>Verificar el funcionamiento del Gobierno Escolar e instancias de participación con base en la información sobre conformación reportada por la institución educativa.</v>
          </cell>
          <cell r="K48" t="str">
            <v>ALBERTO ESCARRAGA PEÑUELA</v>
          </cell>
          <cell r="L48" t="str">
            <v>OSCAR GERMAN CLAVIJO PALACIOS</v>
          </cell>
          <cell r="M48">
            <v>45786</v>
          </cell>
          <cell r="N48">
            <v>45804</v>
          </cell>
          <cell r="O48">
            <v>45804</v>
          </cell>
          <cell r="P48" t="str">
            <v>Visitas de evaluación con fines de mejoramiento</v>
          </cell>
          <cell r="Q48" t="str">
            <v>20250527visitaAdministrativaRomuloGallegos.pdf</v>
          </cell>
          <cell r="R48" t="str">
            <v xml:space="preserve">Se encontró que la institución no adelantó el proceso de cargue de las actas de elección de los estamentos del gobierno escolar en el aplicativo SAE, así mismo algunas actas de reuniones de los estamentos del gobierno escolar están sin firmar </v>
          </cell>
          <cell r="S48" t="str">
            <v>Elaborar un plan de mejoramiento y comunicarlo a ELIV el 20  de junio de 2025</v>
          </cell>
          <cell r="T48" t="str">
            <v>SI</v>
          </cell>
          <cell r="U48" t="str">
            <v>Revisión del plan de mejoramiento el 06/07/2025.</v>
          </cell>
        </row>
        <row r="49">
          <cell r="A49">
            <v>1377</v>
          </cell>
          <cell r="B49">
            <v>7</v>
          </cell>
          <cell r="C49" t="str">
            <v>PUENTE ARANDA</v>
          </cell>
          <cell r="D49" t="str">
            <v>PRIVADO</v>
          </cell>
          <cell r="E49" t="str">
            <v>EPBM</v>
          </cell>
          <cell r="F49" t="str">
            <v>LICEO_ROMULO_GALLEGOS</v>
          </cell>
          <cell r="G49" t="str">
            <v>LICEO ROMULO GALLEGOS</v>
          </cell>
          <cell r="H49" t="str">
            <v>Autoevaluación Institucional y Pruebas SABER 11</v>
          </cell>
          <cell r="I49" t="str">
            <v>EVALUACIÓN_CON_FINES_DE_MEJORAMIENTO.</v>
          </cell>
          <cell r="J49" t="str">
            <v>Verificar las condiciones en cuanto a: la estructura administrativa, condiciones de la planta física y medios educativos adecuados.</v>
          </cell>
          <cell r="K49" t="str">
            <v>ALBERTO ESCARRAGA PEÑUELA</v>
          </cell>
          <cell r="L49" t="str">
            <v>OSCAR GERMAN CLAVIJO PALACIOS</v>
          </cell>
          <cell r="M49">
            <v>45786</v>
          </cell>
          <cell r="N49">
            <v>45804</v>
          </cell>
          <cell r="O49">
            <v>45804</v>
          </cell>
          <cell r="P49" t="str">
            <v>Visitas de evaluación con fines de mejoramiento</v>
          </cell>
          <cell r="Q49" t="str">
            <v>20250527visitaAdministrativaRomuloGallegos.pdf</v>
          </cell>
          <cell r="R49" t="str">
            <v>Se encontró que el plan escolar de gestión del riesgo esta por del 80%</v>
          </cell>
          <cell r="S49" t="str">
            <v>Elaborar un plan de mejoramiento y comunicarlo a ELIV el 20  de junio de 2025</v>
          </cell>
          <cell r="T49" t="str">
            <v>SI</v>
          </cell>
          <cell r="U49" t="str">
            <v>Revisión del plan de mejoramiento el 06/07/2025.</v>
          </cell>
        </row>
        <row r="50">
          <cell r="A50">
            <v>1378</v>
          </cell>
          <cell r="B50">
            <v>8</v>
          </cell>
          <cell r="C50" t="str">
            <v>PUENTE ARANDA</v>
          </cell>
          <cell r="D50" t="str">
            <v>PRIVADO</v>
          </cell>
          <cell r="E50" t="str">
            <v>EPBM</v>
          </cell>
          <cell r="F50" t="str">
            <v>LICEO_COQUIBACOA</v>
          </cell>
          <cell r="G50" t="str">
            <v>LICEO_COQUIBACOA</v>
          </cell>
          <cell r="H50" t="str">
            <v>Autoevaluación Institucional y Pruebas SABER 11</v>
          </cell>
          <cell r="I50" t="str">
            <v>SEGUIMIENTO_Y_SUPERVISIÓN.</v>
          </cell>
          <cell r="J50" t="str">
            <v xml:space="preserve">Verificar la implementación por parte de los colegios, de acciones realizadas para la prevención y atención de las situaciones de convivencia en el entorno escolar, según lo establecido en la Directiva 01 de 2022 del MEN. </v>
          </cell>
          <cell r="K50" t="str">
            <v>CRISTIAN CAMILO LÓPEZ VELANDIA</v>
          </cell>
          <cell r="L50" t="str">
            <v>OSCAR GERMAN CLAVIJO PALACIOS</v>
          </cell>
          <cell r="M50">
            <v>45789</v>
          </cell>
          <cell r="N50">
            <v>45776</v>
          </cell>
          <cell r="O50">
            <v>45776</v>
          </cell>
          <cell r="P50" t="str">
            <v>Visitas de evaluación con fines de mejoramiento</v>
          </cell>
          <cell r="Q50" t="str">
            <v>20250429_F visitas mejoramiento_LC v2.pdf</v>
          </cell>
          <cell r="R50" t="str">
            <v>No se presentan certificados de revisión de inhabilidades del cuerpo docente y administrativo. No cuenta con servicio de orientación.</v>
          </cell>
          <cell r="S50" t="str">
            <v>Completar la carpeta docente con la revisión de inhabilidades. Generar la contratación del servicio de orientación. Establecer acciones de mejora e incorporar al plan de mejoramiento a reportar el 16/05/2025.</v>
          </cell>
          <cell r="T50" t="str">
            <v>Si</v>
          </cell>
          <cell r="U50" t="str">
            <v>Revisión del plan de mejora, contemplada su entrega para el 16/05/2025.</v>
          </cell>
        </row>
        <row r="51">
          <cell r="A51">
            <v>1379</v>
          </cell>
          <cell r="B51">
            <v>8</v>
          </cell>
          <cell r="C51" t="str">
            <v>PUENTE ARANDA</v>
          </cell>
          <cell r="D51" t="str">
            <v>PRIVADO</v>
          </cell>
          <cell r="E51" t="str">
            <v>EPBM</v>
          </cell>
          <cell r="F51" t="str">
            <v>LICEO_COQUIBACOA</v>
          </cell>
          <cell r="G51" t="str">
            <v>LICEO_COQUIBACOA</v>
          </cell>
          <cell r="H51" t="str">
            <v>Autoevaluación Institucional y Pruebas SABER 11</v>
          </cell>
          <cell r="I51" t="str">
            <v>EVALUACIÓN_CON_FINES_DE_MEJORAMIENTO.</v>
          </cell>
          <cell r="J51" t="str">
            <v>Revisar el calendario escolar, jornada escolar, la intensidad horaria mínima anual en cada nivel y las modificaciones que se realicen al mismo, de acuerdo con lo previsto en la normatividad vigente.</v>
          </cell>
          <cell r="K51" t="str">
            <v>CRISTIAN CAMILO LÓPEZ VELANDIA</v>
          </cell>
          <cell r="L51" t="str">
            <v>OSCAR GERMAN CLAVIJO PALACIOS</v>
          </cell>
          <cell r="M51">
            <v>45789</v>
          </cell>
          <cell r="N51">
            <v>45776</v>
          </cell>
          <cell r="O51" t="str">
            <v>29/04/2025</v>
          </cell>
          <cell r="P51" t="str">
            <v>Visitas de evaluación con fines de mejoramiento</v>
          </cell>
          <cell r="Q51" t="str">
            <v>20250429_F visitas mejoramiento_LC v2.pdf</v>
          </cell>
          <cell r="R51" t="str">
            <v>Presenta cargue de documentos en la plataforma planteada por la DIV</v>
          </cell>
          <cell r="S51" t="str">
            <v>Cumple con la intensidad de horas académicas mínimas</v>
          </cell>
          <cell r="T51" t="str">
            <v>No</v>
          </cell>
          <cell r="U51" t="str">
            <v>En caso de presentarse PQR se procederá a realizar su respectiva revisión.</v>
          </cell>
        </row>
        <row r="52">
          <cell r="A52">
            <v>1380</v>
          </cell>
          <cell r="B52">
            <v>8</v>
          </cell>
          <cell r="C52" t="str">
            <v>PUENTE ARANDA</v>
          </cell>
          <cell r="D52" t="str">
            <v>PRIVADO</v>
          </cell>
          <cell r="E52" t="str">
            <v>EPBM</v>
          </cell>
          <cell r="F52" t="str">
            <v>LICEO_COQUIBACOA</v>
          </cell>
          <cell r="G52" t="str">
            <v>LICEO_COQUIBACOA</v>
          </cell>
          <cell r="H52" t="str">
            <v>Autoevaluación Institucional y Pruebas SABER 11</v>
          </cell>
          <cell r="I52" t="str">
            <v>EVALUACIÓN_CON_FINES_DE_MEJORAMIENTO.</v>
          </cell>
          <cell r="J52" t="str">
            <v>Verificar el funcionamiento del Gobierno Escolar e instancias de participación con base en la información sobre conformación reportada por la institución educativa.</v>
          </cell>
          <cell r="K52" t="str">
            <v>CRISTIAN CAMILO LÓPEZ VELANDIA</v>
          </cell>
          <cell r="L52" t="str">
            <v>OSCAR GERMAN CLAVIJO PALACIOS</v>
          </cell>
          <cell r="M52">
            <v>45789</v>
          </cell>
          <cell r="N52">
            <v>45776</v>
          </cell>
          <cell r="O52" t="str">
            <v>29/04/2025</v>
          </cell>
          <cell r="P52" t="str">
            <v>Visitas de evaluación con fines de mejoramiento</v>
          </cell>
          <cell r="Q52" t="str">
            <v>20250429_F visitas mejoramiento_LC v2.pdf</v>
          </cell>
          <cell r="R52" t="str">
            <v>No se ha desarrollado el cargue de la información en la plataforma SAE, no se evidencian actas de conformación y operación del gobierno escolar</v>
          </cell>
          <cell r="S52" t="str">
            <v>Se debe realizar de manera prioritaria la conformación del gobierno escolar. Así mismo, generar las actas de cada una de las instancias del gobierno. Establecer acciones de mejora e incorporar al plan de mejoramiento a reportar el 16/05/2025.</v>
          </cell>
          <cell r="T52" t="str">
            <v>Si</v>
          </cell>
          <cell r="U52" t="str">
            <v>Revisión del plan de mejora, contemplada su entrega para el 16/05/2025.</v>
          </cell>
        </row>
        <row r="53">
          <cell r="A53">
            <v>1381</v>
          </cell>
          <cell r="B53">
            <v>8</v>
          </cell>
          <cell r="C53" t="str">
            <v>PUENTE ARANDA</v>
          </cell>
          <cell r="D53" t="str">
            <v>PRIVADO</v>
          </cell>
          <cell r="E53" t="str">
            <v>EPBM</v>
          </cell>
          <cell r="F53" t="str">
            <v>LICEO_COQUIBACOA</v>
          </cell>
          <cell r="G53" t="str">
            <v>LICEO_COQUIBACOA</v>
          </cell>
          <cell r="H53" t="str">
            <v>Autoevaluación Institucional y Pruebas SABER 11</v>
          </cell>
          <cell r="I53" t="str">
            <v>EVALUACIÓN_CON_FINES_DE_MEJORAMIENTO.</v>
          </cell>
          <cell r="J53" t="str">
            <v>Verificar las condiciones en cuanto a: la estructura administrativa, condiciones de la planta física y medios educativos adecuados.</v>
          </cell>
          <cell r="K53" t="str">
            <v>CRISTIAN CAMILO LÓPEZ VELANDIA</v>
          </cell>
          <cell r="L53" t="str">
            <v>OSCAR GERMAN CLAVIJO PALACIOS</v>
          </cell>
          <cell r="M53">
            <v>45789</v>
          </cell>
          <cell r="N53">
            <v>45776</v>
          </cell>
          <cell r="O53">
            <v>45776</v>
          </cell>
          <cell r="P53" t="str">
            <v>Visitas de evaluación con fines de mejoramiento</v>
          </cell>
          <cell r="Q53" t="str">
            <v>20250429_F visitas mejoramiento_LC v2.pdf</v>
          </cell>
          <cell r="R53" t="str">
            <v>La planta física no tiene en cuenta a población con discapacidad, así mismo, no cuenta con convenios para el uso de parques alrededor de la institución. Se presenta un avance del PEGR-CC del 36,7%</v>
          </cell>
          <cell r="S53" t="str">
            <v>Plantear estrategias para la atención a población con alguna discapacidad, realizar reparaciones locativas, realizar convenio con IDRD y actualizar el PEGR-CC. Establecer acciones de mejora e incorporar al plan de mejoramiento a reportar el 16/05/2025.</v>
          </cell>
          <cell r="T53" t="str">
            <v>Si</v>
          </cell>
          <cell r="U53" t="str">
            <v>Revisión del plan de mejora, contemplada su entrega para el 16/05/2025.</v>
          </cell>
        </row>
        <row r="54">
          <cell r="A54">
            <v>1382</v>
          </cell>
          <cell r="B54">
            <v>9</v>
          </cell>
          <cell r="C54" t="str">
            <v>PUENTE ARANDA</v>
          </cell>
          <cell r="D54" t="str">
            <v>PRIVADO</v>
          </cell>
          <cell r="E54" t="str">
            <v>Educación de Jóvenes y Adultos</v>
          </cell>
          <cell r="F54" t="str">
            <v>INSTITUTO_CAMARGO_LEON</v>
          </cell>
          <cell r="G54" t="str">
            <v>INSTITUTO CAMARGO LEON</v>
          </cell>
          <cell r="H54" t="str">
            <v>Autoevaluación Institucional y Pruebas SABER 11</v>
          </cell>
          <cell r="I54" t="str">
            <v>SEGUIMIENTO_Y_SUPERVISIÓN.</v>
          </cell>
          <cell r="J54" t="str">
            <v>Realizar visitas para verificar la información registrada sobre la autoevaluación institucional en el aplicativo EVI, a los establecimientos de educación formal no oficial.</v>
          </cell>
          <cell r="K54" t="str">
            <v>ALBERTO ESCARRAGA PEÑUELA</v>
          </cell>
          <cell r="L54" t="str">
            <v>CRISTIAN CAMILO LÓPEZ VELANDIA</v>
          </cell>
          <cell r="M54">
            <v>45806</v>
          </cell>
          <cell r="N54">
            <v>45819</v>
          </cell>
          <cell r="O54">
            <v>45819</v>
          </cell>
          <cell r="P54" t="str">
            <v>Visitas de evaluación con fines de mejoramiento</v>
          </cell>
          <cell r="Q54" t="str">
            <v>20250611_F visitas mejoramiento_ICL v2.pdf</v>
          </cell>
          <cell r="R54" t="str">
            <v>No se evidencia estrategias para mitigar casos especiales de inasistencia y deserción estudiantil, las comisiones de evaluación y promoción no operan adecuadamente, no se evidencia la existencia de canales para el trámite de PQRS, no se realiza actualización anual del PEGR-CC</v>
          </cell>
          <cell r="S54" t="str">
            <v>Se debe diseñar estrategias para favorecer la retención de estudiantes, conformar y operativizar las comisiones de evaluación y promoción, diseñar procedimiento para la atención de PQRS, actualizar los PEGR según jornada de la IE</v>
          </cell>
          <cell r="T54" t="str">
            <v>Si</v>
          </cell>
          <cell r="U54" t="str">
            <v>Revisión del plan de mejora, contemplada su entrega para el 30/07/2025.</v>
          </cell>
        </row>
        <row r="55">
          <cell r="A55">
            <v>1383</v>
          </cell>
          <cell r="B55">
            <v>9</v>
          </cell>
          <cell r="C55" t="str">
            <v>PUENTE ARANDA</v>
          </cell>
          <cell r="D55" t="str">
            <v>PRIVADO</v>
          </cell>
          <cell r="E55" t="str">
            <v>Educación de Jóvenes y Adultos</v>
          </cell>
          <cell r="F55" t="str">
            <v>INSTITUTO_CAMARGO_LEON</v>
          </cell>
          <cell r="G55" t="str">
            <v>INSTITUTO CAMARGO LEON</v>
          </cell>
          <cell r="H55" t="str">
            <v>Autoevaluación Institucional y Pruebas SABER 11</v>
          </cell>
          <cell r="I55" t="str">
            <v>SEGUIMIENTO_Y_SUPERVISIÓN.</v>
          </cell>
          <cell r="J55" t="str">
            <v>Proponer estrategias en la formulación, verificar su elaboración y realizar seguimiento semestral al desarrollo de  las acciones establecidas en los planes de mejoramiento por pruebas SABER 11 de los establecimientos de educación formal.</v>
          </cell>
          <cell r="K55" t="str">
            <v>ALBERTO ESCARRAGA PEÑUELA</v>
          </cell>
          <cell r="L55" t="str">
            <v>CRISTIAN CAMILO LÓPEZ VELANDIA</v>
          </cell>
          <cell r="M55">
            <v>45806</v>
          </cell>
          <cell r="N55">
            <v>45819</v>
          </cell>
          <cell r="O55">
            <v>45819</v>
          </cell>
          <cell r="P55" t="str">
            <v>Visitas de evaluación con fines de mejoramiento</v>
          </cell>
          <cell r="Q55" t="str">
            <v>20250611_F visitas mejoramiento_ICL v2.pdf</v>
          </cell>
          <cell r="R55" t="str">
            <v>Desarrolló el análisis y plan de mejoramiento asociado a los resultados de las pruebas SABER 11</v>
          </cell>
          <cell r="S55" t="str">
            <v>Avalar las acciones de mejora planteadas por el consejo directivo, toda vez que las mismas únicamente fueron avaladas por el consejo académico</v>
          </cell>
          <cell r="T55" t="str">
            <v>Si</v>
          </cell>
          <cell r="U55" t="str">
            <v>Revisión del plan de mejora, contemplada su entrega para el 30/07/2025.</v>
          </cell>
        </row>
        <row r="56">
          <cell r="A56">
            <v>1384</v>
          </cell>
          <cell r="B56">
            <v>9</v>
          </cell>
          <cell r="C56" t="str">
            <v>PUENTE ARANDA</v>
          </cell>
          <cell r="D56" t="str">
            <v>PRIVADO</v>
          </cell>
          <cell r="E56" t="str">
            <v>Educación de Jóvenes y Adultos</v>
          </cell>
          <cell r="F56" t="str">
            <v>INSTITUTO_CAMARGO_LEON</v>
          </cell>
          <cell r="G56" t="str">
            <v>INSTITUTO CAMARGO LEON</v>
          </cell>
          <cell r="H56" t="str">
            <v>Autoevaluación Institucional y Pruebas SABER 11</v>
          </cell>
          <cell r="I56" t="str">
            <v>SEGUIMIENTO_Y_SUPERVISIÓN.</v>
          </cell>
          <cell r="J56" t="str">
            <v xml:space="preserve">Verificar la implementación por parte de los colegios, de acciones realizadas para la prevención y atención de las situaciones de convivencia en el entorno escolar, según lo establecido en la Directiva 01 de 2022 del MEN. </v>
          </cell>
          <cell r="K56" t="str">
            <v>ALBERTO ESCARRAGA PEÑUELA</v>
          </cell>
          <cell r="L56" t="str">
            <v>CRISTIAN CAMILO LÓPEZ VELANDIA</v>
          </cell>
          <cell r="M56">
            <v>45806</v>
          </cell>
          <cell r="N56">
            <v>45819</v>
          </cell>
          <cell r="O56">
            <v>45819</v>
          </cell>
          <cell r="P56" t="str">
            <v>Visitas de evaluación con fines de mejoramiento</v>
          </cell>
          <cell r="Q56" t="str">
            <v>20250611_F visitas mejoramiento_ICL v2.pdf</v>
          </cell>
          <cell r="R56" t="str">
            <v>Se reportan las situaciones de convivencia en el sistema de alertas y el comité de convivencia adelanta acciones de prevención y promoción. Adicionalmente, realiza la verificación de inhabilidades a docentes y directivos</v>
          </cell>
          <cell r="S56" t="str">
            <v>Continuar con el accionar institucional y el cumplimiento de la directiva 1/2022</v>
          </cell>
          <cell r="T56" t="str">
            <v>No</v>
          </cell>
          <cell r="U56" t="str">
            <v>En caso de presentarse PQR se procederá a realizar su respectiva verificación</v>
          </cell>
        </row>
        <row r="57">
          <cell r="A57">
            <v>1385</v>
          </cell>
          <cell r="B57">
            <v>9</v>
          </cell>
          <cell r="C57" t="str">
            <v>PUENTE ARANDA</v>
          </cell>
          <cell r="D57" t="str">
            <v>PRIVADO</v>
          </cell>
          <cell r="E57" t="str">
            <v>Educación de Jóvenes y Adultos</v>
          </cell>
          <cell r="F57" t="str">
            <v>INSTITUTO_CAMARGO_LEON</v>
          </cell>
          <cell r="G57" t="str">
            <v>INSTITUTO CAMARGO LEON</v>
          </cell>
          <cell r="H57" t="str">
            <v>Autoevaluación Institucional y Pruebas SABER 11</v>
          </cell>
          <cell r="I57" t="str">
            <v>SEGUIMIENTO_Y_SUPERVISIÓN.</v>
          </cell>
          <cell r="J5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7" t="str">
            <v>ALBERTO ESCARRAGA PEÑUELA</v>
          </cell>
          <cell r="L57" t="str">
            <v>CRISTIAN CAMILO LÓPEZ VELANDIA</v>
          </cell>
          <cell r="M57">
            <v>45806</v>
          </cell>
          <cell r="N57">
            <v>45819</v>
          </cell>
          <cell r="O57">
            <v>45819</v>
          </cell>
          <cell r="P57" t="str">
            <v>Visitas de evaluación con fines de mejoramiento</v>
          </cell>
          <cell r="Q57" t="str">
            <v>20250611_F visitas mejoramiento_ICL v2.pdf</v>
          </cell>
          <cell r="R57" t="str">
            <v>Cuenta con Planes individuales de ajustes razonables para los estudiantes con discapacidad</v>
          </cell>
          <cell r="S57" t="str">
            <v>Continuar con el diseño, ejecución y seguimiento de los PIAR</v>
          </cell>
          <cell r="T57" t="str">
            <v>No</v>
          </cell>
          <cell r="U57" t="str">
            <v>En caso de presentarse PQR se procederá a realizar su respectiva verificación</v>
          </cell>
        </row>
        <row r="58">
          <cell r="A58">
            <v>1386</v>
          </cell>
          <cell r="B58">
            <v>9</v>
          </cell>
          <cell r="C58" t="str">
            <v>PUENTE ARANDA</v>
          </cell>
          <cell r="D58" t="str">
            <v>PRIVADO</v>
          </cell>
          <cell r="E58" t="str">
            <v>Educación de Jóvenes y Adultos</v>
          </cell>
          <cell r="F58" t="str">
            <v>INSTITUTO_CAMARGO_LEON</v>
          </cell>
          <cell r="G58" t="str">
            <v>INSTITUTO CAMARGO LEON</v>
          </cell>
          <cell r="H58" t="str">
            <v>Autoevaluación Institucional y Pruebas SABER 11</v>
          </cell>
          <cell r="I58" t="str">
            <v>EVALUACIÓN_CON_FINES_DE_MEJORAMIENTO.</v>
          </cell>
          <cell r="J5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8" t="str">
            <v>ALBERTO ESCARRAGA PEÑUELA</v>
          </cell>
          <cell r="L58" t="str">
            <v>CRISTIAN CAMILO LÓPEZ VELANDIA</v>
          </cell>
          <cell r="M58">
            <v>45806</v>
          </cell>
          <cell r="N58">
            <v>45819</v>
          </cell>
          <cell r="O58">
            <v>45819</v>
          </cell>
          <cell r="P58" t="str">
            <v>Visitas de evaluación con fines de mejoramiento</v>
          </cell>
          <cell r="Q58" t="str">
            <v>20250611_F visitas mejoramiento_ICL v2.pdf</v>
          </cell>
          <cell r="R58" t="str">
            <v>El manual de convivencia fue construido y adoptado de forma participativa, sin embargo no contiene algunos elementos de ley tales como la valoración de la diversidad, el enfoque restaurativo y el derecho al debido proceso</v>
          </cell>
          <cell r="S58" t="str">
            <v>Actualizar el manual de convivencia teniendo en cuenta las orientaciones dadas por la SED respecto a la garantía de derechos y del debido proceso</v>
          </cell>
          <cell r="T58" t="str">
            <v>Si</v>
          </cell>
          <cell r="U58" t="str">
            <v>Revisión del plan de mejora, contemplada su entrega para el 30/07/2025.</v>
          </cell>
        </row>
        <row r="59">
          <cell r="A59">
            <v>1387</v>
          </cell>
          <cell r="B59">
            <v>9</v>
          </cell>
          <cell r="C59" t="str">
            <v>PUENTE ARANDA</v>
          </cell>
          <cell r="D59" t="str">
            <v>PRIVADO</v>
          </cell>
          <cell r="E59" t="str">
            <v>Educación de Jóvenes y Adultos</v>
          </cell>
          <cell r="F59" t="str">
            <v>INSTITUTO_CAMARGO_LEON</v>
          </cell>
          <cell r="G59" t="str">
            <v>INSTITUTO CAMARGO LEON</v>
          </cell>
          <cell r="H59" t="str">
            <v>Autoevaluación Institucional y Pruebas SABER 11</v>
          </cell>
          <cell r="I59" t="str">
            <v>EVALUACIÓN_CON_FINES_DE_MEJORAMIENTO.</v>
          </cell>
          <cell r="J59" t="str">
            <v>Revisar la actualización, socialización e implementación del Sistema Institucional de Evaluación de Estudiantes - SIEE, en articulación con la actualización del PEI y la normatividad vigente.</v>
          </cell>
          <cell r="K59" t="str">
            <v>ALBERTO ESCARRAGA PEÑUELA</v>
          </cell>
          <cell r="L59" t="str">
            <v>CRISTIAN CAMILO LÓPEZ VELANDIA</v>
          </cell>
          <cell r="M59">
            <v>45806</v>
          </cell>
          <cell r="N59">
            <v>45819</v>
          </cell>
          <cell r="O59">
            <v>45819</v>
          </cell>
          <cell r="P59" t="str">
            <v>Visitas de evaluación con fines de mejoramiento</v>
          </cell>
          <cell r="Q59" t="str">
            <v>20250611_F visitas mejoramiento_ICL v2.pdf</v>
          </cell>
          <cell r="R59" t="str">
            <v>Se evidencia la ejecución y registro de la información del SIEE, el cual cuenta con estrategias de apoyo para resolver situaciones en el aula y de nivelación y mejoramiento del aprendizaje de los estudiantes</v>
          </cell>
          <cell r="S59" t="str">
            <v>Se debe continuar con el proceso de revisión y actualización</v>
          </cell>
          <cell r="T59" t="str">
            <v>No</v>
          </cell>
          <cell r="U59" t="str">
            <v>En caso de presentarse PQR se procederá a realizar su respectiva revisión.</v>
          </cell>
        </row>
        <row r="60">
          <cell r="A60">
            <v>1388</v>
          </cell>
          <cell r="B60">
            <v>9</v>
          </cell>
          <cell r="C60" t="str">
            <v>PUENTE ARANDA</v>
          </cell>
          <cell r="D60" t="str">
            <v>PRIVADO</v>
          </cell>
          <cell r="E60" t="str">
            <v>Educación de Jóvenes y Adultos</v>
          </cell>
          <cell r="F60" t="str">
            <v>INSTITUTO_CAMARGO_LEON</v>
          </cell>
          <cell r="G60" t="str">
            <v>INSTITUTO CAMARGO LEON</v>
          </cell>
          <cell r="H60" t="str">
            <v>Autoevaluación Institucional y Pruebas SABER 11</v>
          </cell>
          <cell r="I60" t="str">
            <v>EVALUACIÓN_CON_FINES_DE_MEJORAMIENTO.</v>
          </cell>
          <cell r="J60" t="str">
            <v>Revisar el calendario escolar, jornada escolar, la intensidad horaria mínima anual en cada nivel y las modificaciones que se realicen al mismo, de acuerdo con lo previsto en la normatividad vigente.</v>
          </cell>
          <cell r="K60" t="str">
            <v>ALBERTO ESCARRAGA PEÑUELA</v>
          </cell>
          <cell r="L60" t="str">
            <v>CRISTIAN CAMILO LÓPEZ VELANDIA</v>
          </cell>
          <cell r="M60">
            <v>45806</v>
          </cell>
          <cell r="N60">
            <v>45819</v>
          </cell>
          <cell r="O60">
            <v>45819</v>
          </cell>
          <cell r="P60" t="str">
            <v>Visitas de evaluación con fines de mejoramiento</v>
          </cell>
          <cell r="Q60" t="str">
            <v>20250611_F visitas mejoramiento_ICL v2.pdf</v>
          </cell>
          <cell r="R60" t="str">
            <v>La institución no realizó el cargue o radicación ante la DLE del calendario escolar.</v>
          </cell>
          <cell r="S60" t="str">
            <v>Se debe realizar la radicación al DLE del calendario escolar con la finalidad de hacer evidente la garantía del cumplimiento de la intensidad horaria mínima anual</v>
          </cell>
          <cell r="T60" t="str">
            <v>Si</v>
          </cell>
          <cell r="U60" t="str">
            <v>Revisión del plan de mejora, contemplada su entrega para el 30/07/2025.</v>
          </cell>
        </row>
        <row r="61">
          <cell r="A61">
            <v>1389</v>
          </cell>
          <cell r="B61">
            <v>9</v>
          </cell>
          <cell r="C61" t="str">
            <v>PUENTE ARANDA</v>
          </cell>
          <cell r="D61" t="str">
            <v>PRIVADO</v>
          </cell>
          <cell r="E61" t="str">
            <v>Educación de Jóvenes y Adultos</v>
          </cell>
          <cell r="F61" t="str">
            <v>INSTITUTO_CAMARGO_LEON</v>
          </cell>
          <cell r="G61" t="str">
            <v>INSTITUTO CAMARGO LEON</v>
          </cell>
          <cell r="H61" t="str">
            <v>Autoevaluación Institucional y Pruebas SABER 11</v>
          </cell>
          <cell r="I61" t="str">
            <v>EVALUACIÓN_CON_FINES_DE_MEJORAMIENTO.</v>
          </cell>
          <cell r="J61" t="str">
            <v>Verificar el funcionamiento del Gobierno Escolar e instancias de participación con base en la información sobre conformación reportada por la institución educativa.</v>
          </cell>
          <cell r="K61" t="str">
            <v>ALBERTO ESCARRAGA PEÑUELA</v>
          </cell>
          <cell r="L61" t="str">
            <v>CRISTIAN CAMILO LÓPEZ VELANDIA</v>
          </cell>
          <cell r="M61">
            <v>45806</v>
          </cell>
          <cell r="N61">
            <v>45819</v>
          </cell>
          <cell r="O61">
            <v>45819</v>
          </cell>
          <cell r="P61" t="str">
            <v>Visitas de evaluación con fines de mejoramiento</v>
          </cell>
          <cell r="Q61" t="str">
            <v>20250611_F visitas mejoramiento_ICL v2.pdf</v>
          </cell>
          <cell r="R61" t="str">
            <v>El gobierno escolar se encuentra conformado y operando en la institución educativa</v>
          </cell>
          <cell r="S61" t="str">
            <v>Continuar con la operación del gobierno escolar haciendo evidente las reuniones a través de actas suscritas</v>
          </cell>
          <cell r="T61" t="str">
            <v>No</v>
          </cell>
          <cell r="U61" t="str">
            <v>En caso de presentarse PQR se procederá a realizar su respectiva revisión.</v>
          </cell>
        </row>
        <row r="62">
          <cell r="A62">
            <v>1390</v>
          </cell>
          <cell r="B62">
            <v>9</v>
          </cell>
          <cell r="C62" t="str">
            <v>PUENTE ARANDA</v>
          </cell>
          <cell r="D62" t="str">
            <v>PRIVADO</v>
          </cell>
          <cell r="E62" t="str">
            <v>Educación de Jóvenes y Adultos</v>
          </cell>
          <cell r="F62" t="str">
            <v>INSTITUTO_CAMARGO_LEON</v>
          </cell>
          <cell r="G62" t="str">
            <v>INSTITUTO CAMARGO LEON</v>
          </cell>
          <cell r="H62" t="str">
            <v>Autoevaluación Institucional y Pruebas SABER 11</v>
          </cell>
          <cell r="I62" t="str">
            <v>EVALUACIÓN_CON_FINES_DE_MEJORAMIENTO.</v>
          </cell>
          <cell r="J62" t="str">
            <v>Verificar las condiciones en cuanto a: la estructura administrativa, condiciones de la planta física y medios educativos adecuados.</v>
          </cell>
          <cell r="K62" t="str">
            <v>ALBERTO ESCARRAGA PEÑUELA</v>
          </cell>
          <cell r="L62" t="str">
            <v>CRISTIAN CAMILO LÓPEZ VELANDIA</v>
          </cell>
          <cell r="M62">
            <v>45806</v>
          </cell>
          <cell r="N62">
            <v>45819</v>
          </cell>
          <cell r="O62">
            <v>45819</v>
          </cell>
          <cell r="P62" t="str">
            <v>Visitas de evaluación con fines de mejoramiento</v>
          </cell>
          <cell r="Q62" t="str">
            <v>20250611_F visitas mejoramiento_ICL v2.pdf</v>
          </cell>
          <cell r="R62" t="str">
            <v>Cuenta con espacios y dotación suficientes para la atención de la población estudiantil, docente y administrativa</v>
          </cell>
          <cell r="S62" t="str">
            <v>Continuar con el accionar institucional y el mantenimiento a la planta física y a la dotación para la atención del proceso educativo</v>
          </cell>
          <cell r="T62" t="str">
            <v>No</v>
          </cell>
          <cell r="U62" t="str">
            <v>En caso de presentarse PQR se procederá a realizar su respectiva revisión.</v>
          </cell>
        </row>
        <row r="63">
          <cell r="A63">
            <v>1391</v>
          </cell>
          <cell r="B63">
            <v>10</v>
          </cell>
          <cell r="C63" t="str">
            <v>PUENTE ARANDA</v>
          </cell>
          <cell r="D63" t="str">
            <v>PRIVADO</v>
          </cell>
          <cell r="E63" t="str">
            <v>Educación Inicial</v>
          </cell>
          <cell r="F63" t="str">
            <v>JARDÍN INFANTIL ANGELES TRAVIESOS</v>
          </cell>
          <cell r="G63" t="str">
            <v>JARDÍN INFANTIL ANGELES TRAVIESOS</v>
          </cell>
          <cell r="H63" t="str">
            <v>Convivencia escolar</v>
          </cell>
          <cell r="I63" t="str">
            <v>SEGUIMIENTO_Y_SUPERVISIÓN.</v>
          </cell>
          <cell r="J63" t="str">
            <v xml:space="preserve">Verificar la implementación por parte de los colegios, de acciones realizadas para la prevención y atención de las situaciones de convivencia en el entorno escolar, según lo establecido en la Directiva 01 de 2022 del MEN. </v>
          </cell>
          <cell r="K63" t="str">
            <v>OSCAR CLAVIJO</v>
          </cell>
          <cell r="L63" t="str">
            <v>IGNACIO MONTENEGRO</v>
          </cell>
          <cell r="M63">
            <v>45807</v>
          </cell>
          <cell r="N63">
            <v>45807</v>
          </cell>
          <cell r="O63">
            <v>45807</v>
          </cell>
          <cell r="P63" t="str">
            <v>Visitas de evaluación con fines de mejoramiento</v>
          </cell>
          <cell r="Q63" t="str">
            <v>Acta Final Visita AngelesTraviesos.pdf</v>
          </cell>
          <cell r="R63" t="str">
            <v>El Colegio realiza actividades de prevención y al verificar la carpeta de hoja de vida del personal se encontró el certificado de antecedentes penales</v>
          </cell>
          <cell r="S63" t="str">
            <v xml:space="preserve">El Colegio debe realizar dicha verificación cada 4 meses </v>
          </cell>
          <cell r="T63" t="str">
            <v>SI</v>
          </cell>
          <cell r="U63" t="str">
            <v>Revisar el plan de mejoramiento que presentará el Colegio antes del 20 de junio de 2025 y los avances el 31 de octubre del mismo año y 30 de mayo de 2026. A la fecha no lo ha presentado a pesar de los requerimientos S-2025-249166 y S-2025-359932</v>
          </cell>
        </row>
        <row r="64">
          <cell r="A64">
            <v>1392</v>
          </cell>
          <cell r="B64">
            <v>10</v>
          </cell>
          <cell r="C64" t="str">
            <v>PUENTE ARANDA</v>
          </cell>
          <cell r="D64" t="str">
            <v>PRIVADO</v>
          </cell>
          <cell r="E64" t="str">
            <v>Educación Inicial</v>
          </cell>
          <cell r="F64" t="str">
            <v>JARDÍN INFANTIL ANGELES TRAVIESOS</v>
          </cell>
          <cell r="G64" t="str">
            <v>JARDÍN INFANTIL ANGELES TRAVIESOS</v>
          </cell>
          <cell r="H64" t="str">
            <v>Convivencia escolar</v>
          </cell>
          <cell r="I64" t="str">
            <v>SEGUIMIENTO_Y_SUPERVISIÓN.</v>
          </cell>
          <cell r="J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4" t="str">
            <v>OSCAR CLAVIJO</v>
          </cell>
          <cell r="L64" t="str">
            <v>IGNACIO MONTENEGRO</v>
          </cell>
          <cell r="M64">
            <v>45807</v>
          </cell>
          <cell r="N64">
            <v>45807</v>
          </cell>
          <cell r="O64">
            <v>45807</v>
          </cell>
          <cell r="P64" t="str">
            <v>Visitas de evaluación con fines de mejoramiento</v>
          </cell>
          <cell r="Q64" t="str">
            <v>Acta Final Visita AngelesTraviesos.pdf</v>
          </cell>
          <cell r="R64" t="str">
            <v xml:space="preserve">No cuenta con estudiantes con discapacidad. Además,  por su estructura de planta física le es imposible atender niños con discapacidad física </v>
          </cell>
          <cell r="S64" t="str">
            <v>Se le recuerda al Colegio que en cumplimiento del Decreto 1421 de 2017 deben garantizar la atención de los niños y niñas en condición de discapacidad</v>
          </cell>
          <cell r="T64" t="str">
            <v>SI</v>
          </cell>
          <cell r="U64" t="str">
            <v>Revisar el plan de mejoramiento que presentará el Colegio antes del 20 de junio de 2025 y los avances el 31 de octubre del mismo año y 30 de mayo de 2026. A la fecha no lo ha presentado a pesar de los requerimientos S-2025-249166 y S-2025-359932</v>
          </cell>
        </row>
        <row r="65">
          <cell r="A65">
            <v>1393</v>
          </cell>
          <cell r="B65">
            <v>10</v>
          </cell>
          <cell r="C65" t="str">
            <v>PUENTE ARANDA</v>
          </cell>
          <cell r="D65" t="str">
            <v>PRIVADO</v>
          </cell>
          <cell r="E65" t="str">
            <v>Educación Inicial</v>
          </cell>
          <cell r="F65" t="str">
            <v>JARDÍN INFANTIL ANGELES TRAVIESOS</v>
          </cell>
          <cell r="G65" t="str">
            <v>JARDÍN INFANTIL ANGELES TRAVIESOS</v>
          </cell>
          <cell r="H65" t="str">
            <v>Convivencia escolar</v>
          </cell>
          <cell r="I65" t="str">
            <v>EVALUACIÓN_CON_FINES_DE_MEJORAMIENTO.</v>
          </cell>
          <cell r="J6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5" t="str">
            <v>OSCAR CLAVIJO</v>
          </cell>
          <cell r="L65" t="str">
            <v>IGNACIO MONTENEGRO</v>
          </cell>
          <cell r="M65">
            <v>45807</v>
          </cell>
          <cell r="N65">
            <v>45807</v>
          </cell>
          <cell r="O65">
            <v>45807</v>
          </cell>
          <cell r="P65" t="str">
            <v>Visitas de evaluación con fines de mejoramiento</v>
          </cell>
          <cell r="Q65" t="str">
            <v>Acta Final Visita AngelesTraviesos.pdf</v>
          </cell>
          <cell r="R65" t="str">
            <v xml:space="preserve">Cuenta con manual de convivencia, carece de su adopción por parte del Consejo Directivo. Se omite incluir temas de diversidad, procedimientos para resolver conflictos y medios de comunicación a utilizar. Por la edad de los menores, se deben implementar medidas pedagógicas, más no sancionatorias.  </v>
          </cell>
          <cell r="S65" t="str">
            <v>El colegio deberá ajustar su manual de convivencia con respecto a las temáticas encontradas. Además, de socializarlo con la comunidad educativa para la aprobación ante el Consejo Directivo.</v>
          </cell>
          <cell r="T65" t="str">
            <v>SI</v>
          </cell>
          <cell r="U65" t="str">
            <v>Revisar el plan de mejoramiento que presentará el Colegio antes del 20 de junio de 2025 y los avances el 31 de octubre del mismo año y 30 de mayo de 2026.  A la fecha no lo ha presentado a pesar de los requerimientos S-2025-249166 y S-2025-359932</v>
          </cell>
        </row>
        <row r="66">
          <cell r="A66">
            <v>1394</v>
          </cell>
          <cell r="B66">
            <v>10</v>
          </cell>
          <cell r="C66" t="str">
            <v>PUENTE ARANDA</v>
          </cell>
          <cell r="D66" t="str">
            <v>PRIVADO</v>
          </cell>
          <cell r="E66" t="str">
            <v>Educación Inicial</v>
          </cell>
          <cell r="F66" t="str">
            <v>JARDÍN INFANTIL ANGELES TRAVIESOS</v>
          </cell>
          <cell r="G66" t="str">
            <v>JARDÍN INFANTIL ANGELES TRAVIESOS</v>
          </cell>
          <cell r="H66" t="str">
            <v>Convivencia escolar</v>
          </cell>
          <cell r="I66" t="str">
            <v>EVALUACIÓN_CON_FINES_DE_MEJORAMIENTO.</v>
          </cell>
          <cell r="J66" t="str">
            <v>Revisar la actualización, socialización e implementación del Sistema Institucional de Evaluación de Estudiantes - SIEE, en articulación con la actualización del PEI y la normatividad vigente.</v>
          </cell>
          <cell r="K66" t="str">
            <v>OSCAR CLAVIJO</v>
          </cell>
          <cell r="L66" t="str">
            <v>IGNACIO MONTENEGRO</v>
          </cell>
          <cell r="M66">
            <v>45807</v>
          </cell>
          <cell r="N66">
            <v>45807</v>
          </cell>
          <cell r="O66">
            <v>45807</v>
          </cell>
          <cell r="P66" t="str">
            <v>Visitas de evaluación con fines de mejoramiento</v>
          </cell>
          <cell r="Q66" t="str">
            <v>Acta Final Visita AngelesTraviesos.pdf</v>
          </cell>
          <cell r="R66" t="str">
            <v>El SIEE se encuentra incluido en el Manual de convivencia, página 12; además, en el documento denominado "Sistema Institucional de Evaluación"</v>
          </cell>
          <cell r="S66" t="str">
            <v xml:space="preserve">El colegio debe ajustar el SIEE con respecto al tema de la no promoción de los grados de preescolar, por cuanto no puede haber reprobación. Ajustar el procedimiento, dado que no hay promoción de asignaturas. Se deben crear estrategias de apoyo para resolver situaciones pedagógicas de los estudiantes </v>
          </cell>
          <cell r="T66" t="str">
            <v>SI</v>
          </cell>
          <cell r="U66" t="str">
            <v>Revisar el plan de mejoramiento que presentará el Colegio antes del 20 de junio de 2025 y los avances el 31 de octubre del mismo año y 30 de mayo de 2026.  A la fecha no lo ha presentado a pesar de los requerimientos S-2025-249166 y S-2025-359932</v>
          </cell>
        </row>
        <row r="67">
          <cell r="A67">
            <v>1395</v>
          </cell>
          <cell r="B67">
            <v>10</v>
          </cell>
          <cell r="C67" t="str">
            <v>PUENTE ARANDA</v>
          </cell>
          <cell r="D67" t="str">
            <v>PRIVADO</v>
          </cell>
          <cell r="E67" t="str">
            <v>Educación Inicial</v>
          </cell>
          <cell r="F67" t="str">
            <v>JARDÍN INFANTIL ANGELES TRAVIESOS</v>
          </cell>
          <cell r="G67" t="str">
            <v>JARDÍN INFANTIL ANGELES TRAVIESOS</v>
          </cell>
          <cell r="H67" t="str">
            <v>Convivencia escolar</v>
          </cell>
          <cell r="I67" t="str">
            <v>EVALUACIÓN_CON_FINES_DE_MEJORAMIENTO.</v>
          </cell>
          <cell r="J67" t="str">
            <v>Revisar el calendario escolar, jornada escolar, la intensidad horaria mínima anual en cada nivel y las modificaciones que se realicen al mismo, de acuerdo con lo previsto en la normatividad vigente.</v>
          </cell>
          <cell r="K67" t="str">
            <v>OSCAR CLAVIJO</v>
          </cell>
          <cell r="L67" t="str">
            <v>IGNACIO MONTENEGRO</v>
          </cell>
          <cell r="M67">
            <v>45807</v>
          </cell>
          <cell r="N67">
            <v>45807</v>
          </cell>
          <cell r="O67">
            <v>45807</v>
          </cell>
          <cell r="P67" t="str">
            <v>Visitas de evaluación con fines de mejoramiento</v>
          </cell>
          <cell r="Q67" t="str">
            <v>Acta Final Visita AngelesTraviesos.pdf</v>
          </cell>
          <cell r="R67" t="str">
            <v xml:space="preserve">El colegio cumple con 37 semanas de trabajo académico, con 832.5 horas al año, cumpliendo con el número mínimo de horas exigidas para el nivel de preescolar  </v>
          </cell>
          <cell r="S67" t="str">
            <v>El colegio cumple con las horas académicas determinadas por la Ley en cada nivel educativo</v>
          </cell>
          <cell r="T67" t="str">
            <v>No</v>
          </cell>
          <cell r="U67" t="str">
            <v>Se hará revisión del calendario académico en la vigencia 2026</v>
          </cell>
        </row>
        <row r="68">
          <cell r="A68">
            <v>1396</v>
          </cell>
          <cell r="B68">
            <v>10</v>
          </cell>
          <cell r="C68" t="str">
            <v>PUENTE ARANDA</v>
          </cell>
          <cell r="D68" t="str">
            <v>PRIVADO</v>
          </cell>
          <cell r="E68" t="str">
            <v>Educación Inicial</v>
          </cell>
          <cell r="F68" t="str">
            <v>JARDÍN INFANTIL ANGELES TRAVIESOS</v>
          </cell>
          <cell r="G68" t="str">
            <v>JARDÍN INFANTIL ANGELES TRAVIESOS</v>
          </cell>
          <cell r="H68" t="str">
            <v>Convivencia escolar</v>
          </cell>
          <cell r="I68" t="str">
            <v>EVALUACIÓN_CON_FINES_DE_MEJORAMIENTO.</v>
          </cell>
          <cell r="J68" t="str">
            <v>Verificar el funcionamiento del Gobierno Escolar e instancias de participación con base en la información sobre conformación reportada por la institución educativa.</v>
          </cell>
          <cell r="K68" t="str">
            <v>OSCAR CLAVIJO</v>
          </cell>
          <cell r="L68" t="str">
            <v>IGNACIO MONTENEGRO</v>
          </cell>
          <cell r="M68">
            <v>45807</v>
          </cell>
          <cell r="N68">
            <v>45807</v>
          </cell>
          <cell r="O68">
            <v>45807</v>
          </cell>
          <cell r="P68" t="str">
            <v>Visitas de evaluación con fines de mejoramiento</v>
          </cell>
          <cell r="Q68" t="str">
            <v>Acta Final Visita AngelesTraviesos.pdf</v>
          </cell>
          <cell r="R68" t="str">
            <v xml:space="preserve">No se encontraron las actas SAE, sin embargo la directora afirma que organizó las instancias de participación </v>
          </cell>
          <cell r="S68" t="str">
            <v>El Colegio debe hacer la gestión pertinente para registrar la información en el SAE</v>
          </cell>
          <cell r="T68" t="str">
            <v>SI</v>
          </cell>
          <cell r="U68" t="str">
            <v>Revisar el plan de mejoramiento que presentará el Colegio antes del 20 de junio de 2025 y los avances el 31 de octubre del mismo año y 30 de mayo de 2026.  A la fecha no lo ha presentado a pesar de los requerimientos S-2025-249166 y S-2025-359932</v>
          </cell>
        </row>
        <row r="69">
          <cell r="A69">
            <v>1397</v>
          </cell>
          <cell r="B69">
            <v>10</v>
          </cell>
          <cell r="C69" t="str">
            <v>PUENTE ARANDA</v>
          </cell>
          <cell r="D69" t="str">
            <v>PRIVADO</v>
          </cell>
          <cell r="E69" t="str">
            <v>Educación Inicial</v>
          </cell>
          <cell r="F69" t="str">
            <v>JARDÍN INFANTIL ANGELES TRAVIESOS</v>
          </cell>
          <cell r="G69" t="str">
            <v>JARDÍN INFANTIL ANGELES TRAVIESOS</v>
          </cell>
          <cell r="H69" t="str">
            <v>Convivencia escolar</v>
          </cell>
          <cell r="I69" t="str">
            <v>EVALUACIÓN_CON_FINES_DE_MEJORAMIENTO.</v>
          </cell>
          <cell r="J69" t="str">
            <v>Verificar las condiciones en cuanto a: la estructura administrativa, condiciones de la planta física y medios educativos adecuados.</v>
          </cell>
          <cell r="K69" t="str">
            <v>OSCAR CLAVIJO</v>
          </cell>
          <cell r="L69" t="str">
            <v>IGNACIO MONTENEGRO</v>
          </cell>
          <cell r="M69">
            <v>45807</v>
          </cell>
          <cell r="N69">
            <v>45807</v>
          </cell>
          <cell r="O69">
            <v>45807</v>
          </cell>
          <cell r="P69" t="str">
            <v>Visitas de evaluación con fines de mejoramiento</v>
          </cell>
          <cell r="Q69" t="str">
            <v>Acta Final Visita AngelesTraviesos.pdf</v>
          </cell>
          <cell r="R69" t="str">
            <v>Los espacios son amplios y adecuados, sin embargo, el espacio del grado de prejardín requiere iluminación natural y ventilación cruzada</v>
          </cell>
          <cell r="S69" t="str">
            <v xml:space="preserve">El colegio debe buscar un espacio del grado de prejardín que garantice dichos aspectos </v>
          </cell>
          <cell r="T69" t="str">
            <v>SI</v>
          </cell>
          <cell r="U69" t="str">
            <v>Revisar el plan de mejoramiento que presentará el Colegio antes del 20 de junio de 2025 y los avances el 31 de octubre del mismo año y 30 de mayo de 2026.  A la fecha no lo ha presentado a pesar de los requerimientos S-2025-249166 y S-2025-359932</v>
          </cell>
        </row>
        <row r="70">
          <cell r="A70">
            <v>1398</v>
          </cell>
          <cell r="B70">
            <v>11</v>
          </cell>
          <cell r="C70" t="str">
            <v>PUENTE ARANDA</v>
          </cell>
          <cell r="D70" t="str">
            <v>PRIVADO</v>
          </cell>
          <cell r="E70" t="str">
            <v>Educación Inicial</v>
          </cell>
          <cell r="F70" t="str">
            <v>JARDIN_PSICOPEDAGOGICO_PALOMITOS_TRAVIESOS</v>
          </cell>
          <cell r="G70" t="str">
            <v>JARDIN PSICOPEDAGOGICO PALOMITOS TRAVIESOS</v>
          </cell>
          <cell r="H70" t="str">
            <v>Autoevaluación Institucional y Pruebas SABER 11</v>
          </cell>
          <cell r="I70" t="str">
            <v>SEGUIMIENTO_Y_SUPERVISIÓN.</v>
          </cell>
          <cell r="J70" t="str">
            <v>Realizar visitas para verificar la información registrada sobre la autoevaluación institucional en el aplicativo EVI, a los establecimientos de educación formal no oficial.</v>
          </cell>
          <cell r="K70" t="str">
            <v>IGNACIO ABDÓN MONTENEGRO ALDANA</v>
          </cell>
          <cell r="L70" t="str">
            <v>ALBERTO ESCARRAGA PEÑUELA</v>
          </cell>
          <cell r="M70">
            <v>45818</v>
          </cell>
          <cell r="N70" t="str">
            <v>23/07/2025</v>
          </cell>
          <cell r="O70" t="str">
            <v>23/07/2025</v>
          </cell>
          <cell r="P70" t="str">
            <v>Visitas de evaluación con fines de mejoramiento</v>
          </cell>
          <cell r="Q70" t="str">
            <v>25 07 23 acta visita PalomitosTraviesos.pdf</v>
          </cell>
          <cell r="R70" t="str">
            <v>Revisados de manera aleatoria algunos puntos de la evaluación institucional realizada en EVI, se evidenció correspondencia con la realidad evaluada. En planta física se observaron salones con déficit de ventilación cruzada e iluminación natural.</v>
          </cell>
          <cell r="S70" t="str">
            <v>Mejorar las condiciones de ventilación cruzada e iluminación de algunos salones.</v>
          </cell>
          <cell r="T70" t="str">
            <v>Si</v>
          </cell>
          <cell r="U70" t="str">
            <v>Verificación de la presentación del plan de mejoramiento el 23 de agosto de 2025 y sendos avances: el 20 de noviembre de 2025 y el 15 de mayo de 2026.</v>
          </cell>
        </row>
        <row r="71">
          <cell r="A71">
            <v>1399</v>
          </cell>
          <cell r="B71">
            <v>11</v>
          </cell>
          <cell r="C71" t="str">
            <v>PUENTE ARANDA</v>
          </cell>
          <cell r="D71" t="str">
            <v>PRIVADO</v>
          </cell>
          <cell r="E71" t="str">
            <v>Educación Inicial</v>
          </cell>
          <cell r="F71" t="str">
            <v>JARDIN_PSICOPEDAGOGICO_PALOMITOS_TRAVIESOS</v>
          </cell>
          <cell r="G71" t="str">
            <v>JARDIN PSICOPEDAGOGICO PALOMITOS TRAVIESOS</v>
          </cell>
          <cell r="H71" t="str">
            <v>Autoevaluación Institucional y Pruebas SABER 11</v>
          </cell>
          <cell r="I71" t="str">
            <v>SEGUIMIENTO_Y_SUPERVISIÓN.</v>
          </cell>
          <cell r="J71" t="str">
            <v xml:space="preserve">Verificar la implementación por parte de los colegios, de acciones realizadas para la prevención y atención de las situaciones de convivencia en el entorno escolar, según lo establecido en la Directiva 01 de 2022 del MEN. </v>
          </cell>
          <cell r="K71" t="str">
            <v>IGNACIO ABDÓN MONTENEGRO ALDANA</v>
          </cell>
          <cell r="L71" t="str">
            <v>ALBERTO ESCARRAGA PEÑUELA</v>
          </cell>
          <cell r="M71">
            <v>45818</v>
          </cell>
          <cell r="N71">
            <v>45865</v>
          </cell>
          <cell r="O71">
            <v>45865</v>
          </cell>
          <cell r="P71" t="str">
            <v>Visitas de evaluación con fines de mejoramiento</v>
          </cell>
          <cell r="Q71" t="str">
            <v>25 07 23 acta visita PalomitosTraviesos.pdf</v>
          </cell>
          <cell r="R71" t="str">
            <v>El Jardín cumple con el reporte de inhabilidades del personal vinculado al EE por delitos sexuales en la página de la Policía Nacional.</v>
          </cell>
          <cell r="S71" t="str">
            <v xml:space="preserve">Continuar realizando la consulta periodica de antecedentes </v>
          </cell>
          <cell r="T71" t="str">
            <v>No</v>
          </cell>
          <cell r="U71" t="str">
            <v xml:space="preserve">Promoción de la norma en las reuniones de directivos docentes. </v>
          </cell>
        </row>
        <row r="72">
          <cell r="A72">
            <v>1400</v>
          </cell>
          <cell r="B72">
            <v>11</v>
          </cell>
          <cell r="C72" t="str">
            <v>PUENTE ARANDA</v>
          </cell>
          <cell r="D72" t="str">
            <v>PRIVADO</v>
          </cell>
          <cell r="E72" t="str">
            <v>Educación Inicial</v>
          </cell>
          <cell r="F72" t="str">
            <v>JARDIN_PSICOPEDAGOGICO_PALOMITOS_TRAVIESOS</v>
          </cell>
          <cell r="G72" t="str">
            <v>JARDIN PSICOPEDAGOGICO PALOMITOS TRAVIESOS</v>
          </cell>
          <cell r="H72" t="str">
            <v>Autoevaluación Institucional y Pruebas SABER 11</v>
          </cell>
          <cell r="I72" t="str">
            <v>SEGUIMIENTO_Y_SUPERVISIÓN.</v>
          </cell>
          <cell r="J7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2" t="str">
            <v>IGNACIO ABDÓN MONTENEGRO ALDANA</v>
          </cell>
          <cell r="L72" t="str">
            <v>ALBERTO ESCARRAGA PEÑUELA</v>
          </cell>
          <cell r="M72">
            <v>45818</v>
          </cell>
          <cell r="N72">
            <v>45861</v>
          </cell>
          <cell r="O72">
            <v>45861</v>
          </cell>
          <cell r="P72" t="str">
            <v>Visitas de evaluación con fines de mejoramiento</v>
          </cell>
          <cell r="Q72" t="str">
            <v>25 07 23 acta visita PalomitosTraviesos.pdf</v>
          </cell>
          <cell r="R72" t="str">
            <v>El Jardín no tiene matriculados niños en situación de discapacidad ni con trastornos que requieran PIAR. Sin embargo, no muestra preparación institucional para atender esta población en caso de solicitud de cupos.</v>
          </cell>
          <cell r="S72" t="str">
            <v>Preparar el personal docente y administrativo para atender  población en situación de discapacidad y con trastornos de comportamiento y de aprendizaje.</v>
          </cell>
          <cell r="T72" t="str">
            <v>Si</v>
          </cell>
          <cell r="U72" t="str">
            <v>Verificación de la presentación del plan de mejoramiento el 23 de agosto de 2025 y sendos avances: el 20 de noviembre de 2025 y el 15 de mayo de 2026.</v>
          </cell>
        </row>
        <row r="73">
          <cell r="A73">
            <v>1401</v>
          </cell>
          <cell r="B73">
            <v>11</v>
          </cell>
          <cell r="C73" t="str">
            <v>PUENTE ARANDA</v>
          </cell>
          <cell r="D73" t="str">
            <v>PRIVADO</v>
          </cell>
          <cell r="E73" t="str">
            <v>Educación Inicial</v>
          </cell>
          <cell r="F73" t="str">
            <v>JARDIN_PSICOPEDAGOGICO_PALOMITOS_TRAVIESOS</v>
          </cell>
          <cell r="G73" t="str">
            <v>JARDIN PSICOPEDAGOGICO PALOMITOS TRAVIESOS</v>
          </cell>
          <cell r="H73" t="str">
            <v>Autoevaluación Institucional y Pruebas SABER 11</v>
          </cell>
          <cell r="I73" t="str">
            <v>EVALUACIÓN_CON_FINES_DE_MEJORAMIENTO.</v>
          </cell>
          <cell r="J7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3" t="str">
            <v>IGNACIO ABDÓN MONTENEGRO ALDANA</v>
          </cell>
          <cell r="L73" t="str">
            <v>ALBERTO ESCARRAGA PEÑUELA</v>
          </cell>
          <cell r="M73">
            <v>45818</v>
          </cell>
          <cell r="N73" t="str">
            <v>23/07/2025</v>
          </cell>
          <cell r="O73" t="str">
            <v>23/07/2025</v>
          </cell>
          <cell r="P73" t="str">
            <v>Visitas de evaluación con fines de mejoramiento</v>
          </cell>
          <cell r="Q73" t="str">
            <v>25 07 23 acta visita PalomitosTraviesos.pdf</v>
          </cell>
          <cell r="R73" t="str">
            <v>El MC tiene buena parte de los elementos de ley. No se encotraron evidencias de haber sido ajustado por la comunidad educativa ni aprobados sus ajustes por el Consejo Directivo.</v>
          </cell>
          <cell r="S73" t="str">
            <v>Dejar constancia en actas de la participación de padres, docentes, estudiantes y adminitrativos en los ajustes al MC. Aprobar los ajuste en reunión del CD</v>
          </cell>
          <cell r="T73" t="str">
            <v>Si</v>
          </cell>
          <cell r="U73" t="str">
            <v>Verifiación de la presentación del plan de mejoramiento el 23 de agosto de 2025 y sendos avances: el 20 de noviembre de 2025 y el 15 de mayo de 2026.</v>
          </cell>
        </row>
        <row r="74">
          <cell r="A74">
            <v>1402</v>
          </cell>
          <cell r="B74">
            <v>11</v>
          </cell>
          <cell r="C74" t="str">
            <v>PUENTE ARANDA</v>
          </cell>
          <cell r="D74" t="str">
            <v>PRIVADO</v>
          </cell>
          <cell r="E74" t="str">
            <v>Educación Inicial</v>
          </cell>
          <cell r="F74" t="str">
            <v>JARDIN_PSICOPEDAGOGICO_PALOMITOS_TRAVIESOS</v>
          </cell>
          <cell r="G74" t="str">
            <v>JARDIN PSICOPEDAGOGICO PALOMITOS TRAVIESOS</v>
          </cell>
          <cell r="H74" t="str">
            <v>Autoevaluación Institucional y Pruebas SABER 11</v>
          </cell>
          <cell r="I74" t="str">
            <v>EVALUACIÓN_CON_FINES_DE_MEJORAMIENTO.</v>
          </cell>
          <cell r="J74" t="str">
            <v>Revisar la actualización, socialización e implementación del Sistema Institucional de Evaluación de Estudiantes - SIEE, en articulación con la actualización del PEI y la normatividad vigente.</v>
          </cell>
          <cell r="K74" t="str">
            <v>IGNACIO ABDÓN MONTENEGRO ALDANA</v>
          </cell>
          <cell r="L74" t="str">
            <v>ALBERTO ESCARRAGA PEÑUELA</v>
          </cell>
          <cell r="M74">
            <v>45818</v>
          </cell>
          <cell r="N74" t="str">
            <v>23/07/2025</v>
          </cell>
          <cell r="O74" t="str">
            <v>23/07/2025</v>
          </cell>
          <cell r="P74" t="str">
            <v>Visitas de evaluación con fines de mejoramiento</v>
          </cell>
          <cell r="Q74" t="str">
            <v>25 07 23 acta visita PalomitosTraviesos.pdf</v>
          </cell>
          <cell r="R74" t="str">
            <v>El SIEE no se encuentra estructurado; sin embargo, a los estudiantes se les realiza seguimiento, evaluación y promoción.</v>
          </cell>
          <cell r="S74" t="str">
            <v>Elaborar el SIEE adaptado al nivel preescolar.</v>
          </cell>
          <cell r="T74" t="str">
            <v>Si</v>
          </cell>
          <cell r="U74" t="str">
            <v>Verificación de la presentación del plan de mejoramiento el 23 de agosto de 2025 y sendos avances: el 20 de noviembre de 2025 y el 15 de mayo de 2026.</v>
          </cell>
        </row>
        <row r="75">
          <cell r="A75">
            <v>1403</v>
          </cell>
          <cell r="B75">
            <v>11</v>
          </cell>
          <cell r="C75" t="str">
            <v>PUENTE ARANDA</v>
          </cell>
          <cell r="D75" t="str">
            <v>PRIVADO</v>
          </cell>
          <cell r="E75" t="str">
            <v>Educación Inicial</v>
          </cell>
          <cell r="F75" t="str">
            <v>JARDIN_PSICOPEDAGOGICO_PALOMITOS_TRAVIESOS</v>
          </cell>
          <cell r="G75" t="str">
            <v>JARDIN PSICOPEDAGOGICO PALOMITOS TRAVIESOS</v>
          </cell>
          <cell r="H75" t="str">
            <v>Autoevaluación Institucional y Pruebas SABER 11</v>
          </cell>
          <cell r="I75" t="str">
            <v>EVALUACIÓN_CON_FINES_DE_MEJORAMIENTO.</v>
          </cell>
          <cell r="J75" t="str">
            <v>Revisar el calendario escolar, jornada escolar, la intensidad horaria mínima anual en cada nivel y las modificaciones que se realicen al mismo, de acuerdo con lo previsto en la normatividad vigente.</v>
          </cell>
          <cell r="K75" t="str">
            <v>IGNACIO ABDÓN MONTENEGRO ALDANA</v>
          </cell>
          <cell r="L75" t="str">
            <v>ALBERTO ESCARRAGA PEÑUELA</v>
          </cell>
          <cell r="M75">
            <v>45818</v>
          </cell>
          <cell r="N75">
            <v>45861</v>
          </cell>
          <cell r="O75">
            <v>45861</v>
          </cell>
          <cell r="P75" t="str">
            <v>Visitas de evaluación con fines de mejoramiento</v>
          </cell>
          <cell r="Q75" t="str">
            <v>25 07 23 acta visita PalomitosTraviesos.pdf</v>
          </cell>
          <cell r="R75" t="str">
            <v>La institución cumple con el calendario escolar y la intensidad horaria mínima.</v>
          </cell>
          <cell r="S75" t="str">
            <v>Poner en fundionamiento los órganos de gobierno escolar y demás instancias de participación. Dejar constancia en actas de las reuniones realizadas.</v>
          </cell>
          <cell r="T75" t="str">
            <v>No</v>
          </cell>
          <cell r="U75" t="str">
            <v>Continuar recordando en reuniones el cumplimiento del calendario escolar y de la intensidad horaria mínima.</v>
          </cell>
        </row>
        <row r="76">
          <cell r="A76">
            <v>1404</v>
          </cell>
          <cell r="B76">
            <v>11</v>
          </cell>
          <cell r="C76" t="str">
            <v>PUENTE ARANDA</v>
          </cell>
          <cell r="D76" t="str">
            <v>PRIVADO</v>
          </cell>
          <cell r="E76" t="str">
            <v>Educación Inicial</v>
          </cell>
          <cell r="F76" t="str">
            <v>JARDIN_PSICOPEDAGOGICO_PALOMITOS_TRAVIESOS</v>
          </cell>
          <cell r="G76" t="str">
            <v>JARDIN PSICOPEDAGOGICO PALOMITOS TRAVIESOS</v>
          </cell>
          <cell r="H76" t="str">
            <v>Autoevaluación Institucional y Pruebas SABER 11</v>
          </cell>
          <cell r="I76" t="str">
            <v>EVALUACIÓN_CON_FINES_DE_MEJORAMIENTO.</v>
          </cell>
          <cell r="J76" t="str">
            <v>Verificar el funcionamiento del Gobierno Escolar e instancias de participación con base en la información sobre conformación reportada por la institución educativa.</v>
          </cell>
          <cell r="K76" t="str">
            <v>IGNACIO ABDÓN MONTENEGRO ALDANA</v>
          </cell>
          <cell r="L76" t="str">
            <v>ALBERTO ESCARRAGA PEÑUELA</v>
          </cell>
          <cell r="M76">
            <v>45818</v>
          </cell>
          <cell r="N76" t="str">
            <v>23/07/2025</v>
          </cell>
          <cell r="O76" t="str">
            <v>23/07/2025</v>
          </cell>
          <cell r="P76" t="str">
            <v>Visitas de evaluación con fines de mejoramiento</v>
          </cell>
          <cell r="Q76" t="str">
            <v>25 07 23 acta visita PalomitosTraviesos.pdf</v>
          </cell>
          <cell r="R76" t="str">
            <v>El Jardín cumplió con los requerimientos realizados por el ELIV, relacionados con ajustes a la conformación de los órganos de gobierno escolar y demás instancias de participación. Sin embargo, no se encontraron evidencias de reuniones.</v>
          </cell>
          <cell r="S76" t="str">
            <v>Poner en funcionamiento los órganos de gobierno escolar y demás instancias de participación. Dejar constancia en actas de las reuniones realizadas.</v>
          </cell>
          <cell r="T76" t="str">
            <v>Si</v>
          </cell>
          <cell r="U76" t="str">
            <v>Verificación de la presentación del plan de mejoramiento el 23 de agosto de 2025 y sendos avances: el 20 de noviembre de 2025 y el 15 de mayo de 2026.</v>
          </cell>
        </row>
        <row r="77">
          <cell r="A77">
            <v>1405</v>
          </cell>
          <cell r="B77">
            <v>11</v>
          </cell>
          <cell r="C77" t="str">
            <v>PUENTE ARANDA</v>
          </cell>
          <cell r="D77" t="str">
            <v>PRIVADO</v>
          </cell>
          <cell r="E77" t="str">
            <v>Educación Inicial</v>
          </cell>
          <cell r="F77" t="str">
            <v>JARDIN_PSICOPEDAGOGICO_PALOMITOS_TRAVIESOS</v>
          </cell>
          <cell r="G77" t="str">
            <v>JARDIN PSICOPEDAGOGICO PALOMITOS TRAVIESOS</v>
          </cell>
          <cell r="H77" t="str">
            <v>Autoevaluación Institucional y Pruebas SABER 11</v>
          </cell>
          <cell r="I77" t="str">
            <v>EVALUACIÓN_CON_FINES_DE_MEJORAMIENTO.</v>
          </cell>
          <cell r="J77" t="str">
            <v>Verificar las condiciones en cuanto a: la estructura administrativa, condiciones de la planta física y medios educativos adecuados.</v>
          </cell>
          <cell r="K77" t="str">
            <v>IGNACIO ABDÓN MONTENEGRO ALDANA</v>
          </cell>
          <cell r="L77" t="str">
            <v>ALBERTO ESCARRAGA PEÑUELA</v>
          </cell>
          <cell r="M77">
            <v>45818</v>
          </cell>
          <cell r="N77">
            <v>45861</v>
          </cell>
          <cell r="O77">
            <v>45861</v>
          </cell>
          <cell r="P77" t="str">
            <v>Visitas de evaluación con fines de mejoramiento</v>
          </cell>
          <cell r="Q77" t="str">
            <v>25 07 23 acta visita PalomitosTraviesos.pdf</v>
          </cell>
          <cell r="R77" t="str">
            <v>El Jardín dispone de organigrama y manual de funciones, planta física suficiente y medios educativos adecuados; sin embargo, algunos salones no tienen suficiente iluminación natural ni ventilación cruzada.</v>
          </cell>
          <cell r="S77" t="str">
            <v>Eliminar en el manual de funciones, las funciones de estudiantes y padres por no ser funcionarios. Mejorar las condiciones de iluminación natural y ventilación cruzada.</v>
          </cell>
          <cell r="T77" t="str">
            <v>Si</v>
          </cell>
          <cell r="U77" t="str">
            <v>Verificación de la presentación del plan de mejoramiento el 23 de agosto de 2025 y sendos avances: el 20 de noviembre de 2025 y el 15 de mayo de 2026.</v>
          </cell>
        </row>
        <row r="78">
          <cell r="A78">
            <v>1406</v>
          </cell>
          <cell r="B78">
            <v>12</v>
          </cell>
          <cell r="C78" t="str">
            <v>PUENTE ARANDA</v>
          </cell>
          <cell r="D78" t="str">
            <v>OFICIAL</v>
          </cell>
          <cell r="E78" t="str">
            <v>EPBM</v>
          </cell>
          <cell r="F78" t="str">
            <v>COLEGIO_SILVERIA_ESPINOSA_DE_RENDON_IED</v>
          </cell>
          <cell r="G78" t="str">
            <v>COLEGIO_SILVERIA_ESPINOSA_DE_RENDON_IED</v>
          </cell>
          <cell r="H78" t="str">
            <v>Convivencia escolar</v>
          </cell>
          <cell r="I78" t="str">
            <v>SEGUIMIENTO_Y_SUPERVISIÓN.</v>
          </cell>
          <cell r="J78" t="str">
            <v>Proponer estrategias en la formulación, verificar su elaboración y realizar seguimiento semestral al desarrollo de  las acciones establecidas en los planes de mejoramiento por pruebas SABER 11 de los establecimientos de educación formal.</v>
          </cell>
          <cell r="K78" t="str">
            <v>IGNACIO ABDÓN MONTENEGRO ALDANA</v>
          </cell>
          <cell r="L78" t="str">
            <v>OSCAR GERMAN CLAVIJO PALACIOS</v>
          </cell>
          <cell r="M78">
            <v>45819</v>
          </cell>
          <cell r="N78">
            <v>45819</v>
          </cell>
          <cell r="O78">
            <v>45819</v>
          </cell>
          <cell r="P78" t="str">
            <v>Visitas de evaluación con fines de mejoramiento</v>
          </cell>
          <cell r="Q78" t="str">
            <v>25 06 11 acta visita Silveria.pdf</v>
          </cell>
          <cell r="R78" t="str">
            <v>El Colegio ha venido mejorando en forma progresiva los resultados en las pruebas saber durante los últimos 4 años. Realiza análisis y establece planes de mejoramiento. No hay evidencias de preparación específica para los estudiantes con discapacidad ni actualizaciones curriculares derivadas de los resultados.</v>
          </cell>
          <cell r="S78" t="str">
            <v>Realizar ajustes a los planes de estudio y a sus desarrollos con base en los resultados de las pruebas saber. Desarrollar actividades de preparación específica para estudiante con discapacidad.</v>
          </cell>
          <cell r="T78" t="str">
            <v>Si</v>
          </cell>
          <cell r="U78" t="str">
            <v>Verificar la presentación del plan de mejoramiento el 31 de julio y los avances del 20 de noviembre</v>
          </cell>
        </row>
        <row r="79">
          <cell r="A79">
            <v>1407</v>
          </cell>
          <cell r="B79">
            <v>12</v>
          </cell>
          <cell r="C79" t="str">
            <v>PUENTE ARANDA</v>
          </cell>
          <cell r="D79" t="str">
            <v>OFICIAL</v>
          </cell>
          <cell r="E79" t="str">
            <v>EPBM</v>
          </cell>
          <cell r="F79" t="str">
            <v>COLEGIO_SILVERIA_ESPINOSA_DE_RENDON_IED</v>
          </cell>
          <cell r="G79" t="str">
            <v>COLEGIO_SILVERIA_ESPINOSA_DE_RENDON_IED</v>
          </cell>
          <cell r="H79" t="str">
            <v>Convivencia escolar</v>
          </cell>
          <cell r="I79" t="str">
            <v>SEGUIMIENTO_Y_SUPERVISIÓN.</v>
          </cell>
          <cell r="J79" t="str">
            <v xml:space="preserve">Verificar la implementación por parte de los colegios, de acciones realizadas para la prevención y atención de las situaciones de convivencia en el entorno escolar, según lo establecido en la Directiva 01 de 2022 del MEN. </v>
          </cell>
          <cell r="K79" t="str">
            <v>IGNACIO ABDÓN MONTENEGRO ALDANA</v>
          </cell>
          <cell r="L79" t="str">
            <v>OSCAR GERMAN CLAVIJO PALACIOS</v>
          </cell>
          <cell r="M79">
            <v>45819</v>
          </cell>
          <cell r="N79">
            <v>45819</v>
          </cell>
          <cell r="O79">
            <v>45819</v>
          </cell>
          <cell r="P79" t="str">
            <v>Visitas de evaluación con fines de mejoramiento</v>
          </cell>
          <cell r="Q79" t="str">
            <v>25 06 11 acta visita Silveria.pdf</v>
          </cell>
          <cell r="R79" t="str">
            <v xml:space="preserve">Se realizan acciones de formación y prevención, mediante jornadas de formación docente, de orientación escolar a los estudiantes y de escuela de padres. Sin embargo, la atención de los casos que afectan la convivencia escolar no están suficientemente documentados. </v>
          </cell>
          <cell r="S79" t="str">
            <v>Elaborar el plan anual de formación docente; documentar cada paso de cada protocolo realizado para atender las situaciones.</v>
          </cell>
          <cell r="T79" t="str">
            <v>Si</v>
          </cell>
          <cell r="U79" t="str">
            <v>Verificar la presentación del plan de mejoramiento el 31 de julio y los avances del 20 de noviembre</v>
          </cell>
        </row>
        <row r="80">
          <cell r="A80">
            <v>1408</v>
          </cell>
          <cell r="B80">
            <v>12</v>
          </cell>
          <cell r="C80" t="str">
            <v>PUENTE ARANDA</v>
          </cell>
          <cell r="D80" t="str">
            <v>OFICIAL</v>
          </cell>
          <cell r="E80" t="str">
            <v>EPBM</v>
          </cell>
          <cell r="F80" t="str">
            <v>COLEGIO_SILVERIA_ESPINOSA_DE_RENDON_IED</v>
          </cell>
          <cell r="G80" t="str">
            <v>COLEGIO_SILVERIA_ESPINOSA_DE_RENDON_IED</v>
          </cell>
          <cell r="H80" t="str">
            <v>Convivencia escolar</v>
          </cell>
          <cell r="I80" t="str">
            <v>SEGUIMIENTO_Y_SUPERVISIÓN.</v>
          </cell>
          <cell r="J8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0" t="str">
            <v>IGNACIO ABDÓN MONTENEGRO ALDANA</v>
          </cell>
          <cell r="L80" t="str">
            <v>OSCAR GERMAN CLAVIJO PALACIOS</v>
          </cell>
          <cell r="M80">
            <v>45819</v>
          </cell>
          <cell r="N80">
            <v>45819</v>
          </cell>
          <cell r="O80">
            <v>45819</v>
          </cell>
          <cell r="P80" t="str">
            <v>Visitas de evaluación con fines de mejoramiento</v>
          </cell>
          <cell r="Q80" t="str">
            <v>25 06 11 acta visita Silveria.pdf</v>
          </cell>
          <cell r="R80" t="str">
            <v>Los PIAR han sido elaborados y están en permanente actualización a medida que se desarrollan y se evalúan.</v>
          </cell>
          <cell r="S80" t="str">
            <v>Continuar realizando la actualización y seguimiento periódico de los PIAR</v>
          </cell>
          <cell r="T80" t="str">
            <v>No</v>
          </cell>
          <cell r="U80" t="str">
            <v>Ninguna para el 2025. En 2026 volverán a revisarse los PIAR.</v>
          </cell>
        </row>
        <row r="81">
          <cell r="A81">
            <v>1409</v>
          </cell>
          <cell r="B81">
            <v>12</v>
          </cell>
          <cell r="C81" t="str">
            <v>PUENTE ARANDA</v>
          </cell>
          <cell r="D81" t="str">
            <v>OFICIAL</v>
          </cell>
          <cell r="E81" t="str">
            <v>EPBM</v>
          </cell>
          <cell r="F81" t="str">
            <v>COLEGIO_SILVERIA_ESPINOSA_DE_RENDON_IED</v>
          </cell>
          <cell r="G81" t="str">
            <v>COLEGIO_SILVERIA_ESPINOSA_DE_RENDON_IED</v>
          </cell>
          <cell r="H81" t="str">
            <v>Convivencia escolar</v>
          </cell>
          <cell r="I81" t="str">
            <v>EVALUACIÓN_CON_FINES_DE_MEJORAMIENTO.</v>
          </cell>
          <cell r="J8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1" t="str">
            <v>IGNACIO ABDÓN MONTENEGRO ALDANA</v>
          </cell>
          <cell r="L81" t="str">
            <v>OSCAR GERMAN CLAVIJO PALACIOS</v>
          </cell>
          <cell r="M81">
            <v>45819</v>
          </cell>
          <cell r="N81">
            <v>45819</v>
          </cell>
          <cell r="O81">
            <v>45819</v>
          </cell>
          <cell r="P81" t="str">
            <v>Visitas de evaluación con fines de mejoramiento</v>
          </cell>
          <cell r="Q81" t="str">
            <v>25 06 11 acta visita Silveria.pdf</v>
          </cell>
          <cell r="R81" t="str">
            <v xml:space="preserve">El MC contiene los principales elementos de ley y ha sido elaborado en forma participativa. No son visibles los enfoques inclusivo y restaurativo. La última versión es del 2017. </v>
          </cell>
          <cell r="S81" t="str">
            <v>Revisar el MC a la luz de la normatividad y de los enfoques restaurativo e inclusivo. Aprobar los cambios por el CD antes de finalizar el año lectivo.</v>
          </cell>
          <cell r="T81" t="str">
            <v>Si</v>
          </cell>
          <cell r="U81" t="str">
            <v>Verificar la presentación del plan de mejoramiento el 31 de julio y los avances del 20 de noviembre</v>
          </cell>
        </row>
        <row r="82">
          <cell r="A82">
            <v>1410</v>
          </cell>
          <cell r="B82">
            <v>12</v>
          </cell>
          <cell r="C82" t="str">
            <v>PUENTE ARANDA</v>
          </cell>
          <cell r="D82" t="str">
            <v>OFICIAL</v>
          </cell>
          <cell r="E82" t="str">
            <v>EPBM</v>
          </cell>
          <cell r="F82" t="str">
            <v>COLEGIO_SILVERIA_ESPINOSA_DE_RENDON_IED</v>
          </cell>
          <cell r="G82" t="str">
            <v>COLEGIO_SILVERIA_ESPINOSA_DE_RENDON_IED</v>
          </cell>
          <cell r="H82" t="str">
            <v>Convivencia escolar</v>
          </cell>
          <cell r="I82" t="str">
            <v>EVALUACIÓN_CON_FINES_DE_MEJORAMIENTO.</v>
          </cell>
          <cell r="J82" t="str">
            <v>Revisar la actualización, socialización e implementación del Sistema Institucional de Evaluación de Estudiantes - SIEE, en articulación con la actualización del PEI y la normatividad vigente.</v>
          </cell>
          <cell r="K82" t="str">
            <v>IGNACIO ABDÓN MONTENEGRO ALDANA</v>
          </cell>
          <cell r="L82" t="str">
            <v>OSCAR GERMAN CLAVIJO PALACIOS</v>
          </cell>
          <cell r="M82">
            <v>45819</v>
          </cell>
          <cell r="N82">
            <v>45819</v>
          </cell>
          <cell r="O82">
            <v>45819</v>
          </cell>
          <cell r="P82" t="str">
            <v>Visitas de evaluación con fines de mejoramiento</v>
          </cell>
          <cell r="Q82" t="str">
            <v>25 06 11 acta visita Silveria.pdf</v>
          </cell>
          <cell r="R82" t="str">
            <v>SIIE estructurado de acuerdo con la norma; sin embargo, admite la reprobación en educación preescolar. Interviene un consejo académico por sede.</v>
          </cell>
          <cell r="S82" t="str">
            <v xml:space="preserve">Ajustar el SIEE para eliminar la acción del CA por sede, puede establecer comisiones de evaluación y promoción o comités académicos por sedes. </v>
          </cell>
          <cell r="T82" t="str">
            <v>Si</v>
          </cell>
          <cell r="U82" t="str">
            <v>Verificar la presentación del plan de mejoramiento el 31 de julio y los avances del 20 de noviembre</v>
          </cell>
        </row>
        <row r="83">
          <cell r="A83">
            <v>1411</v>
          </cell>
          <cell r="B83">
            <v>12</v>
          </cell>
          <cell r="C83" t="str">
            <v>PUENTE ARANDA</v>
          </cell>
          <cell r="D83" t="str">
            <v>OFICIAL</v>
          </cell>
          <cell r="E83" t="str">
            <v>EPBM</v>
          </cell>
          <cell r="F83" t="str">
            <v>COLEGIO_SILVERIA_ESPINOSA_DE_RENDON_IED</v>
          </cell>
          <cell r="G83" t="str">
            <v>COLEGIO_SILVERIA_ESPINOSA_DE_RENDON_IED</v>
          </cell>
          <cell r="H83" t="str">
            <v>Convivencia escolar</v>
          </cell>
          <cell r="I83" t="str">
            <v>EVALUACIÓN_CON_FINES_DE_MEJORAMIENTO.</v>
          </cell>
          <cell r="J83" t="str">
            <v>Revisar el calendario escolar, jornada escolar, la intensidad horaria mínima anual en cada nivel y las modificaciones que se realicen al mismo, de acuerdo con lo previsto en la normatividad vigente.</v>
          </cell>
          <cell r="K83" t="str">
            <v>IGNACIO ABDÓN MONTENEGRO ALDANA</v>
          </cell>
          <cell r="L83" t="str">
            <v>OSCAR GERMAN CLAVIJO PALACIOS</v>
          </cell>
          <cell r="M83">
            <v>45819</v>
          </cell>
          <cell r="N83">
            <v>45819</v>
          </cell>
          <cell r="O83">
            <v>45819</v>
          </cell>
          <cell r="P83" t="str">
            <v>Visitas de evaluación con fines de mejoramiento</v>
          </cell>
          <cell r="Q83" t="str">
            <v>25 06 11 acta visita Silveria.pdf</v>
          </cell>
          <cell r="R83" t="str">
            <v>El Colegio cumple el calendario académico definido por la SED, los horarios de cada nivel y de cada jornada permite el cumplimiento de las intensidades horarias anuales mínimas de ley.</v>
          </cell>
          <cell r="S83" t="str">
            <v>El colegio cumple con las horas académicas determinadas por la Ley en cada nivel educativo</v>
          </cell>
          <cell r="T83" t="str">
            <v>No</v>
          </cell>
          <cell r="U83" t="str">
            <v>Se hará revisión del calendario académico en la vigencia 2026</v>
          </cell>
        </row>
        <row r="84">
          <cell r="A84">
            <v>1412</v>
          </cell>
          <cell r="B84">
            <v>12</v>
          </cell>
          <cell r="C84" t="str">
            <v>PUENTE ARANDA</v>
          </cell>
          <cell r="D84" t="str">
            <v>OFICIAL</v>
          </cell>
          <cell r="E84" t="str">
            <v>EPBM</v>
          </cell>
          <cell r="F84" t="str">
            <v>COLEGIO_SILVERIA_ESPINOSA_DE_RENDON_IED</v>
          </cell>
          <cell r="G84" t="str">
            <v>COLEGIO_SILVERIA_ESPINOSA_DE_RENDON_IED</v>
          </cell>
          <cell r="H84" t="str">
            <v>Convivencia escolar</v>
          </cell>
          <cell r="I84" t="str">
            <v>EVALUACIÓN_CON_FINES_DE_MEJORAMIENTO.</v>
          </cell>
          <cell r="J84" t="str">
            <v>Verificar el funcionamiento del Gobierno Escolar e instancias de participación con base en la información sobre conformación reportada por la institución educativa.</v>
          </cell>
          <cell r="K84" t="str">
            <v>IGNACIO ABDÓN MONTENEGRO ALDANA</v>
          </cell>
          <cell r="L84" t="str">
            <v>OSCAR GERMAN CLAVIJO PALACIOS</v>
          </cell>
          <cell r="M84">
            <v>45819</v>
          </cell>
          <cell r="N84">
            <v>45819</v>
          </cell>
          <cell r="O84">
            <v>45819</v>
          </cell>
          <cell r="P84" t="str">
            <v>Visitas de evaluación con fines de mejoramiento</v>
          </cell>
          <cell r="Q84" t="str">
            <v>25 06 11 acta visita Silveria.pdf</v>
          </cell>
          <cell r="R84" t="str">
            <v>El Colegio conformó los órganos de gobierno escolar y demás instancias de participación; sin embargo, se han realizado requerimientos de subsanación al cargue de las actas en el sistema de apoyo escolar. (SAE)</v>
          </cell>
          <cell r="S84" t="str">
            <v>Cumplir con los requerimientos enviados por correo por parte del Supervisor de educación.</v>
          </cell>
          <cell r="T84" t="str">
            <v>Si</v>
          </cell>
          <cell r="U84" t="str">
            <v>Se ha venido revisando la información en SAE, se han realizado nuevos requerimientos. Se insistirá hasta que el Colegio cumpla por completo.</v>
          </cell>
        </row>
        <row r="85">
          <cell r="A85">
            <v>1413</v>
          </cell>
          <cell r="B85">
            <v>12</v>
          </cell>
          <cell r="C85" t="str">
            <v>PUENTE ARANDA</v>
          </cell>
          <cell r="D85" t="str">
            <v>OFICIAL</v>
          </cell>
          <cell r="E85" t="str">
            <v>EPBM</v>
          </cell>
          <cell r="F85" t="str">
            <v>COLEGIO_SILVERIA_ESPINOSA_DE_RENDON_IED</v>
          </cell>
          <cell r="G85" t="str">
            <v>COLEGIO_SILVERIA_ESPINOSA_DE_RENDON_IED</v>
          </cell>
          <cell r="H85" t="str">
            <v>Convivencia escolar</v>
          </cell>
          <cell r="I85" t="str">
            <v>EVALUACIÓN_CON_FINES_DE_MEJORAMIENTO.</v>
          </cell>
          <cell r="J85" t="str">
            <v>Verificar las condiciones en cuanto a: la estructura administrativa, condiciones de la planta física y medios educativos adecuados.</v>
          </cell>
          <cell r="K85" t="str">
            <v>IGNACIO ABDÓN MONTENEGRO ALDANA</v>
          </cell>
          <cell r="L85" t="str">
            <v>OSCAR GERMAN CLAVIJO PALACIOS</v>
          </cell>
          <cell r="M85">
            <v>45819</v>
          </cell>
          <cell r="N85">
            <v>45819</v>
          </cell>
          <cell r="O85">
            <v>45819</v>
          </cell>
          <cell r="P85" t="str">
            <v>Visitas de evaluación con fines de mejoramiento</v>
          </cell>
          <cell r="Q85" t="str">
            <v>25 06 11 acta visita Silveria.pdf</v>
          </cell>
          <cell r="R85" t="str">
            <v>Existe un buen nivel de organización administrativa y una planta física apropiada; sin embargo, no se encontró organigrama. Aunque existen brigadas de emergencia, no está conformado como tal, el Comité de Gestión de Riesgos (CEGR CC)</v>
          </cell>
          <cell r="S85" t="str">
            <v>Elaborar el organigrama institucional y conformar el CEGR CC.</v>
          </cell>
          <cell r="T85" t="str">
            <v>Si</v>
          </cell>
          <cell r="U85" t="str">
            <v>Verificar la presentación del plan de mejoramiento el 31 de julio y los avances del 20 de noviembre</v>
          </cell>
        </row>
        <row r="86">
          <cell r="A86">
            <v>1414</v>
          </cell>
          <cell r="B86">
            <v>13</v>
          </cell>
          <cell r="C86" t="str">
            <v>PUENTE ARANDA</v>
          </cell>
          <cell r="D86" t="str">
            <v>OFICIAL</v>
          </cell>
          <cell r="E86" t="str">
            <v>EPBM</v>
          </cell>
          <cell r="F86" t="str">
            <v>COLEGIO_ESPAÑA_IED</v>
          </cell>
          <cell r="G86" t="str">
            <v>COLEGIO_ESPAÑA_IED</v>
          </cell>
          <cell r="H86" t="str">
            <v>Autoevaluación Institucional y Pruebas SABER 11</v>
          </cell>
          <cell r="I86" t="str">
            <v>SEGUIMIENTO_Y_SUPERVISIÓN.</v>
          </cell>
          <cell r="J86" t="str">
            <v>Proponer estrategias en la formulación, verificar su elaboración y realizar seguimiento semestral al desarrollo de  las acciones establecidas en los planes de mejoramiento por pruebas SABER 11 de los establecimientos de educación formal.</v>
          </cell>
          <cell r="K86" t="str">
            <v>ALBERTO ESCARRAGA PEÑUELA</v>
          </cell>
          <cell r="L86" t="str">
            <v>CRISTIAN CAMILO LÓPEZ VELANDIA</v>
          </cell>
          <cell r="M86">
            <v>45859</v>
          </cell>
          <cell r="N86" t="str">
            <v>22/07/2025</v>
          </cell>
          <cell r="O86" t="str">
            <v>22/07/2025</v>
          </cell>
          <cell r="P86" t="str">
            <v>Visitas de evaluación con fines de mejoramiento</v>
          </cell>
          <cell r="Q86" t="str">
            <v>V.5.Acta de visita con fines de mejoramiento Colegio España..pdf</v>
          </cell>
          <cell r="R86" t="str">
            <v xml:space="preserve">Se encontró que la instutución no adelanto  plan de mejoramiento en cuanto a los resultados de las pruebas saber 11, avalados por el consejo académico </v>
          </cell>
          <cell r="S86" t="str">
            <v xml:space="preserve">Se debe actas académico con las respectivas agendas y dedidamente firmadas </v>
          </cell>
          <cell r="T86" t="str">
            <v>Si</v>
          </cell>
          <cell r="U86" t="str">
            <v>Verificar la presentación del plan de mejoramiento el 15 de agosto de 2025</v>
          </cell>
        </row>
        <row r="87">
          <cell r="A87">
            <v>1415</v>
          </cell>
          <cell r="B87">
            <v>13</v>
          </cell>
          <cell r="C87" t="str">
            <v>PUENTE ARANDA</v>
          </cell>
          <cell r="D87" t="str">
            <v>OFICIAL</v>
          </cell>
          <cell r="E87" t="str">
            <v>EPBM</v>
          </cell>
          <cell r="F87" t="str">
            <v>COLEGIO_ESPAÑA_IED</v>
          </cell>
          <cell r="G87" t="str">
            <v>COLEGIO_ESPAÑA_IED</v>
          </cell>
          <cell r="H87" t="str">
            <v>Autoevaluación Institucional y Pruebas SABER 11</v>
          </cell>
          <cell r="I87" t="str">
            <v>SEGUIMIENTO_Y_SUPERVISIÓN.</v>
          </cell>
          <cell r="J8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7" t="str">
            <v>ALBERTO ESCARRAGA PEÑUELA</v>
          </cell>
          <cell r="L87" t="str">
            <v>CRISTIAN CAMILO LÓPEZ VELANDIA</v>
          </cell>
          <cell r="M87">
            <v>45859</v>
          </cell>
          <cell r="N87" t="str">
            <v>22/07/2025</v>
          </cell>
          <cell r="O87" t="str">
            <v>22/07/2025</v>
          </cell>
          <cell r="P87" t="str">
            <v>Visitas de evaluación con fines de mejoramiento</v>
          </cell>
          <cell r="Q87" t="str">
            <v>V.5.Acta de visita con fines de mejoramiento Colegio España..pdf</v>
          </cell>
          <cell r="R87" t="str">
            <v>Se encontró que la institución no elabora los ajustes razonables a los estudiantes que tiene diagnóstico pedagógico</v>
          </cell>
          <cell r="S87" t="str">
            <v xml:space="preserve">Elaborar los PIAR conforme a lo establecido en el Decreto 1421 de 2017, a los estudiantes con diagnóstico pedagógico </v>
          </cell>
          <cell r="T87" t="str">
            <v>si</v>
          </cell>
          <cell r="U87" t="str">
            <v>Verificar la presentación del plan de mejoramiento el 15 de agosto de 2025</v>
          </cell>
        </row>
        <row r="88">
          <cell r="A88">
            <v>1416</v>
          </cell>
          <cell r="B88">
            <v>13</v>
          </cell>
          <cell r="C88" t="str">
            <v>PUENTE ARANDA</v>
          </cell>
          <cell r="D88" t="str">
            <v>OFICIAL</v>
          </cell>
          <cell r="E88" t="str">
            <v>EPBM</v>
          </cell>
          <cell r="F88" t="str">
            <v>COLEGIO_ESPAÑA_IED</v>
          </cell>
          <cell r="G88" t="str">
            <v>COLEGIO_ESPAÑA_IED</v>
          </cell>
          <cell r="H88" t="str">
            <v>Autoevaluación Institucional y Pruebas SABER 11</v>
          </cell>
          <cell r="I88" t="str">
            <v>SEGUIMIENTO_Y_SUPERVISIÓN.</v>
          </cell>
          <cell r="J88" t="str">
            <v xml:space="preserve">Verificar la implementación por parte de los colegios, de acciones realizadas para la prevención y atención de las situaciones de convivencia en el entorno escolar, según lo establecido en la Directiva 01 de 2022 del MEN. </v>
          </cell>
          <cell r="K88" t="str">
            <v>ALBERTO ESCARRAGA PEÑUELA</v>
          </cell>
          <cell r="L88" t="str">
            <v>CRISTIAN CAMILO LÓPEZ VELANDIA</v>
          </cell>
          <cell r="M88">
            <v>45859</v>
          </cell>
          <cell r="N88" t="str">
            <v>22/07/2025</v>
          </cell>
          <cell r="O88" t="str">
            <v>22/07/2025</v>
          </cell>
          <cell r="P88" t="str">
            <v>Visitas de evaluación con fines de mejoramiento</v>
          </cell>
          <cell r="Q88" t="str">
            <v>V.5.Acta de visita con fines de mejoramiento Colegio España..pdf</v>
          </cell>
          <cell r="R88" t="str">
            <v>Se verificó la implementación de los protocolos de atención integral para la convivencia escolar y el ejercicio de los derechos humanos, derechos sexuales y derechos reproductivos por parte del equipo de orientación y la implementación de acciones preventivas y pedagógicas frente a situaciones de violencia sexual en el 
entorno escolar, sin embargo, no se realizan los procesos asociados a la verificación cada 4 meses las inhabilidades por delitos sexuales en la página de la Policía Nacional.</v>
          </cell>
          <cell r="S88" t="str">
            <v xml:space="preserve">Realizar la verificación cada 4 meses a las inhabilidades por delitos sexuales para docentes y administrativos. </v>
          </cell>
          <cell r="T88" t="str">
            <v>Si</v>
          </cell>
          <cell r="U88" t="str">
            <v>Verificar la presentación del plan de mejoramiento el 15 de agosto de 2025</v>
          </cell>
        </row>
        <row r="89">
          <cell r="A89">
            <v>1417</v>
          </cell>
          <cell r="B89">
            <v>13</v>
          </cell>
          <cell r="C89" t="str">
            <v>PUENTE ARANDA</v>
          </cell>
          <cell r="D89" t="str">
            <v>OFICIAL</v>
          </cell>
          <cell r="E89" t="str">
            <v>EPBM</v>
          </cell>
          <cell r="F89" t="str">
            <v>COLEGIO_ESPAÑA_IED</v>
          </cell>
          <cell r="G89" t="str">
            <v>COLEGIO_ESPAÑA_IED</v>
          </cell>
          <cell r="H89" t="str">
            <v>Autoevaluación Institucional y Pruebas SABER 11</v>
          </cell>
          <cell r="I89" t="str">
            <v>EVALUACIÓN_CON_FINES_DE_MEJORAMIENTO.</v>
          </cell>
          <cell r="J8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9" t="str">
            <v>ALBERTO ESCARRAGA PEÑUELA</v>
          </cell>
          <cell r="L89" t="str">
            <v>CRISTIAN CAMILO LÓPEZ VELANDIA</v>
          </cell>
          <cell r="M89">
            <v>45859</v>
          </cell>
          <cell r="N89" t="str">
            <v>22/07/2025</v>
          </cell>
          <cell r="O89" t="str">
            <v>22/07/20025</v>
          </cell>
          <cell r="P89" t="str">
            <v>Visitas de evaluación con fines de mejoramiento</v>
          </cell>
          <cell r="Q89" t="str">
            <v>V.5.Acta de visita con fines de mejoramiento Colegio España..pdf</v>
          </cell>
          <cell r="R89" t="str">
            <v>Se encotro que la institución no tiene contemplado en la manual de convivencia el proyecto de servicio social obligatorio, así como un procedimiento para la atención de los estudiantes en orientación escolar.</v>
          </cell>
          <cell r="S89" t="str">
            <v>Se dede incorporar al manual de convivencia el proyecto de servicio social y el procedimiento de atención de estudiantes en orientación escolar</v>
          </cell>
          <cell r="T89" t="str">
            <v>Si</v>
          </cell>
          <cell r="U89" t="str">
            <v>Verificar la presentación del plan de mejoramiento el 15 de agosto de 2025</v>
          </cell>
        </row>
        <row r="90">
          <cell r="A90">
            <v>1418</v>
          </cell>
          <cell r="B90">
            <v>13</v>
          </cell>
          <cell r="C90" t="str">
            <v>PUENTE ARANDA</v>
          </cell>
          <cell r="D90" t="str">
            <v>OFICIAL</v>
          </cell>
          <cell r="E90" t="str">
            <v>EPBM</v>
          </cell>
          <cell r="F90" t="str">
            <v>COLEGIO_ESPAÑA_IED</v>
          </cell>
          <cell r="G90" t="str">
            <v>COLEGIO_ESPAÑA_IED</v>
          </cell>
          <cell r="H90" t="str">
            <v>Autoevaluación Institucional y Pruebas SABER 11</v>
          </cell>
          <cell r="I90" t="str">
            <v>EVALUACIÓN_CON_FINES_DE_MEJORAMIENTO.</v>
          </cell>
          <cell r="J90" t="str">
            <v>Revisar la actualización, socialización e implementación del Sistema Institucional de Evaluación de Estudiantes - SIEE, en articulación con la actualización del PEI y la normatividad vigente.</v>
          </cell>
          <cell r="K90" t="str">
            <v>ALBERTO ESCARRAGA PEÑUELA</v>
          </cell>
          <cell r="L90" t="str">
            <v>CRISTIAN CAMILO LÓPEZ VELANDIA</v>
          </cell>
          <cell r="M90">
            <v>45859</v>
          </cell>
          <cell r="N90" t="str">
            <v>22/7/2025</v>
          </cell>
          <cell r="O90" t="str">
            <v>22/07/2025</v>
          </cell>
          <cell r="P90" t="str">
            <v>Visitas de evaluación con fines de mejoramiento</v>
          </cell>
          <cell r="Q90" t="str">
            <v>V.5.Acta de visita con fines de mejoramiento Colegio España..pdf</v>
          </cell>
          <cell r="R90" t="str">
            <v>SIIE estructurado de acuerdo con la norma; sin embargo, omite lo asociado a mecanismos y reglas asociadas a la nivelación y recuperación de procesos académicos del estudiante.</v>
          </cell>
          <cell r="S90" t="str">
            <v>Dar claridad en lo referente a mecanismos y reglas asociadas a planes de mejora para la nivelación y recuperación de procesos académicos del estudiante.</v>
          </cell>
          <cell r="T90" t="str">
            <v>Si</v>
          </cell>
          <cell r="U90" t="str">
            <v>Verificar la presentación del plan de mejoramiento el 15 de agosto de 2025</v>
          </cell>
        </row>
        <row r="91">
          <cell r="A91">
            <v>1419</v>
          </cell>
          <cell r="B91">
            <v>13</v>
          </cell>
          <cell r="C91" t="str">
            <v>PUENTE ARANDA</v>
          </cell>
          <cell r="D91" t="str">
            <v>OFICIAL</v>
          </cell>
          <cell r="E91" t="str">
            <v>EPBM</v>
          </cell>
          <cell r="F91" t="str">
            <v>COLEGIO_ESPAÑA_IED</v>
          </cell>
          <cell r="G91" t="str">
            <v>COLEGIO_ESPAÑA_IED</v>
          </cell>
          <cell r="H91" t="str">
            <v>Autoevaluación Institucional y Pruebas SABER 11</v>
          </cell>
          <cell r="I91" t="str">
            <v>EVALUACIÓN_CON_FINES_DE_MEJORAMIENTO.</v>
          </cell>
          <cell r="J91" t="str">
            <v>Verificar el funcionamiento del Gobierno Escolar e instancias de participación con base en la información sobre conformación reportada por la institución educativa.</v>
          </cell>
          <cell r="K91" t="str">
            <v>ALBERTO ESCARRAGA PEÑUELA</v>
          </cell>
          <cell r="L91" t="str">
            <v>CRISTIAN CAMILO LÓPEZ VELANDIA</v>
          </cell>
          <cell r="M91">
            <v>45859</v>
          </cell>
          <cell r="N91">
            <v>45860</v>
          </cell>
          <cell r="O91">
            <v>45860</v>
          </cell>
          <cell r="P91" t="str">
            <v>Visitas de evaluación con fines de mejoramiento</v>
          </cell>
          <cell r="Q91" t="str">
            <v>V.5.Acta de visita con fines de mejoramiento Colegio España..pdf</v>
          </cell>
          <cell r="R91" t="str">
            <v xml:space="preserve">Se encontro que la institucion no reglamento la conformación de la comisión de evaluación y promoción, así mismo, no tiene el aval del consejo académico o directivo para los planes de mejoramiento en los estudiantes con bajo rendimiento académico </v>
          </cell>
          <cell r="S91" t="str">
            <v xml:space="preserve">Reglamentar las comisiones de evaluación y promoción y avalar por el consejo académico y directivos los planes de mejoramientos con los estudiantes con bajos rendimientos académicos </v>
          </cell>
          <cell r="T91" t="str">
            <v>Si</v>
          </cell>
          <cell r="U91" t="str">
            <v>Verificar la presentación del plan de mejoramiento el 15 de agosto de 2025</v>
          </cell>
        </row>
        <row r="92">
          <cell r="A92">
            <v>1420</v>
          </cell>
          <cell r="B92">
            <v>13</v>
          </cell>
          <cell r="C92" t="str">
            <v>PUENTE ARANDA</v>
          </cell>
          <cell r="D92" t="str">
            <v>OFICIAL</v>
          </cell>
          <cell r="E92" t="str">
            <v>EPBM</v>
          </cell>
          <cell r="F92" t="str">
            <v>COLEGIO_ESPAÑA_IED</v>
          </cell>
          <cell r="G92" t="str">
            <v>COLEGIO_ESPAÑA_IED</v>
          </cell>
          <cell r="H92" t="str">
            <v>Autoevaluación Institucional y Pruebas SABER 11</v>
          </cell>
          <cell r="I92" t="str">
            <v>EVALUACIÓN_CON_FINES_DE_MEJORAMIENTO.</v>
          </cell>
          <cell r="J92" t="str">
            <v>Verificar las condiciones en cuanto a: la estructura administrativa, condiciones de la planta física y medios educativos adecuados.</v>
          </cell>
          <cell r="K92" t="str">
            <v>ALBERTO ESCARRAGA PEÑUELA</v>
          </cell>
          <cell r="L92" t="str">
            <v>CRISTIAN CAMILO LÓPEZ VELANDIA</v>
          </cell>
          <cell r="M92">
            <v>45859</v>
          </cell>
          <cell r="N92" t="str">
            <v>22/07/2025</v>
          </cell>
          <cell r="O92" t="str">
            <v>22/07/2025</v>
          </cell>
          <cell r="P92" t="str">
            <v>Visitas de evaluación con fines de mejoramiento</v>
          </cell>
          <cell r="Q92" t="str">
            <v>V.5.Acta de visita con fines de mejoramiento Colegio España..pdf</v>
          </cell>
          <cell r="R92" t="str">
            <v>Existe un buen nivel de organización administrativa y una planta física apropiada; sin embargo, no se encontró organigrama. Se encuentra que el PEGR-CC no se encuentra actualizado ni % de cumplimiento mayor a 80% para las dos sedes y las dos jornadas.</v>
          </cell>
          <cell r="S92" t="str">
            <v>Elaborar el organigrama institucional y actualizar el PEGR-CC para las dos sedes y las dos jornadas..</v>
          </cell>
          <cell r="T92" t="str">
            <v>Si</v>
          </cell>
          <cell r="U92" t="str">
            <v>Verificar la presentación del plan de mejoramiento el 15 de agosto de 2025</v>
          </cell>
        </row>
        <row r="93">
          <cell r="A93">
            <v>1421</v>
          </cell>
          <cell r="B93">
            <v>13</v>
          </cell>
          <cell r="C93" t="str">
            <v>PUENTE ARANDA</v>
          </cell>
          <cell r="D93" t="str">
            <v>OFICIAL</v>
          </cell>
          <cell r="E93" t="str">
            <v>EPBM</v>
          </cell>
          <cell r="F93" t="str">
            <v>COLEGIO_ESPAÑA_IED</v>
          </cell>
          <cell r="G93" t="str">
            <v>COLEGIO_ESPAÑA_IED</v>
          </cell>
          <cell r="H93" t="str">
            <v>Autoevaluación Institucional y Pruebas SABER 11</v>
          </cell>
          <cell r="I93" t="str">
            <v>EVALUACIÓN_CON_FINES_DE_MEJORAMIENTO.</v>
          </cell>
          <cell r="J93" t="str">
            <v>Revisar el calendario escolar, jornada escolar, la intensidad horaria mínima anual en cada nivel y las modificaciones que se realicen al mismo, de acuerdo con lo previsto en la normatividad vigente.</v>
          </cell>
          <cell r="K93" t="str">
            <v>ALBERTO ESCARRAGA PEÑUELA</v>
          </cell>
          <cell r="L93" t="str">
            <v>CRISTIAN CAMILO LÓPEZ VELANDIA</v>
          </cell>
          <cell r="M93">
            <v>45859</v>
          </cell>
          <cell r="N93" t="str">
            <v>22/07/2025</v>
          </cell>
          <cell r="O93" t="str">
            <v>22/07/2025</v>
          </cell>
          <cell r="P93" t="str">
            <v>Visitas de evaluación con fines de mejoramiento</v>
          </cell>
          <cell r="Q93" t="str">
            <v>V.5.Acta de visita con fines de mejoramiento Colegio España..pdf</v>
          </cell>
          <cell r="R93" t="str">
            <v>El Colegio cumple el calendario académico definido por la SED, los horarios de cada nivel y de cada jornada permite el cumplimiento de las intensidades horarias anuales mínimas de ley.</v>
          </cell>
          <cell r="S93" t="str">
            <v>El colegio cumple con las horas académicas determinadas por la Ley en cada nivel educativo</v>
          </cell>
          <cell r="T93" t="str">
            <v>No</v>
          </cell>
          <cell r="U93" t="str">
            <v>En caso de presentarse PQR se procederá a realizar su respectiva revisión.</v>
          </cell>
        </row>
        <row r="94">
          <cell r="A94">
            <v>1422</v>
          </cell>
          <cell r="B94">
            <v>14</v>
          </cell>
          <cell r="C94" t="str">
            <v>PUENTE ARANDA</v>
          </cell>
          <cell r="D94" t="str">
            <v>OFICIAL</v>
          </cell>
          <cell r="E94" t="str">
            <v>EPBM</v>
          </cell>
          <cell r="F94" t="str">
            <v>COLEGIO_LA_MERCED_IED</v>
          </cell>
          <cell r="G94" t="str">
            <v>COLEGIO_LA_MERCED_IED</v>
          </cell>
          <cell r="H94" t="str">
            <v>Autoevaluación Institucional y Pruebas SABER 11</v>
          </cell>
          <cell r="I94" t="str">
            <v>SEGUIMIENTO_Y_SUPERVISIÓN.</v>
          </cell>
          <cell r="J94" t="str">
            <v>Proponer estrategias en la formulación, verificar su elaboración y realizar seguimiento semestral al desarrollo de  las acciones establecidas en los planes de mejoramiento por pruebas SABER 11 de los establecimientos de educación formal.</v>
          </cell>
          <cell r="K94" t="str">
            <v>CRISTIAN CAMILO LÓPEZ VELANDIA</v>
          </cell>
          <cell r="L94" t="str">
            <v>ALBERTO ESCARRAGA PEÑUELA</v>
          </cell>
          <cell r="M94">
            <v>45789</v>
          </cell>
          <cell r="N94">
            <v>45796</v>
          </cell>
          <cell r="O94">
            <v>45797</v>
          </cell>
          <cell r="P94" t="str">
            <v>Visitas de evaluación con fines de mejoramiento</v>
          </cell>
          <cell r="Q94" t="str">
            <v>20250519_F visitas mejoramiento_La Merced.pdf</v>
          </cell>
          <cell r="R94" t="str">
            <v xml:space="preserve">Se evidencio que se adelantó análisis de resultados de las pruebas saber 11, de los resultados de los simulacros implementados para los grados 10 y 11 en 2025,  y ha previsto acciones de mejoramiento en los procesos académicos que son evidentes en los planes de área de las asignaturas. </v>
          </cell>
          <cell r="S94" t="str">
            <v>Establecer acciones de mejora  asociadas a acciones específicas asociadas a pruebas SABER 11 con estudiantes en condición de discapacidad e incorporar al plan de mejoramiento y reportarlo el 06/06/2025</v>
          </cell>
          <cell r="T94" t="str">
            <v>Si</v>
          </cell>
          <cell r="U94" t="str">
            <v>Revisión del plan de mejoramiento el 06/06/2025.</v>
          </cell>
        </row>
        <row r="95">
          <cell r="A95">
            <v>1423</v>
          </cell>
          <cell r="B95">
            <v>14</v>
          </cell>
          <cell r="C95" t="str">
            <v>PUENTE ARANDA</v>
          </cell>
          <cell r="D95" t="str">
            <v>OFICIAL</v>
          </cell>
          <cell r="E95" t="str">
            <v>EPBM</v>
          </cell>
          <cell r="F95" t="str">
            <v>COLEGIO_LA_MERCED_IED</v>
          </cell>
          <cell r="G95" t="str">
            <v>COLEGIO_LA_MERCED_IED</v>
          </cell>
          <cell r="H95" t="str">
            <v>Convivencia escolar</v>
          </cell>
          <cell r="I95" t="str">
            <v>SEGUIMIENTO_Y_SUPERVISIÓN.</v>
          </cell>
          <cell r="J95" t="str">
            <v xml:space="preserve">Verificar la implementación por parte de los colegios, de acciones realizadas para la prevención y atención de las situaciones de convivencia en el entorno escolar, según lo establecido en la Directiva 01 de 2022 del MEN. </v>
          </cell>
          <cell r="K95" t="str">
            <v>CRISTIAN CAMILO LÓPEZ VELANDIA</v>
          </cell>
          <cell r="L95" t="str">
            <v>ALBERTO ESCARRAGA PEÑUELA</v>
          </cell>
          <cell r="M95">
            <v>45789</v>
          </cell>
          <cell r="N95">
            <v>45796</v>
          </cell>
          <cell r="O95">
            <v>45797</v>
          </cell>
          <cell r="P95" t="str">
            <v>Visitas de evaluación con fines de mejoramiento</v>
          </cell>
          <cell r="Q95" t="str">
            <v>20250519_F visitas mejoramiento_La Merced.pdf</v>
          </cell>
          <cell r="R95" t="str">
            <v>Se verificó la implementación de los protocolos de atención integral para la convivencia escolar y el ejercicio de los derechos humanos, derechos sexuales y derechos reproductivos por parte del equipo de orientación y la implementación de acciones preventivas y pedagógicas frente a situaciones de violencia sexual en el 
entorno escolar, sin embargo, no se realizan los procesos asociados a la verificación cada 4 meses las inhabilidades por delitos sexuales en la página de la Policía Nacional.</v>
          </cell>
          <cell r="S95" t="str">
            <v>Realizar la verificación cada 4 meses a las inhabilidades por delitos sexuales para docentes y administrativos. Establecer acciones de mejora e incorporar el plan de mejoramiento a reportar el 06/06/2025</v>
          </cell>
          <cell r="T95" t="str">
            <v>SI</v>
          </cell>
          <cell r="U95" t="str">
            <v>Revisión del plan de mejora, contemplada su entrega para el 06/06/2025.</v>
          </cell>
        </row>
        <row r="96">
          <cell r="A96">
            <v>1424</v>
          </cell>
          <cell r="B96">
            <v>14</v>
          </cell>
          <cell r="C96" t="str">
            <v>PUENTE ARANDA</v>
          </cell>
          <cell r="D96" t="str">
            <v>OFICIAL</v>
          </cell>
          <cell r="E96" t="str">
            <v>EPBM</v>
          </cell>
          <cell r="F96" t="str">
            <v>COLEGIO_LA_MERCED_IED</v>
          </cell>
          <cell r="G96" t="str">
            <v>COLEGIO_LA_MERCED_IED</v>
          </cell>
          <cell r="H96" t="str">
            <v>Convivencia escolar</v>
          </cell>
          <cell r="I96" t="str">
            <v>SEGUIMIENTO_Y_SUPERVISIÓN.</v>
          </cell>
          <cell r="J9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6" t="str">
            <v>CRISTIAN CAMILO LÓPEZ VELANDIA</v>
          </cell>
          <cell r="L96" t="str">
            <v>ALBERTO ESCARRAGA PEÑUELA</v>
          </cell>
          <cell r="M96">
            <v>45789</v>
          </cell>
          <cell r="N96">
            <v>45796</v>
          </cell>
          <cell r="O96">
            <v>45797</v>
          </cell>
          <cell r="P96" t="str">
            <v>Visitas de evaluación con fines de mejoramiento</v>
          </cell>
          <cell r="Q96" t="str">
            <v>20250519_F visitas mejoramiento_La Merced.pdf</v>
          </cell>
          <cell r="R96" t="str">
            <v xml:space="preserve">Se encontró que la institución diseño los planes individuales de ajustes razonables para los estudiantes de discapacidad, los cuales fueron socializados con docentes y estudiantes, así mismo, cuenta con portafolio de estudiantes con talentos excepcionales </v>
          </cell>
          <cell r="S96" t="str">
            <v>Cumple con lo requerido en el Decreto 1421 de 2017</v>
          </cell>
          <cell r="T96" t="str">
            <v>No</v>
          </cell>
          <cell r="U96" t="str">
            <v>En caso de presentarse PQR se procederá a realizar su respectiva revisión.</v>
          </cell>
        </row>
        <row r="97">
          <cell r="A97">
            <v>1425</v>
          </cell>
          <cell r="B97">
            <v>14</v>
          </cell>
          <cell r="C97" t="str">
            <v>PUENTE ARANDA</v>
          </cell>
          <cell r="D97" t="str">
            <v>OFICIAL</v>
          </cell>
          <cell r="E97" t="str">
            <v>EPBM</v>
          </cell>
          <cell r="F97" t="str">
            <v>COLEGIO_LA_MERCED_IED</v>
          </cell>
          <cell r="G97" t="str">
            <v>COLEGIO_LA_MERCED_IED</v>
          </cell>
          <cell r="H97" t="str">
            <v>Convivencia escolar</v>
          </cell>
          <cell r="I97" t="str">
            <v>EVALUACIÓN_CON_FINES_DE_MEJORAMIENTO.</v>
          </cell>
          <cell r="J9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7" t="str">
            <v>CRISTIAN CAMILO LÓPEZ VELANDIA</v>
          </cell>
          <cell r="L97" t="str">
            <v>ALBERTO ESCARRAGA PEÑUELA</v>
          </cell>
          <cell r="M97">
            <v>45789</v>
          </cell>
          <cell r="N97">
            <v>45796</v>
          </cell>
          <cell r="O97">
            <v>45797</v>
          </cell>
          <cell r="P97" t="str">
            <v>Visitas de evaluación con fines de mejoramiento</v>
          </cell>
          <cell r="Q97" t="str">
            <v>20250519_F visitas mejoramiento_La Merced.pdf</v>
          </cell>
          <cell r="R97" t="str">
            <v>El manual de convivencia se actualiza anualmente; sin embargo, no fue construido ni adoptado de forma participativa, así mismo contiene elementos contrarios a la ley y a las disposiciones sentenciadas por la Corte Suprema de Justicia.</v>
          </cell>
          <cell r="S97" t="str">
            <v>Realizar actualización del manual de convivencia teniendo en cuenta las instancias de gobierno escolar, particularmente el consejo de estudiantes y de padres, teniendo en cuenta las disposiciones de la corte suprema de justicia respecto al debido proceso y a la garantía de derechos de los estudiantes.  Establecer acciones de mejora e incorporar el plan de mejoramiento a reportar el 06/06/2025</v>
          </cell>
          <cell r="T97" t="str">
            <v>SI</v>
          </cell>
          <cell r="U97" t="str">
            <v>Revisión del plan de mejora, contemplada su entrega para el 06/06/2025.</v>
          </cell>
        </row>
        <row r="98">
          <cell r="A98">
            <v>1426</v>
          </cell>
          <cell r="B98">
            <v>14</v>
          </cell>
          <cell r="C98" t="str">
            <v>PUENTE ARANDA</v>
          </cell>
          <cell r="D98" t="str">
            <v>OFICIAL</v>
          </cell>
          <cell r="E98" t="str">
            <v>EPBM</v>
          </cell>
          <cell r="F98" t="str">
            <v>COLEGIO_LA_MERCED_IED</v>
          </cell>
          <cell r="G98" t="str">
            <v>COLEGIO_LA_MERCED_IED</v>
          </cell>
          <cell r="H98" t="str">
            <v>Convivencia escolar</v>
          </cell>
          <cell r="I98" t="str">
            <v>EVALUACIÓN_CON_FINES_DE_MEJORAMIENTO.</v>
          </cell>
          <cell r="J98" t="str">
            <v>Revisar la actualización, socialización e implementación del Sistema Institucional de Evaluación de Estudiantes - SIEE, en articulación con la actualización del PEI y la normatividad vigente.</v>
          </cell>
          <cell r="K98" t="str">
            <v>CRISTIAN CAMILO LÓPEZ VELANDIA</v>
          </cell>
          <cell r="L98" t="str">
            <v>ALBERTO ESCARRAGA PEÑUELA</v>
          </cell>
          <cell r="M98">
            <v>45789</v>
          </cell>
          <cell r="N98">
            <v>45796</v>
          </cell>
          <cell r="O98">
            <v>45797</v>
          </cell>
          <cell r="P98" t="str">
            <v>Visitas de evaluación con fines de mejoramiento</v>
          </cell>
          <cell r="Q98" t="str">
            <v>20250519_F visitas mejoramiento_La Merced.pdf</v>
          </cell>
          <cell r="R98" t="str">
            <v>El SIEE fue construido participativamente y existe evidencia de la ejecución y registro de la información a través de actas del consejo académico y directivo, informes de valoración trimestral y planillas auxiliares de notas</v>
          </cell>
          <cell r="S98" t="str">
            <v>La institución actualizó, socializó e implementa el SIEE, en articulación con la actualización del PEI y la normatividad vigente.</v>
          </cell>
          <cell r="T98" t="str">
            <v>No</v>
          </cell>
          <cell r="U98" t="str">
            <v>En caso de presentarse PQR se procederá a realizar su respectiva revisión.</v>
          </cell>
        </row>
        <row r="99">
          <cell r="A99">
            <v>1427</v>
          </cell>
          <cell r="B99">
            <v>14</v>
          </cell>
          <cell r="C99" t="str">
            <v>PUENTE ARANDA</v>
          </cell>
          <cell r="D99" t="str">
            <v>OFICIAL</v>
          </cell>
          <cell r="E99" t="str">
            <v>EPBM</v>
          </cell>
          <cell r="F99" t="str">
            <v>COLEGIO_LA_MERCED_IED</v>
          </cell>
          <cell r="G99" t="str">
            <v>COLEGIO_LA_MERCED_IED</v>
          </cell>
          <cell r="H99" t="str">
            <v>Convivencia escolar</v>
          </cell>
          <cell r="I99" t="str">
            <v>EVALUACIÓN_CON_FINES_DE_MEJORAMIENTO.</v>
          </cell>
          <cell r="J99" t="str">
            <v>Revisar el calendario escolar, jornada escolar, la intensidad horaria mínima anual en cada nivel y las modificaciones que se realicen al mismo, de acuerdo con lo previsto en la normatividad vigente.</v>
          </cell>
          <cell r="K99" t="str">
            <v>CRISTIAN CAMILO LÓPEZ VELANDIA</v>
          </cell>
          <cell r="L99" t="str">
            <v>ALBERTO ESCARRAGA PEÑUELA</v>
          </cell>
          <cell r="M99">
            <v>45789</v>
          </cell>
          <cell r="N99">
            <v>45796</v>
          </cell>
          <cell r="O99">
            <v>45797</v>
          </cell>
          <cell r="P99" t="str">
            <v>Visitas de evaluación con fines de mejoramiento</v>
          </cell>
          <cell r="Q99" t="str">
            <v>20250519_F visitas mejoramiento_La Merced.pdf</v>
          </cell>
          <cell r="R99" t="str">
            <v>Presenta calendario académico del sector oficial. Resolución 1811 de 2024</v>
          </cell>
          <cell r="S99" t="str">
            <v>Cumple con la intensidad de horas académicas mínimas</v>
          </cell>
          <cell r="T99" t="str">
            <v>No</v>
          </cell>
          <cell r="U99" t="str">
            <v>En caso de presentarse PQR se procederá a realizar su respectiva revisión.</v>
          </cell>
        </row>
        <row r="100">
          <cell r="A100">
            <v>1428</v>
          </cell>
          <cell r="B100">
            <v>14</v>
          </cell>
          <cell r="C100" t="str">
            <v>PUENTE ARANDA</v>
          </cell>
          <cell r="D100" t="str">
            <v>OFICIAL</v>
          </cell>
          <cell r="E100" t="str">
            <v>EPBM</v>
          </cell>
          <cell r="F100" t="str">
            <v>COLEGIO_LA_MERCED_IED</v>
          </cell>
          <cell r="G100" t="str">
            <v>COLEGIO_LA_MERCED_IED</v>
          </cell>
          <cell r="H100" t="str">
            <v>Convivencia escolar</v>
          </cell>
          <cell r="I100" t="str">
            <v>EVALUACIÓN_CON_FINES_DE_MEJORAMIENTO.</v>
          </cell>
          <cell r="J100" t="str">
            <v>Verificar el funcionamiento del Gobierno Escolar e instancias de participación con base en la información sobre conformación reportada por la institución educativa.</v>
          </cell>
          <cell r="K100" t="str">
            <v>CRISTIAN CAMILO LÓPEZ VELANDIA</v>
          </cell>
          <cell r="L100" t="str">
            <v>ALBERTO ESCARRAGA PEÑUELA</v>
          </cell>
          <cell r="M100">
            <v>45789</v>
          </cell>
          <cell r="N100">
            <v>45796</v>
          </cell>
          <cell r="O100">
            <v>45797</v>
          </cell>
          <cell r="P100" t="str">
            <v>Visitas de evaluación con fines de mejoramiento</v>
          </cell>
          <cell r="Q100" t="str">
            <v>20250519_F visitas mejoramiento_La Merced.pdf</v>
          </cell>
          <cell r="R100" t="str">
            <v>El gobierno escolar fue conformado conforme a lo reglamentado en la normatividad, así mismo, se evidencia su operatividad.</v>
          </cell>
          <cell r="S100" t="str">
            <v>El gobierno escolar y las instancias de participación funcionan conforme lo reglamentado por la normatividad colombiana</v>
          </cell>
          <cell r="T100" t="str">
            <v>No</v>
          </cell>
          <cell r="U100" t="str">
            <v>En caso de presentarse PQR se procederá a realizar su respectiva revisión.</v>
          </cell>
        </row>
        <row r="101">
          <cell r="A101">
            <v>1429</v>
          </cell>
          <cell r="B101">
            <v>14</v>
          </cell>
          <cell r="C101" t="str">
            <v>PUENTE ARANDA</v>
          </cell>
          <cell r="D101" t="str">
            <v>OFICIAL</v>
          </cell>
          <cell r="E101" t="str">
            <v>EPBM</v>
          </cell>
          <cell r="F101" t="str">
            <v>COLEGIO_LA_MERCED_IED</v>
          </cell>
          <cell r="G101" t="str">
            <v>COLEGIO_LA_MERCED_IED</v>
          </cell>
          <cell r="H101" t="str">
            <v>Convivencia escolar</v>
          </cell>
          <cell r="I101" t="str">
            <v>EVALUACIÓN_CON_FINES_DE_MEJORAMIENTO.</v>
          </cell>
          <cell r="J101" t="str">
            <v>Verificar las condiciones en cuanto a: la estructura administrativa, condiciones de la planta física y medios educativos adecuados.</v>
          </cell>
          <cell r="K101" t="str">
            <v>CRISTIAN CAMILO LÓPEZ VELANDIA</v>
          </cell>
          <cell r="L101" t="str">
            <v>ALBERTO ESCARRAGA PEÑUELA</v>
          </cell>
          <cell r="M101">
            <v>45789</v>
          </cell>
          <cell r="N101">
            <v>45796</v>
          </cell>
          <cell r="O101">
            <v>45797</v>
          </cell>
          <cell r="P101" t="str">
            <v>Visitas de evaluación con fines de mejoramiento</v>
          </cell>
          <cell r="Q101" t="str">
            <v>20250519_F visitas mejoramiento_La Merced.pdf</v>
          </cell>
          <cell r="R101" t="str">
            <v>La institución cuenta con adecuadas condiciones de planta física y de medios educativos para la prestación del servicio educativo. Cuenta con una estructura administrativa adecuada la cual se encuentra planteada en el organigrama institucional.</v>
          </cell>
          <cell r="S101" t="str">
            <v>Cumple con las condiciones de planta física y medios educativos suficientes.</v>
          </cell>
          <cell r="T101" t="str">
            <v>No</v>
          </cell>
          <cell r="U101" t="str">
            <v>En caso de presentarse PQR se procederá a realizar su respectiva revisión.</v>
          </cell>
        </row>
        <row r="102">
          <cell r="A102">
            <v>1430</v>
          </cell>
          <cell r="B102">
            <v>15</v>
          </cell>
          <cell r="C102" t="str">
            <v>PUENTE ARANDA</v>
          </cell>
          <cell r="D102" t="str">
            <v>PRIVADO_IETDH</v>
          </cell>
          <cell r="E102" t="str">
            <v>IETDH</v>
          </cell>
          <cell r="F102" t="str">
            <v>CEA_BOGOTÁ_VIAL_1</v>
          </cell>
          <cell r="G102" t="str">
            <v>CEA BOGOTÁ VIAL 1</v>
          </cell>
          <cell r="H102" t="str">
            <v>IETDH priorizadas por cada ELIV (seguimiento a PMI, que no se hayan visitado en los últimos 3 años)</v>
          </cell>
          <cell r="I102" t="str">
            <v>SEGUIMIENTO_Y_SUPERVISIÓN.</v>
          </cell>
          <cell r="J102"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2" t="str">
            <v>IGNACIO ABDÓN MONTENEGRO ALDANA</v>
          </cell>
          <cell r="L102" t="str">
            <v>CRISTIAN CAMILO LÓPEZ VELANDIA</v>
          </cell>
          <cell r="M102">
            <v>45870</v>
          </cell>
          <cell r="N102">
            <v>45870</v>
          </cell>
          <cell r="O102">
            <v>45870</v>
          </cell>
          <cell r="P102" t="str">
            <v>Visitas de evaluación con fines de mejoramiento</v>
          </cell>
          <cell r="Q102" t="str">
            <v>20250801_Acta Visita CEA Bgta Vial.pdf</v>
          </cell>
          <cell r="R102" t="str">
            <v>Una base de datos en Excel con los estudiantes matriculados y certificados en cada programa. No se tuvo acceso al RUNT ni a SICOV ni había servicio de Internet al momento de la visita. Los costos de los programas están de acuerdo con la norma.</v>
          </cell>
          <cell r="S102" t="str">
            <v>Definir procedimientos de matrícula. Aportar evidencias de la matrícula en RUNT y evidencias de asistencia en SICOV y evidencias de los estudiantes con curso certificado en RUNT.</v>
          </cell>
          <cell r="T102" t="str">
            <v>Si</v>
          </cell>
          <cell r="U102" t="str">
            <v>Presentación del plan de mejoramiento el 29 de agosto; avances, el 20 de noviembre de 2025 y el 25 de mayo de 2026.</v>
          </cell>
        </row>
        <row r="103">
          <cell r="A103">
            <v>1431</v>
          </cell>
          <cell r="B103">
            <v>15</v>
          </cell>
          <cell r="C103" t="str">
            <v>PUENTE ARANDA</v>
          </cell>
          <cell r="D103" t="str">
            <v>PRIVADO_IETDH</v>
          </cell>
          <cell r="E103" t="str">
            <v>IETDH</v>
          </cell>
          <cell r="F103" t="str">
            <v>CEA_BOGOTÁ_VIAL_1</v>
          </cell>
          <cell r="G103" t="str">
            <v>CEA BOGOTÁ VIAL 1</v>
          </cell>
          <cell r="H103" t="str">
            <v>IETDH priorizadas por cada ELIV (seguimiento a PMI, que no se hayan visitado en los últimos 3 años)</v>
          </cell>
          <cell r="I103" t="str">
            <v>SEGUIMIENTO_Y_SUPERVISIÓN.</v>
          </cell>
          <cell r="J103" t="str">
            <v>Adelantar visitas para verificar que el desarrollo de los programas de ETDH, esté de acuerdo con lo autorizado y la normatividad vigente, para propender por su pertinencia, legalidad y actualización constante.</v>
          </cell>
          <cell r="K103" t="str">
            <v>IGNACIO ABDÓN MONTENEGRO ALDANA</v>
          </cell>
          <cell r="L103" t="str">
            <v>CRISTIAN CAMILO LÓPEZ VELANDIA</v>
          </cell>
          <cell r="M103">
            <v>45870</v>
          </cell>
          <cell r="N103">
            <v>45870</v>
          </cell>
          <cell r="O103">
            <v>45870</v>
          </cell>
          <cell r="P103" t="str">
            <v>Visitas de evaluación con fines de mejoramiento</v>
          </cell>
          <cell r="Q103" t="str">
            <v>20250801_Acta Visita CEA Bgta Vial.pdf</v>
          </cell>
          <cell r="R103" t="str">
            <v xml:space="preserve">En buena parte, los programas se desarrollan de acuerdo con la normatividad vigente y el documento maestro. Sin embargo, se encontraron falencias relacionadas con debido proceso y autoevaluación insitucional, entre otras.  </v>
          </cell>
          <cell r="S103" t="str">
            <v>Realizar ajustes de manera participativa al Reglamento de Estudiantes, definir políticas e instrumentos para la autoevaluación institucional. Incorporar los resultados a planes de mejoramiento</v>
          </cell>
          <cell r="T103" t="str">
            <v>Si</v>
          </cell>
          <cell r="U103" t="str">
            <v>Presentación del plan de mejoramiento el 29 de agosto; avances, el 20 de noviembre de 2025 y el 25 de mayo de 2026.</v>
          </cell>
        </row>
        <row r="104">
          <cell r="A104">
            <v>1432</v>
          </cell>
          <cell r="B104">
            <v>15</v>
          </cell>
          <cell r="C104" t="str">
            <v>PUENTE ARANDA</v>
          </cell>
          <cell r="D104" t="str">
            <v>PRIVADO_IETDH</v>
          </cell>
          <cell r="E104" t="str">
            <v>IETDH</v>
          </cell>
          <cell r="F104" t="str">
            <v>CEA_BOGOTÁ_VIAL_1</v>
          </cell>
          <cell r="G104" t="str">
            <v>CEA BOGOTÁ VIAL 1</v>
          </cell>
          <cell r="H104" t="str">
            <v>IETDH priorizadas por cada ELIV (seguimiento a PMI, que no se hayan visitado en los últimos 3 años)</v>
          </cell>
          <cell r="I104" t="str">
            <v>EVALUACIÓN_CON_FINES_DE_MEJORAMIENTO.</v>
          </cell>
          <cell r="J104" t="str">
            <v>Verificar las condiciones en cuanto a: la estructura administrativa, condiciones de la planta física y medios educativos adecuados.</v>
          </cell>
          <cell r="K104" t="str">
            <v>IGNACIO ABDÓN MONTENEGRO ALDANA</v>
          </cell>
          <cell r="L104" t="str">
            <v>CRISTIAN CAMILO LÓPEZ VELANDIA</v>
          </cell>
          <cell r="M104">
            <v>45870</v>
          </cell>
          <cell r="N104">
            <v>45870</v>
          </cell>
          <cell r="O104">
            <v>45870</v>
          </cell>
          <cell r="P104" t="str">
            <v>Visitas de evaluación con fines de mejoramiento</v>
          </cell>
          <cell r="Q104" t="str">
            <v>20250801_Acta Visita CEA Bgta Vial.pdf</v>
          </cell>
          <cell r="R104" t="str">
            <v>La planta física es adecuada para la cantidad de estudiantes. No hay equipos de cómputo suficientes ni se garantiza la conectividad a Internet.</v>
          </cell>
          <cell r="S104" t="str">
            <v>Disponer de equipos de cómputo suficiente y garantizar la conectividad.</v>
          </cell>
          <cell r="T104" t="str">
            <v>Si</v>
          </cell>
          <cell r="U104" t="str">
            <v>Presentación del plan de mejoramiento el 29 de agosto; avances, el 20 de noviembre de 2025 y el 25 de mayo de 2026.</v>
          </cell>
        </row>
        <row r="105">
          <cell r="A105">
            <v>1433</v>
          </cell>
          <cell r="B105">
            <v>16</v>
          </cell>
          <cell r="C105" t="str">
            <v>PUENTE ARANDA</v>
          </cell>
          <cell r="D105" t="str">
            <v>PRIVADO_IETDH</v>
          </cell>
          <cell r="E105" t="str">
            <v>IETDH</v>
          </cell>
          <cell r="F105" t="str">
            <v>CENTRO_DE_ENSEÑANZA_AUTOMOVILISTICA_VIA_LIBRE_CENTRO_MAYOR_S.A.S.</v>
          </cell>
          <cell r="G105" t="str">
            <v>CENTRO DE ENSEÑANZA AUTOMOVILISTICA VIA LIBRE CENTRO MAYOR S.A.S.</v>
          </cell>
          <cell r="H105" t="str">
            <v>IETDH priorizadas por cada ELIV (seguimiento a PMI, que no se hayan visitado en los últimos 3 años)</v>
          </cell>
          <cell r="I105" t="str">
            <v>SEGUIMIENTO_Y_SUPERVISIÓN.</v>
          </cell>
          <cell r="J105"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5" t="str">
            <v>OSCAR GERMAN CLAVIJO PALACIOS</v>
          </cell>
          <cell r="L105" t="str">
            <v>ALBERTO ESCARRAGA PEÑUELA</v>
          </cell>
          <cell r="M105">
            <v>45888</v>
          </cell>
          <cell r="N105">
            <v>45888</v>
          </cell>
          <cell r="O105">
            <v>45888</v>
          </cell>
          <cell r="P105" t="str">
            <v>Visitas de evaluación con fines de mejoramiento</v>
          </cell>
          <cell r="Q105" t="str">
            <v>VISITA ADMINISTRATIVA-CEA-VIA-LIBRE-19-08-2025.pdf</v>
          </cell>
          <cell r="R105" t="str">
            <v>Se evidencia que el reporte de matricula se hace el el SIET, lo que permitió evidenciar numero de matricula contra certificados, conforme a los datos referidos en el  numeral 3 del acta de visita</v>
          </cell>
          <cell r="S105" t="str">
            <v xml:space="preserve">En el manual de procedimientos y en el mismo Manual de Convivencia se debe definir lo pertinente al proceso de inscripción o matricula </v>
          </cell>
          <cell r="T105" t="str">
            <v>Si</v>
          </cell>
          <cell r="U105" t="str">
            <v>Debe presentar plan de mejhoramiento el 19 de Septiembre de 2025</v>
          </cell>
        </row>
        <row r="106">
          <cell r="A106">
            <v>1434</v>
          </cell>
          <cell r="B106">
            <v>16</v>
          </cell>
          <cell r="C106" t="str">
            <v>PUENTE ARANDA</v>
          </cell>
          <cell r="D106" t="str">
            <v>PRIVADO_IETDH</v>
          </cell>
          <cell r="E106" t="str">
            <v>IETDH</v>
          </cell>
          <cell r="F106" t="str">
            <v>CENTRO_DE_ENSEÑANZA_AUTOMOVILISTICA_VIA_LIBRE_CENTRO_MAYOR_S.A.S.</v>
          </cell>
          <cell r="G106" t="str">
            <v>CENTRO DE ENSEÑANZA AUTOMOVILISTICA VIA LIBRE CENTRO MAYOR S.A.S.</v>
          </cell>
          <cell r="H106" t="str">
            <v>IETDH priorizadas por cada ELIV (seguimiento a PMI, que no se hayan visitado en los últimos 3 años)</v>
          </cell>
          <cell r="I106" t="str">
            <v>SEGUIMIENTO_Y_SUPERVISIÓN.</v>
          </cell>
          <cell r="J106" t="str">
            <v>Adelantar visitas para verificar que el desarrollo de los programas de ETDH, esté de acuerdo con lo autorizado y la normatividad vigente, para propender por su pertinencia, legalidad y actualización constante.</v>
          </cell>
          <cell r="K106" t="str">
            <v>OSCAR GERMAN CLAVIJO PALACIOS</v>
          </cell>
          <cell r="L106" t="str">
            <v>ALBERTO ESCARRAGA PEÑUELA</v>
          </cell>
          <cell r="M106">
            <v>45888</v>
          </cell>
          <cell r="N106">
            <v>45888</v>
          </cell>
          <cell r="O106">
            <v>45888</v>
          </cell>
          <cell r="P106" t="str">
            <v>Visitas de evaluación con fines de mejoramiento</v>
          </cell>
          <cell r="Q106" t="str">
            <v>VISITA ADMINISTRATIVA-CEA-VIA-LIBRE-19-08-2025.pdf</v>
          </cell>
          <cell r="R106" t="str">
            <v xml:space="preserve">Se evidencia que el Manual de convivencia o reglamento de estudiante, carese de varias tematicas, como el tema de inclusión, dversidad, justicia restaurativa, debido proceso, protocolos de atención, Siste Institucional de Evaluación </v>
          </cell>
          <cell r="S106" t="str">
            <v xml:space="preserve">Es necesario actualizar el Manual de Convivencia, con forme a las nuevas exigencias legales y en los temas referidos como no incluidos. Ademas el acta de probación del mismo manual </v>
          </cell>
          <cell r="T106" t="str">
            <v>Si</v>
          </cell>
          <cell r="U106" t="str">
            <v>Debe presentar plan de mejhoramiento el 19 de Septiembre de 2025, e</v>
          </cell>
        </row>
        <row r="107">
          <cell r="A107">
            <v>1435</v>
          </cell>
          <cell r="B107">
            <v>16</v>
          </cell>
          <cell r="C107" t="str">
            <v>PUENTE ARANDA</v>
          </cell>
          <cell r="D107" t="str">
            <v>PRIVADO_IETDH</v>
          </cell>
          <cell r="E107" t="str">
            <v>IETDH</v>
          </cell>
          <cell r="F107" t="str">
            <v>CENTRO_DE_ENSEÑANZA_AUTOMOVILISTICA_VIA_LIBRE_CENTRO_MAYOR_S.A.S.</v>
          </cell>
          <cell r="G107" t="str">
            <v>CENTRO DE ENSEÑANZA AUTOMOVILISTICA VIA LIBRE CENTRO MAYOR S.A.S.</v>
          </cell>
          <cell r="H107" t="str">
            <v>IETDH priorizadas por cada ELIV (seguimiento a PMI, que no se hayan visitado en los últimos 3 años)</v>
          </cell>
          <cell r="I107" t="str">
            <v>EVALUACIÓN_CON_FINES_DE_MEJORAMIENTO.</v>
          </cell>
          <cell r="J107" t="str">
            <v>Verificar las condiciones en cuanto a: la estructura administrativa, condiciones de la planta física y medios educativos adecuados.</v>
          </cell>
          <cell r="K107" t="str">
            <v>OSCAR GERMAN CLAVIJO PALACIOS</v>
          </cell>
          <cell r="L107" t="str">
            <v>ALBERTO ESCARRAGA PEÑUELA</v>
          </cell>
          <cell r="M107">
            <v>45888</v>
          </cell>
          <cell r="N107">
            <v>19</v>
          </cell>
          <cell r="O107">
            <v>45888</v>
          </cell>
          <cell r="P107" t="str">
            <v>Visitas de evaluación con fines de mejoramiento</v>
          </cell>
          <cell r="Q107" t="str">
            <v>VISITA ADMINISTRATIVA-CEA-VIA-LIBRE-19-08-2025.pdf</v>
          </cell>
          <cell r="R107" t="str">
            <v>La planta física es adecuada para la cantidad de estudiantes, debidamente demarcada y con los mkedios de seguridad requeridos por el PEGR.Las areas de atención y del proceso educativo estan claramente definidas en la misma planta fisica y en el organigrama.</v>
          </cell>
          <cell r="S107" t="str">
            <v>Se requiere dentro de su oganización mejorar lo siguiente: - Formalizar el cambio de propietareios y director; - Organozar el area de archivo, con el fin de mejorar la ubicación de los documentos; - Se debe aportar lo pertinente al tema de auto evaluación institucional (instrumentos y estrategias de mejoramiento); - Se debe apotar Manual de Funciones, de procesos y poner al dia el PEGR y CC en cada una de las jornadas</v>
          </cell>
          <cell r="T107" t="str">
            <v>Si</v>
          </cell>
          <cell r="U107" t="str">
            <v>Debe presentar plan de mejhoramiento el 19 de Septiembre de 2025, e</v>
          </cell>
        </row>
        <row r="108">
          <cell r="A108">
            <v>1436</v>
          </cell>
          <cell r="B108">
            <v>17</v>
          </cell>
          <cell r="C108" t="str">
            <v>PUENTE ARANDA</v>
          </cell>
          <cell r="D108" t="str">
            <v>PRIVADO_IETDH</v>
          </cell>
          <cell r="E108" t="str">
            <v>IETDH</v>
          </cell>
          <cell r="F108" t="str">
            <v>ESCUELA_DE_AUXILIARES_DE_ENFERMERIA_ESAE</v>
          </cell>
          <cell r="G108" t="str">
            <v>ESCUELA DE AUXILIARES DE ENFERMERIA ESAE</v>
          </cell>
          <cell r="H108" t="str">
            <v>IETDH priorizadas por cada ELIV (seguimiento a PMI, que no se hayan visitado en los últimos 3 años)</v>
          </cell>
          <cell r="I108" t="str">
            <v>SEGUIMIENTO_Y_SUPERVISIÓN.</v>
          </cell>
          <cell r="J108"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8" t="str">
            <v>ALBERTO ESCARRAGA PEÑUELA</v>
          </cell>
          <cell r="L108" t="str">
            <v>IGNACIO ABDÓN MONTENEGRO ALDANA</v>
          </cell>
          <cell r="M108">
            <v>45897</v>
          </cell>
          <cell r="N108">
            <v>45898</v>
          </cell>
          <cell r="O108">
            <v>45898</v>
          </cell>
          <cell r="P108" t="str">
            <v>Visitas de evaluación con fines de mejoramiento</v>
          </cell>
          <cell r="Q108" t="str">
            <v>ESCUELA DE AUXILIARES DE ENFERMERIA ESAE</v>
          </cell>
          <cell r="R108" t="str">
            <v xml:space="preserve">Se encontró que la institución no tiene organizado los archivos de los registros acádemicos de la instutución </v>
          </cell>
          <cell r="S108" t="str">
            <v>la institución debe adelantar la organización de los artchivos de acuerdo con las normas archivisticas y las tablas de retención documental .</v>
          </cell>
          <cell r="T108" t="str">
            <v>si</v>
          </cell>
          <cell r="U108" t="str">
            <v>Debe presentar el plna de mejoramiento para el próximo 21 de septiembre de 2025. con primer avance el 20 de noviembre de 2025 y segundo avances 15 de mayo de 2026</v>
          </cell>
        </row>
        <row r="109">
          <cell r="A109">
            <v>1437</v>
          </cell>
          <cell r="B109">
            <v>17</v>
          </cell>
          <cell r="C109" t="str">
            <v>PUENTE ARANDA</v>
          </cell>
          <cell r="D109" t="str">
            <v>PRIVADO_IETDH</v>
          </cell>
          <cell r="E109" t="str">
            <v>IETDH</v>
          </cell>
          <cell r="F109" t="str">
            <v>ESCUELA_DE_AUXILIARES_DE_ENFERMERIA_ESAE</v>
          </cell>
          <cell r="G109" t="str">
            <v>ESCUELA DE AUXILIARES DE ENFERMERIA ESAE</v>
          </cell>
          <cell r="H109" t="str">
            <v>IETDH priorizadas por cada ELIV (seguimiento a PMI, que no se hayan visitado en los últimos 3 años)</v>
          </cell>
          <cell r="I109" t="str">
            <v>SEGUIMIENTO_Y_SUPERVISIÓN.</v>
          </cell>
          <cell r="J109" t="str">
            <v>Adelantar visitas para verificar que el desarrollo de los programas de ETDH, esté de acuerdo con lo autorizado y la normatividad vigente, para propender por su pertinencia, legalidad y actualización constante.</v>
          </cell>
          <cell r="K109" t="str">
            <v>ALBERTO ESCARRAGA PEÑUELA</v>
          </cell>
          <cell r="L109" t="str">
            <v>IGNACIO ABDÓN MONTENEGRO ALDANA</v>
          </cell>
          <cell r="M109">
            <v>45897</v>
          </cell>
          <cell r="N109">
            <v>45898</v>
          </cell>
          <cell r="O109">
            <v>45898</v>
          </cell>
          <cell r="P109" t="str">
            <v>Visitas de evaluación con fines de mejoramiento</v>
          </cell>
          <cell r="Q109" t="str">
            <v>ESCUELA DE AUXILIARES DE ENFERMERIA ESAE</v>
          </cell>
          <cell r="R109" t="str">
            <v xml:space="preserve">Se encontró que la instución expide las certificaciones con un nombre diferente al registrado en la licencia de funcionamiento </v>
          </cell>
          <cell r="S109" t="str">
            <v>la institución debe adelantar las acciones pertinentes para que las certificaciones salgan con el nombre de la institución que esta registrada en la resolución de la licencia de funcionamiento.</v>
          </cell>
          <cell r="T109" t="str">
            <v>SI</v>
          </cell>
          <cell r="U109" t="str">
            <v>Debe presentar el plna de mejoramiento para el próximo 21 de septiembre de 2025. con primer avance el 20 de noviembre de 2025 y segundo avances 15 de mayo de 2026</v>
          </cell>
        </row>
        <row r="110">
          <cell r="A110">
            <v>1438</v>
          </cell>
          <cell r="B110">
            <v>17</v>
          </cell>
          <cell r="C110" t="str">
            <v>PUENTE ARANDA</v>
          </cell>
          <cell r="D110" t="str">
            <v>PRIVADO_IETDH</v>
          </cell>
          <cell r="E110" t="str">
            <v>IETDH</v>
          </cell>
          <cell r="F110" t="str">
            <v>ESCUELA_DE_AUXILIARES_DE_ENFERMERIA_ESAE</v>
          </cell>
          <cell r="G110" t="str">
            <v>ESCUELA DE AUXILIARES DE ENFERMERIA ESAE</v>
          </cell>
          <cell r="H110" t="str">
            <v>IETDH priorizadas por cada ELIV (seguimiento a PMI, que no se hayan visitado en los últimos 3 años)</v>
          </cell>
          <cell r="I110" t="str">
            <v>EVALUACIÓN_CON_FINES_DE_MEJORAMIENTO.</v>
          </cell>
          <cell r="J110" t="str">
            <v>Verificar las condiciones en cuanto a: la estructura administrativa, condiciones de la planta física y medios educativos adecuados.</v>
          </cell>
          <cell r="K110" t="str">
            <v>ALBERTO ESCARRAGA PEÑUELA</v>
          </cell>
          <cell r="L110" t="str">
            <v>IGNACIO ABDÓN MONTENEGRO ALDANA</v>
          </cell>
          <cell r="M110">
            <v>45897</v>
          </cell>
          <cell r="N110">
            <v>45898</v>
          </cell>
          <cell r="O110">
            <v>45898</v>
          </cell>
          <cell r="P110" t="str">
            <v>Visitas de evaluación con fines de mejoramiento</v>
          </cell>
          <cell r="Q110" t="str">
            <v>ESCUELA DE AUXILIARES DE ENFERMERIA ESAE</v>
          </cell>
          <cell r="R110" t="str">
            <v>Se encontró que las instalaciones de la institución no cuentan con buena iluminación natural ni ventilización cruzada.</v>
          </cell>
          <cell r="S110" t="str">
            <v xml:space="preserve">La insititución debe mejorar las condiciones de la aulas en terminos de iluminación y ventilización cruzada </v>
          </cell>
          <cell r="T110" t="str">
            <v>si</v>
          </cell>
          <cell r="U110" t="str">
            <v>Debe presentar el plan de mejoramiento para el próximo 21 de septiembre de 2025. con primer avance el 20 de noviembre de 2025 y segundo avances 15 de mayo de 2026</v>
          </cell>
        </row>
        <row r="111">
          <cell r="A111"/>
          <cell r="B111"/>
          <cell r="C111"/>
          <cell r="D111"/>
          <cell r="E111"/>
          <cell r="F111"/>
          <cell r="G111"/>
          <cell r="H111"/>
          <cell r="I111"/>
          <cell r="J111"/>
          <cell r="K111"/>
          <cell r="L111"/>
          <cell r="M111"/>
          <cell r="N111"/>
          <cell r="O111"/>
          <cell r="P111"/>
          <cell r="Q111"/>
          <cell r="R111"/>
          <cell r="S111"/>
          <cell r="U111"/>
        </row>
        <row r="112">
          <cell r="A112"/>
          <cell r="B112"/>
          <cell r="C112"/>
          <cell r="D112"/>
          <cell r="E112"/>
          <cell r="F112"/>
          <cell r="G112"/>
          <cell r="H112"/>
          <cell r="I112"/>
          <cell r="J112"/>
          <cell r="K112"/>
          <cell r="L112"/>
          <cell r="M112"/>
          <cell r="N112"/>
          <cell r="O112"/>
          <cell r="P112"/>
          <cell r="Q112"/>
          <cell r="R112"/>
          <cell r="S112"/>
          <cell r="U112"/>
        </row>
        <row r="113">
          <cell r="A113">
            <v>1435</v>
          </cell>
          <cell r="B113"/>
          <cell r="C113"/>
          <cell r="D113"/>
          <cell r="E113"/>
          <cell r="F113"/>
          <cell r="G113"/>
          <cell r="H113"/>
          <cell r="I113"/>
          <cell r="J113"/>
          <cell r="K113"/>
          <cell r="L113"/>
          <cell r="M113"/>
          <cell r="N113"/>
          <cell r="O113"/>
          <cell r="P113"/>
          <cell r="Q113"/>
          <cell r="R113"/>
          <cell r="S113"/>
          <cell r="T113"/>
          <cell r="U113"/>
        </row>
        <row r="114">
          <cell r="A114"/>
          <cell r="B114"/>
          <cell r="C114"/>
          <cell r="D114"/>
          <cell r="E114"/>
          <cell r="F114"/>
          <cell r="G114"/>
          <cell r="H114"/>
          <cell r="I114"/>
          <cell r="J114"/>
          <cell r="K114"/>
          <cell r="L114"/>
          <cell r="M114"/>
          <cell r="N114"/>
          <cell r="O114"/>
          <cell r="P114"/>
          <cell r="Q114"/>
          <cell r="R114"/>
          <cell r="S114"/>
          <cell r="T114"/>
          <cell r="U114"/>
        </row>
        <row r="115">
          <cell r="A115"/>
          <cell r="B115"/>
          <cell r="C115"/>
          <cell r="D115"/>
          <cell r="E115"/>
          <cell r="F115"/>
          <cell r="G115"/>
          <cell r="H115"/>
          <cell r="I115"/>
          <cell r="J115"/>
          <cell r="K115"/>
          <cell r="L115"/>
          <cell r="M115"/>
          <cell r="N115"/>
          <cell r="O115"/>
          <cell r="P115"/>
          <cell r="Q115"/>
          <cell r="R115"/>
          <cell r="S115"/>
          <cell r="T115"/>
          <cell r="U115"/>
        </row>
        <row r="116">
          <cell r="M116"/>
          <cell r="N116"/>
          <cell r="O116"/>
          <cell r="Q116"/>
          <cell r="R116"/>
          <cell r="S116"/>
          <cell r="U116"/>
        </row>
        <row r="117">
          <cell r="M117"/>
          <cell r="N117"/>
          <cell r="O117"/>
          <cell r="Q117"/>
          <cell r="R117"/>
          <cell r="S117"/>
          <cell r="U117"/>
        </row>
        <row r="118">
          <cell r="M118"/>
          <cell r="N118"/>
          <cell r="O118"/>
          <cell r="Q118"/>
          <cell r="R118"/>
          <cell r="S118"/>
          <cell r="U118"/>
        </row>
        <row r="119">
          <cell r="M119"/>
          <cell r="N119"/>
          <cell r="O119"/>
          <cell r="Q119"/>
          <cell r="R119"/>
          <cell r="S119"/>
          <cell r="U119"/>
        </row>
        <row r="120">
          <cell r="M120"/>
          <cell r="N120"/>
          <cell r="O120"/>
          <cell r="Q120"/>
          <cell r="R120"/>
          <cell r="S120"/>
          <cell r="U120"/>
        </row>
        <row r="121">
          <cell r="M121"/>
          <cell r="N121"/>
          <cell r="O121"/>
          <cell r="Q121"/>
          <cell r="R121"/>
          <cell r="S121"/>
          <cell r="U121"/>
        </row>
        <row r="122">
          <cell r="M122"/>
          <cell r="N122"/>
          <cell r="O122"/>
          <cell r="Q122"/>
          <cell r="R122"/>
          <cell r="S122"/>
          <cell r="U122"/>
        </row>
        <row r="123">
          <cell r="M123"/>
          <cell r="N123"/>
          <cell r="O123"/>
          <cell r="Q123"/>
          <cell r="R123"/>
          <cell r="S123"/>
          <cell r="U123"/>
        </row>
        <row r="124">
          <cell r="M124"/>
          <cell r="N124"/>
          <cell r="O124"/>
          <cell r="Q124"/>
          <cell r="R124"/>
          <cell r="S124"/>
          <cell r="U124"/>
        </row>
        <row r="125">
          <cell r="M125"/>
          <cell r="N125"/>
          <cell r="O125"/>
          <cell r="Q125"/>
          <cell r="R125"/>
          <cell r="S125"/>
          <cell r="U125"/>
        </row>
        <row r="126">
          <cell r="M126"/>
          <cell r="N126"/>
          <cell r="O126"/>
          <cell r="Q126"/>
          <cell r="R126"/>
          <cell r="S126"/>
          <cell r="U126"/>
        </row>
        <row r="127">
          <cell r="M127"/>
          <cell r="N127"/>
          <cell r="O127"/>
          <cell r="Q127"/>
          <cell r="R127"/>
          <cell r="S127"/>
          <cell r="U127"/>
        </row>
        <row r="128">
          <cell r="M128"/>
          <cell r="N128"/>
          <cell r="O128"/>
          <cell r="Q128"/>
          <cell r="R128"/>
          <cell r="S128"/>
          <cell r="U128"/>
        </row>
        <row r="129">
          <cell r="M129"/>
          <cell r="N129"/>
          <cell r="O129"/>
          <cell r="Q129"/>
          <cell r="R129"/>
          <cell r="S129"/>
          <cell r="U129"/>
        </row>
        <row r="130">
          <cell r="M130"/>
          <cell r="N130"/>
          <cell r="O130"/>
          <cell r="Q130"/>
          <cell r="R130"/>
          <cell r="S130"/>
          <cell r="U130"/>
        </row>
        <row r="131">
          <cell r="M131"/>
          <cell r="N131"/>
          <cell r="O131"/>
          <cell r="Q131"/>
          <cell r="R131"/>
          <cell r="S131"/>
          <cell r="U131"/>
        </row>
        <row r="132">
          <cell r="M132"/>
          <cell r="N132"/>
          <cell r="O132"/>
          <cell r="Q132"/>
          <cell r="R132"/>
          <cell r="S132"/>
          <cell r="U132"/>
        </row>
        <row r="133">
          <cell r="M133"/>
          <cell r="N133"/>
          <cell r="O133"/>
          <cell r="Q133"/>
          <cell r="R133"/>
          <cell r="S133"/>
          <cell r="U133"/>
        </row>
        <row r="134">
          <cell r="M134"/>
          <cell r="N134"/>
          <cell r="O134"/>
          <cell r="Q134"/>
          <cell r="R134"/>
          <cell r="S134"/>
          <cell r="U134"/>
        </row>
        <row r="135">
          <cell r="M135"/>
          <cell r="N135"/>
          <cell r="O135"/>
          <cell r="Q135"/>
          <cell r="R135"/>
          <cell r="S135"/>
          <cell r="U135"/>
        </row>
        <row r="136">
          <cell r="M136"/>
          <cell r="N136"/>
          <cell r="O136"/>
          <cell r="Q136"/>
          <cell r="R136"/>
          <cell r="S136"/>
          <cell r="U136"/>
        </row>
        <row r="137">
          <cell r="M137"/>
          <cell r="N137"/>
          <cell r="O137"/>
          <cell r="Q137"/>
          <cell r="R137"/>
          <cell r="S137"/>
          <cell r="U137"/>
        </row>
        <row r="138">
          <cell r="M138"/>
          <cell r="N138"/>
          <cell r="O138"/>
          <cell r="Q138"/>
          <cell r="R138"/>
          <cell r="S138"/>
          <cell r="U138"/>
        </row>
        <row r="139">
          <cell r="M139"/>
          <cell r="N139"/>
          <cell r="O139"/>
          <cell r="Q139"/>
          <cell r="R139"/>
          <cell r="S139"/>
          <cell r="U139"/>
        </row>
        <row r="140">
          <cell r="M140"/>
          <cell r="N140"/>
          <cell r="O140"/>
          <cell r="Q140"/>
          <cell r="R140"/>
          <cell r="S140"/>
          <cell r="U140"/>
        </row>
        <row r="141">
          <cell r="M141"/>
          <cell r="N141"/>
          <cell r="O141"/>
          <cell r="Q141"/>
          <cell r="R141"/>
          <cell r="S141"/>
          <cell r="U141"/>
        </row>
        <row r="142">
          <cell r="M142"/>
          <cell r="N142"/>
          <cell r="O142"/>
          <cell r="Q142"/>
          <cell r="R142"/>
          <cell r="S142"/>
          <cell r="U142"/>
        </row>
        <row r="143">
          <cell r="M143"/>
          <cell r="N143"/>
          <cell r="O143"/>
          <cell r="Q143"/>
          <cell r="R143"/>
          <cell r="S143"/>
          <cell r="U143"/>
        </row>
        <row r="144">
          <cell r="M144"/>
          <cell r="N144"/>
          <cell r="O144"/>
          <cell r="Q144"/>
          <cell r="R144"/>
          <cell r="S144"/>
          <cell r="U144"/>
        </row>
        <row r="145">
          <cell r="M145"/>
          <cell r="N145"/>
          <cell r="O145"/>
          <cell r="Q145"/>
          <cell r="R145"/>
          <cell r="S145"/>
          <cell r="U145"/>
        </row>
        <row r="146">
          <cell r="M146"/>
          <cell r="N146"/>
          <cell r="O146"/>
          <cell r="Q146"/>
          <cell r="R146"/>
          <cell r="S146"/>
          <cell r="U146"/>
        </row>
        <row r="147">
          <cell r="M147"/>
          <cell r="N147"/>
          <cell r="O147"/>
          <cell r="Q147"/>
          <cell r="R147"/>
          <cell r="S147"/>
          <cell r="U147"/>
        </row>
        <row r="148">
          <cell r="M148"/>
          <cell r="N148"/>
          <cell r="O148"/>
          <cell r="Q148"/>
          <cell r="R148"/>
          <cell r="S148"/>
          <cell r="U148"/>
        </row>
        <row r="149">
          <cell r="M149"/>
          <cell r="N149"/>
          <cell r="O149"/>
          <cell r="Q149"/>
          <cell r="R149"/>
          <cell r="S149"/>
          <cell r="U149"/>
        </row>
        <row r="150">
          <cell r="M150"/>
          <cell r="N150"/>
          <cell r="O150"/>
          <cell r="Q150"/>
          <cell r="R150"/>
          <cell r="S150"/>
          <cell r="U150"/>
        </row>
        <row r="151">
          <cell r="M151"/>
          <cell r="N151"/>
          <cell r="O151"/>
          <cell r="Q151"/>
          <cell r="R151"/>
          <cell r="S151"/>
          <cell r="U151"/>
        </row>
        <row r="152">
          <cell r="M152"/>
          <cell r="N152"/>
          <cell r="O152"/>
          <cell r="Q152"/>
          <cell r="R152"/>
          <cell r="S152"/>
          <cell r="U152"/>
        </row>
        <row r="153">
          <cell r="M153"/>
          <cell r="N153"/>
          <cell r="O153"/>
          <cell r="Q153"/>
          <cell r="R153"/>
          <cell r="S153"/>
          <cell r="U153"/>
        </row>
        <row r="154">
          <cell r="M154"/>
          <cell r="N154"/>
          <cell r="O154"/>
          <cell r="Q154"/>
          <cell r="R154"/>
          <cell r="S154"/>
          <cell r="U154"/>
        </row>
        <row r="155">
          <cell r="M155"/>
          <cell r="N155"/>
          <cell r="O155"/>
          <cell r="Q155"/>
          <cell r="R155"/>
          <cell r="S155"/>
          <cell r="U155"/>
        </row>
        <row r="156">
          <cell r="M156"/>
          <cell r="N156"/>
          <cell r="O156"/>
          <cell r="Q156"/>
          <cell r="R156"/>
          <cell r="S156"/>
          <cell r="U156"/>
        </row>
        <row r="157">
          <cell r="M157"/>
          <cell r="N157"/>
          <cell r="O157"/>
          <cell r="Q157"/>
          <cell r="R157"/>
          <cell r="S157"/>
          <cell r="U157"/>
        </row>
        <row r="158">
          <cell r="M158"/>
          <cell r="N158"/>
          <cell r="O158"/>
          <cell r="Q158"/>
          <cell r="R158"/>
          <cell r="S158"/>
          <cell r="U158"/>
        </row>
        <row r="159">
          <cell r="M159"/>
          <cell r="N159"/>
          <cell r="O159"/>
          <cell r="Q159"/>
          <cell r="R159"/>
          <cell r="S159"/>
          <cell r="U159"/>
        </row>
        <row r="160">
          <cell r="M160"/>
          <cell r="N160"/>
          <cell r="O160"/>
          <cell r="Q160"/>
          <cell r="R160"/>
          <cell r="S160"/>
          <cell r="U160"/>
        </row>
        <row r="161">
          <cell r="M161"/>
          <cell r="N161"/>
          <cell r="O161"/>
          <cell r="Q161"/>
          <cell r="R161"/>
          <cell r="S161"/>
          <cell r="U161"/>
        </row>
        <row r="162">
          <cell r="M162"/>
          <cell r="N162"/>
          <cell r="O162"/>
          <cell r="Q162"/>
          <cell r="R162"/>
          <cell r="S162"/>
          <cell r="U162"/>
        </row>
        <row r="163">
          <cell r="M163"/>
          <cell r="N163"/>
          <cell r="O163"/>
          <cell r="Q163"/>
          <cell r="R163"/>
          <cell r="S163"/>
          <cell r="U163"/>
        </row>
        <row r="164">
          <cell r="M164"/>
          <cell r="N164"/>
          <cell r="O164"/>
          <cell r="Q164"/>
          <cell r="R164"/>
          <cell r="S164"/>
          <cell r="U164"/>
        </row>
        <row r="165">
          <cell r="M165"/>
          <cell r="N165"/>
          <cell r="O165"/>
          <cell r="Q165"/>
          <cell r="R165"/>
          <cell r="S165"/>
          <cell r="U165"/>
        </row>
        <row r="166">
          <cell r="M166"/>
          <cell r="N166"/>
          <cell r="O166"/>
          <cell r="Q166"/>
          <cell r="R166"/>
          <cell r="S166"/>
          <cell r="U166"/>
        </row>
        <row r="167">
          <cell r="M167"/>
          <cell r="N167"/>
          <cell r="O167"/>
          <cell r="Q167"/>
          <cell r="R167"/>
          <cell r="S167"/>
          <cell r="U167"/>
        </row>
        <row r="168">
          <cell r="M168"/>
          <cell r="N168"/>
          <cell r="O168"/>
          <cell r="Q168"/>
          <cell r="R168"/>
          <cell r="S168"/>
          <cell r="U168"/>
        </row>
        <row r="169">
          <cell r="M169"/>
          <cell r="N169"/>
          <cell r="O169"/>
          <cell r="Q169"/>
          <cell r="R169"/>
          <cell r="S169"/>
          <cell r="U169"/>
        </row>
        <row r="170">
          <cell r="M170"/>
          <cell r="N170"/>
          <cell r="O170"/>
          <cell r="Q170"/>
          <cell r="R170"/>
          <cell r="S170"/>
        </row>
        <row r="171">
          <cell r="M171"/>
          <cell r="N171"/>
          <cell r="O171"/>
          <cell r="Q171"/>
          <cell r="R171"/>
          <cell r="S171"/>
        </row>
        <row r="172">
          <cell r="M172"/>
          <cell r="N172"/>
          <cell r="O172"/>
          <cell r="Q172"/>
          <cell r="R172"/>
          <cell r="S172"/>
        </row>
        <row r="173">
          <cell r="Q173"/>
          <cell r="R173"/>
          <cell r="S173"/>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WJ7HVDKSMB5CLYZHX4HIHDM4J">
      <xxl21:absoluteUrl r:id="rId3"/>
      <xxl21:relativeUrl r:id="rId4"/>
    </xxl21:alternateUrls>
    <sheetNames>
      <sheetName val="DEMANDA"/>
      <sheetName val="PRIORIZADOS"/>
      <sheetName val="MESAS DIRECTIVOS IE"/>
      <sheetName val="MANUALES DE CONVIVENCIA IED"/>
      <sheetName val="PEGRCC Y GOBIERNOS ESCOLARES"/>
      <sheetName val="OTRAS ACTUACIONES"/>
      <sheetName val="OPERACIONES-ACTIVIDADES"/>
      <sheetName val="COLEGIOS"/>
      <sheetName val="LISTAS"/>
      <sheetName val="ACTIVIDADES  "/>
    </sheetNames>
    <sheetDataSet>
      <sheetData sheetId="0"/>
      <sheetData sheetId="1">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18. RAFAEL URIBE URIBE</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B7" t="str">
            <v>NÚMERO DE EE
(Enumere los EE que serán visitados en el período)</v>
          </cell>
          <cell r="C7" t="str">
            <v xml:space="preserve">LOCALIDAD </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FUNCIONARIO (S)
CORRESPONSABLE/(S)
(Nombre y apellido del coresponsable de ejecutar la actividad)</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seguimiento y/o verificación realizada o por realizar sobre los compromisos o PMI acordados)</v>
          </cell>
        </row>
        <row r="8">
          <cell r="A8">
            <v>1462</v>
          </cell>
          <cell r="B8">
            <v>1</v>
          </cell>
          <cell r="C8" t="str">
            <v>RAFAEL URIBE URIBE</v>
          </cell>
          <cell r="D8" t="str">
            <v>PRIVADO</v>
          </cell>
          <cell r="E8" t="str">
            <v>Educación de Jóvenes y Adultos</v>
          </cell>
          <cell r="F8" t="str">
            <v>CENTRO_DE_EDUCACION_FORMAL_ROBERT_HOOKE</v>
          </cell>
          <cell r="G8" t="str">
            <v>CENTRO_DE_EDUCACION_FORMAL_ROBERT_HOOKE</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DORY CONSTANZA SANCHEZ ARAGÓN</v>
          </cell>
          <cell r="L8" t="str">
            <v>MURARY ALBERTO CASTILLO FUENTES</v>
          </cell>
          <cell r="M8">
            <v>45733</v>
          </cell>
          <cell r="N8">
            <v>45735</v>
          </cell>
          <cell r="O8">
            <v>45735</v>
          </cell>
          <cell r="P8" t="str">
            <v>Visitas de evaluación con fines de mejoramiento</v>
          </cell>
          <cell r="Q8" t="str">
            <v>19-03-2025 Robert Hooke.pdf</v>
          </cell>
          <cell r="R8" t="str">
            <v>Se evidencio que los docentes estan contratados por horas y se paga seguridad social solo para 2 personas administrativas de la institución.</v>
          </cell>
          <cell r="S8" t="str">
            <v>Realizar contratos y pago de seguridad social a los docentes. Presentar plan de mejoramiento 25 de abril de 2025</v>
          </cell>
          <cell r="T8" t="str">
            <v>Si</v>
          </cell>
          <cell r="U8" t="str">
            <v>Revisar PM y verificar que se ajuste a las observaciones realizadas.</v>
          </cell>
        </row>
        <row r="9">
          <cell r="A9">
            <v>1463</v>
          </cell>
          <cell r="B9"/>
          <cell r="C9" t="str">
            <v>RAFAEL URIBE URIBE</v>
          </cell>
          <cell r="D9" t="str">
            <v>PRIVADO</v>
          </cell>
          <cell r="E9" t="str">
            <v>Educación de Jóvenes y Adultos</v>
          </cell>
          <cell r="F9" t="str">
            <v>CENTRO_DE_EDUCACION_FORMAL_ROBERT_HOOKE</v>
          </cell>
          <cell r="G9" t="str">
            <v>CENTRO_DE_EDUCACION_FORMAL_ROBERT_HOOKE</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DORY CONSTANZA SANCHEZ ARAGÓN</v>
          </cell>
          <cell r="L9" t="str">
            <v>MURARY ALBERTO CASTILLO FUENTES</v>
          </cell>
          <cell r="M9">
            <v>45733</v>
          </cell>
          <cell r="N9">
            <v>45735</v>
          </cell>
          <cell r="O9">
            <v>45735</v>
          </cell>
          <cell r="P9" t="str">
            <v>Visitas de evaluación con fines de mejoramiento</v>
          </cell>
          <cell r="Q9" t="str">
            <v>19-03-2025 Robert Hooke.pdf</v>
          </cell>
          <cell r="R9"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9" t="str">
            <v>Realizar analisis de las Pruebas Saber y establecer acciones pertinentes. Presentar plan de mejoramiento el 25 de abril de 2025</v>
          </cell>
          <cell r="T9" t="str">
            <v>Si</v>
          </cell>
          <cell r="U9" t="str">
            <v>Revisar PM y verificar que se ajuste a las observaciones realizadas.</v>
          </cell>
        </row>
        <row r="10">
          <cell r="A10">
            <v>1464</v>
          </cell>
          <cell r="B10"/>
          <cell r="C10" t="str">
            <v>RAFAEL URIBE URIBE</v>
          </cell>
          <cell r="D10" t="str">
            <v>PRIVADO</v>
          </cell>
          <cell r="E10" t="str">
            <v>Educación de Jóvenes y Adultos</v>
          </cell>
          <cell r="F10" t="str">
            <v>CENTRO_DE_EDUCACION_FORMAL_ROBERT_HOOKE</v>
          </cell>
          <cell r="G10" t="str">
            <v>CENTRO_DE_EDUCACION_FORMAL_ROBERT_HOOKE</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DORY CONSTANZA SANCHEZ ARAGÓN</v>
          </cell>
          <cell r="L10" t="str">
            <v>MURARY ALBERTO CASTILLO FUENTES</v>
          </cell>
          <cell r="M10">
            <v>45733</v>
          </cell>
          <cell r="N10">
            <v>45735</v>
          </cell>
          <cell r="O10">
            <v>45735</v>
          </cell>
          <cell r="P10" t="str">
            <v>Visitas de evaluación con fines de mejoramiento</v>
          </cell>
          <cell r="Q10" t="str">
            <v>19-03-2025 Robert Hooke.pdf</v>
          </cell>
          <cell r="R10" t="str">
            <v>La institución no cuentan con actas donde se evidencie el funcionamiento del comité de convivencia escolar.
No se ha verificado a los empleados inhabilidadades por delitos sexuales cada 4 meses.</v>
          </cell>
          <cell r="S10" t="str">
            <v>Realizar reuniones del comité de convivencia escolar cada 2 meses con su soporte. Verificar inhanilidades de los empleados cada 4 meses. Presentar plan de mejoramiento el 25 de abril de 2025</v>
          </cell>
          <cell r="T10" t="str">
            <v>Si</v>
          </cell>
          <cell r="U10" t="str">
            <v>Revisar PM y verificar que se ajuste a las observaciones realizadas.</v>
          </cell>
        </row>
        <row r="11">
          <cell r="A11">
            <v>1465</v>
          </cell>
          <cell r="B11"/>
          <cell r="C11" t="str">
            <v>RAFAEL URIBE URIBE</v>
          </cell>
          <cell r="D11" t="str">
            <v>PRIVADO</v>
          </cell>
          <cell r="E11" t="str">
            <v>Educación de Jóvenes y Adultos</v>
          </cell>
          <cell r="F11" t="str">
            <v>CENTRO_DE_EDUCACION_FORMAL_ROBERT_HOOKE</v>
          </cell>
          <cell r="G11" t="str">
            <v>CENTRO_DE_EDUCACION_FORMAL_ROBERT_HOOKE</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DORY CONSTANZA SANCHEZ ARAGÓN</v>
          </cell>
          <cell r="L11" t="str">
            <v>MURARY ALBERTO CASTILLO FUENTES</v>
          </cell>
          <cell r="M11">
            <v>45733</v>
          </cell>
          <cell r="N11">
            <v>45735</v>
          </cell>
          <cell r="O11">
            <v>45735</v>
          </cell>
          <cell r="P11" t="str">
            <v>Visitas de evaluación con fines de mejoramiento</v>
          </cell>
          <cell r="Q11" t="str">
            <v>19-03-2025 Robert Hooke.pdf</v>
          </cell>
          <cell r="R11" t="str">
            <v>La institución informa que no cuenta con estudiantes con discapacidad, transtornos o talentos. En el SIMAT se registran 5 estudiantes con discapacidad.
En el PEI - Manual - SIEE no incorpora la atención a la poblacion de discapacidad.</v>
          </cell>
          <cell r="S11" t="str">
            <v>Verificar los estudiantes reportados en SIMAT y si corresponde realizar el PIAR. Incoroporar en el PEI la atención a esta población.Presentar plan de mejoramiento el 25 de abril de 2025</v>
          </cell>
          <cell r="T11" t="str">
            <v>Si</v>
          </cell>
          <cell r="U11" t="str">
            <v>Revisar PM y verificar que se ajuste a las observaciones realizadas.</v>
          </cell>
        </row>
        <row r="12">
          <cell r="A12">
            <v>1466</v>
          </cell>
          <cell r="B12"/>
          <cell r="C12" t="str">
            <v>RAFAEL URIBE URIBE</v>
          </cell>
          <cell r="D12" t="str">
            <v>PRIVADO</v>
          </cell>
          <cell r="E12" t="str">
            <v>Educación de Jóvenes y Adultos</v>
          </cell>
          <cell r="F12" t="str">
            <v>CENTRO_DE_EDUCACION_FORMAL_ROBERT_HOOKE</v>
          </cell>
          <cell r="G12" t="str">
            <v>CENTRO_DE_EDUCACION_FORMAL_ROBERT_HOOKE</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DORY CONSTANZA SANCHEZ ARAGÓN</v>
          </cell>
          <cell r="L12" t="str">
            <v>MURARY ALBERTO CASTILLO FUENTES</v>
          </cell>
          <cell r="M12">
            <v>45733</v>
          </cell>
          <cell r="N12">
            <v>45735</v>
          </cell>
          <cell r="O12">
            <v>45735</v>
          </cell>
          <cell r="P12" t="str">
            <v>Visitas de evaluación con fines de mejoramiento</v>
          </cell>
          <cell r="Q12" t="str">
            <v>19-03-2025 Robert Hooke.pdf</v>
          </cell>
          <cell r="R12" t="str">
            <v>No se evidencia aprobación del manual de convivencia, ya que no cuenta con actas de gobierno escolar.
No se encuentra actualizada y cumpliendo con la normatividad vigente</v>
          </cell>
          <cell r="S12" t="str">
            <v>La institución debe actualizar el manual de convivencia con participación del gobierno escolar. Presentar plan de mejoramiento el 25 de abril de 2025</v>
          </cell>
          <cell r="T12" t="str">
            <v>Si</v>
          </cell>
          <cell r="U12" t="str">
            <v>Revisar PM y verificar que se ajuste a las observaciones realizadas.</v>
          </cell>
        </row>
        <row r="13">
          <cell r="A13">
            <v>1467</v>
          </cell>
          <cell r="B13"/>
          <cell r="C13" t="str">
            <v>RAFAEL URIBE URIBE</v>
          </cell>
          <cell r="D13" t="str">
            <v>PRIVADO</v>
          </cell>
          <cell r="E13" t="str">
            <v>Educación de Jóvenes y Adultos</v>
          </cell>
          <cell r="F13" t="str">
            <v>CENTRO_DE_EDUCACION_FORMAL_ROBERT_HOOKE</v>
          </cell>
          <cell r="G13" t="str">
            <v>CENTRO_DE_EDUCACION_FORMAL_ROBERT_HOOKE</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DORY CONSTANZA SANCHEZ ARAGÓN</v>
          </cell>
          <cell r="L13" t="str">
            <v>MURARY ALBERTO CASTILLO FUENTES</v>
          </cell>
          <cell r="M13">
            <v>45733</v>
          </cell>
          <cell r="N13">
            <v>45735</v>
          </cell>
          <cell r="O13">
            <v>45735</v>
          </cell>
          <cell r="P13" t="str">
            <v>Visitas de evaluación con fines de mejoramiento</v>
          </cell>
          <cell r="Q13" t="str">
            <v>19-03-2025 Robert Hooke.pdf</v>
          </cell>
          <cell r="R13" t="str">
            <v>No se evidencia participación de la comunidad en la revisión del SIE para realizar los respectivos ajustes o actualizaciones.</v>
          </cell>
          <cell r="S13" t="str">
            <v>Realizar ajustes al SIEE con la participación del gobierno escolar. Presentar plan de mejoramiento el 25 de abril de 2025</v>
          </cell>
          <cell r="T13" t="str">
            <v>Si</v>
          </cell>
          <cell r="U13" t="str">
            <v>Revisar PM y verificar que se ajuste a las observaciones realizadas.</v>
          </cell>
        </row>
        <row r="14">
          <cell r="A14">
            <v>1468</v>
          </cell>
          <cell r="B14"/>
          <cell r="C14" t="str">
            <v>RAFAEL URIBE URIBE</v>
          </cell>
          <cell r="D14" t="str">
            <v>PRIVADO</v>
          </cell>
          <cell r="E14" t="str">
            <v>Educación de Jóvenes y Adultos</v>
          </cell>
          <cell r="F14" t="str">
            <v>CENTRO_DE_EDUCACION_FORMAL_ROBERT_HOOKE</v>
          </cell>
          <cell r="G14" t="str">
            <v>CENTRO_DE_EDUCACION_FORMAL_ROBERT_HOOKE</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DORY CONSTANZA SANCHEZ ARAGÓN</v>
          </cell>
          <cell r="L14" t="str">
            <v>MURARY ALBERTO CASTILLO FUENTES</v>
          </cell>
          <cell r="M14">
            <v>45733</v>
          </cell>
          <cell r="N14">
            <v>45735</v>
          </cell>
          <cell r="O14">
            <v>45735</v>
          </cell>
          <cell r="P14" t="str">
            <v>Visitas de evaluación con fines de mejoramiento</v>
          </cell>
          <cell r="Q14" t="str">
            <v>19-03-2025 Robert Hooke.pdf</v>
          </cell>
          <cell r="R14" t="str">
            <v>El calendario escolar da cumplimiento a la normatividad vigente</v>
          </cell>
          <cell r="S14" t="str">
            <v>Dar cumplimiento a lo establecido en el calendario</v>
          </cell>
          <cell r="T14" t="str">
            <v>No</v>
          </cell>
          <cell r="U14" t="str">
            <v>Verificar en caso de algun reqiuerimiento o queja</v>
          </cell>
        </row>
        <row r="15">
          <cell r="A15">
            <v>1469</v>
          </cell>
          <cell r="B15"/>
          <cell r="C15" t="str">
            <v>RAFAEL URIBE URIBE</v>
          </cell>
          <cell r="D15" t="str">
            <v>PRIVADO</v>
          </cell>
          <cell r="E15" t="str">
            <v>Educación de Jóvenes y Adultos</v>
          </cell>
          <cell r="F15" t="str">
            <v>CENTRO_DE_EDUCACION_FORMAL_ROBERT_HOOKE</v>
          </cell>
          <cell r="G15" t="str">
            <v>CENTRO_DE_EDUCACION_FORMAL_ROBERT_HOOKE</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DORY CONSTANZA SANCHEZ ARAGÓN</v>
          </cell>
          <cell r="L15" t="str">
            <v>MURARY ALBERTO CASTILLO FUENTES</v>
          </cell>
          <cell r="M15">
            <v>45733</v>
          </cell>
          <cell r="N15">
            <v>45735</v>
          </cell>
          <cell r="O15">
            <v>45735</v>
          </cell>
          <cell r="P15" t="str">
            <v>Visitas de evaluación con fines de mejoramiento</v>
          </cell>
          <cell r="Q15" t="str">
            <v>19-03-2025 Robert Hooke.pdf</v>
          </cell>
          <cell r="R15" t="str">
            <v>No se evidencian actas de funcionamiento de Gobierno Escolar</v>
          </cell>
          <cell r="S15" t="str">
            <v>Generar los espacios para el funcionamiento del gobierno escolar con sus respectivas actas. Presentar plan de mejoramiento el 25 de abril de 2025</v>
          </cell>
          <cell r="T15" t="str">
            <v>Si</v>
          </cell>
          <cell r="U15" t="str">
            <v>Revisar PM y verificar que se ajuste a las observaciones realizadas.</v>
          </cell>
        </row>
        <row r="16">
          <cell r="A16">
            <v>1470</v>
          </cell>
          <cell r="B16"/>
          <cell r="C16" t="str">
            <v>RAFAEL URIBE URIBE</v>
          </cell>
          <cell r="D16" t="str">
            <v>PRIVADO</v>
          </cell>
          <cell r="E16" t="str">
            <v>Educación de Jóvenes y Adultos</v>
          </cell>
          <cell r="F16" t="str">
            <v>CENTRO_DE_EDUCACION_FORMAL_ROBERT_HOOKE</v>
          </cell>
          <cell r="G16" t="str">
            <v>CENTRO_DE_EDUCACION_FORMAL_ROBERT_HOOKE</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DORY CONSTANZA SANCHEZ ARAGÓN</v>
          </cell>
          <cell r="L16" t="str">
            <v>MURARY ALBERTO CASTILLO FUENTES</v>
          </cell>
          <cell r="M16">
            <v>45733</v>
          </cell>
          <cell r="N16">
            <v>45735</v>
          </cell>
          <cell r="O16">
            <v>45735</v>
          </cell>
          <cell r="P16" t="str">
            <v>Visitas de evaluación con fines de mejoramiento</v>
          </cell>
          <cell r="Q16" t="str">
            <v>19-03-2025 Robert Hooke.pdf</v>
          </cell>
          <cell r="R16" t="str">
            <v xml:space="preserve">Cuenta con 5 aulas de clase con espacio suficiente, buena iluminación, es importante hacer mantenimientos a los pupitres. Cuenta con espacio recreativo  en piso 5, hace falta mobiliario </v>
          </cell>
          <cell r="S16" t="str">
            <v>Realizar mantenimiento a algunos pupitres, mejorar zona recreativa. Presentar plan de mejoramiento el 25 de abril de 2025</v>
          </cell>
          <cell r="T16" t="str">
            <v>Si</v>
          </cell>
          <cell r="U16" t="str">
            <v>Revisar PM y verificar que se ajuste a las observaciones realizadas.</v>
          </cell>
        </row>
        <row r="17">
          <cell r="A17">
            <v>1472</v>
          </cell>
          <cell r="B17">
            <v>2</v>
          </cell>
          <cell r="C17" t="str">
            <v>RAFAEL URIBE URIBE</v>
          </cell>
          <cell r="D17" t="str">
            <v>PRIVADO</v>
          </cell>
          <cell r="E17" t="str">
            <v>Educación de Jóvenes y Adultos</v>
          </cell>
          <cell r="F17" t="str">
            <v>INSTITUTO_ANDRE_MICHELIN</v>
          </cell>
          <cell r="G17" t="str">
            <v>INSTITUTO_ANDRE_MICHELIN</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BEPCI YADIRA MINA ZAPATA</v>
          </cell>
          <cell r="L17" t="str">
            <v>DORY CONSTANZA SANCHEZ ARAGÓN</v>
          </cell>
          <cell r="M17">
            <v>45771</v>
          </cell>
          <cell r="N17">
            <v>45904</v>
          </cell>
          <cell r="O17">
            <v>45915</v>
          </cell>
          <cell r="P17" t="str">
            <v>Visitas de evaluación con fines de mejoramiento</v>
          </cell>
          <cell r="Q17" t="str">
            <v>4 y 15 Sept 25 Michelin.pdf</v>
          </cell>
          <cell r="R17" t="str">
            <v>Cuentan con docentes sin afiliación a seguridad social, contratos por prestación de servicios.</v>
          </cell>
          <cell r="S17" t="str">
            <v>Realizar pago de seguridad social a todo el personal de la institución. Presentar plan de mejoramiento el 15 de octubre de 2025</v>
          </cell>
          <cell r="T17" t="str">
            <v>Si</v>
          </cell>
          <cell r="U17" t="str">
            <v>Revisar PM y verificar que se ajuste a las observaciones realizadas.</v>
          </cell>
        </row>
        <row r="18">
          <cell r="A18">
            <v>1473</v>
          </cell>
          <cell r="B18"/>
          <cell r="C18" t="str">
            <v>RAFAEL URIBE URIBE</v>
          </cell>
          <cell r="D18" t="str">
            <v>PRIVADO</v>
          </cell>
          <cell r="E18" t="str">
            <v>Educación de Jóvenes y Adultos</v>
          </cell>
          <cell r="F18" t="str">
            <v>INSTITUTO_ANDRE_MICHELIN</v>
          </cell>
          <cell r="G18" t="str">
            <v>INSTITUTO_ANDRE_MICHELIN</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BEPCI YADIRA MINA ZAPATA</v>
          </cell>
          <cell r="L18" t="str">
            <v>DORY CONSTANZA SANCHEZ ARAGÓN</v>
          </cell>
          <cell r="M18">
            <v>45771</v>
          </cell>
          <cell r="N18">
            <v>45904</v>
          </cell>
          <cell r="O18">
            <v>45915</v>
          </cell>
          <cell r="P18" t="str">
            <v>Visitas de evaluación con fines de mejoramiento</v>
          </cell>
          <cell r="Q18" t="str">
            <v>4 y 15 Sept 25 Michelin.pdf</v>
          </cell>
          <cell r="R18"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8" t="str">
            <v>Realizar analisis de las Pruebas Saber y establecer acciones pertinentes. Presentar plan de mejoramiento el 15 de octubre de 2025</v>
          </cell>
          <cell r="T18" t="str">
            <v>Si</v>
          </cell>
          <cell r="U18" t="str">
            <v>Revisar PM y verificar que se ajuste a las observaciones realizadas.</v>
          </cell>
        </row>
        <row r="19">
          <cell r="A19">
            <v>1474</v>
          </cell>
          <cell r="B19"/>
          <cell r="C19" t="str">
            <v>RAFAEL URIBE URIBE</v>
          </cell>
          <cell r="D19" t="str">
            <v>PRIVADO</v>
          </cell>
          <cell r="E19" t="str">
            <v>Educación de Jóvenes y Adultos</v>
          </cell>
          <cell r="F19" t="str">
            <v>INSTITUTO_ANDRE_MICHELIN</v>
          </cell>
          <cell r="G19" t="str">
            <v>INSTITUTO_ANDRE_MICHELIN</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BEPCI YADIRA MINA ZAPATA</v>
          </cell>
          <cell r="L19" t="str">
            <v>DORY CONSTANZA SANCHEZ ARAGÓN</v>
          </cell>
          <cell r="M19">
            <v>45771</v>
          </cell>
          <cell r="N19">
            <v>45904</v>
          </cell>
          <cell r="O19">
            <v>45915</v>
          </cell>
          <cell r="P19" t="str">
            <v>Visitas de evaluación con fines de mejoramiento</v>
          </cell>
          <cell r="Q19" t="str">
            <v>4 y 15 Sept 25 Michelin.pdf</v>
          </cell>
          <cell r="R19" t="str">
            <v>La institución no cuentan con actas donde se evidencie el funcionamiento del comité de convivencia escolar.
No se ha verificado a los empleados inhabilidadades por delitos sexuales cada 4 meses.</v>
          </cell>
          <cell r="S19" t="str">
            <v>Realizar reuniones del comité de convivencia escolar cada 2 meses con su soporte. Verificar inhanilidades de los empleados cada 4 meses. Presentar plan de mejoramiento el 15 de octubre de 2025</v>
          </cell>
          <cell r="T19" t="str">
            <v>Si</v>
          </cell>
          <cell r="U19" t="str">
            <v>Revisar PM y verificar que se ajuste a las observaciones realizadas.</v>
          </cell>
        </row>
        <row r="20">
          <cell r="A20">
            <v>1475</v>
          </cell>
          <cell r="B20"/>
          <cell r="C20" t="str">
            <v>RAFAEL URIBE URIBE</v>
          </cell>
          <cell r="D20" t="str">
            <v>PRIVADO</v>
          </cell>
          <cell r="E20" t="str">
            <v>Educación de Jóvenes y Adultos</v>
          </cell>
          <cell r="F20" t="str">
            <v>INSTITUTO_ANDRE_MICHELIN</v>
          </cell>
          <cell r="G20" t="str">
            <v>INSTITUTO_ANDRE_MICHELIN</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BEPCI YADIRA MINA ZAPATA</v>
          </cell>
          <cell r="L20" t="str">
            <v>DORY CONSTANZA SANCHEZ ARAGÓN</v>
          </cell>
          <cell r="M20">
            <v>45771</v>
          </cell>
          <cell r="N20">
            <v>45904</v>
          </cell>
          <cell r="O20">
            <v>45915</v>
          </cell>
          <cell r="P20" t="str">
            <v>Visitas de evaluación con fines de mejoramiento</v>
          </cell>
          <cell r="Q20" t="str">
            <v>4 y 15 Sept 25 Michelin.pdf</v>
          </cell>
          <cell r="R20" t="str">
            <v>En SIMAT está relacionado que el colegio atiende 10 estudiantes con discapacidad, sin embargo la IE no les ha caracterizado ni elaborado los PIAR con los ajustes razonables requeridos.</v>
          </cell>
          <cell r="S20" t="str">
            <v>Verificar los estudiantes reportados en SIMAT y si corresponde realizar el PIAR. Incoroporar en el PEI la atención a esta población.Presentar plan de mejoramiento el 15 de octubre de 2025</v>
          </cell>
          <cell r="T20" t="str">
            <v>Si</v>
          </cell>
          <cell r="U20" t="str">
            <v>Revisar PM y verificar que se ajuste a las observaciones realizadas.</v>
          </cell>
        </row>
        <row r="21">
          <cell r="A21">
            <v>1476</v>
          </cell>
          <cell r="B21"/>
          <cell r="C21" t="str">
            <v>RAFAEL URIBE URIBE</v>
          </cell>
          <cell r="D21" t="str">
            <v>PRIVADO</v>
          </cell>
          <cell r="E21" t="str">
            <v>Educación de Jóvenes y Adultos</v>
          </cell>
          <cell r="F21" t="str">
            <v>INSTITUTO_ANDRE_MICHELIN</v>
          </cell>
          <cell r="G21" t="str">
            <v>INSTITUTO_ANDRE_MICHELIN</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BEPCI YADIRA MINA ZAPATA</v>
          </cell>
          <cell r="L21" t="str">
            <v>DORY CONSTANZA SANCHEZ ARAGÓN</v>
          </cell>
          <cell r="M21">
            <v>45771</v>
          </cell>
          <cell r="N21">
            <v>45904</v>
          </cell>
          <cell r="O21">
            <v>45915</v>
          </cell>
          <cell r="P21" t="str">
            <v>Visitas de evaluación con fines de mejoramiento</v>
          </cell>
          <cell r="Q21" t="str">
            <v>4 y 15 Sept 25 Michelin.pdf</v>
          </cell>
          <cell r="R21" t="str">
            <v>No se evidencia aprobación del manual de convivencia, ya que no cuenta con actas de gobierno escolar.
No se encuentra actualizada y cumpliendo con la normatividad vigente</v>
          </cell>
          <cell r="S21" t="str">
            <v>La institución debe actualizar el manual de convivencia con participación del gobierno escolar. Presentar plan de mejoramiento el 15 de octubre de 2025</v>
          </cell>
          <cell r="T21" t="str">
            <v>Si</v>
          </cell>
          <cell r="U21" t="str">
            <v>Revisar PM y verificar que se ajuste a las observaciones realizadas.</v>
          </cell>
        </row>
        <row r="22">
          <cell r="A22">
            <v>1477</v>
          </cell>
          <cell r="B22"/>
          <cell r="C22" t="str">
            <v>RAFAEL URIBE URIBE</v>
          </cell>
          <cell r="D22" t="str">
            <v>PRIVADO</v>
          </cell>
          <cell r="E22" t="str">
            <v>Educación de Jóvenes y Adultos</v>
          </cell>
          <cell r="F22" t="str">
            <v>INSTITUTO_ANDRE_MICHELIN</v>
          </cell>
          <cell r="G22" t="str">
            <v>INSTITUTO_ANDRE_MICHELIN</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BEPCI YADIRA MINA ZAPATA</v>
          </cell>
          <cell r="L22" t="str">
            <v>DORY CONSTANZA SANCHEZ ARAGÓN</v>
          </cell>
          <cell r="M22">
            <v>45771</v>
          </cell>
          <cell r="N22">
            <v>45904</v>
          </cell>
          <cell r="O22">
            <v>45915</v>
          </cell>
          <cell r="P22" t="str">
            <v>Visitas de evaluación con fines de mejoramiento</v>
          </cell>
          <cell r="Q22" t="str">
            <v>4 y 15 Sept 25 Michelin.pdf</v>
          </cell>
          <cell r="R22" t="str">
            <v>No se evidencia participación de la comunidad en la revisión del SIE para realizar los respectivos ajustes o actualizaciones.</v>
          </cell>
          <cell r="S22" t="str">
            <v>Realizar ajustes al SIEE con la participación del gobierno escolar. Presentar plan de mejoramiento el 15 de octubre de 2025</v>
          </cell>
          <cell r="T22" t="str">
            <v>Si</v>
          </cell>
          <cell r="U22" t="str">
            <v>Revisar PM y verificar que se ajuste a las observaciones realizadas.</v>
          </cell>
        </row>
        <row r="23">
          <cell r="A23">
            <v>1478</v>
          </cell>
          <cell r="B23"/>
          <cell r="C23" t="str">
            <v>RAFAEL URIBE URIBE</v>
          </cell>
          <cell r="D23" t="str">
            <v>PRIVADO</v>
          </cell>
          <cell r="E23" t="str">
            <v>Educación de Jóvenes y Adultos</v>
          </cell>
          <cell r="F23" t="str">
            <v>INSTITUTO_ANDRE_MICHELIN</v>
          </cell>
          <cell r="G23" t="str">
            <v>INSTITUTO_ANDRE_MICHELIN</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BEPCI YADIRA MINA ZAPATA</v>
          </cell>
          <cell r="L23" t="str">
            <v>DORY CONSTANZA SANCHEZ ARAGÓN</v>
          </cell>
          <cell r="M23">
            <v>45771</v>
          </cell>
          <cell r="N23">
            <v>45904</v>
          </cell>
          <cell r="O23">
            <v>45915</v>
          </cell>
          <cell r="P23" t="str">
            <v>Visitas de evaluación con fines de mejoramiento</v>
          </cell>
          <cell r="Q23" t="str">
            <v>4 y 15 Sept 25 Michelin.pdf</v>
          </cell>
          <cell r="R23" t="str">
            <v xml:space="preserve">En la metodología semipresecial trabajan solo 400 horas anuales de 880 que exige la ley, ya que el colegio no logró demostrar que si trabaja las 10 horas adicionales del componente complementario. </v>
          </cell>
          <cell r="S23" t="str">
            <v>Se debe garantizar el cumplimiento a la intensidad horaria.La institución debe presentar plan de mejoramiento el 15 de octubre de 2025</v>
          </cell>
          <cell r="T23" t="str">
            <v>Si</v>
          </cell>
          <cell r="U23" t="str">
            <v>Revisar PM y verificar que se ajuste a las observaciones realizadas.</v>
          </cell>
        </row>
        <row r="24">
          <cell r="A24">
            <v>1479</v>
          </cell>
          <cell r="B24"/>
          <cell r="C24" t="str">
            <v>RAFAEL URIBE URIBE</v>
          </cell>
          <cell r="D24" t="str">
            <v>PRIVADO</v>
          </cell>
          <cell r="E24" t="str">
            <v>Educación de Jóvenes y Adultos</v>
          </cell>
          <cell r="F24" t="str">
            <v>INSTITUTO_ANDRE_MICHELIN</v>
          </cell>
          <cell r="G24" t="str">
            <v>INSTITUTO_ANDRE_MICHELIN</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BEPCI YADIRA MINA ZAPATA</v>
          </cell>
          <cell r="L24" t="str">
            <v>DORY CONSTANZA SANCHEZ ARAGÓN</v>
          </cell>
          <cell r="M24">
            <v>45771</v>
          </cell>
          <cell r="N24">
            <v>45904</v>
          </cell>
          <cell r="O24">
            <v>45915</v>
          </cell>
          <cell r="P24" t="str">
            <v>Visitas de evaluación con fines de mejoramiento</v>
          </cell>
          <cell r="Q24" t="str">
            <v>4 y 15 Sept 25 Michelin.pdf</v>
          </cell>
          <cell r="R24" t="str">
            <v>No se evidencian actas de funcionamiento de Gobierno Escolar</v>
          </cell>
          <cell r="S24" t="str">
            <v>Generar los espacios para el funcionamiento del gobierno escolar con sus respectivas actas. Presentar plan de mejoramiento el 15 de octubre de 2025</v>
          </cell>
          <cell r="T24" t="str">
            <v>Si</v>
          </cell>
          <cell r="U24" t="str">
            <v>Revisar PM y verificar que se ajuste a las observaciones realizadas.</v>
          </cell>
        </row>
        <row r="25">
          <cell r="A25">
            <v>1480</v>
          </cell>
          <cell r="B25"/>
          <cell r="C25" t="str">
            <v>RAFAEL URIBE URIBE</v>
          </cell>
          <cell r="D25" t="str">
            <v>PRIVADO</v>
          </cell>
          <cell r="E25" t="str">
            <v>Educación de Jóvenes y Adultos</v>
          </cell>
          <cell r="F25" t="str">
            <v>INSTITUTO_ANDRE_MICHELIN</v>
          </cell>
          <cell r="G25" t="str">
            <v>INSTITUTO_ANDRE_MICHELIN</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BEPCI YADIRA MINA ZAPATA</v>
          </cell>
          <cell r="L25" t="str">
            <v>DORY CONSTANZA SANCHEZ ARAGÓN</v>
          </cell>
          <cell r="M25">
            <v>45771</v>
          </cell>
          <cell r="N25">
            <v>45904</v>
          </cell>
          <cell r="O25">
            <v>45915</v>
          </cell>
          <cell r="P25" t="str">
            <v>Visitas de evaluación con fines de mejoramiento</v>
          </cell>
          <cell r="Q25" t="str">
            <v>4 y 15 Sept 25 Michelin.pdf</v>
          </cell>
          <cell r="R25" t="str">
            <v>La planta física cuenta con 4 aulas y espacios para el desarrollo de laboratorios, pero no cuentan con la dotación requerida.
La planta física no es suficiente para la población que atiende (segun el SIMAT) en la jornada de los fines de semana.</v>
          </cell>
          <cell r="S25" t="str">
            <v>Se debe contar con los espacios necesarios para atender la pooblación matriculada Presentar plan de mejoramiento el 15 de octubre de 2025</v>
          </cell>
          <cell r="T25" t="str">
            <v>Si</v>
          </cell>
          <cell r="U25" t="str">
            <v>Revisar PM y verificar que se ajuste a las observaciones realizadas.</v>
          </cell>
        </row>
        <row r="26">
          <cell r="A26">
            <v>1481</v>
          </cell>
          <cell r="B26">
            <v>3</v>
          </cell>
          <cell r="C26" t="str">
            <v>RAFAEL URIBE URIBE</v>
          </cell>
          <cell r="D26" t="str">
            <v>PRIVADO</v>
          </cell>
          <cell r="E26" t="str">
            <v>EPBM</v>
          </cell>
          <cell r="F26" t="str">
            <v>COLEGIO_DE_ADMINISTRACION_ROBERT_OWEN</v>
          </cell>
          <cell r="G26" t="str">
            <v>COLEGIO_DE_ADMINISTRACION_ROBERT_OWEN</v>
          </cell>
          <cell r="H26" t="str">
            <v>Autoevaluación Institucional y Pruebas SABER 11</v>
          </cell>
          <cell r="I26" t="str">
            <v>SEGUIMIENTO_Y_SUPERVISIÓN.</v>
          </cell>
          <cell r="J26"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26" t="str">
            <v>ALEJANDRA JOHANA BALAGUERA CASAS</v>
          </cell>
          <cell r="L26" t="str">
            <v>BEPCI YADIRA MINA ZAPATA</v>
          </cell>
          <cell r="M26">
            <v>45742</v>
          </cell>
          <cell r="N26">
            <v>45743</v>
          </cell>
          <cell r="O26">
            <v>45743</v>
          </cell>
          <cell r="P26" t="str">
            <v>Visitas de evaluación con fines de mejoramiento</v>
          </cell>
          <cell r="Q26" t="str">
            <v>27-03-2025 Robert Owen.pdf</v>
          </cell>
          <cell r="R26" t="str">
            <v>No se evidencia plan de mejoramiento subido a EVI. Cuentan con docentes sin cumplimiento de requisitos en formación académica.</v>
          </cell>
          <cell r="S26" t="str">
            <v>Contratar docentes con la formación necesaria. Presentar plan de mejoramiento el 30 de abril de 2025</v>
          </cell>
          <cell r="T26" t="str">
            <v>Si</v>
          </cell>
          <cell r="U26" t="str">
            <v>Revisar PM y verificar que se ajuste a las observaciones realizadas.</v>
          </cell>
        </row>
        <row r="27">
          <cell r="A27">
            <v>1482</v>
          </cell>
          <cell r="B27"/>
          <cell r="C27" t="str">
            <v>RAFAEL URIBE URIBE</v>
          </cell>
          <cell r="D27" t="str">
            <v>PRIVADO</v>
          </cell>
          <cell r="E27" t="str">
            <v>EPBM</v>
          </cell>
          <cell r="F27" t="str">
            <v>COLEGIO_DE_ADMINISTRACION_ROBERT_OWEN</v>
          </cell>
          <cell r="G27" t="str">
            <v>COLEGIO_DE_ADMINISTRACION_ROBERT_OWEN</v>
          </cell>
          <cell r="H27" t="str">
            <v>Autoevaluación Institucional y Pruebas SABER 11</v>
          </cell>
          <cell r="I27" t="str">
            <v>SEGUIMIENTO_Y_SUPERVISIÓN.</v>
          </cell>
          <cell r="J27" t="str">
            <v>Realizar visitas para verificar la información registrada sobre la autoevaluación institucional en el aplicativo EVI, a los establecimientos de educación formal no oficial.</v>
          </cell>
          <cell r="K27" t="str">
            <v>ALEJANDRA JOHANA BALAGUERA CASAS</v>
          </cell>
          <cell r="L27" t="str">
            <v>BEPCI YADIRA MINA ZAPATA</v>
          </cell>
          <cell r="M27">
            <v>45742</v>
          </cell>
          <cell r="N27">
            <v>45743</v>
          </cell>
          <cell r="O27">
            <v>45743</v>
          </cell>
          <cell r="P27" t="str">
            <v>Visitas de evaluación con fines de mejoramiento</v>
          </cell>
          <cell r="Q27" t="str">
            <v>27-03-2025 Robert Owen.pdf</v>
          </cell>
          <cell r="R27" t="str">
            <v>Cuentan con docentes sin afiliación a seguridad social.</v>
          </cell>
          <cell r="S27" t="str">
            <v>Realizar pago de seguridad social a todo el personal de la institución. Presentar plan de mejoramiento el 30 de abril de 2025</v>
          </cell>
          <cell r="T27" t="str">
            <v>Si</v>
          </cell>
          <cell r="U27" t="str">
            <v>Revisar PM y verificar que se ajuste a las observaciones realizadas.</v>
          </cell>
        </row>
        <row r="28">
          <cell r="A28">
            <v>1483</v>
          </cell>
          <cell r="B28"/>
          <cell r="C28" t="str">
            <v>RAFAEL URIBE URIBE</v>
          </cell>
          <cell r="D28" t="str">
            <v>PRIVADO</v>
          </cell>
          <cell r="E28" t="str">
            <v>EPBM</v>
          </cell>
          <cell r="F28" t="str">
            <v>COLEGIO_DE_ADMINISTRACION_ROBERT_OWEN</v>
          </cell>
          <cell r="G28" t="str">
            <v>COLEGIO_DE_ADMINISTRACION_ROBERT_OWEN</v>
          </cell>
          <cell r="H28" t="str">
            <v>Autoevaluación Institucional y Pruebas SABER 11</v>
          </cell>
          <cell r="I28" t="str">
            <v>SEGUIMIENTO_Y_SUPERVISIÓN.</v>
          </cell>
          <cell r="J28" t="str">
            <v>Proponer estrategias en la formulación, verificar su elaboración y realizar seguimiento semestral al desarrollo de  las acciones establecidas en los planes de mejoramiento por pruebas SABER 11 de los establecimientos de educación formal.</v>
          </cell>
          <cell r="K28" t="str">
            <v>ALEJANDRA JOHANA BALAGUERA CASAS</v>
          </cell>
          <cell r="L28" t="str">
            <v>BEPCI YADIRA MINA ZAPATA</v>
          </cell>
          <cell r="M28">
            <v>45742</v>
          </cell>
          <cell r="N28">
            <v>45743</v>
          </cell>
          <cell r="O28">
            <v>45743</v>
          </cell>
          <cell r="P28" t="str">
            <v>Visitas de evaluación con fines de mejoramiento</v>
          </cell>
          <cell r="Q28" t="str">
            <v>27-03-2025 Robert Owen.pdf</v>
          </cell>
          <cell r="R28"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28" t="str">
            <v>Realizar analisis de las Pruebas Saber y establecer acciones pertinentes. Presentar plan de mejoramiento el 30 de abril de 2025</v>
          </cell>
          <cell r="T28" t="str">
            <v>Si</v>
          </cell>
          <cell r="U28" t="str">
            <v>Revisar PM y verificar que se ajuste a las observaciones realizadas.</v>
          </cell>
        </row>
        <row r="29">
          <cell r="A29">
            <v>1484</v>
          </cell>
          <cell r="B29"/>
          <cell r="C29" t="str">
            <v>RAFAEL URIBE URIBE</v>
          </cell>
          <cell r="D29" t="str">
            <v>PRIVADO</v>
          </cell>
          <cell r="E29" t="str">
            <v>EPBM</v>
          </cell>
          <cell r="F29" t="str">
            <v>COLEGIO_DE_ADMINISTRACION_ROBERT_OWEN</v>
          </cell>
          <cell r="G29" t="str">
            <v>COLEGIO_DE_ADMINISTRACION_ROBERT_OWEN</v>
          </cell>
          <cell r="H29" t="str">
            <v>Autoevaluación Institucional y Pruebas SABER 11</v>
          </cell>
          <cell r="I29" t="str">
            <v>SEGUIMIENTO_Y_SUPERVISIÓN.</v>
          </cell>
          <cell r="J29" t="str">
            <v xml:space="preserve">Verificar la implementación por parte de los colegios, de acciones realizadas para la prevención y atención de las situaciones de convivencia en el entorno escolar, según lo establecido en la Directiva 01 de 2022 del MEN. </v>
          </cell>
          <cell r="K29" t="str">
            <v>ALEJANDRA JOHANA BALAGUERA CASAS</v>
          </cell>
          <cell r="L29" t="str">
            <v>BEPCI YADIRA MINA ZAPATA</v>
          </cell>
          <cell r="M29">
            <v>45742</v>
          </cell>
          <cell r="N29">
            <v>45743</v>
          </cell>
          <cell r="O29">
            <v>45743</v>
          </cell>
          <cell r="P29" t="str">
            <v>Visitas de evaluación con fines de mejoramiento</v>
          </cell>
          <cell r="Q29" t="str">
            <v>27-03-2025 Robert Owen.pdf</v>
          </cell>
          <cell r="R29" t="str">
            <v>La institución no cuentan con actas donde se evidencie el funcionamiento del comité de convivencia escolar.
Se verificó a los docentes  inhabilidadades por delitos sexuales para el año 2025.</v>
          </cell>
          <cell r="S29" t="str">
            <v>Realizar reuniones del comité de convivencia escolar cada 2 meses con su soporte. Verificar inhanilidades de los empleados cada 4 meses. Presentar plan de mejoramiento el 30 de abril de 2025</v>
          </cell>
          <cell r="T29" t="str">
            <v>Si</v>
          </cell>
          <cell r="U29" t="str">
            <v>Revisar PM y verificar que se ajuste a las observaciones realizadas.</v>
          </cell>
        </row>
        <row r="30">
          <cell r="A30">
            <v>1485</v>
          </cell>
          <cell r="B30"/>
          <cell r="C30" t="str">
            <v>RAFAEL URIBE URIBE</v>
          </cell>
          <cell r="D30" t="str">
            <v>PRIVADO</v>
          </cell>
          <cell r="E30" t="str">
            <v>EPBM</v>
          </cell>
          <cell r="F30" t="str">
            <v>COLEGIO_DE_ADMINISTRACION_ROBERT_OWEN</v>
          </cell>
          <cell r="G30" t="str">
            <v>COLEGIO_DE_ADMINISTRACION_ROBERT_OWEN</v>
          </cell>
          <cell r="H30" t="str">
            <v>Autoevaluación Institucional y Pruebas SABER 11</v>
          </cell>
          <cell r="I30" t="str">
            <v>SEGUIMIENTO_Y_SUPERVISIÓN.</v>
          </cell>
          <cell r="J3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0" t="str">
            <v>ALEJANDRA JOHANA BALAGUERA CASAS</v>
          </cell>
          <cell r="L30" t="str">
            <v>BEPCI YADIRA MINA ZAPATA</v>
          </cell>
          <cell r="M30">
            <v>45742</v>
          </cell>
          <cell r="N30">
            <v>45743</v>
          </cell>
          <cell r="O30">
            <v>45743</v>
          </cell>
          <cell r="P30" t="str">
            <v>Visitas de evaluación con fines de mejoramiento</v>
          </cell>
          <cell r="Q30" t="str">
            <v>27-03-2025 Robert Owen.pdf</v>
          </cell>
          <cell r="R30" t="str">
            <v>La institución informa que no cuenta con estudiantes con discapacidad, transtornos o talentos. En el SIMAT no hay registro
En el PEI - Manual - SIEE no incorpora la atención a la poblacion de discapacidad.</v>
          </cell>
          <cell r="S30" t="str">
            <v>Incoroporar en el PEI la atención a esta población. La institución debe presentar plan de mejoramiento el 30 de abril de 2025</v>
          </cell>
          <cell r="T30" t="str">
            <v>Si</v>
          </cell>
          <cell r="U30" t="str">
            <v>Revisar PM y verificar que se ajuste a las observaciones realizadas.</v>
          </cell>
        </row>
        <row r="31">
          <cell r="A31">
            <v>1486</v>
          </cell>
          <cell r="B31"/>
          <cell r="C31" t="str">
            <v>RAFAEL URIBE URIBE</v>
          </cell>
          <cell r="D31" t="str">
            <v>PRIVADO</v>
          </cell>
          <cell r="E31" t="str">
            <v>EPBM</v>
          </cell>
          <cell r="F31" t="str">
            <v>COLEGIO_DE_ADMINISTRACION_ROBERT_OWEN</v>
          </cell>
          <cell r="G31" t="str">
            <v>COLEGIO_DE_ADMINISTRACION_ROBERT_OWEN</v>
          </cell>
          <cell r="H31" t="str">
            <v>Autoevaluación Institucional y Pruebas SABER 11</v>
          </cell>
          <cell r="I31" t="str">
            <v>EVALUACIÓN_CON_FINES_DE_MEJORAMIENTO.</v>
          </cell>
          <cell r="J3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1" t="str">
            <v>ALEJANDRA JOHANA BALAGUERA CASAS</v>
          </cell>
          <cell r="L31" t="str">
            <v>BEPCI YADIRA MINA ZAPATA</v>
          </cell>
          <cell r="M31">
            <v>45742</v>
          </cell>
          <cell r="N31">
            <v>45743</v>
          </cell>
          <cell r="O31">
            <v>45743</v>
          </cell>
          <cell r="P31" t="str">
            <v>Visitas de evaluación con fines de mejoramiento</v>
          </cell>
          <cell r="Q31" t="str">
            <v>27-03-2025 Robert Owen.pdf</v>
          </cell>
          <cell r="R31" t="str">
            <v>No se evidencia aprobación del manual de convivencia, ya que no cuenta con actas de gobierno escolar.
No se encuentra actualizada y cumpliendo con la normatividad vigente</v>
          </cell>
          <cell r="S31" t="str">
            <v>La institución debe actualizar el manual de convivencia con participación del gobierno escolar. Presentar plan de mejoramiento el 30 de abril de 2025</v>
          </cell>
          <cell r="T31" t="str">
            <v>Si</v>
          </cell>
          <cell r="U31" t="str">
            <v>Revisar PM y verificar que se ajuste a las observaciones realizadas.</v>
          </cell>
        </row>
        <row r="32">
          <cell r="A32">
            <v>1487</v>
          </cell>
          <cell r="B32"/>
          <cell r="C32" t="str">
            <v>RAFAEL URIBE URIBE</v>
          </cell>
          <cell r="D32" t="str">
            <v>PRIVADO</v>
          </cell>
          <cell r="E32" t="str">
            <v>EPBM</v>
          </cell>
          <cell r="F32" t="str">
            <v>COLEGIO_DE_ADMINISTRACION_ROBERT_OWEN</v>
          </cell>
          <cell r="G32" t="str">
            <v>COLEGIO_DE_ADMINISTRACION_ROBERT_OWEN</v>
          </cell>
          <cell r="H32" t="str">
            <v>Autoevaluación Institucional y Pruebas SABER 11</v>
          </cell>
          <cell r="I32" t="str">
            <v>EVALUACIÓN_CON_FINES_DE_MEJORAMIENTO.</v>
          </cell>
          <cell r="J32" t="str">
            <v>Revisar la actualización, socialización e implementación del Sistema Institucional de Evaluación de Estudiantes - SIEE, en articulación con la actualización del PEI y la normatividad vigente.</v>
          </cell>
          <cell r="K32" t="str">
            <v>ALEJANDRA JOHANA BALAGUERA CASAS</v>
          </cell>
          <cell r="L32" t="str">
            <v>BEPCI YADIRA MINA ZAPATA</v>
          </cell>
          <cell r="M32">
            <v>45742</v>
          </cell>
          <cell r="N32">
            <v>45743</v>
          </cell>
          <cell r="O32">
            <v>45743</v>
          </cell>
          <cell r="P32" t="str">
            <v>Visitas de evaluación con fines de mejoramiento</v>
          </cell>
          <cell r="Q32" t="str">
            <v>27-03-2025 Robert Owen.pdf</v>
          </cell>
          <cell r="R32" t="str">
            <v>No se evidencia participación de la comunidad en la revisión del SIE para realizar los respectivos ajustes o actualizaciones.</v>
          </cell>
          <cell r="S32" t="str">
            <v>Realizar ajustes al SIEE con la participación del gobierno escolar. Presentar plan de mejoramiento el 30 de abril de 2025</v>
          </cell>
          <cell r="T32" t="str">
            <v>Si</v>
          </cell>
          <cell r="U32" t="str">
            <v>Revisar PM y verificar que se ajuste a las observaciones realizadas.</v>
          </cell>
        </row>
        <row r="33">
          <cell r="A33">
            <v>1488</v>
          </cell>
          <cell r="B33"/>
          <cell r="C33" t="str">
            <v>RAFAEL URIBE URIBE</v>
          </cell>
          <cell r="D33" t="str">
            <v>PRIVADO</v>
          </cell>
          <cell r="E33" t="str">
            <v>EPBM</v>
          </cell>
          <cell r="F33" t="str">
            <v>COLEGIO_DE_ADMINISTRACION_ROBERT_OWEN</v>
          </cell>
          <cell r="G33" t="str">
            <v>COLEGIO_DE_ADMINISTRACION_ROBERT_OWEN</v>
          </cell>
          <cell r="H33" t="str">
            <v>Autoevaluación Institucional y Pruebas SABER 11</v>
          </cell>
          <cell r="I33" t="str">
            <v>EVALUACIÓN_CON_FINES_DE_MEJORAMIENTO.</v>
          </cell>
          <cell r="J33" t="str">
            <v>Revisar el calendario escolar, jornada escolar, la intensidad horaria mínima anual en cada nivel y las modificaciones que se realicen al mismo, de acuerdo con lo previsto en la normatividad vigente.</v>
          </cell>
          <cell r="K33" t="str">
            <v>ALEJANDRA JOHANA BALAGUERA CASAS</v>
          </cell>
          <cell r="L33" t="str">
            <v>BEPCI YADIRA MINA ZAPATA</v>
          </cell>
          <cell r="M33">
            <v>45742</v>
          </cell>
          <cell r="N33">
            <v>45743</v>
          </cell>
          <cell r="O33">
            <v>45743</v>
          </cell>
          <cell r="P33" t="str">
            <v>Visitas de evaluación con fines de mejoramiento</v>
          </cell>
          <cell r="Q33" t="str">
            <v>27-03-2025 Robert Owen.pdf</v>
          </cell>
          <cell r="R33" t="str">
            <v>No se encuentra calendario académico</v>
          </cell>
          <cell r="S33" t="str">
            <v>Establecer el calendario academico y debe garantizar el cumplimiento a la intensidad horaria en los diferentes niveles.La institución debe presentar plan de mejoramiento el 30 de abril de 2025</v>
          </cell>
          <cell r="T33" t="str">
            <v>Si</v>
          </cell>
          <cell r="U33" t="str">
            <v>Revisar PM y verificar que se ajuste a las observaciones realizadas.</v>
          </cell>
        </row>
        <row r="34">
          <cell r="A34">
            <v>1489</v>
          </cell>
          <cell r="B34"/>
          <cell r="C34" t="str">
            <v>RAFAEL URIBE URIBE</v>
          </cell>
          <cell r="D34" t="str">
            <v>PRIVADO</v>
          </cell>
          <cell r="E34" t="str">
            <v>EPBM</v>
          </cell>
          <cell r="F34" t="str">
            <v>COLEGIO_DE_ADMINISTRACION_ROBERT_OWEN</v>
          </cell>
          <cell r="G34" t="str">
            <v>COLEGIO_DE_ADMINISTRACION_ROBERT_OWEN</v>
          </cell>
          <cell r="H34" t="str">
            <v>Autoevaluación Institucional y Pruebas SABER 11</v>
          </cell>
          <cell r="I34" t="str">
            <v>EVALUACIÓN_CON_FINES_DE_MEJORAMIENTO.</v>
          </cell>
          <cell r="J34" t="str">
            <v>Verificar el funcionamiento del Gobierno Escolar e instancias de participación con base en la información sobre conformación reportada por la institución educativa.</v>
          </cell>
          <cell r="K34" t="str">
            <v>ALEJANDRA JOHANA BALAGUERA CASAS</v>
          </cell>
          <cell r="L34" t="str">
            <v>BEPCI YADIRA MINA ZAPATA</v>
          </cell>
          <cell r="M34">
            <v>45742</v>
          </cell>
          <cell r="N34">
            <v>45743</v>
          </cell>
          <cell r="O34">
            <v>45743</v>
          </cell>
          <cell r="P34" t="str">
            <v>Visitas de evaluación con fines de mejoramiento</v>
          </cell>
          <cell r="Q34" t="str">
            <v>27-03-2025 Robert Owen.pdf</v>
          </cell>
          <cell r="R34" t="str">
            <v>No se evidencian actas de funcionamiento de Gobierno Escolar</v>
          </cell>
          <cell r="S34" t="str">
            <v>Generar los espacios para el funcionamiento del gobierno escolar con sus respectivas actas. Presentar plan de mejoramiento el 30 de abril de 2025</v>
          </cell>
          <cell r="T34" t="str">
            <v>Si</v>
          </cell>
          <cell r="U34" t="str">
            <v>Revisar PM y verificar que se ajuste a las observaciones realizadas.</v>
          </cell>
        </row>
        <row r="35">
          <cell r="A35">
            <v>1490</v>
          </cell>
          <cell r="B35"/>
          <cell r="C35" t="str">
            <v>RAFAEL URIBE URIBE</v>
          </cell>
          <cell r="D35" t="str">
            <v>PRIVADO</v>
          </cell>
          <cell r="E35" t="str">
            <v>EPBM</v>
          </cell>
          <cell r="F35" t="str">
            <v>COLEGIO_DE_ADMINISTRACION_ROBERT_OWEN</v>
          </cell>
          <cell r="G35" t="str">
            <v>COLEGIO_DE_ADMINISTRACION_ROBERT_OWEN</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ALEJANDRA JOHANA BALAGUERA CASAS</v>
          </cell>
          <cell r="L35" t="str">
            <v>BEPCI YADIRA MINA ZAPATA</v>
          </cell>
          <cell r="M35">
            <v>45742</v>
          </cell>
          <cell r="N35">
            <v>45743</v>
          </cell>
          <cell r="O35">
            <v>45743</v>
          </cell>
          <cell r="P35" t="str">
            <v>Visitas de evaluación con fines de mejoramiento</v>
          </cell>
          <cell r="Q35" t="str">
            <v>27-03-2025 Robert Owen.pdf</v>
          </cell>
          <cell r="R35" t="str">
            <v xml:space="preserve">Se evidencia un posible hacinamiento de estudiantes en las aulas, se observa que no hay laboratorio, ni biblioteca. </v>
          </cell>
          <cell r="S35" t="str">
            <v>Buscar estrategias que perminan subsanar los inconvenientes con la planta física La institución debe presentar plan de mejoramiento el 30 de abril de 2025</v>
          </cell>
          <cell r="T35" t="str">
            <v>Si</v>
          </cell>
          <cell r="U35" t="str">
            <v>Revisar PM y verificar que se ajuste a las observaciones realizadas.</v>
          </cell>
        </row>
        <row r="36">
          <cell r="A36">
            <v>1491</v>
          </cell>
          <cell r="B36">
            <v>4</v>
          </cell>
          <cell r="C36" t="str">
            <v>RAFAEL URIBE URIBE</v>
          </cell>
          <cell r="D36" t="str">
            <v>PRIVADO</v>
          </cell>
          <cell r="E36" t="str">
            <v>EPBM</v>
          </cell>
          <cell r="F36" t="str">
            <v>NUEVO_LICEO_SANTA_CLARA</v>
          </cell>
          <cell r="G36" t="str">
            <v>NUEVO_LICEO_SANTA_CLARA</v>
          </cell>
          <cell r="H36" t="str">
            <v>Autoevaluación Institucional y Pruebas SABER 11</v>
          </cell>
          <cell r="I36" t="str">
            <v>SEGUIMIENTO_Y_SUPERVISIÓN.</v>
          </cell>
          <cell r="J36" t="str">
            <v>Realizar visitas para verificar la información registrada sobre la autoevaluación institucional en el aplicativo EVI, a los establecimientos de educación formal no oficial.</v>
          </cell>
          <cell r="K36" t="str">
            <v>BEPCI YADIRA MINA ZAPATA</v>
          </cell>
          <cell r="L36" t="str">
            <v>DORY CONSTANZA SANCHEZ ARAGÓN</v>
          </cell>
          <cell r="M36">
            <v>45748</v>
          </cell>
          <cell r="N36">
            <v>45748</v>
          </cell>
          <cell r="O36">
            <v>45748</v>
          </cell>
          <cell r="P36" t="str">
            <v>Visitas de evaluación con fines de mejoramiento</v>
          </cell>
          <cell r="Q36" t="str">
            <v>1-04-2025 Nuevo Liceo Santa Clara.pdf</v>
          </cell>
          <cell r="R36" t="str">
            <v>La rectora informa que tiene tercerizado el pago de seguridad social con una empresa. No cuenta con soporte de los pagos.</v>
          </cell>
          <cell r="S36" t="str">
            <v>Realizar contratos y pago de seguridad social a los docentes. Presentar plan de mejoramiento el 25 de abril de 2025</v>
          </cell>
          <cell r="T36" t="str">
            <v>Si</v>
          </cell>
          <cell r="U36" t="str">
            <v>Revisar PM y verificar que se ajuste a las observaciones realizadas.</v>
          </cell>
        </row>
        <row r="37">
          <cell r="A37">
            <v>1492</v>
          </cell>
          <cell r="B37"/>
          <cell r="C37" t="str">
            <v>RAFAEL URIBE URIBE</v>
          </cell>
          <cell r="D37" t="str">
            <v>PRIVADO</v>
          </cell>
          <cell r="E37" t="str">
            <v>EPBM</v>
          </cell>
          <cell r="F37" t="str">
            <v>NUEVO_LICEO_SANTA_CLARA</v>
          </cell>
          <cell r="G37" t="str">
            <v>NUEVO_LICEO_SANTA_CLARA</v>
          </cell>
          <cell r="H37" t="str">
            <v>Autoevaluación Institucional y Pruebas SABER 11</v>
          </cell>
          <cell r="I37" t="str">
            <v>SEGUIMIENTO_Y_SUPERVISIÓN.</v>
          </cell>
          <cell r="J37" t="str">
            <v>Proponer estrategias en la formulación, verificar su elaboración y realizar seguimiento semestral al desarrollo de  las acciones establecidas en los planes de mejoramiento por pruebas SABER 11 de los establecimientos de educación formal.</v>
          </cell>
          <cell r="K37" t="str">
            <v>BEPCI YADIRA MINA ZAPATA</v>
          </cell>
          <cell r="L37" t="str">
            <v>DORY CONSTANZA SANCHEZ ARAGÓN</v>
          </cell>
          <cell r="M37">
            <v>45748</v>
          </cell>
          <cell r="N37">
            <v>45748</v>
          </cell>
          <cell r="O37">
            <v>45748</v>
          </cell>
          <cell r="P37" t="str">
            <v>Visitas de evaluación con fines de mejoramiento</v>
          </cell>
          <cell r="Q37" t="str">
            <v>1-04-2025 Nuevo Liceo Santa Clara.pdf</v>
          </cell>
          <cell r="R37"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37" t="str">
            <v>Realizar analisis de las Pruebas Saber y establecer acciones pertinentes. Presentar plan de mejoramiento el 25 de abril de 2025</v>
          </cell>
          <cell r="T37" t="str">
            <v>Si</v>
          </cell>
          <cell r="U37" t="str">
            <v>Revisar PM y verificar que se ajuste a las observaciones realizadas.</v>
          </cell>
        </row>
        <row r="38">
          <cell r="A38">
            <v>1493</v>
          </cell>
          <cell r="B38"/>
          <cell r="C38" t="str">
            <v>RAFAEL URIBE URIBE</v>
          </cell>
          <cell r="D38" t="str">
            <v>PRIVADO</v>
          </cell>
          <cell r="E38" t="str">
            <v>EPBM</v>
          </cell>
          <cell r="F38" t="str">
            <v>NUEVO_LICEO_SANTA_CLARA</v>
          </cell>
          <cell r="G38" t="str">
            <v>NUEVO_LICEO_SANTA_CLARA</v>
          </cell>
          <cell r="H38" t="str">
            <v>Autoevaluación Institucional y Pruebas SABER 11</v>
          </cell>
          <cell r="I38" t="str">
            <v>SEGUIMIENTO_Y_SUPERVISIÓN.</v>
          </cell>
          <cell r="J38" t="str">
            <v xml:space="preserve">Verificar la implementación por parte de los colegios, de acciones realizadas para la prevención y atención de las situaciones de convivencia en el entorno escolar, según lo establecido en la Directiva 01 de 2022 del MEN. </v>
          </cell>
          <cell r="K38" t="str">
            <v>BEPCI YADIRA MINA ZAPATA</v>
          </cell>
          <cell r="L38" t="str">
            <v>DORY CONSTANZA SANCHEZ ARAGÓN</v>
          </cell>
          <cell r="M38">
            <v>45748</v>
          </cell>
          <cell r="N38">
            <v>45748</v>
          </cell>
          <cell r="O38">
            <v>45748</v>
          </cell>
          <cell r="P38" t="str">
            <v>Visitas de evaluación con fines de mejoramiento</v>
          </cell>
          <cell r="Q38" t="str">
            <v>1-04-2025 Nuevo Liceo Santa Clara.pdf</v>
          </cell>
          <cell r="R38" t="str">
            <v>La institución no cuentan con actas donde se evidencie el funcionamiento del comité de convivencia escolar.
Cuenta con verificacion de inhabilidadades por delitos sexuales del 28 de marzo de 2025</v>
          </cell>
          <cell r="S38" t="str">
            <v>El comite cde convivencia se debe reunir cada 2 meses.
Se debe realizar verificación de antecedente cada 4 meses. Presentar plan de mejoramiento el 25 de abril de 2025</v>
          </cell>
          <cell r="T38" t="str">
            <v>Si</v>
          </cell>
          <cell r="U38" t="str">
            <v>Revisar PM y verificar que se ajuste a las observaciones realizadas.</v>
          </cell>
        </row>
        <row r="39">
          <cell r="A39">
            <v>1494</v>
          </cell>
          <cell r="B39"/>
          <cell r="C39" t="str">
            <v>RAFAEL URIBE URIBE</v>
          </cell>
          <cell r="D39" t="str">
            <v>PRIVADO</v>
          </cell>
          <cell r="E39" t="str">
            <v>EPBM</v>
          </cell>
          <cell r="F39" t="str">
            <v>NUEVO_LICEO_SANTA_CLARA</v>
          </cell>
          <cell r="G39" t="str">
            <v>NUEVO_LICEO_SANTA_CLARA</v>
          </cell>
          <cell r="H39" t="str">
            <v>Autoevaluación Institucional y Pruebas SABER 11</v>
          </cell>
          <cell r="I39" t="str">
            <v>SEGUIMIENTO_Y_SUPERVISIÓN.</v>
          </cell>
          <cell r="J3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 t="str">
            <v>BEPCI YADIRA MINA ZAPATA</v>
          </cell>
          <cell r="L39" t="str">
            <v>DORY CONSTANZA SANCHEZ ARAGÓN</v>
          </cell>
          <cell r="M39">
            <v>45748</v>
          </cell>
          <cell r="N39">
            <v>45748</v>
          </cell>
          <cell r="O39">
            <v>45748</v>
          </cell>
          <cell r="P39" t="str">
            <v>Visitas de evaluación con fines de mejoramiento</v>
          </cell>
          <cell r="Q39" t="str">
            <v>1-04-2025 Nuevo Liceo Santa Clara.pdf</v>
          </cell>
          <cell r="R39" t="str">
            <v>El colegio tiene diseñado los PIAR, desde los formatos versión 1.4. Han adapatado las necesidades de los estudiantes, responden al desarrollo de sus habilidades cognitivas.</v>
          </cell>
          <cell r="S39" t="str">
            <v>Deben organizar y completar  las historias escolares de cada uno de los estudiates. Presentar plan de mejoramiento el 25 de abril de 2025</v>
          </cell>
          <cell r="T39" t="str">
            <v>Si</v>
          </cell>
          <cell r="U39" t="str">
            <v>Revisar PM y verificar que se ajuste a las observaciones realizadas.</v>
          </cell>
        </row>
        <row r="40">
          <cell r="A40">
            <v>1495</v>
          </cell>
          <cell r="B40"/>
          <cell r="C40" t="str">
            <v>RAFAEL URIBE URIBE</v>
          </cell>
          <cell r="D40" t="str">
            <v>PRIVADO</v>
          </cell>
          <cell r="E40" t="str">
            <v>EPBM</v>
          </cell>
          <cell r="F40" t="str">
            <v>NUEVO_LICEO_SANTA_CLARA</v>
          </cell>
          <cell r="G40" t="str">
            <v>NUEVO_LICEO_SANTA_CLARA</v>
          </cell>
          <cell r="H40" t="str">
            <v>Autoevaluación Institucional y Pruebas SABER 11</v>
          </cell>
          <cell r="I40" t="str">
            <v>EVALUACIÓN_CON_FINES_DE_MEJORAMIENTO.</v>
          </cell>
          <cell r="J4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0" t="str">
            <v>BEPCI YADIRA MINA ZAPATA</v>
          </cell>
          <cell r="L40" t="str">
            <v>DORY CONSTANZA SANCHEZ ARAGÓN</v>
          </cell>
          <cell r="M40">
            <v>45748</v>
          </cell>
          <cell r="N40">
            <v>45748</v>
          </cell>
          <cell r="O40">
            <v>45748</v>
          </cell>
          <cell r="P40" t="str">
            <v>Visitas de evaluación con fines de mejoramiento</v>
          </cell>
          <cell r="Q40" t="str">
            <v>1-04-2025 Nuevo Liceo Santa Clara.pdf</v>
          </cell>
          <cell r="R40" t="str">
            <v>No se evidencia aprobación del manual de convivencia, ya que no cuenta con actas de gobierno escolar.
No se encuentra actualizada y cumpliendo con la normatividad vigente</v>
          </cell>
          <cell r="S40" t="str">
            <v>La institución debe actualizar el manual de convivencia con participación del gobierno escolar. Presentar plan de mejoramiento el 25 de abril de 2025</v>
          </cell>
          <cell r="T40" t="str">
            <v>Si</v>
          </cell>
          <cell r="U40" t="str">
            <v>Revisar PM y verificar que se ajuste a las observaciones realizadas.</v>
          </cell>
        </row>
        <row r="41">
          <cell r="A41">
            <v>1496</v>
          </cell>
          <cell r="B41"/>
          <cell r="C41" t="str">
            <v>RAFAEL URIBE URIBE</v>
          </cell>
          <cell r="D41" t="str">
            <v>PRIVADO</v>
          </cell>
          <cell r="E41" t="str">
            <v>EPBM</v>
          </cell>
          <cell r="F41" t="str">
            <v>NUEVO_LICEO_SANTA_CLARA</v>
          </cell>
          <cell r="G41" t="str">
            <v>NUEVO_LICEO_SANTA_CLARA</v>
          </cell>
          <cell r="H41" t="str">
            <v>Autoevaluación Institucional y Pruebas SABER 11</v>
          </cell>
          <cell r="I41" t="str">
            <v>EVALUACIÓN_CON_FINES_DE_MEJORAMIENTO.</v>
          </cell>
          <cell r="J41" t="str">
            <v>Revisar la actualización, socialización e implementación del Sistema Institucional de Evaluación de Estudiantes - SIEE, en articulación con la actualización del PEI y la normatividad vigente.</v>
          </cell>
          <cell r="K41" t="str">
            <v>BEPCI YADIRA MINA ZAPATA</v>
          </cell>
          <cell r="L41" t="str">
            <v>DORY CONSTANZA SANCHEZ ARAGÓN</v>
          </cell>
          <cell r="M41">
            <v>45748</v>
          </cell>
          <cell r="N41">
            <v>45748</v>
          </cell>
          <cell r="O41">
            <v>45748</v>
          </cell>
          <cell r="P41" t="str">
            <v>Visitas de evaluación con fines de mejoramiento</v>
          </cell>
          <cell r="Q41" t="str">
            <v>1-04-2025 Nuevo Liceo Santa Clara.pdf</v>
          </cell>
          <cell r="R41" t="str">
            <v>No presentan evidencias de la participación de la comunidad educativa en su construcción</v>
          </cell>
          <cell r="S41" t="str">
            <v>En el SIE se deben ampliar y fortalecer los criterios de evaluación y promoción. Presentar plan de mejoramiento el 25 de abril de 2025</v>
          </cell>
          <cell r="T41" t="str">
            <v>Si</v>
          </cell>
          <cell r="U41" t="str">
            <v>Revisar PM y verificar que se ajuste a las observaciones realizadas.</v>
          </cell>
        </row>
        <row r="42">
          <cell r="A42">
            <v>1497</v>
          </cell>
          <cell r="B42"/>
          <cell r="C42" t="str">
            <v>RAFAEL URIBE URIBE</v>
          </cell>
          <cell r="D42" t="str">
            <v>PRIVADO</v>
          </cell>
          <cell r="E42" t="str">
            <v>EPBM</v>
          </cell>
          <cell r="F42" t="str">
            <v>NUEVO_LICEO_SANTA_CLARA</v>
          </cell>
          <cell r="G42" t="str">
            <v>NUEVO_LICEO_SANTA_CLARA</v>
          </cell>
          <cell r="H42" t="str">
            <v>Autoevaluación Institucional y Pruebas SABER 11</v>
          </cell>
          <cell r="I42" t="str">
            <v>EVALUACIÓN_CON_FINES_DE_MEJORAMIENTO.</v>
          </cell>
          <cell r="J42" t="str">
            <v>Revisar el calendario escolar, jornada escolar, la intensidad horaria mínima anual en cada nivel y las modificaciones que se realicen al mismo, de acuerdo con lo previsto en la normatividad vigente.</v>
          </cell>
          <cell r="K42" t="str">
            <v>BEPCI YADIRA MINA ZAPATA</v>
          </cell>
          <cell r="L42" t="str">
            <v>DORY CONSTANZA SANCHEZ ARAGÓN</v>
          </cell>
          <cell r="M42">
            <v>45748</v>
          </cell>
          <cell r="N42">
            <v>45748</v>
          </cell>
          <cell r="O42">
            <v>45748</v>
          </cell>
          <cell r="P42" t="str">
            <v>Visitas de evaluación con fines de mejoramiento</v>
          </cell>
          <cell r="Q42" t="str">
            <v>1-04-2025 Nuevo Liceo Santa Clara.pdf</v>
          </cell>
          <cell r="R42" t="str">
            <v>La intensidad horaria semanal establecida para 6° a 11° son 35 horas,  primaria 30 horas y preescolar 25 horas. Cumpliendo con la cantidad de horas según la normatividad vigente.</v>
          </cell>
          <cell r="S42" t="str">
            <v>Dar cumplimiento a lo establecido en el calendario</v>
          </cell>
          <cell r="T42" t="str">
            <v>No</v>
          </cell>
          <cell r="U42" t="str">
            <v>Dar cumplimiento a lo establecido en el calendario</v>
          </cell>
        </row>
        <row r="43">
          <cell r="A43">
            <v>1498</v>
          </cell>
          <cell r="B43"/>
          <cell r="C43" t="str">
            <v>RAFAEL URIBE URIBE</v>
          </cell>
          <cell r="D43" t="str">
            <v>PRIVADO</v>
          </cell>
          <cell r="E43" t="str">
            <v>EPBM</v>
          </cell>
          <cell r="F43" t="str">
            <v>NUEVO_LICEO_SANTA_CLARA</v>
          </cell>
          <cell r="G43" t="str">
            <v>NUEVO_LICEO_SANTA_CLARA</v>
          </cell>
          <cell r="H43" t="str">
            <v>Autoevaluación Institucional y Pruebas SABER 11</v>
          </cell>
          <cell r="I43" t="str">
            <v>EVALUACIÓN_CON_FINES_DE_MEJORAMIENTO.</v>
          </cell>
          <cell r="J43" t="str">
            <v>Verificar el funcionamiento del Gobierno Escolar e instancias de participación con base en la información sobre conformación reportada por la institución educativa.</v>
          </cell>
          <cell r="K43" t="str">
            <v>BEPCI YADIRA MINA ZAPATA</v>
          </cell>
          <cell r="L43" t="str">
            <v>DORY CONSTANZA SANCHEZ ARAGÓN</v>
          </cell>
          <cell r="M43">
            <v>45748</v>
          </cell>
          <cell r="N43">
            <v>45748</v>
          </cell>
          <cell r="O43">
            <v>45748</v>
          </cell>
          <cell r="P43" t="str">
            <v>Visitas de evaluación con fines de mejoramiento</v>
          </cell>
          <cell r="Q43" t="str">
            <v>1-04-2025 Nuevo Liceo Santa Clara.pdf</v>
          </cell>
          <cell r="R43" t="str">
            <v>No se evidencian actas de funcionamiento de Gobierno Escolar</v>
          </cell>
          <cell r="S43" t="str">
            <v>Generar los espacios para el funcionamiento del gobierno escolar con sus respectivas actas. Presentar plan de mejoramiento el 25 de abril de 2025</v>
          </cell>
          <cell r="T43" t="str">
            <v>Si</v>
          </cell>
          <cell r="U43" t="str">
            <v>Revisar PM y verificar que se ajuste a las observaciones realizadas.</v>
          </cell>
        </row>
        <row r="44">
          <cell r="A44">
            <v>1499</v>
          </cell>
          <cell r="B44"/>
          <cell r="C44" t="str">
            <v>RAFAEL URIBE URIBE</v>
          </cell>
          <cell r="D44" t="str">
            <v>PRIVADO</v>
          </cell>
          <cell r="E44" t="str">
            <v>EPBM</v>
          </cell>
          <cell r="F44" t="str">
            <v>NUEVO_LICEO_SANTA_CLARA</v>
          </cell>
          <cell r="G44" t="str">
            <v>NUEVO_LICEO_SANTA_CLARA</v>
          </cell>
          <cell r="H44" t="str">
            <v>Autoevaluación Institucional y Pruebas SABER 11</v>
          </cell>
          <cell r="I44" t="str">
            <v>EVALUACIÓN_CON_FINES_DE_MEJORAMIENTO.</v>
          </cell>
          <cell r="J44" t="str">
            <v>Verificar las condiciones en cuanto a: la estructura administrativa, condiciones de la planta física y medios educativos adecuados.</v>
          </cell>
          <cell r="K44" t="str">
            <v>BEPCI YADIRA MINA ZAPATA</v>
          </cell>
          <cell r="L44" t="str">
            <v>DORY CONSTANZA SANCHEZ ARAGÓN</v>
          </cell>
          <cell r="M44">
            <v>45748</v>
          </cell>
          <cell r="N44">
            <v>45748</v>
          </cell>
          <cell r="O44">
            <v>45748</v>
          </cell>
          <cell r="P44" t="str">
            <v>Visitas de evaluación con fines de mejoramiento</v>
          </cell>
          <cell r="Q44" t="str">
            <v>1-04-2025 Nuevo Liceo Santa Clara.pdf</v>
          </cell>
          <cell r="R44" t="str">
            <v xml:space="preserve">Se evidencia un posible hacinamiento de estudiantes enlas aulas, se observa que no hay laboratorio, ni biblioteca. </v>
          </cell>
          <cell r="S44" t="str">
            <v>Presentar plan de mejoramiento el 25 de abril de 2025</v>
          </cell>
          <cell r="T44" t="str">
            <v>Si</v>
          </cell>
          <cell r="U44" t="str">
            <v>Revisar PM y hacer el seguimiento.</v>
          </cell>
        </row>
        <row r="45">
          <cell r="A45">
            <v>1500</v>
          </cell>
          <cell r="B45">
            <v>5</v>
          </cell>
          <cell r="C45" t="str">
            <v>RAFAEL URIBE URIBE</v>
          </cell>
          <cell r="D45" t="str">
            <v>PRIVADO</v>
          </cell>
          <cell r="E45" t="str">
            <v>EPBM</v>
          </cell>
          <cell r="F45" t="str">
            <v>COLEGIO_MAYOR_DEL_QUIROGA</v>
          </cell>
          <cell r="G45" t="str">
            <v>COLEGIO_MAYOR_DEL_QUIROGA</v>
          </cell>
          <cell r="H45" t="str">
            <v>Autoevaluación Institucional y Pruebas SABER 11</v>
          </cell>
          <cell r="I45" t="str">
            <v>SEGUIMIENTO_Y_SUPERVISIÓN.</v>
          </cell>
          <cell r="J45" t="str">
            <v>Realizar visitas para verificar la información registrada sobre la autoevaluación institucional en el aplicativo EVI, a los establecimientos de educación formal no oficial.</v>
          </cell>
          <cell r="K45" t="str">
            <v>DORY CONSTANZA SANCHEZ ARAGÓN</v>
          </cell>
          <cell r="L45" t="str">
            <v>BEPCI YADIRA MINA ZAPATA</v>
          </cell>
          <cell r="M45">
            <v>45888</v>
          </cell>
          <cell r="N45">
            <v>45888</v>
          </cell>
          <cell r="O45">
            <v>45902</v>
          </cell>
          <cell r="P45" t="str">
            <v>Visitas de evaluación con fines de mejoramiento</v>
          </cell>
          <cell r="Q45" t="str">
            <v>19 agos y 2 sept 2025 Mayor Quiroga.pdf</v>
          </cell>
          <cell r="R45" t="str">
            <v>Se evidencia que los docentes se encuentran con contrato laboral y  pago de seguridad social.
Planta física acorde con espacios pedagogícos adecuados.</v>
          </cell>
          <cell r="S45" t="str">
            <v>Continuar con la contratación y pago de seguridad social de los docentes</v>
          </cell>
          <cell r="T45" t="str">
            <v>No</v>
          </cell>
          <cell r="U45" t="str">
            <v>Verificar en caso de algun reqiuerimiento o queja</v>
          </cell>
        </row>
        <row r="46">
          <cell r="A46">
            <v>1501</v>
          </cell>
          <cell r="B46"/>
          <cell r="C46" t="str">
            <v>RAFAEL URIBE URIBE</v>
          </cell>
          <cell r="D46" t="str">
            <v>PRIVADO</v>
          </cell>
          <cell r="E46" t="str">
            <v>EPBM</v>
          </cell>
          <cell r="F46" t="str">
            <v>COLEGIO_MAYOR_DEL_QUIROGA</v>
          </cell>
          <cell r="G46" t="str">
            <v>COLEGIO_MAYOR_DEL_QUIROGA</v>
          </cell>
          <cell r="H46" t="str">
            <v>Autoevaluación Institucional y Pruebas SABER 11</v>
          </cell>
          <cell r="I46" t="str">
            <v>SEGUIMIENTO_Y_SUPERVISIÓN.</v>
          </cell>
          <cell r="J46" t="str">
            <v>Proponer estrategias en la formulación, verificar su elaboración y realizar seguimiento semestral al desarrollo de  las acciones establecidas en los planes de mejoramiento por pruebas SABER 11 de los establecimientos de educación formal.</v>
          </cell>
          <cell r="K46" t="str">
            <v>DORY CONSTANZA SANCHEZ ARAGÓN</v>
          </cell>
          <cell r="L46" t="str">
            <v>BEPCI YADIRA MINA ZAPATA</v>
          </cell>
          <cell r="M46">
            <v>45888</v>
          </cell>
          <cell r="N46">
            <v>45888</v>
          </cell>
          <cell r="O46">
            <v>45902</v>
          </cell>
          <cell r="P46" t="str">
            <v>Visitas de evaluación con fines de mejoramiento</v>
          </cell>
          <cell r="Q46" t="str">
            <v>19 agos y 2 sept 2025 Mayor Quiroga.pdf</v>
          </cell>
          <cell r="R46"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46" t="str">
            <v>Realizar analisis de las Pruebas Saber y establecer acciones pertinentes. Presentar plan de mejoramiento el 2 de octubre de 2025</v>
          </cell>
          <cell r="T46" t="str">
            <v>Si</v>
          </cell>
          <cell r="U46" t="str">
            <v>Revisar PM y verificar que se ajuste a las observaciones realizadas.</v>
          </cell>
        </row>
        <row r="47">
          <cell r="A47">
            <v>1502</v>
          </cell>
          <cell r="B47"/>
          <cell r="C47" t="str">
            <v>RAFAEL URIBE URIBE</v>
          </cell>
          <cell r="D47" t="str">
            <v>PRIVADO</v>
          </cell>
          <cell r="E47" t="str">
            <v>EPBM</v>
          </cell>
          <cell r="F47" t="str">
            <v>COLEGIO_MAYOR_DEL_QUIROGA</v>
          </cell>
          <cell r="G47" t="str">
            <v>COLEGIO_MAYOR_DEL_QUIROGA</v>
          </cell>
          <cell r="H47" t="str">
            <v>Autoevaluación Institucional y Pruebas SABER 11</v>
          </cell>
          <cell r="I47" t="str">
            <v>SEGUIMIENTO_Y_SUPERVISIÓN.</v>
          </cell>
          <cell r="J47" t="str">
            <v xml:space="preserve">Verificar la implementación por parte de los colegios, de acciones realizadas para la prevención y atención de las situaciones de convivencia en el entorno escolar, según lo establecido en la Directiva 01 de 2022 del MEN. </v>
          </cell>
          <cell r="K47" t="str">
            <v>DORY CONSTANZA SANCHEZ ARAGÓN</v>
          </cell>
          <cell r="L47" t="str">
            <v>BEPCI YADIRA MINA ZAPATA</v>
          </cell>
          <cell r="M47">
            <v>45888</v>
          </cell>
          <cell r="N47">
            <v>45888</v>
          </cell>
          <cell r="O47">
            <v>45902</v>
          </cell>
          <cell r="P47" t="str">
            <v>Visitas de evaluación con fines de mejoramiento</v>
          </cell>
          <cell r="Q47" t="str">
            <v>19 agos y 2 sept 2025 Mayor Quiroga.pdf</v>
          </cell>
          <cell r="R47" t="str">
            <v>La institución no cuentan con actas donde se evidencie el funcionamiento del comité de convivencia escolar.
Cuenta con verificacion de inhabilidadades por delitos sexuales pero no cada 4 meses</v>
          </cell>
          <cell r="S47" t="str">
            <v>El comite cde convivencia se debe reunir cada 2 meses.
Se debe realizar verificación de antecedente cada 4 meses. Presentar plan de mejoramiento el 25 de abril de 2025</v>
          </cell>
          <cell r="T47" t="str">
            <v>Si</v>
          </cell>
          <cell r="U47" t="str">
            <v>Revisar PM y verificar que se ajuste a las observaciones realizadas.</v>
          </cell>
        </row>
        <row r="48">
          <cell r="A48">
            <v>1503</v>
          </cell>
          <cell r="B48"/>
          <cell r="C48" t="str">
            <v>RAFAEL URIBE URIBE</v>
          </cell>
          <cell r="D48" t="str">
            <v>PRIVADO</v>
          </cell>
          <cell r="E48" t="str">
            <v>EPBM</v>
          </cell>
          <cell r="F48" t="str">
            <v>COLEGIO_MAYOR_DEL_QUIROGA</v>
          </cell>
          <cell r="G48" t="str">
            <v>COLEGIO_MAYOR_DEL_QUIROGA</v>
          </cell>
          <cell r="H48" t="str">
            <v>Autoevaluación Institucional y Pruebas SABER 11</v>
          </cell>
          <cell r="I48" t="str">
            <v>SEGUIMIENTO_Y_SUPERVISIÓN.</v>
          </cell>
          <cell r="J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8" t="str">
            <v>DORY CONSTANZA SANCHEZ ARAGÓN</v>
          </cell>
          <cell r="L48" t="str">
            <v>BEPCI YADIRA MINA ZAPATA</v>
          </cell>
          <cell r="M48">
            <v>45888</v>
          </cell>
          <cell r="N48">
            <v>45888</v>
          </cell>
          <cell r="O48">
            <v>45902</v>
          </cell>
          <cell r="P48" t="str">
            <v>Visitas de evaluación con fines de mejoramiento</v>
          </cell>
          <cell r="Q48" t="str">
            <v>19 agos y 2 sept 2025 Mayor Quiroga.pdf</v>
          </cell>
          <cell r="R48" t="str">
            <v xml:space="preserve">El colegio cuenta con el PIAR de un estudiante, el cual está muy bien diseñado, en él está estructurado claramente el proceso a llevar con el estudinate, el seguimiento, los avances del menor, las estartegias pedagógicas, las adapataciones realizadas. </v>
          </cell>
          <cell r="S48" t="str">
            <v>Continuar con los seguimientos y acompañamiento a los estudiantes con PIAR</v>
          </cell>
          <cell r="T48" t="str">
            <v>No</v>
          </cell>
          <cell r="U48" t="str">
            <v>Verificar en caso de algun reqiuerimiento o queja</v>
          </cell>
        </row>
        <row r="49">
          <cell r="A49">
            <v>1504</v>
          </cell>
          <cell r="B49"/>
          <cell r="C49" t="str">
            <v>RAFAEL URIBE URIBE</v>
          </cell>
          <cell r="D49" t="str">
            <v>PRIVADO</v>
          </cell>
          <cell r="E49" t="str">
            <v>EPBM</v>
          </cell>
          <cell r="F49" t="str">
            <v>COLEGIO_MAYOR_DEL_QUIROGA</v>
          </cell>
          <cell r="G49" t="str">
            <v>COLEGIO_MAYOR_DEL_QUIROGA</v>
          </cell>
          <cell r="H49" t="str">
            <v>Autoevaluación Institucional y Pruebas SABER 11</v>
          </cell>
          <cell r="I49" t="str">
            <v>EVALUACIÓN_CON_FINES_DE_MEJORAMIENTO.</v>
          </cell>
          <cell r="J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9" t="str">
            <v>DORY CONSTANZA SANCHEZ ARAGÓN</v>
          </cell>
          <cell r="L49" t="str">
            <v>BEPCI YADIRA MINA ZAPATA</v>
          </cell>
          <cell r="M49">
            <v>45888</v>
          </cell>
          <cell r="N49">
            <v>45888</v>
          </cell>
          <cell r="O49">
            <v>45902</v>
          </cell>
          <cell r="P49" t="str">
            <v>Visitas de evaluación con fines de mejoramiento</v>
          </cell>
          <cell r="Q49" t="str">
            <v>19 agos y 2 sept 2025 Mayor Quiroga.pdf</v>
          </cell>
          <cell r="R49" t="str">
            <v>No se evidencia participación del comite de onvivencia escolar, ya que no cuenta con actas de gobierno escolar.
Es necesario actualizarlo y cumpliendo con la normatividad vigente</v>
          </cell>
          <cell r="S49" t="str">
            <v>La institución debe actualizar el manual de convivencia con participación del gobierno escolar. Presentar plan de mejoramiento el 2 de octubre de 2025</v>
          </cell>
          <cell r="T49" t="str">
            <v>Si</v>
          </cell>
          <cell r="U49" t="str">
            <v>Revisar PM y verificar que se ajuste a las observaciones realizadas.</v>
          </cell>
        </row>
        <row r="50">
          <cell r="A50">
            <v>1505</v>
          </cell>
          <cell r="B50"/>
          <cell r="C50" t="str">
            <v>RAFAEL URIBE URIBE</v>
          </cell>
          <cell r="D50" t="str">
            <v>PRIVADO</v>
          </cell>
          <cell r="E50" t="str">
            <v>EPBM</v>
          </cell>
          <cell r="F50" t="str">
            <v>COLEGIO_MAYOR_DEL_QUIROGA</v>
          </cell>
          <cell r="G50" t="str">
            <v>COLEGIO_MAYOR_DEL_QUIROGA</v>
          </cell>
          <cell r="H50" t="str">
            <v>Autoevaluación Institucional y Pruebas SABER 11</v>
          </cell>
          <cell r="I50" t="str">
            <v>EVALUACIÓN_CON_FINES_DE_MEJORAMIENTO.</v>
          </cell>
          <cell r="J50" t="str">
            <v>Revisar la actualización, socialización e implementación del Sistema Institucional de Evaluación de Estudiantes - SIEE, en articulación con la actualización del PEI y la normatividad vigente.</v>
          </cell>
          <cell r="K50" t="str">
            <v>DORY CONSTANZA SANCHEZ ARAGÓN</v>
          </cell>
          <cell r="L50" t="str">
            <v>BEPCI YADIRA MINA ZAPATA</v>
          </cell>
          <cell r="M50">
            <v>45888</v>
          </cell>
          <cell r="N50">
            <v>45888</v>
          </cell>
          <cell r="O50">
            <v>45902</v>
          </cell>
          <cell r="P50" t="str">
            <v>Visitas de evaluación con fines de mejoramiento</v>
          </cell>
          <cell r="Q50" t="str">
            <v>19 agos y 2 sept 2025 Mayor Quiroga.pdf</v>
          </cell>
          <cell r="R50" t="str">
            <v>No presentan evidencias de la participación de la comunidad educativa en su construcción</v>
          </cell>
          <cell r="S50" t="str">
            <v>En el SIE se deben ampliar y fortalecer los criterios de evaluación y promoción. Presentar plan de mejoramiento el 2 de octubre de 2025</v>
          </cell>
          <cell r="T50" t="str">
            <v>Si</v>
          </cell>
          <cell r="U50" t="str">
            <v>Revisar PM y verificar que se ajuste a las observaciones realizadas.</v>
          </cell>
        </row>
        <row r="51">
          <cell r="A51">
            <v>1506</v>
          </cell>
          <cell r="B51"/>
          <cell r="C51" t="str">
            <v>RAFAEL URIBE URIBE</v>
          </cell>
          <cell r="D51" t="str">
            <v>PRIVADO</v>
          </cell>
          <cell r="E51" t="str">
            <v>EPBM</v>
          </cell>
          <cell r="F51" t="str">
            <v>COLEGIO_MAYOR_DEL_QUIROGA</v>
          </cell>
          <cell r="G51" t="str">
            <v>COLEGIO_MAYOR_DEL_QUIROGA</v>
          </cell>
          <cell r="H51" t="str">
            <v>Autoevaluación Institucional y Pruebas SABER 11</v>
          </cell>
          <cell r="I51" t="str">
            <v>EVALUACIÓN_CON_FINES_DE_MEJORAMIENTO.</v>
          </cell>
          <cell r="J51" t="str">
            <v>Revisar el calendario escolar, jornada escolar, la intensidad horaria mínima anual en cada nivel y las modificaciones que se realicen al mismo, de acuerdo con lo previsto en la normatividad vigente.</v>
          </cell>
          <cell r="K51" t="str">
            <v>DORY CONSTANZA SANCHEZ ARAGÓN</v>
          </cell>
          <cell r="L51" t="str">
            <v>BEPCI YADIRA MINA ZAPATA</v>
          </cell>
          <cell r="M51">
            <v>45888</v>
          </cell>
          <cell r="N51">
            <v>45888</v>
          </cell>
          <cell r="O51">
            <v>45902</v>
          </cell>
          <cell r="P51" t="str">
            <v>Visitas de evaluación con fines de mejoramiento</v>
          </cell>
          <cell r="Q51" t="str">
            <v>19 agos y 2 sept 2025 Mayor Quiroga.pdf</v>
          </cell>
          <cell r="R51" t="str">
            <v>El colegio desarrolla 35 horas de trabajo efectivo con los estudiantes de todos los niveles educativos, esto hace que el colegio cumpla con 1400 horas anuales desde preescolar hasta grado undécimo.</v>
          </cell>
          <cell r="S51" t="str">
            <v>Dar cumplimiento a lo establecido en el calendario</v>
          </cell>
          <cell r="T51" t="str">
            <v>No</v>
          </cell>
          <cell r="U51" t="str">
            <v>Verificar en caso de presentarse una queja</v>
          </cell>
        </row>
        <row r="52">
          <cell r="A52">
            <v>1507</v>
          </cell>
          <cell r="B52"/>
          <cell r="C52" t="str">
            <v>RAFAEL URIBE URIBE</v>
          </cell>
          <cell r="D52" t="str">
            <v>PRIVADO</v>
          </cell>
          <cell r="E52" t="str">
            <v>EPBM</v>
          </cell>
          <cell r="F52" t="str">
            <v>COLEGIO_MAYOR_DEL_QUIROGA</v>
          </cell>
          <cell r="G52" t="str">
            <v>COLEGIO_MAYOR_DEL_QUIROGA</v>
          </cell>
          <cell r="H52" t="str">
            <v>Autoevaluación Institucional y Pruebas SABER 11</v>
          </cell>
          <cell r="I52" t="str">
            <v>EVALUACIÓN_CON_FINES_DE_MEJORAMIENTO.</v>
          </cell>
          <cell r="J52" t="str">
            <v>Verificar el funcionamiento del Gobierno Escolar e instancias de participación con base en la información sobre conformación reportada por la institución educativa.</v>
          </cell>
          <cell r="K52" t="str">
            <v>DORY CONSTANZA SANCHEZ ARAGÓN</v>
          </cell>
          <cell r="L52" t="str">
            <v>BEPCI YADIRA MINA ZAPATA</v>
          </cell>
          <cell r="M52">
            <v>45888</v>
          </cell>
          <cell r="N52">
            <v>45888</v>
          </cell>
          <cell r="O52">
            <v>45902</v>
          </cell>
          <cell r="P52" t="str">
            <v>Visitas de evaluación con fines de mejoramiento</v>
          </cell>
          <cell r="Q52" t="str">
            <v>19 agos y 2 sept 2025 Mayor Quiroga.pdf</v>
          </cell>
          <cell r="R52" t="str">
            <v>Se evidencian actas de la conformación del gobierno escolar e instancias de participación. No se encuentrann actas de funcionamiento para todos los organos.</v>
          </cell>
          <cell r="S52" t="str">
            <v>Generar los espacios para el funcionamiento del gobierno escolar con sus respectivas actas. Presentar plan de mejoramiento el 2 de octubre de 2025</v>
          </cell>
          <cell r="T52" t="str">
            <v>Si</v>
          </cell>
          <cell r="U52" t="str">
            <v>Revisar PM y verificar que se ajuste a las observaciones realizadas.</v>
          </cell>
        </row>
        <row r="53">
          <cell r="A53">
            <v>1508</v>
          </cell>
          <cell r="B53"/>
          <cell r="C53" t="str">
            <v>RAFAEL URIBE URIBE</v>
          </cell>
          <cell r="D53" t="str">
            <v>PRIVADO</v>
          </cell>
          <cell r="E53" t="str">
            <v>EPBM</v>
          </cell>
          <cell r="F53" t="str">
            <v>COLEGIO_MAYOR_DEL_QUIROGA</v>
          </cell>
          <cell r="G53" t="str">
            <v>COLEGIO_MAYOR_DEL_QUIROGA</v>
          </cell>
          <cell r="H53" t="str">
            <v>Autoevaluación Institucional y Pruebas SABER 11</v>
          </cell>
          <cell r="I53" t="str">
            <v>EVALUACIÓN_CON_FINES_DE_MEJORAMIENTO.</v>
          </cell>
          <cell r="J53" t="str">
            <v>Verificar las condiciones en cuanto a: la estructura administrativa, condiciones de la planta física y medios educativos adecuados.</v>
          </cell>
          <cell r="K53" t="str">
            <v>DORY CONSTANZA SANCHEZ ARAGÓN</v>
          </cell>
          <cell r="L53" t="str">
            <v>BEPCI YADIRA MINA ZAPATA</v>
          </cell>
          <cell r="M53">
            <v>45888</v>
          </cell>
          <cell r="N53">
            <v>45888</v>
          </cell>
          <cell r="O53">
            <v>45902</v>
          </cell>
          <cell r="P53" t="str">
            <v>Visitas de evaluación con fines de mejoramiento</v>
          </cell>
          <cell r="Q53" t="str">
            <v>19 agos y 2 sept 2025 Mayor Quiroga.pdf</v>
          </cell>
          <cell r="R53" t="str">
            <v>Cuenta con sede con licencia de funcionamiento y una sede de preescolar se encuentra en emisión de acto administrativo. Los ambientes son adecuados y sufientes.</v>
          </cell>
          <cell r="S53" t="str">
            <v>Reorganizar los estudiantes de preescolar en la sede nueva al obtener la resolución</v>
          </cell>
          <cell r="T53" t="str">
            <v>No</v>
          </cell>
          <cell r="U53" t="str">
            <v>Verificar en caso de presentarse una queja</v>
          </cell>
        </row>
        <row r="54">
          <cell r="A54">
            <v>1509</v>
          </cell>
          <cell r="B54">
            <v>6</v>
          </cell>
          <cell r="C54" t="str">
            <v>RAFAEL URIBE URIBE</v>
          </cell>
          <cell r="D54" t="str">
            <v>PRIVADO</v>
          </cell>
          <cell r="E54" t="str">
            <v>EPBM</v>
          </cell>
          <cell r="F54" t="str">
            <v>LICEO_PSICOPEDAGOGICO_SAN_PABLO</v>
          </cell>
          <cell r="G54" t="str">
            <v>LICEO_PSICOPEDAGOGICO_SAN_PABLO</v>
          </cell>
          <cell r="H54" t="str">
            <v>Autoevaluación Institucional y Pruebas SABER 11</v>
          </cell>
          <cell r="I54" t="str">
            <v>SEGUIMIENTO_Y_SUPERVISIÓN.</v>
          </cell>
          <cell r="J54"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54" t="str">
            <v>DORY CONSTANZA SANCHEZ ARAGÓN</v>
          </cell>
          <cell r="L54" t="str">
            <v>BEPCI YADIRA MINA ZAPATA</v>
          </cell>
          <cell r="M54">
            <v>45776</v>
          </cell>
          <cell r="N54">
            <v>45776</v>
          </cell>
          <cell r="O54">
            <v>45782</v>
          </cell>
          <cell r="P54" t="str">
            <v>Visitas de evaluación con fines de mejoramiento</v>
          </cell>
          <cell r="Q54" t="str">
            <v>29-04-2025 Lic Psicop San Pablo.pdf</v>
          </cell>
          <cell r="R54" t="str">
            <v>No se evidencia plan de mejoramiento subido a EVI. Cuentan con docentes sin cumplimiento de requisitos en formación académica.
Un docente por presetación de servicios.</v>
          </cell>
          <cell r="S54" t="str">
            <v>Contratar docentes con la formación necesaria. Presentar plan de mejoramiento el 6 de junio de 2025</v>
          </cell>
          <cell r="T54" t="str">
            <v>Si</v>
          </cell>
          <cell r="U54" t="str">
            <v>Revisar PM y verificar que se ajuste a las observaciones realizadas.</v>
          </cell>
        </row>
        <row r="55">
          <cell r="A55">
            <v>1510</v>
          </cell>
          <cell r="B55"/>
          <cell r="C55" t="str">
            <v>RAFAEL URIBE URIBE</v>
          </cell>
          <cell r="D55" t="str">
            <v>PRIVADO</v>
          </cell>
          <cell r="E55" t="str">
            <v>EPBM</v>
          </cell>
          <cell r="F55" t="str">
            <v>LICEO_PSICOPEDAGOGICO_SAN_PABLO</v>
          </cell>
          <cell r="G55" t="str">
            <v>LICEO_PSICOPEDAGOGICO_SAN_PABLO</v>
          </cell>
          <cell r="H55" t="str">
            <v>Autoevaluación Institucional y Pruebas SABER 11</v>
          </cell>
          <cell r="I55" t="str">
            <v>SEGUIMIENTO_Y_SUPERVISIÓN.</v>
          </cell>
          <cell r="J55" t="str">
            <v>Realizar visitas para verificar la información registrada sobre la autoevaluación institucional en el aplicativo EVI, a los establecimientos de educación formal no oficial.</v>
          </cell>
          <cell r="K55" t="str">
            <v>DORY CONSTANZA SANCHEZ ARAGÓN</v>
          </cell>
          <cell r="L55" t="str">
            <v>BEPCI YADIRA MINA ZAPATA</v>
          </cell>
          <cell r="M55">
            <v>45776</v>
          </cell>
          <cell r="N55">
            <v>45776</v>
          </cell>
          <cell r="O55">
            <v>45782</v>
          </cell>
          <cell r="P55" t="str">
            <v>Visitas de evaluación con fines de mejoramiento</v>
          </cell>
          <cell r="Q55" t="str">
            <v>29-04-2025 Lic Psicop San Pablo.pdf</v>
          </cell>
          <cell r="R55" t="str">
            <v>Se encuentran 8 computadores, en EVI reporta mayor o igual a 20 computadores. 5 docentes sin título profesional.</v>
          </cell>
          <cell r="S55" t="str">
            <v>Contratar docentes con cumplimiento de requisitos, ajustar EVI a la realidad de la institución. Presentar plan de mejoramiento el 6 de junio de 2025</v>
          </cell>
          <cell r="T55" t="str">
            <v>Si</v>
          </cell>
          <cell r="U55" t="str">
            <v>Revisar PM y verificar que se ajuste a las observaciones realizadas.</v>
          </cell>
        </row>
        <row r="56">
          <cell r="A56">
            <v>1511</v>
          </cell>
          <cell r="B56"/>
          <cell r="C56" t="str">
            <v>RAFAEL URIBE URIBE</v>
          </cell>
          <cell r="D56" t="str">
            <v>PRIVADO</v>
          </cell>
          <cell r="E56" t="str">
            <v>EPBM</v>
          </cell>
          <cell r="F56" t="str">
            <v>LICEO_PSICOPEDAGOGICO_SAN_PABLO</v>
          </cell>
          <cell r="G56" t="str">
            <v>LICEO_PSICOPEDAGOGICO_SAN_PABLO</v>
          </cell>
          <cell r="H56" t="str">
            <v>Autoevaluación Institucional y Pruebas SABER 11</v>
          </cell>
          <cell r="I56" t="str">
            <v>SEGUIMIENTO_Y_SUPERVISIÓN.</v>
          </cell>
          <cell r="J56" t="str">
            <v>Proponer estrategias en la formulación, verificar su elaboración y realizar seguimiento semestral al desarrollo de  las acciones establecidas en los planes de mejoramiento por pruebas SABER 11 de los establecimientos de educación formal.</v>
          </cell>
          <cell r="K56" t="str">
            <v>DORY CONSTANZA SANCHEZ ARAGÓN</v>
          </cell>
          <cell r="L56" t="str">
            <v>BEPCI YADIRA MINA ZAPATA</v>
          </cell>
          <cell r="M56">
            <v>45776</v>
          </cell>
          <cell r="N56">
            <v>45776</v>
          </cell>
          <cell r="O56">
            <v>45782</v>
          </cell>
          <cell r="P56" t="str">
            <v>Visitas de evaluación con fines de mejoramiento</v>
          </cell>
          <cell r="Q56" t="str">
            <v>29-04-2025 Lic Psicop San Pablo.pdf</v>
          </cell>
          <cell r="R56"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56" t="str">
            <v>Realizar analisis de las Pruebas Saber y establecer acciones pertinentes. Presentar plan de mejoramiento el 6 de junio de 2025</v>
          </cell>
          <cell r="T56" t="str">
            <v>Si</v>
          </cell>
          <cell r="U56" t="str">
            <v>Revisar PM y verificar que se ajuste a las observaciones realizadas.</v>
          </cell>
        </row>
        <row r="57">
          <cell r="A57">
            <v>1512</v>
          </cell>
          <cell r="B57"/>
          <cell r="C57" t="str">
            <v>RAFAEL URIBE URIBE</v>
          </cell>
          <cell r="D57" t="str">
            <v>PRIVADO</v>
          </cell>
          <cell r="E57" t="str">
            <v>EPBM</v>
          </cell>
          <cell r="F57" t="str">
            <v>LICEO_PSICOPEDAGOGICO_SAN_PABLO</v>
          </cell>
          <cell r="G57" t="str">
            <v>LICEO_PSICOPEDAGOGICO_SAN_PABLO</v>
          </cell>
          <cell r="H57" t="str">
            <v>Autoevaluación Institucional y Pruebas SABER 11</v>
          </cell>
          <cell r="I57" t="str">
            <v>SEGUIMIENTO_Y_SUPERVISIÓN.</v>
          </cell>
          <cell r="J57" t="str">
            <v xml:space="preserve">Verificar la implementación por parte de los colegios, de acciones realizadas para la prevención y atención de las situaciones de convivencia en el entorno escolar, según lo establecido en la Directiva 01 de 2022 del MEN. </v>
          </cell>
          <cell r="K57" t="str">
            <v>DORY CONSTANZA SANCHEZ ARAGÓN</v>
          </cell>
          <cell r="L57" t="str">
            <v>BEPCI YADIRA MINA ZAPATA</v>
          </cell>
          <cell r="M57">
            <v>45776</v>
          </cell>
          <cell r="N57">
            <v>45776</v>
          </cell>
          <cell r="O57">
            <v>45782</v>
          </cell>
          <cell r="P57" t="str">
            <v>Visitas de evaluación con fines de mejoramiento</v>
          </cell>
          <cell r="Q57" t="str">
            <v>29-04-2025 Lic Psicop San Pablo.pdf</v>
          </cell>
          <cell r="R57" t="str">
            <v>Se evidencia  formato de atención de los casos de convivencia pero no cuentan con actas del funcionamiento del Comité de Convivencia en año 2025 y 2024.
Cuenta con verificacion de inhabilidadades por delitos sexuales de junio de 2024</v>
          </cell>
          <cell r="S57" t="str">
            <v>El comite cde convivencia se debe reunir cada 2 meses.
Se debe realizar verificación de antecedente cada 4 meses. Presentar plan de mejoramiento el 2 de octubre de 2025</v>
          </cell>
          <cell r="T57" t="str">
            <v>Si</v>
          </cell>
          <cell r="U57" t="str">
            <v>Revisar PM y verificar que se ajuste a las observaciones realizadas.</v>
          </cell>
        </row>
        <row r="58">
          <cell r="A58">
            <v>1513</v>
          </cell>
          <cell r="B58"/>
          <cell r="C58" t="str">
            <v>RAFAEL URIBE URIBE</v>
          </cell>
          <cell r="D58" t="str">
            <v>PRIVADO</v>
          </cell>
          <cell r="E58" t="str">
            <v>EPBM</v>
          </cell>
          <cell r="F58" t="str">
            <v>LICEO_PSICOPEDAGOGICO_SAN_PABLO</v>
          </cell>
          <cell r="G58" t="str">
            <v>LICEO_PSICOPEDAGOGICO_SAN_PABLO</v>
          </cell>
          <cell r="H58" t="str">
            <v>Autoevaluación Institucional y Pruebas SABER 11</v>
          </cell>
          <cell r="I58" t="str">
            <v>SEGUIMIENTO_Y_SUPERVISIÓN.</v>
          </cell>
          <cell r="J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8" t="str">
            <v>DORY CONSTANZA SANCHEZ ARAGÓN</v>
          </cell>
          <cell r="L58" t="str">
            <v>BEPCI YADIRA MINA ZAPATA</v>
          </cell>
          <cell r="M58">
            <v>45776</v>
          </cell>
          <cell r="N58">
            <v>45776</v>
          </cell>
          <cell r="O58">
            <v>45782</v>
          </cell>
          <cell r="P58" t="str">
            <v>Visitas de evaluación con fines de mejoramiento</v>
          </cell>
          <cell r="Q58" t="str">
            <v>29-04-2025 Lic Psicop San Pablo.pdf</v>
          </cell>
          <cell r="R58" t="str">
            <v>Se verifica en SIMAT se registran 1 estudiante con discapacidad, no se cuenta con PIAR.
En el PEI - Manual - SIEE no incorpora la atención a la poblacion de discapacidad.</v>
          </cell>
          <cell r="S58" t="str">
            <v>Realizar el PIAR. Incoroporar en el PEI la atención a esta población. Presentar plan de mejoramiento el 6 de junio de 2025</v>
          </cell>
          <cell r="T58" t="str">
            <v>Si</v>
          </cell>
          <cell r="U58" t="str">
            <v>Revisar PM y verificar que se ajuste a las observaciones realizadas.</v>
          </cell>
        </row>
        <row r="59">
          <cell r="A59">
            <v>1514</v>
          </cell>
          <cell r="B59"/>
          <cell r="C59" t="str">
            <v>RAFAEL URIBE URIBE</v>
          </cell>
          <cell r="D59" t="str">
            <v>PRIVADO</v>
          </cell>
          <cell r="E59" t="str">
            <v>EPBM</v>
          </cell>
          <cell r="F59" t="str">
            <v>LICEO_PSICOPEDAGOGICO_SAN_PABLO</v>
          </cell>
          <cell r="G59" t="str">
            <v>LICEO_PSICOPEDAGOGICO_SAN_PABLO</v>
          </cell>
          <cell r="H59" t="str">
            <v>Autoevaluación Institucional y Pruebas SABER 11</v>
          </cell>
          <cell r="I59" t="str">
            <v>EVALUACIÓN_CON_FINES_DE_MEJORAMIENTO.</v>
          </cell>
          <cell r="J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9" t="str">
            <v>DORY CONSTANZA SANCHEZ ARAGÓN</v>
          </cell>
          <cell r="L59" t="str">
            <v>BEPCI YADIRA MINA ZAPATA</v>
          </cell>
          <cell r="M59">
            <v>45776</v>
          </cell>
          <cell r="N59">
            <v>45776</v>
          </cell>
          <cell r="O59">
            <v>45782</v>
          </cell>
          <cell r="P59" t="str">
            <v>Visitas de evaluación con fines de mejoramiento</v>
          </cell>
          <cell r="Q59" t="str">
            <v>29-04-2025 Lic Psicop San Pablo.pdf</v>
          </cell>
          <cell r="R59" t="str">
            <v>No se evidencia aprobación del manual de convivencia, ya que no cuenta con actas de gobierno escolar.
No se encuentra actualizada y cumpliendo con la normatividad vigente</v>
          </cell>
          <cell r="S59" t="str">
            <v>La institución debe actualizar el manual de convivencia con participación del gobierno escolar. Presentar plan de mejoramiento el 6 de junio de 2025</v>
          </cell>
          <cell r="T59" t="str">
            <v>Si</v>
          </cell>
          <cell r="U59" t="str">
            <v>Revisar PM y verificar que se ajuste a las observaciones realizadas.</v>
          </cell>
        </row>
        <row r="60">
          <cell r="A60">
            <v>1515</v>
          </cell>
          <cell r="B60"/>
          <cell r="C60" t="str">
            <v>RAFAEL URIBE URIBE</v>
          </cell>
          <cell r="D60" t="str">
            <v>PRIVADO</v>
          </cell>
          <cell r="E60" t="str">
            <v>EPBM</v>
          </cell>
          <cell r="F60" t="str">
            <v>LICEO_PSICOPEDAGOGICO_SAN_PABLO</v>
          </cell>
          <cell r="G60" t="str">
            <v>LICEO_PSICOPEDAGOGICO_SAN_PABLO</v>
          </cell>
          <cell r="H60" t="str">
            <v>Autoevaluación Institucional y Pruebas SABER 11</v>
          </cell>
          <cell r="I60" t="str">
            <v>EVALUACIÓN_CON_FINES_DE_MEJORAMIENTO.</v>
          </cell>
          <cell r="J60" t="str">
            <v>Revisar la actualización, socialización e implementación del Sistema Institucional de Evaluación de Estudiantes - SIEE, en articulación con la actualización del PEI y la normatividad vigente.</v>
          </cell>
          <cell r="K60" t="str">
            <v>DORY CONSTANZA SANCHEZ ARAGÓN</v>
          </cell>
          <cell r="L60" t="str">
            <v>BEPCI YADIRA MINA ZAPATA</v>
          </cell>
          <cell r="M60">
            <v>45776</v>
          </cell>
          <cell r="N60">
            <v>45776</v>
          </cell>
          <cell r="O60">
            <v>45782</v>
          </cell>
          <cell r="P60" t="str">
            <v>Visitas de evaluación con fines de mejoramiento</v>
          </cell>
          <cell r="Q60" t="str">
            <v>29-04-2025 Lic Psicop San Pablo.pdf</v>
          </cell>
          <cell r="R60" t="str">
            <v>No presentan evidencias de la participación de la comunidad educativa en su construcción</v>
          </cell>
          <cell r="S60" t="str">
            <v>En el SIE se deben ampliar y fortalecer los criterios de evaluación y promoción.
La institución debe presentar plan de mejoramiento el 6 de junio de 2025</v>
          </cell>
          <cell r="T60" t="str">
            <v>Si</v>
          </cell>
          <cell r="U60" t="str">
            <v>Revisar PM y verificar que se ajuste a las observaciones realizadas.</v>
          </cell>
        </row>
        <row r="61">
          <cell r="A61">
            <v>1516</v>
          </cell>
          <cell r="B61"/>
          <cell r="C61" t="str">
            <v>RAFAEL URIBE URIBE</v>
          </cell>
          <cell r="D61" t="str">
            <v>PRIVADO</v>
          </cell>
          <cell r="E61" t="str">
            <v>EPBM</v>
          </cell>
          <cell r="F61" t="str">
            <v>LICEO_PSICOPEDAGOGICO_SAN_PABLO</v>
          </cell>
          <cell r="G61" t="str">
            <v>LICEO_PSICOPEDAGOGICO_SAN_PABLO</v>
          </cell>
          <cell r="H61" t="str">
            <v>Autoevaluación Institucional y Pruebas SABER 11</v>
          </cell>
          <cell r="I61" t="str">
            <v>EVALUACIÓN_CON_FINES_DE_MEJORAMIENTO.</v>
          </cell>
          <cell r="J61" t="str">
            <v>Revisar el calendario escolar, jornada escolar, la intensidad horaria mínima anual en cada nivel y las modificaciones que se realicen al mismo, de acuerdo con lo previsto en la normatividad vigente.</v>
          </cell>
          <cell r="K61" t="str">
            <v>DORY CONSTANZA SANCHEZ ARAGÓN</v>
          </cell>
          <cell r="L61" t="str">
            <v>BEPCI YADIRA MINA ZAPATA</v>
          </cell>
          <cell r="M61">
            <v>45776</v>
          </cell>
          <cell r="N61">
            <v>45776</v>
          </cell>
          <cell r="O61">
            <v>45782</v>
          </cell>
          <cell r="P61" t="str">
            <v>Visitas de evaluación con fines de mejoramiento</v>
          </cell>
          <cell r="Q61" t="str">
            <v>29-04-2025 Lic Psicop San Pablo.pdf</v>
          </cell>
          <cell r="R61" t="str">
            <v>Se encuentra diferencia en los distintos documentos de la institución con los horarios académicos.</v>
          </cell>
          <cell r="S61" t="str">
            <v>Establecer el calendario academico y debe garantizar el cumplimiento a la intensidad horaria en los diferentes niveles.La institución debe presentar plan de mejoramiento el 6 de junio de 2025</v>
          </cell>
          <cell r="T61" t="str">
            <v>Si</v>
          </cell>
          <cell r="U61" t="str">
            <v>Revisar PM y verificar que se ajuste a las observaciones realizadas.</v>
          </cell>
        </row>
        <row r="62">
          <cell r="A62">
            <v>1517</v>
          </cell>
          <cell r="B62"/>
          <cell r="C62" t="str">
            <v>RAFAEL URIBE URIBE</v>
          </cell>
          <cell r="D62" t="str">
            <v>PRIVADO</v>
          </cell>
          <cell r="E62" t="str">
            <v>EPBM</v>
          </cell>
          <cell r="F62" t="str">
            <v>LICEO_PSICOPEDAGOGICO_SAN_PABLO</v>
          </cell>
          <cell r="G62" t="str">
            <v>LICEO_PSICOPEDAGOGICO_SAN_PABLO</v>
          </cell>
          <cell r="H62" t="str">
            <v>Autoevaluación Institucional y Pruebas SABER 11</v>
          </cell>
          <cell r="I62" t="str">
            <v>EVALUACIÓN_CON_FINES_DE_MEJORAMIENTO.</v>
          </cell>
          <cell r="J62" t="str">
            <v>Verificar el funcionamiento del Gobierno Escolar e instancias de participación con base en la información sobre conformación reportada por la institución educativa.</v>
          </cell>
          <cell r="K62" t="str">
            <v>DORY CONSTANZA SANCHEZ ARAGÓN</v>
          </cell>
          <cell r="L62" t="str">
            <v>BEPCI YADIRA MINA ZAPATA</v>
          </cell>
          <cell r="M62">
            <v>45776</v>
          </cell>
          <cell r="N62">
            <v>45776</v>
          </cell>
          <cell r="O62">
            <v>45782</v>
          </cell>
          <cell r="P62" t="str">
            <v>Visitas de evaluación con fines de mejoramiento</v>
          </cell>
          <cell r="Q62" t="str">
            <v>29-04-2025 Lic Psicop San Pablo.pdf</v>
          </cell>
          <cell r="R62" t="str">
            <v>Se evidencian actas de la conformación del gobierno escolar. Del Consejo Directivo para año 2024  solo se encuentran las de tarifas y para 2025 no hay actas.
Consejo Académico: Se realizan actas de evaluación y promoción, pero no hay actas de funcionamiento.</v>
          </cell>
          <cell r="S62" t="str">
            <v>Generar los espacios para el funcionamiento del gobierno escolar con sus respectivas actas. Presentar plan de mejoramiento el 6 de junio de 2025</v>
          </cell>
          <cell r="T62" t="str">
            <v>Si</v>
          </cell>
          <cell r="U62" t="str">
            <v>Revisar PM y verificar que se ajuste a las observaciones realizadas.</v>
          </cell>
        </row>
        <row r="63">
          <cell r="A63">
            <v>1518</v>
          </cell>
          <cell r="B63"/>
          <cell r="C63" t="str">
            <v>RAFAEL URIBE URIBE</v>
          </cell>
          <cell r="D63" t="str">
            <v>PRIVADO</v>
          </cell>
          <cell r="E63" t="str">
            <v>EPBM</v>
          </cell>
          <cell r="F63" t="str">
            <v>LICEO_PSICOPEDAGOGICO_SAN_PABLO</v>
          </cell>
          <cell r="G63" t="str">
            <v>LICEO_PSICOPEDAGOGICO_SAN_PABLO</v>
          </cell>
          <cell r="H63" t="str">
            <v>Autoevaluación Institucional y Pruebas SABER 11</v>
          </cell>
          <cell r="I63" t="str">
            <v>EVALUACIÓN_CON_FINES_DE_MEJORAMIENTO.</v>
          </cell>
          <cell r="J63" t="str">
            <v>Verificar las condiciones en cuanto a: la estructura administrativa, condiciones de la planta física y medios educativos adecuados.</v>
          </cell>
          <cell r="K63" t="str">
            <v>DORY CONSTANZA SANCHEZ ARAGÓN</v>
          </cell>
          <cell r="L63" t="str">
            <v>BEPCI YADIRA MINA ZAPATA</v>
          </cell>
          <cell r="M63">
            <v>45776</v>
          </cell>
          <cell r="N63">
            <v>45776</v>
          </cell>
          <cell r="O63">
            <v>45782</v>
          </cell>
          <cell r="P63" t="str">
            <v>Visitas de evaluación con fines de mejoramiento</v>
          </cell>
          <cell r="Q63" t="str">
            <v>29-04-2025 Lic Psicop San Pablo.pdf</v>
          </cell>
          <cell r="R63" t="str">
            <v>Se evidencia un posible hacinamiento de estudiantes en las aulas,  No cuenta con espacio para recreación</v>
          </cell>
          <cell r="S63" t="str">
            <v>Buscar estrategias que perminan subsanar los inconvenientes con la planta física La institución debe presentar plan de mejoramiento el 6 de junio de 2025</v>
          </cell>
          <cell r="T63" t="str">
            <v>Si</v>
          </cell>
          <cell r="U63" t="str">
            <v>Revisar PM y verificar que se ajuste a las observaciones realizadas.</v>
          </cell>
        </row>
        <row r="64">
          <cell r="A64">
            <v>1519</v>
          </cell>
          <cell r="B64">
            <v>7</v>
          </cell>
          <cell r="C64" t="str">
            <v>RAFAEL URIBE URIBE</v>
          </cell>
          <cell r="D64" t="str">
            <v>PRIVADO</v>
          </cell>
          <cell r="E64" t="str">
            <v>EPBM</v>
          </cell>
          <cell r="F64" t="str">
            <v>LICEO_JUAN_MIGUEL</v>
          </cell>
          <cell r="G64" t="str">
            <v>LICEO_JUAN_MIGUEL</v>
          </cell>
          <cell r="H64" t="str">
            <v>Autoevaluación Institucional y Pruebas SABER 11</v>
          </cell>
          <cell r="I64" t="str">
            <v>SEGUIMIENTO_Y_SUPERVISIÓN.</v>
          </cell>
          <cell r="J64" t="str">
            <v>Realizar visitas para verificar la información registrada sobre la autoevaluación institucional en el aplicativo EVI, a los establecimientos de educación formal no oficial.</v>
          </cell>
          <cell r="K64" t="str">
            <v>DORY CONSTANZA SANCHEZ ARAGÓN</v>
          </cell>
          <cell r="L64" t="str">
            <v>BEPCI YADIRA MINA ZAPATA</v>
          </cell>
          <cell r="M64">
            <v>45783</v>
          </cell>
          <cell r="N64">
            <v>45786</v>
          </cell>
          <cell r="O64">
            <v>45790</v>
          </cell>
          <cell r="P64" t="str">
            <v>Visitas de evaluación con fines de mejoramiento</v>
          </cell>
          <cell r="Q64" t="str">
            <v>9-05-2025 Liceo Juan Miguel.pdf</v>
          </cell>
          <cell r="R64" t="str">
            <v>Se evidencia que los docentes se encuentran con contrato laboral y  pago de seguridad social.
Cantidad de baños y computadores corresponde</v>
          </cell>
          <cell r="S64" t="str">
            <v>Continuar con la contratación y pago de seguridad social de los docentes</v>
          </cell>
          <cell r="T64" t="str">
            <v>No</v>
          </cell>
          <cell r="U64" t="str">
            <v>Verificar en caso de algun reqiuerimiento o queja</v>
          </cell>
        </row>
        <row r="65">
          <cell r="A65">
            <v>1520</v>
          </cell>
          <cell r="B65"/>
          <cell r="C65" t="str">
            <v>RAFAEL URIBE URIBE</v>
          </cell>
          <cell r="D65" t="str">
            <v>PRIVADO</v>
          </cell>
          <cell r="E65" t="str">
            <v>EPBM</v>
          </cell>
          <cell r="F65" t="str">
            <v>LICEO_JUAN_MIGUEL</v>
          </cell>
          <cell r="G65" t="str">
            <v>LICEO_JUAN_MIGUEL</v>
          </cell>
          <cell r="H65" t="str">
            <v>Autoevaluación Institucional y Pruebas SABER 11</v>
          </cell>
          <cell r="I65" t="str">
            <v>SEGUIMIENTO_Y_SUPERVISIÓN.</v>
          </cell>
          <cell r="J65" t="str">
            <v>Proponer estrategias en la formulación, verificar su elaboración y realizar seguimiento semestral al desarrollo de  las acciones establecidas en los planes de mejoramiento por pruebas SABER 11 de los establecimientos de educación formal.</v>
          </cell>
          <cell r="K65" t="str">
            <v>DORY CONSTANZA SANCHEZ ARAGÓN</v>
          </cell>
          <cell r="L65" t="str">
            <v>BEPCI YADIRA MINA ZAPATA</v>
          </cell>
          <cell r="M65">
            <v>45783</v>
          </cell>
          <cell r="N65">
            <v>45786</v>
          </cell>
          <cell r="O65">
            <v>45790</v>
          </cell>
          <cell r="P65" t="str">
            <v>Visitas de evaluación con fines de mejoramiento</v>
          </cell>
          <cell r="Q65" t="str">
            <v>9-05-2025 Liceo Juan Miguel.pdf</v>
          </cell>
          <cell r="R65"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65" t="str">
            <v>Realizar analisis de las Pruebas Saber y establecer acciones pertinentes. Presentar plan de mejoramiento el 10 de junio de 2025</v>
          </cell>
          <cell r="T65" t="str">
            <v>Si</v>
          </cell>
          <cell r="U65" t="str">
            <v>Revisar PM y verificar que se ajuste a las observaciones realizadas.</v>
          </cell>
        </row>
        <row r="66">
          <cell r="A66">
            <v>1521</v>
          </cell>
          <cell r="B66"/>
          <cell r="C66" t="str">
            <v>RAFAEL URIBE URIBE</v>
          </cell>
          <cell r="D66" t="str">
            <v>PRIVADO</v>
          </cell>
          <cell r="E66" t="str">
            <v>EPBM</v>
          </cell>
          <cell r="F66" t="str">
            <v>LICEO_JUAN_MIGUEL</v>
          </cell>
          <cell r="G66" t="str">
            <v>LICEO_JUAN_MIGUEL</v>
          </cell>
          <cell r="H66" t="str">
            <v>Autoevaluación Institucional y Pruebas SABER 11</v>
          </cell>
          <cell r="I66" t="str">
            <v>SEGUIMIENTO_Y_SUPERVISIÓN.</v>
          </cell>
          <cell r="J66" t="str">
            <v xml:space="preserve">Verificar la implementación por parte de los colegios, de acciones realizadas para la prevención y atención de las situaciones de convivencia en el entorno escolar, según lo establecido en la Directiva 01 de 2022 del MEN. </v>
          </cell>
          <cell r="K66" t="str">
            <v>DORY CONSTANZA SANCHEZ ARAGÓN</v>
          </cell>
          <cell r="L66" t="str">
            <v>BEPCI YADIRA MINA ZAPATA</v>
          </cell>
          <cell r="M66">
            <v>45783</v>
          </cell>
          <cell r="N66">
            <v>45786</v>
          </cell>
          <cell r="O66">
            <v>45790</v>
          </cell>
          <cell r="P66" t="str">
            <v>Visitas de evaluación con fines de mejoramiento</v>
          </cell>
          <cell r="Q66" t="str">
            <v>9-05-2025 Liceo Juan Miguel.pdf</v>
          </cell>
          <cell r="R66" t="str">
            <v>La institución cuenta con actas donde se evidencie el funcionamiento del comité de convivencia escolar.
Se verificó a los docentes  inhabilidadades por delitos sexuales para mayo de 2025, no se evidencia que se realice cada 4 meses.</v>
          </cell>
          <cell r="S66" t="str">
            <v>El comite cde convivencia se debe reunir cada 2 meses.
Se debe realizar verificación de antecedente cada 4 meses.
Presentar plan de mejoramiento el 10 de junio de 2025</v>
          </cell>
          <cell r="T66" t="str">
            <v>Si</v>
          </cell>
          <cell r="U66" t="str">
            <v>Revisar PM y verificar que se ajuste a las observaciones realizadas.</v>
          </cell>
        </row>
        <row r="67">
          <cell r="A67">
            <v>1522</v>
          </cell>
          <cell r="B67"/>
          <cell r="C67" t="str">
            <v>RAFAEL URIBE URIBE</v>
          </cell>
          <cell r="D67" t="str">
            <v>PRIVADO</v>
          </cell>
          <cell r="E67" t="str">
            <v>EPBM</v>
          </cell>
          <cell r="F67" t="str">
            <v>LICEO_JUAN_MIGUEL</v>
          </cell>
          <cell r="G67" t="str">
            <v>LICEO_JUAN_MIGUEL</v>
          </cell>
          <cell r="H67" t="str">
            <v>Autoevaluación Institucional y Pruebas SABER 11</v>
          </cell>
          <cell r="I67" t="str">
            <v>SEGUIMIENTO_Y_SUPERVISIÓN.</v>
          </cell>
          <cell r="J6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7" t="str">
            <v>DORY CONSTANZA SANCHEZ ARAGÓN</v>
          </cell>
          <cell r="L67" t="str">
            <v>BEPCI YADIRA MINA ZAPATA</v>
          </cell>
          <cell r="M67">
            <v>45783</v>
          </cell>
          <cell r="N67">
            <v>45786</v>
          </cell>
          <cell r="O67">
            <v>45790</v>
          </cell>
          <cell r="P67" t="str">
            <v>Visitas de evaluación con fines de mejoramiento</v>
          </cell>
          <cell r="Q67" t="str">
            <v>9-05-2025 Liceo Juan Miguel.pdf</v>
          </cell>
          <cell r="R67" t="str">
            <v>El colegio en su matrícula registra tres estudiantes con capacidades diversas, el colego cuenta con las historias escolares, estas se deben fortalecer incorporando los cerificados de discapacidad, las actas de acuerdo deben incorporar las obligaciones de los padres de familia concertadas con ellos.</v>
          </cell>
          <cell r="S67" t="str">
            <v>Complementar los PIAR. Presentar plan de mejoramiento el 10 de junio de 2025</v>
          </cell>
          <cell r="T67" t="str">
            <v>Si</v>
          </cell>
          <cell r="U67" t="str">
            <v>Revisar PM y verificar que se ajuste a las observaciones realizadas.</v>
          </cell>
        </row>
        <row r="68">
          <cell r="A68">
            <v>1523</v>
          </cell>
          <cell r="B68"/>
          <cell r="C68" t="str">
            <v>RAFAEL URIBE URIBE</v>
          </cell>
          <cell r="D68" t="str">
            <v>PRIVADO</v>
          </cell>
          <cell r="E68" t="str">
            <v>EPBM</v>
          </cell>
          <cell r="F68" t="str">
            <v>LICEO_JUAN_MIGUEL</v>
          </cell>
          <cell r="G68" t="str">
            <v>LICEO_JUAN_MIGUEL</v>
          </cell>
          <cell r="H68" t="str">
            <v>Autoevaluación Institucional y Pruebas SABER 11</v>
          </cell>
          <cell r="I68" t="str">
            <v>EVALUACIÓN_CON_FINES_DE_MEJORAMIENTO.</v>
          </cell>
          <cell r="J6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8" t="str">
            <v>DORY CONSTANZA SANCHEZ ARAGÓN</v>
          </cell>
          <cell r="L68" t="str">
            <v>BEPCI YADIRA MINA ZAPATA</v>
          </cell>
          <cell r="M68">
            <v>45783</v>
          </cell>
          <cell r="N68">
            <v>45786</v>
          </cell>
          <cell r="O68">
            <v>45790</v>
          </cell>
          <cell r="P68" t="str">
            <v>Visitas de evaluación con fines de mejoramiento</v>
          </cell>
          <cell r="Q68" t="str">
            <v>9-05-2025 Liceo Juan Miguel.pdf</v>
          </cell>
          <cell r="R68" t="str">
            <v>No se evidencia aprobación del manual de convivencia, ya que no cuenta con actas de gobierno escolar.
No se encuentra actualizada y cumpliendo con la normatividad vigente</v>
          </cell>
          <cell r="S68" t="str">
            <v>La institución debe actualizar el manual de convivencia con participación del gobierno escolar. Presentar plan de mejoramiento el 10 de junio de 2025</v>
          </cell>
          <cell r="T68" t="str">
            <v>Si</v>
          </cell>
          <cell r="U68" t="str">
            <v>Revisar PM y verificar que se ajuste a las observaciones realizadas.</v>
          </cell>
        </row>
        <row r="69">
          <cell r="A69">
            <v>1524</v>
          </cell>
          <cell r="B69"/>
          <cell r="C69" t="str">
            <v>RAFAEL URIBE URIBE</v>
          </cell>
          <cell r="D69" t="str">
            <v>PRIVADO</v>
          </cell>
          <cell r="E69" t="str">
            <v>EPBM</v>
          </cell>
          <cell r="F69" t="str">
            <v>LICEO_JUAN_MIGUEL</v>
          </cell>
          <cell r="G69" t="str">
            <v>LICEO_JUAN_MIGUEL</v>
          </cell>
          <cell r="H69" t="str">
            <v>Autoevaluación Institucional y Pruebas SABER 11</v>
          </cell>
          <cell r="I69" t="str">
            <v>EVALUACIÓN_CON_FINES_DE_MEJORAMIENTO.</v>
          </cell>
          <cell r="J69" t="str">
            <v>Revisar la actualización, socialización e implementación del Sistema Institucional de Evaluación de Estudiantes - SIEE, en articulación con la actualización del PEI y la normatividad vigente.</v>
          </cell>
          <cell r="K69" t="str">
            <v>DORY CONSTANZA SANCHEZ ARAGÓN</v>
          </cell>
          <cell r="L69" t="str">
            <v>BEPCI YADIRA MINA ZAPATA</v>
          </cell>
          <cell r="M69">
            <v>45783</v>
          </cell>
          <cell r="N69">
            <v>45786</v>
          </cell>
          <cell r="O69">
            <v>45790</v>
          </cell>
          <cell r="P69" t="str">
            <v>Visitas de evaluación con fines de mejoramiento</v>
          </cell>
          <cell r="Q69" t="str">
            <v>9-05-2025 Liceo Juan Miguel.pdf</v>
          </cell>
          <cell r="R69" t="str">
            <v>El SIEE no cuenta con un capítulo que especifique la forma de evaluación de la educación inicial, el colego debe tener presente que el Decreto 1290 de 2009.</v>
          </cell>
          <cell r="S69" t="str">
            <v>En el SIE se deben ampliar y fortalecer los criterios de evaluación y promoción. Presentar plan de mejoramiento el 10 de junio de 2025</v>
          </cell>
          <cell r="T69" t="str">
            <v>Si</v>
          </cell>
          <cell r="U69" t="str">
            <v>Revisar PM y verificar que se ajuste a las observaciones realizadas.</v>
          </cell>
        </row>
        <row r="70">
          <cell r="A70">
            <v>1525</v>
          </cell>
          <cell r="B70"/>
          <cell r="C70" t="str">
            <v>RAFAEL URIBE URIBE</v>
          </cell>
          <cell r="D70" t="str">
            <v>PRIVADO</v>
          </cell>
          <cell r="E70" t="str">
            <v>EPBM</v>
          </cell>
          <cell r="F70" t="str">
            <v>LICEO_JUAN_MIGUEL</v>
          </cell>
          <cell r="G70" t="str">
            <v>LICEO_JUAN_MIGUEL</v>
          </cell>
          <cell r="H70" t="str">
            <v>Autoevaluación Institucional y Pruebas SABER 11</v>
          </cell>
          <cell r="I70" t="str">
            <v>EVALUACIÓN_CON_FINES_DE_MEJORAMIENTO.</v>
          </cell>
          <cell r="J70" t="str">
            <v>Revisar el calendario escolar, jornada escolar, la intensidad horaria mínima anual en cada nivel y las modificaciones que se realicen al mismo, de acuerdo con lo previsto en la normatividad vigente.</v>
          </cell>
          <cell r="K70" t="str">
            <v>DORY CONSTANZA SANCHEZ ARAGÓN</v>
          </cell>
          <cell r="L70" t="str">
            <v>BEPCI YADIRA MINA ZAPATA</v>
          </cell>
          <cell r="M70">
            <v>45783</v>
          </cell>
          <cell r="N70">
            <v>45786</v>
          </cell>
          <cell r="O70">
            <v>45790</v>
          </cell>
          <cell r="P70" t="str">
            <v>Visitas de evaluación con fines de mejoramiento</v>
          </cell>
          <cell r="Q70" t="str">
            <v>9-05-2025 Liceo Juan Miguel.pdf</v>
          </cell>
          <cell r="R70" t="str">
            <v>El colegio no realizó ampliación de intensidad horaria para el desarrollo del programa que tiene articulado con el SENA y lo incorporó dentro de la jornada académica lo que indica no cumplimiento de la intensidad horaria para la media</v>
          </cell>
          <cell r="S70" t="str">
            <v>Ajustar el horario para dar cumplimiento a la intensidad horaria. Presentar plan de mejoramiento el 10 de junio de 2025</v>
          </cell>
          <cell r="T70" t="str">
            <v>Si</v>
          </cell>
          <cell r="U70" t="str">
            <v>Revisar PM y verificar que se ajuste a las observaciones realizadas.</v>
          </cell>
        </row>
        <row r="71">
          <cell r="A71">
            <v>1526</v>
          </cell>
          <cell r="B71"/>
          <cell r="C71" t="str">
            <v>RAFAEL URIBE URIBE</v>
          </cell>
          <cell r="D71" t="str">
            <v>PRIVADO</v>
          </cell>
          <cell r="E71" t="str">
            <v>EPBM</v>
          </cell>
          <cell r="F71" t="str">
            <v>LICEO_JUAN_MIGUEL</v>
          </cell>
          <cell r="G71" t="str">
            <v>LICEO_JUAN_MIGUEL</v>
          </cell>
          <cell r="H71" t="str">
            <v>Autoevaluación Institucional y Pruebas SABER 11</v>
          </cell>
          <cell r="I71" t="str">
            <v>EVALUACIÓN_CON_FINES_DE_MEJORAMIENTO.</v>
          </cell>
          <cell r="J71" t="str">
            <v>Verificar el funcionamiento del Gobierno Escolar e instancias de participación con base en la información sobre conformación reportada por la institución educativa.</v>
          </cell>
          <cell r="K71" t="str">
            <v>DORY CONSTANZA SANCHEZ ARAGÓN</v>
          </cell>
          <cell r="L71" t="str">
            <v>BEPCI YADIRA MINA ZAPATA</v>
          </cell>
          <cell r="M71">
            <v>45783</v>
          </cell>
          <cell r="N71">
            <v>45786</v>
          </cell>
          <cell r="O71">
            <v>45790</v>
          </cell>
          <cell r="P71" t="str">
            <v>Visitas de evaluación con fines de mejoramiento</v>
          </cell>
          <cell r="Q71" t="str">
            <v>9-05-2025 Liceo Juan Miguel.pdf</v>
          </cell>
          <cell r="R71" t="str">
            <v>No se evidencian actas de funcionamiento de Gobierno Escolar</v>
          </cell>
          <cell r="S71" t="str">
            <v>Generar los espacios para el funcionamiento del gobierno escolar con sus respectivas actas. Presentar plan de mejoramiento el 10 de junio de 2025</v>
          </cell>
          <cell r="T71" t="str">
            <v>Si</v>
          </cell>
          <cell r="U71" t="str">
            <v>Revisar PM y verificar que se ajuste a las observaciones realizadas.</v>
          </cell>
        </row>
        <row r="72">
          <cell r="A72">
            <v>1527</v>
          </cell>
          <cell r="B72"/>
          <cell r="C72" t="str">
            <v>RAFAEL URIBE URIBE</v>
          </cell>
          <cell r="D72" t="str">
            <v>PRIVADO</v>
          </cell>
          <cell r="E72" t="str">
            <v>EPBM</v>
          </cell>
          <cell r="F72" t="str">
            <v>LICEO_JUAN_MIGUEL</v>
          </cell>
          <cell r="G72" t="str">
            <v>LICEO_JUAN_MIGUEL</v>
          </cell>
          <cell r="H72" t="str">
            <v>Autoevaluación Institucional y Pruebas SABER 11</v>
          </cell>
          <cell r="I72" t="str">
            <v>EVALUACIÓN_CON_FINES_DE_MEJORAMIENTO.</v>
          </cell>
          <cell r="J72" t="str">
            <v>Verificar las condiciones en cuanto a: la estructura administrativa, condiciones de la planta física y medios educativos adecuados.</v>
          </cell>
          <cell r="K72" t="str">
            <v>DORY CONSTANZA SANCHEZ ARAGÓN</v>
          </cell>
          <cell r="L72" t="str">
            <v>BEPCI YADIRA MINA ZAPATA</v>
          </cell>
          <cell r="M72">
            <v>45783</v>
          </cell>
          <cell r="N72">
            <v>45786</v>
          </cell>
          <cell r="O72">
            <v>45790</v>
          </cell>
          <cell r="P72" t="str">
            <v>Visitas de evaluación con fines de mejoramiento</v>
          </cell>
          <cell r="Q72" t="str">
            <v>9-05-2025 Liceo Juan Miguel.pdf</v>
          </cell>
          <cell r="R72" t="str">
            <v>Se evidencio que la institución presta su servicio en 2 sedes, 1 esta aprobado en una resolución de 1966 pero no se relaciona en las últimas resoluciones. 
No cuenta con espacio de recreación sufiente.</v>
          </cell>
          <cell r="S72" t="str">
            <v>Se debe unificar las licencias con la sede B y buscar estratégias para la zona de recreación. Presentar plan de mejoramiento el 10 de junio de 2025</v>
          </cell>
          <cell r="T72" t="str">
            <v>Si</v>
          </cell>
          <cell r="U72" t="str">
            <v>Revisar PM y verificar que se ajuste a las observaciones realizadas.</v>
          </cell>
        </row>
        <row r="73">
          <cell r="A73">
            <v>1528</v>
          </cell>
          <cell r="B73">
            <v>8</v>
          </cell>
          <cell r="C73" t="str">
            <v>RAFAEL URIBE URIBE</v>
          </cell>
          <cell r="D73" t="str">
            <v>PRIVADO</v>
          </cell>
          <cell r="E73" t="str">
            <v>EPBM</v>
          </cell>
          <cell r="F73" t="str">
            <v>COLEGIO_CRISTIANO_DE_COLOMBIA</v>
          </cell>
          <cell r="G73" t="str">
            <v>COLEGIO_CRISTIANO_DE_COLOMBIA</v>
          </cell>
          <cell r="H73" t="str">
            <v>Autoevaluación Institucional y Pruebas SABER 11</v>
          </cell>
          <cell r="I73" t="str">
            <v>SEGUIMIENTO_Y_SUPERVISIÓN.</v>
          </cell>
          <cell r="J73"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73" t="str">
            <v>DORY CONSTANZA SANCHEZ ARAGÓN</v>
          </cell>
          <cell r="L73" t="str">
            <v>BEPCI YADIRA MINA ZAPATA</v>
          </cell>
          <cell r="M73">
            <v>45790</v>
          </cell>
          <cell r="N73">
            <v>45791</v>
          </cell>
          <cell r="O73">
            <v>45797</v>
          </cell>
          <cell r="P73" t="str">
            <v>Visitas de evaluación con fines de mejoramiento</v>
          </cell>
          <cell r="Q73" t="str">
            <v>14 y 20 Mayo 2025 Cristiano de Colombia.pdf</v>
          </cell>
          <cell r="R73" t="str">
            <v>Se subio en el EVI el plan de mejoramiento por no pago de seguridad social, se encuentra que la contratación y la seguridad social de los docentes esta tercerizado con la empresa Lopez y Avedaño SAS.</v>
          </cell>
          <cell r="S73" t="str">
            <v>La contratación y el pago de seguridad social de los docentes debe ser por parte de la institución educativa. Presentar plan de mejoramiento 18 de julio 2025</v>
          </cell>
          <cell r="T73" t="str">
            <v>Si</v>
          </cell>
          <cell r="U73" t="str">
            <v>Revisar PM y verificar que se ajuste a las observaciones realizadas.</v>
          </cell>
        </row>
        <row r="74">
          <cell r="A74">
            <v>1529</v>
          </cell>
          <cell r="B74"/>
          <cell r="C74" t="str">
            <v>RAFAEL URIBE URIBE</v>
          </cell>
          <cell r="D74" t="str">
            <v>PRIVADO</v>
          </cell>
          <cell r="E74" t="str">
            <v>EPBM</v>
          </cell>
          <cell r="F74" t="str">
            <v>COLEGIO_CRISTIANO_DE_COLOMBIA</v>
          </cell>
          <cell r="G74" t="str">
            <v>COLEGIO_CRISTIANO_DE_COLOMBIA</v>
          </cell>
          <cell r="H74" t="str">
            <v>Autoevaluación Institucional y Pruebas SABER 11</v>
          </cell>
          <cell r="I74" t="str">
            <v>SEGUIMIENTO_Y_SUPERVISIÓN.</v>
          </cell>
          <cell r="J74" t="str">
            <v>Realizar visitas para verificar la información registrada sobre la autoevaluación institucional en el aplicativo EVI, a los establecimientos de educación formal no oficial.</v>
          </cell>
          <cell r="K74" t="str">
            <v>DORY CONSTANZA SANCHEZ ARAGÓN</v>
          </cell>
          <cell r="L74" t="str">
            <v>BEPCI YADIRA MINA ZAPATA</v>
          </cell>
          <cell r="M74">
            <v>45790</v>
          </cell>
          <cell r="N74">
            <v>45791</v>
          </cell>
          <cell r="O74">
            <v>45797</v>
          </cell>
          <cell r="P74" t="str">
            <v>Visitas de evaluación con fines de mejoramiento</v>
          </cell>
          <cell r="Q74" t="str">
            <v>14 y 20 Mayo 2025 Cristiano de Colombia.pdf</v>
          </cell>
          <cell r="R74" t="str">
            <v>En el EVI se reporta Aula de tecnología - informática, sala de audiovisuales, no se evidencia en la visita. 1 docente sin título profesional.</v>
          </cell>
          <cell r="S74" t="str">
            <v>Contratar docentes con cumplimiento de requisitos, ajustar EVI a la realidad de la institución. Presentar plan de mejoramiento 18 de julio 2025</v>
          </cell>
          <cell r="T74" t="str">
            <v>Si</v>
          </cell>
          <cell r="U74" t="str">
            <v>Revisar PM y verificar que se ajuste a las observaciones realizadas.</v>
          </cell>
        </row>
        <row r="75">
          <cell r="A75">
            <v>1530</v>
          </cell>
          <cell r="B75"/>
          <cell r="C75" t="str">
            <v>RAFAEL URIBE URIBE</v>
          </cell>
          <cell r="D75" t="str">
            <v>PRIVADO</v>
          </cell>
          <cell r="E75" t="str">
            <v>EPBM</v>
          </cell>
          <cell r="F75" t="str">
            <v>COLEGIO_CRISTIANO_DE_COLOMBIA</v>
          </cell>
          <cell r="G75" t="str">
            <v>COLEGIO_CRISTIANO_DE_COLOMBIA</v>
          </cell>
          <cell r="H75" t="str">
            <v>Autoevaluación Institucional y Pruebas SABER 11</v>
          </cell>
          <cell r="I75" t="str">
            <v>SEGUIMIENTO_Y_SUPERVISIÓN.</v>
          </cell>
          <cell r="J75" t="str">
            <v>Proponer estrategias en la formulación, verificar su elaboración y realizar seguimiento semestral al desarrollo de  las acciones establecidas en los planes de mejoramiento por pruebas SABER 11 de los establecimientos de educación formal.</v>
          </cell>
          <cell r="K75" t="str">
            <v>DORY CONSTANZA SANCHEZ ARAGÓN</v>
          </cell>
          <cell r="L75" t="str">
            <v>BEPCI YADIRA MINA ZAPATA</v>
          </cell>
          <cell r="M75">
            <v>45790</v>
          </cell>
          <cell r="N75">
            <v>45791</v>
          </cell>
          <cell r="O75">
            <v>45797</v>
          </cell>
          <cell r="P75" t="str">
            <v>Visitas de evaluación con fines de mejoramiento</v>
          </cell>
          <cell r="Q75" t="str">
            <v>14 y 20 Mayo 2025 Cristiano de Colombia.pdf</v>
          </cell>
          <cell r="R75"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75" t="str">
            <v>Realizar analisis de las Pruebas Saber y establecer acciones pertinentes. Presentar plan de mejoramiento el 18 de julio de 2025</v>
          </cell>
          <cell r="T75" t="str">
            <v>Si</v>
          </cell>
          <cell r="U75" t="str">
            <v>Revisar PM y verificar que se ajuste a las observaciones realizadas.</v>
          </cell>
        </row>
        <row r="76">
          <cell r="A76">
            <v>1531</v>
          </cell>
          <cell r="B76"/>
          <cell r="C76" t="str">
            <v>RAFAEL URIBE URIBE</v>
          </cell>
          <cell r="D76" t="str">
            <v>PRIVADO</v>
          </cell>
          <cell r="E76" t="str">
            <v>EPBM</v>
          </cell>
          <cell r="F76" t="str">
            <v>COLEGIO_CRISTIANO_DE_COLOMBIA</v>
          </cell>
          <cell r="G76" t="str">
            <v>COLEGIO_CRISTIANO_DE_COLOMBIA</v>
          </cell>
          <cell r="H76" t="str">
            <v>Autoevaluación Institucional y Pruebas SABER 11</v>
          </cell>
          <cell r="I76" t="str">
            <v>SEGUIMIENTO_Y_SUPERVISIÓN.</v>
          </cell>
          <cell r="J76" t="str">
            <v xml:space="preserve">Verificar la implementación por parte de los colegios, de acciones realizadas para la prevención y atención de las situaciones de convivencia en el entorno escolar, según lo establecido en la Directiva 01 de 2022 del MEN. </v>
          </cell>
          <cell r="K76" t="str">
            <v>DORY CONSTANZA SANCHEZ ARAGÓN</v>
          </cell>
          <cell r="L76" t="str">
            <v>BEPCI YADIRA MINA ZAPATA</v>
          </cell>
          <cell r="M76">
            <v>45790</v>
          </cell>
          <cell r="N76">
            <v>45791</v>
          </cell>
          <cell r="O76">
            <v>45797</v>
          </cell>
          <cell r="P76" t="str">
            <v>Visitas de evaluación con fines de mejoramiento</v>
          </cell>
          <cell r="Q76" t="str">
            <v>14 y 20 Mayo 2025 Cristiano de Colombia.pdf</v>
          </cell>
          <cell r="R76" t="str">
            <v>La institución no cuentan con actas donde se evidencie el funcionamiento del comité de convivencia escolar.
Cuenta con verificacion de inhabilidadades por delitos sexuales del 28 de marzo de 2025</v>
          </cell>
          <cell r="S76" t="str">
            <v>El comite cde convivencia se debe reunir cada 2 meses.
Se debe realizar verificación de antecedente cada 4 meses. Presentar plan de mejoramiento el 18 de julio de 2025</v>
          </cell>
          <cell r="T76" t="str">
            <v>Si</v>
          </cell>
          <cell r="U76" t="str">
            <v>Revisar PM y verificar que se ajuste a las observaciones realizadas.</v>
          </cell>
        </row>
        <row r="77">
          <cell r="A77">
            <v>1532</v>
          </cell>
          <cell r="B77"/>
          <cell r="C77" t="str">
            <v>RAFAEL URIBE URIBE</v>
          </cell>
          <cell r="D77" t="str">
            <v>PRIVADO</v>
          </cell>
          <cell r="E77" t="str">
            <v>EPBM</v>
          </cell>
          <cell r="F77" t="str">
            <v>COLEGIO_CRISTIANO_DE_COLOMBIA</v>
          </cell>
          <cell r="G77" t="str">
            <v>COLEGIO_CRISTIANO_DE_COLOMBIA</v>
          </cell>
          <cell r="H77" t="str">
            <v>Autoevaluación Institucional y Pruebas SABER 11</v>
          </cell>
          <cell r="I77" t="str">
            <v>SEGUIMIENTO_Y_SUPERVISIÓN.</v>
          </cell>
          <cell r="J7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7" t="str">
            <v>DORY CONSTANZA SANCHEZ ARAGÓN</v>
          </cell>
          <cell r="L77" t="str">
            <v>BEPCI YADIRA MINA ZAPATA</v>
          </cell>
          <cell r="M77">
            <v>45790</v>
          </cell>
          <cell r="N77">
            <v>45791</v>
          </cell>
          <cell r="O77">
            <v>45797</v>
          </cell>
          <cell r="P77" t="str">
            <v>Visitas de evaluación con fines de mejoramiento</v>
          </cell>
          <cell r="Q77" t="str">
            <v>14 y 20 Mayo 2025 Cristiano de Colombia.pdf</v>
          </cell>
          <cell r="R77" t="str">
            <v>El colegio en su matrícula registra tres estudiantes con discapacidad, el colego cuenta con las historias escolares, estas se deben fortalecer con los soportes y seguimientos necesario.</v>
          </cell>
          <cell r="S77" t="str">
            <v>Complementar los PIAR. Presentar plan de mejoramiento el 18 de julio de 2025</v>
          </cell>
          <cell r="T77" t="str">
            <v>Si</v>
          </cell>
          <cell r="U77" t="str">
            <v>Revisar PM y verificar que se ajuste a las observaciones realizadas.</v>
          </cell>
        </row>
        <row r="78">
          <cell r="A78">
            <v>1533</v>
          </cell>
          <cell r="B78"/>
          <cell r="C78" t="str">
            <v>RAFAEL URIBE URIBE</v>
          </cell>
          <cell r="D78" t="str">
            <v>PRIVADO</v>
          </cell>
          <cell r="E78" t="str">
            <v>EPBM</v>
          </cell>
          <cell r="F78" t="str">
            <v>COLEGIO_CRISTIANO_DE_COLOMBIA</v>
          </cell>
          <cell r="G78" t="str">
            <v>COLEGIO_CRISTIANO_DE_COLOMBIA</v>
          </cell>
          <cell r="H78" t="str">
            <v>Autoevaluación Institucional y Pruebas SABER 11</v>
          </cell>
          <cell r="I78" t="str">
            <v>EVALUACIÓN_CON_FINES_DE_MEJORAMIENTO.</v>
          </cell>
          <cell r="J7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8" t="str">
            <v>DORY CONSTANZA SANCHEZ ARAGÓN</v>
          </cell>
          <cell r="L78" t="str">
            <v>BEPCI YADIRA MINA ZAPATA</v>
          </cell>
          <cell r="M78">
            <v>45790</v>
          </cell>
          <cell r="N78">
            <v>45791</v>
          </cell>
          <cell r="O78">
            <v>45797</v>
          </cell>
          <cell r="P78" t="str">
            <v>Visitas de evaluación con fines de mejoramiento</v>
          </cell>
          <cell r="Q78" t="str">
            <v>14 y 20 Mayo 2025 Cristiano de Colombia.pdf</v>
          </cell>
          <cell r="R78" t="str">
            <v>No se evidencia aprobación del manual de convivencia, ya que no cuenta con actas de gobierno escolar.
No se encuentra actualizada y cumpliendo con la normatividad vigente</v>
          </cell>
          <cell r="S78" t="str">
            <v>La institución debe actualizar el manual de convivencia con participación del gobierno escolar. Presentar plan de mejoramiento el 18 de julio de 2025</v>
          </cell>
          <cell r="T78" t="str">
            <v>Si</v>
          </cell>
          <cell r="U78" t="str">
            <v>Revisar PM y verificar que se ajuste a las observaciones realizadas.</v>
          </cell>
        </row>
        <row r="79">
          <cell r="A79">
            <v>1534</v>
          </cell>
          <cell r="B79"/>
          <cell r="C79" t="str">
            <v>RAFAEL URIBE URIBE</v>
          </cell>
          <cell r="D79" t="str">
            <v>PRIVADO</v>
          </cell>
          <cell r="E79" t="str">
            <v>EPBM</v>
          </cell>
          <cell r="F79" t="str">
            <v>COLEGIO_CRISTIANO_DE_COLOMBIA</v>
          </cell>
          <cell r="G79" t="str">
            <v>COLEGIO_CRISTIANO_DE_COLOMBIA</v>
          </cell>
          <cell r="H79" t="str">
            <v>Autoevaluación Institucional y Pruebas SABER 11</v>
          </cell>
          <cell r="I79" t="str">
            <v>EVALUACIÓN_CON_FINES_DE_MEJORAMIENTO.</v>
          </cell>
          <cell r="J79" t="str">
            <v>Revisar la actualización, socialización e implementación del Sistema Institucional de Evaluación de Estudiantes - SIEE, en articulación con la actualización del PEI y la normatividad vigente.</v>
          </cell>
          <cell r="K79" t="str">
            <v>DORY CONSTANZA SANCHEZ ARAGÓN</v>
          </cell>
          <cell r="L79" t="str">
            <v>BEPCI YADIRA MINA ZAPATA</v>
          </cell>
          <cell r="M79">
            <v>45790</v>
          </cell>
          <cell r="N79">
            <v>45791</v>
          </cell>
          <cell r="O79">
            <v>45797</v>
          </cell>
          <cell r="P79" t="str">
            <v>Visitas de evaluación con fines de mejoramiento</v>
          </cell>
          <cell r="Q79" t="str">
            <v>14 y 20 Mayo 2025 Cristiano de Colombia.pdf</v>
          </cell>
          <cell r="R79" t="str">
            <v>No presentan evidencias de la participación de la comunidad educativa en su construcción.
Se debe ajustar a la normatividad vigente y establecer el debido proceso.</v>
          </cell>
          <cell r="S79" t="str">
            <v>En el SIE se deben ampliar y fortalecer los criterios de evaluación y promoción.
La institución debe presentar plan de mejoramiento el 18 de julio de 2025</v>
          </cell>
          <cell r="T79" t="str">
            <v>Si</v>
          </cell>
          <cell r="U79" t="str">
            <v>Revisar PM y verificar que se ajuste a las observaciones realizadas.</v>
          </cell>
        </row>
        <row r="80">
          <cell r="A80">
            <v>1535</v>
          </cell>
          <cell r="B80"/>
          <cell r="C80" t="str">
            <v>RAFAEL URIBE URIBE</v>
          </cell>
          <cell r="D80" t="str">
            <v>PRIVADO</v>
          </cell>
          <cell r="E80" t="str">
            <v>EPBM</v>
          </cell>
          <cell r="F80" t="str">
            <v>COLEGIO_CRISTIANO_DE_COLOMBIA</v>
          </cell>
          <cell r="G80" t="str">
            <v>COLEGIO_CRISTIANO_DE_COLOMBIA</v>
          </cell>
          <cell r="H80" t="str">
            <v>Autoevaluación Institucional y Pruebas SABER 11</v>
          </cell>
          <cell r="I80" t="str">
            <v>EVALUACIÓN_CON_FINES_DE_MEJORAMIENTO.</v>
          </cell>
          <cell r="J80" t="str">
            <v>Revisar el calendario escolar, jornada escolar, la intensidad horaria mínima anual en cada nivel y las modificaciones que se realicen al mismo, de acuerdo con lo previsto en la normatividad vigente.</v>
          </cell>
          <cell r="K80" t="str">
            <v>DORY CONSTANZA SANCHEZ ARAGÓN</v>
          </cell>
          <cell r="L80" t="str">
            <v>BEPCI YADIRA MINA ZAPATA</v>
          </cell>
          <cell r="M80">
            <v>45790</v>
          </cell>
          <cell r="N80">
            <v>45791</v>
          </cell>
          <cell r="O80">
            <v>45797</v>
          </cell>
          <cell r="P80" t="str">
            <v>Visitas de evaluación con fines de mejoramiento</v>
          </cell>
          <cell r="Q80" t="str">
            <v>14 y 20 Mayo 2025 Cristiano de Colombia.pdf</v>
          </cell>
          <cell r="R80" t="str">
            <v>La institución cuenta con una intensidad horaria de 1500 horas cumpliendo con la cantidad de horas según la normatividad vigente.</v>
          </cell>
          <cell r="S80" t="str">
            <v>Dar cumplimiento a lo establecido en el calendario</v>
          </cell>
          <cell r="T80" t="str">
            <v>No</v>
          </cell>
          <cell r="U80" t="str">
            <v>Verificar en caso de presentarse una queja</v>
          </cell>
        </row>
        <row r="81">
          <cell r="A81">
            <v>1536</v>
          </cell>
          <cell r="B81"/>
          <cell r="C81" t="str">
            <v>RAFAEL URIBE URIBE</v>
          </cell>
          <cell r="D81" t="str">
            <v>PRIVADO</v>
          </cell>
          <cell r="E81" t="str">
            <v>EPBM</v>
          </cell>
          <cell r="F81" t="str">
            <v>COLEGIO_CRISTIANO_DE_COLOMBIA</v>
          </cell>
          <cell r="G81" t="str">
            <v>COLEGIO_CRISTIANO_DE_COLOMBIA</v>
          </cell>
          <cell r="H81" t="str">
            <v>Autoevaluación Institucional y Pruebas SABER 11</v>
          </cell>
          <cell r="I81" t="str">
            <v>EVALUACIÓN_CON_FINES_DE_MEJORAMIENTO.</v>
          </cell>
          <cell r="J81" t="str">
            <v>Verificar el funcionamiento del Gobierno Escolar e instancias de participación con base en la información sobre conformación reportada por la institución educativa.</v>
          </cell>
          <cell r="K81" t="str">
            <v>DORY CONSTANZA SANCHEZ ARAGÓN</v>
          </cell>
          <cell r="L81" t="str">
            <v>BEPCI YADIRA MINA ZAPATA</v>
          </cell>
          <cell r="M81">
            <v>45790</v>
          </cell>
          <cell r="N81">
            <v>45791</v>
          </cell>
          <cell r="O81">
            <v>45797</v>
          </cell>
          <cell r="P81" t="str">
            <v>Visitas de evaluación con fines de mejoramiento</v>
          </cell>
          <cell r="Q81" t="str">
            <v>14 y 20 Mayo 2025 Cristiano de Colombia.pdf</v>
          </cell>
          <cell r="R81" t="str">
            <v>No se evidencian actas de funcionamiento de Gobierno Escolar</v>
          </cell>
          <cell r="S81" t="str">
            <v>Generar los espacios para el funcionamiento del gobierno escolar con sus respectivas actas. Presentar plan de mejoramiento el 18 de julio de 2025</v>
          </cell>
          <cell r="T81" t="str">
            <v>Si</v>
          </cell>
          <cell r="U81" t="str">
            <v>Revisar PM y verificar que se ajuste a las observaciones realizadas.</v>
          </cell>
        </row>
        <row r="82">
          <cell r="A82">
            <v>1537</v>
          </cell>
          <cell r="B82"/>
          <cell r="C82" t="str">
            <v>RAFAEL URIBE URIBE</v>
          </cell>
          <cell r="D82" t="str">
            <v>PRIVADO</v>
          </cell>
          <cell r="E82" t="str">
            <v>EPBM</v>
          </cell>
          <cell r="F82" t="str">
            <v>COLEGIO_CRISTIANO_DE_COLOMBIA</v>
          </cell>
          <cell r="G82" t="str">
            <v>COLEGIO_CRISTIANO_DE_COLOMBIA</v>
          </cell>
          <cell r="H82" t="str">
            <v>Autoevaluación Institucional y Pruebas SABER 11</v>
          </cell>
          <cell r="I82" t="str">
            <v>EVALUACIÓN_CON_FINES_DE_MEJORAMIENTO.</v>
          </cell>
          <cell r="J82" t="str">
            <v>Verificar las condiciones en cuanto a: la estructura administrativa, condiciones de la planta física y medios educativos adecuados.</v>
          </cell>
          <cell r="K82" t="str">
            <v>DORY CONSTANZA SANCHEZ ARAGÓN</v>
          </cell>
          <cell r="L82" t="str">
            <v>BEPCI YADIRA MINA ZAPATA</v>
          </cell>
          <cell r="M82">
            <v>45790</v>
          </cell>
          <cell r="N82">
            <v>45791</v>
          </cell>
          <cell r="O82">
            <v>45797</v>
          </cell>
          <cell r="P82" t="str">
            <v>Visitas de evaluación con fines de mejoramiento</v>
          </cell>
          <cell r="Q82" t="str">
            <v>14 y 20 Mayo 2025 Cristiano de Colombia.pdf</v>
          </cell>
          <cell r="R82" t="str">
            <v>No cuenta con aula de tecnología - informática. No cuenta con laboratorio, sus laboratorios son digitales.</v>
          </cell>
          <cell r="S82" t="str">
            <v>Buscar estrategias que perminan subsanar los inconvenientes con la planta física La institución debe presentar plan de mejoramiento el 18 de julio de 2025</v>
          </cell>
          <cell r="T82" t="str">
            <v>Si</v>
          </cell>
          <cell r="U82" t="str">
            <v>Revisar PM y verificar que se ajuste a las observaciones realizadas.</v>
          </cell>
        </row>
        <row r="83">
          <cell r="A83">
            <v>1538</v>
          </cell>
          <cell r="B83">
            <v>9</v>
          </cell>
          <cell r="C83" t="str">
            <v>RAFAEL URIBE URIBE</v>
          </cell>
          <cell r="D83" t="str">
            <v>PRIVADO</v>
          </cell>
          <cell r="E83" t="str">
            <v>EPBM</v>
          </cell>
          <cell r="F83" t="str">
            <v>LICEO_MAYOR_DE_PALERMO</v>
          </cell>
          <cell r="G83" t="str">
            <v>LICEO_MAYOR_DE_PALERMO</v>
          </cell>
          <cell r="H83" t="str">
            <v>Autoevaluación Institucional y Pruebas SABER 11</v>
          </cell>
          <cell r="I83" t="str">
            <v>SEGUIMIENTO_Y_SUPERVISIÓN.</v>
          </cell>
          <cell r="J83" t="str">
            <v>Realizar visitas para verificar la información registrada sobre la autoevaluación institucional en el aplicativo EVI, a los establecimientos de educación formal no oficial.</v>
          </cell>
          <cell r="K83" t="str">
            <v>DORY CONSTANZA SANCHEZ ARAGÓN</v>
          </cell>
          <cell r="L83" t="str">
            <v>BEPCI YADIRA MINA ZAPATA</v>
          </cell>
          <cell r="M83">
            <v>45805</v>
          </cell>
          <cell r="N83">
            <v>45825</v>
          </cell>
          <cell r="O83">
            <v>45832</v>
          </cell>
          <cell r="P83" t="str">
            <v>Visitas de evaluación con fines de mejoramiento</v>
          </cell>
          <cell r="Q83" t="str">
            <v>17 y 24 junio 2025 Liceo Mayor Palermo.pdf</v>
          </cell>
          <cell r="R83" t="str">
            <v>Los docentes tienen contrato de prestación de servicios. Cuentan con algunos docentes con pago de seguridad social por parte de la institución</v>
          </cell>
          <cell r="S83" t="str">
            <v>Realizar pago de seguridad social a todo el personal de la institución. Presentar plan de mejoramiento el 11 de agosto de 2025</v>
          </cell>
          <cell r="T83" t="str">
            <v>Si</v>
          </cell>
          <cell r="U83" t="str">
            <v>Revisar PM y verificar que se ajuste a las observaciones realizadas.</v>
          </cell>
        </row>
        <row r="84">
          <cell r="A84">
            <v>1539</v>
          </cell>
          <cell r="B84"/>
          <cell r="C84" t="str">
            <v>RAFAEL URIBE URIBE</v>
          </cell>
          <cell r="D84" t="str">
            <v>PRIVADO</v>
          </cell>
          <cell r="E84" t="str">
            <v>EPBM</v>
          </cell>
          <cell r="F84" t="str">
            <v>LICEO_MAYOR_DE_PALERMO</v>
          </cell>
          <cell r="G84" t="str">
            <v>LICEO_MAYOR_DE_PALERMO</v>
          </cell>
          <cell r="H84" t="str">
            <v>Autoevaluación Institucional y Pruebas SABER 11</v>
          </cell>
          <cell r="I84" t="str">
            <v>SEGUIMIENTO_Y_SUPERVISIÓN.</v>
          </cell>
          <cell r="J84" t="str">
            <v>Proponer estrategias en la formulación, verificar su elaboración y realizar seguimiento semestral al desarrollo de  las acciones establecidas en los planes de mejoramiento por pruebas SABER 11 de los establecimientos de educación formal.</v>
          </cell>
          <cell r="K84" t="str">
            <v>DORY CONSTANZA SANCHEZ ARAGÓN</v>
          </cell>
          <cell r="L84" t="str">
            <v>BEPCI YADIRA MINA ZAPATA</v>
          </cell>
          <cell r="M84">
            <v>45805</v>
          </cell>
          <cell r="N84">
            <v>45825</v>
          </cell>
          <cell r="O84">
            <v>45832</v>
          </cell>
          <cell r="P84" t="str">
            <v>Visitas de evaluación con fines de mejoramiento</v>
          </cell>
          <cell r="Q84" t="str">
            <v>17 y 24 junio 2025 Liceo Mayor Palermo.pdf</v>
          </cell>
          <cell r="R84"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84" t="str">
            <v>Realizar analisis de las Pruebas Saber y establecer acciones pertinentes. Presentar plan de mejoramiento el 11 de agosto de 2025</v>
          </cell>
          <cell r="T84" t="str">
            <v>Si</v>
          </cell>
          <cell r="U84" t="str">
            <v>Revisar PM y verificar que se ajuste a las observaciones realizadas.</v>
          </cell>
        </row>
        <row r="85">
          <cell r="A85">
            <v>1540</v>
          </cell>
          <cell r="B85"/>
          <cell r="C85" t="str">
            <v>RAFAEL URIBE URIBE</v>
          </cell>
          <cell r="D85" t="str">
            <v>PRIVADO</v>
          </cell>
          <cell r="E85" t="str">
            <v>EPBM</v>
          </cell>
          <cell r="F85" t="str">
            <v>LICEO_MAYOR_DE_PALERMO</v>
          </cell>
          <cell r="G85" t="str">
            <v>LICEO_MAYOR_DE_PALERMO</v>
          </cell>
          <cell r="H85" t="str">
            <v>Autoevaluación Institucional y Pruebas SABER 11</v>
          </cell>
          <cell r="I85" t="str">
            <v>SEGUIMIENTO_Y_SUPERVISIÓN.</v>
          </cell>
          <cell r="J85" t="str">
            <v xml:space="preserve">Verificar la implementación por parte de los colegios, de acciones realizadas para la prevención y atención de las situaciones de convivencia en el entorno escolar, según lo establecido en la Directiva 01 de 2022 del MEN. </v>
          </cell>
          <cell r="K85" t="str">
            <v>DORY CONSTANZA SANCHEZ ARAGÓN</v>
          </cell>
          <cell r="L85" t="str">
            <v>BEPCI YADIRA MINA ZAPATA</v>
          </cell>
          <cell r="M85">
            <v>45805</v>
          </cell>
          <cell r="N85">
            <v>45825</v>
          </cell>
          <cell r="O85">
            <v>45832</v>
          </cell>
          <cell r="P85" t="str">
            <v>Visitas de evaluación con fines de mejoramiento</v>
          </cell>
          <cell r="Q85" t="str">
            <v>17 y 24 junio 2025 Liceo Mayor Palermo.pdf</v>
          </cell>
          <cell r="R85" t="str">
            <v>La institución no cuentan con actas donde se evidencie el funcionamiento del comité de convivencia escolar.
Cuenta con verificacion de inhabilidadades por delitos sexuales en 1 sola oportunidad en 2025</v>
          </cell>
          <cell r="S85" t="str">
            <v>El comite cde convivencia se debe reunir cada 2 meses.
Se debe realizar verificación de antecedente cada 4 meses. Presentar plan de mejoramiento el 11 de agosto de 2025</v>
          </cell>
          <cell r="T85" t="str">
            <v>Si</v>
          </cell>
          <cell r="U85" t="str">
            <v>Revisar PM y verificar que se ajuste a las observaciones realizadas.</v>
          </cell>
        </row>
        <row r="86">
          <cell r="A86">
            <v>1541</v>
          </cell>
          <cell r="B86"/>
          <cell r="C86" t="str">
            <v>RAFAEL URIBE URIBE</v>
          </cell>
          <cell r="D86" t="str">
            <v>PRIVADO</v>
          </cell>
          <cell r="E86" t="str">
            <v>EPBM</v>
          </cell>
          <cell r="F86" t="str">
            <v>LICEO_MAYOR_DE_PALERMO</v>
          </cell>
          <cell r="G86" t="str">
            <v>LICEO_MAYOR_DE_PALERMO</v>
          </cell>
          <cell r="H86" t="str">
            <v>Autoevaluación Institucional y Pruebas SABER 11</v>
          </cell>
          <cell r="I86" t="str">
            <v>SEGUIMIENTO_Y_SUPERVISIÓN.</v>
          </cell>
          <cell r="J8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6" t="str">
            <v>DORY CONSTANZA SANCHEZ ARAGÓN</v>
          </cell>
          <cell r="L86" t="str">
            <v>BEPCI YADIRA MINA ZAPATA</v>
          </cell>
          <cell r="M86">
            <v>45805</v>
          </cell>
          <cell r="N86">
            <v>45825</v>
          </cell>
          <cell r="O86">
            <v>45832</v>
          </cell>
          <cell r="P86" t="str">
            <v>Visitas de evaluación con fines de mejoramiento</v>
          </cell>
          <cell r="Q86" t="str">
            <v>17 y 24 junio 2025 Liceo Mayor Palermo.pdf</v>
          </cell>
          <cell r="R86" t="str">
            <v>El colegio en SIMAT registra 5 estudiantes con discapacidad,  informan que solo tienen un diagnostico. Ha realizado un buen diseño del PIAR, se denota que ha sido un trabajo conciente, dedicado, adapatado a las necesidades del menor</v>
          </cell>
          <cell r="S86" t="str">
            <v>Revisar con las familias y según los casos actualizar SIMAT. Actualizar el PIAR. Presentar plan de mejoramiento el 11 de agosto de 2025</v>
          </cell>
          <cell r="T86" t="str">
            <v>Si</v>
          </cell>
          <cell r="U86" t="str">
            <v>Revisar PM y verificar que se ajuste a las observaciones realizadas.</v>
          </cell>
        </row>
        <row r="87">
          <cell r="A87">
            <v>1542</v>
          </cell>
          <cell r="B87"/>
          <cell r="C87" t="str">
            <v>RAFAEL URIBE URIBE</v>
          </cell>
          <cell r="D87" t="str">
            <v>PRIVADO</v>
          </cell>
          <cell r="E87" t="str">
            <v>EPBM</v>
          </cell>
          <cell r="F87" t="str">
            <v>LICEO_MAYOR_DE_PALERMO</v>
          </cell>
          <cell r="G87" t="str">
            <v>LICEO_MAYOR_DE_PALERMO</v>
          </cell>
          <cell r="H87" t="str">
            <v>Autoevaluación Institucional y Pruebas SABER 11</v>
          </cell>
          <cell r="I87" t="str">
            <v>EVALUACIÓN_CON_FINES_DE_MEJORAMIENTO.</v>
          </cell>
          <cell r="J8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7" t="str">
            <v>DORY CONSTANZA SANCHEZ ARAGÓN</v>
          </cell>
          <cell r="L87" t="str">
            <v>BEPCI YADIRA MINA ZAPATA</v>
          </cell>
          <cell r="M87">
            <v>45805</v>
          </cell>
          <cell r="N87">
            <v>45825</v>
          </cell>
          <cell r="O87">
            <v>45832</v>
          </cell>
          <cell r="P87" t="str">
            <v>Visitas de evaluación con fines de mejoramiento</v>
          </cell>
          <cell r="Q87" t="str">
            <v>17 y 24 junio 2025 Liceo Mayor Palermo.pdf</v>
          </cell>
          <cell r="R87" t="str">
            <v>No se evidencia aprobación del manual de convivencia, ya que no cuenta con actas de gobierno escolar.
No se encuentra actualizada y cumpliendo con la normatividad vigente</v>
          </cell>
          <cell r="S87" t="str">
            <v>La institución debe actualizar el manual de convivencia con participación del gobierno escolar. Presentar plan de mejoramiento el 11 de agosto de 2025</v>
          </cell>
          <cell r="T87" t="str">
            <v>Si</v>
          </cell>
          <cell r="U87" t="str">
            <v>Revisar PM y verificar que se ajuste a las observaciones realizadas.</v>
          </cell>
        </row>
        <row r="88">
          <cell r="A88">
            <v>1543</v>
          </cell>
          <cell r="B88"/>
          <cell r="C88" t="str">
            <v>RAFAEL URIBE URIBE</v>
          </cell>
          <cell r="D88" t="str">
            <v>PRIVADO</v>
          </cell>
          <cell r="E88" t="str">
            <v>EPBM</v>
          </cell>
          <cell r="F88" t="str">
            <v>LICEO_MAYOR_DE_PALERMO</v>
          </cell>
          <cell r="G88" t="str">
            <v>LICEO_MAYOR_DE_PALERMO</v>
          </cell>
          <cell r="H88" t="str">
            <v>Autoevaluación Institucional y Pruebas SABER 11</v>
          </cell>
          <cell r="I88" t="str">
            <v>EVALUACIÓN_CON_FINES_DE_MEJORAMIENTO.</v>
          </cell>
          <cell r="J88" t="str">
            <v>Revisar la actualización, socialización e implementación del Sistema Institucional de Evaluación de Estudiantes - SIEE, en articulación con la actualización del PEI y la normatividad vigente.</v>
          </cell>
          <cell r="K88" t="str">
            <v>DORY CONSTANZA SANCHEZ ARAGÓN</v>
          </cell>
          <cell r="L88" t="str">
            <v>BEPCI YADIRA MINA ZAPATA</v>
          </cell>
          <cell r="M88">
            <v>45805</v>
          </cell>
          <cell r="N88">
            <v>45825</v>
          </cell>
          <cell r="O88">
            <v>45832</v>
          </cell>
          <cell r="P88" t="str">
            <v>Visitas de evaluación con fines de mejoramiento</v>
          </cell>
          <cell r="Q88" t="str">
            <v>17 y 24 junio 2025 Liceo Mayor Palermo.pdf</v>
          </cell>
          <cell r="R88" t="str">
            <v>No presentan evidencias de la participación de la comunidad educativa en su construcción.
Se debe ajustar a la normatividad vigente y establecer el debido proceso.</v>
          </cell>
          <cell r="S88" t="str">
            <v>En el SIE se deben ampliar y fortalecer los criterios de evaluación y promoción.
La institución debe presentar plan de mejoramiento el 11 de agosto de 2025</v>
          </cell>
          <cell r="T88" t="str">
            <v>Si</v>
          </cell>
          <cell r="U88" t="str">
            <v>Revisar PM y verificar que se ajuste a las observaciones realizadas.</v>
          </cell>
        </row>
        <row r="89">
          <cell r="A89">
            <v>1544</v>
          </cell>
          <cell r="B89"/>
          <cell r="C89" t="str">
            <v>RAFAEL URIBE URIBE</v>
          </cell>
          <cell r="D89" t="str">
            <v>PRIVADO</v>
          </cell>
          <cell r="E89" t="str">
            <v>EPBM</v>
          </cell>
          <cell r="F89" t="str">
            <v>LICEO_MAYOR_DE_PALERMO</v>
          </cell>
          <cell r="G89" t="str">
            <v>LICEO_MAYOR_DE_PALERMO</v>
          </cell>
          <cell r="H89" t="str">
            <v>Autoevaluación Institucional y Pruebas SABER 11</v>
          </cell>
          <cell r="I89" t="str">
            <v>EVALUACIÓN_CON_FINES_DE_MEJORAMIENTO.</v>
          </cell>
          <cell r="J89" t="str">
            <v>Revisar el calendario escolar, jornada escolar, la intensidad horaria mínima anual en cada nivel y las modificaciones que se realicen al mismo, de acuerdo con lo previsto en la normatividad vigente.</v>
          </cell>
          <cell r="K89" t="str">
            <v>DORY CONSTANZA SANCHEZ ARAGÓN</v>
          </cell>
          <cell r="L89" t="str">
            <v>BEPCI YADIRA MINA ZAPATA</v>
          </cell>
          <cell r="M89">
            <v>45805</v>
          </cell>
          <cell r="N89">
            <v>45825</v>
          </cell>
          <cell r="O89">
            <v>45832</v>
          </cell>
          <cell r="P89" t="str">
            <v>Visitas de evaluación con fines de mejoramiento</v>
          </cell>
          <cell r="Q89" t="str">
            <v>17 y 24 junio 2025 Liceo Mayor Palermo.pdf</v>
          </cell>
          <cell r="R89" t="str">
            <v>La jornada académica del colegio es: Preescolar 853 horas. Primaria 1053 horas.
Bachillerato y Media 1320 horas. El colegio da cuplimiento a lo emanado en la ley.</v>
          </cell>
          <cell r="S89" t="str">
            <v>Dar cumplimiento a lo establecido en el calendario</v>
          </cell>
          <cell r="T89" t="str">
            <v>No</v>
          </cell>
          <cell r="U89" t="str">
            <v>Verificar en caso de presentarse una queja</v>
          </cell>
        </row>
        <row r="90">
          <cell r="A90">
            <v>1545</v>
          </cell>
          <cell r="B90"/>
          <cell r="C90" t="str">
            <v>RAFAEL URIBE URIBE</v>
          </cell>
          <cell r="D90" t="str">
            <v>PRIVADO</v>
          </cell>
          <cell r="E90" t="str">
            <v>EPBM</v>
          </cell>
          <cell r="F90" t="str">
            <v>LICEO_MAYOR_DE_PALERMO</v>
          </cell>
          <cell r="G90" t="str">
            <v>LICEO_MAYOR_DE_PALERMO</v>
          </cell>
          <cell r="H90" t="str">
            <v>Autoevaluación Institucional y Pruebas SABER 11</v>
          </cell>
          <cell r="I90" t="str">
            <v>EVALUACIÓN_CON_FINES_DE_MEJORAMIENTO.</v>
          </cell>
          <cell r="J90" t="str">
            <v>Verificar el funcionamiento del Gobierno Escolar e instancias de participación con base en la información sobre conformación reportada por la institución educativa.</v>
          </cell>
          <cell r="K90" t="str">
            <v>DORY CONSTANZA SANCHEZ ARAGÓN</v>
          </cell>
          <cell r="L90" t="str">
            <v>BEPCI YADIRA MINA ZAPATA</v>
          </cell>
          <cell r="M90">
            <v>45805</v>
          </cell>
          <cell r="N90">
            <v>45825</v>
          </cell>
          <cell r="O90">
            <v>45832</v>
          </cell>
          <cell r="P90" t="str">
            <v>Visitas de evaluación con fines de mejoramiento</v>
          </cell>
          <cell r="Q90" t="str">
            <v>17 y 24 junio 2025 Liceo Mayor Palermo.pdf</v>
          </cell>
          <cell r="R90" t="str">
            <v>No se evidencian actas de funcionamiento de Gobierno Escolar</v>
          </cell>
          <cell r="S90" t="str">
            <v>Generar los espacios para el funcionamiento del gobierno escolar con sus respectivas actas. Presentar plan de mejoramiento el 11 de agosto de 2025</v>
          </cell>
          <cell r="T90" t="str">
            <v>Si</v>
          </cell>
          <cell r="U90" t="str">
            <v>Revisar PM y verificar que se ajuste a las observaciones realizadas.</v>
          </cell>
        </row>
        <row r="91">
          <cell r="A91">
            <v>1546</v>
          </cell>
          <cell r="B91"/>
          <cell r="C91" t="str">
            <v>RAFAEL URIBE URIBE</v>
          </cell>
          <cell r="D91" t="str">
            <v>PRIVADO</v>
          </cell>
          <cell r="E91" t="str">
            <v>EPBM</v>
          </cell>
          <cell r="F91" t="str">
            <v>LICEO_MAYOR_DE_PALERMO</v>
          </cell>
          <cell r="G91" t="str">
            <v>LICEO_MAYOR_DE_PALERMO</v>
          </cell>
          <cell r="H91" t="str">
            <v>Autoevaluación Institucional y Pruebas SABER 11</v>
          </cell>
          <cell r="I91" t="str">
            <v>EVALUACIÓN_CON_FINES_DE_MEJORAMIENTO.</v>
          </cell>
          <cell r="J91" t="str">
            <v>Verificar las condiciones en cuanto a: la estructura administrativa, condiciones de la planta física y medios educativos adecuados.</v>
          </cell>
          <cell r="K91" t="str">
            <v>DORY CONSTANZA SANCHEZ ARAGÓN</v>
          </cell>
          <cell r="L91" t="str">
            <v>BEPCI YADIRA MINA ZAPATA</v>
          </cell>
          <cell r="M91">
            <v>45805</v>
          </cell>
          <cell r="N91">
            <v>45825</v>
          </cell>
          <cell r="O91">
            <v>45832</v>
          </cell>
          <cell r="P91" t="str">
            <v>Visitas de evaluación con fines de mejoramiento</v>
          </cell>
          <cell r="Q91" t="str">
            <v>17 y 24 junio 2025 Liceo Mayor Palermo.pdf</v>
          </cell>
          <cell r="R91" t="str">
            <v>Cuenta con 12 aulas de clase con espacio adecuado, buena iluminación, el espacio recreativo es un patio en piso 1 pero no es muy amplio</v>
          </cell>
          <cell r="S91" t="str">
            <v>Establecer estrategias para mejorar el area recreativa.  Presentar plan de mejoramiento 11 de agosto 2025</v>
          </cell>
          <cell r="T91" t="str">
            <v>Si</v>
          </cell>
          <cell r="U91" t="str">
            <v>Revisar PM y verificar que se ajuste a las observaciones realizadas.</v>
          </cell>
        </row>
        <row r="92">
          <cell r="A92">
            <v>1547</v>
          </cell>
          <cell r="B92">
            <v>10</v>
          </cell>
          <cell r="C92" t="str">
            <v>RAFAEL URIBE URIBE</v>
          </cell>
          <cell r="D92" t="str">
            <v>PRIVADO</v>
          </cell>
          <cell r="E92" t="str">
            <v>EPBM</v>
          </cell>
          <cell r="F92" t="str">
            <v>LICEO_TECNICO_MICROEMPRESARIAL_FEYSER_GORDILLO_ROJAS</v>
          </cell>
          <cell r="G92" t="str">
            <v>LICEO_TECNICO_MICROEMPRESARIAL_FEYSER_GORDILLO_ROJAS</v>
          </cell>
          <cell r="H92" t="str">
            <v>Autoevaluación Institucional y Pruebas SABER 11</v>
          </cell>
          <cell r="I92" t="str">
            <v>SEGUIMIENTO_Y_SUPERVISIÓN.</v>
          </cell>
          <cell r="J92"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92" t="str">
            <v>DORY CONSTANZA SANCHEZ ARAGÓN</v>
          </cell>
          <cell r="L92" t="str">
            <v>BEPCI YADIRA MINA ZAPATA</v>
          </cell>
          <cell r="M92">
            <v>45811</v>
          </cell>
          <cell r="N92">
            <v>45814</v>
          </cell>
          <cell r="O92">
            <v>45819</v>
          </cell>
          <cell r="P92" t="str">
            <v>Visitas de evaluación con fines de mejoramiento</v>
          </cell>
          <cell r="Q92" t="str">
            <v>6 y 11 junio 2025 Feyser Gordillo.pdf</v>
          </cell>
          <cell r="R92" t="str">
            <v>Se subio en el EVI el plan de mejoramiento por no pago de seguridad social, se encuentra que los docentes tienen contrato de prestación de servicios, informan que el valor de seguridad social lo asume la insttiución</v>
          </cell>
          <cell r="S92" t="str">
            <v>La contratación y el pago de seguridad social de los docentes debe ser por parte de la institución educativa. Presentar plan de mejoramiento 25 de julio 2025</v>
          </cell>
          <cell r="T92" t="str">
            <v>Si</v>
          </cell>
          <cell r="U92" t="str">
            <v>Revisar PM y verificar que se ajuste a las observaciones realizadas.</v>
          </cell>
        </row>
        <row r="93">
          <cell r="A93">
            <v>1548</v>
          </cell>
          <cell r="B93"/>
          <cell r="C93" t="str">
            <v>RAFAEL URIBE URIBE</v>
          </cell>
          <cell r="D93" t="str">
            <v>PRIVADO</v>
          </cell>
          <cell r="E93" t="str">
            <v>EPBM</v>
          </cell>
          <cell r="F93" t="str">
            <v>LICEO_TECNICO_MICROEMPRESARIAL_FEYSER_GORDILLO_ROJAS</v>
          </cell>
          <cell r="G93" t="str">
            <v>LICEO_TECNICO_MICROEMPRESARIAL_FEYSER_GORDILLO_ROJAS</v>
          </cell>
          <cell r="H93" t="str">
            <v>Autoevaluación Institucional y Pruebas SABER 11</v>
          </cell>
          <cell r="I93" t="str">
            <v>SEGUIMIENTO_Y_SUPERVISIÓN.</v>
          </cell>
          <cell r="J93" t="str">
            <v>Realizar visitas para verificar la información registrada sobre la autoevaluación institucional en el aplicativo EVI, a los establecimientos de educación formal no oficial.</v>
          </cell>
          <cell r="K93" t="str">
            <v>DORY CONSTANZA SANCHEZ ARAGÓN</v>
          </cell>
          <cell r="L93" t="str">
            <v>BEPCI YADIRA MINA ZAPATA</v>
          </cell>
          <cell r="M93">
            <v>45811</v>
          </cell>
          <cell r="N93">
            <v>45814</v>
          </cell>
          <cell r="O93">
            <v>45819</v>
          </cell>
          <cell r="P93" t="str">
            <v>Visitas de evaluación con fines de mejoramiento</v>
          </cell>
          <cell r="Q93" t="str">
            <v>6 y 11 junio 2025 Feyser Gordillo.pdf</v>
          </cell>
          <cell r="R93" t="str">
            <v>No se evidencia 1 aula, sala de sistemas, sala de profesoresm enfermeria, sala audiovisuales, aula especializada, reportados en EVI.</v>
          </cell>
          <cell r="S93" t="str">
            <v>Establecer estrategias para los espacios que hacen falta.  Presentar plan de mejoramiento 25 de julio 2025</v>
          </cell>
          <cell r="T93" t="str">
            <v>Si</v>
          </cell>
          <cell r="U93" t="str">
            <v>Revisar PM y verificar que se ajuste a las observaciones realizadas.</v>
          </cell>
        </row>
        <row r="94">
          <cell r="A94">
            <v>1549</v>
          </cell>
          <cell r="B94"/>
          <cell r="C94" t="str">
            <v>RAFAEL URIBE URIBE</v>
          </cell>
          <cell r="D94" t="str">
            <v>PRIVADO</v>
          </cell>
          <cell r="E94" t="str">
            <v>EPBM</v>
          </cell>
          <cell r="F94" t="str">
            <v>LICEO_TECNICO_MICROEMPRESARIAL_FEYSER_GORDILLO_ROJAS</v>
          </cell>
          <cell r="G94" t="str">
            <v>LICEO_TECNICO_MICROEMPRESARIAL_FEYSER_GORDILLO_ROJAS</v>
          </cell>
          <cell r="H94" t="str">
            <v>Autoevaluación Institucional y Pruebas SABER 11</v>
          </cell>
          <cell r="I94" t="str">
            <v>SEGUIMIENTO_Y_SUPERVISIÓN.</v>
          </cell>
          <cell r="J94" t="str">
            <v>Proponer estrategias en la formulación, verificar su elaboración y realizar seguimiento semestral al desarrollo de  las acciones establecidas en los planes de mejoramiento por pruebas SABER 11 de los establecimientos de educación formal.</v>
          </cell>
          <cell r="K94" t="str">
            <v>DORY CONSTANZA SANCHEZ ARAGÓN</v>
          </cell>
          <cell r="L94" t="str">
            <v>BEPCI YADIRA MINA ZAPATA</v>
          </cell>
          <cell r="M94">
            <v>45811</v>
          </cell>
          <cell r="N94">
            <v>45814</v>
          </cell>
          <cell r="O94">
            <v>45819</v>
          </cell>
          <cell r="P94" t="str">
            <v>Visitas de evaluación con fines de mejoramiento</v>
          </cell>
          <cell r="Q94" t="str">
            <v>6 y 11 junio 2025 Feyser Gordillo.pdf</v>
          </cell>
          <cell r="R94"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94" t="str">
            <v>Realizar analisis de las Pruebas Saber y establecer acciones pertinentes. Presentar plan de mejoramiento el 25 de julio de 2025</v>
          </cell>
          <cell r="T94" t="str">
            <v>Si</v>
          </cell>
          <cell r="U94" t="str">
            <v>Revisar PM y verificar que se ajuste a las observaciones realizadas.</v>
          </cell>
        </row>
        <row r="95">
          <cell r="A95">
            <v>1550</v>
          </cell>
          <cell r="B95"/>
          <cell r="C95" t="str">
            <v>RAFAEL URIBE URIBE</v>
          </cell>
          <cell r="D95" t="str">
            <v>PRIVADO</v>
          </cell>
          <cell r="E95" t="str">
            <v>EPBM</v>
          </cell>
          <cell r="F95" t="str">
            <v>LICEO_TECNICO_MICROEMPRESARIAL_FEYSER_GORDILLO_ROJAS</v>
          </cell>
          <cell r="G95" t="str">
            <v>LICEO_TECNICO_MICROEMPRESARIAL_FEYSER_GORDILLO_ROJAS</v>
          </cell>
          <cell r="H95" t="str">
            <v>Autoevaluación Institucional y Pruebas SABER 11</v>
          </cell>
          <cell r="I95" t="str">
            <v>SEGUIMIENTO_Y_SUPERVISIÓN.</v>
          </cell>
          <cell r="J95" t="str">
            <v xml:space="preserve">Verificar la implementación por parte de los colegios, de acciones realizadas para la prevención y atención de las situaciones de convivencia en el entorno escolar, según lo establecido en la Directiva 01 de 2022 del MEN. </v>
          </cell>
          <cell r="K95" t="str">
            <v>DORY CONSTANZA SANCHEZ ARAGÓN</v>
          </cell>
          <cell r="L95" t="str">
            <v>BEPCI YADIRA MINA ZAPATA</v>
          </cell>
          <cell r="M95">
            <v>45811</v>
          </cell>
          <cell r="N95">
            <v>45814</v>
          </cell>
          <cell r="O95">
            <v>45819</v>
          </cell>
          <cell r="P95" t="str">
            <v>Visitas de evaluación con fines de mejoramiento</v>
          </cell>
          <cell r="Q95" t="str">
            <v>6 y 11 junio 2025 Feyser Gordillo.pdf</v>
          </cell>
          <cell r="R95" t="str">
            <v>La institución no cuentan con actas donde se evidencie el funcionamiento del comité de convivencia escolar.
No cuenta con verificacion de inhabilidadades por delitos sexuales</v>
          </cell>
          <cell r="S95" t="str">
            <v>El comite cde convivencia se debe reunir cada 2 meses.
Se debe realizar verificación de antecedente cada 4 meses. Presentar plan de mejoramiento el 25 de julio de 2025</v>
          </cell>
          <cell r="T95" t="str">
            <v>Si</v>
          </cell>
          <cell r="U95" t="str">
            <v>Revisar PM y verificar que se ajuste a las observaciones realizadas.</v>
          </cell>
        </row>
        <row r="96">
          <cell r="A96">
            <v>1551</v>
          </cell>
          <cell r="B96"/>
          <cell r="C96" t="str">
            <v>RAFAEL URIBE URIBE</v>
          </cell>
          <cell r="D96" t="str">
            <v>PRIVADO</v>
          </cell>
          <cell r="E96" t="str">
            <v>EPBM</v>
          </cell>
          <cell r="F96" t="str">
            <v>LICEO_TECNICO_MICROEMPRESARIAL_FEYSER_GORDILLO_ROJAS</v>
          </cell>
          <cell r="G96" t="str">
            <v>LICEO_TECNICO_MICROEMPRESARIAL_FEYSER_GORDILLO_ROJAS</v>
          </cell>
          <cell r="H96" t="str">
            <v>Autoevaluación Institucional y Pruebas SABER 11</v>
          </cell>
          <cell r="I96" t="str">
            <v>SEGUIMIENTO_Y_SUPERVISIÓN.</v>
          </cell>
          <cell r="J9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6" t="str">
            <v>DORY CONSTANZA SANCHEZ ARAGÓN</v>
          </cell>
          <cell r="L96" t="str">
            <v>BEPCI YADIRA MINA ZAPATA</v>
          </cell>
          <cell r="M96">
            <v>45811</v>
          </cell>
          <cell r="N96">
            <v>45814</v>
          </cell>
          <cell r="O96">
            <v>45819</v>
          </cell>
          <cell r="P96" t="str">
            <v>Visitas de evaluación con fines de mejoramiento</v>
          </cell>
          <cell r="Q96" t="str">
            <v>6 y 11 junio 2025 Feyser Gordillo.pdf</v>
          </cell>
          <cell r="R96" t="str">
            <v>El colegio en SIMAT registra 3 estudiantes con discapacidad,  informan que solo tienen un diagnostico. El PIAR está diligenciado por el Coordinador Académico y no por Orientación, hay informción inconsistente que deben revisar y actualizar.</v>
          </cell>
          <cell r="S96" t="str">
            <v>Revisar con las familias y según los casos actualizar SIMAT. Actualizar el PIAR. Presentar plan de mejoramiento el 25 de julio de 2025</v>
          </cell>
          <cell r="T96" t="str">
            <v>Si</v>
          </cell>
          <cell r="U96" t="str">
            <v>Revisar PM y verificar que se ajuste a las observaciones realizadas.</v>
          </cell>
        </row>
        <row r="97">
          <cell r="A97">
            <v>1552</v>
          </cell>
          <cell r="B97"/>
          <cell r="C97" t="str">
            <v>RAFAEL URIBE URIBE</v>
          </cell>
          <cell r="D97" t="str">
            <v>PRIVADO</v>
          </cell>
          <cell r="E97" t="str">
            <v>EPBM</v>
          </cell>
          <cell r="F97" t="str">
            <v>LICEO_TECNICO_MICROEMPRESARIAL_FEYSER_GORDILLO_ROJAS</v>
          </cell>
          <cell r="G97" t="str">
            <v>LICEO_TECNICO_MICROEMPRESARIAL_FEYSER_GORDILLO_ROJAS</v>
          </cell>
          <cell r="H97" t="str">
            <v>Autoevaluación Institucional y Pruebas SABER 11</v>
          </cell>
          <cell r="I97" t="str">
            <v>EVALUACIÓN_CON_FINES_DE_MEJORAMIENTO.</v>
          </cell>
          <cell r="J9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7" t="str">
            <v>DORY CONSTANZA SANCHEZ ARAGÓN</v>
          </cell>
          <cell r="L97" t="str">
            <v>BEPCI YADIRA MINA ZAPATA</v>
          </cell>
          <cell r="M97">
            <v>45811</v>
          </cell>
          <cell r="N97">
            <v>45814</v>
          </cell>
          <cell r="O97">
            <v>45819</v>
          </cell>
          <cell r="P97" t="str">
            <v>Visitas de evaluación con fines de mejoramiento</v>
          </cell>
          <cell r="Q97" t="str">
            <v>6 y 11 junio 2025 Feyser Gordillo.pdf</v>
          </cell>
          <cell r="R97" t="str">
            <v>No se evidencia aprobación del manual de convivencia, ya que no cuenta con actas de gobierno escolar.
No se encuentra actualizado y cumpliendo con la normatividad vigente</v>
          </cell>
          <cell r="S97" t="str">
            <v>La institución debe actualizar el manual de convivencia con participación del gobierno escolar. Presentar plan de mejoramiento el 25 de julio de 2025</v>
          </cell>
          <cell r="T97" t="str">
            <v>Si</v>
          </cell>
          <cell r="U97" t="str">
            <v>Revisar PM y verificar que se ajuste a las observaciones realizadas.</v>
          </cell>
        </row>
        <row r="98">
          <cell r="A98">
            <v>1553</v>
          </cell>
          <cell r="B98"/>
          <cell r="C98" t="str">
            <v>RAFAEL URIBE URIBE</v>
          </cell>
          <cell r="D98" t="str">
            <v>PRIVADO</v>
          </cell>
          <cell r="E98" t="str">
            <v>EPBM</v>
          </cell>
          <cell r="F98" t="str">
            <v>LICEO_TECNICO_MICROEMPRESARIAL_FEYSER_GORDILLO_ROJAS</v>
          </cell>
          <cell r="G98" t="str">
            <v>LICEO_TECNICO_MICROEMPRESARIAL_FEYSER_GORDILLO_ROJAS</v>
          </cell>
          <cell r="H98" t="str">
            <v>Autoevaluación Institucional y Pruebas SABER 11</v>
          </cell>
          <cell r="I98" t="str">
            <v>EVALUACIÓN_CON_FINES_DE_MEJORAMIENTO.</v>
          </cell>
          <cell r="J98" t="str">
            <v>Revisar la actualización, socialización e implementación del Sistema Institucional de Evaluación de Estudiantes - SIEE, en articulación con la actualización del PEI y la normatividad vigente.</v>
          </cell>
          <cell r="K98" t="str">
            <v>DORY CONSTANZA SANCHEZ ARAGÓN</v>
          </cell>
          <cell r="L98" t="str">
            <v>BEPCI YADIRA MINA ZAPATA</v>
          </cell>
          <cell r="M98">
            <v>45811</v>
          </cell>
          <cell r="N98">
            <v>45814</v>
          </cell>
          <cell r="O98">
            <v>45819</v>
          </cell>
          <cell r="P98" t="str">
            <v>Visitas de evaluación con fines de mejoramiento</v>
          </cell>
          <cell r="Q98" t="str">
            <v>6 y 11 junio 2025 Feyser Gordillo.pdf</v>
          </cell>
          <cell r="R98" t="str">
            <v>Cuenta con SIEE, pero es necesario ajustarlo a la normatividad vigente, con la participación de la comunidad educativa, no le da elementos a los entes del Gobiero Escolar a la hora de tomar decisiones.</v>
          </cell>
          <cell r="S98" t="str">
            <v>La institución debe actualizar el SIEE con participación del gobierno escolar. Presentar plan de mejoramiento el 25 de julio de 2025</v>
          </cell>
          <cell r="T98" t="str">
            <v>Si</v>
          </cell>
          <cell r="U98" t="str">
            <v>Revisar PM y verificar que se ajuste a las observaciones realizadas.</v>
          </cell>
        </row>
        <row r="99">
          <cell r="A99">
            <v>1554</v>
          </cell>
          <cell r="B99"/>
          <cell r="C99" t="str">
            <v>RAFAEL URIBE URIBE</v>
          </cell>
          <cell r="D99" t="str">
            <v>PRIVADO</v>
          </cell>
          <cell r="E99" t="str">
            <v>EPBM</v>
          </cell>
          <cell r="F99" t="str">
            <v>LICEO_TECNICO_MICROEMPRESARIAL_FEYSER_GORDILLO_ROJAS</v>
          </cell>
          <cell r="G99" t="str">
            <v>LICEO_TECNICO_MICROEMPRESARIAL_FEYSER_GORDILLO_ROJAS</v>
          </cell>
          <cell r="H99" t="str">
            <v>Autoevaluación Institucional y Pruebas SABER 11</v>
          </cell>
          <cell r="I99" t="str">
            <v>EVALUACIÓN_CON_FINES_DE_MEJORAMIENTO.</v>
          </cell>
          <cell r="J99" t="str">
            <v>Revisar el calendario escolar, jornada escolar, la intensidad horaria mínima anual en cada nivel y las modificaciones que se realicen al mismo, de acuerdo con lo previsto en la normatividad vigente.</v>
          </cell>
          <cell r="K99" t="str">
            <v>DORY CONSTANZA SANCHEZ ARAGÓN</v>
          </cell>
          <cell r="L99" t="str">
            <v>BEPCI YADIRA MINA ZAPATA</v>
          </cell>
          <cell r="M99">
            <v>45811</v>
          </cell>
          <cell r="N99">
            <v>45814</v>
          </cell>
          <cell r="O99">
            <v>45819</v>
          </cell>
          <cell r="P99" t="str">
            <v>Visitas de evaluación con fines de mejoramiento</v>
          </cell>
          <cell r="Q99" t="str">
            <v>6 y 11 junio 2025 Feyser Gordillo.pdf</v>
          </cell>
          <cell r="R99" t="str">
            <v>Se encuentra que la jornada académica es de 1246 horas anuales que da cumplimiento a la normatividad para Educación Básica secundaria, pero la educación media al ser técnica debe cumplir anualmente 1600 horas.</v>
          </cell>
          <cell r="S99" t="str">
            <v>Ajustar el horario para dar cumplimiento a la intensidad horaria. Presentar plan de mejoramiento el 25 de julio de 2025</v>
          </cell>
          <cell r="T99" t="str">
            <v>Si</v>
          </cell>
          <cell r="U99" t="str">
            <v>Revisar PM y verificar que se ajuste a las observaciones realizadas.</v>
          </cell>
        </row>
        <row r="100">
          <cell r="A100">
            <v>1555</v>
          </cell>
          <cell r="B100"/>
          <cell r="C100" t="str">
            <v>RAFAEL URIBE URIBE</v>
          </cell>
          <cell r="D100" t="str">
            <v>PRIVADO</v>
          </cell>
          <cell r="E100" t="str">
            <v>EPBM</v>
          </cell>
          <cell r="F100" t="str">
            <v>LICEO_TECNICO_MICROEMPRESARIAL_FEYSER_GORDILLO_ROJAS</v>
          </cell>
          <cell r="G100" t="str">
            <v>LICEO_TECNICO_MICROEMPRESARIAL_FEYSER_GORDILLO_ROJAS</v>
          </cell>
          <cell r="H100" t="str">
            <v>Autoevaluación Institucional y Pruebas SABER 11</v>
          </cell>
          <cell r="I100" t="str">
            <v>EVALUACIÓN_CON_FINES_DE_MEJORAMIENTO.</v>
          </cell>
          <cell r="J100" t="str">
            <v>Verificar el funcionamiento del Gobierno Escolar e instancias de participación con base en la información sobre conformación reportada por la institución educativa.</v>
          </cell>
          <cell r="K100" t="str">
            <v>DORY CONSTANZA SANCHEZ ARAGÓN</v>
          </cell>
          <cell r="L100" t="str">
            <v>BEPCI YADIRA MINA ZAPATA</v>
          </cell>
          <cell r="M100">
            <v>45811</v>
          </cell>
          <cell r="N100">
            <v>45814</v>
          </cell>
          <cell r="O100">
            <v>45819</v>
          </cell>
          <cell r="P100" t="str">
            <v>Visitas de evaluación con fines de mejoramiento</v>
          </cell>
          <cell r="Q100" t="str">
            <v>6 y 11 junio 2025 Feyser Gordillo.pdf</v>
          </cell>
          <cell r="R100" t="str">
            <v>No se evidencian actas de funcionamiento de Gobierno Escolar</v>
          </cell>
          <cell r="S100" t="str">
            <v>Generar los espacios para el funcionamiento del gobierno escolar con sus respectivas actas. Presentar plan de mejoramiento el 25 de julio de 2025</v>
          </cell>
          <cell r="T100" t="str">
            <v>Si</v>
          </cell>
          <cell r="U100" t="str">
            <v>Revisar PM y verificar que se ajuste a las observaciones realizadas.</v>
          </cell>
        </row>
        <row r="101">
          <cell r="A101">
            <v>1556</v>
          </cell>
          <cell r="B101"/>
          <cell r="C101" t="str">
            <v>RAFAEL URIBE URIBE</v>
          </cell>
          <cell r="D101" t="str">
            <v>PRIVADO</v>
          </cell>
          <cell r="E101" t="str">
            <v>EPBM</v>
          </cell>
          <cell r="F101" t="str">
            <v>LICEO_TECNICO_MICROEMPRESARIAL_FEYSER_GORDILLO_ROJAS</v>
          </cell>
          <cell r="G101" t="str">
            <v>LICEO_TECNICO_MICROEMPRESARIAL_FEYSER_GORDILLO_ROJAS</v>
          </cell>
          <cell r="H101" t="str">
            <v>Autoevaluación Institucional y Pruebas SABER 11</v>
          </cell>
          <cell r="I101" t="str">
            <v>EVALUACIÓN_CON_FINES_DE_MEJORAMIENTO.</v>
          </cell>
          <cell r="J101" t="str">
            <v>Verificar las condiciones en cuanto a: la estructura administrativa, condiciones de la planta física y medios educativos adecuados.</v>
          </cell>
          <cell r="K101" t="str">
            <v>DORY CONSTANZA SANCHEZ ARAGÓN</v>
          </cell>
          <cell r="L101" t="str">
            <v>BEPCI YADIRA MINA ZAPATA</v>
          </cell>
          <cell r="M101">
            <v>45811</v>
          </cell>
          <cell r="N101">
            <v>45814</v>
          </cell>
          <cell r="O101">
            <v>45819</v>
          </cell>
          <cell r="P101" t="str">
            <v>Visitas de evaluación con fines de mejoramiento</v>
          </cell>
          <cell r="Q101" t="str">
            <v>6 y 11 junio 2025 Feyser Gordillo.pdf</v>
          </cell>
          <cell r="R101" t="str">
            <v>No se evidencia 1 aula, sala de sistemas, sala de profesoresm enfermeria, sala audiovisuales, aula especializada, reportados en EVI.</v>
          </cell>
          <cell r="S101" t="str">
            <v>Establecer estrategias para los espacios que hacen falta.  Presentar plan de mejoramiento 25 de julio 2025</v>
          </cell>
          <cell r="T101" t="str">
            <v>Si</v>
          </cell>
          <cell r="U101" t="str">
            <v>Revisar PM y verificar que se ajuste a las observaciones realizadas.</v>
          </cell>
        </row>
        <row r="102">
          <cell r="A102">
            <v>1558</v>
          </cell>
          <cell r="B102"/>
          <cell r="C102" t="str">
            <v>RAFAEL URIBE URIBE</v>
          </cell>
          <cell r="D102" t="str">
            <v>PRIVADO</v>
          </cell>
          <cell r="E102" t="str">
            <v>EPBM</v>
          </cell>
          <cell r="F102" t="str">
            <v>COLEGIO_DANILO_CIFUENTES</v>
          </cell>
          <cell r="G102" t="str">
            <v>COLEGIO_DANILO_CIFUENTES</v>
          </cell>
          <cell r="H102" t="str">
            <v>Autoevaluación Institucional y Pruebas SABER 11</v>
          </cell>
          <cell r="I102" t="str">
            <v>SEGUIMIENTO_Y_SUPERVISIÓN.</v>
          </cell>
          <cell r="J102" t="str">
            <v>Realizar visitas para verificar la información registrada sobre la autoevaluación institucional en el aplicativo EVI, a los establecimientos de educación formal no oficial.</v>
          </cell>
          <cell r="K102" t="str">
            <v>DORY CONSTANZA SANCHEZ ARAGÓN</v>
          </cell>
          <cell r="L102" t="str">
            <v>BEPCI YADIRA MINA ZAPATA</v>
          </cell>
          <cell r="M102">
            <v>45818</v>
          </cell>
          <cell r="N102">
            <v>45819</v>
          </cell>
          <cell r="O102">
            <v>45824</v>
          </cell>
          <cell r="P102" t="str">
            <v>Visitas de evaluación con fines de mejoramiento</v>
          </cell>
          <cell r="Q102" t="str">
            <v>11 y 16 junio 2025 Danilo Cifuentes.pdf</v>
          </cell>
          <cell r="R102" t="str">
            <v>Se evidencia que los docentes se encuentran con contrato laboral y  pago de seguridad social.
Planta física acorde con espacios pedagogícos adecuados.</v>
          </cell>
          <cell r="S102" t="str">
            <v>Continuar con la contratación y pago de seguridad social de los docentes</v>
          </cell>
          <cell r="T102" t="str">
            <v>No</v>
          </cell>
          <cell r="U102" t="str">
            <v>Verificar en caso de algun reqiuerimiento o queja</v>
          </cell>
        </row>
        <row r="103">
          <cell r="A103">
            <v>1559</v>
          </cell>
          <cell r="B103"/>
          <cell r="C103" t="str">
            <v>RAFAEL URIBE URIBE</v>
          </cell>
          <cell r="D103" t="str">
            <v>PRIVADO</v>
          </cell>
          <cell r="E103" t="str">
            <v>EPBM</v>
          </cell>
          <cell r="F103" t="str">
            <v>COLEGIO_DANILO_CIFUENTES</v>
          </cell>
          <cell r="G103" t="str">
            <v>COLEGIO_DANILO_CIFUENTES</v>
          </cell>
          <cell r="H103" t="str">
            <v>Autoevaluación Institucional y Pruebas SABER 11</v>
          </cell>
          <cell r="I103" t="str">
            <v>SEGUIMIENTO_Y_SUPERVISIÓN.</v>
          </cell>
          <cell r="J103" t="str">
            <v>Proponer estrategias en la formulación, verificar su elaboración y realizar seguimiento semestral al desarrollo de  las acciones establecidas en los planes de mejoramiento por pruebas SABER 11 de los establecimientos de educación formal.</v>
          </cell>
          <cell r="K103" t="str">
            <v>DORY CONSTANZA SANCHEZ ARAGÓN</v>
          </cell>
          <cell r="L103" t="str">
            <v>BEPCI YADIRA MINA ZAPATA</v>
          </cell>
          <cell r="M103">
            <v>45818</v>
          </cell>
          <cell r="N103">
            <v>45819</v>
          </cell>
          <cell r="O103">
            <v>45824</v>
          </cell>
          <cell r="P103" t="str">
            <v>Visitas de evaluación con fines de mejoramiento</v>
          </cell>
          <cell r="Q103" t="str">
            <v>11 y 16 junio 2025 Danilo Cifuentes.pdf</v>
          </cell>
          <cell r="R103"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03" t="str">
            <v>Realizar analisis de las Pruebas Saber y establecer acciones pertinentes. Presentar plan de mejoramiento el 8 de agosto de 2025</v>
          </cell>
          <cell r="T103" t="str">
            <v>Si</v>
          </cell>
          <cell r="U103" t="str">
            <v>Revisar PM y verificar que se ajuste a las observaciones realizadas.</v>
          </cell>
        </row>
        <row r="104">
          <cell r="A104">
            <v>1560</v>
          </cell>
          <cell r="B104"/>
          <cell r="C104" t="str">
            <v>RAFAEL URIBE URIBE</v>
          </cell>
          <cell r="D104" t="str">
            <v>PRIVADO</v>
          </cell>
          <cell r="E104" t="str">
            <v>EPBM</v>
          </cell>
          <cell r="F104" t="str">
            <v>COLEGIO_DANILO_CIFUENTES</v>
          </cell>
          <cell r="G104" t="str">
            <v>COLEGIO_DANILO_CIFUENTES</v>
          </cell>
          <cell r="H104" t="str">
            <v>Autoevaluación Institucional y Pruebas SABER 11</v>
          </cell>
          <cell r="I104" t="str">
            <v>SEGUIMIENTO_Y_SUPERVISIÓN.</v>
          </cell>
          <cell r="J104" t="str">
            <v xml:space="preserve">Verificar la implementación por parte de los colegios, de acciones realizadas para la prevención y atención de las situaciones de convivencia en el entorno escolar, según lo establecido en la Directiva 01 de 2022 del MEN. </v>
          </cell>
          <cell r="K104" t="str">
            <v>DORY CONSTANZA SANCHEZ ARAGÓN</v>
          </cell>
          <cell r="L104" t="str">
            <v>BEPCI YADIRA MINA ZAPATA</v>
          </cell>
          <cell r="M104">
            <v>45818</v>
          </cell>
          <cell r="N104">
            <v>45819</v>
          </cell>
          <cell r="O104">
            <v>45824</v>
          </cell>
          <cell r="P104" t="str">
            <v>Visitas de evaluación con fines de mejoramiento</v>
          </cell>
          <cell r="Q104" t="str">
            <v>11 y 16 junio 2025 Danilo Cifuentes.pdf</v>
          </cell>
          <cell r="R104" t="str">
            <v>La institución no cuentan con actas donde se evidencie el funcionamiento del comité de convivencia escolar.
Cuenta con verificacion de inhabilidadades por delitos sexuales de febrero y junio de 2025</v>
          </cell>
          <cell r="S104" t="str">
            <v>El comite cde convivencia se debe reunir cada 2 meses.
Se debe realizar verificación de antecedente cada 4 meses. Presentar plan de mejoramiento el 8 de agosto de 2025</v>
          </cell>
          <cell r="T104" t="str">
            <v>Si</v>
          </cell>
          <cell r="U104" t="str">
            <v>Revisar PM y verificar que se ajuste a las observaciones realizadas.</v>
          </cell>
        </row>
        <row r="105">
          <cell r="A105">
            <v>1561</v>
          </cell>
          <cell r="B105"/>
          <cell r="C105" t="str">
            <v>RAFAEL URIBE URIBE</v>
          </cell>
          <cell r="D105" t="str">
            <v>PRIVADO</v>
          </cell>
          <cell r="E105" t="str">
            <v>EPBM</v>
          </cell>
          <cell r="F105" t="str">
            <v>COLEGIO_DANILO_CIFUENTES</v>
          </cell>
          <cell r="G105" t="str">
            <v>COLEGIO_DANILO_CIFUENTES</v>
          </cell>
          <cell r="H105" t="str">
            <v>Autoevaluación Institucional y Pruebas SABER 11</v>
          </cell>
          <cell r="I105" t="str">
            <v>SEGUIMIENTO_Y_SUPERVISIÓN.</v>
          </cell>
          <cell r="J10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5" t="str">
            <v>DORY CONSTANZA SANCHEZ ARAGÓN</v>
          </cell>
          <cell r="L105" t="str">
            <v>BEPCI YADIRA MINA ZAPATA</v>
          </cell>
          <cell r="M105">
            <v>45818</v>
          </cell>
          <cell r="N105">
            <v>45819</v>
          </cell>
          <cell r="O105">
            <v>45824</v>
          </cell>
          <cell r="P105" t="str">
            <v>Visitas de evaluación con fines de mejoramiento</v>
          </cell>
          <cell r="Q105" t="str">
            <v>11 y 16 junio 2025 Danilo Cifuentes.pdf</v>
          </cell>
          <cell r="R105" t="str">
            <v>El colegio tiene 3 estudiantes en condición de discapacidad, cada uno cuenta con su PIAR que da cumplimiento.</v>
          </cell>
          <cell r="S105" t="str">
            <v>Continuar con los seguimientos y acompañamiento a los estudiantes con PIAR</v>
          </cell>
          <cell r="T105" t="str">
            <v>No</v>
          </cell>
          <cell r="U105" t="str">
            <v>Verificar en caso de algun reqiuerimiento o queja</v>
          </cell>
        </row>
        <row r="106">
          <cell r="A106">
            <v>1562</v>
          </cell>
          <cell r="B106"/>
          <cell r="C106" t="str">
            <v>RAFAEL URIBE URIBE</v>
          </cell>
          <cell r="D106" t="str">
            <v>PRIVADO</v>
          </cell>
          <cell r="E106" t="str">
            <v>EPBM</v>
          </cell>
          <cell r="F106" t="str">
            <v>COLEGIO_DANILO_CIFUENTES</v>
          </cell>
          <cell r="G106" t="str">
            <v>COLEGIO_DANILO_CIFUENTES</v>
          </cell>
          <cell r="H106" t="str">
            <v>Autoevaluación Institucional y Pruebas SABER 11</v>
          </cell>
          <cell r="I106" t="str">
            <v>EVALUACIÓN_CON_FINES_DE_MEJORAMIENTO.</v>
          </cell>
          <cell r="J10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6" t="str">
            <v>DORY CONSTANZA SANCHEZ ARAGÓN</v>
          </cell>
          <cell r="L106" t="str">
            <v>BEPCI YADIRA MINA ZAPATA</v>
          </cell>
          <cell r="M106">
            <v>45818</v>
          </cell>
          <cell r="N106">
            <v>45819</v>
          </cell>
          <cell r="O106">
            <v>45824</v>
          </cell>
          <cell r="P106" t="str">
            <v>Visitas de evaluación con fines de mejoramiento</v>
          </cell>
          <cell r="Q106" t="str">
            <v>11 y 16 junio 2025 Danilo Cifuentes.pdf</v>
          </cell>
          <cell r="R106" t="str">
            <v>No se evidencia aprobación del manual de convivencia, ya que no cuenta con actas de gobierno escolar. En el Manual de Convivencia no se establece un capítulo para la educación inicial y se deben incorporar los 4 enfoques</v>
          </cell>
          <cell r="S106" t="str">
            <v>La institución debe actualizar el manual de convivencia con participación del gobierno escolar. Presentar plan de mejoramiento el 8 de agosto de 2025</v>
          </cell>
          <cell r="T106" t="str">
            <v>Si</v>
          </cell>
          <cell r="U106" t="str">
            <v>Revisar PM y verificar que se ajuste a las observaciones realizadas.</v>
          </cell>
        </row>
        <row r="107">
          <cell r="A107">
            <v>1563</v>
          </cell>
          <cell r="B107"/>
          <cell r="C107" t="str">
            <v>RAFAEL URIBE URIBE</v>
          </cell>
          <cell r="D107" t="str">
            <v>PRIVADO</v>
          </cell>
          <cell r="E107" t="str">
            <v>EPBM</v>
          </cell>
          <cell r="F107" t="str">
            <v>COLEGIO_DANILO_CIFUENTES</v>
          </cell>
          <cell r="G107" t="str">
            <v>COLEGIO_DANILO_CIFUENTES</v>
          </cell>
          <cell r="H107" t="str">
            <v>Autoevaluación Institucional y Pruebas SABER 11</v>
          </cell>
          <cell r="I107" t="str">
            <v>EVALUACIÓN_CON_FINES_DE_MEJORAMIENTO.</v>
          </cell>
          <cell r="J107" t="str">
            <v>Revisar la actualización, socialización e implementación del Sistema Institucional de Evaluación de Estudiantes - SIEE, en articulación con la actualización del PEI y la normatividad vigente.</v>
          </cell>
          <cell r="K107" t="str">
            <v>DORY CONSTANZA SANCHEZ ARAGÓN</v>
          </cell>
          <cell r="L107" t="str">
            <v>BEPCI YADIRA MINA ZAPATA</v>
          </cell>
          <cell r="M107">
            <v>45818</v>
          </cell>
          <cell r="N107">
            <v>45819</v>
          </cell>
          <cell r="O107">
            <v>45824</v>
          </cell>
          <cell r="P107" t="str">
            <v>Visitas de evaluación con fines de mejoramiento</v>
          </cell>
          <cell r="Q107" t="str">
            <v>11 y 16 junio 2025 Danilo Cifuentes.pdf</v>
          </cell>
          <cell r="R107" t="str">
            <v>No presentan evidencias de la participación de la comunidad educativa en su construcción</v>
          </cell>
          <cell r="S107" t="str">
            <v>En el SIE se deben ampliar y fortalecer los criterios de evaluación y promoción. Presentar plan de mejoramiento el 8 de agosto de 2025</v>
          </cell>
          <cell r="T107" t="str">
            <v>Si</v>
          </cell>
          <cell r="U107" t="str">
            <v>Revisar PM y verificar que se ajuste a las observaciones realizadas.</v>
          </cell>
        </row>
        <row r="108">
          <cell r="A108">
            <v>1564</v>
          </cell>
          <cell r="B108"/>
          <cell r="C108" t="str">
            <v>RAFAEL URIBE URIBE</v>
          </cell>
          <cell r="D108" t="str">
            <v>PRIVADO</v>
          </cell>
          <cell r="E108" t="str">
            <v>EPBM</v>
          </cell>
          <cell r="F108" t="str">
            <v>COLEGIO_DANILO_CIFUENTES</v>
          </cell>
          <cell r="G108" t="str">
            <v>COLEGIO_DANILO_CIFUENTES</v>
          </cell>
          <cell r="H108" t="str">
            <v>Autoevaluación Institucional y Pruebas SABER 11</v>
          </cell>
          <cell r="I108" t="str">
            <v>EVALUACIÓN_CON_FINES_DE_MEJORAMIENTO.</v>
          </cell>
          <cell r="J108" t="str">
            <v>Revisar el calendario escolar, jornada escolar, la intensidad horaria mínima anual en cada nivel y las modificaciones que se realicen al mismo, de acuerdo con lo previsto en la normatividad vigente.</v>
          </cell>
          <cell r="K108" t="str">
            <v>DORY CONSTANZA SANCHEZ ARAGÓN</v>
          </cell>
          <cell r="L108" t="str">
            <v>BEPCI YADIRA MINA ZAPATA</v>
          </cell>
          <cell r="M108">
            <v>45818</v>
          </cell>
          <cell r="N108">
            <v>45819</v>
          </cell>
          <cell r="O108">
            <v>45824</v>
          </cell>
          <cell r="P108" t="str">
            <v>Visitas de evaluación con fines de mejoramiento</v>
          </cell>
          <cell r="Q108" t="str">
            <v>11 y 16 junio 2025 Danilo Cifuentes.pdf</v>
          </cell>
          <cell r="R108" t="str">
            <v>El colegio da cumplimiento total a la intensidad horaria de educación inicial y de la Educación Básica de (1° a 9°) pero no da cumplimiento a la intensidad horaria de la educación media.</v>
          </cell>
          <cell r="S108" t="str">
            <v>Ajustar el horario para dar cumplimiento a la intensidad horaria. Presentar plan de mejoramiento el 8 de agosto de 2025</v>
          </cell>
          <cell r="T108" t="str">
            <v>Si</v>
          </cell>
          <cell r="U108" t="str">
            <v>Revisar PM y verificar que se ajuste a las observaciones realizadas.</v>
          </cell>
        </row>
        <row r="109">
          <cell r="A109">
            <v>1565</v>
          </cell>
          <cell r="B109"/>
          <cell r="C109" t="str">
            <v>RAFAEL URIBE URIBE</v>
          </cell>
          <cell r="D109" t="str">
            <v>PRIVADO</v>
          </cell>
          <cell r="E109" t="str">
            <v>EPBM</v>
          </cell>
          <cell r="F109" t="str">
            <v>COLEGIO_DANILO_CIFUENTES</v>
          </cell>
          <cell r="G109" t="str">
            <v>COLEGIO_DANILO_CIFUENTES</v>
          </cell>
          <cell r="H109" t="str">
            <v>Autoevaluación Institucional y Pruebas SABER 11</v>
          </cell>
          <cell r="I109" t="str">
            <v>EVALUACIÓN_CON_FINES_DE_MEJORAMIENTO.</v>
          </cell>
          <cell r="J109" t="str">
            <v>Verificar el funcionamiento del Gobierno Escolar e instancias de participación con base en la información sobre conformación reportada por la institución educativa.</v>
          </cell>
          <cell r="K109" t="str">
            <v>DORY CONSTANZA SANCHEZ ARAGÓN</v>
          </cell>
          <cell r="L109" t="str">
            <v>BEPCI YADIRA MINA ZAPATA</v>
          </cell>
          <cell r="M109">
            <v>45818</v>
          </cell>
          <cell r="N109">
            <v>45819</v>
          </cell>
          <cell r="O109">
            <v>45824</v>
          </cell>
          <cell r="P109" t="str">
            <v>Visitas de evaluación con fines de mejoramiento</v>
          </cell>
          <cell r="Q109" t="str">
            <v>11 y 16 junio 2025 Danilo Cifuentes.pdf</v>
          </cell>
          <cell r="R109" t="str">
            <v>No se evidencian actas de funcionamiento de Gobierno Escolar</v>
          </cell>
          <cell r="S109" t="str">
            <v>Generar los espacios para el funcionamiento del gobierno escolar con sus respectivas actas. Presentar plan de mejoramiento el 8 de agosto de 2025</v>
          </cell>
          <cell r="T109" t="str">
            <v>Si</v>
          </cell>
          <cell r="U109" t="str">
            <v>Revisar PM y verificar que se ajuste a las observaciones realizadas.</v>
          </cell>
        </row>
        <row r="110">
          <cell r="A110">
            <v>1566</v>
          </cell>
          <cell r="B110"/>
          <cell r="C110" t="str">
            <v>RAFAEL URIBE URIBE</v>
          </cell>
          <cell r="D110" t="str">
            <v>PRIVADO</v>
          </cell>
          <cell r="E110" t="str">
            <v>EPBM</v>
          </cell>
          <cell r="F110" t="str">
            <v>COLEGIO_DANILO_CIFUENTES</v>
          </cell>
          <cell r="G110" t="str">
            <v>COLEGIO_DANILO_CIFUENTES</v>
          </cell>
          <cell r="H110" t="str">
            <v>Autoevaluación Institucional y Pruebas SABER 11</v>
          </cell>
          <cell r="I110" t="str">
            <v>EVALUACIÓN_CON_FINES_DE_MEJORAMIENTO.</v>
          </cell>
          <cell r="J110" t="str">
            <v>Verificar las condiciones en cuanto a: la estructura administrativa, condiciones de la planta física y medios educativos adecuados.</v>
          </cell>
          <cell r="K110" t="str">
            <v>DORY CONSTANZA SANCHEZ ARAGÓN</v>
          </cell>
          <cell r="L110" t="str">
            <v>BEPCI YADIRA MINA ZAPATA</v>
          </cell>
          <cell r="M110">
            <v>45818</v>
          </cell>
          <cell r="N110">
            <v>45819</v>
          </cell>
          <cell r="O110">
            <v>45824</v>
          </cell>
          <cell r="P110" t="str">
            <v>Visitas de evaluación con fines de mejoramiento</v>
          </cell>
          <cell r="Q110" t="str">
            <v>11 y 16 junio 2025 Danilo Cifuentes.pdf</v>
          </cell>
          <cell r="R110" t="str">
            <v>Cuenta con sede de primaria y bachillerato con licencia de funcionamiento y la sede de preescolar se encuentra en emisión de acto administrativo. Los ambientes son adecuados y sufientes.</v>
          </cell>
          <cell r="S110" t="str">
            <v>Reorganizar los estudiantes de preescolar en la sede nueva al obtener la resolución</v>
          </cell>
          <cell r="T110" t="str">
            <v>No</v>
          </cell>
          <cell r="U110" t="str">
            <v>Verificar en caso de presentarse una queja</v>
          </cell>
        </row>
        <row r="111">
          <cell r="A111">
            <v>1567</v>
          </cell>
          <cell r="B111">
            <v>12</v>
          </cell>
          <cell r="C111" t="str">
            <v>RAFAEL URIBE URIBE</v>
          </cell>
          <cell r="D111" t="str">
            <v>PRIVADO</v>
          </cell>
          <cell r="E111" t="str">
            <v>EPBM</v>
          </cell>
          <cell r="F111" t="str">
            <v>COLEGIO_HERMANOS_BELTRAN</v>
          </cell>
          <cell r="G111" t="str">
            <v>COLEGIO_HERMANOS_BELTRAN</v>
          </cell>
          <cell r="H111" t="str">
            <v>Autoevaluación Institucional y Pruebas SABER 11</v>
          </cell>
          <cell r="I111" t="str">
            <v>SEGUIMIENTO_Y_SUPERVISIÓN.</v>
          </cell>
          <cell r="J111" t="str">
            <v>Realizar visitas para verificar la información registrada sobre la autoevaluación institucional en el aplicativo EVI, a los establecimientos de educación formal no oficial.</v>
          </cell>
          <cell r="K111" t="str">
            <v>BEPCI YADIRA MINA ZAPATA</v>
          </cell>
          <cell r="L111" t="str">
            <v>DORY CONSTANZA SANCHEZ ARAGÓN</v>
          </cell>
          <cell r="M111">
            <v>45846</v>
          </cell>
          <cell r="N111">
            <v>45856</v>
          </cell>
          <cell r="O111">
            <v>45861</v>
          </cell>
          <cell r="P111" t="str">
            <v>Visitas de evaluación con fines de mejoramiento</v>
          </cell>
          <cell r="Q111" t="str">
            <v>18 y 23 Julio 2025 Col Hermanos Beltrán.pdf</v>
          </cell>
          <cell r="R111" t="str">
            <v>Se evidencia que los docentes se encuentran con contrato laboral y  pago de seguridad social.
Planta física acorde con espacios pedagogícos adecuados.</v>
          </cell>
          <cell r="S111" t="str">
            <v>Continuar con la contratación y pago de seguridad social de los docentes</v>
          </cell>
          <cell r="T111" t="str">
            <v>No</v>
          </cell>
          <cell r="U111" t="str">
            <v>Verificar en caso de algun reqiuerimiento o queja</v>
          </cell>
        </row>
        <row r="112">
          <cell r="A112">
            <v>1568</v>
          </cell>
          <cell r="B112"/>
          <cell r="C112" t="str">
            <v>RAFAEL URIBE URIBE</v>
          </cell>
          <cell r="D112" t="str">
            <v>PRIVADO</v>
          </cell>
          <cell r="E112" t="str">
            <v>EPBM</v>
          </cell>
          <cell r="F112" t="str">
            <v>COLEGIO_HERMANOS_BELTRAN</v>
          </cell>
          <cell r="G112" t="str">
            <v>COLEGIO_HERMANOS_BELTRAN</v>
          </cell>
          <cell r="H112" t="str">
            <v>Autoevaluación Institucional y Pruebas SABER 11</v>
          </cell>
          <cell r="I112" t="str">
            <v>SEGUIMIENTO_Y_SUPERVISIÓN.</v>
          </cell>
          <cell r="J112" t="str">
            <v>Proponer estrategias en la formulación, verificar su elaboración y realizar seguimiento semestral al desarrollo de  las acciones establecidas en los planes de mejoramiento por pruebas SABER 11 de los establecimientos de educación formal.</v>
          </cell>
          <cell r="K112" t="str">
            <v>BEPCI YADIRA MINA ZAPATA</v>
          </cell>
          <cell r="L112" t="str">
            <v>DORY CONSTANZA SANCHEZ ARAGÓN</v>
          </cell>
          <cell r="M112">
            <v>45846</v>
          </cell>
          <cell r="N112">
            <v>45856</v>
          </cell>
          <cell r="O112">
            <v>45861</v>
          </cell>
          <cell r="P112" t="str">
            <v>Visitas de evaluación con fines de mejoramiento</v>
          </cell>
          <cell r="Q112" t="str">
            <v>18 y 23 Julio 2025 Col Hermanos Beltrán.pdf</v>
          </cell>
          <cell r="R112"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12" t="str">
            <v>Realizar analisis de las Pruebas Saber y establecer acciones pertinentes. Presentar plan de mejoramiento el 22 de agosto de 2025</v>
          </cell>
          <cell r="T112" t="str">
            <v>Si</v>
          </cell>
          <cell r="U112" t="str">
            <v>Revisar PM y verificar que se ajuste a las observaciones realizadas.</v>
          </cell>
        </row>
        <row r="113">
          <cell r="A113">
            <v>1569</v>
          </cell>
          <cell r="B113"/>
          <cell r="C113" t="str">
            <v>RAFAEL URIBE URIBE</v>
          </cell>
          <cell r="D113" t="str">
            <v>PRIVADO</v>
          </cell>
          <cell r="E113" t="str">
            <v>EPBM</v>
          </cell>
          <cell r="F113" t="str">
            <v>COLEGIO_HERMANOS_BELTRAN</v>
          </cell>
          <cell r="G113" t="str">
            <v>COLEGIO_HERMANOS_BELTRAN</v>
          </cell>
          <cell r="H113" t="str">
            <v>Autoevaluación Institucional y Pruebas SABER 11</v>
          </cell>
          <cell r="I113" t="str">
            <v>SEGUIMIENTO_Y_SUPERVISIÓN.</v>
          </cell>
          <cell r="J113" t="str">
            <v xml:space="preserve">Verificar la implementación por parte de los colegios, de acciones realizadas para la prevención y atención de las situaciones de convivencia en el entorno escolar, según lo establecido en la Directiva 01 de 2022 del MEN. </v>
          </cell>
          <cell r="K113" t="str">
            <v>BEPCI YADIRA MINA ZAPATA</v>
          </cell>
          <cell r="L113" t="str">
            <v>DORY CONSTANZA SANCHEZ ARAGÓN</v>
          </cell>
          <cell r="M113">
            <v>45846</v>
          </cell>
          <cell r="N113">
            <v>45856</v>
          </cell>
          <cell r="O113">
            <v>45861</v>
          </cell>
          <cell r="P113" t="str">
            <v>Visitas de evaluación con fines de mejoramiento</v>
          </cell>
          <cell r="Q113" t="str">
            <v>18 y 23 Julio 2025 Col Hermanos Beltrán.pdf</v>
          </cell>
          <cell r="R113" t="str">
            <v>La institución cuenta con actas donde se evidencie el funcionamiento del comité de convivencia escolar.
No cuenta con verificacion de inhabilidadades por delitos sexuales</v>
          </cell>
          <cell r="S113" t="str">
            <v>Se debe realizar verificación de antecedente cada 4 meses. Presentar plan de mejoramiento el 22 de agosto de 2025</v>
          </cell>
          <cell r="T113" t="str">
            <v>Si</v>
          </cell>
          <cell r="U113" t="str">
            <v>Revisar PM y verificar que se ajuste a las observaciones realizadas.</v>
          </cell>
        </row>
        <row r="114">
          <cell r="A114">
            <v>1570</v>
          </cell>
          <cell r="B114"/>
          <cell r="C114" t="str">
            <v>RAFAEL URIBE URIBE</v>
          </cell>
          <cell r="D114" t="str">
            <v>PRIVADO</v>
          </cell>
          <cell r="E114" t="str">
            <v>EPBM</v>
          </cell>
          <cell r="F114" t="str">
            <v>COLEGIO_HERMANOS_BELTRAN</v>
          </cell>
          <cell r="G114" t="str">
            <v>COLEGIO_HERMANOS_BELTRAN</v>
          </cell>
          <cell r="H114" t="str">
            <v>Autoevaluación Institucional y Pruebas SABER 11</v>
          </cell>
          <cell r="I114" t="str">
            <v>SEGUIMIENTO_Y_SUPERVISIÓN.</v>
          </cell>
          <cell r="J11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4" t="str">
            <v>BEPCI YADIRA MINA ZAPATA</v>
          </cell>
          <cell r="L114" t="str">
            <v>DORY CONSTANZA SANCHEZ ARAGÓN</v>
          </cell>
          <cell r="M114">
            <v>45846</v>
          </cell>
          <cell r="N114">
            <v>45856</v>
          </cell>
          <cell r="O114">
            <v>45861</v>
          </cell>
          <cell r="P114" t="str">
            <v>Visitas de evaluación con fines de mejoramiento</v>
          </cell>
          <cell r="Q114" t="str">
            <v>18 y 23 Julio 2025 Col Hermanos Beltrán.pdf</v>
          </cell>
          <cell r="R114" t="str">
            <v>Los PIAR están diseñados para cada estudiante, están muy bien estructurados, en ellos se proponen estrategías pedagógicas claras y muy bien definidas para cada caso</v>
          </cell>
          <cell r="S114" t="str">
            <v>Continuar con los seguimientos y acompañamiento a los estudiantes con PIAR</v>
          </cell>
          <cell r="T114" t="str">
            <v>No</v>
          </cell>
          <cell r="U114" t="str">
            <v>Verificar en caso de algun reqiuerimiento o queja</v>
          </cell>
        </row>
        <row r="115">
          <cell r="A115">
            <v>1571</v>
          </cell>
          <cell r="B115"/>
          <cell r="C115" t="str">
            <v>RAFAEL URIBE URIBE</v>
          </cell>
          <cell r="D115" t="str">
            <v>PRIVADO</v>
          </cell>
          <cell r="E115" t="str">
            <v>EPBM</v>
          </cell>
          <cell r="F115" t="str">
            <v>COLEGIO_HERMANOS_BELTRAN</v>
          </cell>
          <cell r="G115" t="str">
            <v>COLEGIO_HERMANOS_BELTRAN</v>
          </cell>
          <cell r="H115" t="str">
            <v>Autoevaluación Institucional y Pruebas SABER 11</v>
          </cell>
          <cell r="I115" t="str">
            <v>EVALUACIÓN_CON_FINES_DE_MEJORAMIENTO.</v>
          </cell>
          <cell r="J11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5" t="str">
            <v>BEPCI YADIRA MINA ZAPATA</v>
          </cell>
          <cell r="L115" t="str">
            <v>DORY CONSTANZA SANCHEZ ARAGÓN</v>
          </cell>
          <cell r="M115">
            <v>45846</v>
          </cell>
          <cell r="N115">
            <v>45856</v>
          </cell>
          <cell r="O115">
            <v>45861</v>
          </cell>
          <cell r="P115" t="str">
            <v>Visitas de evaluación con fines de mejoramiento</v>
          </cell>
          <cell r="Q115" t="str">
            <v>18 y 23 Julio 2025 Col Hermanos Beltrán.pdf</v>
          </cell>
          <cell r="R115" t="str">
            <v>El manual no cuenta con todos los aspectos establecidos en la normatividad vigente</v>
          </cell>
          <cell r="S115" t="str">
            <v>La institución debe actualizar el manual de convivencia con participación del gobierno escolar. Presentar plan de mejoramiento el 22 de agosto de 2025</v>
          </cell>
          <cell r="T115" t="str">
            <v>Si</v>
          </cell>
          <cell r="U115" t="str">
            <v>Revisar PM y verificar que se ajuste a las observaciones realizadas.</v>
          </cell>
        </row>
        <row r="116">
          <cell r="A116">
            <v>1572</v>
          </cell>
          <cell r="B116"/>
          <cell r="C116" t="str">
            <v>RAFAEL URIBE URIBE</v>
          </cell>
          <cell r="D116" t="str">
            <v>PRIVADO</v>
          </cell>
          <cell r="E116" t="str">
            <v>EPBM</v>
          </cell>
          <cell r="F116" t="str">
            <v>COLEGIO_HERMANOS_BELTRAN</v>
          </cell>
          <cell r="G116" t="str">
            <v>COLEGIO_HERMANOS_BELTRAN</v>
          </cell>
          <cell r="H116" t="str">
            <v>Autoevaluación Institucional y Pruebas SABER 11</v>
          </cell>
          <cell r="I116" t="str">
            <v>EVALUACIÓN_CON_FINES_DE_MEJORAMIENTO.</v>
          </cell>
          <cell r="J116" t="str">
            <v>Revisar la actualización, socialización e implementación del Sistema Institucional de Evaluación de Estudiantes - SIEE, en articulación con la actualización del PEI y la normatividad vigente.</v>
          </cell>
          <cell r="K116" t="str">
            <v>BEPCI YADIRA MINA ZAPATA</v>
          </cell>
          <cell r="L116" t="str">
            <v>DORY CONSTANZA SANCHEZ ARAGÓN</v>
          </cell>
          <cell r="M116">
            <v>45846</v>
          </cell>
          <cell r="N116">
            <v>45856</v>
          </cell>
          <cell r="O116">
            <v>45861</v>
          </cell>
          <cell r="P116" t="str">
            <v>Visitas de evaluación con fines de mejoramiento</v>
          </cell>
          <cell r="Q116" t="str">
            <v>18 y 23 Julio 2025 Col Hermanos Beltrán.pdf</v>
          </cell>
          <cell r="R116" t="str">
            <v>No presentan evidencias de la participación de la comunidad educativa en su construcción</v>
          </cell>
          <cell r="S116" t="str">
            <v>En el SIE se deben ampliar y fortalecer los criterios de evaluación y promoción. Presentar plan de mejoramiento el 22 de agosto de 2025</v>
          </cell>
          <cell r="T116" t="str">
            <v>Si</v>
          </cell>
          <cell r="U116" t="str">
            <v>Revisar PM y verificar que se ajuste a las observaciones realizadas.</v>
          </cell>
        </row>
        <row r="117">
          <cell r="A117">
            <v>1573</v>
          </cell>
          <cell r="B117"/>
          <cell r="C117" t="str">
            <v>RAFAEL URIBE URIBE</v>
          </cell>
          <cell r="D117" t="str">
            <v>PRIVADO</v>
          </cell>
          <cell r="E117" t="str">
            <v>EPBM</v>
          </cell>
          <cell r="F117" t="str">
            <v>COLEGIO_HERMANOS_BELTRAN</v>
          </cell>
          <cell r="G117" t="str">
            <v>COLEGIO_HERMANOS_BELTRAN</v>
          </cell>
          <cell r="H117" t="str">
            <v>Autoevaluación Institucional y Pruebas SABER 11</v>
          </cell>
          <cell r="I117" t="str">
            <v>EVALUACIÓN_CON_FINES_DE_MEJORAMIENTO.</v>
          </cell>
          <cell r="J117" t="str">
            <v>Revisar el calendario escolar, jornada escolar, la intensidad horaria mínima anual en cada nivel y las modificaciones que se realicen al mismo, de acuerdo con lo previsto en la normatividad vigente.</v>
          </cell>
          <cell r="K117" t="str">
            <v>BEPCI YADIRA MINA ZAPATA</v>
          </cell>
          <cell r="L117" t="str">
            <v>DORY CONSTANZA SANCHEZ ARAGÓN</v>
          </cell>
          <cell r="M117">
            <v>45846</v>
          </cell>
          <cell r="N117">
            <v>45856</v>
          </cell>
          <cell r="O117">
            <v>45861</v>
          </cell>
          <cell r="P117" t="str">
            <v>Visitas de evaluación con fines de mejoramiento</v>
          </cell>
          <cell r="Q117" t="str">
            <v>18 y 23 Julio 2025 Col Hermanos Beltrán.pdf</v>
          </cell>
          <cell r="R117" t="str">
            <v>Los tiempos propuestos en el Calendario Académico el colegio da cumplimiento a la intensidad horaria mínima requerida desde la normatividad vigente.</v>
          </cell>
          <cell r="S117" t="str">
            <v>Dar cumplimiento a lo establecido en el calendario</v>
          </cell>
          <cell r="T117" t="str">
            <v>No</v>
          </cell>
          <cell r="U117" t="str">
            <v>Verificar en caso de presentarse una queja</v>
          </cell>
        </row>
        <row r="118">
          <cell r="A118">
            <v>1574</v>
          </cell>
          <cell r="B118"/>
          <cell r="C118" t="str">
            <v>RAFAEL URIBE URIBE</v>
          </cell>
          <cell r="D118" t="str">
            <v>PRIVADO</v>
          </cell>
          <cell r="E118" t="str">
            <v>EPBM</v>
          </cell>
          <cell r="F118" t="str">
            <v>COLEGIO_HERMANOS_BELTRAN</v>
          </cell>
          <cell r="G118" t="str">
            <v>COLEGIO_HERMANOS_BELTRAN</v>
          </cell>
          <cell r="H118" t="str">
            <v>Autoevaluación Institucional y Pruebas SABER 11</v>
          </cell>
          <cell r="I118" t="str">
            <v>EVALUACIÓN_CON_FINES_DE_MEJORAMIENTO.</v>
          </cell>
          <cell r="J118" t="str">
            <v>Verificar el funcionamiento del Gobierno Escolar e instancias de participación con base en la información sobre conformación reportada por la institución educativa.</v>
          </cell>
          <cell r="K118" t="str">
            <v>BEPCI YADIRA MINA ZAPATA</v>
          </cell>
          <cell r="L118" t="str">
            <v>DORY CONSTANZA SANCHEZ ARAGÓN</v>
          </cell>
          <cell r="M118">
            <v>45846</v>
          </cell>
          <cell r="N118">
            <v>45856</v>
          </cell>
          <cell r="O118">
            <v>45861</v>
          </cell>
          <cell r="P118" t="str">
            <v>Visitas de evaluación con fines de mejoramiento</v>
          </cell>
          <cell r="Q118" t="str">
            <v>18 y 23 Julio 2025 Col Hermanos Beltrán.pdf</v>
          </cell>
          <cell r="R118" t="str">
            <v>No se evidencian actas de funcionamiento de Gobierno Escolar</v>
          </cell>
          <cell r="S118" t="str">
            <v>Generar los espacios para el funcionamiento del gobierno escolar con sus respectivas actas. Presentar plan de mejoramiento el 22 de agosto de 2025</v>
          </cell>
          <cell r="T118" t="str">
            <v>Si</v>
          </cell>
          <cell r="U118" t="str">
            <v>Revisar PM y verificar que se ajuste a las observaciones realizadas.</v>
          </cell>
        </row>
        <row r="119">
          <cell r="A119">
            <v>1575</v>
          </cell>
          <cell r="B119"/>
          <cell r="C119" t="str">
            <v>RAFAEL URIBE URIBE</v>
          </cell>
          <cell r="D119" t="str">
            <v>PRIVADO</v>
          </cell>
          <cell r="E119" t="str">
            <v>EPBM</v>
          </cell>
          <cell r="F119" t="str">
            <v>COLEGIO_HERMANOS_BELTRAN</v>
          </cell>
          <cell r="G119" t="str">
            <v>COLEGIO_HERMANOS_BELTRAN</v>
          </cell>
          <cell r="H119" t="str">
            <v>Autoevaluación Institucional y Pruebas SABER 11</v>
          </cell>
          <cell r="I119" t="str">
            <v>EVALUACIÓN_CON_FINES_DE_MEJORAMIENTO.</v>
          </cell>
          <cell r="J119" t="str">
            <v>Verificar las condiciones en cuanto a: la estructura administrativa, condiciones de la planta física y medios educativos adecuados.</v>
          </cell>
          <cell r="K119" t="str">
            <v>BEPCI YADIRA MINA ZAPATA</v>
          </cell>
          <cell r="L119" t="str">
            <v>DORY CONSTANZA SANCHEZ ARAGÓN</v>
          </cell>
          <cell r="M119">
            <v>45846</v>
          </cell>
          <cell r="N119">
            <v>45856</v>
          </cell>
          <cell r="O119">
            <v>45861</v>
          </cell>
          <cell r="P119" t="str">
            <v>Visitas de evaluación con fines de mejoramiento</v>
          </cell>
          <cell r="Q119" t="str">
            <v>18 y 23 Julio 2025 Col Hermanos Beltrán.pdf</v>
          </cell>
          <cell r="R119" t="str">
            <v>Cuenta con 2 sedes con licencia de funcionamiento. Los ambientes son adecuados y sufientes.</v>
          </cell>
          <cell r="S119" t="str">
            <v>Se evidencio que la institución cuenta con ambientes de aprendizaje adecuados, con buena iluminación y ventilación</v>
          </cell>
          <cell r="T119" t="str">
            <v>No</v>
          </cell>
          <cell r="U119" t="str">
            <v>Verificar en caso de presentarse una queja</v>
          </cell>
        </row>
        <row r="120">
          <cell r="A120">
            <v>1576</v>
          </cell>
          <cell r="B120">
            <v>13</v>
          </cell>
          <cell r="C120" t="str">
            <v>RAFAEL URIBE URIBE</v>
          </cell>
          <cell r="D120" t="str">
            <v>PRIVADO</v>
          </cell>
          <cell r="E120" t="str">
            <v>EPBM</v>
          </cell>
          <cell r="F120" t="str">
            <v>FUNDACION_COLEGIO_PRINCIPIO_DE_SABIDURIA</v>
          </cell>
          <cell r="G120" t="str">
            <v>FUNDACION_COLEGIO_PRINCIPIO_DE_SABIDURIA</v>
          </cell>
          <cell r="H120" t="str">
            <v>Autoevaluación Institucional y Pruebas SABER 11</v>
          </cell>
          <cell r="I120" t="str">
            <v>SEGUIMIENTO_Y_SUPERVISIÓN.</v>
          </cell>
          <cell r="J120" t="str">
            <v>Realizar visitas para verificar la información registrada sobre la autoevaluación institucional en el aplicativo EVI, a los establecimientos de educación formal no oficial.</v>
          </cell>
          <cell r="K120" t="str">
            <v>BEPCI YADIRA MINA ZAPATA</v>
          </cell>
          <cell r="L120" t="str">
            <v>DORY CONSTANZA SANCHEZ ARAGÓN</v>
          </cell>
          <cell r="M120">
            <v>45854</v>
          </cell>
          <cell r="N120">
            <v>45854</v>
          </cell>
          <cell r="O120">
            <v>45855</v>
          </cell>
          <cell r="P120" t="str">
            <v>Visitas de evaluación con fines de mejoramiento</v>
          </cell>
          <cell r="Q120" t="str">
            <v>15 y 17 Julio 2025 Principio Sabiduría.pdf</v>
          </cell>
          <cell r="R120" t="str">
            <v>Se evidencia que los docentes se encuentran con contrato laboral y  pago de seguridad social.
Planta física acorde con espacios pedagogícos adecuados.</v>
          </cell>
          <cell r="S120" t="str">
            <v>Continuar con la contratación y pago de seguridad social de los docentes</v>
          </cell>
          <cell r="T120" t="str">
            <v>No</v>
          </cell>
          <cell r="U120" t="str">
            <v>Verificar en caso de algun reqiuerimiento o queja</v>
          </cell>
        </row>
        <row r="121">
          <cell r="A121">
            <v>1577</v>
          </cell>
          <cell r="B121"/>
          <cell r="C121" t="str">
            <v>RAFAEL URIBE URIBE</v>
          </cell>
          <cell r="D121" t="str">
            <v>PRIVADO</v>
          </cell>
          <cell r="E121" t="str">
            <v>EPBM</v>
          </cell>
          <cell r="F121" t="str">
            <v>FUNDACION_COLEGIO_PRINCIPIO_DE_SABIDURIA</v>
          </cell>
          <cell r="G121" t="str">
            <v>FUNDACION_COLEGIO_PRINCIPIO_DE_SABIDURIA</v>
          </cell>
          <cell r="H121" t="str">
            <v>Autoevaluación Institucional y Pruebas SABER 11</v>
          </cell>
          <cell r="I121" t="str">
            <v>SEGUIMIENTO_Y_SUPERVISIÓN.</v>
          </cell>
          <cell r="J121" t="str">
            <v>Proponer estrategias en la formulación, verificar su elaboración y realizar seguimiento semestral al desarrollo de  las acciones establecidas en los planes de mejoramiento por pruebas SABER 11 de los establecimientos de educación formal.</v>
          </cell>
          <cell r="K121" t="str">
            <v>BEPCI YADIRA MINA ZAPATA</v>
          </cell>
          <cell r="L121" t="str">
            <v>DORY CONSTANZA SANCHEZ ARAGÓN</v>
          </cell>
          <cell r="M121">
            <v>45854</v>
          </cell>
          <cell r="N121">
            <v>45854</v>
          </cell>
          <cell r="O121">
            <v>45855</v>
          </cell>
          <cell r="P121" t="str">
            <v>Visitas de evaluación con fines de mejoramiento</v>
          </cell>
          <cell r="Q121" t="str">
            <v>15 y 17 Julio 2025 Principio Sabiduría.pdf</v>
          </cell>
          <cell r="R121"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21" t="str">
            <v>Realizar analisis de las Pruebas Saber y establecer acciones pertinentes. Presentar plan de mejoramiento el 15 de agosto de 2025</v>
          </cell>
          <cell r="T121" t="str">
            <v>Si</v>
          </cell>
          <cell r="U121" t="str">
            <v>Revisar PM y verificar que se ajuste a las observaciones realizadas.</v>
          </cell>
        </row>
        <row r="122">
          <cell r="A122">
            <v>1578</v>
          </cell>
          <cell r="B122"/>
          <cell r="C122" t="str">
            <v>RAFAEL URIBE URIBE</v>
          </cell>
          <cell r="D122" t="str">
            <v>PRIVADO</v>
          </cell>
          <cell r="E122" t="str">
            <v>EPBM</v>
          </cell>
          <cell r="F122" t="str">
            <v>FUNDACION_COLEGIO_PRINCIPIO_DE_SABIDURIA</v>
          </cell>
          <cell r="G122" t="str">
            <v>FUNDACION_COLEGIO_PRINCIPIO_DE_SABIDURIA</v>
          </cell>
          <cell r="H122" t="str">
            <v>Autoevaluación Institucional y Pruebas SABER 11</v>
          </cell>
          <cell r="I122" t="str">
            <v>SEGUIMIENTO_Y_SUPERVISIÓN.</v>
          </cell>
          <cell r="J122" t="str">
            <v xml:space="preserve">Verificar la implementación por parte de los colegios, de acciones realizadas para la prevención y atención de las situaciones de convivencia en el entorno escolar, según lo establecido en la Directiva 01 de 2022 del MEN. </v>
          </cell>
          <cell r="K122" t="str">
            <v>BEPCI YADIRA MINA ZAPATA</v>
          </cell>
          <cell r="L122" t="str">
            <v>DORY CONSTANZA SANCHEZ ARAGÓN</v>
          </cell>
          <cell r="M122">
            <v>45854</v>
          </cell>
          <cell r="N122">
            <v>45854</v>
          </cell>
          <cell r="O122">
            <v>45855</v>
          </cell>
          <cell r="P122" t="str">
            <v>Visitas de evaluación con fines de mejoramiento</v>
          </cell>
          <cell r="Q122" t="str">
            <v>15 y 17 Julio 2025 Principio Sabiduría.pdf</v>
          </cell>
          <cell r="R122" t="str">
            <v>La institución cuentan con actas donde se evidencie el funcionamiento del comité de convivencia escolar.
Se verificó a los docentes  inhabilidadades por delitos sexuales cada 4 meses</v>
          </cell>
          <cell r="S122" t="str">
            <v>Contituar con la verificación de inhabilidades cada 4 meses</v>
          </cell>
          <cell r="T122" t="str">
            <v>No</v>
          </cell>
          <cell r="U122" t="str">
            <v>Verificar en caso de presentarse una queja</v>
          </cell>
        </row>
        <row r="123">
          <cell r="A123">
            <v>1579</v>
          </cell>
          <cell r="B123"/>
          <cell r="C123" t="str">
            <v>RAFAEL URIBE URIBE</v>
          </cell>
          <cell r="D123" t="str">
            <v>PRIVADO</v>
          </cell>
          <cell r="E123" t="str">
            <v>EPBM</v>
          </cell>
          <cell r="F123" t="str">
            <v>FUNDACION_COLEGIO_PRINCIPIO_DE_SABIDURIA</v>
          </cell>
          <cell r="G123" t="str">
            <v>FUNDACION_COLEGIO_PRINCIPIO_DE_SABIDURIA</v>
          </cell>
          <cell r="H123" t="str">
            <v>Autoevaluación Institucional y Pruebas SABER 11</v>
          </cell>
          <cell r="I123" t="str">
            <v>SEGUIMIENTO_Y_SUPERVISIÓN.</v>
          </cell>
          <cell r="J12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3" t="str">
            <v>BEPCI YADIRA MINA ZAPATA</v>
          </cell>
          <cell r="L123" t="str">
            <v>DORY CONSTANZA SANCHEZ ARAGÓN</v>
          </cell>
          <cell r="M123">
            <v>45854</v>
          </cell>
          <cell r="N123">
            <v>45854</v>
          </cell>
          <cell r="O123">
            <v>45855</v>
          </cell>
          <cell r="P123" t="str">
            <v>Visitas de evaluación con fines de mejoramiento</v>
          </cell>
          <cell r="Q123" t="str">
            <v>15 y 17 Julio 2025 Principio Sabiduría.pdf</v>
          </cell>
          <cell r="R123" t="str">
            <v>El colegio tiene muy bien diseñados los PIAR, tienen un exvelente seguimeinto a los estudiantes, las adapatciones curriculares responden a las necesidades de cda uno de ellos</v>
          </cell>
          <cell r="S123" t="str">
            <v>Continuar con los seguimientos y acompañamiento a los estudiantes con PIAR</v>
          </cell>
          <cell r="T123" t="str">
            <v>No</v>
          </cell>
          <cell r="U123" t="str">
            <v>Verificar en caso de algun reqiuerimiento o queja</v>
          </cell>
        </row>
        <row r="124">
          <cell r="A124">
            <v>1580</v>
          </cell>
          <cell r="B124"/>
          <cell r="C124" t="str">
            <v>RAFAEL URIBE URIBE</v>
          </cell>
          <cell r="D124" t="str">
            <v>PRIVADO</v>
          </cell>
          <cell r="E124" t="str">
            <v>EPBM</v>
          </cell>
          <cell r="F124" t="str">
            <v>FUNDACION_COLEGIO_PRINCIPIO_DE_SABIDURIA</v>
          </cell>
          <cell r="G124" t="str">
            <v>FUNDACION_COLEGIO_PRINCIPIO_DE_SABIDURIA</v>
          </cell>
          <cell r="H124" t="str">
            <v>Autoevaluación Institucional y Pruebas SABER 11</v>
          </cell>
          <cell r="I124" t="str">
            <v>EVALUACIÓN_CON_FINES_DE_MEJORAMIENTO.</v>
          </cell>
          <cell r="J12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4" t="str">
            <v>BEPCI YADIRA MINA ZAPATA</v>
          </cell>
          <cell r="L124" t="str">
            <v>DORY CONSTANZA SANCHEZ ARAGÓN</v>
          </cell>
          <cell r="M124">
            <v>45854</v>
          </cell>
          <cell r="N124">
            <v>45854</v>
          </cell>
          <cell r="O124">
            <v>45855</v>
          </cell>
          <cell r="P124" t="str">
            <v>Visitas de evaluación con fines de mejoramiento</v>
          </cell>
          <cell r="Q124" t="str">
            <v>15 y 17 Julio 2025 Principio Sabiduría.pdf</v>
          </cell>
          <cell r="R124" t="str">
            <v>El colegio viene haciendo un trabajo muy interesante en la actualziación del manual de convivencia involucrando los 4 enfoques, es de resaltar el enfoque de justicia restaurativa ya que este es el pilar de la institución.</v>
          </cell>
          <cell r="S124" t="str">
            <v>Es necesario actualizar el manual de convivencia con debido proceso convivencial y disciplinar. Presentar plan de mejoramiento el 15 de agosto de 2025</v>
          </cell>
          <cell r="T124" t="str">
            <v>Si</v>
          </cell>
          <cell r="U124" t="str">
            <v>Revisar PM y verificar que se ajuste a las observaciones realizadas.</v>
          </cell>
        </row>
        <row r="125">
          <cell r="A125">
            <v>1581</v>
          </cell>
          <cell r="B125"/>
          <cell r="C125" t="str">
            <v>RAFAEL URIBE URIBE</v>
          </cell>
          <cell r="D125" t="str">
            <v>PRIVADO</v>
          </cell>
          <cell r="E125" t="str">
            <v>EPBM</v>
          </cell>
          <cell r="F125" t="str">
            <v>FUNDACION_COLEGIO_PRINCIPIO_DE_SABIDURIA</v>
          </cell>
          <cell r="G125" t="str">
            <v>FUNDACION_COLEGIO_PRINCIPIO_DE_SABIDURIA</v>
          </cell>
          <cell r="H125" t="str">
            <v>Autoevaluación Institucional y Pruebas SABER 11</v>
          </cell>
          <cell r="I125" t="str">
            <v>EVALUACIÓN_CON_FINES_DE_MEJORAMIENTO.</v>
          </cell>
          <cell r="J125" t="str">
            <v>Revisar la actualización, socialización e implementación del Sistema Institucional de Evaluación de Estudiantes - SIEE, en articulación con la actualización del PEI y la normatividad vigente.</v>
          </cell>
          <cell r="K125" t="str">
            <v>BEPCI YADIRA MINA ZAPATA</v>
          </cell>
          <cell r="L125" t="str">
            <v>DORY CONSTANZA SANCHEZ ARAGÓN</v>
          </cell>
          <cell r="M125">
            <v>45854</v>
          </cell>
          <cell r="N125">
            <v>45854</v>
          </cell>
          <cell r="O125">
            <v>45855</v>
          </cell>
          <cell r="P125" t="str">
            <v>Visitas de evaluación con fines de mejoramiento</v>
          </cell>
          <cell r="Q125" t="str">
            <v>15 y 17 Julio 2025 Principio Sabiduría.pdf</v>
          </cell>
          <cell r="R125" t="str">
            <v>El colegio hace seguimiento a cada uno de los estaudiantes en su proceso académico tal como lo tiene definido en el SIEE, es de destacar en la institución  que tienen diseñada estrategias muy valiosas que permiten el proceso de resocialización de los niños, nilños y adolescentes, esto implica que el colegio hace un acompañamiento exhaustivo a sus estudiantes</v>
          </cell>
          <cell r="S125" t="str">
            <v>El SIEE se enceuntra articulado con el PEI y la normatividad vigente</v>
          </cell>
          <cell r="T125" t="str">
            <v>No</v>
          </cell>
          <cell r="U125" t="str">
            <v>Verificar en caso de una queja</v>
          </cell>
        </row>
        <row r="126">
          <cell r="A126">
            <v>1582</v>
          </cell>
          <cell r="B126"/>
          <cell r="C126" t="str">
            <v>RAFAEL URIBE URIBE</v>
          </cell>
          <cell r="D126" t="str">
            <v>PRIVADO</v>
          </cell>
          <cell r="E126" t="str">
            <v>EPBM</v>
          </cell>
          <cell r="F126" t="str">
            <v>FUNDACION_COLEGIO_PRINCIPIO_DE_SABIDURIA</v>
          </cell>
          <cell r="G126" t="str">
            <v>FUNDACION_COLEGIO_PRINCIPIO_DE_SABIDURIA</v>
          </cell>
          <cell r="H126" t="str">
            <v>Autoevaluación Institucional y Pruebas SABER 11</v>
          </cell>
          <cell r="I126" t="str">
            <v>EVALUACIÓN_CON_FINES_DE_MEJORAMIENTO.</v>
          </cell>
          <cell r="J126" t="str">
            <v>Revisar el calendario escolar, jornada escolar, la intensidad horaria mínima anual en cada nivel y las modificaciones que se realicen al mismo, de acuerdo con lo previsto en la normatividad vigente.</v>
          </cell>
          <cell r="K126" t="str">
            <v>BEPCI YADIRA MINA ZAPATA</v>
          </cell>
          <cell r="L126" t="str">
            <v>DORY CONSTANZA SANCHEZ ARAGÓN</v>
          </cell>
          <cell r="M126">
            <v>45854</v>
          </cell>
          <cell r="N126">
            <v>45854</v>
          </cell>
          <cell r="O126">
            <v>45855</v>
          </cell>
          <cell r="P126" t="str">
            <v>Visitas de evaluación con fines de mejoramiento</v>
          </cell>
          <cell r="Q126" t="str">
            <v>15 y 17 Julio 2025 Principio Sabiduría.pdf</v>
          </cell>
          <cell r="R126" t="str">
            <v xml:space="preserve">El colegio cuenta con 5 horas 30 minutos de trabajo efectivo con los estudinates, esto indica que en preescolar y en Básica Primaria el colegio oferta 1100 horas anuales, en Bachillerato se debe revisar un ajuste en la I.H. </v>
          </cell>
          <cell r="S126" t="str">
            <v>Ajustar el horario para dar cumplimiento a la intensidad horaria. Presentar plan de mejoramiento el 15 de agosto de 2025</v>
          </cell>
          <cell r="T126" t="str">
            <v>Si</v>
          </cell>
          <cell r="U126" t="str">
            <v>Revisar PM y verificar que se ajuste a las observaciones realizadas.</v>
          </cell>
        </row>
        <row r="127">
          <cell r="A127">
            <v>1583</v>
          </cell>
          <cell r="B127"/>
          <cell r="C127" t="str">
            <v>RAFAEL URIBE URIBE</v>
          </cell>
          <cell r="D127" t="str">
            <v>PRIVADO</v>
          </cell>
          <cell r="E127" t="str">
            <v>EPBM</v>
          </cell>
          <cell r="F127" t="str">
            <v>FUNDACION_COLEGIO_PRINCIPIO_DE_SABIDURIA</v>
          </cell>
          <cell r="G127" t="str">
            <v>FUNDACION_COLEGIO_PRINCIPIO_DE_SABIDURIA</v>
          </cell>
          <cell r="H127" t="str">
            <v>Autoevaluación Institucional y Pruebas SABER 11</v>
          </cell>
          <cell r="I127" t="str">
            <v>EVALUACIÓN_CON_FINES_DE_MEJORAMIENTO.</v>
          </cell>
          <cell r="J127" t="str">
            <v>Verificar el funcionamiento del Gobierno Escolar e instancias de participación con base en la información sobre conformación reportada por la institución educativa.</v>
          </cell>
          <cell r="K127" t="str">
            <v>BEPCI YADIRA MINA ZAPATA</v>
          </cell>
          <cell r="L127" t="str">
            <v>DORY CONSTANZA SANCHEZ ARAGÓN</v>
          </cell>
          <cell r="M127">
            <v>45854</v>
          </cell>
          <cell r="N127">
            <v>45854</v>
          </cell>
          <cell r="O127">
            <v>45855</v>
          </cell>
          <cell r="P127" t="str">
            <v>Visitas de evaluación con fines de mejoramiento</v>
          </cell>
          <cell r="Q127" t="str">
            <v>15 y 17 Julio 2025 Principio Sabiduría.pdf</v>
          </cell>
          <cell r="R127" t="str">
            <v>Se evidencian actas de funcionamiento de los organos del Gobierno Escolar e instancias de participación.</v>
          </cell>
          <cell r="S127" t="str">
            <v>Continuar con las reuniones de los organos del Gobierno Escolar e instancias de participación con las respectivas actas.</v>
          </cell>
          <cell r="T127" t="str">
            <v>No</v>
          </cell>
          <cell r="U127" t="str">
            <v>Verificar en caso de presentarse una queja</v>
          </cell>
        </row>
        <row r="128">
          <cell r="A128">
            <v>1584</v>
          </cell>
          <cell r="B128"/>
          <cell r="C128" t="str">
            <v>RAFAEL URIBE URIBE</v>
          </cell>
          <cell r="D128" t="str">
            <v>PRIVADO</v>
          </cell>
          <cell r="E128" t="str">
            <v>EPBM</v>
          </cell>
          <cell r="F128" t="str">
            <v>FUNDACION_COLEGIO_PRINCIPIO_DE_SABIDURIA</v>
          </cell>
          <cell r="G128" t="str">
            <v>FUNDACION_COLEGIO_PRINCIPIO_DE_SABIDURIA</v>
          </cell>
          <cell r="H128" t="str">
            <v>Autoevaluación Institucional y Pruebas SABER 11</v>
          </cell>
          <cell r="I128" t="str">
            <v>EVALUACIÓN_CON_FINES_DE_MEJORAMIENTO.</v>
          </cell>
          <cell r="J128" t="str">
            <v>Verificar las condiciones en cuanto a: la estructura administrativa, condiciones de la planta física y medios educativos adecuados.</v>
          </cell>
          <cell r="K128" t="str">
            <v>BEPCI YADIRA MINA ZAPATA</v>
          </cell>
          <cell r="L128" t="str">
            <v>DORY CONSTANZA SANCHEZ ARAGÓN</v>
          </cell>
          <cell r="M128">
            <v>45854</v>
          </cell>
          <cell r="N128">
            <v>45854</v>
          </cell>
          <cell r="O128">
            <v>45855</v>
          </cell>
          <cell r="P128" t="str">
            <v>Visitas de evaluación con fines de mejoramiento</v>
          </cell>
          <cell r="Q128" t="str">
            <v>15 y 17 Julio 2025 Principio Sabiduría.pdf</v>
          </cell>
          <cell r="R128" t="str">
            <v>Cuenta con 1 sede de 3 pisos, con 11 aulas, oficinas (rectoria, coordinaciones, orientación), enfermeria, laboratorios, sala sistemas, zona recreativa</v>
          </cell>
          <cell r="S128" t="str">
            <v>Se evidencio que la institución cuenta con ambientes de aprendizaje adecuados, con buena iluminación y ventilación</v>
          </cell>
          <cell r="T128" t="str">
            <v>No</v>
          </cell>
          <cell r="U128" t="str">
            <v>Verificar en caso de presentarse una queja</v>
          </cell>
        </row>
        <row r="129">
          <cell r="A129">
            <v>1585</v>
          </cell>
          <cell r="B129">
            <v>14</v>
          </cell>
          <cell r="C129" t="str">
            <v>RAFAEL URIBE URIBE</v>
          </cell>
          <cell r="D129" t="str">
            <v>PRIVADO</v>
          </cell>
          <cell r="E129" t="str">
            <v>EPBM</v>
          </cell>
          <cell r="F129" t="str">
            <v>COLEGIO_RAFAEL_MARIA_CARRASQUILLA</v>
          </cell>
          <cell r="G129" t="str">
            <v>COLEGIO_RAFAEL_MARIA_CARRASQUILLA</v>
          </cell>
          <cell r="H129" t="str">
            <v>Autoevaluación Institucional y Pruebas SABER 11</v>
          </cell>
          <cell r="I129" t="str">
            <v>SEGUIMIENTO_Y_SUPERVISIÓN.</v>
          </cell>
          <cell r="J129" t="str">
            <v>Realizar visitas para verificar la información registrada sobre la autoevaluación institucional en el aplicativo EVI, a los establecimientos de educación formal no oficial.</v>
          </cell>
          <cell r="K129" t="str">
            <v>BEPCI YADIRA MINA ZAPATA</v>
          </cell>
          <cell r="L129" t="str">
            <v>DORY CONSTANZA SANCHEZ ARAGÓN</v>
          </cell>
          <cell r="M129">
            <v>45861</v>
          </cell>
          <cell r="N129">
            <v>45772</v>
          </cell>
          <cell r="O129">
            <v>45777</v>
          </cell>
          <cell r="P129" t="str">
            <v>Visitas de evaluación con fines de mejoramiento</v>
          </cell>
          <cell r="Q129" t="str">
            <v>25-04-2025 Col Rafael Maria Carrasquilla.pdf</v>
          </cell>
          <cell r="R129" t="str">
            <v>Se evidencia pago de seguridad social 
La cantidad de aulas en la sede autorizada no son suficientes para los grados aprobados.</v>
          </cell>
          <cell r="S129" t="str">
            <v>Se debe legalizar la sede, de lo contrario cerrar y buscar la reubicación de los estudiantes</v>
          </cell>
          <cell r="T129" t="str">
            <v>Si</v>
          </cell>
          <cell r="U129" t="str">
            <v>Se realizará mesa técnica con arquitectos de la DIV para orientación de la planta física.</v>
          </cell>
        </row>
        <row r="130">
          <cell r="A130">
            <v>1586</v>
          </cell>
          <cell r="B130"/>
          <cell r="C130" t="str">
            <v>RAFAEL URIBE URIBE</v>
          </cell>
          <cell r="D130" t="str">
            <v>PRIVADO</v>
          </cell>
          <cell r="E130" t="str">
            <v>EPBM</v>
          </cell>
          <cell r="F130" t="str">
            <v>COLEGIO_RAFAEL_MARIA_CARRASQUILLA</v>
          </cell>
          <cell r="G130" t="str">
            <v>COLEGIO_RAFAEL_MARIA_CARRASQUILLA</v>
          </cell>
          <cell r="H130" t="str">
            <v>Autoevaluación Institucional y Pruebas SABER 11</v>
          </cell>
          <cell r="I130" t="str">
            <v>SEGUIMIENTO_Y_SUPERVISIÓN.</v>
          </cell>
          <cell r="J130" t="str">
            <v>Proponer estrategias en la formulación, verificar su elaboración y realizar seguimiento semestral al desarrollo de  las acciones establecidas en los planes de mejoramiento por pruebas SABER 11 de los establecimientos de educación formal.</v>
          </cell>
          <cell r="K130" t="str">
            <v>BEPCI YADIRA MINA ZAPATA</v>
          </cell>
          <cell r="L130" t="str">
            <v>DORY CONSTANZA SANCHEZ ARAGÓN</v>
          </cell>
          <cell r="M130">
            <v>45861</v>
          </cell>
          <cell r="N130">
            <v>45772</v>
          </cell>
          <cell r="O130">
            <v>45777</v>
          </cell>
          <cell r="P130" t="str">
            <v>Visitas de evaluación con fines de mejoramiento</v>
          </cell>
          <cell r="Q130" t="str">
            <v>25-04-2025 Col Rafael Maria Carrasquilla.pdf</v>
          </cell>
          <cell r="R130" t="str">
            <v>Revisaron los resultados obtenidos por los estudiantes, tomaron algunas decisiones administrativas y construyeron un plan de mejorameinto académico.</v>
          </cell>
          <cell r="S130" t="str">
            <v>Es necesario reformular y proponer las acciones de mejoramiento desde los componentes y competencias evaluadas. Presentar plan de mejoramiento el 30 de mayo de 2025</v>
          </cell>
          <cell r="T130" t="str">
            <v>Si</v>
          </cell>
          <cell r="U130" t="str">
            <v>Revisar PM y verificar que se ajuste a las observaciones realizadas.</v>
          </cell>
        </row>
        <row r="131">
          <cell r="A131">
            <v>1587</v>
          </cell>
          <cell r="B131"/>
          <cell r="C131" t="str">
            <v>RAFAEL URIBE URIBE</v>
          </cell>
          <cell r="D131" t="str">
            <v>PRIVADO</v>
          </cell>
          <cell r="E131" t="str">
            <v>EPBM</v>
          </cell>
          <cell r="F131" t="str">
            <v>COLEGIO_RAFAEL_MARIA_CARRASQUILLA</v>
          </cell>
          <cell r="G131" t="str">
            <v>COLEGIO_RAFAEL_MARIA_CARRASQUILLA</v>
          </cell>
          <cell r="H131" t="str">
            <v>Autoevaluación Institucional y Pruebas SABER 11</v>
          </cell>
          <cell r="I131" t="str">
            <v>SEGUIMIENTO_Y_SUPERVISIÓN.</v>
          </cell>
          <cell r="J131" t="str">
            <v xml:space="preserve">Verificar la implementación por parte de los colegios, de acciones realizadas para la prevención y atención de las situaciones de convivencia en el entorno escolar, según lo establecido en la Directiva 01 de 2022 del MEN. </v>
          </cell>
          <cell r="K131" t="str">
            <v>BEPCI YADIRA MINA ZAPATA</v>
          </cell>
          <cell r="L131" t="str">
            <v>DORY CONSTANZA SANCHEZ ARAGÓN</v>
          </cell>
          <cell r="M131">
            <v>45861</v>
          </cell>
          <cell r="N131">
            <v>45772</v>
          </cell>
          <cell r="O131">
            <v>45777</v>
          </cell>
          <cell r="P131" t="str">
            <v>Visitas de evaluación con fines de mejoramiento</v>
          </cell>
          <cell r="Q131" t="str">
            <v>25-04-2025 Col Rafael Maria Carrasquilla.pdf</v>
          </cell>
          <cell r="R131" t="str">
            <v>La institución cuentan con actas donde se evidencie el funcionamiento del comité de convivencia escolar.
Se verificó a los docentes  inhabilidadades por delitos sexuales para el año 2025, no se evidencia que se realice cada 4 meses.</v>
          </cell>
          <cell r="S131" t="str">
            <v>Verificar inhanilidades de los empleados cada 4 meses. Presentar plan de mejoramiento el 30 de mayo de 2025</v>
          </cell>
          <cell r="T131" t="str">
            <v>Si</v>
          </cell>
          <cell r="U131" t="str">
            <v>Revisar PM y verificar que se ajuste a las observaciones realizadas.</v>
          </cell>
        </row>
        <row r="132">
          <cell r="A132">
            <v>1588</v>
          </cell>
          <cell r="B132"/>
          <cell r="C132" t="str">
            <v>RAFAEL URIBE URIBE</v>
          </cell>
          <cell r="D132" t="str">
            <v>PRIVADO</v>
          </cell>
          <cell r="E132" t="str">
            <v>EPBM</v>
          </cell>
          <cell r="F132" t="str">
            <v>COLEGIO_RAFAEL_MARIA_CARRASQUILLA</v>
          </cell>
          <cell r="G132" t="str">
            <v>COLEGIO_RAFAEL_MARIA_CARRASQUILLA</v>
          </cell>
          <cell r="H132" t="str">
            <v>Autoevaluación Institucional y Pruebas SABER 11</v>
          </cell>
          <cell r="I132" t="str">
            <v>SEGUIMIENTO_Y_SUPERVISIÓN.</v>
          </cell>
          <cell r="J13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2" t="str">
            <v>BEPCI YADIRA MINA ZAPATA</v>
          </cell>
          <cell r="L132" t="str">
            <v>DORY CONSTANZA SANCHEZ ARAGÓN</v>
          </cell>
          <cell r="M132">
            <v>45861</v>
          </cell>
          <cell r="N132">
            <v>45772</v>
          </cell>
          <cell r="O132">
            <v>45777</v>
          </cell>
          <cell r="P132" t="str">
            <v>Visitas de evaluación con fines de mejoramiento</v>
          </cell>
          <cell r="Q132" t="str">
            <v>25-04-2025 Col Rafael Maria Carrasquilla.pdf</v>
          </cell>
          <cell r="R132" t="str">
            <v>Cuenta con 2 estudiantes con discapacidad, 1 estudiante de grado 4 cuenta con PIAR en desarrollo y apoyo terapeutico de fundación de salud y 1 estudiante de grado 9 que acaba de reportar el diagnostico y se iniciará la formulación del PIAR.</v>
          </cell>
          <cell r="S132" t="str">
            <v>Fortalecer el diseño, implementación y seguimiento de los PIAR que realmente permita el avance de los estudiantes. Presentar plan de mejoramiento el 30 de mayo de 2025</v>
          </cell>
          <cell r="T132" t="str">
            <v>Si</v>
          </cell>
          <cell r="U132" t="str">
            <v>Revisar PM y verificar que se ajuste a las observaciones realizadas.</v>
          </cell>
        </row>
        <row r="133">
          <cell r="A133">
            <v>1589</v>
          </cell>
          <cell r="B133"/>
          <cell r="C133" t="str">
            <v>RAFAEL URIBE URIBE</v>
          </cell>
          <cell r="D133" t="str">
            <v>PRIVADO</v>
          </cell>
          <cell r="E133" t="str">
            <v>EPBM</v>
          </cell>
          <cell r="F133" t="str">
            <v>COLEGIO_RAFAEL_MARIA_CARRASQUILLA</v>
          </cell>
          <cell r="G133" t="str">
            <v>COLEGIO_RAFAEL_MARIA_CARRASQUILLA</v>
          </cell>
          <cell r="H133" t="str">
            <v>Autoevaluación Institucional y Pruebas SABER 11</v>
          </cell>
          <cell r="I133" t="str">
            <v>EVALUACIÓN_CON_FINES_DE_MEJORAMIENTO.</v>
          </cell>
          <cell r="J13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3" t="str">
            <v>BEPCI YADIRA MINA ZAPATA</v>
          </cell>
          <cell r="L133" t="str">
            <v>DORY CONSTANZA SANCHEZ ARAGÓN</v>
          </cell>
          <cell r="M133">
            <v>45861</v>
          </cell>
          <cell r="N133">
            <v>45772</v>
          </cell>
          <cell r="O133">
            <v>45777</v>
          </cell>
          <cell r="P133" t="str">
            <v>Visitas de evaluación con fines de mejoramiento</v>
          </cell>
          <cell r="Q133" t="str">
            <v>25-04-2025 Col Rafael Maria Carrasquilla.pdf</v>
          </cell>
          <cell r="R133" t="str">
            <v>Se evidencia la participación de la Comunidad Educativa en la construcciíon del manual pero estas son del año 2023 y 2024.
El manual no cuenta con todos los aspectos establecidos en la normatividad vigente</v>
          </cell>
          <cell r="S133" t="str">
            <v>La institución debe actualizar el manual de convivencia con participación del gobierno escolar. Presentar plan de mejoramiento el 30 de mayo de 2025</v>
          </cell>
          <cell r="T133" t="str">
            <v>Si</v>
          </cell>
          <cell r="U133" t="str">
            <v>Revisar PM y verificar que se ajuste a las observaciones realizadas.</v>
          </cell>
        </row>
        <row r="134">
          <cell r="A134">
            <v>1590</v>
          </cell>
          <cell r="B134"/>
          <cell r="C134" t="str">
            <v>RAFAEL URIBE URIBE</v>
          </cell>
          <cell r="D134" t="str">
            <v>PRIVADO</v>
          </cell>
          <cell r="E134" t="str">
            <v>EPBM</v>
          </cell>
          <cell r="F134" t="str">
            <v>COLEGIO_RAFAEL_MARIA_CARRASQUILLA</v>
          </cell>
          <cell r="G134" t="str">
            <v>COLEGIO_RAFAEL_MARIA_CARRASQUILLA</v>
          </cell>
          <cell r="H134" t="str">
            <v>Autoevaluación Institucional y Pruebas SABER 11</v>
          </cell>
          <cell r="I134" t="str">
            <v>EVALUACIÓN_CON_FINES_DE_MEJORAMIENTO.</v>
          </cell>
          <cell r="J134" t="str">
            <v>Revisar la actualización, socialización e implementación del Sistema Institucional de Evaluación de Estudiantes - SIEE, en articulación con la actualización del PEI y la normatividad vigente.</v>
          </cell>
          <cell r="K134" t="str">
            <v>BEPCI YADIRA MINA ZAPATA</v>
          </cell>
          <cell r="L134" t="str">
            <v>DORY CONSTANZA SANCHEZ ARAGÓN</v>
          </cell>
          <cell r="M134">
            <v>45861</v>
          </cell>
          <cell r="N134">
            <v>45772</v>
          </cell>
          <cell r="O134">
            <v>45777</v>
          </cell>
          <cell r="P134" t="str">
            <v>Visitas de evaluación con fines de mejoramiento</v>
          </cell>
          <cell r="Q134" t="str">
            <v>25-04-2025 Col Rafael Maria Carrasquilla.pdf</v>
          </cell>
          <cell r="R134" t="str">
            <v>Se tiene diseñado el SIEE y presenta evidencias que denotan rigurosidad en el registro de información de los estudiantes a nivel académico, ponen en prácticas varios procesos que garantizan el acompañamiento de los estudiantes, pero nuevamente distan de lo que tienen escrito en los documentos institucionales y lo que ejecutan.</v>
          </cell>
          <cell r="S134" t="str">
            <v>Realizar ajustes al SIEE con la participación del gobierno escolar. Presentar plan de mejoramiento el 30 de mayo de 2025</v>
          </cell>
          <cell r="T134" t="str">
            <v>Si</v>
          </cell>
          <cell r="U134" t="str">
            <v>Revisar PM y verificar que se ajuste a las observaciones realizadas.</v>
          </cell>
        </row>
        <row r="135">
          <cell r="A135">
            <v>1591</v>
          </cell>
          <cell r="B135"/>
          <cell r="C135" t="str">
            <v>RAFAEL URIBE URIBE</v>
          </cell>
          <cell r="D135" t="str">
            <v>PRIVADO</v>
          </cell>
          <cell r="E135" t="str">
            <v>EPBM</v>
          </cell>
          <cell r="F135" t="str">
            <v>COLEGIO_RAFAEL_MARIA_CARRASQUILLA</v>
          </cell>
          <cell r="G135" t="str">
            <v>COLEGIO_RAFAEL_MARIA_CARRASQUILLA</v>
          </cell>
          <cell r="H135" t="str">
            <v>Autoevaluación Institucional y Pruebas SABER 11</v>
          </cell>
          <cell r="I135" t="str">
            <v>EVALUACIÓN_CON_FINES_DE_MEJORAMIENTO.</v>
          </cell>
          <cell r="J135" t="str">
            <v>Revisar el calendario escolar, jornada escolar, la intensidad horaria mínima anual en cada nivel y las modificaciones que se realicen al mismo, de acuerdo con lo previsto en la normatividad vigente.</v>
          </cell>
          <cell r="K135" t="str">
            <v>BEPCI YADIRA MINA ZAPATA</v>
          </cell>
          <cell r="L135" t="str">
            <v>DORY CONSTANZA SANCHEZ ARAGÓN</v>
          </cell>
          <cell r="M135">
            <v>45861</v>
          </cell>
          <cell r="N135">
            <v>45772</v>
          </cell>
          <cell r="O135">
            <v>45777</v>
          </cell>
          <cell r="P135" t="str">
            <v>Visitas de evaluación con fines de mejoramiento</v>
          </cell>
          <cell r="Q135" t="str">
            <v>25-04-2025 Col Rafael Maria Carrasquilla.pdf</v>
          </cell>
          <cell r="R135" t="str">
            <v>Se evidencia desde la estructura del plan de estudios presentado en el PEI y los tiempos propuestos en el Calendario Académico el colegio da cumplimiento a la intensidad horaria mínima requerida desde la normatividad vigente.</v>
          </cell>
          <cell r="S135" t="str">
            <v>Dar cumplimiento a lo establecido en el calendario</v>
          </cell>
          <cell r="T135" t="str">
            <v>No</v>
          </cell>
          <cell r="U135" t="str">
            <v>Verificar en caso de presentarse una queja</v>
          </cell>
        </row>
        <row r="136">
          <cell r="A136">
            <v>1592</v>
          </cell>
          <cell r="B136"/>
          <cell r="C136" t="str">
            <v>RAFAEL URIBE URIBE</v>
          </cell>
          <cell r="D136" t="str">
            <v>PRIVADO</v>
          </cell>
          <cell r="E136" t="str">
            <v>EPBM</v>
          </cell>
          <cell r="F136" t="str">
            <v>COLEGIO_RAFAEL_MARIA_CARRASQUILLA</v>
          </cell>
          <cell r="G136" t="str">
            <v>COLEGIO_RAFAEL_MARIA_CARRASQUILLA</v>
          </cell>
          <cell r="H136" t="str">
            <v>Autoevaluación Institucional y Pruebas SABER 11</v>
          </cell>
          <cell r="I136" t="str">
            <v>EVALUACIÓN_CON_FINES_DE_MEJORAMIENTO.</v>
          </cell>
          <cell r="J136" t="str">
            <v>Verificar el funcionamiento del Gobierno Escolar e instancias de participación con base en la información sobre conformación reportada por la institución educativa.</v>
          </cell>
          <cell r="K136" t="str">
            <v>BEPCI YADIRA MINA ZAPATA</v>
          </cell>
          <cell r="L136" t="str">
            <v>DORY CONSTANZA SANCHEZ ARAGÓN</v>
          </cell>
          <cell r="M136">
            <v>45861</v>
          </cell>
          <cell r="N136">
            <v>45772</v>
          </cell>
          <cell r="O136">
            <v>45777</v>
          </cell>
          <cell r="P136" t="str">
            <v>Visitas de evaluación con fines de mejoramiento</v>
          </cell>
          <cell r="Q136" t="str">
            <v>25-04-2025 Col Rafael Maria Carrasquilla.pdf</v>
          </cell>
          <cell r="R136" t="str">
            <v>No se evidencian actas de funcionamiento de Gobierno Escolar</v>
          </cell>
          <cell r="S136" t="str">
            <v>Generar los espacios para el funcionamiento del gobierno escolar con sus respectivas actas. Presentar plan de mejoramiento el 30 de mayo de 2025</v>
          </cell>
          <cell r="T136" t="str">
            <v>Si</v>
          </cell>
          <cell r="U136" t="str">
            <v>Revisar PM y verificar que se ajuste a las observaciones realizadas.</v>
          </cell>
        </row>
        <row r="137">
          <cell r="A137">
            <v>1593</v>
          </cell>
          <cell r="B137"/>
          <cell r="C137" t="str">
            <v>RAFAEL URIBE URIBE</v>
          </cell>
          <cell r="D137" t="str">
            <v>PRIVADO</v>
          </cell>
          <cell r="E137" t="str">
            <v>EPBM</v>
          </cell>
          <cell r="F137" t="str">
            <v>COLEGIO_RAFAEL_MARIA_CARRASQUILLA</v>
          </cell>
          <cell r="G137" t="str">
            <v>COLEGIO_RAFAEL_MARIA_CARRASQUILLA</v>
          </cell>
          <cell r="H137" t="str">
            <v>Autoevaluación Institucional y Pruebas SABER 11</v>
          </cell>
          <cell r="I137" t="str">
            <v>EVALUACIÓN_CON_FINES_DE_MEJORAMIENTO.</v>
          </cell>
          <cell r="J137" t="str">
            <v>Verificar las condiciones en cuanto a: la estructura administrativa, condiciones de la planta física y medios educativos adecuados.</v>
          </cell>
          <cell r="K137" t="str">
            <v>BEPCI YADIRA MINA ZAPATA</v>
          </cell>
          <cell r="L137" t="str">
            <v>DORY CONSTANZA SANCHEZ ARAGÓN</v>
          </cell>
          <cell r="M137">
            <v>45861</v>
          </cell>
          <cell r="N137">
            <v>45772</v>
          </cell>
          <cell r="O137">
            <v>45777</v>
          </cell>
          <cell r="P137" t="str">
            <v>Visitas de evaluación con fines de mejoramiento</v>
          </cell>
          <cell r="Q137" t="str">
            <v>25-04-2025 Col Rafael Maria Carrasquilla.pdf</v>
          </cell>
          <cell r="R137" t="str">
            <v>Se evidencio que la institución presta su servicio en 2 sedes, tiene licencia de funcionamiento para 1 sede.</v>
          </cell>
          <cell r="S137" t="str">
            <v>Se debe legalizar la sede, de lo contrario cerrar y buscar la reubicación de los estudiantes</v>
          </cell>
          <cell r="T137" t="str">
            <v>Si</v>
          </cell>
          <cell r="U137" t="str">
            <v>Se realizará mesa técnica con arquitectos de la DIV para orientación de la planta física.</v>
          </cell>
        </row>
        <row r="138">
          <cell r="A138">
            <v>1594</v>
          </cell>
          <cell r="B138">
            <v>15</v>
          </cell>
          <cell r="C138" t="str">
            <v>RAFAEL URIBE URIBE</v>
          </cell>
          <cell r="D138" t="str">
            <v>PRIVADO</v>
          </cell>
          <cell r="E138" t="str">
            <v>EPBM</v>
          </cell>
          <cell r="F138" t="str">
            <v>GIMNASIO_SAN_JOSE</v>
          </cell>
          <cell r="G138" t="str">
            <v>GIMNASIO_SAN_JOSE</v>
          </cell>
          <cell r="H138" t="str">
            <v>Autoevaluación Institucional y Pruebas SABER 11</v>
          </cell>
          <cell r="I138" t="str">
            <v>SEGUIMIENTO_Y_SUPERVISIÓN.</v>
          </cell>
          <cell r="J138" t="str">
            <v>Realizar visitas para verificar la información registrada sobre la autoevaluación institucional en el aplicativo EVI, a los establecimientos de educación formal no oficial.</v>
          </cell>
          <cell r="K138" t="str">
            <v>BEPCI YADIRA MINA ZAPATA</v>
          </cell>
          <cell r="L138" t="str">
            <v>DORY CONSTANZA SANCHEZ ARAGÓN</v>
          </cell>
          <cell r="M138">
            <v>45867</v>
          </cell>
          <cell r="N138">
            <v>45870</v>
          </cell>
          <cell r="O138">
            <v>45873</v>
          </cell>
          <cell r="P138" t="str">
            <v>Visitas de evaluación con fines de mejoramiento</v>
          </cell>
          <cell r="Q138" t="str">
            <v>1 y 4 de agosto 2025 Gimnasio San José.pdf</v>
          </cell>
          <cell r="R138" t="str">
            <v>Se evidencia que los docentes se encuentran con contrato laboral y  pago de seguridad social.
Planta física acorde con espacios pedagogícos adecuados.</v>
          </cell>
          <cell r="S138" t="str">
            <v>Continuar con la contratación y pago de seguridad social de los docentes</v>
          </cell>
          <cell r="T138" t="str">
            <v>No</v>
          </cell>
          <cell r="U138" t="str">
            <v>Verificar en caso de algun reqiuerimiento o queja</v>
          </cell>
        </row>
        <row r="139">
          <cell r="A139">
            <v>1595</v>
          </cell>
          <cell r="B139"/>
          <cell r="C139" t="str">
            <v>RAFAEL URIBE URIBE</v>
          </cell>
          <cell r="D139" t="str">
            <v>PRIVADO</v>
          </cell>
          <cell r="E139" t="str">
            <v>EPBM</v>
          </cell>
          <cell r="F139" t="str">
            <v>GIMNASIO_SAN_JOSE</v>
          </cell>
          <cell r="G139" t="str">
            <v>GIMNASIO_SAN_JOSE</v>
          </cell>
          <cell r="H139" t="str">
            <v>Autoevaluación Institucional y Pruebas SABER 11</v>
          </cell>
          <cell r="I139" t="str">
            <v>SEGUIMIENTO_Y_SUPERVISIÓN.</v>
          </cell>
          <cell r="J139" t="str">
            <v>Proponer estrategias en la formulación, verificar su elaboración y realizar seguimiento semestral al desarrollo de  las acciones establecidas en los planes de mejoramiento por pruebas SABER 11 de los establecimientos de educación formal.</v>
          </cell>
          <cell r="K139" t="str">
            <v>DORY CONSTANZA SANCHEZ ARAGÓN</v>
          </cell>
          <cell r="L139" t="str">
            <v>BEPCI YADIRA MINA ZAPATA</v>
          </cell>
          <cell r="M139">
            <v>45867</v>
          </cell>
          <cell r="N139">
            <v>45870</v>
          </cell>
          <cell r="O139">
            <v>45873</v>
          </cell>
          <cell r="P139" t="str">
            <v>Visitas de evaluación con fines de mejoramiento</v>
          </cell>
          <cell r="Q139" t="str">
            <v>1 y 4 de agosto 2025 Gimnasio San José.pdf</v>
          </cell>
          <cell r="R139" t="str">
            <v>Se evidencia que la institución ha realizado el análisis de los resultados obtenidos en las Pruebas Saber en el año 2024, pero no ha impactado el currículo con los aprendizajes priorizados por el ICFES y no incorporó estrategias pedagógicas para fortalecer el proceso de preparación de la pruebas saber a estudiantes con discapacidad</v>
          </cell>
          <cell r="S139" t="str">
            <v>Realizar analisis de las Pruebas Saber y establecer acciones pertinentes. Presentar plan de mejoramiento el 4 de septiembre de 2025</v>
          </cell>
          <cell r="T139" t="str">
            <v>Si</v>
          </cell>
          <cell r="U139" t="str">
            <v>Revisar PM y verificar que se ajuste a las observaciones realizadas.</v>
          </cell>
        </row>
        <row r="140">
          <cell r="A140">
            <v>1596</v>
          </cell>
          <cell r="B140"/>
          <cell r="C140" t="str">
            <v>RAFAEL URIBE URIBE</v>
          </cell>
          <cell r="D140" t="str">
            <v>PRIVADO</v>
          </cell>
          <cell r="E140" t="str">
            <v>EPBM</v>
          </cell>
          <cell r="F140" t="str">
            <v>GIMNASIO_SAN_JOSE</v>
          </cell>
          <cell r="G140" t="str">
            <v>GIMNASIO_SAN_JOSE</v>
          </cell>
          <cell r="H140" t="str">
            <v>Autoevaluación Institucional y Pruebas SABER 11</v>
          </cell>
          <cell r="I140" t="str">
            <v>SEGUIMIENTO_Y_SUPERVISIÓN.</v>
          </cell>
          <cell r="J140" t="str">
            <v xml:space="preserve">Verificar la implementación por parte de los colegios, de acciones realizadas para la prevención y atención de las situaciones de convivencia en el entorno escolar, según lo establecido en la Directiva 01 de 2022 del MEN. </v>
          </cell>
          <cell r="K140" t="str">
            <v>DORY CONSTANZA SANCHEZ ARAGÓN</v>
          </cell>
          <cell r="L140" t="str">
            <v>BEPCI YADIRA MINA ZAPATA</v>
          </cell>
          <cell r="M140">
            <v>45867</v>
          </cell>
          <cell r="N140">
            <v>45870</v>
          </cell>
          <cell r="O140">
            <v>45873</v>
          </cell>
          <cell r="P140" t="str">
            <v>Visitas de evaluación con fines de mejoramiento</v>
          </cell>
          <cell r="Q140" t="str">
            <v>1 y 4 de agosto 2025 Gimnasio San José.pdf</v>
          </cell>
          <cell r="R140" t="str">
            <v>La institución cuentan con actas donde se evidencie el funcionamiento del comité de convivencia escolar.
Se verificó a los docentes  inhabilidadades por delitos sexuales para el año 2025 en enero, abril y julio</v>
          </cell>
          <cell r="S140" t="str">
            <v>Contituar con la verificación de inhabilidades cada 4 meses</v>
          </cell>
          <cell r="T140" t="str">
            <v>No</v>
          </cell>
          <cell r="U140" t="str">
            <v>Verificar en caso de presentarse una queja</v>
          </cell>
        </row>
        <row r="141">
          <cell r="A141">
            <v>1597</v>
          </cell>
          <cell r="B141"/>
          <cell r="C141" t="str">
            <v>RAFAEL URIBE URIBE</v>
          </cell>
          <cell r="D141" t="str">
            <v>PRIVADO</v>
          </cell>
          <cell r="E141" t="str">
            <v>EPBM</v>
          </cell>
          <cell r="F141" t="str">
            <v>GIMNASIO_SAN_JOSE</v>
          </cell>
          <cell r="G141" t="str">
            <v>GIMNASIO_SAN_JOSE</v>
          </cell>
          <cell r="H141" t="str">
            <v>Autoevaluación Institucional y Pruebas SABER 11</v>
          </cell>
          <cell r="I141" t="str">
            <v>SEGUIMIENTO_Y_SUPERVISIÓN.</v>
          </cell>
          <cell r="J14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1" t="str">
            <v>DORY CONSTANZA SANCHEZ ARAGÓN</v>
          </cell>
          <cell r="L141" t="str">
            <v>BEPCI YADIRA MINA ZAPATA</v>
          </cell>
          <cell r="M141">
            <v>45867</v>
          </cell>
          <cell r="N141">
            <v>45870</v>
          </cell>
          <cell r="O141">
            <v>45873</v>
          </cell>
          <cell r="P141" t="str">
            <v>Visitas de evaluación con fines de mejoramiento</v>
          </cell>
          <cell r="Q141" t="str">
            <v>1 y 4 de agosto 2025 Gimnasio San José.pdf</v>
          </cell>
          <cell r="R141" t="str">
            <v>El colegio tiene elaborados los PIAR de cada estudiante, se encuentran completamente diligenciados, se evidencia un serio acompañamiento en este proceso, está institucionalizado, los docentes participan en la construcción de los PIAR y los implementan</v>
          </cell>
          <cell r="S141" t="str">
            <v>Continuar con los seguimientos y acompañamiento a los estudiantes con PIAR</v>
          </cell>
          <cell r="T141" t="str">
            <v>No</v>
          </cell>
          <cell r="U141" t="str">
            <v>Verificar en caso de algun reqiuerimiento o queja</v>
          </cell>
        </row>
        <row r="142">
          <cell r="A142">
            <v>1598</v>
          </cell>
          <cell r="B142"/>
          <cell r="C142" t="str">
            <v>RAFAEL URIBE URIBE</v>
          </cell>
          <cell r="D142" t="str">
            <v>PRIVADO</v>
          </cell>
          <cell r="E142" t="str">
            <v>EPBM</v>
          </cell>
          <cell r="F142" t="str">
            <v>GIMNASIO_SAN_JOSE</v>
          </cell>
          <cell r="G142" t="str">
            <v>GIMNASIO_SAN_JOSE</v>
          </cell>
          <cell r="H142" t="str">
            <v>Autoevaluación Institucional y Pruebas SABER 11</v>
          </cell>
          <cell r="I142" t="str">
            <v>EVALUACIÓN_CON_FINES_DE_MEJORAMIENTO.</v>
          </cell>
          <cell r="J14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2" t="str">
            <v>DORY CONSTANZA SANCHEZ ARAGÓN</v>
          </cell>
          <cell r="L142" t="str">
            <v>BEPCI YADIRA MINA ZAPATA</v>
          </cell>
          <cell r="M142">
            <v>45867</v>
          </cell>
          <cell r="N142">
            <v>45870</v>
          </cell>
          <cell r="O142">
            <v>45873</v>
          </cell>
          <cell r="P142" t="str">
            <v>Visitas de evaluación con fines de mejoramiento</v>
          </cell>
          <cell r="Q142" t="str">
            <v>1 y 4 de agosto 2025 Gimnasio San José.pdf</v>
          </cell>
          <cell r="R142" t="str">
            <v>Se evidencia la participación de la Comunidad Educativa en la construcciíon del manual.
El manual no cuenta con todos los aspectos establecidos en la normatividad vigente</v>
          </cell>
          <cell r="S142" t="str">
            <v>La institución debe actualizar el manual de convivencia con participación del gobierno escolar. Presentar plan de mejoramiento el 4 de septiembre de 2025</v>
          </cell>
          <cell r="T142" t="str">
            <v>Si</v>
          </cell>
          <cell r="U142" t="str">
            <v>Revisar PM y verificar que se ajuste a las observaciones realizadas.</v>
          </cell>
        </row>
        <row r="143">
          <cell r="A143">
            <v>1599</v>
          </cell>
          <cell r="B143"/>
          <cell r="C143" t="str">
            <v>RAFAEL URIBE URIBE</v>
          </cell>
          <cell r="D143" t="str">
            <v>PRIVADO</v>
          </cell>
          <cell r="E143" t="str">
            <v>EPBM</v>
          </cell>
          <cell r="F143" t="str">
            <v>GIMNASIO_SAN_JOSE</v>
          </cell>
          <cell r="G143" t="str">
            <v>GIMNASIO_SAN_JOSE</v>
          </cell>
          <cell r="H143" t="str">
            <v>Autoevaluación Institucional y Pruebas SABER 11</v>
          </cell>
          <cell r="I143" t="str">
            <v>EVALUACIÓN_CON_FINES_DE_MEJORAMIENTO.</v>
          </cell>
          <cell r="J143" t="str">
            <v>Revisar la actualización, socialización e implementación del Sistema Institucional de Evaluación de Estudiantes - SIEE, en articulación con la actualización del PEI y la normatividad vigente.</v>
          </cell>
          <cell r="K143" t="str">
            <v>DORY CONSTANZA SANCHEZ ARAGÓN</v>
          </cell>
          <cell r="L143" t="str">
            <v>BEPCI YADIRA MINA ZAPATA</v>
          </cell>
          <cell r="M143">
            <v>45867</v>
          </cell>
          <cell r="N143">
            <v>45870</v>
          </cell>
          <cell r="O143">
            <v>45873</v>
          </cell>
          <cell r="P143" t="str">
            <v>Visitas de evaluación con fines de mejoramiento</v>
          </cell>
          <cell r="Q143" t="str">
            <v>1 y 4 de agosto 2025 Gimnasio San José.pdf</v>
          </cell>
          <cell r="R143" t="str">
            <v>El colegio es muy disciplinado y metódico en el registro de la información del proceso académico de los estudiantes, cuentan con una plataforma que arroja diversos análisis cuantitativos que permite ver el avance y el desempeño de los estudiantes en tiempo real.</v>
          </cell>
          <cell r="S143" t="str">
            <v xml:space="preserve">Cuentan con evidencias de la participación de la comunidad educativa en su construcción. </v>
          </cell>
          <cell r="T143" t="str">
            <v>No</v>
          </cell>
          <cell r="U143" t="str">
            <v>Verificar en caso de una queja</v>
          </cell>
        </row>
        <row r="144">
          <cell r="A144">
            <v>1600</v>
          </cell>
          <cell r="B144"/>
          <cell r="C144" t="str">
            <v>RAFAEL URIBE URIBE</v>
          </cell>
          <cell r="D144" t="str">
            <v>PRIVADO</v>
          </cell>
          <cell r="E144" t="str">
            <v>EPBM</v>
          </cell>
          <cell r="F144" t="str">
            <v>GIMNASIO_SAN_JOSE</v>
          </cell>
          <cell r="G144" t="str">
            <v>GIMNASIO_SAN_JOSE</v>
          </cell>
          <cell r="H144" t="str">
            <v>Autoevaluación Institucional y Pruebas SABER 11</v>
          </cell>
          <cell r="I144" t="str">
            <v>EVALUACIÓN_CON_FINES_DE_MEJORAMIENTO.</v>
          </cell>
          <cell r="J144" t="str">
            <v>Revisar el calendario escolar, jornada escolar, la intensidad horaria mínima anual en cada nivel y las modificaciones que se realicen al mismo, de acuerdo con lo previsto en la normatividad vigente.</v>
          </cell>
          <cell r="K144" t="str">
            <v>DORY CONSTANZA SANCHEZ ARAGÓN</v>
          </cell>
          <cell r="L144" t="str">
            <v>BEPCI YADIRA MINA ZAPATA</v>
          </cell>
          <cell r="M144">
            <v>45867</v>
          </cell>
          <cell r="N144">
            <v>45870</v>
          </cell>
          <cell r="O144">
            <v>45873</v>
          </cell>
          <cell r="P144" t="str">
            <v>Visitas de evaluación con fines de mejoramiento</v>
          </cell>
          <cell r="Q144" t="str">
            <v>1 y 4 de agosto 2025 Gimnasio San José.pdf</v>
          </cell>
          <cell r="R144" t="str">
            <v>Se evidencia desde la estructura del plan de estudios presentado en el PEI y los tiempos propuestos en el Calendario Académico el colegio da cumplimiento a la intensidad horaria mínima requerida desde la normatividad vigente.</v>
          </cell>
          <cell r="S144" t="str">
            <v>Dar cumplimiento a lo establecido en el calendario</v>
          </cell>
          <cell r="T144" t="str">
            <v>No</v>
          </cell>
          <cell r="U144" t="str">
            <v>Verificar en caso de presentarse una queja</v>
          </cell>
        </row>
        <row r="145">
          <cell r="A145">
            <v>1601</v>
          </cell>
          <cell r="B145"/>
          <cell r="C145" t="str">
            <v>RAFAEL URIBE URIBE</v>
          </cell>
          <cell r="D145" t="str">
            <v>PRIVADO</v>
          </cell>
          <cell r="E145" t="str">
            <v>EPBM</v>
          </cell>
          <cell r="F145" t="str">
            <v>GIMNASIO_SAN_JOSE</v>
          </cell>
          <cell r="G145" t="str">
            <v>GIMNASIO_SAN_JOSE</v>
          </cell>
          <cell r="H145" t="str">
            <v>Autoevaluación Institucional y Pruebas SABER 11</v>
          </cell>
          <cell r="I145" t="str">
            <v>EVALUACIÓN_CON_FINES_DE_MEJORAMIENTO.</v>
          </cell>
          <cell r="J145" t="str">
            <v>Verificar el funcionamiento del Gobierno Escolar e instancias de participación con base en la información sobre conformación reportada por la institución educativa.</v>
          </cell>
          <cell r="K145" t="str">
            <v>DORY CONSTANZA SANCHEZ ARAGÓN</v>
          </cell>
          <cell r="L145" t="str">
            <v>BEPCI YADIRA MINA ZAPATA</v>
          </cell>
          <cell r="M145">
            <v>45867</v>
          </cell>
          <cell r="N145">
            <v>45870</v>
          </cell>
          <cell r="O145">
            <v>45873</v>
          </cell>
          <cell r="P145" t="str">
            <v>Visitas de evaluación con fines de mejoramiento</v>
          </cell>
          <cell r="Q145" t="str">
            <v>1 y 4 de agosto 2025 Gimnasio San José.pdf</v>
          </cell>
          <cell r="R145" t="str">
            <v>Se evidencian actas de funcionamiento de los organos del Gobierno Escolar e instancias de participación.</v>
          </cell>
          <cell r="S145" t="str">
            <v>Continuar con las reuniones de los organos del Gobierno Escolar e instancias de participación con las respectivas actas.</v>
          </cell>
          <cell r="T145" t="str">
            <v>No</v>
          </cell>
          <cell r="U145" t="str">
            <v>Verificar en caso de presentarse una queja</v>
          </cell>
        </row>
        <row r="146">
          <cell r="A146">
            <v>1602</v>
          </cell>
          <cell r="B146"/>
          <cell r="C146" t="str">
            <v>RAFAEL URIBE URIBE</v>
          </cell>
          <cell r="D146" t="str">
            <v>PRIVADO</v>
          </cell>
          <cell r="E146" t="str">
            <v>EPBM</v>
          </cell>
          <cell r="F146" t="str">
            <v>GIMNASIO_SAN_JOSE</v>
          </cell>
          <cell r="G146" t="str">
            <v>GIMNASIO_SAN_JOSE</v>
          </cell>
          <cell r="H146" t="str">
            <v>Autoevaluación Institucional y Pruebas SABER 11</v>
          </cell>
          <cell r="I146" t="str">
            <v>EVALUACIÓN_CON_FINES_DE_MEJORAMIENTO.</v>
          </cell>
          <cell r="J146" t="str">
            <v>Verificar las condiciones en cuanto a: la estructura administrativa, condiciones de la planta física y medios educativos adecuados.</v>
          </cell>
          <cell r="K146" t="str">
            <v>DORY CONSTANZA SANCHEZ ARAGÓN</v>
          </cell>
          <cell r="L146" t="str">
            <v>BEPCI YADIRA MINA ZAPATA</v>
          </cell>
          <cell r="M146">
            <v>45867</v>
          </cell>
          <cell r="N146">
            <v>45870</v>
          </cell>
          <cell r="O146">
            <v>45873</v>
          </cell>
          <cell r="P146" t="str">
            <v>Visitas de evaluación con fines de mejoramiento</v>
          </cell>
          <cell r="Q146" t="str">
            <v>1 y 4 de agosto 2025 Gimnasio San José.pdf</v>
          </cell>
          <cell r="R146" t="str">
            <v>Cuenta con 1 sede de 3 pisos, con 12 aulas, oficinas (rectoria, coordinaciones, orientación), enfermeria, laboratorios, salon danzas, 2 patios, espacio preescolar.</v>
          </cell>
          <cell r="S146" t="str">
            <v>Se evidencio que la institución cuenta con ambientes de aprendizaje adecuados, con buena iluminación y ventilación</v>
          </cell>
          <cell r="T146" t="str">
            <v>No</v>
          </cell>
          <cell r="U146" t="str">
            <v>Verificar en caso de presentarse una queja</v>
          </cell>
        </row>
        <row r="147">
          <cell r="A147">
            <v>1603</v>
          </cell>
          <cell r="B147">
            <v>16</v>
          </cell>
          <cell r="C147" t="str">
            <v>RAFAEL URIBE URIBE</v>
          </cell>
          <cell r="D147" t="str">
            <v>PRIVADO</v>
          </cell>
          <cell r="E147" t="str">
            <v>EPBM</v>
          </cell>
          <cell r="F147" t="str">
            <v>LICEO_PARROQUIAL_SAN_JOSE</v>
          </cell>
          <cell r="G147" t="str">
            <v>LICEO_PARROQUIAL_SAN_JOSE</v>
          </cell>
          <cell r="H147" t="str">
            <v>Autoevaluación Institucional y Pruebas SABER 11</v>
          </cell>
          <cell r="I147" t="str">
            <v>SEGUIMIENTO_Y_SUPERVISIÓN.</v>
          </cell>
          <cell r="J147" t="str">
            <v>Realizar visitas para verificar la información registrada sobre la autoevaluación institucional en el aplicativo EVI, a los establecimientos de educación formal no oficial.</v>
          </cell>
          <cell r="K147" t="str">
            <v>BEPCI YADIRA MINA ZAPATA</v>
          </cell>
          <cell r="L147" t="str">
            <v>DORY CONSTANZA SANCHEZ ARAGÓN</v>
          </cell>
          <cell r="M147">
            <v>45874</v>
          </cell>
          <cell r="N147">
            <v>45874</v>
          </cell>
          <cell r="O147">
            <v>45880</v>
          </cell>
          <cell r="P147" t="str">
            <v>Visitas de evaluación con fines de mejoramiento</v>
          </cell>
          <cell r="Q147" t="str">
            <v>5 y 11 agosto Lic Parroq San Jose.pdf</v>
          </cell>
          <cell r="R147" t="str">
            <v>Se evidencia que los docentes se encuentran con contrato laboral y  pago de seguridad social.
Planta física acorde con espacios pedagogícos adecuados.</v>
          </cell>
          <cell r="S147" t="str">
            <v>Continuar con la contratación y pago de seguridad social de los docentes</v>
          </cell>
          <cell r="T147" t="str">
            <v>No</v>
          </cell>
          <cell r="U147" t="str">
            <v>Verificar en caso de algun reqiuerimiento o queja</v>
          </cell>
        </row>
        <row r="148">
          <cell r="A148">
            <v>1604</v>
          </cell>
          <cell r="B148"/>
          <cell r="C148" t="str">
            <v>RAFAEL URIBE URIBE</v>
          </cell>
          <cell r="D148" t="str">
            <v>PRIVADO</v>
          </cell>
          <cell r="E148" t="str">
            <v>EPBM</v>
          </cell>
          <cell r="F148" t="str">
            <v>LICEO_PARROQUIAL_SAN_JOSE</v>
          </cell>
          <cell r="G148" t="str">
            <v>LICEO_PARROQUIAL_SAN_JOSE</v>
          </cell>
          <cell r="H148" t="str">
            <v>Autoevaluación Institucional y Pruebas SABER 11</v>
          </cell>
          <cell r="I148" t="str">
            <v>SEGUIMIENTO_Y_SUPERVISIÓN.</v>
          </cell>
          <cell r="J148" t="str">
            <v>Proponer estrategias en la formulación, verificar su elaboración y realizar seguimiento semestral al desarrollo de  las acciones establecidas en los planes de mejoramiento por pruebas SABER 11 de los establecimientos de educación formal.</v>
          </cell>
          <cell r="K148" t="str">
            <v>BEPCI YADIRA MINA ZAPATA</v>
          </cell>
          <cell r="L148" t="str">
            <v>DORY CONSTANZA SANCHEZ ARAGÓN</v>
          </cell>
          <cell r="M148">
            <v>45874</v>
          </cell>
          <cell r="N148">
            <v>45874</v>
          </cell>
          <cell r="O148">
            <v>45880</v>
          </cell>
          <cell r="P148" t="str">
            <v>Visitas de evaluación con fines de mejoramiento</v>
          </cell>
          <cell r="Q148" t="str">
            <v>5 y 11 agosto Lic Parroq San Jose.pdf</v>
          </cell>
          <cell r="R148"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48" t="str">
            <v>Realizar analisis de las Pruebas Saber y establecer acciones pertinentes. Presentar plan de mejoramiento el 11 de septiembre de 2025</v>
          </cell>
          <cell r="T148" t="str">
            <v>Si</v>
          </cell>
          <cell r="U148" t="str">
            <v>Revisar PM y verificar que se ajuste a las observaciones realizadas.</v>
          </cell>
        </row>
        <row r="149">
          <cell r="A149">
            <v>1605</v>
          </cell>
          <cell r="B149"/>
          <cell r="C149" t="str">
            <v>RAFAEL URIBE URIBE</v>
          </cell>
          <cell r="D149" t="str">
            <v>PRIVADO</v>
          </cell>
          <cell r="E149" t="str">
            <v>EPBM</v>
          </cell>
          <cell r="F149" t="str">
            <v>LICEO_PARROQUIAL_SAN_JOSE</v>
          </cell>
          <cell r="G149" t="str">
            <v>LICEO_PARROQUIAL_SAN_JOSE</v>
          </cell>
          <cell r="H149" t="str">
            <v>Autoevaluación Institucional y Pruebas SABER 11</v>
          </cell>
          <cell r="I149" t="str">
            <v>SEGUIMIENTO_Y_SUPERVISIÓN.</v>
          </cell>
          <cell r="J149" t="str">
            <v xml:space="preserve">Verificar la implementación por parte de los colegios, de acciones realizadas para la prevención y atención de las situaciones de convivencia en el entorno escolar, según lo establecido en la Directiva 01 de 2022 del MEN. </v>
          </cell>
          <cell r="K149" t="str">
            <v>BEPCI YADIRA MINA ZAPATA</v>
          </cell>
          <cell r="L149" t="str">
            <v>DORY CONSTANZA SANCHEZ ARAGÓN</v>
          </cell>
          <cell r="M149">
            <v>45874</v>
          </cell>
          <cell r="N149">
            <v>45874</v>
          </cell>
          <cell r="O149">
            <v>45880</v>
          </cell>
          <cell r="P149" t="str">
            <v>Visitas de evaluación con fines de mejoramiento</v>
          </cell>
          <cell r="Q149" t="str">
            <v>5 y 11 agosto Lic Parroq San Jose.pdf</v>
          </cell>
          <cell r="R149" t="str">
            <v>La institución no cuentan con actas donde se evidencie el funcionamiento del comité de convivencia escolar cada 2 meses.
Cuenta con verificacion de inhabilidadades una en año 2024 y otra en 2025</v>
          </cell>
          <cell r="S149" t="str">
            <v>El comite cde convivencia se debe reunir cada 2 meses.
Se debe realizar verificación de antecedente cada 4 meses. Presentar plan de mejoramiento el 11 de septiembre de 2025</v>
          </cell>
          <cell r="T149" t="str">
            <v>Si</v>
          </cell>
          <cell r="U149" t="str">
            <v>Revisar PM y verificar que se ajuste a las observaciones realizadas.</v>
          </cell>
        </row>
        <row r="150">
          <cell r="A150">
            <v>1606</v>
          </cell>
          <cell r="B150"/>
          <cell r="C150" t="str">
            <v>RAFAEL URIBE URIBE</v>
          </cell>
          <cell r="D150" t="str">
            <v>PRIVADO</v>
          </cell>
          <cell r="E150" t="str">
            <v>EPBM</v>
          </cell>
          <cell r="F150" t="str">
            <v>LICEO_PARROQUIAL_SAN_JOSE</v>
          </cell>
          <cell r="G150" t="str">
            <v>LICEO_PARROQUIAL_SAN_JOSE</v>
          </cell>
          <cell r="H150" t="str">
            <v>Autoevaluación Institucional y Pruebas SABER 11</v>
          </cell>
          <cell r="I150" t="str">
            <v>SEGUIMIENTO_Y_SUPERVISIÓN.</v>
          </cell>
          <cell r="J15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0" t="str">
            <v>BEPCI YADIRA MINA ZAPATA</v>
          </cell>
          <cell r="L150" t="str">
            <v>DORY CONSTANZA SANCHEZ ARAGÓN</v>
          </cell>
          <cell r="M150">
            <v>45874</v>
          </cell>
          <cell r="N150">
            <v>45874</v>
          </cell>
          <cell r="O150">
            <v>45880</v>
          </cell>
          <cell r="P150" t="str">
            <v>Visitas de evaluación con fines de mejoramiento</v>
          </cell>
          <cell r="Q150" t="str">
            <v>5 y 11 agosto Lic Parroq San Jose.pdf</v>
          </cell>
          <cell r="R150" t="str">
            <v xml:space="preserve">El colegio cuenta con unos PIAR muy bien realizados y fortalecidos, el colegio desde Orientación ha incorporado elementos valiosos en el diseño de los mismos que evidencia un seguimiento cercano y asertivo al proceso de cada estudiante. 
</v>
          </cell>
          <cell r="S150" t="str">
            <v>Continuar con los seguimientos y acompañamiento a los estudiantes con PIAR</v>
          </cell>
          <cell r="T150" t="str">
            <v>No</v>
          </cell>
          <cell r="U150" t="str">
            <v>Verificar en caso de algun reqiuerimiento o queja</v>
          </cell>
        </row>
        <row r="151">
          <cell r="A151">
            <v>1607</v>
          </cell>
          <cell r="B151"/>
          <cell r="C151" t="str">
            <v>RAFAEL URIBE URIBE</v>
          </cell>
          <cell r="D151" t="str">
            <v>PRIVADO</v>
          </cell>
          <cell r="E151" t="str">
            <v>EPBM</v>
          </cell>
          <cell r="F151" t="str">
            <v>LICEO_PARROQUIAL_SAN_JOSE</v>
          </cell>
          <cell r="G151" t="str">
            <v>LICEO_PARROQUIAL_SAN_JOSE</v>
          </cell>
          <cell r="H151" t="str">
            <v>Autoevaluación Institucional y Pruebas SABER 11</v>
          </cell>
          <cell r="I151" t="str">
            <v>EVALUACIÓN_CON_FINES_DE_MEJORAMIENTO.</v>
          </cell>
          <cell r="J15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1" t="str">
            <v>BEPCI YADIRA MINA ZAPATA</v>
          </cell>
          <cell r="L151" t="str">
            <v>DORY CONSTANZA SANCHEZ ARAGÓN</v>
          </cell>
          <cell r="M151">
            <v>45874</v>
          </cell>
          <cell r="N151">
            <v>45874</v>
          </cell>
          <cell r="O151">
            <v>45880</v>
          </cell>
          <cell r="P151" t="str">
            <v>Visitas de evaluación con fines de mejoramiento</v>
          </cell>
          <cell r="Q151" t="str">
            <v>5 y 11 agosto Lic Parroq San Jose.pdf</v>
          </cell>
          <cell r="R151" t="str">
            <v>Se evidencia actualización anual y aprobación del gobierno escolar del manual de convivencia.
Tiene bien estructurando el debido proceso convivencial y el disciplinario. se deben incorporar el paso a paso del debido proceso disciplinario para que la comunidad educativa lo tenga claro.</v>
          </cell>
          <cell r="S151" t="str">
            <v>Continuar los procesos de actualización del manual con la participación con el gobierno escolar. Presentar plan de mejoramiento el 11 de septiembre de 2025</v>
          </cell>
          <cell r="T151" t="str">
            <v>Si</v>
          </cell>
          <cell r="U151" t="str">
            <v>Revisar PM y verificar que se ajuste a las observaciones realizadas.</v>
          </cell>
        </row>
        <row r="152">
          <cell r="A152">
            <v>1608</v>
          </cell>
          <cell r="B152"/>
          <cell r="C152" t="str">
            <v>RAFAEL URIBE URIBE</v>
          </cell>
          <cell r="D152" t="str">
            <v>PRIVADO</v>
          </cell>
          <cell r="E152" t="str">
            <v>EPBM</v>
          </cell>
          <cell r="F152" t="str">
            <v>LICEO_PARROQUIAL_SAN_JOSE</v>
          </cell>
          <cell r="G152" t="str">
            <v>LICEO_PARROQUIAL_SAN_JOSE</v>
          </cell>
          <cell r="H152" t="str">
            <v>Autoevaluación Institucional y Pruebas SABER 11</v>
          </cell>
          <cell r="I152" t="str">
            <v>EVALUACIÓN_CON_FINES_DE_MEJORAMIENTO.</v>
          </cell>
          <cell r="J152" t="str">
            <v>Revisar la actualización, socialización e implementación del Sistema Institucional de Evaluación de Estudiantes - SIEE, en articulación con la actualización del PEI y la normatividad vigente.</v>
          </cell>
          <cell r="K152" t="str">
            <v>BEPCI YADIRA MINA ZAPATA</v>
          </cell>
          <cell r="L152" t="str">
            <v>DORY CONSTANZA SANCHEZ ARAGÓN</v>
          </cell>
          <cell r="M152">
            <v>45874</v>
          </cell>
          <cell r="N152">
            <v>45874</v>
          </cell>
          <cell r="O152">
            <v>45880</v>
          </cell>
          <cell r="P152" t="str">
            <v>Visitas de evaluación con fines de mejoramiento</v>
          </cell>
          <cell r="Q152" t="str">
            <v>5 y 11 agosto Lic Parroq San Jose.pdf</v>
          </cell>
          <cell r="R152" t="str">
            <v>Cuenta con SIEE, pero es necesario ajustarlo a la normatividad vigente, con la participación de la comunidad educativa.</v>
          </cell>
          <cell r="S152" t="str">
            <v>La institución debe actualizar el SIEE con participación del gobierno escolar. Presentar plan de mejoramiento el 11 de septiembre de 2025</v>
          </cell>
          <cell r="T152" t="str">
            <v>Si</v>
          </cell>
          <cell r="U152" t="str">
            <v>Revisar PM y verificar que se ajuste a las observaciones realizadas.</v>
          </cell>
        </row>
        <row r="153">
          <cell r="A153">
            <v>1609</v>
          </cell>
          <cell r="B153"/>
          <cell r="C153" t="str">
            <v>RAFAEL URIBE URIBE</v>
          </cell>
          <cell r="D153" t="str">
            <v>PRIVADO</v>
          </cell>
          <cell r="E153" t="str">
            <v>EPBM</v>
          </cell>
          <cell r="F153" t="str">
            <v>LICEO_PARROQUIAL_SAN_JOSE</v>
          </cell>
          <cell r="G153" t="str">
            <v>LICEO_PARROQUIAL_SAN_JOSE</v>
          </cell>
          <cell r="H153" t="str">
            <v>Autoevaluación Institucional y Pruebas SABER 11</v>
          </cell>
          <cell r="I153" t="str">
            <v>EVALUACIÓN_CON_FINES_DE_MEJORAMIENTO.</v>
          </cell>
          <cell r="J153" t="str">
            <v>Revisar el calendario escolar, jornada escolar, la intensidad horaria mínima anual en cada nivel y las modificaciones que se realicen al mismo, de acuerdo con lo previsto en la normatividad vigente.</v>
          </cell>
          <cell r="K153" t="str">
            <v>BEPCI YADIRA MINA ZAPATA</v>
          </cell>
          <cell r="L153" t="str">
            <v>DORY CONSTANZA SANCHEZ ARAGÓN</v>
          </cell>
          <cell r="M153">
            <v>45874</v>
          </cell>
          <cell r="N153">
            <v>45874</v>
          </cell>
          <cell r="O153">
            <v>45880</v>
          </cell>
          <cell r="P153" t="str">
            <v>Visitas de evaluación con fines de mejoramiento</v>
          </cell>
          <cell r="Q153" t="str">
            <v>5 y 11 agosto Lic Parroq San Jose.pdf</v>
          </cell>
          <cell r="R153" t="str">
            <v>Se encuentra que la jornada académica no da cumplimiento a la normatividad para a educación media al ser técnica debe cumplir anualmente 1600 horas.</v>
          </cell>
          <cell r="S153" t="str">
            <v>Ajustar el horario para dar cumplimiento a la intensidad horaria. Presentar plan de mejoramiento el 11 de septiembre de 2025</v>
          </cell>
          <cell r="T153" t="str">
            <v>Si</v>
          </cell>
          <cell r="U153" t="str">
            <v>Revisar PM y verificar que se ajuste a las observaciones realizadas.</v>
          </cell>
        </row>
        <row r="154">
          <cell r="A154">
            <v>1610</v>
          </cell>
          <cell r="B154"/>
          <cell r="C154" t="str">
            <v>RAFAEL URIBE URIBE</v>
          </cell>
          <cell r="D154" t="str">
            <v>PRIVADO</v>
          </cell>
          <cell r="E154" t="str">
            <v>EPBM</v>
          </cell>
          <cell r="F154" t="str">
            <v>LICEO_PARROQUIAL_SAN_JOSE</v>
          </cell>
          <cell r="G154" t="str">
            <v>LICEO_PARROQUIAL_SAN_JOSE</v>
          </cell>
          <cell r="H154" t="str">
            <v>Autoevaluación Institucional y Pruebas SABER 11</v>
          </cell>
          <cell r="I154" t="str">
            <v>EVALUACIÓN_CON_FINES_DE_MEJORAMIENTO.</v>
          </cell>
          <cell r="J154" t="str">
            <v>Verificar el funcionamiento del Gobierno Escolar e instancias de participación con base en la información sobre conformación reportada por la institución educativa.</v>
          </cell>
          <cell r="K154" t="str">
            <v>BEPCI YADIRA MINA ZAPATA</v>
          </cell>
          <cell r="L154" t="str">
            <v>DORY CONSTANZA SANCHEZ ARAGÓN</v>
          </cell>
          <cell r="M154">
            <v>45874</v>
          </cell>
          <cell r="N154">
            <v>45874</v>
          </cell>
          <cell r="O154">
            <v>45880</v>
          </cell>
          <cell r="P154" t="str">
            <v>Visitas de evaluación con fines de mejoramiento</v>
          </cell>
          <cell r="Q154" t="str">
            <v>5 y 11 agosto Lic Parroq San Jose.pdf</v>
          </cell>
          <cell r="R154" t="str">
            <v>Se evidencian actas de funcionamiento de los organos del Gobierno Escolar e instancias de participación.</v>
          </cell>
          <cell r="S154" t="str">
            <v>Continuar con las reuniones de los organos del Gobierno Escolar e instancias de participación con las respectivas actas.</v>
          </cell>
          <cell r="T154" t="str">
            <v>No</v>
          </cell>
          <cell r="U154" t="str">
            <v>Verificar en caso de presentarse una queja</v>
          </cell>
        </row>
        <row r="155">
          <cell r="A155">
            <v>1611</v>
          </cell>
          <cell r="B155"/>
          <cell r="C155" t="str">
            <v>RAFAEL URIBE URIBE</v>
          </cell>
          <cell r="D155" t="str">
            <v>PRIVADO</v>
          </cell>
          <cell r="E155" t="str">
            <v>EPBM</v>
          </cell>
          <cell r="F155" t="str">
            <v>LICEO_PARROQUIAL_SAN_JOSE</v>
          </cell>
          <cell r="G155" t="str">
            <v>LICEO_PARROQUIAL_SAN_JOSE</v>
          </cell>
          <cell r="H155" t="str">
            <v>Autoevaluación Institucional y Pruebas SABER 11</v>
          </cell>
          <cell r="I155" t="str">
            <v>EVALUACIÓN_CON_FINES_DE_MEJORAMIENTO.</v>
          </cell>
          <cell r="J155" t="str">
            <v>Verificar las condiciones en cuanto a: la estructura administrativa, condiciones de la planta física y medios educativos adecuados.</v>
          </cell>
          <cell r="K155" t="str">
            <v>BEPCI YADIRA MINA ZAPATA</v>
          </cell>
          <cell r="L155" t="str">
            <v>DORY CONSTANZA SANCHEZ ARAGÓN</v>
          </cell>
          <cell r="M155">
            <v>45874</v>
          </cell>
          <cell r="N155">
            <v>45874</v>
          </cell>
          <cell r="O155">
            <v>45880</v>
          </cell>
          <cell r="P155" t="str">
            <v>Visitas de evaluación con fines de mejoramiento</v>
          </cell>
          <cell r="Q155" t="str">
            <v>5 y 11 agosto Lic Parroq San Jose.pdf</v>
          </cell>
          <cell r="R155" t="str">
            <v>Cuenta con 1 sede de 3 pisos, con 19 aulas, oficinas (rectoria, coordinaciones, orientación), enfermeria, laboratorios, 2 patios, espacio preescolar, salon de danzas).</v>
          </cell>
          <cell r="S155" t="str">
            <v>Se evidencio que la institución cuenta con ambientes de aprendizaje adecuados, con buena iluminación y ventilación</v>
          </cell>
          <cell r="T155" t="str">
            <v>No</v>
          </cell>
          <cell r="U155" t="str">
            <v>Verificar en caso de presentarse una queja</v>
          </cell>
        </row>
        <row r="156">
          <cell r="A156">
            <v>1612</v>
          </cell>
          <cell r="B156">
            <v>17</v>
          </cell>
          <cell r="C156" t="str">
            <v>RAFAEL URIBE URIBE</v>
          </cell>
          <cell r="D156" t="str">
            <v>OFICIAL.</v>
          </cell>
          <cell r="E156" t="str">
            <v>EPBM</v>
          </cell>
          <cell r="F156" t="str">
            <v>COLEGIO_ALEXANDER_FLEMING_IED</v>
          </cell>
          <cell r="G156" t="str">
            <v>COLEGIO_ALEXANDER_FLEMING_IED</v>
          </cell>
          <cell r="H156" t="str">
            <v>Autoevaluación Institucional y Pruebas SABER 11</v>
          </cell>
          <cell r="I156" t="str">
            <v>SEGUIMIENTO_Y_SUPERVISIÓN.</v>
          </cell>
          <cell r="J156" t="str">
            <v>Proponer estrategias en la formulación, verificar su elaboración y realizar seguimiento semestral al desarrollo de  las acciones establecidas en los planes de mejoramiento por pruebas SABER 11 de los establecimientos de educación formal.</v>
          </cell>
          <cell r="K156" t="str">
            <v>BEPCI YADIRA MINA ZAPATA</v>
          </cell>
          <cell r="L156" t="str">
            <v>DORY CONSTANZA SANCHEZ ARAGÓN</v>
          </cell>
          <cell r="M156">
            <v>45756</v>
          </cell>
          <cell r="N156">
            <v>45758</v>
          </cell>
          <cell r="O156">
            <v>45768</v>
          </cell>
          <cell r="P156" t="str">
            <v>Visitas de evaluación con fines de mejoramiento</v>
          </cell>
          <cell r="Q156" t="str">
            <v>11-04-2025 Alexander Fleming.pdf</v>
          </cell>
          <cell r="R156"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56" t="str">
            <v>Realizar analisis de las Pruebas Saber y establecer acciones pertinentes. Presentar plan de mejoramiento el 20 de mayo de 2025</v>
          </cell>
          <cell r="T156" t="str">
            <v>Si</v>
          </cell>
          <cell r="U156" t="str">
            <v>Revisar PM y verificar que se ajuste a las observaciones realizadas.</v>
          </cell>
        </row>
        <row r="157">
          <cell r="A157">
            <v>1613</v>
          </cell>
          <cell r="B157"/>
          <cell r="C157" t="str">
            <v>RAFAEL URIBE URIBE</v>
          </cell>
          <cell r="D157" t="str">
            <v>OFICIAL.</v>
          </cell>
          <cell r="E157" t="str">
            <v>EPBM</v>
          </cell>
          <cell r="F157" t="str">
            <v>COLEGIO_ALEXANDER_FLEMING_IED</v>
          </cell>
          <cell r="G157" t="str">
            <v>COLEGIO_ALEXANDER_FLEMING_IED</v>
          </cell>
          <cell r="H157" t="str">
            <v>Autoevaluación Institucional y Pruebas SABER 11</v>
          </cell>
          <cell r="I157" t="str">
            <v>SEGUIMIENTO_Y_SUPERVISIÓN.</v>
          </cell>
          <cell r="J157" t="str">
            <v xml:space="preserve">Verificar la implementación por parte de los colegios, de acciones realizadas para la prevención y atención de las situaciones de convivencia en el entorno escolar, según lo establecido en la Directiva 01 de 2022 del MEN. </v>
          </cell>
          <cell r="K157" t="str">
            <v>BEPCI YADIRA MINA ZAPATA</v>
          </cell>
          <cell r="L157" t="str">
            <v>DORY CONSTANZA SANCHEZ ARAGÓN</v>
          </cell>
          <cell r="M157">
            <v>45756</v>
          </cell>
          <cell r="N157">
            <v>45758</v>
          </cell>
          <cell r="O157">
            <v>45768</v>
          </cell>
          <cell r="P157" t="str">
            <v>Visitas de evaluación con fines de mejoramiento</v>
          </cell>
          <cell r="Q157" t="str">
            <v>11-04-2025 Alexander Fleming.pdf</v>
          </cell>
          <cell r="R157" t="str">
            <v>Se evidencia operatividad del comité de convivencia escolar por medio de las actas.</v>
          </cell>
          <cell r="S157" t="str">
            <v>Continuar con las reuniones del comité de convivencia y las acciones de promoción y prevención</v>
          </cell>
          <cell r="T157" t="str">
            <v>No</v>
          </cell>
          <cell r="U157" t="str">
            <v>Verificar en caso de presentarse una queja</v>
          </cell>
        </row>
        <row r="158">
          <cell r="A158">
            <v>1614</v>
          </cell>
          <cell r="B158"/>
          <cell r="C158" t="str">
            <v>RAFAEL URIBE URIBE</v>
          </cell>
          <cell r="D158" t="str">
            <v>OFICIAL.</v>
          </cell>
          <cell r="E158" t="str">
            <v>EPBM</v>
          </cell>
          <cell r="F158" t="str">
            <v>COLEGIO_ALEXANDER_FLEMING_IED</v>
          </cell>
          <cell r="G158" t="str">
            <v>COLEGIO_ALEXANDER_FLEMING_IED</v>
          </cell>
          <cell r="H158" t="str">
            <v>Autoevaluación Institucional y Pruebas SABER 11</v>
          </cell>
          <cell r="I158" t="str">
            <v>SEGUIMIENTO_Y_SUPERVISIÓN.</v>
          </cell>
          <cell r="J1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8" t="str">
            <v>BEPCI YADIRA MINA ZAPATA</v>
          </cell>
          <cell r="L158" t="str">
            <v>DORY CONSTANZA SANCHEZ ARAGÓN</v>
          </cell>
          <cell r="M158">
            <v>45756</v>
          </cell>
          <cell r="N158">
            <v>45758</v>
          </cell>
          <cell r="O158">
            <v>45768</v>
          </cell>
          <cell r="P158" t="str">
            <v>Visitas de evaluación con fines de mejoramiento</v>
          </cell>
          <cell r="Q158" t="str">
            <v>11-04-2025 Alexander Fleming.pdf</v>
          </cell>
          <cell r="R158" t="str">
            <v>Los PIAR no están bien construidos, no se evidencia seguimiento a los mismos, la información relacionada no concuerda, no hay evidencias del diseño de actividades direccionadas  a las necesidades de los NNAJ</v>
          </cell>
          <cell r="S158" t="str">
            <v>Fortalecer el diseño, implementación y seguimiento de los PIAR que realmente permita el avance de los estudiantes. Presentar plan de mejoramiento el 20 de mayo de 2025</v>
          </cell>
          <cell r="T158" t="str">
            <v>Si</v>
          </cell>
          <cell r="U158" t="str">
            <v>Revisar PM y verificar que se ajuste a las observaciones realizadas.</v>
          </cell>
        </row>
        <row r="159">
          <cell r="A159">
            <v>1615</v>
          </cell>
          <cell r="B159"/>
          <cell r="C159" t="str">
            <v>RAFAEL URIBE URIBE</v>
          </cell>
          <cell r="D159" t="str">
            <v>OFICIAL.</v>
          </cell>
          <cell r="E159" t="str">
            <v>EPBM</v>
          </cell>
          <cell r="F159" t="str">
            <v>COLEGIO_ALEXANDER_FLEMING_IED</v>
          </cell>
          <cell r="G159" t="str">
            <v>COLEGIO_ALEXANDER_FLEMING_IED</v>
          </cell>
          <cell r="H159" t="str">
            <v>Autoevaluación Institucional y Pruebas SABER 11</v>
          </cell>
          <cell r="I159" t="str">
            <v>EVALUACIÓN_CON_FINES_DE_MEJORAMIENTO.</v>
          </cell>
          <cell r="J1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9" t="str">
            <v>BEPCI YADIRA MINA ZAPATA</v>
          </cell>
          <cell r="L159" t="str">
            <v>DORY CONSTANZA SANCHEZ ARAGÓN</v>
          </cell>
          <cell r="M159">
            <v>45756</v>
          </cell>
          <cell r="N159">
            <v>45758</v>
          </cell>
          <cell r="O159">
            <v>45768</v>
          </cell>
          <cell r="P159" t="str">
            <v>Visitas de evaluación con fines de mejoramiento</v>
          </cell>
          <cell r="Q159" t="str">
            <v>11-04-2025 Alexander Fleming.pdf</v>
          </cell>
          <cell r="R159" t="str">
            <v>Se evidencia actualización anual y aprobación del gobierno escolar del manual de convivencia.
No hay claridad en los procesos disciplnares.
La institución se encuentra en un proceso de reestructuración integral del PEI.</v>
          </cell>
          <cell r="S159" t="str">
            <v>Continuar los procesos de actualización del manual con la participación con el gobierno escolar. Presentar plan de mejoramiento el 20 de mayo de 2025</v>
          </cell>
          <cell r="T159" t="str">
            <v>Si</v>
          </cell>
          <cell r="U159" t="str">
            <v>Revisar PM y verificar que se ajuste a las observaciones realizadas.</v>
          </cell>
        </row>
        <row r="160">
          <cell r="A160">
            <v>1616</v>
          </cell>
          <cell r="B160"/>
          <cell r="C160" t="str">
            <v>RAFAEL URIBE URIBE</v>
          </cell>
          <cell r="D160" t="str">
            <v>OFICIAL.</v>
          </cell>
          <cell r="E160" t="str">
            <v>EPBM</v>
          </cell>
          <cell r="F160" t="str">
            <v>COLEGIO_ALEXANDER_FLEMING_IED</v>
          </cell>
          <cell r="G160" t="str">
            <v>COLEGIO_ALEXANDER_FLEMING_IED</v>
          </cell>
          <cell r="H160" t="str">
            <v>Autoevaluación Institucional y Pruebas SABER 11</v>
          </cell>
          <cell r="I160" t="str">
            <v>EVALUACIÓN_CON_FINES_DE_MEJORAMIENTO.</v>
          </cell>
          <cell r="J160" t="str">
            <v>Revisar la actualización, socialización e implementación del Sistema Institucional de Evaluación de Estudiantes - SIEE, en articulación con la actualización del PEI y la normatividad vigente.</v>
          </cell>
          <cell r="K160" t="str">
            <v>BEPCI YADIRA MINA ZAPATA</v>
          </cell>
          <cell r="L160" t="str">
            <v>DORY CONSTANZA SANCHEZ ARAGÓN</v>
          </cell>
          <cell r="M160">
            <v>45756</v>
          </cell>
          <cell r="N160">
            <v>45758</v>
          </cell>
          <cell r="O160">
            <v>45768</v>
          </cell>
          <cell r="P160" t="str">
            <v>Visitas de evaluación con fines de mejoramiento</v>
          </cell>
          <cell r="Q160" t="str">
            <v>11-04-2025 Alexander Fleming.pdf</v>
          </cell>
          <cell r="R160" t="str">
            <v>Cuenta con un SIEE actualizado y con participación del gobierno escolar.
La institución se encuentra en un proceso de reestructuración integral del PEI.</v>
          </cell>
          <cell r="S160" t="str">
            <v>Continuar los procesos de actualización del SIEE con la participación con el gobierno escolar. Presentar plan de mejoramiento el 20 de mayo de 2025</v>
          </cell>
          <cell r="T160" t="str">
            <v>Si</v>
          </cell>
          <cell r="U160" t="str">
            <v>Revisar PM y verificar que se ajuste a las observaciones realizadas.</v>
          </cell>
        </row>
        <row r="161">
          <cell r="A161">
            <v>1617</v>
          </cell>
          <cell r="B161"/>
          <cell r="C161" t="str">
            <v>RAFAEL URIBE URIBE</v>
          </cell>
          <cell r="D161" t="str">
            <v>OFICIAL.</v>
          </cell>
          <cell r="E161" t="str">
            <v>EPBM</v>
          </cell>
          <cell r="F161" t="str">
            <v>COLEGIO_ALEXANDER_FLEMING_IED</v>
          </cell>
          <cell r="G161" t="str">
            <v>COLEGIO_ALEXANDER_FLEMING_IED</v>
          </cell>
          <cell r="H161" t="str">
            <v>Autoevaluación Institucional y Pruebas SABER 11</v>
          </cell>
          <cell r="I161" t="str">
            <v>EVALUACIÓN_CON_FINES_DE_MEJORAMIENTO.</v>
          </cell>
          <cell r="J161" t="str">
            <v>Revisar el calendario escolar, jornada escolar, la intensidad horaria mínima anual en cada nivel y las modificaciones que se realicen al mismo, de acuerdo con lo previsto en la normatividad vigente.</v>
          </cell>
          <cell r="K161" t="str">
            <v>BEPCI YADIRA MINA ZAPATA</v>
          </cell>
          <cell r="L161" t="str">
            <v>DORY CONSTANZA SANCHEZ ARAGÓN</v>
          </cell>
          <cell r="M161">
            <v>45756</v>
          </cell>
          <cell r="N161">
            <v>45758</v>
          </cell>
          <cell r="O161">
            <v>45768</v>
          </cell>
          <cell r="P161" t="str">
            <v>Visitas de evaluación con fines de mejoramiento</v>
          </cell>
          <cell r="Q161" t="str">
            <v>11-04-2025 Alexander Fleming.pdf</v>
          </cell>
          <cell r="R161" t="str">
            <v>La institución cuenta con resolución rectoral de adpción de calendario escolar a la resolución No 1811 del 31 de octubre de 2024</v>
          </cell>
          <cell r="S161" t="str">
            <v>Dar cumplimiento a lo establecido en el calendario</v>
          </cell>
          <cell r="T161" t="str">
            <v>No</v>
          </cell>
          <cell r="U161" t="str">
            <v>Verificar en caso de presentarse una queja</v>
          </cell>
        </row>
        <row r="162">
          <cell r="A162">
            <v>1618</v>
          </cell>
          <cell r="B162"/>
          <cell r="C162" t="str">
            <v>RAFAEL URIBE URIBE</v>
          </cell>
          <cell r="D162" t="str">
            <v>OFICIAL.</v>
          </cell>
          <cell r="E162" t="str">
            <v>EPBM</v>
          </cell>
          <cell r="F162" t="str">
            <v>COLEGIO_ALEXANDER_FLEMING_IED</v>
          </cell>
          <cell r="G162" t="str">
            <v>COLEGIO_ALEXANDER_FLEMING_IED</v>
          </cell>
          <cell r="H162" t="str">
            <v>Autoevaluación Institucional y Pruebas SABER 11</v>
          </cell>
          <cell r="I162" t="str">
            <v>EVALUACIÓN_CON_FINES_DE_MEJORAMIENTO.</v>
          </cell>
          <cell r="J162" t="str">
            <v>Verificar el funcionamiento del Gobierno Escolar e instancias de participación con base en la información sobre conformación reportada por la institución educativa.</v>
          </cell>
          <cell r="K162" t="str">
            <v>BEPCI YADIRA MINA ZAPATA</v>
          </cell>
          <cell r="L162" t="str">
            <v>DORY CONSTANZA SANCHEZ ARAGÓN</v>
          </cell>
          <cell r="M162">
            <v>45756</v>
          </cell>
          <cell r="N162">
            <v>45758</v>
          </cell>
          <cell r="O162">
            <v>45768</v>
          </cell>
          <cell r="P162" t="str">
            <v>Visitas de evaluación con fines de mejoramiento</v>
          </cell>
          <cell r="Q162" t="str">
            <v>11-04-2025 Alexander Fleming.pdf</v>
          </cell>
          <cell r="R162" t="str">
            <v>Se evidencian actas de funcionamiento de los organos del Gobierno Escolar e instancias de participación.</v>
          </cell>
          <cell r="S162" t="str">
            <v>Continuar con las reuniones de los organos del Gobierno Escolar e instancias de participación con las respectivas actas.</v>
          </cell>
          <cell r="T162" t="str">
            <v>No</v>
          </cell>
          <cell r="U162" t="str">
            <v>Verificar en caso de presentarse una queja</v>
          </cell>
        </row>
        <row r="163">
          <cell r="A163">
            <v>1619</v>
          </cell>
          <cell r="B163"/>
          <cell r="C163" t="str">
            <v>RAFAEL URIBE URIBE</v>
          </cell>
          <cell r="D163" t="str">
            <v>OFICIAL.</v>
          </cell>
          <cell r="E163" t="str">
            <v>EPBM</v>
          </cell>
          <cell r="F163" t="str">
            <v>COLEGIO_ALEXANDER_FLEMING_IED</v>
          </cell>
          <cell r="G163" t="str">
            <v>COLEGIO_ALEXANDER_FLEMING_IED</v>
          </cell>
          <cell r="H163" t="str">
            <v>Autoevaluación Institucional y Pruebas SABER 11</v>
          </cell>
          <cell r="I163" t="str">
            <v>EVALUACIÓN_CON_FINES_DE_MEJORAMIENTO.</v>
          </cell>
          <cell r="J163" t="str">
            <v>Verificar las condiciones en cuanto a: la estructura administrativa, condiciones de la planta física y medios educativos adecuados.</v>
          </cell>
          <cell r="K163" t="str">
            <v>BEPCI YADIRA MINA ZAPATA</v>
          </cell>
          <cell r="L163" t="str">
            <v>DORY CONSTANZA SANCHEZ ARAGÓN</v>
          </cell>
          <cell r="M163">
            <v>45756</v>
          </cell>
          <cell r="N163">
            <v>45758</v>
          </cell>
          <cell r="O163">
            <v>45768</v>
          </cell>
          <cell r="P163" t="str">
            <v>Visitas de evaluación con fines de mejoramiento</v>
          </cell>
          <cell r="Q163" t="str">
            <v>11-04-2025 Alexander Fleming.pdf</v>
          </cell>
          <cell r="R163" t="str">
            <v>Verificación de planta física de la Sede A en arrendamiento, se encuentra en buenas condiciones. La sede A del colegio está en obra  para entrega en el segundo semestre de 2025.</v>
          </cell>
          <cell r="S163" t="str">
            <v>Reorganizar las sedes de la institución con la entrega de la obra y la proyección que tiene el colegio es cerrar las sedes C y D.</v>
          </cell>
          <cell r="T163" t="str">
            <v>No</v>
          </cell>
          <cell r="U163" t="str">
            <v>Verificar en caso de presentarse una queja</v>
          </cell>
        </row>
        <row r="164">
          <cell r="A164">
            <v>1620</v>
          </cell>
          <cell r="B164">
            <v>18</v>
          </cell>
          <cell r="C164" t="str">
            <v>RAFAEL URIBE URIBE</v>
          </cell>
          <cell r="D164" t="str">
            <v>OFICIAL.</v>
          </cell>
          <cell r="E164" t="str">
            <v>EPBM</v>
          </cell>
          <cell r="F164" t="str">
            <v>COLEGIO_MISAEL_PASTRANA_BORRERO_IED</v>
          </cell>
          <cell r="G164" t="str">
            <v>MISAEL_PASTRANA_BORRERO</v>
          </cell>
          <cell r="H164" t="str">
            <v>Autoevaluación Institucional y Pruebas SABER 11</v>
          </cell>
          <cell r="I164" t="str">
            <v>SEGUIMIENTO_Y_SUPERVISIÓN.</v>
          </cell>
          <cell r="J164" t="str">
            <v>Proponer estrategias en la formulación, verificar su elaboración y realizar seguimiento semestral al desarrollo de  las acciones establecidas en los planes de mejoramiento por pruebas SABER 11 de los establecimientos de educación formal.</v>
          </cell>
          <cell r="K164" t="str">
            <v>BEPCI YADIRA MINA ZAPATA</v>
          </cell>
          <cell r="L164" t="str">
            <v>DORY CONSTANZA SANCHEZ ARAGÓN</v>
          </cell>
          <cell r="M164">
            <v>45798</v>
          </cell>
          <cell r="N164">
            <v>45916</v>
          </cell>
          <cell r="O164">
            <v>45919</v>
          </cell>
          <cell r="P164" t="str">
            <v>Visitas de evaluación con fines de mejoramiento</v>
          </cell>
          <cell r="Q164" t="str">
            <v>Sept 16 Misael Pastrana.pdf</v>
          </cell>
          <cell r="R164" t="str">
            <v>El colegio presenta la revisión y el análisis de los resultados obtenidos en la jornada noctura, allega acta de trabajo que involucra a los docentes de las tres jornadas realizada en la semana institucional, pero este análisis lo hicieron solo desde los resulatdos que obtuvieron los estudiantes en cada uan de las pruebas y no desde los resultadfos agregados</v>
          </cell>
          <cell r="S164" t="str">
            <v>Realizar analisis de las Pruebas Saber y establecer acciones pertinentes. Presentar plan de mejoramiento el 17 de octubre de 2025</v>
          </cell>
          <cell r="T164" t="str">
            <v>Si</v>
          </cell>
          <cell r="U164" t="str">
            <v>Revisar PM y verificar que se ajuste a las observaciones realizadas.</v>
          </cell>
        </row>
        <row r="165">
          <cell r="A165">
            <v>1621</v>
          </cell>
          <cell r="B165"/>
          <cell r="C165" t="str">
            <v>RAFAEL URIBE URIBE</v>
          </cell>
          <cell r="D165" t="str">
            <v>OFICIAL.</v>
          </cell>
          <cell r="E165" t="str">
            <v>EPBM</v>
          </cell>
          <cell r="F165" t="str">
            <v>COLEGIO_MISAEL_PASTRANA_BORRERO_IED</v>
          </cell>
          <cell r="G165" t="str">
            <v>MISAEL_PASTRANA_BORRERO</v>
          </cell>
          <cell r="H165" t="str">
            <v>Autoevaluación Institucional y Pruebas SABER 11</v>
          </cell>
          <cell r="I165" t="str">
            <v>SEGUIMIENTO_Y_SUPERVISIÓN.</v>
          </cell>
          <cell r="J165" t="str">
            <v xml:space="preserve">Verificar la implementación por parte de los colegios, de acciones realizadas para la prevención y atención de las situaciones de convivencia en el entorno escolar, según lo establecido en la Directiva 01 de 2022 del MEN. </v>
          </cell>
          <cell r="K165" t="str">
            <v>BEPCI YADIRA MINA ZAPATA</v>
          </cell>
          <cell r="L165" t="str">
            <v>DORY CONSTANZA SANCHEZ ARAGÓN</v>
          </cell>
          <cell r="M165">
            <v>45798</v>
          </cell>
          <cell r="N165">
            <v>45916</v>
          </cell>
          <cell r="O165">
            <v>45919</v>
          </cell>
          <cell r="P165" t="str">
            <v>Visitas de evaluación con fines de mejoramiento</v>
          </cell>
          <cell r="Q165" t="str">
            <v>Sept 16 Misael Pastrana.pdf</v>
          </cell>
          <cell r="R165" t="str">
            <v>Se evidencia operatividad del comité de convivencia escolar por medio de las actas. El comité esta realizando actividades de atención de situaciones tipo II y III. No se lidetan las acciones de promoción y prevención</v>
          </cell>
          <cell r="S165" t="str">
            <v>Revisar las funciones del comité de convivencia. Presentan plan de mejoramiento el 17 de octubre de 2025</v>
          </cell>
          <cell r="T165" t="str">
            <v>Si</v>
          </cell>
          <cell r="U165" t="str">
            <v>Revisar PM y verificar que se ajuste a las observaciones realizadas.</v>
          </cell>
        </row>
        <row r="166">
          <cell r="A166">
            <v>1622</v>
          </cell>
          <cell r="B166"/>
          <cell r="C166" t="str">
            <v>RAFAEL URIBE URIBE</v>
          </cell>
          <cell r="D166" t="str">
            <v>OFICIAL.</v>
          </cell>
          <cell r="E166" t="str">
            <v>EPBM</v>
          </cell>
          <cell r="F166" t="str">
            <v>COLEGIO_MISAEL_PASTRANA_BORRERO_IED</v>
          </cell>
          <cell r="G166" t="str">
            <v>MISAEL_PASTRANA_BORRERO</v>
          </cell>
          <cell r="H166" t="str">
            <v>Autoevaluación Institucional y Pruebas SABER 11</v>
          </cell>
          <cell r="I166" t="str">
            <v>SEGUIMIENTO_Y_SUPERVISIÓN.</v>
          </cell>
          <cell r="J16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6" t="str">
            <v>BEPCI YADIRA MINA ZAPATA</v>
          </cell>
          <cell r="L166" t="str">
            <v>DORY CONSTANZA SANCHEZ ARAGÓN</v>
          </cell>
          <cell r="M166">
            <v>45798</v>
          </cell>
          <cell r="N166">
            <v>45916</v>
          </cell>
          <cell r="O166">
            <v>45919</v>
          </cell>
          <cell r="P166" t="str">
            <v>Visitas de evaluación con fines de mejoramiento</v>
          </cell>
          <cell r="Q166" t="str">
            <v>Sept 16 Misael Pastrana.pdf</v>
          </cell>
          <cell r="R166" t="str">
            <v>El colegio cuenta con los PIAR de los estudiantes, se ha realizado un buen trabajo. Con relación a los transtornos no se encuentran caracterizados y no hay claridad de la cantidad</v>
          </cell>
          <cell r="S166" t="str">
            <v>Caracterizar y organizar la información de los estudiantes con trastornos Presentar plan de mejoramiento el 17 de octubre de 2025</v>
          </cell>
          <cell r="T166" t="str">
            <v>Si</v>
          </cell>
          <cell r="U166" t="str">
            <v>Revisar PM y verificar que se ajuste a las observaciones realizadas.</v>
          </cell>
        </row>
        <row r="167">
          <cell r="A167">
            <v>1623</v>
          </cell>
          <cell r="B167"/>
          <cell r="C167" t="str">
            <v>RAFAEL URIBE URIBE</v>
          </cell>
          <cell r="D167" t="str">
            <v>OFICIAL.</v>
          </cell>
          <cell r="E167" t="str">
            <v>EPBM</v>
          </cell>
          <cell r="F167" t="str">
            <v>COLEGIO_MISAEL_PASTRANA_BORRERO_IED</v>
          </cell>
          <cell r="G167" t="str">
            <v>MISAEL_PASTRANA_BORRERO</v>
          </cell>
          <cell r="H167" t="str">
            <v>Autoevaluación Institucional y Pruebas SABER 11</v>
          </cell>
          <cell r="I167" t="str">
            <v>EVALUACIÓN_CON_FINES_DE_MEJORAMIENTO.</v>
          </cell>
          <cell r="J16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7" t="str">
            <v>BEPCI YADIRA MINA ZAPATA</v>
          </cell>
          <cell r="L167" t="str">
            <v>DORY CONSTANZA SANCHEZ ARAGÓN</v>
          </cell>
          <cell r="M167">
            <v>45798</v>
          </cell>
          <cell r="N167">
            <v>45916</v>
          </cell>
          <cell r="O167">
            <v>45919</v>
          </cell>
          <cell r="P167" t="str">
            <v>Visitas de evaluación con fines de mejoramiento</v>
          </cell>
          <cell r="Q167" t="str">
            <v>Sept 16 Misael Pastrana.pdf</v>
          </cell>
          <cell r="R167" t="str">
            <v>Se evidencia actualización anual y aprobación del gobierno escolar del manual de convivencia.
No hay claridad en los procesos disciplnares.
La institución se encuentra en un proceso de reestructuración integral del PEI.</v>
          </cell>
          <cell r="S167" t="str">
            <v>Continuar los procesos de actualización del manual con la participación con el gobierno escolar. Presentar plan de mejoramiento el 17 de octubre de 2025</v>
          </cell>
          <cell r="T167" t="str">
            <v>Si</v>
          </cell>
          <cell r="U167" t="str">
            <v>Revisar PM y verificar que se ajuste a las observaciones realizadas.</v>
          </cell>
        </row>
        <row r="168">
          <cell r="A168">
            <v>1624</v>
          </cell>
          <cell r="B168"/>
          <cell r="C168" t="str">
            <v>RAFAEL URIBE URIBE</v>
          </cell>
          <cell r="D168" t="str">
            <v>OFICIAL.</v>
          </cell>
          <cell r="E168" t="str">
            <v>EPBM</v>
          </cell>
          <cell r="F168" t="str">
            <v>COLEGIO_MISAEL_PASTRANA_BORRERO_IED</v>
          </cell>
          <cell r="G168" t="str">
            <v>MISAEL_PASTRANA_BORRERO</v>
          </cell>
          <cell r="H168" t="str">
            <v>Autoevaluación Institucional y Pruebas SABER 11</v>
          </cell>
          <cell r="I168" t="str">
            <v>EVALUACIÓN_CON_FINES_DE_MEJORAMIENTO.</v>
          </cell>
          <cell r="J168" t="str">
            <v>Revisar la actualización, socialización e implementación del Sistema Institucional de Evaluación de Estudiantes - SIEE, en articulación con la actualización del PEI y la normatividad vigente.</v>
          </cell>
          <cell r="K168" t="str">
            <v>BEPCI YADIRA MINA ZAPATA</v>
          </cell>
          <cell r="L168" t="str">
            <v>DORY CONSTANZA SANCHEZ ARAGÓN</v>
          </cell>
          <cell r="M168">
            <v>45798</v>
          </cell>
          <cell r="N168">
            <v>45916</v>
          </cell>
          <cell r="O168">
            <v>45919</v>
          </cell>
          <cell r="P168" t="str">
            <v>Visitas de evaluación con fines de mejoramiento</v>
          </cell>
          <cell r="Q168" t="str">
            <v>Sept 16 Misael Pastrana.pdf</v>
          </cell>
          <cell r="R168" t="str">
            <v>Cuenta con un SIEE actualizado y con participación del gobierno escolar.
La institución se encuentra en un proceso de reestructuración integral del PEI.</v>
          </cell>
          <cell r="S168" t="str">
            <v>Continuar los procesos de actualización del SIEE con la participación con el gobierno escolar. Presentar plan de mejoramiento el 17 de octubre de 2025</v>
          </cell>
          <cell r="T168" t="str">
            <v>Si</v>
          </cell>
          <cell r="U168" t="str">
            <v>Revisar PM y verificar que se ajuste a las observaciones realizadas.</v>
          </cell>
        </row>
        <row r="169">
          <cell r="A169">
            <v>1625</v>
          </cell>
          <cell r="B169"/>
          <cell r="C169" t="str">
            <v>RAFAEL URIBE URIBE</v>
          </cell>
          <cell r="D169" t="str">
            <v>OFICIAL.</v>
          </cell>
          <cell r="E169" t="str">
            <v>EPBM</v>
          </cell>
          <cell r="F169" t="str">
            <v>COLEGIO_MISAEL_PASTRANA_BORRERO_IED</v>
          </cell>
          <cell r="G169" t="str">
            <v>MISAEL_PASTRANA_BORRERO</v>
          </cell>
          <cell r="H169" t="str">
            <v>Autoevaluación Institucional y Pruebas SABER 11</v>
          </cell>
          <cell r="I169" t="str">
            <v>EVALUACIÓN_CON_FINES_DE_MEJORAMIENTO.</v>
          </cell>
          <cell r="J169" t="str">
            <v>Revisar el calendario escolar, jornada escolar, la intensidad horaria mínima anual en cada nivel y las modificaciones que se realicen al mismo, de acuerdo con lo previsto en la normatividad vigente.</v>
          </cell>
          <cell r="K169" t="str">
            <v>BEPCI YADIRA MINA ZAPATA</v>
          </cell>
          <cell r="L169" t="str">
            <v>DORY CONSTANZA SANCHEZ ARAGÓN</v>
          </cell>
          <cell r="M169">
            <v>45798</v>
          </cell>
          <cell r="N169">
            <v>45916</v>
          </cell>
          <cell r="O169">
            <v>45919</v>
          </cell>
          <cell r="P169" t="str">
            <v>Visitas de evaluación con fines de mejoramiento</v>
          </cell>
          <cell r="Q169" t="str">
            <v>Sept 16 Misael Pastrana.pdf</v>
          </cell>
          <cell r="R169" t="str">
            <v>La institución cuenta con cronograma escolar ajustado a la resolución No 1811 del 31 de octubre de 2024</v>
          </cell>
          <cell r="S169" t="str">
            <v>Dar cumplimiento a lo establecido en el calendario</v>
          </cell>
          <cell r="T169" t="str">
            <v>No</v>
          </cell>
          <cell r="U169" t="str">
            <v>Verificar en caso de presentarse una queja</v>
          </cell>
        </row>
        <row r="170">
          <cell r="A170">
            <v>1626</v>
          </cell>
          <cell r="B170"/>
          <cell r="C170" t="str">
            <v>RAFAEL URIBE URIBE</v>
          </cell>
          <cell r="D170" t="str">
            <v>OFICIAL.</v>
          </cell>
          <cell r="E170" t="str">
            <v>EPBM</v>
          </cell>
          <cell r="F170" t="str">
            <v>COLEGIO_MISAEL_PASTRANA_BORRERO_IED</v>
          </cell>
          <cell r="G170" t="str">
            <v>MISAEL_PASTRANA_BORRERO</v>
          </cell>
          <cell r="H170" t="str">
            <v>Autoevaluación Institucional y Pruebas SABER 11</v>
          </cell>
          <cell r="I170" t="str">
            <v>EVALUACIÓN_CON_FINES_DE_MEJORAMIENTO.</v>
          </cell>
          <cell r="J170" t="str">
            <v>Verificar el funcionamiento del Gobierno Escolar e instancias de participación con base en la información sobre conformación reportada por la institución educativa.</v>
          </cell>
          <cell r="K170" t="str">
            <v>BEPCI YADIRA MINA ZAPATA</v>
          </cell>
          <cell r="L170" t="str">
            <v>DORY CONSTANZA SANCHEZ ARAGÓN</v>
          </cell>
          <cell r="M170">
            <v>45798</v>
          </cell>
          <cell r="N170">
            <v>45916</v>
          </cell>
          <cell r="O170">
            <v>45919</v>
          </cell>
          <cell r="P170" t="str">
            <v>Visitas de evaluación con fines de mejoramiento</v>
          </cell>
          <cell r="Q170" t="str">
            <v>Sept 16 Misael Pastrana.pdf</v>
          </cell>
          <cell r="R170" t="str">
            <v>Se evidencian actas de funcionamiento de los organos del Gobierno Escolar e instancias de participación.</v>
          </cell>
          <cell r="S170" t="str">
            <v>Continuar con las reuniones de los organos del Gobierno Escolar e instancias de participación con las respectivas actas.</v>
          </cell>
          <cell r="T170" t="str">
            <v>No</v>
          </cell>
          <cell r="U170" t="str">
            <v>Verificar en caso de presentarse una queja</v>
          </cell>
        </row>
        <row r="171">
          <cell r="A171">
            <v>1627</v>
          </cell>
          <cell r="B171"/>
          <cell r="C171" t="str">
            <v>RAFAEL URIBE URIBE</v>
          </cell>
          <cell r="D171" t="str">
            <v>OFICIAL.</v>
          </cell>
          <cell r="E171" t="str">
            <v>EPBM</v>
          </cell>
          <cell r="F171" t="str">
            <v>COLEGIO_MISAEL_PASTRANA_BORRERO_IED</v>
          </cell>
          <cell r="G171" t="str">
            <v>MISAEL_PASTRANA_BORRERO</v>
          </cell>
          <cell r="H171" t="str">
            <v>Autoevaluación Institucional y Pruebas SABER 11</v>
          </cell>
          <cell r="I171" t="str">
            <v>EVALUACIÓN_CON_FINES_DE_MEJORAMIENTO.</v>
          </cell>
          <cell r="J171" t="str">
            <v>Verificar las condiciones en cuanto a: la estructura administrativa, condiciones de la planta física y medios educativos adecuados.</v>
          </cell>
          <cell r="K171" t="str">
            <v>BEPCI YADIRA MINA ZAPATA</v>
          </cell>
          <cell r="L171" t="str">
            <v>DORY CONSTANZA SANCHEZ ARAGÓN</v>
          </cell>
          <cell r="M171">
            <v>45798</v>
          </cell>
          <cell r="N171">
            <v>45916</v>
          </cell>
          <cell r="O171">
            <v>45919</v>
          </cell>
          <cell r="P171" t="str">
            <v>Visitas de evaluación con fines de mejoramiento</v>
          </cell>
          <cell r="Q171" t="str">
            <v>Sept 16 Misael Pastrana.pdf</v>
          </cell>
          <cell r="R171" t="str">
            <v>Verificación de planta física cuenta con 1 sola sede. La sala de profesores es de dificil acceso y las oficinas de coordinación son muy pequeñas</v>
          </cell>
          <cell r="S171" t="str">
            <v>Se han realizado requerimientos a la Dirección de Construcción para revisar el tema</v>
          </cell>
          <cell r="T171" t="str">
            <v>No</v>
          </cell>
          <cell r="U171" t="str">
            <v>Verificar en caso de presentarse una queja</v>
          </cell>
        </row>
        <row r="172">
          <cell r="A172">
            <v>1628</v>
          </cell>
          <cell r="B172">
            <v>19</v>
          </cell>
          <cell r="C172" t="str">
            <v>RAFAEL URIBE URIBE</v>
          </cell>
          <cell r="D172" t="str">
            <v>OFICIAL.</v>
          </cell>
          <cell r="E172" t="str">
            <v>EPBM</v>
          </cell>
          <cell r="F172" t="str">
            <v>COLEGIO_JOSE_MARTI_IED</v>
          </cell>
          <cell r="G172" t="str">
            <v>LUIS_LOPEZ_DE_MESA</v>
          </cell>
          <cell r="H172" t="str">
            <v>Autoevaluación Institucional y Pruebas SABER 11</v>
          </cell>
          <cell r="I172" t="str">
            <v>SEGUIMIENTO_Y_SUPERVISIÓN.</v>
          </cell>
          <cell r="J172" t="str">
            <v>Proponer estrategias en la formulación, verificar su elaboración y realizar seguimiento semestral al desarrollo de  las acciones establecidas en los planes de mejoramiento por pruebas SABER 11 de los establecimientos de educación formal.</v>
          </cell>
          <cell r="K172" t="str">
            <v>DORY CONSTANZA SANCHEZ ARAGÓN</v>
          </cell>
          <cell r="L172" t="str">
            <v>BEPCI YADIRA MINA ZAPATA</v>
          </cell>
          <cell r="M172">
            <v>45881</v>
          </cell>
          <cell r="N172">
            <v>45881</v>
          </cell>
          <cell r="O172">
            <v>45884</v>
          </cell>
          <cell r="P172" t="str">
            <v>Visitas de evaluación con fines de mejoramiento</v>
          </cell>
          <cell r="Q172" t="str">
            <v>12 y 15 agosto Col Jose Marti IED.pdf</v>
          </cell>
          <cell r="R172" t="str">
            <v>Se evidencia que la institución realizó un analisi general pero no de los resultados agregados obtenidos en las Pruebas Saber en el año 2024 con el Consejo Académico y no ha establecido acciones específicas ni plan de mejoramiento para fortalecer los resultados de las pruebas saber.</v>
          </cell>
          <cell r="S172" t="str">
            <v>Realizar analisis de las Pruebas Saber y establecer acciones pertinentes. Presentar plan de mejoramiento el 15 de septiembre  de 2025</v>
          </cell>
          <cell r="T172" t="str">
            <v>Si</v>
          </cell>
          <cell r="U172" t="str">
            <v>Revisar PM y verificar que se ajuste a las observaciones realizadas.</v>
          </cell>
        </row>
        <row r="173">
          <cell r="A173">
            <v>1629</v>
          </cell>
          <cell r="B173"/>
          <cell r="C173" t="str">
            <v>RAFAEL URIBE URIBE</v>
          </cell>
          <cell r="D173" t="str">
            <v>OFICIAL.</v>
          </cell>
          <cell r="E173" t="str">
            <v>EPBM</v>
          </cell>
          <cell r="F173" t="str">
            <v>COLEGIO_JOSE_MARTI_IED</v>
          </cell>
          <cell r="G173" t="str">
            <v>LUIS_LOPEZ_DE_MESA</v>
          </cell>
          <cell r="H173" t="str">
            <v>Autoevaluación Institucional y Pruebas SABER 11</v>
          </cell>
          <cell r="I173" t="str">
            <v>SEGUIMIENTO_Y_SUPERVISIÓN.</v>
          </cell>
          <cell r="J173" t="str">
            <v xml:space="preserve">Verificar la implementación por parte de los colegios, de acciones realizadas para la prevención y atención de las situaciones de convivencia en el entorno escolar, según lo establecido en la Directiva 01 de 2022 del MEN. </v>
          </cell>
          <cell r="K173" t="str">
            <v>DORY CONSTANZA SANCHEZ ARAGÓN</v>
          </cell>
          <cell r="L173" t="str">
            <v>BEPCI YADIRA MINA ZAPATA</v>
          </cell>
          <cell r="M173">
            <v>45881</v>
          </cell>
          <cell r="N173">
            <v>45881</v>
          </cell>
          <cell r="O173">
            <v>45884</v>
          </cell>
          <cell r="P173" t="str">
            <v>Visitas de evaluación con fines de mejoramiento</v>
          </cell>
          <cell r="Q173" t="str">
            <v>12 y 15 agosto Col Jose Marti IED.pdf</v>
          </cell>
          <cell r="R173" t="str">
            <v>Se evidendia operatividad del comité de convivencia escolar por medio de las actas.</v>
          </cell>
          <cell r="S173" t="str">
            <v>Continuar con las reuniones del comité de convivencia y las acciones de promoción y prevención</v>
          </cell>
          <cell r="T173" t="str">
            <v>No</v>
          </cell>
          <cell r="U173" t="str">
            <v>Verificar en caso de presentarse una queja</v>
          </cell>
        </row>
        <row r="174">
          <cell r="A174">
            <v>1630</v>
          </cell>
          <cell r="B174"/>
          <cell r="C174" t="str">
            <v>RAFAEL URIBE URIBE</v>
          </cell>
          <cell r="D174" t="str">
            <v>OFICIAL.</v>
          </cell>
          <cell r="E174" t="str">
            <v>EPBM</v>
          </cell>
          <cell r="F174" t="str">
            <v>COLEGIO_JOSE_MARTI_IED</v>
          </cell>
          <cell r="G174" t="str">
            <v>LUIS_LOPEZ_DE_MESA</v>
          </cell>
          <cell r="H174" t="str">
            <v>Autoevaluación Institucional y Pruebas SABER 11</v>
          </cell>
          <cell r="I174" t="str">
            <v>SEGUIMIENTO_Y_SUPERVISIÓN.</v>
          </cell>
          <cell r="J1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4" t="str">
            <v>DORY CONSTANZA SANCHEZ ARAGÓN</v>
          </cell>
          <cell r="L174" t="str">
            <v>BEPCI YADIRA MINA ZAPATA</v>
          </cell>
          <cell r="M174">
            <v>45881</v>
          </cell>
          <cell r="N174">
            <v>45881</v>
          </cell>
          <cell r="O174">
            <v>45884</v>
          </cell>
          <cell r="P174" t="str">
            <v>Visitas de evaluación con fines de mejoramiento</v>
          </cell>
          <cell r="Q174" t="str">
            <v>12 y 15 agosto Col Jose Marti IED.pdf</v>
          </cell>
          <cell r="R174" t="str">
            <v>El colegio cuenta con todos los PIAR de los estudiantes, en una base digital, muy bien organizada, pero al revisar el ítem de valoración pedagógica es muy importante que se analicen las metas institucionales</v>
          </cell>
          <cell r="S174" t="str">
            <v>Fortalecer el diseño, implementación y seguimiento de los PIAR que realmente permita el avance de los estudiantes. Presentar plan de mejoramiento el 15 de septiembre de 2025</v>
          </cell>
          <cell r="T174" t="str">
            <v>Si</v>
          </cell>
          <cell r="U174" t="str">
            <v>Revisar PM y verificar que se ajuste a las observaciones realizadas.</v>
          </cell>
        </row>
        <row r="175">
          <cell r="A175">
            <v>1631</v>
          </cell>
          <cell r="B175"/>
          <cell r="C175" t="str">
            <v>RAFAEL URIBE URIBE</v>
          </cell>
          <cell r="D175" t="str">
            <v>OFICIAL.</v>
          </cell>
          <cell r="E175" t="str">
            <v>EPBM</v>
          </cell>
          <cell r="F175" t="str">
            <v>COLEGIO_JOSE_MARTI_IED</v>
          </cell>
          <cell r="G175" t="str">
            <v>LUIS_LOPEZ_DE_MESA</v>
          </cell>
          <cell r="H175" t="str">
            <v>Autoevaluación Institucional y Pruebas SABER 11</v>
          </cell>
          <cell r="I175" t="str">
            <v>EVALUACIÓN_CON_FINES_DE_MEJORAMIENTO.</v>
          </cell>
          <cell r="J17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5" t="str">
            <v>DORY CONSTANZA SANCHEZ ARAGÓN</v>
          </cell>
          <cell r="L175" t="str">
            <v>BEPCI YADIRA MINA ZAPATA</v>
          </cell>
          <cell r="M175">
            <v>45881</v>
          </cell>
          <cell r="N175">
            <v>45881</v>
          </cell>
          <cell r="O175">
            <v>45884</v>
          </cell>
          <cell r="P175" t="str">
            <v>Visitas de evaluación con fines de mejoramiento</v>
          </cell>
          <cell r="Q175" t="str">
            <v>12 y 15 agosto Col Jose Marti IED.pdf</v>
          </cell>
          <cell r="R175" t="str">
            <v>Se evidencia actualización anual y aprobación del gobierno escolar del manual de convivencia.
La institución se encuentra en un proceso de reestructuración integral del PEI.</v>
          </cell>
          <cell r="S175" t="str">
            <v>Continuar los procesos de actualización del manual con la participación con el gobierno escolar. Presentar plan de mejoramiento el 15 de septiembre de 2025</v>
          </cell>
          <cell r="T175" t="str">
            <v>Si</v>
          </cell>
          <cell r="U175" t="str">
            <v>Revisar PM y verificar que se ajuste a las observaciones realizadas.</v>
          </cell>
        </row>
        <row r="176">
          <cell r="A176">
            <v>1632</v>
          </cell>
          <cell r="B176"/>
          <cell r="C176" t="str">
            <v>RAFAEL URIBE URIBE</v>
          </cell>
          <cell r="D176" t="str">
            <v>OFICIAL.</v>
          </cell>
          <cell r="E176" t="str">
            <v>EPBM</v>
          </cell>
          <cell r="F176" t="str">
            <v>COLEGIO_JOSE_MARTI_IED</v>
          </cell>
          <cell r="G176" t="str">
            <v>LUIS_LOPEZ_DE_MESA</v>
          </cell>
          <cell r="H176" t="str">
            <v>Autoevaluación Institucional y Pruebas SABER 11</v>
          </cell>
          <cell r="I176" t="str">
            <v>EVALUACIÓN_CON_FINES_DE_MEJORAMIENTO.</v>
          </cell>
          <cell r="J176" t="str">
            <v>Revisar la actualización, socialización e implementación del Sistema Institucional de Evaluación de Estudiantes - SIEE, en articulación con la actualización del PEI y la normatividad vigente.</v>
          </cell>
          <cell r="K176" t="str">
            <v>DORY CONSTANZA SANCHEZ ARAGÓN</v>
          </cell>
          <cell r="L176" t="str">
            <v>BEPCI YADIRA MINA ZAPATA</v>
          </cell>
          <cell r="M176">
            <v>45881</v>
          </cell>
          <cell r="N176">
            <v>45881</v>
          </cell>
          <cell r="O176">
            <v>45884</v>
          </cell>
          <cell r="P176" t="str">
            <v>Visitas de evaluación con fines de mejoramiento</v>
          </cell>
          <cell r="Q176" t="str">
            <v>12 y 15 agosto Col Jose Marti IED.pdf</v>
          </cell>
          <cell r="R176" t="str">
            <v>Cuenta con un SIEE actualizado y con participación del gobierno escolar.
La institución se encuentra en un proceso de reestructuración integral del PEI.</v>
          </cell>
          <cell r="S176" t="str">
            <v>Continuar los procesos de actualización del SIEE con la participación con el gobierno escolar. Presentar plan de mejoramiento el 15 de septiembre de 2025</v>
          </cell>
          <cell r="T176" t="str">
            <v>Si</v>
          </cell>
          <cell r="U176" t="str">
            <v>Revisar PM y verificar que se ajuste a las observaciones realizadas.</v>
          </cell>
        </row>
        <row r="177">
          <cell r="A177">
            <v>1633</v>
          </cell>
          <cell r="B177"/>
          <cell r="C177" t="str">
            <v>RAFAEL URIBE URIBE</v>
          </cell>
          <cell r="D177" t="str">
            <v>OFICIAL.</v>
          </cell>
          <cell r="E177" t="str">
            <v>EPBM</v>
          </cell>
          <cell r="F177" t="str">
            <v>COLEGIO_JOSE_MARTI_IED</v>
          </cell>
          <cell r="G177" t="str">
            <v>LUIS_LOPEZ_DE_MESA</v>
          </cell>
          <cell r="H177" t="str">
            <v>Autoevaluación Institucional y Pruebas SABER 11</v>
          </cell>
          <cell r="I177" t="str">
            <v>EVALUACIÓN_CON_FINES_DE_MEJORAMIENTO.</v>
          </cell>
          <cell r="J177" t="str">
            <v>Revisar el calendario escolar, jornada escolar, la intensidad horaria mínima anual en cada nivel y las modificaciones que se realicen al mismo, de acuerdo con lo previsto en la normatividad vigente.</v>
          </cell>
          <cell r="K177" t="str">
            <v>DORY CONSTANZA SANCHEZ ARAGÓN</v>
          </cell>
          <cell r="L177" t="str">
            <v>BEPCI YADIRA MINA ZAPATA</v>
          </cell>
          <cell r="M177">
            <v>45881</v>
          </cell>
          <cell r="N177">
            <v>45881</v>
          </cell>
          <cell r="O177">
            <v>45884</v>
          </cell>
          <cell r="P177" t="str">
            <v>Visitas de evaluación con fines de mejoramiento</v>
          </cell>
          <cell r="Q177" t="str">
            <v>12 y 15 agosto Col Jose Marti IED.pdf</v>
          </cell>
          <cell r="R177" t="str">
            <v>La institución cuenta con resolución rectoral de adpción de calendario escolar a la resolución No 1811 del 31 de octubre de 2024</v>
          </cell>
          <cell r="S177" t="str">
            <v>Dar cumplimiento a lo establecido en el calendario</v>
          </cell>
          <cell r="T177" t="str">
            <v>No</v>
          </cell>
          <cell r="U177" t="str">
            <v>Verificar en caso de presentarse una queja</v>
          </cell>
        </row>
        <row r="178">
          <cell r="A178">
            <v>1634</v>
          </cell>
          <cell r="B178"/>
          <cell r="C178" t="str">
            <v>RAFAEL URIBE URIBE</v>
          </cell>
          <cell r="D178" t="str">
            <v>OFICIAL.</v>
          </cell>
          <cell r="E178" t="str">
            <v>EPBM</v>
          </cell>
          <cell r="F178" t="str">
            <v>COLEGIO_JOSE_MARTI_IED</v>
          </cell>
          <cell r="G178" t="str">
            <v>LUIS_LOPEZ_DE_MESA</v>
          </cell>
          <cell r="H178" t="str">
            <v>Autoevaluación Institucional y Pruebas SABER 11</v>
          </cell>
          <cell r="I178" t="str">
            <v>EVALUACIÓN_CON_FINES_DE_MEJORAMIENTO.</v>
          </cell>
          <cell r="J178" t="str">
            <v>Verificar el funcionamiento del Gobierno Escolar e instancias de participación con base en la información sobre conformación reportada por la institución educativa.</v>
          </cell>
          <cell r="K178" t="str">
            <v>DORY CONSTANZA SANCHEZ ARAGÓN</v>
          </cell>
          <cell r="L178" t="str">
            <v>BEPCI YADIRA MINA ZAPATA</v>
          </cell>
          <cell r="M178">
            <v>45881</v>
          </cell>
          <cell r="N178">
            <v>45881</v>
          </cell>
          <cell r="O178">
            <v>45884</v>
          </cell>
          <cell r="P178" t="str">
            <v>Visitas de evaluación con fines de mejoramiento</v>
          </cell>
          <cell r="Q178" t="str">
            <v>12 y 15 agosto Col Jose Marti IED.pdf</v>
          </cell>
          <cell r="R178" t="str">
            <v>Se evidencian actas de funcionamiento de los organos del Gobierno Escolar e instancias de participación.</v>
          </cell>
          <cell r="S178" t="str">
            <v>Continuar con las reuniones de los organos del Gobierno Escolar e instancias de participación con las respectivas actas.</v>
          </cell>
          <cell r="T178" t="str">
            <v>No</v>
          </cell>
          <cell r="U178" t="str">
            <v>Verificar en caso de presentarse una queja</v>
          </cell>
        </row>
        <row r="179">
          <cell r="A179">
            <v>1635</v>
          </cell>
          <cell r="B179"/>
          <cell r="C179" t="str">
            <v>RAFAEL URIBE URIBE</v>
          </cell>
          <cell r="D179" t="str">
            <v>OFICIAL.</v>
          </cell>
          <cell r="E179" t="str">
            <v>EPBM</v>
          </cell>
          <cell r="F179" t="str">
            <v>COLEGIO_JOSE_MARTI_IED</v>
          </cell>
          <cell r="G179" t="str">
            <v>LUIS_LOPEZ_DE_MESA</v>
          </cell>
          <cell r="H179" t="str">
            <v>Autoevaluación Institucional y Pruebas SABER 11</v>
          </cell>
          <cell r="I179" t="str">
            <v>EVALUACIÓN_CON_FINES_DE_MEJORAMIENTO.</v>
          </cell>
          <cell r="J179" t="str">
            <v>Verificar las condiciones en cuanto a: la estructura administrativa, condiciones de la planta física y medios educativos adecuados.</v>
          </cell>
          <cell r="K179" t="str">
            <v>DORY CONSTANZA SANCHEZ ARAGÓN</v>
          </cell>
          <cell r="L179" t="str">
            <v>BEPCI YADIRA MINA ZAPATA</v>
          </cell>
          <cell r="M179">
            <v>45881</v>
          </cell>
          <cell r="N179">
            <v>45881</v>
          </cell>
          <cell r="O179">
            <v>45884</v>
          </cell>
          <cell r="P179" t="str">
            <v>Visitas de evaluación con fines de mejoramiento</v>
          </cell>
          <cell r="Q179" t="str">
            <v>12 y 15 agosto Col Jose Marti IED.pdf</v>
          </cell>
          <cell r="R179" t="str">
            <v>Verificación de planta física de la Sede A. La institución cuenta con 5 sedes para atender a toda su población</v>
          </cell>
          <cell r="S179" t="str">
            <v>Se evidencio que la institución cuenta con ambientes de aprendizaje adecuados, con buena iluminación y ventilación</v>
          </cell>
          <cell r="T179" t="str">
            <v>No</v>
          </cell>
          <cell r="U179" t="str">
            <v>Verificar en caso de presentarse una queja</v>
          </cell>
        </row>
        <row r="180">
          <cell r="A180">
            <v>1636</v>
          </cell>
          <cell r="B180">
            <v>20</v>
          </cell>
          <cell r="C180" t="str">
            <v>RAFAEL URIBE URIBE</v>
          </cell>
          <cell r="D180" t="str">
            <v>PRIVADO</v>
          </cell>
          <cell r="E180" t="str">
            <v>EPBM</v>
          </cell>
          <cell r="F180" t="str">
            <v>GIMNASIO_NUESTRA_SEÑORA_DE_LA_ESPERANZA</v>
          </cell>
          <cell r="G180" t="str">
            <v>GIMNASIO_NUESTRA_SEÑORA_DE_LA_ESPERANZA</v>
          </cell>
          <cell r="H180" t="str">
            <v>Autoevaluación Institucional y Pruebas SABER 11</v>
          </cell>
          <cell r="I180" t="str">
            <v>SEGUIMIENTO_Y_SUPERVISIÓN.</v>
          </cell>
          <cell r="J180" t="str">
            <v>Realizar visitas para verificar la información registrada sobre la autoevaluación institucional en el aplicativo EVI, a los establecimientos de educación formal no oficial.</v>
          </cell>
          <cell r="K180" t="str">
            <v>BEPCI YADIRA MINA ZAPATA</v>
          </cell>
          <cell r="L180" t="str">
            <v>DORY CONSTANZA SANCHEZ ARAGÓN</v>
          </cell>
          <cell r="M180">
            <v>45896</v>
          </cell>
          <cell r="N180">
            <v>45798</v>
          </cell>
          <cell r="O180">
            <v>45803</v>
          </cell>
          <cell r="P180" t="str">
            <v>Visitas de evaluación con fines de mejoramiento</v>
          </cell>
          <cell r="Q180" t="str">
            <v>21 y 26 Mayo 2025 Gimnasio Nuestra Señora Esperanza.pdf</v>
          </cell>
          <cell r="R180" t="str">
            <v>Cuentan con docentes sin afiliación a seguridad social.</v>
          </cell>
          <cell r="S180" t="str">
            <v>Realizar pago de seguridad social a todo el personal de la institución. Presentar plan de mejoramiento el 18 de julio de 2025</v>
          </cell>
          <cell r="T180" t="str">
            <v>Si</v>
          </cell>
          <cell r="U180" t="str">
            <v>Revisar PM y verificar que se ajuste a las observaciones realizadas.</v>
          </cell>
        </row>
        <row r="181">
          <cell r="A181">
            <v>1637</v>
          </cell>
          <cell r="B181"/>
          <cell r="C181" t="str">
            <v>RAFAEL URIBE URIBE</v>
          </cell>
          <cell r="D181" t="str">
            <v>PRIVADO</v>
          </cell>
          <cell r="E181" t="str">
            <v>EPBM</v>
          </cell>
          <cell r="F181" t="str">
            <v>GIMNASIO_NUESTRA_SEÑORA_DE_LA_ESPERANZA</v>
          </cell>
          <cell r="G181" t="str">
            <v>GIMNASIO_NUESTRA_SEÑORA_DE_LA_ESPERANZA</v>
          </cell>
          <cell r="H181" t="str">
            <v>Autoevaluación Institucional y Pruebas SABER 11</v>
          </cell>
          <cell r="I181" t="str">
            <v>SEGUIMIENTO_Y_SUPERVISIÓN.</v>
          </cell>
          <cell r="J181" t="str">
            <v>Proponer estrategias en la formulación, verificar su elaboración y realizar seguimiento semestral al desarrollo de  las acciones establecidas en los planes de mejoramiento por pruebas SABER 11 de los establecimientos de educación formal.</v>
          </cell>
          <cell r="K181" t="str">
            <v>BEPCI YADIRA MINA ZAPATA</v>
          </cell>
          <cell r="L181" t="str">
            <v>DORY CONSTANZA SANCHEZ ARAGÓN</v>
          </cell>
          <cell r="M181">
            <v>45896</v>
          </cell>
          <cell r="N181">
            <v>45798</v>
          </cell>
          <cell r="O181">
            <v>45803</v>
          </cell>
          <cell r="P181" t="str">
            <v>Visitas de evaluación con fines de mejoramiento</v>
          </cell>
          <cell r="Q181" t="str">
            <v>21 y 26 Mayo 2025 Gimnasio Nuestra Señora Esperanza.pdf</v>
          </cell>
          <cell r="R181" t="str">
            <v>Se evidencia que la institución no ha realizado el análisis de los resultados obtenidos en las Pruebas Saber en el año 2024 con el Consejo Académico y no ha establecido acciones específicas ni plan de mejoramiento para fortalecer los resultados de las pruebas saber.</v>
          </cell>
          <cell r="S181" t="str">
            <v>Realizar analisis de las Pruebas Saber y establecer acciones pertinentes. Presentar plan de mejoramiento el 18 de julio de 2025</v>
          </cell>
          <cell r="T181" t="str">
            <v>Si</v>
          </cell>
          <cell r="U181" t="str">
            <v>Revisar PM y verificar que se ajuste a las observaciones realizadas.</v>
          </cell>
        </row>
        <row r="182">
          <cell r="A182">
            <v>1638</v>
          </cell>
          <cell r="B182"/>
          <cell r="C182" t="str">
            <v>RAFAEL URIBE URIBE</v>
          </cell>
          <cell r="D182" t="str">
            <v>PRIVADO</v>
          </cell>
          <cell r="E182" t="str">
            <v>EPBM</v>
          </cell>
          <cell r="F182" t="str">
            <v>GIMNASIO_NUESTRA_SEÑORA_DE_LA_ESPERANZA</v>
          </cell>
          <cell r="G182" t="str">
            <v>GIMNASIO_NUESTRA_SEÑORA_DE_LA_ESPERANZA</v>
          </cell>
          <cell r="H182" t="str">
            <v>Autoevaluación Institucional y Pruebas SABER 11</v>
          </cell>
          <cell r="I182" t="str">
            <v>SEGUIMIENTO_Y_SUPERVISIÓN.</v>
          </cell>
          <cell r="J182" t="str">
            <v xml:space="preserve">Verificar la implementación por parte de los colegios, de acciones realizadas para la prevención y atención de las situaciones de convivencia en el entorno escolar, según lo establecido en la Directiva 01 de 2022 del MEN. </v>
          </cell>
          <cell r="K182" t="str">
            <v>BEPCI YADIRA MINA ZAPATA</v>
          </cell>
          <cell r="L182" t="str">
            <v>DORY CONSTANZA SANCHEZ ARAGÓN</v>
          </cell>
          <cell r="M182">
            <v>45896</v>
          </cell>
          <cell r="N182">
            <v>45798</v>
          </cell>
          <cell r="O182">
            <v>45803</v>
          </cell>
          <cell r="P182" t="str">
            <v>Visitas de evaluación con fines de mejoramiento</v>
          </cell>
          <cell r="Q182" t="str">
            <v>21 y 26 Mayo 2025 Gimnasio Nuestra Señora Esperanza.pdf</v>
          </cell>
          <cell r="R182" t="str">
            <v>La institución cuenta con 1 acta del comité de convivencia escolar
Se verificó a los docentes  inhabilidadades por delitos sexuales para el año 2025 febrero y mayo</v>
          </cell>
          <cell r="S182" t="str">
            <v>Contar con lsd actas de todas las reuniones del comite de convivencia realizadas. Presentar plan de mejoramiento el 18 de julio de 2025</v>
          </cell>
          <cell r="T182" t="str">
            <v>Si</v>
          </cell>
          <cell r="U182" t="str">
            <v>Revisar PM y verificar que se ajuste a las observaciones realizadas.</v>
          </cell>
        </row>
        <row r="183">
          <cell r="A183">
            <v>1639</v>
          </cell>
          <cell r="B183"/>
          <cell r="C183" t="str">
            <v>RAFAEL URIBE URIBE</v>
          </cell>
          <cell r="D183" t="str">
            <v>PRIVADO</v>
          </cell>
          <cell r="E183" t="str">
            <v>EPBM</v>
          </cell>
          <cell r="F183" t="str">
            <v>GIMNASIO_NUESTRA_SEÑORA_DE_LA_ESPERANZA</v>
          </cell>
          <cell r="G183" t="str">
            <v>GIMNASIO_NUESTRA_SEÑORA_DE_LA_ESPERANZA</v>
          </cell>
          <cell r="H183" t="str">
            <v>Autoevaluación Institucional y Pruebas SABER 11</v>
          </cell>
          <cell r="I183" t="str">
            <v>SEGUIMIENTO_Y_SUPERVISIÓN.</v>
          </cell>
          <cell r="J1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83" t="str">
            <v>BEPCI YADIRA MINA ZAPATA</v>
          </cell>
          <cell r="L183" t="str">
            <v>DORY CONSTANZA SANCHEZ ARAGÓN</v>
          </cell>
          <cell r="M183">
            <v>45896</v>
          </cell>
          <cell r="N183">
            <v>45798</v>
          </cell>
          <cell r="O183">
            <v>45803</v>
          </cell>
          <cell r="P183" t="str">
            <v>Visitas de evaluación con fines de mejoramiento</v>
          </cell>
          <cell r="Q183" t="str">
            <v>21 y 26 Mayo 2025 Gimnasio Nuestra Señora Esperanza.pdf</v>
          </cell>
          <cell r="R183" t="str">
            <v>El colegio en su matrícula resgistra 2 estudiantes con espectro autista y se está a la espera del diagnóstico de un niño de preescolar.
Se encuentra PIAR para los 2 estudiantes, se da orientación para complementar</v>
          </cell>
          <cell r="S183" t="str">
            <v>Complementar los PIAR. Presentar plan de mejoramiento el 18 de julio de 2025</v>
          </cell>
          <cell r="T183" t="str">
            <v>Si</v>
          </cell>
          <cell r="U183" t="str">
            <v>Revisar PM y verificar que se ajuste a las observaciones realizadas.</v>
          </cell>
        </row>
        <row r="184">
          <cell r="A184">
            <v>1640</v>
          </cell>
          <cell r="B184"/>
          <cell r="C184" t="str">
            <v>RAFAEL URIBE URIBE</v>
          </cell>
          <cell r="D184" t="str">
            <v>PRIVADO</v>
          </cell>
          <cell r="E184" t="str">
            <v>EPBM</v>
          </cell>
          <cell r="F184" t="str">
            <v>GIMNASIO_NUESTRA_SEÑORA_DE_LA_ESPERANZA</v>
          </cell>
          <cell r="G184" t="str">
            <v>GIMNASIO_NUESTRA_SEÑORA_DE_LA_ESPERANZA</v>
          </cell>
          <cell r="H184" t="str">
            <v>Autoevaluación Institucional y Pruebas SABER 11</v>
          </cell>
          <cell r="I184" t="str">
            <v>EVALUACIÓN_CON_FINES_DE_MEJORAMIENTO.</v>
          </cell>
          <cell r="J1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4" t="str">
            <v>BEPCI YADIRA MINA ZAPATA</v>
          </cell>
          <cell r="L184" t="str">
            <v>DORY CONSTANZA SANCHEZ ARAGÓN</v>
          </cell>
          <cell r="M184">
            <v>45896</v>
          </cell>
          <cell r="N184">
            <v>45798</v>
          </cell>
          <cell r="O184">
            <v>45803</v>
          </cell>
          <cell r="P184" t="str">
            <v>Visitas de evaluación con fines de mejoramiento</v>
          </cell>
          <cell r="Q184" t="str">
            <v>21 y 26 Mayo 2025 Gimnasio Nuestra Señora Esperanza.pdf</v>
          </cell>
          <cell r="R184" t="str">
            <v>No se evidencia aprobación del manual de convivencia, ya que no cuenta con actas de gobierno escolar.
No se encuentra actualizado y cumpliendo con la normatividad vigente</v>
          </cell>
          <cell r="S184" t="str">
            <v>La institución debe actualizar el manual de convivencia con participación del gobierno escolar. Presentar plan de mejoramiento el 18 de julio de 2025</v>
          </cell>
          <cell r="T184" t="str">
            <v>Si</v>
          </cell>
          <cell r="U184" t="str">
            <v>Revisar PM y verificar que se ajuste a las observaciones realizadas.</v>
          </cell>
        </row>
        <row r="185">
          <cell r="A185">
            <v>1641</v>
          </cell>
          <cell r="B185"/>
          <cell r="C185" t="str">
            <v>RAFAEL URIBE URIBE</v>
          </cell>
          <cell r="D185" t="str">
            <v>PRIVADO</v>
          </cell>
          <cell r="E185" t="str">
            <v>EPBM</v>
          </cell>
          <cell r="F185" t="str">
            <v>GIMNASIO_NUESTRA_SEÑORA_DE_LA_ESPERANZA</v>
          </cell>
          <cell r="G185" t="str">
            <v>GIMNASIO_NUESTRA_SEÑORA_DE_LA_ESPERANZA</v>
          </cell>
          <cell r="H185" t="str">
            <v>Autoevaluación Institucional y Pruebas SABER 11</v>
          </cell>
          <cell r="I185" t="str">
            <v>EVALUACIÓN_CON_FINES_DE_MEJORAMIENTO.</v>
          </cell>
          <cell r="J185" t="str">
            <v>Revisar la actualización, socialización e implementación del Sistema Institucional de Evaluación de Estudiantes - SIEE, en articulación con la actualización del PEI y la normatividad vigente.</v>
          </cell>
          <cell r="K185" t="str">
            <v>BEPCI YADIRA MINA ZAPATA</v>
          </cell>
          <cell r="L185" t="str">
            <v>DORY CONSTANZA SANCHEZ ARAGÓN</v>
          </cell>
          <cell r="M185">
            <v>45896</v>
          </cell>
          <cell r="N185">
            <v>45798</v>
          </cell>
          <cell r="O185">
            <v>45803</v>
          </cell>
          <cell r="P185" t="str">
            <v>Visitas de evaluación con fines de mejoramiento</v>
          </cell>
          <cell r="Q185" t="str">
            <v>21 y 26 Mayo 2025 Gimnasio Nuestra Señora Esperanza.pdf</v>
          </cell>
          <cell r="R185" t="str">
            <v>Cuenta con SIEE, pero es necesario ajustarlo a la normatividad vigente, con la participación de la comunidad educativa.</v>
          </cell>
          <cell r="S185" t="str">
            <v>La institución debe actualizar el SIEE con participación del gobierno escolar. Presentar plan de mejoramiento el 18 de julio de 2025</v>
          </cell>
          <cell r="T185" t="str">
            <v>Si</v>
          </cell>
          <cell r="U185" t="str">
            <v>Revisar PM y verificar que se ajuste a las observaciones realizadas.</v>
          </cell>
        </row>
        <row r="186">
          <cell r="A186">
            <v>1642</v>
          </cell>
          <cell r="B186"/>
          <cell r="C186" t="str">
            <v>RAFAEL URIBE URIBE</v>
          </cell>
          <cell r="D186" t="str">
            <v>PRIVADO</v>
          </cell>
          <cell r="E186" t="str">
            <v>EPBM</v>
          </cell>
          <cell r="F186" t="str">
            <v>GIMNASIO_NUESTRA_SEÑORA_DE_LA_ESPERANZA</v>
          </cell>
          <cell r="G186" t="str">
            <v>GIMNASIO_NUESTRA_SEÑORA_DE_LA_ESPERANZA</v>
          </cell>
          <cell r="H186" t="str">
            <v>Autoevaluación Institucional y Pruebas SABER 11</v>
          </cell>
          <cell r="I186" t="str">
            <v>EVALUACIÓN_CON_FINES_DE_MEJORAMIENTO.</v>
          </cell>
          <cell r="J186" t="str">
            <v>Revisar el calendario escolar, jornada escolar, la intensidad horaria mínima anual en cada nivel y las modificaciones que se realicen al mismo, de acuerdo con lo previsto en la normatividad vigente.</v>
          </cell>
          <cell r="K186" t="str">
            <v>BEPCI YADIRA MINA ZAPATA</v>
          </cell>
          <cell r="L186" t="str">
            <v>DORY CONSTANZA SANCHEZ ARAGÓN</v>
          </cell>
          <cell r="M186">
            <v>45896</v>
          </cell>
          <cell r="N186">
            <v>45798</v>
          </cell>
          <cell r="O186">
            <v>45803</v>
          </cell>
          <cell r="P186" t="str">
            <v>Visitas de evaluación con fines de mejoramiento</v>
          </cell>
          <cell r="Q186" t="str">
            <v>21 y 26 Mayo 2025 Gimnasio Nuestra Señora Esperanza.pdf</v>
          </cell>
          <cell r="R186" t="str">
            <v>El calendario escolar da cumplimiento a la normatividad vigente</v>
          </cell>
          <cell r="S186" t="str">
            <v>Dar cumplimiento a lo establecido en el calendario</v>
          </cell>
          <cell r="T186" t="str">
            <v>No</v>
          </cell>
          <cell r="U186" t="str">
            <v>Verificar en caso de algun reqiuerimiento o queja</v>
          </cell>
        </row>
        <row r="187">
          <cell r="A187">
            <v>1643</v>
          </cell>
          <cell r="B187"/>
          <cell r="C187" t="str">
            <v>RAFAEL URIBE URIBE</v>
          </cell>
          <cell r="D187" t="str">
            <v>PRIVADO</v>
          </cell>
          <cell r="E187" t="str">
            <v>EPBM</v>
          </cell>
          <cell r="F187" t="str">
            <v>GIMNASIO_NUESTRA_SEÑORA_DE_LA_ESPERANZA</v>
          </cell>
          <cell r="G187" t="str">
            <v>GIMNASIO_NUESTRA_SEÑORA_DE_LA_ESPERANZA</v>
          </cell>
          <cell r="H187" t="str">
            <v>Autoevaluación Institucional y Pruebas SABER 11</v>
          </cell>
          <cell r="I187" t="str">
            <v>EVALUACIÓN_CON_FINES_DE_MEJORAMIENTO.</v>
          </cell>
          <cell r="J187" t="str">
            <v>Verificar el funcionamiento del Gobierno Escolar e instancias de participación con base en la información sobre conformación reportada por la institución educativa.</v>
          </cell>
          <cell r="K187" t="str">
            <v>BEPCI YADIRA MINA ZAPATA</v>
          </cell>
          <cell r="L187" t="str">
            <v>DORY CONSTANZA SANCHEZ ARAGÓN</v>
          </cell>
          <cell r="M187">
            <v>45896</v>
          </cell>
          <cell r="N187">
            <v>45798</v>
          </cell>
          <cell r="O187">
            <v>45803</v>
          </cell>
          <cell r="P187" t="str">
            <v>Visitas de evaluación con fines de mejoramiento</v>
          </cell>
          <cell r="Q187" t="str">
            <v>21 y 26 Mayo 2025 Gimnasio Nuestra Señora Esperanza.pdf</v>
          </cell>
          <cell r="R187" t="str">
            <v>Se evidencian funcionamiento de los organos del Gobierno Escolar, es necesario consolidar las actas que se encuentran en borradores</v>
          </cell>
          <cell r="S187" t="str">
            <v>Consolidar los espacios para el funcionamiento del gobierno escolar con sus respectivas actas. Presentar plan de mejoramiento el 18 de julio de 2025</v>
          </cell>
          <cell r="T187" t="str">
            <v>Si</v>
          </cell>
          <cell r="U187" t="str">
            <v>Revisar PM y verificar que se ajuste a las observaciones realizadas.</v>
          </cell>
        </row>
        <row r="188">
          <cell r="A188">
            <v>1644</v>
          </cell>
          <cell r="B188"/>
          <cell r="C188" t="str">
            <v>RAFAEL URIBE URIBE</v>
          </cell>
          <cell r="D188" t="str">
            <v>PRIVADO</v>
          </cell>
          <cell r="E188" t="str">
            <v>EPBM</v>
          </cell>
          <cell r="F188" t="str">
            <v>GIMNASIO_NUESTRA_SEÑORA_DE_LA_ESPERANZA</v>
          </cell>
          <cell r="G188" t="str">
            <v>GIMNASIO_NUESTRA_SEÑORA_DE_LA_ESPERANZA</v>
          </cell>
          <cell r="H188" t="str">
            <v>Autoevaluación Institucional y Pruebas SABER 11</v>
          </cell>
          <cell r="I188" t="str">
            <v>EVALUACIÓN_CON_FINES_DE_MEJORAMIENTO.</v>
          </cell>
          <cell r="J188" t="str">
            <v>Verificar las condiciones en cuanto a: la estructura administrativa, condiciones de la planta física y medios educativos adecuados.</v>
          </cell>
          <cell r="K188" t="str">
            <v>BEPCI YADIRA MINA ZAPATA</v>
          </cell>
          <cell r="L188" t="str">
            <v>DORY CONSTANZA SANCHEZ ARAGÓN</v>
          </cell>
          <cell r="M188">
            <v>45896</v>
          </cell>
          <cell r="N188">
            <v>45798</v>
          </cell>
          <cell r="O188">
            <v>45803</v>
          </cell>
          <cell r="P188" t="str">
            <v>Visitas de evaluación con fines de mejoramiento</v>
          </cell>
          <cell r="Q188" t="str">
            <v>21 y 26 Mayo 2025 Gimnasio Nuestra Señora Esperanza.pdf</v>
          </cell>
          <cell r="R188" t="str">
            <v>La institución cuenta con una planta física con 12 aulas, aulas especializadas, laboratorio, se recomienda revisar la ubicación de preescolar y su zona lúdica</v>
          </cell>
          <cell r="S188" t="str">
            <v>Revisar el salón de prescolar y zona ludica. Presentar plan de mejoramiento el 18 de julio de 2025</v>
          </cell>
          <cell r="T188" t="str">
            <v>Si</v>
          </cell>
          <cell r="U188" t="str">
            <v>Revisar PM y verificar que se ajuste a las observaciones realizadas.</v>
          </cell>
        </row>
        <row r="189">
          <cell r="M189"/>
          <cell r="N189"/>
          <cell r="O189"/>
          <cell r="Q189"/>
          <cell r="R189"/>
          <cell r="S189"/>
          <cell r="U189"/>
        </row>
        <row r="190">
          <cell r="M190"/>
          <cell r="N190"/>
          <cell r="O190"/>
          <cell r="Q190"/>
          <cell r="R190"/>
          <cell r="S190"/>
          <cell r="U190"/>
        </row>
        <row r="191">
          <cell r="M191"/>
          <cell r="N191"/>
          <cell r="O191"/>
          <cell r="Q191"/>
          <cell r="R191"/>
          <cell r="S191"/>
          <cell r="U191"/>
        </row>
        <row r="192">
          <cell r="M192"/>
          <cell r="N192"/>
          <cell r="O192"/>
          <cell r="Q192"/>
          <cell r="R192"/>
          <cell r="S192"/>
          <cell r="U192"/>
        </row>
        <row r="193">
          <cell r="M193"/>
          <cell r="N193"/>
          <cell r="O193"/>
          <cell r="Q193"/>
          <cell r="R193"/>
          <cell r="S193"/>
          <cell r="U193"/>
        </row>
        <row r="194">
          <cell r="M194"/>
          <cell r="N194"/>
          <cell r="O194"/>
          <cell r="Q194"/>
          <cell r="R194"/>
          <cell r="S194"/>
          <cell r="U194"/>
        </row>
        <row r="195">
          <cell r="M195"/>
          <cell r="N195"/>
          <cell r="O195"/>
          <cell r="Q195"/>
          <cell r="R195"/>
          <cell r="S195"/>
        </row>
        <row r="196">
          <cell r="M196"/>
          <cell r="N196"/>
          <cell r="O196"/>
          <cell r="Q196"/>
          <cell r="R196"/>
          <cell r="S196"/>
        </row>
        <row r="197">
          <cell r="M197"/>
          <cell r="N197"/>
          <cell r="O197"/>
          <cell r="Q197"/>
          <cell r="R197"/>
          <cell r="S197"/>
        </row>
        <row r="198">
          <cell r="Q198"/>
          <cell r="R198"/>
          <cell r="S198"/>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L6RHTYGVSSURBYBWANC3LJ3OLB">
      <xxl21:absoluteUrl r:id="rId3"/>
      <xxl21:relativeUrl r:id="rId4"/>
    </xxl21:alternateUrls>
    <sheetNames>
      <sheetName val="PRIORIZADOS"/>
      <sheetName val="DEMANDA"/>
      <sheetName val="MESAS DIRECTIVOS IE"/>
      <sheetName val="MANUALES DE CONVIVENCIA IED"/>
      <sheetName val="COLEGIOS"/>
      <sheetName val="PEGRCC Y GOBIERNOS ESCOLARES"/>
      <sheetName val="CALENDARIO"/>
      <sheetName val="ACTIVIDADES  "/>
      <sheetName val="OPERACIONES-ACTIVIDADES"/>
      <sheetName val="LISTAS"/>
    </sheetNames>
    <sheetDataSet>
      <sheetData sheetId="0">
        <row r="1">
          <cell r="A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4. SAN CRISTÓBAL</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Único</v>
          </cell>
          <cell r="B7" t="str">
            <v>NÚMERO DE EE
(Enumere los EE que serán visitados en el período)</v>
          </cell>
          <cell r="C7" t="str">
            <v xml:space="preserve">LOCALIDAD </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1645</v>
          </cell>
          <cell r="B8">
            <v>1</v>
          </cell>
          <cell r="C8" t="str">
            <v>SAN CRISTÓBAL</v>
          </cell>
          <cell r="D8" t="str">
            <v>PRIVADO</v>
          </cell>
          <cell r="E8" t="str">
            <v>EPBM</v>
          </cell>
          <cell r="F8" t="str">
            <v>CENTRO_COMERCIAL_MADRE_ELISA_RONCALLO</v>
          </cell>
          <cell r="G8" t="str">
            <v>CENTRO COMERCIAL MADRE ELISA RONCALLO</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JAIRO ANDRÉS ÁLVAREZ CHÁVEZ</v>
          </cell>
          <cell r="L8" t="str">
            <v>XIMENA CAROLINA RAMÍREZ MORALES</v>
          </cell>
          <cell r="M8">
            <v>45751</v>
          </cell>
          <cell r="N8">
            <v>45813</v>
          </cell>
          <cell r="O8">
            <v>45813</v>
          </cell>
          <cell r="P8" t="str">
            <v>Visitas de evaluación con fines de seguimiento</v>
          </cell>
          <cell r="Q8" t="str">
            <v>0605 Acta de visita administrativa Centro Ccial. Madre Elisa Roncallo.pdf</v>
          </cell>
          <cell r="R8" t="str">
            <v>Se encuentra coherencia entre lo encontrado y lo registrado por la IE. Las tarifas se encuentran publicadas en la página web.</v>
          </cell>
          <cell r="S8" t="str">
            <v>Publicar la resolución de tarifas en lugar visible.</v>
          </cell>
          <cell r="T8" t="str">
            <v>No</v>
          </cell>
          <cell r="U8" t="str">
            <v>Se hará verificación en caso de presentarse requerimiento</v>
          </cell>
        </row>
        <row r="9">
          <cell r="A9">
            <v>1646</v>
          </cell>
          <cell r="B9"/>
          <cell r="C9" t="str">
            <v>SAN CRISTÓBAL</v>
          </cell>
          <cell r="D9" t="str">
            <v>PRIVADO</v>
          </cell>
          <cell r="E9" t="str">
            <v>EPBM</v>
          </cell>
          <cell r="F9" t="str">
            <v>CENTRO_COMERCIAL_MADRE_ELISA_RONCALLO</v>
          </cell>
          <cell r="G9" t="str">
            <v>CENTRO COMERCIAL MADRE ELISA RONCALLO</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JAIRO ANDRÉS ÁLVAREZ CHÁVEZ</v>
          </cell>
          <cell r="L9" t="str">
            <v>XIMENA CAROLINA RAMÍREZ MORALES</v>
          </cell>
          <cell r="M9">
            <v>45751</v>
          </cell>
          <cell r="N9">
            <v>45813</v>
          </cell>
          <cell r="O9">
            <v>45813</v>
          </cell>
          <cell r="P9" t="str">
            <v>Visitas de evaluación con fines de mejoramiento</v>
          </cell>
          <cell r="Q9" t="str">
            <v>0605 Acta de visita administrativa Centro Ccial. Madre Elisa Roncallo.pdf</v>
          </cell>
          <cell r="R9" t="str">
            <v xml:space="preserve">Aportan planes de mejora de los docentes. En contra jornada los estudiantes asisten a preIcfes. </v>
          </cell>
          <cell r="S9" t="str">
            <v xml:space="preserve">Continuar con las acciones proyectadas </v>
          </cell>
          <cell r="T9" t="str">
            <v>No</v>
          </cell>
          <cell r="U9" t="str">
            <v>Se hará verificación en caso de presentarse requerimiento</v>
          </cell>
        </row>
        <row r="10">
          <cell r="A10">
            <v>1647</v>
          </cell>
          <cell r="B10"/>
          <cell r="C10" t="str">
            <v>SAN CRISTÓBAL</v>
          </cell>
          <cell r="D10" t="str">
            <v>PRIVADO</v>
          </cell>
          <cell r="E10" t="str">
            <v>EPBM</v>
          </cell>
          <cell r="F10" t="str">
            <v>CENTRO_COMERCIAL_MADRE_ELISA_RONCALLO</v>
          </cell>
          <cell r="G10" t="str">
            <v>CENTRO COMERCIAL MADRE ELISA RONCALLO</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JAIRO ANDRÉS ÁLVAREZ CHÁVEZ</v>
          </cell>
          <cell r="L10" t="str">
            <v>XIMENA CAROLINA RAMÍREZ MORALES</v>
          </cell>
          <cell r="M10">
            <v>45751</v>
          </cell>
          <cell r="N10">
            <v>45813</v>
          </cell>
          <cell r="O10">
            <v>45813</v>
          </cell>
          <cell r="P10" t="str">
            <v>Visitas de evaluación con fines de mejoramiento</v>
          </cell>
          <cell r="Q10" t="str">
            <v>0605 Acta de visita administrativa Centro Ccial. Madre Elisa Roncallo.pdf</v>
          </cell>
          <cell r="R10" t="str">
            <v>En las hojas de vida está la consulta de antecedentes de personal. 
Refieren acciones de prevención desarrolladas con estudiantes, docentes y padres de familia.</v>
          </cell>
          <cell r="S10" t="str">
            <v xml:space="preserve">Realizar la consulta de antecedentes cada 4 meses. </v>
          </cell>
          <cell r="T10" t="str">
            <v>No</v>
          </cell>
          <cell r="U10" t="str">
            <v>Se hará verificación en caso de presentarse requerimiento</v>
          </cell>
        </row>
        <row r="11">
          <cell r="A11">
            <v>1648</v>
          </cell>
          <cell r="B11"/>
          <cell r="C11" t="str">
            <v>SAN CRISTÓBAL</v>
          </cell>
          <cell r="D11" t="str">
            <v>PRIVADO</v>
          </cell>
          <cell r="E11" t="str">
            <v>EPBM</v>
          </cell>
          <cell r="F11" t="str">
            <v>CENTRO_COMERCIAL_MADRE_ELISA_RONCALLO</v>
          </cell>
          <cell r="G11" t="str">
            <v>CENTRO COMERCIAL MADRE ELISA RONCALLO</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JAIRO ANDRÉS ÁLVAREZ CHÁVEZ</v>
          </cell>
          <cell r="L11" t="str">
            <v>XIMENA CAROLINA RAMÍREZ MORALES</v>
          </cell>
          <cell r="M11">
            <v>45751</v>
          </cell>
          <cell r="N11">
            <v>45813</v>
          </cell>
          <cell r="O11">
            <v>45813</v>
          </cell>
          <cell r="P11" t="str">
            <v>Visitas de evaluación con fines de mejoramiento</v>
          </cell>
          <cell r="Q11" t="str">
            <v>0605 Acta de visita administrativa Centro Ccial. Madre Elisa Roncallo.pdf</v>
          </cell>
          <cell r="R11" t="str">
            <v xml:space="preserve">Los PIAR se manejan en forma digital; los anexos que requieren firmas están de forma física. </v>
          </cell>
          <cell r="S11" t="str">
            <v>Completar la información de los diferentes anexos de los PIAR</v>
          </cell>
          <cell r="T11" t="str">
            <v>No</v>
          </cell>
          <cell r="U11" t="str">
            <v>Se hará verificación en caso de presentarse requerimiento</v>
          </cell>
        </row>
        <row r="12">
          <cell r="A12">
            <v>1649</v>
          </cell>
          <cell r="B12"/>
          <cell r="C12" t="str">
            <v>SAN CRISTÓBAL</v>
          </cell>
          <cell r="D12" t="str">
            <v>PRIVADO</v>
          </cell>
          <cell r="E12" t="str">
            <v>EPBM</v>
          </cell>
          <cell r="F12" t="str">
            <v>CENTRO_COMERCIAL_MADRE_ELISA_RONCALLO</v>
          </cell>
          <cell r="G12" t="str">
            <v>CENTRO COMERCIAL MADRE ELISA RONCALLO</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JAIRO ANDRÉS ÁLVAREZ CHÁVEZ</v>
          </cell>
          <cell r="L12" t="str">
            <v>XIMENA CAROLINA RAMÍREZ MORALES</v>
          </cell>
          <cell r="M12">
            <v>45751</v>
          </cell>
          <cell r="N12">
            <v>45813</v>
          </cell>
          <cell r="O12">
            <v>45813</v>
          </cell>
          <cell r="P12" t="str">
            <v>Visitas de evaluación con fines de mejoramiento</v>
          </cell>
          <cell r="Q12" t="str">
            <v>0605 Acta de visita administrativa Centro Ccial. Madre Elisa Roncallo.pdf</v>
          </cell>
          <cell r="R12" t="str">
            <v xml:space="preserve">Comité de convivencia y manual refieren su actualización. La revisión documental evidencia los componentes según normatividad. </v>
          </cell>
          <cell r="S12" t="str">
            <v xml:space="preserve">Continuar con la revisión y actualización según corresponda. </v>
          </cell>
          <cell r="T12" t="str">
            <v>No</v>
          </cell>
          <cell r="U12" t="str">
            <v>Se hará verificación en caso de presentarse requerimiento</v>
          </cell>
        </row>
        <row r="13">
          <cell r="A13">
            <v>1650</v>
          </cell>
          <cell r="B13"/>
          <cell r="C13" t="str">
            <v>SAN CRISTÓBAL</v>
          </cell>
          <cell r="D13" t="str">
            <v>PRIVADO</v>
          </cell>
          <cell r="E13" t="str">
            <v>EPBM</v>
          </cell>
          <cell r="F13" t="str">
            <v>CENTRO_COMERCIAL_MADRE_ELISA_RONCALLO</v>
          </cell>
          <cell r="G13" t="str">
            <v>CENTRO COMERCIAL MADRE ELISA RONCALLO</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JAIRO ANDRÉS ÁLVAREZ CHÁVEZ</v>
          </cell>
          <cell r="L13" t="str">
            <v>XIMENA CAROLINA RAMÍREZ MORALES</v>
          </cell>
          <cell r="M13">
            <v>45751</v>
          </cell>
          <cell r="N13">
            <v>45813</v>
          </cell>
          <cell r="O13">
            <v>45813</v>
          </cell>
          <cell r="P13" t="str">
            <v>Visitas de evaluación con fines de mejoramiento</v>
          </cell>
          <cell r="Q13" t="str">
            <v>0605 Acta de visita administrativa Centro Ccial. Madre Elisa Roncallo.pdf</v>
          </cell>
          <cell r="R13" t="str">
            <v>La revisión documental evidencia los componentes. Se verifican actas que constatan su ejecuación.</v>
          </cell>
          <cell r="S13" t="str">
            <v xml:space="preserve">Continuar con la revisión y actualización según corresponda. </v>
          </cell>
          <cell r="T13" t="str">
            <v>No</v>
          </cell>
          <cell r="U13" t="str">
            <v>Se hará verificación en caso de presentarse requerimiento</v>
          </cell>
        </row>
        <row r="14">
          <cell r="A14">
            <v>1651</v>
          </cell>
          <cell r="B14"/>
          <cell r="C14" t="str">
            <v>SAN CRISTÓBAL</v>
          </cell>
          <cell r="D14" t="str">
            <v>PRIVADO</v>
          </cell>
          <cell r="E14" t="str">
            <v>EPBM</v>
          </cell>
          <cell r="F14" t="str">
            <v>CENTRO_COMERCIAL_MADRE_ELISA_RONCALLO</v>
          </cell>
          <cell r="G14" t="str">
            <v>CENTRO COMERCIAL MADRE ELISA RONCALLO</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JAIRO ANDRÉS ÁLVAREZ CHÁVEZ</v>
          </cell>
          <cell r="L14" t="str">
            <v>XIMENA CAROLINA RAMÍREZ MORALES</v>
          </cell>
          <cell r="M14">
            <v>45751</v>
          </cell>
          <cell r="N14">
            <v>45813</v>
          </cell>
          <cell r="O14">
            <v>45813</v>
          </cell>
          <cell r="P14" t="str">
            <v>Visitas de evaluación con fines de mejoramiento</v>
          </cell>
          <cell r="Q14" t="str">
            <v>0605 Acta de visita administrativa Centro Ccial. Madre Elisa Roncallo.pdf</v>
          </cell>
          <cell r="R14" t="str">
            <v>Cumple con las horas  y semanas reglamentarias de acuerdo con la Resolución de la SED N°1811 de 2024</v>
          </cell>
          <cell r="S14" t="str">
            <v xml:space="preserve">Continuar prestando el servicio educativo acorde a la normatividad vigente </v>
          </cell>
          <cell r="T14" t="str">
            <v>No</v>
          </cell>
          <cell r="U14" t="str">
            <v>Se hará verificación en caso de presentarse requerimiento</v>
          </cell>
        </row>
        <row r="15">
          <cell r="A15">
            <v>1652</v>
          </cell>
          <cell r="B15"/>
          <cell r="C15" t="str">
            <v>SAN CRISTÓBAL</v>
          </cell>
          <cell r="D15" t="str">
            <v>PRIVADO</v>
          </cell>
          <cell r="E15" t="str">
            <v>EPBM</v>
          </cell>
          <cell r="F15" t="str">
            <v>CENTRO_COMERCIAL_MADRE_ELISA_RONCALLO</v>
          </cell>
          <cell r="G15" t="str">
            <v>CENTRO COMERCIAL MADRE ELISA RONCALLO</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JAIRO ANDRÉS ÁLVAREZ CHÁVEZ</v>
          </cell>
          <cell r="L15" t="str">
            <v>XIMENA CAROLINA RAMÍREZ MORALES</v>
          </cell>
          <cell r="M15">
            <v>45751</v>
          </cell>
          <cell r="N15">
            <v>45813</v>
          </cell>
          <cell r="O15">
            <v>45813</v>
          </cell>
          <cell r="P15" t="str">
            <v>Visitas de evaluación con fines de mejoramiento</v>
          </cell>
          <cell r="Q15" t="str">
            <v>0605 Acta de visita administrativa Centro Ccial. Madre Elisa Roncallo.pdf</v>
          </cell>
          <cell r="R15" t="str">
            <v xml:space="preserve">Se verifican actas de Consejo de padres, Consejo estudiantil, Consejo Directivo, Consejo académico Y comité de convivencia. </v>
          </cell>
          <cell r="S15" t="str">
            <v>Adecuar manual de convivencia y prácticas en el sentido del delgado de consejo estudiantil y consejo de padres.</v>
          </cell>
          <cell r="T15" t="str">
            <v>No</v>
          </cell>
          <cell r="U15" t="str">
            <v>Se hará verificación en caso de presentarse requerimiento</v>
          </cell>
        </row>
        <row r="16">
          <cell r="A16">
            <v>1653</v>
          </cell>
          <cell r="B16"/>
          <cell r="C16" t="str">
            <v>SAN CRISTÓBAL</v>
          </cell>
          <cell r="D16" t="str">
            <v>PRIVADO</v>
          </cell>
          <cell r="E16" t="str">
            <v>EPBM</v>
          </cell>
          <cell r="F16" t="str">
            <v>CENTRO_COMERCIAL_MADRE_ELISA_RONCALLO</v>
          </cell>
          <cell r="G16" t="str">
            <v>CENTRO COMERCIAL MADRE ELISA RONCALLO</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JAIRO ANDRÉS ÁLVAREZ CHÁVEZ</v>
          </cell>
          <cell r="L16" t="str">
            <v>XIMENA CAROLINA RAMÍREZ MORALES</v>
          </cell>
          <cell r="M16">
            <v>45751</v>
          </cell>
          <cell r="N16">
            <v>45813</v>
          </cell>
          <cell r="O16">
            <v>45813</v>
          </cell>
          <cell r="P16" t="str">
            <v>Visitas de evaluación con fines de mejoramiento</v>
          </cell>
          <cell r="Q16" t="str">
            <v>0605 Acta de visita administrativa Centro Ccial. Madre Elisa Roncallo.pdf</v>
          </cell>
          <cell r="R16" t="str">
            <v>En el recorrido se constata que la infraestructura se encuentra en buenas condiciones. Aportan acta de visita de Secretaría de Salud SB06E 705269</v>
          </cell>
          <cell r="S16" t="str">
            <v>Dar cumplimiento a los requerimientos de Secretaría de salud.</v>
          </cell>
          <cell r="T16" t="str">
            <v>No</v>
          </cell>
          <cell r="U16" t="str">
            <v>Se hará verificación en caso de presentarse requerimiento</v>
          </cell>
        </row>
        <row r="17">
          <cell r="A17">
            <v>1654</v>
          </cell>
          <cell r="B17">
            <v>2</v>
          </cell>
          <cell r="C17" t="str">
            <v>SAN CRISTÓBAL</v>
          </cell>
          <cell r="D17" t="str">
            <v>PRIVADO</v>
          </cell>
          <cell r="E17" t="str">
            <v>EPBM</v>
          </cell>
          <cell r="F17" t="str">
            <v>COLEGIO_INTEGRAL_AVANCEMOS</v>
          </cell>
          <cell r="G17" t="str">
            <v>COLEGIO INTEGRAL AVANCEMOS</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JAIRO ANDRÉS ÁLVAREZ CHÁVEZ</v>
          </cell>
          <cell r="L17" t="str">
            <v>JOSÉ ASDRUBAL PÉREZ GIRALDO</v>
          </cell>
          <cell r="M17">
            <v>45723</v>
          </cell>
          <cell r="N17">
            <v>45723</v>
          </cell>
          <cell r="O17">
            <v>45723</v>
          </cell>
          <cell r="P17" t="str">
            <v>Visitas de evaluación con fines de mejoramiento</v>
          </cell>
          <cell r="Q17" t="str">
            <v>ACTA VISITA ADMINISTRATIVA COLEGIO INTEGRAL AVANCEMOS.pdf</v>
          </cell>
          <cell r="R17" t="str">
            <v>Verificar información registrada Cobros de Tarifas y Costos Escolares vigencia 2025, Costos y tarifas autorizadas 2025, según Resolución 04-193 del 29/11/2024:</v>
          </cell>
          <cell r="S17" t="str">
            <v>El ELIV en atención a Quejas, pregunta de la existencia de posibles Cobros no Autorizados o posible no prestación del Servicio Educativo algunos días por falta de docentes vinculados. Responde el Rector del Colegio que, en todo caso de incumplimiento de pagos de parte de Padres</v>
          </cell>
          <cell r="T17" t="str">
            <v>No</v>
          </cell>
          <cell r="U17" t="str">
            <v>Se verificara en la proxima visita cumplimiento de la resolución de tarifas de 2025.</v>
          </cell>
        </row>
        <row r="18">
          <cell r="A18">
            <v>1655</v>
          </cell>
          <cell r="B18"/>
          <cell r="C18" t="str">
            <v>SAN CRISTÓBAL</v>
          </cell>
          <cell r="D18" t="str">
            <v>PRIVADO</v>
          </cell>
          <cell r="E18" t="str">
            <v>EPBM</v>
          </cell>
          <cell r="F18" t="str">
            <v>COLEGIO_INTEGRAL_AVANCEMOS</v>
          </cell>
          <cell r="G18" t="str">
            <v>COLEGIO INTEGRAL AVANCEMOS</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JAIRO ANDRÉS ÁLVAREZ CHÁVEZ</v>
          </cell>
          <cell r="L18" t="str">
            <v>JOSÉ ASDRUBAL PÉREZ GIRALDO</v>
          </cell>
          <cell r="M18">
            <v>45723</v>
          </cell>
          <cell r="N18">
            <v>45723</v>
          </cell>
          <cell r="O18">
            <v>45723</v>
          </cell>
          <cell r="P18" t="str">
            <v>Visitas de evaluación con fines de mejoramiento</v>
          </cell>
          <cell r="Q18" t="str">
            <v>ACTA VISITA ADMINISTRATIVA COLEGIO INTEGRAL AVANCEMOS.pdf</v>
          </cell>
          <cell r="R18" t="str">
            <v>Los resultados históricos evidencian que la IE ha quedado clasificada en categoría A en los últimos años; sin embargo en los percentiles ha bajado con respecto a los años anteriores.</v>
          </cell>
          <cell r="S18" t="str">
            <v>La IE proyecta utilizar la plataforma RED SABER para fortalecer las competencias, realizar simulacros y prepararlos para las pruebas desde  el aula de clase</v>
          </cell>
          <cell r="T18" t="str">
            <v>No</v>
          </cell>
          <cell r="U18" t="str">
            <v xml:space="preserve">En la próxima visita de verificarán las acciones desarrolladas por la institución educativa. </v>
          </cell>
        </row>
        <row r="19">
          <cell r="A19">
            <v>1656</v>
          </cell>
          <cell r="B19"/>
          <cell r="C19" t="str">
            <v>SAN CRISTÓBAL</v>
          </cell>
          <cell r="D19" t="str">
            <v>PRIVADO</v>
          </cell>
          <cell r="E19" t="str">
            <v>EPBM</v>
          </cell>
          <cell r="F19" t="str">
            <v>COLEGIO_INTEGRAL_AVANCEMOS</v>
          </cell>
          <cell r="G19" t="str">
            <v>COLEGIO INTEGRAL AVANCEMOS</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JAIRO ANDRÉS ÁLVAREZ CHÁVEZ</v>
          </cell>
          <cell r="L19" t="str">
            <v>JOSÉ ASDRUBAL PÉREZ GIRALDO</v>
          </cell>
          <cell r="M19">
            <v>45723</v>
          </cell>
          <cell r="N19">
            <v>45723</v>
          </cell>
          <cell r="O19">
            <v>45723</v>
          </cell>
          <cell r="P19" t="str">
            <v>Visitas de evaluación con fines de mejoramiento</v>
          </cell>
          <cell r="Q19" t="str">
            <v>ACTA VISITA ADMINISTRATIVA COLEGIO INTEGRAL AVANCEMOS.pdf</v>
          </cell>
          <cell r="R19" t="str">
            <v>Los directivos de la institución indican que se están gestionando charlas de promoción y prevención con la Sub Red Centro Oriente, Secretaria de Seguridad y con  la Oficina para la Convivencia Escolar – OCE. Los docentes, directivos docentes y personal administrativos  contratado cuenta en la fecha de la visita con la verificación de antecedentes por Violencia sexual (directiva 01) aplicando la normativa.</v>
          </cell>
          <cell r="S19" t="str">
            <v>Se acuerda remitir el cronograma de las actividades proyectadas y consolidar las evidencias correspondientes de su desarrollo. Se  le indica a la IE que la consulta de antecedentes por violencia sexual, se debe realizar cada 4 meses e ir conservando los soportes, asimismo desde la OCE se realizaran capitaciones y charlas con la comunidad educativa. Se reitera que, desde el Comité de convivencia escolar, se deben liderar acciones de orientadas a la construcción de relaciones armónicas, así como de prevención de acuerdo con el contexto institucional</v>
          </cell>
          <cell r="T19" t="str">
            <v>No</v>
          </cell>
          <cell r="U19" t="str">
            <v>En la próxima visita se verificarán las actividades desarrolladas por la institución, consulta de antecedentes de delitos sexuales y capacitaciones realizadas por las diferentes entidades y la institución educativa.</v>
          </cell>
        </row>
        <row r="20">
          <cell r="A20">
            <v>1657</v>
          </cell>
          <cell r="B20"/>
          <cell r="C20" t="str">
            <v>SAN CRISTÓBAL</v>
          </cell>
          <cell r="D20" t="str">
            <v>PRIVADO</v>
          </cell>
          <cell r="E20" t="str">
            <v>EPBM</v>
          </cell>
          <cell r="F20" t="str">
            <v>COLEGIO_INTEGRAL_AVANCEMOS</v>
          </cell>
          <cell r="G20" t="str">
            <v>COLEGIO INTEGRAL AVANCEMOS</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JAIRO ANDRÉS ÁLVAREZ CHÁVEZ</v>
          </cell>
          <cell r="L20" t="str">
            <v>JOSÉ ASDRUBAL PÉREZ GIRALDO</v>
          </cell>
          <cell r="M20">
            <v>45723</v>
          </cell>
          <cell r="N20">
            <v>45723</v>
          </cell>
          <cell r="O20">
            <v>45723</v>
          </cell>
          <cell r="P20" t="str">
            <v>Visitas de evaluación con fines de mejoramiento</v>
          </cell>
          <cell r="Q20" t="str">
            <v>ACTA VISITA ADMINISTRATIVA COLEGIO INTEGRAL AVANCEMOS.pdf</v>
          </cell>
          <cell r="R20" t="str">
            <v>La IE indica que el 20% de su población está en condición de discapacidad y se está haciendo el  diagnóstico de discapacidad. Manifiestan necesidad de cualificación respecto a la aplicación del Decreto 1421, a la fecha se encuentran en etapa de caracterización para formular su PIAR de año 2025, aunque en el aula se han realizado ajustes razonables a partir del Diagnóstico Pedagógico realizado, mientras se documenta lo correspondiente en el PIAR y se realizan los acuerdos con la familia.</v>
          </cell>
          <cell r="S20" t="str">
            <v>Teniendo en cuenta que la institución trabajará el documento PIAR de manera digital, se recomienda que el acta de acuerdos sea física y cuente con las respectivas firmas. Es importante que se utilicen los formatos del MEN, En aras de fortalecer los procesos de inclusión, se sugiere contar con una educadora especial que se articule con orientación y los docentes</v>
          </cell>
          <cell r="T20" t="str">
            <v>No</v>
          </cell>
          <cell r="U20" t="str">
            <v>En la próxima visita de verificarán las actividades desarrolladas por la institución con cada caso de inclusión por la institución educativa.</v>
          </cell>
        </row>
        <row r="21">
          <cell r="A21">
            <v>1658</v>
          </cell>
          <cell r="B21"/>
          <cell r="C21" t="str">
            <v>SAN CRISTÓBAL</v>
          </cell>
          <cell r="D21" t="str">
            <v>PRIVADO</v>
          </cell>
          <cell r="E21" t="str">
            <v>EPBM</v>
          </cell>
          <cell r="F21" t="str">
            <v>COLEGIO_INTEGRAL_AVANCEMOS</v>
          </cell>
          <cell r="G21" t="str">
            <v>COLEGIO INTEGRAL AVANCEMOS</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JAIRO ANDRÉS ÁLVAREZ CHÁVEZ</v>
          </cell>
          <cell r="L21" t="str">
            <v>JOSÉ ASDRUBAL PÉREZ GIRALDO</v>
          </cell>
          <cell r="M21">
            <v>45723</v>
          </cell>
          <cell r="N21">
            <v>45723</v>
          </cell>
          <cell r="O21">
            <v>45723</v>
          </cell>
          <cell r="P21" t="str">
            <v>Visitas de evaluación con fines de mejoramiento</v>
          </cell>
          <cell r="Q21" t="str">
            <v>ACTA VISITA ADMINISTRATIVA COLEGIO INTEGRAL AVANCEMOS.pdf</v>
          </cell>
          <cell r="R21" t="str">
            <v>La IE refiere que se encuentran en proceso de actualización de los documentos</v>
          </cell>
          <cell r="S21" t="str">
            <v>Cargar los documentos en el formulario dispuesto por la DIV para tal fin.</v>
          </cell>
          <cell r="T21" t="str">
            <v>No</v>
          </cell>
          <cell r="U21" t="str">
            <v>Una vez recibida la información por parte de la DIV se procederá a verificar la pertinencia de los documentos.</v>
          </cell>
        </row>
        <row r="22">
          <cell r="A22">
            <v>1659</v>
          </cell>
          <cell r="B22"/>
          <cell r="C22" t="str">
            <v>SAN CRISTÓBAL</v>
          </cell>
          <cell r="D22" t="str">
            <v>PRIVADO</v>
          </cell>
          <cell r="E22" t="str">
            <v>EPBM</v>
          </cell>
          <cell r="F22" t="str">
            <v>COLEGIO_INTEGRAL_AVANCEMOS</v>
          </cell>
          <cell r="G22" t="str">
            <v>COLEGIO INTEGRAL AVANCEMOS</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JAIRO ANDRÉS ÁLVAREZ CHÁVEZ</v>
          </cell>
          <cell r="L22" t="str">
            <v>JOSÉ ASDRUBAL PÉREZ GIRALDO</v>
          </cell>
          <cell r="M22">
            <v>45723</v>
          </cell>
          <cell r="N22">
            <v>45723</v>
          </cell>
          <cell r="O22">
            <v>45723</v>
          </cell>
          <cell r="P22" t="str">
            <v>Visitas de evaluación con fines de mejoramiento</v>
          </cell>
          <cell r="Q22" t="str">
            <v>ACTA VISITA ADMINISTRATIVA COLEGIO INTEGRAL AVANCEMOS.pdf</v>
          </cell>
          <cell r="R22" t="str">
            <v>La IE refiere que se encuentran en revision  documental en el proceso de actualización de los documentos</v>
          </cell>
          <cell r="S22" t="str">
            <v>Cargar los documentos en el formulario dispuesto por la DIV para tal fin.</v>
          </cell>
          <cell r="T22" t="str">
            <v>No</v>
          </cell>
          <cell r="U22" t="str">
            <v>Una vez recibida la información por parte de la DIV se procederá a verificar la pertinencia y actualizacion de los documentos.</v>
          </cell>
        </row>
        <row r="23">
          <cell r="A23">
            <v>1660</v>
          </cell>
          <cell r="B23"/>
          <cell r="C23" t="str">
            <v>SAN CRISTÓBAL</v>
          </cell>
          <cell r="D23" t="str">
            <v>PRIVADO</v>
          </cell>
          <cell r="E23" t="str">
            <v>EPBM</v>
          </cell>
          <cell r="F23" t="str">
            <v>COLEGIO_INTEGRAL_AVANCEMOS</v>
          </cell>
          <cell r="G23" t="str">
            <v>COLEGIO INTEGRAL AVANCEMOS</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JAIRO ANDRÉS ÁLVAREZ CHÁVEZ</v>
          </cell>
          <cell r="L23" t="str">
            <v>JOSÉ ASDRUBAL PÉREZ GIRALDO</v>
          </cell>
          <cell r="M23">
            <v>45723</v>
          </cell>
          <cell r="N23">
            <v>45723</v>
          </cell>
          <cell r="O23">
            <v>45723</v>
          </cell>
          <cell r="P23" t="str">
            <v>Visitas de evaluación con fines de mejoramiento</v>
          </cell>
          <cell r="Q23" t="str">
            <v>VERIFICACION DE CALENDARIO ACADEMICO.pdf</v>
          </cell>
          <cell r="R23" t="str">
            <v>Se evidencia que hace falta registrar el horario de ingreso diario de preescolar, básica primaria, secundaria y media.</v>
          </cell>
          <cell r="S23" t="str">
            <v>Se solicita realizar el ajuste para poder hacer el conteo de las horas reglamentarias por ciclo.</v>
          </cell>
          <cell r="T23" t="str">
            <v>Si</v>
          </cell>
          <cell r="U23" t="str">
            <v>Una vez la IE realice el ajuste, se revisará el cumplimiento de las horas reglamentarias.</v>
          </cell>
        </row>
        <row r="24">
          <cell r="A24">
            <v>1661</v>
          </cell>
          <cell r="B24"/>
          <cell r="C24" t="str">
            <v>SAN CRISTÓBAL</v>
          </cell>
          <cell r="D24" t="str">
            <v>PRIVADO</v>
          </cell>
          <cell r="E24" t="str">
            <v>EPBM</v>
          </cell>
          <cell r="F24" t="str">
            <v>COLEGIO_INTEGRAL_AVANCEMOS</v>
          </cell>
          <cell r="G24" t="str">
            <v>COLEGIO INTEGRAL AVANCEMOS</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JAIRO ANDRÉS ÁLVAREZ CHÁVEZ</v>
          </cell>
          <cell r="L24" t="str">
            <v>JOSÉ ASDRUBAL PÉREZ GIRALDO</v>
          </cell>
          <cell r="M24">
            <v>45723</v>
          </cell>
          <cell r="N24">
            <v>45723</v>
          </cell>
          <cell r="O24">
            <v>45723</v>
          </cell>
          <cell r="P24" t="str">
            <v>Visitas de evaluación con fines de mejoramiento</v>
          </cell>
          <cell r="Q24" t="str">
            <v>ACTA VISITA ADMINISTRATIVA COLEGIO INTEGRAL AVANCEMOS.pdf</v>
          </cell>
          <cell r="R24" t="str">
            <v>Se constatan actas de las elección de representes estudiantiles Personero, Contralor y Cabildante.  Se encuentra registro de Gobierno escolar (Consejo Directivo, Consejo Académico y Comité de Convivencia Escolar).</v>
          </cell>
          <cell r="S24" t="str">
            <v>Se hará posterior verificación en el SAE</v>
          </cell>
          <cell r="T24" t="str">
            <v>No</v>
          </cell>
          <cell r="U24" t="str">
            <v>Una vez recibida la información por parte de la IE se procederá a verificar las actualización en los documentos.</v>
          </cell>
        </row>
        <row r="25">
          <cell r="A25">
            <v>1662</v>
          </cell>
          <cell r="B25"/>
          <cell r="C25" t="str">
            <v>SAN CRISTÓBAL</v>
          </cell>
          <cell r="D25" t="str">
            <v>PRIVADO</v>
          </cell>
          <cell r="E25" t="str">
            <v>EPBM</v>
          </cell>
          <cell r="F25" t="str">
            <v>COLEGIO_INTEGRAL_AVANCEMOS</v>
          </cell>
          <cell r="G25" t="str">
            <v>COLEGIO INTEGRAL AVANCEMOS</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JAIRO ANDRÉS ÁLVAREZ CHÁVEZ</v>
          </cell>
          <cell r="L25" t="str">
            <v>JOSÉ ASDRUBAL PÉREZ GIRALDO</v>
          </cell>
          <cell r="M25">
            <v>45723</v>
          </cell>
          <cell r="N25">
            <v>45723</v>
          </cell>
          <cell r="O25">
            <v>45723</v>
          </cell>
          <cell r="P25" t="str">
            <v>Visitas de evaluación con fines de mejoramiento</v>
          </cell>
          <cell r="Q25" t="str">
            <v>ACTA VISITA ADMINISTRATIVA COLEGIO INTEGRAL AVANCEMOS.pdf</v>
          </cell>
          <cell r="R25" t="str">
            <v>Se verifica y se constata Acta de Visita de Secretaría de Salud No. SB06E 705234 del 13/02/2025, la cual registra concepto Favorables con Requerimientos;</v>
          </cell>
          <cell r="S25" t="str">
            <v>En el recorrido se verifica el cumplimiento de los requerimientos.</v>
          </cell>
          <cell r="T25" t="str">
            <v>No</v>
          </cell>
          <cell r="U25" t="str">
            <v>Se hará verificación en caso de presentarse requerimiento</v>
          </cell>
        </row>
        <row r="26">
          <cell r="A26">
            <v>1663</v>
          </cell>
          <cell r="B26">
            <v>3</v>
          </cell>
          <cell r="C26" t="str">
            <v>SAN CRISTÓBAL</v>
          </cell>
          <cell r="D26" t="str">
            <v>PRIVADO</v>
          </cell>
          <cell r="E26" t="str">
            <v>EPBM</v>
          </cell>
          <cell r="F26" t="str">
            <v>COLEGIO_ISAAC_NEWTON</v>
          </cell>
          <cell r="G26" t="str">
            <v>COLEGIO ISAAC NEWTON</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JUANITA LINA CAROLINA RAMÍREZ LÓPEZ</v>
          </cell>
          <cell r="L26" t="str">
            <v>XIMENA CAROLINA RAMÍREZ MORALES</v>
          </cell>
          <cell r="M26">
            <v>45758</v>
          </cell>
          <cell r="N26">
            <v>45751</v>
          </cell>
          <cell r="O26">
            <v>45758</v>
          </cell>
          <cell r="P26" t="str">
            <v>Visitas de evaluación con fines de mejoramiento</v>
          </cell>
          <cell r="Q26" t="str">
            <v>0411 Acta de visita administrativa Isaac Newton.pdf</v>
          </cell>
          <cell r="R26" t="str">
            <v xml:space="preserve">La IE tiene publicada la resolución de costos. </v>
          </cell>
          <cell r="S26" t="str">
            <v>Se evidencia que la IE cobra en todos los grados por debajo de lo autorizado.</v>
          </cell>
          <cell r="T26" t="str">
            <v>No</v>
          </cell>
          <cell r="U26" t="str">
            <v>Se hará verificación en caso de presentarse requerimiento</v>
          </cell>
        </row>
        <row r="27">
          <cell r="A27">
            <v>1664</v>
          </cell>
          <cell r="B27"/>
          <cell r="C27" t="str">
            <v>SAN CRISTÓBAL</v>
          </cell>
          <cell r="D27" t="str">
            <v>PRIVADO</v>
          </cell>
          <cell r="E27" t="str">
            <v>EPBM</v>
          </cell>
          <cell r="F27" t="str">
            <v>COLEGIO_ISAAC_NEWTON</v>
          </cell>
          <cell r="G27" t="str">
            <v>COLEGIO ISAAC NEWTON</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JUANITA LINA CAROLINA RAMÍREZ LÓPEZ</v>
          </cell>
          <cell r="L27" t="str">
            <v>XIMENA CAROLINA RAMÍREZ MORALES</v>
          </cell>
          <cell r="M27">
            <v>45758</v>
          </cell>
          <cell r="N27">
            <v>45758</v>
          </cell>
          <cell r="O27">
            <v>45758</v>
          </cell>
          <cell r="P27" t="str">
            <v>Visitas de evaluación con fines de mejoramiento</v>
          </cell>
          <cell r="Q27" t="str">
            <v>0411 Acta de visita administrativa Isaac Newton.pdf</v>
          </cell>
          <cell r="R27" t="str">
            <v>Refieren que los sábados se lleva a cabo un precies de carácter voluntario</v>
          </cell>
          <cell r="S27" t="str">
            <v xml:space="preserve">Realizar el análisis de los resultados obtenidos en las pruebas saber 11 con el fin de establecer acciones de mejora pertinentes. </v>
          </cell>
          <cell r="T27" t="str">
            <v>Si</v>
          </cell>
          <cell r="U27" t="str">
            <v>En próxima visita se verificará el diseño e implementación de acciones de mejora.</v>
          </cell>
        </row>
        <row r="28">
          <cell r="A28">
            <v>1665</v>
          </cell>
          <cell r="B28"/>
          <cell r="C28" t="str">
            <v>SAN CRISTÓBAL</v>
          </cell>
          <cell r="D28" t="str">
            <v>PRIVADO</v>
          </cell>
          <cell r="E28" t="str">
            <v>EPBM</v>
          </cell>
          <cell r="F28" t="str">
            <v>COLEGIO_ISAAC_NEWTON</v>
          </cell>
          <cell r="G28" t="str">
            <v>COLEGIO ISAAC NEWTON</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JUANITA LINA CAROLINA RAMÍREZ LÓPEZ</v>
          </cell>
          <cell r="L28" t="str">
            <v>XIMENA CAROLINA RAMÍREZ MORALES</v>
          </cell>
          <cell r="M28">
            <v>45758</v>
          </cell>
          <cell r="N28">
            <v>45758</v>
          </cell>
          <cell r="O28">
            <v>45758</v>
          </cell>
          <cell r="P28" t="str">
            <v>Visitas de evaluación con fines de mejoramiento</v>
          </cell>
          <cell r="Q28" t="str">
            <v>0411 Acta de visita administrativa Isaac Newton.pdf</v>
          </cell>
          <cell r="R28" t="str">
            <v>Se encuentra verificación de antecedentes por delitos sexuales</v>
          </cell>
          <cell r="S28" t="str">
            <v xml:space="preserve">Realizar la consulta de antecedentes cada 4 meses. </v>
          </cell>
          <cell r="T28" t="str">
            <v>No</v>
          </cell>
          <cell r="U28" t="str">
            <v>Se hará verificación en caso de presentarse requerimiento</v>
          </cell>
        </row>
        <row r="29">
          <cell r="A29">
            <v>1666</v>
          </cell>
          <cell r="B29"/>
          <cell r="C29" t="str">
            <v>SAN CRISTÓBAL</v>
          </cell>
          <cell r="D29" t="str">
            <v>PRIVADO</v>
          </cell>
          <cell r="E29" t="str">
            <v>EPBM</v>
          </cell>
          <cell r="F29" t="str">
            <v>COLEGIO_ISAAC_NEWTON</v>
          </cell>
          <cell r="G29" t="str">
            <v>COLEGIO ISAAC NEWTON</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JUANITA LINA CAROLINA RAMÍREZ LÓPEZ</v>
          </cell>
          <cell r="L29" t="str">
            <v>XIMENA CAROLINA RAMÍREZ MORALES</v>
          </cell>
          <cell r="M29">
            <v>45758</v>
          </cell>
          <cell r="N29">
            <v>45758</v>
          </cell>
          <cell r="O29">
            <v>45758</v>
          </cell>
          <cell r="P29" t="str">
            <v>Visitas de evaluación con fines de mejoramiento</v>
          </cell>
          <cell r="Q29" t="str">
            <v>0411 Acta de visita administrativa Isaac Newton.pdf</v>
          </cell>
          <cell r="R29" t="str">
            <v xml:space="preserve">La IE no tiene estudiantes con discapacidad. </v>
          </cell>
          <cell r="S29" t="str">
            <v>Realizar seguimiento al caso de un estudiante que ha evidenciado dificultades en su proceso académico.</v>
          </cell>
          <cell r="T29" t="str">
            <v>No</v>
          </cell>
          <cell r="U29" t="str">
            <v>Se hará verificación en caso de presentarse requerimiento</v>
          </cell>
        </row>
        <row r="30">
          <cell r="A30">
            <v>1667</v>
          </cell>
          <cell r="B30"/>
          <cell r="C30" t="str">
            <v>SAN CRISTÓBAL</v>
          </cell>
          <cell r="D30" t="str">
            <v>PRIVADO</v>
          </cell>
          <cell r="E30" t="str">
            <v>EPBM</v>
          </cell>
          <cell r="F30" t="str">
            <v>COLEGIO_ISAAC_NEWTON</v>
          </cell>
          <cell r="G30" t="str">
            <v>COLEGIO ISAAC NEWTON</v>
          </cell>
          <cell r="H30" t="str">
            <v>Autoevaluación Institucional y Pruebas SABER 11</v>
          </cell>
          <cell r="I30" t="str">
            <v>EVALUACIÓN_CON_FINES_DE_MEJORAMIENTO.</v>
          </cell>
          <cell r="J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 t="str">
            <v>JUANITA LINA CAROLINA RAMÍREZ LÓPEZ</v>
          </cell>
          <cell r="L30" t="str">
            <v>XIMENA CAROLINA RAMÍREZ MORALES</v>
          </cell>
          <cell r="M30">
            <v>45758</v>
          </cell>
          <cell r="N30">
            <v>45758</v>
          </cell>
          <cell r="O30">
            <v>45758</v>
          </cell>
          <cell r="P30" t="str">
            <v>Visitas de evaluación con fines de mejoramiento</v>
          </cell>
          <cell r="Q30" t="str">
            <v>0411 Acta de visita administrativa Isaac Newton.pdf</v>
          </cell>
          <cell r="R30" t="str">
            <v xml:space="preserve">Documentos de trabajo referentes a las propuestas de actualización. 
En la primera asamblea de padres se hace entrega del manual y se socializan los principales aspectos. </v>
          </cell>
          <cell r="S30" t="str">
            <v xml:space="preserve">Contar con las respectivas actas que validen los ajustes del manual de convivencia. </v>
          </cell>
          <cell r="T30" t="str">
            <v>No</v>
          </cell>
          <cell r="U30" t="str">
            <v>En próxima visita se verificará el cumplimiento de lo acordado.</v>
          </cell>
        </row>
        <row r="31">
          <cell r="A31">
            <v>1668</v>
          </cell>
          <cell r="B31"/>
          <cell r="C31" t="str">
            <v>SAN CRISTÓBAL</v>
          </cell>
          <cell r="D31" t="str">
            <v>PRIVADO</v>
          </cell>
          <cell r="E31" t="str">
            <v>EPBM</v>
          </cell>
          <cell r="F31" t="str">
            <v>COLEGIO_ISAAC_NEWTON</v>
          </cell>
          <cell r="G31" t="str">
            <v>COLEGIO ISAAC NEWTON</v>
          </cell>
          <cell r="H31" t="str">
            <v>Autoevaluación Institucional y Pruebas SABER 11</v>
          </cell>
          <cell r="I31" t="str">
            <v>EVALUACIÓN_CON_FINES_DE_MEJORAMIENTO.</v>
          </cell>
          <cell r="J31" t="str">
            <v>Revisar la actualización, socialización e implementación del Sistema Institucional de Evaluación de Estudiantes - SIEE, en articulación con la actualización del PEI y la normatividad vigente.</v>
          </cell>
          <cell r="K31" t="str">
            <v>JUANITA LINA CAROLINA RAMÍREZ LÓPEZ</v>
          </cell>
          <cell r="L31" t="str">
            <v>XIMENA CAROLINA RAMÍREZ MORALES</v>
          </cell>
          <cell r="M31">
            <v>45758</v>
          </cell>
          <cell r="N31">
            <v>45758</v>
          </cell>
          <cell r="O31">
            <v>45758</v>
          </cell>
          <cell r="P31" t="str">
            <v>Visitas de evaluación con fines de mejoramiento</v>
          </cell>
          <cell r="Q31" t="str">
            <v>0411 Acta de visita administrativa Isaac Newton.pdf</v>
          </cell>
          <cell r="R31" t="str">
            <v>Presenta documento del SIEE contiene los elementos correspondientes, tales como  las estrategias de apoyo para dificultades academicas.</v>
          </cell>
          <cell r="S31" t="str">
            <v xml:space="preserve">Se recomienda contar con evidencias del desarollo de estas  actividades de acompañamiento a estudiantes </v>
          </cell>
          <cell r="T31" t="str">
            <v>No</v>
          </cell>
          <cell r="U31" t="str">
            <v>Se hará verificación en caso de presentarse requerimiento</v>
          </cell>
        </row>
        <row r="32">
          <cell r="A32">
            <v>1669</v>
          </cell>
          <cell r="B32"/>
          <cell r="C32" t="str">
            <v>SAN CRISTÓBAL</v>
          </cell>
          <cell r="D32" t="str">
            <v>PRIVADO</v>
          </cell>
          <cell r="E32" t="str">
            <v>EPBM</v>
          </cell>
          <cell r="F32" t="str">
            <v>COLEGIO_ISAAC_NEWTON</v>
          </cell>
          <cell r="G32" t="str">
            <v>COLEGIO ISAAC NEWTON</v>
          </cell>
          <cell r="H32" t="str">
            <v>Autoevaluación Institucional y Pruebas SABER 11</v>
          </cell>
          <cell r="I32" t="str">
            <v>EVALUACIÓN_CON_FINES_DE_MEJORAMIENTO.</v>
          </cell>
          <cell r="J32" t="str">
            <v>Revisar el calendario escolar, jornada escolar, la intensidad horaria mínima anual en cada nivel y las modificaciones que se realicen al mismo, de acuerdo con lo previsto en la normatividad vigente.</v>
          </cell>
          <cell r="K32" t="str">
            <v>JUANITA LINA CAROLINA RAMÍREZ LÓPEZ</v>
          </cell>
          <cell r="L32" t="str">
            <v>XIMENA CAROLINA RAMÍREZ MORALES</v>
          </cell>
          <cell r="M32">
            <v>45758</v>
          </cell>
          <cell r="N32">
            <v>45758</v>
          </cell>
          <cell r="O32">
            <v>45758</v>
          </cell>
          <cell r="P32" t="str">
            <v>Visitas de evaluación con fines de mejoramiento</v>
          </cell>
          <cell r="Q32" t="str">
            <v>0411 Acta de visita administrativa Isaac Newton.pdf</v>
          </cell>
          <cell r="R32" t="str">
            <v>Cumple con las horas  y semanas reglamentarias de acuerdo con la Resolución de la SED N°1811 de 2024</v>
          </cell>
          <cell r="S32" t="str">
            <v xml:space="preserve">Continuar prestando el servicio educativo acorde a la normatividad vigente </v>
          </cell>
          <cell r="T32" t="str">
            <v>No</v>
          </cell>
          <cell r="U32" t="str">
            <v>Se hará verificación en caso de presentarse requerimiento</v>
          </cell>
        </row>
        <row r="33">
          <cell r="A33">
            <v>1670</v>
          </cell>
          <cell r="B33"/>
          <cell r="C33" t="str">
            <v>SAN CRISTÓBAL</v>
          </cell>
          <cell r="D33" t="str">
            <v>PRIVADO</v>
          </cell>
          <cell r="E33" t="str">
            <v>EPBM</v>
          </cell>
          <cell r="F33" t="str">
            <v>COLEGIO_ISAAC_NEWTON</v>
          </cell>
          <cell r="G33" t="str">
            <v>COLEGIO ISAAC NEWTON</v>
          </cell>
          <cell r="H33" t="str">
            <v>Autoevaluación Institucional y Pruebas SABER 11</v>
          </cell>
          <cell r="I33" t="str">
            <v>EVALUACIÓN_CON_FINES_DE_MEJORAMIENTO.</v>
          </cell>
          <cell r="J33" t="str">
            <v>Verificar el funcionamiento del Gobierno Escolar e instancias de participación con base en la información sobre conformación reportada por la institución educativa.</v>
          </cell>
          <cell r="K33" t="str">
            <v>JUANITA LINA CAROLINA RAMÍREZ LÓPEZ</v>
          </cell>
          <cell r="L33" t="str">
            <v>XIMENA CAROLINA RAMÍREZ MORALES</v>
          </cell>
          <cell r="M33">
            <v>45758</v>
          </cell>
          <cell r="N33">
            <v>45758</v>
          </cell>
          <cell r="O33">
            <v>45758</v>
          </cell>
          <cell r="P33" t="str">
            <v>Visitas de evaluación con fines de mejoramiento</v>
          </cell>
          <cell r="Q33" t="str">
            <v>0411 Acta de visita administrativa Isaac Newton.pdf</v>
          </cell>
          <cell r="R33" t="str">
            <v xml:space="preserve">Existen evidencias de la conformación y se hizo el respectivo cargue en SAE. A la fecha no han sesionado dichos estamentos. </v>
          </cell>
          <cell r="S33" t="str">
            <v>Documentar con Actas las sesiones que se desarrollen</v>
          </cell>
          <cell r="T33" t="str">
            <v>No</v>
          </cell>
          <cell r="U33" t="str">
            <v>Se hará verificación en caso de presentarse requerimiento</v>
          </cell>
        </row>
        <row r="34">
          <cell r="A34">
            <v>1671</v>
          </cell>
          <cell r="B34"/>
          <cell r="C34" t="str">
            <v>SAN CRISTÓBAL</v>
          </cell>
          <cell r="D34" t="str">
            <v>PRIVADO</v>
          </cell>
          <cell r="E34" t="str">
            <v>EPBM</v>
          </cell>
          <cell r="F34" t="str">
            <v>COLEGIO_ISAAC_NEWTON</v>
          </cell>
          <cell r="G34" t="str">
            <v>COLEGIO ISAAC NEWTON</v>
          </cell>
          <cell r="H34" t="str">
            <v>Autoevaluación Institucional y Pruebas SABER 11</v>
          </cell>
          <cell r="I34" t="str">
            <v>EVALUACIÓN_CON_FINES_DE_MEJORAMIENTO.</v>
          </cell>
          <cell r="J34" t="str">
            <v>Verificar las condiciones en cuanto a: la estructura administrativa, condiciones de la planta física y medios educativos adecuados.</v>
          </cell>
          <cell r="K34" t="str">
            <v>JUANITA LINA CAROLINA RAMÍREZ LÓPEZ</v>
          </cell>
          <cell r="L34" t="str">
            <v>XIMENA CAROLINA RAMÍREZ MORALES</v>
          </cell>
          <cell r="M34">
            <v>45758</v>
          </cell>
          <cell r="N34">
            <v>45758</v>
          </cell>
          <cell r="O34">
            <v>45758</v>
          </cell>
          <cell r="P34" t="str">
            <v>Visitas de evaluación con fines de mejoramiento</v>
          </cell>
          <cell r="Q34" t="str">
            <v>0411 Acta de visita administrativa Isaac Newton.pdf</v>
          </cell>
          <cell r="R34" t="str">
            <v>Las instalaciones se encuentran en buenas condiciones. Presenta Concepto Sanitario de la Secretaria Distrital SB06E-705026 del 13/11/2025 favorable con requerimientos.</v>
          </cell>
          <cell r="S34" t="str">
            <v>El colegio informa que ya ha realizados ajustes respectivos y espera nueva visita, realizó a inicio de año desinfección de tanques y fumigación.</v>
          </cell>
          <cell r="T34" t="str">
            <v>No</v>
          </cell>
          <cell r="U34" t="str">
            <v>Se hará verificación en caso de presentarse requerimiento</v>
          </cell>
        </row>
        <row r="35">
          <cell r="A35">
            <v>1672</v>
          </cell>
          <cell r="B35">
            <v>4</v>
          </cell>
          <cell r="C35" t="str">
            <v>SAN CRISTÓBAL</v>
          </cell>
          <cell r="D35" t="str">
            <v>PRIVADO</v>
          </cell>
          <cell r="E35" t="str">
            <v>EPBM</v>
          </cell>
          <cell r="F35" t="str">
            <v>COLEGIO_LORENZO_DE_ALCANTUZ</v>
          </cell>
          <cell r="G35" t="str">
            <v>COLEGIO LORENZO DE ALCANTUZ</v>
          </cell>
          <cell r="H35" t="str">
            <v>Autoevaluación Institucional y Pruebas SABER 11</v>
          </cell>
          <cell r="I35" t="str">
            <v>SEGUIMIENTO_Y_SUPERVISIÓN.</v>
          </cell>
          <cell r="J35" t="str">
            <v>Realizar visitas para verificar la información registrada sobre la autoevaluación institucional en el aplicativo EVI, a los establecimientos de educación formal no oficial.</v>
          </cell>
          <cell r="K35" t="str">
            <v>JUANITA LINA CAROLINA RAMÍREZ LÓPEZ</v>
          </cell>
          <cell r="L35" t="str">
            <v>XIMENA CAROLINA RAMÍREZ MORALES</v>
          </cell>
          <cell r="M35">
            <v>45807</v>
          </cell>
          <cell r="N35">
            <v>45807</v>
          </cell>
          <cell r="O35">
            <v>45807</v>
          </cell>
          <cell r="P35" t="str">
            <v>Visitas de evaluación con fines de mejoramiento</v>
          </cell>
          <cell r="Q35" t="str">
            <v>0530 Visita Administrativa Colegio Lorenzo de Alcantuz .pdf</v>
          </cell>
          <cell r="R35" t="str">
            <v xml:space="preserve">La resolución de  tarifas esta publicada en la cartelera de Secretaria (ingreso del colegio). Aplica descuentos por pronto pago de presscolar a 3°. Sitema contable Worl de control de pagos y facturación electronica. se verifican recibos de pago, facturas y libro de control. </v>
          </cell>
          <cell r="S35" t="str">
            <v>Se encuentra que no supera los valores aprobados. Coincide la autoevaluacion de EVI con la realidad.</v>
          </cell>
          <cell r="T35" t="str">
            <v>No</v>
          </cell>
          <cell r="U35" t="str">
            <v>Se hará verificación en caso de presentarse requerimiento</v>
          </cell>
        </row>
        <row r="36">
          <cell r="A36">
            <v>1673</v>
          </cell>
          <cell r="B36"/>
          <cell r="C36" t="str">
            <v>SAN CRISTÓBAL</v>
          </cell>
          <cell r="D36" t="str">
            <v>PRIVADO</v>
          </cell>
          <cell r="E36" t="str">
            <v>EPBM</v>
          </cell>
          <cell r="F36" t="str">
            <v>COLEGIO_LORENZO_DE_ALCANTUZ</v>
          </cell>
          <cell r="G36" t="str">
            <v>COLEGIO LORENZO DE ALCANTUZ</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JUANITA LINA CAROLINA RAMÍREZ LÓPEZ</v>
          </cell>
          <cell r="L36" t="str">
            <v>XIMENA CAROLINA RAMÍREZ MORALES</v>
          </cell>
          <cell r="M36">
            <v>45807</v>
          </cell>
          <cell r="N36">
            <v>45807</v>
          </cell>
          <cell r="O36">
            <v>45807</v>
          </cell>
          <cell r="P36" t="str">
            <v>Visitas de evaluación con fines de mejoramiento</v>
          </cell>
          <cell r="Q36" t="str">
            <v>0530 Visita Administrativa Colegio Lorenzo de Alcantuz .pdf</v>
          </cell>
          <cell r="R36" t="str">
            <v>Realizan análisis de los simulacros de pruebas saber (último 26 de abril). Aportan "Registro y evaluación capacitaciones y reuniones" Acta del 20/05/2025. Capacitación docente con la empresa Fabio Pardo (Elaboración de preguntas tipo pruebas saber). 
Realizan simulacros en 10 y 11; a partir de los resultados se elaboran planes de mejora. 
El diseño de las evaluaciones de período son tipo ICFES.</v>
          </cell>
          <cell r="S36" t="str">
            <v xml:space="preserve">En aras de fortalecer estrategias pedagógicas para mejorar los resultados de las pruebas en el segundo semestre proyectan implementar acciones en los componentes de ciencias naturales y ciencias sociales. </v>
          </cell>
          <cell r="T36" t="str">
            <v>No</v>
          </cell>
          <cell r="U36" t="str">
            <v>Se hará verificación en caso de presentarse requerimiento</v>
          </cell>
        </row>
        <row r="37">
          <cell r="A37">
            <v>1674</v>
          </cell>
          <cell r="B37"/>
          <cell r="C37" t="str">
            <v>SAN CRISTÓBAL</v>
          </cell>
          <cell r="D37" t="str">
            <v>PRIVADO</v>
          </cell>
          <cell r="E37" t="str">
            <v>EPBM</v>
          </cell>
          <cell r="F37" t="str">
            <v>COLEGIO_LORENZO_DE_ALCANTUZ</v>
          </cell>
          <cell r="G37" t="str">
            <v>COLEGIO LORENZO DE ALCANTUZ</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JUANITA LINA CAROLINA RAMÍREZ LÓPEZ</v>
          </cell>
          <cell r="L37" t="str">
            <v>XIMENA CAROLINA RAMÍREZ MORALES</v>
          </cell>
          <cell r="M37">
            <v>45807</v>
          </cell>
          <cell r="N37">
            <v>45807</v>
          </cell>
          <cell r="O37">
            <v>45807</v>
          </cell>
          <cell r="P37" t="str">
            <v>Visitas de evaluación con fines de mejoramiento</v>
          </cell>
          <cell r="Q37" t="str">
            <v>0530 Visita Administrativa Colegio Lorenzo de Alcantuz .pdf</v>
          </cell>
          <cell r="R37" t="str">
            <v>Se realizan a través de orientación talleres de prevención en temas de Educación Sexual de acuerdo a la edad y grado. Se atienden casos particulares o grupales. Se encuentra verificación de antecedentes del meses de enero y febrero de todos los trabajadores</v>
          </cell>
          <cell r="S37" t="str">
            <v>Se recuerda la obligación de consultar antecedentes cada 4 meses.</v>
          </cell>
          <cell r="T37" t="str">
            <v>No</v>
          </cell>
          <cell r="U37" t="str">
            <v>Se hará verificación en caso de presentarse requerimiento</v>
          </cell>
        </row>
        <row r="38">
          <cell r="A38">
            <v>1675</v>
          </cell>
          <cell r="B38"/>
          <cell r="C38" t="str">
            <v>SAN CRISTÓBAL</v>
          </cell>
          <cell r="D38" t="str">
            <v>PRIVADO</v>
          </cell>
          <cell r="E38" t="str">
            <v>EPBM</v>
          </cell>
          <cell r="F38" t="str">
            <v>COLEGIO_LORENZO_DE_ALCANTUZ</v>
          </cell>
          <cell r="G38" t="str">
            <v>COLEGIO LORENZO DE ALCANTUZ</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JUANITA LINA CAROLINA RAMÍREZ LÓPEZ</v>
          </cell>
          <cell r="L38" t="str">
            <v>XIMENA CAROLINA RAMÍREZ MORALES</v>
          </cell>
          <cell r="M38">
            <v>45807</v>
          </cell>
          <cell r="N38">
            <v>45807</v>
          </cell>
          <cell r="O38">
            <v>45807</v>
          </cell>
          <cell r="P38" t="str">
            <v>Visitas de evaluación con fines de mejoramiento</v>
          </cell>
          <cell r="Q38" t="str">
            <v>0530 Visita Administrativa Colegio Lorenzo de Alcantuz .pdf</v>
          </cell>
          <cell r="R38" t="str">
            <v>La Orientadora lidera el proceso y trabaja en articulación con los Docentes y las Familias, para que los PIAR sean revisados y actualizados  periódicamente, y así mismo socializados con las familias. Se verifican carpetas física con formato PIAR con firmas de acuerdo con padres y documentos de soporte del sector salud. Se evidencia también carpeta Drive por estudiante donde se ve el PIAR, las dificultades, barreras y acciones a implementar desde los DBA, aquí los maestros pueden hacer aportes, y la versión final es definida por la orientadora y socializada con los padres en cita con ella.</v>
          </cell>
          <cell r="S38" t="str">
            <v xml:space="preserve">Se resalta la organización documental y el seguimiento a los estudiantes </v>
          </cell>
          <cell r="T38" t="str">
            <v>No</v>
          </cell>
          <cell r="U38" t="str">
            <v>Se hará verificación en caso de presentarse requerimiento</v>
          </cell>
        </row>
        <row r="39">
          <cell r="A39">
            <v>1676</v>
          </cell>
          <cell r="B39"/>
          <cell r="C39" t="str">
            <v>SAN CRISTÓBAL</v>
          </cell>
          <cell r="D39" t="str">
            <v>PRIVADO</v>
          </cell>
          <cell r="E39" t="str">
            <v>EPBM</v>
          </cell>
          <cell r="F39" t="str">
            <v>COLEGIO_LORENZO_DE_ALCANTUZ</v>
          </cell>
          <cell r="G39" t="str">
            <v>COLEGIO LORENZO DE ALCANTUZ</v>
          </cell>
          <cell r="H39" t="str">
            <v>Autoevaluación Institucional y Pruebas SABER 11</v>
          </cell>
          <cell r="I39" t="str">
            <v>EVALUACIÓN_CON_FINES_DE_MEJORAMIENTO.</v>
          </cell>
          <cell r="J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 t="str">
            <v>JUANITA LINA CAROLINA RAMÍREZ LÓPEZ</v>
          </cell>
          <cell r="L39" t="str">
            <v>XIMENA CAROLINA RAMÍREZ MORALES</v>
          </cell>
          <cell r="M39">
            <v>45807</v>
          </cell>
          <cell r="N39">
            <v>45807</v>
          </cell>
          <cell r="O39">
            <v>45807</v>
          </cell>
          <cell r="P39" t="str">
            <v>Visitas de evaluación con fines de mejoramiento</v>
          </cell>
          <cell r="Q39" t="str">
            <v>0530 Visita Administrativa Colegio Lorenzo de Alcantuz .pdf</v>
          </cell>
          <cell r="R39" t="str">
            <v>El documento contiene: Capítulo I (Naturaleza jurídica, horizonte institucional, concepción filosófica), Capítulo II (Proceso de admisión y matrícula), Capítulo III (De los estudiantes), capítulo IV (Proceso de elección de estudiantes al gobierno escolar), Capítulo V (De los padres de familia), Capítulo VI (De los procesos y procedimientos académicos), Capítulo VII (De la convivencia, sus normas, procesos y procedimientos).</v>
          </cell>
          <cell r="S39" t="str">
            <v xml:space="preserve">La última actualización fue en el 2023, Aportan documento "Formato de revisión enfocado al manual de convivencia" con Padres de familia, docentes y estudiantes que cuentan con las respectivas firmas. </v>
          </cell>
          <cell r="T39" t="str">
            <v>No</v>
          </cell>
          <cell r="U39" t="str">
            <v>Se hará verificación en caso de presentarse requerimiento</v>
          </cell>
        </row>
        <row r="40">
          <cell r="A40">
            <v>1677</v>
          </cell>
          <cell r="B40"/>
          <cell r="C40" t="str">
            <v>SAN CRISTÓBAL</v>
          </cell>
          <cell r="D40" t="str">
            <v>PRIVADO</v>
          </cell>
          <cell r="E40" t="str">
            <v>EPBM</v>
          </cell>
          <cell r="F40" t="str">
            <v>COLEGIO_LORENZO_DE_ALCANTUZ</v>
          </cell>
          <cell r="G40" t="str">
            <v>COLEGIO LORENZO DE ALCANTUZ</v>
          </cell>
          <cell r="H40" t="str">
            <v>Autoevaluación Institucional y Pruebas SABER 11</v>
          </cell>
          <cell r="I40" t="str">
            <v>EVALUACIÓN_CON_FINES_DE_MEJORAMIENTO.</v>
          </cell>
          <cell r="J40" t="str">
            <v>Revisar la actualización, socialización e implementación del Sistema Institucional de Evaluación de Estudiantes - SIEE, en articulación con la actualización del PEI y la normatividad vigente.</v>
          </cell>
          <cell r="K40" t="str">
            <v>JUANITA LINA CAROLINA RAMÍREZ LÓPEZ</v>
          </cell>
          <cell r="L40" t="str">
            <v>XIMENA CAROLINA RAMÍREZ MORALES</v>
          </cell>
          <cell r="M40">
            <v>45807</v>
          </cell>
          <cell r="N40">
            <v>45807</v>
          </cell>
          <cell r="O40">
            <v>45807</v>
          </cell>
          <cell r="P40" t="str">
            <v>Visitas de evaluación con fines de mejoramiento</v>
          </cell>
          <cell r="Q40" t="str">
            <v>0530 Visita Administrativa Colegio Lorenzo de Alcantuz .pdf</v>
          </cell>
          <cell r="R40" t="str">
            <v>Se verifica la última versión del SIEE como parte integrante del PEI encontrando que contiene los mínimos legales.</v>
          </cell>
          <cell r="S40" t="str">
            <v xml:space="preserve">Se verificaron estrategias pedagógicas de evaluación y nivelación soportados en actas </v>
          </cell>
          <cell r="T40" t="str">
            <v>No</v>
          </cell>
          <cell r="U40" t="str">
            <v>Se hará verificación en caso de presentarse requerimiento</v>
          </cell>
        </row>
        <row r="41">
          <cell r="A41">
            <v>1678</v>
          </cell>
          <cell r="B41"/>
          <cell r="C41" t="str">
            <v>SAN CRISTÓBAL</v>
          </cell>
          <cell r="D41" t="str">
            <v>PRIVADO</v>
          </cell>
          <cell r="E41" t="str">
            <v>EPBM</v>
          </cell>
          <cell r="F41" t="str">
            <v>COLEGIO_LORENZO_DE_ALCANTUZ</v>
          </cell>
          <cell r="G41" t="str">
            <v>COLEGIO LORENZO DE ALCANTUZ</v>
          </cell>
          <cell r="H41" t="str">
            <v>Autoevaluación Institucional y Pruebas SABER 11</v>
          </cell>
          <cell r="I41" t="str">
            <v>EVALUACIÓN_CON_FINES_DE_MEJORAMIENTO.</v>
          </cell>
          <cell r="J41" t="str">
            <v>Revisar el calendario escolar, jornada escolar, la intensidad horaria mínima anual en cada nivel y las modificaciones que se realicen al mismo, de acuerdo con lo previsto en la normatividad vigente.</v>
          </cell>
          <cell r="K41" t="str">
            <v>JUANITA LINA CAROLINA RAMÍREZ LÓPEZ</v>
          </cell>
          <cell r="L41" t="str">
            <v>XIMENA CAROLINA RAMÍREZ MORALES</v>
          </cell>
          <cell r="M41">
            <v>45807</v>
          </cell>
          <cell r="N41">
            <v>45807</v>
          </cell>
          <cell r="O41">
            <v>45807</v>
          </cell>
          <cell r="P41" t="str">
            <v>Visitas de evaluación con fines de mejoramiento</v>
          </cell>
          <cell r="Q41" t="str">
            <v>0530 Visita Administrativa Colegio Lorenzo de Alcantuz .pdf</v>
          </cell>
          <cell r="R41" t="str">
            <v>Una vez revisado el documento este cumple con las horas y semanas reglamentarias de acuerdo con la Resolución de la SED N° 1811 de 2024.</v>
          </cell>
          <cell r="S41" t="str">
            <v>Cumple con las horas y semanas reglamentarias de acuerdo con la Resolución de la SED N° 1811 de 2024.</v>
          </cell>
          <cell r="T41" t="str">
            <v>No</v>
          </cell>
          <cell r="U41" t="str">
            <v>Se hará verificación en caso de presentarse requerimiento</v>
          </cell>
        </row>
        <row r="42">
          <cell r="A42">
            <v>1679</v>
          </cell>
          <cell r="B42"/>
          <cell r="C42" t="str">
            <v>SAN CRISTÓBAL</v>
          </cell>
          <cell r="D42" t="str">
            <v>PRIVADO</v>
          </cell>
          <cell r="E42" t="str">
            <v>EPBM</v>
          </cell>
          <cell r="F42" t="str">
            <v>COLEGIO_LORENZO_DE_ALCANTUZ</v>
          </cell>
          <cell r="G42" t="str">
            <v>COLEGIO LORENZO DE ALCANTUZ</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JUANITA LINA CAROLINA RAMÍREZ LÓPEZ</v>
          </cell>
          <cell r="L42" t="str">
            <v>XIMENA CAROLINA RAMÍREZ MORALES</v>
          </cell>
          <cell r="M42">
            <v>45807</v>
          </cell>
          <cell r="N42">
            <v>45807</v>
          </cell>
          <cell r="O42">
            <v>45807</v>
          </cell>
          <cell r="P42" t="str">
            <v>Visitas de evaluación con fines de mejoramiento</v>
          </cell>
          <cell r="Q42" t="str">
            <v>0530 Visita Administrativa Colegio Lorenzo de Alcantuz .pdf</v>
          </cell>
          <cell r="R42" t="str">
            <v>Aportan actas (Jardín a 11) de elección de Vocero, monitor académico, monitor de convivencia y brigadistas. Desde primero, las actas cuentan las respectivas firmas. 
La votación de personero, cabildante y contralor se realizó de manera digital. Aportaron listados con firma de cada uno de los cursos. 
En la primera asamblea (8/02/2025) se eligen los representantes a consejo de padres.
Los integrantes del consejo de padres  se citan a un encuentro (21 de febrero de 2025) en el cual se hace lectura de requisitos y funciones de los padres representantes a consejo directivo, consejo académico y cosejo convivencial. Aportan acta correspondiente con las respectivas firmas. 
También aportan actas descargadas del SAE. 
Se constatan actas de funcionamiento de consejo directivo de 2025: 21/05/2025; 24,02/2025; 07/05/2025, 22/05/2025
Se verifican actas de Consejo académico: 21/02/2025; 28/02/2025; 19/03/2025; 09/05/2025</v>
          </cell>
          <cell r="S42" t="str">
            <v>Tener en cuenta de preescolar a tercero se elige un solo representante para consejo estudiantil. El presidente de consejo estudiantil hace parte del comité de convivencia.</v>
          </cell>
          <cell r="T42" t="str">
            <v>No</v>
          </cell>
          <cell r="U42" t="str">
            <v>Se hará verificación en caso de presentarse requerimiento</v>
          </cell>
        </row>
        <row r="43">
          <cell r="A43">
            <v>1680</v>
          </cell>
          <cell r="B43"/>
          <cell r="C43" t="str">
            <v>SAN CRISTÓBAL</v>
          </cell>
          <cell r="D43" t="str">
            <v>PRIVADO</v>
          </cell>
          <cell r="E43" t="str">
            <v>EPBM</v>
          </cell>
          <cell r="F43" t="str">
            <v>COLEGIO_LORENZO_DE_ALCANTUZ</v>
          </cell>
          <cell r="G43" t="str">
            <v>COLEGIO LORENZO DE ALCANTUZ</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JUANITA LINA CAROLINA RAMÍREZ LÓPEZ</v>
          </cell>
          <cell r="L43" t="str">
            <v>XIMENA CAROLINA RAMÍREZ MORALES</v>
          </cell>
          <cell r="M43">
            <v>45807</v>
          </cell>
          <cell r="N43">
            <v>45807</v>
          </cell>
          <cell r="O43">
            <v>45807</v>
          </cell>
          <cell r="P43" t="str">
            <v>Visitas de evaluación con fines de mejoramiento</v>
          </cell>
          <cell r="Q43" t="str">
            <v>0530 Visita Administrativa Colegio Lorenzo de Alcantuz .pdf</v>
          </cell>
          <cell r="R43" t="str">
            <v>En recorrido por la planta física, se encuentra que los espacios están en buen estado y cuentan con iluminación, ventilación y capacidad para la población que le da uso. Cada aula cuenta con televisor y computador, mobiliario suficiente y en buen estado. Cuenta con dos salas de informática, con suficientes equipo y conectividad funcional. Cuenta con canchas y patios internos de amplia capacidad</v>
          </cell>
          <cell r="S43" t="str">
            <v xml:space="preserve">Pese a que no cuenta con población de discapacidad física, tiene rampas. </v>
          </cell>
          <cell r="T43" t="str">
            <v>No</v>
          </cell>
          <cell r="U43" t="str">
            <v>Se hará verificación en caso de presentarse requerimiento</v>
          </cell>
        </row>
        <row r="44">
          <cell r="A44">
            <v>1681</v>
          </cell>
          <cell r="B44">
            <v>5</v>
          </cell>
          <cell r="C44" t="str">
            <v>SAN CRISTÓBAL</v>
          </cell>
          <cell r="D44" t="str">
            <v>PRIVADO</v>
          </cell>
          <cell r="E44" t="str">
            <v>EPBM</v>
          </cell>
          <cell r="F44" t="str">
            <v>COLEGIO_MADRE_PAULA_MONTAL</v>
          </cell>
          <cell r="G44" t="str">
            <v>COLEGIO MADRE PAULA MONTAL</v>
          </cell>
          <cell r="H44" t="str">
            <v>Autoevaluación Institucional y Pruebas SABER 11</v>
          </cell>
          <cell r="I44" t="str">
            <v>SEGUIMIENTO_Y_SUPERVISIÓN.</v>
          </cell>
          <cell r="J44" t="str">
            <v>Realizar visitas para verificar la información registrada sobre la autoevaluación institucional en el aplicativo EVI, a los establecimientos de educación formal no oficial.</v>
          </cell>
          <cell r="K44" t="str">
            <v>XIMENA CAROLINA RAMÍREZ MORALES</v>
          </cell>
          <cell r="L44" t="str">
            <v>JAIRO ANDRÉS ÁLVAREZ CHÁVEZ</v>
          </cell>
          <cell r="M44">
            <v>45793</v>
          </cell>
          <cell r="N44">
            <v>45800</v>
          </cell>
          <cell r="O44">
            <v>45800</v>
          </cell>
          <cell r="P44" t="str">
            <v>Visitas de evaluación con fines de mejoramiento</v>
          </cell>
          <cell r="Q44" t="str">
            <v>0523 Acta de visita administrativa Col. Madre Paula Montal.pdf</v>
          </cell>
          <cell r="R44" t="str">
            <v xml:space="preserve">Se encuentra publicada la resolución de tarifas. Cuentan con la plataforma master 2000 (Costos educativos) para la respectiva gestión. </v>
          </cell>
          <cell r="S44" t="str">
            <v xml:space="preserve">Continuar dando cumplimiento a los establecido en la resolución de tarifas 2025. </v>
          </cell>
          <cell r="T44" t="str">
            <v>No</v>
          </cell>
          <cell r="U44" t="str">
            <v>Se hará verificación en caso de presentarse requerimiento</v>
          </cell>
        </row>
        <row r="45">
          <cell r="A45">
            <v>1682</v>
          </cell>
          <cell r="B45"/>
          <cell r="C45" t="str">
            <v>SAN CRISTÓBAL</v>
          </cell>
          <cell r="D45" t="str">
            <v>PRIVADO</v>
          </cell>
          <cell r="E45" t="str">
            <v>EPBM</v>
          </cell>
          <cell r="F45" t="str">
            <v>COLEGIO_MADRE_PAULA_MONTAL</v>
          </cell>
          <cell r="G45" t="str">
            <v>COLEGIO MADRE PAULA MONTAL</v>
          </cell>
          <cell r="H45" t="str">
            <v>Autoevaluación Institucional y Pruebas SABER 11</v>
          </cell>
          <cell r="I45" t="str">
            <v>SEGUIMIENTO_Y_SUPERVISIÓN.</v>
          </cell>
          <cell r="J45" t="str">
            <v>Proponer estrategias en la formulación, verificar su elaboración y realizar seguimiento semestral al desarrollo de  las acciones establecidas en los planes de mejoramiento por pruebas SABER 11 de los establecimientos de educación formal.</v>
          </cell>
          <cell r="K45" t="str">
            <v>XIMENA CAROLINA RAMÍREZ MORALES</v>
          </cell>
          <cell r="L45" t="str">
            <v>JAIRO ANDRÉS ÁLVAREZ CHÁVEZ</v>
          </cell>
          <cell r="M45">
            <v>45793</v>
          </cell>
          <cell r="N45">
            <v>45800</v>
          </cell>
          <cell r="O45">
            <v>45800</v>
          </cell>
          <cell r="P45" t="str">
            <v>Visitas de evaluación con fines de mejoramiento</v>
          </cell>
          <cell r="Q45" t="str">
            <v>0523 Acta de visita administrativa Col. Madre Paula Montal.pdf</v>
          </cell>
          <cell r="R45" t="str">
            <v xml:space="preserve">Sugieren preicfes virtual de carácter voluntario. En la dinámica de las clases  han incorporado estrategias para fortalecer la lectura crítica. </v>
          </cell>
          <cell r="S45" t="str">
            <v xml:space="preserve">Seguir implementando estrategias para fortalecer los diferentes componentes evaluados en las pruebas saber. </v>
          </cell>
          <cell r="T45" t="str">
            <v>No</v>
          </cell>
          <cell r="U45" t="str">
            <v>Se hará verificación en caso de presentarse requerimiento</v>
          </cell>
        </row>
        <row r="46">
          <cell r="A46">
            <v>1683</v>
          </cell>
          <cell r="B46"/>
          <cell r="C46" t="str">
            <v>SAN CRISTÓBAL</v>
          </cell>
          <cell r="D46" t="str">
            <v>PRIVADO</v>
          </cell>
          <cell r="E46" t="str">
            <v>EPBM</v>
          </cell>
          <cell r="F46" t="str">
            <v>COLEGIO_MADRE_PAULA_MONTAL</v>
          </cell>
          <cell r="G46" t="str">
            <v>COLEGIO MADRE PAULA MONTAL</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XIMENA CAROLINA RAMÍREZ MORALES</v>
          </cell>
          <cell r="L46" t="str">
            <v>JAIRO ANDRÉS ÁLVAREZ CHÁVEZ</v>
          </cell>
          <cell r="M46">
            <v>45793</v>
          </cell>
          <cell r="N46">
            <v>45800</v>
          </cell>
          <cell r="O46">
            <v>45800</v>
          </cell>
          <cell r="P46" t="str">
            <v>Visitas de evaluación con fines de mejoramiento</v>
          </cell>
          <cell r="Q46" t="str">
            <v>0523 Acta de visita administrativa Col. Madre Paula Montal.pdf</v>
          </cell>
          <cell r="R46" t="str">
            <v xml:space="preserve">Se constata verificación de antecedentes por délitos sexuales. </v>
          </cell>
          <cell r="S46" t="str">
            <v xml:space="preserve">Se recuerda realizar la consulta de inhabilidades cada 4 meses. </v>
          </cell>
          <cell r="T46" t="str">
            <v>No</v>
          </cell>
          <cell r="U46" t="str">
            <v>Se hará verificación en caso de presentarse requerimiento</v>
          </cell>
        </row>
        <row r="47">
          <cell r="A47">
            <v>1684</v>
          </cell>
          <cell r="B47"/>
          <cell r="C47" t="str">
            <v>SAN CRISTÓBAL</v>
          </cell>
          <cell r="D47" t="str">
            <v>PRIVADO</v>
          </cell>
          <cell r="E47" t="str">
            <v>EPBM</v>
          </cell>
          <cell r="F47" t="str">
            <v>COLEGIO_MADRE_PAULA_MONTAL</v>
          </cell>
          <cell r="G47" t="str">
            <v>COLEGIO MADRE PAULA MONTAL</v>
          </cell>
          <cell r="H47" t="str">
            <v>Autoevaluación Institucional y Pruebas SABER 11</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XIMENA CAROLINA RAMÍREZ MORALES</v>
          </cell>
          <cell r="L47" t="str">
            <v>JAIRO ANDRÉS ÁLVAREZ CHÁVEZ</v>
          </cell>
          <cell r="M47">
            <v>45793</v>
          </cell>
          <cell r="N47">
            <v>45800</v>
          </cell>
          <cell r="O47">
            <v>45800</v>
          </cell>
          <cell r="P47" t="str">
            <v>Visitas de evaluación con fines de mejoramiento</v>
          </cell>
          <cell r="Q47" t="str">
            <v>0523 Acta de visita administrativa Col. Madre Paula Montal.pdf</v>
          </cell>
          <cell r="R47" t="str">
            <v xml:space="preserve">La IE cuenta con los PIAR en la plataforma Master 2000 (Sistema académico).  El acta de acuerdos con las familias se encuentra en físico debidamente firmadas. </v>
          </cell>
          <cell r="S47" t="str">
            <v xml:space="preserve">Continuar con la aplicación de los PIAR y evaluar periódicamente la pertinencia de las estrategias desarrolladas. </v>
          </cell>
          <cell r="T47" t="str">
            <v>No</v>
          </cell>
          <cell r="U47" t="str">
            <v>Se hará verificación en caso de presentarse requerimiento</v>
          </cell>
        </row>
        <row r="48">
          <cell r="A48">
            <v>1685</v>
          </cell>
          <cell r="B48"/>
          <cell r="C48" t="str">
            <v>SAN CRISTÓBAL</v>
          </cell>
          <cell r="D48" t="str">
            <v>PRIVADO</v>
          </cell>
          <cell r="E48" t="str">
            <v>EPBM</v>
          </cell>
          <cell r="F48" t="str">
            <v>COLEGIO_MADRE_PAULA_MONTAL</v>
          </cell>
          <cell r="G48" t="str">
            <v>COLEGIO MADRE PAULA MONTAL</v>
          </cell>
          <cell r="H48" t="str">
            <v>Autoevaluación Institucional y Pruebas SABER 11</v>
          </cell>
          <cell r="I48" t="str">
            <v>EVALUACIÓN_CON_FINES_DE_MEJORAMIENTO.</v>
          </cell>
          <cell r="J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8" t="str">
            <v>XIMENA CAROLINA RAMÍREZ MORALES</v>
          </cell>
          <cell r="L48" t="str">
            <v>JAIRO ANDRÉS ÁLVAREZ CHÁVEZ</v>
          </cell>
          <cell r="M48">
            <v>45793</v>
          </cell>
          <cell r="N48">
            <v>45800</v>
          </cell>
          <cell r="O48">
            <v>45800</v>
          </cell>
          <cell r="P48" t="str">
            <v>Visitas de evaluación con fines de mejoramiento</v>
          </cell>
          <cell r="Q48" t="str">
            <v>0523 Acta de visita administrativa Col. Madre Paula Montal.pdf</v>
          </cell>
          <cell r="R48" t="str">
            <v xml:space="preserve">El manual de convivencia cuenta los  elementos establecidos según la normatividad. En su adecuación intervienen las instancias correspondientes. Citan diferentes integrantes de la comunidad educativa al finalizar el año para ajustes. </v>
          </cell>
          <cell r="S48" t="str">
            <v xml:space="preserve">Evidenciar en los órganos de gobierno escolar la participación, para no generar reuniones adicionales. </v>
          </cell>
          <cell r="T48" t="str">
            <v>No</v>
          </cell>
          <cell r="U48" t="str">
            <v>Se hará verificación en caso de presentarse requerimiento</v>
          </cell>
        </row>
        <row r="49">
          <cell r="A49">
            <v>1686</v>
          </cell>
          <cell r="B49"/>
          <cell r="C49" t="str">
            <v>SAN CRISTÓBAL</v>
          </cell>
          <cell r="D49" t="str">
            <v>PRIVADO</v>
          </cell>
          <cell r="E49" t="str">
            <v>EPBM</v>
          </cell>
          <cell r="F49" t="str">
            <v>COLEGIO_MADRE_PAULA_MONTAL</v>
          </cell>
          <cell r="G49" t="str">
            <v>COLEGIO MADRE PAULA MONTAL</v>
          </cell>
          <cell r="H49" t="str">
            <v>Autoevaluación Institucional y Pruebas SABER 11</v>
          </cell>
          <cell r="I49" t="str">
            <v>EVALUACIÓN_CON_FINES_DE_MEJORAMIENTO.</v>
          </cell>
          <cell r="J49" t="str">
            <v>Revisar la actualización, socialización e implementación del Sistema Institucional de Evaluación de Estudiantes - SIEE, en articulación con la actualización del PEI y la normatividad vigente.</v>
          </cell>
          <cell r="K49" t="str">
            <v>XIMENA CAROLINA RAMÍREZ MORALES</v>
          </cell>
          <cell r="L49" t="str">
            <v>JAIRO ANDRÉS ÁLVAREZ CHÁVEZ</v>
          </cell>
          <cell r="M49">
            <v>45793</v>
          </cell>
          <cell r="N49">
            <v>45800</v>
          </cell>
          <cell r="O49">
            <v>45800</v>
          </cell>
          <cell r="P49" t="str">
            <v>Visitas de evaluación con fines de mejoramiento</v>
          </cell>
          <cell r="Q49" t="str">
            <v>0523 Acta de visita administrativa Col. Madre Paula Montal.pdf</v>
          </cell>
          <cell r="R49" t="str">
            <v>El SIEE refiere ámbito conceptual, fundamentación legal, alcance de la evaluación, tipos de evaluación, ámbito operativo, escala de valoración articulación SENA. Se evidencia trazabilidad PEI, SIEE, planes de área, planeador de clase.</v>
          </cell>
          <cell r="S49" t="str">
            <v xml:space="preserve">Continuar con la actualización, socialización e implementación de acuerdo con la normatividad vigente. </v>
          </cell>
          <cell r="T49" t="str">
            <v>No</v>
          </cell>
          <cell r="U49" t="str">
            <v>Se hará verificación en caso de presentarse requerimiento</v>
          </cell>
        </row>
        <row r="50">
          <cell r="A50">
            <v>1687</v>
          </cell>
          <cell r="B50"/>
          <cell r="C50" t="str">
            <v>SAN CRISTÓBAL</v>
          </cell>
          <cell r="D50" t="str">
            <v>PRIVADO</v>
          </cell>
          <cell r="E50" t="str">
            <v>EPBM</v>
          </cell>
          <cell r="F50" t="str">
            <v>COLEGIO_MADRE_PAULA_MONTAL</v>
          </cell>
          <cell r="G50" t="str">
            <v>COLEGIO MADRE PAULA MONTAL</v>
          </cell>
          <cell r="H50" t="str">
            <v>Autoevaluación Institucional y Pruebas SABER 11</v>
          </cell>
          <cell r="I50" t="str">
            <v>EVALUACIÓN_CON_FINES_DE_MEJORAMIENTO.</v>
          </cell>
          <cell r="J50" t="str">
            <v>Revisar el calendario escolar, jornada escolar, la intensidad horaria mínima anual en cada nivel y las modificaciones que se realicen al mismo, de acuerdo con lo previsto en la normatividad vigente.</v>
          </cell>
          <cell r="K50" t="str">
            <v>XIMENA CAROLINA RAMÍREZ MORALES</v>
          </cell>
          <cell r="L50" t="str">
            <v>JAIRO ANDRÉS ÁLVAREZ CHÁVEZ</v>
          </cell>
          <cell r="M50">
            <v>45793</v>
          </cell>
          <cell r="N50">
            <v>45800</v>
          </cell>
          <cell r="O50">
            <v>45800</v>
          </cell>
          <cell r="P50" t="str">
            <v>Visitas de evaluación con fines de mejoramiento</v>
          </cell>
          <cell r="Q50" t="str">
            <v>0523 Acta de visita administrativa Col. Madre Paula Montal.pdf</v>
          </cell>
          <cell r="R50" t="str">
            <v xml:space="preserve">Cumple con las horas y semanas reglamentarias de acuerdo con la resolución de la SED No. 1811 de 2024 </v>
          </cell>
          <cell r="S50" t="str">
            <v xml:space="preserve">Continuar con la prestación del servicio educativo de acuerdo con lo establecido en la normatividad vigente. </v>
          </cell>
          <cell r="T50" t="str">
            <v>No</v>
          </cell>
          <cell r="U50" t="str">
            <v>Se hará verificación en caso de presentarse requerimiento</v>
          </cell>
        </row>
        <row r="51">
          <cell r="A51">
            <v>1688</v>
          </cell>
          <cell r="B51"/>
          <cell r="C51" t="str">
            <v>SAN CRISTÓBAL</v>
          </cell>
          <cell r="D51" t="str">
            <v>PRIVADO</v>
          </cell>
          <cell r="E51" t="str">
            <v>EPBM</v>
          </cell>
          <cell r="F51" t="str">
            <v>COLEGIO_MADRE_PAULA_MONTAL</v>
          </cell>
          <cell r="G51" t="str">
            <v>COLEGIO MADRE PAULA MONTAL</v>
          </cell>
          <cell r="H51" t="str">
            <v>Autoevaluación Institucional y Pruebas SABER 11</v>
          </cell>
          <cell r="I51" t="str">
            <v>EVALUACIÓN_CON_FINES_DE_MEJORAMIENTO.</v>
          </cell>
          <cell r="J51" t="str">
            <v>Verificar el funcionamiento del Gobierno Escolar e instancias de participación con base en la información sobre conformación reportada por la institución educativa.</v>
          </cell>
          <cell r="K51" t="str">
            <v>XIMENA CAROLINA RAMÍREZ MORALES</v>
          </cell>
          <cell r="L51" t="str">
            <v>JAIRO ANDRÉS ÁLVAREZ CHÁVEZ</v>
          </cell>
          <cell r="M51">
            <v>45793</v>
          </cell>
          <cell r="N51">
            <v>45800</v>
          </cell>
          <cell r="O51">
            <v>45800</v>
          </cell>
          <cell r="P51" t="str">
            <v>Visitas de evaluación con fines de mejoramiento</v>
          </cell>
          <cell r="Q51" t="str">
            <v>0523 Acta de visita administrativa Col. Madre Paula Montal.pdf</v>
          </cell>
          <cell r="R51" t="str">
            <v xml:space="preserve">Se constatan actas de consejo estudiantil, consejo de padres, consejo directivo, consejo académico, comité de convivencia escolar. </v>
          </cell>
          <cell r="S51" t="str">
            <v xml:space="preserve">En consejo directivo aclarar como se eligieron representantes de sector productivo y exalumno, En elecciones de estudiantes adjuntar asistencia del día. </v>
          </cell>
          <cell r="T51" t="str">
            <v>No</v>
          </cell>
          <cell r="U51" t="str">
            <v>Se hará verificación en caso de presentarse requerimiento</v>
          </cell>
        </row>
        <row r="52">
          <cell r="A52">
            <v>1689</v>
          </cell>
          <cell r="B52"/>
          <cell r="C52" t="str">
            <v>SAN CRISTÓBAL</v>
          </cell>
          <cell r="D52" t="str">
            <v>PRIVADO</v>
          </cell>
          <cell r="E52" t="str">
            <v>EPBM</v>
          </cell>
          <cell r="F52" t="str">
            <v>COLEGIO_MADRE_PAULA_MONTAL</v>
          </cell>
          <cell r="G52" t="str">
            <v>COLEGIO MADRE PAULA MONTAL</v>
          </cell>
          <cell r="H52" t="str">
            <v>Autoevaluación Institucional y Pruebas SABER 11</v>
          </cell>
          <cell r="I52" t="str">
            <v>EVALUACIÓN_CON_FINES_DE_MEJORAMIENTO.</v>
          </cell>
          <cell r="J52" t="str">
            <v>Verificar las condiciones en cuanto a: la estructura administrativa, condiciones de la planta física y medios educativos adecuados.</v>
          </cell>
          <cell r="K52" t="str">
            <v>XIMENA CAROLINA RAMÍREZ MORALES</v>
          </cell>
          <cell r="L52" t="str">
            <v>JAIRO ANDRÉS ÁLVAREZ CHÁVEZ</v>
          </cell>
          <cell r="M52">
            <v>45793</v>
          </cell>
          <cell r="N52">
            <v>45800</v>
          </cell>
          <cell r="O52">
            <v>45800</v>
          </cell>
          <cell r="P52" t="str">
            <v>Visitas de evaluación con fines de mejoramiento</v>
          </cell>
          <cell r="Q52" t="str">
            <v>0523 Acta de visita administrativa Col. Madre Paula Montal.pdf</v>
          </cell>
          <cell r="R52" t="str">
            <v xml:space="preserve">En recorrido se constatan adecuadas condiciones de infraestructura. 
Se verifica acta de secretaria de salud SB06705361 concepto  favorable con requerimientos. </v>
          </cell>
          <cell r="S52" t="str">
            <v xml:space="preserve">Dar cumplimiento a los requerimientos de secretaria de salud. </v>
          </cell>
          <cell r="T52" t="str">
            <v>No</v>
          </cell>
          <cell r="U52" t="str">
            <v>Se hará verificación en caso de presentarse requerimiento</v>
          </cell>
        </row>
        <row r="53">
          <cell r="A53">
            <v>1690</v>
          </cell>
          <cell r="B53">
            <v>6</v>
          </cell>
          <cell r="C53" t="str">
            <v>SAN CRISTÓBAL</v>
          </cell>
          <cell r="D53" t="str">
            <v>PRIVADO</v>
          </cell>
          <cell r="E53" t="str">
            <v>EPBM</v>
          </cell>
          <cell r="F53" t="str">
            <v>COLEGIO_MONSEÑOR_BERNARDO_SANCHEZ_HERMANAS_DE_NUESTRA_SEÑORA_DE_LA_PAZ</v>
          </cell>
          <cell r="G53" t="str">
            <v>COLEGIO MONSEÑOR BERNARDO SANCHEZ HERMANAS DE NUESTRA SEÑORA DE LA PAZ</v>
          </cell>
          <cell r="H53" t="str">
            <v>Autoevaluación Institucional y Pruebas SABER 11</v>
          </cell>
          <cell r="I53" t="str">
            <v>SEGUIMIENTO_Y_SUPERVISIÓN.</v>
          </cell>
          <cell r="J53" t="str">
            <v>Realizar visitas para verificar la información registrada sobre la autoevaluación institucional en el aplicativo EVI, a los establecimientos de educación formal no oficial.</v>
          </cell>
          <cell r="K53" t="str">
            <v>JOSÉ ASDRUBAL PÉREZ GIRALDO</v>
          </cell>
          <cell r="L53" t="str">
            <v>JAIRO ANDRÉS ÁLVAREZ CHÁVEZ</v>
          </cell>
          <cell r="M53">
            <v>45737</v>
          </cell>
          <cell r="N53">
            <v>45796</v>
          </cell>
          <cell r="O53">
            <v>45796</v>
          </cell>
          <cell r="P53" t="str">
            <v>Visitas de evaluación con fines de mejoramiento</v>
          </cell>
          <cell r="Q53" t="str">
            <v>0519 Acta de Visita Colegio Monseñor Bernardo Sánchez final.pdf</v>
          </cell>
          <cell r="R53" t="str">
            <v>Se verifica la clasificación en régimen regulado, se verifica instalaciones, Resolución de tarifas acordes con lo diligenciado en EVI.</v>
          </cell>
          <cell r="S53" t="str">
            <v>Se encuentra relación entre el EVI y lo encontrado en el EE cumpliendo con lo registrado en EVI.</v>
          </cell>
          <cell r="T53" t="str">
            <v>No</v>
          </cell>
          <cell r="U53" t="str">
            <v>Se hará verificación en caso de presentarse requerimiento</v>
          </cell>
        </row>
        <row r="54">
          <cell r="A54">
            <v>1691</v>
          </cell>
          <cell r="B54"/>
          <cell r="C54" t="str">
            <v>SAN CRISTÓBAL</v>
          </cell>
          <cell r="D54" t="str">
            <v>PRIVADO</v>
          </cell>
          <cell r="E54" t="str">
            <v>EPBM</v>
          </cell>
          <cell r="F54" t="str">
            <v>COLEGIO_MONSEÑOR_BERNARDO_SANCHEZ_HERMANAS_DE_NUESTRA_SEÑORA_DE_LA_PAZ</v>
          </cell>
          <cell r="G54" t="str">
            <v>COLEGIO MONSEÑOR BERNARDO SANCHEZ HERMANAS DE NUESTRA SEÑORA DE LA PAZ</v>
          </cell>
          <cell r="H54" t="str">
            <v>Autoevaluación Institucional y Pruebas SABER 11</v>
          </cell>
          <cell r="I54" t="str">
            <v>SEGUIMIENTO_Y_SUPERVISIÓN.</v>
          </cell>
          <cell r="J54" t="str">
            <v>Proponer estrategias en la formulación, verificar su elaboración y realizar seguimiento semestral al desarrollo de  las acciones establecidas en los planes de mejoramiento por pruebas SABER 11 de los establecimientos de educación formal.</v>
          </cell>
          <cell r="K54" t="str">
            <v>JOSÉ ASDRUBAL PÉREZ GIRALDO</v>
          </cell>
          <cell r="L54" t="str">
            <v>JAIRO ANDRÉS ÁLVAREZ CHÁVEZ</v>
          </cell>
          <cell r="M54">
            <v>45737</v>
          </cell>
          <cell r="N54">
            <v>45796</v>
          </cell>
          <cell r="O54">
            <v>45796</v>
          </cell>
          <cell r="P54" t="str">
            <v>Visitas de evaluación con fines de mejoramiento</v>
          </cell>
          <cell r="Q54" t="str">
            <v>0519 Acta de Visita Colegio Monseñor Bernardo Sánchez final.pdf</v>
          </cell>
          <cell r="R54" t="str">
            <v>El Colegio esta trabajando con  los simulacros de Milton Ochoa Martes de Prueba, se emprenden estrategias pedagogicas por areas para que los docentes hagan refuerzos desde grado 6°. A grado 11° se oferta voluntariamente un PREICFES.</v>
          </cell>
          <cell r="S54" t="str">
            <v>Se solicita al colegio a fortalecer este proceso teniendo en cuenta sus resutados en pruebas saber.</v>
          </cell>
          <cell r="T54" t="str">
            <v>No</v>
          </cell>
          <cell r="U54" t="str">
            <v>Se hará verificación en caso de presentarse requerimiento</v>
          </cell>
        </row>
        <row r="55">
          <cell r="A55">
            <v>1692</v>
          </cell>
          <cell r="B55"/>
          <cell r="C55" t="str">
            <v>SAN CRISTÓBAL</v>
          </cell>
          <cell r="D55" t="str">
            <v>PRIVADO</v>
          </cell>
          <cell r="E55" t="str">
            <v>EPBM</v>
          </cell>
          <cell r="F55" t="str">
            <v>COLEGIO_MONSEÑOR_BERNARDO_SANCHEZ_HERMANAS_DE_NUESTRA_SEÑORA_DE_LA_PAZ</v>
          </cell>
          <cell r="G55" t="str">
            <v>COLEGIO MONSEÑOR BERNARDO SANCHEZ HERMANAS DE NUESTRA SEÑORA DE LA PAZ</v>
          </cell>
          <cell r="H55" t="str">
            <v>Autoevaluación Institucional y Pruebas SABER 11</v>
          </cell>
          <cell r="I55" t="str">
            <v>SEGUIMIENTO_Y_SUPERVISIÓN.</v>
          </cell>
          <cell r="J55" t="str">
            <v xml:space="preserve">Verificar la implementación por parte de los colegios, de acciones realizadas para la prevención y atención de las situaciones de convivencia en el entorno escolar, según lo establecido en la Directiva 01 de 2022 del MEN. </v>
          </cell>
          <cell r="K55" t="str">
            <v>JOSÉ ASDRUBAL PÉREZ GIRALDO</v>
          </cell>
          <cell r="L55" t="str">
            <v>JAIRO ANDRÉS ÁLVAREZ CHÁVEZ</v>
          </cell>
          <cell r="M55">
            <v>45737</v>
          </cell>
          <cell r="N55">
            <v>45796</v>
          </cell>
          <cell r="O55">
            <v>45796</v>
          </cell>
          <cell r="P55" t="str">
            <v>Visitas de evaluación con fines de mejoramiento</v>
          </cell>
          <cell r="Q55" t="str">
            <v>0519 Acta de Visita Colegio Monseñor Bernardo Sánchez final.pdf</v>
          </cell>
          <cell r="R55" t="str">
            <v>Se encuentra en la carpeta de cada Docente la veficacion de antecedentes.</v>
          </cell>
          <cell r="S55" t="str">
            <v>Se resalta que el colegio tiene como principal funcion las formulacion e implementacon de acciones de primocion y prevencion y debe estar dicumenrttado en las actas y en el desarroolo de las actividades.</v>
          </cell>
          <cell r="T55" t="str">
            <v>No</v>
          </cell>
          <cell r="U55" t="str">
            <v>Se hará verificación en caso de presentarse requerimiento</v>
          </cell>
        </row>
        <row r="56">
          <cell r="A56">
            <v>1693</v>
          </cell>
          <cell r="B56"/>
          <cell r="C56" t="str">
            <v>SAN CRISTÓBAL</v>
          </cell>
          <cell r="D56" t="str">
            <v>PRIVADO</v>
          </cell>
          <cell r="E56" t="str">
            <v>EPBM</v>
          </cell>
          <cell r="F56" t="str">
            <v>COLEGIO_MONSEÑOR_BERNARDO_SANCHEZ_HERMANAS_DE_NUESTRA_SEÑORA_DE_LA_PAZ</v>
          </cell>
          <cell r="G56" t="str">
            <v>COLEGIO MONSEÑOR BERNARDO SANCHEZ HERMANAS DE NUESTRA SEÑORA DE LA PAZ</v>
          </cell>
          <cell r="H56" t="str">
            <v>Autoevaluación Institucional y Pruebas SABER 11</v>
          </cell>
          <cell r="I56" t="str">
            <v>SEGUIMIENTO_Y_SUPERVISIÓN.</v>
          </cell>
          <cell r="J5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6" t="str">
            <v>JOSÉ ASDRUBAL PÉREZ GIRALDO</v>
          </cell>
          <cell r="L56" t="str">
            <v>JAIRO ANDRÉS ÁLVAREZ CHÁVEZ</v>
          </cell>
          <cell r="M56">
            <v>45737</v>
          </cell>
          <cell r="N56">
            <v>45796</v>
          </cell>
          <cell r="O56">
            <v>45796</v>
          </cell>
          <cell r="P56" t="str">
            <v>Visitas de evaluación con fines de mejoramiento</v>
          </cell>
          <cell r="Q56" t="str">
            <v>0519 Acta de Visita Colegio Monseñor Bernardo Sánchez final.pdf</v>
          </cell>
          <cell r="R56" t="str">
            <v>No se puede evidenciar elaboracion y actualizacion de PIAR,  el colegio no cuenta con estudiantes con discapacidad</v>
          </cell>
          <cell r="S56" t="str">
            <v>Al no tener estudiantes con discapacidad no se evidencia Piar a los estudiantes.</v>
          </cell>
          <cell r="T56" t="str">
            <v>No</v>
          </cell>
          <cell r="U56" t="str">
            <v>Se hará verificación en caso de presentarse requerimiento</v>
          </cell>
        </row>
        <row r="57">
          <cell r="A57">
            <v>1694</v>
          </cell>
          <cell r="B57"/>
          <cell r="C57" t="str">
            <v>SAN CRISTÓBAL</v>
          </cell>
          <cell r="D57" t="str">
            <v>PRIVADO</v>
          </cell>
          <cell r="E57" t="str">
            <v>EPBM</v>
          </cell>
          <cell r="F57" t="str">
            <v>COLEGIO_MONSEÑOR_BERNARDO_SANCHEZ_HERMANAS_DE_NUESTRA_SEÑORA_DE_LA_PAZ</v>
          </cell>
          <cell r="G57" t="str">
            <v>COLEGIO MONSEÑOR BERNARDO SANCHEZ HERMANAS DE NUESTRA SEÑORA DE LA PAZ</v>
          </cell>
          <cell r="H57" t="str">
            <v>Autoevaluación Institucional y Pruebas SABER 11</v>
          </cell>
          <cell r="I57" t="str">
            <v>EVALUACIÓN_CON_FINES_DE_MEJORAMIENTO.</v>
          </cell>
          <cell r="J5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7" t="str">
            <v>JOSÉ ASDRUBAL PÉREZ GIRALDO</v>
          </cell>
          <cell r="L57" t="str">
            <v>JAIRO ANDRÉS ÁLVAREZ CHÁVEZ</v>
          </cell>
          <cell r="M57">
            <v>45737</v>
          </cell>
          <cell r="N57">
            <v>45796</v>
          </cell>
          <cell r="O57">
            <v>45796</v>
          </cell>
          <cell r="P57" t="str">
            <v>Visitas de evaluación con fines de mejoramiento</v>
          </cell>
          <cell r="Q57" t="str">
            <v>0519 Acta de Visita Colegio Monseñor Bernardo Sánchez final.pdf</v>
          </cell>
          <cell r="R57" t="str">
            <v>Presenta actas de trabajo con Docentes y padres. consejo academico y Consejo Directivo.</v>
          </cell>
          <cell r="S57" t="str">
            <v>Se resalta la importancia de que estos ajustes esten registrados en las actas del Consejo Directivo quien autoriza las actualizaciones.</v>
          </cell>
          <cell r="T57" t="str">
            <v>No</v>
          </cell>
          <cell r="U57" t="str">
            <v>Se hará verificación en caso de presentarse requerimiento</v>
          </cell>
        </row>
        <row r="58">
          <cell r="A58">
            <v>1695</v>
          </cell>
          <cell r="B58"/>
          <cell r="C58" t="str">
            <v>SAN CRISTÓBAL</v>
          </cell>
          <cell r="D58" t="str">
            <v>PRIVADO</v>
          </cell>
          <cell r="E58" t="str">
            <v>EPBM</v>
          </cell>
          <cell r="F58" t="str">
            <v>COLEGIO_MONSEÑOR_BERNARDO_SANCHEZ_HERMANAS_DE_NUESTRA_SEÑORA_DE_LA_PAZ</v>
          </cell>
          <cell r="G58" t="str">
            <v>COLEGIO MONSEÑOR BERNARDO SANCHEZ HERMANAS DE NUESTRA SEÑORA DE LA PAZ</v>
          </cell>
          <cell r="H58" t="str">
            <v>Autoevaluación Institucional y Pruebas SABER 11</v>
          </cell>
          <cell r="I58" t="str">
            <v>EVALUACIÓN_CON_FINES_DE_MEJORAMIENTO.</v>
          </cell>
          <cell r="J58" t="str">
            <v>Revisar la actualización, socialización e implementación del Sistema Institucional de Evaluación de Estudiantes - SIEE, en articulación con la actualización del PEI y la normatividad vigente.</v>
          </cell>
          <cell r="K58" t="str">
            <v>JOSÉ ASDRUBAL PÉREZ GIRALDO</v>
          </cell>
          <cell r="L58" t="str">
            <v>JAIRO ANDRÉS ÁLVAREZ CHÁVEZ</v>
          </cell>
          <cell r="M58">
            <v>45737</v>
          </cell>
          <cell r="N58">
            <v>45796</v>
          </cell>
          <cell r="O58">
            <v>45796</v>
          </cell>
          <cell r="P58" t="str">
            <v>Visitas de evaluación con fines de mejoramiento</v>
          </cell>
          <cell r="Q58" t="str">
            <v>0519 Acta de Visita Colegio Monseñor Bernardo Sánchez final.pdf</v>
          </cell>
          <cell r="R58" t="str">
            <v>Se encuentran artículos del SIEE "acciones de seguimiento para el mejoramiento del desempeño de los estudiantes durante el año escolar" el título III  de las estrategias de apoyo para resolver situaciones  pedagógicas pendientes de los estudiantes. superación de debilidades académica bimestrales, artículo 3.2. plan de atención inmediata pai y artículo 3.3. plan educativo personalizado.</v>
          </cell>
          <cell r="S58" t="str">
            <v>El  SIEE refiere entre otros comisiones de evaluación, promoción escolar, planes especiales, escala de valoración, acciones de seguimiento para el mejoramiento de desempeños, informes académicos, mecanismos de participación de la comunidad educativa.</v>
          </cell>
          <cell r="T58" t="str">
            <v>No</v>
          </cell>
          <cell r="U58" t="str">
            <v>Se hará verificación en caso de presentarse requerimiento</v>
          </cell>
        </row>
        <row r="59">
          <cell r="A59">
            <v>1696</v>
          </cell>
          <cell r="B59"/>
          <cell r="C59" t="str">
            <v>SAN CRISTÓBAL</v>
          </cell>
          <cell r="D59" t="str">
            <v>PRIVADO</v>
          </cell>
          <cell r="E59" t="str">
            <v>EPBM</v>
          </cell>
          <cell r="F59" t="str">
            <v>COLEGIO_MONSEÑOR_BERNARDO_SANCHEZ_HERMANAS_DE_NUESTRA_SEÑORA_DE_LA_PAZ</v>
          </cell>
          <cell r="G59" t="str">
            <v>COLEGIO MONSEÑOR BERNARDO SANCHEZ HERMANAS DE NUESTRA SEÑORA DE LA PAZ</v>
          </cell>
          <cell r="H59" t="str">
            <v>Autoevaluación Institucional y Pruebas SABER 11</v>
          </cell>
          <cell r="I59" t="str">
            <v>EVALUACIÓN_CON_FINES_DE_MEJORAMIENTO.</v>
          </cell>
          <cell r="J59" t="str">
            <v>Revisar el calendario escolar, jornada escolar, la intensidad horaria mínima anual en cada nivel y las modificaciones que se realicen al mismo, de acuerdo con lo previsto en la normatividad vigente.</v>
          </cell>
          <cell r="K59" t="str">
            <v>JOSÉ ASDRUBAL PÉREZ GIRALDO</v>
          </cell>
          <cell r="L59" t="str">
            <v>JAIRO ANDRÉS ÁLVAREZ CHÁVEZ</v>
          </cell>
          <cell r="M59">
            <v>45737</v>
          </cell>
          <cell r="N59">
            <v>45796</v>
          </cell>
          <cell r="O59">
            <v>45796</v>
          </cell>
          <cell r="P59" t="str">
            <v>Visitas de evaluación con fines de mejoramiento</v>
          </cell>
          <cell r="Q59" t="str">
            <v>0519 Acta de Visita Colegio Monseñor Bernardo Sánchez final.pdf</v>
          </cell>
          <cell r="R59" t="str">
            <v>Cumple con las horas y semanas reglamentarias de acuerdo con la Resolución de la SED N° 1811 de 2024.</v>
          </cell>
          <cell r="S59" t="str">
            <v>Es acorde con el calendario academico</v>
          </cell>
          <cell r="T59" t="str">
            <v>No</v>
          </cell>
          <cell r="U59" t="str">
            <v>Se hará verificación en caso de presentarse requerimiento</v>
          </cell>
        </row>
        <row r="60">
          <cell r="A60">
            <v>1697</v>
          </cell>
          <cell r="B60"/>
          <cell r="C60" t="str">
            <v>SAN CRISTÓBAL</v>
          </cell>
          <cell r="D60" t="str">
            <v>PRIVADO</v>
          </cell>
          <cell r="E60" t="str">
            <v>EPBM</v>
          </cell>
          <cell r="F60" t="str">
            <v>COLEGIO_MONSEÑOR_BERNARDO_SANCHEZ_HERMANAS_DE_NUESTRA_SEÑORA_DE_LA_PAZ</v>
          </cell>
          <cell r="G60" t="str">
            <v>COLEGIO MONSEÑOR BERNARDO SANCHEZ HERMANAS DE NUESTRA SEÑORA DE LA PAZ</v>
          </cell>
          <cell r="H60" t="str">
            <v>Autoevaluación Institucional y Pruebas SABER 11</v>
          </cell>
          <cell r="I60" t="str">
            <v>EVALUACIÓN_CON_FINES_DE_MEJORAMIENTO.</v>
          </cell>
          <cell r="J60" t="str">
            <v>Verificar el funcionamiento del Gobierno Escolar e instancias de participación con base en la información sobre conformación reportada por la institución educativa.</v>
          </cell>
          <cell r="K60" t="str">
            <v>JOSÉ ASDRUBAL PÉREZ GIRALDO</v>
          </cell>
          <cell r="L60" t="str">
            <v>JAIRO ANDRÉS ÁLVAREZ CHÁVEZ</v>
          </cell>
          <cell r="M60">
            <v>45737</v>
          </cell>
          <cell r="N60">
            <v>45796</v>
          </cell>
          <cell r="O60">
            <v>45796</v>
          </cell>
          <cell r="P60" t="str">
            <v>Visitas de evaluación con fines de mejoramiento</v>
          </cell>
          <cell r="Q60" t="str">
            <v>0519 Acta de Visita Colegio Monseñor Bernardo Sánchez final.pdf</v>
          </cell>
          <cell r="R60" t="str">
            <v>Se encuentran Actas Consejo Directivo y otras instancias del 04/04/2025, Acta de Consejo Académico del 7 y 12 de febrero de 2025</v>
          </cell>
          <cell r="S60" t="str">
            <v>Para todas las instancias incluir firmas el Rol (población o calidad que representa la persona); diferenciar representantes de Consejo Directivo y Comité de Convivencia Escolar. Celebrar asamblea de Docentes para elección democrática de sus representantes.  Aclarar registros de elección del Personero.  Aclarar Actas de Consejo Estudiantil y de Padres.</v>
          </cell>
          <cell r="T60" t="str">
            <v>No</v>
          </cell>
          <cell r="U60" t="str">
            <v>Se hará verificación en caso de presentarse requerimiento</v>
          </cell>
        </row>
        <row r="61">
          <cell r="A61">
            <v>1698</v>
          </cell>
          <cell r="B61"/>
          <cell r="C61" t="str">
            <v>SAN CRISTÓBAL</v>
          </cell>
          <cell r="D61" t="str">
            <v>PRIVADO</v>
          </cell>
          <cell r="E61" t="str">
            <v>EPBM</v>
          </cell>
          <cell r="F61" t="str">
            <v>COLEGIO_MONSEÑOR_BERNARDO_SANCHEZ_HERMANAS_DE_NUESTRA_SEÑORA_DE_LA_PAZ</v>
          </cell>
          <cell r="G61" t="str">
            <v>COLEGIO MONSEÑOR BERNARDO SANCHEZ HERMANAS DE NUESTRA SEÑORA DE LA PAZ</v>
          </cell>
          <cell r="H61" t="str">
            <v>Autoevaluación Institucional y Pruebas SABER 11</v>
          </cell>
          <cell r="I61" t="str">
            <v>EVALUACIÓN_CON_FINES_DE_MEJORAMIENTO.</v>
          </cell>
          <cell r="J61" t="str">
            <v>Verificar las condiciones en cuanto a: la estructura administrativa, condiciones de la planta física y medios educativos adecuados.</v>
          </cell>
          <cell r="K61" t="str">
            <v>JOSÉ ASDRUBAL PÉREZ GIRALDO</v>
          </cell>
          <cell r="L61" t="str">
            <v>JAIRO ANDRÉS ÁLVAREZ CHÁVEZ</v>
          </cell>
          <cell r="M61">
            <v>45737</v>
          </cell>
          <cell r="N61">
            <v>45796</v>
          </cell>
          <cell r="O61">
            <v>45796</v>
          </cell>
          <cell r="P61" t="str">
            <v>Visitas de evaluación con fines de mejoramiento</v>
          </cell>
          <cell r="Q61" t="str">
            <v>0519 Acta de Visita Colegio Monseñor Bernardo Sánchez final.pdf</v>
          </cell>
          <cell r="R61" t="str">
            <v>El colegio en su estrcutura administrativa cumple a cabalidad, Cuenta con una planta fisica suficiente  para la atencion de la poblacion, tiene biblioteca, laboratorios y espacios ludicos.</v>
          </cell>
          <cell r="S61" t="str">
            <v xml:space="preserve"> se recomienda al Colegio  la importancia de atender todas las recomendaciones realizadas por la Secretaria de Salud.</v>
          </cell>
          <cell r="T61" t="str">
            <v>No</v>
          </cell>
          <cell r="U61" t="str">
            <v>Se hará verificación en caso de presentarse requerimiento</v>
          </cell>
        </row>
        <row r="62">
          <cell r="A62">
            <v>1704</v>
          </cell>
          <cell r="B62">
            <v>7</v>
          </cell>
          <cell r="C62" t="str">
            <v>SAN CRISTÓBAL</v>
          </cell>
          <cell r="D62" t="str">
            <v>PRIVADO</v>
          </cell>
          <cell r="E62" t="str">
            <v>EPBM</v>
          </cell>
          <cell r="F62" t="str">
            <v>COLEGIO_NUEVA_GENERACION_ALTAMIRA_CONGA</v>
          </cell>
          <cell r="G62" t="str">
            <v>COLEGIO NUEVA GENERACION ALTAMIRA - CONGA</v>
          </cell>
          <cell r="H62" t="str">
            <v>Autoevaluación Institucional y Pruebas SABER 11</v>
          </cell>
          <cell r="I62" t="str">
            <v>SEGUIMIENTO_Y_SUPERVISIÓN.</v>
          </cell>
          <cell r="J62" t="str">
            <v>Realizar visitas para verificar la información registrada sobre la autoevaluación institucional en el aplicativo EVI, a los establecimientos de educación formal no oficial.</v>
          </cell>
          <cell r="K62" t="str">
            <v>JAIRO ANDRÉS ÁLVAREZ CHÁVEZ</v>
          </cell>
          <cell r="L62" t="str">
            <v>JOSÉ ASDRUBAL PÉREZ GIRALDO</v>
          </cell>
          <cell r="M62">
            <v>45777</v>
          </cell>
          <cell r="N62">
            <v>45777</v>
          </cell>
          <cell r="O62">
            <v>45777</v>
          </cell>
          <cell r="P62" t="str">
            <v>Visitas de evaluación con fines de mejoramiento</v>
          </cell>
          <cell r="Q62" t="str">
            <v>3004 Visita Administrativa Col Nueva Generacion Altamira.pdf</v>
          </cell>
          <cell r="R62" t="str">
            <v>Se contrasta la Resolucion de tarifas 2025 aprobada por la DLE y los recibos de los padres de familia, se evidencia que se hace descuento por pronto pago, no supera la tarifa autorizada. Ofrecen Guias academicas en la lista de utiles. No se evidencia afiliaciones y planilla de pago de SSI, desde el mes de julio de 2024 a la fecha.</v>
          </cell>
          <cell r="S62" t="str">
            <v>Teniendo en cuenta que no se pagó en el año 2024 la seguridad social integral desde el mes de Julio, se solicitó a la IE explicacion de por que en la autoevaluación respondió a la pregunta 9 como si si pagara, por lo que el representante legal indica que hara una comunicacion a la SED aclarando la situacion, con el fin de que la DILE y el ELIV, determinen administrativas a que haya lugar.</v>
          </cell>
          <cell r="T62" t="str">
            <v>Si</v>
          </cell>
          <cell r="U62" t="str">
            <v xml:space="preserve">Verificación de afiliación y pago de SSI en el segundo semestre.
Se realizó encuentro el 25de agosto con el fin dehacer seguimiento a los acuerdos establecidos en la Visita Administrativa, particularemente en lo referente al pago de seguridad social. El representante legal informa que no ha sido posible y que han considerado el cierre. </v>
          </cell>
        </row>
        <row r="63">
          <cell r="A63">
            <v>1705</v>
          </cell>
          <cell r="B63"/>
          <cell r="C63" t="str">
            <v>SAN CRISTÓBAL</v>
          </cell>
          <cell r="D63" t="str">
            <v>PRIVADO</v>
          </cell>
          <cell r="E63" t="str">
            <v>EPBM</v>
          </cell>
          <cell r="F63" t="str">
            <v>COLEGIO_NUEVA_GENERACION_ALTAMIRA_CONGA</v>
          </cell>
          <cell r="G63" t="str">
            <v>COLEGIO NUEVA GENERACION ALTAMIRA - CONGA</v>
          </cell>
          <cell r="H63" t="str">
            <v>Autoevaluación Institucional y Pruebas SABER 11</v>
          </cell>
          <cell r="I63" t="str">
            <v>SEGUIMIENTO_Y_SUPERVISIÓN.</v>
          </cell>
          <cell r="J63" t="str">
            <v>Proponer estrategias en la formulación, verificar su elaboración y realizar seguimiento semestral al desarrollo de  las acciones establecidas en los planes de mejoramiento por pruebas SABER 11 de los establecimientos de educación formal.</v>
          </cell>
          <cell r="K63" t="str">
            <v>JAIRO ANDRÉS ÁLVAREZ CHÁVEZ</v>
          </cell>
          <cell r="L63" t="str">
            <v>JOSÉ ASDRUBAL PÉREZ GIRALDO</v>
          </cell>
          <cell r="M63">
            <v>45777</v>
          </cell>
          <cell r="N63">
            <v>45777</v>
          </cell>
          <cell r="O63">
            <v>45777</v>
          </cell>
          <cell r="P63" t="str">
            <v>Visitas de evaluación con fines de mejoramiento</v>
          </cell>
          <cell r="Q63" t="str">
            <v>3004 Visita Administrativa Col Nueva Generacion Altamira.pdf</v>
          </cell>
          <cell r="R63" t="str">
            <v>El resultado del año 2023 en comparación con el 2024 avanzó a categoria B. Esta trabajando proyectos transversales, pruebas tipo icfes en los ciclos de basica y media con el fin de subir el nivel de los estudiadntes y se vean reflejada en lsa pruebas de los proximos años.</v>
          </cell>
          <cell r="S63" t="str">
            <v>Que la IE continue implementando estrategias pedagogicas frente a los diferentes componentes que evaluar la prueba.</v>
          </cell>
          <cell r="T63" t="str">
            <v>No</v>
          </cell>
          <cell r="U63" t="str">
            <v>Se hará verificación en caso de presentarse requerimiento</v>
          </cell>
        </row>
        <row r="64">
          <cell r="A64">
            <v>1706</v>
          </cell>
          <cell r="B64"/>
          <cell r="C64" t="str">
            <v>SAN CRISTÓBAL</v>
          </cell>
          <cell r="D64" t="str">
            <v>PRIVADO</v>
          </cell>
          <cell r="E64" t="str">
            <v>EPBM</v>
          </cell>
          <cell r="F64" t="str">
            <v>COLEGIO_NUEVA_GENERACION_ALTAMIRA_CONGA</v>
          </cell>
          <cell r="G64" t="str">
            <v>COLEGIO NUEVA GENERACION ALTAMIRA - CONGA</v>
          </cell>
          <cell r="H64" t="str">
            <v>Autoevaluación Institucional y Pruebas SABER 11</v>
          </cell>
          <cell r="I64" t="str">
            <v>SEGUIMIENTO_Y_SUPERVISIÓN.</v>
          </cell>
          <cell r="J64" t="str">
            <v xml:space="preserve">Verificar la implementación por parte de los colegios, de acciones realizadas para la prevención y atención de las situaciones de convivencia en el entorno escolar, según lo establecido en la Directiva 01 de 2022 del MEN. </v>
          </cell>
          <cell r="K64" t="str">
            <v>JAIRO ANDRÉS ÁLVAREZ CHÁVEZ</v>
          </cell>
          <cell r="L64" t="str">
            <v>JOSÉ ASDRUBAL PÉREZ GIRALDO</v>
          </cell>
          <cell r="M64">
            <v>45777</v>
          </cell>
          <cell r="N64">
            <v>45777</v>
          </cell>
          <cell r="O64">
            <v>45777</v>
          </cell>
          <cell r="P64" t="str">
            <v>Visitas de evaluación con fines de mejoramiento</v>
          </cell>
          <cell r="Q64" t="str">
            <v>3004 Visita Administrativa Col Nueva Generacion Altamira.pdf</v>
          </cell>
          <cell r="R64" t="str">
            <v>Se evidencia en las hojas de vida la consulta de delitos sexuales y permiso para ser consultados. La Orientadora realiza acciones de promoción y prevención.</v>
          </cell>
          <cell r="S64" t="str">
            <v xml:space="preserve">Que se consulten los antecendentes cada 4 meses. </v>
          </cell>
          <cell r="T64" t="str">
            <v>No</v>
          </cell>
          <cell r="U64" t="str">
            <v>Se hará verificación en caso de presentarse requerimiento</v>
          </cell>
        </row>
        <row r="65">
          <cell r="A65">
            <v>1707</v>
          </cell>
          <cell r="B65"/>
          <cell r="C65" t="str">
            <v>SAN CRISTÓBAL</v>
          </cell>
          <cell r="D65" t="str">
            <v>PRIVADO</v>
          </cell>
          <cell r="E65" t="str">
            <v>EPBM</v>
          </cell>
          <cell r="F65" t="str">
            <v>COLEGIO_NUEVA_GENERACION_ALTAMIRA_CONGA</v>
          </cell>
          <cell r="G65" t="str">
            <v>COLEGIO NUEVA GENERACION ALTAMIRA - CONGA</v>
          </cell>
          <cell r="H65" t="str">
            <v>Autoevaluación Institucional y Pruebas SABER 11</v>
          </cell>
          <cell r="I65" t="str">
            <v>SEGUIMIENTO_Y_SUPERVISIÓN.</v>
          </cell>
          <cell r="J6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5" t="str">
            <v>JAIRO ANDRÉS ÁLVAREZ CHÁVEZ</v>
          </cell>
          <cell r="L65" t="str">
            <v>JOSÉ ASDRUBAL PÉREZ GIRALDO</v>
          </cell>
          <cell r="M65">
            <v>45777</v>
          </cell>
          <cell r="N65">
            <v>45777</v>
          </cell>
          <cell r="O65">
            <v>45777</v>
          </cell>
          <cell r="P65" t="str">
            <v>Visitas de evaluación con fines de mejoramiento</v>
          </cell>
          <cell r="Q65" t="str">
            <v>3004 Visita Administrativa Col Nueva Generacion Altamira.pdf</v>
          </cell>
          <cell r="R65" t="str">
            <v xml:space="preserve">Se verifican carpeta de estudiantes de Inclusion con PIAR y Soportes de atencion medica y terapeutica, avances y retroalimentación con docentes y familia. El colegio cuenta con carpetas en Drive que los docentes y Orientacion escolar alimentan permanentemente, se reunen docentes y orientacion finalizado cada periodo para verificar ajustes necesarios.
</v>
          </cell>
          <cell r="S65" t="str">
            <v>Se sugiere tener reuniones permanentes con las familias y hacer firmar el formato de acta de acuerdo del MEN con ellos.</v>
          </cell>
          <cell r="T65" t="str">
            <v>No</v>
          </cell>
          <cell r="U65" t="str">
            <v>Se hará verificación en caso de presentarse requerimiento</v>
          </cell>
        </row>
        <row r="66">
          <cell r="A66">
            <v>1708</v>
          </cell>
          <cell r="B66"/>
          <cell r="C66" t="str">
            <v>SAN CRISTÓBAL</v>
          </cell>
          <cell r="D66" t="str">
            <v>PRIVADO</v>
          </cell>
          <cell r="E66" t="str">
            <v>EPBM</v>
          </cell>
          <cell r="F66" t="str">
            <v>COLEGIO_NUEVA_GENERACION_ALTAMIRA_CONGA</v>
          </cell>
          <cell r="G66" t="str">
            <v>COLEGIO NUEVA GENERACION ALTAMIRA - CONGA</v>
          </cell>
          <cell r="H66" t="str">
            <v>Autoevaluación Institucional y Pruebas SABER 11</v>
          </cell>
          <cell r="I66" t="str">
            <v>EVALUACIÓN_CON_FINES_DE_MEJORAMIENTO.</v>
          </cell>
          <cell r="J6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6" t="str">
            <v>JAIRO ANDRÉS ÁLVAREZ CHÁVEZ</v>
          </cell>
          <cell r="L66" t="str">
            <v>JOSÉ ASDRUBAL PÉREZ GIRALDO</v>
          </cell>
          <cell r="M66">
            <v>45777</v>
          </cell>
          <cell r="N66">
            <v>45777</v>
          </cell>
          <cell r="O66">
            <v>45777</v>
          </cell>
          <cell r="P66" t="str">
            <v>Visitas de evaluación con fines de mejoramiento</v>
          </cell>
          <cell r="Q66" t="str">
            <v>3004 Visita Administrativa Col Nueva Generacion Altamira.pdf</v>
          </cell>
          <cell r="R66" t="str">
            <v>El manual de convivencia 2024 contiene compromisos de la comunidad educativa, los protocolos de atención, la ruta de atención integral, , Gobierno Escolar, las normas para la utilización de los servicios,  los costos educativos, etc.
La IE indica que en la primera asamblea se hace entrega del manual de convivencia y se hace socialización de los aspectos más relevantes.</v>
          </cell>
          <cell r="S66" t="str">
            <v>Es importante que la actualizacion se realice por las diferentes estamentos y socializado con la comunidad educativa teniendo en cuenta la promocion y prevencion de situacion de convivencia escolar y delitos sexuales.</v>
          </cell>
          <cell r="T66" t="str">
            <v>No</v>
          </cell>
          <cell r="U66" t="str">
            <v xml:space="preserve">Se hará verificación en una vez se de contestación de la IE y/o en caso de requerimiento </v>
          </cell>
        </row>
        <row r="67">
          <cell r="A67">
            <v>1709</v>
          </cell>
          <cell r="B67"/>
          <cell r="C67" t="str">
            <v>SAN CRISTÓBAL</v>
          </cell>
          <cell r="D67" t="str">
            <v>PRIVADO</v>
          </cell>
          <cell r="E67" t="str">
            <v>EPBM</v>
          </cell>
          <cell r="F67" t="str">
            <v>COLEGIO_NUEVA_GENERACION_ALTAMIRA_CONGA</v>
          </cell>
          <cell r="G67" t="str">
            <v>COLEGIO NUEVA GENERACION ALTAMIRA - CONGA</v>
          </cell>
          <cell r="H67" t="str">
            <v>Autoevaluación Institucional y Pruebas SABER 11</v>
          </cell>
          <cell r="I67" t="str">
            <v>EVALUACIÓN_CON_FINES_DE_MEJORAMIENTO.</v>
          </cell>
          <cell r="J67" t="str">
            <v>Revisar la actualización, socialización e implementación del Sistema Institucional de Evaluación de Estudiantes - SIEE, en articulación con la actualización del PEI y la normatividad vigente.</v>
          </cell>
          <cell r="K67" t="str">
            <v>JAIRO ANDRÉS ÁLVAREZ CHÁVEZ</v>
          </cell>
          <cell r="L67" t="str">
            <v>JOSÉ ASDRUBAL PÉREZ GIRALDO</v>
          </cell>
          <cell r="M67">
            <v>45777</v>
          </cell>
          <cell r="N67">
            <v>45777</v>
          </cell>
          <cell r="O67">
            <v>45777</v>
          </cell>
          <cell r="P67" t="str">
            <v>Visitas de evaluación con fines de mejoramiento</v>
          </cell>
          <cell r="Q67" t="str">
            <v>3004 Visita Administrativa Col Nueva Generacion Altamira.pdf</v>
          </cell>
          <cell r="R67" t="str">
            <v xml:space="preserve">Presentan documento SIEE y adicionalmente cuentan con Plataforma Educativa VPS para gestion academica y convivencial, observador del alumno comunicación con padres etc, es decir que se hace seguimiento del proceso de los estudiantes para superación de dificultades. </v>
          </cell>
          <cell r="S67" t="str">
            <v xml:space="preserve">Se solicita a la institución sistematizar los ajustes pedagogicos, administrativos, curriculares y de convivencia para definir un unico documento de PEI y pasarlos por los organos del gobierno escolar para su respectiva aprobacion.  </v>
          </cell>
          <cell r="T67" t="str">
            <v>No</v>
          </cell>
          <cell r="U67" t="str">
            <v xml:space="preserve">Se hará verificación en una vez se de contestación de la IE y/o en caso de requerimiento </v>
          </cell>
        </row>
        <row r="68">
          <cell r="A68">
            <v>1710</v>
          </cell>
          <cell r="B68"/>
          <cell r="C68" t="str">
            <v>SAN CRISTÓBAL</v>
          </cell>
          <cell r="D68" t="str">
            <v>PRIVADO</v>
          </cell>
          <cell r="E68" t="str">
            <v>EPBM</v>
          </cell>
          <cell r="F68" t="str">
            <v>COLEGIO_NUEVA_GENERACION_ALTAMIRA_CONGA</v>
          </cell>
          <cell r="G68" t="str">
            <v>COLEGIO NUEVA GENERACION ALTAMIRA - CONGA</v>
          </cell>
          <cell r="H68" t="str">
            <v>Autoevaluación Institucional y Pruebas SABER 11</v>
          </cell>
          <cell r="I68" t="str">
            <v>EVALUACIÓN_CON_FINES_DE_MEJORAMIENTO.</v>
          </cell>
          <cell r="J68" t="str">
            <v>Revisar el calendario escolar, jornada escolar, la intensidad horaria mínima anual en cada nivel y las modificaciones que se realicen al mismo, de acuerdo con lo previsto en la normatividad vigente.</v>
          </cell>
          <cell r="K68" t="str">
            <v>JAIRO ANDRÉS ÁLVAREZ CHÁVEZ</v>
          </cell>
          <cell r="L68" t="str">
            <v>JOSÉ ASDRUBAL PÉREZ GIRALDO</v>
          </cell>
          <cell r="M68">
            <v>45777</v>
          </cell>
          <cell r="N68">
            <v>45777</v>
          </cell>
          <cell r="O68">
            <v>45777</v>
          </cell>
          <cell r="P68" t="str">
            <v>Visitas de evaluación con fines de mejoramiento</v>
          </cell>
          <cell r="Q68" t="str">
            <v>3004 Visita Administrativa Col Nueva Generacion Altamira.pdf</v>
          </cell>
          <cell r="R68" t="str">
            <v>Se evidencia el horario en la Resolucion de calendario academico para el año 2025.</v>
          </cell>
          <cell r="S68" t="str">
            <v>Atendieron el ajuste realizado desde la DILE para cada ciclo, cumpliendo con la intensidad horaria.</v>
          </cell>
          <cell r="T68" t="str">
            <v>No</v>
          </cell>
          <cell r="U68" t="str">
            <v>Se hará verificación en caso de presentarse requerimiento</v>
          </cell>
        </row>
        <row r="69">
          <cell r="A69">
            <v>1711</v>
          </cell>
          <cell r="B69"/>
          <cell r="C69" t="str">
            <v>SAN CRISTÓBAL</v>
          </cell>
          <cell r="D69" t="str">
            <v>PRIVADO</v>
          </cell>
          <cell r="E69" t="str">
            <v>EPBM</v>
          </cell>
          <cell r="F69" t="str">
            <v>COLEGIO_NUEVA_GENERACION_ALTAMIRA_CONGA</v>
          </cell>
          <cell r="G69" t="str">
            <v>COLEGIO NUEVA GENERACION ALTAMIRA - CONGA</v>
          </cell>
          <cell r="H69" t="str">
            <v>Autoevaluación Institucional y Pruebas SABER 11</v>
          </cell>
          <cell r="I69" t="str">
            <v>EVALUACIÓN_CON_FINES_DE_MEJORAMIENTO.</v>
          </cell>
          <cell r="J69" t="str">
            <v>Verificar el funcionamiento del Gobierno Escolar e instancias de participación con base en la información sobre conformación reportada por la institución educativa.</v>
          </cell>
          <cell r="K69" t="str">
            <v>JAIRO ANDRÉS ÁLVAREZ CHÁVEZ</v>
          </cell>
          <cell r="L69" t="str">
            <v>JOSÉ ASDRUBAL PÉREZ GIRALDO</v>
          </cell>
          <cell r="M69">
            <v>45777</v>
          </cell>
          <cell r="N69">
            <v>45777</v>
          </cell>
          <cell r="O69">
            <v>45777</v>
          </cell>
          <cell r="P69" t="str">
            <v>Visitas de evaluación con fines de mejoramiento</v>
          </cell>
          <cell r="Q69" t="str">
            <v>3004 Visita Administrativa Col Nueva Generacion Altamira.pdf</v>
          </cell>
          <cell r="R69" t="str">
            <v>Se encuentran actas de conformación del gobierno escolar</v>
          </cell>
          <cell r="S69" t="str">
            <v>A la fecha no han sesionado las instancias, se recomienda el registro en actas.</v>
          </cell>
          <cell r="T69" t="str">
            <v>No</v>
          </cell>
          <cell r="U69" t="str">
            <v>Se hará verificación en caso de presentarse requerimiento</v>
          </cell>
        </row>
        <row r="70">
          <cell r="A70">
            <v>1712</v>
          </cell>
          <cell r="B70"/>
          <cell r="C70" t="str">
            <v>SAN CRISTÓBAL</v>
          </cell>
          <cell r="D70" t="str">
            <v>PRIVADO</v>
          </cell>
          <cell r="E70" t="str">
            <v>EPBM</v>
          </cell>
          <cell r="F70" t="str">
            <v>COLEGIO_NUEVA_GENERACION_ALTAMIRA_CONGA</v>
          </cell>
          <cell r="G70" t="str">
            <v>COLEGIO NUEVA GENERACION ALTAMIRA - CONGA</v>
          </cell>
          <cell r="H70" t="str">
            <v>Autoevaluación Institucional y Pruebas SABER 11</v>
          </cell>
          <cell r="I70" t="str">
            <v>EVALUACIÓN_CON_FINES_DE_MEJORAMIENTO.</v>
          </cell>
          <cell r="J70" t="str">
            <v>Verificar las condiciones en cuanto a: la estructura administrativa, condiciones de la planta física y medios educativos adecuados.</v>
          </cell>
          <cell r="K70" t="str">
            <v>JAIRO ANDRÉS ÁLVAREZ CHÁVEZ</v>
          </cell>
          <cell r="L70" t="str">
            <v>JOSÉ ASDRUBAL PÉREZ GIRALDO</v>
          </cell>
          <cell r="M70">
            <v>45777</v>
          </cell>
          <cell r="N70">
            <v>45777</v>
          </cell>
          <cell r="O70">
            <v>45777</v>
          </cell>
          <cell r="P70" t="str">
            <v>Visitas de evaluación con fines de mejoramiento</v>
          </cell>
          <cell r="Q70" t="str">
            <v>3004 Visita Administrativa Col Nueva Generacion Altamira.pdf</v>
          </cell>
          <cell r="R70" t="str">
            <v>En el recorrido realizado se evidenció salones para cada curso, mobiliario y dotación adecuada,  de acuerdo con la poblacion atendida, se evidencio área recreativa, patio y zona de danzas</v>
          </cell>
          <cell r="S70" t="str">
            <v>Se recomienda señalización de todos los espacios académicos y administrativos, se recomienda que se tenga en cuenta en los mantenimientos y arreglos locativos tener presente adecuaciones pensadas en discapacidad.</v>
          </cell>
          <cell r="T70" t="str">
            <v>No</v>
          </cell>
          <cell r="U70" t="str">
            <v>Se hará verificación en caso de presentarse requerimiento</v>
          </cell>
        </row>
        <row r="71">
          <cell r="A71">
            <v>1713</v>
          </cell>
          <cell r="B71">
            <v>8</v>
          </cell>
          <cell r="C71" t="str">
            <v>SAN CRISTÓBAL</v>
          </cell>
          <cell r="D71" t="str">
            <v>PRIVADO</v>
          </cell>
          <cell r="E71" t="str">
            <v>EPBM</v>
          </cell>
          <cell r="F71" t="str">
            <v>COLEGIO_PRINCIPE_DE_PAZ</v>
          </cell>
          <cell r="G71" t="str">
            <v>COLEGIO PRINCIPE DE PAZ</v>
          </cell>
          <cell r="H71" t="str">
            <v>Autoevaluación Institucional y Pruebas SABER 11</v>
          </cell>
          <cell r="I71" t="str">
            <v>SEGUIMIENTO_Y_SUPERVISIÓN.</v>
          </cell>
          <cell r="J71" t="str">
            <v>Realizar visitas para verificar la información registrada sobre la autoevaluación institucional en el aplicativo EVI, a los establecimientos de educación formal no oficial.</v>
          </cell>
          <cell r="K71" t="str">
            <v>JOSÉ ASDRUBAL PÉREZ GIRALDO</v>
          </cell>
          <cell r="L71" t="str">
            <v>JAIRO ANDRÉS ÁLVAREZ CHÁVEZ</v>
          </cell>
          <cell r="M71">
            <v>45786</v>
          </cell>
          <cell r="N71">
            <v>45814</v>
          </cell>
          <cell r="O71">
            <v>45814</v>
          </cell>
          <cell r="P71" t="str">
            <v>Visitas de evaluación con fines de mejoramiento</v>
          </cell>
          <cell r="Q71" t="str">
            <v>6-06 VISITAS CON FINES DE MEJORAMIENTO COL. PRINCIPE DE PAZ.pdf</v>
          </cell>
          <cell r="R71" t="str">
            <v>Se verifica el regimen regulado, se realiza recorrido en las inslalaciones,  se evidencia concordancia entre el EVI y la realidad institucional.</v>
          </cell>
          <cell r="S71" t="str">
            <v>Realizar la autoevaluación para la vigencia 2025</v>
          </cell>
          <cell r="T71" t="str">
            <v>No</v>
          </cell>
          <cell r="U71" t="str">
            <v>Se hará verificación para autorización de tarifas 2026</v>
          </cell>
        </row>
        <row r="72">
          <cell r="A72">
            <v>1714</v>
          </cell>
          <cell r="B72"/>
          <cell r="C72" t="str">
            <v>SAN CRISTÓBAL</v>
          </cell>
          <cell r="D72" t="str">
            <v>PRIVADO</v>
          </cell>
          <cell r="E72" t="str">
            <v>EPBM</v>
          </cell>
          <cell r="F72" t="str">
            <v>COLEGIO_PRINCIPE_DE_PAZ</v>
          </cell>
          <cell r="G72" t="str">
            <v>COLEGIO PRINCIPE DE PAZ</v>
          </cell>
          <cell r="H72" t="str">
            <v>Autoevaluación Institucional y Pruebas SABER 11</v>
          </cell>
          <cell r="I72" t="str">
            <v>SEGUIMIENTO_Y_SUPERVISIÓN.</v>
          </cell>
          <cell r="J72" t="str">
            <v>Proponer estrategias en la formulación, verificar su elaboración y realizar seguimiento semestral al desarrollo de  las acciones establecidas en los planes de mejoramiento por pruebas SABER 11 de los establecimientos de educación formal.</v>
          </cell>
          <cell r="K72" t="str">
            <v>JOSÉ ASDRUBAL PÉREZ GIRALDO</v>
          </cell>
          <cell r="L72" t="str">
            <v>JAIRO ANDRÉS ÁLVAREZ CHÁVEZ</v>
          </cell>
          <cell r="M72">
            <v>45786</v>
          </cell>
          <cell r="N72">
            <v>45814</v>
          </cell>
          <cell r="O72">
            <v>45814</v>
          </cell>
          <cell r="P72" t="str">
            <v>Visitas de evaluación con fines de mejoramiento</v>
          </cell>
          <cell r="Q72" t="str">
            <v>6-06 VISITAS CON FINES DE MEJORAMIENTO COL. PRINCIPE DE PAZ.pdf</v>
          </cell>
          <cell r="R72" t="str">
            <v xml:space="preserve">Se han revisado los resultados de las pruebas saber y de las evaluaciones internas, mediante análisis estadistico
A traves del Consejo Académico  analizaron e implementaron acciones para fortalecer los resultados. En el próximo Consejo Académico se hará una propuesta de ajuste al plan de estudios con base en los resultados de las pruebas. 
</v>
          </cell>
          <cell r="S72" t="str">
            <v>Continuar con la puesta en marcha de las acciones para fortalecer los resultados en la pruebas Saber 11</v>
          </cell>
          <cell r="T72" t="str">
            <v>No</v>
          </cell>
          <cell r="U72" t="str">
            <v xml:space="preserve">Solicitar a la IE  la formulación de un plan de mejoramiento que incorpore las acciones  </v>
          </cell>
        </row>
        <row r="73">
          <cell r="A73">
            <v>1715</v>
          </cell>
          <cell r="B73"/>
          <cell r="C73" t="str">
            <v>SAN CRISTÓBAL</v>
          </cell>
          <cell r="D73" t="str">
            <v>PRIVADO</v>
          </cell>
          <cell r="E73" t="str">
            <v>EPBM</v>
          </cell>
          <cell r="F73" t="str">
            <v>COLEGIO_PRINCIPE_DE_PAZ</v>
          </cell>
          <cell r="G73" t="str">
            <v>COLEGIO PRINCIPE DE PAZ</v>
          </cell>
          <cell r="H73" t="str">
            <v>Autoevaluación Institucional y Pruebas SABER 11</v>
          </cell>
          <cell r="I73" t="str">
            <v>SEGUIMIENTO_Y_SUPERVISIÓN.</v>
          </cell>
          <cell r="J73" t="str">
            <v xml:space="preserve">Verificar la implementación por parte de los colegios, de acciones realizadas para la prevención y atención de las situaciones de convivencia en el entorno escolar, según lo establecido en la Directiva 01 de 2022 del MEN. </v>
          </cell>
          <cell r="K73" t="str">
            <v>JOSÉ ASDRUBAL PÉREZ GIRALDO</v>
          </cell>
          <cell r="L73" t="str">
            <v>JAIRO ANDRÉS ÁLVAREZ CHÁVEZ</v>
          </cell>
          <cell r="M73">
            <v>45786</v>
          </cell>
          <cell r="N73">
            <v>45814</v>
          </cell>
          <cell r="O73">
            <v>45814</v>
          </cell>
          <cell r="P73" t="str">
            <v>Visitas de evaluación con fines de mejoramiento</v>
          </cell>
          <cell r="Q73" t="str">
            <v>6-06 VISITAS CON FINES DE MEJORAMIENTO COL. PRINCIPE DE PAZ.pdf</v>
          </cell>
          <cell r="R73" t="str">
            <v>Se evidencia en las hojas de vida consulta de antecedestes disciplinarios por delitos sexuales.</v>
          </cell>
          <cell r="S73" t="str">
            <v xml:space="preserve">
Se recomienda que al momento de contratar a los empleados y contratistas se realice la consulta de antecedentes.Se resalta que el  EE en la  implementacon de acciones de promocion y prevencion.</v>
          </cell>
          <cell r="T73" t="str">
            <v>No</v>
          </cell>
          <cell r="U73" t="str">
            <v>Se hará verificación en caso de presentarse requerimiento</v>
          </cell>
        </row>
        <row r="74">
          <cell r="A74">
            <v>1716</v>
          </cell>
          <cell r="B74"/>
          <cell r="C74" t="str">
            <v>SAN CRISTÓBAL</v>
          </cell>
          <cell r="D74" t="str">
            <v>PRIVADO</v>
          </cell>
          <cell r="E74" t="str">
            <v>EPBM</v>
          </cell>
          <cell r="F74" t="str">
            <v>COLEGIO_PRINCIPE_DE_PAZ</v>
          </cell>
          <cell r="G74" t="str">
            <v>COLEGIO PRINCIPE DE PAZ</v>
          </cell>
          <cell r="H74" t="str">
            <v>Autoevaluación Institucional y Pruebas SABER 11</v>
          </cell>
          <cell r="I74" t="str">
            <v>SEGUIMIENTO_Y_SUPERVISIÓN.</v>
          </cell>
          <cell r="J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4" t="str">
            <v>JOSÉ ASDRUBAL PÉREZ GIRALDO</v>
          </cell>
          <cell r="L74" t="str">
            <v>JAIRO ANDRÉS ÁLVAREZ CHÁVEZ</v>
          </cell>
          <cell r="M74">
            <v>45786</v>
          </cell>
          <cell r="N74">
            <v>45814</v>
          </cell>
          <cell r="O74">
            <v>45814</v>
          </cell>
          <cell r="P74" t="str">
            <v>Visitas de evaluación con fines de mejoramiento</v>
          </cell>
          <cell r="Q74" t="str">
            <v>6-06 VISITAS CON FINES DE MEJORAMIENTO COL. PRINCIPE DE PAZ.pdf</v>
          </cell>
          <cell r="R74" t="str">
            <v xml:space="preserve">La institución atiende a los estudiantes con discapacidad y la implementación de los PIAR, Se evidencia que se tiene carpeta individual de estudiantes PIAR. </v>
          </cell>
          <cell r="S74" t="str">
            <v xml:space="preserve">
Los PIAR deben estar firmados por familias y Colegio con el fin que las flias conozcan el proceso de evaluación y académico con los estudiantes en condición de discapacidad.</v>
          </cell>
          <cell r="T74" t="str">
            <v>No</v>
          </cell>
          <cell r="U74" t="str">
            <v>Realizar verificación documental  para verifica el cumplimiento del compromiso, en la próxima vigencia</v>
          </cell>
        </row>
        <row r="75">
          <cell r="A75">
            <v>1717</v>
          </cell>
          <cell r="B75"/>
          <cell r="C75" t="str">
            <v>SAN CRISTÓBAL</v>
          </cell>
          <cell r="D75" t="str">
            <v>PRIVADO</v>
          </cell>
          <cell r="E75" t="str">
            <v>EPBM</v>
          </cell>
          <cell r="F75" t="str">
            <v>COLEGIO_PRINCIPE_DE_PAZ</v>
          </cell>
          <cell r="G75" t="str">
            <v>COLEGIO PRINCIPE DE PAZ</v>
          </cell>
          <cell r="H75" t="str">
            <v>Autoevaluación Institucional y Pruebas SABER 11</v>
          </cell>
          <cell r="I75" t="str">
            <v>EVALUACIÓN_CON_FINES_DE_MEJORAMIENTO.</v>
          </cell>
          <cell r="J7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5" t="str">
            <v>JOSÉ ASDRUBAL PÉREZ GIRALDO</v>
          </cell>
          <cell r="L75" t="str">
            <v>JAIRO ANDRÉS ÁLVAREZ CHÁVEZ</v>
          </cell>
          <cell r="M75">
            <v>45786</v>
          </cell>
          <cell r="N75">
            <v>45814</v>
          </cell>
          <cell r="O75">
            <v>45814</v>
          </cell>
          <cell r="P75" t="str">
            <v>Visitas de evaluación con fines de mejoramiento</v>
          </cell>
          <cell r="Q75" t="str">
            <v>6-06 VISITAS CON FINES DE MEJORAMIENTO COL. PRINCIPE DE PAZ.pdf</v>
          </cell>
          <cell r="R75" t="str">
            <v>El Manual de Convivencia del Colegio fue construido y adoptado de forma participativa, ajustado año 2023, se incluyó el enfoque de genero, sentencia Sergio Urrego,  diversidad se han relizado jornadas pedagogicas con los docente sobre enfoque restaurativo (Justicia restaurativa), en aras  que la acciones de convivencia no sean solo punitivas.</v>
          </cell>
          <cell r="S75" t="str">
            <v>Realizar actualizacion  del manual de convivencia y socializarlo con la comunidad educativa.  cumplir con el cronograma de jornadas pedagogicas con directivos docentes y docentes del Colegio en enofoque restaurativo.</v>
          </cell>
          <cell r="T75" t="str">
            <v>No</v>
          </cell>
          <cell r="U75" t="str">
            <v>Verificar la actualización del manual en 2025</v>
          </cell>
        </row>
        <row r="76">
          <cell r="A76">
            <v>1718</v>
          </cell>
          <cell r="B76"/>
          <cell r="C76" t="str">
            <v>SAN CRISTÓBAL</v>
          </cell>
          <cell r="D76" t="str">
            <v>PRIVADO</v>
          </cell>
          <cell r="E76" t="str">
            <v>EPBM</v>
          </cell>
          <cell r="F76" t="str">
            <v>COLEGIO_PRINCIPE_DE_PAZ</v>
          </cell>
          <cell r="G76" t="str">
            <v>COLEGIO PRINCIPE DE PAZ</v>
          </cell>
          <cell r="H76" t="str">
            <v>Autoevaluación Institucional y Pruebas SABER 11</v>
          </cell>
          <cell r="I76" t="str">
            <v>EVALUACIÓN_CON_FINES_DE_MEJORAMIENTO.</v>
          </cell>
          <cell r="J76" t="str">
            <v>Revisar la actualización, socialización e implementación del Sistema Institucional de Evaluación de Estudiantes - SIEE, en articulación con la actualización del PEI y la normatividad vigente.</v>
          </cell>
          <cell r="K76" t="str">
            <v>JOSÉ ASDRUBAL PÉREZ GIRALDO</v>
          </cell>
          <cell r="L76" t="str">
            <v>JAIRO ANDRÉS ÁLVAREZ CHÁVEZ</v>
          </cell>
          <cell r="M76">
            <v>45786</v>
          </cell>
          <cell r="N76">
            <v>45814</v>
          </cell>
          <cell r="O76">
            <v>45814</v>
          </cell>
          <cell r="P76" t="str">
            <v>Visitas de evaluación con fines de mejoramiento</v>
          </cell>
          <cell r="Q76" t="str">
            <v>6-06 VISITAS CON FINES DE MEJORAMIENTO COL. PRINCIPE DE PAZ.pdf</v>
          </cell>
          <cell r="R76" t="str">
            <v xml:space="preserve">En el PEI  gestión y evaluación que incluye: FUENTES DE VERIFICACIÓN (Actas de reunión y documentos)  relacionados con la ejecución del SIEE, INDICADORES DE LOGRO: La definición de indicadores de logro implica que se establecen metas medibles, lo que a su vez requiere el registro de información para evaluar si esas metas se están alcanzando en el proceso de evaluación de los estudiantes. ACTIVIDADES: La descripción de actividades, la  ejecución de estrategias y en el contexto del SIEE. RESULTADO La medición de resultados implica la recolección y el registro de datos sobre el desempeño estudiantil.
</v>
          </cell>
          <cell r="S76" t="str">
            <v>El SIEE señala que las áreas privilegian el proceso educativo, independientemente de asignatura  enmarcado por desempeños de estudiantes se prioriza el proceso y el logro de desempeños, se implementan acciones para asegurar que los estudiantes que no los alcanzan inicialmente, tengan oportunidades de mejoramiento. Si la evaluación se centra en el proceso y no solo en el resultado final, debe haber espacios para la nivelación.</v>
          </cell>
          <cell r="T76" t="str">
            <v>NO</v>
          </cell>
          <cell r="U76" t="str">
            <v>Realizar actualizacion  del manual de convivencia y socializarlo con la comunidad educativa.</v>
          </cell>
        </row>
        <row r="77">
          <cell r="A77">
            <v>1719</v>
          </cell>
          <cell r="B77"/>
          <cell r="C77" t="str">
            <v>SAN CRISTÓBAL</v>
          </cell>
          <cell r="D77" t="str">
            <v>PRIVADO</v>
          </cell>
          <cell r="E77" t="str">
            <v>EPBM</v>
          </cell>
          <cell r="F77" t="str">
            <v>COLEGIO_PRINCIPE_DE_PAZ</v>
          </cell>
          <cell r="G77" t="str">
            <v>COLEGIO PRINCIPE DE PAZ</v>
          </cell>
          <cell r="H77" t="str">
            <v>Autoevaluación Institucional y Pruebas SABER 11</v>
          </cell>
          <cell r="I77" t="str">
            <v>EVALUACIÓN_CON_FINES_DE_MEJORAMIENTO.</v>
          </cell>
          <cell r="J77" t="str">
            <v>Revisar el calendario escolar, jornada escolar, la intensidad horaria mínima anual en cada nivel y las modificaciones que se realicen al mismo, de acuerdo con lo previsto en la normatividad vigente.</v>
          </cell>
          <cell r="K77" t="str">
            <v>JOSÉ ASDRUBAL PÉREZ GIRALDO</v>
          </cell>
          <cell r="L77" t="str">
            <v>JAIRO ANDRÉS ÁLVAREZ CHÁVEZ</v>
          </cell>
          <cell r="M77">
            <v>45786</v>
          </cell>
          <cell r="N77">
            <v>45814</v>
          </cell>
          <cell r="O77">
            <v>45814</v>
          </cell>
          <cell r="P77" t="str">
            <v>Visitas de evaluación con fines de mejoramiento</v>
          </cell>
          <cell r="Q77" t="str">
            <v>6-06 VISITAS CON FINES DE MEJORAMIENTO COL. PRINCIPE DE PAZ.pdf</v>
          </cell>
          <cell r="R77" t="str">
            <v>El Colegio Cumple con las horas y semanas reglamentarias de acuerdo con la Resolución de la SED N° 1811 de 2024. Se hizo remisión de calendario academico hacia la DLE</v>
          </cell>
          <cell r="S77" t="str">
            <v>El Calendario Academico es acorde con la noramtividad vigente.</v>
          </cell>
          <cell r="T77" t="str">
            <v>No</v>
          </cell>
          <cell r="U77" t="str">
            <v>Se hará verificación en caso de presentarse requerimiento</v>
          </cell>
        </row>
        <row r="78">
          <cell r="A78">
            <v>1720</v>
          </cell>
          <cell r="B78"/>
          <cell r="C78" t="str">
            <v>SAN CRISTÓBAL</v>
          </cell>
          <cell r="D78" t="str">
            <v>PRIVADO</v>
          </cell>
          <cell r="E78" t="str">
            <v>EPBM</v>
          </cell>
          <cell r="F78" t="str">
            <v>COLEGIO_PRINCIPE_DE_PAZ</v>
          </cell>
          <cell r="G78" t="str">
            <v>COLEGIO PRINCIPE DE PAZ</v>
          </cell>
          <cell r="H78" t="str">
            <v>Autoevaluación Institucional y Pruebas SABER 11</v>
          </cell>
          <cell r="I78" t="str">
            <v>EVALUACIÓN_CON_FINES_DE_MEJORAMIENTO.</v>
          </cell>
          <cell r="J78" t="str">
            <v>Verificar el funcionamiento del Gobierno Escolar e instancias de participación con base en la información sobre conformación reportada por la institución educativa.</v>
          </cell>
          <cell r="K78" t="str">
            <v>JOSÉ ASDRUBAL PÉREZ GIRALDO</v>
          </cell>
          <cell r="L78" t="str">
            <v>JAIRO ANDRÉS ÁLVAREZ CHÁVEZ</v>
          </cell>
          <cell r="M78">
            <v>45786</v>
          </cell>
          <cell r="N78">
            <v>45814</v>
          </cell>
          <cell r="O78">
            <v>45814</v>
          </cell>
          <cell r="P78" t="str">
            <v>Visitas de evaluación con fines de mejoramiento</v>
          </cell>
          <cell r="Q78" t="str">
            <v>6-06 VISITAS CON FINES DE MEJORAMIENTO COL. PRINCIPE DE PAZ.pdf</v>
          </cell>
          <cell r="R78" t="str">
            <v>Se evidencia conformacion, cumpliendo proceso ante la SED a traves del aplicativo SAE. El Consejo Academico ha sesionado 12 veces y 
el Consejo Directivo ha sesionado 3 veces. Se evidencia actas de dos asambleas con padres, 
Consejo estuduantil ha sesionado 3 veces. El Comite de convivencia ha sesionado 8 veces.</v>
          </cell>
          <cell r="S78" t="str">
            <v>Se recomienda que se planeen desde el comite de convivencia las acciones de "promoción y prevención" que queden documentadas en el acta correspondiente.</v>
          </cell>
          <cell r="T78" t="str">
            <v>No</v>
          </cell>
          <cell r="U78" t="str">
            <v>Se hará verificación en caso de presentarse requerimiento</v>
          </cell>
        </row>
        <row r="79">
          <cell r="A79">
            <v>1721</v>
          </cell>
          <cell r="B79"/>
          <cell r="C79" t="str">
            <v>SAN CRISTÓBAL</v>
          </cell>
          <cell r="D79" t="str">
            <v>PRIVADO</v>
          </cell>
          <cell r="E79" t="str">
            <v>EPBM</v>
          </cell>
          <cell r="F79" t="str">
            <v>COLEGIO_PRINCIPE_DE_PAZ</v>
          </cell>
          <cell r="G79" t="str">
            <v>COLEGIO PRINCIPE DE PAZ</v>
          </cell>
          <cell r="H79" t="str">
            <v>Autoevaluación Institucional y Pruebas SABER 11</v>
          </cell>
          <cell r="I79" t="str">
            <v>EVALUACIÓN_CON_FINES_DE_MEJORAMIENTO.</v>
          </cell>
          <cell r="J79" t="str">
            <v>Verificar las condiciones en cuanto a: la estructura administrativa, condiciones de la planta física y medios educativos adecuados.</v>
          </cell>
          <cell r="K79" t="str">
            <v>JOSÉ ASDRUBAL PÉREZ GIRALDO</v>
          </cell>
          <cell r="L79" t="str">
            <v>JAIRO ANDRÉS ÁLVAREZ CHÁVEZ</v>
          </cell>
          <cell r="M79">
            <v>45786</v>
          </cell>
          <cell r="N79">
            <v>45814</v>
          </cell>
          <cell r="O79">
            <v>45814</v>
          </cell>
          <cell r="P79" t="str">
            <v>Visitas de evaluación con fines de mejoramiento</v>
          </cell>
          <cell r="Q79" t="str">
            <v>6-06 VISITAS CON FINES DE MEJORAMIENTO COL. PRINCIPE DE PAZ.pdf</v>
          </cell>
          <cell r="R79" t="str">
            <v>En el recorrido por el colegio en su estrcutura administrativa  y planta fisica cumple a cabalidad, y es suficiente  para la atencion de la poblacion.</v>
          </cell>
          <cell r="S79" t="str">
            <v xml:space="preserve"> Se recomienda al Colegio  la importancia de atender todas las recomendaciones realizadas por la Secretaria de Salud.</v>
          </cell>
          <cell r="T79" t="str">
            <v>No</v>
          </cell>
          <cell r="U79" t="str">
            <v>Se sugiere adaptar espacios, baños y espacios para personas con discapacidad fisica con el fin de brindar atencion para esta poblacion. ademas para funcionarios y comunidad educativa.</v>
          </cell>
        </row>
        <row r="80">
          <cell r="A80">
            <v>1722</v>
          </cell>
          <cell r="B80">
            <v>9</v>
          </cell>
          <cell r="C80" t="str">
            <v>SAN CRISTÓBAL</v>
          </cell>
          <cell r="D80" t="str">
            <v>PRIVADO</v>
          </cell>
          <cell r="E80" t="str">
            <v>EPBM</v>
          </cell>
          <cell r="F80" t="str">
            <v>COLEGIO_SANTA_CATALINA_DEL_SUR_ORIENTE</v>
          </cell>
          <cell r="G80" t="str">
            <v>COLEGIO SANTA CATALINA DEL SUR ORIENTE</v>
          </cell>
          <cell r="H80" t="str">
            <v>Autoevaluación Institucional y Pruebas SABER 11</v>
          </cell>
          <cell r="I80" t="str">
            <v>SEGUIMIENTO_Y_SUPERVISIÓN.</v>
          </cell>
          <cell r="J80" t="str">
            <v>Realizar visitas para verificar la información registrada sobre la autoevaluación institucional en el aplicativo EVI, a los establecimientos de educación formal no oficial.</v>
          </cell>
          <cell r="K80" t="str">
            <v>JOSÉ ASDRUBAL PÉREZ GIRALDO</v>
          </cell>
          <cell r="L80" t="str">
            <v>JUANITA LINA CAROLINA RAMÍREZ LÓPEZ</v>
          </cell>
          <cell r="M80">
            <v>45737</v>
          </cell>
          <cell r="N80">
            <v>45800</v>
          </cell>
          <cell r="O80">
            <v>45800</v>
          </cell>
          <cell r="P80" t="str">
            <v>Visitas de evaluación con fines de mejoramiento</v>
          </cell>
          <cell r="Q80" t="str">
            <v>0523 Visita Colegio SANTA CATALINA DEL SUR ORIENTE.pdf</v>
          </cell>
          <cell r="R80" t="str">
            <v>El Consejo Directivo ha sesionado 3 veces (19/03, 23/04, 14/05).</v>
          </cell>
          <cell r="S80" t="str">
            <v xml:space="preserve">Se sugiere que en los recibos se identifique el valor cancelado. </v>
          </cell>
          <cell r="T80" t="str">
            <v>No</v>
          </cell>
          <cell r="U80" t="str">
            <v>Se hará verificación en caso de presentarse requerimiento</v>
          </cell>
        </row>
        <row r="81">
          <cell r="A81">
            <v>1723</v>
          </cell>
          <cell r="B81"/>
          <cell r="C81" t="str">
            <v>SAN CRISTÓBAL</v>
          </cell>
          <cell r="D81" t="str">
            <v>PRIVADO</v>
          </cell>
          <cell r="E81" t="str">
            <v>EPBM</v>
          </cell>
          <cell r="F81" t="str">
            <v>COLEGIO_SANTA_CATALINA_DEL_SUR_ORIENTE</v>
          </cell>
          <cell r="G81" t="str">
            <v>COLEGIO SANTA CATALINA DEL SUR ORIENTE</v>
          </cell>
          <cell r="H81" t="str">
            <v>Autoevaluación Institucional y Pruebas SABER 11</v>
          </cell>
          <cell r="I81" t="str">
            <v>SEGUIMIENTO_Y_SUPERVISIÓN.</v>
          </cell>
          <cell r="J81" t="str">
            <v>Proponer estrategias en la formulación, verificar su elaboración y realizar seguimiento semestral al desarrollo de  las acciones establecidas en los planes de mejoramiento por pruebas SABER 11 de los establecimientos de educación formal.</v>
          </cell>
          <cell r="K81" t="str">
            <v>JOSÉ ASDRUBAL PÉREZ GIRALDO</v>
          </cell>
          <cell r="L81" t="str">
            <v>JUANITA LINA CAROLINA RAMÍREZ LÓPEZ</v>
          </cell>
          <cell r="M81">
            <v>45737</v>
          </cell>
          <cell r="N81">
            <v>45800</v>
          </cell>
          <cell r="O81">
            <v>45800</v>
          </cell>
          <cell r="P81" t="str">
            <v>Visitas de evaluación con fines de mejoramiento</v>
          </cell>
          <cell r="Q81" t="str">
            <v>0523 Visita Colegio SANTA CATALINA DEL SUR ORIENTE.pdf</v>
          </cell>
          <cell r="R81" t="str">
            <v>El colegio viene trabajando con la empresa gestores educativos que ha realizado simulacros y con base en los resultados se ha iniciado en la construccion de estrategias pedagogicas para mejorarlos.</v>
          </cell>
          <cell r="S81" t="str">
            <v>Se insta al colegio a fortalecer este proceso teniendo en cuenta que sus resutados estuvieron por debajo del percentil 35 del Icfes, Categoria C .</v>
          </cell>
          <cell r="T81" t="str">
            <v>Si</v>
          </cell>
          <cell r="U81" t="str">
            <v>Seguimiento a resultados de las pruebas Saber 11 del presente año.
La revisión documental del plan de mejoramiento aportado el 16 de junio de 2025 por la institución evidencia cumplimiento de los acuerdos establecidos en la Visita Administrativa.</v>
          </cell>
        </row>
        <row r="82">
          <cell r="A82">
            <v>1724</v>
          </cell>
          <cell r="B82"/>
          <cell r="C82" t="str">
            <v>SAN CRISTÓBAL</v>
          </cell>
          <cell r="D82" t="str">
            <v>PRIVADO</v>
          </cell>
          <cell r="E82" t="str">
            <v>EPBM</v>
          </cell>
          <cell r="F82" t="str">
            <v>COLEGIO_SANTA_CATALINA_DEL_SUR_ORIENTE</v>
          </cell>
          <cell r="G82" t="str">
            <v>COLEGIO SANTA CATALINA DEL SUR ORIENTE</v>
          </cell>
          <cell r="H82" t="str">
            <v>Autoevaluación Institucional y Pruebas SABER 11</v>
          </cell>
          <cell r="I82" t="str">
            <v>SEGUIMIENTO_Y_SUPERVISIÓN.</v>
          </cell>
          <cell r="J82" t="str">
            <v xml:space="preserve">Verificar la implementación por parte de los colegios, de acciones realizadas para la prevención y atención de las situaciones de convivencia en el entorno escolar, según lo establecido en la Directiva 01 de 2022 del MEN. </v>
          </cell>
          <cell r="K82" t="str">
            <v>JOSÉ ASDRUBAL PÉREZ GIRALDO</v>
          </cell>
          <cell r="L82" t="str">
            <v>JUANITA LINA CAROLINA RAMÍREZ LÓPEZ</v>
          </cell>
          <cell r="M82">
            <v>45737</v>
          </cell>
          <cell r="N82">
            <v>45800</v>
          </cell>
          <cell r="O82">
            <v>45800</v>
          </cell>
          <cell r="P82" t="str">
            <v>Visitas de evaluación con fines de mejoramiento</v>
          </cell>
          <cell r="Q82" t="str">
            <v>0523 Visita Colegio SANTA CATALINA DEL SUR ORIENTE.pdf</v>
          </cell>
          <cell r="R82" t="str">
            <v>Se encuentra en la carpeta de cada Docente la veficacion de antecedentes en sumayoria confecha del mes de mayo.  recomienda hacer promocion y prevencion durante el año para mitigar posibles casos.</v>
          </cell>
          <cell r="S82" t="str">
            <v>Se recuerda que esta consulta debe ser cada  4 meses y deben tener autorización de cada trabajador, para consultas.</v>
          </cell>
          <cell r="T82" t="str">
            <v>No</v>
          </cell>
          <cell r="U82" t="str">
            <v>Se hará verificación en caso de presentarse requerimiento</v>
          </cell>
        </row>
        <row r="83">
          <cell r="A83">
            <v>1725</v>
          </cell>
          <cell r="B83"/>
          <cell r="C83" t="str">
            <v>SAN CRISTÓBAL</v>
          </cell>
          <cell r="D83" t="str">
            <v>PRIVADO</v>
          </cell>
          <cell r="E83" t="str">
            <v>EPBM</v>
          </cell>
          <cell r="F83" t="str">
            <v>COLEGIO_SANTA_CATALINA_DEL_SUR_ORIENTE</v>
          </cell>
          <cell r="G83" t="str">
            <v>COLEGIO SANTA CATALINA DEL SUR ORIENTE</v>
          </cell>
          <cell r="H83" t="str">
            <v>Autoevaluación Institucional y Pruebas SABER 11</v>
          </cell>
          <cell r="I83" t="str">
            <v>SEGUIMIENTO_Y_SUPERVISIÓN.</v>
          </cell>
          <cell r="J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3" t="str">
            <v>JOSÉ ASDRUBAL PÉREZ GIRALDO</v>
          </cell>
          <cell r="L83" t="str">
            <v>JUANITA LINA CAROLINA RAMÍREZ LÓPEZ</v>
          </cell>
          <cell r="M83">
            <v>45737</v>
          </cell>
          <cell r="N83">
            <v>45800</v>
          </cell>
          <cell r="O83">
            <v>45800</v>
          </cell>
          <cell r="P83" t="str">
            <v>Visitas de evaluación con fines de mejoramiento</v>
          </cell>
          <cell r="Q83" t="str">
            <v>0523 Visita Colegio SANTA CATALINA DEL SUR ORIENTE.pdf</v>
          </cell>
          <cell r="R83" t="str">
            <v>La Orientadora ha identificado un estudiante de grado septimo, con dificutades academicas (aprendizaje y atención) y ademas con situaciones emocionales. Se indica que se debe hacer remision a salud y presionar a la familia para que allegue posible Dx y se pueda atender adecuadamente, si requiere se formula PIAR.</v>
          </cell>
          <cell r="S83" t="str">
            <v>Fortalecer el seguimiento a estudiantes con dificultades.</v>
          </cell>
          <cell r="T83" t="str">
            <v>No</v>
          </cell>
          <cell r="U83" t="str">
            <v>Verificación en próxima visita</v>
          </cell>
        </row>
        <row r="84">
          <cell r="A84">
            <v>1726</v>
          </cell>
          <cell r="B84"/>
          <cell r="C84" t="str">
            <v>SAN CRISTÓBAL</v>
          </cell>
          <cell r="D84" t="str">
            <v>PRIVADO</v>
          </cell>
          <cell r="E84" t="str">
            <v>EPBM</v>
          </cell>
          <cell r="F84" t="str">
            <v>COLEGIO_SANTA_CATALINA_DEL_SUR_ORIENTE</v>
          </cell>
          <cell r="G84" t="str">
            <v>COLEGIO SANTA CATALINA DEL SUR ORIENTE</v>
          </cell>
          <cell r="H84" t="str">
            <v>Autoevaluación Institucional y Pruebas SABER 11</v>
          </cell>
          <cell r="I84" t="str">
            <v>EVALUACIÓN_CON_FINES_DE_MEJORAMIENTO.</v>
          </cell>
          <cell r="J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4" t="str">
            <v>JOSÉ ASDRUBAL PÉREZ GIRALDO</v>
          </cell>
          <cell r="L84" t="str">
            <v>JUANITA LINA CAROLINA RAMÍREZ LÓPEZ</v>
          </cell>
          <cell r="M84">
            <v>45737</v>
          </cell>
          <cell r="N84">
            <v>45800</v>
          </cell>
          <cell r="O84">
            <v>45800</v>
          </cell>
          <cell r="P84" t="str">
            <v>Visitas de evaluación con fines de mejoramiento</v>
          </cell>
          <cell r="Q84" t="str">
            <v>0523 Visita Colegio SANTA CATALINA DEL SUR ORIENTE.pdf</v>
          </cell>
          <cell r="R84" t="str">
            <v xml:space="preserve">Los ajustes tuvieron intervención de directivos, docentes y orientadora. Se encuentra la incorporación de la legislación vigente. </v>
          </cell>
          <cell r="S84" t="str">
            <v xml:space="preserve">Las diferentes instancias vienen trabajando desde el 2024 en la actualización de los diferentes documentos institucionales.  </v>
          </cell>
          <cell r="T84" t="str">
            <v>No</v>
          </cell>
          <cell r="U84" t="str">
            <v xml:space="preserve">Revisión documental de las actualizaciones. </v>
          </cell>
        </row>
        <row r="85">
          <cell r="A85">
            <v>1727</v>
          </cell>
          <cell r="B85"/>
          <cell r="C85" t="str">
            <v>SAN CRISTÓBAL</v>
          </cell>
          <cell r="D85" t="str">
            <v>PRIVADO</v>
          </cell>
          <cell r="E85" t="str">
            <v>EPBM</v>
          </cell>
          <cell r="F85" t="str">
            <v>COLEGIO_SANTA_CATALINA_DEL_SUR_ORIENTE</v>
          </cell>
          <cell r="G85" t="str">
            <v>COLEGIO SANTA CATALINA DEL SUR ORIENTE</v>
          </cell>
          <cell r="H85" t="str">
            <v>Autoevaluación Institucional y Pruebas SABER 11</v>
          </cell>
          <cell r="I85" t="str">
            <v>EVALUACIÓN_CON_FINES_DE_MEJORAMIENTO.</v>
          </cell>
          <cell r="J85" t="str">
            <v>Revisar la actualización, socialización e implementación del Sistema Institucional de Evaluación de Estudiantes - SIEE, en articulación con la actualización del PEI y la normatividad vigente.</v>
          </cell>
          <cell r="K85" t="str">
            <v>JOSÉ ASDRUBAL PÉREZ GIRALDO</v>
          </cell>
          <cell r="L85" t="str">
            <v>JUANITA LINA CAROLINA RAMÍREZ LÓPEZ</v>
          </cell>
          <cell r="M85">
            <v>45737</v>
          </cell>
          <cell r="N85">
            <v>45800</v>
          </cell>
          <cell r="O85">
            <v>45800</v>
          </cell>
          <cell r="P85" t="str">
            <v>Visitas de evaluación con fines de mejoramiento</v>
          </cell>
          <cell r="Q85" t="str">
            <v>0523 Visita Colegio SANTA CATALINA DEL SUR ORIENTE.pdf</v>
          </cell>
          <cell r="R85" t="str">
            <v>Aportan documento SIEE, el cual contiene entre otros: comisiones de evaluación, promoción escolar, planes especiales, escala de valoración, acciones de seguimiento para el mejoramiento de desempeños, informes académicos, mecanismos de participación de la comunidad educativa.</v>
          </cell>
          <cell r="S85" t="str">
            <v xml:space="preserve">Las diferentes instancias vienen trabajando desde el 2024 en la actualización de los diferentes documentos institucionales.  </v>
          </cell>
          <cell r="T85" t="str">
            <v>No</v>
          </cell>
          <cell r="U85" t="str">
            <v xml:space="preserve">Revisión documental de las actualizaciones. </v>
          </cell>
        </row>
        <row r="86">
          <cell r="A86">
            <v>1728</v>
          </cell>
          <cell r="B86"/>
          <cell r="C86" t="str">
            <v>SAN CRISTÓBAL</v>
          </cell>
          <cell r="D86" t="str">
            <v>PRIVADO</v>
          </cell>
          <cell r="E86" t="str">
            <v>EPBM</v>
          </cell>
          <cell r="F86" t="str">
            <v>COLEGIO_SANTA_CATALINA_DEL_SUR_ORIENTE</v>
          </cell>
          <cell r="G86" t="str">
            <v>COLEGIO SANTA CATALINA DEL SUR ORIENTE</v>
          </cell>
          <cell r="H86" t="str">
            <v>Autoevaluación Institucional y Pruebas SABER 11</v>
          </cell>
          <cell r="I86" t="str">
            <v>EVALUACIÓN_CON_FINES_DE_MEJORAMIENTO.</v>
          </cell>
          <cell r="J86" t="str">
            <v>Revisar el calendario escolar, jornada escolar, la intensidad horaria mínima anual en cada nivel y las modificaciones que se realicen al mismo, de acuerdo con lo previsto en la normatividad vigente.</v>
          </cell>
          <cell r="K86" t="str">
            <v>JOSÉ ASDRUBAL PÉREZ GIRALDO</v>
          </cell>
          <cell r="L86" t="str">
            <v>JUANITA LINA CAROLINA RAMÍREZ LÓPEZ</v>
          </cell>
          <cell r="M86">
            <v>45737</v>
          </cell>
          <cell r="N86">
            <v>45800</v>
          </cell>
          <cell r="O86">
            <v>45800</v>
          </cell>
          <cell r="P86" t="str">
            <v>Visitas de evaluación con fines de mejoramiento</v>
          </cell>
          <cell r="Q86" t="str">
            <v>0523 Visita Colegio SANTA CATALINA DEL SUR ORIENTE.pdf</v>
          </cell>
          <cell r="R86" t="str">
            <v>Cumple con las horas y semanas reglamentarias de acuerdo con la Resolución de la SED N° 1811 de 2024.</v>
          </cell>
          <cell r="S86" t="str">
            <v xml:space="preserve">Continuar con la prestación del servicio educativo de acuerdo con la normatividad vigente. </v>
          </cell>
          <cell r="T86" t="str">
            <v>No</v>
          </cell>
          <cell r="U86" t="str">
            <v>Se hará verificación en caso de presentarse requerimiento</v>
          </cell>
        </row>
        <row r="87">
          <cell r="A87">
            <v>1729</v>
          </cell>
          <cell r="B87"/>
          <cell r="C87" t="str">
            <v>SAN CRISTÓBAL</v>
          </cell>
          <cell r="D87" t="str">
            <v>PRIVADO</v>
          </cell>
          <cell r="E87" t="str">
            <v>EPBM</v>
          </cell>
          <cell r="F87" t="str">
            <v>COLEGIO_SANTA_CATALINA_DEL_SUR_ORIENTE</v>
          </cell>
          <cell r="G87" t="str">
            <v>COLEGIO SANTA CATALINA DEL SUR ORIENTE</v>
          </cell>
          <cell r="H87" t="str">
            <v>Autoevaluación Institucional y Pruebas SABER 11</v>
          </cell>
          <cell r="I87" t="str">
            <v>EVALUACIÓN_CON_FINES_DE_MEJORAMIENTO.</v>
          </cell>
          <cell r="J87" t="str">
            <v>Verificar el funcionamiento del Gobierno Escolar e instancias de participación con base en la información sobre conformación reportada por la institución educativa.</v>
          </cell>
          <cell r="K87" t="str">
            <v>JOSÉ ASDRUBAL PÉREZ GIRALDO</v>
          </cell>
          <cell r="L87" t="str">
            <v>JUANITA LINA CAROLINA RAMÍREZ LÓPEZ</v>
          </cell>
          <cell r="M87">
            <v>45737</v>
          </cell>
          <cell r="N87">
            <v>45800</v>
          </cell>
          <cell r="O87">
            <v>45800</v>
          </cell>
          <cell r="P87" t="str">
            <v>Visitas de evaluación con fines de mejoramiento</v>
          </cell>
          <cell r="Q87" t="str">
            <v>0523 Visita Colegio SANTA CATALINA DEL SUR ORIENTE.pdf</v>
          </cell>
          <cell r="R87" t="str">
            <v xml:space="preserve">Se realiza verificación de actas de los diferentes estamentos. </v>
          </cell>
          <cell r="S87" t="str">
            <v xml:space="preserve">Se dan recomendaciones respecto a las actas aportadas. </v>
          </cell>
          <cell r="T87" t="str">
            <v>No</v>
          </cell>
          <cell r="U87" t="str">
            <v>Se hará verificación en caso de presentarse requerimiento</v>
          </cell>
        </row>
        <row r="88">
          <cell r="A88">
            <v>1730</v>
          </cell>
          <cell r="B88"/>
          <cell r="C88" t="str">
            <v>SAN CRISTÓBAL</v>
          </cell>
          <cell r="D88" t="str">
            <v>PRIVADO</v>
          </cell>
          <cell r="E88" t="str">
            <v>EPBM</v>
          </cell>
          <cell r="F88" t="str">
            <v>COLEGIO_SANTA_CATALINA_DEL_SUR_ORIENTE</v>
          </cell>
          <cell r="G88" t="str">
            <v>COLEGIO SANTA CATALINA DEL SUR ORIENTE</v>
          </cell>
          <cell r="H88" t="str">
            <v>Autoevaluación Institucional y Pruebas SABER 11</v>
          </cell>
          <cell r="I88" t="str">
            <v>EVALUACIÓN_CON_FINES_DE_MEJORAMIENTO.</v>
          </cell>
          <cell r="J88" t="str">
            <v>Verificar las condiciones en cuanto a: la estructura administrativa, condiciones de la planta física y medios educativos adecuados.</v>
          </cell>
          <cell r="K88" t="str">
            <v>JOSÉ ASDRUBAL PÉREZ GIRALDO</v>
          </cell>
          <cell r="L88" t="str">
            <v>JUANITA LINA CAROLINA RAMÍREZ LÓPEZ</v>
          </cell>
          <cell r="M88">
            <v>45737</v>
          </cell>
          <cell r="N88">
            <v>45800</v>
          </cell>
          <cell r="O88">
            <v>45800</v>
          </cell>
          <cell r="P88" t="str">
            <v>Visitas de evaluación con fines de mejoramiento</v>
          </cell>
          <cell r="Q88" t="str">
            <v>0523 Visita Colegio SANTA CATALINA DEL SUR ORIENTE.pdf</v>
          </cell>
          <cell r="R88" t="str">
            <v>Aportan acta No. 704966 con fecha 10 de noviembre de 2024, con concepto FAVORABLE</v>
          </cell>
          <cell r="S88" t="str">
            <v>En el recorrido realizado se evidenció espacios con mantnimiento y buen estado areas con iluminacion natural complementada con artificial.</v>
          </cell>
          <cell r="T88" t="str">
            <v>No</v>
          </cell>
          <cell r="U88" t="str">
            <v>Se hará verificación en caso de presentarse requerimiento</v>
          </cell>
        </row>
        <row r="89">
          <cell r="A89">
            <v>1731</v>
          </cell>
          <cell r="B89">
            <v>10</v>
          </cell>
          <cell r="C89" t="str">
            <v>SAN CRISTÓBAL</v>
          </cell>
          <cell r="D89" t="str">
            <v>PRIVADO</v>
          </cell>
          <cell r="E89" t="str">
            <v>EPBM</v>
          </cell>
          <cell r="F89" t="str">
            <v>COLEGIO_SUR_ORIENTAL_PANAMERICANO</v>
          </cell>
          <cell r="G89" t="str">
            <v>COLEGIO SUR ORIENTAL PANAMERICANO</v>
          </cell>
          <cell r="H89" t="str">
            <v>Autoevaluación Institucional y Pruebas SABER 11</v>
          </cell>
          <cell r="I89" t="str">
            <v>SEGUIMIENTO_Y_SUPERVISIÓN.</v>
          </cell>
          <cell r="J89" t="str">
            <v>Realizar visitas para verificar la información registrada sobre la autoevaluación institucional en el aplicativo EVI, a los establecimientos de educación formal no oficial.</v>
          </cell>
          <cell r="K89" t="str">
            <v>JOSÉ ASDRUBAL PÉREZ GIRALDO</v>
          </cell>
          <cell r="L89" t="str">
            <v>XIMENA CAROLINA RAMÍREZ MORALES</v>
          </cell>
          <cell r="M89">
            <v>45751</v>
          </cell>
          <cell r="N89">
            <v>45821</v>
          </cell>
          <cell r="O89">
            <v>45821</v>
          </cell>
          <cell r="P89" t="str">
            <v>Visitas de evaluación con fines de mejoramiento</v>
          </cell>
          <cell r="Q89" t="str">
            <v>0613 Acta de Visita Colegio Sur Oriental Panamericano.pdf</v>
          </cell>
          <cell r="R89" t="str">
            <v>El regimen del colegio es regimen regulado, se lleva control de pagos de matricula y pension en el sistema SIGO</v>
          </cell>
          <cell r="S89" t="str">
            <v>De acuerdo con los soportes aportados por el colegio es necesario discriminar el valor de la pension y el convenio de media tecnica.</v>
          </cell>
          <cell r="T89" t="str">
            <v>Si</v>
          </cell>
          <cell r="U89" t="str">
            <v xml:space="preserve">Ajustes de programa contable (discriminación de pagos de pensión y otros cobros). Se realizó encuentro el 7 de noviembre y se constató lo correspondiente. </v>
          </cell>
        </row>
        <row r="90">
          <cell r="A90">
            <v>1732</v>
          </cell>
          <cell r="B90"/>
          <cell r="C90" t="str">
            <v>SAN CRISTÓBAL</v>
          </cell>
          <cell r="D90" t="str">
            <v>PRIVADO</v>
          </cell>
          <cell r="E90" t="str">
            <v>EPBM</v>
          </cell>
          <cell r="F90" t="str">
            <v>COLEGIO_SUR_ORIENTAL_PANAMERICANO</v>
          </cell>
          <cell r="G90" t="str">
            <v>COLEGIO SUR ORIENTAL PANAMERICANO</v>
          </cell>
          <cell r="H90" t="str">
            <v>Autoevaluación Institucional y Pruebas SABER 11</v>
          </cell>
          <cell r="I90" t="str">
            <v>SEGUIMIENTO_Y_SUPERVISIÓN.</v>
          </cell>
          <cell r="J90" t="str">
            <v>Proponer estrategias en la formulación, verificar su elaboración y realizar seguimiento semestral al desarrollo de  las acciones establecidas en los planes de mejoramiento por pruebas SABER 11 de los establecimientos de educación formal.</v>
          </cell>
          <cell r="K90" t="str">
            <v>JOSÉ ASDRUBAL PÉREZ GIRALDO</v>
          </cell>
          <cell r="L90" t="str">
            <v>XIMENA CAROLINA RAMÍREZ MORALES</v>
          </cell>
          <cell r="M90">
            <v>45751</v>
          </cell>
          <cell r="N90">
            <v>45821</v>
          </cell>
          <cell r="O90">
            <v>45821</v>
          </cell>
          <cell r="P90" t="str">
            <v>Visitas de evaluación con fines de mejoramiento</v>
          </cell>
          <cell r="Q90" t="str">
            <v>0613 Acta de Visita Colegio Sur Oriental Panamericano.pdf</v>
          </cell>
          <cell r="R90" t="str">
            <v>A partir de los análisis de los resultados obtenidos se están incoporando acciones como el análisis de preguntas; pruebas saber en las dinámicas de las clases; la elaboración de evaluaciones con preguntas tipo ICFES, el trabajo de comprensión de lecrtura en el marco del proyecto PILEO . Se desarrolla preicfes voluntario</v>
          </cell>
          <cell r="S90" t="str">
            <v xml:space="preserve">Continuar con la aplicación de las estrategias tendientes a la mejra de los resultados de las pruebasa saber 11. </v>
          </cell>
          <cell r="T90" t="str">
            <v>No</v>
          </cell>
          <cell r="U90" t="str">
            <v>Se hará verificación en caso de presentarse requerimiento</v>
          </cell>
        </row>
        <row r="91">
          <cell r="A91">
            <v>1733</v>
          </cell>
          <cell r="B91"/>
          <cell r="C91" t="str">
            <v>SAN CRISTÓBAL</v>
          </cell>
          <cell r="D91" t="str">
            <v>PRIVADO</v>
          </cell>
          <cell r="E91" t="str">
            <v>EPBM</v>
          </cell>
          <cell r="F91" t="str">
            <v>COLEGIO_SUR_ORIENTAL_PANAMERICANO</v>
          </cell>
          <cell r="G91" t="str">
            <v>COLEGIO SUR ORIENTAL PANAMERICANO</v>
          </cell>
          <cell r="H91" t="str">
            <v>Autoevaluación Institucional y Pruebas SABER 11</v>
          </cell>
          <cell r="I91" t="str">
            <v>SEGUIMIENTO_Y_SUPERVISIÓN.</v>
          </cell>
          <cell r="J91" t="str">
            <v xml:space="preserve">Verificar la implementación por parte de los colegios, de acciones realizadas para la prevención y atención de las situaciones de convivencia en el entorno escolar, según lo establecido en la Directiva 01 de 2022 del MEN. </v>
          </cell>
          <cell r="K91" t="str">
            <v>JOSÉ ASDRUBAL PÉREZ GIRALDO</v>
          </cell>
          <cell r="L91" t="str">
            <v>XIMENA CAROLINA RAMÍREZ MORALES</v>
          </cell>
          <cell r="M91">
            <v>45751</v>
          </cell>
          <cell r="N91">
            <v>45821</v>
          </cell>
          <cell r="O91">
            <v>45821</v>
          </cell>
          <cell r="P91" t="str">
            <v>Visitas de evaluación con fines de mejoramiento</v>
          </cell>
          <cell r="Q91" t="str">
            <v>0613 Acta de Visita Colegio Sur Oriental Panamericano.pdf</v>
          </cell>
          <cell r="R91" t="str">
            <v>Se encuentra en la carpeta de  cada trabajador, la verificación de antedecentes por delitos sexuales.  Desde orientación, se han realizado talleres de promoción y prevención.</v>
          </cell>
          <cell r="S91" t="str">
            <v xml:space="preserve">Realizar la verificación de antecedentes cada 4 meses. Continuar con el desarrollo de actividades de promocón y prevención. </v>
          </cell>
          <cell r="T91" t="str">
            <v>No</v>
          </cell>
          <cell r="U91" t="str">
            <v>Se hará verificación en caso de presentarse requerimiento</v>
          </cell>
        </row>
        <row r="92">
          <cell r="A92">
            <v>1734</v>
          </cell>
          <cell r="B92"/>
          <cell r="C92" t="str">
            <v>SAN CRISTÓBAL</v>
          </cell>
          <cell r="D92" t="str">
            <v>PRIVADO</v>
          </cell>
          <cell r="E92" t="str">
            <v>EPBM</v>
          </cell>
          <cell r="F92" t="str">
            <v>COLEGIO_SUR_ORIENTAL_PANAMERICANO</v>
          </cell>
          <cell r="G92" t="str">
            <v>COLEGIO SUR ORIENTAL PANAMERICANO</v>
          </cell>
          <cell r="H92" t="str">
            <v>Autoevaluación Institucional y Pruebas SABER 11</v>
          </cell>
          <cell r="I92" t="str">
            <v>SEGUIMIENTO_Y_SUPERVISIÓN.</v>
          </cell>
          <cell r="J9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2" t="str">
            <v>JOSÉ ASDRUBAL PÉREZ GIRALDO</v>
          </cell>
          <cell r="L92" t="str">
            <v>XIMENA CAROLINA RAMÍREZ MORALES</v>
          </cell>
          <cell r="M92">
            <v>45751</v>
          </cell>
          <cell r="N92">
            <v>45821</v>
          </cell>
          <cell r="O92">
            <v>45821</v>
          </cell>
          <cell r="P92" t="str">
            <v>Visitas de evaluación con fines de mejoramiento</v>
          </cell>
          <cell r="Q92" t="str">
            <v>0613 Acta de Visita Colegio Sur Oriental Panamericano.pdf</v>
          </cell>
          <cell r="R92" t="str">
            <v>El colegio cuenta con un plan individual de cada menor, identificando su discapacidad, los menores tienen su evaluacion individual y el proceso de evaluacion conjuntamente con las familia</v>
          </cell>
          <cell r="S92" t="str">
            <v>Definir si el registro del apartado "ajustes razonables" se realizarán de manera física y digital.</v>
          </cell>
          <cell r="T92" t="str">
            <v>No</v>
          </cell>
          <cell r="U92" t="str">
            <v>Se hará verificación en caso de presentarse requerimiento</v>
          </cell>
        </row>
        <row r="93">
          <cell r="A93">
            <v>1735</v>
          </cell>
          <cell r="B93"/>
          <cell r="C93" t="str">
            <v>SAN CRISTÓBAL</v>
          </cell>
          <cell r="D93" t="str">
            <v>PRIVADO</v>
          </cell>
          <cell r="E93" t="str">
            <v>EPBM</v>
          </cell>
          <cell r="F93" t="str">
            <v>COLEGIO_SUR_ORIENTAL_PANAMERICANO</v>
          </cell>
          <cell r="G93" t="str">
            <v>COLEGIO SUR ORIENTAL PANAMERICANO</v>
          </cell>
          <cell r="H93" t="str">
            <v>Autoevaluación Institucional y Pruebas SABER 11</v>
          </cell>
          <cell r="I93" t="str">
            <v>EVALUACIÓN_CON_FINES_DE_MEJORAMIENTO.</v>
          </cell>
          <cell r="J9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3" t="str">
            <v>JOSÉ ASDRUBAL PÉREZ GIRALDO</v>
          </cell>
          <cell r="L93" t="str">
            <v>XIMENA CAROLINA RAMÍREZ MORALES</v>
          </cell>
          <cell r="M93">
            <v>45751</v>
          </cell>
          <cell r="N93">
            <v>45821</v>
          </cell>
          <cell r="O93">
            <v>45821</v>
          </cell>
          <cell r="P93" t="str">
            <v>Visitas de evaluación con fines de mejoramiento</v>
          </cell>
          <cell r="Q93" t="str">
            <v>0613 Acta de Visita Colegio Sur Oriental Panamericano.pdf</v>
          </cell>
          <cell r="R93" t="str">
            <v>El documento contiene los elementos normativos. Aportan evidencias de actas de socialización de febrero de 2025. Actualmente el documento está en proceso de actualización.</v>
          </cell>
          <cell r="S93" t="str">
            <v xml:space="preserve">Tener presente que los ajustes deben estar avalados por las instancias correspondientes. </v>
          </cell>
          <cell r="T93" t="str">
            <v>No</v>
          </cell>
          <cell r="U93" t="str">
            <v>Se hará verificación en caso de presentarse requerimiento</v>
          </cell>
        </row>
        <row r="94">
          <cell r="A94">
            <v>1736</v>
          </cell>
          <cell r="B94"/>
          <cell r="C94" t="str">
            <v>SAN CRISTÓBAL</v>
          </cell>
          <cell r="D94" t="str">
            <v>PRIVADO</v>
          </cell>
          <cell r="E94" t="str">
            <v>EPBM</v>
          </cell>
          <cell r="F94" t="str">
            <v>COLEGIO_SUR_ORIENTAL_PANAMERICANO</v>
          </cell>
          <cell r="G94" t="str">
            <v>COLEGIO SUR ORIENTAL PANAMERICANO</v>
          </cell>
          <cell r="H94" t="str">
            <v>Autoevaluación Institucional y Pruebas SABER 11</v>
          </cell>
          <cell r="I94" t="str">
            <v>EVALUACIÓN_CON_FINES_DE_MEJORAMIENTO.</v>
          </cell>
          <cell r="J94" t="str">
            <v>Revisar la actualización, socialización e implementación del Sistema Institucional de Evaluación de Estudiantes - SIEE, en articulación con la actualización del PEI y la normatividad vigente.</v>
          </cell>
          <cell r="K94" t="str">
            <v>JOSÉ ASDRUBAL PÉREZ GIRALDO</v>
          </cell>
          <cell r="L94" t="str">
            <v>XIMENA CAROLINA RAMÍREZ MORALES</v>
          </cell>
          <cell r="M94">
            <v>45751</v>
          </cell>
          <cell r="N94">
            <v>45821</v>
          </cell>
          <cell r="O94">
            <v>45821</v>
          </cell>
          <cell r="P94" t="str">
            <v>Visitas de evaluación con fines de mejoramiento</v>
          </cell>
          <cell r="Q94" t="str">
            <v>0613 Acta de Visita Colegio Sur Oriental Panamericano.pdf</v>
          </cell>
          <cell r="R94" t="str">
            <v>El documento contiene los elementos normativos.  Se verifica acta Consejo de Padres del 04 de febrero de 2025 "Conocer el manual de convivencia y sistema de evaluación" firmada por representante de consejo de padres.</v>
          </cell>
          <cell r="S94" t="str">
            <v>Continuar con la revisión y ajustes a que haya lugar.</v>
          </cell>
          <cell r="T94" t="str">
            <v>No</v>
          </cell>
          <cell r="U94" t="str">
            <v xml:space="preserve">Se hará verificación en caso de presentarse requerimiento Se realizó encuentro el 7 de noviembre con el fin de verificar la actualización de los documentos institucionales. </v>
          </cell>
        </row>
        <row r="95">
          <cell r="A95">
            <v>1737</v>
          </cell>
          <cell r="B95"/>
          <cell r="C95" t="str">
            <v>SAN CRISTÓBAL</v>
          </cell>
          <cell r="D95" t="str">
            <v>PRIVADO</v>
          </cell>
          <cell r="E95" t="str">
            <v>EPBM</v>
          </cell>
          <cell r="F95" t="str">
            <v>COLEGIO_SUR_ORIENTAL_PANAMERICANO</v>
          </cell>
          <cell r="G95" t="str">
            <v>COLEGIO SUR ORIENTAL PANAMERICANO</v>
          </cell>
          <cell r="H95" t="str">
            <v>Autoevaluación Institucional y Pruebas SABER 11</v>
          </cell>
          <cell r="I95" t="str">
            <v>EVALUACIÓN_CON_FINES_DE_MEJORAMIENTO.</v>
          </cell>
          <cell r="J95" t="str">
            <v>Revisar el calendario escolar, jornada escolar, la intensidad horaria mínima anual en cada nivel y las modificaciones que se realicen al mismo, de acuerdo con lo previsto en la normatividad vigente.</v>
          </cell>
          <cell r="K95" t="str">
            <v>JOSÉ ASDRUBAL PÉREZ GIRALDO</v>
          </cell>
          <cell r="L95" t="str">
            <v>XIMENA CAROLINA RAMÍREZ MORALES</v>
          </cell>
          <cell r="M95">
            <v>45751</v>
          </cell>
          <cell r="N95">
            <v>45821</v>
          </cell>
          <cell r="O95">
            <v>45821</v>
          </cell>
          <cell r="P95" t="str">
            <v>Visitas de evaluación con fines de mejoramiento</v>
          </cell>
          <cell r="Q95" t="str">
            <v>0613 Acta de Visita Colegio Sur Oriental Panamericano.pdf</v>
          </cell>
          <cell r="R95" t="str">
            <v>Cumple con las horas y semanas reglamentarias de acuerdo con la Resolución de la SED N° 1811 de 2024.</v>
          </cell>
          <cell r="S95" t="str">
            <v xml:space="preserve">Continuar con la prestación del servicio educativo de acuerdo con la normatividad vigente. </v>
          </cell>
          <cell r="T95" t="str">
            <v>No</v>
          </cell>
          <cell r="U95" t="str">
            <v>Se hará verificación en caso de presentarse requerimiento</v>
          </cell>
        </row>
        <row r="96">
          <cell r="A96">
            <v>1738</v>
          </cell>
          <cell r="B96"/>
          <cell r="C96" t="str">
            <v>SAN CRISTÓBAL</v>
          </cell>
          <cell r="D96" t="str">
            <v>PRIVADO</v>
          </cell>
          <cell r="E96" t="str">
            <v>EPBM</v>
          </cell>
          <cell r="F96" t="str">
            <v>COLEGIO_SUR_ORIENTAL_PANAMERICANO</v>
          </cell>
          <cell r="G96" t="str">
            <v>COLEGIO SUR ORIENTAL PANAMERICANO</v>
          </cell>
          <cell r="H96" t="str">
            <v>Autoevaluación Institucional y Pruebas SABER 11</v>
          </cell>
          <cell r="I96" t="str">
            <v>EVALUACIÓN_CON_FINES_DE_MEJORAMIENTO.</v>
          </cell>
          <cell r="J96" t="str">
            <v>Verificar el funcionamiento del Gobierno Escolar e instancias de participación con base en la información sobre conformación reportada por la institución educativa.</v>
          </cell>
          <cell r="K96" t="str">
            <v>JOSÉ ASDRUBAL PÉREZ GIRALDO</v>
          </cell>
          <cell r="L96" t="str">
            <v>XIMENA CAROLINA RAMÍREZ MORALES</v>
          </cell>
          <cell r="M96">
            <v>45751</v>
          </cell>
          <cell r="N96">
            <v>45821</v>
          </cell>
          <cell r="O96">
            <v>45821</v>
          </cell>
          <cell r="P96" t="str">
            <v>Visitas de evaluación con fines de mejoramiento</v>
          </cell>
          <cell r="Q96" t="str">
            <v>0613 Acta de Visita Colegio Sur Oriental Panamericano.pdf</v>
          </cell>
          <cell r="R96" t="str">
            <v>En el manual de convivencia aparece lo referente a conformación y funciones. Se constata cronograma del proceso de elecccion, acta de resultados 28 feb 2025 de eleccion de personero estudiantil, eleccion de padres de familia 26 feb 2025, eleccion de comite de convivencia, consejo directivo.</v>
          </cell>
          <cell r="S96" t="str">
            <v>Se recomiendó perfeccionamiento, claridad funcional  y rol de las elecciones.</v>
          </cell>
          <cell r="T96" t="str">
            <v>No</v>
          </cell>
          <cell r="U96" t="str">
            <v>Se hará verificación en caso de presentarse requerimiento</v>
          </cell>
        </row>
        <row r="97">
          <cell r="A97">
            <v>1739</v>
          </cell>
          <cell r="B97"/>
          <cell r="C97" t="str">
            <v>SAN CRISTÓBAL</v>
          </cell>
          <cell r="D97" t="str">
            <v>PRIVADO</v>
          </cell>
          <cell r="E97" t="str">
            <v>EPBM</v>
          </cell>
          <cell r="F97" t="str">
            <v>COLEGIO_SUR_ORIENTAL_PANAMERICANO</v>
          </cell>
          <cell r="G97" t="str">
            <v>COLEGIO SUR ORIENTAL PANAMERICANO</v>
          </cell>
          <cell r="H97" t="str">
            <v>Autoevaluación Institucional y Pruebas SABER 11</v>
          </cell>
          <cell r="I97" t="str">
            <v>EVALUACIÓN_CON_FINES_DE_MEJORAMIENTO.</v>
          </cell>
          <cell r="J97" t="str">
            <v>Verificar las condiciones en cuanto a: la estructura administrativa, condiciones de la planta física y medios educativos adecuados.</v>
          </cell>
          <cell r="K97" t="str">
            <v>JOSÉ ASDRUBAL PÉREZ GIRALDO</v>
          </cell>
          <cell r="L97" t="str">
            <v>XIMENA CAROLINA RAMÍREZ MORALES</v>
          </cell>
          <cell r="M97">
            <v>45751</v>
          </cell>
          <cell r="N97">
            <v>45821</v>
          </cell>
          <cell r="O97">
            <v>45821</v>
          </cell>
          <cell r="P97" t="str">
            <v>Visitas de evaluación con fines de mejoramiento</v>
          </cell>
          <cell r="Q97" t="str">
            <v>0613 Acta de Visita Colegio Sur Oriental Panamericano.pdf</v>
          </cell>
          <cell r="R97" t="str">
            <v xml:space="preserve">De acuerdo con el recorrido institucional realizado se observa mobiliario  con mantenimiento y en buen estado y la dotacion requerida para los estudiantes es suficiente. SE verifican actas de Secretaría de Salud  </v>
          </cell>
          <cell r="S97" t="str">
            <v xml:space="preserve">En el recorriido se evidenció subsanación de requerimientos de Secretaría de Salud. </v>
          </cell>
          <cell r="T97" t="str">
            <v>No</v>
          </cell>
          <cell r="U97" t="str">
            <v>Se hará verificación en caso de presentarse requerimiento</v>
          </cell>
        </row>
        <row r="98">
          <cell r="A98">
            <v>1740</v>
          </cell>
          <cell r="B98">
            <v>11</v>
          </cell>
          <cell r="C98" t="str">
            <v>SAN CRISTÓBAL</v>
          </cell>
          <cell r="D98" t="str">
            <v>PRIVADO</v>
          </cell>
          <cell r="E98" t="str">
            <v>EPBM</v>
          </cell>
          <cell r="F98" t="str">
            <v>FUNDACION_DE_EDUCACION_PARA_LA_VIDA_FUNDESCO</v>
          </cell>
          <cell r="G98" t="str">
            <v>FUNDACION DE EDUCACION PARA LA VIDA FUNDESCO</v>
          </cell>
          <cell r="H98" t="str">
            <v>Autoevaluación Institucional y Pruebas SABER 11</v>
          </cell>
          <cell r="I98" t="str">
            <v>SEGUIMIENTO_Y_SUPERVISIÓN.</v>
          </cell>
          <cell r="J98" t="str">
            <v>Realizar visitas para verificar la información registrada sobre la autoevaluación institucional en el aplicativo EVI, a los establecimientos de educación formal no oficial.</v>
          </cell>
          <cell r="K98" t="str">
            <v>XIMENA CAROLINA RAMÍREZ MORALES</v>
          </cell>
          <cell r="L98" t="str">
            <v>JUANITA LINA CAROLINA RAMÍREZ LÓPEZ</v>
          </cell>
          <cell r="M98">
            <v>45744</v>
          </cell>
          <cell r="N98">
            <v>45750</v>
          </cell>
          <cell r="O98">
            <v>45750</v>
          </cell>
          <cell r="P98" t="str">
            <v>Visitas de evaluación con fines de mejoramiento</v>
          </cell>
          <cell r="Q98" t="str">
            <v>0403 Acta visita administrativa Fundesco adultos.pdf</v>
          </cell>
          <cell r="R98" t="str">
            <v>La IE tiene publicada la resolución de costos. Presentan recibos donde se evidencia que cobran por debajo de lo autorizado.</v>
          </cell>
          <cell r="S98" t="str">
            <v>Se evidencia que la institución cumple con lo establecido en la resolución.</v>
          </cell>
          <cell r="T98" t="str">
            <v>No</v>
          </cell>
          <cell r="U98" t="str">
            <v>Se hará verificación en caso de presentarse requerimiento</v>
          </cell>
        </row>
        <row r="99">
          <cell r="A99">
            <v>1741</v>
          </cell>
          <cell r="B99"/>
          <cell r="C99" t="str">
            <v>SAN CRISTÓBAL</v>
          </cell>
          <cell r="D99" t="str">
            <v>PRIVADO</v>
          </cell>
          <cell r="E99" t="str">
            <v>EPBM</v>
          </cell>
          <cell r="F99" t="str">
            <v>FUNDACION_DE_EDUCACION_PARA_LA_VIDA_FUNDESCO</v>
          </cell>
          <cell r="G99" t="str">
            <v>FUNDACION DE EDUCACION PARA LA VIDA FUNDESCO</v>
          </cell>
          <cell r="H99" t="str">
            <v>Autoevaluación Institucional y Pruebas SABER 11</v>
          </cell>
          <cell r="I99" t="str">
            <v>SEGUIMIENTO_Y_SUPERVISIÓN.</v>
          </cell>
          <cell r="J99" t="str">
            <v>Proponer estrategias en la formulación, verificar su elaboración y realizar seguimiento semestral al desarrollo de  las acciones establecidas en los planes de mejoramiento por pruebas SABER 11 de los establecimientos de educación formal.</v>
          </cell>
          <cell r="K99" t="str">
            <v>XIMENA CAROLINA RAMÍREZ MORALES</v>
          </cell>
          <cell r="L99" t="str">
            <v>JUANITA LINA CAROLINA RAMÍREZ LÓPEZ</v>
          </cell>
          <cell r="M99">
            <v>45744</v>
          </cell>
          <cell r="N99">
            <v>45750</v>
          </cell>
          <cell r="O99">
            <v>45750</v>
          </cell>
          <cell r="P99" t="str">
            <v>Visitas de evaluación con fines de mejoramiento</v>
          </cell>
          <cell r="Q99" t="str">
            <v>0403 Acta visita administrativa Fundesco adultos.pdf</v>
          </cell>
          <cell r="R99" t="str">
            <v>La coordinadora informa que se dispone de una hora semanal de preparación para las pruebas SABER. Aporta horario.</v>
          </cell>
          <cell r="S99" t="str">
            <v xml:space="preserve">Generar nuevas estrategias encaminadas a fortalecer los diferentes componentes que evalúa la prueba. </v>
          </cell>
          <cell r="T99" t="str">
            <v>Si</v>
          </cell>
          <cell r="U99" t="str">
            <v>Ajustes curriculares a partir de los análisis de los resultados.Se realizó encuentro el 7 de  noviembre con el din de hacer seguimiento . Se instó a la nstitución a continuar dando cumplimento  lo establecido en el plan de mejoramiento.</v>
          </cell>
        </row>
        <row r="100">
          <cell r="A100">
            <v>1742</v>
          </cell>
          <cell r="B100"/>
          <cell r="C100" t="str">
            <v>SAN CRISTÓBAL</v>
          </cell>
          <cell r="D100" t="str">
            <v>PRIVADO</v>
          </cell>
          <cell r="E100" t="str">
            <v>EPBM</v>
          </cell>
          <cell r="F100" t="str">
            <v>FUNDACION_DE_EDUCACION_PARA_LA_VIDA_FUNDESCO</v>
          </cell>
          <cell r="G100" t="str">
            <v>FUNDACION DE EDUCACION PARA LA VIDA FUNDESCO</v>
          </cell>
          <cell r="H100" t="str">
            <v>Autoevaluación Institucional y Pruebas SABER 11</v>
          </cell>
          <cell r="I100" t="str">
            <v>SEGUIMIENTO_Y_SUPERVISIÓN.</v>
          </cell>
          <cell r="J100" t="str">
            <v xml:space="preserve">Verificar la implementación por parte de los colegios, de acciones realizadas para la prevención y atención de las situaciones de convivencia en el entorno escolar, según lo establecido en la Directiva 01 de 2022 del MEN. </v>
          </cell>
          <cell r="K100" t="str">
            <v>XIMENA CAROLINA RAMÍREZ MORALES</v>
          </cell>
          <cell r="L100" t="str">
            <v>JUANITA LINA CAROLINA RAMÍREZ LÓPEZ</v>
          </cell>
          <cell r="M100">
            <v>45744</v>
          </cell>
          <cell r="N100">
            <v>45750</v>
          </cell>
          <cell r="O100">
            <v>45750</v>
          </cell>
          <cell r="P100" t="str">
            <v>Visitas de evaluación con fines de mejoramiento</v>
          </cell>
          <cell r="Q100" t="str">
            <v>0403 Acta visita administrativa Fundesco adultos.pdf</v>
          </cell>
          <cell r="R100" t="str">
            <v>La coordina refiere que realizan talleres de promoción y prevención en las temáticas que se requieren. Se encuentra verificación de antecedentes por delitos sexuales.</v>
          </cell>
          <cell r="S100" t="str">
            <v xml:space="preserve">Se sugiere sistematizar la información para que sea notoría la organización y planeación. </v>
          </cell>
          <cell r="T100" t="str">
            <v>No</v>
          </cell>
          <cell r="U100" t="str">
            <v>Se hará verificación en caso de presentarse requerimiento</v>
          </cell>
        </row>
        <row r="101">
          <cell r="A101">
            <v>1743</v>
          </cell>
          <cell r="B101"/>
          <cell r="C101" t="str">
            <v>SAN CRISTÓBAL</v>
          </cell>
          <cell r="D101" t="str">
            <v>PRIVADO</v>
          </cell>
          <cell r="E101" t="str">
            <v>EPBM</v>
          </cell>
          <cell r="F101" t="str">
            <v>FUNDACION_DE_EDUCACION_PARA_LA_VIDA_FUNDESCO</v>
          </cell>
          <cell r="G101" t="str">
            <v>FUNDACION DE EDUCACION PARA LA VIDA FUNDESCO</v>
          </cell>
          <cell r="H101" t="str">
            <v>Autoevaluación Institucional y Pruebas SABER 11</v>
          </cell>
          <cell r="I101" t="str">
            <v>SEGUIMIENTO_Y_SUPERVISIÓN.</v>
          </cell>
          <cell r="J10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1" t="str">
            <v>XIMENA CAROLINA RAMÍREZ MORALES</v>
          </cell>
          <cell r="L101" t="str">
            <v>JUANITA LINA CAROLINA RAMÍREZ LÓPEZ</v>
          </cell>
          <cell r="M101">
            <v>45744</v>
          </cell>
          <cell r="N101">
            <v>45750</v>
          </cell>
          <cell r="O101">
            <v>45750</v>
          </cell>
          <cell r="P101" t="str">
            <v>Visitas de evaluación con fines de mejoramiento</v>
          </cell>
          <cell r="Q101" t="str">
            <v>0403 Acta visita administrativa Fundesco adultos.pdf</v>
          </cell>
          <cell r="R101" t="str">
            <v>La IE no presenta el Plan Individual de Ajustes Razonables del estudiante con discapacidad. Aporta un  documento con estrategias de acompañamiento.</v>
          </cell>
          <cell r="S101" t="str">
            <v>Elaborar el Plan Individual de Ajustes Razonables - PIAR haciendo uso de los formatos correspondientes</v>
          </cell>
          <cell r="T101" t="str">
            <v>Si</v>
          </cell>
          <cell r="U101" t="str">
            <v xml:space="preserve">Remitir el PIAR del estudiante con discapacidad. Se realizó encuentro de seguimiento el 7 de noviembre evidenciando cumplimiento de los compromisos establecidos. </v>
          </cell>
        </row>
        <row r="102">
          <cell r="A102">
            <v>1744</v>
          </cell>
          <cell r="B102"/>
          <cell r="C102" t="str">
            <v>SAN CRISTÓBAL</v>
          </cell>
          <cell r="D102" t="str">
            <v>PRIVADO</v>
          </cell>
          <cell r="E102" t="str">
            <v>EPBM</v>
          </cell>
          <cell r="F102" t="str">
            <v>FUNDACION_DE_EDUCACION_PARA_LA_VIDA_FUNDESCO</v>
          </cell>
          <cell r="G102" t="str">
            <v>FUNDACION DE EDUCACION PARA LA VIDA FUNDESCO</v>
          </cell>
          <cell r="H102" t="str">
            <v>Autoevaluación Institucional y Pruebas SABER 11</v>
          </cell>
          <cell r="I102" t="str">
            <v>EVALUACIÓN_CON_FINES_DE_MEJORAMIENTO.</v>
          </cell>
          <cell r="J10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2" t="str">
            <v>XIMENA CAROLINA RAMÍREZ MORALES</v>
          </cell>
          <cell r="L102" t="str">
            <v>JUANITA LINA CAROLINA RAMÍREZ LÓPEZ</v>
          </cell>
          <cell r="M102">
            <v>45744</v>
          </cell>
          <cell r="N102">
            <v>45750</v>
          </cell>
          <cell r="O102">
            <v>45750</v>
          </cell>
          <cell r="P102" t="str">
            <v>Visitas de evaluación con fines de mejoramiento</v>
          </cell>
          <cell r="Q102" t="str">
            <v>0403 Acta visita administrativa Fundesco adultos.pdf</v>
          </cell>
          <cell r="R102" t="str">
            <v xml:space="preserve">La IE refiere que se realizó actualización en el año 2024. Presentan dos actas, una de ellas contó con la participación de una profesional de la OCE quien les asesoró lo correspondiente. </v>
          </cell>
          <cell r="S102" t="str">
            <v>Incorporar lo referente al enfoque restaurativo y los canales de atención de PQR.</v>
          </cell>
          <cell r="T102" t="str">
            <v>No</v>
          </cell>
          <cell r="U102" t="str">
            <v>Verificación en la proxima actualización del manual de convivencia.</v>
          </cell>
        </row>
        <row r="103">
          <cell r="A103">
            <v>1745</v>
          </cell>
          <cell r="B103"/>
          <cell r="C103" t="str">
            <v>SAN CRISTÓBAL</v>
          </cell>
          <cell r="D103" t="str">
            <v>PRIVADO</v>
          </cell>
          <cell r="E103" t="str">
            <v>EPBM</v>
          </cell>
          <cell r="F103" t="str">
            <v>FUNDACION_DE_EDUCACION_PARA_LA_VIDA_FUNDESCO</v>
          </cell>
          <cell r="G103" t="str">
            <v>FUNDACION DE EDUCACION PARA LA VIDA FUNDESCO</v>
          </cell>
          <cell r="H103" t="str">
            <v>Autoevaluación Institucional y Pruebas SABER 11</v>
          </cell>
          <cell r="I103" t="str">
            <v>EVALUACIÓN_CON_FINES_DE_MEJORAMIENTO.</v>
          </cell>
          <cell r="J103" t="str">
            <v>Revisar la actualización, socialización e implementación del Sistema Institucional de Evaluación de Estudiantes - SIEE, en articulación con la actualización del PEI y la normatividad vigente.</v>
          </cell>
          <cell r="K103" t="str">
            <v>XIMENA CAROLINA RAMÍREZ MORALES</v>
          </cell>
          <cell r="L103" t="str">
            <v>JUANITA LINA CAROLINA RAMÍREZ LÓPEZ</v>
          </cell>
          <cell r="M103">
            <v>45744</v>
          </cell>
          <cell r="N103">
            <v>45750</v>
          </cell>
          <cell r="O103">
            <v>45750</v>
          </cell>
          <cell r="P103" t="str">
            <v>Visitas de evaluación con fines de mejoramiento</v>
          </cell>
          <cell r="Q103" t="str">
            <v>0403 Acta visita administrativa Fundesco adultos.pdf</v>
          </cell>
          <cell r="R103" t="str">
            <v>El SIEE se encuentra en el manual de convivencia. La coordinadora indica que al iniciar el año escolar se realiza reunión con los docentes para socializar lo correspondiente (aportan acta)</v>
          </cell>
          <cell r="S103" t="str">
            <v xml:space="preserve">Incluir un apartado referente a la atención con discapacidad de acuerdo con el Decreto 1421 de 2017. </v>
          </cell>
          <cell r="T103" t="str">
            <v>No</v>
          </cell>
          <cell r="U103" t="str">
            <v>Verificación en la proxima actualización del SIEE</v>
          </cell>
        </row>
        <row r="104">
          <cell r="A104">
            <v>1746</v>
          </cell>
          <cell r="B104"/>
          <cell r="C104" t="str">
            <v>SAN CRISTÓBAL</v>
          </cell>
          <cell r="D104" t="str">
            <v>PRIVADO</v>
          </cell>
          <cell r="E104" t="str">
            <v>EPBM</v>
          </cell>
          <cell r="F104" t="str">
            <v>FUNDACION_DE_EDUCACION_PARA_LA_VIDA_FUNDESCO</v>
          </cell>
          <cell r="G104" t="str">
            <v>FUNDACION DE EDUCACION PARA LA VIDA FUNDESCO</v>
          </cell>
          <cell r="H104" t="str">
            <v>Autoevaluación Institucional y Pruebas SABER 11</v>
          </cell>
          <cell r="I104" t="str">
            <v>EVALUACIÓN_CON_FINES_DE_MEJORAMIENTO.</v>
          </cell>
          <cell r="J104" t="str">
            <v>Revisar el calendario escolar, jornada escolar, la intensidad horaria mínima anual en cada nivel y las modificaciones que se realicen al mismo, de acuerdo con lo previsto en la normatividad vigente.</v>
          </cell>
          <cell r="K104" t="str">
            <v>XIMENA CAROLINA RAMÍREZ MORALES</v>
          </cell>
          <cell r="L104" t="str">
            <v>JUANITA LINA CAROLINA RAMÍREZ LÓPEZ</v>
          </cell>
          <cell r="M104">
            <v>45744</v>
          </cell>
          <cell r="N104">
            <v>45750</v>
          </cell>
          <cell r="O104">
            <v>45750</v>
          </cell>
          <cell r="P104" t="str">
            <v>Visitas de evaluación con fines de mejoramiento</v>
          </cell>
          <cell r="Q104" t="str">
            <v>0403 Acta visita administrativa Fundesco adultos.pdf</v>
          </cell>
          <cell r="R104" t="str">
            <v>Cumple con las horas y semanas reglamentarias de acuerdo con la Resolución de la SED N° 1811 de 2024.</v>
          </cell>
          <cell r="S104" t="str">
            <v>Se evidencia que la IE cumple con lo establecido en la normatividad vigente.</v>
          </cell>
          <cell r="T104" t="str">
            <v>No</v>
          </cell>
          <cell r="U104" t="str">
            <v>Se hará verificación en caso de presentarse requerimiento</v>
          </cell>
        </row>
        <row r="105">
          <cell r="A105">
            <v>1747</v>
          </cell>
          <cell r="B105"/>
          <cell r="C105" t="str">
            <v>SAN CRISTÓBAL</v>
          </cell>
          <cell r="D105" t="str">
            <v>PRIVADO</v>
          </cell>
          <cell r="E105" t="str">
            <v>EPBM</v>
          </cell>
          <cell r="F105" t="str">
            <v>FUNDACION_DE_EDUCACION_PARA_LA_VIDA_FUNDESCO</v>
          </cell>
          <cell r="G105" t="str">
            <v>FUNDACION DE EDUCACION PARA LA VIDA FUNDESCO</v>
          </cell>
          <cell r="H105" t="str">
            <v>Autoevaluación Institucional y Pruebas SABER 11</v>
          </cell>
          <cell r="I105" t="str">
            <v>EVALUACIÓN_CON_FINES_DE_MEJORAMIENTO.</v>
          </cell>
          <cell r="J105" t="str">
            <v>Verificar el funcionamiento del Gobierno Escolar e instancias de participación con base en la información sobre conformación reportada por la institución educativa.</v>
          </cell>
          <cell r="K105" t="str">
            <v>XIMENA CAROLINA RAMÍREZ MORALES</v>
          </cell>
          <cell r="L105" t="str">
            <v>JUANITA LINA CAROLINA RAMÍREZ LÓPEZ</v>
          </cell>
          <cell r="M105">
            <v>45744</v>
          </cell>
          <cell r="N105">
            <v>45750</v>
          </cell>
          <cell r="O105">
            <v>45750</v>
          </cell>
          <cell r="P105" t="str">
            <v>Visitas de evaluación con fines de mejoramiento</v>
          </cell>
          <cell r="Q105" t="str">
            <v>0403 Acta visita administrativa Fundesco adultos.pdf</v>
          </cell>
          <cell r="R105" t="str">
            <v>La IE aporta las actas de conformación de Gobierno Escolar.</v>
          </cell>
          <cell r="S105" t="str">
            <v>Elaborar las actas de las sesiones de reunión de las instancias que hacen parte del Gobierno Escolar.</v>
          </cell>
          <cell r="T105" t="str">
            <v>No</v>
          </cell>
          <cell r="U105" t="str">
            <v>Verificación en el SAE</v>
          </cell>
        </row>
        <row r="106">
          <cell r="A106">
            <v>1748</v>
          </cell>
          <cell r="B106"/>
          <cell r="C106" t="str">
            <v>SAN CRISTÓBAL</v>
          </cell>
          <cell r="D106" t="str">
            <v>PRIVADO</v>
          </cell>
          <cell r="E106" t="str">
            <v>EPBM</v>
          </cell>
          <cell r="F106" t="str">
            <v>FUNDACION_DE_EDUCACION_PARA_LA_VIDA_FUNDESCO</v>
          </cell>
          <cell r="G106" t="str">
            <v>FUNDACION DE EDUCACION PARA LA VIDA FUNDESCO</v>
          </cell>
          <cell r="H106" t="str">
            <v>Autoevaluación Institucional y Pruebas SABER 11</v>
          </cell>
          <cell r="I106" t="str">
            <v>EVALUACIÓN_CON_FINES_DE_MEJORAMIENTO.</v>
          </cell>
          <cell r="J106" t="str">
            <v>Verificar las condiciones en cuanto a: la estructura administrativa, condiciones de la planta física y medios educativos adecuados.</v>
          </cell>
          <cell r="K106" t="str">
            <v>XIMENA CAROLINA RAMÍREZ MORALES</v>
          </cell>
          <cell r="L106" t="str">
            <v>JUANITA LINA CAROLINA RAMÍREZ LÓPEZ</v>
          </cell>
          <cell r="M106">
            <v>45744</v>
          </cell>
          <cell r="N106">
            <v>45750</v>
          </cell>
          <cell r="O106">
            <v>45750</v>
          </cell>
          <cell r="P106" t="str">
            <v>Visitas de evaluación con fines de mejoramiento</v>
          </cell>
          <cell r="Q106" t="str">
            <v>0403 Acta visita administrativa Fundesco adultos.pdf</v>
          </cell>
          <cell r="R106" t="str">
            <v xml:space="preserve">En recorrido de la planta física se encontró en buenas condiciones de infraestructura y dotación. La IE aporta acta de visita de Secretaria de Salud SB066E 703330 del 01/02/2025 con concepto favorable con requerimientos. </v>
          </cell>
          <cell r="S106" t="str">
            <v xml:space="preserve">La IE subsanó los requermientos. </v>
          </cell>
          <cell r="T106" t="str">
            <v>No</v>
          </cell>
          <cell r="U106" t="str">
            <v>Se hará verificación en caso de presentarse requerimiento</v>
          </cell>
        </row>
        <row r="107">
          <cell r="A107">
            <v>1749</v>
          </cell>
          <cell r="B107">
            <v>12</v>
          </cell>
          <cell r="C107" t="str">
            <v>SAN CRISTÓBAL</v>
          </cell>
          <cell r="D107" t="str">
            <v>PRIVADO</v>
          </cell>
          <cell r="E107" t="str">
            <v>EPBM</v>
          </cell>
          <cell r="F107" t="str">
            <v>INSTITUTO_COMERCIAL_EDUARDO_TORRES_QUINTERO</v>
          </cell>
          <cell r="G107" t="str">
            <v>INSTITUTO COMERCIAL EDUARDO TORRES QUINTERO</v>
          </cell>
          <cell r="H107" t="str">
            <v>Autoevaluación Institucional y Pruebas SABER 11</v>
          </cell>
          <cell r="I107" t="str">
            <v>SEGUIMIENTO_Y_SUPERVISIÓN.</v>
          </cell>
          <cell r="J107" t="str">
            <v>Realizar visitas para verificar la información registrada sobre la autoevaluación institucional en el aplicativo EVI, a los establecimientos de educación formal no oficial.</v>
          </cell>
          <cell r="K107" t="str">
            <v>JUANITA LINA CAROLINA RAMÍREZ LÓPEZ</v>
          </cell>
          <cell r="L107" t="str">
            <v>JAIRO ANDRÉS ÁLVAREZ CHÁVEZ</v>
          </cell>
          <cell r="M107">
            <v>45777</v>
          </cell>
          <cell r="N107">
            <v>45821</v>
          </cell>
          <cell r="O107">
            <v>45821</v>
          </cell>
          <cell r="P107" t="str">
            <v>Visitas de evaluación con fines de mejoramiento</v>
          </cell>
          <cell r="Q107" t="str">
            <v>0613 Acta de visita administrativa Instituto Ccial. Eduardo Torres Quintero.pdf</v>
          </cell>
          <cell r="R107" t="str">
            <v xml:space="preserve">Las tarifas se encuentran publicadas, se constata que los costos son inferiores a los valores autorizados. 
La IE presenta mejoras enbiblioteca, audivisuales, entre otros. </v>
          </cell>
          <cell r="S107" t="str">
            <v>La institcuón cumple con lo establecido en la resolución.</v>
          </cell>
          <cell r="T107" t="str">
            <v>No</v>
          </cell>
          <cell r="U107" t="str">
            <v>Se hará verificación en caso de presentarse requerimiento</v>
          </cell>
        </row>
        <row r="108">
          <cell r="A108">
            <v>1750</v>
          </cell>
          <cell r="B108"/>
          <cell r="C108" t="str">
            <v>SAN CRISTÓBAL</v>
          </cell>
          <cell r="D108" t="str">
            <v>PRIVADO</v>
          </cell>
          <cell r="E108" t="str">
            <v>EPBM</v>
          </cell>
          <cell r="F108" t="str">
            <v>INSTITUTO_COMERCIAL_EDUARDO_TORRES_QUINTERO</v>
          </cell>
          <cell r="G108" t="str">
            <v>INSTITUTO COMERCIAL EDUARDO TORRES QUINTERO</v>
          </cell>
          <cell r="H108" t="str">
            <v>Autoevaluación Institucional y Pruebas SABER 11</v>
          </cell>
          <cell r="I108" t="str">
            <v>SEGUIMIENTO_Y_SUPERVISIÓN.</v>
          </cell>
          <cell r="J108" t="str">
            <v>Proponer estrategias en la formulación, verificar su elaboración y realizar seguimiento semestral al desarrollo de  las acciones establecidas en los planes de mejoramiento por pruebas SABER 11 de los establecimientos de educación formal.</v>
          </cell>
          <cell r="K108" t="str">
            <v>JUANITA LINA CAROLINA RAMÍREZ LÓPEZ</v>
          </cell>
          <cell r="L108" t="str">
            <v>JAIRO ANDRÉS ÁLVAREZ CHÁVEZ</v>
          </cell>
          <cell r="M108">
            <v>45777</v>
          </cell>
          <cell r="N108">
            <v>45821</v>
          </cell>
          <cell r="O108">
            <v>45821</v>
          </cell>
          <cell r="P108" t="str">
            <v>Visitas de evaluación con fines de mejoramiento</v>
          </cell>
          <cell r="Q108" t="str">
            <v>0613 Acta de visita administrativa Instituto Ccial. Eduardo Torres Quintero.pdf</v>
          </cell>
          <cell r="R108" t="str">
            <v>A partir de los análisis de los resultados obtenidos en las prubas saber, la institución incorporó las siguientes estrategias de mejora: modificación de las evaluaciones trimestrales, para realizarlas como opción multiple tipo saber, fortalecimiento de  la lectura critica, desarrollo de semana de repaso, simulacros de pruebas trimestrales</v>
          </cell>
          <cell r="S108" t="str">
            <v xml:space="preserve">Continuar con la aplicación de estrategias tendientes a la mejra de los resultados de las pruebasa saber 11. </v>
          </cell>
          <cell r="T108" t="str">
            <v>No</v>
          </cell>
          <cell r="U108" t="str">
            <v>Se hará verificación en caso de presentarse requerimiento</v>
          </cell>
        </row>
        <row r="109">
          <cell r="A109">
            <v>1751</v>
          </cell>
          <cell r="B109"/>
          <cell r="C109" t="str">
            <v>SAN CRISTÓBAL</v>
          </cell>
          <cell r="D109" t="str">
            <v>PRIVADO</v>
          </cell>
          <cell r="E109" t="str">
            <v>EPBM</v>
          </cell>
          <cell r="F109" t="str">
            <v>INSTITUTO_COMERCIAL_EDUARDO_TORRES_QUINTERO</v>
          </cell>
          <cell r="G109" t="str">
            <v>INSTITUTO COMERCIAL EDUARDO TORRES QUINTERO</v>
          </cell>
          <cell r="H109" t="str">
            <v>Autoevaluación Institucional y Pruebas SABER 11</v>
          </cell>
          <cell r="I109" t="str">
            <v>SEGUIMIENTO_Y_SUPERVISIÓN.</v>
          </cell>
          <cell r="J109" t="str">
            <v xml:space="preserve">Verificar la implementación por parte de los colegios, de acciones realizadas para la prevención y atención de las situaciones de convivencia en el entorno escolar, según lo establecido en la Directiva 01 de 2022 del MEN. </v>
          </cell>
          <cell r="K109" t="str">
            <v>JUANITA LINA CAROLINA RAMÍREZ LÓPEZ</v>
          </cell>
          <cell r="L109" t="str">
            <v>JAIRO ANDRÉS ÁLVAREZ CHÁVEZ</v>
          </cell>
          <cell r="M109">
            <v>45777</v>
          </cell>
          <cell r="N109">
            <v>45821</v>
          </cell>
          <cell r="O109">
            <v>45821</v>
          </cell>
          <cell r="P109" t="str">
            <v>Visitas de evaluación con fines de mejoramiento</v>
          </cell>
          <cell r="Q109" t="str">
            <v>0613 Acta de visita administrativa Instituto Ccial. Eduardo Torres Quintero.pdf</v>
          </cell>
          <cell r="R109" t="str">
            <v xml:space="preserve">El colegio tiene estructurado el plan de convivencia escolar y desde alli hacen la planeacion y abordaje de temas de promocion y prevencion.  Se encuentra verificación de antecedentes por delitos sexuales en las carpetas del personal. </v>
          </cell>
          <cell r="S109" t="str">
            <v xml:space="preserve">Realizar la verificación de antecedentes cada 4 meses. Continuar con el desarrollo de actividades de promocón y prevención. </v>
          </cell>
          <cell r="T109" t="str">
            <v>No</v>
          </cell>
          <cell r="U109" t="str">
            <v>Se hará verificación en caso de presentarse requerimiento</v>
          </cell>
        </row>
        <row r="110">
          <cell r="A110">
            <v>1752</v>
          </cell>
          <cell r="B110"/>
          <cell r="C110" t="str">
            <v>SAN CRISTÓBAL</v>
          </cell>
          <cell r="D110" t="str">
            <v>PRIVADO</v>
          </cell>
          <cell r="E110" t="str">
            <v>EPBM</v>
          </cell>
          <cell r="F110" t="str">
            <v>INSTITUTO_COMERCIAL_EDUARDO_TORRES_QUINTERO</v>
          </cell>
          <cell r="G110" t="str">
            <v>INSTITUTO COMERCIAL EDUARDO TORRES QUINTERO</v>
          </cell>
          <cell r="H110" t="str">
            <v>Autoevaluación Institucional y Pruebas SABER 11</v>
          </cell>
          <cell r="I110" t="str">
            <v>SEGUIMIENTO_Y_SUPERVISIÓN.</v>
          </cell>
          <cell r="J1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0" t="str">
            <v>JUANITA LINA CAROLINA RAMÍREZ LÓPEZ</v>
          </cell>
          <cell r="L110" t="str">
            <v>JAIRO ANDRÉS ÁLVAREZ CHÁVEZ</v>
          </cell>
          <cell r="M110">
            <v>45777</v>
          </cell>
          <cell r="N110">
            <v>45821</v>
          </cell>
          <cell r="O110">
            <v>45821</v>
          </cell>
          <cell r="P110" t="str">
            <v>Visitas de evaluación con fines de mejoramiento</v>
          </cell>
          <cell r="Q110" t="str">
            <v>0613 Acta de visita administrativa Instituto Ccial. Eduardo Torres Quintero.pdf</v>
          </cell>
          <cell r="R110" t="str">
            <v xml:space="preserve">La institución tiene un estudiante con diagnóstico que cuenta con PIAR, los demás estudiantes caracterizados están a la espera de diagnóstico. </v>
          </cell>
          <cell r="S110" t="str">
            <v xml:space="preserve">Realizar la verificación de antecedentes cada 4 meses. Continuar con el desarrollo de actividades de promocón y prevención. </v>
          </cell>
          <cell r="T110" t="str">
            <v>No</v>
          </cell>
          <cell r="U110" t="str">
            <v>Se hará verificación en caso de presentarse requerimiento</v>
          </cell>
        </row>
        <row r="111">
          <cell r="A111">
            <v>1753</v>
          </cell>
          <cell r="B111"/>
          <cell r="C111" t="str">
            <v>SAN CRISTÓBAL</v>
          </cell>
          <cell r="D111" t="str">
            <v>PRIVADO</v>
          </cell>
          <cell r="E111" t="str">
            <v>EPBM</v>
          </cell>
          <cell r="F111" t="str">
            <v>INSTITUTO_COMERCIAL_EDUARDO_TORRES_QUINTERO</v>
          </cell>
          <cell r="G111" t="str">
            <v>INSTITUTO COMERCIAL EDUARDO TORRES QUINTERO</v>
          </cell>
          <cell r="H111" t="str">
            <v>Autoevaluación Institucional y Pruebas SABER 11</v>
          </cell>
          <cell r="I111" t="str">
            <v>EVALUACIÓN_CON_FINES_DE_MEJORAMIENTO.</v>
          </cell>
          <cell r="J1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1" t="str">
            <v>JUANITA LINA CAROLINA RAMÍREZ LÓPEZ</v>
          </cell>
          <cell r="L111" t="str">
            <v>JAIRO ANDRÉS ÁLVAREZ CHÁVEZ</v>
          </cell>
          <cell r="M111">
            <v>45777</v>
          </cell>
          <cell r="N111">
            <v>45821</v>
          </cell>
          <cell r="O111">
            <v>45821</v>
          </cell>
          <cell r="P111" t="str">
            <v>Visitas de evaluación con fines de mejoramiento</v>
          </cell>
          <cell r="Q111" t="str">
            <v>0613 Acta de visita administrativa Instituto Ccial. Eduardo Torres Quintero.pdf</v>
          </cell>
          <cell r="R111" t="str">
            <v>Indican que el PEI, incluyendo Manual de convivencia y SIEE, se ajustó durante el año 2024. Se integró al Manual el enfoque restaurativo, poniendo en primer lugar el dialogo y la conciliacion por encima de la sancion. tambien registra lo especifico a Inclusion, en los referente al PIAR, SIEE y convivencia</v>
          </cell>
          <cell r="S111" t="str">
            <v xml:space="preserve">Documentar en  las actas de las instancias correspondientes los ajustes. que se realicen. </v>
          </cell>
          <cell r="T111" t="str">
            <v>No</v>
          </cell>
          <cell r="U111" t="str">
            <v>Se hará verificación en caso de presentarse requerimiento</v>
          </cell>
        </row>
        <row r="112">
          <cell r="A112">
            <v>1754</v>
          </cell>
          <cell r="B112"/>
          <cell r="C112" t="str">
            <v>SAN CRISTÓBAL</v>
          </cell>
          <cell r="D112" t="str">
            <v>PRIVADO</v>
          </cell>
          <cell r="E112" t="str">
            <v>EPBM</v>
          </cell>
          <cell r="F112" t="str">
            <v>INSTITUTO_COMERCIAL_EDUARDO_TORRES_QUINTERO</v>
          </cell>
          <cell r="G112" t="str">
            <v>INSTITUTO COMERCIAL EDUARDO TORRES QUINTERO</v>
          </cell>
          <cell r="H112" t="str">
            <v>Autoevaluación Institucional y Pruebas SABER 11</v>
          </cell>
          <cell r="I112" t="str">
            <v>EVALUACIÓN_CON_FINES_DE_MEJORAMIENTO.</v>
          </cell>
          <cell r="J112" t="str">
            <v>Revisar la actualización, socialización e implementación del Sistema Institucional de Evaluación de Estudiantes - SIEE, en articulación con la actualización del PEI y la normatividad vigente.</v>
          </cell>
          <cell r="K112" t="str">
            <v>JUANITA LINA CAROLINA RAMÍREZ LÓPEZ</v>
          </cell>
          <cell r="L112" t="str">
            <v>JAIRO ANDRÉS ÁLVAREZ CHÁVEZ</v>
          </cell>
          <cell r="M112">
            <v>45777</v>
          </cell>
          <cell r="N112">
            <v>45821</v>
          </cell>
          <cell r="O112">
            <v>45821</v>
          </cell>
          <cell r="P112" t="str">
            <v>Visitas de evaluación con fines de mejoramiento</v>
          </cell>
          <cell r="Q112" t="str">
            <v>0613 Acta de visita administrativa Instituto Ccial. Eduardo Torres Quintero.pdf</v>
          </cell>
          <cell r="R112" t="str">
            <v>Indican que el PEI, incluyendo Manual de convivencia y SIEE, se ajustó durante el año 2024. Se integró al Manual el enfoque restaurativo, poniendo en primer lugar el dialogo y la conciliacion por encima de la sancion. tambien registra lo especifico a Inclusion, en los referente al PIAR, SIEE y convivencia</v>
          </cell>
          <cell r="S112" t="str">
            <v xml:space="preserve">Incluir lo referente a las estrategas de acompañamiento. </v>
          </cell>
          <cell r="T112" t="str">
            <v>No</v>
          </cell>
          <cell r="U112" t="str">
            <v>Se hará verificación en caso de presentarse requerimiento</v>
          </cell>
        </row>
        <row r="113">
          <cell r="A113">
            <v>1755</v>
          </cell>
          <cell r="B113"/>
          <cell r="C113" t="str">
            <v>SAN CRISTÓBAL</v>
          </cell>
          <cell r="D113" t="str">
            <v>PRIVADO</v>
          </cell>
          <cell r="E113" t="str">
            <v>EPBM</v>
          </cell>
          <cell r="F113" t="str">
            <v>INSTITUTO_COMERCIAL_EDUARDO_TORRES_QUINTERO</v>
          </cell>
          <cell r="G113" t="str">
            <v>INSTITUTO COMERCIAL EDUARDO TORRES QUINTERO</v>
          </cell>
          <cell r="H113" t="str">
            <v>Autoevaluación Institucional y Pruebas SABER 11</v>
          </cell>
          <cell r="I113" t="str">
            <v>EVALUACIÓN_CON_FINES_DE_MEJORAMIENTO.</v>
          </cell>
          <cell r="J113" t="str">
            <v>Revisar el calendario escolar, jornada escolar, la intensidad horaria mínima anual en cada nivel y las modificaciones que se realicen al mismo, de acuerdo con lo previsto en la normatividad vigente.</v>
          </cell>
          <cell r="K113" t="str">
            <v>JUANITA LINA CAROLINA RAMÍREZ LÓPEZ</v>
          </cell>
          <cell r="L113" t="str">
            <v>JAIRO ANDRÉS ÁLVAREZ CHÁVEZ</v>
          </cell>
          <cell r="M113">
            <v>45777</v>
          </cell>
          <cell r="N113">
            <v>45821</v>
          </cell>
          <cell r="O113">
            <v>45821</v>
          </cell>
          <cell r="P113" t="str">
            <v>Visitas de evaluación con fines de mejoramiento</v>
          </cell>
          <cell r="Q113" t="str">
            <v>0613 Acta de visita administrativa Instituto Ccial. Eduardo Torres Quintero.pdf</v>
          </cell>
          <cell r="R113" t="str">
            <v xml:space="preserve">La institución cumplió con la remisión de Calendario, cumpliendo con horas y semanas reglamentarias </v>
          </cell>
          <cell r="S113" t="str">
            <v>Continuar con la prestación del servicio educativo de acuerdo con la normatividad vigente.</v>
          </cell>
          <cell r="T113" t="str">
            <v>No</v>
          </cell>
          <cell r="U113" t="str">
            <v>Se hará verificación en caso de presentarse requerimiento</v>
          </cell>
        </row>
        <row r="114">
          <cell r="A114">
            <v>1756</v>
          </cell>
          <cell r="B114"/>
          <cell r="C114" t="str">
            <v>SAN CRISTÓBAL</v>
          </cell>
          <cell r="D114" t="str">
            <v>PRIVADO</v>
          </cell>
          <cell r="E114" t="str">
            <v>EPBM</v>
          </cell>
          <cell r="F114" t="str">
            <v>INSTITUTO_COMERCIAL_EDUARDO_TORRES_QUINTERO</v>
          </cell>
          <cell r="G114" t="str">
            <v>INSTITUTO COMERCIAL EDUARDO TORRES QUINTERO</v>
          </cell>
          <cell r="H114" t="str">
            <v>Autoevaluación Institucional y Pruebas SABER 11</v>
          </cell>
          <cell r="I114" t="str">
            <v>EVALUACIÓN_CON_FINES_DE_MEJORAMIENTO.</v>
          </cell>
          <cell r="J114" t="str">
            <v>Verificar el funcionamiento del Gobierno Escolar e instancias de participación con base en la información sobre conformación reportada por la institución educativa.</v>
          </cell>
          <cell r="K114" t="str">
            <v>JUANITA LINA CAROLINA RAMÍREZ LÓPEZ</v>
          </cell>
          <cell r="L114" t="str">
            <v>JAIRO ANDRÉS ÁLVAREZ CHÁVEZ</v>
          </cell>
          <cell r="M114">
            <v>45777</v>
          </cell>
          <cell r="N114">
            <v>45821</v>
          </cell>
          <cell r="O114">
            <v>45821</v>
          </cell>
          <cell r="P114" t="str">
            <v>Visitas de evaluación con fines de mejoramiento</v>
          </cell>
          <cell r="Q114" t="str">
            <v>0613 Acta de visita administrativa Instituto Ccial. Eduardo Torres Quintero.pdf</v>
          </cell>
          <cell r="R114" t="str">
            <v xml:space="preserve">Se verifican actas de consejo estudiantil, consejo de padres, consejo directivo, consejo académico, comité de convivencia. </v>
          </cell>
          <cell r="S114" t="str">
            <v>Para actas guardar unidad documental, registrar nominación, asistentes e inasistentes, quórum y mayorías de haber votación, registrar Roles</v>
          </cell>
          <cell r="T114" t="str">
            <v>No</v>
          </cell>
          <cell r="U114" t="str">
            <v>Se hará verificación en caso de presentarse requerimiento</v>
          </cell>
        </row>
        <row r="115">
          <cell r="A115">
            <v>1757</v>
          </cell>
          <cell r="B115"/>
          <cell r="C115" t="str">
            <v>SAN CRISTÓBAL</v>
          </cell>
          <cell r="D115" t="str">
            <v>PRIVADO</v>
          </cell>
          <cell r="E115" t="str">
            <v>EPBM</v>
          </cell>
          <cell r="F115" t="str">
            <v>INSTITUTO_COMERCIAL_EDUARDO_TORRES_QUINTERO</v>
          </cell>
          <cell r="G115" t="str">
            <v>INSTITUTO COMERCIAL EDUARDO TORRES QUINTERO</v>
          </cell>
          <cell r="H115" t="str">
            <v>Autoevaluación Institucional y Pruebas SABER 11</v>
          </cell>
          <cell r="I115" t="str">
            <v>EVALUACIÓN_CON_FINES_DE_MEJORAMIENTO.</v>
          </cell>
          <cell r="J115" t="str">
            <v>Verificar las condiciones en cuanto a: la estructura administrativa, condiciones de la planta física y medios educativos adecuados.</v>
          </cell>
          <cell r="K115" t="str">
            <v>JUANITA LINA CAROLINA RAMÍREZ LÓPEZ</v>
          </cell>
          <cell r="L115" t="str">
            <v>JAIRO ANDRÉS ÁLVAREZ CHÁVEZ</v>
          </cell>
          <cell r="M115">
            <v>45777</v>
          </cell>
          <cell r="N115">
            <v>45821</v>
          </cell>
          <cell r="O115">
            <v>45821</v>
          </cell>
          <cell r="P115" t="str">
            <v>Visitas de evaluación con fines de mejoramiento</v>
          </cell>
          <cell r="Q115" t="str">
            <v>0613 Acta de visita administrativa Instituto Ccial. Eduardo Torres Quintero.pdf</v>
          </cell>
          <cell r="R115" t="str">
            <v>Se verifican condiciones de la infraestructura y acta de Secretaría de Salud 705541 del 2/5/2025</v>
          </cell>
          <cell r="S115" t="str">
            <v>Se observan avances en adecuaciones de algunos espacios, la IE debe continuar adaptaciones.</v>
          </cell>
          <cell r="T115" t="str">
            <v>No</v>
          </cell>
          <cell r="U115" t="str">
            <v>Se hará verificación en caso de presentarse requerimiento</v>
          </cell>
        </row>
        <row r="116">
          <cell r="A116">
            <v>1758</v>
          </cell>
          <cell r="B116">
            <v>13</v>
          </cell>
          <cell r="C116" t="str">
            <v>SAN CRISTÓBAL</v>
          </cell>
          <cell r="D116" t="str">
            <v>PRIVADO</v>
          </cell>
          <cell r="E116" t="str">
            <v>Educación de Jóvenes y Adultos</v>
          </cell>
          <cell r="F116" t="str">
            <v>INSTITUTO_DE_EDUCACION_FORMAL_DE_ADULTOS_EL_PENSAMIENTO_DE_PITAGORAS</v>
          </cell>
          <cell r="G116" t="str">
            <v>INSTITUTO DE EDUCACION FORMAL DE ADULTOS EL PENSAMIENTO DE PITAGORAS</v>
          </cell>
          <cell r="H116" t="str">
            <v>Autoevaluación Institucional y Pruebas SABER 11</v>
          </cell>
          <cell r="I116" t="str">
            <v>SEGUIMIENTO_Y_SUPERVISIÓN.</v>
          </cell>
          <cell r="J116" t="str">
            <v>Realizar visitas para verificar la información registrada sobre la autoevaluación institucional en el aplicativo EVI, a los establecimientos de educación formal no oficial.</v>
          </cell>
          <cell r="K116" t="str">
            <v>XIMENA CAROLINA RAMÍREZ MORALES</v>
          </cell>
          <cell r="L116" t="str">
            <v>JUANITA LINA CAROLINA RAMÍREZ LÓPEZ</v>
          </cell>
          <cell r="M116">
            <v>45731</v>
          </cell>
          <cell r="N116">
            <v>45731</v>
          </cell>
          <cell r="O116">
            <v>45731</v>
          </cell>
          <cell r="P116" t="str">
            <v>Visitas de evaluación con fines de mejoramiento</v>
          </cell>
          <cell r="Q116" t="str">
            <v>ACTA VISITA ADMINISTRATIVA INSTITUTO DE EDUCACION FORMAL DE ADULTOS EL PENSAMIENTO DE PITAGORAS.pdf</v>
          </cell>
          <cell r="R116" t="str">
            <v>En lo referente a tarifas la IE cuenta con la plataforma Q10 que está parametrizada para cobros de 18 meses.</v>
          </cell>
          <cell r="S116" t="str">
            <v>Se le indica a la IE que los cobros se deben realizar por cada CLEI</v>
          </cell>
          <cell r="T116" t="str">
            <v>Si</v>
          </cell>
          <cell r="U116" t="str">
            <v xml:space="preserve">Se acordó remitir un ejemplo de recibo de pago actualizado. Fecha: 04/04/2025
Se realizó encuentro el 26 de septiembre con el fin de hacer seguimiento a los acuerdos establecidos en la Visita Administrativa. Se acordó remitir actas de funcionamiento de Gobierno Escolar. Remitir copia de panillas de seguridad social. Realizar actualización del SIMAT y remitir listados de estudiantes por ciclo y jornada.  Fecha 15/10/2025. La IE remitió lo acordado. </v>
          </cell>
        </row>
        <row r="117">
          <cell r="A117">
            <v>1759</v>
          </cell>
          <cell r="B117"/>
          <cell r="C117" t="str">
            <v>SAN CRISTÓBAL</v>
          </cell>
          <cell r="D117" t="str">
            <v>PRIVADO</v>
          </cell>
          <cell r="E117" t="str">
            <v>Educación de Jóvenes y Adultos</v>
          </cell>
          <cell r="F117" t="str">
            <v>INSTITUTO_DE_EDUCACION_FORMAL_DE_ADULTOS_EL_PENSAMIENTO_DE_PITAGORAS</v>
          </cell>
          <cell r="G117" t="str">
            <v>INSTITUTO DE EDUCACION FORMAL DE ADULTOS EL PENSAMIENTO DE PITAGORAS</v>
          </cell>
          <cell r="H117" t="str">
            <v>Autoevaluación Institucional y Pruebas SABER 11</v>
          </cell>
          <cell r="I117" t="str">
            <v>SEGUIMIENTO_Y_SUPERVISIÓN.</v>
          </cell>
          <cell r="J117" t="str">
            <v>Proponer estrategias en la formulación, verificar su elaboración y realizar seguimiento semestral al desarrollo de  las acciones establecidas en los planes de mejoramiento por pruebas SABER 11 de los establecimientos de educación formal.</v>
          </cell>
          <cell r="K117" t="str">
            <v>XIMENA CAROLINA RAMÍREZ MORALES</v>
          </cell>
          <cell r="L117" t="str">
            <v>JUANITA LINA CAROLINA RAMÍREZ LÓPEZ</v>
          </cell>
          <cell r="M117">
            <v>45731</v>
          </cell>
          <cell r="N117">
            <v>45731</v>
          </cell>
          <cell r="O117">
            <v>45731</v>
          </cell>
          <cell r="P117" t="str">
            <v>Visitas de evaluación con fines de mejoramiento</v>
          </cell>
          <cell r="Q117" t="str">
            <v>ACTA VISITA ADMINISTRATIVA INSTITUTO DE EDUCACION FORMAL DE ADULTOS EL PENSAMIENTO DE PITAGORAS.pdf</v>
          </cell>
          <cell r="R117" t="str">
            <v>Los resultados históricos evidencian que la IE ha quedado clasificada en categoría D en los últimos años.</v>
          </cell>
          <cell r="S117" t="str">
            <v>La IE proyecta utilizar la plataforma RED SABER para fortalecer las competencias, realizar simulacros y prepararlos para las pruebas.</v>
          </cell>
          <cell r="T117" t="str">
            <v>No</v>
          </cell>
          <cell r="U117" t="str">
            <v>En la próxima visita de verificarán las acciones desarrolladas por la institución.</v>
          </cell>
        </row>
        <row r="118">
          <cell r="A118">
            <v>1760</v>
          </cell>
          <cell r="B118"/>
          <cell r="C118" t="str">
            <v>SAN CRISTÓBAL</v>
          </cell>
          <cell r="D118" t="str">
            <v>PRIVADO</v>
          </cell>
          <cell r="E118" t="str">
            <v>Educación de Jóvenes y Adultos</v>
          </cell>
          <cell r="F118" t="str">
            <v>INSTITUTO_DE_EDUCACION_FORMAL_DE_ADULTOS_EL_PENSAMIENTO_DE_PITAGORAS</v>
          </cell>
          <cell r="G118" t="str">
            <v>INSTITUTO DE EDUCACION FORMAL DE ADULTOS EL PENSAMIENTO DE PITAGORAS</v>
          </cell>
          <cell r="H118" t="str">
            <v>Autoevaluación Institucional y Pruebas SABER 11</v>
          </cell>
          <cell r="I118" t="str">
            <v>SEGUIMIENTO_Y_SUPERVISIÓN.</v>
          </cell>
          <cell r="J118" t="str">
            <v xml:space="preserve">Verificar la implementación por parte de los colegios, de acciones realizadas para la prevención y atención de las situaciones de convivencia en el entorno escolar, según lo establecido en la Directiva 01 de 2022 del MEN. </v>
          </cell>
          <cell r="K118" t="str">
            <v>XIMENA CAROLINA RAMÍREZ MORALES</v>
          </cell>
          <cell r="L118" t="str">
            <v>JUANITA LINA CAROLINA RAMÍREZ LÓPEZ</v>
          </cell>
          <cell r="M118">
            <v>45731</v>
          </cell>
          <cell r="N118">
            <v>45731</v>
          </cell>
          <cell r="O118">
            <v>45731</v>
          </cell>
          <cell r="P118" t="str">
            <v>Visitas de evaluación con fines de mejoramiento</v>
          </cell>
          <cell r="Q118" t="str">
            <v>ACTA VISITA ADMINISTRATIVA INSTITUTO DE EDUCACION FORMAL DE ADULTOS EL PENSAMIENTO DE PITAGORAS.pdf</v>
          </cell>
          <cell r="R118" t="str">
            <v>Los directivos de la institución indican que se están gestionando charlas de promoción y prevención con la Sub Red Centro Oriente, Secretaria de Seguridad y con  la Oficina para la Convivencia Escolar – OCE. Los docentes y personal contratado cuenta en la fecha de la visita con la verificación de antecedentes por Violencia sexual (directiva 01)</v>
          </cell>
          <cell r="S118" t="str">
            <v>Se acuerda remitir el cronograma de las actividades proyectadas y consolidar las evidencias correspondientes de su desarrollo. Se  le indica a la IE que la consulta de antecedentes por violencia sexual, se debe realizar cada 4 meses e ir conservando los soportes.</v>
          </cell>
          <cell r="T118" t="str">
            <v>No</v>
          </cell>
          <cell r="U118" t="str">
            <v>En la próxima visita de verificarán las actividades desarrolladas por la institución.</v>
          </cell>
        </row>
        <row r="119">
          <cell r="A119">
            <v>1761</v>
          </cell>
          <cell r="B119"/>
          <cell r="C119" t="str">
            <v>SAN CRISTÓBAL</v>
          </cell>
          <cell r="D119" t="str">
            <v>PRIVADO</v>
          </cell>
          <cell r="E119" t="str">
            <v>Educación de Jóvenes y Adultos</v>
          </cell>
          <cell r="F119" t="str">
            <v>INSTITUTO_DE_EDUCACION_FORMAL_DE_ADULTOS_EL_PENSAMIENTO_DE_PITAGORAS</v>
          </cell>
          <cell r="G119" t="str">
            <v>INSTITUTO DE EDUCACION FORMAL DE ADULTOS EL PENSAMIENTO DE PITAGORAS</v>
          </cell>
          <cell r="H119" t="str">
            <v>Autoevaluación Institucional y Pruebas SABER 11</v>
          </cell>
          <cell r="I119" t="str">
            <v>SEGUIMIENTO_Y_SUPERVISIÓN.</v>
          </cell>
          <cell r="J1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9" t="str">
            <v>XIMENA CAROLINA RAMÍREZ MORALES</v>
          </cell>
          <cell r="L119" t="str">
            <v>JUANITA LINA CAROLINA RAMÍREZ LÓPEZ</v>
          </cell>
          <cell r="M119">
            <v>45731</v>
          </cell>
          <cell r="N119">
            <v>45731</v>
          </cell>
          <cell r="O119">
            <v>45731</v>
          </cell>
          <cell r="P119" t="str">
            <v>Visitas de evaluación con fines de mejoramiento</v>
          </cell>
          <cell r="Q119" t="str">
            <v>ACTA VISITA ADMINISTRATIVA INSTITUTO DE EDUCACION FORMAL DE ADULTOS EL PENSAMIENTO DE PITAGORAS.pdf</v>
          </cell>
          <cell r="R119" t="str">
            <v>La IE indica no tener el presente semestre población con diagnóstico de discapacidad. Manifiestan necesidad de cualificación respecto a la aplicación del Decreto 1421</v>
          </cell>
          <cell r="S119" t="str">
            <v>Se orientan acciones respecto a un caso particular. 
Desde la DLE se programará una capacitación Decreto 1421</v>
          </cell>
          <cell r="T119" t="str">
            <v>No</v>
          </cell>
          <cell r="U119" t="str">
            <v>Desde la DLE se programará una capacitación Decreto 1421.</v>
          </cell>
        </row>
        <row r="120">
          <cell r="A120">
            <v>1762</v>
          </cell>
          <cell r="B120"/>
          <cell r="C120" t="str">
            <v>SAN CRISTÓBAL</v>
          </cell>
          <cell r="D120" t="str">
            <v>PRIVADO</v>
          </cell>
          <cell r="E120" t="str">
            <v>Educación de Jóvenes y Adultos</v>
          </cell>
          <cell r="F120" t="str">
            <v>INSTITUTO_DE_EDUCACION_FORMAL_DE_ADULTOS_EL_PENSAMIENTO_DE_PITAGORAS</v>
          </cell>
          <cell r="G120" t="str">
            <v>INSTITUTO DE EDUCACION FORMAL DE ADULTOS EL PENSAMIENTO DE PITAGORAS</v>
          </cell>
          <cell r="H120" t="str">
            <v>Autoevaluación Institucional y Pruebas SABER 11</v>
          </cell>
          <cell r="I120" t="str">
            <v>EVALUACIÓN_CON_FINES_DE_MEJORAMIENTO.</v>
          </cell>
          <cell r="J12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0" t="str">
            <v>XIMENA CAROLINA RAMÍREZ MORALES</v>
          </cell>
          <cell r="L120" t="str">
            <v>JUANITA LINA CAROLINA RAMÍREZ LÓPEZ</v>
          </cell>
          <cell r="M120">
            <v>45731</v>
          </cell>
          <cell r="N120">
            <v>45731</v>
          </cell>
          <cell r="O120">
            <v>45731</v>
          </cell>
          <cell r="P120" t="str">
            <v>Visitas de evaluación con fines de mejoramiento</v>
          </cell>
          <cell r="Q120" t="str">
            <v>ACTA VISITA ADMINISTRATIVA INSTITUTO DE EDUCACION FORMAL DE ADULTOS EL PENSAMIENTO DE PITAGORAS.pdf</v>
          </cell>
          <cell r="R120" t="str">
            <v>La IE refiere que se encuentran en proceso de actualización de los documentos</v>
          </cell>
          <cell r="S120" t="str">
            <v>Cargar los documentos en el formulario dispuesto por la DIV para tal fin.</v>
          </cell>
          <cell r="T120" t="str">
            <v>No</v>
          </cell>
          <cell r="U120" t="str">
            <v>Una vez recibida la información por parte de la DIV se procederá a verificar la pertinencia de los documentos.</v>
          </cell>
        </row>
        <row r="121">
          <cell r="A121">
            <v>1763</v>
          </cell>
          <cell r="B121"/>
          <cell r="C121" t="str">
            <v>SAN CRISTÓBAL</v>
          </cell>
          <cell r="D121" t="str">
            <v>PRIVADO</v>
          </cell>
          <cell r="E121" t="str">
            <v>Educación de Jóvenes y Adultos</v>
          </cell>
          <cell r="F121" t="str">
            <v>INSTITUTO_DE_EDUCACION_FORMAL_DE_ADULTOS_EL_PENSAMIENTO_DE_PITAGORAS</v>
          </cell>
          <cell r="G121" t="str">
            <v>INSTITUTO DE EDUCACION FORMAL DE ADULTOS EL PENSAMIENTO DE PITAGORAS</v>
          </cell>
          <cell r="H121" t="str">
            <v>Autoevaluación Institucional y Pruebas SABER 11</v>
          </cell>
          <cell r="I121" t="str">
            <v>EVALUACIÓN_CON_FINES_DE_MEJORAMIENTO.</v>
          </cell>
          <cell r="J121" t="str">
            <v>Revisar la actualización, socialización e implementación del Sistema Institucional de Evaluación de Estudiantes - SIEE, en articulación con la actualización del PEI y la normatividad vigente.</v>
          </cell>
          <cell r="K121" t="str">
            <v>XIMENA CAROLINA RAMÍREZ MORALES</v>
          </cell>
          <cell r="L121" t="str">
            <v>JUANITA LINA CAROLINA RAMÍREZ LÓPEZ</v>
          </cell>
          <cell r="M121">
            <v>45731</v>
          </cell>
          <cell r="N121">
            <v>45731</v>
          </cell>
          <cell r="O121">
            <v>45731</v>
          </cell>
          <cell r="P121" t="str">
            <v>Visitas de evaluación con fines de mejoramiento</v>
          </cell>
          <cell r="Q121" t="str">
            <v>ACTA VISITA ADMINISTRATIVA INSTITUTO DE EDUCACION FORMAL DE ADULTOS EL PENSAMIENTO DE PITAGORAS.pdf</v>
          </cell>
          <cell r="R121" t="str">
            <v>La IE refiere que se encuentran en proceso de actualización de los documentos</v>
          </cell>
          <cell r="S121" t="str">
            <v>Cargar los documentos en el formulario dispuesto por la DIV para tal fin.</v>
          </cell>
          <cell r="T121" t="str">
            <v>No</v>
          </cell>
          <cell r="U121" t="str">
            <v>Una vez recibida la información por parte de la DIV se procederá a verificar la pertinencia de los documentos.</v>
          </cell>
        </row>
        <row r="122">
          <cell r="A122">
            <v>1764</v>
          </cell>
          <cell r="B122"/>
          <cell r="C122" t="str">
            <v>SAN CRISTÓBAL</v>
          </cell>
          <cell r="D122" t="str">
            <v>PRIVADO</v>
          </cell>
          <cell r="E122" t="str">
            <v>Educación de Jóvenes y Adultos</v>
          </cell>
          <cell r="F122" t="str">
            <v>INSTITUTO_DE_EDUCACION_FORMAL_DE_ADULTOS_EL_PENSAMIENTO_DE_PITAGORAS</v>
          </cell>
          <cell r="G122" t="str">
            <v>INSTITUTO DE EDUCACION FORMAL DE ADULTOS EL PENSAMIENTO DE PITAGORAS</v>
          </cell>
          <cell r="H122" t="str">
            <v>Autoevaluación Institucional y Pruebas SABER 11</v>
          </cell>
          <cell r="I122" t="str">
            <v>EVALUACIÓN_CON_FINES_DE_MEJORAMIENTO.</v>
          </cell>
          <cell r="J122" t="str">
            <v>Revisar el calendario escolar, jornada escolar, la intensidad horaria mínima anual en cada nivel y las modificaciones que se realicen al mismo, de acuerdo con lo previsto en la normatividad vigente.</v>
          </cell>
          <cell r="K122" t="str">
            <v>XIMENA CAROLINA RAMÍREZ MORALES</v>
          </cell>
          <cell r="L122" t="str">
            <v>JUANITA LINA CAROLINA RAMÍREZ LÓPEZ</v>
          </cell>
          <cell r="M122">
            <v>45731</v>
          </cell>
          <cell r="N122">
            <v>45731</v>
          </cell>
          <cell r="O122">
            <v>45731</v>
          </cell>
          <cell r="P122" t="str">
            <v>Visitas de evaluación con fines de mejoramiento</v>
          </cell>
          <cell r="Q122" t="str">
            <v>VERIFICACION DE CALENDARIO ACADEMICO.pdf</v>
          </cell>
          <cell r="R122" t="str">
            <v>Se evidencia que hace falta registrar el horario de ingreso y salida, así como los períodos académicos.</v>
          </cell>
          <cell r="S122" t="str">
            <v>Se solicita realizar el ajuste para poder hacer el conteo de las horas reglamentarias por ciclo.</v>
          </cell>
          <cell r="T122" t="str">
            <v>Si</v>
          </cell>
          <cell r="U122" t="str">
            <v>Una vez la IE realice el ajuste, se revisará el cumplimiento de las horas reglamentarias.
Se realizó encuentro.el 26 de septiembre con el fin de hacer seguimiento a los acuerdos establecidos en la Visita Administrativa. Se acordó  remitir actas de funcionamiento de Gobierno Escolar. Remitir copia de panillas de seguridad social. Realizar actualización del SIMAT y remitir listados de estudiantes por ciclo y jornada.  Fecha 15/10/2025. La IE remitió lo acordado.</v>
          </cell>
        </row>
        <row r="123">
          <cell r="A123">
            <v>1765</v>
          </cell>
          <cell r="B123"/>
          <cell r="C123" t="str">
            <v>SAN CRISTÓBAL</v>
          </cell>
          <cell r="D123" t="str">
            <v>PRIVADO</v>
          </cell>
          <cell r="E123" t="str">
            <v>Educación de Jóvenes y Adultos</v>
          </cell>
          <cell r="F123" t="str">
            <v>INSTITUTO_DE_EDUCACION_FORMAL_DE_ADULTOS_EL_PENSAMIENTO_DE_PITAGORAS</v>
          </cell>
          <cell r="G123" t="str">
            <v>INSTITUTO DE EDUCACION FORMAL DE ADULTOS EL PENSAMIENTO DE PITAGORAS</v>
          </cell>
          <cell r="H123" t="str">
            <v>Autoevaluación Institucional y Pruebas SABER 11</v>
          </cell>
          <cell r="I123" t="str">
            <v>EVALUACIÓN_CON_FINES_DE_MEJORAMIENTO.</v>
          </cell>
          <cell r="J123" t="str">
            <v>Verificar el funcionamiento del Gobierno Escolar e instancias de participación con base en la información sobre conformación reportada por la institución educativa.</v>
          </cell>
          <cell r="K123" t="str">
            <v>XIMENA CAROLINA RAMÍREZ MORALES</v>
          </cell>
          <cell r="L123" t="str">
            <v>JUANITA LINA CAROLINA RAMÍREZ LÓPEZ</v>
          </cell>
          <cell r="M123">
            <v>45731</v>
          </cell>
          <cell r="N123">
            <v>45731</v>
          </cell>
          <cell r="O123">
            <v>45731</v>
          </cell>
          <cell r="P123" t="str">
            <v>Visitas de evaluación con fines de mejoramiento</v>
          </cell>
          <cell r="Q123" t="str">
            <v>ACTA VISITA ADMINISTRATIVA INSTITUTO DE EDUCACION FORMAL DE ADULTOS EL PENSAMIENTO DE PITAGORAS.pdf</v>
          </cell>
          <cell r="R123" t="str">
            <v>Se constatan actas de las eleccion de representes estudiantiles Personero, Contralor y Cabildante.  Se encuentra registro de Gobierno escolar (Consejo Directivo, Consejo Académico y Comité de Convivencia Escolar).</v>
          </cell>
          <cell r="S123" t="str">
            <v>Se hará posterior verificación en el SAE</v>
          </cell>
          <cell r="T123" t="str">
            <v>No</v>
          </cell>
          <cell r="U123" t="str">
            <v xml:space="preserve">Remitir a la DLE máximo el 11 de abril de 2025mediante correo electrónico a supervision4@educacionbogota.edu.co copia de las actas de elección y conformación de los órganos de gobierno escolar en los formatos internos de la institución para verificar la participación democrática del proceso, además las actas de las sesiones realizadas a la fecha, adicionalmente surtir el proceso oficial ante el Sistema de Apoyo Escolar como requisito ante la SED.
</v>
          </cell>
        </row>
        <row r="124">
          <cell r="A124">
            <v>1766</v>
          </cell>
          <cell r="B124"/>
          <cell r="C124" t="str">
            <v>SAN CRISTÓBAL</v>
          </cell>
          <cell r="D124" t="str">
            <v>PRIVADO</v>
          </cell>
          <cell r="E124" t="str">
            <v>Educación de Jóvenes y Adultos</v>
          </cell>
          <cell r="F124" t="str">
            <v>INSTITUTO_DE_EDUCACION_FORMAL_DE_ADULTOS_EL_PENSAMIENTO_DE_PITAGORAS</v>
          </cell>
          <cell r="G124" t="str">
            <v>INSTITUTO DE EDUCACION FORMAL DE ADULTOS EL PENSAMIENTO DE PITAGORAS</v>
          </cell>
          <cell r="H124" t="str">
            <v>Autoevaluación Institucional y Pruebas SABER 11</v>
          </cell>
          <cell r="I124" t="str">
            <v>EVALUACIÓN_CON_FINES_DE_MEJORAMIENTO.</v>
          </cell>
          <cell r="J124" t="str">
            <v>Verificar las condiciones en cuanto a: la estructura administrativa, condiciones de la planta física y medios educativos adecuados.</v>
          </cell>
          <cell r="K124" t="str">
            <v>XIMENA CAROLINA RAMÍREZ MORALES</v>
          </cell>
          <cell r="L124" t="str">
            <v>JUANITA LINA CAROLINA RAMÍREZ LÓPEZ</v>
          </cell>
          <cell r="M124">
            <v>45731</v>
          </cell>
          <cell r="N124">
            <v>45731</v>
          </cell>
          <cell r="O124">
            <v>45731</v>
          </cell>
          <cell r="P124" t="str">
            <v>Visitas de evaluación con fines de mejoramiento</v>
          </cell>
          <cell r="Q124" t="str">
            <v>ACTA VISITA ADMINISTRATIVA INSTITUTO DE EDUCACION FORMAL DE ADULTOS EL PENSAMIENTO DE PITAGORAS.pdf</v>
          </cell>
          <cell r="R124" t="str">
            <v xml:space="preserve">Se verifica acta de visita de la Secretaría de Salud N° SB06E – 705166 del 14/02/2025, la cual tiene concepto favorable con requerimiento, registra subsanación de observaciones anteriores y le dejan nuevas observaciones por mantenimiento de pared de cuarto de aseo, reemplazar cerámica de piso de escalón (puerta de salón 4), limpieza de puerta de acceso y residuos acumulados. </v>
          </cell>
          <cell r="S124" t="str">
            <v>En el recorrido se verifica el cumplimiento de los requerimientos.</v>
          </cell>
          <cell r="T124" t="str">
            <v>No</v>
          </cell>
          <cell r="U124" t="str">
            <v>Se le indica a la IE mantener el cumplimiento de las recomendaciones dadas por la Secretaria de Salud</v>
          </cell>
        </row>
        <row r="125">
          <cell r="A125">
            <v>1767</v>
          </cell>
          <cell r="B125">
            <v>14</v>
          </cell>
          <cell r="C125" t="str">
            <v>SAN CRISTÓBAL</v>
          </cell>
          <cell r="D125" t="str">
            <v>PRIVADO</v>
          </cell>
          <cell r="E125" t="str">
            <v>EPBM</v>
          </cell>
          <cell r="F125" t="str">
            <v>LICEO_EL_ENCANTO</v>
          </cell>
          <cell r="G125" t="str">
            <v>LICEO EL ENCANTO</v>
          </cell>
          <cell r="H125" t="str">
            <v>Autoevaluación Institucional y Pruebas SABER 11</v>
          </cell>
          <cell r="I125" t="str">
            <v>SEGUIMIENTO_Y_SUPERVISIÓN.</v>
          </cell>
          <cell r="J125" t="str">
            <v>Realizar visitas para verificar la información registrada sobre la autoevaluación institucional en el aplicativo EVI, a los establecimientos de educación formal no oficial.</v>
          </cell>
          <cell r="K125" t="str">
            <v>JAIRO ANDRÉS ÁLVAREZ CHÁVEZ</v>
          </cell>
          <cell r="L125" t="str">
            <v>JOSÉ ASDRUBAL PÉREZ GIRALDO</v>
          </cell>
          <cell r="M125">
            <v>45786</v>
          </cell>
          <cell r="N125">
            <v>45786</v>
          </cell>
          <cell r="O125">
            <v>45786</v>
          </cell>
          <cell r="P125" t="str">
            <v>Visitas de evaluación con fines de mejoramiento</v>
          </cell>
          <cell r="Q125" t="str">
            <v>0509 Acta visita Liceo el Encanto.pdf</v>
          </cell>
          <cell r="R125" t="str">
            <v>Se verificó la clasificación V11,</v>
          </cell>
          <cell r="S125" t="str">
            <v>ELIV instó a IE a publicación de la Resolución.</v>
          </cell>
          <cell r="T125" t="str">
            <v>No</v>
          </cell>
          <cell r="U125" t="str">
            <v>Se hará verificación en caso de presentarse requerimiento y/o en respuesta de la IED.  Al momento manifestó voluntad de cierre</v>
          </cell>
        </row>
        <row r="126">
          <cell r="A126">
            <v>1768</v>
          </cell>
          <cell r="B126"/>
          <cell r="C126" t="str">
            <v>SAN CRISTÓBAL</v>
          </cell>
          <cell r="D126" t="str">
            <v>PRIVADO</v>
          </cell>
          <cell r="E126" t="str">
            <v>EPBM</v>
          </cell>
          <cell r="F126" t="str">
            <v>LICEO_EL_ENCANTO</v>
          </cell>
          <cell r="G126" t="str">
            <v>LICEO EL ENCANTO</v>
          </cell>
          <cell r="H126" t="str">
            <v>Autoevaluación Institucional y Pruebas SABER 11</v>
          </cell>
          <cell r="I126" t="str">
            <v>SEGUIMIENTO_Y_SUPERVISIÓN.</v>
          </cell>
          <cell r="J126" t="str">
            <v>Proponer estrategias en la formulación, verificar su elaboración y realizar seguimiento semestral al desarrollo de  las acciones establecidas en los planes de mejoramiento por pruebas SABER 11 de los establecimientos de educación formal.</v>
          </cell>
          <cell r="K126" t="str">
            <v>JAIRO ANDRÉS ÁLVAREZ CHÁVEZ</v>
          </cell>
          <cell r="L126" t="str">
            <v>JOSÉ ASDRUBAL PÉREZ GIRALDO</v>
          </cell>
          <cell r="M126">
            <v>45786</v>
          </cell>
          <cell r="N126">
            <v>45786</v>
          </cell>
          <cell r="O126">
            <v>45786</v>
          </cell>
          <cell r="P126" t="str">
            <v>Visitas de evaluación con fines de mejoramiento</v>
          </cell>
          <cell r="Q126" t="str">
            <v>0509 Acta visita Liceo el Encanto.pdf</v>
          </cell>
          <cell r="R126" t="str">
            <v>Tienen material educativo para refuerzo y manifiestan la actividad. Adicional al horario académico hacen refuerzo para ortalecer grado 11, sin costo adicional</v>
          </cell>
          <cell r="S126" t="str">
            <v xml:space="preserve">Documentar actuaciones que manifiestan implementar </v>
          </cell>
          <cell r="T126" t="str">
            <v>No</v>
          </cell>
          <cell r="U126" t="str">
            <v>ELIV atento a avance en este sentido</v>
          </cell>
        </row>
        <row r="127">
          <cell r="A127">
            <v>1769</v>
          </cell>
          <cell r="B127"/>
          <cell r="C127" t="str">
            <v>SAN CRISTÓBAL</v>
          </cell>
          <cell r="D127" t="str">
            <v>PRIVADO</v>
          </cell>
          <cell r="E127" t="str">
            <v>EPBM</v>
          </cell>
          <cell r="F127" t="str">
            <v>LICEO_EL_ENCANTO</v>
          </cell>
          <cell r="G127" t="str">
            <v>LICEO EL ENCANTO</v>
          </cell>
          <cell r="H127" t="str">
            <v>Autoevaluación Institucional y Pruebas SABER 11</v>
          </cell>
          <cell r="I127" t="str">
            <v>SEGUIMIENTO_Y_SUPERVISIÓN.</v>
          </cell>
          <cell r="J127" t="str">
            <v xml:space="preserve">Verificar la implementación por parte de los colegios, de acciones realizadas para la prevención y atención de las situaciones de convivencia en el entorno escolar, según lo establecido en la Directiva 01 de 2022 del MEN. </v>
          </cell>
          <cell r="K127" t="str">
            <v>JAIRO ANDRÉS ÁLVAREZ CHÁVEZ</v>
          </cell>
          <cell r="L127" t="str">
            <v>JOSÉ ASDRUBAL PÉREZ GIRALDO</v>
          </cell>
          <cell r="M127">
            <v>45786</v>
          </cell>
          <cell r="N127">
            <v>45786</v>
          </cell>
          <cell r="O127">
            <v>45786</v>
          </cell>
          <cell r="P127" t="str">
            <v>Visitas de evaluación con fines de mejoramiento</v>
          </cell>
          <cell r="Q127" t="str">
            <v>0509 Acta visita Liceo el Encanto.pdf</v>
          </cell>
          <cell r="R127" t="str">
            <v>ELIV constata que el  3/05/2025 verificaron de antecedentes del personal (previa autorización de consulta)</v>
          </cell>
          <cell r="S127" t="str">
            <v>El  Colegio debe realizar la consulta cada 4 meses y durante la vinculación del personal</v>
          </cell>
          <cell r="T127" t="str">
            <v>No</v>
          </cell>
          <cell r="U127" t="str">
            <v>ELIV atento a avance y/o PMI en este sentido</v>
          </cell>
        </row>
        <row r="128">
          <cell r="A128">
            <v>1770</v>
          </cell>
          <cell r="B128"/>
          <cell r="C128" t="str">
            <v>SAN CRISTÓBAL</v>
          </cell>
          <cell r="D128" t="str">
            <v>PRIVADO</v>
          </cell>
          <cell r="E128" t="str">
            <v>EPBM</v>
          </cell>
          <cell r="F128" t="str">
            <v>LICEO_EL_ENCANTO</v>
          </cell>
          <cell r="G128" t="str">
            <v>LICEO EL ENCANTO</v>
          </cell>
          <cell r="H128" t="str">
            <v>Autoevaluación Institucional y Pruebas SABER 11</v>
          </cell>
          <cell r="I128" t="str">
            <v>SEGUIMIENTO_Y_SUPERVISIÓN.</v>
          </cell>
          <cell r="J1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8" t="str">
            <v>JAIRO ANDRÉS ÁLVAREZ CHÁVEZ</v>
          </cell>
          <cell r="L128" t="str">
            <v>JOSÉ ASDRUBAL PÉREZ GIRALDO</v>
          </cell>
          <cell r="M128">
            <v>45786</v>
          </cell>
          <cell r="N128">
            <v>45786</v>
          </cell>
          <cell r="O128">
            <v>45786</v>
          </cell>
          <cell r="P128" t="str">
            <v>Visitas de evaluación con fines de mejoramiento</v>
          </cell>
          <cell r="Q128" t="str">
            <v>0509 Acta visita Liceo el Encanto.pdf</v>
          </cell>
          <cell r="R128" t="str">
            <v>El Colegio, no tiene población estudiantil con discapacidad</v>
          </cell>
          <cell r="S128" t="str">
            <v>En todo caso la IE deberá estar atenta a implementar PIAR de presentarse la necesidad</v>
          </cell>
          <cell r="T128" t="str">
            <v>No</v>
          </cell>
          <cell r="U128" t="str">
            <v>Se hará verificación en caso de presentarse requerimiento</v>
          </cell>
        </row>
        <row r="129">
          <cell r="A129">
            <v>1772</v>
          </cell>
          <cell r="B129"/>
          <cell r="C129" t="str">
            <v>SAN CRISTÓBAL</v>
          </cell>
          <cell r="D129" t="str">
            <v>PRIVADO</v>
          </cell>
          <cell r="E129" t="str">
            <v>EPBM</v>
          </cell>
          <cell r="F129" t="str">
            <v>LICEO_EL_ENCANTO</v>
          </cell>
          <cell r="G129" t="str">
            <v>LICEO EL ENCANTO</v>
          </cell>
          <cell r="H129" t="str">
            <v>Autoevaluación Institucional y Pruebas SABER 11</v>
          </cell>
          <cell r="I129" t="str">
            <v>EVALUACIÓN_CON_FINES_DE_MEJORAMIENTO.</v>
          </cell>
          <cell r="J1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9" t="str">
            <v>JAIRO ANDRÉS ÁLVAREZ CHÁVEZ</v>
          </cell>
          <cell r="L129" t="str">
            <v>JOSÉ ASDRUBAL PÉREZ GIRALDO</v>
          </cell>
          <cell r="M129">
            <v>45786</v>
          </cell>
          <cell r="N129">
            <v>45786</v>
          </cell>
          <cell r="O129">
            <v>45786</v>
          </cell>
          <cell r="P129" t="str">
            <v>Visitas de evaluación con fines de mejoramiento</v>
          </cell>
          <cell r="Q129" t="str">
            <v>0509 Acta visita Liceo el Encanto.pdf</v>
          </cell>
          <cell r="R129" t="str">
            <v>Cuenta con Manual de Convivencia</v>
          </cell>
          <cell r="S129" t="str">
            <v>Se recomendó implementar acciones para la actualización y asentamiento conforme a Ley</v>
          </cell>
          <cell r="T129" t="str">
            <v>Si</v>
          </cell>
          <cell r="U129" t="str">
            <v>ELIV atento al plan de PMI en este sentiedo</v>
          </cell>
        </row>
        <row r="130">
          <cell r="A130">
            <v>1773</v>
          </cell>
          <cell r="B130"/>
          <cell r="C130" t="str">
            <v>SAN CRISTÓBAL</v>
          </cell>
          <cell r="D130" t="str">
            <v>PRIVADO</v>
          </cell>
          <cell r="E130" t="str">
            <v>EPBM</v>
          </cell>
          <cell r="F130" t="str">
            <v>LICEO_EL_ENCANTO</v>
          </cell>
          <cell r="G130" t="str">
            <v>LICEO EL ENCANTO</v>
          </cell>
          <cell r="H130" t="str">
            <v>Autoevaluación Institucional y Pruebas SABER 11</v>
          </cell>
          <cell r="I130" t="str">
            <v>EVALUACIÓN_CON_FINES_DE_MEJORAMIENTO.</v>
          </cell>
          <cell r="J130" t="str">
            <v>Revisar la actualización, socialización e implementación del Sistema Institucional de Evaluación de Estudiantes - SIEE, en articulación con la actualización del PEI y la normatividad vigente.</v>
          </cell>
          <cell r="K130" t="str">
            <v>JAIRO ANDRÉS ÁLVAREZ CHÁVEZ</v>
          </cell>
          <cell r="L130" t="str">
            <v>JOSÉ ASDRUBAL PÉREZ GIRALDO</v>
          </cell>
          <cell r="M130">
            <v>45786</v>
          </cell>
          <cell r="N130">
            <v>45786</v>
          </cell>
          <cell r="O130">
            <v>45786</v>
          </cell>
          <cell r="P130" t="str">
            <v>Visitas de evaluación con fines de mejoramiento</v>
          </cell>
          <cell r="Q130" t="str">
            <v>0509 Acta visita Liceo el Encanto.pdf</v>
          </cell>
          <cell r="R130" t="str">
            <v>Cuenta con SIEE</v>
          </cell>
          <cell r="S130" t="str">
            <v>El mismo está Publicado; y es coherente con demás elementos de la IE</v>
          </cell>
          <cell r="T130" t="str">
            <v>No</v>
          </cell>
          <cell r="U130" t="str">
            <v>ELIV atento al plan de PMI en Manual de Conviviencia que puede afectar este ítem</v>
          </cell>
        </row>
        <row r="131">
          <cell r="A131">
            <v>1771</v>
          </cell>
          <cell r="B131"/>
          <cell r="C131" t="str">
            <v>SAN CRISTÓBAL</v>
          </cell>
          <cell r="D131" t="str">
            <v>PRIVADO</v>
          </cell>
          <cell r="E131" t="str">
            <v>EPBM</v>
          </cell>
          <cell r="F131" t="str">
            <v>LICEO_EL_ENCANTO</v>
          </cell>
          <cell r="G131" t="str">
            <v>LICEO EL ENCANTO</v>
          </cell>
          <cell r="H131" t="str">
            <v>Autoevaluación Institucional y Pruebas SABER 11</v>
          </cell>
          <cell r="I131" t="str">
            <v>EVALUACIÓN_CON_FINES_DE_MEJORAMIENTO.</v>
          </cell>
          <cell r="J131" t="str">
            <v>Revisar el calendario escolar, jornada escolar, la intensidad horaria mínima anual en cada nivel y las modificaciones que se realicen al mismo, de acuerdo con lo previsto en la normatividad vigente.</v>
          </cell>
          <cell r="K131" t="str">
            <v>JAIRO ANDRÉS ÁLVAREZ CHÁVEZ</v>
          </cell>
          <cell r="L131" t="str">
            <v>JOSÉ ASDRUBAL PÉREZ GIRALDO</v>
          </cell>
          <cell r="M131">
            <v>45786</v>
          </cell>
          <cell r="N131">
            <v>45786</v>
          </cell>
          <cell r="O131">
            <v>45786</v>
          </cell>
          <cell r="P131" t="str">
            <v>Visitas de evaluación con fines de mejoramiento</v>
          </cell>
          <cell r="Q131" t="str">
            <v>0509 Acta visita Liceo el Encanto.pdf</v>
          </cell>
          <cell r="R131" t="str">
            <v>Presenta las 40 semanas y horario de 7am a 2:15pm con 2 descansos de 45 minutos.</v>
          </cell>
          <cell r="S131" t="str">
            <v>ampliar las horas diarias de cátedra (cada hora de 60 minutos) y ajustar al mínimo</v>
          </cell>
          <cell r="T131" t="str">
            <v>Si</v>
          </cell>
          <cell r="U131" t="str">
            <v xml:space="preserve">ELIV atento al respuesta de la IE y/o  PMI </v>
          </cell>
        </row>
        <row r="132">
          <cell r="A132">
            <v>1774</v>
          </cell>
          <cell r="B132"/>
          <cell r="C132" t="str">
            <v>SAN CRISTÓBAL</v>
          </cell>
          <cell r="D132" t="str">
            <v>PRIVADO</v>
          </cell>
          <cell r="E132" t="str">
            <v>EPBM</v>
          </cell>
          <cell r="F132" t="str">
            <v>LICEO_EL_ENCANTO</v>
          </cell>
          <cell r="G132" t="str">
            <v>LICEO EL ENCANTO</v>
          </cell>
          <cell r="H132" t="str">
            <v>Autoevaluación Institucional y Pruebas SABER 11</v>
          </cell>
          <cell r="I132" t="str">
            <v>EVALUACIÓN_CON_FINES_DE_MEJORAMIENTO.</v>
          </cell>
          <cell r="J132" t="str">
            <v>Verificar el funcionamiento del Gobierno Escolar e instancias de participación con base en la información sobre conformación reportada por la institución educativa.</v>
          </cell>
          <cell r="K132" t="str">
            <v>JAIRO ANDRÉS ÁLVAREZ CHÁVEZ</v>
          </cell>
          <cell r="L132" t="str">
            <v>JOSÉ ASDRUBAL PÉREZ GIRALDO</v>
          </cell>
          <cell r="M132">
            <v>45786</v>
          </cell>
          <cell r="N132">
            <v>45786</v>
          </cell>
          <cell r="O132">
            <v>45786</v>
          </cell>
          <cell r="P132" t="str">
            <v>Visitas de evaluación con fines de mejoramiento</v>
          </cell>
          <cell r="Q132" t="str">
            <v>0509 Acta visita Liceo el Encanto.pdf</v>
          </cell>
          <cell r="R132" t="str">
            <v>se constata Actas de Consejo Directivo; y Reuniones de Maestros.</v>
          </cell>
          <cell r="S132" t="str">
            <v xml:space="preserve">El Colegio debe registrar y documentar las actuaciones democráticas de base en aulas; a pesar que documentan los órganos Gobierno Escolar, conforme a lineamientos SED.  </v>
          </cell>
          <cell r="T132" t="str">
            <v>No</v>
          </cell>
          <cell r="U132" t="str">
            <v>Documentación de proceos democráticos desde las aulas</v>
          </cell>
        </row>
        <row r="133">
          <cell r="A133">
            <v>1775</v>
          </cell>
          <cell r="B133"/>
          <cell r="C133" t="str">
            <v>SAN CRISTÓBAL</v>
          </cell>
          <cell r="D133" t="str">
            <v>PRIVADO</v>
          </cell>
          <cell r="E133" t="str">
            <v>EPBM</v>
          </cell>
          <cell r="F133" t="str">
            <v>LICEO_EL_ENCANTO</v>
          </cell>
          <cell r="G133" t="str">
            <v>LICEO EL ENCANTO</v>
          </cell>
          <cell r="H133" t="str">
            <v>Autoevaluación Institucional y Pruebas SABER 11</v>
          </cell>
          <cell r="I133" t="str">
            <v>EVALUACIÓN_CON_FINES_DE_MEJORAMIENTO.</v>
          </cell>
          <cell r="J133" t="str">
            <v>Verificar las condiciones en cuanto a: la estructura administrativa, condiciones de la planta física y medios educativos adecuados.</v>
          </cell>
          <cell r="K133" t="str">
            <v>JAIRO ANDRÉS ÁLVAREZ CHÁVEZ</v>
          </cell>
          <cell r="L133" t="str">
            <v>JOSÉ ASDRUBAL PÉREZ GIRALDO</v>
          </cell>
          <cell r="M133">
            <v>45786</v>
          </cell>
          <cell r="N133">
            <v>45786</v>
          </cell>
          <cell r="O133">
            <v>45786</v>
          </cell>
          <cell r="P133" t="str">
            <v>Visitas de evaluación con fines de mejoramiento</v>
          </cell>
          <cell r="Q133" t="str">
            <v>0509 Acta visita Liceo el Encanto.pdf</v>
          </cell>
          <cell r="R133" t="str">
            <v>El ELIV encontró 10 aulas para 11 grupos, adicional cuenta con laboratorio y sala de sistemas, 7 baños, 1 baño docentes directivos y personal</v>
          </cell>
          <cell r="S133" t="str">
            <v>Se recomendó subsanar en algunas aulas iluminación natural, y ubicar señalización en pasillos baños y rutas de evacuación, requiere extintor especial en Sistemas, sin camilla, recubrir zonas de riesgo en parque de niños</v>
          </cell>
          <cell r="T133" t="str">
            <v>No</v>
          </cell>
          <cell r="U133" t="str">
            <v xml:space="preserve">ELIV atento al respuesta de la IE y/o  PMI </v>
          </cell>
        </row>
        <row r="134">
          <cell r="A134">
            <v>1776</v>
          </cell>
          <cell r="B134">
            <v>15</v>
          </cell>
          <cell r="C134" t="str">
            <v>SAN CRISTÓBAL</v>
          </cell>
          <cell r="D134" t="str">
            <v>PRIVADO</v>
          </cell>
          <cell r="E134" t="str">
            <v>EPBM</v>
          </cell>
          <cell r="F134" t="str">
            <v>LICEO_SAN_JOSE_ORIENTAL</v>
          </cell>
          <cell r="G134" t="str">
            <v>LICEO SAN JOSE ORIENTAL</v>
          </cell>
          <cell r="H134" t="str">
            <v>Autoevaluación Institucional y Pruebas SABER 11</v>
          </cell>
          <cell r="I134" t="str">
            <v>SEGUIMIENTO_Y_SUPERVISIÓN.</v>
          </cell>
          <cell r="J134" t="str">
            <v>Realizar visitas para verificar la información registrada sobre la autoevaluación institucional en el aplicativo EVI, a los establecimientos de educación formal no oficial.</v>
          </cell>
          <cell r="K134" t="str">
            <v>XIMENA CAROLINA RAMÍREZ MORALES</v>
          </cell>
          <cell r="L134" t="str">
            <v>JAIRO ANDRÉS ÁLVAREZ CHÁVEZ</v>
          </cell>
          <cell r="M134">
            <v>45777</v>
          </cell>
          <cell r="N134">
            <v>45777</v>
          </cell>
          <cell r="O134">
            <v>45777</v>
          </cell>
          <cell r="P134" t="str">
            <v>Visitas de evaluación con fines de mejoramiento</v>
          </cell>
          <cell r="Q134" t="str">
            <v>0430 Acta visita Liceo San José Oriental.pdf</v>
          </cell>
          <cell r="R134" t="str">
            <v>Se realiza verificación de contrato de uno de los estudiantes.</v>
          </cell>
          <cell r="S134" t="str">
            <v>Recomendación: Implementar biblioteca, sala de docentes e incrementar número de baños.</v>
          </cell>
          <cell r="T134" t="str">
            <v>Si</v>
          </cell>
          <cell r="U134" t="str">
            <v>Verificación en próxima visita.</v>
          </cell>
        </row>
        <row r="135">
          <cell r="A135">
            <v>1777</v>
          </cell>
          <cell r="B135"/>
          <cell r="C135" t="str">
            <v>SAN CRISTÓBAL</v>
          </cell>
          <cell r="D135" t="str">
            <v>PRIVADO</v>
          </cell>
          <cell r="E135" t="str">
            <v>EPBM</v>
          </cell>
          <cell r="F135" t="str">
            <v>LICEO_SAN_JOSE_ORIENTAL</v>
          </cell>
          <cell r="G135" t="str">
            <v>LICEO SAN JOSE ORIENTAL</v>
          </cell>
          <cell r="H135" t="str">
            <v>Autoevaluación Institucional y Pruebas SABER 11</v>
          </cell>
          <cell r="I135" t="str">
            <v>SEGUIMIENTO_Y_SUPERVISIÓN.</v>
          </cell>
          <cell r="J135" t="str">
            <v>Proponer estrategias en la formulación, verificar su elaboración y realizar seguimiento semestral al desarrollo de  las acciones establecidas en los planes de mejoramiento por pruebas SABER 11 de los establecimientos de educación formal.</v>
          </cell>
          <cell r="K135" t="str">
            <v>XIMENA CAROLINA RAMÍREZ MORALES</v>
          </cell>
          <cell r="L135" t="str">
            <v>JAIRO ANDRÉS ÁLVAREZ CHÁVEZ</v>
          </cell>
          <cell r="M135">
            <v>45777</v>
          </cell>
          <cell r="N135">
            <v>45777</v>
          </cell>
          <cell r="O135">
            <v>45777</v>
          </cell>
          <cell r="P135" t="str">
            <v>Visitas de evaluación con fines de mejoramiento</v>
          </cell>
          <cell r="Q135" t="str">
            <v>0430 Acta visita Liceo San José Oriental.pdf</v>
          </cell>
          <cell r="R135" t="str">
            <v>De grado 3° a 11° las evaluaciones son tipo pruebas saber. Los sábados se realiza un preicfes externo de caracter voluntario. 
Las guías (módulos) son elaborados por una institución y están actualizados con los lineamientos del MEN.</v>
          </cell>
          <cell r="S135" t="str">
            <v xml:space="preserve">Implementar nuevas acciones a partir de los análisis de los resultados obtenidos en las instancias correspondientes. </v>
          </cell>
          <cell r="T135" t="str">
            <v>No</v>
          </cell>
          <cell r="U135" t="str">
            <v>Verificación en actas de reunión de las instancias correspondientes.</v>
          </cell>
        </row>
        <row r="136">
          <cell r="A136">
            <v>1778</v>
          </cell>
          <cell r="B136"/>
          <cell r="C136" t="str">
            <v>SAN CRISTÓBAL</v>
          </cell>
          <cell r="D136" t="str">
            <v>PRIVADO</v>
          </cell>
          <cell r="E136" t="str">
            <v>EPBM</v>
          </cell>
          <cell r="F136" t="str">
            <v>LICEO_SAN_JOSE_ORIENTAL</v>
          </cell>
          <cell r="G136" t="str">
            <v>LICEO SAN JOSE ORIENTAL</v>
          </cell>
          <cell r="H136" t="str">
            <v>Autoevaluación Institucional y Pruebas SABER 11</v>
          </cell>
          <cell r="I136" t="str">
            <v>SEGUIMIENTO_Y_SUPERVISIÓN.</v>
          </cell>
          <cell r="J136" t="str">
            <v xml:space="preserve">Verificar la implementación por parte de los colegios, de acciones realizadas para la prevención y atención de las situaciones de convivencia en el entorno escolar, según lo establecido en la Directiva 01 de 2022 del MEN. </v>
          </cell>
          <cell r="K136" t="str">
            <v>XIMENA CAROLINA RAMÍREZ MORALES</v>
          </cell>
          <cell r="L136" t="str">
            <v>JAIRO ANDRÉS ÁLVAREZ CHÁVEZ</v>
          </cell>
          <cell r="M136">
            <v>45777</v>
          </cell>
          <cell r="N136">
            <v>45777</v>
          </cell>
          <cell r="O136">
            <v>45777</v>
          </cell>
          <cell r="P136" t="str">
            <v>Visitas de evaluación con fines de mejoramiento</v>
          </cell>
          <cell r="Q136" t="str">
            <v>0430 Acta visita Liceo San José Oriental.pdf</v>
          </cell>
          <cell r="R136" t="str">
            <v xml:space="preserve">Se verifica documentación impresa referente a la consulta de antecedentes por delitos sexuales. </v>
          </cell>
          <cell r="S136" t="str">
            <v xml:space="preserve">Continuar realizando la verificación cada 4 meses. </v>
          </cell>
          <cell r="T136" t="str">
            <v>No</v>
          </cell>
          <cell r="U136" t="str">
            <v>Se hará verificación en caso de presentarse requerimiento</v>
          </cell>
        </row>
        <row r="137">
          <cell r="A137">
            <v>1779</v>
          </cell>
          <cell r="B137"/>
          <cell r="C137" t="str">
            <v>SAN CRISTÓBAL</v>
          </cell>
          <cell r="D137" t="str">
            <v>PRIVADO</v>
          </cell>
          <cell r="E137" t="str">
            <v>EPBM</v>
          </cell>
          <cell r="F137" t="str">
            <v>LICEO_SAN_JOSE_ORIENTAL</v>
          </cell>
          <cell r="G137" t="str">
            <v>LICEO SAN JOSE ORIENTAL</v>
          </cell>
          <cell r="H137" t="str">
            <v>Autoevaluación Institucional y Pruebas SABER 11</v>
          </cell>
          <cell r="I137" t="str">
            <v>SEGUIMIENTO_Y_SUPERVISIÓN.</v>
          </cell>
          <cell r="J1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7" t="str">
            <v>XIMENA CAROLINA RAMÍREZ MORALES</v>
          </cell>
          <cell r="L137" t="str">
            <v>JAIRO ANDRÉS ÁLVAREZ CHÁVEZ</v>
          </cell>
          <cell r="M137">
            <v>45777</v>
          </cell>
          <cell r="N137">
            <v>45777</v>
          </cell>
          <cell r="O137">
            <v>45777</v>
          </cell>
          <cell r="P137" t="str">
            <v>Visitas de evaluación con fines de mejoramiento</v>
          </cell>
          <cell r="Q137" t="str">
            <v>0430 Acta visita Liceo San José Oriental.pdf</v>
          </cell>
          <cell r="R137" t="str">
            <v>A la fecha se han realizado 10 remisiones al sector salud; a la espera de diagnóstico.</v>
          </cell>
          <cell r="S137" t="str">
            <v>Se indica tener en cuenta los formatos del MEN para la elaboración de PIAR de los estudiantes que lo requieran.</v>
          </cell>
          <cell r="T137" t="str">
            <v>No</v>
          </cell>
          <cell r="U137" t="str">
            <v>Verificar de PIAR en próxima visita.</v>
          </cell>
        </row>
        <row r="138">
          <cell r="A138">
            <v>1780</v>
          </cell>
          <cell r="B138"/>
          <cell r="C138" t="str">
            <v>SAN CRISTÓBAL</v>
          </cell>
          <cell r="D138" t="str">
            <v>PRIVADO</v>
          </cell>
          <cell r="E138" t="str">
            <v>EPBM</v>
          </cell>
          <cell r="F138" t="str">
            <v>LICEO_SAN_JOSE_ORIENTAL</v>
          </cell>
          <cell r="G138" t="str">
            <v>LICEO SAN JOSE ORIENTAL</v>
          </cell>
          <cell r="H138" t="str">
            <v>Autoevaluación Institucional y Pruebas SABER 11</v>
          </cell>
          <cell r="I138" t="str">
            <v>EVALUACIÓN_CON_FINES_DE_MEJORAMIENTO.</v>
          </cell>
          <cell r="J1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8" t="str">
            <v>XIMENA CAROLINA RAMÍREZ MORALES</v>
          </cell>
          <cell r="L138" t="str">
            <v>JAIRO ANDRÉS ÁLVAREZ CHÁVEZ</v>
          </cell>
          <cell r="M138">
            <v>45777</v>
          </cell>
          <cell r="N138">
            <v>45777</v>
          </cell>
          <cell r="O138">
            <v>45777</v>
          </cell>
          <cell r="P138" t="str">
            <v>Visitas de evaluación con fines de mejoramiento</v>
          </cell>
          <cell r="Q138" t="str">
            <v>0430 Acta visita Liceo San José Oriental.pdf</v>
          </cell>
          <cell r="R138" t="str">
            <v>El documento contiene los elementos de ley. Se verifica acta 03 del Consejo Directivo del 30/10/2024 y al acta de comité de convivencia del 9 de abril de 2025</v>
          </cell>
          <cell r="S138" t="str">
            <v xml:space="preserve">Continuar con actualización, socialización e implementación según lo establecido por la normatividad vigente. </v>
          </cell>
          <cell r="T138" t="str">
            <v>No</v>
          </cell>
          <cell r="U138" t="str">
            <v>Se hará verificación en caso de presentarse requerimiento</v>
          </cell>
        </row>
        <row r="139">
          <cell r="A139">
            <v>1781</v>
          </cell>
          <cell r="B139"/>
          <cell r="C139" t="str">
            <v>SAN CRISTÓBAL</v>
          </cell>
          <cell r="D139" t="str">
            <v>PRIVADO</v>
          </cell>
          <cell r="E139" t="str">
            <v>EPBM</v>
          </cell>
          <cell r="F139" t="str">
            <v>LICEO_SAN_JOSE_ORIENTAL</v>
          </cell>
          <cell r="G139" t="str">
            <v>LICEO SAN JOSE ORIENTAL</v>
          </cell>
          <cell r="H139" t="str">
            <v>Autoevaluación Institucional y Pruebas SABER 11</v>
          </cell>
          <cell r="I139" t="str">
            <v>EVALUACIÓN_CON_FINES_DE_MEJORAMIENTO.</v>
          </cell>
          <cell r="J139" t="str">
            <v>Revisar la actualización, socialización e implementación del Sistema Institucional de Evaluación de Estudiantes - SIEE, en articulación con la actualización del PEI y la normatividad vigente.</v>
          </cell>
          <cell r="K139" t="str">
            <v>XIMENA CAROLINA RAMÍREZ MORALES</v>
          </cell>
          <cell r="L139" t="str">
            <v>JAIRO ANDRÉS ÁLVAREZ CHÁVEZ</v>
          </cell>
          <cell r="M139">
            <v>45777</v>
          </cell>
          <cell r="N139">
            <v>45777</v>
          </cell>
          <cell r="O139">
            <v>45777</v>
          </cell>
          <cell r="P139" t="str">
            <v>Visitas de evaluación con fines de mejoramiento</v>
          </cell>
          <cell r="Q139" t="str">
            <v>0430 Acta visita Liceo San José Oriental.pdf</v>
          </cell>
          <cell r="R139" t="str">
            <v xml:space="preserve">El horizonte institucional está acorde con lo establecido en el PEI y tienen como opción pedagógoca el modelo tradicional con currículo integrado. </v>
          </cell>
          <cell r="S139" t="str">
            <v>Continuar con la revisión períodica y actualización según lo determinen las instancias correspondientes.</v>
          </cell>
          <cell r="T139" t="str">
            <v>No</v>
          </cell>
          <cell r="U139" t="str">
            <v>Se hará verificación en caso de presentarse requerimiento</v>
          </cell>
        </row>
        <row r="140">
          <cell r="A140">
            <v>1782</v>
          </cell>
          <cell r="B140"/>
          <cell r="C140" t="str">
            <v>SAN CRISTÓBAL</v>
          </cell>
          <cell r="D140" t="str">
            <v>PRIVADO</v>
          </cell>
          <cell r="E140" t="str">
            <v>EPBM</v>
          </cell>
          <cell r="F140" t="str">
            <v>LICEO_SAN_JOSE_ORIENTAL</v>
          </cell>
          <cell r="G140" t="str">
            <v>LICEO SAN JOSE ORIENTAL</v>
          </cell>
          <cell r="H140" t="str">
            <v>Autoevaluación Institucional y Pruebas SABER 11</v>
          </cell>
          <cell r="I140" t="str">
            <v>EVALUACIÓN_CON_FINES_DE_MEJORAMIENTO.</v>
          </cell>
          <cell r="J140" t="str">
            <v>Revisar el calendario escolar, jornada escolar, la intensidad horaria mínima anual en cada nivel y las modificaciones que se realicen al mismo, de acuerdo con lo previsto en la normatividad vigente.</v>
          </cell>
          <cell r="K140" t="str">
            <v>XIMENA CAROLINA RAMÍREZ MORALES</v>
          </cell>
          <cell r="L140" t="str">
            <v>JAIRO ANDRÉS ÁLVAREZ CHÁVEZ</v>
          </cell>
          <cell r="M140">
            <v>45777</v>
          </cell>
          <cell r="N140">
            <v>45777</v>
          </cell>
          <cell r="O140">
            <v>45777</v>
          </cell>
          <cell r="P140" t="str">
            <v>Visitas de evaluación con fines de mejoramiento</v>
          </cell>
          <cell r="Q140" t="str">
            <v>0430 Acta visita Liceo San José Oriental.pdf</v>
          </cell>
          <cell r="R140" t="str">
            <v>Cumple con las horas  y semanas reglamentarias de acuerdo con la Resolucion de la SED N°1811 de 2024</v>
          </cell>
          <cell r="S140" t="str">
            <v>Continuar con la prestación del servicio educativo de acuerdo con la normatividad vigente.</v>
          </cell>
          <cell r="T140" t="str">
            <v>No</v>
          </cell>
          <cell r="U140" t="str">
            <v>Ajustado en reunión con DIV</v>
          </cell>
        </row>
        <row r="141">
          <cell r="A141">
            <v>1783</v>
          </cell>
          <cell r="B141"/>
          <cell r="C141" t="str">
            <v>SAN CRISTÓBAL</v>
          </cell>
          <cell r="D141" t="str">
            <v>PRIVADO</v>
          </cell>
          <cell r="E141" t="str">
            <v>EPBM</v>
          </cell>
          <cell r="F141" t="str">
            <v>LICEO_SAN_JOSE_ORIENTAL</v>
          </cell>
          <cell r="G141" t="str">
            <v>LICEO SAN JOSE ORIENTAL</v>
          </cell>
          <cell r="H141" t="str">
            <v>Autoevaluación Institucional y Pruebas SABER 11</v>
          </cell>
          <cell r="I141" t="str">
            <v>EVALUACIÓN_CON_FINES_DE_MEJORAMIENTO.</v>
          </cell>
          <cell r="J141" t="str">
            <v>Verificar el funcionamiento del Gobierno Escolar e instancias de participación con base en la información sobre conformación reportada por la institución educativa.</v>
          </cell>
          <cell r="K141" t="str">
            <v>XIMENA CAROLINA RAMÍREZ MORALES</v>
          </cell>
          <cell r="L141" t="str">
            <v>JAIRO ANDRÉS ÁLVAREZ CHÁVEZ</v>
          </cell>
          <cell r="M141">
            <v>45777</v>
          </cell>
          <cell r="N141">
            <v>45777</v>
          </cell>
          <cell r="O141">
            <v>45777</v>
          </cell>
          <cell r="P141" t="str">
            <v>Visitas de evaluación con fines de mejoramiento</v>
          </cell>
          <cell r="Q141" t="str">
            <v>0430 Acta visita Liceo San José Oriental.pdf</v>
          </cell>
          <cell r="R141" t="str">
            <v>Se verifican actas de elección. Recomendadciones: Pendiente reunión Consejo Estudiantil y su elección de representantes a CD y Pdte (para Comité de Convivencia Escolar). así mismo para de padres. Definir un representante por área para Consejo Académico.</v>
          </cell>
          <cell r="S141" t="str">
            <v>Documentar en eactas las sesiones de las diferentes instancias.</v>
          </cell>
          <cell r="T141" t="str">
            <v>No</v>
          </cell>
          <cell r="U141" t="str">
            <v>Verificación de actas de reunión de las instancias correspondientes.</v>
          </cell>
        </row>
        <row r="142">
          <cell r="A142">
            <v>1784</v>
          </cell>
          <cell r="B142"/>
          <cell r="C142" t="str">
            <v>SAN CRISTÓBAL</v>
          </cell>
          <cell r="D142" t="str">
            <v>PRIVADO</v>
          </cell>
          <cell r="E142" t="str">
            <v>EPBM</v>
          </cell>
          <cell r="F142" t="str">
            <v>LICEO_SAN_JOSE_ORIENTAL</v>
          </cell>
          <cell r="G142" t="str">
            <v>LICEO SAN JOSE ORIENTAL</v>
          </cell>
          <cell r="H142" t="str">
            <v>Autoevaluación Institucional y Pruebas SABER 11</v>
          </cell>
          <cell r="I142" t="str">
            <v>EVALUACIÓN_CON_FINES_DE_MEJORAMIENTO.</v>
          </cell>
          <cell r="J142" t="str">
            <v>Verificar las condiciones en cuanto a: la estructura administrativa, condiciones de la planta física y medios educativos adecuados.</v>
          </cell>
          <cell r="K142" t="str">
            <v>XIMENA CAROLINA RAMÍREZ MORALES</v>
          </cell>
          <cell r="L142" t="str">
            <v>JAIRO ANDRÉS ÁLVAREZ CHÁVEZ</v>
          </cell>
          <cell r="M142">
            <v>45777</v>
          </cell>
          <cell r="N142">
            <v>45777</v>
          </cell>
          <cell r="O142">
            <v>45777</v>
          </cell>
          <cell r="P142" t="str">
            <v>Visitas de evaluación con fines de mejoramiento</v>
          </cell>
          <cell r="Q142" t="str">
            <v>0430 Acta visita Liceo San José Oriental.pdf</v>
          </cell>
          <cell r="R142" t="str">
            <v>En recorrido por la palnata física se evidenciaron condiciones adeacuadas de infraestructura.</v>
          </cell>
          <cell r="S142" t="str">
            <v xml:space="preserve">Disponer el espacio para sala de docentes. </v>
          </cell>
          <cell r="T142" t="str">
            <v>Si</v>
          </cell>
          <cell r="U142" t="str">
            <v>Verificación en próxima visita.</v>
          </cell>
        </row>
        <row r="143">
          <cell r="A143">
            <v>1699</v>
          </cell>
          <cell r="B143">
            <v>16</v>
          </cell>
          <cell r="C143" t="str">
            <v>SAN CRISTÓBAL</v>
          </cell>
          <cell r="D143" t="str">
            <v>PRIVADO</v>
          </cell>
          <cell r="E143" t="str">
            <v>EPBM</v>
          </cell>
          <cell r="F143" t="str">
            <v>LICEO_SENDERO_DEL_SABER</v>
          </cell>
          <cell r="G143" t="str">
            <v>LICEO SENDERO DEL SABER</v>
          </cell>
          <cell r="H143" t="str">
            <v>Autoevaluación Institucional y Pruebas SABER 11</v>
          </cell>
          <cell r="I143" t="str">
            <v>SEGUIMIENTO_Y_SUPERVISIÓN.</v>
          </cell>
          <cell r="J143" t="str">
            <v>Realizar visitas para verificar la información registrada sobre la autoevaluación institucional en el aplicativo EVI, a los establecimientos de educación formal no oficial.</v>
          </cell>
          <cell r="K143" t="str">
            <v>JOSÉ ASDRUBAL PÉREZ GIRALDO</v>
          </cell>
          <cell r="L143" t="str">
            <v>JAIRO ANDRÉS ÁLVAREZ CHÁVEZ</v>
          </cell>
          <cell r="M143">
            <v>45758</v>
          </cell>
          <cell r="N143">
            <v>45758</v>
          </cell>
          <cell r="O143">
            <v>45758</v>
          </cell>
          <cell r="P143" t="str">
            <v>Visitas de evaluación con fines de mejoramiento</v>
          </cell>
          <cell r="Q143" t="str">
            <v>0411 Acta visita Liceo Sendero del Saber 11042025.pdf</v>
          </cell>
          <cell r="R143" t="str">
            <v>El EE adopta la guia 4 y demas orientaciones de acuerdo con revision en el EVI Vs Recorrido en instalaciones regimen</v>
          </cell>
          <cell r="S143" t="str">
            <v>Implementar señalizacion en diferentes áreas, adecuación de lavamanos para estudiantes de primera infancia.</v>
          </cell>
          <cell r="T143" t="str">
            <v>No</v>
          </cell>
          <cell r="U143" t="str">
            <v>Se realizara verificacion de las acciones ante respuesta del EE, visita  y/o en caso de requerimientos al EE</v>
          </cell>
        </row>
        <row r="144">
          <cell r="A144">
            <v>1700</v>
          </cell>
          <cell r="B144"/>
          <cell r="C144" t="str">
            <v>SAN CRISTÓBAL</v>
          </cell>
          <cell r="D144" t="str">
            <v>PRIVADO</v>
          </cell>
          <cell r="E144" t="str">
            <v>EPBM</v>
          </cell>
          <cell r="F144" t="str">
            <v>LICEO_SENDERO_DEL_SABER</v>
          </cell>
          <cell r="G144" t="str">
            <v>LICEO SENDERO DEL SABER</v>
          </cell>
          <cell r="H144" t="str">
            <v>Autoevaluación Institucional y Pruebas SABER 11</v>
          </cell>
          <cell r="I144" t="str">
            <v>SEGUIMIENTO_Y_SUPERVISIÓN.</v>
          </cell>
          <cell r="J144" t="str">
            <v>Proponer estrategias en la formulación, verificar su elaboración y realizar seguimiento semestral al desarrollo de  las acciones establecidas en los planes de mejoramiento por pruebas SABER 11 de los establecimientos de educación formal.</v>
          </cell>
          <cell r="K144" t="str">
            <v>JOSÉ ASDRUBAL PÉREZ GIRALDO</v>
          </cell>
          <cell r="L144" t="str">
            <v>JAIRO ANDRÉS ÁLVAREZ CHÁVEZ</v>
          </cell>
          <cell r="M144">
            <v>45758</v>
          </cell>
          <cell r="N144">
            <v>45758</v>
          </cell>
          <cell r="O144">
            <v>45758</v>
          </cell>
          <cell r="P144" t="str">
            <v>Visitas de evaluación con fines de mejoramiento</v>
          </cell>
          <cell r="Q144" t="str">
            <v>0411 Acta visita Liceo Sendero del Saber 11042025.pdf</v>
          </cell>
          <cell r="R144" t="str">
            <v>El resultado del año 2023 en comparacion con el 2024 se avanzo a categoria B. se esta trabajando pruebas de competencias por area con las materias basicas.</v>
          </cell>
          <cell r="S144" t="str">
            <v>El trabajo realizado para pruebas saber es a mediano plazo con el fin de subir el nivel  y se vera reflejada en las prubas de los proximos años.</v>
          </cell>
          <cell r="T144" t="str">
            <v>No</v>
          </cell>
          <cell r="U144" t="str">
            <v>Trabajo en clase, continua preparacion con talleres de competencias.</v>
          </cell>
        </row>
        <row r="145">
          <cell r="A145">
            <v>1787</v>
          </cell>
          <cell r="B145"/>
          <cell r="C145" t="str">
            <v>SAN CRISTÓBAL</v>
          </cell>
          <cell r="D145" t="str">
            <v>PRIVADO</v>
          </cell>
          <cell r="E145" t="str">
            <v>EPBM</v>
          </cell>
          <cell r="F145" t="str">
            <v>LICEO_SENDERO_DEL_SABER</v>
          </cell>
          <cell r="G145" t="str">
            <v>LICEO SENDERO DEL SABER</v>
          </cell>
          <cell r="H145" t="str">
            <v>Autoevaluación Institucional y Pruebas SABER 11</v>
          </cell>
          <cell r="I145" t="str">
            <v>SEGUIMIENTO_Y_SUPERVISIÓN.</v>
          </cell>
          <cell r="J145" t="str">
            <v xml:space="preserve">Verificar la implementación por parte de los colegios, de acciones realizadas para la prevención y atención de las situaciones de convivencia en el entorno escolar, según lo establecido en la Directiva 01 de 2022 del MEN. </v>
          </cell>
          <cell r="K145" t="str">
            <v>JOSÉ ASDRUBAL PÉREZ GIRALDO</v>
          </cell>
          <cell r="L145" t="str">
            <v>JAIRO ANDRÉS ÁLVAREZ CHÁVEZ</v>
          </cell>
          <cell r="M145">
            <v>45758</v>
          </cell>
          <cell r="N145">
            <v>45758</v>
          </cell>
          <cell r="O145">
            <v>45758</v>
          </cell>
          <cell r="P145" t="str">
            <v>Visitas de evaluación con fines de mejoramiento</v>
          </cell>
          <cell r="Q145" t="str">
            <v>0411 Acta visita Liceo Sendero del Saber 11042025.pdf</v>
          </cell>
          <cell r="R145" t="str">
            <v>Se eviencia en las hojas de vida la cosulta de delitos sexuales y permiso para ser consultados.</v>
          </cell>
          <cell r="S145" t="str">
            <v>Se debe seguir realizando la consulta cada 4 meses para todos los empleados incluidos los contratistas temporales.</v>
          </cell>
          <cell r="T145" t="str">
            <v>No</v>
          </cell>
          <cell r="U145" t="str">
            <v>Se revisara  conjuntamente con el pago de aoportes parafiscales y seguridad social</v>
          </cell>
        </row>
        <row r="146">
          <cell r="A146">
            <v>1701</v>
          </cell>
          <cell r="B146"/>
          <cell r="C146" t="str">
            <v>SAN CRISTÓBAL</v>
          </cell>
          <cell r="D146" t="str">
            <v>PRIVADO</v>
          </cell>
          <cell r="E146" t="str">
            <v>EPBM</v>
          </cell>
          <cell r="F146" t="str">
            <v>LICEO_SENDERO_DEL_SABER</v>
          </cell>
          <cell r="G146" t="str">
            <v>LICEO SENDERO DEL SABER</v>
          </cell>
          <cell r="H146" t="str">
            <v>Autoevaluación Institucional y Pruebas SABER 11</v>
          </cell>
          <cell r="I146" t="str">
            <v>SEGUIMIENTO_Y_SUPERVISIÓN.</v>
          </cell>
          <cell r="J14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6" t="str">
            <v>JOSÉ ASDRUBAL PÉREZ GIRALDO</v>
          </cell>
          <cell r="L146" t="str">
            <v>JAIRO ANDRÉS ÁLVAREZ CHÁVEZ</v>
          </cell>
          <cell r="M146">
            <v>45758</v>
          </cell>
          <cell r="N146">
            <v>45758</v>
          </cell>
          <cell r="O146">
            <v>45758</v>
          </cell>
          <cell r="P146" t="str">
            <v>Visitas de evaluación con fines de mejoramiento</v>
          </cell>
          <cell r="Q146" t="str">
            <v>0411 Acta visita Liceo Sendero del Saber 11042025.pdf</v>
          </cell>
          <cell r="R146" t="str">
            <v xml:space="preserve">Realizados por orientacion  y las familias son enteradas del proceso, solo se cuenta con un estudiante con (TDAH)
</v>
          </cell>
          <cell r="S146" t="str">
            <v>Tener PIAR individual de cada estudiante con firma de los padres de flia o acudientes.</v>
          </cell>
          <cell r="T146" t="str">
            <v>No</v>
          </cell>
          <cell r="U146" t="str">
            <v>Se hará verificación en caso de presentarse requerimiento</v>
          </cell>
        </row>
        <row r="147">
          <cell r="A147">
            <v>1702</v>
          </cell>
          <cell r="B147"/>
          <cell r="C147" t="str">
            <v>SAN CRISTÓBAL</v>
          </cell>
          <cell r="D147" t="str">
            <v>PRIVADO</v>
          </cell>
          <cell r="E147" t="str">
            <v>EPBM</v>
          </cell>
          <cell r="F147" t="str">
            <v>LICEO_SENDERO_DEL_SABER</v>
          </cell>
          <cell r="G147" t="str">
            <v>LICEO SENDERO DEL SABER</v>
          </cell>
          <cell r="H147" t="str">
            <v>Autoevaluación Institucional y Pruebas SABER 11</v>
          </cell>
          <cell r="I147" t="str">
            <v>EVALUACIÓN_CON_FINES_DE_MEJORAMIENTO.</v>
          </cell>
          <cell r="J14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7" t="str">
            <v>JOSÉ ASDRUBAL PÉREZ GIRALDO</v>
          </cell>
          <cell r="L147" t="str">
            <v>JAIRO ANDRÉS ÁLVAREZ CHÁVEZ</v>
          </cell>
          <cell r="M147">
            <v>45758</v>
          </cell>
          <cell r="N147">
            <v>45758</v>
          </cell>
          <cell r="O147">
            <v>45758</v>
          </cell>
          <cell r="P147" t="str">
            <v>Visitas de evaluación con fines de mejoramiento</v>
          </cell>
          <cell r="Q147" t="str">
            <v>0411 Acta visita Liceo Sendero del Saber 11042025.pdf</v>
          </cell>
          <cell r="R147" t="str">
            <v>El Manual de Convivencia se encuentra en la pagina y platarma digital AULY y es conocida por la comunidad educativa.</v>
          </cell>
          <cell r="S147" t="str">
            <v xml:space="preserve">Recomendación: incorporar enfoque restaurativo y elementos de atención a la diversidad (extinción de barreras y adecuación del servicio) </v>
          </cell>
          <cell r="T147" t="str">
            <v>No</v>
          </cell>
          <cell r="U147" t="str">
            <v xml:space="preserve">Incorporar enfoque restaurativo y elementos de atención a la diversidad (extinción de barreras y adecuación del servicio) </v>
          </cell>
        </row>
        <row r="148">
          <cell r="A148">
            <v>1703</v>
          </cell>
          <cell r="B148"/>
          <cell r="C148" t="str">
            <v>SAN CRISTÓBAL</v>
          </cell>
          <cell r="D148" t="str">
            <v>PRIVADO</v>
          </cell>
          <cell r="E148" t="str">
            <v>EPBM</v>
          </cell>
          <cell r="F148" t="str">
            <v>LICEO_SENDERO_DEL_SABER</v>
          </cell>
          <cell r="G148" t="str">
            <v>LICEO SENDERO DEL SABER</v>
          </cell>
          <cell r="H148" t="str">
            <v>Autoevaluación Institucional y Pruebas SABER 11</v>
          </cell>
          <cell r="I148" t="str">
            <v>EVALUACIÓN_CON_FINES_DE_MEJORAMIENTO.</v>
          </cell>
          <cell r="J148" t="str">
            <v>Revisar la actualización, socialización e implementación del Sistema Institucional de Evaluación de Estudiantes - SIEE, en articulación con la actualización del PEI y la normatividad vigente.</v>
          </cell>
          <cell r="K148" t="str">
            <v>JOSÉ ASDRUBAL PÉREZ GIRALDO</v>
          </cell>
          <cell r="L148" t="str">
            <v>JAIRO ANDRÉS ÁLVAREZ CHÁVEZ</v>
          </cell>
          <cell r="M148">
            <v>45758</v>
          </cell>
          <cell r="N148">
            <v>45758</v>
          </cell>
          <cell r="O148">
            <v>45758</v>
          </cell>
          <cell r="P148" t="str">
            <v>Visitas de evaluación con fines de mejoramiento</v>
          </cell>
          <cell r="Q148" t="str">
            <v>0411 Acta visita Liceo Sendero del Saber 11042025.pdf</v>
          </cell>
          <cell r="R148" t="str">
            <v xml:space="preserve">El SIEE 2024 refiere: El desarrollo y aprobación de las actividades de refuerzo dan al estudiante con desempeño bajo la oportunidad de superar dificultades y ubicarse en el
 desempeño básico. </v>
          </cell>
          <cell r="S148" t="str">
            <v>Continuar con la revisión permanente y actualización de acuerdo con los resultsados obtenidos por los estudiantes</v>
          </cell>
          <cell r="T148" t="str">
            <v>No</v>
          </cell>
          <cell r="U148" t="str">
            <v>Se hará verificación en caso de presentarse requerimiento</v>
          </cell>
        </row>
        <row r="149">
          <cell r="A149">
            <v>1786</v>
          </cell>
          <cell r="B149"/>
          <cell r="C149" t="str">
            <v>SAN CRISTÓBAL</v>
          </cell>
          <cell r="D149" t="str">
            <v>PRIVADO</v>
          </cell>
          <cell r="E149" t="str">
            <v>EPBM</v>
          </cell>
          <cell r="F149" t="str">
            <v>LICEO_SENDERO_DEL_SABER</v>
          </cell>
          <cell r="G149" t="str">
            <v>LICEO SENDERO DEL SABER</v>
          </cell>
          <cell r="H149" t="str">
            <v>Autoevaluación Institucional y Pruebas SABER 11</v>
          </cell>
          <cell r="I149" t="str">
            <v>EVALUACIÓN_CON_FINES_DE_MEJORAMIENTO.</v>
          </cell>
          <cell r="J149" t="str">
            <v>Revisar el calendario escolar, jornada escolar, la intensidad horaria mínima anual en cada nivel y las modificaciones que se realicen al mismo, de acuerdo con lo previsto en la normatividad vigente.</v>
          </cell>
          <cell r="K149" t="str">
            <v>JOSÉ ASDRUBAL PÉREZ GIRALDO</v>
          </cell>
          <cell r="L149" t="str">
            <v>JAIRO ANDRÉS ÁLVAREZ CHÁVEZ</v>
          </cell>
          <cell r="M149">
            <v>45758</v>
          </cell>
          <cell r="N149">
            <v>45758</v>
          </cell>
          <cell r="O149"/>
          <cell r="P149" t="str">
            <v>Visitas de evaluación con fines de mejoramiento</v>
          </cell>
          <cell r="Q149" t="str">
            <v>0411 Acta visita Liceo Sendero del Saber 11042025.pdf</v>
          </cell>
          <cell r="R149" t="str">
            <v>Se evidencia el horario en la Resolucion de calendario academico año 2025.</v>
          </cell>
          <cell r="S149" t="str">
            <v>Cumplir con la jornada escolar</v>
          </cell>
          <cell r="T149" t="str">
            <v>No</v>
          </cell>
          <cell r="U149" t="str">
            <v>Se hará verificación en caso de presentarse requerimiento</v>
          </cell>
        </row>
        <row r="150">
          <cell r="A150">
            <v>1785</v>
          </cell>
          <cell r="B150"/>
          <cell r="C150" t="str">
            <v>SAN CRISTÓBAL</v>
          </cell>
          <cell r="D150" t="str">
            <v>PRIVADO</v>
          </cell>
          <cell r="E150" t="str">
            <v>EPBM</v>
          </cell>
          <cell r="F150" t="str">
            <v>LICEO_SENDERO_DEL_SABER</v>
          </cell>
          <cell r="G150" t="str">
            <v>LICEO SENDERO DEL SABER</v>
          </cell>
          <cell r="H150" t="str">
            <v>Autoevaluación Institucional y Pruebas SABER 11</v>
          </cell>
          <cell r="I150" t="str">
            <v>EVALUACIÓN_CON_FINES_DE_MEJORAMIENTO.</v>
          </cell>
          <cell r="J150" t="str">
            <v>Verificar el funcionamiento del Gobierno Escolar e instancias de participación con base en la información sobre conformación reportada por la institución educativa.</v>
          </cell>
          <cell r="K150" t="str">
            <v>JOSÉ ASDRUBAL PÉREZ GIRALDO</v>
          </cell>
          <cell r="L150" t="str">
            <v>JAIRO ANDRÉS ÁLVAREZ CHÁVEZ</v>
          </cell>
          <cell r="M150">
            <v>45758</v>
          </cell>
          <cell r="N150">
            <v>45758</v>
          </cell>
          <cell r="O150"/>
          <cell r="P150" t="str">
            <v>Visitas de evaluación con fines de mejoramiento</v>
          </cell>
          <cell r="Q150" t="str">
            <v>0411 Acta visita Liceo Sendero del Saber 11042025.pdf</v>
          </cell>
          <cell r="R150" t="str">
            <v>Se evidencia actas de reunion de consejo academico y directivo.</v>
          </cell>
          <cell r="S150" t="str">
            <v>Perfeccionamiento, claridad funcional y rol  (Consejo Directivo y Consejo Académico)</v>
          </cell>
          <cell r="T150" t="str">
            <v>No</v>
          </cell>
          <cell r="U150" t="str">
            <v>Se hará verificación en caso de presentarse requerimiento</v>
          </cell>
        </row>
        <row r="151">
          <cell r="A151">
            <v>1788</v>
          </cell>
          <cell r="B151"/>
          <cell r="C151" t="str">
            <v>SAN CRISTÓBAL</v>
          </cell>
          <cell r="D151" t="str">
            <v>PRIVADO</v>
          </cell>
          <cell r="E151" t="str">
            <v>EPBM</v>
          </cell>
          <cell r="F151" t="str">
            <v>LICEO_SENDERO_DEL_SABER</v>
          </cell>
          <cell r="G151" t="str">
            <v>LICEO SENDERO DEL SABER</v>
          </cell>
          <cell r="H151" t="str">
            <v>Autoevaluación Institucional y Pruebas SABER 11</v>
          </cell>
          <cell r="I151" t="str">
            <v>EVALUACIÓN_CON_FINES_DE_MEJORAMIENTO.</v>
          </cell>
          <cell r="J151" t="str">
            <v>Verificar las condiciones en cuanto a: la estructura administrativa, condiciones de la planta física y medios educativos adecuados.</v>
          </cell>
          <cell r="K151" t="str">
            <v>JOSÉ ASDRUBAL PÉREZ GIRALDO</v>
          </cell>
          <cell r="L151" t="str">
            <v>JAIRO ANDRÉS ÁLVAREZ CHÁVEZ</v>
          </cell>
          <cell r="M151">
            <v>45758</v>
          </cell>
          <cell r="N151">
            <v>45758</v>
          </cell>
          <cell r="O151"/>
          <cell r="P151" t="str">
            <v>Visitas de evaluación con fines de mejoramiento</v>
          </cell>
          <cell r="Q151" t="str">
            <v>0411 Acta visita Liceo Sendero del Saber 11042025.pdf</v>
          </cell>
          <cell r="R151" t="str">
            <v>Se realiza recorrido a las instalaciones se evidencio salones para cada curso, mobiliario adecuado de acuerdo con la poblacion atendida.</v>
          </cell>
          <cell r="S151" t="str">
            <v>El colegio realizara los mantenimientos respectivos a las observaciones por el ELIV y la visita realziada por la Secretaria de Salud.</v>
          </cell>
          <cell r="T151" t="str">
            <v>No</v>
          </cell>
          <cell r="U151" t="str">
            <v>Se recomienda señalizacion de todos los espacios academicos y administrativos, adecuacion de lavamanos en sector de baños para primera infancia, y realizar mantenimientos permanentes de la planta fisica..</v>
          </cell>
        </row>
        <row r="152">
          <cell r="A152">
            <v>1789</v>
          </cell>
          <cell r="B152">
            <v>17</v>
          </cell>
          <cell r="C152" t="str">
            <v>SAN CRISTÓBAL</v>
          </cell>
          <cell r="D152" t="str">
            <v>PRIVADO</v>
          </cell>
          <cell r="E152" t="str">
            <v>EPBM</v>
          </cell>
          <cell r="F152" t="str">
            <v>LICEO_INFANTIL_NUEVOS_FUNDADORES</v>
          </cell>
          <cell r="G152" t="str">
            <v>LICEO INFANTIL NUEVOS FUNDADORES</v>
          </cell>
          <cell r="H152" t="str">
            <v>Autoevaluación Institucional y Pruebas SABER 11</v>
          </cell>
          <cell r="I152" t="str">
            <v>SEGUIMIENTO_Y_SUPERVISIÓN.</v>
          </cell>
          <cell r="J152" t="str">
            <v>Realizar visitas para verificar la información registrada sobre la autoevaluación institucional en el aplicativo EVI, a los establecimientos de educación formal no oficial.</v>
          </cell>
          <cell r="K152" t="str">
            <v>XIMENA CAROLINA RAMÍREZ MORALES</v>
          </cell>
          <cell r="L152" t="str">
            <v>JUANITA LINA CAROLINA RAMÍREZ LÓPEZ</v>
          </cell>
          <cell r="M152">
            <v>45786</v>
          </cell>
          <cell r="N152">
            <v>45786</v>
          </cell>
          <cell r="O152">
            <v>45786</v>
          </cell>
          <cell r="P152" t="str">
            <v>Visitas de evaluación con fines de mejoramiento</v>
          </cell>
          <cell r="Q152" t="str">
            <v>0509 Acta Visita Liceo Infantil Nuevos Fundadores.pdf</v>
          </cell>
          <cell r="R152" t="str">
            <v xml:space="preserve">La resolución de tarifas se encuentra publicada en lugar visible. Se verifican recibos de pagos. La información contable se registra en archivo excel. </v>
          </cell>
          <cell r="S152" t="str">
            <v>Continuar dando cumplimiento a la resolución de tarifas autorizada para el presente año.</v>
          </cell>
          <cell r="T152" t="str">
            <v>No</v>
          </cell>
          <cell r="U152" t="str">
            <v>Se hará verificación en caso de presentarse requerimiento</v>
          </cell>
        </row>
        <row r="153">
          <cell r="A153">
            <v>1790</v>
          </cell>
          <cell r="B153"/>
          <cell r="C153" t="str">
            <v>SAN CRISTÓBAL</v>
          </cell>
          <cell r="D153" t="str">
            <v>PRIVADO</v>
          </cell>
          <cell r="E153" t="str">
            <v>EPBM</v>
          </cell>
          <cell r="F153" t="str">
            <v>LICEO_INFANTIL_NUEVOS_FUNDADORES</v>
          </cell>
          <cell r="G153" t="str">
            <v>LICEO INFANTIL NUEVOS FUNDADORES</v>
          </cell>
          <cell r="H153" t="str">
            <v>Autoevaluación Institucional y Pruebas SABER 11</v>
          </cell>
          <cell r="I153" t="str">
            <v>SEGUIMIENTO_Y_SUPERVISIÓN.</v>
          </cell>
          <cell r="J153" t="str">
            <v xml:space="preserve">Verificar la implementación por parte de los colegios, de acciones realizadas para la prevención y atención de las situaciones de convivencia en el entorno escolar, según lo establecido en la Directiva 01 de 2022 del MEN. </v>
          </cell>
          <cell r="K153" t="str">
            <v>XIMENA CAROLINA RAMÍREZ MORALES</v>
          </cell>
          <cell r="L153" t="str">
            <v>JUANITA LINA CAROLINA RAMÍREZ LÓPEZ</v>
          </cell>
          <cell r="M153">
            <v>45786</v>
          </cell>
          <cell r="N153">
            <v>45786</v>
          </cell>
          <cell r="O153">
            <v>45786</v>
          </cell>
          <cell r="P153" t="str">
            <v>Visitas de evaluación con fines de mejoramiento</v>
          </cell>
          <cell r="Q153" t="str">
            <v>0509 Acta Visita Liceo Infantil Nuevos Fundadores.pdf</v>
          </cell>
          <cell r="R153" t="str">
            <v>Se verifica la revisión de antecedentes por delitos sexuales.</v>
          </cell>
          <cell r="S153" t="str">
            <v>Se recuerda que la verificación se debe realzar cada 4 meses.  Realizar acciones de promoción y prevención.</v>
          </cell>
          <cell r="T153" t="str">
            <v>No</v>
          </cell>
          <cell r="U153" t="str">
            <v>Verificación en la próxima actualización documental</v>
          </cell>
        </row>
        <row r="154">
          <cell r="A154">
            <v>1791</v>
          </cell>
          <cell r="B154"/>
          <cell r="C154" t="str">
            <v>SAN CRISTÓBAL</v>
          </cell>
          <cell r="D154" t="str">
            <v>PRIVADO</v>
          </cell>
          <cell r="E154" t="str">
            <v>EPBM</v>
          </cell>
          <cell r="F154" t="str">
            <v>LICEO_INFANTIL_NUEVOS_FUNDADORES</v>
          </cell>
          <cell r="G154" t="str">
            <v>LICEO INFANTIL NUEVOS FUNDADORES</v>
          </cell>
          <cell r="H154" t="str">
            <v>Autoevaluación Institucional y Pruebas SABER 11</v>
          </cell>
          <cell r="I154" t="str">
            <v>SEGUIMIENTO_Y_SUPERVISIÓN.</v>
          </cell>
          <cell r="J15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4" t="str">
            <v>XIMENA CAROLINA RAMÍREZ MORALES</v>
          </cell>
          <cell r="L154" t="str">
            <v>JUANITA LINA CAROLINA RAMÍREZ LÓPEZ</v>
          </cell>
          <cell r="M154">
            <v>45786</v>
          </cell>
          <cell r="N154">
            <v>45786</v>
          </cell>
          <cell r="O154">
            <v>45786</v>
          </cell>
          <cell r="P154" t="str">
            <v>Visitas de evaluación con fines de mejoramiento</v>
          </cell>
          <cell r="Q154" t="str">
            <v>0509 Acta Visita Liceo Infantil Nuevos Fundadores.pdf</v>
          </cell>
          <cell r="R154" t="str">
            <v xml:space="preserve">Se han identificado dos casos de estudiantes con dificultades, por lo que se solicitó a la familia atención por sector salud. </v>
          </cell>
          <cell r="S154" t="str">
            <v>Se dan indicaciones para la elaboración de PIAR</v>
          </cell>
          <cell r="T154" t="str">
            <v>No</v>
          </cell>
          <cell r="U154" t="str">
            <v>Se realizara verificacion de las acciones ante respuesta del EE, visita  y/o en caso de requerimientos al EE</v>
          </cell>
        </row>
        <row r="155">
          <cell r="A155">
            <v>1792</v>
          </cell>
          <cell r="B155"/>
          <cell r="C155" t="str">
            <v>SAN CRISTÓBAL</v>
          </cell>
          <cell r="D155" t="str">
            <v>PRIVADO</v>
          </cell>
          <cell r="E155" t="str">
            <v>EPBM</v>
          </cell>
          <cell r="F155" t="str">
            <v>LICEO_INFANTIL_NUEVOS_FUNDADORES</v>
          </cell>
          <cell r="G155" t="str">
            <v>LICEO INFANTIL NUEVOS FUNDADORES</v>
          </cell>
          <cell r="H155" t="str">
            <v>Autoevaluación Institucional y Pruebas SABER 11</v>
          </cell>
          <cell r="I155" t="str">
            <v>EVALUACIÓN_CON_FINES_DE_MEJORAMIENTO.</v>
          </cell>
          <cell r="J15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5" t="str">
            <v>XIMENA CAROLINA RAMÍREZ MORALES</v>
          </cell>
          <cell r="L155" t="str">
            <v>JUANITA LINA CAROLINA RAMÍREZ LÓPEZ</v>
          </cell>
          <cell r="M155">
            <v>45786</v>
          </cell>
          <cell r="N155">
            <v>45786</v>
          </cell>
          <cell r="O155">
            <v>45786</v>
          </cell>
          <cell r="P155" t="str">
            <v>Visitas de evaluación con fines de mejoramiento</v>
          </cell>
          <cell r="Q155" t="str">
            <v>0509 Acta Visita Liceo Infantil Nuevos Fundadores.pdf</v>
          </cell>
          <cell r="R155" t="str">
            <v>El año 2024 hubo ajustes en trabajo conjunto con el Consejo Directivo y luego se socializó con la comunidad. No se evidencias Acta</v>
          </cell>
          <cell r="S155" t="str">
            <v xml:space="preserve">Se resalta la importancia que los ajustes pasen por las instancias de participación correspondiente. </v>
          </cell>
          <cell r="T155" t="str">
            <v>No</v>
          </cell>
          <cell r="U155" t="str">
            <v xml:space="preserve">Verificación en la próxima actualización documental. Remitir el 29 de agosto de 2025.
Se realizó encuentro el  22 de agosto para verificar actaualización de documentos institucionales. </v>
          </cell>
        </row>
        <row r="156">
          <cell r="A156">
            <v>1793</v>
          </cell>
          <cell r="B156"/>
          <cell r="C156" t="str">
            <v>SAN CRISTÓBAL</v>
          </cell>
          <cell r="D156" t="str">
            <v>PRIVADO</v>
          </cell>
          <cell r="E156" t="str">
            <v>EPBM</v>
          </cell>
          <cell r="F156" t="str">
            <v>LICEO_INFANTIL_NUEVOS_FUNDADORES</v>
          </cell>
          <cell r="G156" t="str">
            <v>LICEO INFANTIL NUEVOS FUNDADORES</v>
          </cell>
          <cell r="H156" t="str">
            <v>Autoevaluación Institucional y Pruebas SABER 11</v>
          </cell>
          <cell r="I156" t="str">
            <v>EVALUACIÓN_CON_FINES_DE_MEJORAMIENTO.</v>
          </cell>
          <cell r="J156" t="str">
            <v>Revisar la actualización, socialización e implementación del Sistema Institucional de Evaluación de Estudiantes - SIEE, en articulación con la actualización del PEI y la normatividad vigente.</v>
          </cell>
          <cell r="K156" t="str">
            <v>XIMENA CAROLINA RAMÍREZ MORALES</v>
          </cell>
          <cell r="L156" t="str">
            <v>JUANITA LINA CAROLINA RAMÍREZ LÓPEZ</v>
          </cell>
          <cell r="M156">
            <v>45786</v>
          </cell>
          <cell r="N156">
            <v>45786</v>
          </cell>
          <cell r="O156">
            <v>45786</v>
          </cell>
          <cell r="P156" t="str">
            <v>Visitas de evaluación con fines de mejoramiento</v>
          </cell>
          <cell r="Q156" t="str">
            <v>0509 Acta Visita Liceo Infantil Nuevos Fundadores.pdf</v>
          </cell>
          <cell r="R156" t="str">
            <v xml:space="preserve">El SIEE refiere, entre otros: Entrega y estructura de informe académico, Escala de valoración, Criterios de evaluación, Promoción anticipada, Descripción del grado Prejardín.  La rectora indica que se realizan activiades de diagnóstico pedagógico y de refuerzo. </v>
          </cell>
          <cell r="S156" t="str">
            <v>Se recomienda revisar y ajustar el documento PEI teniendo en cuenta los componentes de horizonte institucional, gestión directiva, gestión académica, gestión comunitaria y gestión administrativa - financiera</v>
          </cell>
          <cell r="T156" t="str">
            <v>No</v>
          </cell>
          <cell r="U156" t="str">
            <v>Verificación en la próxima actualización documental</v>
          </cell>
        </row>
        <row r="157">
          <cell r="A157">
            <v>1794</v>
          </cell>
          <cell r="B157"/>
          <cell r="C157" t="str">
            <v>SAN CRISTÓBAL</v>
          </cell>
          <cell r="D157" t="str">
            <v>PRIVADO</v>
          </cell>
          <cell r="E157" t="str">
            <v>EPBM</v>
          </cell>
          <cell r="F157" t="str">
            <v>LICEO_INFANTIL_NUEVOS_FUNDADORES</v>
          </cell>
          <cell r="G157" t="str">
            <v>LICEO INFANTIL NUEVOS FUNDADORES</v>
          </cell>
          <cell r="H157" t="str">
            <v>Autoevaluación Institucional y Pruebas SABER 11</v>
          </cell>
          <cell r="I157" t="str">
            <v>EVALUACIÓN_CON_FINES_DE_MEJORAMIENTO.</v>
          </cell>
          <cell r="J157" t="str">
            <v>Revisar el calendario escolar, jornada escolar, la intensidad horaria mínima anual en cada nivel y las modificaciones que se realicen al mismo, de acuerdo con lo previsto en la normatividad vigente.</v>
          </cell>
          <cell r="K157" t="str">
            <v>XIMENA CAROLINA RAMÍREZ MORALES</v>
          </cell>
          <cell r="L157" t="str">
            <v>JUANITA LINA CAROLINA RAMÍREZ LÓPEZ</v>
          </cell>
          <cell r="M157">
            <v>45786</v>
          </cell>
          <cell r="N157">
            <v>45786</v>
          </cell>
          <cell r="O157">
            <v>45786</v>
          </cell>
          <cell r="P157" t="str">
            <v>Visitas de evaluación con fines de mejoramiento</v>
          </cell>
          <cell r="Q157" t="str">
            <v>0509 Acta Visita Liceo Infantil Nuevos Fundadores.pdf</v>
          </cell>
          <cell r="R157" t="str">
            <v>Cumple con las horas y semanas reglamentarias de acuerdo con la Resolución de la SED N° 1811 de 2024.</v>
          </cell>
          <cell r="S157" t="str">
            <v xml:space="preserve">Continuar prestando el servicio educativo acorde a la normatividad vigente </v>
          </cell>
          <cell r="T157" t="str">
            <v>No</v>
          </cell>
          <cell r="U157" t="str">
            <v>Se hará verificación en caso de presentarse requerimiento</v>
          </cell>
        </row>
        <row r="158">
          <cell r="A158">
            <v>1795</v>
          </cell>
          <cell r="B158"/>
          <cell r="C158" t="str">
            <v>SAN CRISTÓBAL</v>
          </cell>
          <cell r="D158" t="str">
            <v>PRIVADO</v>
          </cell>
          <cell r="E158" t="str">
            <v>EPBM</v>
          </cell>
          <cell r="F158" t="str">
            <v>LICEO_INFANTIL_NUEVOS_FUNDADORES</v>
          </cell>
          <cell r="G158" t="str">
            <v>LICEO INFANTIL NUEVOS FUNDADORES</v>
          </cell>
          <cell r="H158" t="str">
            <v>Autoevaluación Institucional y Pruebas SABER 11</v>
          </cell>
          <cell r="I158" t="str">
            <v>EVALUACIÓN_CON_FINES_DE_MEJORAMIENTO.</v>
          </cell>
          <cell r="J158" t="str">
            <v>Verificar el funcionamiento del Gobierno Escolar e instancias de participación con base en la información sobre conformación reportada por la institución educativa.</v>
          </cell>
          <cell r="K158" t="str">
            <v>XIMENA CAROLINA RAMÍREZ MORALES</v>
          </cell>
          <cell r="L158" t="str">
            <v>JUANITA LINA CAROLINA RAMÍREZ LÓPEZ</v>
          </cell>
          <cell r="M158">
            <v>45786</v>
          </cell>
          <cell r="N158">
            <v>45786</v>
          </cell>
          <cell r="O158">
            <v>45786</v>
          </cell>
          <cell r="P158" t="str">
            <v>Visitas de evaluación con fines de mejoramiento</v>
          </cell>
          <cell r="Q158" t="str">
            <v>0509 Acta Visita Liceo Infantil Nuevos Fundadores.pdf</v>
          </cell>
          <cell r="R158" t="str">
            <v>Presentan actas oficiales de la SED de conformacion de las diferentes instancias, cumplieron con registro en SAE. Evidencias de campaña y elección de personero. A la fecha no ha sesionado ningun organo</v>
          </cell>
          <cell r="S158" t="str">
            <v>Documentar con Actas las sesiones que se desarrollen</v>
          </cell>
          <cell r="T158" t="str">
            <v>No</v>
          </cell>
          <cell r="U158" t="str">
            <v>Se hará verificación en caso de presentarse requerimiento</v>
          </cell>
        </row>
        <row r="159">
          <cell r="A159">
            <v>1796</v>
          </cell>
          <cell r="B159"/>
          <cell r="C159" t="str">
            <v>SAN CRISTÓBAL</v>
          </cell>
          <cell r="D159" t="str">
            <v>PRIVADO</v>
          </cell>
          <cell r="E159" t="str">
            <v>EPBM</v>
          </cell>
          <cell r="F159" t="str">
            <v>LICEO_INFANTIL_NUEVOS_FUNDADORES</v>
          </cell>
          <cell r="G159" t="str">
            <v>LICEO INFANTIL NUEVOS FUNDADORES</v>
          </cell>
          <cell r="H159" t="str">
            <v>Autoevaluación Institucional y Pruebas SABER 11</v>
          </cell>
          <cell r="I159" t="str">
            <v>EVALUACIÓN_CON_FINES_DE_MEJORAMIENTO.</v>
          </cell>
          <cell r="J159" t="str">
            <v>Verificar las condiciones en cuanto a: la estructura administrativa, condiciones de la planta física y medios educativos adecuados.</v>
          </cell>
          <cell r="K159" t="str">
            <v>XIMENA CAROLINA RAMÍREZ MORALES</v>
          </cell>
          <cell r="L159" t="str">
            <v>JUANITA LINA CAROLINA RAMÍREZ LÓPEZ</v>
          </cell>
          <cell r="M159">
            <v>45786</v>
          </cell>
          <cell r="N159">
            <v>45786</v>
          </cell>
          <cell r="O159">
            <v>45786</v>
          </cell>
          <cell r="P159" t="str">
            <v>Visitas de evaluación con fines de mejoramiento</v>
          </cell>
          <cell r="Q159" t="str">
            <v>0509 Acta Visita Liceo Infantil Nuevos Fundadores.pdf</v>
          </cell>
          <cell r="R159" t="str">
            <v>Se evidencian buenas condiciones de la infraestructura. SEDE PREESCOLAR: Concepto favorable Acta 
SB06 705134 del 3/02/2025
SEDE PRIMARIA: Concepto favorable con
requerimiento SB06 705134 del 3/02/2025</v>
          </cell>
          <cell r="S159" t="str">
            <v xml:space="preserve">La IE informa que subsanó y espera nueva
visita. </v>
          </cell>
          <cell r="T159" t="str">
            <v>No</v>
          </cell>
          <cell r="U159" t="str">
            <v>Se hará verificación en caso de presentarse requerimiento</v>
          </cell>
        </row>
        <row r="160">
          <cell r="A160">
            <v>1797</v>
          </cell>
          <cell r="B160">
            <v>18</v>
          </cell>
          <cell r="C160" t="str">
            <v>SAN CRISTÓBAL</v>
          </cell>
          <cell r="D160" t="str">
            <v>PRIVADO_IETDH</v>
          </cell>
          <cell r="E160" t="str">
            <v>IETDH</v>
          </cell>
          <cell r="F160" t="str">
            <v>CENTRO_DE_TECNICAS_MODERNAS_FRANCIS_COLLINS</v>
          </cell>
          <cell r="G160" t="str">
            <v>CENTRO DE TECNICAS MODERNAS FRANCIS COLLINS</v>
          </cell>
          <cell r="H160" t="str">
            <v>IETDH priorizadas por cada ELIV (seguimiento a PMI, que no se hayan visitado en los últimos 3 años)</v>
          </cell>
          <cell r="I160" t="str">
            <v>SEGUIMIENTO_Y_SUPERVISIÓN.</v>
          </cell>
          <cell r="J160"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60" t="str">
            <v>JOSÉ ASDRUBAL PÉREZ GIRALDO</v>
          </cell>
          <cell r="L160" t="str">
            <v>JAIRO ANDRÉS ÁLVAREZ CHÁVEZ</v>
          </cell>
          <cell r="M160">
            <v>45731</v>
          </cell>
          <cell r="N160">
            <v>45731</v>
          </cell>
          <cell r="O160">
            <v>45731</v>
          </cell>
          <cell r="P160" t="str">
            <v>Visitas de evaluación con fines de seguimiento</v>
          </cell>
          <cell r="Q160" t="str">
            <v>ACTA VISITA ADMINISTRATIVA IETDH FRANCIS COLLINS.pdf</v>
          </cell>
          <cell r="R160" t="str">
            <v>Una vez revisado el SIET del MEN, se encuentra: que la vigencia 2023 y 2024 no han registrado estudiantes matriculados ni certificados, tampoco la actualizacion de los costos educativos. Se verifica la información en los registros institucionales (Excel Palatforma Q10)</v>
          </cell>
          <cell r="S160" t="str">
            <v>Se hace la observación a la IETDH de la necesidad de mantener al día los sistemas de información, es decir, fortalecer la gestión administrativa.
Se solicita que la IETDH actualice la información de matriculados, certificados y costos en el SIET con un plazo máximo del 4/04/2025 y remitir correo con las evidencias.</v>
          </cell>
          <cell r="T160" t="str">
            <v>Si</v>
          </cell>
          <cell r="U160" t="str">
            <v>Verificación del registro de la información en el SIET.
Se realizó encuentro  el 26/09/2025 con el fin de hacer seguimiento a los acuerdos establecidos en la Visita Administrativa del 15/03/2025. Se acordó Definir lo referente a los programas que no cuentan con matrícula. Remitir formato con la explicación del estado actual de los estudiantes. Remitir contrato con la especificación de costos y hora del programa. Fecha 15/10/2025". La IE remitió lo acordado.</v>
          </cell>
        </row>
        <row r="161">
          <cell r="A161">
            <v>1798</v>
          </cell>
          <cell r="B161"/>
          <cell r="C161" t="str">
            <v>SAN CRISTÓBAL</v>
          </cell>
          <cell r="D161" t="str">
            <v>PRIVADO_IETDH</v>
          </cell>
          <cell r="E161" t="str">
            <v>IETDH</v>
          </cell>
          <cell r="F161" t="str">
            <v>CENTRO_DE_TECNICAS_MODERNAS_FRANCIS_COLLINS</v>
          </cell>
          <cell r="G161" t="str">
            <v>CENTRO DE TECNICAS MODERNAS FRANCIS COLLINS</v>
          </cell>
          <cell r="H161" t="str">
            <v>IETDH priorizadas por cada ELIV (seguimiento a PMI, que no se hayan visitado en los últimos 3 años)</v>
          </cell>
          <cell r="I161" t="str">
            <v>SEGUIMIENTO_Y_SUPERVISIÓN.</v>
          </cell>
          <cell r="J161" t="str">
            <v>Adelantar visitas para verificar que el desarrollo de los programas de ETDH, esté de acuerdo con lo autorizado y la normatividad vigente, para propender por su pertinencia, legalidad y actualización constante.</v>
          </cell>
          <cell r="K161" t="str">
            <v>JOSÉ ASDRUBAL PÉREZ GIRALDO</v>
          </cell>
          <cell r="L161" t="str">
            <v>JAIRO ANDRÉS ÁLVAREZ CHÁVEZ</v>
          </cell>
          <cell r="M161">
            <v>45731</v>
          </cell>
          <cell r="N161">
            <v>45731</v>
          </cell>
          <cell r="O161"/>
          <cell r="P161" t="str">
            <v>Visitas de evaluación con fines de seguimiento</v>
          </cell>
          <cell r="Q161" t="str">
            <v>ACTA VISITA ADMINISTRATIVA IETDH FRANCIS COLLINS.pdf</v>
          </cell>
          <cell r="R161" t="str">
            <v>Actualmente la institución está impartiendo los programas TÉCNICO LABORAL EN ASISTENCIA DE PRIMERA INFANCIA y TÉCNICO LABORAL EN CUIDADO ESTETICO DE MANOS Y PIES de acuerdo con los registrado en los actos administrativos de registro en lo concerniente a las jornadas, costos y contenidos curriculares.</v>
          </cell>
          <cell r="S161" t="str">
            <v xml:space="preserve">Se solicita a la Institución fortalecer la organización administrativa y pedagógica, tener al día los sistemas de información, e implementar estrategias para aumento de la matricula, el cobro de cartera morosa (que indican que es alta) y la exigencia académica. También se hace la observación de establecer convenios escritos con Instituciones o empresas para los procesos de practica de los estudiantes y hacer la afiliación a ARL de los mismos. </v>
          </cell>
          <cell r="T161" t="str">
            <v>Si</v>
          </cell>
          <cell r="U161" t="str">
            <v>Hacer seguimiento al avance en los compromisos establecidos.
Se realizó encuentro  el 26/09/2025 con el fin de hacer seguimiento a los acuerdos establecidos en la Visita Administrativa del 15/03/2025. Se acordó Definir lo referente a los programas que no cuentan con matrícula. Remitir formato con la explicación del estado actual de los estudiantes. Remitir contrato con la especificación de costos y hora del programa. Fecha 15/10/2025. La IE remitió lo acordado</v>
          </cell>
        </row>
        <row r="162">
          <cell r="A162">
            <v>1799</v>
          </cell>
          <cell r="B162"/>
          <cell r="C162" t="str">
            <v>SAN CRISTÓBAL</v>
          </cell>
          <cell r="D162" t="str">
            <v>PRIVADO_IETDH</v>
          </cell>
          <cell r="E162" t="str">
            <v>IETDH</v>
          </cell>
          <cell r="F162" t="str">
            <v>CENTRO_DE_TECNICAS_MODERNAS_FRANCIS_COLLINS</v>
          </cell>
          <cell r="G162" t="str">
            <v>CENTRO DE TECNICAS MODERNAS FRANCIS COLLINS</v>
          </cell>
          <cell r="H162" t="str">
            <v>IETDH priorizadas por cada ELIV (seguimiento a PMI, que no se hayan visitado en los últimos 3 años)</v>
          </cell>
          <cell r="I162" t="str">
            <v>EVALUACIÓN_CON_FINES_DE_MEJORAMIENTO.</v>
          </cell>
          <cell r="J162" t="str">
            <v>Verificar las condiciones en cuanto a: la estructura administrativa, condiciones de la planta física y medios educativos adecuados.</v>
          </cell>
          <cell r="K162" t="str">
            <v>JOSÉ ASDRUBAL PÉREZ GIRALDO</v>
          </cell>
          <cell r="L162" t="str">
            <v>JAIRO ANDRÉS ÁLVAREZ CHÁVEZ</v>
          </cell>
          <cell r="M162">
            <v>45731</v>
          </cell>
          <cell r="N162">
            <v>45731</v>
          </cell>
          <cell r="O162">
            <v>45731</v>
          </cell>
          <cell r="P162" t="str">
            <v>Visitas de evaluación con fines de seguimiento</v>
          </cell>
          <cell r="Q162" t="str">
            <v>ACTA VISITA ADMINISTRATIVA IETDH FRANCIS COLLINS.pdf</v>
          </cell>
          <cell r="R162" t="str">
            <v xml:space="preserve">Se verifica acta de visita de la Secretaría de Salud N° SB06E – 705166 del 14/02/2025, la cual tiene concepto favorable con requerimiento, registra subsanación de observaciones anteriores y le dejan nuevas observaciones por mantenimiento de pared de cuarto de aseo, reemplazar cerámica de piso de escalón (puerta de salón 4), limpieza de puerta de acceso y residuos acumulados. </v>
          </cell>
          <cell r="S162" t="str">
            <v>En el recorrido se verifica el cumplimiento de los requerimientos.</v>
          </cell>
          <cell r="T162" t="str">
            <v>No</v>
          </cell>
          <cell r="U162" t="str">
            <v>Se le indica a la IE mantener el cumplimiento de las recomendaciones dadas por la Secretaria de Salud</v>
          </cell>
        </row>
        <row r="163">
          <cell r="A163">
            <v>1800</v>
          </cell>
          <cell r="B163">
            <v>19</v>
          </cell>
          <cell r="C163" t="str">
            <v>SAN CRISTÓBAL</v>
          </cell>
          <cell r="D163" t="str">
            <v>PRIVADO_IETDH</v>
          </cell>
          <cell r="E163" t="str">
            <v>IETDH</v>
          </cell>
          <cell r="F163" t="str">
            <v>FUNDACIÓN_PARA_LA_VIDA_FUNDESCO_</v>
          </cell>
          <cell r="G163" t="str">
            <v xml:space="preserve">FUNDACIÓN PARA LA VIDA FUNDESCO </v>
          </cell>
          <cell r="H163" t="str">
            <v>IETDH priorizadas por cada ELIV (seguimiento a PMI, que no se hayan visitado en los últimos 3 años)</v>
          </cell>
          <cell r="I163" t="str">
            <v>SEGUIMIENTO_Y_SUPERVISIÓN.</v>
          </cell>
          <cell r="J16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63" t="str">
            <v>JAIRO ANDRÉS ÁLVAREZ CHÁVEZ</v>
          </cell>
          <cell r="L163" t="str">
            <v>JOSÉ ASDRUBAL PÉREZ GIRALDO</v>
          </cell>
          <cell r="M163">
            <v>45744</v>
          </cell>
          <cell r="N163">
            <v>45750</v>
          </cell>
          <cell r="O163">
            <v>45750</v>
          </cell>
          <cell r="P163" t="str">
            <v>Visitas de evaluación con fines de seguimiento</v>
          </cell>
          <cell r="Q163" t="str">
            <v>0403 Acta visita administrativa Fundesco ETDH.pdf</v>
          </cell>
          <cell r="R163" t="str">
            <v>Revisado el SIET del MEN se encuentra que no han registrado estudiantes.</v>
          </cell>
          <cell r="S163" t="str">
            <v>Actualizar registro de matrículas en el SIET.</v>
          </cell>
          <cell r="T163" t="str">
            <v>Si</v>
          </cell>
          <cell r="U163" t="str">
            <v>Remitir evidencia de la actualización. Se realizó encuentro de seguimiento el 07 de noviembre y 
Se constatan las acciones realizadas en el marco del plan de mejoramiento .</v>
          </cell>
        </row>
        <row r="164">
          <cell r="A164">
            <v>1801</v>
          </cell>
          <cell r="B164"/>
          <cell r="C164" t="str">
            <v>SAN CRISTÓBAL</v>
          </cell>
          <cell r="D164" t="str">
            <v>PRIVADO_IETDH</v>
          </cell>
          <cell r="E164" t="str">
            <v>IETDH</v>
          </cell>
          <cell r="F164" t="str">
            <v>FUNDACIÓN_PARA_LA_VIDA_FUNDESCO_</v>
          </cell>
          <cell r="G164" t="str">
            <v xml:space="preserve">FUNDACIÓN PARA LA VIDA FUNDESCO </v>
          </cell>
          <cell r="H164" t="str">
            <v>IETDH priorizadas por cada ELIV (seguimiento a PMI, que no se hayan visitado en los últimos 3 años)</v>
          </cell>
          <cell r="I164" t="str">
            <v>SEGUIMIENTO_Y_SUPERVISIÓN.</v>
          </cell>
          <cell r="J164" t="str">
            <v>Adelantar visitas para verificar que el desarrollo de los programas de ETDH, esté de acuerdo con lo autorizado y la normatividad vigente, para propender por su pertinencia, legalidad y actualización constante.</v>
          </cell>
          <cell r="K164" t="str">
            <v>JAIRO ANDRÉS ÁLVAREZ CHÁVEZ</v>
          </cell>
          <cell r="L164" t="str">
            <v>JOSÉ ASDRUBAL PÉREZ GIRALDO</v>
          </cell>
          <cell r="M164">
            <v>45744</v>
          </cell>
          <cell r="N164">
            <v>45750</v>
          </cell>
          <cell r="O164">
            <v>45750</v>
          </cell>
          <cell r="P164" t="str">
            <v>Visitas de evaluación con fines de seguimiento</v>
          </cell>
          <cell r="Q164" t="str">
            <v>0403 Acta visita administrativa Fundesco ETDH.pdf</v>
          </cell>
          <cell r="R164" t="str">
            <v xml:space="preserve">Se constató de PEI, principios, fundamentos y propósitos. </v>
          </cell>
          <cell r="S164" t="str">
            <v>La IE está impartiendo los programas de acuerdo con los actos administrativos en lo concerniente a las jornadas, costos y contenidos curriculares.</v>
          </cell>
          <cell r="T164" t="str">
            <v>No</v>
          </cell>
          <cell r="U164" t="str">
            <v>Se hará verificación en caso de presentarse requerimiento</v>
          </cell>
        </row>
        <row r="165">
          <cell r="A165">
            <v>1802</v>
          </cell>
          <cell r="B165"/>
          <cell r="C165" t="str">
            <v>SAN CRISTÓBAL</v>
          </cell>
          <cell r="D165" t="str">
            <v>PRIVADO_IETDH</v>
          </cell>
          <cell r="E165" t="str">
            <v>IETDH</v>
          </cell>
          <cell r="F165" t="str">
            <v>FUNDACIÓN_PARA_LA_VIDA_FUNDESCO_</v>
          </cell>
          <cell r="G165" t="str">
            <v xml:space="preserve">FUNDACIÓN PARA LA VIDA FUNDESCO </v>
          </cell>
          <cell r="H165" t="str">
            <v>IETDH priorizadas por cada ELIV (seguimiento a PMI, que no se hayan visitado en los últimos 3 años)</v>
          </cell>
          <cell r="I165" t="str">
            <v>EVALUACIÓN_CON_FINES_DE_MEJORAMIENTO.</v>
          </cell>
          <cell r="J165" t="str">
            <v>Verificar las condiciones en cuanto a: la estructura administrativa, condiciones de la planta física y medios educativos adecuados.</v>
          </cell>
          <cell r="K165" t="str">
            <v>JAIRO ANDRÉS ÁLVAREZ CHÁVEZ</v>
          </cell>
          <cell r="L165" t="str">
            <v>JOSÉ ASDRUBAL PÉREZ GIRALDO</v>
          </cell>
          <cell r="M165">
            <v>45744</v>
          </cell>
          <cell r="N165">
            <v>45750</v>
          </cell>
          <cell r="O165">
            <v>45750</v>
          </cell>
          <cell r="P165" t="str">
            <v>Visitas de evaluación con fines de seguimiento</v>
          </cell>
          <cell r="Q165" t="str">
            <v>0403 Acta visita administrativa Fundesco ETDH.pdf</v>
          </cell>
          <cell r="R165" t="str">
            <v xml:space="preserve">En recorrido de la planta física se encontró en buenas condiciones de infraestructura y dotación. La IE aporta acta de visita de Secretaria de Salud SB066E 703330 del 01/02/2025 con concepto favorable con requerimientos. </v>
          </cell>
          <cell r="S165" t="str">
            <v xml:space="preserve">La IE subsanó los requermientos. </v>
          </cell>
          <cell r="T165" t="str">
            <v>Si</v>
          </cell>
          <cell r="U165" t="str">
            <v>Se realizó encuentro de seguimiento el 07 de noviembre y 
Se constatan las acciones realizadas en el marco del plan de mejoramiento .</v>
          </cell>
        </row>
        <row r="166">
          <cell r="A166">
            <v>1803</v>
          </cell>
          <cell r="B166">
            <v>20</v>
          </cell>
          <cell r="C166" t="str">
            <v>SAN CRISTÓBAL</v>
          </cell>
          <cell r="D166" t="str">
            <v>PRIVADO_IETDH</v>
          </cell>
          <cell r="E166" t="str">
            <v>IETDH</v>
          </cell>
          <cell r="F166" t="str">
            <v>CENTRO_DE_ENSEÑANZA_AUTOMOVILISTICA_AUTODOMINIO</v>
          </cell>
          <cell r="G166" t="str">
            <v>CENTRO DE ENSEÑANZA AUTOMOVILISTICA AUTODOMINIO</v>
          </cell>
          <cell r="H166" t="str">
            <v>IETDH priorizadas por cada ELIV (seguimiento a PMI, que no se hayan visitado en los últimos 3 años)</v>
          </cell>
          <cell r="I166" t="str">
            <v>SEGUIMIENTO_Y_SUPERVISIÓN.</v>
          </cell>
          <cell r="J166"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66" t="str">
            <v>XIMENA CAROLINA RAMÍREZ MORALES</v>
          </cell>
          <cell r="L166" t="str">
            <v>JUANITA LINA CAROLINA RAMÍREZ LÓPEZ</v>
          </cell>
          <cell r="M166">
            <v>45744</v>
          </cell>
          <cell r="N166">
            <v>45750</v>
          </cell>
          <cell r="O166">
            <v>45750</v>
          </cell>
          <cell r="P166" t="str">
            <v>Visitas de evaluación con fines de seguimiento</v>
          </cell>
          <cell r="Q166" t="str">
            <v>0403 Acta de Visita Autodominio final.pdf</v>
          </cell>
          <cell r="R166" t="str">
            <v>Se verificó plataforma CEA Web, donde se registra los matriculados, clases programas, pagos, contrato, hoja de matrícula. Además, usan la plataforma Aulaap que es la obligatoria del SICOV (Sistema de Control y Vigilancia de la Superintendencia de Transporte), listado de aprendices, listado de vehículos, listado de instructores y administrativos, aulas de clase, computadores, dispositivos de autenticación (cámara, huella, PAD de firmas), programación de clases (teóricas, practicas, taller, exámenes)</v>
          </cell>
          <cell r="S166" t="str">
            <v xml:space="preserve">Continuar con la prestación del servicio  de acuerdo con lo establecido en la normatividad vigente. </v>
          </cell>
          <cell r="T166" t="str">
            <v>No</v>
          </cell>
          <cell r="U166" t="str">
            <v>Se hará verificación en caso de presentarse requerimiento</v>
          </cell>
        </row>
        <row r="167">
          <cell r="A167">
            <v>1804</v>
          </cell>
          <cell r="B167"/>
          <cell r="C167" t="str">
            <v>SAN CRISTÓBAL</v>
          </cell>
          <cell r="D167" t="str">
            <v>PRIVADO_IETDH</v>
          </cell>
          <cell r="E167" t="str">
            <v>IETDH</v>
          </cell>
          <cell r="F167" t="str">
            <v>CENTRO_DE_ENSEÑANZA_AUTOMOVILISTICA_AUTODOMINIO</v>
          </cell>
          <cell r="G167" t="str">
            <v>CENTRO DE ENSEÑANZA AUTOMOVILISTICA AUTODOMINIO</v>
          </cell>
          <cell r="H167" t="str">
            <v>IETDH priorizadas por cada ELIV (seguimiento a PMI, que no se hayan visitado en los últimos 3 años)</v>
          </cell>
          <cell r="I167" t="str">
            <v>SEGUIMIENTO_Y_SUPERVISIÓN.</v>
          </cell>
          <cell r="J167" t="str">
            <v>Adelantar visitas para verificar que el desarrollo de los programas de ETDH, esté de acuerdo con lo autorizado y la normatividad vigente, para propender por su pertinencia, legalidad y actualización constante.</v>
          </cell>
          <cell r="K167" t="str">
            <v>XIMENA CAROLINA RAMÍREZ MORALES</v>
          </cell>
          <cell r="L167" t="str">
            <v>JUANITA LINA CAROLINA RAMÍREZ LÓPEZ</v>
          </cell>
          <cell r="M167">
            <v>45744</v>
          </cell>
          <cell r="N167">
            <v>45750</v>
          </cell>
          <cell r="O167">
            <v>45750</v>
          </cell>
          <cell r="P167" t="str">
            <v>Visitas de evaluación con fines de seguimiento</v>
          </cell>
          <cell r="Q167" t="str">
            <v>0403 Acta de Visita Autodominio final.pdf</v>
          </cell>
          <cell r="R167" t="str">
            <v>Se constató PEI  e información de los programas de acuerdo con lo establecido resolución 20223040009245 del 24 de febrero de 2022 del Ministerio de Transporte</v>
          </cell>
          <cell r="S167" t="str">
            <v>Continuar el desarrollo de los programas de acuerdo con la normatividad vigente.</v>
          </cell>
          <cell r="T167" t="str">
            <v>No</v>
          </cell>
          <cell r="U167" t="str">
            <v>Se hará verificación en caso de presentarse requerimiento</v>
          </cell>
        </row>
        <row r="168">
          <cell r="A168">
            <v>1805</v>
          </cell>
          <cell r="B168"/>
          <cell r="C168" t="str">
            <v>SAN CRISTÓBAL</v>
          </cell>
          <cell r="D168" t="str">
            <v>PRIVADO_IETDH</v>
          </cell>
          <cell r="E168" t="str">
            <v>IETDH</v>
          </cell>
          <cell r="F168" t="str">
            <v>CENTRO_DE_ENSEÑANZA_AUTOMOVILISTICA_AUTODOMINIO</v>
          </cell>
          <cell r="G168" t="str">
            <v>CENTRO DE ENSEÑANZA AUTOMOVILISTICA AUTODOMINIO</v>
          </cell>
          <cell r="H168" t="str">
            <v>IETDH priorizadas por cada ELIV (seguimiento a PMI, que no se hayan visitado en los últimos 3 años)</v>
          </cell>
          <cell r="I168" t="str">
            <v>EVALUACIÓN_CON_FINES_DE_MEJORAMIENTO.</v>
          </cell>
          <cell r="J168" t="str">
            <v>Verificar las condiciones en cuanto a: la estructura administrativa, condiciones de la planta física y medios educativos adecuados.</v>
          </cell>
          <cell r="K168" t="str">
            <v>XIMENA CAROLINA RAMÍREZ MORALES</v>
          </cell>
          <cell r="L168" t="str">
            <v>JUANITA LINA CAROLINA RAMÍREZ LÓPEZ</v>
          </cell>
          <cell r="M168">
            <v>45744</v>
          </cell>
          <cell r="N168">
            <v>45750</v>
          </cell>
          <cell r="O168">
            <v>45750</v>
          </cell>
          <cell r="P168" t="str">
            <v>Visitas de evaluación con fines de seguimiento</v>
          </cell>
          <cell r="Q168" t="str">
            <v>0403 Acta de Visita Autodominio final.pdf</v>
          </cell>
          <cell r="R168" t="str">
            <v>Presenta Concepto Higiénico Sanitario Favorable con Requerimientos No. 703331 del 3/02/2025, con observaciones de mantenimiento de pared con humedad, y adecuados procesos de limpieza en baño de hombres.</v>
          </cell>
          <cell r="S168" t="str">
            <v>De acuerdo con el recorrido en las instalaciones de la ETDH, se constato arreglo de humedades y limpieza general en cada uno de los espacios destinados a los baños.</v>
          </cell>
          <cell r="T168" t="str">
            <v>No</v>
          </cell>
          <cell r="U168" t="str">
            <v>Se hará verificación en caso de presentarse requerimiento</v>
          </cell>
        </row>
        <row r="169">
          <cell r="A169">
            <v>1806</v>
          </cell>
          <cell r="B169">
            <v>21</v>
          </cell>
          <cell r="C169" t="str">
            <v>SAN CRISTÓBAL</v>
          </cell>
          <cell r="D169" t="str">
            <v>PRIVADO_IETDH</v>
          </cell>
          <cell r="E169" t="str">
            <v>IETDH</v>
          </cell>
          <cell r="F169" t="str">
            <v>CENTRO_DE_CAPACITACIÓN_LABORAL_MIQUELINA</v>
          </cell>
          <cell r="G169" t="str">
            <v>CENTRO DE CAPACITACIÓN LABORAL MIQUELINA</v>
          </cell>
          <cell r="H169" t="str">
            <v>IETDH priorizadas por cada ELIV (seguimiento a PMI, que no se hayan visitado en los últimos 3 años)</v>
          </cell>
          <cell r="I169" t="str">
            <v>SEGUIMIENTO_Y_SUPERVISIÓN.</v>
          </cell>
          <cell r="J169"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69" t="str">
            <v>JUANITA LINA CAROLINA RAMÍREZ LÓPEZ</v>
          </cell>
          <cell r="L169" t="str">
            <v>XIMENA CAROLINA RAMÍREZ MORALES</v>
          </cell>
          <cell r="M169">
            <v>45785</v>
          </cell>
          <cell r="N169">
            <v>45785</v>
          </cell>
          <cell r="O169">
            <v>45785</v>
          </cell>
          <cell r="P169" t="str">
            <v>Visitas de evaluación con fines de mejoramiento</v>
          </cell>
          <cell r="Q169" t="str">
            <v>0508 Acta visita administrativa Centro de Capacitación Laboral Miquelina.pdf</v>
          </cell>
          <cell r="R169" t="str">
            <v xml:space="preserve">Revisado el SIET en la vigenciia 2024 se han regisrado estudiantes certificados. Actualmente la insttitución está impartiendo los programas TL en prendas de vestir, TL peluquero estilista, TL manicura y pedicura, TL en operación de máquinas de confección industrial. </v>
          </cell>
          <cell r="S169" t="str">
            <v xml:space="preserve">Continuar con la prestación del servicio  de acuerdo con lo establecido en la normatividad vigente. </v>
          </cell>
          <cell r="T169" t="str">
            <v>No</v>
          </cell>
          <cell r="U169" t="str">
            <v>Se hará verificación en caso de presentarse requerimiento</v>
          </cell>
        </row>
        <row r="170">
          <cell r="A170">
            <v>1807</v>
          </cell>
          <cell r="B170"/>
          <cell r="C170" t="str">
            <v>SAN CRISTÓBAL</v>
          </cell>
          <cell r="D170" t="str">
            <v>PRIVADO_IETDH</v>
          </cell>
          <cell r="E170" t="str">
            <v>IETDH</v>
          </cell>
          <cell r="F170" t="str">
            <v>CENTRO_DE_CAPACITACIÓN_LABORAL_MIQUELINA</v>
          </cell>
          <cell r="G170" t="str">
            <v>CENTRO DE CAPACITACIÓN LABORAL MIQUELINA</v>
          </cell>
          <cell r="H170" t="str">
            <v>IETDH priorizadas por cada ELIV (seguimiento a PMI, que no se hayan visitado en los últimos 3 años)</v>
          </cell>
          <cell r="I170" t="str">
            <v>SEGUIMIENTO_Y_SUPERVISIÓN.</v>
          </cell>
          <cell r="J170" t="str">
            <v>Adelantar visitas para verificar que el desarrollo de los programas de ETDH, esté de acuerdo con lo autorizado y la normatividad vigente, para propender por su pertinencia, legalidad y actualización constante.</v>
          </cell>
          <cell r="K170" t="str">
            <v>JUANITA LINA CAROLINA RAMÍREZ LÓPEZ</v>
          </cell>
          <cell r="L170" t="str">
            <v>XIMENA CAROLINA RAMÍREZ MORALES</v>
          </cell>
          <cell r="M170">
            <v>45785</v>
          </cell>
          <cell r="N170">
            <v>45785</v>
          </cell>
          <cell r="O170">
            <v>45785</v>
          </cell>
          <cell r="P170" t="str">
            <v>Visitas de evaluación con fines de mejoramiento</v>
          </cell>
          <cell r="Q170" t="str">
            <v>0508 Acta visita administrativa Centro de Capacitación Laboral Miquelina.pdf</v>
          </cell>
          <cell r="R170" t="str">
            <v>Se constata PEI e  información de los programas de acuerdo con lo establecido en la Clasificación Única de Ocupaciones para Colombia (CUOC).</v>
          </cell>
          <cell r="S170" t="str">
            <v>Continuar con el desarrollo de los programas de acuerdo con la normatividad vigente.</v>
          </cell>
          <cell r="T170" t="str">
            <v>No</v>
          </cell>
          <cell r="U170" t="str">
            <v>Se hará verificación en caso de presentarse requerimiento</v>
          </cell>
        </row>
        <row r="171">
          <cell r="A171">
            <v>1808</v>
          </cell>
          <cell r="B171"/>
          <cell r="C171" t="str">
            <v>SAN CRISTÓBAL</v>
          </cell>
          <cell r="D171" t="str">
            <v>PRIVADO_IETDH</v>
          </cell>
          <cell r="E171" t="str">
            <v>IETDH</v>
          </cell>
          <cell r="F171" t="str">
            <v>CENTRO_DE_CAPACITACIÓN_LABORAL_MIQUELINA</v>
          </cell>
          <cell r="G171" t="str">
            <v>CENTRO DE CAPACITACIÓN LABORAL MIQUELINA</v>
          </cell>
          <cell r="H171" t="str">
            <v>IETDH priorizadas por cada ELIV (seguimiento a PMI, que no se hayan visitado en los últimos 3 años)</v>
          </cell>
          <cell r="I171" t="str">
            <v>EVALUACIÓN_CON_FINES_DE_MEJORAMIENTO.</v>
          </cell>
          <cell r="J171" t="str">
            <v>Verificar las condiciones en cuanto a: la estructura administrativa, condiciones de la planta física y medios educativos adecuados.</v>
          </cell>
          <cell r="K171" t="str">
            <v>JUANITA LINA CAROLINA RAMÍREZ LÓPEZ</v>
          </cell>
          <cell r="L171" t="str">
            <v>XIMENA CAROLINA RAMÍREZ MORALES</v>
          </cell>
          <cell r="M171">
            <v>45785</v>
          </cell>
          <cell r="N171">
            <v>45785</v>
          </cell>
          <cell r="O171">
            <v>45785</v>
          </cell>
          <cell r="P171" t="str">
            <v>Visitas de evaluación con fines de mejoramiento</v>
          </cell>
          <cell r="Q171" t="str">
            <v>0508 Acta visita administrativa Centro de Capacitación Laboral Miquelina.pdf</v>
          </cell>
          <cell r="R171" t="str">
            <v xml:space="preserve">En el recorrido se constatan buenas condiciones de infraestructura en cuanto a iluminación, ventilación y dotación.  
Se verifica acta de visita de secretaria de salud No. SB03E705241 con concepto favorable con requerimientos. </v>
          </cell>
          <cell r="S171" t="str">
            <v xml:space="preserve">La IE subsanó los requerimientos. </v>
          </cell>
          <cell r="T171" t="str">
            <v>No</v>
          </cell>
          <cell r="U171" t="str">
            <v>Se hará verificación en caso de presentarse requerimiento</v>
          </cell>
        </row>
        <row r="172">
          <cell r="A172"/>
          <cell r="B172"/>
          <cell r="C172" t="str">
            <v>SAN CRISTÓBAL</v>
          </cell>
          <cell r="D172" t="str">
            <v>PRIVADO_IETDH</v>
          </cell>
          <cell r="E172" t="str">
            <v>IETDH</v>
          </cell>
          <cell r="F172" t="str">
            <v>FUMEFI</v>
          </cell>
          <cell r="G172" t="str">
            <v>FUMEFI</v>
          </cell>
          <cell r="H172" t="str">
            <v>IETDH priorizadas por cada ELIV (seguimiento a PMI, que no se hayan visitado en los últimos 3 años)</v>
          </cell>
          <cell r="I172" t="str">
            <v>SEGUIMIENTO_Y_SUPERVISIÓN.</v>
          </cell>
          <cell r="J172"/>
          <cell r="K172" t="str">
            <v>JUANITA LINA CAROLINA RAMÍREZ LÓPEZ</v>
          </cell>
          <cell r="L172"/>
          <cell r="M172"/>
          <cell r="N172"/>
          <cell r="O172"/>
          <cell r="P172" t="str">
            <v>Visitas de evaluación con fines de seguimiento</v>
          </cell>
          <cell r="Q172"/>
          <cell r="R172"/>
          <cell r="S172"/>
          <cell r="T172"/>
          <cell r="U172" t="str">
            <v>Se sustituye por la IE  Centro de Formación Integral San Camilo. La priorización se realizó por el tramite de registro de nuevo programa, sobre el cual la CITHS emitio concepto desfavorable</v>
          </cell>
        </row>
        <row r="173">
          <cell r="A173">
            <v>1809</v>
          </cell>
          <cell r="B173">
            <v>22</v>
          </cell>
          <cell r="C173" t="str">
            <v>SAN CRISTÓBAL</v>
          </cell>
          <cell r="D173" t="str">
            <v>PRIVADO_IETDH</v>
          </cell>
          <cell r="E173" t="str">
            <v>IETDH</v>
          </cell>
          <cell r="F173" t="str">
            <v>CENTRO_DE_FORMACIÓN_INTEGRAL_SAN_CAMILO</v>
          </cell>
          <cell r="G173" t="str">
            <v>CENTRO DE FORMACIÓN INTEGRAL SAN CAMILO</v>
          </cell>
          <cell r="H173" t="str">
            <v>IETDH priorizadas por cada ELIV (seguimiento a PMI, que no se hayan visitado en los últimos 3 años)</v>
          </cell>
          <cell r="I173" t="str">
            <v>SEGUIMIENTO_Y_SUPERVISIÓN.</v>
          </cell>
          <cell r="J17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73" t="str">
            <v>JAIRO ANDRÉS ÁLVAREZ CHÁVEZ</v>
          </cell>
          <cell r="L173" t="str">
            <v>XIMENA CAROLINA RAMÍREZ MORALES</v>
          </cell>
          <cell r="M173">
            <v>45892</v>
          </cell>
          <cell r="N173">
            <v>45892</v>
          </cell>
          <cell r="O173">
            <v>45905</v>
          </cell>
          <cell r="P173" t="str">
            <v>Visitas de evaluación con fines de seguimiento</v>
          </cell>
          <cell r="Q173" t="str">
            <v>Formato visita administrativa integral IETDH San Camilo.pdf</v>
          </cell>
          <cell r="R173" t="str">
            <v>se constató los Matrícula, Certificados y Costos. Se realizaron solicitudes de ajuste respectivamente en remisorios, adecuados a resoluciones</v>
          </cell>
          <cell r="S173" t="str">
            <v>La IE está en tiempo de presentar el ajuste observado</v>
          </cell>
          <cell r="T173" t="str">
            <v>No</v>
          </cell>
          <cell r="U173" t="str">
            <v>Se hará verificación en caso de presentarse requerimiento</v>
          </cell>
        </row>
        <row r="174">
          <cell r="A174">
            <v>1810</v>
          </cell>
          <cell r="B174"/>
          <cell r="C174" t="str">
            <v>SAN CRISTÓBAL</v>
          </cell>
          <cell r="D174" t="str">
            <v>PRIVADO_IETDH</v>
          </cell>
          <cell r="E174" t="str">
            <v>IETDH</v>
          </cell>
          <cell r="F174" t="str">
            <v>CENTRO_DE_FORMACIÓN_INTEGRAL_SAN_CAMILO</v>
          </cell>
          <cell r="G174" t="str">
            <v>CENTRO DE FORMACIÓN INTEGRAL SAN CAMILO</v>
          </cell>
          <cell r="H174" t="str">
            <v>IETDH priorizadas por cada ELIV (seguimiento a PMI, que no se hayan visitado en los últimos 3 años)</v>
          </cell>
          <cell r="I174" t="str">
            <v>SEGUIMIENTO_Y_SUPERVISIÓN.</v>
          </cell>
          <cell r="J174" t="str">
            <v>Adelantar visitas para verificar que el desarrollo de los programas de ETDH, esté de acuerdo con lo autorizado y la normatividad vigente, para propender por su pertinencia, legalidad y actualización constante.</v>
          </cell>
          <cell r="K174" t="str">
            <v>JAIRO ANDRÉS ÁLVAREZ CHÁVEZ</v>
          </cell>
          <cell r="L174" t="str">
            <v>XIMENA CAROLINA RAMÍREZ MORALES</v>
          </cell>
          <cell r="M174">
            <v>45892</v>
          </cell>
          <cell r="N174">
            <v>45892</v>
          </cell>
          <cell r="O174">
            <v>45905</v>
          </cell>
          <cell r="P174" t="str">
            <v>Visitas de evaluación con fines de seguimiento</v>
          </cell>
          <cell r="Q174" t="str">
            <v>Formato visita administrativa integral IETDH San Camilo.pdf</v>
          </cell>
          <cell r="R174" t="str">
            <v>ELIV constata la existencia de Programas, y el vencimiento próximo de dos de ellos. Se realizan notas respecto de Jurisdicción y Metodología, entre otros</v>
          </cell>
          <cell r="S174" t="str">
            <v>La IE está en tiempo de presentar el ajuste observado</v>
          </cell>
          <cell r="T174" t="str">
            <v>No</v>
          </cell>
          <cell r="U174" t="str">
            <v>Se hará verificación en caso de presentarse requerimiento</v>
          </cell>
        </row>
        <row r="175">
          <cell r="A175">
            <v>1811</v>
          </cell>
          <cell r="B175"/>
          <cell r="C175" t="str">
            <v>SAN CRISTÓBAL</v>
          </cell>
          <cell r="D175" t="str">
            <v>PRIVADO_IETDH</v>
          </cell>
          <cell r="E175" t="str">
            <v>IETDH</v>
          </cell>
          <cell r="F175" t="str">
            <v>CENTRO_DE_FORMACIÓN_INTEGRAL_SAN_CAMILO</v>
          </cell>
          <cell r="G175" t="str">
            <v>CENTRO DE FORMACIÓN INTEGRAL SAN CAMILO</v>
          </cell>
          <cell r="H175" t="str">
            <v>IETDH priorizadas por cada ELIV (seguimiento a PMI, que no se hayan visitado en los últimos 3 años)</v>
          </cell>
          <cell r="I175" t="str">
            <v>EVALUACIÓN_CON_FINES_DE_MEJORAMIENTO.</v>
          </cell>
          <cell r="J175" t="str">
            <v>Verificar las condiciones en cuanto a: la estructura administrativa, condiciones de la planta física y medios educativos adecuados.</v>
          </cell>
          <cell r="K175" t="str">
            <v>JAIRO ANDRÉS ÁLVAREZ CHÁVEZ</v>
          </cell>
          <cell r="L175" t="str">
            <v>XIMENA CAROLINA RAMÍREZ MORALES</v>
          </cell>
          <cell r="M175">
            <v>45892</v>
          </cell>
          <cell r="N175">
            <v>45892</v>
          </cell>
          <cell r="O175">
            <v>45905</v>
          </cell>
          <cell r="P175" t="str">
            <v>Visitas de evaluación con fines de seguimiento</v>
          </cell>
          <cell r="Q175" t="str">
            <v>Formato visita administrativa integral IETDH San Camilo.pdf</v>
          </cell>
          <cell r="R175" t="str">
            <v>ELIV recorre el inmueble y encuentra instalaciones adecuadas para la prestación del servicio educativo</v>
          </cell>
          <cell r="S175" t="str">
            <v>La IE está en tiempo de presentar el ajuste observado</v>
          </cell>
          <cell r="T175" t="str">
            <v>No</v>
          </cell>
          <cell r="U175" t="str">
            <v>Se hará verificación en caso de presentarse requerimiento</v>
          </cell>
        </row>
        <row r="176">
          <cell r="A176"/>
          <cell r="B176"/>
          <cell r="C176"/>
          <cell r="D176"/>
          <cell r="E176"/>
          <cell r="F176"/>
          <cell r="G176"/>
          <cell r="H176"/>
          <cell r="I176"/>
          <cell r="J176"/>
          <cell r="K176"/>
          <cell r="L176"/>
          <cell r="M176"/>
          <cell r="N176"/>
          <cell r="O176"/>
          <cell r="P176"/>
          <cell r="Q176"/>
          <cell r="R176"/>
          <cell r="S176"/>
          <cell r="T176"/>
          <cell r="U176"/>
        </row>
        <row r="177">
          <cell r="A177"/>
          <cell r="B177"/>
          <cell r="C177"/>
          <cell r="D177"/>
          <cell r="E177"/>
          <cell r="F177"/>
          <cell r="G177"/>
          <cell r="H177"/>
          <cell r="I177"/>
          <cell r="J177"/>
          <cell r="K177"/>
          <cell r="L177"/>
          <cell r="M177"/>
          <cell r="N177"/>
          <cell r="O177"/>
          <cell r="P177"/>
          <cell r="Q177"/>
          <cell r="R177"/>
          <cell r="S177"/>
          <cell r="T177"/>
          <cell r="U177"/>
        </row>
        <row r="178">
          <cell r="A178"/>
          <cell r="B178"/>
          <cell r="C178"/>
          <cell r="D178"/>
          <cell r="E178"/>
          <cell r="F178"/>
          <cell r="G178"/>
          <cell r="H178"/>
          <cell r="I178"/>
          <cell r="J178"/>
          <cell r="K178"/>
          <cell r="L178"/>
          <cell r="M178"/>
          <cell r="N178"/>
          <cell r="O178"/>
          <cell r="P178"/>
          <cell r="Q178"/>
          <cell r="R178"/>
          <cell r="S178"/>
          <cell r="T178"/>
          <cell r="U178"/>
        </row>
        <row r="179">
          <cell r="A179"/>
          <cell r="B179"/>
          <cell r="C179"/>
          <cell r="D179"/>
          <cell r="E179"/>
          <cell r="F179"/>
          <cell r="G179"/>
          <cell r="H179"/>
          <cell r="I179"/>
          <cell r="J179"/>
          <cell r="K179"/>
          <cell r="L179"/>
          <cell r="M179"/>
          <cell r="N179"/>
          <cell r="O179"/>
          <cell r="P179"/>
          <cell r="Q179"/>
          <cell r="R179"/>
          <cell r="S179"/>
          <cell r="T179"/>
          <cell r="U179"/>
        </row>
        <row r="180">
          <cell r="A180"/>
          <cell r="B180"/>
          <cell r="C180"/>
          <cell r="D180"/>
          <cell r="E180"/>
          <cell r="F180"/>
          <cell r="G180"/>
          <cell r="H180"/>
          <cell r="I180"/>
          <cell r="J180"/>
          <cell r="K180"/>
          <cell r="L180"/>
          <cell r="M180"/>
          <cell r="N180"/>
          <cell r="O180"/>
          <cell r="P180"/>
          <cell r="Q180"/>
          <cell r="R180"/>
          <cell r="S180"/>
          <cell r="T180"/>
          <cell r="U180"/>
        </row>
        <row r="181">
          <cell r="A181"/>
          <cell r="B181"/>
          <cell r="C181"/>
          <cell r="D181"/>
          <cell r="E181"/>
          <cell r="F181"/>
          <cell r="G181"/>
          <cell r="H181"/>
          <cell r="I181"/>
          <cell r="J181"/>
          <cell r="K181"/>
          <cell r="L181"/>
          <cell r="M181"/>
          <cell r="N181"/>
          <cell r="O181"/>
          <cell r="P181"/>
          <cell r="Q181"/>
          <cell r="R181"/>
          <cell r="S181"/>
          <cell r="T181"/>
          <cell r="U181"/>
        </row>
        <row r="182">
          <cell r="A182"/>
          <cell r="B182"/>
          <cell r="C182"/>
          <cell r="D182"/>
          <cell r="E182"/>
          <cell r="F182"/>
          <cell r="G182"/>
          <cell r="H182"/>
          <cell r="I182"/>
          <cell r="J182"/>
          <cell r="K182"/>
          <cell r="L182"/>
          <cell r="M182"/>
          <cell r="N182"/>
          <cell r="O182"/>
          <cell r="P182"/>
          <cell r="Q182"/>
          <cell r="R182"/>
          <cell r="S182"/>
          <cell r="T182"/>
          <cell r="U182"/>
        </row>
        <row r="183">
          <cell r="A183"/>
          <cell r="B183"/>
          <cell r="C183"/>
          <cell r="D183"/>
          <cell r="E183"/>
          <cell r="F183"/>
          <cell r="G183"/>
          <cell r="H183"/>
          <cell r="I183"/>
          <cell r="J183"/>
          <cell r="K183"/>
          <cell r="L183"/>
          <cell r="M183"/>
          <cell r="N183"/>
          <cell r="O183"/>
          <cell r="P183"/>
          <cell r="Q183"/>
          <cell r="R183"/>
          <cell r="S183"/>
          <cell r="T183"/>
          <cell r="U183"/>
        </row>
        <row r="184">
          <cell r="A184"/>
          <cell r="B184"/>
          <cell r="C184"/>
          <cell r="D184"/>
          <cell r="E184"/>
          <cell r="F184"/>
          <cell r="G184"/>
          <cell r="H184"/>
          <cell r="I184"/>
          <cell r="J184"/>
          <cell r="K184"/>
          <cell r="L184"/>
          <cell r="M184"/>
          <cell r="N184"/>
          <cell r="O184"/>
          <cell r="P184"/>
          <cell r="Q184"/>
          <cell r="R184"/>
          <cell r="S184"/>
          <cell r="T184"/>
          <cell r="U184"/>
        </row>
        <row r="185">
          <cell r="A185"/>
          <cell r="B185"/>
          <cell r="C185"/>
          <cell r="D185"/>
          <cell r="E185"/>
          <cell r="F185"/>
          <cell r="G185"/>
          <cell r="H185"/>
          <cell r="I185"/>
          <cell r="J185"/>
          <cell r="K185"/>
          <cell r="L185"/>
          <cell r="M185"/>
          <cell r="N185"/>
          <cell r="O185"/>
          <cell r="P185"/>
          <cell r="Q185"/>
          <cell r="R185"/>
          <cell r="S185"/>
          <cell r="T185"/>
          <cell r="U185"/>
        </row>
        <row r="186">
          <cell r="A186"/>
          <cell r="B186"/>
          <cell r="C186"/>
          <cell r="D186"/>
          <cell r="E186"/>
          <cell r="F186"/>
          <cell r="G186"/>
          <cell r="H186"/>
          <cell r="I186"/>
          <cell r="J186"/>
          <cell r="K186"/>
          <cell r="L186"/>
          <cell r="M186"/>
          <cell r="N186"/>
          <cell r="O186"/>
          <cell r="P186"/>
          <cell r="Q186"/>
          <cell r="R186"/>
          <cell r="S186"/>
          <cell r="T186"/>
          <cell r="U186"/>
        </row>
        <row r="187">
          <cell r="A187"/>
          <cell r="B187"/>
          <cell r="C187"/>
          <cell r="D187"/>
          <cell r="E187"/>
          <cell r="F187"/>
          <cell r="G187"/>
          <cell r="H187"/>
          <cell r="I187"/>
          <cell r="J187"/>
          <cell r="K187"/>
          <cell r="L187"/>
          <cell r="M187"/>
          <cell r="N187"/>
          <cell r="O187"/>
          <cell r="P187"/>
          <cell r="Q187"/>
          <cell r="R187"/>
          <cell r="S187"/>
          <cell r="T187"/>
          <cell r="U187"/>
        </row>
        <row r="188">
          <cell r="A188"/>
          <cell r="B188"/>
          <cell r="C188"/>
          <cell r="D188"/>
          <cell r="E188"/>
          <cell r="F188"/>
          <cell r="G188"/>
          <cell r="H188"/>
          <cell r="I188"/>
          <cell r="J188"/>
          <cell r="K188"/>
          <cell r="L188"/>
          <cell r="M188"/>
          <cell r="N188"/>
          <cell r="O188"/>
          <cell r="P188"/>
          <cell r="Q188"/>
          <cell r="R188"/>
          <cell r="S188"/>
          <cell r="T188"/>
          <cell r="U188"/>
        </row>
        <row r="189">
          <cell r="A189"/>
          <cell r="B189"/>
          <cell r="C189"/>
          <cell r="D189"/>
          <cell r="E189"/>
          <cell r="F189"/>
          <cell r="G189"/>
          <cell r="H189"/>
          <cell r="I189"/>
          <cell r="J189"/>
          <cell r="K189"/>
          <cell r="L189"/>
          <cell r="M189"/>
          <cell r="N189"/>
          <cell r="O189"/>
          <cell r="P189"/>
          <cell r="Q189"/>
          <cell r="R189"/>
          <cell r="S189"/>
          <cell r="T189"/>
          <cell r="U189"/>
        </row>
        <row r="190">
          <cell r="A190"/>
          <cell r="B190"/>
          <cell r="C190"/>
          <cell r="D190"/>
          <cell r="E190"/>
          <cell r="F190"/>
          <cell r="G190"/>
          <cell r="H190"/>
          <cell r="I190"/>
          <cell r="J190"/>
          <cell r="K190"/>
          <cell r="L190"/>
          <cell r="M190"/>
          <cell r="N190"/>
          <cell r="O190"/>
          <cell r="P190"/>
          <cell r="Q190"/>
          <cell r="R190"/>
          <cell r="S190"/>
          <cell r="T190"/>
          <cell r="U190"/>
        </row>
        <row r="191">
          <cell r="A191"/>
          <cell r="B191"/>
          <cell r="C191"/>
          <cell r="D191"/>
          <cell r="E191"/>
          <cell r="F191"/>
          <cell r="G191"/>
          <cell r="H191"/>
          <cell r="I191"/>
          <cell r="J191"/>
          <cell r="K191"/>
          <cell r="L191"/>
          <cell r="M191"/>
          <cell r="N191"/>
          <cell r="O191"/>
          <cell r="P191"/>
          <cell r="Q191"/>
          <cell r="R191"/>
          <cell r="S191"/>
          <cell r="T191"/>
          <cell r="U191"/>
        </row>
        <row r="192">
          <cell r="A192"/>
          <cell r="B192"/>
          <cell r="C192"/>
          <cell r="D192"/>
          <cell r="E192"/>
          <cell r="F192"/>
          <cell r="G192"/>
          <cell r="H192"/>
          <cell r="I192"/>
          <cell r="J192"/>
          <cell r="K192"/>
          <cell r="L192"/>
          <cell r="M192"/>
          <cell r="N192"/>
          <cell r="O192"/>
          <cell r="P192"/>
          <cell r="Q192"/>
          <cell r="R192"/>
          <cell r="S192"/>
          <cell r="T192"/>
          <cell r="U192"/>
        </row>
        <row r="193">
          <cell r="A193"/>
          <cell r="B193"/>
          <cell r="C193"/>
          <cell r="D193"/>
          <cell r="E193"/>
          <cell r="F193"/>
          <cell r="G193"/>
          <cell r="H193"/>
          <cell r="I193"/>
          <cell r="J193"/>
          <cell r="K193"/>
          <cell r="L193"/>
          <cell r="M193"/>
          <cell r="N193"/>
          <cell r="O193"/>
          <cell r="P193"/>
          <cell r="Q193"/>
          <cell r="R193"/>
          <cell r="S193"/>
          <cell r="T193"/>
          <cell r="U193"/>
        </row>
        <row r="194">
          <cell r="A194"/>
          <cell r="B194"/>
          <cell r="C194"/>
          <cell r="D194"/>
          <cell r="E194"/>
          <cell r="F194"/>
          <cell r="G194"/>
          <cell r="H194"/>
          <cell r="I194"/>
          <cell r="J194"/>
          <cell r="K194"/>
          <cell r="L194"/>
          <cell r="M194"/>
          <cell r="N194"/>
          <cell r="O194"/>
          <cell r="P194"/>
          <cell r="Q194"/>
          <cell r="R194"/>
          <cell r="S194"/>
          <cell r="T194"/>
          <cell r="U194"/>
        </row>
        <row r="195">
          <cell r="A195"/>
          <cell r="B195"/>
          <cell r="C195"/>
          <cell r="D195"/>
          <cell r="E195"/>
          <cell r="F195"/>
          <cell r="G195"/>
          <cell r="H195"/>
          <cell r="I195"/>
          <cell r="J195"/>
          <cell r="K195"/>
          <cell r="L195"/>
          <cell r="M195"/>
          <cell r="N195"/>
          <cell r="O195"/>
          <cell r="P195"/>
          <cell r="Q195"/>
          <cell r="R195"/>
          <cell r="S195"/>
          <cell r="T195"/>
          <cell r="U195"/>
        </row>
        <row r="196">
          <cell r="A196"/>
          <cell r="B196"/>
          <cell r="C196"/>
          <cell r="D196"/>
          <cell r="E196"/>
          <cell r="F196"/>
          <cell r="G196"/>
          <cell r="H196"/>
          <cell r="I196"/>
          <cell r="J196"/>
          <cell r="K196"/>
          <cell r="L196"/>
          <cell r="M196"/>
          <cell r="N196"/>
          <cell r="O196"/>
          <cell r="P196"/>
          <cell r="Q196"/>
          <cell r="R196"/>
          <cell r="S196"/>
          <cell r="T196"/>
          <cell r="U196"/>
        </row>
        <row r="197">
          <cell r="A197"/>
          <cell r="B197"/>
          <cell r="C197"/>
          <cell r="D197"/>
          <cell r="E197"/>
          <cell r="F197"/>
          <cell r="G197"/>
          <cell r="H197"/>
          <cell r="I197"/>
          <cell r="J197"/>
          <cell r="K197"/>
          <cell r="L197"/>
          <cell r="M197"/>
          <cell r="N197"/>
          <cell r="O197"/>
          <cell r="P197"/>
          <cell r="Q197"/>
          <cell r="R197"/>
          <cell r="S197"/>
          <cell r="T197"/>
          <cell r="U197"/>
        </row>
        <row r="198">
          <cell r="A198"/>
          <cell r="B198"/>
          <cell r="C198"/>
          <cell r="D198"/>
          <cell r="E198"/>
          <cell r="F198"/>
          <cell r="G198"/>
          <cell r="H198"/>
          <cell r="I198"/>
          <cell r="J198"/>
          <cell r="K198"/>
          <cell r="L198"/>
          <cell r="M198"/>
          <cell r="N198"/>
          <cell r="O198"/>
          <cell r="P198"/>
          <cell r="Q198"/>
          <cell r="R198"/>
          <cell r="S198"/>
          <cell r="T198"/>
          <cell r="U198"/>
        </row>
        <row r="199">
          <cell r="A199"/>
          <cell r="B199"/>
          <cell r="C199"/>
          <cell r="D199"/>
          <cell r="E199"/>
          <cell r="F199"/>
          <cell r="G199"/>
          <cell r="H199"/>
          <cell r="I199"/>
          <cell r="J199"/>
          <cell r="K199"/>
          <cell r="L199"/>
          <cell r="M199"/>
          <cell r="N199"/>
          <cell r="O199"/>
          <cell r="P199"/>
          <cell r="Q199"/>
          <cell r="R199"/>
          <cell r="S199"/>
          <cell r="T199"/>
          <cell r="U199"/>
        </row>
        <row r="200">
          <cell r="A200"/>
          <cell r="B200"/>
          <cell r="C200"/>
          <cell r="D200"/>
          <cell r="E200"/>
          <cell r="F200"/>
          <cell r="G200"/>
          <cell r="H200"/>
          <cell r="I200"/>
          <cell r="J200"/>
          <cell r="K200"/>
          <cell r="L200"/>
          <cell r="M200"/>
          <cell r="N200"/>
          <cell r="O200"/>
          <cell r="P200"/>
          <cell r="Q200"/>
          <cell r="R200"/>
          <cell r="S200"/>
          <cell r="T200"/>
          <cell r="U200"/>
        </row>
        <row r="201">
          <cell r="A201"/>
          <cell r="B201"/>
          <cell r="C201"/>
          <cell r="D201"/>
          <cell r="E201"/>
          <cell r="F201"/>
          <cell r="G201"/>
          <cell r="H201"/>
          <cell r="I201"/>
          <cell r="J201"/>
          <cell r="K201"/>
          <cell r="L201"/>
          <cell r="M201"/>
          <cell r="N201"/>
          <cell r="O201"/>
          <cell r="P201"/>
          <cell r="Q201"/>
          <cell r="R201"/>
          <cell r="S201"/>
          <cell r="T201"/>
          <cell r="U201"/>
        </row>
        <row r="202">
          <cell r="A202"/>
          <cell r="B202"/>
          <cell r="C202"/>
          <cell r="D202"/>
          <cell r="E202"/>
          <cell r="F202"/>
          <cell r="G202"/>
          <cell r="H202"/>
          <cell r="I202"/>
          <cell r="J202"/>
          <cell r="K202"/>
          <cell r="L202"/>
          <cell r="M202"/>
          <cell r="N202"/>
          <cell r="O202"/>
          <cell r="P202"/>
          <cell r="Q202"/>
          <cell r="R202"/>
          <cell r="S202"/>
          <cell r="T202"/>
          <cell r="U202"/>
        </row>
        <row r="203">
          <cell r="A203"/>
          <cell r="B203"/>
          <cell r="C203"/>
          <cell r="D203"/>
          <cell r="E203"/>
          <cell r="F203"/>
          <cell r="G203"/>
          <cell r="H203"/>
          <cell r="I203"/>
          <cell r="J203"/>
          <cell r="K203"/>
          <cell r="L203"/>
          <cell r="M203"/>
          <cell r="N203"/>
          <cell r="O203"/>
          <cell r="P203"/>
          <cell r="Q203"/>
          <cell r="R203"/>
          <cell r="S203"/>
          <cell r="T203"/>
          <cell r="U203"/>
        </row>
        <row r="204">
          <cell r="A204"/>
          <cell r="B204"/>
          <cell r="C204"/>
          <cell r="D204"/>
          <cell r="E204"/>
          <cell r="F204"/>
          <cell r="G204"/>
          <cell r="H204"/>
          <cell r="I204"/>
          <cell r="J204"/>
          <cell r="K204"/>
          <cell r="L204"/>
          <cell r="M204"/>
          <cell r="N204"/>
          <cell r="O204"/>
          <cell r="P204"/>
          <cell r="Q204"/>
          <cell r="R204"/>
          <cell r="S204"/>
          <cell r="T204"/>
          <cell r="U204"/>
        </row>
        <row r="205">
          <cell r="A205"/>
          <cell r="B205"/>
          <cell r="C205"/>
          <cell r="D205"/>
          <cell r="E205"/>
          <cell r="F205"/>
          <cell r="G205"/>
          <cell r="H205"/>
          <cell r="I205"/>
          <cell r="J205"/>
          <cell r="K205"/>
          <cell r="L205"/>
          <cell r="M205"/>
          <cell r="N205"/>
          <cell r="O205"/>
          <cell r="P205"/>
          <cell r="Q205"/>
          <cell r="R205"/>
          <cell r="S205"/>
          <cell r="T205"/>
          <cell r="U205"/>
        </row>
        <row r="206">
          <cell r="A206"/>
          <cell r="B206"/>
          <cell r="C206"/>
          <cell r="D206"/>
          <cell r="E206"/>
          <cell r="F206"/>
          <cell r="G206"/>
          <cell r="H206"/>
          <cell r="I206"/>
          <cell r="J206"/>
          <cell r="K206"/>
          <cell r="L206"/>
          <cell r="M206"/>
          <cell r="N206"/>
          <cell r="O206"/>
          <cell r="P206"/>
          <cell r="Q206"/>
          <cell r="R206"/>
          <cell r="S206"/>
          <cell r="T206"/>
          <cell r="U206"/>
        </row>
        <row r="207">
          <cell r="A207"/>
          <cell r="B207"/>
          <cell r="C207"/>
          <cell r="D207"/>
          <cell r="E207"/>
          <cell r="F207"/>
          <cell r="G207"/>
          <cell r="H207"/>
          <cell r="I207"/>
          <cell r="J207"/>
          <cell r="K207"/>
          <cell r="L207"/>
          <cell r="M207"/>
          <cell r="N207"/>
          <cell r="O207"/>
          <cell r="P207"/>
          <cell r="Q207"/>
          <cell r="R207"/>
          <cell r="S207"/>
          <cell r="T207"/>
          <cell r="U207"/>
        </row>
        <row r="208">
          <cell r="A208"/>
          <cell r="B208"/>
          <cell r="C208"/>
          <cell r="D208"/>
          <cell r="E208"/>
          <cell r="F208"/>
          <cell r="G208"/>
          <cell r="H208"/>
          <cell r="I208"/>
          <cell r="J208"/>
          <cell r="K208"/>
          <cell r="L208"/>
          <cell r="M208"/>
          <cell r="N208"/>
          <cell r="O208"/>
          <cell r="P208"/>
          <cell r="Q208"/>
          <cell r="R208"/>
          <cell r="S208"/>
          <cell r="T208"/>
          <cell r="U208"/>
        </row>
        <row r="209">
          <cell r="A209"/>
          <cell r="B209"/>
          <cell r="C209"/>
          <cell r="D209"/>
          <cell r="E209"/>
          <cell r="F209"/>
          <cell r="G209"/>
          <cell r="H209"/>
          <cell r="I209"/>
          <cell r="J209"/>
          <cell r="K209"/>
          <cell r="L209"/>
          <cell r="M209"/>
          <cell r="N209"/>
          <cell r="O209"/>
          <cell r="P209"/>
          <cell r="Q209"/>
          <cell r="R209"/>
          <cell r="S209"/>
          <cell r="T209"/>
          <cell r="U209"/>
        </row>
        <row r="210">
          <cell r="A210"/>
          <cell r="B210"/>
          <cell r="C210"/>
          <cell r="D210"/>
          <cell r="E210"/>
          <cell r="F210"/>
          <cell r="G210"/>
          <cell r="H210"/>
          <cell r="I210"/>
          <cell r="J210"/>
          <cell r="K210"/>
          <cell r="L210"/>
          <cell r="M210"/>
          <cell r="N210"/>
          <cell r="O210"/>
          <cell r="P210"/>
          <cell r="Q210"/>
          <cell r="R210"/>
          <cell r="S210"/>
          <cell r="T210"/>
          <cell r="U210"/>
        </row>
        <row r="211">
          <cell r="A211"/>
          <cell r="B211"/>
          <cell r="C211"/>
          <cell r="D211"/>
          <cell r="E211"/>
          <cell r="F211"/>
          <cell r="G211"/>
          <cell r="H211"/>
          <cell r="I211"/>
          <cell r="J211"/>
          <cell r="K211"/>
          <cell r="L211"/>
          <cell r="M211"/>
          <cell r="N211"/>
          <cell r="O211"/>
          <cell r="P211"/>
          <cell r="Q211"/>
          <cell r="R211"/>
          <cell r="S211"/>
          <cell r="T211"/>
          <cell r="U211"/>
        </row>
        <row r="212">
          <cell r="A212"/>
          <cell r="B212"/>
          <cell r="C212"/>
          <cell r="D212"/>
          <cell r="E212"/>
          <cell r="F212"/>
          <cell r="G212"/>
          <cell r="H212"/>
          <cell r="I212"/>
          <cell r="J212"/>
          <cell r="K212"/>
          <cell r="L212"/>
          <cell r="M212"/>
          <cell r="N212"/>
          <cell r="O212"/>
          <cell r="P212"/>
          <cell r="Q212"/>
          <cell r="R212"/>
          <cell r="S212"/>
          <cell r="T212"/>
          <cell r="U212"/>
        </row>
        <row r="213">
          <cell r="A213"/>
          <cell r="B213"/>
          <cell r="C213"/>
          <cell r="D213"/>
          <cell r="E213"/>
          <cell r="F213"/>
          <cell r="G213"/>
          <cell r="H213"/>
          <cell r="I213"/>
          <cell r="J213"/>
          <cell r="K213"/>
          <cell r="L213"/>
          <cell r="M213"/>
          <cell r="N213"/>
          <cell r="O213"/>
          <cell r="P213"/>
          <cell r="Q213"/>
          <cell r="R213"/>
          <cell r="S213"/>
          <cell r="T213"/>
          <cell r="U213"/>
        </row>
        <row r="214">
          <cell r="A214"/>
          <cell r="B214"/>
          <cell r="C214"/>
          <cell r="D214"/>
          <cell r="E214"/>
          <cell r="F214"/>
          <cell r="G214"/>
          <cell r="H214"/>
          <cell r="I214"/>
          <cell r="J214"/>
          <cell r="K214"/>
          <cell r="L214"/>
          <cell r="M214"/>
          <cell r="N214"/>
          <cell r="O214"/>
          <cell r="P214"/>
          <cell r="Q214"/>
          <cell r="R214"/>
          <cell r="S214"/>
          <cell r="T214"/>
          <cell r="U214"/>
        </row>
        <row r="215">
          <cell r="A215"/>
          <cell r="B215"/>
          <cell r="C215"/>
          <cell r="D215"/>
          <cell r="E215"/>
          <cell r="F215"/>
          <cell r="G215"/>
          <cell r="H215"/>
          <cell r="I215"/>
          <cell r="J215"/>
          <cell r="K215"/>
          <cell r="L215"/>
          <cell r="M215"/>
          <cell r="N215"/>
          <cell r="O215"/>
          <cell r="P215"/>
          <cell r="Q215"/>
          <cell r="R215"/>
          <cell r="S215"/>
          <cell r="T215"/>
          <cell r="U215"/>
        </row>
        <row r="216">
          <cell r="A216"/>
          <cell r="B216"/>
          <cell r="C216"/>
          <cell r="D216"/>
          <cell r="E216"/>
          <cell r="F216"/>
          <cell r="G216"/>
          <cell r="H216"/>
          <cell r="I216"/>
          <cell r="J216"/>
          <cell r="K216"/>
          <cell r="L216"/>
          <cell r="M216"/>
          <cell r="N216"/>
          <cell r="O216"/>
          <cell r="P216"/>
          <cell r="Q216"/>
          <cell r="R216"/>
          <cell r="S216"/>
          <cell r="T216"/>
          <cell r="U216"/>
        </row>
        <row r="217">
          <cell r="A217"/>
          <cell r="B217"/>
          <cell r="C217"/>
          <cell r="D217"/>
          <cell r="E217"/>
          <cell r="F217"/>
          <cell r="G217"/>
          <cell r="H217"/>
          <cell r="I217"/>
          <cell r="J217"/>
          <cell r="K217"/>
          <cell r="L217"/>
          <cell r="M217"/>
          <cell r="N217"/>
          <cell r="O217"/>
          <cell r="P217"/>
          <cell r="Q217"/>
          <cell r="R217"/>
          <cell r="S217"/>
          <cell r="T217"/>
          <cell r="U217"/>
        </row>
        <row r="218">
          <cell r="A218"/>
          <cell r="B218"/>
          <cell r="C218"/>
          <cell r="D218"/>
          <cell r="E218"/>
          <cell r="F218"/>
          <cell r="G218"/>
          <cell r="H218"/>
          <cell r="I218"/>
          <cell r="J218"/>
          <cell r="K218"/>
          <cell r="L218"/>
          <cell r="M218"/>
          <cell r="N218"/>
          <cell r="O218"/>
          <cell r="P218"/>
          <cell r="Q218"/>
          <cell r="R218"/>
          <cell r="S218"/>
          <cell r="T218"/>
          <cell r="U218"/>
        </row>
        <row r="219">
          <cell r="A219"/>
          <cell r="B219"/>
          <cell r="C219"/>
          <cell r="D219"/>
          <cell r="E219"/>
          <cell r="F219"/>
          <cell r="G219"/>
          <cell r="H219"/>
          <cell r="I219"/>
          <cell r="J219"/>
          <cell r="K219"/>
          <cell r="L219"/>
          <cell r="M219"/>
          <cell r="N219"/>
          <cell r="O219"/>
          <cell r="P219"/>
          <cell r="Q219"/>
          <cell r="R219"/>
          <cell r="S219"/>
          <cell r="T219"/>
          <cell r="U219"/>
        </row>
        <row r="220">
          <cell r="A220"/>
          <cell r="B220"/>
          <cell r="C220"/>
          <cell r="D220"/>
          <cell r="E220"/>
          <cell r="F220"/>
          <cell r="G220"/>
          <cell r="H220"/>
          <cell r="I220"/>
          <cell r="J220"/>
          <cell r="K220"/>
          <cell r="L220"/>
          <cell r="M220"/>
          <cell r="N220"/>
          <cell r="O220"/>
          <cell r="P220"/>
          <cell r="Q220"/>
          <cell r="R220"/>
          <cell r="S220"/>
          <cell r="T220"/>
          <cell r="U220"/>
        </row>
        <row r="221">
          <cell r="A221"/>
          <cell r="B221"/>
          <cell r="C221"/>
          <cell r="D221"/>
          <cell r="E221"/>
          <cell r="F221"/>
          <cell r="G221"/>
          <cell r="H221"/>
          <cell r="I221"/>
          <cell r="J221"/>
          <cell r="K221"/>
          <cell r="L221"/>
          <cell r="M221"/>
          <cell r="N221"/>
          <cell r="O221"/>
          <cell r="P221"/>
          <cell r="Q221"/>
          <cell r="R221"/>
          <cell r="S221"/>
          <cell r="T221"/>
          <cell r="U221"/>
        </row>
        <row r="222">
          <cell r="A222"/>
          <cell r="B222"/>
          <cell r="C222"/>
          <cell r="D222"/>
          <cell r="E222"/>
          <cell r="F222"/>
          <cell r="G222"/>
          <cell r="H222"/>
          <cell r="I222"/>
          <cell r="J222"/>
          <cell r="K222"/>
          <cell r="L222"/>
          <cell r="M222"/>
          <cell r="N222"/>
          <cell r="O222"/>
          <cell r="P222"/>
          <cell r="Q222"/>
          <cell r="R222"/>
          <cell r="S222"/>
          <cell r="T222"/>
          <cell r="U222"/>
        </row>
        <row r="223">
          <cell r="A223"/>
          <cell r="B223"/>
          <cell r="C223"/>
          <cell r="D223"/>
          <cell r="E223"/>
          <cell r="F223"/>
          <cell r="G223"/>
          <cell r="H223"/>
          <cell r="I223"/>
          <cell r="J223"/>
          <cell r="K223"/>
          <cell r="L223"/>
          <cell r="M223"/>
          <cell r="N223"/>
          <cell r="O223"/>
          <cell r="P223"/>
          <cell r="Q223"/>
          <cell r="R223"/>
          <cell r="S223"/>
          <cell r="T223"/>
          <cell r="U223"/>
        </row>
        <row r="224">
          <cell r="A224"/>
          <cell r="B224"/>
          <cell r="C224"/>
          <cell r="D224"/>
          <cell r="E224"/>
          <cell r="F224"/>
          <cell r="G224"/>
          <cell r="H224"/>
          <cell r="I224"/>
          <cell r="J224"/>
          <cell r="K224"/>
          <cell r="L224"/>
          <cell r="M224"/>
          <cell r="N224"/>
          <cell r="O224"/>
          <cell r="P224"/>
          <cell r="Q224"/>
          <cell r="R224"/>
          <cell r="S224"/>
          <cell r="T224"/>
          <cell r="U224"/>
        </row>
        <row r="225">
          <cell r="A225"/>
          <cell r="B225"/>
          <cell r="C225"/>
          <cell r="D225"/>
          <cell r="E225"/>
          <cell r="F225"/>
          <cell r="G225"/>
          <cell r="H225"/>
          <cell r="I225"/>
          <cell r="J225"/>
          <cell r="K225"/>
          <cell r="L225"/>
          <cell r="M225"/>
          <cell r="N225"/>
          <cell r="O225"/>
          <cell r="P225"/>
          <cell r="Q225"/>
          <cell r="R225"/>
          <cell r="S225"/>
          <cell r="T225"/>
          <cell r="U225"/>
        </row>
        <row r="226">
          <cell r="A226"/>
          <cell r="B226"/>
          <cell r="C226"/>
          <cell r="D226"/>
          <cell r="E226"/>
          <cell r="F226"/>
          <cell r="G226"/>
          <cell r="H226"/>
          <cell r="I226"/>
          <cell r="J226"/>
          <cell r="K226"/>
          <cell r="L226"/>
          <cell r="M226"/>
          <cell r="N226"/>
          <cell r="O226"/>
          <cell r="P226"/>
          <cell r="Q226"/>
          <cell r="R226"/>
          <cell r="S226"/>
          <cell r="T226"/>
          <cell r="U226"/>
        </row>
        <row r="227">
          <cell r="A227"/>
          <cell r="B227"/>
          <cell r="C227"/>
          <cell r="D227"/>
          <cell r="E227"/>
          <cell r="F227"/>
          <cell r="G227"/>
          <cell r="H227"/>
          <cell r="I227"/>
          <cell r="J227"/>
          <cell r="K227"/>
          <cell r="L227"/>
          <cell r="M227"/>
          <cell r="N227"/>
          <cell r="O227"/>
          <cell r="P227"/>
          <cell r="Q227"/>
          <cell r="R227"/>
          <cell r="S227"/>
          <cell r="T227"/>
          <cell r="U227"/>
        </row>
        <row r="228">
          <cell r="A228"/>
          <cell r="B228"/>
          <cell r="C228"/>
          <cell r="D228"/>
          <cell r="E228"/>
          <cell r="F228"/>
          <cell r="G228"/>
          <cell r="H228"/>
          <cell r="I228"/>
          <cell r="J228"/>
          <cell r="K228"/>
          <cell r="L228"/>
          <cell r="M228"/>
          <cell r="N228"/>
          <cell r="O228"/>
          <cell r="P228"/>
          <cell r="Q228"/>
          <cell r="R228"/>
          <cell r="S228"/>
          <cell r="T228"/>
          <cell r="U228"/>
        </row>
        <row r="229">
          <cell r="A229"/>
          <cell r="B229"/>
          <cell r="C229"/>
          <cell r="D229"/>
          <cell r="E229"/>
          <cell r="F229"/>
          <cell r="G229"/>
          <cell r="H229"/>
          <cell r="I229"/>
          <cell r="J229"/>
          <cell r="K229"/>
          <cell r="L229"/>
          <cell r="M229"/>
          <cell r="N229"/>
          <cell r="O229"/>
          <cell r="P229"/>
          <cell r="Q229"/>
          <cell r="R229"/>
          <cell r="S229"/>
          <cell r="T229"/>
          <cell r="U229"/>
        </row>
        <row r="230">
          <cell r="A230"/>
          <cell r="B230"/>
          <cell r="C230"/>
          <cell r="D230"/>
          <cell r="E230"/>
          <cell r="F230"/>
          <cell r="G230"/>
          <cell r="H230"/>
          <cell r="I230"/>
          <cell r="J230"/>
          <cell r="K230"/>
          <cell r="L230"/>
          <cell r="M230"/>
          <cell r="N230"/>
          <cell r="O230"/>
          <cell r="P230"/>
          <cell r="Q230"/>
          <cell r="R230"/>
          <cell r="S230"/>
          <cell r="T230"/>
          <cell r="U230"/>
        </row>
        <row r="231">
          <cell r="A231"/>
          <cell r="B231"/>
          <cell r="C231"/>
          <cell r="D231"/>
          <cell r="E231"/>
          <cell r="F231"/>
          <cell r="G231"/>
          <cell r="H231"/>
          <cell r="I231"/>
          <cell r="J231"/>
          <cell r="K231"/>
          <cell r="L231"/>
          <cell r="M231"/>
          <cell r="N231"/>
          <cell r="O231"/>
          <cell r="P231"/>
          <cell r="Q231"/>
          <cell r="R231"/>
          <cell r="S231"/>
          <cell r="T231"/>
          <cell r="U231"/>
        </row>
        <row r="232">
          <cell r="A232"/>
          <cell r="B232"/>
          <cell r="C232"/>
          <cell r="D232"/>
          <cell r="E232"/>
          <cell r="F232"/>
          <cell r="G232"/>
          <cell r="H232"/>
          <cell r="I232"/>
          <cell r="J232"/>
          <cell r="K232"/>
          <cell r="L232"/>
          <cell r="M232"/>
          <cell r="N232"/>
          <cell r="O232"/>
          <cell r="P232"/>
          <cell r="Q232"/>
          <cell r="R232"/>
          <cell r="S232"/>
          <cell r="T232"/>
          <cell r="U232"/>
        </row>
        <row r="233">
          <cell r="A233"/>
          <cell r="B233"/>
          <cell r="C233"/>
          <cell r="D233"/>
          <cell r="E233"/>
          <cell r="F233"/>
          <cell r="G233"/>
          <cell r="H233"/>
          <cell r="I233"/>
          <cell r="J233"/>
          <cell r="K233"/>
          <cell r="L233"/>
          <cell r="M233"/>
          <cell r="N233"/>
          <cell r="O233"/>
          <cell r="P233"/>
          <cell r="Q233"/>
          <cell r="R233"/>
          <cell r="S233"/>
          <cell r="T233"/>
          <cell r="U233"/>
        </row>
        <row r="234">
          <cell r="A234"/>
          <cell r="B234"/>
          <cell r="C234"/>
          <cell r="D234"/>
          <cell r="E234"/>
          <cell r="F234"/>
          <cell r="G234"/>
          <cell r="H234"/>
          <cell r="I234"/>
          <cell r="J234"/>
          <cell r="K234"/>
          <cell r="L234"/>
          <cell r="M234"/>
          <cell r="N234"/>
          <cell r="O234"/>
          <cell r="P234"/>
          <cell r="Q234"/>
          <cell r="R234"/>
          <cell r="S234"/>
          <cell r="T234"/>
          <cell r="U234"/>
        </row>
        <row r="235">
          <cell r="A235"/>
          <cell r="B235"/>
          <cell r="C235"/>
          <cell r="D235"/>
          <cell r="E235"/>
          <cell r="F235"/>
          <cell r="G235"/>
          <cell r="H235"/>
          <cell r="I235"/>
          <cell r="J235"/>
          <cell r="K235"/>
          <cell r="L235"/>
          <cell r="M235"/>
          <cell r="N235"/>
          <cell r="O235"/>
          <cell r="P235"/>
          <cell r="Q235"/>
          <cell r="R235"/>
          <cell r="S235"/>
          <cell r="T235"/>
          <cell r="U235"/>
        </row>
        <row r="236">
          <cell r="A236"/>
          <cell r="B236"/>
          <cell r="C236"/>
          <cell r="D236"/>
          <cell r="E236"/>
          <cell r="F236"/>
          <cell r="G236"/>
          <cell r="H236"/>
          <cell r="I236"/>
          <cell r="J236"/>
          <cell r="K236"/>
          <cell r="L236"/>
          <cell r="M236"/>
          <cell r="N236"/>
          <cell r="O236"/>
          <cell r="P236"/>
          <cell r="Q236"/>
          <cell r="R236"/>
          <cell r="S236"/>
          <cell r="T236"/>
          <cell r="U236"/>
        </row>
        <row r="237">
          <cell r="A237"/>
          <cell r="B237"/>
          <cell r="C237"/>
          <cell r="D237"/>
          <cell r="E237"/>
          <cell r="F237"/>
          <cell r="G237"/>
          <cell r="H237"/>
          <cell r="I237"/>
          <cell r="J237"/>
          <cell r="K237"/>
          <cell r="L237"/>
          <cell r="M237"/>
          <cell r="N237"/>
          <cell r="O237"/>
          <cell r="P237"/>
          <cell r="Q237"/>
          <cell r="R237"/>
          <cell r="S237"/>
          <cell r="T237"/>
          <cell r="U237"/>
        </row>
        <row r="238">
          <cell r="A238"/>
          <cell r="B238"/>
          <cell r="C238"/>
          <cell r="D238"/>
          <cell r="E238"/>
          <cell r="F238"/>
          <cell r="G238"/>
          <cell r="H238"/>
          <cell r="I238"/>
          <cell r="J238"/>
          <cell r="K238"/>
          <cell r="L238"/>
          <cell r="M238"/>
          <cell r="N238"/>
          <cell r="O238"/>
          <cell r="P238"/>
          <cell r="Q238"/>
          <cell r="R238"/>
          <cell r="S238"/>
          <cell r="T238"/>
          <cell r="U238"/>
        </row>
        <row r="239">
          <cell r="A239"/>
          <cell r="B239"/>
          <cell r="C239"/>
          <cell r="D239"/>
          <cell r="E239"/>
          <cell r="F239"/>
          <cell r="G239"/>
          <cell r="H239"/>
          <cell r="I239"/>
          <cell r="J239"/>
          <cell r="K239"/>
          <cell r="L239"/>
          <cell r="M239"/>
          <cell r="N239"/>
          <cell r="O239"/>
          <cell r="P239"/>
          <cell r="Q239"/>
          <cell r="R239"/>
          <cell r="S239"/>
          <cell r="T239"/>
          <cell r="U239"/>
        </row>
        <row r="240">
          <cell r="A240"/>
          <cell r="B240"/>
          <cell r="C240"/>
          <cell r="D240"/>
          <cell r="E240"/>
          <cell r="F240"/>
          <cell r="G240"/>
          <cell r="H240"/>
          <cell r="I240"/>
          <cell r="J240"/>
          <cell r="K240"/>
          <cell r="L240"/>
          <cell r="M240"/>
          <cell r="N240"/>
          <cell r="O240"/>
          <cell r="P240"/>
          <cell r="Q240"/>
          <cell r="R240"/>
          <cell r="S240"/>
          <cell r="T240"/>
          <cell r="U240"/>
        </row>
        <row r="241">
          <cell r="A241"/>
          <cell r="B241"/>
          <cell r="C241"/>
          <cell r="D241"/>
          <cell r="E241"/>
          <cell r="F241"/>
          <cell r="G241"/>
          <cell r="H241"/>
          <cell r="I241"/>
          <cell r="J241"/>
          <cell r="K241"/>
          <cell r="L241"/>
          <cell r="M241"/>
          <cell r="N241"/>
          <cell r="O241"/>
          <cell r="P241"/>
          <cell r="Q241"/>
          <cell r="R241"/>
          <cell r="S241"/>
          <cell r="T241"/>
          <cell r="U241"/>
        </row>
        <row r="242">
          <cell r="A242"/>
          <cell r="B242"/>
          <cell r="C242"/>
          <cell r="D242"/>
          <cell r="E242"/>
          <cell r="F242"/>
          <cell r="G242"/>
          <cell r="H242"/>
          <cell r="I242"/>
          <cell r="J242"/>
          <cell r="K242"/>
          <cell r="L242"/>
          <cell r="M242"/>
          <cell r="N242"/>
          <cell r="O242"/>
          <cell r="P242"/>
          <cell r="Q242"/>
          <cell r="R242"/>
          <cell r="S242"/>
          <cell r="T242"/>
          <cell r="U242"/>
        </row>
        <row r="243">
          <cell r="A243"/>
          <cell r="B243"/>
          <cell r="C243"/>
          <cell r="D243"/>
          <cell r="E243"/>
          <cell r="F243"/>
          <cell r="G243"/>
          <cell r="H243"/>
          <cell r="I243"/>
          <cell r="J243"/>
          <cell r="K243"/>
          <cell r="L243"/>
          <cell r="M243"/>
          <cell r="N243"/>
          <cell r="O243"/>
          <cell r="P243"/>
          <cell r="Q243"/>
          <cell r="R243"/>
          <cell r="S243"/>
          <cell r="T243"/>
          <cell r="U243"/>
        </row>
        <row r="244">
          <cell r="A244"/>
          <cell r="B244"/>
          <cell r="C244"/>
          <cell r="D244"/>
          <cell r="E244"/>
          <cell r="F244"/>
          <cell r="G244"/>
          <cell r="H244"/>
          <cell r="I244"/>
          <cell r="J244"/>
          <cell r="K244"/>
          <cell r="L244"/>
          <cell r="M244"/>
          <cell r="N244"/>
          <cell r="O244"/>
          <cell r="P244"/>
          <cell r="Q244"/>
          <cell r="R244"/>
          <cell r="S244"/>
          <cell r="T244"/>
          <cell r="U244"/>
        </row>
        <row r="245">
          <cell r="A245"/>
          <cell r="B245"/>
          <cell r="C245"/>
          <cell r="D245"/>
          <cell r="E245"/>
          <cell r="F245"/>
          <cell r="G245"/>
          <cell r="H245"/>
          <cell r="I245"/>
          <cell r="J245"/>
          <cell r="K245"/>
          <cell r="L245"/>
          <cell r="M245"/>
          <cell r="N245"/>
          <cell r="O245"/>
          <cell r="P245"/>
          <cell r="Q245"/>
          <cell r="R245"/>
          <cell r="S245"/>
          <cell r="T245"/>
          <cell r="U245"/>
        </row>
        <row r="246">
          <cell r="A246"/>
          <cell r="B246"/>
          <cell r="C246"/>
          <cell r="D246"/>
          <cell r="E246"/>
          <cell r="F246"/>
          <cell r="G246"/>
          <cell r="H246"/>
          <cell r="I246"/>
          <cell r="J246"/>
          <cell r="K246"/>
          <cell r="L246"/>
          <cell r="M246"/>
          <cell r="N246"/>
          <cell r="O246"/>
          <cell r="P246"/>
          <cell r="Q246"/>
          <cell r="R246"/>
          <cell r="S246"/>
          <cell r="T246"/>
          <cell r="U246"/>
        </row>
        <row r="247">
          <cell r="A247"/>
          <cell r="B247"/>
          <cell r="C247"/>
          <cell r="D247"/>
          <cell r="E247"/>
          <cell r="F247"/>
          <cell r="G247"/>
          <cell r="H247"/>
          <cell r="I247"/>
          <cell r="J247"/>
          <cell r="K247"/>
          <cell r="L247"/>
          <cell r="M247"/>
          <cell r="N247"/>
          <cell r="O247"/>
          <cell r="P247"/>
          <cell r="Q247"/>
          <cell r="R247"/>
          <cell r="S247"/>
          <cell r="T247"/>
          <cell r="U247"/>
        </row>
        <row r="248">
          <cell r="A248"/>
          <cell r="B248"/>
          <cell r="C248"/>
          <cell r="D248"/>
          <cell r="E248"/>
          <cell r="F248"/>
          <cell r="G248"/>
          <cell r="H248"/>
          <cell r="I248"/>
          <cell r="J248"/>
          <cell r="K248"/>
          <cell r="L248"/>
          <cell r="M248"/>
          <cell r="N248"/>
          <cell r="O248"/>
          <cell r="P248"/>
          <cell r="Q248"/>
          <cell r="R248"/>
          <cell r="S248"/>
          <cell r="T248"/>
          <cell r="U248"/>
        </row>
        <row r="249">
          <cell r="A249"/>
          <cell r="B249"/>
          <cell r="C249"/>
          <cell r="D249"/>
          <cell r="E249"/>
          <cell r="F249"/>
          <cell r="G249"/>
          <cell r="H249"/>
          <cell r="I249"/>
          <cell r="J249"/>
          <cell r="K249"/>
          <cell r="L249"/>
          <cell r="M249"/>
          <cell r="N249"/>
          <cell r="O249"/>
          <cell r="P249"/>
          <cell r="Q249"/>
          <cell r="R249"/>
          <cell r="S249"/>
          <cell r="T249"/>
          <cell r="U249"/>
        </row>
        <row r="250">
          <cell r="A250"/>
          <cell r="B250"/>
          <cell r="C250"/>
          <cell r="D250"/>
          <cell r="E250"/>
          <cell r="F250"/>
          <cell r="G250"/>
          <cell r="H250"/>
          <cell r="I250"/>
          <cell r="J250"/>
          <cell r="K250"/>
          <cell r="L250"/>
          <cell r="M250"/>
          <cell r="N250"/>
          <cell r="O250"/>
          <cell r="P250"/>
          <cell r="Q250"/>
          <cell r="R250"/>
          <cell r="S250"/>
          <cell r="T250"/>
          <cell r="U250"/>
        </row>
        <row r="251">
          <cell r="A251"/>
          <cell r="B251"/>
          <cell r="C251"/>
          <cell r="D251"/>
          <cell r="E251"/>
          <cell r="F251"/>
          <cell r="G251"/>
          <cell r="H251"/>
          <cell r="I251"/>
          <cell r="J251"/>
          <cell r="K251"/>
          <cell r="L251"/>
          <cell r="M251"/>
          <cell r="N251"/>
          <cell r="O251"/>
          <cell r="P251"/>
          <cell r="Q251"/>
          <cell r="R251"/>
          <cell r="S251"/>
          <cell r="T251"/>
          <cell r="U251"/>
        </row>
        <row r="252">
          <cell r="A252"/>
          <cell r="B252"/>
          <cell r="C252"/>
          <cell r="D252"/>
          <cell r="E252"/>
          <cell r="F252"/>
          <cell r="G252"/>
          <cell r="H252"/>
          <cell r="I252"/>
          <cell r="J252"/>
          <cell r="K252"/>
          <cell r="L252"/>
          <cell r="M252"/>
          <cell r="N252"/>
          <cell r="O252"/>
          <cell r="P252"/>
          <cell r="Q252"/>
          <cell r="R252"/>
          <cell r="S252"/>
          <cell r="T252"/>
          <cell r="U252"/>
        </row>
        <row r="253">
          <cell r="A253"/>
          <cell r="B253"/>
          <cell r="C253"/>
          <cell r="D253"/>
          <cell r="E253"/>
          <cell r="F253"/>
          <cell r="G253"/>
          <cell r="H253"/>
          <cell r="I253"/>
          <cell r="J253"/>
          <cell r="K253"/>
          <cell r="L253"/>
          <cell r="M253"/>
          <cell r="N253"/>
          <cell r="O253"/>
          <cell r="P253"/>
          <cell r="Q253"/>
          <cell r="R253"/>
          <cell r="S253"/>
          <cell r="T253"/>
          <cell r="U253"/>
        </row>
        <row r="254">
          <cell r="A254"/>
          <cell r="B254"/>
          <cell r="C254"/>
          <cell r="D254"/>
          <cell r="E254"/>
          <cell r="F254"/>
          <cell r="G254"/>
          <cell r="H254"/>
          <cell r="I254"/>
          <cell r="J254"/>
          <cell r="K254"/>
          <cell r="L254"/>
          <cell r="M254"/>
          <cell r="N254"/>
          <cell r="O254"/>
          <cell r="P254"/>
          <cell r="Q254"/>
          <cell r="R254"/>
          <cell r="S254"/>
          <cell r="T254"/>
          <cell r="U254"/>
        </row>
        <row r="255">
          <cell r="A255"/>
          <cell r="B255"/>
          <cell r="C255"/>
          <cell r="D255"/>
          <cell r="E255"/>
          <cell r="F255"/>
          <cell r="G255"/>
          <cell r="H255"/>
          <cell r="I255"/>
          <cell r="J255"/>
          <cell r="K255"/>
          <cell r="L255"/>
          <cell r="M255"/>
          <cell r="N255"/>
          <cell r="O255"/>
          <cell r="P255"/>
          <cell r="Q255"/>
          <cell r="R255"/>
          <cell r="S255"/>
          <cell r="T255"/>
          <cell r="U255"/>
        </row>
        <row r="256">
          <cell r="A256"/>
          <cell r="B256"/>
          <cell r="C256"/>
          <cell r="D256"/>
          <cell r="E256"/>
          <cell r="F256"/>
          <cell r="G256"/>
          <cell r="H256"/>
          <cell r="I256"/>
          <cell r="J256"/>
          <cell r="K256"/>
          <cell r="L256"/>
          <cell r="M256"/>
          <cell r="N256"/>
          <cell r="O256"/>
          <cell r="P256"/>
          <cell r="Q256"/>
          <cell r="R256"/>
          <cell r="S256"/>
          <cell r="T256"/>
          <cell r="U256"/>
        </row>
        <row r="257">
          <cell r="A257"/>
          <cell r="B257"/>
          <cell r="C257"/>
          <cell r="D257"/>
          <cell r="E257"/>
          <cell r="F257"/>
          <cell r="G257"/>
          <cell r="H257"/>
          <cell r="I257"/>
          <cell r="J257"/>
          <cell r="K257"/>
          <cell r="L257"/>
          <cell r="M257"/>
          <cell r="N257"/>
          <cell r="O257"/>
          <cell r="P257"/>
          <cell r="Q257"/>
          <cell r="R257"/>
          <cell r="S257"/>
          <cell r="T257"/>
          <cell r="U257"/>
        </row>
        <row r="258">
          <cell r="A258"/>
          <cell r="B258"/>
          <cell r="C258"/>
          <cell r="D258"/>
          <cell r="E258"/>
          <cell r="F258"/>
          <cell r="G258"/>
          <cell r="H258"/>
          <cell r="I258"/>
          <cell r="J258"/>
          <cell r="K258"/>
          <cell r="L258"/>
          <cell r="M258"/>
          <cell r="N258"/>
          <cell r="O258"/>
          <cell r="P258"/>
          <cell r="Q258"/>
          <cell r="R258"/>
          <cell r="S258"/>
          <cell r="T258"/>
          <cell r="U258"/>
        </row>
        <row r="259">
          <cell r="A259"/>
          <cell r="B259"/>
          <cell r="C259"/>
          <cell r="D259"/>
          <cell r="E259"/>
          <cell r="F259"/>
          <cell r="G259"/>
          <cell r="H259"/>
          <cell r="I259"/>
          <cell r="J259"/>
          <cell r="K259"/>
          <cell r="L259"/>
          <cell r="M259"/>
          <cell r="N259"/>
          <cell r="O259"/>
          <cell r="P259"/>
          <cell r="Q259"/>
          <cell r="R259"/>
          <cell r="S259"/>
          <cell r="T259"/>
          <cell r="U259"/>
        </row>
        <row r="260">
          <cell r="A260"/>
          <cell r="B260"/>
          <cell r="C260"/>
          <cell r="D260"/>
          <cell r="E260"/>
          <cell r="F260"/>
          <cell r="G260"/>
          <cell r="H260"/>
          <cell r="I260"/>
          <cell r="J260"/>
          <cell r="K260"/>
          <cell r="L260"/>
          <cell r="M260"/>
          <cell r="N260"/>
          <cell r="O260"/>
          <cell r="P260"/>
          <cell r="Q260"/>
          <cell r="R260"/>
          <cell r="S260"/>
          <cell r="T260"/>
          <cell r="U260"/>
        </row>
        <row r="261">
          <cell r="A261"/>
          <cell r="B261"/>
          <cell r="C261"/>
          <cell r="D261"/>
          <cell r="E261"/>
          <cell r="F261"/>
          <cell r="G261"/>
          <cell r="H261"/>
          <cell r="I261"/>
          <cell r="J261"/>
          <cell r="K261"/>
          <cell r="L261"/>
          <cell r="M261"/>
          <cell r="N261"/>
          <cell r="O261"/>
          <cell r="P261"/>
          <cell r="Q261"/>
          <cell r="R261"/>
          <cell r="S261"/>
          <cell r="T261"/>
          <cell r="U261"/>
        </row>
        <row r="262">
          <cell r="A262"/>
          <cell r="B262"/>
          <cell r="C262"/>
          <cell r="D262"/>
          <cell r="E262"/>
          <cell r="F262"/>
          <cell r="G262"/>
          <cell r="H262"/>
          <cell r="I262"/>
          <cell r="J262"/>
          <cell r="K262"/>
          <cell r="L262"/>
          <cell r="M262"/>
          <cell r="N262"/>
          <cell r="O262"/>
          <cell r="P262"/>
          <cell r="Q262"/>
          <cell r="R262"/>
          <cell r="S262"/>
          <cell r="T262"/>
          <cell r="U262"/>
        </row>
        <row r="263">
          <cell r="A263"/>
          <cell r="B263"/>
          <cell r="C263"/>
          <cell r="D263"/>
          <cell r="E263"/>
          <cell r="F263"/>
          <cell r="G263"/>
          <cell r="H263"/>
          <cell r="I263"/>
          <cell r="J263"/>
          <cell r="K263"/>
          <cell r="L263"/>
          <cell r="M263"/>
          <cell r="N263"/>
          <cell r="O263"/>
          <cell r="P263"/>
          <cell r="Q263"/>
          <cell r="R263"/>
          <cell r="S263"/>
          <cell r="T263"/>
          <cell r="U263"/>
        </row>
        <row r="264">
          <cell r="A264"/>
          <cell r="B264"/>
          <cell r="C264"/>
          <cell r="D264"/>
          <cell r="E264"/>
          <cell r="F264"/>
          <cell r="G264"/>
          <cell r="H264"/>
          <cell r="I264"/>
          <cell r="J264"/>
          <cell r="K264"/>
          <cell r="L264"/>
          <cell r="M264"/>
          <cell r="N264"/>
          <cell r="O264"/>
          <cell r="P264"/>
          <cell r="Q264"/>
          <cell r="R264"/>
          <cell r="S264"/>
          <cell r="T264"/>
          <cell r="U264"/>
        </row>
        <row r="265">
          <cell r="A265"/>
          <cell r="B265"/>
          <cell r="C265"/>
          <cell r="D265"/>
          <cell r="E265"/>
          <cell r="F265"/>
          <cell r="G265"/>
          <cell r="H265"/>
          <cell r="I265"/>
          <cell r="J265"/>
          <cell r="K265"/>
          <cell r="L265"/>
          <cell r="M265"/>
          <cell r="N265"/>
          <cell r="O265"/>
          <cell r="P265"/>
          <cell r="Q265"/>
          <cell r="R265"/>
          <cell r="S265"/>
          <cell r="T265"/>
          <cell r="U265"/>
        </row>
        <row r="266">
          <cell r="A266"/>
          <cell r="B266"/>
          <cell r="C266"/>
          <cell r="D266"/>
          <cell r="E266"/>
          <cell r="F266"/>
          <cell r="G266"/>
          <cell r="H266"/>
          <cell r="I266"/>
          <cell r="J266"/>
          <cell r="K266"/>
          <cell r="L266"/>
          <cell r="M266"/>
          <cell r="N266"/>
          <cell r="O266"/>
          <cell r="P266"/>
          <cell r="Q266"/>
          <cell r="R266"/>
          <cell r="S266"/>
          <cell r="T266"/>
          <cell r="U266"/>
        </row>
        <row r="267">
          <cell r="A267"/>
          <cell r="B267"/>
          <cell r="C267"/>
          <cell r="D267"/>
          <cell r="E267"/>
          <cell r="F267"/>
          <cell r="G267"/>
          <cell r="H267"/>
          <cell r="I267"/>
          <cell r="J267"/>
          <cell r="K267"/>
          <cell r="L267"/>
          <cell r="M267"/>
          <cell r="N267"/>
          <cell r="O267"/>
          <cell r="P267"/>
          <cell r="Q267"/>
          <cell r="R267"/>
          <cell r="S267"/>
          <cell r="T267"/>
          <cell r="U267"/>
        </row>
        <row r="268">
          <cell r="A268"/>
          <cell r="B268"/>
          <cell r="C268"/>
          <cell r="D268"/>
          <cell r="E268"/>
          <cell r="F268"/>
          <cell r="G268"/>
          <cell r="H268"/>
          <cell r="I268"/>
          <cell r="J268"/>
          <cell r="K268"/>
          <cell r="L268"/>
          <cell r="M268"/>
          <cell r="N268"/>
          <cell r="O268"/>
          <cell r="P268"/>
          <cell r="Q268"/>
          <cell r="R268"/>
          <cell r="S268"/>
          <cell r="T268"/>
          <cell r="U268"/>
        </row>
        <row r="269">
          <cell r="A269"/>
          <cell r="B269"/>
          <cell r="C269"/>
          <cell r="D269"/>
          <cell r="E269"/>
          <cell r="F269"/>
          <cell r="G269"/>
          <cell r="H269"/>
          <cell r="I269"/>
          <cell r="J269"/>
          <cell r="K269"/>
          <cell r="L269"/>
          <cell r="M269"/>
          <cell r="N269"/>
          <cell r="O269"/>
          <cell r="P269"/>
          <cell r="Q269"/>
          <cell r="R269"/>
          <cell r="S269"/>
          <cell r="T269"/>
          <cell r="U269"/>
        </row>
        <row r="270">
          <cell r="A270"/>
          <cell r="B270"/>
          <cell r="C270"/>
          <cell r="D270"/>
          <cell r="E270"/>
          <cell r="F270"/>
          <cell r="G270"/>
          <cell r="H270"/>
          <cell r="I270"/>
          <cell r="J270"/>
          <cell r="K270"/>
          <cell r="L270"/>
          <cell r="M270"/>
          <cell r="N270"/>
          <cell r="O270"/>
          <cell r="P270"/>
          <cell r="Q270"/>
          <cell r="R270"/>
          <cell r="S270"/>
          <cell r="T270"/>
          <cell r="U270"/>
        </row>
        <row r="271">
          <cell r="A271"/>
          <cell r="B271"/>
          <cell r="C271"/>
          <cell r="D271"/>
          <cell r="E271"/>
          <cell r="F271"/>
          <cell r="G271"/>
          <cell r="H271"/>
          <cell r="I271"/>
          <cell r="J271"/>
          <cell r="K271"/>
          <cell r="L271"/>
          <cell r="M271"/>
          <cell r="N271"/>
          <cell r="O271"/>
          <cell r="P271"/>
          <cell r="Q271"/>
          <cell r="R271"/>
          <cell r="S271"/>
          <cell r="T271"/>
          <cell r="U271"/>
        </row>
        <row r="272">
          <cell r="A272"/>
          <cell r="B272"/>
          <cell r="C272"/>
          <cell r="D272"/>
          <cell r="E272"/>
          <cell r="F272"/>
          <cell r="G272"/>
          <cell r="H272"/>
          <cell r="I272"/>
          <cell r="J272"/>
          <cell r="K272"/>
          <cell r="L272"/>
          <cell r="M272"/>
          <cell r="N272"/>
          <cell r="O272"/>
          <cell r="P272"/>
          <cell r="Q272"/>
          <cell r="R272"/>
          <cell r="S272"/>
          <cell r="T272"/>
          <cell r="U272"/>
        </row>
        <row r="273">
          <cell r="A273"/>
          <cell r="B273"/>
          <cell r="C273"/>
          <cell r="D273"/>
          <cell r="E273"/>
          <cell r="F273"/>
          <cell r="G273"/>
          <cell r="H273"/>
          <cell r="I273"/>
          <cell r="J273"/>
          <cell r="K273"/>
          <cell r="L273"/>
          <cell r="M273"/>
          <cell r="N273"/>
          <cell r="O273"/>
          <cell r="P273"/>
          <cell r="Q273"/>
          <cell r="R273"/>
          <cell r="S273"/>
          <cell r="T273"/>
          <cell r="U273"/>
        </row>
        <row r="274">
          <cell r="A274"/>
          <cell r="B274"/>
          <cell r="C274"/>
          <cell r="D274"/>
          <cell r="E274"/>
          <cell r="F274"/>
          <cell r="G274"/>
          <cell r="H274"/>
          <cell r="I274"/>
          <cell r="J274"/>
          <cell r="K274"/>
          <cell r="L274"/>
          <cell r="M274"/>
          <cell r="N274"/>
          <cell r="O274"/>
          <cell r="P274"/>
          <cell r="Q274"/>
          <cell r="R274"/>
          <cell r="S274"/>
          <cell r="T274"/>
          <cell r="U274"/>
        </row>
        <row r="275">
          <cell r="A275"/>
          <cell r="B275"/>
          <cell r="C275"/>
          <cell r="D275"/>
          <cell r="E275"/>
          <cell r="F275"/>
          <cell r="G275"/>
          <cell r="H275"/>
          <cell r="I275"/>
          <cell r="J275"/>
          <cell r="K275"/>
          <cell r="L275"/>
          <cell r="M275"/>
          <cell r="N275"/>
          <cell r="O275"/>
          <cell r="P275"/>
          <cell r="Q275"/>
          <cell r="R275"/>
          <cell r="S275"/>
          <cell r="T275"/>
          <cell r="U275"/>
        </row>
        <row r="276">
          <cell r="A276"/>
          <cell r="B276"/>
          <cell r="C276"/>
          <cell r="D276"/>
          <cell r="E276"/>
          <cell r="F276"/>
          <cell r="G276"/>
          <cell r="H276"/>
          <cell r="I276"/>
          <cell r="J276"/>
          <cell r="K276"/>
          <cell r="L276"/>
          <cell r="M276"/>
          <cell r="N276"/>
          <cell r="O276"/>
          <cell r="P276"/>
          <cell r="Q276"/>
          <cell r="R276"/>
          <cell r="S276"/>
          <cell r="T276"/>
          <cell r="U276"/>
        </row>
        <row r="277">
          <cell r="A277"/>
          <cell r="B277"/>
          <cell r="C277"/>
          <cell r="D277"/>
          <cell r="E277"/>
          <cell r="F277"/>
          <cell r="G277"/>
          <cell r="H277"/>
          <cell r="I277"/>
          <cell r="J277"/>
          <cell r="K277"/>
          <cell r="L277"/>
          <cell r="M277"/>
          <cell r="N277"/>
          <cell r="O277"/>
          <cell r="P277"/>
          <cell r="Q277"/>
          <cell r="R277"/>
          <cell r="S277"/>
          <cell r="T277"/>
          <cell r="U277"/>
        </row>
        <row r="278">
          <cell r="A278"/>
          <cell r="B278"/>
          <cell r="C278"/>
          <cell r="D278"/>
          <cell r="E278"/>
          <cell r="F278"/>
          <cell r="G278"/>
          <cell r="H278"/>
          <cell r="I278"/>
          <cell r="J278"/>
          <cell r="K278"/>
          <cell r="L278"/>
          <cell r="M278"/>
          <cell r="N278"/>
          <cell r="O278"/>
          <cell r="P278"/>
          <cell r="Q278"/>
          <cell r="R278"/>
          <cell r="S278"/>
          <cell r="T278"/>
          <cell r="U278"/>
        </row>
        <row r="279">
          <cell r="A279"/>
          <cell r="B279"/>
          <cell r="C279"/>
          <cell r="D279"/>
          <cell r="E279"/>
          <cell r="F279"/>
          <cell r="G279"/>
          <cell r="H279"/>
          <cell r="I279"/>
          <cell r="J279"/>
          <cell r="K279"/>
          <cell r="L279"/>
          <cell r="M279"/>
          <cell r="N279"/>
          <cell r="O279"/>
          <cell r="P279"/>
          <cell r="Q279"/>
          <cell r="R279"/>
          <cell r="S279"/>
          <cell r="T279"/>
          <cell r="U279"/>
        </row>
        <row r="280">
          <cell r="A280"/>
          <cell r="B280"/>
          <cell r="C280"/>
          <cell r="D280"/>
          <cell r="E280"/>
          <cell r="F280"/>
          <cell r="G280"/>
          <cell r="H280"/>
          <cell r="I280"/>
          <cell r="J280"/>
          <cell r="K280"/>
          <cell r="L280"/>
          <cell r="M280"/>
          <cell r="N280"/>
          <cell r="O280"/>
          <cell r="P280"/>
          <cell r="Q280"/>
          <cell r="R280"/>
          <cell r="S280"/>
          <cell r="T280"/>
          <cell r="U280"/>
        </row>
        <row r="281">
          <cell r="A281"/>
          <cell r="B281"/>
          <cell r="C281"/>
          <cell r="D281"/>
          <cell r="E281"/>
          <cell r="F281"/>
          <cell r="G281"/>
          <cell r="H281"/>
          <cell r="I281"/>
          <cell r="J281"/>
          <cell r="K281"/>
          <cell r="L281"/>
          <cell r="M281"/>
          <cell r="N281"/>
          <cell r="O281"/>
          <cell r="P281"/>
          <cell r="Q281"/>
          <cell r="R281"/>
          <cell r="S281"/>
          <cell r="T281"/>
          <cell r="U281"/>
        </row>
        <row r="282">
          <cell r="A282"/>
          <cell r="B282"/>
          <cell r="C282"/>
          <cell r="D282"/>
          <cell r="E282"/>
          <cell r="F282"/>
          <cell r="G282"/>
          <cell r="H282"/>
          <cell r="I282"/>
          <cell r="J282"/>
          <cell r="K282"/>
          <cell r="L282"/>
          <cell r="M282"/>
          <cell r="N282"/>
          <cell r="O282"/>
          <cell r="P282"/>
          <cell r="Q282"/>
          <cell r="R282"/>
          <cell r="S282"/>
          <cell r="T282"/>
          <cell r="U282"/>
        </row>
        <row r="283">
          <cell r="A283"/>
          <cell r="B283"/>
          <cell r="C283"/>
          <cell r="D283"/>
          <cell r="E283"/>
          <cell r="F283"/>
          <cell r="G283"/>
          <cell r="H283"/>
          <cell r="I283"/>
          <cell r="J283"/>
          <cell r="K283"/>
          <cell r="L283"/>
          <cell r="M283"/>
          <cell r="N283"/>
          <cell r="O283"/>
          <cell r="P283"/>
          <cell r="Q283"/>
          <cell r="R283"/>
          <cell r="S283"/>
          <cell r="T283"/>
          <cell r="U283"/>
        </row>
        <row r="284">
          <cell r="A284"/>
          <cell r="B284"/>
          <cell r="C284"/>
          <cell r="D284"/>
          <cell r="E284"/>
          <cell r="F284"/>
          <cell r="G284"/>
          <cell r="H284"/>
          <cell r="I284"/>
          <cell r="J284"/>
          <cell r="K284"/>
          <cell r="L284"/>
          <cell r="M284"/>
          <cell r="N284"/>
          <cell r="O284"/>
          <cell r="P284"/>
          <cell r="Q284"/>
          <cell r="R284"/>
          <cell r="S284"/>
          <cell r="T284"/>
          <cell r="U284"/>
        </row>
        <row r="285">
          <cell r="A285"/>
          <cell r="B285"/>
          <cell r="C285"/>
          <cell r="D285"/>
          <cell r="E285"/>
          <cell r="F285"/>
          <cell r="G285"/>
          <cell r="H285"/>
          <cell r="I285"/>
          <cell r="J285"/>
          <cell r="K285"/>
          <cell r="L285"/>
          <cell r="M285"/>
          <cell r="N285"/>
          <cell r="O285"/>
          <cell r="P285"/>
          <cell r="Q285"/>
          <cell r="R285"/>
          <cell r="S285"/>
          <cell r="T285"/>
          <cell r="U285"/>
        </row>
        <row r="286">
          <cell r="A286"/>
          <cell r="B286"/>
          <cell r="C286"/>
          <cell r="D286"/>
          <cell r="E286"/>
          <cell r="F286"/>
          <cell r="G286"/>
          <cell r="H286"/>
          <cell r="I286"/>
          <cell r="J286"/>
          <cell r="K286"/>
          <cell r="L286"/>
          <cell r="M286"/>
          <cell r="N286"/>
          <cell r="O286"/>
          <cell r="P286"/>
          <cell r="Q286"/>
          <cell r="R286"/>
          <cell r="S286"/>
          <cell r="T286"/>
          <cell r="U286"/>
        </row>
        <row r="287">
          <cell r="A287"/>
          <cell r="B287"/>
          <cell r="C287"/>
          <cell r="D287"/>
          <cell r="E287"/>
          <cell r="F287"/>
          <cell r="G287"/>
          <cell r="H287"/>
          <cell r="I287"/>
          <cell r="J287"/>
          <cell r="K287"/>
          <cell r="L287"/>
          <cell r="M287"/>
          <cell r="N287"/>
          <cell r="O287"/>
          <cell r="P287"/>
          <cell r="Q287"/>
          <cell r="R287"/>
          <cell r="S287"/>
          <cell r="T287"/>
          <cell r="U287"/>
        </row>
        <row r="288">
          <cell r="A288"/>
          <cell r="B288"/>
          <cell r="C288"/>
          <cell r="D288"/>
          <cell r="E288"/>
          <cell r="F288"/>
          <cell r="G288"/>
          <cell r="H288"/>
          <cell r="I288"/>
          <cell r="J288"/>
          <cell r="K288"/>
          <cell r="L288"/>
          <cell r="M288"/>
          <cell r="N288"/>
          <cell r="O288"/>
          <cell r="P288"/>
          <cell r="Q288"/>
          <cell r="R288"/>
          <cell r="S288"/>
          <cell r="T288"/>
          <cell r="U288"/>
        </row>
        <row r="289">
          <cell r="A289"/>
          <cell r="B289"/>
          <cell r="C289"/>
          <cell r="D289"/>
          <cell r="E289"/>
          <cell r="F289"/>
          <cell r="G289"/>
          <cell r="H289"/>
          <cell r="I289"/>
          <cell r="J289"/>
          <cell r="K289"/>
          <cell r="L289"/>
          <cell r="M289"/>
          <cell r="N289"/>
          <cell r="O289"/>
          <cell r="P289"/>
          <cell r="Q289"/>
          <cell r="R289"/>
          <cell r="S289"/>
          <cell r="T289"/>
          <cell r="U289"/>
        </row>
        <row r="290">
          <cell r="A290"/>
          <cell r="B290"/>
          <cell r="C290"/>
          <cell r="D290"/>
          <cell r="E290"/>
          <cell r="F290"/>
          <cell r="G290"/>
          <cell r="H290"/>
          <cell r="I290"/>
          <cell r="J290"/>
          <cell r="K290"/>
          <cell r="L290"/>
          <cell r="M290"/>
          <cell r="N290"/>
          <cell r="O290"/>
          <cell r="P290"/>
          <cell r="Q290"/>
          <cell r="R290"/>
          <cell r="S290"/>
          <cell r="T290"/>
          <cell r="U290"/>
        </row>
        <row r="291">
          <cell r="A291"/>
          <cell r="B291"/>
          <cell r="C291"/>
          <cell r="D291"/>
          <cell r="E291"/>
          <cell r="F291"/>
          <cell r="G291"/>
          <cell r="H291"/>
          <cell r="I291"/>
          <cell r="J291"/>
          <cell r="K291"/>
          <cell r="L291"/>
          <cell r="M291"/>
          <cell r="N291"/>
          <cell r="O291"/>
          <cell r="P291"/>
          <cell r="Q291"/>
          <cell r="R291"/>
          <cell r="S291"/>
          <cell r="T291"/>
          <cell r="U291"/>
        </row>
        <row r="292">
          <cell r="A292"/>
          <cell r="B292"/>
          <cell r="C292"/>
          <cell r="D292"/>
          <cell r="E292"/>
          <cell r="F292"/>
          <cell r="G292"/>
          <cell r="H292"/>
          <cell r="I292"/>
          <cell r="J292"/>
          <cell r="K292"/>
          <cell r="L292"/>
          <cell r="M292"/>
          <cell r="N292"/>
          <cell r="O292"/>
          <cell r="P292"/>
          <cell r="Q292"/>
          <cell r="R292"/>
          <cell r="S292"/>
          <cell r="T292"/>
          <cell r="U292"/>
        </row>
        <row r="293">
          <cell r="A293"/>
          <cell r="B293"/>
          <cell r="C293"/>
          <cell r="D293"/>
          <cell r="E293"/>
          <cell r="F293"/>
          <cell r="G293"/>
          <cell r="H293"/>
          <cell r="I293"/>
          <cell r="J293"/>
          <cell r="K293"/>
          <cell r="L293"/>
          <cell r="M293"/>
          <cell r="N293"/>
          <cell r="O293"/>
          <cell r="P293"/>
          <cell r="Q293"/>
          <cell r="R293"/>
          <cell r="S293"/>
          <cell r="T293"/>
          <cell r="U293"/>
        </row>
        <row r="294">
          <cell r="A294"/>
          <cell r="B294"/>
          <cell r="C294"/>
          <cell r="D294"/>
          <cell r="E294"/>
          <cell r="F294"/>
          <cell r="G294"/>
          <cell r="H294"/>
          <cell r="I294"/>
          <cell r="J294"/>
          <cell r="K294"/>
          <cell r="L294"/>
          <cell r="M294"/>
          <cell r="N294"/>
          <cell r="O294"/>
          <cell r="P294"/>
          <cell r="Q294"/>
          <cell r="R294"/>
          <cell r="S294"/>
          <cell r="T294"/>
          <cell r="U294"/>
        </row>
        <row r="295">
          <cell r="A295"/>
          <cell r="B295"/>
          <cell r="C295"/>
          <cell r="D295"/>
          <cell r="E295"/>
          <cell r="F295"/>
          <cell r="G295"/>
          <cell r="H295"/>
          <cell r="I295"/>
          <cell r="J295"/>
          <cell r="K295"/>
          <cell r="L295"/>
          <cell r="M295"/>
          <cell r="N295"/>
          <cell r="O295"/>
          <cell r="P295"/>
          <cell r="Q295"/>
          <cell r="R295"/>
          <cell r="S295"/>
          <cell r="T295"/>
          <cell r="U295"/>
        </row>
        <row r="296">
          <cell r="A296"/>
          <cell r="B296"/>
          <cell r="C296"/>
          <cell r="D296"/>
          <cell r="E296"/>
          <cell r="F296"/>
          <cell r="G296"/>
          <cell r="H296"/>
          <cell r="I296"/>
          <cell r="J296"/>
          <cell r="K296"/>
          <cell r="L296"/>
          <cell r="M296"/>
          <cell r="N296"/>
          <cell r="O296"/>
          <cell r="P296"/>
          <cell r="Q296"/>
          <cell r="R296"/>
          <cell r="S296"/>
          <cell r="T296"/>
          <cell r="U296"/>
        </row>
        <row r="297">
          <cell r="A297"/>
          <cell r="B297"/>
          <cell r="C297"/>
          <cell r="D297"/>
          <cell r="E297"/>
          <cell r="F297"/>
          <cell r="G297"/>
          <cell r="H297"/>
          <cell r="I297"/>
          <cell r="J297"/>
          <cell r="K297"/>
          <cell r="L297"/>
          <cell r="M297"/>
          <cell r="N297"/>
          <cell r="O297"/>
          <cell r="P297"/>
          <cell r="Q297"/>
          <cell r="R297"/>
          <cell r="S297"/>
          <cell r="T297"/>
          <cell r="U297"/>
        </row>
        <row r="298">
          <cell r="A298"/>
          <cell r="B298"/>
          <cell r="C298"/>
          <cell r="D298"/>
          <cell r="E298"/>
          <cell r="F298"/>
          <cell r="G298"/>
          <cell r="H298"/>
          <cell r="I298"/>
          <cell r="J298"/>
          <cell r="K298"/>
          <cell r="L298"/>
          <cell r="M298"/>
          <cell r="N298"/>
          <cell r="O298"/>
          <cell r="P298"/>
          <cell r="Q298"/>
          <cell r="R298"/>
          <cell r="S298"/>
          <cell r="T298"/>
          <cell r="U298"/>
        </row>
        <row r="299">
          <cell r="A299"/>
          <cell r="B299"/>
          <cell r="C299"/>
          <cell r="D299"/>
          <cell r="E299"/>
          <cell r="F299"/>
          <cell r="G299"/>
          <cell r="H299"/>
          <cell r="I299"/>
          <cell r="J299"/>
          <cell r="K299"/>
          <cell r="L299"/>
          <cell r="M299"/>
          <cell r="N299"/>
          <cell r="O299"/>
          <cell r="P299"/>
          <cell r="Q299"/>
          <cell r="R299"/>
          <cell r="S299"/>
          <cell r="T299"/>
          <cell r="U299"/>
        </row>
        <row r="300">
          <cell r="A300"/>
          <cell r="B300"/>
          <cell r="C300"/>
          <cell r="D300"/>
          <cell r="E300"/>
          <cell r="F300"/>
          <cell r="G300"/>
          <cell r="H300"/>
          <cell r="I300"/>
          <cell r="J300"/>
          <cell r="K300"/>
          <cell r="L300"/>
          <cell r="M300"/>
          <cell r="N300"/>
          <cell r="O300"/>
          <cell r="P300"/>
          <cell r="Q300"/>
          <cell r="R300"/>
          <cell r="S300"/>
          <cell r="T300"/>
          <cell r="U300"/>
        </row>
        <row r="301">
          <cell r="A301"/>
          <cell r="B301"/>
          <cell r="C301"/>
          <cell r="D301"/>
          <cell r="E301"/>
          <cell r="F301"/>
          <cell r="G301"/>
          <cell r="H301"/>
          <cell r="I301"/>
          <cell r="J301"/>
          <cell r="K301"/>
          <cell r="L301"/>
          <cell r="M301"/>
          <cell r="N301"/>
          <cell r="O301"/>
          <cell r="P301"/>
          <cell r="Q301"/>
          <cell r="R301"/>
          <cell r="S301"/>
          <cell r="T301"/>
          <cell r="U301"/>
        </row>
        <row r="302">
          <cell r="A302"/>
          <cell r="B302"/>
          <cell r="C302"/>
          <cell r="D302"/>
          <cell r="E302"/>
          <cell r="F302"/>
          <cell r="G302"/>
          <cell r="H302"/>
          <cell r="I302"/>
          <cell r="J302"/>
          <cell r="K302"/>
          <cell r="L302"/>
          <cell r="M302"/>
          <cell r="N302"/>
          <cell r="O302"/>
          <cell r="P302"/>
          <cell r="Q302"/>
          <cell r="R302"/>
          <cell r="S302"/>
          <cell r="T302"/>
          <cell r="U302"/>
        </row>
        <row r="303">
          <cell r="A303"/>
          <cell r="B303"/>
          <cell r="C303"/>
          <cell r="D303"/>
          <cell r="E303"/>
          <cell r="F303"/>
          <cell r="G303"/>
          <cell r="H303"/>
          <cell r="I303"/>
          <cell r="J303"/>
          <cell r="K303"/>
          <cell r="L303"/>
          <cell r="M303"/>
          <cell r="N303"/>
          <cell r="O303"/>
          <cell r="P303"/>
          <cell r="Q303"/>
          <cell r="R303"/>
          <cell r="S303"/>
          <cell r="T303"/>
          <cell r="U303"/>
        </row>
        <row r="304">
          <cell r="A304"/>
          <cell r="B304"/>
          <cell r="C304"/>
          <cell r="D304"/>
          <cell r="E304"/>
          <cell r="F304"/>
          <cell r="G304"/>
          <cell r="H304"/>
          <cell r="I304"/>
          <cell r="J304"/>
          <cell r="K304"/>
          <cell r="L304"/>
          <cell r="M304"/>
          <cell r="N304"/>
          <cell r="O304"/>
          <cell r="P304"/>
          <cell r="Q304"/>
          <cell r="R304"/>
          <cell r="S304"/>
          <cell r="T304"/>
          <cell r="U304"/>
        </row>
        <row r="305">
          <cell r="A305"/>
          <cell r="B305"/>
          <cell r="C305"/>
          <cell r="D305"/>
          <cell r="E305"/>
          <cell r="F305"/>
          <cell r="G305"/>
          <cell r="H305"/>
          <cell r="I305"/>
          <cell r="J305"/>
          <cell r="K305"/>
          <cell r="L305"/>
          <cell r="M305"/>
          <cell r="N305"/>
          <cell r="O305"/>
          <cell r="P305"/>
          <cell r="Q305"/>
          <cell r="R305"/>
          <cell r="S305"/>
          <cell r="T305"/>
          <cell r="U305"/>
        </row>
        <row r="306">
          <cell r="A306"/>
          <cell r="B306"/>
          <cell r="C306"/>
          <cell r="D306"/>
          <cell r="E306"/>
          <cell r="F306"/>
          <cell r="G306"/>
          <cell r="H306"/>
          <cell r="I306"/>
          <cell r="J306"/>
          <cell r="K306"/>
          <cell r="L306"/>
          <cell r="M306"/>
          <cell r="N306"/>
          <cell r="O306"/>
          <cell r="P306"/>
          <cell r="Q306"/>
          <cell r="R306"/>
          <cell r="S306"/>
          <cell r="T306"/>
          <cell r="U306"/>
        </row>
        <row r="307">
          <cell r="A307"/>
          <cell r="B307"/>
          <cell r="C307"/>
          <cell r="D307"/>
          <cell r="E307"/>
          <cell r="F307"/>
          <cell r="G307"/>
          <cell r="H307"/>
          <cell r="I307"/>
          <cell r="J307"/>
          <cell r="K307"/>
          <cell r="L307"/>
          <cell r="M307"/>
          <cell r="N307"/>
          <cell r="O307"/>
          <cell r="P307"/>
          <cell r="Q307"/>
          <cell r="R307"/>
          <cell r="S307"/>
          <cell r="T307"/>
          <cell r="U307"/>
        </row>
        <row r="308">
          <cell r="A308"/>
          <cell r="B308"/>
          <cell r="C308"/>
          <cell r="D308"/>
          <cell r="E308"/>
          <cell r="F308"/>
          <cell r="G308"/>
          <cell r="H308"/>
          <cell r="I308"/>
          <cell r="J308"/>
          <cell r="K308"/>
          <cell r="L308"/>
          <cell r="M308"/>
          <cell r="N308"/>
          <cell r="O308"/>
          <cell r="P308"/>
          <cell r="Q308"/>
          <cell r="R308"/>
          <cell r="S308"/>
          <cell r="T308"/>
          <cell r="U308"/>
        </row>
        <row r="309">
          <cell r="A309"/>
          <cell r="B309"/>
          <cell r="C309"/>
          <cell r="D309"/>
          <cell r="E309"/>
          <cell r="F309"/>
          <cell r="G309"/>
          <cell r="H309"/>
          <cell r="I309"/>
          <cell r="J309"/>
          <cell r="K309"/>
          <cell r="L309"/>
          <cell r="M309"/>
          <cell r="N309"/>
          <cell r="O309"/>
          <cell r="P309"/>
          <cell r="Q309"/>
          <cell r="R309"/>
          <cell r="S309"/>
          <cell r="T309"/>
          <cell r="U309"/>
        </row>
        <row r="310">
          <cell r="A310"/>
          <cell r="B310"/>
          <cell r="C310"/>
          <cell r="D310"/>
          <cell r="E310"/>
          <cell r="F310"/>
          <cell r="G310"/>
          <cell r="H310"/>
          <cell r="I310"/>
          <cell r="J310"/>
          <cell r="K310"/>
          <cell r="L310"/>
          <cell r="M310"/>
          <cell r="N310"/>
          <cell r="O310"/>
          <cell r="P310"/>
          <cell r="Q310"/>
          <cell r="R310"/>
          <cell r="S310"/>
          <cell r="T310"/>
          <cell r="U310"/>
        </row>
        <row r="311">
          <cell r="A311"/>
          <cell r="B311"/>
          <cell r="C311"/>
          <cell r="D311"/>
          <cell r="E311"/>
          <cell r="F311"/>
          <cell r="G311"/>
          <cell r="H311"/>
          <cell r="I311"/>
          <cell r="J311"/>
          <cell r="K311"/>
          <cell r="L311"/>
          <cell r="M311"/>
          <cell r="N311"/>
          <cell r="O311"/>
          <cell r="P311"/>
          <cell r="Q311"/>
          <cell r="R311"/>
          <cell r="S311"/>
          <cell r="T311"/>
          <cell r="U311"/>
        </row>
        <row r="312">
          <cell r="A312"/>
          <cell r="B312"/>
          <cell r="C312"/>
          <cell r="D312"/>
          <cell r="E312"/>
          <cell r="F312"/>
          <cell r="G312"/>
          <cell r="H312"/>
          <cell r="I312"/>
          <cell r="J312"/>
          <cell r="K312"/>
          <cell r="L312"/>
          <cell r="M312"/>
          <cell r="N312"/>
          <cell r="O312"/>
          <cell r="P312"/>
          <cell r="Q312"/>
          <cell r="R312"/>
          <cell r="S312"/>
          <cell r="T312"/>
          <cell r="U312"/>
        </row>
        <row r="313">
          <cell r="A313"/>
          <cell r="B313"/>
          <cell r="C313"/>
          <cell r="D313"/>
          <cell r="E313"/>
          <cell r="F313"/>
          <cell r="G313"/>
          <cell r="H313"/>
          <cell r="I313"/>
          <cell r="J313"/>
          <cell r="K313"/>
          <cell r="L313"/>
          <cell r="M313"/>
          <cell r="N313"/>
          <cell r="O313"/>
          <cell r="P313"/>
          <cell r="Q313"/>
          <cell r="R313"/>
          <cell r="S313"/>
          <cell r="T313"/>
          <cell r="U313"/>
        </row>
        <row r="314">
          <cell r="A314"/>
          <cell r="B314"/>
          <cell r="C314"/>
          <cell r="D314"/>
          <cell r="E314"/>
          <cell r="F314"/>
          <cell r="G314"/>
          <cell r="H314"/>
          <cell r="I314"/>
          <cell r="J314"/>
          <cell r="K314"/>
          <cell r="L314"/>
          <cell r="M314"/>
          <cell r="N314"/>
          <cell r="O314"/>
          <cell r="P314"/>
          <cell r="Q314"/>
          <cell r="R314"/>
          <cell r="S314"/>
          <cell r="T314"/>
          <cell r="U314"/>
        </row>
        <row r="315">
          <cell r="A315"/>
          <cell r="B315"/>
          <cell r="C315"/>
          <cell r="D315"/>
          <cell r="E315"/>
          <cell r="F315"/>
          <cell r="G315"/>
          <cell r="H315"/>
          <cell r="I315"/>
          <cell r="J315"/>
          <cell r="K315"/>
          <cell r="L315"/>
          <cell r="M315"/>
          <cell r="N315"/>
          <cell r="O315"/>
          <cell r="P315"/>
          <cell r="Q315"/>
          <cell r="R315"/>
          <cell r="S315"/>
          <cell r="T315"/>
          <cell r="U315"/>
        </row>
        <row r="316">
          <cell r="A316"/>
          <cell r="B316"/>
          <cell r="C316"/>
          <cell r="D316"/>
          <cell r="E316"/>
          <cell r="F316"/>
          <cell r="G316"/>
          <cell r="H316"/>
          <cell r="I316"/>
          <cell r="J316"/>
          <cell r="K316"/>
          <cell r="L316"/>
          <cell r="M316"/>
          <cell r="N316"/>
          <cell r="O316"/>
          <cell r="P316"/>
          <cell r="Q316"/>
          <cell r="R316"/>
          <cell r="S316"/>
          <cell r="T316"/>
          <cell r="U316"/>
        </row>
        <row r="317">
          <cell r="A317"/>
          <cell r="B317"/>
          <cell r="C317"/>
          <cell r="D317"/>
          <cell r="E317"/>
          <cell r="F317"/>
          <cell r="G317"/>
          <cell r="H317"/>
          <cell r="I317"/>
          <cell r="J317"/>
          <cell r="K317"/>
          <cell r="L317"/>
          <cell r="M317"/>
          <cell r="N317"/>
          <cell r="O317"/>
          <cell r="P317"/>
          <cell r="Q317"/>
          <cell r="R317"/>
          <cell r="S317"/>
          <cell r="T317"/>
          <cell r="U317"/>
        </row>
        <row r="318">
          <cell r="A318"/>
          <cell r="B318"/>
          <cell r="C318"/>
          <cell r="D318"/>
          <cell r="E318"/>
          <cell r="F318"/>
          <cell r="G318"/>
          <cell r="H318"/>
          <cell r="I318"/>
          <cell r="J318"/>
          <cell r="K318"/>
          <cell r="L318"/>
          <cell r="M318"/>
          <cell r="N318"/>
          <cell r="O318"/>
          <cell r="P318"/>
          <cell r="Q318"/>
          <cell r="R318"/>
          <cell r="S318"/>
          <cell r="T318"/>
          <cell r="U318"/>
        </row>
        <row r="319">
          <cell r="A319"/>
          <cell r="B319"/>
          <cell r="C319"/>
          <cell r="D319"/>
          <cell r="E319"/>
          <cell r="F319"/>
          <cell r="G319"/>
          <cell r="H319"/>
          <cell r="I319"/>
          <cell r="J319"/>
          <cell r="K319"/>
          <cell r="L319"/>
          <cell r="M319"/>
          <cell r="N319"/>
          <cell r="O319"/>
          <cell r="P319"/>
          <cell r="Q319"/>
          <cell r="R319"/>
          <cell r="S319"/>
          <cell r="T319"/>
          <cell r="U319"/>
        </row>
        <row r="320">
          <cell r="A320"/>
          <cell r="B320"/>
          <cell r="C320"/>
          <cell r="D320"/>
          <cell r="E320"/>
          <cell r="F320"/>
          <cell r="G320"/>
          <cell r="H320"/>
          <cell r="I320"/>
          <cell r="J320"/>
          <cell r="K320"/>
          <cell r="L320"/>
          <cell r="M320"/>
          <cell r="N320"/>
          <cell r="O320"/>
          <cell r="P320"/>
          <cell r="Q320"/>
          <cell r="R320"/>
          <cell r="S320"/>
          <cell r="T320"/>
          <cell r="U320"/>
        </row>
        <row r="321">
          <cell r="A321"/>
          <cell r="B321"/>
          <cell r="C321"/>
          <cell r="D321"/>
          <cell r="E321"/>
          <cell r="F321"/>
          <cell r="G321"/>
          <cell r="H321"/>
          <cell r="I321"/>
          <cell r="J321"/>
          <cell r="K321"/>
          <cell r="L321"/>
          <cell r="M321"/>
          <cell r="N321"/>
          <cell r="O321"/>
          <cell r="P321"/>
          <cell r="Q321"/>
          <cell r="R321"/>
          <cell r="S321"/>
          <cell r="T321"/>
          <cell r="U321"/>
        </row>
        <row r="322">
          <cell r="A322"/>
          <cell r="B322"/>
          <cell r="C322"/>
          <cell r="D322"/>
          <cell r="E322"/>
          <cell r="F322"/>
          <cell r="G322"/>
          <cell r="H322"/>
          <cell r="I322"/>
          <cell r="J322"/>
          <cell r="K322"/>
          <cell r="L322"/>
          <cell r="M322"/>
          <cell r="N322"/>
          <cell r="O322"/>
          <cell r="P322"/>
          <cell r="Q322"/>
          <cell r="R322"/>
          <cell r="S322"/>
          <cell r="T322"/>
          <cell r="U322"/>
        </row>
        <row r="323">
          <cell r="A323"/>
          <cell r="B323"/>
          <cell r="C323"/>
          <cell r="D323"/>
          <cell r="E323"/>
          <cell r="F323"/>
          <cell r="G323"/>
          <cell r="H323"/>
          <cell r="I323"/>
          <cell r="J323"/>
          <cell r="K323"/>
          <cell r="L323"/>
          <cell r="M323"/>
          <cell r="N323"/>
          <cell r="O323"/>
          <cell r="P323"/>
          <cell r="Q323"/>
          <cell r="R323"/>
          <cell r="S323"/>
          <cell r="T323"/>
          <cell r="U323"/>
        </row>
        <row r="324">
          <cell r="A324"/>
          <cell r="B324"/>
          <cell r="C324"/>
          <cell r="D324"/>
          <cell r="E324"/>
          <cell r="F324"/>
          <cell r="G324"/>
          <cell r="H324"/>
          <cell r="I324"/>
          <cell r="J324"/>
          <cell r="K324"/>
          <cell r="L324"/>
          <cell r="M324"/>
          <cell r="N324"/>
          <cell r="O324"/>
          <cell r="P324"/>
          <cell r="Q324"/>
          <cell r="R324"/>
          <cell r="S324"/>
          <cell r="T324"/>
          <cell r="U324"/>
        </row>
        <row r="325">
          <cell r="A325"/>
          <cell r="B325"/>
          <cell r="C325"/>
          <cell r="D325"/>
          <cell r="E325"/>
          <cell r="F325"/>
          <cell r="G325"/>
          <cell r="H325"/>
          <cell r="I325"/>
          <cell r="J325"/>
          <cell r="K325"/>
          <cell r="L325"/>
          <cell r="M325"/>
          <cell r="N325"/>
          <cell r="O325"/>
          <cell r="P325"/>
          <cell r="Q325"/>
          <cell r="R325"/>
          <cell r="S325"/>
          <cell r="T325"/>
          <cell r="U325"/>
        </row>
        <row r="326">
          <cell r="A326"/>
          <cell r="B326"/>
          <cell r="C326"/>
          <cell r="D326"/>
          <cell r="E326"/>
          <cell r="F326"/>
          <cell r="G326"/>
          <cell r="H326"/>
          <cell r="I326"/>
          <cell r="J326"/>
          <cell r="K326"/>
          <cell r="L326"/>
          <cell r="M326"/>
          <cell r="N326"/>
          <cell r="O326"/>
          <cell r="P326"/>
          <cell r="Q326"/>
          <cell r="R326"/>
          <cell r="S326"/>
          <cell r="T326"/>
          <cell r="U326"/>
        </row>
        <row r="327">
          <cell r="A327"/>
          <cell r="B327"/>
          <cell r="C327"/>
          <cell r="D327"/>
          <cell r="E327"/>
          <cell r="F327"/>
          <cell r="G327"/>
          <cell r="H327"/>
          <cell r="I327"/>
          <cell r="J327"/>
          <cell r="K327"/>
          <cell r="L327"/>
          <cell r="M327"/>
          <cell r="N327"/>
          <cell r="O327"/>
          <cell r="P327"/>
          <cell r="Q327"/>
          <cell r="R327"/>
          <cell r="S327"/>
          <cell r="T327"/>
          <cell r="U327"/>
        </row>
        <row r="328">
          <cell r="A328"/>
          <cell r="B328"/>
          <cell r="C328"/>
          <cell r="D328"/>
          <cell r="E328"/>
          <cell r="F328"/>
          <cell r="G328"/>
          <cell r="H328"/>
          <cell r="I328"/>
          <cell r="J328"/>
          <cell r="K328"/>
          <cell r="L328"/>
          <cell r="M328"/>
          <cell r="N328"/>
          <cell r="O328"/>
          <cell r="P328"/>
          <cell r="Q328"/>
          <cell r="R328"/>
          <cell r="S328"/>
          <cell r="T328"/>
          <cell r="U328"/>
        </row>
        <row r="329">
          <cell r="A329"/>
          <cell r="B329"/>
          <cell r="C329"/>
          <cell r="D329"/>
          <cell r="E329"/>
          <cell r="F329"/>
          <cell r="G329"/>
          <cell r="H329"/>
          <cell r="I329"/>
          <cell r="J329"/>
          <cell r="K329"/>
          <cell r="L329"/>
          <cell r="M329"/>
          <cell r="N329"/>
          <cell r="O329"/>
          <cell r="P329"/>
          <cell r="Q329"/>
          <cell r="R329"/>
          <cell r="S329"/>
          <cell r="T329"/>
          <cell r="U329"/>
        </row>
        <row r="330">
          <cell r="A330"/>
          <cell r="B330"/>
          <cell r="C330"/>
          <cell r="D330"/>
          <cell r="E330"/>
          <cell r="F330"/>
          <cell r="G330"/>
          <cell r="H330"/>
          <cell r="I330"/>
          <cell r="J330"/>
          <cell r="K330"/>
          <cell r="L330"/>
          <cell r="M330"/>
          <cell r="N330"/>
          <cell r="O330"/>
          <cell r="P330"/>
          <cell r="Q330"/>
          <cell r="R330"/>
          <cell r="S330"/>
          <cell r="T330"/>
          <cell r="U330"/>
        </row>
        <row r="331">
          <cell r="A331"/>
          <cell r="B331"/>
          <cell r="C331"/>
          <cell r="D331"/>
          <cell r="E331"/>
          <cell r="F331"/>
          <cell r="G331"/>
          <cell r="H331"/>
          <cell r="I331"/>
          <cell r="J331"/>
          <cell r="K331"/>
          <cell r="L331"/>
          <cell r="M331"/>
          <cell r="N331"/>
          <cell r="O331"/>
          <cell r="P331"/>
          <cell r="Q331"/>
          <cell r="R331"/>
          <cell r="S331"/>
          <cell r="T331"/>
          <cell r="U331"/>
        </row>
        <row r="332">
          <cell r="A332"/>
          <cell r="B332"/>
          <cell r="C332"/>
          <cell r="D332"/>
          <cell r="E332"/>
          <cell r="F332"/>
          <cell r="G332"/>
          <cell r="H332"/>
          <cell r="I332"/>
          <cell r="J332"/>
          <cell r="K332"/>
          <cell r="L332"/>
          <cell r="M332"/>
          <cell r="N332"/>
          <cell r="O332"/>
          <cell r="P332"/>
          <cell r="Q332"/>
          <cell r="R332"/>
          <cell r="S332"/>
          <cell r="T332"/>
          <cell r="U332"/>
        </row>
        <row r="333">
          <cell r="A333"/>
          <cell r="B333"/>
          <cell r="C333"/>
          <cell r="D333"/>
          <cell r="E333"/>
          <cell r="F333"/>
          <cell r="G333"/>
          <cell r="H333"/>
          <cell r="I333"/>
          <cell r="J333"/>
          <cell r="K333"/>
          <cell r="L333"/>
          <cell r="M333"/>
          <cell r="N333"/>
          <cell r="O333"/>
          <cell r="P333"/>
          <cell r="Q333"/>
          <cell r="R333"/>
          <cell r="S333"/>
          <cell r="T333"/>
          <cell r="U333"/>
        </row>
        <row r="334">
          <cell r="A334"/>
          <cell r="B334"/>
          <cell r="C334"/>
          <cell r="D334"/>
          <cell r="E334"/>
          <cell r="F334"/>
          <cell r="G334"/>
          <cell r="H334"/>
          <cell r="I334"/>
          <cell r="J334"/>
          <cell r="K334"/>
          <cell r="L334"/>
          <cell r="M334"/>
          <cell r="N334"/>
          <cell r="O334"/>
          <cell r="P334"/>
          <cell r="Q334"/>
          <cell r="R334"/>
          <cell r="S334"/>
          <cell r="T334"/>
          <cell r="U334"/>
        </row>
      </sheetData>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XMTXOP6YHOND26CS77FAODTYE">
      <xxl21:absoluteUrl r:id="rId3"/>
      <xxl21:relativeUrl r:id="rId4"/>
    </xxl21:alternateUrls>
    <sheetNames>
      <sheetName val="PRIORIZADOS"/>
      <sheetName val="DEMANDA"/>
      <sheetName val="MESAS DIRECTIVOS IE"/>
      <sheetName val="MANUALES DE CONVIVENCIA IED"/>
      <sheetName val="PEGRCC Y GOBIERNOS ESCOLARES"/>
      <sheetName val="OPERACIONES-ACTIVIDADES"/>
      <sheetName val="COLEGIOS"/>
      <sheetName val="LISTAS"/>
      <sheetName val="ACTIVIDADES  "/>
      <sheetName val="Hoja1"/>
      <sheetName val="Hoja2"/>
    </sheetNames>
    <sheetDataSet>
      <sheetData sheetId="0">
        <row r="1">
          <cell r="A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3 Y 17. SANTA FE Y LA CANDELARIA</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 xml:space="preserve">Código Único </v>
          </cell>
          <cell r="B7" t="str">
            <v>NÚMERO DE EE
(Enumere los EE que serán visitados en el período)</v>
          </cell>
          <cell r="C7" t="str">
            <v xml:space="preserve">LOCALIDAD </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1812</v>
          </cell>
          <cell r="B8">
            <v>1</v>
          </cell>
          <cell r="C8" t="str">
            <v xml:space="preserve">SANTA FE Y CANDELARIA </v>
          </cell>
          <cell r="D8" t="str">
            <v>OFICIAL</v>
          </cell>
          <cell r="E8" t="str">
            <v>EPBM</v>
          </cell>
          <cell r="F8" t="str">
            <v>COLEGIO_JORGE_SOTO_DEL_CORRAL_IED</v>
          </cell>
          <cell r="G8" t="str">
            <v>JORGE SOTO DEL CORRAL</v>
          </cell>
          <cell r="H8" t="str">
            <v>Convivencia escolar</v>
          </cell>
          <cell r="I8" t="str">
            <v>SEGUIMIENTO_Y_SUPERVISIÓN.</v>
          </cell>
          <cell r="J8" t="str">
            <v xml:space="preserve">Verificar la implementación por parte de los colegios, de acciones realizadas para la prevención y atención de las situaciones de convivencia en el entorno escolar, según lo establecido en la Directiva 01 de 2022 del MEN. </v>
          </cell>
          <cell r="K8" t="str">
            <v>DAMARIS RUT CÁRDENAS MORENO</v>
          </cell>
          <cell r="L8" t="str">
            <v>JOSÉ MAXIMILIANO CHAPARRO BARRERA</v>
          </cell>
          <cell r="M8">
            <v>45744</v>
          </cell>
          <cell r="N8">
            <v>45744</v>
          </cell>
          <cell r="O8">
            <v>45744</v>
          </cell>
          <cell r="P8" t="str">
            <v>Visitas de evaluación con fines de mejoramiento</v>
          </cell>
          <cell r="Q8" t="str">
            <v>ACTA PRIORIZADA JORGE SOTO DEL CORRAL.pdf</v>
          </cell>
          <cell r="R8" t="str">
            <v>Se evidenció que no se han realizado procesos de socialización sobre la Directiva 01, y la actualización del manual de convivencia no fue realizada con los órganos e instancias de participación. </v>
          </cell>
          <cell r="S8" t="str">
            <v>Realizar la actualización participativa del manual de Convivencia</v>
          </cell>
          <cell r="T8" t="str">
            <v>Si</v>
          </cell>
          <cell r="U8" t="str">
            <v xml:space="preserve">Se hará segunda visita el día 7 de abril de 2025, para verificar las acciones de mejora en el PIMA - Plan Institucional de Mejoramiento Acordado. Se realizará viista en la siguiente vigencia como seguimiento al plan Plan de Mejoramiento. </v>
          </cell>
        </row>
        <row r="9">
          <cell r="A9">
            <v>1813</v>
          </cell>
          <cell r="B9">
            <v>1</v>
          </cell>
          <cell r="C9" t="str">
            <v xml:space="preserve">SANTA FE Y CANDELARIA </v>
          </cell>
          <cell r="D9" t="str">
            <v>OFICIAL</v>
          </cell>
          <cell r="E9" t="str">
            <v>EPBM</v>
          </cell>
          <cell r="F9" t="str">
            <v>COLEGIO_JORGE_SOTO_DEL_CORRAL_IED</v>
          </cell>
          <cell r="G9" t="str">
            <v>JORGE SOTO DEL CORRAL</v>
          </cell>
          <cell r="H9" t="str">
            <v>Convivencia escolar</v>
          </cell>
          <cell r="I9" t="str">
            <v>SEGUIMIENTO_Y_SUPERVISIÓN.</v>
          </cell>
          <cell r="J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 t="str">
            <v>DAMARIS RUT CÁRDENAS MORENO</v>
          </cell>
          <cell r="L9" t="str">
            <v>JOSÉ MAXIMILIANO CHAPARRO BARRERA</v>
          </cell>
          <cell r="M9">
            <v>45744</v>
          </cell>
          <cell r="N9">
            <v>45744</v>
          </cell>
          <cell r="O9">
            <v>45744</v>
          </cell>
          <cell r="P9" t="str">
            <v>Visitas de evaluación con fines de mejoramiento</v>
          </cell>
          <cell r="Q9" t="str">
            <v>ACTA PRIORIZADA JORGE SOTO DEL CORRAL.pdf</v>
          </cell>
          <cell r="R9" t="str">
            <v>Se evidencia que hay estudiantes matriculados con discapacidad y trastornos de aprendizaje; sin embargo, no hay PIAR formalizados y sus comunicativos con las familias.</v>
          </cell>
          <cell r="S9" t="str">
            <v>Elaborar el PIAR de los estudiantes con discapacidad y trastornos de aprendizaje, así como realizar compromisos en el proceso académico y pedagógico con las familias.</v>
          </cell>
          <cell r="T9" t="str">
            <v>Si</v>
          </cell>
          <cell r="U9" t="str">
            <v xml:space="preserve">Se hará segunda visita el día 7 de abril de 2025, para verificar las acciones de mejora en el PIMA - Plan Institucional de Mejoramiento Acordado. Se realizará visita en la siguiente vigencia como seguimiento al plan Plan de Mejoramiento. </v>
          </cell>
        </row>
        <row r="10">
          <cell r="A10">
            <v>1814</v>
          </cell>
          <cell r="B10">
            <v>1</v>
          </cell>
          <cell r="C10" t="str">
            <v xml:space="preserve">SANTA FE Y CANDELARIA </v>
          </cell>
          <cell r="D10" t="str">
            <v>OFICIAL</v>
          </cell>
          <cell r="E10" t="str">
            <v>EPBM</v>
          </cell>
          <cell r="F10" t="str">
            <v>COLEGIO_JORGE_SOTO_DEL_CORRAL_IED</v>
          </cell>
          <cell r="G10" t="str">
            <v>JORGE SOTO DEL CORRAL</v>
          </cell>
          <cell r="H10" t="str">
            <v>Convivencia escolar</v>
          </cell>
          <cell r="I10" t="str">
            <v>EVALUACIÓN_CON_FINES_DE_MEJORAMIENTO.</v>
          </cell>
          <cell r="J1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 t="str">
            <v>DAMARIS RUT CÁRDENAS MORENO</v>
          </cell>
          <cell r="L10" t="str">
            <v>JOSÉ MAXIMILIANO CHAPARRO BARRERA</v>
          </cell>
          <cell r="M10">
            <v>45744</v>
          </cell>
          <cell r="N10">
            <v>45744</v>
          </cell>
          <cell r="O10">
            <v>45744</v>
          </cell>
          <cell r="P10" t="str">
            <v>Visitas de evaluación con fines de mejoramiento</v>
          </cell>
          <cell r="Q10" t="str">
            <v>ACTA PRIORIZADA JORGE SOTO DEL CORRAL.pdf</v>
          </cell>
          <cell r="R10" t="str">
            <v>Se evidencia que no se ha dado la participación de todos los estamentos de la comunidad educativa en el proceso de construcción y actualización de documentos institucionales. </v>
          </cell>
          <cell r="S10" t="str">
            <v>Desarrollar estrategias que permitan mayor articulación entre las sedes, asumir  las funciones legalmente establecidas y garantizar la ejecución de sus responsabilidades mediante un Plan Operativo. </v>
          </cell>
          <cell r="T10" t="str">
            <v>Si</v>
          </cell>
          <cell r="U10" t="str">
            <v>Se acuerda del desarrollo de una segunda visita el día 7 de abril de 2025, con el fin de verificar la información faltante y convenir compromisos necesarios para la formulación del plan de mejoramiento. Se realizará visita en la siguiente vigencia como seguimiento al plan Plan de Mejoramiento.</v>
          </cell>
        </row>
        <row r="11">
          <cell r="A11">
            <v>1815</v>
          </cell>
          <cell r="B11">
            <v>1</v>
          </cell>
          <cell r="C11" t="str">
            <v xml:space="preserve">SANTA FE Y CANDELARIA </v>
          </cell>
          <cell r="D11" t="str">
            <v>OFICIAL</v>
          </cell>
          <cell r="E11" t="str">
            <v>EPBM</v>
          </cell>
          <cell r="F11" t="str">
            <v>COLEGIO_JORGE_SOTO_DEL_CORRAL_IED</v>
          </cell>
          <cell r="G11" t="str">
            <v>JORGE SOTO DEL CORRAL</v>
          </cell>
          <cell r="H11" t="str">
            <v>Convivencia escolar</v>
          </cell>
          <cell r="I11" t="str">
            <v>EVALUACIÓN_CON_FINES_DE_MEJORAMIENTO.</v>
          </cell>
          <cell r="J11" t="str">
            <v>Revisar la actualización, socialización e implementación del Sistema Institucional de Evaluación de Estudiantes - SIEE, en articulación con la actualización del PEI y la normatividad vigente.</v>
          </cell>
          <cell r="K11" t="str">
            <v>DAMARIS RUT CÁRDENAS MORENO</v>
          </cell>
          <cell r="L11" t="str">
            <v>JOSÉ MAXIMILIANO CHAPARRO BARRERA</v>
          </cell>
          <cell r="M11">
            <v>45744</v>
          </cell>
          <cell r="N11">
            <v>45744</v>
          </cell>
          <cell r="O11">
            <v>45744</v>
          </cell>
          <cell r="P11" t="str">
            <v>Visitas de evaluación con fines de mejoramiento</v>
          </cell>
          <cell r="Q11" t="str">
            <v>ACTA PRIORIZADA JORGE SOTO DEL CORRAL.pdf</v>
          </cell>
          <cell r="R11" t="str">
            <v xml:space="preserve">Se evidencia que no se ha dado la participación de todos los estamentos de la comunidad educativa en el proceso de construcción y actualización de documentos institucionales. </v>
          </cell>
          <cell r="S11" t="str">
            <v xml:space="preserve">Desarrollar estrategias que permitan mayor articulación entre las sedes, asumir  las funciones legalmente establecidas y garantizar la ejecución de sus responsabilidades mediante un Plan Operativo. </v>
          </cell>
          <cell r="T11" t="str">
            <v>Si</v>
          </cell>
          <cell r="U11" t="str">
            <v>Se acuerda el desarrollo de una segunda visita el día 7 abril de 2025, con el fin de verificar la información faltante y convenir compromisos necesarios para la formulación del plan de mejoramiento. Se realizará visita en la siguiente vigencia como seguimiento al plan Plan de Mejoramiento.</v>
          </cell>
        </row>
        <row r="12">
          <cell r="A12">
            <v>1816</v>
          </cell>
          <cell r="B12">
            <v>1</v>
          </cell>
          <cell r="C12" t="str">
            <v xml:space="preserve">SANTA FE Y CANDELARIA </v>
          </cell>
          <cell r="D12" t="str">
            <v>OFICIAL</v>
          </cell>
          <cell r="E12" t="str">
            <v>EPBM</v>
          </cell>
          <cell r="F12" t="str">
            <v>COLEGIO_JORGE_SOTO_DEL_CORRAL_IED</v>
          </cell>
          <cell r="G12" t="str">
            <v>JORGE SOTO DEL CORRAL</v>
          </cell>
          <cell r="H12" t="str">
            <v>Convivencia escolar</v>
          </cell>
          <cell r="I12" t="str">
            <v>EVALUACIÓN_CON_FINES_DE_MEJORAMIENTO.</v>
          </cell>
          <cell r="J12" t="str">
            <v>Verificar el funcionamiento del Gobierno Escolar e instancias de participación con base en la información sobre conformación reportada por la institución educativa.</v>
          </cell>
          <cell r="K12" t="str">
            <v>DAMARIS RUT CÁRDENAS MORENO</v>
          </cell>
          <cell r="L12" t="str">
            <v>JOSÉ MAXIMILIANO CHAPARRO BARRERA</v>
          </cell>
          <cell r="M12">
            <v>45744</v>
          </cell>
          <cell r="N12">
            <v>45744</v>
          </cell>
          <cell r="O12">
            <v>45744</v>
          </cell>
          <cell r="P12" t="str">
            <v>Revisión documental</v>
          </cell>
          <cell r="Q12" t="str">
            <v>ACTA PRIORIZADA JORGE SOTO DEL CORRAL.pdf</v>
          </cell>
          <cell r="R12" t="str">
            <v>No ha sido posible verificar información cargada en SAE; sin embargo, se evidencia en la visita el desarrollo de las votaciones y confirmación, de estamentos. </v>
          </cell>
          <cell r="S12" t="str">
            <v>Desarrollar estrategias que permitan una mayor articulación entre las sedes, asumir las funciones legalmente establecidas y garantizar la ejecución de sus responsabilidades mediante un Plan Operativo. Además, la institución debe revisar la estrategia de convocatoria y ejecución de la Escuela de Padres para alcanzar un mayor número de asistentes.</v>
          </cell>
          <cell r="T12" t="str">
            <v>Si</v>
          </cell>
          <cell r="U12" t="str">
            <v>Se acuerda el desarrollo de una segunda visita el día 7 abril de 2025, con el fin de verificar la información faltante y convenir compromisos necesarios para la formulación del plan de mejoramiento. Se realizará visita en la siguiente vigencia como seguimiento al plan Plan de Mejoramiento.</v>
          </cell>
        </row>
        <row r="13">
          <cell r="A13">
            <v>1817</v>
          </cell>
          <cell r="B13">
            <v>1</v>
          </cell>
          <cell r="C13" t="str">
            <v xml:space="preserve">SANTA FE Y CANDELARIA </v>
          </cell>
          <cell r="D13" t="str">
            <v>OFICIAL</v>
          </cell>
          <cell r="E13" t="str">
            <v>EPBM</v>
          </cell>
          <cell r="F13" t="str">
            <v>COLEGIO_JORGE_SOTO_DEL_CORRAL_IED</v>
          </cell>
          <cell r="G13" t="str">
            <v>JORGE SOTO DEL CORRAL</v>
          </cell>
          <cell r="H13" t="str">
            <v>Convivencia escolar</v>
          </cell>
          <cell r="I13" t="str">
            <v>EVALUACIÓN_CON_FINES_DE_MEJORAMIENTO.</v>
          </cell>
          <cell r="J13" t="str">
            <v>Verificar las condiciones en cuanto a: la estructura administrativa, condiciones de la planta física y medios educativos adecuados.</v>
          </cell>
          <cell r="K13" t="str">
            <v>DAMARIS RUT CÁRDENAS MORENO</v>
          </cell>
          <cell r="L13" t="str">
            <v>JOSÉ MAXIMILIANO CHAPARRO BARRERA</v>
          </cell>
          <cell r="M13">
            <v>45744</v>
          </cell>
          <cell r="N13">
            <v>45744</v>
          </cell>
          <cell r="O13">
            <v>45744</v>
          </cell>
          <cell r="P13" t="str">
            <v>Visitas de evaluación con fines de mejoramiento</v>
          </cell>
          <cell r="Q13" t="str">
            <v>ACTA PRIORIZADA JORGE SOTO DEL CORRAL.pdf</v>
          </cell>
          <cell r="R13" t="str">
            <v>Se evidencian espacios poco funcionales para la atención de la comunidad, no están adaptados para la movilidad de población con necesidades especiales</v>
          </cell>
          <cell r="S13" t="str">
            <v>Generar gestión con área correspondiente de la SED.</v>
          </cell>
          <cell r="T13" t="str">
            <v>No</v>
          </cell>
          <cell r="U13" t="str">
            <v>Se acuerda el desarrollo de una segunda visita el día 07 abril de 2025, con el fin de verificar la información faltante y convenir compromisos necesarios para la formulación del plan de mejoramiento. Se realizará visita en la siguiente vigencia como seguimiento al plan Plan de Mejoramiento.</v>
          </cell>
        </row>
        <row r="14">
          <cell r="A14">
            <v>1818</v>
          </cell>
          <cell r="B14">
            <v>2</v>
          </cell>
          <cell r="C14" t="str">
            <v xml:space="preserve">SANTA FE Y CANDELARIA </v>
          </cell>
          <cell r="D14" t="str">
            <v>PRIVADO</v>
          </cell>
          <cell r="E14" t="str">
            <v>EPBM</v>
          </cell>
          <cell r="F14" t="str">
            <v>COLEGIO_DEL_SANTISIMO_ROSARIO</v>
          </cell>
          <cell r="G14" t="str">
            <v>COLEGIO DEL SANTISIMO ROSARIO</v>
          </cell>
          <cell r="H14" t="str">
            <v>Autoevaluación Institucional y Pruebas SABER 11</v>
          </cell>
          <cell r="I14" t="str">
            <v>SEGUIMIENTO_Y_SUPERVISIÓN.</v>
          </cell>
          <cell r="J14" t="str">
            <v>Realizar visitas para verificar la información registrada sobre la autoevaluación institucional en el aplicativo EVI, a los establecimientos de educación formal no oficial.</v>
          </cell>
          <cell r="K14" t="str">
            <v>DAMARIS RUT CÁRDENAS MORENO</v>
          </cell>
          <cell r="L14" t="str">
            <v>LUIS HERNANDO NEÍZA WALTEROS</v>
          </cell>
          <cell r="M14">
            <v>45748</v>
          </cell>
          <cell r="N14">
            <v>45748</v>
          </cell>
          <cell r="O14">
            <v>45748</v>
          </cell>
          <cell r="P14" t="str">
            <v>Visitas de evaluación con fines de mejoramiento</v>
          </cell>
          <cell r="Q14" t="str">
            <v>Visita priorizada colegio del santisimo rosario 01042025.pdf</v>
          </cell>
          <cell r="R14" t="str">
            <v>Se verifica información correspondiente a intensidad horaria y carga académica y organización administrativa, encontrando faltantes documentales. </v>
          </cell>
          <cell r="S14" t="str">
            <v>La institución realizará un plan de mejoramiento para el mes de junio. </v>
          </cell>
          <cell r="T14" t="str">
            <v>Si</v>
          </cell>
          <cell r="U14" t="str">
            <v xml:space="preserve">Se realizará visita de seguimiento en el segundo semestre de 2025. Se realizó asesoria y mesa de trabajo el 05 de septiembre de 2025.   Seguimiento en 2026 al plan de mejoramiento  presentado el  28 de noviemrbre de 2025. </v>
          </cell>
        </row>
        <row r="15">
          <cell r="A15">
            <v>1819</v>
          </cell>
          <cell r="B15">
            <v>2</v>
          </cell>
          <cell r="C15" t="str">
            <v xml:space="preserve">SANTA FE Y CANDELARIA </v>
          </cell>
          <cell r="D15" t="str">
            <v>PRIVADO</v>
          </cell>
          <cell r="E15" t="str">
            <v>EPBM</v>
          </cell>
          <cell r="F15" t="str">
            <v>COLEGIO_DEL_SANTISIMO_ROSARIO</v>
          </cell>
          <cell r="G15" t="str">
            <v>COLEGIO DEL SANTISIMO ROSARIO</v>
          </cell>
          <cell r="H15" t="str">
            <v>Autoevaluación Institucional y Pruebas SABER 11</v>
          </cell>
          <cell r="I15" t="str">
            <v>SEGUIMIENTO_Y_SUPERVISIÓN.</v>
          </cell>
          <cell r="J15" t="str">
            <v>Proponer estrategias en la formulación, verificar su elaboración y realizar seguimiento semestral al desarrollo de  las acciones establecidas en los planes de mejoramiento por pruebas SABER 11 de los establecimientos de educación formal.</v>
          </cell>
          <cell r="K15" t="str">
            <v>DAMARIS RUT CÁRDENAS MORENO</v>
          </cell>
          <cell r="L15" t="str">
            <v>LUIS HERNANDO NEÍZA WALTEROS</v>
          </cell>
          <cell r="M15">
            <v>45748</v>
          </cell>
          <cell r="N15">
            <v>45748</v>
          </cell>
          <cell r="O15">
            <v>45748</v>
          </cell>
          <cell r="P15" t="str">
            <v>Visitas de evaluación con fines de mejoramiento</v>
          </cell>
          <cell r="Q15" t="str">
            <v>Visita priorizada colegio del santisimo rosario 01042025.pdf</v>
          </cell>
          <cell r="R15" t="str">
            <v xml:space="preserve">
Se tiene reporte de resultados Saber 11  a 2024 e informe diagnóstico de pruebas saber primer periodo, año 2025. </v>
          </cell>
          <cell r="S15" t="str">
            <v>El colegio se ha generado
contratación de entidad externa para refuerzo y práctica de pruebas tipo saber</v>
          </cell>
          <cell r="T15" t="str">
            <v>Si</v>
          </cell>
          <cell r="U15" t="str">
            <v xml:space="preserve">Se realizará visita de seguimiento en el segundo semestre de 2025. Se realizó asesoria y mesa de trabajo el 05 de septiembre de 2025. Seguimiento en 2026 al plan de mejoramiento  presentado el  28 de noviemrbre de 2025. </v>
          </cell>
        </row>
        <row r="16">
          <cell r="A16">
            <v>1820</v>
          </cell>
          <cell r="B16">
            <v>2</v>
          </cell>
          <cell r="C16" t="str">
            <v xml:space="preserve">SANTA FE Y CANDELARIA </v>
          </cell>
          <cell r="D16" t="str">
            <v>PRIVADO</v>
          </cell>
          <cell r="E16" t="str">
            <v>EPBM</v>
          </cell>
          <cell r="F16" t="str">
            <v>COLEGIO_DEL_SANTISIMO_ROSARIO</v>
          </cell>
          <cell r="G16" t="str">
            <v>COLEGIO DEL SANTISIMO ROSARIO</v>
          </cell>
          <cell r="H16" t="str">
            <v>Autoevaluación Institucional y Pruebas SABER 11</v>
          </cell>
          <cell r="I16" t="str">
            <v>SEGUIMIENTO_Y_SUPERVISIÓN.</v>
          </cell>
          <cell r="J16" t="str">
            <v xml:space="preserve">Verificar la implementación por parte de los colegios, de acciones realizadas para la prevención y atención de las situaciones de convivencia en el entorno escolar, según lo establecido en la Directiva 01 de 2022 del MEN. </v>
          </cell>
          <cell r="K16" t="str">
            <v>DAMARIS RUT CÁRDENAS MORENO</v>
          </cell>
          <cell r="L16" t="str">
            <v>LUIS HERNANDO NEÍZA WALTEROS</v>
          </cell>
          <cell r="M16">
            <v>45748</v>
          </cell>
          <cell r="N16">
            <v>45748</v>
          </cell>
          <cell r="O16">
            <v>45748</v>
          </cell>
          <cell r="P16" t="str">
            <v>Visitas de evaluación con fines de mejoramiento</v>
          </cell>
          <cell r="Q16" t="str">
            <v>Visita priorizada colegio del santisimo rosario 01042025.pdf</v>
          </cell>
          <cell r="R16" t="str">
            <v>La institución educativa para el proceso de contratación solicitó certificado sobre antecedentes de delitos sexuales; sin embargo, no se ha socializado con la comunidad educativa.</v>
          </cell>
          <cell r="S16" t="str">
            <v>Se comparten datos de profesionales de OCE, y se debe solicitar la cualificación referente a la Directiva.</v>
          </cell>
          <cell r="T16" t="str">
            <v>Si</v>
          </cell>
          <cell r="U16" t="str">
            <v xml:space="preserve">Se realizará visita de seguimiento en el segundo semestre de 2025. Se realizó asesoria y Mesa de trabajo el 05 de septiembre de 2025. Seguimiento en 2026 al plan de mejoramiento  presentado el  28 de noviemrbre de 2025. </v>
          </cell>
        </row>
        <row r="17">
          <cell r="A17">
            <v>1821</v>
          </cell>
          <cell r="B17">
            <v>2</v>
          </cell>
          <cell r="C17" t="str">
            <v xml:space="preserve">SANTA FE Y CANDELARIA </v>
          </cell>
          <cell r="D17" t="str">
            <v>PRIVADO</v>
          </cell>
          <cell r="E17" t="str">
            <v>EPBM</v>
          </cell>
          <cell r="F17" t="str">
            <v>COLEGIO_DEL_SANTISIMO_ROSARIO</v>
          </cell>
          <cell r="G17" t="str">
            <v>COLEGIO DEL SANTISIMO ROSARIO</v>
          </cell>
          <cell r="H17" t="str">
            <v>Autoevaluación Institucional y Pruebas SABER 11</v>
          </cell>
          <cell r="I17" t="str">
            <v>SEGUIMIENTO_Y_SUPERVISIÓN.</v>
          </cell>
          <cell r="J1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 t="str">
            <v>DAMARIS RUT CÁRDENAS MORENO</v>
          </cell>
          <cell r="L17" t="str">
            <v>LUIS HERNANDO NEÍZA WALTEROS</v>
          </cell>
          <cell r="M17">
            <v>45748</v>
          </cell>
          <cell r="N17">
            <v>45748</v>
          </cell>
          <cell r="O17">
            <v>45748</v>
          </cell>
          <cell r="P17" t="str">
            <v>Visitas de evaluación con fines de mejoramiento</v>
          </cell>
          <cell r="Q17" t="str">
            <v>Visita priorizada colegio del santisimo rosario 01042025.pdf</v>
          </cell>
          <cell r="R17" t="str">
            <v>La institución, en su matrícula, tiene 4 estudiantes con necesidades educativas especiales y a la fecha no se ha iniciado el proceso de construcción de PIAR y/o DUA</v>
          </cell>
          <cell r="S17" t="str">
            <v> Iniciar la implementación de formatos de seguimiento según el Decreto 1421. </v>
          </cell>
          <cell r="T17" t="str">
            <v>Si</v>
          </cell>
          <cell r="U17" t="str">
            <v xml:space="preserve">Se realizará visita de seguimiento en el segundo semestre de 2025. Se realizó asesoria y Mesa de trabajo el 05 de septiembre de 2025. Seguimiento en 2026 al plan de mejoramiento  presentado el  28 de noviemrbre de 2025. </v>
          </cell>
        </row>
        <row r="18">
          <cell r="A18">
            <v>1822</v>
          </cell>
          <cell r="B18">
            <v>2</v>
          </cell>
          <cell r="C18" t="str">
            <v xml:space="preserve">SANTA FE Y CANDELARIA </v>
          </cell>
          <cell r="D18" t="str">
            <v>PRIVADO</v>
          </cell>
          <cell r="E18" t="str">
            <v>EPBM</v>
          </cell>
          <cell r="F18" t="str">
            <v>COLEGIO_DEL_SANTISIMO_ROSARIO</v>
          </cell>
          <cell r="G18" t="str">
            <v>COLEGIO DEL SANTISIMO ROSARIO</v>
          </cell>
          <cell r="H18" t="str">
            <v>Autoevaluación Institucional y Pruebas SABER 11</v>
          </cell>
          <cell r="I18" t="str">
            <v>EVALUACIÓN_CON_FINES_DE_MEJORAMIENTO.</v>
          </cell>
          <cell r="J1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 t="str">
            <v>DAMARIS RUT CÁRDENAS MORENO</v>
          </cell>
          <cell r="L18" t="str">
            <v>LUIS HERNANDO NEÍZA WALTEROS</v>
          </cell>
          <cell r="M18">
            <v>45748</v>
          </cell>
          <cell r="N18">
            <v>45748</v>
          </cell>
          <cell r="O18">
            <v>45748</v>
          </cell>
          <cell r="P18" t="str">
            <v>Visitas de evaluación con fines de mejoramiento</v>
          </cell>
          <cell r="Q18" t="str">
            <v>Visita priorizada colegio del santisimo rosario 01042025.pdf</v>
          </cell>
          <cell r="R18" t="str">
            <v>El colegio ha realizado actualización de documentos institucionales; sin embargo, no es posible verificar su construcción junto con la comunidad educativa.</v>
          </cell>
          <cell r="S18" t="str">
            <v>Realizar reorganización documental de procesos y documentación de los mismos.</v>
          </cell>
          <cell r="T18" t="str">
            <v>Si</v>
          </cell>
          <cell r="U18" t="str">
            <v xml:space="preserve">Se realizará visita de seguimiento en el segundo semestre de 2025. Se realizó asesoria y Mesa de trabajo el 05 de septiembre de 2025. Seguimiento en 2026 al plan de mejoramiento  presentado el  28 de noviemrbre de 2025. </v>
          </cell>
        </row>
        <row r="19">
          <cell r="A19">
            <v>1823</v>
          </cell>
          <cell r="B19">
            <v>2</v>
          </cell>
          <cell r="C19" t="str">
            <v xml:space="preserve">SANTA FE Y CANDELARIA </v>
          </cell>
          <cell r="D19" t="str">
            <v>PRIVADO</v>
          </cell>
          <cell r="E19" t="str">
            <v>EPBM</v>
          </cell>
          <cell r="F19" t="str">
            <v>COLEGIO_DEL_SANTISIMO_ROSARIO</v>
          </cell>
          <cell r="G19" t="str">
            <v>COLEGIO DEL SANTISIMO ROSARIO</v>
          </cell>
          <cell r="H19" t="str">
            <v>Autoevaluación Institucional y Pruebas SABER 11</v>
          </cell>
          <cell r="I19" t="str">
            <v>EVALUACIÓN_CON_FINES_DE_MEJORAMIENTO.</v>
          </cell>
          <cell r="J19" t="str">
            <v>Revisar la actualización, socialización e implementación del Sistema Institucional de Evaluación de Estudiantes - SIEE, en articulación con la actualización del PEI y la normatividad vigente.</v>
          </cell>
          <cell r="K19" t="str">
            <v>DAMARIS RUT CÁRDENAS MORENO</v>
          </cell>
          <cell r="L19" t="str">
            <v>LUIS HERNANDO NEÍZA WALTEROS</v>
          </cell>
          <cell r="M19">
            <v>45748</v>
          </cell>
          <cell r="N19">
            <v>45748</v>
          </cell>
          <cell r="O19">
            <v>45748</v>
          </cell>
          <cell r="P19" t="str">
            <v>Visitas de evaluación con fines de mejoramiento</v>
          </cell>
          <cell r="Q19" t="str">
            <v>Visita priorizada colegio del santisimo rosario 01042025.pdf</v>
          </cell>
          <cell r="R19" t="str">
            <v>El documento de PEI existente corresponde al año 2023. Sin embargo, el actual equipo directivo ha generado actualización de apartados del mismo.</v>
          </cell>
          <cell r="S19" t="str">
            <v>Se recuerda la importancia de generar este proceso con todos los estamentos de la comunidad educativa y documentar el proceso de construcción.</v>
          </cell>
          <cell r="T19" t="str">
            <v>Si</v>
          </cell>
          <cell r="U19" t="str">
            <v xml:space="preserve">Se realizará visita de seguimiento en el segundo semestre de 2025 Se realizó asesoria y Mesa de trabajo el 05 de septiembre de 2025. Seguimiento en 2026 al plan de mejoramiento  presentado el  28 de noviemrbre de 2025. </v>
          </cell>
        </row>
        <row r="20">
          <cell r="A20">
            <v>1824</v>
          </cell>
          <cell r="B20">
            <v>2</v>
          </cell>
          <cell r="C20" t="str">
            <v xml:space="preserve">SANTA FE Y CANDELARIA </v>
          </cell>
          <cell r="D20" t="str">
            <v>PRIVADO</v>
          </cell>
          <cell r="E20" t="str">
            <v>EPBM</v>
          </cell>
          <cell r="F20" t="str">
            <v>COLEGIO_DEL_SANTISIMO_ROSARIO</v>
          </cell>
          <cell r="G20" t="str">
            <v>COLEGIO DEL SANTISIMO ROSARIO</v>
          </cell>
          <cell r="H20" t="str">
            <v>Autoevaluación Institucional y Pruebas SABER 11</v>
          </cell>
          <cell r="I20" t="str">
            <v>EVALUACIÓN_CON_FINES_DE_MEJORAMIENTO.</v>
          </cell>
          <cell r="J20" t="str">
            <v>Revisar el calendario escolar, jornada escolar, la intensidad horaria mínima anual en cada nivel y las modificaciones que se realicen al mismo, de acuerdo con lo previsto en la normatividad vigente.</v>
          </cell>
          <cell r="K20" t="str">
            <v>DAMARIS RUT CÁRDENAS MORENO</v>
          </cell>
          <cell r="L20" t="str">
            <v>LUIS HERNANDO NEÍZA WALTEROS</v>
          </cell>
          <cell r="M20">
            <v>45748</v>
          </cell>
          <cell r="N20">
            <v>45748</v>
          </cell>
          <cell r="O20">
            <v>45748</v>
          </cell>
          <cell r="P20" t="str">
            <v>Visitas de evaluación con fines de mejoramiento</v>
          </cell>
          <cell r="Q20" t="str">
            <v>Visita priorizada colegio del santisimo rosario 01042025.pdf</v>
          </cell>
          <cell r="R20" t="str">
            <v>En lo informado en el aplicativo, la IE cumple. Sin embargo, se requiere realizar ajustes en los documentos institucionales actuales, como cronograma interno institucional.</v>
          </cell>
          <cell r="S20" t="str">
            <v>Se recuerda la importancia de tener un adecuado manejo de la gestión documental institucional y la sistematización de la información.</v>
          </cell>
          <cell r="T20" t="str">
            <v>Si</v>
          </cell>
          <cell r="U20" t="str">
            <v xml:space="preserve">Se realizará visita de seguimiento en el segundo semestre de 2025. Se realizó asesoria y mesa de trabajo el 05 de septiembre de 2025. Seguimiento en 2026 al plan de mejoramiento  presentado el  28 de noviemrbre de 2025. </v>
          </cell>
        </row>
        <row r="21">
          <cell r="A21">
            <v>1825</v>
          </cell>
          <cell r="B21">
            <v>2</v>
          </cell>
          <cell r="C21" t="str">
            <v xml:space="preserve">SANTA FE Y CANDELARIA </v>
          </cell>
          <cell r="D21" t="str">
            <v>PRIVADO</v>
          </cell>
          <cell r="E21" t="str">
            <v>EPBM</v>
          </cell>
          <cell r="F21" t="str">
            <v>COLEGIO_DEL_SANTISIMO_ROSARIO</v>
          </cell>
          <cell r="G21" t="str">
            <v>COLEGIO DEL SANTISIMO ROSARIO</v>
          </cell>
          <cell r="H21" t="str">
            <v>Autoevaluación Institucional y Pruebas SABER 11</v>
          </cell>
          <cell r="I21" t="str">
            <v>EVALUACIÓN_CON_FINES_DE_MEJORAMIENTO.</v>
          </cell>
          <cell r="J21" t="str">
            <v>Verificar el funcionamiento del Gobierno Escolar e instancias de participación con base en la información sobre conformación reportada por la institución educativa.</v>
          </cell>
          <cell r="K21" t="str">
            <v>DAMARIS RUT CÁRDENAS MORENO</v>
          </cell>
          <cell r="L21" t="str">
            <v>LUIS HERNANDO NEÍZA WALTEROS</v>
          </cell>
          <cell r="M21">
            <v>45748</v>
          </cell>
          <cell r="N21">
            <v>45748</v>
          </cell>
          <cell r="O21">
            <v>45748</v>
          </cell>
          <cell r="P21" t="str">
            <v>Visitas de evaluación con fines de mejoramiento</v>
          </cell>
          <cell r="Q21" t="str">
            <v>Visita priorizada colegio del santisimo rosario 01042025.pdf</v>
          </cell>
          <cell r="R21" t="str">
            <v>A la fecha de la visita, la institución presenta contingencia en área administrativa y manejo de aplicativos, por la renuncia del personal encargado, quien no entregó documentación a su cargo. Sin embargo, el proceso de elección de representantes al gobierno y conformación del mismo se realizó.</v>
          </cell>
          <cell r="S21" t="str">
            <v>Se comparte información de solicitud de usuarios con la Dirección de Participación y la DIV, para subsanar el proceso.</v>
          </cell>
          <cell r="T21" t="str">
            <v>Si</v>
          </cell>
          <cell r="U21" t="str">
            <v xml:space="preserve">Se realizará visita de seguimiento en el segundo semestre de 2025.Se realizó asesoria y mesa de trabajo el 05 de septiembre de 2025.  Seguimiento en 2026 al plan de mejoramiento  presentado el  28 de noviemrbre de 2025. </v>
          </cell>
        </row>
        <row r="22">
          <cell r="A22">
            <v>1826</v>
          </cell>
          <cell r="B22">
            <v>2</v>
          </cell>
          <cell r="C22" t="str">
            <v xml:space="preserve">SANTA FE Y CANDELARIA </v>
          </cell>
          <cell r="D22" t="str">
            <v>PRIVADO</v>
          </cell>
          <cell r="E22" t="str">
            <v>EPBM</v>
          </cell>
          <cell r="F22" t="str">
            <v>COLEGIO_DEL_SANTISIMO_ROSARIO</v>
          </cell>
          <cell r="G22" t="str">
            <v>COLEGIO DEL SANTISIMO ROSARIO</v>
          </cell>
          <cell r="H22" t="str">
            <v>Autoevaluación Institucional y Pruebas SABER 11</v>
          </cell>
          <cell r="I22" t="str">
            <v>EVALUACIÓN_CON_FINES_DE_MEJORAMIENTO.</v>
          </cell>
          <cell r="J22" t="str">
            <v>Verificar las condiciones en cuanto a: la estructura administrativa, condiciones de la planta física y medios educativos adecuados.</v>
          </cell>
          <cell r="K22" t="str">
            <v>DAMARIS RUT CÁRDENAS MORENO</v>
          </cell>
          <cell r="L22" t="str">
            <v>LUIS HERNANDO NEÍZA WALTEROS</v>
          </cell>
          <cell r="M22">
            <v>45748</v>
          </cell>
          <cell r="N22">
            <v>45748</v>
          </cell>
          <cell r="O22">
            <v>45748</v>
          </cell>
          <cell r="P22" t="str">
            <v>Visitas de evaluación con fines de mejoramiento</v>
          </cell>
          <cell r="Q22" t="str">
            <v>Visita priorizada colegio del santisimo rosario 01042025.pdf</v>
          </cell>
          <cell r="R22" t="str">
            <v xml:space="preserve">La institución educativa se encuentra realizando adecuaciones relacionadas con observaciones realizadas por visita del sector salud.  </v>
          </cell>
          <cell r="S22" t="str">
            <v>Se recuerda la importancia de realizar adecuado mantenimiento, y señalización de espacios.</v>
          </cell>
          <cell r="T22" t="str">
            <v>Si</v>
          </cell>
          <cell r="U22" t="str">
            <v xml:space="preserve">Se realizará visita de seguimiento en el segundo semestre de 2025. Se realizó asesoria y mesa de trabajo el 05 de septiembre de 2025. Seguimiento en 2026 al plan de mejoramiento  presentado el  28 de noviemrbre de 2025. </v>
          </cell>
        </row>
        <row r="23">
          <cell r="A23">
            <v>1827</v>
          </cell>
          <cell r="B23">
            <v>3</v>
          </cell>
          <cell r="C23" t="str">
            <v xml:space="preserve">SANTA FE Y CANDELARIA </v>
          </cell>
          <cell r="D23" t="str">
            <v>PRIVADO</v>
          </cell>
          <cell r="E23" t="str">
            <v>EPBM</v>
          </cell>
          <cell r="F23" t="str">
            <v>COLEGIO_BENPOSTA_NACION_DE_MUCHACHOS</v>
          </cell>
          <cell r="G23" t="str">
            <v>COLEGIO BENPOSTA NACION DE MUCHACHOS</v>
          </cell>
          <cell r="H23" t="str">
            <v>Autoevaluación Institucional y Pruebas SABER 11</v>
          </cell>
          <cell r="I23" t="str">
            <v>SEGUIMIENTO_Y_SUPERVISIÓN.</v>
          </cell>
          <cell r="J23" t="str">
            <v>Realizar visitas para verificar la información registrada sobre la autoevaluación institucional en el aplicativo EVI, a los establecimientos de educación formal no oficial.</v>
          </cell>
          <cell r="K23" t="str">
            <v>JOSÉ MAXIMILIANO CHAPARRO BARRERA</v>
          </cell>
          <cell r="L23" t="str">
            <v>DAMARIS RUT CÁRDENAS MORENO</v>
          </cell>
          <cell r="M23">
            <v>45758</v>
          </cell>
          <cell r="N23">
            <v>45758</v>
          </cell>
          <cell r="O23">
            <v>45758</v>
          </cell>
          <cell r="P23" t="str">
            <v>Visitas de evaluación con fines de mejoramiento</v>
          </cell>
          <cell r="Q23" t="str">
            <v>2025 04 11 COl Benposta Acta de visita.pdf</v>
          </cell>
          <cell r="R23" t="str">
            <v xml:space="preserve">Se encontró correspondencia entre lo reportado en el aplicativo EVI y lo observado durante la visita, en relación con la vinculación docente. Existen documentos contractuales; no obstante, algunos docentes están vinculados mediante contratos de prestación de servicios.  </v>
          </cell>
          <cell r="S23" t="str">
            <v>Verificar el tipo de vinculación contractual de los docentes que prestan servicios bajo la modalidad de prestación de servicios.</v>
          </cell>
          <cell r="T23" t="str">
            <v>Si</v>
          </cell>
          <cell r="U23" t="str">
            <v>Realizar acompañamiento y brindar orientación para la formulación del plan de mejoramiento en el mes de agosto de 2025.  Se realizará seguimiento en vigencia 2026.</v>
          </cell>
        </row>
        <row r="24">
          <cell r="A24">
            <v>1828</v>
          </cell>
          <cell r="B24">
            <v>3</v>
          </cell>
          <cell r="C24" t="str">
            <v xml:space="preserve">SANTA FE Y CANDELARIA </v>
          </cell>
          <cell r="D24" t="str">
            <v>PRIVADO</v>
          </cell>
          <cell r="E24" t="str">
            <v>EPBM</v>
          </cell>
          <cell r="F24" t="str">
            <v>COLEGIO_BENPOSTA_NACION_DE_MUCHACHOS</v>
          </cell>
          <cell r="G24" t="str">
            <v>COLEGIO BENPOSTA NACION DE MUCHACHOS</v>
          </cell>
          <cell r="H24" t="str">
            <v>Autoevaluación Institucional y Pruebas SABER 11</v>
          </cell>
          <cell r="I24" t="str">
            <v>SEGUIMIENTO_Y_SUPERVISIÓN.</v>
          </cell>
          <cell r="J24" t="str">
            <v>Proponer estrategias en la formulación, verificar su elaboración y realizar seguimiento semestral al desarrollo de  las acciones establecidas en los planes de mejoramiento por pruebas SABER 11 de los establecimientos de educación formal.</v>
          </cell>
          <cell r="K24" t="str">
            <v>JOSÉ MAXIMILIANO CHAPARRO BARRERA</v>
          </cell>
          <cell r="L24" t="str">
            <v>DAMARIS RUT CÁRDENAS MORENO</v>
          </cell>
          <cell r="M24">
            <v>45758</v>
          </cell>
          <cell r="N24">
            <v>45758</v>
          </cell>
          <cell r="O24">
            <v>45758</v>
          </cell>
          <cell r="P24" t="str">
            <v>Visitas de evaluación con fines de mejoramiento</v>
          </cell>
          <cell r="Q24" t="str">
            <v>2025 04 11 COl Benposta Acta de visita.pdf</v>
          </cell>
          <cell r="R24" t="str">
            <v xml:space="preserve">Se constató la existencia de un plan de mejoramiento, así como de una estrategia dirigida al fortalecimiento de los resultados en las Pruebas Saber. </v>
          </cell>
          <cell r="S24" t="str">
            <v>Formular el modelo o estrategia de mejoramiento en pruebas externas, acompañado del análisis de resultados orientado a la evaluación interna del aprendizaje estudiantil.</v>
          </cell>
          <cell r="T24" t="str">
            <v>Si</v>
          </cell>
          <cell r="U24" t="str">
            <v>Realizar acompañamiento y brindar orientación para la formulación del plan de mejoramiento en el mes de agosto de 2025.  Se realizará seguimiento en vigencia 2026.</v>
          </cell>
        </row>
        <row r="25">
          <cell r="A25">
            <v>1829</v>
          </cell>
          <cell r="B25">
            <v>3</v>
          </cell>
          <cell r="C25" t="str">
            <v xml:space="preserve">SANTA FE Y CANDELARIA </v>
          </cell>
          <cell r="D25" t="str">
            <v>PRIVADO</v>
          </cell>
          <cell r="E25" t="str">
            <v>EPBM</v>
          </cell>
          <cell r="F25" t="str">
            <v>COLEGIO_BENPOSTA_NACION_DE_MUCHACHOS</v>
          </cell>
          <cell r="G25" t="str">
            <v>COLEGIO BENPOSTA NACION DE MUCHACHOS</v>
          </cell>
          <cell r="H25" t="str">
            <v>Autoevaluación Institucional y Pruebas SABER 11</v>
          </cell>
          <cell r="I25" t="str">
            <v>SEGUIMIENTO_Y_SUPERVISIÓN.</v>
          </cell>
          <cell r="J25" t="str">
            <v xml:space="preserve">Verificar la implementación por parte de los colegios, de acciones realizadas para la prevención y atención de las situaciones de convivencia en el entorno escolar, según lo establecido en la Directiva 01 de 2022 del MEN. </v>
          </cell>
          <cell r="K25" t="str">
            <v>JOSÉ MAXIMILIANO CHAPARRO BARRERA</v>
          </cell>
          <cell r="L25" t="str">
            <v>DAMARIS RUT CÁRDENAS MORENO</v>
          </cell>
          <cell r="M25">
            <v>45758</v>
          </cell>
          <cell r="N25">
            <v>45758</v>
          </cell>
          <cell r="O25">
            <v>45758</v>
          </cell>
          <cell r="P25" t="str">
            <v>Visitas de evaluación con fines de mejoramiento</v>
          </cell>
          <cell r="Q25" t="str">
            <v>2025 04 11 COl Benposta Acta de visita.pdf</v>
          </cell>
          <cell r="R25" t="str">
            <v xml:space="preserve">La Institución Educativa ha llevado a cabo la verificación periódica, cada cuatro meses, de antecedentes por delitos sexuales.  </v>
          </cell>
          <cell r="S25" t="str">
            <v>Verificar el cumplimiento de las acciones establecidas en la Directiva 01, con énfasis en la actualización del manual y en la formulación de indicadores de convivencia derivados del Plan de Convivencia Escolar.</v>
          </cell>
          <cell r="T25" t="str">
            <v>Si</v>
          </cell>
          <cell r="U25" t="str">
            <v>Realizar acompañamiento y brindar orientación para la formulación del plan de mejoramiento en el mes de agosto de 2025.  Se realizará seguimiento en vigencia 2026.</v>
          </cell>
        </row>
        <row r="26">
          <cell r="A26">
            <v>1830</v>
          </cell>
          <cell r="B26">
            <v>3</v>
          </cell>
          <cell r="C26" t="str">
            <v xml:space="preserve">SANTA FE Y CANDELARIA </v>
          </cell>
          <cell r="D26" t="str">
            <v>PRIVADO</v>
          </cell>
          <cell r="E26" t="str">
            <v>EPBM</v>
          </cell>
          <cell r="F26" t="str">
            <v>COLEGIO_BENPOSTA_NACION_DE_MUCHACHOS</v>
          </cell>
          <cell r="G26" t="str">
            <v>COLEGIO BENPOSTA NACION DE MUCHACHOS</v>
          </cell>
          <cell r="H26" t="str">
            <v>Autoevaluación Institucional y Pruebas SABER 11</v>
          </cell>
          <cell r="I26" t="str">
            <v>SEGUIMIENTO_Y_SUPERVISIÓN.</v>
          </cell>
          <cell r="J2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 t="str">
            <v>JOSÉ MAXIMILIANO CHAPARRO BARRERA</v>
          </cell>
          <cell r="L26" t="str">
            <v>DAMARIS RUT CÁRDENAS MORENO</v>
          </cell>
          <cell r="M26">
            <v>45758</v>
          </cell>
          <cell r="N26">
            <v>45758</v>
          </cell>
          <cell r="O26">
            <v>45758</v>
          </cell>
          <cell r="P26" t="str">
            <v>Visitas de evaluación con fines de mejoramiento</v>
          </cell>
          <cell r="Q26" t="str">
            <v>2025 04 11 COl Benposta Acta de visita.pdf</v>
          </cell>
          <cell r="R26" t="str">
            <v xml:space="preserve">Se evidenció la existencia de documentos PIAR elaborados para la población, en el contexto del proyecto institucional GIE, el cual direcciona la flexibilización curricular para los estudiantes que lo requieran.  </v>
          </cell>
          <cell r="S26" t="str">
            <v>Fortalecer el proceso a través de la actualización y complementación del SIEE institucional, con miras a implementar dichas estrategias en el próximo año lectivo y formalizar los PIAR individuales de cada estudiante.</v>
          </cell>
          <cell r="T26" t="str">
            <v>Si</v>
          </cell>
          <cell r="U26" t="str">
            <v>Realizar acompañamiento y brindar orientación para la formulación del plan de mejoramiento en el mes de agosto de 2025.  Se realizará seguimiento en vigencia 2026.</v>
          </cell>
        </row>
        <row r="27">
          <cell r="A27">
            <v>1831</v>
          </cell>
          <cell r="B27">
            <v>3</v>
          </cell>
          <cell r="C27" t="str">
            <v xml:space="preserve">SANTA FE Y CANDELARIA </v>
          </cell>
          <cell r="D27" t="str">
            <v>PRIVADO</v>
          </cell>
          <cell r="E27" t="str">
            <v>EPBM</v>
          </cell>
          <cell r="F27" t="str">
            <v>COLEGIO_BENPOSTA_NACION_DE_MUCHACHOS</v>
          </cell>
          <cell r="G27" t="str">
            <v>COLEGIO BENPOSTA NACION DE MUCHACHOS</v>
          </cell>
          <cell r="H27" t="str">
            <v>Autoevaluación Institucional y Pruebas SABER 11</v>
          </cell>
          <cell r="I27" t="str">
            <v>EVALUACIÓN_CON_FINES_DE_MEJORAMIENTO.</v>
          </cell>
          <cell r="J2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 t="str">
            <v>JOSÉ MAXIMILIANO CHAPARRO BARRERA</v>
          </cell>
          <cell r="L27" t="str">
            <v>DAMARIS RUT CÁRDENAS MORENO</v>
          </cell>
          <cell r="M27">
            <v>45758</v>
          </cell>
          <cell r="N27">
            <v>45758</v>
          </cell>
          <cell r="O27">
            <v>45758</v>
          </cell>
          <cell r="P27" t="str">
            <v>Visitas de evaluación con fines de mejoramiento</v>
          </cell>
          <cell r="Q27" t="str">
            <v>2025 04 11 COl Benposta Acta de visita.pdf</v>
          </cell>
          <cell r="R27" t="str">
            <v>El Manual de Convivencia requiere ser ajustado para asegurar su armonización con los lineamientos establecidos en el Proyecto Educativo Institucional.</v>
          </cell>
          <cell r="S27" t="str">
            <v>Realizar ajustes al Manual de Convivencia mediante un proceso participativo con la comunidad, con el fin de actualizar el documento e implementarlo en el próximo año lectivo.</v>
          </cell>
          <cell r="T27" t="str">
            <v>Si</v>
          </cell>
          <cell r="U27" t="str">
            <v>Realizar acompañamiento y brindar orientación para la formulación del plan de mejoramiento en el mes de agosto de 2025.  Se realizará seguimiento en vigencia 2026.</v>
          </cell>
        </row>
        <row r="28">
          <cell r="A28">
            <v>1832</v>
          </cell>
          <cell r="B28">
            <v>3</v>
          </cell>
          <cell r="C28" t="str">
            <v xml:space="preserve">SANTA FE Y CANDELARIA </v>
          </cell>
          <cell r="D28" t="str">
            <v>PRIVADO</v>
          </cell>
          <cell r="E28" t="str">
            <v>EPBM</v>
          </cell>
          <cell r="F28" t="str">
            <v>COLEGIO_BENPOSTA_NACION_DE_MUCHACHOS</v>
          </cell>
          <cell r="G28" t="str">
            <v>COLEGIO BENPOSTA NACION DE MUCHACHOS</v>
          </cell>
          <cell r="H28" t="str">
            <v>Autoevaluación Institucional y Pruebas SABER 11</v>
          </cell>
          <cell r="I28" t="str">
            <v>EVALUACIÓN_CON_FINES_DE_MEJORAMIENTO.</v>
          </cell>
          <cell r="J28" t="str">
            <v>Revisar la actualización, socialización e implementación del Sistema Institucional de Evaluación de Estudiantes - SIEE, en articulación con la actualización del PEI y la normatividad vigente.</v>
          </cell>
          <cell r="K28" t="str">
            <v>JOSÉ MAXIMILIANO CHAPARRO BARRERA</v>
          </cell>
          <cell r="L28" t="str">
            <v>DAMARIS RUT CÁRDENAS MORENO</v>
          </cell>
          <cell r="M28">
            <v>45758</v>
          </cell>
          <cell r="N28">
            <v>45758</v>
          </cell>
          <cell r="O28">
            <v>45758</v>
          </cell>
          <cell r="P28" t="str">
            <v>Visitas de evaluación con fines de mejoramiento</v>
          </cell>
          <cell r="Q28" t="str">
            <v>2025 04 11 COl Benposta Acta de visita.pdf</v>
          </cell>
          <cell r="R28" t="str">
            <v>La institución cuenta con el documento SIEE, que ha sido socializado con la comunidad escolar, pero presenta incoherencias con el PEI y el contexto institucional.</v>
          </cell>
          <cell r="S28" t="str">
            <v>Llevar a cabo ajustes en el SIEE considerando el modelo pedagógico, el PEI y las particularidades contextuales de la institución.</v>
          </cell>
          <cell r="T28" t="str">
            <v>Si</v>
          </cell>
          <cell r="U28" t="str">
            <v>Realizar acompañamiento y brindar orientación para la formulación del plan de mejoramiento en el mes de agosto de 2025.   Se realizará seguimiento en vigencia 2026.</v>
          </cell>
        </row>
        <row r="29">
          <cell r="A29">
            <v>1833</v>
          </cell>
          <cell r="B29">
            <v>3</v>
          </cell>
          <cell r="C29" t="str">
            <v xml:space="preserve">SANTA FE Y CANDELARIA </v>
          </cell>
          <cell r="D29" t="str">
            <v>PRIVADO</v>
          </cell>
          <cell r="E29" t="str">
            <v>EPBM</v>
          </cell>
          <cell r="F29" t="str">
            <v>COLEGIO_BENPOSTA_NACION_DE_MUCHACHOS</v>
          </cell>
          <cell r="G29" t="str">
            <v>COLEGIO BENPOSTA NACION DE MUCHACHOS</v>
          </cell>
          <cell r="H29" t="str">
            <v>Autoevaluación Institucional y Pruebas SABER 11</v>
          </cell>
          <cell r="I29" t="str">
            <v>EVALUACIÓN_CON_FINES_DE_MEJORAMIENTO.</v>
          </cell>
          <cell r="J29" t="str">
            <v>Revisar el calendario escolar, jornada escolar, la intensidad horaria mínima anual en cada nivel y las modificaciones que se realicen al mismo, de acuerdo con lo previsto en la normatividad vigente.</v>
          </cell>
          <cell r="K29" t="str">
            <v>JOSÉ MAXIMILIANO CHAPARRO BARRERA</v>
          </cell>
          <cell r="L29" t="str">
            <v>DAMARIS RUT CÁRDENAS MORENO</v>
          </cell>
          <cell r="M29">
            <v>45758</v>
          </cell>
          <cell r="N29">
            <v>45758</v>
          </cell>
          <cell r="O29">
            <v>45758</v>
          </cell>
          <cell r="P29" t="str">
            <v>Visitas de evaluación con fines de mejoramiento</v>
          </cell>
          <cell r="Q29" t="str">
            <v>2025 04 11 COl Benposta Acta de visita.pdf</v>
          </cell>
          <cell r="R29" t="str">
            <v>El calendario escolar, la jornada y la intensidad horaria se encuentran ajustados conforme a la normatividad vigente..</v>
          </cell>
          <cell r="S29" t="str">
            <v>Continuar con la elaboración del calendario académico y asegurar su correcta implementación.</v>
          </cell>
          <cell r="T29" t="str">
            <v>No</v>
          </cell>
          <cell r="U29" t="str">
            <v>Se hará revisión en 2026.  Se realizará seguimiento en vigencia 2026.</v>
          </cell>
        </row>
        <row r="30">
          <cell r="A30">
            <v>1834</v>
          </cell>
          <cell r="B30">
            <v>3</v>
          </cell>
          <cell r="C30" t="str">
            <v xml:space="preserve">SANTA FE Y CANDELARIA </v>
          </cell>
          <cell r="D30" t="str">
            <v>PRIVADO</v>
          </cell>
          <cell r="E30" t="str">
            <v>EPBM</v>
          </cell>
          <cell r="F30" t="str">
            <v>COLEGIO_BENPOSTA_NACION_DE_MUCHACHOS</v>
          </cell>
          <cell r="G30" t="str">
            <v>COLEGIO BENPOSTA NACION DE MUCHACHOS</v>
          </cell>
          <cell r="H30" t="str">
            <v>Autoevaluación Institucional y Pruebas SABER 11</v>
          </cell>
          <cell r="I30" t="str">
            <v>EVALUACIÓN_CON_FINES_DE_MEJORAMIENTO.</v>
          </cell>
          <cell r="J30" t="str">
            <v>Verificar el funcionamiento del Gobierno Escolar e instancias de participación con base en la información sobre conformación reportada por la institución educativa.</v>
          </cell>
          <cell r="K30" t="str">
            <v>JOSÉ MAXIMILIANO CHAPARRO BARRERA</v>
          </cell>
          <cell r="L30" t="str">
            <v>DAMARIS RUT CÁRDENAS MORENO</v>
          </cell>
          <cell r="M30">
            <v>45758</v>
          </cell>
          <cell r="N30">
            <v>45758</v>
          </cell>
          <cell r="O30">
            <v>45758</v>
          </cell>
          <cell r="P30" t="str">
            <v>Visitas de evaluación con fines de mejoramiento</v>
          </cell>
          <cell r="Q30" t="str">
            <v>2025 04 11 COl Benposta Acta de visita.pdf</v>
          </cell>
          <cell r="R30" t="str">
            <v>Los estamentos de gobierno escolar se encuentran conformados; no obstante, persisten aspectos por subsanar en las actas y no se evidencia una operatividad regular de los mismos.</v>
          </cell>
          <cell r="S30" t="str">
            <v>Realizar la revisión de los formatos y de ciertos datos registrados en las actas de conformación y de operatividad de los estamentos.</v>
          </cell>
          <cell r="T30" t="str">
            <v>Si</v>
          </cell>
          <cell r="U30" t="str">
            <v>Realizar acompañamiento y brindar orientación para la formulación del plan de mejoramiento en el mes de agosto de 2025. Se realizará seguimiento en vigencia 2026.</v>
          </cell>
        </row>
        <row r="31">
          <cell r="A31">
            <v>1835</v>
          </cell>
          <cell r="B31">
            <v>3</v>
          </cell>
          <cell r="C31" t="str">
            <v xml:space="preserve">SANTA FE Y CANDELARIA </v>
          </cell>
          <cell r="D31" t="str">
            <v>PRIVADO</v>
          </cell>
          <cell r="E31" t="str">
            <v>EPBM</v>
          </cell>
          <cell r="F31" t="str">
            <v>COLEGIO_BENPOSTA_NACION_DE_MUCHACHOS</v>
          </cell>
          <cell r="G31" t="str">
            <v>COLEGIO BENPOSTA NACION DE MUCHACHOS</v>
          </cell>
          <cell r="H31" t="str">
            <v>Autoevaluación Institucional y Pruebas SABER 11</v>
          </cell>
          <cell r="I31" t="str">
            <v>EVALUACIÓN_CON_FINES_DE_MEJORAMIENTO.</v>
          </cell>
          <cell r="J31" t="str">
            <v>Verificar las condiciones en cuanto a: la estructura administrativa, condiciones de la planta física y medios educativos adecuados.</v>
          </cell>
          <cell r="K31" t="str">
            <v>JOSÉ MAXIMILIANO CHAPARRO BARRERA</v>
          </cell>
          <cell r="L31" t="str">
            <v>DAMARIS RUT CÁRDENAS MORENO</v>
          </cell>
          <cell r="M31">
            <v>45758</v>
          </cell>
          <cell r="N31">
            <v>45758</v>
          </cell>
          <cell r="O31">
            <v>45758</v>
          </cell>
          <cell r="P31" t="str">
            <v>Visitas de evaluación con fines de mejoramiento</v>
          </cell>
          <cell r="Q31" t="str">
            <v>2025 04 11 COl Benposta Acta de visita.pdf</v>
          </cell>
          <cell r="R31" t="str">
            <v>La infraestructura comparte espacios con Fundación Benposta  que contiene (dormitorio de estudiantes, casas de cuidadores y oficinas administrativas de fundación). los espacios educativos son funcionales; sin embargo, no tiene en cuenta población con discapacidad,</v>
          </cell>
          <cell r="S31" t="str">
            <v>Llevar a cabo la adaptación de la infraestructura con el propósito de atender adecuadamente a la población con discapacidad.</v>
          </cell>
          <cell r="T31" t="str">
            <v>Si</v>
          </cell>
          <cell r="U31" t="str">
            <v>Realizar acompañamiento y brindar orientación para la formulación del plan de mejoramiento en el mes de agosto de 2025. Se realizará seguimiento en vigencia 2026.</v>
          </cell>
        </row>
        <row r="32">
          <cell r="A32">
            <v>1836</v>
          </cell>
          <cell r="B32">
            <v>4</v>
          </cell>
          <cell r="C32" t="str">
            <v xml:space="preserve">SANTA FE Y CANDELARIA </v>
          </cell>
          <cell r="D32" t="str">
            <v>PRIVADO</v>
          </cell>
          <cell r="E32" t="str">
            <v>EPBM</v>
          </cell>
          <cell r="F32" t="str">
            <v>COLEGIO_TIRSO_DE_MOLINA</v>
          </cell>
          <cell r="G32" t="str">
            <v>COLEGIO TIRSO DE MOLINA</v>
          </cell>
          <cell r="H32" t="str">
            <v>Autoevaluación Institucional y Pruebas SABER 11</v>
          </cell>
          <cell r="I32" t="str">
            <v>SEGUIMIENTO_Y_SUPERVISIÓN.</v>
          </cell>
          <cell r="J32" t="str">
            <v>Realizar visitas para verificar la información registrada sobre la autoevaluación institucional en el aplicativo EVI, a los establecimientos de educación formal no oficial.</v>
          </cell>
          <cell r="K32" t="str">
            <v>DAMARIS RUT CÁRDENAS MORENO</v>
          </cell>
          <cell r="L32"/>
          <cell r="M32">
            <v>45769</v>
          </cell>
          <cell r="N32">
            <v>45769</v>
          </cell>
          <cell r="O32">
            <v>45769</v>
          </cell>
          <cell r="P32" t="str">
            <v>Visitas de evaluación con fines de mejoramiento</v>
          </cell>
          <cell r="Q32" t="str">
            <v>2025 04 22 Colegio Tirso de Molina Acta de visita.pdf</v>
          </cell>
          <cell r="R32" t="str">
            <v>El colegio está en libertad vigilada. Aunque tiene una tasa de matrícula baja, está fomentando prácticas de pago con las familias y realizando inversión en infraestructura. Además, se encuentra en proceso de contratación de un profesional de orientación.</v>
          </cell>
          <cell r="S32" t="str">
            <v>La institución educativa buscará perfiles profesionales capacitados para desempeñarse en el área de orientación.</v>
          </cell>
          <cell r="T32" t="str">
            <v>No</v>
          </cell>
          <cell r="U32" t="str">
            <v xml:space="preserve">Para la siguiente vigencia en desarrollo de la autoevaluación del aplicativo EVI se revisara la contratación del personal para el área de orientación. </v>
          </cell>
        </row>
        <row r="33">
          <cell r="A33">
            <v>1837</v>
          </cell>
          <cell r="B33">
            <v>4</v>
          </cell>
          <cell r="C33" t="str">
            <v xml:space="preserve">SANTA FE Y CANDELARIA </v>
          </cell>
          <cell r="D33" t="str">
            <v>PRIVADO</v>
          </cell>
          <cell r="E33" t="str">
            <v>EPBM</v>
          </cell>
          <cell r="F33" t="str">
            <v>COLEGIO_TIRSO_DE_MOLINA</v>
          </cell>
          <cell r="G33" t="str">
            <v>COLEGIO TIRSO DE MOLINA</v>
          </cell>
          <cell r="H33" t="str">
            <v>Autoevaluación Institucional y Pruebas SABER 11</v>
          </cell>
          <cell r="I33" t="str">
            <v>SEGUIMIENTO_Y_SUPERVISIÓN.</v>
          </cell>
          <cell r="J33" t="str">
            <v>Proponer estrategias en la formulación, verificar su elaboración y realizar seguimiento semestral al desarrollo de  las acciones establecidas en los planes de mejoramiento por pruebas SABER 11 de los establecimientos de educación formal.</v>
          </cell>
          <cell r="K33" t="str">
            <v>DAMARIS RUT CÁRDENAS MORENO</v>
          </cell>
          <cell r="L33"/>
          <cell r="M33">
            <v>45769</v>
          </cell>
          <cell r="N33">
            <v>45769</v>
          </cell>
          <cell r="O33">
            <v>45769</v>
          </cell>
          <cell r="P33" t="str">
            <v>Visitas de evaluación con fines de mejoramiento</v>
          </cell>
          <cell r="Q33" t="str">
            <v>2025 04 22 Colegio Tirso de Molina Acta de visita.pdf</v>
          </cell>
          <cell r="R33" t="str">
            <v>Los procesos de fortalecimiento basados en los resultados de las Pruebas Saber son ejecutados por una empresa externa contratada por la institución educativa.</v>
          </cell>
          <cell r="S33" t="str">
            <v>Se requiere documentar el proceso de autoevaluación relacionado con las Pruebas Saber, estableciendo metas y estrategias específicas adaptadas a la realidad institucional, que sean aprobadas por el consejo académico y directivo.</v>
          </cell>
          <cell r="T33" t="str">
            <v>Si</v>
          </cell>
          <cell r="U33" t="str">
            <v>Desde ELIV se enviará un oficio solicitando estas acciones para julio de 2025. Se realizará seguimiento en vigencia 2026.</v>
          </cell>
        </row>
        <row r="34">
          <cell r="A34">
            <v>1838</v>
          </cell>
          <cell r="B34">
            <v>4</v>
          </cell>
          <cell r="C34" t="str">
            <v xml:space="preserve">SANTA FE Y CANDELARIA </v>
          </cell>
          <cell r="D34" t="str">
            <v>PRIVADO</v>
          </cell>
          <cell r="E34" t="str">
            <v>EPBM</v>
          </cell>
          <cell r="F34" t="str">
            <v>COLEGIO_TIRSO_DE_MOLINA</v>
          </cell>
          <cell r="G34" t="str">
            <v>COLEGIO TIRSO DE MOLINA</v>
          </cell>
          <cell r="H34" t="str">
            <v>Autoevaluación Institucional y Pruebas SABER 11</v>
          </cell>
          <cell r="I34" t="str">
            <v>SEGUIMIENTO_Y_SUPERVISIÓN.</v>
          </cell>
          <cell r="J34" t="str">
            <v xml:space="preserve">Verificar la implementación por parte de los colegios, de acciones realizadas para la prevención y atención de las situaciones de convivencia en el entorno escolar, según lo establecido en la Directiva 01 de 2022 del MEN. </v>
          </cell>
          <cell r="K34" t="str">
            <v>DAMARIS RUT CÁRDENAS MORENO</v>
          </cell>
          <cell r="L34"/>
          <cell r="M34">
            <v>45769</v>
          </cell>
          <cell r="N34">
            <v>45769</v>
          </cell>
          <cell r="O34">
            <v>45769</v>
          </cell>
          <cell r="P34" t="str">
            <v>Visitas de evaluación con fines de mejoramiento</v>
          </cell>
          <cell r="Q34" t="str">
            <v>2025 04 22 Colegio Tirso de Molina Acta de visita.pdf</v>
          </cell>
          <cell r="R34" t="str">
            <v>La institución educativa no lleva a cabo la revisión ni la aplicación de la Directiva en las diferentes instancias correspondientes.</v>
          </cell>
          <cell r="S34" t="str">
            <v>Realizar la revisión de la Directiva por parte del equipo directivo y elaborar la documentación que evidencie su aplicación en la institución.</v>
          </cell>
          <cell r="T34" t="str">
            <v>Si</v>
          </cell>
          <cell r="U34" t="str">
            <v>Desde ELIV se enviará un oficio solicitando estas acciones para julio de 2025.  Se realizará seguimiento en vigencia 2026.</v>
          </cell>
        </row>
        <row r="35">
          <cell r="A35">
            <v>1839</v>
          </cell>
          <cell r="B35">
            <v>4</v>
          </cell>
          <cell r="C35" t="str">
            <v xml:space="preserve">SANTA FE Y CANDELARIA </v>
          </cell>
          <cell r="D35" t="str">
            <v>PRIVADO</v>
          </cell>
          <cell r="E35" t="str">
            <v>EPBM</v>
          </cell>
          <cell r="F35" t="str">
            <v>COLEGIO_TIRSO_DE_MOLINA</v>
          </cell>
          <cell r="G35" t="str">
            <v>COLEGIO TIRSO DE MOLINA</v>
          </cell>
          <cell r="H35" t="str">
            <v>Autoevaluación Institucional y Pruebas SABER 11</v>
          </cell>
          <cell r="I35" t="str">
            <v>SEGUIMIENTO_Y_SUPERVISIÓN.</v>
          </cell>
          <cell r="J3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5" t="str">
            <v>DAMARIS RUT CÁRDENAS MORENO</v>
          </cell>
          <cell r="L35"/>
          <cell r="M35">
            <v>45769</v>
          </cell>
          <cell r="N35">
            <v>45769</v>
          </cell>
          <cell r="O35">
            <v>45769</v>
          </cell>
          <cell r="P35" t="str">
            <v>Visitas de evaluación con fines de mejoramiento</v>
          </cell>
          <cell r="Q35" t="str">
            <v>2025 04 22 Colegio Tirso de Molina Acta de visita.pdf</v>
          </cell>
          <cell r="R35" t="str">
            <v>La institución educativa cuenta con dos estudiantes con discapacidad, para quienes se ha registrado el seguimiento y acompañamiento médico y familiar, además de las estrategias de trabajo; no obstante, no se ha formalizado la elaboración del formato PIAR.</v>
          </cell>
          <cell r="S35" t="str">
            <v>Elaborar el documento PIAR con el propósito de garantizar una atención adecuada a los estudiantes y el cumplimiento de la normativa vigente.</v>
          </cell>
          <cell r="T35" t="str">
            <v>Si</v>
          </cell>
          <cell r="U35" t="str">
            <v>Desde ELIV se enviará un oficio solicitando estas acciones para julio de 2025.  Se realizará seguimiento en vigencia 2026.</v>
          </cell>
        </row>
        <row r="36">
          <cell r="A36">
            <v>1840</v>
          </cell>
          <cell r="B36">
            <v>4</v>
          </cell>
          <cell r="C36" t="str">
            <v xml:space="preserve">SANTA FE Y CANDELARIA </v>
          </cell>
          <cell r="D36" t="str">
            <v>PRIVADO</v>
          </cell>
          <cell r="E36" t="str">
            <v>EPBM</v>
          </cell>
          <cell r="F36" t="str">
            <v>COLEGIO_TIRSO_DE_MOLINA</v>
          </cell>
          <cell r="G36" t="str">
            <v>COLEGIO TIRSO DE MOLINA</v>
          </cell>
          <cell r="H36" t="str">
            <v>Autoevaluación Institucional y Pruebas SABER 11</v>
          </cell>
          <cell r="I36" t="str">
            <v>EVALUACIÓN_CON_FINES_DE_MEJORAMIENTO.</v>
          </cell>
          <cell r="J3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6" t="str">
            <v>DAMARIS RUT CÁRDENAS MORENO</v>
          </cell>
          <cell r="L36"/>
          <cell r="M36">
            <v>45769</v>
          </cell>
          <cell r="N36">
            <v>45769</v>
          </cell>
          <cell r="O36">
            <v>45769</v>
          </cell>
          <cell r="P36" t="str">
            <v>Visitas de evaluación con fines de mejoramiento</v>
          </cell>
          <cell r="Q36" t="str">
            <v>2025 04 22 Colegio Tirso de Molina Acta de visita.pdf</v>
          </cell>
          <cell r="R36" t="str">
            <v>Aunque existe un Manual de Convivencia, este no fue elaborado ni adoptado de forma participativa, además, el Comité de Convivencia carece de reglamento interno.</v>
          </cell>
          <cell r="S36" t="str">
            <v>Se requiere elaborar el reglamento interno e iniciar la construcción del Plan de Convivencia Escolar. Asimismo, se debe llevar a cabo la actualización del Manual de Convivencia en conjunto con la comunidad educativa.</v>
          </cell>
          <cell r="T36" t="str">
            <v>Si</v>
          </cell>
          <cell r="U36" t="str">
            <v>Desde ELIV se enviará un oficio solicitando estas acciones para julio de 2025.  Se realizará seguimiento en vigencia 2026.</v>
          </cell>
        </row>
        <row r="37">
          <cell r="A37">
            <v>1841</v>
          </cell>
          <cell r="B37">
            <v>4</v>
          </cell>
          <cell r="C37" t="str">
            <v xml:space="preserve">SANTA FE Y CANDELARIA </v>
          </cell>
          <cell r="D37" t="str">
            <v>PRIVADO</v>
          </cell>
          <cell r="E37" t="str">
            <v>EPBM</v>
          </cell>
          <cell r="F37" t="str">
            <v>COLEGIO_TIRSO_DE_MOLINA</v>
          </cell>
          <cell r="G37" t="str">
            <v>COLEGIO TIRSO DE MOLINA</v>
          </cell>
          <cell r="H37" t="str">
            <v>Autoevaluación Institucional y Pruebas SABER 11</v>
          </cell>
          <cell r="I37" t="str">
            <v>EVALUACIÓN_CON_FINES_DE_MEJORAMIENTO.</v>
          </cell>
          <cell r="J37" t="str">
            <v>Revisar la actualización, socialización e implementación del Sistema Institucional de Evaluación de Estudiantes - SIEE, en articulación con la actualización del PEI y la normatividad vigente.</v>
          </cell>
          <cell r="K37" t="str">
            <v>DAMARIS RUT CÁRDENAS MORENO</v>
          </cell>
          <cell r="L37"/>
          <cell r="M37">
            <v>45769</v>
          </cell>
          <cell r="N37">
            <v>45769</v>
          </cell>
          <cell r="O37">
            <v>45769</v>
          </cell>
          <cell r="P37" t="str">
            <v>Visitas de evaluación con fines de mejoramiento</v>
          </cell>
          <cell r="Q37" t="str">
            <v>2025 04 22 Colegio Tirso de Molina Acta de visita.pdf</v>
          </cell>
          <cell r="R37" t="str">
            <v>Aunque existen documentos actualizados, estos no han sido elaborados de forma participativa.</v>
          </cell>
          <cell r="S37" t="str">
            <v xml:space="preserve">Construir y actualizar actualización de documentos institucionales junto con la comunidad educativa y dejar proceso documentado. </v>
          </cell>
          <cell r="T37" t="str">
            <v>Si</v>
          </cell>
          <cell r="U37" t="str">
            <v>Desde ELIV se enviará un oficio solicitando estas acciones para julio de 2025.  Se realizará seguimiento en vigencia 2026.</v>
          </cell>
        </row>
        <row r="38">
          <cell r="A38">
            <v>1842</v>
          </cell>
          <cell r="B38">
            <v>4</v>
          </cell>
          <cell r="C38" t="str">
            <v xml:space="preserve">SANTA FE Y CANDELARIA </v>
          </cell>
          <cell r="D38" t="str">
            <v>PRIVADO</v>
          </cell>
          <cell r="E38" t="str">
            <v>EPBM</v>
          </cell>
          <cell r="F38" t="str">
            <v>COLEGIO_TIRSO_DE_MOLINA</v>
          </cell>
          <cell r="G38" t="str">
            <v>COLEGIO TIRSO DE MOLINA</v>
          </cell>
          <cell r="H38" t="str">
            <v>Autoevaluación Institucional y Pruebas SABER 11</v>
          </cell>
          <cell r="I38" t="str">
            <v>EVALUACIÓN_CON_FINES_DE_MEJORAMIENTO.</v>
          </cell>
          <cell r="J38" t="str">
            <v>Revisar el calendario escolar, jornada escolar, la intensidad horaria mínima anual en cada nivel y las modificaciones que se realicen al mismo, de acuerdo con lo previsto en la normatividad vigente.</v>
          </cell>
          <cell r="K38" t="str">
            <v>DAMARIS RUT CÁRDENAS MORENO</v>
          </cell>
          <cell r="L38"/>
          <cell r="M38">
            <v>45769</v>
          </cell>
          <cell r="N38">
            <v>45769</v>
          </cell>
          <cell r="O38">
            <v>45769</v>
          </cell>
          <cell r="P38" t="str">
            <v>Visitas de evaluación con fines de mejoramiento</v>
          </cell>
          <cell r="Q38" t="str">
            <v>2025 04 22 Colegio Tirso de Molina Acta de visita.pdf</v>
          </cell>
          <cell r="R38" t="str">
            <v>El calendario escolar, la jornada y la intensidad horaria cumplen con la normatividad vigente.</v>
          </cell>
          <cell r="S38" t="str">
            <v>Diseñar cronograma de reuniones de estamentos de gobierno escolar anual</v>
          </cell>
          <cell r="T38" t="str">
            <v>Si</v>
          </cell>
          <cell r="U38" t="str">
            <v>Desde ELIV se enviará un oficio solicitando estas acciones para julio de 2025.  Se realizará seguimiento en vigencia 2026.</v>
          </cell>
        </row>
        <row r="39">
          <cell r="A39">
            <v>1843</v>
          </cell>
          <cell r="B39">
            <v>4</v>
          </cell>
          <cell r="C39" t="str">
            <v xml:space="preserve">SANTA FE Y CANDELARIA </v>
          </cell>
          <cell r="D39" t="str">
            <v>PRIVADO</v>
          </cell>
          <cell r="E39" t="str">
            <v>EPBM</v>
          </cell>
          <cell r="F39" t="str">
            <v>COLEGIO_TIRSO_DE_MOLINA</v>
          </cell>
          <cell r="G39" t="str">
            <v>COLEGIO TIRSO DE MOLINA</v>
          </cell>
          <cell r="H39" t="str">
            <v>Autoevaluación Institucional y Pruebas SABER 11</v>
          </cell>
          <cell r="I39" t="str">
            <v>EVALUACIÓN_CON_FINES_DE_MEJORAMIENTO.</v>
          </cell>
          <cell r="J39" t="str">
            <v>Verificar el funcionamiento del Gobierno Escolar e instancias de participación con base en la información sobre conformación reportada por la institución educativa.</v>
          </cell>
          <cell r="K39" t="str">
            <v>DAMARIS RUT CÁRDENAS MORENO</v>
          </cell>
          <cell r="L39"/>
          <cell r="M39">
            <v>45769</v>
          </cell>
          <cell r="N39">
            <v>45769</v>
          </cell>
          <cell r="O39">
            <v>45769</v>
          </cell>
          <cell r="P39" t="str">
            <v>Visitas de evaluación con fines de mejoramiento</v>
          </cell>
          <cell r="Q39" t="str">
            <v>2025 04 22 Colegio Tirso de Molina Acta de visita.pdf</v>
          </cell>
          <cell r="R39" t="str">
            <v>Las actas no fueron cargadas al aplicativo SAE, aunque existen documentos que evidencian la conformación del gobierno escolar.</v>
          </cell>
          <cell r="S39" t="str">
            <v>Se dan indicaciones para la solicitud de usuario y contraseña del aplicativo SAE.</v>
          </cell>
          <cell r="T39" t="str">
            <v>Si</v>
          </cell>
          <cell r="U39" t="str">
            <v>Desde ELIV se enviará un oficio solicitando estas acciones para julio de 2025.  Se realizará seguimiento en vigencia 2026.</v>
          </cell>
        </row>
        <row r="40">
          <cell r="A40">
            <v>1844</v>
          </cell>
          <cell r="B40">
            <v>4</v>
          </cell>
          <cell r="C40" t="str">
            <v xml:space="preserve">SANTA FE Y CANDELARIA </v>
          </cell>
          <cell r="D40" t="str">
            <v>PRIVADO</v>
          </cell>
          <cell r="E40" t="str">
            <v>EPBM</v>
          </cell>
          <cell r="F40" t="str">
            <v>COLEGIO_TIRSO_DE_MOLINA</v>
          </cell>
          <cell r="G40" t="str">
            <v>COLEGIO TIRSO DE MOLINA</v>
          </cell>
          <cell r="H40" t="str">
            <v>Autoevaluación Institucional y Pruebas SABER 11</v>
          </cell>
          <cell r="I40" t="str">
            <v>EVALUACIÓN_CON_FINES_DE_MEJORAMIENTO.</v>
          </cell>
          <cell r="J40" t="str">
            <v>Verificar las condiciones en cuanto a: la estructura administrativa, condiciones de la planta física y medios educativos adecuados.</v>
          </cell>
          <cell r="K40" t="str">
            <v>DAMARIS RUT CÁRDENAS MORENO</v>
          </cell>
          <cell r="L40"/>
          <cell r="M40">
            <v>45769</v>
          </cell>
          <cell r="N40">
            <v>45769</v>
          </cell>
          <cell r="O40">
            <v>45769</v>
          </cell>
          <cell r="P40" t="str">
            <v>Visitas de evaluación con fines de mejoramiento</v>
          </cell>
          <cell r="Q40" t="str">
            <v>2025 04 22 Colegio Tirso de Molina Acta de visita.pdf</v>
          </cell>
          <cell r="R40" t="str">
            <v>El predio e infraestructura, siendo patrimonio histórico, no consideran la movilidad de la población con discapacidad. Actualmente, se encuentra en desarrollo el mantenimiento de los espacios.</v>
          </cell>
          <cell r="S40" t="str">
            <v>Proyectar adaptaciones para la población con discapacidad.</v>
          </cell>
          <cell r="T40" t="str">
            <v>Si</v>
          </cell>
          <cell r="U40" t="str">
            <v>Desde ELIV se enviará un oficio solicitando estas acciones para julio de 2025.  Se realizará seguimiento en vigencia 2026.</v>
          </cell>
        </row>
        <row r="41">
          <cell r="A41">
            <v>1845</v>
          </cell>
          <cell r="B41">
            <v>5</v>
          </cell>
          <cell r="C41" t="str">
            <v xml:space="preserve">SANTA FE Y CANDELARIA </v>
          </cell>
          <cell r="D41" t="str">
            <v>PRIVADO</v>
          </cell>
          <cell r="E41" t="str">
            <v>EPBM</v>
          </cell>
          <cell r="F41" t="str">
            <v>COLEGIO_DE_SALERNO</v>
          </cell>
          <cell r="G41" t="str">
            <v>COLEGIO DE SALERNO</v>
          </cell>
          <cell r="H41" t="str">
            <v>Autoevaluación Institucional y Pruebas SABER 11</v>
          </cell>
          <cell r="I41" t="str">
            <v>SEGUIMIENTO_Y_SUPERVISIÓN.</v>
          </cell>
          <cell r="J41" t="str">
            <v>Realizar visitas para verificar la información registrada sobre la autoevaluación institucional en el aplicativo EVI, a los establecimientos de educación formal no oficial.</v>
          </cell>
          <cell r="K41" t="str">
            <v>DAMARIS RUT CÁRDENAS MORENO</v>
          </cell>
          <cell r="L41"/>
          <cell r="M41">
            <v>45779</v>
          </cell>
          <cell r="N41">
            <v>45779</v>
          </cell>
          <cell r="O41">
            <v>45779</v>
          </cell>
          <cell r="P41" t="str">
            <v>Visitas de evaluación con fines de mejoramiento</v>
          </cell>
          <cell r="Q41" t="str">
            <v>2025 05 02 Colegio de Salerno.pdf</v>
          </cell>
          <cell r="R41" t="str">
            <v>Las tarifas aprobadas están publicadas en la cartelera institucional; sin embargo, no cuentan con mecanismos ni gestión documental que permitan controlar la morosidad.</v>
          </cell>
          <cell r="S41" t="str">
            <v>Se solicita realizar la verificación documental para atender casos de morosidad.</v>
          </cell>
          <cell r="T41" t="str">
            <v>Si</v>
          </cell>
          <cell r="U41" t="str">
            <v>El colegio enviará la documentación correspondiente antes del 16 de mayo.Se realizará seguimiento a plan de mejoramiento en vigencia 2026</v>
          </cell>
        </row>
        <row r="42">
          <cell r="A42">
            <v>1846</v>
          </cell>
          <cell r="B42">
            <v>5</v>
          </cell>
          <cell r="C42" t="str">
            <v xml:space="preserve">SANTA FE Y CANDELARIA </v>
          </cell>
          <cell r="D42" t="str">
            <v>PRIVADO</v>
          </cell>
          <cell r="E42" t="str">
            <v>EPBM</v>
          </cell>
          <cell r="F42" t="str">
            <v>COLEGIO_DE_SALERNO</v>
          </cell>
          <cell r="G42" t="str">
            <v>COLEGIO DE SALERNO</v>
          </cell>
          <cell r="H42" t="str">
            <v>Autoevaluación Institucional y Pruebas SABER 11</v>
          </cell>
          <cell r="I42" t="str">
            <v>SEGUIMIENTO_Y_SUPERVISIÓN.</v>
          </cell>
          <cell r="J42" t="str">
            <v>Proponer estrategias en la formulación, verificar su elaboración y realizar seguimiento semestral al desarrollo de  las acciones establecidas en los planes de mejoramiento por pruebas SABER 11 de los establecimientos de educación formal.</v>
          </cell>
          <cell r="K42" t="str">
            <v>DAMARIS RUT CÁRDENAS MORENO</v>
          </cell>
          <cell r="L42"/>
          <cell r="M42">
            <v>45779</v>
          </cell>
          <cell r="N42">
            <v>45779</v>
          </cell>
          <cell r="O42">
            <v>45779</v>
          </cell>
          <cell r="P42" t="str">
            <v>Visitas de evaluación con fines de mejoramiento</v>
          </cell>
          <cell r="Q42" t="str">
            <v>2025 05 02 Colegio de Salerno.pdf</v>
          </cell>
          <cell r="R42" t="str">
            <v>El colegio no realiza análisis de los resultados de las Pruebas Saber. La preparación para estas pruebas se lleva a cabo con una entidad externa, pero no cuenta con un documento de convenio. Además, no se han generado estrategias de mejora frente a los resultados obtenidos.</v>
          </cell>
          <cell r="S42" t="str">
            <v>Activar de manera adecuada el consejo académico para generar y documentar estrategias de mejoramiento frente a las Pruebas Saber y la actualización del currículo.</v>
          </cell>
          <cell r="T42" t="str">
            <v>Si</v>
          </cell>
          <cell r="U42" t="str">
            <v>El colegio enviará la documentación correspondiente antes del 16 de mayo. Se realizará seguimiento a plan de mejoramiento en vigencia 2026</v>
          </cell>
        </row>
        <row r="43">
          <cell r="A43">
            <v>1847</v>
          </cell>
          <cell r="B43">
            <v>5</v>
          </cell>
          <cell r="C43" t="str">
            <v xml:space="preserve">SANTA FE Y CANDELARIA </v>
          </cell>
          <cell r="D43" t="str">
            <v>PRIVADO</v>
          </cell>
          <cell r="E43" t="str">
            <v>EPBM</v>
          </cell>
          <cell r="F43" t="str">
            <v>COLEGIO_DE_SALERNO</v>
          </cell>
          <cell r="G43" t="str">
            <v>COLEGIO DE SALERNO</v>
          </cell>
          <cell r="H43" t="str">
            <v>Autoevaluación Institucional y Pruebas SABER 11</v>
          </cell>
          <cell r="I43" t="str">
            <v>SEGUIMIENTO_Y_SUPERVISIÓN.</v>
          </cell>
          <cell r="J43" t="str">
            <v xml:space="preserve">Verificar la implementación por parte de los colegios, de acciones realizadas para la prevención y atención de las situaciones de convivencia en el entorno escolar, según lo establecido en la Directiva 01 de 2022 del MEN. </v>
          </cell>
          <cell r="K43" t="str">
            <v>DAMARIS RUT CÁRDENAS MORENO</v>
          </cell>
          <cell r="L43"/>
          <cell r="M43">
            <v>45779</v>
          </cell>
          <cell r="N43">
            <v>45779</v>
          </cell>
          <cell r="O43">
            <v>45779</v>
          </cell>
          <cell r="P43" t="str">
            <v>Visitas de evaluación con fines de mejoramiento</v>
          </cell>
          <cell r="Q43" t="str">
            <v>2025 05 02 Colegio de Salerno.pdf</v>
          </cell>
          <cell r="R43" t="str">
            <v>La institución declara desconocer la Directiva, por lo que no ha llevado a cabo su implementación en ninguna área. Sin embargo, sí realiza consulta de antecedentes al momento de la contratación.</v>
          </cell>
          <cell r="S43" t="str">
            <v>Se requiere cualificar e implementar la Directiva dentro de los procesos institucionales.</v>
          </cell>
          <cell r="T43" t="str">
            <v>Si</v>
          </cell>
          <cell r="U43" t="str">
            <v>El colegio enviará la documentación correspondiente antes del 16 de mayo. Se realizará seguimiento a plan de mejoramiento en vigencia 2026</v>
          </cell>
        </row>
        <row r="44">
          <cell r="A44">
            <v>1848</v>
          </cell>
          <cell r="B44">
            <v>5</v>
          </cell>
          <cell r="C44" t="str">
            <v xml:space="preserve">SANTA FE Y CANDELARIA </v>
          </cell>
          <cell r="D44" t="str">
            <v>PRIVADO</v>
          </cell>
          <cell r="E44" t="str">
            <v>EPBM</v>
          </cell>
          <cell r="F44" t="str">
            <v>COLEGIO_DE_SALERNO</v>
          </cell>
          <cell r="G44" t="str">
            <v>COLEGIO DE SALERNO</v>
          </cell>
          <cell r="H44" t="str">
            <v>Autoevaluación Institucional y Pruebas SABER 11</v>
          </cell>
          <cell r="I44" t="str">
            <v>SEGUIMIENTO_Y_SUPERVISIÓN.</v>
          </cell>
          <cell r="J4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4" t="str">
            <v>DAMARIS RUT CÁRDENAS MORENO</v>
          </cell>
          <cell r="L44"/>
          <cell r="M44">
            <v>45779</v>
          </cell>
          <cell r="N44">
            <v>45779</v>
          </cell>
          <cell r="O44">
            <v>45779</v>
          </cell>
          <cell r="P44" t="str">
            <v>Visitas de evaluación con fines de mejoramiento</v>
          </cell>
          <cell r="Q44" t="str">
            <v>2025 05 02 Colegio de Salerno.pdf</v>
          </cell>
          <cell r="R44" t="str">
            <v>La institución no ha llevado a cabo la implementación del Decreto 1421 de 2017, ni ha desarrollado la documentación correspondiente para la atención de estudiantes.</v>
          </cell>
          <cell r="S44" t="str">
            <v>Se requiere cualificar y desarrollar estrategias para la adecuada atención de los estudiantes.</v>
          </cell>
          <cell r="T44" t="str">
            <v>Si</v>
          </cell>
          <cell r="U44" t="str">
            <v>El colegio enviará la documentación correspondiente antes del 16 de mayo. Se realizará seguimiento a plan de mejoramiento en vigencia 2026</v>
          </cell>
        </row>
        <row r="45">
          <cell r="A45">
            <v>1849</v>
          </cell>
          <cell r="B45">
            <v>5</v>
          </cell>
          <cell r="C45" t="str">
            <v xml:space="preserve">SANTA FE Y CANDELARIA </v>
          </cell>
          <cell r="D45" t="str">
            <v>PRIVADO</v>
          </cell>
          <cell r="E45" t="str">
            <v>EPBM</v>
          </cell>
          <cell r="F45" t="str">
            <v>COLEGIO_DE_SALERNO</v>
          </cell>
          <cell r="G45" t="str">
            <v>COLEGIO DE SALERNO</v>
          </cell>
          <cell r="H45" t="str">
            <v>Autoevaluación Institucional y Pruebas SABER 11</v>
          </cell>
          <cell r="I45" t="str">
            <v>EVALUACIÓN_CON_FINES_DE_MEJORAMIENTO.</v>
          </cell>
          <cell r="J4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5" t="str">
            <v>DAMARIS RUT CÁRDENAS MORENO</v>
          </cell>
          <cell r="L45"/>
          <cell r="M45">
            <v>45779</v>
          </cell>
          <cell r="N45">
            <v>45779</v>
          </cell>
          <cell r="O45">
            <v>45779</v>
          </cell>
          <cell r="P45" t="str">
            <v>Visitas de evaluación con fines de mejoramiento</v>
          </cell>
          <cell r="Q45" t="str">
            <v>2025 05 02 Colegio de Salerno.pdf</v>
          </cell>
          <cell r="R45" t="str">
            <v>El Manual de Convivencia no fue elaborado de forma participativa con la comunidad educativa, no ha sido cargado en el aplicativo de la DIV y el Comité de Convivencia no funciona de manera adecuada.</v>
          </cell>
          <cell r="S45" t="str">
            <v>Se requiere el envío de la documentación institucional con el fin de llevar a cabo su revisión y proporcionar retroalimentación.</v>
          </cell>
          <cell r="T45" t="str">
            <v>Si</v>
          </cell>
          <cell r="U45" t="str">
            <v>El colegio enviará la documentación correspondiente antes del 9 de mayo. Se realizará seguimiento a plan de mejoramiento en vigencia 2026</v>
          </cell>
        </row>
        <row r="46">
          <cell r="A46">
            <v>1850</v>
          </cell>
          <cell r="B46">
            <v>5</v>
          </cell>
          <cell r="C46" t="str">
            <v xml:space="preserve">SANTA FE Y CANDELARIA </v>
          </cell>
          <cell r="D46" t="str">
            <v>PRIVADO</v>
          </cell>
          <cell r="E46" t="str">
            <v>EPBM</v>
          </cell>
          <cell r="F46" t="str">
            <v>COLEGIO_DE_SALERNO</v>
          </cell>
          <cell r="G46" t="str">
            <v>COLEGIO DE SALERNO</v>
          </cell>
          <cell r="H46" t="str">
            <v>Autoevaluación Institucional y Pruebas SABER 11</v>
          </cell>
          <cell r="I46" t="str">
            <v>EVALUACIÓN_CON_FINES_DE_MEJORAMIENTO.</v>
          </cell>
          <cell r="J46" t="str">
            <v>Revisar la actualización, socialización e implementación del Sistema Institucional de Evaluación de Estudiantes - SIEE, en articulación con la actualización del PEI y la normatividad vigente.</v>
          </cell>
          <cell r="K46" t="str">
            <v>DAMARIS RUT CÁRDENAS MORENO</v>
          </cell>
          <cell r="L46"/>
          <cell r="M46">
            <v>45779</v>
          </cell>
          <cell r="N46">
            <v>45779</v>
          </cell>
          <cell r="O46">
            <v>45779</v>
          </cell>
          <cell r="P46" t="str">
            <v>Visitas de evaluación con fines de mejoramiento</v>
          </cell>
          <cell r="Q46" t="str">
            <v>2025 05 02 Colegio de Salerno.pdf</v>
          </cell>
          <cell r="R46" t="str">
            <v>Los documentos no fueron elaborados ni actualizados en conjunto con la comunidad escolar. Si bien existe registro del SIEE, los procesos correspondientes no están debidamente documentados, al igual que los planes de estudio.</v>
          </cell>
          <cell r="S46" t="str">
            <v>Realizar ajustes en el plan de estudios y la malla curricular conforme a la normatividad vigente, fortalecer los procesos de seguimiento y apoyo para la superación de dificultades académicas, y documentar todas las acciones realizadas.</v>
          </cell>
          <cell r="T46" t="str">
            <v>Si</v>
          </cell>
          <cell r="U46" t="str">
            <v>El colegio enviará la documentación correspondiente antes del 16 de mayo. Se realizará seguimiento a plan de mejoramiento en vigencia 2026</v>
          </cell>
        </row>
        <row r="47">
          <cell r="A47">
            <v>1851</v>
          </cell>
          <cell r="B47">
            <v>5</v>
          </cell>
          <cell r="C47" t="str">
            <v xml:space="preserve">SANTA FE Y CANDELARIA </v>
          </cell>
          <cell r="D47" t="str">
            <v>PRIVADO</v>
          </cell>
          <cell r="E47" t="str">
            <v>EPBM</v>
          </cell>
          <cell r="F47" t="str">
            <v>COLEGIO_DE_SALERNO</v>
          </cell>
          <cell r="G47" t="str">
            <v>COLEGIO DE SALERNO</v>
          </cell>
          <cell r="H47" t="str">
            <v>Autoevaluación Institucional y Pruebas SABER 11</v>
          </cell>
          <cell r="I47" t="str">
            <v>EVALUACIÓN_CON_FINES_DE_MEJORAMIENTO.</v>
          </cell>
          <cell r="J47" t="str">
            <v>Revisar el calendario escolar, jornada escolar, la intensidad horaria mínima anual en cada nivel y las modificaciones que se realicen al mismo, de acuerdo con lo previsto en la normatividad vigente.</v>
          </cell>
          <cell r="K47" t="str">
            <v>DAMARIS RUT CÁRDENAS MORENO</v>
          </cell>
          <cell r="L47"/>
          <cell r="M47">
            <v>45779</v>
          </cell>
          <cell r="N47">
            <v>45779</v>
          </cell>
          <cell r="O47">
            <v>45779</v>
          </cell>
          <cell r="P47" t="str">
            <v>Visitas de evaluación con fines de mejoramiento</v>
          </cell>
          <cell r="Q47" t="str">
            <v>2025 05 02 Colegio de Salerno.pdf</v>
          </cell>
          <cell r="R47" t="str">
            <v>El documento no ha sido elaborado de manera adecuada. El calendario escolar se verifica conforme a lo reportado en el aplicativo EVI.</v>
          </cell>
          <cell r="S47" t="str">
            <v xml:space="preserve">Se solicita desarrollar y enviar la documentación. </v>
          </cell>
          <cell r="T47" t="str">
            <v>Si</v>
          </cell>
          <cell r="U47" t="str">
            <v>El colegio enviará la documentación correspondiente antes del 9 de mayo. Se realizará seguimiento a plan de mejoramiento en vigencia 2026</v>
          </cell>
        </row>
        <row r="48">
          <cell r="A48">
            <v>1852</v>
          </cell>
          <cell r="B48">
            <v>5</v>
          </cell>
          <cell r="C48" t="str">
            <v xml:space="preserve">SANTA FE Y CANDELARIA </v>
          </cell>
          <cell r="D48" t="str">
            <v>PRIVADO</v>
          </cell>
          <cell r="E48" t="str">
            <v>EPBM</v>
          </cell>
          <cell r="F48" t="str">
            <v>COLEGIO_DE_SALERNO</v>
          </cell>
          <cell r="G48" t="str">
            <v>COLEGIO DE SALERNO</v>
          </cell>
          <cell r="H48" t="str">
            <v>Autoevaluación Institucional y Pruebas SABER 11</v>
          </cell>
          <cell r="I48" t="str">
            <v>EVALUACIÓN_CON_FINES_DE_MEJORAMIENTO.</v>
          </cell>
          <cell r="J48" t="str">
            <v>Verificar el funcionamiento del Gobierno Escolar e instancias de participación con base en la información sobre conformación reportada por la institución educativa.</v>
          </cell>
          <cell r="K48" t="str">
            <v>DAMARIS RUT CÁRDENAS MORENO</v>
          </cell>
          <cell r="L48"/>
          <cell r="M48">
            <v>45779</v>
          </cell>
          <cell r="N48">
            <v>45779</v>
          </cell>
          <cell r="O48">
            <v>45779</v>
          </cell>
          <cell r="P48" t="str">
            <v>Visitas de evaluación con fines de mejoramiento</v>
          </cell>
          <cell r="Q48" t="str">
            <v>2025 05 02 Colegio de Salerno.pdf</v>
          </cell>
          <cell r="R48" t="str">
            <v>Las actas no fueron cargadas a aplicativo SAE, aunque existen documentos de evidencia de conformación de gobierno escolar.</v>
          </cell>
          <cell r="S48" t="str">
            <v>Se requiere allegar la documentación y elaborar el cronograma anual de actividades de los distintos estamentos del gobierno escolar. Asimismo, se proporciona información para la carga de datos en el aplicativo correspondiente.</v>
          </cell>
          <cell r="T48" t="str">
            <v>Si</v>
          </cell>
          <cell r="U48" t="str">
            <v>El colegio enviará la documentación correspondiente antes del 9 de mayo. Se realizará seguimiento a plan de mejoramiento en vigencia 2026</v>
          </cell>
        </row>
        <row r="49">
          <cell r="A49">
            <v>1853</v>
          </cell>
          <cell r="B49">
            <v>5</v>
          </cell>
          <cell r="C49" t="str">
            <v xml:space="preserve">SANTA FE Y CANDELARIA </v>
          </cell>
          <cell r="D49" t="str">
            <v>PRIVADO</v>
          </cell>
          <cell r="E49" t="str">
            <v>EPBM</v>
          </cell>
          <cell r="F49" t="str">
            <v>COLEGIO_DE_SALERNO</v>
          </cell>
          <cell r="G49" t="str">
            <v>COLEGIO DE SALERNO</v>
          </cell>
          <cell r="H49" t="str">
            <v>Autoevaluación Institucional y Pruebas SABER 11</v>
          </cell>
          <cell r="I49" t="str">
            <v>EVALUACIÓN_CON_FINES_DE_MEJORAMIENTO.</v>
          </cell>
          <cell r="J49" t="str">
            <v>Verificar las condiciones en cuanto a: la estructura administrativa, condiciones de la planta física y medios educativos adecuados.</v>
          </cell>
          <cell r="K49" t="str">
            <v>DAMARIS RUT CÁRDENAS MORENO</v>
          </cell>
          <cell r="L49"/>
          <cell r="M49">
            <v>45779</v>
          </cell>
          <cell r="N49">
            <v>45779</v>
          </cell>
          <cell r="O49">
            <v>45779</v>
          </cell>
          <cell r="P49" t="str">
            <v>Visitas de evaluación con fines de mejoramiento</v>
          </cell>
          <cell r="Q49" t="str">
            <v>2025 05 02 Colegio de Salerno.pdf</v>
          </cell>
          <cell r="R49" t="str">
            <v>Solo se llevó a cabo la visita a una de las sedes. El espacio es funcional; sin embargo, requiere mejoras en el acceso para personas con discapacidad, los baños, el mantenimiento de la infraestructura, el mobiliario y la señalización.</v>
          </cell>
          <cell r="S49" t="str">
            <v>Se requiere proyectar adaptaciones para la población con discapacidad.</v>
          </cell>
          <cell r="T49" t="str">
            <v>Si</v>
          </cell>
          <cell r="U49" t="str">
            <v>Se enviará un oficio desde ELIV solicitando el plan de acción para julio de 2025.Se realizará seguimiento a plan de mejoramiento en vigencia 2026</v>
          </cell>
        </row>
        <row r="50">
          <cell r="A50">
            <v>1854</v>
          </cell>
          <cell r="B50">
            <v>6</v>
          </cell>
          <cell r="C50" t="str">
            <v xml:space="preserve">SANTA FE Y CANDELARIA </v>
          </cell>
          <cell r="D50" t="str">
            <v>PRIVADO</v>
          </cell>
          <cell r="E50" t="str">
            <v>EPBM</v>
          </cell>
          <cell r="F50" t="str">
            <v>COLEGIO_LOS_ANGELES</v>
          </cell>
          <cell r="G50" t="str">
            <v>COLEGIO LOS ANGELES</v>
          </cell>
          <cell r="H50" t="str">
            <v>Convivencia escolar</v>
          </cell>
          <cell r="I50" t="str">
            <v>SEGUIMIENTO_Y_SUPERVISIÓN.</v>
          </cell>
          <cell r="J50" t="str">
            <v>Realizar visitas para verificar la información registrada sobre la autoevaluación institucional en el aplicativo EVI, a los establecimientos de educación formal no oficial.</v>
          </cell>
          <cell r="K50" t="str">
            <v>DAMARIS RUT CÁRDENAS MORENO</v>
          </cell>
          <cell r="L50" t="str">
            <v xml:space="preserve">JORGE WILLIAM BONILLA ROMERO </v>
          </cell>
          <cell r="M50">
            <v>45783</v>
          </cell>
          <cell r="N50">
            <v>45783</v>
          </cell>
          <cell r="O50">
            <v>45783</v>
          </cell>
          <cell r="P50" t="str">
            <v>Visitas de evaluación con fines de mejoramiento</v>
          </cell>
          <cell r="Q50" t="str">
            <v>2025 05 06 Acta visita Colegio Los Angeles.pdf</v>
          </cell>
          <cell r="R50" t="str">
            <v>El colegio no cuenta con información registrada en el aplicativo EVI debido a que la sede actual no se encuentra legalizada. La última resolución emitida corresponde al año 2014.</v>
          </cell>
          <cell r="S50" t="str">
            <v>Se requiere efectuar una revisión documental que permita analizar la factibilidad de modificar la licencia de funcionamiento por motivo de cambio de sede. De concretarse dicho trámite, podrá realizarse la actualización correspondiente de las tarifas institucionales.</v>
          </cell>
          <cell r="T50" t="str">
            <v>No</v>
          </cell>
          <cell r="U50" t="str">
            <v>ELIV realizará un proceso de revisión documental para analizar la factibilidad de modificar la licencia de funcionamiento por cambio de sede. En caso de que el trámite sea aprobado, se procederá con la actualización respectiva de las tarifas.</v>
          </cell>
        </row>
        <row r="51">
          <cell r="A51">
            <v>1855</v>
          </cell>
          <cell r="B51">
            <v>6</v>
          </cell>
          <cell r="C51" t="str">
            <v xml:space="preserve">SANTA FE Y CANDELARIA </v>
          </cell>
          <cell r="D51" t="str">
            <v>PRIVADO</v>
          </cell>
          <cell r="E51" t="str">
            <v>EPBM</v>
          </cell>
          <cell r="F51" t="str">
            <v>COLEGIO_LOS_ANGELES</v>
          </cell>
          <cell r="G51" t="str">
            <v>COLEGIO LOS ANGELES</v>
          </cell>
          <cell r="H51" t="str">
            <v>Convivencia escolar</v>
          </cell>
          <cell r="I51" t="str">
            <v>SEGUIMIENTO_Y_SUPERVISIÓN.</v>
          </cell>
          <cell r="J51" t="str">
            <v>Proponer estrategias en la formulación, verificar su elaboración y realizar seguimiento semestral al desarrollo de  las acciones establecidas en los planes de mejoramiento por pruebas SABER 11 de los establecimientos de educación formal.</v>
          </cell>
          <cell r="K51" t="str">
            <v>DAMARIS RUT CÁRDENAS MORENO</v>
          </cell>
          <cell r="L51" t="str">
            <v xml:space="preserve">JORGE WILLIAM BONILLA ROMERO </v>
          </cell>
          <cell r="M51">
            <v>45783</v>
          </cell>
          <cell r="N51">
            <v>45783</v>
          </cell>
          <cell r="O51">
            <v>45783</v>
          </cell>
          <cell r="P51" t="str">
            <v>Visitas de evaluación con fines de mejoramiento</v>
          </cell>
          <cell r="Q51" t="str">
            <v>2025 05 06 Acta visita Colegio Los Angeles.pdf</v>
          </cell>
          <cell r="R51" t="str">
            <v>Con el acompañamiento de una empresa externa, la institución educativa desarrolla actividades de análisis, seguimiento y fortalecimiento de los resultados en las Pruebas Saber.</v>
          </cell>
          <cell r="S51" t="str">
            <v>Es indispensable que las estrategias actuales relacionadas con las Pruebas Saber sean discutidas y aprobadas por los órganos de gobierno escolar: consejo académico, consejo directivo y demás instancias pertinentes, dejando registro de dichas decisiones en actas debidamente formalizadas.</v>
          </cell>
          <cell r="T51" t="str">
            <v>No</v>
          </cell>
          <cell r="U51" t="str">
            <v>El viernes 17 de mayo, el colegio presentará el informe de las actividades desarrolladas por los diferentes estamentos del gobierno escolar.</v>
          </cell>
        </row>
        <row r="52">
          <cell r="A52">
            <v>1856</v>
          </cell>
          <cell r="B52">
            <v>6</v>
          </cell>
          <cell r="C52" t="str">
            <v xml:space="preserve">SANTA FE Y CANDELARIA </v>
          </cell>
          <cell r="D52" t="str">
            <v>PRIVADO</v>
          </cell>
          <cell r="E52" t="str">
            <v>EPBM</v>
          </cell>
          <cell r="F52" t="str">
            <v>COLEGIO_LOS_ANGELES</v>
          </cell>
          <cell r="G52" t="str">
            <v>COLEGIO LOS ANGELES</v>
          </cell>
          <cell r="H52" t="str">
            <v>Convivencia escolar</v>
          </cell>
          <cell r="I52" t="str">
            <v>SEGUIMIENTO_Y_SUPERVISIÓN.</v>
          </cell>
          <cell r="J52" t="str">
            <v xml:space="preserve">Verificar la implementación por parte de los colegios, de acciones realizadas para la prevención y atención de las situaciones de convivencia en el entorno escolar, según lo establecido en la Directiva 01 de 2022 del MEN. </v>
          </cell>
          <cell r="K52" t="str">
            <v>DAMARIS RUT CÁRDENAS MORENO</v>
          </cell>
          <cell r="L52" t="str">
            <v xml:space="preserve">JORGE WILLIAM BONILLA ROMERO </v>
          </cell>
          <cell r="M52">
            <v>45783</v>
          </cell>
          <cell r="N52">
            <v>45783</v>
          </cell>
          <cell r="O52">
            <v>45783</v>
          </cell>
          <cell r="P52" t="str">
            <v>Visitas de evaluación con fines de mejoramiento</v>
          </cell>
          <cell r="Q52" t="str">
            <v>2025 05 06 Acta visita Colegio Los Angeles.pdf</v>
          </cell>
          <cell r="R52" t="str">
            <v>La institución educativa indica que no tiene conocimiento suficiente sobre la Directiva 001, motivo por el cual no ha adelantado las consultas ni las acciones asociadas a su implementación.</v>
          </cell>
          <cell r="S52" t="str">
            <v>Consultar y socializar la información con todo el personal de la comunidad educativa, dejando constancia del proceso mediante la documentación de soporte respectiva.</v>
          </cell>
          <cell r="T52" t="str">
            <v>No</v>
          </cell>
          <cell r="U52" t="str">
            <v>No se asigna elaboración de plan de mejoramiento puesto que a la fecha la institución no está funcionando en sede con licencia de funcionamiento, por lo cual es necesario que  el colegio legalice el cambio de sede realizado.</v>
          </cell>
        </row>
        <row r="53">
          <cell r="A53">
            <v>1857</v>
          </cell>
          <cell r="B53">
            <v>6</v>
          </cell>
          <cell r="C53" t="str">
            <v xml:space="preserve">SANTA FE Y CANDELARIA </v>
          </cell>
          <cell r="D53" t="str">
            <v>PRIVADO</v>
          </cell>
          <cell r="E53" t="str">
            <v>EPBM</v>
          </cell>
          <cell r="F53" t="str">
            <v>COLEGIO_LOS_ANGELES</v>
          </cell>
          <cell r="G53" t="str">
            <v>COLEGIO LOS ANGELES</v>
          </cell>
          <cell r="H53" t="str">
            <v>Convivencia escolar</v>
          </cell>
          <cell r="I53" t="str">
            <v>SEGUIMIENTO_Y_SUPERVISIÓN.</v>
          </cell>
          <cell r="J5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3" t="str">
            <v>DAMARIS RUT CÁRDENAS MORENO</v>
          </cell>
          <cell r="L53" t="str">
            <v xml:space="preserve">JORGE WILLIAM BONILLA ROMERO </v>
          </cell>
          <cell r="M53">
            <v>45783</v>
          </cell>
          <cell r="N53">
            <v>45783</v>
          </cell>
          <cell r="O53">
            <v>45783</v>
          </cell>
          <cell r="P53" t="str">
            <v>Visitas de evaluación con fines de mejoramiento</v>
          </cell>
          <cell r="Q53" t="str">
            <v>2025 05 06 Acta visita Colegio Los Angeles.pdf</v>
          </cell>
          <cell r="R53" t="str">
            <v>La institución educativa no cuenta, a la fecha, con registros de estudiantes que presenten presunción de trastornos del aprendizaje ni de condición de discapacidad.</v>
          </cell>
          <cell r="S53" t="str">
            <v>Se requiere analizar el Decreto 1421 y garantizar la correcta implementación del servicio de orientación escolar conforme a sus disposiciones.</v>
          </cell>
          <cell r="T53" t="str">
            <v>No</v>
          </cell>
          <cell r="U53" t="str">
            <v>No se asigna elaboración de plan de mejoramiento puesto que a la fecha la institución no está funcionando en sede con licencia de funcionamiento, por lo cual es necesario que  el colegio legalice el cambio de sede realizado.</v>
          </cell>
        </row>
        <row r="54">
          <cell r="A54">
            <v>1858</v>
          </cell>
          <cell r="B54">
            <v>6</v>
          </cell>
          <cell r="C54" t="str">
            <v xml:space="preserve">SANTA FE Y CANDELARIA </v>
          </cell>
          <cell r="D54" t="str">
            <v>PRIVADO</v>
          </cell>
          <cell r="E54" t="str">
            <v>EPBM</v>
          </cell>
          <cell r="F54" t="str">
            <v>COLEGIO_LOS_ANGELES</v>
          </cell>
          <cell r="G54" t="str">
            <v>COLEGIO LOS ANGELES</v>
          </cell>
          <cell r="H54" t="str">
            <v>Convivencia escolar</v>
          </cell>
          <cell r="I54" t="str">
            <v>EVALUACIÓN_CON_FINES_DE_MEJORAMIENTO.</v>
          </cell>
          <cell r="J5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4" t="str">
            <v>DAMARIS RUT CÁRDENAS MORENO</v>
          </cell>
          <cell r="L54" t="str">
            <v xml:space="preserve">JORGE WILLIAM BONILLA ROMERO </v>
          </cell>
          <cell r="M54">
            <v>45783</v>
          </cell>
          <cell r="N54">
            <v>45783</v>
          </cell>
          <cell r="O54">
            <v>45783</v>
          </cell>
          <cell r="P54" t="str">
            <v>Visitas de evaluación con fines de mejoramiento</v>
          </cell>
          <cell r="Q54" t="str">
            <v>2025 05 06 Acta visita Colegio Los Angeles.pdf</v>
          </cell>
          <cell r="R54" t="str">
            <v>Actualmente, el manual de convivencia está siendo revisado y actualizado únicamente por los docentes, sin participación del resto de la comunidad educativa. El colegio no dispone de acceso al Sistema de Alertas, lo que limita la elaboración de reportes de incidentes. Además, no se ha evidenciado la conformación formal del Comité de Convivencia Escolar.</v>
          </cell>
          <cell r="S54" t="str">
            <v>Construir el documento de manera colaborativa con todos los integrantes de la comunidad educativa, considerando la normativa vigente, especialmente la Ley 1620 de 2013 y el Directorio de Protocolos de Atención para la convivencia escolar, para garantizar su correcta aplicación.</v>
          </cell>
          <cell r="T54" t="str">
            <v>No</v>
          </cell>
          <cell r="U54" t="str">
            <v>Con fecha límite del viernes 17 de mayo, la institución educativa presentará las acciones y actividades ejecutadas por los estamentos que conforman el gobierno escolar.</v>
          </cell>
        </row>
        <row r="55">
          <cell r="A55">
            <v>1859</v>
          </cell>
          <cell r="B55">
            <v>6</v>
          </cell>
          <cell r="C55" t="str">
            <v xml:space="preserve">SANTA FE Y CANDELARIA </v>
          </cell>
          <cell r="D55" t="str">
            <v>PRIVADO</v>
          </cell>
          <cell r="E55" t="str">
            <v>EPBM</v>
          </cell>
          <cell r="F55" t="str">
            <v>COLEGIO_LOS_ANGELES</v>
          </cell>
          <cell r="G55" t="str">
            <v>COLEGIO LOS ANGELES</v>
          </cell>
          <cell r="H55" t="str">
            <v>Convivencia escolar</v>
          </cell>
          <cell r="I55" t="str">
            <v>EVALUACIÓN_CON_FINES_DE_MEJORAMIENTO.</v>
          </cell>
          <cell r="J55" t="str">
            <v>Revisar la actualización, socialización e implementación del Sistema Institucional de Evaluación de Estudiantes - SIEE, en articulación con la actualización del PEI y la normatividad vigente.</v>
          </cell>
          <cell r="K55" t="str">
            <v>DAMARIS RUT CÁRDENAS MORENO</v>
          </cell>
          <cell r="L55" t="str">
            <v xml:space="preserve">JORGE WILLIAM BONILLA ROMERO </v>
          </cell>
          <cell r="M55">
            <v>45783</v>
          </cell>
          <cell r="N55">
            <v>45783</v>
          </cell>
          <cell r="O55">
            <v>45783</v>
          </cell>
          <cell r="P55" t="str">
            <v>Visitas de evaluación con fines de mejoramiento</v>
          </cell>
          <cell r="Q55" t="str">
            <v>2025 05 06 Acta visita Colegio Los Angeles.pdf</v>
          </cell>
          <cell r="R55" t="str">
            <v>Aunque el informe de notas presenta registros evidenciados, el documento SIEE carece de una descripción clara y específica de las estrategias de mejoramiento ante dificultades académicas. Asimismo, aunque se mencionan actividades de nivelación, el proceso para su implementación no está claramente definido.</v>
          </cell>
          <cell r="S55" t="str">
            <v>Fortalecer y describir de manera específica en el SIEE las estrategias de acompañamiento a situaciones académicas con dificultades, los procesos de nivelación, los tiempos y la generación de formatos que permitan la documentación de dichos procesos.</v>
          </cell>
          <cell r="T55" t="str">
            <v>No</v>
          </cell>
          <cell r="U55" t="str">
            <v>No se asigna elaboración de plan de mejoramiento puesto que a la fecha la institución no está funcionando en sede con licencia de funcionamiento, por lo cual es necesario que  el colegio legalice el cambio de sede realizado.</v>
          </cell>
        </row>
        <row r="56">
          <cell r="A56">
            <v>1860</v>
          </cell>
          <cell r="B56">
            <v>6</v>
          </cell>
          <cell r="C56" t="str">
            <v xml:space="preserve">SANTA FE Y CANDELARIA </v>
          </cell>
          <cell r="D56" t="str">
            <v>PRIVADO</v>
          </cell>
          <cell r="E56" t="str">
            <v>EPBM</v>
          </cell>
          <cell r="F56" t="str">
            <v>COLEGIO_LOS_ANGELES</v>
          </cell>
          <cell r="G56" t="str">
            <v>COLEGIO LOS ANGELES</v>
          </cell>
          <cell r="H56" t="str">
            <v>Convivencia escolar</v>
          </cell>
          <cell r="I56" t="str">
            <v>EVALUACIÓN_CON_FINES_DE_MEJORAMIENTO.</v>
          </cell>
          <cell r="J56" t="str">
            <v>Revisar el calendario escolar, jornada escolar, la intensidad horaria mínima anual en cada nivel y las modificaciones que se realicen al mismo, de acuerdo con lo previsto en la normatividad vigente.</v>
          </cell>
          <cell r="K56" t="str">
            <v>DAMARIS RUT CÁRDENAS MORENO</v>
          </cell>
          <cell r="L56" t="str">
            <v xml:space="preserve">JORGE WILLIAM BONILLA ROMERO </v>
          </cell>
          <cell r="M56">
            <v>45783</v>
          </cell>
          <cell r="N56">
            <v>45783</v>
          </cell>
          <cell r="O56">
            <v>45783</v>
          </cell>
          <cell r="P56" t="str">
            <v>Visitas de evaluación con fines de mejoramiento</v>
          </cell>
          <cell r="Q56" t="str">
            <v>2025 05 06 Acta visita Colegio Los Angeles.pdf</v>
          </cell>
          <cell r="R56" t="str">
            <v>A pesar de la existencia de un cronograma institucional, el reporte correspondiente no ha sido generado en el aplicativo EVI, dado que el predio donde funciona el colegio aún no está legalizado.</v>
          </cell>
          <cell r="S56" t="str">
            <v>Proyectar el calendario escolar anual y robustecer el documento del cronograma de actividades institucionales, garantizando su adecuación a las necesidades educativas.</v>
          </cell>
          <cell r="T56" t="str">
            <v>No</v>
          </cell>
          <cell r="U56" t="str">
            <v>No se asigna elaboración de plan de mejoramiento puesto que a la fecha la institución no está funcionando en sede con licencia de funcionamiento, por lo cual es necesario que  el colegio legalice el cambio de sede realizado.</v>
          </cell>
        </row>
        <row r="57">
          <cell r="A57">
            <v>1861</v>
          </cell>
          <cell r="B57">
            <v>6</v>
          </cell>
          <cell r="C57" t="str">
            <v xml:space="preserve">SANTA FE Y CANDELARIA </v>
          </cell>
          <cell r="D57" t="str">
            <v>PRIVADO</v>
          </cell>
          <cell r="E57" t="str">
            <v>EPBM</v>
          </cell>
          <cell r="F57" t="str">
            <v>COLEGIO_LOS_ANGELES</v>
          </cell>
          <cell r="G57" t="str">
            <v>COLEGIO LOS ANGELES</v>
          </cell>
          <cell r="H57" t="str">
            <v>Convivencia escolar</v>
          </cell>
          <cell r="I57" t="str">
            <v>EVALUACIÓN_CON_FINES_DE_MEJORAMIENTO.</v>
          </cell>
          <cell r="J57" t="str">
            <v>Verificar el funcionamiento del Gobierno Escolar e instancias de participación con base en la información sobre conformación reportada por la institución educativa.</v>
          </cell>
          <cell r="K57" t="str">
            <v>DAMARIS RUT CÁRDENAS MORENO</v>
          </cell>
          <cell r="L57" t="str">
            <v xml:space="preserve">JORGE WILLIAM BONILLA ROMERO </v>
          </cell>
          <cell r="M57">
            <v>45783</v>
          </cell>
          <cell r="N57">
            <v>45783</v>
          </cell>
          <cell r="O57">
            <v>45783</v>
          </cell>
          <cell r="P57" t="str">
            <v>Visitas de evaluación con fines de mejoramiento</v>
          </cell>
          <cell r="Q57" t="str">
            <v>2025 05 06 Acta visita Colegio Los Angeles.pdf</v>
          </cell>
          <cell r="R57" t="str">
            <v>No se dispone de documentación soporte que acredite la conformación integral de los estamentos del gobierno escolar, ni se ha generado reporte correspondiente en el aplicativo SAE.</v>
          </cell>
          <cell r="S57" t="str">
            <v>Organizar la documentación y los reportes correspondientes en el aplicativo SAE.</v>
          </cell>
          <cell r="T57" t="str">
            <v>No</v>
          </cell>
          <cell r="U57" t="str">
            <v>Para el viernes 17 de mayo, el colegio presentará las actividades adelantadas por los estamentos del gobierno escolar.</v>
          </cell>
        </row>
        <row r="58">
          <cell r="A58">
            <v>1862</v>
          </cell>
          <cell r="B58">
            <v>6</v>
          </cell>
          <cell r="C58" t="str">
            <v xml:space="preserve">SANTA FE Y CANDELARIA </v>
          </cell>
          <cell r="D58" t="str">
            <v>PRIVADO</v>
          </cell>
          <cell r="E58" t="str">
            <v>EPBM</v>
          </cell>
          <cell r="F58" t="str">
            <v>COLEGIO_LOS_ANGELES</v>
          </cell>
          <cell r="G58" t="str">
            <v>COLEGIO LOS ANGELES</v>
          </cell>
          <cell r="H58" t="str">
            <v>Convivencia escolar</v>
          </cell>
          <cell r="I58" t="str">
            <v>EVALUACIÓN_CON_FINES_DE_MEJORAMIENTO.</v>
          </cell>
          <cell r="J58" t="str">
            <v>Verificar las condiciones en cuanto a: la estructura administrativa, condiciones de la planta física y medios educativos adecuados.</v>
          </cell>
          <cell r="K58" t="str">
            <v>DAMARIS RUT CÁRDENAS MORENO</v>
          </cell>
          <cell r="L58" t="str">
            <v xml:space="preserve">JORGE WILLIAM BONILLA ROMERO </v>
          </cell>
          <cell r="M58">
            <v>45783</v>
          </cell>
          <cell r="N58">
            <v>45783</v>
          </cell>
          <cell r="O58">
            <v>45783</v>
          </cell>
          <cell r="P58" t="str">
            <v>Visitas de evaluación con fines de mejoramiento</v>
          </cell>
          <cell r="Q58" t="str">
            <v>2025 05 06 Acta visita Colegio Los Angeles.pdf</v>
          </cell>
          <cell r="R58" t="str">
            <v>Se evidencia que la infraestructura actual no corresponde a la sede autorizada en el aplicativo EVI. La profesional arquitecta asignada por la DIV detectó la necesidad de modificar la licencia de construcción vigente. Además, la planta física actual presenta ausencia de espacios para aprendizaje experimental, área administrativa y zona de enfermería.</v>
          </cell>
          <cell r="S58" t="str">
            <v>Es indispensable que el colegio proceda con la legalización de la sede donde funciona, garantizando el cumplimiento de la normatividad actual relacionada con infraestructura</v>
          </cell>
          <cell r="T58" t="str">
            <v>No</v>
          </cell>
          <cell r="U58" t="str">
            <v>ELIV efectuará una revisión documental para determinar la viabilidad de modificar la licencia de funcionamiento por cambio de sede, con el fin de realizar la actualización tarifaria pertinente en caso de éxito del trámite.</v>
          </cell>
        </row>
        <row r="59">
          <cell r="A59">
            <v>1863</v>
          </cell>
          <cell r="B59">
            <v>7</v>
          </cell>
          <cell r="C59" t="str">
            <v xml:space="preserve">SANTA FE Y CANDELARIA </v>
          </cell>
          <cell r="D59" t="str">
            <v>PRIVADO</v>
          </cell>
          <cell r="E59" t="str">
            <v>EPBM</v>
          </cell>
          <cell r="F59" t="str">
            <v>LICEO_MATER_DEI</v>
          </cell>
          <cell r="G59" t="str">
            <v>LICEO MATER DEI</v>
          </cell>
          <cell r="H59" t="str">
            <v>Autoevaluación Institucional y Pruebas SABER 11</v>
          </cell>
          <cell r="I59" t="str">
            <v>SEGUIMIENTO_Y_SUPERVISIÓN.</v>
          </cell>
          <cell r="J59" t="str">
            <v>Realizar visitas para verificar la información registrada sobre la autoevaluación institucional en el aplicativo EVI, a los establecimientos de educación formal no oficial.</v>
          </cell>
          <cell r="K59" t="str">
            <v>DAMARIS RUT CÁRDENAS MORENO</v>
          </cell>
          <cell r="L59" t="str">
            <v>JOSÉ MAXIMILIANO CHAPARRO BARRERA</v>
          </cell>
          <cell r="M59">
            <v>45817</v>
          </cell>
          <cell r="N59">
            <v>45817</v>
          </cell>
          <cell r="O59">
            <v>45817</v>
          </cell>
          <cell r="P59" t="str">
            <v>Visitas de evaluación con fines de mejoramiento</v>
          </cell>
          <cell r="Q59" t="str">
            <v>2025 06 09 Liceo Mater Dei.pdf</v>
          </cell>
          <cell r="R59" t="str">
            <v>Durante el recorrido, se verificó que los espacios físicos coinciden con lo registrado en el aplicativo EVI. Asimismo, se constató la información referente a la contratación docente y los pagos de seguridad social. Por otro lado, el colegio no presenta cartera pendiente por concepto de pensiones.</v>
          </cell>
          <cell r="S59" t="str">
            <v>Realizar una evaluación financiera para la adaptación de espacios destinados a personas con discapacidad.</v>
          </cell>
          <cell r="T59" t="str">
            <v>No</v>
          </cell>
          <cell r="U59" t="str">
            <v>En revisión de autoevaluación de aplicativo EVI para vigencia 2026.</v>
          </cell>
        </row>
        <row r="60">
          <cell r="A60">
            <v>1864</v>
          </cell>
          <cell r="B60">
            <v>7</v>
          </cell>
          <cell r="C60" t="str">
            <v xml:space="preserve">SANTA FE Y CANDELARIA </v>
          </cell>
          <cell r="D60" t="str">
            <v>PRIVADO</v>
          </cell>
          <cell r="E60" t="str">
            <v>EPBM</v>
          </cell>
          <cell r="F60" t="str">
            <v>LICEO_MATER_DEI</v>
          </cell>
          <cell r="G60" t="str">
            <v>LICEO MATER DEI</v>
          </cell>
          <cell r="H60" t="str">
            <v>Autoevaluación Institucional y Pruebas SABER 11</v>
          </cell>
          <cell r="I60" t="str">
            <v>SEGUIMIENTO_Y_SUPERVISIÓN.</v>
          </cell>
          <cell r="J60" t="str">
            <v>Proponer estrategias en la formulación, verificar su elaboración y realizar seguimiento semestral al desarrollo de  las acciones establecidas en los planes de mejoramiento por pruebas SABER 11 de los establecimientos de educación formal.</v>
          </cell>
          <cell r="K60" t="str">
            <v>DAMARIS RUT CÁRDENAS MORENO</v>
          </cell>
          <cell r="L60" t="str">
            <v>JOSÉ MAXIMILIANO CHAPARRO BARRERA</v>
          </cell>
          <cell r="M60">
            <v>45817</v>
          </cell>
          <cell r="N60">
            <v>45817</v>
          </cell>
          <cell r="O60">
            <v>45817</v>
          </cell>
          <cell r="P60" t="str">
            <v>Visitas de evaluación con fines de mejoramiento</v>
          </cell>
          <cell r="Q60" t="str">
            <v>2025 06 09 Liceo Mater Dei.pdf</v>
          </cell>
          <cell r="R60" t="str">
            <v>No se identifican estrategias institucionales específicas para el seguimiento y mejoramiento de los resultados en las pruebas Saber 11.</v>
          </cell>
          <cell r="S60" t="str">
            <v>Fortalecer las estrategias de proyección para las pruebas, basándose en la información existente en la institución educativa.</v>
          </cell>
          <cell r="T60" t="str">
            <v>Si</v>
          </cell>
          <cell r="U60" t="str">
            <v>Desde las instancias de gobierno escolar, las comisiones de evaluación y el consejo académico se formularán estrategias de mejoramiento para las pruebas Saber. El documento correspondiente será entregado el 15 de agosto.Se realizará seguimiento a plan de mejoramiento en vigencia 2026, que no fue radicado durante el presente año.</v>
          </cell>
        </row>
        <row r="61">
          <cell r="A61">
            <v>1865</v>
          </cell>
          <cell r="B61">
            <v>7</v>
          </cell>
          <cell r="C61" t="str">
            <v xml:space="preserve">SANTA FE Y CANDELARIA </v>
          </cell>
          <cell r="D61" t="str">
            <v>PRIVADO</v>
          </cell>
          <cell r="E61" t="str">
            <v>EPBM</v>
          </cell>
          <cell r="F61" t="str">
            <v>LICEO_MATER_DEI</v>
          </cell>
          <cell r="G61" t="str">
            <v>LICEO MATER DEI</v>
          </cell>
          <cell r="H61" t="str">
            <v>Autoevaluación Institucional y Pruebas SABER 11</v>
          </cell>
          <cell r="I61" t="str">
            <v>SEGUIMIENTO_Y_SUPERVISIÓN.</v>
          </cell>
          <cell r="J61" t="str">
            <v xml:space="preserve">Verificar la implementación por parte de los colegios, de acciones realizadas para la prevención y atención de las situaciones de convivencia en el entorno escolar, según lo establecido en la Directiva 01 de 2022 del MEN. </v>
          </cell>
          <cell r="K61" t="str">
            <v>DAMARIS RUT CÁRDENAS MORENO</v>
          </cell>
          <cell r="L61" t="str">
            <v>JOSÉ MAXIMILIANO CHAPARRO BARRERA</v>
          </cell>
          <cell r="M61">
            <v>45817</v>
          </cell>
          <cell r="N61">
            <v>45817</v>
          </cell>
          <cell r="O61">
            <v>45817</v>
          </cell>
          <cell r="P61" t="str">
            <v>Visitas de evaluación con fines de mejoramiento</v>
          </cell>
          <cell r="Q61" t="str">
            <v>2025 06 09 Liceo Mater Dei.pdf</v>
          </cell>
          <cell r="R61" t="str">
            <v>Por cambios en el personal administrativo, el colegio no continuó realizando la revisión de manera adecuada, aunque durante el proceso inicial de contratación del año sí se efectuó la revisión de antecedentes.</v>
          </cell>
          <cell r="S61" t="str">
            <v>Fortalecer el proceso de socialización de la directiva y la ejecución de las distintas acciones contempladas.</v>
          </cell>
          <cell r="T61" t="str">
            <v>Si</v>
          </cell>
          <cell r="U61" t="str">
            <v>Elaboración y entrega, el 15 de agosto, del documento de plan de mejoramiento que incluya las acciones a implementar relacionadas con la Directiva. Se realizará seguimiento a plan de mejoramiento en vigencia 2026, que no fue radicado durante el presente año.</v>
          </cell>
        </row>
        <row r="62">
          <cell r="A62">
            <v>1866</v>
          </cell>
          <cell r="B62">
            <v>7</v>
          </cell>
          <cell r="C62" t="str">
            <v xml:space="preserve">SANTA FE Y CANDELARIA </v>
          </cell>
          <cell r="D62" t="str">
            <v>PRIVADO</v>
          </cell>
          <cell r="E62" t="str">
            <v>EPBM</v>
          </cell>
          <cell r="F62" t="str">
            <v>LICEO_MATER_DEI</v>
          </cell>
          <cell r="G62" t="str">
            <v>LICEO MATER DEI</v>
          </cell>
          <cell r="H62" t="str">
            <v>Autoevaluación Institucional y Pruebas SABER 11</v>
          </cell>
          <cell r="I62" t="str">
            <v>SEGUIMIENTO_Y_SUPERVISIÓN.</v>
          </cell>
          <cell r="J6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2" t="str">
            <v>DAMARIS RUT CÁRDENAS MORENO</v>
          </cell>
          <cell r="L62" t="str">
            <v>JOSÉ MAXIMILIANO CHAPARRO BARRERA</v>
          </cell>
          <cell r="M62">
            <v>45817</v>
          </cell>
          <cell r="N62">
            <v>45817</v>
          </cell>
          <cell r="O62">
            <v>45817</v>
          </cell>
          <cell r="P62" t="str">
            <v>Visitas de evaluación con fines de mejoramiento</v>
          </cell>
          <cell r="Q62" t="str">
            <v>2025 06 09 Liceo Mater Dei.pdf</v>
          </cell>
          <cell r="R62" t="str">
            <v>No se evidencia la caracterización de estudiantes en SIMAT, ni la formalización de PIAR para los seis casos con diagnósticos que reporta el colegio.</v>
          </cell>
          <cell r="S62" t="str">
            <v>Se requiere que el colegio implemente un seguimiento adecuado de los casos, mantenga actualizada la información en SIMAT y formalice los PIAR correspondientes para estudiantes diagnosticados y para aquellos con presunción de diagnóstico.</v>
          </cell>
          <cell r="T62" t="str">
            <v>Si</v>
          </cell>
          <cell r="U62" t="str">
            <v>Presentación del plan de mejoramiento el 15 de agosto, que contemple las acciones ejecutadas y la documentación soporte correspondiente. Se realizará seguimiento a plan de mejoramiento en vigencia 2026, que no fue radicado durante el presente año.</v>
          </cell>
        </row>
        <row r="63">
          <cell r="A63">
            <v>1867</v>
          </cell>
          <cell r="B63">
            <v>7</v>
          </cell>
          <cell r="C63" t="str">
            <v xml:space="preserve">SANTA FE Y CANDELARIA </v>
          </cell>
          <cell r="D63" t="str">
            <v>PRIVADO</v>
          </cell>
          <cell r="E63" t="str">
            <v>EPBM</v>
          </cell>
          <cell r="F63" t="str">
            <v>LICEO_MATER_DEI</v>
          </cell>
          <cell r="G63" t="str">
            <v>LICEO MATER DEI</v>
          </cell>
          <cell r="H63" t="str">
            <v>Autoevaluación Institucional y Pruebas SABER 11</v>
          </cell>
          <cell r="I63" t="str">
            <v>EVALUACIÓN_CON_FINES_DE_MEJORAMIENTO.</v>
          </cell>
          <cell r="J6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3" t="str">
            <v>DAMARIS RUT CÁRDENAS MORENO</v>
          </cell>
          <cell r="L63" t="str">
            <v>JOSÉ MAXIMILIANO CHAPARRO BARRERA</v>
          </cell>
          <cell r="M63">
            <v>45817</v>
          </cell>
          <cell r="N63">
            <v>45817</v>
          </cell>
          <cell r="O63">
            <v>45817</v>
          </cell>
          <cell r="P63" t="str">
            <v>Visitas de evaluación con fines de mejoramiento</v>
          </cell>
          <cell r="Q63" t="str">
            <v>2025 06 09 Liceo Mater Dei.pdf</v>
          </cell>
          <cell r="R63" t="str">
            <v>El manual de convivencia fue construido de manera participativa, sin embargo no cuenta con enfoques de ley.</v>
          </cell>
          <cell r="S63" t="str">
            <v>Completar documento de manual de convivencia con enfoque restaurativo y de género, así como elaborar plan de convivencia institucional.</v>
          </cell>
          <cell r="T63" t="str">
            <v>Si</v>
          </cell>
          <cell r="U63" t="str">
            <v>Documento de  plan de mejoramiento para el 15 de agosto, con plan de trabajo y acciones realizadas.. Se realizará seguimiento a plan de mejoramiento en vigencia 2026, que no fue radicado durante el presente año.</v>
          </cell>
        </row>
        <row r="64">
          <cell r="A64">
            <v>1868</v>
          </cell>
          <cell r="B64">
            <v>7</v>
          </cell>
          <cell r="C64" t="str">
            <v xml:space="preserve">SANTA FE Y CANDELARIA </v>
          </cell>
          <cell r="D64" t="str">
            <v>PRIVADO</v>
          </cell>
          <cell r="E64" t="str">
            <v>EPBM</v>
          </cell>
          <cell r="F64" t="str">
            <v>LICEO_MATER_DEI</v>
          </cell>
          <cell r="G64" t="str">
            <v>LICEO MATER DEI</v>
          </cell>
          <cell r="H64" t="str">
            <v>Autoevaluación Institucional y Pruebas SABER 11</v>
          </cell>
          <cell r="I64" t="str">
            <v>EVALUACIÓN_CON_FINES_DE_MEJORAMIENTO.</v>
          </cell>
          <cell r="J64" t="str">
            <v>Revisar la actualización, socialización e implementación del Sistema Institucional de Evaluación de Estudiantes - SIEE, en articulación con la actualización del PEI y la normatividad vigente.</v>
          </cell>
          <cell r="K64" t="str">
            <v>DAMARIS RUT CÁRDENAS MORENO</v>
          </cell>
          <cell r="L64" t="str">
            <v>JOSÉ MAXIMILIANO CHAPARRO BARRERA</v>
          </cell>
          <cell r="M64">
            <v>45817</v>
          </cell>
          <cell r="N64">
            <v>45817</v>
          </cell>
          <cell r="O64">
            <v>45817</v>
          </cell>
          <cell r="P64" t="str">
            <v>Visitas de evaluación con fines de mejoramiento</v>
          </cell>
          <cell r="Q64" t="str">
            <v>2025 06 09 Liceo Mater Dei.pdf</v>
          </cell>
          <cell r="R64" t="str">
            <v>El colegio dispone de documentos institucionales como el PEI y el SIEE, actualizados y en proceso de mejora. No obstante, el organigrama institucional no representa fielmente la estructura real del centro educativo.</v>
          </cell>
          <cell r="S64" t="str">
            <v>Desarrollar y poner en práctica los documentos vinculados al PIAR, así como diseñar un organigrama institucional que refleje fielmente la estructura organizacional.</v>
          </cell>
          <cell r="T64" t="str">
            <v>Si</v>
          </cell>
          <cell r="U64" t="str">
            <v>Presentación, el 15 de agosto, del plan de mejoramiento que contenga las acciones implementadas y los soportes de las mismas.Se realizará seguimiento a plan de mejoramiento en vigencia 2026, que no fue radicado durante el presente año.</v>
          </cell>
        </row>
        <row r="65">
          <cell r="A65">
            <v>1869</v>
          </cell>
          <cell r="B65">
            <v>7</v>
          </cell>
          <cell r="C65" t="str">
            <v xml:space="preserve">SANTA FE Y CANDELARIA </v>
          </cell>
          <cell r="D65" t="str">
            <v>PRIVADO</v>
          </cell>
          <cell r="E65" t="str">
            <v>EPBM</v>
          </cell>
          <cell r="F65" t="str">
            <v>LICEO_MATER_DEI</v>
          </cell>
          <cell r="G65" t="str">
            <v>LICEO MATER DEI</v>
          </cell>
          <cell r="H65" t="str">
            <v>Autoevaluación Institucional y Pruebas SABER 11</v>
          </cell>
          <cell r="I65" t="str">
            <v>EVALUACIÓN_CON_FINES_DE_MEJORAMIENTO.</v>
          </cell>
          <cell r="J65" t="str">
            <v>Revisar el calendario escolar, jornada escolar, la intensidad horaria mínima anual en cada nivel y las modificaciones que se realicen al mismo, de acuerdo con lo previsto en la normatividad vigente.</v>
          </cell>
          <cell r="K65" t="str">
            <v>DAMARIS RUT CÁRDENAS MORENO</v>
          </cell>
          <cell r="L65" t="str">
            <v>JOSÉ MAXIMILIANO CHAPARRO BARRERA</v>
          </cell>
          <cell r="M65">
            <v>45817</v>
          </cell>
          <cell r="N65">
            <v>45817</v>
          </cell>
          <cell r="O65">
            <v>45817</v>
          </cell>
          <cell r="P65" t="str">
            <v>Visitas de evaluación con fines de mejoramiento</v>
          </cell>
          <cell r="Q65" t="str">
            <v>2025 06 09 Liceo Mater Dei.pdf</v>
          </cell>
          <cell r="R65" t="str">
            <v>Se constata el cumplimiento de lo informado en el Calendario Escolar, así como de lo establecido en la normativa vigente.</v>
          </cell>
          <cell r="S65" t="str">
            <v xml:space="preserve">Dar continuidad al desarrollo del calendario académico y garantizar su correcta ejecución. </v>
          </cell>
          <cell r="T65" t="str">
            <v>No</v>
          </cell>
          <cell r="U65" t="str">
            <v>Para la vigencia 2026 se verificara que el calendario escolar se acoja a la normatividad relacionada.</v>
          </cell>
        </row>
        <row r="66">
          <cell r="A66">
            <v>1870</v>
          </cell>
          <cell r="B66">
            <v>7</v>
          </cell>
          <cell r="C66" t="str">
            <v xml:space="preserve">SANTA FE Y CANDELARIA </v>
          </cell>
          <cell r="D66" t="str">
            <v>PRIVADO</v>
          </cell>
          <cell r="E66" t="str">
            <v>EPBM</v>
          </cell>
          <cell r="F66" t="str">
            <v>LICEO_MATER_DEI</v>
          </cell>
          <cell r="G66" t="str">
            <v>LICEO MATER DEI</v>
          </cell>
          <cell r="H66" t="str">
            <v>Autoevaluación Institucional y Pruebas SABER 11</v>
          </cell>
          <cell r="I66" t="str">
            <v>EVALUACIÓN_CON_FINES_DE_MEJORAMIENTO.</v>
          </cell>
          <cell r="J66" t="str">
            <v>Verificar el funcionamiento del Gobierno Escolar e instancias de participación con base en la información sobre conformación reportada por la institución educativa.</v>
          </cell>
          <cell r="K66" t="str">
            <v>DAMARIS RUT CÁRDENAS MORENO</v>
          </cell>
          <cell r="L66" t="str">
            <v>JOSÉ MAXIMILIANO CHAPARRO BARRERA</v>
          </cell>
          <cell r="M66">
            <v>45817</v>
          </cell>
          <cell r="N66">
            <v>45817</v>
          </cell>
          <cell r="O66">
            <v>45817</v>
          </cell>
          <cell r="P66" t="str">
            <v>Visitas de evaluación con fines de mejoramiento</v>
          </cell>
          <cell r="Q66" t="str">
            <v>2025 06 09 Liceo Mater Dei.pdf</v>
          </cell>
          <cell r="R66" t="str">
            <v>Se constata el cargue de las actas de conformación y de reuniones, las cuales evidencian la operatividad de cada estamento.</v>
          </cell>
          <cell r="S66" t="str">
            <v>Dar continuidad al desarrollo del cronograma de actividades conforme a las funciones asignadas a cada estamento del gobierno escolar.</v>
          </cell>
          <cell r="T66" t="str">
            <v>No</v>
          </cell>
          <cell r="U66" t="str">
            <v>Para la vigencia 2026 se verificara que las instancias de participación escolar se establezcan conforme a la normatividad relacionada.</v>
          </cell>
        </row>
        <row r="67">
          <cell r="A67">
            <v>1871</v>
          </cell>
          <cell r="B67">
            <v>7</v>
          </cell>
          <cell r="C67" t="str">
            <v xml:space="preserve">SANTA FE Y CANDELARIA </v>
          </cell>
          <cell r="D67" t="str">
            <v>PRIVADO</v>
          </cell>
          <cell r="E67" t="str">
            <v>EPBM</v>
          </cell>
          <cell r="F67" t="str">
            <v>LICEO_MATER_DEI</v>
          </cell>
          <cell r="G67" t="str">
            <v>LICEO MATER DEI</v>
          </cell>
          <cell r="H67" t="str">
            <v>Autoevaluación Institucional y Pruebas SABER 11</v>
          </cell>
          <cell r="I67" t="str">
            <v>EVALUACIÓN_CON_FINES_DE_MEJORAMIENTO.</v>
          </cell>
          <cell r="J67" t="str">
            <v>Verificar las condiciones en cuanto a: la estructura administrativa, condiciones de la planta física y medios educativos adecuados.</v>
          </cell>
          <cell r="K67" t="str">
            <v>DAMARIS RUT CÁRDENAS MORENO</v>
          </cell>
          <cell r="L67" t="str">
            <v>JOSÉ MAXIMILIANO CHAPARRO BARRERA</v>
          </cell>
          <cell r="M67">
            <v>45817</v>
          </cell>
          <cell r="N67">
            <v>45817</v>
          </cell>
          <cell r="O67">
            <v>45817</v>
          </cell>
          <cell r="P67" t="str">
            <v>Visitas de evaluación con fines de mejoramiento</v>
          </cell>
          <cell r="Q67" t="str">
            <v>2025 06 09 Liceo Mater Dei.pdf</v>
          </cell>
          <cell r="R67" t="str">
            <v>Se verifica que la planta física y el mobiliario presentan un mantenimiento adecuado; no obstante, la institución no dispone de áreas adaptadas para el personal con movilidad reducida y/o discapacidad.</v>
          </cell>
          <cell r="S67" t="str">
            <v>Realizar una evaluación financiera para la adaptación de espacios destinados a personas con discapacidad.</v>
          </cell>
          <cell r="T67" t="str">
            <v>No</v>
          </cell>
          <cell r="U67" t="str">
            <v xml:space="preserve">Desde la mesa de rectores se generará espacio de socialización sobre condiciones de infraestructura, ambientes compartidos y normatividad educativa relacionada. </v>
          </cell>
        </row>
        <row r="68">
          <cell r="A68">
            <v>1872</v>
          </cell>
          <cell r="B68">
            <v>8</v>
          </cell>
          <cell r="C68" t="str">
            <v xml:space="preserve">SANTA FE Y CANDELARIA </v>
          </cell>
          <cell r="D68" t="str">
            <v>PRIVADO</v>
          </cell>
          <cell r="E68" t="str">
            <v>EPBM</v>
          </cell>
          <cell r="F68" t="str">
            <v>CENTRO_EDUCATIVO_LIBERTAD</v>
          </cell>
          <cell r="G68" t="str">
            <v>CENTRO EDUCATIVO LIBERTAD</v>
          </cell>
          <cell r="H68" t="str">
            <v>Convivencia escolar</v>
          </cell>
          <cell r="I68" t="str">
            <v>SEGUIMIENTO_Y_SUPERVISIÓN.</v>
          </cell>
          <cell r="J68" t="str">
            <v>Realizar visitas para verificar la información registrada sobre la autoevaluación institucional en el aplicativo EVI, a los establecimientos de educación formal no oficial.</v>
          </cell>
          <cell r="K68" t="str">
            <v xml:space="preserve">JORGE WILLIAM BONILLA ROMERO </v>
          </cell>
          <cell r="L68" t="str">
            <v>DAMARIS RUT CÁRDENAS MORENO</v>
          </cell>
          <cell r="M68">
            <v>45797</v>
          </cell>
          <cell r="N68">
            <v>45797</v>
          </cell>
          <cell r="O68">
            <v>45797</v>
          </cell>
          <cell r="P68" t="str">
            <v>Visitas de evaluación con fines de mejoramiento</v>
          </cell>
          <cell r="Q68" t="str">
            <v>2025 05 20 Centro Educativo Libertad CEL Acta de visita.pdf</v>
          </cell>
          <cell r="R68" t="str">
            <v xml:space="preserve">En recorrido a las instalaciones se verifica el reporte de lo informado a través de la autoevaluación institucional. </v>
          </cell>
          <cell r="S68" t="str">
            <v xml:space="preserve">Se solicita al colegio desarrollar la prestación del servicio educativo conforme a lo autorizado en licencia y tener en cuenta las normas relacionadas con la normativa educativa, incluida la resolución 1326 de 2023.    </v>
          </cell>
          <cell r="T68" t="str">
            <v>No</v>
          </cell>
          <cell r="U68" t="str">
            <v xml:space="preserve">Se generará seguimiento al cumplimiento de las condiciones sobre la prestación del servicio educativo conforme a regulación.  
</v>
          </cell>
        </row>
        <row r="69">
          <cell r="A69">
            <v>1873</v>
          </cell>
          <cell r="B69">
            <v>8</v>
          </cell>
          <cell r="C69" t="str">
            <v xml:space="preserve">SANTA FE Y CANDELARIA </v>
          </cell>
          <cell r="D69" t="str">
            <v>PRIVADO</v>
          </cell>
          <cell r="E69" t="str">
            <v>EPBM</v>
          </cell>
          <cell r="F69" t="str">
            <v>CENTRO_EDUCATIVO_LIBERTAD</v>
          </cell>
          <cell r="G69" t="str">
            <v>CENTRO EDUCATIVO LIBERTAD</v>
          </cell>
          <cell r="H69" t="str">
            <v>Convivencia escolar</v>
          </cell>
          <cell r="I69" t="str">
            <v>SEGUIMIENTO_Y_SUPERVISIÓN.</v>
          </cell>
          <cell r="J69" t="str">
            <v>Proponer estrategias en la formulación, verificar su elaboración y realizar seguimiento semestral al desarrollo de  las acciones establecidas en los planes de mejoramiento por pruebas SABER 11 de los establecimientos de educación formal.</v>
          </cell>
          <cell r="K69" t="str">
            <v xml:space="preserve">JORGE WILLIAM BONILLA ROMERO </v>
          </cell>
          <cell r="L69" t="str">
            <v>DAMARIS RUT CÁRDENAS MORENO</v>
          </cell>
          <cell r="M69">
            <v>45797</v>
          </cell>
          <cell r="N69">
            <v>45797</v>
          </cell>
          <cell r="O69">
            <v>45797</v>
          </cell>
          <cell r="P69" t="str">
            <v>Visitas de evaluación con fines de mejoramiento</v>
          </cell>
          <cell r="Q69" t="str">
            <v>2025 05 20 Centro Educativo Libertad CEL Acta de visita.pdf</v>
          </cell>
          <cell r="R69" t="str">
            <v>Se evidencia la implementación de estrategias pedagógicas dirigidas al fortalecimiento de los resultados escolares, dando prioridad al bienestar integral de los estudiantes.</v>
          </cell>
          <cell r="S69" t="str">
            <v>Diseñar e implementar estrategias que promuevan el fortalecimiento y la mejora continua de los procesos de aprendizaje estudiantil.</v>
          </cell>
          <cell r="T69" t="str">
            <v>No</v>
          </cell>
          <cell r="U69" t="str">
            <v>Se realizará seguimiento mediante evaluación de las estrategias implementadas, análisis de resultados académicos y retroalimentación de la comunidad educativa, ajustando las acciones según las necesidades para garantizar la mejoramiento constante en los procesos de aprendizaje estudiantil para la vigencia 2026.</v>
          </cell>
        </row>
        <row r="70">
          <cell r="A70">
            <v>1874</v>
          </cell>
          <cell r="B70">
            <v>8</v>
          </cell>
          <cell r="C70" t="str">
            <v xml:space="preserve">SANTA FE Y CANDELARIA </v>
          </cell>
          <cell r="D70" t="str">
            <v>PRIVADO</v>
          </cell>
          <cell r="E70" t="str">
            <v>EPBM</v>
          </cell>
          <cell r="F70" t="str">
            <v>CENTRO_EDUCATIVO_LIBERTAD</v>
          </cell>
          <cell r="G70" t="str">
            <v>CENTRO EDUCATIVO LIBERTAD</v>
          </cell>
          <cell r="H70" t="str">
            <v>Convivencia escolar</v>
          </cell>
          <cell r="I70" t="str">
            <v>SEGUIMIENTO_Y_SUPERVISIÓN.</v>
          </cell>
          <cell r="J70" t="str">
            <v xml:space="preserve">Verificar la implementación por parte de los colegios, de acciones realizadas para la prevención y atención de las situaciones de convivencia en el entorno escolar, según lo establecido en la Directiva 01 de 2022 del MEN. </v>
          </cell>
          <cell r="K70" t="str">
            <v xml:space="preserve">JORGE WILLIAM BONILLA ROMERO </v>
          </cell>
          <cell r="L70" t="str">
            <v>DAMARIS RUT CÁRDENAS MORENO</v>
          </cell>
          <cell r="M70">
            <v>45797</v>
          </cell>
          <cell r="N70">
            <v>45797</v>
          </cell>
          <cell r="O70">
            <v>45797</v>
          </cell>
          <cell r="P70" t="str">
            <v>Visitas de evaluación con fines de mejoramiento</v>
          </cell>
          <cell r="Q70" t="str">
            <v>2025 05 20 Centro Educativo Libertad CEL Acta de visita.pdf</v>
          </cell>
          <cell r="R70" t="str">
            <v>La Entidad Educativa presenta el plan de trabajo y las acciones desarrolladas en cumplimiento de la Directiva 01 de 2022 del Ministerio de Educación Nacional (MEN).</v>
          </cell>
          <cell r="S70" t="str">
            <v>Fortalecer el equipo docente mediante la incorporación de un orientador con perfil profesional y carácter permanente.</v>
          </cell>
          <cell r="T70" t="str">
            <v>Si</v>
          </cell>
          <cell r="U70" t="str">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ell>
        </row>
        <row r="71">
          <cell r="A71">
            <v>1875</v>
          </cell>
          <cell r="B71">
            <v>8</v>
          </cell>
          <cell r="C71" t="str">
            <v xml:space="preserve">SANTA FE Y CANDELARIA </v>
          </cell>
          <cell r="D71" t="str">
            <v>PRIVADO</v>
          </cell>
          <cell r="E71" t="str">
            <v>EPBM</v>
          </cell>
          <cell r="F71" t="str">
            <v>CENTRO_EDUCATIVO_LIBERTAD</v>
          </cell>
          <cell r="G71" t="str">
            <v>CENTRO EDUCATIVO LIBERTAD</v>
          </cell>
          <cell r="H71" t="str">
            <v>Convivencia escolar</v>
          </cell>
          <cell r="I71" t="str">
            <v>SEGUIMIENTO_Y_SUPERVISIÓN.</v>
          </cell>
          <cell r="J7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1" t="str">
            <v xml:space="preserve">JORGE WILLIAM BONILLA ROMERO </v>
          </cell>
          <cell r="L71" t="str">
            <v>DAMARIS RUT CÁRDENAS MORENO</v>
          </cell>
          <cell r="M71">
            <v>45797</v>
          </cell>
          <cell r="N71">
            <v>45797</v>
          </cell>
          <cell r="O71">
            <v>45797</v>
          </cell>
          <cell r="P71" t="str">
            <v>Visitas de evaluación con fines de mejoramiento</v>
          </cell>
          <cell r="Q71" t="str">
            <v>2025 05 20 Centro Educativo Libertad CEL Acta de visita.pdf</v>
          </cell>
          <cell r="R71" t="str">
            <v>Se constata la aplicación de ajustes en la retroalimentación dirigida a los acudientes, sustentada con los soportes respectivos por caso.</v>
          </cell>
          <cell r="S71" t="str">
            <v>Se señala la necesidad de incorporar este aspecto dentro del SIEE, en coherencia con los lineamientos institucionales.</v>
          </cell>
          <cell r="T71" t="str">
            <v>Si</v>
          </cell>
          <cell r="U71" t="str">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ell>
        </row>
        <row r="72">
          <cell r="A72">
            <v>1876</v>
          </cell>
          <cell r="B72">
            <v>8</v>
          </cell>
          <cell r="C72" t="str">
            <v xml:space="preserve">SANTA FE Y CANDELARIA </v>
          </cell>
          <cell r="D72" t="str">
            <v>PRIVADO</v>
          </cell>
          <cell r="E72" t="str">
            <v>EPBM</v>
          </cell>
          <cell r="F72" t="str">
            <v>CENTRO_EDUCATIVO_LIBERTAD</v>
          </cell>
          <cell r="G72" t="str">
            <v>CENTRO EDUCATIVO LIBERTAD</v>
          </cell>
          <cell r="H72" t="str">
            <v>Convivencia escolar</v>
          </cell>
          <cell r="I72" t="str">
            <v>EVALUACIÓN_CON_FINES_DE_MEJORAMIENTO.</v>
          </cell>
          <cell r="J7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2" t="str">
            <v xml:space="preserve">JORGE WILLIAM BONILLA ROMERO </v>
          </cell>
          <cell r="L72" t="str">
            <v>DAMARIS RUT CÁRDENAS MORENO</v>
          </cell>
          <cell r="M72">
            <v>45797</v>
          </cell>
          <cell r="N72">
            <v>45797</v>
          </cell>
          <cell r="O72">
            <v>45797</v>
          </cell>
          <cell r="P72" t="str">
            <v>Visitas de evaluación con fines de mejoramiento</v>
          </cell>
          <cell r="Q72" t="str">
            <v>2025 05 20 Centro Educativo Libertad CEL Acta de visita.pdf</v>
          </cell>
          <cell r="R72" t="str">
            <v>Se observa un documento denominado "Pacto de Acuerdos y Desacuerdos", el cual es similar al Manual de Convivencia y está desarrollado bajo los parámetros generales que rigen los componentes del orden convivencial.</v>
          </cell>
          <cell r="S72" t="str">
            <v>Es necesario fortalecer el documento en construcción con la activa participación de la comunidad educativa, asegurando la actualización integral de su contenido. Se debe incluir el establecimiento claro de canales de atención, tiempos y responsables, así como el respeto del debido proceso y la tipificación de faltas conforme a los protocolos de convivencia escolar versión 5.0, el JER y las instancias de participación. Este fortalecimiento debe garantizar la plena consonancia con la normatividad vigente, en particular con la Constitución Política de Colombia, Ley 115 de 1994, Ley 1098 de 2006, Ley 1620 de 2013, Ley 1732 de 2014, la Sentencia T-478 de 2015, y demás pronunciamientos de la Corte Constitucional relacionados.</v>
          </cell>
          <cell r="T72" t="str">
            <v>Si</v>
          </cell>
          <cell r="U72" t="str">
            <v>Se acuerda que el colegio entregue retroalimentación sobre los avances en la modificación requerida del manual de convivencia, conforme a lo indicado, durante el segundo semestre de 2025 y hasta su aprobación y socialización con la comunidad educativa.
Se recibe el 31 de julio retroalimentación sobre las observaciones enunciadas en el acta de visita y clarificación de los ajustes de este reporte el 9 de noviembre de 2025.</v>
          </cell>
        </row>
        <row r="73">
          <cell r="A73">
            <v>1877</v>
          </cell>
          <cell r="B73">
            <v>8</v>
          </cell>
          <cell r="C73" t="str">
            <v xml:space="preserve">SANTA FE Y CANDELARIA </v>
          </cell>
          <cell r="D73" t="str">
            <v>PRIVADO</v>
          </cell>
          <cell r="E73" t="str">
            <v>EPBM</v>
          </cell>
          <cell r="F73" t="str">
            <v>CENTRO_EDUCATIVO_LIBERTAD</v>
          </cell>
          <cell r="G73" t="str">
            <v>CENTRO EDUCATIVO LIBERTAD</v>
          </cell>
          <cell r="H73" t="str">
            <v>Convivencia escolar</v>
          </cell>
          <cell r="I73" t="str">
            <v>EVALUACIÓN_CON_FINES_DE_MEJORAMIENTO.</v>
          </cell>
          <cell r="J73" t="str">
            <v>Revisar la actualización, socialización e implementación del Sistema Institucional de Evaluación de Estudiantes - SIEE, en articulación con la actualización del PEI y la normatividad vigente.</v>
          </cell>
          <cell r="K73" t="str">
            <v xml:space="preserve">JORGE WILLIAM BONILLA ROMERO </v>
          </cell>
          <cell r="L73" t="str">
            <v>DAMARIS RUT CÁRDENAS MORENO</v>
          </cell>
          <cell r="M73">
            <v>45797</v>
          </cell>
          <cell r="N73">
            <v>45797</v>
          </cell>
          <cell r="O73">
            <v>45797</v>
          </cell>
          <cell r="P73" t="str">
            <v>Visitas de evaluación con fines de mejoramiento</v>
          </cell>
          <cell r="Q73" t="str">
            <v>2025 05 20 Centro Educativo Libertad CEL Acta de visita.pdf</v>
          </cell>
          <cell r="R73" t="str">
            <v>Se evidencia un documento que desarrolla el SIEE institucional y su trabajo en dinámicas de grupo, así como con los acudientes en reunión al inicio del año lectivo.</v>
          </cell>
          <cell r="S73" t="str">
            <v>Complementar el SIEE del colegio con el proceso desarrollado en el marco de los PIAR.</v>
          </cell>
          <cell r="T73" t="str">
            <v>Si</v>
          </cell>
          <cell r="U73" t="str">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ell>
        </row>
        <row r="74">
          <cell r="A74">
            <v>1878</v>
          </cell>
          <cell r="B74">
            <v>8</v>
          </cell>
          <cell r="C74" t="str">
            <v xml:space="preserve">SANTA FE Y CANDELARIA </v>
          </cell>
          <cell r="D74" t="str">
            <v>PRIVADO</v>
          </cell>
          <cell r="E74" t="str">
            <v>EPBM</v>
          </cell>
          <cell r="F74" t="str">
            <v>CENTRO_EDUCATIVO_LIBERTAD</v>
          </cell>
          <cell r="G74" t="str">
            <v>CENTRO EDUCATIVO LIBERTAD</v>
          </cell>
          <cell r="H74" t="str">
            <v>Convivencia escolar</v>
          </cell>
          <cell r="I74" t="str">
            <v>EVALUACIÓN_CON_FINES_DE_MEJORAMIENTO.</v>
          </cell>
          <cell r="J74" t="str">
            <v>Revisar el calendario escolar, jornada escolar, la intensidad horaria mínima anual en cada nivel y las modificaciones que se realicen al mismo, de acuerdo con lo previsto en la normatividad vigente.</v>
          </cell>
          <cell r="K74" t="str">
            <v xml:space="preserve">JORGE WILLIAM BONILLA ROMERO </v>
          </cell>
          <cell r="L74" t="str">
            <v>DAMARIS RUT CÁRDENAS MORENO</v>
          </cell>
          <cell r="M74">
            <v>45797</v>
          </cell>
          <cell r="N74">
            <v>45797</v>
          </cell>
          <cell r="O74">
            <v>45797</v>
          </cell>
          <cell r="P74" t="str">
            <v>Visitas de evaluación con fines de mejoramiento</v>
          </cell>
          <cell r="Q74" t="str">
            <v>2025 05 20 Centro Educativo Libertad CEL Acta de visita.pdf</v>
          </cell>
          <cell r="R74" t="str">
            <v>Se observa cumplimiento de lo informado en el Calendario Escolar y de lo reglamentado en la normativa vigente.</v>
          </cell>
          <cell r="S74" t="str">
            <v>Revisar la vinculación laboral de los docentes, en relación con el calendario académico presentado por la institución educativa (IE).</v>
          </cell>
          <cell r="T74" t="str">
            <v>No</v>
          </cell>
          <cell r="U74" t="str">
            <v>Seguimiento de las acciones adelantadas por la Institución Educativa (IE) durante el segundo semestre, en cumplimiento de las observaciones señaladas en el acta.</v>
          </cell>
        </row>
        <row r="75">
          <cell r="A75">
            <v>1879</v>
          </cell>
          <cell r="B75">
            <v>8</v>
          </cell>
          <cell r="C75" t="str">
            <v xml:space="preserve">SANTA FE Y CANDELARIA </v>
          </cell>
          <cell r="D75" t="str">
            <v>PRIVADO</v>
          </cell>
          <cell r="E75" t="str">
            <v>EPBM</v>
          </cell>
          <cell r="F75" t="str">
            <v>CENTRO_EDUCATIVO_LIBERTAD</v>
          </cell>
          <cell r="G75" t="str">
            <v>CENTRO EDUCATIVO LIBERTAD</v>
          </cell>
          <cell r="H75" t="str">
            <v>Convivencia escolar</v>
          </cell>
          <cell r="I75" t="str">
            <v>EVALUACIÓN_CON_FINES_DE_MEJORAMIENTO.</v>
          </cell>
          <cell r="J75" t="str">
            <v>Verificar el funcionamiento del Gobierno Escolar e instancias de participación con base en la información sobre conformación reportada por la institución educativa.</v>
          </cell>
          <cell r="K75" t="str">
            <v xml:space="preserve">JORGE WILLIAM BONILLA ROMERO </v>
          </cell>
          <cell r="L75" t="str">
            <v>DAMARIS RUT CÁRDENAS MORENO</v>
          </cell>
          <cell r="M75">
            <v>45797</v>
          </cell>
          <cell r="N75">
            <v>45797</v>
          </cell>
          <cell r="O75">
            <v>45797</v>
          </cell>
          <cell r="P75" t="str">
            <v>Visitas de evaluación con fines de mejoramiento</v>
          </cell>
          <cell r="Q75" t="str">
            <v>2025 05 20 Centro Educativo Libertad CEL Acta de visita.pdf</v>
          </cell>
          <cell r="R75" t="str">
            <v>Se evidencian la elección y conformación del Gobierno Escolar para el año 2025.</v>
          </cell>
          <cell r="S75" t="str">
            <v>El colegio subsanará los registros y documentación correspondientes a la elección y conformación del Gobierno Escolar 2025, garantizando su difusión y socialización efectiva dentro de la comunidad educativa.</v>
          </cell>
          <cell r="T75" t="str">
            <v>No</v>
          </cell>
          <cell r="U75" t="str">
            <v xml:space="preserve">Monitoreo del cumplimiento de los roles y responsabilidades asignados a los integrantes del Gobierno Escolar en el Consejo Académico. </v>
          </cell>
        </row>
        <row r="76">
          <cell r="A76">
            <v>1880</v>
          </cell>
          <cell r="B76">
            <v>8</v>
          </cell>
          <cell r="C76" t="str">
            <v xml:space="preserve">SANTA FE Y CANDELARIA </v>
          </cell>
          <cell r="D76" t="str">
            <v>PRIVADO</v>
          </cell>
          <cell r="E76" t="str">
            <v>EPBM</v>
          </cell>
          <cell r="F76" t="str">
            <v>CENTRO_EDUCATIVO_LIBERTAD</v>
          </cell>
          <cell r="G76" t="str">
            <v>CENTRO EDUCATIVO LIBERTAD</v>
          </cell>
          <cell r="H76" t="str">
            <v>Convivencia escolar</v>
          </cell>
          <cell r="I76" t="str">
            <v>EVALUACIÓN_CON_FINES_DE_MEJORAMIENTO.</v>
          </cell>
          <cell r="J76" t="str">
            <v>Verificar las condiciones en cuanto a: la estructura administrativa, condiciones de la planta física y medios educativos adecuados.</v>
          </cell>
          <cell r="K76" t="str">
            <v xml:space="preserve">JORGE WILLIAM BONILLA ROMERO </v>
          </cell>
          <cell r="L76" t="str">
            <v>DAMARIS RUT CÁRDENAS MORENO</v>
          </cell>
          <cell r="M76">
            <v>45797</v>
          </cell>
          <cell r="N76">
            <v>45797</v>
          </cell>
          <cell r="O76">
            <v>45797</v>
          </cell>
          <cell r="P76" t="str">
            <v>Visitas de evaluación con fines de mejoramiento</v>
          </cell>
          <cell r="Q76" t="str">
            <v>2025 05 20 Centro Educativo Libertad CEL Acta de visita.pdf</v>
          </cell>
          <cell r="R76" t="str">
            <v>El área de enfermería no está debidamente delimitada ni reservada exclusivamente para su uso. Además, el área destinada a vivienda para el personal encargado del cuidado del colegio está integrada con las instalaciones educativas, situación similar a la que ocurre con una de las oficinas de rectoría, lo que afecta la funcionalidad y organización del espacio institucional.</v>
          </cell>
          <cell r="S76" t="str">
            <v>Adecuar el área de enfermería para garantizar su uso exclusivo, separar físicamente las zonas de vivienda del personal de las instalaciones educativas, y reubicar la oficina de rectoría que comparte espacio con la vivienda.</v>
          </cell>
          <cell r="T76" t="str">
            <v>No</v>
          </cell>
          <cell r="U76" t="str">
            <v xml:space="preserve">Seguimiento de las acciones adelantadas por el EE durante el segundo semestre en cumplimiento de las observaciones señaladas en el acta.. </v>
          </cell>
        </row>
        <row r="77">
          <cell r="A77">
            <v>1881</v>
          </cell>
          <cell r="B77">
            <v>9</v>
          </cell>
          <cell r="C77" t="str">
            <v xml:space="preserve">SANTA FE Y CANDELARIA </v>
          </cell>
          <cell r="D77" t="str">
            <v>PRIVADO</v>
          </cell>
          <cell r="E77" t="str">
            <v>Educación de Jóvenes y Adultos</v>
          </cell>
          <cell r="F77" t="str">
            <v>CENTRO_DE_CAPACITACION_BOLIVAR_CENCABO</v>
          </cell>
          <cell r="G77" t="str">
            <v>CENTRO DE CAPACITACION BOLIVAR - CENCABO</v>
          </cell>
          <cell r="H77" t="str">
            <v>Autoevaluación Institucional y Pruebas SABER 11</v>
          </cell>
          <cell r="I77" t="str">
            <v>SEGUIMIENTO_Y_SUPERVISIÓN.</v>
          </cell>
          <cell r="J77" t="str">
            <v>Realizar visitas para verificar la información registrada sobre la autoevaluación institucional en el aplicativo EVI, a los establecimientos de educación formal no oficial.</v>
          </cell>
          <cell r="K77" t="str">
            <v xml:space="preserve">JORGE WILLIAM BONILLA ROMERO </v>
          </cell>
          <cell r="L77" t="str">
            <v>JOSÉ MAXIMILIANO CHAPARRO BARRERA</v>
          </cell>
          <cell r="M77">
            <v>45807</v>
          </cell>
          <cell r="N77">
            <v>45807</v>
          </cell>
          <cell r="O77">
            <v>45807</v>
          </cell>
          <cell r="P77" t="str">
            <v>Visitas de evaluación con fines de mejoramiento</v>
          </cell>
          <cell r="Q77" t="str">
            <v>2025 05 30 CENCABO Acta de visita.pdf</v>
          </cell>
          <cell r="R77" t="str">
            <v>Se observan condiciones de legalidad en las dos nomenclaturas, en concordancia con la información registrada en la plataforma EVI.</v>
          </cell>
          <cell r="S77" t="str">
            <v>Es indispensable revisar la sostenibilidad financiera de la institución para garantizar la continuidad y calidad del servicio educativo.</v>
          </cell>
          <cell r="T77" t="str">
            <v>No</v>
          </cell>
          <cell r="U77" t="str">
            <v>El ELIV continuará revisando los cambios que presente el EE en la siguiente vigencia.</v>
          </cell>
        </row>
        <row r="78">
          <cell r="A78">
            <v>1882</v>
          </cell>
          <cell r="B78">
            <v>9</v>
          </cell>
          <cell r="C78" t="str">
            <v xml:space="preserve">SANTA FE Y CANDELARIA </v>
          </cell>
          <cell r="D78" t="str">
            <v>PRIVADO</v>
          </cell>
          <cell r="E78" t="str">
            <v>Educación de Jóvenes y Adultos</v>
          </cell>
          <cell r="F78" t="str">
            <v>CENTRO_DE_CAPACITACION_BOLIVAR_CENCABO</v>
          </cell>
          <cell r="G78" t="str">
            <v>CENTRO DE CAPACITACION BOLIVAR - CENCABO</v>
          </cell>
          <cell r="H78" t="str">
            <v>Autoevaluación Institucional y Pruebas SABER 11</v>
          </cell>
          <cell r="I78" t="str">
            <v>SEGUIMIENTO_Y_SUPERVISIÓN.</v>
          </cell>
          <cell r="J78" t="str">
            <v>Proponer estrategias en la formulación, verificar su elaboración y realizar seguimiento semestral al desarrollo de  las acciones establecidas en los planes de mejoramiento por pruebas SABER 11 de los establecimientos de educación formal.</v>
          </cell>
          <cell r="K78" t="str">
            <v xml:space="preserve">JORGE WILLIAM BONILLA ROMERO </v>
          </cell>
          <cell r="L78" t="str">
            <v>JOSÉ MAXIMILIANO CHAPARRO BARRERA</v>
          </cell>
          <cell r="M78">
            <v>45807</v>
          </cell>
          <cell r="N78">
            <v>45807</v>
          </cell>
          <cell r="O78">
            <v>45807</v>
          </cell>
          <cell r="P78" t="str">
            <v>Visitas de evaluación con fines de mejoramiento</v>
          </cell>
          <cell r="Q78" t="str">
            <v>2025 05 30 CENCABO Acta de visita.pdf</v>
          </cell>
          <cell r="R78" t="str">
            <v>Se evidencia que la institución menciona el desarrollo de exámenes tipo ICFES; sin embargo, no se presenta documentación soporte que permita verificar su aplicación sistemática, objetivos pedagógicos o el seguimiento a los resultados obtenidos por los estudiantes.</v>
          </cell>
          <cell r="S78" t="str">
            <v>Definir indicadores de calidad del aprendizaje y adoptar estrategias de mejora basadas en resultados previos, con seguimiento y dinamización por parte del Consejo Académico y Directivo.</v>
          </cell>
          <cell r="T78" t="str">
            <v>Si</v>
          </cell>
          <cell r="U78" t="str">
            <v xml:space="preserve">El ELIV revisará la estrategia que formule el EE en función del seguimiento a los resultados de los estudiantes.
Se requiere al EE el 27 de octubre con radicado S-2025-333655 y se generará seguimiento en 2026.  </v>
          </cell>
        </row>
        <row r="79">
          <cell r="A79">
            <v>1883</v>
          </cell>
          <cell r="B79">
            <v>9</v>
          </cell>
          <cell r="C79" t="str">
            <v xml:space="preserve">SANTA FE Y CANDELARIA </v>
          </cell>
          <cell r="D79" t="str">
            <v>PRIVADO</v>
          </cell>
          <cell r="E79" t="str">
            <v>Educación de Jóvenes y Adultos</v>
          </cell>
          <cell r="F79" t="str">
            <v>CENTRO_DE_CAPACITACION_BOLIVAR_CENCABO</v>
          </cell>
          <cell r="G79" t="str">
            <v>CENTRO DE CAPACITACION BOLIVAR - CENCABO</v>
          </cell>
          <cell r="H79" t="str">
            <v>Autoevaluación Institucional y Pruebas SABER 11</v>
          </cell>
          <cell r="I79" t="str">
            <v>SEGUIMIENTO_Y_SUPERVISIÓN.</v>
          </cell>
          <cell r="J79" t="str">
            <v xml:space="preserve">Verificar la implementación por parte de los colegios, de acciones realizadas para la prevención y atención de las situaciones de convivencia en el entorno escolar, según lo establecido en la Directiva 01 de 2022 del MEN. </v>
          </cell>
          <cell r="K79" t="str">
            <v xml:space="preserve">JORGE WILLIAM BONILLA ROMERO </v>
          </cell>
          <cell r="L79" t="str">
            <v>JOSÉ MAXIMILIANO CHAPARRO BARRERA</v>
          </cell>
          <cell r="M79">
            <v>45807</v>
          </cell>
          <cell r="N79">
            <v>45807</v>
          </cell>
          <cell r="O79">
            <v>45807</v>
          </cell>
          <cell r="P79" t="str">
            <v>Visitas de evaluación con fines de mejoramiento</v>
          </cell>
          <cell r="Q79" t="str">
            <v>2025 05 30 CENCABO Acta de visita.pdf</v>
          </cell>
          <cell r="R79" t="str">
            <v>No se evidencia seguimiento en la atención de los casos presentados, ni se cuenta con un plan de trabajo formalizado que oriente las acciones a desarrollar.</v>
          </cell>
          <cell r="S79" t="str">
            <v>Formular un plan de trabajo y elaborar un cronograma de reuniones para el abordaje de acciones preventivas en el entorno escolar, tomando como referencia lo establecido en la Directiva 01 de 2022 del MEN.</v>
          </cell>
          <cell r="T79" t="str">
            <v>No</v>
          </cell>
          <cell r="U79" t="str">
            <v>El ELIV revisará la estrategia que formule el EE en función del seguimiento a los resultados de los estudiantes.</v>
          </cell>
        </row>
        <row r="80">
          <cell r="A80">
            <v>1884</v>
          </cell>
          <cell r="B80">
            <v>9</v>
          </cell>
          <cell r="C80" t="str">
            <v xml:space="preserve">SANTA FE Y CANDELARIA </v>
          </cell>
          <cell r="D80" t="str">
            <v>PRIVADO</v>
          </cell>
          <cell r="E80" t="str">
            <v>Educación de Jóvenes y Adultos</v>
          </cell>
          <cell r="F80" t="str">
            <v>CENTRO_DE_CAPACITACION_BOLIVAR_CENCABO</v>
          </cell>
          <cell r="G80" t="str">
            <v>CENTRO DE CAPACITACION BOLIVAR - CENCABO</v>
          </cell>
          <cell r="H80" t="str">
            <v>Autoevaluación Institucional y Pruebas SABER 11</v>
          </cell>
          <cell r="I80" t="str">
            <v>SEGUIMIENTO_Y_SUPERVISIÓN.</v>
          </cell>
          <cell r="J8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0" t="str">
            <v xml:space="preserve">JORGE WILLIAM BONILLA ROMERO </v>
          </cell>
          <cell r="L80" t="str">
            <v>JOSÉ MAXIMILIANO CHAPARRO BARRERA</v>
          </cell>
          <cell r="M80">
            <v>45807</v>
          </cell>
          <cell r="N80">
            <v>45807</v>
          </cell>
          <cell r="O80">
            <v>45807</v>
          </cell>
          <cell r="P80" t="str">
            <v>Visitas de evaluación con fines de mejoramiento</v>
          </cell>
          <cell r="Q80" t="str">
            <v>2025 05 30 CENCABO Acta de visita.pdf</v>
          </cell>
          <cell r="R80" t="str">
            <v>Se identifican inconsistencias y diferencias en la información reportada en el sistema SIMAT, lo que puede afectar el seguimiento y la gestión adecuada de los datos institucionales.</v>
          </cell>
          <cell r="S80" t="str">
            <v>Ajustar la información en el aplicativo conforme a la población atendida.</v>
          </cell>
          <cell r="T80" t="str">
            <v>No</v>
          </cell>
          <cell r="U80" t="str">
            <v>Radicar en la DLE Santa Fe - La Candelaria los avances correspondientes en julio de 2025.</v>
          </cell>
        </row>
        <row r="81">
          <cell r="A81">
            <v>1885</v>
          </cell>
          <cell r="B81">
            <v>9</v>
          </cell>
          <cell r="C81" t="str">
            <v xml:space="preserve">SANTA FE Y CANDELARIA </v>
          </cell>
          <cell r="D81" t="str">
            <v>PRIVADO</v>
          </cell>
          <cell r="E81" t="str">
            <v>Educación de Jóvenes y Adultos</v>
          </cell>
          <cell r="F81" t="str">
            <v>CENTRO_DE_CAPACITACION_BOLIVAR_CENCABO</v>
          </cell>
          <cell r="G81" t="str">
            <v>CENTRO DE CAPACITACION BOLIVAR - CENCABO</v>
          </cell>
          <cell r="H81" t="str">
            <v>Autoevaluación Institucional y Pruebas SABER 11</v>
          </cell>
          <cell r="I81" t="str">
            <v>EVALUACIÓN_CON_FINES_DE_MEJORAMIENTO.</v>
          </cell>
          <cell r="J8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1" t="str">
            <v xml:space="preserve">JORGE WILLIAM BONILLA ROMERO </v>
          </cell>
          <cell r="L81" t="str">
            <v>JOSÉ MAXIMILIANO CHAPARRO BARRERA</v>
          </cell>
          <cell r="M81">
            <v>45807</v>
          </cell>
          <cell r="N81">
            <v>45807</v>
          </cell>
          <cell r="O81">
            <v>45807</v>
          </cell>
          <cell r="P81" t="str">
            <v>Visitas de evaluación con fines de mejoramiento</v>
          </cell>
          <cell r="Q81" t="str">
            <v>2025 05 30 CENCABO Acta de visita.pdf</v>
          </cell>
          <cell r="R81" t="str">
            <v xml:space="preserve">No se evidencia seguimiento a los casos convivenciales, ni la existencia de un plan de trabajo formal del comité. </v>
          </cell>
          <cell r="S81" t="str">
            <v>Diseñar indicadores de gestión convivencial y formular un plan de trabajo que incluya un enfoque diferencial, de derechos humanos y de justicia restaurativa en el proceso convivencial. Además, elaborar un cronograma de reuniones para dar seguimiento a estas acciones.</v>
          </cell>
          <cell r="T81" t="str">
            <v>No</v>
          </cell>
          <cell r="U81" t="str">
            <v>Radicar en la DLE Santa Fe - La Candelaria los avances correspondientes en julio de 2025.</v>
          </cell>
        </row>
        <row r="82">
          <cell r="A82">
            <v>1886</v>
          </cell>
          <cell r="B82">
            <v>9</v>
          </cell>
          <cell r="C82" t="str">
            <v xml:space="preserve">SANTA FE Y CANDELARIA </v>
          </cell>
          <cell r="D82" t="str">
            <v>PRIVADO</v>
          </cell>
          <cell r="E82" t="str">
            <v>Educación de Jóvenes y Adultos</v>
          </cell>
          <cell r="F82" t="str">
            <v>CENTRO_DE_CAPACITACION_BOLIVAR_CENCABO</v>
          </cell>
          <cell r="G82" t="str">
            <v>CENTRO DE CAPACITACION BOLIVAR - CENCABO</v>
          </cell>
          <cell r="H82" t="str">
            <v>Autoevaluación Institucional y Pruebas SABER 11</v>
          </cell>
          <cell r="I82" t="str">
            <v>EVALUACIÓN_CON_FINES_DE_MEJORAMIENTO.</v>
          </cell>
          <cell r="J82" t="str">
            <v>Revisar la actualización, socialización e implementación del Sistema Institucional de Evaluación de Estudiantes - SIEE, en articulación con la actualización del PEI y la normatividad vigente.</v>
          </cell>
          <cell r="K82" t="str">
            <v xml:space="preserve">JORGE WILLIAM BONILLA ROMERO </v>
          </cell>
          <cell r="L82" t="str">
            <v>JOSÉ MAXIMILIANO CHAPARRO BARRERA</v>
          </cell>
          <cell r="M82">
            <v>45807</v>
          </cell>
          <cell r="N82">
            <v>45807</v>
          </cell>
          <cell r="O82">
            <v>45807</v>
          </cell>
          <cell r="P82" t="str">
            <v>Visitas de evaluación con fines de mejoramiento</v>
          </cell>
          <cell r="Q82" t="str">
            <v>2025 05 30 CENCABO Acta de visita.pdf</v>
          </cell>
          <cell r="R82" t="str">
            <v>No se evidencia articulación ni coherencia oportuna entre el SIEE y el PEI, lo que dificulta la integración efectiva de los procesos institucionales.</v>
          </cell>
          <cell r="S82" t="str">
            <v>Se debe elaborar un plan de trabajo oportuno sobre las recuperaciones y revaloraciones señaladas en el SIEE, acorde con los periodos académicos desarrollados.</v>
          </cell>
          <cell r="T82" t="str">
            <v>No</v>
          </cell>
          <cell r="U82" t="str">
            <v>Radicar en la DLE Santa Fe - La Candelaria los avances correspondientes en julio de 2025.</v>
          </cell>
        </row>
        <row r="83">
          <cell r="A83">
            <v>1887</v>
          </cell>
          <cell r="B83">
            <v>9</v>
          </cell>
          <cell r="C83" t="str">
            <v xml:space="preserve">SANTA FE Y CANDELARIA </v>
          </cell>
          <cell r="D83" t="str">
            <v>PRIVADO</v>
          </cell>
          <cell r="E83" t="str">
            <v>Educación de Jóvenes y Adultos</v>
          </cell>
          <cell r="F83" t="str">
            <v>CENTRO_DE_CAPACITACION_BOLIVAR_CENCABO</v>
          </cell>
          <cell r="G83" t="str">
            <v>CENTRO DE CAPACITACION BOLIVAR - CENCABO</v>
          </cell>
          <cell r="H83" t="str">
            <v>Autoevaluación Institucional y Pruebas SABER 11</v>
          </cell>
          <cell r="I83" t="str">
            <v>EVALUACIÓN_CON_FINES_DE_MEJORAMIENTO.</v>
          </cell>
          <cell r="J83" t="str">
            <v>Revisar el calendario escolar, jornada escolar, la intensidad horaria mínima anual en cada nivel y las modificaciones que se realicen al mismo, de acuerdo con lo previsto en la normatividad vigente.</v>
          </cell>
          <cell r="K83" t="str">
            <v xml:space="preserve">JORGE WILLIAM BONILLA ROMERO </v>
          </cell>
          <cell r="L83" t="str">
            <v>JOSÉ MAXIMILIANO CHAPARRO BARRERA</v>
          </cell>
          <cell r="M83">
            <v>45807</v>
          </cell>
          <cell r="N83">
            <v>45807</v>
          </cell>
          <cell r="O83">
            <v>45807</v>
          </cell>
          <cell r="P83" t="str">
            <v>Visitas de evaluación con fines de mejoramiento</v>
          </cell>
          <cell r="Q83" t="str">
            <v>2025 05 30 CENCABO Acta de visita.pdf</v>
          </cell>
          <cell r="R83" t="str">
            <v>No se evidencia el cumplimiento de la intensidad horaria establecida, lo que puede afectar la calidad del proceso educativo.</v>
          </cell>
          <cell r="S83" t="str">
            <v>Se solicita revisar el cumplimiento de la intensidad horaria establecida por la normatividad vigente.</v>
          </cell>
          <cell r="T83" t="str">
            <v>No</v>
          </cell>
          <cell r="U83" t="str">
            <v>Radicar en la DLE Santa Fe - La Candelaria los avances correspondientes en julio de 2025.</v>
          </cell>
        </row>
        <row r="84">
          <cell r="A84">
            <v>1888</v>
          </cell>
          <cell r="B84">
            <v>9</v>
          </cell>
          <cell r="C84" t="str">
            <v xml:space="preserve">SANTA FE Y CANDELARIA </v>
          </cell>
          <cell r="D84" t="str">
            <v>PRIVADO</v>
          </cell>
          <cell r="E84" t="str">
            <v>Educación de Jóvenes y Adultos</v>
          </cell>
          <cell r="F84" t="str">
            <v>CENTRO_DE_CAPACITACION_BOLIVAR_CENCABO</v>
          </cell>
          <cell r="G84" t="str">
            <v>CENTRO DE CAPACITACION BOLIVAR - CENCABO</v>
          </cell>
          <cell r="H84" t="str">
            <v>Autoevaluación Institucional y Pruebas SABER 11</v>
          </cell>
          <cell r="I84" t="str">
            <v>EVALUACIÓN_CON_FINES_DE_MEJORAMIENTO.</v>
          </cell>
          <cell r="J84" t="str">
            <v>Verificar el funcionamiento del Gobierno Escolar e instancias de participación con base en la información sobre conformación reportada por la institución educativa.</v>
          </cell>
          <cell r="K84" t="str">
            <v xml:space="preserve">JORGE WILLIAM BONILLA ROMERO </v>
          </cell>
          <cell r="L84" t="str">
            <v>JOSÉ MAXIMILIANO CHAPARRO BARRERA</v>
          </cell>
          <cell r="M84">
            <v>45807</v>
          </cell>
          <cell r="N84">
            <v>45807</v>
          </cell>
          <cell r="O84">
            <v>45807</v>
          </cell>
          <cell r="P84" t="str">
            <v>Visitas de evaluación con fines de mejoramiento</v>
          </cell>
          <cell r="Q84" t="str">
            <v>2025 05 30 CENCABO Acta de visita.pdf</v>
          </cell>
          <cell r="R84" t="str">
            <v>Se observan actas de conformación del Gobierno Escolar, pero no se evidencian documentos que reflejen su gestión y seguimiento.</v>
          </cell>
          <cell r="S84" t="str">
            <v>Es necesario dejar evidencia de las acciones adelantadas en cada instancia.</v>
          </cell>
          <cell r="T84" t="str">
            <v>No</v>
          </cell>
          <cell r="U84" t="str">
            <v>Radicar en la DLE Santa Fe - La Candelaria los avances correspondientes en julio de 2025.</v>
          </cell>
        </row>
        <row r="85">
          <cell r="A85">
            <v>1889</v>
          </cell>
          <cell r="B85">
            <v>9</v>
          </cell>
          <cell r="C85" t="str">
            <v xml:space="preserve">SANTA FE Y CANDELARIA </v>
          </cell>
          <cell r="D85" t="str">
            <v>PRIVADO</v>
          </cell>
          <cell r="E85" t="str">
            <v>Educación de Jóvenes y Adultos</v>
          </cell>
          <cell r="F85" t="str">
            <v>CENTRO_DE_CAPACITACION_BOLIVAR_CENCABO</v>
          </cell>
          <cell r="G85" t="str">
            <v>CENTRO DE CAPACITACION BOLIVAR - CENCABO</v>
          </cell>
          <cell r="H85" t="str">
            <v>Autoevaluación Institucional y Pruebas SABER 11</v>
          </cell>
          <cell r="I85" t="str">
            <v>EVALUACIÓN_CON_FINES_DE_MEJORAMIENTO.</v>
          </cell>
          <cell r="J85" t="str">
            <v>Verificar las condiciones en cuanto a: la estructura administrativa, condiciones de la planta física y medios educativos adecuados.</v>
          </cell>
          <cell r="K85" t="str">
            <v xml:space="preserve">JORGE WILLIAM BONILLA ROMERO </v>
          </cell>
          <cell r="L85" t="str">
            <v>JOSÉ MAXIMILIANO CHAPARRO BARRERA</v>
          </cell>
          <cell r="M85">
            <v>45807</v>
          </cell>
          <cell r="N85">
            <v>45807</v>
          </cell>
          <cell r="O85">
            <v>45807</v>
          </cell>
          <cell r="P85" t="str">
            <v>Visitas de evaluación con fines de mejoramiento</v>
          </cell>
          <cell r="Q85" t="str">
            <v>2025 05 30 CENCABO Acta de visita.pdf</v>
          </cell>
          <cell r="R85" t="str">
            <v xml:space="preserve">Los elementos para la prestación del servicio coinciden con lo registrado en la plataforma EVI; sin embargo, se evidencian observaciones relacionadas con su mantenimiento. </v>
          </cell>
          <cell r="S85" t="str">
            <v>Adecuar los elementos de seguridad en pisos, paredes, cableado y tomacorrientes, así como gestionar la firma de convenios que clarifiquen el uso de ambientes compartidos. Además, verificar que el perfil del docente contratado sea acorde con el desarrollo de sus funciones.</v>
          </cell>
          <cell r="T85" t="str">
            <v>No</v>
          </cell>
          <cell r="U85" t="str">
            <v>Radicar en la DLE Santa Fe - La Candelaria los avances correspondientes en julio de 2025.</v>
          </cell>
        </row>
        <row r="86">
          <cell r="A86">
            <v>1890</v>
          </cell>
          <cell r="B86">
            <v>10</v>
          </cell>
          <cell r="C86" t="str">
            <v xml:space="preserve">SANTA FE Y CANDELARIA </v>
          </cell>
          <cell r="D86" t="str">
            <v>OFICIAL</v>
          </cell>
          <cell r="E86" t="str">
            <v>EPBM</v>
          </cell>
          <cell r="F86" t="str">
            <v>COLEGIO_INTEGRADA_LA_CANDELARIA_IED</v>
          </cell>
          <cell r="G86" t="str">
            <v>LA CONCORDIA</v>
          </cell>
          <cell r="H86" t="str">
            <v>Convivencia escolar</v>
          </cell>
          <cell r="I86" t="str">
            <v>SEGUIMIENTO_Y_SUPERVISIÓN.</v>
          </cell>
          <cell r="J86" t="str">
            <v>Proponer estrategias en la formulación, verificar su elaboración y realizar seguimiento semestral al desarrollo de  las acciones establecidas en los planes de mejoramiento por pruebas SABER 11 de los establecimientos de educación formal.</v>
          </cell>
          <cell r="K86" t="str">
            <v xml:space="preserve">JORGE WILLIAM BONILLA ROMERO </v>
          </cell>
          <cell r="L86" t="str">
            <v>JOSÉ MAXIMILIANO CHAPARRO BARRERA</v>
          </cell>
          <cell r="M86">
            <v>45874</v>
          </cell>
          <cell r="N86">
            <v>45874</v>
          </cell>
          <cell r="O86">
            <v>45874</v>
          </cell>
          <cell r="P86" t="str">
            <v>Visitas de evaluación con fines de mejoramiento</v>
          </cell>
          <cell r="Q86" t="str">
            <v>2025 08 05 LA CANDELARIA IED Acta de visita</v>
          </cell>
          <cell r="R86" t="str">
            <v>Se encuentra que la IED desarrolla estrategias de fortalecimiento de habilidades a través de lo que denomina las 3 S`s (solo, sentado y en silencio).</v>
          </cell>
          <cell r="S86" t="str">
            <v xml:space="preserve">Se sugiere continuar con el proceso de validación de resultados, en aras trabajar con el diagnóstico actualizado del colegio.   </v>
          </cell>
          <cell r="T86" t="str">
            <v>No</v>
          </cell>
          <cell r="U86" t="str">
            <v xml:space="preserve">Análisis acorde a los próximos resultados. </v>
          </cell>
        </row>
        <row r="87">
          <cell r="A87">
            <v>1891</v>
          </cell>
          <cell r="B87">
            <v>10</v>
          </cell>
          <cell r="C87" t="str">
            <v xml:space="preserve">SANTA FE Y CANDELARIA </v>
          </cell>
          <cell r="D87" t="str">
            <v>OFICIAL</v>
          </cell>
          <cell r="E87" t="str">
            <v>EPBM</v>
          </cell>
          <cell r="F87" t="str">
            <v>COLEGIO_INTEGRADA_LA_CANDELARIA_IED</v>
          </cell>
          <cell r="G87" t="str">
            <v>LA CONCORDIA</v>
          </cell>
          <cell r="H87" t="str">
            <v>Convivencia escolar</v>
          </cell>
          <cell r="I87" t="str">
            <v>SEGUIMIENTO_Y_SUPERVISIÓN.</v>
          </cell>
          <cell r="J87" t="str">
            <v xml:space="preserve">Verificar la implementación por parte de los colegios, de acciones realizadas para la prevención y atención de las situaciones de convivencia en el entorno escolar, según lo establecido en la Directiva 01 de 2022 del MEN. </v>
          </cell>
          <cell r="K87" t="str">
            <v xml:space="preserve">JORGE WILLIAM BONILLA ROMERO </v>
          </cell>
          <cell r="L87" t="str">
            <v>JOSÉ MAXIMILIANO CHAPARRO BARRERA</v>
          </cell>
          <cell r="M87">
            <v>45874</v>
          </cell>
          <cell r="N87">
            <v>45874</v>
          </cell>
          <cell r="O87">
            <v>45874</v>
          </cell>
          <cell r="P87" t="str">
            <v>Visitas de evaluación con fines de mejoramiento</v>
          </cell>
          <cell r="Q87" t="str">
            <v>2025 08 05 LA CANDELARIA IED Acta de visita</v>
          </cell>
          <cell r="R87" t="str">
            <v xml:space="preserve">Se evidencia seguimiento constante a través de diferentes instancias en el colegio, acompañamiento con OCE y desarrollo de talleres con estudiantes.  </v>
          </cell>
          <cell r="S87" t="str">
            <v>Se sugiere estandarizar documento de índice de conflicto por semestre según el plan estratégico institucional.</v>
          </cell>
          <cell r="T87" t="str">
            <v>No</v>
          </cell>
          <cell r="U87" t="str">
            <v>Seguimiento según novedad.</v>
          </cell>
        </row>
        <row r="88">
          <cell r="A88">
            <v>1892</v>
          </cell>
          <cell r="B88">
            <v>10</v>
          </cell>
          <cell r="C88" t="str">
            <v xml:space="preserve">SANTA FE Y CANDELARIA </v>
          </cell>
          <cell r="D88" t="str">
            <v>OFICIAL</v>
          </cell>
          <cell r="E88" t="str">
            <v>EPBM</v>
          </cell>
          <cell r="F88" t="str">
            <v>COLEGIO_INTEGRADA_LA_CANDELARIA_IED</v>
          </cell>
          <cell r="G88" t="str">
            <v>LA CONCORDIA</v>
          </cell>
          <cell r="H88" t="str">
            <v>Convivencia escolar</v>
          </cell>
          <cell r="I88" t="str">
            <v>SEGUIMIENTO_Y_SUPERVISIÓN.</v>
          </cell>
          <cell r="J8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8" t="str">
            <v xml:space="preserve">JORGE WILLIAM BONILLA ROMERO </v>
          </cell>
          <cell r="L88" t="str">
            <v>JOSÉ MAXIMILIANO CHAPARRO BARRERA</v>
          </cell>
          <cell r="M88">
            <v>45874</v>
          </cell>
          <cell r="N88">
            <v>45874</v>
          </cell>
          <cell r="O88">
            <v>45874</v>
          </cell>
          <cell r="P88" t="str">
            <v>Visitas de evaluación con fines de mejoramiento</v>
          </cell>
          <cell r="Q88" t="str">
            <v>2025 08 05 LA CANDELARIA IED Acta de visita</v>
          </cell>
          <cell r="R88" t="str">
            <v>Se evidencia implementación de las acciones requeridas para la conformación de los planes de ajustes razonable.</v>
          </cell>
          <cell r="S88" t="str">
            <v>No se generan recomendaciones más allá de continuar con la socialización y construcción colectiva de los planes.</v>
          </cell>
          <cell r="T88" t="str">
            <v>No</v>
          </cell>
          <cell r="U88" t="str">
            <v>Se hará seguimiento en la atención de casos.</v>
          </cell>
        </row>
        <row r="89">
          <cell r="A89">
            <v>1893</v>
          </cell>
          <cell r="B89">
            <v>10</v>
          </cell>
          <cell r="C89" t="str">
            <v xml:space="preserve">SANTA FE Y CANDELARIA </v>
          </cell>
          <cell r="D89" t="str">
            <v>OFICIAL</v>
          </cell>
          <cell r="E89" t="str">
            <v>EPBM</v>
          </cell>
          <cell r="F89" t="str">
            <v>COLEGIO_INTEGRADA_LA_CANDELARIA_IED</v>
          </cell>
          <cell r="G89" t="str">
            <v>LA CONCORDIA</v>
          </cell>
          <cell r="H89" t="str">
            <v>Convivencia escolar</v>
          </cell>
          <cell r="I89" t="str">
            <v>EVALUACIÓN_CON_FINES_DE_MEJORAMIENTO.</v>
          </cell>
          <cell r="J8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9" t="str">
            <v xml:space="preserve">JORGE WILLIAM BONILLA ROMERO </v>
          </cell>
          <cell r="L89" t="str">
            <v>JOSÉ MAXIMILIANO CHAPARRO BARRERA</v>
          </cell>
          <cell r="M89">
            <v>45874</v>
          </cell>
          <cell r="N89">
            <v>45874</v>
          </cell>
          <cell r="O89">
            <v>45874</v>
          </cell>
          <cell r="P89" t="str">
            <v>Visitas de evaluación con fines de mejoramiento</v>
          </cell>
          <cell r="Q89" t="str">
            <v>2025 08 05 LA CANDELARIA IED Acta de visita</v>
          </cell>
          <cell r="R89" t="str">
            <v>Se evidencia desarrollo constante de construcción y evaluación del Manual.</v>
          </cell>
          <cell r="S89" t="str">
            <v xml:space="preserve">Se sugiere genarar registro de las atenciones realizadas a la comunidad educativa. </v>
          </cell>
          <cell r="T89" t="str">
            <v>No</v>
          </cell>
          <cell r="U89" t="str">
            <v>Se realizará seguimiento a la actividad en caso de presentarse alguna queja.</v>
          </cell>
        </row>
        <row r="90">
          <cell r="A90">
            <v>1894</v>
          </cell>
          <cell r="B90">
            <v>10</v>
          </cell>
          <cell r="C90" t="str">
            <v xml:space="preserve">SANTA FE Y CANDELARIA </v>
          </cell>
          <cell r="D90" t="str">
            <v>OFICIAL</v>
          </cell>
          <cell r="E90" t="str">
            <v>EPBM</v>
          </cell>
          <cell r="F90" t="str">
            <v>COLEGIO_INTEGRADA_LA_CANDELARIA_IED</v>
          </cell>
          <cell r="G90" t="str">
            <v>LA CONCORDIA</v>
          </cell>
          <cell r="H90" t="str">
            <v>Convivencia escolar</v>
          </cell>
          <cell r="I90" t="str">
            <v>EVALUACIÓN_CON_FINES_DE_MEJORAMIENTO.</v>
          </cell>
          <cell r="J90" t="str">
            <v>Revisar la actualización, socialización e implementación del Sistema Institucional de Evaluación de Estudiantes - SIEE, en articulación con la actualización del PEI y la normatividad vigente.</v>
          </cell>
          <cell r="K90" t="str">
            <v xml:space="preserve">JORGE WILLIAM BONILLA ROMERO </v>
          </cell>
          <cell r="L90" t="str">
            <v>JOSÉ MAXIMILIANO CHAPARRO BARRERA</v>
          </cell>
          <cell r="M90">
            <v>45874</v>
          </cell>
          <cell r="N90">
            <v>45874</v>
          </cell>
          <cell r="O90">
            <v>45874</v>
          </cell>
          <cell r="P90" t="str">
            <v>Visitas de evaluación con fines de mejoramiento</v>
          </cell>
          <cell r="Q90" t="str">
            <v>2025 08 05 LA CANDELARIA IED Acta de visita</v>
          </cell>
          <cell r="R90" t="str">
            <v>Se evidencia un SIEE acorde con los reportes de calificaciones, actas de comisión de evaluación y actas de consejo académico.</v>
          </cell>
          <cell r="S90" t="str">
            <v xml:space="preserve">La IED continuara generando acciones de mejora continua sobre el SIEE, en función del desarrollo de aprendizaje de los estudiantes. </v>
          </cell>
          <cell r="T90" t="str">
            <v>No</v>
          </cell>
          <cell r="U90" t="str">
            <v>Realizar la modificación al SIEE en caso de que la institucion educativa lo requiera.</v>
          </cell>
        </row>
        <row r="91">
          <cell r="A91">
            <v>1895</v>
          </cell>
          <cell r="B91">
            <v>10</v>
          </cell>
          <cell r="C91" t="str">
            <v xml:space="preserve">SANTA FE Y CANDELARIA </v>
          </cell>
          <cell r="D91" t="str">
            <v>OFICIAL</v>
          </cell>
          <cell r="E91" t="str">
            <v>EPBM</v>
          </cell>
          <cell r="F91" t="str">
            <v>COLEGIO_INTEGRADA_LA_CANDELARIA_IED</v>
          </cell>
          <cell r="G91" t="str">
            <v>LA CONCORDIA</v>
          </cell>
          <cell r="H91" t="str">
            <v>Convivencia escolar</v>
          </cell>
          <cell r="I91" t="str">
            <v>EVALUACIÓN_CON_FINES_DE_MEJORAMIENTO.</v>
          </cell>
          <cell r="J91" t="str">
            <v>Verificar el funcionamiento del Gobierno Escolar e instancias de participación con base en la información sobre conformación reportada por la institución educativa.</v>
          </cell>
          <cell r="K91" t="str">
            <v xml:space="preserve">JORGE WILLIAM BONILLA ROMERO </v>
          </cell>
          <cell r="L91" t="str">
            <v>JOSÉ MAXIMILIANO CHAPARRO BARRERA</v>
          </cell>
          <cell r="M91">
            <v>45874</v>
          </cell>
          <cell r="N91">
            <v>45874</v>
          </cell>
          <cell r="O91">
            <v>45874</v>
          </cell>
          <cell r="P91" t="str">
            <v>Visitas de evaluación con fines de mejoramiento</v>
          </cell>
          <cell r="Q91" t="str">
            <v>2025 08 05 LA CANDELARIA IED Acta de visita</v>
          </cell>
          <cell r="R91" t="str">
            <v>Se evidencia reporte de las actas de conformación y ejecución de gobierno escolar.</v>
          </cell>
          <cell r="S91" t="str">
            <v>La IED continuará con la gestión de promoción y desarrollo de actividades de las instancias de participación.</v>
          </cell>
          <cell r="T91" t="str">
            <v>No</v>
          </cell>
          <cell r="U91" t="str">
            <v>Se hará seguimiento en la siguiente vigencia.</v>
          </cell>
        </row>
        <row r="92">
          <cell r="A92">
            <v>1896</v>
          </cell>
          <cell r="B92">
            <v>10</v>
          </cell>
          <cell r="C92" t="str">
            <v xml:space="preserve">SANTA FE Y CANDELARIA </v>
          </cell>
          <cell r="D92" t="str">
            <v>OFICIAL</v>
          </cell>
          <cell r="E92" t="str">
            <v>EPBM</v>
          </cell>
          <cell r="F92" t="str">
            <v>COLEGIO_INTEGRADA_LA_CANDELARIA_IED</v>
          </cell>
          <cell r="G92" t="str">
            <v>LA CONCORDIA</v>
          </cell>
          <cell r="H92" t="str">
            <v>Convivencia escolar</v>
          </cell>
          <cell r="I92" t="str">
            <v>EVALUACIÓN_CON_FINES_DE_MEJORAMIENTO.</v>
          </cell>
          <cell r="J92" t="str">
            <v>Verificar las condiciones en cuanto a: la estructura administrativa, condiciones de la planta física y medios educativos adecuados.</v>
          </cell>
          <cell r="K92" t="str">
            <v xml:space="preserve">JORGE WILLIAM BONILLA ROMERO </v>
          </cell>
          <cell r="L92" t="str">
            <v>JOSÉ MAXIMILIANO CHAPARRO BARRERA</v>
          </cell>
          <cell r="M92">
            <v>45874</v>
          </cell>
          <cell r="N92">
            <v>45874</v>
          </cell>
          <cell r="O92">
            <v>45874</v>
          </cell>
          <cell r="P92" t="str">
            <v>Visitas de evaluación con fines de mejoramiento</v>
          </cell>
          <cell r="Q92" t="str">
            <v>2025 08 05 LA CANDELARIA IED Acta de visita</v>
          </cell>
          <cell r="R92" t="str">
            <v xml:space="preserve">Se evidencia gestión para el funcionamiento adecuado en desarrollo de la prestación del servicio educativo.  Observando una parte de las instalaciones en obra, aislada de la circulación de estudiantes.  </v>
          </cell>
          <cell r="S92" t="str">
            <v>Adelantar el trámite para la actualización de nomenclatura SEDE A: CRA 2 # 12 C 30 y SEDE C Inmaculada: CRA 2 # 17 - 55 en el RCO.</v>
          </cell>
          <cell r="T92" t="str">
            <v>No</v>
          </cell>
          <cell r="U92" t="str">
            <v>Se solicita hacer entrega de los avances sobre las acciones observadas dentro de los 30 días siguientes a la visita.</v>
          </cell>
        </row>
        <row r="93">
          <cell r="A93">
            <v>1898</v>
          </cell>
          <cell r="B93">
            <v>11</v>
          </cell>
          <cell r="C93" t="str">
            <v xml:space="preserve">SANTA FE Y CANDELARIA </v>
          </cell>
          <cell r="D93" t="str">
            <v>OFICIAL</v>
          </cell>
          <cell r="E93" t="str">
            <v>EPBM</v>
          </cell>
          <cell r="F93" t="str">
            <v>COLEGIO_AULAS_COLOMBIANAS_SAN_LUIS_IED</v>
          </cell>
          <cell r="G93" t="str">
            <v>AULAS COLOMBIANAS EL CONSUELO</v>
          </cell>
          <cell r="H93" t="str">
            <v>Convivencia escolar</v>
          </cell>
          <cell r="I93" t="str">
            <v>SEGUIMIENTO_Y_SUPERVISIÓN.</v>
          </cell>
          <cell r="J93" t="str">
            <v>Proponer estrategias en la formulación, verificar su elaboración y realizar seguimiento semestral al desarrollo de  las acciones establecidas en los planes de mejoramiento por pruebas SABER 11 de los establecimientos de educación formal.</v>
          </cell>
          <cell r="K93" t="str">
            <v>DAMARIS RUT CÁRDENAS MORENO</v>
          </cell>
          <cell r="L93" t="str">
            <v xml:space="preserve">JORGE WILLIAM BONILLA ROMERO </v>
          </cell>
          <cell r="M93">
            <v>45881</v>
          </cell>
          <cell r="N93">
            <v>45881</v>
          </cell>
          <cell r="O93">
            <v>45881</v>
          </cell>
          <cell r="P93" t="str">
            <v>Visitas de evaluación con fines de mejoramiento</v>
          </cell>
          <cell r="Q93" t="str">
            <v>2025 08 12 ACTA VISITA PRIORIZADA -AULAS COLOMBIANAS.pdf</v>
          </cell>
          <cell r="R93" t="str">
            <v>EL programa desarrollado corresponde a una estrategia de la entidad, pero no es una herramienta propia de la institución educativa para generar mejoramiento en las pruebas saber.</v>
          </cell>
          <cell r="S93" t="str">
            <v xml:space="preserve">Formular y proponer estrategia que permita análisis y seguimiento de los resultados de Pruebas saber aprobado por Consejo académico y Consejo Directivo. </v>
          </cell>
          <cell r="T93" t="str">
            <v>Si</v>
          </cell>
          <cell r="U93" t="str">
            <v>El ELIV verificará la información aportada por la IED a noviembre de 2025.</v>
          </cell>
        </row>
        <row r="94">
          <cell r="A94">
            <v>1899</v>
          </cell>
          <cell r="B94">
            <v>11</v>
          </cell>
          <cell r="C94" t="str">
            <v xml:space="preserve">SANTA FE Y CANDELARIA </v>
          </cell>
          <cell r="D94" t="str">
            <v>OFICIAL</v>
          </cell>
          <cell r="E94" t="str">
            <v>EPBM</v>
          </cell>
          <cell r="F94" t="str">
            <v>COLEGIO_AULAS_COLOMBIANAS_SAN_LUIS_IED</v>
          </cell>
          <cell r="G94" t="str">
            <v>AULAS COLOMBIANAS EL CONSUELO</v>
          </cell>
          <cell r="H94" t="str">
            <v>Convivencia escolar</v>
          </cell>
          <cell r="I94" t="str">
            <v>SEGUIMIENTO_Y_SUPERVISIÓN.</v>
          </cell>
          <cell r="J94" t="str">
            <v xml:space="preserve">Verificar la implementación por parte de los colegios, de acciones realizadas para la prevención y atención de las situaciones de convivencia en el entorno escolar, según lo establecido en la Directiva 01 de 2022 del MEN. </v>
          </cell>
          <cell r="K94" t="str">
            <v>DAMARIS RUT CÁRDENAS MORENO</v>
          </cell>
          <cell r="L94" t="str">
            <v xml:space="preserve">JORGE WILLIAM BONILLA ROMERO </v>
          </cell>
          <cell r="M94">
            <v>45881</v>
          </cell>
          <cell r="N94">
            <v>45881</v>
          </cell>
          <cell r="O94">
            <v>45881</v>
          </cell>
          <cell r="P94" t="str">
            <v>Visitas de evaluación con fines de mejoramiento</v>
          </cell>
          <cell r="Q94" t="str">
            <v>2025 08 12 ACTA VISITA PRIORIZADA -AULAS COLOMBIANAS.pdf</v>
          </cell>
          <cell r="R94" t="str">
            <v xml:space="preserve">Si bien las acciones de verificación documental de contratación corresponden a nivel central (oficina de personal), por lo demás la institución realiza los correspondientes reportes a Sistema de Alertas y programa actividades de prevención. </v>
          </cell>
          <cell r="S94" t="str">
            <v xml:space="preserve">Continuar realizando los reportes y realizando las actividades de prevención relacionadas. </v>
          </cell>
          <cell r="T94" t="str">
            <v>No</v>
          </cell>
          <cell r="U94" t="str">
            <v xml:space="preserve">En caso de presentarse alguna queja o situación reportada, se realizará seguimiento a la implementación de la Directiva. </v>
          </cell>
        </row>
        <row r="95">
          <cell r="A95">
            <v>1900</v>
          </cell>
          <cell r="B95">
            <v>11</v>
          </cell>
          <cell r="C95" t="str">
            <v xml:space="preserve">SANTA FE Y CANDELARIA </v>
          </cell>
          <cell r="D95" t="str">
            <v>OFICIAL</v>
          </cell>
          <cell r="E95" t="str">
            <v>EPBM</v>
          </cell>
          <cell r="F95" t="str">
            <v>COLEGIO_AULAS_COLOMBIANAS_SAN_LUIS_IED</v>
          </cell>
          <cell r="G95" t="str">
            <v>AULAS COLOMBIANAS EL CONSUELO</v>
          </cell>
          <cell r="H95" t="str">
            <v>Convivencia escolar</v>
          </cell>
          <cell r="I95" t="str">
            <v>SEGUIMIENTO_Y_SUPERVISIÓN.</v>
          </cell>
          <cell r="J9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5" t="str">
            <v>DAMARIS RUT CÁRDENAS MORENO</v>
          </cell>
          <cell r="L95" t="str">
            <v xml:space="preserve">JORGE WILLIAM BONILLA ROMERO </v>
          </cell>
          <cell r="M95">
            <v>45881</v>
          </cell>
          <cell r="N95">
            <v>45881</v>
          </cell>
          <cell r="O95">
            <v>45881</v>
          </cell>
          <cell r="P95" t="str">
            <v>Visitas de evaluación con fines de mejoramiento</v>
          </cell>
          <cell r="Q95" t="str">
            <v>2025 08 12 ACTA VISITA PRIORIZADA -AULAS COLOMBIANAS.pdf</v>
          </cell>
          <cell r="R95" t="str">
            <v>El formato que esta manejando el colegio ha tenido modificaciones al formato establecido por el MEN. Actualmente el colegio se encuentra de fortalecimiento de procesos para la atención adecuada de los estudiantes con diagnostico y con presunción.</v>
          </cell>
          <cell r="S95" t="str">
            <v xml:space="preserve">Se solicita al colegio realizar los ajustes por asignatura con las estrategias evaluativas de cada asignatura por periodo con los ajustes razonables requeridos. </v>
          </cell>
          <cell r="T95" t="str">
            <v>Si</v>
          </cell>
          <cell r="U95" t="str">
            <v xml:space="preserve">Se solicita plan de mejoramiento para el 07 de noviembre de 2025. Se realizara seguimiento en vigencia 2026, puesto que no hay radicación de plan de mejoramiento en 2025 por parte de la institución educativa. </v>
          </cell>
        </row>
        <row r="96">
          <cell r="A96">
            <v>1901</v>
          </cell>
          <cell r="B96">
            <v>11</v>
          </cell>
          <cell r="C96" t="str">
            <v xml:space="preserve">SANTA FE Y CANDELARIA </v>
          </cell>
          <cell r="D96" t="str">
            <v>OFICIAL</v>
          </cell>
          <cell r="E96" t="str">
            <v>EPBM</v>
          </cell>
          <cell r="F96" t="str">
            <v>COLEGIO_AULAS_COLOMBIANAS_SAN_LUIS_IED</v>
          </cell>
          <cell r="G96" t="str">
            <v>AULAS COLOMBIANAS EL CONSUELO</v>
          </cell>
          <cell r="H96" t="str">
            <v>Convivencia escolar</v>
          </cell>
          <cell r="I96" t="str">
            <v>EVALUACIÓN_CON_FINES_DE_MEJORAMIENTO.</v>
          </cell>
          <cell r="J9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6" t="str">
            <v>DAMARIS RUT CÁRDENAS MORENO</v>
          </cell>
          <cell r="L96" t="str">
            <v xml:space="preserve">JORGE WILLIAM BONILLA ROMERO </v>
          </cell>
          <cell r="M96">
            <v>45881</v>
          </cell>
          <cell r="N96">
            <v>45881</v>
          </cell>
          <cell r="O96">
            <v>45881</v>
          </cell>
          <cell r="P96" t="str">
            <v>Visitas de evaluación con fines de mejoramiento</v>
          </cell>
          <cell r="Q96" t="str">
            <v>2025 08 12 ACTA VISITA PRIORIZADA -AULAS COLOMBIANAS.pdf</v>
          </cell>
          <cell r="R96" t="str">
            <v>La ultima actualización de Manual de convivencia se desarrolla en 2023, lo existente en la actualidad es un propuesta que aún no ha sido trabajada con la comunidad educativa.</v>
          </cell>
          <cell r="S9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T96" t="str">
            <v>Si</v>
          </cell>
          <cell r="U96" t="str">
            <v xml:space="preserve">Se solicita plan de mejoramiento para el 07 de noviembre de 2025.Se realizara seguimiento en vigencia 2026, puesto que no hay radicación de plan de mejoramiento en 2025 por parte de la institución educativa. </v>
          </cell>
        </row>
        <row r="97">
          <cell r="A97">
            <v>1902</v>
          </cell>
          <cell r="B97">
            <v>11</v>
          </cell>
          <cell r="C97" t="str">
            <v xml:space="preserve">SANTA FE Y CANDELARIA </v>
          </cell>
          <cell r="D97" t="str">
            <v>OFICIAL</v>
          </cell>
          <cell r="E97" t="str">
            <v>EPBM</v>
          </cell>
          <cell r="F97" t="str">
            <v>COLEGIO_AULAS_COLOMBIANAS_SAN_LUIS_IED</v>
          </cell>
          <cell r="G97" t="str">
            <v>AULAS COLOMBIANAS EL CONSUELO</v>
          </cell>
          <cell r="H97" t="str">
            <v>Convivencia escolar</v>
          </cell>
          <cell r="I97" t="str">
            <v>EVALUACIÓN_CON_FINES_DE_MEJORAMIENTO.</v>
          </cell>
          <cell r="J97" t="str">
            <v>Revisar la actualización, socialización e implementación del Sistema Institucional de Evaluación de Estudiantes - SIEE, en articulación con la actualización del PEI y la normatividad vigente.</v>
          </cell>
          <cell r="K97" t="str">
            <v>DAMARIS RUT CÁRDENAS MORENO</v>
          </cell>
          <cell r="L97" t="str">
            <v xml:space="preserve">JORGE WILLIAM BONILLA ROMERO </v>
          </cell>
          <cell r="M97">
            <v>45881</v>
          </cell>
          <cell r="N97">
            <v>45881</v>
          </cell>
          <cell r="O97">
            <v>45881</v>
          </cell>
          <cell r="P97" t="str">
            <v>Visitas de evaluación con fines de mejoramiento</v>
          </cell>
          <cell r="Q97" t="str">
            <v>2025 08 12 ACTA VISITA PRIORIZADA -AULAS COLOMBIANAS.pdf</v>
          </cell>
          <cell r="R97" t="str">
            <v xml:space="preserve">Documento del año 2023, en proceso de actualización. </v>
          </cell>
          <cell r="S97" t="str">
            <v>Revisar la actualización, socialización e implementación del Sistema Institucional de Evaluación de Estudiantes - SIEE, en articulación con la actualización del PEI y la normatividad vigente.</v>
          </cell>
          <cell r="T97" t="str">
            <v>Si</v>
          </cell>
          <cell r="U97" t="str">
            <v xml:space="preserve">Se solicita plan de mejoramiento para el 07 de noviembre de 2025. Se realizara seguimiento en vigencia 2026, puesto que no hay radicación de plan de mejoramiento en 2025 por parte de la institución educativa. </v>
          </cell>
        </row>
        <row r="98">
          <cell r="A98">
            <v>1903</v>
          </cell>
          <cell r="B98">
            <v>11</v>
          </cell>
          <cell r="C98" t="str">
            <v xml:space="preserve">SANTA FE Y CANDELARIA </v>
          </cell>
          <cell r="D98" t="str">
            <v>OFICIAL</v>
          </cell>
          <cell r="E98" t="str">
            <v>EPBM</v>
          </cell>
          <cell r="F98" t="str">
            <v>COLEGIO_AULAS_COLOMBIANAS_SAN_LUIS_IED</v>
          </cell>
          <cell r="G98" t="str">
            <v>AULAS COLOMBIANAS EL CONSUELO</v>
          </cell>
          <cell r="H98" t="str">
            <v>Convivencia escolar</v>
          </cell>
          <cell r="I98" t="str">
            <v>EVALUACIÓN_CON_FINES_DE_MEJORAMIENTO.</v>
          </cell>
          <cell r="J98" t="str">
            <v>Verificar el funcionamiento del Gobierno Escolar e instancias de participación con base en la información sobre conformación reportada por la institución educativa.</v>
          </cell>
          <cell r="K98" t="str">
            <v>DAMARIS RUT CÁRDENAS MORENO</v>
          </cell>
          <cell r="L98" t="str">
            <v xml:space="preserve">JORGE WILLIAM BONILLA ROMERO </v>
          </cell>
          <cell r="M98">
            <v>45881</v>
          </cell>
          <cell r="N98">
            <v>45881</v>
          </cell>
          <cell r="O98">
            <v>45881</v>
          </cell>
          <cell r="P98" t="str">
            <v>Visitas de evaluación con fines de mejoramiento</v>
          </cell>
          <cell r="Q98" t="str">
            <v>2025 08 12 ACTA VISITA PRIORIZADA -AULAS COLOMBIANAS.pdf</v>
          </cell>
          <cell r="R98" t="str">
            <v xml:space="preserve">Se encuentran actas de conformación y reuniones periódicas de los diferentes estamentos del Gobierno Escolar. </v>
          </cell>
          <cell r="S98" t="str">
            <v>Se solicita institución completar la información en aplicativo SAE, puesto que si bien en actas en físico se encuentra la información de manera adecuada, es necesario generar el reporte completo en aplicativo.</v>
          </cell>
          <cell r="T98" t="str">
            <v>Si</v>
          </cell>
          <cell r="U98" t="str">
            <v xml:space="preserve">Se solicita plan de mejoramiento para el 07 de noviembre de 2025.Se realizara seguimiento en vigencia 2026, puesto que no hay radicación de plan de mejoramiento en 2025 por parte de la institución educativa. </v>
          </cell>
        </row>
        <row r="99">
          <cell r="A99">
            <v>1904</v>
          </cell>
          <cell r="B99">
            <v>11</v>
          </cell>
          <cell r="C99" t="str">
            <v xml:space="preserve">SANTA FE Y CANDELARIA </v>
          </cell>
          <cell r="D99" t="str">
            <v>OFICIAL</v>
          </cell>
          <cell r="E99" t="str">
            <v>EPBM</v>
          </cell>
          <cell r="F99" t="str">
            <v>COLEGIO_AULAS_COLOMBIANAS_SAN_LUIS_IED</v>
          </cell>
          <cell r="G99" t="str">
            <v>AULAS COLOMBIANAS EL CONSUELO</v>
          </cell>
          <cell r="H99" t="str">
            <v>Convivencia escolar</v>
          </cell>
          <cell r="I99" t="str">
            <v>EVALUACIÓN_CON_FINES_DE_MEJORAMIENTO.</v>
          </cell>
          <cell r="J99" t="str">
            <v>Verificar las condiciones en cuanto a: la estructura administrativa, condiciones de la planta física y medios educativos adecuados.</v>
          </cell>
          <cell r="K99" t="str">
            <v>DAMARIS RUT CÁRDENAS MORENO</v>
          </cell>
          <cell r="L99" t="str">
            <v xml:space="preserve">JORGE WILLIAM BONILLA ROMERO </v>
          </cell>
          <cell r="M99">
            <v>45881</v>
          </cell>
          <cell r="N99">
            <v>45881</v>
          </cell>
          <cell r="O99">
            <v>45881</v>
          </cell>
          <cell r="P99" t="str">
            <v>Visitas de evaluación con fines de mejoramiento</v>
          </cell>
          <cell r="Q99" t="str">
            <v>2025 08 12 ACTA VISITA PRIORIZADA -AULAS COLOMBIANAS.pdf</v>
          </cell>
          <cell r="R99" t="str">
            <v>En sede C los espacios son suficientes sin embargo requieren mejoras en la dotación. Sede A tiene necesidades de mobiliario de Dirección de dotaciones. Sede B y Sede C se requiere servicio de internet. Sede A Y B no son espacios adaptados para estudiantes con movilidad reducida.</v>
          </cell>
          <cell r="S99" t="str">
            <v xml:space="preserve">Se sugiere al colegio gestionar con la SED adelantar diligencias en buscar de las mejores de la planta física de las distintas sedes. </v>
          </cell>
          <cell r="T99" t="str">
            <v>No</v>
          </cell>
          <cell r="U99" t="str">
            <v xml:space="preserve">Se solicita plan de mejoramiento para el 07 de noviembre de 2025.Se realizara seguimiento en vigencia 2026, puesto que no hay radicación de plan de mejoramiento en 2025 por parte de la institución educativa. </v>
          </cell>
        </row>
        <row r="100">
          <cell r="A100">
            <v>1905</v>
          </cell>
          <cell r="B100">
            <v>12</v>
          </cell>
          <cell r="C100" t="str">
            <v xml:space="preserve">SANTA FE Y CANDELARIA </v>
          </cell>
          <cell r="D100" t="str">
            <v>PRIVADO</v>
          </cell>
          <cell r="E100" t="str">
            <v>EPBM</v>
          </cell>
          <cell r="F100" t="str">
            <v>LICEO_JULIO_CESAR_GARCIA</v>
          </cell>
          <cell r="G100" t="str">
            <v>LICEO JULIO CESAR GARCIA</v>
          </cell>
          <cell r="H100" t="str">
            <v>Autoevaluación Institucional y Pruebas SABER 11</v>
          </cell>
          <cell r="I100" t="str">
            <v>SEGUIMIENTO_Y_SUPERVISIÓN.</v>
          </cell>
          <cell r="J100" t="str">
            <v>Realizar visitas para verificar la información registrada sobre la autoevaluación institucional en el aplicativo EVI, a los establecimientos de educación formal no oficial.</v>
          </cell>
          <cell r="K100" t="str">
            <v>DAMARIS RUT CÁRDENAS MORENO</v>
          </cell>
          <cell r="L100" t="str">
            <v xml:space="preserve">JORGE WILLIAM BONILLA ROMERO </v>
          </cell>
          <cell r="M100">
            <v>45825</v>
          </cell>
          <cell r="N100">
            <v>45825</v>
          </cell>
          <cell r="O100">
            <v>45825</v>
          </cell>
          <cell r="P100" t="str">
            <v>Visitas de evaluación con fines de mejoramiento</v>
          </cell>
          <cell r="Q100" t="str">
            <v>2025 06 17 Liceo Julio Cesar García Acta de visita.pdf</v>
          </cell>
          <cell r="R100" t="str">
            <v>En recorrido se encuentra coincidencia de espacios físicos con lo reportado en EVI, también información sobre contratación docente y pagos de seguridad social.</v>
          </cell>
          <cell r="S100" t="str">
            <v>Evaluar financieramente adaptación de espacios para personas con discapacidad</v>
          </cell>
          <cell r="T100" t="str">
            <v>No</v>
          </cell>
          <cell r="U100" t="str">
            <v>En revisión de autoevaluación de aplicativo EVI para vigencia 2026, se realizará seguimiento de la institución.</v>
          </cell>
        </row>
        <row r="101">
          <cell r="A101">
            <v>1906</v>
          </cell>
          <cell r="B101">
            <v>12</v>
          </cell>
          <cell r="C101" t="str">
            <v xml:space="preserve">SANTA FE Y CANDELARIA </v>
          </cell>
          <cell r="D101" t="str">
            <v>PRIVADO</v>
          </cell>
          <cell r="E101" t="str">
            <v>EPBM</v>
          </cell>
          <cell r="F101" t="str">
            <v>LICEO_JULIO_CESAR_GARCIA</v>
          </cell>
          <cell r="G101" t="str">
            <v>LICEO JULIO CESAR GARCIA</v>
          </cell>
          <cell r="H101" t="str">
            <v>Autoevaluación Institucional y Pruebas SABER 11</v>
          </cell>
          <cell r="I101" t="str">
            <v>SEGUIMIENTO_Y_SUPERVISIÓN.</v>
          </cell>
          <cell r="J101" t="str">
            <v>Proponer estrategias en la formulación, verificar su elaboración y realizar seguimiento semestral al desarrollo de  las acciones establecidas en los planes de mejoramiento por pruebas SABER 11 de los establecimientos de educación formal.</v>
          </cell>
          <cell r="K101" t="str">
            <v>DAMARIS RUT CÁRDENAS MORENO</v>
          </cell>
          <cell r="L101" t="str">
            <v xml:space="preserve">JORGE WILLIAM BONILLA ROMERO </v>
          </cell>
          <cell r="M101">
            <v>45825</v>
          </cell>
          <cell r="N101">
            <v>45825</v>
          </cell>
          <cell r="O101">
            <v>45825</v>
          </cell>
          <cell r="P101" t="str">
            <v>Visitas de evaluación con fines de mejoramiento</v>
          </cell>
          <cell r="Q101" t="str">
            <v>2025 06 17 Liceo Julio Cesar García Acta de visita.pdf</v>
          </cell>
          <cell r="R101" t="str">
            <v xml:space="preserve">Existen acciones dispersas no articuladas al PEI, no como una política de la institución educativa pero hacen parte de las estrategias de evaluación. </v>
          </cell>
          <cell r="S101" t="str">
            <v xml:space="preserve">Es necesario que desde estamentos de gobierno escolar como las Comisiones de evaluación, consejo académico y consejo directivo, adoptar estrategias de mejoramiento sobre Pruebas Saber 11. </v>
          </cell>
          <cell r="T101" t="str">
            <v>Si</v>
          </cell>
          <cell r="U101" t="str">
            <v xml:space="preserve">EL colegio entregará plan de mejoramiento para el mes de agosto de 2025. Se realizara seguimiento en vigencia 2026, puesto que no hay radicación de plan de mejoramiento en 2025 por parte de la institución educativa. </v>
          </cell>
        </row>
        <row r="102">
          <cell r="A102">
            <v>1907</v>
          </cell>
          <cell r="B102">
            <v>12</v>
          </cell>
          <cell r="C102" t="str">
            <v xml:space="preserve">SANTA FE Y CANDELARIA </v>
          </cell>
          <cell r="D102" t="str">
            <v>PRIVADO</v>
          </cell>
          <cell r="E102" t="str">
            <v>EPBM</v>
          </cell>
          <cell r="F102" t="str">
            <v>LICEO_JULIO_CESAR_GARCIA</v>
          </cell>
          <cell r="G102" t="str">
            <v>LICEO JULIO CESAR GARCIA</v>
          </cell>
          <cell r="H102" t="str">
            <v>Autoevaluación Institucional y Pruebas SABER 11</v>
          </cell>
          <cell r="I102" t="str">
            <v>SEGUIMIENTO_Y_SUPERVISIÓN.</v>
          </cell>
          <cell r="J102" t="str">
            <v xml:space="preserve">Verificar la implementación por parte de los colegios, de acciones realizadas para la prevención y atención de las situaciones de convivencia en el entorno escolar, según lo establecido en la Directiva 01 de 2022 del MEN. </v>
          </cell>
          <cell r="K102" t="str">
            <v>DAMARIS RUT CÁRDENAS MORENO</v>
          </cell>
          <cell r="L102" t="str">
            <v xml:space="preserve">JORGE WILLIAM BONILLA ROMERO </v>
          </cell>
          <cell r="M102">
            <v>45825</v>
          </cell>
          <cell r="N102">
            <v>45825</v>
          </cell>
          <cell r="O102">
            <v>45825</v>
          </cell>
          <cell r="P102" t="str">
            <v>Visitas de evaluación con fines de mejoramiento</v>
          </cell>
          <cell r="Q102" t="str">
            <v>2025 06 17 Liceo Julio Cesar García Acta de visita.pdf</v>
          </cell>
          <cell r="R102" t="str">
            <v xml:space="preserve">Se encuentra evidencia documental hasta el mes de julio relacionada con antecedentes de delitos sexuales como indica la Directiva 01. </v>
          </cell>
          <cell r="S102" t="str">
            <v xml:space="preserve">Se invita a colegio a continuar fortaleciendo procesos de implementación y socialización de la directiva. </v>
          </cell>
          <cell r="T102" t="str">
            <v>No</v>
          </cell>
          <cell r="U102" t="str">
            <v>En mesa de rectores se realizará capacitación sobre las acciones derivadas de la Directiva 01 de 2022 del MEN.</v>
          </cell>
        </row>
        <row r="103">
          <cell r="A103">
            <v>1908</v>
          </cell>
          <cell r="B103">
            <v>12</v>
          </cell>
          <cell r="C103" t="str">
            <v xml:space="preserve">SANTA FE Y CANDELARIA </v>
          </cell>
          <cell r="D103" t="str">
            <v>PRIVADO</v>
          </cell>
          <cell r="E103" t="str">
            <v>EPBM</v>
          </cell>
          <cell r="F103" t="str">
            <v>LICEO_JULIO_CESAR_GARCIA</v>
          </cell>
          <cell r="G103" t="str">
            <v>LICEO JULIO CESAR GARCIA</v>
          </cell>
          <cell r="H103" t="str">
            <v>Autoevaluación Institucional y Pruebas SABER 11</v>
          </cell>
          <cell r="I103" t="str">
            <v>SEGUIMIENTO_Y_SUPERVISIÓN.</v>
          </cell>
          <cell r="J10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3" t="str">
            <v>DAMARIS RUT CÁRDENAS MORENO</v>
          </cell>
          <cell r="L103" t="str">
            <v xml:space="preserve">JORGE WILLIAM BONILLA ROMERO </v>
          </cell>
          <cell r="M103">
            <v>45825</v>
          </cell>
          <cell r="N103">
            <v>45825</v>
          </cell>
          <cell r="O103">
            <v>45825</v>
          </cell>
          <cell r="P103" t="str">
            <v>Visitas de evaluación con fines de mejoramiento</v>
          </cell>
          <cell r="Q103" t="str">
            <v>2025 06 17 Liceo Julio Cesar García Acta de visita.pdf</v>
          </cell>
          <cell r="R103" t="str">
            <v xml:space="preserve">El colegio manifiesta no tener estudiantes con PIAR; sin embargo, en SIMAT se evidencian 3 marcados con discapacidad y el colegio tiene casos con posibles indicios de necesidad de acompañamiento. </v>
          </cell>
          <cell r="S103" t="str">
            <v xml:space="preserve">Se solicita al colegio revisar formato PIAR e implementar con estudiantes que tengan los indicios, y revisar aplicativo SIMAT para realizar la actualización respectiva. </v>
          </cell>
          <cell r="T103" t="str">
            <v>Si</v>
          </cell>
          <cell r="U103" t="str">
            <v xml:space="preserve">EL colegio entregará plan de mejoramiento para el mes de agosto de 2025. Se realizara seguimiento en vigencia 2026, puesto que no hay radicación de plan de mejoramiento en 2025 por parte de la institución educativa. </v>
          </cell>
        </row>
        <row r="104">
          <cell r="A104">
            <v>1909</v>
          </cell>
          <cell r="B104">
            <v>12</v>
          </cell>
          <cell r="C104" t="str">
            <v xml:space="preserve">SANTA FE Y CANDELARIA </v>
          </cell>
          <cell r="D104" t="str">
            <v>PRIVADO</v>
          </cell>
          <cell r="E104" t="str">
            <v>EPBM</v>
          </cell>
          <cell r="F104" t="str">
            <v>LICEO_JULIO_CESAR_GARCIA</v>
          </cell>
          <cell r="G104" t="str">
            <v>LICEO JULIO CESAR GARCIA</v>
          </cell>
          <cell r="H104" t="str">
            <v>Autoevaluación Institucional y Pruebas SABER 11</v>
          </cell>
          <cell r="I104" t="str">
            <v>EVALUACIÓN_CON_FINES_DE_MEJORAMIENTO.</v>
          </cell>
          <cell r="J10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4" t="str">
            <v>DAMARIS RUT CÁRDENAS MORENO</v>
          </cell>
          <cell r="L104" t="str">
            <v xml:space="preserve">JORGE WILLIAM BONILLA ROMERO </v>
          </cell>
          <cell r="M104">
            <v>45825</v>
          </cell>
          <cell r="N104">
            <v>45825</v>
          </cell>
          <cell r="O104">
            <v>45825</v>
          </cell>
          <cell r="P104" t="str">
            <v>Visitas de evaluación con fines de mejoramiento</v>
          </cell>
          <cell r="Q104" t="str">
            <v>2025 06 17 Liceo Julio Cesar García Acta de visita.pdf</v>
          </cell>
          <cell r="R104" t="str">
            <v xml:space="preserve">El documento fue participativo en el proceso de adopción, más no en la construcción, sin embargo el mismo no incorpora los enfoques de ley. </v>
          </cell>
          <cell r="S104" t="str">
            <v xml:space="preserve">Elaborar diagnóstico de convivencia escolar, construir Plan de Convivencia Escolar revisando el debido proceso y el abordaje de enfoques de género y de justicia restaurativa. </v>
          </cell>
          <cell r="T104" t="str">
            <v>Si</v>
          </cell>
          <cell r="U104" t="str">
            <v xml:space="preserve">El colegio entregará plan de mejoramiento para el mes de agosto de 2025. Se realizara seguimiento en vigencia 2026, puesto que no hay radicación de plan de mejoramiento en 2025 por parte de la institución educativa. </v>
          </cell>
        </row>
        <row r="105">
          <cell r="A105">
            <v>1910</v>
          </cell>
          <cell r="B105">
            <v>12</v>
          </cell>
          <cell r="C105" t="str">
            <v xml:space="preserve">SANTA FE Y CANDELARIA </v>
          </cell>
          <cell r="D105" t="str">
            <v>PRIVADO</v>
          </cell>
          <cell r="E105" t="str">
            <v>EPBM</v>
          </cell>
          <cell r="F105" t="str">
            <v>LICEO_JULIO_CESAR_GARCIA</v>
          </cell>
          <cell r="G105" t="str">
            <v>LICEO JULIO CESAR GARCIA</v>
          </cell>
          <cell r="H105" t="str">
            <v>Autoevaluación Institucional y Pruebas SABER 11</v>
          </cell>
          <cell r="I105" t="str">
            <v>EVALUACIÓN_CON_FINES_DE_MEJORAMIENTO.</v>
          </cell>
          <cell r="J105" t="str">
            <v>Revisar la actualización, socialización e implementación del Sistema Institucional de Evaluación de Estudiantes - SIEE, en articulación con la actualización del PEI y la normatividad vigente.</v>
          </cell>
          <cell r="K105" t="str">
            <v>DAMARIS RUT CÁRDENAS MORENO</v>
          </cell>
          <cell r="L105" t="str">
            <v xml:space="preserve">JORGE WILLIAM BONILLA ROMERO </v>
          </cell>
          <cell r="M105">
            <v>45825</v>
          </cell>
          <cell r="N105">
            <v>45825</v>
          </cell>
          <cell r="O105">
            <v>45825</v>
          </cell>
          <cell r="P105" t="str">
            <v>Visitas de evaluación con fines de mejoramiento</v>
          </cell>
          <cell r="Q105" t="str">
            <v>2025 06 17 Liceo Julio Cesar García Acta de visita.pdf</v>
          </cell>
          <cell r="R105" t="str">
            <v>La última actualización de PEI corresponde al 2025, el organigrama no corresponde a la realidad institucional.</v>
          </cell>
          <cell r="S105" t="str">
            <v>EL colegio actualizará documentos, rediseñando organiza grama institucional, estructurando servicio social para 10 y 11, plan de formación docente.</v>
          </cell>
          <cell r="T105" t="str">
            <v>Si</v>
          </cell>
          <cell r="U105" t="str">
            <v xml:space="preserve">El colegio entregará plan de mejoramiento para el mes de agosto de 2025. Se realizara seguimiento en vigencia 2026, puesto que no hay radicación de plan de mejoramiento en 2025 por parte de la institución educativa. </v>
          </cell>
        </row>
        <row r="106">
          <cell r="A106">
            <v>1911</v>
          </cell>
          <cell r="B106">
            <v>12</v>
          </cell>
          <cell r="C106" t="str">
            <v xml:space="preserve">SANTA FE Y CANDELARIA </v>
          </cell>
          <cell r="D106" t="str">
            <v>PRIVADO</v>
          </cell>
          <cell r="E106" t="str">
            <v>EPBM</v>
          </cell>
          <cell r="F106" t="str">
            <v>LICEO_JULIO_CESAR_GARCIA</v>
          </cell>
          <cell r="G106" t="str">
            <v>LICEO JULIO CESAR GARCIA</v>
          </cell>
          <cell r="H106" t="str">
            <v>Autoevaluación Institucional y Pruebas SABER 11</v>
          </cell>
          <cell r="I106" t="str">
            <v>EVALUACIÓN_CON_FINES_DE_MEJORAMIENTO.</v>
          </cell>
          <cell r="J106" t="str">
            <v>Revisar el calendario escolar, jornada escolar, la intensidad horaria mínima anual en cada nivel y las modificaciones que se realicen al mismo, de acuerdo con lo previsto en la normatividad vigente.</v>
          </cell>
          <cell r="K106" t="str">
            <v>DAMARIS RUT CÁRDENAS MORENO</v>
          </cell>
          <cell r="L106" t="str">
            <v xml:space="preserve">JORGE WILLIAM BONILLA ROMERO </v>
          </cell>
          <cell r="M106">
            <v>45825</v>
          </cell>
          <cell r="N106">
            <v>45825</v>
          </cell>
          <cell r="O106">
            <v>45825</v>
          </cell>
          <cell r="P106" t="str">
            <v>Visitas de evaluación con fines de mejoramiento</v>
          </cell>
          <cell r="Q106" t="str">
            <v>2025 06 17 Liceo Julio Cesar García Acta de visita.pdf</v>
          </cell>
          <cell r="R106" t="str">
            <v>Se observa cumplimiento de lo informado en Calendario Escolar y lo reglado en la normativa relacionada.</v>
          </cell>
          <cell r="S106" t="str">
            <v xml:space="preserve">Continuar con el desarrollo del calendario académico y su respectiva implementación. </v>
          </cell>
          <cell r="T106" t="str">
            <v>No</v>
          </cell>
          <cell r="U106" t="str">
            <v xml:space="preserve">Se generará revisión de las condiciones de prestación del servicio para la siguiente vigencia. </v>
          </cell>
        </row>
        <row r="107">
          <cell r="A107">
            <v>1912</v>
          </cell>
          <cell r="B107">
            <v>12</v>
          </cell>
          <cell r="C107" t="str">
            <v xml:space="preserve">SANTA FE Y CANDELARIA </v>
          </cell>
          <cell r="D107" t="str">
            <v>PRIVADO</v>
          </cell>
          <cell r="E107" t="str">
            <v>EPBM</v>
          </cell>
          <cell r="F107" t="str">
            <v>LICEO_JULIO_CESAR_GARCIA</v>
          </cell>
          <cell r="G107" t="str">
            <v>LICEO JULIO CESAR GARCIA</v>
          </cell>
          <cell r="H107" t="str">
            <v>Autoevaluación Institucional y Pruebas SABER 11</v>
          </cell>
          <cell r="I107" t="str">
            <v>EVALUACIÓN_CON_FINES_DE_MEJORAMIENTO.</v>
          </cell>
          <cell r="J107" t="str">
            <v>Verificar el funcionamiento del Gobierno Escolar e instancias de participación con base en la información sobre conformación reportada por la institución educativa.</v>
          </cell>
          <cell r="K107" t="str">
            <v>DAMARIS RUT CÁRDENAS MORENO</v>
          </cell>
          <cell r="L107" t="str">
            <v xml:space="preserve">JORGE WILLIAM BONILLA ROMERO </v>
          </cell>
          <cell r="M107">
            <v>45825</v>
          </cell>
          <cell r="N107">
            <v>45825</v>
          </cell>
          <cell r="O107">
            <v>45825</v>
          </cell>
          <cell r="P107" t="str">
            <v>Visitas de evaluación con fines de mejoramiento</v>
          </cell>
          <cell r="Q107" t="str">
            <v>2025 06 17 Liceo Julio Cesar García Acta de visita.pdf</v>
          </cell>
          <cell r="R107" t="str">
            <v>Se observa cargue de actas de conformación, así como actas de reuniones que evidencian operatividad en el ejercicio de cada estamento.</v>
          </cell>
          <cell r="S107" t="str">
            <v xml:space="preserve">Continuar con el desarrollo del cronograma de actividades sean función de cada estamento del gobierno escolar. </v>
          </cell>
          <cell r="T107" t="str">
            <v>No</v>
          </cell>
          <cell r="U107" t="str">
            <v xml:space="preserve">Se generará revisión de las condiciones de prestación del servicio y conformación de cada uno de los estamentos de gobierno escolar para la siguiente vigencia. </v>
          </cell>
        </row>
        <row r="108">
          <cell r="A108">
            <v>1913</v>
          </cell>
          <cell r="B108">
            <v>12</v>
          </cell>
          <cell r="C108" t="str">
            <v xml:space="preserve">SANTA FE Y CANDELARIA </v>
          </cell>
          <cell r="D108" t="str">
            <v>PRIVADO</v>
          </cell>
          <cell r="E108" t="str">
            <v>EPBM</v>
          </cell>
          <cell r="F108" t="str">
            <v>LICEO_JULIO_CESAR_GARCIA</v>
          </cell>
          <cell r="G108" t="str">
            <v>LICEO JULIO CESAR GARCIA</v>
          </cell>
          <cell r="H108" t="str">
            <v>Autoevaluación Institucional y Pruebas SABER 11</v>
          </cell>
          <cell r="I108" t="str">
            <v>EVALUACIÓN_CON_FINES_DE_MEJORAMIENTO.</v>
          </cell>
          <cell r="J108" t="str">
            <v>Verificar las condiciones en cuanto a: la estructura administrativa, condiciones de la planta física y medios educativos adecuados.</v>
          </cell>
          <cell r="K108" t="str">
            <v>DAMARIS RUT CÁRDENAS MORENO</v>
          </cell>
          <cell r="L108" t="str">
            <v xml:space="preserve">JORGE WILLIAM BONILLA ROMERO </v>
          </cell>
          <cell r="M108">
            <v>45825</v>
          </cell>
          <cell r="N108">
            <v>45825</v>
          </cell>
          <cell r="O108">
            <v>45825</v>
          </cell>
          <cell r="P108" t="str">
            <v>Visitas de evaluación con fines de mejoramiento</v>
          </cell>
          <cell r="Q108" t="str">
            <v>2025 06 17 Liceo Julio Cesar García Acta de visita.pdf</v>
          </cell>
          <cell r="R108" t="str">
            <v xml:space="preserve">Se evidencia adecuado mantenimiento en planta física y mobiliario; sin embargo, el colegio no cuenta con espacios adaptados para personal con movilidad reducida y /o discapacidad. </v>
          </cell>
          <cell r="S108" t="str">
            <v>Evaluar financieramente la adaptación de espacios para personas con discapacidad</v>
          </cell>
          <cell r="T108" t="str">
            <v>No</v>
          </cell>
          <cell r="U108" t="str">
            <v xml:space="preserve">Se generará proceso de capacitación sobre las condiciones de espacios y ambientes escolares en mesa de rectores. </v>
          </cell>
        </row>
        <row r="109">
          <cell r="A109">
            <v>1914</v>
          </cell>
          <cell r="B109">
            <v>13</v>
          </cell>
          <cell r="C109" t="str">
            <v xml:space="preserve">SANTA FE Y CANDELARIA </v>
          </cell>
          <cell r="D109" t="str">
            <v>PRIVADO_IETDH</v>
          </cell>
          <cell r="E109" t="str">
            <v>IETDH</v>
          </cell>
          <cell r="F109" t="str">
            <v>CAMPO_ALTO_ACESALUD_S.A._SANTA_FE</v>
          </cell>
          <cell r="G109" t="str">
            <v>CAMPO ALTO ACESALUD S.A. SANTA FE</v>
          </cell>
          <cell r="H109" t="str">
            <v>IETDH priorizadas por cada ELIV (seguimiento a PMI, que no se hayan visitado en los últimos 3 años)</v>
          </cell>
          <cell r="I109" t="str">
            <v>SEGUIMIENTO_Y_SUPERVISIÓN.</v>
          </cell>
          <cell r="J109"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9" t="str">
            <v xml:space="preserve">JORGE WILLIAM BONILLA ROMERO </v>
          </cell>
          <cell r="L109" t="str">
            <v>JOSÉ MAXIMILIANO CHAPARRO BARRERA</v>
          </cell>
          <cell r="M109">
            <v>45898</v>
          </cell>
          <cell r="N109">
            <v>45898</v>
          </cell>
          <cell r="O109">
            <v>45912</v>
          </cell>
          <cell r="P109" t="str">
            <v>Visitas de evaluación con fines de mejoramiento</v>
          </cell>
          <cell r="Q109" t="str">
            <v>2025 08 29 CAMPOALTO ASESALUD.pdf</v>
          </cell>
          <cell r="R109" t="str">
            <v xml:space="preserve"> Se evidencia registro de información de matrícula, novedades de estudiantes certificados en el aplicativo institucional.
Se evidencia reporte del cambio año a año de los costos totales de los programas aprobados.
Se evidencia clarificación de los costes la la ficha de matricula, y forma de pago en el contrato de matrícula aportado.</v>
          </cell>
          <cell r="S109" t="str">
            <v xml:space="preserve">El EE debe continuar con el proceso de registro de estudiantes conforme a la autorización de los programas por parte de la SED </v>
          </cell>
          <cell r="T109" t="str">
            <v>No</v>
          </cell>
          <cell r="U109" t="str">
            <v>El ELIV continuará con el proceso de renovación de los programas según lo solicitado por la ETDH y se hará seguimiento al reporte en el aplicativo SIET para la siguente vigencia.</v>
          </cell>
        </row>
        <row r="110">
          <cell r="A110">
            <v>1915</v>
          </cell>
          <cell r="B110">
            <v>13</v>
          </cell>
          <cell r="C110" t="str">
            <v xml:space="preserve">SANTA FE Y CANDELARIA </v>
          </cell>
          <cell r="D110" t="str">
            <v>PRIVADO_IETDH</v>
          </cell>
          <cell r="E110" t="str">
            <v>IETDH</v>
          </cell>
          <cell r="F110" t="str">
            <v>CAMPO_ALTO_ACESALUD_S.A._SANTA_FE</v>
          </cell>
          <cell r="G110" t="str">
            <v>CAMPO ALTO ACESALUD S.A. SANTA FE</v>
          </cell>
          <cell r="H110" t="str">
            <v>IETDH priorizadas por cada ELIV (seguimiento a PMI, que no se hayan visitado en los últimos 3 años)</v>
          </cell>
          <cell r="I110" t="str">
            <v>SEGUIMIENTO_Y_SUPERVISIÓN.</v>
          </cell>
          <cell r="J110" t="str">
            <v>Adelantar visitas para verificar que el desarrollo de los programas de ETDH, esté de acuerdo con lo autorizado y la normatividad vigente, para propender por su pertinencia, legalidad y actualización constante.</v>
          </cell>
          <cell r="K110" t="str">
            <v xml:space="preserve">JORGE WILLIAM BONILLA ROMERO </v>
          </cell>
          <cell r="L110" t="str">
            <v>JOSÉ MAXIMILIANO CHAPARRO BARRERA</v>
          </cell>
          <cell r="M110">
            <v>45898</v>
          </cell>
          <cell r="N110">
            <v>45898</v>
          </cell>
          <cell r="O110">
            <v>45898</v>
          </cell>
          <cell r="P110" t="str">
            <v>Visitas de evaluación con fines de mejoramiento</v>
          </cell>
          <cell r="Q110" t="str">
            <v>2025 08 29 CAMPOALTO ASESALUD.pdf</v>
          </cell>
          <cell r="R110" t="str">
            <v xml:space="preserve">Se observa que los programas se encuentran acorde con lo autorizado.
</v>
          </cell>
          <cell r="S110" t="str">
            <v>El EE continuará desarrollando la oferta institucional conforme a los programas autorizados.</v>
          </cell>
          <cell r="T110" t="str">
            <v>No</v>
          </cell>
          <cell r="U110" t="str">
            <v>El ELIV generará seguimiento para la siguiente vigencia, conforme el informe de incremento de costos de cada año.</v>
          </cell>
        </row>
        <row r="111">
          <cell r="A111">
            <v>1916</v>
          </cell>
          <cell r="B111">
            <v>13</v>
          </cell>
          <cell r="C111" t="str">
            <v xml:space="preserve">SANTA FE Y CANDELARIA </v>
          </cell>
          <cell r="D111" t="str">
            <v>PRIVADO_IETDH</v>
          </cell>
          <cell r="E111" t="str">
            <v>IETDH</v>
          </cell>
          <cell r="F111" t="str">
            <v>CAMPO_ALTO_ACESALUD_S.A._SANTA_FE</v>
          </cell>
          <cell r="G111" t="str">
            <v>CAMPO ALTO ACESALUD S.A. SANTA FE</v>
          </cell>
          <cell r="H111" t="str">
            <v>IETDH priorizadas por cada ELIV (seguimiento a PMI, que no se hayan visitado en los últimos 3 años)</v>
          </cell>
          <cell r="I111" t="str">
            <v>EVALUACIÓN_CON_FINES_DE_MEJORAMIENTO.</v>
          </cell>
          <cell r="J111" t="str">
            <v>Verificar las condiciones en cuanto a: la estructura administrativa, condiciones de la planta física y medios educativos adecuados.</v>
          </cell>
          <cell r="K111" t="str">
            <v xml:space="preserve">JORGE WILLIAM BONILLA ROMERO </v>
          </cell>
          <cell r="L111" t="str">
            <v>JOSÉ MAXIMILIANO CHAPARRO BARRERA</v>
          </cell>
          <cell r="M111">
            <v>45898</v>
          </cell>
          <cell r="N111">
            <v>45898</v>
          </cell>
          <cell r="O111"/>
          <cell r="P111" t="str">
            <v>Visitas de evaluación con fines de mejoramiento</v>
          </cell>
          <cell r="Q111" t="str">
            <v>2025 08 29 CAMPOALTO ASESALUD.pdf</v>
          </cell>
          <cell r="R111" t="str">
            <v xml:space="preserve">Se observan algunas aulas con afectación de iluminación, ventilación, restricción en el acceso requerido de emergencia y columna en uno de los salones que impide una adecuada visualización del tablero y expositor. 
El EE presenta acceso y oficinas a través de un inmueble que no se encuentra autorizado para funcionamiento de la ETDH. </v>
          </cell>
          <cell r="S111" t="str">
            <v>En desarrollo de lo evidenciado el establecimiento presentará informe que de cuenta de las acciones de mejora y correctivas frente a la observación realizada.</v>
          </cell>
          <cell r="T111" t="str">
            <v>Si</v>
          </cell>
          <cell r="U111" t="str">
            <v>El ELIV generará seguimiento a la entrega de reportes seguimiento a la adecuación que se encuentra desarrollando la ETDH dado su avance y en el primer semestre de 2026.</v>
          </cell>
        </row>
        <row r="112">
          <cell r="A112">
            <v>1917</v>
          </cell>
          <cell r="B112">
            <v>14</v>
          </cell>
          <cell r="C112" t="str">
            <v xml:space="preserve">SANTA FE Y CANDELARIA </v>
          </cell>
          <cell r="D112" t="str">
            <v>PRIVADO_IETDH</v>
          </cell>
          <cell r="E112" t="str">
            <v>IETDH</v>
          </cell>
          <cell r="F112" t="str">
            <v>CENTRO_ANDINO_DE_ESTUDIOS_TECNICOS</v>
          </cell>
          <cell r="G112" t="str">
            <v>CENTRO ANDINO DE ESTUDIOS TECNICOS</v>
          </cell>
          <cell r="H112" t="str">
            <v>IETDH priorizadas por cada ELIV (seguimiento a PMI, que no se hayan visitado en los últimos 3 años)</v>
          </cell>
          <cell r="I112" t="str">
            <v>SEGUIMIENTO_Y_SUPERVISIÓN.</v>
          </cell>
          <cell r="J112"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12" t="str">
            <v xml:space="preserve">JORGE WILLIAM BONILLA ROMERO </v>
          </cell>
          <cell r="L112" t="str">
            <v>JOSÉ MAXIMILIANO CHAPARRO BARRERA</v>
          </cell>
          <cell r="M112">
            <v>45896</v>
          </cell>
          <cell r="N112">
            <v>45896</v>
          </cell>
          <cell r="O112">
            <v>45896</v>
          </cell>
          <cell r="P112" t="str">
            <v>Visitas de evaluación con fines de mejoramiento</v>
          </cell>
          <cell r="Q112" t="str">
            <v>2025 08 27 CENTRO ANDINO ESTUDIOS</v>
          </cell>
          <cell r="R112" t="str">
            <v xml:space="preserve"> Se evidencia registro de información de matrícula, novedades de estudiantes certificados en el aplicativo institucional.
 No se evidencia soporte de reporte del cambio año a año de los costos totales de los programas aprobados.
 No se evidencia que los costes estén en ficha de matricula, contrato de matrícula no aportado.</v>
          </cell>
          <cell r="S112" t="str">
            <v>El EE debe continuar con el proceso de registro de estudiantes.  El EE presentará a  la Dirección Local el informe de incrementos conforme lo ha desarrollado para 2025. El EE presentará modelo de contrato de matricula con la relación de costos.</v>
          </cell>
          <cell r="T112" t="str">
            <v>Si</v>
          </cell>
          <cell r="U112" t="str">
            <v>El ELIV generará seguimiento a la entrega de reportes seguimiento a la adecuación que se encuentra desarrollando la ETDH dado su avance y en el primer semestre de 2026.</v>
          </cell>
        </row>
        <row r="113">
          <cell r="A113">
            <v>1918</v>
          </cell>
          <cell r="B113">
            <v>14</v>
          </cell>
          <cell r="C113" t="str">
            <v xml:space="preserve">SANTA FE Y CANDELARIA </v>
          </cell>
          <cell r="D113" t="str">
            <v>PRIVADO_IETDH</v>
          </cell>
          <cell r="E113" t="str">
            <v>IETDH</v>
          </cell>
          <cell r="F113" t="str">
            <v>CENTRO_ANDINO_DE_ESTUDIOS_TECNICOS</v>
          </cell>
          <cell r="G113" t="str">
            <v>CENTRO ANDINO DE ESTUDIOS TECNICOS</v>
          </cell>
          <cell r="H113" t="str">
            <v>IETDH priorizadas por cada ELIV (seguimiento a PMI, que no se hayan visitado en los últimos 3 años)</v>
          </cell>
          <cell r="I113" t="str">
            <v>SEGUIMIENTO_Y_SUPERVISIÓN.</v>
          </cell>
          <cell r="J113" t="str">
            <v>Adelantar visitas para verificar que el desarrollo de los programas de ETDH, esté de acuerdo con lo autorizado y la normatividad vigente, para propender por su pertinencia, legalidad y actualización constante.</v>
          </cell>
          <cell r="K113" t="str">
            <v xml:space="preserve">JORGE WILLIAM BONILLA ROMERO </v>
          </cell>
          <cell r="L113" t="str">
            <v>JOSÉ MAXIMILIANO CHAPARRO BARRERA</v>
          </cell>
          <cell r="M113">
            <v>45896</v>
          </cell>
          <cell r="N113">
            <v>45896</v>
          </cell>
          <cell r="O113">
            <v>45896</v>
          </cell>
          <cell r="P113" t="str">
            <v>Visitas de evaluación con fines de mejoramiento</v>
          </cell>
          <cell r="Q113" t="str">
            <v>2025 08 27 CENTRO ANDINO ESTUDIOS</v>
          </cell>
          <cell r="R113" t="str">
            <v>Se observa que los programas se encuentran acorde con lo autorizado.
Se evidencia que el EE tiene la oferta de desarrollo  paralela en tres programas.</v>
          </cell>
          <cell r="S113" t="str">
            <v>El EE presentará informe sobre las características y el desarrollo  de la propuesta de desarrollo de programas paralelos que desarrolla.</v>
          </cell>
          <cell r="T113" t="str">
            <v>Si</v>
          </cell>
          <cell r="U113" t="str">
            <v>El ELIV generará seguimiento a la entrega de reportes seguimiento a la adecuación que se encuentra desarrollando la ETDH dado su avance y en el primer semestre de 2026.</v>
          </cell>
        </row>
        <row r="114">
          <cell r="A114">
            <v>1919</v>
          </cell>
          <cell r="B114">
            <v>14</v>
          </cell>
          <cell r="C114" t="str">
            <v xml:space="preserve">SANTA FE Y CANDELARIA </v>
          </cell>
          <cell r="D114" t="str">
            <v>PRIVADO_IETDH</v>
          </cell>
          <cell r="E114" t="str">
            <v>IETDH</v>
          </cell>
          <cell r="F114" t="str">
            <v>CENTRO_ANDINO_DE_ESTUDIOS_TECNICOS</v>
          </cell>
          <cell r="G114" t="str">
            <v>CENTRO ANDINO DE ESTUDIOS TECNICOS</v>
          </cell>
          <cell r="H114" t="str">
            <v>IETDH priorizadas por cada ELIV (seguimiento a PMI, que no se hayan visitado en los últimos 3 años)</v>
          </cell>
          <cell r="I114" t="str">
            <v>EVALUACIÓN_CON_FINES_DE_MEJORAMIENTO.</v>
          </cell>
          <cell r="J114" t="str">
            <v>Verificar las condiciones en cuanto a: la estructura administrativa, condiciones de la planta física y medios educativos adecuados.</v>
          </cell>
          <cell r="K114" t="str">
            <v xml:space="preserve">JORGE WILLIAM BONILLA ROMERO </v>
          </cell>
          <cell r="L114" t="str">
            <v>JOSÉ MAXIMILIANO CHAPARRO BARRERA</v>
          </cell>
          <cell r="M114">
            <v>45896</v>
          </cell>
          <cell r="N114">
            <v>45896</v>
          </cell>
          <cell r="O114">
            <v>45896</v>
          </cell>
          <cell r="P114" t="str">
            <v>Visitas de evaluación con fines de mejoramiento</v>
          </cell>
          <cell r="Q114" t="str">
            <v>2025 08 27 CENTRO ANDINO ESTUDIOS</v>
          </cell>
          <cell r="R114" t="str">
            <v xml:space="preserve">Se observan aulas en condiciones adecuadas y espacios de abiertos o de recreación limitados. </v>
          </cell>
          <cell r="S114" t="str">
            <v>En desarrollo de lo evidenciado el establecimiento presentará informe que de cuenta de mejoras con respecto a la observación realizada.</v>
          </cell>
          <cell r="T114" t="str">
            <v>Si</v>
          </cell>
          <cell r="U114" t="str">
            <v>El ELIV generará seguimiento a la entrega de reportes seguimiento a la adecuación que se encuentra desarrollando la ETDH dado su avance y en el primer semestre de 2026.</v>
          </cell>
        </row>
        <row r="115">
          <cell r="A115">
            <v>1920</v>
          </cell>
          <cell r="B115">
            <v>15</v>
          </cell>
          <cell r="C115" t="str">
            <v xml:space="preserve">SANTA FE Y CANDELARIA </v>
          </cell>
          <cell r="D115" t="str">
            <v>PRIVADO</v>
          </cell>
          <cell r="E115" t="str">
            <v>EPBM</v>
          </cell>
          <cell r="F115" t="str">
            <v>COLEGIO_DE_LAS_MERCEDES</v>
          </cell>
          <cell r="G115" t="str">
            <v>COLEGIO DE LAS MERCEDES</v>
          </cell>
          <cell r="H115" t="str">
            <v>Colegios Nuevos (creados en los últimos 2 años) / Seguimiento a los PMI acordados en 2024</v>
          </cell>
          <cell r="I115" t="str">
            <v>SEGUIMIENTO_Y_SUPERVISIÓN.</v>
          </cell>
          <cell r="J115"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115" t="str">
            <v xml:space="preserve">JORGE WILLIAM BONILLA ROMERO </v>
          </cell>
          <cell r="L115" t="str">
            <v>JOSÉ MAXIMILIANO CHAPARRO BARRERA</v>
          </cell>
          <cell r="M115">
            <v>45863</v>
          </cell>
          <cell r="N115">
            <v>45863</v>
          </cell>
          <cell r="O115">
            <v>45863</v>
          </cell>
          <cell r="P115" t="str">
            <v>Visitas de evaluación con fines de mejoramiento</v>
          </cell>
          <cell r="Q115" t="str">
            <v>2025 07 25 Colegio Las Mercedes Acta de visita.pdf</v>
          </cell>
          <cell r="R115" t="str">
            <v>No se encontró el plan de mejoramiento requerido en el año 2024</v>
          </cell>
          <cell r="S115" t="str">
            <v>Retomar las observaciones realizadas en 2024 mas las que se  evidenciaron en visita 2025 para la estructuración de un plan de mejoramiento</v>
          </cell>
          <cell r="T115" t="str">
            <v>Si</v>
          </cell>
          <cell r="U115" t="str">
            <v>Requerir a la institución la presentación de un plan de mejoramiento, seguimiento en el mes de octubre.
El EE No entrego plan de mejoramiento en la fecha acordada.  Se oficia para reporte del plan el 27 OCT 2025 con radicado S-2025-333655.  
Se realizará seguimiento al plan de mejoramiento en 2026.</v>
          </cell>
        </row>
        <row r="116">
          <cell r="A116">
            <v>1921</v>
          </cell>
          <cell r="B116">
            <v>15</v>
          </cell>
          <cell r="C116" t="str">
            <v xml:space="preserve">SANTA FE Y CANDELARIA </v>
          </cell>
          <cell r="D116" t="str">
            <v>PRIVADO</v>
          </cell>
          <cell r="E116" t="str">
            <v>EPBM</v>
          </cell>
          <cell r="F116" t="str">
            <v>COLEGIO_DE_LAS_MERCEDES</v>
          </cell>
          <cell r="G116" t="str">
            <v>COLEGIO DE LAS MERCEDES</v>
          </cell>
          <cell r="H116" t="str">
            <v>Colegios Nuevos (creados en los últimos 2 años) / Seguimiento a los PMI acordados en 2025</v>
          </cell>
          <cell r="I116" t="str">
            <v>SEGUIMIENTO_Y_SUPERVISIÓN.</v>
          </cell>
          <cell r="J116" t="str">
            <v>Realizar visitas para verificar la información registrada sobre la autoevaluación institucional en el aplicativo EVI, a los establecimientos de educación formal no oficial.</v>
          </cell>
          <cell r="K116" t="str">
            <v xml:space="preserve">JORGE WILLIAM BONILLA ROMERO </v>
          </cell>
          <cell r="L116" t="str">
            <v>JOSÉ MAXIMILIANO CHAPARRO BARRERA</v>
          </cell>
          <cell r="M116">
            <v>45863</v>
          </cell>
          <cell r="N116">
            <v>45863</v>
          </cell>
          <cell r="O116">
            <v>45863</v>
          </cell>
          <cell r="P116" t="str">
            <v>Visitas de evaluación con fines de mejoramiento</v>
          </cell>
          <cell r="Q116" t="str">
            <v>2025 07 25 Colegio Las Mercedes Acta de visita.pdf</v>
          </cell>
          <cell r="R116" t="str">
            <v xml:space="preserve">Se evidenció que la información cargada en el EVI no da cuenta de la realidad institucional, en aspectos como: la formalización de contratos, espacios lúdicos, académicos y otros. </v>
          </cell>
          <cell r="S116" t="str">
            <v>Continuar con la elaboración del plan de mejoramiento ue se había formulado y con el que derivan las acciones de la presente visita.</v>
          </cell>
          <cell r="T116" t="str">
            <v>Si</v>
          </cell>
          <cell r="U116" t="str">
            <v>Solicitar a la institución educativa el plan de mejoramiento septiembre de 2025 y revisar los avances octubre de 2025.  
El EE No entrego plan de mejoramiento en la fecha acordada.  Se oficia para reporte del plan el 27 OCT 2025 con radicado S-2025-333655.  
Se realizará seguimiento al plan de mejoramiento en 2026.</v>
          </cell>
        </row>
        <row r="117">
          <cell r="A117">
            <v>1923</v>
          </cell>
          <cell r="B117">
            <v>15</v>
          </cell>
          <cell r="C117" t="str">
            <v xml:space="preserve">SANTA FE Y CANDELARIA </v>
          </cell>
          <cell r="D117" t="str">
            <v>PRIVADO</v>
          </cell>
          <cell r="E117" t="str">
            <v>EPBM</v>
          </cell>
          <cell r="F117" t="str">
            <v>COLEGIO_DE_LAS_MERCEDES</v>
          </cell>
          <cell r="G117" t="str">
            <v>COLEGIO DE LAS MERCEDES</v>
          </cell>
          <cell r="H117" t="str">
            <v>Colegios Nuevos (creados en los últimos 2 años) / Seguimiento a los PMI acordados en 2027</v>
          </cell>
          <cell r="I117" t="str">
            <v>SEGUIMIENTO_Y_SUPERVISIÓN.</v>
          </cell>
          <cell r="J117" t="str">
            <v xml:space="preserve">Verificar la implementación por parte de los colegios, de acciones realizadas para la prevención y atención de las situaciones de convivencia en el entorno escolar, según lo establecido en la Directiva 01 de 2022 del MEN. </v>
          </cell>
          <cell r="K117" t="str">
            <v xml:space="preserve">JORGE WILLIAM BONILLA ROMERO </v>
          </cell>
          <cell r="L117" t="str">
            <v>JOSÉ MAXIMILIANO CHAPARRO BARRERA</v>
          </cell>
          <cell r="M117">
            <v>45863</v>
          </cell>
          <cell r="N117">
            <v>45863</v>
          </cell>
          <cell r="O117">
            <v>45863</v>
          </cell>
          <cell r="P117" t="str">
            <v>Visitas de evaluación con fines de mejoramiento</v>
          </cell>
          <cell r="Q117" t="str">
            <v>2025 07 25 Colegio Las Mercedes Acta de visita.pdf</v>
          </cell>
          <cell r="R117" t="str">
            <v xml:space="preserve">Se evidencia que la IE no realiza la  implementación de la directiva en ninguno de sus componentes. </v>
          </cell>
          <cell r="S117" t="str">
            <v xml:space="preserve">Implementar la directiva 01 de 2022 y remitir soportes de lo actuado </v>
          </cell>
          <cell r="T117" t="str">
            <v>Si</v>
          </cell>
          <cell r="U117" t="str">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ell>
        </row>
        <row r="118">
          <cell r="A118">
            <v>1924</v>
          </cell>
          <cell r="B118">
            <v>15</v>
          </cell>
          <cell r="C118" t="str">
            <v xml:space="preserve">SANTA FE Y CANDELARIA </v>
          </cell>
          <cell r="D118" t="str">
            <v>PRIVADO</v>
          </cell>
          <cell r="E118" t="str">
            <v>EPBM</v>
          </cell>
          <cell r="F118" t="str">
            <v>COLEGIO_DE_LAS_MERCEDES</v>
          </cell>
          <cell r="G118" t="str">
            <v>COLEGIO DE LAS MERCEDES</v>
          </cell>
          <cell r="H118" t="str">
            <v>Colegios Nuevos (creados en los últimos 2 años) / Seguimiento a los PMI acordados en 2028</v>
          </cell>
          <cell r="I118" t="str">
            <v>SEGUIMIENTO_Y_SUPERVISIÓN.</v>
          </cell>
          <cell r="J11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8" t="str">
            <v xml:space="preserve">JORGE WILLIAM BONILLA ROMERO </v>
          </cell>
          <cell r="L118" t="str">
            <v>JOSÉ MAXIMILIANO CHAPARRO BARRERA</v>
          </cell>
          <cell r="M118">
            <v>45863</v>
          </cell>
          <cell r="N118">
            <v>45863</v>
          </cell>
          <cell r="O118">
            <v>45863</v>
          </cell>
          <cell r="P118" t="str">
            <v>Visitas de evaluación con fines de mejoramiento</v>
          </cell>
          <cell r="Q118" t="str">
            <v>2025 07 25 Colegio Las Mercedes Acta de visita.pdf</v>
          </cell>
          <cell r="R118" t="str">
            <v>Se evidencia que hay un estudiante que requiere PIAR no registrado en SIMAT y dos estudiantes que están registrados en SIMAT con requerimiento PIAR pero que actualmente no están en la institución educativa.</v>
          </cell>
          <cell r="S118" t="str">
            <v>Actualizar la información del aplicativo SIMAT y elaborar el plan de ajuste según lo enunciado.</v>
          </cell>
          <cell r="T118" t="str">
            <v>Si</v>
          </cell>
          <cell r="U118" t="str">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ell>
        </row>
        <row r="119">
          <cell r="A119">
            <v>1925</v>
          </cell>
          <cell r="B119">
            <v>15</v>
          </cell>
          <cell r="C119" t="str">
            <v xml:space="preserve">SANTA FE Y CANDELARIA </v>
          </cell>
          <cell r="D119" t="str">
            <v>PRIVADO</v>
          </cell>
          <cell r="E119" t="str">
            <v>EPBM</v>
          </cell>
          <cell r="F119" t="str">
            <v>COLEGIO_DE_LAS_MERCEDES</v>
          </cell>
          <cell r="G119" t="str">
            <v>COLEGIO DE LAS MERCEDES</v>
          </cell>
          <cell r="H119" t="str">
            <v>Colegios Nuevos (creados en los últimos 2 años) / Seguimiento a los PMI acordados en 2029</v>
          </cell>
          <cell r="I119" t="str">
            <v>EVALUACIÓN_CON_FINES_DE_MEJORAMIENTO.</v>
          </cell>
          <cell r="J11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9" t="str">
            <v xml:space="preserve">JORGE WILLIAM BONILLA ROMERO </v>
          </cell>
          <cell r="L119" t="str">
            <v>JOSÉ MAXIMILIANO CHAPARRO BARRERA</v>
          </cell>
          <cell r="M119">
            <v>45863</v>
          </cell>
          <cell r="N119">
            <v>45863</v>
          </cell>
          <cell r="O119">
            <v>45863</v>
          </cell>
          <cell r="P119" t="str">
            <v>Visitas de evaluación con fines de mejoramiento</v>
          </cell>
          <cell r="Q119" t="str">
            <v>2025 07 25 Colegio Las Mercedes Acta de visita.pdf</v>
          </cell>
          <cell r="R119" t="str">
            <v xml:space="preserve">Se encuentra desactualizado es necesario revisar y construir con la comunidad educativa, incluir normatividad de género, enfoque de derechos humanos e inclusión, así como, criterios de razonabilidad y proporcionalidad  </v>
          </cell>
          <cell r="S119" t="str">
            <v>Realizar los ajustes correspondientes al manual de convivencia y verifica la forma como se hace la entrega a la  comunidad educativa el código QR que facilitan no esta generando el ingreso</v>
          </cell>
          <cell r="T119" t="str">
            <v>Si</v>
          </cell>
          <cell r="U119" t="str">
            <v>Se verificaran los avances,cosntruccion y socialización del manual de convivencia antes del inicio del año  escolar 2026.
El EE No entrego plan de mejoramiento en la fecha acordada.  Se oficia para reporte del plan el 27 OCT 2025 con radicado S-2025-333655.  
Se realizará seguimiento al plan de mejoramiento en 2026.</v>
          </cell>
        </row>
        <row r="120">
          <cell r="A120">
            <v>1926</v>
          </cell>
          <cell r="B120">
            <v>15</v>
          </cell>
          <cell r="C120" t="str">
            <v xml:space="preserve">SANTA FE Y CANDELARIA </v>
          </cell>
          <cell r="D120" t="str">
            <v>PRIVADO</v>
          </cell>
          <cell r="E120" t="str">
            <v>EPBM</v>
          </cell>
          <cell r="F120" t="str">
            <v>COLEGIO_DE_LAS_MERCEDES</v>
          </cell>
          <cell r="G120" t="str">
            <v>COLEGIO DE LAS MERCEDES</v>
          </cell>
          <cell r="H120" t="str">
            <v>Colegios Nuevos (creados en los últimos 2 años) / Seguimiento a los PMI acordados en 2030</v>
          </cell>
          <cell r="I120" t="str">
            <v>EVALUACIÓN_CON_FINES_DE_MEJORAMIENTO.</v>
          </cell>
          <cell r="J120" t="str">
            <v>Revisar la actualización, socialización e implementación del Sistema Institucional de Evaluación de Estudiantes - SIEE, en articulación con la actualización del PEI y la normatividad vigente.</v>
          </cell>
          <cell r="K120" t="str">
            <v xml:space="preserve">JORGE WILLIAM BONILLA ROMERO </v>
          </cell>
          <cell r="L120" t="str">
            <v>JOSÉ MAXIMILIANO CHAPARRO BARRERA</v>
          </cell>
          <cell r="M120">
            <v>45863</v>
          </cell>
          <cell r="N120">
            <v>45863</v>
          </cell>
          <cell r="O120">
            <v>45863</v>
          </cell>
          <cell r="P120" t="str">
            <v>Visitas de evaluación con fines de mejoramiento</v>
          </cell>
          <cell r="Q120" t="str">
            <v>2025 07 25 Colegio Las Mercedes Acta de visita.pdf</v>
          </cell>
          <cell r="R120" t="str">
            <v>Se observa que el SIEE da cumplimiento a las necesidades de la comunidad educativa en función de la socialización, construcción y normatividad, se dan cuenta de acciones de seguimiento y recuperación.</v>
          </cell>
          <cell r="S120" t="str">
            <v>Continuar con las actividades de seguimiento conforme a las necesidades de la comunidad educativa en función del avance de los procesos valorativos de los estudiantes.</v>
          </cell>
          <cell r="T120" t="str">
            <v>No</v>
          </cell>
          <cell r="U120" t="str">
            <v>Se realizará asesoría de requerir la institución educativa.
El EE No entrego plan de mejoramiento en la fecha acordada.  Se oficia para reporte del plan el 27 OCT 2025 con radicado S-2025-333655.  
Se realizará seguimiento al plan de mejoramiento en 2026.</v>
          </cell>
        </row>
        <row r="121">
          <cell r="A121">
            <v>1927</v>
          </cell>
          <cell r="B121">
            <v>15</v>
          </cell>
          <cell r="C121" t="str">
            <v xml:space="preserve">SANTA FE Y CANDELARIA </v>
          </cell>
          <cell r="D121" t="str">
            <v>PRIVADO</v>
          </cell>
          <cell r="E121" t="str">
            <v>EPBM</v>
          </cell>
          <cell r="F121" t="str">
            <v>COLEGIO_DE_LAS_MERCEDES</v>
          </cell>
          <cell r="G121" t="str">
            <v>COLEGIO DE LAS MERCEDES</v>
          </cell>
          <cell r="H121" t="str">
            <v>Colegios Nuevos (creados en los últimos 2 años) / Seguimiento a los PMI acordados en 2031</v>
          </cell>
          <cell r="I121" t="str">
            <v>EVALUACIÓN_CON_FINES_DE_MEJORAMIENTO.</v>
          </cell>
          <cell r="J121" t="str">
            <v>Verificar el funcionamiento del Gobierno Escolar e instancias de participación con base en la información sobre conformación reportada por la institución educativa.</v>
          </cell>
          <cell r="K121" t="str">
            <v xml:space="preserve">JORGE WILLIAM BONILLA ROMERO </v>
          </cell>
          <cell r="L121" t="str">
            <v>JOSÉ MAXIMILIANO CHAPARRO BARRERA</v>
          </cell>
          <cell r="M121">
            <v>45863</v>
          </cell>
          <cell r="N121">
            <v>45863</v>
          </cell>
          <cell r="O121">
            <v>45863</v>
          </cell>
          <cell r="P121" t="str">
            <v>Visitas de evaluación con fines de mejoramiento</v>
          </cell>
          <cell r="Q121" t="str">
            <v>2025 07 25 Colegio Las Mercedes Acta de visita.pdf</v>
          </cell>
          <cell r="R121" t="str">
            <v xml:space="preserve">Se observa conformación de los órganos de gobierno escolar, pero no de la totalidad de ejecución de las instancias de participación, incluida la escuela de padres. </v>
          </cell>
          <cell r="S121" t="str">
            <v>Presentar las actas que den cuanta del funcionamiento de gobierno escolar vigencia 2025.</v>
          </cell>
          <cell r="T121" t="str">
            <v>Si</v>
          </cell>
          <cell r="U121" t="str">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ell>
        </row>
        <row r="122">
          <cell r="A122">
            <v>1928</v>
          </cell>
          <cell r="B122">
            <v>15</v>
          </cell>
          <cell r="C122" t="str">
            <v xml:space="preserve">SANTA FE Y CANDELARIA </v>
          </cell>
          <cell r="D122" t="str">
            <v>PRIVADO</v>
          </cell>
          <cell r="E122" t="str">
            <v>EPBM</v>
          </cell>
          <cell r="F122" t="str">
            <v>COLEGIO_DE_LAS_MERCEDES</v>
          </cell>
          <cell r="G122" t="str">
            <v>COLEGIO DE LAS MERCEDES</v>
          </cell>
          <cell r="H122" t="str">
            <v>Colegios Nuevos (creados en los últimos 2 años) / Seguimiento a los PMI acordados en 2032</v>
          </cell>
          <cell r="I122" t="str">
            <v>EVALUACIÓN_CON_FINES_DE_MEJORAMIENTO.</v>
          </cell>
          <cell r="J122" t="str">
            <v>Verificar las condiciones en cuanto a: la estructura administrativa, condiciones de la planta física y medios educativos adecuados.</v>
          </cell>
          <cell r="K122" t="str">
            <v xml:space="preserve">JORGE WILLIAM BONILLA ROMERO </v>
          </cell>
          <cell r="L122" t="str">
            <v>JOSÉ MAXIMILIANO CHAPARRO BARRERA</v>
          </cell>
          <cell r="M122">
            <v>45863</v>
          </cell>
          <cell r="N122">
            <v>45863</v>
          </cell>
          <cell r="O122">
            <v>45863</v>
          </cell>
          <cell r="P122" t="str">
            <v>Visitas de evaluación con fines de mejoramiento</v>
          </cell>
          <cell r="Q122" t="str">
            <v>2025 07 25 Colegio Las Mercedes Acta de visita.pdf</v>
          </cell>
          <cell r="R122" t="str">
            <v>Se encontró deficiente mantenimiento de la planta física, la infraestructura no corresponde con lo reportado en el EVI, las baterías sanitarias no son suficientes, los contratos de docentes y administrativos no están legalizados, no se pudo verificar pago de seguridad social. No reporta salidas escolares</v>
          </cell>
          <cell r="S122" t="str">
            <v>Actualizar hojas de vida y legalizar los contratos, aportar información actualizada del pago de seguridad social, presentar plan de mejoramiento de las adecuaciones a la infraestructura, cumplir con lo establecido en la directiva 055.</v>
          </cell>
          <cell r="T122" t="str">
            <v>si</v>
          </cell>
          <cell r="U122" t="str">
            <v>Verificar lo propuesto en el plan de mejoramiento y realizar seguimiento en el mes de octubre. Revisar cumplimiento de pago de seguridad social.
El EE No entrego plan de mejoramiento en la fecha acordada.  Se oficia para reporte del plan el 27 OCT 2025 con radicado S-2025-333655.  
Se realizará seguimiento al plan de mejoramiento en 2026.</v>
          </cell>
        </row>
        <row r="123">
          <cell r="A123"/>
          <cell r="B123"/>
          <cell r="C123"/>
          <cell r="D123"/>
          <cell r="E123"/>
          <cell r="F123"/>
          <cell r="G123"/>
          <cell r="H123"/>
          <cell r="I123"/>
          <cell r="J123"/>
          <cell r="K123"/>
          <cell r="L123"/>
          <cell r="M123"/>
          <cell r="N123"/>
          <cell r="O123"/>
          <cell r="P123"/>
          <cell r="Q123"/>
          <cell r="R123"/>
          <cell r="S123"/>
          <cell r="T123"/>
          <cell r="U123"/>
        </row>
        <row r="124">
          <cell r="A124"/>
          <cell r="B124"/>
          <cell r="C124"/>
          <cell r="D124"/>
          <cell r="E124"/>
          <cell r="F124"/>
          <cell r="G124"/>
          <cell r="H124"/>
          <cell r="I124"/>
          <cell r="J124"/>
          <cell r="K124"/>
          <cell r="L124"/>
          <cell r="M124"/>
          <cell r="N124"/>
          <cell r="O124"/>
          <cell r="P124"/>
          <cell r="Q124"/>
          <cell r="R124"/>
          <cell r="S124"/>
          <cell r="T124"/>
          <cell r="U124"/>
        </row>
        <row r="125">
          <cell r="A125"/>
          <cell r="B125"/>
          <cell r="C125"/>
          <cell r="D125"/>
          <cell r="E125"/>
          <cell r="F125"/>
          <cell r="G125"/>
          <cell r="H125"/>
          <cell r="I125"/>
          <cell r="J125"/>
          <cell r="K125"/>
          <cell r="L125"/>
          <cell r="M125"/>
          <cell r="N125"/>
          <cell r="O125"/>
          <cell r="P125"/>
          <cell r="Q125"/>
          <cell r="R125"/>
          <cell r="S125"/>
          <cell r="T125"/>
          <cell r="U125"/>
        </row>
        <row r="126">
          <cell r="A126"/>
          <cell r="B126"/>
          <cell r="C126"/>
          <cell r="D126"/>
          <cell r="E126"/>
          <cell r="F126"/>
          <cell r="G126"/>
          <cell r="H126"/>
          <cell r="I126"/>
          <cell r="J126"/>
          <cell r="K126"/>
          <cell r="L126"/>
          <cell r="M126"/>
          <cell r="N126"/>
          <cell r="O126"/>
          <cell r="P126"/>
          <cell r="Q126"/>
          <cell r="R126"/>
          <cell r="S126"/>
          <cell r="T126"/>
          <cell r="U126"/>
        </row>
        <row r="127">
          <cell r="A127"/>
          <cell r="B127"/>
          <cell r="C127"/>
          <cell r="D127"/>
          <cell r="E127"/>
          <cell r="F127"/>
          <cell r="G127"/>
          <cell r="H127"/>
          <cell r="I127"/>
          <cell r="J127"/>
          <cell r="K127"/>
          <cell r="L127"/>
          <cell r="M127"/>
          <cell r="N127"/>
          <cell r="O127"/>
          <cell r="P127"/>
          <cell r="Q127"/>
          <cell r="R127"/>
          <cell r="S127"/>
          <cell r="T127"/>
          <cell r="U127"/>
        </row>
        <row r="128">
          <cell r="A128"/>
          <cell r="B128"/>
          <cell r="C128"/>
          <cell r="D128"/>
          <cell r="E128"/>
          <cell r="F128"/>
          <cell r="G128"/>
          <cell r="H128"/>
          <cell r="I128"/>
          <cell r="J128"/>
          <cell r="K128"/>
          <cell r="L128"/>
          <cell r="M128"/>
          <cell r="N128"/>
          <cell r="O128"/>
          <cell r="P128"/>
          <cell r="Q128"/>
          <cell r="R128"/>
          <cell r="S128"/>
          <cell r="T128"/>
          <cell r="U128"/>
        </row>
        <row r="129">
          <cell r="A129"/>
          <cell r="B129"/>
          <cell r="C129"/>
          <cell r="D129"/>
          <cell r="E129"/>
          <cell r="F129"/>
          <cell r="G129"/>
          <cell r="H129"/>
          <cell r="I129"/>
          <cell r="J129"/>
          <cell r="K129"/>
          <cell r="L129"/>
          <cell r="M129"/>
          <cell r="N129"/>
          <cell r="O129"/>
          <cell r="P129"/>
          <cell r="Q129"/>
          <cell r="R129"/>
          <cell r="S129"/>
          <cell r="T129"/>
          <cell r="U129"/>
        </row>
        <row r="130">
          <cell r="A130"/>
          <cell r="B130"/>
          <cell r="C130"/>
          <cell r="D130"/>
          <cell r="E130"/>
          <cell r="F130"/>
          <cell r="G130"/>
          <cell r="H130"/>
          <cell r="I130"/>
          <cell r="J130"/>
          <cell r="K130"/>
          <cell r="L130"/>
          <cell r="M130"/>
          <cell r="N130"/>
          <cell r="O130"/>
          <cell r="P130"/>
          <cell r="Q130"/>
          <cell r="R130"/>
          <cell r="S130"/>
          <cell r="T130"/>
          <cell r="U130"/>
        </row>
        <row r="131">
          <cell r="A131"/>
          <cell r="B131"/>
          <cell r="C131"/>
          <cell r="D131"/>
          <cell r="E131"/>
          <cell r="F131"/>
          <cell r="G131"/>
          <cell r="H131"/>
          <cell r="I131"/>
          <cell r="J131"/>
          <cell r="K131"/>
          <cell r="L131"/>
          <cell r="M131"/>
          <cell r="N131"/>
          <cell r="O131"/>
          <cell r="P131"/>
          <cell r="Q131"/>
          <cell r="R131"/>
          <cell r="S131"/>
          <cell r="T131"/>
          <cell r="U131"/>
        </row>
        <row r="132">
          <cell r="A132"/>
          <cell r="B132"/>
          <cell r="C132"/>
          <cell r="D132"/>
          <cell r="E132"/>
          <cell r="F132"/>
          <cell r="G132"/>
          <cell r="H132"/>
          <cell r="I132"/>
          <cell r="J132"/>
          <cell r="K132"/>
          <cell r="L132"/>
          <cell r="M132"/>
          <cell r="N132"/>
          <cell r="O132"/>
          <cell r="P132"/>
          <cell r="Q132"/>
          <cell r="R132"/>
          <cell r="S132"/>
          <cell r="T132"/>
          <cell r="U132"/>
        </row>
        <row r="133">
          <cell r="A133"/>
          <cell r="B133"/>
          <cell r="C133"/>
          <cell r="D133"/>
          <cell r="E133"/>
          <cell r="F133"/>
          <cell r="G133"/>
          <cell r="H133"/>
          <cell r="I133"/>
          <cell r="J133"/>
          <cell r="K133"/>
          <cell r="L133"/>
          <cell r="M133"/>
          <cell r="N133"/>
          <cell r="O133"/>
          <cell r="P133"/>
          <cell r="Q133"/>
          <cell r="R133"/>
          <cell r="S133"/>
          <cell r="T133"/>
          <cell r="U133"/>
        </row>
        <row r="134">
          <cell r="A134"/>
          <cell r="B134"/>
          <cell r="C134"/>
          <cell r="D134"/>
          <cell r="E134"/>
          <cell r="F134"/>
          <cell r="G134"/>
          <cell r="H134"/>
          <cell r="I134"/>
          <cell r="J134"/>
          <cell r="K134"/>
          <cell r="L134"/>
          <cell r="M134"/>
          <cell r="N134"/>
          <cell r="O134"/>
          <cell r="P134"/>
          <cell r="Q134"/>
          <cell r="R134"/>
          <cell r="S134"/>
          <cell r="T134"/>
          <cell r="U134"/>
        </row>
        <row r="135">
          <cell r="A135"/>
          <cell r="B135"/>
          <cell r="C135"/>
          <cell r="D135"/>
          <cell r="E135"/>
          <cell r="F135"/>
          <cell r="G135"/>
          <cell r="H135"/>
          <cell r="I135"/>
          <cell r="J135"/>
          <cell r="K135"/>
          <cell r="L135"/>
          <cell r="M135"/>
          <cell r="N135"/>
          <cell r="O135"/>
          <cell r="P135"/>
          <cell r="Q135"/>
          <cell r="R135"/>
          <cell r="S135"/>
          <cell r="T135"/>
          <cell r="U135"/>
        </row>
        <row r="136">
          <cell r="A136"/>
          <cell r="B136"/>
          <cell r="C136"/>
          <cell r="D136"/>
          <cell r="E136"/>
          <cell r="F136"/>
          <cell r="G136"/>
          <cell r="H136"/>
          <cell r="I136"/>
          <cell r="J136"/>
          <cell r="K136"/>
          <cell r="L136"/>
          <cell r="M136"/>
          <cell r="N136"/>
          <cell r="O136"/>
          <cell r="P136"/>
          <cell r="Q136"/>
          <cell r="R136"/>
          <cell r="S136"/>
          <cell r="T136"/>
          <cell r="U136"/>
        </row>
        <row r="137">
          <cell r="A137"/>
          <cell r="B137"/>
          <cell r="C137"/>
          <cell r="D137"/>
          <cell r="E137"/>
          <cell r="F137"/>
          <cell r="G137"/>
          <cell r="H137"/>
          <cell r="I137"/>
          <cell r="J137"/>
          <cell r="K137"/>
          <cell r="L137"/>
          <cell r="M137"/>
          <cell r="N137"/>
          <cell r="O137"/>
          <cell r="P137"/>
          <cell r="Q137"/>
          <cell r="R137"/>
          <cell r="S137"/>
          <cell r="T137"/>
          <cell r="U137"/>
        </row>
        <row r="138">
          <cell r="A138"/>
          <cell r="B138"/>
          <cell r="C138"/>
          <cell r="D138"/>
          <cell r="E138"/>
          <cell r="F138"/>
          <cell r="G138"/>
          <cell r="H138"/>
          <cell r="I138"/>
          <cell r="J138"/>
          <cell r="K138"/>
          <cell r="L138"/>
          <cell r="M138"/>
          <cell r="N138"/>
          <cell r="O138"/>
          <cell r="P138"/>
          <cell r="Q138"/>
          <cell r="R138"/>
          <cell r="S138"/>
          <cell r="T138"/>
          <cell r="U138"/>
        </row>
        <row r="139">
          <cell r="A139"/>
          <cell r="B139"/>
          <cell r="C139"/>
          <cell r="D139"/>
          <cell r="E139"/>
          <cell r="F139"/>
          <cell r="G139"/>
          <cell r="H139"/>
          <cell r="I139"/>
          <cell r="J139"/>
          <cell r="K139"/>
          <cell r="L139"/>
          <cell r="M139"/>
          <cell r="N139"/>
          <cell r="O139"/>
          <cell r="P139"/>
          <cell r="Q139"/>
          <cell r="R139"/>
          <cell r="S139"/>
          <cell r="T139"/>
          <cell r="U139"/>
        </row>
        <row r="140">
          <cell r="A140"/>
          <cell r="B140"/>
          <cell r="C140"/>
          <cell r="D140"/>
          <cell r="E140"/>
          <cell r="F140"/>
          <cell r="G140"/>
          <cell r="H140"/>
          <cell r="I140"/>
          <cell r="J140"/>
          <cell r="K140"/>
          <cell r="L140"/>
          <cell r="M140"/>
          <cell r="N140"/>
          <cell r="O140"/>
          <cell r="P140"/>
          <cell r="Q140"/>
          <cell r="R140"/>
          <cell r="S140"/>
          <cell r="T140"/>
          <cell r="U140"/>
        </row>
        <row r="141">
          <cell r="A141"/>
          <cell r="B141"/>
          <cell r="C141"/>
          <cell r="D141"/>
          <cell r="E141"/>
          <cell r="F141"/>
          <cell r="G141"/>
          <cell r="H141"/>
          <cell r="I141"/>
          <cell r="J141"/>
          <cell r="K141"/>
          <cell r="L141"/>
          <cell r="M141"/>
          <cell r="N141"/>
          <cell r="O141"/>
          <cell r="P141"/>
          <cell r="Q141"/>
          <cell r="R141"/>
          <cell r="S141"/>
          <cell r="T141"/>
          <cell r="U141"/>
        </row>
        <row r="142">
          <cell r="A142"/>
          <cell r="B142"/>
          <cell r="C142"/>
          <cell r="D142"/>
          <cell r="E142"/>
          <cell r="F142"/>
          <cell r="G142"/>
          <cell r="H142"/>
          <cell r="I142"/>
          <cell r="J142"/>
          <cell r="K142"/>
          <cell r="L142"/>
          <cell r="M142"/>
          <cell r="N142"/>
          <cell r="O142"/>
          <cell r="P142"/>
          <cell r="Q142"/>
          <cell r="R142"/>
          <cell r="S142"/>
          <cell r="T142"/>
          <cell r="U142"/>
        </row>
        <row r="143">
          <cell r="A143"/>
          <cell r="B143"/>
          <cell r="C143"/>
          <cell r="D143"/>
          <cell r="E143"/>
          <cell r="F143"/>
          <cell r="G143"/>
          <cell r="H143"/>
          <cell r="I143"/>
          <cell r="J143"/>
          <cell r="K143"/>
          <cell r="L143"/>
          <cell r="M143"/>
          <cell r="N143"/>
          <cell r="O143"/>
          <cell r="P143"/>
          <cell r="Q143"/>
          <cell r="R143"/>
          <cell r="S143"/>
          <cell r="T143"/>
          <cell r="U143"/>
        </row>
        <row r="144">
          <cell r="A144"/>
          <cell r="B144"/>
          <cell r="C144"/>
          <cell r="D144"/>
          <cell r="E144"/>
          <cell r="F144"/>
          <cell r="G144"/>
          <cell r="H144"/>
          <cell r="I144"/>
          <cell r="J144"/>
          <cell r="K144"/>
          <cell r="L144"/>
          <cell r="M144"/>
          <cell r="N144"/>
          <cell r="O144"/>
          <cell r="P144"/>
          <cell r="Q144"/>
          <cell r="R144"/>
          <cell r="S144"/>
          <cell r="T144"/>
          <cell r="U144"/>
        </row>
        <row r="145">
          <cell r="A145"/>
          <cell r="B145"/>
          <cell r="C145"/>
          <cell r="D145"/>
          <cell r="E145"/>
          <cell r="F145"/>
          <cell r="G145"/>
          <cell r="H145"/>
          <cell r="I145"/>
          <cell r="J145"/>
          <cell r="K145"/>
          <cell r="L145"/>
          <cell r="M145"/>
          <cell r="N145"/>
          <cell r="O145"/>
          <cell r="P145"/>
          <cell r="Q145"/>
          <cell r="R145"/>
          <cell r="S145"/>
          <cell r="T145"/>
          <cell r="U145"/>
        </row>
        <row r="146">
          <cell r="A146"/>
          <cell r="B146"/>
          <cell r="C146"/>
          <cell r="D146"/>
          <cell r="E146"/>
          <cell r="F146"/>
          <cell r="G146"/>
          <cell r="H146"/>
          <cell r="I146"/>
          <cell r="J146"/>
          <cell r="K146"/>
          <cell r="L146"/>
          <cell r="M146"/>
          <cell r="N146"/>
          <cell r="O146"/>
          <cell r="P146"/>
          <cell r="Q146"/>
          <cell r="R146"/>
          <cell r="S146"/>
          <cell r="T146"/>
          <cell r="U146"/>
        </row>
        <row r="147">
          <cell r="A147"/>
          <cell r="B147"/>
          <cell r="C147"/>
          <cell r="D147"/>
          <cell r="E147"/>
          <cell r="F147"/>
          <cell r="G147"/>
          <cell r="H147"/>
          <cell r="I147"/>
          <cell r="J147"/>
          <cell r="K147"/>
          <cell r="L147"/>
          <cell r="M147"/>
          <cell r="N147"/>
          <cell r="O147"/>
          <cell r="P147"/>
          <cell r="Q147"/>
          <cell r="R147"/>
          <cell r="S147"/>
          <cell r="T147"/>
          <cell r="U147"/>
        </row>
        <row r="148">
          <cell r="A148"/>
          <cell r="B148"/>
          <cell r="C148"/>
          <cell r="D148"/>
          <cell r="E148"/>
          <cell r="F148"/>
          <cell r="G148"/>
          <cell r="H148"/>
          <cell r="I148"/>
          <cell r="J148"/>
          <cell r="K148"/>
          <cell r="L148"/>
          <cell r="M148"/>
          <cell r="N148"/>
          <cell r="O148"/>
          <cell r="P148"/>
          <cell r="Q148"/>
          <cell r="R148"/>
          <cell r="S148"/>
          <cell r="T148"/>
          <cell r="U148"/>
        </row>
        <row r="149">
          <cell r="A149"/>
          <cell r="B149"/>
          <cell r="C149"/>
          <cell r="D149"/>
          <cell r="E149"/>
          <cell r="F149"/>
          <cell r="G149"/>
          <cell r="H149"/>
          <cell r="I149"/>
          <cell r="J149"/>
          <cell r="K149"/>
          <cell r="L149"/>
          <cell r="M149"/>
          <cell r="N149"/>
          <cell r="O149"/>
          <cell r="P149"/>
          <cell r="Q149"/>
          <cell r="R149"/>
          <cell r="S149"/>
          <cell r="T149"/>
          <cell r="U149"/>
        </row>
        <row r="150">
          <cell r="A150"/>
          <cell r="B150"/>
          <cell r="C150"/>
          <cell r="D150"/>
          <cell r="E150"/>
          <cell r="F150"/>
          <cell r="G150"/>
          <cell r="H150"/>
          <cell r="I150"/>
          <cell r="J150"/>
          <cell r="K150"/>
          <cell r="L150"/>
          <cell r="M150"/>
          <cell r="N150"/>
          <cell r="O150"/>
          <cell r="P150"/>
          <cell r="Q150"/>
          <cell r="R150"/>
          <cell r="S150"/>
          <cell r="T150"/>
          <cell r="U150"/>
        </row>
        <row r="151">
          <cell r="A151"/>
          <cell r="B151"/>
          <cell r="C151"/>
          <cell r="D151"/>
          <cell r="E151"/>
          <cell r="F151"/>
          <cell r="G151"/>
          <cell r="H151"/>
          <cell r="I151"/>
          <cell r="J151"/>
          <cell r="K151"/>
          <cell r="L151"/>
          <cell r="M151"/>
          <cell r="N151"/>
          <cell r="O151"/>
          <cell r="P151"/>
          <cell r="Q151"/>
          <cell r="R151"/>
          <cell r="S151"/>
          <cell r="T151"/>
          <cell r="U151"/>
        </row>
        <row r="152">
          <cell r="A152"/>
          <cell r="B152"/>
          <cell r="C152"/>
          <cell r="D152"/>
          <cell r="E152"/>
          <cell r="F152"/>
          <cell r="G152"/>
          <cell r="H152"/>
          <cell r="I152"/>
          <cell r="J152"/>
          <cell r="K152"/>
          <cell r="L152"/>
          <cell r="M152"/>
          <cell r="N152"/>
          <cell r="O152"/>
          <cell r="P152"/>
          <cell r="Q152"/>
          <cell r="R152"/>
          <cell r="S152"/>
          <cell r="T152"/>
          <cell r="U152"/>
        </row>
        <row r="153">
          <cell r="A153"/>
          <cell r="B153"/>
          <cell r="C153"/>
          <cell r="D153"/>
          <cell r="E153"/>
          <cell r="F153"/>
          <cell r="G153"/>
          <cell r="H153"/>
          <cell r="I153"/>
          <cell r="J153"/>
          <cell r="K153"/>
          <cell r="L153"/>
          <cell r="M153"/>
          <cell r="N153"/>
          <cell r="O153"/>
          <cell r="P153"/>
          <cell r="Q153"/>
          <cell r="R153"/>
          <cell r="S153"/>
          <cell r="T153"/>
          <cell r="U153"/>
        </row>
        <row r="154">
          <cell r="A154"/>
          <cell r="B154"/>
          <cell r="C154"/>
          <cell r="D154"/>
          <cell r="E154"/>
          <cell r="F154"/>
          <cell r="G154"/>
          <cell r="H154"/>
          <cell r="I154"/>
          <cell r="J154"/>
          <cell r="K154"/>
          <cell r="L154"/>
          <cell r="M154"/>
          <cell r="N154"/>
          <cell r="O154"/>
          <cell r="P154"/>
          <cell r="Q154"/>
          <cell r="R154"/>
          <cell r="S154"/>
          <cell r="T154"/>
          <cell r="U154"/>
        </row>
        <row r="155">
          <cell r="A155"/>
          <cell r="B155"/>
          <cell r="C155"/>
          <cell r="D155"/>
          <cell r="E155"/>
          <cell r="F155"/>
          <cell r="G155"/>
          <cell r="H155"/>
          <cell r="I155"/>
          <cell r="J155"/>
          <cell r="K155"/>
          <cell r="L155"/>
          <cell r="M155"/>
          <cell r="N155"/>
          <cell r="O155"/>
          <cell r="P155"/>
          <cell r="Q155"/>
          <cell r="R155"/>
          <cell r="S155"/>
          <cell r="T155"/>
          <cell r="U155"/>
        </row>
        <row r="156">
          <cell r="A156"/>
          <cell r="B156"/>
          <cell r="C156"/>
          <cell r="D156"/>
          <cell r="E156"/>
          <cell r="F156"/>
          <cell r="G156"/>
          <cell r="H156"/>
          <cell r="I156"/>
          <cell r="J156"/>
          <cell r="K156"/>
          <cell r="L156"/>
          <cell r="M156"/>
          <cell r="N156"/>
          <cell r="O156"/>
          <cell r="P156"/>
          <cell r="Q156"/>
          <cell r="R156"/>
          <cell r="S156"/>
          <cell r="T156"/>
          <cell r="U156"/>
        </row>
        <row r="157">
          <cell r="A157"/>
          <cell r="B157"/>
          <cell r="C157"/>
          <cell r="D157"/>
          <cell r="E157"/>
          <cell r="F157"/>
          <cell r="G157"/>
          <cell r="H157"/>
          <cell r="I157"/>
          <cell r="J157"/>
          <cell r="K157"/>
          <cell r="L157"/>
          <cell r="M157"/>
          <cell r="N157"/>
          <cell r="O157"/>
          <cell r="P157"/>
          <cell r="Q157"/>
          <cell r="R157"/>
          <cell r="S157"/>
          <cell r="T157"/>
          <cell r="U157"/>
        </row>
        <row r="158">
          <cell r="A158"/>
          <cell r="B158"/>
          <cell r="C158"/>
          <cell r="D158"/>
          <cell r="E158"/>
          <cell r="F158"/>
          <cell r="G158"/>
          <cell r="H158"/>
          <cell r="I158"/>
          <cell r="J158"/>
          <cell r="K158"/>
          <cell r="L158"/>
          <cell r="M158"/>
          <cell r="N158"/>
          <cell r="O158"/>
          <cell r="P158"/>
          <cell r="Q158"/>
          <cell r="R158"/>
          <cell r="S158"/>
          <cell r="T158"/>
          <cell r="U158"/>
        </row>
        <row r="159">
          <cell r="A159"/>
          <cell r="B159"/>
          <cell r="C159"/>
          <cell r="D159"/>
          <cell r="E159"/>
          <cell r="F159"/>
          <cell r="G159"/>
          <cell r="H159"/>
          <cell r="I159"/>
          <cell r="J159"/>
          <cell r="K159"/>
          <cell r="L159"/>
          <cell r="M159"/>
          <cell r="N159"/>
          <cell r="O159"/>
          <cell r="P159"/>
          <cell r="Q159"/>
          <cell r="R159"/>
          <cell r="S159"/>
          <cell r="T159"/>
          <cell r="U159"/>
        </row>
        <row r="160">
          <cell r="A160"/>
          <cell r="B160"/>
          <cell r="C160"/>
          <cell r="D160"/>
          <cell r="E160"/>
          <cell r="F160"/>
          <cell r="G160"/>
          <cell r="H160"/>
          <cell r="I160"/>
          <cell r="J160"/>
          <cell r="K160"/>
          <cell r="L160"/>
          <cell r="M160"/>
          <cell r="N160"/>
          <cell r="O160"/>
          <cell r="P160"/>
          <cell r="Q160"/>
          <cell r="R160"/>
          <cell r="S160"/>
          <cell r="T160"/>
          <cell r="U160"/>
        </row>
        <row r="161">
          <cell r="A161"/>
          <cell r="B161"/>
          <cell r="C161"/>
          <cell r="D161"/>
          <cell r="E161"/>
          <cell r="F161"/>
          <cell r="G161"/>
          <cell r="H161"/>
          <cell r="I161"/>
          <cell r="J161"/>
          <cell r="K161"/>
          <cell r="L161"/>
          <cell r="M161"/>
          <cell r="N161"/>
          <cell r="O161"/>
          <cell r="P161"/>
          <cell r="Q161"/>
          <cell r="R161"/>
          <cell r="S161"/>
          <cell r="T161"/>
          <cell r="U161"/>
        </row>
        <row r="162">
          <cell r="A162"/>
          <cell r="B162"/>
          <cell r="C162"/>
          <cell r="D162"/>
          <cell r="E162"/>
          <cell r="F162"/>
          <cell r="G162"/>
          <cell r="H162"/>
          <cell r="I162"/>
          <cell r="J162"/>
          <cell r="K162"/>
          <cell r="L162"/>
          <cell r="M162"/>
          <cell r="N162"/>
          <cell r="O162"/>
          <cell r="P162"/>
          <cell r="Q162"/>
          <cell r="R162"/>
          <cell r="S162"/>
          <cell r="T162"/>
          <cell r="U162"/>
        </row>
        <row r="163">
          <cell r="A163"/>
          <cell r="B163"/>
          <cell r="C163"/>
          <cell r="D163"/>
          <cell r="E163"/>
          <cell r="F163"/>
          <cell r="G163"/>
          <cell r="H163"/>
          <cell r="I163"/>
          <cell r="J163"/>
          <cell r="K163"/>
          <cell r="L163"/>
          <cell r="M163"/>
          <cell r="N163"/>
          <cell r="O163"/>
          <cell r="P163"/>
          <cell r="Q163"/>
          <cell r="R163"/>
          <cell r="S163"/>
          <cell r="T163"/>
          <cell r="U163"/>
        </row>
        <row r="164">
          <cell r="A164"/>
          <cell r="B164"/>
          <cell r="C164"/>
          <cell r="D164"/>
          <cell r="E164"/>
          <cell r="F164"/>
          <cell r="G164"/>
          <cell r="H164"/>
          <cell r="I164"/>
          <cell r="J164"/>
          <cell r="K164"/>
          <cell r="L164"/>
          <cell r="M164"/>
          <cell r="N164"/>
          <cell r="O164"/>
          <cell r="P164"/>
          <cell r="Q164"/>
          <cell r="R164"/>
          <cell r="S164"/>
          <cell r="T164"/>
          <cell r="U164"/>
        </row>
        <row r="165">
          <cell r="A165"/>
          <cell r="B165"/>
          <cell r="C165"/>
          <cell r="D165"/>
          <cell r="E165"/>
          <cell r="F165"/>
          <cell r="G165"/>
          <cell r="H165"/>
          <cell r="I165"/>
          <cell r="J165"/>
          <cell r="K165"/>
          <cell r="L165"/>
          <cell r="M165"/>
          <cell r="N165"/>
          <cell r="O165"/>
          <cell r="P165"/>
          <cell r="Q165"/>
          <cell r="R165"/>
          <cell r="S165"/>
          <cell r="T165"/>
          <cell r="U165"/>
        </row>
        <row r="166">
          <cell r="A166"/>
          <cell r="B166"/>
          <cell r="C166"/>
          <cell r="D166"/>
          <cell r="E166"/>
          <cell r="F166"/>
          <cell r="G166"/>
          <cell r="H166"/>
          <cell r="I166"/>
          <cell r="J166"/>
          <cell r="K166"/>
          <cell r="L166"/>
          <cell r="M166"/>
          <cell r="N166"/>
          <cell r="O166"/>
          <cell r="P166"/>
          <cell r="Q166"/>
          <cell r="R166"/>
          <cell r="S166"/>
          <cell r="T166"/>
          <cell r="U166"/>
        </row>
        <row r="167">
          <cell r="A167"/>
          <cell r="B167"/>
          <cell r="C167"/>
          <cell r="D167"/>
          <cell r="E167"/>
          <cell r="F167"/>
          <cell r="G167"/>
          <cell r="H167"/>
          <cell r="I167"/>
          <cell r="J167"/>
          <cell r="K167"/>
          <cell r="L167"/>
          <cell r="M167"/>
          <cell r="N167"/>
          <cell r="O167"/>
          <cell r="P167"/>
          <cell r="Q167"/>
          <cell r="R167"/>
          <cell r="S167"/>
          <cell r="T167"/>
          <cell r="U167"/>
        </row>
        <row r="168">
          <cell r="A168"/>
          <cell r="B168"/>
          <cell r="C168"/>
          <cell r="D168"/>
          <cell r="E168"/>
          <cell r="F168"/>
          <cell r="G168"/>
          <cell r="H168"/>
          <cell r="I168"/>
          <cell r="J168"/>
          <cell r="K168"/>
          <cell r="L168"/>
          <cell r="M168"/>
          <cell r="N168"/>
          <cell r="O168"/>
          <cell r="P168"/>
          <cell r="Q168"/>
          <cell r="R168"/>
          <cell r="S168"/>
          <cell r="T168"/>
          <cell r="U168"/>
        </row>
        <row r="169">
          <cell r="A169"/>
          <cell r="B169"/>
          <cell r="C169"/>
          <cell r="D169"/>
          <cell r="E169"/>
          <cell r="F169"/>
          <cell r="G169"/>
          <cell r="H169"/>
          <cell r="I169"/>
          <cell r="J169"/>
          <cell r="K169"/>
          <cell r="L169"/>
          <cell r="M169"/>
          <cell r="N169"/>
          <cell r="O169"/>
          <cell r="P169"/>
          <cell r="Q169"/>
          <cell r="R169"/>
          <cell r="S169"/>
          <cell r="T169"/>
          <cell r="U169"/>
        </row>
        <row r="170">
          <cell r="A170"/>
          <cell r="B170"/>
          <cell r="C170"/>
          <cell r="D170"/>
          <cell r="E170"/>
          <cell r="F170"/>
          <cell r="G170"/>
          <cell r="H170"/>
          <cell r="I170"/>
          <cell r="J170"/>
          <cell r="K170"/>
          <cell r="L170"/>
          <cell r="M170"/>
          <cell r="N170"/>
          <cell r="O170"/>
          <cell r="P170"/>
          <cell r="Q170"/>
          <cell r="R170"/>
          <cell r="S170"/>
          <cell r="T170"/>
          <cell r="U170"/>
        </row>
        <row r="171">
          <cell r="A171"/>
          <cell r="B171"/>
          <cell r="C171"/>
          <cell r="D171"/>
          <cell r="E171"/>
          <cell r="F171"/>
          <cell r="G171"/>
          <cell r="H171"/>
          <cell r="I171"/>
          <cell r="J171"/>
          <cell r="K171"/>
          <cell r="L171"/>
          <cell r="M171"/>
          <cell r="N171"/>
          <cell r="O171"/>
          <cell r="P171"/>
          <cell r="Q171"/>
          <cell r="R171"/>
          <cell r="S171"/>
          <cell r="T171"/>
          <cell r="U171"/>
        </row>
        <row r="172">
          <cell r="A172"/>
          <cell r="B172"/>
          <cell r="C172"/>
          <cell r="D172"/>
          <cell r="E172"/>
          <cell r="F172"/>
          <cell r="G172"/>
          <cell r="H172"/>
          <cell r="I172"/>
          <cell r="J172"/>
          <cell r="K172"/>
          <cell r="L172"/>
          <cell r="M172"/>
          <cell r="N172"/>
          <cell r="O172"/>
          <cell r="P172"/>
          <cell r="Q172"/>
          <cell r="R172"/>
          <cell r="S172"/>
          <cell r="T172"/>
          <cell r="U172"/>
        </row>
        <row r="173">
          <cell r="A173"/>
          <cell r="B173"/>
          <cell r="C173"/>
          <cell r="D173"/>
          <cell r="E173"/>
          <cell r="F173"/>
          <cell r="G173"/>
          <cell r="H173"/>
          <cell r="I173"/>
          <cell r="J173"/>
          <cell r="K173"/>
          <cell r="L173"/>
          <cell r="M173"/>
          <cell r="N173"/>
          <cell r="O173"/>
          <cell r="P173"/>
          <cell r="Q173"/>
          <cell r="R173"/>
          <cell r="S173"/>
          <cell r="T173"/>
          <cell r="U173"/>
        </row>
        <row r="174">
          <cell r="A174"/>
          <cell r="B174"/>
          <cell r="C174"/>
          <cell r="D174"/>
          <cell r="E174"/>
          <cell r="F174"/>
          <cell r="G174"/>
          <cell r="H174"/>
          <cell r="I174"/>
          <cell r="J174"/>
          <cell r="K174"/>
          <cell r="L174"/>
          <cell r="M174"/>
          <cell r="N174"/>
          <cell r="O174"/>
          <cell r="P174"/>
          <cell r="Q174"/>
          <cell r="R174"/>
          <cell r="S174"/>
          <cell r="T174"/>
          <cell r="U174"/>
        </row>
        <row r="175">
          <cell r="A175"/>
          <cell r="B175"/>
          <cell r="C175"/>
          <cell r="D175"/>
          <cell r="E175"/>
          <cell r="F175"/>
          <cell r="G175"/>
          <cell r="H175"/>
          <cell r="I175"/>
          <cell r="J175"/>
          <cell r="K175"/>
          <cell r="L175"/>
          <cell r="M175"/>
          <cell r="N175"/>
          <cell r="O175"/>
          <cell r="P175"/>
          <cell r="Q175"/>
          <cell r="R175"/>
          <cell r="S175"/>
          <cell r="T175"/>
          <cell r="U175"/>
        </row>
        <row r="176">
          <cell r="A176"/>
          <cell r="B176"/>
          <cell r="C176"/>
          <cell r="D176"/>
          <cell r="E176"/>
          <cell r="F176"/>
          <cell r="G176"/>
          <cell r="H176"/>
          <cell r="I176"/>
          <cell r="J176"/>
          <cell r="K176"/>
          <cell r="L176"/>
          <cell r="M176"/>
          <cell r="N176"/>
          <cell r="O176"/>
          <cell r="P176"/>
          <cell r="Q176"/>
          <cell r="R176"/>
          <cell r="S176"/>
          <cell r="T176"/>
          <cell r="U176"/>
        </row>
        <row r="177">
          <cell r="A177"/>
          <cell r="B177"/>
          <cell r="C177"/>
          <cell r="D177"/>
          <cell r="E177"/>
          <cell r="F177"/>
          <cell r="G177"/>
          <cell r="H177"/>
          <cell r="I177"/>
          <cell r="J177"/>
          <cell r="K177"/>
          <cell r="L177"/>
          <cell r="M177"/>
          <cell r="N177"/>
          <cell r="O177"/>
          <cell r="P177"/>
          <cell r="Q177"/>
          <cell r="R177"/>
          <cell r="S177"/>
          <cell r="T177"/>
          <cell r="U177"/>
        </row>
        <row r="178">
          <cell r="A178"/>
          <cell r="B178"/>
          <cell r="C178"/>
          <cell r="D178"/>
          <cell r="E178"/>
          <cell r="F178"/>
          <cell r="G178"/>
          <cell r="H178"/>
          <cell r="I178"/>
          <cell r="J178"/>
          <cell r="K178"/>
          <cell r="L178"/>
          <cell r="M178"/>
          <cell r="N178"/>
          <cell r="O178"/>
          <cell r="P178"/>
          <cell r="Q178"/>
          <cell r="R178"/>
          <cell r="S178"/>
          <cell r="T178"/>
          <cell r="U178"/>
        </row>
        <row r="179">
          <cell r="A179"/>
          <cell r="B179"/>
          <cell r="C179"/>
          <cell r="D179"/>
          <cell r="E179"/>
          <cell r="F179"/>
          <cell r="G179"/>
          <cell r="H179"/>
          <cell r="I179"/>
          <cell r="J179"/>
          <cell r="K179"/>
          <cell r="L179"/>
          <cell r="M179"/>
          <cell r="N179"/>
          <cell r="O179"/>
          <cell r="P179"/>
          <cell r="Q179"/>
          <cell r="R179"/>
          <cell r="S179"/>
          <cell r="T179"/>
          <cell r="U179"/>
        </row>
        <row r="180">
          <cell r="A180"/>
          <cell r="B180"/>
          <cell r="C180"/>
          <cell r="D180"/>
          <cell r="E180"/>
          <cell r="F180"/>
          <cell r="G180"/>
          <cell r="H180"/>
          <cell r="I180"/>
          <cell r="J180"/>
          <cell r="K180"/>
          <cell r="L180"/>
          <cell r="M180"/>
          <cell r="N180"/>
          <cell r="O180"/>
          <cell r="P180"/>
          <cell r="Q180"/>
          <cell r="R180"/>
          <cell r="S180"/>
          <cell r="T180"/>
          <cell r="U180"/>
        </row>
        <row r="181">
          <cell r="A181"/>
          <cell r="B181"/>
          <cell r="C181"/>
          <cell r="D181"/>
          <cell r="E181"/>
          <cell r="F181"/>
          <cell r="G181"/>
          <cell r="H181"/>
          <cell r="I181"/>
          <cell r="J181"/>
          <cell r="K181"/>
          <cell r="L181"/>
          <cell r="M181"/>
          <cell r="N181"/>
          <cell r="O181"/>
          <cell r="P181"/>
          <cell r="Q181"/>
          <cell r="R181"/>
          <cell r="S181"/>
          <cell r="T181"/>
          <cell r="U181"/>
        </row>
        <row r="182">
          <cell r="A182"/>
          <cell r="B182"/>
          <cell r="C182"/>
          <cell r="D182"/>
          <cell r="E182"/>
          <cell r="F182"/>
          <cell r="G182"/>
          <cell r="H182"/>
          <cell r="I182"/>
          <cell r="J182"/>
          <cell r="K182"/>
          <cell r="L182"/>
          <cell r="M182"/>
          <cell r="N182"/>
          <cell r="O182"/>
          <cell r="P182"/>
          <cell r="Q182"/>
          <cell r="R182"/>
          <cell r="S182"/>
          <cell r="T182"/>
          <cell r="U182"/>
        </row>
        <row r="183">
          <cell r="A183"/>
          <cell r="B183"/>
          <cell r="C183"/>
          <cell r="D183"/>
          <cell r="E183"/>
          <cell r="F183"/>
          <cell r="G183"/>
          <cell r="H183"/>
          <cell r="I183"/>
          <cell r="J183"/>
          <cell r="K183"/>
          <cell r="L183"/>
          <cell r="M183"/>
          <cell r="N183"/>
          <cell r="O183"/>
          <cell r="P183"/>
          <cell r="Q183"/>
          <cell r="R183"/>
          <cell r="S183"/>
          <cell r="T183"/>
          <cell r="U183"/>
        </row>
        <row r="184">
          <cell r="A184"/>
          <cell r="B184"/>
          <cell r="C184"/>
          <cell r="D184"/>
          <cell r="E184"/>
          <cell r="F184"/>
          <cell r="G184"/>
          <cell r="H184"/>
          <cell r="I184"/>
          <cell r="J184"/>
          <cell r="K184"/>
          <cell r="L184"/>
          <cell r="M184"/>
          <cell r="N184"/>
          <cell r="O184"/>
          <cell r="P184"/>
          <cell r="Q184"/>
          <cell r="R184"/>
          <cell r="S184"/>
          <cell r="T184"/>
          <cell r="U184"/>
        </row>
        <row r="185">
          <cell r="A185"/>
          <cell r="B185"/>
          <cell r="C185"/>
          <cell r="D185"/>
          <cell r="E185"/>
          <cell r="F185"/>
          <cell r="G185"/>
          <cell r="H185"/>
          <cell r="I185"/>
          <cell r="J185"/>
          <cell r="K185"/>
          <cell r="L185"/>
          <cell r="M185"/>
          <cell r="N185"/>
          <cell r="O185"/>
          <cell r="P185"/>
          <cell r="Q185"/>
          <cell r="R185"/>
          <cell r="S185"/>
          <cell r="T185"/>
          <cell r="U185"/>
        </row>
        <row r="186">
          <cell r="A186"/>
          <cell r="B186"/>
          <cell r="C186"/>
          <cell r="D186"/>
          <cell r="E186"/>
          <cell r="F186"/>
          <cell r="G186"/>
          <cell r="H186"/>
          <cell r="I186"/>
          <cell r="J186"/>
          <cell r="K186"/>
          <cell r="L186"/>
          <cell r="M186"/>
          <cell r="N186"/>
          <cell r="O186"/>
          <cell r="P186"/>
          <cell r="Q186"/>
          <cell r="R186"/>
          <cell r="S186"/>
          <cell r="T186"/>
          <cell r="U186"/>
        </row>
        <row r="187">
          <cell r="A187"/>
          <cell r="B187"/>
          <cell r="C187"/>
          <cell r="D187"/>
          <cell r="E187"/>
          <cell r="F187"/>
          <cell r="G187"/>
          <cell r="H187"/>
          <cell r="I187"/>
          <cell r="J187"/>
          <cell r="K187"/>
          <cell r="L187"/>
          <cell r="M187"/>
          <cell r="N187"/>
          <cell r="O187"/>
          <cell r="P187"/>
          <cell r="Q187"/>
          <cell r="R187"/>
          <cell r="S187"/>
          <cell r="T187"/>
          <cell r="U187"/>
        </row>
        <row r="188">
          <cell r="A188"/>
          <cell r="B188"/>
          <cell r="C188"/>
          <cell r="D188"/>
          <cell r="E188"/>
          <cell r="F188"/>
          <cell r="G188"/>
          <cell r="H188"/>
          <cell r="I188"/>
          <cell r="J188"/>
          <cell r="K188"/>
          <cell r="L188"/>
          <cell r="M188"/>
          <cell r="N188"/>
          <cell r="O188"/>
          <cell r="P188"/>
          <cell r="Q188"/>
          <cell r="R188"/>
          <cell r="S188"/>
          <cell r="T188"/>
          <cell r="U188"/>
        </row>
        <row r="189">
          <cell r="A189"/>
          <cell r="B189"/>
          <cell r="C189"/>
          <cell r="D189"/>
          <cell r="E189"/>
          <cell r="F189"/>
          <cell r="G189"/>
          <cell r="H189"/>
          <cell r="I189"/>
          <cell r="J189"/>
          <cell r="K189"/>
          <cell r="L189"/>
          <cell r="M189"/>
          <cell r="N189"/>
          <cell r="O189"/>
          <cell r="P189"/>
          <cell r="Q189"/>
          <cell r="R189"/>
          <cell r="S189"/>
          <cell r="T189"/>
          <cell r="U189"/>
        </row>
        <row r="190">
          <cell r="A190"/>
          <cell r="B190"/>
          <cell r="C190"/>
          <cell r="D190"/>
          <cell r="E190"/>
          <cell r="F190"/>
          <cell r="G190"/>
          <cell r="H190"/>
          <cell r="I190"/>
          <cell r="J190"/>
          <cell r="K190"/>
          <cell r="L190"/>
          <cell r="M190"/>
          <cell r="N190"/>
          <cell r="O190"/>
          <cell r="P190"/>
          <cell r="Q190"/>
          <cell r="R190"/>
          <cell r="S190"/>
          <cell r="T190"/>
          <cell r="U190"/>
        </row>
        <row r="191">
          <cell r="A191"/>
          <cell r="B191"/>
          <cell r="C191"/>
          <cell r="D191"/>
          <cell r="E191"/>
          <cell r="F191"/>
          <cell r="G191"/>
          <cell r="H191"/>
          <cell r="I191"/>
          <cell r="J191"/>
          <cell r="K191"/>
          <cell r="L191"/>
          <cell r="M191"/>
          <cell r="N191"/>
          <cell r="O191"/>
          <cell r="P191"/>
          <cell r="Q191"/>
          <cell r="R191"/>
          <cell r="S191"/>
          <cell r="T191"/>
          <cell r="U191"/>
        </row>
        <row r="192">
          <cell r="A192"/>
          <cell r="B192"/>
          <cell r="C192"/>
          <cell r="D192"/>
          <cell r="E192"/>
          <cell r="F192"/>
          <cell r="G192"/>
          <cell r="H192"/>
          <cell r="I192"/>
          <cell r="J192"/>
          <cell r="K192"/>
          <cell r="L192"/>
          <cell r="M192"/>
          <cell r="N192"/>
          <cell r="O192"/>
          <cell r="P192"/>
          <cell r="Q192"/>
          <cell r="R192"/>
          <cell r="S192"/>
          <cell r="T192"/>
          <cell r="U192"/>
        </row>
        <row r="193">
          <cell r="A193"/>
          <cell r="B193"/>
          <cell r="C193"/>
          <cell r="D193"/>
          <cell r="E193"/>
          <cell r="F193"/>
          <cell r="G193"/>
          <cell r="H193"/>
          <cell r="I193"/>
          <cell r="J193"/>
          <cell r="K193"/>
          <cell r="L193"/>
          <cell r="M193"/>
          <cell r="N193"/>
          <cell r="O193"/>
          <cell r="P193"/>
          <cell r="Q193"/>
          <cell r="R193"/>
          <cell r="S193"/>
          <cell r="T193"/>
          <cell r="U193"/>
        </row>
        <row r="194">
          <cell r="A194"/>
          <cell r="B194"/>
          <cell r="C194"/>
          <cell r="D194"/>
          <cell r="E194"/>
          <cell r="F194"/>
          <cell r="G194"/>
          <cell r="H194"/>
          <cell r="I194"/>
          <cell r="J194"/>
          <cell r="K194"/>
          <cell r="L194"/>
          <cell r="M194"/>
          <cell r="N194"/>
          <cell r="O194"/>
          <cell r="P194"/>
          <cell r="Q194"/>
          <cell r="R194"/>
          <cell r="S194"/>
          <cell r="T194"/>
          <cell r="U194"/>
        </row>
        <row r="195">
          <cell r="A195"/>
          <cell r="B195"/>
          <cell r="C195"/>
          <cell r="D195"/>
          <cell r="E195"/>
          <cell r="F195"/>
          <cell r="G195"/>
          <cell r="H195"/>
          <cell r="I195"/>
          <cell r="J195"/>
          <cell r="K195"/>
          <cell r="L195"/>
          <cell r="M195"/>
          <cell r="N195"/>
          <cell r="O195"/>
          <cell r="P195"/>
          <cell r="Q195"/>
          <cell r="R195"/>
          <cell r="S195"/>
          <cell r="T195"/>
          <cell r="U195"/>
        </row>
        <row r="196">
          <cell r="A196"/>
          <cell r="B196"/>
          <cell r="C196"/>
          <cell r="D196"/>
          <cell r="E196"/>
          <cell r="F196"/>
          <cell r="G196"/>
          <cell r="H196"/>
          <cell r="I196"/>
          <cell r="J196"/>
          <cell r="K196"/>
          <cell r="L196"/>
          <cell r="M196"/>
          <cell r="N196"/>
          <cell r="O196"/>
          <cell r="P196"/>
          <cell r="Q196"/>
          <cell r="R196"/>
          <cell r="S196"/>
          <cell r="T196"/>
          <cell r="U196"/>
        </row>
        <row r="197">
          <cell r="A197"/>
          <cell r="B197"/>
          <cell r="C197"/>
          <cell r="D197"/>
          <cell r="E197"/>
          <cell r="F197"/>
          <cell r="G197"/>
          <cell r="H197"/>
          <cell r="I197"/>
          <cell r="J197"/>
          <cell r="K197"/>
          <cell r="L197"/>
          <cell r="M197"/>
          <cell r="N197"/>
          <cell r="O197"/>
          <cell r="P197"/>
          <cell r="Q197"/>
          <cell r="R197"/>
          <cell r="S197"/>
          <cell r="T197"/>
          <cell r="U197"/>
        </row>
        <row r="198">
          <cell r="A198"/>
          <cell r="B198"/>
          <cell r="C198"/>
          <cell r="D198"/>
          <cell r="E198"/>
          <cell r="F198"/>
          <cell r="G198"/>
          <cell r="H198"/>
          <cell r="I198"/>
          <cell r="J198"/>
          <cell r="K198"/>
          <cell r="L198"/>
          <cell r="M198"/>
          <cell r="N198"/>
          <cell r="O198"/>
          <cell r="P198"/>
          <cell r="Q198"/>
          <cell r="R198"/>
          <cell r="S198"/>
          <cell r="T198"/>
          <cell r="U198"/>
        </row>
        <row r="199">
          <cell r="A199"/>
          <cell r="B199"/>
          <cell r="C199"/>
          <cell r="D199"/>
          <cell r="E199"/>
          <cell r="F199"/>
          <cell r="G199"/>
          <cell r="H199"/>
          <cell r="I199"/>
          <cell r="J199"/>
          <cell r="K199"/>
          <cell r="L199"/>
          <cell r="M199"/>
          <cell r="N199"/>
          <cell r="O199"/>
          <cell r="P199"/>
          <cell r="Q199"/>
          <cell r="R199"/>
          <cell r="S199"/>
          <cell r="T199"/>
          <cell r="U199"/>
        </row>
        <row r="200">
          <cell r="A200"/>
          <cell r="B200"/>
          <cell r="C200"/>
          <cell r="D200"/>
          <cell r="E200"/>
          <cell r="F200"/>
          <cell r="G200"/>
          <cell r="H200"/>
          <cell r="I200"/>
          <cell r="J200"/>
          <cell r="K200"/>
          <cell r="L200"/>
          <cell r="M200"/>
          <cell r="N200"/>
          <cell r="O200"/>
          <cell r="P200"/>
          <cell r="Q200"/>
          <cell r="R200"/>
          <cell r="S200"/>
          <cell r="T200"/>
          <cell r="U200"/>
        </row>
        <row r="201">
          <cell r="A201"/>
          <cell r="B201"/>
          <cell r="C201"/>
          <cell r="D201"/>
          <cell r="E201"/>
          <cell r="F201"/>
          <cell r="G201"/>
          <cell r="H201"/>
          <cell r="I201"/>
          <cell r="J201"/>
          <cell r="K201"/>
          <cell r="L201"/>
          <cell r="M201"/>
          <cell r="N201"/>
          <cell r="O201"/>
          <cell r="P201"/>
          <cell r="Q201"/>
          <cell r="R201"/>
          <cell r="S201"/>
          <cell r="T201"/>
          <cell r="U201"/>
        </row>
        <row r="202">
          <cell r="A202"/>
          <cell r="B202"/>
          <cell r="C202"/>
          <cell r="D202"/>
          <cell r="E202"/>
          <cell r="F202"/>
          <cell r="G202"/>
          <cell r="H202"/>
          <cell r="I202"/>
          <cell r="J202"/>
          <cell r="K202"/>
          <cell r="L202"/>
          <cell r="M202"/>
          <cell r="N202"/>
          <cell r="O202"/>
          <cell r="P202"/>
          <cell r="Q202"/>
          <cell r="R202"/>
          <cell r="S202"/>
          <cell r="T202"/>
          <cell r="U202"/>
        </row>
        <row r="203">
          <cell r="A203"/>
          <cell r="B203"/>
          <cell r="C203"/>
          <cell r="D203"/>
          <cell r="E203"/>
          <cell r="F203"/>
          <cell r="G203"/>
          <cell r="H203"/>
          <cell r="I203"/>
          <cell r="J203"/>
          <cell r="K203"/>
          <cell r="L203"/>
          <cell r="M203"/>
          <cell r="N203"/>
          <cell r="O203"/>
          <cell r="P203"/>
          <cell r="Q203"/>
          <cell r="R203"/>
          <cell r="S203"/>
          <cell r="T203"/>
          <cell r="U203"/>
        </row>
        <row r="204">
          <cell r="A204"/>
          <cell r="B204"/>
          <cell r="C204"/>
          <cell r="D204"/>
          <cell r="E204"/>
          <cell r="F204"/>
          <cell r="G204"/>
          <cell r="H204"/>
          <cell r="I204"/>
          <cell r="J204"/>
          <cell r="K204"/>
          <cell r="L204"/>
          <cell r="M204"/>
          <cell r="N204"/>
          <cell r="O204"/>
          <cell r="P204"/>
          <cell r="Q204"/>
          <cell r="R204"/>
          <cell r="S204"/>
          <cell r="T204"/>
          <cell r="U204"/>
        </row>
        <row r="205">
          <cell r="A205"/>
          <cell r="B205"/>
          <cell r="C205"/>
          <cell r="D205"/>
          <cell r="E205"/>
          <cell r="F205"/>
          <cell r="G205"/>
          <cell r="H205"/>
          <cell r="I205"/>
          <cell r="J205"/>
          <cell r="K205"/>
          <cell r="L205"/>
          <cell r="M205"/>
          <cell r="N205"/>
          <cell r="O205"/>
          <cell r="P205"/>
          <cell r="Q205"/>
          <cell r="R205"/>
          <cell r="S205"/>
          <cell r="T205"/>
          <cell r="U205"/>
        </row>
        <row r="206">
          <cell r="A206"/>
          <cell r="B206"/>
          <cell r="C206"/>
          <cell r="D206"/>
          <cell r="E206"/>
          <cell r="F206"/>
          <cell r="G206"/>
          <cell r="H206"/>
          <cell r="I206"/>
          <cell r="J206"/>
          <cell r="K206"/>
          <cell r="L206"/>
          <cell r="M206"/>
          <cell r="N206"/>
          <cell r="O206"/>
          <cell r="P206"/>
          <cell r="Q206"/>
          <cell r="R206"/>
          <cell r="S206"/>
          <cell r="T206"/>
          <cell r="U206"/>
        </row>
        <row r="207">
          <cell r="A207"/>
          <cell r="B207"/>
          <cell r="C207"/>
          <cell r="D207"/>
          <cell r="E207"/>
          <cell r="F207"/>
          <cell r="G207"/>
          <cell r="H207"/>
          <cell r="I207"/>
          <cell r="J207"/>
          <cell r="K207"/>
          <cell r="L207"/>
          <cell r="M207"/>
          <cell r="N207"/>
          <cell r="O207"/>
          <cell r="P207"/>
          <cell r="Q207"/>
          <cell r="R207"/>
          <cell r="S207"/>
          <cell r="T207"/>
          <cell r="U207"/>
        </row>
        <row r="208">
          <cell r="A208"/>
          <cell r="B208"/>
          <cell r="C208"/>
          <cell r="D208"/>
          <cell r="E208"/>
          <cell r="F208"/>
          <cell r="G208"/>
          <cell r="H208"/>
          <cell r="I208"/>
          <cell r="J208"/>
          <cell r="K208"/>
          <cell r="L208"/>
          <cell r="M208"/>
          <cell r="N208"/>
          <cell r="O208"/>
          <cell r="P208"/>
          <cell r="Q208"/>
          <cell r="R208"/>
          <cell r="S208"/>
          <cell r="T208"/>
          <cell r="U208"/>
        </row>
        <row r="209">
          <cell r="A209"/>
          <cell r="B209"/>
          <cell r="C209"/>
          <cell r="D209"/>
          <cell r="E209"/>
          <cell r="F209"/>
          <cell r="G209"/>
          <cell r="H209"/>
          <cell r="I209"/>
          <cell r="J209"/>
          <cell r="K209"/>
          <cell r="L209"/>
          <cell r="M209"/>
          <cell r="N209"/>
          <cell r="O209"/>
          <cell r="P209"/>
          <cell r="Q209"/>
          <cell r="R209"/>
          <cell r="S209"/>
          <cell r="T209"/>
          <cell r="U209"/>
        </row>
        <row r="210">
          <cell r="A210"/>
          <cell r="B210"/>
          <cell r="C210"/>
          <cell r="D210"/>
          <cell r="E210"/>
          <cell r="F210"/>
          <cell r="G210"/>
          <cell r="H210"/>
          <cell r="I210"/>
          <cell r="J210"/>
          <cell r="K210"/>
          <cell r="L210"/>
          <cell r="M210"/>
          <cell r="N210"/>
          <cell r="O210"/>
          <cell r="P210"/>
          <cell r="Q210"/>
          <cell r="R210"/>
          <cell r="S210"/>
          <cell r="T210"/>
          <cell r="U210"/>
        </row>
        <row r="211">
          <cell r="A211"/>
          <cell r="B211"/>
          <cell r="C211"/>
          <cell r="D211"/>
          <cell r="E211"/>
          <cell r="F211"/>
          <cell r="G211"/>
          <cell r="H211"/>
          <cell r="I211"/>
          <cell r="J211"/>
          <cell r="K211"/>
          <cell r="L211"/>
          <cell r="M211"/>
          <cell r="N211"/>
          <cell r="O211"/>
          <cell r="P211"/>
          <cell r="Q211"/>
          <cell r="R211"/>
          <cell r="S211"/>
          <cell r="T211"/>
          <cell r="U211"/>
        </row>
        <row r="212">
          <cell r="A212"/>
          <cell r="B212"/>
          <cell r="C212"/>
          <cell r="D212"/>
          <cell r="E212"/>
          <cell r="F212"/>
          <cell r="G212"/>
          <cell r="H212"/>
          <cell r="I212"/>
          <cell r="J212"/>
          <cell r="K212"/>
          <cell r="L212"/>
          <cell r="M212"/>
          <cell r="N212"/>
          <cell r="O212"/>
          <cell r="P212"/>
          <cell r="Q212"/>
          <cell r="R212"/>
          <cell r="S212"/>
          <cell r="T212"/>
          <cell r="U212"/>
        </row>
        <row r="213">
          <cell r="A213"/>
          <cell r="B213"/>
          <cell r="C213"/>
          <cell r="D213"/>
          <cell r="E213"/>
          <cell r="F213"/>
          <cell r="G213"/>
          <cell r="H213"/>
          <cell r="I213"/>
          <cell r="J213"/>
          <cell r="K213"/>
          <cell r="L213"/>
          <cell r="M213"/>
          <cell r="N213"/>
          <cell r="O213"/>
          <cell r="P213"/>
          <cell r="Q213"/>
          <cell r="R213"/>
          <cell r="S213"/>
          <cell r="T213"/>
          <cell r="U213"/>
        </row>
        <row r="214">
          <cell r="A214"/>
          <cell r="B214"/>
          <cell r="C214"/>
          <cell r="D214"/>
          <cell r="E214"/>
          <cell r="F214"/>
          <cell r="G214"/>
          <cell r="H214"/>
          <cell r="I214"/>
          <cell r="J214"/>
          <cell r="K214"/>
          <cell r="L214"/>
          <cell r="M214"/>
          <cell r="N214"/>
          <cell r="O214"/>
          <cell r="P214"/>
          <cell r="Q214"/>
          <cell r="R214"/>
          <cell r="S214"/>
          <cell r="T214"/>
          <cell r="U214"/>
        </row>
        <row r="215">
          <cell r="A215"/>
          <cell r="B215"/>
          <cell r="C215"/>
          <cell r="D215"/>
          <cell r="E215"/>
          <cell r="F215"/>
          <cell r="G215"/>
          <cell r="H215"/>
          <cell r="I215"/>
          <cell r="J215"/>
          <cell r="K215"/>
          <cell r="L215"/>
          <cell r="M215"/>
          <cell r="N215"/>
          <cell r="O215"/>
          <cell r="P215"/>
          <cell r="Q215"/>
          <cell r="R215"/>
          <cell r="S215"/>
          <cell r="T215"/>
          <cell r="U215"/>
        </row>
        <row r="216">
          <cell r="A216"/>
          <cell r="B216"/>
          <cell r="C216"/>
          <cell r="D216"/>
          <cell r="E216"/>
          <cell r="F216"/>
          <cell r="G216"/>
          <cell r="H216"/>
          <cell r="I216"/>
          <cell r="J216"/>
          <cell r="K216"/>
          <cell r="L216"/>
          <cell r="M216"/>
          <cell r="N216"/>
          <cell r="O216"/>
          <cell r="P216"/>
          <cell r="Q216"/>
          <cell r="R216"/>
          <cell r="S216"/>
          <cell r="T216"/>
          <cell r="U216"/>
        </row>
        <row r="217">
          <cell r="A217"/>
          <cell r="B217"/>
          <cell r="C217"/>
          <cell r="D217"/>
          <cell r="E217"/>
          <cell r="F217"/>
          <cell r="G217"/>
          <cell r="H217"/>
          <cell r="I217"/>
          <cell r="J217"/>
          <cell r="K217"/>
          <cell r="L217"/>
          <cell r="M217"/>
          <cell r="N217"/>
          <cell r="O217"/>
          <cell r="P217"/>
          <cell r="Q217"/>
          <cell r="R217"/>
          <cell r="S217"/>
          <cell r="T217"/>
          <cell r="U217"/>
        </row>
        <row r="218">
          <cell r="A218"/>
          <cell r="B218"/>
          <cell r="C218"/>
          <cell r="D218"/>
          <cell r="E218"/>
          <cell r="F218"/>
          <cell r="G218"/>
          <cell r="H218"/>
          <cell r="I218"/>
          <cell r="J218"/>
          <cell r="K218"/>
          <cell r="L218"/>
          <cell r="M218"/>
          <cell r="N218"/>
          <cell r="O218"/>
          <cell r="P218"/>
          <cell r="Q218"/>
          <cell r="R218"/>
          <cell r="S218"/>
          <cell r="T218"/>
          <cell r="U218"/>
        </row>
        <row r="219">
          <cell r="A219"/>
          <cell r="B219"/>
          <cell r="C219"/>
          <cell r="D219"/>
          <cell r="E219"/>
          <cell r="F219"/>
          <cell r="G219"/>
          <cell r="H219"/>
          <cell r="I219"/>
          <cell r="J219"/>
          <cell r="K219"/>
          <cell r="L219"/>
          <cell r="M219"/>
          <cell r="N219"/>
          <cell r="O219"/>
          <cell r="P219"/>
          <cell r="Q219"/>
          <cell r="R219"/>
          <cell r="S219"/>
          <cell r="T219"/>
          <cell r="U219"/>
        </row>
        <row r="220">
          <cell r="A220"/>
          <cell r="B220"/>
          <cell r="C220"/>
          <cell r="D220"/>
          <cell r="E220"/>
          <cell r="F220"/>
          <cell r="G220"/>
          <cell r="H220"/>
          <cell r="I220"/>
          <cell r="J220"/>
          <cell r="K220"/>
          <cell r="L220"/>
          <cell r="M220"/>
          <cell r="N220"/>
          <cell r="O220"/>
          <cell r="P220"/>
          <cell r="Q220"/>
          <cell r="R220"/>
          <cell r="S220"/>
          <cell r="T220"/>
          <cell r="U220"/>
        </row>
        <row r="221">
          <cell r="A221"/>
          <cell r="B221"/>
          <cell r="C221"/>
          <cell r="D221"/>
          <cell r="E221"/>
          <cell r="F221"/>
          <cell r="G221"/>
          <cell r="H221"/>
          <cell r="I221"/>
          <cell r="J221"/>
          <cell r="K221"/>
          <cell r="L221"/>
          <cell r="M221"/>
          <cell r="N221"/>
          <cell r="O221"/>
          <cell r="P221"/>
          <cell r="Q221"/>
          <cell r="R221"/>
          <cell r="S221"/>
          <cell r="T221"/>
          <cell r="U221"/>
        </row>
        <row r="222">
          <cell r="A222"/>
          <cell r="B222"/>
          <cell r="C222"/>
          <cell r="D222"/>
          <cell r="E222"/>
          <cell r="F222"/>
          <cell r="G222"/>
          <cell r="H222"/>
          <cell r="I222"/>
          <cell r="J222"/>
          <cell r="K222"/>
          <cell r="L222"/>
          <cell r="M222"/>
          <cell r="N222"/>
          <cell r="O222"/>
          <cell r="P222"/>
          <cell r="Q222"/>
          <cell r="R222"/>
          <cell r="S222"/>
          <cell r="T222"/>
          <cell r="U222"/>
        </row>
        <row r="223">
          <cell r="A223"/>
          <cell r="B223"/>
          <cell r="C223"/>
          <cell r="D223"/>
          <cell r="E223"/>
          <cell r="F223"/>
          <cell r="G223"/>
          <cell r="H223"/>
          <cell r="I223"/>
          <cell r="J223"/>
          <cell r="K223"/>
          <cell r="L223"/>
          <cell r="M223"/>
          <cell r="N223"/>
          <cell r="O223"/>
          <cell r="P223"/>
          <cell r="Q223"/>
          <cell r="R223"/>
          <cell r="S223"/>
          <cell r="T223"/>
          <cell r="U223"/>
        </row>
        <row r="224">
          <cell r="A224"/>
          <cell r="B224"/>
          <cell r="C224"/>
          <cell r="D224"/>
          <cell r="E224"/>
          <cell r="F224"/>
          <cell r="G224"/>
          <cell r="H224"/>
          <cell r="I224"/>
          <cell r="J224"/>
          <cell r="K224"/>
          <cell r="L224"/>
          <cell r="M224"/>
          <cell r="N224"/>
          <cell r="O224"/>
          <cell r="P224"/>
          <cell r="Q224"/>
          <cell r="R224"/>
          <cell r="S224"/>
          <cell r="T224"/>
          <cell r="U224"/>
        </row>
        <row r="225">
          <cell r="A225"/>
          <cell r="B225"/>
          <cell r="C225"/>
          <cell r="D225"/>
          <cell r="E225"/>
          <cell r="F225"/>
          <cell r="G225"/>
          <cell r="H225"/>
          <cell r="I225"/>
          <cell r="J225"/>
          <cell r="K225"/>
          <cell r="L225"/>
          <cell r="M225"/>
          <cell r="N225"/>
          <cell r="O225"/>
          <cell r="P225"/>
          <cell r="Q225"/>
          <cell r="R225"/>
          <cell r="S225"/>
          <cell r="T225"/>
          <cell r="U225"/>
        </row>
        <row r="226">
          <cell r="A226"/>
          <cell r="B226"/>
          <cell r="C226"/>
          <cell r="D226"/>
          <cell r="E226"/>
          <cell r="F226"/>
          <cell r="G226"/>
          <cell r="H226"/>
          <cell r="I226"/>
          <cell r="J226"/>
          <cell r="K226"/>
          <cell r="L226"/>
          <cell r="M226"/>
          <cell r="N226"/>
          <cell r="O226"/>
          <cell r="P226"/>
          <cell r="Q226"/>
          <cell r="R226"/>
          <cell r="S226"/>
          <cell r="T226"/>
          <cell r="U226"/>
        </row>
        <row r="227">
          <cell r="A227"/>
          <cell r="B227"/>
          <cell r="C227"/>
          <cell r="D227"/>
          <cell r="E227"/>
          <cell r="F227"/>
          <cell r="G227"/>
          <cell r="H227"/>
          <cell r="I227"/>
          <cell r="J227"/>
          <cell r="K227"/>
          <cell r="L227"/>
          <cell r="M227"/>
          <cell r="N227"/>
          <cell r="O227"/>
          <cell r="P227"/>
          <cell r="Q227"/>
          <cell r="R227"/>
          <cell r="S227"/>
          <cell r="T227"/>
          <cell r="U227"/>
        </row>
        <row r="228">
          <cell r="A228"/>
          <cell r="B228"/>
          <cell r="C228"/>
          <cell r="D228"/>
          <cell r="E228"/>
          <cell r="F228"/>
          <cell r="G228"/>
          <cell r="H228"/>
          <cell r="I228"/>
          <cell r="J228"/>
          <cell r="K228"/>
          <cell r="L228"/>
          <cell r="M228"/>
          <cell r="N228"/>
          <cell r="O228"/>
          <cell r="P228"/>
          <cell r="Q228"/>
          <cell r="R228"/>
          <cell r="S228"/>
          <cell r="T228"/>
          <cell r="U228"/>
        </row>
        <row r="229">
          <cell r="A229"/>
          <cell r="B229"/>
          <cell r="C229"/>
          <cell r="D229"/>
          <cell r="E229"/>
          <cell r="F229"/>
          <cell r="G229"/>
          <cell r="H229"/>
          <cell r="I229"/>
          <cell r="J229"/>
          <cell r="K229"/>
          <cell r="L229"/>
          <cell r="M229"/>
          <cell r="N229"/>
          <cell r="O229"/>
          <cell r="P229"/>
          <cell r="Q229"/>
          <cell r="R229"/>
          <cell r="S229"/>
          <cell r="T229"/>
          <cell r="U229"/>
        </row>
        <row r="230">
          <cell r="A230"/>
          <cell r="B230"/>
          <cell r="C230"/>
          <cell r="D230"/>
          <cell r="E230"/>
          <cell r="F230"/>
          <cell r="G230"/>
          <cell r="H230"/>
          <cell r="I230"/>
          <cell r="J230"/>
          <cell r="K230"/>
          <cell r="L230"/>
          <cell r="M230"/>
          <cell r="N230"/>
          <cell r="O230"/>
          <cell r="P230"/>
          <cell r="Q230"/>
          <cell r="R230"/>
          <cell r="S230"/>
          <cell r="T230"/>
          <cell r="U230"/>
        </row>
        <row r="231">
          <cell r="A231"/>
          <cell r="B231"/>
          <cell r="C231"/>
          <cell r="D231"/>
          <cell r="E231"/>
          <cell r="F231"/>
          <cell r="G231"/>
          <cell r="H231"/>
          <cell r="I231"/>
          <cell r="J231"/>
          <cell r="K231"/>
          <cell r="L231"/>
          <cell r="M231"/>
          <cell r="N231"/>
          <cell r="O231"/>
          <cell r="P231"/>
          <cell r="Q231"/>
          <cell r="R231"/>
          <cell r="S231"/>
          <cell r="T231"/>
          <cell r="U231"/>
        </row>
        <row r="232">
          <cell r="A232"/>
          <cell r="B232"/>
          <cell r="C232"/>
          <cell r="D232"/>
          <cell r="E232"/>
          <cell r="F232"/>
          <cell r="G232"/>
          <cell r="H232"/>
          <cell r="I232"/>
          <cell r="J232"/>
          <cell r="K232"/>
          <cell r="L232"/>
          <cell r="M232"/>
          <cell r="N232"/>
          <cell r="O232"/>
          <cell r="P232"/>
          <cell r="Q232"/>
          <cell r="R232"/>
          <cell r="S232"/>
          <cell r="T232"/>
          <cell r="U232"/>
        </row>
        <row r="233">
          <cell r="A233"/>
          <cell r="B233"/>
          <cell r="C233"/>
          <cell r="D233"/>
          <cell r="E233"/>
          <cell r="F233"/>
          <cell r="G233"/>
          <cell r="H233"/>
          <cell r="I233"/>
          <cell r="J233"/>
          <cell r="K233"/>
          <cell r="L233"/>
          <cell r="M233"/>
          <cell r="N233"/>
          <cell r="O233"/>
          <cell r="P233"/>
          <cell r="Q233"/>
          <cell r="R233"/>
          <cell r="S233"/>
          <cell r="T233"/>
          <cell r="U233"/>
        </row>
        <row r="234">
          <cell r="A234"/>
          <cell r="B234"/>
          <cell r="C234"/>
          <cell r="D234"/>
          <cell r="E234"/>
          <cell r="F234"/>
          <cell r="G234"/>
          <cell r="H234"/>
          <cell r="I234"/>
          <cell r="J234"/>
          <cell r="K234"/>
          <cell r="L234"/>
          <cell r="M234"/>
          <cell r="N234"/>
          <cell r="O234"/>
          <cell r="P234"/>
          <cell r="Q234"/>
          <cell r="R234"/>
          <cell r="S234"/>
          <cell r="T234"/>
          <cell r="U234"/>
        </row>
        <row r="235">
          <cell r="A235"/>
          <cell r="B235"/>
          <cell r="C235"/>
          <cell r="D235"/>
          <cell r="E235"/>
          <cell r="F235"/>
          <cell r="G235"/>
          <cell r="H235"/>
          <cell r="I235"/>
          <cell r="J235"/>
          <cell r="K235"/>
          <cell r="L235"/>
          <cell r="M235"/>
          <cell r="N235"/>
          <cell r="O235"/>
          <cell r="P235"/>
          <cell r="Q235"/>
          <cell r="R235"/>
          <cell r="S235"/>
          <cell r="T235"/>
          <cell r="U235"/>
        </row>
        <row r="236">
          <cell r="A236"/>
          <cell r="B236"/>
          <cell r="C236"/>
          <cell r="D236"/>
          <cell r="E236"/>
          <cell r="F236"/>
          <cell r="G236"/>
          <cell r="H236"/>
          <cell r="I236"/>
          <cell r="J236"/>
          <cell r="K236"/>
          <cell r="L236"/>
          <cell r="M236"/>
          <cell r="N236"/>
          <cell r="O236"/>
          <cell r="P236"/>
          <cell r="Q236"/>
          <cell r="R236"/>
          <cell r="S236"/>
          <cell r="T236"/>
          <cell r="U236"/>
        </row>
        <row r="237">
          <cell r="A237"/>
          <cell r="B237"/>
          <cell r="C237"/>
          <cell r="D237"/>
          <cell r="E237"/>
          <cell r="F237"/>
          <cell r="G237"/>
          <cell r="H237"/>
          <cell r="I237"/>
          <cell r="J237"/>
          <cell r="K237"/>
          <cell r="L237"/>
          <cell r="M237"/>
          <cell r="N237"/>
          <cell r="O237"/>
          <cell r="P237"/>
          <cell r="Q237"/>
          <cell r="R237"/>
          <cell r="S237"/>
          <cell r="T237"/>
          <cell r="U237"/>
        </row>
        <row r="238">
          <cell r="A238"/>
          <cell r="B238"/>
          <cell r="C238"/>
          <cell r="D238"/>
          <cell r="E238"/>
          <cell r="F238"/>
          <cell r="G238"/>
          <cell r="H238"/>
          <cell r="I238"/>
          <cell r="J238"/>
          <cell r="K238"/>
          <cell r="L238"/>
          <cell r="M238"/>
          <cell r="N238"/>
          <cell r="O238"/>
          <cell r="P238"/>
          <cell r="Q238"/>
          <cell r="R238"/>
          <cell r="S238"/>
          <cell r="T238"/>
          <cell r="U238"/>
        </row>
        <row r="239">
          <cell r="A239"/>
          <cell r="B239"/>
          <cell r="C239"/>
          <cell r="D239"/>
          <cell r="E239"/>
          <cell r="F239"/>
          <cell r="G239"/>
          <cell r="H239"/>
          <cell r="I239"/>
          <cell r="J239"/>
          <cell r="K239"/>
          <cell r="L239"/>
          <cell r="M239"/>
          <cell r="N239"/>
          <cell r="O239"/>
          <cell r="P239"/>
          <cell r="Q239"/>
          <cell r="R239"/>
          <cell r="S239"/>
          <cell r="T239"/>
          <cell r="U239"/>
        </row>
        <row r="240">
          <cell r="A240"/>
          <cell r="B240"/>
          <cell r="C240"/>
          <cell r="D240"/>
          <cell r="E240"/>
          <cell r="F240"/>
          <cell r="G240"/>
          <cell r="H240"/>
          <cell r="I240"/>
          <cell r="J240"/>
          <cell r="K240"/>
          <cell r="L240"/>
          <cell r="M240"/>
          <cell r="N240"/>
          <cell r="O240"/>
          <cell r="P240"/>
          <cell r="Q240"/>
          <cell r="R240"/>
          <cell r="S240"/>
          <cell r="T240"/>
          <cell r="U240"/>
        </row>
        <row r="241">
          <cell r="A241"/>
          <cell r="B241"/>
          <cell r="C241"/>
          <cell r="D241"/>
          <cell r="E241"/>
          <cell r="F241"/>
          <cell r="G241"/>
          <cell r="H241"/>
          <cell r="I241"/>
          <cell r="J241"/>
          <cell r="K241"/>
          <cell r="L241"/>
          <cell r="M241"/>
          <cell r="N241"/>
          <cell r="O241"/>
          <cell r="P241"/>
          <cell r="Q241"/>
          <cell r="R241"/>
          <cell r="S241"/>
          <cell r="T241"/>
          <cell r="U241"/>
        </row>
        <row r="242">
          <cell r="A242"/>
          <cell r="B242"/>
          <cell r="C242"/>
          <cell r="D242"/>
          <cell r="E242"/>
          <cell r="F242"/>
          <cell r="G242"/>
          <cell r="H242"/>
          <cell r="I242"/>
          <cell r="J242"/>
          <cell r="K242"/>
          <cell r="L242"/>
          <cell r="M242"/>
          <cell r="N242"/>
          <cell r="O242"/>
          <cell r="P242"/>
          <cell r="Q242"/>
          <cell r="R242"/>
          <cell r="S242"/>
          <cell r="T242"/>
          <cell r="U242"/>
        </row>
        <row r="243">
          <cell r="A243"/>
          <cell r="B243"/>
          <cell r="C243"/>
          <cell r="D243"/>
          <cell r="E243"/>
          <cell r="F243"/>
          <cell r="G243"/>
          <cell r="H243"/>
          <cell r="I243"/>
          <cell r="J243"/>
          <cell r="K243"/>
          <cell r="L243"/>
          <cell r="M243"/>
          <cell r="N243"/>
          <cell r="O243"/>
          <cell r="P243"/>
          <cell r="Q243"/>
          <cell r="R243"/>
          <cell r="S243"/>
          <cell r="T243"/>
          <cell r="U243"/>
        </row>
        <row r="244">
          <cell r="A244"/>
          <cell r="B244"/>
          <cell r="C244"/>
          <cell r="D244"/>
          <cell r="E244"/>
          <cell r="F244"/>
          <cell r="G244"/>
          <cell r="H244"/>
          <cell r="I244"/>
          <cell r="J244"/>
          <cell r="K244"/>
          <cell r="L244"/>
          <cell r="M244"/>
          <cell r="N244"/>
          <cell r="O244"/>
          <cell r="P244"/>
          <cell r="Q244"/>
          <cell r="R244"/>
          <cell r="S244"/>
          <cell r="T244"/>
          <cell r="U244"/>
        </row>
        <row r="245">
          <cell r="A245"/>
          <cell r="B245"/>
          <cell r="C245"/>
          <cell r="D245"/>
          <cell r="E245"/>
          <cell r="F245"/>
          <cell r="G245"/>
          <cell r="H245"/>
          <cell r="I245"/>
          <cell r="J245"/>
          <cell r="K245"/>
          <cell r="L245"/>
          <cell r="M245"/>
          <cell r="N245"/>
          <cell r="O245"/>
          <cell r="P245"/>
          <cell r="Q245"/>
          <cell r="R245"/>
          <cell r="S245"/>
          <cell r="T245"/>
          <cell r="U245"/>
        </row>
        <row r="246">
          <cell r="A246"/>
          <cell r="B246"/>
          <cell r="C246"/>
          <cell r="D246"/>
          <cell r="E246"/>
          <cell r="F246"/>
          <cell r="G246"/>
          <cell r="H246"/>
          <cell r="I246"/>
          <cell r="J246"/>
          <cell r="K246"/>
          <cell r="L246"/>
          <cell r="M246"/>
          <cell r="N246"/>
          <cell r="O246"/>
          <cell r="P246"/>
          <cell r="Q246"/>
          <cell r="R246"/>
          <cell r="S246"/>
          <cell r="T246"/>
          <cell r="U246"/>
        </row>
        <row r="247">
          <cell r="A247"/>
          <cell r="B247"/>
          <cell r="C247"/>
          <cell r="D247"/>
          <cell r="E247"/>
          <cell r="F247"/>
          <cell r="G247"/>
          <cell r="H247"/>
          <cell r="I247"/>
          <cell r="J247"/>
          <cell r="K247"/>
          <cell r="L247"/>
          <cell r="M247"/>
          <cell r="N247"/>
          <cell r="O247"/>
          <cell r="P247"/>
          <cell r="Q247"/>
          <cell r="R247"/>
          <cell r="S247"/>
          <cell r="T247"/>
          <cell r="U247"/>
        </row>
        <row r="248">
          <cell r="A248"/>
          <cell r="B248"/>
          <cell r="C248"/>
          <cell r="D248"/>
          <cell r="E248"/>
          <cell r="F248"/>
          <cell r="G248"/>
          <cell r="H248"/>
          <cell r="I248"/>
          <cell r="J248"/>
          <cell r="K248"/>
          <cell r="L248"/>
          <cell r="M248"/>
          <cell r="N248"/>
          <cell r="O248"/>
          <cell r="P248"/>
          <cell r="Q248"/>
          <cell r="R248"/>
          <cell r="S248"/>
          <cell r="T248"/>
          <cell r="U248"/>
        </row>
        <row r="249">
          <cell r="A249"/>
          <cell r="B249"/>
          <cell r="C249"/>
          <cell r="D249"/>
          <cell r="E249"/>
          <cell r="F249"/>
          <cell r="G249"/>
          <cell r="H249"/>
          <cell r="I249"/>
          <cell r="J249"/>
          <cell r="K249"/>
          <cell r="L249"/>
          <cell r="M249"/>
          <cell r="N249"/>
          <cell r="O249"/>
          <cell r="P249"/>
          <cell r="Q249"/>
          <cell r="R249"/>
          <cell r="S249"/>
          <cell r="T249"/>
          <cell r="U249"/>
        </row>
        <row r="250">
          <cell r="A250"/>
          <cell r="B250"/>
          <cell r="C250"/>
          <cell r="D250"/>
          <cell r="E250"/>
          <cell r="F250"/>
          <cell r="G250"/>
          <cell r="H250"/>
          <cell r="I250"/>
          <cell r="J250"/>
          <cell r="K250"/>
          <cell r="L250"/>
          <cell r="M250"/>
          <cell r="N250"/>
          <cell r="O250"/>
          <cell r="P250"/>
          <cell r="Q250"/>
          <cell r="R250"/>
          <cell r="S250"/>
          <cell r="T250"/>
          <cell r="U250"/>
        </row>
        <row r="251">
          <cell r="A251"/>
          <cell r="B251"/>
          <cell r="C251"/>
          <cell r="D251"/>
          <cell r="E251"/>
          <cell r="F251"/>
          <cell r="G251"/>
          <cell r="H251"/>
          <cell r="I251"/>
          <cell r="J251"/>
          <cell r="K251"/>
          <cell r="L251"/>
          <cell r="M251"/>
          <cell r="N251"/>
          <cell r="O251"/>
          <cell r="P251"/>
          <cell r="Q251"/>
          <cell r="R251"/>
          <cell r="S251"/>
          <cell r="T251"/>
          <cell r="U251"/>
        </row>
        <row r="252">
          <cell r="A252"/>
          <cell r="B252"/>
          <cell r="C252"/>
          <cell r="D252"/>
          <cell r="E252"/>
          <cell r="F252"/>
          <cell r="G252"/>
          <cell r="H252"/>
          <cell r="I252"/>
          <cell r="J252"/>
          <cell r="K252"/>
          <cell r="L252"/>
          <cell r="M252"/>
          <cell r="N252"/>
          <cell r="O252"/>
          <cell r="P252"/>
          <cell r="Q252"/>
          <cell r="R252"/>
          <cell r="S252"/>
          <cell r="T252"/>
          <cell r="U252"/>
        </row>
        <row r="253">
          <cell r="A253"/>
          <cell r="B253"/>
          <cell r="C253"/>
          <cell r="D253"/>
          <cell r="E253"/>
          <cell r="F253"/>
          <cell r="G253"/>
          <cell r="H253"/>
          <cell r="I253"/>
          <cell r="J253"/>
          <cell r="K253"/>
          <cell r="L253"/>
          <cell r="M253"/>
          <cell r="N253"/>
          <cell r="O253"/>
          <cell r="P253"/>
          <cell r="Q253"/>
          <cell r="R253"/>
          <cell r="S253"/>
          <cell r="T253"/>
          <cell r="U253"/>
        </row>
        <row r="254">
          <cell r="A254"/>
          <cell r="B254"/>
          <cell r="C254"/>
          <cell r="D254"/>
          <cell r="E254"/>
          <cell r="F254"/>
          <cell r="G254"/>
          <cell r="H254"/>
          <cell r="I254"/>
          <cell r="J254"/>
          <cell r="K254"/>
          <cell r="L254"/>
          <cell r="M254"/>
          <cell r="N254"/>
          <cell r="O254"/>
          <cell r="P254"/>
          <cell r="Q254"/>
          <cell r="R254"/>
          <cell r="S254"/>
          <cell r="T254"/>
          <cell r="U254"/>
        </row>
        <row r="255">
          <cell r="A255"/>
          <cell r="B255"/>
          <cell r="C255"/>
          <cell r="D255"/>
          <cell r="E255"/>
          <cell r="F255"/>
          <cell r="G255"/>
          <cell r="H255"/>
          <cell r="I255"/>
          <cell r="J255"/>
          <cell r="K255"/>
          <cell r="L255"/>
          <cell r="M255"/>
          <cell r="N255"/>
          <cell r="O255"/>
          <cell r="P255"/>
          <cell r="Q255"/>
          <cell r="R255"/>
          <cell r="S255"/>
          <cell r="T255"/>
          <cell r="U255"/>
        </row>
        <row r="256">
          <cell r="A256"/>
          <cell r="B256"/>
          <cell r="C256"/>
          <cell r="D256"/>
          <cell r="E256"/>
          <cell r="F256"/>
          <cell r="G256"/>
          <cell r="H256"/>
          <cell r="I256"/>
          <cell r="J256"/>
          <cell r="K256"/>
          <cell r="L256"/>
          <cell r="M256"/>
          <cell r="N256"/>
          <cell r="O256"/>
          <cell r="P256"/>
          <cell r="Q256"/>
          <cell r="R256"/>
          <cell r="S256"/>
          <cell r="T256"/>
          <cell r="U256"/>
        </row>
        <row r="257">
          <cell r="A257"/>
          <cell r="B257"/>
          <cell r="C257"/>
          <cell r="D257"/>
          <cell r="E257"/>
          <cell r="F257"/>
          <cell r="G257"/>
          <cell r="H257"/>
          <cell r="I257"/>
          <cell r="J257"/>
          <cell r="K257"/>
          <cell r="L257"/>
          <cell r="M257"/>
          <cell r="N257"/>
          <cell r="O257"/>
          <cell r="P257"/>
          <cell r="Q257"/>
          <cell r="R257"/>
          <cell r="S257"/>
          <cell r="T257"/>
          <cell r="U257"/>
        </row>
        <row r="258">
          <cell r="A258"/>
          <cell r="B258"/>
          <cell r="C258"/>
          <cell r="D258"/>
          <cell r="E258"/>
          <cell r="F258"/>
          <cell r="G258"/>
          <cell r="H258"/>
          <cell r="I258"/>
          <cell r="J258"/>
          <cell r="K258"/>
          <cell r="L258"/>
          <cell r="M258"/>
          <cell r="N258"/>
          <cell r="O258"/>
          <cell r="P258"/>
          <cell r="Q258"/>
          <cell r="R258"/>
          <cell r="S258"/>
          <cell r="T258"/>
          <cell r="U258"/>
        </row>
        <row r="259">
          <cell r="A259"/>
          <cell r="B259"/>
          <cell r="C259"/>
          <cell r="D259"/>
          <cell r="E259"/>
          <cell r="F259"/>
          <cell r="G259"/>
          <cell r="H259"/>
          <cell r="I259"/>
          <cell r="J259"/>
          <cell r="K259"/>
          <cell r="L259"/>
          <cell r="M259"/>
          <cell r="N259"/>
          <cell r="O259"/>
          <cell r="P259"/>
          <cell r="Q259"/>
          <cell r="R259"/>
          <cell r="S259"/>
          <cell r="T259"/>
          <cell r="U259"/>
        </row>
        <row r="260">
          <cell r="A260"/>
          <cell r="B260"/>
          <cell r="C260"/>
          <cell r="D260"/>
          <cell r="E260"/>
          <cell r="F260"/>
          <cell r="G260"/>
          <cell r="H260"/>
          <cell r="I260"/>
          <cell r="J260"/>
          <cell r="K260"/>
          <cell r="L260"/>
          <cell r="M260"/>
          <cell r="N260"/>
          <cell r="O260"/>
          <cell r="P260"/>
          <cell r="Q260"/>
          <cell r="R260"/>
          <cell r="S260"/>
          <cell r="T260"/>
          <cell r="U260"/>
        </row>
        <row r="261">
          <cell r="A261"/>
          <cell r="B261"/>
          <cell r="C261"/>
          <cell r="D261"/>
          <cell r="E261"/>
          <cell r="F261"/>
          <cell r="G261"/>
          <cell r="H261"/>
          <cell r="I261"/>
          <cell r="J261"/>
          <cell r="K261"/>
          <cell r="L261"/>
          <cell r="M261"/>
          <cell r="N261"/>
          <cell r="O261"/>
          <cell r="P261"/>
          <cell r="Q261"/>
          <cell r="R261"/>
          <cell r="S261"/>
          <cell r="T261"/>
          <cell r="U261"/>
        </row>
        <row r="262">
          <cell r="A262"/>
          <cell r="B262"/>
          <cell r="C262"/>
          <cell r="D262"/>
          <cell r="E262"/>
          <cell r="F262"/>
          <cell r="G262"/>
          <cell r="H262"/>
          <cell r="I262"/>
          <cell r="J262"/>
          <cell r="K262"/>
          <cell r="L262"/>
          <cell r="M262"/>
          <cell r="N262"/>
          <cell r="O262"/>
          <cell r="P262"/>
          <cell r="Q262"/>
          <cell r="R262"/>
          <cell r="S262"/>
          <cell r="T262"/>
          <cell r="U262"/>
        </row>
        <row r="263">
          <cell r="A263"/>
          <cell r="B263"/>
          <cell r="C263"/>
          <cell r="D263"/>
          <cell r="E263"/>
          <cell r="F263"/>
          <cell r="G263"/>
          <cell r="H263"/>
          <cell r="I263"/>
          <cell r="J263"/>
          <cell r="K263"/>
          <cell r="L263"/>
          <cell r="M263"/>
          <cell r="N263"/>
          <cell r="O263"/>
          <cell r="P263"/>
          <cell r="Q263"/>
          <cell r="R263"/>
          <cell r="S263"/>
          <cell r="T263"/>
          <cell r="U263"/>
        </row>
        <row r="264">
          <cell r="A264"/>
          <cell r="B264"/>
          <cell r="C264"/>
          <cell r="D264"/>
          <cell r="E264"/>
          <cell r="F264"/>
          <cell r="G264"/>
          <cell r="H264"/>
          <cell r="I264"/>
          <cell r="J264"/>
          <cell r="K264"/>
          <cell r="L264"/>
          <cell r="M264"/>
          <cell r="N264"/>
          <cell r="O264"/>
          <cell r="P264"/>
          <cell r="Q264"/>
          <cell r="R264"/>
          <cell r="S264"/>
          <cell r="T264"/>
          <cell r="U264"/>
        </row>
        <row r="265">
          <cell r="A265"/>
          <cell r="B265"/>
          <cell r="C265"/>
          <cell r="D265"/>
          <cell r="E265"/>
          <cell r="F265"/>
          <cell r="G265"/>
          <cell r="H265"/>
          <cell r="I265"/>
          <cell r="J265"/>
          <cell r="K265"/>
          <cell r="L265"/>
          <cell r="M265"/>
          <cell r="N265"/>
          <cell r="O265"/>
          <cell r="P265"/>
          <cell r="Q265"/>
          <cell r="R265"/>
          <cell r="S265"/>
          <cell r="T265"/>
          <cell r="U265"/>
        </row>
        <row r="266">
          <cell r="A266"/>
          <cell r="B266"/>
          <cell r="C266"/>
          <cell r="D266"/>
          <cell r="E266"/>
          <cell r="F266"/>
          <cell r="G266"/>
          <cell r="H266"/>
          <cell r="I266"/>
          <cell r="J266"/>
          <cell r="K266"/>
          <cell r="L266"/>
          <cell r="M266"/>
          <cell r="N266"/>
          <cell r="O266"/>
          <cell r="P266"/>
          <cell r="Q266"/>
          <cell r="R266"/>
          <cell r="S266"/>
          <cell r="T266"/>
          <cell r="U266"/>
        </row>
        <row r="267">
          <cell r="A267"/>
          <cell r="B267"/>
          <cell r="C267"/>
          <cell r="D267"/>
          <cell r="E267"/>
          <cell r="F267"/>
          <cell r="G267"/>
          <cell r="H267"/>
          <cell r="I267"/>
          <cell r="J267"/>
          <cell r="K267"/>
          <cell r="L267"/>
          <cell r="M267"/>
          <cell r="N267"/>
          <cell r="O267"/>
          <cell r="P267"/>
          <cell r="Q267"/>
          <cell r="R267"/>
          <cell r="S267"/>
          <cell r="T267"/>
          <cell r="U267"/>
        </row>
        <row r="268">
          <cell r="A268"/>
          <cell r="B268"/>
          <cell r="C268"/>
          <cell r="D268"/>
          <cell r="E268"/>
          <cell r="F268"/>
          <cell r="G268"/>
          <cell r="H268"/>
          <cell r="I268"/>
          <cell r="J268"/>
          <cell r="K268"/>
          <cell r="L268"/>
          <cell r="M268"/>
          <cell r="N268"/>
          <cell r="O268"/>
          <cell r="P268"/>
          <cell r="Q268"/>
          <cell r="R268"/>
          <cell r="S268"/>
          <cell r="T268"/>
          <cell r="U268"/>
        </row>
        <row r="269">
          <cell r="A269"/>
          <cell r="B269"/>
          <cell r="C269"/>
          <cell r="D269"/>
          <cell r="E269"/>
          <cell r="F269"/>
          <cell r="G269"/>
          <cell r="H269"/>
          <cell r="I269"/>
          <cell r="J269"/>
          <cell r="K269"/>
          <cell r="L269"/>
          <cell r="M269"/>
          <cell r="N269"/>
          <cell r="O269"/>
          <cell r="P269"/>
          <cell r="Q269"/>
          <cell r="R269"/>
          <cell r="S269"/>
          <cell r="T269"/>
          <cell r="U269"/>
        </row>
        <row r="270">
          <cell r="A270"/>
          <cell r="B270"/>
          <cell r="C270"/>
          <cell r="D270"/>
          <cell r="E270"/>
          <cell r="F270"/>
          <cell r="G270"/>
          <cell r="H270"/>
          <cell r="I270"/>
          <cell r="J270"/>
          <cell r="K270"/>
          <cell r="L270"/>
          <cell r="M270"/>
          <cell r="N270"/>
          <cell r="O270"/>
          <cell r="P270"/>
          <cell r="Q270"/>
          <cell r="R270"/>
          <cell r="S270"/>
          <cell r="T270"/>
          <cell r="U270"/>
        </row>
        <row r="271">
          <cell r="A271"/>
          <cell r="B271"/>
          <cell r="C271"/>
          <cell r="D271"/>
          <cell r="E271"/>
          <cell r="F271"/>
          <cell r="G271"/>
          <cell r="H271"/>
          <cell r="I271"/>
          <cell r="J271"/>
          <cell r="K271"/>
          <cell r="L271"/>
          <cell r="M271"/>
          <cell r="N271"/>
          <cell r="O271"/>
          <cell r="P271"/>
          <cell r="Q271"/>
          <cell r="R271"/>
          <cell r="S271"/>
          <cell r="T271"/>
          <cell r="U271"/>
        </row>
        <row r="272">
          <cell r="A272"/>
          <cell r="B272"/>
          <cell r="C272"/>
          <cell r="D272"/>
          <cell r="E272"/>
          <cell r="F272"/>
          <cell r="G272"/>
          <cell r="H272"/>
          <cell r="I272"/>
          <cell r="J272"/>
          <cell r="K272"/>
          <cell r="L272"/>
          <cell r="M272"/>
          <cell r="N272"/>
          <cell r="O272"/>
          <cell r="P272"/>
          <cell r="Q272"/>
          <cell r="R272"/>
          <cell r="S272"/>
          <cell r="T272"/>
          <cell r="U272"/>
        </row>
        <row r="273">
          <cell r="A273"/>
          <cell r="B273"/>
          <cell r="C273"/>
          <cell r="D273"/>
          <cell r="E273"/>
          <cell r="F273"/>
          <cell r="G273"/>
          <cell r="H273"/>
          <cell r="I273"/>
          <cell r="J273"/>
          <cell r="K273"/>
          <cell r="L273"/>
          <cell r="M273"/>
          <cell r="N273"/>
          <cell r="O273"/>
          <cell r="P273"/>
          <cell r="Q273"/>
          <cell r="R273"/>
          <cell r="S273"/>
          <cell r="T273"/>
          <cell r="U273"/>
        </row>
        <row r="274">
          <cell r="A274"/>
          <cell r="B274"/>
          <cell r="C274"/>
          <cell r="D274"/>
          <cell r="E274"/>
          <cell r="F274"/>
          <cell r="G274"/>
          <cell r="H274"/>
          <cell r="I274"/>
          <cell r="J274"/>
          <cell r="K274"/>
          <cell r="L274"/>
          <cell r="M274"/>
          <cell r="N274"/>
          <cell r="O274"/>
          <cell r="P274"/>
          <cell r="Q274"/>
          <cell r="R274"/>
          <cell r="S274"/>
          <cell r="T274"/>
          <cell r="U274"/>
        </row>
        <row r="275">
          <cell r="A275"/>
          <cell r="B275"/>
          <cell r="C275"/>
          <cell r="D275"/>
          <cell r="E275"/>
          <cell r="F275"/>
          <cell r="G275"/>
          <cell r="H275"/>
          <cell r="I275"/>
          <cell r="J275"/>
          <cell r="K275"/>
          <cell r="L275"/>
          <cell r="M275"/>
          <cell r="N275"/>
          <cell r="O275"/>
          <cell r="P275"/>
          <cell r="Q275"/>
          <cell r="R275"/>
          <cell r="S275"/>
          <cell r="T275"/>
          <cell r="U275"/>
        </row>
        <row r="276">
          <cell r="A276"/>
          <cell r="B276"/>
          <cell r="C276"/>
          <cell r="D276"/>
          <cell r="E276"/>
          <cell r="F276"/>
          <cell r="G276"/>
          <cell r="H276"/>
          <cell r="I276"/>
          <cell r="J276"/>
          <cell r="K276"/>
          <cell r="L276"/>
          <cell r="M276"/>
          <cell r="N276"/>
          <cell r="O276"/>
          <cell r="P276"/>
          <cell r="Q276"/>
          <cell r="R276"/>
          <cell r="S276"/>
          <cell r="T276"/>
          <cell r="U276"/>
        </row>
        <row r="277">
          <cell r="A277"/>
          <cell r="B277"/>
          <cell r="C277"/>
          <cell r="D277"/>
          <cell r="E277"/>
          <cell r="F277"/>
          <cell r="G277"/>
          <cell r="H277"/>
          <cell r="I277"/>
          <cell r="J277"/>
          <cell r="K277"/>
          <cell r="L277"/>
          <cell r="M277"/>
          <cell r="N277"/>
          <cell r="O277"/>
          <cell r="P277"/>
          <cell r="Q277"/>
          <cell r="R277"/>
          <cell r="S277"/>
          <cell r="T277"/>
          <cell r="U277"/>
        </row>
        <row r="278">
          <cell r="A278"/>
          <cell r="B278"/>
          <cell r="C278"/>
          <cell r="D278"/>
          <cell r="E278"/>
          <cell r="F278"/>
          <cell r="G278"/>
          <cell r="H278"/>
          <cell r="I278"/>
          <cell r="J278"/>
          <cell r="K278"/>
          <cell r="L278"/>
          <cell r="M278"/>
          <cell r="N278"/>
          <cell r="O278"/>
          <cell r="P278"/>
          <cell r="Q278"/>
          <cell r="R278"/>
          <cell r="S278"/>
          <cell r="T278"/>
          <cell r="U278"/>
        </row>
        <row r="279">
          <cell r="A279"/>
          <cell r="B279"/>
          <cell r="C279"/>
          <cell r="D279"/>
          <cell r="E279"/>
          <cell r="F279"/>
          <cell r="G279"/>
          <cell r="H279"/>
          <cell r="I279"/>
          <cell r="J279"/>
          <cell r="K279"/>
          <cell r="L279"/>
          <cell r="M279"/>
          <cell r="N279"/>
          <cell r="O279"/>
          <cell r="P279"/>
          <cell r="Q279"/>
          <cell r="R279"/>
          <cell r="S279"/>
          <cell r="T279"/>
          <cell r="U279"/>
        </row>
        <row r="280">
          <cell r="A280"/>
          <cell r="B280"/>
          <cell r="C280"/>
          <cell r="D280"/>
          <cell r="E280"/>
          <cell r="F280"/>
          <cell r="G280"/>
          <cell r="H280"/>
          <cell r="I280"/>
          <cell r="J280"/>
          <cell r="K280"/>
          <cell r="L280"/>
          <cell r="M280"/>
          <cell r="N280"/>
          <cell r="O280"/>
          <cell r="P280"/>
          <cell r="Q280"/>
          <cell r="R280"/>
          <cell r="S280"/>
          <cell r="T280"/>
          <cell r="U280"/>
        </row>
        <row r="281">
          <cell r="A281"/>
          <cell r="B281"/>
          <cell r="C281"/>
          <cell r="D281"/>
          <cell r="E281"/>
          <cell r="F281"/>
          <cell r="G281"/>
          <cell r="H281"/>
          <cell r="I281"/>
          <cell r="J281"/>
          <cell r="K281"/>
          <cell r="L281"/>
          <cell r="M281"/>
          <cell r="N281"/>
          <cell r="O281"/>
          <cell r="P281"/>
          <cell r="Q281"/>
          <cell r="R281"/>
          <cell r="S281"/>
          <cell r="T281"/>
          <cell r="U281"/>
        </row>
        <row r="282">
          <cell r="A282"/>
          <cell r="B282"/>
          <cell r="C282"/>
          <cell r="D282"/>
          <cell r="E282"/>
          <cell r="F282"/>
          <cell r="G282"/>
          <cell r="H282"/>
          <cell r="I282"/>
          <cell r="J282"/>
          <cell r="K282"/>
          <cell r="L282"/>
          <cell r="M282"/>
          <cell r="N282"/>
          <cell r="O282"/>
          <cell r="P282"/>
          <cell r="Q282"/>
          <cell r="R282"/>
          <cell r="S282"/>
          <cell r="T282"/>
          <cell r="U282"/>
        </row>
        <row r="283">
          <cell r="A283"/>
          <cell r="B283"/>
          <cell r="C283"/>
          <cell r="D283"/>
          <cell r="E283"/>
          <cell r="F283"/>
          <cell r="G283"/>
          <cell r="H283"/>
          <cell r="I283"/>
          <cell r="J283"/>
          <cell r="K283"/>
          <cell r="L283"/>
          <cell r="M283"/>
          <cell r="N283"/>
          <cell r="O283"/>
          <cell r="P283"/>
          <cell r="Q283"/>
          <cell r="R283"/>
          <cell r="S283"/>
          <cell r="T283"/>
          <cell r="U283"/>
        </row>
        <row r="284">
          <cell r="A284"/>
          <cell r="B284"/>
          <cell r="C284"/>
          <cell r="D284"/>
          <cell r="E284"/>
          <cell r="F284"/>
          <cell r="G284"/>
          <cell r="H284"/>
          <cell r="I284"/>
          <cell r="J284"/>
          <cell r="K284"/>
          <cell r="L284"/>
          <cell r="M284"/>
          <cell r="N284"/>
          <cell r="O284"/>
          <cell r="P284"/>
          <cell r="Q284"/>
          <cell r="R284"/>
          <cell r="S284"/>
          <cell r="T284"/>
          <cell r="U284"/>
        </row>
        <row r="285">
          <cell r="A285"/>
          <cell r="B285"/>
          <cell r="C285"/>
          <cell r="D285"/>
          <cell r="E285"/>
          <cell r="F285"/>
          <cell r="G285"/>
          <cell r="H285"/>
          <cell r="I285"/>
          <cell r="J285"/>
          <cell r="K285"/>
          <cell r="L285"/>
          <cell r="M285"/>
          <cell r="N285"/>
          <cell r="O285"/>
          <cell r="P285"/>
          <cell r="Q285"/>
          <cell r="R285"/>
          <cell r="S285"/>
          <cell r="T285"/>
          <cell r="U285"/>
        </row>
        <row r="286">
          <cell r="A286"/>
          <cell r="B286"/>
          <cell r="C286"/>
          <cell r="D286"/>
          <cell r="E286"/>
          <cell r="F286"/>
          <cell r="G286"/>
          <cell r="H286"/>
          <cell r="I286"/>
          <cell r="J286"/>
          <cell r="K286"/>
          <cell r="L286"/>
          <cell r="M286"/>
          <cell r="N286"/>
          <cell r="O286"/>
          <cell r="P286"/>
          <cell r="Q286"/>
          <cell r="R286"/>
          <cell r="S286"/>
          <cell r="T286"/>
          <cell r="U286"/>
        </row>
        <row r="287">
          <cell r="A287"/>
          <cell r="B287"/>
          <cell r="C287"/>
          <cell r="D287"/>
          <cell r="E287"/>
          <cell r="F287"/>
          <cell r="G287"/>
          <cell r="H287"/>
          <cell r="I287"/>
          <cell r="J287"/>
          <cell r="K287"/>
          <cell r="L287"/>
          <cell r="M287"/>
          <cell r="N287"/>
          <cell r="O287"/>
          <cell r="P287"/>
          <cell r="Q287"/>
          <cell r="R287"/>
          <cell r="S287"/>
          <cell r="T287"/>
          <cell r="U287"/>
        </row>
        <row r="288">
          <cell r="A288"/>
          <cell r="B288"/>
          <cell r="C288"/>
          <cell r="D288"/>
          <cell r="E288"/>
          <cell r="F288"/>
          <cell r="G288"/>
          <cell r="H288"/>
          <cell r="I288"/>
          <cell r="J288"/>
          <cell r="K288"/>
          <cell r="L288"/>
          <cell r="M288"/>
          <cell r="N288"/>
          <cell r="O288"/>
          <cell r="P288"/>
          <cell r="Q288"/>
          <cell r="R288"/>
          <cell r="S288"/>
          <cell r="T288"/>
          <cell r="U288"/>
        </row>
        <row r="289">
          <cell r="A289"/>
          <cell r="B289"/>
          <cell r="C289"/>
          <cell r="D289"/>
          <cell r="E289"/>
          <cell r="F289"/>
          <cell r="G289"/>
          <cell r="H289"/>
          <cell r="I289"/>
          <cell r="J289"/>
          <cell r="K289"/>
          <cell r="L289"/>
          <cell r="M289"/>
          <cell r="N289"/>
          <cell r="O289"/>
          <cell r="P289"/>
          <cell r="Q289"/>
          <cell r="R289"/>
          <cell r="S289"/>
          <cell r="T289"/>
          <cell r="U289"/>
        </row>
        <row r="290">
          <cell r="A290"/>
          <cell r="B290"/>
          <cell r="C290"/>
          <cell r="D290"/>
          <cell r="E290"/>
          <cell r="F290"/>
          <cell r="G290"/>
          <cell r="H290"/>
          <cell r="I290"/>
          <cell r="J290"/>
          <cell r="K290"/>
          <cell r="L290"/>
          <cell r="M290"/>
          <cell r="N290"/>
          <cell r="O290"/>
          <cell r="P290"/>
          <cell r="Q290"/>
          <cell r="R290"/>
          <cell r="S290"/>
          <cell r="T290"/>
          <cell r="U290"/>
        </row>
        <row r="291">
          <cell r="A291"/>
          <cell r="B291"/>
          <cell r="C291"/>
          <cell r="D291"/>
          <cell r="E291"/>
          <cell r="F291"/>
          <cell r="G291"/>
          <cell r="H291"/>
          <cell r="I291"/>
          <cell r="J291"/>
          <cell r="K291"/>
          <cell r="L291"/>
          <cell r="M291"/>
          <cell r="N291"/>
          <cell r="O291"/>
          <cell r="P291"/>
          <cell r="Q291"/>
          <cell r="R291"/>
          <cell r="S291"/>
          <cell r="T291"/>
          <cell r="U291"/>
        </row>
        <row r="292">
          <cell r="A292"/>
          <cell r="B292"/>
          <cell r="C292"/>
          <cell r="D292"/>
          <cell r="E292"/>
          <cell r="F292"/>
          <cell r="G292"/>
          <cell r="H292"/>
          <cell r="I292"/>
          <cell r="J292"/>
          <cell r="K292"/>
          <cell r="L292"/>
          <cell r="M292"/>
          <cell r="N292"/>
          <cell r="O292"/>
          <cell r="P292"/>
          <cell r="Q292"/>
          <cell r="R292"/>
          <cell r="S292"/>
          <cell r="T292"/>
          <cell r="U292"/>
        </row>
        <row r="293">
          <cell r="A293"/>
          <cell r="B293"/>
          <cell r="C293"/>
          <cell r="D293"/>
          <cell r="E293"/>
          <cell r="F293"/>
          <cell r="G293"/>
          <cell r="H293"/>
          <cell r="I293"/>
          <cell r="J293"/>
          <cell r="K293"/>
          <cell r="L293"/>
          <cell r="M293"/>
          <cell r="N293"/>
          <cell r="O293"/>
          <cell r="P293"/>
          <cell r="Q293"/>
          <cell r="R293"/>
          <cell r="S293"/>
          <cell r="T293"/>
          <cell r="U293"/>
        </row>
        <row r="294">
          <cell r="A294"/>
          <cell r="B294"/>
          <cell r="C294"/>
          <cell r="D294"/>
          <cell r="E294"/>
          <cell r="F294"/>
          <cell r="G294"/>
          <cell r="H294"/>
          <cell r="I294"/>
          <cell r="J294"/>
          <cell r="K294"/>
          <cell r="L294"/>
          <cell r="M294"/>
          <cell r="N294"/>
          <cell r="O294"/>
          <cell r="P294"/>
          <cell r="Q294"/>
          <cell r="R294"/>
          <cell r="S294"/>
          <cell r="T294"/>
          <cell r="U294"/>
        </row>
        <row r="295">
          <cell r="A295"/>
          <cell r="B295"/>
          <cell r="C295"/>
          <cell r="D295"/>
          <cell r="E295"/>
          <cell r="F295"/>
          <cell r="G295"/>
          <cell r="H295"/>
          <cell r="I295"/>
          <cell r="J295"/>
          <cell r="K295"/>
          <cell r="L295"/>
          <cell r="M295"/>
          <cell r="N295"/>
          <cell r="O295"/>
          <cell r="P295"/>
          <cell r="Q295"/>
          <cell r="R295"/>
          <cell r="S295"/>
          <cell r="T295"/>
          <cell r="U295"/>
        </row>
        <row r="296">
          <cell r="A296"/>
          <cell r="B296"/>
          <cell r="C296"/>
          <cell r="D296"/>
          <cell r="E296"/>
          <cell r="F296"/>
          <cell r="G296"/>
          <cell r="H296"/>
          <cell r="I296"/>
          <cell r="J296"/>
          <cell r="K296"/>
          <cell r="L296"/>
          <cell r="M296"/>
          <cell r="N296"/>
          <cell r="O296"/>
          <cell r="P296"/>
          <cell r="Q296"/>
          <cell r="R296"/>
          <cell r="S296"/>
          <cell r="T296"/>
          <cell r="U296"/>
        </row>
        <row r="297">
          <cell r="A297"/>
          <cell r="B297"/>
          <cell r="C297"/>
          <cell r="D297"/>
          <cell r="E297"/>
          <cell r="F297"/>
          <cell r="G297"/>
          <cell r="H297"/>
          <cell r="I297"/>
          <cell r="J297"/>
          <cell r="K297"/>
          <cell r="L297"/>
          <cell r="M297"/>
          <cell r="N297"/>
          <cell r="O297"/>
          <cell r="P297"/>
          <cell r="Q297"/>
          <cell r="R297"/>
          <cell r="S297"/>
          <cell r="T297"/>
          <cell r="U297"/>
        </row>
        <row r="298">
          <cell r="A298"/>
          <cell r="B298"/>
          <cell r="C298"/>
          <cell r="D298"/>
          <cell r="E298"/>
          <cell r="F298"/>
          <cell r="G298"/>
          <cell r="H298"/>
          <cell r="I298"/>
          <cell r="J298"/>
          <cell r="K298"/>
          <cell r="L298"/>
          <cell r="M298"/>
          <cell r="N298"/>
          <cell r="O298"/>
          <cell r="P298"/>
          <cell r="Q298"/>
          <cell r="R298"/>
          <cell r="S298"/>
          <cell r="T298"/>
          <cell r="U298"/>
        </row>
        <row r="299">
          <cell r="A299"/>
          <cell r="B299"/>
          <cell r="C299"/>
          <cell r="D299"/>
          <cell r="E299"/>
          <cell r="F299"/>
          <cell r="G299"/>
          <cell r="H299"/>
          <cell r="I299"/>
          <cell r="J299"/>
          <cell r="K299"/>
          <cell r="L299"/>
          <cell r="M299"/>
          <cell r="N299"/>
          <cell r="O299"/>
          <cell r="P299"/>
          <cell r="Q299"/>
          <cell r="R299"/>
          <cell r="S299"/>
          <cell r="T299"/>
          <cell r="U299"/>
        </row>
        <row r="300">
          <cell r="A300"/>
          <cell r="B300"/>
          <cell r="C300"/>
          <cell r="D300"/>
          <cell r="E300"/>
          <cell r="F300"/>
          <cell r="G300"/>
          <cell r="H300"/>
          <cell r="I300"/>
          <cell r="J300"/>
          <cell r="K300"/>
          <cell r="L300"/>
          <cell r="M300"/>
          <cell r="N300"/>
          <cell r="O300"/>
          <cell r="P300"/>
          <cell r="Q300"/>
          <cell r="R300"/>
          <cell r="S300"/>
          <cell r="T300"/>
          <cell r="U300"/>
        </row>
        <row r="301">
          <cell r="A301"/>
          <cell r="B301"/>
          <cell r="C301"/>
          <cell r="D301"/>
          <cell r="E301"/>
          <cell r="F301"/>
          <cell r="G301"/>
          <cell r="H301"/>
          <cell r="I301"/>
          <cell r="J301"/>
          <cell r="K301"/>
          <cell r="L301"/>
          <cell r="M301"/>
          <cell r="N301"/>
          <cell r="O301"/>
          <cell r="P301"/>
          <cell r="Q301"/>
          <cell r="R301"/>
          <cell r="S301"/>
          <cell r="T301"/>
          <cell r="U301"/>
        </row>
        <row r="302">
          <cell r="A302"/>
          <cell r="B302"/>
          <cell r="C302"/>
          <cell r="D302"/>
          <cell r="E302"/>
          <cell r="F302"/>
          <cell r="G302"/>
          <cell r="H302"/>
          <cell r="I302"/>
          <cell r="J302"/>
          <cell r="K302"/>
          <cell r="L302"/>
          <cell r="M302"/>
          <cell r="N302"/>
          <cell r="O302"/>
          <cell r="P302"/>
          <cell r="Q302"/>
          <cell r="R302"/>
          <cell r="S302"/>
          <cell r="T302"/>
          <cell r="U302"/>
        </row>
        <row r="303">
          <cell r="A303"/>
          <cell r="B303"/>
          <cell r="C303"/>
          <cell r="D303"/>
          <cell r="E303"/>
          <cell r="F303"/>
          <cell r="G303"/>
          <cell r="H303"/>
          <cell r="I303"/>
          <cell r="J303"/>
          <cell r="K303"/>
          <cell r="L303"/>
          <cell r="M303"/>
          <cell r="N303"/>
          <cell r="O303"/>
          <cell r="P303"/>
          <cell r="Q303"/>
          <cell r="R303"/>
          <cell r="S303"/>
          <cell r="T303"/>
          <cell r="U303"/>
        </row>
        <row r="304">
          <cell r="A304"/>
          <cell r="B304"/>
          <cell r="C304"/>
          <cell r="D304"/>
          <cell r="E304"/>
          <cell r="F304"/>
          <cell r="G304"/>
          <cell r="H304"/>
          <cell r="I304"/>
          <cell r="J304"/>
          <cell r="K304"/>
          <cell r="L304"/>
          <cell r="M304"/>
          <cell r="N304"/>
          <cell r="O304"/>
          <cell r="P304"/>
          <cell r="Q304"/>
          <cell r="R304"/>
          <cell r="S304"/>
          <cell r="T304"/>
          <cell r="U304"/>
        </row>
        <row r="305">
          <cell r="A305"/>
          <cell r="B305"/>
          <cell r="C305"/>
          <cell r="D305"/>
          <cell r="E305"/>
          <cell r="F305"/>
          <cell r="G305"/>
          <cell r="H305"/>
          <cell r="I305"/>
          <cell r="J305"/>
          <cell r="K305"/>
          <cell r="L305"/>
          <cell r="M305"/>
          <cell r="N305"/>
          <cell r="O305"/>
          <cell r="P305"/>
          <cell r="Q305"/>
          <cell r="R305"/>
          <cell r="S305"/>
          <cell r="T305"/>
          <cell r="U305"/>
        </row>
        <row r="306">
          <cell r="A306"/>
          <cell r="B306"/>
          <cell r="C306"/>
          <cell r="D306"/>
          <cell r="E306"/>
          <cell r="F306"/>
          <cell r="G306"/>
          <cell r="H306"/>
          <cell r="I306"/>
          <cell r="J306"/>
          <cell r="K306"/>
          <cell r="L306"/>
          <cell r="M306"/>
          <cell r="N306"/>
          <cell r="O306"/>
          <cell r="P306"/>
          <cell r="Q306"/>
          <cell r="R306"/>
          <cell r="S306"/>
          <cell r="T306"/>
          <cell r="U306"/>
        </row>
        <row r="307">
          <cell r="A307"/>
          <cell r="B307"/>
          <cell r="C307"/>
          <cell r="D307"/>
          <cell r="E307"/>
          <cell r="F307"/>
          <cell r="G307"/>
          <cell r="H307"/>
          <cell r="I307"/>
          <cell r="J307"/>
          <cell r="K307"/>
          <cell r="L307"/>
          <cell r="M307"/>
          <cell r="N307"/>
          <cell r="O307"/>
          <cell r="P307"/>
          <cell r="Q307"/>
          <cell r="R307"/>
          <cell r="S307"/>
          <cell r="T307"/>
          <cell r="U307"/>
        </row>
        <row r="308">
          <cell r="A308"/>
          <cell r="B308"/>
          <cell r="C308"/>
          <cell r="D308"/>
          <cell r="E308"/>
          <cell r="F308"/>
          <cell r="G308"/>
          <cell r="H308"/>
          <cell r="I308"/>
          <cell r="J308"/>
          <cell r="K308"/>
          <cell r="L308"/>
          <cell r="M308"/>
          <cell r="N308"/>
          <cell r="O308"/>
          <cell r="P308"/>
          <cell r="Q308"/>
          <cell r="R308"/>
          <cell r="S308"/>
          <cell r="T308"/>
          <cell r="U308"/>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PGOCFVOKLNJVBJL3DAS6M3U4NB">
      <xxl21:absoluteUrl r:id="rId2"/>
      <xxl21:relativeUrl r:id="rId3"/>
    </xxl21:alternateUrls>
    <sheetNames>
      <sheetName val="PRIORIZADOS"/>
      <sheetName val="DEMANDA"/>
      <sheetName val="OPERACIONES-ACTIVIDADES"/>
      <sheetName val="MESAS DIRECTIVOS IE"/>
      <sheetName val="ACTIVIDADES  "/>
      <sheetName val="COLEGIOS"/>
      <sheetName val="LISTAS"/>
      <sheetName val="MANUALES DE CONVIVENCIA IED"/>
      <sheetName val="PEGRCC Y GOBIERNOS ESCOLARES,"/>
      <sheetName val="MANUAL DE CONVIVENCIA PRIVADOS"/>
    </sheetNames>
    <sheetDataSet>
      <sheetData sheetId="0">
        <row r="1">
          <cell r="A1"/>
          <cell r="B1" t="str">
            <v>Te</v>
          </cell>
          <cell r="C1"/>
          <cell r="D1"/>
          <cell r="E1">
            <v>1</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11. SUBA</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Unico</v>
          </cell>
          <cell r="B7" t="str">
            <v>NÚMERO DE EE
(Enumere los EE que serán visitados en el período)</v>
          </cell>
          <cell r="C7"/>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el seguimiento y/o verificación realizada o por realizar sobre los compromisos o PMI acordados)</v>
          </cell>
        </row>
        <row r="8">
          <cell r="A8">
            <v>1929</v>
          </cell>
          <cell r="B8">
            <v>1</v>
          </cell>
          <cell r="C8" t="str">
            <v>SUBA</v>
          </cell>
          <cell r="D8" t="str">
            <v>PRIVADO</v>
          </cell>
          <cell r="E8" t="str">
            <v>Educación de Jóvenes y Adultos</v>
          </cell>
          <cell r="F8" t="str">
            <v>INSTITUTO_FORMATES</v>
          </cell>
          <cell r="G8" t="str">
            <v>INSTITUTO_FORMATES</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ALBA DEL PILAR CUBIDES CÁCERES</v>
          </cell>
          <cell r="L8" t="str">
            <v>SONIA CONSTANZA URREGO GONZÁLEZ</v>
          </cell>
          <cell r="M8">
            <v>45881</v>
          </cell>
          <cell r="N8">
            <v>45933</v>
          </cell>
          <cell r="O8">
            <v>45933</v>
          </cell>
          <cell r="P8" t="str">
            <v>Visitas de evaluación con fines de seguimiento</v>
          </cell>
          <cell r="Q8" t="str">
            <v>20251008ActaFormates.pdf</v>
          </cell>
          <cell r="R8" t="str">
            <v>Una vez realizada visita, se encuentra que la informaciòn reporrtada coindide en cuanto espacios físicos, dotación y estructura administrativa, no obstante la vinculación docente no está acorde con lo establedido en la normatividad vigente</v>
          </cell>
          <cell r="S8" t="str">
            <v>Seguir con los proceso de revisión y autoevaluanión anual.</v>
          </cell>
          <cell r="T8" t="str">
            <v>Si</v>
          </cell>
          <cell r="U8" t="str">
            <v>Ninguna</v>
          </cell>
        </row>
        <row r="9">
          <cell r="A9">
            <v>1930</v>
          </cell>
          <cell r="B9">
            <v>1</v>
          </cell>
          <cell r="C9" t="str">
            <v>SUBA</v>
          </cell>
          <cell r="D9" t="str">
            <v>PRIVADO</v>
          </cell>
          <cell r="E9" t="str">
            <v>Educación de Jóvenes y Adultos</v>
          </cell>
          <cell r="F9" t="str">
            <v>INSTITUTO_FORMATES</v>
          </cell>
          <cell r="G9" t="str">
            <v>INSTITUTO_FORMATES</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ALBA DEL PILAR CUBIDES CÁCERES</v>
          </cell>
          <cell r="L9" t="str">
            <v>SONIA CONSTANZA URREGO GONZÁLEZ</v>
          </cell>
          <cell r="M9">
            <v>45881</v>
          </cell>
          <cell r="N9">
            <v>45933</v>
          </cell>
          <cell r="O9">
            <v>45933</v>
          </cell>
          <cell r="P9" t="str">
            <v>Visitas de evaluación con fines de seguimiento</v>
          </cell>
          <cell r="Q9" t="str">
            <v>20251008ActaFormates.pdf</v>
          </cell>
          <cell r="R9" t="str">
            <v>Realizada vìsita se observa que, la instituciòn no actualizò el curriculo ni el plan de estudios de acuerdo a la pruebas saber, pero si  implementó  acciones para mejorar las pruebas SABER 11</v>
          </cell>
          <cell r="S9" t="str">
            <v>Se debe presentar plan de mejoramiento a màs tardar el dìa 20 de octubre  de 2025, en el cual se informe las actividades, el tiempo y el funcionario a cargo</v>
          </cell>
          <cell r="T9" t="str">
            <v>Si</v>
          </cell>
          <cell r="U9" t="str">
            <v>Realizar visita cuando se ejecute  la totalidad del plan de mejora</v>
          </cell>
        </row>
        <row r="10">
          <cell r="A10">
            <v>1931</v>
          </cell>
          <cell r="B10">
            <v>1</v>
          </cell>
          <cell r="C10" t="str">
            <v>SUBA</v>
          </cell>
          <cell r="D10" t="str">
            <v>PRIVADO</v>
          </cell>
          <cell r="E10" t="str">
            <v>Educación de Jóvenes y Adultos</v>
          </cell>
          <cell r="F10" t="str">
            <v>INSTITUTO_FORMATES</v>
          </cell>
          <cell r="G10" t="str">
            <v>INSTITUTO_FORMATES</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ALBA DEL PILAR CUBIDES CÁCERES</v>
          </cell>
          <cell r="L10" t="str">
            <v>SONIA CONSTANZA URREGO GONZÁLEZ</v>
          </cell>
          <cell r="M10">
            <v>45883</v>
          </cell>
          <cell r="N10">
            <v>45933</v>
          </cell>
          <cell r="O10">
            <v>45933</v>
          </cell>
          <cell r="P10" t="str">
            <v>Visitas de evaluación con fines de seguimiento</v>
          </cell>
          <cell r="Q10" t="str">
            <v>20251008ActaFormates.pdf</v>
          </cell>
          <cell r="R10" t="str">
            <v xml:space="preserve">La instituciòn no cumple teniendo en cuenta que,no  tiene conformado el comite de acuerdo al art 12 de la ley 1620 de 2013, por lo que no ha realizado aaciones para la prevención y atención de las situaciones de convivencia </v>
          </cell>
          <cell r="S10" t="str">
            <v>Se debe presentar plan de mejoramiento a màs tardar el dìa 20 de octubre de 2025, en el cual se informe las actividades, el tiempo y el funcionario a cargo; por lo queno se han realizado acciones de prevención y ayención a las situaciones de convivencia</v>
          </cell>
          <cell r="T10" t="str">
            <v>Si</v>
          </cell>
          <cell r="U10" t="str">
            <v>Realizar visita cuando se ejecute  la totalidad del plan de mejora</v>
          </cell>
        </row>
        <row r="11">
          <cell r="A11">
            <v>1932</v>
          </cell>
          <cell r="B11">
            <v>1</v>
          </cell>
          <cell r="C11" t="str">
            <v>SUBA</v>
          </cell>
          <cell r="D11" t="str">
            <v>PRIVADO</v>
          </cell>
          <cell r="E11" t="str">
            <v>Educación de Jóvenes y Adultos</v>
          </cell>
          <cell r="F11" t="str">
            <v>INSTITUTO_FORMATES</v>
          </cell>
          <cell r="G11" t="str">
            <v>INSTITUTO_FORMATES</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ALBA DEL PILAR CUBIDES CÁCERES</v>
          </cell>
          <cell r="L11" t="str">
            <v>SONIA CONSTANZA URREGO GONZÁLEZ</v>
          </cell>
          <cell r="M11">
            <v>45883</v>
          </cell>
          <cell r="N11">
            <v>45933</v>
          </cell>
          <cell r="O11">
            <v>45933</v>
          </cell>
          <cell r="P11" t="str">
            <v>Visitas de evaluación con fines de seguimiento</v>
          </cell>
          <cell r="Q11" t="str">
            <v>20251008ActaFormates.pdf</v>
          </cell>
          <cell r="R11" t="str">
            <v xml:space="preserve">La Institución  no cuenta con estudiantes  de NEEE </v>
          </cell>
          <cell r="S11" t="str">
            <v>Ninguna</v>
          </cell>
          <cell r="T11" t="str">
            <v>No</v>
          </cell>
          <cell r="U11" t="str">
            <v>Ninguna</v>
          </cell>
        </row>
        <row r="12">
          <cell r="A12">
            <v>1933</v>
          </cell>
          <cell r="B12">
            <v>1</v>
          </cell>
          <cell r="C12" t="str">
            <v>SUBA</v>
          </cell>
          <cell r="D12" t="str">
            <v>PRIVADO</v>
          </cell>
          <cell r="E12" t="str">
            <v>Educación de Jóvenes y Adultos</v>
          </cell>
          <cell r="F12" t="str">
            <v>INSTITUTO_FORMATES</v>
          </cell>
          <cell r="G12" t="str">
            <v>INSTITUTO_FORMATES</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ALBA DEL PILAR CUBIDES CÁCERES</v>
          </cell>
          <cell r="L12" t="str">
            <v>SONIA CONSTANZA URREGO GONZÁLEZ</v>
          </cell>
          <cell r="M12">
            <v>45883</v>
          </cell>
          <cell r="N12">
            <v>45933</v>
          </cell>
          <cell r="O12">
            <v>45933</v>
          </cell>
          <cell r="P12" t="str">
            <v>Visitas de evaluación con fines de mejoramiento</v>
          </cell>
          <cell r="Q12" t="str">
            <v>20251008ActaFormates.pdf</v>
          </cell>
          <cell r="R12" t="str">
            <v>Se debe construìr el manual de convivencia de forma participativa, incluìr diferentes enfoques de respeto y activar comitè de convivencia</v>
          </cell>
          <cell r="S12" t="str">
            <v>Se debe presentar plan de mejoramiento a màs tardar el dìa 20 de octubre de 2025, en el cual se informe las actividades, el tiempo y el funcionario a cargo del proceso</v>
          </cell>
          <cell r="T12" t="str">
            <v>Si</v>
          </cell>
          <cell r="U12" t="str">
            <v>Realizar visita cuando se ejecute  la totalidad del plan de mejora</v>
          </cell>
        </row>
        <row r="13">
          <cell r="A13">
            <v>1934</v>
          </cell>
          <cell r="B13">
            <v>1</v>
          </cell>
          <cell r="C13" t="str">
            <v>SUBA</v>
          </cell>
          <cell r="D13" t="str">
            <v>PRIVADO</v>
          </cell>
          <cell r="E13" t="str">
            <v>Educación de Jóvenes y Adultos</v>
          </cell>
          <cell r="F13" t="str">
            <v>INSTITUTO_FORMATES</v>
          </cell>
          <cell r="G13" t="str">
            <v>INSTITUTO_FORMATES</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ALBA DEL PILAR CUBIDES CÁCERES</v>
          </cell>
          <cell r="L13" t="str">
            <v>SONIA CONSTANZA URREGO GONZÁLEZ</v>
          </cell>
          <cell r="M13">
            <v>45883</v>
          </cell>
          <cell r="N13">
            <v>45933</v>
          </cell>
          <cell r="O13">
            <v>45933</v>
          </cell>
          <cell r="P13" t="str">
            <v>Visitas de evaluación con fines de mejoramiento</v>
          </cell>
          <cell r="Q13" t="str">
            <v>20251008ActaFormates.pdf</v>
          </cell>
          <cell r="R13" t="str">
            <v>El SIEE se encuentra  implementado. No obstante no se ha  conformado el comité de evaluación y promoción el cual es obligatorio según decreto 1290 de 2009 art. 5 y decreto 1075 de 2015 art. 2.3.3.3.3.3. 11 Numeral 3,4,5</v>
          </cell>
          <cell r="S13" t="str">
            <v>Se debe presentar plan de mejoramiento a màs tardar el dìa 20 de octubre  de 2025, en el cual se informe las actividades, el tiempo y el funcionario a cargo</v>
          </cell>
          <cell r="T13" t="str">
            <v>Si</v>
          </cell>
          <cell r="U13" t="str">
            <v>Realizar visita cuando se ejecute  la totalidad del plan de mejora</v>
          </cell>
        </row>
        <row r="14">
          <cell r="A14">
            <v>1935</v>
          </cell>
          <cell r="B14">
            <v>1</v>
          </cell>
          <cell r="C14" t="str">
            <v>SUBA</v>
          </cell>
          <cell r="D14" t="str">
            <v>PRIVADO</v>
          </cell>
          <cell r="E14" t="str">
            <v>Educación de Jóvenes y Adultos</v>
          </cell>
          <cell r="F14" t="str">
            <v>INSTITUTO_FORMATES</v>
          </cell>
          <cell r="G14" t="str">
            <v>INSTITUTO_FORMATES</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ALBA DEL PILAR CUBIDES CÁCERES</v>
          </cell>
          <cell r="L14" t="str">
            <v>SONIA CONSTANZA URREGO GONZÁLEZ</v>
          </cell>
          <cell r="M14">
            <v>45883</v>
          </cell>
          <cell r="N14">
            <v>45933</v>
          </cell>
          <cell r="O14">
            <v>45933</v>
          </cell>
          <cell r="P14" t="str">
            <v>Visitas de evaluación con fines de mejoramiento</v>
          </cell>
          <cell r="Q14" t="str">
            <v>20251008ActaFormates.pdf</v>
          </cell>
          <cell r="R14" t="str">
            <v>Cumple con el número de semanas y horas por ciclo. Realizó reporte de información del Calendario Escolar.</v>
          </cell>
          <cell r="S14" t="str">
            <v xml:space="preserve">Continuar con el cumplimiento del calendario.  </v>
          </cell>
          <cell r="T14" t="str">
            <v>No</v>
          </cell>
          <cell r="U14" t="str">
            <v>Seguir con su cumplimiento</v>
          </cell>
        </row>
        <row r="15">
          <cell r="A15">
            <v>1936</v>
          </cell>
          <cell r="B15">
            <v>1</v>
          </cell>
          <cell r="C15" t="str">
            <v>SUBA</v>
          </cell>
          <cell r="D15" t="str">
            <v>PRIVADO</v>
          </cell>
          <cell r="E15" t="str">
            <v>Educación de Jóvenes y Adultos</v>
          </cell>
          <cell r="F15" t="str">
            <v>INSTITUTO_FORMATES</v>
          </cell>
          <cell r="G15" t="str">
            <v>INSTITUTO_FORMATES</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ALBA DEL PILAR CUBIDES CÁCERES</v>
          </cell>
          <cell r="L15" t="str">
            <v>SONIA CONSTANZA URREGO GONZÁLEZ</v>
          </cell>
          <cell r="M15">
            <v>45883</v>
          </cell>
          <cell r="N15">
            <v>45933</v>
          </cell>
          <cell r="O15">
            <v>45933</v>
          </cell>
          <cell r="P15" t="str">
            <v>Visitas de evaluación con fines de mejoramiento</v>
          </cell>
          <cell r="Q15" t="str">
            <v>20251008ActaFormates.pdf</v>
          </cell>
          <cell r="R15" t="str">
            <v>No se observa evidencia como se convocò a elecciòn, ni como  funciona el  gobierno escolar e instancias de participaciòn.</v>
          </cell>
          <cell r="S15" t="str">
            <v>Se debe presentar plan de mejoramiento a màs tardar el dìa 20 de octubre  de 2025, en el cual se informe las actividades, el tiempo y el funcionario a cargo</v>
          </cell>
          <cell r="T15" t="str">
            <v>Si</v>
          </cell>
          <cell r="U15" t="str">
            <v>Realizar visita cuando se ejecute  la totalidad del plan de mejora</v>
          </cell>
        </row>
        <row r="16">
          <cell r="A16">
            <v>1937</v>
          </cell>
          <cell r="B16">
            <v>1</v>
          </cell>
          <cell r="C16" t="str">
            <v>SUBA</v>
          </cell>
          <cell r="D16" t="str">
            <v>PRIVADO</v>
          </cell>
          <cell r="E16" t="str">
            <v>Educación de Jóvenes y Adultos</v>
          </cell>
          <cell r="F16" t="str">
            <v>INSTITUTO_FORMATES</v>
          </cell>
          <cell r="G16" t="str">
            <v>INSTITUTO_FORMATES</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ALBA DEL PILAR CUBIDES CÁCERES</v>
          </cell>
          <cell r="L16" t="str">
            <v>SONIA CONSTANZA URREGO GONZÁLEZ</v>
          </cell>
          <cell r="M16">
            <v>45883</v>
          </cell>
          <cell r="N16">
            <v>45933</v>
          </cell>
          <cell r="O16">
            <v>45933</v>
          </cell>
          <cell r="P16" t="str">
            <v>Visitas de evaluación con fines de mejoramiento</v>
          </cell>
          <cell r="Q16" t="str">
            <v>20251008ActaFormates.pdf</v>
          </cell>
          <cell r="R16" t="str">
            <v>Se observan espacios dotados biblioteca, àrea administrativa, salones baños. No obstante no se cuenta con baño de discapacidad</v>
          </cell>
          <cell r="S16" t="str">
            <v>Se debe presentar plan de mejoramiento a màs tardar el  20 de octubre de 2025  en el cual se informe las actividades, el tiempo y el funcionario a cargo</v>
          </cell>
          <cell r="T16" t="str">
            <v>Si</v>
          </cell>
          <cell r="U16" t="str">
            <v>Realizar visita cuando se ejecute  la totalidad del plan de mejora</v>
          </cell>
        </row>
        <row r="17">
          <cell r="A17">
            <v>1938</v>
          </cell>
          <cell r="B17">
            <v>2</v>
          </cell>
          <cell r="C17" t="str">
            <v>SUBA</v>
          </cell>
          <cell r="D17" t="str">
            <v>PRIVADO</v>
          </cell>
          <cell r="E17" t="str">
            <v>Educación de Jóvenes y Adultos</v>
          </cell>
          <cell r="F17" t="str">
            <v>CENTRO_DE_ESTUDIOS_SAN_BASILIO</v>
          </cell>
          <cell r="G17" t="str">
            <v>CENTRO DE ESTUDIOS SAN BASILIO</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GETULIO ALBERTO FLÓREZ MORENO</v>
          </cell>
          <cell r="L17" t="str">
            <v>JUAN MANUEL SANCHEZ MORA</v>
          </cell>
          <cell r="M17">
            <v>45735</v>
          </cell>
          <cell r="N17">
            <v>45919</v>
          </cell>
          <cell r="O17">
            <v>45919</v>
          </cell>
          <cell r="P17" t="str">
            <v>Visitas de evaluación con fines de seguimiento</v>
          </cell>
          <cell r="Q17" t="str">
            <v>20250919ActaVisitaIntegralCentroEstudiosSanBasilio.pdf</v>
          </cell>
          <cell r="R17" t="str">
            <v>Se verificó que la instituciónn realiza pago de segurudad sicial y vinculación docente conforme lo estabkecido en la normas, no obstante, los espacios y mobiarios  requieren ser acondacionados paea la población con disdcapascidad</v>
          </cell>
          <cell r="S17" t="str">
            <v>Entregar plan de mejoramiento antes de 18 de octubre que contemple los aspectos de infraestructura</v>
          </cell>
          <cell r="T17" t="str">
            <v>Si</v>
          </cell>
          <cell r="U17" t="str">
            <v>Verificar la formulación del plan de mejoramiento en el mescde noviembre.</v>
          </cell>
        </row>
        <row r="18">
          <cell r="A18">
            <v>1939</v>
          </cell>
          <cell r="B18">
            <v>2</v>
          </cell>
          <cell r="C18" t="str">
            <v>SUBA</v>
          </cell>
          <cell r="D18" t="str">
            <v>PRIVADO</v>
          </cell>
          <cell r="E18" t="str">
            <v>Educación de Jóvenes y Adultos</v>
          </cell>
          <cell r="F18" t="str">
            <v>CENTRO_DE_ESTUDIOS_SAN_BASILIO</v>
          </cell>
          <cell r="G18" t="str">
            <v>CENTRO DE ESTUDIOS SAN BASILIO</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GETULIO ALBERTO FLÓREZ MORENO</v>
          </cell>
          <cell r="L18" t="str">
            <v>JUAN MANUEL SANCHEZ MORA</v>
          </cell>
          <cell r="M18">
            <v>45735</v>
          </cell>
          <cell r="N18">
            <v>45919</v>
          </cell>
          <cell r="O18">
            <v>45919</v>
          </cell>
          <cell r="P18" t="str">
            <v>Visitas de evaluación con fines de seguimiento</v>
          </cell>
          <cell r="Q18" t="str">
            <v>20250919ActaVisitaIntegralCentroEstudiosSanBasilio.pdf</v>
          </cell>
          <cell r="R18" t="str">
            <v xml:space="preserve">No se evidenció estrategias para el seguimiento semestral al desarrollo de  las pruebas SABER 11. </v>
          </cell>
          <cell r="S18" t="str">
            <v>Se sugiere implementar la revisión y análisis de los resultados de las pruebas saber 11.</v>
          </cell>
          <cell r="T18" t="str">
            <v>Si</v>
          </cell>
          <cell r="U18" t="str">
            <v xml:space="preserve">Se adelantará seguimiento sobre el plan de mejoramiento que porponga la institución educativa. </v>
          </cell>
        </row>
        <row r="19">
          <cell r="A19">
            <v>1940</v>
          </cell>
          <cell r="B19">
            <v>2</v>
          </cell>
          <cell r="C19" t="str">
            <v>SUBA</v>
          </cell>
          <cell r="D19" t="str">
            <v>PRIVADO</v>
          </cell>
          <cell r="E19" t="str">
            <v>Educación de Jóvenes y Adultos</v>
          </cell>
          <cell r="F19" t="str">
            <v>CENTRO_DE_ESTUDIOS_SAN_BASILIO</v>
          </cell>
          <cell r="G19" t="str">
            <v>CENTRO DE ESTUDIOS SAN BASILIO</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GETULIO ALBERTO FLÓREZ MORENO</v>
          </cell>
          <cell r="L19" t="str">
            <v>JUAN MANUEL SANCHEZ MORA</v>
          </cell>
          <cell r="M19">
            <v>45735</v>
          </cell>
          <cell r="N19">
            <v>45919</v>
          </cell>
          <cell r="O19">
            <v>45919</v>
          </cell>
          <cell r="P19" t="str">
            <v>Visitas de evaluación con fines de seguimiento</v>
          </cell>
          <cell r="Q19" t="str">
            <v>20250919ActaVisitaIntegralCentroEstudiosSanBasilio.pdf</v>
          </cell>
          <cell r="R19" t="str">
            <v xml:space="preserve">Aunque se realiza la consulta de las inhabilidades del personal vinculado al inicio del año no lo hacen cada 4 meses. </v>
          </cell>
          <cell r="S19" t="str">
            <v>Se orienta adelantar esta actividad en el tiempo estipulado.</v>
          </cell>
          <cell r="T19" t="str">
            <v>Si</v>
          </cell>
          <cell r="U19" t="str">
            <v xml:space="preserve">Actualizar la revisión del certificado de antecedentes de inhabilidades por delitos sexuales para todos los docentes y personal administrativo del colegio. </v>
          </cell>
        </row>
        <row r="20">
          <cell r="A20">
            <v>1941</v>
          </cell>
          <cell r="B20">
            <v>2</v>
          </cell>
          <cell r="C20" t="str">
            <v>SUBA</v>
          </cell>
          <cell r="D20" t="str">
            <v>PRIVADO</v>
          </cell>
          <cell r="E20" t="str">
            <v>Educación de Jóvenes y Adultos</v>
          </cell>
          <cell r="F20" t="str">
            <v>CENTRO_DE_ESTUDIOS_SAN_BASILIO</v>
          </cell>
          <cell r="G20" t="str">
            <v>CENTRO DE ESTUDIOS SAN BASILIO</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GETULIO ALBERTO FLÓREZ MORENO</v>
          </cell>
          <cell r="L20" t="str">
            <v>JUAN MANUEL SANCHEZ MORA</v>
          </cell>
          <cell r="M20">
            <v>45735</v>
          </cell>
          <cell r="N20">
            <v>45919</v>
          </cell>
          <cell r="O20">
            <v>45919</v>
          </cell>
          <cell r="P20" t="str">
            <v>Visitas de evaluación con fines de seguimiento</v>
          </cell>
          <cell r="Q20" t="str">
            <v>20250919ActaVisitaIntegralCentroEstudiosSanBasilio.pdf</v>
          </cell>
          <cell r="R20" t="str">
            <v xml:space="preserve">La Rectora y Director Administrativo manifestaron al momento de la visita que, en el año 2025 no tienen estudiantes en condición de discapacidad. En el SIMAT se visualizan porque no han actualizado los registros de estudiantes ya egresados. </v>
          </cell>
          <cell r="S20" t="str">
            <v>la Rectora y el Director Administrativo se comprometen a actualizar el SIMAT en la presente semana</v>
          </cell>
          <cell r="T20" t="str">
            <v>Si</v>
          </cell>
          <cell r="U20" t="str">
            <v>Se adelantará la revisión en el sistema SIMAT en el mes de octubre de 2025</v>
          </cell>
        </row>
        <row r="21">
          <cell r="A21">
            <v>1942</v>
          </cell>
          <cell r="B21">
            <v>2</v>
          </cell>
          <cell r="C21" t="str">
            <v>SUBA</v>
          </cell>
          <cell r="D21" t="str">
            <v>PRIVADO</v>
          </cell>
          <cell r="E21" t="str">
            <v>Educación de Jóvenes y Adultos</v>
          </cell>
          <cell r="F21" t="str">
            <v>CENTRO_DE_ESTUDIOS_SAN_BASILIO</v>
          </cell>
          <cell r="G21" t="str">
            <v>CENTRO DE ESTUDIOS SAN BASILIO</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GETULIO ALBERTO FLÓREZ MORENO</v>
          </cell>
          <cell r="L21" t="str">
            <v>JUAN MANUEL SANCHEZ MORA</v>
          </cell>
          <cell r="M21">
            <v>45735</v>
          </cell>
          <cell r="N21">
            <v>45919</v>
          </cell>
          <cell r="O21">
            <v>45919</v>
          </cell>
          <cell r="P21" t="str">
            <v>Visitas de evaluación con fines de mejoramiento</v>
          </cell>
          <cell r="Q21" t="str">
            <v>20250919ActaVisitaIntegralCentroEstudiosSanBasilio.pdf</v>
          </cell>
          <cell r="R21" t="str">
            <v>En el manual de convivencia está plasmado la ruta de atención integral y los protocolos de las situaciones de convivencia escolar tipo I, tipo II y tipo III.</v>
          </cell>
          <cell r="S21" t="str">
            <v>Consultar siempre los protocolos de atención versión 5.o emitido por parte de la secretaria de educación del distrito.</v>
          </cell>
          <cell r="T21" t="str">
            <v>Si</v>
          </cell>
          <cell r="U21" t="str">
            <v xml:space="preserve">Solicitar apoyo y asesoría a la oficina para la convivencia escolar para los casos que se presenten con la comunidad educativa  </v>
          </cell>
        </row>
        <row r="22">
          <cell r="A22">
            <v>1943</v>
          </cell>
          <cell r="B22">
            <v>2</v>
          </cell>
          <cell r="C22" t="str">
            <v>SUBA</v>
          </cell>
          <cell r="D22" t="str">
            <v>PRIVADO</v>
          </cell>
          <cell r="E22" t="str">
            <v>Educación de Jóvenes y Adultos</v>
          </cell>
          <cell r="F22" t="str">
            <v>CENTRO_DE_ESTUDIOS_SAN_BASILIO</v>
          </cell>
          <cell r="G22" t="str">
            <v>CENTRO DE ESTUDIOS SAN BASILIO</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GETULIO ALBERTO FLÓREZ MORENO</v>
          </cell>
          <cell r="L22" t="str">
            <v>JUAN MANUEL SANCHEZ MORA</v>
          </cell>
          <cell r="M22">
            <v>45735</v>
          </cell>
          <cell r="N22">
            <v>45919</v>
          </cell>
          <cell r="O22">
            <v>45919</v>
          </cell>
          <cell r="P22" t="str">
            <v>Visitas de evaluación con fines de mejoramiento</v>
          </cell>
          <cell r="Q22" t="str">
            <v>20250919ActaVisitaIntegralCentroEstudiosSanBasilio.pdf</v>
          </cell>
          <cell r="R22" t="str">
            <v xml:space="preserve">Durante la visita se observa poca actualizacion del SIEE, posee criterios mínimos de valoración y no establece procesos de promoción acordes con la normativa vigente. 
</v>
          </cell>
          <cell r="S22" t="str">
            <v xml:space="preserve">Es procedente la actualización del SIEE tomando en consideración lo contemplado por la ley 115 de 1995 y normas asociadas. </v>
          </cell>
          <cell r="T22" t="str">
            <v>Si</v>
          </cell>
          <cell r="U22" t="str">
            <v>Es procedente adelantar seguimiento a la actualización del SIEE.</v>
          </cell>
        </row>
        <row r="23">
          <cell r="A23">
            <v>1944</v>
          </cell>
          <cell r="B23">
            <v>2</v>
          </cell>
          <cell r="C23" t="str">
            <v>SUBA</v>
          </cell>
          <cell r="D23" t="str">
            <v>PRIVADO</v>
          </cell>
          <cell r="E23" t="str">
            <v>Educación de Jóvenes y Adultos</v>
          </cell>
          <cell r="F23" t="str">
            <v>CENTRO_DE_ESTUDIOS_SAN_BASILIO</v>
          </cell>
          <cell r="G23" t="str">
            <v>CENTRO DE ESTUDIOS SAN BASILIO</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GETULIO ALBERTO FLÓREZ MORENO</v>
          </cell>
          <cell r="L23" t="str">
            <v>JUAN MANUEL SANCHEZ MORA</v>
          </cell>
          <cell r="M23">
            <v>45735</v>
          </cell>
          <cell r="N23">
            <v>45919</v>
          </cell>
          <cell r="O23">
            <v>45919</v>
          </cell>
          <cell r="P23" t="str">
            <v>Visitas de evaluación con fines de mejoramiento</v>
          </cell>
          <cell r="Q23" t="str">
            <v>20250919ActaVisitaIntegralCentroEstudiosSanBasilio.pdf</v>
          </cell>
          <cell r="R23" t="str">
            <v>Se evidencia la intensidad horaria y las horas mínimas anuales de cada ciclo se ajustan para los de preescolar, básica y media.</v>
          </cell>
          <cell r="S23" t="str">
            <v>Cumplie el calendario académico</v>
          </cell>
          <cell r="T23" t="str">
            <v>No</v>
          </cell>
          <cell r="U23" t="str">
            <v>Continuar con el cumplimiento del calendario</v>
          </cell>
        </row>
        <row r="24">
          <cell r="A24">
            <v>1945</v>
          </cell>
          <cell r="B24">
            <v>2</v>
          </cell>
          <cell r="C24" t="str">
            <v>SUBA</v>
          </cell>
          <cell r="D24" t="str">
            <v>PRIVADO</v>
          </cell>
          <cell r="E24" t="str">
            <v>Educación de Jóvenes y Adultos</v>
          </cell>
          <cell r="F24" t="str">
            <v>CENTRO_DE_ESTUDIOS_SAN_BASILIO</v>
          </cell>
          <cell r="G24" t="str">
            <v>CENTRO DE ESTUDIOS SAN BASILIO</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GETULIO ALBERTO FLÓREZ MORENO</v>
          </cell>
          <cell r="L24" t="str">
            <v>JUAN MANUEL SANCHEZ MORA</v>
          </cell>
          <cell r="M24">
            <v>45735</v>
          </cell>
          <cell r="N24">
            <v>45919</v>
          </cell>
          <cell r="O24">
            <v>45919</v>
          </cell>
          <cell r="P24" t="str">
            <v>Visitas de evaluación con fines de mejoramiento</v>
          </cell>
          <cell r="Q24" t="str">
            <v>20250919ActaVisitaIntegralCentroEstudiosSanBasilio.pdf</v>
          </cell>
          <cell r="R24" t="str">
            <v>Tanto las actas del Consejo Directivo y el Consejo Académico están conformados en debida forma, se observan en la visita actas de sesión de los Consejos las cuales tienen funciones registradas en el PEI.</v>
          </cell>
          <cell r="S24" t="str">
            <v xml:space="preserve">Se sugiere continuar con la reuniones periódicas y su documentación a través de actas. </v>
          </cell>
          <cell r="T24" t="str">
            <v>No</v>
          </cell>
          <cell r="U24" t="str">
            <v xml:space="preserve">Continura con el cumplimiento de la instancia de Gobierno Escolar. </v>
          </cell>
        </row>
        <row r="25">
          <cell r="A25">
            <v>1946</v>
          </cell>
          <cell r="B25">
            <v>2</v>
          </cell>
          <cell r="C25" t="str">
            <v>SUBA</v>
          </cell>
          <cell r="D25" t="str">
            <v>PRIVADO</v>
          </cell>
          <cell r="E25" t="str">
            <v>Educación de Jóvenes y Adultos</v>
          </cell>
          <cell r="F25" t="str">
            <v>CENTRO_DE_ESTUDIOS_SAN_BASILIO</v>
          </cell>
          <cell r="G25" t="str">
            <v>CENTRO DE ESTUDIOS SAN BASILIO</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GETULIO ALBERTO FLÓREZ MORENO</v>
          </cell>
          <cell r="L25" t="str">
            <v>JUAN MANUEL SANCHEZ MORA</v>
          </cell>
          <cell r="M25">
            <v>45735</v>
          </cell>
          <cell r="N25">
            <v>45919</v>
          </cell>
          <cell r="O25">
            <v>45919</v>
          </cell>
          <cell r="P25" t="str">
            <v>Visitas de evaluación con fines de mejoramiento</v>
          </cell>
          <cell r="Q25" t="str">
            <v>20250919ActaVisitaIntegralCentroEstudiosSanBasilio.pdf</v>
          </cell>
          <cell r="R25" t="str">
            <v>La planta física autorizada cuenta con los espacios pedagógicos necesarios para el servicio educativo, de igual forma cuenta con un buen estado del mobiliario para funciones administrativas.</v>
          </cell>
          <cell r="S25" t="str">
            <v xml:space="preserve">Se recomienda continuar con el mantenimientpo de la planta física y su dotación en óptimas condiciones. </v>
          </cell>
          <cell r="T25" t="str">
            <v>Si</v>
          </cell>
          <cell r="U25" t="str">
            <v>En virtud de posible matrícula para estudiantes en condición de discapacidad, se recomienda acondicionar los ambientes pedagógicos para la población con alguna discapacidad</v>
          </cell>
        </row>
        <row r="26">
          <cell r="A26">
            <v>1947</v>
          </cell>
          <cell r="B26">
            <v>3</v>
          </cell>
          <cell r="C26" t="str">
            <v>SUBA</v>
          </cell>
          <cell r="D26" t="str">
            <v>PRIVADO</v>
          </cell>
          <cell r="E26" t="str">
            <v>Educación de Jóvenes y Adultos</v>
          </cell>
          <cell r="F26" t="str">
            <v>CENTRO_DE_ESTUDIOS_PRO_PYMES</v>
          </cell>
          <cell r="G26" t="str">
            <v>CENTRO DE ESTUDIOS PRO-PYMES</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MARTHA RUT SILVA ABRIL</v>
          </cell>
          <cell r="L26" t="str">
            <v>JUAN MANUEL SANCHEZ MORA</v>
          </cell>
          <cell r="M26">
            <v>45874</v>
          </cell>
          <cell r="N26">
            <v>45854</v>
          </cell>
          <cell r="O26">
            <v>45854</v>
          </cell>
          <cell r="P26" t="str">
            <v>Visitas de evaluación con fines de seguimiento</v>
          </cell>
          <cell r="Q26" t="str">
            <v>ACTA DE VISITA INSTITUCIONAL CENTRO DE ESTUDIOS PROPYMES.pdf</v>
          </cell>
          <cell r="R26" t="str">
            <v>Se evidenció que la institucion no cuenta con espacios pedagogios, pago de parafiscales ni afiliacion a seguridad social integral de sus empleados.</v>
          </cell>
          <cell r="S26" t="str">
            <v>Reportar información, realizar ajustes alos espacios pedagógicos y administrativos y baterias de baños y realizar las afiliaciones correspondientes.</v>
          </cell>
          <cell r="T26" t="str">
            <v>Si</v>
          </cell>
          <cell r="U26" t="str">
            <v>Verificar la formulación del plan de mejoramiento fijado parta el 1 de septiembre de 2025</v>
          </cell>
        </row>
        <row r="27">
          <cell r="A27">
            <v>1948</v>
          </cell>
          <cell r="B27">
            <v>3</v>
          </cell>
          <cell r="C27" t="str">
            <v>SUBA</v>
          </cell>
          <cell r="D27" t="str">
            <v>PRIVADO</v>
          </cell>
          <cell r="E27" t="str">
            <v>Educación de Jóvenes y Adultos</v>
          </cell>
          <cell r="F27" t="str">
            <v>CENTRO_DE_ESTUDIOS_PRO_PYMES</v>
          </cell>
          <cell r="G27" t="str">
            <v>CENTRO DE ESTUDIOS PRO-PYMES</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MARTHA RUT SILVA ABRIL</v>
          </cell>
          <cell r="L27" t="str">
            <v>JUAN MANUEL SANCHEZ MORA</v>
          </cell>
          <cell r="M27">
            <v>45874</v>
          </cell>
          <cell r="N27">
            <v>45854</v>
          </cell>
          <cell r="O27">
            <v>45854</v>
          </cell>
          <cell r="P27" t="str">
            <v>Visitas de evaluación con fines de seguimiento</v>
          </cell>
          <cell r="Q27" t="str">
            <v>ACTA DE VISITA INSTITUCIONAL CENTRO DE ESTUDIOS PROPYMES.pdf</v>
          </cell>
          <cell r="R27" t="str">
            <v>Se observó que no cuenta con estrategias de mejora con base en los resultados de las pruebas SABER 11 y la implementación de mejora.</v>
          </cell>
          <cell r="S27" t="str">
            <v>Diseñar estrategias para la revisión y análisis de los últimos resultados de las pruebas SABER 11 asi mismo en la implementación de acciones de seguimiento.</v>
          </cell>
          <cell r="T27" t="str">
            <v>Si</v>
          </cell>
          <cell r="U27" t="str">
            <v>Verificar la formulación del plan de mejoramiento fijado parta el 1 de septiembre de 2025</v>
          </cell>
        </row>
        <row r="28">
          <cell r="A28">
            <v>1949</v>
          </cell>
          <cell r="B28">
            <v>3</v>
          </cell>
          <cell r="C28" t="str">
            <v>SUBA</v>
          </cell>
          <cell r="D28" t="str">
            <v>PRIVADO</v>
          </cell>
          <cell r="E28" t="str">
            <v>Educación de Jóvenes y Adultos</v>
          </cell>
          <cell r="F28" t="str">
            <v>CENTRO_DE_ESTUDIOS_PRO_PYMES</v>
          </cell>
          <cell r="G28" t="str">
            <v>CENTRO DE ESTUDIOS PRO-PYMES</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MARTHA RUT SILVA ABRIL</v>
          </cell>
          <cell r="L28" t="str">
            <v>JUAN MANUEL SANCHEZ MORA</v>
          </cell>
          <cell r="M28">
            <v>45874</v>
          </cell>
          <cell r="N28">
            <v>45854</v>
          </cell>
          <cell r="O28">
            <v>45854</v>
          </cell>
          <cell r="P28" t="str">
            <v>Visitas de evaluación con fines de seguimiento</v>
          </cell>
          <cell r="Q28" t="str">
            <v>ACTA DE VISITA INSTITUCIONAL CENTRO DE ESTUDIOS PROPYMES.pdf</v>
          </cell>
          <cell r="R28" t="str">
            <v>Se evidenció que no cuenta con la consulta para la vinculación de docentes en el sistema para la verificación de las inhabilidades por delitos sexuales.</v>
          </cell>
          <cell r="S28" t="str">
            <v>Realizar consulta cda 4 meses en el sistema para la verficación de las inhabilidades acorde con lo establecido en la Directiva 01 de 2022 del MEN e incorporar en la carpeta de las hojas de vida de los docentes y demás personal vinculado a la institución.</v>
          </cell>
          <cell r="T28" t="str">
            <v>Si</v>
          </cell>
          <cell r="U28" t="str">
            <v>Verificar la formulación del plan de mejoramiento fijado parta el 1 de septiembre de 2025</v>
          </cell>
        </row>
        <row r="29">
          <cell r="A29">
            <v>1950</v>
          </cell>
          <cell r="B29">
            <v>3</v>
          </cell>
          <cell r="C29" t="str">
            <v>SUBA</v>
          </cell>
          <cell r="D29" t="str">
            <v>PRIVADO</v>
          </cell>
          <cell r="E29" t="str">
            <v>Educación de Jóvenes y Adultos</v>
          </cell>
          <cell r="F29" t="str">
            <v>CENTRO_DE_ESTUDIOS_PRO_PYMES</v>
          </cell>
          <cell r="G29" t="str">
            <v>CENTRO DE ESTUDIOS PRO-PYMES</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MARTHA RUT SILVA ABRIL</v>
          </cell>
          <cell r="L29" t="str">
            <v>JUAN MANUEL SANCHEZ MORA</v>
          </cell>
          <cell r="M29">
            <v>45874</v>
          </cell>
          <cell r="N29">
            <v>45854</v>
          </cell>
          <cell r="O29">
            <v>45854</v>
          </cell>
          <cell r="P29" t="str">
            <v>Visitas de evaluación con fines de seguimiento</v>
          </cell>
          <cell r="Q29" t="str">
            <v>ACTA DE VISITA INSTITUCIONAL CENTRO DE ESTUDIOS PROPYMES.pdf</v>
          </cell>
          <cell r="R29" t="str">
            <v>Se evidenció que la institucion no cuenta con Planes Individuales de Ajustes Razonables -PIAR, en marco del Decreto 1421 de 2017, por cuanto no tiene estudiantes con discapacidad.</v>
          </cell>
          <cell r="S29" t="str">
            <v>Estrucutrar un modelo de PIAR acorde con lo establecido en la norma.</v>
          </cell>
          <cell r="T29" t="str">
            <v>Si</v>
          </cell>
          <cell r="U29" t="str">
            <v>Verficar la formalación del plan de mejoramiento fijado parta el 1 de septiembre de 2025</v>
          </cell>
        </row>
        <row r="30">
          <cell r="A30">
            <v>1951</v>
          </cell>
          <cell r="B30">
            <v>3</v>
          </cell>
          <cell r="C30" t="str">
            <v>SUBA</v>
          </cell>
          <cell r="D30" t="str">
            <v>PRIVADO</v>
          </cell>
          <cell r="E30" t="str">
            <v>Educación de Jóvenes y Adultos</v>
          </cell>
          <cell r="F30" t="str">
            <v>CENTRO_DE_ESTUDIOS_PRO_PYMES</v>
          </cell>
          <cell r="G30" t="str">
            <v>CENTRO DE ESTUDIOS PRO-PYMES</v>
          </cell>
          <cell r="H30" t="str">
            <v>Autoevaluación Institucional y Pruebas SABER 11</v>
          </cell>
          <cell r="I30" t="str">
            <v>EVALUACIÓN_CON_FINES_DE_MEJORAMIENTO.</v>
          </cell>
          <cell r="J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 t="str">
            <v>MARTHA RUT SILVA ABRIL</v>
          </cell>
          <cell r="L30" t="str">
            <v>JUAN MANUEL SANCHEZ MORA</v>
          </cell>
          <cell r="M30">
            <v>45874</v>
          </cell>
          <cell r="N30">
            <v>45854</v>
          </cell>
          <cell r="O30">
            <v>45854</v>
          </cell>
          <cell r="P30" t="str">
            <v>Visitas de evaluación con fines de mejoramiento</v>
          </cell>
          <cell r="Q30" t="str">
            <v>ACTA DE VISITA INSTITUCIONAL CENTRO DE ESTUDIOS PROPYMES.pdf</v>
          </cell>
          <cell r="R30" t="str">
            <v>Se obervó que el manual de convivencia estaba desactualizado y sin la debida socialización y adopción correspondente.</v>
          </cell>
          <cell r="S30" t="str">
            <v>Ajustar y adoptar el manual de convivencia de conformidad con lo establecido en el Decreto 1075 de 2015 y la Ley 1620 de 2013 y demás normas concordantes.</v>
          </cell>
          <cell r="T30" t="str">
            <v>Si</v>
          </cell>
          <cell r="U30" t="str">
            <v>Verificar la formulación del plan de mejoramiento fijado parta el 1 de septiembre de 2025</v>
          </cell>
        </row>
        <row r="31">
          <cell r="A31">
            <v>1952</v>
          </cell>
          <cell r="B31">
            <v>3</v>
          </cell>
          <cell r="C31" t="str">
            <v>SUBA</v>
          </cell>
          <cell r="D31" t="str">
            <v>PRIVADO</v>
          </cell>
          <cell r="E31" t="str">
            <v>Educación de Jóvenes y Adultos</v>
          </cell>
          <cell r="F31" t="str">
            <v>CENTRO_DE_ESTUDIOS_PRO_PYMES</v>
          </cell>
          <cell r="G31" t="str">
            <v>CENTRO DE ESTUDIOS PRO-PYMES</v>
          </cell>
          <cell r="H31" t="str">
            <v>Autoevaluación Institucional y Pruebas SABER 11</v>
          </cell>
          <cell r="I31" t="str">
            <v>EVALUACIÓN_CON_FINES_DE_MEJORAMIENTO.</v>
          </cell>
          <cell r="J31" t="str">
            <v>Revisar la actualización, socialización e implementación del Sistema Institucional de Evaluación de Estudiantes - SIEE, en articulación con la actualización del PEI y la normatividad vigente.</v>
          </cell>
          <cell r="K31" t="str">
            <v>MARTHA RUT SILVA ABRIL</v>
          </cell>
          <cell r="L31" t="str">
            <v>JUAN MANUEL SANCHEZ MORA</v>
          </cell>
          <cell r="M31">
            <v>45874</v>
          </cell>
          <cell r="N31">
            <v>45854</v>
          </cell>
          <cell r="O31">
            <v>45854</v>
          </cell>
          <cell r="P31" t="str">
            <v>Visitas de evaluación con fines de mejoramiento</v>
          </cell>
          <cell r="Q31" t="str">
            <v>ACTA DE VISITA INSTITUCIONAL CENTRO DE ESTUDIOS PROPYMES.pdf</v>
          </cell>
          <cell r="R31" t="str">
            <v>Se evidencia la desactualización del Sistema Institucional de Evaluacion de Estudiantes, esclas de valoración cualitativa y sin articulacion con el PEI</v>
          </cell>
          <cell r="S31" t="str">
            <v xml:space="preserve">Realizar la actualización del SIEE, incluyendo las esclas de valoración y articularlo con el PEI </v>
          </cell>
          <cell r="T31" t="str">
            <v>Si</v>
          </cell>
          <cell r="U31" t="str">
            <v>Verificar la formulación del plan de mejoramiento fijado parta el 1 de septiembre de 2025</v>
          </cell>
        </row>
        <row r="32">
          <cell r="A32">
            <v>1953</v>
          </cell>
          <cell r="B32">
            <v>3</v>
          </cell>
          <cell r="C32" t="str">
            <v>SUBA</v>
          </cell>
          <cell r="D32" t="str">
            <v>PRIVADO</v>
          </cell>
          <cell r="E32" t="str">
            <v>Educación de Jóvenes y Adultos</v>
          </cell>
          <cell r="F32" t="str">
            <v>CENTRO_DE_ESTUDIOS_PRO_PYMES</v>
          </cell>
          <cell r="G32" t="str">
            <v>CENTRO DE ESTUDIOS PRO-PYMES</v>
          </cell>
          <cell r="H32" t="str">
            <v>Autoevaluación Institucional y Pruebas SABER 11</v>
          </cell>
          <cell r="I32" t="str">
            <v>EVALUACIÓN_CON_FINES_DE_MEJORAMIENTO.</v>
          </cell>
          <cell r="J32" t="str">
            <v>Revisar el calendario escolar, jornada escolar, la intensidad horaria mínima anual en cada nivel y las modificaciones que se realicen al mismo, de acuerdo con lo previsto en la normatividad vigente.</v>
          </cell>
          <cell r="K32" t="str">
            <v>MARTHA RUT SILVA ABRIL</v>
          </cell>
          <cell r="L32" t="str">
            <v>JUAN MANUEL SANCHEZ MORA</v>
          </cell>
          <cell r="M32">
            <v>45874</v>
          </cell>
          <cell r="N32">
            <v>45854</v>
          </cell>
          <cell r="O32">
            <v>45854</v>
          </cell>
          <cell r="P32" t="str">
            <v>Visitas de evaluación con fines de mejoramiento</v>
          </cell>
          <cell r="Q32" t="str">
            <v>ACTA DE VISITA INSTITUCIONAL CENTRO DE ESTUDIOS PROPYMES.pdf</v>
          </cell>
          <cell r="R32" t="str">
            <v>Se verifca que el calendario se ajusta a las intensidades mínimas establecidas, reportar la información según formatos establecidos</v>
          </cell>
          <cell r="S32" t="str">
            <v>Continuar con la implementación del calendario en cuanto a las semanas de desarrollo institucional y las instensidades de las áreas fundamentales.</v>
          </cell>
          <cell r="T32" t="str">
            <v>Si</v>
          </cell>
          <cell r="U32" t="str">
            <v>Verificar la formulación del plan de mejoramiento fijado parta el 1 de septiembre de 2025</v>
          </cell>
        </row>
        <row r="33">
          <cell r="A33">
            <v>1954</v>
          </cell>
          <cell r="B33">
            <v>3</v>
          </cell>
          <cell r="C33" t="str">
            <v>SUBA</v>
          </cell>
          <cell r="D33" t="str">
            <v>PRIVADO</v>
          </cell>
          <cell r="E33" t="str">
            <v>Educación de Jóvenes y Adultos</v>
          </cell>
          <cell r="F33" t="str">
            <v>CENTRO_DE_ESTUDIOS_PRO_PYMES</v>
          </cell>
          <cell r="G33" t="str">
            <v>CENTRO DE ESTUDIOS PRO-PYMES</v>
          </cell>
          <cell r="H33" t="str">
            <v>Autoevaluación Institucional y Pruebas SABER 11</v>
          </cell>
          <cell r="I33" t="str">
            <v>EVALUACIÓN_CON_FINES_DE_MEJORAMIENTO.</v>
          </cell>
          <cell r="J33" t="str">
            <v>Verificar el funcionamiento del Gobierno Escolar e instancias de participación con base en la información sobre conformación reportada por la institución educativa.</v>
          </cell>
          <cell r="K33" t="str">
            <v>MARTHA RUT SILVA ABRIL</v>
          </cell>
          <cell r="L33" t="str">
            <v>JUAN MANUEL SANCHEZ MORA</v>
          </cell>
          <cell r="M33">
            <v>45874</v>
          </cell>
          <cell r="N33">
            <v>45854</v>
          </cell>
          <cell r="O33">
            <v>45854</v>
          </cell>
          <cell r="P33" t="str">
            <v>Visitas de evaluación con fines de mejoramiento</v>
          </cell>
          <cell r="Q33" t="str">
            <v>ACTA DE VISITA INSTITUCIONAL CENTRO DE ESTUDIOS PROPYMES.pdf</v>
          </cell>
          <cell r="R33" t="str">
            <v>Se observó que las actas de conformación del gobierno no fueron reportadas en el aplicativo SAE, y no reposan actas de reunión en la cual se evidencie el funcionamiento de cada órgano del gobierno escolar.</v>
          </cell>
          <cell r="S33" t="str">
            <v>Cargar la actas en el aplicativo SAE, verficar las actas de funcionamiento de los organos del gobierno escolar elizar las sesiones con cada órgano del gobierno escolar de conformidad con la periodicidad y funciones establecidas en la norma.</v>
          </cell>
          <cell r="T33" t="str">
            <v>Si</v>
          </cell>
          <cell r="U33" t="str">
            <v>Verificar la formulación del plan de mejoramiento fijado parta el 1 de septiembre de 2025</v>
          </cell>
        </row>
        <row r="34">
          <cell r="A34">
            <v>1955</v>
          </cell>
          <cell r="B34">
            <v>3</v>
          </cell>
          <cell r="C34" t="str">
            <v>SUBA</v>
          </cell>
          <cell r="D34" t="str">
            <v>PRIVADO</v>
          </cell>
          <cell r="E34" t="str">
            <v>Educación de Jóvenes y Adultos</v>
          </cell>
          <cell r="F34" t="str">
            <v>CENTRO_DE_ESTUDIOS_PRO_PYMES</v>
          </cell>
          <cell r="G34" t="str">
            <v>CENTRO DE ESTUDIOS PRO-PYMES</v>
          </cell>
          <cell r="H34" t="str">
            <v>Autoevaluación Institucional y Pruebas SABER 11</v>
          </cell>
          <cell r="I34" t="str">
            <v>EVALUACIÓN_CON_FINES_DE_MEJORAMIENTO.</v>
          </cell>
          <cell r="J34" t="str">
            <v>Verificar las condiciones en cuanto a: la estructura administrativa, condiciones de la planta física y medios educativos adecuados.</v>
          </cell>
          <cell r="K34" t="str">
            <v>MARTHA RUT SILVA ABRIL</v>
          </cell>
          <cell r="L34" t="str">
            <v>JUAN MANUEL SANCHEZ MORA</v>
          </cell>
          <cell r="M34">
            <v>45874</v>
          </cell>
          <cell r="N34">
            <v>45854</v>
          </cell>
          <cell r="O34">
            <v>45854</v>
          </cell>
          <cell r="P34" t="str">
            <v>Visitas de evaluación con fines de mejoramiento</v>
          </cell>
          <cell r="Q34" t="str">
            <v>ACTA DE VISITA INSTITUCIONAL CENTRO DE ESTUDIOS PROPYMES.pdf</v>
          </cell>
          <cell r="R34" t="str">
            <v>Se evidencia que la planta física requiere de mejoras adecuación de espacios y dotación adecuada a la población estudiantil atendida.</v>
          </cell>
          <cell r="S34" t="str">
            <v>Reorganización y adecuación de espacios pedagógicos como aulas de clase, biblioteca, laboratorios y baños y otros.</v>
          </cell>
          <cell r="T34" t="str">
            <v>Si</v>
          </cell>
          <cell r="U34" t="str">
            <v>Verificar la formulación del plan de mejoramiento fijado parta el 1 de septiembre de 2025</v>
          </cell>
        </row>
        <row r="35">
          <cell r="A35">
            <v>1956</v>
          </cell>
          <cell r="B35">
            <v>4</v>
          </cell>
          <cell r="C35" t="str">
            <v>SUBA</v>
          </cell>
          <cell r="D35" t="str">
            <v>PRIVADO</v>
          </cell>
          <cell r="E35" t="str">
            <v>Educación de Jóvenes y Adultos</v>
          </cell>
          <cell r="F35" t="str">
            <v>INSTITUCION_EDUCATIVA_FRAY_LUIS_DE_LEON</v>
          </cell>
          <cell r="G35" t="str">
            <v>INSTITUCION EDUCATIVA FRAY LUIS DE LEON</v>
          </cell>
          <cell r="H35" t="str">
            <v>Autoevaluación Institucional y Pruebas SABER 11</v>
          </cell>
          <cell r="I35" t="str">
            <v>SEGUIMIENTO_Y_SUPERVISIÓN.</v>
          </cell>
          <cell r="J35" t="str">
            <v>Realizar visitas para verificar la información registrada sobre la autoevaluación institucional en el aplicativo EVI, a los establecimientos de educación formal no oficial.</v>
          </cell>
          <cell r="K35" t="str">
            <v>SONIA YAMILE ARTEAGA MELO</v>
          </cell>
          <cell r="L35" t="str">
            <v>JENNIFFER ESPERANZA GONZÁLEZ GÓMEZ</v>
          </cell>
          <cell r="M35">
            <v>45937</v>
          </cell>
          <cell r="N35">
            <v>45908</v>
          </cell>
          <cell r="O35">
            <v>45909</v>
          </cell>
          <cell r="P35" t="str">
            <v>Visitas de evaluación con fines de seguimiento</v>
          </cell>
          <cell r="Q35" t="str">
            <v>Acta de visita administrativa Institución Fray Luis de León.pdf</v>
          </cell>
          <cell r="R35" t="str">
            <v>La instittución ha diligenciado la información en el aplicativo EVI, sin embargo lo reportado no coincide con la realidad, no cancelan seguridad social, no cuenta con el número de unidades santitarias que reporta, ni con el número de computadores, ni con el número de textos en biblioteca.</v>
          </cell>
          <cell r="S35" t="str">
            <v>Debe subsanar la situación, realizando reporte fiel de la información en el formulario de autoevaluación EVI.</v>
          </cell>
          <cell r="T35" t="str">
            <v>Si</v>
          </cell>
          <cell r="U35" t="str">
            <v>Verificación de reporte de información para futura vigencia en aplicativo EVI, y validación en campo.</v>
          </cell>
        </row>
        <row r="36">
          <cell r="A36">
            <v>1957</v>
          </cell>
          <cell r="B36">
            <v>4</v>
          </cell>
          <cell r="C36" t="str">
            <v>SUBA</v>
          </cell>
          <cell r="D36" t="str">
            <v>PRIVADO</v>
          </cell>
          <cell r="E36" t="str">
            <v>Educación de Jóvenes y Adultos</v>
          </cell>
          <cell r="F36" t="str">
            <v>INSTITUCION_EDUCATIVA_FRAY_LUIS_DE_LEON</v>
          </cell>
          <cell r="G36" t="str">
            <v>INSTITUCION EDUCATIVA FRAY LUIS DE LEON</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SONIA YAMILE ARTEAGA MELO</v>
          </cell>
          <cell r="L36" t="str">
            <v>JENNIFFER ESPERANZA GONZÁLEZ GÓMEZ</v>
          </cell>
          <cell r="M36">
            <v>45937</v>
          </cell>
          <cell r="N36">
            <v>45909</v>
          </cell>
          <cell r="O36">
            <v>45909</v>
          </cell>
          <cell r="P36" t="str">
            <v>Visitas de evaluación con fines de seguimiento</v>
          </cell>
          <cell r="Q36" t="str">
            <v>Acta de visita administrativa Institución Fray Luis de León.pdf</v>
          </cell>
          <cell r="R36" t="str">
            <v>Informan que el colegio ha identificado como razones para el bajo desempeño en las pruebas SABER 11, la falta de interés de los estudiantes, falta de compromiso, bases académicas deficientes.</v>
          </cell>
          <cell r="S36" t="str">
            <v xml:space="preserve">Revisar los resultados y la relación con las asignaturas del plan de estudio. 
Considerar estrategia diferente a la oferta del curso Pre ICFES.
</v>
          </cell>
          <cell r="T36" t="str">
            <v>Si</v>
          </cell>
          <cell r="U36" t="str">
            <v xml:space="preserve">Verificar el análisis los resultados y las acciones en las asignaturas que presentan puntajes más bajos </v>
          </cell>
        </row>
        <row r="37">
          <cell r="A37">
            <v>1958</v>
          </cell>
          <cell r="B37">
            <v>4</v>
          </cell>
          <cell r="C37" t="str">
            <v>SUBA</v>
          </cell>
          <cell r="D37" t="str">
            <v>PRIVADO</v>
          </cell>
          <cell r="E37" t="str">
            <v>Educación de Jóvenes y Adultos</v>
          </cell>
          <cell r="F37" t="str">
            <v>INSTITUCION_EDUCATIVA_FRAY_LUIS_DE_LEON</v>
          </cell>
          <cell r="G37" t="str">
            <v>INSTITUCION EDUCATIVA FRAY LUIS DE LEON</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SONIA YAMILE ARTEAGA MELO</v>
          </cell>
          <cell r="L37" t="str">
            <v>JENNIFFER ESPERANZA GONZÁLEZ GÓMEZ</v>
          </cell>
          <cell r="M37">
            <v>45937</v>
          </cell>
          <cell r="N37">
            <v>45909</v>
          </cell>
          <cell r="O37">
            <v>45909</v>
          </cell>
          <cell r="P37" t="str">
            <v>Visitas de evaluación con fines de seguimiento</v>
          </cell>
          <cell r="Q37" t="str">
            <v>Acta de visita administrativa Institución Fray Luis de León.pdf</v>
          </cell>
          <cell r="R37" t="str">
            <v>En las carpetas de las Hojas de Vida de docentes, no hay soporte de realizar consulta de antecedentes para cumplimiento de  la Directiva 01/2022 del MEN.</v>
          </cell>
          <cell r="S37" t="str">
            <v>Se solicita revisar normativa de archivo, organizar expedientes de docentes vinculados y dar cumplimiento a normativa vigente.</v>
          </cell>
          <cell r="T37" t="str">
            <v>Si</v>
          </cell>
          <cell r="U37" t="str">
            <v>Verificar la organización de archivo y seguimiento a consulta de reporte de antecedentes.</v>
          </cell>
        </row>
        <row r="38">
          <cell r="A38">
            <v>1959</v>
          </cell>
          <cell r="B38">
            <v>4</v>
          </cell>
          <cell r="C38" t="str">
            <v>SUBA</v>
          </cell>
          <cell r="D38" t="str">
            <v>PRIVADO</v>
          </cell>
          <cell r="E38" t="str">
            <v>Educación de Jóvenes y Adultos</v>
          </cell>
          <cell r="F38" t="str">
            <v>INSTITUCION_EDUCATIVA_FRAY_LUIS_DE_LEON</v>
          </cell>
          <cell r="G38" t="str">
            <v>INSTITUCION EDUCATIVA FRAY LUIS DE LEON</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SONIA YAMILE ARTEAGA MELO</v>
          </cell>
          <cell r="L38" t="str">
            <v>JENNIFFER ESPERANZA GONZÁLEZ GÓMEZ</v>
          </cell>
          <cell r="M38">
            <v>45937</v>
          </cell>
          <cell r="N38">
            <v>45909</v>
          </cell>
          <cell r="O38">
            <v>45909</v>
          </cell>
          <cell r="P38" t="str">
            <v>Visitas de evaluación con fines de seguimiento</v>
          </cell>
          <cell r="Q38" t="str">
            <v>Acta de visita administrativa Institución Fray Luis de León.pdf</v>
          </cell>
          <cell r="R38" t="str">
            <v>En aplicativo SIMAT se evidencian diez estudiantes marcados con discapacidad.  El colegio informa que actualmente solo tienen un estudiante con discapacidad.
Presentan documento PIAR del estudiante.</v>
          </cell>
          <cell r="S38" t="str">
            <v>Se solicita actualizar aplicativo SIMAT, y se realizan observaciones generales sobre el diligenciamiento del instrumento.</v>
          </cell>
          <cell r="T38" t="str">
            <v>Si</v>
          </cell>
          <cell r="U38" t="str">
            <v>Verificar estado de matrícula SIMAT.</v>
          </cell>
        </row>
        <row r="39">
          <cell r="A39">
            <v>1960</v>
          </cell>
          <cell r="B39">
            <v>4</v>
          </cell>
          <cell r="C39" t="str">
            <v>SUBA</v>
          </cell>
          <cell r="D39" t="str">
            <v>PRIVADO</v>
          </cell>
          <cell r="E39" t="str">
            <v>Educación de Jóvenes y Adultos</v>
          </cell>
          <cell r="F39" t="str">
            <v>INSTITUCION_EDUCATIVA_FRAY_LUIS_DE_LEON</v>
          </cell>
          <cell r="G39" t="str">
            <v>INSTITUCION EDUCATIVA FRAY LUIS DE LEON</v>
          </cell>
          <cell r="H39" t="str">
            <v>Autoevaluación Institucional y Pruebas SABER 11</v>
          </cell>
          <cell r="I39" t="str">
            <v>EVALUACIÓN_CON_FINES_DE_MEJORAMIENTO.</v>
          </cell>
          <cell r="J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 t="str">
            <v>SONIA YAMILE ARTEAGA MELO</v>
          </cell>
          <cell r="L39" t="str">
            <v>JENNIFFER ESPERANZA GONZÁLEZ GÓMEZ</v>
          </cell>
          <cell r="M39">
            <v>45937</v>
          </cell>
          <cell r="N39">
            <v>45908</v>
          </cell>
          <cell r="O39">
            <v>45909</v>
          </cell>
          <cell r="P39" t="str">
            <v>Visitas de evaluación con fines de mejoramiento</v>
          </cell>
          <cell r="Q39" t="str">
            <v>Acta de visita administrativa Institución Fray Luis de León.pdf</v>
          </cell>
          <cell r="R39" t="str">
            <v>El manual de convivencia Escolar, tiene falencias respecto a diferenciación entre faltas y situaciones, tema de servicio social, atención población con discapacidad, PRAE, entre otros.</v>
          </cell>
          <cell r="S39" t="str">
            <v xml:space="preserve">Realizar la actualización del manual de convivencia Escolar, e amenra participativa, toamdo como referencia orientaciones actualizadas brindadas por la SED. </v>
          </cell>
          <cell r="T39" t="str">
            <v>Si</v>
          </cell>
          <cell r="U39" t="str">
            <v>Verificación y análisis del nuevo Manual de Convivencia Escolar.</v>
          </cell>
        </row>
        <row r="40">
          <cell r="A40">
            <v>1961</v>
          </cell>
          <cell r="B40">
            <v>4</v>
          </cell>
          <cell r="C40" t="str">
            <v>SUBA</v>
          </cell>
          <cell r="D40" t="str">
            <v>PRIVADO</v>
          </cell>
          <cell r="E40" t="str">
            <v>Educación de Jóvenes y Adultos</v>
          </cell>
          <cell r="F40" t="str">
            <v>INSTITUCION_EDUCATIVA_FRAY_LUIS_DE_LEON</v>
          </cell>
          <cell r="G40" t="str">
            <v>INSTITUCION EDUCATIVA FRAY LUIS DE LEON</v>
          </cell>
          <cell r="H40" t="str">
            <v>Autoevaluación Institucional y Pruebas SABER 11</v>
          </cell>
          <cell r="I40" t="str">
            <v>EVALUACIÓN_CON_FINES_DE_MEJORAMIENTO.</v>
          </cell>
          <cell r="J40" t="str">
            <v>Revisar la actualización, socialización e implementación del Sistema Institucional de Evaluación de Estudiantes - SIEE, en articulación con la actualización del PEI y la normatividad vigente.</v>
          </cell>
          <cell r="K40" t="str">
            <v>SONIA YAMILE ARTEAGA MELO</v>
          </cell>
          <cell r="L40" t="str">
            <v>JENNIFFER ESPERANZA GONZÁLEZ GÓMEZ</v>
          </cell>
          <cell r="M40">
            <v>45937</v>
          </cell>
          <cell r="N40">
            <v>45909</v>
          </cell>
          <cell r="O40">
            <v>45909</v>
          </cell>
          <cell r="P40" t="str">
            <v>Visitas de evaluación con fines de mejoramiento</v>
          </cell>
          <cell r="Q40" t="str">
            <v>Acta de visita administrativa Institución Fray Luis de León.pdf</v>
          </cell>
          <cell r="R40" t="str">
            <v>Se identifican falencias en la definición del valor porcentual de cada periodo escolar, gestión de las comisiones de evalución y promoción, y criterios de aprobación y reprobación de año escolar.</v>
          </cell>
          <cell r="S40" t="str">
            <v>Se solicita redefinir aspectos del SIEE.</v>
          </cell>
          <cell r="T40" t="str">
            <v>Si</v>
          </cell>
          <cell r="U40" t="str">
            <v xml:space="preserve">Verificar estructuración del SIEE, validando cumplimeitno de la normativa vigente y pertinencia. </v>
          </cell>
        </row>
        <row r="41">
          <cell r="A41">
            <v>1962</v>
          </cell>
          <cell r="B41">
            <v>4</v>
          </cell>
          <cell r="C41" t="str">
            <v>SUBA</v>
          </cell>
          <cell r="D41" t="str">
            <v>PRIVADO</v>
          </cell>
          <cell r="E41" t="str">
            <v>Educación de Jóvenes y Adultos</v>
          </cell>
          <cell r="F41" t="str">
            <v>INSTITUCION_EDUCATIVA_FRAY_LUIS_DE_LEON</v>
          </cell>
          <cell r="G41" t="str">
            <v>INSTITUCION EDUCATIVA FRAY LUIS DE LEON</v>
          </cell>
          <cell r="H41" t="str">
            <v>Autoevaluación Institucional y Pruebas SABER 11</v>
          </cell>
          <cell r="I41" t="str">
            <v>EVALUACIÓN_CON_FINES_DE_MEJORAMIENTO.</v>
          </cell>
          <cell r="J41" t="str">
            <v>Revisar el calendario escolar, jornada escolar, la intensidad horaria mínima anual en cada nivel y las modificaciones que se realicen al mismo, de acuerdo con lo previsto en la normatividad vigente.</v>
          </cell>
          <cell r="K41" t="str">
            <v>SONIA YAMILE ARTEAGA MELO</v>
          </cell>
          <cell r="L41" t="str">
            <v>JENNIFFER ESPERANZA GONZÁLEZ GÓMEZ</v>
          </cell>
          <cell r="M41">
            <v>45937</v>
          </cell>
          <cell r="N41">
            <v>45909</v>
          </cell>
          <cell r="O41">
            <v>45909</v>
          </cell>
          <cell r="P41" t="str">
            <v>Visitas de evaluación con fines de mejoramiento</v>
          </cell>
          <cell r="Q41" t="str">
            <v>Acta de visita administrativa Institución Fray Luis de León.pdf</v>
          </cell>
          <cell r="R41" t="str">
            <v>Cuenta con la oferta de jornada tarde, noche y fin de semana, cumple con lo requerido de acuerdo con normativa.</v>
          </cell>
          <cell r="S41" t="str">
            <v>Cumple con lo requerido</v>
          </cell>
          <cell r="T41" t="str">
            <v>No</v>
          </cell>
          <cell r="U41" t="str">
            <v>Realizar nueva verificación.</v>
          </cell>
        </row>
        <row r="42">
          <cell r="A42">
            <v>1963</v>
          </cell>
          <cell r="B42">
            <v>4</v>
          </cell>
          <cell r="C42" t="str">
            <v>SUBA</v>
          </cell>
          <cell r="D42" t="str">
            <v>PRIVADO</v>
          </cell>
          <cell r="E42" t="str">
            <v>Educación de Jóvenes y Adultos</v>
          </cell>
          <cell r="F42" t="str">
            <v>INSTITUCION_EDUCATIVA_FRAY_LUIS_DE_LEON</v>
          </cell>
          <cell r="G42" t="str">
            <v>INSTITUCION EDUCATIVA FRAY LUIS DE LEON</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SONIA YAMILE ARTEAGA MELO</v>
          </cell>
          <cell r="L42" t="str">
            <v>JENNIFFER ESPERANZA GONZÁLEZ GÓMEZ</v>
          </cell>
          <cell r="M42">
            <v>45937</v>
          </cell>
          <cell r="N42">
            <v>45909</v>
          </cell>
          <cell r="O42">
            <v>45909</v>
          </cell>
          <cell r="P42" t="str">
            <v>Visitas de evaluación con fines de mejoramiento</v>
          </cell>
          <cell r="Q42" t="str">
            <v>Acta de visita administrativa Institución Fray Luis de León.pdf</v>
          </cell>
          <cell r="R42" t="str">
            <v>Se identifica que el gobierno escolar e instancias de participación se encuentran conformadas.  En las actas revisadas se evidencia que no hay riguroso manejo de los temas de acuerdo con la instancia, y que no se reunen con la periodicidad necesaria.</v>
          </cell>
          <cell r="S42" t="str">
            <v>Sesionar con la periodicidad que la norma determina, y que en cada instancia se aborden los temas puntuales de la mísma.</v>
          </cell>
          <cell r="T42" t="str">
            <v>Si</v>
          </cell>
          <cell r="U42" t="str">
            <v>Realizar verificación documental de actas de reunión.</v>
          </cell>
        </row>
        <row r="43">
          <cell r="A43">
            <v>1964</v>
          </cell>
          <cell r="B43">
            <v>4</v>
          </cell>
          <cell r="C43" t="str">
            <v>SUBA</v>
          </cell>
          <cell r="D43" t="str">
            <v>PRIVADO</v>
          </cell>
          <cell r="E43" t="str">
            <v>Educación de Jóvenes y Adultos</v>
          </cell>
          <cell r="F43" t="str">
            <v>INSTITUCION_EDUCATIVA_FRAY_LUIS_DE_LEON</v>
          </cell>
          <cell r="G43" t="str">
            <v>INSTITUCION EDUCATIVA FRAY LUIS DE LEON</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SONIA YAMILE ARTEAGA MELO</v>
          </cell>
          <cell r="L43" t="str">
            <v>JENNIFFER ESPERANZA GONZÁLEZ GÓMEZ</v>
          </cell>
          <cell r="M43">
            <v>45937</v>
          </cell>
          <cell r="N43">
            <v>45909</v>
          </cell>
          <cell r="O43">
            <v>45909</v>
          </cell>
          <cell r="P43" t="str">
            <v>Visitas de evaluación con fines de mejoramiento</v>
          </cell>
          <cell r="Q43" t="str">
            <v>Acta de visita administrativa Institución Fray Luis de León.pdf</v>
          </cell>
          <cell r="R43" t="str">
            <v>La planta física es compartida con el Colegio Reina de Gales, esta institución funciona en el piso 3, comparten uso de baterias sanitarias en segundo piso, tienda escolar primer piso, no hay biblioteca.</v>
          </cell>
          <cell r="S43" t="str">
            <v>Requiere mejoras en baterias sanitarias, adecuación de biblioteca y enfermería.</v>
          </cell>
          <cell r="T43" t="str">
            <v>Si</v>
          </cell>
          <cell r="U43" t="str">
            <v>Nueva visita de verificación.</v>
          </cell>
        </row>
        <row r="44">
          <cell r="A44">
            <v>1965</v>
          </cell>
          <cell r="B44">
            <v>5</v>
          </cell>
          <cell r="C44" t="str">
            <v>SUBA</v>
          </cell>
          <cell r="D44" t="str">
            <v>PRIVADO</v>
          </cell>
          <cell r="E44" t="str">
            <v>Educación de Jóvenes y Adultos</v>
          </cell>
          <cell r="F44" t="str">
            <v>COLEGIO_CULTURAL_DEL_NORTE</v>
          </cell>
          <cell r="G44" t="str">
            <v>COLEGIO CULTURAL DEL NORTE</v>
          </cell>
          <cell r="H44" t="str">
            <v>Autoevaluación Institucional y Pruebas SABER 11</v>
          </cell>
          <cell r="I44" t="str">
            <v>SEGUIMIENTO_Y_SUPERVISIÓN.</v>
          </cell>
          <cell r="J44"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44" t="str">
            <v>MARTHA RUT SILVA ABRIL</v>
          </cell>
          <cell r="L44" t="str">
            <v>JUAN MANUEL SANCHEZ MORA</v>
          </cell>
          <cell r="M44">
            <v>45916</v>
          </cell>
          <cell r="N44">
            <v>45904</v>
          </cell>
          <cell r="O44">
            <v>45904</v>
          </cell>
          <cell r="P44" t="str">
            <v>Visitas de evaluación con fines de seguimiento</v>
          </cell>
          <cell r="Q44" t="str">
            <v>Acta de visita de fecha 4-09-2025.pdf</v>
          </cell>
          <cell r="R44" t="str">
            <v xml:space="preserve">Se observó que la institución no elaboró ni cargo en el aplicativo EVI el plan de mejoramiento para superar el régimen controlado </v>
          </cell>
          <cell r="S44" t="str">
            <v>Elaborar el plan de mejoramiento para superar el régimen controlado y subirlo al  aplicativo EVI.</v>
          </cell>
          <cell r="T44" t="str">
            <v>Si</v>
          </cell>
          <cell r="U44" t="str">
            <v>Plan de mejoramiento 17 de octubre de 2025.</v>
          </cell>
        </row>
        <row r="45">
          <cell r="A45">
            <v>1966</v>
          </cell>
          <cell r="B45">
            <v>5</v>
          </cell>
          <cell r="C45" t="str">
            <v>SUBA</v>
          </cell>
          <cell r="D45" t="str">
            <v>PRIVADO</v>
          </cell>
          <cell r="E45" t="str">
            <v>Educación de Jóvenes y Adultos</v>
          </cell>
          <cell r="F45" t="str">
            <v>COLEGIO_CULTURAL_DEL_NORTE</v>
          </cell>
          <cell r="G45" t="str">
            <v>COLEGIO CULTURAL DEL NORTE</v>
          </cell>
          <cell r="H45" t="str">
            <v>Autoevaluación Institucional y Pruebas SABER 11</v>
          </cell>
          <cell r="I45" t="str">
            <v>SEGUIMIENTO_Y_SUPERVISIÓN.</v>
          </cell>
          <cell r="J45" t="str">
            <v>Realizar visitas para verificar la información registrada sobre la autoevaluación institucional en el aplicativo EVI, a los establecimientos de educación formal no oficial.</v>
          </cell>
          <cell r="K45" t="str">
            <v>MARTHA RUT SILVA ABRIL</v>
          </cell>
          <cell r="L45" t="str">
            <v>JUAN MANUEL SANCHEZ MORA</v>
          </cell>
          <cell r="M45">
            <v>45916</v>
          </cell>
          <cell r="N45">
            <v>45904</v>
          </cell>
          <cell r="O45">
            <v>45904</v>
          </cell>
          <cell r="P45" t="str">
            <v>Visitas de evaluación con fines de seguimiento</v>
          </cell>
          <cell r="Q45" t="str">
            <v>Acta de visita de fecha 4-09-2025.pdf</v>
          </cell>
          <cell r="R45" t="str">
            <v>Se evidenció que la autoevaluación no corresponde con la realidad institucional en aspectos relacionados con la planta física, entre otros.</v>
          </cell>
          <cell r="S45" t="str">
            <v xml:space="preserve">Reportar la información de acuerdo con la realidad institucional, realizar los ajustes en planta física espacios pedagógicos y administrativos </v>
          </cell>
          <cell r="T45" t="str">
            <v>Si</v>
          </cell>
          <cell r="U45" t="str">
            <v>Plan de mejoramiento 17 de octubre de 2025.</v>
          </cell>
        </row>
        <row r="46">
          <cell r="A46">
            <v>1967</v>
          </cell>
          <cell r="B46">
            <v>5</v>
          </cell>
          <cell r="C46" t="str">
            <v>SUBA</v>
          </cell>
          <cell r="D46" t="str">
            <v>PRIVADO</v>
          </cell>
          <cell r="E46" t="str">
            <v>Educación de Jóvenes y Adultos</v>
          </cell>
          <cell r="F46" t="str">
            <v>COLEGIO_CULTURAL_DEL_NORTE</v>
          </cell>
          <cell r="G46" t="str">
            <v>COLEGIO CULTURAL DEL NORTE</v>
          </cell>
          <cell r="H46" t="str">
            <v>Autoevaluación Institucional y Pruebas SABER 11</v>
          </cell>
          <cell r="I46" t="str">
            <v>SEGUIMIENTO_Y_SUPERVISIÓN.</v>
          </cell>
          <cell r="J46" t="str">
            <v>Proponer estrategias en la formulación, verificar su elaboración y realizar seguimiento semestral al desarrollo de  las acciones establecidas en los planes de mejoramiento por pruebas SABER 11 de los establecimientos de educación formal.</v>
          </cell>
          <cell r="K46" t="str">
            <v>MARTHA RUT SILVA ABRIL</v>
          </cell>
          <cell r="L46" t="str">
            <v>JUAN MANUEL SANCHEZ MORA</v>
          </cell>
          <cell r="M46">
            <v>45916</v>
          </cell>
          <cell r="N46">
            <v>45904</v>
          </cell>
          <cell r="O46">
            <v>45904</v>
          </cell>
          <cell r="P46" t="str">
            <v>Visitas de evaluación con fines de seguimiento</v>
          </cell>
          <cell r="Q46" t="str">
            <v>Acta de visita de fecha 4-09-2025.pdf</v>
          </cell>
          <cell r="R46" t="str">
            <v>Se evidenció que no cuenta con estrategias producto del análisis de resultados en la pruebas SABER 11 tampoco la implementación de acciones de seguimiento.</v>
          </cell>
          <cell r="S46" t="str">
            <v>Diseñar e implementar estrategias para la revisión y análisis de los últimos resultados de las pruebas SABER y realizar acciones de seguimiento.</v>
          </cell>
          <cell r="T46" t="str">
            <v>Si</v>
          </cell>
          <cell r="U46" t="str">
            <v>Plan de mejoramiento 17 de octubre de 2025.</v>
          </cell>
        </row>
        <row r="47">
          <cell r="A47">
            <v>1968</v>
          </cell>
          <cell r="B47">
            <v>5</v>
          </cell>
          <cell r="C47" t="str">
            <v>SUBA</v>
          </cell>
          <cell r="D47" t="str">
            <v>PRIVADO</v>
          </cell>
          <cell r="E47" t="str">
            <v>Educación de Jóvenes y Adultos</v>
          </cell>
          <cell r="F47" t="str">
            <v>COLEGIO_CULTURAL_DEL_NORTE</v>
          </cell>
          <cell r="G47" t="str">
            <v>COLEGIO CULTURAL DEL NORTE</v>
          </cell>
          <cell r="H47" t="str">
            <v>Autoevaluación Institucional y Pruebas SABER 11</v>
          </cell>
          <cell r="I47" t="str">
            <v>SEGUIMIENTO_Y_SUPERVISIÓN.</v>
          </cell>
          <cell r="J47" t="str">
            <v xml:space="preserve">Verificar la implementación por parte de los colegios, de acciones realizadas para la prevención y atención de las situaciones de convivencia en el entorno escolar, según lo establecido en la Directiva 01 de 2022 del MEN. </v>
          </cell>
          <cell r="K47" t="str">
            <v>MARTHA RUT SILVA ABRIL</v>
          </cell>
          <cell r="L47" t="str">
            <v>JUAN MANUEL SANCHEZ MORA</v>
          </cell>
          <cell r="M47">
            <v>45916</v>
          </cell>
          <cell r="N47">
            <v>45904</v>
          </cell>
          <cell r="O47">
            <v>45904</v>
          </cell>
          <cell r="P47" t="str">
            <v>Visitas de evaluación con fines de seguimiento</v>
          </cell>
          <cell r="Q47" t="str">
            <v>Acta de visita de fecha 4-09-2025.pdf</v>
          </cell>
          <cell r="R47" t="str">
            <v>Se evidenció que no realiza consulta de inhabilidades por delitos sexuales para la vicunlación de docentes.</v>
          </cell>
          <cell r="S47" t="str">
            <v>Realizar consulta cada 4 meses en el sistema para la verficación de inhabilidades por delitos sexuales en cumplimiento de la Directiva Ministeral para todo el personal vinculado a la institución.</v>
          </cell>
          <cell r="T47" t="str">
            <v>Si</v>
          </cell>
          <cell r="U47" t="str">
            <v>Plan de mejoramiento 17 de octubre de 2025.</v>
          </cell>
        </row>
        <row r="48">
          <cell r="A48">
            <v>1969</v>
          </cell>
          <cell r="B48">
            <v>5</v>
          </cell>
          <cell r="C48" t="str">
            <v>SUBA</v>
          </cell>
          <cell r="D48" t="str">
            <v>PRIVADO</v>
          </cell>
          <cell r="E48" t="str">
            <v>Educación de Jóvenes y Adultos</v>
          </cell>
          <cell r="F48" t="str">
            <v>COLEGIO_CULTURAL_DEL_NORTE</v>
          </cell>
          <cell r="G48" t="str">
            <v>COLEGIO CULTURAL DEL NORTE</v>
          </cell>
          <cell r="H48" t="str">
            <v>Autoevaluación Institucional y Pruebas SABER 11</v>
          </cell>
          <cell r="I48" t="str">
            <v>SEGUIMIENTO_Y_SUPERVISIÓN.</v>
          </cell>
          <cell r="J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8" t="str">
            <v>MARTHA RUT SILVA ABRIL</v>
          </cell>
          <cell r="L48" t="str">
            <v>JUAN MANUEL SANCHEZ MORA</v>
          </cell>
          <cell r="M48">
            <v>45916</v>
          </cell>
          <cell r="N48">
            <v>45904</v>
          </cell>
          <cell r="O48">
            <v>45904</v>
          </cell>
          <cell r="P48" t="str">
            <v>Visitas de evaluación con fines de seguimiento</v>
          </cell>
          <cell r="Q48" t="str">
            <v>Acta de visita de fecha 4-09-2025.pdf</v>
          </cell>
          <cell r="R48" t="str">
            <v>Se encontró que la institución educativa no cuenta con aplicación del PIAR diseñado para los estudiantes con discapacidad.</v>
          </cell>
          <cell r="S48" t="str">
            <v>Elaborar y aplicar los PIAR acorde con lo establecido en la norma según la necesidad educativa de los estudiantes.</v>
          </cell>
          <cell r="T48" t="str">
            <v>Si</v>
          </cell>
          <cell r="U48" t="str">
            <v>Plan de mejoramiento 17 de octubre de 2025.</v>
          </cell>
        </row>
        <row r="49">
          <cell r="A49">
            <v>1970</v>
          </cell>
          <cell r="B49">
            <v>5</v>
          </cell>
          <cell r="C49" t="str">
            <v>SUBA</v>
          </cell>
          <cell r="D49" t="str">
            <v>PRIVADO</v>
          </cell>
          <cell r="E49" t="str">
            <v>Educación de Jóvenes y Adultos</v>
          </cell>
          <cell r="F49" t="str">
            <v>COLEGIO_CULTURAL_DEL_NORTE</v>
          </cell>
          <cell r="G49" t="str">
            <v>COLEGIO CULTURAL DEL NORTE</v>
          </cell>
          <cell r="H49" t="str">
            <v>Autoevaluación Institucional y Pruebas SABER 11</v>
          </cell>
          <cell r="I49" t="str">
            <v>EVALUACIÓN_CON_FINES_DE_MEJORAMIENTO.</v>
          </cell>
          <cell r="J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9" t="str">
            <v>MARTHA RUT SILVA ABRIL</v>
          </cell>
          <cell r="L49" t="str">
            <v>JUAN MANUEL SANCHEZ MORA</v>
          </cell>
          <cell r="M49">
            <v>45916</v>
          </cell>
          <cell r="N49">
            <v>45904</v>
          </cell>
          <cell r="O49">
            <v>45904</v>
          </cell>
          <cell r="P49" t="str">
            <v>Visitas de evaluación con fines de mejoramiento</v>
          </cell>
          <cell r="Q49" t="str">
            <v>Acta de visita de fecha 4-09-2025.pdf</v>
          </cell>
          <cell r="R49" t="str">
            <v>Se observó que el manual de convivencia estaba desactualizado y no se fue construido con la participación de la comunidad educativa.</v>
          </cell>
          <cell r="S49" t="str">
            <v>Realizar la actualización del manual de convivencia incluyendo los protocolos de atención y enfoques restaurativos y adoptarlo de forma participativa.</v>
          </cell>
          <cell r="T49" t="str">
            <v>Si</v>
          </cell>
          <cell r="U49" t="str">
            <v>Plan de mejoramiento 17 de octubre de 2025.</v>
          </cell>
        </row>
        <row r="50">
          <cell r="A50">
            <v>1971</v>
          </cell>
          <cell r="B50">
            <v>5</v>
          </cell>
          <cell r="C50" t="str">
            <v>SUBA</v>
          </cell>
          <cell r="D50" t="str">
            <v>PRIVADO</v>
          </cell>
          <cell r="E50" t="str">
            <v>Educación de Jóvenes y Adultos</v>
          </cell>
          <cell r="F50" t="str">
            <v>COLEGIO_CULTURAL_DEL_NORTE</v>
          </cell>
          <cell r="G50" t="str">
            <v>COLEGIO CULTURAL DEL NORTE</v>
          </cell>
          <cell r="H50" t="str">
            <v>Autoevaluación Institucional y Pruebas SABER 11</v>
          </cell>
          <cell r="I50" t="str">
            <v>EVALUACIÓN_CON_FINES_DE_MEJORAMIENTO.</v>
          </cell>
          <cell r="J50" t="str">
            <v>Revisar la actualización, socialización e implementación del Sistema Institucional de Evaluación de Estudiantes - SIEE, en articulación con la actualización del PEI y la normatividad vigente.</v>
          </cell>
          <cell r="K50" t="str">
            <v>MARTHA RUT SILVA ABRIL</v>
          </cell>
          <cell r="L50" t="str">
            <v>JUAN MANUEL SANCHEZ MORA</v>
          </cell>
          <cell r="M50">
            <v>45916</v>
          </cell>
          <cell r="N50">
            <v>45904</v>
          </cell>
          <cell r="O50">
            <v>45904</v>
          </cell>
          <cell r="P50" t="str">
            <v>Visitas de evaluación con fines de mejoramiento</v>
          </cell>
          <cell r="Q50" t="str">
            <v>Acta de visita de fecha 4-09-2025.pdf</v>
          </cell>
          <cell r="R50" t="str">
            <v>Se evidenció desactialuzación del SIEE, no cuenta con socialización ni articulación con el PEI.</v>
          </cell>
          <cell r="S50" t="str">
            <v>Actualizar el SIEE con la participación de la comunidad educativa y dejar evidencia.</v>
          </cell>
          <cell r="T50" t="str">
            <v>Si</v>
          </cell>
          <cell r="U50" t="str">
            <v>Plan de mejoramiento 17 de octubre de 2025.</v>
          </cell>
        </row>
        <row r="51">
          <cell r="A51">
            <v>1972</v>
          </cell>
          <cell r="B51">
            <v>5</v>
          </cell>
          <cell r="C51" t="str">
            <v>SUBA</v>
          </cell>
          <cell r="D51" t="str">
            <v>PRIVADO</v>
          </cell>
          <cell r="E51" t="str">
            <v>Educación de Jóvenes y Adultos</v>
          </cell>
          <cell r="F51" t="str">
            <v>COLEGIO_CULTURAL_DEL_NORTE</v>
          </cell>
          <cell r="G51" t="str">
            <v>COLEGIO CULTURAL DEL NORTE</v>
          </cell>
          <cell r="H51" t="str">
            <v>Autoevaluación Institucional y Pruebas SABER 11</v>
          </cell>
          <cell r="I51" t="str">
            <v>EVALUACIÓN_CON_FINES_DE_MEJORAMIENTO.</v>
          </cell>
          <cell r="J51" t="str">
            <v>Revisar el calendario escolar, jornada escolar, la intensidad horaria mínima anual en cada nivel y las modificaciones que se realicen al mismo, de acuerdo con lo previsto en la normatividad vigente.</v>
          </cell>
          <cell r="K51" t="str">
            <v>MARTHA RUT SILVA ABRIL</v>
          </cell>
          <cell r="L51" t="str">
            <v>JUAN MANUEL SANCHEZ MORA</v>
          </cell>
          <cell r="M51">
            <v>45916</v>
          </cell>
          <cell r="N51">
            <v>45904</v>
          </cell>
          <cell r="O51">
            <v>45904</v>
          </cell>
          <cell r="P51" t="str">
            <v>Visitas de evaluación con fines de mejoramiento</v>
          </cell>
          <cell r="Q51" t="str">
            <v>Acta de visita de fecha 4-09-2025.pdf</v>
          </cell>
          <cell r="R51" t="str">
            <v>Se verificó que el calendario escolar debe ajustarse a las semanas efectivas de trabajo académico por ciclos.</v>
          </cell>
          <cell r="S51" t="str">
            <v>Ajustar el reporte de calendario escolar con relación al total de semanas efectivas de trabajo académico.</v>
          </cell>
          <cell r="T51" t="str">
            <v>Si</v>
          </cell>
          <cell r="U51" t="str">
            <v>Plan de mejoramiento 17 de octubre de 2025.</v>
          </cell>
        </row>
        <row r="52">
          <cell r="A52">
            <v>1973</v>
          </cell>
          <cell r="B52">
            <v>5</v>
          </cell>
          <cell r="C52" t="str">
            <v>SUBA</v>
          </cell>
          <cell r="D52" t="str">
            <v>PRIVADO</v>
          </cell>
          <cell r="E52" t="str">
            <v>Educación de Jóvenes y Adultos</v>
          </cell>
          <cell r="F52" t="str">
            <v>COLEGIO_CULTURAL_DEL_NORTE</v>
          </cell>
          <cell r="G52" t="str">
            <v>COLEGIO CULTURAL DEL NORTE</v>
          </cell>
          <cell r="H52" t="str">
            <v>Autoevaluación Institucional y Pruebas SABER 11</v>
          </cell>
          <cell r="I52" t="str">
            <v>EVALUACIÓN_CON_FINES_DE_MEJORAMIENTO.</v>
          </cell>
          <cell r="J52" t="str">
            <v>Verificar el funcionamiento del Gobierno Escolar e instancias de participación con base en la información sobre conformación reportada por la institución educativa.</v>
          </cell>
          <cell r="K52" t="str">
            <v>MARTHA RUT SILVA ABRIL</v>
          </cell>
          <cell r="L52" t="str">
            <v>JUAN MANUEL SANCHEZ MORA</v>
          </cell>
          <cell r="M52">
            <v>45916</v>
          </cell>
          <cell r="N52">
            <v>45904</v>
          </cell>
          <cell r="O52">
            <v>45904</v>
          </cell>
          <cell r="P52" t="str">
            <v>Visitas de evaluación con fines de mejoramiento</v>
          </cell>
          <cell r="Q52" t="str">
            <v>Acta de visita de fecha 4-09-2025.pdf</v>
          </cell>
          <cell r="R52" t="str">
            <v>Se verficó la no conformación del gobierno escolar y por ende no se registró funcionamiento del mismo.</v>
          </cell>
          <cell r="S52" t="str">
            <v>Registrar la conformación del gobienro escolar y su operatividad.</v>
          </cell>
          <cell r="T52" t="str">
            <v>Si</v>
          </cell>
          <cell r="U52" t="str">
            <v>Plan de mejoramiento 17 de octubre de 2025.</v>
          </cell>
        </row>
        <row r="53">
          <cell r="A53">
            <v>1974</v>
          </cell>
          <cell r="B53">
            <v>5</v>
          </cell>
          <cell r="C53" t="str">
            <v>SUBA</v>
          </cell>
          <cell r="D53" t="str">
            <v>PRIVADO</v>
          </cell>
          <cell r="E53" t="str">
            <v>Educación de Jóvenes y Adultos</v>
          </cell>
          <cell r="F53" t="str">
            <v>COLEGIO_CULTURAL_DEL_NORTE</v>
          </cell>
          <cell r="G53" t="str">
            <v>COLEGIO CULTURAL DEL NORTE</v>
          </cell>
          <cell r="H53" t="str">
            <v>Autoevaluación Institucional y Pruebas SABER 11</v>
          </cell>
          <cell r="I53" t="str">
            <v>EVALUACIÓN_CON_FINES_DE_MEJORAMIENTO.</v>
          </cell>
          <cell r="J53" t="str">
            <v>Verificar las condiciones en cuanto a: la estructura administrativa, condiciones de la planta física y medios educativos adecuados.</v>
          </cell>
          <cell r="K53" t="str">
            <v>MARTHA RUT SILVA ABRIL</v>
          </cell>
          <cell r="L53" t="str">
            <v>JUAN MANUEL SANCHEZ MORA</v>
          </cell>
          <cell r="M53">
            <v>45916</v>
          </cell>
          <cell r="N53">
            <v>45904</v>
          </cell>
          <cell r="O53">
            <v>45904</v>
          </cell>
          <cell r="P53" t="str">
            <v>Visitas de evaluación con fines de mejoramiento</v>
          </cell>
          <cell r="Q53" t="str">
            <v>Acta de visita de fecha 4-09-2025.pdf</v>
          </cell>
          <cell r="R53" t="str">
            <v>Se observó  que la planta física no cuenta con espacios administrativos como orientación escolar, enfermería, secretaría, espacios pedagógicos mínimos requeridos, como laboratorios, biblioteca, sala de profesores entre otros.</v>
          </cell>
          <cell r="S53" t="str">
            <v>Adecuar los espacios administrativos y pedagógicos mínimos para la prestación del servicio educativo.</v>
          </cell>
          <cell r="T53" t="str">
            <v>Si</v>
          </cell>
          <cell r="U53" t="str">
            <v>Plan de mejoramiento 17 de octubre de 2025.</v>
          </cell>
        </row>
        <row r="54">
          <cell r="A54">
            <v>1975</v>
          </cell>
          <cell r="B54">
            <v>6</v>
          </cell>
          <cell r="C54" t="str">
            <v>SUBA</v>
          </cell>
          <cell r="D54" t="str">
            <v>PRIVADO</v>
          </cell>
          <cell r="E54" t="str">
            <v>Educación de Jóvenes y Adultos</v>
          </cell>
          <cell r="F54" t="str">
            <v>COLEGIO_INSCAP</v>
          </cell>
          <cell r="G54" t="str">
            <v>COLEGIO INSCAP</v>
          </cell>
          <cell r="H54" t="str">
            <v>Autoevaluación Institucional y Pruebas SABER 11</v>
          </cell>
          <cell r="I54" t="str">
            <v>SEGUIMIENTO_Y_SUPERVISIÓN.</v>
          </cell>
          <cell r="J54"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54" t="str">
            <v>ALBA DEL PILAR CUBIDES CÁCERES</v>
          </cell>
          <cell r="L54" t="str">
            <v>SONIA CONSTANZA URREGO GONZÁLEZ</v>
          </cell>
          <cell r="M54">
            <v>45909</v>
          </cell>
          <cell r="N54">
            <v>45909</v>
          </cell>
          <cell r="O54">
            <v>45909</v>
          </cell>
          <cell r="P54" t="str">
            <v>Visitas de evaluación con fines de seguimiento</v>
          </cell>
          <cell r="Q54" t="str">
            <v>VISITA INSCAP.pdf</v>
          </cell>
          <cell r="R54" t="str">
            <v xml:space="preserve">La institución paga parafiscales se encuentra al dia </v>
          </cell>
          <cell r="S54" t="str">
            <v>Seguir dando cumplimiento a la norma</v>
          </cell>
          <cell r="T54" t="str">
            <v>No</v>
          </cell>
          <cell r="U54" t="str">
            <v>Realizar visita cuando se ejecute  la totalidad del plan de mejora</v>
          </cell>
        </row>
        <row r="55">
          <cell r="A55">
            <v>1976</v>
          </cell>
          <cell r="B55">
            <v>6</v>
          </cell>
          <cell r="C55" t="str">
            <v>SUBA</v>
          </cell>
          <cell r="D55" t="str">
            <v>PRIVADO</v>
          </cell>
          <cell r="E55" t="str">
            <v>Educación de Jóvenes y Adultos</v>
          </cell>
          <cell r="F55" t="str">
            <v>COLEGIO_INSCAP</v>
          </cell>
          <cell r="G55" t="str">
            <v>COLEGIO INSCAP</v>
          </cell>
          <cell r="H55" t="str">
            <v>Autoevaluación Institucional y Pruebas SABER 11</v>
          </cell>
          <cell r="I55" t="str">
            <v>SEGUIMIENTO_Y_SUPERVISIÓN.</v>
          </cell>
          <cell r="J55" t="str">
            <v>Realizar visitas para verificar la información registrada sobre la autoevaluación institucional en el aplicativo EVI, a los establecimientos de educación formal no oficial.</v>
          </cell>
          <cell r="K55" t="str">
            <v>ALBA DEL PILAR CUBIDES CÁCERES</v>
          </cell>
          <cell r="L55" t="str">
            <v>SONIA CONSTANZA URREGO GONZÁLEZ</v>
          </cell>
          <cell r="M55">
            <v>45909</v>
          </cell>
          <cell r="N55">
            <v>45909</v>
          </cell>
          <cell r="O55">
            <v>45909</v>
          </cell>
          <cell r="P55" t="str">
            <v>Visitas de evaluación con fines de seguimiento</v>
          </cell>
          <cell r="Q55" t="str">
            <v>VISITA INSCAP.pdf</v>
          </cell>
          <cell r="R55" t="str">
            <v>Una vez realizada visita, se encuentra que la informaciòn reportada en el EVI coincide.</v>
          </cell>
          <cell r="S55" t="str">
            <v>Seguir conservando el orden en cuanto al reporte en el EVI</v>
          </cell>
          <cell r="T55" t="str">
            <v>No</v>
          </cell>
          <cell r="U55" t="str">
            <v>Seguir con su cumplimiento</v>
          </cell>
        </row>
        <row r="56">
          <cell r="A56">
            <v>1977</v>
          </cell>
          <cell r="B56">
            <v>6</v>
          </cell>
          <cell r="C56" t="str">
            <v>SUBA</v>
          </cell>
          <cell r="D56" t="str">
            <v>PRIVADO</v>
          </cell>
          <cell r="E56" t="str">
            <v>Educación de Jóvenes y Adultos</v>
          </cell>
          <cell r="F56" t="str">
            <v>COLEGIO_INSCAP</v>
          </cell>
          <cell r="G56" t="str">
            <v>COLEGIO INSCAP</v>
          </cell>
          <cell r="H56" t="str">
            <v>Autoevaluación Institucional y Pruebas SABER 11</v>
          </cell>
          <cell r="I56" t="str">
            <v>SEGUIMIENTO_Y_SUPERVISIÓN.</v>
          </cell>
          <cell r="J56" t="str">
            <v>Proponer estrategias en la formulación, verificar su elaboración y realizar seguimiento semestral al desarrollo de  las acciones establecidas en los planes de mejoramiento por pruebas SABER 11 de los establecimientos de educación formal.</v>
          </cell>
          <cell r="K56" t="str">
            <v>ALBA DEL PILAR CUBIDES CÁCERES</v>
          </cell>
          <cell r="L56" t="str">
            <v>SONIA CONSTANZA URREGO GONZÁLEZ</v>
          </cell>
          <cell r="M56">
            <v>45909</v>
          </cell>
          <cell r="N56">
            <v>45909</v>
          </cell>
          <cell r="O56">
            <v>45909</v>
          </cell>
          <cell r="P56" t="str">
            <v>Visitas de evaluación con fines de seguimiento</v>
          </cell>
          <cell r="Q56" t="str">
            <v>VISITA INSCAP.pdf</v>
          </cell>
          <cell r="R56" t="str">
            <v>Realizada vìsita se observa que, la instituciòn no actualizò el curriculo ni el plan de estudios de acuerdo a la pruebas saber, como tampoco ha implementado acciones para mejorar las pruebas SABER 11</v>
          </cell>
          <cell r="S56" t="str">
            <v>Se debe presentar plan de mejoramiento a màs tardar el dìa 30  de septiembre de 2025, en el cual se informe las actividades, el tiempo y el funcionario a cargo</v>
          </cell>
          <cell r="T56" t="str">
            <v>Si</v>
          </cell>
          <cell r="U56" t="str">
            <v>Implementar acciones para mejorar aprendizajes en las pruebas SABER 11, las cuales deben ser aprobadas por el consejo directivo y consejo acadèmico</v>
          </cell>
        </row>
        <row r="57">
          <cell r="A57">
            <v>1978</v>
          </cell>
          <cell r="B57">
            <v>6</v>
          </cell>
          <cell r="C57" t="str">
            <v>SUBA</v>
          </cell>
          <cell r="D57" t="str">
            <v>PRIVADO</v>
          </cell>
          <cell r="E57" t="str">
            <v>Educación de Jóvenes y Adultos</v>
          </cell>
          <cell r="F57" t="str">
            <v>COLEGIO_INSCAP</v>
          </cell>
          <cell r="G57" t="str">
            <v>COLEGIO INSCAP</v>
          </cell>
          <cell r="H57" t="str">
            <v>Autoevaluación Institucional y Pruebas SABER 11</v>
          </cell>
          <cell r="I57" t="str">
            <v>SEGUIMIENTO_Y_SUPERVISIÓN.</v>
          </cell>
          <cell r="J57" t="str">
            <v xml:space="preserve">Verificar la implementación por parte de los colegios, de acciones realizadas para la prevención y atención de las situaciones de convivencia en el entorno escolar, según lo establecido en la Directiva 01 de 2022 del MEN. </v>
          </cell>
          <cell r="K57" t="str">
            <v>ALBA DEL PILAR CUBIDES CÁCERES</v>
          </cell>
          <cell r="L57" t="str">
            <v>SONIA CONSTANZA URREGO GONZÁLEZ</v>
          </cell>
          <cell r="M57">
            <v>45909</v>
          </cell>
          <cell r="N57">
            <v>45909</v>
          </cell>
          <cell r="O57">
            <v>45909</v>
          </cell>
          <cell r="P57" t="str">
            <v>Visitas de evaluación con fines de seguimiento</v>
          </cell>
          <cell r="Q57" t="str">
            <v>VISITA INSCAP.pdf</v>
          </cell>
          <cell r="R57" t="str">
            <v>La instituciòn cumple parcialmente, debe activar el comite de convivencia, reunirlo cada dos meses, desarrollar actividades de prevenciòn y promociòn</v>
          </cell>
          <cell r="S57" t="str">
            <v>Se debe presentar plan de mejoramiento a màs tardar el dìa 30  de septiembre de 2025, en el cual se informe las actividades, el tiempo y el funcionario a cargo</v>
          </cell>
          <cell r="T57" t="str">
            <v>Si</v>
          </cell>
          <cell r="U57" t="str">
            <v>Implementar acciones para prevenciòn  y atenciòn de las situaciones de convivencia</v>
          </cell>
        </row>
        <row r="58">
          <cell r="A58">
            <v>1979</v>
          </cell>
          <cell r="B58">
            <v>6</v>
          </cell>
          <cell r="C58" t="str">
            <v>SUBA</v>
          </cell>
          <cell r="D58" t="str">
            <v>PRIVADO</v>
          </cell>
          <cell r="E58" t="str">
            <v>Educación de Jóvenes y Adultos</v>
          </cell>
          <cell r="F58" t="str">
            <v>COLEGIO_INSCAP</v>
          </cell>
          <cell r="G58" t="str">
            <v>COLEGIO INSCAP</v>
          </cell>
          <cell r="H58" t="str">
            <v>Autoevaluación Institucional y Pruebas SABER 11</v>
          </cell>
          <cell r="I58" t="str">
            <v>SEGUIMIENTO_Y_SUPERVISIÓN.</v>
          </cell>
          <cell r="J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8" t="str">
            <v>ALBA DEL PILAR CUBIDES CÁCERES</v>
          </cell>
          <cell r="L58" t="str">
            <v>SONIA CONSTANZA URREGO GONZÁLEZ</v>
          </cell>
          <cell r="M58">
            <v>45909</v>
          </cell>
          <cell r="N58">
            <v>45909</v>
          </cell>
          <cell r="O58">
            <v>45909</v>
          </cell>
          <cell r="P58" t="str">
            <v>Visitas de evaluación con fines de seguimiento</v>
          </cell>
          <cell r="Q58" t="str">
            <v>VISITA INSCAP.pdf</v>
          </cell>
          <cell r="R58" t="str">
            <v>No se cuenta con orientador, a fin que acompañe el proceso de elaboraciòn del PIAR</v>
          </cell>
          <cell r="S58" t="str">
            <v>Se debe presentar plan de mejoramiento a màs tardar el dìa 30  de septiembre de 2025, en el cual se informe las actividades, el tiempo y el funcionario a cargo</v>
          </cell>
          <cell r="T58" t="str">
            <v>Si</v>
          </cell>
          <cell r="U58" t="str">
            <v>Contar con  orientador  a fin que acompañe el proceso de elaboraciòn, socializaciòn y avance del PIAR.</v>
          </cell>
        </row>
        <row r="59">
          <cell r="A59">
            <v>1980</v>
          </cell>
          <cell r="B59">
            <v>6</v>
          </cell>
          <cell r="C59" t="str">
            <v>SUBA</v>
          </cell>
          <cell r="D59" t="str">
            <v>PRIVADO</v>
          </cell>
          <cell r="E59" t="str">
            <v>Educación de Jóvenes y Adultos</v>
          </cell>
          <cell r="F59" t="str">
            <v>COLEGIO_INSCAP</v>
          </cell>
          <cell r="G59" t="str">
            <v>COLEGIO INSCAP</v>
          </cell>
          <cell r="H59" t="str">
            <v>Autoevaluación Institucional y Pruebas SABER 11</v>
          </cell>
          <cell r="I59" t="str">
            <v>EVALUACIÓN_CON_FINES_DE_MEJORAMIENTO.</v>
          </cell>
          <cell r="J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9" t="str">
            <v>ALBA DEL PILAR CUBIDES CÁCERES</v>
          </cell>
          <cell r="L59" t="str">
            <v>SONIA CONSTANZA URREGO GONZÁLEZ</v>
          </cell>
          <cell r="M59">
            <v>45909</v>
          </cell>
          <cell r="N59">
            <v>45909</v>
          </cell>
          <cell r="O59">
            <v>45909</v>
          </cell>
          <cell r="P59" t="str">
            <v>Visitas de evaluación con fines de mejoramiento</v>
          </cell>
          <cell r="Q59" t="str">
            <v>VISITA INSCAP.pdf</v>
          </cell>
          <cell r="R59" t="str">
            <v>Se debe construìr el manual de convivencia de forma participativa, incluìr diferentes enfoques de respeto y activar comitè de convivencia</v>
          </cell>
          <cell r="S59" t="str">
            <v>Se debe presentar plan de mejoramiento a màs tardar el dìa 30  de septiembre de 2025, en el cual se informe las actividades, el tiempo y el funcionario a cargo</v>
          </cell>
          <cell r="T59" t="str">
            <v>Si</v>
          </cell>
          <cell r="U59" t="str">
            <v>Implementar actividades para la construcciòn partipativa del manual de convivencia y cumplimiento de las demàs normas aplicables al caso</v>
          </cell>
        </row>
        <row r="60">
          <cell r="A60">
            <v>1981</v>
          </cell>
          <cell r="B60">
            <v>6</v>
          </cell>
          <cell r="C60" t="str">
            <v>SUBA</v>
          </cell>
          <cell r="D60" t="str">
            <v>PRIVADO</v>
          </cell>
          <cell r="E60" t="str">
            <v>Educación de Jóvenes y Adultos</v>
          </cell>
          <cell r="F60" t="str">
            <v>COLEGIO_INSCAP</v>
          </cell>
          <cell r="G60" t="str">
            <v>COLEGIO INSCAP</v>
          </cell>
          <cell r="H60" t="str">
            <v>Autoevaluación Institucional y Pruebas SABER 11</v>
          </cell>
          <cell r="I60" t="str">
            <v>EVALUACIÓN_CON_FINES_DE_MEJORAMIENTO.</v>
          </cell>
          <cell r="J60" t="str">
            <v>Revisar la actualización, socialización e implementación del Sistema Institucional de Evaluación de Estudiantes - SIEE, en articulación con la actualización del PEI y la normatividad vigente.</v>
          </cell>
          <cell r="K60" t="str">
            <v>ALBA DEL PILAR CUBIDES CÁCERES</v>
          </cell>
          <cell r="L60" t="str">
            <v>SONIA CONSTANZA URREGO GONZÁLEZ</v>
          </cell>
          <cell r="M60">
            <v>45909</v>
          </cell>
          <cell r="N60">
            <v>45909</v>
          </cell>
          <cell r="O60">
            <v>45909</v>
          </cell>
          <cell r="P60" t="str">
            <v>Visitas de evaluación con fines de mejoramiento</v>
          </cell>
          <cell r="Q60" t="str">
            <v>VISITA INSCAP.pdf</v>
          </cell>
          <cell r="R60" t="str">
            <v>El SIEE se encuentra  implementado. No obstante no se cuenta con comisiones de evaluaciòn y promociòn, estas se confunden con las funciones  del consejo acadèmico</v>
          </cell>
          <cell r="S60" t="str">
            <v>Se debe presentar plan de mejoramiento a màs tardar el dìa 30  de septiembre de 2025, en el cual se informe las actividades, el tiempo y el funcionario a cargo</v>
          </cell>
          <cell r="T60" t="str">
            <v>Si</v>
          </cell>
          <cell r="U60" t="str">
            <v>Establecer las  funciones del consejo acadèmico y  de las  comisiones de evaluaciòn y promociòn, para no entrar en confusiòn.</v>
          </cell>
        </row>
        <row r="61">
          <cell r="A61">
            <v>1982</v>
          </cell>
          <cell r="B61">
            <v>6</v>
          </cell>
          <cell r="C61" t="str">
            <v>SUBA</v>
          </cell>
          <cell r="D61" t="str">
            <v>PRIVADO</v>
          </cell>
          <cell r="E61" t="str">
            <v>Educación de Jóvenes y Adultos</v>
          </cell>
          <cell r="F61" t="str">
            <v>COLEGIO_INSCAP</v>
          </cell>
          <cell r="G61" t="str">
            <v>COLEGIO INSCAP</v>
          </cell>
          <cell r="H61" t="str">
            <v>Autoevaluación Institucional y Pruebas SABER 11</v>
          </cell>
          <cell r="I61" t="str">
            <v>EVALUACIÓN_CON_FINES_DE_MEJORAMIENTO.</v>
          </cell>
          <cell r="J61" t="str">
            <v>Revisar el calendario escolar, jornada escolar, la intensidad horaria mínima anual en cada nivel y las modificaciones que se realicen al mismo, de acuerdo con lo previsto en la normatividad vigente.</v>
          </cell>
          <cell r="K61" t="str">
            <v>ALBA DEL PILAR CUBIDES CÁCERES</v>
          </cell>
          <cell r="L61" t="str">
            <v>SONIA CONSTANZA URREGO GONZÁLEZ</v>
          </cell>
          <cell r="M61">
            <v>45909</v>
          </cell>
          <cell r="N61">
            <v>45909</v>
          </cell>
          <cell r="O61">
            <v>45909</v>
          </cell>
          <cell r="P61" t="str">
            <v>Visitas de evaluación con fines de mejoramiento</v>
          </cell>
          <cell r="Q61" t="str">
            <v>VISITA INSCAP.pdf</v>
          </cell>
          <cell r="R61" t="str">
            <v>Cumple con el número de semanas y horas por ciclo. Realizó reporte de información del Calendario Escolar.</v>
          </cell>
          <cell r="S61" t="str">
            <v xml:space="preserve">Continuar con el cumplimiento del calendario.  </v>
          </cell>
          <cell r="T61" t="str">
            <v>No</v>
          </cell>
          <cell r="U61" t="str">
            <v>Seguir con su cumplimiento</v>
          </cell>
        </row>
        <row r="62">
          <cell r="A62">
            <v>1983</v>
          </cell>
          <cell r="B62">
            <v>6</v>
          </cell>
          <cell r="C62" t="str">
            <v>SUBA</v>
          </cell>
          <cell r="D62" t="str">
            <v>PRIVADO</v>
          </cell>
          <cell r="E62" t="str">
            <v>Educación de Jóvenes y Adultos</v>
          </cell>
          <cell r="F62" t="str">
            <v>COLEGIO_INSCAP</v>
          </cell>
          <cell r="G62" t="str">
            <v>COLEGIO INSCAP</v>
          </cell>
          <cell r="H62" t="str">
            <v>Autoevaluación Institucional y Pruebas SABER 11</v>
          </cell>
          <cell r="I62" t="str">
            <v>EVALUACIÓN_CON_FINES_DE_MEJORAMIENTO.</v>
          </cell>
          <cell r="J62" t="str">
            <v>Verificar el funcionamiento del Gobierno Escolar e instancias de participación con base en la información sobre conformación reportada por la institución educativa.</v>
          </cell>
          <cell r="K62" t="str">
            <v>ALBA DEL PILAR CUBIDES CÁCERES</v>
          </cell>
          <cell r="L62" t="str">
            <v>SONIA CONSTANZA URREGO GONZÁLEZ</v>
          </cell>
          <cell r="M62">
            <v>45909</v>
          </cell>
          <cell r="N62">
            <v>45909</v>
          </cell>
          <cell r="O62">
            <v>45909</v>
          </cell>
          <cell r="P62" t="str">
            <v>Visitas de evaluación con fines de mejoramiento</v>
          </cell>
          <cell r="Q62" t="str">
            <v>VISITA INSCAP.pdf</v>
          </cell>
          <cell r="R62" t="str">
            <v>No se observa evidencia como se convocò a elecciòn, n i como  funciona el  gobierno escolar e instancias de participaciòn.</v>
          </cell>
          <cell r="S62" t="str">
            <v>Se debe presentar plan de mejoramiento a màs tardar el dìa 30  de septiembre de 2025, en el cual se informe las actividades, el tiempo y el funcionario a cargo</v>
          </cell>
          <cell r="T62" t="str">
            <v>Si</v>
          </cell>
          <cell r="U62" t="str">
            <v>Implementar las acciones para superar el presunto incumplimiento frente al tema</v>
          </cell>
        </row>
        <row r="63">
          <cell r="A63">
            <v>1984</v>
          </cell>
          <cell r="B63">
            <v>6</v>
          </cell>
          <cell r="C63" t="str">
            <v>SUBA</v>
          </cell>
          <cell r="D63" t="str">
            <v>PRIVADO</v>
          </cell>
          <cell r="E63" t="str">
            <v>Educación de Jóvenes y Adultos</v>
          </cell>
          <cell r="F63" t="str">
            <v>COLEGIO_INSCAP</v>
          </cell>
          <cell r="G63" t="str">
            <v>COLEGIO INSCAP</v>
          </cell>
          <cell r="H63" t="str">
            <v>Autoevaluación Institucional y Pruebas SABER 11</v>
          </cell>
          <cell r="I63" t="str">
            <v>EVALUACIÓN_CON_FINES_DE_MEJORAMIENTO.</v>
          </cell>
          <cell r="J63" t="str">
            <v>Verificar las condiciones en cuanto a: la estructura administrativa, condiciones de la planta física y medios educativos adecuados.</v>
          </cell>
          <cell r="K63" t="str">
            <v>ALBA DEL PILAR CUBIDES CÁCERES</v>
          </cell>
          <cell r="L63" t="str">
            <v>SONIA CONSTANZA URREGO GONZÁLEZ</v>
          </cell>
          <cell r="M63">
            <v>45909</v>
          </cell>
          <cell r="N63">
            <v>45909</v>
          </cell>
          <cell r="O63">
            <v>45909</v>
          </cell>
          <cell r="P63" t="str">
            <v>Visitas de evaluación con fines de mejoramiento</v>
          </cell>
          <cell r="Q63" t="str">
            <v>VISITA INSCAP.pdf</v>
          </cell>
          <cell r="R63" t="str">
            <v>Se observan espacios dotados biblioteca, aula mùltiple, àrea administrativa, salones baños. No obstante no se cuenta con baño de discapacidad</v>
          </cell>
          <cell r="S63" t="str">
            <v>Se debe presentar plan de mejoramiento a màs tardar el dìa 30  de septiembre de 2025, en el cual se informe las actividades, el tiempo y el funcionario a cargo</v>
          </cell>
          <cell r="T63" t="str">
            <v>Si</v>
          </cell>
          <cell r="U63" t="str">
            <v>Adecuar baño para discapacidad</v>
          </cell>
        </row>
        <row r="64">
          <cell r="A64">
            <v>1985</v>
          </cell>
          <cell r="B64">
            <v>7</v>
          </cell>
          <cell r="C64" t="str">
            <v>SUBA</v>
          </cell>
          <cell r="D64" t="str">
            <v>PRIVADO</v>
          </cell>
          <cell r="E64" t="str">
            <v>Educación de Jóvenes y Adultos</v>
          </cell>
          <cell r="F64" t="str">
            <v>LICEO_BRITANICO_SUPERIOR</v>
          </cell>
          <cell r="G64" t="str">
            <v>LICEO BRITANICO SUPERIOR</v>
          </cell>
          <cell r="H64" t="str">
            <v>Autoevaluación Institucional y Pruebas SABER 11</v>
          </cell>
          <cell r="I64" t="str">
            <v>SEGUIMIENTO_Y_SUPERVISIÓN.</v>
          </cell>
          <cell r="J64"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64" t="str">
            <v>SONIA CONSTANZA URREGO GONZÁLEZ</v>
          </cell>
          <cell r="L64" t="str">
            <v>ALBA DEL PILAR CUBIDES CÁCERES</v>
          </cell>
          <cell r="M64">
            <v>45895</v>
          </cell>
          <cell r="N64">
            <v>45881</v>
          </cell>
          <cell r="O64">
            <v>45881</v>
          </cell>
          <cell r="P64" t="str">
            <v>Visitas de evaluación con fines de seguimiento</v>
          </cell>
          <cell r="Q64" t="str">
            <v>VISITA CON FINES DE MEJORAMIENTO LICEO BRITÁNICO SUPERIOR.pdf</v>
          </cell>
          <cell r="R64" t="str">
            <v>Se programa mesa técnica de trabajo  con las directivas de la institución, con el fin de socializar visita y  presentación del Plan de Mejoramiento Institucional por situaciones encontradas y superación de causas que lo clasificaron en régimen controlado.</v>
          </cell>
          <cell r="S64" t="str">
            <v>Cumplimiento de acciones proyectadas en el PMI</v>
          </cell>
          <cell r="T64" t="str">
            <v>Si</v>
          </cell>
          <cell r="U64" t="str">
            <v>Verificar el cumplimiento de las acciones proyectadas en el PMI</v>
          </cell>
        </row>
        <row r="65">
          <cell r="A65">
            <v>1986</v>
          </cell>
          <cell r="B65">
            <v>7</v>
          </cell>
          <cell r="C65" t="str">
            <v>SUBA</v>
          </cell>
          <cell r="D65" t="str">
            <v>PRIVADO</v>
          </cell>
          <cell r="E65" t="str">
            <v>Educación de Jóvenes y Adultos</v>
          </cell>
          <cell r="F65" t="str">
            <v>LICEO_BRITANICO_SUPERIOR</v>
          </cell>
          <cell r="G65" t="str">
            <v>LICEO BRITANICO SUPERIOR</v>
          </cell>
          <cell r="H65" t="str">
            <v>Autoevaluación Institucional y Pruebas SABER 11</v>
          </cell>
          <cell r="I65" t="str">
            <v>SEGUIMIENTO_Y_SUPERVISIÓN.</v>
          </cell>
          <cell r="J65" t="str">
            <v>Realizar visitas para verificar la información registrada sobre la autoevaluación institucional en el aplicativo EVI, a los establecimientos de educación formal no oficial.</v>
          </cell>
          <cell r="K65" t="str">
            <v>SONIA CONSTANZA URREGO GONZÁLEZ</v>
          </cell>
          <cell r="L65" t="str">
            <v>ALBA DEL PILAR CUBIDES CÁCERES</v>
          </cell>
          <cell r="M65">
            <v>45895</v>
          </cell>
          <cell r="N65">
            <v>45881</v>
          </cell>
          <cell r="O65">
            <v>45881</v>
          </cell>
          <cell r="P65" t="str">
            <v>Visitas de evaluación con fines de seguimiento</v>
          </cell>
          <cell r="Q65" t="str">
            <v>VISITA CON FINES DE MEJORAMIENTO LICEO BRITÁNICO SUPERIOR.pdf</v>
          </cell>
          <cell r="R65" t="str">
            <v>Al momento de la visita se encontró que la totalidad de la información reportada en el aplicativo EVI, no corresponde con la realidad. Ejemplo de ello son los computadores de uso de estudiantes, el servicio de internet, entre otros.</v>
          </cell>
          <cell r="S65" t="str">
            <v>Revisión de lo consignado en el aplicativo EVI y que por la remodelación actual, no se haya permitido visualizar lo descrito.</v>
          </cell>
          <cell r="T65" t="str">
            <v>Si</v>
          </cell>
          <cell r="U65" t="str">
            <v>Verificar con registro fotográfico, los elementos que no se hayan podido visualizar en el momento de la visita y que tienen correspondencia con lo registrado en EVI.</v>
          </cell>
        </row>
        <row r="66">
          <cell r="A66">
            <v>1987</v>
          </cell>
          <cell r="B66">
            <v>7</v>
          </cell>
          <cell r="C66" t="str">
            <v>SUBA</v>
          </cell>
          <cell r="D66" t="str">
            <v>PRIVADO</v>
          </cell>
          <cell r="E66" t="str">
            <v>Educación de Jóvenes y Adultos</v>
          </cell>
          <cell r="F66" t="str">
            <v>LICEO_BRITANICO_SUPERIOR</v>
          </cell>
          <cell r="G66" t="str">
            <v>LICEO BRITANICO SUPERIOR</v>
          </cell>
          <cell r="H66" t="str">
            <v>Autoevaluación Institucional y Pruebas SABER 11</v>
          </cell>
          <cell r="I66" t="str">
            <v>SEGUIMIENTO_Y_SUPERVISIÓN.</v>
          </cell>
          <cell r="J66" t="str">
            <v>Proponer estrategias en la formulación, verificar su elaboración y realizar seguimiento semestral al desarrollo de  las acciones establecidas en los planes de mejoramiento por pruebas SABER 11 de los establecimientos de educación formal.</v>
          </cell>
          <cell r="K66" t="str">
            <v>SONIA CONSTANZA URREGO GONZÁLEZ</v>
          </cell>
          <cell r="L66" t="str">
            <v>ALBA DEL PILAR CUBIDES CÁCERES</v>
          </cell>
          <cell r="M66">
            <v>45895</v>
          </cell>
          <cell r="N66">
            <v>45881</v>
          </cell>
          <cell r="O66">
            <v>45881</v>
          </cell>
          <cell r="P66" t="str">
            <v>Visitas de evaluación con fines de seguimiento</v>
          </cell>
          <cell r="Q66" t="str">
            <v>VISITA CON FINES DE MEJORAMIENTO LICEO BRITÁNICO SUPERIOR.pdf</v>
          </cell>
          <cell r="R66" t="str">
            <v>La institución educativa se encuentra clasificada en nivel D, no se ha realizado el análsis de los últimos resultados, ni se han creado estrtegias para subir el nivel en las pruebas.</v>
          </cell>
          <cell r="S66" t="str">
            <v xml:space="preserve">Revisar los resultados obtenidos en los últimos años y la relación con las asignaturas del plan de estudio. Elaborar un plan de mejoramiento sobre las acciones a tomar. </v>
          </cell>
          <cell r="T66" t="str">
            <v>Si</v>
          </cell>
          <cell r="U66" t="str">
            <v>Verificar el cumplimiento a las acciones proyectadas por la institución en el PMI.</v>
          </cell>
        </row>
        <row r="67">
          <cell r="A67">
            <v>1988</v>
          </cell>
          <cell r="B67">
            <v>7</v>
          </cell>
          <cell r="C67" t="str">
            <v>SUBA</v>
          </cell>
          <cell r="D67" t="str">
            <v>PRIVADO</v>
          </cell>
          <cell r="E67" t="str">
            <v>Educación de Jóvenes y Adultos</v>
          </cell>
          <cell r="F67" t="str">
            <v>LICEO_BRITANICO_SUPERIOR</v>
          </cell>
          <cell r="G67" t="str">
            <v>LICEO BRITANICO SUPERIOR</v>
          </cell>
          <cell r="H67" t="str">
            <v>Autoevaluación Institucional y Pruebas SABER 11</v>
          </cell>
          <cell r="I67" t="str">
            <v>SEGUIMIENTO_Y_SUPERVISIÓN.</v>
          </cell>
          <cell r="J67" t="str">
            <v xml:space="preserve">Verificar la implementación por parte de los colegios, de acciones realizadas para la prevención y atención de las situaciones de convivencia en el entorno escolar, según lo establecido en la Directiva 01 de 2022 del MEN. </v>
          </cell>
          <cell r="K67" t="str">
            <v>SONIA CONSTANZA URREGO GONZÁLEZ</v>
          </cell>
          <cell r="L67" t="str">
            <v>ALBA DEL PILAR CUBIDES CÁCERES</v>
          </cell>
          <cell r="M67">
            <v>45895</v>
          </cell>
          <cell r="N67">
            <v>45881</v>
          </cell>
          <cell r="O67">
            <v>45881</v>
          </cell>
          <cell r="P67" t="str">
            <v>Visitas de evaluación con fines de seguimiento</v>
          </cell>
          <cell r="Q67" t="str">
            <v>VISITA CON FINES DE MEJORAMIENTO LICEO BRITÁNICO SUPERIOR.pdf</v>
          </cell>
          <cell r="R67" t="str">
            <v>No se realiza la consulta de inhabliddes por delitos sexuales.</v>
          </cell>
          <cell r="S67" t="str">
            <v xml:space="preserve">Realizar la consulta inicial y cada 4 meses, dejando el respectivo soporte, en cumplimiento de la Directiva 01 de 2022  </v>
          </cell>
          <cell r="T67" t="str">
            <v>Si</v>
          </cell>
          <cell r="U67" t="str">
            <v xml:space="preserve">Verificar la consulta periodica de acuerdo con lo establecido en la directiva 01 del 2022. </v>
          </cell>
        </row>
        <row r="68">
          <cell r="A68">
            <v>1989</v>
          </cell>
          <cell r="B68">
            <v>7</v>
          </cell>
          <cell r="C68" t="str">
            <v>SUBA</v>
          </cell>
          <cell r="D68" t="str">
            <v>PRIVADO</v>
          </cell>
          <cell r="E68" t="str">
            <v>Educación de Jóvenes y Adultos</v>
          </cell>
          <cell r="F68" t="str">
            <v>LICEO_BRITANICO_SUPERIOR</v>
          </cell>
          <cell r="G68" t="str">
            <v>LICEO BRITANICO SUPERIOR</v>
          </cell>
          <cell r="H68" t="str">
            <v>Autoevaluación Institucional y Pruebas SABER 11</v>
          </cell>
          <cell r="I68" t="str">
            <v>SEGUIMIENTO_Y_SUPERVISIÓN.</v>
          </cell>
          <cell r="J6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8" t="str">
            <v>SONIA CONSTANZA URREGO GONZÁLEZ</v>
          </cell>
          <cell r="L68" t="str">
            <v>ALBA DEL PILAR CUBIDES CÁCERES</v>
          </cell>
          <cell r="M68">
            <v>45895</v>
          </cell>
          <cell r="N68">
            <v>45881</v>
          </cell>
          <cell r="O68">
            <v>45881</v>
          </cell>
          <cell r="P68" t="str">
            <v>Visitas de evaluación con fines de seguimiento</v>
          </cell>
          <cell r="Q68" t="str">
            <v>VISITA CON FINES DE MEJORAMIENTO LICEO BRITÁNICO SUPERIOR.pdf</v>
          </cell>
          <cell r="R68" t="str">
            <v>No hay estudiantes matriculados, que lo requieran.</v>
          </cell>
          <cell r="S68" t="str">
            <v>Realizar los respectivos PIAR, acorde a las necesidades del estudiante, en el momento de requerirse.</v>
          </cell>
          <cell r="T68" t="str">
            <v>No</v>
          </cell>
          <cell r="U68" t="str">
            <v>Revisión contra la matrícula, de la existencia de estudiantes que requieran atención por discapacidad, transtorrnos de aprendizaje y talentos excepcionales.</v>
          </cell>
        </row>
        <row r="69">
          <cell r="A69">
            <v>1990</v>
          </cell>
          <cell r="B69">
            <v>7</v>
          </cell>
          <cell r="C69" t="str">
            <v>SUBA</v>
          </cell>
          <cell r="D69" t="str">
            <v>PRIVADO</v>
          </cell>
          <cell r="E69" t="str">
            <v>Educación de Jóvenes y Adultos</v>
          </cell>
          <cell r="F69" t="str">
            <v>LICEO_BRITANICO_SUPERIOR</v>
          </cell>
          <cell r="G69" t="str">
            <v>LICEO BRITANICO SUPERIOR</v>
          </cell>
          <cell r="H69" t="str">
            <v>Autoevaluación Institucional y Pruebas SABER 11</v>
          </cell>
          <cell r="I69" t="str">
            <v>EVALUACIÓN_CON_FINES_DE_MEJORAMIENTO.</v>
          </cell>
          <cell r="J6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9" t="str">
            <v>SONIA CONSTANZA URREGO GONZÁLEZ</v>
          </cell>
          <cell r="L69" t="str">
            <v>ALBA DEL PILAR CUBIDES CÁCERES</v>
          </cell>
          <cell r="M69">
            <v>45895</v>
          </cell>
          <cell r="N69">
            <v>45881</v>
          </cell>
          <cell r="O69">
            <v>45881</v>
          </cell>
          <cell r="P69" t="str">
            <v>Visitas de evaluación con fines de mejoramiento</v>
          </cell>
          <cell r="Q69" t="str">
            <v>VISITA CON FINES DE MEJORAMIENTO LICEO BRITÁNICO SUPERIOR.pdf</v>
          </cell>
          <cell r="R69" t="str">
            <v>El Manual de Convivencia se encuentra en formato digital (incompleto), no ha sido adoptado mediante acto administrativo, por lo que no se puede evidenciar la fecha de actualización.</v>
          </cell>
          <cell r="S69" t="str">
            <v>Se deben hacer los ajustes a lugar, acorde a la normatividad vigente, y presentarlo a la Dirección Local de Educación para recibir observaciones parte del ELIV.</v>
          </cell>
          <cell r="T69" t="str">
            <v>Si</v>
          </cell>
          <cell r="U69" t="str">
            <v>Revisar los ajustes realizados al Manual, emitiendo las observaciones a lugar.</v>
          </cell>
        </row>
        <row r="70">
          <cell r="A70">
            <v>1991</v>
          </cell>
          <cell r="B70">
            <v>7</v>
          </cell>
          <cell r="C70" t="str">
            <v>SUBA</v>
          </cell>
          <cell r="D70" t="str">
            <v>PRIVADO</v>
          </cell>
          <cell r="E70" t="str">
            <v>Educación de Jóvenes y Adultos</v>
          </cell>
          <cell r="F70" t="str">
            <v>LICEO_BRITANICO_SUPERIOR</v>
          </cell>
          <cell r="G70" t="str">
            <v>LICEO BRITANICO SUPERIOR</v>
          </cell>
          <cell r="H70" t="str">
            <v>Autoevaluación Institucional y Pruebas SABER 11</v>
          </cell>
          <cell r="I70" t="str">
            <v>EVALUACIÓN_CON_FINES_DE_MEJORAMIENTO.</v>
          </cell>
          <cell r="J70" t="str">
            <v>Revisar la actualización, socialización e implementación del Sistema Institucional de Evaluación de Estudiantes - SIEE, en articulación con la actualización del PEI y la normatividad vigente.</v>
          </cell>
          <cell r="K70" t="str">
            <v>SONIA CONSTANZA URREGO GONZÁLEZ</v>
          </cell>
          <cell r="L70" t="str">
            <v>ALBA DEL PILAR CUBIDES CÁCERES</v>
          </cell>
          <cell r="M70">
            <v>45895</v>
          </cell>
          <cell r="N70">
            <v>45881</v>
          </cell>
          <cell r="O70">
            <v>45881</v>
          </cell>
          <cell r="P70" t="str">
            <v>Visitas de evaluación con fines de mejoramiento</v>
          </cell>
          <cell r="Q70" t="str">
            <v>VISITA CON FINES DE MEJORAMIENTO LICEO BRITÁNICO SUPERIOR.pdf</v>
          </cell>
          <cell r="R70" t="str">
            <v>Revisado el SIEE, cuenta con los criterios de evaluación y promoción y  escala valorativa.</v>
          </cell>
          <cell r="S70" t="str">
            <v xml:space="preserve">Hacer seguimiento constante para determinar la necesidad de actualizar el SIEE. </v>
          </cell>
          <cell r="T70" t="str">
            <v>Si</v>
          </cell>
          <cell r="U70" t="str">
            <v>Verificar la implementación del SIEE, a través de lo consignado en actas del Comité.</v>
          </cell>
        </row>
        <row r="71">
          <cell r="A71">
            <v>1992</v>
          </cell>
          <cell r="B71">
            <v>7</v>
          </cell>
          <cell r="C71" t="str">
            <v>SUBA</v>
          </cell>
          <cell r="D71" t="str">
            <v>PRIVADO</v>
          </cell>
          <cell r="E71" t="str">
            <v>Educación de Jóvenes y Adultos</v>
          </cell>
          <cell r="F71" t="str">
            <v>LICEO_BRITANICO_SUPERIOR</v>
          </cell>
          <cell r="G71" t="str">
            <v>LICEO BRITANICO SUPERIOR</v>
          </cell>
          <cell r="H71" t="str">
            <v>Autoevaluación Institucional y Pruebas SABER 11</v>
          </cell>
          <cell r="I71" t="str">
            <v>EVALUACIÓN_CON_FINES_DE_MEJORAMIENTO.</v>
          </cell>
          <cell r="J71" t="str">
            <v>Revisar el calendario escolar, jornada escolar, la intensidad horaria mínima anual en cada nivel y las modificaciones que se realicen al mismo, de acuerdo con lo previsto en la normatividad vigente.</v>
          </cell>
          <cell r="K71" t="str">
            <v>SONIA CONSTANZA URREGO GONZÁLEZ</v>
          </cell>
          <cell r="L71" t="str">
            <v>ALBA DEL PILAR CUBIDES CÁCERES</v>
          </cell>
          <cell r="M71">
            <v>45895</v>
          </cell>
          <cell r="N71">
            <v>45881</v>
          </cell>
          <cell r="O71">
            <v>45881</v>
          </cell>
          <cell r="P71" t="str">
            <v>Visitas de evaluación con fines de mejoramiento</v>
          </cell>
          <cell r="Q71" t="str">
            <v>VISITA CON FINES DE MEJORAMIENTO LICEO BRITÁNICO SUPERIOR.pdf</v>
          </cell>
          <cell r="R71" t="str">
            <v>Cumple con el número de semanas y horas por nivel. Realizó reporte de información del Calendario Escolar.</v>
          </cell>
          <cell r="S71" t="str">
            <v xml:space="preserve">Continuar con el cumplimiento del calendario.  </v>
          </cell>
          <cell r="T71" t="str">
            <v>No</v>
          </cell>
          <cell r="U71" t="str">
            <v>Seguimiento al cumplimiento del calendario escolar.</v>
          </cell>
        </row>
        <row r="72">
          <cell r="A72">
            <v>1993</v>
          </cell>
          <cell r="B72">
            <v>7</v>
          </cell>
          <cell r="C72" t="str">
            <v>SUBA</v>
          </cell>
          <cell r="D72" t="str">
            <v>PRIVADO</v>
          </cell>
          <cell r="E72" t="str">
            <v>Educación de Jóvenes y Adultos</v>
          </cell>
          <cell r="F72" t="str">
            <v>LICEO_BRITANICO_SUPERIOR</v>
          </cell>
          <cell r="G72" t="str">
            <v>LICEO BRITANICO SUPERIOR</v>
          </cell>
          <cell r="H72" t="str">
            <v>Autoevaluación Institucional y Pruebas SABER 11</v>
          </cell>
          <cell r="I72" t="str">
            <v>EVALUACIÓN_CON_FINES_DE_MEJORAMIENTO.</v>
          </cell>
          <cell r="J72" t="str">
            <v>Verificar el funcionamiento del Gobierno Escolar e instancias de participación con base en la información sobre conformación reportada por la institución educativa.</v>
          </cell>
          <cell r="K72" t="str">
            <v>SONIA CONSTANZA URREGO GONZÁLEZ</v>
          </cell>
          <cell r="L72" t="str">
            <v>ALBA DEL PILAR CUBIDES CÁCERES</v>
          </cell>
          <cell r="M72">
            <v>45895</v>
          </cell>
          <cell r="N72">
            <v>45881</v>
          </cell>
          <cell r="O72">
            <v>45881</v>
          </cell>
          <cell r="P72" t="str">
            <v>Visitas de evaluación con fines de mejoramiento</v>
          </cell>
          <cell r="Q72" t="str">
            <v>VISITA CON FINES DE MEJORAMIENTO LICEO BRITÁNICO SUPERIOR.pdf</v>
          </cell>
          <cell r="R72" t="str">
            <v xml:space="preserve">Se conformó el Gobierno Escolar con reporte en el aplicativo SAE. No se evidencian actas de reunión de los órganos de gobierno. </v>
          </cell>
          <cell r="S72" t="str">
            <v xml:space="preserve">Realizar las reuniones periodicas de cada uno de los estamentos de Gobierno Escolar, acorde con su reglamento. </v>
          </cell>
          <cell r="T72" t="str">
            <v>Si</v>
          </cell>
          <cell r="U72" t="str">
            <v>Verificar el funcionamiento del Gobierno Escolar, a través de las  actas de reunión.</v>
          </cell>
        </row>
        <row r="73">
          <cell r="A73">
            <v>1994</v>
          </cell>
          <cell r="B73">
            <v>7</v>
          </cell>
          <cell r="C73" t="str">
            <v>SUBA</v>
          </cell>
          <cell r="D73" t="str">
            <v>PRIVADO</v>
          </cell>
          <cell r="E73" t="str">
            <v>Educación de Jóvenes y Adultos</v>
          </cell>
          <cell r="F73" t="str">
            <v>LICEO_BRITANICO_SUPERIOR</v>
          </cell>
          <cell r="G73" t="str">
            <v>LICEO BRITANICO SUPERIOR</v>
          </cell>
          <cell r="H73" t="str">
            <v>Autoevaluación Institucional y Pruebas SABER 11</v>
          </cell>
          <cell r="I73" t="str">
            <v>EVALUACIÓN_CON_FINES_DE_MEJORAMIENTO.</v>
          </cell>
          <cell r="J73" t="str">
            <v>Verificar las condiciones en cuanto a: la estructura administrativa, condiciones de la planta física y medios educativos adecuados.</v>
          </cell>
          <cell r="K73" t="str">
            <v>SONIA CONSTANZA URREGO GONZÁLEZ</v>
          </cell>
          <cell r="L73" t="str">
            <v>ALBA DEL PILAR CUBIDES CÁCERES</v>
          </cell>
          <cell r="M73">
            <v>45895</v>
          </cell>
          <cell r="N73">
            <v>45881</v>
          </cell>
          <cell r="O73">
            <v>45881</v>
          </cell>
          <cell r="P73" t="str">
            <v>Visitas de evaluación con fines de mejoramiento</v>
          </cell>
          <cell r="Q73" t="str">
            <v>VISITA CON FINES DE MEJORAMIENTO LICEO BRITÁNICO SUPERIOR.pdf</v>
          </cell>
          <cell r="R73" t="str">
            <v xml:space="preserve">No se evidencian espacios suficientes y dotados, en cuanto a ambientes de aprendizaje. Los servicios sanitarios no son suficientes. A pesar de no tener estudiantes con discapacidad física, no tienen espacios adecuados en caso de requerirlo. </v>
          </cell>
          <cell r="S73" t="str">
            <v>Terminar obras de remodelción que permita evidenciar la suficiencia y funcionabilidad de los espacios.</v>
          </cell>
          <cell r="T73" t="str">
            <v>Si</v>
          </cell>
          <cell r="U73" t="str">
            <v>Verificar con registro fotográfico, los avances de acuerdo a los plazos registrados en el PMI</v>
          </cell>
        </row>
        <row r="74">
          <cell r="A74">
            <v>1995</v>
          </cell>
          <cell r="B74">
            <v>8</v>
          </cell>
          <cell r="C74" t="str">
            <v>SUBA</v>
          </cell>
          <cell r="D74" t="str">
            <v>PRIVADO</v>
          </cell>
          <cell r="E74" t="str">
            <v>Educación de Jóvenes y Adultos</v>
          </cell>
          <cell r="F74" t="str">
            <v>COLEGIO_TECNISISTEMAS</v>
          </cell>
          <cell r="G74" t="str">
            <v>COLEGIO TECNISISTEMAS</v>
          </cell>
          <cell r="H74" t="str">
            <v>Autoevaluación Institucional y Pruebas SABER 11</v>
          </cell>
          <cell r="I74" t="str">
            <v>SEGUIMIENTO_Y_SUPERVISIÓN.</v>
          </cell>
          <cell r="J74" t="str">
            <v>Realizar visitas para verificar la información registrada sobre la autoevaluación institucional en el aplicativo EVI, a los establecimientos de educación formal no oficial.</v>
          </cell>
          <cell r="K74" t="str">
            <v>ALBA DEL PILAR CUBIDES CÁCERES</v>
          </cell>
          <cell r="L74" t="str">
            <v>SONIA CONSTANZA URREGO GONZÁLEZ</v>
          </cell>
          <cell r="M74">
            <v>45916</v>
          </cell>
          <cell r="N74">
            <v>45883</v>
          </cell>
          <cell r="O74">
            <v>45883</v>
          </cell>
          <cell r="P74" t="str">
            <v>Visitas de evaluación con fines de seguimiento</v>
          </cell>
          <cell r="Q74" t="str">
            <v>VISITA TECNISISTEMAS.pdf</v>
          </cell>
          <cell r="R74" t="str">
            <v xml:space="preserve">Al momento de la visita se encontró que la totalidad de la información reportada en el aplicativo EVI, corresponde con la realidad. </v>
          </cell>
          <cell r="S74" t="str">
            <v>Seguir conservando el orden en cuanto a la reporte en el EVI</v>
          </cell>
          <cell r="T74" t="str">
            <v>No</v>
          </cell>
          <cell r="U74" t="str">
            <v>Seguir con su cumplimiento</v>
          </cell>
        </row>
        <row r="75">
          <cell r="A75">
            <v>1996</v>
          </cell>
          <cell r="B75">
            <v>8</v>
          </cell>
          <cell r="C75" t="str">
            <v>SUBA</v>
          </cell>
          <cell r="D75" t="str">
            <v>PRIVADO</v>
          </cell>
          <cell r="E75" t="str">
            <v>Educación de Jóvenes y Adultos</v>
          </cell>
          <cell r="F75" t="str">
            <v>COLEGIO_TECNISISTEMAS</v>
          </cell>
          <cell r="G75" t="str">
            <v>COLEGIO TECNISISTEMAS</v>
          </cell>
          <cell r="H75" t="str">
            <v>Autoevaluación Institucional y Pruebas SABER 11</v>
          </cell>
          <cell r="I75" t="str">
            <v>SEGUIMIENTO_Y_SUPERVISIÓN.</v>
          </cell>
          <cell r="J75" t="str">
            <v>Proponer estrategias en la formulación, verificar su elaboración y realizar seguimiento semestral al desarrollo de  las acciones establecidas en los planes de mejoramiento por pruebas SABER 11 de los establecimientos de educación formal.</v>
          </cell>
          <cell r="K75" t="str">
            <v>ALBA DEL PILAR CUBIDES CÁCERES</v>
          </cell>
          <cell r="L75" t="str">
            <v>SONIA CONSTANZA URREGO GONZÁLEZ</v>
          </cell>
          <cell r="M75">
            <v>45916</v>
          </cell>
          <cell r="N75">
            <v>45883</v>
          </cell>
          <cell r="O75">
            <v>45883</v>
          </cell>
          <cell r="P75" t="str">
            <v>Visitas de evaluación con fines de seguimiento</v>
          </cell>
          <cell r="Q75" t="str">
            <v>VISITA TECNISISTEMAS.pdf</v>
          </cell>
          <cell r="R75" t="str">
            <v>La institución educativa se encuentra clasificada en nivel C, y se han realizado acciones específicas basadas en los resultados</v>
          </cell>
          <cell r="S75" t="str">
            <v>Como acción de mejora se adoptó la estrategía FOCUS TRAINNIG, la cual incluye palneación, aplicación, evaluación y retroalimentación.</v>
          </cell>
          <cell r="T75" t="str">
            <v>SI</v>
          </cell>
          <cell r="U75" t="str">
            <v>Ultima  semana del mes de noviembre de 2025</v>
          </cell>
        </row>
        <row r="76">
          <cell r="A76">
            <v>1997</v>
          </cell>
          <cell r="B76">
            <v>8</v>
          </cell>
          <cell r="C76" t="str">
            <v>SUBA</v>
          </cell>
          <cell r="D76" t="str">
            <v>PRIVADO</v>
          </cell>
          <cell r="E76" t="str">
            <v>Educación de Jóvenes y Adultos</v>
          </cell>
          <cell r="F76" t="str">
            <v>COLEGIO_TECNISISTEMAS</v>
          </cell>
          <cell r="G76" t="str">
            <v>COLEGIO TECNISISTEMAS</v>
          </cell>
          <cell r="H76" t="str">
            <v>Autoevaluación Institucional y Pruebas SABER 11</v>
          </cell>
          <cell r="I76" t="str">
            <v>SEGUIMIENTO_Y_SUPERVISIÓN.</v>
          </cell>
          <cell r="J76" t="str">
            <v xml:space="preserve">Verificar la implementación por parte de los colegios, de acciones realizadas para la prevención y atención de las situaciones de convivencia en el entorno escolar, según lo establecido en la Directiva 01 de 2022 del MEN. </v>
          </cell>
          <cell r="K76" t="str">
            <v>ALBA DEL PILAR CUBIDES CÁCERES</v>
          </cell>
          <cell r="L76" t="str">
            <v>SONIA CONSTANZA URREGO GONZÁLEZ</v>
          </cell>
          <cell r="M76">
            <v>45916</v>
          </cell>
          <cell r="N76">
            <v>45883</v>
          </cell>
          <cell r="O76">
            <v>45883</v>
          </cell>
          <cell r="P76" t="str">
            <v>Visitas de evaluación con fines de seguimiento</v>
          </cell>
          <cell r="Q76" t="str">
            <v>VISITA TECNISISTEMAS.pdf</v>
          </cell>
          <cell r="R76" t="str">
            <v>Realiza consulta de inhabilidades por delitos sexuales</v>
          </cell>
          <cell r="S76" t="str">
            <v xml:space="preserve">Continuar el  cumplimiento de la Directiva 01 de 2022  </v>
          </cell>
          <cell r="T76" t="str">
            <v>NO</v>
          </cell>
          <cell r="U76" t="str">
            <v>Seguir con su cumplimiento</v>
          </cell>
        </row>
        <row r="77">
          <cell r="A77">
            <v>1998</v>
          </cell>
          <cell r="B77">
            <v>8</v>
          </cell>
          <cell r="C77" t="str">
            <v>SUBA</v>
          </cell>
          <cell r="D77" t="str">
            <v>PRIVADO</v>
          </cell>
          <cell r="E77" t="str">
            <v>Educación de Jóvenes y Adultos</v>
          </cell>
          <cell r="F77" t="str">
            <v>COLEGIO_TECNISISTEMAS</v>
          </cell>
          <cell r="G77" t="str">
            <v>COLEGIO TECNISISTEMAS</v>
          </cell>
          <cell r="H77" t="str">
            <v>Autoevaluación Institucional y Pruebas SABER 11</v>
          </cell>
          <cell r="I77" t="str">
            <v>SEGUIMIENTO_Y_SUPERVISIÓN.</v>
          </cell>
          <cell r="J7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7" t="str">
            <v>ALBA DEL PILAR CUBIDES CÁCERES</v>
          </cell>
          <cell r="L77" t="str">
            <v>SONIA CONSTANZA URREGO GONZÁLEZ</v>
          </cell>
          <cell r="M77">
            <v>45916</v>
          </cell>
          <cell r="N77">
            <v>45883</v>
          </cell>
          <cell r="O77">
            <v>45883</v>
          </cell>
          <cell r="P77" t="str">
            <v>Visitas de evaluación con fines de seguimiento</v>
          </cell>
          <cell r="Q77" t="str">
            <v>VISITA TECNISISTEMAS.pdf</v>
          </cell>
          <cell r="R77" t="str">
            <v>Cuentan con 12 estudiantes de inclusión, reportados en el SIMAT los cuales coinciden con los datos d ela visita</v>
          </cell>
          <cell r="S77" t="str">
            <v>Proseguir con  la elaboración, implementación, avance y socialización del PIAR</v>
          </cell>
          <cell r="T77" t="str">
            <v>No</v>
          </cell>
          <cell r="U77" t="str">
            <v>Seguir con su cumplimiento</v>
          </cell>
        </row>
        <row r="78">
          <cell r="A78">
            <v>1999</v>
          </cell>
          <cell r="B78">
            <v>8</v>
          </cell>
          <cell r="C78" t="str">
            <v>SUBA</v>
          </cell>
          <cell r="D78" t="str">
            <v>PRIVADO</v>
          </cell>
          <cell r="E78" t="str">
            <v>Educación de Jóvenes y Adultos</v>
          </cell>
          <cell r="F78" t="str">
            <v>COLEGIO_TECNISISTEMAS</v>
          </cell>
          <cell r="G78" t="str">
            <v>COLEGIO TECNISISTEMAS</v>
          </cell>
          <cell r="H78" t="str">
            <v>Autoevaluación Institucional y Pruebas SABER 11</v>
          </cell>
          <cell r="I78" t="str">
            <v>EVALUACIÓN_CON_FINES_DE_MEJORAMIENTO.</v>
          </cell>
          <cell r="J7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8" t="str">
            <v>ALBA DEL PILAR CUBIDES CÁCERES</v>
          </cell>
          <cell r="L78" t="str">
            <v>SONIA CONSTANZA URREGO GONZÁLEZ</v>
          </cell>
          <cell r="M78">
            <v>45916</v>
          </cell>
          <cell r="N78">
            <v>45883</v>
          </cell>
          <cell r="O78">
            <v>45883</v>
          </cell>
          <cell r="P78" t="str">
            <v>Visitas de evaluación con fines de mejoramiento</v>
          </cell>
          <cell r="Q78" t="str">
            <v>VISITA TECNISISTEMAS.pdf</v>
          </cell>
          <cell r="R78" t="str">
            <v>El Manual de Convivencia se encuentra en físico, cumple parcialmente se debe actualizar  según orientaciones de la SED</v>
          </cell>
          <cell r="S78" t="str">
            <v>Se deben hacer los ajustes a lugar, acorde a la normatividad vigente, y presentarlo a la Dirección Local de Educación para recibir observaciones parte del ELIV.</v>
          </cell>
          <cell r="T78" t="str">
            <v>Si</v>
          </cell>
          <cell r="U78" t="str">
            <v>Última semana del mes de noviembre de 2025</v>
          </cell>
        </row>
        <row r="79">
          <cell r="A79">
            <v>2000</v>
          </cell>
          <cell r="B79">
            <v>8</v>
          </cell>
          <cell r="C79" t="str">
            <v>SUBA</v>
          </cell>
          <cell r="D79" t="str">
            <v>PRIVADO</v>
          </cell>
          <cell r="E79" t="str">
            <v>Educación de Jóvenes y Adultos</v>
          </cell>
          <cell r="F79" t="str">
            <v>COLEGIO_TECNISISTEMAS</v>
          </cell>
          <cell r="G79" t="str">
            <v>COLEGIO TECNISISTEMAS</v>
          </cell>
          <cell r="H79" t="str">
            <v>Autoevaluación Institucional y Pruebas SABER 11</v>
          </cell>
          <cell r="I79" t="str">
            <v>EVALUACIÓN_CON_FINES_DE_MEJORAMIENTO.</v>
          </cell>
          <cell r="J79" t="str">
            <v>Revisar la actualización, socialización e implementación del Sistema Institucional de Evaluación de Estudiantes - SIEE, en articulación con la actualización del PEI y la normatividad vigente.</v>
          </cell>
          <cell r="K79" t="str">
            <v>ALBA DEL PILAR CUBIDES CÁCERES</v>
          </cell>
          <cell r="L79" t="str">
            <v>SONIA CONSTANZA URREGO GONZÁLEZ</v>
          </cell>
          <cell r="M79">
            <v>45916</v>
          </cell>
          <cell r="N79">
            <v>45883</v>
          </cell>
          <cell r="O79">
            <v>45883</v>
          </cell>
          <cell r="P79" t="str">
            <v>Visitas de evaluación con fines de mejoramiento</v>
          </cell>
          <cell r="Q79" t="str">
            <v>VISITA TECNISISTEMAS.pdf</v>
          </cell>
          <cell r="R79" t="str">
            <v>Revisado el SIEE se encuentra contemplado en PEI y en el manual de convivencia , establece escala valorativa, temas d eplanes de mejoramiento, distribución prorcentajes ,críterios y propósitos de evaluación</v>
          </cell>
          <cell r="S79" t="str">
            <v>Seguir ejecutándolo</v>
          </cell>
          <cell r="T79" t="str">
            <v>No</v>
          </cell>
          <cell r="U79" t="str">
            <v>Seguir con su cumplimiento</v>
          </cell>
        </row>
        <row r="80">
          <cell r="A80">
            <v>2001</v>
          </cell>
          <cell r="B80">
            <v>8</v>
          </cell>
          <cell r="C80" t="str">
            <v>SUBA</v>
          </cell>
          <cell r="D80" t="str">
            <v>PRIVADO</v>
          </cell>
          <cell r="E80" t="str">
            <v>Educación de Jóvenes y Adultos</v>
          </cell>
          <cell r="F80" t="str">
            <v>COLEGIO_TECNISISTEMAS</v>
          </cell>
          <cell r="G80" t="str">
            <v>COLEGIO TECNISISTEMAS</v>
          </cell>
          <cell r="H80" t="str">
            <v>Autoevaluación Institucional y Pruebas SABER 11</v>
          </cell>
          <cell r="I80" t="str">
            <v>EVALUACIÓN_CON_FINES_DE_MEJORAMIENTO.</v>
          </cell>
          <cell r="J80" t="str">
            <v>Revisar el calendario escolar, jornada escolar, la intensidad horaria mínima anual en cada nivel y las modificaciones que se realicen al mismo, de acuerdo con lo previsto en la normatividad vigente.</v>
          </cell>
          <cell r="K80" t="str">
            <v>ALBA DEL PILAR CUBIDES CÁCERES</v>
          </cell>
          <cell r="L80" t="str">
            <v>SONIA CONSTANZA URREGO GONZÁLEZ</v>
          </cell>
          <cell r="M80">
            <v>45916</v>
          </cell>
          <cell r="N80">
            <v>45883</v>
          </cell>
          <cell r="O80">
            <v>45883</v>
          </cell>
          <cell r="P80" t="str">
            <v>Visitas de evaluación con fines de mejoramiento</v>
          </cell>
          <cell r="Q80" t="str">
            <v>VISITA TECNISISTEMAS.pdf</v>
          </cell>
          <cell r="R80" t="str">
            <v>Cumple con el número de semanas y horas por ciclo. Realizó reporte de información del Calendario Escolar.</v>
          </cell>
          <cell r="S80" t="str">
            <v xml:space="preserve">Continuar con el cumplimiento del calendario.  </v>
          </cell>
          <cell r="T80" t="str">
            <v>No</v>
          </cell>
          <cell r="U80" t="str">
            <v>Seguir con su cumplimiento</v>
          </cell>
        </row>
        <row r="81">
          <cell r="A81">
            <v>2002</v>
          </cell>
          <cell r="B81">
            <v>8</v>
          </cell>
          <cell r="C81" t="str">
            <v>SUBA</v>
          </cell>
          <cell r="D81" t="str">
            <v>PRIVADO</v>
          </cell>
          <cell r="E81" t="str">
            <v>Educación de Jóvenes y Adultos</v>
          </cell>
          <cell r="F81" t="str">
            <v>COLEGIO_TECNISISTEMAS</v>
          </cell>
          <cell r="G81" t="str">
            <v>COLEGIO TECNISISTEMAS</v>
          </cell>
          <cell r="H81" t="str">
            <v>Autoevaluación Institucional y Pruebas SABER 11</v>
          </cell>
          <cell r="I81" t="str">
            <v>EVALUACIÓN_CON_FINES_DE_MEJORAMIENTO.</v>
          </cell>
          <cell r="J81" t="str">
            <v>Verificar el funcionamiento del Gobierno Escolar e instancias de participación con base en la información sobre conformación reportada por la institución educativa.</v>
          </cell>
          <cell r="K81" t="str">
            <v>ALBA DEL PILAR CUBIDES CÁCERES</v>
          </cell>
          <cell r="L81" t="str">
            <v>SONIA CONSTANZA URREGO GONZÁLEZ</v>
          </cell>
          <cell r="M81">
            <v>45916</v>
          </cell>
          <cell r="N81">
            <v>45883</v>
          </cell>
          <cell r="O81">
            <v>45883</v>
          </cell>
          <cell r="P81" t="str">
            <v>Visitas de evaluación con fines de mejoramiento</v>
          </cell>
          <cell r="Q81" t="str">
            <v>VISITA TECNISISTEMAS.pdf</v>
          </cell>
          <cell r="R81" t="str">
            <v>Se conformó el Gobierno Escolar con reporte en el aplicativo SAE. Se evidencian actas de conformación y reunión de acuerdo con la norma</v>
          </cell>
          <cell r="S81" t="str">
            <v xml:space="preserve">Continuar con  reuniones periodicas de cada uno de los estamentos de Gobierno Escolar, acorde con su reglamento. </v>
          </cell>
          <cell r="T81" t="str">
            <v>No</v>
          </cell>
          <cell r="U81" t="str">
            <v>Seguir con su cumplimiento</v>
          </cell>
        </row>
        <row r="82">
          <cell r="A82">
            <v>2003</v>
          </cell>
          <cell r="B82">
            <v>8</v>
          </cell>
          <cell r="C82" t="str">
            <v>SUBA</v>
          </cell>
          <cell r="D82" t="str">
            <v>PRIVADO</v>
          </cell>
          <cell r="E82" t="str">
            <v>Educación de Jóvenes y Adultos</v>
          </cell>
          <cell r="F82" t="str">
            <v>COLEGIO_TECNISISTEMAS</v>
          </cell>
          <cell r="G82" t="str">
            <v>COLEGIO TECNISISTEMAS</v>
          </cell>
          <cell r="H82" t="str">
            <v>Autoevaluación Institucional y Pruebas SABER 11</v>
          </cell>
          <cell r="I82" t="str">
            <v>EVALUACIÓN_CON_FINES_DE_MEJORAMIENTO.</v>
          </cell>
          <cell r="J82" t="str">
            <v>Verificar las condiciones en cuanto a: la estructura administrativa, condiciones de la planta física y medios educativos adecuados.</v>
          </cell>
          <cell r="K82" t="str">
            <v>ALBA DEL PILAR CUBIDES CÁCERES</v>
          </cell>
          <cell r="L82" t="str">
            <v>SONIA CONSTANZA URREGO GONZÁLEZ</v>
          </cell>
          <cell r="M82">
            <v>45916</v>
          </cell>
          <cell r="N82">
            <v>45883</v>
          </cell>
          <cell r="O82">
            <v>45883</v>
          </cell>
          <cell r="P82" t="str">
            <v>Visitas de evaluación con fines de mejoramiento</v>
          </cell>
          <cell r="Q82" t="str">
            <v>VISITA TECNISISTEMAS.pdf</v>
          </cell>
          <cell r="R82" t="str">
            <v>Se evidencian espacios suficientes y dotados, en cuanto a ambientes de aprendizaje. Los servicios sanitarios  son suficientes, todo en perfecto orden y aseo</v>
          </cell>
          <cell r="S82" t="str">
            <v>Conservar la planta física con el orden y aseo, que se evidencio en la visita.</v>
          </cell>
          <cell r="T82" t="str">
            <v>No</v>
          </cell>
          <cell r="U82" t="str">
            <v>Seguir con su cumplimiento</v>
          </cell>
        </row>
        <row r="83">
          <cell r="A83">
            <v>2004</v>
          </cell>
          <cell r="B83">
            <v>9</v>
          </cell>
          <cell r="C83" t="str">
            <v>SUBA</v>
          </cell>
          <cell r="D83" t="str">
            <v>PRIVADO</v>
          </cell>
          <cell r="E83" t="str">
            <v>Educación de Jóvenes y Adultos</v>
          </cell>
          <cell r="F83" t="str">
            <v>LATINOAMERICANA_DE_SISTEMAS_Y_EDUCACION_LASIT</v>
          </cell>
          <cell r="G83" t="str">
            <v>LATINOAMERICANA DE SISTEMAS Y EDUCACION LASIT</v>
          </cell>
          <cell r="H83" t="str">
            <v>Autoevaluación Institucional y Pruebas SABER 11</v>
          </cell>
          <cell r="I83" t="str">
            <v>SEGUIMIENTO_Y_SUPERVISIÓN.</v>
          </cell>
          <cell r="J83" t="str">
            <v>Realizar visitas para verificar la información registrada sobre la autoevaluación institucional en el aplicativo EVI, a los establecimientos de educación formal no oficial.</v>
          </cell>
          <cell r="K83" t="str">
            <v>SANDRA OLINDA GONZÁLEZ REYES</v>
          </cell>
          <cell r="L83" t="str">
            <v>DANIEL ALEJANDRO GRANOBLES</v>
          </cell>
          <cell r="M83">
            <v>45729</v>
          </cell>
          <cell r="N83">
            <v>45758</v>
          </cell>
          <cell r="O83">
            <v>45758</v>
          </cell>
          <cell r="P83" t="str">
            <v>Visitas de evaluación con fines de seguimiento</v>
          </cell>
          <cell r="Q83" t="str">
            <v>11052025 LASIT Acta de visita.pdf</v>
          </cell>
          <cell r="R83" t="str">
            <v>La IE no presenta las planillas de pago de salud, pensión y parafiscales de sus trabajadores. La sala de sistemas esta en mantenimiento por lo que no puede evidenciar # de computadores y su funcionamiento.</v>
          </cell>
          <cell r="S83" t="str">
            <v>Allegar con el plan de mejormiento las planillas de aportes y remitir registro fotográfico  de la sala de sistemas. Plazo 30 de abril.</v>
          </cell>
          <cell r="T83" t="str">
            <v>Si</v>
          </cell>
          <cell r="U83" t="str">
            <v>Verificar planillas  de pago de la presente vigencia de acuerdo con  el tiempo, y por e tipo de contratacion para autoevaluacion 2025. Revisar registro fotográfico de la sala de sistemas</v>
          </cell>
        </row>
        <row r="84">
          <cell r="A84">
            <v>2005</v>
          </cell>
          <cell r="B84">
            <v>9</v>
          </cell>
          <cell r="C84" t="str">
            <v>SUBA</v>
          </cell>
          <cell r="D84" t="str">
            <v>PRIVADO</v>
          </cell>
          <cell r="E84" t="str">
            <v>Educación de Jóvenes y Adultos</v>
          </cell>
          <cell r="F84" t="str">
            <v>LATINOAMERICANA_DE_SISTEMAS_Y_EDUCACION_LASIT</v>
          </cell>
          <cell r="G84" t="str">
            <v>LATINOAMERICANA DE SISTEMAS Y EDUCACION LASIT</v>
          </cell>
          <cell r="H84" t="str">
            <v>Autoevaluación Institucional y Pruebas SABER 11</v>
          </cell>
          <cell r="I84" t="str">
            <v>SEGUIMIENTO_Y_SUPERVISIÓN.</v>
          </cell>
          <cell r="J84" t="str">
            <v>Proponer estrategias en la formulación, verificar su elaboración y realizar seguimiento semestral al desarrollo de  las acciones establecidas en los planes de mejoramiento por pruebas SABER 11 de los establecimientos de educación formal.</v>
          </cell>
          <cell r="K84" t="str">
            <v>SANDRA OLINDA GONZÁLEZ REYES</v>
          </cell>
          <cell r="L84" t="str">
            <v>DANIEL ALEJANDRO GRANOBLES</v>
          </cell>
          <cell r="M84">
            <v>45729</v>
          </cell>
          <cell r="N84">
            <v>45758</v>
          </cell>
          <cell r="O84">
            <v>45758</v>
          </cell>
          <cell r="P84" t="str">
            <v>Visitas de evaluación con fines de seguimiento</v>
          </cell>
          <cell r="Q84" t="str">
            <v>11052025 LASIT Acta de visita.pdf</v>
          </cell>
          <cell r="R84" t="str">
            <v>Se constato el bajo resultado en las  Pruebas saber clasificacion b, sin embargo no hay un análisis de las pruebas ni plan de mejoramiento.</v>
          </cell>
          <cell r="S84" t="str">
            <v>Revisar los resultados y la relación con las asignaturas del plan de estudio, analizando los resultados obtenidos  de los últimos años. Elaborar plan de mejoramiento sobre todos los indicadores y remitirlo a la DLE antes del 30 de abril</v>
          </cell>
          <cell r="T84" t="str">
            <v>Si</v>
          </cell>
          <cell r="U84" t="str">
            <v xml:space="preserve">Verificar la presentacion del plan con su resultados y las acciones en las asignaturas que presentan puntajes más bajos </v>
          </cell>
        </row>
        <row r="85">
          <cell r="A85">
            <v>2006</v>
          </cell>
          <cell r="B85">
            <v>9</v>
          </cell>
          <cell r="C85" t="str">
            <v>SUBA</v>
          </cell>
          <cell r="D85" t="str">
            <v>PRIVADO</v>
          </cell>
          <cell r="E85" t="str">
            <v>Educación de Jóvenes y Adultos</v>
          </cell>
          <cell r="F85" t="str">
            <v>LATINOAMERICANA_DE_SISTEMAS_Y_EDUCACION_LASIT</v>
          </cell>
          <cell r="G85" t="str">
            <v>LATINOAMERICANA DE SISTEMAS Y EDUCACION LASIT</v>
          </cell>
          <cell r="H85" t="str">
            <v>Autoevaluación Institucional y Pruebas SABER 11</v>
          </cell>
          <cell r="I85" t="str">
            <v>SEGUIMIENTO_Y_SUPERVISIÓN.</v>
          </cell>
          <cell r="J85" t="str">
            <v xml:space="preserve">Verificar la implementación por parte de los colegios, de acciones realizadas para la prevención y atención de las situaciones de convivencia en el entorno escolar, según lo establecido en la Directiva 01 de 2022 del MEN. </v>
          </cell>
          <cell r="K85" t="str">
            <v>SANDRA OLINDA GONZÁLEZ REYES</v>
          </cell>
          <cell r="L85" t="str">
            <v>DANIEL ALEJANDRO GRANOBLES</v>
          </cell>
          <cell r="M85">
            <v>45729</v>
          </cell>
          <cell r="N85">
            <v>45758</v>
          </cell>
          <cell r="O85">
            <v>45758</v>
          </cell>
          <cell r="P85" t="str">
            <v>Visitas de evaluación con fines de seguimiento</v>
          </cell>
          <cell r="Q85" t="str">
            <v>11052025 LASIT Acta de visita.pdf</v>
          </cell>
          <cell r="R85" t="str">
            <v>Verificadas las hojas de vida de los trabajadores no se evuencio consulta de antecedentes de delitos sexuales.</v>
          </cell>
          <cell r="S85" t="str">
            <v>Realizar las consultas en la página de la Policía de todos los funcionarios de la institución y anexarla a la hoja de vida.  Elaborar plan de mejoramiento sobre todos los indicadores y remitirlo a la DLE antes del 30 de abril.</v>
          </cell>
          <cell r="T85" t="str">
            <v>si</v>
          </cell>
          <cell r="U85" t="str">
            <v>Verificar las consultas de antecedentes de los empledos  remitidas en el plan de mejoramiento.</v>
          </cell>
        </row>
        <row r="86">
          <cell r="A86">
            <v>2007</v>
          </cell>
          <cell r="B86">
            <v>9</v>
          </cell>
          <cell r="C86" t="str">
            <v>SUBA</v>
          </cell>
          <cell r="D86" t="str">
            <v>PRIVADO</v>
          </cell>
          <cell r="E86" t="str">
            <v>Educación de Jóvenes y Adultos</v>
          </cell>
          <cell r="F86" t="str">
            <v>LATINOAMERICANA_DE_SISTEMAS_Y_EDUCACION_LASIT</v>
          </cell>
          <cell r="G86" t="str">
            <v>LATINOAMERICANA DE SISTEMAS Y EDUCACION LASIT</v>
          </cell>
          <cell r="H86" t="str">
            <v>Autoevaluación Institucional y Pruebas SABER 11</v>
          </cell>
          <cell r="I86" t="str">
            <v>SEGUIMIENTO_Y_SUPERVISIÓN.</v>
          </cell>
          <cell r="J8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6" t="str">
            <v>SANDRA OLINDA GONZÁLEZ REYES</v>
          </cell>
          <cell r="L86" t="str">
            <v>DANIEL ALEJANDRO GRANOBLES</v>
          </cell>
          <cell r="M86">
            <v>45729</v>
          </cell>
          <cell r="N86">
            <v>45758</v>
          </cell>
          <cell r="O86">
            <v>45758</v>
          </cell>
          <cell r="P86" t="str">
            <v>Visitas de evaluación con fines de seguimiento</v>
          </cell>
          <cell r="Q86" t="str">
            <v>11052025 LASIT Acta de visita.pdf</v>
          </cell>
          <cell r="R86" t="str">
            <v>Se realizó consulta en el SIMAT encontrándose 5 estudiantes de inlusión, sin embago al momento de la visita el rector informa que no hay estudiantes de inclusion.</v>
          </cell>
          <cell r="S86" t="str">
            <v>Realizar la revisión en el SIMAT, para actualizar el estado de los estudiantes. Elaborar plan de mejoramiento sobre todos los indicadores antes del 30 de abril.  Realizar la actualización del Manual de Convivencia para incorporar los enfoques diferenciales e inclusivos y                        contener lo establecido en el decreto 1421 del 2017, para atender los caso de que se presenten con esta población.</v>
          </cell>
          <cell r="T86" t="str">
            <v>Si</v>
          </cell>
          <cell r="U86" t="str">
            <v>Verificar la actualizacion del SIMAT y las modificaciones en manual de convivencia respecto a la poblacion con discapacidad.con fecha límite el 31 de julio.</v>
          </cell>
        </row>
        <row r="87">
          <cell r="A87">
            <v>2008</v>
          </cell>
          <cell r="B87">
            <v>9</v>
          </cell>
          <cell r="C87" t="str">
            <v>SUBA</v>
          </cell>
          <cell r="D87" t="str">
            <v>PRIVADO</v>
          </cell>
          <cell r="E87" t="str">
            <v>Educación de Jóvenes y Adultos</v>
          </cell>
          <cell r="F87" t="str">
            <v>LATINOAMERICANA_DE_SISTEMAS_Y_EDUCACION_LASIT</v>
          </cell>
          <cell r="G87" t="str">
            <v>LATINOAMERICANA DE SISTEMAS Y EDUCACION LASIT</v>
          </cell>
          <cell r="H87" t="str">
            <v>Autoevaluación Institucional y Pruebas SABER 11</v>
          </cell>
          <cell r="I87" t="str">
            <v>EVALUACIÓN_CON_FINES_DE_MEJORAMIENTO.</v>
          </cell>
          <cell r="J8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7" t="str">
            <v>SANDRA OLINDA GONZÁLEZ REYES</v>
          </cell>
          <cell r="L87" t="str">
            <v>DANIEL ALEJANDRO GRANOBLES</v>
          </cell>
          <cell r="M87">
            <v>45729</v>
          </cell>
          <cell r="N87">
            <v>45758</v>
          </cell>
          <cell r="O87">
            <v>45758</v>
          </cell>
          <cell r="P87" t="str">
            <v>Visitas de evaluación con fines de mejoramiento</v>
          </cell>
          <cell r="Q87" t="str">
            <v>11052025 LASIT Acta de visita.pdf</v>
          </cell>
          <cell r="R87" t="str">
            <v>Se encontro que al manual de convivencia esta en proceso de actualizacion.</v>
          </cell>
          <cell r="S87" t="str">
            <v>Realizar la actualización del manual convivencia.            Elaborar plan de mejoramiento sobre todos los indicadores y remitirlo antes del 30 de abril</v>
          </cell>
          <cell r="T87" t="str">
            <v>Si</v>
          </cell>
          <cell r="U87" t="str">
            <v>Revisar la actualización y adopcion del manual de convivencia con fecha límite el 31 de julio</v>
          </cell>
        </row>
        <row r="88">
          <cell r="A88">
            <v>2009</v>
          </cell>
          <cell r="B88">
            <v>9</v>
          </cell>
          <cell r="C88" t="str">
            <v>SUBA</v>
          </cell>
          <cell r="D88" t="str">
            <v>PRIVADO</v>
          </cell>
          <cell r="E88" t="str">
            <v>Educación de Jóvenes y Adultos</v>
          </cell>
          <cell r="F88" t="str">
            <v>LATINOAMERICANA_DE_SISTEMAS_Y_EDUCACION_LASIT</v>
          </cell>
          <cell r="G88" t="str">
            <v>LATINOAMERICANA DE SISTEMAS Y EDUCACION LASIT</v>
          </cell>
          <cell r="H88" t="str">
            <v>Autoevaluación Institucional y Pruebas SABER 11</v>
          </cell>
          <cell r="I88" t="str">
            <v>EVALUACIÓN_CON_FINES_DE_MEJORAMIENTO.</v>
          </cell>
          <cell r="J88" t="str">
            <v>Revisar la actualización, socialización e implementación del Sistema Institucional de Evaluación de Estudiantes - SIEE, en articulación con la actualización del PEI y la normatividad vigente.</v>
          </cell>
          <cell r="K88" t="str">
            <v>SANDRA OLINDA GONZÁLEZ REYES</v>
          </cell>
          <cell r="L88" t="str">
            <v>DANIEL ALEJANDRO GRANOBLES</v>
          </cell>
          <cell r="M88">
            <v>45729</v>
          </cell>
          <cell r="N88">
            <v>45758</v>
          </cell>
          <cell r="O88">
            <v>45758</v>
          </cell>
          <cell r="P88" t="str">
            <v>Visitas de evaluación con fines de mejoramiento</v>
          </cell>
          <cell r="Q88" t="str">
            <v>11052025 LASIT Acta de visita.pdf</v>
          </cell>
          <cell r="R88" t="str">
            <v>Se realizó retroalimentación sobre  el SIEE, el cual no está en consonancia con el PEI, asi mismo se observa que debe ajustar la escala de valoración para que coincida con las certificaciones expedidas.</v>
          </cell>
          <cell r="S88" t="str">
            <v>Realizar los ajustes de conformidad con las observaciones al SIIE realizada sen la visita</v>
          </cell>
          <cell r="T88" t="str">
            <v>Si</v>
          </cell>
          <cell r="U88" t="str">
            <v>Revisar la actualización del manual de convivencia en lo relacionado con el  SIIE con fecha límite el 31 de julio</v>
          </cell>
        </row>
        <row r="89">
          <cell r="A89">
            <v>2010</v>
          </cell>
          <cell r="B89">
            <v>9</v>
          </cell>
          <cell r="C89" t="str">
            <v>SUBA</v>
          </cell>
          <cell r="D89" t="str">
            <v>PRIVADO</v>
          </cell>
          <cell r="E89" t="str">
            <v>Educación de Jóvenes y Adultos</v>
          </cell>
          <cell r="F89" t="str">
            <v>LATINOAMERICANA_DE_SISTEMAS_Y_EDUCACION_LASIT</v>
          </cell>
          <cell r="G89" t="str">
            <v>LATINOAMERICANA DE SISTEMAS Y EDUCACION LASIT</v>
          </cell>
          <cell r="H89" t="str">
            <v>Autoevaluación Institucional y Pruebas SABER 11</v>
          </cell>
          <cell r="I89" t="str">
            <v>EVALUACIÓN_CON_FINES_DE_MEJORAMIENTO.</v>
          </cell>
          <cell r="J89" t="str">
            <v>Revisar el calendario escolar, jornada escolar, la intensidad horaria mínima anual en cada nivel y las modificaciones que se realicen al mismo, de acuerdo con lo previsto en la normatividad vigente.</v>
          </cell>
          <cell r="K89" t="str">
            <v>SANDRA OLINDA GONZÁLEZ REYES</v>
          </cell>
          <cell r="L89" t="str">
            <v>DANIEL ALEJANDRO GRANOBLES</v>
          </cell>
          <cell r="M89">
            <v>45729</v>
          </cell>
          <cell r="N89">
            <v>45758</v>
          </cell>
          <cell r="O89">
            <v>45758</v>
          </cell>
          <cell r="P89" t="str">
            <v>Visitas de evaluación con fines de mejoramiento</v>
          </cell>
          <cell r="Q89" t="str">
            <v>11052025 LASIT Acta de visita.pdf</v>
          </cell>
          <cell r="R89" t="str">
            <v>La intensidad horaria y las horas mínimas  se ajustan para los ciclos de básica pero no en media.</v>
          </cell>
          <cell r="S89" t="str">
            <v>Realizar ajuste al calendario académico para los ciclos de media y socializarlo con los estudiantes, presentarlo para revisión antes del 30 de abril</v>
          </cell>
          <cell r="T89" t="str">
            <v>Si</v>
          </cell>
          <cell r="U89" t="str">
            <v xml:space="preserve">Verificar el calendario escolar allegado y la socialización con los estudiantes con fecha límite el 31 de julio. </v>
          </cell>
        </row>
        <row r="90">
          <cell r="A90">
            <v>2011</v>
          </cell>
          <cell r="B90">
            <v>9</v>
          </cell>
          <cell r="C90" t="str">
            <v>SUBA</v>
          </cell>
          <cell r="D90" t="str">
            <v>PRIVADO</v>
          </cell>
          <cell r="E90" t="str">
            <v>Educación de Jóvenes y Adultos</v>
          </cell>
          <cell r="F90" t="str">
            <v>LATINOAMERICANA_DE_SISTEMAS_Y_EDUCACION_LASIT</v>
          </cell>
          <cell r="G90" t="str">
            <v>LATINOAMERICANA DE SISTEMAS Y EDUCACION LASIT</v>
          </cell>
          <cell r="H90" t="str">
            <v>Autoevaluación Institucional y Pruebas SABER 11</v>
          </cell>
          <cell r="I90" t="str">
            <v>EVALUACIÓN_CON_FINES_DE_MEJORAMIENTO.</v>
          </cell>
          <cell r="J90" t="str">
            <v>Verificar el funcionamiento del Gobierno Escolar e instancias de participación con base en la información sobre conformación reportada por la institución educativa.</v>
          </cell>
          <cell r="K90" t="str">
            <v>SANDRA OLINDA GONZÁLEZ REYES</v>
          </cell>
          <cell r="L90" t="str">
            <v>DANIEL ALEJANDRO GRANOBLES</v>
          </cell>
          <cell r="M90">
            <v>45729</v>
          </cell>
          <cell r="N90">
            <v>45758</v>
          </cell>
          <cell r="O90">
            <v>45758</v>
          </cell>
          <cell r="P90" t="str">
            <v>Visitas de evaluación con fines de mejoramiento</v>
          </cell>
          <cell r="Q90" t="str">
            <v>11052025 LASIT Acta de visita.pdf</v>
          </cell>
          <cell r="R90" t="str">
            <v>Se evidenciaron las actas de conformación de gobierno escolar, las cuales deberán cargarse en el SAE. Sobre el funcionamiento no hay evidencia de que hayan sesionado.</v>
          </cell>
          <cell r="S90" t="str">
            <v>Cargar las actas de conformación en el aplicativo SAE Sesionar con cada órgano de gobierno de conformidad con la periodicidad establecida en la norma</v>
          </cell>
          <cell r="T90" t="str">
            <v>Si</v>
          </cell>
          <cell r="U90" t="str">
            <v>Verificar el SAE  y verificar las actas que evidencien el funcionamiento de  los organos de gobierno.</v>
          </cell>
        </row>
        <row r="91">
          <cell r="A91">
            <v>2012</v>
          </cell>
          <cell r="B91">
            <v>9</v>
          </cell>
          <cell r="C91" t="str">
            <v>SUBA</v>
          </cell>
          <cell r="D91" t="str">
            <v>PRIVADO</v>
          </cell>
          <cell r="E91" t="str">
            <v>Educación de Jóvenes y Adultos</v>
          </cell>
          <cell r="F91" t="str">
            <v>LATINOAMERICANA_DE_SISTEMAS_Y_EDUCACION_LASIT</v>
          </cell>
          <cell r="G91" t="str">
            <v>LATINOAMERICANA DE SISTEMAS Y EDUCACION LASIT</v>
          </cell>
          <cell r="H91" t="str">
            <v>Autoevaluación Institucional y Pruebas SABER 11</v>
          </cell>
          <cell r="I91" t="str">
            <v>EVALUACIÓN_CON_FINES_DE_MEJORAMIENTO.</v>
          </cell>
          <cell r="J91" t="str">
            <v>Verificar las condiciones en cuanto a: la estructura administrativa, condiciones de la planta física y medios educativos adecuados.</v>
          </cell>
          <cell r="K91" t="str">
            <v>SANDRA OLINDA GONZÁLEZ REYES</v>
          </cell>
          <cell r="L91" t="str">
            <v>DANIEL ALEJANDRO GRANOBLES</v>
          </cell>
          <cell r="M91">
            <v>45729</v>
          </cell>
          <cell r="N91">
            <v>45758</v>
          </cell>
          <cell r="O91">
            <v>45758</v>
          </cell>
          <cell r="P91" t="str">
            <v>Visitas de evaluación con fines de mejoramiento</v>
          </cell>
          <cell r="Q91" t="str">
            <v>11052025 LASIT Acta de visita.pdf</v>
          </cell>
          <cell r="R91" t="str">
            <v xml:space="preserve">Existen espacios para cada ambiente sin embargo se evidencia falta de organización </v>
          </cell>
          <cell r="S91" t="str">
            <v>Realizar y entregar plan de mejoramiento que incorporeel proceso de reesttructuración y reorganozación de espacios del 30 de abril</v>
          </cell>
          <cell r="T91" t="str">
            <v>Si</v>
          </cell>
          <cell r="U91" t="str">
            <v>Revisar plan de mejoramiento que contenga las acciones e informe con registro fotografico de avance en la reestructuración de los espacios.</v>
          </cell>
        </row>
        <row r="92">
          <cell r="A92">
            <v>2013</v>
          </cell>
          <cell r="B92">
            <v>10</v>
          </cell>
          <cell r="C92" t="str">
            <v>SUBA</v>
          </cell>
          <cell r="D92" t="str">
            <v>PRIVADO</v>
          </cell>
          <cell r="E92" t="str">
            <v>Educación de Jóvenes y Adultos</v>
          </cell>
          <cell r="F92" t="str">
            <v>COLEGIO_CENCOSISTEMAS_SUBA</v>
          </cell>
          <cell r="G92" t="str">
            <v>COLEGIO CENCOSISTEMAS SUBA</v>
          </cell>
          <cell r="H92" t="str">
            <v>Autoevaluación Institucional y Pruebas SABER 11</v>
          </cell>
          <cell r="I92" t="str">
            <v>SEGUIMIENTO_Y_SUPERVISIÓN.</v>
          </cell>
          <cell r="J92" t="str">
            <v>Realizar visitas para verificar la información registrada sobre la autoevaluación institucional en el aplicativo EVI, a los establecimientos de educación formal no oficial.</v>
          </cell>
          <cell r="K92" t="str">
            <v>JENNIFFER ESPERANZA GONZÁLEZ GÓMEZ</v>
          </cell>
          <cell r="L92" t="str">
            <v>SONIA YAMILE ARTEAGA MELO</v>
          </cell>
          <cell r="M92">
            <v>45867</v>
          </cell>
          <cell r="N92">
            <v>45880</v>
          </cell>
          <cell r="O92">
            <v>45880</v>
          </cell>
          <cell r="P92" t="str">
            <v>Visitas de evaluación con fines de seguimiento</v>
          </cell>
          <cell r="Q92" t="str">
            <v>acta visita col CENCOSISTEMAS.pdf</v>
          </cell>
          <cell r="R92" t="str">
            <v>Se evidencio que la instittución diligenia el aplicativo EVI,conforme la infrastructura con la que cuenta, sin embargo por baja matricula esta haciendo rotacion de docentes los cuales pertenecen a otra isntitucion</v>
          </cell>
          <cell r="S92" t="str">
            <v>Revisar la sostenibilidad del proyecto educaivo y  Elaborar plan de mejoramiento sobre todos los indicadores y remitirlo  antes del 1 de septiembre</v>
          </cell>
          <cell r="T92" t="str">
            <v>Si</v>
          </cell>
          <cell r="U92" t="str">
            <v>Verificar el diligenciamiento y publicación de documentos en el aplicativo EVI para la vigencia 2026.</v>
          </cell>
        </row>
        <row r="93">
          <cell r="A93">
            <v>2014</v>
          </cell>
          <cell r="B93">
            <v>10</v>
          </cell>
          <cell r="C93" t="str">
            <v>SUBA</v>
          </cell>
          <cell r="D93" t="str">
            <v>PRIVADO</v>
          </cell>
          <cell r="E93" t="str">
            <v>Educación de Jóvenes y Adultos</v>
          </cell>
          <cell r="F93" t="str">
            <v>COLEGIO_CENCOSISTEMAS_SUBA</v>
          </cell>
          <cell r="G93" t="str">
            <v>COLEGIO CENCOSISTEMAS SUBA</v>
          </cell>
          <cell r="H93" t="str">
            <v>Autoevaluación Institucional y Pruebas SABER 11</v>
          </cell>
          <cell r="I93" t="str">
            <v>SEGUIMIENTO_Y_SUPERVISIÓN.</v>
          </cell>
          <cell r="J93" t="str">
            <v>Proponer estrategias en la formulación, verificar su elaboración y realizar seguimiento semestral al desarrollo de  las acciones establecidas en los planes de mejoramiento por pruebas SABER 11 de los establecimientos de educación formal.</v>
          </cell>
          <cell r="K93" t="str">
            <v>JENNIFFER ESPERANZA GONZÁLEZ GÓMEZ</v>
          </cell>
          <cell r="L93" t="str">
            <v>SONIA YAMILE ARTEAGA MELO</v>
          </cell>
          <cell r="M93">
            <v>45867</v>
          </cell>
          <cell r="N93">
            <v>45880</v>
          </cell>
          <cell r="O93">
            <v>45880</v>
          </cell>
          <cell r="P93" t="str">
            <v>Visitas de evaluación con fines de seguimiento</v>
          </cell>
          <cell r="Q93" t="str">
            <v>acta visita col CENCOSISTEMAS.pdf</v>
          </cell>
          <cell r="R93" t="str">
            <v>Se verificó el bajo resultado en las  Pruebas saber y la retroaliemntación realizada por los docentesa cerca de la evaluación de las  causales, para implementar acciones de mejora</v>
          </cell>
          <cell r="S93" t="str">
            <v>Revisar los resultados y la relación con las asignaturas del plan de estudio. Elaborar plan de mejoramiento sobre todos los indicadores y remitirlo a la DLE antes del 1 de septiembre</v>
          </cell>
          <cell r="T93" t="str">
            <v>Si</v>
          </cell>
          <cell r="U93" t="str">
            <v>Verificar los resultados y las acciones en las asignaturas que presentan puntajes más bajos en la próxima calificación de las pruebas</v>
          </cell>
        </row>
        <row r="94">
          <cell r="A94">
            <v>2015</v>
          </cell>
          <cell r="B94">
            <v>10</v>
          </cell>
          <cell r="C94" t="str">
            <v>SUBA</v>
          </cell>
          <cell r="D94" t="str">
            <v>PRIVADO</v>
          </cell>
          <cell r="E94" t="str">
            <v>Educación de Jóvenes y Adultos</v>
          </cell>
          <cell r="F94" t="str">
            <v>COLEGIO_CENCOSISTEMAS_SUBA</v>
          </cell>
          <cell r="G94" t="str">
            <v>COLEGIO CENCOSISTEMAS SUBA</v>
          </cell>
          <cell r="H94" t="str">
            <v>Autoevaluación Institucional y Pruebas SABER 11</v>
          </cell>
          <cell r="I94" t="str">
            <v>SEGUIMIENTO_Y_SUPERVISIÓN.</v>
          </cell>
          <cell r="J94" t="str">
            <v xml:space="preserve">Verificar la implementación por parte de los colegios, de acciones realizadas para la prevención y atención de las situaciones de convivencia en el entorno escolar, según lo establecido en la Directiva 01 de 2022 del MEN. </v>
          </cell>
          <cell r="K94" t="str">
            <v>JENNIFFER ESPERANZA GONZÁLEZ GÓMEZ</v>
          </cell>
          <cell r="L94" t="str">
            <v>SONIA YAMILE ARTEAGA MELO</v>
          </cell>
          <cell r="M94">
            <v>45867</v>
          </cell>
          <cell r="N94">
            <v>45880</v>
          </cell>
          <cell r="O94">
            <v>45880</v>
          </cell>
          <cell r="P94" t="str">
            <v>Visitas de evaluación con fines de seguimiento</v>
          </cell>
          <cell r="Q94" t="str">
            <v>acta visita col CENCOSISTEMAS.pdf</v>
          </cell>
          <cell r="R94" t="str">
            <v>Se verificaron las consulta en la página de la policia de los antecedentes de los docentes de conformidad a la directiva  001 del 2022, del mes de agosto.  no han tenido conflictos que ameriten la activación de rutas.</v>
          </cell>
          <cell r="S94" t="str">
            <v xml:space="preserve">Continuar con las consultas en la pagina de antecedentes sexuales. e incluir y desarollar en el manual de convivencia los protocolos de atención </v>
          </cell>
          <cell r="T94" t="str">
            <v>si</v>
          </cell>
          <cell r="U94" t="str">
            <v>Verificar las modificaciones en manual de convivencia respecto a los protocolos de atención para la vigencia 2026</v>
          </cell>
        </row>
        <row r="95">
          <cell r="A95">
            <v>2016</v>
          </cell>
          <cell r="B95">
            <v>10</v>
          </cell>
          <cell r="C95" t="str">
            <v>SUBA</v>
          </cell>
          <cell r="D95" t="str">
            <v>PRIVADO</v>
          </cell>
          <cell r="E95" t="str">
            <v>Educación de Jóvenes y Adultos</v>
          </cell>
          <cell r="F95" t="str">
            <v>COLEGIO_CENCOSISTEMAS_SUBA</v>
          </cell>
          <cell r="G95" t="str">
            <v>COLEGIO CENCOSISTEMAS SUBA</v>
          </cell>
          <cell r="H95" t="str">
            <v>Autoevaluación Institucional y Pruebas SABER 11</v>
          </cell>
          <cell r="I95" t="str">
            <v>SEGUIMIENTO_Y_SUPERVISIÓN.</v>
          </cell>
          <cell r="J9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5" t="str">
            <v>JENNIFFER ESPERANZA GONZÁLEZ GÓMEZ</v>
          </cell>
          <cell r="L95" t="str">
            <v>SONIA YAMILE ARTEAGA MELO</v>
          </cell>
          <cell r="M95">
            <v>45867</v>
          </cell>
          <cell r="N95">
            <v>45880</v>
          </cell>
          <cell r="O95">
            <v>45880</v>
          </cell>
          <cell r="P95" t="str">
            <v>Visitas de evaluación con fines de seguimiento</v>
          </cell>
          <cell r="Q95" t="str">
            <v>acta visita col CENCOSISTEMAS.pdf</v>
          </cell>
          <cell r="R95" t="str">
            <v xml:space="preserve">Se evidenció en el SIMAT que el colegio  tiene1  estudiante matriculados en condición de discapacidad; se debe elaborar el PIAR del estudiante </v>
          </cell>
          <cell r="S95" t="str">
            <v xml:space="preserve">
Realizar la actualización del Manual de Convivencia para incorporar los enfoques diferenciales e inclusivos.                        Elaborar plan de mejoramiento sobre todos los indicadores y remitirlo a inspección y vigilancia antes del 1 de septiembre </v>
          </cell>
          <cell r="T95" t="str">
            <v>Si</v>
          </cell>
          <cell r="U95" t="str">
            <v>Verificar las modificaciones en manual de convivencia para la vigencia 2026</v>
          </cell>
        </row>
        <row r="96">
          <cell r="A96">
            <v>2017</v>
          </cell>
          <cell r="B96">
            <v>10</v>
          </cell>
          <cell r="C96" t="str">
            <v>SUBA</v>
          </cell>
          <cell r="D96" t="str">
            <v>PRIVADO</v>
          </cell>
          <cell r="E96" t="str">
            <v>Educación de Jóvenes y Adultos</v>
          </cell>
          <cell r="F96" t="str">
            <v>COLEGIO_CENCOSISTEMAS_SUBA</v>
          </cell>
          <cell r="G96" t="str">
            <v>COLEGIO CENCOSISTEMAS SUBA</v>
          </cell>
          <cell r="H96" t="str">
            <v>Autoevaluación Institucional y Pruebas SABER 11</v>
          </cell>
          <cell r="I96" t="str">
            <v>EVALUACIÓN_CON_FINES_DE_MEJORAMIENTO.</v>
          </cell>
          <cell r="J9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6" t="str">
            <v>JENNIFFER ESPERANZA GONZÁLEZ GÓMEZ</v>
          </cell>
          <cell r="L96" t="str">
            <v>SONIA YAMILE ARTEAGA MELO</v>
          </cell>
          <cell r="M96">
            <v>45867</v>
          </cell>
          <cell r="N96">
            <v>45880</v>
          </cell>
          <cell r="O96">
            <v>45880</v>
          </cell>
          <cell r="P96" t="str">
            <v>Visitas de evaluación con fines de mejoramiento</v>
          </cell>
          <cell r="Q96" t="str">
            <v>acta visita col CENCOSISTEMAS.pdf</v>
          </cell>
          <cell r="R96" t="str">
            <v>Se encontro que al revisar el manual de convivencia , con la última actualización, falta añadir algunas normas en el marco jurídico, falta desarrollar lo que tiene que ver con protocolos de atencion, entre otros.</v>
          </cell>
          <cell r="S96" t="str">
            <v xml:space="preserve">Realizar la actualización del manuel convivencia.            
Elaborar plan de mejoramiento sobre todos los indicadores y remitirlo a inspección y vigilancia antes del 1 de septiembre </v>
          </cell>
          <cell r="T96" t="str">
            <v>Si</v>
          </cell>
          <cell r="U96" t="str">
            <v>Revisar la actualización del manual de convivencia ccon vigencia 2026</v>
          </cell>
        </row>
        <row r="97">
          <cell r="A97">
            <v>2018</v>
          </cell>
          <cell r="B97">
            <v>10</v>
          </cell>
          <cell r="C97" t="str">
            <v>SUBA</v>
          </cell>
          <cell r="D97" t="str">
            <v>PRIVADO</v>
          </cell>
          <cell r="E97" t="str">
            <v>Educación de Jóvenes y Adultos</v>
          </cell>
          <cell r="F97" t="str">
            <v>COLEGIO_CENCOSISTEMAS_SUBA</v>
          </cell>
          <cell r="G97" t="str">
            <v>COLEGIO CENCOSISTEMAS SUBA</v>
          </cell>
          <cell r="H97" t="str">
            <v>Autoevaluación Institucional y Pruebas SABER 11</v>
          </cell>
          <cell r="I97" t="str">
            <v>EVALUACIÓN_CON_FINES_DE_MEJORAMIENTO.</v>
          </cell>
          <cell r="J97" t="str">
            <v>Revisar la actualización, socialización e implementación del Sistema Institucional de Evaluación de Estudiantes - SIEE, en articulación con la actualización del PEI y la normatividad vigente.</v>
          </cell>
          <cell r="K97" t="str">
            <v>JENNIFFER ESPERANZA GONZÁLEZ GÓMEZ</v>
          </cell>
          <cell r="L97" t="str">
            <v>SONIA YAMILE ARTEAGA MELO</v>
          </cell>
          <cell r="M97">
            <v>45867</v>
          </cell>
          <cell r="N97">
            <v>45880</v>
          </cell>
          <cell r="O97">
            <v>45880</v>
          </cell>
          <cell r="P97" t="str">
            <v>Visitas de evaluación con fines de mejoramiento</v>
          </cell>
          <cell r="Q97" t="str">
            <v>acta visita col CENCOSISTEMAS.pdf</v>
          </cell>
          <cell r="R97" t="str">
            <v>Se realizó retroalimentación sobre  el SIEE, el cual está en consonancia con el PEI, asi mismo ajustar los certificados eliminando las notas por proyectos transversales</v>
          </cell>
          <cell r="S97" t="str">
            <v xml:space="preserve">Realizar los ajustes de conformidad con las observaciomnes realizada sen la visita, re todos los indicadores y remitirlo a inspección y vigilancia, antes del 1 de septiembre </v>
          </cell>
          <cell r="T97" t="str">
            <v>Si</v>
          </cell>
          <cell r="U97" t="str">
            <v>Revisar la actualización del manual de convivencia en lo relacionado con el  SIIE  vigencia 2026</v>
          </cell>
        </row>
        <row r="98">
          <cell r="A98">
            <v>2019</v>
          </cell>
          <cell r="B98">
            <v>10</v>
          </cell>
          <cell r="C98" t="str">
            <v>SUBA</v>
          </cell>
          <cell r="D98" t="str">
            <v>PRIVADO</v>
          </cell>
          <cell r="E98" t="str">
            <v>Educación de Jóvenes y Adultos</v>
          </cell>
          <cell r="F98" t="str">
            <v>COLEGIO_CENCOSISTEMAS_SUBA</v>
          </cell>
          <cell r="G98" t="str">
            <v>COLEGIO CENCOSISTEMAS SUBA</v>
          </cell>
          <cell r="H98" t="str">
            <v>Autoevaluación Institucional y Pruebas SABER 11</v>
          </cell>
          <cell r="I98" t="str">
            <v>EVALUACIÓN_CON_FINES_DE_MEJORAMIENTO.</v>
          </cell>
          <cell r="J98" t="str">
            <v>Revisar el calendario escolar, jornada escolar, la intensidad horaria mínima anual en cada nivel y las modificaciones que se realicen al mismo, de acuerdo con lo previsto en la normatividad vigente.</v>
          </cell>
          <cell r="K98" t="str">
            <v>JENNIFFER ESPERANZA GONZÁLEZ GÓMEZ</v>
          </cell>
          <cell r="L98" t="str">
            <v>SONIA YAMILE ARTEAGA MELO</v>
          </cell>
          <cell r="M98">
            <v>45867</v>
          </cell>
          <cell r="N98">
            <v>45880</v>
          </cell>
          <cell r="O98">
            <v>45880</v>
          </cell>
          <cell r="P98" t="str">
            <v>Visitas de evaluación con fines de mejoramiento</v>
          </cell>
          <cell r="Q98" t="str">
            <v>acta visita col CENCOSISTEMAS.pdf</v>
          </cell>
          <cell r="R98" t="str">
            <v>La intensidad horaria y las horas mínimas anuales de cada ciclo  se ajustan a la normatividad vigente.</v>
          </cell>
          <cell r="S98" t="str">
            <v>Socializar con los estudianes, la normatividad de los CILOS, para lograr menor decersion.</v>
          </cell>
          <cell r="T98" t="str">
            <v>Si</v>
          </cell>
          <cell r="U98" t="str">
            <v>Verificar el calendario escolar para la vigencia 2026</v>
          </cell>
        </row>
        <row r="99">
          <cell r="A99">
            <v>2020</v>
          </cell>
          <cell r="B99">
            <v>10</v>
          </cell>
          <cell r="C99" t="str">
            <v>SUBA</v>
          </cell>
          <cell r="D99" t="str">
            <v>PRIVADO</v>
          </cell>
          <cell r="E99" t="str">
            <v>Educación de Jóvenes y Adultos</v>
          </cell>
          <cell r="F99" t="str">
            <v>COLEGIO_CENCOSISTEMAS_SUBA</v>
          </cell>
          <cell r="G99" t="str">
            <v>COLEGIO CENCOSISTEMAS SUBA</v>
          </cell>
          <cell r="H99" t="str">
            <v>Autoevaluación Institucional y Pruebas SABER 11</v>
          </cell>
          <cell r="I99" t="str">
            <v>EVALUACIÓN_CON_FINES_DE_MEJORAMIENTO.</v>
          </cell>
          <cell r="J99" t="str">
            <v>Verificar el funcionamiento del Gobierno Escolar e instancias de participación con base en la información sobre conformación reportada por la institución educativa.</v>
          </cell>
          <cell r="K99" t="str">
            <v>JENNIFFER ESPERANZA GONZÁLEZ GÓMEZ</v>
          </cell>
          <cell r="L99" t="str">
            <v>SONIA YAMILE ARTEAGA MELO</v>
          </cell>
          <cell r="M99">
            <v>45867</v>
          </cell>
          <cell r="N99">
            <v>45880</v>
          </cell>
          <cell r="O99">
            <v>45880</v>
          </cell>
          <cell r="P99" t="str">
            <v>Visitas de evaluación con fines de mejoramiento</v>
          </cell>
          <cell r="Q99" t="str">
            <v>acta visita col CENCOSISTEMAS.pdf</v>
          </cell>
          <cell r="R99" t="str">
            <v>Se evidenciaron las actas de conformación de gobierno escolar, las cuales deberán cargarse en el SAE. Sobre el funcionamiento no han sesionado.</v>
          </cell>
          <cell r="S99" t="str">
            <v>Cargar las actas de conformación en el aplicativo SAE a1 de septiembre . Sesionar con cada órgano de gobierno de conformidad con la periodicidad establecida en la norma</v>
          </cell>
          <cell r="T99" t="str">
            <v>Si</v>
          </cell>
          <cell r="U99" t="str">
            <v>Verificar el SAE  y el funcionamiento de  los organos de gobierno mediantes las evidencias presentadas por la IE.</v>
          </cell>
        </row>
        <row r="100">
          <cell r="A100">
            <v>2021</v>
          </cell>
          <cell r="B100">
            <v>10</v>
          </cell>
          <cell r="C100" t="str">
            <v>SUBA</v>
          </cell>
          <cell r="D100" t="str">
            <v>PRIVADO</v>
          </cell>
          <cell r="E100" t="str">
            <v>Educación de Jóvenes y Adultos</v>
          </cell>
          <cell r="F100" t="str">
            <v>COLEGIO_CENCOSISTEMAS_SUBA</v>
          </cell>
          <cell r="G100" t="str">
            <v>COLEGIO CENCOSISTEMAS SUBA</v>
          </cell>
          <cell r="H100" t="str">
            <v>Autoevaluación Institucional y Pruebas SABER 11</v>
          </cell>
          <cell r="I100" t="str">
            <v>EVALUACIÓN_CON_FINES_DE_MEJORAMIENTO.</v>
          </cell>
          <cell r="J100" t="str">
            <v>Verificar las condiciones en cuanto a: la estructura administrativa, condiciones de la planta física y medios educativos adecuados.</v>
          </cell>
          <cell r="K100" t="str">
            <v>JENNIFFER ESPERANZA GONZÁLEZ GÓMEZ</v>
          </cell>
          <cell r="L100" t="str">
            <v>SONIA YAMILE ARTEAGA MELO</v>
          </cell>
          <cell r="M100">
            <v>45867</v>
          </cell>
          <cell r="N100">
            <v>45880</v>
          </cell>
          <cell r="O100">
            <v>45880</v>
          </cell>
          <cell r="P100" t="str">
            <v>Visitas de evaluación con fines de mejoramiento</v>
          </cell>
          <cell r="Q100" t="str">
            <v>acta visita col CENCOSISTEMAS.pdf</v>
          </cell>
          <cell r="R100" t="str">
            <v>Existen espacios  suficientes pero falta reorganizar parta optimizar los recursos</v>
          </cell>
          <cell r="S100" t="str">
            <v>Se llama la atención respecto  a la posibilidad de una reorganozación de espacios  de acuerdo a su funcionalidad y comodidad</v>
          </cell>
          <cell r="T100" t="str">
            <v>Si</v>
          </cell>
          <cell r="U100" t="str">
            <v>Revisar en el plan de mejormeiento si se tuvo en consideración las observaciones respecto a la reorganización de espacios</v>
          </cell>
        </row>
        <row r="101">
          <cell r="A101">
            <v>2022</v>
          </cell>
          <cell r="B101">
            <v>11</v>
          </cell>
          <cell r="C101" t="str">
            <v>SUBA</v>
          </cell>
          <cell r="D101" t="str">
            <v>PRIVADO</v>
          </cell>
          <cell r="E101" t="str">
            <v>Educación de Jóvenes y Adultos</v>
          </cell>
          <cell r="F101" t="str">
            <v>NUEVO_INSTITUTO_SAN_MIGUEL</v>
          </cell>
          <cell r="G101" t="str">
            <v>NUEVO INSTITUTO SAN MIGUEL</v>
          </cell>
          <cell r="H101" t="str">
            <v>Autoevaluación Institucional y Pruebas SABER 11</v>
          </cell>
          <cell r="I101" t="str">
            <v>SEGUIMIENTO_Y_SUPERVISIÓN.</v>
          </cell>
          <cell r="J101" t="str">
            <v>Realizar visitas para verificar la información registrada sobre la autoevaluación institucional en el aplicativo EVI, a los establecimientos de educación formal no oficial.</v>
          </cell>
          <cell r="K101" t="str">
            <v>MARÍA LILIA MENDEZ DE BUITRAGO</v>
          </cell>
          <cell r="L101" t="str">
            <v>SONIA CONSTANZA URREGO GONZÁLEZ</v>
          </cell>
          <cell r="M101">
            <v>45735</v>
          </cell>
          <cell r="N101">
            <v>45777</v>
          </cell>
          <cell r="O101">
            <v>45777</v>
          </cell>
          <cell r="P101" t="str">
            <v>Visitas de evaluación con fines de seguimiento</v>
          </cell>
          <cell r="Q101" t="str">
            <v>30042025 Acta de visita Nuevo Instituto San miguel.pdf</v>
          </cell>
          <cell r="R101" t="str">
            <v xml:space="preserve">Se evidenció que la instittución ha diligenciado el aplicativo EVI, sin embargo no en su totalidad,  fue sujeto de tarifas historicas .Al momento de la visita no presentan las planillas de pago de salud, pensión y parafiscales,no hay espacios para biblioteca, ni sala de sistemas </v>
          </cell>
          <cell r="S101" t="str">
            <v>Realizar la revisión de la normatividad relacionada con los espacios minimos  Aportar en el plan de mejoramiento las planillas de aportes de seguridad social en salud, pensión y parafiscales del personal docente.</v>
          </cell>
          <cell r="T101" t="str">
            <v>Si</v>
          </cell>
          <cell r="U101" t="str">
            <v>Verificar planillas  de pago y horas en el aplicativo EVI para la vigencia 2026 entregadas con la formulación del plan de mejoramiento.</v>
          </cell>
        </row>
        <row r="102">
          <cell r="A102">
            <v>2023</v>
          </cell>
          <cell r="B102">
            <v>11</v>
          </cell>
          <cell r="C102" t="str">
            <v>SUBA</v>
          </cell>
          <cell r="D102" t="str">
            <v>PRIVADO</v>
          </cell>
          <cell r="E102" t="str">
            <v>Educación de Jóvenes y Adultos</v>
          </cell>
          <cell r="F102" t="str">
            <v>NUEVO_INSTITUTO_SAN_MIGUEL</v>
          </cell>
          <cell r="G102" t="str">
            <v>NUEVO INSTITUTO SAN MIGUEL</v>
          </cell>
          <cell r="H102" t="str">
            <v>Autoevaluación Institucional y Pruebas SABER 11</v>
          </cell>
          <cell r="I102" t="str">
            <v>SEGUIMIENTO_Y_SUPERVISIÓN.</v>
          </cell>
          <cell r="J102" t="str">
            <v>Proponer estrategias en la formulación, verificar su elaboración y realizar seguimiento semestral al desarrollo de  las acciones establecidas en los planes de mejoramiento por pruebas SABER 11 de los establecimientos de educación formal.</v>
          </cell>
          <cell r="K102" t="str">
            <v>MARÍA LILIA MENDEZ DE BUITRAGO</v>
          </cell>
          <cell r="L102" t="str">
            <v>SONIA CONSTANZA URREGO GONZÁLEZ</v>
          </cell>
          <cell r="M102">
            <v>45735</v>
          </cell>
          <cell r="N102">
            <v>45777</v>
          </cell>
          <cell r="O102">
            <v>45777</v>
          </cell>
          <cell r="P102" t="str">
            <v>Visitas de evaluación con fines de seguimiento</v>
          </cell>
          <cell r="Q102" t="str">
            <v>30042025 Acta de visita Nuevo Instituto San miguel.pdf</v>
          </cell>
          <cell r="R102" t="str">
            <v>Se constató el bajo resultado en las  Pruebas saber, sin emabargo no hay un análisis de las pruebas.</v>
          </cell>
          <cell r="S102" t="str">
            <v xml:space="preserve">Revisar los resultados y la relación con las asignaturas del plan de estudio, analizando los resultados obtenidos  de los últimos años. Elaborar plan de mejoramiento sobre todos los indicadores y remitirlo antes del 16 de mayo </v>
          </cell>
          <cell r="T102" t="str">
            <v>Si</v>
          </cell>
          <cell r="U102" t="str">
            <v xml:space="preserve">Verificar el análisis los resultados y las acciones en las asignaturas que presentan puntajes más bajos reflejadas en el plan de mejoramiento. </v>
          </cell>
        </row>
        <row r="103">
          <cell r="A103">
            <v>2024</v>
          </cell>
          <cell r="B103">
            <v>11</v>
          </cell>
          <cell r="C103" t="str">
            <v>SUBA</v>
          </cell>
          <cell r="D103" t="str">
            <v>PRIVADO</v>
          </cell>
          <cell r="E103" t="str">
            <v>Educación de Jóvenes y Adultos</v>
          </cell>
          <cell r="F103" t="str">
            <v>NUEVO_INSTITUTO_SAN_MIGUEL</v>
          </cell>
          <cell r="G103" t="str">
            <v>NUEVO INSTITUTO SAN MIGUEL</v>
          </cell>
          <cell r="H103" t="str">
            <v>Autoevaluación Institucional y Pruebas SABER 11</v>
          </cell>
          <cell r="I103" t="str">
            <v>SEGUIMIENTO_Y_SUPERVISIÓN.</v>
          </cell>
          <cell r="J103" t="str">
            <v xml:space="preserve">Verificar la implementación por parte de los colegios, de acciones realizadas para la prevención y atención de las situaciones de convivencia en el entorno escolar, según lo establecido en la Directiva 01 de 2022 del MEN. </v>
          </cell>
          <cell r="K103" t="str">
            <v>MARÍA LILIA MENDEZ DE BUITRAGO</v>
          </cell>
          <cell r="L103" t="str">
            <v>SONIA CONSTANZA URREGO GONZÁLEZ</v>
          </cell>
          <cell r="M103">
            <v>45735</v>
          </cell>
          <cell r="N103">
            <v>45777</v>
          </cell>
          <cell r="O103">
            <v>45777</v>
          </cell>
          <cell r="P103" t="str">
            <v>Visitas de evaluación con fines de seguimiento</v>
          </cell>
          <cell r="Q103" t="str">
            <v>30042025 Acta de visita Nuevo Instituto San miguel.pdf</v>
          </cell>
          <cell r="R103" t="str">
            <v>Se verificaron las consulta en la página de la policia de los antecedentes de delitos sexuales en las hojas de vida de los docentes de conformidad a la directiva  001 del 2022 y no se encontró dicha consulta</v>
          </cell>
          <cell r="S103" t="str">
            <v>Realizar las consultas en la página de la Policía de todos los funcionarios de la institución y anexarla a la hoja de vida.  Elaborar plan de mejoramiento sobre todos los indicadores y remitirlo  antes del 16 e mayo</v>
          </cell>
          <cell r="T103" t="str">
            <v>Si</v>
          </cell>
          <cell r="U103" t="str">
            <v>Verificar las consultas de antecedentes de los empledos remitidas con el plan de mejoramiento</v>
          </cell>
        </row>
        <row r="104">
          <cell r="A104">
            <v>2025</v>
          </cell>
          <cell r="B104">
            <v>11</v>
          </cell>
          <cell r="C104" t="str">
            <v>SUBA</v>
          </cell>
          <cell r="D104" t="str">
            <v>PRIVADO</v>
          </cell>
          <cell r="E104" t="str">
            <v>Educación de Jóvenes y Adultos</v>
          </cell>
          <cell r="F104" t="str">
            <v>NUEVO_INSTITUTO_SAN_MIGUEL</v>
          </cell>
          <cell r="G104" t="str">
            <v>NUEVO INSTITUTO SAN MIGUEL</v>
          </cell>
          <cell r="H104" t="str">
            <v>Autoevaluación Institucional y Pruebas SABER 11</v>
          </cell>
          <cell r="I104" t="str">
            <v>SEGUIMIENTO_Y_SUPERVISIÓN.</v>
          </cell>
          <cell r="J10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4" t="str">
            <v>MARÍA LILIA MENDEZ DE BUITRAGO</v>
          </cell>
          <cell r="L104" t="str">
            <v>SONIA CONSTANZA URREGO GONZÁLEZ</v>
          </cell>
          <cell r="M104">
            <v>45735</v>
          </cell>
          <cell r="N104">
            <v>45777</v>
          </cell>
          <cell r="O104">
            <v>45777</v>
          </cell>
          <cell r="P104" t="str">
            <v>Visitas de evaluación con fines de seguimiento</v>
          </cell>
          <cell r="Q104" t="str">
            <v>30042025 Acta de visita Nuevo Instituto San miguel.pdf</v>
          </cell>
          <cell r="R104" t="str">
            <v xml:space="preserve">Se realizó consulta en el SIMAT encontrándose  que no tiene caracterizado ningun estudiantes de inlusión, transtornos o talentos excepcionales, situación corroborada en la IE por lo tanto no han elaborado PIAR </v>
          </cell>
          <cell r="S104" t="str">
            <v xml:space="preserve">
Realizar la actualización del Manual de Convivencia para incorporar los enfoques diferenciales e inclusivos                        Se le indica que el Manual de convivencia debe contener lo establecido en el decreto en caso de que se presente vinculación de esta población.Realizar la revisión en el SIMAT, para actualizar el estado de los estudiantes. Elaborar plan de mejoramiento sobre todos los indicadores y remitirlo antes del 16 de mayo</v>
          </cell>
          <cell r="T104" t="str">
            <v>Si</v>
          </cell>
          <cell r="U104" t="str">
            <v>Verificar las modificaciones en manual de convivencia respecto a la poblacion con discapacidad.con fecha límite el 31 de julio.</v>
          </cell>
        </row>
        <row r="105">
          <cell r="A105">
            <v>2026</v>
          </cell>
          <cell r="B105">
            <v>11</v>
          </cell>
          <cell r="C105" t="str">
            <v>SUBA</v>
          </cell>
          <cell r="D105" t="str">
            <v>PRIVADO</v>
          </cell>
          <cell r="E105" t="str">
            <v>Educación de Jóvenes y Adultos</v>
          </cell>
          <cell r="F105" t="str">
            <v>NUEVO_INSTITUTO_SAN_MIGUEL</v>
          </cell>
          <cell r="G105" t="str">
            <v>NUEVO INSTITUTO SAN MIGUEL</v>
          </cell>
          <cell r="H105" t="str">
            <v>Autoevaluación Institucional y Pruebas SABER 11</v>
          </cell>
          <cell r="I105" t="str">
            <v>EVALUACIÓN_CON_FINES_DE_MEJORAMIENTO.</v>
          </cell>
          <cell r="J10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5" t="str">
            <v>MARÍA LILIA MENDEZ DE BUITRAGO</v>
          </cell>
          <cell r="L105" t="str">
            <v>SONIA CONSTANZA URREGO GONZÁLEZ</v>
          </cell>
          <cell r="M105">
            <v>45735</v>
          </cell>
          <cell r="N105">
            <v>45777</v>
          </cell>
          <cell r="O105">
            <v>45777</v>
          </cell>
          <cell r="P105" t="str">
            <v>Visitas de evaluación con fines de mejoramiento</v>
          </cell>
          <cell r="Q105" t="str">
            <v>30042025 Acta de visita Nuevo Instituto San miguel.pdf</v>
          </cell>
          <cell r="R105" t="str">
            <v>Se encontro que al manual de convivencia se le estan realizando algunas modificaciones y no ha sido adoptado</v>
          </cell>
          <cell r="S105" t="str">
            <v>Realizar la actualización del manuel convivencia.            Elaborar plan de mejoramiento sobre todos los indicadores y remitirlo antes del 30 de abril</v>
          </cell>
          <cell r="T105" t="str">
            <v>Si</v>
          </cell>
          <cell r="U105" t="str">
            <v>Revisar la actualización del manual de convivencia ccon fecha límite el 31 de julio</v>
          </cell>
        </row>
        <row r="106">
          <cell r="A106">
            <v>2027</v>
          </cell>
          <cell r="B106">
            <v>11</v>
          </cell>
          <cell r="C106" t="str">
            <v>SUBA</v>
          </cell>
          <cell r="D106" t="str">
            <v>PRIVADO</v>
          </cell>
          <cell r="E106" t="str">
            <v>Educación de Jóvenes y Adultos</v>
          </cell>
          <cell r="F106" t="str">
            <v>NUEVO_INSTITUTO_SAN_MIGUEL</v>
          </cell>
          <cell r="G106" t="str">
            <v>NUEVO INSTITUTO SAN MIGUEL</v>
          </cell>
          <cell r="H106" t="str">
            <v>Autoevaluación Institucional y Pruebas SABER 11</v>
          </cell>
          <cell r="I106" t="str">
            <v>EVALUACIÓN_CON_FINES_DE_MEJORAMIENTO.</v>
          </cell>
          <cell r="J106" t="str">
            <v>Revisar la actualización, socialización e implementación del Sistema Institucional de Evaluación de Estudiantes - SIEE, en articulación con la actualización del PEI y la normatividad vigente.</v>
          </cell>
          <cell r="K106" t="str">
            <v>MARÍA LILIA MENDEZ DE BUITRAGO</v>
          </cell>
          <cell r="L106" t="str">
            <v>SONIA CONSTANZA URREGO GONZÁLEZ</v>
          </cell>
          <cell r="M106">
            <v>45735</v>
          </cell>
          <cell r="N106">
            <v>45777</v>
          </cell>
          <cell r="O106">
            <v>45777</v>
          </cell>
          <cell r="P106" t="str">
            <v>Visitas de evaluación con fines de mejoramiento</v>
          </cell>
          <cell r="Q106" t="str">
            <v>30042025 Acta de visita Nuevo Instituto San miguel.pdf</v>
          </cell>
          <cell r="R106" t="str">
            <v>Se realizó retroalimentación sobre  el SIEE, no lo desarrollan por CLEI, sino por áreas.</v>
          </cell>
          <cell r="S106" t="str">
            <v>Realizar los ajustes de conformidad con las observaciones al SIIE realizada sen la visita</v>
          </cell>
          <cell r="T106" t="str">
            <v>Si</v>
          </cell>
          <cell r="U106" t="str">
            <v>Revisar la actualización del manual de convivencia en lo relacionado con el  SIIE con fecha límite el 31 de julio</v>
          </cell>
        </row>
        <row r="107">
          <cell r="A107">
            <v>2028</v>
          </cell>
          <cell r="B107">
            <v>11</v>
          </cell>
          <cell r="C107" t="str">
            <v>SUBA</v>
          </cell>
          <cell r="D107" t="str">
            <v>PRIVADO</v>
          </cell>
          <cell r="E107" t="str">
            <v>Educación de Jóvenes y Adultos</v>
          </cell>
          <cell r="F107" t="str">
            <v>NUEVO_INSTITUTO_SAN_MIGUEL</v>
          </cell>
          <cell r="G107" t="str">
            <v>NUEVO INSTITUTO SAN MIGUEL</v>
          </cell>
          <cell r="H107" t="str">
            <v>Autoevaluación Institucional y Pruebas SABER 11</v>
          </cell>
          <cell r="I107" t="str">
            <v>EVALUACIÓN_CON_FINES_DE_MEJORAMIENTO.</v>
          </cell>
          <cell r="J107" t="str">
            <v>Revisar el calendario escolar, jornada escolar, la intensidad horaria mínima anual en cada nivel y las modificaciones que se realicen al mismo, de acuerdo con lo previsto en la normatividad vigente.</v>
          </cell>
          <cell r="K107" t="str">
            <v>MARÍA LILIA MENDEZ DE BUITRAGO</v>
          </cell>
          <cell r="L107" t="str">
            <v>SONIA CONSTANZA URREGO GONZÁLEZ</v>
          </cell>
          <cell r="M107">
            <v>45735</v>
          </cell>
          <cell r="N107">
            <v>45777</v>
          </cell>
          <cell r="O107">
            <v>45777</v>
          </cell>
          <cell r="P107" t="str">
            <v>Visitas de evaluación con fines de mejoramiento</v>
          </cell>
          <cell r="Q107" t="str">
            <v>30042025 Acta de visita Nuevo Instituto San miguel.pdf</v>
          </cell>
          <cell r="R107" t="str">
            <v>La intensidad horaria y las horas mínimas anuales de cada ciclo se ajustan para los ciclos de básica, sin ambargo se deben revisar las horas mínimas para los ciclos de media</v>
          </cell>
          <cell r="S107" t="str">
            <v>Realizar ajuste al calendario académico y socializarlo con los estudianes, presentarlo para revisión antes del 16 de mayo</v>
          </cell>
          <cell r="T107" t="str">
            <v>Si</v>
          </cell>
          <cell r="U107" t="str">
            <v xml:space="preserve">Verificar el calendario escolar entregado y la socialización con los estudiantes con fecha límite el 31 de julio. </v>
          </cell>
        </row>
        <row r="108">
          <cell r="A108">
            <v>2029</v>
          </cell>
          <cell r="B108">
            <v>11</v>
          </cell>
          <cell r="C108" t="str">
            <v>SUBA</v>
          </cell>
          <cell r="D108" t="str">
            <v>PRIVADO</v>
          </cell>
          <cell r="E108" t="str">
            <v>Educación de Jóvenes y Adultos</v>
          </cell>
          <cell r="F108" t="str">
            <v>NUEVO_INSTITUTO_SAN_MIGUEL</v>
          </cell>
          <cell r="G108" t="str">
            <v>NUEVO INSTITUTO SAN MIGUEL</v>
          </cell>
          <cell r="H108" t="str">
            <v>Autoevaluación Institucional y Pruebas SABER 11</v>
          </cell>
          <cell r="I108" t="str">
            <v>EVALUACIÓN_CON_FINES_DE_MEJORAMIENTO.</v>
          </cell>
          <cell r="J108" t="str">
            <v>Verificar el funcionamiento del Gobierno Escolar e instancias de participación con base en la información sobre conformación reportada por la institución educativa.</v>
          </cell>
          <cell r="K108" t="str">
            <v>MARÍA LILIA MENDEZ DE BUITRAGO</v>
          </cell>
          <cell r="L108" t="str">
            <v>SONIA CONSTANZA URREGO GONZÁLEZ</v>
          </cell>
          <cell r="M108">
            <v>45735</v>
          </cell>
          <cell r="N108">
            <v>45777</v>
          </cell>
          <cell r="O108">
            <v>45777</v>
          </cell>
          <cell r="P108" t="str">
            <v>Visitas de evaluación con fines de mejoramiento</v>
          </cell>
          <cell r="Q108" t="str">
            <v>30042025 Acta de visita Nuevo Instituto San miguel.pdf</v>
          </cell>
          <cell r="R108" t="str">
            <v>Se evidenciaron las actas de conformación de gobierno escolar, las cuales deberán cargarse en el SAE. Sobre el funcionamiento no hay evidencia de que hayan sesionado.</v>
          </cell>
          <cell r="S108" t="str">
            <v>Cargar las actas de conformación en el aplicativo SAE Sesionar con cada órgano de gobierno de conformidad con la periodicidad establecida en la norma</v>
          </cell>
          <cell r="T108" t="str">
            <v>Si</v>
          </cell>
          <cell r="U108" t="str">
            <v>Verificar el SAE  y verificar las actas que evidenciens el funcionamiento de  los organos de gobierno para el segundo semestre .</v>
          </cell>
        </row>
        <row r="109">
          <cell r="A109">
            <v>2030</v>
          </cell>
          <cell r="B109">
            <v>11</v>
          </cell>
          <cell r="C109" t="str">
            <v>SUBA</v>
          </cell>
          <cell r="D109" t="str">
            <v>PRIVADO</v>
          </cell>
          <cell r="E109" t="str">
            <v>Educación de Jóvenes y Adultos</v>
          </cell>
          <cell r="F109" t="str">
            <v>NUEVO_INSTITUTO_SAN_MIGUEL</v>
          </cell>
          <cell r="G109" t="str">
            <v>NUEVO INSTITUTO SAN MIGUEL</v>
          </cell>
          <cell r="H109" t="str">
            <v>Autoevaluación Institucional y Pruebas SABER 11</v>
          </cell>
          <cell r="I109" t="str">
            <v>EVALUACIÓN_CON_FINES_DE_MEJORAMIENTO.</v>
          </cell>
          <cell r="J109" t="str">
            <v>Verificar las condiciones en cuanto a: la estructura administrativa, condiciones de la planta física y medios educativos adecuados.</v>
          </cell>
          <cell r="K109" t="str">
            <v>MARÍA LILIA MENDEZ DE BUITRAGO</v>
          </cell>
          <cell r="L109" t="str">
            <v>SONIA CONSTANZA URREGO GONZÁLEZ</v>
          </cell>
          <cell r="M109">
            <v>45735</v>
          </cell>
          <cell r="N109">
            <v>45777</v>
          </cell>
          <cell r="O109">
            <v>45777</v>
          </cell>
          <cell r="P109" t="str">
            <v>Visitas de evaluación con fines de mejoramiento</v>
          </cell>
          <cell r="Q109" t="str">
            <v>30042025 Acta de visita Nuevo Instituto San miguel.pdf</v>
          </cell>
          <cell r="R109" t="str">
            <v>Existen espacios para cada ambiente sin embargo se evidencian falta de organización y espacios idoneos</v>
          </cell>
          <cell r="S109" t="str">
            <v>Realizar restructuración y reorganización de espacios para laboratorios, sala de informática, orientación escolar y biblioteca ya que adolece de ellos, según las orientaciones realizadas e incoporar como actividad a realizar en el plan de mejoramiento .</v>
          </cell>
          <cell r="T109" t="str">
            <v>Si</v>
          </cell>
          <cell r="U109" t="str">
            <v>Revisar informe con registro fotograficos de la adecuación de s espacios una vez la IE entregue el plan mejoramiento y las evidencias de esta acción.</v>
          </cell>
        </row>
        <row r="110">
          <cell r="A110">
            <v>2031</v>
          </cell>
          <cell r="B110">
            <v>12</v>
          </cell>
          <cell r="C110" t="str">
            <v>SUBA</v>
          </cell>
          <cell r="D110" t="str">
            <v>PRIVADO</v>
          </cell>
          <cell r="E110" t="str">
            <v>Educación de Jóvenes y Adultos</v>
          </cell>
          <cell r="F110" t="str">
            <v>INSTITUTO_INTEGRADO_DE_SUBA_</v>
          </cell>
          <cell r="G110" t="str">
            <v>INSTITUTO INTEGRADO DE SUBA</v>
          </cell>
          <cell r="H110" t="str">
            <v>Autoevaluación Institucional y Pruebas SABER 11</v>
          </cell>
          <cell r="I110" t="str">
            <v>SEGUIMIENTO_Y_SUPERVISIÓN.</v>
          </cell>
          <cell r="J110"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110" t="str">
            <v>JUAN MANUEL SANCHEZ MORA</v>
          </cell>
          <cell r="L110" t="str">
            <v>MARTHA RUT SILVA ABRIL</v>
          </cell>
          <cell r="M110">
            <v>45804</v>
          </cell>
          <cell r="N110">
            <v>45863</v>
          </cell>
          <cell r="O110">
            <v>45863</v>
          </cell>
          <cell r="P110" t="str">
            <v>Visitas de evaluación con fines de seguimiento</v>
          </cell>
          <cell r="Q110" t="str">
            <v>ACTA DE VISITA INST INTEGRADO DE SUBA.pdf</v>
          </cell>
          <cell r="R110" t="str">
            <v>Se observó que la institucion educativa no cargo el plan de mejoramiento en el aplicativo EVI, sin embargo, ha realizado adecuaciones en el PEI y la planta fisica, se encuentra en proceso de mejora.</v>
          </cell>
          <cell r="S110" t="str">
            <v>Reportar plan de mejoramiento en el aplicativo EVI y continuar con la mejoras respectivas.</v>
          </cell>
          <cell r="T110" t="str">
            <v>Si</v>
          </cell>
          <cell r="U110" t="str">
            <v>Verficar la informacion del plan de mejoramiento fijado para el 12 de septiembre de 2025.</v>
          </cell>
        </row>
        <row r="111">
          <cell r="A111">
            <v>2032</v>
          </cell>
          <cell r="B111">
            <v>12</v>
          </cell>
          <cell r="C111" t="str">
            <v>SUBA</v>
          </cell>
          <cell r="D111" t="str">
            <v>PRIVADO</v>
          </cell>
          <cell r="E111" t="str">
            <v>Educación de Jóvenes y Adultos</v>
          </cell>
          <cell r="F111" t="str">
            <v>INSTITUTO_INTEGRADO_DE_SUBA_</v>
          </cell>
          <cell r="G111" t="str">
            <v>INSTITUTO INTEGRADO DE SUBA</v>
          </cell>
          <cell r="H111" t="str">
            <v>Autoevaluación Institucional y Pruebas SABER 11</v>
          </cell>
          <cell r="I111" t="str">
            <v>SEGUIMIENTO_Y_SUPERVISIÓN.</v>
          </cell>
          <cell r="J111" t="str">
            <v>Realizar visitas para verificar la información registrada sobre la autoevaluación institucional en el aplicativo EVI, a los establecimientos de educación formal no oficial.</v>
          </cell>
          <cell r="K111" t="str">
            <v>JUAN MANUEL SANCHEZ MORA</v>
          </cell>
          <cell r="L111" t="str">
            <v>MARTHA RUT SILVA ABRIL</v>
          </cell>
          <cell r="M111">
            <v>45804</v>
          </cell>
          <cell r="N111">
            <v>45863</v>
          </cell>
          <cell r="O111">
            <v>45863</v>
          </cell>
          <cell r="P111" t="str">
            <v>Visitas de evaluación con fines de seguimiento</v>
          </cell>
          <cell r="Q111" t="str">
            <v>ACTA DE VISITA INST INTEGRADO DE SUBA.pdf</v>
          </cell>
          <cell r="R111" t="str">
            <v>Se observó que la institucion educativa diligenció la autoevaluacion en el aplicativo EVI, sinembargo, lo reportado no correponde con los pagos a seguridad social integral y parafiscales, asi como los contratos laborles, espacios pedogicos.</v>
          </cell>
          <cell r="S111" t="str">
            <v>Reportar plan de mejoramiento en el aplicativo EVI y continuar con la mejoras respectivas.</v>
          </cell>
          <cell r="T111" t="str">
            <v>Si</v>
          </cell>
          <cell r="U111" t="str">
            <v>Verficar la informacion del plan de mejoramiento fijado para el 12 de septiembre de 2025.</v>
          </cell>
        </row>
        <row r="112">
          <cell r="A112">
            <v>2033</v>
          </cell>
          <cell r="B112">
            <v>12</v>
          </cell>
          <cell r="C112" t="str">
            <v>SUBA</v>
          </cell>
          <cell r="D112" t="str">
            <v>PRIVADO</v>
          </cell>
          <cell r="E112" t="str">
            <v>Educación de Jóvenes y Adultos</v>
          </cell>
          <cell r="F112" t="str">
            <v>INSTITUTO_INTEGRADO_DE_SUBA_</v>
          </cell>
          <cell r="G112" t="str">
            <v>INSTITUTO INTEGRADO DE SUBA</v>
          </cell>
          <cell r="H112" t="str">
            <v>Autoevaluación Institucional y Pruebas SABER 11</v>
          </cell>
          <cell r="I112" t="str">
            <v>SEGUIMIENTO_Y_SUPERVISIÓN.</v>
          </cell>
          <cell r="J112" t="str">
            <v>Proponer estrategias en la formulación, verificar su elaboración y realizar seguimiento semestral al desarrollo de  las acciones establecidas en los planes de mejoramiento por pruebas SABER 11 de los establecimientos de educación formal.</v>
          </cell>
          <cell r="K112" t="str">
            <v>JUAN MANUEL SANCHEZ MORA</v>
          </cell>
          <cell r="L112" t="str">
            <v>MARTHA RUT SILVA ABRIL</v>
          </cell>
          <cell r="M112">
            <v>45804</v>
          </cell>
          <cell r="N112">
            <v>45863</v>
          </cell>
          <cell r="O112">
            <v>45863</v>
          </cell>
          <cell r="P112" t="str">
            <v>Visitas de evaluación con fines de seguimiento</v>
          </cell>
          <cell r="Q112" t="str">
            <v>ACTA DE VISITA INST INTEGRADO DE SUBA.pdf</v>
          </cell>
          <cell r="R112" t="str">
            <v>Se observó que la institución educativa no cuenta con estrategias producto del análisis de los resultados de la pruebas SABER 11 e implentación de acciones de seguimiento.</v>
          </cell>
          <cell r="S112" t="str">
            <v>Diseñar estrategias para la revisión y análisis de los últimos resultados de las pruebas SABER 11, así mismo, en la implementación de las acciones de seguimiento.</v>
          </cell>
          <cell r="T112" t="str">
            <v>Si</v>
          </cell>
          <cell r="U112" t="str">
            <v>Verficar la informacion del plan de mejoramiento fijado para el 12 de septiembre de 2025.</v>
          </cell>
        </row>
        <row r="113">
          <cell r="A113">
            <v>2034</v>
          </cell>
          <cell r="B113">
            <v>12</v>
          </cell>
          <cell r="C113" t="str">
            <v>SUBA</v>
          </cell>
          <cell r="D113" t="str">
            <v>PRIVADO</v>
          </cell>
          <cell r="E113" t="str">
            <v>Educación de Jóvenes y Adultos</v>
          </cell>
          <cell r="F113" t="str">
            <v>INSTITUTO_INTEGRADO_DE_SUBA_</v>
          </cell>
          <cell r="G113" t="str">
            <v>INSTITUTO INTEGRADO DE SUBA</v>
          </cell>
          <cell r="H113" t="str">
            <v>Autoevaluación Institucional y Pruebas SABER 11</v>
          </cell>
          <cell r="I113" t="str">
            <v>SEGUIMIENTO_Y_SUPERVISIÓN.</v>
          </cell>
          <cell r="J113" t="str">
            <v xml:space="preserve">Verificar la implementación por parte de los colegios, de acciones realizadas para la prevención y atención de las situaciones de convivencia en el entorno escolar, según lo establecido en la Directiva 01 de 2022 del MEN. </v>
          </cell>
          <cell r="K113" t="str">
            <v>JUAN MANUEL SANCHEZ MORA</v>
          </cell>
          <cell r="L113" t="str">
            <v>MARTHA RUT SILVA ABRIL</v>
          </cell>
          <cell r="M113">
            <v>45804</v>
          </cell>
          <cell r="N113">
            <v>45863</v>
          </cell>
          <cell r="O113">
            <v>45863</v>
          </cell>
          <cell r="P113" t="str">
            <v>Visitas de evaluación con fines de seguimiento</v>
          </cell>
          <cell r="Q113" t="str">
            <v>ACTA DE VISITA INST INTEGRADO DE SUBA.pdf</v>
          </cell>
          <cell r="R113" t="str">
            <v>Se obervó que la institución educativa realiza la consulta en el sistema de inhabilidades por delitos sexuales al momento de la vinculación del personal.</v>
          </cell>
          <cell r="S113" t="str">
            <v>Continuar cumpliendo con la Directiva 01 de 2022 del MEN en el sentido de realizar la consulta de inhabilidades por deitos sexuales cada 4 meses de todo el personal que labora en el plantel.</v>
          </cell>
          <cell r="T113" t="str">
            <v>No</v>
          </cell>
          <cell r="U113" t="str">
            <v>Verficar la informacion del plan de mejoramiento fijado para el 12 de septiembre de 2025.</v>
          </cell>
        </row>
        <row r="114">
          <cell r="A114">
            <v>2035</v>
          </cell>
          <cell r="B114">
            <v>12</v>
          </cell>
          <cell r="C114" t="str">
            <v>SUBA</v>
          </cell>
          <cell r="D114" t="str">
            <v>PRIVADO</v>
          </cell>
          <cell r="E114" t="str">
            <v>Educación de Jóvenes y Adultos</v>
          </cell>
          <cell r="F114" t="str">
            <v>INSTITUTO_INTEGRADO_DE_SUBA_</v>
          </cell>
          <cell r="G114" t="str">
            <v>INSTITUTO INTEGRADO DE SUBA</v>
          </cell>
          <cell r="H114" t="str">
            <v>Autoevaluación Institucional y Pruebas SABER 11</v>
          </cell>
          <cell r="I114" t="str">
            <v>SEGUIMIENTO_Y_SUPERVISIÓN.</v>
          </cell>
          <cell r="J11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4" t="str">
            <v>JUAN MANUEL SANCHEZ MORA</v>
          </cell>
          <cell r="L114" t="str">
            <v>MARTHA RUT SILVA ABRIL</v>
          </cell>
          <cell r="M114">
            <v>45804</v>
          </cell>
          <cell r="N114">
            <v>45863</v>
          </cell>
          <cell r="O114">
            <v>45863</v>
          </cell>
          <cell r="P114" t="str">
            <v>Visitas de evaluación con fines de seguimiento</v>
          </cell>
          <cell r="Q114" t="str">
            <v>ACTA DE VISITA INST INTEGRADO DE SUBA.pdf</v>
          </cell>
          <cell r="R114" t="str">
            <v>Se evidenció que la institucion no cuenta con Planes Individuales de Ajustes Razonables -PIAR, en marco del Decreto 1421 de 2017, por cuanto no tiene estudiantes con discapacidad.</v>
          </cell>
          <cell r="S114" t="str">
            <v>Estructurar un modelo de PIAR acorde con lo establecido en la norma.</v>
          </cell>
          <cell r="T114" t="str">
            <v>Si</v>
          </cell>
          <cell r="U114" t="str">
            <v>Verficar la informacion del plan de mejoramiento fijado para el 12 de septiembre de 2025.</v>
          </cell>
        </row>
        <row r="115">
          <cell r="A115">
            <v>2036</v>
          </cell>
          <cell r="B115">
            <v>12</v>
          </cell>
          <cell r="C115" t="str">
            <v>SUBA</v>
          </cell>
          <cell r="D115" t="str">
            <v>PRIVADO</v>
          </cell>
          <cell r="E115" t="str">
            <v>Educación de Jóvenes y Adultos</v>
          </cell>
          <cell r="F115" t="str">
            <v>INSTITUTO_INTEGRADO_DE_SUBA_</v>
          </cell>
          <cell r="G115" t="str">
            <v>INSTITUTO INTEGRADO DE SUBA</v>
          </cell>
          <cell r="H115" t="str">
            <v>Autoevaluación Institucional y Pruebas SABER 11</v>
          </cell>
          <cell r="I115" t="str">
            <v>EVALUACIÓN_CON_FINES_DE_MEJORAMIENTO.</v>
          </cell>
          <cell r="J11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5" t="str">
            <v>JUAN MANUEL SANCHEZ MORA</v>
          </cell>
          <cell r="L115" t="str">
            <v>MARTHA RUT SILVA ABRIL</v>
          </cell>
          <cell r="M115">
            <v>45804</v>
          </cell>
          <cell r="N115">
            <v>45863</v>
          </cell>
          <cell r="O115">
            <v>45863</v>
          </cell>
          <cell r="P115" t="str">
            <v>Visitas de evaluación con fines de mejoramiento</v>
          </cell>
          <cell r="Q115" t="str">
            <v>ACTA DE VISITA INST INTEGRADO DE SUBA.pdf</v>
          </cell>
          <cell r="R115" t="str">
            <v>Se observó que el manual de convivencia no fue socializado, ni debidamente adoptado por los respectivos órganos del gobierno escolar, tampoco cuenta con los procolos de atención.</v>
          </cell>
          <cell r="S115" t="str">
            <v>Ajustar y adoptar el manual de convivencia de conformidad con lo establecido en la Decreto 1075 de 2015 y la Ley 1620 de 2013</v>
          </cell>
          <cell r="T115" t="str">
            <v>Si</v>
          </cell>
          <cell r="U115" t="str">
            <v>Verficar la informacion del plan de mejoramiento fijado para el 12 de septiembre de 2025.</v>
          </cell>
        </row>
        <row r="116">
          <cell r="A116">
            <v>2037</v>
          </cell>
          <cell r="B116">
            <v>12</v>
          </cell>
          <cell r="C116" t="str">
            <v>SUBA</v>
          </cell>
          <cell r="D116" t="str">
            <v>PRIVADO</v>
          </cell>
          <cell r="E116" t="str">
            <v>Educación de Jóvenes y Adultos</v>
          </cell>
          <cell r="F116" t="str">
            <v>INSTITUTO_INTEGRADO_DE_SUBA_</v>
          </cell>
          <cell r="G116" t="str">
            <v>INSTITUTO INTEGRADO DE SUBA</v>
          </cell>
          <cell r="H116" t="str">
            <v>Autoevaluación Institucional y Pruebas SABER 11</v>
          </cell>
          <cell r="I116" t="str">
            <v>EVALUACIÓN_CON_FINES_DE_MEJORAMIENTO.</v>
          </cell>
          <cell r="J116" t="str">
            <v>Revisar la actualización, socialización e implementación del Sistema Institucional de Evaluación de Estudiantes - SIEE, en articulación con la actualización del PEI y la normatividad vigente.</v>
          </cell>
          <cell r="K116" t="str">
            <v>JUAN MANUEL SANCHEZ MORA</v>
          </cell>
          <cell r="L116" t="str">
            <v>MARTHA RUT SILVA ABRIL</v>
          </cell>
          <cell r="M116">
            <v>45804</v>
          </cell>
          <cell r="N116">
            <v>45863</v>
          </cell>
          <cell r="O116">
            <v>45863</v>
          </cell>
          <cell r="P116" t="str">
            <v>Visitas de evaluación con fines de mejoramiento</v>
          </cell>
          <cell r="Q116" t="str">
            <v>ACTA DE VISITA INST INTEGRADO DE SUBA.pdf</v>
          </cell>
          <cell r="R116" t="str">
            <v>Se observó desactualizacion de SIEE, sin articulacion con el PEI</v>
          </cell>
          <cell r="S116" t="str">
            <v>Realizar actualzación del SIEE en articulación con el PEI de conformidad con los lineamientos establecidos en la norma.</v>
          </cell>
          <cell r="T116" t="str">
            <v>Si</v>
          </cell>
          <cell r="U116" t="str">
            <v>Verficar la informacion del plan de mejoramiento fijado para el 12 de septiembre de 2025.</v>
          </cell>
        </row>
        <row r="117">
          <cell r="A117">
            <v>2038</v>
          </cell>
          <cell r="B117">
            <v>12</v>
          </cell>
          <cell r="C117" t="str">
            <v>SUBA</v>
          </cell>
          <cell r="D117" t="str">
            <v>PRIVADO</v>
          </cell>
          <cell r="E117" t="str">
            <v>Educación de Jóvenes y Adultos</v>
          </cell>
          <cell r="F117" t="str">
            <v>INSTITUTO_INTEGRADO_DE_SUBA_</v>
          </cell>
          <cell r="G117" t="str">
            <v>INSTITUTO INTEGRADO DE SUBA</v>
          </cell>
          <cell r="H117" t="str">
            <v>Autoevaluación Institucional y Pruebas SABER 11</v>
          </cell>
          <cell r="I117" t="str">
            <v>EVALUACIÓN_CON_FINES_DE_MEJORAMIENTO.</v>
          </cell>
          <cell r="J117" t="str">
            <v>Revisar el calendario escolar, jornada escolar, la intensidad horaria mínima anual en cada nivel y las modificaciones que se realicen al mismo, de acuerdo con lo previsto en la normatividad vigente.</v>
          </cell>
          <cell r="K117" t="str">
            <v>JUAN MANUEL SANCHEZ MORA</v>
          </cell>
          <cell r="L117" t="str">
            <v>MARTHA RUT SILVA ABRIL</v>
          </cell>
          <cell r="M117">
            <v>45804</v>
          </cell>
          <cell r="N117">
            <v>45863</v>
          </cell>
          <cell r="O117">
            <v>45863</v>
          </cell>
          <cell r="P117" t="str">
            <v>Visitas de evaluación con fines de mejoramiento</v>
          </cell>
          <cell r="Q117" t="str">
            <v>ACTA DE VISITA INST INTEGRADO DE SUBA.pdf</v>
          </cell>
          <cell r="R117" t="str">
            <v>Se observó que el calendario académico se ajusta a las intensidades mínimas establecidas.</v>
          </cell>
          <cell r="S117" t="str">
            <v>Continuar con el reporte y la ejecución del calendario académico.</v>
          </cell>
          <cell r="T117" t="str">
            <v>Si</v>
          </cell>
          <cell r="U117" t="str">
            <v>Verficar la informacion del plan de mejoramiento fijado para el 12 de septiembre de 2025.</v>
          </cell>
        </row>
        <row r="118">
          <cell r="A118">
            <v>2039</v>
          </cell>
          <cell r="B118">
            <v>12</v>
          </cell>
          <cell r="C118" t="str">
            <v>SUBA</v>
          </cell>
          <cell r="D118" t="str">
            <v>PRIVADO</v>
          </cell>
          <cell r="E118" t="str">
            <v>Educación de Jóvenes y Adultos</v>
          </cell>
          <cell r="F118" t="str">
            <v>INSTITUTO_INTEGRADO_DE_SUBA_</v>
          </cell>
          <cell r="G118" t="str">
            <v>INSTITUTO INTEGRADO DE SUBA</v>
          </cell>
          <cell r="H118" t="str">
            <v>Autoevaluación Institucional y Pruebas SABER 11</v>
          </cell>
          <cell r="I118" t="str">
            <v>EVALUACIÓN_CON_FINES_DE_MEJORAMIENTO.</v>
          </cell>
          <cell r="J118" t="str">
            <v>Verificar el funcionamiento del Gobierno Escolar e instancias de participación con base en la información sobre conformación reportada por la institución educativa.</v>
          </cell>
          <cell r="K118" t="str">
            <v>JUAN MANUEL SANCHEZ MORA</v>
          </cell>
          <cell r="L118" t="str">
            <v>MARTHA RUT SILVA ABRIL</v>
          </cell>
          <cell r="M118">
            <v>45804</v>
          </cell>
          <cell r="N118">
            <v>45863</v>
          </cell>
          <cell r="O118">
            <v>45863</v>
          </cell>
          <cell r="P118" t="str">
            <v>Visitas de evaluación con fines de mejoramiento</v>
          </cell>
          <cell r="Q118" t="str">
            <v>ACTA DE VISITA INST INTEGRADO DE SUBA.pdf</v>
          </cell>
          <cell r="R118" t="str">
            <v>Se observó actas de conformación del gobierno escolar y registro de actas de funcionamiento, sin embargo, no se encontró conformación de la Comisión de Evaluación y Promoción.</v>
          </cell>
          <cell r="S118" t="str">
            <v>Continuar con el funcionamiento de gobierno escolar y realizar la conformación,de la Comisión de Evaluación y Promoción así como la operatividad .</v>
          </cell>
          <cell r="T118" t="str">
            <v>Si</v>
          </cell>
          <cell r="U118" t="str">
            <v>Verficar la informacion del plan de mejoramiento fijado para el 12 de septiembre de 2025.</v>
          </cell>
        </row>
        <row r="119">
          <cell r="A119">
            <v>2040</v>
          </cell>
          <cell r="B119">
            <v>12</v>
          </cell>
          <cell r="C119" t="str">
            <v>SUBA</v>
          </cell>
          <cell r="D119" t="str">
            <v>PRIVADO</v>
          </cell>
          <cell r="E119" t="str">
            <v>Educación de Jóvenes y Adultos</v>
          </cell>
          <cell r="F119" t="str">
            <v>INSTITUTO_INTEGRADO_DE_SUBA_</v>
          </cell>
          <cell r="G119" t="str">
            <v>INSTITUTO INTEGRADO DE SUBA</v>
          </cell>
          <cell r="H119" t="str">
            <v>Autoevaluación Institucional y Pruebas SABER 11</v>
          </cell>
          <cell r="I119" t="str">
            <v>EVALUACIÓN_CON_FINES_DE_MEJORAMIENTO.</v>
          </cell>
          <cell r="J119" t="str">
            <v>Verificar las condiciones en cuanto a: la estructura administrativa, condiciones de la planta física y medios educativos adecuados.</v>
          </cell>
          <cell r="K119" t="str">
            <v>JUAN MANUEL SANCHEZ MORA</v>
          </cell>
          <cell r="L119" t="str">
            <v>MARTHA RUT SILVA ABRIL</v>
          </cell>
          <cell r="M119">
            <v>45804</v>
          </cell>
          <cell r="N119">
            <v>45863</v>
          </cell>
          <cell r="O119">
            <v>45863</v>
          </cell>
          <cell r="P119" t="str">
            <v>Visitas de evaluación con fines de mejoramiento</v>
          </cell>
          <cell r="Q119" t="str">
            <v>ACTA DE VISITA INST INTEGRADO DE SUBA.pdf</v>
          </cell>
          <cell r="R119" t="str">
            <v>Se observó que la planta física requiere continuar mejorando, en espacios pedagógicos, como sala de profesores, servicio de orentación escolar, entre otros.</v>
          </cell>
          <cell r="S119" t="str">
            <v>Continuar con la adecuación de los espacios pedagógicos y recreativos.</v>
          </cell>
          <cell r="T119" t="str">
            <v>Si</v>
          </cell>
          <cell r="U119" t="str">
            <v>Verficar la informacion del plan de mejoramiento fijado para el 12 de septiembre de 2025.</v>
          </cell>
        </row>
        <row r="120">
          <cell r="A120">
            <v>2041</v>
          </cell>
          <cell r="B120">
            <v>13</v>
          </cell>
          <cell r="C120" t="str">
            <v>SUBA</v>
          </cell>
          <cell r="D120" t="str">
            <v>PRIVADO</v>
          </cell>
          <cell r="E120" t="str">
            <v>Educación de Jóvenes y Adultos</v>
          </cell>
          <cell r="F120" t="str">
            <v>INSTITUTO_CENTRAL_DE_ESTUDIOS</v>
          </cell>
          <cell r="G120" t="str">
            <v>INSTITUTO CENTRAL DE ESTUDIOS</v>
          </cell>
          <cell r="H120" t="str">
            <v>Autoevaluación Institucional y Pruebas SABER 11</v>
          </cell>
          <cell r="I120" t="str">
            <v>SEGUIMIENTO_Y_SUPERVISIÓN.</v>
          </cell>
          <cell r="J120" t="str">
            <v>Realizar visitas para verificar la información registrada sobre la autoevaluación institucional en el aplicativo EVI, a los establecimientos de educación formal no oficial.</v>
          </cell>
          <cell r="K120" t="str">
            <v>JENNIFFER ESPERANZA GONZÁLEZ GÓMEZ</v>
          </cell>
          <cell r="L120" t="str">
            <v>SONIA YAMILE ARTEAGA MELO</v>
          </cell>
          <cell r="M120">
            <v>45742</v>
          </cell>
          <cell r="N120">
            <v>45744</v>
          </cell>
          <cell r="O120">
            <v>45744</v>
          </cell>
          <cell r="P120" t="str">
            <v>Visitas de evaluación con fines de seguimiento</v>
          </cell>
          <cell r="Q120" t="str">
            <v>28032025 Instituto Central de estudios.pdf</v>
          </cell>
          <cell r="R120" t="str">
            <v>Se evidencio que la instittución no ha diligenciado el aplicativo EVI, por lo cual se realizaron requerimientos respecto a docentes, baños, computadores, horas mínimas en calendario académico con el fin de verificar aspectos que se requieren para el diligenciamiento del aplicativo EVI</v>
          </cell>
          <cell r="S120" t="str">
            <v>Realizar la revisión de la normatividad relacionada con las tarifas y  diligenciar la plataforma para la vigencia 2026  de  manera competa. Elaborar plan de mejoramiento sobre todos los indicadores y remitirlo  antes del 20 de abril</v>
          </cell>
          <cell r="T120" t="str">
            <v>Si</v>
          </cell>
          <cell r="U120" t="str">
            <v>Verificar el diligenciamiento y publicación de documentos en el aplicativo EVI para la vigencia 2026.</v>
          </cell>
        </row>
        <row r="121">
          <cell r="A121">
            <v>2042</v>
          </cell>
          <cell r="B121">
            <v>13</v>
          </cell>
          <cell r="C121" t="str">
            <v>SUBA</v>
          </cell>
          <cell r="D121" t="str">
            <v>PRIVADO</v>
          </cell>
          <cell r="E121" t="str">
            <v>Educación de Jóvenes y Adultos</v>
          </cell>
          <cell r="F121" t="str">
            <v>INSTITUTO_CENTRAL_DE_ESTUDIOS</v>
          </cell>
          <cell r="G121" t="str">
            <v>INSTITUTO CENTRAL DE ESTUDIOS</v>
          </cell>
          <cell r="H121" t="str">
            <v>Autoevaluación Institucional y Pruebas SABER 11</v>
          </cell>
          <cell r="I121" t="str">
            <v>SEGUIMIENTO_Y_SUPERVISIÓN.</v>
          </cell>
          <cell r="J121" t="str">
            <v>Proponer estrategias en la formulación, verificar su elaboración y realizar seguimiento semestral al desarrollo de  las acciones establecidas en los planes de mejoramiento por pruebas SABER 11 de los establecimientos de educación formal.</v>
          </cell>
          <cell r="K121" t="str">
            <v>JENNIFFER ESPERANZA GONZÁLEZ GÓMEZ</v>
          </cell>
          <cell r="L121" t="str">
            <v>SONIA YAMILE ARTEAGA MELO</v>
          </cell>
          <cell r="M121">
            <v>45742</v>
          </cell>
          <cell r="N121">
            <v>45744</v>
          </cell>
          <cell r="O121">
            <v>45744</v>
          </cell>
          <cell r="P121" t="str">
            <v>Visitas de evaluación con fines de seguimiento</v>
          </cell>
          <cell r="Q121" t="str">
            <v>28032025 Instituto Central de estudios.pdf</v>
          </cell>
          <cell r="R121" t="str">
            <v>Se verificó el bajo resultado en las  Pruebas saber y la retroaliemntación realizada por los docentesa cerca de la evaluación de las  causales, asignaturas con más bajo resultado  y acciones de mejora.</v>
          </cell>
          <cell r="S121" t="str">
            <v>Revisar los resultados y la relación con las asignaturas del plan de estudio. Elaborar plan de mejoramiento sobre todos los indicadores y remitirlo a la DLE antes del 20 de abril</v>
          </cell>
          <cell r="T121" t="str">
            <v>Si</v>
          </cell>
          <cell r="U121" t="str">
            <v>Verificar los resultados y las acciones en las asignaturas que presentan puntajes más bajos en la próxima calificación de las pruebas</v>
          </cell>
        </row>
        <row r="122">
          <cell r="A122">
            <v>2043</v>
          </cell>
          <cell r="B122">
            <v>13</v>
          </cell>
          <cell r="C122" t="str">
            <v>SUBA</v>
          </cell>
          <cell r="D122" t="str">
            <v>PRIVADO</v>
          </cell>
          <cell r="E122" t="str">
            <v>Educación de Jóvenes y Adultos</v>
          </cell>
          <cell r="F122" t="str">
            <v>INSTITUTO_CENTRAL_DE_ESTUDIOS</v>
          </cell>
          <cell r="G122" t="str">
            <v>INSTITUTO CENTRAL DE ESTUDIOS</v>
          </cell>
          <cell r="H122" t="str">
            <v>Autoevaluación Institucional y Pruebas SABER 11</v>
          </cell>
          <cell r="I122" t="str">
            <v>SEGUIMIENTO_Y_SUPERVISIÓN.</v>
          </cell>
          <cell r="J122" t="str">
            <v xml:space="preserve">Verificar la implementación por parte de los colegios, de acciones realizadas para la prevención y atención de las situaciones de convivencia en el entorno escolar, según lo establecido en la Directiva 01 de 2022 del MEN. </v>
          </cell>
          <cell r="K122" t="str">
            <v>JENNIFFER ESPERANZA GONZÁLEZ GÓMEZ</v>
          </cell>
          <cell r="L122" t="str">
            <v>SONIA YAMILE ARTEAGA MELO</v>
          </cell>
          <cell r="M122">
            <v>45742</v>
          </cell>
          <cell r="N122">
            <v>45744</v>
          </cell>
          <cell r="O122">
            <v>45744</v>
          </cell>
          <cell r="P122" t="str">
            <v>Visitas de evaluación con fines de seguimiento</v>
          </cell>
          <cell r="Q122" t="str">
            <v>28032025 Instituto Central de estudios.pdf</v>
          </cell>
          <cell r="R122" t="str">
            <v>Se verificaron las consulta en la página de la policia de los antecedentes de los docentes de conformidad a la directiva  001 del 2022, del mes de febrero. se encuentra que no tienen acceso al sistemas y de alertas y no han tenido conflictos que ameriten la activación de rutas.</v>
          </cell>
          <cell r="S122" t="str">
            <v xml:space="preserve">Continuar con las consultas en la pagina de antecedentes sexuales. Solicitar la clave y usuario del sistema de alertas e incluir y desarollar en el manual de convivencia los protocolos de atención </v>
          </cell>
          <cell r="T122" t="str">
            <v>si</v>
          </cell>
          <cell r="U122" t="str">
            <v>Verificar las modificaciones en manual de convivencia respecto a los protocolos de atención revisión que se llevará a cabo con fecha limite 31 de julio</v>
          </cell>
        </row>
        <row r="123">
          <cell r="A123">
            <v>2044</v>
          </cell>
          <cell r="B123">
            <v>13</v>
          </cell>
          <cell r="C123" t="str">
            <v>SUBA</v>
          </cell>
          <cell r="D123" t="str">
            <v>PRIVADO</v>
          </cell>
          <cell r="E123" t="str">
            <v>Educación de Jóvenes y Adultos</v>
          </cell>
          <cell r="F123" t="str">
            <v>INSTITUTO_CENTRAL_DE_ESTUDIOS</v>
          </cell>
          <cell r="G123" t="str">
            <v>INSTITUTO CENTRAL DE ESTUDIOS</v>
          </cell>
          <cell r="H123" t="str">
            <v>Autoevaluación Institucional y Pruebas SABER 11</v>
          </cell>
          <cell r="I123" t="str">
            <v>SEGUIMIENTO_Y_SUPERVISIÓN.</v>
          </cell>
          <cell r="J12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3" t="str">
            <v>JENNIFFER ESPERANZA GONZÁLEZ GÓMEZ</v>
          </cell>
          <cell r="L123" t="str">
            <v>SONIA YAMILE ARTEAGA MELO</v>
          </cell>
          <cell r="M123">
            <v>45742</v>
          </cell>
          <cell r="N123">
            <v>45744</v>
          </cell>
          <cell r="O123">
            <v>45744</v>
          </cell>
          <cell r="P123" t="str">
            <v>Visitas de evaluación con fines de seguimiento</v>
          </cell>
          <cell r="Q123" t="str">
            <v>28032025 Instituto Central de estudios.pdf</v>
          </cell>
          <cell r="R123" t="str">
            <v>Se evidenció en el SIMAT que el colegio no tiene estudiantes matriculados en condición de discapacidad; además  la rectora manifiesta que no tiene estudiantes diagnosticados con talentos excepcionales y trastornos de aprendizaje a la fecha.</v>
          </cell>
          <cell r="S123"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20 de abril</v>
          </cell>
          <cell r="T123" t="str">
            <v>Si</v>
          </cell>
          <cell r="U123" t="str">
            <v>Verificar las modificaciones en manual de convivencia respecto a la poblacion con discapacidad.con fecha límite el 31 de julio</v>
          </cell>
        </row>
        <row r="124">
          <cell r="A124">
            <v>2045</v>
          </cell>
          <cell r="B124">
            <v>13</v>
          </cell>
          <cell r="C124" t="str">
            <v>SUBA</v>
          </cell>
          <cell r="D124" t="str">
            <v>PRIVADO</v>
          </cell>
          <cell r="E124" t="str">
            <v>Educación de Jóvenes y Adultos</v>
          </cell>
          <cell r="F124" t="str">
            <v>INSTITUTO_CENTRAL_DE_ESTUDIOS</v>
          </cell>
          <cell r="G124" t="str">
            <v>INSTITUTO CENTRAL DE ESTUDIOS</v>
          </cell>
          <cell r="H124" t="str">
            <v>Autoevaluación Institucional y Pruebas SABER 11</v>
          </cell>
          <cell r="I124" t="str">
            <v>EVALUACIÓN_CON_FINES_DE_MEJORAMIENTO.</v>
          </cell>
          <cell r="J12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4" t="str">
            <v>JENNIFFER ESPERANZA GONZÁLEZ GÓMEZ</v>
          </cell>
          <cell r="L124" t="str">
            <v>SONIA YAMILE ARTEAGA MELO</v>
          </cell>
          <cell r="M124">
            <v>45742</v>
          </cell>
          <cell r="N124">
            <v>45744</v>
          </cell>
          <cell r="O124">
            <v>45744</v>
          </cell>
          <cell r="P124" t="str">
            <v>Visitas de evaluación con fines de mejoramiento</v>
          </cell>
          <cell r="Q124" t="str">
            <v>28032025 Instituto Central de estudios.pdf</v>
          </cell>
          <cell r="R124" t="str">
            <v>Se encontro que al revisar el manual de convivencia , con la última actualización, falta añadir algunas normas en el marco jurídico, falta desarrollar lo que tiene que ver con protocolos de atencion, entre otros.</v>
          </cell>
          <cell r="S124" t="str">
            <v>Realizar la actualización del manuel convivencia.            Elaborar plan de mejoramiento sobre todos los indicadores y remitirlo a la DLE antes del 20 de abril</v>
          </cell>
          <cell r="T124" t="str">
            <v>Si</v>
          </cell>
          <cell r="U124" t="str">
            <v>Revisar la actualización del manual de convivencia ccon fecha límite el 31 de julio</v>
          </cell>
        </row>
        <row r="125">
          <cell r="A125">
            <v>2046</v>
          </cell>
          <cell r="B125">
            <v>13</v>
          </cell>
          <cell r="C125" t="str">
            <v>SUBA</v>
          </cell>
          <cell r="D125" t="str">
            <v>PRIVADO</v>
          </cell>
          <cell r="E125" t="str">
            <v>Educación de Jóvenes y Adultos</v>
          </cell>
          <cell r="F125" t="str">
            <v>INSTITUTO_CENTRAL_DE_ESTUDIOS</v>
          </cell>
          <cell r="G125" t="str">
            <v>INSTITUTO CENTRAL DE ESTUDIOS</v>
          </cell>
          <cell r="H125" t="str">
            <v>Autoevaluación Institucional y Pruebas SABER 11</v>
          </cell>
          <cell r="I125" t="str">
            <v>EVALUACIÓN_CON_FINES_DE_MEJORAMIENTO.</v>
          </cell>
          <cell r="J125" t="str">
            <v>Revisar la actualización, socialización e implementación del Sistema Institucional de Evaluación de Estudiantes - SIEE, en articulación con la actualización del PEI y la normatividad vigente.</v>
          </cell>
          <cell r="K125" t="str">
            <v>JENNIFFER ESPERANZA GONZÁLEZ GÓMEZ</v>
          </cell>
          <cell r="L125" t="str">
            <v>SONIA YAMILE ARTEAGA MELO</v>
          </cell>
          <cell r="M125">
            <v>45742</v>
          </cell>
          <cell r="N125">
            <v>45744</v>
          </cell>
          <cell r="O125">
            <v>45744</v>
          </cell>
          <cell r="P125" t="str">
            <v>Visitas de evaluación con fines de mejoramiento</v>
          </cell>
          <cell r="Q125" t="str">
            <v>28032025 Instituto Central de estudios.pdf</v>
          </cell>
          <cell r="R125" t="str">
            <v>Se realizó retroalimentación sobre  el SIEE, el cual no está en consonancia con el PEI, asi mismo ajustar la escala de valoración para que sea coincidente con las certificaciones expedidas.</v>
          </cell>
          <cell r="S125" t="str">
            <v>Realizar los ajustes de conformidad con las observaciomnes realizada sen la visita</v>
          </cell>
          <cell r="T125" t="str">
            <v>Si</v>
          </cell>
          <cell r="U125" t="str">
            <v>Revisar la actualización del manual de convivencia en lo relacionado con el  SIIE con fecha límite el 31 de julio</v>
          </cell>
        </row>
        <row r="126">
          <cell r="A126">
            <v>2047</v>
          </cell>
          <cell r="B126">
            <v>13</v>
          </cell>
          <cell r="C126" t="str">
            <v>SUBA</v>
          </cell>
          <cell r="D126" t="str">
            <v>PRIVADO</v>
          </cell>
          <cell r="E126" t="str">
            <v>Educación de Jóvenes y Adultos</v>
          </cell>
          <cell r="F126" t="str">
            <v>INSTITUTO_CENTRAL_DE_ESTUDIOS</v>
          </cell>
          <cell r="G126" t="str">
            <v>INSTITUTO CENTRAL DE ESTUDIOS</v>
          </cell>
          <cell r="H126" t="str">
            <v>Autoevaluación Institucional y Pruebas SABER 11</v>
          </cell>
          <cell r="I126" t="str">
            <v>EVALUACIÓN_CON_FINES_DE_MEJORAMIENTO.</v>
          </cell>
          <cell r="J126" t="str">
            <v>Revisar el calendario escolar, jornada escolar, la intensidad horaria mínima anual en cada nivel y las modificaciones que se realicen al mismo, de acuerdo con lo previsto en la normatividad vigente.</v>
          </cell>
          <cell r="K126" t="str">
            <v>JENNIFFER ESPERANZA GONZÁLEZ GÓMEZ</v>
          </cell>
          <cell r="L126" t="str">
            <v>SONIA YAMILE ARTEAGA MELO</v>
          </cell>
          <cell r="M126">
            <v>45742</v>
          </cell>
          <cell r="N126">
            <v>45744</v>
          </cell>
          <cell r="O126">
            <v>45744</v>
          </cell>
          <cell r="P126" t="str">
            <v>Visitas de evaluación con fines de mejoramiento</v>
          </cell>
          <cell r="Q126" t="str">
            <v>28032025 Instituto Central de estudios.pdf</v>
          </cell>
          <cell r="R126" t="str">
            <v>La intensidad horaria y las horas mínimas anuales de cada ciclo no se ajustan a la normatividad vigente.</v>
          </cell>
          <cell r="S126" t="str">
            <v>Realizar ajuste al calendario académico y socializarlo con los estudianes, presentarlo para revisión antes del 20 de abril</v>
          </cell>
          <cell r="T126" t="str">
            <v>Si</v>
          </cell>
          <cell r="U126" t="str">
            <v xml:space="preserve">Verificar el calendario escolar allegado y la socialización con los estudiantes con fecha límite el 31 de julio. </v>
          </cell>
        </row>
        <row r="127">
          <cell r="A127">
            <v>2048</v>
          </cell>
          <cell r="B127">
            <v>13</v>
          </cell>
          <cell r="C127" t="str">
            <v>SUBA</v>
          </cell>
          <cell r="D127" t="str">
            <v>PRIVADO</v>
          </cell>
          <cell r="E127" t="str">
            <v>Educación de Jóvenes y Adultos</v>
          </cell>
          <cell r="F127" t="str">
            <v>INSTITUTO_CENTRAL_DE_ESTUDIOS</v>
          </cell>
          <cell r="G127" t="str">
            <v>INSTITUTO CENTRAL DE ESTUDIOS</v>
          </cell>
          <cell r="H127" t="str">
            <v>Autoevaluación Institucional y Pruebas SABER 11</v>
          </cell>
          <cell r="I127" t="str">
            <v>EVALUACIÓN_CON_FINES_DE_MEJORAMIENTO.</v>
          </cell>
          <cell r="J127" t="str">
            <v>Verificar el funcionamiento del Gobierno Escolar e instancias de participación con base en la información sobre conformación reportada por la institución educativa.</v>
          </cell>
          <cell r="K127" t="str">
            <v>JENNIFFER ESPERANZA GONZÁLEZ GÓMEZ</v>
          </cell>
          <cell r="L127" t="str">
            <v>SONIA YAMILE ARTEAGA MELO</v>
          </cell>
          <cell r="M127">
            <v>45742</v>
          </cell>
          <cell r="N127">
            <v>45744</v>
          </cell>
          <cell r="O127">
            <v>45744</v>
          </cell>
          <cell r="P127" t="str">
            <v>Visitas de evaluación con fines de mejoramiento</v>
          </cell>
          <cell r="Q127" t="str">
            <v>28032025 Instituto Central de estudios.pdf</v>
          </cell>
          <cell r="R127" t="str">
            <v>Se evidenciaron las actas de conformación de gobierno escolar, las cuales deberán cargarse en el SAE. Sobre el funcionamiento no han sesionado.</v>
          </cell>
          <cell r="S127" t="str">
            <v>Cargar las actas de conformación en el aplicativo SAE antes del 19 de abril. Sesionar con cada órgano de gobierno de conformidad con la periodicidad establecida en la norma</v>
          </cell>
          <cell r="T127" t="str">
            <v>Si</v>
          </cell>
          <cell r="U127" t="str">
            <v>Verificar el SAE  y el funcionamiento de  los organos de gobierno mediantes las evidencias presentadas por la IE.</v>
          </cell>
        </row>
        <row r="128">
          <cell r="A128">
            <v>2049</v>
          </cell>
          <cell r="B128">
            <v>13</v>
          </cell>
          <cell r="C128" t="str">
            <v>SUBA</v>
          </cell>
          <cell r="D128" t="str">
            <v>PRIVADO</v>
          </cell>
          <cell r="E128" t="str">
            <v>Educación de Jóvenes y Adultos</v>
          </cell>
          <cell r="F128" t="str">
            <v>INSTITUTO_CENTRAL_DE_ESTUDIOS</v>
          </cell>
          <cell r="G128" t="str">
            <v>INSTITUTO CENTRAL DE ESTUDIOS</v>
          </cell>
          <cell r="H128" t="str">
            <v>Autoevaluación Institucional y Pruebas SABER 11</v>
          </cell>
          <cell r="I128" t="str">
            <v>EVALUACIÓN_CON_FINES_DE_MEJORAMIENTO.</v>
          </cell>
          <cell r="J128" t="str">
            <v>Verificar las condiciones en cuanto a: la estructura administrativa, condiciones de la planta física y medios educativos adecuados.</v>
          </cell>
          <cell r="K128" t="str">
            <v>JENNIFFER ESPERANZA GONZÁLEZ GÓMEZ</v>
          </cell>
          <cell r="L128" t="str">
            <v>SONIA YAMILE ARTEAGA MELO</v>
          </cell>
          <cell r="M128">
            <v>45742</v>
          </cell>
          <cell r="N128">
            <v>45744</v>
          </cell>
          <cell r="O128">
            <v>45744</v>
          </cell>
          <cell r="P128" t="str">
            <v>Visitas de evaluación con fines de mejoramiento</v>
          </cell>
          <cell r="Q128" t="str">
            <v>28032025 Instituto Central de estudios.pdf</v>
          </cell>
          <cell r="R128" t="str">
            <v>Existen espacios on suficientes pero falta redistribución para cada ambiente, teniendo en cuenta la funcionalidad</v>
          </cell>
          <cell r="S128" t="str">
            <v>Se llama la atención respecto  a la posibilidad de una reorganozación de espacios  de acuerdo a su funcionalidad y comodidad</v>
          </cell>
          <cell r="T128" t="str">
            <v>Si</v>
          </cell>
          <cell r="U128" t="str">
            <v>Revisar en el plan de mejormiento si se tuvo en consideración las observaciones respecto a la reorganización de espacios</v>
          </cell>
        </row>
        <row r="129">
          <cell r="A129">
            <v>2050</v>
          </cell>
          <cell r="B129">
            <v>14</v>
          </cell>
          <cell r="C129" t="str">
            <v>SUBA</v>
          </cell>
          <cell r="D129" t="str">
            <v>PRIVADO</v>
          </cell>
          <cell r="E129" t="str">
            <v>EPBM</v>
          </cell>
          <cell r="F129" t="str">
            <v>GIMNASIO_DE_EDUCACION_MEDIA_ACADEMICA_Y_TECNICA_FRANCISCANO_DE_SUBA</v>
          </cell>
          <cell r="G129" t="str">
            <v>GIMNASIO_DE_EDUCACION_MEDIA_ACADEMICA_Y_TECNICA_FRANCISCANO_DE_SUBA</v>
          </cell>
          <cell r="H129" t="str">
            <v>Autoevaluación Institucional y Pruebas SABER 11</v>
          </cell>
          <cell r="I129" t="str">
            <v>SEGUIMIENTO_Y_SUPERVISIÓN.</v>
          </cell>
          <cell r="J129" t="str">
            <v>Proponer estrategias en la formulación, verificar su elaboración y realizar seguimiento semestral al desarrollo de  las acciones establecidas en los planes de mejoramiento por pruebas SABER 11 de los establecimientos de educación formal.</v>
          </cell>
          <cell r="K129" t="str">
            <v>DANIEL ALEJANDRO GRANOBLES</v>
          </cell>
          <cell r="L129" t="str">
            <v>SANDRA OLINDA GONZÁLEZ REYES</v>
          </cell>
          <cell r="M129" t="str">
            <v>26/03/2025</v>
          </cell>
          <cell r="N129">
            <v>45770</v>
          </cell>
          <cell r="O129">
            <v>45770</v>
          </cell>
          <cell r="P129" t="str">
            <v>Visitas de evaluación con fines de seguimiento</v>
          </cell>
          <cell r="Q129" t="str">
            <v>23042025 acta visita Gimnasio Franciscano de Suba.pdf</v>
          </cell>
          <cell r="R129" t="str">
            <v>No hay una evaluación de resultados que permita determinar las dificultades y crear estrategias pedagógicas para superar los resultados, razón por la cual se realizó retroalimentación sobre las estrategias pedagógicas implementadas, el uso de materiales y acompañamiento docente en procesos de ajuste al plan de estudios de las áreas de matemáticas, español e idioma extranjero, fortaleciendo los procesos de pensamiento crítico, comunicación oral y escrita, lectura y así fortalecer el entrenamiento en la presentación de pruebas</v>
          </cell>
          <cell r="S129" t="str">
            <v>Realizar el análisis de los resultados , teniendo en cuenta la asesoria prestada en lo relacionado con  la  inclusión de un plan de formación docente,  revisión del plan de estudios e inclusión en el SIIE de las estrategias de refuerzo en las área relacionadas con bajo indicador.</v>
          </cell>
          <cell r="T129" t="str">
            <v>Si</v>
          </cell>
          <cell r="U129" t="str">
            <v>Revisar el análisis de la pruebas saber, el plan de formación de docentes, los planes de estudio y el SIIE en el manual de convivencia.</v>
          </cell>
        </row>
        <row r="130">
          <cell r="A130">
            <v>2051</v>
          </cell>
          <cell r="B130">
            <v>14</v>
          </cell>
          <cell r="C130" t="str">
            <v>SUBA</v>
          </cell>
          <cell r="D130" t="str">
            <v>PRIVADO</v>
          </cell>
          <cell r="E130" t="str">
            <v>EPBM</v>
          </cell>
          <cell r="F130" t="str">
            <v>GIMNASIO_DE_EDUCACION_MEDIA_ACADEMICA_Y_TECNICA_FRANCISCANO_DE_SUBA</v>
          </cell>
          <cell r="G130" t="str">
            <v>GIMNASIO_DE_EDUCACION_MEDIA_ACADEMICA_Y_TECNICA_FRANCISCANO_DE_SUBA</v>
          </cell>
          <cell r="H130" t="str">
            <v>Autoevaluación Institucional y Pruebas SABER 11</v>
          </cell>
          <cell r="I130" t="str">
            <v>SEGUIMIENTO_Y_SUPERVISIÓN.</v>
          </cell>
          <cell r="J130" t="str">
            <v>Realizar visitas para verificar la información registrada sobre la autoevaluación institucional en el aplicativo EVI, a los establecimientos de educación formal no oficial.</v>
          </cell>
          <cell r="K130" t="str">
            <v>DANIEL ALEJANDRO GRANOBLES</v>
          </cell>
          <cell r="L130" t="str">
            <v>SANDRA OLINDA GONZÁLEZ REYES</v>
          </cell>
          <cell r="M130" t="str">
            <v>26/03/2025</v>
          </cell>
          <cell r="N130">
            <v>45770</v>
          </cell>
          <cell r="O130">
            <v>45770</v>
          </cell>
          <cell r="P130" t="str">
            <v>Visitas de evaluación con fines de seguimiento</v>
          </cell>
          <cell r="Q130" t="str">
            <v>23042025 acta visita Gimnasio Franciscano de Suba.pdf</v>
          </cell>
          <cell r="R130" t="str">
            <v>Se evidencio que la institución registra la informacion en el EVI  en consonancia con la  prestación del servicio, se esta cumplinedo con los indicadores prioritarios relacionados con el proceso contractual de docentes, la afiliación y pago de la SSI  y los registros contables de conformidad a la normatividad vigente y aplicable</v>
          </cell>
          <cell r="S130" t="str">
            <v>Continuar con el cumplimiento de los indicadores prioritarios con respecto a la contratación , afiliación y pago de los aportes de SSI y llevar registros contables</v>
          </cell>
          <cell r="T130" t="str">
            <v>No</v>
          </cell>
          <cell r="U130" t="str">
            <v>Verificar cumplimiento de proceso contractual integral del personal docente y administrativo</v>
          </cell>
        </row>
        <row r="131">
          <cell r="A131">
            <v>2052</v>
          </cell>
          <cell r="B131">
            <v>14</v>
          </cell>
          <cell r="C131" t="str">
            <v>SUBA</v>
          </cell>
          <cell r="D131" t="str">
            <v>PRIVADO</v>
          </cell>
          <cell r="E131" t="str">
            <v>EPBM</v>
          </cell>
          <cell r="F131" t="str">
            <v>GIMNASIO_DE_EDUCACION_MEDIA_ACADEMICA_Y_TECNICA_FRANCISCANO_DE_SUBA</v>
          </cell>
          <cell r="G131" t="str">
            <v>GIMNASIO_DE_EDUCACION_MEDIA_ACADEMICA_Y_TECNICA_FRANCISCANO_DE_SUBA</v>
          </cell>
          <cell r="H131" t="str">
            <v>Autoevaluación Institucional y Pruebas SABER 11</v>
          </cell>
          <cell r="I131" t="str">
            <v>SEGUIMIENTO_Y_SUPERVISIÓN.</v>
          </cell>
          <cell r="J13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1" t="str">
            <v>DANIEL ALEJANDRO GRANOBLES</v>
          </cell>
          <cell r="L131" t="str">
            <v>SANDRA OLINDA GONZÁLEZ REYES</v>
          </cell>
          <cell r="M131" t="str">
            <v>26/03/2025</v>
          </cell>
          <cell r="N131">
            <v>45770</v>
          </cell>
          <cell r="O131">
            <v>45770</v>
          </cell>
          <cell r="P131" t="str">
            <v>Visitas de evaluación con fines de seguimiento</v>
          </cell>
          <cell r="Q131" t="str">
            <v>23042025 acta visita Gimnasio Franciscano de Suba.pdf</v>
          </cell>
          <cell r="R131" t="str">
            <v xml:space="preserve">Se realizó consulta en el SIMAT encontrándose el no registro de  estudiantes de inlusión, sin embago al momento de la visita el rector informa que atiende 4  estudiantes de inclusión, sin embargo cuentan dos de ellos con diagnosticos, aun no e ha avanzado en la elaboración del PIAR, dado que se encuentra contratada una nueva profesional para el área de Orientación </v>
          </cell>
          <cell r="S131" t="str">
            <v xml:space="preserve">
Debe de realizarse  actualización del Manual de Convivencia para incorporar los enfoques diferenciales e inclusivo en el marco del Decreto 1427 de 2017, soliictar los diagnosticos de los estudiantes y registralos en el SIMAT, e informar a la DILE sobre estos avances a fecha 30 de junio.</v>
          </cell>
          <cell r="T131" t="str">
            <v>Si</v>
          </cell>
          <cell r="U131" t="str">
            <v>Verificar las modificaciones en manual de convivencia respecto a la poblacion con discapacidad.con fecha 30 de junio</v>
          </cell>
        </row>
        <row r="132">
          <cell r="A132">
            <v>2053</v>
          </cell>
          <cell r="B132">
            <v>14</v>
          </cell>
          <cell r="C132" t="str">
            <v>SUBA</v>
          </cell>
          <cell r="D132" t="str">
            <v>PRIVADO</v>
          </cell>
          <cell r="E132" t="str">
            <v>EPBM</v>
          </cell>
          <cell r="F132" t="str">
            <v>GIMNASIO_DE_EDUCACION_MEDIA_ACADEMICA_Y_TECNICA_FRANCISCANO_DE_SUBA</v>
          </cell>
          <cell r="G132" t="str">
            <v>GIMNASIO_DE_EDUCACION_MEDIA_ACADEMICA_Y_TECNICA_FRANCISCANO_DE_SUBA</v>
          </cell>
          <cell r="H132" t="str">
            <v>Autoevaluación Institucional y Pruebas SABER 11</v>
          </cell>
          <cell r="I132" t="str">
            <v>SEGUIMIENTO_Y_SUPERVISIÓN.</v>
          </cell>
          <cell r="J132" t="str">
            <v xml:space="preserve">Verificar la implementación por parte de los colegios, de acciones realizadas para la prevención y atención de las situaciones de convivencia en el entorno escolar, según lo establecido en la Directiva 01 de 2022 del MEN. </v>
          </cell>
          <cell r="K132" t="str">
            <v>DANIEL ALEJANDRO GRANOBLES</v>
          </cell>
          <cell r="L132" t="str">
            <v>SANDRA OLINDA GONZÁLEZ REYES</v>
          </cell>
          <cell r="M132" t="str">
            <v>26/03/2025</v>
          </cell>
          <cell r="N132">
            <v>45770</v>
          </cell>
          <cell r="O132">
            <v>45770</v>
          </cell>
          <cell r="P132" t="str">
            <v>Visitas de evaluación con fines de seguimiento</v>
          </cell>
          <cell r="Q132" t="str">
            <v>23042025 acta visita Gimnasio Franciscano de Suba.pdf</v>
          </cell>
          <cell r="R132" t="str">
            <v>Se solicitó el soporte de la consulta realizada en la página de la policia de los antecedentes de delitos sexuales en las hojas de vida del personal contratado de conformidad a la directiva  001 del 2022 y no se encontró dicha consulta</v>
          </cell>
          <cell r="S132" t="str">
            <v>Realizar las consultas en la página de la Policía de todos los funcionarios de la institución y anexarla a la hoja de vida.  Elaborar plan de mejoramiento sobre todos los indicadores y remitirlo a la DLE el 30 de junio de 2025</v>
          </cell>
          <cell r="T132" t="str">
            <v>si</v>
          </cell>
          <cell r="U132" t="str">
            <v>Verificar las consultas de antecedentes de los empledos y remitirlas en el plan de mejoramiento</v>
          </cell>
        </row>
        <row r="133">
          <cell r="A133">
            <v>2054</v>
          </cell>
          <cell r="B133">
            <v>14</v>
          </cell>
          <cell r="C133" t="str">
            <v>SUBA</v>
          </cell>
          <cell r="D133" t="str">
            <v>PRIVADO</v>
          </cell>
          <cell r="E133" t="str">
            <v>EPBM</v>
          </cell>
          <cell r="F133" t="str">
            <v>GIMNASIO_DE_EDUCACION_MEDIA_ACADEMICA_Y_TECNICA_FRANCISCANO_DE_SUBA</v>
          </cell>
          <cell r="G133" t="str">
            <v>GIMNASIO_DE_EDUCACION_MEDIA_ACADEMICA_Y_TECNICA_FRANCISCANO_DE_SUBA</v>
          </cell>
          <cell r="H133" t="str">
            <v>Autoevaluación Institucional y Pruebas SABER 11</v>
          </cell>
          <cell r="I133" t="str">
            <v>EVALUACIÓN_CON_FINES_DE_MEJORAMIENTO.</v>
          </cell>
          <cell r="J13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3" t="str">
            <v>DANIEL ALEJANDRO GRANOBLES</v>
          </cell>
          <cell r="L133" t="str">
            <v>SANDRA OLINDA GONZÁLEZ REYES</v>
          </cell>
          <cell r="M133" t="str">
            <v>26/03/2025</v>
          </cell>
          <cell r="N133">
            <v>45770</v>
          </cell>
          <cell r="O133">
            <v>45770</v>
          </cell>
          <cell r="P133" t="str">
            <v>Visitas de evaluación con fines de mejoramiento</v>
          </cell>
          <cell r="Q133" t="str">
            <v>23042025 acta visita Gimnasio Franciscano de Suba.pdf</v>
          </cell>
          <cell r="R133" t="str">
            <v xml:space="preserve">La institución cuenta con manual de convivencia aprobado por el consejo directivo, sin embargo se encuentra en proceso de actualización en lo relacionado con las faltas disciplinarias y situacion es de convivencia en el marco del debido proceso y, socializarlo con la comunidad educativa. </v>
          </cell>
          <cell r="S133" t="str">
            <v>Debe ser enviado a la DILE , para su revisión fecha 30 de junio de 2025 con la evidencia de la socialización con la comunidad educativa.</v>
          </cell>
          <cell r="T133" t="str">
            <v>Si</v>
          </cell>
          <cell r="U133" t="str">
            <v xml:space="preserve">Se realizará revisión del manual de convivencia en lo relacionado con las faltas disciplinarias y situacion es de convivencia en el marco deldebido proceso y la evidencia de socialización durante el segundo semestre 2025. </v>
          </cell>
        </row>
        <row r="134">
          <cell r="A134">
            <v>2055</v>
          </cell>
          <cell r="B134">
            <v>14</v>
          </cell>
          <cell r="C134" t="str">
            <v>SUBA</v>
          </cell>
          <cell r="D134" t="str">
            <v>PRIVADO</v>
          </cell>
          <cell r="E134" t="str">
            <v>EPBM</v>
          </cell>
          <cell r="F134" t="str">
            <v>GIMNASIO_DE_EDUCACION_MEDIA_ACADEMICA_Y_TECNICA_FRANCISCANO_DE_SUBA</v>
          </cell>
          <cell r="G134" t="str">
            <v>GIMNASIO_DE_EDUCACION_MEDIA_ACADEMICA_Y_TECNICA_FRANCISCANO_DE_SUBA</v>
          </cell>
          <cell r="H134" t="str">
            <v>Autoevaluación Institucional y Pruebas SABER 11</v>
          </cell>
          <cell r="I134" t="str">
            <v>EVALUACIÓN_CON_FINES_DE_MEJORAMIENTO.</v>
          </cell>
          <cell r="J134" t="str">
            <v>Revisar la actualización, socialización e implementación del Sistema Institucional de Evaluación de Estudiantes - SIEE, en articulación con la actualización del PEI y la normatividad vigente.</v>
          </cell>
          <cell r="K134" t="str">
            <v>DANIEL ALEJANDRO GRANOBLES</v>
          </cell>
          <cell r="L134" t="str">
            <v>SANDRA OLINDA GONZÁLEZ REYES</v>
          </cell>
          <cell r="M134" t="str">
            <v>26/03/2025</v>
          </cell>
          <cell r="N134">
            <v>45770</v>
          </cell>
          <cell r="O134">
            <v>45770</v>
          </cell>
          <cell r="P134" t="str">
            <v>Visitas de evaluación con fines de mejoramiento</v>
          </cell>
          <cell r="Q134" t="str">
            <v>23042025 acta visita Gimnasio Franciscano de Suba.pdf</v>
          </cell>
          <cell r="R134" t="str">
            <v>Se realizó retroalimentación sobre  el SIEE, el cual no está en consonancia con el PEI, asi mismo se observa que debe ajustar la escala de valoración para que coincida con las certificaciones expedidas.</v>
          </cell>
          <cell r="S134" t="str">
            <v>Realizar los ajustes de conformidad con las observaciones al SIIE realizada sen la visita</v>
          </cell>
          <cell r="T134" t="str">
            <v>Si</v>
          </cell>
          <cell r="U134" t="str">
            <v>Revisar la actualización del manual de convivencia en lo relacionado con el  SIIE con fecha 30 de junio</v>
          </cell>
        </row>
        <row r="135">
          <cell r="A135">
            <v>2056</v>
          </cell>
          <cell r="B135">
            <v>14</v>
          </cell>
          <cell r="C135" t="str">
            <v>SUBA</v>
          </cell>
          <cell r="D135" t="str">
            <v>PRIVADO</v>
          </cell>
          <cell r="E135" t="str">
            <v>EPBM</v>
          </cell>
          <cell r="F135" t="str">
            <v>GIMNASIO_DE_EDUCACION_MEDIA_ACADEMICA_Y_TECNICA_FRANCISCANO_DE_SUBA</v>
          </cell>
          <cell r="G135" t="str">
            <v>GIMNASIO_DE_EDUCACION_MEDIA_ACADEMICA_Y_TECNICA_FRANCISCANO_DE_SUBA</v>
          </cell>
          <cell r="H135" t="str">
            <v>Autoevaluación Institucional y Pruebas SABER 11</v>
          </cell>
          <cell r="I135" t="str">
            <v>EVALUACIÓN_CON_FINES_DE_MEJORAMIENTO.</v>
          </cell>
          <cell r="J135" t="str">
            <v>Revisar el calendario escolar, jornada escolar, la intensidad horaria mínima anual en cada nivel y las modificaciones que se realicen al mismo, de acuerdo con lo previsto en la normatividad vigente.</v>
          </cell>
          <cell r="K135" t="str">
            <v>DANIEL ALEJANDRO GRANOBLES</v>
          </cell>
          <cell r="L135" t="str">
            <v>SANDRA OLINDA GONZÁLEZ REYES</v>
          </cell>
          <cell r="M135" t="str">
            <v>26/03/2025</v>
          </cell>
          <cell r="N135">
            <v>45770</v>
          </cell>
          <cell r="O135">
            <v>45770</v>
          </cell>
          <cell r="P135" t="str">
            <v>Visitas de evaluación con fines de mejoramiento</v>
          </cell>
          <cell r="Q135" t="str">
            <v>23042025 acta visita Gimnasio Franciscano de Suba.pdf</v>
          </cell>
          <cell r="R135" t="str">
            <v>La intensidad horaria y las horas mínimas anuales de cada ciclo se ajustan para los ciclos de básica, sin ambargo se deben revisar las horas mínimas para los ciclos de media</v>
          </cell>
          <cell r="S135" t="str">
            <v>Realizar ajuste al calendario académico y socializarlo con los estudianes, presentarlo para revisión antes del 31 de mayo</v>
          </cell>
          <cell r="T135" t="str">
            <v>Si</v>
          </cell>
          <cell r="U135" t="str">
            <v>Verificar el calendario escolar allegado y la socialización con la comunidad educativa con fecha 30 de junio</v>
          </cell>
        </row>
        <row r="136">
          <cell r="A136">
            <v>2057</v>
          </cell>
          <cell r="B136">
            <v>14</v>
          </cell>
          <cell r="C136" t="str">
            <v>SUBA</v>
          </cell>
          <cell r="D136" t="str">
            <v>PRIVADO</v>
          </cell>
          <cell r="E136" t="str">
            <v>EPBM</v>
          </cell>
          <cell r="F136" t="str">
            <v>GIMNASIO_DE_EDUCACION_MEDIA_ACADEMICA_Y_TECNICA_FRANCISCANO_DE_SUBA</v>
          </cell>
          <cell r="G136" t="str">
            <v>GIMNASIO_DE_EDUCACION_MEDIA_ACADEMICA_Y_TECNICA_FRANCISCANO_DE_SUBA</v>
          </cell>
          <cell r="H136" t="str">
            <v>Autoevaluación Institucional y Pruebas SABER 11</v>
          </cell>
          <cell r="I136" t="str">
            <v>EVALUACIÓN_CON_FINES_DE_MEJORAMIENTO.</v>
          </cell>
          <cell r="J136" t="str">
            <v>Verificar el funcionamiento del Gobierno Escolar e instancias de participación con base en la información sobre conformación reportada por la institución educativa.</v>
          </cell>
          <cell r="K136" t="str">
            <v>DANIEL ALEJANDRO GRANOBLES</v>
          </cell>
          <cell r="L136" t="str">
            <v>SANDRA OLINDA GONZÁLEZ REYES</v>
          </cell>
          <cell r="M136" t="str">
            <v>26/03/2025</v>
          </cell>
          <cell r="N136">
            <v>45770</v>
          </cell>
          <cell r="O136">
            <v>45770</v>
          </cell>
          <cell r="P136" t="str">
            <v>Visitas de evaluación con fines de mejoramiento</v>
          </cell>
          <cell r="Q136" t="str">
            <v>23042025 acta visita Gimnasio Franciscano de Suba.pdf</v>
          </cell>
          <cell r="R136" t="str">
            <v>Se evidenciaron las actas de conformación de gobierno escolar, las cuales deberán cargarse en el SAE. Sobre el funcionamiento e realizó en febrero la primera reunión de planeación e informe del año anterior .</v>
          </cell>
          <cell r="S136" t="str">
            <v>Cargar las actas de conformación en el aplicativo SAE Sesionar con cada órgano de gobierno de conformidad con la periodicidad establecida en la norma</v>
          </cell>
          <cell r="T136" t="str">
            <v>Si</v>
          </cell>
          <cell r="U136" t="str">
            <v>Verificar el SAE  y verificar las actas que evidenciens el funcionamiento de  los organos de gobierno.</v>
          </cell>
        </row>
        <row r="137">
          <cell r="A137">
            <v>2058</v>
          </cell>
          <cell r="B137">
            <v>14</v>
          </cell>
          <cell r="C137" t="str">
            <v>SUBA</v>
          </cell>
          <cell r="D137" t="str">
            <v>PRIVADO</v>
          </cell>
          <cell r="E137" t="str">
            <v>EPBM</v>
          </cell>
          <cell r="F137" t="str">
            <v>GIMNASIO_DE_EDUCACION_MEDIA_ACADEMICA_Y_TECNICA_FRANCISCANO_DE_SUBA</v>
          </cell>
          <cell r="G137" t="str">
            <v>GIMNASIO_DE_EDUCACION_MEDIA_ACADEMICA_Y_TECNICA_FRANCISCANO_DE_SUBA</v>
          </cell>
          <cell r="H137" t="str">
            <v>Autoevaluación Institucional y Pruebas SABER 11</v>
          </cell>
          <cell r="I137" t="str">
            <v>EVALUACIÓN_CON_FINES_DE_MEJORAMIENTO.</v>
          </cell>
          <cell r="J137" t="str">
            <v>Verificar las condiciones en cuanto a: la estructura administrativa, condiciones de la planta física y medios educativos adecuados.</v>
          </cell>
          <cell r="K137" t="str">
            <v>DANIEL ALEJANDRO GRANOBLES</v>
          </cell>
          <cell r="L137" t="str">
            <v>SANDRA OLINDA GONZÁLEZ REYES</v>
          </cell>
          <cell r="M137" t="str">
            <v>26/03/2025</v>
          </cell>
          <cell r="N137">
            <v>45770</v>
          </cell>
          <cell r="O137">
            <v>45770</v>
          </cell>
          <cell r="P137" t="str">
            <v>Visitas de evaluación con fines de mejoramiento</v>
          </cell>
          <cell r="Q137" t="str">
            <v>23042025 acta visita Gimnasio Franciscano de Suba.pdf</v>
          </cell>
          <cell r="R137" t="str">
            <v xml:space="preserve">Existen espacios adecuados para la prestación del servicio educativo autorizado </v>
          </cell>
          <cell r="S137" t="str">
            <v>Continuar con el plan de inversión propuesto</v>
          </cell>
          <cell r="T137" t="str">
            <v>Si</v>
          </cell>
          <cell r="U137" t="str">
            <v>Enviar informe en cumplimiento del plan de mejoramiento al 30 de junio de 2025</v>
          </cell>
        </row>
        <row r="138">
          <cell r="A138">
            <v>2059</v>
          </cell>
          <cell r="B138">
            <v>15</v>
          </cell>
          <cell r="C138" t="str">
            <v>SUBA</v>
          </cell>
          <cell r="D138" t="str">
            <v>PRIVADO</v>
          </cell>
          <cell r="E138" t="str">
            <v>EPBM</v>
          </cell>
          <cell r="F138" t="str">
            <v>COLEGIO_PEDAGOGICO_NEOGRANADINO</v>
          </cell>
          <cell r="G138" t="str">
            <v>COLEGIO PEDAGOGICO NEOGRANADINO</v>
          </cell>
          <cell r="H138" t="str">
            <v>Autoevaluación Institucional y Pruebas SABER 11</v>
          </cell>
          <cell r="I138" t="str">
            <v>SEGUIMIENTO_Y_SUPERVISIÓN.</v>
          </cell>
          <cell r="J138" t="str">
            <v>Realizar visitas para verificar la información registrada sobre la autoevaluación institucional en el aplicativo EVI, a los establecimientos de educación formal no oficial.</v>
          </cell>
          <cell r="K138" t="str">
            <v>ALBA DEL PILAR CUBIDES CÁCERES</v>
          </cell>
          <cell r="L138" t="str">
            <v>SONIA CONSTANZA URREGO GONZÁLEZ</v>
          </cell>
          <cell r="M138" t="str">
            <v>15/7/2025</v>
          </cell>
          <cell r="N138">
            <v>45883</v>
          </cell>
          <cell r="O138">
            <v>45883</v>
          </cell>
          <cell r="P138" t="str">
            <v>Visitas de evaluación con fines de seguimiento</v>
          </cell>
          <cell r="Q138" t="str">
            <v>VISITA NEOGRANADINO.pdf</v>
          </cell>
          <cell r="R138" t="str">
            <v xml:space="preserve">Al momento de la visita se encontró que la totalidad de la información reportada en el aplicativo EVI corresponde con la realidad. </v>
          </cell>
          <cell r="S138" t="str">
            <v>Seguir conservando el orden en cuanto a la reporte en el EVI</v>
          </cell>
          <cell r="T138" t="str">
            <v>No</v>
          </cell>
          <cell r="U138" t="str">
            <v>Seguir con su cumplimiento</v>
          </cell>
        </row>
        <row r="139">
          <cell r="A139">
            <v>2060</v>
          </cell>
          <cell r="B139">
            <v>15</v>
          </cell>
          <cell r="C139" t="str">
            <v>SUBA</v>
          </cell>
          <cell r="D139" t="str">
            <v>PRIVADO</v>
          </cell>
          <cell r="E139" t="str">
            <v>EPBM</v>
          </cell>
          <cell r="F139" t="str">
            <v>COLEGIO_PEDAGOGICO_NEOGRANADINO</v>
          </cell>
          <cell r="G139" t="str">
            <v>COLEGIO PEDAGOGICO NEOGRANADINO</v>
          </cell>
          <cell r="H139" t="str">
            <v>Autoevaluación Institucional y Pruebas SABER 11</v>
          </cell>
          <cell r="I139" t="str">
            <v>SEGUIMIENTO_Y_SUPERVISIÓN.</v>
          </cell>
          <cell r="J139" t="str">
            <v>Proponer estrategias en la formulación, verificar su elaboración y realizar seguimiento semestral al desarrollo de  las acciones establecidas en los planes de mejoramiento por pruebas SABER 11 de los establecimientos de educación formal.</v>
          </cell>
          <cell r="K139" t="str">
            <v>ALBA DEL PILAR CUBIDES CÁCERES</v>
          </cell>
          <cell r="L139" t="str">
            <v>SONIA CONSTANZA URREGO GONZÁLEZ</v>
          </cell>
          <cell r="M139" t="str">
            <v>15/7/2025</v>
          </cell>
          <cell r="N139">
            <v>45883</v>
          </cell>
          <cell r="O139">
            <v>45883</v>
          </cell>
          <cell r="P139" t="str">
            <v>Visitas de evaluación con fines de seguimiento</v>
          </cell>
          <cell r="Q139" t="str">
            <v>VISITA NEOGRANADINO.pdf</v>
          </cell>
          <cell r="R139" t="str">
            <v>La institución educativa se encuentra clasificada en nivel D y realizó  el análsis de los últimos resultados.</v>
          </cell>
          <cell r="S139" t="str">
            <v>Se realizo plan de choque  para preparación del ICFES, por DISDAKALIA y docentes del colegio, implementados pruebas desde el grado 1 BP</v>
          </cell>
          <cell r="T139" t="str">
            <v>SI</v>
          </cell>
          <cell r="U139" t="str">
            <v>Verificar el cumplimiento a las acciones proyectadas por la institución en el PMI.</v>
          </cell>
        </row>
        <row r="140">
          <cell r="A140">
            <v>2061</v>
          </cell>
          <cell r="B140">
            <v>15</v>
          </cell>
          <cell r="C140" t="str">
            <v>SUBA</v>
          </cell>
          <cell r="D140" t="str">
            <v>PRIVADO</v>
          </cell>
          <cell r="E140" t="str">
            <v>EPBM</v>
          </cell>
          <cell r="F140" t="str">
            <v>COLEGIO_PEDAGOGICO_NEOGRANADINO</v>
          </cell>
          <cell r="G140" t="str">
            <v>COLEGIO PEDAGOGICO NEOGRANADINO</v>
          </cell>
          <cell r="H140" t="str">
            <v>Autoevaluación Institucional y Pruebas SABER 11</v>
          </cell>
          <cell r="I140" t="str">
            <v>SEGUIMIENTO_Y_SUPERVISIÓN.</v>
          </cell>
          <cell r="J140" t="str">
            <v xml:space="preserve">Verificar la implementación por parte de los colegios, de acciones realizadas para la prevención y atención de las situaciones de convivencia en el entorno escolar, según lo establecido en la Directiva 01 de 2022 del MEN. </v>
          </cell>
          <cell r="K140" t="str">
            <v>ALBA DEL PILAR CUBIDES CÁCERES</v>
          </cell>
          <cell r="L140" t="str">
            <v>SONIA CONSTANZA URREGO GONZÁLEZ</v>
          </cell>
          <cell r="M140" t="str">
            <v>15/7/2025</v>
          </cell>
          <cell r="N140">
            <v>45883</v>
          </cell>
          <cell r="O140">
            <v>45883</v>
          </cell>
          <cell r="P140" t="str">
            <v>Visitas de evaluación con fines de seguimiento</v>
          </cell>
          <cell r="Q140" t="str">
            <v>VISITA NEOGRANADINO.pdf</v>
          </cell>
          <cell r="R140" t="str">
            <v>Se realiza la consulta de inhabliddes por delitos sexuales.</v>
          </cell>
          <cell r="S140" t="str">
            <v>Conservar la peridiocidad en la consulta d elos antecedentes</v>
          </cell>
          <cell r="T140" t="str">
            <v>No</v>
          </cell>
          <cell r="U140" t="str">
            <v>Seguier dando cumplimiento a la norma</v>
          </cell>
        </row>
        <row r="141">
          <cell r="A141">
            <v>2062</v>
          </cell>
          <cell r="B141">
            <v>15</v>
          </cell>
          <cell r="C141" t="str">
            <v>SUBA</v>
          </cell>
          <cell r="D141" t="str">
            <v>PRIVADO</v>
          </cell>
          <cell r="E141" t="str">
            <v>EPBM</v>
          </cell>
          <cell r="F141" t="str">
            <v>COLEGIO_PEDAGOGICO_NEOGRANADINO</v>
          </cell>
          <cell r="G141" t="str">
            <v>COLEGIO PEDAGOGICO NEOGRANADINO</v>
          </cell>
          <cell r="H141" t="str">
            <v>Autoevaluación Institucional y Pruebas SABER 11</v>
          </cell>
          <cell r="I141" t="str">
            <v>SEGUIMIENTO_Y_SUPERVISIÓN.</v>
          </cell>
          <cell r="J14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1" t="str">
            <v>ALBA DEL PILAR CUBIDES CÁCERES</v>
          </cell>
          <cell r="L141" t="str">
            <v>SONIA CONSTANZA URREGO GONZÁLEZ</v>
          </cell>
          <cell r="M141" t="str">
            <v>15/7/2025</v>
          </cell>
          <cell r="N141">
            <v>45883</v>
          </cell>
          <cell r="O141">
            <v>45883</v>
          </cell>
          <cell r="P141" t="str">
            <v>Visitas de evaluación con fines de seguimiento</v>
          </cell>
          <cell r="Q141" t="str">
            <v>VISITA NEOGRANADINO.pdf</v>
          </cell>
          <cell r="R141" t="str">
            <v>Cuentan con 10 estudiantes de inclusión.</v>
          </cell>
          <cell r="S141" t="str">
            <v>Todos cuentan con  PIAR, acorde a las necesidades del estudiante.</v>
          </cell>
          <cell r="T141" t="str">
            <v>No</v>
          </cell>
          <cell r="U141" t="str">
            <v>Seguir con su cumplimiento</v>
          </cell>
        </row>
        <row r="142">
          <cell r="A142">
            <v>2063</v>
          </cell>
          <cell r="B142">
            <v>15</v>
          </cell>
          <cell r="C142" t="str">
            <v>SUBA</v>
          </cell>
          <cell r="D142" t="str">
            <v>PRIVADO</v>
          </cell>
          <cell r="E142" t="str">
            <v>EPBM</v>
          </cell>
          <cell r="F142" t="str">
            <v>COLEGIO_PEDAGOGICO_NEOGRANADINO</v>
          </cell>
          <cell r="G142" t="str">
            <v>COLEGIO PEDAGOGICO NEOGRANADINO</v>
          </cell>
          <cell r="H142" t="str">
            <v>Autoevaluación Institucional y Pruebas SABER 11</v>
          </cell>
          <cell r="I142" t="str">
            <v>EVALUACIÓN_CON_FINES_DE_MEJORAMIENTO.</v>
          </cell>
          <cell r="J14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2" t="str">
            <v>ALBA DEL PILAR CUBIDES CÁCERES</v>
          </cell>
          <cell r="L142" t="str">
            <v>SONIA CONSTANZA URREGO GONZÁLEZ</v>
          </cell>
          <cell r="M142" t="str">
            <v>15/7/2025</v>
          </cell>
          <cell r="N142">
            <v>45883</v>
          </cell>
          <cell r="O142">
            <v>45883</v>
          </cell>
          <cell r="P142" t="str">
            <v>Visitas de evaluación con fines de mejoramiento</v>
          </cell>
          <cell r="Q142" t="str">
            <v>VISITA NEOGRANADINO.pdf</v>
          </cell>
          <cell r="R142" t="str">
            <v>El Manual de Convivencia se encuentra en físico y se debe realizar actualización de acuerdo con las orientaciones de la SED</v>
          </cell>
          <cell r="S142" t="str">
            <v>Realizar actualización</v>
          </cell>
          <cell r="T142" t="str">
            <v>Si</v>
          </cell>
          <cell r="U142" t="str">
            <v>Última semana del mes de noviembre de 2025</v>
          </cell>
        </row>
        <row r="143">
          <cell r="A143">
            <v>2064</v>
          </cell>
          <cell r="B143">
            <v>15</v>
          </cell>
          <cell r="C143" t="str">
            <v>SUBA</v>
          </cell>
          <cell r="D143" t="str">
            <v>PRIVADO</v>
          </cell>
          <cell r="E143" t="str">
            <v>EPBM</v>
          </cell>
          <cell r="F143" t="str">
            <v>COLEGIO_PEDAGOGICO_NEOGRANADINO</v>
          </cell>
          <cell r="G143" t="str">
            <v>COLEGIO PEDAGOGICO NEOGRANADINO</v>
          </cell>
          <cell r="H143" t="str">
            <v>Autoevaluación Institucional y Pruebas SABER 11</v>
          </cell>
          <cell r="I143" t="str">
            <v>EVALUACIÓN_CON_FINES_DE_MEJORAMIENTO.</v>
          </cell>
          <cell r="J143" t="str">
            <v>Revisar la actualización, socialización e implementación del Sistema Institucional de Evaluación de Estudiantes - SIEE, en articulación con la actualización del PEI y la normatividad vigente.</v>
          </cell>
          <cell r="K143" t="str">
            <v>ALBA DEL PILAR CUBIDES CÁCERES</v>
          </cell>
          <cell r="L143" t="str">
            <v>SONIA CONSTANZA URREGO GONZÁLEZ</v>
          </cell>
          <cell r="M143" t="str">
            <v>15/7/2025</v>
          </cell>
          <cell r="N143">
            <v>45883</v>
          </cell>
          <cell r="O143">
            <v>45883</v>
          </cell>
          <cell r="P143" t="str">
            <v>Visitas de evaluación con fines de mejoramiento</v>
          </cell>
          <cell r="Q143" t="str">
            <v>VISITA NEOGRANADINO.pdf</v>
          </cell>
          <cell r="R143" t="str">
            <v>Revisado el SIEE, cuenta con los criterios de evaluación y promoción y  escala valorativa.</v>
          </cell>
          <cell r="S143" t="str">
            <v xml:space="preserve">Hacer seguimiento constante para determinar la necesidad de actualizar el SIEE. </v>
          </cell>
          <cell r="T143" t="str">
            <v>No</v>
          </cell>
          <cell r="U143" t="str">
            <v>Seguir con su cumplimiento</v>
          </cell>
        </row>
        <row r="144">
          <cell r="A144">
            <v>2065</v>
          </cell>
          <cell r="B144">
            <v>15</v>
          </cell>
          <cell r="C144" t="str">
            <v>SUBA</v>
          </cell>
          <cell r="D144" t="str">
            <v>PRIVADO</v>
          </cell>
          <cell r="E144" t="str">
            <v>EPBM</v>
          </cell>
          <cell r="F144" t="str">
            <v>COLEGIO_PEDAGOGICO_NEOGRANADINO</v>
          </cell>
          <cell r="G144" t="str">
            <v>COLEGIO PEDAGOGICO NEOGRANADINO</v>
          </cell>
          <cell r="H144" t="str">
            <v>Autoevaluación Institucional y Pruebas SABER 11</v>
          </cell>
          <cell r="I144" t="str">
            <v>EVALUACIÓN_CON_FINES_DE_MEJORAMIENTO.</v>
          </cell>
          <cell r="J144" t="str">
            <v>Revisar el calendario escolar, jornada escolar, la intensidad horaria mínima anual en cada nivel y las modificaciones que se realicen al mismo, de acuerdo con lo previsto en la normatividad vigente.</v>
          </cell>
          <cell r="K144" t="str">
            <v>ALBA DEL PILAR CUBIDES CÁCERES</v>
          </cell>
          <cell r="L144" t="str">
            <v>SONIA CONSTANZA URREGO GONZÁLEZ</v>
          </cell>
          <cell r="M144" t="str">
            <v>15/7/2025</v>
          </cell>
          <cell r="N144">
            <v>45883</v>
          </cell>
          <cell r="O144">
            <v>45883</v>
          </cell>
          <cell r="P144" t="str">
            <v>Visitas de evaluación con fines de mejoramiento</v>
          </cell>
          <cell r="Q144" t="str">
            <v>VISITA NEOGRANADINO.pdf</v>
          </cell>
          <cell r="R144" t="str">
            <v>Cumple con el número de semanas y horas por nivel. Realizó reporte de información del Calendario Escolar.</v>
          </cell>
          <cell r="S144" t="str">
            <v xml:space="preserve">Continuar con el cumplimiento del calendario.  </v>
          </cell>
          <cell r="T144" t="str">
            <v>No</v>
          </cell>
          <cell r="U144" t="str">
            <v>Seguimiento al cumplimiento del calendario escolar.</v>
          </cell>
        </row>
        <row r="145">
          <cell r="A145">
            <v>2066</v>
          </cell>
          <cell r="B145">
            <v>15</v>
          </cell>
          <cell r="C145" t="str">
            <v>SUBA</v>
          </cell>
          <cell r="D145" t="str">
            <v>PRIVADO</v>
          </cell>
          <cell r="E145" t="str">
            <v>EPBM</v>
          </cell>
          <cell r="F145" t="str">
            <v>COLEGIO_PEDAGOGICO_NEOGRANADINO</v>
          </cell>
          <cell r="G145" t="str">
            <v>COLEGIO PEDAGOGICO NEOGRANADINO</v>
          </cell>
          <cell r="H145" t="str">
            <v>Autoevaluación Institucional y Pruebas SABER 11</v>
          </cell>
          <cell r="I145" t="str">
            <v>EVALUACIÓN_CON_FINES_DE_MEJORAMIENTO.</v>
          </cell>
          <cell r="J145" t="str">
            <v>Verificar el funcionamiento del Gobierno Escolar e instancias de participación con base en la información sobre conformación reportada por la institución educativa.</v>
          </cell>
          <cell r="K145" t="str">
            <v>ALBA DEL PILAR CUBIDES CÁCERES</v>
          </cell>
          <cell r="L145" t="str">
            <v>SONIA CONSTANZA URREGO GONZÁLEZ</v>
          </cell>
          <cell r="M145" t="str">
            <v>15/7/2025</v>
          </cell>
          <cell r="N145">
            <v>45883</v>
          </cell>
          <cell r="O145">
            <v>45883</v>
          </cell>
          <cell r="P145" t="str">
            <v>Visitas de evaluación con fines de mejoramiento</v>
          </cell>
          <cell r="Q145" t="str">
            <v>VISITA NEOGRANADINO.pdf</v>
          </cell>
          <cell r="R145" t="str">
            <v xml:space="preserve">Se conformó el Gobierno Escolar con reporte en el aplicativo SAE. Se evidencian actas de reunión de los órganos de gobierno. </v>
          </cell>
          <cell r="S145" t="str">
            <v xml:space="preserve">Realizar las reuniones periodicas de cada uno de los estamentos de Gobierno Escolar, acorde con su reglamento. </v>
          </cell>
          <cell r="T145" t="str">
            <v>No</v>
          </cell>
          <cell r="U145" t="str">
            <v>Verificar la conformación del Gobierno Escolar para la vigencia 2026.</v>
          </cell>
        </row>
        <row r="146">
          <cell r="A146">
            <v>2067</v>
          </cell>
          <cell r="B146">
            <v>15</v>
          </cell>
          <cell r="C146" t="str">
            <v>SUBA</v>
          </cell>
          <cell r="D146" t="str">
            <v>PRIVADO</v>
          </cell>
          <cell r="E146" t="str">
            <v>EPBM</v>
          </cell>
          <cell r="F146" t="str">
            <v>COLEGIO_PEDAGOGICO_NEOGRANADINO</v>
          </cell>
          <cell r="G146" t="str">
            <v>COLEGIO PEDAGOGICO NEOGRANADINO</v>
          </cell>
          <cell r="H146" t="str">
            <v>Autoevaluación Institucional y Pruebas SABER 11</v>
          </cell>
          <cell r="I146" t="str">
            <v>EVALUACIÓN_CON_FINES_DE_MEJORAMIENTO.</v>
          </cell>
          <cell r="J146" t="str">
            <v>Verificar las condiciones en cuanto a: la estructura administrativa, condiciones de la planta física y medios educativos adecuados.</v>
          </cell>
          <cell r="K146" t="str">
            <v>ALBA DEL PILAR CUBIDES CÁCERES</v>
          </cell>
          <cell r="L146" t="str">
            <v>SONIA CONSTANZA URREGO GONZÁLEZ</v>
          </cell>
          <cell r="M146" t="str">
            <v>15/7/2025</v>
          </cell>
          <cell r="N146">
            <v>45883</v>
          </cell>
          <cell r="O146">
            <v>45883</v>
          </cell>
          <cell r="P146" t="str">
            <v>Visitas de evaluación con fines de mejoramiento</v>
          </cell>
          <cell r="Q146" t="str">
            <v>VISITA NEOGRANADINO.pdf</v>
          </cell>
          <cell r="R146" t="str">
            <v xml:space="preserve">Se observan espacios suficientes y dotados, en cuanto a ambientes de aprendizaje. Los servicios sanitarios son suficientes. </v>
          </cell>
          <cell r="S146" t="str">
            <v>Proseguir con el cuidado y manteniemiento de la palnta física</v>
          </cell>
          <cell r="T146" t="str">
            <v>No</v>
          </cell>
          <cell r="U146" t="str">
            <v>Seguir con su cumplimiento</v>
          </cell>
        </row>
        <row r="147">
          <cell r="A147">
            <v>2068</v>
          </cell>
          <cell r="B147">
            <v>16</v>
          </cell>
          <cell r="C147" t="str">
            <v>SUBA</v>
          </cell>
          <cell r="D147" t="str">
            <v>PRIVADO</v>
          </cell>
          <cell r="E147" t="str">
            <v>EPBM</v>
          </cell>
          <cell r="F147" t="str">
            <v>COLEGIO_INTEGRADO_EDUARDO_CABALLERO_CALDERON</v>
          </cell>
          <cell r="G147" t="str">
            <v>COLEGIO INTEGRADO EDUARDO CABALLERO CALDERON</v>
          </cell>
          <cell r="H147" t="str">
            <v>Autoevaluación Institucional y Pruebas SABER 11</v>
          </cell>
          <cell r="I147" t="str">
            <v>SEGUIMIENTO_Y_SUPERVISIÓN.</v>
          </cell>
          <cell r="J147" t="str">
            <v>Realizar visitas para verificar la información registrada sobre la autoevaluación institucional en el aplicativo EVI, a los establecimientos de educación formal no oficial.</v>
          </cell>
          <cell r="K147" t="str">
            <v>JUAN MANUEL SANCHEZ MORA</v>
          </cell>
          <cell r="L147" t="str">
            <v>MARTHA RUT SILVA ABRIL</v>
          </cell>
          <cell r="M147">
            <v>45818</v>
          </cell>
          <cell r="N147">
            <v>45807</v>
          </cell>
          <cell r="O147">
            <v>45807</v>
          </cell>
          <cell r="P147" t="str">
            <v>Visitas de evaluación con fines de seguimiento</v>
          </cell>
          <cell r="Q147" t="str">
            <v>30062025 acta visita col eduardo caballero calderon.pdf</v>
          </cell>
          <cell r="R147" t="str">
            <v>La informacion reportada no corresponde con la realidad, en aspectos relacionados con la planta física y bibliobanco, entre otros.</v>
          </cell>
          <cell r="S147" t="str">
            <v xml:space="preserve">Reportar información de acuerdo con las condiciones de la institución ajustes en planta física, espacios pedagógicos y administrativos </v>
          </cell>
          <cell r="T147" t="str">
            <v>Si</v>
          </cell>
          <cell r="U147" t="str">
            <v>Verficar la informacion del plan de mejoramiento fijado para el 12 de septiembre de 2025.</v>
          </cell>
        </row>
        <row r="148">
          <cell r="A148">
            <v>2069</v>
          </cell>
          <cell r="B148">
            <v>16</v>
          </cell>
          <cell r="C148" t="str">
            <v>SUBA</v>
          </cell>
          <cell r="D148" t="str">
            <v>PRIVADO</v>
          </cell>
          <cell r="E148" t="str">
            <v>EPBM</v>
          </cell>
          <cell r="F148" t="str">
            <v>COLEGIO_INTEGRADO_EDUARDO_CABALLERO_CALDERON</v>
          </cell>
          <cell r="G148" t="str">
            <v>COLEGIO INTEGRADO EDUARDO CABALLERO CALDERON</v>
          </cell>
          <cell r="H148" t="str">
            <v>Autoevaluación Institucional y Pruebas SABER 11</v>
          </cell>
          <cell r="I148" t="str">
            <v>SEGUIMIENTO_Y_SUPERVISIÓN.</v>
          </cell>
          <cell r="J148" t="str">
            <v>Proponer estrategias en la formulación, verificar su elaboración y realizar seguimiento semestral al desarrollo de  las acciones establecidas en los planes de mejoramiento por pruebas SABER 11 de los establecimientos de educación formal.</v>
          </cell>
          <cell r="K148" t="str">
            <v>JUAN MANUEL SANCHEZ MORA</v>
          </cell>
          <cell r="L148" t="str">
            <v>MARTHA RUT SILVA ABRIL</v>
          </cell>
          <cell r="M148">
            <v>45818</v>
          </cell>
          <cell r="N148">
            <v>45807</v>
          </cell>
          <cell r="O148">
            <v>45807</v>
          </cell>
          <cell r="P148" t="str">
            <v>Visitas de evaluación con fines de seguimiento</v>
          </cell>
          <cell r="Q148" t="str">
            <v>30062025 acta visita col eduardo caballero calderon.pdf</v>
          </cell>
          <cell r="R148" t="str">
            <v>Se observó que no cuenta con estrategias producto del analisis de los reultado de las pruebas SABER 11 e implementacion de acciones de seguimiento</v>
          </cell>
          <cell r="S148" t="str">
            <v>Diseñar e implementar estrategias para la revisión y análisis de los últimos resultados de las pruebas SABER y realizar acciones de seguimiento</v>
          </cell>
          <cell r="T148" t="str">
            <v>Si</v>
          </cell>
          <cell r="U148" t="str">
            <v>Verficar la informacion del plan de mejoramiento fijado para el 12 de septiembre de 2025.</v>
          </cell>
        </row>
        <row r="149">
          <cell r="A149">
            <v>2070</v>
          </cell>
          <cell r="B149">
            <v>16</v>
          </cell>
          <cell r="C149" t="str">
            <v>SUBA</v>
          </cell>
          <cell r="D149" t="str">
            <v>PRIVADO</v>
          </cell>
          <cell r="E149" t="str">
            <v>EPBM</v>
          </cell>
          <cell r="F149" t="str">
            <v>COLEGIO_INTEGRADO_EDUARDO_CABALLERO_CALDERON</v>
          </cell>
          <cell r="G149" t="str">
            <v>COLEGIO INTEGRADO EDUARDO CABALLERO CALDERON</v>
          </cell>
          <cell r="H149" t="str">
            <v>Autoevaluación Institucional y Pruebas SABER 11</v>
          </cell>
          <cell r="I149" t="str">
            <v>SEGUIMIENTO_Y_SUPERVISIÓN.</v>
          </cell>
          <cell r="J149" t="str">
            <v xml:space="preserve">Verificar la implementación por parte de los colegios, de acciones realizadas para la prevención y atención de las situaciones de convivencia en el entorno escolar, según lo establecido en la Directiva 01 de 2022 del MEN. </v>
          </cell>
          <cell r="K149" t="str">
            <v>JUAN MANUEL SANCHEZ MORA</v>
          </cell>
          <cell r="L149" t="str">
            <v>MARTHA RUT SILVA ABRIL</v>
          </cell>
          <cell r="M149">
            <v>45818</v>
          </cell>
          <cell r="N149">
            <v>45807</v>
          </cell>
          <cell r="O149">
            <v>45807</v>
          </cell>
          <cell r="P149" t="str">
            <v>Visitas de evaluación con fines de seguimiento</v>
          </cell>
          <cell r="Q149" t="str">
            <v>30062025 acta visita col eduardo caballero calderon.pdf</v>
          </cell>
          <cell r="R149" t="str">
            <v>Se evidenció que no cuenta con la consuta para l vinculcion de docentes en el sistema para la verficacion de las inhabilidades por delitos sexuales</v>
          </cell>
          <cell r="S149" t="str">
            <v>Realizar consulta cada 4 meses en el sistema para la verfificacion de las inhabilidades por delitos sexuales acorde con lo establecido en la Directiva e incorporar en la carpeta de las hojas de vida de los docentes y demas personal vincuado a la institucion</v>
          </cell>
          <cell r="T149" t="str">
            <v>Si</v>
          </cell>
          <cell r="U149" t="str">
            <v>Aportar consulta de inhbilidades en l plan de mejoramiento</v>
          </cell>
        </row>
        <row r="150">
          <cell r="A150">
            <v>2071</v>
          </cell>
          <cell r="B150">
            <v>16</v>
          </cell>
          <cell r="C150" t="str">
            <v>SUBA</v>
          </cell>
          <cell r="D150" t="str">
            <v>PRIVADO</v>
          </cell>
          <cell r="E150" t="str">
            <v>EPBM</v>
          </cell>
          <cell r="F150" t="str">
            <v>COLEGIO_INTEGRADO_EDUARDO_CABALLERO_CALDERON</v>
          </cell>
          <cell r="G150" t="str">
            <v>COLEGIO INTEGRADO EDUARDO CABALLERO CALDERON</v>
          </cell>
          <cell r="H150" t="str">
            <v>Autoevaluación Institucional y Pruebas SABER 11</v>
          </cell>
          <cell r="I150" t="str">
            <v>SEGUIMIENTO_Y_SUPERVISIÓN.</v>
          </cell>
          <cell r="J15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0" t="str">
            <v>JUAN MANUEL SANCHEZ MORA</v>
          </cell>
          <cell r="L150" t="str">
            <v>MARTHA RUT SILVA ABRIL</v>
          </cell>
          <cell r="M150">
            <v>45818</v>
          </cell>
          <cell r="N150">
            <v>45807</v>
          </cell>
          <cell r="O150">
            <v>45807</v>
          </cell>
          <cell r="P150" t="str">
            <v>Visitas de evaluación con fines de seguimiento</v>
          </cell>
          <cell r="Q150" t="str">
            <v>30062025 acta visita col eduardo caballero calderon.pdf</v>
          </cell>
          <cell r="R150" t="str">
            <v>Se observó que la institución no cuenta con la implementación de los PIAR para cada uno de los estudiantes con discapacidad.</v>
          </cell>
          <cell r="S150" t="str">
            <v>Estructurar los PIAR acorde con lo establecido en la norma y, segun necesidades de los estudiantes en los formatos estandarizados</v>
          </cell>
          <cell r="T150" t="str">
            <v>Si</v>
          </cell>
          <cell r="U150" t="str">
            <v>Implementar y estructurara los PIAR y realizar el segumiento respectivo durante el primer trimestre de 2026</v>
          </cell>
        </row>
        <row r="151">
          <cell r="A151">
            <v>2072</v>
          </cell>
          <cell r="B151">
            <v>16</v>
          </cell>
          <cell r="C151" t="str">
            <v>SUBA</v>
          </cell>
          <cell r="D151" t="str">
            <v>PRIVADO</v>
          </cell>
          <cell r="E151" t="str">
            <v>EPBM</v>
          </cell>
          <cell r="F151" t="str">
            <v>COLEGIO_INTEGRADO_EDUARDO_CABALLERO_CALDERON</v>
          </cell>
          <cell r="G151" t="str">
            <v>COLEGIO INTEGRADO EDUARDO CABALLERO CALDERON</v>
          </cell>
          <cell r="H151" t="str">
            <v>Autoevaluación Institucional y Pruebas SABER 11</v>
          </cell>
          <cell r="I151" t="str">
            <v>EVALUACIÓN_CON_FINES_DE_MEJORAMIENTO.</v>
          </cell>
          <cell r="J15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1" t="str">
            <v>JUAN MANUEL SANCHEZ MORA</v>
          </cell>
          <cell r="L151" t="str">
            <v>MARTHA RUT SILVA ABRIL</v>
          </cell>
          <cell r="M151">
            <v>45818</v>
          </cell>
          <cell r="N151">
            <v>45807</v>
          </cell>
          <cell r="O151">
            <v>45807</v>
          </cell>
          <cell r="P151" t="str">
            <v>Visitas de evaluación con fines de mejoramiento</v>
          </cell>
          <cell r="Q151" t="str">
            <v>30062025 acta visita col eduardo caballero calderon.pdf</v>
          </cell>
          <cell r="R151" t="str">
            <v>se observó que el manual de convivenciacia está desactualizado y no fue adoptado por el Consejo Directivo</v>
          </cell>
          <cell r="S151" t="str">
            <v>Adoptar y actualizar el manuel de conveivencia de confromidad con lo establecido en el Decreto 1075 de 2015 y la Ley 1620 de 2013</v>
          </cell>
          <cell r="T151" t="str">
            <v>Si</v>
          </cell>
          <cell r="U151" t="str">
            <v>Verficar la informacion del plan de mejoramiento fijado para el 12 de septiembre de 2025.</v>
          </cell>
        </row>
        <row r="152">
          <cell r="A152">
            <v>2073</v>
          </cell>
          <cell r="B152">
            <v>16</v>
          </cell>
          <cell r="C152" t="str">
            <v>SUBA</v>
          </cell>
          <cell r="D152" t="str">
            <v>PRIVADO</v>
          </cell>
          <cell r="E152" t="str">
            <v>EPBM</v>
          </cell>
          <cell r="F152" t="str">
            <v>COLEGIO_INTEGRADO_EDUARDO_CABALLERO_CALDERON</v>
          </cell>
          <cell r="G152" t="str">
            <v>COLEGIO INTEGRADO EDUARDO CABALLERO CALDERON</v>
          </cell>
          <cell r="H152" t="str">
            <v>Autoevaluación Institucional y Pruebas SABER 11</v>
          </cell>
          <cell r="I152" t="str">
            <v>EVALUACIÓN_CON_FINES_DE_MEJORAMIENTO.</v>
          </cell>
          <cell r="J152" t="str">
            <v>Revisar la actualización, socialización e implementación del Sistema Institucional de Evaluación de Estudiantes - SIEE, en articulación con la actualización del PEI y la normatividad vigente.</v>
          </cell>
          <cell r="K152" t="str">
            <v>JUAN MANUEL SANCHEZ MORA</v>
          </cell>
          <cell r="L152" t="str">
            <v>MARTHA RUT SILVA ABRIL</v>
          </cell>
          <cell r="M152">
            <v>45818</v>
          </cell>
          <cell r="N152">
            <v>45807</v>
          </cell>
          <cell r="O152">
            <v>45807</v>
          </cell>
          <cell r="P152" t="str">
            <v>Visitas de evaluación con fines de mejoramiento</v>
          </cell>
          <cell r="Q152" t="str">
            <v>30062025 acta visita col eduardo caballero calderon.pdf</v>
          </cell>
          <cell r="R152" t="str">
            <v>Se evidencia desactualización del SIEE, no se observa socialización ni articulación con el PEI</v>
          </cell>
          <cell r="S152" t="str">
            <v>Realizar actualización socialización  y articulación con el PEI</v>
          </cell>
          <cell r="T152" t="str">
            <v>Si</v>
          </cell>
          <cell r="U152" t="str">
            <v xml:space="preserve">Verificar plan de mejoramiento componente del PEI durante el primer trimestre de 2026 </v>
          </cell>
        </row>
        <row r="153">
          <cell r="A153">
            <v>2074</v>
          </cell>
          <cell r="B153">
            <v>16</v>
          </cell>
          <cell r="C153" t="str">
            <v>SUBA</v>
          </cell>
          <cell r="D153" t="str">
            <v>PRIVADO</v>
          </cell>
          <cell r="E153" t="str">
            <v>EPBM</v>
          </cell>
          <cell r="F153" t="str">
            <v>COLEGIO_INTEGRADO_EDUARDO_CABALLERO_CALDERON</v>
          </cell>
          <cell r="G153" t="str">
            <v>COLEGIO INTEGRADO EDUARDO CABALLERO CALDERON</v>
          </cell>
          <cell r="H153" t="str">
            <v>Autoevaluación Institucional y Pruebas SABER 11</v>
          </cell>
          <cell r="I153" t="str">
            <v>EVALUACIÓN_CON_FINES_DE_MEJORAMIENTO.</v>
          </cell>
          <cell r="J153" t="str">
            <v>Revisar el calendario escolar, jornada escolar, la intensidad horaria mínima anual en cada nivel y las modificaciones que se realicen al mismo, de acuerdo con lo previsto en la normatividad vigente.</v>
          </cell>
          <cell r="K153" t="str">
            <v>JUAN MANUEL SANCHEZ MORA</v>
          </cell>
          <cell r="L153" t="str">
            <v>MARTHA RUT SILVA ABRIL</v>
          </cell>
          <cell r="M153">
            <v>45818</v>
          </cell>
          <cell r="N153">
            <v>45807</v>
          </cell>
          <cell r="O153">
            <v>45807</v>
          </cell>
          <cell r="P153" t="str">
            <v>Visitas de evaluación con fines de mejoramiento</v>
          </cell>
          <cell r="Q153" t="str">
            <v>30062025 acta visita col eduardo caballero calderon.pdf</v>
          </cell>
          <cell r="R153" t="str">
            <v>Se verificó que el calendario escolar se ajusta a las intensidades mínimas estableciadas.</v>
          </cell>
          <cell r="S153" t="str">
            <v>Continuar con la apliccion del calendario tanto en semanas efectivas de trabajo académico con estudiantes y la intensidad horaria</v>
          </cell>
          <cell r="T153" t="str">
            <v>No</v>
          </cell>
          <cell r="U153" t="str">
            <v>Verificar la continuidad de la ejecucion del calendario escolar en el primer semestre de 2025</v>
          </cell>
        </row>
        <row r="154">
          <cell r="A154">
            <v>2075</v>
          </cell>
          <cell r="B154">
            <v>16</v>
          </cell>
          <cell r="C154" t="str">
            <v>SUBA</v>
          </cell>
          <cell r="D154" t="str">
            <v>PRIVADO</v>
          </cell>
          <cell r="E154" t="str">
            <v>EPBM</v>
          </cell>
          <cell r="F154" t="str">
            <v>COLEGIO_INTEGRADO_EDUARDO_CABALLERO_CALDERON</v>
          </cell>
          <cell r="G154" t="str">
            <v>COLEGIO INTEGRADO EDUARDO CABALLERO CALDERON</v>
          </cell>
          <cell r="H154" t="str">
            <v>Autoevaluación Institucional y Pruebas SABER 11</v>
          </cell>
          <cell r="I154" t="str">
            <v>EVALUACIÓN_CON_FINES_DE_MEJORAMIENTO.</v>
          </cell>
          <cell r="J154" t="str">
            <v>Verificar el funcionamiento del Gobierno Escolar e instancias de participación con base en la información sobre conformación reportada por la institución educativa.</v>
          </cell>
          <cell r="K154" t="str">
            <v>JUAN MANUEL SANCHEZ MORA</v>
          </cell>
          <cell r="L154" t="str">
            <v>MARTHA RUT SILVA ABRIL</v>
          </cell>
          <cell r="M154">
            <v>45818</v>
          </cell>
          <cell r="N154">
            <v>45807</v>
          </cell>
          <cell r="O154">
            <v>45807</v>
          </cell>
          <cell r="P154" t="str">
            <v>Visitas de evaluación con fines de mejoramiento</v>
          </cell>
          <cell r="Q154" t="str">
            <v>30062025 acta visita col eduardo caballero calderon.pdf</v>
          </cell>
          <cell r="R154" t="str">
            <v xml:space="preserve">Se verificó la conformación y funcionamiento del gobierno escolar </v>
          </cell>
          <cell r="S154" t="str">
            <v>Continuar con las reuniones respectivas en cada un de los órganos del gobierno escolar</v>
          </cell>
          <cell r="T154" t="str">
            <v>No</v>
          </cell>
          <cell r="U154" t="str">
            <v>Verificar la continidad de reuniones y el registro en actas durante el primer trimestre de 2026</v>
          </cell>
        </row>
        <row r="155">
          <cell r="A155">
            <v>2076</v>
          </cell>
          <cell r="B155">
            <v>16</v>
          </cell>
          <cell r="C155" t="str">
            <v>SUBA</v>
          </cell>
          <cell r="D155" t="str">
            <v>PRIVADO</v>
          </cell>
          <cell r="E155" t="str">
            <v>EPBM</v>
          </cell>
          <cell r="F155" t="str">
            <v>COLEGIO_INTEGRADO_EDUARDO_CABALLERO_CALDERON</v>
          </cell>
          <cell r="G155" t="str">
            <v>COLEGIO INTEGRADO EDUARDO CABALLERO CALDERON</v>
          </cell>
          <cell r="H155" t="str">
            <v>Autoevaluación Institucional y Pruebas SABER 11</v>
          </cell>
          <cell r="I155" t="str">
            <v>EVALUACIÓN_CON_FINES_DE_MEJORAMIENTO.</v>
          </cell>
          <cell r="J155" t="str">
            <v>Verificar las condiciones en cuanto a: la estructura administrativa, condiciones de la planta física y medios educativos adecuados.</v>
          </cell>
          <cell r="K155" t="str">
            <v>JUAN MANUEL SANCHEZ MORA</v>
          </cell>
          <cell r="L155" t="str">
            <v>MARTHA RUT SILVA ABRIL</v>
          </cell>
          <cell r="M155">
            <v>45818</v>
          </cell>
          <cell r="N155">
            <v>45807</v>
          </cell>
          <cell r="O155">
            <v>45807</v>
          </cell>
          <cell r="P155" t="str">
            <v>Visitas de evaluación con fines de mejoramiento</v>
          </cell>
          <cell r="Q155" t="str">
            <v>30062025 acta visita col eduardo caballero calderon.pdf</v>
          </cell>
          <cell r="R155" t="str">
            <v>En el recorrido por la planta física se observó que no cuenta con espacios administrativos y espacios pedagógicos mínimos.</v>
          </cell>
          <cell r="S155" t="str">
            <v>Implementar y generar espacios adecudos para la parte administrativa y espacios pedagógicos como aulas de clase para los diferentes grados, biblioteca, entre otros.</v>
          </cell>
          <cell r="T155" t="str">
            <v>Si</v>
          </cell>
          <cell r="U155" t="str">
            <v>Verficar la informacion del plan de mejoramiento fijado para el 12 de septiembre de 2025.</v>
          </cell>
        </row>
        <row r="156">
          <cell r="A156">
            <v>2077</v>
          </cell>
          <cell r="B156">
            <v>17</v>
          </cell>
          <cell r="C156" t="str">
            <v>SUBA</v>
          </cell>
          <cell r="D156" t="str">
            <v>PRIVADO</v>
          </cell>
          <cell r="E156" t="str">
            <v>EPBM</v>
          </cell>
          <cell r="F156" t="str">
            <v>COLEGIO_NEIL_ARMSTRONG</v>
          </cell>
          <cell r="G156" t="str">
            <v>COLEGIO NEIL ARMSTRONG</v>
          </cell>
          <cell r="H156" t="str">
            <v>Autoevaluación Institucional y Pruebas SABER 11</v>
          </cell>
          <cell r="I156" t="str">
            <v>SEGUIMIENTO_Y_SUPERVISIÓN.</v>
          </cell>
          <cell r="J156" t="str">
            <v>Realizar visitas para verificar la información registrada sobre la autoevaluación institucional en el aplicativo EVI, a los establecimientos de educación formal no oficial.</v>
          </cell>
          <cell r="K156" t="str">
            <v>SONIA CONSTANZA URREGO GONZÁLEZ</v>
          </cell>
          <cell r="L156" t="str">
            <v>ALBA DEL PILAR CUBIDES CÁCERES</v>
          </cell>
          <cell r="M156">
            <v>45818</v>
          </cell>
          <cell r="N156">
            <v>45818</v>
          </cell>
          <cell r="O156">
            <v>45818</v>
          </cell>
          <cell r="P156" t="str">
            <v>Visitas de evaluación con fines de seguimiento</v>
          </cell>
          <cell r="Q156" t="str">
            <v>ACTA DE VISITA COLEGIO NEIL ARMSTRONG.pdf</v>
          </cell>
          <cell r="R156" t="str">
            <v>Al momento de la visita se evidencia la congruencia entre lo consignado en el aplicativo EVI con la realidad institucional.</v>
          </cell>
          <cell r="S156" t="str">
            <v>Revisar los items en el aplicativo que requieran revisión y/o refuerzo, de acuerdo con la calificación dada.</v>
          </cell>
          <cell r="T156" t="str">
            <v>No</v>
          </cell>
          <cell r="U156" t="str">
            <v>Verificar las acciones de refuerzo realizadas por la institución, en pro de mejorar la calificación dada.</v>
          </cell>
        </row>
        <row r="157">
          <cell r="A157">
            <v>2078</v>
          </cell>
          <cell r="B157">
            <v>17</v>
          </cell>
          <cell r="C157" t="str">
            <v>SUBA</v>
          </cell>
          <cell r="D157" t="str">
            <v>PRIVADO</v>
          </cell>
          <cell r="E157" t="str">
            <v>EPBM</v>
          </cell>
          <cell r="F157" t="str">
            <v>COLEGIO_NEIL_ARMSTRONG</v>
          </cell>
          <cell r="G157" t="str">
            <v>COLEGIO NEIL ARMSTRONG</v>
          </cell>
          <cell r="H157" t="str">
            <v>Autoevaluación Institucional y Pruebas SABER 11</v>
          </cell>
          <cell r="I157" t="str">
            <v>SEGUIMIENTO_Y_SUPERVISIÓN.</v>
          </cell>
          <cell r="J157" t="str">
            <v>Proponer estrategias en la formulación, verificar su elaboración y realizar seguimiento semestral al desarrollo de  las acciones establecidas en los planes de mejoramiento por pruebas SABER 11 de los establecimientos de educación formal.</v>
          </cell>
          <cell r="K157" t="str">
            <v>SONIA CONSTANZA URREGO GONZÁLEZ</v>
          </cell>
          <cell r="L157" t="str">
            <v>ALBA DEL PILAR CUBIDES CÁCERES</v>
          </cell>
          <cell r="M157">
            <v>45818</v>
          </cell>
          <cell r="N157">
            <v>45818</v>
          </cell>
          <cell r="O157">
            <v>45818</v>
          </cell>
          <cell r="P157" t="str">
            <v>Visitas de evaluación con fines de seguimiento</v>
          </cell>
          <cell r="Q157" t="str">
            <v>ACTA DE VISITA COLEGIO NEIL ARMSTRONG.pdf</v>
          </cell>
          <cell r="R157" t="str">
            <v>La institución educativa se encuentra clasificada en nivel A, no se ha realizado el análsis de los últimos resultados, ni se han creado estrtegias para subir el nivel en las pruebas.</v>
          </cell>
          <cell r="S157" t="str">
            <v xml:space="preserve">Revisar los resultados y la relación con las asignaturas del plan de estudio, analizando los resultados obtenidos  de los últimos años y elaborar un plan de mejoramiento sobre las acciones a tomar. </v>
          </cell>
          <cell r="T157" t="str">
            <v>Si</v>
          </cell>
          <cell r="U157" t="str">
            <v>Verificar el cumplimiento a las acciones implementadas por la institución en el PMI.</v>
          </cell>
        </row>
        <row r="158">
          <cell r="A158">
            <v>2079</v>
          </cell>
          <cell r="B158">
            <v>17</v>
          </cell>
          <cell r="C158" t="str">
            <v>SUBA</v>
          </cell>
          <cell r="D158" t="str">
            <v>PRIVADO</v>
          </cell>
          <cell r="E158" t="str">
            <v>EPBM</v>
          </cell>
          <cell r="F158" t="str">
            <v>COLEGIO_NEIL_ARMSTRONG</v>
          </cell>
          <cell r="G158" t="str">
            <v>COLEGIO NEIL ARMSTRONG</v>
          </cell>
          <cell r="H158" t="str">
            <v>Autoevaluación Institucional y Pruebas SABER 11</v>
          </cell>
          <cell r="I158" t="str">
            <v>SEGUIMIENTO_Y_SUPERVISIÓN.</v>
          </cell>
          <cell r="J158" t="str">
            <v xml:space="preserve">Verificar la implementación por parte de los colegios, de acciones realizadas para la prevención y atención de las situaciones de convivencia en el entorno escolar, según lo establecido en la Directiva 01 de 2022 del MEN. </v>
          </cell>
          <cell r="K158" t="str">
            <v>SONIA CONSTANZA URREGO GONZÁLEZ</v>
          </cell>
          <cell r="L158" t="str">
            <v>ALBA DEL PILAR CUBIDES CÁCERES</v>
          </cell>
          <cell r="M158">
            <v>45818</v>
          </cell>
          <cell r="N158">
            <v>45818</v>
          </cell>
          <cell r="O158">
            <v>45818</v>
          </cell>
          <cell r="P158" t="str">
            <v>Visitas de evaluación con fines de seguimiento</v>
          </cell>
          <cell r="Q158" t="str">
            <v>ACTA DE VISITA COLEGIO NEIL ARMSTRONG.pdf</v>
          </cell>
          <cell r="R158" t="str">
            <v>Se encontró que cuenta  con la consulta actualizada de inhabilidades por delitos sexuales para la mayoria de los trabajadores.</v>
          </cell>
          <cell r="S158" t="str">
            <v xml:space="preserve">Actualizar la consulta de los trabajadores faltantes y realizar la consulta de todos y cada uno de los trabajadores cada 4 meses, dejando el respectivo soporte, en cumplimiento de la Directiva 01 de 2022  </v>
          </cell>
          <cell r="T158" t="str">
            <v>No</v>
          </cell>
          <cell r="U158" t="str">
            <v>Verificar que la consulta periodica se realiza de acuerdo con lo establecido en la directiva 01 del 2022 y revizar que se realicen los reportes a que haya lugar en el sistema  de alertas.</v>
          </cell>
        </row>
        <row r="159">
          <cell r="A159">
            <v>2080</v>
          </cell>
          <cell r="B159">
            <v>17</v>
          </cell>
          <cell r="C159" t="str">
            <v>SUBA</v>
          </cell>
          <cell r="D159" t="str">
            <v>PRIVADO</v>
          </cell>
          <cell r="E159" t="str">
            <v>EPBM</v>
          </cell>
          <cell r="F159" t="str">
            <v>COLEGIO_NEIL_ARMSTRONG</v>
          </cell>
          <cell r="G159" t="str">
            <v>COLEGIO NEIL ARMSTRONG</v>
          </cell>
          <cell r="H159" t="str">
            <v>Autoevaluación Institucional y Pruebas SABER 11</v>
          </cell>
          <cell r="I159" t="str">
            <v>SEGUIMIENTO_Y_SUPERVISIÓN.</v>
          </cell>
          <cell r="J15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9" t="str">
            <v>SONIA CONSTANZA URREGO GONZÁLEZ</v>
          </cell>
          <cell r="L159" t="str">
            <v>ALBA DEL PILAR CUBIDES CÁCERES</v>
          </cell>
          <cell r="M159">
            <v>45818</v>
          </cell>
          <cell r="N159">
            <v>45818</v>
          </cell>
          <cell r="O159">
            <v>45818</v>
          </cell>
          <cell r="P159" t="str">
            <v>Visitas de evaluación con fines de seguimiento</v>
          </cell>
          <cell r="Q159" t="str">
            <v>ACTA DE VISITA COLEGIO NEIL ARMSTRONG.pdf</v>
          </cell>
          <cell r="R159" t="str">
            <v>Se encontraron carpetas incompletas de la caracterización y PIAR para los estudiantes que lo requieren y que permiten determinar las discapacidades y acciones a realizar con cada estudiante.</v>
          </cell>
          <cell r="S159" t="str">
            <v>Realizar los ajustes, acorde a las necesidades del estudiante.</v>
          </cell>
          <cell r="T159" t="str">
            <v>Si</v>
          </cell>
          <cell r="U159" t="str">
            <v>Revisión de carpetas PIAR y los ajustes realizados, acorde a lo reportado por los docentes.</v>
          </cell>
        </row>
        <row r="160">
          <cell r="A160">
            <v>2081</v>
          </cell>
          <cell r="B160">
            <v>17</v>
          </cell>
          <cell r="C160" t="str">
            <v>SUBA</v>
          </cell>
          <cell r="D160" t="str">
            <v>PRIVADO</v>
          </cell>
          <cell r="E160" t="str">
            <v>EPBM</v>
          </cell>
          <cell r="F160" t="str">
            <v>COLEGIO_NEIL_ARMSTRONG</v>
          </cell>
          <cell r="G160" t="str">
            <v>COLEGIO NEIL ARMSTRONG</v>
          </cell>
          <cell r="H160" t="str">
            <v>Autoevaluación Institucional y Pruebas SABER 11</v>
          </cell>
          <cell r="I160" t="str">
            <v>EVALUACIÓN_CON_FINES_DE_MEJORAMIENTO.</v>
          </cell>
          <cell r="J16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0" t="str">
            <v>SONIA CONSTANZA URREGO GONZÁLEZ</v>
          </cell>
          <cell r="L160" t="str">
            <v>ALBA DEL PILAR CUBIDES CÁCERES</v>
          </cell>
          <cell r="M160">
            <v>45818</v>
          </cell>
          <cell r="N160">
            <v>45818</v>
          </cell>
          <cell r="O160">
            <v>45818</v>
          </cell>
          <cell r="P160" t="str">
            <v>Visitas de evaluación con fines de mejoramiento</v>
          </cell>
          <cell r="Q160" t="str">
            <v>ACTA DE VISITA COLEGIO NEIL ARMSTRONG.pdf</v>
          </cell>
          <cell r="R160" t="str">
            <v>Se encontró que la última actualización es de noviembre del año 2024 y será sujeto de revisión por parte del ELIV.</v>
          </cell>
          <cell r="S160" t="str">
            <v xml:space="preserve">Hacer seguimiento constante a la necesidad de actualizar el manual de convivencia según la normatividad vigente. </v>
          </cell>
          <cell r="T160" t="str">
            <v>No</v>
          </cell>
          <cell r="U160" t="str">
            <v>Revisar los ajustes al Manual, acorde a las observaciones realizadas por parte del ELIV, así como su socialización.</v>
          </cell>
        </row>
        <row r="161">
          <cell r="A161">
            <v>2082</v>
          </cell>
          <cell r="B161">
            <v>17</v>
          </cell>
          <cell r="C161" t="str">
            <v>SUBA</v>
          </cell>
          <cell r="D161" t="str">
            <v>PRIVADO</v>
          </cell>
          <cell r="E161" t="str">
            <v>EPBM</v>
          </cell>
          <cell r="F161" t="str">
            <v>COLEGIO_NEIL_ARMSTRONG</v>
          </cell>
          <cell r="G161" t="str">
            <v>COLEGIO NEIL ARMSTRONG</v>
          </cell>
          <cell r="H161" t="str">
            <v>Autoevaluación Institucional y Pruebas SABER 11</v>
          </cell>
          <cell r="I161" t="str">
            <v>EVALUACIÓN_CON_FINES_DE_MEJORAMIENTO.</v>
          </cell>
          <cell r="J161" t="str">
            <v>Revisar la actualización, socialización e implementación del Sistema Institucional de Evaluación de Estudiantes - SIEE, en articulación con la actualización del PEI y la normatividad vigente.</v>
          </cell>
          <cell r="K161" t="str">
            <v>SONIA CONSTANZA URREGO GONZÁLEZ</v>
          </cell>
          <cell r="L161" t="str">
            <v>ALBA DEL PILAR CUBIDES CÁCERES</v>
          </cell>
          <cell r="M161">
            <v>45818</v>
          </cell>
          <cell r="N161">
            <v>45818</v>
          </cell>
          <cell r="O161">
            <v>45818</v>
          </cell>
          <cell r="P161" t="str">
            <v>Visitas de evaluación con fines de mejoramiento</v>
          </cell>
          <cell r="Q161" t="str">
            <v>ACTA DE VISITA COLEGIO NEIL ARMSTRONG.pdf</v>
          </cell>
          <cell r="R161" t="str">
            <v>Revisado el SIEE cuenta con los criterios de evaluación y promoción y  escala valorativa.</v>
          </cell>
          <cell r="S161" t="str">
            <v xml:space="preserve">Hacer seguimiento constante para determinar la necesidad de actualizar el SIEE. </v>
          </cell>
          <cell r="T161" t="str">
            <v>No</v>
          </cell>
          <cell r="U161" t="str">
            <v>Verificar que exista o no la necesidad de actualización del SIEE.</v>
          </cell>
        </row>
        <row r="162">
          <cell r="A162">
            <v>2083</v>
          </cell>
          <cell r="B162">
            <v>17</v>
          </cell>
          <cell r="C162" t="str">
            <v>SUBA</v>
          </cell>
          <cell r="D162" t="str">
            <v>PRIVADO</v>
          </cell>
          <cell r="E162" t="str">
            <v>EPBM</v>
          </cell>
          <cell r="F162" t="str">
            <v>COLEGIO_NEIL_ARMSTRONG</v>
          </cell>
          <cell r="G162" t="str">
            <v>COLEGIO NEIL ARMSTRONG</v>
          </cell>
          <cell r="H162" t="str">
            <v>Autoevaluación Institucional y Pruebas SABER 11</v>
          </cell>
          <cell r="I162" t="str">
            <v>EVALUACIÓN_CON_FINES_DE_MEJORAMIENTO.</v>
          </cell>
          <cell r="J162" t="str">
            <v>Revisar el calendario escolar, jornada escolar, la intensidad horaria mínima anual en cada nivel y las modificaciones que se realicen al mismo, de acuerdo con lo previsto en la normatividad vigente.</v>
          </cell>
          <cell r="K162" t="str">
            <v>SONIA CONSTANZA URREGO GONZÁLEZ</v>
          </cell>
          <cell r="L162" t="str">
            <v>ALBA DEL PILAR CUBIDES CÁCERES</v>
          </cell>
          <cell r="M162">
            <v>45818</v>
          </cell>
          <cell r="N162">
            <v>45818</v>
          </cell>
          <cell r="O162">
            <v>45818</v>
          </cell>
          <cell r="P162" t="str">
            <v>Visitas de evaluación con fines de mejoramiento</v>
          </cell>
          <cell r="Q162" t="str">
            <v>ACTA DE VISITA COLEGIO NEIL ARMSTRONG.pdf</v>
          </cell>
          <cell r="R162" t="str">
            <v>Cumple con el número de semanas y horas por cada nivel y realizó reporte de información del calendario escolar. El reporte a la SED no se encuentra firmado por rectoria.</v>
          </cell>
          <cell r="S162" t="str">
            <v xml:space="preserve">Continuar con el cumplimiento del calendario.  </v>
          </cell>
          <cell r="T162" t="str">
            <v>No</v>
          </cell>
          <cell r="U162" t="str">
            <v>Seguimiento al cumplimiento del calendario escolar.</v>
          </cell>
        </row>
        <row r="163">
          <cell r="A163">
            <v>2084</v>
          </cell>
          <cell r="B163">
            <v>17</v>
          </cell>
          <cell r="C163" t="str">
            <v>SUBA</v>
          </cell>
          <cell r="D163" t="str">
            <v>PRIVADO</v>
          </cell>
          <cell r="E163" t="str">
            <v>EPBM</v>
          </cell>
          <cell r="F163" t="str">
            <v>COLEGIO_NEIL_ARMSTRONG</v>
          </cell>
          <cell r="G163" t="str">
            <v>COLEGIO NEIL ARMSTRONG</v>
          </cell>
          <cell r="H163" t="str">
            <v>Autoevaluación Institucional y Pruebas SABER 11</v>
          </cell>
          <cell r="I163" t="str">
            <v>EVALUACIÓN_CON_FINES_DE_MEJORAMIENTO.</v>
          </cell>
          <cell r="J163" t="str">
            <v>Verificar el funcionamiento del Gobierno Escolar e instancias de participación con base en la información sobre conformación reportada por la institución educativa.</v>
          </cell>
          <cell r="K163" t="str">
            <v>SONIA CONSTANZA URREGO GONZÁLEZ</v>
          </cell>
          <cell r="L163" t="str">
            <v>ALBA DEL PILAR CUBIDES CÁCERES</v>
          </cell>
          <cell r="M163">
            <v>45818</v>
          </cell>
          <cell r="N163">
            <v>45818</v>
          </cell>
          <cell r="O163">
            <v>45818</v>
          </cell>
          <cell r="P163" t="str">
            <v>Visitas de evaluación con fines de mejoramiento</v>
          </cell>
          <cell r="Q163" t="str">
            <v>ACTA DE VISITA COLEGIO NEIL ARMSTRONG.pdf</v>
          </cell>
          <cell r="R163" t="str">
            <v>Se conformó el gobierno escolar con reporte en el aplicativo SAE y se evidencian actas de reunión de los órganos de gobierno. El Consejo de Padres quedó mal cargado en SAE.</v>
          </cell>
          <cell r="S163" t="str">
            <v>Realizar las reuniones periodicas de cada uno de los estamentos de gobierno escolar, acorde con su reglamento. Allegar a la DLE el acta completa de los integrantes del Consejo de Padres.</v>
          </cell>
          <cell r="T163" t="str">
            <v>No</v>
          </cell>
          <cell r="U163" t="str">
            <v>Verificar el funcionamiento del Gobierno Escolar, a través de las  actas de reunión.</v>
          </cell>
        </row>
        <row r="164">
          <cell r="A164">
            <v>2085</v>
          </cell>
          <cell r="B164">
            <v>17</v>
          </cell>
          <cell r="C164" t="str">
            <v>SUBA</v>
          </cell>
          <cell r="D164" t="str">
            <v>PRIVADO</v>
          </cell>
          <cell r="E164" t="str">
            <v>EPBM</v>
          </cell>
          <cell r="F164" t="str">
            <v>COLEGIO_NEIL_ARMSTRONG</v>
          </cell>
          <cell r="G164" t="str">
            <v>COLEGIO NEIL ARMSTRONG</v>
          </cell>
          <cell r="H164" t="str">
            <v>Autoevaluación Institucional y Pruebas SABER 11</v>
          </cell>
          <cell r="I164" t="str">
            <v>EVALUACIÓN_CON_FINES_DE_MEJORAMIENTO.</v>
          </cell>
          <cell r="J164" t="str">
            <v>Verificar las condiciones en cuanto a: la estructura administrativa, condiciones de la planta física y medios educativos adecuados.</v>
          </cell>
          <cell r="K164" t="str">
            <v>SONIA CONSTANZA URREGO GONZÁLEZ</v>
          </cell>
          <cell r="L164" t="str">
            <v>ALBA DEL PILAR CUBIDES CÁCERES</v>
          </cell>
          <cell r="M164">
            <v>45818</v>
          </cell>
          <cell r="N164">
            <v>45818</v>
          </cell>
          <cell r="O164">
            <v>45818</v>
          </cell>
          <cell r="P164" t="str">
            <v>Visitas de evaluación con fines de mejoramiento</v>
          </cell>
          <cell r="Q164" t="str">
            <v>ACTA DE VISITA COLEGIO NEIL ARMSTRONG.pdf</v>
          </cell>
          <cell r="R164" t="str">
            <v>Cuenta con espacios suficientes y dotados, amplios y adecuados, que generan bienestar y seguridad a los estudiantes. A pesar de no tener estudiantes con discapacidad física, no tienen espacios adecuados en caso de requerirlo. .</v>
          </cell>
          <cell r="S164" t="str">
            <v>Realizar adecuaciones minimas como rampas de acceso para el ingreso de personas con discapacidad física, entre otros.</v>
          </cell>
          <cell r="T164" t="str">
            <v>Si</v>
          </cell>
          <cell r="U164" t="str">
            <v>Verificar con registro fotográfico, los avances de acuerdo a los plazos registrados en el PMI</v>
          </cell>
        </row>
        <row r="165">
          <cell r="A165">
            <v>2086</v>
          </cell>
          <cell r="B165">
            <v>18</v>
          </cell>
          <cell r="C165" t="str">
            <v>SUBA</v>
          </cell>
          <cell r="D165" t="str">
            <v>PRIVADO</v>
          </cell>
          <cell r="E165" t="str">
            <v>EPBM</v>
          </cell>
          <cell r="F165" t="str">
            <v>COLEGIO_REINA_DE_GALES</v>
          </cell>
          <cell r="G165" t="str">
            <v>COLEGIO REINA DE GALES</v>
          </cell>
          <cell r="H165" t="str">
            <v>Autoevaluación Institucional y Pruebas SABER 11</v>
          </cell>
          <cell r="I165" t="str">
            <v>SEGUIMIENTO_Y_SUPERVISIÓN.</v>
          </cell>
          <cell r="J165" t="str">
            <v>Realizar visitas para verificar la información registrada sobre la autoevaluación institucional en el aplicativo EVI, a los establecimientos de educación formal no oficial.</v>
          </cell>
          <cell r="K165" t="str">
            <v>MARTHA RUT SILVA ABRIL</v>
          </cell>
          <cell r="L165" t="str">
            <v>JUAN MANUEL SANCHEZ MORA</v>
          </cell>
          <cell r="M165">
            <v>45742</v>
          </cell>
          <cell r="N165">
            <v>45749</v>
          </cell>
          <cell r="O165">
            <v>45749</v>
          </cell>
          <cell r="P165" t="str">
            <v>Visitas de evaluación con fines de seguimiento</v>
          </cell>
          <cell r="Q165" t="str">
            <v>01042025 colegio reina de gales.pdf</v>
          </cell>
          <cell r="R165" t="str">
            <v>Se evidencio que la institucion diligenció la autoevaluacion en el aplicativo EVI, sin embargo, las areas construidas no corresponden con lo reportado, no cuentan con biblioteca, ni la cantidad de unidades sanitarias, entre otros aspectos.</v>
          </cell>
          <cell r="S165" t="str">
            <v>Reportar informacion segun la condiciones de la institucion, realizar ajustes en espacios pedagogicos y adecuacion de baños</v>
          </cell>
          <cell r="T165" t="str">
            <v>Si</v>
          </cell>
          <cell r="U165" t="str">
            <v>Verificar la formulación del plan de mejoramiento fijado para 9 de mayo de 2025</v>
          </cell>
        </row>
        <row r="166">
          <cell r="A166">
            <v>2087</v>
          </cell>
          <cell r="B166">
            <v>18</v>
          </cell>
          <cell r="C166" t="str">
            <v>SUBA</v>
          </cell>
          <cell r="D166" t="str">
            <v>PRIVADO</v>
          </cell>
          <cell r="E166" t="str">
            <v>EPBM</v>
          </cell>
          <cell r="F166" t="str">
            <v>COLEGIO_REINA_DE_GALES</v>
          </cell>
          <cell r="G166" t="str">
            <v>COLEGIO REINA DE GALES</v>
          </cell>
          <cell r="H166" t="str">
            <v>Autoevaluación Institucional y Pruebas SABER 11</v>
          </cell>
          <cell r="I166" t="str">
            <v>SEGUIMIENTO_Y_SUPERVISIÓN.</v>
          </cell>
          <cell r="J166" t="str">
            <v>Proponer estrategias en la formulación, verificar su elaboración y realizar seguimiento semestral al desarrollo de  las acciones establecidas en los planes de mejoramiento por pruebas SABER 11 de los establecimientos de educación formal.</v>
          </cell>
          <cell r="K166" t="str">
            <v>MARTHA RUT SILVA ABRIL</v>
          </cell>
          <cell r="L166" t="str">
            <v>JUAN MANUEL SANCHEZ MORA</v>
          </cell>
          <cell r="M166">
            <v>45742</v>
          </cell>
          <cell r="N166">
            <v>45749</v>
          </cell>
          <cell r="O166">
            <v>45749</v>
          </cell>
          <cell r="P166" t="str">
            <v>Visitas de evaluación con fines de seguimiento</v>
          </cell>
          <cell r="Q166" t="str">
            <v>01042025 colegio reina de gales.pdf</v>
          </cell>
          <cell r="R166" t="str">
            <v>Se observó que no cuenta con   estrategias producto del análisis de los  los resultados de las pruebas SABER 11 e implementacion de acciones de seguimiento.</v>
          </cell>
          <cell r="S166" t="str">
            <v>Diseñar estrategias para la revision y analisis de los ultimos resultados de las Pruebas SABER, asi mismo,  en la  implementación de acciones de seguimiento.</v>
          </cell>
          <cell r="T166" t="str">
            <v>Si</v>
          </cell>
          <cell r="U166" t="str">
            <v>Verificar la formulación del plan de mejoramiento fijado para 9 de mayo de 2025</v>
          </cell>
        </row>
        <row r="167">
          <cell r="A167">
            <v>2088</v>
          </cell>
          <cell r="B167">
            <v>18</v>
          </cell>
          <cell r="C167" t="str">
            <v>SUBA</v>
          </cell>
          <cell r="D167" t="str">
            <v>PRIVADO</v>
          </cell>
          <cell r="E167" t="str">
            <v>EPBM</v>
          </cell>
          <cell r="F167" t="str">
            <v>COLEGIO_REINA_DE_GALES</v>
          </cell>
          <cell r="G167" t="str">
            <v>COLEGIO REINA DE GALES</v>
          </cell>
          <cell r="H167" t="str">
            <v>Autoevaluación Institucional y Pruebas SABER 11</v>
          </cell>
          <cell r="I167" t="str">
            <v>SEGUIMIENTO_Y_SUPERVISIÓN.</v>
          </cell>
          <cell r="J167" t="str">
            <v xml:space="preserve">Verificar la implementación por parte de los colegios, de acciones realizadas para la prevención y atención de las situaciones de convivencia en el entorno escolar, según lo establecido en la Directiva 01 de 2022 del MEN. </v>
          </cell>
          <cell r="K167" t="str">
            <v>MARTHA RUT SILVA ABRIL</v>
          </cell>
          <cell r="L167" t="str">
            <v>JUAN MANUEL SANCHEZ MORA</v>
          </cell>
          <cell r="M167">
            <v>45742</v>
          </cell>
          <cell r="N167">
            <v>45749</v>
          </cell>
          <cell r="O167">
            <v>45749</v>
          </cell>
          <cell r="P167" t="str">
            <v>Visitas de evaluación con fines de seguimiento</v>
          </cell>
          <cell r="Q167" t="str">
            <v>01042025 colegio reina de gales.pdf</v>
          </cell>
          <cell r="R167" t="str">
            <v>Se evidenció que no cuenta con la consulta para la vinculacion de docentes en el sistema para la verficacion de las inhabilidades por delitos sexuales.</v>
          </cell>
          <cell r="S167" t="str">
            <v>Realizar consulta cada 4 meses en el sistema para la verficacion de las inhabilidades acorde con lo establecido en la Directva 01 de 2022 del MEN e incorporar en la carpeta de las hojas de vida de los docentes y demás personal vinculado a la institución.</v>
          </cell>
          <cell r="T167" t="str">
            <v>Si</v>
          </cell>
          <cell r="U167" t="str">
            <v>Verificar la formulación del plan de mejoramiento fijado para 9 de mayo de 2025</v>
          </cell>
        </row>
        <row r="168">
          <cell r="A168">
            <v>2089</v>
          </cell>
          <cell r="B168">
            <v>18</v>
          </cell>
          <cell r="C168" t="str">
            <v>SUBA</v>
          </cell>
          <cell r="D168" t="str">
            <v>PRIVADO</v>
          </cell>
          <cell r="E168" t="str">
            <v>EPBM</v>
          </cell>
          <cell r="F168" t="str">
            <v>COLEGIO_REINA_DE_GALES</v>
          </cell>
          <cell r="G168" t="str">
            <v>COLEGIO REINA DE GALES</v>
          </cell>
          <cell r="H168" t="str">
            <v>Autoevaluación Institucional y Pruebas SABER 11</v>
          </cell>
          <cell r="I168" t="str">
            <v>SEGUIMIENTO_Y_SUPERVISIÓN.</v>
          </cell>
          <cell r="J16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8" t="str">
            <v>MARTHA RUT SILVA ABRIL</v>
          </cell>
          <cell r="L168" t="str">
            <v>JUAN MANUEL SANCHEZ MORA</v>
          </cell>
          <cell r="M168">
            <v>45742</v>
          </cell>
          <cell r="N168">
            <v>45749</v>
          </cell>
          <cell r="O168">
            <v>45749</v>
          </cell>
          <cell r="P168" t="str">
            <v>Visitas de evaluación con fines de seguimiento</v>
          </cell>
          <cell r="Q168" t="str">
            <v>01042025 colegio reina de gales.pdf</v>
          </cell>
          <cell r="R168" t="str">
            <v>Los PIAR para la población de inclusión se encuentran en proceso de construcción.</v>
          </cell>
          <cell r="S168" t="str">
            <v>Estruturar los PIAR acorde con lo etablecido en la norma, y según necesidades de los estudiantes en los formatos estandarizados.</v>
          </cell>
          <cell r="T168" t="str">
            <v>Si</v>
          </cell>
          <cell r="U168" t="str">
            <v>Verificar la formulación del plan de mejoramiento fijado para 9 de mayo de 2025</v>
          </cell>
        </row>
        <row r="169">
          <cell r="A169">
            <v>2090</v>
          </cell>
          <cell r="B169">
            <v>18</v>
          </cell>
          <cell r="C169" t="str">
            <v>SUBA</v>
          </cell>
          <cell r="D169" t="str">
            <v>PRIVADO</v>
          </cell>
          <cell r="E169" t="str">
            <v>EPBM</v>
          </cell>
          <cell r="F169" t="str">
            <v>COLEGIO_REINA_DE_GALES</v>
          </cell>
          <cell r="G169" t="str">
            <v>COLEGIO REINA DE GALES</v>
          </cell>
          <cell r="H169" t="str">
            <v>Autoevaluación Institucional y Pruebas SABER 11</v>
          </cell>
          <cell r="I169" t="str">
            <v>EVALUACIÓN_CON_FINES_DE_MEJORAMIENTO.</v>
          </cell>
          <cell r="J16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9" t="str">
            <v>MARTHA RUT SILVA ABRIL</v>
          </cell>
          <cell r="L169" t="str">
            <v>JUAN MANUEL SANCHEZ MORA</v>
          </cell>
          <cell r="M169">
            <v>45742</v>
          </cell>
          <cell r="N169">
            <v>45749</v>
          </cell>
          <cell r="O169">
            <v>45749</v>
          </cell>
          <cell r="P169" t="str">
            <v>Visitas de evaluación con fines de mejoramiento</v>
          </cell>
          <cell r="Q169" t="str">
            <v>01042025 colegio reina de gales.pdf</v>
          </cell>
          <cell r="R169" t="str">
            <v>Verificado el manual de convivencia se evidencia que está desactualizado y sin la debida adopcion del Consejo Directivo.</v>
          </cell>
          <cell r="S169" t="str">
            <v>Ajustar y adoptar el manual de convivencia de confromidad con lo establecido en el Decreto 1075 de 2015 y la Ley 1620 de 2013.</v>
          </cell>
          <cell r="T169" t="str">
            <v>Si</v>
          </cell>
          <cell r="U169" t="str">
            <v>Verificar la formulación del plan de mejoramiento fijado para 9 de mayo de 2025</v>
          </cell>
        </row>
        <row r="170">
          <cell r="A170">
            <v>2091</v>
          </cell>
          <cell r="B170">
            <v>18</v>
          </cell>
          <cell r="C170" t="str">
            <v>SUBA</v>
          </cell>
          <cell r="D170" t="str">
            <v>PRIVADO</v>
          </cell>
          <cell r="E170" t="str">
            <v>EPBM</v>
          </cell>
          <cell r="F170" t="str">
            <v>COLEGIO_REINA_DE_GALES</v>
          </cell>
          <cell r="G170" t="str">
            <v>COLEGIO REINA DE GALES</v>
          </cell>
          <cell r="H170" t="str">
            <v>Autoevaluación Institucional y Pruebas SABER 11</v>
          </cell>
          <cell r="I170" t="str">
            <v>EVALUACIÓN_CON_FINES_DE_MEJORAMIENTO.</v>
          </cell>
          <cell r="J170" t="str">
            <v>Revisar la actualización, socialización e implementación del Sistema Institucional de Evaluación de Estudiantes - SIEE, en articulación con la actualización del PEI y la normatividad vigente.</v>
          </cell>
          <cell r="K170" t="str">
            <v>MARTHA RUT SILVA ABRIL</v>
          </cell>
          <cell r="L170" t="str">
            <v>JUAN MANUEL SANCHEZ MORA</v>
          </cell>
          <cell r="M170">
            <v>45742</v>
          </cell>
          <cell r="N170">
            <v>45749</v>
          </cell>
          <cell r="O170">
            <v>45749</v>
          </cell>
          <cell r="P170" t="str">
            <v>Visitas de evaluación con fines de mejoramiento</v>
          </cell>
          <cell r="Q170" t="str">
            <v>01042025 colegio reina de gales.pdf</v>
          </cell>
          <cell r="R170" t="str">
            <v>Se evidencia desactualización del SIEE, escalas de valoracion cualitativa sin articulacion con el PEI.</v>
          </cell>
          <cell r="S170" t="str">
            <v>Realizar actualizacion del SIEE incluyendo las escalas de valoracion cualitativa y articularlo con el PEI siguiendo los parametros establecidos en la norma.</v>
          </cell>
          <cell r="T170" t="str">
            <v>Si</v>
          </cell>
          <cell r="U170" t="str">
            <v>Verificar la formulación del plan de mejoramiento fijado para 9 de mayo de 2025</v>
          </cell>
        </row>
        <row r="171">
          <cell r="A171">
            <v>2092</v>
          </cell>
          <cell r="B171">
            <v>18</v>
          </cell>
          <cell r="C171" t="str">
            <v>SUBA</v>
          </cell>
          <cell r="D171" t="str">
            <v>PRIVADO</v>
          </cell>
          <cell r="E171" t="str">
            <v>EPBM</v>
          </cell>
          <cell r="F171" t="str">
            <v>COLEGIO_REINA_DE_GALES</v>
          </cell>
          <cell r="G171" t="str">
            <v>COLEGIO REINA DE GALES</v>
          </cell>
          <cell r="H171" t="str">
            <v>Autoevaluación Institucional y Pruebas SABER 11</v>
          </cell>
          <cell r="I171" t="str">
            <v>EVALUACIÓN_CON_FINES_DE_MEJORAMIENTO.</v>
          </cell>
          <cell r="J171" t="str">
            <v>Revisar el calendario escolar, jornada escolar, la intensidad horaria mínima anual en cada nivel y las modificaciones que se realicen al mismo, de acuerdo con lo previsto en la normatividad vigente.</v>
          </cell>
          <cell r="K171" t="str">
            <v>MARTHA RUT SILVA ABRIL</v>
          </cell>
          <cell r="L171" t="str">
            <v>JUAN MANUEL SANCHEZ MORA</v>
          </cell>
          <cell r="M171">
            <v>45742</v>
          </cell>
          <cell r="N171">
            <v>45749</v>
          </cell>
          <cell r="O171">
            <v>45749</v>
          </cell>
          <cell r="P171" t="str">
            <v>Visitas de evaluación con fines de mejoramiento</v>
          </cell>
          <cell r="Q171" t="str">
            <v>01042025 colegio reina de gales.pdf</v>
          </cell>
          <cell r="R171" t="str">
            <v>Se verifica que el calendario se ajusta a  las intensidades minimas establecidas.</v>
          </cell>
          <cell r="S171" t="str">
            <v>Continuar con la implementación del calendario en cuanto a las semanas de desarrollo académico y las intensidades de las áreas fundamentales.</v>
          </cell>
          <cell r="T171" t="str">
            <v>No</v>
          </cell>
          <cell r="U171" t="str">
            <v>Revisar el calendario en caso de presentarse queja o para la siguiente vigencia.</v>
          </cell>
        </row>
        <row r="172">
          <cell r="A172">
            <v>2093</v>
          </cell>
          <cell r="B172">
            <v>18</v>
          </cell>
          <cell r="C172" t="str">
            <v>SUBA</v>
          </cell>
          <cell r="D172" t="str">
            <v>PRIVADO</v>
          </cell>
          <cell r="E172" t="str">
            <v>EPBM</v>
          </cell>
          <cell r="F172" t="str">
            <v>COLEGIO_REINA_DE_GALES</v>
          </cell>
          <cell r="G172" t="str">
            <v>COLEGIO REINA DE GALES</v>
          </cell>
          <cell r="H172" t="str">
            <v>Autoevaluación Institucional y Pruebas SABER 11</v>
          </cell>
          <cell r="I172" t="str">
            <v>EVALUACIÓN_CON_FINES_DE_MEJORAMIENTO.</v>
          </cell>
          <cell r="J172" t="str">
            <v>Verificar el funcionamiento del Gobierno Escolar e instancias de participación con base en la información sobre conformación reportada por la institución educativa.</v>
          </cell>
          <cell r="K172" t="str">
            <v>MARTHA RUT SILVA ABRIL</v>
          </cell>
          <cell r="L172" t="str">
            <v>JUAN MANUEL SANCHEZ MORA</v>
          </cell>
          <cell r="M172">
            <v>45742</v>
          </cell>
          <cell r="N172">
            <v>45749</v>
          </cell>
          <cell r="O172">
            <v>45749</v>
          </cell>
          <cell r="P172" t="str">
            <v>Visitas de evaluación con fines de mejoramiento</v>
          </cell>
          <cell r="Q172" t="str">
            <v>01042025 colegio reina de gales.pdf</v>
          </cell>
          <cell r="R172" t="str">
            <v xml:space="preserve">Cargar las actas de conformación en el aplicativo SAE, y sesionar con cada organo del gobierno escolar de confromidad con la periodicidad y funciones establecidas en la norma  </v>
          </cell>
          <cell r="S172" t="str">
            <v>Verficar el SAE y verificar las actas que evidencien el funcionamiento de los organos del gobierno escolar</v>
          </cell>
          <cell r="T172" t="str">
            <v>Si</v>
          </cell>
          <cell r="U172" t="str">
            <v>Verificar la formulación del plan de mejoramiento fijado para 9 de mayo de 2025</v>
          </cell>
        </row>
        <row r="173">
          <cell r="A173">
            <v>2094</v>
          </cell>
          <cell r="B173">
            <v>18</v>
          </cell>
          <cell r="C173" t="str">
            <v>SUBA</v>
          </cell>
          <cell r="D173" t="str">
            <v>PRIVADO</v>
          </cell>
          <cell r="E173" t="str">
            <v>EPBM</v>
          </cell>
          <cell r="F173" t="str">
            <v>COLEGIO_REINA_DE_GALES</v>
          </cell>
          <cell r="G173" t="str">
            <v>COLEGIO REINA DE GALES</v>
          </cell>
          <cell r="H173" t="str">
            <v>Autoevaluación Institucional y Pruebas SABER 11</v>
          </cell>
          <cell r="I173" t="str">
            <v>EVALUACIÓN_CON_FINES_DE_MEJORAMIENTO.</v>
          </cell>
          <cell r="J173" t="str">
            <v>Verificar las condiciones en cuanto a: la estructura administrativa, condiciones de la planta física y medios educativos adecuados.</v>
          </cell>
          <cell r="K173" t="str">
            <v>MARTHA RUT SILVA ABRIL</v>
          </cell>
          <cell r="L173" t="str">
            <v>JUAN MANUEL SANCHEZ MORA</v>
          </cell>
          <cell r="M173">
            <v>45742</v>
          </cell>
          <cell r="N173">
            <v>45749</v>
          </cell>
          <cell r="O173">
            <v>45749</v>
          </cell>
          <cell r="P173" t="str">
            <v>Visitas de evaluación con fines de mejoramiento</v>
          </cell>
          <cell r="Q173" t="str">
            <v>01042025 colegio reina de gales.pdf</v>
          </cell>
          <cell r="R173" t="str">
            <v xml:space="preserve">Se evidencia que se requieren mejoras en la planta física, adecuación de espacios y dotación adecuada a la población estudiantil atendida. </v>
          </cell>
          <cell r="S173" t="str">
            <v>Reorganizacion y adecuación de espacios pedagogicos como la biblioteca, laboratorios y baños.</v>
          </cell>
          <cell r="T173" t="str">
            <v>Si</v>
          </cell>
          <cell r="U173" t="str">
            <v>Verificar la formulación del plan de mejoramiento fijado para 9 de mayo de 2025</v>
          </cell>
        </row>
        <row r="174">
          <cell r="A174">
            <v>2095</v>
          </cell>
          <cell r="B174">
            <v>19</v>
          </cell>
          <cell r="C174" t="str">
            <v>SUBA</v>
          </cell>
          <cell r="D174" t="str">
            <v>PRIVADO</v>
          </cell>
          <cell r="E174" t="str">
            <v>EPBM</v>
          </cell>
          <cell r="F174" t="str">
            <v>GIMNASIO_SANTANDER</v>
          </cell>
          <cell r="G174" t="str">
            <v>GIMNASIO SANTANDER</v>
          </cell>
          <cell r="H174" t="str">
            <v>Autoevaluación Institucional y Pruebas SABER 11</v>
          </cell>
          <cell r="I174" t="str">
            <v>SEGUIMIENTO_Y_SUPERVISIÓN.</v>
          </cell>
          <cell r="J174" t="str">
            <v>Realizar visitas para verificar la información registrada sobre la autoevaluación institucional en el aplicativo EVI, a los establecimientos de educación formal no oficial.</v>
          </cell>
          <cell r="K174" t="str">
            <v>SONIA CONSTANZA URREGO GONZÁLEZ</v>
          </cell>
          <cell r="L174" t="str">
            <v>ALBA DEL PILAR CUBIDES CÁCERES</v>
          </cell>
          <cell r="M174">
            <v>45755</v>
          </cell>
          <cell r="N174">
            <v>45749</v>
          </cell>
          <cell r="O174">
            <v>45749</v>
          </cell>
          <cell r="P174" t="str">
            <v>Visitas de evaluación con fines de seguimiento</v>
          </cell>
          <cell r="Q174" t="str">
            <v>ACTA DE VISITA GIMNASIO SANTANDER.pdf</v>
          </cell>
          <cell r="R174" t="str">
            <v>Al momento de la visita se encontró que en aspectos como baterias de baños, número de computadores, espacios recreativos la información no corresponde con la reportada  en el aplicativo EVI.</v>
          </cell>
          <cell r="S174" t="str">
            <v>Realizar la revisión de la normatividad relacionada con los espacios minimos y acorde a ella, aportar en el plan de mejormiento los ajustes a realizar en la institución, antes del 20 de abril de 2025.</v>
          </cell>
          <cell r="T174" t="str">
            <v>Si</v>
          </cell>
          <cell r="U174" t="str">
            <v>Verificar con registro fotográfico, los avances de acuerdo a los plazos registrados en el PMI</v>
          </cell>
        </row>
        <row r="175">
          <cell r="A175">
            <v>2096</v>
          </cell>
          <cell r="B175">
            <v>19</v>
          </cell>
          <cell r="C175" t="str">
            <v>SUBA</v>
          </cell>
          <cell r="D175" t="str">
            <v>PRIVADO</v>
          </cell>
          <cell r="E175" t="str">
            <v>EPBM</v>
          </cell>
          <cell r="F175" t="str">
            <v>GIMNASIO_SANTANDER</v>
          </cell>
          <cell r="G175" t="str">
            <v>GIMNASIO SANTANDER</v>
          </cell>
          <cell r="H175" t="str">
            <v>Autoevaluación Institucional y Pruebas SABER 11</v>
          </cell>
          <cell r="I175" t="str">
            <v>SEGUIMIENTO_Y_SUPERVISIÓN.</v>
          </cell>
          <cell r="J175" t="str">
            <v>Proponer estrategias en la formulación, verificar su elaboración y realizar seguimiento semestral al desarrollo de  las acciones establecidas en los planes de mejoramiento por pruebas SABER 11 de los establecimientos de educación formal.</v>
          </cell>
          <cell r="K175" t="str">
            <v>SONIA CONSTANZA URREGO GONZÁLEZ</v>
          </cell>
          <cell r="L175" t="str">
            <v>ALBA DEL PILAR CUBIDES CÁCERES</v>
          </cell>
          <cell r="M175">
            <v>45755</v>
          </cell>
          <cell r="N175">
            <v>45749</v>
          </cell>
          <cell r="O175">
            <v>45749</v>
          </cell>
          <cell r="P175" t="str">
            <v>Visitas de evaluación con fines de seguimiento</v>
          </cell>
          <cell r="Q175" t="str">
            <v>ACTA DE VISITA GIMNASIO SANTANDER.pdf</v>
          </cell>
          <cell r="R175" t="str">
            <v>La institución educativa se encuentra clasificada en nivel B, no realiza el análsis, ni crea estrtegias para subir el nivel en las pruebas.</v>
          </cell>
          <cell r="S175" t="str">
            <v xml:space="preserve">Revisar los resultados y la relación con las asignaturas del plan de estudio, analizando los resultados obtenidos  de los últimos años y elaborar un plan de mejoramiento sobre las acciones a tomar. </v>
          </cell>
          <cell r="T175" t="str">
            <v>Si</v>
          </cell>
          <cell r="U175" t="str">
            <v>Verificar los resultados y las acciones en las asignaturas que presentan puntajes más bajos en la próxima calificación de las pruebas</v>
          </cell>
        </row>
        <row r="176">
          <cell r="A176">
            <v>2097</v>
          </cell>
          <cell r="B176">
            <v>19</v>
          </cell>
          <cell r="C176" t="str">
            <v>SUBA</v>
          </cell>
          <cell r="D176" t="str">
            <v>PRIVADO</v>
          </cell>
          <cell r="E176" t="str">
            <v>EPBM</v>
          </cell>
          <cell r="F176" t="str">
            <v>GIMNASIO_SANTANDER</v>
          </cell>
          <cell r="G176" t="str">
            <v>GIMNASIO SANTANDER</v>
          </cell>
          <cell r="H176" t="str">
            <v>Autoevaluación Institucional y Pruebas SABER 11</v>
          </cell>
          <cell r="I176" t="str">
            <v>SEGUIMIENTO_Y_SUPERVISIÓN.</v>
          </cell>
          <cell r="J176" t="str">
            <v xml:space="preserve">Verificar la implementación por parte de los colegios, de acciones realizadas para la prevención y atención de las situaciones de convivencia en el entorno escolar, según lo establecido en la Directiva 01 de 2022 del MEN. </v>
          </cell>
          <cell r="K176" t="str">
            <v>SONIA CONSTANZA URREGO GONZÁLEZ</v>
          </cell>
          <cell r="L176" t="str">
            <v>ALBA DEL PILAR CUBIDES CÁCERES</v>
          </cell>
          <cell r="M176">
            <v>45755</v>
          </cell>
          <cell r="N176">
            <v>45692</v>
          </cell>
          <cell r="O176">
            <v>45749</v>
          </cell>
          <cell r="P176" t="str">
            <v>Visitas de evaluación con fines de seguimiento</v>
          </cell>
          <cell r="Q176" t="str">
            <v>ACTA DE VISITA GIMNASIO SANTANDER.pdf</v>
          </cell>
          <cell r="R176" t="str">
            <v>Verificadas las hojas de vida de los docentes de conformidad a la directiva  001 del 2022, se encuentran las consultas en la página de la policia de los antecedentes de delitos sexuales y queda pendiente por estar sobre el tiempo, la nueva consulta.</v>
          </cell>
          <cell r="S176" t="str">
            <v xml:space="preserve">Realizar la consulta cada 4 meses, dejando el respectivo soporte, en cumplimiento de la Directiva 01 de 2022  </v>
          </cell>
          <cell r="T176" t="str">
            <v>No</v>
          </cell>
          <cell r="U176" t="str">
            <v>Verificar la consulta realizada a los 4 meses de realizada la primera.</v>
          </cell>
        </row>
        <row r="177">
          <cell r="A177">
            <v>2098</v>
          </cell>
          <cell r="B177">
            <v>19</v>
          </cell>
          <cell r="C177" t="str">
            <v>SUBA</v>
          </cell>
          <cell r="D177" t="str">
            <v>PRIVADO</v>
          </cell>
          <cell r="E177" t="str">
            <v>EPBM</v>
          </cell>
          <cell r="F177" t="str">
            <v>GIMNASIO_SANTANDER</v>
          </cell>
          <cell r="G177" t="str">
            <v>GIMNASIO SANTANDER</v>
          </cell>
          <cell r="H177" t="str">
            <v>Autoevaluación Institucional y Pruebas SABER 11</v>
          </cell>
          <cell r="I177" t="str">
            <v>SEGUIMIENTO_Y_SUPERVISIÓN.</v>
          </cell>
          <cell r="J17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7" t="str">
            <v>SONIA CONSTANZA URREGO GONZÁLEZ</v>
          </cell>
          <cell r="L177" t="str">
            <v>ALBA DEL PILAR CUBIDES CÁCERES</v>
          </cell>
          <cell r="M177">
            <v>45755</v>
          </cell>
          <cell r="N177">
            <v>45749</v>
          </cell>
          <cell r="O177">
            <v>45692</v>
          </cell>
          <cell r="P177" t="str">
            <v>Visitas de evaluación con fines de seguimiento</v>
          </cell>
          <cell r="Q177" t="str">
            <v>ACTA DE VISITA GIMNASIO SANTANDER.pdf</v>
          </cell>
          <cell r="R177" t="str">
            <v>Se deben soportar en la norma, para la construcción del Plan Individual de Ajustes Razonables PIAR.</v>
          </cell>
          <cell r="S177" t="str">
            <v>Realizar los PIAR en el formato establecido, con las acciones completas a seguir con cada estudiante según Decreto 1421 de 2017. Incluir en el Plan de mejoramiento a entregar.</v>
          </cell>
          <cell r="T177" t="str">
            <v>Si</v>
          </cell>
          <cell r="U177" t="str">
            <v>Verificar el ajuste realizado a cada uno de los PIAR.</v>
          </cell>
        </row>
        <row r="178">
          <cell r="A178">
            <v>2099</v>
          </cell>
          <cell r="B178">
            <v>19</v>
          </cell>
          <cell r="C178" t="str">
            <v>SUBA</v>
          </cell>
          <cell r="D178" t="str">
            <v>PRIVADO</v>
          </cell>
          <cell r="E178" t="str">
            <v>EPBM</v>
          </cell>
          <cell r="F178" t="str">
            <v>GIMNASIO_SANTANDER</v>
          </cell>
          <cell r="G178" t="str">
            <v>GIMNASIO SANTANDER</v>
          </cell>
          <cell r="H178" t="str">
            <v>Autoevaluación Institucional y Pruebas SABER 11</v>
          </cell>
          <cell r="I178" t="str">
            <v>EVALUACIÓN_CON_FINES_DE_MEJORAMIENTO.</v>
          </cell>
          <cell r="J17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8" t="str">
            <v>SONIA CONSTANZA URREGO GONZÁLEZ</v>
          </cell>
          <cell r="L178" t="str">
            <v>ALBA DEL PILAR CUBIDES CÁCERES</v>
          </cell>
          <cell r="M178">
            <v>45755</v>
          </cell>
          <cell r="N178">
            <v>45749</v>
          </cell>
          <cell r="O178">
            <v>45692</v>
          </cell>
          <cell r="P178" t="str">
            <v>Visitas de evaluación con fines de mejoramiento</v>
          </cell>
          <cell r="Q178" t="str">
            <v>ACTA DE VISITA GIMNASIO SANTANDER.pdf</v>
          </cell>
          <cell r="R178" t="str">
            <v>Se encontró que la última actualización es del año 2024 y será sujeto de revisión por parte del ELIV.</v>
          </cell>
          <cell r="S178" t="str">
            <v>Actualizar el manual de convivencia según la normatividad vigente y observaciones realizadas porparte del ELIV.</v>
          </cell>
          <cell r="T178" t="str">
            <v>Si</v>
          </cell>
          <cell r="U178" t="str">
            <v>Verificar la actualización del manual de convivencia.</v>
          </cell>
        </row>
        <row r="179">
          <cell r="A179">
            <v>2100</v>
          </cell>
          <cell r="B179">
            <v>19</v>
          </cell>
          <cell r="C179" t="str">
            <v>SUBA</v>
          </cell>
          <cell r="D179" t="str">
            <v>PRIVADO</v>
          </cell>
          <cell r="E179" t="str">
            <v>EPBM</v>
          </cell>
          <cell r="F179" t="str">
            <v>GIMNASIO_SANTANDER</v>
          </cell>
          <cell r="G179" t="str">
            <v>GIMNASIO SANTANDER</v>
          </cell>
          <cell r="H179" t="str">
            <v>Autoevaluación Institucional y Pruebas SABER 11</v>
          </cell>
          <cell r="I179" t="str">
            <v>EVALUACIÓN_CON_FINES_DE_MEJORAMIENTO.</v>
          </cell>
          <cell r="J179" t="str">
            <v>Revisar la actualización, socialización e implementación del Sistema Institucional de Evaluación de Estudiantes - SIEE, en articulación con la actualización del PEI y la normatividad vigente.</v>
          </cell>
          <cell r="K179" t="str">
            <v>SONIA CONSTANZA URREGO GONZÁLEZ</v>
          </cell>
          <cell r="L179" t="str">
            <v>ALBA DEL PILAR CUBIDES CÁCERES</v>
          </cell>
          <cell r="M179">
            <v>45755</v>
          </cell>
          <cell r="N179">
            <v>45692</v>
          </cell>
          <cell r="O179">
            <v>45749</v>
          </cell>
          <cell r="P179" t="str">
            <v>Visitas de evaluación con fines de mejoramiento</v>
          </cell>
          <cell r="Q179" t="str">
            <v>ACTA DE VISITA GIMNASIO SANTANDER.pdf</v>
          </cell>
          <cell r="R179" t="str">
            <v>Se realizará retroalimentación sobre  el SIEE, posterior a su valoración por parte del ELIV</v>
          </cell>
          <cell r="S179" t="str">
            <v>Se allegará valoración para posterior revisión y ajustes por parte de la institución.</v>
          </cell>
          <cell r="T179" t="str">
            <v>Si</v>
          </cell>
          <cell r="U179" t="str">
            <v>Verificar los ajustes realizados.</v>
          </cell>
        </row>
        <row r="180">
          <cell r="A180">
            <v>2101</v>
          </cell>
          <cell r="B180">
            <v>19</v>
          </cell>
          <cell r="C180" t="str">
            <v>SUBA</v>
          </cell>
          <cell r="D180" t="str">
            <v>PRIVADO</v>
          </cell>
          <cell r="E180" t="str">
            <v>EPBM</v>
          </cell>
          <cell r="F180" t="str">
            <v>GIMNASIO_SANTANDER</v>
          </cell>
          <cell r="G180" t="str">
            <v>GIMNASIO SANTANDER</v>
          </cell>
          <cell r="H180" t="str">
            <v>Autoevaluación Institucional y Pruebas SABER 11</v>
          </cell>
          <cell r="I180" t="str">
            <v>EVALUACIÓN_CON_FINES_DE_MEJORAMIENTO.</v>
          </cell>
          <cell r="J180" t="str">
            <v>Revisar el calendario escolar, jornada escolar, la intensidad horaria mínima anual en cada nivel y las modificaciones que se realicen al mismo, de acuerdo con lo previsto en la normatividad vigente.</v>
          </cell>
          <cell r="K180" t="str">
            <v>SONIA CONSTANZA URREGO GONZÁLEZ</v>
          </cell>
          <cell r="L180" t="str">
            <v>ALBA DEL PILAR CUBIDES CÁCERES</v>
          </cell>
          <cell r="M180">
            <v>45755</v>
          </cell>
          <cell r="N180">
            <v>45749</v>
          </cell>
          <cell r="O180">
            <v>45749</v>
          </cell>
          <cell r="P180" t="str">
            <v>Visitas de evaluación con fines de mejoramiento</v>
          </cell>
          <cell r="Q180" t="str">
            <v>ACTA DE VISITA GIMNASIO SANTANDER.pdf</v>
          </cell>
          <cell r="R180" t="str">
            <v xml:space="preserve">Cumple con el número de semanas y horas por cada nivel y realizó reporte de información del calendario escolar. </v>
          </cell>
          <cell r="S180" t="str">
            <v xml:space="preserve">Continuar con la ejecución del calendario académico.  </v>
          </cell>
          <cell r="T180" t="str">
            <v>No</v>
          </cell>
          <cell r="U180" t="str">
            <v>Verificar el cumplimiento a  la ejecución del  calendario  académico.</v>
          </cell>
        </row>
        <row r="181">
          <cell r="A181">
            <v>2102</v>
          </cell>
          <cell r="B181">
            <v>19</v>
          </cell>
          <cell r="C181" t="str">
            <v>SUBA</v>
          </cell>
          <cell r="D181" t="str">
            <v>PRIVADO</v>
          </cell>
          <cell r="E181" t="str">
            <v>EPBM</v>
          </cell>
          <cell r="F181" t="str">
            <v>GIMNASIO_SANTANDER</v>
          </cell>
          <cell r="G181" t="str">
            <v>GIMNASIO SANTANDER</v>
          </cell>
          <cell r="H181" t="str">
            <v>Autoevaluación Institucional y Pruebas SABER 11</v>
          </cell>
          <cell r="I181" t="str">
            <v>EVALUACIÓN_CON_FINES_DE_MEJORAMIENTO.</v>
          </cell>
          <cell r="J181" t="str">
            <v>Verificar el funcionamiento del Gobierno Escolar e instancias de participación con base en la información sobre conformación reportada por la institución educativa.</v>
          </cell>
          <cell r="K181" t="str">
            <v>SONIA CONSTANZA URREGO GONZÁLEZ</v>
          </cell>
          <cell r="L181" t="str">
            <v>ALBA DEL PILAR CUBIDES CÁCERES</v>
          </cell>
          <cell r="M181">
            <v>45755</v>
          </cell>
          <cell r="N181">
            <v>45749</v>
          </cell>
          <cell r="O181">
            <v>45749</v>
          </cell>
          <cell r="P181" t="str">
            <v>Visitas de evaluación con fines de mejoramiento</v>
          </cell>
          <cell r="Q181" t="str">
            <v>ACTA DE VISITA GIMNASIO SANTANDER.pdf</v>
          </cell>
          <cell r="R181" t="str">
            <v>No reporto Gobierno Escolar en el apicativo SAE</v>
          </cell>
          <cell r="S181" t="str">
            <v>Cargar las actas de conformación en el aplicativo SAE sesionar con cada órgano de gobierno de conformidad con la periodicidad establecida en la norma.</v>
          </cell>
          <cell r="T181" t="str">
            <v>Si</v>
          </cell>
          <cell r="U181" t="str">
            <v>Verificar el cargue de las actas en el eplicativo SAE y sesiones de cada órgano de Gobierno Escolar.</v>
          </cell>
        </row>
        <row r="182">
          <cell r="A182">
            <v>2103</v>
          </cell>
          <cell r="B182">
            <v>19</v>
          </cell>
          <cell r="C182" t="str">
            <v>SUBA</v>
          </cell>
          <cell r="D182" t="str">
            <v>PRIVADO</v>
          </cell>
          <cell r="E182" t="str">
            <v>EPBM</v>
          </cell>
          <cell r="F182" t="str">
            <v>GIMNASIO_SANTANDER</v>
          </cell>
          <cell r="G182" t="str">
            <v>GIMNASIO SANTANDER</v>
          </cell>
          <cell r="H182" t="str">
            <v>Autoevaluación Institucional y Pruebas SABER 11</v>
          </cell>
          <cell r="I182" t="str">
            <v>EVALUACIÓN_CON_FINES_DE_MEJORAMIENTO.</v>
          </cell>
          <cell r="J182" t="str">
            <v>Verificar las condiciones en cuanto a: la estructura administrativa, condiciones de la planta física y medios educativos adecuados.</v>
          </cell>
          <cell r="K182" t="str">
            <v>SONIA CONSTANZA URREGO GONZÁLEZ</v>
          </cell>
          <cell r="L182" t="str">
            <v>ALBA DEL PILAR CUBIDES CÁCERES</v>
          </cell>
          <cell r="M182">
            <v>45755</v>
          </cell>
          <cell r="N182">
            <v>45749</v>
          </cell>
          <cell r="O182">
            <v>45749</v>
          </cell>
          <cell r="P182" t="str">
            <v>Visitas de evaluación con fines de mejoramiento</v>
          </cell>
          <cell r="Q182" t="str">
            <v>ACTA DE VISITA GIMNASIO SANTANDER.pdf</v>
          </cell>
          <cell r="R182" t="str">
            <v>Se debe realizar una valoración de la planta física y establecer estrategias que mitiguen el riesgo  de accidentalidad, teniendo en cuenta el Plan de Gestión del Riesgo. A pesar de no tener estudiantes con discapacidad física, no tiene espacios adecuado en caso de requerirlo. Adecuación y ambientación para las aulas de primera infancia. Revisar visualización al tablero de algunas aulas y tomar mediadas, ya que brillan desde algunos puntos del aula. Las baterias de baños no son suficientes, debe mirar la posibilidad de ampliar y tomar medidas de ventilación en algunas de ellas.</v>
          </cell>
          <cell r="S182" t="str">
            <v>Realizar las adecuaciones en los espacios mencionados e incluirlo en el Plan de Mejoramiento a remitir a la DLE antes del 20 de abril de 2025.</v>
          </cell>
          <cell r="T182" t="str">
            <v>Si</v>
          </cell>
          <cell r="U182" t="str">
            <v>Verificar con registro fotográfico, los avances de acuerdo a los plazos registrados en el PMI</v>
          </cell>
        </row>
        <row r="183">
          <cell r="A183">
            <v>2104</v>
          </cell>
          <cell r="B183">
            <v>20</v>
          </cell>
          <cell r="C183" t="str">
            <v>SUBA</v>
          </cell>
          <cell r="D183" t="str">
            <v>PRIVADO</v>
          </cell>
          <cell r="E183" t="str">
            <v>EPBM</v>
          </cell>
          <cell r="F183" t="str">
            <v>COLEGIO_VAN_LEEUWENHOEK</v>
          </cell>
          <cell r="G183" t="str">
            <v>COLEGIO VAN LEEUWENHOEK</v>
          </cell>
          <cell r="H183" t="str">
            <v>Autoevaluación Institucional y Pruebas SABER 11</v>
          </cell>
          <cell r="I183" t="str">
            <v>SEGUIMIENTO_Y_SUPERVISIÓN.</v>
          </cell>
          <cell r="J183" t="str">
            <v>Realizar visitas para verificar la información registrada sobre la autoevaluación institucional en el aplicativo EVI, a los establecimientos de educación formal no oficial.</v>
          </cell>
          <cell r="K183" t="str">
            <v>SONIA CONSTANZA URREGO GONZÁLEZ</v>
          </cell>
          <cell r="L183" t="str">
            <v>ALBA DEL PILAR CUBIDES CÁCERES</v>
          </cell>
          <cell r="M183" t="str">
            <v>13/05/2025</v>
          </cell>
          <cell r="N183">
            <v>45789</v>
          </cell>
          <cell r="O183">
            <v>45789</v>
          </cell>
          <cell r="P183" t="str">
            <v>Visitas de evaluación con fines de seguimiento</v>
          </cell>
          <cell r="Q183" t="str">
            <v>ACTA DE VISITA COLEGIO VAN LEEUWENHOEK.pdf</v>
          </cell>
          <cell r="R183" t="str">
            <v>Al momento de la visita se encontró que las baterias de baños, no corresponde con la reportada  en el aplicativo EVI.</v>
          </cell>
          <cell r="S183" t="str">
            <v>Realizar la revisión de la normatividad relacionada con los espacios minimos  Aportar en el plan de mejormiento antes del 2 de junio de 2025.</v>
          </cell>
          <cell r="T183" t="str">
            <v>Si</v>
          </cell>
          <cell r="U183" t="str">
            <v>Verificar con registro fotográfico, los avances de acuerdo a los plazos registrados en el PMI</v>
          </cell>
        </row>
        <row r="184">
          <cell r="A184">
            <v>2105</v>
          </cell>
          <cell r="B184">
            <v>20</v>
          </cell>
          <cell r="C184" t="str">
            <v>SUBA</v>
          </cell>
          <cell r="D184" t="str">
            <v>PRIVADO</v>
          </cell>
          <cell r="E184" t="str">
            <v>EPBM</v>
          </cell>
          <cell r="F184" t="str">
            <v>COLEGIO_VAN_LEEUWENHOEK</v>
          </cell>
          <cell r="G184" t="str">
            <v>COLEGIO VAN LEEUWENHOEK</v>
          </cell>
          <cell r="H184" t="str">
            <v>Autoevaluación Institucional y Pruebas SABER 11</v>
          </cell>
          <cell r="I184" t="str">
            <v>SEGUIMIENTO_Y_SUPERVISIÓN.</v>
          </cell>
          <cell r="J184" t="str">
            <v>Proponer estrategias en la formulación, verificar su elaboración y realizar seguimiento semestral al desarrollo de  las acciones establecidas en los planes de mejoramiento por pruebas SABER 11 de los establecimientos de educación formal.</v>
          </cell>
          <cell r="K184" t="str">
            <v>SONIA CONSTANZA URREGO GONZÁLEZ</v>
          </cell>
          <cell r="L184" t="str">
            <v>ALBA DEL PILAR CUBIDES CÁCERES</v>
          </cell>
          <cell r="M184" t="str">
            <v>13/05/2025</v>
          </cell>
          <cell r="N184">
            <v>45789</v>
          </cell>
          <cell r="O184">
            <v>45789</v>
          </cell>
          <cell r="P184" t="str">
            <v>Visitas de evaluación con fines de seguimiento</v>
          </cell>
          <cell r="Q184" t="str">
            <v>ACTA DE VISITA COLEGIO VAN LEEUWENHOEK.pdf</v>
          </cell>
          <cell r="R184" t="str">
            <v>La institución educativa se encuentra clasificada en nivel B, no realiza el análsis, ni crea estrtegias para subir el nivel en las pruebas.</v>
          </cell>
          <cell r="S184" t="str">
            <v xml:space="preserve">Revisar los resultados y la relación con las asignaturas del plan de estudio, analizando los resultados obtenidos  de los últimos años y elaborar un plan de mejoramiento sobre las acciones a tomar. </v>
          </cell>
          <cell r="T184" t="str">
            <v>Si</v>
          </cell>
          <cell r="U184" t="str">
            <v>Verificar los resultados y las acciones en las asignaturas que presentan puntajes más bajos en la próxima calificación de las pruebas</v>
          </cell>
        </row>
        <row r="185">
          <cell r="A185">
            <v>2106</v>
          </cell>
          <cell r="B185">
            <v>20</v>
          </cell>
          <cell r="C185" t="str">
            <v>SUBA</v>
          </cell>
          <cell r="D185" t="str">
            <v>PRIVADO</v>
          </cell>
          <cell r="E185" t="str">
            <v>EPBM</v>
          </cell>
          <cell r="F185" t="str">
            <v>COLEGIO_VAN_LEEUWENHOEK</v>
          </cell>
          <cell r="G185" t="str">
            <v>COLEGIO VAN LEEUWENHOEK</v>
          </cell>
          <cell r="H185" t="str">
            <v>Autoevaluación Institucional y Pruebas SABER 11</v>
          </cell>
          <cell r="I185" t="str">
            <v>SEGUIMIENTO_Y_SUPERVISIÓN.</v>
          </cell>
          <cell r="J185" t="str">
            <v xml:space="preserve">Verificar la implementación por parte de los colegios, de acciones realizadas para la prevención y atención de las situaciones de convivencia en el entorno escolar, según lo establecido en la Directiva 01 de 2022 del MEN. </v>
          </cell>
          <cell r="K185" t="str">
            <v>SONIA CONSTANZA URREGO GONZÁLEZ</v>
          </cell>
          <cell r="L185" t="str">
            <v>ALBA DEL PILAR CUBIDES CÁCERES</v>
          </cell>
          <cell r="M185" t="str">
            <v>13/05/2025</v>
          </cell>
          <cell r="N185">
            <v>45789</v>
          </cell>
          <cell r="O185">
            <v>45789</v>
          </cell>
          <cell r="P185" t="str">
            <v>Visitas de evaluación con fines de seguimiento</v>
          </cell>
          <cell r="Q185" t="str">
            <v>ACTA DE VISITA COLEGIO VAN LEEUWENHOEK.pdf</v>
          </cell>
          <cell r="R185" t="str">
            <v>Se encontró que cuenta  con la consulta de inhabliddes por delitos sexuales para el inicio del año 2025.</v>
          </cell>
          <cell r="S185" t="str">
            <v xml:space="preserve">Realizar la consulta cada 4 meses, dejando el respectivo soporte, en cumplimiento de la Directiva 01 de 2022  </v>
          </cell>
          <cell r="T185" t="str">
            <v>No</v>
          </cell>
          <cell r="U185" t="str">
            <v xml:space="preserve">Verificar la consulta periodica de acuerdo con lo establecido en la directiva 01 del 2022. </v>
          </cell>
        </row>
        <row r="186">
          <cell r="A186">
            <v>2107</v>
          </cell>
          <cell r="B186">
            <v>20</v>
          </cell>
          <cell r="C186" t="str">
            <v>SUBA</v>
          </cell>
          <cell r="D186" t="str">
            <v>PRIVADO</v>
          </cell>
          <cell r="E186" t="str">
            <v>EPBM</v>
          </cell>
          <cell r="F186" t="str">
            <v>COLEGIO_VAN_LEEUWENHOEK</v>
          </cell>
          <cell r="G186" t="str">
            <v>COLEGIO VAN LEEUWENHOEK</v>
          </cell>
          <cell r="H186" t="str">
            <v>Autoevaluación Institucional y Pruebas SABER 11</v>
          </cell>
          <cell r="I186" t="str">
            <v>SEGUIMIENTO_Y_SUPERVISIÓN.</v>
          </cell>
          <cell r="J18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86" t="str">
            <v>SONIA CONSTANZA URREGO GONZÁLEZ</v>
          </cell>
          <cell r="L186" t="str">
            <v>ALBA DEL PILAR CUBIDES CÁCERES</v>
          </cell>
          <cell r="M186" t="str">
            <v>13/05/2025</v>
          </cell>
          <cell r="N186">
            <v>45789</v>
          </cell>
          <cell r="O186">
            <v>45789</v>
          </cell>
          <cell r="P186" t="str">
            <v>Visitas de evaluación con fines de seguimiento</v>
          </cell>
          <cell r="Q186" t="str">
            <v>ACTA DE VISITA COLEGIO VAN LEEUWENHOEK.pdf</v>
          </cell>
          <cell r="R186" t="str">
            <v>Se encontró que existe PIAR para los estudiantes que lo requieren y que permiten determinar las discapacidades y acciones a realizar con cada estudiante.</v>
          </cell>
          <cell r="S186" t="str">
            <v>Realizar seguimiento y ajustes acorde a las necesidades del estudiante.</v>
          </cell>
          <cell r="T186" t="str">
            <v>No</v>
          </cell>
          <cell r="U186" t="str">
            <v>Realizar el Seguimiento y ajustes acorde a lo reportado por los docentes.</v>
          </cell>
        </row>
        <row r="187">
          <cell r="A187">
            <v>2108</v>
          </cell>
          <cell r="B187">
            <v>20</v>
          </cell>
          <cell r="C187" t="str">
            <v>SUBA</v>
          </cell>
          <cell r="D187" t="str">
            <v>PRIVADO</v>
          </cell>
          <cell r="E187" t="str">
            <v>EPBM</v>
          </cell>
          <cell r="F187" t="str">
            <v>COLEGIO_VAN_LEEUWENHOEK</v>
          </cell>
          <cell r="G187" t="str">
            <v>COLEGIO VAN LEEUWENHOEK</v>
          </cell>
          <cell r="H187" t="str">
            <v>Autoevaluación Institucional y Pruebas SABER 11</v>
          </cell>
          <cell r="I187" t="str">
            <v>EVALUACIÓN_CON_FINES_DE_MEJORAMIENTO.</v>
          </cell>
          <cell r="J18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7" t="str">
            <v>SONIA CONSTANZA URREGO GONZÁLEZ</v>
          </cell>
          <cell r="L187" t="str">
            <v>ALBA DEL PILAR CUBIDES CÁCERES</v>
          </cell>
          <cell r="M187" t="str">
            <v>13/05/2025</v>
          </cell>
          <cell r="N187">
            <v>45789</v>
          </cell>
          <cell r="O187">
            <v>45789</v>
          </cell>
          <cell r="P187" t="str">
            <v>Visitas de evaluación con fines de mejoramiento</v>
          </cell>
          <cell r="Q187" t="str">
            <v>ACTA DE VISITA COLEGIO VAN LEEUWENHOEK.pdf</v>
          </cell>
          <cell r="R187" t="str">
            <v>Se encontró que la última actualización es de noviembre del año 2024 y será sujeto de revisión por parte del ELIV.</v>
          </cell>
          <cell r="S187" t="str">
            <v>Hacer seguimiento constante a la necesidad de actualizar el manual de convivencia según la normatividad vigente. Realizar ajuste al manual acorde con las observaciones realizadas por parte del ELIV</v>
          </cell>
          <cell r="T187" t="str">
            <v>No</v>
          </cell>
          <cell r="U187" t="str">
            <v>Verificar los ajustes realizados al Manual, acorde a las observaciones realizadas por parte del ELIV.</v>
          </cell>
        </row>
        <row r="188">
          <cell r="A188">
            <v>2109</v>
          </cell>
          <cell r="B188">
            <v>20</v>
          </cell>
          <cell r="C188" t="str">
            <v>SUBA</v>
          </cell>
          <cell r="D188" t="str">
            <v>PRIVADO</v>
          </cell>
          <cell r="E188" t="str">
            <v>EPBM</v>
          </cell>
          <cell r="F188" t="str">
            <v>COLEGIO_VAN_LEEUWENHOEK</v>
          </cell>
          <cell r="G188" t="str">
            <v>COLEGIO VAN LEEUWENHOEK</v>
          </cell>
          <cell r="H188" t="str">
            <v>Autoevaluación Institucional y Pruebas SABER 11</v>
          </cell>
          <cell r="I188" t="str">
            <v>EVALUACIÓN_CON_FINES_DE_MEJORAMIENTO.</v>
          </cell>
          <cell r="J188" t="str">
            <v>Revisar la actualización, socialización e implementación del Sistema Institucional de Evaluación de Estudiantes - SIEE, en articulación con la actualización del PEI y la normatividad vigente.</v>
          </cell>
          <cell r="K188" t="str">
            <v>SONIA CONSTANZA URREGO GONZÁLEZ</v>
          </cell>
          <cell r="L188" t="str">
            <v>ALBA DEL PILAR CUBIDES CÁCERES</v>
          </cell>
          <cell r="M188" t="str">
            <v>13/05/2025</v>
          </cell>
          <cell r="N188">
            <v>45789</v>
          </cell>
          <cell r="O188">
            <v>45789</v>
          </cell>
          <cell r="P188" t="str">
            <v>Visitas de evaluación con fines de mejoramiento</v>
          </cell>
          <cell r="Q188" t="str">
            <v>ACTA DE VISITA COLEGIO VAN LEEUWENHOEK.pdf</v>
          </cell>
          <cell r="R188" t="str">
            <v>Revisado el SIEE cuenta con los criterios de evaluación y promoción y  escala valorativa.</v>
          </cell>
          <cell r="S188" t="str">
            <v xml:space="preserve">Hacer seguimiento constante para determinar la necesidad de actualizar el SIEE. </v>
          </cell>
          <cell r="T188" t="str">
            <v>No</v>
          </cell>
          <cell r="U188" t="str">
            <v>Verificar que exista o no la necesidad de actualización del SIEE.</v>
          </cell>
        </row>
        <row r="189">
          <cell r="A189">
            <v>2110</v>
          </cell>
          <cell r="B189">
            <v>20</v>
          </cell>
          <cell r="C189" t="str">
            <v>SUBA</v>
          </cell>
          <cell r="D189" t="str">
            <v>PRIVADO</v>
          </cell>
          <cell r="E189" t="str">
            <v>EPBM</v>
          </cell>
          <cell r="F189" t="str">
            <v>COLEGIO_VAN_LEEUWENHOEK</v>
          </cell>
          <cell r="G189" t="str">
            <v>COLEGIO VAN LEEUWENHOEK</v>
          </cell>
          <cell r="H189" t="str">
            <v>Autoevaluación Institucional y Pruebas SABER 11</v>
          </cell>
          <cell r="I189" t="str">
            <v>EVALUACIÓN_CON_FINES_DE_MEJORAMIENTO.</v>
          </cell>
          <cell r="J189" t="str">
            <v>Revisar el calendario escolar, jornada escolar, la intensidad horaria mínima anual en cada nivel y las modificaciones que se realicen al mismo, de acuerdo con lo previsto en la normatividad vigente.</v>
          </cell>
          <cell r="K189" t="str">
            <v>SONIA CONSTANZA URREGO GONZÁLEZ</v>
          </cell>
          <cell r="L189" t="str">
            <v>ALBA DEL PILAR CUBIDES CÁCERES</v>
          </cell>
          <cell r="M189" t="str">
            <v>13/05/2025</v>
          </cell>
          <cell r="N189">
            <v>45789</v>
          </cell>
          <cell r="O189">
            <v>45789</v>
          </cell>
          <cell r="P189" t="str">
            <v>Visitas de evaluación con fines de mejoramiento</v>
          </cell>
          <cell r="Q189" t="str">
            <v>ACTA DE VISITA COLEGIO VAN LEEUWENHOEK.pdf</v>
          </cell>
          <cell r="R189" t="str">
            <v>Cumple con el número de semanas y horas por cada nivel y realizó reporte de información del calendario escolar. El reporte a la SED no se encuentra firmado por rectoria.</v>
          </cell>
          <cell r="S189" t="str">
            <v xml:space="preserve">Cargar documento informado en el aplicativo y continuar con el cumplimiento del calendario.  </v>
          </cell>
          <cell r="T189" t="str">
            <v>No</v>
          </cell>
          <cell r="U189" t="str">
            <v>Verificar el cumplimiento del calendario académico.</v>
          </cell>
        </row>
        <row r="190">
          <cell r="A190">
            <v>2111</v>
          </cell>
          <cell r="B190">
            <v>20</v>
          </cell>
          <cell r="C190" t="str">
            <v>SUBA</v>
          </cell>
          <cell r="D190" t="str">
            <v>PRIVADO</v>
          </cell>
          <cell r="E190" t="str">
            <v>EPBM</v>
          </cell>
          <cell r="F190" t="str">
            <v>COLEGIO_VAN_LEEUWENHOEK</v>
          </cell>
          <cell r="G190" t="str">
            <v>COLEGIO VAN LEEUWENHOEK</v>
          </cell>
          <cell r="H190" t="str">
            <v>Autoevaluación Institucional y Pruebas SABER 11</v>
          </cell>
          <cell r="I190" t="str">
            <v>EVALUACIÓN_CON_FINES_DE_MEJORAMIENTO.</v>
          </cell>
          <cell r="J190" t="str">
            <v>Verificar el funcionamiento del Gobierno Escolar e instancias de participación con base en la información sobre conformación reportada por la institución educativa.</v>
          </cell>
          <cell r="K190" t="str">
            <v>SONIA CONSTANZA URREGO GONZÁLEZ</v>
          </cell>
          <cell r="L190" t="str">
            <v>ALBA DEL PILAR CUBIDES CÁCERES</v>
          </cell>
          <cell r="M190" t="str">
            <v>13/05/2025</v>
          </cell>
          <cell r="N190">
            <v>45789</v>
          </cell>
          <cell r="O190">
            <v>45789</v>
          </cell>
          <cell r="P190" t="str">
            <v>Visitas de evaluación con fines de mejoramiento</v>
          </cell>
          <cell r="Q190" t="str">
            <v>ACTA DE VISITA COLEGIO VAN LEEUWENHOEK.pdf</v>
          </cell>
          <cell r="R190" t="str">
            <v>Se conformó el gobierno escolar con reporte en el aplicativo SAE y se evidencian actas de reunión de los óragcos de gobierno.</v>
          </cell>
          <cell r="S190" t="str">
            <v xml:space="preserve">Realizar las reuniones periodicas de cada uno de los estamentos de gobierno escolar </v>
          </cell>
          <cell r="T190" t="str">
            <v>No</v>
          </cell>
          <cell r="U190" t="str">
            <v>Verificar el funcionamiento del Gobierno Escolar a través de la revisión de actas de sus reuniones.</v>
          </cell>
        </row>
        <row r="191">
          <cell r="A191">
            <v>2112</v>
          </cell>
          <cell r="B191">
            <v>20</v>
          </cell>
          <cell r="C191" t="str">
            <v>SUBA</v>
          </cell>
          <cell r="D191" t="str">
            <v>PRIVADO</v>
          </cell>
          <cell r="E191" t="str">
            <v>EPBM</v>
          </cell>
          <cell r="F191" t="str">
            <v>COLEGIO_VAN_LEEUWENHOEK</v>
          </cell>
          <cell r="G191" t="str">
            <v>COLEGIO VAN LEEUWENHOEK</v>
          </cell>
          <cell r="H191" t="str">
            <v>Autoevaluación Institucional y Pruebas SABER 11</v>
          </cell>
          <cell r="I191" t="str">
            <v>EVALUACIÓN_CON_FINES_DE_MEJORAMIENTO.</v>
          </cell>
          <cell r="J191" t="str">
            <v>Verificar las condiciones en cuanto a: la estructura administrativa, condiciones de la planta física y medios educativos adecuados.</v>
          </cell>
          <cell r="K191" t="str">
            <v>SONIA CONSTANZA URREGO GONZÁLEZ</v>
          </cell>
          <cell r="L191" t="str">
            <v>ALBA DEL PILAR CUBIDES CÁCERES</v>
          </cell>
          <cell r="M191" t="str">
            <v>13/05/2025</v>
          </cell>
          <cell r="N191">
            <v>45789</v>
          </cell>
          <cell r="O191">
            <v>45789</v>
          </cell>
          <cell r="P191" t="str">
            <v>Visitas de evaluación con fines de mejoramiento</v>
          </cell>
          <cell r="Q191" t="str">
            <v>ACTA DE VISITA COLEGIO VAN LEEUWENHOEK.pdf</v>
          </cell>
          <cell r="R191" t="str">
            <v>Se debe realizar una valoración de la planta física y establecer estrategias que mitiguen el riesgo  de accidentalidad, teniendo en cuenta el Plan de Gestión del Riesgo. A pesar de no tener estudiantes con discapacidad física, no tiene espacios adecuado en caso de requerirlo. Revisar visualización al tablero de algunas aulas y tomar medidas, garantizando la visualización a los estudiantes. Las baterias de baños no son suficientes, debe mirar la posibilidad de ampliar y tomar medidas de ventilación en algunas de ellas. Se requiere documentar el convenio de espacios lúdico recreativos.</v>
          </cell>
          <cell r="S191" t="str">
            <v>Realizar las adecuaciones en los espacios mencionados e incluirlo en el Plan de Mejoramiento a remitir a la DLE antes del 2 de junio de 2025.</v>
          </cell>
          <cell r="T191" t="str">
            <v>Si</v>
          </cell>
          <cell r="U191" t="str">
            <v>Verificar con registro fotográfico, los avances de acuerdo a los plazos registrados en el PMI</v>
          </cell>
        </row>
        <row r="192">
          <cell r="A192">
            <v>2113</v>
          </cell>
          <cell r="B192">
            <v>21</v>
          </cell>
          <cell r="C192" t="str">
            <v>SUBA</v>
          </cell>
          <cell r="D192" t="str">
            <v>PRIVADO</v>
          </cell>
          <cell r="E192" t="str">
            <v>EPBM</v>
          </cell>
          <cell r="F192" t="str">
            <v>GIMNASIO_MODERNO_GENERACION_DEL_FUTURO</v>
          </cell>
          <cell r="G192" t="str">
            <v>GIMNASIO MODERNO GENERACION DEL FUTURO</v>
          </cell>
          <cell r="H192" t="str">
            <v>Autoevaluación Institucional y Pruebas SABER 11</v>
          </cell>
          <cell r="I192" t="str">
            <v>SEGUIMIENTO_Y_SUPERVISIÓN.</v>
          </cell>
          <cell r="J192" t="str">
            <v>Realizar visitas para verificar la información registrada sobre la autoevaluación institucional en el aplicativo EVI, a los establecimientos de educación formal no oficial.</v>
          </cell>
          <cell r="K192" t="str">
            <v>JENNIFFER ESPERANZA GONZÁLEZ GÓMEZ</v>
          </cell>
          <cell r="L192" t="str">
            <v>SONIA YAMILE ARTEAGA MELO</v>
          </cell>
          <cell r="M192">
            <v>45895</v>
          </cell>
          <cell r="N192">
            <v>45776</v>
          </cell>
          <cell r="O192">
            <v>45776</v>
          </cell>
          <cell r="P192" t="str">
            <v>Visitas de evaluación con fines de mejoramiento</v>
          </cell>
          <cell r="Q192" t="str">
            <v>29042025 Visita Gim moderno futuro.pdf</v>
          </cell>
          <cell r="R192" t="str">
            <v>Se evidencio que la instittución respondio el EVI con cifras diferentes a la realidad en cuanto a las baterias de baño y espacio de biblioteca.</v>
          </cell>
          <cell r="S192" t="str">
            <v xml:space="preserve"> La institución elaborará plan de mejoramiento sobre todos los indicadores y remitirlo a la DLE antes del 15 de mayo</v>
          </cell>
          <cell r="T192" t="str">
            <v>Si</v>
          </cell>
          <cell r="U192" t="str">
            <v>Verificar el diligenciamiento y publicación de documentos en el aplicativo EVI para la vigencia 2026.</v>
          </cell>
        </row>
        <row r="193">
          <cell r="A193">
            <v>2114</v>
          </cell>
          <cell r="B193">
            <v>21</v>
          </cell>
          <cell r="C193" t="str">
            <v>SUBA</v>
          </cell>
          <cell r="D193" t="str">
            <v>PRIVADO</v>
          </cell>
          <cell r="E193" t="str">
            <v>EPBM</v>
          </cell>
          <cell r="F193" t="str">
            <v>GIMNASIO_MODERNO_GENERACION_DEL_FUTURO</v>
          </cell>
          <cell r="G193" t="str">
            <v>GIMNASIO MODERNO GENERACION DEL FUTURO</v>
          </cell>
          <cell r="H193" t="str">
            <v>Autoevaluación Institucional y Pruebas SABER 11</v>
          </cell>
          <cell r="I193" t="str">
            <v>SEGUIMIENTO_Y_SUPERVISIÓN.</v>
          </cell>
          <cell r="J193" t="str">
            <v>Proponer estrategias en la formulación, verificar su elaboración y realizar seguimiento semestral al desarrollo de  las acciones establecidas en los planes de mejoramiento por pruebas SABER 11 de los establecimientos de educación formal.</v>
          </cell>
          <cell r="K193" t="str">
            <v>JENNIFFER ESPERANZA GONZÁLEZ GÓMEZ</v>
          </cell>
          <cell r="L193" t="str">
            <v>SONIA YAMILE ARTEAGA MELO</v>
          </cell>
          <cell r="M193">
            <v>45895</v>
          </cell>
          <cell r="N193">
            <v>45776</v>
          </cell>
          <cell r="O193">
            <v>45776</v>
          </cell>
          <cell r="P193" t="str">
            <v>Visitas de evaluación con fines de mejoramiento</v>
          </cell>
          <cell r="Q193" t="str">
            <v>29042025 Visita Gim moderno futuro.pdf</v>
          </cell>
          <cell r="R193" t="str">
            <v>Se verificó el bajo resultado en las  Pruebas saber y la retroaliemntación realizada por los docentesa cerca de la evaluación de las  causales, asignaturas con más bajo resultado  y acciones de mejora.</v>
          </cell>
          <cell r="S193" t="str">
            <v>Revisar los resultados y la relación con las asignaturas del plan de estudio. Elaborar plan de mejoramiento sobre todos los indicadores y remitirlo a la DEL antes del 15 de mayo</v>
          </cell>
          <cell r="T193" t="str">
            <v>Si</v>
          </cell>
          <cell r="U193" t="str">
            <v>Verificar los resultados y las acciones en las asignaturas que presentan puntajes más bajos en la próxima calificación de las pruebas</v>
          </cell>
        </row>
        <row r="194">
          <cell r="A194">
            <v>2115</v>
          </cell>
          <cell r="B194">
            <v>21</v>
          </cell>
          <cell r="C194" t="str">
            <v>SUBA</v>
          </cell>
          <cell r="D194" t="str">
            <v>PRIVADO</v>
          </cell>
          <cell r="E194" t="str">
            <v>EPBM</v>
          </cell>
          <cell r="F194" t="str">
            <v>GIMNASIO_MODERNO_GENERACION_DEL_FUTURO</v>
          </cell>
          <cell r="G194" t="str">
            <v>GIMNASIO MODERNO GENERACION DEL FUTURO</v>
          </cell>
          <cell r="H194" t="str">
            <v>Autoevaluación Institucional y Pruebas SABER 11</v>
          </cell>
          <cell r="I194" t="str">
            <v>SEGUIMIENTO_Y_SUPERVISIÓN.</v>
          </cell>
          <cell r="J194" t="str">
            <v xml:space="preserve">Verificar la implementación por parte de los colegios, de acciones realizadas para la prevención y atención de las situaciones de convivencia en el entorno escolar, según lo establecido en la Directiva 01 de 2022 del MEN. </v>
          </cell>
          <cell r="K194" t="str">
            <v>JENNIFFER ESPERANZA GONZÁLEZ GÓMEZ</v>
          </cell>
          <cell r="L194" t="str">
            <v>SONIA YAMILE ARTEAGA MELO</v>
          </cell>
          <cell r="M194">
            <v>45895</v>
          </cell>
          <cell r="N194">
            <v>45776</v>
          </cell>
          <cell r="O194">
            <v>45776</v>
          </cell>
          <cell r="P194" t="str">
            <v>Visitas de evaluación con fines de mejoramiento</v>
          </cell>
          <cell r="Q194" t="str">
            <v>29042025 Visita Gim moderno futuro.pdf</v>
          </cell>
          <cell r="R194" t="str">
            <v xml:space="preserve"> las consulta en la página de la policia de los antecedentes de los docentes de conformidad a la directiva  001 del 2022, no han realizado la consulta esta vigencia</v>
          </cell>
          <cell r="S194" t="str">
            <v xml:space="preserve">Continuar con las consultas en la pagina de antecedentes sexuales. Solicitar </v>
          </cell>
          <cell r="T194" t="str">
            <v>Si</v>
          </cell>
          <cell r="U194" t="str">
            <v>Verificar las modificaciones en manual de convivencia respecto a los protocolos de atención revisión que se llevará a cabo con fecha limite 31 de julio</v>
          </cell>
        </row>
        <row r="195">
          <cell r="A195">
            <v>2116</v>
          </cell>
          <cell r="B195">
            <v>21</v>
          </cell>
          <cell r="C195" t="str">
            <v>SUBA</v>
          </cell>
          <cell r="D195" t="str">
            <v>PRIVADO</v>
          </cell>
          <cell r="E195" t="str">
            <v>EPBM</v>
          </cell>
          <cell r="F195" t="str">
            <v>GIMNASIO_MODERNO_GENERACION_DEL_FUTURO</v>
          </cell>
          <cell r="G195" t="str">
            <v>GIMNASIO MODERNO GENERACION DEL FUTURO</v>
          </cell>
          <cell r="H195" t="str">
            <v>Autoevaluación Institucional y Pruebas SABER 11</v>
          </cell>
          <cell r="I195" t="str">
            <v>SEGUIMIENTO_Y_SUPERVISIÓN.</v>
          </cell>
          <cell r="J19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5" t="str">
            <v>JENNIFFER ESPERANZA GONZÁLEZ GÓMEZ</v>
          </cell>
          <cell r="L195" t="str">
            <v>SONIA YAMILE ARTEAGA MELO</v>
          </cell>
          <cell r="M195">
            <v>45895</v>
          </cell>
          <cell r="N195">
            <v>45776</v>
          </cell>
          <cell r="O195">
            <v>45776</v>
          </cell>
          <cell r="P195" t="str">
            <v>Visitas de evaluación con fines de mejoramiento</v>
          </cell>
          <cell r="Q195" t="str">
            <v>29042025 Visita Gim moderno futuro.pdf</v>
          </cell>
          <cell r="R195" t="str">
            <v>Se evidenció en el SIMAT que el colegio  tiene estudiantes matriculados en condición de discapacidad; no llevan carpetas con los PIAR de los estudiantes</v>
          </cell>
          <cell r="S195"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15 de mayo</v>
          </cell>
          <cell r="T195" t="str">
            <v>Si</v>
          </cell>
          <cell r="U195" t="str">
            <v>Verificar las modificaciones en manual de convivencia respecto a la poblacion con discapacidad.con fecha límite el 31 de julio</v>
          </cell>
        </row>
        <row r="196">
          <cell r="A196">
            <v>2117</v>
          </cell>
          <cell r="B196">
            <v>21</v>
          </cell>
          <cell r="C196" t="str">
            <v>SUBA</v>
          </cell>
          <cell r="D196" t="str">
            <v>PRIVADO</v>
          </cell>
          <cell r="E196" t="str">
            <v>EPBM</v>
          </cell>
          <cell r="F196" t="str">
            <v>GIMNASIO_MODERNO_GENERACION_DEL_FUTURO</v>
          </cell>
          <cell r="G196" t="str">
            <v>GIMNASIO MODERNO GENERACION DEL FUTURO</v>
          </cell>
          <cell r="H196" t="str">
            <v>Autoevaluación Institucional y Pruebas SABER 11</v>
          </cell>
          <cell r="I196" t="str">
            <v>EVALUACIÓN_CON_FINES_DE_MEJORAMIENTO.</v>
          </cell>
          <cell r="J19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6" t="str">
            <v>JENNIFFER ESPERANZA GONZÁLEZ GÓMEZ</v>
          </cell>
          <cell r="L196" t="str">
            <v>SONIA YAMILE ARTEAGA MELO</v>
          </cell>
          <cell r="M196">
            <v>45895</v>
          </cell>
          <cell r="N196">
            <v>45776</v>
          </cell>
          <cell r="O196">
            <v>45776</v>
          </cell>
          <cell r="P196" t="str">
            <v>Visitas de evaluación con fines de mejoramiento</v>
          </cell>
          <cell r="Q196" t="str">
            <v>29042025 Visita Gim moderno futuro.pdf</v>
          </cell>
          <cell r="R196" t="str">
            <v>Se encontro que al revisar el manual de convivencia , con la última actualización, falta añadir algunas normas en el marco jurídico, falta desarrollar lo que tiene que ver con protocolos de atencion, debido proceso, entre otros.</v>
          </cell>
          <cell r="S196" t="str">
            <v>Elaborar plan de mejoramiento sobre todos los indicadores y DEL antes del 15 de mayo</v>
          </cell>
          <cell r="T196" t="str">
            <v>Si</v>
          </cell>
          <cell r="U196" t="str">
            <v>Revisar la actualización del manual de convivencia ccon fecha límite el 31 de julio</v>
          </cell>
        </row>
        <row r="197">
          <cell r="A197">
            <v>2118</v>
          </cell>
          <cell r="B197">
            <v>21</v>
          </cell>
          <cell r="C197" t="str">
            <v>SUBA</v>
          </cell>
          <cell r="D197" t="str">
            <v>PRIVADO</v>
          </cell>
          <cell r="E197" t="str">
            <v>EPBM</v>
          </cell>
          <cell r="F197" t="str">
            <v>GIMNASIO_MODERNO_GENERACION_DEL_FUTURO</v>
          </cell>
          <cell r="G197" t="str">
            <v>GIMNASIO MODERNO GENERACION DEL FUTURO</v>
          </cell>
          <cell r="H197" t="str">
            <v>Autoevaluación Institucional y Pruebas SABER 11</v>
          </cell>
          <cell r="I197" t="str">
            <v>EVALUACIÓN_CON_FINES_DE_MEJORAMIENTO.</v>
          </cell>
          <cell r="J197" t="str">
            <v>Revisar la actualización, socialización e implementación del Sistema Institucional de Evaluación de Estudiantes - SIEE, en articulación con la actualización del PEI y la normatividad vigente.</v>
          </cell>
          <cell r="K197" t="str">
            <v>JENNIFFER ESPERANZA GONZÁLEZ GÓMEZ</v>
          </cell>
          <cell r="L197" t="str">
            <v>SONIA YAMILE ARTEAGA MELO</v>
          </cell>
          <cell r="M197">
            <v>45895</v>
          </cell>
          <cell r="N197">
            <v>45776</v>
          </cell>
          <cell r="O197">
            <v>45776</v>
          </cell>
          <cell r="P197" t="str">
            <v>Visitas de evaluación con fines de mejoramiento</v>
          </cell>
          <cell r="Q197" t="str">
            <v>29042025 Visita Gim moderno futuro.pdf</v>
          </cell>
          <cell r="R197" t="str">
            <v>Se realizó retroalimentación sobre  el SIEE, el cual no está en consonancia con el PEI, se retroalimento sobre el funcionamiento de las comisiones de promoción.</v>
          </cell>
          <cell r="S197" t="str">
            <v>Realizar los ajustes de conformidad con las observaciones realizada mediante la programacion de su plan de mejoramiento en la visita DEL antes del 15 de mayo</v>
          </cell>
          <cell r="T197" t="str">
            <v>Si</v>
          </cell>
          <cell r="U197" t="str">
            <v>Revisar la actualización del manual de convivencia en lo relacionado con el  SIIE con fecha límite el 31 de julio</v>
          </cell>
        </row>
        <row r="198">
          <cell r="A198">
            <v>2119</v>
          </cell>
          <cell r="B198">
            <v>21</v>
          </cell>
          <cell r="C198" t="str">
            <v>SUBA</v>
          </cell>
          <cell r="D198" t="str">
            <v>PRIVADO</v>
          </cell>
          <cell r="E198" t="str">
            <v>EPBM</v>
          </cell>
          <cell r="F198" t="str">
            <v>GIMNASIO_MODERNO_GENERACION_DEL_FUTURO</v>
          </cell>
          <cell r="G198" t="str">
            <v>GIMNASIO MODERNO GENERACION DEL FUTURO</v>
          </cell>
          <cell r="H198" t="str">
            <v>Autoevaluación Institucional y Pruebas SABER 11</v>
          </cell>
          <cell r="I198" t="str">
            <v>EVALUACIÓN_CON_FINES_DE_MEJORAMIENTO.</v>
          </cell>
          <cell r="J198" t="str">
            <v>Revisar el calendario escolar, jornada escolar, la intensidad horaria mínima anual en cada nivel y las modificaciones que se realicen al mismo, de acuerdo con lo previsto en la normatividad vigente.</v>
          </cell>
          <cell r="K198" t="str">
            <v>JENNIFFER ESPERANZA GONZÁLEZ GÓMEZ</v>
          </cell>
          <cell r="L198" t="str">
            <v>SONIA YAMILE ARTEAGA MELO</v>
          </cell>
          <cell r="M198">
            <v>45895</v>
          </cell>
          <cell r="N198">
            <v>45776</v>
          </cell>
          <cell r="O198">
            <v>45776</v>
          </cell>
          <cell r="P198" t="str">
            <v>Visitas de evaluación con fines de mejoramiento</v>
          </cell>
          <cell r="Q198" t="str">
            <v>29042025 Visita Gim moderno futuro.pdf</v>
          </cell>
          <cell r="R198" t="str">
            <v>La intensidad horaria y las horas mínimas anuales de cada ciclo  se ajustan a la normatividad vigente.</v>
          </cell>
          <cell r="S198" t="str">
            <v>Continuar con la implementación del calendario en cuanto a las semanas de desarrollo institucional y las instensidades de las áreas fundamentales.</v>
          </cell>
          <cell r="T198" t="str">
            <v>No</v>
          </cell>
          <cell r="U198" t="str">
            <v>Verificar el cumplimiento del calendario académico para 2026</v>
          </cell>
        </row>
        <row r="199">
          <cell r="A199">
            <v>2120</v>
          </cell>
          <cell r="B199">
            <v>21</v>
          </cell>
          <cell r="C199" t="str">
            <v>SUBA</v>
          </cell>
          <cell r="D199" t="str">
            <v>PRIVADO</v>
          </cell>
          <cell r="E199" t="str">
            <v>EPBM</v>
          </cell>
          <cell r="F199" t="str">
            <v>GIMNASIO_MODERNO_GENERACION_DEL_FUTURO</v>
          </cell>
          <cell r="G199" t="str">
            <v>GIMNASIO MODERNO GENERACION DEL FUTURO</v>
          </cell>
          <cell r="H199" t="str">
            <v>Autoevaluación Institucional y Pruebas SABER 11</v>
          </cell>
          <cell r="I199" t="str">
            <v>EVALUACIÓN_CON_FINES_DE_MEJORAMIENTO.</v>
          </cell>
          <cell r="J199" t="str">
            <v>Verificar el funcionamiento del Gobierno Escolar e instancias de participación con base en la información sobre conformación reportada por la institución educativa.</v>
          </cell>
          <cell r="K199" t="str">
            <v>JENNIFFER ESPERANZA GONZÁLEZ GÓMEZ</v>
          </cell>
          <cell r="L199" t="str">
            <v>SONIA YAMILE ARTEAGA MELO</v>
          </cell>
          <cell r="M199">
            <v>45895</v>
          </cell>
          <cell r="N199">
            <v>45776</v>
          </cell>
          <cell r="O199">
            <v>45776</v>
          </cell>
          <cell r="P199" t="str">
            <v>Visitas de evaluación con fines de mejoramiento</v>
          </cell>
          <cell r="Q199" t="str">
            <v>29042025 Visita Gim moderno futuro.pdf</v>
          </cell>
          <cell r="R199" t="str">
            <v>Se evidenciaron las actas de conformación de gobierno escolar, las cuales estan  cargadas en el SAE. Sobre el funcionamiento no han sesionado.</v>
          </cell>
          <cell r="S199" t="str">
            <v xml:space="preserve"> Sesionar con cada órgano de gobierno de conformidad con la periodicidad establecida en la norma</v>
          </cell>
          <cell r="T199" t="str">
            <v>Si</v>
          </cell>
          <cell r="U199" t="str">
            <v>Verificar el SAE  y verificar el funcionamiento de  los organos de gobierno.</v>
          </cell>
        </row>
        <row r="200">
          <cell r="A200">
            <v>2121</v>
          </cell>
          <cell r="B200">
            <v>21</v>
          </cell>
          <cell r="C200" t="str">
            <v>SUBA</v>
          </cell>
          <cell r="D200" t="str">
            <v>PRIVADO</v>
          </cell>
          <cell r="E200" t="str">
            <v>EPBM</v>
          </cell>
          <cell r="F200" t="str">
            <v>GIMNASIO_MODERNO_GENERACION_DEL_FUTURO</v>
          </cell>
          <cell r="G200" t="str">
            <v>GIMNASIO MODERNO GENERACION DEL FUTURO</v>
          </cell>
          <cell r="H200" t="str">
            <v>Autoevaluación Institucional y Pruebas SABER 11</v>
          </cell>
          <cell r="I200" t="str">
            <v>EVALUACIÓN_CON_FINES_DE_MEJORAMIENTO.</v>
          </cell>
          <cell r="J200" t="str">
            <v>Verificar las condiciones en cuanto a: la estructura administrativa, condiciones de la planta física y medios educativos adecuados.</v>
          </cell>
          <cell r="K200" t="str">
            <v>JENNIFFER ESPERANZA GONZÁLEZ GÓMEZ</v>
          </cell>
          <cell r="L200" t="str">
            <v>SONIA YAMILE ARTEAGA MELO</v>
          </cell>
          <cell r="M200">
            <v>45895</v>
          </cell>
          <cell r="N200">
            <v>45776</v>
          </cell>
          <cell r="O200">
            <v>45776</v>
          </cell>
          <cell r="P200" t="str">
            <v>Visitas de evaluación con fines de mejoramiento</v>
          </cell>
          <cell r="Q200" t="str">
            <v>29042025 Visita Gim moderno futuro.pdf</v>
          </cell>
          <cell r="R200" t="str">
            <v>se encuentra hacinamiento, en todos los espacios de la isntitucion, no cuenta con medios educativos idoneos para la prestacion del servicio</v>
          </cell>
          <cell r="S200" t="str">
            <v>Elaborar plan de mejoramiento sobre todos los indicadores y DEL antes del 15 de mayo</v>
          </cell>
          <cell r="T200" t="str">
            <v>Si</v>
          </cell>
          <cell r="U200" t="str">
            <v>Enviar informe con registro fotograficos de los espacios.</v>
          </cell>
        </row>
        <row r="201">
          <cell r="A201">
            <v>2122</v>
          </cell>
          <cell r="B201">
            <v>22</v>
          </cell>
          <cell r="C201" t="str">
            <v>SUBA</v>
          </cell>
          <cell r="D201" t="str">
            <v>PRIVADO</v>
          </cell>
          <cell r="E201" t="str">
            <v>Educación de Jóvenes y Adultos</v>
          </cell>
          <cell r="F201" t="str">
            <v>COLEGIO_INSTITUTO_SANTIAGO_DE_COMPOSTELA</v>
          </cell>
          <cell r="G201" t="str">
            <v>COLEGIO INSTITUTO SANTIAGO DE COMPOSTELA</v>
          </cell>
          <cell r="H201" t="str">
            <v>Autoevaluación Institucional y Pruebas SABER 11</v>
          </cell>
          <cell r="I201" t="str">
            <v>SEGUIMIENTO_Y_SUPERVISIÓN.</v>
          </cell>
          <cell r="J201" t="str">
            <v>Realizar visitas para verificar la información registrada sobre la autoevaluación institucional en el aplicativo EVI, a los establecimientos de educación formal no oficial.</v>
          </cell>
          <cell r="K201" t="str">
            <v>SONIA YAMILE ARTEAGA MELO</v>
          </cell>
          <cell r="L201" t="str">
            <v>JENNIFFER ESPERANZA GONZÁLEZ GÓMEZ</v>
          </cell>
          <cell r="M201">
            <v>45958</v>
          </cell>
          <cell r="N201">
            <v>45769</v>
          </cell>
          <cell r="O201">
            <v>45769</v>
          </cell>
          <cell r="P201" t="str">
            <v>Visitas de evaluación con fines de seguimiento</v>
          </cell>
          <cell r="Q201" t="str">
            <v>23052025 Acta de visita Colegio Instituto Santiago de Compostela.pdf</v>
          </cell>
          <cell r="R201" t="str">
            <v>La instittución ha diligenciado la información en el aplicativo EVI, sin embargo lo reportado no coincide con la realidad, no cancelan seguridad social, no cuenta con el número de unidades santitarias que reporta, ni con el número de computadores, ni con el número de textos en biblioteca.</v>
          </cell>
          <cell r="S201" t="str">
            <v>Debe subsanar la situación, realizando reporte fiel de la información en el formulario de autoevaluación EVI.</v>
          </cell>
          <cell r="T201" t="str">
            <v>Si</v>
          </cell>
          <cell r="U201" t="str">
            <v>Verificación de reporte de información para futura vigencia en aplicativo EVI, y validación en campo.</v>
          </cell>
        </row>
        <row r="202">
          <cell r="A202">
            <v>2123</v>
          </cell>
          <cell r="B202">
            <v>22</v>
          </cell>
          <cell r="C202" t="str">
            <v>SUBA</v>
          </cell>
          <cell r="D202" t="str">
            <v>PRIVADO</v>
          </cell>
          <cell r="E202" t="str">
            <v>Educación de Jóvenes y Adultos</v>
          </cell>
          <cell r="F202" t="str">
            <v>COLEGIO_INSTITUTO_SANTIAGO_DE_COMPOSTELA</v>
          </cell>
          <cell r="G202" t="str">
            <v>COLEGIO INSTITUTO SANTIAGO DE COMPOSTELA</v>
          </cell>
          <cell r="H202" t="str">
            <v>Autoevaluación Institucional y Pruebas SABER 11</v>
          </cell>
          <cell r="I202" t="str">
            <v>SEGUIMIENTO_Y_SUPERVISIÓN.</v>
          </cell>
          <cell r="J202" t="str">
            <v>Proponer estrategias en la formulación, verificar su elaboración y realizar seguimiento semestral al desarrollo de  las acciones establecidas en los planes de mejoramiento por pruebas SABER 11 de los establecimientos de educación formal.</v>
          </cell>
          <cell r="K202" t="str">
            <v>SONIA YAMILE ARTEAGA MELO</v>
          </cell>
          <cell r="L202" t="str">
            <v>JENNIFFER ESPERANZA GONZÁLEZ GÓMEZ</v>
          </cell>
          <cell r="M202">
            <v>45958</v>
          </cell>
          <cell r="N202">
            <v>45769</v>
          </cell>
          <cell r="O202">
            <v>45769</v>
          </cell>
          <cell r="P202" t="str">
            <v>Visitas de evaluación con fines de seguimiento</v>
          </cell>
          <cell r="Q202" t="str">
            <v>23052025 Acta de visita Colegio Instituto Santiago de Compostela.pdf</v>
          </cell>
          <cell r="R202" t="str">
            <v>Directivos de la institución no tienen definida ruta de seguimiento y expectativa de mejora de resultados</v>
          </cell>
          <cell r="S202" t="str">
            <v>Revisar los resultados y la relación con las asignaturas del plan de estudio, analizando los resultados obtenidos  de los últimos años. Elaborar plan de mejoramiento sobre todos los indicadores y remitirlo a la DLE el 30 d emayo del año en curso.</v>
          </cell>
          <cell r="T202" t="str">
            <v>Si</v>
          </cell>
          <cell r="U202" t="str">
            <v xml:space="preserve">Verificar el análisis los resultados y las acciones en las asignaturas que presentan puntajes más bajos </v>
          </cell>
        </row>
        <row r="203">
          <cell r="A203">
            <v>2124</v>
          </cell>
          <cell r="B203">
            <v>22</v>
          </cell>
          <cell r="C203" t="str">
            <v>SUBA</v>
          </cell>
          <cell r="D203" t="str">
            <v>PRIVADO</v>
          </cell>
          <cell r="E203" t="str">
            <v>Educación de Jóvenes y Adultos</v>
          </cell>
          <cell r="F203" t="str">
            <v>COLEGIO_INSTITUTO_SANTIAGO_DE_COMPOSTELA</v>
          </cell>
          <cell r="G203" t="str">
            <v>COLEGIO INSTITUTO SANTIAGO DE COMPOSTELA</v>
          </cell>
          <cell r="H203" t="str">
            <v>Autoevaluación Institucional y Pruebas SABER 11</v>
          </cell>
          <cell r="I203" t="str">
            <v>SEGUIMIENTO_Y_SUPERVISIÓN.</v>
          </cell>
          <cell r="J203" t="str">
            <v xml:space="preserve">Verificar la implementación por parte de los colegios, de acciones realizadas para la prevención y atención de las situaciones de convivencia en el entorno escolar, según lo establecido en la Directiva 01 de 2022 del MEN. </v>
          </cell>
          <cell r="K203" t="str">
            <v>SONIA YAMILE ARTEAGA MELO</v>
          </cell>
          <cell r="L203" t="str">
            <v>JENNIFFER ESPERANZA GONZÁLEZ GÓMEZ</v>
          </cell>
          <cell r="M203">
            <v>45958</v>
          </cell>
          <cell r="N203">
            <v>45769</v>
          </cell>
          <cell r="O203">
            <v>45769</v>
          </cell>
          <cell r="P203" t="str">
            <v>Visitas de evaluación con fines de seguimiento</v>
          </cell>
          <cell r="Q203" t="str">
            <v>23052025 Acta de visita Colegio Instituto Santiago de Compostela.pdf</v>
          </cell>
          <cell r="R203" t="str">
            <v>No presentan archivo de las Hojas de Vida de Docentes, por consiguiente no hay evidencia de cumplimiento de la Directiva 01/2022 del MEN.</v>
          </cell>
          <cell r="S203" t="str">
            <v>Se solicita revisar normativa de archivo, organizar expedientes de docentes vincualdos y consultar los antecedentes respectivos.</v>
          </cell>
          <cell r="T203" t="str">
            <v>Si</v>
          </cell>
          <cell r="U203" t="str">
            <v>Verificar la organización de archivo y seguimiento a consulta de reporte de antecedentes.</v>
          </cell>
        </row>
        <row r="204">
          <cell r="A204">
            <v>2125</v>
          </cell>
          <cell r="B204">
            <v>22</v>
          </cell>
          <cell r="C204" t="str">
            <v>SUBA</v>
          </cell>
          <cell r="D204" t="str">
            <v>PRIVADO</v>
          </cell>
          <cell r="E204" t="str">
            <v>Educación de Jóvenes y Adultos</v>
          </cell>
          <cell r="F204" t="str">
            <v>COLEGIO_INSTITUTO_SANTIAGO_DE_COMPOSTELA</v>
          </cell>
          <cell r="G204" t="str">
            <v>COLEGIO INSTITUTO SANTIAGO DE COMPOSTELA</v>
          </cell>
          <cell r="H204" t="str">
            <v>Autoevaluación Institucional y Pruebas SABER 11</v>
          </cell>
          <cell r="I204" t="str">
            <v>SEGUIMIENTO_Y_SUPERVISIÓN.</v>
          </cell>
          <cell r="J20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4" t="str">
            <v>SONIA YAMILE ARTEAGA MELO</v>
          </cell>
          <cell r="L204" t="str">
            <v>JENNIFFER ESPERANZA GONZÁLEZ GÓMEZ</v>
          </cell>
          <cell r="M204">
            <v>45958</v>
          </cell>
          <cell r="N204">
            <v>45769</v>
          </cell>
          <cell r="O204">
            <v>45769</v>
          </cell>
          <cell r="P204" t="str">
            <v>Visitas de evaluación con fines de seguimiento</v>
          </cell>
          <cell r="Q204" t="str">
            <v>23052025 Acta de visita Colegio Instituto Santiago de Compostela.pdf</v>
          </cell>
          <cell r="R204" t="str">
            <v>En SIMAT, reporta a dieciocho (18) estudiantes caracterizados con discapacidad, sin embargo no presenta PIAR para ninguno de ellos.
Manifiesta que es un error en el reporte porque no tiene matrícula de estudiantes con NEE</v>
          </cell>
          <cell r="S204" t="str">
            <v>Actualizar información de estudiantes en aplicativo SIMAT.</v>
          </cell>
          <cell r="T204" t="str">
            <v>Si</v>
          </cell>
          <cell r="U204" t="str">
            <v>Verificar estado de SIMAT, gestión que se realiza con la oficina de cobertura.</v>
          </cell>
        </row>
        <row r="205">
          <cell r="A205">
            <v>2126</v>
          </cell>
          <cell r="B205">
            <v>22</v>
          </cell>
          <cell r="C205" t="str">
            <v>SUBA</v>
          </cell>
          <cell r="D205" t="str">
            <v>PRIVADO</v>
          </cell>
          <cell r="E205" t="str">
            <v>Educación de Jóvenes y Adultos</v>
          </cell>
          <cell r="F205" t="str">
            <v>COLEGIO_INSTITUTO_SANTIAGO_DE_COMPOSTELA</v>
          </cell>
          <cell r="G205" t="str">
            <v>COLEGIO INSTITUTO SANTIAGO DE COMPOSTELA</v>
          </cell>
          <cell r="H205" t="str">
            <v>Autoevaluación Institucional y Pruebas SABER 11</v>
          </cell>
          <cell r="I205" t="str">
            <v>EVALUACIÓN_CON_FINES_DE_MEJORAMIENTO.</v>
          </cell>
          <cell r="J20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5" t="str">
            <v>SONIA YAMILE ARTEAGA MELO</v>
          </cell>
          <cell r="L205" t="str">
            <v>JENNIFFER ESPERANZA GONZÁLEZ GÓMEZ</v>
          </cell>
          <cell r="M205">
            <v>45958</v>
          </cell>
          <cell r="N205">
            <v>45769</v>
          </cell>
          <cell r="O205">
            <v>45769</v>
          </cell>
          <cell r="P205" t="str">
            <v>Visitas de evaluación con fines de mejoramiento</v>
          </cell>
          <cell r="Q205" t="str">
            <v>23052025 Acta de visita Colegio Instituto Santiago de Compostela.pdf</v>
          </cell>
          <cell r="R205" t="str">
            <v>Documento no actualizado, no cumple con la normativa vigente.</v>
          </cell>
          <cell r="S205" t="str">
            <v>Realizar la actualización del manual convivencia Escolar. En el plan de mejoramiento incluir el cronograma para actualziación del documento.</v>
          </cell>
          <cell r="T205" t="str">
            <v>Si</v>
          </cell>
          <cell r="U205" t="str">
            <v>Verificar documento actualizado.</v>
          </cell>
        </row>
        <row r="206">
          <cell r="A206">
            <v>2127</v>
          </cell>
          <cell r="B206">
            <v>22</v>
          </cell>
          <cell r="C206" t="str">
            <v>SUBA</v>
          </cell>
          <cell r="D206" t="str">
            <v>PRIVADO</v>
          </cell>
          <cell r="E206" t="str">
            <v>Educación de Jóvenes y Adultos</v>
          </cell>
          <cell r="F206" t="str">
            <v>COLEGIO_INSTITUTO_SANTIAGO_DE_COMPOSTELA</v>
          </cell>
          <cell r="G206" t="str">
            <v>COLEGIO INSTITUTO SANTIAGO DE COMPOSTELA</v>
          </cell>
          <cell r="H206" t="str">
            <v>Autoevaluación Institucional y Pruebas SABER 11</v>
          </cell>
          <cell r="I206" t="str">
            <v>EVALUACIÓN_CON_FINES_DE_MEJORAMIENTO.</v>
          </cell>
          <cell r="J206" t="str">
            <v>Revisar la actualización, socialización e implementación del Sistema Institucional de Evaluación de Estudiantes - SIEE, en articulación con la actualización del PEI y la normatividad vigente.</v>
          </cell>
          <cell r="K206" t="str">
            <v>SONIA YAMILE ARTEAGA MELO</v>
          </cell>
          <cell r="L206" t="str">
            <v>JENNIFFER ESPERANZA GONZÁLEZ GÓMEZ</v>
          </cell>
          <cell r="M206">
            <v>45958</v>
          </cell>
          <cell r="N206">
            <v>45769</v>
          </cell>
          <cell r="O206">
            <v>45769</v>
          </cell>
          <cell r="P206" t="str">
            <v>Visitas de evaluación con fines de mejoramiento</v>
          </cell>
          <cell r="Q206" t="str">
            <v>23052025 Acta de visita Colegio Instituto Santiago de Compostela.pdf</v>
          </cell>
          <cell r="R206" t="str">
            <v>No se evidencia que cuenten con un SIEE debidamente estructurado, ni estrategias de seguimiento y acompañamiento a estudiantes.</v>
          </cell>
          <cell r="S206" t="str">
            <v>Elaborar documento SIEE, abordando los  mínimos exigidos por la normativa vigente.</v>
          </cell>
          <cell r="T206" t="str">
            <v>Si</v>
          </cell>
          <cell r="U206" t="str">
            <v>Verificar documento actualizado.</v>
          </cell>
        </row>
        <row r="207">
          <cell r="A207">
            <v>2128</v>
          </cell>
          <cell r="B207">
            <v>22</v>
          </cell>
          <cell r="C207" t="str">
            <v>SUBA</v>
          </cell>
          <cell r="D207" t="str">
            <v>PRIVADO</v>
          </cell>
          <cell r="E207" t="str">
            <v>Educación de Jóvenes y Adultos</v>
          </cell>
          <cell r="F207" t="str">
            <v>COLEGIO_INSTITUTO_SANTIAGO_DE_COMPOSTELA</v>
          </cell>
          <cell r="G207" t="str">
            <v>COLEGIO INSTITUTO SANTIAGO DE COMPOSTELA</v>
          </cell>
          <cell r="H207" t="str">
            <v>Autoevaluación Institucional y Pruebas SABER 11</v>
          </cell>
          <cell r="I207" t="str">
            <v>EVALUACIÓN_CON_FINES_DE_MEJORAMIENTO.</v>
          </cell>
          <cell r="J207" t="str">
            <v>Revisar el calendario escolar, jornada escolar, la intensidad horaria mínima anual en cada nivel y las modificaciones que se realicen al mismo, de acuerdo con lo previsto en la normatividad vigente.</v>
          </cell>
          <cell r="K207" t="str">
            <v>SONIA YAMILE ARTEAGA MELO</v>
          </cell>
          <cell r="L207" t="str">
            <v>JENNIFFER ESPERANZA GONZÁLEZ GÓMEZ</v>
          </cell>
          <cell r="M207">
            <v>45958</v>
          </cell>
          <cell r="N207">
            <v>45769</v>
          </cell>
          <cell r="O207">
            <v>45769</v>
          </cell>
          <cell r="P207" t="str">
            <v>Visitas de evaluación con fines de mejoramiento</v>
          </cell>
          <cell r="Q207" t="str">
            <v>23052025 Acta de visita Colegio Instituto Santiago de Compostela.pdf</v>
          </cell>
          <cell r="R207" t="str">
            <v>Informa que manejan jornada mañana, nocturna y fin de semana.
Debe revisarce contabilización de cumplimiento de horas.</v>
          </cell>
          <cell r="S207" t="str">
            <v>Realizar ajuste al calendario académico y socializarlo con los estudianes, presentarlo para revisión antes del 30 de mayo.</v>
          </cell>
          <cell r="T207" t="str">
            <v>Si</v>
          </cell>
          <cell r="U207" t="str">
            <v>Verificar calendario escolar.</v>
          </cell>
        </row>
        <row r="208">
          <cell r="A208">
            <v>2129</v>
          </cell>
          <cell r="B208">
            <v>22</v>
          </cell>
          <cell r="C208" t="str">
            <v>SUBA</v>
          </cell>
          <cell r="D208" t="str">
            <v>PRIVADO</v>
          </cell>
          <cell r="E208" t="str">
            <v>Educación de Jóvenes y Adultos</v>
          </cell>
          <cell r="F208" t="str">
            <v>COLEGIO_INSTITUTO_SANTIAGO_DE_COMPOSTELA</v>
          </cell>
          <cell r="G208" t="str">
            <v>COLEGIO INSTITUTO SANTIAGO DE COMPOSTELA</v>
          </cell>
          <cell r="H208" t="str">
            <v>Autoevaluación Institucional y Pruebas SABER 11</v>
          </cell>
          <cell r="I208" t="str">
            <v>EVALUACIÓN_CON_FINES_DE_MEJORAMIENTO.</v>
          </cell>
          <cell r="J208" t="str">
            <v>Verificar el funcionamiento del Gobierno Escolar e instancias de participación con base en la información sobre conformación reportada por la institución educativa.</v>
          </cell>
          <cell r="K208" t="str">
            <v>SONIA YAMILE ARTEAGA MELO</v>
          </cell>
          <cell r="L208" t="str">
            <v>JENNIFFER ESPERANZA GONZÁLEZ GÓMEZ</v>
          </cell>
          <cell r="M208">
            <v>45958</v>
          </cell>
          <cell r="N208">
            <v>45769</v>
          </cell>
          <cell r="O208">
            <v>45769</v>
          </cell>
          <cell r="P208" t="str">
            <v>Visitas de evaluación con fines de mejoramiento</v>
          </cell>
          <cell r="Q208" t="str">
            <v>23052025 Acta de visita Colegio Instituto Santiago de Compostela.pdf</v>
          </cell>
          <cell r="R208" t="str">
            <v>No aporta evidencia de conformación de instancias de gobierno escolar, por consiguiente tampoco hay evidencia de funcionamiento.</v>
          </cell>
          <cell r="S208" t="str">
            <v>Se requiere la conformación de las instancias de gobierno escolar, y reporte en el aplicativo SAE.</v>
          </cell>
          <cell r="T208" t="str">
            <v>Si</v>
          </cell>
          <cell r="U208" t="str">
            <v>Verificación de cargue de actas en aplicativo SAE.</v>
          </cell>
        </row>
        <row r="209">
          <cell r="A209">
            <v>2130</v>
          </cell>
          <cell r="B209">
            <v>22</v>
          </cell>
          <cell r="C209" t="str">
            <v>SUBA</v>
          </cell>
          <cell r="D209" t="str">
            <v>PRIVADO</v>
          </cell>
          <cell r="E209" t="str">
            <v>Educación de Jóvenes y Adultos</v>
          </cell>
          <cell r="F209" t="str">
            <v>COLEGIO_INSTITUTO_SANTIAGO_DE_COMPOSTELA</v>
          </cell>
          <cell r="G209" t="str">
            <v>COLEGIO INSTITUTO SANTIAGO DE COMPOSTELA</v>
          </cell>
          <cell r="H209" t="str">
            <v>Autoevaluación Institucional y Pruebas SABER 11</v>
          </cell>
          <cell r="I209" t="str">
            <v>EVALUACIÓN_CON_FINES_DE_MEJORAMIENTO.</v>
          </cell>
          <cell r="J209" t="str">
            <v>Verificar las condiciones en cuanto a: la estructura administrativa, condiciones de la planta física y medios educativos adecuados.</v>
          </cell>
          <cell r="K209" t="str">
            <v>SONIA YAMILE ARTEAGA MELO</v>
          </cell>
          <cell r="L209" t="str">
            <v>JENNIFFER ESPERANZA GONZÁLEZ GÓMEZ</v>
          </cell>
          <cell r="M209">
            <v>45958</v>
          </cell>
          <cell r="N209">
            <v>45769</v>
          </cell>
          <cell r="O209">
            <v>45769</v>
          </cell>
          <cell r="P209" t="str">
            <v>Visitas de evaluación con fines de mejoramiento</v>
          </cell>
          <cell r="Q209" t="str">
            <v>23052025 Acta de visita Colegio Instituto Santiago de Compostela.pdf</v>
          </cell>
          <cell r="R209" t="str">
            <v>Planta administrativa con dotación en regular estado, condiciones de la planta física en deterioro.</v>
          </cell>
          <cell r="S209" t="str">
            <v>Se recomienda mejorar el estado de la planta física, la disposición de aulas, mantenimiento a muebles y enseres</v>
          </cell>
          <cell r="T209" t="str">
            <v>Si</v>
          </cell>
          <cell r="U209" t="str">
            <v>Verificación a través de visita administrativa.</v>
          </cell>
        </row>
        <row r="210">
          <cell r="A210">
            <v>2131</v>
          </cell>
          <cell r="B210">
            <v>23</v>
          </cell>
          <cell r="C210" t="str">
            <v>SUBA</v>
          </cell>
          <cell r="D210" t="str">
            <v>PRIVADO</v>
          </cell>
          <cell r="E210" t="str">
            <v>EPBM</v>
          </cell>
          <cell r="F210" t="str">
            <v>GIMNASIO_ROMANO_MIXTO</v>
          </cell>
          <cell r="G210" t="str">
            <v>GIMNASIO ROMANO MIXTO</v>
          </cell>
          <cell r="H210" t="str">
            <v>Autoevaluación Institucional y Pruebas SABER 11</v>
          </cell>
          <cell r="I210" t="str">
            <v>SEGUIMIENTO_Y_SUPERVISIÓN.</v>
          </cell>
          <cell r="J210" t="str">
            <v>Realizar visitas para verificar la información registrada sobre la autoevaluación institucional en el aplicativo EVI, a los establecimientos de educación formal no oficial.</v>
          </cell>
          <cell r="K210" t="str">
            <v>GETULIO ALBERTO FLÓREZ MORENO</v>
          </cell>
          <cell r="L210" t="str">
            <v>JUAN MANUEL SANCHEZ MORA</v>
          </cell>
          <cell r="M210">
            <v>45720</v>
          </cell>
          <cell r="N210">
            <v>45919</v>
          </cell>
          <cell r="O210">
            <v>45919</v>
          </cell>
          <cell r="P210" t="str">
            <v>Visitas de evaluación con fines de seguimiento</v>
          </cell>
          <cell r="Q210" t="str">
            <v>ACTA VISITA INTEGRAL GIMNASIO ROMANO MIXTO.pdf</v>
          </cell>
          <cell r="R210" t="str">
            <v>Presentaron el diligenciamiento del aplicativo EVI en debida forma y se verifica que se cobran a los padres de familia los mismos valores aprobados en la Resolución de costos educativos.</v>
          </cell>
          <cell r="S210" t="str">
            <v xml:space="preserve">Se sugiere publicar la totalidad de la Resolución en un lugar visible para la comunidad educativa. </v>
          </cell>
          <cell r="T210" t="str">
            <v>Si</v>
          </cell>
          <cell r="U210" t="str">
            <v xml:space="preserve">Se realizará seguimiento a la publicación de la Resolución en lugar visible del colegio. </v>
          </cell>
        </row>
        <row r="211">
          <cell r="A211">
            <v>2132</v>
          </cell>
          <cell r="B211">
            <v>23</v>
          </cell>
          <cell r="C211" t="str">
            <v>SUBA</v>
          </cell>
          <cell r="D211" t="str">
            <v>PRIVADO</v>
          </cell>
          <cell r="E211" t="str">
            <v>EPBM</v>
          </cell>
          <cell r="F211" t="str">
            <v>GIMNASIO_ROMANO_MIXTO</v>
          </cell>
          <cell r="G211" t="str">
            <v>GIMNASIO ROMANO MIXTO</v>
          </cell>
          <cell r="H211" t="str">
            <v>Autoevaluación Institucional y Pruebas SABER 11</v>
          </cell>
          <cell r="I211" t="str">
            <v>SEGUIMIENTO_Y_SUPERVISIÓN.</v>
          </cell>
          <cell r="J211" t="str">
            <v>Proponer estrategias en la formulación, verificar su elaboración y realizar seguimiento semestral al desarrollo de  las acciones establecidas en los planes de mejoramiento por pruebas SABER 11 de los establecimientos de educación formal.</v>
          </cell>
          <cell r="K211" t="str">
            <v>GETULIO ALBERTO FLÓREZ MORENO</v>
          </cell>
          <cell r="L211" t="str">
            <v>JUAN MANUEL SANCHEZ MORA</v>
          </cell>
          <cell r="M211">
            <v>45720</v>
          </cell>
          <cell r="N211">
            <v>45919</v>
          </cell>
          <cell r="O211">
            <v>45919</v>
          </cell>
          <cell r="P211" t="str">
            <v>Visitas de evaluación con fines de seguimiento</v>
          </cell>
          <cell r="Q211" t="str">
            <v>ACTA VISITA INTEGRAL GIMNASIO ROMANO MIXTO.pdf</v>
          </cell>
          <cell r="R211" t="str">
            <v xml:space="preserve">No e evidencia estrategias para el seguimiento semestral al desarrollo de  las pruebas SABER 11 </v>
          </cell>
          <cell r="S211" t="str">
            <v>Se sugiere implementar la revisión y análisis de los resultados de las pruebas saber 11.</v>
          </cell>
          <cell r="T211" t="str">
            <v>Si</v>
          </cell>
          <cell r="U211" t="str">
            <v xml:space="preserve">Se adelantará seguimiento sobre el plan de mejoramiento que porponga la institución educativa. </v>
          </cell>
        </row>
        <row r="212">
          <cell r="A212">
            <v>2133</v>
          </cell>
          <cell r="B212">
            <v>23</v>
          </cell>
          <cell r="C212" t="str">
            <v>SUBA</v>
          </cell>
          <cell r="D212" t="str">
            <v>PRIVADO</v>
          </cell>
          <cell r="E212" t="str">
            <v>EPBM</v>
          </cell>
          <cell r="F212" t="str">
            <v>GIMNASIO_ROMANO_MIXTO</v>
          </cell>
          <cell r="G212" t="str">
            <v>GIMNASIO ROMANO MIXTO</v>
          </cell>
          <cell r="H212" t="str">
            <v>Autoevaluación Institucional y Pruebas SABER 11</v>
          </cell>
          <cell r="I212" t="str">
            <v>SEGUIMIENTO_Y_SUPERVISIÓN.</v>
          </cell>
          <cell r="J212" t="str">
            <v xml:space="preserve">Verificar la implementación por parte de los colegios, de acciones realizadas para la prevención y atención de las situaciones de convivencia en el entorno escolar, según lo establecido en la Directiva 01 de 2022 del MEN. </v>
          </cell>
          <cell r="K212" t="str">
            <v>GETULIO ALBERTO FLÓREZ MORENO</v>
          </cell>
          <cell r="L212" t="str">
            <v>JUAN MANUEL SANCHEZ MORA</v>
          </cell>
          <cell r="M212">
            <v>45720</v>
          </cell>
          <cell r="N212">
            <v>45919</v>
          </cell>
          <cell r="O212">
            <v>45919</v>
          </cell>
          <cell r="P212" t="str">
            <v>Visitas de evaluación con fines de seguimiento</v>
          </cell>
          <cell r="Q212" t="str">
            <v>ACTA VISITA INTEGRAL GIMNASIO ROMANO MIXTO.pdf</v>
          </cell>
          <cell r="R212" t="str">
            <v xml:space="preserve">Aunque se realiza la consulta de las inhabilidades del personal vinculado al inicio del año no lo hacen cada 4 meses. </v>
          </cell>
          <cell r="S212" t="str">
            <v>Se orienta adelantar esta actividad en el tiempo estipulado.</v>
          </cell>
          <cell r="T212" t="str">
            <v>Si</v>
          </cell>
          <cell r="U212" t="str">
            <v xml:space="preserve">Actualizar la revisión del certificado de antecedentes de inhabilidades por delitos sexuales para todos los docentes y personal administrativo del colegio. </v>
          </cell>
        </row>
        <row r="213">
          <cell r="A213">
            <v>2134</v>
          </cell>
          <cell r="B213">
            <v>23</v>
          </cell>
          <cell r="C213" t="str">
            <v>SUBA</v>
          </cell>
          <cell r="D213" t="str">
            <v>PRIVADO</v>
          </cell>
          <cell r="E213" t="str">
            <v>EPBM</v>
          </cell>
          <cell r="F213" t="str">
            <v>GIMNASIO_ROMANO_MIXTO</v>
          </cell>
          <cell r="G213" t="str">
            <v>GIMNASIO ROMANO MIXTO</v>
          </cell>
          <cell r="H213" t="str">
            <v>Autoevaluación Institucional y Pruebas SABER 11</v>
          </cell>
          <cell r="I213" t="str">
            <v>SEGUIMIENTO_Y_SUPERVISIÓN.</v>
          </cell>
          <cell r="J21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13" t="str">
            <v>GETULIO ALBERTO FLÓREZ MORENO</v>
          </cell>
          <cell r="L213" t="str">
            <v>JUAN MANUEL SANCHEZ MORA</v>
          </cell>
          <cell r="M213">
            <v>45720</v>
          </cell>
          <cell r="N213">
            <v>45919</v>
          </cell>
          <cell r="O213">
            <v>45919</v>
          </cell>
          <cell r="P213" t="str">
            <v>Visitas de evaluación con fines de seguimiento</v>
          </cell>
          <cell r="Q213" t="str">
            <v>ACTA VISITA INTEGRAL GIMNASIO ROMANO MIXTO.pdf</v>
          </cell>
          <cell r="R213" t="str">
            <v xml:space="preserve">Al momento de la visita la Rectora Jimena Cruz manifiesta no tener estudiantes en condición de discapacidad, no obstante en revisión en el SIMAT hay 1 estudiante registrado con discapacidad psicosocial mental.  </v>
          </cell>
          <cell r="S213" t="str">
            <v>Se sugiere elaborar PIAR para el mencionado estudiante.</v>
          </cell>
          <cell r="T213" t="str">
            <v>Si</v>
          </cell>
          <cell r="U213" t="str">
            <v xml:space="preserve">Se realizará seguimiento del PIAR elaborado por el colegio y firmado por los padres de familia. </v>
          </cell>
        </row>
        <row r="214">
          <cell r="A214">
            <v>2135</v>
          </cell>
          <cell r="B214">
            <v>23</v>
          </cell>
          <cell r="C214" t="str">
            <v>SUBA</v>
          </cell>
          <cell r="D214" t="str">
            <v>PRIVADO</v>
          </cell>
          <cell r="E214" t="str">
            <v>EPBM</v>
          </cell>
          <cell r="F214" t="str">
            <v>GIMNASIO_ROMANO_MIXTO</v>
          </cell>
          <cell r="G214" t="str">
            <v>GIMNASIO ROMANO MIXTO</v>
          </cell>
          <cell r="H214" t="str">
            <v>Autoevaluación Institucional y Pruebas SABER 11</v>
          </cell>
          <cell r="I214" t="str">
            <v>EVALUACIÓN_CON_FINES_DE_MEJORAMIENTO.</v>
          </cell>
          <cell r="J21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4" t="str">
            <v>GETULIO ALBERTO FLÓREZ MORENO</v>
          </cell>
          <cell r="L214" t="str">
            <v>JUAN MANUEL SANCHEZ MORA</v>
          </cell>
          <cell r="M214">
            <v>45720</v>
          </cell>
          <cell r="N214">
            <v>45919</v>
          </cell>
          <cell r="O214">
            <v>45919</v>
          </cell>
          <cell r="P214" t="str">
            <v>Visitas de evaluación con fines de mejoramiento</v>
          </cell>
          <cell r="Q214" t="str">
            <v>ACTA VISITA INTEGRAL GIMNASIO ROMANO MIXTO.pdf</v>
          </cell>
          <cell r="R214" t="str">
            <v xml:space="preserve">Se evidencia que en la misión es importante reevaluarla para tener en cuenta la educación regular y el énfasis ambiental que posee el colegio.                 En la visión es fundamental proyectase en el mediano plazo (10 años) y tener en cuenta el ajuste de  educación regular                                                             </v>
          </cell>
          <cell r="S214" t="str">
            <v xml:space="preserve">Se debe continuar con la actualización con base en el nombre del PEI en el horizonte institucional fundamentado en ambiental y ecologico. Se encontró mision y vision dentro del manual de convivencia suministrado en la visita el cual tien fecha de actualizacion año 2024. Se debe ubicar en lugar visible y de manera fisica la la mision y la vision de la institución educativa. Poca articulación con Ley 1098 de 2006 y Ley 1620 de 2013
</v>
          </cell>
          <cell r="T214" t="str">
            <v>Si</v>
          </cell>
          <cell r="U214" t="str">
            <v xml:space="preserve">Se debe adelantar seguimiento a las actualizaciones y dcoumento final propuesto por el colegio. </v>
          </cell>
        </row>
        <row r="215">
          <cell r="A215">
            <v>2136</v>
          </cell>
          <cell r="B215">
            <v>23</v>
          </cell>
          <cell r="C215" t="str">
            <v>SUBA</v>
          </cell>
          <cell r="D215" t="str">
            <v>PRIVADO</v>
          </cell>
          <cell r="E215" t="str">
            <v>EPBM</v>
          </cell>
          <cell r="F215" t="str">
            <v>GIMNASIO_ROMANO_MIXTO</v>
          </cell>
          <cell r="G215" t="str">
            <v>GIMNASIO ROMANO MIXTO</v>
          </cell>
          <cell r="H215" t="str">
            <v>Autoevaluación Institucional y Pruebas SABER 11</v>
          </cell>
          <cell r="I215" t="str">
            <v>EVALUACIÓN_CON_FINES_DE_MEJORAMIENTO.</v>
          </cell>
          <cell r="J215" t="str">
            <v>Revisar la actualización, socialización e implementación del Sistema Institucional de Evaluación de Estudiantes - SIEE, en articulación con la actualización del PEI y la normatividad vigente.</v>
          </cell>
          <cell r="K215" t="str">
            <v>GETULIO ALBERTO FLÓREZ MORENO</v>
          </cell>
          <cell r="L215" t="str">
            <v>JUAN MANUEL SANCHEZ MORA</v>
          </cell>
          <cell r="M215">
            <v>45720</v>
          </cell>
          <cell r="N215">
            <v>45919</v>
          </cell>
          <cell r="O215">
            <v>45919</v>
          </cell>
          <cell r="P215" t="str">
            <v>Visitas de evaluación con fines de mejoramiento</v>
          </cell>
          <cell r="Q215" t="str">
            <v>ACTA VISITA INTEGRAL GIMNASIO ROMANO MIXTO.pdf</v>
          </cell>
          <cell r="R215" t="str">
            <v xml:space="preserve">Durante la visita se observa poca actualizacion del SIEE, posee criterios mínimos de valoración y no establece procesos de promoción acordes con la normativa vigente. 
</v>
          </cell>
          <cell r="S215" t="str">
            <v xml:space="preserve">Es procedente la actualización del SIEE en gran maedida, tomando en consideración lo contemplado por la ley 115 de 1995 y normas asociadas. </v>
          </cell>
          <cell r="T215" t="str">
            <v>Si</v>
          </cell>
          <cell r="U215" t="str">
            <v>Es procedente adelantar seguimiento a la actualización del SIEE.</v>
          </cell>
        </row>
        <row r="216">
          <cell r="A216">
            <v>2137</v>
          </cell>
          <cell r="B216">
            <v>23</v>
          </cell>
          <cell r="C216" t="str">
            <v>SUBA</v>
          </cell>
          <cell r="D216" t="str">
            <v>PRIVADO</v>
          </cell>
          <cell r="E216" t="str">
            <v>EPBM</v>
          </cell>
          <cell r="F216" t="str">
            <v>GIMNASIO_ROMANO_MIXTO</v>
          </cell>
          <cell r="G216" t="str">
            <v>GIMNASIO ROMANO MIXTO</v>
          </cell>
          <cell r="H216" t="str">
            <v>Autoevaluación Institucional y Pruebas SABER 11</v>
          </cell>
          <cell r="I216" t="str">
            <v>EVALUACIÓN_CON_FINES_DE_MEJORAMIENTO.</v>
          </cell>
          <cell r="J216" t="str">
            <v>Revisar el calendario escolar, jornada escolar, la intensidad horaria mínima anual en cada nivel y las modificaciones que se realicen al mismo, de acuerdo con lo previsto en la normatividad vigente.</v>
          </cell>
          <cell r="K216" t="str">
            <v>GETULIO ALBERTO FLÓREZ MORENO</v>
          </cell>
          <cell r="L216" t="str">
            <v>JUAN MANUEL SANCHEZ MORA</v>
          </cell>
          <cell r="M216">
            <v>45720</v>
          </cell>
          <cell r="N216">
            <v>45919</v>
          </cell>
          <cell r="O216">
            <v>45919</v>
          </cell>
          <cell r="P216" t="str">
            <v>Visitas de evaluación con fines de mejoramiento</v>
          </cell>
          <cell r="Q216" t="str">
            <v>ACTA VISITA INTEGRAL GIMNASIO ROMANO MIXTO.pdf</v>
          </cell>
          <cell r="R216" t="str">
            <v>La intensidad horaria y las horas mínimas anuales de cada ciclo se ajustan para los ciclos de preescolar, básica y media</v>
          </cell>
          <cell r="S216" t="str">
            <v>Cumplie el calendario académico</v>
          </cell>
          <cell r="T216" t="str">
            <v>No</v>
          </cell>
          <cell r="U216" t="str">
            <v>Continuar con el cumplimiento del calendario</v>
          </cell>
        </row>
        <row r="217">
          <cell r="A217">
            <v>2138</v>
          </cell>
          <cell r="B217">
            <v>23</v>
          </cell>
          <cell r="C217" t="str">
            <v>SUBA</v>
          </cell>
          <cell r="D217" t="str">
            <v>PRIVADO</v>
          </cell>
          <cell r="E217" t="str">
            <v>EPBM</v>
          </cell>
          <cell r="F217" t="str">
            <v>GIMNASIO_ROMANO_MIXTO</v>
          </cell>
          <cell r="G217" t="str">
            <v>GIMNASIO ROMANO MIXTO</v>
          </cell>
          <cell r="H217" t="str">
            <v>Autoevaluación Institucional y Pruebas SABER 11</v>
          </cell>
          <cell r="I217" t="str">
            <v>EVALUACIÓN_CON_FINES_DE_MEJORAMIENTO.</v>
          </cell>
          <cell r="J217" t="str">
            <v>Verificar el funcionamiento del Gobierno Escolar e instancias de participación con base en la información sobre conformación reportada por la institución educativa.</v>
          </cell>
          <cell r="K217" t="str">
            <v>GETULIO ALBERTO FLÓREZ MORENO</v>
          </cell>
          <cell r="L217" t="str">
            <v>JUAN MANUEL SANCHEZ MORA</v>
          </cell>
          <cell r="M217">
            <v>45720</v>
          </cell>
          <cell r="N217">
            <v>45919</v>
          </cell>
          <cell r="O217">
            <v>45919</v>
          </cell>
          <cell r="P217" t="str">
            <v>Visitas de evaluación con fines de mejoramiento</v>
          </cell>
          <cell r="Q217" t="str">
            <v>ACTA VISITA INTEGRAL GIMNASIO ROMANO MIXTO.pdf</v>
          </cell>
          <cell r="R217" t="str">
            <v xml:space="preserve">De acuerdo con información proporcionada por la Rectora existen los espacios de participación escolar, los cuales fueron radicados al SAE, pero no son muy operativos. No se logró encontar la carpeta que permitiera evidenciar las Actas de conformación.  </v>
          </cell>
          <cell r="S217" t="str">
            <v xml:space="preserve">Se sugiere la ubicación de las carpetas con las actas respectivas e imprimir un mayor dinamismo al funcionamiento de fichos Consejos. </v>
          </cell>
          <cell r="T217" t="str">
            <v>Si</v>
          </cell>
          <cell r="U217" t="str">
            <v xml:space="preserve">Es procedente adelantar seguimiento al hallazgo de las carpetas respectivas y su funcionamiento al interior del colegio. </v>
          </cell>
        </row>
        <row r="218">
          <cell r="A218">
            <v>2139</v>
          </cell>
          <cell r="B218">
            <v>23</v>
          </cell>
          <cell r="C218" t="str">
            <v>SUBA</v>
          </cell>
          <cell r="D218" t="str">
            <v>PRIVADO</v>
          </cell>
          <cell r="E218" t="str">
            <v>EPBM</v>
          </cell>
          <cell r="F218" t="str">
            <v>GIMNASIO_ROMANO_MIXTO</v>
          </cell>
          <cell r="G218" t="str">
            <v>GIMNASIO ROMANO MIXTO</v>
          </cell>
          <cell r="H218" t="str">
            <v>Autoevaluación Institucional y Pruebas SABER 11</v>
          </cell>
          <cell r="I218" t="str">
            <v>EVALUACIÓN_CON_FINES_DE_MEJORAMIENTO.</v>
          </cell>
          <cell r="J218" t="str">
            <v>Verificar las condiciones en cuanto a: la estructura administrativa, condiciones de la planta física y medios educativos adecuados.</v>
          </cell>
          <cell r="K218" t="str">
            <v>GETULIO ALBERTO FLÓREZ MORENO</v>
          </cell>
          <cell r="L218" t="str">
            <v>JUAN MANUEL SANCHEZ MORA</v>
          </cell>
          <cell r="M218">
            <v>45720</v>
          </cell>
          <cell r="N218">
            <v>45919</v>
          </cell>
          <cell r="O218">
            <v>45919</v>
          </cell>
          <cell r="P218" t="str">
            <v>Visitas de evaluación con fines de mejoramiento</v>
          </cell>
          <cell r="Q218" t="str">
            <v>ACTA VISITA INTEGRAL GIMNASIO ROMANO MIXTO.pdf</v>
          </cell>
          <cell r="R218" t="str">
            <v>En en recorrido por las instalaciones se observa que un  edifico con 4 pisos, lo cual requiere de mantenimiento en la mayoría de espacios locativos.  De igual forma se eviencia que los baños deben ser mejorados y adecuados en buena medida. Se requiere mantenimiento del piso y pintura a nivel general.</v>
          </cell>
          <cell r="S218" t="str">
            <v>El colegio asume el compromiso de adelantar los mantenimientos locativos requeridos periódicamente, dando prioridad a los hallazgos que mayor potencialidad de ocasionar incidentes.</v>
          </cell>
          <cell r="T218" t="str">
            <v>Si</v>
          </cell>
          <cell r="U218" t="str">
            <v>Enviar informe con registro fotograficos de los espacios en óptimas condicidones.</v>
          </cell>
        </row>
        <row r="219">
          <cell r="A219">
            <v>2140</v>
          </cell>
          <cell r="B219">
            <v>24</v>
          </cell>
          <cell r="C219" t="str">
            <v>SUBA</v>
          </cell>
          <cell r="D219" t="str">
            <v>PRIVADO</v>
          </cell>
          <cell r="E219" t="str">
            <v>EPBM</v>
          </cell>
          <cell r="F219" t="str">
            <v>LICEO_HOMERICO</v>
          </cell>
          <cell r="G219" t="str">
            <v>LICEO HOMERICO</v>
          </cell>
          <cell r="H219" t="str">
            <v>Autoevaluación Institucional y Pruebas SABER 11</v>
          </cell>
          <cell r="I219" t="str">
            <v>SEGUIMIENTO_Y_SUPERVISIÓN.</v>
          </cell>
          <cell r="J219" t="str">
            <v>Realizar visitas para verificar la información registrada sobre la autoevaluación institucional en el aplicativo EVI, a los establecimientos de educación formal no oficial.</v>
          </cell>
          <cell r="K219" t="str">
            <v>DANIEL ALEJANDRO GRANOBLES</v>
          </cell>
          <cell r="L219" t="str">
            <v>SANDRA OLINDA GONZÁLEZ REYES</v>
          </cell>
          <cell r="M219">
            <v>45873</v>
          </cell>
          <cell r="N219">
            <v>45765</v>
          </cell>
          <cell r="O219">
            <v>45765</v>
          </cell>
          <cell r="P219" t="str">
            <v>Visitas de evaluación con fines de seguimiento</v>
          </cell>
          <cell r="Q219" t="str">
            <v>Acta de Visita Integral LICEO HOMERICO.pdf</v>
          </cell>
          <cell r="R219" t="str">
            <v>Se evidencio que la institución registra la informacion en el EVI  en consonancia con la  prestación del servicio,conformidad a la normatividad vigente y aplicable</v>
          </cell>
          <cell r="S219" t="str">
            <v>Continuar con el cumplimiento de los indicadores prioritarios con respecto a la contratación , afiliación y pago de los aportes de SSI y llevar registros contables</v>
          </cell>
          <cell r="T219" t="str">
            <v>SI</v>
          </cell>
          <cell r="U219" t="str">
            <v>Verificar cumplimiento de proceso contractual integral del personal docente y administrativo</v>
          </cell>
        </row>
        <row r="220">
          <cell r="A220">
            <v>2141</v>
          </cell>
          <cell r="B220">
            <v>24</v>
          </cell>
          <cell r="C220" t="str">
            <v>SUBA</v>
          </cell>
          <cell r="D220" t="str">
            <v>PRIVADO</v>
          </cell>
          <cell r="E220" t="str">
            <v>EPBM</v>
          </cell>
          <cell r="F220" t="str">
            <v>LICEO_HOMERICO</v>
          </cell>
          <cell r="G220" t="str">
            <v>LICEO HOMERICO</v>
          </cell>
          <cell r="H220" t="str">
            <v>Autoevaluación Institucional y Pruebas SABER 11</v>
          </cell>
          <cell r="I220" t="str">
            <v>SEGUIMIENTO_Y_SUPERVISIÓN.</v>
          </cell>
          <cell r="J220" t="str">
            <v>Proponer estrategias en la formulación, verificar su elaboración y realizar seguimiento semestral al desarrollo de  las acciones establecidas en los planes de mejoramiento por pruebas SABER 11 de los establecimientos de educación formal.</v>
          </cell>
          <cell r="K220" t="str">
            <v>DANIEL ALEJANDRO GRANOBLES</v>
          </cell>
          <cell r="L220" t="str">
            <v>SANDRA OLINDA GONZÁLEZ REYES</v>
          </cell>
          <cell r="M220">
            <v>45873</v>
          </cell>
          <cell r="N220">
            <v>45765</v>
          </cell>
          <cell r="O220">
            <v>45765</v>
          </cell>
          <cell r="P220" t="str">
            <v>Visitas de evaluación con fines de seguimiento</v>
          </cell>
          <cell r="Q220" t="str">
            <v>Acta de Visita Integral LICEO HOMERICO.pdf</v>
          </cell>
          <cell r="R220" t="str">
            <v>Se realizó retoralimentacion sobre las estrategias pedagogicas implementadas , el uso de materiales y es necesario que el colegio realice una intervención al plan de estudios y los procesos de evalaución externa</v>
          </cell>
          <cell r="S220" t="str">
            <v xml:space="preserve">Realizar seguimiento a la estrategia implementada con el propsoito de fortalecer los resultados en las pruebas externas </v>
          </cell>
          <cell r="T220" t="str">
            <v>Si</v>
          </cell>
          <cell r="U220" t="str">
            <v>Realizar seguimiento al plan de mejoramiento propuesto</v>
          </cell>
        </row>
        <row r="221">
          <cell r="A221">
            <v>2142</v>
          </cell>
          <cell r="B221">
            <v>24</v>
          </cell>
          <cell r="C221" t="str">
            <v>SUBA</v>
          </cell>
          <cell r="D221" t="str">
            <v>PRIVADO</v>
          </cell>
          <cell r="E221" t="str">
            <v>EPBM</v>
          </cell>
          <cell r="F221" t="str">
            <v>LICEO_HOMERICO</v>
          </cell>
          <cell r="G221" t="str">
            <v>LICEO HOMERICO</v>
          </cell>
          <cell r="H221" t="str">
            <v>Autoevaluación Institucional y Pruebas SABER 11</v>
          </cell>
          <cell r="I221" t="str">
            <v>SEGUIMIENTO_Y_SUPERVISIÓN.</v>
          </cell>
          <cell r="J221" t="str">
            <v xml:space="preserve">Verificar la implementación por parte de los colegios, de acciones realizadas para la prevención y atención de las situaciones de convivencia en el entorno escolar, según lo establecido en la Directiva 01 de 2022 del MEN. </v>
          </cell>
          <cell r="K221" t="str">
            <v>DANIEL ALEJANDRO GRANOBLES</v>
          </cell>
          <cell r="L221" t="str">
            <v>SANDRA OLINDA GONZÁLEZ REYES</v>
          </cell>
          <cell r="M221">
            <v>45873</v>
          </cell>
          <cell r="N221">
            <v>45765</v>
          </cell>
          <cell r="O221">
            <v>45765</v>
          </cell>
          <cell r="P221" t="str">
            <v>Visitas de evaluación con fines de seguimiento</v>
          </cell>
          <cell r="Q221" t="str">
            <v>Acta de Visita Integral LICEO HOMERICO.pdf</v>
          </cell>
          <cell r="R221" t="str">
            <v>Se solicitó el soporte de la consulta realizada en la página de la policia de los antecedentes de delitos sexuales en las hojas de vida del personal contratado de conformidad a la directiva  001 del 2022 y no se encontró dicha consulta</v>
          </cell>
          <cell r="S221" t="str">
            <v>Realizar las consultas en la página de la Policía de todos los funcionarios de la institución y anexarla a la hoja de vida.  Elaborar plan de mejoramiento sobre todos los indicadores y remitirlo a la DLE el 30 de junio de 2025</v>
          </cell>
          <cell r="T221" t="str">
            <v>si</v>
          </cell>
          <cell r="U221" t="str">
            <v>Verificar las consultas de antecedentes de los empledos y remitirlas en el plan de mejoramiento</v>
          </cell>
        </row>
        <row r="222">
          <cell r="A222">
            <v>2143</v>
          </cell>
          <cell r="B222">
            <v>24</v>
          </cell>
          <cell r="C222" t="str">
            <v>SUBA</v>
          </cell>
          <cell r="D222" t="str">
            <v>PRIVADO</v>
          </cell>
          <cell r="E222" t="str">
            <v>EPBM</v>
          </cell>
          <cell r="F222" t="str">
            <v>LICEO_HOMERICO</v>
          </cell>
          <cell r="G222" t="str">
            <v>LICEO HOMERICO</v>
          </cell>
          <cell r="H222" t="str">
            <v>Autoevaluación Institucional y Pruebas SABER 11</v>
          </cell>
          <cell r="I222" t="str">
            <v>SEGUIMIENTO_Y_SUPERVISIÓN.</v>
          </cell>
          <cell r="J22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22" t="str">
            <v>DANIEL ALEJANDRO GRANOBLES</v>
          </cell>
          <cell r="L222" t="str">
            <v>SANDRA OLINDA GONZÁLEZ REYES</v>
          </cell>
          <cell r="M222">
            <v>45873</v>
          </cell>
          <cell r="N222">
            <v>45765</v>
          </cell>
          <cell r="O222">
            <v>45765</v>
          </cell>
          <cell r="P222" t="str">
            <v>Visitas de evaluación con fines de seguimiento</v>
          </cell>
          <cell r="Q222" t="str">
            <v>Acta de Visita Integral LICEO HOMERICO.pdf</v>
          </cell>
          <cell r="R222" t="str">
            <v xml:space="preserve">Se realizó consulta en el SIMAT encontrándose el no registro de  estudiantes de inlusión, sin embago al momento de la visita el rector informa que no se atiende población en inclusión,  </v>
          </cell>
          <cell r="S222" t="str">
            <v xml:space="preserve">
Debe de realizarse  actualización del Manual de Convivencia para incorporar los enfoques diferenciales e inclusivo en el marco del Decreto 1421 de 2017</v>
          </cell>
          <cell r="T222" t="str">
            <v>Si</v>
          </cell>
          <cell r="U222" t="str">
            <v>Verificar las modificaciones en manual de convivencia respecto a la poblacion con discapacidad.con fecha 30 de junio</v>
          </cell>
        </row>
        <row r="223">
          <cell r="A223">
            <v>2144</v>
          </cell>
          <cell r="B223">
            <v>24</v>
          </cell>
          <cell r="C223" t="str">
            <v>SUBA</v>
          </cell>
          <cell r="D223" t="str">
            <v>PRIVADO</v>
          </cell>
          <cell r="E223" t="str">
            <v>EPBM</v>
          </cell>
          <cell r="F223" t="str">
            <v>LICEO_HOMERICO</v>
          </cell>
          <cell r="G223" t="str">
            <v>LICEO HOMERICO</v>
          </cell>
          <cell r="H223" t="str">
            <v>Autoevaluación Institucional y Pruebas SABER 11</v>
          </cell>
          <cell r="I223" t="str">
            <v>EVALUACIÓN_CON_FINES_DE_MEJORAMIENTO.</v>
          </cell>
          <cell r="J22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23" t="str">
            <v>DANIEL ALEJANDRO GRANOBLES</v>
          </cell>
          <cell r="L223" t="str">
            <v>SANDRA OLINDA GONZÁLEZ REYES</v>
          </cell>
          <cell r="M223">
            <v>45873</v>
          </cell>
          <cell r="N223">
            <v>45766</v>
          </cell>
          <cell r="O223">
            <v>45766</v>
          </cell>
          <cell r="P223" t="str">
            <v>Visitas de evaluación con fines de mejoramiento</v>
          </cell>
          <cell r="Q223" t="str">
            <v>Acta de Visita Integral LICEO HOMERICO.pdf</v>
          </cell>
          <cell r="R223" t="str">
            <v>El manual de convivencia se encuentra en proceso de actualización, presentación a la comunidad educativa para su aprobación</v>
          </cell>
          <cell r="S223" t="str">
            <v>Debe ser enviado para su revisión a fecha 30 de junio de 2025</v>
          </cell>
          <cell r="T223" t="str">
            <v>Si</v>
          </cell>
          <cell r="U223" t="str">
            <v>Revisión del manual de convivencia y retroalimentación al colegio</v>
          </cell>
        </row>
        <row r="224">
          <cell r="A224">
            <v>2145</v>
          </cell>
          <cell r="B224">
            <v>24</v>
          </cell>
          <cell r="C224" t="str">
            <v>SUBA</v>
          </cell>
          <cell r="D224" t="str">
            <v>PRIVADO</v>
          </cell>
          <cell r="E224" t="str">
            <v>EPBM</v>
          </cell>
          <cell r="F224" t="str">
            <v>LICEO_HOMERICO</v>
          </cell>
          <cell r="G224" t="str">
            <v>LICEO HOMERICO</v>
          </cell>
          <cell r="H224" t="str">
            <v>Autoevaluación Institucional y Pruebas SABER 11</v>
          </cell>
          <cell r="I224" t="str">
            <v>EVALUACIÓN_CON_FINES_DE_MEJORAMIENTO.</v>
          </cell>
          <cell r="J224" t="str">
            <v>Revisar la actualización, socialización e implementación del Sistema Institucional de Evaluación de Estudiantes - SIEE, en articulación con la actualización del PEI y la normatividad vigente.</v>
          </cell>
          <cell r="K224" t="str">
            <v>DANIEL ALEJANDRO GRANOBLES</v>
          </cell>
          <cell r="L224" t="str">
            <v>SANDRA OLINDA GONZÁLEZ REYES</v>
          </cell>
          <cell r="M224">
            <v>45873</v>
          </cell>
          <cell r="N224">
            <v>45766</v>
          </cell>
          <cell r="O224">
            <v>45766</v>
          </cell>
          <cell r="P224" t="str">
            <v>Visitas de evaluación con fines de mejoramiento</v>
          </cell>
          <cell r="Q224" t="str">
            <v>Acta de Visita Integral LICEO HOMERICO.pdf</v>
          </cell>
          <cell r="R224" t="str">
            <v>Se realizó retroalimentación sobre  el SIEE, el cual no está en consonancia con el PEI, asi mismo se observa que debe ajustar la escala de valoración para que coincida con las certificaciones expedidas.</v>
          </cell>
          <cell r="S224" t="str">
            <v>Realizar los ajustes de conformidad con las observaciones al SIIE realizada sen la visita</v>
          </cell>
          <cell r="T224" t="str">
            <v>Si</v>
          </cell>
          <cell r="U224" t="str">
            <v>Revisar la actualización del manual de convivencia en lo relacionado con el  SIIE con fecha 30 de junio</v>
          </cell>
        </row>
        <row r="225">
          <cell r="A225">
            <v>2146</v>
          </cell>
          <cell r="B225">
            <v>24</v>
          </cell>
          <cell r="C225" t="str">
            <v>SUBA</v>
          </cell>
          <cell r="D225" t="str">
            <v>PRIVADO</v>
          </cell>
          <cell r="E225" t="str">
            <v>EPBM</v>
          </cell>
          <cell r="F225" t="str">
            <v>LICEO_HOMERICO</v>
          </cell>
          <cell r="G225" t="str">
            <v>LICEO HOMERICO</v>
          </cell>
          <cell r="H225" t="str">
            <v>Autoevaluación Institucional y Pruebas SABER 11</v>
          </cell>
          <cell r="I225" t="str">
            <v>EVALUACIÓN_CON_FINES_DE_MEJORAMIENTO.</v>
          </cell>
          <cell r="J225" t="str">
            <v>Revisar el calendario escolar, jornada escolar, la intensidad horaria mínima anual en cada nivel y las modificaciones que se realicen al mismo, de acuerdo con lo previsto en la normatividad vigente.</v>
          </cell>
          <cell r="K225" t="str">
            <v>DANIEL ALEJANDRO GRANOBLES</v>
          </cell>
          <cell r="L225" t="str">
            <v>SANDRA OLINDA GONZÁLEZ REYES</v>
          </cell>
          <cell r="M225">
            <v>45873</v>
          </cell>
          <cell r="N225">
            <v>45934</v>
          </cell>
          <cell r="O225">
            <v>45766</v>
          </cell>
          <cell r="P225" t="str">
            <v>Visitas de evaluación con fines de mejoramiento</v>
          </cell>
          <cell r="Q225" t="str">
            <v>Acta de Visita Integral LICEO HOMERICO.pdf</v>
          </cell>
          <cell r="R225" t="str">
            <v>El calendario cumple con lo establecido, sin embargo es preciso que se revise el tiempo académico destinado con los proyectos pedagogicos obligatorios</v>
          </cell>
          <cell r="S225" t="str">
            <v>Presentar la propuesta de ajuste al calendario con respecto a la inclusion de los proyectos pedagogicos</v>
          </cell>
          <cell r="T225" t="str">
            <v>Si</v>
          </cell>
          <cell r="U225" t="str">
            <v>Verificar el calendario escolar allegado y la socialización con la comunidad educativa con fecha 30 de junio</v>
          </cell>
        </row>
        <row r="226">
          <cell r="A226">
            <v>2147</v>
          </cell>
          <cell r="B226">
            <v>24</v>
          </cell>
          <cell r="C226" t="str">
            <v>SUBA</v>
          </cell>
          <cell r="D226" t="str">
            <v>PRIVADO</v>
          </cell>
          <cell r="E226" t="str">
            <v>EPBM</v>
          </cell>
          <cell r="F226" t="str">
            <v>LICEO_HOMERICO</v>
          </cell>
          <cell r="G226" t="str">
            <v>LICEO HOMERICO</v>
          </cell>
          <cell r="H226" t="str">
            <v>Autoevaluación Institucional y Pruebas SABER 11</v>
          </cell>
          <cell r="I226" t="str">
            <v>EVALUACIÓN_CON_FINES_DE_MEJORAMIENTO.</v>
          </cell>
          <cell r="J226" t="str">
            <v>Verificar el funcionamiento del Gobierno Escolar e instancias de participación con base en la información sobre conformación reportada por la institución educativa.</v>
          </cell>
          <cell r="K226" t="str">
            <v>DANIEL ALEJANDRO GRANOBLES</v>
          </cell>
          <cell r="L226" t="str">
            <v>SANDRA OLINDA GONZÁLEZ REYES</v>
          </cell>
          <cell r="M226">
            <v>45873</v>
          </cell>
          <cell r="N226">
            <v>45934</v>
          </cell>
          <cell r="O226">
            <v>45766</v>
          </cell>
          <cell r="P226" t="str">
            <v>Visitas de evaluación con fines de mejoramiento</v>
          </cell>
          <cell r="Q226" t="str">
            <v>Acta de Visita Integral LICEO HOMERICO.pdf</v>
          </cell>
          <cell r="R226" t="str">
            <v>Se evidenciaron las actas de conformación de gobierno escolar, las cuales deberán cargarse en el SAE. Sobre el funcionamiento e realizó en febrero la primera reunión de planeación e informe del año anterior .</v>
          </cell>
          <cell r="S226" t="str">
            <v>Cargar las actas de conformación en el aplicativo SAE y sesionar con cada órgano de gobierno de conformidad con la periodicidad establecida en la norma</v>
          </cell>
          <cell r="T226" t="str">
            <v>Si</v>
          </cell>
          <cell r="U226" t="str">
            <v>Verificar el SAE  y las actas que evidenciens el funcionamiento de  los organos de gobierno.</v>
          </cell>
        </row>
        <row r="227">
          <cell r="A227">
            <v>2148</v>
          </cell>
          <cell r="B227">
            <v>24</v>
          </cell>
          <cell r="C227" t="str">
            <v>SUBA</v>
          </cell>
          <cell r="D227" t="str">
            <v>PRIVADO</v>
          </cell>
          <cell r="E227" t="str">
            <v>EPBM</v>
          </cell>
          <cell r="F227" t="str">
            <v>LICEO_HOMERICO</v>
          </cell>
          <cell r="G227" t="str">
            <v>LICEO HOMERICO</v>
          </cell>
          <cell r="H227" t="str">
            <v>Autoevaluación Institucional y Pruebas SABER 11</v>
          </cell>
          <cell r="I227" t="str">
            <v>EVALUACIÓN_CON_FINES_DE_MEJORAMIENTO.</v>
          </cell>
          <cell r="J227" t="str">
            <v>Verificar las condiciones en cuanto a: la estructura administrativa, condiciones de la planta física y medios educativos adecuados.</v>
          </cell>
          <cell r="K227" t="str">
            <v>DANIEL ALEJANDRO GRANOBLES</v>
          </cell>
          <cell r="L227" t="str">
            <v>SANDRA OLINDA GONZÁLEZ REYES</v>
          </cell>
          <cell r="M227">
            <v>45873</v>
          </cell>
          <cell r="N227">
            <v>45934</v>
          </cell>
          <cell r="O227">
            <v>45766</v>
          </cell>
          <cell r="P227" t="str">
            <v>Visitas de evaluación con fines de mejoramiento</v>
          </cell>
          <cell r="Q227" t="str">
            <v>Acta de Visita Integral LICEO HOMERICO.pdf</v>
          </cell>
          <cell r="R227" t="str">
            <v xml:space="preserve">Existen espacios adecuados para la prestación del servicio educativo autorizado </v>
          </cell>
          <cell r="S227" t="str">
            <v>Continuar con el plan de inversión propuesto, se insistio que el espacio debe ser para uso exclusivo educativo y no con los espacios de residencia</v>
          </cell>
          <cell r="T227" t="str">
            <v>Si</v>
          </cell>
          <cell r="U227" t="str">
            <v>Revisar el plan de mejoramiento programado para entrega el 30 de junio de 2025</v>
          </cell>
        </row>
        <row r="228">
          <cell r="A228">
            <v>2149</v>
          </cell>
          <cell r="B228" t="str">
            <v xml:space="preserve"> </v>
          </cell>
          <cell r="C228" t="str">
            <v>SUBA</v>
          </cell>
          <cell r="D228" t="str">
            <v>PRIVADO</v>
          </cell>
          <cell r="E228" t="str">
            <v>EPBM</v>
          </cell>
          <cell r="F228" t="str">
            <v>LICEO_RIOBAMBA</v>
          </cell>
          <cell r="G228" t="str">
            <v>LICEO RIOBAMBA</v>
          </cell>
          <cell r="H228" t="str">
            <v>Autoevaluación Institucional y Pruebas SABER 11</v>
          </cell>
          <cell r="I228" t="str">
            <v>SEGUIMIENTO_Y_SUPERVISIÓN.</v>
          </cell>
          <cell r="J228" t="str">
            <v>Realizar visitas para verificar la información registrada sobre la autoevaluación institucional en el aplicativo EVI, a los establecimientos de educación formal no oficial.</v>
          </cell>
          <cell r="K228" t="str">
            <v>SONIA YAMILE ARTEAGA MELO</v>
          </cell>
          <cell r="L228" t="str">
            <v>JENNIFFER ESPERANZA GONZÁLEZ GÓMEZ</v>
          </cell>
          <cell r="M228">
            <v>45881</v>
          </cell>
          <cell r="N228">
            <v>45790</v>
          </cell>
          <cell r="O228">
            <v>45790</v>
          </cell>
          <cell r="P228" t="str">
            <v>Visitas de evaluación con fines de seguimiento</v>
          </cell>
          <cell r="Q228" t="str">
            <v>13052025 Acta de visita administrativa Liceo Riobamba.pdf</v>
          </cell>
          <cell r="R228" t="str">
            <v xml:space="preserve">La información reportada en el aplicativo EVI para al vigencia 2024, coincide con la realidad de la institución educativa </v>
          </cell>
          <cell r="S228" t="str">
            <v>La situación encontrada no presenta irregularidades</v>
          </cell>
          <cell r="T228" t="str">
            <v>No</v>
          </cell>
          <cell r="U228" t="str">
            <v>Verificación del reporte de autoevaluación en la siguiente vigencia.</v>
          </cell>
        </row>
        <row r="229">
          <cell r="A229">
            <v>2150</v>
          </cell>
          <cell r="B229">
            <v>25</v>
          </cell>
          <cell r="C229" t="str">
            <v>SUBA</v>
          </cell>
          <cell r="D229" t="str">
            <v>PRIVADO</v>
          </cell>
          <cell r="E229" t="str">
            <v>EPBM</v>
          </cell>
          <cell r="F229" t="str">
            <v>LICEO_RIOBAMBA</v>
          </cell>
          <cell r="G229" t="str">
            <v>LICEO RIOBAMBA</v>
          </cell>
          <cell r="H229" t="str">
            <v>Autoevaluación Institucional y Pruebas SABER 11</v>
          </cell>
          <cell r="I229" t="str">
            <v>SEGUIMIENTO_Y_SUPERVISIÓN.</v>
          </cell>
          <cell r="J229" t="str">
            <v>Proponer estrategias en la formulación, verificar su elaboración y realizar seguimiento semestral al desarrollo de  las acciones establecidas en los planes de mejoramiento por pruebas SABER 11 de los establecimientos de educación formal.</v>
          </cell>
          <cell r="K229" t="str">
            <v>SONIA YAMILE ARTEAGA MELO</v>
          </cell>
          <cell r="L229" t="str">
            <v>JENNIFFER ESPERANZA GONZÁLEZ GÓMEZ</v>
          </cell>
          <cell r="M229">
            <v>45881</v>
          </cell>
          <cell r="N229">
            <v>45790</v>
          </cell>
          <cell r="O229">
            <v>45790</v>
          </cell>
          <cell r="P229" t="str">
            <v>Visitas de evaluación con fines de seguimiento</v>
          </cell>
          <cell r="Q229" t="str">
            <v>13052025 Acta de visita administrativa Liceo Riobamba.pdf</v>
          </cell>
          <cell r="R229" t="str">
            <v>El colegio informa que como estrategia para mejorar el resultado en pruebas SABER 11, realiza talleres y simulacros de preparación para estudiates de grado décimo y once.</v>
          </cell>
          <cell r="S229" t="str">
            <v>El colegio reconoce necesidad de implementar acciones que conlleven a mejorar el desempeño en pruebas SABER 11, desde los primeros años de formación académica.  Plantean revisar el enfoque del PEI</v>
          </cell>
          <cell r="T229" t="str">
            <v>Si</v>
          </cell>
          <cell r="U229" t="str">
            <v>Verificar el desarrollo del trabajo participativo para actualizar el PEI.</v>
          </cell>
        </row>
        <row r="230">
          <cell r="A230">
            <v>2151</v>
          </cell>
          <cell r="B230">
            <v>25</v>
          </cell>
          <cell r="C230" t="str">
            <v>SUBA</v>
          </cell>
          <cell r="D230" t="str">
            <v>PRIVADO</v>
          </cell>
          <cell r="E230" t="str">
            <v>EPBM</v>
          </cell>
          <cell r="F230" t="str">
            <v>LICEO_RIOBAMBA</v>
          </cell>
          <cell r="G230" t="str">
            <v>LICEO RIOBAMBA</v>
          </cell>
          <cell r="H230" t="str">
            <v>Autoevaluación Institucional y Pruebas SABER 11</v>
          </cell>
          <cell r="I230" t="str">
            <v>SEGUIMIENTO_Y_SUPERVISIÓN.</v>
          </cell>
          <cell r="J230" t="str">
            <v xml:space="preserve">Verificar la implementación por parte de los colegios, de acciones realizadas para la prevención y atención de las situaciones de convivencia en el entorno escolar, según lo establecido en la Directiva 01 de 2022 del MEN. </v>
          </cell>
          <cell r="K230" t="str">
            <v>SONIA YAMILE ARTEAGA MELO</v>
          </cell>
          <cell r="L230" t="str">
            <v>JENNIFFER ESPERANZA GONZÁLEZ GÓMEZ</v>
          </cell>
          <cell r="M230">
            <v>45881</v>
          </cell>
          <cell r="N230">
            <v>45790</v>
          </cell>
          <cell r="O230">
            <v>45790</v>
          </cell>
          <cell r="P230" t="str">
            <v>Visitas de evaluación con fines de seguimiento</v>
          </cell>
          <cell r="Q230" t="str">
            <v>13052025 Acta de visita administrativa Liceo Riobamba.pdf</v>
          </cell>
          <cell r="R230" t="str">
            <v>Informan que desde Orientación Escolar y con articulación con docentes de aula, desarrollan actividades de promoción y prevención de situaciones que puedan afectar la convivencia escolar.
Informan que durante el año lectivo no se han presetado situaciones de convivencia tipo II o III.</v>
          </cell>
          <cell r="S230" t="str">
            <v>Se reitera la importancia de documentar las acciones de promoción y prevención que se lleven a cabo, y el tener en cuenta que pueden articulas su actuar con Entidades a fines a temas relevantes para la comunidad educativa.</v>
          </cell>
          <cell r="T230" t="str">
            <v>Si</v>
          </cell>
          <cell r="U230" t="str">
            <v>Verificar que se adopte la recomendación de documentar las acciones adelantadas.</v>
          </cell>
        </row>
        <row r="231">
          <cell r="A231">
            <v>2152</v>
          </cell>
          <cell r="B231">
            <v>25</v>
          </cell>
          <cell r="C231" t="str">
            <v>SUBA</v>
          </cell>
          <cell r="D231" t="str">
            <v>PRIVADO</v>
          </cell>
          <cell r="E231" t="str">
            <v>EPBM</v>
          </cell>
          <cell r="F231" t="str">
            <v>LICEO_RIOBAMBA</v>
          </cell>
          <cell r="G231" t="str">
            <v>LICEO RIOBAMBA</v>
          </cell>
          <cell r="H231" t="str">
            <v>Autoevaluación Institucional y Pruebas SABER 11</v>
          </cell>
          <cell r="I231" t="str">
            <v>SEGUIMIENTO_Y_SUPERVISIÓN.</v>
          </cell>
          <cell r="J23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31" t="str">
            <v>SONIA YAMILE ARTEAGA MELO</v>
          </cell>
          <cell r="L231" t="str">
            <v>JENNIFFER ESPERANZA GONZÁLEZ GÓMEZ</v>
          </cell>
          <cell r="M231">
            <v>45881</v>
          </cell>
          <cell r="N231">
            <v>45790</v>
          </cell>
          <cell r="O231">
            <v>45790</v>
          </cell>
          <cell r="P231" t="str">
            <v>Visitas de evaluación con fines de seguimiento</v>
          </cell>
          <cell r="Q231" t="str">
            <v>13052025 Acta de visita administrativa Liceo Riobamba.pdf</v>
          </cell>
          <cell r="R231" t="str">
            <v>El colegio adelanta el diligenciamiento del formato dispuesto por el Ministerio de Salud de los PIAR.
Los estudiantes  identificados con una Necesidad educativa especial, cuentan con su documento.</v>
          </cell>
          <cell r="S231" t="str">
            <v>El trabajo de elaboración del PIAR recae sobre el Orientador Escolar, se orienta en el sentido de la necesidad de participación de los docentes de su elaboración.</v>
          </cell>
          <cell r="T231" t="str">
            <v>Si</v>
          </cell>
          <cell r="U231" t="str">
            <v>Verificar que a través del plan de mejormaiento se vincule a los docentes de aula en la elaboración del PIAR.</v>
          </cell>
        </row>
        <row r="232">
          <cell r="A232">
            <v>2153</v>
          </cell>
          <cell r="B232">
            <v>25</v>
          </cell>
          <cell r="C232" t="str">
            <v>SUBA</v>
          </cell>
          <cell r="D232" t="str">
            <v>PRIVADO</v>
          </cell>
          <cell r="E232" t="str">
            <v>EPBM</v>
          </cell>
          <cell r="F232" t="str">
            <v>LICEO_RIOBAMBA</v>
          </cell>
          <cell r="G232" t="str">
            <v>LICEO RIOBAMBA</v>
          </cell>
          <cell r="H232" t="str">
            <v>Autoevaluación Institucional y Pruebas SABER 11</v>
          </cell>
          <cell r="I232" t="str">
            <v>EVALUACIÓN_CON_FINES_DE_MEJORAMIENTO.</v>
          </cell>
          <cell r="J23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32" t="str">
            <v>SONIA YAMILE ARTEAGA MELO</v>
          </cell>
          <cell r="L232" t="str">
            <v>JENNIFFER ESPERANZA GONZÁLEZ GÓMEZ</v>
          </cell>
          <cell r="M232">
            <v>45881</v>
          </cell>
          <cell r="N232">
            <v>45790</v>
          </cell>
          <cell r="O232">
            <v>45790</v>
          </cell>
          <cell r="P232" t="str">
            <v>Visitas de evaluación con fines de mejoramiento</v>
          </cell>
          <cell r="Q232" t="str">
            <v>13052025 Acta de visita administrativa Liceo Riobamba.pdf</v>
          </cell>
          <cell r="R232" t="str">
            <v>El colegio cuenta con un Manual de Convivencia Escolar, actualizado y adoptado para el año escolar 2025.
Se identifica que en el documento hay falencias respecto de la diferenciación entre las faltas disciplinarias y situaciones de convivencia definidas en el marco de la Ley 162/2013.</v>
          </cell>
          <cell r="S232" t="str">
            <v>Se debe realizar la actualización del Manual de Convivencia Escolar, de acuerdo con las orientaciones dadas por la SED en el año 2022, con la incorporación del enfoque de género, enfoque diferencial por orientación sexual e identidad de género y enfoque restaurativo.</v>
          </cell>
          <cell r="T232" t="str">
            <v>Si</v>
          </cell>
          <cell r="U232" t="str">
            <v>Validar cronograma para actualización del Manual de Convivencia Escolar, prestar asesoría si es requerida y verificar contenido del documento actualizado.</v>
          </cell>
        </row>
        <row r="233">
          <cell r="A233">
            <v>2154</v>
          </cell>
          <cell r="B233">
            <v>25</v>
          </cell>
          <cell r="C233" t="str">
            <v>SUBA</v>
          </cell>
          <cell r="D233" t="str">
            <v>PRIVADO</v>
          </cell>
          <cell r="E233" t="str">
            <v>EPBM</v>
          </cell>
          <cell r="F233" t="str">
            <v>LICEO_RIOBAMBA</v>
          </cell>
          <cell r="G233" t="str">
            <v>LICEO RIOBAMBA</v>
          </cell>
          <cell r="H233" t="str">
            <v>Autoevaluación Institucional y Pruebas SABER 11</v>
          </cell>
          <cell r="I233" t="str">
            <v>EVALUACIÓN_CON_FINES_DE_MEJORAMIENTO.</v>
          </cell>
          <cell r="J233" t="str">
            <v>Revisar la actualización, socialización e implementación del Sistema Institucional de Evaluación de Estudiantes - SIEE, en articulación con la actualización del PEI y la normatividad vigente.</v>
          </cell>
          <cell r="K233" t="str">
            <v>SONIA YAMILE ARTEAGA MELO</v>
          </cell>
          <cell r="L233" t="str">
            <v>JENNIFFER ESPERANZA GONZÁLEZ GÓMEZ</v>
          </cell>
          <cell r="M233">
            <v>45881</v>
          </cell>
          <cell r="N233">
            <v>45790</v>
          </cell>
          <cell r="O233">
            <v>45790</v>
          </cell>
          <cell r="P233" t="str">
            <v>Visitas de evaluación con fines de mejoramiento</v>
          </cell>
          <cell r="Q233" t="str">
            <v>13052025 Acta de visita administrativa Liceo Riobamba.pdf</v>
          </cell>
          <cell r="R233" t="str">
            <v>El colegio tiene definido el Sistema Institucional de Evaluación Escolar-SIEE, y está incorporado en el Mnaual de Convivencia, requieren ampliarse conceptos en el documento.</v>
          </cell>
          <cell r="S233" t="str">
            <v>Se debe realizar ajustes en el SIEE, incluyendo acciones de seguimiento para los planes de mejoramiento de estudiantes, estructura de los informes académicos.</v>
          </cell>
          <cell r="T233" t="str">
            <v>Si</v>
          </cell>
          <cell r="U233" t="str">
            <v>Verificación La actualización del SIEE.</v>
          </cell>
        </row>
        <row r="234">
          <cell r="A234">
            <v>2155</v>
          </cell>
          <cell r="B234">
            <v>25</v>
          </cell>
          <cell r="C234" t="str">
            <v>SUBA</v>
          </cell>
          <cell r="D234" t="str">
            <v>PRIVADO</v>
          </cell>
          <cell r="E234" t="str">
            <v>EPBM</v>
          </cell>
          <cell r="F234" t="str">
            <v>LICEO_RIOBAMBA</v>
          </cell>
          <cell r="G234" t="str">
            <v>LICEO RIOBAMBA</v>
          </cell>
          <cell r="H234" t="str">
            <v>Autoevaluación Institucional y Pruebas SABER 11</v>
          </cell>
          <cell r="I234" t="str">
            <v>EVALUACIÓN_CON_FINES_DE_MEJORAMIENTO.</v>
          </cell>
          <cell r="J234" t="str">
            <v>Revisar el calendario escolar, jornada escolar, la intensidad horaria mínima anual en cada nivel y las modificaciones que se realicen al mismo, de acuerdo con lo previsto en la normatividad vigente.</v>
          </cell>
          <cell r="K234" t="str">
            <v>SONIA YAMILE ARTEAGA MELO</v>
          </cell>
          <cell r="L234" t="str">
            <v>JENNIFFER ESPERANZA GONZÁLEZ GÓMEZ</v>
          </cell>
          <cell r="M234">
            <v>45881</v>
          </cell>
          <cell r="N234">
            <v>45790</v>
          </cell>
          <cell r="O234">
            <v>45790</v>
          </cell>
          <cell r="P234" t="str">
            <v>Visitas de evaluación con fines de mejoramiento</v>
          </cell>
          <cell r="Q234" t="str">
            <v>13052025 Acta de visita administrativa Liceo Riobamba.pdf</v>
          </cell>
          <cell r="R234" t="str">
            <v>En la verificación del calendario escolar, cumplimiento de la jornada e intensidad horaria, se encuentra conforme a lo defindio en la normatividad.</v>
          </cell>
          <cell r="S234" t="str">
            <v>Continuar la implementación del calendario en semanas de desarrollo académico e intensidades</v>
          </cell>
          <cell r="T234" t="str">
            <v>No</v>
          </cell>
          <cell r="U234" t="str">
            <v>Verificación de la continuidad en el cumplimiento en siguiente año lectivo o en caso de presentarse queja.</v>
          </cell>
        </row>
        <row r="235">
          <cell r="A235">
            <v>2156</v>
          </cell>
          <cell r="B235">
            <v>25</v>
          </cell>
          <cell r="C235" t="str">
            <v>SUBA</v>
          </cell>
          <cell r="D235" t="str">
            <v>PRIVADO</v>
          </cell>
          <cell r="E235" t="str">
            <v>EPBM</v>
          </cell>
          <cell r="F235" t="str">
            <v>LICEO_RIOBAMBA</v>
          </cell>
          <cell r="G235" t="str">
            <v>LICEO RIOBAMBA</v>
          </cell>
          <cell r="H235" t="str">
            <v>Autoevaluación Institucional y Pruebas SABER 11</v>
          </cell>
          <cell r="I235" t="str">
            <v>EVALUACIÓN_CON_FINES_DE_MEJORAMIENTO.</v>
          </cell>
          <cell r="J235" t="str">
            <v>Verificar el funcionamiento del Gobierno Escolar e instancias de participación con base en la información sobre conformación reportada por la institución educativa.</v>
          </cell>
          <cell r="K235" t="str">
            <v>SONIA YAMILE ARTEAGA MELO</v>
          </cell>
          <cell r="L235" t="str">
            <v>JENNIFFER ESPERANZA GONZÁLEZ GÓMEZ</v>
          </cell>
          <cell r="M235">
            <v>45881</v>
          </cell>
          <cell r="N235">
            <v>45790</v>
          </cell>
          <cell r="O235">
            <v>45790</v>
          </cell>
          <cell r="P235" t="str">
            <v>Visitas de evaluación con fines de mejoramiento</v>
          </cell>
          <cell r="Q235" t="str">
            <v>13052025 Acta de visita administrativa Liceo Riobamba.pdf</v>
          </cell>
          <cell r="R235" t="str">
            <v>Se encuentran conformados las instancias de gobierno escolar, no hay evidencias de funcionamiento.</v>
          </cell>
          <cell r="S235" t="str">
            <v>Se asesora sobre la operatividad de las instancias del gobierno escolar, colegio se compromete a regularizar su funcionamiento y elaborar actas de los encuentros.</v>
          </cell>
          <cell r="T235" t="str">
            <v>Si</v>
          </cell>
          <cell r="U235" t="str">
            <v>Validar el cumplimiento de la normatividad respecto a funcionamiento de instancias de gobierno escolar a través de verificación de actas de reuniones realizadas.</v>
          </cell>
        </row>
        <row r="236">
          <cell r="A236">
            <v>2157</v>
          </cell>
          <cell r="B236">
            <v>25</v>
          </cell>
          <cell r="C236" t="str">
            <v>SUBA</v>
          </cell>
          <cell r="D236" t="str">
            <v>PRIVADO</v>
          </cell>
          <cell r="E236" t="str">
            <v>EPBM</v>
          </cell>
          <cell r="F236" t="str">
            <v>LICEO_RIOBAMBA</v>
          </cell>
          <cell r="G236" t="str">
            <v>LICEO RIOBAMBA</v>
          </cell>
          <cell r="H236" t="str">
            <v>Autoevaluación Institucional y Pruebas SABER 11</v>
          </cell>
          <cell r="I236" t="str">
            <v>EVALUACIÓN_CON_FINES_DE_MEJORAMIENTO.</v>
          </cell>
          <cell r="J236" t="str">
            <v>Verificar las condiciones en cuanto a: la estructura administrativa, condiciones de la planta física y medios educativos adecuados.</v>
          </cell>
          <cell r="K236" t="str">
            <v>SONIA YAMILE ARTEAGA MELO</v>
          </cell>
          <cell r="L236" t="str">
            <v>JENNIFFER ESPERANZA GONZÁLEZ GÓMEZ</v>
          </cell>
          <cell r="M236">
            <v>45881</v>
          </cell>
          <cell r="N236">
            <v>45790</v>
          </cell>
          <cell r="O236">
            <v>45790</v>
          </cell>
          <cell r="P236" t="str">
            <v>Visitas de evaluación con fines de mejoramiento</v>
          </cell>
          <cell r="Q236" t="str">
            <v>13052025 Acta de visita administrativa Liceo Riobamba.pdf</v>
          </cell>
          <cell r="R236" t="str">
            <v>La conformación de la planta administrativa es adecuada, se encuentran algunas aulas con poca ventilación e iluminación, y varios pupitres y tableros acrílicos en regular estado de conservación.</v>
          </cell>
          <cell r="S236" t="str">
            <v>Deben adelantarse acciones para mejorar ventilación e iluminación de algunas aulas, cambios y/o mantenimiento de mobiliario para estudiantes y reemplazo de algunos tableros.</v>
          </cell>
          <cell r="T236" t="str">
            <v>Si</v>
          </cell>
          <cell r="U236" t="str">
            <v>Verificación de las acciones a relaizar, mediante solicitud de reporte fotográfico o visita administrativa.</v>
          </cell>
        </row>
        <row r="237">
          <cell r="A237">
            <v>2158</v>
          </cell>
          <cell r="B237">
            <v>26</v>
          </cell>
          <cell r="C237" t="str">
            <v>SUBA</v>
          </cell>
          <cell r="D237" t="str">
            <v>PRIVADO</v>
          </cell>
          <cell r="E237" t="str">
            <v>EPBM</v>
          </cell>
          <cell r="F237" t="str">
            <v>GIMNASIO_ESPECIALIZADO_DEL_NORTE</v>
          </cell>
          <cell r="G237" t="str">
            <v>GIMNASIO ESPECIALIZADO DEL NORTE</v>
          </cell>
          <cell r="H237" t="str">
            <v>Autoevaluación Institucional y Pruebas SABER 11</v>
          </cell>
          <cell r="I237" t="str">
            <v>SEGUIMIENTO_Y_SUPERVISIÓN.</v>
          </cell>
          <cell r="J237" t="str">
            <v>Realizar visitas para verificar la información registrada sobre la autoevaluación institucional en el aplicativo EVI, a los establecimientos de educación formal no oficial.</v>
          </cell>
          <cell r="K237" t="str">
            <v>GETULIO ALBERTO FLÓREZ MORENO</v>
          </cell>
          <cell r="L237" t="str">
            <v>MARÍA LILIA MENDEZ DE BUITRAGO</v>
          </cell>
          <cell r="M237">
            <v>45904</v>
          </cell>
          <cell r="N237">
            <v>45720</v>
          </cell>
          <cell r="O237">
            <v>45720</v>
          </cell>
          <cell r="P237" t="str">
            <v>Visitas de evaluación con fines de seguimiento</v>
          </cell>
          <cell r="Q237" t="str">
            <v>03042025 GIMNASIO ESPECIALIZADO DEL NORTE.pdf</v>
          </cell>
          <cell r="R237" t="str">
            <v>Presentaron el diligenciamiento del aplicativo EVI en debida forma y se verifica que se cobran a los padres de familia los mismos valores aprobados en la Resolución de costos educativos.</v>
          </cell>
          <cell r="S237" t="str">
            <v xml:space="preserve">Se sugiere publicar la Resolución en un lugar visible para la comunidad educativa. </v>
          </cell>
          <cell r="T237" t="str">
            <v>No</v>
          </cell>
          <cell r="U237"/>
        </row>
        <row r="238">
          <cell r="A238">
            <v>2159</v>
          </cell>
          <cell r="B238">
            <v>26</v>
          </cell>
          <cell r="C238" t="str">
            <v>SUBA</v>
          </cell>
          <cell r="D238" t="str">
            <v>PRIVADO</v>
          </cell>
          <cell r="E238" t="str">
            <v>EPBM</v>
          </cell>
          <cell r="F238" t="str">
            <v>GIMNASIO_ESPECIALIZADO_DEL_NORTE</v>
          </cell>
          <cell r="G238" t="str">
            <v>GIMNASIO ESPECIALIZADO DEL NORTE</v>
          </cell>
          <cell r="H238" t="str">
            <v>Autoevaluación Institucional y Pruebas SABER 11</v>
          </cell>
          <cell r="I238" t="str">
            <v>SEGUIMIENTO_Y_SUPERVISIÓN.</v>
          </cell>
          <cell r="J238" t="str">
            <v>Proponer estrategias en la formulación, verificar su elaboración y realizar seguimiento semestral al desarrollo de  las acciones establecidas en los planes de mejoramiento por pruebas SABER 11 de los establecimientos de educación formal.</v>
          </cell>
          <cell r="K238" t="str">
            <v>GETULIO ALBERTO FLÓREZ MORENO</v>
          </cell>
          <cell r="L238" t="str">
            <v>MARÍA LILIA MENDEZ DE BUITRAGO</v>
          </cell>
          <cell r="M238">
            <v>45904</v>
          </cell>
          <cell r="N238">
            <v>45720</v>
          </cell>
          <cell r="O238">
            <v>45720</v>
          </cell>
          <cell r="P238" t="str">
            <v>Visitas de evaluación con fines de seguimiento</v>
          </cell>
          <cell r="Q238" t="str">
            <v>03042025 GIMNASIO ESPECIALIZADO DEL NORTE.pdf</v>
          </cell>
          <cell r="R238" t="str">
            <v xml:space="preserve">Al colegio no lo clasifican en las pruebas SABER por la baja población en grado 11. </v>
          </cell>
          <cell r="S238" t="str">
            <v>Se sugiere revisar lo que el icfes evalua a la población con discapacidad para que el colegio incorpore esta información y de esta forma se familiarce con las pruebas y se tenga en cuenta en su sistema de evaluación.</v>
          </cell>
          <cell r="T238" t="str">
            <v>Si</v>
          </cell>
          <cell r="U238" t="str">
            <v>Por ser institución educativa con alto porcentaje de menores en condiciones de discapacidad, para el SIE se sugiere armonizarlo con la población en condición especial con base en los requerimientos de las pruebas saber.</v>
          </cell>
        </row>
        <row r="239">
          <cell r="A239">
            <v>2160</v>
          </cell>
          <cell r="B239">
            <v>26</v>
          </cell>
          <cell r="C239" t="str">
            <v>SUBA</v>
          </cell>
          <cell r="D239" t="str">
            <v>PRIVADO</v>
          </cell>
          <cell r="E239" t="str">
            <v>EPBM</v>
          </cell>
          <cell r="F239" t="str">
            <v>GIMNASIO_ESPECIALIZADO_DEL_NORTE</v>
          </cell>
          <cell r="G239" t="str">
            <v>GIMNASIO ESPECIALIZADO DEL NORTE</v>
          </cell>
          <cell r="H239" t="str">
            <v>Autoevaluación Institucional y Pruebas SABER 11</v>
          </cell>
          <cell r="I239" t="str">
            <v>SEGUIMIENTO_Y_SUPERVISIÓN.</v>
          </cell>
          <cell r="J239" t="str">
            <v xml:space="preserve">Verificar la implementación por parte de los colegios, de acciones realizadas para la prevención y atención de las situaciones de convivencia en el entorno escolar, según lo establecido en la Directiva 01 de 2022 del MEN. </v>
          </cell>
          <cell r="K239" t="str">
            <v>GETULIO ALBERTO FLÓREZ MORENO</v>
          </cell>
          <cell r="L239" t="str">
            <v>MARÍA LILIA MENDEZ DE BUITRAGO</v>
          </cell>
          <cell r="M239">
            <v>45904</v>
          </cell>
          <cell r="N239">
            <v>45720</v>
          </cell>
          <cell r="O239">
            <v>45720</v>
          </cell>
          <cell r="P239" t="str">
            <v>Visitas de evaluación con fines de seguimiento</v>
          </cell>
          <cell r="Q239" t="str">
            <v>03042025 GIMNASIO ESPECIALIZADO DEL NORTE.pdf</v>
          </cell>
          <cell r="R239" t="str">
            <v xml:space="preserve">Aunque se realiza la consulta de las inhabilidades del personal vinculadono al inicio del año no lo hacen cada 4 meses. </v>
          </cell>
          <cell r="S239" t="str">
            <v>Se orienta adelantar esta actividad en el tiempo estipulado.</v>
          </cell>
          <cell r="T239" t="str">
            <v>Si</v>
          </cell>
          <cell r="U239" t="str">
            <v xml:space="preserve">Actualizar la revisión del certificado de antecedentes de inhabilidades por delitos sexuales para todos los docentes y personal administrativo del colegio. </v>
          </cell>
        </row>
        <row r="240">
          <cell r="A240">
            <v>2161</v>
          </cell>
          <cell r="B240">
            <v>26</v>
          </cell>
          <cell r="C240" t="str">
            <v>SUBA</v>
          </cell>
          <cell r="D240" t="str">
            <v>PRIVADO</v>
          </cell>
          <cell r="E240" t="str">
            <v>EPBM</v>
          </cell>
          <cell r="F240" t="str">
            <v>GIMNASIO_ESPECIALIZADO_DEL_NORTE</v>
          </cell>
          <cell r="G240" t="str">
            <v>GIMNASIO ESPECIALIZADO DEL NORTE</v>
          </cell>
          <cell r="H240" t="str">
            <v>Autoevaluación Institucional y Pruebas SABER 11</v>
          </cell>
          <cell r="I240" t="str">
            <v>SEGUIMIENTO_Y_SUPERVISIÓN.</v>
          </cell>
          <cell r="J24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40" t="str">
            <v>GETULIO ALBERTO FLÓREZ MORENO</v>
          </cell>
          <cell r="L240" t="str">
            <v>MARÍA LILIA MENDEZ DE BUITRAGO</v>
          </cell>
          <cell r="M240">
            <v>45904</v>
          </cell>
          <cell r="N240">
            <v>45720</v>
          </cell>
          <cell r="O240">
            <v>45720</v>
          </cell>
          <cell r="P240" t="str">
            <v>Visitas de evaluación con fines de seguimiento</v>
          </cell>
          <cell r="Q240" t="str">
            <v>03042025 GIMNASIO ESPECIALIZADO DEL NORTE.pdf</v>
          </cell>
          <cell r="R240" t="str">
            <v xml:space="preserve">Posterior a la revisión de la documentación entregada por el colegio se evidencia el diligenciamiento y consolidación de los correspondientes  PIAR.en las AZ respectivas. El algunos no se observa las firmas de los padres de familia. </v>
          </cell>
          <cell r="S240" t="str">
            <v>Se sugiere la firma el PIAR por parte de los padres de familia.</v>
          </cell>
          <cell r="T240" t="str">
            <v>Si</v>
          </cell>
          <cell r="U240" t="str">
            <v xml:space="preserve">Se verificarán los PIAR firmados por los padres de familia. </v>
          </cell>
        </row>
        <row r="241">
          <cell r="A241">
            <v>2162</v>
          </cell>
          <cell r="B241">
            <v>26</v>
          </cell>
          <cell r="C241" t="str">
            <v>SUBA</v>
          </cell>
          <cell r="D241" t="str">
            <v>PRIVADO</v>
          </cell>
          <cell r="E241" t="str">
            <v>EPBM</v>
          </cell>
          <cell r="F241" t="str">
            <v>GIMNASIO_ESPECIALIZADO_DEL_NORTE</v>
          </cell>
          <cell r="G241" t="str">
            <v>GIMNASIO ESPECIALIZADO DEL NORTE</v>
          </cell>
          <cell r="H241" t="str">
            <v>Autoevaluación Institucional y Pruebas SABER 11</v>
          </cell>
          <cell r="I241" t="str">
            <v>EVALUACIÓN_CON_FINES_DE_MEJORAMIENTO.</v>
          </cell>
          <cell r="J24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41" t="str">
            <v>GETULIO ALBERTO FLÓREZ MORENO</v>
          </cell>
          <cell r="L241" t="str">
            <v>MARÍA LILIA MENDEZ DE BUITRAGO</v>
          </cell>
          <cell r="M241">
            <v>45904</v>
          </cell>
          <cell r="N241">
            <v>45720</v>
          </cell>
          <cell r="O241">
            <v>45720</v>
          </cell>
          <cell r="P241" t="str">
            <v>Visitas de evaluación con fines de mejoramiento</v>
          </cell>
          <cell r="Q241" t="str">
            <v>03042025 GIMNASIO ESPECIALIZADO DEL NORTE.pdf</v>
          </cell>
          <cell r="R241" t="str">
            <v>En la lectura y análisis del Manual se evidencia que en la misión es importante reevaluarla para tener en cuenta la educación regular, conservando el enfoque inclusivo.                   En la visión es fundamental proyectase en el mediano plazo (10 años) y tener en cuenta el ajuste de  educación regular conservando el enfoque inclusivo.                                                            Se recomienda la revisión del componente de educación inicial teniendo en cuenta los lineamiento del MEN en educación inicial, referentes tecnicos, activiudades rectoras y en general lo establecido en el Decreto 1411 de 2022.</v>
          </cell>
          <cell r="S241" t="str">
            <v xml:space="preserve">Posterior a la revisión del Manual de Convivencia se observa que cumple con los contenidos fundamentales, no obstante hay que hacer los ajustes mencionados en la situación encontrada.  </v>
          </cell>
          <cell r="T241" t="str">
            <v>Si</v>
          </cell>
          <cell r="U241" t="str">
            <v xml:space="preserve">Seguimiento sobre el ajuste y actualización de la Misión institucional incluyendo en enfoque de educación regular.   Seguimiento al ajuste y actualización de la Visión institucional incluyendo en enfoque de educación regular, y ampliando la proyección institucional.                                       </v>
          </cell>
        </row>
        <row r="242">
          <cell r="A242">
            <v>2163</v>
          </cell>
          <cell r="B242">
            <v>26</v>
          </cell>
          <cell r="C242" t="str">
            <v>SUBA</v>
          </cell>
          <cell r="D242" t="str">
            <v>PRIVADO</v>
          </cell>
          <cell r="E242" t="str">
            <v>EPBM</v>
          </cell>
          <cell r="F242" t="str">
            <v>GIMNASIO_ESPECIALIZADO_DEL_NORTE</v>
          </cell>
          <cell r="G242" t="str">
            <v>GIMNASIO ESPECIALIZADO DEL NORTE</v>
          </cell>
          <cell r="H242" t="str">
            <v>Autoevaluación Institucional y Pruebas SABER 11</v>
          </cell>
          <cell r="I242" t="str">
            <v>EVALUACIÓN_CON_FINES_DE_MEJORAMIENTO.</v>
          </cell>
          <cell r="J242" t="str">
            <v>Revisar la actualización, socialización e implementación del Sistema Institucional de Evaluación de Estudiantes - SIEE, en articulación con la actualización del PEI y la normatividad vigente.</v>
          </cell>
          <cell r="K242" t="str">
            <v>GETULIO ALBERTO FLÓREZ MORENO</v>
          </cell>
          <cell r="L242" t="str">
            <v>MARÍA LILIA MENDEZ DE BUITRAGO</v>
          </cell>
          <cell r="M242">
            <v>45904</v>
          </cell>
          <cell r="N242">
            <v>45720</v>
          </cell>
          <cell r="O242">
            <v>45720</v>
          </cell>
          <cell r="P242" t="str">
            <v>Visitas de evaluación con fines de mejoramiento</v>
          </cell>
          <cell r="Q242" t="str">
            <v>03042025 GIMNASIO ESPECIALIZADO DEL NORTE.pdf</v>
          </cell>
          <cell r="R242" t="str">
            <v>En la revisión del Sistema Institucional de Evaluación se evidencia poca articulación de las pruebas y estrategias  aplicadas a la población en condición especial con los requerimientos de las pruebas saber.</v>
          </cell>
          <cell r="S242" t="str">
            <v>Como compromiso se acuerda Indagar con la entidad ICFES como se evalúa la población estudiantil con discapacidad, para así ajustar las planeaciones de grado 11° "preparación de presentación de las pruebas" y de ser procedente la elaboración de una Guía para la evaluación de estudiantes del sistema SIEE con los requisitos de las pruebas ICFES para los estudiantes de grado 11° (PC) con discapacidad.</v>
          </cell>
          <cell r="T242" t="str">
            <v>Si</v>
          </cell>
          <cell r="U242" t="str">
            <v>Verificar el juste y actualización del sistema de evaluación de estudiantes.</v>
          </cell>
        </row>
        <row r="243">
          <cell r="A243">
            <v>2164</v>
          </cell>
          <cell r="B243">
            <v>26</v>
          </cell>
          <cell r="C243" t="str">
            <v>SUBA</v>
          </cell>
          <cell r="D243" t="str">
            <v>PRIVADO</v>
          </cell>
          <cell r="E243" t="str">
            <v>EPBM</v>
          </cell>
          <cell r="F243" t="str">
            <v>GIMNASIO_ESPECIALIZADO_DEL_NORTE</v>
          </cell>
          <cell r="G243" t="str">
            <v>GIMNASIO ESPECIALIZADO DEL NORTE</v>
          </cell>
          <cell r="H243" t="str">
            <v>Autoevaluación Institucional y Pruebas SABER 11</v>
          </cell>
          <cell r="I243" t="str">
            <v>EVALUACIÓN_CON_FINES_DE_MEJORAMIENTO.</v>
          </cell>
          <cell r="J243" t="str">
            <v>Revisar el calendario escolar, jornada escolar, la intensidad horaria mínima anual en cada nivel y las modificaciones que se realicen al mismo, de acuerdo con lo previsto en la normatividad vigente.</v>
          </cell>
          <cell r="K243" t="str">
            <v>GETULIO ALBERTO FLÓREZ MORENO</v>
          </cell>
          <cell r="L243" t="str">
            <v>MARÍA LILIA MENDEZ DE BUITRAGO</v>
          </cell>
          <cell r="M243">
            <v>45904</v>
          </cell>
          <cell r="N243">
            <v>45720</v>
          </cell>
          <cell r="O243">
            <v>45720</v>
          </cell>
          <cell r="P243" t="str">
            <v>Visitas de evaluación con fines de mejoramiento</v>
          </cell>
          <cell r="Q243" t="str">
            <v>03042025 GIMNASIO ESPECIALIZADO DEL NORTE.pdf</v>
          </cell>
          <cell r="R243" t="str">
            <v>La intensidad horaria y las horas mínimas anuales de cada ciclo se ajustan para los ciclos de preescolar, básica y media</v>
          </cell>
          <cell r="S243" t="str">
            <v>Cumplie el calendario académico</v>
          </cell>
          <cell r="T243" t="str">
            <v>No</v>
          </cell>
          <cell r="U243" t="str">
            <v>Continuar con el cumplimiento del calendario</v>
          </cell>
        </row>
        <row r="244">
          <cell r="A244">
            <v>2165</v>
          </cell>
          <cell r="B244">
            <v>26</v>
          </cell>
          <cell r="C244" t="str">
            <v>SUBA</v>
          </cell>
          <cell r="D244" t="str">
            <v>PRIVADO</v>
          </cell>
          <cell r="E244" t="str">
            <v>EPBM</v>
          </cell>
          <cell r="F244" t="str">
            <v>GIMNASIO_ESPECIALIZADO_DEL_NORTE</v>
          </cell>
          <cell r="G244" t="str">
            <v>GIMNASIO ESPECIALIZADO DEL NORTE</v>
          </cell>
          <cell r="H244" t="str">
            <v>Autoevaluación Institucional y Pruebas SABER 11</v>
          </cell>
          <cell r="I244" t="str">
            <v>EVALUACIÓN_CON_FINES_DE_MEJORAMIENTO.</v>
          </cell>
          <cell r="J244" t="str">
            <v>Verificar el funcionamiento del Gobierno Escolar e instancias de participación con base en la información sobre conformación reportada por la institución educativa.</v>
          </cell>
          <cell r="K244" t="str">
            <v>GETULIO ALBERTO FLÓREZ MORENO</v>
          </cell>
          <cell r="L244" t="str">
            <v>MARÍA LILIA MENDEZ DE BUITRAGO</v>
          </cell>
          <cell r="M244">
            <v>45904</v>
          </cell>
          <cell r="N244">
            <v>45720</v>
          </cell>
          <cell r="O244">
            <v>45720</v>
          </cell>
          <cell r="P244" t="str">
            <v>Visitas de evaluación con fines de mejoramiento</v>
          </cell>
          <cell r="Q244" t="str">
            <v>03042025 GIMNASIO ESPECIALIZADO DEL NORTE.pdf</v>
          </cell>
          <cell r="R244" t="str">
            <v xml:space="preserve">En la visita se evidencia actas de conformación de gobierno escolar, las cuales fueron cargardas en el SAE.                 El consejo directivo, el consejo académico e instancias de particpación son operativos, para los Consejos se programan 12 reuniones al año. </v>
          </cell>
          <cell r="S244" t="str">
            <v>Se invita al colegio a continuar sesionando  con cada órgano de gobierno de conformidad con la periodicidad establecida en la norma.</v>
          </cell>
          <cell r="T244" t="str">
            <v>No</v>
          </cell>
          <cell r="U244" t="str">
            <v>Hacer seguimiento al cumplimiento del compromiso.</v>
          </cell>
        </row>
        <row r="245">
          <cell r="A245">
            <v>2166</v>
          </cell>
          <cell r="B245">
            <v>26</v>
          </cell>
          <cell r="C245" t="str">
            <v>SUBA</v>
          </cell>
          <cell r="D245" t="str">
            <v>PRIVADO</v>
          </cell>
          <cell r="E245" t="str">
            <v>EPBM</v>
          </cell>
          <cell r="F245" t="str">
            <v>GIMNASIO_ESPECIALIZADO_DEL_NORTE</v>
          </cell>
          <cell r="G245" t="str">
            <v>GIMNASIO ESPECIALIZADO DEL NORTE</v>
          </cell>
          <cell r="H245" t="str">
            <v>Autoevaluación Institucional y Pruebas SABER 11</v>
          </cell>
          <cell r="I245" t="str">
            <v>EVALUACIÓN_CON_FINES_DE_MEJORAMIENTO.</v>
          </cell>
          <cell r="J245" t="str">
            <v>Verificar las condiciones en cuanto a: la estructura administrativa, condiciones de la planta física y medios educativos adecuados.</v>
          </cell>
          <cell r="K245" t="str">
            <v>GETULIO ALBERTO FLÓREZ MORENO</v>
          </cell>
          <cell r="L245" t="str">
            <v>MARÍA LILIA MENDEZ DE BUITRAGO</v>
          </cell>
          <cell r="M245">
            <v>45904</v>
          </cell>
          <cell r="N245">
            <v>45720</v>
          </cell>
          <cell r="O245">
            <v>45720</v>
          </cell>
          <cell r="P245" t="str">
            <v>Visitas de evaluación con fines de mejoramiento</v>
          </cell>
          <cell r="Q245" t="str">
            <v>03042025 GIMNASIO ESPECIALIZADO DEL NORTE.pdf</v>
          </cell>
          <cell r="R245" t="str">
            <v>En en recorrido por las instalaciones se observa que el 5 piso se requiere mantenimiento de espacios locativos.  De igual forma se eviencia que existen algunos espacios del 6 pis que requieren mantenimiento del piso y pintura a nivel general.</v>
          </cell>
          <cell r="S245" t="str">
            <v>El colegio asume el compromiso de adelantar los mantenimientos locativos requeridos periódicamente, dando prioridad a los hallazgos que mayor potencialidad de ocasionar incidentes.</v>
          </cell>
          <cell r="T245" t="str">
            <v>Si</v>
          </cell>
          <cell r="U245" t="str">
            <v>Enviar informe con registro fotograficos de los espacios en óptimas condicidones.</v>
          </cell>
        </row>
        <row r="246">
          <cell r="A246">
            <v>2167</v>
          </cell>
          <cell r="B246">
            <v>27</v>
          </cell>
          <cell r="C246" t="str">
            <v>SUBA</v>
          </cell>
          <cell r="D246" t="str">
            <v>PRIVADO</v>
          </cell>
          <cell r="E246" t="str">
            <v>EPBM</v>
          </cell>
          <cell r="F246" t="str">
            <v>COLEGIO_SAN_ANSELMO</v>
          </cell>
          <cell r="G246" t="str">
            <v>COLEGIO SAN ANSELMO</v>
          </cell>
          <cell r="H246" t="str">
            <v>Autoevaluación Institucional y Pruebas SABER 11</v>
          </cell>
          <cell r="I246" t="str">
            <v>SEGUIMIENTO_Y_SUPERVISIÓN.</v>
          </cell>
          <cell r="J246" t="str">
            <v>Realizar visitas para verificar la información registrada sobre la autoevaluación institucional en el aplicativo EVI, a los establecimientos de educación formal no oficial.</v>
          </cell>
          <cell r="K246" t="str">
            <v>ALBA DEL PILAR CUBIDES CÁCERES</v>
          </cell>
          <cell r="L246" t="str">
            <v>SONIA CONSTANZA URREGO GONZÁLEZ</v>
          </cell>
          <cell r="M246" t="str">
            <v>28/10/2025</v>
          </cell>
          <cell r="N246">
            <v>45898</v>
          </cell>
          <cell r="O246">
            <v>45898</v>
          </cell>
          <cell r="P246" t="str">
            <v>Visitas de evaluación con fines de seguimiento</v>
          </cell>
          <cell r="Q246" t="str">
            <v>VISITA INTEGRAL SAN ANSELMO.pdf</v>
          </cell>
          <cell r="R246" t="str">
            <v xml:space="preserve">Al momento de la visita se encontró que la totalidad de la información reportada en el aplicativo EVI corresponde con la realidad. </v>
          </cell>
          <cell r="S246" t="str">
            <v>Seguir conservando el orden en cuanto a la reporte en el EVI</v>
          </cell>
          <cell r="T246" t="str">
            <v>No</v>
          </cell>
          <cell r="U246" t="str">
            <v>Seguir con su cumplimiento</v>
          </cell>
        </row>
        <row r="247">
          <cell r="A247">
            <v>2168</v>
          </cell>
          <cell r="B247">
            <v>27</v>
          </cell>
          <cell r="C247" t="str">
            <v>SUBA</v>
          </cell>
          <cell r="D247" t="str">
            <v>PRIVADO</v>
          </cell>
          <cell r="E247" t="str">
            <v>EPBM</v>
          </cell>
          <cell r="F247" t="str">
            <v>COLEGIO_SAN_ANSELMO</v>
          </cell>
          <cell r="G247" t="str">
            <v>COLEGIO SAN ANSELMO</v>
          </cell>
          <cell r="H247" t="str">
            <v>Autoevaluación Institucional y Pruebas SABER 11</v>
          </cell>
          <cell r="I247" t="str">
            <v>SEGUIMIENTO_Y_SUPERVISIÓN.</v>
          </cell>
          <cell r="J247" t="str">
            <v>Proponer estrategias en la formulación, verificar su elaboración y realizar seguimiento semestral al desarrollo de  las acciones establecidas en los planes de mejoramiento por pruebas SABER 11 de los establecimientos de educación formal.</v>
          </cell>
          <cell r="K247" t="str">
            <v>ALBA DEL PILAR CUBIDES CÁCERES</v>
          </cell>
          <cell r="L247" t="str">
            <v>SONIA CONSTANZA URREGO GONZÁLEZ</v>
          </cell>
          <cell r="M247" t="str">
            <v>28/10/2025</v>
          </cell>
          <cell r="N247">
            <v>45898</v>
          </cell>
          <cell r="O247">
            <v>45898</v>
          </cell>
          <cell r="P247" t="str">
            <v>Visitas de evaluación con fines de seguimiento</v>
          </cell>
          <cell r="Q247" t="str">
            <v>VISITA INTEGRAL SAN ANSELMO.pdf</v>
          </cell>
          <cell r="R247" t="str">
            <v>La institución educativa se encuentra clasificada en nivel B y realizó  el análsis de los últimos resultados.</v>
          </cell>
          <cell r="S247" t="str">
            <v>Curso de preparación para las pruebas año 2025, simulacros, preguntas tipo ICFES</v>
          </cell>
          <cell r="T247" t="str">
            <v>No</v>
          </cell>
          <cell r="U247" t="str">
            <v>Seguir con su cumplimiento</v>
          </cell>
        </row>
        <row r="248">
          <cell r="A248">
            <v>2169</v>
          </cell>
          <cell r="B248">
            <v>27</v>
          </cell>
          <cell r="C248" t="str">
            <v>SUBA</v>
          </cell>
          <cell r="D248" t="str">
            <v>PRIVADO</v>
          </cell>
          <cell r="E248" t="str">
            <v>EPBM</v>
          </cell>
          <cell r="F248" t="str">
            <v>COLEGIO_SAN_ANSELMO</v>
          </cell>
          <cell r="G248" t="str">
            <v>COLEGIO SAN ANSELMO</v>
          </cell>
          <cell r="H248" t="str">
            <v>Autoevaluación Institucional y Pruebas SABER 11</v>
          </cell>
          <cell r="I248" t="str">
            <v>SEGUIMIENTO_Y_SUPERVISIÓN.</v>
          </cell>
          <cell r="J248" t="str">
            <v xml:space="preserve">Verificar la implementación por parte de los colegios, de acciones realizadas para la prevención y atención de las situaciones de convivencia en el entorno escolar, según lo establecido en la Directiva 01 de 2022 del MEN. </v>
          </cell>
          <cell r="K248" t="str">
            <v>ALBA DEL PILAR CUBIDES CÁCERES</v>
          </cell>
          <cell r="L248" t="str">
            <v>SONIA CONSTANZA URREGO GONZÁLEZ</v>
          </cell>
          <cell r="M248" t="str">
            <v>28/10/2025</v>
          </cell>
          <cell r="N248">
            <v>45898</v>
          </cell>
          <cell r="O248">
            <v>45898</v>
          </cell>
          <cell r="P248" t="str">
            <v>Visitas de evaluación con fines de seguimiento</v>
          </cell>
          <cell r="Q248" t="str">
            <v>VISITA INTEGRAL SAN ANSELMO.pdf</v>
          </cell>
          <cell r="R248" t="str">
            <v>La institución no realiza  consulta de antecedentes por delitos sexuales</v>
          </cell>
          <cell r="S248" t="str">
            <v>Dar cumplimiento a lo establecido en la directiva 01 de 2022</v>
          </cell>
          <cell r="T248" t="str">
            <v>SI</v>
          </cell>
          <cell r="U248" t="str">
            <v>El plazo para realizar esta actividad, vence el 19 de septiembre de 2025</v>
          </cell>
        </row>
        <row r="249">
          <cell r="A249">
            <v>2170</v>
          </cell>
          <cell r="B249">
            <v>27</v>
          </cell>
          <cell r="C249" t="str">
            <v>SUBA</v>
          </cell>
          <cell r="D249" t="str">
            <v>PRIVADO</v>
          </cell>
          <cell r="E249" t="str">
            <v>EPBM</v>
          </cell>
          <cell r="F249" t="str">
            <v>COLEGIO_SAN_ANSELMO</v>
          </cell>
          <cell r="G249" t="str">
            <v>COLEGIO SAN ANSELMO</v>
          </cell>
          <cell r="H249" t="str">
            <v>Autoevaluación Institucional y Pruebas SABER 11</v>
          </cell>
          <cell r="I249" t="str">
            <v>SEGUIMIENTO_Y_SUPERVISIÓN.</v>
          </cell>
          <cell r="J24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49" t="str">
            <v>ALBA DEL PILAR CUBIDES CÁCERES</v>
          </cell>
          <cell r="L249" t="str">
            <v>SONIA CONSTANZA URREGO GONZÁLEZ</v>
          </cell>
          <cell r="M249" t="str">
            <v>28/10/2025</v>
          </cell>
          <cell r="N249">
            <v>45898</v>
          </cell>
          <cell r="O249">
            <v>45898</v>
          </cell>
          <cell r="P249" t="str">
            <v>Visitas de evaluación con fines de seguimiento</v>
          </cell>
          <cell r="Q249" t="str">
            <v>VISITA INTEGRAL SAN ANSELMO.pdf</v>
          </cell>
          <cell r="R249" t="str">
            <v>La institución cuenta con Plan de Ajustes Razonables</v>
          </cell>
          <cell r="S249" t="str">
            <v>Debe incluír estrategías para la elaboración, ejecución y evaluación del PIAR. De otro lado debe ser firmado por los padres de familia</v>
          </cell>
          <cell r="T249" t="str">
            <v>SI</v>
          </cell>
          <cell r="U249" t="str">
            <v>Verificar el cumplimiento a las acciones proyectadas por la institución en el PMI.</v>
          </cell>
        </row>
        <row r="250">
          <cell r="A250">
            <v>2171</v>
          </cell>
          <cell r="B250">
            <v>27</v>
          </cell>
          <cell r="C250" t="str">
            <v>SUBA</v>
          </cell>
          <cell r="D250" t="str">
            <v>PRIVADO</v>
          </cell>
          <cell r="E250" t="str">
            <v>EPBM</v>
          </cell>
          <cell r="F250" t="str">
            <v>COLEGIO_SAN_ANSELMO</v>
          </cell>
          <cell r="G250" t="str">
            <v>COLEGIO SAN ANSELMO</v>
          </cell>
          <cell r="H250" t="str">
            <v>Autoevaluación Institucional y Pruebas SABER 11</v>
          </cell>
          <cell r="I250" t="str">
            <v>EVALUACIÓN_CON_FINES_DE_MEJORAMIENTO.</v>
          </cell>
          <cell r="J25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0" t="str">
            <v>ALBA DEL PILAR CUBIDES CÁCERES</v>
          </cell>
          <cell r="L250" t="str">
            <v>SONIA CONSTANZA URREGO GONZÁLEZ</v>
          </cell>
          <cell r="M250" t="str">
            <v>28/10/2025</v>
          </cell>
          <cell r="N250">
            <v>45898</v>
          </cell>
          <cell r="O250">
            <v>45898</v>
          </cell>
          <cell r="P250" t="str">
            <v>Visitas de evaluación con fines de mejoramiento</v>
          </cell>
          <cell r="Q250" t="str">
            <v>VISITA INTEGRAL SAN ANSELMO.pdf</v>
          </cell>
          <cell r="R250" t="str">
            <v>El Manual de Convivencia se encuentra en físico y se debe realizar actualización de acuerdo con las orientaciones de la SED</v>
          </cell>
          <cell r="S250" t="str">
            <v>Realizar actualización del manual de convivencia y entregar para revisión de inspección y vigilancia</v>
          </cell>
          <cell r="T250" t="str">
            <v>Si</v>
          </cell>
          <cell r="U250" t="str">
            <v>Verificar el cumplimiento a las acciones proyectadas por la institución en el PMI.</v>
          </cell>
        </row>
        <row r="251">
          <cell r="A251">
            <v>2172</v>
          </cell>
          <cell r="B251">
            <v>27</v>
          </cell>
          <cell r="C251" t="str">
            <v>SUBA</v>
          </cell>
          <cell r="D251" t="str">
            <v>PRIVADO</v>
          </cell>
          <cell r="E251" t="str">
            <v>EPBM</v>
          </cell>
          <cell r="F251" t="str">
            <v>COLEGIO_SAN_ANSELMO</v>
          </cell>
          <cell r="G251" t="str">
            <v>COLEGIO SAN ANSELMO</v>
          </cell>
          <cell r="H251" t="str">
            <v>Autoevaluación Institucional y Pruebas SABER 11</v>
          </cell>
          <cell r="I251" t="str">
            <v>EVALUACIÓN_CON_FINES_DE_MEJORAMIENTO.</v>
          </cell>
          <cell r="J251" t="str">
            <v>Revisar la actualización, socialización e implementación del Sistema Institucional de Evaluación de Estudiantes - SIEE, en articulación con la actualización del PEI y la normatividad vigente.</v>
          </cell>
          <cell r="K251" t="str">
            <v>ALBA DEL PILAR CUBIDES CÁCERES</v>
          </cell>
          <cell r="L251" t="str">
            <v>SONIA CONSTANZA URREGO GONZÁLEZ</v>
          </cell>
          <cell r="M251" t="str">
            <v>28/10/2025</v>
          </cell>
          <cell r="N251">
            <v>45898</v>
          </cell>
          <cell r="O251">
            <v>45898</v>
          </cell>
          <cell r="P251" t="str">
            <v>Visitas de evaluación con fines de mejoramiento</v>
          </cell>
          <cell r="Q251" t="str">
            <v>VISITA INTEGRAL SAN ANSELMO.pdf</v>
          </cell>
          <cell r="R251" t="str">
            <v>Revisado el SIEE, cuenta con los criterios de evaluación y promoción y  escala valorativa.</v>
          </cell>
          <cell r="S251" t="str">
            <v xml:space="preserve">Hacer seguimiento constante para determinar la necesidad de actualizar el SIEE. </v>
          </cell>
          <cell r="T251" t="str">
            <v>No</v>
          </cell>
          <cell r="U251" t="str">
            <v>Seguir con su cumplimiento</v>
          </cell>
        </row>
        <row r="252">
          <cell r="A252">
            <v>2173</v>
          </cell>
          <cell r="B252">
            <v>27</v>
          </cell>
          <cell r="C252" t="str">
            <v>SUBA</v>
          </cell>
          <cell r="D252" t="str">
            <v>PRIVADO</v>
          </cell>
          <cell r="E252" t="str">
            <v>EPBM</v>
          </cell>
          <cell r="F252" t="str">
            <v>COLEGIO_SAN_ANSELMO</v>
          </cell>
          <cell r="G252" t="str">
            <v>COLEGIO SAN ANSELMO</v>
          </cell>
          <cell r="H252" t="str">
            <v>Autoevaluación Institucional y Pruebas SABER 11</v>
          </cell>
          <cell r="I252" t="str">
            <v>EVALUACIÓN_CON_FINES_DE_MEJORAMIENTO.</v>
          </cell>
          <cell r="J252" t="str">
            <v>Revisar el calendario escolar, jornada escolar, la intensidad horaria mínima anual en cada nivel y las modificaciones que se realicen al mismo, de acuerdo con lo previsto en la normatividad vigente.</v>
          </cell>
          <cell r="K252" t="str">
            <v>ALBA DEL PILAR CUBIDES CÁCERES</v>
          </cell>
          <cell r="L252" t="str">
            <v>SONIA CONSTANZA URREGO GONZÁLEZ</v>
          </cell>
          <cell r="M252" t="str">
            <v>28/10/2025</v>
          </cell>
          <cell r="N252">
            <v>45898</v>
          </cell>
          <cell r="O252">
            <v>45898</v>
          </cell>
          <cell r="P252" t="str">
            <v>Visitas de evaluación con fines de mejoramiento</v>
          </cell>
          <cell r="Q252" t="str">
            <v>VISITA INTEGRAL SAN ANSELMO.pdf</v>
          </cell>
          <cell r="R252" t="str">
            <v>Cumple con el número de semanas y horas por nivel. Realizó reporte de información del Calendario Escolar.</v>
          </cell>
          <cell r="S252" t="str">
            <v xml:space="preserve">Continuar con el cumplimiento del calendario.  </v>
          </cell>
          <cell r="T252" t="str">
            <v>No</v>
          </cell>
          <cell r="U252" t="str">
            <v>Seguir con su cumplimiento</v>
          </cell>
        </row>
        <row r="253">
          <cell r="A253">
            <v>2174</v>
          </cell>
          <cell r="B253">
            <v>27</v>
          </cell>
          <cell r="C253" t="str">
            <v>SUBA</v>
          </cell>
          <cell r="D253" t="str">
            <v>PRIVADO</v>
          </cell>
          <cell r="E253" t="str">
            <v>EPBM</v>
          </cell>
          <cell r="F253" t="str">
            <v>COLEGIO_SAN_ANSELMO</v>
          </cell>
          <cell r="G253" t="str">
            <v>COLEGIO SAN ANSELMO</v>
          </cell>
          <cell r="H253" t="str">
            <v>Autoevaluación Institucional y Pruebas SABER 11</v>
          </cell>
          <cell r="I253" t="str">
            <v>EVALUACIÓN_CON_FINES_DE_MEJORAMIENTO.</v>
          </cell>
          <cell r="J253" t="str">
            <v>Verificar el funcionamiento del Gobierno Escolar e instancias de participación con base en la información sobre conformación reportada por la institución educativa.</v>
          </cell>
          <cell r="K253" t="str">
            <v>ALBA DEL PILAR CUBIDES CÁCERES</v>
          </cell>
          <cell r="L253" t="str">
            <v>SONIA CONSTANZA URREGO GONZÁLEZ</v>
          </cell>
          <cell r="M253" t="str">
            <v>28/10/2025</v>
          </cell>
          <cell r="N253">
            <v>45898</v>
          </cell>
          <cell r="O253">
            <v>45898</v>
          </cell>
          <cell r="P253" t="str">
            <v>Visitas de evaluación con fines de mejoramiento</v>
          </cell>
          <cell r="Q253" t="str">
            <v>VISITA INTEGRAL SAN ANSELMO.pdf</v>
          </cell>
          <cell r="R253" t="str">
            <v xml:space="preserve">Se conformó el Gobierno Escolar con reporte en el aplicativo SAE. Se evidencian actas de reunión de los órganos de gobierno. </v>
          </cell>
          <cell r="S253" t="str">
            <v>Realizar reuniones cada dos meses del comite de  convivencia escolar y de manera extraordibaria cuando se requiera.</v>
          </cell>
          <cell r="T253" t="str">
            <v>Si</v>
          </cell>
          <cell r="U253" t="str">
            <v>Verificar el funcionamiento del Gobierno Escolar, a través de las  actas de reunión.</v>
          </cell>
        </row>
        <row r="254">
          <cell r="A254">
            <v>2175</v>
          </cell>
          <cell r="B254">
            <v>27</v>
          </cell>
          <cell r="C254" t="str">
            <v>SUBA</v>
          </cell>
          <cell r="D254" t="str">
            <v>PRIVADO</v>
          </cell>
          <cell r="E254" t="str">
            <v>EPBM</v>
          </cell>
          <cell r="F254" t="str">
            <v>COLEGIO_SAN_ANSELMO</v>
          </cell>
          <cell r="G254" t="str">
            <v>COLEGIO SAN ANSELMO</v>
          </cell>
          <cell r="H254" t="str">
            <v>Autoevaluación Institucional y Pruebas SABER 11</v>
          </cell>
          <cell r="I254" t="str">
            <v>EVALUACIÓN_CON_FINES_DE_MEJORAMIENTO.</v>
          </cell>
          <cell r="J254" t="str">
            <v>Verificar las condiciones en cuanto a: la estructura administrativa, condiciones de la planta física y medios educativos adecuados.</v>
          </cell>
          <cell r="K254" t="str">
            <v>ALBA DEL PILAR CUBIDES CÁCERES</v>
          </cell>
          <cell r="L254" t="str">
            <v>SONIA CONSTANZA URREGO GONZÁLEZ</v>
          </cell>
          <cell r="M254" t="str">
            <v>28/10/2025</v>
          </cell>
          <cell r="N254">
            <v>45898</v>
          </cell>
          <cell r="O254">
            <v>45898</v>
          </cell>
          <cell r="P254" t="str">
            <v>Visitas de evaluación con fines de mejoramiento</v>
          </cell>
          <cell r="Q254" t="str">
            <v>VISITA INTEGRAL SAN ANSELMO.pdf</v>
          </cell>
          <cell r="R254" t="str">
            <v>Se observan espacios suficientes,  canchas de futbol sintéticas en cuanto a ambientes de aprendizaje. Los servicios sanitarios son suficientes, la mayoría de salones poseen baño</v>
          </cell>
          <cell r="S254" t="str">
            <v>Proseguir con el cuidado y manteniemiento de la planta física</v>
          </cell>
          <cell r="T254" t="str">
            <v>No</v>
          </cell>
          <cell r="U254" t="str">
            <v>Seguir con su cumplimiento</v>
          </cell>
        </row>
        <row r="255">
          <cell r="A255">
            <v>2176</v>
          </cell>
          <cell r="B255">
            <v>28</v>
          </cell>
          <cell r="C255" t="str">
            <v>SUBA</v>
          </cell>
          <cell r="D255" t="str">
            <v>PRIVADO</v>
          </cell>
          <cell r="E255" t="str">
            <v>EPBM</v>
          </cell>
          <cell r="F255" t="str">
            <v>GIMNASIO_ARTISTICO_DE_SUBA</v>
          </cell>
          <cell r="G255" t="str">
            <v>GIMNASIO ARTISTICO DE SUBA</v>
          </cell>
          <cell r="H255" t="str">
            <v>Autoevaluación Institucional y Pruebas SABER 11</v>
          </cell>
          <cell r="I255" t="str">
            <v>SEGUIMIENTO_Y_SUPERVISIÓN.</v>
          </cell>
          <cell r="J255" t="str">
            <v>Realizar visitas para verificar la información registrada sobre la autoevaluación institucional en el aplicativo EVI, a los establecimientos de educación formal no oficial.</v>
          </cell>
          <cell r="K255" t="str">
            <v>JENNIFFER ESPERANZA GONZÁLEZ GÓMEZ</v>
          </cell>
          <cell r="L255" t="str">
            <v>SONIA YAMILE ARTEAGA MELO</v>
          </cell>
          <cell r="M255">
            <v>45909</v>
          </cell>
          <cell r="N255">
            <v>45926</v>
          </cell>
          <cell r="O255">
            <v>45926</v>
          </cell>
          <cell r="P255" t="str">
            <v>Visitas de evaluación con fines de seguimiento</v>
          </cell>
          <cell r="Q255" t="str">
            <v>20250926GimnasioArtisticodeSuba.pdf</v>
          </cell>
          <cell r="R255" t="str">
            <v>Se evidencio que la instittución respondio el EVI con cifras coherentes a la realidad institucional</v>
          </cell>
          <cell r="S255" t="str">
            <v xml:space="preserve"> La institución elaborará  el EVI onforme lo establecido a la norma para proceso de tarifas 2026</v>
          </cell>
          <cell r="T255" t="str">
            <v>no</v>
          </cell>
          <cell r="U255" t="str">
            <v>Verificar el diligenciamiento y publicación de documentos en el aplicativo EVI para la vigencia 2026.</v>
          </cell>
        </row>
        <row r="256">
          <cell r="A256">
            <v>2177</v>
          </cell>
          <cell r="B256">
            <v>28</v>
          </cell>
          <cell r="C256" t="str">
            <v>SUBA</v>
          </cell>
          <cell r="D256" t="str">
            <v>PRIVADO</v>
          </cell>
          <cell r="E256" t="str">
            <v>EPBM</v>
          </cell>
          <cell r="F256" t="str">
            <v>GIMNASIO_ARTISTICO_DE_SUBA</v>
          </cell>
          <cell r="G256" t="str">
            <v>GIMNASIO ARTISTICO DE SUBA</v>
          </cell>
          <cell r="H256" t="str">
            <v>Autoevaluación Institucional y Pruebas SABER 11</v>
          </cell>
          <cell r="I256" t="str">
            <v>SEGUIMIENTO_Y_SUPERVISIÓN.</v>
          </cell>
          <cell r="J256" t="str">
            <v>Proponer estrategias en la formulación, verificar su elaboración y realizar seguimiento semestral al desarrollo de  las acciones establecidas en los planes de mejoramiento por pruebas SABER 11 de los establecimientos de educación formal.</v>
          </cell>
          <cell r="K256" t="str">
            <v>JENNIFFER ESPERANZA GONZÁLEZ GÓMEZ</v>
          </cell>
          <cell r="L256" t="str">
            <v>SONIA YAMILE ARTEAGA MELO</v>
          </cell>
          <cell r="M256">
            <v>45909</v>
          </cell>
          <cell r="N256">
            <v>45926</v>
          </cell>
          <cell r="O256">
            <v>45926</v>
          </cell>
          <cell r="P256" t="str">
            <v>Visitas de evaluación con fines de seguimiento</v>
          </cell>
          <cell r="Q256" t="str">
            <v>20250926GimnasioArtisticodeSuba.pdf</v>
          </cell>
          <cell r="R256" t="str">
            <v>Se verificó el bajo resultado en las  Pruebas saber y la retroaliemntación realizada por los docentes a cerca de la evaluación de las  causales, asignaturas con más bajo resultado  y acciones de mejora.</v>
          </cell>
          <cell r="S256" t="str">
            <v xml:space="preserve">Revisar los resultados y la relación con las asignaturas del plan de estudio. Elaborar plan de mejoramiento sobre todos los indicadores y remitirlo a la DEL antes del 1 de noviembre </v>
          </cell>
          <cell r="T256" t="str">
            <v>Si</v>
          </cell>
          <cell r="U256" t="str">
            <v>Verificar los resultados y las acciones en las asignaturas que presentan puntajes más bajos en la próxima calificación de las pruebas</v>
          </cell>
        </row>
        <row r="257">
          <cell r="A257">
            <v>2178</v>
          </cell>
          <cell r="B257">
            <v>28</v>
          </cell>
          <cell r="C257" t="str">
            <v>SUBA</v>
          </cell>
          <cell r="D257" t="str">
            <v>PRIVADO</v>
          </cell>
          <cell r="E257" t="str">
            <v>EPBM</v>
          </cell>
          <cell r="F257" t="str">
            <v>GIMNASIO_ARTISTICO_DE_SUBA</v>
          </cell>
          <cell r="G257" t="str">
            <v>GIMNASIO ARTISTICO DE SUBA</v>
          </cell>
          <cell r="H257" t="str">
            <v>Autoevaluación Institucional y Pruebas SABER 11</v>
          </cell>
          <cell r="I257" t="str">
            <v>SEGUIMIENTO_Y_SUPERVISIÓN.</v>
          </cell>
          <cell r="J257" t="str">
            <v xml:space="preserve">Verificar la implementación por parte de los colegios, de acciones realizadas para la prevención y atención de las situaciones de convivencia en el entorno escolar, según lo establecido en la Directiva 01 de 2022 del MEN. </v>
          </cell>
          <cell r="K257" t="str">
            <v>JENNIFFER ESPERANZA GONZÁLEZ GÓMEZ</v>
          </cell>
          <cell r="L257" t="str">
            <v>SONIA YAMILE ARTEAGA MELO</v>
          </cell>
          <cell r="M257">
            <v>45909</v>
          </cell>
          <cell r="N257">
            <v>45926</v>
          </cell>
          <cell r="O257">
            <v>45926</v>
          </cell>
          <cell r="P257" t="str">
            <v>Visitas de evaluación con fines de seguimiento</v>
          </cell>
          <cell r="Q257" t="str">
            <v>20250926GimnasioArtisticodeSuba.pdf</v>
          </cell>
          <cell r="R257" t="str">
            <v xml:space="preserve"> las consulta en la página de la policia de los antecedentes de los docentes de conformidad a la directiva  001 del 2022, se realizaron, se deja observacion sobre su temporalidad</v>
          </cell>
          <cell r="S257" t="str">
            <v>Continuar con las consultas en la pagina de antecedentes sexuales cada cuatro meses</v>
          </cell>
          <cell r="T257" t="str">
            <v>Si</v>
          </cell>
          <cell r="U257" t="str">
            <v>verificar el seguimiento a los antecedentes durante la vigencia 2026</v>
          </cell>
        </row>
        <row r="258">
          <cell r="A258">
            <v>2179</v>
          </cell>
          <cell r="B258">
            <v>28</v>
          </cell>
          <cell r="C258" t="str">
            <v>SUBA</v>
          </cell>
          <cell r="D258" t="str">
            <v>PRIVADO</v>
          </cell>
          <cell r="E258" t="str">
            <v>EPBM</v>
          </cell>
          <cell r="F258" t="str">
            <v>GIMNASIO_ARTISTICO_DE_SUBA</v>
          </cell>
          <cell r="G258" t="str">
            <v>GIMNASIO ARTISTICO DE SUBA</v>
          </cell>
          <cell r="H258" t="str">
            <v>Autoevaluación Institucional y Pruebas SABER 11</v>
          </cell>
          <cell r="I258" t="str">
            <v>SEGUIMIENTO_Y_SUPERVISIÓN.</v>
          </cell>
          <cell r="J2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58" t="str">
            <v>JENNIFFER ESPERANZA GONZÁLEZ GÓMEZ</v>
          </cell>
          <cell r="L258" t="str">
            <v>SONIA YAMILE ARTEAGA MELO</v>
          </cell>
          <cell r="M258">
            <v>45909</v>
          </cell>
          <cell r="N258">
            <v>45926</v>
          </cell>
          <cell r="O258">
            <v>45926</v>
          </cell>
          <cell r="P258" t="str">
            <v>Visitas de evaluación con fines de seguimiento</v>
          </cell>
          <cell r="Q258" t="str">
            <v>20250926GimnasioArtisticodeSuba.pdf</v>
          </cell>
          <cell r="R258" t="str">
            <v>Se evidenció en el SIMAT que el colegio  tiene estudiantes matriculados en condición de discapacidad;  llevan carpetas con los PIAR de los estudiantes y  un proceso de educacion inclusiva</v>
          </cell>
          <cell r="S258"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1 de noviembre </v>
          </cell>
          <cell r="T258" t="str">
            <v>No</v>
          </cell>
          <cell r="U258" t="str">
            <v>Verificar las modificaciones en manual de convivencia respecto a la población con discapacidad.cpara la vigencia 2026</v>
          </cell>
        </row>
        <row r="259">
          <cell r="A259">
            <v>2180</v>
          </cell>
          <cell r="B259">
            <v>28</v>
          </cell>
          <cell r="C259" t="str">
            <v>SUBA</v>
          </cell>
          <cell r="D259" t="str">
            <v>PRIVADO</v>
          </cell>
          <cell r="E259" t="str">
            <v>EPBM</v>
          </cell>
          <cell r="F259" t="str">
            <v>GIMNASIO_ARTISTICO_DE_SUBA</v>
          </cell>
          <cell r="G259" t="str">
            <v>GIMNASIO ARTISTICO DE SUBA</v>
          </cell>
          <cell r="H259" t="str">
            <v>Autoevaluación Institucional y Pruebas SABER 11</v>
          </cell>
          <cell r="I259" t="str">
            <v>EVALUACIÓN_CON_FINES_DE_MEJORAMIENTO.</v>
          </cell>
          <cell r="J2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9" t="str">
            <v>JENNIFFER ESPERANZA GONZÁLEZ GÓMEZ</v>
          </cell>
          <cell r="L259" t="str">
            <v>SONIA YAMILE ARTEAGA MELO</v>
          </cell>
          <cell r="M259">
            <v>45909</v>
          </cell>
          <cell r="N259">
            <v>45926</v>
          </cell>
          <cell r="O259">
            <v>45926</v>
          </cell>
          <cell r="P259" t="str">
            <v>Visitas de evaluación con fines de mejoramiento</v>
          </cell>
          <cell r="Q259" t="str">
            <v>20250926GimnasioArtisticodeSuba.pdf</v>
          </cell>
          <cell r="R259" t="str">
            <v>Se encontro que al revisar el manual de convivencia , con la última actualización, falta añadir algunas normas en el marco jurídico, falta desarrollar lo que tiene que ver con protocolos de atencion, debido proceso, entre otros.</v>
          </cell>
          <cell r="S259" t="str">
            <v xml:space="preserve">Elaborar plan de mejoramiento sobre todos los indicadores y DEL antes del 1 de noviembre </v>
          </cell>
          <cell r="T259" t="str">
            <v>Si</v>
          </cell>
          <cell r="U259" t="str">
            <v>Revisar la actualización del manual de convivencia para la vigencia 2026</v>
          </cell>
        </row>
        <row r="260">
          <cell r="A260">
            <v>2181</v>
          </cell>
          <cell r="B260">
            <v>28</v>
          </cell>
          <cell r="C260" t="str">
            <v>SUBA</v>
          </cell>
          <cell r="D260" t="str">
            <v>PRIVADO</v>
          </cell>
          <cell r="E260" t="str">
            <v>EPBM</v>
          </cell>
          <cell r="F260" t="str">
            <v>GIMNASIO_ARTISTICO_DE_SUBA</v>
          </cell>
          <cell r="G260" t="str">
            <v>GIMNASIO ARTISTICO DE SUBA</v>
          </cell>
          <cell r="H260" t="str">
            <v>Autoevaluación Institucional y Pruebas SABER 11</v>
          </cell>
          <cell r="I260" t="str">
            <v>EVALUACIÓN_CON_FINES_DE_MEJORAMIENTO.</v>
          </cell>
          <cell r="J260" t="str">
            <v>Revisar la actualización, socialización e implementación del Sistema Institucional de Evaluación de Estudiantes - SIEE, en articulación con la actualización del PEI y la normatividad vigente.</v>
          </cell>
          <cell r="K260" t="str">
            <v>JENNIFFER ESPERANZA GONZÁLEZ GÓMEZ</v>
          </cell>
          <cell r="L260" t="str">
            <v>SONIA YAMILE ARTEAGA MELO</v>
          </cell>
          <cell r="M260">
            <v>45909</v>
          </cell>
          <cell r="N260">
            <v>45926</v>
          </cell>
          <cell r="O260">
            <v>45926</v>
          </cell>
          <cell r="P260" t="str">
            <v>Visitas de evaluación con fines de mejoramiento</v>
          </cell>
          <cell r="Q260" t="str">
            <v>20250926GimnasioArtisticodeSuba.pdf</v>
          </cell>
          <cell r="R260" t="str">
            <v>Se realizó retroalimentación sobre  el SIEE, el cual  está en consonancia con el PEI, se retroalimento sobre el funcionamiento de las comisiones de promoción.</v>
          </cell>
          <cell r="S260" t="str">
            <v xml:space="preserve">Realizar los ajustes de conformidad con las observaciones realizada mediante la programacion de su plan de mejoramiento en la visita del antes del 1 de noviembre </v>
          </cell>
          <cell r="T260" t="str">
            <v>Si</v>
          </cell>
          <cell r="U260" t="str">
            <v>Revisar la actualización del manual de convivencia en lo relacionado con el  SIIE vigencia 2026</v>
          </cell>
        </row>
        <row r="261">
          <cell r="A261">
            <v>2182</v>
          </cell>
          <cell r="B261">
            <v>28</v>
          </cell>
          <cell r="C261" t="str">
            <v>SUBA</v>
          </cell>
          <cell r="D261" t="str">
            <v>PRIVADO</v>
          </cell>
          <cell r="E261" t="str">
            <v>EPBM</v>
          </cell>
          <cell r="F261" t="str">
            <v>GIMNASIO_ARTISTICO_DE_SUBA</v>
          </cell>
          <cell r="G261" t="str">
            <v>GIMNASIO ARTISTICO DE SUBA</v>
          </cell>
          <cell r="H261" t="str">
            <v>Autoevaluación Institucional y Pruebas SABER 11</v>
          </cell>
          <cell r="I261" t="str">
            <v>EVALUACIÓN_CON_FINES_DE_MEJORAMIENTO.</v>
          </cell>
          <cell r="J261" t="str">
            <v>Revisar el calendario escolar, jornada escolar, la intensidad horaria mínima anual en cada nivel y las modificaciones que se realicen al mismo, de acuerdo con lo previsto en la normatividad vigente.</v>
          </cell>
          <cell r="K261" t="str">
            <v>JENNIFFER ESPERANZA GONZÁLEZ GÓMEZ</v>
          </cell>
          <cell r="L261" t="str">
            <v>SONIA YAMILE ARTEAGA MELO</v>
          </cell>
          <cell r="M261">
            <v>45909</v>
          </cell>
          <cell r="N261">
            <v>45926</v>
          </cell>
          <cell r="O261">
            <v>45926</v>
          </cell>
          <cell r="P261" t="str">
            <v>Visitas de evaluación con fines de mejoramiento</v>
          </cell>
          <cell r="Q261" t="str">
            <v>20250926GimnasioArtisticodeSuba.pdf</v>
          </cell>
          <cell r="R261" t="str">
            <v>La intensidad horaria y las horas mínimas anuales de cada ciclo  se ajustan a la normatividad vigente.</v>
          </cell>
          <cell r="S261" t="str">
            <v>continuar con el proceso para la vigencia 2026</v>
          </cell>
          <cell r="T261" t="str">
            <v>No</v>
          </cell>
          <cell r="U261" t="str">
            <v>se realizará la nueva verificacion en 2026</v>
          </cell>
        </row>
        <row r="262">
          <cell r="A262">
            <v>2183</v>
          </cell>
          <cell r="B262">
            <v>28</v>
          </cell>
          <cell r="C262" t="str">
            <v>SUBA</v>
          </cell>
          <cell r="D262" t="str">
            <v>PRIVADO</v>
          </cell>
          <cell r="E262" t="str">
            <v>EPBM</v>
          </cell>
          <cell r="F262" t="str">
            <v>GIMNASIO_ARTISTICO_DE_SUBA</v>
          </cell>
          <cell r="G262" t="str">
            <v>GIMNASIO ARTISTICO DE SUBA</v>
          </cell>
          <cell r="H262" t="str">
            <v>Autoevaluación Institucional y Pruebas SABER 11</v>
          </cell>
          <cell r="I262" t="str">
            <v>EVALUACIÓN_CON_FINES_DE_MEJORAMIENTO.</v>
          </cell>
          <cell r="J262" t="str">
            <v>Verificar el funcionamiento del Gobierno Escolar e instancias de participación con base en la información sobre conformación reportada por la institución educativa.</v>
          </cell>
          <cell r="K262" t="str">
            <v>JENNIFFER ESPERANZA GONZÁLEZ GÓMEZ</v>
          </cell>
          <cell r="L262" t="str">
            <v>SONIA YAMILE ARTEAGA MELO</v>
          </cell>
          <cell r="M262">
            <v>45909</v>
          </cell>
          <cell r="N262">
            <v>45926</v>
          </cell>
          <cell r="O262">
            <v>45926</v>
          </cell>
          <cell r="P262" t="str">
            <v>Visitas de evaluación con fines de mejoramiento</v>
          </cell>
          <cell r="Q262" t="str">
            <v>20250926GimnasioArtisticodeSuba.pdf</v>
          </cell>
          <cell r="R262" t="str">
            <v>Se evidenciaron las actas de conformación de gobierno escolar, las cuales estan  cargadas en el SAE. Sobre el funcionamiento han sesionado.</v>
          </cell>
          <cell r="S262" t="str">
            <v xml:space="preserve"> Sesionar con cada órgano de gobierno de conformidad con la periodicidad establecida en la norma</v>
          </cell>
          <cell r="T262" t="str">
            <v>Si</v>
          </cell>
          <cell r="U262" t="str">
            <v>Verificar el SAE  y verificar el funcionamiento de  los organos de gobierno.</v>
          </cell>
        </row>
        <row r="263">
          <cell r="A263">
            <v>2184</v>
          </cell>
          <cell r="B263">
            <v>28</v>
          </cell>
          <cell r="C263" t="str">
            <v>SUBA</v>
          </cell>
          <cell r="D263" t="str">
            <v>PRIVADO</v>
          </cell>
          <cell r="E263" t="str">
            <v>EPBM</v>
          </cell>
          <cell r="F263" t="str">
            <v>GIMNASIO_ARTISTICO_DE_SUBA</v>
          </cell>
          <cell r="G263" t="str">
            <v>GIMNASIO ARTISTICO DE SUBA</v>
          </cell>
          <cell r="H263" t="str">
            <v>Autoevaluación Institucional y Pruebas SABER 11</v>
          </cell>
          <cell r="I263" t="str">
            <v>EVALUACIÓN_CON_FINES_DE_MEJORAMIENTO.</v>
          </cell>
          <cell r="J263" t="str">
            <v>Verificar las condiciones en cuanto a: la estructura administrativa, condiciones de la planta física y medios educativos adecuados.</v>
          </cell>
          <cell r="K263" t="str">
            <v>JENNIFFER ESPERANZA GONZÁLEZ GÓMEZ</v>
          </cell>
          <cell r="L263" t="str">
            <v>SONIA YAMILE ARTEAGA MELO</v>
          </cell>
          <cell r="M263">
            <v>45909</v>
          </cell>
          <cell r="N263">
            <v>45926</v>
          </cell>
          <cell r="O263">
            <v>45926</v>
          </cell>
          <cell r="P263" t="str">
            <v>Visitas de evaluación con fines de mejoramiento</v>
          </cell>
          <cell r="Q263" t="str">
            <v>20250926GimnasioArtisticodeSuba.pdf</v>
          </cell>
          <cell r="R263" t="str">
            <v>se encuentra espacios limpios, no maneja sala de informatica, accede por tablets, no cuenta con baño de discapacidad</v>
          </cell>
          <cell r="S263" t="str">
            <v>continuar proceso de adaptación de medios educativos para los estudiantes con diagnsotico</v>
          </cell>
          <cell r="T263" t="str">
            <v>Si</v>
          </cell>
          <cell r="U263" t="str">
            <v>Se realizara la nueva verificacion en 2026</v>
          </cell>
        </row>
        <row r="264">
          <cell r="A264">
            <v>2185</v>
          </cell>
          <cell r="B264">
            <v>29</v>
          </cell>
          <cell r="C264" t="str">
            <v>SUBA</v>
          </cell>
          <cell r="D264" t="str">
            <v>PRIVADO</v>
          </cell>
          <cell r="E264" t="str">
            <v>EPBM</v>
          </cell>
          <cell r="F264" t="str">
            <v>GIMNASIO_LA_CAMPIÑA</v>
          </cell>
          <cell r="G264" t="str">
            <v>GIMNASIO LA CAMPIÑA</v>
          </cell>
          <cell r="H264" t="str">
            <v>Autoevaluación Institucional y Pruebas SABER 11</v>
          </cell>
          <cell r="I264" t="str">
            <v>SEGUIMIENTO_Y_SUPERVISIÓN.</v>
          </cell>
          <cell r="J264" t="str">
            <v>Realizar visitas para verificar la información registrada sobre la autoevaluación institucional en el aplicativo EVI, a los establecimientos de educación formal no oficial.</v>
          </cell>
          <cell r="K264" t="str">
            <v>JUAN MANUEL SANCHEZ MORA</v>
          </cell>
          <cell r="L264" t="str">
            <v>MARTHA RUT SILVA ABRIL</v>
          </cell>
          <cell r="M264">
            <v>45860</v>
          </cell>
          <cell r="N264">
            <v>45890</v>
          </cell>
          <cell r="O264">
            <v>45890</v>
          </cell>
          <cell r="P264" t="str">
            <v>Visitas de evaluación con fines de seguimiento</v>
          </cell>
          <cell r="Q264" t="str">
            <v>ACTA VISITA ADMINISTRATIVA del 2025-08-21 - GIMNASIO LA CAMPIÑA (1).pdf</v>
          </cell>
          <cell r="R264" t="str">
            <v xml:space="preserve">La información reportada no corresponde con la realialidad de la institucion eductaiva </v>
          </cell>
          <cell r="S264" t="str">
            <v>Reportar la información de acuerdo con la realidad institucional, realizar los ajustes en planta física y espacios pedagógicos y administrativos.</v>
          </cell>
          <cell r="T264" t="str">
            <v>Si</v>
          </cell>
          <cell r="U264" t="str">
            <v>Revisar el plan de mejoramiento de fecha 3 de octubre de 2025</v>
          </cell>
        </row>
        <row r="265">
          <cell r="A265">
            <v>2186</v>
          </cell>
          <cell r="B265">
            <v>29</v>
          </cell>
          <cell r="C265" t="str">
            <v>SUBA</v>
          </cell>
          <cell r="D265" t="str">
            <v>PRIVADO</v>
          </cell>
          <cell r="E265" t="str">
            <v>EPBM</v>
          </cell>
          <cell r="F265" t="str">
            <v>GIMNASIO_LA_CAMPIÑA</v>
          </cell>
          <cell r="G265" t="str">
            <v>GIMNASIO LA CAMPIÑA</v>
          </cell>
          <cell r="H265" t="str">
            <v>Autoevaluación Institucional y Pruebas SABER 11</v>
          </cell>
          <cell r="I265" t="str">
            <v>SEGUIMIENTO_Y_SUPERVISIÓN.</v>
          </cell>
          <cell r="J265" t="str">
            <v>Proponer estrategias en la formulación, verificar su elaboración y realizar seguimiento semestral al desarrollo de  las acciones establecidas en los planes de mejoramiento por pruebas SABER 11 de los establecimientos de educación formal.</v>
          </cell>
          <cell r="K265" t="str">
            <v>JUAN MANUEL SANCHEZ MORA</v>
          </cell>
          <cell r="L265" t="str">
            <v>MARTHA RUT SILVA ABRIL</v>
          </cell>
          <cell r="M265">
            <v>45860</v>
          </cell>
          <cell r="N265">
            <v>45890</v>
          </cell>
          <cell r="O265">
            <v>45890</v>
          </cell>
          <cell r="P265" t="str">
            <v>Visitas de evaluación con fines de seguimiento</v>
          </cell>
          <cell r="Q265" t="str">
            <v>ACTA VISITA ADMINISTRATIVA del 2025-08-21 - GIMNASIO LA CAMPIÑA (1).pdf</v>
          </cell>
          <cell r="R265" t="str">
            <v>Se observó que no cuenta con estrategias producto del análisis de los resultados en las pruebas SABER 11 tampoco la implementación de acciones de seguimiento</v>
          </cell>
          <cell r="S265" t="str">
            <v>Diseñar e implementar estrategias para la revisión y análisis de los últimos resultados de las pruebas saber y realizar acciones de seguimiento.</v>
          </cell>
          <cell r="T265" t="str">
            <v>Si</v>
          </cell>
          <cell r="U265" t="str">
            <v>Revisar el plan de mejoramiento de fecha 3 de octubre de 2025</v>
          </cell>
        </row>
        <row r="266">
          <cell r="A266">
            <v>2187</v>
          </cell>
          <cell r="B266">
            <v>29</v>
          </cell>
          <cell r="C266" t="str">
            <v>SUBA</v>
          </cell>
          <cell r="D266" t="str">
            <v>PRIVADO</v>
          </cell>
          <cell r="E266" t="str">
            <v>EPBM</v>
          </cell>
          <cell r="F266" t="str">
            <v>GIMNASIO_LA_CAMPIÑA</v>
          </cell>
          <cell r="G266" t="str">
            <v>GIMNASIO LA CAMPIÑA</v>
          </cell>
          <cell r="H266" t="str">
            <v>Autoevaluación Institucional y Pruebas SABER 11</v>
          </cell>
          <cell r="I266" t="str">
            <v>SEGUIMIENTO_Y_SUPERVISIÓN.</v>
          </cell>
          <cell r="J266" t="str">
            <v xml:space="preserve">Verificar la implementación por parte de los colegios, de acciones realizadas para la prevención y atención de las situaciones de convivencia en el entorno escolar, según lo establecido en la Directiva 01 de 2022 del MEN. </v>
          </cell>
          <cell r="K266" t="str">
            <v>JUAN MANUEL SANCHEZ MORA</v>
          </cell>
          <cell r="L266" t="str">
            <v>MARTHA RUT SILVA ABRIL</v>
          </cell>
          <cell r="M266">
            <v>45860</v>
          </cell>
          <cell r="N266">
            <v>45890</v>
          </cell>
          <cell r="O266">
            <v>45890</v>
          </cell>
          <cell r="P266" t="str">
            <v>Visitas de evaluación con fines de seguimiento</v>
          </cell>
          <cell r="Q266" t="str">
            <v>ACTA VISITA ADMINISTRATIVA del 2025-08-21 - GIMNASIO LA CAMPIÑA (1).pdf</v>
          </cell>
          <cell r="R266" t="str">
            <v>Se evidenció que no realiza consulta de  inhabilidades por delitos sexuales para la vinculación de docentes.</v>
          </cell>
          <cell r="S266" t="str">
            <v>Realizar consulta cada 4 meses en el sistema para la verficación de inhabilidades por delitos sexuales en cumplimiento de la Directiva Ministerial para todo el personal vinculado a la institución.</v>
          </cell>
          <cell r="T266" t="str">
            <v>Si</v>
          </cell>
          <cell r="U266" t="str">
            <v>Revisar el plan de mejoramiento de fecha 3 de octubre de 2025</v>
          </cell>
        </row>
        <row r="267">
          <cell r="A267">
            <v>2188</v>
          </cell>
          <cell r="B267">
            <v>29</v>
          </cell>
          <cell r="C267" t="str">
            <v>SUBA</v>
          </cell>
          <cell r="D267" t="str">
            <v>PRIVADO</v>
          </cell>
          <cell r="E267" t="str">
            <v>EPBM</v>
          </cell>
          <cell r="F267" t="str">
            <v>GIMNASIO_LA_CAMPIÑA</v>
          </cell>
          <cell r="G267" t="str">
            <v>GIMNASIO LA CAMPIÑA</v>
          </cell>
          <cell r="H267" t="str">
            <v>Autoevaluación Institucional y Pruebas SABER 11</v>
          </cell>
          <cell r="I267" t="str">
            <v>SEGUIMIENTO_Y_SUPERVISIÓN.</v>
          </cell>
          <cell r="J26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7" t="str">
            <v>JUAN MANUEL SANCHEZ MORA</v>
          </cell>
          <cell r="L267" t="str">
            <v>MARTHA RUT SILVA ABRIL</v>
          </cell>
          <cell r="M267">
            <v>45860</v>
          </cell>
          <cell r="N267">
            <v>45890</v>
          </cell>
          <cell r="O267">
            <v>45890</v>
          </cell>
          <cell r="P267" t="str">
            <v>Visitas de evaluación con fines de seguimiento</v>
          </cell>
          <cell r="Q267" t="str">
            <v>ACTA VISITA ADMINISTRATIVA del 2025-08-21 - GIMNASIO LA CAMPIÑA (1).pdf</v>
          </cell>
          <cell r="R267" t="str">
            <v>Se encontró que la institución no cuenta con la aplicación del PIAR diseñado para cada uno de los estudiantes con discapacidad.</v>
          </cell>
          <cell r="S267" t="str">
            <v>Elaborar y aplicar los PIAR acorde con lo establecido en la norma según la necesidad de los estudiantes.</v>
          </cell>
          <cell r="T267" t="str">
            <v>Si</v>
          </cell>
          <cell r="U267" t="str">
            <v>Revisar el plan de mejoramiento de fecha 3 de octubre de 2025</v>
          </cell>
        </row>
        <row r="268">
          <cell r="A268">
            <v>2189</v>
          </cell>
          <cell r="B268">
            <v>29</v>
          </cell>
          <cell r="C268" t="str">
            <v>SUBA</v>
          </cell>
          <cell r="D268" t="str">
            <v>PRIVADO</v>
          </cell>
          <cell r="E268" t="str">
            <v>EPBM</v>
          </cell>
          <cell r="F268" t="str">
            <v>GIMNASIO_LA_CAMPIÑA</v>
          </cell>
          <cell r="G268" t="str">
            <v>GIMNASIO LA CAMPIÑA</v>
          </cell>
          <cell r="H268" t="str">
            <v>Autoevaluación Institucional y Pruebas SABER 11</v>
          </cell>
          <cell r="I268" t="str">
            <v>EVALUACIÓN_CON_FINES_DE_MEJORAMIENTO.</v>
          </cell>
          <cell r="J26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68" t="str">
            <v>JUAN MANUEL SANCHEZ MORA</v>
          </cell>
          <cell r="L268" t="str">
            <v>MARTHA RUT SILVA ABRIL</v>
          </cell>
          <cell r="M268">
            <v>45860</v>
          </cell>
          <cell r="N268">
            <v>45890</v>
          </cell>
          <cell r="O268">
            <v>45890</v>
          </cell>
          <cell r="P268" t="str">
            <v>Visitas de evaluación con fines de mejoramiento</v>
          </cell>
          <cell r="Q268" t="str">
            <v>ACTA VISITA ADMINISTRATIVA del 2025-08-21 - GIMNASIO LA CAMPIÑA (1).pdf</v>
          </cell>
          <cell r="R268" t="str">
            <v>Se observó que el manual de convivencia se encuentra actualizado a julio de 2025, sin embargo, se requiere ajustes relacionados con protocolos de atención, entre otros.</v>
          </cell>
          <cell r="S268" t="str">
            <v>Ajustar el manual de convivencia en los diferentes aspectos relacionados con protolos de atención y enfoques restaurativos.</v>
          </cell>
          <cell r="T268" t="str">
            <v>Si</v>
          </cell>
          <cell r="U268" t="str">
            <v>Revisar el plan de mejoramiento de fecha 3 de octubre de 2025</v>
          </cell>
        </row>
        <row r="269">
          <cell r="A269">
            <v>2190</v>
          </cell>
          <cell r="B269">
            <v>29</v>
          </cell>
          <cell r="C269" t="str">
            <v>SUBA</v>
          </cell>
          <cell r="D269" t="str">
            <v>PRIVADO</v>
          </cell>
          <cell r="E269" t="str">
            <v>EPBM</v>
          </cell>
          <cell r="F269" t="str">
            <v>GIMNASIO_LA_CAMPIÑA</v>
          </cell>
          <cell r="G269" t="str">
            <v>GIMNASIO LA CAMPIÑA</v>
          </cell>
          <cell r="H269" t="str">
            <v>Autoevaluación Institucional y Pruebas SABER 11</v>
          </cell>
          <cell r="I269" t="str">
            <v>EVALUACIÓN_CON_FINES_DE_MEJORAMIENTO.</v>
          </cell>
          <cell r="J269" t="str">
            <v>Revisar la actualización, socialización e implementación del Sistema Institucional de Evaluación de Estudiantes - SIEE, en articulación con la actualización del PEI y la normatividad vigente.</v>
          </cell>
          <cell r="K269" t="str">
            <v>JUAN MANUEL SANCHEZ MORA</v>
          </cell>
          <cell r="L269" t="str">
            <v>MARTHA RUT SILVA ABRIL</v>
          </cell>
          <cell r="M269">
            <v>45860</v>
          </cell>
          <cell r="N269">
            <v>45890</v>
          </cell>
          <cell r="O269">
            <v>45890</v>
          </cell>
          <cell r="P269" t="str">
            <v>Visitas de evaluación con fines de mejoramiento</v>
          </cell>
          <cell r="Q269" t="str">
            <v>ACTA VISITA ADMINISTRATIVA del 2025-08-21 - GIMNASIO LA CAMPIÑA (1).pdf</v>
          </cell>
          <cell r="R269" t="str">
            <v xml:space="preserve">Se evidenció desactualización del SIE, no cuenta con socialización ni articulación con el PEI </v>
          </cell>
          <cell r="S269" t="str">
            <v>Actualizar el SIEE con la participacion de la comiunidad educativa y dejar evidencia.</v>
          </cell>
          <cell r="T269" t="str">
            <v>Si</v>
          </cell>
          <cell r="U269" t="str">
            <v>Revisar el plan de mejoramiento de fecha 3 de octubre de 2025</v>
          </cell>
        </row>
        <row r="270">
          <cell r="A270">
            <v>2191</v>
          </cell>
          <cell r="B270">
            <v>29</v>
          </cell>
          <cell r="C270" t="str">
            <v>SUBA</v>
          </cell>
          <cell r="D270" t="str">
            <v>PRIVADO</v>
          </cell>
          <cell r="E270" t="str">
            <v>EPBM</v>
          </cell>
          <cell r="F270" t="str">
            <v>GIMNASIO_LA_CAMPIÑA</v>
          </cell>
          <cell r="G270" t="str">
            <v>GIMNASIO LA CAMPIÑA</v>
          </cell>
          <cell r="H270" t="str">
            <v>Autoevaluación Institucional y Pruebas SABER 11</v>
          </cell>
          <cell r="I270" t="str">
            <v>EVALUACIÓN_CON_FINES_DE_MEJORAMIENTO.</v>
          </cell>
          <cell r="J270" t="str">
            <v>Revisar el calendario escolar, jornada escolar, la intensidad horaria mínima anual en cada nivel y las modificaciones que se realicen al mismo, de acuerdo con lo previsto en la normatividad vigente.</v>
          </cell>
          <cell r="K270" t="str">
            <v>JUAN MANUEL SANCHEZ MORA</v>
          </cell>
          <cell r="L270" t="str">
            <v>MARTHA RUT SILVA ABRIL</v>
          </cell>
          <cell r="M270">
            <v>45860</v>
          </cell>
          <cell r="N270">
            <v>45890</v>
          </cell>
          <cell r="O270">
            <v>45890</v>
          </cell>
          <cell r="P270" t="str">
            <v>Visitas de evaluación con fines de mejoramiento</v>
          </cell>
          <cell r="Q270" t="str">
            <v>ACTA VISITA ADMINISTRATIVA del 2025-08-21 - GIMNASIO LA CAMPIÑA (1).pdf</v>
          </cell>
          <cell r="R270" t="str">
            <v>Se verficó que el calendario escolar debe ajustarse a las intensidades mínimas establecidas.</v>
          </cell>
          <cell r="S270" t="str">
            <v>Ajustar el reporte del calendario escolar con relación al total de horas semanales academicas y jornada escolar.</v>
          </cell>
          <cell r="T270" t="str">
            <v>Si</v>
          </cell>
          <cell r="U270" t="str">
            <v>Revisar el plan de mejoramiento de fecha 3 de octubre de 2025</v>
          </cell>
        </row>
        <row r="271">
          <cell r="A271">
            <v>2192</v>
          </cell>
          <cell r="B271">
            <v>29</v>
          </cell>
          <cell r="C271" t="str">
            <v>SUBA</v>
          </cell>
          <cell r="D271" t="str">
            <v>PRIVADO</v>
          </cell>
          <cell r="E271" t="str">
            <v>EPBM</v>
          </cell>
          <cell r="F271" t="str">
            <v>GIMNASIO_LA_CAMPIÑA</v>
          </cell>
          <cell r="G271" t="str">
            <v>GIMNASIO LA CAMPIÑA</v>
          </cell>
          <cell r="H271" t="str">
            <v>Autoevaluación Institucional y Pruebas SABER 11</v>
          </cell>
          <cell r="I271" t="str">
            <v>EVALUACIÓN_CON_FINES_DE_MEJORAMIENTO.</v>
          </cell>
          <cell r="J271" t="str">
            <v>Verificar el funcionamiento del Gobierno Escolar e instancias de participación con base en la información sobre conformación reportada por la institución educativa.</v>
          </cell>
          <cell r="K271" t="str">
            <v>JUAN MANUEL SANCHEZ MORA</v>
          </cell>
          <cell r="L271" t="str">
            <v>MARTHA RUT SILVA ABRIL</v>
          </cell>
          <cell r="M271">
            <v>45860</v>
          </cell>
          <cell r="N271">
            <v>45890</v>
          </cell>
          <cell r="O271">
            <v>45890</v>
          </cell>
          <cell r="P271" t="str">
            <v>Visitas de evaluación con fines de mejoramiento</v>
          </cell>
          <cell r="Q271" t="str">
            <v>ACTA VISITA ADMINISTRATIVA del 2025-08-21 - GIMNASIO LA CAMPIÑA (1).pdf</v>
          </cell>
          <cell r="R271" t="str">
            <v>Se verficó que el gobierno escolar se encuentra conformado pero no hay evidencia de su operatividad.</v>
          </cell>
          <cell r="S271" t="str">
            <v>Documentar el funcionamiento del gobierno escolar según las reuniones que se realicen.</v>
          </cell>
          <cell r="T271" t="str">
            <v>Si</v>
          </cell>
          <cell r="U271" t="str">
            <v>Revisar el plan de mejoramiento de fecha 3 de octubre de 2025</v>
          </cell>
        </row>
        <row r="272">
          <cell r="A272">
            <v>2193</v>
          </cell>
          <cell r="B272">
            <v>29</v>
          </cell>
          <cell r="C272" t="str">
            <v>SUBA</v>
          </cell>
          <cell r="D272" t="str">
            <v>PRIVADO</v>
          </cell>
          <cell r="E272" t="str">
            <v>EPBM</v>
          </cell>
          <cell r="F272" t="str">
            <v>GIMNASIO_LA_CAMPIÑA</v>
          </cell>
          <cell r="G272" t="str">
            <v>GIMNASIO LA CAMPIÑA</v>
          </cell>
          <cell r="H272" t="str">
            <v>Autoevaluación Institucional y Pruebas SABER 11</v>
          </cell>
          <cell r="I272" t="str">
            <v>EVALUACIÓN_CON_FINES_DE_MEJORAMIENTO.</v>
          </cell>
          <cell r="J272" t="str">
            <v>Verificar las condiciones en cuanto a: la estructura administrativa, condiciones de la planta física y medios educativos adecuados.</v>
          </cell>
          <cell r="K272" t="str">
            <v>JUAN MANUEL SANCHEZ MORA</v>
          </cell>
          <cell r="L272" t="str">
            <v>MARTHA RUT SILVA ABRIL</v>
          </cell>
          <cell r="M272">
            <v>45860</v>
          </cell>
          <cell r="N272">
            <v>45890</v>
          </cell>
          <cell r="O272">
            <v>45890</v>
          </cell>
          <cell r="P272" t="str">
            <v>Visitas de evaluación con fines de mejoramiento</v>
          </cell>
          <cell r="Q272" t="str">
            <v>ACTA VISITA ADMINISTRATIVA del 2025-08-21 - GIMNASIO LA CAMPIÑA (1).pdf</v>
          </cell>
          <cell r="R272" t="str">
            <v>se observó en el recorrido por la planta fisica que no cuenta con espacios administrativos, como orientación escolar, enfermería, bliblioteca y secretaría.</v>
          </cell>
          <cell r="S272" t="str">
            <v>Adecuar los espacios administrativos y pedagógicos mínimos para la prestación del servicio educativo.</v>
          </cell>
          <cell r="T272" t="str">
            <v>Si</v>
          </cell>
          <cell r="U272" t="str">
            <v>Revisar el plan de mejoramiento de fecha 3 de octubre de 2025</v>
          </cell>
        </row>
        <row r="273">
          <cell r="A273">
            <v>2194</v>
          </cell>
          <cell r="B273">
            <v>30</v>
          </cell>
          <cell r="C273" t="str">
            <v>SUBA</v>
          </cell>
          <cell r="D273" t="str">
            <v>PRIVADO</v>
          </cell>
          <cell r="E273" t="str">
            <v>EPBM</v>
          </cell>
          <cell r="F273" t="str">
            <v>GIMNASIO_CAMPESTRE_DE_GUILFORD</v>
          </cell>
          <cell r="G273" t="str">
            <v>GIMNASIO CAMPESTRE DE GUILFORD</v>
          </cell>
          <cell r="H273" t="str">
            <v>Autoevaluación Institucional y Pruebas SABER 11</v>
          </cell>
          <cell r="I273" t="str">
            <v>SEGUIMIENTO_Y_SUPERVISIÓN.</v>
          </cell>
          <cell r="J273" t="str">
            <v>Realizar visitas para verificar la información registrada sobre la autoevaluación institucional en el aplicativo EVI, a los establecimientos de educación formal no oficial.</v>
          </cell>
          <cell r="K273" t="str">
            <v>MARTHA RUT SILVA ABRIL</v>
          </cell>
          <cell r="L273" t="str">
            <v>JUAN MANUEL SANCHEZ MORA</v>
          </cell>
          <cell r="M273">
            <v>45853</v>
          </cell>
          <cell r="N273">
            <v>45776</v>
          </cell>
          <cell r="O273">
            <v>45776</v>
          </cell>
          <cell r="P273" t="str">
            <v>Visitas de evaluación con fines de seguimiento</v>
          </cell>
          <cell r="Q273" t="str">
            <v>29042025 Acta gim campestre de guilford.pdf</v>
          </cell>
          <cell r="R273" t="str">
            <v>Revision aleatoria de la autoevaluacion registrada en el aplicativo EVI observando el cumplimiento en aspectos revisados</v>
          </cell>
          <cell r="S273" t="str">
            <v xml:space="preserve">Continuar con el dilgenciamiento en el aplicativo EVI segun realidad institucional </v>
          </cell>
          <cell r="T273" t="str">
            <v>No</v>
          </cell>
          <cell r="U273" t="str">
            <v>Revisar la autoevaluación institucional en el aplicativo EVI para las tarifas vigencia 2026</v>
          </cell>
        </row>
        <row r="274">
          <cell r="A274">
            <v>2195</v>
          </cell>
          <cell r="B274">
            <v>30</v>
          </cell>
          <cell r="C274" t="str">
            <v>SUBA</v>
          </cell>
          <cell r="D274" t="str">
            <v>PRIVADO</v>
          </cell>
          <cell r="E274" t="str">
            <v>EPBM</v>
          </cell>
          <cell r="F274" t="str">
            <v>GIMNASIO_CAMPESTRE_DE_GUILFORD</v>
          </cell>
          <cell r="G274" t="str">
            <v>GIMNASIO CAMPESTRE DE GUILFORD</v>
          </cell>
          <cell r="H274" t="str">
            <v>Autoevaluación Institucional y Pruebas SABER 11</v>
          </cell>
          <cell r="I274" t="str">
            <v>SEGUIMIENTO_Y_SUPERVISIÓN.</v>
          </cell>
          <cell r="J274" t="str">
            <v>Proponer estrategias en la formulación, verificar su elaboración y realizar seguimiento semestral al desarrollo de  las acciones establecidas en los planes de mejoramiento por pruebas SABER 11 de los establecimientos de educación formal.</v>
          </cell>
          <cell r="K274" t="str">
            <v>MARTHA RUT SILVA ABRIL</v>
          </cell>
          <cell r="L274" t="str">
            <v>JUAN MANUEL SANCHEZ MORA</v>
          </cell>
          <cell r="M274">
            <v>45853</v>
          </cell>
          <cell r="N274">
            <v>45776</v>
          </cell>
          <cell r="O274">
            <v>45776</v>
          </cell>
          <cell r="P274" t="str">
            <v>Visitas de evaluación con fines de seguimiento</v>
          </cell>
          <cell r="Q274" t="str">
            <v>29042025 Acta gim campestre de guilford.pdf</v>
          </cell>
          <cell r="R274" t="str">
            <v xml:space="preserve">Realizan el analisis e implementan acciones de mejora con respecto al resultado de las pruebas saber </v>
          </cell>
          <cell r="S274" t="str">
            <v>Continuar con el analisis y aplicacion de los planes de mejoramiento, asicomo los procesos de Gestion de Calidad</v>
          </cell>
          <cell r="T274" t="str">
            <v>No</v>
          </cell>
          <cell r="U274" t="str">
            <v>Verificar nuevamente en caso de ser necesario o por queja</v>
          </cell>
        </row>
        <row r="275">
          <cell r="A275">
            <v>2196</v>
          </cell>
          <cell r="B275">
            <v>30</v>
          </cell>
          <cell r="C275" t="str">
            <v>SUBA</v>
          </cell>
          <cell r="D275" t="str">
            <v>PRIVADO</v>
          </cell>
          <cell r="E275" t="str">
            <v>EPBM</v>
          </cell>
          <cell r="F275" t="str">
            <v>GIMNASIO_CAMPESTRE_DE_GUILFORD</v>
          </cell>
          <cell r="G275" t="str">
            <v>GIMNASIO CAMPESTRE DE GUILFORD</v>
          </cell>
          <cell r="H275" t="str">
            <v>Autoevaluación Institucional y Pruebas SABER 11</v>
          </cell>
          <cell r="I275" t="str">
            <v>SEGUIMIENTO_Y_SUPERVISIÓN.</v>
          </cell>
          <cell r="J275" t="str">
            <v xml:space="preserve">Verificar la implementación por parte de los colegios, de acciones realizadas para la prevención y atención de las situaciones de convivencia en el entorno escolar, según lo establecido en la Directiva 01 de 2022 del MEN. </v>
          </cell>
          <cell r="K275" t="str">
            <v>MARTHA RUT SILVA ABRIL</v>
          </cell>
          <cell r="L275" t="str">
            <v>JUAN MANUEL SANCHEZ MORA</v>
          </cell>
          <cell r="M275">
            <v>45853</v>
          </cell>
          <cell r="N275">
            <v>45776</v>
          </cell>
          <cell r="O275">
            <v>45776</v>
          </cell>
          <cell r="P275" t="str">
            <v>Visitas de evaluación con fines de seguimiento</v>
          </cell>
          <cell r="Q275" t="str">
            <v>29042025 Acta gim campestre de guilford.pdf</v>
          </cell>
          <cell r="R275" t="str">
            <v xml:space="preserve">Se evidencio que no cuentan con la consulta para la vinculacion de docentes en el sistema para la verficacion de las inhabilidades por delitos sexuales </v>
          </cell>
          <cell r="S275" t="str">
            <v>Realizar consulta cada 4 meses en el sistema pra la verficacion de las inhabilidades acorde con lo establecido en la Directiva 01 de 2022 del MEN.</v>
          </cell>
          <cell r="T275" t="str">
            <v>Si</v>
          </cell>
          <cell r="U275" t="str">
            <v>Revisar el plan de mejoramiento con fecha de entrega 4/06/2025</v>
          </cell>
        </row>
        <row r="276">
          <cell r="A276">
            <v>2197</v>
          </cell>
          <cell r="B276">
            <v>30</v>
          </cell>
          <cell r="C276" t="str">
            <v>SUBA</v>
          </cell>
          <cell r="D276" t="str">
            <v>PRIVADO</v>
          </cell>
          <cell r="E276" t="str">
            <v>EPBM</v>
          </cell>
          <cell r="F276" t="str">
            <v>GIMNASIO_CAMPESTRE_DE_GUILFORD</v>
          </cell>
          <cell r="G276" t="str">
            <v>GIMNASIO CAMPESTRE DE GUILFORD</v>
          </cell>
          <cell r="H276" t="str">
            <v>Autoevaluación Institucional y Pruebas SABER 11</v>
          </cell>
          <cell r="I276" t="str">
            <v>SEGUIMIENTO_Y_SUPERVISIÓN.</v>
          </cell>
          <cell r="J27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76" t="str">
            <v>MARTHA RUT SILVA ABRIL</v>
          </cell>
          <cell r="L276" t="str">
            <v>JUAN MANUEL SANCHEZ MORA</v>
          </cell>
          <cell r="M276">
            <v>45853</v>
          </cell>
          <cell r="N276">
            <v>45776</v>
          </cell>
          <cell r="O276">
            <v>45776</v>
          </cell>
          <cell r="P276" t="str">
            <v>Visitas de evaluación con fines de seguimiento</v>
          </cell>
          <cell r="Q276" t="str">
            <v>29042025 Acta gim campestre de guilford.pdf</v>
          </cell>
          <cell r="R276" t="str">
            <v>Cuentan con grn catidad de esytudiantes con NEE, elboran y desarrollan los ajustes razonables, sin embargo se realizaron algunas observaciones</v>
          </cell>
          <cell r="S276" t="str">
            <v xml:space="preserve">Continuar con el dilegenciamiento de los ajustes razonables e implementar los formatos preestablecidos para ello, cumpliendo con todas los aspectos relacionados en el Decreto 1421 de 2017. </v>
          </cell>
          <cell r="T276" t="str">
            <v>Si</v>
          </cell>
          <cell r="U276" t="str">
            <v>Revisar el plan de mejoramiento con fecha de entrega 4/06/2025</v>
          </cell>
        </row>
        <row r="277">
          <cell r="A277">
            <v>2198</v>
          </cell>
          <cell r="B277">
            <v>30</v>
          </cell>
          <cell r="C277" t="str">
            <v>SUBA</v>
          </cell>
          <cell r="D277" t="str">
            <v>PRIVADO</v>
          </cell>
          <cell r="E277" t="str">
            <v>EPBM</v>
          </cell>
          <cell r="F277" t="str">
            <v>GIMNASIO_CAMPESTRE_DE_GUILFORD</v>
          </cell>
          <cell r="G277" t="str">
            <v>GIMNASIO CAMPESTRE DE GUILFORD</v>
          </cell>
          <cell r="H277" t="str">
            <v>Autoevaluación Institucional y Pruebas SABER 11</v>
          </cell>
          <cell r="I277" t="str">
            <v>EVALUACIÓN_CON_FINES_DE_MEJORAMIENTO.</v>
          </cell>
          <cell r="J27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7" t="str">
            <v>MARTHA RUT SILVA ABRIL</v>
          </cell>
          <cell r="L277" t="str">
            <v>JUAN MANUEL SANCHEZ MORA</v>
          </cell>
          <cell r="M277">
            <v>45853</v>
          </cell>
          <cell r="N277">
            <v>45776</v>
          </cell>
          <cell r="O277">
            <v>45776</v>
          </cell>
          <cell r="P277" t="str">
            <v>Visitas de evaluación con fines de mejoramiento</v>
          </cell>
          <cell r="Q277" t="str">
            <v>29042025 Acta gim campestre de guilford.pdf</v>
          </cell>
          <cell r="R277" t="str">
            <v>Realizar la atualizacion del manual de convivencia incluyendo los enfoques diferenciales, debido proceso, protocolos de atención y demas componentes señalados en el Decreto 1075 de 2015.</v>
          </cell>
          <cell r="S277" t="str">
            <v>Realizar la actualizacion del manual de convivencia incluyendo los enfoques diferenciales, debido proceso, protocolos de atencion</v>
          </cell>
          <cell r="T277" t="str">
            <v>Si</v>
          </cell>
          <cell r="U277" t="str">
            <v>Revisar el plan de mejoramiento con fecha de entrega 4/06/2025</v>
          </cell>
        </row>
        <row r="278">
          <cell r="A278">
            <v>2199</v>
          </cell>
          <cell r="B278">
            <v>30</v>
          </cell>
          <cell r="C278" t="str">
            <v>SUBA</v>
          </cell>
          <cell r="D278" t="str">
            <v>PRIVADO</v>
          </cell>
          <cell r="E278" t="str">
            <v>EPBM</v>
          </cell>
          <cell r="F278" t="str">
            <v>GIMNASIO_CAMPESTRE_DE_GUILFORD</v>
          </cell>
          <cell r="G278" t="str">
            <v>GIMNASIO CAMPESTRE DE GUILFORD</v>
          </cell>
          <cell r="H278" t="str">
            <v>Autoevaluación Institucional y Pruebas SABER 11</v>
          </cell>
          <cell r="I278" t="str">
            <v>EVALUACIÓN_CON_FINES_DE_MEJORAMIENTO.</v>
          </cell>
          <cell r="J278" t="str">
            <v>Revisar la actualización, socialización e implementación del Sistema Institucional de Evaluación de Estudiantes - SIEE, en articulación con la actualización del PEI y la normatividad vigente.</v>
          </cell>
          <cell r="K278" t="str">
            <v>MARTHA RUT SILVA ABRIL</v>
          </cell>
          <cell r="L278" t="str">
            <v>JUAN MANUEL SANCHEZ MORA</v>
          </cell>
          <cell r="M278">
            <v>45853</v>
          </cell>
          <cell r="N278">
            <v>45776</v>
          </cell>
          <cell r="O278">
            <v>45776</v>
          </cell>
          <cell r="P278" t="str">
            <v>Visitas de evaluación con fines de mejoramiento</v>
          </cell>
          <cell r="Q278" t="str">
            <v>29042025 Acta gim campestre de guilford.pdf</v>
          </cell>
          <cell r="R278" t="str">
            <v xml:space="preserve">Se evidenció que cuenta con los criterios de evaluacion, sin embargo, se requiere incluir dichos aspectos en el PEI </v>
          </cell>
          <cell r="S278" t="str">
            <v xml:space="preserve">Actualizar el SIEE conforme lo establecido en el PEI </v>
          </cell>
          <cell r="T278" t="str">
            <v>No</v>
          </cell>
          <cell r="U278" t="str">
            <v>Revisar el SIEE actualizado para la vigencia 2026.</v>
          </cell>
        </row>
        <row r="279">
          <cell r="A279">
            <v>2200</v>
          </cell>
          <cell r="B279">
            <v>30</v>
          </cell>
          <cell r="C279" t="str">
            <v>SUBA</v>
          </cell>
          <cell r="D279" t="str">
            <v>PRIVADO</v>
          </cell>
          <cell r="E279" t="str">
            <v>EPBM</v>
          </cell>
          <cell r="F279" t="str">
            <v>GIMNASIO_CAMPESTRE_DE_GUILFORD</v>
          </cell>
          <cell r="G279" t="str">
            <v>GIMNASIO CAMPESTRE DE GUILFORD</v>
          </cell>
          <cell r="H279" t="str">
            <v>Autoevaluación Institucional y Pruebas SABER 11</v>
          </cell>
          <cell r="I279" t="str">
            <v>EVALUACIÓN_CON_FINES_DE_MEJORAMIENTO.</v>
          </cell>
          <cell r="J279" t="str">
            <v>Revisar el calendario escolar, jornada escolar, la intensidad horaria mínima anual en cada nivel y las modificaciones que se realicen al mismo, de acuerdo con lo previsto en la normatividad vigente.</v>
          </cell>
          <cell r="K279" t="str">
            <v>MARTHA RUT SILVA ABRIL</v>
          </cell>
          <cell r="L279" t="str">
            <v>JUAN MANUEL SANCHEZ MORA</v>
          </cell>
          <cell r="M279">
            <v>45853</v>
          </cell>
          <cell r="N279">
            <v>45776</v>
          </cell>
          <cell r="O279">
            <v>45776</v>
          </cell>
          <cell r="P279" t="str">
            <v>Visitas de evaluación con fines de mejoramiento</v>
          </cell>
          <cell r="Q279" t="str">
            <v>29042025 Acta gim campestre de guilford.pdf</v>
          </cell>
          <cell r="R279" t="str">
            <v xml:space="preserve">El calendario escolar y la intensidad horaria se ajusta a las horas minimas para cada uno de los niveles </v>
          </cell>
          <cell r="S279" t="str">
            <v xml:space="preserve">Continuar con el cumplimiento del calendario escolar </v>
          </cell>
          <cell r="T279" t="str">
            <v>No</v>
          </cell>
          <cell r="U279" t="str">
            <v xml:space="preserve">Verificar nuevamente el calendario escolar en caso de ser necesario o por queja </v>
          </cell>
        </row>
        <row r="280">
          <cell r="A280">
            <v>2201</v>
          </cell>
          <cell r="B280">
            <v>30</v>
          </cell>
          <cell r="C280" t="str">
            <v>SUBA</v>
          </cell>
          <cell r="D280" t="str">
            <v>PRIVADO</v>
          </cell>
          <cell r="E280" t="str">
            <v>EPBM</v>
          </cell>
          <cell r="F280" t="str">
            <v>GIMNASIO_CAMPESTRE_DE_GUILFORD</v>
          </cell>
          <cell r="G280" t="str">
            <v>GIMNASIO CAMPESTRE DE GUILFORD</v>
          </cell>
          <cell r="H280" t="str">
            <v>Autoevaluación Institucional y Pruebas SABER 11</v>
          </cell>
          <cell r="I280" t="str">
            <v>EVALUACIÓN_CON_FINES_DE_MEJORAMIENTO.</v>
          </cell>
          <cell r="J280" t="str">
            <v>Verificar el funcionamiento del Gobierno Escolar e instancias de participación con base en la información sobre conformación reportada por la institución educativa.</v>
          </cell>
          <cell r="K280" t="str">
            <v>MARTHA RUT SILVA ABRIL</v>
          </cell>
          <cell r="L280" t="str">
            <v>JUAN MANUEL SANCHEZ MORA</v>
          </cell>
          <cell r="M280">
            <v>45853</v>
          </cell>
          <cell r="N280">
            <v>45776</v>
          </cell>
          <cell r="O280">
            <v>45776</v>
          </cell>
          <cell r="P280" t="str">
            <v>Visitas de evaluación con fines de mejoramiento</v>
          </cell>
          <cell r="Q280" t="str">
            <v>29042025 Acta gim campestre de guilford.pdf</v>
          </cell>
          <cell r="R280" t="str">
            <v>Se evidenció el cumplimiento de la conformacion del gobierno escolar, sin embargo, no registra reporte en la platforma SAE</v>
          </cell>
          <cell r="S280" t="str">
            <v>Registrar las actas de conformacion en la plataforma SAE y que los gobiernos e instancias empericen a sesionar mínimo cada dos meses</v>
          </cell>
          <cell r="T280" t="str">
            <v>Si</v>
          </cell>
          <cell r="U280" t="str">
            <v>Verificar las actas de conformación en el SAE y las actas de las sesiones realizadas.</v>
          </cell>
        </row>
        <row r="281">
          <cell r="A281">
            <v>2202</v>
          </cell>
          <cell r="B281">
            <v>30</v>
          </cell>
          <cell r="C281" t="str">
            <v>SUBA</v>
          </cell>
          <cell r="D281" t="str">
            <v>PRIVADO</v>
          </cell>
          <cell r="E281" t="str">
            <v>EPBM</v>
          </cell>
          <cell r="F281" t="str">
            <v>GIMNASIO_CAMPESTRE_DE_GUILFORD</v>
          </cell>
          <cell r="G281" t="str">
            <v>GIMNASIO CAMPESTRE DE GUILFORD</v>
          </cell>
          <cell r="H281" t="str">
            <v>Autoevaluación Institucional y Pruebas SABER 11</v>
          </cell>
          <cell r="I281" t="str">
            <v>EVALUACIÓN_CON_FINES_DE_MEJORAMIENTO.</v>
          </cell>
          <cell r="J281" t="str">
            <v>Verificar las condiciones en cuanto a: la estructura administrativa, condiciones de la planta física y medios educativos adecuados.</v>
          </cell>
          <cell r="K281" t="str">
            <v>MARTHA RUT SILVA ABRIL</v>
          </cell>
          <cell r="L281" t="str">
            <v>JUAN MANUEL SANCHEZ MORA</v>
          </cell>
          <cell r="M281">
            <v>45853</v>
          </cell>
          <cell r="N281">
            <v>45776</v>
          </cell>
          <cell r="O281">
            <v>45776</v>
          </cell>
          <cell r="P281" t="str">
            <v>Visitas de evaluación con fines de mejoramiento</v>
          </cell>
          <cell r="Q281" t="str">
            <v>29042025 Acta gim campestre de guilford.pdf</v>
          </cell>
          <cell r="R281" t="str">
            <v>En recorrido por la planta fisica se observa que cuenta con espacios minimos requerido para la atención de la población estudiantil.</v>
          </cell>
          <cell r="S281" t="str">
            <v xml:space="preserve">Continuar con el mantenimiento y sostenimiento de los espacios recreativos y pedagógicos </v>
          </cell>
          <cell r="T281" t="str">
            <v>No</v>
          </cell>
          <cell r="U281" t="str">
            <v>Realizar nueva visita en casos de ser necesario o por queja.</v>
          </cell>
        </row>
        <row r="282">
          <cell r="A282">
            <v>2203</v>
          </cell>
          <cell r="B282">
            <v>31</v>
          </cell>
          <cell r="C282" t="str">
            <v>SUBA</v>
          </cell>
          <cell r="D282" t="str">
            <v>PRIVADO</v>
          </cell>
          <cell r="E282" t="str">
            <v>EPBM</v>
          </cell>
          <cell r="F282" t="str">
            <v>INSTITUTO_PSICOPEDAGOGICO_ROSAL_DE_SUBA</v>
          </cell>
          <cell r="G282" t="str">
            <v>INSTITUTO PSICOPEDAGOGICO ROSAL DE SUBA</v>
          </cell>
          <cell r="H282" t="str">
            <v>Autoevaluación Institucional y Pruebas SABER 11</v>
          </cell>
          <cell r="I282" t="str">
            <v>SEGUIMIENTO_Y_SUPERVISIÓN.</v>
          </cell>
          <cell r="J282" t="str">
            <v>Realizar visitas para verificar la información registrada sobre la autoevaluación institucional en el aplicativo EVI, a los establecimientos de educación formal no oficial.</v>
          </cell>
          <cell r="K282" t="str">
            <v>SANDRA OLINDA GONZÁLEZ REYES</v>
          </cell>
          <cell r="L282" t="str">
            <v>DANIEL ALEJANDRO GRANOBLES</v>
          </cell>
          <cell r="M282">
            <v>45776</v>
          </cell>
          <cell r="N282">
            <v>45790</v>
          </cell>
          <cell r="O282">
            <v>45790</v>
          </cell>
          <cell r="P282" t="str">
            <v>Visitas de evaluación con fines de seguimiento</v>
          </cell>
          <cell r="Q282" t="str">
            <v>Acta de visita ROSAL DE SUBA.pdf</v>
          </cell>
          <cell r="R282" t="str">
            <v>Se evidencio que la instittución ha diligenciado el aplicativo EVI, sin embargo al momento de la visita no presentan las planillas de pago de salud, pensión y parafiscales, por lo cual se realiza requerimiento de las mismas para el plan de mejoramiento, así como los contratos de los docentes</v>
          </cell>
          <cell r="S282" t="str">
            <v>Realizar la revisión de la normatividad relacionada con las tarifas  Aportar en el plan de mejormiento las planillas de aportes y contratoa laborales de los docentes</v>
          </cell>
          <cell r="T282" t="str">
            <v>Si</v>
          </cell>
          <cell r="U282" t="str">
            <v xml:space="preserve">Verificar planillas  de pago del 2025 y la certificación publicada en el aplicativo EVI para la vigencia 2026. </v>
          </cell>
        </row>
        <row r="283">
          <cell r="A283">
            <v>2204</v>
          </cell>
          <cell r="B283">
            <v>31</v>
          </cell>
          <cell r="C283" t="str">
            <v>SUBA</v>
          </cell>
          <cell r="D283" t="str">
            <v>PRIVADO</v>
          </cell>
          <cell r="E283" t="str">
            <v>EPBM</v>
          </cell>
          <cell r="F283" t="str">
            <v>INSTITUTO_PSICOPEDAGOGICO_ROSAL_DE_SUBA</v>
          </cell>
          <cell r="G283" t="str">
            <v>INSTITUTO PSICOPEDAGOGICO ROSAL DE SUBA</v>
          </cell>
          <cell r="H283" t="str">
            <v>Autoevaluación Institucional y Pruebas SABER 11</v>
          </cell>
          <cell r="I283" t="str">
            <v>SEGUIMIENTO_Y_SUPERVISIÓN.</v>
          </cell>
          <cell r="J283" t="str">
            <v>Proponer estrategias en la formulación, verificar su elaboración y realizar seguimiento semestral al desarrollo de  las acciones establecidas en los planes de mejoramiento por pruebas SABER 11 de los establecimientos de educación formal.</v>
          </cell>
          <cell r="K283" t="str">
            <v>SANDRA OLINDA GONZÁLEZ REYES</v>
          </cell>
          <cell r="L283" t="str">
            <v>DANIEL ALEJANDRO GRANOBLES</v>
          </cell>
          <cell r="M283">
            <v>45776</v>
          </cell>
          <cell r="N283">
            <v>45790</v>
          </cell>
          <cell r="O283">
            <v>45790</v>
          </cell>
          <cell r="P283" t="str">
            <v>Visitas de evaluación con fines de seguimiento</v>
          </cell>
          <cell r="Q283" t="str">
            <v>Acta de visita ROSAL DE SUBA.pdf</v>
          </cell>
          <cell r="R283" t="str">
            <v>La institución educativa en el año 2023 obtuvo  clasificacion A , para el 2024 con puntaje de 273.08 tambien obtuvo calificación A con los mejores resultados en matemática e inglés</v>
          </cell>
          <cell r="S283" t="str">
            <v>Revisar los resultados y la relación con las asignaturas del plan de estudio. Elaborar plan de mejoramiento sobre todos los indicadores y remitirlo a la DLE antes del 30 de mayo</v>
          </cell>
          <cell r="T283" t="str">
            <v>Si</v>
          </cell>
          <cell r="U283" t="str">
            <v xml:space="preserve">Verificar el análisis los resultados y las acciones en las asignaturas que presentan puntajes más bajos </v>
          </cell>
        </row>
        <row r="284">
          <cell r="A284">
            <v>2205</v>
          </cell>
          <cell r="B284">
            <v>31</v>
          </cell>
          <cell r="C284" t="str">
            <v>SUBA</v>
          </cell>
          <cell r="D284" t="str">
            <v>PRIVADO</v>
          </cell>
          <cell r="E284" t="str">
            <v>EPBM</v>
          </cell>
          <cell r="F284" t="str">
            <v>INSTITUTO_PSICOPEDAGOGICO_ROSAL_DE_SUBA</v>
          </cell>
          <cell r="G284" t="str">
            <v>INSTITUTO PSICOPEDAGOGICO ROSAL DE SUBA</v>
          </cell>
          <cell r="H284" t="str">
            <v>Autoevaluación Institucional y Pruebas SABER 11</v>
          </cell>
          <cell r="I284" t="str">
            <v>SEGUIMIENTO_Y_SUPERVISIÓN.</v>
          </cell>
          <cell r="J284" t="str">
            <v xml:space="preserve">Verificar la implementación por parte de los colegios, de acciones realizadas para la prevención y atención de las situaciones de convivencia en el entorno escolar, según lo establecido en la Directiva 01 de 2022 del MEN. </v>
          </cell>
          <cell r="K284" t="str">
            <v>SANDRA OLINDA GONZÁLEZ REYES</v>
          </cell>
          <cell r="L284" t="str">
            <v>DANIEL ALEJANDRO GRANOBLES</v>
          </cell>
          <cell r="M284">
            <v>45776</v>
          </cell>
          <cell r="N284">
            <v>45790</v>
          </cell>
          <cell r="O284">
            <v>45790</v>
          </cell>
          <cell r="P284" t="str">
            <v>Visitas de evaluación con fines de seguimiento</v>
          </cell>
          <cell r="Q284" t="str">
            <v>Acta de visita ROSAL DE SUBA.pdf</v>
          </cell>
          <cell r="R284" t="str">
            <v>Se verificaron las consulta en la página de la policia de los antecedentes de delitos sexuales en las hojas de vida de los docentes de conformidad a la directiva  001 del 2022 y no se encontró dicha consulta. no se han presentado situaciones de convivencia II o III</v>
          </cell>
          <cell r="S284" t="str">
            <v>Realizar las consultas en la página de la Policía de todos los funcionarios de la institución y anexarla a la hoja de vida.  Elaborar plan de mejoramiento sobre todos los indicadores y remitirlo a la DLE antes del 30 de mayo</v>
          </cell>
          <cell r="T284" t="str">
            <v>si</v>
          </cell>
          <cell r="U284" t="str">
            <v>Verificar las consultas de antecedentes de los empledos y remitirlas en el plan de mejoramiento</v>
          </cell>
        </row>
        <row r="285">
          <cell r="A285">
            <v>2206</v>
          </cell>
          <cell r="B285">
            <v>31</v>
          </cell>
          <cell r="C285" t="str">
            <v>SUBA</v>
          </cell>
          <cell r="D285" t="str">
            <v>PRIVADO</v>
          </cell>
          <cell r="E285" t="str">
            <v>EPBM</v>
          </cell>
          <cell r="F285" t="str">
            <v>INSTITUTO_PSICOPEDAGOGICO_ROSAL_DE_SUBA</v>
          </cell>
          <cell r="G285" t="str">
            <v>INSTITUTO PSICOPEDAGOGICO ROSAL DE SUBA</v>
          </cell>
          <cell r="H285" t="str">
            <v>Autoevaluación Institucional y Pruebas SABER 11</v>
          </cell>
          <cell r="I285" t="str">
            <v>SEGUIMIENTO_Y_SUPERVISIÓN.</v>
          </cell>
          <cell r="J28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5" t="str">
            <v>SANDRA OLINDA GONZÁLEZ REYES</v>
          </cell>
          <cell r="L285" t="str">
            <v>DANIEL ALEJANDRO GRANOBLES</v>
          </cell>
          <cell r="M285">
            <v>45776</v>
          </cell>
          <cell r="N285">
            <v>45790</v>
          </cell>
          <cell r="O285">
            <v>45790</v>
          </cell>
          <cell r="P285" t="str">
            <v>Visitas de evaluación con fines de seguimiento</v>
          </cell>
          <cell r="Q285" t="str">
            <v>Acta de visita ROSAL DE SUBA.pdf</v>
          </cell>
          <cell r="R285" t="str">
            <v>Se realizó consulta en el SIMAT encontrándose 3 estudiantes de inlusión, sin embago al momento de la visita la rectora informa que no se han realizado PIAR</v>
          </cell>
          <cell r="S285" t="str">
            <v xml:space="preserve">
Realizar la actualización del Manual de Convivencia para incorporar los enfoques diferenciales e inclusivo                        Se le indica que el Manual de convivencia debe contener lo establecido en el decreto en caso de que se presente vinculación de esta población. Debe elaborar el PIAR de los estudiantes con discapacidad que tiene. Elaborar plan de mejoramiento sobre todos los indicadores y remitirlo a la DLE antes del 30 de mayo</v>
          </cell>
          <cell r="T285" t="str">
            <v>Si</v>
          </cell>
          <cell r="U285" t="str">
            <v>Verificar los PIAR elaborados a los estudiantes con discapacidad y asi como las modificaciones en manual de convivencia respecto a la poblacion con discapacidad.con fecha límite el 31 de julio.</v>
          </cell>
        </row>
        <row r="286">
          <cell r="A286">
            <v>2207</v>
          </cell>
          <cell r="B286">
            <v>31</v>
          </cell>
          <cell r="C286" t="str">
            <v>SUBA</v>
          </cell>
          <cell r="D286" t="str">
            <v>PRIVADO</v>
          </cell>
          <cell r="E286" t="str">
            <v>EPBM</v>
          </cell>
          <cell r="F286" t="str">
            <v>INSTITUTO_PSICOPEDAGOGICO_ROSAL_DE_SUBA</v>
          </cell>
          <cell r="G286" t="str">
            <v>INSTITUTO PSICOPEDAGOGICO ROSAL DE SUBA</v>
          </cell>
          <cell r="H286" t="str">
            <v>Autoevaluación Institucional y Pruebas SABER 11</v>
          </cell>
          <cell r="I286" t="str">
            <v>EVALUACIÓN_CON_FINES_DE_MEJORAMIENTO.</v>
          </cell>
          <cell r="J28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86" t="str">
            <v>SANDRA OLINDA GONZÁLEZ REYES</v>
          </cell>
          <cell r="L286" t="str">
            <v>DANIEL ALEJANDRO GRANOBLES</v>
          </cell>
          <cell r="M286">
            <v>45776</v>
          </cell>
          <cell r="N286">
            <v>45790</v>
          </cell>
          <cell r="O286">
            <v>45790</v>
          </cell>
          <cell r="P286" t="str">
            <v>Visitas de evaluación con fines de mejoramiento</v>
          </cell>
          <cell r="Q286" t="str">
            <v>Acta de visita ROSAL DE SUBA.pdf</v>
          </cell>
          <cell r="R286" t="str">
            <v>Se encontro que al manual de convivencia no ha sido adoptado por parte del Consejo Directivo</v>
          </cell>
          <cell r="S286" t="str">
            <v xml:space="preserve">Actualizar el Manual de convivencia de forma participativa y conforme la establecido en la normatividad vigente. </v>
          </cell>
          <cell r="T286" t="str">
            <v>Si</v>
          </cell>
          <cell r="U286" t="str">
            <v>Revisar la actualización del manual de convivencia ccon fecha límite el 31 de julio</v>
          </cell>
        </row>
        <row r="287">
          <cell r="A287">
            <v>2208</v>
          </cell>
          <cell r="B287">
            <v>31</v>
          </cell>
          <cell r="C287" t="str">
            <v>SUBA</v>
          </cell>
          <cell r="D287" t="str">
            <v>PRIVADO</v>
          </cell>
          <cell r="E287" t="str">
            <v>EPBM</v>
          </cell>
          <cell r="F287" t="str">
            <v>INSTITUTO_PSICOPEDAGOGICO_ROSAL_DE_SUBA</v>
          </cell>
          <cell r="G287" t="str">
            <v>INSTITUTO PSICOPEDAGOGICO ROSAL DE SUBA</v>
          </cell>
          <cell r="H287" t="str">
            <v>Autoevaluación Institucional y Pruebas SABER 11</v>
          </cell>
          <cell r="I287" t="str">
            <v>EVALUACIÓN_CON_FINES_DE_MEJORAMIENTO.</v>
          </cell>
          <cell r="J287" t="str">
            <v>Revisar la actualización, socialización e implementación del Sistema Institucional de Evaluación de Estudiantes - SIEE, en articulación con la actualización del PEI y la normatividad vigente.</v>
          </cell>
          <cell r="K287" t="str">
            <v>SANDRA OLINDA GONZÁLEZ REYES</v>
          </cell>
          <cell r="L287" t="str">
            <v>DANIEL ALEJANDRO GRANOBLES</v>
          </cell>
          <cell r="M287">
            <v>45776</v>
          </cell>
          <cell r="N287">
            <v>45790</v>
          </cell>
          <cell r="O287">
            <v>45790</v>
          </cell>
          <cell r="P287" t="str">
            <v>Visitas de evaluación con fines de mejoramiento</v>
          </cell>
          <cell r="Q287" t="str">
            <v>Acta de visita ROSAL DE SUBA.pdf</v>
          </cell>
          <cell r="R287" t="str">
            <v>Se realizó retroalimentación sobre  el SIEE, el cual no está en consonancia con el PEI.</v>
          </cell>
          <cell r="S287" t="str">
            <v>Realizar los ajustes de conformidad con las observaciones al SIIE realizada sen la visita</v>
          </cell>
          <cell r="T287" t="str">
            <v>Si</v>
          </cell>
          <cell r="U287" t="str">
            <v>Revisar la actualización del manual de convivencia en lo relacionado con el  SIIE con fecha límite el 31 de julio</v>
          </cell>
        </row>
        <row r="288">
          <cell r="A288">
            <v>2209</v>
          </cell>
          <cell r="B288">
            <v>31</v>
          </cell>
          <cell r="C288" t="str">
            <v>SUBA</v>
          </cell>
          <cell r="D288" t="str">
            <v>PRIVADO</v>
          </cell>
          <cell r="E288" t="str">
            <v>EPBM</v>
          </cell>
          <cell r="F288" t="str">
            <v>INSTITUTO_PSICOPEDAGOGICO_ROSAL_DE_SUBA</v>
          </cell>
          <cell r="G288" t="str">
            <v>INSTITUTO PSICOPEDAGOGICO ROSAL DE SUBA</v>
          </cell>
          <cell r="H288" t="str">
            <v>Autoevaluación Institucional y Pruebas SABER 11</v>
          </cell>
          <cell r="I288" t="str">
            <v>EVALUACIÓN_CON_FINES_DE_MEJORAMIENTO.</v>
          </cell>
          <cell r="J288" t="str">
            <v>Revisar el calendario escolar, jornada escolar, la intensidad horaria mínima anual en cada nivel y las modificaciones que se realicen al mismo, de acuerdo con lo previsto en la normatividad vigente.</v>
          </cell>
          <cell r="K288" t="str">
            <v>SANDRA OLINDA GONZÁLEZ REYES</v>
          </cell>
          <cell r="L288" t="str">
            <v>DANIEL ALEJANDRO GRANOBLES</v>
          </cell>
          <cell r="M288">
            <v>45776</v>
          </cell>
          <cell r="N288">
            <v>45790</v>
          </cell>
          <cell r="O288">
            <v>45790</v>
          </cell>
          <cell r="P288" t="str">
            <v>Visitas de evaluación con fines de mejoramiento</v>
          </cell>
          <cell r="Q288" t="str">
            <v>Acta de visita ROSAL DE SUBA.pdf</v>
          </cell>
          <cell r="R288" t="str">
            <v>La intensidad horaria y las horas mínimas anuales de cada ciclo se ajustan para los ciclos de preescolar, básica y media</v>
          </cell>
          <cell r="S288" t="str">
            <v>Cumplie el calendario académico</v>
          </cell>
          <cell r="T288" t="str">
            <v>No</v>
          </cell>
          <cell r="U288" t="str">
            <v>Continuar con el cumplimiento del calendario</v>
          </cell>
        </row>
        <row r="289">
          <cell r="A289">
            <v>2210</v>
          </cell>
          <cell r="B289">
            <v>31</v>
          </cell>
          <cell r="C289" t="str">
            <v>SUBA</v>
          </cell>
          <cell r="D289" t="str">
            <v>PRIVADO</v>
          </cell>
          <cell r="E289" t="str">
            <v>EPBM</v>
          </cell>
          <cell r="F289" t="str">
            <v>INSTITUTO_PSICOPEDAGOGICO_ROSAL_DE_SUBA</v>
          </cell>
          <cell r="G289" t="str">
            <v>INSTITUTO PSICOPEDAGOGICO ROSAL DE SUBA</v>
          </cell>
          <cell r="H289" t="str">
            <v>Autoevaluación Institucional y Pruebas SABER 11</v>
          </cell>
          <cell r="I289" t="str">
            <v>EVALUACIÓN_CON_FINES_DE_MEJORAMIENTO.</v>
          </cell>
          <cell r="J289" t="str">
            <v>Verificar el funcionamiento del Gobierno Escolar e instancias de participación con base en la información sobre conformación reportada por la institución educativa.</v>
          </cell>
          <cell r="K289" t="str">
            <v>SANDRA OLINDA GONZÁLEZ REYES</v>
          </cell>
          <cell r="L289" t="str">
            <v>DANIEL ALEJANDRO GRANOBLES</v>
          </cell>
          <cell r="M289">
            <v>45776</v>
          </cell>
          <cell r="N289">
            <v>45790</v>
          </cell>
          <cell r="O289">
            <v>45790</v>
          </cell>
          <cell r="P289" t="str">
            <v>Visitas de evaluación con fines de mejoramiento</v>
          </cell>
          <cell r="Q289" t="str">
            <v>Acta de visita ROSAL DE SUBA.pdf</v>
          </cell>
          <cell r="R289" t="str">
            <v>Se evidenciaron las actas de conformación de gobierno escolar, las cuales fueron cargardas en el SAE. Sobre el funcionamiento no hay evidencia de que hayan sesionado.</v>
          </cell>
          <cell r="S289" t="str">
            <v>Sesionar con cada órgano de gobierno de conformidad con la periodicidad establecida en la norma. Elaborar plan de mejoramiento con la programación de las reuniones  de los órganos de gobierno el 30 de mayo</v>
          </cell>
          <cell r="T289" t="str">
            <v>Si</v>
          </cell>
          <cell r="U289" t="str">
            <v>Verificar las actas que evidencien el funcionamiento de  los órganos de gobierno.</v>
          </cell>
        </row>
        <row r="290">
          <cell r="A290">
            <v>2211</v>
          </cell>
          <cell r="B290">
            <v>31</v>
          </cell>
          <cell r="C290" t="str">
            <v>SUBA</v>
          </cell>
          <cell r="D290" t="str">
            <v>PRIVADO</v>
          </cell>
          <cell r="E290" t="str">
            <v>EPBM</v>
          </cell>
          <cell r="F290" t="str">
            <v>INSTITUTO_PSICOPEDAGOGICO_ROSAL_DE_SUBA</v>
          </cell>
          <cell r="G290" t="str">
            <v>INSTITUTO PSICOPEDAGOGICO ROSAL DE SUBA</v>
          </cell>
          <cell r="H290" t="str">
            <v>Autoevaluación Institucional y Pruebas SABER 11</v>
          </cell>
          <cell r="I290" t="str">
            <v>EVALUACIÓN_CON_FINES_DE_MEJORAMIENTO.</v>
          </cell>
          <cell r="J290" t="str">
            <v>Verificar las condiciones en cuanto a: la estructura administrativa, condiciones de la planta física y medios educativos adecuados.</v>
          </cell>
          <cell r="K290" t="str">
            <v>SANDRA OLINDA GONZÁLEZ REYES</v>
          </cell>
          <cell r="L290" t="str">
            <v>DANIEL ALEJANDRO GRANOBLES</v>
          </cell>
          <cell r="M290">
            <v>45776</v>
          </cell>
          <cell r="N290">
            <v>45790</v>
          </cell>
          <cell r="O290">
            <v>45790</v>
          </cell>
          <cell r="P290" t="str">
            <v>Visitas de evaluación con fines de mejoramiento</v>
          </cell>
          <cell r="Q290" t="str">
            <v>Acta de visita ROSAL DE SUBA.pdf</v>
          </cell>
          <cell r="R290" t="str">
            <v xml:space="preserve">Existen espacios para los ambientes pedagógicos. Sin embargo, no existe biblioteca, área de recreación interna, hay espacios sin utilizar, se evidencian falta de organización y aseo. estan pendeintes por legalización de sede para preescolar y básica primaria </v>
          </cell>
          <cell r="S290" t="str">
            <v>Restructuración y reorganozación de espacios antes del 30 de mayo</v>
          </cell>
          <cell r="T290" t="str">
            <v>Si</v>
          </cell>
          <cell r="U290" t="str">
            <v>Enviar informe con registro fotograficos de los espacios.</v>
          </cell>
        </row>
        <row r="291">
          <cell r="A291">
            <v>2212</v>
          </cell>
          <cell r="B291">
            <v>32</v>
          </cell>
          <cell r="C291" t="str">
            <v>SUBA</v>
          </cell>
          <cell r="D291" t="str">
            <v>PRIVADO</v>
          </cell>
          <cell r="E291" t="str">
            <v>EPBM</v>
          </cell>
          <cell r="F291" t="str">
            <v>LICEO_BET_EL</v>
          </cell>
          <cell r="G291" t="str">
            <v>LICEO BET-EL</v>
          </cell>
          <cell r="H291" t="str">
            <v>Autoevaluación Institucional y Pruebas SABER 11</v>
          </cell>
          <cell r="I291" t="str">
            <v>SEGUIMIENTO_Y_SUPERVISIÓN.</v>
          </cell>
          <cell r="J291" t="str">
            <v>Realizar visitas para verificar la información registrada sobre la autoevaluación institucional en el aplicativo EVI, a los establecimientos de educación formal no oficial.</v>
          </cell>
          <cell r="K291" t="str">
            <v>SANDRA OLINDA GONZÁLEZ REYES</v>
          </cell>
          <cell r="L291" t="str">
            <v>DANIEL ALEJANDRO GRANOBLES</v>
          </cell>
          <cell r="M291">
            <v>45790</v>
          </cell>
          <cell r="N291">
            <v>45807</v>
          </cell>
          <cell r="O291">
            <v>45807</v>
          </cell>
          <cell r="P291" t="str">
            <v>Visitas de evaluación con fines de seguimiento</v>
          </cell>
          <cell r="Q291" t="str">
            <v>VISITA INTEGRAL BET EL.pdf</v>
          </cell>
          <cell r="R291" t="str">
            <v>Se evidencio que la instittución ha diligenciado el aplicativo EVI y cuenta con la resolución de Tarifas para 2025</v>
          </cell>
          <cell r="S291" t="str">
            <v>Continuar con el diligenciamiento  del aplicativo y la publicación de los documentos requeridos</v>
          </cell>
          <cell r="T291" t="str">
            <v>No</v>
          </cell>
          <cell r="U291" t="str">
            <v>Verificar a autoevaluación 2025 en el procedimiento para autorización de tarifas 2026.</v>
          </cell>
        </row>
        <row r="292">
          <cell r="A292">
            <v>2213</v>
          </cell>
          <cell r="B292">
            <v>32</v>
          </cell>
          <cell r="C292" t="str">
            <v>SUBA</v>
          </cell>
          <cell r="D292" t="str">
            <v>PRIVADO</v>
          </cell>
          <cell r="E292" t="str">
            <v>EPBM</v>
          </cell>
          <cell r="F292" t="str">
            <v>LICEO_BET_EL</v>
          </cell>
          <cell r="G292" t="str">
            <v>LICEO BET-EL</v>
          </cell>
          <cell r="H292" t="str">
            <v>Autoevaluación Institucional y Pruebas SABER 11</v>
          </cell>
          <cell r="I292" t="str">
            <v>SEGUIMIENTO_Y_SUPERVISIÓN.</v>
          </cell>
          <cell r="J292" t="str">
            <v>Proponer estrategias en la formulación, verificar su elaboración y realizar seguimiento semestral al desarrollo de  las acciones establecidas en los planes de mejoramiento por pruebas SABER 11 de los establecimientos de educación formal.</v>
          </cell>
          <cell r="K292" t="str">
            <v>SANDRA OLINDA GONZÁLEZ REYES</v>
          </cell>
          <cell r="L292" t="str">
            <v>DANIEL ALEJANDRO GRANOBLES</v>
          </cell>
          <cell r="M292">
            <v>45790</v>
          </cell>
          <cell r="N292">
            <v>45807</v>
          </cell>
          <cell r="O292">
            <v>45807</v>
          </cell>
          <cell r="P292" t="str">
            <v>Visitas de evaluación con fines de seguimiento</v>
          </cell>
          <cell r="Q292" t="str">
            <v>VISITA INTEGRAL BET EL.pdf</v>
          </cell>
          <cell r="R292" t="str">
            <v>Se revisó la clasificación en el ICFES que es A, situación que se corroboro en la institución, cada año se realiza retoalimentación con docentes y grupo intrgral saber quienes cooperan con estrategias para la revisión de textos y pruebas</v>
          </cell>
          <cell r="S292" t="str">
            <v>Realizar la comparación de los resultados de las pruebas 2025  y avanzar en la construcción de banco de preguntas ICFES</v>
          </cell>
          <cell r="T292" t="str">
            <v>No</v>
          </cell>
          <cell r="U292" t="str">
            <v xml:space="preserve">Continuar con revisión de los resultados y valorara las estrategias </v>
          </cell>
        </row>
        <row r="293">
          <cell r="A293">
            <v>2214</v>
          </cell>
          <cell r="B293">
            <v>32</v>
          </cell>
          <cell r="C293" t="str">
            <v>SUBA</v>
          </cell>
          <cell r="D293" t="str">
            <v>PRIVADO</v>
          </cell>
          <cell r="E293" t="str">
            <v>EPBM</v>
          </cell>
          <cell r="F293" t="str">
            <v>LICEO_BET_EL</v>
          </cell>
          <cell r="G293" t="str">
            <v>LICEO BET-EL</v>
          </cell>
          <cell r="H293" t="str">
            <v>Autoevaluación Institucional y Pruebas SABER 11</v>
          </cell>
          <cell r="I293" t="str">
            <v>SEGUIMIENTO_Y_SUPERVISIÓN.</v>
          </cell>
          <cell r="J293" t="str">
            <v xml:space="preserve">Verificar la implementación por parte de los colegios, de acciones realizadas para la prevención y atención de las situaciones de convivencia en el entorno escolar, según lo establecido en la Directiva 01 de 2022 del MEN. </v>
          </cell>
          <cell r="K293" t="str">
            <v>SANDRA OLINDA GONZÁLEZ REYES</v>
          </cell>
          <cell r="L293" t="str">
            <v>DANIEL ALEJANDRO GRANOBLES</v>
          </cell>
          <cell r="M293">
            <v>45790</v>
          </cell>
          <cell r="N293">
            <v>45807</v>
          </cell>
          <cell r="O293">
            <v>45807</v>
          </cell>
          <cell r="P293" t="str">
            <v>Visitas de evaluación con fines de seguimiento</v>
          </cell>
          <cell r="Q293" t="str">
            <v>VISITA INTEGRAL BET EL.pdf</v>
          </cell>
          <cell r="R293" t="str">
            <v xml:space="preserve">Se verificó las consulta en la página de la policia de los antecedentes de delitos sexuales ubicadas en las hojas de vida de los empleados de conformidad a la directiva  001 del 2022, se encuentra constituido del comite de convivencia, tienen clave para el Sistema de Alertas. </v>
          </cell>
          <cell r="S293" t="str">
            <v>Mantener en la carpeta de cada docente y administrativo la  consulta de la página de la Policía y los realizar los reportes al Sistema de Alertas de ser necesario</v>
          </cell>
          <cell r="T293" t="str">
            <v>No</v>
          </cell>
          <cell r="U293" t="str">
            <v xml:space="preserve">Verificar la implementación de la Directiva 01 de 2022 en caso de requerirse </v>
          </cell>
        </row>
        <row r="294">
          <cell r="A294">
            <v>2215</v>
          </cell>
          <cell r="B294">
            <v>32</v>
          </cell>
          <cell r="C294" t="str">
            <v>SUBA</v>
          </cell>
          <cell r="D294" t="str">
            <v>PRIVADO</v>
          </cell>
          <cell r="E294" t="str">
            <v>EPBM</v>
          </cell>
          <cell r="F294" t="str">
            <v>LICEO_BET_EL</v>
          </cell>
          <cell r="G294" t="str">
            <v>LICEO BET-EL</v>
          </cell>
          <cell r="H294" t="str">
            <v>Autoevaluación Institucional y Pruebas SABER 11</v>
          </cell>
          <cell r="I294" t="str">
            <v>SEGUIMIENTO_Y_SUPERVISIÓN.</v>
          </cell>
          <cell r="J29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4" t="str">
            <v>SANDRA OLINDA GONZÁLEZ REYES</v>
          </cell>
          <cell r="L294" t="str">
            <v>DANIEL ALEJANDRO GRANOBLES</v>
          </cell>
          <cell r="M294">
            <v>45790</v>
          </cell>
          <cell r="N294">
            <v>45807</v>
          </cell>
          <cell r="O294">
            <v>45807</v>
          </cell>
          <cell r="P294" t="str">
            <v>Visitas de evaluación con fines de seguimiento</v>
          </cell>
          <cell r="Q294" t="str">
            <v>VISITA INTEGRAL BET EL.pdf</v>
          </cell>
          <cell r="R294" t="str">
            <v>Se realizó consulta en el SIMAT encontrándose que no tienen los estudiantes de inclusión sin embargo el rector informa que  hay estudiantes de inclusión con PIAR.</v>
          </cell>
          <cell r="S294" t="str">
            <v xml:space="preserve">
Realizar la actualización del SIMAT, Elaborar el PIAR pendiente y realizar el seguimiento  de cada uno. de los ya existentes</v>
          </cell>
          <cell r="T294" t="str">
            <v>Si</v>
          </cell>
          <cell r="U294" t="str">
            <v>Revisar el reporte SIMAT y los PIAR de los estudiantes reportados</v>
          </cell>
        </row>
        <row r="295">
          <cell r="A295">
            <v>2216</v>
          </cell>
          <cell r="B295">
            <v>32</v>
          </cell>
          <cell r="C295" t="str">
            <v>SUBA</v>
          </cell>
          <cell r="D295" t="str">
            <v>PRIVADO</v>
          </cell>
          <cell r="E295" t="str">
            <v>EPBM</v>
          </cell>
          <cell r="F295" t="str">
            <v>LICEO_BET_EL</v>
          </cell>
          <cell r="G295" t="str">
            <v>LICEO BET-EL</v>
          </cell>
          <cell r="H295" t="str">
            <v>Autoevaluación Institucional y Pruebas SABER 11</v>
          </cell>
          <cell r="I295" t="str">
            <v>EVALUACIÓN_CON_FINES_DE_MEJORAMIENTO.</v>
          </cell>
          <cell r="J29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95" t="str">
            <v>SANDRA OLINDA GONZÁLEZ REYES</v>
          </cell>
          <cell r="L295" t="str">
            <v>DANIEL ALEJANDRO GRANOBLES</v>
          </cell>
          <cell r="M295">
            <v>45790</v>
          </cell>
          <cell r="N295">
            <v>45807</v>
          </cell>
          <cell r="O295">
            <v>45807</v>
          </cell>
          <cell r="P295" t="str">
            <v>Visitas de evaluación con fines de mejoramiento</v>
          </cell>
          <cell r="Q295" t="str">
            <v>VISITA INTEGRAL BET EL.pdf</v>
          </cell>
          <cell r="R295" t="str">
            <v>Se encontro un manual de convivencia con la normatividad la clasificación de las faltas y situciones, debido proceso</v>
          </cell>
          <cell r="S295" t="str">
            <v>Realizar la revisión periodica  del manual dando aplicabilidad a la normna de convivencia y realizar ajustes en lo relacionadao con las condiciones para realizar el servicio social.</v>
          </cell>
          <cell r="T295" t="str">
            <v>Si</v>
          </cell>
          <cell r="U295" t="str">
            <v>Realizar la revisión periódica del manual de convivencia y revisar las condicones para la prestación del servicio social ofrecidads por la institución.</v>
          </cell>
        </row>
        <row r="296">
          <cell r="A296">
            <v>2217</v>
          </cell>
          <cell r="B296">
            <v>32</v>
          </cell>
          <cell r="C296" t="str">
            <v>SUBA</v>
          </cell>
          <cell r="D296" t="str">
            <v>PRIVADO</v>
          </cell>
          <cell r="E296" t="str">
            <v>EPBM</v>
          </cell>
          <cell r="F296" t="str">
            <v>LICEO_BET_EL</v>
          </cell>
          <cell r="G296" t="str">
            <v>LICEO BET-EL</v>
          </cell>
          <cell r="H296" t="str">
            <v>Autoevaluación Institucional y Pruebas SABER 11</v>
          </cell>
          <cell r="I296" t="str">
            <v>EVALUACIÓN_CON_FINES_DE_MEJORAMIENTO.</v>
          </cell>
          <cell r="J296" t="str">
            <v>Revisar la actualización, socialización e implementación del Sistema Institucional de Evaluación de Estudiantes - SIEE, en articulación con la actualización del PEI y la normatividad vigente.</v>
          </cell>
          <cell r="K296" t="str">
            <v>SANDRA OLINDA GONZÁLEZ REYES</v>
          </cell>
          <cell r="L296" t="str">
            <v>DANIEL ALEJANDRO GRANOBLES</v>
          </cell>
          <cell r="M296">
            <v>45790</v>
          </cell>
          <cell r="N296">
            <v>45807</v>
          </cell>
          <cell r="O296">
            <v>45807</v>
          </cell>
          <cell r="P296" t="str">
            <v>Visitas de evaluación con fines de mejoramiento</v>
          </cell>
          <cell r="Q296" t="str">
            <v>VISITA INTEGRAL BET EL.pdf</v>
          </cell>
          <cell r="R296" t="str">
            <v xml:space="preserve">Se encontraron algunos aspectos del manual pendientes por aclarar como el sistema institucional de evaluación, diferenciando el ciclo de preescolar de los demás </v>
          </cell>
          <cell r="S296" t="str">
            <v xml:space="preserve">Realizar la actualización del manual convivencia en lo relaciondao con el SIEE          </v>
          </cell>
          <cell r="T296" t="str">
            <v>Si</v>
          </cell>
          <cell r="U296" t="str">
            <v>Revisar la actualización del manual de convivencia respcto al SIEE</v>
          </cell>
        </row>
        <row r="297">
          <cell r="A297">
            <v>2218</v>
          </cell>
          <cell r="B297">
            <v>32</v>
          </cell>
          <cell r="C297" t="str">
            <v>SUBA</v>
          </cell>
          <cell r="D297" t="str">
            <v>PRIVADO</v>
          </cell>
          <cell r="E297" t="str">
            <v>EPBM</v>
          </cell>
          <cell r="F297" t="str">
            <v>LICEO_BET_EL</v>
          </cell>
          <cell r="G297" t="str">
            <v>LICEO BET-EL</v>
          </cell>
          <cell r="H297" t="str">
            <v>Autoevaluación Institucional y Pruebas SABER 11</v>
          </cell>
          <cell r="I297" t="str">
            <v>EVALUACIÓN_CON_FINES_DE_MEJORAMIENTO.</v>
          </cell>
          <cell r="J297" t="str">
            <v>Revisar el calendario escolar, jornada escolar, la intensidad horaria mínima anual en cada nivel y las modificaciones que se realicen al mismo, de acuerdo con lo previsto en la normatividad vigente.</v>
          </cell>
          <cell r="K297" t="str">
            <v>SANDRA OLINDA GONZÁLEZ REYES</v>
          </cell>
          <cell r="L297" t="str">
            <v>DANIEL ALEJANDRO GRANOBLES</v>
          </cell>
          <cell r="M297">
            <v>45790</v>
          </cell>
          <cell r="N297">
            <v>45807</v>
          </cell>
          <cell r="O297">
            <v>45807</v>
          </cell>
          <cell r="P297" t="str">
            <v>Visitas de evaluación con fines de mejoramiento</v>
          </cell>
          <cell r="Q297" t="str">
            <v>VISITA INTEGRAL BET EL.pdf</v>
          </cell>
          <cell r="R297" t="str">
            <v>La intensidad horaria y las horas mínimas anuales de cada ciclo se ajustan para preescolar, básica y media</v>
          </cell>
          <cell r="S297" t="str">
            <v>Mantener las actividades en el calendario académico</v>
          </cell>
          <cell r="T297" t="str">
            <v>No</v>
          </cell>
          <cell r="U297" t="str">
            <v>Revisar el calendario en caso de presentarse queja</v>
          </cell>
        </row>
        <row r="298">
          <cell r="A298">
            <v>2219</v>
          </cell>
          <cell r="B298">
            <v>32</v>
          </cell>
          <cell r="C298" t="str">
            <v>SUBA</v>
          </cell>
          <cell r="D298" t="str">
            <v>PRIVADO</v>
          </cell>
          <cell r="E298" t="str">
            <v>EPBM</v>
          </cell>
          <cell r="F298" t="str">
            <v>LICEO_BET_EL</v>
          </cell>
          <cell r="G298" t="str">
            <v>LICEO BET-EL</v>
          </cell>
          <cell r="H298" t="str">
            <v>Autoevaluación Institucional y Pruebas SABER 11</v>
          </cell>
          <cell r="I298" t="str">
            <v>EVALUACIÓN_CON_FINES_DE_MEJORAMIENTO.</v>
          </cell>
          <cell r="J298" t="str">
            <v>Verificar el funcionamiento del Gobierno Escolar e instancias de participación con base en la información sobre conformación reportada por la institución educativa.</v>
          </cell>
          <cell r="K298" t="str">
            <v>SANDRA OLINDA GONZÁLEZ REYES</v>
          </cell>
          <cell r="L298" t="str">
            <v>DANIEL ALEJANDRO GRANOBLES</v>
          </cell>
          <cell r="M298">
            <v>45790</v>
          </cell>
          <cell r="N298">
            <v>45807</v>
          </cell>
          <cell r="O298">
            <v>45807</v>
          </cell>
          <cell r="P298" t="str">
            <v>Visitas de evaluación con fines de mejoramiento</v>
          </cell>
          <cell r="Q298" t="str">
            <v>VISITA INTEGRAL BET EL.pdf</v>
          </cell>
          <cell r="R298" t="str">
            <v>Se evidenciaron las actas de conformación de gobierno escolar, las cuales deberán cargarse en el SAE. Sobre el funcionamiento no hay evidencia de que hayan sesionado.</v>
          </cell>
          <cell r="S298" t="str">
            <v>Cargar las actas de conformación en el aplicativo SAE Sesionar con cada órgano de gobierno de conformidad con la periodicidad establecida en la norma</v>
          </cell>
          <cell r="T298" t="str">
            <v>Si</v>
          </cell>
          <cell r="U298" t="str">
            <v>Verificar el SAE  y verificar las actas que evidencien el funcionamiento de  los órganos de gobierno.</v>
          </cell>
        </row>
        <row r="299">
          <cell r="A299">
            <v>2220</v>
          </cell>
          <cell r="B299">
            <v>32</v>
          </cell>
          <cell r="C299" t="str">
            <v>SUBA</v>
          </cell>
          <cell r="D299" t="str">
            <v>PRIVADO</v>
          </cell>
          <cell r="E299" t="str">
            <v>EPBM</v>
          </cell>
          <cell r="F299" t="str">
            <v>LICEO_BET_EL</v>
          </cell>
          <cell r="G299" t="str">
            <v>LICEO BET-EL</v>
          </cell>
          <cell r="H299" t="str">
            <v>Autoevaluación Institucional y Pruebas SABER 11</v>
          </cell>
          <cell r="I299" t="str">
            <v>EVALUACIÓN_CON_FINES_DE_MEJORAMIENTO.</v>
          </cell>
          <cell r="J299" t="str">
            <v>Verificar las condiciones en cuanto a: la estructura administrativa, condiciones de la planta física y medios educativos adecuados.</v>
          </cell>
          <cell r="K299" t="str">
            <v>SANDRA OLINDA GONZÁLEZ REYES</v>
          </cell>
          <cell r="L299" t="str">
            <v>DANIEL ALEJANDRO GRANOBLES</v>
          </cell>
          <cell r="M299">
            <v>45790</v>
          </cell>
          <cell r="N299">
            <v>45807</v>
          </cell>
          <cell r="O299">
            <v>45807</v>
          </cell>
          <cell r="P299" t="str">
            <v>Visitas de evaluación con fines de mejoramiento</v>
          </cell>
          <cell r="Q299" t="str">
            <v>VISITA INTEGRAL BET EL.pdf</v>
          </cell>
          <cell r="R299" t="str">
            <v xml:space="preserve">Existen espacios para cada ambiente organizadosy limpios, unidades sanitarias suficientes, ascensor para discapacitados, uso exclusivo de parque aledaño, enfermeria con ducha </v>
          </cell>
          <cell r="S299" t="str">
            <v>Habilitar la ducha de la enfermeria</v>
          </cell>
          <cell r="T299" t="str">
            <v>Si</v>
          </cell>
          <cell r="U299" t="str">
            <v>Verificar mediante registro fotografico la ducha habilitada.</v>
          </cell>
        </row>
        <row r="300">
          <cell r="A300">
            <v>2221</v>
          </cell>
          <cell r="B300">
            <v>33</v>
          </cell>
          <cell r="C300" t="str">
            <v>SUBA</v>
          </cell>
          <cell r="D300" t="str">
            <v>PRIVADO</v>
          </cell>
          <cell r="E300" t="str">
            <v>EPBM</v>
          </cell>
          <cell r="F300" t="str">
            <v>INSTITUTO_TECNICO_COMERCIAL_CERROS_DE_SUBA</v>
          </cell>
          <cell r="G300" t="str">
            <v>INSTITUTO TECNICO COMERCIAL CERROS DE SUBA</v>
          </cell>
          <cell r="H300" t="str">
            <v>Autoevaluación Institucional y Pruebas SABER 11</v>
          </cell>
          <cell r="I300" t="str">
            <v>SEGUIMIENTO_Y_SUPERVISIÓN.</v>
          </cell>
          <cell r="J300" t="str">
            <v>Realizar visitas para verificar la información registrada sobre la autoevaluación institucional en el aplicativo EVI, a los establecimientos de educación formal no oficial.</v>
          </cell>
          <cell r="K300" t="str">
            <v>DANIEL ALEJANDRO GRANOBLES</v>
          </cell>
          <cell r="L300" t="str">
            <v>SANDRA OLINDA GONZÁLEZ REYES</v>
          </cell>
          <cell r="M300">
            <v>45797</v>
          </cell>
          <cell r="N300">
            <v>45818</v>
          </cell>
          <cell r="O300">
            <v>45818</v>
          </cell>
          <cell r="P300" t="str">
            <v>Visitas de evaluación con fines de seguimiento</v>
          </cell>
          <cell r="Q300" t="str">
            <v>ACTA VISITA INTEGRAL INST TEC COM CERROS DE SUBRA Jun10_2025.pdf</v>
          </cell>
          <cell r="R300" t="str">
            <v>Se evidencio que la instittución ha diligenciado el aplicativo EVI y cuenta con la resolución de Tarifas para 2025</v>
          </cell>
          <cell r="S300" t="str">
            <v>Continuar con el diligenciamiento  del aplicativo y la publicación de los documentos requeridos</v>
          </cell>
          <cell r="T300" t="str">
            <v>No</v>
          </cell>
          <cell r="U300" t="str">
            <v>Verificar el proceso de tarifas 2026</v>
          </cell>
        </row>
        <row r="301">
          <cell r="A301">
            <v>2222</v>
          </cell>
          <cell r="B301">
            <v>33</v>
          </cell>
          <cell r="C301" t="str">
            <v>SUBA</v>
          </cell>
          <cell r="D301" t="str">
            <v>PRIVADO</v>
          </cell>
          <cell r="E301" t="str">
            <v>EPBM</v>
          </cell>
          <cell r="F301" t="str">
            <v>INSTITUTO_TECNICO_COMERCIAL_CERROS_DE_SUBA</v>
          </cell>
          <cell r="G301" t="str">
            <v>INSTITUTO TECNICO COMERCIAL CERROS DE SUBA</v>
          </cell>
          <cell r="H301" t="str">
            <v>Autoevaluación Institucional y Pruebas SABER 11</v>
          </cell>
          <cell r="I301" t="str">
            <v>SEGUIMIENTO_Y_SUPERVISIÓN.</v>
          </cell>
          <cell r="J301" t="str">
            <v>Proponer estrategias en la formulación, verificar su elaboración y realizar seguimiento semestral al desarrollo de  las acciones establecidas en los planes de mejoramiento por pruebas SABER 11 de los establecimientos de educación formal.</v>
          </cell>
          <cell r="K301" t="str">
            <v>DANIEL ALEJANDRO GRANOBLES</v>
          </cell>
          <cell r="L301" t="str">
            <v>SANDRA OLINDA GONZÁLEZ REYES</v>
          </cell>
          <cell r="M301">
            <v>45797</v>
          </cell>
          <cell r="N301">
            <v>45818</v>
          </cell>
          <cell r="O301">
            <v>45818</v>
          </cell>
          <cell r="P301" t="str">
            <v>Visitas de evaluación con fines de seguimiento</v>
          </cell>
          <cell r="Q301" t="str">
            <v>ACTA VISITA INTEGRAL INST TEC COM CERROS DE SUBRA Jun10_2025.pdf</v>
          </cell>
          <cell r="R301" t="str">
            <v>Se encuentra clasificado en B en las pruebas ICFES, resultado que se revisó con los docentes,el cual presentan un diagnostico que han impactado estos resulatdos y han considerado: El impacto del aprendizaje en Pandemia, e interes de los estudiantes y la variedad de practicas docentes en la realización en este tipo de pruebas</v>
          </cell>
          <cell r="S301" t="str">
            <v>Realizar seguimiento a los resultados en las araes de matematicas, lenguaje , idioma extranjero para fortalecer estas areas desde el curriculo, entrenamiento a docentes en la preparación de preguntas en este tipo de estilo, fortalecer los procesos lectores, comprensión y logica matematica</v>
          </cell>
          <cell r="T301" t="str">
            <v>No</v>
          </cell>
          <cell r="U301" t="str">
            <v xml:space="preserve">Continuar con revisión de los resultados y valorara las estrategias </v>
          </cell>
        </row>
        <row r="302">
          <cell r="A302">
            <v>2223</v>
          </cell>
          <cell r="B302">
            <v>33</v>
          </cell>
          <cell r="C302" t="str">
            <v>SUBA</v>
          </cell>
          <cell r="D302" t="str">
            <v>PRIVADO</v>
          </cell>
          <cell r="E302" t="str">
            <v>EPBM</v>
          </cell>
          <cell r="F302" t="str">
            <v>INSTITUTO_TECNICO_COMERCIAL_CERROS_DE_SUBA</v>
          </cell>
          <cell r="G302" t="str">
            <v>INSTITUTO TECNICO COMERCIAL CERROS DE SUBA</v>
          </cell>
          <cell r="H302" t="str">
            <v>Autoevaluación Institucional y Pruebas SABER 11</v>
          </cell>
          <cell r="I302" t="str">
            <v>SEGUIMIENTO_Y_SUPERVISIÓN.</v>
          </cell>
          <cell r="J302" t="str">
            <v xml:space="preserve">Verificar la implementación por parte de los colegios, de acciones realizadas para la prevención y atención de las situaciones de convivencia en el entorno escolar, según lo establecido en la Directiva 01 de 2022 del MEN. </v>
          </cell>
          <cell r="K302" t="str">
            <v>DANIEL ALEJANDRO GRANOBLES</v>
          </cell>
          <cell r="L302" t="str">
            <v>SANDRA OLINDA GONZÁLEZ REYES</v>
          </cell>
          <cell r="M302">
            <v>45797</v>
          </cell>
          <cell r="N302">
            <v>45818</v>
          </cell>
          <cell r="O302">
            <v>45818</v>
          </cell>
          <cell r="P302" t="str">
            <v>Visitas de evaluación con fines de seguimiento</v>
          </cell>
          <cell r="Q302" t="str">
            <v>ACTA VISITA INTEGRAL INST TEC COM CERROS DE SUBRA Jun10_2025.pdf</v>
          </cell>
          <cell r="R302" t="str">
            <v xml:space="preserve">Se verificó las consulta en la página de la policia de los antecedentes de delitos sexuales ubicadas en las hojas de vida de los empleados de conformidad a la directiva  001 del 2022, </v>
          </cell>
          <cell r="S302" t="str">
            <v>Mantener en la carpeta de cada docente y administrativo la  consulta de la página de la Policia cada cuatro meses</v>
          </cell>
          <cell r="T302" t="str">
            <v>No</v>
          </cell>
          <cell r="U302" t="str">
            <v xml:space="preserve">Continuar con la verificación de antecedentes </v>
          </cell>
        </row>
        <row r="303">
          <cell r="A303">
            <v>2224</v>
          </cell>
          <cell r="B303">
            <v>33</v>
          </cell>
          <cell r="C303" t="str">
            <v>SUBA</v>
          </cell>
          <cell r="D303" t="str">
            <v>PRIVADO</v>
          </cell>
          <cell r="E303" t="str">
            <v>EPBM</v>
          </cell>
          <cell r="F303" t="str">
            <v>INSTITUTO_TECNICO_COMERCIAL_CERROS_DE_SUBA</v>
          </cell>
          <cell r="G303" t="str">
            <v>INSTITUTO TECNICO COMERCIAL CERROS DE SUBA</v>
          </cell>
          <cell r="H303" t="str">
            <v>Autoevaluación Institucional y Pruebas SABER 11</v>
          </cell>
          <cell r="I303" t="str">
            <v>SEGUIMIENTO_Y_SUPERVISIÓN.</v>
          </cell>
          <cell r="J30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03" t="str">
            <v>DANIEL ALEJANDRO GRANOBLES</v>
          </cell>
          <cell r="L303" t="str">
            <v>SANDRA OLINDA GONZÁLEZ REYES</v>
          </cell>
          <cell r="M303">
            <v>45797</v>
          </cell>
          <cell r="N303">
            <v>45818</v>
          </cell>
          <cell r="O303">
            <v>45818</v>
          </cell>
          <cell r="P303" t="str">
            <v>Visitas de evaluación con fines de seguimiento</v>
          </cell>
          <cell r="Q303" t="str">
            <v>ACTA VISITA INTEGRAL INST TEC COM CERROS DE SUBRA Jun10_2025.pdf</v>
          </cell>
          <cell r="R303" t="str">
            <v>Se encuentran 11 estudiantes identificados como población de inclusión, 7 de ellos estan registrados en el SIMAT, cada uno cuenta con el PIAR</v>
          </cell>
          <cell r="S303" t="str">
            <v xml:space="preserve">
Realizar la actualización del SIMAT, con la población de inclusión </v>
          </cell>
          <cell r="T303" t="str">
            <v>Si</v>
          </cell>
          <cell r="U303" t="str">
            <v>Revisar el reporte SIMAT y los PIAR de los estudiantes reportados</v>
          </cell>
        </row>
        <row r="304">
          <cell r="A304">
            <v>2225</v>
          </cell>
          <cell r="B304">
            <v>33</v>
          </cell>
          <cell r="C304" t="str">
            <v>SUBA</v>
          </cell>
          <cell r="D304" t="str">
            <v>PRIVADO</v>
          </cell>
          <cell r="E304" t="str">
            <v>EPBM</v>
          </cell>
          <cell r="F304" t="str">
            <v>INSTITUTO_TECNICO_COMERCIAL_CERROS_DE_SUBA</v>
          </cell>
          <cell r="G304" t="str">
            <v>INSTITUTO TECNICO COMERCIAL CERROS DE SUBA</v>
          </cell>
          <cell r="H304" t="str">
            <v>Autoevaluación Institucional y Pruebas SABER 11</v>
          </cell>
          <cell r="I304" t="str">
            <v>EVALUACIÓN_CON_FINES_DE_MEJORAMIENTO.</v>
          </cell>
          <cell r="J30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4" t="str">
            <v>DANIEL ALEJANDRO GRANOBLES</v>
          </cell>
          <cell r="L304" t="str">
            <v>SANDRA OLINDA GONZÁLEZ REYES</v>
          </cell>
          <cell r="M304">
            <v>45797</v>
          </cell>
          <cell r="N304">
            <v>45818</v>
          </cell>
          <cell r="O304">
            <v>45818</v>
          </cell>
          <cell r="P304" t="str">
            <v>Visitas de evaluación con fines de mejoramiento</v>
          </cell>
          <cell r="Q304" t="str">
            <v>ACTA VISITA INTEGRAL INST TEC COM CERROS DE SUBRA Jun10_2025.pdf</v>
          </cell>
          <cell r="R304" t="str">
            <v>La institucion cuenta con el Manual de Convivencia, aprobado y adoptado por la ciomunidad educativa, incluye los procedimientos para la activación de la ruta integral  y el debido proceso</v>
          </cell>
          <cell r="S304" t="str">
            <v>Actualizar el manual de convivencia entregarlo para revisión.</v>
          </cell>
          <cell r="T304" t="str">
            <v>Si</v>
          </cell>
          <cell r="U304" t="str">
            <v>Revisión del manual de convivencia y entrega de las observaciones realizadas.</v>
          </cell>
        </row>
        <row r="305">
          <cell r="A305">
            <v>2226</v>
          </cell>
          <cell r="B305">
            <v>33</v>
          </cell>
          <cell r="C305" t="str">
            <v>SUBA</v>
          </cell>
          <cell r="D305" t="str">
            <v>PRIVADO</v>
          </cell>
          <cell r="E305" t="str">
            <v>EPBM</v>
          </cell>
          <cell r="F305" t="str">
            <v>INSTITUTO_TECNICO_COMERCIAL_CERROS_DE_SUBA</v>
          </cell>
          <cell r="G305" t="str">
            <v>INSTITUTO TECNICO COMERCIAL CERROS DE SUBA</v>
          </cell>
          <cell r="H305" t="str">
            <v>Autoevaluación Institucional y Pruebas SABER 11</v>
          </cell>
          <cell r="I305" t="str">
            <v>EVALUACIÓN_CON_FINES_DE_MEJORAMIENTO.</v>
          </cell>
          <cell r="J305" t="str">
            <v>Revisar la actualización, socialización e implementación del Sistema Institucional de Evaluación de Estudiantes - SIEE, en articulación con la actualización del PEI y la normatividad vigente.</v>
          </cell>
          <cell r="K305" t="str">
            <v>DANIEL ALEJANDRO GRANOBLES</v>
          </cell>
          <cell r="L305" t="str">
            <v>SANDRA OLINDA GONZÁLEZ REYES</v>
          </cell>
          <cell r="M305">
            <v>45797</v>
          </cell>
          <cell r="N305">
            <v>45818</v>
          </cell>
          <cell r="O305">
            <v>45818</v>
          </cell>
          <cell r="P305" t="str">
            <v>Visitas de evaluación con fines de mejoramiento</v>
          </cell>
          <cell r="Q305" t="str">
            <v>ACTA VISITA INTEGRAL INST TEC COM CERROS DE SUBRA Jun10_2025.pdf</v>
          </cell>
          <cell r="R305" t="str">
            <v>La institución cuenta con el SIEE adoptado por el Consejo Directivos, es preciso revisar la evaluación en el nivel de preescolar, el nombramiento de las areas fundamentales en los certificados expedidos en los niveles de educación básica secundaria y media, asicomo el enfasis y su certificación.</v>
          </cell>
          <cell r="S305" t="str">
            <v>Ajustar el SIEE para los grados de preescolar y sobre el enfasis en Gestión Empresarial</v>
          </cell>
          <cell r="T305" t="str">
            <v>Si</v>
          </cell>
          <cell r="U305" t="str">
            <v>La institución allegara la correción de los certificados expedidos para el nivel de educación basíca y media ; se organizará la mesa de trabajo con los directivos y su equipo para el proceso de profundaización.</v>
          </cell>
        </row>
        <row r="306">
          <cell r="A306">
            <v>2227</v>
          </cell>
          <cell r="B306">
            <v>33</v>
          </cell>
          <cell r="C306" t="str">
            <v>SUBA</v>
          </cell>
          <cell r="D306" t="str">
            <v>PRIVADO</v>
          </cell>
          <cell r="E306" t="str">
            <v>EPBM</v>
          </cell>
          <cell r="F306" t="str">
            <v>INSTITUTO_TECNICO_COMERCIAL_CERROS_DE_SUBA</v>
          </cell>
          <cell r="G306" t="str">
            <v>INSTITUTO TECNICO COMERCIAL CERROS DE SUBA</v>
          </cell>
          <cell r="H306" t="str">
            <v>Autoevaluación Institucional y Pruebas SABER 11</v>
          </cell>
          <cell r="I306" t="str">
            <v>EVALUACIÓN_CON_FINES_DE_MEJORAMIENTO.</v>
          </cell>
          <cell r="J306" t="str">
            <v>Revisar el calendario escolar, jornada escolar, la intensidad horaria mínima anual en cada nivel y las modificaciones que se realicen al mismo, de acuerdo con lo previsto en la normatividad vigente.</v>
          </cell>
          <cell r="K306" t="str">
            <v>DANIEL ALEJANDRO GRANOBLES</v>
          </cell>
          <cell r="L306" t="str">
            <v>SANDRA OLINDA GONZÁLEZ REYES</v>
          </cell>
          <cell r="M306">
            <v>45797</v>
          </cell>
          <cell r="N306">
            <v>45818</v>
          </cell>
          <cell r="O306">
            <v>45818</v>
          </cell>
          <cell r="P306" t="str">
            <v>Visitas de evaluación con fines de mejoramiento</v>
          </cell>
          <cell r="Q306" t="str">
            <v>ACTA VISITA INTEGRAL INST TEC COM CERROS DE SUBRA Jun10_2025.pdf</v>
          </cell>
          <cell r="R306" t="str">
            <v>La intensidad horaria y las horas mínimas anuales de cada ciclo se ajustan para preescolar, básica y media</v>
          </cell>
          <cell r="S306" t="str">
            <v>Mantener las actividades en el calendario académico</v>
          </cell>
          <cell r="T306" t="str">
            <v>No</v>
          </cell>
          <cell r="U306" t="str">
            <v>Cumplie con el calendario académico.</v>
          </cell>
        </row>
        <row r="307">
          <cell r="A307">
            <v>2228</v>
          </cell>
          <cell r="B307">
            <v>33</v>
          </cell>
          <cell r="C307" t="str">
            <v>SUBA</v>
          </cell>
          <cell r="D307" t="str">
            <v>PRIVADO</v>
          </cell>
          <cell r="E307" t="str">
            <v>EPBM</v>
          </cell>
          <cell r="F307" t="str">
            <v>INSTITUTO_TECNICO_COMERCIAL_CERROS_DE_SUBA</v>
          </cell>
          <cell r="G307" t="str">
            <v>INSTITUTO TECNICO COMERCIAL CERROS DE SUBA</v>
          </cell>
          <cell r="H307" t="str">
            <v>Autoevaluación Institucional y Pruebas SABER 11</v>
          </cell>
          <cell r="I307" t="str">
            <v>EVALUACIÓN_CON_FINES_DE_MEJORAMIENTO.</v>
          </cell>
          <cell r="J307" t="str">
            <v>Verificar el funcionamiento del Gobierno Escolar e instancias de participación con base en la información sobre conformación reportada por la institución educativa.</v>
          </cell>
          <cell r="K307" t="str">
            <v>DANIEL ALEJANDRO GRANOBLES</v>
          </cell>
          <cell r="L307" t="str">
            <v>SANDRA OLINDA GONZÁLEZ REYES</v>
          </cell>
          <cell r="M307">
            <v>45797</v>
          </cell>
          <cell r="N307">
            <v>45818</v>
          </cell>
          <cell r="O307">
            <v>45818</v>
          </cell>
          <cell r="P307" t="str">
            <v>Visitas de evaluación con fines de mejoramiento</v>
          </cell>
          <cell r="Q307" t="str">
            <v>ACTA VISITA INTEGRAL INST TEC COM CERROS DE SUBRA Jun10_2025.pdf</v>
          </cell>
          <cell r="R307" t="str">
            <v>Se evidenciaron las actas de conformación de gobierno escolar, las cuales estn cargadas en el SAE. Cada órgano sesiona, presentan actas .</v>
          </cell>
          <cell r="S307" t="str">
            <v>Continuar sesionando cada órgano de gobierno realizando los aportes correpondientes</v>
          </cell>
          <cell r="T307" t="str">
            <v>No</v>
          </cell>
          <cell r="U307" t="str">
            <v>Cumplir con las sesiones de acuerdo a la normtividad y a las situaciones presentadas en la institución educativa.</v>
          </cell>
        </row>
        <row r="308">
          <cell r="A308">
            <v>2229</v>
          </cell>
          <cell r="B308">
            <v>33</v>
          </cell>
          <cell r="C308" t="str">
            <v>SUBA</v>
          </cell>
          <cell r="D308" t="str">
            <v>PRIVADO</v>
          </cell>
          <cell r="E308" t="str">
            <v>EPBM</v>
          </cell>
          <cell r="F308" t="str">
            <v>INSTITUTO_TECNICO_COMERCIAL_CERROS_DE_SUBA</v>
          </cell>
          <cell r="G308" t="str">
            <v>INSTITUTO TECNICO COMERCIAL CERROS DE SUBA</v>
          </cell>
          <cell r="H308" t="str">
            <v>Autoevaluación Institucional y Pruebas SABER 11</v>
          </cell>
          <cell r="I308" t="str">
            <v>EVALUACIÓN_CON_FINES_DE_MEJORAMIENTO.</v>
          </cell>
          <cell r="J308" t="str">
            <v>Verificar las condiciones en cuanto a: la estructura administrativa, condiciones de la planta física y medios educativos adecuados.</v>
          </cell>
          <cell r="K308" t="str">
            <v>DANIEL ALEJANDRO GRANOBLES</v>
          </cell>
          <cell r="L308" t="str">
            <v>SANDRA OLINDA GONZÁLEZ REYES</v>
          </cell>
          <cell r="M308">
            <v>45797</v>
          </cell>
          <cell r="N308">
            <v>45818</v>
          </cell>
          <cell r="O308">
            <v>45818</v>
          </cell>
          <cell r="P308" t="str">
            <v>Visitas de evaluación con fines de mejoramiento</v>
          </cell>
          <cell r="Q308" t="str">
            <v>ACTA VISITA INTEGRAL INST TEC COM CERROS DE SUBRA Jun10_2025.pdf</v>
          </cell>
          <cell r="R308" t="str">
            <v>Existen espacios para cada ambiente,  unidades sanitarias suficientes,enfermeria, espacios que requieren reorganización  y reubicación y documentos para incluir las dos direcciones pendientes .</v>
          </cell>
          <cell r="S308" t="str">
            <v xml:space="preserve">Verificar las licencias  y direcciones de los predios, asi como la vista realizada donde se legalizó la institución </v>
          </cell>
          <cell r="T308" t="str">
            <v>Si</v>
          </cell>
          <cell r="U308" t="str">
            <v>registro fotografico.</v>
          </cell>
        </row>
        <row r="309">
          <cell r="A309">
            <v>2230</v>
          </cell>
          <cell r="B309">
            <v>34</v>
          </cell>
          <cell r="C309" t="str">
            <v>SUBA</v>
          </cell>
          <cell r="D309" t="str">
            <v>PRIVADO</v>
          </cell>
          <cell r="E309" t="str">
            <v>EPBM</v>
          </cell>
          <cell r="F309" t="str">
            <v>LICEO_GLOBERTH_MIXTO</v>
          </cell>
          <cell r="G309" t="str">
            <v>LICEO GLOBERTH MIXTO</v>
          </cell>
          <cell r="H309" t="str">
            <v>Autoevaluación Institucional y Pruebas SABER 11</v>
          </cell>
          <cell r="I309" t="str">
            <v>SEGUIMIENTO_Y_SUPERVISIÓN.</v>
          </cell>
          <cell r="J309" t="str">
            <v>Realizar visitas para verificar la información registrada sobre la autoevaluación institucional en el aplicativo EVI, a los establecimientos de educación formal no oficial.</v>
          </cell>
          <cell r="K309" t="str">
            <v>SONIA CONSTANZA URREGO GONZÁLEZ</v>
          </cell>
          <cell r="L309" t="str">
            <v>ALBA DEL PILAR CUBIDES CÁCERES</v>
          </cell>
          <cell r="M309">
            <v>45785</v>
          </cell>
          <cell r="N309">
            <v>45874</v>
          </cell>
          <cell r="O309">
            <v>45874</v>
          </cell>
          <cell r="P309" t="str">
            <v>Visitas de evaluación con fines de seguimiento</v>
          </cell>
          <cell r="Q309" t="str">
            <v>VISITA CON FINES DE MEJORAMIENTO LICEO GLOBERTH MIXTO.pdf</v>
          </cell>
          <cell r="R309" t="str">
            <v>Al momento de la visita se evidencia la congruencia entre lo consignado en el aplicativo EVI con la realidad institucional.</v>
          </cell>
          <cell r="S309" t="str">
            <v>Realizar la autoevaliación institucional 2025 con los mismos criterios de pertinenecia</v>
          </cell>
          <cell r="T309" t="str">
            <v>No</v>
          </cell>
          <cell r="U309" t="str">
            <v>Verificar la autoevaluación institucional en el procedimiento de autorización de tarifas educativas 2026</v>
          </cell>
        </row>
        <row r="310">
          <cell r="A310">
            <v>2231</v>
          </cell>
          <cell r="B310">
            <v>34</v>
          </cell>
          <cell r="C310" t="str">
            <v>SUBA</v>
          </cell>
          <cell r="D310" t="str">
            <v>PRIVADO</v>
          </cell>
          <cell r="E310" t="str">
            <v>EPBM</v>
          </cell>
          <cell r="F310" t="str">
            <v>LICEO_GLOBERTH_MIXTO</v>
          </cell>
          <cell r="G310" t="str">
            <v>LICEO GLOBERTH MIXTO</v>
          </cell>
          <cell r="H310" t="str">
            <v>Autoevaluación Institucional y Pruebas SABER 11</v>
          </cell>
          <cell r="I310" t="str">
            <v>SEGUIMIENTO_Y_SUPERVISIÓN.</v>
          </cell>
          <cell r="J310" t="str">
            <v>Proponer estrategias en la formulación, verificar su elaboración y realizar seguimiento semestral al desarrollo de  las acciones establecidas en los planes de mejoramiento por pruebas SABER 11 de los establecimientos de educación formal.</v>
          </cell>
          <cell r="K310" t="str">
            <v>SONIA CONSTANZA URREGO GONZÁLEZ</v>
          </cell>
          <cell r="L310" t="str">
            <v>ALBA DEL PILAR CUBIDES CÁCERES</v>
          </cell>
          <cell r="M310">
            <v>45785</v>
          </cell>
          <cell r="N310">
            <v>45874</v>
          </cell>
          <cell r="O310">
            <v>45874</v>
          </cell>
          <cell r="P310" t="str">
            <v>Visitas de evaluación con fines de seguimiento</v>
          </cell>
          <cell r="Q310" t="str">
            <v>VISITA CON FINES DE MEJORAMIENTO LICEO GLOBERTH MIXTO.pdf</v>
          </cell>
          <cell r="R310" t="str">
            <v>La institución educativa se encuentra clasificada en nivel A. Se realiza análisis de los resultados año a año,para encontrar las áreas que tienen falencias y asi, creae estrtegias para subir el nivel en las pruebas.</v>
          </cell>
          <cell r="S310" t="str">
            <v xml:space="preserve">Revisar los resultados obtenidos y la relación con las asignaturas del plan de estudios. Elaborar un plan de mejoramiento sobre las acciones a tomar. </v>
          </cell>
          <cell r="T310" t="str">
            <v>Si</v>
          </cell>
          <cell r="U310" t="str">
            <v>Verificar el cumplimiento a las acciones proyectadas por la institución en el PMI.</v>
          </cell>
        </row>
        <row r="311">
          <cell r="A311">
            <v>2232</v>
          </cell>
          <cell r="B311">
            <v>34</v>
          </cell>
          <cell r="C311" t="str">
            <v>SUBA</v>
          </cell>
          <cell r="D311" t="str">
            <v>PRIVADO</v>
          </cell>
          <cell r="E311" t="str">
            <v>EPBM</v>
          </cell>
          <cell r="F311" t="str">
            <v>LICEO_GLOBERTH_MIXTO</v>
          </cell>
          <cell r="G311" t="str">
            <v>LICEO GLOBERTH MIXTO</v>
          </cell>
          <cell r="H311" t="str">
            <v>Autoevaluación Institucional y Pruebas SABER 11</v>
          </cell>
          <cell r="I311" t="str">
            <v>SEGUIMIENTO_Y_SUPERVISIÓN.</v>
          </cell>
          <cell r="J311" t="str">
            <v xml:space="preserve">Verificar la implementación por parte de los colegios, de acciones realizadas para la prevención y atención de las situaciones de convivencia en el entorno escolar, según lo establecido en la Directiva 01 de 2022 del MEN. </v>
          </cell>
          <cell r="K311" t="str">
            <v>SONIA CONSTANZA URREGO GONZÁLEZ</v>
          </cell>
          <cell r="L311" t="str">
            <v>ALBA DEL PILAR CUBIDES CÁCERES</v>
          </cell>
          <cell r="M311">
            <v>45785</v>
          </cell>
          <cell r="N311">
            <v>45874</v>
          </cell>
          <cell r="O311">
            <v>45874</v>
          </cell>
          <cell r="P311" t="str">
            <v>Visitas de evaluación con fines de seguimiento</v>
          </cell>
          <cell r="Q311" t="str">
            <v>VISITA CON FINES DE MEJORAMIENTO LICEO GLOBERTH MIXTO.pdf</v>
          </cell>
          <cell r="R311" t="str">
            <v>No se verifican a través de consulta cada 4 meses, las inhabliddes por delitos sexuales de los trabajadores.</v>
          </cell>
          <cell r="S311" t="str">
            <v xml:space="preserve">Realizar la consulta cada 4 meses, dejando el respectivo soporte, en cumplimiento de la Directiva 01 de 2022  </v>
          </cell>
          <cell r="T311" t="str">
            <v>Si</v>
          </cell>
          <cell r="U311" t="str">
            <v xml:space="preserve">Verificar la consulta periodica de acuerdo con lo establecido en la directiva 01 del 2022. </v>
          </cell>
        </row>
        <row r="312">
          <cell r="A312">
            <v>2233</v>
          </cell>
          <cell r="B312">
            <v>34</v>
          </cell>
          <cell r="C312" t="str">
            <v>SUBA</v>
          </cell>
          <cell r="D312" t="str">
            <v>PRIVADO</v>
          </cell>
          <cell r="E312" t="str">
            <v>EPBM</v>
          </cell>
          <cell r="F312" t="str">
            <v>LICEO_GLOBERTH_MIXTO</v>
          </cell>
          <cell r="G312" t="str">
            <v>LICEO GLOBERTH MIXTO</v>
          </cell>
          <cell r="H312" t="str">
            <v>Autoevaluación Institucional y Pruebas SABER 11</v>
          </cell>
          <cell r="I312" t="str">
            <v>SEGUIMIENTO_Y_SUPERVISIÓN.</v>
          </cell>
          <cell r="J31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12" t="str">
            <v>SONIA CONSTANZA URREGO GONZÁLEZ</v>
          </cell>
          <cell r="L312" t="str">
            <v>ALBA DEL PILAR CUBIDES CÁCERES</v>
          </cell>
          <cell r="M312">
            <v>45785</v>
          </cell>
          <cell r="N312">
            <v>45874</v>
          </cell>
          <cell r="O312">
            <v>45874</v>
          </cell>
          <cell r="P312" t="str">
            <v>Visitas de evaluación con fines de seguimiento</v>
          </cell>
          <cell r="Q312" t="str">
            <v>VISITA CON FINES DE MEJORAMIENTO LICEO GLOBERTH MIXTO.pdf</v>
          </cell>
          <cell r="R312" t="str">
            <v>Se evidenció la existencia de un PIAR para  los estudiantes que lo requieren, seguimiento y ajustes. Sin embargo, en algunos casos, se presentan inconvenientes de corresponsabilidad por parte de los padres.</v>
          </cell>
          <cell r="S312" t="str">
            <v>Continuar con los proceso de inclusión, haciendo estricto seguimiento sobre la corresponsabilidad de lospadres en los procesos de sus hijos.</v>
          </cell>
          <cell r="T312" t="str">
            <v>No</v>
          </cell>
          <cell r="U312" t="str">
            <v>Verificar nuevamente los procesos de inclusión en caso de presentarse queja.</v>
          </cell>
        </row>
        <row r="313">
          <cell r="A313">
            <v>2234</v>
          </cell>
          <cell r="B313">
            <v>34</v>
          </cell>
          <cell r="C313" t="str">
            <v>SUBA</v>
          </cell>
          <cell r="D313" t="str">
            <v>PRIVADO</v>
          </cell>
          <cell r="E313" t="str">
            <v>EPBM</v>
          </cell>
          <cell r="F313" t="str">
            <v>LICEO_GLOBERTH_MIXTO</v>
          </cell>
          <cell r="G313" t="str">
            <v>LICEO GLOBERTH MIXTO</v>
          </cell>
          <cell r="H313" t="str">
            <v>Autoevaluación Institucional y Pruebas SABER 11</v>
          </cell>
          <cell r="I313" t="str">
            <v>EVALUACIÓN_CON_FINES_DE_MEJORAMIENTO.</v>
          </cell>
          <cell r="J31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13" t="str">
            <v>SONIA CONSTANZA URREGO GONZÁLEZ</v>
          </cell>
          <cell r="L313" t="str">
            <v>ALBA DEL PILAR CUBIDES CÁCERES</v>
          </cell>
          <cell r="M313">
            <v>45785</v>
          </cell>
          <cell r="N313">
            <v>45874</v>
          </cell>
          <cell r="O313">
            <v>45874</v>
          </cell>
          <cell r="P313" t="str">
            <v>Visitas de evaluación con fines de mejoramiento</v>
          </cell>
          <cell r="Q313" t="str">
            <v>VISITA CON FINES DE MEJORAMIENTO LICEO GLOBERTH MIXTO.pdf</v>
          </cell>
          <cell r="R313" t="str">
            <v xml:space="preserve">Se encontró que el manual está incompleto, faltan temas que debe ser abordados. </v>
          </cell>
          <cell r="S313" t="str">
            <v>Incluir en el manual las temáticas faltantes y realizar los ajustes al mismo, de acuerdo a las orientaciones dadas por parte del ELIV</v>
          </cell>
          <cell r="T313" t="str">
            <v>Si</v>
          </cell>
          <cell r="U313" t="str">
            <v>Verificar los ajustes realizados al Manual, acorde a las observaciones realizadas por parte del ELIV.</v>
          </cell>
        </row>
        <row r="314">
          <cell r="A314">
            <v>2235</v>
          </cell>
          <cell r="B314">
            <v>34</v>
          </cell>
          <cell r="C314" t="str">
            <v>SUBA</v>
          </cell>
          <cell r="D314" t="str">
            <v>PRIVADO</v>
          </cell>
          <cell r="E314" t="str">
            <v>EPBM</v>
          </cell>
          <cell r="F314" t="str">
            <v>LICEO_GLOBERTH_MIXTO</v>
          </cell>
          <cell r="G314" t="str">
            <v>LICEO GLOBERTH MIXTO</v>
          </cell>
          <cell r="H314" t="str">
            <v>Autoevaluación Institucional y Pruebas SABER 11</v>
          </cell>
          <cell r="I314" t="str">
            <v>EVALUACIÓN_CON_FINES_DE_MEJORAMIENTO.</v>
          </cell>
          <cell r="J314" t="str">
            <v>Revisar la actualización, socialización e implementación del Sistema Institucional de Evaluación de Estudiantes - SIEE, en articulación con la actualización del PEI y la normatividad vigente.</v>
          </cell>
          <cell r="K314" t="str">
            <v>SONIA CONSTANZA URREGO GONZÁLEZ</v>
          </cell>
          <cell r="L314" t="str">
            <v>ALBA DEL PILAR CUBIDES CÁCERES</v>
          </cell>
          <cell r="M314">
            <v>45785</v>
          </cell>
          <cell r="N314">
            <v>45874</v>
          </cell>
          <cell r="O314">
            <v>45874</v>
          </cell>
          <cell r="P314" t="str">
            <v>Visitas de evaluación con fines de mejoramiento</v>
          </cell>
          <cell r="Q314" t="str">
            <v>VISITA CON FINES DE MEJORAMIENTO LICEO GLOBERTH MIXTO.pdf</v>
          </cell>
          <cell r="R314" t="str">
            <v>Revisado el SIEE cuenta con los criterios de evaluación y promoción y  escala valorativa.</v>
          </cell>
          <cell r="S314" t="str">
            <v xml:space="preserve">Hacer seguimiento constante para determinar la necesidad de actualizar el SIEE. </v>
          </cell>
          <cell r="T314" t="str">
            <v>No</v>
          </cell>
          <cell r="U314" t="str">
            <v>Revisar nuevamente el SIEE en caso de presentarse queja.</v>
          </cell>
        </row>
        <row r="315">
          <cell r="A315">
            <v>2236</v>
          </cell>
          <cell r="B315">
            <v>34</v>
          </cell>
          <cell r="C315" t="str">
            <v>SUBA</v>
          </cell>
          <cell r="D315" t="str">
            <v>PRIVADO</v>
          </cell>
          <cell r="E315" t="str">
            <v>EPBM</v>
          </cell>
          <cell r="F315" t="str">
            <v>LICEO_GLOBERTH_MIXTO</v>
          </cell>
          <cell r="G315" t="str">
            <v>LICEO GLOBERTH MIXTO</v>
          </cell>
          <cell r="H315" t="str">
            <v>Autoevaluación Institucional y Pruebas SABER 11</v>
          </cell>
          <cell r="I315" t="str">
            <v>EVALUACIÓN_CON_FINES_DE_MEJORAMIENTO.</v>
          </cell>
          <cell r="J315" t="str">
            <v>Revisar el calendario escolar, jornada escolar, la intensidad horaria mínima anual en cada nivel y las modificaciones que se realicen al mismo, de acuerdo con lo previsto en la normatividad vigente.</v>
          </cell>
          <cell r="K315" t="str">
            <v>SONIA CONSTANZA URREGO GONZÁLEZ</v>
          </cell>
          <cell r="L315" t="str">
            <v>ALBA DEL PILAR CUBIDES CÁCERES</v>
          </cell>
          <cell r="M315">
            <v>45785</v>
          </cell>
          <cell r="N315">
            <v>45874</v>
          </cell>
          <cell r="O315">
            <v>45874</v>
          </cell>
          <cell r="P315" t="str">
            <v>Visitas de evaluación con fines de mejoramiento</v>
          </cell>
          <cell r="Q315" t="str">
            <v>VISITA CON FINES DE MEJORAMIENTO LICEO GLOBERTH MIXTO.pdf</v>
          </cell>
          <cell r="R315" t="str">
            <v>Cumple con el número de semanas y horas por cada nivel y realizó reporte de información del calendario escolar.</v>
          </cell>
          <cell r="S315" t="str">
            <v xml:space="preserve">Continuar con el cumplimiento del calendario.  </v>
          </cell>
          <cell r="T315" t="str">
            <v>No</v>
          </cell>
          <cell r="U315" t="str">
            <v>Revisar nuevamente el calendario escolar en caso que se presente queja.</v>
          </cell>
        </row>
        <row r="316">
          <cell r="A316">
            <v>2237</v>
          </cell>
          <cell r="B316">
            <v>34</v>
          </cell>
          <cell r="C316" t="str">
            <v>SUBA</v>
          </cell>
          <cell r="D316" t="str">
            <v>PRIVADO</v>
          </cell>
          <cell r="E316" t="str">
            <v>EPBM</v>
          </cell>
          <cell r="F316" t="str">
            <v>LICEO_GLOBERTH_MIXTO</v>
          </cell>
          <cell r="G316" t="str">
            <v>LICEO GLOBERTH MIXTO</v>
          </cell>
          <cell r="H316" t="str">
            <v>Autoevaluación Institucional y Pruebas SABER 11</v>
          </cell>
          <cell r="I316" t="str">
            <v>EVALUACIÓN_CON_FINES_DE_MEJORAMIENTO.</v>
          </cell>
          <cell r="J316" t="str">
            <v>Verificar el funcionamiento del Gobierno Escolar e instancias de participación con base en la información sobre conformación reportada por la institución educativa.</v>
          </cell>
          <cell r="K316" t="str">
            <v>SONIA CONSTANZA URREGO GONZÁLEZ</v>
          </cell>
          <cell r="L316" t="str">
            <v>ALBA DEL PILAR CUBIDES CÁCERES</v>
          </cell>
          <cell r="M316">
            <v>45785</v>
          </cell>
          <cell r="N316">
            <v>45874</v>
          </cell>
          <cell r="O316">
            <v>45874</v>
          </cell>
          <cell r="P316" t="str">
            <v>Visitas de evaluación con fines de mejoramiento</v>
          </cell>
          <cell r="Q316" t="str">
            <v>VISITA CON FINES DE MEJORAMIENTO LICEO GLOBERTH MIXTO.pdf</v>
          </cell>
          <cell r="R316" t="str">
            <v>Se conformó el Gobierno Escolar y fue reportado en el aplicativo SAE. Se evidencian actas de reunión de los órganos de Gobierno.</v>
          </cell>
          <cell r="S316" t="str">
            <v xml:space="preserve">Realizar las reuniones de acuerdo a su reglamento, de cada uno de los órganos de Gobierno Escolar. </v>
          </cell>
          <cell r="T316" t="str">
            <v>No</v>
          </cell>
          <cell r="U316" t="str">
            <v>Verificar el funcionamiento del Gobierno Escolar a través de la revisión de actas de sus reuniones.</v>
          </cell>
        </row>
        <row r="317">
          <cell r="A317">
            <v>2238</v>
          </cell>
          <cell r="B317">
            <v>34</v>
          </cell>
          <cell r="C317" t="str">
            <v>SUBA</v>
          </cell>
          <cell r="D317" t="str">
            <v>PRIVADO</v>
          </cell>
          <cell r="E317" t="str">
            <v>EPBM</v>
          </cell>
          <cell r="F317" t="str">
            <v>LICEO_GLOBERTH_MIXTO</v>
          </cell>
          <cell r="G317" t="str">
            <v>LICEO GLOBERTH MIXTO</v>
          </cell>
          <cell r="H317" t="str">
            <v>Autoevaluación Institucional y Pruebas SABER 11</v>
          </cell>
          <cell r="I317" t="str">
            <v>EVALUACIÓN_CON_FINES_DE_MEJORAMIENTO.</v>
          </cell>
          <cell r="J317" t="str">
            <v>Verificar las condiciones en cuanto a: la estructura administrativa, condiciones de la planta física y medios educativos adecuados.</v>
          </cell>
          <cell r="K317" t="str">
            <v>SONIA CONSTANZA URREGO GONZÁLEZ</v>
          </cell>
          <cell r="L317" t="str">
            <v>ALBA DEL PILAR CUBIDES CÁCERES</v>
          </cell>
          <cell r="M317">
            <v>45785</v>
          </cell>
          <cell r="N317">
            <v>45874</v>
          </cell>
          <cell r="O317">
            <v>45874</v>
          </cell>
          <cell r="P317" t="str">
            <v>Visitas de evaluación con fines de mejoramiento</v>
          </cell>
          <cell r="Q317" t="str">
            <v>VISITA CON FINES DE MEJORAMIENTO LICEO GLOBERTH MIXTO.pdf</v>
          </cell>
          <cell r="R317" t="str">
            <v>Cuenta con espacios suficientes, dotados, amplios y adecuados, que generan bienestar y seguridad a los estudiantes. A pesar de no tener estudiantes con discapacidad física, no tienen espacios adecuados en caso de requerirlo.</v>
          </cell>
          <cell r="S317" t="str">
            <v>Realizar adecuaciones minimas como rampas de acceso para el ingreso de personas con discapacidad física, entre otros.</v>
          </cell>
          <cell r="T317" t="str">
            <v>Si</v>
          </cell>
          <cell r="U317" t="str">
            <v>Verificar con registro fotográfico, los avances de acuerdo a los plazos registrados en el PMI</v>
          </cell>
        </row>
        <row r="318">
          <cell r="A318">
            <v>2239</v>
          </cell>
          <cell r="B318">
            <v>35</v>
          </cell>
          <cell r="C318" t="str">
            <v>SUBA</v>
          </cell>
          <cell r="D318" t="str">
            <v>PRIVADO</v>
          </cell>
          <cell r="E318" t="str">
            <v>EPBM</v>
          </cell>
          <cell r="F318" t="str">
            <v>GIMNASIO_BOSQUES_DEL_NOGAL</v>
          </cell>
          <cell r="G318" t="str">
            <v>GIMNASIO BOSQUES DEL NOGAL</v>
          </cell>
          <cell r="H318" t="str">
            <v>Autoevaluación Institucional y Pruebas SABER 11</v>
          </cell>
          <cell r="I318" t="str">
            <v>SEGUIMIENTO_Y_SUPERVISIÓN.</v>
          </cell>
          <cell r="J318" t="str">
            <v>Realizar visitas para verificar la información registrada sobre la autoevaluación institucional en el aplicativo EVI, a los establecimientos de educación formal no oficial.</v>
          </cell>
          <cell r="K318" t="str">
            <v>DANIEL ALEJANDRO GRANOBLES</v>
          </cell>
          <cell r="L318" t="str">
            <v>SANDRA OLINDA GONZÁLEZ REYES</v>
          </cell>
          <cell r="M318">
            <v>45860</v>
          </cell>
          <cell r="N318">
            <v>45882</v>
          </cell>
          <cell r="O318">
            <v>45882</v>
          </cell>
          <cell r="P318" t="str">
            <v>Visitas de evaluación con fines de seguimiento</v>
          </cell>
          <cell r="Q318" t="str">
            <v>acta visita col bosques del nogal.pdf</v>
          </cell>
          <cell r="R318" t="str">
            <v xml:space="preserve">Se evidencio que la información registrada en el aplicativo EVI, no corresponde a la verificada en la visita en cuanto a computadores, baños, número de docentes </v>
          </cell>
          <cell r="S318" t="str">
            <v>Realizar la revisión de la normatividad relacionada con las tarifas y  diligenciar la plataforma para la vigencia 2026  de  manera completa y ajustada a la realidad de la institución. Elaborar plan de mejoramiento sobre todos los indicadores y remitirlo hasta el 30 de septiembre</v>
          </cell>
          <cell r="T318" t="str">
            <v>Si</v>
          </cell>
          <cell r="U318" t="str">
            <v>Verificar la información diligenciada y publicación de documentos en el aplicativo EVI para la vigencia 2026.</v>
          </cell>
        </row>
        <row r="319">
          <cell r="A319">
            <v>2240</v>
          </cell>
          <cell r="B319">
            <v>35</v>
          </cell>
          <cell r="C319" t="str">
            <v>SUBA</v>
          </cell>
          <cell r="D319" t="str">
            <v>PRIVADO</v>
          </cell>
          <cell r="E319" t="str">
            <v>EPBM</v>
          </cell>
          <cell r="F319" t="str">
            <v>GIMNASIO_BOSQUES_DEL_NOGAL</v>
          </cell>
          <cell r="G319" t="str">
            <v>GIMNASIO BOSQUES DEL NOGAL</v>
          </cell>
          <cell r="H319" t="str">
            <v>Autoevaluación Institucional y Pruebas SABER 11</v>
          </cell>
          <cell r="I319" t="str">
            <v>SEGUIMIENTO_Y_SUPERVISIÓN.</v>
          </cell>
          <cell r="J319" t="str">
            <v>Proponer estrategias en la formulación, verificar su elaboración y realizar seguimiento semestral al desarrollo de  las acciones establecidas en los planes de mejoramiento por pruebas SABER 11 de los establecimientos de educación formal.</v>
          </cell>
          <cell r="K319" t="str">
            <v>DANIEL ALEJANDRO GRANOBLES</v>
          </cell>
          <cell r="L319" t="str">
            <v>SANDRA OLINDA GONZÁLEZ REYES</v>
          </cell>
          <cell r="M319">
            <v>45860</v>
          </cell>
          <cell r="N319">
            <v>45882</v>
          </cell>
          <cell r="O319">
            <v>45882</v>
          </cell>
          <cell r="P319" t="str">
            <v>Visitas de evaluación con fines de seguimiento</v>
          </cell>
          <cell r="Q319" t="str">
            <v>acta visita col bosques del nogal.pdf</v>
          </cell>
          <cell r="R319" t="str">
            <v>Se verificó el bajo resultado en las  Pruebas saber y la retroaliemntación realizada por los docentes cerca de la evaluación de las  causales, asignaturas con más bajo resultado  y acciones de mejora.</v>
          </cell>
          <cell r="S319" t="str">
            <v>Revisar los resultados y la relación con las asignaturas del plan de estudio. Elaborar plan de mejoramiento sobre todos los indicadores y remitirlo a la DLE antes del 30 de septiembre</v>
          </cell>
          <cell r="T319" t="str">
            <v>Si</v>
          </cell>
          <cell r="U319" t="str">
            <v>Verificar los resultados y las acciones en las asignaturas que presentan puntajes más bajos en la próxima calificación de las pruebas</v>
          </cell>
        </row>
        <row r="320">
          <cell r="A320">
            <v>2241</v>
          </cell>
          <cell r="B320">
            <v>35</v>
          </cell>
          <cell r="C320" t="str">
            <v>SUBA</v>
          </cell>
          <cell r="D320" t="str">
            <v>PRIVADO</v>
          </cell>
          <cell r="E320" t="str">
            <v>EPBM</v>
          </cell>
          <cell r="F320" t="str">
            <v>GIMNASIO_BOSQUES_DEL_NOGAL</v>
          </cell>
          <cell r="G320" t="str">
            <v>GIMNASIO BOSQUES DEL NOGAL</v>
          </cell>
          <cell r="H320" t="str">
            <v>Autoevaluación Institucional y Pruebas SABER 11</v>
          </cell>
          <cell r="I320" t="str">
            <v>SEGUIMIENTO_Y_SUPERVISIÓN.</v>
          </cell>
          <cell r="J320" t="str">
            <v xml:space="preserve">Verificar la implementación por parte de los colegios, de acciones realizadas para la prevención y atención de las situaciones de convivencia en el entorno escolar, según lo establecido en la Directiva 01 de 2022 del MEN. </v>
          </cell>
          <cell r="K320" t="str">
            <v>DANIEL ALEJANDRO GRANOBLES</v>
          </cell>
          <cell r="L320" t="str">
            <v>SANDRA OLINDA GONZÁLEZ REYES</v>
          </cell>
          <cell r="M320">
            <v>45860</v>
          </cell>
          <cell r="N320">
            <v>45882</v>
          </cell>
          <cell r="O320">
            <v>45882</v>
          </cell>
          <cell r="P320" t="str">
            <v>Visitas de evaluación con fines de seguimiento</v>
          </cell>
          <cell r="Q320" t="str">
            <v>acta visita col bosques del nogal.pdf</v>
          </cell>
          <cell r="R320" t="str">
            <v>Se verificaron las consulta en la página de la policia de los antecedentes de los docentes de conformidad a la directiva  001 del 2022, encontarndose que no se ha realizado</v>
          </cell>
          <cell r="S320" t="str">
            <v xml:space="preserve">Realizar las consultas en la pagina de antecedentes sexuales. y desarollar en el manual de convivencia los protocolos de atención </v>
          </cell>
          <cell r="T320" t="str">
            <v>Si</v>
          </cell>
          <cell r="U320" t="str">
            <v>Verificar las modificaciones en manual de convivencia respecto a los protocolos de atención revisión que se llevará a cabo con fecha limite 30 de septiembre</v>
          </cell>
        </row>
        <row r="321">
          <cell r="A321">
            <v>2242</v>
          </cell>
          <cell r="B321">
            <v>35</v>
          </cell>
          <cell r="C321" t="str">
            <v>SUBA</v>
          </cell>
          <cell r="D321" t="str">
            <v>PRIVADO</v>
          </cell>
          <cell r="E321" t="str">
            <v>EPBM</v>
          </cell>
          <cell r="F321" t="str">
            <v>GIMNASIO_BOSQUES_DEL_NOGAL</v>
          </cell>
          <cell r="G321" t="str">
            <v>GIMNASIO BOSQUES DEL NOGAL</v>
          </cell>
          <cell r="H321" t="str">
            <v>Autoevaluación Institucional y Pruebas SABER 11</v>
          </cell>
          <cell r="I321" t="str">
            <v>SEGUIMIENTO_Y_SUPERVISIÓN.</v>
          </cell>
          <cell r="J32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21" t="str">
            <v>DANIEL ALEJANDRO GRANOBLES</v>
          </cell>
          <cell r="L321" t="str">
            <v>SANDRA OLINDA GONZÁLEZ REYES</v>
          </cell>
          <cell r="M321">
            <v>45860</v>
          </cell>
          <cell r="N321">
            <v>45882</v>
          </cell>
          <cell r="O321">
            <v>45882</v>
          </cell>
          <cell r="P321" t="str">
            <v>Visitas de evaluación con fines de seguimiento</v>
          </cell>
          <cell r="Q321" t="str">
            <v>acta visita col bosques del nogal.pdf</v>
          </cell>
          <cell r="R321" t="str">
            <v>Se evidenció en el SIMAT que el colegio no tiene estudiantes matriculados en condición de discapacidad; además  la rectora manifiesta que no tiene estudiantes diagnosticados con talentos excepcionales y trastornos de aprendizaje a la fecha.</v>
          </cell>
          <cell r="S321"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30 de septiembre</v>
          </cell>
          <cell r="T321" t="str">
            <v>Si</v>
          </cell>
          <cell r="U321" t="str">
            <v>Verificar las modificaciones en manual de convivencia respecto a la poblacion con discapacidad.con fecha límite el 31 de julio</v>
          </cell>
        </row>
        <row r="322">
          <cell r="A322">
            <v>2243</v>
          </cell>
          <cell r="B322">
            <v>35</v>
          </cell>
          <cell r="C322" t="str">
            <v>SUBA</v>
          </cell>
          <cell r="D322" t="str">
            <v>PRIVADO</v>
          </cell>
          <cell r="E322" t="str">
            <v>EPBM</v>
          </cell>
          <cell r="F322" t="str">
            <v>GIMNASIO_BOSQUES_DEL_NOGAL</v>
          </cell>
          <cell r="G322" t="str">
            <v>GIMNASIO BOSQUES DEL NOGAL</v>
          </cell>
          <cell r="H322" t="str">
            <v>Autoevaluación Institucional y Pruebas SABER 11</v>
          </cell>
          <cell r="I322" t="str">
            <v>EVALUACIÓN_CON_FINES_DE_MEJORAMIENTO.</v>
          </cell>
          <cell r="J32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22" t="str">
            <v>DANIEL ALEJANDRO GRANOBLES</v>
          </cell>
          <cell r="L322" t="str">
            <v>SANDRA OLINDA GONZÁLEZ REYES</v>
          </cell>
          <cell r="M322">
            <v>45860</v>
          </cell>
          <cell r="N322">
            <v>45882</v>
          </cell>
          <cell r="O322">
            <v>45882</v>
          </cell>
          <cell r="P322" t="str">
            <v>Visitas de evaluación con fines de mejoramiento</v>
          </cell>
          <cell r="Q322" t="str">
            <v>acta visita col bosques del nogal.pdf</v>
          </cell>
          <cell r="R322" t="str">
            <v>Se encontro que al revisar el manual de convivencia , con la última actualización, falta añadir algunas normas en el marco jurídico, falta desarrollar lo que tiene que ver con protocolos de atencion, entre otros.</v>
          </cell>
          <cell r="S322" t="str">
            <v>Realizar la actualización del manuel convivencia.            Elaborar plan de mejoramiento sobre todos los indicadores y remitirlo a la DLE antes del 30 de septiembre</v>
          </cell>
          <cell r="T322" t="str">
            <v>Si</v>
          </cell>
          <cell r="U322" t="str">
            <v>Revisar la actualización del manual de convivencia ccon fecha límite el 30 de septiembre</v>
          </cell>
        </row>
        <row r="323">
          <cell r="A323">
            <v>2244</v>
          </cell>
          <cell r="B323">
            <v>35</v>
          </cell>
          <cell r="C323" t="str">
            <v>SUBA</v>
          </cell>
          <cell r="D323" t="str">
            <v>PRIVADO</v>
          </cell>
          <cell r="E323" t="str">
            <v>EPBM</v>
          </cell>
          <cell r="F323" t="str">
            <v>GIMNASIO_BOSQUES_DEL_NOGAL</v>
          </cell>
          <cell r="G323" t="str">
            <v>GIMNASIO BOSQUES DEL NOGAL</v>
          </cell>
          <cell r="H323" t="str">
            <v>Autoevaluación Institucional y Pruebas SABER 11</v>
          </cell>
          <cell r="I323" t="str">
            <v>EVALUACIÓN_CON_FINES_DE_MEJORAMIENTO.</v>
          </cell>
          <cell r="J323" t="str">
            <v>Revisar la actualización, socialización e implementación del Sistema Institucional de Evaluación de Estudiantes - SIEE, en articulación con la actualización del PEI y la normatividad vigente.</v>
          </cell>
          <cell r="K323" t="str">
            <v>DANIEL ALEJANDRO GRANOBLES</v>
          </cell>
          <cell r="L323" t="str">
            <v>SANDRA OLINDA GONZÁLEZ REYES</v>
          </cell>
          <cell r="M323">
            <v>45860</v>
          </cell>
          <cell r="N323">
            <v>45882</v>
          </cell>
          <cell r="O323">
            <v>45882</v>
          </cell>
          <cell r="P323" t="str">
            <v>Visitas de evaluación con fines de mejoramiento</v>
          </cell>
          <cell r="Q323" t="str">
            <v>acta visita col bosques del nogal.pdf</v>
          </cell>
          <cell r="R323" t="str">
            <v>Se realizó retroalimentación sobre  el SIEE, el cual está en consonancia con el PEI</v>
          </cell>
          <cell r="S323" t="str">
            <v>Continuar la implementación de las acciones establecidas en el SIIE</v>
          </cell>
          <cell r="T323" t="str">
            <v>No</v>
          </cell>
          <cell r="U323" t="str">
            <v>Revisar en caso de ser necesario o presentarse queja</v>
          </cell>
        </row>
        <row r="324">
          <cell r="A324">
            <v>2245</v>
          </cell>
          <cell r="B324">
            <v>35</v>
          </cell>
          <cell r="C324" t="str">
            <v>SUBA</v>
          </cell>
          <cell r="D324" t="str">
            <v>PRIVADO</v>
          </cell>
          <cell r="E324" t="str">
            <v>EPBM</v>
          </cell>
          <cell r="F324" t="str">
            <v>GIMNASIO_BOSQUES_DEL_NOGAL</v>
          </cell>
          <cell r="G324" t="str">
            <v>GIMNASIO BOSQUES DEL NOGAL</v>
          </cell>
          <cell r="H324" t="str">
            <v>Autoevaluación Institucional y Pruebas SABER 11</v>
          </cell>
          <cell r="I324" t="str">
            <v>EVALUACIÓN_CON_FINES_DE_MEJORAMIENTO.</v>
          </cell>
          <cell r="J324" t="str">
            <v>Revisar el calendario escolar, jornada escolar, la intensidad horaria mínima anual en cada nivel y las modificaciones que se realicen al mismo, de acuerdo con lo previsto en la normatividad vigente.</v>
          </cell>
          <cell r="K324" t="str">
            <v>DANIEL ALEJANDRO GRANOBLES</v>
          </cell>
          <cell r="L324" t="str">
            <v>SANDRA OLINDA GONZÁLEZ REYES</v>
          </cell>
          <cell r="M324">
            <v>45860</v>
          </cell>
          <cell r="N324">
            <v>45882</v>
          </cell>
          <cell r="O324">
            <v>45882</v>
          </cell>
          <cell r="P324" t="str">
            <v>Visitas de evaluación con fines de mejoramiento</v>
          </cell>
          <cell r="Q324" t="str">
            <v>acta visita col bosques del nogal.pdf</v>
          </cell>
          <cell r="R324" t="str">
            <v>La intensidad horaria y las horas mínimas anuales de cada ciclo no se ajustan a la normatividad vigente.</v>
          </cell>
          <cell r="S324" t="str">
            <v xml:space="preserve">Continuar con el desarrollo del calendario </v>
          </cell>
          <cell r="T324" t="str">
            <v>No</v>
          </cell>
          <cell r="U324" t="str">
            <v xml:space="preserve">Realizar la revisión del calendario para la proxima vigencia </v>
          </cell>
        </row>
        <row r="325">
          <cell r="A325">
            <v>2246</v>
          </cell>
          <cell r="B325">
            <v>35</v>
          </cell>
          <cell r="C325" t="str">
            <v>SUBA</v>
          </cell>
          <cell r="D325" t="str">
            <v>PRIVADO</v>
          </cell>
          <cell r="E325" t="str">
            <v>EPBM</v>
          </cell>
          <cell r="F325" t="str">
            <v>GIMNASIO_BOSQUES_DEL_NOGAL</v>
          </cell>
          <cell r="G325" t="str">
            <v>GIMNASIO BOSQUES DEL NOGAL</v>
          </cell>
          <cell r="H325" t="str">
            <v>Autoevaluación Institucional y Pruebas SABER 11</v>
          </cell>
          <cell r="I325" t="str">
            <v>EVALUACIÓN_CON_FINES_DE_MEJORAMIENTO.</v>
          </cell>
          <cell r="J325" t="str">
            <v>Verificar el funcionamiento del Gobierno Escolar e instancias de participación con base en la información sobre conformación reportada por la institución educativa.</v>
          </cell>
          <cell r="K325" t="str">
            <v>DANIEL ALEJANDRO GRANOBLES</v>
          </cell>
          <cell r="L325" t="str">
            <v>SANDRA OLINDA GONZÁLEZ REYES</v>
          </cell>
          <cell r="M325">
            <v>45860</v>
          </cell>
          <cell r="N325">
            <v>45882</v>
          </cell>
          <cell r="O325">
            <v>45882</v>
          </cell>
          <cell r="P325" t="str">
            <v>Visitas de evaluación con fines de mejoramiento</v>
          </cell>
          <cell r="Q325" t="str">
            <v>acta visita col bosques del nogal.pdf</v>
          </cell>
          <cell r="R325" t="str">
            <v xml:space="preserve">Se evidenciaron las actas de conformación de gobierno escolar, las cuales deberán cargarse en el SAE. </v>
          </cell>
          <cell r="S325" t="str">
            <v>Sesionar con cada órgano de gobierno de conformidad con la periodicidad establecida en la norma</v>
          </cell>
          <cell r="T325" t="str">
            <v>No</v>
          </cell>
          <cell r="U325" t="str">
            <v>Verificar el SAE  y el funcionamiento de  los organos de gobierno mediantes las evidencias presentadas por la IE.</v>
          </cell>
        </row>
        <row r="326">
          <cell r="A326">
            <v>2247</v>
          </cell>
          <cell r="B326">
            <v>35</v>
          </cell>
          <cell r="C326" t="str">
            <v>SUBA</v>
          </cell>
          <cell r="D326" t="str">
            <v>PRIVADO</v>
          </cell>
          <cell r="E326" t="str">
            <v>EPBM</v>
          </cell>
          <cell r="F326" t="str">
            <v>GIMNASIO_BOSQUES_DEL_NOGAL</v>
          </cell>
          <cell r="G326" t="str">
            <v>GIMNASIO BOSQUES DEL NOGAL</v>
          </cell>
          <cell r="H326" t="str">
            <v>Autoevaluación Institucional y Pruebas SABER 11</v>
          </cell>
          <cell r="I326" t="str">
            <v>EVALUACIÓN_CON_FINES_DE_MEJORAMIENTO.</v>
          </cell>
          <cell r="J326" t="str">
            <v>Verificar las condiciones en cuanto a: la estructura administrativa, condiciones de la planta física y medios educativos adecuados.</v>
          </cell>
          <cell r="K326" t="str">
            <v>DANIEL ALEJANDRO GRANOBLES</v>
          </cell>
          <cell r="L326" t="str">
            <v>SANDRA OLINDA GONZÁLEZ REYES</v>
          </cell>
          <cell r="M326">
            <v>45860</v>
          </cell>
          <cell r="N326">
            <v>45882</v>
          </cell>
          <cell r="O326">
            <v>45882</v>
          </cell>
          <cell r="P326" t="str">
            <v>Visitas de evaluación con fines de mejoramiento</v>
          </cell>
          <cell r="Q326" t="str">
            <v>acta visita col bosques del nogal.pdf</v>
          </cell>
          <cell r="R326" t="str">
            <v>No hay biblioteca, espacio de primeros auxilios, no todos los computadores tienen acceso a internet, hay hacinamiento, falta ventilación y mejores condicones de aseo.</v>
          </cell>
          <cell r="S326" t="str">
            <v>Revisar una reorganización de espacios y vertificar la matrícula. Dar acceso a la totalidad de computadores y crear acciones de para planeación de aseo</v>
          </cell>
          <cell r="T326" t="str">
            <v>Si</v>
          </cell>
          <cell r="U326" t="str">
            <v>Revisar en el plan de mejormeiento si se tuvo en consideración las observaciones respecto a la reorganización de espacios, aseo e intenert</v>
          </cell>
        </row>
        <row r="327">
          <cell r="A327">
            <v>2248</v>
          </cell>
          <cell r="B327">
            <v>36</v>
          </cell>
          <cell r="C327" t="str">
            <v>SUBA</v>
          </cell>
          <cell r="D327" t="str">
            <v>PRIVADO</v>
          </cell>
          <cell r="E327" t="str">
            <v>EPBM</v>
          </cell>
          <cell r="F327" t="str">
            <v>GIMNASIO_PSICOPEDAGOGICO_INTEGRAL_GIMSIPEI</v>
          </cell>
          <cell r="G327" t="str">
            <v>GIMNASIO PSICOPEDAGOGICO INTEGRAL GIMSIPEI</v>
          </cell>
          <cell r="H327" t="str">
            <v>Autoevaluación Institucional y Pruebas SABER 11</v>
          </cell>
          <cell r="I327" t="str">
            <v>SEGUIMIENTO_Y_SUPERVISIÓN.</v>
          </cell>
          <cell r="J327" t="str">
            <v>Realizar visitas para verificar la información registrada sobre la autoevaluación institucional en el aplicativo EVI, a los establecimientos de educación formal no oficial.</v>
          </cell>
          <cell r="K327" t="str">
            <v>GETULIO ALBERTO FLÓREZ MORENO</v>
          </cell>
          <cell r="L327" t="str">
            <v>MARTHA RUT SILVA ABRIL</v>
          </cell>
          <cell r="M327">
            <v>45843</v>
          </cell>
          <cell r="N327">
            <v>45919</v>
          </cell>
          <cell r="O327">
            <v>45919</v>
          </cell>
          <cell r="P327" t="str">
            <v>Visitas de evaluación con fines de seguimiento</v>
          </cell>
          <cell r="Q327" t="str">
            <v>20250924ActaVisitaIntegralGimnasioPsicopedagógicoGimsipei.pdf</v>
          </cell>
          <cell r="R327" t="str">
            <v>Presentaron el diligenciamiento del aplicativo EVI en debida forma y se verifica que se cobran a los padres de familia los mismos valores aprobados en la Resolución de costos educativos.</v>
          </cell>
          <cell r="S327" t="str">
            <v xml:space="preserve">Se sugiere publicar la totalidad de la Resolución en un lugar visible para la comunidad educativa. </v>
          </cell>
          <cell r="T327" t="str">
            <v>Si</v>
          </cell>
          <cell r="U327" t="str">
            <v xml:space="preserve">Se realizará seguimiento a la publicación de la Resolución en lugar visible del colegio. </v>
          </cell>
        </row>
        <row r="328">
          <cell r="A328">
            <v>2249</v>
          </cell>
          <cell r="B328">
            <v>36</v>
          </cell>
          <cell r="C328" t="str">
            <v>SUBA</v>
          </cell>
          <cell r="D328" t="str">
            <v>PRIVADO</v>
          </cell>
          <cell r="E328" t="str">
            <v>EPBM</v>
          </cell>
          <cell r="F328" t="str">
            <v>GIMNASIO_PSICOPEDAGOGICO_INTEGRAL_GIMSIPEI</v>
          </cell>
          <cell r="G328" t="str">
            <v>GIMNASIO PSICOPEDAGOGICO INTEGRAL GIMSIPEI</v>
          </cell>
          <cell r="H328" t="str">
            <v>Autoevaluación Institucional y Pruebas SABER 11</v>
          </cell>
          <cell r="I328" t="str">
            <v>SEGUIMIENTO_Y_SUPERVISIÓN.</v>
          </cell>
          <cell r="J328" t="str">
            <v>Proponer estrategias en la formulación, verificar su elaboración y realizar seguimiento semestral al desarrollo de  las acciones establecidas en los planes de mejoramiento por pruebas SABER 11 de los establecimientos de educación formal.</v>
          </cell>
          <cell r="K328" t="str">
            <v>GETULIO ALBERTO FLÓREZ MORENO</v>
          </cell>
          <cell r="L328" t="str">
            <v>MARTHA RUT SILVA ABRIL</v>
          </cell>
          <cell r="M328">
            <v>45843</v>
          </cell>
          <cell r="N328">
            <v>45924</v>
          </cell>
          <cell r="O328">
            <v>45924</v>
          </cell>
          <cell r="P328" t="str">
            <v>Visitas de evaluación con fines de seguimiento</v>
          </cell>
          <cell r="Q328" t="str">
            <v>20250924ActaVisitaIntegralGimnasioPsicopedagógicoGimsipei.pdf</v>
          </cell>
          <cell r="R328" t="str">
            <v xml:space="preserve">No se evidenció estrategias para el seguimiento semestral al desarrollo de  las pruebas SABER 11. </v>
          </cell>
          <cell r="S328" t="str">
            <v>Implementar la revisión y análisis de los resultados de las pruebas saber 11.</v>
          </cell>
          <cell r="T328" t="str">
            <v>Si</v>
          </cell>
          <cell r="U328" t="str">
            <v>Verificar las acciones del plan de mejoramiento frente a los resultados de SABER 11.</v>
          </cell>
        </row>
        <row r="329">
          <cell r="A329">
            <v>2250</v>
          </cell>
          <cell r="B329">
            <v>36</v>
          </cell>
          <cell r="C329" t="str">
            <v>SUBA</v>
          </cell>
          <cell r="D329" t="str">
            <v>PRIVADO</v>
          </cell>
          <cell r="E329" t="str">
            <v>EPBM</v>
          </cell>
          <cell r="F329" t="str">
            <v>GIMNASIO_PSICOPEDAGOGICO_INTEGRAL_GIMSIPEI</v>
          </cell>
          <cell r="G329" t="str">
            <v>GIMNASIO PSICOPEDAGOGICO INTEGRAL GIMSIPEI</v>
          </cell>
          <cell r="H329" t="str">
            <v>Autoevaluación Institucional y Pruebas SABER 11</v>
          </cell>
          <cell r="I329" t="str">
            <v>SEGUIMIENTO_Y_SUPERVISIÓN.</v>
          </cell>
          <cell r="J329" t="str">
            <v xml:space="preserve">Verificar la implementación por parte de los colegios, de acciones realizadas para la prevención y atención de las situaciones de convivencia en el entorno escolar, según lo establecido en la Directiva 01 de 2022 del MEN. </v>
          </cell>
          <cell r="K329" t="str">
            <v>GETULIO ALBERTO FLÓREZ MORENO</v>
          </cell>
          <cell r="L329" t="str">
            <v>MARTHA RUT SILVA ABRIL</v>
          </cell>
          <cell r="M329">
            <v>45843</v>
          </cell>
          <cell r="N329">
            <v>45924</v>
          </cell>
          <cell r="O329">
            <v>45924</v>
          </cell>
          <cell r="P329" t="str">
            <v>Visitas de evaluación con fines de seguimiento</v>
          </cell>
          <cell r="Q329" t="str">
            <v>20250924ActaVisitaIntegralGimnasioPsicopedagógicoGimsipei.pdf</v>
          </cell>
          <cell r="R329" t="str">
            <v xml:space="preserve">No se ha adelantado la consulta de las inhabilidades del personal vinculado al inicio del año no lo hacen cada 4 meses. </v>
          </cell>
          <cell r="S329" t="str">
            <v>Se orienta adelantar esta actividad en el tiempo estipulado.</v>
          </cell>
          <cell r="T329" t="str">
            <v>Si</v>
          </cell>
          <cell r="U329" t="str">
            <v xml:space="preserve">Actualizar la revisión del certificado de antecedentes de inhabilidades por delitos sexuales para todos los docentes y personal administrativo del colegio. </v>
          </cell>
        </row>
        <row r="330">
          <cell r="A330">
            <v>2251</v>
          </cell>
          <cell r="B330">
            <v>36</v>
          </cell>
          <cell r="C330" t="str">
            <v>SUBA</v>
          </cell>
          <cell r="D330" t="str">
            <v>PRIVADO</v>
          </cell>
          <cell r="E330" t="str">
            <v>EPBM</v>
          </cell>
          <cell r="F330" t="str">
            <v>GIMNASIO_PSICOPEDAGOGICO_INTEGRAL_GIMSIPEI</v>
          </cell>
          <cell r="G330" t="str">
            <v>GIMNASIO PSICOPEDAGOGICO INTEGRAL GIMSIPEI</v>
          </cell>
          <cell r="H330" t="str">
            <v>Autoevaluación Institucional y Pruebas SABER 11</v>
          </cell>
          <cell r="I330" t="str">
            <v>SEGUIMIENTO_Y_SUPERVISIÓN.</v>
          </cell>
          <cell r="J33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30" t="str">
            <v>GETULIO ALBERTO FLÓREZ MORENO</v>
          </cell>
          <cell r="L330" t="str">
            <v>MARTHA RUT SILVA ABRIL</v>
          </cell>
          <cell r="M330">
            <v>45843</v>
          </cell>
          <cell r="N330">
            <v>45924</v>
          </cell>
          <cell r="O330">
            <v>45924</v>
          </cell>
          <cell r="P330" t="str">
            <v>Visitas de evaluación con fines de seguimiento</v>
          </cell>
          <cell r="Q330" t="str">
            <v>20250924ActaVisitaIntegralGimnasioPsicopedagógicoGimsipei.pdf</v>
          </cell>
          <cell r="R330" t="str">
            <v xml:space="preserve">Pese a tener tres (3) niños en condición de discapacidad, el Rector manifiesta que al momento de la visita no tienen PIAR. </v>
          </cell>
          <cell r="S330" t="str">
            <v>Por lo anterior se comprometen a elaborarlos y plantearlo en el plan de mejoramiento.</v>
          </cell>
          <cell r="T330" t="str">
            <v>Si</v>
          </cell>
          <cell r="U330" t="str">
            <v xml:space="preserve">Se realizará seguimiento del PIAR elaborado por el colegio y firmado por los padres de familia. </v>
          </cell>
        </row>
        <row r="331">
          <cell r="A331">
            <v>2252</v>
          </cell>
          <cell r="B331">
            <v>36</v>
          </cell>
          <cell r="C331" t="str">
            <v>SUBA</v>
          </cell>
          <cell r="D331" t="str">
            <v>PRIVADO</v>
          </cell>
          <cell r="E331" t="str">
            <v>EPBM</v>
          </cell>
          <cell r="F331" t="str">
            <v>GIMNASIO_PSICOPEDAGOGICO_INTEGRAL_GIMSIPEI</v>
          </cell>
          <cell r="G331" t="str">
            <v>GIMNASIO PSICOPEDAGOGICO INTEGRAL GIMSIPEI</v>
          </cell>
          <cell r="H331" t="str">
            <v>Autoevaluación Institucional y Pruebas SABER 11</v>
          </cell>
          <cell r="I331" t="str">
            <v>EVALUACIÓN_CON_FINES_DE_MEJORAMIENTO.</v>
          </cell>
          <cell r="J33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31" t="str">
            <v>GETULIO ALBERTO FLÓREZ MORENO</v>
          </cell>
          <cell r="L331" t="str">
            <v>MARTHA RUT SILVA ABRIL</v>
          </cell>
          <cell r="M331">
            <v>45843</v>
          </cell>
          <cell r="N331">
            <v>45924</v>
          </cell>
          <cell r="O331">
            <v>45924</v>
          </cell>
          <cell r="P331" t="str">
            <v>Visitas de evaluación con fines de mejoramiento</v>
          </cell>
          <cell r="Q331" t="str">
            <v>20250924ActaVisitaIntegralGimnasioPsicopedagógicoGimsipei.pdf</v>
          </cell>
          <cell r="R331" t="str">
            <v>Aunque se actualiza anualmente con participación de docentes, directivos y padres de familia no se deja evidencia de reuniones a través de actas.</v>
          </cell>
          <cell r="S331" t="str">
            <v>Se sugiere dejar evidencia (actas) de cada año de la participación de la comunidad educativa en la actualización del Manual de Convivencia</v>
          </cell>
          <cell r="T331" t="str">
            <v>Si</v>
          </cell>
          <cell r="U331" t="str">
            <v>Revisar la actualización del manual de convivencia para la vigencia 2026</v>
          </cell>
        </row>
        <row r="332">
          <cell r="A332">
            <v>2253</v>
          </cell>
          <cell r="B332">
            <v>36</v>
          </cell>
          <cell r="C332" t="str">
            <v>SUBA</v>
          </cell>
          <cell r="D332" t="str">
            <v>PRIVADO</v>
          </cell>
          <cell r="E332" t="str">
            <v>EPBM</v>
          </cell>
          <cell r="F332" t="str">
            <v>GIMNASIO_PSICOPEDAGOGICO_INTEGRAL_GIMSIPEI</v>
          </cell>
          <cell r="G332" t="str">
            <v>GIMNASIO PSICOPEDAGOGICO INTEGRAL GIMSIPEI</v>
          </cell>
          <cell r="H332" t="str">
            <v>Autoevaluación Institucional y Pruebas SABER 11</v>
          </cell>
          <cell r="I332" t="str">
            <v>EVALUACIÓN_CON_FINES_DE_MEJORAMIENTO.</v>
          </cell>
          <cell r="J332" t="str">
            <v>Revisar la actualización, socialización e implementación del Sistema Institucional de Evaluación de Estudiantes - SIEE, en articulación con la actualización del PEI y la normatividad vigente.</v>
          </cell>
          <cell r="K332" t="str">
            <v>GETULIO ALBERTO FLÓREZ MORENO</v>
          </cell>
          <cell r="L332" t="str">
            <v>MARTHA RUT SILVA ABRIL</v>
          </cell>
          <cell r="M332">
            <v>45843</v>
          </cell>
          <cell r="N332">
            <v>45924</v>
          </cell>
          <cell r="O332">
            <v>45924</v>
          </cell>
          <cell r="P332" t="str">
            <v>Visitas de evaluación con fines de mejoramiento</v>
          </cell>
          <cell r="Q332" t="str">
            <v>20250924ActaVisitaIntegralGimnasioPsicopedagógicoGimsipei.pdf</v>
          </cell>
          <cell r="R332" t="str">
            <v xml:space="preserve">No se evidencia la elaboracción del SIEE de manera participativa. </v>
          </cell>
          <cell r="S332" t="str">
            <v>Se recomienda actualizar el SIEE con el apoyo de la comunidad educativa y dejar evidencia de ello.</v>
          </cell>
          <cell r="T332" t="str">
            <v>Si</v>
          </cell>
          <cell r="U332" t="str">
            <v>Revisar el SIEE para la siguiente vigencia.</v>
          </cell>
        </row>
        <row r="333">
          <cell r="A333">
            <v>2254</v>
          </cell>
          <cell r="B333">
            <v>36</v>
          </cell>
          <cell r="C333" t="str">
            <v>SUBA</v>
          </cell>
          <cell r="D333" t="str">
            <v>PRIVADO</v>
          </cell>
          <cell r="E333" t="str">
            <v>EPBM</v>
          </cell>
          <cell r="F333" t="str">
            <v>GIMNASIO_PSICOPEDAGOGICO_INTEGRAL_GIMSIPEI</v>
          </cell>
          <cell r="G333" t="str">
            <v>GIMNASIO PSICOPEDAGOGICO INTEGRAL GIMSIPEI</v>
          </cell>
          <cell r="H333" t="str">
            <v>Autoevaluación Institucional y Pruebas SABER 11</v>
          </cell>
          <cell r="I333" t="str">
            <v>EVALUACIÓN_CON_FINES_DE_MEJORAMIENTO.</v>
          </cell>
          <cell r="J333" t="str">
            <v>Revisar el calendario escolar, jornada escolar, la intensidad horaria mínima anual en cada nivel y las modificaciones que se realicen al mismo, de acuerdo con lo previsto en la normatividad vigente.</v>
          </cell>
          <cell r="K333" t="str">
            <v>GETULIO ALBERTO FLÓREZ MORENO</v>
          </cell>
          <cell r="L333" t="str">
            <v>MARTHA RUT SILVA ABRIL</v>
          </cell>
          <cell r="M333">
            <v>45843</v>
          </cell>
          <cell r="N333">
            <v>45924</v>
          </cell>
          <cell r="O333">
            <v>45924</v>
          </cell>
          <cell r="P333" t="str">
            <v>Visitas de evaluación con fines de mejoramiento</v>
          </cell>
          <cell r="Q333" t="str">
            <v>20250924ActaVisitaIntegralGimnasioPsicopedagógicoGimsipei.pdf</v>
          </cell>
          <cell r="R333" t="str">
            <v>Se evidencia que el colegio tienen calendario escolar para la vigencia 2025.</v>
          </cell>
          <cell r="S333" t="str">
            <v>Se recomienda ajustar el formato de calendario escolar en relación con el total de las horas semanales por desarrollo curricular y jornada escolar.</v>
          </cell>
          <cell r="T333" t="str">
            <v>Si</v>
          </cell>
          <cell r="U333" t="str">
            <v>Revisar el calendario escolar en cumplimiento de las intensidades y horas semanales para la vigencia 2026</v>
          </cell>
        </row>
        <row r="334">
          <cell r="A334">
            <v>2255</v>
          </cell>
          <cell r="B334">
            <v>36</v>
          </cell>
          <cell r="C334" t="str">
            <v>SUBA</v>
          </cell>
          <cell r="D334" t="str">
            <v>PRIVADO</v>
          </cell>
          <cell r="E334" t="str">
            <v>EPBM</v>
          </cell>
          <cell r="F334" t="str">
            <v>GIMNASIO_PSICOPEDAGOGICO_INTEGRAL_GIMSIPEI</v>
          </cell>
          <cell r="G334" t="str">
            <v>GIMNASIO PSICOPEDAGOGICO INTEGRAL GIMSIPEI</v>
          </cell>
          <cell r="H334" t="str">
            <v>Autoevaluación Institucional y Pruebas SABER 11</v>
          </cell>
          <cell r="I334" t="str">
            <v>EVALUACIÓN_CON_FINES_DE_MEJORAMIENTO.</v>
          </cell>
          <cell r="J334" t="str">
            <v>Verificar el funcionamiento del Gobierno Escolar e instancias de participación con base en la información sobre conformación reportada por la institución educativa.</v>
          </cell>
          <cell r="K334" t="str">
            <v>GETULIO ALBERTO FLÓREZ MORENO</v>
          </cell>
          <cell r="L334" t="str">
            <v>MARTHA RUT SILVA ABRIL</v>
          </cell>
          <cell r="M334">
            <v>45843</v>
          </cell>
          <cell r="N334">
            <v>45924</v>
          </cell>
          <cell r="O334">
            <v>45924</v>
          </cell>
          <cell r="P334" t="str">
            <v>Visitas de evaluación con fines de mejoramiento</v>
          </cell>
          <cell r="Q334" t="str">
            <v>20250924ActaVisitaIntegralGimnasioPsicopedagógicoGimsipei.pdf</v>
          </cell>
          <cell r="R334" t="str">
            <v>Se evidencia conformación del gobierno escolar (consejo directivo y consejo académico).</v>
          </cell>
          <cell r="S334" t="str">
            <v>Aunque se encuentra conformado, pero no tiene ni funciones, ni plan de acción, ni reglamento interno.</v>
          </cell>
          <cell r="T334" t="str">
            <v>Si</v>
          </cell>
          <cell r="U334" t="str">
            <v>Verificar la conformación del gobierno escolar para la vigencia 2026.</v>
          </cell>
        </row>
        <row r="335">
          <cell r="A335">
            <v>2256</v>
          </cell>
          <cell r="B335">
            <v>36</v>
          </cell>
          <cell r="C335" t="str">
            <v>SUBA</v>
          </cell>
          <cell r="D335" t="str">
            <v>PRIVADO</v>
          </cell>
          <cell r="E335" t="str">
            <v>EPBM</v>
          </cell>
          <cell r="F335" t="str">
            <v>GIMNASIO_PSICOPEDAGOGICO_INTEGRAL_GIMSIPEI</v>
          </cell>
          <cell r="G335" t="str">
            <v>GIMNASIO PSICOPEDAGOGICO INTEGRAL GIMSIPEI</v>
          </cell>
          <cell r="H335" t="str">
            <v>Autoevaluación Institucional y Pruebas SABER 11</v>
          </cell>
          <cell r="I335" t="str">
            <v>EVALUACIÓN_CON_FINES_DE_MEJORAMIENTO.</v>
          </cell>
          <cell r="J335" t="str">
            <v>Verificar las condiciones en cuanto a: la estructura administrativa, condiciones de la planta física y medios educativos adecuados.</v>
          </cell>
          <cell r="K335" t="str">
            <v>GETULIO ALBERTO FLÓREZ MORENO</v>
          </cell>
          <cell r="L335" t="str">
            <v>MARTHA RUT SILVA ABRIL</v>
          </cell>
          <cell r="M335">
            <v>45843</v>
          </cell>
          <cell r="N335">
            <v>45924</v>
          </cell>
          <cell r="O335">
            <v>45924</v>
          </cell>
          <cell r="P335" t="str">
            <v>Visitas de evaluación con fines de mejoramiento</v>
          </cell>
          <cell r="Q335" t="str">
            <v>20250924ActaVisitaIntegralGimnasioPsicopedagógicoGimsipei.pdf</v>
          </cell>
          <cell r="R335" t="str">
            <v>En en recorrido por las instalaciones se observa que un  edifico con 3 pisos, lo cual requiere de mantenimiento en la mayoría de espacios locativos.  De igual forma se eviencia que los baños deben ser mejorados y adecuados en buena medida. Se requiere mantenimiento del piso y pintura a nivel general.</v>
          </cell>
          <cell r="S335" t="str">
            <v>El colegio asume el compromiso de adelantar los mantenimientos locativos requeridos periódicamente, dando prioridad a los hallazgos que mayor potencialidad de ocasionar incidentes.</v>
          </cell>
          <cell r="T335" t="str">
            <v>Si</v>
          </cell>
          <cell r="U335" t="str">
            <v>Enviar informe con registro fotograficos de los espacios en óptimas condicidones.</v>
          </cell>
        </row>
        <row r="336">
          <cell r="A336">
            <v>2257</v>
          </cell>
          <cell r="B336">
            <v>37</v>
          </cell>
          <cell r="C336" t="str">
            <v>SUBA</v>
          </cell>
          <cell r="D336" t="str">
            <v>PRIVADO</v>
          </cell>
          <cell r="E336" t="str">
            <v>EPBM</v>
          </cell>
          <cell r="F336" t="str">
            <v>LICEO_TECNICO_BILINGÜE_PAULO_FREIRE</v>
          </cell>
          <cell r="G336" t="str">
            <v>LICEO TECNICO BILINGÜE PAULO FREIRE</v>
          </cell>
          <cell r="H336" t="str">
            <v>Autoevaluación Institucional y Pruebas SABER 11</v>
          </cell>
          <cell r="I336" t="str">
            <v>SEGUIMIENTO_Y_SUPERVISIÓN.</v>
          </cell>
          <cell r="J336" t="str">
            <v>Realizar visitas para verificar la información registrada sobre la autoevaluación institucional en el aplicativo EVI, a los establecimientos de educación formal no oficial.</v>
          </cell>
          <cell r="K336" t="str">
            <v>GETULIO ALBERTO FLÓREZ MORENO</v>
          </cell>
          <cell r="L336" t="str">
            <v>MARTHA RUT SILVA ABRIL</v>
          </cell>
          <cell r="M336">
            <v>45785</v>
          </cell>
          <cell r="N336">
            <v>45930</v>
          </cell>
          <cell r="O336">
            <v>45930</v>
          </cell>
          <cell r="P336" t="str">
            <v>Visitas de evaluación con fines de seguimiento</v>
          </cell>
          <cell r="Q336" t="str">
            <v>20250930LiceoTécnicoBiliguePauloFreire.pdf</v>
          </cell>
          <cell r="R336" t="str">
            <v>Presentaron el diligenciamiento del aplicativo EVI en debida forma y se verifica que se cobran a los padres de familia valores por debajo de los aprobados en la Resolución de costos educativos.</v>
          </cell>
          <cell r="S336" t="str">
            <v xml:space="preserve">Se confirma que la publicación de la totalidad de la Resolución se ubicó en un lugar visible para la comunidad educativa. </v>
          </cell>
          <cell r="T336" t="str">
            <v>No</v>
          </cell>
          <cell r="U336" t="str">
            <v xml:space="preserve">Se continuará con la verificación del incremento para la vigencia 2026, conforme noramtiva que expida el MEN.  </v>
          </cell>
        </row>
        <row r="337">
          <cell r="A337">
            <v>2258</v>
          </cell>
          <cell r="B337">
            <v>37</v>
          </cell>
          <cell r="C337" t="str">
            <v>SUBA</v>
          </cell>
          <cell r="D337" t="str">
            <v>PRIVADO</v>
          </cell>
          <cell r="E337" t="str">
            <v>EPBM</v>
          </cell>
          <cell r="F337" t="str">
            <v>LICEO_TECNICO_BILINGÜE_PAULO_FREIRE</v>
          </cell>
          <cell r="G337" t="str">
            <v>LICEO TECNICO BILINGÜE PAULO FREIRE</v>
          </cell>
          <cell r="H337" t="str">
            <v>Autoevaluación Institucional y Pruebas SABER 11</v>
          </cell>
          <cell r="I337" t="str">
            <v>SEGUIMIENTO_Y_SUPERVISIÓN.</v>
          </cell>
          <cell r="J337" t="str">
            <v>Proponer estrategias en la formulación, verificar su elaboración y realizar seguimiento semestral al desarrollo de  las acciones establecidas en los planes de mejoramiento por pruebas SABER 11 de los establecimientos de educación formal.</v>
          </cell>
          <cell r="K337" t="str">
            <v>GETULIO ALBERTO FLÓREZ MORENO</v>
          </cell>
          <cell r="L337" t="str">
            <v>MARTHA RUT SILVA ABRIL</v>
          </cell>
          <cell r="M337">
            <v>45785</v>
          </cell>
          <cell r="N337">
            <v>45930</v>
          </cell>
          <cell r="O337">
            <v>45930</v>
          </cell>
          <cell r="P337" t="str">
            <v>Visitas de evaluación con fines de seguimiento</v>
          </cell>
          <cell r="Q337" t="str">
            <v>20250930LiceoTécnicoBiliguePauloFreire.pdf</v>
          </cell>
          <cell r="R337" t="str">
            <v xml:space="preserve">No se evidenció estrategias para el seguimiento semestral al desarrollo de  las pruebas SABER 11. </v>
          </cell>
          <cell r="S337" t="str">
            <v>Se sugiere implementar la revisión y análisis de los resultados de las pruebas saber 11.</v>
          </cell>
          <cell r="T337" t="str">
            <v>Si</v>
          </cell>
          <cell r="U337" t="str">
            <v xml:space="preserve">Se adelantará seguimiento sobre el plan de mejoramiento que porponga la institución educativa. </v>
          </cell>
        </row>
        <row r="338">
          <cell r="A338">
            <v>2259</v>
          </cell>
          <cell r="B338">
            <v>37</v>
          </cell>
          <cell r="C338" t="str">
            <v>SUBA</v>
          </cell>
          <cell r="D338" t="str">
            <v>PRIVADO</v>
          </cell>
          <cell r="E338" t="str">
            <v>EPBM</v>
          </cell>
          <cell r="F338" t="str">
            <v>LICEO_TECNICO_BILINGÜE_PAULO_FREIRE</v>
          </cell>
          <cell r="G338" t="str">
            <v>LICEO TECNICO BILINGÜE PAULO FREIRE</v>
          </cell>
          <cell r="H338" t="str">
            <v>Autoevaluación Institucional y Pruebas SABER 11</v>
          </cell>
          <cell r="I338" t="str">
            <v>SEGUIMIENTO_Y_SUPERVISIÓN.</v>
          </cell>
          <cell r="J338" t="str">
            <v xml:space="preserve">Verificar la implementación por parte de los colegios, de acciones realizadas para la prevención y atención de las situaciones de convivencia en el entorno escolar, según lo establecido en la Directiva 01 de 2022 del MEN. </v>
          </cell>
          <cell r="K338" t="str">
            <v>GETULIO ALBERTO FLÓREZ MORENO</v>
          </cell>
          <cell r="L338" t="str">
            <v>MARTHA RUT SILVA ABRIL</v>
          </cell>
          <cell r="M338">
            <v>45785</v>
          </cell>
          <cell r="N338">
            <v>45930</v>
          </cell>
          <cell r="O338">
            <v>45930</v>
          </cell>
          <cell r="P338" t="str">
            <v>Visitas de evaluación con fines de seguimiento</v>
          </cell>
          <cell r="Q338" t="str">
            <v>20250930LiceoTécnicoBiliguePauloFreire.pdf</v>
          </cell>
          <cell r="R338" t="str">
            <v xml:space="preserve">No se ha adelantado la consulta de las inhabilidades del personal vinculado al inicio del año no lo hacen cada 4 meses. </v>
          </cell>
          <cell r="S338" t="str">
            <v>Se orienta adelantar esta actividad en el tiempo estipulado.</v>
          </cell>
          <cell r="T338" t="str">
            <v>Si</v>
          </cell>
          <cell r="U338" t="str">
            <v xml:space="preserve">Actualizar la revisión del certificado de antecedentes de inhabilidades por delitos sexuales para todos los docentes y personal administrativo del colegio. </v>
          </cell>
        </row>
        <row r="339">
          <cell r="A339">
            <v>2260</v>
          </cell>
          <cell r="B339">
            <v>37</v>
          </cell>
          <cell r="C339" t="str">
            <v>SUBA</v>
          </cell>
          <cell r="D339" t="str">
            <v>PRIVADO</v>
          </cell>
          <cell r="E339" t="str">
            <v>EPBM</v>
          </cell>
          <cell r="F339" t="str">
            <v>LICEO_TECNICO_BILINGÜE_PAULO_FREIRE</v>
          </cell>
          <cell r="G339" t="str">
            <v>LICEO TECNICO BILINGÜE PAULO FREIRE</v>
          </cell>
          <cell r="H339" t="str">
            <v>Autoevaluación Institucional y Pruebas SABER 11</v>
          </cell>
          <cell r="I339" t="str">
            <v>SEGUIMIENTO_Y_SUPERVISIÓN.</v>
          </cell>
          <cell r="J33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39" t="str">
            <v>GETULIO ALBERTO FLÓREZ MORENO</v>
          </cell>
          <cell r="L339" t="str">
            <v>MARTHA RUT SILVA ABRIL</v>
          </cell>
          <cell r="M339">
            <v>45785</v>
          </cell>
          <cell r="N339">
            <v>45930</v>
          </cell>
          <cell r="O339">
            <v>45930</v>
          </cell>
          <cell r="P339" t="str">
            <v>Visitas de evaluación con fines de seguimiento</v>
          </cell>
          <cell r="Q339" t="str">
            <v>20250930LiceoTécnicoBiliguePauloFreire.pdf</v>
          </cell>
          <cell r="R339" t="str">
            <v xml:space="preserve">Pese a tener un (1) niño en condición de discapacidad, el Rector manifiesta que al momento de la visita no tienen PIAR. </v>
          </cell>
          <cell r="S339" t="str">
            <v>Por lo anterior se comprometen a elaborarlos y plantearlo en el plan de mejoramiento.</v>
          </cell>
          <cell r="T339" t="str">
            <v>Si</v>
          </cell>
          <cell r="U339" t="str">
            <v xml:space="preserve">Se realizará seguimiento del PIAR elaborado por el colegio y firmado por los padres de familia. </v>
          </cell>
        </row>
        <row r="340">
          <cell r="A340">
            <v>2261</v>
          </cell>
          <cell r="B340">
            <v>37</v>
          </cell>
          <cell r="C340" t="str">
            <v>SUBA</v>
          </cell>
          <cell r="D340" t="str">
            <v>PRIVADO</v>
          </cell>
          <cell r="E340" t="str">
            <v>EPBM</v>
          </cell>
          <cell r="F340" t="str">
            <v>LICEO_TECNICO_BILINGÜE_PAULO_FREIRE</v>
          </cell>
          <cell r="G340" t="str">
            <v>LICEO TECNICO BILINGÜE PAULO FREIRE</v>
          </cell>
          <cell r="H340" t="str">
            <v>Autoevaluación Institucional y Pruebas SABER 11</v>
          </cell>
          <cell r="I340" t="str">
            <v>EVALUACIÓN_CON_FINES_DE_MEJORAMIENTO.</v>
          </cell>
          <cell r="J34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40" t="str">
            <v>GETULIO ALBERTO FLÓREZ MORENO</v>
          </cell>
          <cell r="L340" t="str">
            <v>MARTHA RUT SILVA ABRIL</v>
          </cell>
          <cell r="M340">
            <v>45785</v>
          </cell>
          <cell r="N340">
            <v>45930</v>
          </cell>
          <cell r="O340">
            <v>45930</v>
          </cell>
          <cell r="P340" t="str">
            <v>Visitas de evaluación con fines de mejoramiento</v>
          </cell>
          <cell r="Q340" t="str">
            <v>20250930LiceoTécnicoBiliguePauloFreire.pdf</v>
          </cell>
          <cell r="R340" t="str">
            <v>Aunque se actualiza anualmente con participación de docentes, directivos y padres de familia no se deja evidencia de reuniones a través de actas.</v>
          </cell>
          <cell r="S340" t="str">
            <v>Se sugiere dejar evidencia (actas) de cada año de la participación de la comunidad educativa en la actualización del Manual de Convivencia</v>
          </cell>
          <cell r="T340" t="str">
            <v>Si</v>
          </cell>
          <cell r="U340" t="str">
            <v>Se revisará el manual de convivencia una vez sea actualizado para la siguiente vigencia</v>
          </cell>
        </row>
        <row r="341">
          <cell r="A341">
            <v>2262</v>
          </cell>
          <cell r="B341">
            <v>37</v>
          </cell>
          <cell r="C341" t="str">
            <v>SUBA</v>
          </cell>
          <cell r="D341" t="str">
            <v>PRIVADO</v>
          </cell>
          <cell r="E341" t="str">
            <v>EPBM</v>
          </cell>
          <cell r="F341" t="str">
            <v>LICEO_TECNICO_BILINGÜE_PAULO_FREIRE</v>
          </cell>
          <cell r="G341" t="str">
            <v>LICEO TECNICO BILINGÜE PAULO FREIRE</v>
          </cell>
          <cell r="H341" t="str">
            <v>Autoevaluación Institucional y Pruebas SABER 11</v>
          </cell>
          <cell r="I341" t="str">
            <v>EVALUACIÓN_CON_FINES_DE_MEJORAMIENTO.</v>
          </cell>
          <cell r="J341" t="str">
            <v>Revisar la actualización, socialización e implementación del Sistema Institucional de Evaluación de Estudiantes - SIEE, en articulación con la actualización del PEI y la normatividad vigente.</v>
          </cell>
          <cell r="K341" t="str">
            <v>GETULIO ALBERTO FLÓREZ MORENO</v>
          </cell>
          <cell r="L341" t="str">
            <v>MARTHA RUT SILVA ABRIL</v>
          </cell>
          <cell r="M341">
            <v>45785</v>
          </cell>
          <cell r="N341">
            <v>45930</v>
          </cell>
          <cell r="O341">
            <v>45930</v>
          </cell>
          <cell r="P341" t="str">
            <v>Visitas de evaluación con fines de mejoramiento</v>
          </cell>
          <cell r="Q341" t="str">
            <v>20250930LiceoTécnicoBiliguePauloFreire.pdf</v>
          </cell>
          <cell r="R341" t="str">
            <v xml:space="preserve">Durante la visita se observa actualizacion del SIEE, posee criterios mínimos de valoración, auque no establece procesos de promoción acordes con la normativa vigente. 
</v>
          </cell>
          <cell r="S341" t="str">
            <v xml:space="preserve">Es procedente continuar con la actualización del SIEE tomando en consideración lo contemplado por la ley 115 de 1995 y normas asociadas. </v>
          </cell>
          <cell r="T341" t="str">
            <v>Si</v>
          </cell>
          <cell r="U341" t="str">
            <v>Revisar la actualización del SIEE para la siguiente vigencia.</v>
          </cell>
        </row>
        <row r="342">
          <cell r="A342">
            <v>2263</v>
          </cell>
          <cell r="B342">
            <v>37</v>
          </cell>
          <cell r="C342" t="str">
            <v>SUBA</v>
          </cell>
          <cell r="D342" t="str">
            <v>PRIVADO</v>
          </cell>
          <cell r="E342" t="str">
            <v>EPBM</v>
          </cell>
          <cell r="F342" t="str">
            <v>LICEO_TECNICO_BILINGÜE_PAULO_FREIRE</v>
          </cell>
          <cell r="G342" t="str">
            <v>LICEO TECNICO BILINGÜE PAULO FREIRE</v>
          </cell>
          <cell r="H342" t="str">
            <v>Autoevaluación Institucional y Pruebas SABER 11</v>
          </cell>
          <cell r="I342" t="str">
            <v>EVALUACIÓN_CON_FINES_DE_MEJORAMIENTO.</v>
          </cell>
          <cell r="J342" t="str">
            <v>Revisar el calendario escolar, jornada escolar, la intensidad horaria mínima anual en cada nivel y las modificaciones que se realicen al mismo, de acuerdo con lo previsto en la normatividad vigente.</v>
          </cell>
          <cell r="K342" t="str">
            <v>GETULIO ALBERTO FLÓREZ MORENO</v>
          </cell>
          <cell r="L342" t="str">
            <v>MARTHA RUT SILVA ABRIL</v>
          </cell>
          <cell r="M342">
            <v>45785</v>
          </cell>
          <cell r="N342">
            <v>45930</v>
          </cell>
          <cell r="O342">
            <v>45930</v>
          </cell>
          <cell r="P342" t="str">
            <v>Visitas de evaluación con fines de mejoramiento</v>
          </cell>
          <cell r="Q342" t="str">
            <v>20250930LiceoTécnicoBiliguePauloFreire.pdf</v>
          </cell>
          <cell r="R342" t="str">
            <v>Se evidencia la intensidad horaria y las horas mínimas anuales de cada ciclo se ajustan para los de preescolar, básica y media.</v>
          </cell>
          <cell r="S342" t="str">
            <v>Cumple el calendario académico</v>
          </cell>
          <cell r="T342" t="str">
            <v>No</v>
          </cell>
          <cell r="U342" t="str">
            <v>Continuar con el cumplimiento del calendario</v>
          </cell>
        </row>
        <row r="343">
          <cell r="A343">
            <v>2264</v>
          </cell>
          <cell r="B343">
            <v>37</v>
          </cell>
          <cell r="C343" t="str">
            <v>SUBA</v>
          </cell>
          <cell r="D343" t="str">
            <v>PRIVADO</v>
          </cell>
          <cell r="E343" t="str">
            <v>EPBM</v>
          </cell>
          <cell r="F343" t="str">
            <v>LICEO_TECNICO_BILINGÜE_PAULO_FREIRE</v>
          </cell>
          <cell r="G343" t="str">
            <v>LICEO TECNICO BILINGÜE PAULO FREIRE</v>
          </cell>
          <cell r="H343" t="str">
            <v>Autoevaluación Institucional y Pruebas SABER 11</v>
          </cell>
          <cell r="I343" t="str">
            <v>EVALUACIÓN_CON_FINES_DE_MEJORAMIENTO.</v>
          </cell>
          <cell r="J343" t="str">
            <v>Verificar el funcionamiento del Gobierno Escolar e instancias de participación con base en la información sobre conformación reportada por la institución educativa.</v>
          </cell>
          <cell r="K343" t="str">
            <v>GETULIO ALBERTO FLÓREZ MORENO</v>
          </cell>
          <cell r="L343" t="str">
            <v>MARTHA RUT SILVA ABRIL</v>
          </cell>
          <cell r="M343">
            <v>45785</v>
          </cell>
          <cell r="N343">
            <v>45930</v>
          </cell>
          <cell r="O343">
            <v>45930</v>
          </cell>
          <cell r="P343" t="str">
            <v>Visitas de evaluación con fines de mejoramiento</v>
          </cell>
          <cell r="Q343" t="str">
            <v>20250930LiceoTécnicoBiliguePauloFreire.pdf</v>
          </cell>
          <cell r="R343" t="str">
            <v xml:space="preserve">Existen espacios de participación escolar, los cuales fueron radicados al SAE, pero no son muy operativos. No se logró encontar la carpeta que permitiera evidenciar las Actas de conformación.  </v>
          </cell>
          <cell r="S343" t="str">
            <v xml:space="preserve">Se sugiere la ubicación de las carpetas con las actas respectivas e imprimir un mayor dinamismo al funcionamiento de fichos Consejos. </v>
          </cell>
          <cell r="T343" t="str">
            <v>Si</v>
          </cell>
          <cell r="U343" t="str">
            <v xml:space="preserve">Es procedente adelantar seguimiento al hallazgo de las carpetas respectivas y su funcionamiento al interior del colegio. </v>
          </cell>
        </row>
        <row r="344">
          <cell r="A344">
            <v>2265</v>
          </cell>
          <cell r="B344">
            <v>37</v>
          </cell>
          <cell r="C344" t="str">
            <v>SUBA</v>
          </cell>
          <cell r="D344" t="str">
            <v>PRIVADO</v>
          </cell>
          <cell r="E344" t="str">
            <v>EPBM</v>
          </cell>
          <cell r="F344" t="str">
            <v>LICEO_TECNICO_BILINGÜE_PAULO_FREIRE</v>
          </cell>
          <cell r="G344" t="str">
            <v>LICEO TECNICO BILINGÜE PAULO FREIRE</v>
          </cell>
          <cell r="H344" t="str">
            <v>Autoevaluación Institucional y Pruebas SABER 11</v>
          </cell>
          <cell r="I344" t="str">
            <v>EVALUACIÓN_CON_FINES_DE_MEJORAMIENTO.</v>
          </cell>
          <cell r="J344" t="str">
            <v>Verificar las condiciones en cuanto a: la estructura administrativa, condiciones de la planta física y medios educativos adecuados.</v>
          </cell>
          <cell r="K344" t="str">
            <v>GETULIO ALBERTO FLÓREZ MORENO</v>
          </cell>
          <cell r="L344" t="str">
            <v>MARTHA RUT SILVA ABRIL</v>
          </cell>
          <cell r="M344">
            <v>45785</v>
          </cell>
          <cell r="N344">
            <v>45930</v>
          </cell>
          <cell r="O344">
            <v>45930</v>
          </cell>
          <cell r="P344" t="str">
            <v>Visitas de evaluación con fines de mejoramiento</v>
          </cell>
          <cell r="Q344" t="str">
            <v>20250930LiceoTécnicoBiliguePauloFreire.pdf</v>
          </cell>
          <cell r="R344" t="str">
            <v>En en recorrido por las instalaciones se observa que un  edifico que requiere de mantenimiento en la mayoría de espacios locativos.  De igual forma se eviencia que los baños deben ser mejorados y adecuados en buena medida. Es urgente desocupar la bodega y se requiere mantenimiento del piso y pintura a nivel general.</v>
          </cell>
          <cell r="S344" t="str">
            <v>El colegio asume el compromiso de adelantar los mantenimientos locativos requeridos periódicamente, dando prioridad a los hallazgos que mayor potencialidad.</v>
          </cell>
          <cell r="T344" t="str">
            <v>Si</v>
          </cell>
          <cell r="U344" t="str">
            <v>Enviar informe con registro fotograficos de los espacios en óptimas condicidones.</v>
          </cell>
        </row>
        <row r="345">
          <cell r="A345">
            <v>2266</v>
          </cell>
          <cell r="B345">
            <v>38</v>
          </cell>
          <cell r="C345" t="str">
            <v>SUBA</v>
          </cell>
          <cell r="D345" t="str">
            <v>PRIVADO</v>
          </cell>
          <cell r="E345" t="str">
            <v>EPBM</v>
          </cell>
          <cell r="F345" t="str">
            <v>COLEGIO_MILITAR_ANTONIO_NARIÑO</v>
          </cell>
          <cell r="G345" t="str">
            <v>COLEGIO MILITAR ANTONIO NARIÑO</v>
          </cell>
          <cell r="H345" t="str">
            <v>Autoevaluación Institucional y Pruebas SABER 11</v>
          </cell>
          <cell r="I345" t="str">
            <v>SEGUIMIENTO_Y_SUPERVISIÓN.</v>
          </cell>
          <cell r="J345" t="str">
            <v>Realizar visitas para verificar la información registrada sobre la autoevaluación institucional en el aplicativo EVI, a los establecimientos de educación formal no oficial.</v>
          </cell>
          <cell r="K345" t="str">
            <v>JENNIFFER ESPERANZA GONZÁLEZ GÓMEZ</v>
          </cell>
          <cell r="L345" t="str">
            <v>SONIA YAMILE ARTEAGA MELO</v>
          </cell>
          <cell r="M345">
            <v>45923</v>
          </cell>
          <cell r="N345">
            <v>45890</v>
          </cell>
          <cell r="O345">
            <v>45890</v>
          </cell>
          <cell r="P345" t="str">
            <v>Visitas de evaluación con fines de seguimiento</v>
          </cell>
          <cell r="Q345" t="str">
            <v>acta visita CMAN 21082025.pdf</v>
          </cell>
          <cell r="R345" t="str">
            <v>Se evidencio que la instittución respondio el EVI con cifras que corresponden a la realidad en cuanto a las baterias de baño y espacio de biblioteca.</v>
          </cell>
          <cell r="S345" t="str">
            <v>los espacios requieren mejora en cuanto a limpieza, de igual forma no estan alineados al proyecto educativo STEAM</v>
          </cell>
          <cell r="T345" t="str">
            <v>Si</v>
          </cell>
          <cell r="U345" t="str">
            <v>Verificar el diligenciamiento y publicación de documentos en el aplicativo EVI para la vigencia 2026.</v>
          </cell>
        </row>
        <row r="346">
          <cell r="A346">
            <v>2267</v>
          </cell>
          <cell r="B346">
            <v>38</v>
          </cell>
          <cell r="C346" t="str">
            <v>SUBA</v>
          </cell>
          <cell r="D346" t="str">
            <v>PRIVADO</v>
          </cell>
          <cell r="E346" t="str">
            <v>EPBM</v>
          </cell>
          <cell r="F346" t="str">
            <v>COLEGIO_MILITAR_ANTONIO_NARIÑO</v>
          </cell>
          <cell r="G346" t="str">
            <v>COLEGIO MILITAR ANTONIO NARIÑO</v>
          </cell>
          <cell r="H346" t="str">
            <v>Autoevaluación Institucional y Pruebas SABER 11</v>
          </cell>
          <cell r="I346" t="str">
            <v>SEGUIMIENTO_Y_SUPERVISIÓN.</v>
          </cell>
          <cell r="J346" t="str">
            <v>Proponer estrategias en la formulación, verificar su elaboración y realizar seguimiento semestral al desarrollo de  las acciones establecidas en los planes de mejoramiento por pruebas SABER 11 de los establecimientos de educación formal.</v>
          </cell>
          <cell r="K346" t="str">
            <v>JENNIFFER ESPERANZA GONZÁLEZ GÓMEZ</v>
          </cell>
          <cell r="L346" t="str">
            <v>SONIA YAMILE ARTEAGA MELO</v>
          </cell>
          <cell r="M346">
            <v>45923</v>
          </cell>
          <cell r="N346">
            <v>45890</v>
          </cell>
          <cell r="O346">
            <v>45890</v>
          </cell>
          <cell r="P346" t="str">
            <v>Visitas de evaluación con fines de seguimiento</v>
          </cell>
          <cell r="Q346" t="str">
            <v>acta visita CMAN 21082025.pdf</v>
          </cell>
          <cell r="R346" t="str">
            <v>Se verificó el bajo resultado en las  Pruebas saber y la retroaliemntación realizada por los docentesa cerca de la evaluación de las  causales, asignaturas con más bajo resultado  y acciones de mejora.</v>
          </cell>
          <cell r="S346" t="str">
            <v>Revisar los resultados y la relación con las asignaturas del plan de estudio. Elaborar plan de mejoramiento sobre todos los indicadores y remitirlo a la DEL antes del 20 de septiembre</v>
          </cell>
          <cell r="T346" t="str">
            <v>Si</v>
          </cell>
          <cell r="U346" t="str">
            <v>Verificar los resultados y las acciones en las asignaturas que presentan puntajes más bajos en la próxima calificación de las pruebas</v>
          </cell>
        </row>
        <row r="347">
          <cell r="A347">
            <v>2268</v>
          </cell>
          <cell r="B347">
            <v>38</v>
          </cell>
          <cell r="C347" t="str">
            <v>SUBA</v>
          </cell>
          <cell r="D347" t="str">
            <v>PRIVADO</v>
          </cell>
          <cell r="E347" t="str">
            <v>EPBM</v>
          </cell>
          <cell r="F347" t="str">
            <v>COLEGIO_MILITAR_ANTONIO_NARIÑO</v>
          </cell>
          <cell r="G347" t="str">
            <v>COLEGIO MILITAR ANTONIO NARIÑO</v>
          </cell>
          <cell r="H347" t="str">
            <v>Autoevaluación Institucional y Pruebas SABER 11</v>
          </cell>
          <cell r="I347" t="str">
            <v>SEGUIMIENTO_Y_SUPERVISIÓN.</v>
          </cell>
          <cell r="J347" t="str">
            <v xml:space="preserve">Verificar la implementación por parte de los colegios, de acciones realizadas para la prevención y atención de las situaciones de convivencia en el entorno escolar, según lo establecido en la Directiva 01 de 2022 del MEN. </v>
          </cell>
          <cell r="K347" t="str">
            <v>JENNIFFER ESPERANZA GONZÁLEZ GÓMEZ</v>
          </cell>
          <cell r="L347" t="str">
            <v>SONIA YAMILE ARTEAGA MELO</v>
          </cell>
          <cell r="M347">
            <v>45923</v>
          </cell>
          <cell r="N347">
            <v>45890</v>
          </cell>
          <cell r="O347">
            <v>45890</v>
          </cell>
          <cell r="P347" t="str">
            <v>Visitas de evaluación con fines de seguimiento</v>
          </cell>
          <cell r="Q347" t="str">
            <v>acta visita CMAN 21082025.pdf</v>
          </cell>
          <cell r="R347" t="str">
            <v xml:space="preserve"> se verifica proceso sobre las consulta en la página de la policia de los antecedentes de los docentes de conformidad a la directiva  001 del 2022, no han realizado la consulta esta vigencia</v>
          </cell>
          <cell r="S347" t="str">
            <v xml:space="preserve">Realizar con las consultas en la pagina de antecedentes sexuales. Solicitar </v>
          </cell>
          <cell r="T347" t="str">
            <v>Si</v>
          </cell>
          <cell r="U347" t="str">
            <v>Verificar las modificaciones en manual de convivencia respecto a los protocolos de atención revisión que se llevará a cabo con fecha limite 20 de septiembre</v>
          </cell>
        </row>
        <row r="348">
          <cell r="A348">
            <v>2269</v>
          </cell>
          <cell r="B348">
            <v>38</v>
          </cell>
          <cell r="C348" t="str">
            <v>SUBA</v>
          </cell>
          <cell r="D348" t="str">
            <v>PRIVADO</v>
          </cell>
          <cell r="E348" t="str">
            <v>EPBM</v>
          </cell>
          <cell r="F348" t="str">
            <v>COLEGIO_MILITAR_ANTONIO_NARIÑO</v>
          </cell>
          <cell r="G348" t="str">
            <v>COLEGIO MILITAR ANTONIO NARIÑO</v>
          </cell>
          <cell r="H348" t="str">
            <v>Autoevaluación Institucional y Pruebas SABER 11</v>
          </cell>
          <cell r="I348" t="str">
            <v>SEGUIMIENTO_Y_SUPERVISIÓN.</v>
          </cell>
          <cell r="J3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48" t="str">
            <v>JENNIFFER ESPERANZA GONZÁLEZ GÓMEZ</v>
          </cell>
          <cell r="L348" t="str">
            <v>SONIA YAMILE ARTEAGA MELO</v>
          </cell>
          <cell r="M348">
            <v>45923</v>
          </cell>
          <cell r="N348">
            <v>45890</v>
          </cell>
          <cell r="O348">
            <v>45890</v>
          </cell>
          <cell r="P348" t="str">
            <v>Visitas de evaluación con fines de seguimiento</v>
          </cell>
          <cell r="Q348" t="str">
            <v>acta visita CMAN 21082025.pdf</v>
          </cell>
          <cell r="R348" t="str">
            <v>Se evidenció en el SIMAT que el colegio ntiene un estiudiante con marcacion, sin embargo maniiestan no tener  estudiantes matriculados en condición de discapacidad; no llevan carpetas con los PIAR de los estudiantes</v>
          </cell>
          <cell r="S348"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 PMI a la DLE antes del 20 de septiembre</v>
          </cell>
          <cell r="T348" t="str">
            <v>Si</v>
          </cell>
          <cell r="U348" t="str">
            <v>Verificar las modificaciones en manual de convivencia respecto a la poblacion con discapacidad.con fecha límite el 20 de septiembre</v>
          </cell>
        </row>
        <row r="349">
          <cell r="A349">
            <v>2270</v>
          </cell>
          <cell r="B349">
            <v>38</v>
          </cell>
          <cell r="C349" t="str">
            <v>SUBA</v>
          </cell>
          <cell r="D349" t="str">
            <v>PRIVADO</v>
          </cell>
          <cell r="E349" t="str">
            <v>EPBM</v>
          </cell>
          <cell r="F349" t="str">
            <v>COLEGIO_MILITAR_ANTONIO_NARIÑO</v>
          </cell>
          <cell r="G349" t="str">
            <v>COLEGIO MILITAR ANTONIO NARIÑO</v>
          </cell>
          <cell r="H349" t="str">
            <v>Autoevaluación Institucional y Pruebas SABER 11</v>
          </cell>
          <cell r="I349" t="str">
            <v>EVALUACIÓN_CON_FINES_DE_MEJORAMIENTO.</v>
          </cell>
          <cell r="J3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49" t="str">
            <v>JENNIFFER ESPERANZA GONZÁLEZ GÓMEZ</v>
          </cell>
          <cell r="L349" t="str">
            <v>SONIA YAMILE ARTEAGA MELO</v>
          </cell>
          <cell r="M349">
            <v>45923</v>
          </cell>
          <cell r="N349">
            <v>45890</v>
          </cell>
          <cell r="O349">
            <v>45890</v>
          </cell>
          <cell r="P349" t="str">
            <v>Visitas de evaluación con fines de mejoramiento</v>
          </cell>
          <cell r="Q349" t="str">
            <v>acta visita CMAN 21082025.pdf</v>
          </cell>
          <cell r="R349" t="str">
            <v>Se encontro que al revisar el manual de convivencia , con la última actualización, falta añadir algunas normas en el marco jurídico, falta desarrollar lo que tiene que ver con protocolos de atencion, debido proceso, entre otros.</v>
          </cell>
          <cell r="S349" t="str">
            <v>Elaborar plan de mejoramiento sobre todos los indicadores y DEL antes del 20 DE SEPTIEMBRE</v>
          </cell>
          <cell r="T349" t="str">
            <v>Si</v>
          </cell>
          <cell r="U349" t="str">
            <v>Revisar la actualización del manual de convivencia ccon fecha límite el 20 de septiembre</v>
          </cell>
        </row>
        <row r="350">
          <cell r="A350">
            <v>2271</v>
          </cell>
          <cell r="B350">
            <v>38</v>
          </cell>
          <cell r="C350" t="str">
            <v>SUBA</v>
          </cell>
          <cell r="D350" t="str">
            <v>PRIVADO</v>
          </cell>
          <cell r="E350" t="str">
            <v>EPBM</v>
          </cell>
          <cell r="F350" t="str">
            <v>COLEGIO_MILITAR_ANTONIO_NARIÑO</v>
          </cell>
          <cell r="G350" t="str">
            <v>COLEGIO MILITAR ANTONIO NARIÑO</v>
          </cell>
          <cell r="H350" t="str">
            <v>Autoevaluación Institucional y Pruebas SABER 11</v>
          </cell>
          <cell r="I350" t="str">
            <v>EVALUACIÓN_CON_FINES_DE_MEJORAMIENTO.</v>
          </cell>
          <cell r="J350" t="str">
            <v>Revisar la actualización, socialización e implementación del Sistema Institucional de Evaluación de Estudiantes - SIEE, en articulación con la actualización del PEI y la normatividad vigente.</v>
          </cell>
          <cell r="K350" t="str">
            <v>JENNIFFER ESPERANZA GONZÁLEZ GÓMEZ</v>
          </cell>
          <cell r="L350" t="str">
            <v>SONIA YAMILE ARTEAGA MELO</v>
          </cell>
          <cell r="M350">
            <v>45923</v>
          </cell>
          <cell r="N350">
            <v>45890</v>
          </cell>
          <cell r="O350">
            <v>45890</v>
          </cell>
          <cell r="P350" t="str">
            <v>Visitas de evaluación con fines de mejoramiento</v>
          </cell>
          <cell r="Q350" t="str">
            <v>acta visita CMAN 21082025.pdf</v>
          </cell>
          <cell r="R350" t="str">
            <v>Se realizó retroalimentación sobre  el SIEE, el cual no está en consonancia con el PEI, se retroalimento sobre el funcionamiento de las comisiones de promoción.</v>
          </cell>
          <cell r="S350" t="str">
            <v>Realizar los ajustes de conformidad con las observaciones realizada mediante la programacion de su plan de mejoramiento en la visita DEL antes del 20 de septiembre</v>
          </cell>
          <cell r="T350" t="str">
            <v>Si</v>
          </cell>
          <cell r="U350" t="str">
            <v>Revisar la actualización del manual de convivencia en lo relacionado con el  SIIE con fecha límite el 20 de septiembre</v>
          </cell>
        </row>
        <row r="351">
          <cell r="A351">
            <v>2272</v>
          </cell>
          <cell r="B351">
            <v>38</v>
          </cell>
          <cell r="C351" t="str">
            <v>SUBA</v>
          </cell>
          <cell r="D351" t="str">
            <v>PRIVADO</v>
          </cell>
          <cell r="E351" t="str">
            <v>EPBM</v>
          </cell>
          <cell r="F351" t="str">
            <v>COLEGIO_MILITAR_ANTONIO_NARIÑO</v>
          </cell>
          <cell r="G351" t="str">
            <v>COLEGIO MILITAR ANTONIO NARIÑO</v>
          </cell>
          <cell r="H351" t="str">
            <v>Autoevaluación Institucional y Pruebas SABER 11</v>
          </cell>
          <cell r="I351" t="str">
            <v>EVALUACIÓN_CON_FINES_DE_MEJORAMIENTO.</v>
          </cell>
          <cell r="J351" t="str">
            <v>Revisar el calendario escolar, jornada escolar, la intensidad horaria mínima anual en cada nivel y las modificaciones que se realicen al mismo, de acuerdo con lo previsto en la normatividad vigente.</v>
          </cell>
          <cell r="K351" t="str">
            <v>JENNIFFER ESPERANZA GONZÁLEZ GÓMEZ</v>
          </cell>
          <cell r="L351" t="str">
            <v>SONIA YAMILE ARTEAGA MELO</v>
          </cell>
          <cell r="M351">
            <v>45923</v>
          </cell>
          <cell r="N351">
            <v>45890</v>
          </cell>
          <cell r="O351">
            <v>45890</v>
          </cell>
          <cell r="P351" t="str">
            <v>Visitas de evaluación con fines de mejoramiento</v>
          </cell>
          <cell r="Q351" t="str">
            <v>acta visita CMAN 21082025.pdf</v>
          </cell>
          <cell r="R351" t="str">
            <v>La intensidad horaria y las horas mínimas anuales   se ajustan a la normatividad vigente.</v>
          </cell>
          <cell r="S351" t="str">
            <v xml:space="preserve">se debe revisar mallas curriculares y proyectos, para tener el hrizonte mas claro durante la jornada academica. </v>
          </cell>
          <cell r="T351" t="str">
            <v>Si</v>
          </cell>
          <cell r="U351" t="str">
            <v>Realizar revisión de calendario academicopara la vigencia 2026</v>
          </cell>
        </row>
        <row r="352">
          <cell r="A352">
            <v>2273</v>
          </cell>
          <cell r="B352">
            <v>38</v>
          </cell>
          <cell r="C352" t="str">
            <v>SUBA</v>
          </cell>
          <cell r="D352" t="str">
            <v>PRIVADO</v>
          </cell>
          <cell r="E352" t="str">
            <v>EPBM</v>
          </cell>
          <cell r="F352" t="str">
            <v>COLEGIO_MILITAR_ANTONIO_NARIÑO</v>
          </cell>
          <cell r="G352" t="str">
            <v>COLEGIO MILITAR ANTONIO NARIÑO</v>
          </cell>
          <cell r="H352" t="str">
            <v>Autoevaluación Institucional y Pruebas SABER 11</v>
          </cell>
          <cell r="I352" t="str">
            <v>EVALUACIÓN_CON_FINES_DE_MEJORAMIENTO.</v>
          </cell>
          <cell r="J352" t="str">
            <v>Verificar el funcionamiento del Gobierno Escolar e instancias de participación con base en la información sobre conformación reportada por la institución educativa.</v>
          </cell>
          <cell r="K352" t="str">
            <v>JENNIFFER ESPERANZA GONZÁLEZ GÓMEZ</v>
          </cell>
          <cell r="L352" t="str">
            <v>SONIA YAMILE ARTEAGA MELO</v>
          </cell>
          <cell r="M352">
            <v>45923</v>
          </cell>
          <cell r="N352">
            <v>45890</v>
          </cell>
          <cell r="O352">
            <v>45890</v>
          </cell>
          <cell r="P352" t="str">
            <v>Visitas de evaluación con fines de mejoramiento</v>
          </cell>
          <cell r="Q352" t="str">
            <v>acta visita CMAN 21082025.pdf</v>
          </cell>
          <cell r="R352" t="str">
            <v>Se evidenciaron las actas de conformación de gobierno escolar, las cuales estan  cargadas en el SAE. Sobre el funcionamiento no han sesionado.</v>
          </cell>
          <cell r="S352" t="str">
            <v xml:space="preserve"> Sesionar con cada órgano de gobierno de conformidad con la periodicidad establecida en la norma, plan de mejoramiento en la visita DEL antes del 20 de septiembre</v>
          </cell>
          <cell r="T352" t="str">
            <v>Si</v>
          </cell>
          <cell r="U352" t="str">
            <v>Verificar el SAE  y verificar el funcionamiento de  los organos de gobierno.</v>
          </cell>
        </row>
        <row r="353">
          <cell r="A353">
            <v>2274</v>
          </cell>
          <cell r="B353">
            <v>38</v>
          </cell>
          <cell r="C353" t="str">
            <v>SUBA</v>
          </cell>
          <cell r="D353" t="str">
            <v>PRIVADO</v>
          </cell>
          <cell r="E353" t="str">
            <v>EPBM</v>
          </cell>
          <cell r="F353" t="str">
            <v>COLEGIO_MILITAR_ANTONIO_NARIÑO</v>
          </cell>
          <cell r="G353" t="str">
            <v>COLEGIO MILITAR ANTONIO NARIÑO</v>
          </cell>
          <cell r="H353" t="str">
            <v>Autoevaluación Institucional y Pruebas SABER 11</v>
          </cell>
          <cell r="I353" t="str">
            <v>EVALUACIÓN_CON_FINES_DE_MEJORAMIENTO.</v>
          </cell>
          <cell r="J353" t="str">
            <v>Verificar las condiciones en cuanto a: la estructura administrativa, condiciones de la planta física y medios educativos adecuados.</v>
          </cell>
          <cell r="K353" t="str">
            <v>JENNIFFER ESPERANZA GONZÁLEZ GÓMEZ</v>
          </cell>
          <cell r="L353" t="str">
            <v>SONIA YAMILE ARTEAGA MELO</v>
          </cell>
          <cell r="M353">
            <v>45923</v>
          </cell>
          <cell r="N353">
            <v>45890</v>
          </cell>
          <cell r="O353">
            <v>45890</v>
          </cell>
          <cell r="P353" t="str">
            <v>Visitas de evaluación con fines de mejoramiento</v>
          </cell>
          <cell r="Q353" t="str">
            <v>acta visita CMAN 21082025.pdf</v>
          </cell>
          <cell r="R353" t="str">
            <v>Se encontró que los espacios pedagogicos de biblioteca, sala de sistemas, áreas comunes y baterias de baños requieren mantenimiento</v>
          </cell>
          <cell r="S353" t="str">
            <v>Realizar las adecuaciones en los espacios mencionados. Plan de mejoramiento con fecha de entrega antes del 20 de septiembre</v>
          </cell>
          <cell r="T353" t="str">
            <v>Si</v>
          </cell>
          <cell r="U353" t="str">
            <v>informe de seguimiento del avance con registro fotográfico, en un plazo máximo de antes del 20 de septiembre</v>
          </cell>
        </row>
        <row r="354">
          <cell r="A354">
            <v>2275</v>
          </cell>
          <cell r="B354">
            <v>39</v>
          </cell>
          <cell r="C354" t="str">
            <v>SUBA</v>
          </cell>
          <cell r="D354" t="str">
            <v>PRIVADO</v>
          </cell>
          <cell r="E354" t="str">
            <v>EPBM</v>
          </cell>
          <cell r="F354" t="str">
            <v>COLEGIO_SANTO_TORIBIO_DE_MONGROVEJO</v>
          </cell>
          <cell r="G354" t="str">
            <v>COLEGIO SANTO TORIBIO DE MONGROVEJO</v>
          </cell>
          <cell r="H354" t="str">
            <v>Autoevaluación Institucional y Pruebas SABER 11</v>
          </cell>
          <cell r="I354" t="str">
            <v>SEGUIMIENTO_Y_SUPERVISIÓN.</v>
          </cell>
          <cell r="J354" t="str">
            <v>Realizar visitas para verificar la información registrada sobre la autoevaluación institucional en el aplicativo EVI, a los establecimientos de educación formal no oficial.</v>
          </cell>
          <cell r="K354" t="str">
            <v>JUAN MANUEL SANCHEZ MORA</v>
          </cell>
          <cell r="L354" t="str">
            <v>MARTHA RUT SILVA ABRIL</v>
          </cell>
          <cell r="M354">
            <v>45729</v>
          </cell>
          <cell r="N354">
            <v>45742</v>
          </cell>
          <cell r="O354">
            <v>45742</v>
          </cell>
          <cell r="P354" t="str">
            <v>Visitas de evaluación con fines de seguimiento</v>
          </cell>
          <cell r="Q354" t="str">
            <v>26032025 Col santo Toribo de Mongrovejo.pdf</v>
          </cell>
          <cell r="R354" t="str">
            <v xml:space="preserve">Se observó que la institución educativa debe relizar ajustes en la autoevaluación con base en su realidad institucional </v>
          </cell>
          <cell r="S354" t="str">
            <v>Elaborar el plan de mejoraminto para realizar las adecuaciones en los espacios mencionados</v>
          </cell>
          <cell r="T354" t="str">
            <v>Si</v>
          </cell>
          <cell r="U354" t="str">
            <v>Informe de seguimiento con registro fotográfico, en un plazo máximo de 31 de julio</v>
          </cell>
        </row>
        <row r="355">
          <cell r="A355">
            <v>2276</v>
          </cell>
          <cell r="B355">
            <v>39</v>
          </cell>
          <cell r="C355" t="str">
            <v>SUBA</v>
          </cell>
          <cell r="D355" t="str">
            <v>PRIVADO</v>
          </cell>
          <cell r="E355" t="str">
            <v>EPBM</v>
          </cell>
          <cell r="F355" t="str">
            <v>COLEGIO_SANTO_TORIBIO_DE_MONGROVEJO</v>
          </cell>
          <cell r="G355" t="str">
            <v>COLEGIO SANTO TORIBIO DE MONGROVEJO</v>
          </cell>
          <cell r="H355" t="str">
            <v>Autoevaluación Institucional y Pruebas SABER 11</v>
          </cell>
          <cell r="I355" t="str">
            <v>SEGUIMIENTO_Y_SUPERVISIÓN.</v>
          </cell>
          <cell r="J355" t="str">
            <v>Proponer estrategias en la formulación, verificar su elaboración y realizar seguimiento semestral al desarrollo de  las acciones establecidas en los planes de mejoramiento por pruebas SABER 11 de los establecimientos de educación formal.</v>
          </cell>
          <cell r="K355" t="str">
            <v>JUAN MANUEL SANCHEZ MORA</v>
          </cell>
          <cell r="L355" t="str">
            <v>MARTHA RUT SILVA ABRIL</v>
          </cell>
          <cell r="M355">
            <v>45729</v>
          </cell>
          <cell r="N355">
            <v>45742</v>
          </cell>
          <cell r="O355">
            <v>45742</v>
          </cell>
          <cell r="P355" t="str">
            <v>Visitas de evaluación con fines de seguimiento</v>
          </cell>
          <cell r="Q355" t="str">
            <v>26032025 Col santo Toribo de Mongrovejo.pdf</v>
          </cell>
          <cell r="R355" t="str">
            <v>Se observó que la institución educativa se encuentra clasificada en nivel A puntaje 279, realiza el análsis  y crea estrategias con medición del avance académico de los estudiantes.</v>
          </cell>
          <cell r="S355" t="str">
            <v>Elaborar cronograma de reuniones de análisis de resultados 2024.</v>
          </cell>
          <cell r="T355" t="str">
            <v>No</v>
          </cell>
          <cell r="U355" t="str">
            <v>Continuar con el seguimiento de medicion del avance académico se realizará seguimiento en el semestre de 2026</v>
          </cell>
        </row>
        <row r="356">
          <cell r="A356">
            <v>2277</v>
          </cell>
          <cell r="B356">
            <v>39</v>
          </cell>
          <cell r="C356" t="str">
            <v>SUBA</v>
          </cell>
          <cell r="D356" t="str">
            <v>PRIVADO</v>
          </cell>
          <cell r="E356" t="str">
            <v>EPBM</v>
          </cell>
          <cell r="F356" t="str">
            <v>COLEGIO_SANTO_TORIBIO_DE_MONGROVEJO</v>
          </cell>
          <cell r="G356" t="str">
            <v>COLEGIO SANTO TORIBIO DE MONGROVEJO</v>
          </cell>
          <cell r="H356" t="str">
            <v>Autoevaluación Institucional y Pruebas SABER 11</v>
          </cell>
          <cell r="I356" t="str">
            <v>SEGUIMIENTO_Y_SUPERVISIÓN.</v>
          </cell>
          <cell r="J356" t="str">
            <v xml:space="preserve">Verificar la implementación por parte de los colegios, de acciones realizadas para la prevención y atención de las situaciones de convivencia en el entorno escolar, según lo establecido en la Directiva 01 de 2022 del MEN. </v>
          </cell>
          <cell r="K356" t="str">
            <v>JUAN MANUEL SANCHEZ MORA</v>
          </cell>
          <cell r="L356" t="str">
            <v>MARTHA RUT SILVA ABRIL</v>
          </cell>
          <cell r="M356">
            <v>45729</v>
          </cell>
          <cell r="N356">
            <v>45742</v>
          </cell>
          <cell r="O356">
            <v>45742</v>
          </cell>
          <cell r="P356" t="str">
            <v>Visitas de evaluación con fines de seguimiento</v>
          </cell>
          <cell r="Q356" t="str">
            <v>26032025 Col santo Toribo de Mongrovejo.pdf</v>
          </cell>
          <cell r="R356" t="str">
            <v>Se encontró que cuenta  con la consulta de inhabliddes por delitos sexuales para el inicio del año 2025, tiene acceso al sistema de alertas.</v>
          </cell>
          <cell r="S356" t="str">
            <v xml:space="preserve">Continuar la consulta cada 4 meses, dejando el respectivo soporte, en cumplimiento de la Directiva 01 de 2022  </v>
          </cell>
          <cell r="T356" t="str">
            <v>No</v>
          </cell>
          <cell r="U356" t="str">
            <v xml:space="preserve">Continuar con la consulta periodica de acuerdo con lo establecido en la directiva 01 del 2022 y realizar los reportes a que haya lugar en el sistema  de alertas </v>
          </cell>
        </row>
        <row r="357">
          <cell r="A357">
            <v>2278</v>
          </cell>
          <cell r="B357">
            <v>39</v>
          </cell>
          <cell r="C357" t="str">
            <v>SUBA</v>
          </cell>
          <cell r="D357" t="str">
            <v>PRIVADO</v>
          </cell>
          <cell r="E357" t="str">
            <v>EPBM</v>
          </cell>
          <cell r="F357" t="str">
            <v>COLEGIO_SANTO_TORIBIO_DE_MONGROVEJO</v>
          </cell>
          <cell r="G357" t="str">
            <v>COLEGIO SANTO TORIBIO DE MONGROVEJO</v>
          </cell>
          <cell r="H357" t="str">
            <v>Autoevaluación Institucional y Pruebas SABER 11</v>
          </cell>
          <cell r="I357" t="str">
            <v>SEGUIMIENTO_Y_SUPERVISIÓN.</v>
          </cell>
          <cell r="J35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57" t="str">
            <v>JUAN MANUEL SANCHEZ MORA</v>
          </cell>
          <cell r="L357" t="str">
            <v>MARTHA RUT SILVA ABRIL</v>
          </cell>
          <cell r="M357">
            <v>45729</v>
          </cell>
          <cell r="N357">
            <v>45742</v>
          </cell>
          <cell r="O357">
            <v>45742</v>
          </cell>
          <cell r="P357" t="str">
            <v>Visitas de evaluación con fines de seguimiento</v>
          </cell>
          <cell r="Q357" t="str">
            <v>26032025 Col santo Toribo de Mongrovejo.pdf</v>
          </cell>
          <cell r="R357" t="str">
            <v>Se encontró que el PIAR no está completo y no corresponde al formato establecido que permita determinar las discapacidades y las acciones a realizar con cada estudiante.</v>
          </cell>
          <cell r="S357" t="str">
            <v>Realizar los PIAR en el formato establecido, con las acciones completas a seguir con cada estudiante según Decreto 1421 de 2017. Plan de mejoramiento con fecha de entrega 30 de abril</v>
          </cell>
          <cell r="T357" t="str">
            <v>Si</v>
          </cell>
          <cell r="U357" t="str">
            <v>Realizar el Seguimiento a traveés del Plan de mejoramiento aportando el formato debidamente diligenciado en cada uno de sus componentes por cada estudiante en un plazo máximo de 31 de julio</v>
          </cell>
        </row>
        <row r="358">
          <cell r="A358">
            <v>2279</v>
          </cell>
          <cell r="B358">
            <v>39</v>
          </cell>
          <cell r="C358" t="str">
            <v>SUBA</v>
          </cell>
          <cell r="D358" t="str">
            <v>PRIVADO</v>
          </cell>
          <cell r="E358" t="str">
            <v>EPBM</v>
          </cell>
          <cell r="F358" t="str">
            <v>COLEGIO_SANTO_TORIBIO_DE_MONGROVEJO</v>
          </cell>
          <cell r="G358" t="str">
            <v>COLEGIO SANTO TORIBIO DE MONGROVEJO</v>
          </cell>
          <cell r="H358" t="str">
            <v>Autoevaluación Institucional y Pruebas SABER 11</v>
          </cell>
          <cell r="I358" t="str">
            <v>EVALUACIÓN_CON_FINES_DE_MEJORAMIENTO.</v>
          </cell>
          <cell r="J35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58" t="str">
            <v>JUAN MANUEL SANCHEZ MORA</v>
          </cell>
          <cell r="L358" t="str">
            <v>MARTHA RUT SILVA ABRIL</v>
          </cell>
          <cell r="M358">
            <v>45729</v>
          </cell>
          <cell r="N358">
            <v>45742</v>
          </cell>
          <cell r="O358">
            <v>45742</v>
          </cell>
          <cell r="P358" t="str">
            <v>Visitas de evaluación con fines de mejoramiento</v>
          </cell>
          <cell r="Q358" t="str">
            <v>26032025 Col santo Toribo de Mongrovejo.pdf</v>
          </cell>
          <cell r="R358" t="str">
            <v>Se encontró que la última actualización es del año 2023, falta estructurar el debido proceso y desarollar los protocolos de atención</v>
          </cell>
          <cell r="S358" t="str">
            <v>Actualizar el manual de convivencia según la normatividad vigente. Plan de mejoramiento con fecha de entrega 30 de abril</v>
          </cell>
          <cell r="T358" t="str">
            <v>Si</v>
          </cell>
          <cell r="U358" t="str">
            <v>Verificar la actualización del manual de convivencia en un plazo máximo de 31 de julio</v>
          </cell>
        </row>
        <row r="359">
          <cell r="A359">
            <v>2280</v>
          </cell>
          <cell r="B359">
            <v>39</v>
          </cell>
          <cell r="C359" t="str">
            <v>SUBA</v>
          </cell>
          <cell r="D359" t="str">
            <v>PRIVADO</v>
          </cell>
          <cell r="E359" t="str">
            <v>EPBM</v>
          </cell>
          <cell r="F359" t="str">
            <v>COLEGIO_SANTO_TORIBIO_DE_MONGROVEJO</v>
          </cell>
          <cell r="G359" t="str">
            <v>COLEGIO SANTO TORIBIO DE MONGROVEJO</v>
          </cell>
          <cell r="H359" t="str">
            <v>Autoevaluación Institucional y Pruebas SABER 11</v>
          </cell>
          <cell r="I359" t="str">
            <v>EVALUACIÓN_CON_FINES_DE_MEJORAMIENTO.</v>
          </cell>
          <cell r="J359" t="str">
            <v>Revisar la actualización, socialización e implementación del Sistema Institucional de Evaluación de Estudiantes - SIEE, en articulación con la actualización del PEI y la normatividad vigente.</v>
          </cell>
          <cell r="K359" t="str">
            <v>JUAN MANUEL SANCHEZ MORA</v>
          </cell>
          <cell r="L359" t="str">
            <v>MARTHA RUT SILVA ABRIL</v>
          </cell>
          <cell r="M359">
            <v>45729</v>
          </cell>
          <cell r="N359">
            <v>45742</v>
          </cell>
          <cell r="O359">
            <v>45742</v>
          </cell>
          <cell r="P359" t="str">
            <v>Visitas de evaluación con fines de mejoramiento</v>
          </cell>
          <cell r="Q359" t="str">
            <v>26032025 Col santo Toribo de Mongrovejo.pdf</v>
          </cell>
          <cell r="R359" t="str">
            <v xml:space="preserve">Revisado el SIEE cuenta con los criterios de evaluación y promoción, escala valorativa, sin embargo no hay evidencia de la socialización con estudiantes y padres de familia </v>
          </cell>
          <cell r="S359" t="str">
            <v>Realizar la socialización del SIEE con estudiantes y padres de familia. Plan de mejoramiento con fecha de entrega 30 de abril.</v>
          </cell>
          <cell r="T359" t="str">
            <v>Si</v>
          </cell>
          <cell r="U359" t="str">
            <v>Verificar la socialización del SIEE a través de acta con esrudiantes y padres  de familia en un plazo máximo de 31 de julio</v>
          </cell>
        </row>
        <row r="360">
          <cell r="A360">
            <v>2281</v>
          </cell>
          <cell r="B360">
            <v>39</v>
          </cell>
          <cell r="C360" t="str">
            <v>SUBA</v>
          </cell>
          <cell r="D360" t="str">
            <v>PRIVADO</v>
          </cell>
          <cell r="E360" t="str">
            <v>EPBM</v>
          </cell>
          <cell r="F360" t="str">
            <v>COLEGIO_SANTO_TORIBIO_DE_MONGROVEJO</v>
          </cell>
          <cell r="G360" t="str">
            <v>COLEGIO SANTO TORIBIO DE MONGROVEJO</v>
          </cell>
          <cell r="H360" t="str">
            <v>Autoevaluación Institucional y Pruebas SABER 11</v>
          </cell>
          <cell r="I360" t="str">
            <v>EVALUACIÓN_CON_FINES_DE_MEJORAMIENTO.</v>
          </cell>
          <cell r="J360" t="str">
            <v>Revisar el calendario escolar, jornada escolar, la intensidad horaria mínima anual en cada nivel y las modificaciones que se realicen al mismo, de acuerdo con lo previsto en la normatividad vigente.</v>
          </cell>
          <cell r="K360" t="str">
            <v>JUAN MANUEL SANCHEZ MORA</v>
          </cell>
          <cell r="L360" t="str">
            <v>MARTHA RUT SILVA ABRIL</v>
          </cell>
          <cell r="M360">
            <v>45729</v>
          </cell>
          <cell r="N360">
            <v>45742</v>
          </cell>
          <cell r="O360">
            <v>45742</v>
          </cell>
          <cell r="P360" t="str">
            <v>Visitas de evaluación con fines de mejoramiento</v>
          </cell>
          <cell r="Q360" t="str">
            <v>26032025 Col santo Toribo de Mongrovejo.pdf</v>
          </cell>
          <cell r="R360" t="str">
            <v xml:space="preserve">Cumple con el número de semanas y horas por cada nivel y realizó reporte de información del calendario escolar. </v>
          </cell>
          <cell r="S360" t="str">
            <v xml:space="preserve">Continuar con el cumplimiento del calendario  </v>
          </cell>
          <cell r="T360" t="str">
            <v>No</v>
          </cell>
          <cell r="U360" t="str">
            <v xml:space="preserve">Continuar con el cumplimiento del calendario, se realizará seguimento en el primer trimestre de 2026 </v>
          </cell>
        </row>
        <row r="361">
          <cell r="A361">
            <v>2282</v>
          </cell>
          <cell r="B361">
            <v>39</v>
          </cell>
          <cell r="C361" t="str">
            <v>SUBA</v>
          </cell>
          <cell r="D361" t="str">
            <v>PRIVADO</v>
          </cell>
          <cell r="E361" t="str">
            <v>EPBM</v>
          </cell>
          <cell r="F361" t="str">
            <v>COLEGIO_SANTO_TORIBIO_DE_MONGROVEJO</v>
          </cell>
          <cell r="G361" t="str">
            <v>COLEGIO SANTO TORIBIO DE MONGROVEJO</v>
          </cell>
          <cell r="H361" t="str">
            <v>Autoevaluación Institucional y Pruebas SABER 11</v>
          </cell>
          <cell r="I361" t="str">
            <v>EVALUACIÓN_CON_FINES_DE_MEJORAMIENTO.</v>
          </cell>
          <cell r="J361" t="str">
            <v>Verificar el funcionamiento del Gobierno Escolar e instancias de participación con base en la información sobre conformación reportada por la institución educativa.</v>
          </cell>
          <cell r="K361" t="str">
            <v>JUAN MANUEL SANCHEZ MORA</v>
          </cell>
          <cell r="L361" t="str">
            <v>MARTHA RUT SILVA ABRIL</v>
          </cell>
          <cell r="M361">
            <v>45729</v>
          </cell>
          <cell r="N361">
            <v>45742</v>
          </cell>
          <cell r="O361">
            <v>45742</v>
          </cell>
          <cell r="P361" t="str">
            <v>Visitas de evaluación con fines de mejoramiento</v>
          </cell>
          <cell r="Q361" t="str">
            <v>26032025 Col santo Toribo de Mongrovejo.pdf</v>
          </cell>
          <cell r="R361" t="str">
            <v>Se conformó el gobierno escolar con reporte en el aplicativo SAE y se evidencian actas de reunión de los óragcos de gobierno.</v>
          </cell>
          <cell r="S361" t="str">
            <v xml:space="preserve">Realizar las reuniones periodicas de cada uno de los estamentos de gobierno escolar </v>
          </cell>
          <cell r="T361" t="str">
            <v>No</v>
          </cell>
          <cell r="U361" t="str">
            <v>Continuar con las reuniones de los óganos de gobierno</v>
          </cell>
        </row>
        <row r="362">
          <cell r="A362">
            <v>2283</v>
          </cell>
          <cell r="B362">
            <v>39</v>
          </cell>
          <cell r="C362" t="str">
            <v>SUBA</v>
          </cell>
          <cell r="D362" t="str">
            <v>PRIVADO</v>
          </cell>
          <cell r="E362" t="str">
            <v>EPBM</v>
          </cell>
          <cell r="F362" t="str">
            <v>COLEGIO_SANTO_TORIBIO_DE_MONGROVEJO</v>
          </cell>
          <cell r="G362" t="str">
            <v>COLEGIO SANTO TORIBIO DE MONGROVEJO</v>
          </cell>
          <cell r="H362" t="str">
            <v>Autoevaluación Institucional y Pruebas SABER 11</v>
          </cell>
          <cell r="I362" t="str">
            <v>EVALUACIÓN_CON_FINES_DE_MEJORAMIENTO.</v>
          </cell>
          <cell r="J362" t="str">
            <v>Verificar las condiciones en cuanto a: la estructura administrativa, condiciones de la planta física y medios educativos adecuados.</v>
          </cell>
          <cell r="K362" t="str">
            <v>JUAN MANUEL SANCHEZ MORA</v>
          </cell>
          <cell r="L362" t="str">
            <v>MARTHA RUT SILVA ABRIL</v>
          </cell>
          <cell r="M362">
            <v>45729</v>
          </cell>
          <cell r="N362">
            <v>45742</v>
          </cell>
          <cell r="O362">
            <v>45742</v>
          </cell>
          <cell r="P362" t="str">
            <v>Visitas de evaluación con fines de mejoramiento</v>
          </cell>
          <cell r="Q362" t="str">
            <v>26032025 Col santo Toribo de Mongrovejo.pdf</v>
          </cell>
          <cell r="R362" t="str">
            <v>Se encontró que los espacios pedagogicos de biblioteca, sala de sistemas, áreas comunes y baterias de baños no se encuentran adecuados para la población con discapacidad.</v>
          </cell>
          <cell r="S362" t="str">
            <v>Realizar las adecuaciones en los espacios mencionados. Plan de mejoramiento con fecha de entrega 30 de abril.</v>
          </cell>
          <cell r="T362" t="str">
            <v>Si</v>
          </cell>
          <cell r="U362" t="str">
            <v>informe de seguimiento del avance con registro fotográfico, en un plazo máximo de 31 de julio</v>
          </cell>
        </row>
        <row r="363">
          <cell r="A363">
            <v>2284</v>
          </cell>
          <cell r="B363">
            <v>40</v>
          </cell>
          <cell r="C363" t="str">
            <v>SUBA</v>
          </cell>
          <cell r="D363" t="str">
            <v>PRIVADO</v>
          </cell>
          <cell r="E363" t="str">
            <v>EPBM</v>
          </cell>
          <cell r="F363" t="str">
            <v>LICEO_EMPRESARIAL_DEL_CAMPO</v>
          </cell>
          <cell r="G363" t="str">
            <v>LICEO EMPRESARIAL DEL CAMPO</v>
          </cell>
          <cell r="H363" t="str">
            <v>Autoevaluación Institucional y Pruebas SABER 11</v>
          </cell>
          <cell r="I363" t="str">
            <v>SEGUIMIENTO_Y_SUPERVISIÓN.</v>
          </cell>
          <cell r="J363" t="str">
            <v>Realizar visitas para verificar la información registrada sobre la autoevaluación institucional en el aplicativo EVI, a los establecimientos de educación formal no oficial.</v>
          </cell>
          <cell r="K363" t="str">
            <v>SONIA YAMILE ARTEAGA MELO</v>
          </cell>
          <cell r="L363" t="str">
            <v>JENNIFFER ESPERANZA GONZÁLEZ GÓMEZ</v>
          </cell>
          <cell r="M363">
            <v>45951</v>
          </cell>
          <cell r="N363">
            <v>45926</v>
          </cell>
          <cell r="O363">
            <v>45926</v>
          </cell>
          <cell r="P363" t="str">
            <v>Visitas de evaluación con fines de seguimiento</v>
          </cell>
          <cell r="Q363" t="str">
            <v>20252509ActaLiceoEmpresarialDelCampo.pdf</v>
          </cell>
          <cell r="R363" t="str">
            <v>Información registrada en la plataforma EVI del MEN, para el año 2025, coincide con lo identificado en la visita administrativa</v>
          </cell>
          <cell r="S363" t="str">
            <v>Continuar realizando reporte de acuerdo con situación real de la institución.</v>
          </cell>
          <cell r="T363" t="str">
            <v>No</v>
          </cell>
          <cell r="U363" t="str">
            <v>Verificar el diligenciamiento y publicación de documentos en el aplicativo EVI para la vigencia 2026.</v>
          </cell>
        </row>
        <row r="364">
          <cell r="A364">
            <v>2285</v>
          </cell>
          <cell r="B364">
            <v>40</v>
          </cell>
          <cell r="C364" t="str">
            <v>SUBA</v>
          </cell>
          <cell r="D364" t="str">
            <v>PRIVADO</v>
          </cell>
          <cell r="E364" t="str">
            <v>EPBM</v>
          </cell>
          <cell r="F364" t="str">
            <v>LICEO_EMPRESARIAL_DEL_CAMPO</v>
          </cell>
          <cell r="G364" t="str">
            <v>LICEO EMPRESARIAL DEL CAMPO</v>
          </cell>
          <cell r="H364" t="str">
            <v>Autoevaluación Institucional y Pruebas SABER 11</v>
          </cell>
          <cell r="I364" t="str">
            <v>SEGUIMIENTO_Y_SUPERVISIÓN.</v>
          </cell>
          <cell r="J364" t="str">
            <v>Proponer estrategias en la formulación, verificar su elaboración y realizar seguimiento semestral al desarrollo de  las acciones establecidas en los planes de mejoramiento por pruebas SABER 11 de los establecimientos de educación formal.</v>
          </cell>
          <cell r="K364" t="str">
            <v>SONIA YAMILE ARTEAGA MELO</v>
          </cell>
          <cell r="L364" t="str">
            <v>JENNIFFER ESPERANZA GONZÁLEZ GÓMEZ</v>
          </cell>
          <cell r="M364">
            <v>45951</v>
          </cell>
          <cell r="N364">
            <v>45926</v>
          </cell>
          <cell r="O364">
            <v>45926</v>
          </cell>
          <cell r="P364" t="str">
            <v>Visitas de evaluación con fines de seguimiento</v>
          </cell>
          <cell r="Q364" t="str">
            <v>20252509ActaLiceoEmpresarialDelCampo.pdf</v>
          </cell>
          <cell r="R364" t="str">
            <v>Se evidencia seguimiento al resultado de las pruebas SABER, implementación de acciones para mejora coordinadas desde el Consejo Académico.</v>
          </cell>
          <cell r="S364" t="str">
            <v>Continuar seguimiento y evaluación de resultados frente a estrategias implementadas en el actual periodo.</v>
          </cell>
          <cell r="T364" t="str">
            <v>No</v>
          </cell>
          <cell r="U364" t="str">
            <v>Verificar resultados de evaluación de las pruebas SABER 11, del año lectivo 2025.</v>
          </cell>
        </row>
        <row r="365">
          <cell r="A365">
            <v>2286</v>
          </cell>
          <cell r="B365">
            <v>40</v>
          </cell>
          <cell r="C365" t="str">
            <v>SUBA</v>
          </cell>
          <cell r="D365" t="str">
            <v>PRIVADO</v>
          </cell>
          <cell r="E365" t="str">
            <v>EPBM</v>
          </cell>
          <cell r="F365" t="str">
            <v>LICEO_EMPRESARIAL_DEL_CAMPO</v>
          </cell>
          <cell r="G365" t="str">
            <v>LICEO EMPRESARIAL DEL CAMPO</v>
          </cell>
          <cell r="H365" t="str">
            <v>Autoevaluación Institucional y Pruebas SABER 11</v>
          </cell>
          <cell r="I365" t="str">
            <v>SEGUIMIENTO_Y_SUPERVISIÓN.</v>
          </cell>
          <cell r="J365" t="str">
            <v xml:space="preserve">Verificar la implementación por parte de los colegios, de acciones realizadas para la prevención y atención de las situaciones de convivencia en el entorno escolar, según lo establecido en la Directiva 01 de 2022 del MEN. </v>
          </cell>
          <cell r="K365" t="str">
            <v>SONIA YAMILE ARTEAGA MELO</v>
          </cell>
          <cell r="L365" t="str">
            <v>JENNIFFER ESPERANZA GONZÁLEZ GÓMEZ</v>
          </cell>
          <cell r="M365">
            <v>45951</v>
          </cell>
          <cell r="N365">
            <v>45926</v>
          </cell>
          <cell r="O365">
            <v>45926</v>
          </cell>
          <cell r="P365" t="str">
            <v>Visitas de evaluación con fines de seguimiento</v>
          </cell>
          <cell r="Q365" t="str">
            <v>20252509ActaLiceoEmpresarialDelCampo.pdf</v>
          </cell>
          <cell r="R365" t="str">
            <v>En las carpetas de Hojas de Vida, se evidencia que realizan consultas de antecedentes.</v>
          </cell>
          <cell r="S365" t="str">
            <v>Continuar con verificación periódica de antecedentes.</v>
          </cell>
          <cell r="T365" t="str">
            <v>No</v>
          </cell>
          <cell r="U365" t="str">
            <v>Continaur con seguimiento.</v>
          </cell>
        </row>
        <row r="366">
          <cell r="A366">
            <v>2287</v>
          </cell>
          <cell r="B366">
            <v>40</v>
          </cell>
          <cell r="C366" t="str">
            <v>SUBA</v>
          </cell>
          <cell r="D366" t="str">
            <v>PRIVADO</v>
          </cell>
          <cell r="E366" t="str">
            <v>EPBM</v>
          </cell>
          <cell r="F366" t="str">
            <v>LICEO_EMPRESARIAL_DEL_CAMPO</v>
          </cell>
          <cell r="G366" t="str">
            <v>LICEO EMPRESARIAL DEL CAMPO</v>
          </cell>
          <cell r="H366" t="str">
            <v>Autoevaluación Institucional y Pruebas SABER 11</v>
          </cell>
          <cell r="I366" t="str">
            <v>SEGUIMIENTO_Y_SUPERVISIÓN.</v>
          </cell>
          <cell r="J36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66" t="str">
            <v>SONIA YAMILE ARTEAGA MELO</v>
          </cell>
          <cell r="L366" t="str">
            <v>JENNIFFER ESPERANZA GONZÁLEZ GÓMEZ</v>
          </cell>
          <cell r="M366">
            <v>45951</v>
          </cell>
          <cell r="N366">
            <v>45926</v>
          </cell>
          <cell r="O366">
            <v>45926</v>
          </cell>
          <cell r="P366" t="str">
            <v>Visitas de evaluación con fines de seguimiento</v>
          </cell>
          <cell r="Q366" t="str">
            <v>20252509ActaLiceoEmpresarialDelCampo.pdf</v>
          </cell>
          <cell r="R366" t="str">
            <v xml:space="preserve">Se verifican documentos PIAR, los cuales se encuentran diligenciados adecuadamente en el formato establecido.  </v>
          </cell>
          <cell r="S366" t="str">
            <v>Se recomienda individualizar carpetas de los estudiantes.</v>
          </cell>
          <cell r="T366" t="str">
            <v>No</v>
          </cell>
          <cell r="U366" t="str">
            <v>Seguimiento regular.</v>
          </cell>
        </row>
        <row r="367">
          <cell r="A367">
            <v>2288</v>
          </cell>
          <cell r="B367">
            <v>40</v>
          </cell>
          <cell r="C367" t="str">
            <v>SUBA</v>
          </cell>
          <cell r="D367" t="str">
            <v>PRIVADO</v>
          </cell>
          <cell r="E367" t="str">
            <v>EPBM</v>
          </cell>
          <cell r="F367" t="str">
            <v>LICEO_EMPRESARIAL_DEL_CAMPO</v>
          </cell>
          <cell r="G367" t="str">
            <v>LICEO EMPRESARIAL DEL CAMPO</v>
          </cell>
          <cell r="H367" t="str">
            <v>Autoevaluación Institucional y Pruebas SABER 11</v>
          </cell>
          <cell r="I367" t="str">
            <v>EVALUACIÓN_CON_FINES_DE_MEJORAMIENTO.</v>
          </cell>
          <cell r="J36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67" t="str">
            <v>SONIA YAMILE ARTEAGA MELO</v>
          </cell>
          <cell r="L367" t="str">
            <v>JENNIFFER ESPERANZA GONZÁLEZ GÓMEZ</v>
          </cell>
          <cell r="M367">
            <v>45951</v>
          </cell>
          <cell r="N367">
            <v>45926</v>
          </cell>
          <cell r="O367">
            <v>45926</v>
          </cell>
          <cell r="P367" t="str">
            <v>Visitas de evaluación con fines de mejoramiento</v>
          </cell>
          <cell r="Q367" t="str">
            <v>20252509ActaLiceoEmpresarialDelCampo.pdf</v>
          </cell>
          <cell r="R367" t="str">
            <v>Se enviaron observaciones para actualización de Manual de Convivencia Escolar desde junio de 2025.
Colegio informa que tiene ajustes planteados, los cuales se evaluaran por la comunidad educativa en octubre de 2025.</v>
          </cell>
          <cell r="S367" t="str">
            <v>Presentar documento actualizado.</v>
          </cell>
          <cell r="T367" t="str">
            <v>Si</v>
          </cell>
          <cell r="U367" t="str">
            <v>Verificar el documento actualizado y emitir el concepto correspondiente.</v>
          </cell>
        </row>
        <row r="368">
          <cell r="A368">
            <v>2289</v>
          </cell>
          <cell r="B368">
            <v>40</v>
          </cell>
          <cell r="C368" t="str">
            <v>SUBA</v>
          </cell>
          <cell r="D368" t="str">
            <v>PRIVADO</v>
          </cell>
          <cell r="E368" t="str">
            <v>EPBM</v>
          </cell>
          <cell r="F368" t="str">
            <v>LICEO_EMPRESARIAL_DEL_CAMPO</v>
          </cell>
          <cell r="G368" t="str">
            <v>LICEO EMPRESARIAL DEL CAMPO</v>
          </cell>
          <cell r="H368" t="str">
            <v>Autoevaluación Institucional y Pruebas SABER 11</v>
          </cell>
          <cell r="I368" t="str">
            <v>EVALUACIÓN_CON_FINES_DE_MEJORAMIENTO.</v>
          </cell>
          <cell r="J368" t="str">
            <v>Revisar la actualización, socialización e implementación del Sistema Institucional de Evaluación de Estudiantes - SIEE, en articulación con la actualización del PEI y la normatividad vigente.</v>
          </cell>
          <cell r="K368" t="str">
            <v>SONIA YAMILE ARTEAGA MELO</v>
          </cell>
          <cell r="L368" t="str">
            <v>JENNIFFER ESPERANZA GONZÁLEZ GÓMEZ</v>
          </cell>
          <cell r="M368">
            <v>45951</v>
          </cell>
          <cell r="N368">
            <v>45926</v>
          </cell>
          <cell r="O368">
            <v>45926</v>
          </cell>
          <cell r="P368" t="str">
            <v>Visitas de evaluación con fines de mejoramiento</v>
          </cell>
          <cell r="Q368" t="str">
            <v>20252509ActaLiceoEmpresarialDelCampo.pdf</v>
          </cell>
          <cell r="R368" t="str">
            <v xml:space="preserve">El SIEE definido por la institución es acorde con la normativa vigente, contempla estrategias de acompañamiento académico. </v>
          </cell>
          <cell r="S368" t="str">
            <v>Evaluar el SIEE, para determinar si es viable redefinir parámetros de aprobación y reprobación.</v>
          </cell>
          <cell r="T368" t="str">
            <v>No</v>
          </cell>
          <cell r="U368" t="str">
            <v xml:space="preserve">Verificar documento SIEE actualizado si hay lugar a ello. </v>
          </cell>
        </row>
        <row r="369">
          <cell r="A369">
            <v>2290</v>
          </cell>
          <cell r="B369">
            <v>40</v>
          </cell>
          <cell r="C369" t="str">
            <v>SUBA</v>
          </cell>
          <cell r="D369" t="str">
            <v>PRIVADO</v>
          </cell>
          <cell r="E369" t="str">
            <v>EPBM</v>
          </cell>
          <cell r="F369" t="str">
            <v>LICEO_EMPRESARIAL_DEL_CAMPO</v>
          </cell>
          <cell r="G369" t="str">
            <v>LICEO EMPRESARIAL DEL CAMPO</v>
          </cell>
          <cell r="H369" t="str">
            <v>Autoevaluación Institucional y Pruebas SABER 11</v>
          </cell>
          <cell r="I369" t="str">
            <v>EVALUACIÓN_CON_FINES_DE_MEJORAMIENTO.</v>
          </cell>
          <cell r="J369" t="str">
            <v>Revisar el calendario escolar, jornada escolar, la intensidad horaria mínima anual en cada nivel y las modificaciones que se realicen al mismo, de acuerdo con lo previsto en la normatividad vigente.</v>
          </cell>
          <cell r="K369" t="str">
            <v>SONIA YAMILE ARTEAGA MELO</v>
          </cell>
          <cell r="L369" t="str">
            <v>JENNIFFER ESPERANZA GONZÁLEZ GÓMEZ</v>
          </cell>
          <cell r="M369">
            <v>45951</v>
          </cell>
          <cell r="N369">
            <v>45926</v>
          </cell>
          <cell r="O369">
            <v>45926</v>
          </cell>
          <cell r="P369" t="str">
            <v>Visitas de evaluación con fines de mejoramiento</v>
          </cell>
          <cell r="Q369" t="str">
            <v>20252509ActaLiceoEmpresarialDelCampo.pdf</v>
          </cell>
          <cell r="R369" t="str">
            <v>La intensidad horaria y las horas mínimas anuales de cada ciclo  se ajustan a la normatividad vigente.</v>
          </cell>
          <cell r="S369" t="str">
            <v>continuar con el proceso para la vigencia 2026</v>
          </cell>
          <cell r="T369" t="str">
            <v>No</v>
          </cell>
          <cell r="U369" t="str">
            <v>Se realizará la nueva verificacion en 2026</v>
          </cell>
        </row>
        <row r="370">
          <cell r="A370">
            <v>2291</v>
          </cell>
          <cell r="B370">
            <v>40</v>
          </cell>
          <cell r="C370" t="str">
            <v>SUBA</v>
          </cell>
          <cell r="D370" t="str">
            <v>PRIVADO</v>
          </cell>
          <cell r="E370" t="str">
            <v>EPBM</v>
          </cell>
          <cell r="F370" t="str">
            <v>LICEO_EMPRESARIAL_DEL_CAMPO</v>
          </cell>
          <cell r="G370" t="str">
            <v>LICEO EMPRESARIAL DEL CAMPO</v>
          </cell>
          <cell r="H370" t="str">
            <v>Autoevaluación Institucional y Pruebas SABER 11</v>
          </cell>
          <cell r="I370" t="str">
            <v>EVALUACIÓN_CON_FINES_DE_MEJORAMIENTO.</v>
          </cell>
          <cell r="J370" t="str">
            <v>Verificar el funcionamiento del Gobierno Escolar e instancias de participación con base en la información sobre conformación reportada por la institución educativa.</v>
          </cell>
          <cell r="K370" t="str">
            <v>SONIA YAMILE ARTEAGA MELO</v>
          </cell>
          <cell r="L370" t="str">
            <v>JENNIFFER ESPERANZA GONZÁLEZ GÓMEZ</v>
          </cell>
          <cell r="M370">
            <v>45951</v>
          </cell>
          <cell r="N370">
            <v>45926</v>
          </cell>
          <cell r="O370">
            <v>45926</v>
          </cell>
          <cell r="P370" t="str">
            <v>Visitas de evaluación con fines de mejoramiento</v>
          </cell>
          <cell r="Q370" t="str">
            <v>20252509ActaLiceoEmpresarialDelCampo.pdf</v>
          </cell>
          <cell r="R370" t="str">
            <v>Se identifica mediante verificación de actas, que las instancias de gobierno escolar funcionan de acuerdo con normativa.</v>
          </cell>
          <cell r="S370" t="str">
            <v xml:space="preserve">Continuar con proceso de funcionamiento. </v>
          </cell>
          <cell r="T370" t="str">
            <v>No</v>
          </cell>
          <cell r="U370" t="str">
            <v>se realizará la nueva verificacion en 2026</v>
          </cell>
        </row>
        <row r="371">
          <cell r="A371">
            <v>2292</v>
          </cell>
          <cell r="B371">
            <v>40</v>
          </cell>
          <cell r="C371" t="str">
            <v>SUBA</v>
          </cell>
          <cell r="D371" t="str">
            <v>PRIVADO</v>
          </cell>
          <cell r="E371" t="str">
            <v>EPBM</v>
          </cell>
          <cell r="F371" t="str">
            <v>LICEO_EMPRESARIAL_DEL_CAMPO</v>
          </cell>
          <cell r="G371" t="str">
            <v>LICEO EMPRESARIAL DEL CAMPO</v>
          </cell>
          <cell r="H371" t="str">
            <v>Autoevaluación Institucional y Pruebas SABER 11</v>
          </cell>
          <cell r="I371" t="str">
            <v>EVALUACIÓN_CON_FINES_DE_MEJORAMIENTO.</v>
          </cell>
          <cell r="J371" t="str">
            <v>Verificar las condiciones en cuanto a: la estructura administrativa, condiciones de la planta física y medios educativos adecuados.</v>
          </cell>
          <cell r="K371" t="str">
            <v>SONIA YAMILE ARTEAGA MELO</v>
          </cell>
          <cell r="L371" t="str">
            <v>JENNIFFER ESPERANZA GONZÁLEZ GÓMEZ</v>
          </cell>
          <cell r="M371">
            <v>45951</v>
          </cell>
          <cell r="N371">
            <v>45926</v>
          </cell>
          <cell r="O371">
            <v>45926</v>
          </cell>
          <cell r="P371" t="str">
            <v>Visitas de evaluación con fines de mejoramiento</v>
          </cell>
          <cell r="Q371" t="str">
            <v>20252509ActaLiceoEmpresarialDelCampo.pdf</v>
          </cell>
          <cell r="R371" t="str">
            <v>Se dejan observaciones respecto acondicionamiento de enfermería y biblioteca.
Ajustar organigrama a la realidad.</v>
          </cell>
          <cell r="S371" t="str">
            <v>Presenta plan de mejoramiento.</v>
          </cell>
          <cell r="T371" t="str">
            <v>Si</v>
          </cell>
          <cell r="U371" t="str">
            <v>Validar plan de mejoramiento y visita de seguimiento.</v>
          </cell>
        </row>
        <row r="372">
          <cell r="A372">
            <v>2293</v>
          </cell>
          <cell r="B372">
            <v>41</v>
          </cell>
          <cell r="C372" t="str">
            <v>SUBA</v>
          </cell>
          <cell r="D372" t="str">
            <v>PRIVADO</v>
          </cell>
          <cell r="E372" t="str">
            <v>EPBM</v>
          </cell>
          <cell r="F372" t="str">
            <v>GIMNASIO_LA_CIMA</v>
          </cell>
          <cell r="G372" t="str">
            <v>GIMNASIO LA CIMA</v>
          </cell>
          <cell r="H372" t="str">
            <v>Autoevaluación Institucional y Pruebas SABER 11</v>
          </cell>
          <cell r="I372" t="str">
            <v>SEGUIMIENTO_Y_SUPERVISIÓN.</v>
          </cell>
          <cell r="J372"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372" t="str">
            <v>DANIEL ALEJANDRO GRANOBLES</v>
          </cell>
          <cell r="L372" t="str">
            <v>SANDRA OLINDA GONZÁLEZ REYES</v>
          </cell>
          <cell r="M372">
            <v>45927</v>
          </cell>
          <cell r="N372">
            <v>45883</v>
          </cell>
          <cell r="O372">
            <v>45883</v>
          </cell>
          <cell r="P372" t="str">
            <v>Visitas de evaluación con fines de seguimiento</v>
          </cell>
          <cell r="Q372" t="str">
            <v>GIMANSIO LA CIMA.pdf</v>
          </cell>
          <cell r="R372" t="str">
            <v>La información registrada en el EVI fue un error de registro e interpretación por parte del responsable. Sin embargo, se confirma que la institución cuenta con personal docente idóneo y que los empleadores cumplen con lo establecido en el Código Sustantivo de Trabajo en lo referente a salarios, contribuciones parafiscales y pagos a la Seguridad Social Integral (SSI).</v>
          </cell>
          <cell r="S372" t="str">
            <v>Para mejorar la calidad del reporte de información que se registra en el EVI respecto a la planta docente y administrativa, es importante verificar ciertos aspectos  al momento de su registro confirmado con su contrato laborar, realizar plan de mejoramiento para ser cargado en el EVI</v>
          </cell>
          <cell r="T372" t="str">
            <v>Si</v>
          </cell>
          <cell r="U372" t="str">
            <v>Revisar el plan de mejoramiento con respecto al nivel de riesgo en el registro de la informacion que afecta la calidad de la misma</v>
          </cell>
        </row>
        <row r="373">
          <cell r="A373">
            <v>2295</v>
          </cell>
          <cell r="B373">
            <v>41</v>
          </cell>
          <cell r="C373" t="str">
            <v>SUBA</v>
          </cell>
          <cell r="D373" t="str">
            <v>PRIVADO</v>
          </cell>
          <cell r="E373" t="str">
            <v>EPBM</v>
          </cell>
          <cell r="F373" t="str">
            <v>GIMNASIO_LA_CIMA</v>
          </cell>
          <cell r="G373" t="str">
            <v>GIMNASIO LA CIMA</v>
          </cell>
          <cell r="H373" t="str">
            <v>Autoevaluación Institucional y Pruebas SABER 11</v>
          </cell>
          <cell r="I373" t="str">
            <v>SEGUIMIENTO_Y_SUPERVISIÓN.</v>
          </cell>
          <cell r="J373" t="str">
            <v>Proponer estrategias en la formulación, verificar su elaboración y realizar seguimiento semestral al desarrollo de  las acciones establecidas en los planes de mejoramiento por pruebas SABER 11 de los establecimientos de educación formal.</v>
          </cell>
          <cell r="K373" t="str">
            <v>DANIEL ALEJANDRO GRANOBLES</v>
          </cell>
          <cell r="L373" t="str">
            <v>SANDRA OLINDA GONZÁLEZ REYES</v>
          </cell>
          <cell r="M373">
            <v>45927</v>
          </cell>
          <cell r="N373">
            <v>45883</v>
          </cell>
          <cell r="O373">
            <v>45883</v>
          </cell>
          <cell r="P373" t="str">
            <v>Visitas de evaluación con fines de seguimiento</v>
          </cell>
          <cell r="Q373" t="str">
            <v>GIMANSIO LA CIMA.pdf</v>
          </cell>
          <cell r="R373" t="str">
            <v>El colegio se encuentra registrado en A+ , tiene implementado una estrategia con personal externo y la participación de los estduiantes de estas actividadse externas programasdas son voluntarias</v>
          </cell>
          <cell r="S373" t="str">
            <v>Para continuar con los procesos de seguimiento y acompañamiento docente con el propósito de intervenir más efectivamente el currículo en las áreas de menor puntaje, se recomienda implementar estrategias basadas en:
La observación no participante en el aula para registrar las prácticas pedagógicas, seguida de retroalimentación constructiva y diálogo reflexivo con los docentes, orientando la identificación de fortalezas y áreas de mejora.
La co-construcción de planes de mejora basados en los datos recopilados que permitan guiar intervenciones específicas en el currículo, focalizándose en las áreas con menor desempeño.</v>
          </cell>
          <cell r="T373" t="str">
            <v>Si</v>
          </cell>
          <cell r="U373" t="str">
            <v>Seguimiento a los procesos que aborda el Consejo Académico con respecto a esta estrategias de mejorar los desempeños obtenidos en las areas , de forma anual</v>
          </cell>
        </row>
        <row r="374">
          <cell r="A374">
            <v>2296</v>
          </cell>
          <cell r="B374">
            <v>41</v>
          </cell>
          <cell r="C374" t="str">
            <v>SUBA</v>
          </cell>
          <cell r="D374" t="str">
            <v>PRIVADO</v>
          </cell>
          <cell r="E374" t="str">
            <v>EPBM</v>
          </cell>
          <cell r="F374" t="str">
            <v>GIMNASIO_LA_CIMA</v>
          </cell>
          <cell r="G374" t="str">
            <v>GIMNASIO LA CIMA</v>
          </cell>
          <cell r="H374" t="str">
            <v>Autoevaluación Institucional y Pruebas SABER 11</v>
          </cell>
          <cell r="I374" t="str">
            <v>SEGUIMIENTO_Y_SUPERVISIÓN.</v>
          </cell>
          <cell r="J374" t="str">
            <v xml:space="preserve">Verificar la implementación por parte de los colegios, de acciones realizadas para la prevención y atención de las situaciones de convivencia en el entorno escolar, según lo establecido en la Directiva 01 de 2022 del MEN. </v>
          </cell>
          <cell r="K374" t="str">
            <v>DANIEL ALEJANDRO GRANOBLES</v>
          </cell>
          <cell r="L374" t="str">
            <v>SANDRA OLINDA GONZÁLEZ REYES</v>
          </cell>
          <cell r="M374">
            <v>45927</v>
          </cell>
          <cell r="N374">
            <v>45883</v>
          </cell>
          <cell r="O374">
            <v>45883</v>
          </cell>
          <cell r="P374" t="str">
            <v>Visitas de evaluación con fines de seguimiento</v>
          </cell>
          <cell r="Q374" t="str">
            <v>GIMANSIO LA CIMA.pdf</v>
          </cell>
          <cell r="R374" t="str">
            <v>La institucion cuenta con el reporte trimestral del personal docente y administrativo</v>
          </cell>
          <cell r="S374" t="str">
            <v>Fortalecer los procesos con el acompañamiento de la OCE , en los temas de justicia escoilar restaurativa e implentación de la Ley 1620 de 2013</v>
          </cell>
          <cell r="T374" t="str">
            <v>No</v>
          </cell>
          <cell r="U374" t="str">
            <v>Evidencia documental</v>
          </cell>
        </row>
        <row r="375">
          <cell r="A375">
            <v>2297</v>
          </cell>
          <cell r="B375">
            <v>41</v>
          </cell>
          <cell r="C375" t="str">
            <v>SUBA</v>
          </cell>
          <cell r="D375" t="str">
            <v>PRIVADO</v>
          </cell>
          <cell r="E375" t="str">
            <v>EPBM</v>
          </cell>
          <cell r="F375" t="str">
            <v>GIMNASIO_LA_CIMA</v>
          </cell>
          <cell r="G375" t="str">
            <v>GIMNASIO LA CIMA</v>
          </cell>
          <cell r="H375" t="str">
            <v>Autoevaluación Institucional y Pruebas SABER 11</v>
          </cell>
          <cell r="I375" t="str">
            <v>SEGUIMIENTO_Y_SUPERVISIÓN.</v>
          </cell>
          <cell r="J37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75" t="str">
            <v>DANIEL ALEJANDRO GRANOBLES</v>
          </cell>
          <cell r="L375" t="str">
            <v>SANDRA OLINDA GONZÁLEZ REYES</v>
          </cell>
          <cell r="M375">
            <v>45927</v>
          </cell>
          <cell r="N375">
            <v>45883</v>
          </cell>
          <cell r="O375">
            <v>45883</v>
          </cell>
          <cell r="P375" t="str">
            <v>Visitas de evaluación con fines de seguimiento</v>
          </cell>
          <cell r="Q375" t="str">
            <v>GIMANSIO LA CIMA.pdf</v>
          </cell>
          <cell r="R375" t="str">
            <v>Se evidenció en el SIMAT que el colegio no tiene estudiantes matriculados en condición de discapacidad; además  la rectora manifiesta que no tiene estudiantes diagnosticados con talentos excepcionales y trastornos de aprendizaje a la fecha.</v>
          </cell>
          <cell r="S375" t="str">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30 de septiembre</v>
          </cell>
          <cell r="T375" t="str">
            <v>Si</v>
          </cell>
          <cell r="U375" t="str">
            <v>Verificar las modificaciones en manual de convivencia respecto a la poblacion con discapacidad.con fecha límite enero de 2026</v>
          </cell>
        </row>
        <row r="376">
          <cell r="A376">
            <v>2298</v>
          </cell>
          <cell r="B376">
            <v>41</v>
          </cell>
          <cell r="C376" t="str">
            <v>SUBA</v>
          </cell>
          <cell r="D376" t="str">
            <v>PRIVADO</v>
          </cell>
          <cell r="E376" t="str">
            <v>EPBM</v>
          </cell>
          <cell r="F376" t="str">
            <v>GIMNASIO_LA_CIMA</v>
          </cell>
          <cell r="G376" t="str">
            <v>GIMNASIO LA CIMA</v>
          </cell>
          <cell r="H376" t="str">
            <v>Autoevaluación Institucional y Pruebas SABER 11</v>
          </cell>
          <cell r="I376" t="str">
            <v>EVALUACIÓN_CON_FINES_DE_MEJORAMIENTO.</v>
          </cell>
          <cell r="J37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76" t="str">
            <v>DANIEL ALEJANDRO GRANOBLES</v>
          </cell>
          <cell r="L376" t="str">
            <v>SANDRA OLINDA GONZÁLEZ REYES</v>
          </cell>
          <cell r="M376">
            <v>45927</v>
          </cell>
          <cell r="N376">
            <v>45883</v>
          </cell>
          <cell r="O376">
            <v>45883</v>
          </cell>
          <cell r="P376" t="str">
            <v>Visitas de evaluación con fines de mejoramiento</v>
          </cell>
          <cell r="Q376" t="str">
            <v>GIMANSIO LA CIMA.pdf</v>
          </cell>
          <cell r="R376" t="str">
            <v>El manual de convivencia escolar,  requiere la incorporación de elementos y normas adicionales en el marco jurídico, específicamente: Protocolos de atención: Definir claramente los procedimientos para atender casos relacionados con violencia escolar, vulneración de derechos, acoso u otras situaciones que afecten la convivencia y el bienestar de los estudiantes y la comunidad educativa.
Proceso disciplinario de estudiantes: Desarrollar las etapas, garantías, derechos y sanciones aplicables en los casos de incumplimiento de las normas, asegurando el respeto por los derechos de los estudiantes y la adecuada aplicación del debido proceso.</v>
          </cell>
          <cell r="S376" t="str">
            <v>Realizar la actualización del manual convivencia.          
Elaborar plan de mejoramiento sobre todos los indicadores y remitirlo a la DLE antes del 30 de septiembre</v>
          </cell>
          <cell r="T376" t="str">
            <v>Si</v>
          </cell>
          <cell r="U376" t="str">
            <v>Revisar la actualización del manual de convivencia con fecha límite el 31 de agosto</v>
          </cell>
        </row>
        <row r="377">
          <cell r="A377">
            <v>2299</v>
          </cell>
          <cell r="B377">
            <v>41</v>
          </cell>
          <cell r="C377" t="str">
            <v>SUBA</v>
          </cell>
          <cell r="D377" t="str">
            <v>PRIVADO</v>
          </cell>
          <cell r="E377" t="str">
            <v>EPBM</v>
          </cell>
          <cell r="F377" t="str">
            <v>GIMNASIO_LA_CIMA</v>
          </cell>
          <cell r="G377" t="str">
            <v>GIMNASIO LA CIMA</v>
          </cell>
          <cell r="H377" t="str">
            <v>Autoevaluación Institucional y Pruebas SABER 11</v>
          </cell>
          <cell r="I377" t="str">
            <v>EVALUACIÓN_CON_FINES_DE_MEJORAMIENTO.</v>
          </cell>
          <cell r="J377" t="str">
            <v>Revisar la actualización, socialización e implementación del Sistema Institucional de Evaluación de Estudiantes - SIEE, en articulación con la actualización del PEI y la normatividad vigente.</v>
          </cell>
          <cell r="K377" t="str">
            <v>DANIEL ALEJANDRO GRANOBLES</v>
          </cell>
          <cell r="L377" t="str">
            <v>SANDRA OLINDA GONZÁLEZ REYES</v>
          </cell>
          <cell r="M377">
            <v>45927</v>
          </cell>
          <cell r="N377">
            <v>45883</v>
          </cell>
          <cell r="O377">
            <v>45883</v>
          </cell>
          <cell r="P377" t="str">
            <v>Visitas de evaluación con fines de mejoramiento</v>
          </cell>
          <cell r="Q377" t="str">
            <v>GIMANSIO LA CIMA.pdf</v>
          </cell>
          <cell r="R377" t="str">
            <v xml:space="preserve">La institucion cuenta con el SIEE, está implementado </v>
          </cell>
          <cell r="S377" t="str">
            <v>Fortalecer los procesos de coevaluación y heteroevaluación</v>
          </cell>
          <cell r="T377" t="str">
            <v>No</v>
          </cell>
          <cell r="U377" t="str">
            <v>Registro documental</v>
          </cell>
        </row>
        <row r="378">
          <cell r="A378">
            <v>2300</v>
          </cell>
          <cell r="B378">
            <v>41</v>
          </cell>
          <cell r="C378" t="str">
            <v>SUBA</v>
          </cell>
          <cell r="D378" t="str">
            <v>PRIVADO</v>
          </cell>
          <cell r="E378" t="str">
            <v>EPBM</v>
          </cell>
          <cell r="F378" t="str">
            <v>GIMNASIO_LA_CIMA</v>
          </cell>
          <cell r="G378" t="str">
            <v>GIMNASIO LA CIMA</v>
          </cell>
          <cell r="H378" t="str">
            <v>Autoevaluación Institucional y Pruebas SABER 11</v>
          </cell>
          <cell r="I378" t="str">
            <v>EVALUACIÓN_CON_FINES_DE_MEJORAMIENTO.</v>
          </cell>
          <cell r="J378" t="str">
            <v>Revisar el calendario escolar, jornada escolar, la intensidad horaria mínima anual en cada nivel y las modificaciones que se realicen al mismo, de acuerdo con lo previsto en la normatividad vigente.</v>
          </cell>
          <cell r="K378" t="str">
            <v>DANIEL ALEJANDRO GRANOBLES</v>
          </cell>
          <cell r="L378" t="str">
            <v>SANDRA OLINDA GONZÁLEZ REYES</v>
          </cell>
          <cell r="M378">
            <v>45927</v>
          </cell>
          <cell r="N378">
            <v>45883</v>
          </cell>
          <cell r="O378">
            <v>45883</v>
          </cell>
          <cell r="P378" t="str">
            <v>Visitas de evaluación con fines de mejoramiento</v>
          </cell>
          <cell r="Q378" t="str">
            <v>GIMANSIO LA CIMA.pdf</v>
          </cell>
          <cell r="R378" t="str">
            <v>La intensidad horaria y las horas mínimas anuales de cada ciclo se ajustan a la normatividad vigente.</v>
          </cell>
          <cell r="S378" t="str">
            <v xml:space="preserve">Continuar con el desarrollo del calendario </v>
          </cell>
          <cell r="T378" t="str">
            <v>No</v>
          </cell>
          <cell r="U378" t="str">
            <v xml:space="preserve">Realizar la revisión del calendario para la proxima vigencia </v>
          </cell>
        </row>
        <row r="379">
          <cell r="A379">
            <v>2301</v>
          </cell>
          <cell r="B379">
            <v>41</v>
          </cell>
          <cell r="C379" t="str">
            <v>SUBA</v>
          </cell>
          <cell r="D379" t="str">
            <v>PRIVADO</v>
          </cell>
          <cell r="E379" t="str">
            <v>EPBM</v>
          </cell>
          <cell r="F379" t="str">
            <v>GIMNASIO_LA_CIMA</v>
          </cell>
          <cell r="G379" t="str">
            <v>GIMNASIO LA CIMA</v>
          </cell>
          <cell r="H379" t="str">
            <v>Autoevaluación Institucional y Pruebas SABER 11</v>
          </cell>
          <cell r="I379" t="str">
            <v>EVALUACIÓN_CON_FINES_DE_MEJORAMIENTO.</v>
          </cell>
          <cell r="J379" t="str">
            <v>Verificar el funcionamiento del Gobierno Escolar e instancias de participación con base en la información sobre conformación reportada por la institución educativa.</v>
          </cell>
          <cell r="K379" t="str">
            <v>DANIEL ALEJANDRO GRANOBLES</v>
          </cell>
          <cell r="L379" t="str">
            <v>SANDRA OLINDA GONZÁLEZ REYES</v>
          </cell>
          <cell r="M379">
            <v>45927</v>
          </cell>
          <cell r="N379">
            <v>45883</v>
          </cell>
          <cell r="O379">
            <v>45883</v>
          </cell>
          <cell r="P379" t="str">
            <v>Visitas de evaluación con fines de mejoramiento</v>
          </cell>
          <cell r="Q379" t="str">
            <v>GIMANSIO LA CIMA.pdf</v>
          </cell>
          <cell r="R379" t="str">
            <v xml:space="preserve">Se evidenciaron las actas de conformación de gobierno escolar, las cuales deberán cargarse en el SAE. </v>
          </cell>
          <cell r="S379" t="str">
            <v>Sesionar con cada órgano de gobierno de conformidad con la periodicidad establecida en la norma, crear un reglamento interno de cada Consejo</v>
          </cell>
          <cell r="T379" t="str">
            <v>No</v>
          </cell>
          <cell r="U379" t="str">
            <v>Verificar el SAE  y el funcionamiento de  los organos de gobierno mediantes las evidencias presentadas por la IE.</v>
          </cell>
        </row>
        <row r="380">
          <cell r="A380">
            <v>2302</v>
          </cell>
          <cell r="B380">
            <v>41</v>
          </cell>
          <cell r="C380" t="str">
            <v>SUBA</v>
          </cell>
          <cell r="D380" t="str">
            <v>PRIVADO</v>
          </cell>
          <cell r="E380" t="str">
            <v>EPBM</v>
          </cell>
          <cell r="F380" t="str">
            <v>GIMNASIO_LA_CIMA</v>
          </cell>
          <cell r="G380" t="str">
            <v>GIMNASIO LA CIMA</v>
          </cell>
          <cell r="H380" t="str">
            <v>Autoevaluación Institucional y Pruebas SABER 11</v>
          </cell>
          <cell r="I380" t="str">
            <v>EVALUACIÓN_CON_FINES_DE_MEJORAMIENTO.</v>
          </cell>
          <cell r="J380" t="str">
            <v>Verificar las condiciones en cuanto a: la estructura administrativa, condiciones de la planta física y medios educativos adecuados.</v>
          </cell>
          <cell r="K380" t="str">
            <v>DANIEL ALEJANDRO GRANOBLES</v>
          </cell>
          <cell r="L380" t="str">
            <v>SANDRA OLINDA GONZÁLEZ REYES</v>
          </cell>
          <cell r="M380">
            <v>45927</v>
          </cell>
          <cell r="N380">
            <v>45883</v>
          </cell>
          <cell r="O380">
            <v>45883</v>
          </cell>
          <cell r="P380" t="str">
            <v>Visitas de evaluación con fines de mejoramiento</v>
          </cell>
          <cell r="Q380" t="str">
            <v>GIMANSIO LA CIMA.pdf</v>
          </cell>
          <cell r="R380" t="str">
            <v>Se evidencia señalizacion en general en rutas de evacuación , falta de puntos ecológicos, manejo de basuras y residuos, mantenimeinto de baterias sanitarias para cada nivel, en especial preescolar , aclarar sobre las nomenclaturas de los predios donde se presta el servicio educativo</v>
          </cell>
          <cell r="S380" t="str">
            <v>Verificar el registro en la plataforma SURE, implementar el proyecto PRAES  y realizar una propuesta de mantenimiento de infraestructura y mobiliario</v>
          </cell>
          <cell r="T380" t="str">
            <v>Si</v>
          </cell>
          <cell r="U380" t="str">
            <v>Presentar plan de mejoramiento para mantenimiento de infraestructura y mobiliario antes del 31 de agosto</v>
          </cell>
        </row>
        <row r="381">
          <cell r="A381">
            <v>2303</v>
          </cell>
          <cell r="B381">
            <v>42</v>
          </cell>
          <cell r="C381" t="str">
            <v>SUBA</v>
          </cell>
          <cell r="D381" t="str">
            <v>OFICIAL.</v>
          </cell>
          <cell r="E381" t="str">
            <v>EPBM</v>
          </cell>
          <cell r="F381" t="str">
            <v>COLEGIO_ALVARO_GOMEZ_HURTADO_IED</v>
          </cell>
          <cell r="G381" t="str">
            <v>ALVARO GOMEZ HURTADO</v>
          </cell>
          <cell r="H381" t="str">
            <v>Convivencia escolar</v>
          </cell>
          <cell r="I381" t="str">
            <v>SEGUIMIENTO_Y_SUPERVISIÓN.</v>
          </cell>
          <cell r="J381" t="str">
            <v>Proponer estrategias en la formulación, verificar su elaboración y realizar seguimiento semestral al desarrollo de  las acciones establecidas en los planes de mejoramiento por pruebas SABER 11 de los establecimientos de educación formal.</v>
          </cell>
          <cell r="K381" t="str">
            <v>SONIA CONSTANZA URREGO GONZÁLEZ</v>
          </cell>
          <cell r="L381" t="str">
            <v>ALBA DEL PILAR CUBIDES CÁCERES</v>
          </cell>
          <cell r="M381">
            <v>45804</v>
          </cell>
          <cell r="N381">
            <v>45804</v>
          </cell>
          <cell r="O381">
            <v>45804</v>
          </cell>
          <cell r="P381" t="str">
            <v>Visitas de evaluación con fines de seguimiento</v>
          </cell>
          <cell r="Q381" t="str">
            <v>ACTA DE VISITA COLEGIO ÁLVARO GÓMEZ HURTADO.pdf</v>
          </cell>
          <cell r="R381" t="str">
            <v>Se encuentran en el análisis e identificación de las causas que han llevado a la institución a obtener puntajes bajos en las pruebas, con el fin de ajustar las mallas curriculares desde los grados inferiores que permitan fortalecer las competencias y mejorar el desempeño en el futuro.</v>
          </cell>
          <cell r="S381" t="str">
            <v>Realizar el análisis de los resultados de las pruebas saber y formular acciones  con lo organos de participación que estén afectando el desempeño.</v>
          </cell>
          <cell r="T381" t="str">
            <v>Si</v>
          </cell>
          <cell r="U381" t="str">
            <v>Verificar el analisis de los resultados y las acciones en las asignaturas que presentan puntajes más bajos en la próxima calificación de las pruebas.</v>
          </cell>
        </row>
        <row r="382">
          <cell r="A382">
            <v>2304</v>
          </cell>
          <cell r="B382">
            <v>42</v>
          </cell>
          <cell r="C382" t="str">
            <v>SUBA</v>
          </cell>
          <cell r="D382" t="str">
            <v>OFICIAL.</v>
          </cell>
          <cell r="E382" t="str">
            <v>EPBM</v>
          </cell>
          <cell r="F382" t="str">
            <v>COLEGIO_ALVARO_GOMEZ_HURTADO_IED</v>
          </cell>
          <cell r="G382" t="str">
            <v>ALVARO GOMEZ HURTADO</v>
          </cell>
          <cell r="H382" t="str">
            <v>Convivencia escolar</v>
          </cell>
          <cell r="I382" t="str">
            <v>SEGUIMIENTO_Y_SUPERVISIÓN.</v>
          </cell>
          <cell r="J382" t="str">
            <v xml:space="preserve">Verificar la implementación por parte de los colegios, de acciones realizadas para la prevención y atención de las situaciones de convivencia en el entorno escolar, según lo establecido en la Directiva 01 de 2022 del MEN. </v>
          </cell>
          <cell r="K382" t="str">
            <v>SONIA CONSTANZA URREGO GONZÁLEZ</v>
          </cell>
          <cell r="L382" t="str">
            <v>ALBA DEL PILAR CUBIDES CÁCERES</v>
          </cell>
          <cell r="M382">
            <v>45804</v>
          </cell>
          <cell r="N382">
            <v>45804</v>
          </cell>
          <cell r="O382">
            <v>45804</v>
          </cell>
          <cell r="P382" t="str">
            <v>Visitas de evaluación con fines de seguimiento</v>
          </cell>
          <cell r="Q382" t="str">
            <v>ACTA DE VISITA COLEGIO ÁLVARO GÓMEZ HURTADO.pdf</v>
          </cell>
          <cell r="R382" t="str">
            <v xml:space="preserve">No se realiza la consulta de inahabilidades en el entendido que es responsablidad de Talento Humano de la SED, por ser el que realiza el proceso de contratación. La institución cuenta con el Sistema de alertas donde se ha realizado la activación de las alertas en casos de convivencia. </v>
          </cell>
          <cell r="S382" t="str">
            <v xml:space="preserve">Continuar con la realización de los reportes en  en el sistema. </v>
          </cell>
          <cell r="T382" t="str">
            <v>No</v>
          </cell>
          <cell r="U382" t="str">
            <v>Realizar consulta respecto a la responsabilidad de consultar inhabilidades de los docentes y administrativos por prevención.</v>
          </cell>
        </row>
        <row r="383">
          <cell r="A383">
            <v>2305</v>
          </cell>
          <cell r="B383">
            <v>42</v>
          </cell>
          <cell r="C383" t="str">
            <v>SUBA</v>
          </cell>
          <cell r="D383" t="str">
            <v>OFICIAL.</v>
          </cell>
          <cell r="E383" t="str">
            <v>EPBM</v>
          </cell>
          <cell r="F383" t="str">
            <v>COLEGIO_ALVARO_GOMEZ_HURTADO_IED</v>
          </cell>
          <cell r="G383" t="str">
            <v>ALVARO GOMEZ HURTADO</v>
          </cell>
          <cell r="H383" t="str">
            <v>Convivencia escolar</v>
          </cell>
          <cell r="I383" t="str">
            <v>SEGUIMIENTO_Y_SUPERVISIÓN.</v>
          </cell>
          <cell r="J3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3" t="str">
            <v>SONIA CONSTANZA URREGO GONZÁLEZ</v>
          </cell>
          <cell r="L383" t="str">
            <v>ALBA DEL PILAR CUBIDES CÁCERES</v>
          </cell>
          <cell r="M383">
            <v>45804</v>
          </cell>
          <cell r="N383">
            <v>45804</v>
          </cell>
          <cell r="O383">
            <v>45804</v>
          </cell>
          <cell r="P383" t="str">
            <v>Visitas de evaluación con fines de seguimiento</v>
          </cell>
          <cell r="Q383" t="str">
            <v>ACTA DE VISITA COLEGIO ÁLVARO GÓMEZ HURTADO.pdf</v>
          </cell>
          <cell r="R383" t="str">
            <v>Se evidenció la existencia de un PIAR para  los estudiantes que lo requieren, seguimiento y ajustes.</v>
          </cell>
          <cell r="S383" t="str">
            <v>Continuar con los proceso de inclusión</v>
          </cell>
          <cell r="T383" t="str">
            <v>No</v>
          </cell>
          <cell r="U383" t="str">
            <v>Verificar la existencia de ajustes de acuerdo a la información reportada por los docentes.</v>
          </cell>
        </row>
        <row r="384">
          <cell r="A384">
            <v>2306</v>
          </cell>
          <cell r="B384">
            <v>42</v>
          </cell>
          <cell r="C384" t="str">
            <v>SUBA</v>
          </cell>
          <cell r="D384" t="str">
            <v>OFICIAL.</v>
          </cell>
          <cell r="E384" t="str">
            <v>EPBM</v>
          </cell>
          <cell r="F384" t="str">
            <v>COLEGIO_ALVARO_GOMEZ_HURTADO_IED</v>
          </cell>
          <cell r="G384" t="str">
            <v>ALVARO GOMEZ HURTADO</v>
          </cell>
          <cell r="H384" t="str">
            <v>Convivencia escolar</v>
          </cell>
          <cell r="I384" t="str">
            <v>EVALUACIÓN_CON_FINES_DE_MEJORAMIENTO.</v>
          </cell>
          <cell r="J3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84" t="str">
            <v>SONIA CONSTANZA URREGO GONZÁLEZ</v>
          </cell>
          <cell r="L384" t="str">
            <v>ALBA DEL PILAR CUBIDES CÁCERES</v>
          </cell>
          <cell r="M384">
            <v>45804</v>
          </cell>
          <cell r="N384">
            <v>45804</v>
          </cell>
          <cell r="O384">
            <v>45804</v>
          </cell>
          <cell r="P384" t="str">
            <v>Visitas de evaluación con fines de mejoramiento</v>
          </cell>
          <cell r="Q384" t="str">
            <v>ACTA DE VISITA COLEGIO ÁLVARO GÓMEZ HURTADO.pdf</v>
          </cell>
          <cell r="R384" t="str">
            <v>El Manual de Convivencia actualizado a 2025, fue radicado para revisión por el ELIV.</v>
          </cell>
          <cell r="S384" t="str">
            <v xml:space="preserve">Recibidas las observaciones por parte del ELIV, realizar los respectivos ajustes. </v>
          </cell>
          <cell r="T384" t="str">
            <v>Si</v>
          </cell>
          <cell r="U384" t="str">
            <v>Verificar los ajustes al manual, acorde a las observaciones del ELIV.</v>
          </cell>
        </row>
        <row r="385">
          <cell r="A385">
            <v>2307</v>
          </cell>
          <cell r="B385">
            <v>42</v>
          </cell>
          <cell r="C385" t="str">
            <v>SUBA</v>
          </cell>
          <cell r="D385" t="str">
            <v>OFICIAL.</v>
          </cell>
          <cell r="E385" t="str">
            <v>EPBM</v>
          </cell>
          <cell r="F385" t="str">
            <v>COLEGIO_ALVARO_GOMEZ_HURTADO_IED</v>
          </cell>
          <cell r="G385" t="str">
            <v>ALVARO GOMEZ HURTADO</v>
          </cell>
          <cell r="H385" t="str">
            <v>Convivencia escolar</v>
          </cell>
          <cell r="I385" t="str">
            <v>EVALUACIÓN_CON_FINES_DE_MEJORAMIENTO.</v>
          </cell>
          <cell r="J385" t="str">
            <v>Revisar la actualización, socialización e implementación del Sistema Institucional de Evaluación de Estudiantes - SIEE, en articulación con la actualización del PEI y la normatividad vigente.</v>
          </cell>
          <cell r="K385" t="str">
            <v>SONIA CONSTANZA URREGO GONZÁLEZ</v>
          </cell>
          <cell r="L385" t="str">
            <v>ALBA DEL PILAR CUBIDES CÁCERES</v>
          </cell>
          <cell r="M385">
            <v>45804</v>
          </cell>
          <cell r="N385">
            <v>45804</v>
          </cell>
          <cell r="O385">
            <v>45804</v>
          </cell>
          <cell r="P385" t="str">
            <v>Visitas de evaluación con fines de mejoramiento</v>
          </cell>
          <cell r="Q385" t="str">
            <v>ACTA DE VISITA COLEGIO ÁLVARO GÓMEZ HURTADO.pdf</v>
          </cell>
          <cell r="R385" t="str">
            <v>Se encuentra actualmente en actualización e implementación de nuevas líneas.</v>
          </cell>
          <cell r="S385" t="str">
            <v>Continuar con la actualización.</v>
          </cell>
          <cell r="T385" t="str">
            <v>Si</v>
          </cell>
          <cell r="U385" t="str">
            <v>Revisar la actualización radicada en la DLE.</v>
          </cell>
        </row>
        <row r="386">
          <cell r="A386">
            <v>2308</v>
          </cell>
          <cell r="B386">
            <v>42</v>
          </cell>
          <cell r="C386" t="str">
            <v>SUBA</v>
          </cell>
          <cell r="D386" t="str">
            <v>OFICIAL.</v>
          </cell>
          <cell r="E386" t="str">
            <v>EPBM</v>
          </cell>
          <cell r="F386" t="str">
            <v>COLEGIO_ALVARO_GOMEZ_HURTADO_IED</v>
          </cell>
          <cell r="G386" t="str">
            <v>ALVARO GOMEZ HURTADO</v>
          </cell>
          <cell r="H386" t="str">
            <v>Convivencia escolar</v>
          </cell>
          <cell r="I386" t="str">
            <v>EVALUACIÓN_CON_FINES_DE_MEJORAMIENTO.</v>
          </cell>
          <cell r="J386" t="str">
            <v>Revisar el calendario escolar, jornada escolar, la intensidad horaria mínima anual en cada nivel y las modificaciones que se realicen al mismo, de acuerdo con lo previsto en la normatividad vigente.</v>
          </cell>
          <cell r="K386" t="str">
            <v>SONIA CONSTANZA URREGO GONZÁLEZ</v>
          </cell>
          <cell r="L386" t="str">
            <v>ALBA DEL PILAR CUBIDES CÁCERES</v>
          </cell>
          <cell r="M386">
            <v>45804</v>
          </cell>
          <cell r="N386">
            <v>45804</v>
          </cell>
          <cell r="O386">
            <v>45804</v>
          </cell>
          <cell r="P386" t="str">
            <v>Visitas de evaluación con fines de mejoramiento</v>
          </cell>
          <cell r="Q386" t="str">
            <v>ACTA DE VISITA COLEGIO ÁLVARO GÓMEZ HURTADO.pdf</v>
          </cell>
          <cell r="R386" t="str">
            <v>Cumple con la resolución de la SED, que regula el calendario para los colegios oficiales.</v>
          </cell>
          <cell r="S386" t="str">
            <v>Continuar con el cumplimiento del calendrio en semanas y horas.</v>
          </cell>
          <cell r="T386" t="str">
            <v>No</v>
          </cell>
          <cell r="U386" t="str">
            <v>Verificar el cumplimiento del calendario escolar.</v>
          </cell>
        </row>
        <row r="387">
          <cell r="A387">
            <v>2309</v>
          </cell>
          <cell r="B387">
            <v>42</v>
          </cell>
          <cell r="C387" t="str">
            <v>SUBA</v>
          </cell>
          <cell r="D387" t="str">
            <v>OFICIAL.</v>
          </cell>
          <cell r="E387" t="str">
            <v>EPBM</v>
          </cell>
          <cell r="F387" t="str">
            <v>COLEGIO_ALVARO_GOMEZ_HURTADO_IED</v>
          </cell>
          <cell r="G387" t="str">
            <v>ALVARO GOMEZ HURTADO</v>
          </cell>
          <cell r="H387" t="str">
            <v>Convivencia escolar</v>
          </cell>
          <cell r="I387" t="str">
            <v>EVALUACIÓN_CON_FINES_DE_MEJORAMIENTO.</v>
          </cell>
          <cell r="J387" t="str">
            <v>Verificar el funcionamiento del Gobierno Escolar e instancias de participación con base en la información sobre conformación reportada por la institución educativa.</v>
          </cell>
          <cell r="K387" t="str">
            <v>SONIA CONSTANZA URREGO GONZÁLEZ</v>
          </cell>
          <cell r="L387" t="str">
            <v>ALBA DEL PILAR CUBIDES CÁCERES</v>
          </cell>
          <cell r="M387">
            <v>45804</v>
          </cell>
          <cell r="N387">
            <v>45804</v>
          </cell>
          <cell r="O387">
            <v>45804</v>
          </cell>
          <cell r="P387" t="str">
            <v>Visitas de evaluación con fines de mejoramiento</v>
          </cell>
          <cell r="Q387" t="str">
            <v>ACTA DE VISITA COLEGIO ÁLVARO GÓMEZ HURTADO.pdf</v>
          </cell>
          <cell r="R387" t="str">
            <v>Se conformó el gobierno escolar y se evidencia su funcionamiento en algunas de ellas.</v>
          </cell>
          <cell r="S387" t="str">
            <v>Realizar las reuniones de cada órgano de gobierno  en el desempeño de sus funciones.</v>
          </cell>
          <cell r="T387" t="str">
            <v>No</v>
          </cell>
          <cell r="U387" t="str">
            <v>Hacer seguimiento del funcionamiento a través de las actas de reunión y sus reglamentos internos, de cada uno de los órganos de Gobierno Escolar.</v>
          </cell>
        </row>
        <row r="388">
          <cell r="A388">
            <v>2310</v>
          </cell>
          <cell r="B388">
            <v>42</v>
          </cell>
          <cell r="C388" t="str">
            <v>SUBA</v>
          </cell>
          <cell r="D388" t="str">
            <v>OFICIAL.</v>
          </cell>
          <cell r="E388" t="str">
            <v>EPBM</v>
          </cell>
          <cell r="F388" t="str">
            <v>COLEGIO_ALVARO_GOMEZ_HURTADO_IED</v>
          </cell>
          <cell r="G388" t="str">
            <v>ALVARO GOMEZ HURTADO</v>
          </cell>
          <cell r="H388" t="str">
            <v>Convivencia escolar</v>
          </cell>
          <cell r="I388" t="str">
            <v>EVALUACIÓN_CON_FINES_DE_MEJORAMIENTO.</v>
          </cell>
          <cell r="J388" t="str">
            <v>Verificar las condiciones en cuanto a: la estructura administrativa, condiciones de la planta física y medios educativos adecuados.</v>
          </cell>
          <cell r="K388" t="str">
            <v>SONIA CONSTANZA URREGO GONZÁLEZ</v>
          </cell>
          <cell r="L388" t="str">
            <v>ALBA DEL PILAR CUBIDES CÁCERES</v>
          </cell>
          <cell r="M388">
            <v>45804</v>
          </cell>
          <cell r="N388">
            <v>45804</v>
          </cell>
          <cell r="O388">
            <v>45804</v>
          </cell>
          <cell r="P388" t="str">
            <v>Visitas de evaluación con fines de mejoramiento</v>
          </cell>
          <cell r="Q388" t="str">
            <v>ACTA DE VISITA COLEGIO ÁLVARO GÓMEZ HURTADO.pdf</v>
          </cell>
          <cell r="R388" t="str">
            <v xml:space="preserve">Institución con cuatro sedes, de las cuales dos son arrendadas. Solo la sede A cuenta con espacios lúdicos y recreativos adecuados. Las otras sedes cuentan con espacios pequeños y no ideales para los estudiantes que maneja. La entrega de la dotación es muy lenta. Igualmente es la Sede A, es la única que cuenta con adaptaciones parciales para estudiantes con discapacidad física. </v>
          </cell>
          <cell r="S388" t="str">
            <v>Continuar con el cuidado de la planta física.</v>
          </cell>
          <cell r="T388" t="str">
            <v>No</v>
          </cell>
          <cell r="U388" t="str">
            <v>Verificar el estado de la planta física, de acuerdo a las características de cada sede.</v>
          </cell>
        </row>
        <row r="389">
          <cell r="A389">
            <v>2311</v>
          </cell>
          <cell r="B389">
            <v>43</v>
          </cell>
          <cell r="C389" t="str">
            <v>SUBA</v>
          </cell>
          <cell r="D389" t="str">
            <v>OFICIAL.</v>
          </cell>
          <cell r="E389" t="str">
            <v>EPBM</v>
          </cell>
          <cell r="F389" t="str">
            <v>COLEGIO_HUNZA_IED</v>
          </cell>
          <cell r="G389" t="str">
            <v>CIUDAD HUNZA</v>
          </cell>
          <cell r="H389" t="str">
            <v>Convivencia escolar</v>
          </cell>
          <cell r="I389" t="str">
            <v>SEGUIMIENTO_Y_SUPERVISIÓN.</v>
          </cell>
          <cell r="J389" t="str">
            <v>Proponer estrategias en la formulación, verificar su elaboración y realizar seguimiento semestral al desarrollo de  las acciones establecidas en los planes de mejoramiento por pruebas SABER 11 de los establecimientos de educación formal.</v>
          </cell>
          <cell r="K389" t="str">
            <v>SONIA CONSTANZA URREGO GONZÁLEZ</v>
          </cell>
          <cell r="L389" t="str">
            <v>ALBA DEL PILAR CUBIDES CÁCERES</v>
          </cell>
          <cell r="M389">
            <v>45776</v>
          </cell>
          <cell r="N389">
            <v>45776</v>
          </cell>
          <cell r="O389">
            <v>45776</v>
          </cell>
          <cell r="P389" t="str">
            <v>Visitas de evaluación con fines de seguimiento</v>
          </cell>
          <cell r="Q389" t="str">
            <v>ACTA DE VISITA COLEGIO HUNZA.pdf</v>
          </cell>
          <cell r="R389" t="str">
            <v>Clasificación de Pruebas B. Las acciones de refuerzon se enfocan a la presentación de la prueba, es decir, simulacros.</v>
          </cell>
          <cell r="S389" t="str">
            <v>Se deben realizar análisis a nivel de aáreas buscando encontrar las falencias, con el fin de reforzarlas y lograr resultados.</v>
          </cell>
          <cell r="T389" t="str">
            <v>Si</v>
          </cell>
          <cell r="U389" t="str">
            <v>Verificar los resultados y las acciones en las asignaturas que presentan puntajes más bajos en la próxima calificación de las pruebas</v>
          </cell>
        </row>
        <row r="390">
          <cell r="A390">
            <v>2312</v>
          </cell>
          <cell r="B390">
            <v>43</v>
          </cell>
          <cell r="C390" t="str">
            <v>SUBA</v>
          </cell>
          <cell r="D390" t="str">
            <v>OFICIAL.</v>
          </cell>
          <cell r="E390" t="str">
            <v>EPBM</v>
          </cell>
          <cell r="F390" t="str">
            <v>COLEGIO_HUNZA_IED</v>
          </cell>
          <cell r="G390" t="str">
            <v>CIUDAD HUNZA</v>
          </cell>
          <cell r="H390" t="str">
            <v>Convivencia escolar</v>
          </cell>
          <cell r="I390" t="str">
            <v>SEGUIMIENTO_Y_SUPERVISIÓN.</v>
          </cell>
          <cell r="J390" t="str">
            <v xml:space="preserve">Verificar la implementación por parte de los colegios, de acciones realizadas para la prevención y atención de las situaciones de convivencia en el entorno escolar, según lo establecido en la Directiva 01 de 2022 del MEN. </v>
          </cell>
          <cell r="K390" t="str">
            <v>SONIA CONSTANZA URREGO GONZÁLEZ</v>
          </cell>
          <cell r="L390" t="str">
            <v>ALBA DEL PILAR CUBIDES CÁCERES</v>
          </cell>
          <cell r="M390">
            <v>45776</v>
          </cell>
          <cell r="N390">
            <v>45776</v>
          </cell>
          <cell r="O390">
            <v>45776</v>
          </cell>
          <cell r="P390" t="str">
            <v>Visitas de evaluación con fines de seguimiento</v>
          </cell>
          <cell r="Q390" t="str">
            <v>ACTA DE VISITA COLEGIO HUNZA.pdf</v>
          </cell>
          <cell r="R390" t="str">
            <v xml:space="preserve">No se realiza la consulta de inahabilidades en el entendido que es responsablidad de Talento Humano de la SED, por ser el que realiza el proceso de contratación. La institución cuenta con el Sistema de alertas donde se ha realizado la activación de las alertas en casos de convivencia. </v>
          </cell>
          <cell r="S390" t="str">
            <v xml:space="preserve">Continuar con la realización de los reportes en  en el sistema </v>
          </cell>
          <cell r="T390" t="str">
            <v>No</v>
          </cell>
          <cell r="U390" t="str">
            <v>Realizar consulta respecto a la responsabilidad de consultar inhabilidades de los docentes y admnistrativos por prevención.</v>
          </cell>
        </row>
        <row r="391">
          <cell r="A391">
            <v>2313</v>
          </cell>
          <cell r="B391">
            <v>43</v>
          </cell>
          <cell r="C391" t="str">
            <v>SUBA</v>
          </cell>
          <cell r="D391" t="str">
            <v>OFICIAL.</v>
          </cell>
          <cell r="E391" t="str">
            <v>EPBM</v>
          </cell>
          <cell r="F391" t="str">
            <v>COLEGIO_HUNZA_IED</v>
          </cell>
          <cell r="G391" t="str">
            <v>CIUDAD HUNZA</v>
          </cell>
          <cell r="H391" t="str">
            <v>Convivencia escolar</v>
          </cell>
          <cell r="I391" t="str">
            <v>SEGUIMIENTO_Y_SUPERVISIÓN.</v>
          </cell>
          <cell r="J39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1" t="str">
            <v>SONIA CONSTANZA URREGO GONZÁLEZ</v>
          </cell>
          <cell r="L391" t="str">
            <v>ALBA DEL PILAR CUBIDES CÁCERES</v>
          </cell>
          <cell r="M391">
            <v>45776</v>
          </cell>
          <cell r="N391">
            <v>45776</v>
          </cell>
          <cell r="O391">
            <v>45776</v>
          </cell>
          <cell r="P391" t="str">
            <v>Visitas de evaluación con fines de seguimiento</v>
          </cell>
          <cell r="Q391" t="str">
            <v>ACTA DE VISITA COLEGIO HUNZA.pdf</v>
          </cell>
          <cell r="R391" t="str">
            <v>Se evidenció la existencia de la caracterización y un Plan de Ajustes Razonables a  los estudiantes que lo requieren, seguimiento y ajustes.</v>
          </cell>
          <cell r="S391" t="str">
            <v>Continuar con los proceso de inclusión</v>
          </cell>
          <cell r="T391" t="str">
            <v>No</v>
          </cell>
          <cell r="U391" t="str">
            <v>Verificar la existencia de ajustes de acuerdo a la información reportada por los docentes.</v>
          </cell>
        </row>
        <row r="392">
          <cell r="A392">
            <v>2314</v>
          </cell>
          <cell r="B392">
            <v>43</v>
          </cell>
          <cell r="C392" t="str">
            <v>SUBA</v>
          </cell>
          <cell r="D392" t="str">
            <v>OFICIAL.</v>
          </cell>
          <cell r="E392" t="str">
            <v>EPBM</v>
          </cell>
          <cell r="F392" t="str">
            <v>COLEGIO_HUNZA_IED</v>
          </cell>
          <cell r="G392" t="str">
            <v>CIUDAD HUNZA</v>
          </cell>
          <cell r="H392" t="str">
            <v>Convivencia escolar</v>
          </cell>
          <cell r="I392" t="str">
            <v>EVALUACIÓN_CON_FINES_DE_MEJORAMIENTO.</v>
          </cell>
          <cell r="J3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2" t="str">
            <v>SONIA CONSTANZA URREGO GONZÁLEZ</v>
          </cell>
          <cell r="L392" t="str">
            <v>ALBA DEL PILAR CUBIDES CÁCERES</v>
          </cell>
          <cell r="M392">
            <v>45776</v>
          </cell>
          <cell r="N392">
            <v>45776</v>
          </cell>
          <cell r="O392">
            <v>45776</v>
          </cell>
          <cell r="P392" t="str">
            <v>Visitas de evaluación con fines de mejoramiento</v>
          </cell>
          <cell r="Q392" t="str">
            <v>ACTA DE VISITA COLEGIO HUNZA.pdf</v>
          </cell>
          <cell r="R392" t="str">
            <v>El Manual de Convivencia actualizado a 2025, fue radicado para revisión por el ELIV.</v>
          </cell>
          <cell r="S392" t="str">
            <v xml:space="preserve">Recibidas las observaciones por parte del ELIV, realizar los respectivos ajustes. </v>
          </cell>
          <cell r="T392" t="str">
            <v>Si</v>
          </cell>
          <cell r="U392" t="str">
            <v>Revisar los ajustes al manual, acorde a las observaciones del ELIV.</v>
          </cell>
        </row>
        <row r="393">
          <cell r="A393">
            <v>2315</v>
          </cell>
          <cell r="B393">
            <v>43</v>
          </cell>
          <cell r="C393" t="str">
            <v>SUBA</v>
          </cell>
          <cell r="D393" t="str">
            <v>OFICIAL.</v>
          </cell>
          <cell r="E393" t="str">
            <v>EPBM</v>
          </cell>
          <cell r="F393" t="str">
            <v>COLEGIO_HUNZA_IED</v>
          </cell>
          <cell r="G393" t="str">
            <v>CIUDAD HUNZA</v>
          </cell>
          <cell r="H393" t="str">
            <v>Convivencia escolar</v>
          </cell>
          <cell r="I393" t="str">
            <v>EVALUACIÓN_CON_FINES_DE_MEJORAMIENTO.</v>
          </cell>
          <cell r="J393" t="str">
            <v>Revisar la actualización, socialización e implementación del Sistema Institucional de Evaluación de Estudiantes - SIEE, en articulación con la actualización del PEI y la normatividad vigente.</v>
          </cell>
          <cell r="K393" t="str">
            <v>SONIA CONSTANZA URREGO GONZÁLEZ</v>
          </cell>
          <cell r="L393" t="str">
            <v>ALBA DEL PILAR CUBIDES CÁCERES</v>
          </cell>
          <cell r="M393">
            <v>45776</v>
          </cell>
          <cell r="N393">
            <v>45776</v>
          </cell>
          <cell r="O393">
            <v>45776</v>
          </cell>
          <cell r="P393" t="str">
            <v>Visitas de evaluación con fines de mejoramiento</v>
          </cell>
          <cell r="Q393" t="str">
            <v>ACTA DE VISITA COLEGIO HUNZA.pdf</v>
          </cell>
          <cell r="R393" t="str">
            <v xml:space="preserve">Se realizó retroalimentación sobre  el SIEE, el cual está en consonancia con el PEI. </v>
          </cell>
          <cell r="S393" t="str">
            <v>Continuar con las estrategias implementadas, sin embargo, se recomienda realizar constante evaluación.</v>
          </cell>
          <cell r="T393" t="str">
            <v>No</v>
          </cell>
          <cell r="U393" t="str">
            <v>Verificar si se realiza evaluación del SIEE</v>
          </cell>
        </row>
        <row r="394">
          <cell r="A394">
            <v>2316</v>
          </cell>
          <cell r="B394">
            <v>43</v>
          </cell>
          <cell r="C394" t="str">
            <v>SUBA</v>
          </cell>
          <cell r="D394" t="str">
            <v>OFICIAL.</v>
          </cell>
          <cell r="E394" t="str">
            <v>EPBM</v>
          </cell>
          <cell r="F394" t="str">
            <v>COLEGIO_HUNZA_IED</v>
          </cell>
          <cell r="G394" t="str">
            <v>CIUDAD HUNZA</v>
          </cell>
          <cell r="H394" t="str">
            <v>Convivencia escolar</v>
          </cell>
          <cell r="I394" t="str">
            <v>EVALUACIÓN_CON_FINES_DE_MEJORAMIENTO.</v>
          </cell>
          <cell r="J394" t="str">
            <v>Revisar el calendario escolar, jornada escolar, la intensidad horaria mínima anual en cada nivel y las modificaciones que se realicen al mismo, de acuerdo con lo previsto en la normatividad vigente.</v>
          </cell>
          <cell r="K394" t="str">
            <v>SONIA CONSTANZA URREGO GONZÁLEZ</v>
          </cell>
          <cell r="L394" t="str">
            <v>ALBA DEL PILAR CUBIDES CÁCERES</v>
          </cell>
          <cell r="M394">
            <v>45776</v>
          </cell>
          <cell r="N394">
            <v>45776</v>
          </cell>
          <cell r="O394">
            <v>45776</v>
          </cell>
          <cell r="P394" t="str">
            <v>Visitas de evaluación con fines de mejoramiento</v>
          </cell>
          <cell r="Q394" t="str">
            <v>ACTA DE VISITA COLEGIO HUNZA.pdf</v>
          </cell>
          <cell r="R394" t="str">
            <v>Cumple con la resolución que ordena el calendario para la SED</v>
          </cell>
          <cell r="S394" t="str">
            <v>Continuar con el cumplimiento del calendrio en semanas y horas.</v>
          </cell>
          <cell r="T394" t="str">
            <v>No</v>
          </cell>
          <cell r="U394" t="str">
            <v>Verificar el cumplimiento del calendrio escolar.</v>
          </cell>
        </row>
        <row r="395">
          <cell r="A395">
            <v>2317</v>
          </cell>
          <cell r="B395">
            <v>43</v>
          </cell>
          <cell r="C395" t="str">
            <v>SUBA</v>
          </cell>
          <cell r="D395" t="str">
            <v>OFICIAL.</v>
          </cell>
          <cell r="E395" t="str">
            <v>EPBM</v>
          </cell>
          <cell r="F395" t="str">
            <v>COLEGIO_HUNZA_IED</v>
          </cell>
          <cell r="G395" t="str">
            <v>CIUDAD HUNZA</v>
          </cell>
          <cell r="H395" t="str">
            <v>Convivencia escolar</v>
          </cell>
          <cell r="I395" t="str">
            <v>EVALUACIÓN_CON_FINES_DE_MEJORAMIENTO.</v>
          </cell>
          <cell r="J395" t="str">
            <v>Verificar el funcionamiento del Gobierno Escolar e instancias de participación con base en la información sobre conformación reportada por la institución educativa.</v>
          </cell>
          <cell r="K395" t="str">
            <v>SONIA CONSTANZA URREGO GONZÁLEZ</v>
          </cell>
          <cell r="L395" t="str">
            <v>ALBA DEL PILAR CUBIDES CÁCERES</v>
          </cell>
          <cell r="M395">
            <v>45776</v>
          </cell>
          <cell r="N395">
            <v>45776</v>
          </cell>
          <cell r="O395">
            <v>45776</v>
          </cell>
          <cell r="P395" t="str">
            <v>Visitas de evaluación con fines de mejoramiento</v>
          </cell>
          <cell r="Q395" t="str">
            <v>ACTA DE VISITA COLEGIO HUNZA.pdf</v>
          </cell>
          <cell r="R395" t="str">
            <v>Se conformó el gobierno escolar y se evidencia su funcionamiento en algunas de ellas.</v>
          </cell>
          <cell r="S395" t="str">
            <v>Realizar las reuniones de cada órgano de gobierno  en el desempeño de sus funciones.</v>
          </cell>
          <cell r="T395" t="str">
            <v>No</v>
          </cell>
          <cell r="U395" t="str">
            <v>Hacer seguimiento de funcionamiento a través de las actas de reunión y sus reglamentos internos, de cada uno de los órganos de Gobierno Escolar.</v>
          </cell>
        </row>
        <row r="396">
          <cell r="A396">
            <v>2318</v>
          </cell>
          <cell r="B396">
            <v>43</v>
          </cell>
          <cell r="C396" t="str">
            <v>SUBA</v>
          </cell>
          <cell r="D396" t="str">
            <v>OFICIAL.</v>
          </cell>
          <cell r="E396" t="str">
            <v>EPBM</v>
          </cell>
          <cell r="F396" t="str">
            <v>COLEGIO_HUNZA_IED</v>
          </cell>
          <cell r="G396" t="str">
            <v>CIUDAD HUNZA</v>
          </cell>
          <cell r="H396" t="str">
            <v>Convivencia escolar</v>
          </cell>
          <cell r="I396" t="str">
            <v>EVALUACIÓN_CON_FINES_DE_MEJORAMIENTO.</v>
          </cell>
          <cell r="J396" t="str">
            <v>Verificar las condiciones en cuanto a: la estructura administrativa, condiciones de la planta física y medios educativos adecuados.</v>
          </cell>
          <cell r="K396" t="str">
            <v>SONIA CONSTANZA URREGO GONZÁLEZ</v>
          </cell>
          <cell r="L396" t="str">
            <v>ALBA DEL PILAR CUBIDES CÁCERES</v>
          </cell>
          <cell r="M396">
            <v>45776</v>
          </cell>
          <cell r="N396">
            <v>45776</v>
          </cell>
          <cell r="O396">
            <v>45776</v>
          </cell>
          <cell r="P396" t="str">
            <v>Visitas de evaluación con fines de mejoramiento</v>
          </cell>
          <cell r="Q396" t="str">
            <v>ACTA DE VISITA COLEGIO HUNZA.pdf</v>
          </cell>
          <cell r="R396" t="str">
            <v xml:space="preserve">La institución cuenta con cuatro sedes, una de ellas, arrendada. Faltan espacios físicos adecuados para garantizar el bienestar y la seguridad delos estudiantes, docentes y administrativos: no hay un audirorio para reunior a la comunidad, clases de Ed. Física en parques, los espacios actuales son reducidos. Los muebles y equipos, en especial los de computo, son obsoletos. Tampoco son suficientes,  los docentes usan su equipos personales y no pueden hacer uso de la red de internet. </v>
          </cell>
          <cell r="S396" t="str">
            <v>Continuar con el cuidado de la planta física existe.</v>
          </cell>
          <cell r="T396" t="str">
            <v>No</v>
          </cell>
          <cell r="U396" t="str">
            <v>Verificar el mantenimiento de las instalaciones, acorde las características de cada sede.</v>
          </cell>
        </row>
        <row r="397">
          <cell r="A397">
            <v>2319</v>
          </cell>
          <cell r="B397">
            <v>44</v>
          </cell>
          <cell r="C397" t="str">
            <v>SUBA</v>
          </cell>
          <cell r="D397" t="str">
            <v>OFICIAL.</v>
          </cell>
          <cell r="E397" t="str">
            <v>EPBM</v>
          </cell>
          <cell r="F397" t="str">
            <v>COLEGIO_COMPARTIR_SUBA_IED</v>
          </cell>
          <cell r="G397" t="str">
            <v>COMPARTIR SUBA</v>
          </cell>
          <cell r="H397" t="str">
            <v>Convivencia escolar</v>
          </cell>
          <cell r="I397" t="str">
            <v>SEGUIMIENTO_Y_SUPERVISIÓN.</v>
          </cell>
          <cell r="J397" t="str">
            <v>Proponer estrategias en la formulación, verificar su elaboración y realizar seguimiento semestral al desarrollo de  las acciones establecidas en los planes de mejoramiento por pruebas SABER 11 de los establecimientos de educación formal.</v>
          </cell>
          <cell r="K397" t="str">
            <v>SONIA CONSTANZA URREGO GONZÁLEZ</v>
          </cell>
          <cell r="L397" t="str">
            <v>ALBA DEL PILAR CUBIDES CÁCERES</v>
          </cell>
          <cell r="M397">
            <v>45735</v>
          </cell>
          <cell r="N397">
            <v>45742</v>
          </cell>
          <cell r="O397">
            <v>45742</v>
          </cell>
          <cell r="P397" t="str">
            <v>Visitas de evaluación con fines de seguimiento</v>
          </cell>
          <cell r="Q397" t="str">
            <v>26032025 COLEGIO COMPARTIR SUBA IED.pdf</v>
          </cell>
          <cell r="R397" t="str">
            <v>La institución realiza un informe de analisis de las pruebas anual, relacionado con las áreas con bajo desempeño y se establecen acciones de mejora</v>
          </cell>
          <cell r="S397" t="str">
            <v>Realizar la reunión de análisis de pruebas saber 11° año 2024</v>
          </cell>
          <cell r="T397" t="str">
            <v>No</v>
          </cell>
          <cell r="U397" t="str">
            <v>Verificar los resultados y las acciones en las asignaturas que presentan puntajes más bajos en la próxima calificación de las pruebas</v>
          </cell>
        </row>
        <row r="398">
          <cell r="A398">
            <v>2320</v>
          </cell>
          <cell r="B398">
            <v>44</v>
          </cell>
          <cell r="C398" t="str">
            <v>SUBA</v>
          </cell>
          <cell r="D398" t="str">
            <v>OFICIAL.</v>
          </cell>
          <cell r="E398" t="str">
            <v>EPBM</v>
          </cell>
          <cell r="F398" t="str">
            <v>COLEGIO_COMPARTIR_SUBA_IED</v>
          </cell>
          <cell r="G398" t="str">
            <v>COMPARTIR SUBA</v>
          </cell>
          <cell r="H398" t="str">
            <v>Convivencia escolar</v>
          </cell>
          <cell r="I398" t="str">
            <v>SEGUIMIENTO_Y_SUPERVISIÓN.</v>
          </cell>
          <cell r="J398" t="str">
            <v xml:space="preserve">Verificar la implementación por parte de los colegios, de acciones realizadas para la prevención y atención de las situaciones de convivencia en el entorno escolar, según lo establecido en la Directiva 01 de 2022 del MEN. </v>
          </cell>
          <cell r="K398" t="str">
            <v>SONIA CONSTANZA URREGO GONZÁLEZ</v>
          </cell>
          <cell r="L398" t="str">
            <v>ALBA DEL PILAR CUBIDES CÁCERES</v>
          </cell>
          <cell r="M398">
            <v>45735</v>
          </cell>
          <cell r="N398">
            <v>45742</v>
          </cell>
          <cell r="O398">
            <v>45742</v>
          </cell>
          <cell r="P398" t="str">
            <v>Visitas de evaluación con fines de seguimiento</v>
          </cell>
          <cell r="Q398" t="str">
            <v>26032025 COLEGIO COMPARTIR SUBA IED.pdf</v>
          </cell>
          <cell r="R398" t="str">
            <v xml:space="preserve">Se encontró que no hay unificacion respecto a la consultade inahabilidades. La institución cuenta con el Sistema de alertas donde se ha realizado la activación de las alertas en casos de convivencia </v>
          </cell>
          <cell r="S398" t="str">
            <v xml:space="preserve">Continuar con la realización de los reportes en  en el sistema </v>
          </cell>
          <cell r="T398" t="str">
            <v>Si</v>
          </cell>
          <cell r="U398" t="str">
            <v>Realizar consulta respecto a la responsabilidad de consultar inhabilidades de los docentes y administrativos por prevención. Verificar la ejecución del plan de mejoramiento  en cuanto al reporte en el sistema de alertas con fecha límite el 31 de julio.</v>
          </cell>
        </row>
        <row r="399">
          <cell r="A399">
            <v>2321</v>
          </cell>
          <cell r="B399">
            <v>44</v>
          </cell>
          <cell r="C399" t="str">
            <v>SUBA</v>
          </cell>
          <cell r="D399" t="str">
            <v>OFICIAL.</v>
          </cell>
          <cell r="E399" t="str">
            <v>EPBM</v>
          </cell>
          <cell r="F399" t="str">
            <v>COLEGIO_COMPARTIR_SUBA_IED</v>
          </cell>
          <cell r="G399" t="str">
            <v>COMPARTIR SUBA</v>
          </cell>
          <cell r="H399" t="str">
            <v>Convivencia escolar</v>
          </cell>
          <cell r="I399" t="str">
            <v>SEGUIMIENTO_Y_SUPERVISIÓN.</v>
          </cell>
          <cell r="J39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9" t="str">
            <v>SONIA CONSTANZA URREGO GONZÁLEZ</v>
          </cell>
          <cell r="L399" t="str">
            <v>ALBA DEL PILAR CUBIDES CÁCERES</v>
          </cell>
          <cell r="M399">
            <v>45735</v>
          </cell>
          <cell r="N399">
            <v>45742</v>
          </cell>
          <cell r="O399">
            <v>45742</v>
          </cell>
          <cell r="P399" t="str">
            <v>Visitas de evaluación con fines de seguimiento</v>
          </cell>
          <cell r="Q399" t="str">
            <v>26032025 COLEGIO COMPARTIR SUBA IED.pdf</v>
          </cell>
          <cell r="R399" t="str">
            <v>Se evidenció un completo y elaborado plan de trabajo por parte de las docentes de apoyo que garantiza una educación inclusiva de calidad. Cada estudiante cuenta con su PIAR, seguimiento y ajustes.</v>
          </cell>
          <cell r="S399" t="str">
            <v>Continuar con los proceso de inclusión</v>
          </cell>
          <cell r="T399" t="str">
            <v>No</v>
          </cell>
          <cell r="U399" t="str">
            <v>Verificar la existencia de ajustes de acuerdo a la información reportada por los docentes.</v>
          </cell>
        </row>
        <row r="400">
          <cell r="A400">
            <v>2322</v>
          </cell>
          <cell r="B400">
            <v>44</v>
          </cell>
          <cell r="C400" t="str">
            <v>SUBA</v>
          </cell>
          <cell r="D400" t="str">
            <v>OFICIAL.</v>
          </cell>
          <cell r="E400" t="str">
            <v>EPBM</v>
          </cell>
          <cell r="F400" t="str">
            <v>COLEGIO_COMPARTIR_SUBA_IED</v>
          </cell>
          <cell r="G400" t="str">
            <v>COMPARTIR SUBA</v>
          </cell>
          <cell r="H400" t="str">
            <v>Convivencia escolar</v>
          </cell>
          <cell r="I400" t="str">
            <v>EVALUACIÓN_CON_FINES_DE_MEJORAMIENTO.</v>
          </cell>
          <cell r="J40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00" t="str">
            <v>SONIA CONSTANZA URREGO GONZÁLEZ</v>
          </cell>
          <cell r="L400" t="str">
            <v>ALBA DEL PILAR CUBIDES CÁCERES</v>
          </cell>
          <cell r="M400">
            <v>45735</v>
          </cell>
          <cell r="N400">
            <v>45742</v>
          </cell>
          <cell r="O400">
            <v>45742</v>
          </cell>
          <cell r="P400" t="str">
            <v>Visitas de evaluación con fines de mejoramiento</v>
          </cell>
          <cell r="Q400" t="str">
            <v>26032025 COLEGIO COMPARTIR SUBA IED.pdf</v>
          </cell>
          <cell r="R400" t="str">
            <v>Se encontró que estan trabajando en la actualización  con  las observaciones enviadas por el ELIV, una vez fue revisado el manual de convivencia.</v>
          </cell>
          <cell r="S400" t="str">
            <v>Realizar los ajustes en cada uno de los numerales del manual de acuerdo con las observaciones enviadas por parte del ELIV.</v>
          </cell>
          <cell r="T400" t="str">
            <v>Si</v>
          </cell>
          <cell r="U400" t="str">
            <v>Revisar los ajustes al manual de convivencia acorde las observaciones por parte del ELIV.</v>
          </cell>
        </row>
        <row r="401">
          <cell r="A401">
            <v>2323</v>
          </cell>
          <cell r="B401">
            <v>44</v>
          </cell>
          <cell r="C401" t="str">
            <v>SUBA</v>
          </cell>
          <cell r="D401" t="str">
            <v>OFICIAL.</v>
          </cell>
          <cell r="E401" t="str">
            <v>EPBM</v>
          </cell>
          <cell r="F401" t="str">
            <v>COLEGIO_COMPARTIR_SUBA_IED</v>
          </cell>
          <cell r="G401" t="str">
            <v>COMPARTIR SUBA</v>
          </cell>
          <cell r="H401" t="str">
            <v>Convivencia escolar</v>
          </cell>
          <cell r="I401" t="str">
            <v>EVALUACIÓN_CON_FINES_DE_MEJORAMIENTO.</v>
          </cell>
          <cell r="J401" t="str">
            <v>Revisar la actualización, socialización e implementación del Sistema Institucional de Evaluación de Estudiantes - SIEE, en articulación con la actualización del PEI y la normatividad vigente.</v>
          </cell>
          <cell r="K401" t="str">
            <v>SONIA CONSTANZA URREGO GONZÁLEZ</v>
          </cell>
          <cell r="L401" t="str">
            <v>ALBA DEL PILAR CUBIDES CÁCERES</v>
          </cell>
          <cell r="M401">
            <v>45735</v>
          </cell>
          <cell r="N401">
            <v>45742</v>
          </cell>
          <cell r="O401">
            <v>45742</v>
          </cell>
          <cell r="P401" t="str">
            <v>Visitas de evaluación con fines de mejoramiento</v>
          </cell>
          <cell r="Q401" t="str">
            <v>26032025 COLEGIO COMPARTIR SUBA IED.pdf</v>
          </cell>
          <cell r="R401" t="str">
            <v>Se realizó retroalimentación sobre  el SIEE, el cual está en consonancia con el PEI. Sin embargo se encuentra realizando ajustes al PEI.</v>
          </cell>
          <cell r="S401" t="str">
            <v xml:space="preserve">Realizar la actualización del PEI </v>
          </cell>
          <cell r="T401" t="str">
            <v>Si</v>
          </cell>
          <cell r="U401" t="str">
            <v>Revisar las actualizaciones realizadas al PEI con fecha límite 31 de julio</v>
          </cell>
        </row>
        <row r="402">
          <cell r="A402">
            <v>2324</v>
          </cell>
          <cell r="B402">
            <v>44</v>
          </cell>
          <cell r="C402" t="str">
            <v>SUBA</v>
          </cell>
          <cell r="D402" t="str">
            <v>OFICIAL.</v>
          </cell>
          <cell r="E402" t="str">
            <v>EPBM</v>
          </cell>
          <cell r="F402" t="str">
            <v>COLEGIO_COMPARTIR_SUBA_IED</v>
          </cell>
          <cell r="G402" t="str">
            <v>COMPARTIR SUBA</v>
          </cell>
          <cell r="H402" t="str">
            <v>Convivencia escolar</v>
          </cell>
          <cell r="I402" t="str">
            <v>EVALUACIÓN_CON_FINES_DE_MEJORAMIENTO.</v>
          </cell>
          <cell r="J402" t="str">
            <v>Revisar el calendario escolar, jornada escolar, la intensidad horaria mínima anual en cada nivel y las modificaciones que se realicen al mismo, de acuerdo con lo previsto en la normatividad vigente.</v>
          </cell>
          <cell r="K402" t="str">
            <v>SONIA CONSTANZA URREGO GONZÁLEZ</v>
          </cell>
          <cell r="L402" t="str">
            <v>ALBA DEL PILAR CUBIDES CÁCERES</v>
          </cell>
          <cell r="M402">
            <v>45735</v>
          </cell>
          <cell r="N402">
            <v>45742</v>
          </cell>
          <cell r="O402">
            <v>45742</v>
          </cell>
          <cell r="P402" t="str">
            <v>Visitas de evaluación con fines de mejoramiento</v>
          </cell>
          <cell r="Q402" t="str">
            <v>26032025 COLEGIO COMPARTIR SUBA IED.pdf</v>
          </cell>
          <cell r="R402" t="str">
            <v>Cumple con la resolución que ordena el calendario para la SED</v>
          </cell>
          <cell r="S402" t="str">
            <v>Continuar con el cumplimiento del calendrio en semanas y horas.</v>
          </cell>
          <cell r="T402" t="str">
            <v>No</v>
          </cell>
          <cell r="U402" t="str">
            <v>Verificar el cumplimiento del calendrio académico.</v>
          </cell>
        </row>
        <row r="403">
          <cell r="A403">
            <v>2325</v>
          </cell>
          <cell r="B403">
            <v>44</v>
          </cell>
          <cell r="C403" t="str">
            <v>SUBA</v>
          </cell>
          <cell r="D403" t="str">
            <v>OFICIAL.</v>
          </cell>
          <cell r="E403" t="str">
            <v>EPBM</v>
          </cell>
          <cell r="F403" t="str">
            <v>COLEGIO_COMPARTIR_SUBA_IED</v>
          </cell>
          <cell r="G403" t="str">
            <v>COMPARTIR SUBA</v>
          </cell>
          <cell r="H403" t="str">
            <v>Convivencia escolar</v>
          </cell>
          <cell r="I403" t="str">
            <v>EVALUACIÓN_CON_FINES_DE_MEJORAMIENTO.</v>
          </cell>
          <cell r="J403" t="str">
            <v>Verificar el funcionamiento del Gobierno Escolar e instancias de participación con base en la información sobre conformación reportada por la institución educativa.</v>
          </cell>
          <cell r="K403" t="str">
            <v>SONIA CONSTANZA URREGO GONZÁLEZ</v>
          </cell>
          <cell r="L403" t="str">
            <v>ALBA DEL PILAR CUBIDES CÁCERES</v>
          </cell>
          <cell r="M403">
            <v>45735</v>
          </cell>
          <cell r="N403">
            <v>45742</v>
          </cell>
          <cell r="O403">
            <v>45742</v>
          </cell>
          <cell r="P403" t="str">
            <v>Visitas de evaluación con fines de mejoramiento</v>
          </cell>
          <cell r="Q403" t="str">
            <v>26032025 COLEGIO COMPARTIR SUBA IED.pdf</v>
          </cell>
          <cell r="R403" t="str">
            <v>Se conformo el gobierno escolar, sin embargo faltan actas en las cuales se evidencie que sesionan de acuerdo a la norma</v>
          </cell>
          <cell r="S403" t="str">
            <v>Realizar las reuniones de cada órgano de gobierno  en el desempeño de sus funciones</v>
          </cell>
          <cell r="T403" t="str">
            <v>si</v>
          </cell>
          <cell r="U403" t="str">
            <v>Hacer seguimiento de funcionamiento a través de las actas de reunión y sus reglamentos internos, de cada uno de los órganos de Gobierno Escolar.</v>
          </cell>
        </row>
        <row r="404">
          <cell r="A404">
            <v>2326</v>
          </cell>
          <cell r="B404">
            <v>44</v>
          </cell>
          <cell r="C404" t="str">
            <v>SUBA</v>
          </cell>
          <cell r="D404" t="str">
            <v>OFICIAL.</v>
          </cell>
          <cell r="E404" t="str">
            <v>EPBM</v>
          </cell>
          <cell r="F404" t="str">
            <v>COLEGIO_COMPARTIR_SUBA_IED</v>
          </cell>
          <cell r="G404" t="str">
            <v>COMPARTIR SUBA</v>
          </cell>
          <cell r="H404" t="str">
            <v>Convivencia escolar</v>
          </cell>
          <cell r="I404" t="str">
            <v>EVALUACIÓN_CON_FINES_DE_MEJORAMIENTO.</v>
          </cell>
          <cell r="J404" t="str">
            <v>Verificar las condiciones en cuanto a: la estructura administrativa, condiciones de la planta física y medios educativos adecuados.</v>
          </cell>
          <cell r="K404" t="str">
            <v>SONIA CONSTANZA URREGO GONZÁLEZ</v>
          </cell>
          <cell r="L404" t="str">
            <v>ALBA DEL PILAR CUBIDES CÁCERES</v>
          </cell>
          <cell r="M404">
            <v>45735</v>
          </cell>
          <cell r="N404">
            <v>45742</v>
          </cell>
          <cell r="O404">
            <v>45742</v>
          </cell>
          <cell r="P404" t="str">
            <v>Visitas de evaluación con fines de mejoramiento</v>
          </cell>
          <cell r="Q404" t="str">
            <v>26032025 COLEGIO COMPARTIR SUBA IED.pdf</v>
          </cell>
          <cell r="R404" t="str">
            <v xml:space="preserve">se encontro que espacios acorde a grupos de estudiantes matriculados, dotación necesaria como aulas de sistemas con equipo por cada estudiante, distribución de grados con estudiantes con discapacidad física en plana baja para fácil accesoy movilidad </v>
          </cell>
          <cell r="S404" t="str">
            <v>Reorganización de material de preescolar en espacio adecuado</v>
          </cell>
          <cell r="T404" t="str">
            <v>Si</v>
          </cell>
          <cell r="U404" t="str">
            <v>Verificar a través de registro fotografico la reorganización.</v>
          </cell>
        </row>
        <row r="405">
          <cell r="A405"/>
          <cell r="B405"/>
          <cell r="C405"/>
          <cell r="D405"/>
          <cell r="E405"/>
          <cell r="F405"/>
          <cell r="G405"/>
          <cell r="H405"/>
          <cell r="I405"/>
          <cell r="J405"/>
          <cell r="K405"/>
          <cell r="L405"/>
          <cell r="M405"/>
          <cell r="N405"/>
          <cell r="O405"/>
          <cell r="P405"/>
          <cell r="R405"/>
          <cell r="S405"/>
          <cell r="T405"/>
          <cell r="U405"/>
        </row>
        <row r="406">
          <cell r="A406"/>
          <cell r="B406"/>
          <cell r="C406"/>
          <cell r="D406"/>
          <cell r="E406"/>
          <cell r="F406"/>
          <cell r="G406"/>
          <cell r="H406"/>
          <cell r="I406"/>
          <cell r="J406"/>
          <cell r="K406"/>
          <cell r="L406"/>
          <cell r="M406"/>
          <cell r="N406"/>
          <cell r="O406"/>
          <cell r="P406"/>
          <cell r="R406"/>
          <cell r="S406"/>
          <cell r="T406"/>
          <cell r="U406"/>
        </row>
        <row r="407">
          <cell r="A407"/>
          <cell r="B407"/>
          <cell r="C407"/>
          <cell r="D407"/>
          <cell r="E407"/>
          <cell r="F407"/>
          <cell r="G407"/>
          <cell r="H407"/>
          <cell r="I407"/>
          <cell r="J407"/>
          <cell r="K407"/>
          <cell r="L407"/>
          <cell r="M407"/>
          <cell r="N407"/>
          <cell r="O407"/>
          <cell r="P407"/>
          <cell r="R407"/>
          <cell r="S407"/>
          <cell r="T407"/>
          <cell r="U407"/>
        </row>
        <row r="408">
          <cell r="A408"/>
          <cell r="B408"/>
          <cell r="C408"/>
          <cell r="D408"/>
          <cell r="E408"/>
          <cell r="F408"/>
          <cell r="G408"/>
          <cell r="H408"/>
          <cell r="I408"/>
          <cell r="J408"/>
          <cell r="K408"/>
          <cell r="L408"/>
          <cell r="M408"/>
          <cell r="N408"/>
          <cell r="O408"/>
          <cell r="P408"/>
          <cell r="R408"/>
          <cell r="S408"/>
          <cell r="T408"/>
          <cell r="U408"/>
        </row>
        <row r="409">
          <cell r="A409"/>
          <cell r="B409"/>
          <cell r="C409"/>
          <cell r="D409"/>
          <cell r="E409"/>
          <cell r="F409"/>
          <cell r="G409"/>
          <cell r="H409"/>
          <cell r="I409"/>
          <cell r="J409"/>
          <cell r="K409"/>
          <cell r="L409"/>
          <cell r="M409"/>
          <cell r="N409"/>
          <cell r="O409"/>
          <cell r="P409"/>
          <cell r="R409"/>
          <cell r="S409"/>
          <cell r="T409"/>
          <cell r="U409"/>
        </row>
        <row r="410">
          <cell r="A410"/>
          <cell r="B410"/>
          <cell r="C410"/>
          <cell r="D410"/>
          <cell r="E410"/>
          <cell r="F410"/>
          <cell r="G410"/>
          <cell r="H410"/>
          <cell r="I410"/>
          <cell r="J410"/>
          <cell r="K410"/>
          <cell r="L410"/>
          <cell r="M410"/>
          <cell r="N410"/>
          <cell r="O410"/>
          <cell r="P410"/>
          <cell r="R410"/>
          <cell r="S410"/>
          <cell r="T410"/>
          <cell r="U410"/>
        </row>
        <row r="411">
          <cell r="A411"/>
          <cell r="B411"/>
          <cell r="C411"/>
          <cell r="D411"/>
          <cell r="E411"/>
          <cell r="F411"/>
          <cell r="G411"/>
          <cell r="H411"/>
          <cell r="I411"/>
          <cell r="J411"/>
          <cell r="K411"/>
          <cell r="L411"/>
          <cell r="M411"/>
          <cell r="N411"/>
          <cell r="O411"/>
          <cell r="P411"/>
          <cell r="R411"/>
          <cell r="S411"/>
          <cell r="T411"/>
          <cell r="U411"/>
        </row>
        <row r="412">
          <cell r="A412"/>
          <cell r="B412"/>
          <cell r="C412"/>
          <cell r="D412"/>
          <cell r="E412"/>
          <cell r="F412"/>
          <cell r="G412"/>
          <cell r="H412"/>
          <cell r="I412"/>
          <cell r="J412"/>
          <cell r="K412"/>
          <cell r="L412"/>
          <cell r="M412"/>
          <cell r="N412"/>
          <cell r="O412"/>
          <cell r="P412"/>
          <cell r="R412"/>
          <cell r="S412"/>
          <cell r="T412"/>
          <cell r="U412"/>
        </row>
        <row r="413">
          <cell r="A413"/>
          <cell r="B413"/>
          <cell r="C413"/>
          <cell r="D413"/>
          <cell r="E413"/>
          <cell r="F413"/>
          <cell r="G413"/>
          <cell r="H413"/>
          <cell r="I413"/>
          <cell r="J413"/>
          <cell r="K413"/>
          <cell r="L413"/>
          <cell r="M413"/>
          <cell r="N413"/>
          <cell r="O413"/>
          <cell r="P413"/>
          <cell r="R413"/>
          <cell r="S413"/>
          <cell r="T413"/>
          <cell r="U413"/>
        </row>
        <row r="414">
          <cell r="A414"/>
          <cell r="B414"/>
          <cell r="C414"/>
          <cell r="D414"/>
          <cell r="E414"/>
          <cell r="F414"/>
          <cell r="G414"/>
          <cell r="H414"/>
          <cell r="I414"/>
          <cell r="J414"/>
          <cell r="K414"/>
          <cell r="L414"/>
          <cell r="M414"/>
          <cell r="N414"/>
          <cell r="O414"/>
          <cell r="P414"/>
          <cell r="R414"/>
          <cell r="S414"/>
          <cell r="T414"/>
          <cell r="U414"/>
        </row>
        <row r="415">
          <cell r="A415"/>
          <cell r="B415"/>
          <cell r="C415"/>
          <cell r="D415"/>
          <cell r="E415"/>
          <cell r="F415"/>
          <cell r="G415"/>
          <cell r="H415"/>
          <cell r="I415"/>
          <cell r="J415"/>
          <cell r="K415"/>
          <cell r="L415"/>
          <cell r="M415"/>
          <cell r="N415"/>
          <cell r="O415"/>
          <cell r="P415"/>
          <cell r="R415"/>
          <cell r="S415"/>
          <cell r="T415"/>
          <cell r="U415"/>
        </row>
        <row r="416">
          <cell r="A416"/>
          <cell r="B416"/>
          <cell r="C416"/>
          <cell r="D416"/>
          <cell r="E416"/>
          <cell r="F416"/>
          <cell r="G416"/>
          <cell r="H416"/>
          <cell r="I416"/>
          <cell r="J416"/>
          <cell r="K416"/>
          <cell r="L416"/>
          <cell r="M416"/>
          <cell r="N416"/>
          <cell r="O416"/>
          <cell r="P416"/>
          <cell r="R416"/>
          <cell r="S416"/>
          <cell r="T416"/>
          <cell r="U416"/>
        </row>
        <row r="417">
          <cell r="M417"/>
          <cell r="Q417"/>
          <cell r="T417"/>
        </row>
        <row r="418">
          <cell r="M418"/>
          <cell r="Q418"/>
          <cell r="T418"/>
        </row>
        <row r="419">
          <cell r="M419"/>
          <cell r="Q419"/>
          <cell r="T419"/>
        </row>
        <row r="420">
          <cell r="M420"/>
          <cell r="Q420"/>
          <cell r="T420"/>
        </row>
        <row r="421">
          <cell r="M421"/>
          <cell r="Q421"/>
          <cell r="T421"/>
        </row>
        <row r="422">
          <cell r="M422"/>
          <cell r="Q422"/>
          <cell r="T422"/>
        </row>
        <row r="423">
          <cell r="M423"/>
          <cell r="Q423"/>
          <cell r="T423"/>
        </row>
        <row r="424">
          <cell r="M424"/>
          <cell r="Q424"/>
          <cell r="T424"/>
        </row>
        <row r="425">
          <cell r="M425"/>
          <cell r="Q425"/>
          <cell r="T425"/>
        </row>
        <row r="426">
          <cell r="M426"/>
          <cell r="Q426"/>
          <cell r="T426"/>
        </row>
        <row r="427">
          <cell r="M427"/>
          <cell r="Q427"/>
          <cell r="T427"/>
        </row>
        <row r="428">
          <cell r="M428"/>
          <cell r="Q428"/>
          <cell r="T428"/>
        </row>
        <row r="429">
          <cell r="M429"/>
          <cell r="Q429"/>
          <cell r="T429"/>
        </row>
        <row r="430">
          <cell r="M430"/>
          <cell r="Q430"/>
          <cell r="T430"/>
        </row>
        <row r="431">
          <cell r="M431"/>
          <cell r="Q431"/>
          <cell r="T431"/>
        </row>
        <row r="432">
          <cell r="M432"/>
          <cell r="Q432"/>
          <cell r="T432"/>
        </row>
        <row r="433">
          <cell r="M433"/>
          <cell r="Q433"/>
          <cell r="T433"/>
        </row>
        <row r="434">
          <cell r="M434"/>
          <cell r="Q434"/>
          <cell r="T434"/>
        </row>
        <row r="435">
          <cell r="M435"/>
          <cell r="Q435"/>
          <cell r="T435"/>
        </row>
        <row r="436">
          <cell r="M436"/>
          <cell r="Q436"/>
          <cell r="T436"/>
        </row>
        <row r="437">
          <cell r="M437"/>
          <cell r="Q437"/>
          <cell r="T437"/>
        </row>
        <row r="438">
          <cell r="M438"/>
          <cell r="Q438"/>
          <cell r="T438"/>
        </row>
        <row r="439">
          <cell r="M439"/>
          <cell r="Q439"/>
          <cell r="T439"/>
        </row>
        <row r="440">
          <cell r="M440"/>
          <cell r="Q440"/>
          <cell r="T440"/>
        </row>
        <row r="441">
          <cell r="M441"/>
          <cell r="Q441"/>
          <cell r="T441"/>
        </row>
        <row r="442">
          <cell r="M442"/>
          <cell r="Q442"/>
          <cell r="T442"/>
        </row>
        <row r="443">
          <cell r="M443"/>
          <cell r="Q443"/>
          <cell r="T443"/>
        </row>
        <row r="444">
          <cell r="M444"/>
          <cell r="Q444"/>
          <cell r="T444"/>
        </row>
        <row r="445">
          <cell r="M445"/>
          <cell r="Q445"/>
          <cell r="T445"/>
        </row>
        <row r="446">
          <cell r="M446"/>
          <cell r="Q446"/>
          <cell r="T446"/>
        </row>
        <row r="447">
          <cell r="M447"/>
          <cell r="Q447"/>
          <cell r="T447"/>
        </row>
        <row r="448">
          <cell r="M448"/>
          <cell r="Q448"/>
          <cell r="T448"/>
        </row>
        <row r="449">
          <cell r="M449"/>
          <cell r="Q449"/>
          <cell r="T449"/>
        </row>
        <row r="450">
          <cell r="M450"/>
          <cell r="Q450"/>
          <cell r="T450"/>
        </row>
        <row r="451">
          <cell r="M451"/>
          <cell r="Q451"/>
          <cell r="T451"/>
        </row>
        <row r="452">
          <cell r="M452"/>
          <cell r="Q452"/>
          <cell r="T452"/>
        </row>
        <row r="453">
          <cell r="M453"/>
          <cell r="Q453"/>
          <cell r="T453"/>
        </row>
        <row r="454">
          <cell r="M454"/>
          <cell r="Q454"/>
          <cell r="T454"/>
        </row>
        <row r="455">
          <cell r="M455"/>
          <cell r="Q455"/>
          <cell r="T455"/>
        </row>
        <row r="456">
          <cell r="M456"/>
          <cell r="Q456"/>
          <cell r="T456"/>
        </row>
        <row r="457">
          <cell r="M457"/>
          <cell r="Q457"/>
          <cell r="T457"/>
        </row>
        <row r="458">
          <cell r="M458"/>
          <cell r="Q458"/>
          <cell r="T458"/>
        </row>
        <row r="459">
          <cell r="M459"/>
          <cell r="Q459"/>
          <cell r="T459"/>
        </row>
        <row r="460">
          <cell r="M460"/>
          <cell r="Q460"/>
          <cell r="T460"/>
        </row>
        <row r="461">
          <cell r="M461"/>
          <cell r="Q461"/>
          <cell r="T461"/>
        </row>
        <row r="462">
          <cell r="M462"/>
          <cell r="Q462"/>
          <cell r="T462"/>
        </row>
        <row r="463">
          <cell r="M463"/>
          <cell r="Q463"/>
          <cell r="T463"/>
        </row>
        <row r="464">
          <cell r="M464"/>
          <cell r="Q464"/>
          <cell r="T464"/>
        </row>
        <row r="465">
          <cell r="A465"/>
          <cell r="B465"/>
          <cell r="C465"/>
          <cell r="D465"/>
          <cell r="E465"/>
          <cell r="F465"/>
          <cell r="G465"/>
          <cell r="H465"/>
          <cell r="I465"/>
          <cell r="J465"/>
          <cell r="K465"/>
          <cell r="L465"/>
          <cell r="M465"/>
          <cell r="N465"/>
          <cell r="O465"/>
          <cell r="P465"/>
          <cell r="R465"/>
          <cell r="S465"/>
          <cell r="T465"/>
          <cell r="U465"/>
        </row>
        <row r="466">
          <cell r="A466"/>
          <cell r="B466"/>
          <cell r="C466"/>
          <cell r="D466"/>
          <cell r="E466"/>
          <cell r="F466"/>
          <cell r="G466"/>
          <cell r="H466"/>
          <cell r="I466"/>
          <cell r="J466"/>
          <cell r="K466"/>
          <cell r="L466"/>
          <cell r="M466"/>
          <cell r="N466"/>
          <cell r="O466"/>
          <cell r="P466"/>
          <cell r="R466"/>
          <cell r="S466"/>
          <cell r="T466"/>
          <cell r="U466"/>
        </row>
        <row r="467">
          <cell r="B467"/>
          <cell r="C467"/>
          <cell r="D467"/>
          <cell r="E467"/>
          <cell r="F467"/>
          <cell r="G467"/>
          <cell r="H467"/>
          <cell r="I467"/>
          <cell r="J467"/>
          <cell r="K467"/>
          <cell r="L467"/>
          <cell r="M467"/>
          <cell r="N467"/>
          <cell r="O467"/>
          <cell r="P467"/>
          <cell r="R467"/>
          <cell r="S467"/>
          <cell r="T467"/>
          <cell r="U467"/>
        </row>
        <row r="468">
          <cell r="B468"/>
          <cell r="C468"/>
          <cell r="D468"/>
          <cell r="E468"/>
          <cell r="F468"/>
          <cell r="G468"/>
          <cell r="H468"/>
          <cell r="I468"/>
          <cell r="J468"/>
          <cell r="K468"/>
          <cell r="L468"/>
          <cell r="M468"/>
          <cell r="N468"/>
          <cell r="O468"/>
          <cell r="P468"/>
          <cell r="R468"/>
          <cell r="S468"/>
          <cell r="T468"/>
          <cell r="U468"/>
        </row>
      </sheetData>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KAPSRN5W4XO5GZASOOQXSLGL4I">
      <xxl21:absoluteUrl r:id="rId3"/>
      <xxl21:relativeUrl r:id="rId4"/>
    </xxl21:alternateUrls>
    <sheetNames>
      <sheetName val="PRIORIZADOS"/>
      <sheetName val="DEMANDA"/>
      <sheetName val="MESAS DIRECTIVOS IE"/>
      <sheetName val="OPERACIONES-ACTIVIDADES"/>
      <sheetName val="MANUALES DE CONVIVENCIA IED"/>
      <sheetName val="PEGRCC Y GOBIERNOS ESCOLARES"/>
      <sheetName val="ACTIVIDADES  "/>
      <sheetName val="LISTAS"/>
      <sheetName val="COLEGIOS"/>
    </sheetNames>
    <sheetDataSet>
      <sheetData sheetId="0">
        <row r="1">
          <cell r="B1" t="str">
            <v>TEUSAQUILLO</v>
          </cell>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13. TEUSAQUILLO</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 xml:space="preserve">Codigo Unico </v>
          </cell>
          <cell r="B7" t="str">
            <v>NÚMERO DE EE
(Enumere los EE que serán visitados en el período)</v>
          </cell>
          <cell r="C7" t="str">
            <v xml:space="preserve">LOCALDAD </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el seguimiento y/o verificación realizada o por realizar sobre los compromisos o PMI acordados)</v>
          </cell>
        </row>
        <row r="8">
          <cell r="A8">
            <v>2327</v>
          </cell>
          <cell r="B8">
            <v>1</v>
          </cell>
          <cell r="C8" t="str">
            <v>TEUSAQUILLO</v>
          </cell>
          <cell r="D8" t="str">
            <v>PRIVADO</v>
          </cell>
          <cell r="E8" t="str">
            <v>Educación de Jóvenes y Adultos</v>
          </cell>
          <cell r="F8" t="str">
            <v>COLEGIO_BOGOTANO_MIXTO</v>
          </cell>
          <cell r="G8" t="str">
            <v>COLEGIO BOGOTANO MIXTO</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MARÍA CLAUDIA LEÓN RIVERA</v>
          </cell>
          <cell r="L8" t="str">
            <v xml:space="preserve">MARTIN ALEJANDRO CELY ANDRADE </v>
          </cell>
          <cell r="M8">
            <v>45735</v>
          </cell>
          <cell r="N8">
            <v>45736</v>
          </cell>
          <cell r="O8">
            <v>45736</v>
          </cell>
          <cell r="P8" t="str">
            <v>Visitas de evaluación con fines de seguimiento</v>
          </cell>
          <cell r="Q8" t="str">
            <v>2003 Acta visita COLEGIO BOGOTANO MIXTO.pdf</v>
          </cell>
          <cell r="R8" t="str">
            <v>Se encontró una diferencia entre los estudiantes registrados en SIMAT y la realidad institucional.</v>
          </cell>
          <cell r="S8" t="str">
            <v>Verificar y actualizar el registro en SIMAT conforme a la realidad institucional y a los contratos de matrícula.</v>
          </cell>
          <cell r="T8" t="str">
            <v>Si</v>
          </cell>
          <cell r="U8" t="str">
            <v>Se realizará una segunda visita en el segundo semestre del año para verificar la actualización del SIMAT.</v>
          </cell>
        </row>
        <row r="9">
          <cell r="A9">
            <v>2328</v>
          </cell>
          <cell r="B9">
            <v>1</v>
          </cell>
          <cell r="C9" t="str">
            <v>TEUSAQUILLO</v>
          </cell>
          <cell r="D9" t="str">
            <v>PRIVADO</v>
          </cell>
          <cell r="E9" t="str">
            <v>Educación de Jóvenes y Adultos</v>
          </cell>
          <cell r="F9" t="str">
            <v>COLEGIO_BOGOTANO_MIXTO</v>
          </cell>
          <cell r="G9" t="str">
            <v>COLEGIO BOGOTANO MIXTO</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MARÍA CLAUDIA LEÓN RIVERA</v>
          </cell>
          <cell r="L9" t="str">
            <v xml:space="preserve">MARTIN ALEJANDRO CELY ANDRADE </v>
          </cell>
          <cell r="M9">
            <v>45735</v>
          </cell>
          <cell r="N9">
            <v>45736</v>
          </cell>
          <cell r="O9">
            <v>45736</v>
          </cell>
          <cell r="P9" t="str">
            <v>Visitas de evaluación con fines de seguimiento</v>
          </cell>
          <cell r="Q9" t="str">
            <v>2003 Acta visita COLEGIO BOGOTANO MIXTO.pdf</v>
          </cell>
          <cell r="R9" t="str">
            <v>Se evidenció la ausencia de un plan de mejoramiento que documente las acciones orientadas al fortalecimiento de los procesos académicos frente a las pruebas Saber 11 del segundo semestre de 2024.</v>
          </cell>
          <cell r="S9" t="str">
            <v>Analizar los resultados y elaborar un plan de mejoramiento que permita fortalecer los procesos académicos.</v>
          </cell>
          <cell r="T9" t="str">
            <v>Si</v>
          </cell>
          <cell r="U9" t="str">
            <v>Se realizará una segunda visita en el segundo semestre del año para verificar el Plan de Mejoramiento y su implementación.</v>
          </cell>
        </row>
        <row r="10">
          <cell r="A10">
            <v>2329</v>
          </cell>
          <cell r="B10">
            <v>1</v>
          </cell>
          <cell r="C10" t="str">
            <v>TEUSAQUILLO</v>
          </cell>
          <cell r="D10" t="str">
            <v>PRIVADO</v>
          </cell>
          <cell r="E10" t="str">
            <v>Educación de Jóvenes y Adultos</v>
          </cell>
          <cell r="F10" t="str">
            <v>COLEGIO_BOGOTANO_MIXTO</v>
          </cell>
          <cell r="G10" t="str">
            <v>COLEGIO BOGOTANO MIXTO</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MARÍA CLAUDIA LEÓN RIVERA</v>
          </cell>
          <cell r="L10" t="str">
            <v xml:space="preserve">MARTIN ALEJANDRO CELY ANDRADE </v>
          </cell>
          <cell r="M10">
            <v>45735</v>
          </cell>
          <cell r="N10">
            <v>45736</v>
          </cell>
          <cell r="O10">
            <v>45736</v>
          </cell>
          <cell r="P10" t="str">
            <v>Visitas de evaluación con fines de seguimiento</v>
          </cell>
          <cell r="Q10" t="str">
            <v>2003 Acta visita COLEGIO BOGOTANO MIXTO.pdf</v>
          </cell>
          <cell r="R10" t="str">
            <v>Se constató la ausencia de registros sobre la consulta de antecedentes judiciales al personal docente y administrativo, así como la falta de evidencia de acciones preventivas del Comité de Convivencia. No se observó funcionamiento bimestral del comité durante 2024.</v>
          </cell>
          <cell r="S10" t="str">
            <v>Realizar la consulta de antecedentes judiciales cada cuatro meses para todo el personal docente y administrativo, registrando dicha información en sus hojas de vida. Igualmente, se debe activar y dar funcionamiento regular al Comité de Convivencia Escolar conforme a la normativa.</v>
          </cell>
          <cell r="T10" t="str">
            <v>Si</v>
          </cell>
          <cell r="U10" t="str">
            <v>Durante el segundo semestre del año se llevará a cabo una segunda visita para verificar el estado de las hojas de vida y el funcionamiento del Gobierno Escolar.</v>
          </cell>
        </row>
        <row r="11">
          <cell r="A11">
            <v>2330</v>
          </cell>
          <cell r="B11">
            <v>1</v>
          </cell>
          <cell r="C11" t="str">
            <v>TEUSAQUILLO</v>
          </cell>
          <cell r="D11" t="str">
            <v>PRIVADO</v>
          </cell>
          <cell r="E11" t="str">
            <v>Educación de Jóvenes y Adultos</v>
          </cell>
          <cell r="F11" t="str">
            <v>COLEGIO_BOGOTANO_MIXTO</v>
          </cell>
          <cell r="G11" t="str">
            <v>COLEGIO BOGOTANO MIXTO</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MARÍA CLAUDIA LEÓN RIVERA</v>
          </cell>
          <cell r="L11" t="str">
            <v xml:space="preserve">MARTIN ALEJANDRO CELY ANDRADE </v>
          </cell>
          <cell r="M11">
            <v>45735</v>
          </cell>
          <cell r="N11">
            <v>45736</v>
          </cell>
          <cell r="O11">
            <v>45736</v>
          </cell>
          <cell r="P11" t="str">
            <v>Visitas de evaluación con fines de mejoramiento</v>
          </cell>
          <cell r="Q11" t="str">
            <v>2003 Acta visita seguimiento COl. BogotanoMixto.pdf</v>
          </cell>
          <cell r="R11" t="str">
            <v xml:space="preserve">No se evidencia registro en  SIMAT,  de poblacion con discapacidad, trastornos del aprendizaje , y talentos excepcionales, Ni se han identificado en Aula. No se han elaborado  Planes Individuales de Ajustes Razonables PIAR. </v>
          </cell>
          <cell r="S11" t="str">
            <v xml:space="preserve">se verificó matrícula de SIMAT  y no se registra poblacion con discapacidad. </v>
          </cell>
          <cell r="T11" t="str">
            <v>No</v>
          </cell>
          <cell r="U11" t="str">
            <v xml:space="preserve">la IE debe presentar los tiempos para elaborar el plan de mejoramiento y acorde con esto se realizara segunda visita de seguimiento. </v>
          </cell>
        </row>
        <row r="12">
          <cell r="A12">
            <v>2331</v>
          </cell>
          <cell r="B12">
            <v>1</v>
          </cell>
          <cell r="C12" t="str">
            <v>TEUSAQUILLO</v>
          </cell>
          <cell r="D12" t="str">
            <v>PRIVADO</v>
          </cell>
          <cell r="E12" t="str">
            <v>Educación de Jóvenes y Adultos</v>
          </cell>
          <cell r="F12" t="str">
            <v>COLEGIO_BOGOTANO_MIXTO</v>
          </cell>
          <cell r="G12" t="str">
            <v>COLEGIO BOGOTANO MIXTO</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MARÍA CLAUDIA LEÓN RIVERA</v>
          </cell>
          <cell r="L12" t="str">
            <v xml:space="preserve">MARTIN ALEJANDRO CELY ANDRADE </v>
          </cell>
          <cell r="M12">
            <v>45735</v>
          </cell>
          <cell r="N12">
            <v>45736</v>
          </cell>
          <cell r="O12">
            <v>45736</v>
          </cell>
          <cell r="P12" t="str">
            <v>Visitas de evaluación con fines de mejoramiento</v>
          </cell>
          <cell r="Q12" t="str">
            <v>2003 Acta visita COLEGIO BOGOTANO MIXTO.pdf</v>
          </cell>
          <cell r="R12" t="str">
            <v>El manual de convivencia presentado, no refleja el desarrollo de los 12 componentes conforme el Decreto 1075 de 2015.</v>
          </cell>
          <cell r="S12" t="str">
            <v xml:space="preserve"> 
Se debe revisar y ajustar el manual de convivencia  a la luz del PEI,  guia 49 y ley 1620 de 2015 y protocolos de atencion integral a situaciones de convivencia y ajustarlo con la participacion de la comunidad educativa. Entregar para revisión el 25 de abril.</v>
          </cell>
          <cell r="T12" t="str">
            <v>Si</v>
          </cell>
          <cell r="U12" t="str">
            <v>El ELIV verificara que el manual de convivenvia con el desarrollo todos los componentes de acuerdo con la guía 49. ley 1620 de 2013 y Decreto 1075 de 2015a 25 de abril de 2025.
. Se verificó el manual y se hicieron nuevamente observaciones relacionadas con relacionadas con la estructura y desarrollo de cada componente
. Se verificará nuevamente antes de finalizar el mes de enero de 2026</v>
          </cell>
        </row>
        <row r="13">
          <cell r="A13">
            <v>2332</v>
          </cell>
          <cell r="B13">
            <v>1</v>
          </cell>
          <cell r="C13" t="str">
            <v>TEUSAQUILLO</v>
          </cell>
          <cell r="D13" t="str">
            <v>PRIVADO</v>
          </cell>
          <cell r="E13" t="str">
            <v>Educación de Jóvenes y Adultos</v>
          </cell>
          <cell r="F13" t="str">
            <v>COLEGIO_BOGOTANO_MIXTO</v>
          </cell>
          <cell r="G13" t="str">
            <v>COLEGIO BOGOTANO MIXTO</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MARÍA CLAUDIA LEÓN RIVERA</v>
          </cell>
          <cell r="L13" t="str">
            <v xml:space="preserve">MARTIN ALEJANDRO CELY ANDRADE </v>
          </cell>
          <cell r="M13">
            <v>45735</v>
          </cell>
          <cell r="N13">
            <v>45736</v>
          </cell>
          <cell r="O13">
            <v>45736</v>
          </cell>
          <cell r="P13" t="str">
            <v>Visitas de evaluación con fines de mejoramiento</v>
          </cell>
          <cell r="Q13" t="str">
            <v>2003 Acta visita COLEGIO BOGOTANO MIXTO.pdf</v>
          </cell>
          <cell r="R13" t="str">
            <v xml:space="preserve">El documento del SIEE y PEI, no se desarrolla conforme la estructura que orienta el decreto 1075 de 2015, no se evidencia proceso de socializacion con la comunidad educativa. </v>
          </cell>
          <cell r="S13" t="str">
            <v xml:space="preserve">Se socializa que el SIEE debe ser elaborado y socializado con la comunidad  educativa.  Por tanto, debe realizarse proceso de revision por cada uno de los estamentos de la comunidad educativa. </v>
          </cell>
          <cell r="T13" t="str">
            <v>Si</v>
          </cell>
          <cell r="U13" t="str">
            <v xml:space="preserve">El ELIV revisara el documento ajustado, el cual lo debe presentar la IE máximo 4 de abril de 2025.  Se verificó el SIEE, se realizaron nuevamente observaciones relacionadas con la especificidas que requiere el documento para claridad en el proceso de evaluación. </v>
          </cell>
        </row>
        <row r="14">
          <cell r="A14">
            <v>2333</v>
          </cell>
          <cell r="B14">
            <v>1</v>
          </cell>
          <cell r="C14" t="str">
            <v>TEUSAQUILLO</v>
          </cell>
          <cell r="D14" t="str">
            <v>PRIVADO</v>
          </cell>
          <cell r="E14" t="str">
            <v>Educación de Jóvenes y Adultos</v>
          </cell>
          <cell r="F14" t="str">
            <v>COLEGIO_BOGOTANO_MIXTO</v>
          </cell>
          <cell r="G14" t="str">
            <v>COLEGIO BOGOTANO MIXTO</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MARÍA CLAUDIA LEÓN RIVERA</v>
          </cell>
          <cell r="L14" t="str">
            <v xml:space="preserve">MARTIN ALEJANDRO CELY ANDRADE </v>
          </cell>
          <cell r="M14">
            <v>45735</v>
          </cell>
          <cell r="N14">
            <v>45736</v>
          </cell>
          <cell r="O14">
            <v>45736</v>
          </cell>
          <cell r="P14" t="str">
            <v>Visitas de evaluación con fines de mejoramiento</v>
          </cell>
          <cell r="Q14" t="str">
            <v>2003 Acta visita seguimiento COl. BogotanoMixto.pdf</v>
          </cell>
          <cell r="R14" t="str">
            <v xml:space="preserve">No se evidencia el calendario escolar, la IE presentó un documento borrador pero, no se evidencia socializacion con la comunidad educativa. </v>
          </cell>
          <cell r="S14" t="str">
            <v xml:space="preserve">Debe elaborarse y presentarse formalmente a la comunidad educativa el calendario escolar en cumplimiento de la normatividad vigente, y de las horas minimas requeridas para Educacion Formal de Adultos -Ciclos..Remitir el calendario escolar fecha maxima el 31 de marzo. </v>
          </cell>
          <cell r="T14" t="str">
            <v>Si</v>
          </cell>
          <cell r="U14" t="str">
            <v>.Verificar el cumplimiento de las horas minimas requeridas para Educación Formal de Adultos -Ciclos, cuando la IE presente el documento aprobado.
.Se revisió en el mes de abril encontrando que se ajusta a norma y su socializado con la comunidad educativa.</v>
          </cell>
        </row>
        <row r="15">
          <cell r="A15">
            <v>2334</v>
          </cell>
          <cell r="B15">
            <v>1</v>
          </cell>
          <cell r="C15" t="str">
            <v>TEUSAQUILLO</v>
          </cell>
          <cell r="D15" t="str">
            <v>PRIVADO</v>
          </cell>
          <cell r="E15" t="str">
            <v>Educación de Jóvenes y Adultos</v>
          </cell>
          <cell r="F15" t="str">
            <v>COLEGIO_BOGOTANO_MIXTO</v>
          </cell>
          <cell r="G15" t="str">
            <v>COLEGIO BOGOTANO MIXTO</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MARÍA CLAUDIA LEÓN RIVERA</v>
          </cell>
          <cell r="L15" t="str">
            <v xml:space="preserve">MARTIN ALEJANDRO CELY ANDRADE </v>
          </cell>
          <cell r="M15">
            <v>45735</v>
          </cell>
          <cell r="N15">
            <v>45736</v>
          </cell>
          <cell r="O15">
            <v>45744</v>
          </cell>
          <cell r="P15" t="str">
            <v>Visitas de evaluación con fines de mejoramiento</v>
          </cell>
          <cell r="Q15" t="str">
            <v>2003 Acta visita seguimiento COl. BogotanoMixto.pdf</v>
          </cell>
          <cell r="R15" t="str">
            <v xml:space="preserve">De acuerdo con las actas de reunion (vigencia 2024) de los estamentos del gobiernos escolar , se evidencia su funcionamiento sin embargo, no se hace con la periodocidad requerida. con relacion al comite de convivencia se oriento que este debe sesionar minimo cada dos meses, Consejo directivo sesiono conforme su competencia, Consejo Académico, sesiono  unicamente para presentar casos de estudiantes en los diferentes periodos, no presentaron actas de los otros estamentos de participación. </v>
          </cell>
          <cell r="S15" t="str">
            <v xml:space="preserve">Realizar la conformacion del gobiernos escolar de forma participativa  y sesionar de acuedo con sus funciones y la periodicidad que ordena la norma. </v>
          </cell>
          <cell r="T15" t="str">
            <v>Si</v>
          </cell>
          <cell r="U15" t="str">
            <v xml:space="preserve">.Verificar la conformación del Gobierno Escolar e instancias de participación para la vigencia 2025.
.Vericar mediante visita en el segundo semestre del año el funcionamiento del Gobierno Escolar y demás órganos de participación. </v>
          </cell>
        </row>
        <row r="16">
          <cell r="A16">
            <v>2335</v>
          </cell>
          <cell r="B16">
            <v>1</v>
          </cell>
          <cell r="C16" t="str">
            <v>TEUSAQUILLO</v>
          </cell>
          <cell r="D16" t="str">
            <v>PRIVADO</v>
          </cell>
          <cell r="E16" t="str">
            <v>Educación de Jóvenes y Adultos</v>
          </cell>
          <cell r="F16" t="str">
            <v>COLEGIO_BOGOTANO_MIXTO</v>
          </cell>
          <cell r="G16" t="str">
            <v>COLEGIO BOGOTANO MIXTO</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MARÍA CLAUDIA LEÓN RIVERA</v>
          </cell>
          <cell r="L16" t="str">
            <v xml:space="preserve">MARTIN ALEJANDRO CELY ANDRADE </v>
          </cell>
          <cell r="M16">
            <v>45735</v>
          </cell>
          <cell r="N16">
            <v>45736</v>
          </cell>
          <cell r="O16" t="str">
            <v>28/03/2025</v>
          </cell>
          <cell r="P16" t="str">
            <v>Visitas de evaluación con fines de mejoramiento</v>
          </cell>
          <cell r="Q16" t="str">
            <v>2003 Acta visita seguimiento COl. BogotanoMixto.pdf</v>
          </cell>
          <cell r="R16" t="str">
            <v xml:space="preserve">La planta física es compartida con el Colegio ERVID,  no se identifica un espacio determinado para el desarrollo propio de cada una de las instituciones en sus procesos administrativos y académicos. </v>
          </cell>
          <cell r="S16" t="str">
            <v xml:space="preserve">La IE debe organizar los espacios administrativos de tal forma que permita el desarrollo adecuado  del  Proyecto Educativo Institucional  proyectado. </v>
          </cell>
          <cell r="T16" t="str">
            <v>Si</v>
          </cell>
          <cell r="U16" t="str">
            <v>Verificar en segunda visita de seguimiento  a realizarse en el segundo semestre de la presente vigencia.</v>
          </cell>
        </row>
        <row r="17">
          <cell r="A17">
            <v>2336</v>
          </cell>
          <cell r="B17">
            <v>2</v>
          </cell>
          <cell r="C17" t="str">
            <v>TEUSAQUILLO</v>
          </cell>
          <cell r="D17" t="str">
            <v>PRIVADO</v>
          </cell>
          <cell r="E17" t="str">
            <v>Educación de Jóvenes y Adultos</v>
          </cell>
          <cell r="F17" t="str">
            <v>COLEGIO_FORMARTE</v>
          </cell>
          <cell r="G17" t="str">
            <v>COLEGIO FORMARTE</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MARÍA CLAUDIA LEÓN RIVERA</v>
          </cell>
          <cell r="L17" t="str">
            <v>EDGAR ANCIZAR CABRERA TELLO</v>
          </cell>
          <cell r="M17">
            <v>45744</v>
          </cell>
          <cell r="N17" t="str">
            <v>28/03/2025</v>
          </cell>
          <cell r="O17" t="str">
            <v>28/03/2025</v>
          </cell>
          <cell r="P17" t="str">
            <v>Visitas de evaluación con fines de mejoramiento</v>
          </cell>
          <cell r="Q17" t="str">
            <v>2803 Acta visita COLEGIO FORMARTE.pdf</v>
          </cell>
          <cell r="R17" t="str">
            <v>Se verificó la coherencia entre los datos reportados y la realidad institucional en aspectos como gestión pedagógica, comunidad educativa, administración y calidad educativa. Se revisaron documentos, registros y evidencias que sustentan el cumplimiento de los estándares exigidos.</v>
          </cell>
          <cell r="S17" t="str">
            <v xml:space="preserve">Continuar con los procesos de autoevaluación en terminos y de acuerdo con su realidad institucional.  </v>
          </cell>
          <cell r="T17" t="str">
            <v>No</v>
          </cell>
          <cell r="U17" t="str">
            <v xml:space="preserve">Verificación del diligenciamiento de la autoevaluación 2025 en el mes de octubre, y el reporte de certificación de calidad correspondiente. </v>
          </cell>
        </row>
        <row r="18">
          <cell r="A18">
            <v>2337</v>
          </cell>
          <cell r="B18">
            <v>2</v>
          </cell>
          <cell r="C18" t="str">
            <v>TEUSAQUILLO</v>
          </cell>
          <cell r="D18" t="str">
            <v>PRIVADO</v>
          </cell>
          <cell r="E18" t="str">
            <v>Educación de Jóvenes y Adultos</v>
          </cell>
          <cell r="F18" t="str">
            <v>COLEGIO_FORMARTE</v>
          </cell>
          <cell r="G18" t="str">
            <v>COLEGIO FORMARTE</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MARÍA CLAUDIA LEÓN RIVERA</v>
          </cell>
          <cell r="L18" t="str">
            <v>EDGAR ANCIZAR CABRERA TELLO</v>
          </cell>
          <cell r="M18">
            <v>45744</v>
          </cell>
          <cell r="N18" t="str">
            <v>28/03/2025</v>
          </cell>
          <cell r="O18" t="str">
            <v>28/03/2025</v>
          </cell>
          <cell r="P18" t="str">
            <v>Visitas de evaluación con fines de mejoramiento</v>
          </cell>
          <cell r="Q18" t="str">
            <v>2803 Acta visita COLEGIO FORMARTE.pdf</v>
          </cell>
          <cell r="R18" t="str">
            <v xml:space="preserve">Se diseñan estrategias para la formulación de planes de mejoramiento, sobre los cuales se realiza seguimiento semestral a las acciones implementadas, con el fin de fortalecer los procesos educativos y mejorar los resultados en las pruebas SABER 11 (como simulacros y asesorías). Seguimiento a través de revisiones curriculares mensuales e informes semestrales de gestión de calidad. </v>
          </cell>
          <cell r="S18" t="str">
            <v xml:space="preserve">Continuar con los procesos de seguimiento al desarrollo de los contenidos curriculares y la evaluación de los resultados de las pruebas SABER 11 para la implementación de estrategias para mejorar y/o mantener los resultados. </v>
          </cell>
          <cell r="T18" t="str">
            <v>No</v>
          </cell>
          <cell r="U18" t="str">
            <v xml:space="preserve">Verificar los resultados de la prueba SABER 11 2025. </v>
          </cell>
        </row>
        <row r="19">
          <cell r="A19">
            <v>2338</v>
          </cell>
          <cell r="B19">
            <v>2</v>
          </cell>
          <cell r="C19" t="str">
            <v>TEUSAQUILLO</v>
          </cell>
          <cell r="D19" t="str">
            <v>PRIVADO</v>
          </cell>
          <cell r="E19" t="str">
            <v>Educación de Jóvenes y Adultos</v>
          </cell>
          <cell r="F19" t="str">
            <v>COLEGIO_FORMARTE</v>
          </cell>
          <cell r="G19" t="str">
            <v>COLEGIO FORMARTE</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MARÍA CLAUDIA LEÓN RIVERA</v>
          </cell>
          <cell r="L19" t="str">
            <v>EDGAR ANCIZAR CABRERA TELLO</v>
          </cell>
          <cell r="M19">
            <v>45744</v>
          </cell>
          <cell r="N19" t="str">
            <v>28/03/2025</v>
          </cell>
          <cell r="O19" t="str">
            <v>28/03/2025</v>
          </cell>
          <cell r="P19" t="str">
            <v>Visitas de evaluación con fines de mejoramiento</v>
          </cell>
          <cell r="Q19" t="str">
            <v>2803 Acta visita COLEGIO FORMARTE.pdf</v>
          </cell>
          <cell r="R19" t="str">
            <v>Cuenta con un Manual de Convivencia actualizado y participativo, un Comité de Convivencia que opera regularmente (cada 8 días) evaluando situaciones y acciones, y aplica la Ruta de Atención Integral (Ley 1620) desde psicorientación. Sin embargo, no se realiza la verificación cuatrimestral de inhabilidades por delitos sexuales en la página de la Policía Nacional</v>
          </cell>
          <cell r="S19" t="str">
            <v xml:space="preserve">Continuar con el seguimiento a las situaciones de convivencia escolar, a partir de las cuales realizar acciones de promocion y prevención y realizar la verificación cuatrimestral de inhabilidades por delitos sexuales en la página de la Policía Nacional de todo el perosnal vinculado con la institución. </v>
          </cell>
          <cell r="T19" t="str">
            <v>Si</v>
          </cell>
          <cell r="U19" t="str">
            <v>Verificar la revisión de antecedesntes mediante requierimiento documental en el segundo semestre del año.</v>
          </cell>
        </row>
        <row r="20">
          <cell r="A20">
            <v>2340</v>
          </cell>
          <cell r="B20">
            <v>2</v>
          </cell>
          <cell r="C20" t="str">
            <v>TEUSAQUILLO</v>
          </cell>
          <cell r="D20" t="str">
            <v>PRIVADO</v>
          </cell>
          <cell r="E20" t="str">
            <v>Educación de Jóvenes y Adultos</v>
          </cell>
          <cell r="F20" t="str">
            <v>COLEGIO_FORMARTE</v>
          </cell>
          <cell r="G20" t="str">
            <v>COLEGIO FORMARTE</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MARÍA CLAUDIA LEÓN RIVERA</v>
          </cell>
          <cell r="L20" t="str">
            <v>EDGAR ANCIZAR CABRERA TELLO</v>
          </cell>
          <cell r="M20">
            <v>45744</v>
          </cell>
          <cell r="N20" t="str">
            <v>28/03/2025</v>
          </cell>
          <cell r="O20" t="str">
            <v>28/03/2025</v>
          </cell>
          <cell r="P20" t="str">
            <v>Visitas de evaluación con fines de mejoramiento</v>
          </cell>
          <cell r="Q20" t="str">
            <v>2803 Acta visita COLEGIO FORMARTE.pdf</v>
          </cell>
          <cell r="R20" t="str">
            <v xml:space="preserve"> Planes Individuales de Ajustes Razonables (PIAR) para la población con discapacidad, trastornos del aprendizaje y talentos excepcionales, contando con 21 documentos. Se evidencia un desarrollo y seguimiento, ya que se indica que estos PIAR son elaborados conjuntamente con docentes y evaluados cada 8 días.</v>
          </cell>
          <cell r="S20" t="str">
            <v xml:space="preserve">Elaborar el documento PIAR, conforme el formato establecido en el decreto 1421 de 2017. </v>
          </cell>
          <cell r="T20" t="str">
            <v>Si</v>
          </cell>
          <cell r="U20" t="str">
            <v>Verificar para la vigencia 2026 que los PIAR se documente en el formato del MEN.</v>
          </cell>
        </row>
        <row r="21">
          <cell r="A21">
            <v>2341</v>
          </cell>
          <cell r="B21">
            <v>2</v>
          </cell>
          <cell r="C21" t="str">
            <v>TEUSAQUILLO</v>
          </cell>
          <cell r="D21" t="str">
            <v>PRIVADO</v>
          </cell>
          <cell r="E21" t="str">
            <v>Educación de Jóvenes y Adultos</v>
          </cell>
          <cell r="F21" t="str">
            <v>COLEGIO_FORMARTE</v>
          </cell>
          <cell r="G21" t="str">
            <v>COLEGIO FORMARTE</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MARÍA CLAUDIA LEÓN RIVERA</v>
          </cell>
          <cell r="L21" t="str">
            <v>EDGAR ANCIZAR CABRERA TELLO</v>
          </cell>
          <cell r="M21">
            <v>45744</v>
          </cell>
          <cell r="N21" t="str">
            <v>28/03/2025</v>
          </cell>
          <cell r="O21" t="str">
            <v>28/03/2025</v>
          </cell>
          <cell r="P21" t="str">
            <v>Visitas de evaluación con fines de mejoramiento</v>
          </cell>
          <cell r="Q21" t="str">
            <v>2803 Acta visita COLEGIO FORMARTE.pdf</v>
          </cell>
          <cell r="R21" t="str">
            <v xml:space="preserve"> El Manual de Convivencia fue construido y adoptado de forma participativa y se actualiza anualmente mediante el Consejo Directivo. Se evidencia que contiene elementos de ley y enfoques como el respeto, la diversidad y el enfoque restaurativo (respaldado por el Decálogo de Estudiantes), y garantiza el debido proceso para sanciones. Además, se menciona que la propuesta se socializa con la comunidad educativa. </v>
          </cell>
          <cell r="S21" t="str">
            <v xml:space="preserve">Continuar con la  actualización anual  del documento, conforme la realidad institucional, las diferentes situaciones de convivencia que se presentan en el marco del desarrollo de las dinámicas escolares y la participación de la comunidad educativa. </v>
          </cell>
          <cell r="T21" t="str">
            <v>No</v>
          </cell>
          <cell r="U21" t="str">
            <v>Verificar el proceso de actualización del manual de convivencia para la vigencia 2026</v>
          </cell>
        </row>
        <row r="22">
          <cell r="A22">
            <v>2342</v>
          </cell>
          <cell r="B22">
            <v>2</v>
          </cell>
          <cell r="C22" t="str">
            <v>TEUSAQUILLO</v>
          </cell>
          <cell r="D22" t="str">
            <v>PRIVADO</v>
          </cell>
          <cell r="E22" t="str">
            <v>Educación de Jóvenes y Adultos</v>
          </cell>
          <cell r="F22" t="str">
            <v>COLEGIO_FORMARTE</v>
          </cell>
          <cell r="G22" t="str">
            <v>COLEGIO FORMARTE</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MARÍA CLAUDIA LEÓN RIVERA</v>
          </cell>
          <cell r="L22" t="str">
            <v>EDGAR ANCIZAR CABRERA TELLO</v>
          </cell>
          <cell r="M22">
            <v>45744</v>
          </cell>
          <cell r="N22" t="str">
            <v>28/03/2025</v>
          </cell>
          <cell r="O22" t="str">
            <v>28/03/2025</v>
          </cell>
          <cell r="P22" t="str">
            <v>Visitas de evaluación con fines de mejoramiento</v>
          </cell>
          <cell r="Q22" t="str">
            <v>2803 Acta visita COLEGIO FORMARTE.pdf</v>
          </cell>
          <cell r="R22" t="str">
            <v xml:space="preserve">El SIEE fue construido participativamente, semestralmente se revisa con el equipo docente y se articula con la planeación curricular. se evidencia su  implementación en coherencia con el PEI y la normatividad vigente. </v>
          </cell>
          <cell r="S22" t="str">
            <v xml:space="preserve">Continuar con la actualización del documentos </v>
          </cell>
          <cell r="T22" t="str">
            <v>No</v>
          </cell>
          <cell r="U22" t="str">
            <v>Verificar su actualizaión para la vigencia 2026 en caso de requerise.</v>
          </cell>
        </row>
        <row r="23">
          <cell r="A23">
            <v>2343</v>
          </cell>
          <cell r="B23">
            <v>2</v>
          </cell>
          <cell r="C23" t="str">
            <v>TEUSAQUILLO</v>
          </cell>
          <cell r="D23" t="str">
            <v>PRIVADO</v>
          </cell>
          <cell r="E23" t="str">
            <v>Educación de Jóvenes y Adultos</v>
          </cell>
          <cell r="F23" t="str">
            <v>COLEGIO_FORMARTE</v>
          </cell>
          <cell r="G23" t="str">
            <v>COLEGIO FORMARTE</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MARÍA CLAUDIA LEÓN RIVERA</v>
          </cell>
          <cell r="L23" t="str">
            <v>EDGAR ANCIZAR CABRERA TELLO</v>
          </cell>
          <cell r="M23">
            <v>45744</v>
          </cell>
          <cell r="N23" t="str">
            <v>28/03/2025</v>
          </cell>
          <cell r="O23" t="str">
            <v>28/03/2025</v>
          </cell>
          <cell r="P23" t="str">
            <v>Visitas de evaluación con fines de mejoramiento</v>
          </cell>
          <cell r="Q23" t="str">
            <v>2803 Acta visita COLEGIO FORMARTE.pdf</v>
          </cell>
          <cell r="R23" t="str">
            <v>El calendario y la jornada escolar cumplen con la normatividad vigente, asegurando la intensidad horaria mínima anual en cada nivel. Se evidencia documentación en fisico y en digital.</v>
          </cell>
          <cell r="S23" t="str">
            <v>Continuar con su implementación</v>
          </cell>
          <cell r="T23" t="str">
            <v>No</v>
          </cell>
          <cell r="U23" t="str">
            <v>Verificar su construcción para la vigencia 2026 en caso de requerise.</v>
          </cell>
        </row>
        <row r="24">
          <cell r="A24">
            <v>2344</v>
          </cell>
          <cell r="B24">
            <v>2</v>
          </cell>
          <cell r="C24" t="str">
            <v>TEUSAQUILLO</v>
          </cell>
          <cell r="D24" t="str">
            <v>PRIVADO</v>
          </cell>
          <cell r="E24" t="str">
            <v>Educación de Jóvenes y Adultos</v>
          </cell>
          <cell r="F24" t="str">
            <v>COLEGIO_FORMARTE</v>
          </cell>
          <cell r="G24" t="str">
            <v>COLEGIO FORMARTE</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MARÍA CLAUDIA LEÓN RIVERA</v>
          </cell>
          <cell r="L24" t="str">
            <v>EDGAR ANCIZAR CABRERA TELLO</v>
          </cell>
          <cell r="M24">
            <v>45744</v>
          </cell>
          <cell r="N24" t="str">
            <v>28/03/2025</v>
          </cell>
          <cell r="O24" t="str">
            <v>28/03/2025</v>
          </cell>
          <cell r="P24" t="str">
            <v>Visitas de evaluación con fines de mejoramiento</v>
          </cell>
          <cell r="Q24" t="str">
            <v>2803 Acta visita COLEGIO FORMARTE.pdf</v>
          </cell>
          <cell r="R24" t="str">
            <v>e verifico  que el Gobierno Escolar y las instancias de participación están conformados y sesionan de acuerdo con sus funciones, planes de acción y reglamentos internos,  Se verificó la conformación del Consejo Directivo, Consejo Académico, Consejo Estudiantil, Consejo de Padres, Asopadres, Escuela para Padres, Personero(a) Estudiantil, Contraloría Estudiantil y Cabildantes. Además, se evidencia la carga de actas en el SAE</v>
          </cell>
          <cell r="S24" t="str">
            <v xml:space="preserve">Continuar con su operatividad conforme lo establece la norma. </v>
          </cell>
          <cell r="T24" t="str">
            <v>No</v>
          </cell>
          <cell r="U24" t="str">
            <v>Verificar la conformación del Gobierno Escolar e instancias de participación para la vigencia 2026.</v>
          </cell>
        </row>
        <row r="25">
          <cell r="A25">
            <v>2345</v>
          </cell>
          <cell r="B25">
            <v>2</v>
          </cell>
          <cell r="C25" t="str">
            <v>TEUSAQUILLO</v>
          </cell>
          <cell r="D25" t="str">
            <v>PRIVADO</v>
          </cell>
          <cell r="E25" t="str">
            <v>Educación de Jóvenes y Adultos</v>
          </cell>
          <cell r="F25" t="str">
            <v>COLEGIO_FORMARTE</v>
          </cell>
          <cell r="G25" t="str">
            <v>COLEGIO FORMARTE</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MARÍA CLAUDIA LEÓN RIVERA</v>
          </cell>
          <cell r="L25" t="str">
            <v>EDGAR ANCIZAR CABRERA TELLO</v>
          </cell>
          <cell r="M25">
            <v>45744</v>
          </cell>
          <cell r="N25" t="str">
            <v>28/03/2025</v>
          </cell>
          <cell r="O25" t="str">
            <v>28/03/2025</v>
          </cell>
          <cell r="P25" t="str">
            <v>Visitas de evaluación con fines de mejoramiento</v>
          </cell>
          <cell r="Q25" t="str">
            <v>2803 Acta visita COLEGIO FORMARTE.pdf</v>
          </cell>
          <cell r="R25" t="str">
            <v>La institución cuenta con una estructura administrativa organizada, evidenciada en la operatividad del Consejo Directivo y Consejo Académico, quienes realizan reuniones periódicas y seguimiento a la gestión institucional. En cuanto a los medios educativos, se dispone de espacios de aprendizaje equipados y en buen estado, considerando las necesidades de la población estudiantil​</v>
          </cell>
          <cell r="S25" t="str">
            <v xml:space="preserve">Mantener las condiciones de la planta fisica que permitan su adecuado funcionamiento y desarrollo de las actividades académicas. </v>
          </cell>
          <cell r="T25" t="str">
            <v>No</v>
          </cell>
          <cell r="U25" t="str">
            <v>Se hará nueva verificación de las condiciones de la planta física y estructura administrativa en caso de requerirse o si se presenta queja.</v>
          </cell>
        </row>
        <row r="26">
          <cell r="A26">
            <v>2346</v>
          </cell>
          <cell r="B26">
            <v>3</v>
          </cell>
          <cell r="C26" t="str">
            <v>TEUSAQUILLO</v>
          </cell>
          <cell r="D26" t="str">
            <v>PRIVADO</v>
          </cell>
          <cell r="E26" t="str">
            <v>Educación de Jóvenes y Adultos</v>
          </cell>
          <cell r="F26" t="str">
            <v>COLEGIO_BOSTON</v>
          </cell>
          <cell r="G26" t="str">
            <v>COLEGIO_BOSTON</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EDGAR ANCIZAR CABRERA TELLO</v>
          </cell>
          <cell r="L26" t="str">
            <v>JOHN ALEXANDER RODRÍGUEZ CALDERÓN</v>
          </cell>
          <cell r="M26">
            <v>45749</v>
          </cell>
          <cell r="N26">
            <v>45749</v>
          </cell>
          <cell r="O26">
            <v>45749</v>
          </cell>
          <cell r="P26" t="str">
            <v>Visitas de evaluación con fines de mejoramiento</v>
          </cell>
          <cell r="Q26" t="str">
            <v>00_COL_BOSTON_ VISITA_FinesMejoramiento_AutoEva2025_02042025.pdf</v>
          </cell>
          <cell r="R26" t="str">
            <v>Se realizó visita de verificación a los establecimientos de educación formal no oficial con el propósito de contrastar la información registrada en la autoevaluación institucional dentro del aplicativo EVI</v>
          </cell>
          <cell r="S26" t="str">
            <v>Esta visita permitió validar la coherencia y veracidad de los datos reportados, en el EVI, garantizando que los criterios evaluados reflejen la realidad institucional en aspectos pedagógicos, administrativos y de gestión, conforme a los lineamientos establecidos para la mejora de la calidad educativa.</v>
          </cell>
          <cell r="T26" t="str">
            <v>Si</v>
          </cell>
          <cell r="U26" t="str">
            <v>Plan de mejoramiento</v>
          </cell>
        </row>
        <row r="27">
          <cell r="A27">
            <v>2347</v>
          </cell>
          <cell r="B27">
            <v>3</v>
          </cell>
          <cell r="C27" t="str">
            <v>TEUSAQUILLO</v>
          </cell>
          <cell r="D27" t="str">
            <v>PRIVADO</v>
          </cell>
          <cell r="E27" t="str">
            <v>Educación de Jóvenes y Adultos</v>
          </cell>
          <cell r="F27" t="str">
            <v>COLEGIO_BOSTON</v>
          </cell>
          <cell r="G27" t="str">
            <v>COLEGIO_BOSTON</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EDGAR ANCIZAR CABRERA TELLO</v>
          </cell>
          <cell r="L27" t="str">
            <v>JOHN ALEXANDER RODRÍGUEZ CALDERÓN</v>
          </cell>
          <cell r="M27">
            <v>45749</v>
          </cell>
          <cell r="N27">
            <v>45749</v>
          </cell>
          <cell r="O27">
            <v>45749</v>
          </cell>
          <cell r="P27" t="str">
            <v>Visitas de evaluación con fines de mejoramiento</v>
          </cell>
          <cell r="Q27" t="str">
            <v>00_COL_BOSTON_ VISITA_FinesMejoramiento_AutoEva2025_02042025.pdf</v>
          </cell>
          <cell r="R27" t="str">
            <v>Se propone la formulación de estrategias orientadas a fortalecer los planes de mejoramiento derivados de los resultados en las pruebas SABER 11, asegurando su alineación con los factores críticos identificados en la autoevaluación institucional</v>
          </cell>
          <cell r="S27" t="str">
            <v>Se verificará la elaboración de estos planes mediante visitas de seguimiento que permitan evaluar su implementación y efectividad. Finalmente, se llevará a cabo un seguimiento semestral para monitorear el cumplimiento de las acciones establecidas, garantizando la adopción de medidas correctivas y el impacto en la calidad educativa de los establecimientos de educación formal.</v>
          </cell>
          <cell r="T27" t="str">
            <v>No</v>
          </cell>
          <cell r="U27" t="str">
            <v xml:space="preserve">Verificar el cumplimiento de las estrategias propuestas </v>
          </cell>
        </row>
        <row r="28">
          <cell r="A28">
            <v>2348</v>
          </cell>
          <cell r="B28">
            <v>3</v>
          </cell>
          <cell r="C28" t="str">
            <v>TEUSAQUILLO</v>
          </cell>
          <cell r="D28" t="str">
            <v>PRIVADO</v>
          </cell>
          <cell r="E28" t="str">
            <v>Educación de Jóvenes y Adultos</v>
          </cell>
          <cell r="F28" t="str">
            <v>COLEGIO_BOSTON</v>
          </cell>
          <cell r="G28" t="str">
            <v>COLEGIO_BOSTON</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EDGAR ANCIZAR CABRERA TELLO</v>
          </cell>
          <cell r="L28" t="str">
            <v>JOHN ALEXANDER RODRÍGUEZ CALDERÓN</v>
          </cell>
          <cell r="M28">
            <v>45749</v>
          </cell>
          <cell r="N28">
            <v>45749</v>
          </cell>
          <cell r="O28">
            <v>45749</v>
          </cell>
          <cell r="P28" t="str">
            <v>Visitas de evaluación con fines de mejoramiento</v>
          </cell>
          <cell r="Q28" t="str">
            <v>00_COL_BOSTON_ VISITA_FinesMejoramiento_AutoEva2025_02042025.pdf</v>
          </cell>
          <cell r="R28" t="str">
            <v xml:space="preserve"> Se llevó a cabo la verificación de la implementación de las acciones adoptadas por la institución educativa para la prevención y atención de situaciones de convivencia en el entorno escolar, asegurando su alineación con lo establecido en la Directiva 01 de 2022 del Ministerio de Educación Nacional. observando que no cumple con los procesos </v>
          </cell>
          <cell r="S28" t="str">
            <v>Esta verificación se realizará a través de visitas de seguimiento, en las cuales se evaluará la ejecución de estrategias, protocolos y mecanismos de atención implementados por cada institución, con el fin de fortalecer la convivencia escolar y garantizar un ambiente seguro para la comunidad educativa.</v>
          </cell>
          <cell r="T28" t="str">
            <v>No</v>
          </cell>
          <cell r="U28" t="str">
            <v xml:space="preserve">Verificación del plan de mejoramiento que indique la implementación de las acciones adoptadas para la prevención y atención de situaciones de convivencia en el entorno escolar, lo establecido en la Directiva 01 de 2022 del Ministerio de Educación Nacional.  </v>
          </cell>
        </row>
        <row r="29">
          <cell r="A29">
            <v>2349</v>
          </cell>
          <cell r="B29">
            <v>3</v>
          </cell>
          <cell r="C29" t="str">
            <v>TEUSAQUILLO</v>
          </cell>
          <cell r="D29" t="str">
            <v>PRIVADO</v>
          </cell>
          <cell r="E29" t="str">
            <v>Educación de Jóvenes y Adultos</v>
          </cell>
          <cell r="F29" t="str">
            <v>COLEGIO_BOSTON</v>
          </cell>
          <cell r="G29" t="str">
            <v>COLEGIO_BOSTON</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EDGAR ANCIZAR CABRERA TELLO</v>
          </cell>
          <cell r="L29" t="str">
            <v>JOHN ALEXANDER RODRÍGUEZ CALDERÓN</v>
          </cell>
          <cell r="M29">
            <v>45749</v>
          </cell>
          <cell r="N29">
            <v>45749</v>
          </cell>
          <cell r="O29">
            <v>45749</v>
          </cell>
          <cell r="P29" t="str">
            <v>Visitas de evaluación con fines de mejoramiento</v>
          </cell>
          <cell r="Q29" t="str">
            <v>00_COL_BOSTON_ VISITA_FinesMejoramiento_AutoEva2025_02042025.pdf</v>
          </cell>
          <cell r="R29" t="str">
            <v>Se realizó la verificación de la elaboración, actualización y desarrollo de los Planes Individuales de Ajustes Razonables (PIAR) en los establecimientos educativos, conforme a lo dispuesto en el Decreto 1421 de 2017., las cuañes no allega ya que no tiene poblacion con esta condición.</v>
          </cell>
          <cell r="S29" t="str">
            <v xml:space="preserve">Se realizara un ajste al manal de Convivencia donde se incluirá la revisión de la coherencia de los PIAR con el Proyecto Educativo Institucional (PEI), el manual de convivencia y las estrategias de atención dirigidas a estudiantes con discapacidad, trastornos del aprendizaje </v>
          </cell>
          <cell r="T29" t="str">
            <v>No</v>
          </cell>
          <cell r="U29" t="str">
            <v xml:space="preserve">Verificar el plan de mejoramiento del ajuste al manual de convivencia que debe incluir la  revisión de coherencia de los PIAR con el Proyecto Educativo Institucional PEI,  </v>
          </cell>
        </row>
        <row r="30">
          <cell r="A30">
            <v>2350</v>
          </cell>
          <cell r="B30">
            <v>3</v>
          </cell>
          <cell r="C30" t="str">
            <v>TEUSAQUILLO</v>
          </cell>
          <cell r="D30" t="str">
            <v>PRIVADO</v>
          </cell>
          <cell r="E30" t="str">
            <v>Educación de Jóvenes y Adultos</v>
          </cell>
          <cell r="F30" t="str">
            <v>COLEGIO_BOSTON</v>
          </cell>
          <cell r="G30" t="str">
            <v>COLEGIO_BOSTON</v>
          </cell>
          <cell r="H30" t="str">
            <v>Autoevaluación Institucional y Pruebas SABER 11</v>
          </cell>
          <cell r="I30" t="str">
            <v>SEGUIMIENTO_Y_SUPERVISIÓN.</v>
          </cell>
          <cell r="J3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0" t="str">
            <v>EDGAR ANCIZAR CABRERA TELLO</v>
          </cell>
          <cell r="L30" t="str">
            <v>JOHN ALEXANDER RODRÍGUEZ CALDERÓN</v>
          </cell>
          <cell r="M30">
            <v>45749</v>
          </cell>
          <cell r="N30">
            <v>45749</v>
          </cell>
          <cell r="O30">
            <v>45749</v>
          </cell>
          <cell r="P30" t="str">
            <v>Visitas de evaluación con fines de mejoramiento</v>
          </cell>
          <cell r="Q30" t="str">
            <v>00_COL_BOSTON_ VISITA_FinesMejoramiento_AutoEva2025_02042025.pdf</v>
          </cell>
          <cell r="R30" t="str">
            <v>Se realizó la verificación de la elaboración, actualización y desarrollo de los Planes Individuales de Ajustes Razonables (PIAR) en los establecimientos educativos, conforme a lo dispuesto en el Decreto 1421 de 2017., las cuañes no allega ya que no tiene poblacion con esta condición.</v>
          </cell>
          <cell r="S30" t="str">
            <v xml:space="preserve">Esta verificación incluirá la revisión de la coherencia de los PIAR con el Proyecto Educativo Institucional (PEI), el manual de convivencia y las estrategias de atención dirigidas a estudiantes con discapacidad, trastornos del aprendizaje </v>
          </cell>
          <cell r="T30" t="str">
            <v>No</v>
          </cell>
          <cell r="U30" t="str">
            <v>Verificar los documentos PIAR de la población registrada con alguna condición</v>
          </cell>
        </row>
        <row r="31">
          <cell r="A31">
            <v>2351</v>
          </cell>
          <cell r="B31">
            <v>3</v>
          </cell>
          <cell r="C31" t="str">
            <v>TEUSAQUILLO</v>
          </cell>
          <cell r="D31" t="str">
            <v>PRIVADO</v>
          </cell>
          <cell r="E31" t="str">
            <v>Educación de Jóvenes y Adultos</v>
          </cell>
          <cell r="F31" t="str">
            <v>COLEGIO_BOSTON</v>
          </cell>
          <cell r="G31" t="str">
            <v>COLEGIO_BOSTON</v>
          </cell>
          <cell r="H31" t="str">
            <v>Autoevaluación Institucional y Pruebas SABER 11</v>
          </cell>
          <cell r="I31" t="str">
            <v>EVALUACIÓN_CON_FINES_DE_MEJORAMIENTO.</v>
          </cell>
          <cell r="J3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1" t="str">
            <v>EDGAR ANCIZAR CABRERA TELLO</v>
          </cell>
          <cell r="L31" t="str">
            <v>JOHN ALEXANDER RODRÍGUEZ CALDERÓN</v>
          </cell>
          <cell r="M31">
            <v>45749</v>
          </cell>
          <cell r="N31">
            <v>45749</v>
          </cell>
          <cell r="O31">
            <v>45749</v>
          </cell>
          <cell r="P31" t="str">
            <v>Visitas de evaluación con fines de mejoramiento</v>
          </cell>
          <cell r="Q31" t="str">
            <v>00_COL_BOSTON_ VISITA_FinesMejoramiento_AutoEva2025_02042025.pdf</v>
          </cell>
          <cell r="R31" t="str">
            <v>se revisó con detalle el manual de convivencia y tanto en sus actualizacion como en sus mecanismos institucionales no cumple ya que este   manual  nocontempla mecanismos claros de prevención, atención y resolución de conflictos, garantizando un ambiente escolar basado en el respeto y la garantía de derechos de la comunidad educativa.</v>
          </cell>
          <cell r="S31" t="str">
            <v>La institución se compromete a actualizar su manual de convivencia de acuerdo a la normatividad vigente</v>
          </cell>
          <cell r="T31" t="str">
            <v>No</v>
          </cell>
          <cell r="U31" t="str">
            <v>La institucion propone plan de mejoramiento y en este sentido se hará seguimiento.</v>
          </cell>
        </row>
        <row r="32">
          <cell r="A32">
            <v>2352</v>
          </cell>
          <cell r="B32">
            <v>3</v>
          </cell>
          <cell r="C32" t="str">
            <v>TEUSAQUILLO</v>
          </cell>
          <cell r="D32" t="str">
            <v>PRIVADO</v>
          </cell>
          <cell r="E32" t="str">
            <v>Educación de Jóvenes y Adultos</v>
          </cell>
          <cell r="F32" t="str">
            <v>COLEGIO_BOSTON</v>
          </cell>
          <cell r="G32" t="str">
            <v>COLEGIO_BOSTON</v>
          </cell>
          <cell r="H32" t="str">
            <v>Autoevaluación Institucional y Pruebas SABER 11</v>
          </cell>
          <cell r="I32" t="str">
            <v>EVALUACIÓN_CON_FINES_DE_MEJORAMIENTO.</v>
          </cell>
          <cell r="J32" t="str">
            <v>Revisar la actualización, socialización e implementación del Sistema Institucional de Evaluación de Estudiantes - SIEE, en articulación con la actualización del PEI y la normatividad vigente.</v>
          </cell>
          <cell r="K32" t="str">
            <v>EDGAR ANCIZAR CABRERA TELLO</v>
          </cell>
          <cell r="L32" t="str">
            <v>JOHN ALEXANDER RODRÍGUEZ CALDERÓN</v>
          </cell>
          <cell r="M32">
            <v>45749</v>
          </cell>
          <cell r="N32">
            <v>45749</v>
          </cell>
          <cell r="O32">
            <v>45749</v>
          </cell>
          <cell r="P32" t="str">
            <v>Visitas de evaluación con fines de mejoramiento</v>
          </cell>
          <cell r="Q32" t="str">
            <v>00_COL_BOSTON_ VISITA_FinesMejoramiento_AutoEva2025_02042025.pdf</v>
          </cell>
          <cell r="R32" t="str">
            <v>Se revisó la actualización, socialización e implementación del Sistema Institucional de Evaluación de Estudiantes (SIEE) en los establecimientos educativos, asegurando su articulación con la actualización del Proyecto Educativo Institucional (PEI) y el cumplimiento de la normatividad vigente</v>
          </cell>
          <cell r="S32" t="str">
            <v>Esta revisión dentro del plan de mejoramiento propuesto incluirá la verificación de los criterios, estrategias e instrumentos de evaluación adoptados por la institución, así como su difusión y aplicación efectiva en la comunidad educativa, con el fin de garantizar procesos de evaluación claros, equitativos y alineados con los principios de mejora continua y calidad educativa.</v>
          </cell>
          <cell r="T32" t="str">
            <v>Si</v>
          </cell>
          <cell r="U32" t="str">
            <v>La institución propone plan de mejoramiento con el fin de grantizar la actualizacion de mallas curriculares y ajustes en el PEI</v>
          </cell>
        </row>
        <row r="33">
          <cell r="A33">
            <v>2353</v>
          </cell>
          <cell r="B33">
            <v>3</v>
          </cell>
          <cell r="C33" t="str">
            <v>TEUSAQUILLO</v>
          </cell>
          <cell r="D33" t="str">
            <v>PRIVADO</v>
          </cell>
          <cell r="E33" t="str">
            <v>Educación de Jóvenes y Adultos</v>
          </cell>
          <cell r="F33" t="str">
            <v>COLEGIO_BOSTON</v>
          </cell>
          <cell r="G33" t="str">
            <v>COLEGIO_BOSTON</v>
          </cell>
          <cell r="H33" t="str">
            <v>Autoevaluación Institucional y Pruebas SABER 11</v>
          </cell>
          <cell r="I33" t="str">
            <v>EVALUACIÓN_CON_FINES_DE_MEJORAMIENTO.</v>
          </cell>
          <cell r="J33" t="str">
            <v>Revisar el calendario escolar, jornada escolar, la intensidad horaria mínima anual en cada nivel y las modificaciones que se realicen al mismo, de acuerdo con lo previsto en la normatividad vigente.</v>
          </cell>
          <cell r="K33" t="str">
            <v>EDGAR ANCIZAR CABRERA TELLO</v>
          </cell>
          <cell r="L33" t="str">
            <v>JOHN ALEXANDER RODRÍGUEZ CALDERÓN</v>
          </cell>
          <cell r="M33">
            <v>45749</v>
          </cell>
          <cell r="N33">
            <v>45749</v>
          </cell>
          <cell r="O33">
            <v>45749</v>
          </cell>
          <cell r="P33" t="str">
            <v>Visitas de evaluación con fines de mejoramiento</v>
          </cell>
          <cell r="Q33" t="str">
            <v>00_COL_BOSTON_ VISITA_FinesMejoramiento_AutoEva2025_02042025.pdf</v>
          </cell>
          <cell r="R33" t="str">
            <v>Se revisó la pertinencia  del calendario escolar, la jornada escolar y la intensidad horaria mínima anual en cada nivel educativo, verificando su cumplimiento conforme a la normatividad vigente.</v>
          </cell>
          <cell r="S33" t="str">
            <v>La institucion esta pendiente para subir el calendario escolar al link propuesto por la Secretaria de Educación</v>
          </cell>
          <cell r="T33" t="str">
            <v>Si</v>
          </cell>
          <cell r="U33" t="str">
            <v>Falta subir el calendario escolar al lik correspondiente</v>
          </cell>
        </row>
        <row r="34">
          <cell r="A34">
            <v>2354</v>
          </cell>
          <cell r="B34">
            <v>3</v>
          </cell>
          <cell r="C34" t="str">
            <v>TEUSAQUILLO</v>
          </cell>
          <cell r="D34" t="str">
            <v>PRIVADO</v>
          </cell>
          <cell r="E34" t="str">
            <v>Educación de Jóvenes y Adultos</v>
          </cell>
          <cell r="F34" t="str">
            <v>COLEGIO_BOSTON</v>
          </cell>
          <cell r="G34" t="str">
            <v>COLEGIO_BOSTON</v>
          </cell>
          <cell r="H34" t="str">
            <v>Autoevaluación Institucional y Pruebas SABER 11</v>
          </cell>
          <cell r="I34" t="str">
            <v>EVALUACIÓN_CON_FINES_DE_MEJORAMIENTO.</v>
          </cell>
          <cell r="J34" t="str">
            <v>Verificar el funcionamiento del Gobierno Escolar e instancias de participación con base en la información sobre conformación reportada por la institución educativa.</v>
          </cell>
          <cell r="K34" t="str">
            <v>EDGAR ANCIZAR CABRERA TELLO</v>
          </cell>
          <cell r="L34" t="str">
            <v>JOHN ALEXANDER RODRÍGUEZ CALDERÓN</v>
          </cell>
          <cell r="M34">
            <v>45749</v>
          </cell>
          <cell r="N34">
            <v>45749</v>
          </cell>
          <cell r="O34">
            <v>45749</v>
          </cell>
          <cell r="P34" t="str">
            <v>Visitas de evaluación con fines de mejoramiento</v>
          </cell>
          <cell r="Q34" t="str">
            <v>00_COL_BOSTON_ VISITA_FinesMejoramiento_AutoEva2025_02042025.pdf</v>
          </cell>
          <cell r="R34" t="str">
            <v>la institucion presenta rotación constante de profesores, por lo tanto se recomienda organizar la gestión documental de una manera efectiva, dado que sus organos del gobierno escolar presentan poca operabilidad</v>
          </cell>
          <cell r="S34" t="str">
            <v>Se debe presentar las actas del gobierno escolar y Consejo  Directivo para obtener una trazabilidad de las actividaes de estos organos del gobierno escolar</v>
          </cell>
          <cell r="T34" t="str">
            <v>No</v>
          </cell>
          <cell r="U34" t="str">
            <v>Verificación del plan de mejoramiento con el fin de grantizar la actualizacion de mallas curriculares y ajustes en el PEI</v>
          </cell>
        </row>
        <row r="35">
          <cell r="A35">
            <v>2355</v>
          </cell>
          <cell r="B35">
            <v>3</v>
          </cell>
          <cell r="C35" t="str">
            <v>TEUSAQUILLO</v>
          </cell>
          <cell r="D35" t="str">
            <v>PRIVADO</v>
          </cell>
          <cell r="E35" t="str">
            <v>Educación de Jóvenes y Adultos</v>
          </cell>
          <cell r="F35" t="str">
            <v>COLEGIO_BOSTON</v>
          </cell>
          <cell r="G35" t="str">
            <v>COLEGIO_BOSTON</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EDGAR ANCIZAR CABRERA TELLO</v>
          </cell>
          <cell r="L35" t="str">
            <v>JOHN ALEXANDER RODRÍGUEZ CALDERÓN</v>
          </cell>
          <cell r="M35">
            <v>45749</v>
          </cell>
          <cell r="N35">
            <v>45749</v>
          </cell>
          <cell r="O35">
            <v>45749</v>
          </cell>
          <cell r="P35" t="str">
            <v>Visitas de evaluación con fines de mejoramiento</v>
          </cell>
          <cell r="Q35" t="str">
            <v>00_COL_BOSTON_ VISITA_FinesMejoramiento_AutoEva2025_02042025.pdf</v>
          </cell>
          <cell r="R35" t="str">
            <v xml:space="preserve">La  infraestuctura esta acorde con lo reportado en la autoevaluación EVI, presenta convenios de aulas de computo con otra institución </v>
          </cell>
          <cell r="S35" t="str">
            <v xml:space="preserve">Mantener las condiciones de la planta fisica que permitan adecuado funcionamiento y desarrollo de las actividades académicas. </v>
          </cell>
          <cell r="T35" t="str">
            <v>No</v>
          </cell>
          <cell r="U35" t="str">
            <v>Se verificaran las condiciones en la autoevaluación 2025, para la emisión del concepto de tarifas educativas 2026.</v>
          </cell>
        </row>
        <row r="36">
          <cell r="A36">
            <v>2356</v>
          </cell>
          <cell r="B36">
            <v>4</v>
          </cell>
          <cell r="C36" t="str">
            <v>TEUSAQUILLO</v>
          </cell>
          <cell r="D36" t="str">
            <v>PRIVADO</v>
          </cell>
          <cell r="E36" t="str">
            <v>EPBM</v>
          </cell>
          <cell r="F36" t="str">
            <v>GIMNASIO_WILLIAM_MACKINLEY</v>
          </cell>
          <cell r="G36" t="str">
            <v>GIMNASIO WILLIAM MACKINLEY</v>
          </cell>
          <cell r="H36" t="str">
            <v>Autoevaluación Institucional y Pruebas SABER 11</v>
          </cell>
          <cell r="I36" t="str">
            <v>SEGUIMIENTO_Y_SUPERVISIÓN.</v>
          </cell>
          <cell r="J36" t="str">
            <v>Realizar visitas para verificar la información registrada sobre la autoevaluación institucional en el aplicativo EVI, a los establecimientos de educación formal no oficial.</v>
          </cell>
          <cell r="K36" t="str">
            <v xml:space="preserve">MARTIN ALEJANDRO CELY ANDRADE </v>
          </cell>
          <cell r="L36" t="str">
            <v>JOHN ALEXANDER RODRÍGUEZ CALDERÓN</v>
          </cell>
          <cell r="M36">
            <v>45757</v>
          </cell>
          <cell r="N36">
            <v>45757</v>
          </cell>
          <cell r="O36">
            <v>45757</v>
          </cell>
          <cell r="P36" t="str">
            <v>Visitas de evaluación con fines de mejoramiento</v>
          </cell>
          <cell r="Q36" t="str">
            <v>00_GW-MACKINLEY_VISITA_FinesMejoramiento_POAIV2025_10042025.pdf</v>
          </cell>
          <cell r="R36" t="str">
            <v xml:space="preserve">La  planta física y medios pedagógicos, concuerda con lo reportado en autoevaluación EVI. </v>
          </cell>
          <cell r="S36" t="str">
            <v xml:space="preserve">Se persibe espacios reducidos y poca ventilación (natural) en algunas aulas de clase. </v>
          </cell>
          <cell r="T36" t="str">
            <v>No</v>
          </cell>
          <cell r="U36" t="str">
            <v xml:space="preserve">se programara segunda visita con acompañamiento de la arquitecta para verificar los espacios y medidas en aulas. </v>
          </cell>
        </row>
        <row r="37">
          <cell r="A37">
            <v>2357</v>
          </cell>
          <cell r="B37">
            <v>4</v>
          </cell>
          <cell r="C37" t="str">
            <v>TEUSAQUILLO</v>
          </cell>
          <cell r="D37" t="str">
            <v>PRIVADO</v>
          </cell>
          <cell r="E37" t="str">
            <v>EPBM</v>
          </cell>
          <cell r="F37" t="str">
            <v>GIMNASIO_WILLIAM_MACKINLEY</v>
          </cell>
          <cell r="G37" t="str">
            <v>GIMNASIO WILLIAM MACKINLEY</v>
          </cell>
          <cell r="H37" t="str">
            <v>Autoevaluación Institucional y Pruebas SABER 11</v>
          </cell>
          <cell r="I37" t="str">
            <v>SEGUIMIENTO_Y_SUPERVISIÓN.</v>
          </cell>
          <cell r="J37" t="str">
            <v>Proponer estrategias en la formulación, verificar su elaboración y realizar seguimiento semestral al desarrollo de  las acciones establecidas en los planes de mejoramiento por pruebas SABER 11 de los establecimientos de educación formal.</v>
          </cell>
          <cell r="K37" t="str">
            <v xml:space="preserve">MARTIN ALEJANDRO CELY ANDRADE </v>
          </cell>
          <cell r="L37" t="str">
            <v>JOHN ALEXANDER RODRÍGUEZ CALDERÓN</v>
          </cell>
          <cell r="M37">
            <v>45757</v>
          </cell>
          <cell r="N37">
            <v>45757</v>
          </cell>
          <cell r="O37">
            <v>45757</v>
          </cell>
          <cell r="P37" t="str">
            <v>Visitas de evaluación con fines de mejoramiento</v>
          </cell>
          <cell r="Q37" t="str">
            <v>00_GW-MACKINLEY_VISITA_FinesMejoramiento_POAIV2025_10042025.pdf</v>
          </cell>
          <cell r="R37" t="str">
            <v xml:space="preserve">Se evidencian procesos permanentes (actas de reuniones, registros de consulta, plan de estudios, seguimiento por área y asignatura) para obtener los mejores resultados en prueba saber 11, lo cual es observable en historial de los resultados de las pruebas saber 11 de los últimos 3 años.Resultados prueba saber 2024 categoría A, en 2023 A+.  </v>
          </cell>
          <cell r="S37" t="str">
            <v xml:space="preserve">Continuar con el análisis de los resultados de las pruebas SABER 11 y la implementación de estrategias que permitan mejorar y/o los resultados. </v>
          </cell>
          <cell r="T37" t="str">
            <v>No</v>
          </cell>
          <cell r="U37" t="str">
            <v xml:space="preserve">Verificar los resultados de la prueba SABER 11 2025. </v>
          </cell>
        </row>
        <row r="38">
          <cell r="A38">
            <v>2358</v>
          </cell>
          <cell r="B38">
            <v>4</v>
          </cell>
          <cell r="C38" t="str">
            <v>TEUSAQUILLO</v>
          </cell>
          <cell r="D38" t="str">
            <v>PRIVADO</v>
          </cell>
          <cell r="E38" t="str">
            <v>EPBM</v>
          </cell>
          <cell r="F38" t="str">
            <v>GIMNASIO_WILLIAM_MACKINLEY</v>
          </cell>
          <cell r="G38" t="str">
            <v>GIMNASIO WILLIAM MACKINLEY</v>
          </cell>
          <cell r="H38" t="str">
            <v>Autoevaluación Institucional y Pruebas SABER 11</v>
          </cell>
          <cell r="I38" t="str">
            <v>SEGUIMIENTO_Y_SUPERVISIÓN.</v>
          </cell>
          <cell r="J38" t="str">
            <v xml:space="preserve">Verificar la implementación por parte de los colegios, de acciones realizadas para la prevención y atención de las situaciones de convivencia en el entorno escolar, según lo establecido en la Directiva 01 de 2022 del MEN. </v>
          </cell>
          <cell r="K38" t="str">
            <v xml:space="preserve">MARTIN ALEJANDRO CELY ANDRADE </v>
          </cell>
          <cell r="L38" t="str">
            <v>JOHN ALEXANDER RODRÍGUEZ CALDERÓN</v>
          </cell>
          <cell r="M38">
            <v>45757</v>
          </cell>
          <cell r="N38">
            <v>45757</v>
          </cell>
          <cell r="O38">
            <v>45757</v>
          </cell>
          <cell r="P38" t="str">
            <v>Visitas de evaluación con fines de mejoramiento</v>
          </cell>
          <cell r="Q38" t="str">
            <v>00_GW-MACKINLEY_VISITA_FinesMejoramiento_POAIV2025_10042025.pdf</v>
          </cell>
          <cell r="R38" t="str">
            <v xml:space="preserve">El equipo de psicoorientación realiza actividades de prevención de las violencias y promoción de derechos, atención particular a casos, aplicación de protocolos, activación de rutas, reporte al sistema de alertas y consulta de antecedentes del personal vinculado a la institución. </v>
          </cell>
          <cell r="S38" t="str">
            <v>Continuar con la planeación de las acciones de prevención y promoción  de acuerdo con las necesidades isntitucionales.</v>
          </cell>
          <cell r="T38" t="str">
            <v>No</v>
          </cell>
          <cell r="U38" t="str">
            <v xml:space="preserve">Verificar la planeación de las acciones de prevención y promoción en caso de requerirse. </v>
          </cell>
        </row>
        <row r="39">
          <cell r="A39">
            <v>2359</v>
          </cell>
          <cell r="B39">
            <v>4</v>
          </cell>
          <cell r="C39" t="str">
            <v>TEUSAQUILLO</v>
          </cell>
          <cell r="D39" t="str">
            <v>PRIVADO</v>
          </cell>
          <cell r="E39" t="str">
            <v>EPBM</v>
          </cell>
          <cell r="F39" t="str">
            <v>GIMNASIO_WILLIAM_MACKINLEY</v>
          </cell>
          <cell r="G39" t="str">
            <v>GIMNASIO WILLIAM MACKINLEY</v>
          </cell>
          <cell r="H39" t="str">
            <v>Autoevaluación Institucional y Pruebas SABER 11</v>
          </cell>
          <cell r="I39" t="str">
            <v>SEGUIMIENTO_Y_SUPERVISIÓN.</v>
          </cell>
          <cell r="J3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 t="str">
            <v xml:space="preserve">MARTIN ALEJANDRO CELY ANDRADE </v>
          </cell>
          <cell r="L39" t="str">
            <v>JOHN ALEXANDER RODRÍGUEZ CALDERÓN</v>
          </cell>
          <cell r="M39">
            <v>45757</v>
          </cell>
          <cell r="N39">
            <v>45757</v>
          </cell>
          <cell r="O39">
            <v>45757</v>
          </cell>
          <cell r="P39" t="str">
            <v>Visitas de evaluación con fines de mejoramiento</v>
          </cell>
          <cell r="Q39" t="str">
            <v>00_GW-MACKINLEY_VISITA_FinesMejoramiento_POAIV2025_10042025.pdf</v>
          </cell>
          <cell r="R39" t="str">
            <v xml:space="preserve">Cuenta con los formatos PIAR de acuerdo con la norma, para la atención a casos identificados y diagnosticados, realiza seguimiento y registra el acompañamiento e información a padres por drive .   </v>
          </cell>
          <cell r="S39" t="str">
            <v xml:space="preserve">Continuar el seguimiento a los casos identificados y diagnosticados conforme el decreto 1421 de 2017 y elaboracion del PIAR de acuerdo con la necesidad. </v>
          </cell>
          <cell r="T39" t="str">
            <v>No</v>
          </cell>
          <cell r="U39" t="str">
            <v xml:space="preserve">Veificar el documento PIAR en caso de requerirse. </v>
          </cell>
        </row>
        <row r="40">
          <cell r="A40">
            <v>2361</v>
          </cell>
          <cell r="B40">
            <v>4</v>
          </cell>
          <cell r="C40" t="str">
            <v>TEUSAQUILLO</v>
          </cell>
          <cell r="D40" t="str">
            <v>PRIVADO</v>
          </cell>
          <cell r="E40" t="str">
            <v>EPBM</v>
          </cell>
          <cell r="F40" t="str">
            <v>GIMNASIO_WILLIAM_MACKINLEY</v>
          </cell>
          <cell r="G40" t="str">
            <v>GIMNASIO WILLIAM MACKINLEY</v>
          </cell>
          <cell r="H40" t="str">
            <v>Autoevaluación Institucional y Pruebas SABER 11</v>
          </cell>
          <cell r="I40" t="str">
            <v>EVALUACIÓN_CON_FINES_DE_MEJORAMIENTO.</v>
          </cell>
          <cell r="J4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0" t="str">
            <v xml:space="preserve">MARTIN ALEJANDRO CELY ANDRADE </v>
          </cell>
          <cell r="L40" t="str">
            <v>MARÍA CLAUDIA LEÓN RIVERA</v>
          </cell>
          <cell r="M40">
            <v>45757</v>
          </cell>
          <cell r="N40">
            <v>45757</v>
          </cell>
          <cell r="O40">
            <v>45757</v>
          </cell>
          <cell r="P40" t="str">
            <v>Visitas de evaluación con fines de mejoramiento</v>
          </cell>
          <cell r="Q40" t="str">
            <v>00_GW-MACKINLEY_VISITA_FinesMejoramiento_POAIV2025_10042025.pdf</v>
          </cell>
          <cell r="R40" t="str">
            <v xml:space="preserve">a isntitución realizó los ajustes  indicados por el ELIVCuenta con Manual de Convivencia actualizado que incluye aspectos vigentes normativos, se evidencia registros de ajustes y de socialización con la comunidad educativa.   </v>
          </cell>
          <cell r="S40"/>
          <cell r="T40" t="str">
            <v>No</v>
          </cell>
          <cell r="U40" t="str">
            <v>Verificacion de la aplicación del manual por la institución y su actualización anual</v>
          </cell>
        </row>
        <row r="41">
          <cell r="A41">
            <v>2362</v>
          </cell>
          <cell r="B41">
            <v>4</v>
          </cell>
          <cell r="C41" t="str">
            <v>TEUSAQUILLO</v>
          </cell>
          <cell r="D41" t="str">
            <v>PRIVADO</v>
          </cell>
          <cell r="E41" t="str">
            <v>EPBM</v>
          </cell>
          <cell r="F41" t="str">
            <v>GIMNASIO_WILLIAM_MACKINLEY</v>
          </cell>
          <cell r="G41" t="str">
            <v>GIMNASIO WILLIAM MACKINLEY</v>
          </cell>
          <cell r="H41" t="str">
            <v>Autoevaluación Institucional y Pruebas SABER 11</v>
          </cell>
          <cell r="I41" t="str">
            <v>EVALUACIÓN_CON_FINES_DE_MEJORAMIENTO.</v>
          </cell>
          <cell r="J41" t="str">
            <v>Revisar la actualización, socialización e implementación del Sistema Institucional de Evaluación de Estudiantes - SIEE, en articulación con la actualización del PEI y la normatividad vigente.</v>
          </cell>
          <cell r="K41" t="str">
            <v xml:space="preserve">MARTIN ALEJANDRO CELY ANDRADE </v>
          </cell>
          <cell r="L41" t="str">
            <v>MARÍA CLAUDIA LEÓN RIVERA</v>
          </cell>
          <cell r="M41">
            <v>45757</v>
          </cell>
          <cell r="N41">
            <v>45757</v>
          </cell>
          <cell r="O41">
            <v>45757</v>
          </cell>
          <cell r="P41" t="str">
            <v>Visitas de evaluación con fines de mejoramiento</v>
          </cell>
          <cell r="Q41" t="str">
            <v>00_GW-MACKINLEY_VISITA_FinesMejoramiento_POAIV2025_10042025.pdf</v>
          </cell>
          <cell r="R41" t="str">
            <v>Incorpora SIEE en el Manual de Convivencia Escolar, se evidencia su implementación con procesos claro, registro en sistema y reporte periódico.</v>
          </cell>
          <cell r="S41" t="str">
            <v xml:space="preserve">La institución cuenta con SIEE debidamente estructurado, que implementa en los procesos pedagógicos, con registros en un sistema y con reporte en cada periodo. </v>
          </cell>
          <cell r="T41" t="str">
            <v>No</v>
          </cell>
          <cell r="U41" t="str">
            <v xml:space="preserve">Verificar la aplicación del SIEE con el registro de información académica correspondiente de áreas y asignaturas impartidas en la institución. </v>
          </cell>
        </row>
        <row r="42">
          <cell r="A42">
            <v>2363</v>
          </cell>
          <cell r="B42">
            <v>4</v>
          </cell>
          <cell r="C42" t="str">
            <v>TEUSAQUILLO</v>
          </cell>
          <cell r="D42" t="str">
            <v>PRIVADO</v>
          </cell>
          <cell r="E42" t="str">
            <v>EPBM</v>
          </cell>
          <cell r="F42" t="str">
            <v>GIMNASIO_WILLIAM_MACKINLEY</v>
          </cell>
          <cell r="G42" t="str">
            <v>GIMNASIO WILLIAM MACKINLEY</v>
          </cell>
          <cell r="H42" t="str">
            <v>Autoevaluación Institucional y Pruebas SABER 11</v>
          </cell>
          <cell r="I42" t="str">
            <v>EVALUACIÓN_CON_FINES_DE_MEJORAMIENTO.</v>
          </cell>
          <cell r="J42" t="str">
            <v>Revisar el calendario escolar, jornada escolar, la intensidad horaria mínima anual en cada nivel y las modificaciones que se realicen al mismo, de acuerdo con lo previsto en la normatividad vigente.</v>
          </cell>
          <cell r="K42" t="str">
            <v xml:space="preserve">MARTIN ALEJANDRO CELY ANDRADE </v>
          </cell>
          <cell r="L42" t="str">
            <v>MARÍA CLAUDIA LEÓN RIVERA</v>
          </cell>
          <cell r="M42">
            <v>45757</v>
          </cell>
          <cell r="N42">
            <v>45757</v>
          </cell>
          <cell r="O42">
            <v>45757</v>
          </cell>
          <cell r="P42" t="str">
            <v>Visitas de evaluación con fines de mejoramiento</v>
          </cell>
          <cell r="Q42" t="str">
            <v>00_GW-MACKINLEY_VISITA_FinesMejoramiento_POAIV2025_10042025.pdf</v>
          </cell>
          <cell r="R42" t="str">
            <v xml:space="preserve">Cuenta con calendario escolar que define actividades académicas para el desarrollo institucional de la vigencia y los medios de socialización con toda la comunidad educativa. </v>
          </cell>
          <cell r="S42" t="str">
            <v xml:space="preserve">La institución implementa el calendario escolar garantizando la intensidad horaria anual para los niveles autorizados de acuerdo a la norma. </v>
          </cell>
          <cell r="T42" t="str">
            <v>No</v>
          </cell>
          <cell r="U42" t="str">
            <v>Verificar el desarrollo institucional y las actividades académicas establecidas en el calendario escolar.</v>
          </cell>
        </row>
        <row r="43">
          <cell r="A43">
            <v>2364</v>
          </cell>
          <cell r="B43">
            <v>4</v>
          </cell>
          <cell r="C43" t="str">
            <v>TEUSAQUILLO</v>
          </cell>
          <cell r="D43" t="str">
            <v>PRIVADO</v>
          </cell>
          <cell r="E43" t="str">
            <v>EPBM</v>
          </cell>
          <cell r="F43" t="str">
            <v>GIMNASIO_WILLIAM_MACKINLEY</v>
          </cell>
          <cell r="G43" t="str">
            <v>GIMNASIO WILLIAM MACKINLEY</v>
          </cell>
          <cell r="H43" t="str">
            <v>Autoevaluación Institucional y Pruebas SABER 11</v>
          </cell>
          <cell r="I43" t="str">
            <v>EVALUACIÓN_CON_FINES_DE_MEJORAMIENTO.</v>
          </cell>
          <cell r="J43" t="str">
            <v>Verificar el funcionamiento del Gobierno Escolar e instancias de participación con base en la información sobre conformación reportada por la institución educativa.</v>
          </cell>
          <cell r="K43" t="str">
            <v xml:space="preserve">MARTIN ALEJANDRO CELY ANDRADE </v>
          </cell>
          <cell r="L43" t="str">
            <v>MARÍA CLAUDIA LEÓN RIVERA</v>
          </cell>
          <cell r="M43">
            <v>45757</v>
          </cell>
          <cell r="N43">
            <v>45757</v>
          </cell>
          <cell r="O43">
            <v>45757</v>
          </cell>
          <cell r="P43" t="str">
            <v>Visitas de evaluación con fines de mejoramiento</v>
          </cell>
          <cell r="Q43" t="str">
            <v>00_GW-MACKINLEY_VISITA_FinesMejoramiento_POAIV2025_10042025.pdf</v>
          </cell>
          <cell r="R43" t="str">
            <v>Registra actas que evidencian su funcionamiento para el año 2024. La conformación no registra en actas establecidas por la SED</v>
          </cell>
          <cell r="S43" t="str">
            <v xml:space="preserve"> La institución a la fecha no registra las actas en sistema de apoyo escolar.</v>
          </cell>
          <cell r="T43" t="str">
            <v>Si</v>
          </cell>
          <cell r="U43" t="str">
            <v xml:space="preserve">Se informa a la institución sobre el proceso que tiene culminar con el cargue de documentos en el sistema SAE de conformidad a la circular que emitió la entidad al inicio de año y cronograma establecido, y el seguimiento que realizará inspección y vigilancia para su conformación y   funcionamiento para el año 2025. </v>
          </cell>
        </row>
        <row r="44">
          <cell r="A44">
            <v>2365</v>
          </cell>
          <cell r="B44">
            <v>4</v>
          </cell>
          <cell r="C44" t="str">
            <v>TEUSAQUILLO</v>
          </cell>
          <cell r="D44" t="str">
            <v>PRIVADO</v>
          </cell>
          <cell r="E44" t="str">
            <v>EPBM</v>
          </cell>
          <cell r="F44" t="str">
            <v>GIMNASIO_WILLIAM_MACKINLEY</v>
          </cell>
          <cell r="G44" t="str">
            <v>GIMNASIO WILLIAM MACKINLEY</v>
          </cell>
          <cell r="H44" t="str">
            <v>Autoevaluación Institucional y Pruebas SABER 11</v>
          </cell>
          <cell r="I44" t="str">
            <v>EVALUACIÓN_CON_FINES_DE_MEJORAMIENTO.</v>
          </cell>
          <cell r="J44" t="str">
            <v>Verificar las condiciones en cuanto a: la estructura administrativa, condiciones de la planta física y medios educativos adecuados.</v>
          </cell>
          <cell r="K44" t="str">
            <v xml:space="preserve">MARTIN ALEJANDRO CELY ANDRADE </v>
          </cell>
          <cell r="L44" t="str">
            <v>MARÍA CLAUDIA LEÓN RIVERA</v>
          </cell>
          <cell r="M44">
            <v>45757</v>
          </cell>
          <cell r="N44">
            <v>45757</v>
          </cell>
          <cell r="O44">
            <v>45757</v>
          </cell>
          <cell r="P44" t="str">
            <v>Visitas de evaluación con fines de mejoramiento</v>
          </cell>
          <cell r="Q44" t="str">
            <v>00_GW-MACKINLEY_VISITA_FinesMejoramiento_POAIV2025_10042025.pdf</v>
          </cell>
          <cell r="R44" t="str">
            <v xml:space="preserve">Cuenta con la estructura administrativa que indica en el PEI y que reportó en la autoevaluación institucional 2024 en EVI como con los medios educativos; de igual forma, se evidenciaron condiciones adecuadas de la planta física.  </v>
          </cell>
          <cell r="S44" t="str">
            <v xml:space="preserve">La estructura administrativa, las condiciones de planta física, y medio educativos, son coherentes con lo reportado en la autoevaluación institucional y PEI. </v>
          </cell>
          <cell r="T44" t="str">
            <v>Si</v>
          </cell>
          <cell r="U44" t="str">
            <v xml:space="preserve">Se verificará los ajustes que realice la institución en cuanto al % de registro de los PGRCC en SURE y ajustes en SIMAT en lo referente a número de grupos y caracterización de población con discapacidad. </v>
          </cell>
        </row>
        <row r="45">
          <cell r="A45">
            <v>2366</v>
          </cell>
          <cell r="B45">
            <v>5</v>
          </cell>
          <cell r="C45" t="str">
            <v>TEUSAQUILLO</v>
          </cell>
          <cell r="D45" t="str">
            <v>PRIVADO</v>
          </cell>
          <cell r="E45" t="str">
            <v>Educación Inicial</v>
          </cell>
          <cell r="F45" t="str">
            <v>JARDIN_INFANTIL_CHARLES_PERRAULT</v>
          </cell>
          <cell r="G45" t="str">
            <v>JARDIN INFANTIL CHARLES PERRAULT</v>
          </cell>
          <cell r="H45" t="str">
            <v>Autoevaluación Institucional y Pruebas SABER 11</v>
          </cell>
          <cell r="I45" t="str">
            <v>SEGUIMIENTO_Y_SUPERVISIÓN.</v>
          </cell>
          <cell r="J45" t="str">
            <v>Realizar visitas para verificar la información registrada sobre la autoevaluación institucional en el aplicativo EVI, a los establecimientos de educación formal no oficial.</v>
          </cell>
          <cell r="K45" t="str">
            <v>EDGAR ANCIZAR CABRERA TELLO</v>
          </cell>
          <cell r="L45" t="str">
            <v xml:space="preserve">MARTIN ALEJANDRO CELY ANDRADE </v>
          </cell>
          <cell r="M45">
            <v>45777</v>
          </cell>
          <cell r="N45">
            <v>45777</v>
          </cell>
          <cell r="O45">
            <v>45777</v>
          </cell>
          <cell r="P45" t="str">
            <v>Visitas de evaluación con fines de mejoramiento</v>
          </cell>
          <cell r="Q45" t="str">
            <v xml:space="preserve">acta Charles 2 (3).pdf
</v>
          </cell>
          <cell r="R45" t="str">
            <v>Tras la revisión del aplicativo EVI, se evidenció una baja matrícula en el jardín infantil, registrando 19 estudiantes. Durante la visita administrativa, la rectora informó una cifra aún menor, con solo 10 estudiantes matriculados.
Ante esta situación, el equipo de inspección y vigilancia señaló el riesgo para la sostenibilidad del jardín. La rectora manifestó su preocupación y la posible necesidad de considerar el cierre del establecimiento educativo debido a la baja cantidad de alumnos.</v>
          </cell>
          <cell r="S45" t="str">
            <v xml:space="preserve">Evaluar la pertinencia de continuidad de prestación del servicio educativo y de la licencia de funcionamiento, o la planificación de estrategias de mejoramiento para incremento de matrícula. </v>
          </cell>
          <cell r="T45" t="str">
            <v>Si</v>
          </cell>
          <cell r="U45" t="str">
            <v xml:space="preserve"> Verificar la decisión frente a la continuidad de la IE o la formulación del plan de mejoramiento, y lo demás requerido según acta, en seguimiento trimestral.                                          La institución educativa solicitó el 03/10/2025 cierre voluntario.</v>
          </cell>
        </row>
        <row r="46">
          <cell r="A46">
            <v>2368</v>
          </cell>
          <cell r="B46">
            <v>5</v>
          </cell>
          <cell r="C46" t="str">
            <v>TEUSAQUILLO</v>
          </cell>
          <cell r="D46" t="str">
            <v>PRIVADO</v>
          </cell>
          <cell r="E46" t="str">
            <v>Educación Inicial</v>
          </cell>
          <cell r="F46" t="str">
            <v>JARDIN_INFANTIL_CHARLES_PERRAULT</v>
          </cell>
          <cell r="G46" t="str">
            <v>JARDIN INFANTIL CHARLES PERRAULT</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EDGAR ANCIZAR CABRERA TELLO</v>
          </cell>
          <cell r="L46" t="str">
            <v xml:space="preserve">MARTIN ALEJANDRO CELY ANDRADE </v>
          </cell>
          <cell r="M46">
            <v>45777</v>
          </cell>
          <cell r="N46">
            <v>45777</v>
          </cell>
          <cell r="O46">
            <v>45777</v>
          </cell>
          <cell r="P46" t="str">
            <v>Visitas de evaluación con fines de mejoramiento</v>
          </cell>
          <cell r="Q46" t="str">
            <v xml:space="preserve"> Charles 2 (3).pdf</v>
          </cell>
          <cell r="R46" t="str">
            <v xml:space="preserve">En el jardín infantil, la convivencia escolar se aborda desde la corresponsabilidad entre el colegio y la familia. Por esta razón, la maestra y la psicóloga mantienen una comunicación constante con las familias para la prevención y atención de situaciones.
No realiza la consulta de inhabilidades por delitos sexuales. </v>
          </cell>
          <cell r="S46" t="str">
            <v xml:space="preserve">Verificar cada 4 meses el estado de inhabilidades de todo el personal vinculado a la institución educativa. </v>
          </cell>
          <cell r="T46" t="str">
            <v>No</v>
          </cell>
          <cell r="U46" t="str">
            <v xml:space="preserve">Verificar  la formulación del plan de mejoramiento, y lo demás requerido según acta, en seguimiento trimestral. </v>
          </cell>
        </row>
        <row r="47">
          <cell r="A47">
            <v>2369</v>
          </cell>
          <cell r="B47">
            <v>5</v>
          </cell>
          <cell r="C47" t="str">
            <v>TEUSAQUILLO</v>
          </cell>
          <cell r="D47" t="str">
            <v>PRIVADO</v>
          </cell>
          <cell r="E47" t="str">
            <v>Educación Inicial</v>
          </cell>
          <cell r="F47" t="str">
            <v>JARDIN_INFANTIL_CHARLES_PERRAULT</v>
          </cell>
          <cell r="G47" t="str">
            <v>JARDIN INFANTIL CHARLES PERRAULT</v>
          </cell>
          <cell r="H47" t="str">
            <v>Autoevaluación Institucional y Pruebas SABER 11</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EDGAR ANCIZAR CABRERA TELLO</v>
          </cell>
          <cell r="L47" t="str">
            <v xml:space="preserve">MARTIN ALEJANDRO CELY ANDRADE </v>
          </cell>
          <cell r="M47">
            <v>45777</v>
          </cell>
          <cell r="N47">
            <v>45777</v>
          </cell>
          <cell r="O47">
            <v>45777</v>
          </cell>
          <cell r="P47" t="str">
            <v>Visitas de evaluación con fines de mejoramiento</v>
          </cell>
          <cell r="Q47" t="str">
            <v xml:space="preserve"> Charles 2 (3).pdf</v>
          </cell>
          <cell r="R47" t="str">
            <v>El jardín infantil cuenta con un manual de convivencia y está atento a situaciones que requieran la elaboración de Planes Individuales de Ajustes Razonables (PIAR). Manifiestan no haber elaborado PIAR debido a que actualmente no cuentan con población con discapacidad, trastornos del aprendizaje o talentos excepcionales identificados</v>
          </cell>
          <cell r="S47" t="str">
            <v xml:space="preserve">Elaborar el PIAR en caso que se requiera. </v>
          </cell>
          <cell r="T47" t="str">
            <v>No</v>
          </cell>
          <cell r="U47" t="str">
            <v xml:space="preserve">Seguimiento en caso que se requiera respecto a casos relacionados con elaboración de PIAR. </v>
          </cell>
        </row>
        <row r="48">
          <cell r="A48">
            <v>2370</v>
          </cell>
          <cell r="B48">
            <v>5</v>
          </cell>
          <cell r="C48" t="str">
            <v>TEUSAQUILLO</v>
          </cell>
          <cell r="D48" t="str">
            <v>PRIVADO</v>
          </cell>
          <cell r="E48" t="str">
            <v>Educación Inicial</v>
          </cell>
          <cell r="F48" t="str">
            <v>JARDIN_INFANTIL_CHARLES_PERRAULT</v>
          </cell>
          <cell r="G48" t="str">
            <v>JARDIN INFANTIL CHARLES PERRAULT</v>
          </cell>
          <cell r="H48" t="str">
            <v>Autoevaluación Institucional y Pruebas SABER 11</v>
          </cell>
          <cell r="I48" t="str">
            <v>SEGUIMIENTO_Y_SUPERVISIÓN.</v>
          </cell>
          <cell r="J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8" t="str">
            <v>EDGAR ANCIZAR CABRERA TELLO</v>
          </cell>
          <cell r="L48" t="str">
            <v xml:space="preserve">MARTIN ALEJANDRO CELY ANDRADE </v>
          </cell>
          <cell r="M48">
            <v>45777</v>
          </cell>
          <cell r="N48">
            <v>45777</v>
          </cell>
          <cell r="O48">
            <v>45777</v>
          </cell>
          <cell r="P48" t="str">
            <v>Visitas de evaluación con fines de mejoramiento</v>
          </cell>
          <cell r="Q48" t="str">
            <v xml:space="preserve"> Charles 2 (3).pdf</v>
          </cell>
          <cell r="R48" t="str">
            <v>En relación con la elaboración, actualización y desarrollo de los Planes Individuales de Ajustes Razonables (PIAR) según el Decreto 1421 de 2017, y en concordancia con el PEI y el manual de convivencia, el jardín infantil informa que, si bien están preparados para atender a la población con discapacidad, trastornos del aprendizaje y talentos excepcionales, a la fecha no han requerido la implementación de PIAR al no contar actualmente con estudiantes en estas condiciones.</v>
          </cell>
          <cell r="S48" t="str">
            <v xml:space="preserve">Elaborar  y  adaptar sus procesos en casos de requerir  un PIAR </v>
          </cell>
          <cell r="T48" t="str">
            <v>No</v>
          </cell>
          <cell r="U48" t="str">
            <v xml:space="preserve">Verificar  la formulación del plan de mejoramiento, y lo demás requerido según acta, en seguimiento trimestral. </v>
          </cell>
        </row>
        <row r="49">
          <cell r="A49">
            <v>2371</v>
          </cell>
          <cell r="B49">
            <v>5</v>
          </cell>
          <cell r="C49" t="str">
            <v>TEUSAQUILLO</v>
          </cell>
          <cell r="D49" t="str">
            <v>PRIVADO</v>
          </cell>
          <cell r="E49" t="str">
            <v>Educación Inicial</v>
          </cell>
          <cell r="F49" t="str">
            <v>JARDIN_INFANTIL_CHARLES_PERRAULT</v>
          </cell>
          <cell r="G49" t="str">
            <v>JARDIN INFANTIL CHARLES PERRAULT</v>
          </cell>
          <cell r="H49" t="str">
            <v>Autoevaluación Institucional y Pruebas SABER 11</v>
          </cell>
          <cell r="I49" t="str">
            <v>EVALUACIÓN_CON_FINES_DE_MEJORAMIENTO.</v>
          </cell>
          <cell r="J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9" t="str">
            <v>EDGAR ANCIZAR CABRERA TELLO</v>
          </cell>
          <cell r="L49" t="str">
            <v xml:space="preserve">MARTIN ALEJANDRO CELY ANDRADE </v>
          </cell>
          <cell r="M49">
            <v>45777</v>
          </cell>
          <cell r="N49">
            <v>45777</v>
          </cell>
          <cell r="O49">
            <v>45777</v>
          </cell>
          <cell r="P49" t="str">
            <v>Visitas de evaluación con fines de mejoramiento</v>
          </cell>
          <cell r="Q49" t="str">
            <v xml:space="preserve"> Charles 2 (3).pdf</v>
          </cell>
          <cell r="R49" t="str">
            <v>Se evaluaron el PEI y el Manual de Convivencia del jardín, constatándose una actualización en 2024 que se adapta a sus condiciones particulares y a la normatividad vigente, con un énfasis en su pedagogía de enfoque constructivista</v>
          </cell>
          <cell r="S49" t="str">
            <v xml:space="preserve">Realizar la actualización  de sus documentos institucionales según periodicidad normativa y necesidades identificadas. </v>
          </cell>
          <cell r="T49" t="str">
            <v>No</v>
          </cell>
          <cell r="U49" t="str">
            <v>Se realizará seguimiento en caso de requerirse.</v>
          </cell>
        </row>
        <row r="50">
          <cell r="A50">
            <v>2372</v>
          </cell>
          <cell r="B50">
            <v>5</v>
          </cell>
          <cell r="C50" t="str">
            <v>TEUSAQUILLO</v>
          </cell>
          <cell r="D50" t="str">
            <v>PRIVADO</v>
          </cell>
          <cell r="E50" t="str">
            <v>Educación Inicial</v>
          </cell>
          <cell r="F50" t="str">
            <v>JARDIN_INFANTIL_CHARLES_PERRAULT</v>
          </cell>
          <cell r="G50" t="str">
            <v>JARDIN INFANTIL CHARLES PERRAULT</v>
          </cell>
          <cell r="H50" t="str">
            <v>Autoevaluación Institucional y Pruebas SABER 11</v>
          </cell>
          <cell r="I50" t="str">
            <v>EVALUACIÓN_CON_FINES_DE_MEJORAMIENTO.</v>
          </cell>
          <cell r="J50" t="str">
            <v>Revisar la actualización, socialización e implementación del Sistema Institucional de Evaluación de Estudiantes - SIEE, en articulación con la actualización del PEI y la normatividad vigente.</v>
          </cell>
          <cell r="K50" t="str">
            <v>EDGAR ANCIZAR CABRERA TELLO</v>
          </cell>
          <cell r="L50" t="str">
            <v xml:space="preserve">MARTIN ALEJANDRO CELY ANDRADE </v>
          </cell>
          <cell r="M50">
            <v>45777</v>
          </cell>
          <cell r="N50">
            <v>45777</v>
          </cell>
          <cell r="O50">
            <v>45777</v>
          </cell>
          <cell r="P50" t="str">
            <v>Visitas de evaluación con fines de mejoramiento</v>
          </cell>
          <cell r="Q50" t="str">
            <v xml:space="preserve"> Charles 2 (3).pdf</v>
          </cell>
          <cell r="R50" t="str">
            <v>La institución presenta la implementación del SIEE, el cual se articula con el PEI a través de las dimensiones de desarrollo trabajadas en conjunto con la familia.</v>
          </cell>
          <cell r="S50" t="str">
            <v xml:space="preserve">Realizar la actualización  de sus documentos institucionales según periodicidad normativa y necesidades identificadas. </v>
          </cell>
          <cell r="T50" t="str">
            <v>No</v>
          </cell>
          <cell r="U50" t="str">
            <v>Se realizará seguimiento en caso de requerirse.</v>
          </cell>
        </row>
        <row r="51">
          <cell r="A51">
            <v>2373</v>
          </cell>
          <cell r="B51">
            <v>5</v>
          </cell>
          <cell r="C51" t="str">
            <v>TEUSAQUILLO</v>
          </cell>
          <cell r="D51" t="str">
            <v>PRIVADO</v>
          </cell>
          <cell r="E51" t="str">
            <v>Educación Inicial</v>
          </cell>
          <cell r="F51" t="str">
            <v>JARDIN_INFANTIL_CHARLES_PERRAULT</v>
          </cell>
          <cell r="G51" t="str">
            <v>JARDIN INFANTIL CHARLES PERRAULT</v>
          </cell>
          <cell r="H51" t="str">
            <v>Autoevaluación Institucional y Pruebas SABER 11</v>
          </cell>
          <cell r="I51" t="str">
            <v>EVALUACIÓN_CON_FINES_DE_MEJORAMIENTO.</v>
          </cell>
          <cell r="J51" t="str">
            <v>Revisar el calendario escolar, jornada escolar, la intensidad horaria mínima anual en cada nivel y las modificaciones que se realicen al mismo, de acuerdo con lo previsto en la normatividad vigente.</v>
          </cell>
          <cell r="K51" t="str">
            <v>EDGAR ANCIZAR CABRERA TELLO</v>
          </cell>
          <cell r="L51" t="str">
            <v xml:space="preserve">MARTIN ALEJANDRO CELY ANDRADE </v>
          </cell>
          <cell r="M51">
            <v>45777</v>
          </cell>
          <cell r="N51">
            <v>45777</v>
          </cell>
          <cell r="O51">
            <v>45777</v>
          </cell>
          <cell r="P51" t="str">
            <v>Visitas de evaluación con fines de mejoramiento</v>
          </cell>
          <cell r="Q51" t="str">
            <v xml:space="preserve"> Charles 2 (3).pdf</v>
          </cell>
          <cell r="R51" t="str">
            <v>La institución educativa cumple con la jornada e intensidad horaria establecida para los educandos, información que ha sido socializada con las familias en reuniones</v>
          </cell>
          <cell r="S51" t="str">
            <v xml:space="preserve">Continuar con la ejecución del calendario escolar par la vigencia </v>
          </cell>
          <cell r="T51" t="str">
            <v>No</v>
          </cell>
          <cell r="U51" t="str">
            <v xml:space="preserve">Verificar el calendario que se presenta para la vigencia 2026, dependiendo de la decision de continuidad. </v>
          </cell>
        </row>
        <row r="52">
          <cell r="A52">
            <v>2374</v>
          </cell>
          <cell r="B52">
            <v>5</v>
          </cell>
          <cell r="C52" t="str">
            <v>TEUSAQUILLO</v>
          </cell>
          <cell r="D52" t="str">
            <v>PRIVADO</v>
          </cell>
          <cell r="E52" t="str">
            <v>Educación Inicial</v>
          </cell>
          <cell r="F52" t="str">
            <v>JARDIN_INFANTIL_CHARLES_PERRAULT</v>
          </cell>
          <cell r="G52" t="str">
            <v>JARDIN INFANTIL CHARLES PERRAULT</v>
          </cell>
          <cell r="H52" t="str">
            <v>Autoevaluación Institucional y Pruebas SABER 11</v>
          </cell>
          <cell r="I52" t="str">
            <v>EVALUACIÓN_CON_FINES_DE_MEJORAMIENTO.</v>
          </cell>
          <cell r="J52" t="str">
            <v>Verificar el funcionamiento del Gobierno Escolar e instancias de participación con base en la información sobre conformación reportada por la institución educativa.</v>
          </cell>
          <cell r="K52" t="str">
            <v>EDGAR ANCIZAR CABRERA TELLO</v>
          </cell>
          <cell r="L52" t="str">
            <v xml:space="preserve">MARTIN ALEJANDRO CELY ANDRADE </v>
          </cell>
          <cell r="M52">
            <v>45777</v>
          </cell>
          <cell r="N52">
            <v>45777</v>
          </cell>
          <cell r="O52">
            <v>45777</v>
          </cell>
          <cell r="P52" t="str">
            <v>Visitas de evaluación con fines de mejoramiento</v>
          </cell>
          <cell r="Q52" t="str">
            <v>acta Charles 2 (3)</v>
          </cell>
          <cell r="R52" t="str">
            <v>El jardín manifiesta haber realizado las jornadas pedagógicas para la elección del gobierno escolar y subido las actas al aplicativo del sistema de apoyo escolar, dando cumplimiento a la participación de las instancias del gobierno escolar.</v>
          </cell>
          <cell r="S52" t="str">
            <v>El jardín cumplió con la elección del gobierno escolar y reportó la información en el sistema de apoyo escolar.</v>
          </cell>
          <cell r="T52" t="str">
            <v>No</v>
          </cell>
          <cell r="U52" t="str">
            <v xml:space="preserve">Verificar la conformación y funcionamiento del GE para la vigencia 2026, dependiendo de la decision de continuidad. </v>
          </cell>
        </row>
        <row r="53">
          <cell r="A53">
            <v>2375</v>
          </cell>
          <cell r="B53">
            <v>5</v>
          </cell>
          <cell r="C53" t="str">
            <v>TEUSAQUILLO</v>
          </cell>
          <cell r="D53" t="str">
            <v>PRIVADO</v>
          </cell>
          <cell r="E53" t="str">
            <v>Educación Inicial</v>
          </cell>
          <cell r="F53" t="str">
            <v>JARDIN_INFANTIL_CHARLES_PERRAULT</v>
          </cell>
          <cell r="G53" t="str">
            <v>JARDIN INFANTIL CHARLES PERRAULT</v>
          </cell>
          <cell r="H53" t="str">
            <v>Autoevaluación Institucional y Pruebas SABER 11</v>
          </cell>
          <cell r="I53" t="str">
            <v>EVALUACIÓN_CON_FINES_DE_MEJORAMIENTO.</v>
          </cell>
          <cell r="J53" t="str">
            <v>Verificar las condiciones en cuanto a: la estructura administrativa, condiciones de la planta física y medios educativos adecuados.</v>
          </cell>
          <cell r="K53" t="str">
            <v>EDGAR ANCIZAR CABRERA TELLO</v>
          </cell>
          <cell r="L53" t="str">
            <v xml:space="preserve">MARTIN ALEJANDRO CELY ANDRADE </v>
          </cell>
          <cell r="M53">
            <v>45777</v>
          </cell>
          <cell r="N53">
            <v>45777</v>
          </cell>
          <cell r="O53">
            <v>45777</v>
          </cell>
          <cell r="P53" t="str">
            <v>Visitas de evaluación con fines de mejoramiento</v>
          </cell>
          <cell r="Q53" t="str">
            <v xml:space="preserve">acta Charles 2 (3).pdf
</v>
          </cell>
          <cell r="R53" t="str">
            <v xml:space="preserve">La institución educativa cuenta con medios educativos adecuados para el servicio. debido al número reducido de estudiantes, la rectora y una profesional gestionan todos los procesos. </v>
          </cell>
          <cell r="S53" t="str">
            <v>Evaluar la pertinencia de continuidad de prestación del servicio educativo y de la licencia de funcionamiento, o la planificación de estrategias de mejoramiento para incremento de matrícula y vinculación de personal</v>
          </cell>
          <cell r="T53" t="str">
            <v>No</v>
          </cell>
          <cell r="U53" t="str">
            <v xml:space="preserve"> Verificar la decisión frente a la continuidad de la IE o la formulación del plan de mejoramiento, y lo demás requerido según acta, en seguimiento trimestral.                                          La institución educativa solicitó el 03/10/2025 cierre voluntario.</v>
          </cell>
        </row>
        <row r="54">
          <cell r="A54">
            <v>2376</v>
          </cell>
          <cell r="B54">
            <v>6</v>
          </cell>
          <cell r="C54" t="str">
            <v>TEUSAQUILLO</v>
          </cell>
          <cell r="D54" t="str">
            <v>PRIVADO_IETDH</v>
          </cell>
          <cell r="E54" t="str">
            <v>IETDH</v>
          </cell>
          <cell r="F54" t="str">
            <v>ACADEMIA_DE_ARTES_GUERRERO</v>
          </cell>
          <cell r="G54" t="str">
            <v>ACADEMIA DE ARTES GUERRERO</v>
          </cell>
          <cell r="H54" t="str">
            <v>IETDH priorizadas por cada ELIV (seguimiento a PMI, que no se hayan visitado en los últimos 3 años)</v>
          </cell>
          <cell r="I54" t="str">
            <v>SEGUIMIENTO_Y_SUPERVISIÓN.</v>
          </cell>
          <cell r="J54"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54" t="str">
            <v>MARÍA CLAUDIA LEÓN RIVERA</v>
          </cell>
          <cell r="L54" t="str">
            <v>JOHN ALEXANDER RODRÍGUEZ CALDERÓN</v>
          </cell>
          <cell r="M54">
            <v>45784</v>
          </cell>
          <cell r="N54">
            <v>45784</v>
          </cell>
          <cell r="O54">
            <v>45784</v>
          </cell>
          <cell r="P54" t="str">
            <v>Visitas de evaluación con fines de mejoramiento</v>
          </cell>
          <cell r="Q54" t="str">
            <v>00_A.A_GUERRERO_VISITA_FinesMejoramiento_POAIV2025_07052025_FirmadaSoportes.pdf</v>
          </cell>
          <cell r="R54" t="str">
            <v xml:space="preserve">La IETDH no cuenta con programas de formacion laboral y/o conocimientos academicos vigentes, por tanto no tiene registo en el  SIET . </v>
          </cell>
          <cell r="S54" t="str">
            <v xml:space="preserve">Evaluar la pertinencia del desarrollo de programas de formacion para el trabajo y el desarrollo humano y solicitar como mínimo el registro de un programa o solicitar la cancelacion de la licencia de funcionamiento. </v>
          </cell>
          <cell r="T54" t="str">
            <v>No</v>
          </cell>
          <cell r="U54" t="str">
            <v>Seguimiento al compromiso de solicitud de registro de  programa(s) ETDH o de cierre voluntario, dentro de 6 meses a partir de la visita.</v>
          </cell>
        </row>
        <row r="55">
          <cell r="A55">
            <v>2377</v>
          </cell>
          <cell r="B55">
            <v>6</v>
          </cell>
          <cell r="C55" t="str">
            <v>TEUSAQUILLO</v>
          </cell>
          <cell r="D55" t="str">
            <v>PRIVADO_IETDH</v>
          </cell>
          <cell r="E55" t="str">
            <v>IETDH</v>
          </cell>
          <cell r="F55" t="str">
            <v>ACADEMIA_DE_ARTES_GUERRERO</v>
          </cell>
          <cell r="G55" t="str">
            <v>ACADEMIA DE ARTES GUERRERO</v>
          </cell>
          <cell r="H55" t="str">
            <v>IETDH priorizadas por cada ELIV (seguimiento a PMI, que no se hayan visitado en los últimos 3 años)</v>
          </cell>
          <cell r="I55" t="str">
            <v>SEGUIMIENTO_Y_SUPERVISIÓN.</v>
          </cell>
          <cell r="J55" t="str">
            <v>Adelantar visitas para verificar que el desarrollo de los programas de ETDH, esté de acuerdo con lo autorizado y la normatividad vigente, para propender por su pertinencia, legalidad y actualización constante.</v>
          </cell>
          <cell r="K55" t="str">
            <v>MARÍA CLAUDIA LEÓN RIVERA</v>
          </cell>
          <cell r="L55" t="str">
            <v>JOHN ALEXANDER RODRÍGUEZ CALDERÓN</v>
          </cell>
          <cell r="M55">
            <v>45784</v>
          </cell>
          <cell r="N55">
            <v>45784</v>
          </cell>
          <cell r="O55">
            <v>45784</v>
          </cell>
          <cell r="P55" t="str">
            <v>Visitas de evaluación con fines de mejoramiento</v>
          </cell>
          <cell r="Q55" t="str">
            <v>00_A.A_GUERRERO_VISITA_FinesMejoramiento_POAIV2025_07052025_FirmadaSoportes.pdf</v>
          </cell>
          <cell r="R55" t="str">
            <v xml:space="preserve">La IETDH ofrece cursos informales inferiores a 160 horas, no oferta programas tecnicos laborales o en conocimientos académicos  porque no cuenta pcon  no registro vigente de programas. Se evidencia en visita el ofrecimentos de educación informal. </v>
          </cell>
          <cell r="S55" t="str">
            <v xml:space="preserve">Teniendo en cuenta que  la IETDH cuenta con licencia de funcionamiento y no registra programas, debe evaluar la pertinencia o no de registrar programas y en caso de que no se registren solicitar la cancelacion de la licencia de funcionamiento. </v>
          </cell>
          <cell r="T55" t="str">
            <v>No</v>
          </cell>
          <cell r="U55" t="str">
            <v>Seguimiento al compromiso de solicitud de registro de  programa(s) ETDH o de cierre voluntario, dentro de 6 meses a partir de la visita.</v>
          </cell>
        </row>
        <row r="56">
          <cell r="A56">
            <v>2378</v>
          </cell>
          <cell r="B56">
            <v>6</v>
          </cell>
          <cell r="C56" t="str">
            <v>TEUSAQUILLO</v>
          </cell>
          <cell r="D56" t="str">
            <v>PRIVADO_IETDH</v>
          </cell>
          <cell r="E56" t="str">
            <v>IETDH</v>
          </cell>
          <cell r="F56" t="str">
            <v>ACADEMIA_DE_ARTES_GUERRERO</v>
          </cell>
          <cell r="G56" t="str">
            <v>ACADEMIA DE ARTES GUERRERO</v>
          </cell>
          <cell r="H56" t="str">
            <v>IETDH priorizadas por cada ELIV (seguimiento a PMI, que no se hayan visitado en los últimos 3 años)</v>
          </cell>
          <cell r="I56" t="str">
            <v>EVALUACIÓN_CON_FINES_DE_MEJORAMIENTO.</v>
          </cell>
          <cell r="J56" t="str">
            <v>Verificar las condiciones en cuanto a: la estructura administrativa, condiciones de la planta física y medios educativos adecuados.</v>
          </cell>
          <cell r="K56" t="str">
            <v>MARÍA CLAUDIA LEÓN RIVERA</v>
          </cell>
          <cell r="L56" t="str">
            <v>JOHN ALEXANDER RODRÍGUEZ CALDERÓN</v>
          </cell>
          <cell r="M56">
            <v>45784</v>
          </cell>
          <cell r="N56">
            <v>45784</v>
          </cell>
          <cell r="O56">
            <v>45784</v>
          </cell>
          <cell r="P56" t="str">
            <v>Visitas de evaluación con fines de mejoramiento</v>
          </cell>
          <cell r="Q56" t="str">
            <v>00_A.A_GUERRERO_VISITA_FinesMejoramiento_POAIV2025_07052025_FirmadaSoportes.pdf</v>
          </cell>
          <cell r="R56" t="str">
            <v>La IETDH cuenta con una planta física con espacios acordes para la prestación del servicio autorizado en la licencia de funcionamiento.  Cuentan con ventilación, iluminación, orden y aseo, adicionalmente, con la dotación necesaria de acuerdo con la oferta educativa autorizada.</v>
          </cell>
          <cell r="S56" t="str">
            <v xml:space="preserve">Evaluar la pertinencia o no de registrar programas y en caso de que no se registren solicitar la cancelacion de la licencia de funcionamiento. </v>
          </cell>
          <cell r="T56" t="str">
            <v>No</v>
          </cell>
          <cell r="U56" t="str">
            <v xml:space="preserve">En caso que la IETDH no realice solitud  de registro de programas en el termino de 6 mese (nov 2025), se requerirá de acuerdo al compromiso. </v>
          </cell>
        </row>
        <row r="57">
          <cell r="A57">
            <v>2379</v>
          </cell>
          <cell r="B57">
            <v>7</v>
          </cell>
          <cell r="C57" t="str">
            <v>TEUSAQUILLO</v>
          </cell>
          <cell r="D57" t="str">
            <v>PRIVADO_IETDH</v>
          </cell>
          <cell r="E57" t="str">
            <v>IETDH</v>
          </cell>
          <cell r="F57" t="str">
            <v>CENTRO_DE_ASESORÍAS_INTEGRALES_</v>
          </cell>
          <cell r="G57" t="str">
            <v xml:space="preserve">CENTRO DE ASESORÍAS INTEGRALES </v>
          </cell>
          <cell r="H57" t="str">
            <v>IETDH priorizadas por cada ELIV (seguimiento a PMI, que no se hayan visitado en los últimos 3 años)</v>
          </cell>
          <cell r="I57" t="str">
            <v>SEGUIMIENTO_Y_SUPERVISIÓN.</v>
          </cell>
          <cell r="J57"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57" t="str">
            <v>MARÍA CLAUDIA LEÓN RIVERA</v>
          </cell>
          <cell r="L57" t="str">
            <v xml:space="preserve">MARTIN ALEJANDRO CELY ANDRADE </v>
          </cell>
          <cell r="M57">
            <v>45791</v>
          </cell>
          <cell r="N57">
            <v>45792</v>
          </cell>
          <cell r="O57" t="str">
            <v>15/05/2025</v>
          </cell>
          <cell r="P57" t="str">
            <v>Visitas de evaluación con fines de mejoramiento</v>
          </cell>
          <cell r="Q57" t="str">
            <v>05162025_Acta_Visita institucional con fines de mejoramient..pdf</v>
          </cell>
          <cell r="R57" t="str">
            <v>El registro de matriculados y certificados en  SIET se encuentra desactualizado por inconvenientes con el personal administativo desde el año 2020. Los costos educativos aprobados una vez renovado el registro fue de $1.315.535, y a la fecha el costo del programa es de $1.200.000 que corresponde a $ 400.000 mensuales por el tiempo de 3 meses.</v>
          </cell>
          <cell r="S57" t="str">
            <v xml:space="preserve">Actualizar la información de matriculados y certificados en el SIET. </v>
          </cell>
          <cell r="T57" t="str">
            <v>Si</v>
          </cell>
          <cell r="U57" t="str">
            <v>Verificar, en el plan de mejoramiento que presente la IE,  la culminación de la actualización del registro de matriculados y certificados a 15 de junio de 2025</v>
          </cell>
        </row>
        <row r="58">
          <cell r="A58">
            <v>2380</v>
          </cell>
          <cell r="B58">
            <v>7</v>
          </cell>
          <cell r="C58" t="str">
            <v>TEUSAQUILLO</v>
          </cell>
          <cell r="D58" t="str">
            <v>PRIVADO_IETDH</v>
          </cell>
          <cell r="E58" t="str">
            <v>IETDH</v>
          </cell>
          <cell r="F58" t="str">
            <v>CENTRO_DE_ASESORÍAS_INTEGRALES_</v>
          </cell>
          <cell r="G58" t="str">
            <v xml:space="preserve">CENTRO DE ASESORÍAS INTEGRALES </v>
          </cell>
          <cell r="H58" t="str">
            <v>IETDH priorizadas por cada ELIV (seguimiento a PMI, que no se hayan visitado en los últimos 3 años)</v>
          </cell>
          <cell r="I58" t="str">
            <v>SEGUIMIENTO_Y_SUPERVISIÓN.</v>
          </cell>
          <cell r="J58" t="str">
            <v>Adelantar visitas para verificar que el desarrollo de los programas de ETDH, esté de acuerdo con lo autorizado y la normatividad vigente, para propender por su pertinencia, legalidad y actualización constante.</v>
          </cell>
          <cell r="K58" t="str">
            <v>MARÍA CLAUDIA LEÓN RIVERA</v>
          </cell>
          <cell r="L58" t="str">
            <v xml:space="preserve">MARTIN ALEJANDRO CELY ANDRADE </v>
          </cell>
          <cell r="M58">
            <v>45791</v>
          </cell>
          <cell r="N58">
            <v>45792</v>
          </cell>
          <cell r="O58" t="str">
            <v>15/05/2025</v>
          </cell>
          <cell r="P58" t="str">
            <v>Visitas de evaluación con fines de mejoramiento</v>
          </cell>
          <cell r="Q58" t="str">
            <v>05162025_Acta_Visita institucional con fines de mejoramient..pdf</v>
          </cell>
          <cell r="R58" t="str">
            <v xml:space="preserve">La institucion cumple con la oferta educativa autorizada.  El programa se encuentra vigente y se desarrolla conforme lo autorizado jornada diurna en horario de 8:00 am - 1:00 pm de lunes a viernes por 3 meses. </v>
          </cell>
          <cell r="S58" t="str">
            <v>Presentar solicitud de renovacion de registro de programas seis meses antes de su vencimiento.</v>
          </cell>
          <cell r="T58" t="str">
            <v>No</v>
          </cell>
          <cell r="U58" t="str">
            <v>Verificar las solicitudes de renovacion de registro de programas que realice la IE</v>
          </cell>
        </row>
        <row r="59">
          <cell r="A59">
            <v>2381</v>
          </cell>
          <cell r="B59">
            <v>7</v>
          </cell>
          <cell r="C59" t="str">
            <v>TEUSAQUILLO</v>
          </cell>
          <cell r="D59" t="str">
            <v>PRIVADO_IETDH</v>
          </cell>
          <cell r="E59" t="str">
            <v>IETDH</v>
          </cell>
          <cell r="F59" t="str">
            <v>CENTRO_DE_ASESORÍAS_INTEGRALES_</v>
          </cell>
          <cell r="G59" t="str">
            <v xml:space="preserve">CENTRO DE ASESORÍAS INTEGRALES </v>
          </cell>
          <cell r="H59" t="str">
            <v>IETDH priorizadas por cada ELIV (seguimiento a PMI, que no se hayan visitado en los últimos 3 años)</v>
          </cell>
          <cell r="I59" t="str">
            <v>EVALUACIÓN_CON_FINES_DE_MEJORAMIENTO.</v>
          </cell>
          <cell r="J59" t="str">
            <v>Verificar las condiciones en cuanto a: la estructura administrativa, condiciones de la planta física y medios educativos adecuados.</v>
          </cell>
          <cell r="K59" t="str">
            <v>MARÍA CLAUDIA LEÓN RIVERA</v>
          </cell>
          <cell r="L59" t="str">
            <v xml:space="preserve">MARTIN ALEJANDRO CELY ANDRADE </v>
          </cell>
          <cell r="M59">
            <v>45791</v>
          </cell>
          <cell r="N59">
            <v>45792</v>
          </cell>
          <cell r="O59" t="str">
            <v>15/05/2025</v>
          </cell>
          <cell r="P59" t="str">
            <v>Visitas de evaluación con fines de mejoramiento</v>
          </cell>
          <cell r="Q59" t="str">
            <v>05162025_Acta_Visita institucional con fines de mejoramient..pdf</v>
          </cell>
          <cell r="R59" t="str">
            <v xml:space="preserve">Cuenta con una adecuada estructura administrativa. La planta física cuenta con los espacios académicos  para la atencion de estudiantes de acuerdo con la demanda y los medios educativos estan  conforme las pruebas saber y examen de ingeso a la UNacional que les permite fortalecer conocimiento y modelo de preguntas </v>
          </cell>
          <cell r="S59" t="str">
            <v xml:space="preserve">Continuar fortaleciendo la capacitación al personal administrativo, y mantener actualizados los sistemas de información. </v>
          </cell>
          <cell r="T59" t="str">
            <v>No</v>
          </cell>
          <cell r="U59" t="str">
            <v xml:space="preserve">Verificar, si se requiere, los compromisos descritos. </v>
          </cell>
        </row>
        <row r="60">
          <cell r="A60">
            <v>2382</v>
          </cell>
          <cell r="B60">
            <v>8</v>
          </cell>
          <cell r="C60" t="str">
            <v>TEUSAQUILLO</v>
          </cell>
          <cell r="D60" t="str">
            <v>PRIVADO_IETDH</v>
          </cell>
          <cell r="E60" t="str">
            <v>IETDH</v>
          </cell>
          <cell r="F60" t="str">
            <v>INSTITUTO_DE_EDUCACIÓN_PARA_EL_TRABAJO_Y_EL_DESARROLLO_HUMANO_CODEMA</v>
          </cell>
          <cell r="G60" t="str">
            <v>INSTITUTO DE EDUCACIÓN PARA EL TRABAJO Y EL DESARROLLO HUMANO CODEMA</v>
          </cell>
          <cell r="H60" t="str">
            <v>IETDH priorizadas por cada ELIV (seguimiento a PMI, que no se hayan visitado en los últimos 3 años)</v>
          </cell>
          <cell r="I60" t="str">
            <v>SEGUIMIENTO_Y_SUPERVISIÓN.</v>
          </cell>
          <cell r="J60"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60" t="str">
            <v>EDGAR ANCIZAR CABRERA TELLO</v>
          </cell>
          <cell r="L60" t="str">
            <v>JOHN ALEXANDER RODRÍGUEZ CALDERÓN</v>
          </cell>
          <cell r="M60">
            <v>45793</v>
          </cell>
          <cell r="N60">
            <v>45793</v>
          </cell>
          <cell r="O60">
            <v>45793</v>
          </cell>
          <cell r="P60" t="str">
            <v>Visitas de evaluación con fines de mejoramiento</v>
          </cell>
          <cell r="Q60" t="str">
            <v>00_CODEMA_VISITA_FinesMejoramiento_POAIV2025_16052025_FirmadaSoportes.pdf</v>
          </cell>
          <cell r="R60" t="str">
            <v>La IETDH manifiesta no haber realizado el registro en el sistema SIET de matricualdos y certificados oportunamente debido al fallecimiento de la persona encargada y la pérdida de acceso. Tras recuperar la clave, se registró la información de los años 2022 y 2023, aunque no se reportaron los costos anuales. Adicionalmente, la institución informa no tener programas vigentes, por lo que solicitó un nuevo registro en 2025 para los programas de inglés A1, A2, B1 y B2, los cuales se encuentran en estudio.</v>
          </cell>
          <cell r="S60" t="str">
            <v xml:space="preserve">Solicitud de cancelación de los programas con registro vencido. Solicitud de registro de nuevos programas según lo manifestado en visita por la IETDH, una vez realizado el registro, la IETDH debe realizar los reportes de actualización de costos, y demás registros en SIET como el registro de matriculados y certificados. </v>
          </cell>
          <cell r="T60" t="str">
            <v>Si</v>
          </cell>
          <cell r="U60" t="str">
            <v>Se realizará seguimiento al proceso de registro de los costos anuales, y se verificará el estado de las solicitudes de cancelación y  nuevo registro de los programas de inglés A1, A2, B1 y B2 para el año 2025.</v>
          </cell>
        </row>
        <row r="61">
          <cell r="A61">
            <v>2383</v>
          </cell>
          <cell r="B61">
            <v>8</v>
          </cell>
          <cell r="C61" t="str">
            <v>TEUSAQUILLO</v>
          </cell>
          <cell r="D61" t="str">
            <v>PRIVADO_IETDH</v>
          </cell>
          <cell r="E61" t="str">
            <v>IETDH</v>
          </cell>
          <cell r="F61" t="str">
            <v>INSTITUTO_DE_EDUCACIÓN_PARA_EL_TRABAJO_Y_EL_DESARROLLO_HUMANO_CODEMA</v>
          </cell>
          <cell r="G61" t="str">
            <v>INSTITUTO DE EDUCACIÓN PARA EL TRABAJO Y EL DESARROLLO HUMANO CODEMA</v>
          </cell>
          <cell r="H61" t="str">
            <v>IETDH priorizadas por cada ELIV (seguimiento a PMI, que no se hayan visitado en los últimos 3 años)</v>
          </cell>
          <cell r="I61" t="str">
            <v>SEGUIMIENTO_Y_SUPERVISIÓN.</v>
          </cell>
          <cell r="J61" t="str">
            <v>Adelantar visitas para verificar que el desarrollo de los programas de ETDH, esté de acuerdo con lo autorizado y la normatividad vigente, para propender por su pertinencia, legalidad y actualización constante.</v>
          </cell>
          <cell r="K61" t="str">
            <v>EDGAR ANCIZAR CABRERA TELLO</v>
          </cell>
          <cell r="L61" t="str">
            <v>JOHN ALEXANDER RODRÍGUEZ CALDERÓN</v>
          </cell>
          <cell r="M61">
            <v>45793</v>
          </cell>
          <cell r="N61">
            <v>45793</v>
          </cell>
          <cell r="O61">
            <v>45793</v>
          </cell>
          <cell r="P61" t="str">
            <v>Visitas de evaluación con fines de mejoramiento</v>
          </cell>
          <cell r="Q61" t="str">
            <v>00_CODEMA_VISITA_FinesMejoramiento_POAIV2025_16052025_FirmadaSoportes.pdf</v>
          </cell>
          <cell r="R61" t="str">
            <v>La IETDH no tiene programas vigentes. Justifica la pertinencia del registro de nuevos programas de inglés que atienden a las necesidades de sus afiliados.</v>
          </cell>
          <cell r="S61" t="str">
            <v>Realizar la solicitud de registro de nuevos programas,</v>
          </cell>
          <cell r="T61" t="str">
            <v>Si</v>
          </cell>
          <cell r="U61" t="str">
            <v xml:space="preserve">Se verifica el cumplimiento de requisitos normativos de la solicitud de registro de los nuevos programas de inglés. </v>
          </cell>
        </row>
        <row r="62">
          <cell r="A62">
            <v>2384</v>
          </cell>
          <cell r="B62">
            <v>8</v>
          </cell>
          <cell r="C62" t="str">
            <v>TEUSAQUILLO</v>
          </cell>
          <cell r="D62" t="str">
            <v>PRIVADO_IETDH</v>
          </cell>
          <cell r="E62" t="str">
            <v>IETDH</v>
          </cell>
          <cell r="F62" t="str">
            <v>INSTITUTO_DE_EDUCACIÓN_PARA_EL_TRABAJO_Y_EL_DESARROLLO_HUMANO_CODEMA</v>
          </cell>
          <cell r="G62" t="str">
            <v>INSTITUTO DE EDUCACIÓN PARA EL TRABAJO Y EL DESARROLLO HUMANO CODEMA</v>
          </cell>
          <cell r="H62" t="str">
            <v>IETDH priorizadas por cada ELIV (seguimiento a PMI, que no se hayan visitado en los últimos 3 años)</v>
          </cell>
          <cell r="I62" t="str">
            <v>EVALUACIÓN_CON_FINES_DE_MEJORAMIENTO.</v>
          </cell>
          <cell r="J62" t="str">
            <v>Verificar las condiciones en cuanto a: la estructura administrativa, condiciones de la planta física y medios educativos adecuados.</v>
          </cell>
          <cell r="K62" t="str">
            <v>EDGAR ANCIZAR CABRERA TELLO</v>
          </cell>
          <cell r="L62" t="str">
            <v>JOHN ALEXANDER RODRÍGUEZ CALDERÓN</v>
          </cell>
          <cell r="M62">
            <v>45793</v>
          </cell>
          <cell r="N62">
            <v>45793</v>
          </cell>
          <cell r="O62">
            <v>45793</v>
          </cell>
          <cell r="P62" t="str">
            <v>Visitas de evaluación con fines de mejoramiento</v>
          </cell>
          <cell r="Q62" t="str">
            <v>00_CODEMA_VISITA_FinesMejoramiento_POAIV2025_16052025_FirmadaSoportes.pdf</v>
          </cell>
          <cell r="R62" t="str">
            <v>La IETDH cuenta con una adecuada estructura administrativa. Su planta física está bien dotada, incluyendo ascensor, 28 computadores, amplios salones e infraestructura tecnológica, lo que sugiere que cuenta con los medios educativos adecuados para ofrecer el servicio.</v>
          </cell>
          <cell r="S62" t="str">
            <v xml:space="preserve">Mantener la estructura administrativa y medios educativos que garanticen la prestación de los programas a registrar.  </v>
          </cell>
          <cell r="T62" t="str">
            <v>No</v>
          </cell>
          <cell r="U62" t="str">
            <v>Se realiza segunda visita para verificación de requisitos para el registro de programas. En caso de requerirse se realizará verificación de procesos de la prestación del servicio de los programas a registrar.</v>
          </cell>
        </row>
        <row r="63">
          <cell r="A63">
            <v>2385</v>
          </cell>
          <cell r="B63">
            <v>9</v>
          </cell>
          <cell r="C63" t="str">
            <v>TEUSAQUILLO</v>
          </cell>
          <cell r="D63" t="str">
            <v>PRIVADO_IETDH</v>
          </cell>
          <cell r="E63" t="str">
            <v>IETDH</v>
          </cell>
          <cell r="F63" t="str">
            <v>DIGITAL_LAB_-_EDUCACIÓN_EN_PRODUCCIÓN_SONORA,_COMUNICACIÓN_Y_CONTENIDO_DIGITAL_(Antes:_IDEA_DIGITAL_LAB_(Educación_en_Producción_Sonora,_Comunicación_y_Contenido_Digital_-_DIGITAL_LAB)).</v>
          </cell>
          <cell r="G63" t="str">
            <v>DIGITAL_LAB_-_EDUCACIÓN_EN_PRODUCCIÓN_SONORA,_COMUNICACIÓN_Y_CONTENIDO_DIGITAL_(Antes:_IDEA_DIGITAL_LAB_(Educación_en_Producción_Sonora,_Comunicación_y_Contenido_Digital_-_DIGITAL_LAB)).</v>
          </cell>
          <cell r="H63" t="str">
            <v>IETDH priorizadas por cada ELIV (seguimiento a PMI, que no se hayan visitado en los últimos 3 años)</v>
          </cell>
          <cell r="I63" t="str">
            <v>SEGUIMIENTO_Y_SUPERVISIÓN.</v>
          </cell>
          <cell r="J6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63" t="str">
            <v>MARÍA CLAUDIA LEÓN RIVERA</v>
          </cell>
          <cell r="L63" t="str">
            <v>EDGAR ANCIZAR CABRERA TELLO</v>
          </cell>
          <cell r="M63">
            <v>45798</v>
          </cell>
          <cell r="N63">
            <v>45798</v>
          </cell>
          <cell r="O63">
            <v>45798</v>
          </cell>
          <cell r="P63" t="str">
            <v>Visitas de evaluación con fines de mejoramiento</v>
          </cell>
          <cell r="Q63" t="str">
            <v>05212025Visita_confinesde mejormaiento_DIGITALLAB..pdf</v>
          </cell>
          <cell r="R63" t="str">
            <v xml:space="preserve">El proceso de actualzación de la información en SIET no se ha realizado a la fecha, de acuerdo con la realidad de la IETDH. los costos educativos se encuentran registrasos en el contrato de matrícula mas no han sido reportados a la Direccin Local de Educacion. </v>
          </cell>
          <cell r="S63" t="str">
            <v xml:space="preserve">La IETDH deberá verificar y actualizar la información matrícula y certificados en  el SIET, de acuerdo con los contratos de matricula. </v>
          </cell>
          <cell r="T63" t="str">
            <v>Si</v>
          </cell>
          <cell r="U63" t="str">
            <v xml:space="preserve">Verificar el reporte de los costos de cada uno de los programas autorizados, y la actualización de la información de matriculados y certificados en el SIET máximo al 30 de agosto de 2025. </v>
          </cell>
        </row>
        <row r="64">
          <cell r="A64">
            <v>2386</v>
          </cell>
          <cell r="B64">
            <v>9</v>
          </cell>
          <cell r="C64" t="str">
            <v>TEUSAQUILLO</v>
          </cell>
          <cell r="D64" t="str">
            <v>PRIVADO_IETDH</v>
          </cell>
          <cell r="E64" t="str">
            <v>IETDH</v>
          </cell>
          <cell r="F64" t="str">
            <v>DIGITAL_LAB_-_EDUCACIÓN_EN_PRODUCCIÓN_SONORA,_COMUNICACIÓN_Y_CONTENIDO_DIGITAL_(Antes:_IDEA_DIGITAL_LAB_(Educación_en_Producción_Sonora,_Comunicación_y_Contenido_Digital_-_DIGITAL_LAB)).</v>
          </cell>
          <cell r="G64" t="str">
            <v>DIGITAL_LAB_-_EDUCACIÓN_EN_PRODUCCIÓN_SONORA,_COMUNICACIÓN_Y_CONTENIDO_DIGITAL_(Antes:_IDEA_DIGITAL_LAB_(Educación_en_Producción_Sonora,_Comunicación_y_Contenido_Digital_-_DIGITAL_LAB)).</v>
          </cell>
          <cell r="H64" t="str">
            <v>IETDH priorizadas por cada ELIV (seguimiento a PMI, que no se hayan visitado en los últimos 3 años)</v>
          </cell>
          <cell r="I64" t="str">
            <v>SEGUIMIENTO_Y_SUPERVISIÓN.</v>
          </cell>
          <cell r="J64" t="str">
            <v>Adelantar visitas para verificar que el desarrollo de los programas de ETDH, esté de acuerdo con lo autorizado y la normatividad vigente, para propender por su pertinencia, legalidad y actualización constante.</v>
          </cell>
          <cell r="K64" t="str">
            <v>MARÍA CLAUDIA LEÓN RIVERA</v>
          </cell>
          <cell r="L64" t="str">
            <v>EDGAR ANCIZAR CABRERA TELLO</v>
          </cell>
          <cell r="M64">
            <v>45798</v>
          </cell>
          <cell r="N64">
            <v>45798</v>
          </cell>
          <cell r="O64">
            <v>45798</v>
          </cell>
          <cell r="P64" t="str">
            <v>Visitas de evaluación con fines de mejoramiento</v>
          </cell>
          <cell r="Q64" t="str">
            <v>05212025Visita_confinesde mejormaiento_DIGITALLAB..pdf</v>
          </cell>
          <cell r="R64" t="str">
            <v xml:space="preserve">Los programas autorizados se encuentran vigentes, dos en desarrolo y uno no registra matrícula. La IETDH se encuentra planeando estrategias que le permita aumentar la matricula en cada uno de sus programas,  incluyendo el desarrollo de cursos cortos de 52 hrs . </v>
          </cell>
          <cell r="S64" t="str">
            <v>Evaluar periodicamente la pertinencia de los programas y solicitar la renovación cuanto corresponda</v>
          </cell>
          <cell r="T64" t="str">
            <v>No</v>
          </cell>
          <cell r="U64" t="str">
            <v xml:space="preserve">Verificar la actualización de la información correspondiente en el sistema SIET, reporte de actualización anual de costos, y renovación de programas cuando corresponda. </v>
          </cell>
        </row>
        <row r="65">
          <cell r="A65">
            <v>2387</v>
          </cell>
          <cell r="B65">
            <v>9</v>
          </cell>
          <cell r="C65" t="str">
            <v>TEUSAQUILLO</v>
          </cell>
          <cell r="D65" t="str">
            <v>PRIVADO_IETDH</v>
          </cell>
          <cell r="E65" t="str">
            <v>IETDH</v>
          </cell>
          <cell r="F65" t="str">
            <v>DIGITAL_LAB_-_EDUCACIÓN_EN_PRODUCCIÓN_SONORA,_COMUNICACIÓN_Y_CONTENIDO_DIGITAL_(Antes:_IDEA_DIGITAL_LAB_(Educación_en_Producción_Sonora,_Comunicación_y_Contenido_Digital_-_DIGITAL_LAB)).</v>
          </cell>
          <cell r="G65" t="str">
            <v>DIGITAL_LAB_-_EDUCACIÓN_EN_PRODUCCIÓN_SONORA,_COMUNICACIÓN_Y_CONTENIDO_DIGITAL_(Antes:_IDEA_DIGITAL_LAB_(Educación_en_Producción_Sonora,_Comunicación_y_Contenido_Digital_-_DIGITAL_LAB)).</v>
          </cell>
          <cell r="H65" t="str">
            <v>IETDH priorizadas por cada ELIV (seguimiento a PMI, que no se hayan visitado en los últimos 3 años)</v>
          </cell>
          <cell r="I65" t="str">
            <v>EVALUACIÓN_CON_FINES_DE_MEJORAMIENTO.</v>
          </cell>
          <cell r="J65" t="str">
            <v>Verificar las condiciones en cuanto a: la estructura administrativa, condiciones de la planta física y medios educativos adecuados.</v>
          </cell>
          <cell r="K65" t="str">
            <v>MARÍA CLAUDIA LEÓN RIVERA</v>
          </cell>
          <cell r="L65" t="str">
            <v>EDGAR ANCIZAR CABRERA TELLO</v>
          </cell>
          <cell r="M65">
            <v>45798</v>
          </cell>
          <cell r="N65">
            <v>45798</v>
          </cell>
          <cell r="O65">
            <v>45798</v>
          </cell>
          <cell r="P65" t="str">
            <v>Visitas de evaluación con fines de mejoramiento</v>
          </cell>
          <cell r="Q65" t="str">
            <v>05212025Visita_confinesde mejormaiento_DIGITALLAB..pdf</v>
          </cell>
          <cell r="R65" t="str">
            <v>Se evidencia que  los espacios y dotacion se presentan  condiciones adecuadas para la prestación del servicio autorizado.  Los documentos institucionales se encuentran debidamente organizados y archivados en digital  por medio de la plataforma Q10 y en físico</v>
          </cell>
          <cell r="S65" t="str">
            <v>Mantener las condiciones de estructura administrativa, planta física y medios edeucativos para la prestación del servicio.</v>
          </cell>
          <cell r="T65" t="str">
            <v>Si</v>
          </cell>
          <cell r="U65" t="str">
            <v xml:space="preserve">Verificar, en caso de requerirse, lo correspondiente a los espacios administrativos y planta física.  </v>
          </cell>
        </row>
        <row r="66">
          <cell r="A66">
            <v>2388</v>
          </cell>
          <cell r="B66">
            <v>10</v>
          </cell>
          <cell r="C66" t="str">
            <v>TEUSAQUILLO</v>
          </cell>
          <cell r="D66" t="str">
            <v>PRIVADO_IETDH</v>
          </cell>
          <cell r="E66" t="str">
            <v>IETDH</v>
          </cell>
          <cell r="F66" t="str">
            <v>EL_ROSALITO_INSTITUTO_PARA_EL_TRABAJO_Y_DESARROLLO_HUMANO_-_EDUCACIÓN_ESPECIAL_(antes:_HOGAR_INFANTIL_EL_ROSALITO_-_INSTITUTO_DE_EDUCACION_ESPECIAL)</v>
          </cell>
          <cell r="G66" t="str">
            <v>EL_ROSALITO_INSTITUTO_PARA_EL_TRABAJO_Y_DESARROLLO_HUMANO_-_EDUCACIÓN_ESPECIAL_(antes:_HOGAR_INFANTIL_EL_ROSALITO_-_INSTITUTO_DE_EDUCACION_ESPECIAL)</v>
          </cell>
          <cell r="H66" t="str">
            <v>IETDH priorizadas por cada ELIV (seguimiento a PMI, que no se hayan visitado en los últimos 3 años)</v>
          </cell>
          <cell r="I66" t="str">
            <v>SEGUIMIENTO_Y_SUPERVISIÓN.</v>
          </cell>
          <cell r="J66"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66" t="str">
            <v xml:space="preserve">MARTIN ALEJANDRO CELY ANDRADE </v>
          </cell>
          <cell r="L66" t="str">
            <v>JOHN ALEXANDER RODRÍGUEZ CALDERÓN</v>
          </cell>
          <cell r="M66">
            <v>45812</v>
          </cell>
          <cell r="N66">
            <v>45812</v>
          </cell>
          <cell r="O66">
            <v>45812</v>
          </cell>
          <cell r="P66" t="str">
            <v>Visitas de evaluación con fines de mejoramiento</v>
          </cell>
          <cell r="Q66" t="str">
            <v>00_ROSALITO_ActaAVISITA_FinesMejoramiento_POAIV2025_04062025_FirmadaSoportes.pdf</v>
          </cell>
          <cell r="R66" t="str">
            <v xml:space="preserve">Se verificó que registro de matriculados y certificados en SIET se encuentra actualizado. Se solicita info. respecto a programas con registros en cero, la IETDH refiere que es por no matricula, tomará decisión para solicitar su cancelación. La IETDH reporta el incremento de costos cada año, se verifica valor en contrato de matrícula. </v>
          </cell>
          <cell r="S66" t="str">
            <v xml:space="preserve">La IETD cumple con la oferta educativa autorizada según la norma; se orienta -y de acuerdo a la pertinencia de los programas vigentes- que una vez cumplido el tiempo, solicitar con seis meses de anticipación la renovación de los programas. </v>
          </cell>
          <cell r="T66" t="str">
            <v>Si</v>
          </cell>
          <cell r="U66" t="str">
            <v>Verificar mediante reporte matricula en SIET la pertinencia de los programas con matricula cero que se indicaron a la IETDH, lo anterior, de acuerdo a las observaciones del acata; en caso de no evidenciarse registro de matrícula, se requerirá a la institución de no haberse recibido pronunciamiento al respecto en el término perentorio indicado.</v>
          </cell>
        </row>
        <row r="67">
          <cell r="A67">
            <v>2389</v>
          </cell>
          <cell r="B67">
            <v>10</v>
          </cell>
          <cell r="C67" t="str">
            <v>TEUSAQUILLO</v>
          </cell>
          <cell r="D67" t="str">
            <v>PRIVADO_IETDH</v>
          </cell>
          <cell r="E67" t="str">
            <v>IETDH</v>
          </cell>
          <cell r="F67" t="str">
            <v>EL_ROSALITO_INSTITUTO_PARA_EL_TRABAJO_Y_DESARROLLO_HUMANO_-_EDUCACIÓN_ESPECIAL_(antes:_HOGAR_INFANTIL_EL_ROSALITO_-_INSTITUTO_DE_EDUCACION_ESPECIAL)</v>
          </cell>
          <cell r="G67" t="str">
            <v>EL_ROSALITO_INSTITUTO_PARA_EL_TRABAJO_Y_DESARROLLO_HUMANO_-_EDUCACIÓN_ESPECIAL_(antes:_HOGAR_INFANTIL_EL_ROSALITO_-_INSTITUTO_DE_EDUCACION_ESPECIAL)</v>
          </cell>
          <cell r="H67" t="str">
            <v>IETDH priorizadas por cada ELIV (seguimiento a PMI, que no se hayan visitado en los últimos 3 años)</v>
          </cell>
          <cell r="I67" t="str">
            <v>SEGUIMIENTO_Y_SUPERVISIÓN.</v>
          </cell>
          <cell r="J67" t="str">
            <v>Adelantar visitas para verificar que el desarrollo de los programas de ETDH, esté de acuerdo con lo autorizado y la normatividad vigente, para propender por su pertinencia, legalidad y actualización constante.</v>
          </cell>
          <cell r="K67" t="str">
            <v xml:space="preserve">MARTIN ALEJANDRO CELY ANDRADE </v>
          </cell>
          <cell r="L67" t="str">
            <v>JOHN ALEXANDER RODRÍGUEZ CALDERÓN</v>
          </cell>
          <cell r="M67">
            <v>45812</v>
          </cell>
          <cell r="N67">
            <v>45812</v>
          </cell>
          <cell r="O67">
            <v>45812</v>
          </cell>
          <cell r="P67" t="str">
            <v>Visitas de evaluación con fines de mejoramiento</v>
          </cell>
          <cell r="Q67" t="str">
            <v>00_ROSALITO_ActaAVISITA_FinesMejoramiento_POAIV2025_04062025_FirmadaSoportes.pdf</v>
          </cell>
          <cell r="R67" t="str">
            <v xml:space="preserve">Se verificó documentación e instalaciones que evidencian el desarrollo de programas autorizados ETDH. De los 16 programas autorizados se identifica por revisión documental previa (SIET) y lo evidenciado en la visita 2 programas sin desarrollarse.   </v>
          </cell>
          <cell r="S67" t="str">
            <v xml:space="preserve">La IETDH se compromete a determinar la viabilidad y pertinencia de los 2 programas sin desarrollarse y los con matricula baja. Se la recuerda a la IETDH los tiempos normativos que debe tener encueta para solicitar la renovación de los programas que considere.  </v>
          </cell>
          <cell r="T67" t="str">
            <v>Si</v>
          </cell>
          <cell r="U67" t="str">
            <v>Verificar que en término acordado la institución informe sobre la decisión de cancelar o no registro de programas sin desarrollarse.</v>
          </cell>
        </row>
        <row r="68">
          <cell r="A68">
            <v>2390</v>
          </cell>
          <cell r="B68">
            <v>10</v>
          </cell>
          <cell r="C68" t="str">
            <v>TEUSAQUILLO</v>
          </cell>
          <cell r="D68" t="str">
            <v>PRIVADO_IETDH</v>
          </cell>
          <cell r="E68" t="str">
            <v>IETDH</v>
          </cell>
          <cell r="F68" t="str">
            <v>EL_ROSALITO_INSTITUTO_PARA_EL_TRABAJO_Y_DESARROLLO_HUMANO_-_EDUCACIÓN_ESPECIAL_(antes:_HOGAR_INFANTIL_EL_ROSALITO_-_INSTITUTO_DE_EDUCACION_ESPECIAL)</v>
          </cell>
          <cell r="G68" t="str">
            <v>EL_ROSALITO_INSTITUTO_PARA_EL_TRABAJO_Y_DESARROLLO_HUMANO_-_EDUCACIÓN_ESPECIAL_(antes:_HOGAR_INFANTIL_EL_ROSALITO_-_INSTITUTO_DE_EDUCACION_ESPECIAL)</v>
          </cell>
          <cell r="H68" t="str">
            <v>IETDH priorizadas por cada ELIV (seguimiento a PMI, que no se hayan visitado en los últimos 3 años)</v>
          </cell>
          <cell r="I68" t="str">
            <v>EVALUACIÓN_CON_FINES_DE_MEJORAMIENTO.</v>
          </cell>
          <cell r="J68" t="str">
            <v>Verificar las condiciones en cuanto a: la estructura administrativa, condiciones de la planta física y medios educativos adecuados.</v>
          </cell>
          <cell r="K68" t="str">
            <v xml:space="preserve">MARTIN ALEJANDRO CELY ANDRADE </v>
          </cell>
          <cell r="L68" t="str">
            <v>JOHN ALEXANDER RODRÍGUEZ CALDERÓN</v>
          </cell>
          <cell r="M68">
            <v>45812</v>
          </cell>
          <cell r="N68">
            <v>45812</v>
          </cell>
          <cell r="O68">
            <v>45812</v>
          </cell>
          <cell r="P68" t="str">
            <v>Visitas de evaluación con fines de mejoramiento</v>
          </cell>
          <cell r="Q68" t="str">
            <v>00_ROSALITO_ActaAVISITA_FinesMejoramiento_POAIV2025_04062025_FirmadaSoportes.pdf</v>
          </cell>
          <cell r="R68" t="str">
            <v xml:space="preserve">Se realizó verificación de archivos físicos relacionados con la administración de la IETDH, desarrollo del PEI y del desarrollo de programas. En los recorridos realizados por la planta evidenciaron los espacios, recursos didácticos y pedagógicos para el desarrollo de los programas autorizados. En SURE registra inconsistencia el nombre de IETDH y de jornada. El nombre de la IETH está sin actualizar en fachada. </v>
          </cell>
          <cell r="S68" t="str">
            <v xml:space="preserve">La IETDH cuenta con condiciones administrativas y planta física que permite el desarrollo de programas. Se compromete a revisar de pertinencia de programas sin matrícula y matricula baja para optimizar y fortalecer los programas con más demanda, realizar el trámite de ajuste en SURE por nombre de la institución y de jornada, y actualizar nombre de la IETDH en fachada.   </v>
          </cell>
          <cell r="T68" t="str">
            <v>Si</v>
          </cell>
          <cell r="U68" t="str">
            <v>De acuerdo con los compromisos establecidos en el acta, el 11/08/2025 la IEDTH informó sobre los ajustes de actualización, se procedió a verificación encontrándose de conformidad. Se dio respuesta mediante radicado SIGA</v>
          </cell>
        </row>
        <row r="69">
          <cell r="M69"/>
          <cell r="N69"/>
          <cell r="O69"/>
          <cell r="Q69"/>
          <cell r="R69"/>
          <cell r="S69"/>
          <cell r="U69"/>
        </row>
        <row r="70">
          <cell r="M70"/>
          <cell r="N70"/>
          <cell r="O70"/>
          <cell r="Q70"/>
          <cell r="R70"/>
          <cell r="S70"/>
          <cell r="U70"/>
        </row>
        <row r="71">
          <cell r="M71"/>
          <cell r="N71"/>
          <cell r="O71"/>
          <cell r="Q71"/>
          <cell r="R71"/>
          <cell r="S71"/>
          <cell r="U71"/>
        </row>
        <row r="72">
          <cell r="M72"/>
          <cell r="N72"/>
          <cell r="O72"/>
          <cell r="Q72"/>
          <cell r="R72"/>
          <cell r="S72"/>
          <cell r="U72"/>
        </row>
        <row r="73">
          <cell r="M73"/>
          <cell r="N73"/>
          <cell r="O73"/>
          <cell r="Q73"/>
          <cell r="R73"/>
          <cell r="S73"/>
          <cell r="U73"/>
        </row>
        <row r="74">
          <cell r="M74"/>
          <cell r="N74"/>
          <cell r="O74"/>
          <cell r="Q74"/>
          <cell r="R74"/>
          <cell r="S74"/>
          <cell r="U74"/>
        </row>
        <row r="75">
          <cell r="M75"/>
          <cell r="N75"/>
          <cell r="O75"/>
          <cell r="Q75"/>
          <cell r="R75"/>
          <cell r="S75"/>
          <cell r="U75"/>
        </row>
        <row r="76">
          <cell r="M76"/>
          <cell r="N76"/>
          <cell r="O76"/>
          <cell r="Q76"/>
          <cell r="R76"/>
          <cell r="S76"/>
          <cell r="U76"/>
        </row>
        <row r="77">
          <cell r="M77"/>
          <cell r="N77"/>
          <cell r="O77"/>
          <cell r="Q77"/>
          <cell r="R77"/>
          <cell r="S77"/>
          <cell r="U77"/>
        </row>
        <row r="78">
          <cell r="M78"/>
          <cell r="N78"/>
          <cell r="O78"/>
          <cell r="Q78"/>
          <cell r="R78"/>
          <cell r="S78"/>
          <cell r="U78"/>
        </row>
        <row r="79">
          <cell r="M79"/>
          <cell r="N79"/>
          <cell r="O79"/>
          <cell r="Q79"/>
          <cell r="R79"/>
          <cell r="S79"/>
          <cell r="U79"/>
        </row>
        <row r="80">
          <cell r="M80"/>
          <cell r="N80"/>
          <cell r="O80"/>
          <cell r="Q80"/>
          <cell r="R80"/>
          <cell r="S80"/>
          <cell r="U80"/>
        </row>
        <row r="81">
          <cell r="M81"/>
          <cell r="N81"/>
          <cell r="O81"/>
          <cell r="Q81"/>
          <cell r="R81"/>
          <cell r="S81"/>
          <cell r="U81"/>
        </row>
        <row r="82">
          <cell r="M82"/>
          <cell r="N82"/>
          <cell r="O82"/>
          <cell r="Q82"/>
          <cell r="R82"/>
          <cell r="S82"/>
          <cell r="U82"/>
        </row>
        <row r="83">
          <cell r="M83"/>
          <cell r="N83"/>
          <cell r="O83"/>
          <cell r="Q83"/>
          <cell r="R83"/>
          <cell r="S83"/>
          <cell r="U83"/>
        </row>
        <row r="84">
          <cell r="M84"/>
          <cell r="N84"/>
          <cell r="O84"/>
          <cell r="Q84"/>
          <cell r="R84"/>
          <cell r="S84"/>
          <cell r="U84"/>
        </row>
        <row r="85">
          <cell r="M85"/>
          <cell r="N85"/>
          <cell r="O85"/>
          <cell r="Q85"/>
          <cell r="R85"/>
          <cell r="S85"/>
          <cell r="U85"/>
        </row>
        <row r="86">
          <cell r="M86"/>
          <cell r="N86"/>
          <cell r="O86"/>
          <cell r="Q86"/>
          <cell r="R86"/>
          <cell r="S86"/>
          <cell r="U86"/>
        </row>
        <row r="87">
          <cell r="M87"/>
          <cell r="N87"/>
          <cell r="O87"/>
          <cell r="Q87"/>
          <cell r="R87"/>
          <cell r="S87"/>
          <cell r="U87"/>
        </row>
        <row r="88">
          <cell r="M88"/>
          <cell r="N88"/>
          <cell r="O88"/>
          <cell r="Q88"/>
          <cell r="R88"/>
          <cell r="S88"/>
          <cell r="U88"/>
        </row>
        <row r="89">
          <cell r="M89"/>
          <cell r="N89"/>
          <cell r="O89"/>
          <cell r="Q89"/>
          <cell r="R89"/>
          <cell r="S89"/>
          <cell r="U89"/>
        </row>
        <row r="90">
          <cell r="M90"/>
          <cell r="N90"/>
          <cell r="O90"/>
          <cell r="Q90"/>
          <cell r="R90"/>
          <cell r="S90"/>
          <cell r="U90"/>
        </row>
        <row r="91">
          <cell r="M91"/>
          <cell r="N91"/>
          <cell r="O91"/>
          <cell r="Q91"/>
          <cell r="R91"/>
          <cell r="S91"/>
          <cell r="U91"/>
        </row>
        <row r="92">
          <cell r="M92"/>
          <cell r="N92"/>
          <cell r="O92"/>
          <cell r="Q92"/>
          <cell r="R92"/>
          <cell r="S92"/>
          <cell r="U92"/>
        </row>
        <row r="93">
          <cell r="M93"/>
          <cell r="N93"/>
          <cell r="O93"/>
          <cell r="Q93"/>
          <cell r="R93"/>
          <cell r="S93"/>
          <cell r="U93"/>
        </row>
        <row r="94">
          <cell r="M94"/>
          <cell r="N94"/>
          <cell r="O94"/>
          <cell r="Q94"/>
          <cell r="R94"/>
          <cell r="S94"/>
          <cell r="U94"/>
        </row>
        <row r="95">
          <cell r="M95"/>
          <cell r="N95"/>
          <cell r="O95"/>
          <cell r="Q95"/>
          <cell r="R95"/>
          <cell r="S95"/>
          <cell r="U95"/>
        </row>
        <row r="96">
          <cell r="M96"/>
          <cell r="N96"/>
          <cell r="O96"/>
          <cell r="Q96"/>
          <cell r="R96"/>
          <cell r="S96"/>
          <cell r="U96"/>
        </row>
        <row r="97">
          <cell r="M97"/>
          <cell r="N97"/>
          <cell r="O97"/>
          <cell r="Q97"/>
          <cell r="R97"/>
          <cell r="S97"/>
          <cell r="U97"/>
        </row>
        <row r="98">
          <cell r="M98"/>
          <cell r="N98"/>
          <cell r="O98"/>
          <cell r="Q98"/>
          <cell r="R98"/>
          <cell r="S98"/>
          <cell r="U98"/>
        </row>
        <row r="99">
          <cell r="M99"/>
          <cell r="N99"/>
          <cell r="O99"/>
          <cell r="Q99"/>
          <cell r="R99"/>
          <cell r="S99"/>
          <cell r="U99"/>
        </row>
        <row r="100">
          <cell r="M100"/>
          <cell r="N100"/>
          <cell r="O100"/>
          <cell r="Q100"/>
          <cell r="R100"/>
          <cell r="S100"/>
          <cell r="U100"/>
        </row>
        <row r="101">
          <cell r="M101"/>
          <cell r="N101"/>
          <cell r="O101"/>
          <cell r="Q101"/>
          <cell r="R101"/>
          <cell r="S101"/>
          <cell r="U101"/>
        </row>
        <row r="102">
          <cell r="M102"/>
          <cell r="N102"/>
          <cell r="O102"/>
          <cell r="Q102"/>
          <cell r="R102"/>
          <cell r="S102"/>
          <cell r="U102"/>
        </row>
        <row r="103">
          <cell r="M103"/>
          <cell r="N103"/>
          <cell r="O103"/>
          <cell r="Q103"/>
          <cell r="R103"/>
          <cell r="S103"/>
          <cell r="U103"/>
        </row>
        <row r="104">
          <cell r="M104"/>
          <cell r="N104"/>
          <cell r="O104"/>
          <cell r="Q104"/>
          <cell r="R104"/>
          <cell r="S104"/>
          <cell r="U104"/>
        </row>
        <row r="105">
          <cell r="M105"/>
          <cell r="N105"/>
          <cell r="O105"/>
          <cell r="Q105"/>
          <cell r="R105"/>
          <cell r="S105"/>
          <cell r="U105"/>
        </row>
        <row r="106">
          <cell r="M106"/>
          <cell r="N106"/>
          <cell r="O106"/>
          <cell r="Q106"/>
          <cell r="R106"/>
          <cell r="S106"/>
          <cell r="U106"/>
        </row>
        <row r="107">
          <cell r="M107"/>
          <cell r="N107"/>
          <cell r="O107"/>
          <cell r="Q107"/>
          <cell r="R107"/>
          <cell r="S107"/>
          <cell r="U107"/>
        </row>
        <row r="108">
          <cell r="M108"/>
          <cell r="N108"/>
          <cell r="O108"/>
          <cell r="Q108"/>
          <cell r="R108"/>
          <cell r="S108"/>
          <cell r="U108"/>
        </row>
        <row r="109">
          <cell r="M109"/>
          <cell r="N109"/>
          <cell r="O109"/>
          <cell r="Q109"/>
          <cell r="R109"/>
          <cell r="S109"/>
          <cell r="U109"/>
        </row>
        <row r="110">
          <cell r="M110"/>
          <cell r="N110"/>
          <cell r="O110"/>
          <cell r="Q110"/>
          <cell r="R110"/>
          <cell r="S110"/>
          <cell r="U110"/>
        </row>
        <row r="111">
          <cell r="M111"/>
          <cell r="N111"/>
          <cell r="O111"/>
          <cell r="Q111"/>
          <cell r="R111"/>
          <cell r="S111"/>
          <cell r="U111"/>
        </row>
        <row r="112">
          <cell r="M112"/>
          <cell r="N112"/>
          <cell r="O112"/>
          <cell r="Q112"/>
          <cell r="R112"/>
          <cell r="S112"/>
          <cell r="U112"/>
        </row>
        <row r="113">
          <cell r="M113"/>
          <cell r="N113"/>
          <cell r="O113"/>
          <cell r="Q113"/>
          <cell r="R113"/>
          <cell r="S113"/>
          <cell r="U113"/>
        </row>
        <row r="114">
          <cell r="M114"/>
          <cell r="N114"/>
          <cell r="O114"/>
          <cell r="Q114"/>
          <cell r="R114"/>
          <cell r="S114"/>
          <cell r="U114"/>
        </row>
        <row r="115">
          <cell r="M115"/>
          <cell r="N115"/>
          <cell r="O115"/>
          <cell r="Q115"/>
          <cell r="R115"/>
          <cell r="S115"/>
          <cell r="U115"/>
        </row>
        <row r="116">
          <cell r="M116"/>
          <cell r="N116"/>
          <cell r="O116"/>
          <cell r="Q116"/>
          <cell r="R116"/>
          <cell r="S116"/>
          <cell r="U116"/>
        </row>
        <row r="117">
          <cell r="M117"/>
          <cell r="N117"/>
          <cell r="O117"/>
          <cell r="Q117"/>
          <cell r="R117"/>
          <cell r="S117"/>
          <cell r="U117"/>
        </row>
        <row r="118">
          <cell r="M118"/>
          <cell r="N118"/>
          <cell r="O118"/>
          <cell r="Q118"/>
          <cell r="R118"/>
          <cell r="S118"/>
          <cell r="U118"/>
        </row>
        <row r="119">
          <cell r="M119"/>
          <cell r="N119"/>
          <cell r="O119"/>
          <cell r="Q119"/>
          <cell r="R119"/>
          <cell r="S119"/>
          <cell r="U119"/>
        </row>
        <row r="120">
          <cell r="M120"/>
          <cell r="N120"/>
          <cell r="O120"/>
          <cell r="Q120"/>
          <cell r="R120"/>
          <cell r="S120"/>
        </row>
        <row r="121">
          <cell r="M121"/>
          <cell r="N121"/>
          <cell r="O121"/>
          <cell r="Q121"/>
          <cell r="R121"/>
          <cell r="S121"/>
        </row>
        <row r="122">
          <cell r="M122"/>
          <cell r="N122"/>
          <cell r="O122"/>
          <cell r="Q122"/>
          <cell r="R122"/>
          <cell r="S122"/>
        </row>
        <row r="123">
          <cell r="Q123"/>
          <cell r="R123"/>
          <cell r="S123"/>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H3ORU4VLCR5BLUDH4MHOS5ZEI">
      <xxl21:absoluteUrl r:id="rId2"/>
      <xxl21:relativeUrl r:id="rId3"/>
    </xxl21:alternateUrls>
    <sheetNames>
      <sheetName val="PRIORIZADOS"/>
      <sheetName val="DEMANDA"/>
      <sheetName val="MESAS DIRECTIVOS IE"/>
      <sheetName val="PEGRCC Y GOBIERNOS ESCOLARES"/>
      <sheetName val="COLEGIOS"/>
      <sheetName val="LISTAS"/>
      <sheetName val="CALENDARIO"/>
      <sheetName val="ACTIVIDADES  "/>
      <sheetName val="MANUALES DE CONVIVENCIA IED"/>
      <sheetName val="OPERACIONES-ACTIVIDADES"/>
    </sheetNames>
    <sheetDataSet>
      <sheetData sheetId="0">
        <row r="1">
          <cell r="A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6. TUNJUELITO</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Unico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el seguimiento y/o verificación realizada o por realizar sobre los compromisos o PMI acordados)</v>
          </cell>
        </row>
        <row r="8">
          <cell r="A8">
            <v>2391</v>
          </cell>
          <cell r="B8">
            <v>1</v>
          </cell>
          <cell r="C8" t="str">
            <v>TUNJUELITO</v>
          </cell>
          <cell r="D8" t="str">
            <v>PRIVADO</v>
          </cell>
          <cell r="E8" t="str">
            <v>Educación de Jóvenes y Adultos</v>
          </cell>
          <cell r="F8" t="str">
            <v>CENTRO_EDUCATIVO_SURAMERICANO</v>
          </cell>
          <cell r="G8" t="str">
            <v>CENTRO EDUCATIVO SURAMERICANO</v>
          </cell>
          <cell r="H8" t="str">
            <v>Autoevaluación Institucional y Pruebas SABER 11</v>
          </cell>
          <cell r="I8" t="str">
            <v>SEGUIMIENTO_Y_SUPERVISIÓN.</v>
          </cell>
          <cell r="J8"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8" t="str">
            <v>NELSON AUGUSTO CUBILLOS OLARTE</v>
          </cell>
          <cell r="L8" t="str">
            <v xml:space="preserve">SANDRA JAZMÍN BAQUERO CÓRDOBA
NELSON AUGUSTO CUBILLOS OLARTE
CLAUDIA PATRICIA GRANADOS FLÓREZ
</v>
          </cell>
          <cell r="M8">
            <v>45784</v>
          </cell>
          <cell r="N8">
            <v>45793</v>
          </cell>
          <cell r="O8">
            <v>45793</v>
          </cell>
          <cell r="P8" t="str">
            <v>Visitas de evaluación con fines de seguimiento</v>
          </cell>
          <cell r="Q8" t="str">
            <v>C.E. SURAMERICANO 16-5-2025_250527_08125527052025.pdf</v>
          </cell>
          <cell r="R8" t="str">
            <v>La institución no tiene la actualización del PMI para salir de regimen Controlado.</v>
          </cell>
          <cell r="S8" t="str">
            <v>Ajustar el PMI incluyendo las novedades encontradas en la visita, en este punto.</v>
          </cell>
          <cell r="T8" t="str">
            <v>Si</v>
          </cell>
          <cell r="U8" t="str">
            <v>Valoración del Plan de mejoramiento y sus evidencias. Revisión de avances en la nueva autoevaluación y la respectiva priorización 2026.</v>
          </cell>
        </row>
        <row r="9">
          <cell r="A9">
            <v>2392</v>
          </cell>
          <cell r="B9"/>
          <cell r="C9" t="str">
            <v>TUNJUELITO</v>
          </cell>
          <cell r="D9" t="str">
            <v>PRIVADO</v>
          </cell>
          <cell r="E9" t="str">
            <v>Educación de Jóvenes y Adultos</v>
          </cell>
          <cell r="F9" t="str">
            <v>CENTRO_EDUCATIVO_SURAMERICANO</v>
          </cell>
          <cell r="G9" t="str">
            <v>CENTRO EDUCATIVO SURAMERICANO</v>
          </cell>
          <cell r="H9" t="str">
            <v>Autoevaluación Institucional y Pruebas SABER 11</v>
          </cell>
          <cell r="I9" t="str">
            <v>SEGUIMIENTO_Y_SUPERVISIÓN.</v>
          </cell>
          <cell r="J9" t="str">
            <v>Realizar visitas para verificar la información registrada sobre la autoevaluación institucional en el aplicativo EVI, a los establecimientos de educación formal no oficial.</v>
          </cell>
          <cell r="K9" t="str">
            <v>NELSON AUGUSTO CUBILLOS OLARTE</v>
          </cell>
          <cell r="L9" t="str">
            <v xml:space="preserve">SANDRA JAZMÍN BAQUERO CÓRDOBA
NELSON AUGUSTO CUBILLOS OLARTE
CLAUDIA PATRICIA GRANADOS FLÓREZ
</v>
          </cell>
          <cell r="M9">
            <v>45784</v>
          </cell>
          <cell r="N9">
            <v>45793</v>
          </cell>
          <cell r="O9">
            <v>45793</v>
          </cell>
          <cell r="P9" t="str">
            <v>Visitas de evaluación con fines de seguimiento</v>
          </cell>
          <cell r="Q9" t="str">
            <v>C.E. SURAMERICANO 16-5-2025_250527_08125527052025.pdf</v>
          </cell>
          <cell r="R9" t="str">
            <v>La institución debe revisar la situación actual de infraestructura fisica pues uno de los baños reportados en 2023-2024 no es procedente(Pozeta corrida) por lo tanto, hace falta un baño y un aula, así como, espacios para docentes.</v>
          </cell>
          <cell r="S9" t="str">
            <v>Ajustar el PMI incluyendo las novedades encontradas en la visita, estructurando el proceso a mediano y largo plazo de acuerdo con las obras y/o presupuestos necesarios.</v>
          </cell>
          <cell r="T9" t="str">
            <v>Si</v>
          </cell>
          <cell r="U9" t="str">
            <v>Valoración del Plan de mejoramiento y sus evidencias. Revisión de avances en la nueva autoevaluación y la respectiva priorización 2026.</v>
          </cell>
        </row>
        <row r="10">
          <cell r="A10">
            <v>2393</v>
          </cell>
          <cell r="B10"/>
          <cell r="C10" t="str">
            <v>TUNJUELITO</v>
          </cell>
          <cell r="D10" t="str">
            <v>PRIVADO</v>
          </cell>
          <cell r="E10" t="str">
            <v>Educación de Jóvenes y Adultos</v>
          </cell>
          <cell r="F10" t="str">
            <v>CENTRO_EDUCATIVO_SURAMERICANO</v>
          </cell>
          <cell r="G10" t="str">
            <v>CENTRO EDUCATIVO SURAMERICANO</v>
          </cell>
          <cell r="H10" t="str">
            <v>Autoevaluación Institucional y Pruebas SABER 11</v>
          </cell>
          <cell r="I10" t="str">
            <v>SEGUIMIENTO_Y_SUPERVISIÓN.</v>
          </cell>
          <cell r="J10" t="str">
            <v>Proponer estrategias en la formulación, verificar su elaboración y realizar seguimiento semestral al desarrollo de  las acciones establecidas en los planes de mejoramiento por pruebas SABER 11 de los establecimientos de educación formal.</v>
          </cell>
          <cell r="K10" t="str">
            <v>NELSON AUGUSTO CUBILLOS OLARTE</v>
          </cell>
          <cell r="L10" t="str">
            <v xml:space="preserve">SANDRA JAZMÍN BAQUERO CÓRDOBA
NELSON AUGUSTO CUBILLOS OLARTE
CLAUDIA PATRICIA GRANADOS FLÓREZ
</v>
          </cell>
          <cell r="M10">
            <v>45784</v>
          </cell>
          <cell r="N10">
            <v>45793</v>
          </cell>
          <cell r="O10">
            <v>45793</v>
          </cell>
          <cell r="P10" t="str">
            <v>Visitas de evaluación con fines de seguimiento</v>
          </cell>
          <cell r="Q10" t="str">
            <v>C.E. SURAMERICANO 16-5-2025_250527_08125527052025.pdf</v>
          </cell>
          <cell r="R10" t="str">
            <v>La institución no ha realizado la revisión de la situación de las pruebas SABER 11 y ha realizado ajustes pero no con base en el análisis de pruebas.</v>
          </cell>
          <cell r="S10" t="str">
            <v>Ajustar el PMI incluyendo las novedades encontradas en la visita, en este punto, generando evidencias de los procesos de discusión y acciones realizadas.</v>
          </cell>
          <cell r="T10" t="str">
            <v>Si</v>
          </cell>
          <cell r="U10" t="str">
            <v>Valoración del Plan de mejoramiento y sus evidencias. Revisión de avances en la nueva autoevaluación y la respectiva priorización 2026.</v>
          </cell>
        </row>
        <row r="11">
          <cell r="A11">
            <v>2394</v>
          </cell>
          <cell r="B11"/>
          <cell r="C11" t="str">
            <v>TUNJUELITO</v>
          </cell>
          <cell r="D11" t="str">
            <v>PRIVADO</v>
          </cell>
          <cell r="E11" t="str">
            <v>Educación de Jóvenes y Adultos</v>
          </cell>
          <cell r="F11" t="str">
            <v>CENTRO_EDUCATIVO_SURAMERICANO</v>
          </cell>
          <cell r="G11" t="str">
            <v>CENTRO EDUCATIVO SURAMERICANO</v>
          </cell>
          <cell r="H11" t="str">
            <v>Autoevaluación Institucional y Pruebas SABER 11</v>
          </cell>
          <cell r="I11" t="str">
            <v>SEGUIMIENTO_Y_SUPERVISIÓN.</v>
          </cell>
          <cell r="J11" t="str">
            <v xml:space="preserve">Verificar la implementación por parte de los colegios, de acciones realizadas para la prevención y atención de las situaciones de convivencia en el entorno escolar, según lo establecido en la Directiva 01 de 2022 del MEN. </v>
          </cell>
          <cell r="K11" t="str">
            <v>NELSON AUGUSTO CUBILLOS OLARTE</v>
          </cell>
          <cell r="L11" t="str">
            <v xml:space="preserve">SANDRA JAZMÍN BAQUERO CÓRDOBA
NELSON AUGUSTO CUBILLOS OLARTE
CLAUDIA PATRICIA GRANADOS FLÓREZ
</v>
          </cell>
          <cell r="M11">
            <v>45784</v>
          </cell>
          <cell r="N11">
            <v>45793</v>
          </cell>
          <cell r="O11">
            <v>45793</v>
          </cell>
          <cell r="P11" t="str">
            <v>Visitas de evaluación con fines de seguimiento</v>
          </cell>
          <cell r="Q11" t="str">
            <v>C.E. SURAMERICANO 16-5-2025_250527_08125527052025.pdf</v>
          </cell>
          <cell r="R11" t="str">
            <v>La institución no ha relizado la revisión de antecedentes de delitos sexuales del personal</v>
          </cell>
          <cell r="S11" t="str">
            <v>Se deben realizar los procesos de revisión e implementar la revisión periodica.</v>
          </cell>
          <cell r="T11" t="str">
            <v>Si</v>
          </cell>
          <cell r="U11" t="str">
            <v>Valoración del Plan de mejoramiento y sus evidencias. Revisión de avances en la nueva autoevaluación y la respectiva priorización 2026.</v>
          </cell>
        </row>
        <row r="12">
          <cell r="A12">
            <v>2395</v>
          </cell>
          <cell r="B12"/>
          <cell r="C12" t="str">
            <v>TUNJUELITO</v>
          </cell>
          <cell r="D12" t="str">
            <v>PRIVADO</v>
          </cell>
          <cell r="E12" t="str">
            <v>Educación de Jóvenes y Adultos</v>
          </cell>
          <cell r="F12" t="str">
            <v>CENTRO_EDUCATIVO_SURAMERICANO</v>
          </cell>
          <cell r="G12" t="str">
            <v>CENTRO EDUCATIVO SURAMERICANO</v>
          </cell>
          <cell r="H12" t="str">
            <v>Autoevaluación Institucional y Pruebas SABER 11</v>
          </cell>
          <cell r="I12" t="str">
            <v>SEGUIMIENTO_Y_SUPERVISIÓN.</v>
          </cell>
          <cell r="J1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 t="str">
            <v>NELSON AUGUSTO CUBILLOS OLARTE</v>
          </cell>
          <cell r="L12" t="str">
            <v xml:space="preserve">SANDRA JAZMÍN BAQUERO CÓRDOBA
NELSON AUGUSTO CUBILLOS OLARTE
CLAUDIA PATRICIA GRANADOS FLÓREZ
</v>
          </cell>
          <cell r="M12">
            <v>45784</v>
          </cell>
          <cell r="N12">
            <v>45793</v>
          </cell>
          <cell r="O12" t="str">
            <v>16/5/2025</v>
          </cell>
          <cell r="P12" t="str">
            <v>Visitas de evaluación con fines de seguimiento</v>
          </cell>
          <cell r="Q12" t="str">
            <v>C.E. SURAMERICANO 16-5-2025_250527_08125527052025.pdf</v>
          </cell>
          <cell r="R12" t="str">
            <v>La institución no cuenta con matricula de estudiantes en condición de discapacidad.</v>
          </cell>
          <cell r="S12" t="str">
            <v>Se deben organizar procesos en los que se evidencie la verificación de situaciones de discapacidad</v>
          </cell>
          <cell r="T12" t="str">
            <v>Si</v>
          </cell>
          <cell r="U12" t="str">
            <v>Valoración del Plan de mejoramiento y sus evidencias. Revisión de avances en la nueva autoevaluación y la respectiva priorización 2026.</v>
          </cell>
        </row>
        <row r="13">
          <cell r="A13">
            <v>2396</v>
          </cell>
          <cell r="B13"/>
          <cell r="C13" t="str">
            <v>TUNJUELITO</v>
          </cell>
          <cell r="D13" t="str">
            <v>PRIVADO</v>
          </cell>
          <cell r="E13" t="str">
            <v>Educación de Jóvenes y Adultos</v>
          </cell>
          <cell r="F13" t="str">
            <v>CENTRO_EDUCATIVO_SURAMERICANO</v>
          </cell>
          <cell r="G13" t="str">
            <v>CENTRO EDUCATIVO SURAMERICANO</v>
          </cell>
          <cell r="H13" t="str">
            <v>Autoevaluación Institucional y Pruebas SABER 11</v>
          </cell>
          <cell r="I13" t="str">
            <v>EVALUACIÓN_CON_FINES_DE_MEJORAMIENTO.</v>
          </cell>
          <cell r="J1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 t="str">
            <v>NELSON AUGUSTO CUBILLOS OLARTE</v>
          </cell>
          <cell r="L13" t="str">
            <v xml:space="preserve">SANDRA JAZMÍN BAQUERO CÓRDOBA
NELSON AUGUSTO CUBILLOS OLARTE
CLAUDIA PATRICIA GRANADOS FLÓREZ
</v>
          </cell>
          <cell r="M13">
            <v>45784</v>
          </cell>
          <cell r="N13">
            <v>45793</v>
          </cell>
          <cell r="O13">
            <v>45793</v>
          </cell>
          <cell r="P13" t="str">
            <v>Visitas de evaluación con fines de mejoramiento</v>
          </cell>
          <cell r="Q13" t="str">
            <v>C.E. SURAMERICANO 16-5-2025_250527_08125527052025.pdf</v>
          </cell>
          <cell r="R13" t="str">
            <v>La institución no presenta actas que prueben lo realizado.</v>
          </cell>
          <cell r="S13" t="str">
            <v>Se deben documentar todos lo procesos con actas firmadas por los estamentos de acuerdo a su competencia. La institución realizará las actas y el cronograma en el PMI</v>
          </cell>
          <cell r="T13" t="str">
            <v>Si</v>
          </cell>
          <cell r="U13" t="str">
            <v>Valoración del Plan de mejoramiento y sus evidencias. Revisión de avances en la nueva autoevaluación y la respectiva priorización 2026.</v>
          </cell>
        </row>
        <row r="14">
          <cell r="A14">
            <v>2397</v>
          </cell>
          <cell r="B14"/>
          <cell r="C14" t="str">
            <v>TUNJUELITO</v>
          </cell>
          <cell r="D14" t="str">
            <v>PRIVADO</v>
          </cell>
          <cell r="E14" t="str">
            <v>Educación de Jóvenes y Adultos</v>
          </cell>
          <cell r="F14" t="str">
            <v>CENTRO_EDUCATIVO_SURAMERICANO</v>
          </cell>
          <cell r="G14" t="str">
            <v>CENTRO EDUCATIVO SURAMERICANO</v>
          </cell>
          <cell r="H14" t="str">
            <v>Autoevaluación Institucional y Pruebas SABER 11</v>
          </cell>
          <cell r="I14" t="str">
            <v>EVALUACIÓN_CON_FINES_DE_MEJORAMIENTO.</v>
          </cell>
          <cell r="J14" t="str">
            <v>Revisar la actualización, socialización e implementación del Sistema Institucional de Evaluación de Estudiantes - SIEE, en articulación con la actualización del PEI y la normatividad vigente.</v>
          </cell>
          <cell r="K14" t="str">
            <v>NELSON AUGUSTO CUBILLOS OLARTE</v>
          </cell>
          <cell r="L14" t="str">
            <v xml:space="preserve">SANDRA JAZMÍN BAQUERO CÓRDOBA
NELSON AUGUSTO CUBILLOS OLARTE
CLAUDIA PATRICIA GRANADOS FLÓREZ
</v>
          </cell>
          <cell r="M14">
            <v>45784</v>
          </cell>
          <cell r="N14">
            <v>45793</v>
          </cell>
          <cell r="O14">
            <v>45793</v>
          </cell>
          <cell r="P14" t="str">
            <v>Visitas de evaluación con fines de mejoramiento</v>
          </cell>
          <cell r="Q14" t="str">
            <v>C.E. SURAMERICANO 16-5-2025_250527_08125527052025.pdf</v>
          </cell>
          <cell r="R14" t="str">
            <v>Esta contemplado en el Manual de convivencia, pero no hay evidencias de su actualización, socialización e implementación.</v>
          </cell>
          <cell r="S14" t="str">
            <v>Debe realizarse el proceso en que se cumpla con la actualización, socialización e implementación segun el decreto 1290 de 2009</v>
          </cell>
          <cell r="T14" t="str">
            <v>Si</v>
          </cell>
          <cell r="U14" t="str">
            <v>Valoración del Plan de mejoramiento y sus evidencias. Revisión de avances en la nueva autoevaluación y la respectiva priorización 2026.</v>
          </cell>
        </row>
        <row r="15">
          <cell r="A15">
            <v>2398</v>
          </cell>
          <cell r="B15"/>
          <cell r="C15" t="str">
            <v>TUNJUELITO</v>
          </cell>
          <cell r="D15" t="str">
            <v>PRIVADO</v>
          </cell>
          <cell r="E15" t="str">
            <v>Educación de Jóvenes y Adultos</v>
          </cell>
          <cell r="F15" t="str">
            <v>CENTRO_EDUCATIVO_SURAMERICANO</v>
          </cell>
          <cell r="G15" t="str">
            <v>CENTRO EDUCATIVO SURAMERICANO</v>
          </cell>
          <cell r="H15" t="str">
            <v>Autoevaluación Institucional y Pruebas SABER 11</v>
          </cell>
          <cell r="I15" t="str">
            <v>EVALUACIÓN_CON_FINES_DE_MEJORAMIENTO.</v>
          </cell>
          <cell r="J15" t="str">
            <v>Revisar el calendario escolar, jornada escolar, la intensidad horaria mínima anual en cada nivel y las modificaciones que se realicen al mismo, de acuerdo con lo previsto en la normatividad vigente.</v>
          </cell>
          <cell r="K15" t="str">
            <v>NELSON AUGUSTO CUBILLOS OLARTE</v>
          </cell>
          <cell r="L15" t="str">
            <v xml:space="preserve">SANDRA JAZMÍN BAQUERO CÓRDOBA
NELSON AUGUSTO CUBILLOS OLARTE
CLAUDIA PATRICIA GRANADOS FLÓREZ
</v>
          </cell>
          <cell r="M15">
            <v>45784</v>
          </cell>
          <cell r="N15">
            <v>45793</v>
          </cell>
          <cell r="O15">
            <v>45793</v>
          </cell>
          <cell r="P15" t="str">
            <v>Visitas de evaluación con fines de mejoramiento</v>
          </cell>
          <cell r="Q15" t="str">
            <v>C.E. SURAMERICANO 16-5-2025_250527_08125527052025.pdf</v>
          </cell>
          <cell r="R15" t="str">
            <v>Se presenta un cronograma mas un documento de calendario que contemple los momentos y tiempos que permitan evidenciar completamente el cumplimiento de la norma.</v>
          </cell>
          <cell r="S15" t="str">
            <v>La institución debe elaborar y presentar el calendario académico de la institución debidamente adaptado a la norma.</v>
          </cell>
          <cell r="T15" t="str">
            <v>Si</v>
          </cell>
          <cell r="U15" t="str">
            <v>Valoración del Plan de mejoramiento y sus evidencias. Revisión de avances en la nueva autoevaluación y la respectiva priorización 2026.</v>
          </cell>
        </row>
        <row r="16">
          <cell r="A16">
            <v>2399</v>
          </cell>
          <cell r="B16"/>
          <cell r="C16" t="str">
            <v>TUNJUELITO</v>
          </cell>
          <cell r="D16" t="str">
            <v>PRIVADO</v>
          </cell>
          <cell r="E16" t="str">
            <v>Educación de Jóvenes y Adultos</v>
          </cell>
          <cell r="F16" t="str">
            <v>CENTRO_EDUCATIVO_SURAMERICANO</v>
          </cell>
          <cell r="G16" t="str">
            <v>CENTRO EDUCATIVO SURAMERICANO</v>
          </cell>
          <cell r="H16" t="str">
            <v>Autoevaluación Institucional y Pruebas SABER 11</v>
          </cell>
          <cell r="I16" t="str">
            <v>EVALUACIÓN_CON_FINES_DE_MEJORAMIENTO.</v>
          </cell>
          <cell r="J16" t="str">
            <v>Verificar el funcionamiento del Gobierno Escolar e instancias de participación con base en la información sobre conformación reportada por la institución educativa.</v>
          </cell>
          <cell r="K16" t="str">
            <v>NELSON AUGUSTO CUBILLOS OLARTE</v>
          </cell>
          <cell r="L16" t="str">
            <v xml:space="preserve">SANDRA JAZMÍN BAQUERO CÓRDOBA
NELSON AUGUSTO CUBILLOS OLARTE
CLAUDIA PATRICIA GRANADOS FLÓREZ
</v>
          </cell>
          <cell r="M16">
            <v>45784</v>
          </cell>
          <cell r="N16">
            <v>45793</v>
          </cell>
          <cell r="O16">
            <v>45793</v>
          </cell>
          <cell r="P16" t="str">
            <v>Visitas de evaluación con fines de mejoramiento</v>
          </cell>
          <cell r="Q16" t="str">
            <v>C.E. SURAMERICANO 16-5-2025_250527_08125527052025.pdf</v>
          </cell>
          <cell r="R16" t="str">
            <v>Se encuentra en revisión la subsanación que es de forma, no obstante faltan actas que evidencien su operatividad con sus reglamentos respectivos.</v>
          </cell>
          <cell r="S16" t="str">
            <v>Se deben estructurar los cronogramas de cada una de las instancias y sus reglamenteos.</v>
          </cell>
          <cell r="T16" t="str">
            <v>Si</v>
          </cell>
          <cell r="U16" t="str">
            <v>Valoración del Plan de mejoramiento y sus evidencias. Revisión de avances en la nueva autoevaluación y la respectiva priorización 2026.</v>
          </cell>
        </row>
        <row r="17">
          <cell r="A17">
            <v>2400</v>
          </cell>
          <cell r="B17"/>
          <cell r="C17" t="str">
            <v>TUNJUELITO</v>
          </cell>
          <cell r="D17" t="str">
            <v>PRIVADO</v>
          </cell>
          <cell r="E17" t="str">
            <v>Educación de Jóvenes y Adultos</v>
          </cell>
          <cell r="F17" t="str">
            <v>CENTRO_EDUCATIVO_SURAMERICANO</v>
          </cell>
          <cell r="G17" t="str">
            <v>CENTRO EDUCATIVO SURAMERICANO</v>
          </cell>
          <cell r="H17" t="str">
            <v>Autoevaluación Institucional y Pruebas SABER 11</v>
          </cell>
          <cell r="I17" t="str">
            <v>EVALUACIÓN_CON_FINES_DE_MEJORAMIENTO.</v>
          </cell>
          <cell r="J17" t="str">
            <v>Verificar las condiciones en cuanto a: la estructura administrativa, condiciones de la planta física y medios educativos adecuados.</v>
          </cell>
          <cell r="K17" t="str">
            <v>NELSON AUGUSTO CUBILLOS OLARTE</v>
          </cell>
          <cell r="L17" t="str">
            <v xml:space="preserve">SANDRA JAZMÍN BAQUERO CÓRDOBA
NELSON AUGUSTO CUBILLOS OLARTE
CLAUDIA PATRICIA GRANADOS FLÓREZ
</v>
          </cell>
          <cell r="M17">
            <v>45784</v>
          </cell>
          <cell r="N17">
            <v>45793</v>
          </cell>
          <cell r="O17">
            <v>45793</v>
          </cell>
          <cell r="P17" t="str">
            <v>Visitas de evaluación con fines de seguimiento</v>
          </cell>
          <cell r="Q17" t="str">
            <v>C.E. SURAMERICANO 16-5-2025_250527_08125527052025.pdf</v>
          </cell>
          <cell r="R17" t="str">
            <v>La estructura administrativa es simple y faltan espacios de planta física escenciales para la prestación del servicio.</v>
          </cell>
          <cell r="S17" t="str">
            <v>Estructurar cronograma de subsanación de los pronlemas de espacios fisicos</v>
          </cell>
          <cell r="T17" t="str">
            <v>Si</v>
          </cell>
          <cell r="U17" t="str">
            <v>Valoración del Plan de mejoramiento y sus evidencias. Revisión de avances en la nueva autoevaluación y la respectiva priorización 2026.</v>
          </cell>
        </row>
        <row r="18">
          <cell r="A18">
            <v>2401</v>
          </cell>
          <cell r="B18">
            <v>2</v>
          </cell>
          <cell r="C18" t="str">
            <v>TUNJUELITO</v>
          </cell>
          <cell r="D18" t="str">
            <v>PRIVADO</v>
          </cell>
          <cell r="E18" t="str">
            <v>Educación de Jóvenes y Adultos</v>
          </cell>
          <cell r="F18" t="str">
            <v>COLEGIO_BRITANICO</v>
          </cell>
          <cell r="G18" t="str">
            <v>COLEGIO BRITANICO</v>
          </cell>
          <cell r="H18" t="str">
            <v>Autoevaluación Institucional y Pruebas SABER 11</v>
          </cell>
          <cell r="I18" t="str">
            <v>SEGUIMIENTO_Y_SUPERVISIÓN.</v>
          </cell>
          <cell r="J18" t="str">
            <v>Realizar visitas para verificar la información registrada sobre la autoevaluación institucional en el aplicativo EVI, a los establecimientos de educación formal no oficial.</v>
          </cell>
          <cell r="K18" t="str">
            <v>SANDRA JAZMÍN BAQUERO CÓRDOBA</v>
          </cell>
          <cell r="L18" t="str">
            <v xml:space="preserve">SANDRA JAZMÍN BAQUERO CÓRDOBA
NELSON AUGUSTO CUBILLOS OLARTE
CLAUDIA PATRICIA GRANADOS FLÓREZ
</v>
          </cell>
          <cell r="M18" t="str">
            <v>28/03/2025</v>
          </cell>
          <cell r="N18">
            <v>45821</v>
          </cell>
          <cell r="O18">
            <v>45821</v>
          </cell>
          <cell r="P18" t="str">
            <v>Visitas de evaluación con fines de seguimiento</v>
          </cell>
          <cell r="Q18" t="str">
            <v>COLEGIO BRITANICO 13-6-2025_250617_07543317062025.pdf</v>
          </cell>
          <cell r="R18" t="str">
            <v>Le faltan algunos espacios como laboratorios, baños de discapacitados. Por otro lado, las hojas de vida de docentes cumplen con el perfil y su vinculación es mediante contratos laborales</v>
          </cell>
          <cell r="S18" t="str">
            <v>Debe implementar un plan de mejoramiento con el fin de cumplir con los espacios que faltan</v>
          </cell>
          <cell r="T18" t="str">
            <v>Si</v>
          </cell>
          <cell r="U18" t="str">
            <v>Presentó plan de mejoramiento el 31 de julio de 2025, se encuentra para seguimiento</v>
          </cell>
        </row>
        <row r="19">
          <cell r="A19">
            <v>2402</v>
          </cell>
          <cell r="B19"/>
          <cell r="C19" t="str">
            <v>TUNJUELITO</v>
          </cell>
          <cell r="D19" t="str">
            <v>PRIVADO</v>
          </cell>
          <cell r="E19" t="str">
            <v>Educación de Jóvenes y Adultos</v>
          </cell>
          <cell r="F19" t="str">
            <v>COLEGIO_BRITANICO</v>
          </cell>
          <cell r="G19" t="str">
            <v>COLEGIO BRITANICO</v>
          </cell>
          <cell r="H19" t="str">
            <v>Autoevaluación Institucional y Pruebas SABER 11</v>
          </cell>
          <cell r="I19" t="str">
            <v>SEGUIMIENTO_Y_SUPERVISIÓN.</v>
          </cell>
          <cell r="J19" t="str">
            <v>Proponer estrategias en la formulación, verificar su elaboración y realizar seguimiento semestral al desarrollo de  las acciones establecidas en los planes de mejoramiento por pruebas SABER 11 de los establecimientos de educación formal.</v>
          </cell>
          <cell r="K19" t="str">
            <v>SANDRA JAZMÍN BAQUERO CÓRDOBA</v>
          </cell>
          <cell r="L19" t="str">
            <v xml:space="preserve">SANDRA JAZMÍN BAQUERO CÓRDOBA
NELSON AUGUSTO CUBILLOS OLARTE
CLAUDIA PATRICIA GRANADOS FLÓREZ
</v>
          </cell>
          <cell r="M19">
            <v>45744</v>
          </cell>
          <cell r="N19">
            <v>45821</v>
          </cell>
          <cell r="O19">
            <v>45821</v>
          </cell>
          <cell r="P19" t="str">
            <v>Visitas de evaluación con fines de seguimiento</v>
          </cell>
          <cell r="Q19" t="str">
            <v>COLEGIO BRITANICO 13-6-2025_250617_07543317062025.pdf</v>
          </cell>
          <cell r="R19" t="str">
            <v>Socializaron en acta de consejo Académico y Consejo Directivo el resultado de las pruebas saber pero no implementaron plan de mejoramiento</v>
          </cell>
          <cell r="S19" t="str">
            <v>Debe implementar plan de mejoramiento con base en el resultado de las pruebas saber</v>
          </cell>
          <cell r="T19" t="str">
            <v>Si</v>
          </cell>
          <cell r="U19" t="str">
            <v>Presentó plan de mejoramiento el 31 de julio de 2025, se encuentra para seguimiento</v>
          </cell>
        </row>
        <row r="20">
          <cell r="A20">
            <v>2403</v>
          </cell>
          <cell r="B20"/>
          <cell r="C20" t="str">
            <v>TUNJUELITO</v>
          </cell>
          <cell r="D20" t="str">
            <v>PRIVADO</v>
          </cell>
          <cell r="E20" t="str">
            <v>Educación de Jóvenes y Adultos</v>
          </cell>
          <cell r="F20" t="str">
            <v>COLEGIO_BRITANICO</v>
          </cell>
          <cell r="G20" t="str">
            <v>COLEGIO BRITANICO</v>
          </cell>
          <cell r="H20" t="str">
            <v>Autoevaluación Institucional y Pruebas SABER 11</v>
          </cell>
          <cell r="I20" t="str">
            <v>SEGUIMIENTO_Y_SUPERVISIÓN.</v>
          </cell>
          <cell r="J20" t="str">
            <v xml:space="preserve">Verificar la implementación por parte de los colegios, de acciones realizadas para la prevención y atención de las situaciones de convivencia en el entorno escolar, según lo establecido en la Directiva 01 de 2022 del MEN. </v>
          </cell>
          <cell r="K20" t="str">
            <v>SANDRA JAZMÍN BAQUERO CÓRDOBA</v>
          </cell>
          <cell r="L20" t="str">
            <v xml:space="preserve">SANDRA JAZMÍN BAQUERO CÓRDOBA
NELSON AUGUSTO CUBILLOS OLARTE
CLAUDIA PATRICIA GRANADOS FLÓREZ
</v>
          </cell>
          <cell r="M20">
            <v>45744</v>
          </cell>
          <cell r="N20">
            <v>45821</v>
          </cell>
          <cell r="O20">
            <v>45821</v>
          </cell>
          <cell r="P20" t="str">
            <v>Visitas de evaluación con fines de seguimiento</v>
          </cell>
          <cell r="Q20" t="str">
            <v>COLEGIO BRITANICO 13-6-2025_250617_07543317062025.pdf</v>
          </cell>
          <cell r="R20" t="str">
            <v>Realizan la verificación de los antecedentes de los docentes cada cuatro meses pero falta implementar acciones de promoción y prevención para prevenir la violencia sevual en el Comité de conviencia</v>
          </cell>
          <cell r="S20" t="str">
            <v>Deben implementar acciones de promoción y prevención desde el Comité de Convivencia</v>
          </cell>
          <cell r="T20" t="str">
            <v>Si</v>
          </cell>
          <cell r="U20" t="str">
            <v>Presentó plan de mejoramiento el 31 de julio de 2025, se encuentra para seguimiento</v>
          </cell>
        </row>
        <row r="21">
          <cell r="A21">
            <v>2404</v>
          </cell>
          <cell r="B21"/>
          <cell r="C21" t="str">
            <v>TUNJUELITO</v>
          </cell>
          <cell r="D21" t="str">
            <v>PRIVADO</v>
          </cell>
          <cell r="E21" t="str">
            <v>Educación de Jóvenes y Adultos</v>
          </cell>
          <cell r="F21" t="str">
            <v>COLEGIO_BRITANICO</v>
          </cell>
          <cell r="G21" t="str">
            <v>COLEGIO BRITANICO</v>
          </cell>
          <cell r="H21" t="str">
            <v>Autoevaluación Institucional y Pruebas SABER 11</v>
          </cell>
          <cell r="I21" t="str">
            <v>SEGUIMIENTO_Y_SUPERVISIÓN.</v>
          </cell>
          <cell r="J2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1" t="str">
            <v>SANDRA JAZMÍN BAQUERO CÓRDOBA</v>
          </cell>
          <cell r="L21" t="str">
            <v xml:space="preserve">SANDRA JAZMÍN BAQUERO CÓRDOBA
NELSON AUGUSTO CUBILLOS OLARTE
CLAUDIA PATRICIA GRANADOS FLÓREZ
</v>
          </cell>
          <cell r="M21">
            <v>45744</v>
          </cell>
          <cell r="N21">
            <v>45821</v>
          </cell>
          <cell r="O21">
            <v>45821</v>
          </cell>
          <cell r="P21" t="str">
            <v>Visitas de evaluación con fines de seguimiento</v>
          </cell>
          <cell r="Q21" t="str">
            <v>COLEGIO BRITANICO 13-6-2025_250617_07543317062025.pdf</v>
          </cell>
          <cell r="R21" t="str">
            <v>Aunque realizan el seguimiento a los estudiantes con discapacidad no todos los PIAR se encuentran en el formato oficial y no todos están firmados</v>
          </cell>
          <cell r="S21" t="str">
            <v>Deben utilizar el formato oficial  y debe estar debidamente firmado</v>
          </cell>
          <cell r="T21" t="str">
            <v>Si</v>
          </cell>
          <cell r="U21" t="str">
            <v>Presentó plan de mejoramiento el 31 de julio de 2025, se encuentra para seguimiento</v>
          </cell>
        </row>
        <row r="22">
          <cell r="A22">
            <v>2405</v>
          </cell>
          <cell r="B22"/>
          <cell r="C22" t="str">
            <v>TUNJUELITO</v>
          </cell>
          <cell r="D22" t="str">
            <v>PRIVADO</v>
          </cell>
          <cell r="E22" t="str">
            <v>Educación de Jóvenes y Adultos</v>
          </cell>
          <cell r="F22" t="str">
            <v>COLEGIO_BRITANICO</v>
          </cell>
          <cell r="G22" t="str">
            <v>COLEGIO BRITANICO</v>
          </cell>
          <cell r="H22" t="str">
            <v>Autoevaluación Institucional y Pruebas SABER 11</v>
          </cell>
          <cell r="I22" t="str">
            <v>EVALUACIÓN_CON_FINES_DE_MEJORAMIENTO.</v>
          </cell>
          <cell r="J2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2" t="str">
            <v>SANDRA JAZMÍN BAQUERO CÓRDOBA</v>
          </cell>
          <cell r="L22" t="str">
            <v xml:space="preserve">SANDRA JAZMÍN BAQUERO CÓRDOBA
NELSON AUGUSTO CUBILLOS OLARTE
CLAUDIA PATRICIA GRANADOS FLÓREZ
</v>
          </cell>
          <cell r="M22">
            <v>45744</v>
          </cell>
          <cell r="N22">
            <v>45821</v>
          </cell>
          <cell r="O22">
            <v>45821</v>
          </cell>
          <cell r="P22" t="str">
            <v>Visitas de evaluación con fines de mejoramiento</v>
          </cell>
          <cell r="Q22" t="str">
            <v>COLEGIO BRITANICO 13-6-2025_250617_07543317062025.pdf</v>
          </cell>
          <cell r="R22" t="str">
            <v>Se encontró que enuncia el enfoque restaurativo, pero no lo desarrolla al igual que los demás enfoques y en cuanto al debido proceso no establece los recursos de ley ni especifica los pasos con claridad</v>
          </cell>
          <cell r="S22" t="str">
            <v xml:space="preserve">Debe actualizar el manual de convivencia implementado los diferentes enfoques y el debido proceso </v>
          </cell>
          <cell r="T22" t="str">
            <v>Si</v>
          </cell>
          <cell r="U22" t="str">
            <v>Presentó plan de mejoramiento el 31 de julio de 2025, se encuentra para seguimiento</v>
          </cell>
        </row>
        <row r="23">
          <cell r="A23">
            <v>2406</v>
          </cell>
          <cell r="B23"/>
          <cell r="C23" t="str">
            <v>TUNJUELITO</v>
          </cell>
          <cell r="D23" t="str">
            <v>PRIVADO</v>
          </cell>
          <cell r="E23" t="str">
            <v>Educación de Jóvenes y Adultos</v>
          </cell>
          <cell r="F23" t="str">
            <v>COLEGIO_BRITANICO</v>
          </cell>
          <cell r="G23" t="str">
            <v>COLEGIO BRITANICO</v>
          </cell>
          <cell r="H23" t="str">
            <v>Autoevaluación Institucional y Pruebas SABER 11</v>
          </cell>
          <cell r="I23" t="str">
            <v>EVALUACIÓN_CON_FINES_DE_MEJORAMIENTO.</v>
          </cell>
          <cell r="J23" t="str">
            <v>Revisar la actualización, socialización e implementación del Sistema Institucional de Evaluación de Estudiantes - SIEE, en articulación con la actualización del PEI y la normatividad vigente.</v>
          </cell>
          <cell r="K23" t="str">
            <v>SANDRA JAZMÍN BAQUERO CÓRDOBA</v>
          </cell>
          <cell r="L23" t="str">
            <v xml:space="preserve">SANDRA JAZMÍN BAQUERO CÓRDOBA
NELSON AUGUSTO CUBILLOS OLARTE
CLAUDIA PATRICIA GRANADOS FLÓREZ
</v>
          </cell>
          <cell r="M23">
            <v>45744</v>
          </cell>
          <cell r="N23">
            <v>45821</v>
          </cell>
          <cell r="O23">
            <v>45821</v>
          </cell>
          <cell r="P23" t="str">
            <v>Visitas de evaluación con fines de mejoramiento</v>
          </cell>
          <cell r="Q23" t="str">
            <v>COLEGIO BRITANICO 13-6-2025_250617_07543317062025.pdf</v>
          </cell>
          <cell r="R23" t="str">
            <v>Se encontró que está debidamente socializado, pero debe incluir las comisiones de  evaluación y promoción que se encuentran funcionando pero no se incluye la conformación ni las funciones</v>
          </cell>
          <cell r="S23" t="str">
            <v>Debe incluir las comisiones de  evaluación y promoción que se encuentran funcionando pero no se incluye la conformación ni las funciones</v>
          </cell>
          <cell r="T23" t="str">
            <v>Si</v>
          </cell>
          <cell r="U23" t="str">
            <v>Presentó plan de mejoramiento el 31 de julio de 2025, se encuentra para seguimiento</v>
          </cell>
        </row>
        <row r="24">
          <cell r="A24">
            <v>2407</v>
          </cell>
          <cell r="B24"/>
          <cell r="C24" t="str">
            <v>TUNJUELITO</v>
          </cell>
          <cell r="D24" t="str">
            <v>PRIVADO</v>
          </cell>
          <cell r="E24" t="str">
            <v>Educación de Jóvenes y Adultos</v>
          </cell>
          <cell r="F24" t="str">
            <v>COLEGIO_BRITANICO</v>
          </cell>
          <cell r="G24" t="str">
            <v>COLEGIO BRITANICO</v>
          </cell>
          <cell r="H24" t="str">
            <v>Autoevaluación Institucional y Pruebas SABER 11</v>
          </cell>
          <cell r="I24" t="str">
            <v>EVALUACIÓN_CON_FINES_DE_MEJORAMIENTO.</v>
          </cell>
          <cell r="J24" t="str">
            <v>Revisar el calendario escolar, jornada escolar, la intensidad horaria mínima anual en cada nivel y las modificaciones que se realicen al mismo, de acuerdo con lo previsto en la normatividad vigente.</v>
          </cell>
          <cell r="K24" t="str">
            <v>SANDRA JAZMÍN BAQUERO CÓRDOBA</v>
          </cell>
          <cell r="L24" t="str">
            <v xml:space="preserve">SANDRA JAZMÍN BAQUERO CÓRDOBA
NELSON AUGUSTO CUBILLOS OLARTE
CLAUDIA PATRICIA GRANADOS FLÓREZ
</v>
          </cell>
          <cell r="M24">
            <v>45744</v>
          </cell>
          <cell r="N24">
            <v>45821</v>
          </cell>
          <cell r="O24">
            <v>45821</v>
          </cell>
          <cell r="P24" t="str">
            <v>Visitas de evaluación con fines de mejoramiento</v>
          </cell>
          <cell r="Q24" t="str">
            <v>COLEGIO BRITANICO 13-6-2025_250617_07543317062025.pdf</v>
          </cell>
          <cell r="R24" t="str">
            <v>Se encontró que el calendario cumple con lo establecido en la normatividad vigente</v>
          </cell>
          <cell r="S24" t="str">
            <v>Debe presentar el calendario para la próxima vigencia</v>
          </cell>
          <cell r="T24" t="str">
            <v>No</v>
          </cell>
          <cell r="U24" t="str">
            <v>Se revisará el calendario en el año 2026</v>
          </cell>
        </row>
        <row r="25">
          <cell r="A25">
            <v>2408</v>
          </cell>
          <cell r="B25"/>
          <cell r="C25" t="str">
            <v>TUNJUELITO</v>
          </cell>
          <cell r="D25" t="str">
            <v>PRIVADO</v>
          </cell>
          <cell r="E25" t="str">
            <v>Educación de Jóvenes y Adultos</v>
          </cell>
          <cell r="F25" t="str">
            <v>COLEGIO_BRITANICO</v>
          </cell>
          <cell r="G25" t="str">
            <v>COLEGIO BRITANICO</v>
          </cell>
          <cell r="H25" t="str">
            <v>Autoevaluación Institucional y Pruebas SABER 11</v>
          </cell>
          <cell r="I25" t="str">
            <v>EVALUACIÓN_CON_FINES_DE_MEJORAMIENTO.</v>
          </cell>
          <cell r="J25" t="str">
            <v>Verificar el funcionamiento del Gobierno Escolar e instancias de participación con base en la información sobre conformación reportada por la institución educativa.</v>
          </cell>
          <cell r="K25" t="str">
            <v>SANDRA JAZMÍN BAQUERO CÓRDOBA</v>
          </cell>
          <cell r="L25" t="str">
            <v xml:space="preserve">SANDRA JAZMÍN BAQUERO CÓRDOBA
NELSON AUGUSTO CUBILLOS OLARTE
CLAUDIA PATRICIA GRANADOS FLÓREZ
</v>
          </cell>
          <cell r="M25">
            <v>45744</v>
          </cell>
          <cell r="N25">
            <v>45821</v>
          </cell>
          <cell r="O25">
            <v>45821</v>
          </cell>
          <cell r="P25" t="str">
            <v>Visitas de evaluación con fines de mejoramiento</v>
          </cell>
          <cell r="Q25" t="str">
            <v>COLEGIO BRITANICO 13-6-2025_250617_07543317062025.pdf</v>
          </cell>
          <cell r="R25" t="str">
            <v>Se encontró que el Gobierno Escolar funciona (consejo diectivo y Consejo Académico), pero las instancias de participación no</v>
          </cell>
          <cell r="S25" t="str">
            <v>Debe citar reunión de Consejo de Padres, Consejo de estudiantes y dejar las evidencias de las escuelas de padres</v>
          </cell>
          <cell r="T25" t="str">
            <v>Si</v>
          </cell>
          <cell r="U25" t="str">
            <v>Presentó plan de mejoramiento el 31 de julio de 2025, se encuentra para seguimiento</v>
          </cell>
        </row>
        <row r="26">
          <cell r="A26">
            <v>2409</v>
          </cell>
          <cell r="B26"/>
          <cell r="C26" t="str">
            <v>TUNJUELITO</v>
          </cell>
          <cell r="D26" t="str">
            <v>PRIVADO</v>
          </cell>
          <cell r="E26" t="str">
            <v>Educación de Jóvenes y Adultos</v>
          </cell>
          <cell r="F26" t="str">
            <v>COLEGIO_BRITANICO</v>
          </cell>
          <cell r="G26" t="str">
            <v>COLEGIO BRITANICO</v>
          </cell>
          <cell r="H26" t="str">
            <v>Autoevaluación Institucional y Pruebas SABER 11</v>
          </cell>
          <cell r="I26" t="str">
            <v>EVALUACIÓN_CON_FINES_DE_MEJORAMIENTO.</v>
          </cell>
          <cell r="J26" t="str">
            <v>Verificar las condiciones en cuanto a: la estructura administrativa, condiciones de la planta física y medios educativos adecuados.</v>
          </cell>
          <cell r="K26" t="str">
            <v>SANDRA JAZMÍN BAQUERO CÓRDOBA</v>
          </cell>
          <cell r="L26" t="str">
            <v xml:space="preserve">SANDRA JAZMÍN BAQUERO CÓRDOBA
NELSON AUGUSTO CUBILLOS OLARTE
CLAUDIA PATRICIA GRANADOS FLÓREZ
</v>
          </cell>
          <cell r="M26">
            <v>45744</v>
          </cell>
          <cell r="N26">
            <v>45821</v>
          </cell>
          <cell r="O26">
            <v>45821</v>
          </cell>
          <cell r="P26" t="str">
            <v>Visitas de evaluación con fines de mejoramiento</v>
          </cell>
          <cell r="Q26" t="str">
            <v>COLEGIO BRITANICO 13-6-2025_250617_07543317062025.pdf</v>
          </cell>
          <cell r="R26" t="str">
            <v>El colegio no cuenta con acceso a la población con discapacidad, no tiene laboratorios, ni espacio para orientación escolar, tiene una biblioteca incipiente que debe organizar</v>
          </cell>
          <cell r="S26" t="str">
            <v>Debe realizar un plan de mejora que contemple los espacios que le hacen falta</v>
          </cell>
          <cell r="T26" t="str">
            <v>Si</v>
          </cell>
          <cell r="U26" t="str">
            <v>Presentó plan de mejoramiento el 31 de julio de 2025, se encuentra para seguimiento</v>
          </cell>
        </row>
        <row r="27">
          <cell r="A27">
            <v>2412</v>
          </cell>
          <cell r="B27">
            <v>3</v>
          </cell>
          <cell r="C27" t="str">
            <v>TUNJUELITO</v>
          </cell>
          <cell r="D27" t="str">
            <v>PRIVADO</v>
          </cell>
          <cell r="E27" t="str">
            <v>EPBM</v>
          </cell>
          <cell r="F27" t="str">
            <v>COLEGIO_COOPERATIVO_NUEVO_MUZU</v>
          </cell>
          <cell r="G27" t="str">
            <v>COLEGIO COOPERATIVO NUEVO MUZU</v>
          </cell>
          <cell r="H27" t="str">
            <v>Autoevaluación Institucional y Pruebas SABER 11</v>
          </cell>
          <cell r="I27" t="str">
            <v>SEGUIMIENTO_Y_SUPERVISIÓN.</v>
          </cell>
          <cell r="J27" t="str">
            <v xml:space="preserve">Verificar la implementación por parte de los colegios, de acciones realizadas para la prevención y atención de las situaciones de convivencia en el entorno escolar, según lo establecido en la Directiva 01 de 2022 del MEN. </v>
          </cell>
          <cell r="K27" t="str">
            <v>NELSON AUGUSTO CUBILLOS OLARTE</v>
          </cell>
          <cell r="L27" t="str">
            <v>SANDRA JAZMÍN BAQUERO CÓRDOBA</v>
          </cell>
          <cell r="M27">
            <v>45798</v>
          </cell>
          <cell r="N27">
            <v>45863</v>
          </cell>
          <cell r="O27">
            <v>45863</v>
          </cell>
          <cell r="P27" t="str">
            <v>Visitas de evaluación con fines de seguimiento</v>
          </cell>
          <cell r="Q27" t="str">
            <v>V.5 FORMATO VISITAS CON FINES DE MEJORAMIENTO-COOPERATIVO NUEVO MUZU 25072025.xlsx</v>
          </cell>
          <cell r="R27" t="str">
            <v>Se evidencia que se realizan las verificaciones de Antecedentes de inhabilidades por delitos sexuales de todos los docentes y administrativos, aunque no cuenta con profesional de orientación dedicado.</v>
          </cell>
          <cell r="S27" t="str">
            <v>Se debe estructurar plan de mejora con la inclusión de la orientación y los proceso de planeación de las jornadas pedagógicas.</v>
          </cell>
          <cell r="T27" t="str">
            <v>Si</v>
          </cell>
          <cell r="U27" t="str">
            <v>Realizar seguimiento al plan de mejoramiento que estará presentando el 30 de septiembre</v>
          </cell>
        </row>
        <row r="28">
          <cell r="A28">
            <v>2413</v>
          </cell>
          <cell r="B28"/>
          <cell r="C28" t="str">
            <v>TUNJUELITO</v>
          </cell>
          <cell r="D28" t="str">
            <v>PRIVADO</v>
          </cell>
          <cell r="E28" t="str">
            <v>EPBM</v>
          </cell>
          <cell r="F28" t="str">
            <v>COLEGIO_COOPERATIVO_NUEVO_MUZU</v>
          </cell>
          <cell r="G28" t="str">
            <v>COLEGIO COOPERATIVO NUEVO MUZU</v>
          </cell>
          <cell r="H28" t="str">
            <v>Autoevaluación Institucional y Pruebas SABER 11</v>
          </cell>
          <cell r="I28" t="str">
            <v>SEGUIMIENTO_Y_SUPERVISIÓN.</v>
          </cell>
          <cell r="J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 t="str">
            <v>NELSON AUGUSTO CUBILLOS OLARTE</v>
          </cell>
          <cell r="L28" t="str">
            <v>SANDRA JAZMÍN BAQUERO CÓRDOBA</v>
          </cell>
          <cell r="M28">
            <v>45798</v>
          </cell>
          <cell r="N28">
            <v>45863</v>
          </cell>
          <cell r="O28">
            <v>45863</v>
          </cell>
          <cell r="P28" t="str">
            <v>Visitas de evaluación con fines de seguimiento</v>
          </cell>
          <cell r="Q28" t="str">
            <v>V.5 FORMATO VISITAS CON FINES DE MEJORAMIENTO-COOPERATIVO NUEVO MUZU 25072025.xlsx</v>
          </cell>
          <cell r="R28" t="str">
            <v>La institución cuenta con los planes de ajustes razonables elaborados  en el formato oficial del MEN .</v>
          </cell>
          <cell r="S28" t="str">
            <v>Atender las orientaciones sobre el establecimiento de las barreras y velar por que todos lo planes se encuentren firmados por los intervinientes.</v>
          </cell>
          <cell r="T28" t="str">
            <v>No</v>
          </cell>
          <cell r="U28" t="str">
            <v>Se realiza seguimiento documental el año entrante aleatoriamente a  algunos planes.</v>
          </cell>
        </row>
        <row r="29">
          <cell r="A29">
            <v>2414</v>
          </cell>
          <cell r="B29"/>
          <cell r="C29" t="str">
            <v>TUNJUELITO</v>
          </cell>
          <cell r="D29" t="str">
            <v>PRIVADO</v>
          </cell>
          <cell r="E29" t="str">
            <v>EPBM</v>
          </cell>
          <cell r="F29" t="str">
            <v>COLEGIO_COOPERATIVO_NUEVO_MUZU</v>
          </cell>
          <cell r="G29" t="str">
            <v>COLEGIO COOPERATIVO NUEVO MUZU</v>
          </cell>
          <cell r="H29" t="str">
            <v>Autoevaluación Institucional y Pruebas SABER 11</v>
          </cell>
          <cell r="I29" t="str">
            <v>EVALUACIÓN_CON_FINES_DE_MEJORAMIENTO.</v>
          </cell>
          <cell r="J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9" t="str">
            <v>NELSON AUGUSTO CUBILLOS OLARTE</v>
          </cell>
          <cell r="L29" t="str">
            <v>SANDRA JAZMÍN BAQUERO CÓRDOBA</v>
          </cell>
          <cell r="M29">
            <v>45798</v>
          </cell>
          <cell r="N29">
            <v>45863</v>
          </cell>
          <cell r="O29">
            <v>45863</v>
          </cell>
          <cell r="P29" t="str">
            <v>Visitas de evaluación con fines de mejoramiento</v>
          </cell>
          <cell r="Q29" t="str">
            <v>V.5 FORMATO VISITAS CON FINES DE MEJORAMIENTO-COOPERATIVO NUEVO MUZU 25072025.xlsx</v>
          </cell>
          <cell r="R29" t="str">
            <v>El Manual se construyó de acuerdo con la normatividad vigente y en la garantía de los derechos de los estudiantes.</v>
          </cell>
          <cell r="S29" t="str">
            <v>Se encuentra en revisión con el instrumento DIV se realizarán las recomendaciones del caso</v>
          </cell>
          <cell r="T29" t="str">
            <v>No</v>
          </cell>
          <cell r="U29" t="str">
            <v>Se realizarán recomendaciones una vez culmine la revisión a profundidad</v>
          </cell>
        </row>
        <row r="30">
          <cell r="A30">
            <v>2415</v>
          </cell>
          <cell r="B30"/>
          <cell r="C30" t="str">
            <v>TUNJUELITO</v>
          </cell>
          <cell r="D30" t="str">
            <v>PRIVADO</v>
          </cell>
          <cell r="E30" t="str">
            <v>EPBM</v>
          </cell>
          <cell r="F30" t="str">
            <v>COLEGIO_COOPERATIVO_NUEVO_MUZU</v>
          </cell>
          <cell r="G30" t="str">
            <v>COLEGIO COOPERATIVO NUEVO MUZU</v>
          </cell>
          <cell r="H30" t="str">
            <v>Autoevaluación Institucional y Pruebas SABER 11</v>
          </cell>
          <cell r="I30" t="str">
            <v>EVALUACIÓN_CON_FINES_DE_MEJORAMIENTO.</v>
          </cell>
          <cell r="J30" t="str">
            <v>Revisar la actualización, socialización e implementación del Sistema Institucional de Evaluación de Estudiantes - SIEE, en articulación con la actualización del PEI y la normatividad vigente.</v>
          </cell>
          <cell r="K30" t="str">
            <v>NELSON AUGUSTO CUBILLOS OLARTE</v>
          </cell>
          <cell r="L30" t="str">
            <v>SANDRA JAZMÍN BAQUERO CÓRDOBA</v>
          </cell>
          <cell r="M30">
            <v>45798</v>
          </cell>
          <cell r="N30">
            <v>45863</v>
          </cell>
          <cell r="O30">
            <v>45863</v>
          </cell>
          <cell r="P30" t="str">
            <v>Visitas de evaluación con fines de mejoramiento</v>
          </cell>
          <cell r="Q30" t="str">
            <v>V.5 FORMATO VISITAS CON FINES DE MEJORAMIENTO-COOPERATIVO NUEVO MUZU 25072025.xlsx</v>
          </cell>
          <cell r="R30" t="str">
            <v>El Sistema Institucional de Evaluación de los Estudiantes, se encuentra debidamente adoptado y actualizado de acuerdo con el PEI vigente de la institución.</v>
          </cell>
          <cell r="S30" t="str">
            <v>Continuar realizando las acciones correspondientes al SIE.</v>
          </cell>
          <cell r="T30" t="str">
            <v>No</v>
          </cell>
          <cell r="U30" t="str">
            <v>Se realizará revisión documental el año siguiente.</v>
          </cell>
        </row>
        <row r="31">
          <cell r="A31">
            <v>2416</v>
          </cell>
          <cell r="B31"/>
          <cell r="C31" t="str">
            <v>TUNJUELITO</v>
          </cell>
          <cell r="D31" t="str">
            <v>PRIVADO</v>
          </cell>
          <cell r="E31" t="str">
            <v>EPBM</v>
          </cell>
          <cell r="F31" t="str">
            <v>COLEGIO_COOPERATIVO_NUEVO_MUZU</v>
          </cell>
          <cell r="G31" t="str">
            <v>COLEGIO COOPERATIVO NUEVO MUZU</v>
          </cell>
          <cell r="H31" t="str">
            <v>Autoevaluación Institucional y Pruebas SABER 11</v>
          </cell>
          <cell r="I31" t="str">
            <v>EVALUACIÓN_CON_FINES_DE_MEJORAMIENTO.</v>
          </cell>
          <cell r="J31" t="str">
            <v>Revisar el calendario escolar, jornada escolar, la intensidad horaria mínima anual en cada nivel y las modificaciones que se realicen al mismo, de acuerdo con lo previsto en la normatividad vigente.</v>
          </cell>
          <cell r="K31" t="str">
            <v>NELSON AUGUSTO CUBILLOS OLARTE</v>
          </cell>
          <cell r="L31" t="str">
            <v>SANDRA JAZMÍN BAQUERO CÓRDOBA</v>
          </cell>
          <cell r="M31">
            <v>45798</v>
          </cell>
          <cell r="N31">
            <v>45863</v>
          </cell>
          <cell r="O31">
            <v>45863</v>
          </cell>
          <cell r="P31" t="str">
            <v>Visitas de evaluación con fines de mejoramiento</v>
          </cell>
          <cell r="Q31" t="str">
            <v>V.5 FORMATO VISITAS CON FINES DE MEJORAMIENTO-COOPERATIVO NUEVO MUZU 25072025.xlsx</v>
          </cell>
          <cell r="R31" t="str">
            <v xml:space="preserve">La institución se encuentra ejecutando el calendario de acuerdo con la normatividad vigente garantizando el numero de horas lectivaspara cada uno de los niveles, </v>
          </cell>
          <cell r="S31" t="str">
            <v>Continuar con la ejecución del calendario de acuerdo con lo planeado</v>
          </cell>
          <cell r="T31" t="str">
            <v>No</v>
          </cell>
          <cell r="U31" t="str">
            <v>Se realiza verificación documental del calendario el año siguiente.</v>
          </cell>
        </row>
        <row r="32">
          <cell r="A32">
            <v>2417</v>
          </cell>
          <cell r="B32"/>
          <cell r="C32" t="str">
            <v>TUNJUELITO</v>
          </cell>
          <cell r="D32" t="str">
            <v>PRIVADO</v>
          </cell>
          <cell r="E32" t="str">
            <v>EPBM</v>
          </cell>
          <cell r="F32" t="str">
            <v>COLEGIO_COOPERATIVO_NUEVO_MUZU</v>
          </cell>
          <cell r="G32" t="str">
            <v>COLEGIO COOPERATIVO NUEVO MUZU</v>
          </cell>
          <cell r="H32" t="str">
            <v>Autoevaluación Institucional y Pruebas SABER 11</v>
          </cell>
          <cell r="I32" t="str">
            <v>EVALUACIÓN_CON_FINES_DE_MEJORAMIENTO.</v>
          </cell>
          <cell r="J32" t="str">
            <v>Verificar el funcionamiento del Gobierno Escolar e instancias de participación con base en la información sobre conformación reportada por la institución educativa.</v>
          </cell>
          <cell r="K32" t="str">
            <v>NELSON AUGUSTO CUBILLOS OLARTE</v>
          </cell>
          <cell r="L32" t="str">
            <v>SANDRA JAZMÍN BAQUERO CÓRDOBA</v>
          </cell>
          <cell r="M32">
            <v>45798</v>
          </cell>
          <cell r="N32">
            <v>45863</v>
          </cell>
          <cell r="O32">
            <v>45863</v>
          </cell>
          <cell r="P32" t="str">
            <v>Visitas de evaluación con fines de mejoramiento</v>
          </cell>
          <cell r="Q32" t="str">
            <v>V.5 FORMATO VISITAS CON FINES DE MEJORAMIENTO-COOPERATIVO NUEVO MUZU 25072025.xlsx</v>
          </cell>
          <cell r="R32" t="str">
            <v>La institución cumplió en los tiempos determinados con el reporte de la constitución de los organos del gobierno escolar y demas organos de participación, los cuales se encuentran operando.</v>
          </cell>
          <cell r="S32" t="str">
            <v>Continuar con el desarrollo de las sesiones de los organos siguiendo las orientaciones adicionales realizadas.</v>
          </cell>
          <cell r="T32" t="str">
            <v>No</v>
          </cell>
          <cell r="U32" t="str">
            <v>Se realizará revisión documental el año siguiente.</v>
          </cell>
        </row>
        <row r="33">
          <cell r="A33">
            <v>2418</v>
          </cell>
          <cell r="B33"/>
          <cell r="C33" t="str">
            <v>TUNJUELITO</v>
          </cell>
          <cell r="D33" t="str">
            <v>PRIVADO</v>
          </cell>
          <cell r="E33" t="str">
            <v>EPBM</v>
          </cell>
          <cell r="F33" t="str">
            <v>COLEGIO_COOPERATIVO_NUEVO_MUZU</v>
          </cell>
          <cell r="G33" t="str">
            <v>COLEGIO COOPERATIVO NUEVO MUZU</v>
          </cell>
          <cell r="H33" t="str">
            <v>Autoevaluación Institucional y Pruebas SABER 11</v>
          </cell>
          <cell r="I33" t="str">
            <v>EVALUACIÓN_CON_FINES_DE_MEJORAMIENTO.</v>
          </cell>
          <cell r="J33" t="str">
            <v>Verificar las condiciones en cuanto a: la estructura administrativa, condiciones de la planta física y medios educativos adecuados.</v>
          </cell>
          <cell r="K33" t="str">
            <v>NELSON AUGUSTO CUBILLOS OLARTE</v>
          </cell>
          <cell r="L33" t="str">
            <v>SANDRA JAZMÍN BAQUERO CÓRDOBA</v>
          </cell>
          <cell r="M33">
            <v>45798</v>
          </cell>
          <cell r="N33">
            <v>45863</v>
          </cell>
          <cell r="O33">
            <v>45863</v>
          </cell>
          <cell r="P33" t="str">
            <v>Visitas de evaluación con fines de mejoramiento</v>
          </cell>
          <cell r="Q33" t="str">
            <v>V.5 FORMATO VISITAS CON FINES DE MEJORAMIENTO-COOPERATIVO NUEVO MUZU 25072025.xlsx</v>
          </cell>
          <cell r="R33" t="str">
            <v>La institución cuenta con la infraestructura necesaria para la prestación de los servicios educativos se debe revisar en los espacios la estructuración de un  baño para discapacitados con movilidad reducida</v>
          </cell>
          <cell r="S33" t="str">
            <v>Realizar el proyecto de estructuración del baño para personas con movilidad reducida.</v>
          </cell>
          <cell r="T33" t="str">
            <v>Si</v>
          </cell>
          <cell r="U33" t="str">
            <v>SE verificará el Plan de mejoramiento en ese aspecto y se realizará el seguimiento respectivo.</v>
          </cell>
        </row>
        <row r="34">
          <cell r="A34">
            <v>2419</v>
          </cell>
          <cell r="B34">
            <v>4</v>
          </cell>
          <cell r="C34" t="str">
            <v>TUNJUELITO</v>
          </cell>
          <cell r="D34" t="str">
            <v>PRIVADO</v>
          </cell>
          <cell r="E34" t="str">
            <v>EPBM</v>
          </cell>
          <cell r="F34" t="str">
            <v>COLEGIO_COOPERATIVO_VENECIA</v>
          </cell>
          <cell r="G34" t="str">
            <v>COLEGIO COOPERATIVO VENECIA</v>
          </cell>
          <cell r="H34" t="str">
            <v>Autoevaluación Institucional y Pruebas SABER 11</v>
          </cell>
          <cell r="I34" t="str">
            <v>SEGUIMIENTO_Y_SUPERVISIÓN.</v>
          </cell>
          <cell r="J34" t="str">
            <v>Realizar visitas para verificar la información registrada sobre la autoevaluación institucional en el aplicativo EVI, a los establecimientos de educación formal no oficial.</v>
          </cell>
          <cell r="K34" t="str">
            <v>CLAUDIA PATRICIA GRANADOS FLÓREZ</v>
          </cell>
          <cell r="L34" t="str">
            <v xml:space="preserve">SANDRA JAZMÍN BAQUERO CÓRDOBA
NELSON AUGUSTO CUBILLOS OLARTE
CLAUDIA PATRICIA GRANADOS FLÓREZ
</v>
          </cell>
          <cell r="M34">
            <v>45817</v>
          </cell>
          <cell r="N34">
            <v>45824</v>
          </cell>
          <cell r="O34">
            <v>45824</v>
          </cell>
          <cell r="P34" t="str">
            <v>Visitas de evaluación con fines de seguimiento</v>
          </cell>
          <cell r="Q34" t="str">
            <v>ACTA VISITA COL COOPERATIVO VENECIA 16062025.pdf</v>
          </cell>
          <cell r="R34" t="str">
            <v>Se evidencia carencia de espacios en la infraestructura, ajustes para el PEI, curriculo, servicio social, orientación escolar,  manual de funciones,  etc.</v>
          </cell>
          <cell r="S34" t="str">
            <v>Presentación del PMI 14 de agosto de 2025</v>
          </cell>
          <cell r="T34" t="str">
            <v>Si</v>
          </cell>
          <cell r="U34" t="str">
            <v>Se revisara el plan de mejoramiento aportado para verificar su pertinencia y porsterior seguimiento para su cumplimiento</v>
          </cell>
        </row>
        <row r="35">
          <cell r="A35">
            <v>2420</v>
          </cell>
          <cell r="B35"/>
          <cell r="C35" t="str">
            <v>TUNJUELITO</v>
          </cell>
          <cell r="D35" t="str">
            <v>PRIVADO</v>
          </cell>
          <cell r="E35" t="str">
            <v>EPBM</v>
          </cell>
          <cell r="F35" t="str">
            <v>COLEGIO_COOPERATIVO_VENECIA</v>
          </cell>
          <cell r="G35" t="str">
            <v>COLEGIO COOPERATIVO VENECIA</v>
          </cell>
          <cell r="H35" t="str">
            <v>Autoevaluación Institucional y Pruebas SABER 11</v>
          </cell>
          <cell r="I35" t="str">
            <v>SEGUIMIENTO_Y_SUPERVISIÓN.</v>
          </cell>
          <cell r="J35" t="str">
            <v>Proponer estrategias en la formulación, verificar su elaboración y realizar seguimiento semestral al desarrollo de  las acciones establecidas en los planes de mejoramiento por pruebas SABER 11 de los establecimientos de educación formal.</v>
          </cell>
          <cell r="K35" t="str">
            <v>CLAUDIA PATRICIA GRANADOS FLÓREZ</v>
          </cell>
          <cell r="L35" t="str">
            <v xml:space="preserve">SANDRA JAZMÍN BAQUERO CÓRDOBA
NELSON AUGUSTO CUBILLOS OLARTE
CLAUDIA PATRICIA GRANADOS FLÓREZ
</v>
          </cell>
          <cell r="M35">
            <v>45817</v>
          </cell>
          <cell r="N35">
            <v>45793</v>
          </cell>
          <cell r="O35">
            <v>45824</v>
          </cell>
          <cell r="P35" t="str">
            <v>Visitas de evaluación con fines de seguimiento</v>
          </cell>
          <cell r="Q35" t="str">
            <v>ACTA VISITA COL COOPERATIVO VENECIA 16062025.pdf</v>
          </cell>
          <cell r="R35" t="str">
            <v>La Institucion esta clasificada en Categoria A. para el año 2024</v>
          </cell>
          <cell r="S35" t="str">
            <v>Continuidad en el seguimiento para mantener la categoria o superarla</v>
          </cell>
          <cell r="T35" t="str">
            <v>No</v>
          </cell>
          <cell r="U35" t="str">
            <v>Se verificará la  formulación para la siguiente vigencia o en caso de presentarse una queja</v>
          </cell>
        </row>
        <row r="36">
          <cell r="A36">
            <v>2421</v>
          </cell>
          <cell r="B36"/>
          <cell r="C36" t="str">
            <v>TUNJUELITO</v>
          </cell>
          <cell r="D36" t="str">
            <v>PRIVADO</v>
          </cell>
          <cell r="E36" t="str">
            <v>EPBM</v>
          </cell>
          <cell r="F36" t="str">
            <v>COLEGIO_COOPERATIVO_VENECIA</v>
          </cell>
          <cell r="G36" t="str">
            <v>COLEGIO COOPERATIVO VENECIA</v>
          </cell>
          <cell r="H36" t="str">
            <v>Autoevaluación Institucional y Pruebas SABER 11</v>
          </cell>
          <cell r="I36" t="str">
            <v>SEGUIMIENTO_Y_SUPERVISIÓN.</v>
          </cell>
          <cell r="J36" t="str">
            <v xml:space="preserve">Verificar la implementación por parte de los colegios, de acciones realizadas para la prevención y atención de las situaciones de convivencia en el entorno escolar, según lo establecido en la Directiva 01 de 2022 del MEN. </v>
          </cell>
          <cell r="K36" t="str">
            <v>CLAUDIA PATRICIA GRANADOS FLÓREZ</v>
          </cell>
          <cell r="L36" t="str">
            <v xml:space="preserve">SANDRA JAZMÍN BAQUERO CÓRDOBA
NELSON AUGUSTO CUBILLOS OLARTE
CLAUDIA PATRICIA GRANADOS FLÓREZ
</v>
          </cell>
          <cell r="M36">
            <v>45817</v>
          </cell>
          <cell r="N36">
            <v>45824</v>
          </cell>
          <cell r="O36">
            <v>45824</v>
          </cell>
          <cell r="P36" t="str">
            <v>Visitas de evaluación con fines de seguimiento</v>
          </cell>
          <cell r="Q36" t="str">
            <v>ACTA VISITA COL COOPERATIVO VENECIA 16062025.pdf</v>
          </cell>
          <cell r="R36" t="str">
            <v>Revisadas las carpetas de los docentes se evidencia la consulta realizada por la IE frente a los antecentes, en revision de manual de convivencia se hacen observaciones implementacion Ley 1620</v>
          </cell>
          <cell r="S36" t="str">
            <v>Se recomienda dejar las evidencias en carpetas y verificar todos los docentes</v>
          </cell>
          <cell r="T36" t="str">
            <v>No</v>
          </cell>
          <cell r="U36" t="str">
            <v>Se verificará la continuidad de su cumplimiento o en caso de presentarse una queja</v>
          </cell>
        </row>
        <row r="37">
          <cell r="A37">
            <v>2422</v>
          </cell>
          <cell r="B37"/>
          <cell r="C37" t="str">
            <v>TUNJUELITO</v>
          </cell>
          <cell r="D37" t="str">
            <v>PRIVADO</v>
          </cell>
          <cell r="E37" t="str">
            <v>EPBM</v>
          </cell>
          <cell r="F37" t="str">
            <v>COLEGIO_COOPERATIVO_VENECIA</v>
          </cell>
          <cell r="G37" t="str">
            <v>COLEGIO COOPERATIVO VENECIA</v>
          </cell>
          <cell r="H37" t="str">
            <v>Autoevaluación Institucional y Pruebas SABER 11</v>
          </cell>
          <cell r="I37" t="str">
            <v>SEGUIMIENTO_Y_SUPERVISIÓN.</v>
          </cell>
          <cell r="J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7" t="str">
            <v>CLAUDIA PATRICIA GRANADOS FLÓREZ</v>
          </cell>
          <cell r="L37" t="str">
            <v xml:space="preserve">SANDRA JAZMÍN BAQUERO CÓRDOBA
NELSON AUGUSTO CUBILLOS OLARTE
CLAUDIA PATRICIA GRANADOS FLÓREZ
</v>
          </cell>
          <cell r="M37">
            <v>45817</v>
          </cell>
          <cell r="N37">
            <v>45824</v>
          </cell>
          <cell r="O37">
            <v>45824</v>
          </cell>
          <cell r="P37" t="str">
            <v>Visitas de evaluación con fines de seguimiento</v>
          </cell>
          <cell r="Q37" t="str">
            <v>ACTA VISITA COL COOPERATIVO VENECIA 16062025.pdf</v>
          </cell>
          <cell r="R37" t="str">
            <v>Se evidenciala implementacion del 1421 y PIAR en las carpetas de cinco (5) estudiantes con discapacidad  registrados en aplicativo SIMAT  con el area de orientacion</v>
          </cell>
          <cell r="S37" t="str">
            <v>Se recomienda actualizar formatos MEN version 15</v>
          </cell>
          <cell r="T37" t="str">
            <v>No</v>
          </cell>
          <cell r="U37" t="str">
            <v>Se verificará la continuidad de su cumplimiento o en caso de presentarse una queja</v>
          </cell>
        </row>
        <row r="38">
          <cell r="A38">
            <v>2423</v>
          </cell>
          <cell r="B38"/>
          <cell r="C38" t="str">
            <v>TUNJUELITO</v>
          </cell>
          <cell r="D38" t="str">
            <v>PRIVADO</v>
          </cell>
          <cell r="E38" t="str">
            <v>EPBM</v>
          </cell>
          <cell r="F38" t="str">
            <v>COLEGIO_COOPERATIVO_VENECIA</v>
          </cell>
          <cell r="G38" t="str">
            <v>COLEGIO COOPERATIVO VENECIA</v>
          </cell>
          <cell r="H38" t="str">
            <v>Autoevaluación Institucional y Pruebas SABER 11</v>
          </cell>
          <cell r="I38" t="str">
            <v>EVALUACIÓN_CON_FINES_DE_MEJORAMIENTO.</v>
          </cell>
          <cell r="J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8" t="str">
            <v>CLAUDIA PATRICIA GRANADOS FLÓREZ</v>
          </cell>
          <cell r="L38" t="str">
            <v xml:space="preserve">SANDRA JAZMÍN BAQUERO CÓRDOBA
NELSON AUGUSTO CUBILLOS OLARTE
CLAUDIA PATRICIA GRANADOS FLÓREZ
</v>
          </cell>
          <cell r="M38">
            <v>45817</v>
          </cell>
          <cell r="N38">
            <v>45824</v>
          </cell>
          <cell r="O38">
            <v>45824</v>
          </cell>
          <cell r="P38" t="str">
            <v>Visitas de evaluación con fines de mejoramiento</v>
          </cell>
          <cell r="Q38" t="str">
            <v>ACTA VISITA COL COOPERATIVO VENECIA 16062025.pdf</v>
          </cell>
          <cell r="R38" t="str">
            <v>Revisado el manual de convivencia presentado por la IE Se encuentran novedades frente a aspectos como rutas de atencion., protocolos, de Ley 1620, decreto 1965, decreto 1421 , debido proceso entre otros,</v>
          </cell>
          <cell r="S38" t="str">
            <v>Presentación del PMI 14 de agosto de 2025</v>
          </cell>
          <cell r="T38" t="str">
            <v>Si</v>
          </cell>
          <cell r="U38" t="str">
            <v>Se revisara el plan de mejoramiento aportado para verificar su pertinencia y porsterior seguimiento para su cumplimiento</v>
          </cell>
        </row>
        <row r="39">
          <cell r="A39">
            <v>2424</v>
          </cell>
          <cell r="B39"/>
          <cell r="C39" t="str">
            <v>TUNJUELITO</v>
          </cell>
          <cell r="D39" t="str">
            <v>PRIVADO</v>
          </cell>
          <cell r="E39" t="str">
            <v>EPBM</v>
          </cell>
          <cell r="F39" t="str">
            <v>COLEGIO_COOPERATIVO_VENECIA</v>
          </cell>
          <cell r="G39" t="str">
            <v>COLEGIO COOPERATIVO VENECIA</v>
          </cell>
          <cell r="H39" t="str">
            <v>Autoevaluación Institucional y Pruebas SABER 11</v>
          </cell>
          <cell r="I39" t="str">
            <v>EVALUACIÓN_CON_FINES_DE_MEJORAMIENTO.</v>
          </cell>
          <cell r="J39" t="str">
            <v>Revisar la actualización, socialización e implementación del Sistema Institucional de Evaluación de Estudiantes - SIEE, en articulación con la actualización del PEI y la normatividad vigente.</v>
          </cell>
          <cell r="K39" t="str">
            <v>CLAUDIA PATRICIA GRANADOS FLÓREZ</v>
          </cell>
          <cell r="L39" t="str">
            <v xml:space="preserve">SANDRA JAZMÍN BAQUERO CÓRDOBA
NELSON AUGUSTO CUBILLOS OLARTE
CLAUDIA PATRICIA GRANADOS FLÓREZ
</v>
          </cell>
          <cell r="M39">
            <v>45817</v>
          </cell>
          <cell r="N39">
            <v>45824</v>
          </cell>
          <cell r="O39">
            <v>45824</v>
          </cell>
          <cell r="P39" t="str">
            <v>Visitas de evaluación con fines de mejoramiento</v>
          </cell>
          <cell r="Q39" t="str">
            <v>ACTA VISITA COL COOPERATIVO VENECIA 16062025.pdf</v>
          </cell>
          <cell r="R39" t="str">
            <v>Revisado el SIIE se encuentran novedades frente al contenido minimo frente al Decreto 1075 de 2015 antes decreto 1290</v>
          </cell>
          <cell r="S39" t="str">
            <v>Presentación del PMI 14 de agosto de 2025</v>
          </cell>
          <cell r="T39" t="str">
            <v>Si</v>
          </cell>
          <cell r="U39" t="str">
            <v>Se revisara el plan de mejoramiento aportado para verificar su pertinencia y porsterior seguimiento para su cumplimiento</v>
          </cell>
        </row>
        <row r="40">
          <cell r="A40">
            <v>2425</v>
          </cell>
          <cell r="B40"/>
          <cell r="C40" t="str">
            <v>TUNJUELITO</v>
          </cell>
          <cell r="D40" t="str">
            <v>PRIVADO</v>
          </cell>
          <cell r="E40" t="str">
            <v>EPBM</v>
          </cell>
          <cell r="F40" t="str">
            <v>COLEGIO_COOPERATIVO_VENECIA</v>
          </cell>
          <cell r="G40" t="str">
            <v>COLEGIO COOPERATIVO VENECIA</v>
          </cell>
          <cell r="H40" t="str">
            <v>Autoevaluación Institucional y Pruebas SABER 11</v>
          </cell>
          <cell r="I40" t="str">
            <v>EVALUACIÓN_CON_FINES_DE_MEJORAMIENTO.</v>
          </cell>
          <cell r="J40" t="str">
            <v>Revisar el calendario escolar, jornada escolar, la intensidad horaria mínima anual en cada nivel y las modificaciones que se realicen al mismo, de acuerdo con lo previsto en la normatividad vigente.</v>
          </cell>
          <cell r="K40" t="str">
            <v>CLAUDIA PATRICIA GRANADOS FLÓREZ</v>
          </cell>
          <cell r="L40" t="str">
            <v xml:space="preserve">SANDRA JAZMÍN BAQUERO CÓRDOBA
NELSON AUGUSTO CUBILLOS OLARTE
CLAUDIA PATRICIA GRANADOS FLÓREZ
</v>
          </cell>
          <cell r="M40" t="str">
            <v>16/06/2025</v>
          </cell>
          <cell r="N40">
            <v>45824</v>
          </cell>
          <cell r="O40">
            <v>45824</v>
          </cell>
          <cell r="P40" t="str">
            <v>Visitas de evaluación con fines de mejoramiento</v>
          </cell>
          <cell r="Q40" t="str">
            <v>ACTA VISITA COL COOPERATIVO VENECIA 16062025.pdf</v>
          </cell>
          <cell r="R40" t="str">
            <v>Se hace revisión documental y se verifica el cumplimiento de la intensidad horaria establecida en la normatividad vigente</v>
          </cell>
          <cell r="S40" t="str">
            <v>En los horarios presentados, se evidencian el cumplimiento de las horas efectivas anuales por nivel establecidas en la Resolución 1730 del 2004</v>
          </cell>
          <cell r="T40" t="str">
            <v>No</v>
          </cell>
          <cell r="U40" t="str">
            <v>Se verificará la  formulación para la siguiente vigencia o en caso de presentarse una queja</v>
          </cell>
        </row>
        <row r="41">
          <cell r="A41">
            <v>2426</v>
          </cell>
          <cell r="B41"/>
          <cell r="C41" t="str">
            <v>TUNJUELITO</v>
          </cell>
          <cell r="D41" t="str">
            <v>PRIVADO</v>
          </cell>
          <cell r="E41" t="str">
            <v>EPBM</v>
          </cell>
          <cell r="F41" t="str">
            <v>COLEGIO_COOPERATIVO_VENECIA</v>
          </cell>
          <cell r="G41" t="str">
            <v>COLEGIO COOPERATIVO VENECIA</v>
          </cell>
          <cell r="H41" t="str">
            <v>Autoevaluación Institucional y Pruebas SABER 11</v>
          </cell>
          <cell r="I41" t="str">
            <v>EVALUACIÓN_CON_FINES_DE_MEJORAMIENTO.</v>
          </cell>
          <cell r="J41" t="str">
            <v>Verificar el funcionamiento del Gobierno Escolar e instancias de participación con base en la información sobre conformación reportada por la institución educativa.</v>
          </cell>
          <cell r="K41" t="str">
            <v>CLAUDIA PATRICIA GRANADOS FLÓREZ</v>
          </cell>
          <cell r="L41" t="str">
            <v xml:space="preserve">SANDRA JAZMÍN BAQUERO CÓRDOBA
NELSON AUGUSTO CUBILLOS OLARTE
CLAUDIA PATRICIA GRANADOS FLÓREZ
</v>
          </cell>
          <cell r="M41">
            <v>45817</v>
          </cell>
          <cell r="N41">
            <v>45824</v>
          </cell>
          <cell r="O41">
            <v>45824</v>
          </cell>
          <cell r="P41" t="str">
            <v>Visitas de evaluación con fines de mejoramiento</v>
          </cell>
          <cell r="Q41" t="str">
            <v>ACTA VISITA COL COOPERATIVO VENECIA 16062025.pdf</v>
          </cell>
          <cell r="R41" t="str">
            <v>El colegio presenta las actas de cada una de las instancias donde se evidencia su funcionamiento años 2024 y 2025.</v>
          </cell>
          <cell r="S41" t="str">
            <v>La institución cumple con el funcionamiento del gobierno escolar.</v>
          </cell>
          <cell r="T41" t="str">
            <v>No</v>
          </cell>
          <cell r="U41" t="str">
            <v>Se verificará la conformación y funcionamiento en la siguiente vigencia o en caso de presentarse una queja</v>
          </cell>
        </row>
        <row r="42">
          <cell r="A42">
            <v>2427</v>
          </cell>
          <cell r="B42"/>
          <cell r="C42" t="str">
            <v>TUNJUELITO</v>
          </cell>
          <cell r="D42" t="str">
            <v>PRIVADO</v>
          </cell>
          <cell r="E42" t="str">
            <v>EPBM</v>
          </cell>
          <cell r="F42" t="str">
            <v>COLEGIO_COOPERATIVO_VENECIA</v>
          </cell>
          <cell r="G42" t="str">
            <v>COLEGIO COOPERATIVO VENECIA</v>
          </cell>
          <cell r="H42" t="str">
            <v>Autoevaluación Institucional y Pruebas SABER 11</v>
          </cell>
          <cell r="I42" t="str">
            <v>EVALUACIÓN_CON_FINES_DE_MEJORAMIENTO.</v>
          </cell>
          <cell r="J42" t="str">
            <v>Verificar las condiciones en cuanto a: la estructura administrativa, condiciones de la planta física y medios educativos adecuados.</v>
          </cell>
          <cell r="K42" t="str">
            <v>CLAUDIA PATRICIA GRANADOS FLÓREZ</v>
          </cell>
          <cell r="L42" t="str">
            <v xml:space="preserve">SANDRA JAZMÍN BAQUERO CÓRDOBA
NELSON AUGUSTO CUBILLOS OLARTE
CLAUDIA PATRICIA GRANADOS FLÓREZ
</v>
          </cell>
          <cell r="M42">
            <v>45817</v>
          </cell>
          <cell r="N42">
            <v>45824</v>
          </cell>
          <cell r="O42">
            <v>45814</v>
          </cell>
          <cell r="P42" t="str">
            <v>Visitas de evaluación con fines de mejoramiento</v>
          </cell>
          <cell r="Q42" t="str">
            <v>ACTA VISITA COL COOPERATIVO VENECIA 16062025.pdf</v>
          </cell>
          <cell r="R42" t="str">
            <v>Se evidencia carencia de espacios en la infraestructura como baño para poblacion con discapacidad, adecuar biblioteca</v>
          </cell>
          <cell r="S42" t="str">
            <v>Presentación del PMI 14 de agosto de 2025</v>
          </cell>
          <cell r="T42" t="str">
            <v>Si</v>
          </cell>
          <cell r="U42" t="str">
            <v>Se revisara el plan de mejoramiento aportado para verificar su pertinencia y porsterior seguimiento para su cumplimiento</v>
          </cell>
        </row>
        <row r="43">
          <cell r="A43">
            <v>2428</v>
          </cell>
          <cell r="B43">
            <v>5</v>
          </cell>
          <cell r="C43" t="str">
            <v>TUNJUELITO</v>
          </cell>
          <cell r="D43" t="str">
            <v>PRIVADO</v>
          </cell>
          <cell r="E43" t="str">
            <v>Educación de Jóvenes y Adultos</v>
          </cell>
          <cell r="F43" t="str">
            <v>COLEGIO_INCADE</v>
          </cell>
          <cell r="G43" t="str">
            <v>COLEGIO INCADE</v>
          </cell>
          <cell r="H43" t="str">
            <v>Autoevaluación Institucional y Pruebas SABER 11</v>
          </cell>
          <cell r="I43" t="str">
            <v>SEGUIMIENTO_Y_SUPERVISIÓN.</v>
          </cell>
          <cell r="J43" t="str">
            <v>Realizar visitas para verificar la información registrada sobre la autoevaluación institucional en el aplicativo EVI, a los establecimientos de educación formal no oficial.</v>
          </cell>
          <cell r="K43" t="str">
            <v>CLAUDIA PATRICIA GRANADOS FLÓREZ</v>
          </cell>
          <cell r="L43" t="str">
            <v xml:space="preserve">SANDRA JAZMÍN BAQUERO CÓRDOBA
NELSON AUGUSTO CUBILLOS OLARTE
CLAUDIA PATRICIA GRANADOS FLÓREZ
</v>
          </cell>
          <cell r="M43">
            <v>45772</v>
          </cell>
          <cell r="N43">
            <v>45772</v>
          </cell>
          <cell r="O43">
            <v>45772</v>
          </cell>
          <cell r="P43" t="str">
            <v>Visitas de evaluación con fines de seguimiento</v>
          </cell>
          <cell r="Q43" t="str">
            <v>ACTA VISITA COLEGIO INCADE 25042025.pdf</v>
          </cell>
          <cell r="R43" t="str">
            <v>Se evidencia carencia de espacios en la infraestructura c, ajustes para el PEI, curriculo, servicio social, orientacion escolar, jornadas docentes, manual de funciones, , etc</v>
          </cell>
          <cell r="S43" t="str">
            <v>Presentación del PMI 3 de junio de 2025</v>
          </cell>
          <cell r="T43" t="str">
            <v>Si</v>
          </cell>
          <cell r="U43" t="str">
            <v>Se revisara el plan de mejoramiento aportado para verificar su pertinencia y porsterior seguimiento para su cumplimiento</v>
          </cell>
        </row>
        <row r="44">
          <cell r="A44">
            <v>2429</v>
          </cell>
          <cell r="B44"/>
          <cell r="C44" t="str">
            <v>TUNJUELITO</v>
          </cell>
          <cell r="D44" t="str">
            <v>PRIVADO</v>
          </cell>
          <cell r="E44" t="str">
            <v>Educación de Jóvenes y Adultos</v>
          </cell>
          <cell r="F44" t="str">
            <v>COLEGIO_INCADE</v>
          </cell>
          <cell r="G44" t="str">
            <v>COLEGIO INCADE</v>
          </cell>
          <cell r="H44" t="str">
            <v>Autoevaluación Institucional y Pruebas SABER 11</v>
          </cell>
          <cell r="I44" t="str">
            <v>SEGUIMIENTO_Y_SUPERVISIÓN.</v>
          </cell>
          <cell r="J44" t="str">
            <v>Proponer estrategias en la formulación, verificar su elaboración y realizar seguimiento semestral al desarrollo de  las acciones establecidas en los planes de mejoramiento por pruebas SABER 11 de los establecimientos de educación formal.</v>
          </cell>
          <cell r="K44" t="str">
            <v>CLAUDIA PATRICIA GRANADOS FLÓREZ</v>
          </cell>
          <cell r="L44" t="str">
            <v xml:space="preserve">SANDRA JAZMÍN BAQUERO CÓRDOBA
NELSON AUGUSTO CUBILLOS OLARTE
CLAUDIA PATRICIA GRANADOS FLÓREZ
</v>
          </cell>
          <cell r="M44">
            <v>45772</v>
          </cell>
          <cell r="N44">
            <v>45772</v>
          </cell>
          <cell r="O44">
            <v>45772</v>
          </cell>
          <cell r="P44" t="str">
            <v>Visitas de evaluación con fines de seguimiento</v>
          </cell>
          <cell r="Q44" t="str">
            <v>ACTA VISITA COLEGIO INCADE 25042025.pdf</v>
          </cell>
          <cell r="R44" t="str">
            <v>No se encuetnra documentacion al respecto</v>
          </cell>
          <cell r="S44" t="str">
            <v>Presentación del PMI 3 de junio de 2025</v>
          </cell>
          <cell r="T44" t="str">
            <v>Si</v>
          </cell>
          <cell r="U44" t="str">
            <v>Se revisara el plan de mejoramiento aportado para verificar su pertinencia y porsterior seguimiento para su cumplimiento</v>
          </cell>
        </row>
        <row r="45">
          <cell r="A45">
            <v>2430</v>
          </cell>
          <cell r="B45"/>
          <cell r="C45" t="str">
            <v>TUNJUELITO</v>
          </cell>
          <cell r="D45" t="str">
            <v>PRIVADO</v>
          </cell>
          <cell r="E45" t="str">
            <v>Educación de Jóvenes y Adultos</v>
          </cell>
          <cell r="F45" t="str">
            <v>COLEGIO_INCADE</v>
          </cell>
          <cell r="G45" t="str">
            <v>COLEGIO INCADE</v>
          </cell>
          <cell r="H45" t="str">
            <v>Autoevaluación Institucional y Pruebas SABER 11</v>
          </cell>
          <cell r="I45" t="str">
            <v>SEGUIMIENTO_Y_SUPERVISIÓN.</v>
          </cell>
          <cell r="J45" t="str">
            <v xml:space="preserve">Verificar la implementación por parte de los colegios, de acciones realizadas para la prevención y atención de las situaciones de convivencia en el entorno escolar, según lo establecido en la Directiva 01 de 2022 del MEN. </v>
          </cell>
          <cell r="K45" t="str">
            <v>CLAUDIA PATRICIA GRANADOS FLÓREZ</v>
          </cell>
          <cell r="L45" t="str">
            <v xml:space="preserve">SANDRA JAZMÍN BAQUERO CÓRDOBA
NELSON AUGUSTO CUBILLOS OLARTE
CLAUDIA PATRICIA GRANADOS FLÓREZ
</v>
          </cell>
          <cell r="M45">
            <v>45772</v>
          </cell>
          <cell r="N45">
            <v>45772</v>
          </cell>
          <cell r="O45">
            <v>45772</v>
          </cell>
          <cell r="P45" t="str">
            <v>Visitas de evaluación con fines de seguimiento</v>
          </cell>
          <cell r="Q45" t="str">
            <v>ACTA VISITA COLEGIO INCADE 25042025.pdf</v>
          </cell>
          <cell r="R45" t="str">
            <v>Revisadas las carpetas de los docentes se evidencia la consulta realizada por la IE frente a los antecentes, en revision de manual de convivencia se hacen observaciones implementacion Ley 1620</v>
          </cell>
          <cell r="S45" t="str">
            <v>Se recomienda dejar las evidencias en carpetas y verificar todos los docentes</v>
          </cell>
          <cell r="T45" t="str">
            <v>No</v>
          </cell>
          <cell r="U45" t="str">
            <v>Se verificará la continuidad de su cumplimiento o en caso de presentarse una queja</v>
          </cell>
        </row>
        <row r="46">
          <cell r="A46">
            <v>2431</v>
          </cell>
          <cell r="B46"/>
          <cell r="C46" t="str">
            <v>TUNJUELITO</v>
          </cell>
          <cell r="D46" t="str">
            <v>PRIVADO</v>
          </cell>
          <cell r="E46" t="str">
            <v>Educación de Jóvenes y Adultos</v>
          </cell>
          <cell r="F46" t="str">
            <v>COLEGIO_INCADE</v>
          </cell>
          <cell r="G46" t="str">
            <v>COLEGIO INCADE</v>
          </cell>
          <cell r="H46" t="str">
            <v>Autoevaluación Institucional y Pruebas SABER 11</v>
          </cell>
          <cell r="I46" t="str">
            <v>SEGUIMIENTO_Y_SUPERVISIÓN.</v>
          </cell>
          <cell r="J4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6" t="str">
            <v>CLAUDIA PATRICIA GRANADOS FLÓREZ</v>
          </cell>
          <cell r="L46" t="str">
            <v xml:space="preserve">SANDRA JAZMÍN BAQUERO CÓRDOBA
NELSON AUGUSTO CUBILLOS OLARTE
CLAUDIA PATRICIA GRANADOS FLÓREZ
</v>
          </cell>
          <cell r="M46">
            <v>45772</v>
          </cell>
          <cell r="N46">
            <v>45772</v>
          </cell>
          <cell r="O46">
            <v>45772</v>
          </cell>
          <cell r="P46" t="str">
            <v>Visitas de evaluación con fines de seguimiento</v>
          </cell>
          <cell r="Q46" t="str">
            <v>ACTA VISITA COLEGIO INCADE 25042025.pdf</v>
          </cell>
          <cell r="R46" t="str">
            <v>Se encuentran novedades frente a aspectos que debe contener en cumplimiento de Decreto 1421</v>
          </cell>
          <cell r="S46" t="str">
            <v>Presentación del PMI 3 de junio de 2025</v>
          </cell>
          <cell r="T46" t="str">
            <v>Si</v>
          </cell>
          <cell r="U46" t="str">
            <v>Se revisara el plan de mejoramiento aportado para verificar su pertinencia y porsterior seguimiento para su cumplimiento</v>
          </cell>
        </row>
        <row r="47">
          <cell r="A47">
            <v>2432</v>
          </cell>
          <cell r="B47"/>
          <cell r="C47" t="str">
            <v>TUNJUELITO</v>
          </cell>
          <cell r="D47" t="str">
            <v>PRIVADO</v>
          </cell>
          <cell r="E47" t="str">
            <v>Educación de Jóvenes y Adultos</v>
          </cell>
          <cell r="F47" t="str">
            <v>COLEGIO_INCADE</v>
          </cell>
          <cell r="G47" t="str">
            <v>COLEGIO INCADE</v>
          </cell>
          <cell r="H47" t="str">
            <v>Autoevaluación Institucional y Pruebas SABER 11</v>
          </cell>
          <cell r="I47" t="str">
            <v>EVALUACIÓN_CON_FINES_DE_MEJORAMIENTO.</v>
          </cell>
          <cell r="J4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7" t="str">
            <v>CLAUDIA PATRICIA GRANADOS FLÓREZ</v>
          </cell>
          <cell r="L47" t="str">
            <v xml:space="preserve">SANDRA JAZMÍN BAQUERO CÓRDOBA
NELSON AUGUSTO CUBILLOS OLARTE
CLAUDIA PATRICIA GRANADOS FLÓREZ
</v>
          </cell>
          <cell r="M47">
            <v>45772</v>
          </cell>
          <cell r="N47">
            <v>45772</v>
          </cell>
          <cell r="O47">
            <v>45772</v>
          </cell>
          <cell r="P47" t="str">
            <v>Visitas de evaluación con fines de mejoramiento</v>
          </cell>
          <cell r="Q47" t="str">
            <v>ACTA VISITA COLEGIO INCADE 25042025.pdf</v>
          </cell>
          <cell r="R47" t="str">
            <v>Revisado el manual de convivencia presentado por la IE Se encuentran novedades frente a aspectos como rutas de atencion., protocolos, de Ley 1620, decreto 1965, decreto 1421 , debido proceso entre otros,</v>
          </cell>
          <cell r="S47" t="str">
            <v>Presentación del PMI 3 de junio de 2025</v>
          </cell>
          <cell r="T47" t="str">
            <v>Si</v>
          </cell>
          <cell r="U47" t="str">
            <v>Se revisara el plan de mejoramiento aportado para verificar su pertinencia y porsterior seguimiento para su cumplimiento</v>
          </cell>
        </row>
        <row r="48">
          <cell r="A48">
            <v>2433</v>
          </cell>
          <cell r="B48"/>
          <cell r="C48" t="str">
            <v>TUNJUELITO</v>
          </cell>
          <cell r="D48" t="str">
            <v>PRIVADO</v>
          </cell>
          <cell r="E48" t="str">
            <v>Educación de Jóvenes y Adultos</v>
          </cell>
          <cell r="F48" t="str">
            <v>COLEGIO_INCADE</v>
          </cell>
          <cell r="G48" t="str">
            <v>COLEGIO INCADE</v>
          </cell>
          <cell r="H48" t="str">
            <v>Autoevaluación Institucional y Pruebas SABER 11</v>
          </cell>
          <cell r="I48" t="str">
            <v>EVALUACIÓN_CON_FINES_DE_MEJORAMIENTO.</v>
          </cell>
          <cell r="J48" t="str">
            <v>Revisar la actualización, socialización e implementación del Sistema Institucional de Evaluación de Estudiantes - SIEE, en articulación con la actualización del PEI y la normatividad vigente.</v>
          </cell>
          <cell r="K48" t="str">
            <v>CLAUDIA PATRICIA GRANADOS FLÓREZ</v>
          </cell>
          <cell r="L48" t="str">
            <v xml:space="preserve">SANDRA JAZMÍN BAQUERO CÓRDOBA
NELSON AUGUSTO CUBILLOS OLARTE
CLAUDIA PATRICIA GRANADOS FLÓREZ
</v>
          </cell>
          <cell r="M48">
            <v>45772</v>
          </cell>
          <cell r="N48">
            <v>45772</v>
          </cell>
          <cell r="O48">
            <v>45772</v>
          </cell>
          <cell r="P48" t="str">
            <v>Visitas de evaluación con fines de mejoramiento</v>
          </cell>
          <cell r="Q48" t="str">
            <v>ACTA VISITA COLEGIO INCADE 25042025.pdf</v>
          </cell>
          <cell r="R48" t="str">
            <v>Se encuentran novedades frente a aspectos que debe contener en cumplimiento de Decreto 1075 de 2015</v>
          </cell>
          <cell r="S48" t="str">
            <v>Presentación del PMI 3 de junio de 2025</v>
          </cell>
          <cell r="T48" t="str">
            <v>Si</v>
          </cell>
          <cell r="U48" t="str">
            <v>Se revisara el plan de mejoramiento aportado para verificar su pertinencia y porsterior seguimiento para su cumplimiento</v>
          </cell>
        </row>
        <row r="49">
          <cell r="A49">
            <v>2434</v>
          </cell>
          <cell r="B49"/>
          <cell r="C49" t="str">
            <v>TUNJUELITO</v>
          </cell>
          <cell r="D49" t="str">
            <v>PRIVADO</v>
          </cell>
          <cell r="E49" t="str">
            <v>Educación de Jóvenes y Adultos</v>
          </cell>
          <cell r="F49" t="str">
            <v>COLEGIO_INCADE</v>
          </cell>
          <cell r="G49" t="str">
            <v>COLEGIO INCADE</v>
          </cell>
          <cell r="H49" t="str">
            <v>Autoevaluación Institucional y Pruebas SABER 11</v>
          </cell>
          <cell r="I49" t="str">
            <v>EVALUACIÓN_CON_FINES_DE_MEJORAMIENTO.</v>
          </cell>
          <cell r="J49" t="str">
            <v>Revisar el calendario escolar, jornada escolar, la intensidad horaria mínima anual en cada nivel y las modificaciones que se realicen al mismo, de acuerdo con lo previsto en la normatividad vigente.</v>
          </cell>
          <cell r="K49" t="str">
            <v>CLAUDIA PATRICIA GRANADOS FLÓREZ</v>
          </cell>
          <cell r="L49" t="str">
            <v xml:space="preserve">SANDRA JAZMÍN BAQUERO CÓRDOBA
NELSON AUGUSTO CUBILLOS OLARTE
CLAUDIA PATRICIA GRANADOS FLÓREZ
</v>
          </cell>
          <cell r="M49">
            <v>45772</v>
          </cell>
          <cell r="N49">
            <v>45772</v>
          </cell>
          <cell r="O49">
            <v>45772</v>
          </cell>
          <cell r="P49" t="str">
            <v>Visitas de evaluación con fines de mejoramiento</v>
          </cell>
          <cell r="Q49" t="str">
            <v>ACTA VISITA COLEGIO INCADE 25042025.pdf</v>
          </cell>
          <cell r="R49" t="str">
            <v>Se hace revisión documental y se verifica el cumplimiento de la normatividad establecida</v>
          </cell>
          <cell r="S49" t="str">
            <v>Cumplir con el calendario recordando la intensidad horaria</v>
          </cell>
          <cell r="T49" t="str">
            <v>No</v>
          </cell>
          <cell r="U49" t="str">
            <v>Se verificará la  formulación para la siguiente vigencia o en caso de presentarse una queja</v>
          </cell>
        </row>
        <row r="50">
          <cell r="A50">
            <v>2435</v>
          </cell>
          <cell r="B50"/>
          <cell r="C50" t="str">
            <v>TUNJUELITO</v>
          </cell>
          <cell r="D50" t="str">
            <v>PRIVADO</v>
          </cell>
          <cell r="E50" t="str">
            <v>Educación de Jóvenes y Adultos</v>
          </cell>
          <cell r="F50" t="str">
            <v>COLEGIO_INCADE</v>
          </cell>
          <cell r="G50" t="str">
            <v>COLEGIO INCADE</v>
          </cell>
          <cell r="H50" t="str">
            <v>Autoevaluación Institucional y Pruebas SABER 11</v>
          </cell>
          <cell r="I50" t="str">
            <v>EVALUACIÓN_CON_FINES_DE_MEJORAMIENTO.</v>
          </cell>
          <cell r="J50" t="str">
            <v>Verificar el funcionamiento del Gobierno Escolar e instancias de participación con base en la información sobre conformación reportada por la institución educativa.</v>
          </cell>
          <cell r="K50" t="str">
            <v>CLAUDIA PATRICIA GRANADOS FLÓREZ</v>
          </cell>
          <cell r="L50" t="str">
            <v xml:space="preserve">SANDRA JAZMÍN BAQUERO CÓRDOBA
NELSON AUGUSTO CUBILLOS OLARTE
CLAUDIA PATRICIA GRANADOS FLÓREZ
</v>
          </cell>
          <cell r="M50">
            <v>45772</v>
          </cell>
          <cell r="N50">
            <v>45772</v>
          </cell>
          <cell r="O50">
            <v>45772</v>
          </cell>
          <cell r="P50" t="str">
            <v>Visitas de evaluación con fines de mejoramiento</v>
          </cell>
          <cell r="Q50" t="str">
            <v>ACTA VISITA COLEGIO INCADE 25042025.pdf</v>
          </cell>
          <cell r="R50" t="str">
            <v>El colegio presenta las actas de cada una de las instancias donde se evidencia su funcionamiento años 2024 y 2025.</v>
          </cell>
          <cell r="S50" t="str">
            <v>La institución cumple con el funcionamiento del gobierno escolar.</v>
          </cell>
          <cell r="T50" t="str">
            <v>No</v>
          </cell>
          <cell r="U50" t="str">
            <v>Se verificará la conformación y funcionamiento en la siguiente vigencia o en caso de presentarse una queja</v>
          </cell>
        </row>
        <row r="51">
          <cell r="A51">
            <v>2436</v>
          </cell>
          <cell r="B51"/>
          <cell r="C51" t="str">
            <v>TUNJUELITO</v>
          </cell>
          <cell r="D51" t="str">
            <v>PRIVADO</v>
          </cell>
          <cell r="E51" t="str">
            <v>Educación de Jóvenes y Adultos</v>
          </cell>
          <cell r="F51" t="str">
            <v>COLEGIO_INCADE</v>
          </cell>
          <cell r="G51" t="str">
            <v>COLEGIO INCADE</v>
          </cell>
          <cell r="H51" t="str">
            <v>Autoevaluación Institucional y Pruebas SABER 11</v>
          </cell>
          <cell r="I51" t="str">
            <v>EVALUACIÓN_CON_FINES_DE_MEJORAMIENTO.</v>
          </cell>
          <cell r="J51" t="str">
            <v>Verificar las condiciones en cuanto a: la estructura administrativa, condiciones de la planta física y medios educativos adecuados.</v>
          </cell>
          <cell r="K51" t="str">
            <v>CLAUDIA PATRICIA GRANADOS FLÓREZ</v>
          </cell>
          <cell r="L51" t="str">
            <v xml:space="preserve">SANDRA JAZMÍN BAQUERO CÓRDOBA
NELSON AUGUSTO CUBILLOS OLARTE
CLAUDIA PATRICIA GRANADOS FLÓREZ
</v>
          </cell>
          <cell r="M51">
            <v>45772</v>
          </cell>
          <cell r="N51">
            <v>45772</v>
          </cell>
          <cell r="O51">
            <v>45772</v>
          </cell>
          <cell r="P51" t="str">
            <v>Visitas de evaluación con fines de mejoramiento</v>
          </cell>
          <cell r="Q51" t="str">
            <v>ACTA VISITA COLEGIO INCADE 25042025.pdf</v>
          </cell>
          <cell r="R51" t="str">
            <v>Se evidencia carencia de espacios en la infraestructura como baño para poblacion con discapacidad, Falta Laboratorio, Biblioteca, Zona de recrecion, se evidencia olor a humedad en aulas que no estan en servicio</v>
          </cell>
          <cell r="S51" t="str">
            <v>Presentación del PMI 3 de junio de 2025</v>
          </cell>
          <cell r="T51" t="str">
            <v>Si</v>
          </cell>
          <cell r="U51" t="str">
            <v>Se revisara el plan de mejoramiento aportado para verificar su pertinencia y porsterior seguimiento para su cumplimiento</v>
          </cell>
        </row>
        <row r="52">
          <cell r="A52">
            <v>2437</v>
          </cell>
          <cell r="B52">
            <v>6</v>
          </cell>
          <cell r="C52" t="str">
            <v>TUNJUELITO</v>
          </cell>
          <cell r="D52" t="str">
            <v>PRIVADO</v>
          </cell>
          <cell r="E52" t="str">
            <v>EPBM</v>
          </cell>
          <cell r="F52" t="str">
            <v>COLEGIO_NUESTRA_SEÑORA_DE_LAS_VICTORIAS</v>
          </cell>
          <cell r="G52" t="str">
            <v>COLEGIO NUESTRA SEÑORA DE LAS VICTORIAS</v>
          </cell>
          <cell r="H52" t="str">
            <v>Autoevaluación Institucional y Pruebas SABER 11</v>
          </cell>
          <cell r="I52" t="str">
            <v>SEGUIMIENTO_Y_SUPERVISIÓN.</v>
          </cell>
          <cell r="J52" t="str">
            <v>Realizar visitas para verificar la información registrada sobre la autoevaluación institucional en el aplicativo EVI, a los establecimientos de educación formal no oficial.</v>
          </cell>
          <cell r="K52" t="str">
            <v>NELSON AUGUSTO CUBILLOS OLARTE</v>
          </cell>
          <cell r="L52" t="str">
            <v xml:space="preserve">SANDRA JAZMÍN BAQUERO CÓRDOBA
NELSON AUGUSTO CUBILLOS OLARTE
CLAUDIA PATRICIA GRANADOS FLÓREZ
</v>
          </cell>
          <cell r="M52">
            <v>45807</v>
          </cell>
          <cell r="N52">
            <v>45785</v>
          </cell>
          <cell r="O52">
            <v>45785</v>
          </cell>
          <cell r="P52" t="str">
            <v>Visitas de evaluación con fines de seguimiento</v>
          </cell>
          <cell r="Q52" t="str">
            <v>Visitita Col. Ntra Señora de las Victorias.pdf</v>
          </cell>
          <cell r="R52" t="str">
            <v>Los espacios y demas información registrada en el EVI corresponde con la realidad institucional y se encuentran en buen estado</v>
          </cell>
          <cell r="S52" t="str">
            <v>El colegio cumple con lo dispuesto en la autoevaluación institucional.</v>
          </cell>
          <cell r="T52" t="str">
            <v>No</v>
          </cell>
          <cell r="U52" t="str">
            <v>Continuar las verificaciones en el proceso EVI del próximo año.</v>
          </cell>
        </row>
        <row r="53">
          <cell r="A53">
            <v>2438</v>
          </cell>
          <cell r="B53"/>
          <cell r="C53" t="str">
            <v>TUNJUELITO</v>
          </cell>
          <cell r="D53" t="str">
            <v>PRIVADO</v>
          </cell>
          <cell r="E53" t="str">
            <v>EPBM</v>
          </cell>
          <cell r="F53" t="str">
            <v>COLEGIO_NUESTRA_SEÑORA_DE_LAS_VICTORIAS</v>
          </cell>
          <cell r="G53" t="str">
            <v>COLEGIO NUESTRA SEÑORA DE LAS VICTORIAS</v>
          </cell>
          <cell r="H53" t="str">
            <v>Autoevaluación Institucional y Pruebas SABER 11</v>
          </cell>
          <cell r="I53" t="str">
            <v>SEGUIMIENTO_Y_SUPERVISIÓN.</v>
          </cell>
          <cell r="J53" t="str">
            <v>Proponer estrategias en la formulación, verificar su elaboración y realizar seguimiento semestral al desarrollo de  las acciones establecidas en los planes de mejoramiento por pruebas SABER 11 de los establecimientos de educación formal.</v>
          </cell>
          <cell r="K53" t="str">
            <v>NELSON AUGUSTO CUBILLOS OLARTE</v>
          </cell>
          <cell r="L53" t="str">
            <v xml:space="preserve">SANDRA JAZMÍN BAQUERO CÓRDOBA
NELSON AUGUSTO CUBILLOS OLARTE
CLAUDIA PATRICIA GRANADOS FLÓREZ
</v>
          </cell>
          <cell r="M53">
            <v>45807</v>
          </cell>
          <cell r="N53">
            <v>45785</v>
          </cell>
          <cell r="O53">
            <v>45785</v>
          </cell>
          <cell r="P53" t="str">
            <v>Visitas de evaluación con fines de seguimiento</v>
          </cell>
          <cell r="Q53" t="str">
            <v>Visitita Col. Ntra Señora de las Victorias.pdf</v>
          </cell>
          <cell r="R53" t="str">
            <v>La institución se encuentra en categoría A con buen puntaje.</v>
          </cell>
          <cell r="S53" t="str">
            <v>La institución analiza los procesos y procedimientos para mejorar los puntajes en pruebas SABER 11.</v>
          </cell>
          <cell r="T53" t="str">
            <v>No</v>
          </cell>
          <cell r="U53" t="str">
            <v>Continuar las verificaciones de seguimiento el próximo año.</v>
          </cell>
        </row>
        <row r="54">
          <cell r="A54">
            <v>2439</v>
          </cell>
          <cell r="B54"/>
          <cell r="C54" t="str">
            <v>TUNJUELITO</v>
          </cell>
          <cell r="D54" t="str">
            <v>PRIVADO</v>
          </cell>
          <cell r="E54" t="str">
            <v>EPBM</v>
          </cell>
          <cell r="F54" t="str">
            <v>COLEGIO_NUESTRA_SEÑORA_DE_LAS_VICTORIAS</v>
          </cell>
          <cell r="G54" t="str">
            <v>COLEGIO NUESTRA SEÑORA DE LAS VICTORIAS</v>
          </cell>
          <cell r="H54" t="str">
            <v>Autoevaluación Institucional y Pruebas SABER 11</v>
          </cell>
          <cell r="I54" t="str">
            <v>SEGUIMIENTO_Y_SUPERVISIÓN.</v>
          </cell>
          <cell r="J54" t="str">
            <v xml:space="preserve">Verificar la implementación por parte de los colegios, de acciones realizadas para la prevención y atención de las situaciones de convivencia en el entorno escolar, según lo establecido en la Directiva 01 de 2022 del MEN. </v>
          </cell>
          <cell r="K54" t="str">
            <v>NELSON AUGUSTO CUBILLOS OLARTE</v>
          </cell>
          <cell r="L54" t="str">
            <v xml:space="preserve">SANDRA JAZMÍN BAQUERO CÓRDOBA
NELSON AUGUSTO CUBILLOS OLARTE
CLAUDIA PATRICIA GRANADOS FLÓREZ
</v>
          </cell>
          <cell r="M54">
            <v>45807</v>
          </cell>
          <cell r="N54">
            <v>45785</v>
          </cell>
          <cell r="O54">
            <v>45785</v>
          </cell>
          <cell r="P54" t="str">
            <v>Visitas de evaluación con fines de seguimiento</v>
          </cell>
          <cell r="Q54" t="str">
            <v>Visitita Col. Ntra Señora de las Victorias.pdf</v>
          </cell>
          <cell r="R54" t="str">
            <v>En las hojas de vida de los docentes y el personal administrativo no hay evidencia de la consulta de inhabilidades por delitos sexuales.</v>
          </cell>
          <cell r="S54" t="str">
            <v>Se debe realizar la consulta de cada uno de los docentes y administrativos dejando evidencia en hoja de vida bien sea virtual o fisica.</v>
          </cell>
          <cell r="T54" t="str">
            <v>Si</v>
          </cell>
          <cell r="U54" t="str">
            <v>se revisará el PMI con la accion realizada y la consulta cada tres meses.</v>
          </cell>
        </row>
        <row r="55">
          <cell r="A55">
            <v>2440</v>
          </cell>
          <cell r="B55"/>
          <cell r="C55" t="str">
            <v>TUNJUELITO</v>
          </cell>
          <cell r="D55" t="str">
            <v>PRIVADO</v>
          </cell>
          <cell r="E55" t="str">
            <v>EPBM</v>
          </cell>
          <cell r="F55" t="str">
            <v>COLEGIO_NUESTRA_SEÑORA_DE_LAS_VICTORIAS</v>
          </cell>
          <cell r="G55" t="str">
            <v>COLEGIO NUESTRA SEÑORA DE LAS VICTORIAS</v>
          </cell>
          <cell r="H55" t="str">
            <v>Autoevaluación Institucional y Pruebas SABER 11</v>
          </cell>
          <cell r="I55" t="str">
            <v>SEGUIMIENTO_Y_SUPERVISIÓN.</v>
          </cell>
          <cell r="J5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5" t="str">
            <v>NELSON AUGUSTO CUBILLOS OLARTE</v>
          </cell>
          <cell r="L55" t="str">
            <v xml:space="preserve">SANDRA JAZMÍN BAQUERO CÓRDOBA
NELSON AUGUSTO CUBILLOS OLARTE
CLAUDIA PATRICIA GRANADOS FLÓREZ
</v>
          </cell>
          <cell r="M55">
            <v>45807</v>
          </cell>
          <cell r="N55">
            <v>45785</v>
          </cell>
          <cell r="O55">
            <v>45785</v>
          </cell>
          <cell r="P55" t="str">
            <v>Visitas de evaluación con fines de seguimiento</v>
          </cell>
          <cell r="Q55" t="str">
            <v>Visitita Col. Ntra Señora de las Victorias.pdf</v>
          </cell>
          <cell r="R55" t="str">
            <v>Los estudiantes marcados con alguna discapacidad tienen un PIAR, pero este no se encuentra firmado por las partes intervinientes.</v>
          </cell>
          <cell r="S55" t="str">
            <v>Se deben realizar las firmas correspondientes de los PIAR y revisar las barreras</v>
          </cell>
          <cell r="T55" t="str">
            <v>Si</v>
          </cell>
          <cell r="U55" t="str">
            <v>Se revisará el PMI con la accion realizada y el seguimiento por medio de los informes presentados.</v>
          </cell>
        </row>
        <row r="56">
          <cell r="A56">
            <v>2441</v>
          </cell>
          <cell r="B56"/>
          <cell r="C56" t="str">
            <v>TUNJUELITO</v>
          </cell>
          <cell r="D56" t="str">
            <v>PRIVADO</v>
          </cell>
          <cell r="E56" t="str">
            <v>EPBM</v>
          </cell>
          <cell r="F56" t="str">
            <v>COLEGIO_NUESTRA_SEÑORA_DE_LAS_VICTORIAS</v>
          </cell>
          <cell r="G56" t="str">
            <v>COLEGIO NUESTRA SEÑORA DE LAS VICTORIAS</v>
          </cell>
          <cell r="H56" t="str">
            <v>Autoevaluación Institucional y Pruebas SABER 11</v>
          </cell>
          <cell r="I56" t="str">
            <v>EVALUACIÓN_CON_FINES_DE_MEJORAMIENTO.</v>
          </cell>
          <cell r="J5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6" t="str">
            <v>NELSON AUGUSTO CUBILLOS OLARTE</v>
          </cell>
          <cell r="L56" t="str">
            <v xml:space="preserve">SANDRA JAZMÍN BAQUERO CÓRDOBA
NELSON AUGUSTO CUBILLOS OLARTE
CLAUDIA PATRICIA GRANADOS FLÓREZ
</v>
          </cell>
          <cell r="M56">
            <v>45807</v>
          </cell>
          <cell r="N56">
            <v>45785</v>
          </cell>
          <cell r="O56">
            <v>45785</v>
          </cell>
          <cell r="P56" t="str">
            <v>Visitas de evaluación con fines de mejoramiento</v>
          </cell>
          <cell r="Q56" t="str">
            <v>Visitita Col. Ntra Señora de las Victorias.pdf</v>
          </cell>
          <cell r="R56" t="str">
            <v>La funcionaria reponsable no se encontraba a la hora de realizar la revisión.</v>
          </cell>
          <cell r="S56" t="str">
            <v>Se deben presentar las evidencias y poder brindar orientaciones frente a lo revisado en el Manual de Convivencia.</v>
          </cell>
          <cell r="T56" t="str">
            <v>Si</v>
          </cell>
          <cell r="U56" t="str">
            <v>Revisar PMI y evidencias de los diferentes topicos que corresponden ala organización de conviencia institucional</v>
          </cell>
        </row>
        <row r="57">
          <cell r="A57">
            <v>2442</v>
          </cell>
          <cell r="B57"/>
          <cell r="C57" t="str">
            <v>TUNJUELITO</v>
          </cell>
          <cell r="D57" t="str">
            <v>PRIVADO</v>
          </cell>
          <cell r="E57" t="str">
            <v>EPBM</v>
          </cell>
          <cell r="F57" t="str">
            <v>COLEGIO_NUESTRA_SEÑORA_DE_LAS_VICTORIAS</v>
          </cell>
          <cell r="G57" t="str">
            <v>COLEGIO NUESTRA SEÑORA DE LAS VICTORIAS</v>
          </cell>
          <cell r="H57" t="str">
            <v>Autoevaluación Institucional y Pruebas SABER 11</v>
          </cell>
          <cell r="I57" t="str">
            <v>EVALUACIÓN_CON_FINES_DE_MEJORAMIENTO.</v>
          </cell>
          <cell r="J57" t="str">
            <v>Revisar la actualización, socialización e implementación del Sistema Institucional de Evaluación de Estudiantes - SIEE, en articulación con la actualización del PEI y la normatividad vigente.</v>
          </cell>
          <cell r="K57" t="str">
            <v>NELSON AUGUSTO CUBILLOS OLARTE</v>
          </cell>
          <cell r="L57" t="str">
            <v xml:space="preserve">SANDRA JAZMÍN BAQUERO CÓRDOBA
NELSON AUGUSTO CUBILLOS OLARTE
CLAUDIA PATRICIA GRANADOS FLÓREZ
</v>
          </cell>
          <cell r="M57">
            <v>45807</v>
          </cell>
          <cell r="N57">
            <v>45785</v>
          </cell>
          <cell r="O57">
            <v>45785</v>
          </cell>
          <cell r="P57" t="str">
            <v>Visitas de evaluación con fines de mejoramiento</v>
          </cell>
          <cell r="Q57" t="str">
            <v>Visitita Col. Ntra Señora de las Victorias.pdf</v>
          </cell>
          <cell r="R57" t="str">
            <v>La institución cumple con los diferentes procesos de organización, socialización y actualización del SIEE.</v>
          </cell>
          <cell r="S57" t="str">
            <v>Continuar con los diferentes procesos y mantener la divulgación a la comunidad.</v>
          </cell>
          <cell r="T57" t="str">
            <v>No</v>
          </cell>
          <cell r="U57" t="str">
            <v>Continuar con el seguimiento a los procesos el próximo año</v>
          </cell>
        </row>
        <row r="58">
          <cell r="A58">
            <v>2443</v>
          </cell>
          <cell r="B58"/>
          <cell r="C58" t="str">
            <v>TUNJUELITO</v>
          </cell>
          <cell r="D58" t="str">
            <v>PRIVADO</v>
          </cell>
          <cell r="E58" t="str">
            <v>EPBM</v>
          </cell>
          <cell r="F58" t="str">
            <v>COLEGIO_NUESTRA_SEÑORA_DE_LAS_VICTORIAS</v>
          </cell>
          <cell r="G58" t="str">
            <v>COLEGIO NUESTRA SEÑORA DE LAS VICTORIAS</v>
          </cell>
          <cell r="H58" t="str">
            <v>Autoevaluación Institucional y Pruebas SABER 11</v>
          </cell>
          <cell r="I58" t="str">
            <v>EVALUACIÓN_CON_FINES_DE_MEJORAMIENTO.</v>
          </cell>
          <cell r="J58" t="str">
            <v>Revisar el calendario escolar, jornada escolar, la intensidad horaria mínima anual en cada nivel y las modificaciones que se realicen al mismo, de acuerdo con lo previsto en la normatividad vigente.</v>
          </cell>
          <cell r="K58" t="str">
            <v>NELSON AUGUSTO CUBILLOS OLARTE</v>
          </cell>
          <cell r="L58" t="str">
            <v xml:space="preserve">SANDRA JAZMÍN BAQUERO CÓRDOBA
NELSON AUGUSTO CUBILLOS OLARTE
CLAUDIA PATRICIA GRANADOS FLÓREZ
</v>
          </cell>
          <cell r="M58">
            <v>45807</v>
          </cell>
          <cell r="N58">
            <v>45785</v>
          </cell>
          <cell r="O58">
            <v>45785</v>
          </cell>
          <cell r="P58" t="str">
            <v>Visitas de evaluación con fines de mejoramiento</v>
          </cell>
          <cell r="Q58" t="str">
            <v>Visitita Col. Ntra Señora de las Victorias.pdf</v>
          </cell>
          <cell r="R58" t="str">
            <v>Se evidenció que cumple con las horas tanto para preescolar, básica y media de acuerdo con la norma.</v>
          </cell>
          <cell r="S58" t="str">
            <v>Cumplir con el calendario recordando la intensidad horaria</v>
          </cell>
          <cell r="T58" t="str">
            <v>No</v>
          </cell>
          <cell r="U58" t="str">
            <v>Se vericará la  formulación para la siguiente vigenccia o en caso de presentarse una queja</v>
          </cell>
        </row>
        <row r="59">
          <cell r="A59">
            <v>2444</v>
          </cell>
          <cell r="B59"/>
          <cell r="C59" t="str">
            <v>TUNJUELITO</v>
          </cell>
          <cell r="D59" t="str">
            <v>PRIVADO</v>
          </cell>
          <cell r="E59" t="str">
            <v>EPBM</v>
          </cell>
          <cell r="F59" t="str">
            <v>COLEGIO_NUESTRA_SEÑORA_DE_LAS_VICTORIAS</v>
          </cell>
          <cell r="G59" t="str">
            <v>COLEGIO NUESTRA SEÑORA DE LAS VICTORIAS</v>
          </cell>
          <cell r="H59" t="str">
            <v>Autoevaluación Institucional y Pruebas SABER 11</v>
          </cell>
          <cell r="I59" t="str">
            <v>EVALUACIÓN_CON_FINES_DE_MEJORAMIENTO.</v>
          </cell>
          <cell r="J59" t="str">
            <v>Verificar el funcionamiento del Gobierno Escolar e instancias de participación con base en la información sobre conformación reportada por la institución educativa.</v>
          </cell>
          <cell r="K59" t="str">
            <v>NELSON AUGUSTO CUBILLOS OLARTE</v>
          </cell>
          <cell r="L59" t="str">
            <v xml:space="preserve">SANDRA JAZMÍN BAQUERO CÓRDOBA
NELSON AUGUSTO CUBILLOS OLARTE
CLAUDIA PATRICIA GRANADOS FLÓREZ
</v>
          </cell>
          <cell r="M59">
            <v>45807</v>
          </cell>
          <cell r="N59">
            <v>45785</v>
          </cell>
          <cell r="O59">
            <v>45785</v>
          </cell>
          <cell r="P59" t="str">
            <v>Visitas de evaluación con fines de mejoramiento</v>
          </cell>
          <cell r="Q59" t="str">
            <v>Visitita Col. Ntra Señora de las Victorias.pdf</v>
          </cell>
          <cell r="R59" t="str">
            <v>El colegio presenta las actas de cada una de las instancias donde se evidencia su operatividad 2024 y 2025.</v>
          </cell>
          <cell r="S59" t="str">
            <v>La institución cumple con el funcionamiento del gobierno escolar.</v>
          </cell>
          <cell r="T59" t="str">
            <v>No</v>
          </cell>
          <cell r="U59" t="str">
            <v>Se verificará la conformación y funcionamiento en la siguiente vigencia o en caso de presentarse una queja</v>
          </cell>
        </row>
        <row r="60">
          <cell r="A60">
            <v>2445</v>
          </cell>
          <cell r="B60"/>
          <cell r="C60" t="str">
            <v>TUNJUELITO</v>
          </cell>
          <cell r="D60" t="str">
            <v>PRIVADO</v>
          </cell>
          <cell r="E60" t="str">
            <v>EPBM</v>
          </cell>
          <cell r="F60" t="str">
            <v>COLEGIO_NUESTRA_SEÑORA_DE_LAS_VICTORIAS</v>
          </cell>
          <cell r="G60" t="str">
            <v>COLEGIO NUESTRA SEÑORA DE LAS VICTORIAS</v>
          </cell>
          <cell r="H60" t="str">
            <v>Autoevaluación Institucional y Pruebas SABER 11</v>
          </cell>
          <cell r="I60" t="str">
            <v>EVALUACIÓN_CON_FINES_DE_MEJORAMIENTO.</v>
          </cell>
          <cell r="J60" t="str">
            <v>Verificar las condiciones en cuanto a: la estructura administrativa, condiciones de la planta física y medios educativos adecuados.</v>
          </cell>
          <cell r="K60" t="str">
            <v>NELSON AUGUSTO CUBILLOS OLARTE</v>
          </cell>
          <cell r="L60" t="str">
            <v xml:space="preserve">SANDRA JAZMÍN BAQUERO CÓRDOBA
NELSON AUGUSTO CUBILLOS OLARTE
CLAUDIA PATRICIA GRANADOS FLÓREZ
</v>
          </cell>
          <cell r="M60">
            <v>45807</v>
          </cell>
          <cell r="N60">
            <v>45785</v>
          </cell>
          <cell r="O60">
            <v>45785</v>
          </cell>
          <cell r="P60" t="str">
            <v>Visitas de evaluación con fines de mejoramiento</v>
          </cell>
          <cell r="Q60" t="str">
            <v>Visitita Col. Ntra Señora de las Victorias.pdf</v>
          </cell>
          <cell r="R60" t="str">
            <v>En lineas generales el colegio cumple con la estructura administrativa y las condiciones de planta fisica; no obstante, se deben adaptar los espacios para discapacitados.</v>
          </cell>
          <cell r="S60" t="str">
            <v>Adaptar un baño y espacio para el acceso de discapacitados de movilidad reducida segun la norma.</v>
          </cell>
          <cell r="T60" t="str">
            <v>Si</v>
          </cell>
          <cell r="U60" t="str">
            <v>Revisar el PMI y su ejecución sobre la adecuación de los espacios para estudiantes con movilidad reducida.</v>
          </cell>
        </row>
        <row r="61">
          <cell r="A61">
            <v>2447</v>
          </cell>
          <cell r="B61">
            <v>7</v>
          </cell>
          <cell r="C61" t="str">
            <v>TUNJUELITO</v>
          </cell>
          <cell r="D61" t="str">
            <v>PRIVADO</v>
          </cell>
          <cell r="E61" t="str">
            <v>Educación de Jóvenes y Adultos</v>
          </cell>
          <cell r="F61" t="str">
            <v>COLEGIO_TECNISISTEMAS</v>
          </cell>
          <cell r="G61" t="str">
            <v>COLEGIO TECNISISTEMAS</v>
          </cell>
          <cell r="H61" t="str">
            <v>Autoevaluación Institucional y Pruebas SABER 11</v>
          </cell>
          <cell r="I61" t="str">
            <v>SEGUIMIENTO_Y_SUPERVISIÓN.</v>
          </cell>
          <cell r="J61" t="str">
            <v>Realizar visitas para verificar la información registrada sobre la autoevaluación institucional en el aplicativo EVI, a los establecimientos de educación formal no oficial.</v>
          </cell>
          <cell r="K61" t="str">
            <v>NELSON AUGUSTO CUBILLOS OLARTE</v>
          </cell>
          <cell r="L61" t="str">
            <v xml:space="preserve">SANDRA JAZMÍN BAQUERO CÓRDOBA
NELSON AUGUSTO CUBILLOS OLARTE
CLAUDIA PATRICIA GRANADOS FLÓREZ
</v>
          </cell>
          <cell r="M61">
            <v>45791</v>
          </cell>
          <cell r="N61">
            <v>45805</v>
          </cell>
          <cell r="O61">
            <v>45805</v>
          </cell>
          <cell r="P61" t="str">
            <v>Visitas de evaluación con fines de seguimiento</v>
          </cell>
          <cell r="Q61" t="str">
            <v>Tecnisistemas Visita 28-05-2025.pdf</v>
          </cell>
          <cell r="R61" t="str">
            <v>La institución cumple con lo consignado en el aplicativo EVI de acuerdo con el recorrido realizado y las demas verificaciones documentales entregadas.</v>
          </cell>
          <cell r="S61" t="str">
            <v>Continuar con el manejo y mantenimiento optimo de las instalaciones.</v>
          </cell>
          <cell r="T61" t="str">
            <v>No</v>
          </cell>
          <cell r="U61" t="str">
            <v>Continuar las verificaciones en el proceso de costos educativos EVI del próximo año.</v>
          </cell>
        </row>
        <row r="62">
          <cell r="A62">
            <v>2801</v>
          </cell>
          <cell r="B62"/>
          <cell r="C62" t="str">
            <v>TUNJUELITO</v>
          </cell>
          <cell r="D62" t="str">
            <v>PRIVADO</v>
          </cell>
          <cell r="E62" t="str">
            <v>Educación de Jóvenes y Adultos</v>
          </cell>
          <cell r="F62" t="str">
            <v>COLEGIO_TECNISISTEMAS</v>
          </cell>
          <cell r="G62" t="str">
            <v>COLEGIO TECNISISTEMAS</v>
          </cell>
          <cell r="H62" t="str">
            <v>Autoevaluación Institucional y Pruebas SABER 11</v>
          </cell>
          <cell r="I62" t="str">
            <v>SEGUIMIENTO_Y_SUPERVISIÓN.</v>
          </cell>
          <cell r="J62" t="str">
            <v>Proponer estrategias en la formulación, verificar su elaboración y realizar seguimiento semestral al desarrollo de  las acciones establecidas en los planes de mejoramiento por pruebas SABER 11 de los establecimientos de educación formal.</v>
          </cell>
          <cell r="K62" t="str">
            <v>NELSON AUGUSTO CUBILLOS OLARTE</v>
          </cell>
          <cell r="L62" t="str">
            <v xml:space="preserve">SANDRA JAZMÍN BAQUERO CÓRDOBA
NELSON AUGUSTO CUBILLOS OLARTE
CLAUDIA PATRICIA GRANADOS FLÓREZ
</v>
          </cell>
          <cell r="M62">
            <v>45791</v>
          </cell>
          <cell r="N62">
            <v>45805</v>
          </cell>
          <cell r="O62">
            <v>45805</v>
          </cell>
          <cell r="P62" t="str">
            <v>Visitas de evaluación con fines de seguimiento</v>
          </cell>
          <cell r="Q62" t="str">
            <v>Tecnisistemas Visita 28-05-2025.pdf</v>
          </cell>
          <cell r="R62" t="str">
            <v>Existen actividades para superar la clasificación "C" pero, en las actas de Consejo Académico no se ve reflejada la discusión e implementación de acciones de un plan mejoramiento.</v>
          </cell>
          <cell r="S62" t="str">
            <v>Elaborar e implementar el plan de mejoramiento para la superación de la clasificación "C"</v>
          </cell>
          <cell r="T62" t="str">
            <v>Si</v>
          </cell>
          <cell r="U62" t="str">
            <v>Revisar el PMI construido y su ejecución.</v>
          </cell>
        </row>
        <row r="63">
          <cell r="A63">
            <v>2448</v>
          </cell>
          <cell r="B63"/>
          <cell r="C63" t="str">
            <v>TUNJUELITO</v>
          </cell>
          <cell r="D63" t="str">
            <v>PRIVADO</v>
          </cell>
          <cell r="E63" t="str">
            <v>Educación de Jóvenes y Adultos</v>
          </cell>
          <cell r="F63" t="str">
            <v>COLEGIO_TECNISISTEMAS</v>
          </cell>
          <cell r="G63" t="str">
            <v>COLEGIO TECNISISTEMAS</v>
          </cell>
          <cell r="H63" t="str">
            <v>Autoevaluación Institucional y Pruebas SABER 11</v>
          </cell>
          <cell r="I63" t="str">
            <v>SEGUIMIENTO_Y_SUPERVISIÓN.</v>
          </cell>
          <cell r="J63" t="str">
            <v xml:space="preserve">Verificar la implementación por parte de los colegios, de acciones realizadas para la prevención y atención de las situaciones de convivencia en el entorno escolar, según lo establecido en la Directiva 01 de 2022 del MEN. </v>
          </cell>
          <cell r="K63" t="str">
            <v>NELSON AUGUSTO CUBILLOS OLARTE</v>
          </cell>
          <cell r="L63" t="str">
            <v xml:space="preserve">SANDRA JAZMÍN BAQUERO CÓRDOBA
NELSON AUGUSTO CUBILLOS OLARTE
CLAUDIA PATRICIA GRANADOS FLÓREZ
</v>
          </cell>
          <cell r="M63">
            <v>45791</v>
          </cell>
          <cell r="N63">
            <v>45805</v>
          </cell>
          <cell r="O63">
            <v>45805</v>
          </cell>
          <cell r="P63" t="str">
            <v>Visitas de evaluación con fines de seguimiento</v>
          </cell>
          <cell r="Q63" t="str">
            <v>Tecnisistemas Visita 28-05-2025.pdf</v>
          </cell>
          <cell r="R63" t="str">
            <v>Se realizan las verificaciones de antecedentes de inhabilidades por delitos sexuales cada cuatro meses y se implementan procesos de promoción y prevención a la comunidad</v>
          </cell>
          <cell r="S63" t="str">
            <v>Documentar las actividades a la comunidad por medio de actas en cada una de ellas que den cuenta de la planeación, ejecución y evaluación.</v>
          </cell>
          <cell r="T63" t="str">
            <v>Si</v>
          </cell>
          <cell r="U63" t="str">
            <v>Revisar los planes suscritos y su ejecución documental y presencialmente.</v>
          </cell>
        </row>
        <row r="64">
          <cell r="A64">
            <v>2449</v>
          </cell>
          <cell r="B64"/>
          <cell r="C64" t="str">
            <v>TUNJUELITO</v>
          </cell>
          <cell r="D64" t="str">
            <v>PRIVADO</v>
          </cell>
          <cell r="E64" t="str">
            <v>Educación de Jóvenes y Adultos</v>
          </cell>
          <cell r="F64" t="str">
            <v>COLEGIO_TECNISISTEMAS</v>
          </cell>
          <cell r="G64" t="str">
            <v>COLEGIO TECNISISTEMAS</v>
          </cell>
          <cell r="H64" t="str">
            <v>Autoevaluación Institucional y Pruebas SABER 11</v>
          </cell>
          <cell r="I64" t="str">
            <v>SEGUIMIENTO_Y_SUPERVISIÓN.</v>
          </cell>
          <cell r="J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4" t="str">
            <v>NELSON AUGUSTO CUBILLOS OLARTE</v>
          </cell>
          <cell r="L64" t="str">
            <v xml:space="preserve">SANDRA JAZMÍN BAQUERO CÓRDOBA
NELSON AUGUSTO CUBILLOS OLARTE
CLAUDIA PATRICIA GRANADOS FLÓREZ
</v>
          </cell>
          <cell r="M64">
            <v>45791</v>
          </cell>
          <cell r="N64">
            <v>45805</v>
          </cell>
          <cell r="O64">
            <v>45805</v>
          </cell>
          <cell r="P64" t="str">
            <v>Visitas de evaluación con fines de seguimiento</v>
          </cell>
          <cell r="Q64" t="str">
            <v>Tecnisistemas Visita 28-05-2025.pdf</v>
          </cell>
          <cell r="R64" t="str">
            <v>La institución elabora os planes de ajustes razonables, pero estos no contienen las firmas de los intervinientes en las actas.</v>
          </cell>
          <cell r="S64" t="str">
            <v>Realizar los proceso de actualización de los PIAR y firmarlos</v>
          </cell>
          <cell r="T64" t="str">
            <v>Si</v>
          </cell>
          <cell r="U64" t="str">
            <v>PIAR con sus firmas y seguimientos en próxima visita.</v>
          </cell>
        </row>
        <row r="65">
          <cell r="A65">
            <v>2450</v>
          </cell>
          <cell r="B65"/>
          <cell r="C65" t="str">
            <v>TUNJUELITO</v>
          </cell>
          <cell r="D65" t="str">
            <v>PRIVADO</v>
          </cell>
          <cell r="E65" t="str">
            <v>Educación de Jóvenes y Adultos</v>
          </cell>
          <cell r="F65" t="str">
            <v>COLEGIO_TECNISISTEMAS</v>
          </cell>
          <cell r="G65" t="str">
            <v>COLEGIO TECNISISTEMAS</v>
          </cell>
          <cell r="H65" t="str">
            <v>Autoevaluación Institucional y Pruebas SABER 11</v>
          </cell>
          <cell r="I65" t="str">
            <v>EVALUACIÓN_CON_FINES_DE_MEJORAMIENTO.</v>
          </cell>
          <cell r="J6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5" t="str">
            <v>NELSON AUGUSTO CUBILLOS OLARTE</v>
          </cell>
          <cell r="L65" t="str">
            <v xml:space="preserve">SANDRA JAZMÍN BAQUERO CÓRDOBA
NELSON AUGUSTO CUBILLOS OLARTE
CLAUDIA PATRICIA GRANADOS FLÓREZ
</v>
          </cell>
          <cell r="M65">
            <v>45791</v>
          </cell>
          <cell r="N65">
            <v>45805</v>
          </cell>
          <cell r="O65">
            <v>45805</v>
          </cell>
          <cell r="P65" t="str">
            <v>Visitas de evaluación con fines de mejoramiento</v>
          </cell>
          <cell r="Q65" t="str">
            <v>Tecnisistemas Visita 28-05-2025.pdf</v>
          </cell>
          <cell r="R65" t="str">
            <v>La institución construye y actualiza el Manual en forma participativa, se evidencia la necesidad de actualizar en aspectos como el SIEE y la tipificación de las faltas tipo.</v>
          </cell>
          <cell r="S65" t="str">
            <v>Estructurar el proceso de actualización del Manual en lo conceriniente a la inclusión del SIEE completo y el proceso en las faltas tipo.</v>
          </cell>
          <cell r="T65" t="str">
            <v>Si</v>
          </cell>
          <cell r="U65" t="str">
            <v>Verificar el proceso de actualización que se consigne en el PMI.</v>
          </cell>
        </row>
        <row r="66">
          <cell r="A66">
            <v>2451</v>
          </cell>
          <cell r="B66"/>
          <cell r="C66" t="str">
            <v>TUNJUELITO</v>
          </cell>
          <cell r="D66" t="str">
            <v>PRIVADO</v>
          </cell>
          <cell r="E66" t="str">
            <v>Educación de Jóvenes y Adultos</v>
          </cell>
          <cell r="F66" t="str">
            <v>COLEGIO_TECNISISTEMAS</v>
          </cell>
          <cell r="G66" t="str">
            <v>COLEGIO TECNISISTEMAS</v>
          </cell>
          <cell r="H66" t="str">
            <v>Autoevaluación Institucional y Pruebas SABER 11</v>
          </cell>
          <cell r="I66" t="str">
            <v>EVALUACIÓN_CON_FINES_DE_MEJORAMIENTO.</v>
          </cell>
          <cell r="J66" t="str">
            <v>Revisar la actualización, socialización e implementación del Sistema Institucional de Evaluación de Estudiantes - SIEE, en articulación con la actualización del PEI y la normatividad vigente.</v>
          </cell>
          <cell r="K66" t="str">
            <v>NELSON AUGUSTO CUBILLOS OLARTE</v>
          </cell>
          <cell r="L66" t="str">
            <v xml:space="preserve">SANDRA JAZMÍN BAQUERO CÓRDOBA
NELSON AUGUSTO CUBILLOS OLARTE
CLAUDIA PATRICIA GRANADOS FLÓREZ
</v>
          </cell>
          <cell r="M66">
            <v>45791</v>
          </cell>
          <cell r="N66">
            <v>45805</v>
          </cell>
          <cell r="O66">
            <v>45805</v>
          </cell>
          <cell r="P66" t="str">
            <v>Visitas de evaluación con fines de mejoramiento</v>
          </cell>
          <cell r="Q66" t="str">
            <v>Tecnisistemas Visita 28-05-2025.pdf</v>
          </cell>
          <cell r="R66" t="str">
            <v>Existen procesos, practicas evaluativas y de acompañamiento que no se encuentran consignados en el documento SIEE en el manual de convivencia.</v>
          </cell>
          <cell r="S66" t="str">
            <v>Organizar el proceso de actualización para incluir todos los proceso y prácticas de la institución en el SIEE y en el manual de convivencia.</v>
          </cell>
          <cell r="T66" t="str">
            <v>Si</v>
          </cell>
          <cell r="U66" t="str">
            <v>Verificar el proceso de actualización que se consigne en el PMI.</v>
          </cell>
        </row>
        <row r="67">
          <cell r="A67">
            <v>2452</v>
          </cell>
          <cell r="B67"/>
          <cell r="C67" t="str">
            <v>TUNJUELITO</v>
          </cell>
          <cell r="D67" t="str">
            <v>PRIVADO</v>
          </cell>
          <cell r="E67" t="str">
            <v>Educación de Jóvenes y Adultos</v>
          </cell>
          <cell r="F67" t="str">
            <v>COLEGIO_TECNISISTEMAS</v>
          </cell>
          <cell r="G67" t="str">
            <v>COLEGIO TECNISISTEMAS</v>
          </cell>
          <cell r="H67" t="str">
            <v>Autoevaluación Institucional y Pruebas SABER 11</v>
          </cell>
          <cell r="I67" t="str">
            <v>EVALUACIÓN_CON_FINES_DE_MEJORAMIENTO.</v>
          </cell>
          <cell r="J67" t="str">
            <v>Revisar el calendario escolar, jornada escolar, la intensidad horaria mínima anual en cada nivel y las modificaciones que se realicen al mismo, de acuerdo con lo previsto en la normatividad vigente.</v>
          </cell>
          <cell r="K67" t="str">
            <v>NELSON AUGUSTO CUBILLOS OLARTE</v>
          </cell>
          <cell r="L67" t="str">
            <v xml:space="preserve">SANDRA JAZMÍN BAQUERO CÓRDOBA
NELSON AUGUSTO CUBILLOS OLARTE
CLAUDIA PATRICIA GRANADOS FLÓREZ
</v>
          </cell>
          <cell r="M67">
            <v>45791</v>
          </cell>
          <cell r="N67">
            <v>45805</v>
          </cell>
          <cell r="O67">
            <v>45805</v>
          </cell>
          <cell r="P67" t="str">
            <v>Visitas de evaluación con fines de mejoramiento</v>
          </cell>
          <cell r="Q67" t="str">
            <v>Tecnisistemas Visita 28-05-2025.pdf</v>
          </cell>
          <cell r="R67" t="str">
            <v>El colegio cumple con las horas correspondientes establecidas en el decreto 1075 de 2015 para los ciclos aprobados (III, IV de Básica y I y II de media).</v>
          </cell>
          <cell r="S67" t="str">
            <v>Cumplir con el calendario recordando la intensidad horaria</v>
          </cell>
          <cell r="T67" t="str">
            <v>No</v>
          </cell>
          <cell r="U67" t="str">
            <v>Continuar las verificaciones el próximo año.</v>
          </cell>
        </row>
        <row r="68">
          <cell r="A68">
            <v>2453</v>
          </cell>
          <cell r="B68"/>
          <cell r="C68" t="str">
            <v>TUNJUELITO</v>
          </cell>
          <cell r="D68" t="str">
            <v>PRIVADO</v>
          </cell>
          <cell r="E68" t="str">
            <v>Educación de Jóvenes y Adultos</v>
          </cell>
          <cell r="F68" t="str">
            <v>COLEGIO_TECNISISTEMAS</v>
          </cell>
          <cell r="G68" t="str">
            <v>COLEGIO TECNISISTEMAS</v>
          </cell>
          <cell r="H68" t="str">
            <v>Autoevaluación Institucional y Pruebas SABER 11</v>
          </cell>
          <cell r="I68" t="str">
            <v>EVALUACIÓN_CON_FINES_DE_MEJORAMIENTO.</v>
          </cell>
          <cell r="J68" t="str">
            <v>Verificar el funcionamiento del Gobierno Escolar e instancias de participación con base en la información sobre conformación reportada por la institución educativa.</v>
          </cell>
          <cell r="K68" t="str">
            <v>NELSON AUGUSTO CUBILLOS OLARTE</v>
          </cell>
          <cell r="L68" t="str">
            <v xml:space="preserve">SANDRA JAZMÍN BAQUERO CÓRDOBA
NELSON AUGUSTO CUBILLOS OLARTE
CLAUDIA PATRICIA GRANADOS FLÓREZ
</v>
          </cell>
          <cell r="M68">
            <v>45791</v>
          </cell>
          <cell r="N68">
            <v>45805</v>
          </cell>
          <cell r="O68">
            <v>45805</v>
          </cell>
          <cell r="P68" t="str">
            <v>Visitas de evaluación con fines de mejoramiento</v>
          </cell>
          <cell r="Q68" t="str">
            <v>Tecnisistemas Visita 28-05-2025.pdf</v>
          </cell>
          <cell r="R68" t="str">
            <v>La institución cumple con los tiempos de conformación y reporte del las instancias del gobierno escolar y organos de participación, además se evidencia la operatividad de los organos en las actas presentadas.</v>
          </cell>
          <cell r="S68" t="str">
            <v>Es necesario impulsar mas la reunion de los organos pde participación de los padres y estudiantes.</v>
          </cell>
          <cell r="T68" t="str">
            <v>No</v>
          </cell>
          <cell r="U68" t="str">
            <v>Continuar las verificaciones el próximo año.</v>
          </cell>
        </row>
        <row r="69">
          <cell r="A69">
            <v>2454</v>
          </cell>
          <cell r="B69"/>
          <cell r="C69" t="str">
            <v>TUNJUELITO</v>
          </cell>
          <cell r="D69" t="str">
            <v>PRIVADO</v>
          </cell>
          <cell r="E69" t="str">
            <v>Educación de Jóvenes y Adultos</v>
          </cell>
          <cell r="F69" t="str">
            <v>COLEGIO_TECNISISTEMAS</v>
          </cell>
          <cell r="G69" t="str">
            <v>COLEGIO TECNISISTEMAS</v>
          </cell>
          <cell r="H69" t="str">
            <v>Autoevaluación Institucional y Pruebas SABER 11</v>
          </cell>
          <cell r="I69" t="str">
            <v>EVALUACIÓN_CON_FINES_DE_MEJORAMIENTO.</v>
          </cell>
          <cell r="J69" t="str">
            <v>Verificar las condiciones en cuanto a: la estructura administrativa, condiciones de la planta física y medios educativos adecuados.</v>
          </cell>
          <cell r="K69" t="str">
            <v>NELSON AUGUSTO CUBILLOS OLARTE</v>
          </cell>
          <cell r="L69" t="str">
            <v xml:space="preserve">SANDRA JAZMÍN BAQUERO CÓRDOBA
NELSON AUGUSTO CUBILLOS OLARTE
CLAUDIA PATRICIA GRANADOS FLÓREZ
</v>
          </cell>
          <cell r="M69">
            <v>45791</v>
          </cell>
          <cell r="N69">
            <v>45805</v>
          </cell>
          <cell r="O69">
            <v>45805</v>
          </cell>
          <cell r="P69" t="str">
            <v>Visitas de evaluación con fines de mejoramiento</v>
          </cell>
          <cell r="Q69" t="str">
            <v>Tecnisistemas Visita 28-05-2025.pdf</v>
          </cell>
          <cell r="R69" t="str">
            <v>La institución cuenta con los espacios suficientes para la prestación del servicio solo se evidencia la falta de utilización de laboratorios y la desactualización de la biblioteca.</v>
          </cell>
          <cell r="S69" t="str">
            <v>Se elabora PMI en el que se estructure la utilización de los laboratorios y se plasmen los procesos de actualización de la biblioteca fisica de la institución.</v>
          </cell>
          <cell r="T69" t="str">
            <v>Si</v>
          </cell>
          <cell r="U69" t="str">
            <v>Recibir el PMI y realizar el seguimiento por medio de visita y verificación documental del plan.</v>
          </cell>
        </row>
        <row r="70">
          <cell r="A70">
            <v>2455</v>
          </cell>
          <cell r="B70">
            <v>8</v>
          </cell>
          <cell r="C70" t="str">
            <v>TUNJUELITO</v>
          </cell>
          <cell r="D70" t="str">
            <v>PRIVADO</v>
          </cell>
          <cell r="E70" t="str">
            <v>EPBM</v>
          </cell>
          <cell r="F70" t="str">
            <v>GIMNASIO_COMERCIAL_LOS_ANDES</v>
          </cell>
          <cell r="G70" t="str">
            <v>GIMNASIO COMERCIAL LOS ANDES</v>
          </cell>
          <cell r="H70" t="str">
            <v>Autoevaluación Institucional y Pruebas SABER 11</v>
          </cell>
          <cell r="I70" t="str">
            <v>SEGUIMIENTO_Y_SUPERVISIÓN.</v>
          </cell>
          <cell r="J70" t="str">
            <v>Realizar visitas para verificar la información registrada sobre la autoevaluación institucional en el aplicativo EVI, a los establecimientos de educación formal no oficial.</v>
          </cell>
          <cell r="K70" t="str">
            <v>CLAUDIA PATRICIA GRANADOS FLÓREZ</v>
          </cell>
          <cell r="L70" t="str">
            <v xml:space="preserve">SANDRA JAZMÍN BAQUERO CÓRDOBA
NELSON AUGUSTO CUBILLOS OLARTE
CLAUDIA PATRICIA GRANADOS FLÓREZ
</v>
          </cell>
          <cell r="M70">
            <v>45870</v>
          </cell>
          <cell r="N70">
            <v>45870</v>
          </cell>
          <cell r="O70">
            <v>45870</v>
          </cell>
          <cell r="P70" t="str">
            <v>Visitas de evaluación con fines de seguimiento</v>
          </cell>
          <cell r="Q70" t="str">
            <v>GIMNASIO COMERCIAL LOS ANDES</v>
          </cell>
          <cell r="R70" t="str">
            <v>Se evidencia carencia de espacios en la infraestructura, ajustes para el PEI, curriculo, servicio social, orientación escolar,  manual de funciones,  etc.</v>
          </cell>
          <cell r="S70" t="str">
            <v>Presentación del PMI 15 de septiembre de 2025</v>
          </cell>
          <cell r="T70" t="str">
            <v>Si</v>
          </cell>
          <cell r="U70" t="str">
            <v>Se revisara el plan de mejoramiento aportado para verificar su pertinencia y porsterior seguimiento para su cumplimiento</v>
          </cell>
        </row>
        <row r="71">
          <cell r="A71">
            <v>2456</v>
          </cell>
          <cell r="B71"/>
          <cell r="C71" t="str">
            <v>TUNJUELITO</v>
          </cell>
          <cell r="D71" t="str">
            <v>PRIVADO</v>
          </cell>
          <cell r="E71" t="str">
            <v>EPBM</v>
          </cell>
          <cell r="F71" t="str">
            <v>GIMNASIO_COMERCIAL_LOS_ANDES</v>
          </cell>
          <cell r="G71" t="str">
            <v>GIMNASIO COMERCIAL LOS ANDES</v>
          </cell>
          <cell r="H71" t="str">
            <v>Autoevaluación Institucional y Pruebas SABER 11</v>
          </cell>
          <cell r="I71" t="str">
            <v>SEGUIMIENTO_Y_SUPERVISIÓN.</v>
          </cell>
          <cell r="J71" t="str">
            <v>Proponer estrategias en la formulación, verificar su elaboración y realizar seguimiento semestral al desarrollo de  las acciones establecidas en los planes de mejoramiento por pruebas SABER 11 de los establecimientos de educación formal.</v>
          </cell>
          <cell r="K71" t="str">
            <v>CLAUDIA PATRICIA GRANADOS FLÓREZ</v>
          </cell>
          <cell r="L71" t="str">
            <v xml:space="preserve">SANDRA JAZMÍN BAQUERO CÓRDOBA
NELSON AUGUSTO CUBILLOS OLARTE
CLAUDIA PATRICIA GRANADOS FLÓREZ
</v>
          </cell>
          <cell r="M71">
            <v>45870</v>
          </cell>
          <cell r="N71">
            <v>45870</v>
          </cell>
          <cell r="O71">
            <v>45870</v>
          </cell>
          <cell r="P71" t="str">
            <v>Visitas de evaluación con fines de seguimiento</v>
          </cell>
          <cell r="Q71" t="str">
            <v>GIMNASIO COMERCIAL LOS ANDES</v>
          </cell>
          <cell r="R71" t="str">
            <v>La Institucion esta clasificada en Categoria B. para el año 2024</v>
          </cell>
          <cell r="S71" t="str">
            <v>Continuidad en el seguimiento para mantener la categoria o superarla</v>
          </cell>
          <cell r="T71" t="str">
            <v>No</v>
          </cell>
          <cell r="U71" t="str">
            <v>Se verificará la  formulación para la siguiente vigencia o en caso de presentarse una queja</v>
          </cell>
        </row>
        <row r="72">
          <cell r="A72">
            <v>2457</v>
          </cell>
          <cell r="B72"/>
          <cell r="C72" t="str">
            <v>TUNJUELITO</v>
          </cell>
          <cell r="D72" t="str">
            <v>PRIVADO</v>
          </cell>
          <cell r="E72" t="str">
            <v>EPBM</v>
          </cell>
          <cell r="F72" t="str">
            <v>GIMNASIO_COMERCIAL_LOS_ANDES</v>
          </cell>
          <cell r="G72" t="str">
            <v>GIMNASIO COMERCIAL LOS ANDES</v>
          </cell>
          <cell r="H72" t="str">
            <v>Autoevaluación Institucional y Pruebas SABER 11</v>
          </cell>
          <cell r="I72" t="str">
            <v>SEGUIMIENTO_Y_SUPERVISIÓN.</v>
          </cell>
          <cell r="J72" t="str">
            <v xml:space="preserve">Verificar la implementación por parte de los colegios, de acciones realizadas para la prevención y atención de las situaciones de convivencia en el entorno escolar, según lo establecido en la Directiva 01 de 2022 del MEN. </v>
          </cell>
          <cell r="K72" t="str">
            <v>CLAUDIA PATRICIA GRANADOS FLÓREZ</v>
          </cell>
          <cell r="L72" t="str">
            <v xml:space="preserve">SANDRA JAZMÍN BAQUERO CÓRDOBA
NELSON AUGUSTO CUBILLOS OLARTE
CLAUDIA PATRICIA GRANADOS FLÓREZ
</v>
          </cell>
          <cell r="M72">
            <v>45870</v>
          </cell>
          <cell r="N72">
            <v>45870</v>
          </cell>
          <cell r="O72">
            <v>45870</v>
          </cell>
          <cell r="P72" t="str">
            <v>Visitas de evaluación con fines de seguimiento</v>
          </cell>
          <cell r="Q72" t="str">
            <v>GIMNASIO COMERCIAL LOS ANDES</v>
          </cell>
          <cell r="R72" t="str">
            <v>Revisadas las carpetas de los docentes se evidencia la consulta realizada por la IE frente a los antecentes, en revision de manual de convivencia se hacen observaciones implementacion Ley 1620</v>
          </cell>
          <cell r="S72" t="str">
            <v>Se recomienda dejar las evidencias en carpetas y verificar todos los docentes</v>
          </cell>
          <cell r="T72" t="str">
            <v>No</v>
          </cell>
          <cell r="U72" t="str">
            <v>Se verificará la continuidad de su cumplimiento o en caso de presentarse una queja</v>
          </cell>
        </row>
        <row r="73">
          <cell r="A73">
            <v>2458</v>
          </cell>
          <cell r="B73"/>
          <cell r="C73" t="str">
            <v>TUNJUELITO</v>
          </cell>
          <cell r="D73" t="str">
            <v>PRIVADO</v>
          </cell>
          <cell r="E73" t="str">
            <v>EPBM</v>
          </cell>
          <cell r="F73" t="str">
            <v>GIMNASIO_COMERCIAL_LOS_ANDES</v>
          </cell>
          <cell r="G73" t="str">
            <v>GIMNASIO COMERCIAL LOS ANDES</v>
          </cell>
          <cell r="H73" t="str">
            <v>Autoevaluación Institucional y Pruebas SABER 11</v>
          </cell>
          <cell r="I73" t="str">
            <v>SEGUIMIENTO_Y_SUPERVISIÓN.</v>
          </cell>
          <cell r="J7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3" t="str">
            <v>CLAUDIA PATRICIA GRANADOS FLÓREZ</v>
          </cell>
          <cell r="L73" t="str">
            <v xml:space="preserve">SANDRA JAZMÍN BAQUERO CÓRDOBA
NELSON AUGUSTO CUBILLOS OLARTE
CLAUDIA PATRICIA GRANADOS FLÓREZ
</v>
          </cell>
          <cell r="M73">
            <v>45870</v>
          </cell>
          <cell r="N73">
            <v>45870</v>
          </cell>
          <cell r="O73">
            <v>45870</v>
          </cell>
          <cell r="P73" t="str">
            <v>Visitas de evaluación con fines de seguimiento</v>
          </cell>
          <cell r="Q73" t="str">
            <v>GIMNASIO COMERCIAL LOS ANDES</v>
          </cell>
          <cell r="R73" t="str">
            <v>La Institucion no utiliza los formatos establecidos en la  implementacion del 1421 y PIAR para los de cuatro (4) estudiantes con discapacidad  registrados en aplicativo SIMAT  con el area de orientacion</v>
          </cell>
          <cell r="S73" t="str">
            <v>Presentación del PMI 15 de septiembre de 2025</v>
          </cell>
          <cell r="T73" t="str">
            <v>SI</v>
          </cell>
          <cell r="U73" t="str">
            <v>Se verificará la continuidad de su cumplimiento o en caso de presentarse una queja</v>
          </cell>
        </row>
        <row r="74">
          <cell r="A74">
            <v>2459</v>
          </cell>
          <cell r="B74"/>
          <cell r="C74" t="str">
            <v>TUNJUELITO</v>
          </cell>
          <cell r="D74" t="str">
            <v>PRIVADO</v>
          </cell>
          <cell r="E74" t="str">
            <v>EPBM</v>
          </cell>
          <cell r="F74" t="str">
            <v>GIMNASIO_COMERCIAL_LOS_ANDES</v>
          </cell>
          <cell r="G74" t="str">
            <v>GIMNASIO COMERCIAL LOS ANDES</v>
          </cell>
          <cell r="H74" t="str">
            <v>Autoevaluación Institucional y Pruebas SABER 11</v>
          </cell>
          <cell r="I74" t="str">
            <v>EVALUACIÓN_CON_FINES_DE_MEJORAMIENTO.</v>
          </cell>
          <cell r="J7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4" t="str">
            <v>CLAUDIA PATRICIA GRANADOS FLÓREZ</v>
          </cell>
          <cell r="L74" t="str">
            <v xml:space="preserve">SANDRA JAZMÍN BAQUERO CÓRDOBA
NELSON AUGUSTO CUBILLOS OLARTE
CLAUDIA PATRICIA GRANADOS FLÓREZ
</v>
          </cell>
          <cell r="M74">
            <v>45870</v>
          </cell>
          <cell r="N74">
            <v>45870</v>
          </cell>
          <cell r="O74">
            <v>45870</v>
          </cell>
          <cell r="P74" t="str">
            <v>Visitas de evaluación con fines de mejoramiento</v>
          </cell>
          <cell r="Q74" t="str">
            <v>GIMNASIO COMERCIAL LOS ANDES</v>
          </cell>
          <cell r="R74" t="str">
            <v>Revisado el manual de convivencia presentado por la IE Se encuentran novedades frente a aspectos como rutas de atencion., protocolos, de Ley 1620, decreto 1965, decreto 1421 , debido proceso entre otros,</v>
          </cell>
          <cell r="S74" t="str">
            <v>Presentación del PMI 15 de septiembre de 2025</v>
          </cell>
          <cell r="T74" t="str">
            <v>Si</v>
          </cell>
          <cell r="U74" t="str">
            <v>Se revisara el plan de mejoramiento aportado para verificar su pertinencia y porsterior seguimiento para su cumplimiento</v>
          </cell>
        </row>
        <row r="75">
          <cell r="A75">
            <v>2460</v>
          </cell>
          <cell r="B75"/>
          <cell r="C75" t="str">
            <v>TUNJUELITO</v>
          </cell>
          <cell r="D75" t="str">
            <v>PRIVADO</v>
          </cell>
          <cell r="E75" t="str">
            <v>EPBM</v>
          </cell>
          <cell r="F75" t="str">
            <v>GIMNASIO_COMERCIAL_LOS_ANDES</v>
          </cell>
          <cell r="G75" t="str">
            <v>GIMNASIO COMERCIAL LOS ANDES</v>
          </cell>
          <cell r="H75" t="str">
            <v>Autoevaluación Institucional y Pruebas SABER 11</v>
          </cell>
          <cell r="I75" t="str">
            <v>EVALUACIÓN_CON_FINES_DE_MEJORAMIENTO.</v>
          </cell>
          <cell r="J75" t="str">
            <v>Revisar la actualización, socialización e implementación del Sistema Institucional de Evaluación de Estudiantes - SIEE, en articulación con la actualización del PEI y la normatividad vigente.</v>
          </cell>
          <cell r="K75" t="str">
            <v>CLAUDIA PATRICIA GRANADOS FLÓREZ</v>
          </cell>
          <cell r="L75" t="str">
            <v xml:space="preserve">SANDRA JAZMÍN BAQUERO CÓRDOBA
NELSON AUGUSTO CUBILLOS OLARTE
CLAUDIA PATRICIA GRANADOS FLÓREZ
</v>
          </cell>
          <cell r="M75">
            <v>45870</v>
          </cell>
          <cell r="N75">
            <v>45870</v>
          </cell>
          <cell r="O75">
            <v>45870</v>
          </cell>
          <cell r="P75" t="str">
            <v>Visitas de evaluación con fines de mejoramiento</v>
          </cell>
          <cell r="Q75" t="str">
            <v>GIMNASIO COMERCIAL LOS ANDES</v>
          </cell>
          <cell r="R75" t="str">
            <v>Revisado el SIIE se encuentran novedades frente al contenido minimo frente al Decreto 1075 de 2015 antes decreto 1290</v>
          </cell>
          <cell r="S75" t="str">
            <v>Presentación del PMI 15 de septiembre de 2025</v>
          </cell>
          <cell r="T75" t="str">
            <v>Si</v>
          </cell>
          <cell r="U75" t="str">
            <v>Se revisara el plan de mejoramiento aportado para verificar su pertinencia y porsterior seguimiento para su cumplimiento</v>
          </cell>
        </row>
        <row r="76">
          <cell r="A76">
            <v>2461</v>
          </cell>
          <cell r="B76"/>
          <cell r="C76" t="str">
            <v>TUNJUELITO</v>
          </cell>
          <cell r="D76" t="str">
            <v>PRIVADO</v>
          </cell>
          <cell r="E76" t="str">
            <v>EPBM</v>
          </cell>
          <cell r="F76" t="str">
            <v>GIMNASIO_COMERCIAL_LOS_ANDES</v>
          </cell>
          <cell r="G76" t="str">
            <v>GIMNASIO COMERCIAL LOS ANDES</v>
          </cell>
          <cell r="H76" t="str">
            <v>Autoevaluación Institucional y Pruebas SABER 11</v>
          </cell>
          <cell r="I76" t="str">
            <v>EVALUACIÓN_CON_FINES_DE_MEJORAMIENTO.</v>
          </cell>
          <cell r="J76" t="str">
            <v>Revisar el calendario escolar, jornada escolar, la intensidad horaria mínima anual en cada nivel y las modificaciones que se realicen al mismo, de acuerdo con lo previsto en la normatividad vigente.</v>
          </cell>
          <cell r="K76" t="str">
            <v>CLAUDIA PATRICIA GRANADOS FLÓREZ</v>
          </cell>
          <cell r="L76" t="str">
            <v xml:space="preserve">SANDRA JAZMÍN BAQUERO CÓRDOBA
NELSON AUGUSTO CUBILLOS OLARTE
CLAUDIA PATRICIA GRANADOS FLÓREZ
</v>
          </cell>
          <cell r="M76">
            <v>45841</v>
          </cell>
          <cell r="N76">
            <v>45870</v>
          </cell>
          <cell r="O76">
            <v>45870</v>
          </cell>
          <cell r="P76" t="str">
            <v>Revisión documental</v>
          </cell>
          <cell r="Q76" t="str">
            <v>GIMN COMERCIAL LOS ANDES</v>
          </cell>
          <cell r="R76" t="str">
            <v>Se hace revisión documental y se verifica el cumplimiento de la intensidad horaria establecida en la normatividad vigente</v>
          </cell>
          <cell r="S76" t="str">
            <v>En los horarios presentados, se evidencian el cumplimiento de las horas efectivas anuales por nivel establecidas en la Resolución 1730 del 2004</v>
          </cell>
          <cell r="T76" t="str">
            <v>No</v>
          </cell>
          <cell r="U76" t="str">
            <v>Se verificará la  formulación para la siguiente vigencia o en caso de presentarse una queja</v>
          </cell>
        </row>
        <row r="77">
          <cell r="A77">
            <v>2462</v>
          </cell>
          <cell r="B77"/>
          <cell r="C77" t="str">
            <v>TUNJUELITO</v>
          </cell>
          <cell r="D77" t="str">
            <v>PRIVADO</v>
          </cell>
          <cell r="E77" t="str">
            <v>EPBM</v>
          </cell>
          <cell r="F77" t="str">
            <v>GIMNASIO_COMERCIAL_LOS_ANDES</v>
          </cell>
          <cell r="G77" t="str">
            <v>GIMNASIO COMERCIAL LOS ANDES</v>
          </cell>
          <cell r="H77" t="str">
            <v>Autoevaluación Institucional y Pruebas SABER 11</v>
          </cell>
          <cell r="I77" t="str">
            <v>EVALUACIÓN_CON_FINES_DE_MEJORAMIENTO.</v>
          </cell>
          <cell r="J77" t="str">
            <v>Verificar el funcionamiento del Gobierno Escolar e instancias de participación con base en la información sobre conformación reportada por la institución educativa.</v>
          </cell>
          <cell r="K77" t="str">
            <v>CLAUDIA PATRICIA GRANADOS FLÓREZ</v>
          </cell>
          <cell r="L77" t="str">
            <v xml:space="preserve">SANDRA JAZMÍN BAQUERO CÓRDOBA
NELSON AUGUSTO CUBILLOS OLARTE
CLAUDIA PATRICIA GRANADOS FLÓREZ
</v>
          </cell>
          <cell r="M77">
            <v>45870</v>
          </cell>
          <cell r="N77">
            <v>45870</v>
          </cell>
          <cell r="O77">
            <v>45870</v>
          </cell>
          <cell r="P77" t="str">
            <v>Visitas de evaluación con fines de seguimiento</v>
          </cell>
          <cell r="Q77" t="str">
            <v>GIMNASIO COMERCIAL LOS ANDES</v>
          </cell>
          <cell r="R77" t="str">
            <v>El colegio presenta las actas de cada una de las instancias donde se evidencia su funcionamiento años 2024 y 2025.</v>
          </cell>
          <cell r="S77" t="str">
            <v>La institución cumple con el funcionamiento del gobierno escolar.</v>
          </cell>
          <cell r="T77" t="str">
            <v>No</v>
          </cell>
          <cell r="U77" t="str">
            <v>Se verificará la conformación y funcionamiento en la siguiente vigencia o en caso de presentarse una queja</v>
          </cell>
        </row>
        <row r="78">
          <cell r="A78">
            <v>2463</v>
          </cell>
          <cell r="B78"/>
          <cell r="C78" t="str">
            <v>TUNJUELITO</v>
          </cell>
          <cell r="D78" t="str">
            <v>PRIVADO</v>
          </cell>
          <cell r="E78" t="str">
            <v>EPBM</v>
          </cell>
          <cell r="F78" t="str">
            <v>GIMNASIO_COMERCIAL_LOS_ANDES</v>
          </cell>
          <cell r="G78" t="str">
            <v>GIMNASIO COMERCIAL LOS ANDES</v>
          </cell>
          <cell r="H78" t="str">
            <v>Autoevaluación Institucional y Pruebas SABER 11</v>
          </cell>
          <cell r="I78" t="str">
            <v>EVALUACIÓN_CON_FINES_DE_MEJORAMIENTO.</v>
          </cell>
          <cell r="J78" t="str">
            <v>Verificar las condiciones en cuanto a: la estructura administrativa, condiciones de la planta física y medios educativos adecuados.</v>
          </cell>
          <cell r="K78" t="str">
            <v>CLAUDIA PATRICIA GRANADOS FLÓREZ</v>
          </cell>
          <cell r="L78" t="str">
            <v xml:space="preserve">SANDRA JAZMÍN BAQUERO CÓRDOBA
NELSON AUGUSTO CUBILLOS OLARTE
CLAUDIA PATRICIA GRANADOS FLÓREZ
</v>
          </cell>
          <cell r="M78">
            <v>45870</v>
          </cell>
          <cell r="N78">
            <v>45870</v>
          </cell>
          <cell r="O78">
            <v>45870</v>
          </cell>
          <cell r="P78" t="str">
            <v>Visitas de evaluación con fines de seguimiento</v>
          </cell>
          <cell r="Q78" t="str">
            <v>GIMNASIO COMERCIAL LOS ANDES</v>
          </cell>
          <cell r="R78" t="str">
            <v>Se evidencia carencia de espacios en la infraestructura como baño para poblacion con discapacidad, adecuar biblioteca</v>
          </cell>
          <cell r="S78" t="str">
            <v>Presentación del PMI 15 de septiembre de 2025</v>
          </cell>
          <cell r="T78" t="str">
            <v>Si</v>
          </cell>
          <cell r="U78" t="str">
            <v>Se revisara el plan de mejoramiento aportado para verificar su pertinencia y posterior seguimiento para su cumplimiento</v>
          </cell>
        </row>
        <row r="79">
          <cell r="A79">
            <v>2464</v>
          </cell>
          <cell r="B79">
            <v>9</v>
          </cell>
          <cell r="C79" t="str">
            <v>TUNJUELITO</v>
          </cell>
          <cell r="D79" t="str">
            <v>PRIVADO</v>
          </cell>
          <cell r="E79" t="str">
            <v>EPBM</v>
          </cell>
          <cell r="F79" t="str">
            <v>POLITECNICA_COLOMBIANA</v>
          </cell>
          <cell r="G79" t="str">
            <v>POLITECNICA COLOMBIANA</v>
          </cell>
          <cell r="H79" t="str">
            <v>Autoevaluación Institucional y Pruebas SABER 11</v>
          </cell>
          <cell r="I79" t="str">
            <v>SEGUIMIENTO_Y_SUPERVISIÓN.</v>
          </cell>
          <cell r="J79" t="str">
            <v>Realizar visitas para verificar la información registrada sobre la autoevaluación institucional en el aplicativo EVI, a los establecimientos de educación formal no oficial.</v>
          </cell>
          <cell r="K79" t="str">
            <v>SANDRA JAZMÍN BAQUERO CÓRDOBA</v>
          </cell>
          <cell r="L79" t="str">
            <v xml:space="preserve">SANDRA JAZMÍN BAQUERO CÓRDOBA
NELSON AUGUSTO CUBILLOS OLARTE
CLAUDIA PATRICIA GRANADOS FLÓREZ
</v>
          </cell>
          <cell r="M79">
            <v>45863</v>
          </cell>
          <cell r="N79">
            <v>45742</v>
          </cell>
          <cell r="O79" t="str">
            <v>26/3/2025</v>
          </cell>
          <cell r="P79" t="str">
            <v>Visitas de evaluación con fines de seguimiento</v>
          </cell>
          <cell r="Q79" t="str">
            <v>POLITECNICA COLOMBIA</v>
          </cell>
          <cell r="R79" t="str">
            <v>El establecimiento maneja contratos de prestación de servicio o por hora cátedra</v>
          </cell>
          <cell r="S79" t="str">
            <v>Se recomendó revisar el número de horas de cada uno de los docentes con el fin cumplir con la legislación laboral</v>
          </cell>
          <cell r="T79" t="str">
            <v>Si</v>
          </cell>
          <cell r="U79" t="str">
            <v>Presentó plan de mejoramiento y el 28 de julio se realizó el primer seguimiento. Se generaron observaciones.</v>
          </cell>
        </row>
        <row r="80">
          <cell r="A80">
            <v>2465</v>
          </cell>
          <cell r="B80"/>
          <cell r="C80" t="str">
            <v>TUNJUELITO</v>
          </cell>
          <cell r="D80" t="str">
            <v>PRIVADO</v>
          </cell>
          <cell r="E80" t="str">
            <v>EPBM</v>
          </cell>
          <cell r="F80" t="str">
            <v>POLITECNICA_COLOMBIANA</v>
          </cell>
          <cell r="G80" t="str">
            <v>POLITECNICA COLOMBIANA</v>
          </cell>
          <cell r="H80" t="str">
            <v>Autoevaluación Institucional y Pruebas SABER 11</v>
          </cell>
          <cell r="I80" t="str">
            <v>SEGUIMIENTO_Y_SUPERVISIÓN.</v>
          </cell>
          <cell r="J80" t="str">
            <v>Proponer estrategias en la formulación, verificar su elaboración y realizar seguimiento semestral al desarrollo de  las acciones establecidas en los planes de mejoramiento por pruebas SABER 11 de los establecimientos de educación formal.</v>
          </cell>
          <cell r="K80" t="str">
            <v>SANDRA JAZMÍN BAQUERO CÓRDOBA</v>
          </cell>
          <cell r="L80" t="str">
            <v xml:space="preserve">SANDRA JAZMÍN BAQUERO CÓRDOBA
NELSON AUGUSTO CUBILLOS OLARTE
CLAUDIA PATRICIA GRANADOS FLÓREZ
</v>
          </cell>
          <cell r="M80">
            <v>45863</v>
          </cell>
          <cell r="N80">
            <v>45742</v>
          </cell>
          <cell r="O80" t="str">
            <v>26/3/2025</v>
          </cell>
          <cell r="P80" t="str">
            <v>Visitas de evaluación con fines de seguimiento</v>
          </cell>
          <cell r="Q80" t="str">
            <v>POLITECNICA COLOMBIA</v>
          </cell>
          <cell r="R80" t="str">
            <v>El establecimiento no realiza seguimiento a los resultados de las pruebas saber</v>
          </cell>
          <cell r="S80" t="str">
            <v xml:space="preserve">Se recomendó realizar el respectivo seguimiento y realizar un plan de mejora </v>
          </cell>
          <cell r="T80" t="str">
            <v>Si</v>
          </cell>
          <cell r="U80" t="str">
            <v>Presentó plan de mejoramiento y el 28 de julio se realizó el primer seguimiento. Se generaron observaciones.</v>
          </cell>
        </row>
        <row r="81">
          <cell r="A81">
            <v>2466</v>
          </cell>
          <cell r="B81"/>
          <cell r="C81" t="str">
            <v>TUNJUELITO</v>
          </cell>
          <cell r="D81" t="str">
            <v>PRIVADO</v>
          </cell>
          <cell r="E81" t="str">
            <v>EPBM</v>
          </cell>
          <cell r="F81" t="str">
            <v>POLITECNICA_COLOMBIANA</v>
          </cell>
          <cell r="G81" t="str">
            <v>POLITECNICA COLOMBIANA</v>
          </cell>
          <cell r="H81" t="str">
            <v>Autoevaluación Institucional y Pruebas SABER 11</v>
          </cell>
          <cell r="I81" t="str">
            <v>SEGUIMIENTO_Y_SUPERVISIÓN.</v>
          </cell>
          <cell r="J81" t="str">
            <v xml:space="preserve">Verificar la implementación por parte de los colegios, de acciones realizadas para la prevención y atención de las situaciones de convivencia en el entorno escolar, según lo establecido en la Directiva 01 de 2022 del MEN. </v>
          </cell>
          <cell r="K81" t="str">
            <v>SANDRA JAZMÍN BAQUERO CÓRDOBA</v>
          </cell>
          <cell r="L81" t="str">
            <v xml:space="preserve">SANDRA JAZMÍN BAQUERO CÓRDOBA
NELSON AUGUSTO CUBILLOS OLARTE
CLAUDIA PATRICIA GRANADOS FLÓREZ
</v>
          </cell>
          <cell r="M81">
            <v>45863</v>
          </cell>
          <cell r="N81">
            <v>45742</v>
          </cell>
          <cell r="O81" t="str">
            <v>26/3/2025</v>
          </cell>
          <cell r="P81" t="str">
            <v>Visitas de evaluación con fines de seguimiento</v>
          </cell>
          <cell r="Q81" t="str">
            <v>POLITECNICA COLOMBIA</v>
          </cell>
          <cell r="R81" t="str">
            <v>El establecimiento sólo realiza la verificación al momento de suscribir el contrato con el docente</v>
          </cell>
          <cell r="S81" t="str">
            <v xml:space="preserve">Se recomendó la revisión de antecedentes cada 4 meses </v>
          </cell>
          <cell r="T81" t="str">
            <v>Si</v>
          </cell>
          <cell r="U81" t="str">
            <v>Presentó plan de mejoramiento y el 28 de julio se realizó el primer seguimiento. Se generaron observaciones.</v>
          </cell>
        </row>
        <row r="82">
          <cell r="A82">
            <v>2467</v>
          </cell>
          <cell r="B82"/>
          <cell r="C82" t="str">
            <v>TUNJUELITO</v>
          </cell>
          <cell r="D82" t="str">
            <v>PRIVADO</v>
          </cell>
          <cell r="E82" t="str">
            <v>EPBM</v>
          </cell>
          <cell r="F82" t="str">
            <v>POLITECNICA_COLOMBIANA</v>
          </cell>
          <cell r="G82" t="str">
            <v>POLITECNICA COLOMBIANA</v>
          </cell>
          <cell r="H82" t="str">
            <v>Autoevaluación Institucional y Pruebas SABER 11</v>
          </cell>
          <cell r="I82" t="str">
            <v>SEGUIMIENTO_Y_SUPERVISIÓN.</v>
          </cell>
          <cell r="J8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2" t="str">
            <v>SANDRA JAZMÍN BAQUERO CÓRDOBA</v>
          </cell>
          <cell r="L82" t="str">
            <v xml:space="preserve">SANDRA JAZMÍN BAQUERO CÓRDOBA
NELSON AUGUSTO CUBILLOS OLARTE
CLAUDIA PATRICIA GRANADOS FLÓREZ
</v>
          </cell>
          <cell r="M82">
            <v>45863</v>
          </cell>
          <cell r="N82">
            <v>45742</v>
          </cell>
          <cell r="O82" t="str">
            <v>26/3/2025</v>
          </cell>
          <cell r="P82" t="str">
            <v>Visitas de evaluación con fines de seguimiento</v>
          </cell>
          <cell r="Q82" t="str">
            <v>POLITECNICA COLOMBIA</v>
          </cell>
          <cell r="R82" t="str">
            <v>El establecimiento cumple con la implementacion de los PIAR</v>
          </cell>
          <cell r="S82" t="str">
            <v>El establecimiento debe generar los PIAR de acuerdo al Decreto 1421 de 2017</v>
          </cell>
          <cell r="T82" t="str">
            <v>No</v>
          </cell>
          <cell r="U82" t="str">
            <v>Se hará seguimiento en reunión y/o visita</v>
          </cell>
        </row>
        <row r="83">
          <cell r="A83">
            <v>2468</v>
          </cell>
          <cell r="B83"/>
          <cell r="C83" t="str">
            <v>TUNJUELITO</v>
          </cell>
          <cell r="D83" t="str">
            <v>PRIVADO</v>
          </cell>
          <cell r="E83" t="str">
            <v>EPBM</v>
          </cell>
          <cell r="F83" t="str">
            <v>POLITECNICA_COLOMBIANA</v>
          </cell>
          <cell r="G83" t="str">
            <v>POLITECNICA COLOMBIANA</v>
          </cell>
          <cell r="H83" t="str">
            <v>Autoevaluación Institucional y Pruebas SABER 11</v>
          </cell>
          <cell r="I83" t="str">
            <v>EVALUACIÓN_CON_FINES_DE_MEJORAMIENTO.</v>
          </cell>
          <cell r="J8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3" t="str">
            <v>SANDRA JAZMÍN BAQUERO CÓRDOBA</v>
          </cell>
          <cell r="L83" t="str">
            <v xml:space="preserve">SANDRA JAZMÍN BAQUERO CÓRDOBA
NELSON AUGUSTO CUBILLOS OLARTE
CLAUDIA PATRICIA GRANADOS FLÓREZ
</v>
          </cell>
          <cell r="M83">
            <v>45863</v>
          </cell>
          <cell r="N83">
            <v>45742</v>
          </cell>
          <cell r="O83" t="str">
            <v>26/3/2025</v>
          </cell>
          <cell r="P83" t="str">
            <v>Visitas de evaluación con fines de mejoramiento</v>
          </cell>
          <cell r="Q83" t="str">
            <v>POLITECNICA COLOMBIANA</v>
          </cell>
          <cell r="R83" t="str">
            <v xml:space="preserve">El Manual de Convivencia está fusionado para dos establecimientos educativos, no cumple </v>
          </cell>
          <cell r="S83" t="str">
            <v>El establecimiento educativo debe realizar los ajustes solicitados al manual de conviencia y presentar una propuesta para revisión</v>
          </cell>
          <cell r="T83" t="str">
            <v>SI</v>
          </cell>
          <cell r="U83" t="str">
            <v>Presentó plan de mejoramiento y el 28 de julio se realizó el primer seguimiento. Se generaron observaciones.</v>
          </cell>
        </row>
        <row r="84">
          <cell r="A84">
            <v>2469</v>
          </cell>
          <cell r="B84"/>
          <cell r="C84" t="str">
            <v>TUNJUELITO</v>
          </cell>
          <cell r="D84" t="str">
            <v>PRIVADO</v>
          </cell>
          <cell r="E84" t="str">
            <v>EPBM</v>
          </cell>
          <cell r="F84" t="str">
            <v>POLITECNICA_COLOMBIANA</v>
          </cell>
          <cell r="G84" t="str">
            <v>POLITECNICA COLOMBIANA</v>
          </cell>
          <cell r="H84" t="str">
            <v>Autoevaluación Institucional y Pruebas SABER 11</v>
          </cell>
          <cell r="I84" t="str">
            <v>EVALUACIÓN_CON_FINES_DE_MEJORAMIENTO.</v>
          </cell>
          <cell r="J84" t="str">
            <v>Revisar la actualización, socialización e implementación del Sistema Institucional de Evaluación de Estudiantes - SIEE, en articulación con la actualización del PEI y la normatividad vigente.</v>
          </cell>
          <cell r="K84" t="str">
            <v>SANDRA JAZMÍN BAQUERO CÓRDOBA</v>
          </cell>
          <cell r="L84" t="str">
            <v xml:space="preserve">SANDRA JAZMÍN BAQUERO CÓRDOBA
NELSON AUGUSTO CUBILLOS OLARTE
CLAUDIA PATRICIA GRANADOS FLÓREZ
</v>
          </cell>
          <cell r="M84">
            <v>45863</v>
          </cell>
          <cell r="N84">
            <v>45742</v>
          </cell>
          <cell r="O84" t="str">
            <v>26/3/2025</v>
          </cell>
          <cell r="P84" t="str">
            <v>Visitas de evaluación con fines de mejoramiento</v>
          </cell>
          <cell r="Q84" t="str">
            <v>POLITECNICA COLOMBIA</v>
          </cell>
          <cell r="R84" t="str">
            <v>Se encontró que debe realizar ajustes en el SIEE por cuanto debe dirigirse a educación por ciclos</v>
          </cell>
          <cell r="S84" t="str">
            <v>El establecimiento educativo debe realizar los ajustes solicitados tomando en cuenta el servicio educativo que ofrece</v>
          </cell>
          <cell r="T84" t="str">
            <v>si</v>
          </cell>
          <cell r="U84" t="str">
            <v>Presentó plan de mejoramiento y el 28 de julio se realizó el primer seguimiento. Se generaron observaciones.</v>
          </cell>
        </row>
        <row r="85">
          <cell r="A85">
            <v>2470</v>
          </cell>
          <cell r="B85"/>
          <cell r="C85" t="str">
            <v>TUNJUELITO</v>
          </cell>
          <cell r="D85" t="str">
            <v>PRIVADO</v>
          </cell>
          <cell r="E85" t="str">
            <v>EPBM</v>
          </cell>
          <cell r="F85" t="str">
            <v>POLITECNICA_COLOMBIANA</v>
          </cell>
          <cell r="G85" t="str">
            <v>POLITECNICA COLOMBIANA</v>
          </cell>
          <cell r="H85" t="str">
            <v>Autoevaluación Institucional y Pruebas SABER 11</v>
          </cell>
          <cell r="I85" t="str">
            <v>EVALUACIÓN_CON_FINES_DE_MEJORAMIENTO.</v>
          </cell>
          <cell r="J85" t="str">
            <v>Revisar el calendario escolar, jornada escolar, la intensidad horaria mínima anual en cada nivel y las modificaciones que se realicen al mismo, de acuerdo con lo previsto en la normatividad vigente.</v>
          </cell>
          <cell r="K85" t="str">
            <v>SANDRA JAZMÍN BAQUERO CÓRDOBA</v>
          </cell>
          <cell r="L85" t="str">
            <v xml:space="preserve">SANDRA JAZMÍN BAQUERO CÓRDOBA
NELSON AUGUSTO CUBILLOS OLARTE
CLAUDIA PATRICIA GRANADOS FLÓREZ
</v>
          </cell>
          <cell r="M85">
            <v>45863</v>
          </cell>
          <cell r="N85">
            <v>45742</v>
          </cell>
          <cell r="O85" t="str">
            <v>26/3/2025</v>
          </cell>
          <cell r="P85" t="str">
            <v>Visitas de evaluación con fines de mejoramiento</v>
          </cell>
          <cell r="Q85" t="str">
            <v>POLITECNICA COLOMBIA</v>
          </cell>
          <cell r="R85" t="str">
            <v>El establecimiento cumple con el calendario académico</v>
          </cell>
          <cell r="S85" t="str">
            <v>El establecimiento tiene autorizada la modalidad a distancia</v>
          </cell>
          <cell r="T85" t="str">
            <v>No</v>
          </cell>
          <cell r="U85" t="str">
            <v>Se hará seguimiento en reunión y/o visita</v>
          </cell>
        </row>
        <row r="86">
          <cell r="A86">
            <v>2471</v>
          </cell>
          <cell r="B86"/>
          <cell r="C86" t="str">
            <v>TUNJUELITO</v>
          </cell>
          <cell r="D86" t="str">
            <v>PRIVADO</v>
          </cell>
          <cell r="E86" t="str">
            <v>EPBM</v>
          </cell>
          <cell r="F86" t="str">
            <v>POLITECNICA_COLOMBIANA</v>
          </cell>
          <cell r="G86" t="str">
            <v>POLITECNICA COLOMBIANA</v>
          </cell>
          <cell r="H86" t="str">
            <v>Autoevaluación Institucional y Pruebas SABER 11</v>
          </cell>
          <cell r="I86" t="str">
            <v>EVALUACIÓN_CON_FINES_DE_MEJORAMIENTO.</v>
          </cell>
          <cell r="J86" t="str">
            <v>Verificar el funcionamiento del Gobierno Escolar e instancias de participación con base en la información sobre conformación reportada por la institución educativa.</v>
          </cell>
          <cell r="K86" t="str">
            <v>SANDRA JAZMÍN BAQUERO CÓRDOBA</v>
          </cell>
          <cell r="L86" t="str">
            <v xml:space="preserve">SANDRA JAZMÍN BAQUERO CÓRDOBA
NELSON AUGUSTO CUBILLOS OLARTE
CLAUDIA PATRICIA GRANADOS FLÓREZ
</v>
          </cell>
          <cell r="M86">
            <v>45863</v>
          </cell>
          <cell r="N86">
            <v>45742</v>
          </cell>
          <cell r="O86">
            <v>45742</v>
          </cell>
          <cell r="P86" t="str">
            <v>Visitas de evaluación con fines de mejoramiento</v>
          </cell>
          <cell r="Q86" t="str">
            <v>POLITECNICA COLOMBIA</v>
          </cell>
          <cell r="R86" t="str">
            <v>El establecimiento eligió el gobierno escolar y cuenta con acta de instalación</v>
          </cell>
          <cell r="S86" t="str">
            <v>El establecimiento debe realizar las actas periodicas correspondientes al funcionamiento de cada instancia</v>
          </cell>
          <cell r="T86" t="str">
            <v>No</v>
          </cell>
          <cell r="U86" t="str">
            <v>Se revisarán actas en próxima visita</v>
          </cell>
        </row>
        <row r="87">
          <cell r="A87">
            <v>2472</v>
          </cell>
          <cell r="B87"/>
          <cell r="C87" t="str">
            <v>TUNJUELITO</v>
          </cell>
          <cell r="D87" t="str">
            <v>PRIVADO</v>
          </cell>
          <cell r="E87" t="str">
            <v>EPBM</v>
          </cell>
          <cell r="F87" t="str">
            <v>POLITECNICA_COLOMBIANA</v>
          </cell>
          <cell r="G87" t="str">
            <v>POLITECNICA COLOMBIANA</v>
          </cell>
          <cell r="H87" t="str">
            <v>Autoevaluación Institucional y Pruebas SABER 11</v>
          </cell>
          <cell r="I87" t="str">
            <v>EVALUACIÓN_CON_FINES_DE_MEJORAMIENTO.</v>
          </cell>
          <cell r="J87" t="str">
            <v>Verificar las condiciones en cuanto a: la estructura administrativa, condiciones de la planta física y medios educativos adecuados.</v>
          </cell>
          <cell r="K87" t="str">
            <v>SANDRA JAZMÍN BAQUERO CÓRDOBA</v>
          </cell>
          <cell r="L87" t="str">
            <v xml:space="preserve">SANDRA JAZMÍN BAQUERO CÓRDOBA
NELSON AUGUSTO CUBILLOS OLARTE
CLAUDIA PATRICIA GRANADOS FLÓREZ
</v>
          </cell>
          <cell r="M87">
            <v>45863</v>
          </cell>
          <cell r="N87">
            <v>45742</v>
          </cell>
          <cell r="O87" t="str">
            <v>26/3/2025</v>
          </cell>
          <cell r="P87" t="str">
            <v>Visitas de evaluación con fines de mejoramiento</v>
          </cell>
          <cell r="Q87" t="str">
            <v>POLITECNICA COLOMBIA</v>
          </cell>
          <cell r="R87" t="str">
            <v xml:space="preserve">La planta física se encuentra en buenas condiciones </v>
          </cell>
          <cell r="S87" t="str">
            <v>Debe revisar el tema de baños para discapacitados</v>
          </cell>
          <cell r="T87" t="str">
            <v>Si</v>
          </cell>
          <cell r="U87" t="str">
            <v>Presentó plan de mejoramiento y el 28 de julio se realizó el primer seguimiento. Se generaron observaciones.</v>
          </cell>
        </row>
        <row r="88">
          <cell r="A88"/>
          <cell r="B88"/>
          <cell r="C88" t="str">
            <v>TUNJUELITO</v>
          </cell>
          <cell r="D88" t="str">
            <v>PRIVADO</v>
          </cell>
          <cell r="E88" t="str">
            <v>EPBM</v>
          </cell>
          <cell r="F88" t="str">
            <v>JARDIN_INFANTIL_MIS_PRIMEROS_PASOS</v>
          </cell>
          <cell r="G88" t="str">
            <v>JARDIN INFANTIL MIS PRIMEROS PASOS</v>
          </cell>
          <cell r="H88" t="str">
            <v>Autoevaluación Institucional y Pruebas SABER 11</v>
          </cell>
          <cell r="I88" t="str">
            <v>SEGUIMIENTO_Y_SUPERVISIÓN.</v>
          </cell>
          <cell r="J88"/>
          <cell r="K88" t="str">
            <v>CLAUDIA PATRICIA GRANADOS FLÓREZ</v>
          </cell>
          <cell r="L88" t="str">
            <v xml:space="preserve">SANDRA JAZMÍN BAQUERO CÓRDOBA
NELSON AUGUSTO CUBILLOS OLARTE
CLAUDIA PATRICIA GRANADOS FLÓREZ
</v>
          </cell>
          <cell r="M88">
            <v>45861</v>
          </cell>
          <cell r="N88"/>
          <cell r="O88"/>
          <cell r="P88" t="str">
            <v>Visitas de evaluación con fines de seguimiento</v>
          </cell>
          <cell r="Q88"/>
          <cell r="R88"/>
          <cell r="S88"/>
          <cell r="T88"/>
          <cell r="U88" t="str">
            <v>Se sustituye por el Jardín Infantil Mis Pequeños Timpanitos, debido a que la IE presentó solicitud de  cierre voluntario</v>
          </cell>
        </row>
        <row r="89">
          <cell r="A89">
            <v>2474</v>
          </cell>
          <cell r="B89">
            <v>10</v>
          </cell>
          <cell r="C89" t="str">
            <v>TUNJUELITO</v>
          </cell>
          <cell r="D89" t="str">
            <v>PRIVADO</v>
          </cell>
          <cell r="E89" t="str">
            <v>EPBM</v>
          </cell>
          <cell r="F89" t="str">
            <v>JARDIN_INFANTIL_MIS_PEQUEÑOS_TIMPANITOS</v>
          </cell>
          <cell r="G89" t="str">
            <v>JARDIN INFANTIL MIS PEQUEÑOS TIMPANITOS</v>
          </cell>
          <cell r="H89" t="str">
            <v>Autoevaluación Institucional y Pruebas SABER 11</v>
          </cell>
          <cell r="I89" t="str">
            <v>SEGUIMIENTO_Y_SUPERVISIÓN.</v>
          </cell>
          <cell r="J89" t="str">
            <v>Realizar visitas para verificar la información registrada sobre la autoevaluación institucional en el aplicativo EVI, a los establecimientos de educación formal no oficial.</v>
          </cell>
          <cell r="K89" t="str">
            <v>CLAUDIA PATRICIA GRANADOS FLÓREZ</v>
          </cell>
          <cell r="L89" t="str">
            <v xml:space="preserve">SANDRA JAZMÍN BAQUERO CÓRDOBA
NELSON AUGUSTO CUBILLOS OLARTE
CLAUDIA PATRICIA GRANADOS FLÓREZ
</v>
          </cell>
          <cell r="M89">
            <v>45930</v>
          </cell>
          <cell r="N89">
            <v>45930</v>
          </cell>
          <cell r="O89">
            <v>45930</v>
          </cell>
          <cell r="P89" t="str">
            <v>Visitas de evaluación con fines de seguimiento</v>
          </cell>
          <cell r="Q89" t="str">
            <v>JARDIN INFANTIL MIS PEQUEÑOS TIMPANITOS</v>
          </cell>
          <cell r="R89" t="str">
            <v>Se evidencia carencia de espacios en la infraestructura, ajustes para el PEI, curriculo, orientación escolar,  manual de funciones,  etc.</v>
          </cell>
          <cell r="S89" t="str">
            <v>Presentación del PMI  4 de noviembre de 2025</v>
          </cell>
          <cell r="T89" t="str">
            <v>Si</v>
          </cell>
          <cell r="U89" t="str">
            <v>Se revisara el plan de mejoramiento aportado para verificar su pertinencia y porsterior seguimiento para su cumplimiento</v>
          </cell>
        </row>
        <row r="90">
          <cell r="A90">
            <v>2476</v>
          </cell>
          <cell r="B90"/>
          <cell r="C90" t="str">
            <v>TUNJUELITO</v>
          </cell>
          <cell r="D90" t="str">
            <v>PRIVADO</v>
          </cell>
          <cell r="E90" t="str">
            <v>EPBM</v>
          </cell>
          <cell r="F90" t="str">
            <v>JARDIN_INFANTIL_MIS_PEQUEÑOS_TIMPANITOS</v>
          </cell>
          <cell r="G90" t="str">
            <v>JARDIN INFANTIL MIS PEQUEÑOS TIMPANITOS</v>
          </cell>
          <cell r="H90" t="str">
            <v>Autoevaluación Institucional y Pruebas SABER 11</v>
          </cell>
          <cell r="I90" t="str">
            <v>SEGUIMIENTO_Y_SUPERVISIÓN.</v>
          </cell>
          <cell r="J90" t="str">
            <v xml:space="preserve">Verificar la implementación por parte de los colegios, de acciones realizadas para la prevención y atención de las situaciones de convivencia en el entorno escolar, según lo establecido en la Directiva 01 de 2022 del MEN. </v>
          </cell>
          <cell r="K90" t="str">
            <v>CLAUDIA PATRICIA GRANADOS FLÓREZ</v>
          </cell>
          <cell r="L90" t="str">
            <v xml:space="preserve">SANDRA JAZMÍN BAQUERO CÓRDOBA
NELSON AUGUSTO CUBILLOS OLARTE
CLAUDIA PATRICIA GRANADOS FLÓREZ
</v>
          </cell>
          <cell r="M90">
            <v>45930</v>
          </cell>
          <cell r="N90">
            <v>45930</v>
          </cell>
          <cell r="O90">
            <v>45930</v>
          </cell>
          <cell r="P90" t="str">
            <v>Visitas de evaluación con fines de seguimiento</v>
          </cell>
          <cell r="Q90" t="str">
            <v>JARDIN INFANTIL MIS PEQUEÑOS TIMPANITOS</v>
          </cell>
          <cell r="R90" t="str">
            <v>Revisadas las carpetas de los docentes no se evidencia la consulta realizada por la IE frente a los antecentes, en revision de manual de convivencia se hacen observaciones implementacion Ley 1620</v>
          </cell>
          <cell r="S90" t="str">
            <v>Presentación del PMI  4 de noviembre de 2025</v>
          </cell>
          <cell r="T90" t="str">
            <v>Si</v>
          </cell>
          <cell r="U90" t="str">
            <v>Se revisara el plan de mejoramiento aportado para verificar su pertinencia y porsterior seguimiento para su cumplimiento</v>
          </cell>
        </row>
        <row r="91">
          <cell r="A91">
            <v>2477</v>
          </cell>
          <cell r="B91"/>
          <cell r="C91" t="str">
            <v>TUNJUELITO</v>
          </cell>
          <cell r="D91" t="str">
            <v>PRIVADO</v>
          </cell>
          <cell r="E91" t="str">
            <v>EPBM</v>
          </cell>
          <cell r="F91" t="str">
            <v>JARDIN_INFANTIL_MIS_PEQUEÑOS_TIMPANITOS</v>
          </cell>
          <cell r="G91" t="str">
            <v>JARDIN INFANTIL MIS PEQUEÑOS TIMPANITOS</v>
          </cell>
          <cell r="H91" t="str">
            <v>Autoevaluación Institucional y Pruebas SABER 11</v>
          </cell>
          <cell r="I91" t="str">
            <v>SEGUIMIENTO_Y_SUPERVISIÓN.</v>
          </cell>
          <cell r="J9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1" t="str">
            <v>CLAUDIA PATRICIA GRANADOS FLÓREZ</v>
          </cell>
          <cell r="L91" t="str">
            <v xml:space="preserve">SANDRA JAZMÍN BAQUERO CÓRDOBA
NELSON AUGUSTO CUBILLOS OLARTE
CLAUDIA PATRICIA GRANADOS FLÓREZ
</v>
          </cell>
          <cell r="M91">
            <v>45930</v>
          </cell>
          <cell r="N91">
            <v>45930</v>
          </cell>
          <cell r="O91">
            <v>45930</v>
          </cell>
          <cell r="P91" t="str">
            <v>Visitas de evaluación con fines de seguimiento</v>
          </cell>
          <cell r="Q91" t="str">
            <v>JARDIN INFANTIL MIS PEQUEÑOS TIMPANITOS</v>
          </cell>
          <cell r="R91" t="str">
            <v>A la fecha no tiene estudiantes que requieran la implementación</v>
          </cell>
          <cell r="S91" t="str">
            <v>En caso de requerirse la implementación Se recomienda dejar las evidencias en carpetas</v>
          </cell>
          <cell r="T91" t="str">
            <v>No</v>
          </cell>
          <cell r="U91" t="str">
            <v>Se verificará la continuidad de su cumplimiento o en caso de presentarse una queja</v>
          </cell>
        </row>
        <row r="92">
          <cell r="A92">
            <v>2478</v>
          </cell>
          <cell r="B92"/>
          <cell r="C92" t="str">
            <v>TUNJUELITO</v>
          </cell>
          <cell r="D92" t="str">
            <v>PRIVADO</v>
          </cell>
          <cell r="E92" t="str">
            <v>EPBM</v>
          </cell>
          <cell r="F92" t="str">
            <v>JARDIN_INFANTIL_MIS_PEQUEÑOS_TIMPANITOS</v>
          </cell>
          <cell r="G92" t="str">
            <v>JARDIN INFANTIL MIS PEQUEÑOS TIMPANITOS</v>
          </cell>
          <cell r="H92" t="str">
            <v>Autoevaluación Institucional y Pruebas SABER 11</v>
          </cell>
          <cell r="I92" t="str">
            <v>EVALUACIÓN_CON_FINES_DE_MEJORAMIENTO.</v>
          </cell>
          <cell r="J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2" t="str">
            <v>CLAUDIA PATRICIA GRANADOS FLÓREZ</v>
          </cell>
          <cell r="L92" t="str">
            <v xml:space="preserve">SANDRA JAZMÍN BAQUERO CÓRDOBA
NELSON AUGUSTO CUBILLOS OLARTE
CLAUDIA PATRICIA GRANADOS FLÓREZ
</v>
          </cell>
          <cell r="M92">
            <v>45930</v>
          </cell>
          <cell r="N92">
            <v>45930</v>
          </cell>
          <cell r="O92">
            <v>45930</v>
          </cell>
          <cell r="P92" t="str">
            <v>Visitas de evaluación con fines de mejoramiento</v>
          </cell>
          <cell r="Q92" t="str">
            <v>JARDIN INFANTIL MIS PEQUEÑOS TIMPANITOS</v>
          </cell>
          <cell r="R92" t="str">
            <v>Revisado el manual de convivencia presentado por la IE Se encuentran novedades frente a aspectos como rutas de atencion., protocolos, de Ley 1620, decreto 1965, decreto 1421 , debido proceso entre otros.</v>
          </cell>
          <cell r="S92" t="str">
            <v>Presentación del PMI  4 de noviembre de 2025</v>
          </cell>
          <cell r="T92" t="str">
            <v>Si</v>
          </cell>
          <cell r="U92" t="str">
            <v>Se revisara el plan de mejoramiento aportado para verificar su pertinencia y porsterior seguimiento para su cumplimiento</v>
          </cell>
        </row>
        <row r="93">
          <cell r="A93">
            <v>2479</v>
          </cell>
          <cell r="B93"/>
          <cell r="C93" t="str">
            <v>TUNJUELITO</v>
          </cell>
          <cell r="D93" t="str">
            <v>PRIVADO</v>
          </cell>
          <cell r="E93" t="str">
            <v>EPBM</v>
          </cell>
          <cell r="F93" t="str">
            <v>JARDIN_INFANTIL_MIS_PEQUEÑOS_TIMPANITOS</v>
          </cell>
          <cell r="G93" t="str">
            <v>JARDIN INFANTIL MIS PEQUEÑOS TIMPANITOS</v>
          </cell>
          <cell r="H93" t="str">
            <v>Autoevaluación Institucional y Pruebas SABER 11</v>
          </cell>
          <cell r="I93" t="str">
            <v>EVALUACIÓN_CON_FINES_DE_MEJORAMIENTO.</v>
          </cell>
          <cell r="J93" t="str">
            <v>Revisar la actualización, socialización e implementación del Sistema Institucional de Evaluación de Estudiantes - SIEE, en articulación con la actualización del PEI y la normatividad vigente.</v>
          </cell>
          <cell r="K93" t="str">
            <v>CLAUDIA PATRICIA GRANADOS FLÓREZ</v>
          </cell>
          <cell r="L93" t="str">
            <v xml:space="preserve">SANDRA JAZMÍN BAQUERO CÓRDOBA
NELSON AUGUSTO CUBILLOS OLARTE
CLAUDIA PATRICIA GRANADOS FLÓREZ
</v>
          </cell>
          <cell r="M93">
            <v>45930</v>
          </cell>
          <cell r="N93">
            <v>45930</v>
          </cell>
          <cell r="O93">
            <v>45930</v>
          </cell>
          <cell r="P93" t="str">
            <v>Visitas de evaluación con fines de mejoramiento</v>
          </cell>
          <cell r="Q93" t="str">
            <v>JARDIN INFANTIL MIS PEQUEÑOS TIMPANITOS</v>
          </cell>
          <cell r="R93" t="str">
            <v>Revisado el SIIE se encuentran novedades frente al contenido mínimo frente al Decreto 1075 de 2015 antes decreto 1290</v>
          </cell>
          <cell r="S93" t="str">
            <v>Presentación del PMI  4 de noviembre de 2025</v>
          </cell>
          <cell r="T93" t="str">
            <v>Si</v>
          </cell>
          <cell r="U93" t="str">
            <v>Se revisara el plan de mejoramiento aportado para verificar su pertinencia y porsterior seguimiento para su cumplimiento</v>
          </cell>
        </row>
        <row r="94">
          <cell r="A94">
            <v>2480</v>
          </cell>
          <cell r="B94"/>
          <cell r="C94" t="str">
            <v>TUNJUELITO</v>
          </cell>
          <cell r="D94" t="str">
            <v>PRIVADO</v>
          </cell>
          <cell r="E94" t="str">
            <v>EPBM</v>
          </cell>
          <cell r="F94" t="str">
            <v>JARDIN_INFANTIL_MIS_PEQUEÑOS_TIMPANITOS</v>
          </cell>
          <cell r="G94" t="str">
            <v>JARDIN INFANTIL MIS PEQUEÑOS TIMPANITOS</v>
          </cell>
          <cell r="H94" t="str">
            <v>Autoevaluación Institucional y Pruebas SABER 11</v>
          </cell>
          <cell r="I94" t="str">
            <v>EVALUACIÓN_CON_FINES_DE_MEJORAMIENTO.</v>
          </cell>
          <cell r="J94" t="str">
            <v>Revisar el calendario escolar, jornada escolar, la intensidad horaria mínima anual en cada nivel y las modificaciones que se realicen al mismo, de acuerdo con lo previsto en la normatividad vigente.</v>
          </cell>
          <cell r="K94" t="str">
            <v>CLAUDIA PATRICIA GRANADOS FLÓREZ</v>
          </cell>
          <cell r="L94" t="str">
            <v xml:space="preserve">SANDRA JAZMÍN BAQUERO CÓRDOBA
NELSON AUGUSTO CUBILLOS OLARTE
CLAUDIA PATRICIA GRANADOS FLÓREZ
</v>
          </cell>
          <cell r="M94">
            <v>45930</v>
          </cell>
          <cell r="N94">
            <v>45930</v>
          </cell>
          <cell r="O94">
            <v>45930</v>
          </cell>
          <cell r="P94" t="str">
            <v>Visitas de evaluación con fines de mejoramiento</v>
          </cell>
          <cell r="Q94" t="str">
            <v>JARDIN INFANTIL MIS PEQUEÑOS TIMPANITOS</v>
          </cell>
          <cell r="R94" t="str">
            <v>Se hace revisión documental y se verifica el cumplimiento de la intensidad horaria establecida en la normatividad vigente. En los horarios presentados, se evidencian el cumplimiento de las horas efectivas anuales por nivel establecidas en la Resolución 1730 del 2004</v>
          </cell>
          <cell r="S94" t="str">
            <v xml:space="preserve">Continuar ejecutando el calendario académicoconforme lo planeado </v>
          </cell>
          <cell r="T94" t="str">
            <v>No</v>
          </cell>
          <cell r="U94" t="str">
            <v>Se verificará la  formulación para la siguiente vigencia o en caso de presentarse una queja</v>
          </cell>
        </row>
        <row r="95">
          <cell r="A95">
            <v>2481</v>
          </cell>
          <cell r="B95"/>
          <cell r="C95" t="str">
            <v>TUNJUELITO</v>
          </cell>
          <cell r="D95" t="str">
            <v>PRIVADO</v>
          </cell>
          <cell r="E95" t="str">
            <v>EPBM</v>
          </cell>
          <cell r="F95" t="str">
            <v>JARDIN_INFANTIL_MIS_PEQUEÑOS_TIMPANITOS</v>
          </cell>
          <cell r="G95" t="str">
            <v>JARDIN INFANTIL MIS PEQUEÑOS TIMPANITOS</v>
          </cell>
          <cell r="H95" t="str">
            <v>Autoevaluación Institucional y Pruebas SABER 11</v>
          </cell>
          <cell r="I95" t="str">
            <v>EVALUACIÓN_CON_FINES_DE_MEJORAMIENTO.</v>
          </cell>
          <cell r="J95" t="str">
            <v>Verificar el funcionamiento del Gobierno Escolar e instancias de participación con base en la información sobre conformación reportada por la institución educativa.</v>
          </cell>
          <cell r="K95" t="str">
            <v>CLAUDIA PATRICIA GRANADOS FLÓREZ</v>
          </cell>
          <cell r="L95" t="str">
            <v xml:space="preserve">SANDRA JAZMÍN BAQUERO CÓRDOBA
NELSON AUGUSTO CUBILLOS OLARTE
CLAUDIA PATRICIA GRANADOS FLÓREZ
</v>
          </cell>
          <cell r="M95">
            <v>45930</v>
          </cell>
          <cell r="N95">
            <v>45930</v>
          </cell>
          <cell r="O95">
            <v>45930</v>
          </cell>
          <cell r="P95" t="str">
            <v>Visitas de evaluación con fines de mejoramiento</v>
          </cell>
          <cell r="Q95" t="str">
            <v>JARDIN INFANTIL MIS PEQUEÑOS TIMPANITOS</v>
          </cell>
          <cell r="R95" t="str">
            <v>El colegio presenta las actas de cada una de las instancias donde se evidencia su funcionamiento años 2024 y 2025.</v>
          </cell>
          <cell r="S95" t="str">
            <v>La institución cumple con el funcionamiento del gobierno escolar.</v>
          </cell>
          <cell r="T95" t="str">
            <v>No</v>
          </cell>
          <cell r="U95" t="str">
            <v>Se verificará la conformación y funcionamiento en la siguiente vigencia o en caso de presentarse una queja</v>
          </cell>
        </row>
        <row r="96">
          <cell r="A96">
            <v>2482</v>
          </cell>
          <cell r="B96"/>
          <cell r="C96" t="str">
            <v>TUNJUELITO</v>
          </cell>
          <cell r="D96" t="str">
            <v>PRIVADO</v>
          </cell>
          <cell r="E96" t="str">
            <v>EPBM</v>
          </cell>
          <cell r="F96" t="str">
            <v>JARDIN_INFANTIL_MIS_PEQUEÑOS_TIMPANITOS</v>
          </cell>
          <cell r="G96" t="str">
            <v>JARDIN INFANTIL MIS PEQUEÑOS TIMPANITOS</v>
          </cell>
          <cell r="H96" t="str">
            <v>Autoevaluación Institucional y Pruebas SABER 11</v>
          </cell>
          <cell r="I96" t="str">
            <v>EVALUACIÓN_CON_FINES_DE_MEJORAMIENTO.</v>
          </cell>
          <cell r="J96" t="str">
            <v>Verificar las condiciones en cuanto a: la estructura administrativa, condiciones de la planta física y medios educativos adecuados.</v>
          </cell>
          <cell r="K96" t="str">
            <v>CLAUDIA PATRICIA GRANADOS FLÓREZ</v>
          </cell>
          <cell r="L96" t="str">
            <v xml:space="preserve">SANDRA JAZMÍN BAQUERO CÓRDOBA
NELSON AUGUSTO CUBILLOS OLARTE
CLAUDIA PATRICIA GRANADOS FLÓREZ
</v>
          </cell>
          <cell r="M96">
            <v>45930</v>
          </cell>
          <cell r="N96">
            <v>45930</v>
          </cell>
          <cell r="O96">
            <v>45930</v>
          </cell>
          <cell r="P96" t="str">
            <v>Visitas de evaluación con fines de mejoramiento</v>
          </cell>
          <cell r="Q96" t="str">
            <v>JARDIN INFANTIL MIS PEQUEÑOS TIMPANITOS</v>
          </cell>
          <cell r="R96" t="str">
            <v>Se evidencia carencia de espacios en la infraestructura como baño para poblacion con discapacidad, adecuar espacios dado que se evidencia desorden</v>
          </cell>
          <cell r="S96" t="str">
            <v>Presentación del PMI  4 de noviembre de 2025</v>
          </cell>
          <cell r="T96" t="str">
            <v>Si</v>
          </cell>
          <cell r="U96" t="str">
            <v>Se revisara el plan de mejoramiento aportado para verificar su pertinencia y porsterior seguimiento para su cumplimiento</v>
          </cell>
        </row>
        <row r="97">
          <cell r="A97">
            <v>2486</v>
          </cell>
          <cell r="B97"/>
          <cell r="C97" t="str">
            <v>TUNJUELITO</v>
          </cell>
          <cell r="D97" t="str">
            <v>PRIVADO</v>
          </cell>
          <cell r="E97" t="str">
            <v>EPBM</v>
          </cell>
          <cell r="F97" t="str">
            <v>INSTITUTO_BILINGÜE_DEL_SUR</v>
          </cell>
          <cell r="G97" t="str">
            <v>INSTITUTO BILINGÜE DEL SUR</v>
          </cell>
          <cell r="H97" t="str">
            <v>Autoevaluación Institucional y Pruebas SABER 11</v>
          </cell>
          <cell r="I97" t="str">
            <v>SEGUIMIENTO_Y_SUPERVISIÓN.</v>
          </cell>
          <cell r="J97" t="str">
            <v xml:space="preserve">Verificar la implementación por parte de los colegios, de acciones realizadas para la prevención y atención de las situaciones de convivencia en el entorno escolar, según lo establecido en la Directiva 01 de 2022 del MEN. </v>
          </cell>
          <cell r="K97" t="str">
            <v>NELSON AUGUSTO CUBILLOS OLARTE</v>
          </cell>
          <cell r="L97" t="str">
            <v xml:space="preserve">SANDRA JAZMÍN BAQUERO CÓRDOBA
NELSON AUGUSTO CUBILLOS OLARTE
CLAUDIA PATRICIA GRANADOS FLÓREZ
</v>
          </cell>
          <cell r="M97">
            <v>45788</v>
          </cell>
          <cell r="N97">
            <v>45933</v>
          </cell>
          <cell r="O97">
            <v>45933</v>
          </cell>
          <cell r="P97" t="str">
            <v>Visitas de evaluación con fines de mejoramiento</v>
          </cell>
          <cell r="Q97" t="str">
            <v>Acta Visita Bilingue del Sur 03102025.pdf</v>
          </cell>
          <cell r="R97" t="str">
            <v>LA institución realiza los proceso de ingreso solicitando los documentos respectivos, realiza charlas con los docentes sobre el tema con apoyo de la OCE, pero no realiza la verificación cada cuatro meses el registro del registro de inhabilidades por delitos sexuales contra la libertad e integridad de niños, niñas y adolescentes</v>
          </cell>
          <cell r="S97" t="str">
            <v>Elaborar procedimiento, formatos y coronograma para el registro de el registro de inhabilidades por delitos sexuales contra la libertad e integridad de niños, niñas y adolescentes.</v>
          </cell>
          <cell r="T97" t="str">
            <v>SI</v>
          </cell>
          <cell r="U97" t="str">
            <v>Se realizará la verificación documental del procedimiento y proceso y el año siguiente de las verificaciones.</v>
          </cell>
        </row>
        <row r="98">
          <cell r="A98">
            <v>2858</v>
          </cell>
          <cell r="B98"/>
          <cell r="C98" t="str">
            <v>TUNJUELITO</v>
          </cell>
          <cell r="D98" t="str">
            <v>PRIVADO</v>
          </cell>
          <cell r="E98" t="str">
            <v>EPBM</v>
          </cell>
          <cell r="F98" t="str">
            <v>INSTITUTO_BILINGÜE_DEL_SUR</v>
          </cell>
          <cell r="G98" t="str">
            <v>INSTITUTO BILINGÜE DEL SUR</v>
          </cell>
          <cell r="H98" t="str">
            <v>Autoevaluación Institucional y Pruebas SABER 11</v>
          </cell>
          <cell r="I98" t="str">
            <v>SEGUIMIENTO_Y_SUPERVISIÓN.</v>
          </cell>
          <cell r="J9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8" t="str">
            <v>NELSON AUGUSTO CUBILLOS OLARTE</v>
          </cell>
          <cell r="L98" t="str">
            <v xml:space="preserve">SANDRA JAZMÍN BAQUERO CÓRDOBA
NELSON AUGUSTO CUBILLOS OLARTE
CLAUDIA PATRICIA GRANADOS FLÓREZ
</v>
          </cell>
          <cell r="M98">
            <v>45788</v>
          </cell>
          <cell r="N98">
            <v>45933</v>
          </cell>
          <cell r="O98">
            <v>45933</v>
          </cell>
          <cell r="P98" t="str">
            <v>Visitas de evaluación con fines de mejoramiento</v>
          </cell>
          <cell r="Q98" t="str">
            <v>Acta Visita Bilingue del Sur 03102025.pdf</v>
          </cell>
          <cell r="R98" t="str">
            <v>El colegio elabora algunos formatos de PIAR, de acuerdo con los dignósticos de los niños, de acuerdo a lo mencionado en la resolución 1421 de 2017.</v>
          </cell>
          <cell r="S98" t="str">
            <v>Los formatos que se elaboran no esan completamente diligenciados y les faltan las firmas, se deben reconsiderar las conceptualizaciones como Barreras entendidas no desde las posibles limitaciones del niño sino las que interpone el medio.</v>
          </cell>
          <cell r="T98" t="str">
            <v>Si</v>
          </cell>
          <cell r="U98" t="str">
            <v xml:space="preserve">Se realizará la verificación documental de los planes ajustados para generar orientaciones sies del caso. </v>
          </cell>
        </row>
        <row r="99">
          <cell r="A99">
            <v>2487</v>
          </cell>
          <cell r="B99"/>
          <cell r="C99" t="str">
            <v>TUNJUELITO</v>
          </cell>
          <cell r="D99" t="str">
            <v>PRIVADO</v>
          </cell>
          <cell r="E99" t="str">
            <v>EPBM</v>
          </cell>
          <cell r="F99" t="str">
            <v>INSTITUTO_BILINGÜE_DEL_SUR</v>
          </cell>
          <cell r="G99" t="str">
            <v>INSTITUTO BILINGÜE DEL SUR</v>
          </cell>
          <cell r="H99" t="str">
            <v>Autoevaluación Institucional y Pruebas SABER 11</v>
          </cell>
          <cell r="I99" t="str">
            <v>EVALUACIÓN_CON_FINES_DE_MEJORAMIENTO.</v>
          </cell>
          <cell r="J9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9" t="str">
            <v>NELSON AUGUSTO CUBILLOS OLARTE</v>
          </cell>
          <cell r="L99" t="str">
            <v xml:space="preserve">SANDRA JAZMÍN BAQUERO CÓRDOBA
NELSON AUGUSTO CUBILLOS OLARTE
CLAUDIA PATRICIA GRANADOS FLÓREZ
</v>
          </cell>
          <cell r="M99">
            <v>45788</v>
          </cell>
          <cell r="N99">
            <v>45933</v>
          </cell>
          <cell r="O99">
            <v>45933</v>
          </cell>
          <cell r="P99" t="str">
            <v>Visitas de evaluación con fines de mejoramiento</v>
          </cell>
          <cell r="Q99" t="str">
            <v>Acta Visita Bilingue del Sur 03102025.pdf</v>
          </cell>
          <cell r="R99" t="str">
            <v>No se remitió con anticipación el Manual de convivencia, de acuerdo con la solicitud del 21 de febrero.</v>
          </cell>
          <cell r="S99" t="str">
            <v>Se solicita el envío del Manual para su valoración y orientaciones.</v>
          </cell>
          <cell r="T99" t="str">
            <v>Si</v>
          </cell>
          <cell r="U99" t="str">
            <v>una vez se reciba el Manual se realizará la verificación y oerinetaciones por parte del ELIV.</v>
          </cell>
        </row>
        <row r="100">
          <cell r="A100">
            <v>2488</v>
          </cell>
          <cell r="B100"/>
          <cell r="C100" t="str">
            <v>TUNJUELITO</v>
          </cell>
          <cell r="D100" t="str">
            <v>PRIVADO</v>
          </cell>
          <cell r="E100" t="str">
            <v>EPBM</v>
          </cell>
          <cell r="F100" t="str">
            <v>INSTITUTO_BILINGÜE_DEL_SUR</v>
          </cell>
          <cell r="G100" t="str">
            <v>INSTITUTO BILINGÜE DEL SUR</v>
          </cell>
          <cell r="H100" t="str">
            <v>Autoevaluación Institucional y Pruebas SABER 11</v>
          </cell>
          <cell r="I100" t="str">
            <v>EVALUACIÓN_CON_FINES_DE_MEJORAMIENTO.</v>
          </cell>
          <cell r="J100" t="str">
            <v>Revisar la actualización, socialización e implementación del Sistema Institucional de Evaluación de Estudiantes - SIEE, en articulación con la actualización del PEI y la normatividad vigente.</v>
          </cell>
          <cell r="K100" t="str">
            <v>NELSON AUGUSTO CUBILLOS OLARTE</v>
          </cell>
          <cell r="L100" t="str">
            <v xml:space="preserve">SANDRA JAZMÍN BAQUERO CÓRDOBA
NELSON AUGUSTO CUBILLOS OLARTE
CLAUDIA PATRICIA GRANADOS FLÓREZ
</v>
          </cell>
          <cell r="M100">
            <v>45788</v>
          </cell>
          <cell r="N100">
            <v>45933</v>
          </cell>
          <cell r="O100">
            <v>45933</v>
          </cell>
          <cell r="P100" t="str">
            <v>Visitas de evaluación con fines de mejoramiento</v>
          </cell>
          <cell r="Q100" t="str">
            <v>Acta Visita Bilingue del Sur 03102025.pdf</v>
          </cell>
          <cell r="R100" t="str">
            <v>Se evidencia una implementación del Sistema Institucional de Evaluación con diferentes proceso debidamente documentados. No se ha adjuntado el Manual de Convivencia</v>
          </cell>
          <cell r="S100" t="str">
            <v>Se solicita el envío del Manual para su valoración y orientaciones, especialmente en lo concerniente al SIEE. Se debe recibir el 6 de Noviembre.</v>
          </cell>
          <cell r="T100" t="str">
            <v>Si</v>
          </cell>
          <cell r="U100" t="str">
            <v>una vez se reciba el Manual se realizará la verificación y oerinetaciones por parte del ELIV.</v>
          </cell>
        </row>
        <row r="101">
          <cell r="A101">
            <v>2489</v>
          </cell>
          <cell r="B101"/>
          <cell r="C101" t="str">
            <v>TUNJUELITO</v>
          </cell>
          <cell r="D101" t="str">
            <v>PRIVADO</v>
          </cell>
          <cell r="E101" t="str">
            <v>EPBM</v>
          </cell>
          <cell r="F101" t="str">
            <v>INSTITUTO_BILINGÜE_DEL_SUR</v>
          </cell>
          <cell r="G101" t="str">
            <v>INSTITUTO BILINGÜE DEL SUR</v>
          </cell>
          <cell r="H101" t="str">
            <v>Autoevaluación Institucional y Pruebas SABER 11</v>
          </cell>
          <cell r="I101" t="str">
            <v>EVALUACIÓN_CON_FINES_DE_MEJORAMIENTO.</v>
          </cell>
          <cell r="J101" t="str">
            <v>Revisar el calendario escolar, jornada escolar, la intensidad horaria mínima anual en cada nivel y las modificaciones que se realicen al mismo, de acuerdo con lo previsto en la normatividad vigente.</v>
          </cell>
          <cell r="K101" t="str">
            <v>NELSON AUGUSTO CUBILLOS OLARTE</v>
          </cell>
          <cell r="L101" t="str">
            <v xml:space="preserve">SANDRA JAZMÍN BAQUERO CÓRDOBA
NELSON AUGUSTO CUBILLOS OLARTE
CLAUDIA PATRICIA GRANADOS FLÓREZ
</v>
          </cell>
          <cell r="M101">
            <v>45788</v>
          </cell>
          <cell r="N101">
            <v>45933</v>
          </cell>
          <cell r="O101">
            <v>45933</v>
          </cell>
          <cell r="P101" t="str">
            <v>Visitas de evaluación con fines de mejoramiento</v>
          </cell>
          <cell r="Q101" t="str">
            <v>Acta Visita Bilingue del Sur 03102025.pdf</v>
          </cell>
          <cell r="R101" t="str">
            <v>Se identifica que el calendario académico cumple con las horas reglamenterias para el servicio que se presta Preescolar y Básica Primaria.</v>
          </cell>
          <cell r="S101" t="str">
            <v>Se presenta los cronogramas de trabajo que respaldan el cumplimiento de la jornada académica para el servicio prestado.</v>
          </cell>
          <cell r="T101" t="str">
            <v>No</v>
          </cell>
          <cell r="U101" t="str">
            <v>Se continuará en el 2026 con las verificaciones documentales aleatorias de la implementación del calendario académico.</v>
          </cell>
        </row>
        <row r="102">
          <cell r="A102">
            <v>2490</v>
          </cell>
          <cell r="B102"/>
          <cell r="C102" t="str">
            <v>TUNJUELITO</v>
          </cell>
          <cell r="D102" t="str">
            <v>PRIVADO</v>
          </cell>
          <cell r="E102" t="str">
            <v>EPBM</v>
          </cell>
          <cell r="F102" t="str">
            <v>INSTITUTO_BILINGÜE_DEL_SUR</v>
          </cell>
          <cell r="G102" t="str">
            <v>INSTITUTO BILINGÜE DEL SUR</v>
          </cell>
          <cell r="H102" t="str">
            <v>Autoevaluación Institucional y Pruebas SABER 11</v>
          </cell>
          <cell r="I102" t="str">
            <v>EVALUACIÓN_CON_FINES_DE_MEJORAMIENTO.</v>
          </cell>
          <cell r="J102" t="str">
            <v>Verificar el funcionamiento del Gobierno Escolar e instancias de participación con base en la información sobre conformación reportada por la institución educativa.</v>
          </cell>
          <cell r="K102" t="str">
            <v>NELSON AUGUSTO CUBILLOS OLARTE</v>
          </cell>
          <cell r="L102" t="str">
            <v xml:space="preserve">SANDRA JAZMÍN BAQUERO CÓRDOBA
NELSON AUGUSTO CUBILLOS OLARTE
CLAUDIA PATRICIA GRANADOS FLÓREZ
</v>
          </cell>
          <cell r="M102">
            <v>45788</v>
          </cell>
          <cell r="N102">
            <v>45933</v>
          </cell>
          <cell r="O102">
            <v>45933</v>
          </cell>
          <cell r="P102" t="str">
            <v>Visitas de evaluación con fines de mejoramiento</v>
          </cell>
          <cell r="Q102" t="str">
            <v>Acta Visita Bilingue del Sur 03102025.pdf</v>
          </cell>
          <cell r="R102" t="str">
            <v>Se presentan actas de la conformaicón y funcionamiento del gobierno escolar de acuerdo con la norma, en el caso de los organos de prticipación no se evidencia en actas la ejecución de reuniones formales.</v>
          </cell>
          <cell r="S102" t="str">
            <v>Se deben documentar en actas las reunones de los organos de participación de la institución.</v>
          </cell>
          <cell r="T102" t="str">
            <v>Si</v>
          </cell>
          <cell r="U102" t="str">
            <v>Se verificará el año siguiente la aplicación del proceso de operatividad de los organos de participación con evidencias.</v>
          </cell>
        </row>
        <row r="103">
          <cell r="A103">
            <v>2491</v>
          </cell>
          <cell r="B103"/>
          <cell r="C103" t="str">
            <v>TUNJUELITO</v>
          </cell>
          <cell r="D103" t="str">
            <v>PRIVADO</v>
          </cell>
          <cell r="E103" t="str">
            <v>EPBM</v>
          </cell>
          <cell r="F103" t="str">
            <v>INSTITUTO_BILINGÜE_DEL_SUR</v>
          </cell>
          <cell r="G103" t="str">
            <v>INSTITUTO BILINGÜE DEL SUR</v>
          </cell>
          <cell r="H103" t="str">
            <v>Autoevaluación Institucional y Pruebas SABER 11</v>
          </cell>
          <cell r="I103" t="str">
            <v>EVALUACIÓN_CON_FINES_DE_MEJORAMIENTO.</v>
          </cell>
          <cell r="J103" t="str">
            <v>Verificar las condiciones en cuanto a: la estructura administrativa, condiciones de la planta física y medios educativos adecuados.</v>
          </cell>
          <cell r="K103" t="str">
            <v>NELSON AUGUSTO CUBILLOS OLARTE</v>
          </cell>
          <cell r="L103" t="str">
            <v xml:space="preserve">SANDRA JAZMÍN BAQUERO CÓRDOBA
NELSON AUGUSTO CUBILLOS OLARTE
CLAUDIA PATRICIA GRANADOS FLÓREZ
</v>
          </cell>
          <cell r="M103">
            <v>45788</v>
          </cell>
          <cell r="N103">
            <v>45933</v>
          </cell>
          <cell r="O103">
            <v>45933</v>
          </cell>
          <cell r="P103" t="str">
            <v>Visitas de evaluación con fines de mejoramiento</v>
          </cell>
          <cell r="Q103" t="str">
            <v>Acta Visita Bilingue del Sur 03102025.pdf</v>
          </cell>
          <cell r="R103" t="str">
            <v>No se evidencia en el documento PEI un organigrama ni un manual completo de funciones para el presonal administrativo y de servicios generales. En planta física No se evidencia Laboratorio de Ciencias y baños ni rampas para Discapacitados, por lo demas los medios educativos son adecuados para la prestación del servicio.</v>
          </cell>
          <cell r="S103" t="str">
            <v>Se deben realizar las actualizaciones del PEI en lo concerniente a la estructuración del Organigrama, Manual de funciones para el personal administrativo y de servisios generales, realizar el estudio de implementaciónb de intervención en planta fisica para el acceso y permanencia para discapacitados.</v>
          </cell>
          <cell r="T103" t="str">
            <v>Si</v>
          </cell>
          <cell r="U103" t="str">
            <v>Se verificaran los proceso que se ocnsignen en el Plan de Mejoramiento realizando las orientaciones del caso.</v>
          </cell>
        </row>
        <row r="104">
          <cell r="A104">
            <v>2492</v>
          </cell>
          <cell r="B104">
            <v>12</v>
          </cell>
          <cell r="C104" t="str">
            <v>TUNJUELITO</v>
          </cell>
          <cell r="D104" t="str">
            <v>PRIVADO</v>
          </cell>
          <cell r="E104" t="str">
            <v>EPBM</v>
          </cell>
          <cell r="F104" t="str">
            <v>LICEO_INTEGRAL_SAN_CARLOS</v>
          </cell>
          <cell r="G104" t="str">
            <v>LICEO INTEGRAL SAN CARLOS</v>
          </cell>
          <cell r="H104" t="str">
            <v>Autoevaluación Institucional y Pruebas SABER 11</v>
          </cell>
          <cell r="I104" t="str">
            <v>SEGUIMIENTO_Y_SUPERVISIÓN.</v>
          </cell>
          <cell r="J104" t="str">
            <v>Realizar visitas para verificar la información registrada sobre la autoevaluación institucional en el aplicativo EVI, a los establecimientos de educación formal no oficial.</v>
          </cell>
          <cell r="K104" t="str">
            <v>SANDRA JAZMÍN BAQUERO CÓRDOBA</v>
          </cell>
          <cell r="L104" t="str">
            <v xml:space="preserve">SANDRA JAZMÍN BAQUERO CÓRDOBA
NELSON AUGUSTO CUBILLOS OLARTE
CLAUDIA PATRICIA GRANADOS FLÓREZ
</v>
          </cell>
          <cell r="M104">
            <v>45807</v>
          </cell>
          <cell r="N104">
            <v>45807</v>
          </cell>
          <cell r="O104">
            <v>45807</v>
          </cell>
          <cell r="P104" t="str">
            <v>Visitas de evaluación con fines de seguimiento</v>
          </cell>
          <cell r="Q104" t="str">
            <v>Liceo Int. San Carlos Visita 30-05-2025.pdf</v>
          </cell>
          <cell r="R104" t="str">
            <v>Se encontró que el jardín tiene contratados a los docentes con contrato laboral pero el rector tiene contrato de prestaciónde servicios</v>
          </cell>
          <cell r="S104" t="str">
            <v xml:space="preserve">El colegio debe revisar el contrato que tiene con el director y ajustarlo a la norma </v>
          </cell>
          <cell r="T104" t="str">
            <v>SI</v>
          </cell>
          <cell r="U104" t="str">
            <v>Presentó plan de mejoramiento y el 28 de julio se realizó el primer seguimiento. Se generaron observaciones.</v>
          </cell>
        </row>
        <row r="105">
          <cell r="A105">
            <v>2494</v>
          </cell>
          <cell r="B105"/>
          <cell r="C105" t="str">
            <v>TUNJUELITO</v>
          </cell>
          <cell r="D105" t="str">
            <v>PRIVADO</v>
          </cell>
          <cell r="E105" t="str">
            <v>EPBM</v>
          </cell>
          <cell r="F105" t="str">
            <v>LICEO_INTEGRAL_SAN_CARLOS</v>
          </cell>
          <cell r="G105" t="str">
            <v>LICEO INTEGRAL SAN CARLOS</v>
          </cell>
          <cell r="H105" t="str">
            <v>Autoevaluación Institucional y Pruebas SABER 11</v>
          </cell>
          <cell r="I105" t="str">
            <v>SEGUIMIENTO_Y_SUPERVISIÓN.</v>
          </cell>
          <cell r="J105" t="str">
            <v xml:space="preserve">Verificar la implementación por parte de los colegios, de acciones realizadas para la prevención y atención de las situaciones de convivencia en el entorno escolar, según lo establecido en la Directiva 01 de 2022 del MEN. </v>
          </cell>
          <cell r="K105" t="str">
            <v>SANDRA JAZMÍN BAQUERO CÓRDOBA</v>
          </cell>
          <cell r="L105" t="str">
            <v xml:space="preserve">SANDRA JAZMÍN BAQUERO CÓRDOBA
NELSON AUGUSTO CUBILLOS OLARTE
CLAUDIA PATRICIA GRANADOS FLÓREZ
</v>
          </cell>
          <cell r="M105">
            <v>45807</v>
          </cell>
          <cell r="N105">
            <v>45807</v>
          </cell>
          <cell r="O105">
            <v>45807</v>
          </cell>
          <cell r="P105" t="str">
            <v>Visitas de evaluación con fines de seguimiento</v>
          </cell>
          <cell r="Q105" t="str">
            <v>Liceo Int. San Carlos Visita 30-05-2025.pdf</v>
          </cell>
          <cell r="R105" t="str">
            <v>Se encontró que el jardín no realiza la verificación de docentes ni propone en Comité de Convivencia acciones de promoción y prevención de acuerdo con la Directiva 01 de 2022 del MEN</v>
          </cell>
          <cell r="S105" t="str">
            <v>El colegio debe realizar la verificación de antecedentes e implementar acciones de promoción y prevención de acuerdo con la Directiva 01 de 2022 del MEN</v>
          </cell>
          <cell r="T105" t="str">
            <v>Si</v>
          </cell>
          <cell r="U105" t="str">
            <v>Presentó plan de mejoramiento y el 28 de julio se realizó el primer seguimiento. Se generaron observaciones.</v>
          </cell>
        </row>
        <row r="106">
          <cell r="A106">
            <v>2495</v>
          </cell>
          <cell r="B106"/>
          <cell r="C106" t="str">
            <v>TUNJUELITO</v>
          </cell>
          <cell r="D106" t="str">
            <v>PRIVADO</v>
          </cell>
          <cell r="E106" t="str">
            <v>EPBM</v>
          </cell>
          <cell r="F106" t="str">
            <v>LICEO_INTEGRAL_SAN_CARLOS</v>
          </cell>
          <cell r="G106" t="str">
            <v>LICEO INTEGRAL SAN CARLOS</v>
          </cell>
          <cell r="H106" t="str">
            <v>Autoevaluación Institucional y Pruebas SABER 11</v>
          </cell>
          <cell r="I106" t="str">
            <v>SEGUIMIENTO_Y_SUPERVISIÓN.</v>
          </cell>
          <cell r="J10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6" t="str">
            <v>SANDRA JAZMÍN BAQUERO CÓRDOBA</v>
          </cell>
          <cell r="L106" t="str">
            <v xml:space="preserve">SANDRA JAZMÍN BAQUERO CÓRDOBA
NELSON AUGUSTO CUBILLOS OLARTE
CLAUDIA PATRICIA GRANADOS FLÓREZ
</v>
          </cell>
          <cell r="M106">
            <v>45807</v>
          </cell>
          <cell r="N106">
            <v>45807</v>
          </cell>
          <cell r="O106">
            <v>45807</v>
          </cell>
          <cell r="P106" t="str">
            <v>Visitas de evaluación con fines de seguimiento</v>
          </cell>
          <cell r="Q106" t="str">
            <v>Liceo Int. San Carlos Visita 30-05-2025.pdf</v>
          </cell>
          <cell r="R106" t="str">
            <v>El colegio en el momento no cuenta con población con discapacidad</v>
          </cell>
          <cell r="S106" t="str">
            <v>Se recomienda ajustar el PEI de acuerdo con el Decreto 1421 de 2017</v>
          </cell>
          <cell r="T106" t="str">
            <v>Si</v>
          </cell>
          <cell r="U106" t="str">
            <v>Presentó plan de mejoramiento y el 28 de julio se realizó el primer seguimiento. Se generaron observaciones.</v>
          </cell>
        </row>
        <row r="107">
          <cell r="A107">
            <v>2496</v>
          </cell>
          <cell r="B107"/>
          <cell r="C107" t="str">
            <v>TUNJUELITO</v>
          </cell>
          <cell r="D107" t="str">
            <v>PRIVADO</v>
          </cell>
          <cell r="E107" t="str">
            <v>EPBM</v>
          </cell>
          <cell r="F107" t="str">
            <v>LICEO_INTEGRAL_SAN_CARLOS</v>
          </cell>
          <cell r="G107" t="str">
            <v>LICEO INTEGRAL SAN CARLOS</v>
          </cell>
          <cell r="H107" t="str">
            <v>Autoevaluación Institucional y Pruebas SABER 11</v>
          </cell>
          <cell r="I107" t="str">
            <v>EVALUACIÓN_CON_FINES_DE_MEJORAMIENTO.</v>
          </cell>
          <cell r="J10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7" t="str">
            <v>SANDRA JAZMÍN BAQUERO CÓRDOBA</v>
          </cell>
          <cell r="L107" t="str">
            <v xml:space="preserve">SANDRA JAZMÍN BAQUERO CÓRDOBA
NELSON AUGUSTO CUBILLOS OLARTE
CLAUDIA PATRICIA GRANADOS FLÓREZ
</v>
          </cell>
          <cell r="M107">
            <v>45807</v>
          </cell>
          <cell r="N107">
            <v>45807</v>
          </cell>
          <cell r="O107">
            <v>45807</v>
          </cell>
          <cell r="P107" t="str">
            <v>Visitas de evaluación con fines de mejoramiento</v>
          </cell>
          <cell r="Q107" t="str">
            <v>Liceo Int. San Carlos Visita 30-05-2025.pdf</v>
          </cell>
          <cell r="R107" t="str">
            <v>El colegio en el PEI cuenta con la implementación de la Ley 1620 de 2013 pero en el Manual de Convivencia no hay evidencia de las rutas, las definiciones etc</v>
          </cell>
          <cell r="S107" t="str">
            <v>Se recomienda armonizar los PEI y el Manual de Convivencia</v>
          </cell>
          <cell r="T107" t="str">
            <v>Si</v>
          </cell>
          <cell r="U107" t="str">
            <v>Presentó plan de mejoramiento y el 28 de julio se realizó el primer seguimiento. Se generaron observaciones.</v>
          </cell>
        </row>
        <row r="108">
          <cell r="A108">
            <v>2497</v>
          </cell>
          <cell r="B108"/>
          <cell r="C108" t="str">
            <v>TUNJUELITO</v>
          </cell>
          <cell r="D108" t="str">
            <v>PRIVADO</v>
          </cell>
          <cell r="E108" t="str">
            <v>EPBM</v>
          </cell>
          <cell r="F108" t="str">
            <v>LICEO_INTEGRAL_SAN_CARLOS</v>
          </cell>
          <cell r="G108" t="str">
            <v>LICEO INTEGRAL SAN CARLOS</v>
          </cell>
          <cell r="H108" t="str">
            <v>Autoevaluación Institucional y Pruebas SABER 11</v>
          </cell>
          <cell r="I108" t="str">
            <v>EVALUACIÓN_CON_FINES_DE_MEJORAMIENTO.</v>
          </cell>
          <cell r="J108" t="str">
            <v>Revisar la actualización, socialización e implementación del Sistema Institucional de Evaluación de Estudiantes - SIEE, en articulación con la actualización del PEI y la normatividad vigente.</v>
          </cell>
          <cell r="K108" t="str">
            <v>SANDRA JAZMÍN BAQUERO CÓRDOBA</v>
          </cell>
          <cell r="L108" t="str">
            <v xml:space="preserve">SANDRA JAZMÍN BAQUERO CÓRDOBA
NELSON AUGUSTO CUBILLOS OLARTE
CLAUDIA PATRICIA GRANADOS FLÓREZ
</v>
          </cell>
          <cell r="M108">
            <v>45807</v>
          </cell>
          <cell r="N108">
            <v>45807</v>
          </cell>
          <cell r="O108">
            <v>45807</v>
          </cell>
          <cell r="P108" t="str">
            <v>Visitas de evaluación con fines de mejoramiento</v>
          </cell>
          <cell r="Q108" t="str">
            <v>Liceo Int. San Carlos Visita 30-05-2025.pdf</v>
          </cell>
          <cell r="R108" t="str">
            <v>Debe actualizar el SIEE teniendo en cuenta que está dirigido para estudiantes de básica primaria y no hay criterios de seguimiento para los de preescolar</v>
          </cell>
          <cell r="S108" t="str">
            <v>Se recomienda actualizar el SIEE</v>
          </cell>
          <cell r="T108" t="str">
            <v>Si</v>
          </cell>
          <cell r="U108" t="str">
            <v>Presentó plan de mejoramiento y el 28 de julio se realizó el primer seguimiento. Se generaron observaciones.</v>
          </cell>
        </row>
        <row r="109">
          <cell r="A109">
            <v>2498</v>
          </cell>
          <cell r="B109"/>
          <cell r="C109" t="str">
            <v>TUNJUELITO</v>
          </cell>
          <cell r="D109" t="str">
            <v>PRIVADO</v>
          </cell>
          <cell r="E109" t="str">
            <v>EPBM</v>
          </cell>
          <cell r="F109" t="str">
            <v>LICEO_INTEGRAL_SAN_CARLOS</v>
          </cell>
          <cell r="G109" t="str">
            <v>LICEO INTEGRAL SAN CARLOS</v>
          </cell>
          <cell r="H109" t="str">
            <v>Autoevaluación Institucional y Pruebas SABER 11</v>
          </cell>
          <cell r="I109" t="str">
            <v>EVALUACIÓN_CON_FINES_DE_MEJORAMIENTO.</v>
          </cell>
          <cell r="J109" t="str">
            <v>Revisar el calendario escolar, jornada escolar, la intensidad horaria mínima anual en cada nivel y las modificaciones que se realicen al mismo, de acuerdo con lo previsto en la normatividad vigente.</v>
          </cell>
          <cell r="K109" t="str">
            <v>SANDRA JAZMÍN BAQUERO CÓRDOBA</v>
          </cell>
          <cell r="L109" t="str">
            <v xml:space="preserve">SANDRA JAZMÍN BAQUERO CÓRDOBA
NELSON AUGUSTO CUBILLOS OLARTE
CLAUDIA PATRICIA GRANADOS FLÓREZ
</v>
          </cell>
          <cell r="M109">
            <v>45807</v>
          </cell>
          <cell r="N109">
            <v>45807</v>
          </cell>
          <cell r="O109">
            <v>45807</v>
          </cell>
          <cell r="P109" t="str">
            <v>Visitas de evaluación con fines de mejoramiento</v>
          </cell>
          <cell r="Q109" t="str">
            <v>Liceo Int. San Carlos Visita 30-05-2025.pdf</v>
          </cell>
          <cell r="R109" t="str">
            <v>El calendario escolar cumple con la intesidad mínima anual</v>
          </cell>
          <cell r="S109" t="str">
            <v>Se recomienda seguir reportando el calendario de manera anual</v>
          </cell>
          <cell r="T109" t="str">
            <v>No</v>
          </cell>
          <cell r="U109" t="str">
            <v>Se revisará el calendario en la siguiente vigencia</v>
          </cell>
        </row>
        <row r="110">
          <cell r="A110">
            <v>2499</v>
          </cell>
          <cell r="B110"/>
          <cell r="C110" t="str">
            <v>TUNJUELITO</v>
          </cell>
          <cell r="D110" t="str">
            <v>PRIVADO</v>
          </cell>
          <cell r="E110" t="str">
            <v>EPBM</v>
          </cell>
          <cell r="F110" t="str">
            <v>LICEO_INTEGRAL_SAN_CARLOS</v>
          </cell>
          <cell r="G110" t="str">
            <v>LICEO INTEGRAL SAN CARLOS</v>
          </cell>
          <cell r="H110" t="str">
            <v>Autoevaluación Institucional y Pruebas SABER 11</v>
          </cell>
          <cell r="I110" t="str">
            <v>EVALUACIÓN_CON_FINES_DE_MEJORAMIENTO.</v>
          </cell>
          <cell r="J110" t="str">
            <v>Verificar el funcionamiento del Gobierno Escolar e instancias de participación con base en la información sobre conformación reportada por la institución educativa.</v>
          </cell>
          <cell r="K110" t="str">
            <v>SANDRA JAZMÍN BAQUERO CÓRDOBA</v>
          </cell>
          <cell r="L110" t="str">
            <v xml:space="preserve">SANDRA JAZMÍN BAQUERO CÓRDOBA
NELSON AUGUSTO CUBILLOS OLARTE
CLAUDIA PATRICIA GRANADOS FLÓREZ
</v>
          </cell>
          <cell r="M110">
            <v>45807</v>
          </cell>
          <cell r="N110">
            <v>45807</v>
          </cell>
          <cell r="O110">
            <v>45807</v>
          </cell>
          <cell r="P110" t="str">
            <v>Visitas de evaluación con fines de mejoramiento</v>
          </cell>
          <cell r="Q110" t="str">
            <v>Liceo Int. San Carlos Visita 30-05-2025.pdf</v>
          </cell>
          <cell r="R110" t="str">
            <v>Se encontró que el Gobierno Escolar está funcionando pero de las instancias de participación hay constancias de reunión</v>
          </cell>
          <cell r="S110" t="str">
            <v>El colegio debe realizar la convocatoria para las reuniones de padres de familia y consejo de padres y dejar las actas correspondientes</v>
          </cell>
          <cell r="T110" t="str">
            <v>Si</v>
          </cell>
          <cell r="U110" t="str">
            <v>Presentó plan de mejoramiento y el 28 de julio se realizó el primer seguimiento. Se generaron observaciones.</v>
          </cell>
        </row>
        <row r="111">
          <cell r="A111">
            <v>2500</v>
          </cell>
          <cell r="B111"/>
          <cell r="C111" t="str">
            <v>TUNJUELITO</v>
          </cell>
          <cell r="D111" t="str">
            <v>PRIVADO</v>
          </cell>
          <cell r="E111" t="str">
            <v>EPBM</v>
          </cell>
          <cell r="F111" t="str">
            <v>LICEO_INTEGRAL_SAN_CARLOS</v>
          </cell>
          <cell r="G111" t="str">
            <v>LICEO INTEGRAL SAN CARLOS</v>
          </cell>
          <cell r="H111" t="str">
            <v>Autoevaluación Institucional y Pruebas SABER 11</v>
          </cell>
          <cell r="I111" t="str">
            <v>EVALUACIÓN_CON_FINES_DE_MEJORAMIENTO.</v>
          </cell>
          <cell r="J111" t="str">
            <v>Verificar las condiciones en cuanto a: la estructura administrativa, condiciones de la planta física y medios educativos adecuados.</v>
          </cell>
          <cell r="K111" t="str">
            <v>SANDRA JAZMÍN BAQUERO CÓRDOBA</v>
          </cell>
          <cell r="L111" t="str">
            <v xml:space="preserve">SANDRA JAZMÍN BAQUERO CÓRDOBA
NELSON AUGUSTO CUBILLOS OLARTE
CLAUDIA PATRICIA GRANADOS FLÓREZ
</v>
          </cell>
          <cell r="M111">
            <v>45807</v>
          </cell>
          <cell r="N111">
            <v>45807</v>
          </cell>
          <cell r="O111">
            <v>45807</v>
          </cell>
          <cell r="P111" t="str">
            <v>Visitas de evaluación con fines de mejoramiento</v>
          </cell>
          <cell r="Q111" t="str">
            <v>Liceo Int. San Carlos Visita 30-05-2025.pdf</v>
          </cell>
          <cell r="R111" t="str">
            <v>Se encontró que no cuenta con orientación, primeros auxilios</v>
          </cell>
          <cell r="S111" t="str">
            <v>Presentar plan de mejoramiento</v>
          </cell>
          <cell r="T111" t="str">
            <v>Si</v>
          </cell>
          <cell r="U111" t="str">
            <v>Presentó plan de mejoramiento y el 28 de julio se realizó el primer seguimiento. Se generaron observaciones.</v>
          </cell>
        </row>
        <row r="112">
          <cell r="A112">
            <v>2501</v>
          </cell>
          <cell r="B112">
            <v>13</v>
          </cell>
          <cell r="C112" t="str">
            <v>TUNJUELITO</v>
          </cell>
          <cell r="D112" t="str">
            <v>PRIVADO</v>
          </cell>
          <cell r="E112" t="str">
            <v>EPBM</v>
          </cell>
          <cell r="F112" t="str">
            <v>CENTRO_EDUCATIVO_INTEGRAL_LATINOAMERICANO__CEIL</v>
          </cell>
          <cell r="G112" t="str">
            <v>CENTRO EDUCATIVO INTEGRAL LATINOAMERICANO - CEIL</v>
          </cell>
          <cell r="H112" t="str">
            <v>Autoevaluación Institucional y Pruebas SABER 11</v>
          </cell>
          <cell r="I112" t="str">
            <v>SEGUIMIENTO_Y_SUPERVISIÓN.</v>
          </cell>
          <cell r="J112" t="str">
            <v>Realizar visitas para verificar la información registrada sobre la autoevaluación institucional en el aplicativo EVI, a los establecimientos de educación formal no oficial.</v>
          </cell>
          <cell r="K112" t="str">
            <v>SANDRA JAZMÍN BAQUERO CÓRDOBA</v>
          </cell>
          <cell r="L112" t="str">
            <v xml:space="preserve">SANDRA JAZMÍN BAQUERO CÓRDOBA
NELSON AUGUSTO CUBILLOS OLARTE
CLAUDIA PATRICIA GRANADOS FLÓREZ
</v>
          </cell>
          <cell r="M112">
            <v>45744</v>
          </cell>
          <cell r="N112">
            <v>45794</v>
          </cell>
          <cell r="O112" t="str">
            <v>17/05/2025</v>
          </cell>
          <cell r="P112" t="str">
            <v>Visitas de evaluación con fines de seguimiento</v>
          </cell>
          <cell r="Q112" t="str">
            <v>ceil 17 de mayo_250523_09504323052025.pdf</v>
          </cell>
          <cell r="R112" t="str">
            <v>Se encontró que los docentes cuentan con seguridad social y tienen contrato inferior a un año</v>
          </cell>
          <cell r="S112" t="str">
            <v>No presenta novedad en el tema contractual y de seguridad social</v>
          </cell>
          <cell r="T112" t="str">
            <v>No</v>
          </cell>
          <cell r="U112" t="str">
            <v>Se realizará verificación en visita o reunión posterior</v>
          </cell>
        </row>
        <row r="113">
          <cell r="A113">
            <v>2502</v>
          </cell>
          <cell r="B113"/>
          <cell r="C113" t="str">
            <v>TUNJUELITO</v>
          </cell>
          <cell r="D113" t="str">
            <v>PRIVADO</v>
          </cell>
          <cell r="E113" t="str">
            <v>EPBM</v>
          </cell>
          <cell r="F113" t="str">
            <v>CENTRO_EDUCATIVO_INTEGRAL_LATINOAMERICANO__CEIL</v>
          </cell>
          <cell r="G113" t="str">
            <v>CENTRO EDUCATIVO INTEGRAL LATINOAMERICANO - CEIL</v>
          </cell>
          <cell r="H113" t="str">
            <v>Autoevaluación Institucional y Pruebas SABER 11</v>
          </cell>
          <cell r="I113" t="str">
            <v>SEGUIMIENTO_Y_SUPERVISIÓN.</v>
          </cell>
          <cell r="J113" t="str">
            <v>Proponer estrategias en la formulación, verificar su elaboración y realizar seguimiento semestral al desarrollo de  las acciones establecidas en los planes de mejoramiento por pruebas SABER 11 de los establecimientos de educación formal.</v>
          </cell>
          <cell r="K113" t="str">
            <v>SANDRA JAZMÍN BAQUERO CÓRDOBA</v>
          </cell>
          <cell r="L113" t="str">
            <v xml:space="preserve">SANDRA JAZMÍN BAQUERO CÓRDOBA
NELSON AUGUSTO CUBILLOS OLARTE
CLAUDIA PATRICIA GRANADOS FLÓREZ
</v>
          </cell>
          <cell r="M113">
            <v>45744</v>
          </cell>
          <cell r="N113">
            <v>45794</v>
          </cell>
          <cell r="O113">
            <v>45794</v>
          </cell>
          <cell r="P113" t="str">
            <v>Visitas de evaluación con fines de seguimiento</v>
          </cell>
          <cell r="Q113" t="str">
            <v>ceil 17 de mayo_250523_09504323052025.pdf</v>
          </cell>
          <cell r="R113" t="str">
            <v>No hay evidenias de la socialización de los resultados de las pruebas saber y del plan de mejoramiento curricular implementado</v>
          </cell>
          <cell r="S113" t="str">
            <v>Se solicitó socializar los resultados de las pruebas saber e implementar un plan de mejora que involucre el tema curricular</v>
          </cell>
          <cell r="T113" t="str">
            <v>Si</v>
          </cell>
          <cell r="U113" t="str">
            <v>Presentó plan de mejoramiento y el 25 de julio se realizó el primer seguimiento. Se generaron observaciones.</v>
          </cell>
        </row>
        <row r="114">
          <cell r="A114">
            <v>2503</v>
          </cell>
          <cell r="B114"/>
          <cell r="C114" t="str">
            <v>TUNJUELITO</v>
          </cell>
          <cell r="D114" t="str">
            <v>PRIVADO</v>
          </cell>
          <cell r="E114" t="str">
            <v>EPBM</v>
          </cell>
          <cell r="F114" t="str">
            <v>CENTRO_EDUCATIVO_INTEGRAL_LATINOAMERICANO__CEIL</v>
          </cell>
          <cell r="G114" t="str">
            <v>CENTRO EDUCATIVO INTEGRAL LATINOAMERICANO - CEIL</v>
          </cell>
          <cell r="H114" t="str">
            <v>Autoevaluación Institucional y Pruebas SABER 11</v>
          </cell>
          <cell r="I114" t="str">
            <v>SEGUIMIENTO_Y_SUPERVISIÓN.</v>
          </cell>
          <cell r="J114" t="str">
            <v xml:space="preserve">Verificar la implementación por parte de los colegios, de acciones realizadas para la prevención y atención de las situaciones de convivencia en el entorno escolar, según lo establecido en la Directiva 01 de 2022 del MEN. </v>
          </cell>
          <cell r="K114" t="str">
            <v>SANDRA JAZMÍN BAQUERO CÓRDOBA</v>
          </cell>
          <cell r="L114" t="str">
            <v xml:space="preserve">SANDRA JAZMÍN BAQUERO CÓRDOBA
NELSON AUGUSTO CUBILLOS OLARTE
CLAUDIA PATRICIA GRANADOS FLÓREZ
</v>
          </cell>
          <cell r="M114">
            <v>45744</v>
          </cell>
          <cell r="N114">
            <v>45794</v>
          </cell>
          <cell r="O114" t="str">
            <v>17/05/2025</v>
          </cell>
          <cell r="P114" t="str">
            <v>Visitas de evaluación con fines de seguimiento</v>
          </cell>
          <cell r="Q114" t="str">
            <v>ceil 17 de mayo_250523_09504323052025.pdf</v>
          </cell>
          <cell r="R114" t="str">
            <v>No están revisando los antecedentes cada 4 meses por delitos sexuales, se realizan acciones de promoción y prevención en Comité de Convivencia</v>
          </cell>
          <cell r="S114" t="str">
            <v>el colegio debe revisar los antecedentes de su personal cada 4 meses</v>
          </cell>
          <cell r="T114" t="str">
            <v>No</v>
          </cell>
          <cell r="U114" t="str">
            <v>se revisara el plan de mejoramiento y orientará a la IE en reunión</v>
          </cell>
        </row>
        <row r="115">
          <cell r="A115">
            <v>2504</v>
          </cell>
          <cell r="B115"/>
          <cell r="C115" t="str">
            <v>TUNJUELITO</v>
          </cell>
          <cell r="D115" t="str">
            <v>PRIVADO</v>
          </cell>
          <cell r="E115" t="str">
            <v>EPBM</v>
          </cell>
          <cell r="F115" t="str">
            <v>CENTRO_EDUCATIVO_INTEGRAL_LATINOAMERICANO__CEIL</v>
          </cell>
          <cell r="G115" t="str">
            <v>CENTRO EDUCATIVO INTEGRAL LATINOAMERICANO - CEIL</v>
          </cell>
          <cell r="H115" t="str">
            <v>Autoevaluación Institucional y Pruebas SABER 11</v>
          </cell>
          <cell r="I115" t="str">
            <v>SEGUIMIENTO_Y_SUPERVISIÓN.</v>
          </cell>
          <cell r="J11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5" t="str">
            <v>SANDRA JAZMÍN BAQUERO CÓRDOBA</v>
          </cell>
          <cell r="L115" t="str">
            <v xml:space="preserve">SANDRA JAZMÍN BAQUERO CÓRDOBA
NELSON AUGUSTO CUBILLOS OLARTE
CLAUDIA PATRICIA GRANADOS FLÓREZ
</v>
          </cell>
          <cell r="M115">
            <v>45744</v>
          </cell>
          <cell r="N115">
            <v>45794</v>
          </cell>
          <cell r="O115" t="str">
            <v>17/05/2025</v>
          </cell>
          <cell r="P115" t="str">
            <v>Visitas de evaluación con fines de seguimiento</v>
          </cell>
          <cell r="Q115" t="str">
            <v>ceil 17 de mayo_250523_09504323052025.pdf</v>
          </cell>
          <cell r="R115" t="str">
            <v>EE tiene 7 estudiantes en el SIMAT con discapacidad pero no tiene los PIAR</v>
          </cell>
          <cell r="S115" t="str">
            <v>Debe implementar los PIAR y realizar el respectivo sequimiento</v>
          </cell>
          <cell r="T115" t="str">
            <v>Si</v>
          </cell>
          <cell r="U115" t="str">
            <v>Presentó plan de mejoramiento y el 25 de julio se realizó el primer seguimiento. Se generaron observaciones.</v>
          </cell>
        </row>
        <row r="116">
          <cell r="A116">
            <v>2505</v>
          </cell>
          <cell r="B116"/>
          <cell r="C116" t="str">
            <v>TUNJUELITO</v>
          </cell>
          <cell r="D116" t="str">
            <v>PRIVADO</v>
          </cell>
          <cell r="E116" t="str">
            <v>EPBM</v>
          </cell>
          <cell r="F116" t="str">
            <v>CENTRO_EDUCATIVO_INTEGRAL_LATINOAMERICANO__CEIL</v>
          </cell>
          <cell r="G116" t="str">
            <v>CENTRO EDUCATIVO INTEGRAL LATINOAMERICANO - CEIL</v>
          </cell>
          <cell r="H116" t="str">
            <v>Autoevaluación Institucional y Pruebas SABER 11</v>
          </cell>
          <cell r="I116" t="str">
            <v>EVALUACIÓN_CON_FINES_DE_MEJORAMIENTO.</v>
          </cell>
          <cell r="J11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6" t="str">
            <v>SANDRA JAZMÍN BAQUERO CÓRDOBA</v>
          </cell>
          <cell r="L116" t="str">
            <v xml:space="preserve">SANDRA JAZMÍN BAQUERO CÓRDOBA
NELSON AUGUSTO CUBILLOS OLARTE
CLAUDIA PATRICIA GRANADOS FLÓREZ
</v>
          </cell>
          <cell r="M116">
            <v>45744</v>
          </cell>
          <cell r="N116">
            <v>45794</v>
          </cell>
          <cell r="O116" t="str">
            <v>17/05/2025</v>
          </cell>
          <cell r="P116" t="str">
            <v>Visitas de evaluación con fines de mejoramiento</v>
          </cell>
          <cell r="Q116" t="str">
            <v>ceil 17 de mayo_250523_09504323052025.pdf</v>
          </cell>
          <cell r="R116" t="str">
            <v>No tiene el debido proceso (convivencial, académico, disciplinario), ni los diferentes enfoques</v>
          </cell>
          <cell r="S116" t="str">
            <v>Debe revisar el debido proceso e implementar los diferentes enfoques</v>
          </cell>
          <cell r="T116" t="str">
            <v>Si</v>
          </cell>
          <cell r="U116" t="str">
            <v>Presentó plan de mejoramiento y el 25 de julio se realizó el primer seguimiento. Se generaron observaciones.</v>
          </cell>
        </row>
        <row r="117">
          <cell r="A117">
            <v>2506</v>
          </cell>
          <cell r="B117"/>
          <cell r="C117" t="str">
            <v>TUNJUELITO</v>
          </cell>
          <cell r="D117" t="str">
            <v>PRIVADO</v>
          </cell>
          <cell r="E117" t="str">
            <v>EPBM</v>
          </cell>
          <cell r="F117" t="str">
            <v>CENTRO_EDUCATIVO_INTEGRAL_LATINOAMERICANO__CEIL</v>
          </cell>
          <cell r="G117" t="str">
            <v>CENTRO EDUCATIVO INTEGRAL LATINOAMERICANO - CEIL</v>
          </cell>
          <cell r="H117" t="str">
            <v>Autoevaluación Institucional y Pruebas SABER 11</v>
          </cell>
          <cell r="I117" t="str">
            <v>EVALUACIÓN_CON_FINES_DE_MEJORAMIENTO.</v>
          </cell>
          <cell r="J117" t="str">
            <v>Revisar la actualización, socialización e implementación del Sistema Institucional de Evaluación de Estudiantes - SIEE, en articulación con la actualización del PEI y la normatividad vigente.</v>
          </cell>
          <cell r="K117" t="str">
            <v>SANDRA JAZMÍN BAQUERO CÓRDOBA</v>
          </cell>
          <cell r="L117" t="str">
            <v xml:space="preserve">SANDRA JAZMÍN BAQUERO CÓRDOBA
NELSON AUGUSTO CUBILLOS OLARTE
CLAUDIA PATRICIA GRANADOS FLÓREZ
</v>
          </cell>
          <cell r="M117">
            <v>45744</v>
          </cell>
          <cell r="N117">
            <v>45794</v>
          </cell>
          <cell r="O117" t="str">
            <v>17/05/2025</v>
          </cell>
          <cell r="P117" t="str">
            <v>Visitas de evaluación con fines de mejoramiento</v>
          </cell>
          <cell r="Q117" t="str">
            <v>ceil 17 de mayo_250523_09504323052025.pdf</v>
          </cell>
          <cell r="R117" t="str">
            <v>La comisión de promoción y evalaución no está bien conformada y no hay evidencia de su funcionamiento</v>
          </cell>
          <cell r="S117" t="str">
            <v>Deben revisar la conformación de la comisión de promoción y evaluación y dejar la evidenia de su funcionamiento</v>
          </cell>
          <cell r="T117" t="str">
            <v>Si</v>
          </cell>
          <cell r="U117" t="str">
            <v>Presentó plan de mejoramiento y el 25 de julio se realizó el primer seguimiento. Se generaron observaciones.</v>
          </cell>
        </row>
        <row r="118">
          <cell r="A118">
            <v>2507</v>
          </cell>
          <cell r="B118"/>
          <cell r="C118" t="str">
            <v>TUNJUELITO</v>
          </cell>
          <cell r="D118" t="str">
            <v>PRIVADO</v>
          </cell>
          <cell r="E118" t="str">
            <v>EPBM</v>
          </cell>
          <cell r="F118" t="str">
            <v>CENTRO_EDUCATIVO_INTEGRAL_LATINOAMERICANO__CEIL</v>
          </cell>
          <cell r="G118" t="str">
            <v>CENTRO EDUCATIVO INTEGRAL LATINOAMERICANO - CEIL</v>
          </cell>
          <cell r="H118" t="str">
            <v>Autoevaluación Institucional y Pruebas SABER 11</v>
          </cell>
          <cell r="I118" t="str">
            <v>EVALUACIÓN_CON_FINES_DE_MEJORAMIENTO.</v>
          </cell>
          <cell r="J118" t="str">
            <v>Revisar el calendario escolar, jornada escolar, la intensidad horaria mínima anual en cada nivel y las modificaciones que se realicen al mismo, de acuerdo con lo previsto en la normatividad vigente.</v>
          </cell>
          <cell r="K118" t="str">
            <v>SANDRA JAZMÍN BAQUERO CÓRDOBA</v>
          </cell>
          <cell r="L118" t="str">
            <v xml:space="preserve">SANDRA JAZMÍN BAQUERO CÓRDOBA
NELSON AUGUSTO CUBILLOS OLARTE
CLAUDIA PATRICIA GRANADOS FLÓREZ
</v>
          </cell>
          <cell r="M118">
            <v>45744</v>
          </cell>
          <cell r="N118">
            <v>45794</v>
          </cell>
          <cell r="O118" t="str">
            <v>17/05/2025</v>
          </cell>
          <cell r="P118" t="str">
            <v>Visitas de evaluación con fines de mejoramiento</v>
          </cell>
          <cell r="Q118" t="str">
            <v>ceil 17 de mayo_250523_09504323052025.pdf</v>
          </cell>
          <cell r="R118" t="str">
            <v>La intensidad horaria cumple con lo establecido en la norma</v>
          </cell>
          <cell r="S118" t="str">
            <v>el calendario se ajusta a la normatividad vigente</v>
          </cell>
          <cell r="T118" t="str">
            <v>No</v>
          </cell>
          <cell r="U118" t="str">
            <v>Se revisará en la próxima vigencia</v>
          </cell>
        </row>
        <row r="119">
          <cell r="A119">
            <v>2508</v>
          </cell>
          <cell r="B119"/>
          <cell r="C119" t="str">
            <v>TUNJUELITO</v>
          </cell>
          <cell r="D119" t="str">
            <v>PRIVADO</v>
          </cell>
          <cell r="E119" t="str">
            <v>EPBM</v>
          </cell>
          <cell r="F119" t="str">
            <v>CENTRO_EDUCATIVO_INTEGRAL_LATINOAMERICANO__CEIL</v>
          </cell>
          <cell r="G119" t="str">
            <v>CENTRO EDUCATIVO INTEGRAL LATINOAMERICANO - CEIL</v>
          </cell>
          <cell r="H119" t="str">
            <v>Autoevaluación Institucional y Pruebas SABER 11</v>
          </cell>
          <cell r="I119" t="str">
            <v>EVALUACIÓN_CON_FINES_DE_MEJORAMIENTO.</v>
          </cell>
          <cell r="J119" t="str">
            <v>Verificar el funcionamiento del Gobierno Escolar e instancias de participación con base en la información sobre conformación reportada por la institución educativa.</v>
          </cell>
          <cell r="K119" t="str">
            <v>SANDRA JAZMÍN BAQUERO CÓRDOBA</v>
          </cell>
          <cell r="L119" t="str">
            <v xml:space="preserve">SANDRA JAZMÍN BAQUERO CÓRDOBA
NELSON AUGUSTO CUBILLOS OLARTE
CLAUDIA PATRICIA GRANADOS FLÓREZ
</v>
          </cell>
          <cell r="M119">
            <v>45744</v>
          </cell>
          <cell r="N119">
            <v>45794</v>
          </cell>
          <cell r="O119" t="str">
            <v>17/05/2025</v>
          </cell>
          <cell r="P119" t="str">
            <v>Visitas de evaluación con fines de mejoramiento</v>
          </cell>
          <cell r="Q119" t="str">
            <v>ceil 17 de mayo_250523_09504323052025.pdf</v>
          </cell>
          <cell r="R119" t="str">
            <v>El GE está debidamente constituído pero no se evidencia su funcionamiento</v>
          </cell>
          <cell r="S119" t="str">
            <v>Deben dejar las respectivas actas por cada estamento para verificar la operatividad del GE</v>
          </cell>
          <cell r="T119" t="str">
            <v>Si</v>
          </cell>
          <cell r="U119" t="str">
            <v>Presentó plan de mejoramiento y el 25 de julio se realizó el primer seguimiento. Se generaron observaciones.</v>
          </cell>
        </row>
        <row r="120">
          <cell r="A120">
            <v>2509</v>
          </cell>
          <cell r="B120"/>
          <cell r="C120" t="str">
            <v>TUNJUELITO</v>
          </cell>
          <cell r="D120" t="str">
            <v>PRIVADO</v>
          </cell>
          <cell r="E120" t="str">
            <v>EPBM</v>
          </cell>
          <cell r="F120" t="str">
            <v>CENTRO_EDUCATIVO_INTEGRAL_LATINOAMERICANO__CEIL</v>
          </cell>
          <cell r="G120" t="str">
            <v>CENTRO EDUCATIVO INTEGRAL LATINOAMERICANO - CEIL</v>
          </cell>
          <cell r="H120" t="str">
            <v>Autoevaluación Institucional y Pruebas SABER 11</v>
          </cell>
          <cell r="I120" t="str">
            <v>EVALUACIÓN_CON_FINES_DE_MEJORAMIENTO.</v>
          </cell>
          <cell r="J120" t="str">
            <v>Verificar las condiciones en cuanto a: la estructura administrativa, condiciones de la planta física y medios educativos adecuados.</v>
          </cell>
          <cell r="K120" t="str">
            <v>SANDRA JAZMÍN BAQUERO CÓRDOBA</v>
          </cell>
          <cell r="L120" t="str">
            <v xml:space="preserve">SANDRA JAZMÍN BAQUERO CÓRDOBA
NELSON AUGUSTO CUBILLOS OLARTE
CLAUDIA PATRICIA GRANADOS FLÓREZ
</v>
          </cell>
          <cell r="M120">
            <v>45744</v>
          </cell>
          <cell r="N120">
            <v>45794</v>
          </cell>
          <cell r="O120" t="str">
            <v>17/05/2025</v>
          </cell>
          <cell r="P120" t="str">
            <v>Visitas de evaluación con fines de mejoramiento</v>
          </cell>
          <cell r="Q120" t="str">
            <v>ceil 17 de mayo_250523_09504323052025.pdf</v>
          </cell>
          <cell r="R120" t="str">
            <v>La planta física cuenta con espacios suficientes para los estudiantes pero no toma en cuenta la población con discapacidad y falta acondicionar algunas áreas</v>
          </cell>
          <cell r="S120" t="str">
            <v>Deben implementar baño de discapacitados, orientación, coordinación, sala de profesores, etc</v>
          </cell>
          <cell r="T120" t="str">
            <v>Si</v>
          </cell>
          <cell r="U120" t="str">
            <v>Presentó plan de mejoramiento y el 25 de julio se realizó el primer seguimiento. Se generaron observaciones.</v>
          </cell>
        </row>
        <row r="121">
          <cell r="A121">
            <v>2510</v>
          </cell>
          <cell r="B121">
            <v>14</v>
          </cell>
          <cell r="C121" t="str">
            <v>TUNJUELITO</v>
          </cell>
          <cell r="D121" t="str">
            <v>OFICIAL</v>
          </cell>
          <cell r="E121" t="str">
            <v>EPBM</v>
          </cell>
          <cell r="F121" t="str">
            <v>COLEGIO_SAN_CARLOS_IED</v>
          </cell>
          <cell r="G121" t="str">
            <v>JOSE ANTONIO RICAURTE</v>
          </cell>
          <cell r="H121" t="str">
            <v>Autoevaluación Institucional y Pruebas SABER 11</v>
          </cell>
          <cell r="I121" t="str">
            <v>SEGUIMIENTO_Y_SUPERVISIÓN.</v>
          </cell>
          <cell r="J121" t="str">
            <v>Proponer estrategias en la formulación, verificar su elaboración y realizar seguimiento semestral al desarrollo de  las acciones establecidas en los planes de mejoramiento por pruebas SABER 11 de los establecimientos de educación formal.</v>
          </cell>
          <cell r="K121" t="str">
            <v>CLAUDIA PATRICIA GRANADOS FLÓREZ</v>
          </cell>
          <cell r="L121" t="str">
            <v xml:space="preserve">SANDRA JAZMÍN BAQUERO CÓRDOBA
NELSON AUGUSTO CUBILLOS OLARTE
CLAUDIA PATRICIA GRANADOS FLÓREZ
</v>
          </cell>
          <cell r="M121">
            <v>45805</v>
          </cell>
          <cell r="N121">
            <v>45791</v>
          </cell>
          <cell r="O121">
            <v>45791</v>
          </cell>
          <cell r="P121" t="str">
            <v>Visitas de evaluación con fines de seguimiento</v>
          </cell>
          <cell r="Q121" t="str">
            <v>COLEGIO SAN CARLOS IED</v>
          </cell>
          <cell r="R121" t="str">
            <v>Se evidencia documentacion , Se socializan en reuniones de areas, Consejo Academico y Comisión de Evaluacion y Promoción</v>
          </cell>
          <cell r="S121" t="str">
            <v>Cumplir con las actividades contempladas en el plan de mejoramiento</v>
          </cell>
          <cell r="T121" t="str">
            <v>No</v>
          </cell>
          <cell r="U121" t="str">
            <v>Se verificará el cumplimiento del plan de mejoramiento y sus resultados</v>
          </cell>
        </row>
        <row r="122">
          <cell r="A122">
            <v>2512</v>
          </cell>
          <cell r="B122"/>
          <cell r="C122" t="str">
            <v>TUNJUELITO</v>
          </cell>
          <cell r="D122" t="str">
            <v>OFICIAL</v>
          </cell>
          <cell r="E122" t="str">
            <v>EPBM</v>
          </cell>
          <cell r="F122" t="str">
            <v>COLEGIO_SAN_CARLOS_IED</v>
          </cell>
          <cell r="G122" t="str">
            <v>JOSE ANTONIO RICAURTE</v>
          </cell>
          <cell r="H122" t="str">
            <v>Autoevaluación Institucional y Pruebas SABER 11</v>
          </cell>
          <cell r="I122" t="str">
            <v>SEGUIMIENTO_Y_SUPERVISIÓN.</v>
          </cell>
          <cell r="J12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2" t="str">
            <v>CLAUDIA PATRICIA GRANADOS FLÓREZ</v>
          </cell>
          <cell r="L122" t="str">
            <v xml:space="preserve">SANDRA JAZMÍN BAQUERO CÓRDOBA
NELSON AUGUSTO CUBILLOS OLARTE
CLAUDIA PATRICIA GRANADOS FLÓREZ
</v>
          </cell>
          <cell r="M122">
            <v>45805</v>
          </cell>
          <cell r="N122">
            <v>45791</v>
          </cell>
          <cell r="O122">
            <v>45791</v>
          </cell>
          <cell r="P122" t="str">
            <v>Visitas de evaluación con fines de seguimiento</v>
          </cell>
          <cell r="Q122" t="str">
            <v>COLEGIO SAN CARLOS IED</v>
          </cell>
          <cell r="R122" t="str">
            <v>Proyecto Educativo de Inclusion estudiantes sordos y con discapacidad</v>
          </cell>
          <cell r="S122" t="str">
            <v>Continar con la adecuada implementacion del 1421</v>
          </cell>
          <cell r="T122" t="str">
            <v>No</v>
          </cell>
          <cell r="U122" t="str">
            <v>Se verificará la continuidad de su cumplimiento o en caso de presentarse una queja</v>
          </cell>
        </row>
        <row r="123">
          <cell r="A123">
            <v>2513</v>
          </cell>
          <cell r="B123"/>
          <cell r="C123" t="str">
            <v>TUNJUELITO</v>
          </cell>
          <cell r="D123" t="str">
            <v>OFICIAL</v>
          </cell>
          <cell r="E123" t="str">
            <v>EPBM</v>
          </cell>
          <cell r="F123" t="str">
            <v>COLEGIO_SAN_CARLOS_IED</v>
          </cell>
          <cell r="G123" t="str">
            <v>JOSE ANTONIO RICAURTE</v>
          </cell>
          <cell r="H123" t="str">
            <v>Autoevaluación Institucional y Pruebas SABER 11</v>
          </cell>
          <cell r="I123" t="str">
            <v>EVALUACIÓN_CON_FINES_DE_MEJORAMIENTO.</v>
          </cell>
          <cell r="J12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3" t="str">
            <v>CLAUDIA PATRICIA GRANADOS FLÓREZ</v>
          </cell>
          <cell r="L123" t="str">
            <v xml:space="preserve">SANDRA JAZMÍN BAQUERO CÓRDOBA
NELSON AUGUSTO CUBILLOS OLARTE
CLAUDIA PATRICIA GRANADOS FLÓREZ
</v>
          </cell>
          <cell r="M123" t="str">
            <v>14/05/2025</v>
          </cell>
          <cell r="N123">
            <v>45791</v>
          </cell>
          <cell r="O123">
            <v>45791</v>
          </cell>
          <cell r="P123" t="str">
            <v>Revisión documental</v>
          </cell>
          <cell r="Q123" t="str">
            <v>COLEGIO SAN CARLOS IED</v>
          </cell>
          <cell r="R123" t="str">
            <v>Se encuentran novedades frente a aspectos que debe contener en cumplimiento de Ley 1620, decreto 1965, decreto 1421 , debido proceso entre otros</v>
          </cell>
          <cell r="S123" t="str">
            <v>Presentación del PMI 6 de junio de 2025</v>
          </cell>
          <cell r="T123" t="str">
            <v>Si</v>
          </cell>
          <cell r="U123" t="str">
            <v>Se revisara el plan de mejoramiento aportado para verificar su pertinencia y porsterior seguimiento para su cumplimiento</v>
          </cell>
        </row>
        <row r="124">
          <cell r="A124">
            <v>2514</v>
          </cell>
          <cell r="B124"/>
          <cell r="C124" t="str">
            <v>TUNJUELITO</v>
          </cell>
          <cell r="D124" t="str">
            <v>OFICIAL</v>
          </cell>
          <cell r="E124" t="str">
            <v>EPBM</v>
          </cell>
          <cell r="F124" t="str">
            <v>COLEGIO_SAN_CARLOS_IED</v>
          </cell>
          <cell r="G124" t="str">
            <v>JOSE ANTONIO RICAURTE</v>
          </cell>
          <cell r="H124" t="str">
            <v>Autoevaluación Institucional y Pruebas SABER 11</v>
          </cell>
          <cell r="I124" t="str">
            <v>EVALUACIÓN_CON_FINES_DE_MEJORAMIENTO.</v>
          </cell>
          <cell r="J124" t="str">
            <v>Revisar la actualización, socialización e implementación del Sistema Institucional de Evaluación de Estudiantes - SIEE, en articulación con la actualización del PEI y la normatividad vigente.</v>
          </cell>
          <cell r="K124" t="str">
            <v>CLAUDIA PATRICIA GRANADOS FLÓREZ</v>
          </cell>
          <cell r="L124" t="str">
            <v xml:space="preserve">SANDRA JAZMÍN BAQUERO CÓRDOBA
NELSON AUGUSTO CUBILLOS OLARTE
CLAUDIA PATRICIA GRANADOS FLÓREZ
</v>
          </cell>
          <cell r="M124">
            <v>45805</v>
          </cell>
          <cell r="N124">
            <v>45791</v>
          </cell>
          <cell r="O124">
            <v>45791</v>
          </cell>
          <cell r="P124" t="str">
            <v>Revisión documental</v>
          </cell>
          <cell r="Q124" t="str">
            <v>COLEGIO SAN CARLOS IED</v>
          </cell>
          <cell r="R124" t="str">
            <v>No se encuentran definidos claramente los elementos del sistema institucional de evaluación como: las estrategias de valoración integral de los desempeños de los estudiantes, las acciones de seguimiento para el mejoramiento de los desempeños de los estudiantes durante el año escolar, etc.</v>
          </cell>
          <cell r="S124" t="str">
            <v>Presentación del PMI 6 de junio de 2025</v>
          </cell>
          <cell r="T124" t="str">
            <v>Si</v>
          </cell>
          <cell r="U124" t="str">
            <v>Se revisara el plan de mejoramiento aportado para verificar su pertinencia y porsterior seguimiento para su cumplimiento</v>
          </cell>
        </row>
        <row r="125">
          <cell r="A125">
            <v>2515</v>
          </cell>
          <cell r="B125"/>
          <cell r="C125" t="str">
            <v>TUNJUELITO</v>
          </cell>
          <cell r="D125" t="str">
            <v>OFICIAL</v>
          </cell>
          <cell r="E125" t="str">
            <v>EPBM</v>
          </cell>
          <cell r="F125" t="str">
            <v>COLEGIO_SAN_CARLOS_IED</v>
          </cell>
          <cell r="G125" t="str">
            <v>JOSE ANTONIO RICAURTE</v>
          </cell>
          <cell r="H125" t="str">
            <v>Autoevaluación Institucional y Pruebas SABER 11</v>
          </cell>
          <cell r="I125" t="str">
            <v>EVALUACIÓN_CON_FINES_DE_MEJORAMIENTO.</v>
          </cell>
          <cell r="J125" t="str">
            <v>Revisar el calendario escolar, jornada escolar, la intensidad horaria mínima anual en cada nivel y las modificaciones que se realicen al mismo, de acuerdo con lo previsto en la normatividad vigente.</v>
          </cell>
          <cell r="K125" t="str">
            <v>CLAUDIA PATRICIA GRANADOS FLÓREZ</v>
          </cell>
          <cell r="L125" t="str">
            <v xml:space="preserve">SANDRA JAZMÍN BAQUERO CÓRDOBA
NELSON AUGUSTO CUBILLOS OLARTE
CLAUDIA PATRICIA GRANADOS FLÓREZ
</v>
          </cell>
          <cell r="M125">
            <v>45805</v>
          </cell>
          <cell r="N125">
            <v>45791</v>
          </cell>
          <cell r="O125">
            <v>45791</v>
          </cell>
          <cell r="P125" t="str">
            <v>Revisión documental</v>
          </cell>
          <cell r="Q125" t="str">
            <v>COLEGIO SAN CARLOS IED</v>
          </cell>
          <cell r="R125" t="str">
            <v>Cumple con cuarenta (40) semanas lectivas de trabajo académico con estudiantes, por lo tanto, se ajusta a lo estipulado en la “Ley 115 de 1994, Artículo 86º.-</v>
          </cell>
          <cell r="S125" t="str">
            <v>Se dan orientaciones al respecto para mayor claridad</v>
          </cell>
          <cell r="T125" t="str">
            <v>No</v>
          </cell>
          <cell r="U125" t="str">
            <v>Realizar seguimiento al calendario presentado por la IE</v>
          </cell>
        </row>
        <row r="126">
          <cell r="A126">
            <v>2516</v>
          </cell>
          <cell r="B126"/>
          <cell r="C126" t="str">
            <v>TUNJUELITO</v>
          </cell>
          <cell r="D126" t="str">
            <v>OFICIAL</v>
          </cell>
          <cell r="E126" t="str">
            <v>EPBM</v>
          </cell>
          <cell r="F126" t="str">
            <v>COLEGIO_SAN_CARLOS_IED</v>
          </cell>
          <cell r="G126" t="str">
            <v>JOSE ANTONIO RICAURTE</v>
          </cell>
          <cell r="H126" t="str">
            <v>Autoevaluación Institucional y Pruebas SABER 11</v>
          </cell>
          <cell r="I126" t="str">
            <v>EVALUACIÓN_CON_FINES_DE_MEJORAMIENTO.</v>
          </cell>
          <cell r="J126" t="str">
            <v>Verificar el funcionamiento del Gobierno Escolar e instancias de participación con base en la información sobre conformación reportada por la institución educativa.</v>
          </cell>
          <cell r="K126" t="str">
            <v>CLAUDIA PATRICIA GRANADOS FLÓREZ</v>
          </cell>
          <cell r="L126" t="str">
            <v xml:space="preserve">SANDRA JAZMÍN BAQUERO CÓRDOBA
NELSON AUGUSTO CUBILLOS OLARTE
CLAUDIA PATRICIA GRANADOS FLÓREZ
</v>
          </cell>
          <cell r="M126">
            <v>45805</v>
          </cell>
          <cell r="N126">
            <v>45791</v>
          </cell>
          <cell r="O126">
            <v>45791</v>
          </cell>
          <cell r="P126" t="str">
            <v>Visitas de evaluación con fines de mejoramiento</v>
          </cell>
          <cell r="Q126" t="str">
            <v>COLEGIO SAN CARLOS IED</v>
          </cell>
          <cell r="R126" t="str">
            <v>El colegio presenta las actas de cada una de las instancias donde se evidencia su funcionamiento años 2024 y 2025.</v>
          </cell>
          <cell r="S126" t="str">
            <v>La institución cumple con el funcionamiento del gobierno escolar.</v>
          </cell>
          <cell r="T126" t="str">
            <v>No</v>
          </cell>
          <cell r="U126" t="str">
            <v>Se verificará la conformación y funcionamiento en la siguiente vigencia o en caso de presentarse una queja</v>
          </cell>
        </row>
        <row r="127">
          <cell r="A127">
            <v>2517</v>
          </cell>
          <cell r="B127"/>
          <cell r="C127" t="str">
            <v>TUNJUELITO</v>
          </cell>
          <cell r="D127" t="str">
            <v>OFICIAL</v>
          </cell>
          <cell r="E127" t="str">
            <v>EPBM</v>
          </cell>
          <cell r="F127" t="str">
            <v>COLEGIO_SAN_CARLOS_IED</v>
          </cell>
          <cell r="G127" t="str">
            <v>JOSE ANTONIO RICAURTE</v>
          </cell>
          <cell r="H127" t="str">
            <v>Autoevaluación Institucional y Pruebas SABER 11</v>
          </cell>
          <cell r="I127" t="str">
            <v>EVALUACIÓN_CON_FINES_DE_MEJORAMIENTO.</v>
          </cell>
          <cell r="J127" t="str">
            <v>Verificar las condiciones en cuanto a: la estructura administrativa, condiciones de la planta física y medios educativos adecuados.</v>
          </cell>
          <cell r="K127" t="str">
            <v>CLAUDIA PATRICIA GRANADOS FLÓREZ</v>
          </cell>
          <cell r="L127" t="str">
            <v xml:space="preserve">SANDRA JAZMÍN BAQUERO CÓRDOBA
NELSON AUGUSTO CUBILLOS OLARTE
CLAUDIA PATRICIA GRANADOS FLÓREZ
</v>
          </cell>
          <cell r="M127">
            <v>45805</v>
          </cell>
          <cell r="N127">
            <v>45791</v>
          </cell>
          <cell r="O127">
            <v>45791</v>
          </cell>
          <cell r="P127" t="str">
            <v>Visitas de evaluación con fines de mejoramiento</v>
          </cell>
          <cell r="Q127" t="str">
            <v>COLEGIO SAN CARLOS IED</v>
          </cell>
          <cell r="R127" t="str">
            <v>Se evidencia carencia de espacios en la infraestructura como rampas de acceso para poblacion con discapacidad, enfermeria adecuada</v>
          </cell>
          <cell r="S127" t="str">
            <v>Presentación del PMI 6 de junio de 2025</v>
          </cell>
          <cell r="T127" t="str">
            <v>Si</v>
          </cell>
          <cell r="U127" t="str">
            <v>Se revisara el plan de mejoramiento aportado para verificar su pertinencia y porsterior seguimiento para su cumplimiento</v>
          </cell>
        </row>
        <row r="128">
          <cell r="A128">
            <v>2518</v>
          </cell>
          <cell r="B128">
            <v>15</v>
          </cell>
          <cell r="C128" t="str">
            <v>TUNJUELITO</v>
          </cell>
          <cell r="D128" t="str">
            <v>OFICIAL</v>
          </cell>
          <cell r="E128" t="str">
            <v>EPBM</v>
          </cell>
          <cell r="F128" t="str">
            <v>COLEGIO_INEM_SANTIAGO_PEREZ_IED</v>
          </cell>
          <cell r="G128" t="str">
            <v>INEM SANTIAGO PEREZ</v>
          </cell>
          <cell r="H128" t="str">
            <v>Autoevaluación Institucional y Pruebas SABER 11</v>
          </cell>
          <cell r="I128" t="str">
            <v>SEGUIMIENTO_Y_SUPERVISIÓN.</v>
          </cell>
          <cell r="J128" t="str">
            <v>Proponer estrategias en la formulación, verificar su elaboración y realizar seguimiento semestral al desarrollo de  las acciones establecidas en los planes de mejoramiento por pruebas SABER 11 de los establecimientos de educación formal.</v>
          </cell>
          <cell r="K128" t="str">
            <v>SANDRA JAZMÍN BAQUERO CÓRDOBA</v>
          </cell>
          <cell r="L128" t="str">
            <v xml:space="preserve">SANDRA JAZMÍN BAQUERO CÓRDOBA
NELSON AUGUSTO CUBILLOS OLARTE
CLAUDIA PATRICIA GRANADOS FLÓREZ
</v>
          </cell>
          <cell r="M128">
            <v>45814</v>
          </cell>
          <cell r="N128">
            <v>45814</v>
          </cell>
          <cell r="O128">
            <v>45814</v>
          </cell>
          <cell r="P128" t="str">
            <v>Visitas de evaluación con fines de seguimiento</v>
          </cell>
          <cell r="Q128" t="str">
            <v>CamScanner 10-06-2025 07.50.pdf</v>
          </cell>
          <cell r="R128" t="str">
            <v>Se encontró que aunque socializan los resultados de las pruebas saber no se implementan acciones de mejora</v>
          </cell>
          <cell r="S128" t="str">
            <v>Presentación PMI 18 de julio de 2025</v>
          </cell>
          <cell r="T128" t="str">
            <v>Si</v>
          </cell>
          <cell r="U128" t="str">
            <v>Se revisara el plan de mejoramiento aportado para verificar su pertinencia y posterior seguimiento para su cumplimiento</v>
          </cell>
        </row>
        <row r="129">
          <cell r="A129">
            <v>2520</v>
          </cell>
          <cell r="B129"/>
          <cell r="C129" t="str">
            <v>TUNJUELITO</v>
          </cell>
          <cell r="D129" t="str">
            <v>OFICIAL</v>
          </cell>
          <cell r="E129" t="str">
            <v>EPBM</v>
          </cell>
          <cell r="F129" t="str">
            <v>COLEGIO_INEM_SANTIAGO_PEREZ_IED</v>
          </cell>
          <cell r="G129" t="str">
            <v>INEM SANTIAGO PEREZ</v>
          </cell>
          <cell r="H129" t="str">
            <v>Autoevaluación Institucional y Pruebas SABER 11</v>
          </cell>
          <cell r="I129" t="str">
            <v>SEGUIMIENTO_Y_SUPERVISIÓN.</v>
          </cell>
          <cell r="J1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9" t="str">
            <v>SANDRA JAZMÍN BAQUERO CÓRDOBA</v>
          </cell>
          <cell r="L129" t="str">
            <v xml:space="preserve">SANDRA JAZMÍN BAQUERO CÓRDOBA
NELSON AUGUSTO CUBILLOS OLARTE
CLAUDIA PATRICIA GRANADOS FLÓREZ
</v>
          </cell>
          <cell r="M129">
            <v>45814</v>
          </cell>
          <cell r="N129">
            <v>45814</v>
          </cell>
          <cell r="O129">
            <v>45814</v>
          </cell>
          <cell r="P129" t="str">
            <v>Visitas de evaluación con fines de seguimiento</v>
          </cell>
          <cell r="Q129" t="str">
            <v>CamScanner 10-06-2025 07.50.pdf</v>
          </cell>
          <cell r="R129" t="str">
            <v>Se encontró que elaboran los PIAR  los cuales se encuentran debidamente diligenciados.</v>
          </cell>
          <cell r="S129" t="str">
            <v>e solicitó revisar las barreras y armonizar con los ajustes razonables</v>
          </cell>
          <cell r="T129" t="str">
            <v>No</v>
          </cell>
          <cell r="U129" t="str">
            <v>Se hará seguimiento en reunión</v>
          </cell>
        </row>
        <row r="130">
          <cell r="A130">
            <v>2522</v>
          </cell>
          <cell r="B130"/>
          <cell r="C130" t="str">
            <v>TUNJUELITO</v>
          </cell>
          <cell r="D130" t="str">
            <v>OFICIAL</v>
          </cell>
          <cell r="E130" t="str">
            <v>EPBM</v>
          </cell>
          <cell r="F130" t="str">
            <v>COLEGIO_INEM_SANTIAGO_PEREZ_IED</v>
          </cell>
          <cell r="G130" t="str">
            <v>INEM SANTIAGO PEREZ</v>
          </cell>
          <cell r="H130" t="str">
            <v>Autoevaluación Institucional y Pruebas SABER 11</v>
          </cell>
          <cell r="I130" t="str">
            <v>EVALUACIÓN_CON_FINES_DE_MEJORAMIENTO.</v>
          </cell>
          <cell r="J1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0" t="str">
            <v>SANDRA JAZMÍN BAQUERO CÓRDOBA</v>
          </cell>
          <cell r="L130" t="str">
            <v xml:space="preserve">SANDRA JAZMÍN BAQUERO CÓRDOBA
NELSON AUGUSTO CUBILLOS OLARTE
CLAUDIA PATRICIA GRANADOS FLÓREZ
</v>
          </cell>
          <cell r="M130">
            <v>45814</v>
          </cell>
          <cell r="N130">
            <v>45814</v>
          </cell>
          <cell r="O130">
            <v>45814</v>
          </cell>
          <cell r="P130" t="str">
            <v>Visitas de evaluación con fines de mejoramiento</v>
          </cell>
          <cell r="Q130" t="str">
            <v>CamScanner 10-06-2025 07.50.pdf</v>
          </cell>
          <cell r="R130" t="str">
            <v>Se encontró que no contempla los enfoques restauraativo y de género</v>
          </cell>
          <cell r="S130" t="str">
            <v>se solicitó implementar los enfoques en el Manual de Convivencia</v>
          </cell>
          <cell r="T130" t="str">
            <v>Si</v>
          </cell>
          <cell r="U130" t="str">
            <v>Se revisara el plan de mejoramiento aportado para verificar su pertinencia y posterior seguimiento para su cumplimiento</v>
          </cell>
        </row>
        <row r="131">
          <cell r="A131">
            <v>2523</v>
          </cell>
          <cell r="B131"/>
          <cell r="C131" t="str">
            <v>TUNJUELITO</v>
          </cell>
          <cell r="D131" t="str">
            <v>OFICIAL</v>
          </cell>
          <cell r="E131" t="str">
            <v>EPBM</v>
          </cell>
          <cell r="F131" t="str">
            <v>COLEGIO_INEM_SANTIAGO_PEREZ_IED</v>
          </cell>
          <cell r="G131" t="str">
            <v>INEM SANTIAGO PEREZ</v>
          </cell>
          <cell r="H131" t="str">
            <v>Autoevaluación Institucional y Pruebas SABER 11</v>
          </cell>
          <cell r="I131" t="str">
            <v>EVALUACIÓN_CON_FINES_DE_MEJORAMIENTO.</v>
          </cell>
          <cell r="J131" t="str">
            <v>Revisar la actualización, socialización e implementación del Sistema Institucional de Evaluación de Estudiantes - SIEE, en articulación con la actualización del PEI y la normatividad vigente.</v>
          </cell>
          <cell r="K131" t="str">
            <v>SANDRA JAZMÍN BAQUERO CÓRDOBA</v>
          </cell>
          <cell r="L131" t="str">
            <v xml:space="preserve">SANDRA JAZMÍN BAQUERO CÓRDOBA
NELSON AUGUSTO CUBILLOS OLARTE
CLAUDIA PATRICIA GRANADOS FLÓREZ
</v>
          </cell>
          <cell r="M131">
            <v>45814</v>
          </cell>
          <cell r="N131">
            <v>45814</v>
          </cell>
          <cell r="O131">
            <v>45814</v>
          </cell>
          <cell r="P131" t="str">
            <v>Visitas de evaluación con fines de mejoramiento</v>
          </cell>
          <cell r="Q131" t="str">
            <v>CamScanner 10-06-2025 07.50.pdf</v>
          </cell>
          <cell r="R131" t="str">
            <v>Se encontró que no contempla las comisiones de promoción y evaluación  pero en la práctica el colegio las realiza Por otro lado,  el horizonte institucional está desactualizado</v>
          </cell>
          <cell r="S131" t="str">
            <v>El colegio debe actualizar el horizonte institucional, además incluir en el SIEE todo lo relacionado con las comisiones de promoción y evaluación</v>
          </cell>
          <cell r="T131" t="str">
            <v>Si</v>
          </cell>
          <cell r="U131" t="str">
            <v>Se revisara el plan de mejoramiento aportado para verificar su pertinencia y posterior seguimiento para su cumplimiento</v>
          </cell>
        </row>
        <row r="132">
          <cell r="A132">
            <v>2515</v>
          </cell>
          <cell r="B132"/>
          <cell r="C132" t="str">
            <v>TUNJUELITO</v>
          </cell>
          <cell r="D132" t="str">
            <v>OFICIAL</v>
          </cell>
          <cell r="E132" t="str">
            <v>EPBM</v>
          </cell>
          <cell r="F132" t="str">
            <v>COLEGIO_INEM_SANTIAGO_PEREZ_IED</v>
          </cell>
          <cell r="G132" t="str">
            <v>INEM SANTIAGO PEREZ</v>
          </cell>
          <cell r="H132" t="str">
            <v>Autoevaluación Institucional y Pruebas SABER 11</v>
          </cell>
          <cell r="I132" t="str">
            <v>EVALUACIÓN_CON_FINES_DE_MEJORAMIENTO.</v>
          </cell>
          <cell r="J132" t="str">
            <v>Revisar el calendario escolar, jornada escolar, la intensidad horaria mínima anual en cada nivel y las modificaciones que se realicen al mismo, de acuerdo con lo previsto en la normatividad vigente.</v>
          </cell>
          <cell r="K132" t="str">
            <v>SANDRA JAZMÍN BAQUERO CÓRDOBA</v>
          </cell>
          <cell r="L132" t="str">
            <v xml:space="preserve">SANDRA JAZMÍN BAQUERO CÓRDOBA
NELSON AUGUSTO CUBILLOS OLARTE
CLAUDIA PATRICIA GRANADOS FLÓREZ
</v>
          </cell>
          <cell r="M132">
            <v>45814</v>
          </cell>
          <cell r="N132">
            <v>45814</v>
          </cell>
          <cell r="O132">
            <v>45814</v>
          </cell>
          <cell r="P132" t="str">
            <v>Revisión documental</v>
          </cell>
          <cell r="Q132" t="str">
            <v>CamScanner 10-06-2025 07.50.pdf</v>
          </cell>
          <cell r="R132" t="str">
            <v>Cumple con cuarenta (40) semanas lectivas de trabajo académico con estudiantes, por lo tanto, se ajusta a lo estipulado en la “Ley 115 de 1994, Artículo 86º.-</v>
          </cell>
          <cell r="S132" t="str">
            <v>Se dan orientaciones al respecto para mayor claridad</v>
          </cell>
          <cell r="T132" t="str">
            <v>No</v>
          </cell>
          <cell r="U132" t="str">
            <v>Realizar seguimiento al calendario presentado por la IE</v>
          </cell>
        </row>
        <row r="133">
          <cell r="A133">
            <v>2524</v>
          </cell>
          <cell r="B133"/>
          <cell r="C133" t="str">
            <v>TUNJUELITO</v>
          </cell>
          <cell r="D133" t="str">
            <v>OFICIAL</v>
          </cell>
          <cell r="E133" t="str">
            <v>EPBM</v>
          </cell>
          <cell r="F133" t="str">
            <v>COLEGIO_INEM_SANTIAGO_PEREZ_IED</v>
          </cell>
          <cell r="G133" t="str">
            <v>INEM SANTIAGO PEREZ</v>
          </cell>
          <cell r="H133" t="str">
            <v>Autoevaluación Institucional y Pruebas SABER 11</v>
          </cell>
          <cell r="I133" t="str">
            <v>EVALUACIÓN_CON_FINES_DE_MEJORAMIENTO.</v>
          </cell>
          <cell r="J133" t="str">
            <v>Verificar el funcionamiento del Gobierno Escolar e instancias de participación con base en la información sobre conformación reportada por la institución educativa.</v>
          </cell>
          <cell r="K133" t="str">
            <v>SANDRA JAZMÍN BAQUERO CÓRDOBA</v>
          </cell>
          <cell r="L133" t="str">
            <v xml:space="preserve">SANDRA JAZMÍN BAQUERO CÓRDOBA
NELSON AUGUSTO CUBILLOS OLARTE
CLAUDIA PATRICIA GRANADOS FLÓREZ
</v>
          </cell>
          <cell r="M133">
            <v>45814</v>
          </cell>
          <cell r="N133">
            <v>45814</v>
          </cell>
          <cell r="O133">
            <v>45814</v>
          </cell>
          <cell r="P133" t="str">
            <v>Visitas de evaluación con fines de mejoramiento</v>
          </cell>
          <cell r="Q133" t="str">
            <v>CamScanner 10-06-2025 07.50.pdf</v>
          </cell>
          <cell r="R133" t="str">
            <v>Se encontró que el Gobierno Escolar es operativo</v>
          </cell>
          <cell r="S133" t="str">
            <v>El gobierno escolar funciona y se registra en las actas la periodicidad de las reuniones</v>
          </cell>
          <cell r="T133" t="str">
            <v>No</v>
          </cell>
          <cell r="U133" t="str">
            <v>Se verificará en la conformación y el funcionamiento en el siguiente año escolar</v>
          </cell>
        </row>
        <row r="134">
          <cell r="A134">
            <v>2525</v>
          </cell>
          <cell r="B134"/>
          <cell r="C134" t="str">
            <v>TUNJUELITO</v>
          </cell>
          <cell r="D134" t="str">
            <v>OFICIAL</v>
          </cell>
          <cell r="E134" t="str">
            <v>EPBM</v>
          </cell>
          <cell r="F134" t="str">
            <v>COLEGIO_INEM_SANTIAGO_PEREZ_IED</v>
          </cell>
          <cell r="G134" t="str">
            <v>INEM SANTIAGO PEREZ</v>
          </cell>
          <cell r="H134" t="str">
            <v>Autoevaluación Institucional y Pruebas SABER 11</v>
          </cell>
          <cell r="I134" t="str">
            <v>EVALUACIÓN_CON_FINES_DE_MEJORAMIENTO.</v>
          </cell>
          <cell r="J134" t="str">
            <v>Verificar las condiciones en cuanto a: la estructura administrativa, condiciones de la planta física y medios educativos adecuados.</v>
          </cell>
          <cell r="K134" t="str">
            <v>SANDRA JAZMÍN BAQUERO CÓRDOBA</v>
          </cell>
          <cell r="L134" t="str">
            <v xml:space="preserve">SANDRA JAZMÍN BAQUERO CÓRDOBA
NELSON AUGUSTO CUBILLOS OLARTE
CLAUDIA PATRICIA GRANADOS FLÓREZ
</v>
          </cell>
          <cell r="M134">
            <v>45814</v>
          </cell>
          <cell r="N134">
            <v>45814</v>
          </cell>
          <cell r="O134">
            <v>45814</v>
          </cell>
          <cell r="P134" t="str">
            <v>Visitas de evaluación con fines de mejoramiento</v>
          </cell>
          <cell r="Q134" t="str">
            <v>CamScanner 10-06-2025 07.50.pdf</v>
          </cell>
          <cell r="R134" t="str">
            <v>La planta física del colegio se encuentra en regular estado de conservación y le falta dotación</v>
          </cell>
          <cell r="S134" t="str">
            <v>El colegio debe oficiar a dotaciones y realizar un mejor mantenimiento de la planta física</v>
          </cell>
          <cell r="T134" t="str">
            <v>Si</v>
          </cell>
          <cell r="U134" t="str">
            <v>Se verificará en la conformación y el funcionamiento en el siguiente año escolar</v>
          </cell>
        </row>
        <row r="135">
          <cell r="A135">
            <v>2527</v>
          </cell>
          <cell r="B135">
            <v>16</v>
          </cell>
          <cell r="C135" t="str">
            <v>TUNJUELITO</v>
          </cell>
          <cell r="D135" t="str">
            <v>OFICIAL</v>
          </cell>
          <cell r="E135" t="str">
            <v>EPBM</v>
          </cell>
          <cell r="F135" t="str">
            <v>COLEGIO_INSTITUTO_TECNICO_INDUSTRIAL_PILOTO_IED</v>
          </cell>
          <cell r="G135" t="str">
            <v>PILOTO</v>
          </cell>
          <cell r="H135" t="str">
            <v>Convivencia escolar</v>
          </cell>
          <cell r="I135" t="str">
            <v>SEGUIMIENTO_Y_SUPERVISIÓN.</v>
          </cell>
          <cell r="J135" t="str">
            <v xml:space="preserve">Verificar la implementación por parte de los colegios, de acciones realizadas para la prevención y atención de las situaciones de convivencia en el entorno escolar, según lo establecido en la Directiva 01 de 2022 del MEN. </v>
          </cell>
          <cell r="K135" t="str">
            <v>NELSON AUGUSTO CUBILLOS OLARTE</v>
          </cell>
          <cell r="L135" t="str">
            <v xml:space="preserve">SANDRA JAZMÍN BAQUERO CÓRDOBA
NELSON AUGUSTO CUBILLOS OLARTE
CLAUDIA PATRICIA GRANADOS FLÓREZ
</v>
          </cell>
          <cell r="M135">
            <v>45756</v>
          </cell>
          <cell r="N135">
            <v>45857</v>
          </cell>
          <cell r="O135" t="str">
            <v>29/07/2025</v>
          </cell>
          <cell r="P135" t="str">
            <v>Visitas de evaluación con fines de seguimiento</v>
          </cell>
          <cell r="Q135" t="str">
            <v>Visita ITIP 29072025_250803_19023203082025.pdf</v>
          </cell>
          <cell r="R135" t="str">
            <v>Se realizan acciones de promoción y prevención con los docentes y los estudiantes, se activan los protocolos y se realiza acompañamiento por parte de orientación en la institución.</v>
          </cell>
          <cell r="S135" t="str">
            <v>Se deben reforzar las evidencias como las actas de la formación docnete entre otras,.</v>
          </cell>
          <cell r="T135" t="str">
            <v>No</v>
          </cell>
          <cell r="U135" t="str">
            <v>Se verificará en el año entrante</v>
          </cell>
        </row>
        <row r="136">
          <cell r="A136">
            <v>2528</v>
          </cell>
          <cell r="B136"/>
          <cell r="C136" t="str">
            <v>TUNJUELITO</v>
          </cell>
          <cell r="D136" t="str">
            <v>OFICIAL</v>
          </cell>
          <cell r="E136" t="str">
            <v>EPBM</v>
          </cell>
          <cell r="F136" t="str">
            <v>COLEGIO_INSTITUTO_TECNICO_INDUSTRIAL_PILOTO_IED</v>
          </cell>
          <cell r="G136" t="str">
            <v>PILOTO</v>
          </cell>
          <cell r="H136" t="str">
            <v>Convivencia escolar</v>
          </cell>
          <cell r="I136" t="str">
            <v>SEGUIMIENTO_Y_SUPERVISIÓN.</v>
          </cell>
          <cell r="J13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6" t="str">
            <v>NELSON AUGUSTO CUBILLOS OLARTE</v>
          </cell>
          <cell r="L136" t="str">
            <v xml:space="preserve">SANDRA JAZMÍN BAQUERO CÓRDOBA
NELSON AUGUSTO CUBILLOS OLARTE
CLAUDIA PATRICIA GRANADOS FLÓREZ
</v>
          </cell>
          <cell r="M136">
            <v>45756</v>
          </cell>
          <cell r="N136">
            <v>45867</v>
          </cell>
          <cell r="O136" t="str">
            <v>29/07/2025</v>
          </cell>
          <cell r="P136" t="str">
            <v>Visitas de evaluación con fines de seguimiento</v>
          </cell>
          <cell r="Q136" t="str">
            <v>Visita ITIP 29072025_250803_19023203082025.pdf</v>
          </cell>
          <cell r="R136" t="str">
            <v>Todos los casos marcados en el SIMAT como discapacidad tienen sus respectivoas PIAR en el formato del MEN</v>
          </cell>
          <cell r="S136" t="str">
            <v>Se deben ajustar las concepciones de barreras y revisar periodicamente su consecución.</v>
          </cell>
          <cell r="T136" t="str">
            <v>No</v>
          </cell>
          <cell r="U136" t="str">
            <v>Se continúa con el seguimiento debido a los casos reportados.</v>
          </cell>
        </row>
        <row r="137">
          <cell r="A137">
            <v>2530</v>
          </cell>
          <cell r="B137"/>
          <cell r="C137" t="str">
            <v>TUNJUELITO</v>
          </cell>
          <cell r="D137" t="str">
            <v>OFICIAL</v>
          </cell>
          <cell r="E137" t="str">
            <v>EPBM</v>
          </cell>
          <cell r="F137" t="str">
            <v>COLEGIO_INSTITUTO_TECNICO_INDUSTRIAL_PILOTO_IED</v>
          </cell>
          <cell r="G137" t="str">
            <v>PILOTO</v>
          </cell>
          <cell r="H137" t="str">
            <v>Convivencia escolar</v>
          </cell>
          <cell r="I137" t="str">
            <v>EVALUACIÓN_CON_FINES_DE_MEJORAMIENTO.</v>
          </cell>
          <cell r="J13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7" t="str">
            <v>NELSON AUGUSTO CUBILLOS OLARTE</v>
          </cell>
          <cell r="L137" t="str">
            <v xml:space="preserve">SANDRA JAZMÍN BAQUERO CÓRDOBA
NELSON AUGUSTO CUBILLOS OLARTE
CLAUDIA PATRICIA GRANADOS FLÓREZ
</v>
          </cell>
          <cell r="M137">
            <v>45756</v>
          </cell>
          <cell r="N137">
            <v>45867</v>
          </cell>
          <cell r="O137" t="str">
            <v>29/07/2025</v>
          </cell>
          <cell r="P137" t="str">
            <v>Visitas de evaluación con fines de mejoramiento</v>
          </cell>
          <cell r="Q137" t="str">
            <v>Visita ITIP 29072025_250803_19023203082025.pdf</v>
          </cell>
          <cell r="R137" t="str">
            <v>La institución muestra evidencias de activar los protocolos, realizar los procesos y actividades en ellos descritos y en general cumplir con la normatividad vigente.</v>
          </cell>
          <cell r="S137" t="str">
            <v>La institución debe ajustar el plan de convivencia escolar con la información del año en cuerso y debve realizar los cierres en actas del comité de convivencia</v>
          </cell>
          <cell r="T137" t="str">
            <v>Si</v>
          </cell>
          <cell r="U137" t="str">
            <v>Serevisará documentalmente en el PMI de la institución, para realizar el seguimiento respectivo.</v>
          </cell>
        </row>
        <row r="138">
          <cell r="A138">
            <v>2531</v>
          </cell>
          <cell r="B138"/>
          <cell r="C138" t="str">
            <v>TUNJUELITO</v>
          </cell>
          <cell r="D138" t="str">
            <v>OFICIAL</v>
          </cell>
          <cell r="E138" t="str">
            <v>EPBM</v>
          </cell>
          <cell r="F138" t="str">
            <v>COLEGIO_INSTITUTO_TECNICO_INDUSTRIAL_PILOTO_IED</v>
          </cell>
          <cell r="G138" t="str">
            <v>PILOTO</v>
          </cell>
          <cell r="H138" t="str">
            <v>Convivencia escolar</v>
          </cell>
          <cell r="I138" t="str">
            <v>EVALUACIÓN_CON_FINES_DE_MEJORAMIENTO.</v>
          </cell>
          <cell r="J138" t="str">
            <v>Revisar la actualización, socialización e implementación del Sistema Institucional de Evaluación de Estudiantes - SIEE, en articulación con la actualización del PEI y la normatividad vigente.</v>
          </cell>
          <cell r="K138" t="str">
            <v>NELSON AUGUSTO CUBILLOS OLARTE</v>
          </cell>
          <cell r="L138" t="str">
            <v xml:space="preserve">SANDRA JAZMÍN BAQUERO CÓRDOBA
NELSON AUGUSTO CUBILLOS OLARTE
CLAUDIA PATRICIA GRANADOS FLÓREZ
</v>
          </cell>
          <cell r="M138">
            <v>45756</v>
          </cell>
          <cell r="N138">
            <v>45867</v>
          </cell>
          <cell r="O138" t="str">
            <v>29/07/2025</v>
          </cell>
          <cell r="P138" t="str">
            <v>Visitas de evaluación con fines de mejoramiento</v>
          </cell>
          <cell r="Q138" t="str">
            <v>Visita ITIP 29072025_250803_19023203082025.pdf</v>
          </cell>
          <cell r="R138" t="str">
            <v>En el inicio de la rectoría se han realizado procesos de actualización y armonización del SIEE que demuestran tener  procesos de acompañamiento y ayuda a los estudiantes con dificultad.</v>
          </cell>
          <cell r="S138" t="str">
            <v>Se debe continuar con el proceso de actualización dado que el PEI esta vigente hasta 2027, se recomienda iniciar el plan de actualización general.</v>
          </cell>
          <cell r="T138" t="str">
            <v>Si</v>
          </cell>
          <cell r="U138" t="str">
            <v>Se revisará documentalmente en el PMI de la institución, para realizar el seguimiento respectivo.</v>
          </cell>
        </row>
        <row r="139">
          <cell r="A139">
            <v>2532</v>
          </cell>
          <cell r="B139"/>
          <cell r="C139" t="str">
            <v>TUNJUELITO</v>
          </cell>
          <cell r="D139" t="str">
            <v>OFICIAL</v>
          </cell>
          <cell r="E139" t="str">
            <v>EPBM</v>
          </cell>
          <cell r="F139" t="str">
            <v>COLEGIO_INSTITUTO_TECNICO_INDUSTRIAL_PILOTO_IED</v>
          </cell>
          <cell r="G139" t="str">
            <v>PILOTO</v>
          </cell>
          <cell r="H139" t="str">
            <v>Convivencia escolar</v>
          </cell>
          <cell r="I139" t="str">
            <v>EVALUACIÓN_CON_FINES_DE_MEJORAMIENTO.</v>
          </cell>
          <cell r="J139" t="str">
            <v>Verificar el funcionamiento del Gobierno Escolar e instancias de participación con base en la información sobre conformación reportada por la institución educativa.</v>
          </cell>
          <cell r="K139" t="str">
            <v>NELSON AUGUSTO CUBILLOS OLARTE</v>
          </cell>
          <cell r="L139" t="str">
            <v xml:space="preserve">SANDRA JAZMÍN BAQUERO CÓRDOBA
NELSON AUGUSTO CUBILLOS OLARTE
CLAUDIA PATRICIA GRANADOS FLÓREZ
</v>
          </cell>
          <cell r="M139">
            <v>45756</v>
          </cell>
          <cell r="N139">
            <v>45867</v>
          </cell>
          <cell r="O139" t="str">
            <v>29/07/2025</v>
          </cell>
          <cell r="P139" t="str">
            <v>Visitas de evaluación con fines de mejoramiento</v>
          </cell>
          <cell r="Q139" t="str">
            <v>Visita ITIP 29072025_250803_19023203082025.pdf</v>
          </cell>
          <cell r="R139" t="str">
            <v>Se realizaron los procesos democraticos en los tiempos respectivos y la mayoría se encuentran  funcionando correctamente, algunos de los organos de participación como consejo de padres y estudiantil no cuentan con actas, aunque existen evidencias de las reuniones.</v>
          </cell>
          <cell r="S139" t="str">
            <v>Se deben realizar las actas de sesiones de los organos de participación y convocar reuniones constantes que obedezcan al plan de cada una de las instancias, las otras se encuentran funcionando correctamente.</v>
          </cell>
          <cell r="T139" t="str">
            <v>Si</v>
          </cell>
          <cell r="U139" t="str">
            <v>Serevisará documentalmente en el PMI de la institución, para realizar el seguimiento respectivo.</v>
          </cell>
        </row>
        <row r="140">
          <cell r="A140">
            <v>2533</v>
          </cell>
          <cell r="B140"/>
          <cell r="C140" t="str">
            <v>TUNJUELITO</v>
          </cell>
          <cell r="D140" t="str">
            <v>OFICIAL</v>
          </cell>
          <cell r="E140" t="str">
            <v>EPBM</v>
          </cell>
          <cell r="F140" t="str">
            <v>COLEGIO_INSTITUTO_TECNICO_INDUSTRIAL_PILOTO_IED</v>
          </cell>
          <cell r="G140" t="str">
            <v>PILOTO</v>
          </cell>
          <cell r="H140" t="str">
            <v>Convivencia escolar</v>
          </cell>
          <cell r="I140" t="str">
            <v>EVALUACIÓN_CON_FINES_DE_MEJORAMIENTO.</v>
          </cell>
          <cell r="J140" t="str">
            <v>Verificar las condiciones en cuanto a: la estructura administrativa, condiciones de la planta física y medios educativos adecuados.</v>
          </cell>
          <cell r="K140" t="str">
            <v>NELSON AUGUSTO CUBILLOS OLARTE</v>
          </cell>
          <cell r="L140" t="str">
            <v xml:space="preserve">SANDRA JAZMÍN BAQUERO CÓRDOBA
NELSON AUGUSTO CUBILLOS OLARTE
CLAUDIA PATRICIA GRANADOS FLÓREZ
</v>
          </cell>
          <cell r="M140">
            <v>45756</v>
          </cell>
          <cell r="N140">
            <v>45867</v>
          </cell>
          <cell r="O140" t="str">
            <v>29/07/2025</v>
          </cell>
          <cell r="P140" t="str">
            <v>Visitas de evaluación con fines de mejoramiento</v>
          </cell>
          <cell r="Q140" t="str">
            <v>Visita ITIP 29072025_250803_19023203082025.pdf</v>
          </cell>
          <cell r="R140" t="str">
            <v>Se realiza visita a las sedes A y  C en las cuales se evidencian espacios aptos para el desarrollo de las actividades académicas, se adolece de baños para discapacitados con movilidad reducida.</v>
          </cell>
          <cell r="S140" t="str">
            <v>La institución debe contemplar la solicitud a la dirección de construcciones de baños para los discapacitados con movlidad reducida.</v>
          </cell>
          <cell r="T140" t="str">
            <v>Si</v>
          </cell>
          <cell r="U140" t="str">
            <v>Serevisará documentalmente en el PMI de la institución, para realizar el seguimiento respectivo.</v>
          </cell>
        </row>
        <row r="141">
          <cell r="A141">
            <v>2534</v>
          </cell>
          <cell r="B141">
            <v>17</v>
          </cell>
          <cell r="C141" t="str">
            <v>TUNJUELITO</v>
          </cell>
          <cell r="D141" t="str">
            <v>PRIVADO_IETDH</v>
          </cell>
          <cell r="E141" t="str">
            <v>IETDH</v>
          </cell>
          <cell r="F141" t="str">
            <v>INSTITUTO_BRITANICO</v>
          </cell>
          <cell r="G141" t="str">
            <v>INSTITUTO BRITANICO</v>
          </cell>
          <cell r="H141" t="str">
            <v>IETDH priorizadas por cada ELIV (seguimiento a PMI, que no se hayan visitado en los últimos 3 años)</v>
          </cell>
          <cell r="I141" t="str">
            <v>SEGUIMIENTO_Y_SUPERVISIÓN.</v>
          </cell>
          <cell r="J141"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41" t="str">
            <v>NELSON AUGUSTO CUBILLOS OLARTE</v>
          </cell>
          <cell r="L141" t="str">
            <v xml:space="preserve">SANDRA JAZMÍN BAQUERO CÓRDOBA
NELSON AUGUSTO CUBILLOS OLARTE
CLAUDIA PATRICIA GRANADOS FLÓREZ
</v>
          </cell>
          <cell r="M141">
            <v>45739</v>
          </cell>
          <cell r="N141">
            <v>45907</v>
          </cell>
          <cell r="O141">
            <v>45907</v>
          </cell>
          <cell r="P141" t="str">
            <v>Visitas de evaluación con fines de mejoramiento</v>
          </cell>
          <cell r="Q141" t="str">
            <v>Instituto Britanico 09072025_250714_14304914072025.pdf</v>
          </cell>
          <cell r="R141" t="str">
            <v>Se experimenta una baja en la matricula de la institución, el programa de T. L. en Ventas y Mercadeo solo reguistra 2 estudiantes en el 2022, las horas de los programas no estan claras.</v>
          </cell>
          <cell r="S141" t="str">
            <v>La institución presentará en su PMI una certificación clara de uno a uno de los programas identificando los tiempos tanto de actividades académicas como de actividades de practica, detallado.</v>
          </cell>
          <cell r="T141" t="str">
            <v>Si</v>
          </cell>
          <cell r="U141" t="str">
            <v>Serevisará documentalmente en el PMI de la institución, para realizar el seguimiento respectivo.</v>
          </cell>
        </row>
        <row r="142">
          <cell r="A142">
            <v>2535</v>
          </cell>
          <cell r="B142"/>
          <cell r="C142" t="str">
            <v>TUNJUELITO</v>
          </cell>
          <cell r="D142" t="str">
            <v>PRIVADO_IETDH</v>
          </cell>
          <cell r="E142" t="str">
            <v>IETDH</v>
          </cell>
          <cell r="F142" t="str">
            <v>INSTITUTO_BRITANICO</v>
          </cell>
          <cell r="G142" t="str">
            <v>INSTITUTO BRITANICO</v>
          </cell>
          <cell r="H142" t="str">
            <v>IETDH priorizadas por cada ELIV (seguimiento a PMI, que no se hayan visitado en los últimos 3 años)</v>
          </cell>
          <cell r="I142" t="str">
            <v>SEGUIMIENTO_Y_SUPERVISIÓN.</v>
          </cell>
          <cell r="J142" t="str">
            <v>Adelantar visitas para verificar que el desarrollo de los programas de ETDH, esté de acuerdo con lo autorizado y la normatividad vigente, para propender por su pertinencia, legalidad y actualización constante.</v>
          </cell>
          <cell r="K142" t="str">
            <v>NELSON AUGUSTO CUBILLOS OLARTE</v>
          </cell>
          <cell r="L142" t="str">
            <v xml:space="preserve">SANDRA JAZMÍN BAQUERO CÓRDOBA
NELSON AUGUSTO CUBILLOS OLARTE
CLAUDIA PATRICIA GRANADOS FLÓREZ
</v>
          </cell>
          <cell r="M142">
            <v>45739</v>
          </cell>
          <cell r="N142">
            <v>45907</v>
          </cell>
          <cell r="O142">
            <v>45907</v>
          </cell>
          <cell r="P142" t="str">
            <v>Visitas de evaluación con fines de mejoramiento</v>
          </cell>
          <cell r="Q142" t="str">
            <v>Instituto Britanico 09072025_250714_14304914072025.pdf</v>
          </cell>
          <cell r="R142" t="str">
            <v>Se encuentra que los programas que se ofrecen se encuentran debidamente legalizados, la planta fisica es optima para los programas aprobados, algunos programas no tienen salida y deben ser revisados por su pertinencia.</v>
          </cell>
          <cell r="S142" t="str">
            <v>Realizar revisión de sus programas y la pertinencia de los mismos, evaluar la pertinencia de incluir nuevos programas como los de Inglés.</v>
          </cell>
          <cell r="T142" t="str">
            <v>Si</v>
          </cell>
          <cell r="U142" t="str">
            <v>Serevisará documentalmente en el PMI de la institución, para realizar el seguimiento respectivo, en nueva visita.</v>
          </cell>
        </row>
        <row r="143">
          <cell r="A143">
            <v>2536</v>
          </cell>
          <cell r="B143"/>
          <cell r="C143" t="str">
            <v>TUNJUELITO</v>
          </cell>
          <cell r="D143" t="str">
            <v>PRIVADO_IETDH</v>
          </cell>
          <cell r="E143" t="str">
            <v>IETDH</v>
          </cell>
          <cell r="F143" t="str">
            <v>INSTITUTO_BRITANICO</v>
          </cell>
          <cell r="G143" t="str">
            <v>INSTITUTO BRITANICO</v>
          </cell>
          <cell r="H143" t="str">
            <v>IETDH priorizadas por cada ELIV (seguimiento a PMI, que no se hayan visitado en los últimos 3 años)</v>
          </cell>
          <cell r="I143" t="str">
            <v>EVALUACIÓN_CON_FINES_DE_MEJORAMIENTO.</v>
          </cell>
          <cell r="J143" t="str">
            <v>Verificar las condiciones en cuanto a: la estructura administrativa, condiciones de la planta física y medios educativos adecuados.</v>
          </cell>
          <cell r="K143" t="str">
            <v>NELSON AUGUSTO CUBILLOS OLARTE</v>
          </cell>
          <cell r="L143" t="str">
            <v xml:space="preserve">SANDRA JAZMÍN BAQUERO CÓRDOBA
NELSON AUGUSTO CUBILLOS OLARTE
CLAUDIA PATRICIA GRANADOS FLÓREZ
</v>
          </cell>
          <cell r="M143">
            <v>45739</v>
          </cell>
          <cell r="N143">
            <v>45907</v>
          </cell>
          <cell r="O143">
            <v>45907</v>
          </cell>
          <cell r="P143" t="str">
            <v>Visitas de evaluación con fines de mejoramiento</v>
          </cell>
          <cell r="Q143" t="str">
            <v>Instituto Britanico 09072025_250714_14304914072025.pdf</v>
          </cell>
          <cell r="R143" t="str">
            <v>La estructura administrativa se ha reducido en el ultimo año, se cuenta con la plataforma Q10 para los procesos académicos y con SIIGO como programa contable,  no cuenta con reglamento de formadores, el contrato de matrícula debe ser actualizado.</v>
          </cell>
          <cell r="S143" t="str">
            <v>La institución debe presentar un PMI que contemple los procesos administrativos, académicos y de extensión a la comunidad de acuerdo con lo revisado.</v>
          </cell>
          <cell r="T143" t="str">
            <v>Si</v>
          </cell>
          <cell r="U143" t="str">
            <v>Serevisará documentalmente el PMI de la institución, para realizar el seguimiento respectivo en nueva visita.</v>
          </cell>
        </row>
        <row r="144">
          <cell r="A144">
            <v>2537</v>
          </cell>
          <cell r="B144">
            <v>18</v>
          </cell>
          <cell r="C144" t="str">
            <v>TUNJUELITO</v>
          </cell>
          <cell r="D144" t="str">
            <v>PRIVADO_IETDH</v>
          </cell>
          <cell r="E144" t="str">
            <v>IETDH</v>
          </cell>
          <cell r="F144" t="str">
            <v>ACADEMIA_FLOR_DE_LIZ_NEW_ESTHETIC_ACADEMY_SAS_IETDH</v>
          </cell>
          <cell r="G144" t="str">
            <v>ACADEMIA FLOR DE LIZ NEW ESTHETIC ACADEMY SAS IETDH</v>
          </cell>
          <cell r="H144" t="str">
            <v>IETDH priorizadas por cada ELIV (seguimiento a PMI, que no se hayan visitado en los últimos 3 años)</v>
          </cell>
          <cell r="I144" t="str">
            <v>SEGUIMIENTO_Y_SUPERVISIÓN.</v>
          </cell>
          <cell r="J144"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44" t="str">
            <v>CLAUDIA PATRICIA GRANADOS FLÓREZ</v>
          </cell>
          <cell r="L144" t="str">
            <v xml:space="preserve">SANDRA JAZMÍN BAQUERO CÓRDOBA
NELSON AUGUSTO CUBILLOS OLARTE
CLAUDIA PATRICIA GRANADOS FLÓREZ
</v>
          </cell>
          <cell r="M144">
            <v>45917</v>
          </cell>
          <cell r="N144">
            <v>45903</v>
          </cell>
          <cell r="O144" t="str">
            <v>23/09/2025</v>
          </cell>
          <cell r="P144" t="str">
            <v>Visitas de evaluación con fines de mejoramiento</v>
          </cell>
          <cell r="Q144" t="str">
            <v>ACADEMIA FLOR DE LIZ NEW ESTHETIC ACADEMY SAS</v>
          </cell>
          <cell r="R144" t="str">
            <v>Se evidencia registro alto de matricula en SIET, vs la capacidad instalada, se requeire revisar reporte SIET. Costos de programa no ha tenido incrementos desde la aprobación del año 2022</v>
          </cell>
          <cell r="S144" t="str">
            <v>Presentación del PMI 4 de octubre de 2025</v>
          </cell>
          <cell r="T144" t="str">
            <v>Si</v>
          </cell>
          <cell r="U144" t="str">
            <v>Se revisara el plan de mejoramiento aportado para verificar su pertinencia y posterior seguimiento para su cumplimiento</v>
          </cell>
        </row>
        <row r="145">
          <cell r="A145">
            <v>2538</v>
          </cell>
          <cell r="B145"/>
          <cell r="C145" t="str">
            <v>TUNJUELITO</v>
          </cell>
          <cell r="D145" t="str">
            <v>PRIVADO_IETDH</v>
          </cell>
          <cell r="E145" t="str">
            <v>IETDH</v>
          </cell>
          <cell r="F145" t="str">
            <v>ACADEMIA_FLOR_DE_LIZ_NEW_ESTHETIC_ACADEMY_SAS_IETDH</v>
          </cell>
          <cell r="G145" t="str">
            <v>ACADEMIA FLOR DE LIZ NEW ESTHETIC ACADEMY SAS IETDH</v>
          </cell>
          <cell r="H145" t="str">
            <v>IETDH priorizadas por cada ELIV (seguimiento a PMI, que no se hayan visitado en los últimos 3 años)</v>
          </cell>
          <cell r="I145" t="str">
            <v>SEGUIMIENTO_Y_SUPERVISIÓN.</v>
          </cell>
          <cell r="J145" t="str">
            <v>Adelantar visitas para verificar que el desarrollo de los programas de ETDH, esté de acuerdo con lo autorizado y la normatividad vigente, para propender por su pertinencia, legalidad y actualización constante.</v>
          </cell>
          <cell r="K145" t="str">
            <v>CLAUDIA PATRICIA GRANADOS FLÓREZ</v>
          </cell>
          <cell r="L145" t="str">
            <v xml:space="preserve">SANDRA JAZMÍN BAQUERO CÓRDOBA
NELSON AUGUSTO CUBILLOS OLARTE
CLAUDIA PATRICIA GRANADOS FLÓREZ
</v>
          </cell>
          <cell r="M145">
            <v>45917</v>
          </cell>
          <cell r="N145">
            <v>45923</v>
          </cell>
          <cell r="O145" t="str">
            <v>23/09/2025</v>
          </cell>
          <cell r="P145" t="str">
            <v>Visitas de evaluación con fines de mejoramiento</v>
          </cell>
          <cell r="Q145" t="str">
            <v>ACADEMIA FLOR DE LIZ NEW ESTHETIC ACADEMY SAS</v>
          </cell>
          <cell r="R145" t="str">
            <v>Se evidencia en página web ofrecimieto de programas en modalida virtual,  al igual que en los contratos de matricula.</v>
          </cell>
          <cell r="S145" t="str">
            <v>Presentación del PMI 4 de octubre de 2025</v>
          </cell>
          <cell r="T145" t="str">
            <v>Si</v>
          </cell>
          <cell r="U145" t="str">
            <v>Se revisara el plan de mejoramiento aportado para verificar su pertinencia y posterior seguimiento para su cumplimiento</v>
          </cell>
        </row>
        <row r="146">
          <cell r="A146">
            <v>2539</v>
          </cell>
          <cell r="B146"/>
          <cell r="C146" t="str">
            <v>TUNJUELITO</v>
          </cell>
          <cell r="D146" t="str">
            <v>PRIVADO_IETDH</v>
          </cell>
          <cell r="E146" t="str">
            <v>IETDH</v>
          </cell>
          <cell r="F146" t="str">
            <v>ACADEMIA_FLOR_DE_LIZ_NEW_ESTHETIC_ACADEMY_SAS_IETDH</v>
          </cell>
          <cell r="G146" t="str">
            <v>ACADEMIA FLOR DE LIZ NEW ESTHETIC ACADEMY SAS IETDH</v>
          </cell>
          <cell r="H146" t="str">
            <v>IETDH priorizadas por cada ELIV (seguimiento a PMI, que no se hayan visitado en los últimos 3 años)</v>
          </cell>
          <cell r="I146" t="str">
            <v>EVALUACIÓN_CON_FINES_DE_MEJORAMIENTO.</v>
          </cell>
          <cell r="J146" t="str">
            <v>Verificar las condiciones en cuanto a: la estructura administrativa, condiciones de la planta física y medios educativos adecuados.</v>
          </cell>
          <cell r="K146" t="str">
            <v>CLAUDIA PATRICIA GRANADOS FLÓREZ</v>
          </cell>
          <cell r="L146" t="str">
            <v xml:space="preserve">SANDRA JAZMÍN BAQUERO CÓRDOBA
NELSON AUGUSTO CUBILLOS OLARTE
CLAUDIA PATRICIA GRANADOS FLÓREZ
</v>
          </cell>
          <cell r="M146">
            <v>45917</v>
          </cell>
          <cell r="N146">
            <v>45923</v>
          </cell>
          <cell r="O146">
            <v>45923</v>
          </cell>
          <cell r="P146" t="str">
            <v>Visitas de evaluación con fines de mejoramiento</v>
          </cell>
          <cell r="Q146" t="str">
            <v>ACADEMIA FLOR DE LIZ NEW ESTHETIC ACADEMY SAS</v>
          </cell>
          <cell r="R146" t="str">
            <v>Se evidencia carencia de espacios en la infraestructura como baño para población con discapacidad, área de primeros auxilios, cuarto de clasificación y cuarto de aseo. Debe ajustar manual de funciones, organigrama, manual de convivencia, reglamento docentes dado que se encuentran definiciones que no coinciden con al realidad institucional</v>
          </cell>
          <cell r="S146" t="str">
            <v>Presentación del PMI 4 de octubre de 2025</v>
          </cell>
          <cell r="T146" t="str">
            <v>Si</v>
          </cell>
          <cell r="U146" t="str">
            <v>Se revisara el plan de mejoramiento aportado para verificar su pertinencia y posterior seguimiento para su cumplimiento</v>
          </cell>
        </row>
        <row r="147">
          <cell r="A147">
            <v>2540</v>
          </cell>
          <cell r="B147">
            <v>19</v>
          </cell>
          <cell r="C147" t="str">
            <v>TUNJUELITO</v>
          </cell>
          <cell r="D147" t="str">
            <v>PRIVADO_IETDH</v>
          </cell>
          <cell r="E147" t="str">
            <v>IETDH</v>
          </cell>
          <cell r="F147" t="str">
            <v>ACADEMIA_LATINOAMERICANA_DE_BELLEZA</v>
          </cell>
          <cell r="G147" t="str">
            <v>ACADEMIA LATINOAMERICANA DE BELLEZA</v>
          </cell>
          <cell r="H147" t="str">
            <v>IETDH priorizadas por cada ELIV (seguimiento a PMI, que no se hayan visitado en los últimos 3 años)</v>
          </cell>
          <cell r="I147" t="str">
            <v>SEGUIMIENTO_Y_SUPERVISIÓN.</v>
          </cell>
          <cell r="J147"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47" t="str">
            <v>SANDRA JAZMÍN BAQUERO CÓRDOBA</v>
          </cell>
          <cell r="L147" t="str">
            <v xml:space="preserve">SANDRA JAZMÍN BAQUERO CÓRDOBA
NELSON AUGUSTO CUBILLOS OLARTE
CLAUDIA PATRICIA GRANADOS FLÓREZ
</v>
          </cell>
          <cell r="M147">
            <v>45728</v>
          </cell>
          <cell r="N147">
            <v>45728</v>
          </cell>
          <cell r="O147">
            <v>45728</v>
          </cell>
          <cell r="P147" t="str">
            <v>Visitas de evaluación con fines de seguimiento</v>
          </cell>
          <cell r="Q147" t="str">
            <v>ACADEMIA LATINOAMERICANA DE BELLEZA</v>
          </cell>
          <cell r="R147" t="str">
            <v>Se encontró que los costos no están debidamente proyectados, los estudiantes matriculados son más que los estudiantes certificados</v>
          </cell>
          <cell r="S147" t="str">
            <v>Se solicitó remitir un informe al ELIV aclarando los costos y revisando el porque la diferencia tan marcada entre matriculados y certificados</v>
          </cell>
          <cell r="T147" t="str">
            <v>No</v>
          </cell>
          <cell r="U147" t="str">
            <v>Se practicó visita de seguimiento y quedaron subsanadas las observaciones</v>
          </cell>
        </row>
        <row r="148">
          <cell r="A148">
            <v>2541</v>
          </cell>
          <cell r="B148"/>
          <cell r="C148" t="str">
            <v>TUNJUELITO</v>
          </cell>
          <cell r="D148" t="str">
            <v>PRIVADO_IETDH</v>
          </cell>
          <cell r="E148" t="str">
            <v>IETDH</v>
          </cell>
          <cell r="F148" t="str">
            <v>ACADEMIA_LATINOAMERICANA_DE_BELLEZA</v>
          </cell>
          <cell r="G148" t="str">
            <v>ACADEMIA LATINOAMERICANA DE BELLEZA</v>
          </cell>
          <cell r="H148" t="str">
            <v>IETDH priorizadas por cada ELIV (seguimiento a PMI, que no se hayan visitado en los últimos 3 años)</v>
          </cell>
          <cell r="I148" t="str">
            <v>SEGUIMIENTO_Y_SUPERVISIÓN.</v>
          </cell>
          <cell r="J148" t="str">
            <v>Adelantar visitas para verificar que el desarrollo de los programas de ETDH, esté de acuerdo con lo autorizado y la normatividad vigente, para propender por su pertinencia, legalidad y actualización constante.</v>
          </cell>
          <cell r="K148" t="str">
            <v>SANDRA JAZMÍN BAQUERO CÓRDOBA</v>
          </cell>
          <cell r="L148" t="str">
            <v xml:space="preserve">SANDRA JAZMÍN BAQUERO CÓRDOBA
NELSON AUGUSTO CUBILLOS OLARTE
CLAUDIA PATRICIA GRANADOS FLÓREZ
</v>
          </cell>
          <cell r="M148">
            <v>45728</v>
          </cell>
          <cell r="N148">
            <v>45728</v>
          </cell>
          <cell r="O148">
            <v>45728</v>
          </cell>
          <cell r="P148" t="str">
            <v>Visitas de evaluación con fines de seguimiento</v>
          </cell>
          <cell r="Q148" t="str">
            <v>ACADEMIA LATINOAMERICANA DE BELLEZA</v>
          </cell>
          <cell r="R148" t="str">
            <v>Se encontró que los programas se están ofertando de acuerdo con lo aprobado en resolución</v>
          </cell>
          <cell r="S148" t="str">
            <v>Deben mejorar los formatos de seguimiento a los estudiantes tanto en la práctica como en la teoría</v>
          </cell>
          <cell r="T148" t="str">
            <v>No</v>
          </cell>
          <cell r="U148" t="str">
            <v>Se practicó visita de seguimiento y quedaron subsanadas las observaciones</v>
          </cell>
        </row>
        <row r="149">
          <cell r="A149">
            <v>2542</v>
          </cell>
          <cell r="B149"/>
          <cell r="C149" t="str">
            <v>TUNJUELITO</v>
          </cell>
          <cell r="D149" t="str">
            <v>PRIVADO_IETDH</v>
          </cell>
          <cell r="E149" t="str">
            <v>IETDH</v>
          </cell>
          <cell r="F149" t="str">
            <v>ACADEMIA_LATINOAMERICANA_DE_BELLEZA</v>
          </cell>
          <cell r="G149" t="str">
            <v>ACADEMIA LATINOAMERICANA DE BELLEZA</v>
          </cell>
          <cell r="H149" t="str">
            <v>IETDH priorizadas por cada ELIV (seguimiento a PMI, que no se hayan visitado en los últimos 3 años)</v>
          </cell>
          <cell r="I149" t="str">
            <v>EVALUACIÓN_CON_FINES_DE_MEJORAMIENTO.</v>
          </cell>
          <cell r="J149" t="str">
            <v>Verificar las condiciones en cuanto a: la estructura administrativa, condiciones de la planta física y medios educativos adecuados.</v>
          </cell>
          <cell r="K149" t="str">
            <v>SANDRA JAZMÍN BAQUERO CÓRDOBA</v>
          </cell>
          <cell r="L149" t="str">
            <v xml:space="preserve">SANDRA JAZMÍN BAQUERO CÓRDOBA
NELSON AUGUSTO CUBILLOS OLARTE
CLAUDIA PATRICIA GRANADOS FLÓREZ
</v>
          </cell>
          <cell r="M149">
            <v>45728</v>
          </cell>
          <cell r="N149">
            <v>45728</v>
          </cell>
          <cell r="O149">
            <v>45728</v>
          </cell>
          <cell r="P149" t="str">
            <v>Visitas de evaluación con fines de mejoramiento</v>
          </cell>
          <cell r="Q149" t="str">
            <v>ACADEMIA LATINOAMERICANA DE BELLEZA</v>
          </cell>
          <cell r="R149" t="str">
            <v>Se encontró que están utilizando el piso tercero y en licencia de funcionamiento sólo tienen autorizado el segundo</v>
          </cell>
          <cell r="S149" t="str">
            <v xml:space="preserve">La institución no debe utilizar el tercer piso </v>
          </cell>
          <cell r="T149" t="str">
            <v>No</v>
          </cell>
          <cell r="U149" t="str">
            <v>En visita se verificará que la institución no se encuentre prestando el servicio educativo en el 3 piso</v>
          </cell>
        </row>
        <row r="150">
          <cell r="A150"/>
          <cell r="B150"/>
          <cell r="C150"/>
          <cell r="D150"/>
          <cell r="E150"/>
          <cell r="F150"/>
          <cell r="G150"/>
          <cell r="H150"/>
          <cell r="I150"/>
          <cell r="J150"/>
          <cell r="K150"/>
          <cell r="L150"/>
          <cell r="M150"/>
          <cell r="N150"/>
          <cell r="O150"/>
          <cell r="P150"/>
          <cell r="Q150"/>
          <cell r="R150"/>
          <cell r="S150"/>
          <cell r="T150"/>
          <cell r="U150"/>
        </row>
        <row r="151">
          <cell r="A151"/>
          <cell r="B151"/>
          <cell r="C151"/>
          <cell r="D151"/>
          <cell r="E151"/>
          <cell r="F151"/>
          <cell r="G151"/>
          <cell r="H151"/>
          <cell r="I151"/>
          <cell r="J151"/>
          <cell r="K151"/>
          <cell r="L151"/>
          <cell r="M151"/>
          <cell r="N151"/>
          <cell r="O151"/>
          <cell r="P151"/>
          <cell r="Q151"/>
          <cell r="R151"/>
          <cell r="S151"/>
          <cell r="T151"/>
          <cell r="U151"/>
        </row>
        <row r="152">
          <cell r="A152"/>
          <cell r="B152"/>
          <cell r="C152"/>
          <cell r="D152"/>
          <cell r="E152"/>
          <cell r="F152"/>
          <cell r="G152"/>
          <cell r="H152"/>
          <cell r="I152"/>
          <cell r="J152"/>
          <cell r="K152"/>
          <cell r="L152"/>
          <cell r="M152"/>
          <cell r="N152"/>
          <cell r="O152"/>
          <cell r="P152"/>
          <cell r="Q152"/>
          <cell r="R152"/>
          <cell r="S152"/>
          <cell r="T152"/>
          <cell r="U152"/>
        </row>
        <row r="153">
          <cell r="A153"/>
          <cell r="B153"/>
          <cell r="C153"/>
          <cell r="D153"/>
          <cell r="E153"/>
          <cell r="F153"/>
          <cell r="G153"/>
          <cell r="H153"/>
          <cell r="I153"/>
          <cell r="J153"/>
          <cell r="K153"/>
          <cell r="L153"/>
          <cell r="M153"/>
          <cell r="N153"/>
          <cell r="O153"/>
          <cell r="P153"/>
          <cell r="Q153"/>
          <cell r="R153"/>
          <cell r="S153"/>
          <cell r="T153"/>
          <cell r="U153"/>
        </row>
        <row r="154">
          <cell r="A154"/>
          <cell r="B154"/>
          <cell r="C154"/>
          <cell r="D154"/>
          <cell r="E154"/>
          <cell r="F154"/>
          <cell r="G154"/>
          <cell r="H154"/>
          <cell r="I154"/>
          <cell r="J154"/>
          <cell r="K154"/>
          <cell r="L154"/>
          <cell r="M154"/>
          <cell r="N154"/>
          <cell r="O154"/>
          <cell r="P154"/>
          <cell r="Q154"/>
          <cell r="R154"/>
          <cell r="S154"/>
          <cell r="T154"/>
          <cell r="U154"/>
        </row>
        <row r="155">
          <cell r="A155"/>
          <cell r="B155"/>
          <cell r="C155"/>
          <cell r="D155"/>
          <cell r="E155"/>
          <cell r="F155"/>
          <cell r="G155"/>
          <cell r="H155"/>
          <cell r="I155"/>
          <cell r="J155"/>
          <cell r="K155"/>
          <cell r="L155"/>
          <cell r="M155"/>
          <cell r="N155"/>
          <cell r="O155"/>
          <cell r="P155"/>
          <cell r="Q155"/>
          <cell r="R155"/>
          <cell r="S155"/>
          <cell r="T155"/>
          <cell r="U155"/>
        </row>
        <row r="156">
          <cell r="A156"/>
          <cell r="B156"/>
          <cell r="C156"/>
          <cell r="D156"/>
          <cell r="E156"/>
          <cell r="F156"/>
          <cell r="G156"/>
          <cell r="H156"/>
          <cell r="I156"/>
          <cell r="J156"/>
          <cell r="K156"/>
          <cell r="L156"/>
          <cell r="M156"/>
          <cell r="N156"/>
          <cell r="O156"/>
          <cell r="P156"/>
          <cell r="Q156"/>
          <cell r="R156"/>
          <cell r="S156"/>
          <cell r="T156"/>
          <cell r="U156"/>
        </row>
        <row r="157">
          <cell r="A157"/>
          <cell r="B157"/>
          <cell r="C157"/>
          <cell r="D157"/>
          <cell r="E157"/>
          <cell r="F157"/>
          <cell r="G157"/>
          <cell r="H157"/>
          <cell r="I157"/>
          <cell r="J157"/>
          <cell r="K157"/>
          <cell r="L157"/>
          <cell r="M157"/>
          <cell r="N157"/>
          <cell r="O157"/>
          <cell r="P157"/>
          <cell r="Q157"/>
          <cell r="R157"/>
          <cell r="S157"/>
          <cell r="T157"/>
          <cell r="U157"/>
        </row>
        <row r="158">
          <cell r="A158"/>
          <cell r="B158"/>
          <cell r="C158"/>
          <cell r="D158"/>
          <cell r="E158"/>
          <cell r="F158"/>
          <cell r="G158"/>
          <cell r="H158"/>
          <cell r="I158"/>
          <cell r="J158"/>
          <cell r="K158"/>
          <cell r="L158"/>
          <cell r="M158"/>
          <cell r="N158"/>
          <cell r="O158"/>
          <cell r="P158"/>
          <cell r="Q158"/>
          <cell r="R158"/>
          <cell r="S158"/>
          <cell r="T158"/>
          <cell r="U158"/>
        </row>
        <row r="159">
          <cell r="A159"/>
          <cell r="B159"/>
          <cell r="C159"/>
          <cell r="D159"/>
          <cell r="E159"/>
          <cell r="F159"/>
          <cell r="G159"/>
          <cell r="H159"/>
          <cell r="I159"/>
          <cell r="J159"/>
          <cell r="K159"/>
          <cell r="L159"/>
          <cell r="M159"/>
          <cell r="N159"/>
          <cell r="O159"/>
          <cell r="P159"/>
          <cell r="Q159"/>
          <cell r="R159"/>
          <cell r="S159"/>
          <cell r="T159"/>
          <cell r="U159"/>
        </row>
        <row r="160">
          <cell r="A160"/>
          <cell r="B160"/>
          <cell r="C160"/>
          <cell r="D160"/>
          <cell r="E160"/>
          <cell r="F160"/>
          <cell r="G160"/>
          <cell r="H160"/>
          <cell r="I160"/>
          <cell r="J160"/>
          <cell r="K160"/>
          <cell r="L160"/>
          <cell r="M160"/>
          <cell r="N160"/>
          <cell r="O160"/>
          <cell r="P160"/>
          <cell r="Q160"/>
          <cell r="R160"/>
          <cell r="S160"/>
          <cell r="T160"/>
          <cell r="U160"/>
        </row>
        <row r="161">
          <cell r="A161"/>
          <cell r="B161"/>
          <cell r="C161"/>
          <cell r="D161"/>
          <cell r="E161"/>
          <cell r="F161"/>
          <cell r="G161"/>
          <cell r="H161"/>
          <cell r="I161"/>
          <cell r="J161"/>
          <cell r="K161"/>
          <cell r="L161"/>
          <cell r="M161"/>
          <cell r="N161"/>
          <cell r="O161"/>
          <cell r="P161"/>
          <cell r="Q161"/>
          <cell r="R161"/>
          <cell r="S161"/>
          <cell r="T161"/>
          <cell r="U161"/>
        </row>
        <row r="162">
          <cell r="A162"/>
          <cell r="B162"/>
          <cell r="C162"/>
          <cell r="D162"/>
          <cell r="E162"/>
          <cell r="F162"/>
          <cell r="G162"/>
          <cell r="H162"/>
          <cell r="I162"/>
          <cell r="J162"/>
          <cell r="K162"/>
          <cell r="L162"/>
          <cell r="M162"/>
          <cell r="N162"/>
          <cell r="O162"/>
          <cell r="P162"/>
          <cell r="Q162"/>
          <cell r="R162"/>
          <cell r="S162"/>
          <cell r="T162"/>
          <cell r="U162"/>
        </row>
        <row r="163">
          <cell r="A163"/>
          <cell r="B163"/>
          <cell r="C163"/>
          <cell r="D163"/>
          <cell r="E163"/>
          <cell r="F163"/>
          <cell r="G163"/>
          <cell r="H163"/>
          <cell r="I163"/>
          <cell r="J163"/>
          <cell r="K163"/>
          <cell r="L163"/>
          <cell r="M163"/>
          <cell r="N163"/>
          <cell r="O163"/>
          <cell r="P163"/>
          <cell r="Q163"/>
          <cell r="R163"/>
          <cell r="S163"/>
          <cell r="T163"/>
          <cell r="U163"/>
        </row>
        <row r="164">
          <cell r="A164"/>
          <cell r="B164"/>
          <cell r="C164"/>
          <cell r="D164"/>
          <cell r="E164"/>
          <cell r="F164"/>
          <cell r="G164"/>
          <cell r="H164"/>
          <cell r="I164"/>
          <cell r="J164"/>
          <cell r="K164"/>
          <cell r="L164"/>
          <cell r="M164"/>
          <cell r="N164"/>
          <cell r="O164"/>
          <cell r="P164"/>
          <cell r="Q164"/>
          <cell r="R164"/>
          <cell r="S164"/>
          <cell r="T164"/>
          <cell r="U164"/>
        </row>
        <row r="165">
          <cell r="A165"/>
          <cell r="B165"/>
          <cell r="C165"/>
          <cell r="D165"/>
          <cell r="E165"/>
          <cell r="F165"/>
          <cell r="G165"/>
          <cell r="H165"/>
          <cell r="I165"/>
          <cell r="J165"/>
          <cell r="K165"/>
          <cell r="L165"/>
          <cell r="M165"/>
          <cell r="N165"/>
          <cell r="O165"/>
          <cell r="P165"/>
          <cell r="Q165"/>
          <cell r="R165"/>
          <cell r="S165"/>
          <cell r="T165"/>
          <cell r="U165"/>
        </row>
        <row r="166">
          <cell r="A166"/>
          <cell r="B166"/>
          <cell r="C166"/>
          <cell r="D166"/>
          <cell r="E166"/>
          <cell r="F166"/>
          <cell r="G166"/>
          <cell r="H166"/>
          <cell r="I166"/>
          <cell r="J166"/>
          <cell r="K166"/>
          <cell r="L166"/>
          <cell r="M166"/>
          <cell r="N166"/>
          <cell r="O166"/>
          <cell r="P166"/>
          <cell r="Q166"/>
          <cell r="R166"/>
          <cell r="S166"/>
          <cell r="T166"/>
          <cell r="U166"/>
        </row>
        <row r="167">
          <cell r="A167"/>
          <cell r="B167"/>
          <cell r="C167"/>
          <cell r="D167"/>
          <cell r="E167"/>
          <cell r="F167"/>
          <cell r="G167"/>
          <cell r="H167"/>
          <cell r="I167"/>
          <cell r="J167"/>
          <cell r="K167"/>
          <cell r="L167"/>
          <cell r="M167"/>
          <cell r="N167"/>
          <cell r="O167"/>
          <cell r="P167"/>
          <cell r="Q167"/>
          <cell r="R167"/>
          <cell r="S167"/>
          <cell r="T167"/>
          <cell r="U167"/>
        </row>
        <row r="168">
          <cell r="A168"/>
          <cell r="B168"/>
          <cell r="C168"/>
          <cell r="D168"/>
          <cell r="E168"/>
          <cell r="F168"/>
          <cell r="G168"/>
          <cell r="H168"/>
          <cell r="I168"/>
          <cell r="J168"/>
          <cell r="K168"/>
          <cell r="L168"/>
          <cell r="M168"/>
          <cell r="N168"/>
          <cell r="O168"/>
          <cell r="P168"/>
          <cell r="Q168"/>
          <cell r="R168"/>
          <cell r="S168"/>
          <cell r="T168"/>
          <cell r="U168"/>
        </row>
        <row r="169">
          <cell r="A169"/>
          <cell r="B169"/>
          <cell r="C169"/>
          <cell r="D169"/>
          <cell r="E169"/>
          <cell r="F169"/>
          <cell r="G169"/>
          <cell r="H169"/>
          <cell r="I169"/>
          <cell r="J169"/>
          <cell r="K169"/>
          <cell r="L169"/>
          <cell r="M169"/>
          <cell r="N169"/>
          <cell r="O169"/>
          <cell r="P169"/>
          <cell r="Q169"/>
          <cell r="R169"/>
          <cell r="S169"/>
          <cell r="T169"/>
          <cell r="U169"/>
        </row>
        <row r="170">
          <cell r="A170"/>
          <cell r="B170"/>
          <cell r="C170"/>
          <cell r="D170"/>
          <cell r="E170"/>
          <cell r="F170"/>
          <cell r="G170"/>
          <cell r="H170"/>
          <cell r="I170"/>
          <cell r="J170"/>
          <cell r="K170"/>
          <cell r="L170"/>
          <cell r="M170"/>
          <cell r="N170"/>
          <cell r="O170"/>
          <cell r="P170"/>
          <cell r="Q170"/>
          <cell r="R170"/>
          <cell r="S170"/>
          <cell r="T170"/>
          <cell r="U170"/>
        </row>
        <row r="171">
          <cell r="A171"/>
          <cell r="B171"/>
          <cell r="C171"/>
          <cell r="D171"/>
          <cell r="E171"/>
          <cell r="F171"/>
          <cell r="G171"/>
          <cell r="H171"/>
          <cell r="I171"/>
          <cell r="J171"/>
          <cell r="K171"/>
          <cell r="L171"/>
          <cell r="M171"/>
          <cell r="N171"/>
          <cell r="O171"/>
          <cell r="P171"/>
          <cell r="Q171"/>
          <cell r="R171"/>
          <cell r="S171"/>
          <cell r="T171"/>
          <cell r="U171"/>
        </row>
        <row r="172">
          <cell r="A172"/>
          <cell r="B172"/>
          <cell r="C172"/>
          <cell r="D172"/>
          <cell r="E172"/>
          <cell r="F172"/>
          <cell r="G172"/>
          <cell r="H172"/>
          <cell r="I172"/>
          <cell r="J172"/>
          <cell r="K172"/>
          <cell r="L172"/>
          <cell r="M172"/>
          <cell r="N172"/>
          <cell r="O172"/>
          <cell r="P172"/>
          <cell r="Q172"/>
          <cell r="R172"/>
          <cell r="S172"/>
          <cell r="T172"/>
          <cell r="U172"/>
        </row>
        <row r="173">
          <cell r="A173"/>
          <cell r="B173"/>
          <cell r="C173"/>
          <cell r="D173"/>
          <cell r="E173"/>
          <cell r="F173"/>
          <cell r="G173"/>
          <cell r="H173"/>
          <cell r="I173"/>
          <cell r="J173"/>
          <cell r="K173"/>
          <cell r="L173"/>
          <cell r="M173"/>
          <cell r="N173"/>
          <cell r="O173"/>
          <cell r="P173"/>
          <cell r="Q173"/>
          <cell r="R173"/>
          <cell r="S173"/>
          <cell r="T173"/>
          <cell r="U173"/>
        </row>
        <row r="174">
          <cell r="A174"/>
          <cell r="B174"/>
          <cell r="C174"/>
          <cell r="D174"/>
          <cell r="E174"/>
          <cell r="F174"/>
          <cell r="G174"/>
          <cell r="H174"/>
          <cell r="I174"/>
          <cell r="J174"/>
          <cell r="K174"/>
          <cell r="L174"/>
          <cell r="M174"/>
          <cell r="N174"/>
          <cell r="O174"/>
          <cell r="P174"/>
          <cell r="Q174"/>
          <cell r="R174"/>
          <cell r="S174"/>
          <cell r="T174"/>
          <cell r="U174"/>
        </row>
        <row r="175">
          <cell r="A175"/>
          <cell r="B175"/>
          <cell r="C175"/>
          <cell r="D175"/>
          <cell r="E175"/>
          <cell r="F175"/>
          <cell r="G175"/>
          <cell r="H175"/>
          <cell r="I175"/>
          <cell r="J175"/>
          <cell r="K175"/>
          <cell r="L175"/>
          <cell r="M175"/>
          <cell r="N175"/>
          <cell r="O175"/>
          <cell r="P175"/>
          <cell r="Q175"/>
          <cell r="R175"/>
          <cell r="S175"/>
          <cell r="T175"/>
          <cell r="U175"/>
        </row>
        <row r="176">
          <cell r="A176"/>
          <cell r="B176"/>
          <cell r="C176"/>
          <cell r="D176"/>
          <cell r="E176"/>
          <cell r="F176"/>
          <cell r="G176"/>
          <cell r="H176"/>
          <cell r="I176"/>
          <cell r="J176"/>
          <cell r="K176"/>
          <cell r="L176"/>
          <cell r="M176"/>
          <cell r="N176"/>
          <cell r="O176"/>
          <cell r="P176"/>
          <cell r="Q176"/>
          <cell r="R176"/>
          <cell r="S176"/>
          <cell r="T176"/>
          <cell r="U176"/>
        </row>
        <row r="177">
          <cell r="A177"/>
          <cell r="B177"/>
          <cell r="C177"/>
          <cell r="D177"/>
          <cell r="E177"/>
          <cell r="F177"/>
          <cell r="G177"/>
          <cell r="H177"/>
          <cell r="I177"/>
          <cell r="J177"/>
          <cell r="K177"/>
          <cell r="L177"/>
          <cell r="M177"/>
          <cell r="N177"/>
          <cell r="O177"/>
          <cell r="P177"/>
          <cell r="Q177"/>
          <cell r="R177"/>
          <cell r="S177"/>
          <cell r="T177"/>
          <cell r="U177"/>
        </row>
        <row r="178">
          <cell r="A178"/>
          <cell r="B178"/>
          <cell r="C178"/>
          <cell r="D178"/>
          <cell r="E178"/>
          <cell r="F178"/>
          <cell r="G178"/>
          <cell r="H178"/>
          <cell r="I178"/>
          <cell r="J178"/>
          <cell r="K178"/>
          <cell r="L178"/>
          <cell r="M178"/>
          <cell r="N178"/>
          <cell r="O178"/>
          <cell r="P178"/>
          <cell r="Q178"/>
          <cell r="R178"/>
          <cell r="S178"/>
          <cell r="T178"/>
          <cell r="U178"/>
        </row>
        <row r="179">
          <cell r="A179"/>
          <cell r="B179"/>
          <cell r="C179"/>
          <cell r="D179"/>
          <cell r="E179"/>
          <cell r="F179"/>
          <cell r="G179"/>
          <cell r="H179"/>
          <cell r="I179"/>
          <cell r="J179"/>
          <cell r="K179"/>
          <cell r="L179"/>
          <cell r="M179"/>
          <cell r="N179"/>
          <cell r="O179"/>
          <cell r="P179"/>
          <cell r="Q179"/>
          <cell r="R179"/>
          <cell r="S179"/>
          <cell r="T179"/>
          <cell r="U179"/>
        </row>
        <row r="180">
          <cell r="A180"/>
          <cell r="B180"/>
          <cell r="C180"/>
          <cell r="D180"/>
          <cell r="E180"/>
          <cell r="F180"/>
          <cell r="G180"/>
          <cell r="H180"/>
          <cell r="I180"/>
          <cell r="J180"/>
          <cell r="K180"/>
          <cell r="L180"/>
          <cell r="M180"/>
          <cell r="N180"/>
          <cell r="O180"/>
          <cell r="P180"/>
          <cell r="Q180"/>
          <cell r="R180"/>
          <cell r="S180"/>
          <cell r="T180"/>
          <cell r="U180"/>
        </row>
        <row r="181">
          <cell r="A181"/>
          <cell r="B181"/>
          <cell r="C181"/>
          <cell r="D181"/>
          <cell r="E181"/>
          <cell r="F181"/>
          <cell r="G181"/>
          <cell r="H181"/>
          <cell r="I181"/>
          <cell r="J181"/>
          <cell r="K181"/>
          <cell r="L181"/>
          <cell r="M181"/>
          <cell r="N181"/>
          <cell r="O181"/>
          <cell r="P181"/>
          <cell r="Q181"/>
          <cell r="R181"/>
          <cell r="S181"/>
          <cell r="T181"/>
          <cell r="U181"/>
        </row>
        <row r="182">
          <cell r="A182"/>
          <cell r="B182"/>
          <cell r="C182"/>
          <cell r="D182"/>
          <cell r="E182"/>
          <cell r="F182"/>
          <cell r="G182"/>
          <cell r="H182"/>
          <cell r="I182"/>
          <cell r="J182"/>
          <cell r="K182"/>
          <cell r="L182"/>
          <cell r="M182"/>
          <cell r="N182"/>
          <cell r="O182"/>
          <cell r="P182"/>
          <cell r="Q182"/>
          <cell r="R182"/>
          <cell r="S182"/>
          <cell r="T182"/>
          <cell r="U182"/>
        </row>
        <row r="183">
          <cell r="A183"/>
          <cell r="B183"/>
          <cell r="C183"/>
          <cell r="D183"/>
          <cell r="E183"/>
          <cell r="F183"/>
          <cell r="G183"/>
          <cell r="H183"/>
          <cell r="I183"/>
          <cell r="J183"/>
          <cell r="K183"/>
          <cell r="L183"/>
          <cell r="M183"/>
          <cell r="N183"/>
          <cell r="O183"/>
          <cell r="P183"/>
          <cell r="Q183"/>
          <cell r="R183"/>
          <cell r="S183"/>
          <cell r="T183"/>
          <cell r="U183"/>
        </row>
        <row r="184">
          <cell r="A184"/>
          <cell r="B184"/>
          <cell r="C184"/>
          <cell r="D184"/>
          <cell r="E184"/>
          <cell r="F184"/>
          <cell r="G184"/>
          <cell r="H184"/>
          <cell r="I184"/>
          <cell r="J184"/>
          <cell r="K184"/>
          <cell r="L184"/>
          <cell r="M184"/>
          <cell r="N184"/>
          <cell r="O184"/>
          <cell r="P184"/>
          <cell r="Q184"/>
          <cell r="R184"/>
          <cell r="S184"/>
          <cell r="T184"/>
          <cell r="U184"/>
        </row>
        <row r="185">
          <cell r="A185"/>
          <cell r="B185"/>
          <cell r="C185"/>
          <cell r="D185"/>
          <cell r="E185"/>
          <cell r="F185"/>
          <cell r="G185"/>
          <cell r="H185"/>
          <cell r="I185"/>
          <cell r="J185"/>
          <cell r="K185"/>
          <cell r="L185"/>
          <cell r="M185"/>
          <cell r="N185"/>
          <cell r="O185"/>
          <cell r="P185"/>
          <cell r="Q185"/>
          <cell r="R185"/>
          <cell r="S185"/>
          <cell r="T185"/>
          <cell r="U185"/>
        </row>
        <row r="186">
          <cell r="A186"/>
          <cell r="B186"/>
          <cell r="C186"/>
          <cell r="D186"/>
          <cell r="E186"/>
          <cell r="F186"/>
          <cell r="G186"/>
          <cell r="H186"/>
          <cell r="I186"/>
          <cell r="J186"/>
          <cell r="K186"/>
          <cell r="L186"/>
          <cell r="M186"/>
          <cell r="N186"/>
          <cell r="O186"/>
          <cell r="P186"/>
          <cell r="Q186"/>
          <cell r="R186"/>
          <cell r="S186"/>
          <cell r="T186"/>
          <cell r="U186"/>
        </row>
        <row r="187">
          <cell r="A187"/>
          <cell r="B187"/>
          <cell r="C187"/>
          <cell r="D187"/>
          <cell r="E187"/>
          <cell r="F187"/>
          <cell r="G187"/>
          <cell r="H187"/>
          <cell r="I187"/>
          <cell r="J187"/>
          <cell r="K187"/>
          <cell r="L187"/>
          <cell r="M187"/>
          <cell r="N187"/>
          <cell r="O187"/>
          <cell r="P187"/>
          <cell r="Q187"/>
          <cell r="R187"/>
          <cell r="S187"/>
          <cell r="T187"/>
          <cell r="U187"/>
        </row>
        <row r="188">
          <cell r="A188"/>
          <cell r="B188"/>
          <cell r="C188"/>
          <cell r="D188"/>
          <cell r="E188"/>
          <cell r="F188"/>
          <cell r="G188"/>
          <cell r="H188"/>
          <cell r="I188"/>
          <cell r="J188"/>
          <cell r="K188"/>
          <cell r="L188"/>
          <cell r="M188"/>
          <cell r="N188"/>
          <cell r="O188"/>
          <cell r="P188"/>
          <cell r="Q188"/>
          <cell r="R188"/>
          <cell r="S188"/>
          <cell r="T188"/>
          <cell r="U188"/>
        </row>
        <row r="189">
          <cell r="A189"/>
          <cell r="B189"/>
          <cell r="C189"/>
          <cell r="D189"/>
          <cell r="E189"/>
          <cell r="F189"/>
          <cell r="G189"/>
          <cell r="H189"/>
          <cell r="I189"/>
          <cell r="J189"/>
          <cell r="K189"/>
          <cell r="L189"/>
          <cell r="M189"/>
          <cell r="N189"/>
          <cell r="O189"/>
          <cell r="P189"/>
          <cell r="Q189"/>
          <cell r="R189"/>
          <cell r="S189"/>
          <cell r="T189"/>
          <cell r="U189"/>
        </row>
        <row r="190">
          <cell r="A190"/>
          <cell r="B190"/>
          <cell r="C190"/>
          <cell r="D190"/>
          <cell r="E190"/>
          <cell r="F190"/>
          <cell r="G190"/>
          <cell r="H190"/>
          <cell r="I190"/>
          <cell r="J190"/>
          <cell r="K190"/>
          <cell r="L190"/>
          <cell r="M190"/>
          <cell r="N190"/>
          <cell r="O190"/>
          <cell r="P190"/>
          <cell r="Q190"/>
          <cell r="R190"/>
          <cell r="S190"/>
          <cell r="T190"/>
          <cell r="U190"/>
        </row>
        <row r="191">
          <cell r="A191"/>
          <cell r="B191"/>
          <cell r="C191"/>
          <cell r="D191"/>
          <cell r="E191"/>
          <cell r="F191"/>
          <cell r="G191"/>
          <cell r="H191"/>
          <cell r="I191"/>
          <cell r="J191"/>
          <cell r="K191"/>
          <cell r="L191"/>
          <cell r="M191"/>
          <cell r="N191"/>
          <cell r="O191"/>
          <cell r="P191"/>
          <cell r="Q191"/>
          <cell r="R191"/>
          <cell r="S191"/>
          <cell r="T191"/>
          <cell r="U191"/>
        </row>
        <row r="192">
          <cell r="A192"/>
          <cell r="B192"/>
          <cell r="C192"/>
          <cell r="D192"/>
          <cell r="E192"/>
          <cell r="F192"/>
          <cell r="G192"/>
          <cell r="H192"/>
          <cell r="I192"/>
          <cell r="J192"/>
          <cell r="K192"/>
          <cell r="L192"/>
          <cell r="M192"/>
          <cell r="N192"/>
          <cell r="O192"/>
          <cell r="P192"/>
          <cell r="Q192"/>
          <cell r="R192"/>
          <cell r="S192"/>
          <cell r="T192"/>
          <cell r="U192"/>
        </row>
        <row r="193">
          <cell r="A193"/>
          <cell r="B193"/>
          <cell r="C193"/>
          <cell r="D193"/>
          <cell r="E193"/>
          <cell r="F193"/>
          <cell r="G193"/>
          <cell r="H193"/>
          <cell r="I193"/>
          <cell r="J193"/>
          <cell r="K193"/>
          <cell r="L193"/>
          <cell r="M193"/>
          <cell r="N193"/>
          <cell r="O193"/>
          <cell r="P193"/>
          <cell r="Q193"/>
          <cell r="R193"/>
          <cell r="S193"/>
          <cell r="T193"/>
          <cell r="U193"/>
        </row>
        <row r="194">
          <cell r="A194"/>
          <cell r="B194"/>
          <cell r="C194"/>
          <cell r="D194"/>
          <cell r="E194"/>
          <cell r="F194"/>
          <cell r="G194"/>
          <cell r="H194"/>
          <cell r="I194"/>
          <cell r="J194"/>
          <cell r="K194"/>
          <cell r="L194"/>
          <cell r="M194"/>
          <cell r="N194"/>
          <cell r="O194"/>
          <cell r="P194"/>
          <cell r="Q194"/>
          <cell r="R194"/>
          <cell r="S194"/>
          <cell r="T194"/>
          <cell r="U194"/>
        </row>
        <row r="195">
          <cell r="A195"/>
          <cell r="B195"/>
          <cell r="C195"/>
          <cell r="D195"/>
          <cell r="E195"/>
          <cell r="F195"/>
          <cell r="G195"/>
          <cell r="H195"/>
          <cell r="I195"/>
          <cell r="J195"/>
          <cell r="K195"/>
          <cell r="L195"/>
          <cell r="M195"/>
          <cell r="N195"/>
          <cell r="O195"/>
          <cell r="P195"/>
          <cell r="Q195"/>
          <cell r="R195"/>
          <cell r="S195"/>
          <cell r="T195"/>
          <cell r="U195"/>
        </row>
        <row r="196">
          <cell r="A196"/>
          <cell r="B196"/>
          <cell r="C196"/>
          <cell r="D196"/>
          <cell r="E196"/>
          <cell r="F196"/>
          <cell r="G196"/>
          <cell r="H196"/>
          <cell r="I196"/>
          <cell r="J196"/>
          <cell r="K196"/>
          <cell r="L196"/>
          <cell r="M196"/>
          <cell r="N196"/>
          <cell r="O196"/>
          <cell r="P196"/>
          <cell r="Q196"/>
          <cell r="R196"/>
          <cell r="S196"/>
          <cell r="T196"/>
          <cell r="U196"/>
        </row>
        <row r="197">
          <cell r="A197"/>
          <cell r="B197"/>
          <cell r="C197"/>
          <cell r="D197"/>
          <cell r="E197"/>
          <cell r="F197"/>
          <cell r="G197"/>
          <cell r="H197"/>
          <cell r="I197"/>
          <cell r="J197"/>
          <cell r="K197"/>
          <cell r="L197"/>
          <cell r="M197"/>
          <cell r="N197"/>
          <cell r="O197"/>
          <cell r="P197"/>
          <cell r="Q197"/>
          <cell r="R197"/>
          <cell r="S197"/>
          <cell r="T197"/>
          <cell r="U197"/>
        </row>
        <row r="198">
          <cell r="A198"/>
          <cell r="B198"/>
          <cell r="C198"/>
          <cell r="D198"/>
          <cell r="E198"/>
          <cell r="F198"/>
          <cell r="G198"/>
          <cell r="H198"/>
          <cell r="I198"/>
          <cell r="J198"/>
          <cell r="K198"/>
          <cell r="L198"/>
          <cell r="M198"/>
          <cell r="N198"/>
          <cell r="O198"/>
          <cell r="P198"/>
          <cell r="Q198"/>
          <cell r="R198"/>
          <cell r="S198"/>
          <cell r="T198"/>
          <cell r="U198"/>
        </row>
        <row r="199">
          <cell r="A199"/>
          <cell r="B199"/>
          <cell r="C199"/>
          <cell r="D199"/>
          <cell r="E199"/>
          <cell r="F199"/>
          <cell r="G199"/>
          <cell r="H199"/>
          <cell r="I199"/>
          <cell r="J199"/>
          <cell r="K199"/>
          <cell r="L199"/>
          <cell r="M199"/>
          <cell r="N199"/>
          <cell r="O199"/>
          <cell r="P199"/>
          <cell r="Q199"/>
          <cell r="R199"/>
          <cell r="S199"/>
          <cell r="T199"/>
          <cell r="U199"/>
        </row>
        <row r="200">
          <cell r="A200"/>
          <cell r="B200"/>
          <cell r="C200"/>
          <cell r="D200"/>
          <cell r="E200"/>
          <cell r="F200"/>
          <cell r="G200"/>
          <cell r="H200"/>
          <cell r="I200"/>
          <cell r="J200"/>
          <cell r="K200"/>
          <cell r="L200"/>
          <cell r="M200"/>
          <cell r="N200"/>
          <cell r="O200"/>
          <cell r="P200"/>
          <cell r="Q200"/>
          <cell r="R200"/>
          <cell r="S200"/>
          <cell r="T200"/>
          <cell r="U200"/>
        </row>
        <row r="201">
          <cell r="A201"/>
          <cell r="B201"/>
          <cell r="C201"/>
          <cell r="D201"/>
          <cell r="E201"/>
          <cell r="F201"/>
          <cell r="G201"/>
          <cell r="H201"/>
          <cell r="I201"/>
          <cell r="J201"/>
          <cell r="K201"/>
          <cell r="L201"/>
          <cell r="M201"/>
          <cell r="N201"/>
          <cell r="O201"/>
          <cell r="P201"/>
          <cell r="Q201"/>
          <cell r="R201"/>
          <cell r="S201"/>
          <cell r="T201"/>
          <cell r="U201"/>
        </row>
        <row r="202">
          <cell r="A202"/>
          <cell r="B202"/>
          <cell r="C202"/>
          <cell r="D202"/>
          <cell r="E202"/>
          <cell r="F202"/>
          <cell r="G202"/>
          <cell r="H202"/>
          <cell r="I202"/>
          <cell r="J202"/>
          <cell r="K202"/>
          <cell r="L202"/>
          <cell r="M202"/>
          <cell r="N202"/>
          <cell r="O202"/>
          <cell r="P202"/>
          <cell r="Q202"/>
          <cell r="R202"/>
          <cell r="S202"/>
          <cell r="T202"/>
          <cell r="U202"/>
        </row>
        <row r="203">
          <cell r="A203"/>
          <cell r="B203"/>
          <cell r="C203"/>
          <cell r="D203"/>
          <cell r="E203"/>
          <cell r="F203"/>
          <cell r="G203"/>
          <cell r="H203"/>
          <cell r="I203"/>
          <cell r="J203"/>
          <cell r="K203"/>
          <cell r="L203"/>
          <cell r="M203"/>
          <cell r="N203"/>
          <cell r="O203"/>
          <cell r="P203"/>
          <cell r="Q203"/>
          <cell r="R203"/>
          <cell r="S203"/>
          <cell r="T203"/>
          <cell r="U203"/>
        </row>
        <row r="204">
          <cell r="A204"/>
          <cell r="B204"/>
          <cell r="C204"/>
          <cell r="D204"/>
          <cell r="E204"/>
          <cell r="F204"/>
          <cell r="G204"/>
          <cell r="H204"/>
          <cell r="I204"/>
          <cell r="J204"/>
          <cell r="K204"/>
          <cell r="L204"/>
          <cell r="M204"/>
          <cell r="N204"/>
          <cell r="O204"/>
          <cell r="P204"/>
          <cell r="Q204"/>
          <cell r="R204"/>
          <cell r="S204"/>
          <cell r="T204"/>
          <cell r="U204"/>
        </row>
        <row r="205">
          <cell r="A205"/>
          <cell r="B205"/>
          <cell r="C205"/>
          <cell r="D205"/>
          <cell r="E205"/>
          <cell r="F205"/>
          <cell r="G205"/>
          <cell r="H205"/>
          <cell r="I205"/>
          <cell r="J205"/>
          <cell r="K205"/>
          <cell r="L205"/>
          <cell r="M205"/>
          <cell r="N205"/>
          <cell r="O205"/>
          <cell r="P205"/>
          <cell r="Q205"/>
          <cell r="R205"/>
          <cell r="S205"/>
          <cell r="T205"/>
          <cell r="U205"/>
        </row>
        <row r="206">
          <cell r="A206"/>
          <cell r="B206"/>
          <cell r="C206"/>
          <cell r="D206"/>
          <cell r="E206"/>
          <cell r="F206"/>
          <cell r="G206"/>
          <cell r="H206"/>
          <cell r="I206"/>
          <cell r="J206"/>
          <cell r="K206"/>
          <cell r="L206"/>
          <cell r="M206"/>
          <cell r="N206"/>
          <cell r="O206"/>
          <cell r="P206"/>
          <cell r="Q206"/>
          <cell r="R206"/>
          <cell r="S206"/>
          <cell r="T206"/>
          <cell r="U206"/>
        </row>
        <row r="207">
          <cell r="A207"/>
          <cell r="B207"/>
          <cell r="C207"/>
          <cell r="D207"/>
          <cell r="E207"/>
          <cell r="F207"/>
          <cell r="G207"/>
          <cell r="H207"/>
          <cell r="I207"/>
          <cell r="J207"/>
          <cell r="K207"/>
          <cell r="L207"/>
          <cell r="M207"/>
          <cell r="N207"/>
          <cell r="O207"/>
          <cell r="P207"/>
          <cell r="Q207"/>
          <cell r="R207"/>
          <cell r="S207"/>
          <cell r="T207"/>
          <cell r="U207"/>
        </row>
        <row r="208">
          <cell r="A208"/>
          <cell r="B208"/>
          <cell r="C208"/>
          <cell r="D208"/>
          <cell r="E208"/>
          <cell r="F208"/>
          <cell r="G208"/>
          <cell r="H208"/>
          <cell r="I208"/>
          <cell r="J208"/>
          <cell r="K208"/>
          <cell r="L208"/>
          <cell r="M208"/>
          <cell r="N208"/>
          <cell r="O208"/>
          <cell r="P208"/>
          <cell r="Q208"/>
          <cell r="R208"/>
          <cell r="S208"/>
          <cell r="T208"/>
          <cell r="U208"/>
        </row>
        <row r="209">
          <cell r="A209"/>
          <cell r="B209"/>
          <cell r="C209"/>
          <cell r="D209"/>
          <cell r="E209"/>
          <cell r="F209"/>
          <cell r="G209"/>
          <cell r="H209"/>
          <cell r="I209"/>
          <cell r="J209"/>
          <cell r="K209"/>
          <cell r="L209"/>
          <cell r="M209"/>
          <cell r="N209"/>
          <cell r="O209"/>
          <cell r="P209"/>
          <cell r="Q209"/>
          <cell r="R209"/>
          <cell r="S209"/>
          <cell r="T209"/>
          <cell r="U209"/>
        </row>
        <row r="210">
          <cell r="A210"/>
          <cell r="C210"/>
          <cell r="D210"/>
          <cell r="E210"/>
          <cell r="F210"/>
          <cell r="G210"/>
          <cell r="H210"/>
          <cell r="I210"/>
          <cell r="J210"/>
          <cell r="K210"/>
          <cell r="L210"/>
          <cell r="M210"/>
          <cell r="N210"/>
          <cell r="O210"/>
          <cell r="P210"/>
          <cell r="Q210"/>
          <cell r="R210"/>
          <cell r="S210"/>
          <cell r="T210"/>
          <cell r="U210"/>
        </row>
        <row r="211">
          <cell r="A211"/>
          <cell r="C211"/>
          <cell r="D211"/>
          <cell r="E211"/>
          <cell r="F211"/>
          <cell r="G211"/>
          <cell r="H211"/>
          <cell r="I211"/>
          <cell r="J211"/>
          <cell r="K211"/>
          <cell r="L211"/>
          <cell r="M211"/>
          <cell r="N211"/>
          <cell r="O211"/>
          <cell r="P211"/>
          <cell r="Q211"/>
          <cell r="R211"/>
          <cell r="S211"/>
          <cell r="T211"/>
          <cell r="U211"/>
        </row>
        <row r="212">
          <cell r="A212"/>
          <cell r="C212"/>
          <cell r="D212"/>
          <cell r="E212"/>
          <cell r="F212"/>
          <cell r="G212"/>
          <cell r="H212"/>
          <cell r="I212"/>
          <cell r="J212"/>
          <cell r="K212"/>
          <cell r="L212"/>
          <cell r="M212"/>
          <cell r="N212"/>
          <cell r="O212"/>
          <cell r="P212"/>
          <cell r="Q212"/>
          <cell r="R212"/>
          <cell r="S212"/>
          <cell r="T212"/>
          <cell r="U212"/>
        </row>
        <row r="213">
          <cell r="A213"/>
          <cell r="C213"/>
          <cell r="D213"/>
          <cell r="E213"/>
          <cell r="F213"/>
          <cell r="G213"/>
          <cell r="H213"/>
          <cell r="I213"/>
          <cell r="J213"/>
          <cell r="K213"/>
          <cell r="L213"/>
          <cell r="M213"/>
          <cell r="N213"/>
          <cell r="O213"/>
          <cell r="P213"/>
          <cell r="Q213"/>
          <cell r="R213"/>
          <cell r="S213"/>
          <cell r="T213"/>
          <cell r="U213"/>
        </row>
        <row r="214">
          <cell r="A214"/>
          <cell r="C214"/>
          <cell r="D214"/>
          <cell r="E214"/>
          <cell r="F214"/>
          <cell r="G214"/>
          <cell r="H214"/>
          <cell r="I214"/>
          <cell r="J214"/>
          <cell r="K214"/>
          <cell r="L214"/>
          <cell r="M214"/>
          <cell r="N214"/>
          <cell r="O214"/>
          <cell r="P214"/>
          <cell r="Q214"/>
          <cell r="R214"/>
          <cell r="S214"/>
          <cell r="T214"/>
          <cell r="U214"/>
        </row>
        <row r="215">
          <cell r="A215"/>
          <cell r="C215"/>
          <cell r="D215"/>
          <cell r="E215"/>
          <cell r="F215"/>
          <cell r="G215"/>
          <cell r="H215"/>
          <cell r="I215"/>
          <cell r="J215"/>
          <cell r="K215"/>
          <cell r="L215"/>
          <cell r="M215"/>
          <cell r="N215"/>
          <cell r="O215"/>
          <cell r="P215"/>
          <cell r="Q215"/>
          <cell r="R215"/>
          <cell r="S215"/>
          <cell r="T215"/>
          <cell r="U215"/>
        </row>
        <row r="216">
          <cell r="A216"/>
          <cell r="C216"/>
          <cell r="D216"/>
          <cell r="E216"/>
          <cell r="F216"/>
          <cell r="G216"/>
          <cell r="H216"/>
          <cell r="I216"/>
          <cell r="J216"/>
          <cell r="K216"/>
          <cell r="L216"/>
          <cell r="M216"/>
          <cell r="N216"/>
          <cell r="O216"/>
          <cell r="P216"/>
          <cell r="Q216"/>
          <cell r="R216"/>
          <cell r="S216"/>
          <cell r="T216"/>
          <cell r="U216"/>
        </row>
        <row r="217">
          <cell r="A217"/>
          <cell r="C217"/>
          <cell r="D217"/>
          <cell r="E217"/>
          <cell r="F217"/>
          <cell r="G217"/>
          <cell r="H217"/>
          <cell r="I217"/>
          <cell r="J217"/>
          <cell r="K217"/>
          <cell r="L217"/>
          <cell r="M217"/>
          <cell r="N217"/>
          <cell r="O217"/>
          <cell r="P217"/>
          <cell r="Q217"/>
          <cell r="R217"/>
          <cell r="S217"/>
          <cell r="T217"/>
          <cell r="U217"/>
        </row>
        <row r="218">
          <cell r="A218"/>
          <cell r="C218"/>
          <cell r="D218"/>
          <cell r="E218"/>
          <cell r="F218"/>
          <cell r="G218"/>
          <cell r="H218"/>
          <cell r="I218"/>
          <cell r="J218"/>
          <cell r="K218"/>
          <cell r="L218"/>
          <cell r="M218"/>
          <cell r="N218"/>
          <cell r="O218"/>
          <cell r="P218"/>
          <cell r="Q218"/>
          <cell r="R218"/>
          <cell r="S218"/>
          <cell r="T218"/>
          <cell r="U218"/>
        </row>
        <row r="219">
          <cell r="A219"/>
          <cell r="C219"/>
          <cell r="D219"/>
          <cell r="E219"/>
          <cell r="F219"/>
          <cell r="G219"/>
          <cell r="H219"/>
          <cell r="I219"/>
          <cell r="J219"/>
          <cell r="K219"/>
          <cell r="L219"/>
          <cell r="M219"/>
          <cell r="N219"/>
          <cell r="O219"/>
          <cell r="P219"/>
          <cell r="Q219"/>
          <cell r="R219"/>
          <cell r="S219"/>
          <cell r="T219"/>
          <cell r="U219"/>
        </row>
        <row r="220">
          <cell r="A220"/>
          <cell r="C220"/>
          <cell r="D220"/>
          <cell r="E220"/>
          <cell r="F220"/>
          <cell r="G220"/>
          <cell r="H220"/>
          <cell r="I220"/>
          <cell r="J220"/>
          <cell r="K220"/>
          <cell r="L220"/>
          <cell r="M220"/>
          <cell r="N220"/>
          <cell r="O220"/>
          <cell r="P220"/>
          <cell r="Q220"/>
          <cell r="R220"/>
          <cell r="S220"/>
          <cell r="T220"/>
          <cell r="U220"/>
        </row>
        <row r="221">
          <cell r="A221"/>
          <cell r="C221"/>
          <cell r="D221"/>
          <cell r="E221"/>
          <cell r="F221"/>
          <cell r="G221"/>
          <cell r="H221"/>
          <cell r="I221"/>
          <cell r="J221"/>
          <cell r="K221"/>
          <cell r="L221"/>
          <cell r="M221"/>
          <cell r="N221"/>
          <cell r="O221"/>
          <cell r="P221"/>
          <cell r="Q221"/>
          <cell r="R221"/>
          <cell r="S221"/>
          <cell r="T221"/>
          <cell r="U221"/>
        </row>
        <row r="222">
          <cell r="A222"/>
          <cell r="C222"/>
          <cell r="D222"/>
          <cell r="E222"/>
          <cell r="F222"/>
          <cell r="G222"/>
          <cell r="H222"/>
          <cell r="I222"/>
          <cell r="J222"/>
          <cell r="K222"/>
          <cell r="L222"/>
          <cell r="M222"/>
          <cell r="N222"/>
          <cell r="O222"/>
          <cell r="P222"/>
          <cell r="Q222"/>
          <cell r="R222"/>
          <cell r="S222"/>
          <cell r="T222"/>
          <cell r="U222"/>
        </row>
        <row r="223">
          <cell r="A223"/>
          <cell r="C223"/>
          <cell r="D223"/>
          <cell r="E223"/>
          <cell r="F223"/>
          <cell r="G223"/>
          <cell r="H223"/>
          <cell r="I223"/>
          <cell r="J223"/>
          <cell r="K223"/>
          <cell r="L223"/>
          <cell r="M223"/>
          <cell r="N223"/>
          <cell r="O223"/>
          <cell r="P223"/>
          <cell r="Q223"/>
          <cell r="R223"/>
          <cell r="S223"/>
          <cell r="T223"/>
          <cell r="U223"/>
        </row>
        <row r="224">
          <cell r="A224"/>
          <cell r="C224"/>
          <cell r="D224"/>
          <cell r="E224"/>
          <cell r="F224"/>
          <cell r="G224"/>
          <cell r="H224"/>
          <cell r="I224"/>
          <cell r="J224"/>
          <cell r="K224"/>
          <cell r="L224"/>
          <cell r="M224"/>
          <cell r="N224"/>
          <cell r="O224"/>
          <cell r="P224"/>
          <cell r="Q224"/>
          <cell r="R224"/>
          <cell r="S224"/>
          <cell r="T224"/>
          <cell r="U224"/>
        </row>
        <row r="225">
          <cell r="A225"/>
          <cell r="C225"/>
          <cell r="D225"/>
          <cell r="E225"/>
          <cell r="F225"/>
          <cell r="G225"/>
          <cell r="H225"/>
          <cell r="I225"/>
          <cell r="J225"/>
          <cell r="K225"/>
          <cell r="L225"/>
          <cell r="M225"/>
          <cell r="N225"/>
          <cell r="O225"/>
          <cell r="P225"/>
          <cell r="Q225"/>
          <cell r="R225"/>
          <cell r="S225"/>
          <cell r="T225"/>
          <cell r="U225"/>
        </row>
        <row r="226">
          <cell r="A226"/>
          <cell r="C226"/>
          <cell r="D226"/>
          <cell r="E226"/>
          <cell r="F226"/>
          <cell r="G226"/>
          <cell r="H226"/>
          <cell r="I226"/>
          <cell r="J226"/>
          <cell r="K226"/>
          <cell r="L226"/>
          <cell r="M226"/>
          <cell r="N226"/>
          <cell r="O226"/>
          <cell r="P226"/>
          <cell r="Q226"/>
          <cell r="R226"/>
          <cell r="S226"/>
          <cell r="T226"/>
          <cell r="U226"/>
        </row>
        <row r="227">
          <cell r="A227"/>
          <cell r="C227"/>
          <cell r="D227"/>
          <cell r="E227"/>
          <cell r="F227"/>
          <cell r="G227"/>
          <cell r="H227"/>
          <cell r="I227"/>
          <cell r="J227"/>
          <cell r="K227"/>
          <cell r="L227"/>
          <cell r="M227"/>
          <cell r="N227"/>
          <cell r="O227"/>
          <cell r="P227"/>
          <cell r="Q227"/>
          <cell r="R227"/>
          <cell r="S227"/>
          <cell r="T227"/>
          <cell r="U227"/>
        </row>
        <row r="228">
          <cell r="A228"/>
          <cell r="C228"/>
          <cell r="D228"/>
          <cell r="E228"/>
          <cell r="F228"/>
          <cell r="G228"/>
          <cell r="H228"/>
          <cell r="I228"/>
          <cell r="J228"/>
          <cell r="K228"/>
          <cell r="L228"/>
          <cell r="M228"/>
          <cell r="N228"/>
          <cell r="O228"/>
          <cell r="P228"/>
          <cell r="Q228"/>
          <cell r="R228"/>
          <cell r="S228"/>
          <cell r="T228"/>
          <cell r="U228"/>
        </row>
        <row r="229">
          <cell r="A229"/>
          <cell r="C229"/>
          <cell r="D229"/>
          <cell r="E229"/>
          <cell r="F229"/>
          <cell r="G229"/>
          <cell r="H229"/>
          <cell r="I229"/>
          <cell r="J229"/>
          <cell r="K229"/>
          <cell r="L229"/>
          <cell r="M229"/>
          <cell r="N229"/>
          <cell r="O229"/>
          <cell r="P229"/>
          <cell r="Q229"/>
          <cell r="R229"/>
          <cell r="S229"/>
          <cell r="T229"/>
          <cell r="U229"/>
        </row>
        <row r="230">
          <cell r="A230"/>
          <cell r="C230"/>
          <cell r="D230"/>
          <cell r="E230"/>
          <cell r="F230"/>
          <cell r="G230"/>
          <cell r="H230"/>
          <cell r="I230"/>
          <cell r="J230"/>
          <cell r="K230"/>
          <cell r="L230"/>
          <cell r="M230"/>
          <cell r="N230"/>
          <cell r="O230"/>
          <cell r="P230"/>
          <cell r="Q230"/>
          <cell r="R230"/>
          <cell r="S230"/>
          <cell r="T230"/>
          <cell r="U230"/>
        </row>
        <row r="231">
          <cell r="A231"/>
          <cell r="C231"/>
          <cell r="D231"/>
          <cell r="E231"/>
          <cell r="F231"/>
          <cell r="G231"/>
          <cell r="H231"/>
          <cell r="I231"/>
          <cell r="J231"/>
          <cell r="K231"/>
          <cell r="L231"/>
          <cell r="M231"/>
          <cell r="N231"/>
          <cell r="O231"/>
          <cell r="P231"/>
          <cell r="Q231"/>
          <cell r="R231"/>
          <cell r="S231"/>
          <cell r="T231"/>
          <cell r="U231"/>
        </row>
        <row r="232">
          <cell r="A232"/>
          <cell r="C232"/>
          <cell r="D232"/>
          <cell r="E232"/>
          <cell r="F232"/>
          <cell r="G232"/>
          <cell r="H232"/>
          <cell r="I232"/>
          <cell r="J232"/>
          <cell r="K232"/>
          <cell r="L232"/>
          <cell r="M232"/>
          <cell r="N232"/>
          <cell r="O232"/>
          <cell r="P232"/>
          <cell r="Q232"/>
          <cell r="R232"/>
          <cell r="S232"/>
          <cell r="T232"/>
          <cell r="U232"/>
        </row>
        <row r="233">
          <cell r="A233"/>
          <cell r="C233"/>
          <cell r="D233"/>
          <cell r="E233"/>
          <cell r="F233"/>
          <cell r="G233"/>
          <cell r="H233"/>
          <cell r="I233"/>
          <cell r="J233"/>
          <cell r="K233"/>
          <cell r="L233"/>
          <cell r="M233"/>
          <cell r="N233"/>
          <cell r="O233"/>
          <cell r="P233"/>
          <cell r="Q233"/>
          <cell r="R233"/>
          <cell r="S233"/>
          <cell r="T233"/>
          <cell r="U233"/>
        </row>
        <row r="234">
          <cell r="A234"/>
          <cell r="C234"/>
          <cell r="D234"/>
          <cell r="E234"/>
          <cell r="F234"/>
          <cell r="G234"/>
          <cell r="H234"/>
          <cell r="I234"/>
          <cell r="J234"/>
          <cell r="K234"/>
          <cell r="L234"/>
          <cell r="M234"/>
          <cell r="N234"/>
          <cell r="O234"/>
          <cell r="P234"/>
          <cell r="Q234"/>
          <cell r="R234"/>
          <cell r="S234"/>
          <cell r="T234"/>
          <cell r="U234"/>
        </row>
        <row r="235">
          <cell r="A235"/>
          <cell r="C235"/>
          <cell r="D235"/>
          <cell r="E235"/>
          <cell r="F235"/>
          <cell r="G235"/>
          <cell r="H235"/>
          <cell r="I235"/>
          <cell r="J235"/>
          <cell r="K235"/>
          <cell r="L235"/>
          <cell r="M235"/>
          <cell r="N235"/>
          <cell r="O235"/>
          <cell r="P235"/>
          <cell r="Q235"/>
          <cell r="R235"/>
          <cell r="S235"/>
          <cell r="T235"/>
          <cell r="U235"/>
        </row>
        <row r="236">
          <cell r="A236"/>
          <cell r="C236"/>
          <cell r="D236"/>
          <cell r="E236"/>
          <cell r="F236"/>
          <cell r="G236"/>
          <cell r="H236"/>
          <cell r="I236"/>
          <cell r="J236"/>
          <cell r="K236"/>
          <cell r="L236"/>
          <cell r="M236"/>
          <cell r="N236"/>
          <cell r="O236"/>
          <cell r="P236"/>
          <cell r="Q236"/>
          <cell r="R236"/>
          <cell r="S236"/>
          <cell r="T236"/>
          <cell r="U236"/>
        </row>
        <row r="237">
          <cell r="A237"/>
          <cell r="C237"/>
          <cell r="D237"/>
          <cell r="E237"/>
          <cell r="F237"/>
          <cell r="G237"/>
          <cell r="H237"/>
          <cell r="I237"/>
          <cell r="J237"/>
          <cell r="K237"/>
          <cell r="L237"/>
          <cell r="M237"/>
          <cell r="N237"/>
          <cell r="O237"/>
          <cell r="P237"/>
          <cell r="Q237"/>
          <cell r="R237"/>
          <cell r="S237"/>
          <cell r="T237"/>
          <cell r="U237"/>
        </row>
        <row r="238">
          <cell r="A238"/>
          <cell r="C238"/>
          <cell r="D238"/>
          <cell r="E238"/>
          <cell r="F238"/>
          <cell r="G238"/>
          <cell r="H238"/>
          <cell r="I238"/>
          <cell r="J238"/>
          <cell r="K238"/>
          <cell r="L238"/>
          <cell r="M238"/>
          <cell r="N238"/>
          <cell r="O238"/>
          <cell r="P238"/>
          <cell r="Q238"/>
          <cell r="R238"/>
          <cell r="S238"/>
          <cell r="T238"/>
          <cell r="U238"/>
        </row>
        <row r="239">
          <cell r="A239"/>
          <cell r="C239"/>
          <cell r="D239"/>
          <cell r="E239"/>
          <cell r="F239"/>
          <cell r="G239"/>
          <cell r="H239"/>
          <cell r="I239"/>
          <cell r="J239"/>
          <cell r="K239"/>
          <cell r="L239"/>
          <cell r="M239"/>
          <cell r="N239"/>
          <cell r="O239"/>
          <cell r="P239"/>
          <cell r="Q239"/>
          <cell r="R239"/>
          <cell r="S239"/>
          <cell r="T239"/>
          <cell r="U239"/>
        </row>
        <row r="240">
          <cell r="A240"/>
          <cell r="C240"/>
          <cell r="D240"/>
          <cell r="E240"/>
          <cell r="F240"/>
          <cell r="G240"/>
          <cell r="H240"/>
          <cell r="I240"/>
          <cell r="J240"/>
          <cell r="K240"/>
          <cell r="L240"/>
          <cell r="M240"/>
          <cell r="N240"/>
          <cell r="O240"/>
          <cell r="P240"/>
          <cell r="Q240"/>
          <cell r="R240"/>
          <cell r="S240"/>
          <cell r="T240"/>
          <cell r="U240"/>
        </row>
        <row r="241">
          <cell r="A241"/>
          <cell r="C241"/>
          <cell r="D241"/>
          <cell r="E241"/>
          <cell r="F241"/>
          <cell r="G241"/>
          <cell r="H241"/>
          <cell r="I241"/>
          <cell r="J241"/>
          <cell r="K241"/>
          <cell r="L241"/>
          <cell r="M241"/>
          <cell r="N241"/>
          <cell r="O241"/>
          <cell r="P241"/>
          <cell r="Q241"/>
          <cell r="R241"/>
          <cell r="S241"/>
          <cell r="T241"/>
          <cell r="U241"/>
        </row>
        <row r="242">
          <cell r="A242"/>
          <cell r="C242"/>
          <cell r="D242"/>
          <cell r="E242"/>
          <cell r="F242"/>
          <cell r="G242"/>
          <cell r="H242"/>
          <cell r="I242"/>
          <cell r="J242"/>
          <cell r="K242"/>
          <cell r="L242"/>
          <cell r="M242"/>
          <cell r="N242"/>
          <cell r="O242"/>
          <cell r="P242"/>
          <cell r="Q242"/>
          <cell r="R242"/>
          <cell r="S242"/>
          <cell r="T242"/>
          <cell r="U242"/>
        </row>
        <row r="243">
          <cell r="A243"/>
          <cell r="C243"/>
          <cell r="D243"/>
          <cell r="E243"/>
          <cell r="F243"/>
          <cell r="G243"/>
          <cell r="H243"/>
          <cell r="I243"/>
          <cell r="J243"/>
          <cell r="K243"/>
          <cell r="L243"/>
          <cell r="M243"/>
          <cell r="N243"/>
          <cell r="O243"/>
          <cell r="P243"/>
          <cell r="Q243"/>
          <cell r="R243"/>
          <cell r="S243"/>
          <cell r="T243"/>
          <cell r="U243"/>
        </row>
        <row r="244">
          <cell r="A244"/>
          <cell r="C244"/>
          <cell r="D244"/>
          <cell r="E244"/>
          <cell r="F244"/>
          <cell r="G244"/>
          <cell r="H244"/>
          <cell r="I244"/>
          <cell r="J244"/>
          <cell r="K244"/>
          <cell r="L244"/>
          <cell r="M244"/>
          <cell r="N244"/>
          <cell r="O244"/>
          <cell r="P244"/>
          <cell r="Q244"/>
          <cell r="R244"/>
          <cell r="S244"/>
          <cell r="T244"/>
          <cell r="U244"/>
        </row>
        <row r="245">
          <cell r="A245"/>
          <cell r="C245"/>
          <cell r="D245"/>
          <cell r="E245"/>
          <cell r="F245"/>
          <cell r="G245"/>
          <cell r="H245"/>
          <cell r="I245"/>
          <cell r="J245"/>
          <cell r="K245"/>
          <cell r="L245"/>
          <cell r="M245"/>
          <cell r="N245"/>
          <cell r="O245"/>
          <cell r="P245"/>
          <cell r="Q245"/>
          <cell r="R245"/>
          <cell r="S245"/>
          <cell r="T245"/>
          <cell r="U245"/>
        </row>
        <row r="246">
          <cell r="A246"/>
          <cell r="C246"/>
          <cell r="D246"/>
          <cell r="E246"/>
          <cell r="F246"/>
          <cell r="G246"/>
          <cell r="H246"/>
          <cell r="I246"/>
          <cell r="J246"/>
          <cell r="K246"/>
          <cell r="L246"/>
          <cell r="M246"/>
          <cell r="N246"/>
          <cell r="O246"/>
          <cell r="P246"/>
          <cell r="Q246"/>
          <cell r="R246"/>
          <cell r="S246"/>
          <cell r="T246"/>
          <cell r="U246"/>
        </row>
        <row r="247">
          <cell r="A247"/>
          <cell r="C247"/>
          <cell r="D247"/>
          <cell r="E247"/>
          <cell r="F247"/>
          <cell r="G247"/>
          <cell r="H247"/>
          <cell r="I247"/>
          <cell r="J247"/>
          <cell r="K247"/>
          <cell r="L247"/>
          <cell r="M247"/>
          <cell r="N247"/>
          <cell r="O247"/>
          <cell r="P247"/>
          <cell r="Q247"/>
          <cell r="R247"/>
          <cell r="S247"/>
          <cell r="T247"/>
          <cell r="U247"/>
        </row>
        <row r="248">
          <cell r="A248"/>
          <cell r="C248"/>
          <cell r="D248"/>
          <cell r="E248"/>
          <cell r="F248"/>
          <cell r="G248"/>
          <cell r="H248"/>
          <cell r="I248"/>
          <cell r="J248"/>
          <cell r="K248"/>
          <cell r="L248"/>
          <cell r="M248"/>
          <cell r="N248"/>
          <cell r="O248"/>
          <cell r="P248"/>
          <cell r="Q248"/>
          <cell r="R248"/>
          <cell r="S248"/>
          <cell r="T248"/>
          <cell r="U248"/>
        </row>
        <row r="249">
          <cell r="A249"/>
          <cell r="C249"/>
          <cell r="D249"/>
          <cell r="E249"/>
          <cell r="F249"/>
          <cell r="G249"/>
          <cell r="H249"/>
          <cell r="I249"/>
          <cell r="J249"/>
          <cell r="K249"/>
          <cell r="L249"/>
          <cell r="M249"/>
          <cell r="N249"/>
          <cell r="O249"/>
          <cell r="P249"/>
          <cell r="Q249"/>
          <cell r="R249"/>
          <cell r="S249"/>
          <cell r="T249"/>
          <cell r="U249"/>
        </row>
        <row r="250">
          <cell r="A250"/>
          <cell r="C250"/>
          <cell r="D250"/>
          <cell r="E250"/>
          <cell r="F250"/>
          <cell r="G250"/>
          <cell r="H250"/>
          <cell r="I250"/>
          <cell r="J250"/>
          <cell r="K250"/>
          <cell r="L250"/>
          <cell r="M250"/>
          <cell r="N250"/>
          <cell r="O250"/>
          <cell r="P250"/>
          <cell r="Q250"/>
          <cell r="R250"/>
          <cell r="S250"/>
          <cell r="T250"/>
          <cell r="U250"/>
        </row>
        <row r="251">
          <cell r="A251"/>
          <cell r="C251"/>
          <cell r="D251"/>
          <cell r="E251"/>
          <cell r="F251"/>
          <cell r="G251"/>
          <cell r="H251"/>
          <cell r="I251"/>
          <cell r="J251"/>
          <cell r="K251"/>
          <cell r="L251"/>
          <cell r="M251"/>
          <cell r="N251"/>
          <cell r="O251"/>
          <cell r="P251"/>
          <cell r="Q251"/>
          <cell r="R251"/>
          <cell r="S251"/>
          <cell r="T251"/>
          <cell r="U251"/>
        </row>
        <row r="252">
          <cell r="A252"/>
          <cell r="C252"/>
          <cell r="D252"/>
          <cell r="E252"/>
          <cell r="F252"/>
          <cell r="G252"/>
          <cell r="H252"/>
          <cell r="I252"/>
          <cell r="J252"/>
          <cell r="K252"/>
          <cell r="L252"/>
          <cell r="M252"/>
          <cell r="N252"/>
          <cell r="O252"/>
          <cell r="P252"/>
          <cell r="Q252"/>
          <cell r="R252"/>
          <cell r="S252"/>
          <cell r="T252"/>
          <cell r="U252"/>
        </row>
        <row r="253">
          <cell r="A253"/>
          <cell r="C253"/>
          <cell r="D253"/>
          <cell r="E253"/>
          <cell r="F253"/>
          <cell r="G253"/>
          <cell r="H253"/>
          <cell r="I253"/>
          <cell r="J253"/>
          <cell r="K253"/>
          <cell r="L253"/>
          <cell r="M253"/>
          <cell r="N253"/>
          <cell r="O253"/>
          <cell r="P253"/>
          <cell r="Q253"/>
          <cell r="R253"/>
          <cell r="S253"/>
          <cell r="T253"/>
          <cell r="U253"/>
        </row>
        <row r="254">
          <cell r="A254"/>
          <cell r="C254"/>
          <cell r="D254"/>
          <cell r="E254"/>
          <cell r="F254"/>
          <cell r="G254"/>
          <cell r="H254"/>
          <cell r="I254"/>
          <cell r="J254"/>
          <cell r="K254"/>
          <cell r="L254"/>
          <cell r="M254"/>
          <cell r="N254"/>
          <cell r="O254"/>
          <cell r="P254"/>
          <cell r="Q254"/>
          <cell r="R254"/>
          <cell r="S254"/>
          <cell r="T254"/>
          <cell r="U254"/>
        </row>
        <row r="255">
          <cell r="A255"/>
          <cell r="C255"/>
          <cell r="D255"/>
          <cell r="E255"/>
          <cell r="F255"/>
          <cell r="G255"/>
          <cell r="H255"/>
          <cell r="I255"/>
          <cell r="J255"/>
          <cell r="K255"/>
          <cell r="L255"/>
          <cell r="M255"/>
          <cell r="N255"/>
          <cell r="O255"/>
          <cell r="P255"/>
          <cell r="Q255"/>
          <cell r="R255"/>
          <cell r="S255"/>
          <cell r="T255"/>
          <cell r="U255"/>
        </row>
        <row r="256">
          <cell r="A256"/>
          <cell r="C256"/>
          <cell r="D256"/>
          <cell r="E256"/>
          <cell r="F256"/>
          <cell r="G256"/>
          <cell r="H256"/>
          <cell r="I256"/>
          <cell r="J256"/>
          <cell r="K256"/>
          <cell r="L256"/>
          <cell r="M256"/>
          <cell r="N256"/>
          <cell r="O256"/>
          <cell r="P256"/>
          <cell r="Q256"/>
          <cell r="R256"/>
          <cell r="S256"/>
          <cell r="T256"/>
          <cell r="U256"/>
        </row>
        <row r="257">
          <cell r="A257"/>
          <cell r="C257"/>
          <cell r="D257"/>
          <cell r="E257"/>
          <cell r="F257"/>
          <cell r="G257"/>
          <cell r="H257"/>
          <cell r="I257"/>
          <cell r="J257"/>
          <cell r="K257"/>
          <cell r="L257"/>
          <cell r="M257"/>
          <cell r="N257"/>
          <cell r="O257"/>
          <cell r="P257"/>
          <cell r="Q257"/>
          <cell r="R257"/>
          <cell r="S257"/>
          <cell r="T257"/>
          <cell r="U257"/>
        </row>
        <row r="258">
          <cell r="A258"/>
          <cell r="C258"/>
          <cell r="D258"/>
          <cell r="E258"/>
          <cell r="F258"/>
          <cell r="G258"/>
          <cell r="H258"/>
          <cell r="I258"/>
          <cell r="J258"/>
          <cell r="K258"/>
          <cell r="L258"/>
          <cell r="M258"/>
          <cell r="N258"/>
          <cell r="O258"/>
          <cell r="P258"/>
          <cell r="Q258"/>
          <cell r="R258"/>
          <cell r="S258"/>
          <cell r="T258"/>
          <cell r="U258"/>
        </row>
        <row r="259">
          <cell r="A259"/>
          <cell r="C259"/>
          <cell r="D259"/>
          <cell r="E259"/>
          <cell r="F259"/>
          <cell r="G259"/>
          <cell r="H259"/>
          <cell r="I259"/>
          <cell r="J259"/>
          <cell r="K259"/>
          <cell r="L259"/>
          <cell r="M259"/>
          <cell r="N259"/>
          <cell r="O259"/>
          <cell r="P259"/>
          <cell r="Q259"/>
          <cell r="R259"/>
          <cell r="S259"/>
          <cell r="T259"/>
          <cell r="U259"/>
        </row>
        <row r="260">
          <cell r="A260"/>
          <cell r="C260"/>
          <cell r="D260"/>
          <cell r="E260"/>
          <cell r="F260"/>
          <cell r="G260"/>
          <cell r="H260"/>
          <cell r="I260"/>
          <cell r="J260"/>
          <cell r="K260"/>
          <cell r="L260"/>
          <cell r="M260"/>
          <cell r="N260"/>
          <cell r="O260"/>
          <cell r="P260"/>
          <cell r="Q260"/>
          <cell r="R260"/>
          <cell r="S260"/>
          <cell r="T260"/>
          <cell r="U260"/>
        </row>
        <row r="261">
          <cell r="A261"/>
          <cell r="C261"/>
          <cell r="D261"/>
          <cell r="E261"/>
          <cell r="F261"/>
          <cell r="G261"/>
          <cell r="H261"/>
          <cell r="I261"/>
          <cell r="J261"/>
          <cell r="K261"/>
          <cell r="L261"/>
          <cell r="M261"/>
          <cell r="N261"/>
          <cell r="O261"/>
          <cell r="P261"/>
          <cell r="Q261"/>
          <cell r="R261"/>
          <cell r="S261"/>
          <cell r="T261"/>
          <cell r="U261"/>
        </row>
        <row r="262">
          <cell r="A262"/>
          <cell r="C262"/>
          <cell r="D262"/>
          <cell r="E262"/>
          <cell r="F262"/>
          <cell r="G262"/>
          <cell r="H262"/>
          <cell r="I262"/>
          <cell r="J262"/>
          <cell r="K262"/>
          <cell r="L262"/>
          <cell r="M262"/>
          <cell r="N262"/>
          <cell r="O262"/>
          <cell r="P262"/>
          <cell r="Q262"/>
          <cell r="R262"/>
          <cell r="S262"/>
          <cell r="T262"/>
          <cell r="U262"/>
        </row>
        <row r="263">
          <cell r="A263"/>
          <cell r="C263"/>
          <cell r="D263"/>
          <cell r="E263"/>
          <cell r="F263"/>
          <cell r="G263"/>
          <cell r="H263"/>
          <cell r="I263"/>
          <cell r="J263"/>
          <cell r="K263"/>
          <cell r="L263"/>
          <cell r="M263"/>
          <cell r="N263"/>
          <cell r="O263"/>
          <cell r="P263"/>
          <cell r="Q263"/>
          <cell r="R263"/>
          <cell r="S263"/>
          <cell r="T263"/>
          <cell r="U263"/>
        </row>
        <row r="264">
          <cell r="A264"/>
          <cell r="C264"/>
          <cell r="D264"/>
          <cell r="E264"/>
          <cell r="F264"/>
          <cell r="G264"/>
          <cell r="H264"/>
          <cell r="I264"/>
          <cell r="J264"/>
          <cell r="K264"/>
          <cell r="L264"/>
          <cell r="M264"/>
          <cell r="N264"/>
          <cell r="O264"/>
          <cell r="P264"/>
          <cell r="Q264"/>
          <cell r="R264"/>
          <cell r="S264"/>
          <cell r="T264"/>
          <cell r="U264"/>
        </row>
        <row r="265">
          <cell r="A265"/>
          <cell r="C265"/>
          <cell r="D265"/>
          <cell r="E265"/>
          <cell r="F265"/>
          <cell r="G265"/>
          <cell r="H265"/>
          <cell r="I265"/>
          <cell r="J265"/>
          <cell r="K265"/>
          <cell r="L265"/>
          <cell r="M265"/>
          <cell r="N265"/>
          <cell r="O265"/>
          <cell r="P265"/>
          <cell r="Q265"/>
          <cell r="R265"/>
          <cell r="S265"/>
          <cell r="T265"/>
          <cell r="U265"/>
        </row>
        <row r="266">
          <cell r="A266"/>
          <cell r="C266"/>
          <cell r="D266"/>
          <cell r="E266"/>
          <cell r="F266"/>
          <cell r="G266"/>
          <cell r="H266"/>
          <cell r="I266"/>
          <cell r="J266"/>
          <cell r="K266"/>
          <cell r="L266"/>
          <cell r="M266"/>
          <cell r="N266"/>
          <cell r="O266"/>
          <cell r="P266"/>
          <cell r="Q266"/>
          <cell r="R266"/>
          <cell r="S266"/>
          <cell r="T266"/>
          <cell r="U266"/>
        </row>
        <row r="267">
          <cell r="A267"/>
          <cell r="C267"/>
          <cell r="D267"/>
          <cell r="E267"/>
          <cell r="F267"/>
          <cell r="G267"/>
          <cell r="H267"/>
          <cell r="I267"/>
          <cell r="J267"/>
          <cell r="K267"/>
          <cell r="L267"/>
          <cell r="M267"/>
          <cell r="N267"/>
          <cell r="O267"/>
          <cell r="P267"/>
          <cell r="Q267"/>
          <cell r="R267"/>
          <cell r="S267"/>
          <cell r="T267"/>
          <cell r="U267"/>
        </row>
        <row r="268">
          <cell r="A268"/>
          <cell r="C268"/>
          <cell r="D268"/>
          <cell r="E268"/>
          <cell r="F268"/>
          <cell r="G268"/>
          <cell r="H268"/>
          <cell r="I268"/>
          <cell r="J268"/>
          <cell r="K268"/>
          <cell r="L268"/>
          <cell r="M268"/>
          <cell r="N268"/>
          <cell r="O268"/>
          <cell r="P268"/>
          <cell r="Q268"/>
          <cell r="R268"/>
          <cell r="S268"/>
          <cell r="T268"/>
          <cell r="U268"/>
        </row>
        <row r="269">
          <cell r="A269"/>
          <cell r="C269"/>
          <cell r="D269"/>
          <cell r="E269"/>
          <cell r="F269"/>
          <cell r="G269"/>
          <cell r="H269"/>
          <cell r="I269"/>
          <cell r="J269"/>
          <cell r="K269"/>
          <cell r="L269"/>
          <cell r="M269"/>
          <cell r="N269"/>
          <cell r="O269"/>
          <cell r="P269"/>
          <cell r="Q269"/>
          <cell r="R269"/>
          <cell r="S269"/>
          <cell r="T269"/>
          <cell r="U269"/>
        </row>
        <row r="270">
          <cell r="A270"/>
          <cell r="C270"/>
          <cell r="D270"/>
          <cell r="E270"/>
          <cell r="F270"/>
          <cell r="G270"/>
          <cell r="H270"/>
          <cell r="I270"/>
          <cell r="J270"/>
          <cell r="K270"/>
          <cell r="L270"/>
          <cell r="M270"/>
          <cell r="N270"/>
          <cell r="O270"/>
          <cell r="P270"/>
          <cell r="Q270"/>
          <cell r="R270"/>
          <cell r="S270"/>
          <cell r="T270"/>
          <cell r="U270"/>
        </row>
        <row r="271">
          <cell r="A271"/>
          <cell r="C271"/>
          <cell r="D271"/>
          <cell r="E271"/>
          <cell r="F271"/>
          <cell r="G271"/>
          <cell r="H271"/>
          <cell r="I271"/>
          <cell r="J271"/>
          <cell r="K271"/>
          <cell r="L271"/>
          <cell r="M271"/>
          <cell r="N271"/>
          <cell r="O271"/>
          <cell r="P271"/>
          <cell r="Q271"/>
          <cell r="R271"/>
          <cell r="S271"/>
          <cell r="T271"/>
          <cell r="U271"/>
        </row>
        <row r="272">
          <cell r="A272"/>
          <cell r="C272"/>
          <cell r="D272"/>
          <cell r="E272"/>
          <cell r="F272"/>
          <cell r="G272"/>
          <cell r="H272"/>
          <cell r="I272"/>
          <cell r="J272"/>
          <cell r="K272"/>
          <cell r="L272"/>
          <cell r="M272"/>
          <cell r="N272"/>
          <cell r="O272"/>
          <cell r="P272"/>
          <cell r="Q272"/>
          <cell r="R272"/>
          <cell r="S272"/>
          <cell r="T272"/>
          <cell r="U272"/>
        </row>
        <row r="273">
          <cell r="A273"/>
          <cell r="C273"/>
          <cell r="D273"/>
          <cell r="E273"/>
          <cell r="F273"/>
          <cell r="G273"/>
          <cell r="H273"/>
          <cell r="I273"/>
          <cell r="J273"/>
          <cell r="K273"/>
          <cell r="L273"/>
          <cell r="M273"/>
          <cell r="N273"/>
          <cell r="O273"/>
          <cell r="P273"/>
          <cell r="Q273"/>
          <cell r="R273"/>
          <cell r="S273"/>
          <cell r="T273"/>
          <cell r="U273"/>
        </row>
        <row r="274">
          <cell r="A274"/>
          <cell r="C274"/>
          <cell r="D274"/>
          <cell r="E274"/>
          <cell r="F274"/>
          <cell r="G274"/>
          <cell r="H274"/>
          <cell r="I274"/>
          <cell r="J274"/>
          <cell r="K274"/>
          <cell r="L274"/>
          <cell r="M274"/>
          <cell r="N274"/>
          <cell r="O274"/>
          <cell r="P274"/>
          <cell r="Q274"/>
          <cell r="R274"/>
          <cell r="S274"/>
          <cell r="T274"/>
          <cell r="U274"/>
        </row>
        <row r="275">
          <cell r="A275"/>
          <cell r="C275"/>
          <cell r="D275"/>
          <cell r="E275"/>
          <cell r="F275"/>
          <cell r="G275"/>
          <cell r="H275"/>
          <cell r="I275"/>
          <cell r="J275"/>
          <cell r="K275"/>
          <cell r="L275"/>
          <cell r="M275"/>
          <cell r="N275"/>
          <cell r="O275"/>
          <cell r="P275"/>
          <cell r="Q275"/>
          <cell r="R275"/>
          <cell r="S275"/>
          <cell r="T275"/>
          <cell r="U275"/>
        </row>
        <row r="276">
          <cell r="A276"/>
          <cell r="C276"/>
          <cell r="D276"/>
          <cell r="E276"/>
          <cell r="F276"/>
          <cell r="G276"/>
          <cell r="H276"/>
          <cell r="I276"/>
          <cell r="J276"/>
          <cell r="K276"/>
          <cell r="L276"/>
          <cell r="M276"/>
          <cell r="N276"/>
          <cell r="O276"/>
          <cell r="P276"/>
          <cell r="Q276"/>
          <cell r="R276"/>
          <cell r="S276"/>
          <cell r="T276"/>
          <cell r="U276"/>
        </row>
        <row r="277">
          <cell r="A277"/>
          <cell r="C277"/>
          <cell r="D277"/>
          <cell r="E277"/>
          <cell r="F277"/>
          <cell r="G277"/>
          <cell r="H277"/>
          <cell r="I277"/>
          <cell r="J277"/>
          <cell r="K277"/>
          <cell r="L277"/>
          <cell r="M277"/>
          <cell r="N277"/>
          <cell r="O277"/>
          <cell r="P277"/>
          <cell r="Q277"/>
          <cell r="R277"/>
          <cell r="S277"/>
          <cell r="T277"/>
          <cell r="U277"/>
        </row>
        <row r="278">
          <cell r="A278"/>
          <cell r="C278"/>
          <cell r="D278"/>
          <cell r="E278"/>
          <cell r="F278"/>
          <cell r="G278"/>
          <cell r="H278"/>
          <cell r="I278"/>
          <cell r="J278"/>
          <cell r="K278"/>
          <cell r="L278"/>
          <cell r="M278"/>
          <cell r="N278"/>
          <cell r="O278"/>
          <cell r="P278"/>
          <cell r="Q278"/>
          <cell r="R278"/>
          <cell r="S278"/>
          <cell r="T278"/>
          <cell r="U278"/>
        </row>
        <row r="279">
          <cell r="A279"/>
          <cell r="C279"/>
          <cell r="D279"/>
          <cell r="E279"/>
          <cell r="F279"/>
          <cell r="G279"/>
          <cell r="H279"/>
          <cell r="I279"/>
          <cell r="J279"/>
          <cell r="K279"/>
          <cell r="L279"/>
          <cell r="M279"/>
          <cell r="N279"/>
          <cell r="O279"/>
          <cell r="P279"/>
          <cell r="Q279"/>
          <cell r="R279"/>
          <cell r="S279"/>
          <cell r="T279"/>
          <cell r="U279"/>
        </row>
        <row r="280">
          <cell r="A280"/>
          <cell r="C280"/>
          <cell r="D280"/>
          <cell r="E280"/>
          <cell r="F280"/>
          <cell r="G280"/>
          <cell r="H280"/>
          <cell r="I280"/>
          <cell r="J280"/>
          <cell r="K280"/>
          <cell r="L280"/>
          <cell r="M280"/>
          <cell r="N280"/>
          <cell r="O280"/>
          <cell r="P280"/>
          <cell r="Q280"/>
          <cell r="R280"/>
          <cell r="S280"/>
          <cell r="T280"/>
          <cell r="U280"/>
        </row>
        <row r="281">
          <cell r="A281"/>
          <cell r="C281"/>
          <cell r="D281"/>
          <cell r="E281"/>
          <cell r="F281"/>
          <cell r="G281"/>
          <cell r="H281"/>
          <cell r="I281"/>
          <cell r="J281"/>
          <cell r="K281"/>
          <cell r="L281"/>
          <cell r="M281"/>
          <cell r="N281"/>
          <cell r="O281"/>
          <cell r="P281"/>
          <cell r="Q281"/>
          <cell r="R281"/>
          <cell r="S281"/>
          <cell r="T281"/>
          <cell r="U281"/>
        </row>
        <row r="282">
          <cell r="A282"/>
          <cell r="C282"/>
          <cell r="D282"/>
          <cell r="E282"/>
          <cell r="F282"/>
          <cell r="G282"/>
          <cell r="H282"/>
          <cell r="I282"/>
          <cell r="J282"/>
          <cell r="K282"/>
          <cell r="L282"/>
          <cell r="M282"/>
          <cell r="N282"/>
          <cell r="O282"/>
          <cell r="P282"/>
          <cell r="Q282"/>
          <cell r="R282"/>
          <cell r="S282"/>
          <cell r="T282"/>
          <cell r="U282"/>
        </row>
        <row r="283">
          <cell r="A283"/>
          <cell r="C283"/>
          <cell r="D283"/>
          <cell r="E283"/>
          <cell r="F283"/>
          <cell r="G283"/>
          <cell r="H283"/>
          <cell r="I283"/>
          <cell r="J283"/>
          <cell r="K283"/>
          <cell r="L283"/>
          <cell r="M283"/>
          <cell r="N283"/>
          <cell r="O283"/>
          <cell r="P283"/>
          <cell r="Q283"/>
          <cell r="R283"/>
          <cell r="S283"/>
          <cell r="T283"/>
          <cell r="U283"/>
        </row>
        <row r="284">
          <cell r="A284"/>
          <cell r="C284"/>
          <cell r="D284"/>
          <cell r="E284"/>
          <cell r="F284"/>
          <cell r="G284"/>
          <cell r="H284"/>
          <cell r="I284"/>
          <cell r="J284"/>
          <cell r="K284"/>
          <cell r="L284"/>
          <cell r="M284"/>
          <cell r="N284"/>
          <cell r="O284"/>
          <cell r="P284"/>
          <cell r="Q284"/>
          <cell r="R284"/>
          <cell r="S284"/>
          <cell r="T284"/>
          <cell r="U284"/>
        </row>
        <row r="285">
          <cell r="A285"/>
          <cell r="C285"/>
          <cell r="D285"/>
          <cell r="E285"/>
          <cell r="F285"/>
          <cell r="G285"/>
          <cell r="H285"/>
          <cell r="I285"/>
          <cell r="J285"/>
          <cell r="K285"/>
          <cell r="L285"/>
          <cell r="M285"/>
          <cell r="N285"/>
          <cell r="O285"/>
          <cell r="P285"/>
          <cell r="Q285"/>
          <cell r="R285"/>
          <cell r="S285"/>
          <cell r="T285"/>
          <cell r="U285"/>
        </row>
        <row r="286">
          <cell r="A286"/>
          <cell r="C286"/>
          <cell r="D286"/>
          <cell r="E286"/>
          <cell r="F286"/>
          <cell r="G286"/>
          <cell r="H286"/>
          <cell r="I286"/>
          <cell r="J286"/>
          <cell r="K286"/>
          <cell r="L286"/>
          <cell r="M286"/>
          <cell r="N286"/>
          <cell r="O286"/>
          <cell r="P286"/>
          <cell r="Q286"/>
          <cell r="R286"/>
          <cell r="S286"/>
          <cell r="T286"/>
          <cell r="U286"/>
        </row>
        <row r="287">
          <cell r="A287"/>
          <cell r="C287"/>
          <cell r="D287"/>
          <cell r="E287"/>
          <cell r="F287"/>
          <cell r="G287"/>
          <cell r="H287"/>
          <cell r="I287"/>
          <cell r="J287"/>
          <cell r="K287"/>
          <cell r="L287"/>
          <cell r="M287"/>
          <cell r="N287"/>
          <cell r="O287"/>
          <cell r="P287"/>
          <cell r="Q287"/>
          <cell r="R287"/>
          <cell r="S287"/>
          <cell r="T287"/>
          <cell r="U287"/>
        </row>
        <row r="288">
          <cell r="A288"/>
          <cell r="C288"/>
          <cell r="D288"/>
          <cell r="E288"/>
          <cell r="F288"/>
          <cell r="G288"/>
          <cell r="H288"/>
          <cell r="I288"/>
          <cell r="J288"/>
          <cell r="K288"/>
          <cell r="L288"/>
          <cell r="M288"/>
          <cell r="N288"/>
          <cell r="O288"/>
          <cell r="P288"/>
          <cell r="Q288"/>
          <cell r="R288"/>
          <cell r="S288"/>
          <cell r="T288"/>
          <cell r="U288"/>
        </row>
        <row r="289">
          <cell r="A289"/>
          <cell r="C289"/>
          <cell r="D289"/>
          <cell r="E289"/>
          <cell r="F289"/>
          <cell r="G289"/>
          <cell r="H289"/>
          <cell r="I289"/>
          <cell r="J289"/>
          <cell r="K289"/>
          <cell r="L289"/>
          <cell r="M289"/>
          <cell r="N289"/>
          <cell r="O289"/>
          <cell r="P289"/>
          <cell r="Q289"/>
          <cell r="R289"/>
          <cell r="S289"/>
          <cell r="T289"/>
          <cell r="U289"/>
        </row>
        <row r="290">
          <cell r="A290"/>
          <cell r="C290"/>
          <cell r="D290"/>
          <cell r="E290"/>
          <cell r="F290"/>
          <cell r="G290"/>
          <cell r="H290"/>
          <cell r="I290"/>
          <cell r="J290"/>
          <cell r="K290"/>
          <cell r="L290"/>
          <cell r="M290"/>
          <cell r="N290"/>
          <cell r="O290"/>
          <cell r="P290"/>
          <cell r="Q290"/>
          <cell r="R290"/>
          <cell r="S290"/>
          <cell r="T290"/>
          <cell r="U290"/>
        </row>
        <row r="291">
          <cell r="A291"/>
          <cell r="C291"/>
          <cell r="D291"/>
          <cell r="E291"/>
          <cell r="F291"/>
          <cell r="G291"/>
          <cell r="H291"/>
          <cell r="I291"/>
          <cell r="J291"/>
          <cell r="K291"/>
          <cell r="L291"/>
          <cell r="M291"/>
          <cell r="N291"/>
          <cell r="O291"/>
          <cell r="P291"/>
          <cell r="Q291"/>
          <cell r="R291"/>
          <cell r="S291"/>
          <cell r="T291"/>
          <cell r="U291"/>
        </row>
        <row r="292">
          <cell r="A292"/>
          <cell r="C292"/>
          <cell r="D292"/>
          <cell r="E292"/>
          <cell r="F292"/>
          <cell r="G292"/>
          <cell r="H292"/>
          <cell r="I292"/>
          <cell r="J292"/>
          <cell r="K292"/>
          <cell r="L292"/>
          <cell r="M292"/>
          <cell r="N292"/>
          <cell r="O292"/>
          <cell r="P292"/>
          <cell r="Q292"/>
          <cell r="R292"/>
          <cell r="S292"/>
          <cell r="T292"/>
          <cell r="U292"/>
        </row>
        <row r="293">
          <cell r="A293"/>
          <cell r="C293"/>
          <cell r="D293"/>
          <cell r="E293"/>
          <cell r="F293"/>
          <cell r="G293"/>
          <cell r="H293"/>
          <cell r="I293"/>
          <cell r="J293"/>
          <cell r="K293"/>
          <cell r="L293"/>
          <cell r="M293"/>
          <cell r="N293"/>
          <cell r="O293"/>
          <cell r="P293"/>
          <cell r="Q293"/>
          <cell r="R293"/>
          <cell r="S293"/>
          <cell r="T293"/>
          <cell r="U293"/>
        </row>
        <row r="294">
          <cell r="A294"/>
          <cell r="C294"/>
          <cell r="D294"/>
          <cell r="E294"/>
          <cell r="F294"/>
          <cell r="G294"/>
          <cell r="H294"/>
          <cell r="I294"/>
          <cell r="J294"/>
          <cell r="K294"/>
          <cell r="L294"/>
          <cell r="M294"/>
          <cell r="N294"/>
          <cell r="O294"/>
          <cell r="P294"/>
          <cell r="Q294"/>
          <cell r="R294"/>
          <cell r="S294"/>
          <cell r="T294"/>
          <cell r="U294"/>
        </row>
        <row r="295">
          <cell r="A295"/>
          <cell r="C295"/>
          <cell r="D295"/>
          <cell r="E295"/>
          <cell r="F295"/>
          <cell r="G295"/>
          <cell r="H295"/>
          <cell r="I295"/>
          <cell r="J295"/>
          <cell r="K295"/>
          <cell r="L295"/>
          <cell r="M295"/>
          <cell r="N295"/>
          <cell r="O295"/>
          <cell r="P295"/>
          <cell r="Q295"/>
          <cell r="R295"/>
          <cell r="S295"/>
          <cell r="T295"/>
          <cell r="U295"/>
        </row>
        <row r="296">
          <cell r="A296"/>
          <cell r="C296"/>
          <cell r="D296"/>
          <cell r="E296"/>
          <cell r="F296"/>
          <cell r="G296"/>
          <cell r="H296"/>
          <cell r="I296"/>
          <cell r="J296"/>
          <cell r="K296"/>
          <cell r="L296"/>
          <cell r="M296"/>
          <cell r="N296"/>
          <cell r="O296"/>
          <cell r="P296"/>
          <cell r="Q296"/>
          <cell r="R296"/>
          <cell r="S296"/>
          <cell r="T296"/>
          <cell r="U296"/>
        </row>
        <row r="297">
          <cell r="A297"/>
          <cell r="C297"/>
          <cell r="D297"/>
          <cell r="E297"/>
          <cell r="F297"/>
          <cell r="G297"/>
          <cell r="H297"/>
          <cell r="I297"/>
          <cell r="J297"/>
          <cell r="K297"/>
          <cell r="L297"/>
          <cell r="M297"/>
          <cell r="N297"/>
          <cell r="O297"/>
          <cell r="P297"/>
          <cell r="Q297"/>
          <cell r="R297"/>
          <cell r="S297"/>
          <cell r="T297"/>
          <cell r="U297"/>
        </row>
        <row r="298">
          <cell r="A298"/>
          <cell r="C298"/>
          <cell r="D298"/>
          <cell r="E298"/>
          <cell r="F298"/>
          <cell r="G298"/>
          <cell r="H298"/>
          <cell r="I298"/>
          <cell r="J298"/>
          <cell r="K298"/>
          <cell r="L298"/>
          <cell r="M298"/>
          <cell r="N298"/>
          <cell r="O298"/>
          <cell r="P298"/>
          <cell r="Q298"/>
          <cell r="R298"/>
          <cell r="S298"/>
          <cell r="T298"/>
          <cell r="U298"/>
        </row>
        <row r="299">
          <cell r="A299"/>
          <cell r="C299"/>
          <cell r="D299"/>
          <cell r="E299"/>
          <cell r="F299"/>
          <cell r="G299"/>
          <cell r="H299"/>
          <cell r="I299"/>
          <cell r="J299"/>
          <cell r="K299"/>
          <cell r="L299"/>
          <cell r="M299"/>
          <cell r="N299"/>
          <cell r="O299"/>
          <cell r="P299"/>
          <cell r="Q299"/>
          <cell r="R299"/>
          <cell r="S299"/>
          <cell r="T299"/>
          <cell r="U299"/>
        </row>
        <row r="300">
          <cell r="A300"/>
          <cell r="C300"/>
          <cell r="D300"/>
          <cell r="E300"/>
          <cell r="F300"/>
          <cell r="G300"/>
          <cell r="H300"/>
          <cell r="I300"/>
          <cell r="J300"/>
          <cell r="K300"/>
          <cell r="L300"/>
          <cell r="M300"/>
          <cell r="N300"/>
          <cell r="O300"/>
          <cell r="P300"/>
          <cell r="Q300"/>
          <cell r="R300"/>
          <cell r="S300"/>
          <cell r="T300"/>
          <cell r="U300"/>
        </row>
        <row r="301">
          <cell r="A301"/>
          <cell r="C301"/>
          <cell r="D301"/>
          <cell r="E301"/>
          <cell r="F301"/>
          <cell r="G301"/>
          <cell r="H301"/>
          <cell r="I301"/>
          <cell r="J301"/>
          <cell r="K301"/>
          <cell r="L301"/>
          <cell r="M301"/>
          <cell r="N301"/>
          <cell r="O301"/>
          <cell r="P301"/>
          <cell r="Q301"/>
          <cell r="R301"/>
          <cell r="S301"/>
          <cell r="T301"/>
          <cell r="U301"/>
        </row>
        <row r="302">
          <cell r="A302"/>
          <cell r="C302"/>
          <cell r="D302"/>
          <cell r="E302"/>
          <cell r="F302"/>
          <cell r="G302"/>
          <cell r="H302"/>
          <cell r="I302"/>
          <cell r="J302"/>
          <cell r="K302"/>
          <cell r="L302"/>
          <cell r="M302"/>
          <cell r="N302"/>
          <cell r="O302"/>
          <cell r="P302"/>
          <cell r="Q302"/>
          <cell r="R302"/>
          <cell r="S302"/>
          <cell r="T302"/>
          <cell r="U302"/>
        </row>
        <row r="303">
          <cell r="A303"/>
          <cell r="C303"/>
          <cell r="D303"/>
          <cell r="E303"/>
          <cell r="F303"/>
          <cell r="G303"/>
          <cell r="H303"/>
          <cell r="I303"/>
          <cell r="J303"/>
          <cell r="K303"/>
          <cell r="L303"/>
          <cell r="M303"/>
          <cell r="N303"/>
          <cell r="O303"/>
          <cell r="P303"/>
          <cell r="Q303"/>
          <cell r="R303"/>
          <cell r="S303"/>
          <cell r="T303"/>
          <cell r="U303"/>
        </row>
        <row r="304">
          <cell r="A304"/>
          <cell r="C304"/>
          <cell r="D304"/>
          <cell r="E304"/>
          <cell r="F304"/>
          <cell r="G304"/>
          <cell r="H304"/>
          <cell r="I304"/>
          <cell r="J304"/>
          <cell r="K304"/>
          <cell r="L304"/>
          <cell r="M304"/>
          <cell r="N304"/>
          <cell r="O304"/>
          <cell r="P304"/>
          <cell r="Q304"/>
          <cell r="R304"/>
          <cell r="S304"/>
          <cell r="T304"/>
          <cell r="U304"/>
        </row>
        <row r="305">
          <cell r="A305"/>
          <cell r="C305"/>
          <cell r="D305"/>
          <cell r="E305"/>
          <cell r="F305"/>
          <cell r="G305"/>
          <cell r="H305"/>
          <cell r="I305"/>
          <cell r="J305"/>
          <cell r="K305"/>
          <cell r="L305"/>
          <cell r="M305"/>
          <cell r="N305"/>
          <cell r="O305"/>
          <cell r="P305"/>
          <cell r="Q305"/>
          <cell r="R305"/>
          <cell r="S305"/>
          <cell r="T305"/>
          <cell r="U305"/>
        </row>
        <row r="306">
          <cell r="A306"/>
          <cell r="C306"/>
          <cell r="D306"/>
          <cell r="E306"/>
          <cell r="F306"/>
          <cell r="G306"/>
          <cell r="H306"/>
          <cell r="I306"/>
          <cell r="J306"/>
          <cell r="K306"/>
          <cell r="L306"/>
          <cell r="M306"/>
          <cell r="N306"/>
          <cell r="O306"/>
          <cell r="P306"/>
          <cell r="Q306"/>
          <cell r="R306"/>
          <cell r="S306"/>
          <cell r="T306"/>
          <cell r="U306"/>
        </row>
        <row r="307">
          <cell r="A307"/>
          <cell r="C307"/>
          <cell r="D307"/>
          <cell r="E307"/>
          <cell r="F307"/>
          <cell r="G307"/>
          <cell r="H307"/>
          <cell r="I307"/>
          <cell r="J307"/>
          <cell r="K307"/>
          <cell r="L307"/>
          <cell r="M307"/>
          <cell r="N307"/>
          <cell r="O307"/>
          <cell r="P307"/>
          <cell r="Q307"/>
          <cell r="R307"/>
          <cell r="S307"/>
          <cell r="T307"/>
          <cell r="U307"/>
        </row>
        <row r="308">
          <cell r="A308"/>
          <cell r="C308"/>
          <cell r="D308"/>
          <cell r="E308"/>
          <cell r="F308"/>
          <cell r="G308"/>
          <cell r="H308"/>
          <cell r="I308"/>
          <cell r="J308"/>
          <cell r="K308"/>
          <cell r="L308"/>
          <cell r="M308"/>
          <cell r="N308"/>
          <cell r="O308"/>
          <cell r="P308"/>
          <cell r="Q308"/>
          <cell r="R308"/>
          <cell r="S308"/>
          <cell r="T308"/>
          <cell r="U308"/>
        </row>
        <row r="309">
          <cell r="A309"/>
          <cell r="C309"/>
          <cell r="D309"/>
          <cell r="E309"/>
          <cell r="F309"/>
          <cell r="G309"/>
          <cell r="H309"/>
          <cell r="I309"/>
          <cell r="J309"/>
          <cell r="K309"/>
          <cell r="L309"/>
          <cell r="M309"/>
          <cell r="N309"/>
          <cell r="O309"/>
          <cell r="P309"/>
          <cell r="Q309"/>
          <cell r="R309"/>
          <cell r="S309"/>
          <cell r="T309"/>
          <cell r="U309"/>
        </row>
        <row r="310">
          <cell r="A310"/>
          <cell r="C310"/>
          <cell r="D310"/>
          <cell r="E310"/>
          <cell r="F310"/>
          <cell r="G310"/>
          <cell r="H310"/>
          <cell r="I310"/>
          <cell r="J310"/>
          <cell r="K310"/>
          <cell r="L310"/>
          <cell r="M310"/>
          <cell r="N310"/>
          <cell r="O310"/>
          <cell r="P310"/>
          <cell r="Q310"/>
          <cell r="R310"/>
          <cell r="S310"/>
          <cell r="T310"/>
          <cell r="U310"/>
        </row>
        <row r="311">
          <cell r="A311"/>
          <cell r="C311"/>
          <cell r="D311"/>
          <cell r="E311"/>
          <cell r="F311"/>
          <cell r="G311"/>
          <cell r="H311"/>
          <cell r="I311"/>
          <cell r="J311"/>
          <cell r="K311"/>
          <cell r="L311"/>
          <cell r="M311"/>
          <cell r="N311"/>
          <cell r="O311"/>
          <cell r="P311"/>
          <cell r="Q311"/>
          <cell r="R311"/>
          <cell r="S311"/>
          <cell r="T311"/>
          <cell r="U311"/>
        </row>
        <row r="312">
          <cell r="A312"/>
          <cell r="C312"/>
          <cell r="D312"/>
          <cell r="E312"/>
          <cell r="F312"/>
          <cell r="G312"/>
          <cell r="H312"/>
          <cell r="I312"/>
          <cell r="J312"/>
          <cell r="K312"/>
          <cell r="L312"/>
          <cell r="M312"/>
          <cell r="N312"/>
          <cell r="O312"/>
          <cell r="P312"/>
          <cell r="Q312"/>
          <cell r="R312"/>
          <cell r="S312"/>
          <cell r="T312"/>
          <cell r="U312"/>
        </row>
        <row r="313">
          <cell r="A313"/>
          <cell r="C313"/>
          <cell r="D313"/>
          <cell r="E313"/>
          <cell r="F313"/>
          <cell r="G313"/>
          <cell r="H313"/>
          <cell r="I313"/>
          <cell r="J313"/>
          <cell r="K313"/>
          <cell r="L313"/>
          <cell r="M313"/>
          <cell r="N313"/>
          <cell r="O313"/>
          <cell r="P313"/>
          <cell r="Q313"/>
          <cell r="R313"/>
          <cell r="S313"/>
          <cell r="T313"/>
          <cell r="U313"/>
        </row>
        <row r="314">
          <cell r="A314"/>
          <cell r="C314"/>
          <cell r="D314"/>
          <cell r="E314"/>
          <cell r="F314"/>
          <cell r="G314"/>
          <cell r="H314"/>
          <cell r="I314"/>
          <cell r="J314"/>
          <cell r="K314"/>
          <cell r="L314"/>
          <cell r="M314"/>
          <cell r="N314"/>
          <cell r="O314"/>
          <cell r="P314"/>
          <cell r="Q314"/>
          <cell r="R314"/>
          <cell r="S314"/>
          <cell r="T314"/>
          <cell r="U314"/>
        </row>
        <row r="315">
          <cell r="A315"/>
          <cell r="C315"/>
          <cell r="D315"/>
          <cell r="E315"/>
          <cell r="F315"/>
          <cell r="G315"/>
          <cell r="H315"/>
          <cell r="I315"/>
          <cell r="J315"/>
          <cell r="K315"/>
          <cell r="L315"/>
          <cell r="M315"/>
          <cell r="N315"/>
          <cell r="O315"/>
          <cell r="P315"/>
          <cell r="Q315"/>
          <cell r="R315"/>
          <cell r="S315"/>
          <cell r="T315"/>
          <cell r="U315"/>
        </row>
        <row r="316">
          <cell r="A316"/>
          <cell r="C316"/>
          <cell r="D316"/>
          <cell r="E316"/>
          <cell r="F316"/>
          <cell r="G316"/>
          <cell r="H316"/>
          <cell r="I316"/>
          <cell r="J316"/>
          <cell r="K316"/>
          <cell r="L316"/>
          <cell r="M316"/>
          <cell r="N316"/>
          <cell r="O316"/>
          <cell r="P316"/>
          <cell r="Q316"/>
          <cell r="R316"/>
          <cell r="S316"/>
          <cell r="T316"/>
          <cell r="U316"/>
        </row>
        <row r="317">
          <cell r="A317"/>
          <cell r="C317"/>
          <cell r="D317"/>
          <cell r="E317"/>
          <cell r="F317"/>
          <cell r="G317"/>
          <cell r="H317"/>
          <cell r="I317"/>
          <cell r="J317"/>
          <cell r="K317"/>
          <cell r="L317"/>
          <cell r="M317"/>
          <cell r="N317"/>
          <cell r="O317"/>
          <cell r="P317"/>
          <cell r="Q317"/>
          <cell r="R317"/>
          <cell r="S317"/>
          <cell r="T317"/>
          <cell r="U317"/>
        </row>
        <row r="318">
          <cell r="A318"/>
          <cell r="C318"/>
          <cell r="D318"/>
          <cell r="E318"/>
          <cell r="F318"/>
          <cell r="G318"/>
          <cell r="H318"/>
          <cell r="I318"/>
          <cell r="J318"/>
          <cell r="K318"/>
          <cell r="L318"/>
          <cell r="M318"/>
          <cell r="N318"/>
          <cell r="O318"/>
          <cell r="P318"/>
          <cell r="Q318"/>
          <cell r="R318"/>
          <cell r="S318"/>
          <cell r="T318"/>
          <cell r="U318"/>
        </row>
        <row r="319">
          <cell r="A319"/>
          <cell r="C319"/>
          <cell r="D319"/>
          <cell r="E319"/>
          <cell r="F319"/>
          <cell r="G319"/>
          <cell r="H319"/>
          <cell r="I319"/>
          <cell r="J319"/>
          <cell r="K319"/>
          <cell r="L319"/>
          <cell r="M319"/>
          <cell r="N319"/>
          <cell r="O319"/>
          <cell r="P319"/>
          <cell r="Q319"/>
          <cell r="R319"/>
          <cell r="S319"/>
          <cell r="T319"/>
          <cell r="U319"/>
        </row>
        <row r="320">
          <cell r="A320"/>
          <cell r="C320"/>
          <cell r="D320"/>
          <cell r="E320"/>
          <cell r="F320"/>
          <cell r="G320"/>
          <cell r="H320"/>
          <cell r="I320"/>
          <cell r="J320"/>
          <cell r="K320"/>
          <cell r="L320"/>
          <cell r="M320"/>
          <cell r="N320"/>
          <cell r="O320"/>
          <cell r="P320"/>
          <cell r="Q320"/>
          <cell r="R320"/>
          <cell r="S320"/>
          <cell r="T320"/>
          <cell r="U320"/>
        </row>
        <row r="321">
          <cell r="A321"/>
          <cell r="C321"/>
          <cell r="D321"/>
          <cell r="E321"/>
          <cell r="F321"/>
          <cell r="G321"/>
          <cell r="H321"/>
          <cell r="I321"/>
          <cell r="J321"/>
          <cell r="K321"/>
          <cell r="L321"/>
          <cell r="M321"/>
          <cell r="N321"/>
          <cell r="O321"/>
          <cell r="P321"/>
          <cell r="Q321"/>
          <cell r="R321"/>
          <cell r="S321"/>
          <cell r="T321"/>
          <cell r="U321"/>
        </row>
        <row r="322">
          <cell r="A322"/>
          <cell r="C322"/>
          <cell r="D322"/>
          <cell r="E322"/>
          <cell r="F322"/>
          <cell r="G322"/>
          <cell r="H322"/>
          <cell r="I322"/>
          <cell r="J322"/>
          <cell r="K322"/>
          <cell r="L322"/>
          <cell r="M322"/>
          <cell r="N322"/>
          <cell r="O322"/>
          <cell r="P322"/>
          <cell r="Q322"/>
          <cell r="R322"/>
          <cell r="S322"/>
          <cell r="T322"/>
          <cell r="U322"/>
        </row>
        <row r="323">
          <cell r="A323"/>
          <cell r="C323"/>
          <cell r="D323"/>
          <cell r="E323"/>
          <cell r="F323"/>
          <cell r="G323"/>
          <cell r="H323"/>
          <cell r="I323"/>
          <cell r="J323"/>
          <cell r="K323"/>
          <cell r="L323"/>
          <cell r="M323"/>
          <cell r="N323"/>
          <cell r="O323"/>
          <cell r="P323"/>
          <cell r="Q323"/>
          <cell r="R323"/>
          <cell r="S323"/>
          <cell r="T323"/>
          <cell r="U323"/>
        </row>
        <row r="324">
          <cell r="A324"/>
          <cell r="C324"/>
          <cell r="D324"/>
          <cell r="E324"/>
          <cell r="F324"/>
          <cell r="G324"/>
          <cell r="H324"/>
          <cell r="I324"/>
          <cell r="J324"/>
          <cell r="K324"/>
          <cell r="L324"/>
          <cell r="M324"/>
          <cell r="N324"/>
          <cell r="O324"/>
          <cell r="P324"/>
          <cell r="Q324"/>
          <cell r="R324"/>
          <cell r="S324"/>
          <cell r="T324"/>
          <cell r="U324"/>
        </row>
        <row r="325">
          <cell r="A325"/>
          <cell r="C325"/>
          <cell r="D325"/>
          <cell r="E325"/>
          <cell r="F325"/>
          <cell r="G325"/>
          <cell r="H325"/>
          <cell r="I325"/>
          <cell r="J325"/>
          <cell r="K325"/>
          <cell r="L325"/>
          <cell r="M325"/>
          <cell r="N325"/>
          <cell r="O325"/>
          <cell r="P325"/>
          <cell r="Q325"/>
          <cell r="R325"/>
          <cell r="S325"/>
          <cell r="T325"/>
          <cell r="U325"/>
        </row>
        <row r="326">
          <cell r="A326"/>
          <cell r="C326"/>
          <cell r="D326"/>
          <cell r="E326"/>
          <cell r="F326"/>
          <cell r="G326"/>
          <cell r="H326"/>
          <cell r="I326"/>
          <cell r="J326"/>
          <cell r="K326"/>
          <cell r="L326"/>
          <cell r="M326"/>
          <cell r="N326"/>
          <cell r="O326"/>
          <cell r="P326"/>
          <cell r="Q326"/>
          <cell r="R326"/>
          <cell r="S326"/>
          <cell r="T326"/>
          <cell r="U326"/>
        </row>
        <row r="327">
          <cell r="A327"/>
          <cell r="C327"/>
          <cell r="D327"/>
          <cell r="E327"/>
          <cell r="F327"/>
          <cell r="G327"/>
          <cell r="H327"/>
          <cell r="I327"/>
          <cell r="J327"/>
          <cell r="K327"/>
          <cell r="L327"/>
          <cell r="M327"/>
          <cell r="N327"/>
          <cell r="O327"/>
          <cell r="P327"/>
          <cell r="Q327"/>
          <cell r="R327"/>
          <cell r="S327"/>
          <cell r="T327"/>
          <cell r="U327"/>
        </row>
        <row r="328">
          <cell r="A328"/>
          <cell r="C328"/>
          <cell r="D328"/>
          <cell r="E328"/>
          <cell r="F328"/>
          <cell r="G328"/>
          <cell r="H328"/>
          <cell r="I328"/>
          <cell r="J328"/>
          <cell r="K328"/>
          <cell r="L328"/>
          <cell r="M328"/>
          <cell r="N328"/>
          <cell r="O328"/>
          <cell r="P328"/>
          <cell r="Q328"/>
          <cell r="R328"/>
          <cell r="S328"/>
          <cell r="T328"/>
          <cell r="U328"/>
        </row>
        <row r="329">
          <cell r="A329"/>
          <cell r="C329"/>
          <cell r="D329"/>
          <cell r="E329"/>
          <cell r="F329"/>
          <cell r="G329"/>
          <cell r="H329"/>
          <cell r="I329"/>
          <cell r="J329"/>
          <cell r="K329"/>
          <cell r="L329"/>
          <cell r="M329"/>
          <cell r="N329"/>
          <cell r="O329"/>
          <cell r="P329"/>
          <cell r="Q329"/>
          <cell r="R329"/>
          <cell r="S329"/>
          <cell r="T329"/>
          <cell r="U329"/>
        </row>
        <row r="330">
          <cell r="A330"/>
          <cell r="C330"/>
          <cell r="D330"/>
          <cell r="E330"/>
          <cell r="F330"/>
          <cell r="G330"/>
          <cell r="H330"/>
          <cell r="I330"/>
          <cell r="J330"/>
          <cell r="K330"/>
          <cell r="L330"/>
          <cell r="M330"/>
          <cell r="N330"/>
          <cell r="O330"/>
          <cell r="P330"/>
          <cell r="Q330"/>
          <cell r="R330"/>
          <cell r="S330"/>
          <cell r="T330"/>
          <cell r="U330"/>
        </row>
        <row r="331">
          <cell r="A331"/>
          <cell r="C331"/>
          <cell r="D331"/>
          <cell r="E331"/>
          <cell r="F331"/>
          <cell r="G331"/>
          <cell r="H331"/>
          <cell r="I331"/>
          <cell r="J331"/>
          <cell r="K331"/>
          <cell r="L331"/>
          <cell r="M331"/>
          <cell r="N331"/>
          <cell r="O331"/>
          <cell r="P331"/>
          <cell r="Q331"/>
          <cell r="R331"/>
          <cell r="S331"/>
          <cell r="T331"/>
          <cell r="U331"/>
        </row>
        <row r="332">
          <cell r="A332"/>
          <cell r="C332"/>
          <cell r="D332"/>
          <cell r="E332"/>
          <cell r="F332"/>
          <cell r="G332"/>
          <cell r="H332"/>
          <cell r="I332"/>
          <cell r="J332"/>
          <cell r="K332"/>
          <cell r="L332"/>
          <cell r="M332"/>
          <cell r="N332"/>
          <cell r="O332"/>
          <cell r="P332"/>
          <cell r="Q332"/>
          <cell r="R332"/>
          <cell r="S332"/>
          <cell r="T332"/>
          <cell r="U332"/>
        </row>
        <row r="333">
          <cell r="A333"/>
          <cell r="C333"/>
          <cell r="D333"/>
          <cell r="E333"/>
          <cell r="F333"/>
          <cell r="G333"/>
          <cell r="H333"/>
          <cell r="I333"/>
          <cell r="J333"/>
          <cell r="K333"/>
          <cell r="L333"/>
          <cell r="M333"/>
          <cell r="N333"/>
          <cell r="O333"/>
          <cell r="P333"/>
          <cell r="Q333"/>
          <cell r="R333"/>
          <cell r="S333"/>
          <cell r="T333"/>
          <cell r="U333"/>
        </row>
        <row r="334">
          <cell r="A334"/>
          <cell r="C334"/>
          <cell r="D334"/>
          <cell r="E334"/>
          <cell r="F334"/>
          <cell r="G334"/>
          <cell r="H334"/>
          <cell r="I334"/>
          <cell r="J334"/>
          <cell r="K334"/>
          <cell r="L334"/>
          <cell r="M334"/>
          <cell r="N334"/>
          <cell r="O334"/>
          <cell r="P334"/>
          <cell r="Q334"/>
          <cell r="R334"/>
          <cell r="S334"/>
          <cell r="T334"/>
          <cell r="U334"/>
        </row>
        <row r="335">
          <cell r="A335"/>
          <cell r="C335"/>
          <cell r="D335"/>
          <cell r="E335"/>
          <cell r="F335"/>
          <cell r="G335"/>
          <cell r="H335"/>
          <cell r="I335"/>
          <cell r="J335"/>
          <cell r="K335"/>
          <cell r="L335"/>
          <cell r="M335"/>
          <cell r="N335"/>
          <cell r="O335"/>
          <cell r="P335"/>
          <cell r="Q335"/>
          <cell r="R335"/>
          <cell r="S335"/>
          <cell r="T335"/>
          <cell r="U335"/>
        </row>
        <row r="336">
          <cell r="A336"/>
          <cell r="C336"/>
          <cell r="D336"/>
          <cell r="E336"/>
          <cell r="F336"/>
          <cell r="G336"/>
          <cell r="H336"/>
          <cell r="I336"/>
          <cell r="J336"/>
          <cell r="K336"/>
          <cell r="L336"/>
          <cell r="M336"/>
          <cell r="N336"/>
          <cell r="O336"/>
          <cell r="P336"/>
          <cell r="Q336"/>
          <cell r="R336"/>
          <cell r="S336"/>
          <cell r="T336"/>
          <cell r="U336"/>
        </row>
        <row r="337">
          <cell r="A337"/>
          <cell r="C337"/>
          <cell r="D337"/>
          <cell r="E337"/>
          <cell r="F337"/>
          <cell r="G337"/>
          <cell r="H337"/>
          <cell r="I337"/>
          <cell r="J337"/>
          <cell r="K337"/>
          <cell r="L337"/>
          <cell r="M337"/>
          <cell r="N337"/>
          <cell r="O337"/>
          <cell r="P337"/>
          <cell r="Q337"/>
          <cell r="R337"/>
          <cell r="S337"/>
          <cell r="T337"/>
          <cell r="U337"/>
        </row>
        <row r="338">
          <cell r="A338"/>
          <cell r="C338"/>
          <cell r="D338"/>
          <cell r="E338"/>
          <cell r="F338"/>
          <cell r="G338"/>
          <cell r="H338"/>
          <cell r="I338"/>
          <cell r="J338"/>
          <cell r="K338"/>
          <cell r="L338"/>
          <cell r="M338"/>
          <cell r="N338"/>
          <cell r="O338"/>
          <cell r="P338"/>
          <cell r="Q338"/>
          <cell r="R338"/>
          <cell r="S338"/>
          <cell r="T338"/>
          <cell r="U338"/>
        </row>
        <row r="339">
          <cell r="A339"/>
          <cell r="C339"/>
          <cell r="D339"/>
          <cell r="E339"/>
          <cell r="F339"/>
          <cell r="G339"/>
          <cell r="H339"/>
          <cell r="I339"/>
          <cell r="J339"/>
          <cell r="K339"/>
          <cell r="L339"/>
          <cell r="M339"/>
          <cell r="N339"/>
          <cell r="O339"/>
          <cell r="P339"/>
          <cell r="Q339"/>
          <cell r="R339"/>
          <cell r="S339"/>
          <cell r="T339"/>
          <cell r="U339"/>
        </row>
        <row r="340">
          <cell r="A340"/>
          <cell r="C340"/>
          <cell r="D340"/>
          <cell r="E340"/>
          <cell r="F340"/>
          <cell r="G340"/>
          <cell r="H340"/>
          <cell r="I340"/>
          <cell r="J340"/>
          <cell r="K340"/>
          <cell r="L340"/>
          <cell r="M340"/>
          <cell r="N340"/>
          <cell r="O340"/>
          <cell r="P340"/>
          <cell r="Q340"/>
          <cell r="R340"/>
          <cell r="S340"/>
          <cell r="T340"/>
          <cell r="U340"/>
        </row>
        <row r="341">
          <cell r="A341"/>
          <cell r="C341"/>
          <cell r="D341"/>
          <cell r="E341"/>
          <cell r="F341"/>
          <cell r="G341"/>
          <cell r="H341"/>
          <cell r="I341"/>
          <cell r="J341"/>
          <cell r="K341"/>
          <cell r="L341"/>
          <cell r="M341"/>
          <cell r="N341"/>
          <cell r="O341"/>
          <cell r="P341"/>
          <cell r="Q341"/>
          <cell r="R341"/>
          <cell r="S341"/>
          <cell r="T341"/>
          <cell r="U341"/>
        </row>
        <row r="342">
          <cell r="A342"/>
          <cell r="C342"/>
          <cell r="D342"/>
          <cell r="E342"/>
          <cell r="F342"/>
          <cell r="G342"/>
          <cell r="H342"/>
          <cell r="I342"/>
          <cell r="J342"/>
          <cell r="K342"/>
          <cell r="L342"/>
          <cell r="M342"/>
          <cell r="N342"/>
          <cell r="O342"/>
          <cell r="P342"/>
          <cell r="Q342"/>
          <cell r="R342"/>
          <cell r="S342"/>
          <cell r="T342"/>
          <cell r="U342"/>
        </row>
        <row r="343">
          <cell r="A343"/>
          <cell r="C343"/>
          <cell r="D343"/>
          <cell r="E343"/>
          <cell r="F343"/>
          <cell r="G343"/>
          <cell r="H343"/>
          <cell r="I343"/>
          <cell r="J343"/>
          <cell r="K343"/>
          <cell r="L343"/>
          <cell r="M343"/>
          <cell r="N343"/>
          <cell r="O343"/>
          <cell r="P343"/>
          <cell r="Q343"/>
          <cell r="R343"/>
          <cell r="S343"/>
          <cell r="T343"/>
          <cell r="U343"/>
        </row>
        <row r="344">
          <cell r="A344"/>
          <cell r="C344"/>
          <cell r="D344"/>
          <cell r="E344"/>
          <cell r="F344"/>
          <cell r="G344"/>
          <cell r="H344"/>
          <cell r="I344"/>
          <cell r="J344"/>
          <cell r="K344"/>
          <cell r="L344"/>
          <cell r="M344"/>
          <cell r="N344"/>
          <cell r="O344"/>
          <cell r="P344"/>
          <cell r="Q344"/>
          <cell r="R344"/>
          <cell r="S344"/>
          <cell r="T344"/>
          <cell r="U344"/>
        </row>
        <row r="345">
          <cell r="A345"/>
          <cell r="C345"/>
          <cell r="D345"/>
          <cell r="E345"/>
          <cell r="F345"/>
          <cell r="G345"/>
          <cell r="H345"/>
          <cell r="I345"/>
          <cell r="J345"/>
          <cell r="K345"/>
          <cell r="L345"/>
          <cell r="M345"/>
          <cell r="N345"/>
          <cell r="O345"/>
          <cell r="P345"/>
          <cell r="Q345"/>
          <cell r="R345"/>
          <cell r="S345"/>
          <cell r="T345"/>
          <cell r="U345"/>
        </row>
        <row r="346">
          <cell r="A346"/>
          <cell r="C346"/>
          <cell r="D346"/>
          <cell r="E346"/>
          <cell r="F346"/>
          <cell r="G346"/>
          <cell r="H346"/>
          <cell r="I346"/>
          <cell r="J346"/>
          <cell r="K346"/>
          <cell r="L346"/>
          <cell r="M346"/>
          <cell r="N346"/>
          <cell r="O346"/>
          <cell r="P346"/>
          <cell r="Q346"/>
          <cell r="R346"/>
          <cell r="S346"/>
          <cell r="T346"/>
          <cell r="U346"/>
        </row>
        <row r="347">
          <cell r="A347"/>
          <cell r="C347"/>
          <cell r="D347"/>
          <cell r="E347"/>
          <cell r="F347"/>
          <cell r="G347"/>
          <cell r="H347"/>
          <cell r="I347"/>
          <cell r="J347"/>
          <cell r="K347"/>
          <cell r="L347"/>
          <cell r="M347"/>
          <cell r="N347"/>
          <cell r="O347"/>
          <cell r="P347"/>
          <cell r="Q347"/>
          <cell r="R347"/>
          <cell r="S347"/>
          <cell r="T347"/>
          <cell r="U347"/>
        </row>
        <row r="348">
          <cell r="A348"/>
          <cell r="C348"/>
          <cell r="D348"/>
          <cell r="E348"/>
          <cell r="F348"/>
          <cell r="G348"/>
          <cell r="H348"/>
          <cell r="I348"/>
          <cell r="J348"/>
          <cell r="K348"/>
          <cell r="L348"/>
          <cell r="M348"/>
          <cell r="N348"/>
          <cell r="O348"/>
          <cell r="P348"/>
          <cell r="Q348"/>
          <cell r="R348"/>
          <cell r="S348"/>
          <cell r="T348"/>
          <cell r="U348"/>
        </row>
        <row r="349">
          <cell r="A349"/>
          <cell r="C349"/>
          <cell r="D349"/>
          <cell r="E349"/>
          <cell r="F349"/>
          <cell r="G349"/>
          <cell r="H349"/>
          <cell r="I349"/>
          <cell r="J349"/>
          <cell r="K349"/>
          <cell r="L349"/>
          <cell r="M349"/>
          <cell r="N349"/>
          <cell r="O349"/>
          <cell r="P349"/>
          <cell r="Q349"/>
          <cell r="R349"/>
          <cell r="S349"/>
          <cell r="T349"/>
          <cell r="U349"/>
        </row>
        <row r="350">
          <cell r="A350"/>
          <cell r="C350"/>
          <cell r="D350"/>
          <cell r="E350"/>
          <cell r="F350"/>
          <cell r="G350"/>
          <cell r="H350"/>
          <cell r="I350"/>
          <cell r="J350"/>
          <cell r="K350"/>
          <cell r="L350"/>
          <cell r="M350"/>
          <cell r="N350"/>
          <cell r="O350"/>
          <cell r="P350"/>
          <cell r="Q350"/>
          <cell r="R350"/>
          <cell r="S350"/>
          <cell r="T350"/>
          <cell r="U350"/>
        </row>
        <row r="351">
          <cell r="A351"/>
          <cell r="C351"/>
          <cell r="D351"/>
          <cell r="E351"/>
          <cell r="F351"/>
          <cell r="G351"/>
          <cell r="H351"/>
          <cell r="I351"/>
          <cell r="J351"/>
          <cell r="K351"/>
          <cell r="L351"/>
          <cell r="M351"/>
          <cell r="N351"/>
          <cell r="O351"/>
          <cell r="P351"/>
          <cell r="Q351"/>
          <cell r="R351"/>
          <cell r="S351"/>
          <cell r="T351"/>
          <cell r="U351"/>
        </row>
        <row r="352">
          <cell r="A352"/>
          <cell r="C352"/>
          <cell r="D352"/>
          <cell r="E352"/>
          <cell r="F352"/>
          <cell r="G352"/>
          <cell r="H352"/>
          <cell r="I352"/>
          <cell r="J352"/>
          <cell r="K352"/>
          <cell r="L352"/>
          <cell r="M352"/>
          <cell r="N352"/>
          <cell r="O352"/>
          <cell r="P352"/>
          <cell r="Q352"/>
          <cell r="R352"/>
          <cell r="S352"/>
          <cell r="T352"/>
          <cell r="U352"/>
        </row>
        <row r="353">
          <cell r="A353"/>
          <cell r="C353"/>
          <cell r="D353"/>
          <cell r="E353"/>
          <cell r="F353"/>
          <cell r="G353"/>
          <cell r="H353"/>
          <cell r="I353"/>
          <cell r="J353"/>
          <cell r="K353"/>
          <cell r="L353"/>
          <cell r="M353"/>
          <cell r="N353"/>
          <cell r="O353"/>
          <cell r="P353"/>
          <cell r="Q353"/>
          <cell r="R353"/>
          <cell r="S353"/>
          <cell r="T353"/>
          <cell r="U353"/>
        </row>
        <row r="354">
          <cell r="A354"/>
          <cell r="C354"/>
          <cell r="D354"/>
          <cell r="E354"/>
          <cell r="F354"/>
          <cell r="G354"/>
          <cell r="H354"/>
          <cell r="I354"/>
          <cell r="J354"/>
          <cell r="K354"/>
          <cell r="L354"/>
          <cell r="M354"/>
          <cell r="N354"/>
          <cell r="O354"/>
          <cell r="P354"/>
          <cell r="Q354"/>
          <cell r="R354"/>
          <cell r="S354"/>
          <cell r="T354"/>
          <cell r="U354"/>
        </row>
        <row r="355">
          <cell r="A355"/>
          <cell r="C355"/>
          <cell r="D355"/>
          <cell r="E355"/>
          <cell r="F355"/>
          <cell r="G355"/>
          <cell r="H355"/>
          <cell r="I355"/>
          <cell r="J355"/>
          <cell r="K355"/>
          <cell r="L355"/>
          <cell r="M355"/>
          <cell r="N355"/>
          <cell r="O355"/>
          <cell r="P355"/>
          <cell r="Q355"/>
          <cell r="R355"/>
          <cell r="S355"/>
          <cell r="T355"/>
          <cell r="U355"/>
        </row>
        <row r="356">
          <cell r="A356"/>
          <cell r="C356"/>
          <cell r="D356"/>
          <cell r="E356"/>
          <cell r="F356"/>
          <cell r="G356"/>
          <cell r="H356"/>
          <cell r="I356"/>
          <cell r="J356"/>
          <cell r="K356"/>
          <cell r="L356"/>
          <cell r="M356"/>
          <cell r="N356"/>
          <cell r="O356"/>
          <cell r="P356"/>
          <cell r="Q356"/>
          <cell r="R356"/>
          <cell r="S356"/>
          <cell r="T356"/>
          <cell r="U356"/>
        </row>
      </sheetData>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JXKXWZYHXHYBFYGRRCEFORS3JI">
      <xxl21:absoluteUrl r:id="rId2"/>
      <xxl21:relativeUrl r:id="rId3"/>
    </xxl21:alternateUrls>
    <sheetNames>
      <sheetName val="PRIORIZADOS"/>
      <sheetName val="DEMANDA"/>
      <sheetName val="MESAS DIRECTIVOS IE"/>
      <sheetName val="MANUALES PRIV"/>
      <sheetName val="MANUALES DE CONVIVENCIA IED"/>
      <sheetName val="PEGRCC Y GOBIERNOS ESCOLARES"/>
      <sheetName val="OPERACIONES-ACTIVIDADES"/>
      <sheetName val="COLEGIOS"/>
      <sheetName val="LISTAS"/>
      <sheetName val="ACTIVIDADES  "/>
      <sheetName val="Hoja1"/>
      <sheetName val="MANUALES OFI PRIV"/>
    </sheetNames>
    <sheetDataSet>
      <sheetData sheetId="0">
        <row r="1">
          <cell r="B1"/>
          <cell r="C1"/>
          <cell r="D1"/>
          <cell r="E1"/>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 USAQUÉN</v>
          </cell>
          <cell r="G5"/>
          <cell r="H5"/>
          <cell r="I5"/>
          <cell r="J5"/>
          <cell r="K5"/>
          <cell r="L5"/>
          <cell r="M5"/>
          <cell r="N5"/>
          <cell r="O5"/>
          <cell r="P5"/>
          <cell r="Q5"/>
          <cell r="R5"/>
          <cell r="S5"/>
          <cell r="T5"/>
          <cell r="U5"/>
        </row>
        <row r="6">
          <cell r="A6" t="str">
            <v xml:space="preserve">Codigo Unico </v>
          </cell>
          <cell r="B6" t="str">
            <v>NÚMERO DE EE
(Enumere los EE que serán visitados en el período)</v>
          </cell>
          <cell r="C6" t="str">
            <v>LOCALIDAD</v>
          </cell>
          <cell r="D6" t="str">
            <v xml:space="preserve">SECTOR DEL ESTABLECIMIENTO
(Indicar si es EE es Oficial o Privado)  </v>
          </cell>
          <cell r="E6" t="str">
            <v xml:space="preserve">TIPO DE ESTABLECIMIENTO EDUCATIVO
(Indique si el EE objeto de la intervención es: EPBM, IETDH, Educación Inicial o Educación de Jóvenes y Adultos) </v>
          </cell>
          <cell r="F6" t="str">
            <v>NOMBRE DEL ESTABLECIMIENTO EDUCATIVO
(Indique el nombre del EE, como aparece en la licencia de funcionamiento priorizado para realizar la visita o ejecutar otro tipo de actuaciones según los criterios definidos)</v>
          </cell>
          <cell r="G6" t="str">
            <v xml:space="preserve">SEDE ATENDIDA  (Indique el nombre de la sede del EE en donde se ejecutará la visita y/o actuación) </v>
          </cell>
          <cell r="H6" t="str">
            <v>CRITERIO DE PRIORIZACIÓN
(Seleccione el criterio por el cual fue priorizado el EE, para realizar esta intervención, según la lista desplegable)</v>
          </cell>
          <cell r="I6" t="str">
            <v>OPERACIÓN 
(Seleccione la operación de la cual hacen parte las actividades a desarrollar en el EE priorizado)</v>
          </cell>
          <cell r="J6" t="str">
            <v xml:space="preserve">ACTIVIDAD (ES) A DESARROLLAR
(Indique la actividad a desarrollar según la operación)
</v>
          </cell>
          <cell r="K6" t="str">
            <v xml:space="preserve">FUNCIONARIO RESPONSABLE
(Nombre y apellido del responsable de ejecutar la actividad) </v>
          </cell>
          <cell r="L6" t="str">
            <v>FUNCIONARIO (S)
CORRESPONSABLE/(S)
(Nombre y apellido del coresponsable de ejecutar la actividad)</v>
          </cell>
          <cell r="M6" t="str">
            <v>FECHA PROGRAMADA
(Fecha en la que se programa realizar la visita u otra actuación, indicar DD/MM/AA)</v>
          </cell>
          <cell r="N6" t="str">
            <v xml:space="preserve">FECHA REAL DE INICIO DE LA ACTUACIÓN
(Fecha en la que se llevó a cabo la visita o actuación DD/MM/AA) </v>
          </cell>
          <cell r="O6" t="str">
            <v xml:space="preserve">FECHA REAL FIN DE LA ACTUACIÓN
(Fecha en la que se llevó a cabo la visita o actuación DD/MM/AA) </v>
          </cell>
          <cell r="P6" t="str">
            <v xml:space="preserve"> ACTUACIÓN REALIZADA
(Indique el tipo de actuación que se realizó en el EE, artículo 24 de la Resolución 1983 de 2023)</v>
          </cell>
          <cell r="Q6" t="str">
            <v>UBICACIÓN EVIDENCIA DOCUMENTAL 
(Colocar el link de ubicación directa de la evidencia correspondiente)</v>
          </cell>
          <cell r="R6" t="str">
            <v>SITUACIÓN ENCONTRADA
(Con base en lo consignado en la evidencia documental que corresponda, resuma la situación tratada o encontrada en la actuación realizada, particularizando los hehos relevantes observados en el EE)</v>
          </cell>
          <cell r="S6" t="str">
            <v xml:space="preserve">CONCLUSIONES Y/O COMPROMISOS ADQUIRIDOS (Relacione las acciones de mejora, medidas a implementar, estrategias y/o compromisos adquiridos por el EE, tendientes a resolver la situación encontrada) </v>
          </cell>
          <cell r="T6" t="str">
            <v xml:space="preserve">PMI (Requiere la elaboración, aprobación y ejecución de un Plan de Mejoramiento Institucional que permita subsanar la situación encontrada y mejore la prestación del servicio educativo) </v>
          </cell>
          <cell r="U6" t="str">
            <v>ACCIONES DE SEGUIMIENTO Y/O VERIFICACIÓN
(Señale la acción de el seguimiento y/o verificación realizada o por realizar sobre los compromisos o PMI acordados)</v>
          </cell>
        </row>
        <row r="7">
          <cell r="A7">
            <v>2543</v>
          </cell>
          <cell r="B7">
            <v>1</v>
          </cell>
          <cell r="C7" t="str">
            <v>USAQUÉN</v>
          </cell>
          <cell r="D7" t="str">
            <v>PRIVADO</v>
          </cell>
          <cell r="E7" t="str">
            <v>EPBM</v>
          </cell>
          <cell r="F7" t="str">
            <v>COLEGIO_ALFRED_MARSHALL</v>
          </cell>
          <cell r="G7" t="str">
            <v>COLEGIO ALFRED MARSHALL</v>
          </cell>
          <cell r="H7" t="str">
            <v>Autoevaluación Institucional y Pruebas SABER 11</v>
          </cell>
          <cell r="I7" t="str">
            <v>SEGUIMIENTO_Y_SUPERVISIÓN.</v>
          </cell>
          <cell r="J7" t="str">
            <v>Realizar visitas para verificar la información registrada sobre la autoevaluación institucional en el aplicativo EVI, a los establecimientos de educación formal no oficial.</v>
          </cell>
          <cell r="K7" t="str">
            <v>MARTHA LUCIA OLAYA VARGAS</v>
          </cell>
          <cell r="L7" t="str">
            <v>MARIA TERESA GAVIRIA LOZANO</v>
          </cell>
          <cell r="M7">
            <v>45771</v>
          </cell>
          <cell r="N7">
            <v>45771</v>
          </cell>
          <cell r="O7">
            <v>45771</v>
          </cell>
          <cell r="P7" t="str">
            <v>Visitas de evaluación con fines de seguimiento</v>
          </cell>
          <cell r="Q7" t="str">
            <v>ACTA VISITA ALFRED MARSHALL</v>
          </cell>
          <cell r="R7" t="str">
            <v xml:space="preserve">Se evidenció que los docentes están vinculados por contratos de prestación de servicios.
</v>
          </cell>
          <cell r="S7" t="str">
            <v>Realizar vinculación de los docentes mediante relación laboral con la Institución e incorporar como acción del plan de mejoramiento institucional.</v>
          </cell>
          <cell r="T7" t="str">
            <v>Si</v>
          </cell>
          <cell r="U7" t="str">
            <v>Se verificará que la institución modifique sus contratos laborales con los docentes, de acuerdo con su plan de mejora: 15/07/2025</v>
          </cell>
        </row>
        <row r="8">
          <cell r="A8">
            <v>2544</v>
          </cell>
          <cell r="B8"/>
          <cell r="C8" t="str">
            <v>USAQUÉN</v>
          </cell>
          <cell r="D8" t="str">
            <v>PRIVADO</v>
          </cell>
          <cell r="E8" t="str">
            <v>EPBM</v>
          </cell>
          <cell r="F8" t="str">
            <v>COLEGIO_ALFRED_MARSHALL</v>
          </cell>
          <cell r="G8" t="str">
            <v>COLEGIO ALFRED MARSHALL</v>
          </cell>
          <cell r="H8" t="str">
            <v>Autoevaluación Institucional y Pruebas SABER 11</v>
          </cell>
          <cell r="I8" t="str">
            <v>SEGUIMIENTO_Y_SUPERVISIÓN.</v>
          </cell>
          <cell r="J8" t="str">
            <v>Proponer estrategias en la formulación, verificar su elaboración y realizar seguimiento semestral al desarrollo de  las acciones establecidas en los planes de mejoramiento por pruebas SABER 11 de los establecimientos de educación formal.</v>
          </cell>
          <cell r="K8" t="str">
            <v>MARTHA LUCIA OLAYA VARGAS</v>
          </cell>
          <cell r="L8" t="str">
            <v>MARIA TERESA GAVIRIA LOZANO</v>
          </cell>
          <cell r="M8">
            <v>45771</v>
          </cell>
          <cell r="N8">
            <v>45771</v>
          </cell>
          <cell r="O8">
            <v>45771</v>
          </cell>
          <cell r="P8" t="str">
            <v>Visitas de evaluación con fines de seguimiento</v>
          </cell>
          <cell r="Q8" t="str">
            <v>ACTA VISITA ALFRED MARSHALL</v>
          </cell>
          <cell r="R8" t="str">
            <v>Realizaron plan de mejora por áreas, a partir de 5 fases: Diagnóstico y evaluación;  Diseño de estrategias de intervención; Implementación y seguimiento; Evaluación y ajustes y Preparación para el día de la prueba.
A partir del mes de mayo inician las fases de implementación y evaluación, para realizar los ajustes a partir del mes de junio.</v>
          </cell>
          <cell r="S8" t="str">
            <v>Realizar ajuste al Plan de estudios y al curriculum e incorporar como acción del plan de mejoramiento institucional.</v>
          </cell>
          <cell r="T8" t="str">
            <v>Si</v>
          </cell>
          <cell r="U8" t="str">
            <v>Revisar el ajuste al Plan de estudios y el curriculum del grado 11, de acuerdo con el plan de mejora: 17/07/2025</v>
          </cell>
        </row>
        <row r="9">
          <cell r="A9">
            <v>2545</v>
          </cell>
          <cell r="B9"/>
          <cell r="C9" t="str">
            <v>USAQUÉN</v>
          </cell>
          <cell r="D9" t="str">
            <v>PRIVADO</v>
          </cell>
          <cell r="E9" t="str">
            <v>EPBM</v>
          </cell>
          <cell r="F9" t="str">
            <v>COLEGIO_ALFRED_MARSHALL</v>
          </cell>
          <cell r="G9" t="str">
            <v>COLEGIO ALFRED MARSHALL</v>
          </cell>
          <cell r="H9" t="str">
            <v>Autoevaluación Institucional y Pruebas SABER 11</v>
          </cell>
          <cell r="I9" t="str">
            <v>SEGUIMIENTO_Y_SUPERVISIÓN.</v>
          </cell>
          <cell r="J9" t="str">
            <v xml:space="preserve">Verificar la implementación por parte de los colegios, de acciones realizadas para la prevención y atención de las situaciones de convivencia en el entorno escolar, según lo establecido en la Directiva 01 de 2022 del MEN. </v>
          </cell>
          <cell r="K9" t="str">
            <v>MARTHA LUCIA OLAYA VARGAS</v>
          </cell>
          <cell r="L9" t="str">
            <v>MARIA TERESA GAVIRIA LOZANO</v>
          </cell>
          <cell r="M9">
            <v>45771</v>
          </cell>
          <cell r="N9">
            <v>45771</v>
          </cell>
          <cell r="O9">
            <v>45771</v>
          </cell>
          <cell r="P9" t="str">
            <v>Visitas de evaluación con fines de seguimiento</v>
          </cell>
          <cell r="Q9" t="str">
            <v>ACTA VISITA ALFRED MARSHALL</v>
          </cell>
          <cell r="R9" t="str">
            <v>Tienen definido el comité de convivencia y la ruta de atención integral de cada una de las situaciones de convivencia escolar, sin embargo no ha sido socializado con padres. No se han presentado situaciones que requieran el reporte
Realizan la consulta en línea de antecedentes penales y requerimientos judiciales de la Policia Nacional cada 4 meses para elpersonal administrativo y docente.</v>
          </cell>
          <cell r="S9" t="str">
            <v>Socializar a los padres de familia la ruta de atención y los protocolos para la atención de situaciones de convivencia</v>
          </cell>
          <cell r="T9" t="str">
            <v>Si</v>
          </cell>
          <cell r="U9" t="str">
            <v>Realizar Escuela de Padres de Familia, de acuerdo con el plan de mejora: 15/07/2025</v>
          </cell>
        </row>
        <row r="10">
          <cell r="A10">
            <v>2546</v>
          </cell>
          <cell r="B10"/>
          <cell r="C10" t="str">
            <v>USAQUÉN</v>
          </cell>
          <cell r="D10" t="str">
            <v>PRIVADO</v>
          </cell>
          <cell r="E10" t="str">
            <v>EPBM</v>
          </cell>
          <cell r="F10" t="str">
            <v>COLEGIO_ALFRED_MARSHALL</v>
          </cell>
          <cell r="G10" t="str">
            <v>COLEGIO ALFRED MARSHALL</v>
          </cell>
          <cell r="H10" t="str">
            <v>Autoevaluación Institucional y Pruebas SABER 11</v>
          </cell>
          <cell r="I10" t="str">
            <v>SEGUIMIENTO_Y_SUPERVISIÓN.</v>
          </cell>
          <cell r="J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 t="str">
            <v>MARTHA LUCIA OLAYA VARGAS</v>
          </cell>
          <cell r="L10" t="str">
            <v>MARIA TERESA GAVIRIA LOZANO</v>
          </cell>
          <cell r="M10">
            <v>45771</v>
          </cell>
          <cell r="N10">
            <v>45771</v>
          </cell>
          <cell r="O10">
            <v>45771</v>
          </cell>
          <cell r="P10" t="str">
            <v>Visitas de evaluación con fines de seguimiento</v>
          </cell>
          <cell r="Q10" t="str">
            <v>ACTA VISITA ALFRED MARSHALL</v>
          </cell>
          <cell r="R10" t="str">
            <v>La Instución no cuenta con estudiantes con discapacidad, transtornos del aprendizaje o talentos excepcionales, por lo que no cuenta con Planes Individuales de Ajustes Razonables - PIAR.</v>
          </cell>
          <cell r="S10" t="str">
            <v>Debe incluir en el PEI y el Manual de Convivencia lo definido en el Decreto 1421 de 2017, frente a la elaboración, actualización y desarrollo de los Planes Individuales de Ajustes Razonables - PIAR</v>
          </cell>
          <cell r="T10" t="str">
            <v>Si</v>
          </cell>
          <cell r="U10" t="str">
            <v>Revisar la inclusión de este ítem en el Manual de Convivencia, de acuerdo con el plan de mejora: 15/07/2025</v>
          </cell>
        </row>
        <row r="11">
          <cell r="A11">
            <v>2547</v>
          </cell>
          <cell r="B11"/>
          <cell r="C11" t="str">
            <v>USAQUÉN</v>
          </cell>
          <cell r="D11" t="str">
            <v>PRIVADO</v>
          </cell>
          <cell r="E11" t="str">
            <v>EPBM</v>
          </cell>
          <cell r="F11" t="str">
            <v>COLEGIO_ALFRED_MARSHALL</v>
          </cell>
          <cell r="G11" t="str">
            <v>COLEGIO ALFRED MARSHALL</v>
          </cell>
          <cell r="H11" t="str">
            <v>Autoevaluación Institucional y Pruebas SABER 11</v>
          </cell>
          <cell r="I11" t="str">
            <v>EVALUACIÓN_CON_FINES_DE_MEJORAMIENTO.</v>
          </cell>
          <cell r="J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 t="str">
            <v>MARTHA LUCIA OLAYA VARGAS</v>
          </cell>
          <cell r="L11" t="str">
            <v>MARIA TERESA GAVIRIA LOZANO</v>
          </cell>
          <cell r="M11">
            <v>45771</v>
          </cell>
          <cell r="N11">
            <v>45771</v>
          </cell>
          <cell r="O11">
            <v>45771</v>
          </cell>
          <cell r="P11" t="str">
            <v>Visitas de evaluación con fines de mejoramiento</v>
          </cell>
          <cell r="Q11" t="str">
            <v>ACTA VISITA ALFRED MARSHALL</v>
          </cell>
          <cell r="R11" t="str">
            <v>Cuentan con el Manual de Convivencia del año anterior 2024, el cual se aprobó y socializó de acuerdo con la normatividad vigente. 
Para el año 2025 aun esta en ajustes.</v>
          </cell>
          <cell r="S11" t="str">
            <v>Actualizar el Manual de convivencia anualmente y enviar a la Dirección Local de Educación de la Localidad de Usaquén.</v>
          </cell>
          <cell r="T11" t="str">
            <v>Si</v>
          </cell>
          <cell r="U11" t="str">
            <v>Verificar la actualización del Manual de convivencia para el año 2025, de acuerdo con el Plan de mejora: 15/07/2025</v>
          </cell>
        </row>
        <row r="12">
          <cell r="A12">
            <v>2548</v>
          </cell>
          <cell r="B12"/>
          <cell r="C12" t="str">
            <v>USAQUÉN</v>
          </cell>
          <cell r="D12" t="str">
            <v>PRIVADO</v>
          </cell>
          <cell r="E12" t="str">
            <v>EPBM</v>
          </cell>
          <cell r="F12" t="str">
            <v>COLEGIO_ALFRED_MARSHALL</v>
          </cell>
          <cell r="G12" t="str">
            <v>COLEGIO ALFRED MARSHALL</v>
          </cell>
          <cell r="H12" t="str">
            <v>Autoevaluación Institucional y Pruebas SABER 11</v>
          </cell>
          <cell r="I12" t="str">
            <v>EVALUACIÓN_CON_FINES_DE_MEJORAMIENTO.</v>
          </cell>
          <cell r="J12" t="str">
            <v>Revisar la actualización, socialización e implementación del Sistema Institucional de Evaluación de Estudiantes - SIEE, en articulación con la actualización del PEI y la normatividad vigente.</v>
          </cell>
          <cell r="K12" t="str">
            <v>MARTHA LUCIA OLAYA VARGAS</v>
          </cell>
          <cell r="L12" t="str">
            <v>MARIA TERESA GAVIRIA LOZANO</v>
          </cell>
          <cell r="M12">
            <v>45771</v>
          </cell>
          <cell r="N12">
            <v>45771</v>
          </cell>
          <cell r="O12">
            <v>45771</v>
          </cell>
          <cell r="P12" t="str">
            <v>Visitas de evaluación con fines de mejoramiento</v>
          </cell>
          <cell r="Q12" t="str">
            <v>ACTA VISITA ALFRED MARSHALL</v>
          </cell>
          <cell r="R12" t="str">
            <v xml:space="preserve">Cuenta con el SIEE actualizado, implementado y socializado a los padres de familia.
Tiene una concepción de evaluación formativa, donde cada trabajo o actividad es una secuencia que le permite al estudiante la oportunidad constante de mejora.
</v>
          </cell>
          <cell r="S12" t="str">
            <v>Se debe mantener esta actividad de actualización, implementación y socialización del SIEE</v>
          </cell>
          <cell r="T12" t="str">
            <v>No</v>
          </cell>
          <cell r="U12" t="str">
            <v>Se hará verificación una vez se presente alguna queja frente a este tema.</v>
          </cell>
        </row>
        <row r="13">
          <cell r="A13">
            <v>2549</v>
          </cell>
          <cell r="B13"/>
          <cell r="C13" t="str">
            <v>USAQUÉN</v>
          </cell>
          <cell r="D13" t="str">
            <v>PRIVADO</v>
          </cell>
          <cell r="E13" t="str">
            <v>EPBM</v>
          </cell>
          <cell r="F13" t="str">
            <v>COLEGIO_ALFRED_MARSHALL</v>
          </cell>
          <cell r="G13" t="str">
            <v>COLEGIO ALFRED MARSHALL</v>
          </cell>
          <cell r="H13" t="str">
            <v>Autoevaluación Institucional y Pruebas SABER 11</v>
          </cell>
          <cell r="I13" t="str">
            <v>EVALUACIÓN_CON_FINES_DE_MEJORAMIENTO.</v>
          </cell>
          <cell r="J13" t="str">
            <v>Revisar el calendario escolar, jornada escolar, la intensidad horaria mínima anual en cada nivel y las modificaciones que se realicen al mismo, de acuerdo con lo previsto en la normatividad vigente.</v>
          </cell>
          <cell r="K13" t="str">
            <v>MARTHA LUCIA OLAYA VARGAS</v>
          </cell>
          <cell r="L13" t="str">
            <v>MARIA TERESA GAVIRIA LOZANO</v>
          </cell>
          <cell r="M13">
            <v>45771</v>
          </cell>
          <cell r="N13">
            <v>45771</v>
          </cell>
          <cell r="O13">
            <v>45771</v>
          </cell>
          <cell r="P13" t="str">
            <v>Visitas de evaluación con fines de mejoramiento</v>
          </cell>
          <cell r="Q13" t="str">
            <v>ACTA VISITA ALFRED MARSHALL</v>
          </cell>
          <cell r="R13" t="str">
            <v>El calendario escolar da cuenta del cumplimiento de intensidad horaria mínima por jornada definida para cada ciclo, de acuerdo con la normatividad.</v>
          </cell>
          <cell r="S13" t="str">
            <v>Se debe continuar implementando el calendario aprobado y socializado</v>
          </cell>
          <cell r="T13" t="str">
            <v>No</v>
          </cell>
          <cell r="U13" t="str">
            <v>Se revisará una vez se presente una novedad frente a calendario escolar</v>
          </cell>
        </row>
        <row r="14">
          <cell r="A14">
            <v>2550</v>
          </cell>
          <cell r="B14"/>
          <cell r="C14" t="str">
            <v>USAQUÉN</v>
          </cell>
          <cell r="D14" t="str">
            <v>PRIVADO</v>
          </cell>
          <cell r="E14" t="str">
            <v>EPBM</v>
          </cell>
          <cell r="F14" t="str">
            <v>COLEGIO_ALFRED_MARSHALL</v>
          </cell>
          <cell r="G14" t="str">
            <v>COLEGIO ALFRED MARSHALL</v>
          </cell>
          <cell r="H14" t="str">
            <v>Autoevaluación Institucional y Pruebas SABER 11</v>
          </cell>
          <cell r="I14" t="str">
            <v>EVALUACIÓN_CON_FINES_DE_MEJORAMIENTO.</v>
          </cell>
          <cell r="J14" t="str">
            <v>Verificar el funcionamiento del Gobierno Escolar e instancias de participación con base en la información sobre conformación reportada por la institución educativa.</v>
          </cell>
          <cell r="K14" t="str">
            <v>MARTHA LUCIA OLAYA VARGAS</v>
          </cell>
          <cell r="L14" t="str">
            <v>MARIA TERESA GAVIRIA LOZANO</v>
          </cell>
          <cell r="M14">
            <v>45771</v>
          </cell>
          <cell r="N14">
            <v>45771</v>
          </cell>
          <cell r="O14">
            <v>45771</v>
          </cell>
          <cell r="P14" t="str">
            <v>Visitas de evaluación con fines de mejoramiento</v>
          </cell>
          <cell r="Q14" t="str">
            <v>ACTA VISITA ALFRED MARSHALL</v>
          </cell>
          <cell r="R14" t="str">
            <v>Esta conformado el Gobierno escolar y realizan las reuniones de acuedo con la normatividad.</v>
          </cell>
          <cell r="S14" t="str">
            <v>Continuar con esta práctica y realizar reuniones periódicas frente al tema de gobierno escolar y archivar sus actas.</v>
          </cell>
          <cell r="T14" t="str">
            <v>No</v>
          </cell>
          <cell r="U14" t="str">
            <v>Se verificará cuando se presente alguna queja.</v>
          </cell>
        </row>
        <row r="15">
          <cell r="A15">
            <v>2551</v>
          </cell>
          <cell r="B15"/>
          <cell r="C15" t="str">
            <v>USAQUÉN</v>
          </cell>
          <cell r="D15" t="str">
            <v>PRIVADO</v>
          </cell>
          <cell r="E15" t="str">
            <v>EPBM</v>
          </cell>
          <cell r="F15" t="str">
            <v>COLEGIO_ALFRED_MARSHALL</v>
          </cell>
          <cell r="G15" t="str">
            <v>COLEGIO ALFRED MARSHALL</v>
          </cell>
          <cell r="H15" t="str">
            <v>Autoevaluación Institucional y Pruebas SABER 11</v>
          </cell>
          <cell r="I15" t="str">
            <v>EVALUACIÓN_CON_FINES_DE_MEJORAMIENTO.</v>
          </cell>
          <cell r="J15" t="str">
            <v>Verificar las condiciones en cuanto a: la estructura administrativa, condiciones de la planta física y medios educativos adecuados.</v>
          </cell>
          <cell r="K15" t="str">
            <v>MARTHA LUCIA OLAYA VARGAS</v>
          </cell>
          <cell r="L15" t="str">
            <v>MARIA TERESA GAVIRIA LOZANO</v>
          </cell>
          <cell r="M15">
            <v>45771</v>
          </cell>
          <cell r="N15">
            <v>45771</v>
          </cell>
          <cell r="O15">
            <v>45771</v>
          </cell>
          <cell r="P15" t="str">
            <v>Visitas de evaluación con fines de mejoramiento</v>
          </cell>
          <cell r="Q15" t="str">
            <v>ACTA VISITA ALFRED MARSHALL</v>
          </cell>
          <cell r="R15" t="str">
            <v>Se evidenció que la planta física es pequeña, cuentan con los espacios justos para atender los ciclos ofrecidos. 
La escalera de acceso para el piso 2 y para el piso 3, es reducida.
No se evidencia  rampas, ni baños para discapacitados.
Cuentan con convenios que les permite realizar actividades culturales y académicas.
La organización administrativa definida en el PEI, es coherente con lo encontrado en la visita.</v>
          </cell>
          <cell r="S15" t="str">
            <v>Estudiar la viabilidad de ampliar la planta física.</v>
          </cell>
          <cell r="T15" t="str">
            <v>Si</v>
          </cell>
          <cell r="U15" t="str">
            <v>Verificar en el plan de mejora para verificar si definen alguna estratégia para ampliar la planta fíica.</v>
          </cell>
        </row>
        <row r="16">
          <cell r="A16">
            <v>2552</v>
          </cell>
          <cell r="B16">
            <v>2</v>
          </cell>
          <cell r="C16" t="str">
            <v>USAQUÉN</v>
          </cell>
          <cell r="D16" t="str">
            <v>PRIVADO</v>
          </cell>
          <cell r="E16" t="str">
            <v>EPBM</v>
          </cell>
          <cell r="F16" t="str">
            <v>GIMNASIO_CULTURAL_LIBERTAD</v>
          </cell>
          <cell r="G16" t="str">
            <v>GIMNASIO CULTURAL LIBERTAD</v>
          </cell>
          <cell r="H16" t="str">
            <v>Autoevaluación Institucional y Pruebas SABER 11</v>
          </cell>
          <cell r="I16" t="str">
            <v>SEGUIMIENTO_Y_SUPERVISIÓN.</v>
          </cell>
          <cell r="J16" t="str">
            <v>Realizar visitas para verificar la información registrada sobre la autoevaluación institucional en el aplicativo EVI, a los establecimientos de educación formal no oficial.</v>
          </cell>
          <cell r="K16" t="str">
            <v>JENNIFER CATALINA TORRES PIRA</v>
          </cell>
          <cell r="L16" t="str">
            <v>MARTHA CECILIA MELGAREJO PINTO</v>
          </cell>
          <cell r="M16">
            <v>45769</v>
          </cell>
          <cell r="N16">
            <v>45769</v>
          </cell>
          <cell r="O16">
            <v>45769</v>
          </cell>
          <cell r="P16" t="str">
            <v>Visitas de evaluación con fines de seguimiento</v>
          </cell>
          <cell r="Q16" t="str">
            <v>Acta visita GCL</v>
          </cell>
          <cell r="R16" t="str">
            <v>Aunque los indicadores de resultados de la autoevaluación están acorde con la autoevaluación, se verificó que en general la planta física presenta deterioro (techos con fisuras), los baños se encuentran en mal estado sin puerta.</v>
          </cell>
          <cell r="S16" t="str">
            <v>Realizar adecuaciones de planta física incluidos los baños y presentar el plan de mejoramiento.</v>
          </cell>
          <cell r="T16" t="str">
            <v>Si</v>
          </cell>
          <cell r="U16" t="str">
            <v>Verificación de la acciones establecidas en el plan de mejoramiento y seguimiento a su ejecución, en el segundo semestre del año.</v>
          </cell>
        </row>
        <row r="17">
          <cell r="A17">
            <v>2553</v>
          </cell>
          <cell r="B17"/>
          <cell r="C17" t="str">
            <v>USAQUÉN</v>
          </cell>
          <cell r="D17" t="str">
            <v>PRIVADO</v>
          </cell>
          <cell r="E17" t="str">
            <v>EPBM</v>
          </cell>
          <cell r="F17" t="str">
            <v>GIMNASIO_CULTURAL_LIBERTAD</v>
          </cell>
          <cell r="G17" t="str">
            <v>GIMNASIO CULTURAL LIBERTAD</v>
          </cell>
          <cell r="H17" t="str">
            <v>Autoevaluación Institucional y Pruebas SABER 11</v>
          </cell>
          <cell r="I17" t="str">
            <v>SEGUIMIENTO_Y_SUPERVISIÓN.</v>
          </cell>
          <cell r="J17" t="str">
            <v>Proponer estrategias en la formulación, verificar su elaboración y realizar seguimiento semestral al desarrollo de  las acciones establecidas en los planes de mejoramiento por pruebas SABER 11 de los establecimientos de educación formal.</v>
          </cell>
          <cell r="K17" t="str">
            <v>JENNIFER CATALINA TORRES PIRA</v>
          </cell>
          <cell r="L17" t="str">
            <v>MARTHA CECILIA MELGAREJO PINTO</v>
          </cell>
          <cell r="M17">
            <v>45769</v>
          </cell>
          <cell r="N17">
            <v>45769</v>
          </cell>
          <cell r="O17">
            <v>45769</v>
          </cell>
          <cell r="P17" t="str">
            <v>Visitas de evaluación con fines de seguimiento</v>
          </cell>
          <cell r="Q17" t="str">
            <v>Acta visita GCL</v>
          </cell>
          <cell r="R17" t="str">
            <v>Se evidenció el Plan de Mejoramiento Institucional, donde se diseñaron las estratégias y acciones de mejora a partir de identificar las áreas con desempeño bajo en las pruebas saber 11.</v>
          </cell>
          <cell r="S17" t="str">
            <v>Aplicar el plan de mejoramiento Institucional y realizar el seguimiento y control</v>
          </cell>
          <cell r="T17" t="str">
            <v>No</v>
          </cell>
          <cell r="U17" t="str">
            <v xml:space="preserve">
Validar mejora en los resultados de las pruebas saber 2025.
</v>
          </cell>
        </row>
        <row r="18">
          <cell r="A18">
            <v>2554</v>
          </cell>
          <cell r="B18"/>
          <cell r="C18" t="str">
            <v>USAQUÉN</v>
          </cell>
          <cell r="D18" t="str">
            <v>PRIVADO</v>
          </cell>
          <cell r="E18" t="str">
            <v>EPBM</v>
          </cell>
          <cell r="F18" t="str">
            <v>GIMNASIO_CULTURAL_LIBERTAD</v>
          </cell>
          <cell r="G18" t="str">
            <v>GIMNASIO CULTURAL LIBERTAD</v>
          </cell>
          <cell r="H18" t="str">
            <v>Autoevaluación Institucional y Pruebas SABER 11</v>
          </cell>
          <cell r="I18" t="str">
            <v>SEGUIMIENTO_Y_SUPERVISIÓN.</v>
          </cell>
          <cell r="J18" t="str">
            <v xml:space="preserve">Verificar la implementación por parte de los colegios, de acciones realizadas para la prevención y atención de las situaciones de convivencia en el entorno escolar, según lo establecido en la Directiva 01 de 2022 del MEN. </v>
          </cell>
          <cell r="K18" t="str">
            <v>JENNIFER CATALINA TORRES PIRA</v>
          </cell>
          <cell r="L18" t="str">
            <v>MARTHA CECILIA MELGAREJO PINTO</v>
          </cell>
          <cell r="M18">
            <v>45769</v>
          </cell>
          <cell r="N18">
            <v>45769</v>
          </cell>
          <cell r="O18">
            <v>45769</v>
          </cell>
          <cell r="P18" t="str">
            <v>Visitas de evaluación con fines de seguimiento</v>
          </cell>
          <cell r="Q18" t="str">
            <v>Acta visita GCL</v>
          </cell>
          <cell r="R18" t="str">
            <v xml:space="preserve">Cuenta con comité de convivencia, el cual no tiene definido las funciones ni el reglamento.
Tiene ruta de atención, pero no definen todos los protocolos para las situaciones de convivencia escolar.
</v>
          </cell>
          <cell r="S18" t="str">
            <v>Solicitar capacitación sobre convivencia escolar y rutas de atención a la Oficina de Convivencia Escolar.</v>
          </cell>
          <cell r="T18" t="str">
            <v>Si</v>
          </cell>
          <cell r="U18" t="str">
            <v>Verificación de la información relacionada con comité de convivencia y rutas de atención, de acuerdo con el plan de mejora: 16/10/2025</v>
          </cell>
        </row>
        <row r="19">
          <cell r="A19">
            <v>2555</v>
          </cell>
          <cell r="B19"/>
          <cell r="C19" t="str">
            <v>USAQUÉN</v>
          </cell>
          <cell r="D19" t="str">
            <v>PRIVADO</v>
          </cell>
          <cell r="E19" t="str">
            <v>EPBM</v>
          </cell>
          <cell r="F19" t="str">
            <v>GIMNASIO_CULTURAL_LIBERTAD</v>
          </cell>
          <cell r="G19" t="str">
            <v>GIMNASIO CULTURAL LIBERTAD</v>
          </cell>
          <cell r="H19" t="str">
            <v>Autoevaluación Institucional y Pruebas SABER 11</v>
          </cell>
          <cell r="I19" t="str">
            <v>SEGUIMIENTO_Y_SUPERVISIÓN.</v>
          </cell>
          <cell r="J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 t="str">
            <v>JENNIFER CATALINA TORRES PIRA</v>
          </cell>
          <cell r="L19" t="str">
            <v>MARTHA CECILIA MELGAREJO PINTO</v>
          </cell>
          <cell r="M19">
            <v>45769</v>
          </cell>
          <cell r="N19">
            <v>45769</v>
          </cell>
          <cell r="O19">
            <v>45769</v>
          </cell>
          <cell r="P19" t="str">
            <v>Visitas de evaluación con fines de seguimiento</v>
          </cell>
          <cell r="Q19" t="str">
            <v>Acta visita GCL</v>
          </cell>
          <cell r="R19" t="str">
            <v xml:space="preserve">Cuentan con los planes individuales de ajustes razonables de los estudiantes que lo requieren, de acuerdo con la normatividad
</v>
          </cell>
          <cell r="S19" t="str">
            <v>Capacitar a los docentes para la identificación y referenciación de los estudiantes que requieran el PIAR</v>
          </cell>
          <cell r="T19" t="str">
            <v>No</v>
          </cell>
          <cell r="U19" t="str">
            <v xml:space="preserve">Revisar los casos que se presente
</v>
          </cell>
        </row>
        <row r="20">
          <cell r="A20">
            <v>2556</v>
          </cell>
          <cell r="B20"/>
          <cell r="C20" t="str">
            <v>USAQUÉN</v>
          </cell>
          <cell r="D20" t="str">
            <v>PRIVADO</v>
          </cell>
          <cell r="E20" t="str">
            <v>EPBM</v>
          </cell>
          <cell r="F20" t="str">
            <v>GIMNASIO_CULTURAL_LIBERTAD</v>
          </cell>
          <cell r="G20" t="str">
            <v>GIMNASIO CULTURAL LIBERTAD</v>
          </cell>
          <cell r="H20" t="str">
            <v>Autoevaluación Institucional y Pruebas SABER 11</v>
          </cell>
          <cell r="I20" t="str">
            <v>EVALUACIÓN_CON_FINES_DE_MEJORAMIENTO.</v>
          </cell>
          <cell r="J2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 t="str">
            <v>JENNIFER CATALINA TORRES PIRA</v>
          </cell>
          <cell r="L20" t="str">
            <v>MARTHA CECILIA MELGAREJO PINTO</v>
          </cell>
          <cell r="M20">
            <v>45769</v>
          </cell>
          <cell r="N20">
            <v>45769</v>
          </cell>
          <cell r="O20">
            <v>45769</v>
          </cell>
          <cell r="P20" t="str">
            <v>Visitas de evaluación con fines de mejoramiento</v>
          </cell>
          <cell r="Q20" t="str">
            <v>Acta visita GCL</v>
          </cell>
          <cell r="R20" t="str">
            <v xml:space="preserve">
Cuentan con el manual de convivencia, el cual no tiene el contenido total.
No presentó evidencias frente a la participación de la comunidad educativa en su construcción y adopción.
</v>
          </cell>
          <cell r="S20" t="str">
            <v>Actualizar el manual de convivencia de acuerdo con la normatividad vigente y guardar las evidencias de la participación de la comunidad educativa.</v>
          </cell>
          <cell r="T20" t="str">
            <v>Si</v>
          </cell>
          <cell r="U20" t="str">
            <v>Verificar el manual de convivencia de acuerdo con lo establecido en el plan de mejora: 16/10/2025</v>
          </cell>
        </row>
        <row r="21">
          <cell r="A21">
            <v>2557</v>
          </cell>
          <cell r="B21"/>
          <cell r="C21" t="str">
            <v>USAQUÉN</v>
          </cell>
          <cell r="D21" t="str">
            <v>PRIVADO</v>
          </cell>
          <cell r="E21" t="str">
            <v>EPBM</v>
          </cell>
          <cell r="F21" t="str">
            <v>GIMNASIO_CULTURAL_LIBERTAD</v>
          </cell>
          <cell r="G21" t="str">
            <v>GIMNASIO CULTURAL LIBERTAD</v>
          </cell>
          <cell r="H21" t="str">
            <v>Autoevaluación Institucional y Pruebas SABER 11</v>
          </cell>
          <cell r="I21" t="str">
            <v>EVALUACIÓN_CON_FINES_DE_MEJORAMIENTO.</v>
          </cell>
          <cell r="J21" t="str">
            <v>Revisar la actualización, socialización e implementación del Sistema Institucional de Evaluación de Estudiantes - SIEE, en articulación con la actualización del PEI y la normatividad vigente.</v>
          </cell>
          <cell r="K21" t="str">
            <v>JENNIFER CATALINA TORRES PIRA</v>
          </cell>
          <cell r="L21" t="str">
            <v>MARTHA CECILIA MELGAREJO PINTO</v>
          </cell>
          <cell r="M21">
            <v>45769</v>
          </cell>
          <cell r="N21">
            <v>45769</v>
          </cell>
          <cell r="O21">
            <v>45769</v>
          </cell>
          <cell r="P21" t="str">
            <v>Visitas de evaluación con fines de mejoramiento</v>
          </cell>
          <cell r="Q21" t="str">
            <v>Acta visita GCL</v>
          </cell>
          <cell r="R21" t="str">
            <v>En el PEI, se mencionan estrategias generales del SIIEE.
En el SIEE se registran las acciones de seguimiento para el mejoramiento de los desempeños de los estudiantes durante el año escolar.</v>
          </cell>
          <cell r="S21" t="str">
            <v xml:space="preserve">Presenta generalidades no especifica la operatividad a los procesos de evaluación y promoción.
</v>
          </cell>
          <cell r="T21" t="str">
            <v>Si</v>
          </cell>
          <cell r="U21" t="str">
            <v xml:space="preserve">
Verificar los ajustes en el procedimiento para fortalecer la operatividad y el seguimiento a los procesos de evaluación y promoción.</v>
          </cell>
        </row>
        <row r="22">
          <cell r="A22">
            <v>2558</v>
          </cell>
          <cell r="B22"/>
          <cell r="C22" t="str">
            <v>USAQUÉN</v>
          </cell>
          <cell r="D22" t="str">
            <v>PRIVADO</v>
          </cell>
          <cell r="E22" t="str">
            <v>EPBM</v>
          </cell>
          <cell r="F22" t="str">
            <v>GIMNASIO_CULTURAL_LIBERTAD</v>
          </cell>
          <cell r="G22" t="str">
            <v>GIMNASIO CULTURAL LIBERTAD</v>
          </cell>
          <cell r="H22" t="str">
            <v>Autoevaluación Institucional y Pruebas SABER 11</v>
          </cell>
          <cell r="I22" t="str">
            <v>EVALUACIÓN_CON_FINES_DE_MEJORAMIENTO.</v>
          </cell>
          <cell r="J22" t="str">
            <v>Revisar el calendario escolar, jornada escolar, la intensidad horaria mínima anual en cada nivel y las modificaciones que se realicen al mismo, de acuerdo con lo previsto en la normatividad vigente.</v>
          </cell>
          <cell r="K22" t="str">
            <v>JENNIFER CATALINA TORRES PIRA</v>
          </cell>
          <cell r="L22" t="str">
            <v>MARTHA CECILIA MELGAREJO PINTO</v>
          </cell>
          <cell r="M22">
            <v>45769</v>
          </cell>
          <cell r="N22">
            <v>45769</v>
          </cell>
          <cell r="O22">
            <v>45769</v>
          </cell>
          <cell r="P22" t="str">
            <v>Visitas de evaluación con fines de mejoramiento</v>
          </cell>
          <cell r="Q22" t="str">
            <v>Acta visita GCL</v>
          </cell>
          <cell r="R22" t="str">
            <v>El calendario escolar esta de acuerdo con la normatividad vigente.</v>
          </cell>
          <cell r="S22" t="str">
            <v xml:space="preserve">Continuar desarrollando la actividades  enmarcadas en la intensidad horaria dispuesta en la normatividad </v>
          </cell>
          <cell r="T22" t="str">
            <v>No</v>
          </cell>
          <cell r="U22" t="str">
            <v>Validación de la intensidad horaria definida una vez se requiera.</v>
          </cell>
        </row>
        <row r="23">
          <cell r="A23">
            <v>2559</v>
          </cell>
          <cell r="B23"/>
          <cell r="C23" t="str">
            <v>USAQUÉN</v>
          </cell>
          <cell r="D23" t="str">
            <v>PRIVADO</v>
          </cell>
          <cell r="E23" t="str">
            <v>EPBM</v>
          </cell>
          <cell r="F23" t="str">
            <v>GIMNASIO_CULTURAL_LIBERTAD</v>
          </cell>
          <cell r="G23" t="str">
            <v>GIMNASIO CULTURAL LIBERTAD</v>
          </cell>
          <cell r="H23" t="str">
            <v>Autoevaluación Institucional y Pruebas SABER 11</v>
          </cell>
          <cell r="I23" t="str">
            <v>EVALUACIÓN_CON_FINES_DE_MEJORAMIENTO.</v>
          </cell>
          <cell r="J23" t="str">
            <v>Verificar el funcionamiento del Gobierno Escolar e instancias de participación con base en la información sobre conformación reportada por la institución educativa.</v>
          </cell>
          <cell r="K23" t="str">
            <v>MARIA TERESA GAVIRIA LOZANO</v>
          </cell>
          <cell r="L23" t="str">
            <v>MARTHA CECILIA MELGAREJO PINTO</v>
          </cell>
          <cell r="M23">
            <v>45769</v>
          </cell>
          <cell r="N23">
            <v>45769</v>
          </cell>
          <cell r="O23">
            <v>45769</v>
          </cell>
          <cell r="P23" t="str">
            <v>Visitas de evaluación con fines de mejoramiento</v>
          </cell>
          <cell r="Q23" t="str">
            <v>Acta visita GCL</v>
          </cell>
          <cell r="R23" t="str">
            <v>Esta definido en el manual de convivencia pero no se evidencian las actas de conformación de gobierno escolar.</v>
          </cell>
          <cell r="S23" t="str">
            <v>Realizar las actas de gobierno escolar.</v>
          </cell>
          <cell r="T23" t="str">
            <v>Si</v>
          </cell>
          <cell r="U23" t="str">
            <v>Verificar el cargue de la información en aplicativo SAE.</v>
          </cell>
        </row>
        <row r="24">
          <cell r="A24">
            <v>2560</v>
          </cell>
          <cell r="B24"/>
          <cell r="C24" t="str">
            <v>USAQUÉN</v>
          </cell>
          <cell r="D24" t="str">
            <v>PRIVADO</v>
          </cell>
          <cell r="E24" t="str">
            <v>EPBM</v>
          </cell>
          <cell r="F24" t="str">
            <v>GIMNASIO_CULTURAL_LIBERTAD</v>
          </cell>
          <cell r="G24" t="str">
            <v>GIMNASIO CULTURAL LIBERTAD</v>
          </cell>
          <cell r="H24" t="str">
            <v>Autoevaluación Institucional y Pruebas SABER 11</v>
          </cell>
          <cell r="I24" t="str">
            <v>EVALUACIÓN_CON_FINES_DE_MEJORAMIENTO.</v>
          </cell>
          <cell r="J24" t="str">
            <v>Verificar las condiciones en cuanto a: la estructura administrativa, condiciones de la planta física y medios educativos adecuados.</v>
          </cell>
          <cell r="K24" t="str">
            <v>JENNIFER CATALINA TORRES PIRA</v>
          </cell>
          <cell r="L24" t="str">
            <v>MARTHA CECILIA MELGAREJO PINTO</v>
          </cell>
          <cell r="M24">
            <v>45769</v>
          </cell>
          <cell r="N24">
            <v>45769</v>
          </cell>
          <cell r="O24">
            <v>45769</v>
          </cell>
          <cell r="P24" t="str">
            <v>Visitas de evaluación con fines de mejoramiento</v>
          </cell>
          <cell r="Q24" t="str">
            <v>Acta visita GCL</v>
          </cell>
          <cell r="R24" t="str">
            <v xml:space="preserve">La infraestructura de la Institución educativa no cumple, como se evidencia en el concepto sanitario del 01 de abril de 2025, el cual es desfavorable por incumplimientos a la normatividad vigente.
La IE no tiene en cuenta a la población con alguna 
limitación física, en la infraestructura.
</v>
          </cell>
          <cell r="S24" t="str">
            <v>La IE. evaluará la viabilidad de realizar los ajustes según observación.</v>
          </cell>
          <cell r="T24" t="str">
            <v>Si</v>
          </cell>
          <cell r="U24" t="str">
            <v>Verificación de la acciones establecidas en el plan de mejoramiento y seguimiento a su ejecución, en el segundo semestre del año.</v>
          </cell>
        </row>
        <row r="25">
          <cell r="A25">
            <v>2561</v>
          </cell>
          <cell r="B25">
            <v>3</v>
          </cell>
          <cell r="C25" t="str">
            <v>USAQUÉN</v>
          </cell>
          <cell r="D25" t="str">
            <v>PRIVADO</v>
          </cell>
          <cell r="E25" t="str">
            <v>EPBM</v>
          </cell>
          <cell r="F25" t="str">
            <v>INSTITUTO_EL_ROBLE</v>
          </cell>
          <cell r="G25" t="str">
            <v>INSTITUTO EL ROBLE</v>
          </cell>
          <cell r="H25" t="str">
            <v>Autoevaluación Institucional y Pruebas SABER 11</v>
          </cell>
          <cell r="I25" t="str">
            <v>SEGUIMIENTO_Y_SUPERVISIÓN.</v>
          </cell>
          <cell r="J25" t="str">
            <v>Realizar visitas para verificar la información registrada sobre la autoevaluación institucional en el aplicativo EVI, a los establecimientos de educación formal no oficial.</v>
          </cell>
          <cell r="K25" t="str">
            <v>GILMA ESTHER ALBARRACÍN BALLESTEROS</v>
          </cell>
          <cell r="L25" t="str">
            <v>JENNIFER CATALINA TORRES PIRA</v>
          </cell>
          <cell r="M25">
            <v>45786</v>
          </cell>
          <cell r="N25">
            <v>45807</v>
          </cell>
          <cell r="O25">
            <v>45807</v>
          </cell>
          <cell r="P25" t="str">
            <v>Visitas de evaluación con fines de seguimiento</v>
          </cell>
          <cell r="Q25" t="str">
            <v>Acta visita Roble</v>
          </cell>
          <cell r="R25" t="str">
            <v>No contaron con la documentación soporte para verificar las hojas de vida del personal, dado que esta información está centralizada en una persona, la cual no estuvo presente en la visita.</v>
          </cell>
          <cell r="S25" t="str">
            <v>La infomación debe estar disponible para cuando la requiera la institución y no asociada a una sola persona</v>
          </cell>
          <cell r="T25" t="str">
            <v>Si</v>
          </cell>
          <cell r="U25" t="str">
            <v>Revisar el plan de mejoramiento para evidenciar el manejo de la información de la Institución, de acuerdo con el plan de mejora: 04/07/2025</v>
          </cell>
        </row>
        <row r="26">
          <cell r="A26">
            <v>2562</v>
          </cell>
          <cell r="B26"/>
          <cell r="C26" t="str">
            <v>USAQUÉN</v>
          </cell>
          <cell r="D26" t="str">
            <v>PRIVADO</v>
          </cell>
          <cell r="E26" t="str">
            <v>EPBM</v>
          </cell>
          <cell r="F26" t="str">
            <v>INSTITUTO_EL_ROBLE</v>
          </cell>
          <cell r="G26" t="str">
            <v>INSTITUTO EL ROBLE</v>
          </cell>
          <cell r="H26" t="str">
            <v>Autoevaluación Institucional y Pruebas SABER 11</v>
          </cell>
          <cell r="I26" t="str">
            <v>SEGUIMIENTO_Y_SUPERVISIÓN.</v>
          </cell>
          <cell r="J26" t="str">
            <v>Proponer estrategias en la formulación, verificar su elaboración y realizar seguimiento semestral al desarrollo de  las acciones establecidas en los planes de mejoramiento por pruebas SABER 11 de los establecimientos de educación formal.</v>
          </cell>
          <cell r="K26" t="str">
            <v>GILMA ESTHER ALBARRACÍN BALLESTEROS</v>
          </cell>
          <cell r="L26" t="str">
            <v>JENNIFER CATALINA TORRES PIRA</v>
          </cell>
          <cell r="M26">
            <v>45786</v>
          </cell>
          <cell r="N26">
            <v>45807</v>
          </cell>
          <cell r="O26">
            <v>45807</v>
          </cell>
          <cell r="P26" t="str">
            <v>Visitas de evaluación con fines de seguimiento</v>
          </cell>
          <cell r="Q26" t="str">
            <v>Acta visita Roble</v>
          </cell>
          <cell r="R26" t="str">
            <v>Se evidencia Plan de Mejoramiento, el cual contiene  estrategias y acciones a seguir en las asignaturas de bajo desempeño en las pruebas saber 11.</v>
          </cell>
          <cell r="S26" t="str">
            <v>Realizar el plan de mejora para ajustar el plan de estudios y la malla curricular</v>
          </cell>
          <cell r="T26" t="str">
            <v>Si</v>
          </cell>
          <cell r="U26" t="str">
            <v>Revisar la malla curricular y el plan de estudios del grado 11, con los ajustes, de acuerdo con el plan de mejora: 04/07/2025</v>
          </cell>
        </row>
        <row r="27">
          <cell r="A27">
            <v>2563</v>
          </cell>
          <cell r="B27"/>
          <cell r="C27" t="str">
            <v>USAQUÉN</v>
          </cell>
          <cell r="D27" t="str">
            <v>PRIVADO</v>
          </cell>
          <cell r="E27" t="str">
            <v>EPBM</v>
          </cell>
          <cell r="F27" t="str">
            <v>INSTITUTO_EL_ROBLE</v>
          </cell>
          <cell r="G27" t="str">
            <v>INSTITUTO EL ROBLE</v>
          </cell>
          <cell r="H27" t="str">
            <v>Autoevaluación Institucional y Pruebas SABER 11</v>
          </cell>
          <cell r="I27" t="str">
            <v>SEGUIMIENTO_Y_SUPERVISIÓN.</v>
          </cell>
          <cell r="J27" t="str">
            <v xml:space="preserve">Verificar la implementación por parte de los colegios, de acciones realizadas para la prevención y atención de las situaciones de convivencia en el entorno escolar, según lo establecido en la Directiva 01 de 2022 del MEN. </v>
          </cell>
          <cell r="K27" t="str">
            <v>GILMA ESTHER ALBARRACÍN BALLESTEROS</v>
          </cell>
          <cell r="L27" t="str">
            <v>JENNIFER CATALINA TORRES PIRA</v>
          </cell>
          <cell r="M27">
            <v>45786</v>
          </cell>
          <cell r="N27">
            <v>45807</v>
          </cell>
          <cell r="O27">
            <v>45807</v>
          </cell>
          <cell r="P27" t="str">
            <v>Visitas de evaluación con fines de seguimiento</v>
          </cell>
          <cell r="Q27" t="str">
            <v>Acta visita Roble</v>
          </cell>
          <cell r="R27" t="str">
            <v>Esta definido el comité de conviviencia, con sus respectivas funciones y tiene establecido el reglamento.
Cuentan con la ruta de atención integral para los casos de convivencia en el ambiente escolar.
No se pudo evidenciar, si se realiza el control frente al cumplimiento de las inhabilidades por delitos sexuales,dado que no se pudieron revisar las carpetas del personal.</v>
          </cell>
          <cell r="S27" t="str">
            <v>Contar con la información disponible para cualquier requerimiento que se tenga.</v>
          </cell>
          <cell r="T27" t="str">
            <v>Si</v>
          </cell>
          <cell r="U27" t="str">
            <v>Revisar el plan de mejoramiento, para evidenciar el cumplimiento frente al seguimiento del personal en relación con las inhabilidades por delitos sexuales.</v>
          </cell>
        </row>
        <row r="28">
          <cell r="A28">
            <v>2564</v>
          </cell>
          <cell r="B28"/>
          <cell r="C28" t="str">
            <v>USAQUÉN</v>
          </cell>
          <cell r="D28" t="str">
            <v>PRIVADO</v>
          </cell>
          <cell r="E28" t="str">
            <v>EPBM</v>
          </cell>
          <cell r="F28" t="str">
            <v>INSTITUTO_EL_ROBLE</v>
          </cell>
          <cell r="G28" t="str">
            <v>INSTITUTO EL ROBLE</v>
          </cell>
          <cell r="H28" t="str">
            <v>Autoevaluación Institucional y Pruebas SABER 11</v>
          </cell>
          <cell r="I28" t="str">
            <v>SEGUIMIENTO_Y_SUPERVISIÓN.</v>
          </cell>
          <cell r="J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 t="str">
            <v>GILMA ESTHER ALBARRACÍN BALLESTEROS</v>
          </cell>
          <cell r="L28" t="str">
            <v>JENNIFER CATALINA TORRES PIRA</v>
          </cell>
          <cell r="M28">
            <v>45786</v>
          </cell>
          <cell r="N28">
            <v>45807</v>
          </cell>
          <cell r="O28">
            <v>45807</v>
          </cell>
          <cell r="P28" t="str">
            <v>Visitas de evaluación con fines de seguimiento</v>
          </cell>
          <cell r="Q28" t="str">
            <v>Acta visita Roble</v>
          </cell>
          <cell r="R28" t="str">
            <v>El colegio no cuenta con estudiantes que requieran los planes individuales de ajustes razonables - PIAR, pero en el PEI y en el manual de convivencia esta desarrollado el tema y tiene los formatos a aplicar.</v>
          </cell>
          <cell r="S28" t="str">
            <v>Se debe continuar con esta actividad y aplica los ajustes razonables cuando se requieran.</v>
          </cell>
          <cell r="T28" t="str">
            <v>No</v>
          </cell>
          <cell r="U28" t="str">
            <v>Verificar una vez se presente un caso relacionado con PIAR.</v>
          </cell>
        </row>
        <row r="29">
          <cell r="A29">
            <v>2565</v>
          </cell>
          <cell r="B29"/>
          <cell r="C29" t="str">
            <v>USAQUÉN</v>
          </cell>
          <cell r="D29" t="str">
            <v>PRIVADO</v>
          </cell>
          <cell r="E29" t="str">
            <v>EPBM</v>
          </cell>
          <cell r="F29" t="str">
            <v>INSTITUTO_EL_ROBLE</v>
          </cell>
          <cell r="G29" t="str">
            <v>INSTITUTO EL ROBLE</v>
          </cell>
          <cell r="H29" t="str">
            <v>Autoevaluación Institucional y Pruebas SABER 11</v>
          </cell>
          <cell r="I29" t="str">
            <v>EVALUACIÓN_CON_FINES_DE_MEJORAMIENTO.</v>
          </cell>
          <cell r="J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9" t="str">
            <v>GILMA ESTHER ALBARRACÍN BALLESTEROS</v>
          </cell>
          <cell r="L29" t="str">
            <v>JENNIFER CATALINA TORRES PIRA</v>
          </cell>
          <cell r="M29">
            <v>45786</v>
          </cell>
          <cell r="N29">
            <v>45807</v>
          </cell>
          <cell r="O29">
            <v>45807</v>
          </cell>
          <cell r="P29" t="str">
            <v>Visitas de evaluación con fines de mejoramiento</v>
          </cell>
          <cell r="Q29" t="str">
            <v>Acta visita Roble</v>
          </cell>
          <cell r="R29" t="str">
            <v>Tienen el Manual de Conviencia del 2025, el cual se realizó con la participación de la comunidad educativa y se socializó, sin embargo Se debe profundizar respecto a las condiciones para el consumo de alimentos y el manejo de los residuos que se originen en el entorno escolar.</v>
          </cell>
          <cell r="S29" t="str">
            <v>Actualizar el manual para profundizar respecto a las condiciones para el consumo de alimentos y el manejo de los residuos que se originen en el entorno escolar.</v>
          </cell>
          <cell r="T29" t="str">
            <v>Si</v>
          </cell>
          <cell r="U29" t="str">
            <v>Revisar el manual de convivencia para verificar que cumpla con los contenidos requeridos de acuerdo con el plan de mejora: 04/07/2025</v>
          </cell>
        </row>
        <row r="30">
          <cell r="A30">
            <v>2566</v>
          </cell>
          <cell r="B30"/>
          <cell r="C30" t="str">
            <v>USAQUÉN</v>
          </cell>
          <cell r="D30" t="str">
            <v>PRIVADO</v>
          </cell>
          <cell r="E30" t="str">
            <v>EPBM</v>
          </cell>
          <cell r="F30" t="str">
            <v>INSTITUTO_EL_ROBLE</v>
          </cell>
          <cell r="G30" t="str">
            <v>INSTITUTO EL ROBLE</v>
          </cell>
          <cell r="H30" t="str">
            <v>Autoevaluación Institucional y Pruebas SABER 11</v>
          </cell>
          <cell r="I30" t="str">
            <v>EVALUACIÓN_CON_FINES_DE_MEJORAMIENTO.</v>
          </cell>
          <cell r="J30" t="str">
            <v>Revisar la actualización, socialización e implementación del Sistema Institucional de Evaluación de Estudiantes - SIEE, en articulación con la actualización del PEI y la normatividad vigente.</v>
          </cell>
          <cell r="K30" t="str">
            <v>GILMA ESTHER ALBARRACÍN BALLESTEROS</v>
          </cell>
          <cell r="L30" t="str">
            <v>JENNIFER CATALINA TORRES PIRA</v>
          </cell>
          <cell r="M30">
            <v>45786</v>
          </cell>
          <cell r="N30">
            <v>45807</v>
          </cell>
          <cell r="O30">
            <v>45807</v>
          </cell>
          <cell r="P30" t="str">
            <v>Visitas de evaluación con fines de mejoramiento</v>
          </cell>
          <cell r="Q30" t="str">
            <v>Acta visita Roble</v>
          </cell>
          <cell r="R30" t="str">
            <v>Esta definido dentro del Manual de Convivencia, pero no fue posible revisar los soportes de la implementación y seguimiento dado que la persona responsable del tema no se encontraba por lo cual no se pudo revisar la información.</v>
          </cell>
          <cell r="S30" t="str">
            <v>Contar con información disponible para cualquier requerimiento que se tenga.</v>
          </cell>
          <cell r="T30" t="str">
            <v>Si</v>
          </cell>
          <cell r="U30" t="str">
            <v>Verificar el  plan de mejora ara revisar la documentación soporte frente al SIEE</v>
          </cell>
        </row>
        <row r="31">
          <cell r="A31">
            <v>2567</v>
          </cell>
          <cell r="B31"/>
          <cell r="C31" t="str">
            <v>USAQUÉN</v>
          </cell>
          <cell r="D31" t="str">
            <v>PRIVADO</v>
          </cell>
          <cell r="E31" t="str">
            <v>EPBM</v>
          </cell>
          <cell r="F31" t="str">
            <v>INSTITUTO_EL_ROBLE</v>
          </cell>
          <cell r="G31" t="str">
            <v>INSTITUTO EL ROBLE</v>
          </cell>
          <cell r="H31" t="str">
            <v>Autoevaluación Institucional y Pruebas SABER 11</v>
          </cell>
          <cell r="I31" t="str">
            <v>EVALUACIÓN_CON_FINES_DE_MEJORAMIENTO.</v>
          </cell>
          <cell r="J31" t="str">
            <v>Revisar el calendario escolar, jornada escolar, la intensidad horaria mínima anual en cada nivel y las modificaciones que se realicen al mismo, de acuerdo con lo previsto en la normatividad vigente.</v>
          </cell>
          <cell r="K31" t="str">
            <v>GILMA ESTHER ALBARRACÍN BALLESTEROS</v>
          </cell>
          <cell r="L31" t="str">
            <v>JENNIFER CATALINA TORRES PIRA</v>
          </cell>
          <cell r="M31">
            <v>45786</v>
          </cell>
          <cell r="N31">
            <v>45807</v>
          </cell>
          <cell r="O31">
            <v>45807</v>
          </cell>
          <cell r="P31" t="str">
            <v>Visitas de evaluación con fines de mejoramiento</v>
          </cell>
          <cell r="Q31" t="str">
            <v>Acta visita Roble</v>
          </cell>
          <cell r="R31" t="str">
            <v>El calendario escolar esta definido por jornada y cumple con la intensidad horaria definida para cada ciclo, de acuerdo con la normatividad vigente.</v>
          </cell>
          <cell r="S31" t="str">
            <v>Se debe mantener la intensidad horaria para cada ciclo.</v>
          </cell>
          <cell r="T31" t="str">
            <v>No</v>
          </cell>
          <cell r="U31" t="str">
            <v>Verificar el tema una vez se presente alguna queja al respecto.</v>
          </cell>
        </row>
        <row r="32">
          <cell r="A32">
            <v>2568</v>
          </cell>
          <cell r="B32"/>
          <cell r="C32" t="str">
            <v>USAQUÉN</v>
          </cell>
          <cell r="D32" t="str">
            <v>PRIVADO</v>
          </cell>
          <cell r="E32" t="str">
            <v>EPBM</v>
          </cell>
          <cell r="F32" t="str">
            <v>INSTITUTO_EL_ROBLE</v>
          </cell>
          <cell r="G32" t="str">
            <v>INSTITUTO EL ROBLE</v>
          </cell>
          <cell r="H32" t="str">
            <v>Autoevaluación Institucional y Pruebas SABER 11</v>
          </cell>
          <cell r="I32" t="str">
            <v>EVALUACIÓN_CON_FINES_DE_MEJORAMIENTO.</v>
          </cell>
          <cell r="J32" t="str">
            <v>Verificar el funcionamiento del Gobierno Escolar e instancias de participación con base en la información sobre conformación reportada por la institución educativa.</v>
          </cell>
          <cell r="K32" t="str">
            <v>GILMA ESTHER ALBARRACÍN BALLESTEROS</v>
          </cell>
          <cell r="L32" t="str">
            <v>JENNIFER CATALINA TORRES PIRA</v>
          </cell>
          <cell r="M32">
            <v>45786</v>
          </cell>
          <cell r="N32">
            <v>45807</v>
          </cell>
          <cell r="O32">
            <v>45807</v>
          </cell>
          <cell r="P32" t="str">
            <v>Visitas de evaluación con fines de mejoramiento</v>
          </cell>
          <cell r="Q32" t="str">
            <v>Acta visita Roble</v>
          </cell>
          <cell r="R32" t="str">
            <v>Se encuentra conformado el gobierno escolar y se han realizado las reuniones de seguimiento pero no se pudieron evidenciar las actas de soporte.</v>
          </cell>
          <cell r="S32" t="str">
            <v>Continuar su implementación anualmente y dejar acta de lo actuado.</v>
          </cell>
          <cell r="T32" t="str">
            <v>No</v>
          </cell>
          <cell r="U32" t="str">
            <v>Revisar cuando se presente alguna novedad relacionada con gobierno escolar</v>
          </cell>
        </row>
        <row r="33">
          <cell r="A33">
            <v>2569</v>
          </cell>
          <cell r="B33"/>
          <cell r="C33" t="str">
            <v>USAQUÉN</v>
          </cell>
          <cell r="D33" t="str">
            <v>PRIVADO</v>
          </cell>
          <cell r="E33" t="str">
            <v>EPBM</v>
          </cell>
          <cell r="F33" t="str">
            <v>INSTITUTO_EL_ROBLE</v>
          </cell>
          <cell r="G33" t="str">
            <v>INSTITUTO EL ROBLE</v>
          </cell>
          <cell r="H33" t="str">
            <v>Autoevaluación Institucional y Pruebas SABER 11</v>
          </cell>
          <cell r="I33" t="str">
            <v>EVALUACIÓN_CON_FINES_DE_MEJORAMIENTO.</v>
          </cell>
          <cell r="J33" t="str">
            <v>Verificar las condiciones en cuanto a: la estructura administrativa, condiciones de la planta física y medios educativos adecuados.</v>
          </cell>
          <cell r="K33" t="str">
            <v>GILMA ESTHER ALBARRACÍN BALLESTEROS</v>
          </cell>
          <cell r="L33" t="str">
            <v>JENNIFER CATALINA TORRES PIRA</v>
          </cell>
          <cell r="M33">
            <v>45786</v>
          </cell>
          <cell r="N33">
            <v>45807</v>
          </cell>
          <cell r="O33">
            <v>45807</v>
          </cell>
          <cell r="P33" t="str">
            <v>Visitas de evaluación con fines de mejoramiento</v>
          </cell>
          <cell r="Q33" t="str">
            <v>Acta visita Roble</v>
          </cell>
          <cell r="R33" t="str">
            <v>Cuentan con ambientes de aprendizaje, medios educativos, espacios administrativos, lúdicos, recreativos y culturales, para prestar el servicio educativo.
No se contó con la información del personal.</v>
          </cell>
          <cell r="S33" t="str">
            <v>Tener la información disponible frente al personal como hojas de vida, organigrama, manual de funciones, pago de aportes, tipo de vinculación, entre otros</v>
          </cell>
          <cell r="T33" t="str">
            <v>Si</v>
          </cell>
          <cell r="U33" t="str">
            <v>Revisar lo referente al personal de acuerdo con el plan de mejora: 04/07/2025</v>
          </cell>
        </row>
        <row r="34">
          <cell r="A34">
            <v>2570</v>
          </cell>
          <cell r="B34">
            <v>4</v>
          </cell>
          <cell r="C34" t="str">
            <v>USAQUÉN</v>
          </cell>
          <cell r="D34" t="str">
            <v>PRIVADO</v>
          </cell>
          <cell r="E34" t="str">
            <v>EPBM</v>
          </cell>
          <cell r="F34" t="str">
            <v>COLEGIO_GIOVANNI_PASCOLI</v>
          </cell>
          <cell r="G34" t="str">
            <v>COLEGIO GIOVANNI PASCOLI</v>
          </cell>
          <cell r="H34" t="str">
            <v>Autoevaluación Institucional y Pruebas SABER 11</v>
          </cell>
          <cell r="I34" t="str">
            <v>SEGUIMIENTO_Y_SUPERVISIÓN.</v>
          </cell>
          <cell r="J34" t="str">
            <v>Realizar visitas para verificar la información registrada sobre la autoevaluación institucional en el aplicativo EVI, a los establecimientos de educación formal no oficial.</v>
          </cell>
          <cell r="K34" t="str">
            <v>MARTHA CECILIA MELGAREJO PINTO</v>
          </cell>
          <cell r="L34" t="str">
            <v>MARTHA LUCIA OLAYA VARGAS</v>
          </cell>
          <cell r="M34">
            <v>45791</v>
          </cell>
          <cell r="N34">
            <v>45793</v>
          </cell>
          <cell r="O34">
            <v>45793</v>
          </cell>
          <cell r="P34" t="str">
            <v>Visitas de evaluación con fines de seguimiento</v>
          </cell>
          <cell r="Q34" t="str">
            <v>Acta Giovanni Pascoli</v>
          </cell>
          <cell r="R34" t="str">
            <v xml:space="preserve">La autoevaluación es coherente con la realidad  institucional, no obstante se encuentra que el certificado sanitario tiene fecha de 2022.   
</v>
          </cell>
          <cell r="S34" t="str">
            <v>Realizar la solicitud de visita e interponer de ser nedesario derecho de petición ante la Secretaría Distrital de Salud</v>
          </cell>
          <cell r="T34" t="str">
            <v>Si</v>
          </cell>
          <cell r="U34" t="str">
            <v>Comprobación del resultado de las acciones realizadas por la I.E., para actualizar el concepto santario</v>
          </cell>
        </row>
        <row r="35">
          <cell r="A35">
            <v>2571</v>
          </cell>
          <cell r="B35"/>
          <cell r="C35" t="str">
            <v>USAQUÉN</v>
          </cell>
          <cell r="D35" t="str">
            <v>PRIVADO</v>
          </cell>
          <cell r="E35" t="str">
            <v>EPBM</v>
          </cell>
          <cell r="F35" t="str">
            <v>COLEGIO_GIOVANNI_PASCOLI</v>
          </cell>
          <cell r="G35" t="str">
            <v>COLEGIO GIOVANNI PASCOLI</v>
          </cell>
          <cell r="H35" t="str">
            <v>Autoevaluación Institucional y Pruebas SABER 11</v>
          </cell>
          <cell r="I35" t="str">
            <v>SEGUIMIENTO_Y_SUPERVISIÓN.</v>
          </cell>
          <cell r="J35" t="str">
            <v>Proponer estrategias en la formulación, verificar su elaboración y realizar seguimiento semestral al desarrollo de  las acciones establecidas en los planes de mejoramiento por pruebas SABER 11 de los establecimientos de educación formal.</v>
          </cell>
          <cell r="K35" t="str">
            <v>MARTHA CECILIA MELGAREJO PINTO</v>
          </cell>
          <cell r="L35" t="str">
            <v>MARTHA LUCIA OLAYA VARGAS</v>
          </cell>
          <cell r="M35">
            <v>45791</v>
          </cell>
          <cell r="N35">
            <v>45793</v>
          </cell>
          <cell r="O35">
            <v>45793</v>
          </cell>
          <cell r="P35" t="str">
            <v>Visitas de evaluación con fines de seguimiento</v>
          </cell>
          <cell r="Q35" t="str">
            <v>Acta Giovanni Pascoli</v>
          </cell>
          <cell r="R35" t="str">
            <v>Se encontró que las áreas de menor desempeño fueron sociales, matematicas y lectura crítica, se hicieron los ajustes para la vigencia, incluyendo la aplicación de nuevas metodologías en cada una de las áreas</v>
          </cell>
          <cell r="S35" t="str">
            <v>Se aplicaran las nuevas metodologías de enseñanza en las áreas de sociales, matematicas y lectura crítica</v>
          </cell>
          <cell r="T35" t="str">
            <v>Si</v>
          </cell>
          <cell r="U35" t="str">
            <v>Se verificarán los planes de área y de aula de grado 11o, para identificar la implementación de las nuevas metodologías</v>
          </cell>
        </row>
        <row r="36">
          <cell r="A36">
            <v>2572</v>
          </cell>
          <cell r="B36"/>
          <cell r="C36" t="str">
            <v>USAQUÉN</v>
          </cell>
          <cell r="D36" t="str">
            <v>PRIVADO</v>
          </cell>
          <cell r="E36" t="str">
            <v>EPBM</v>
          </cell>
          <cell r="F36" t="str">
            <v>COLEGIO_GIOVANNI_PASCOLI</v>
          </cell>
          <cell r="G36" t="str">
            <v>COLEGIO GIOVANNI PASCOLI</v>
          </cell>
          <cell r="H36" t="str">
            <v>Autoevaluación Institucional y Pruebas SABER 11</v>
          </cell>
          <cell r="I36" t="str">
            <v>SEGUIMIENTO_Y_SUPERVISIÓN.</v>
          </cell>
          <cell r="J36" t="str">
            <v xml:space="preserve">Verificar la implementación por parte de los colegios, de acciones realizadas para la prevención y atención de las situaciones de convivencia en el entorno escolar, según lo establecido en la Directiva 01 de 2022 del MEN. </v>
          </cell>
          <cell r="K36" t="str">
            <v>MARTHA CECILIA MELGAREJO PINTO</v>
          </cell>
          <cell r="L36" t="str">
            <v>MARTHA LUCIA OLAYA VARGAS</v>
          </cell>
          <cell r="M36">
            <v>45791</v>
          </cell>
          <cell r="N36">
            <v>45793</v>
          </cell>
          <cell r="O36">
            <v>45793</v>
          </cell>
          <cell r="P36" t="str">
            <v>Visitas de evaluación con fines de seguimiento</v>
          </cell>
          <cell r="Q36" t="str">
            <v>Acta Giovanni Pascoli</v>
          </cell>
          <cell r="R36" t="str">
            <v>La I.E. realizó la verificación de inhabilidades para el personal, docente y administrativo al inicio del calendario escolar en el mes de enero</v>
          </cell>
          <cell r="S36" t="str">
            <v>Realizará la verificación  del registro de inhabilidades cada cuatro meses</v>
          </cell>
          <cell r="T36" t="str">
            <v>Si</v>
          </cell>
          <cell r="U36" t="str">
            <v xml:space="preserve">Se verificarán los registros de inhabilidades de los meses de mayo, agosto, diciembre </v>
          </cell>
        </row>
        <row r="37">
          <cell r="A37">
            <v>2573</v>
          </cell>
          <cell r="B37"/>
          <cell r="C37" t="str">
            <v>USAQUÉN</v>
          </cell>
          <cell r="D37" t="str">
            <v>PRIVADO</v>
          </cell>
          <cell r="E37" t="str">
            <v>EPBM</v>
          </cell>
          <cell r="F37" t="str">
            <v>COLEGIO_GIOVANNI_PASCOLI</v>
          </cell>
          <cell r="G37" t="str">
            <v>COLEGIO GIOVANNI PASCOLI</v>
          </cell>
          <cell r="H37" t="str">
            <v>Autoevaluación Institucional y Pruebas SABER 11</v>
          </cell>
          <cell r="I37" t="str">
            <v>SEGUIMIENTO_Y_SUPERVISIÓN.</v>
          </cell>
          <cell r="J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7" t="str">
            <v>MARTHA CECILIA MELGAREJO PINTO</v>
          </cell>
          <cell r="L37" t="str">
            <v>MARTHA LUCIA OLAYA VARGAS</v>
          </cell>
          <cell r="M37">
            <v>45791</v>
          </cell>
          <cell r="N37">
            <v>45793</v>
          </cell>
          <cell r="O37">
            <v>45793</v>
          </cell>
          <cell r="P37" t="str">
            <v>Visitas de evaluación con fines de seguimiento</v>
          </cell>
          <cell r="Q37" t="str">
            <v>Acta Giovanni Pascoli</v>
          </cell>
          <cell r="R37" t="str">
            <v xml:space="preserve">Cuentan con 12 PIAR, los cuales estan registrados por nivel de educación y grado.Se encuentra la caracterización, el anexo 2 Información, los ajustes y las barreras.
El anexo 2 se evalua, se verifica y se ajusta cada dos meses. Igualmente se suben a la carpeta las recomendaciones médicas de cada estudiante.
Trastorno del aprendizaje 10 y 2 con Transtorno del espectro autista.
Adicionalmente, hay 4 casos en estudio por parte de las direcciones de grupo. </v>
          </cell>
          <cell r="S37" t="str">
            <v>Se efectuará la actualización de los PIAR, en tanto se presenten nuevas situaciones y/o avances en los estudiantes que lo requieran;  o cuando los padres actualicen los diagnósticos médicos</v>
          </cell>
          <cell r="T37" t="str">
            <v>Si</v>
          </cell>
          <cell r="U37" t="str">
            <v>Verificar la actualización de los PIARen el segundo semestre del año, de acuerdo con el Plan de Mejora</v>
          </cell>
        </row>
        <row r="38">
          <cell r="A38">
            <v>2574</v>
          </cell>
          <cell r="B38"/>
          <cell r="C38" t="str">
            <v>USAQUÉN</v>
          </cell>
          <cell r="D38" t="str">
            <v>PRIVADO</v>
          </cell>
          <cell r="E38" t="str">
            <v>EPBM</v>
          </cell>
          <cell r="F38" t="str">
            <v>COLEGIO_GIOVANNI_PASCOLI</v>
          </cell>
          <cell r="G38" t="str">
            <v>COLEGIO GIOVANNI PASCOLI</v>
          </cell>
          <cell r="H38" t="str">
            <v>Autoevaluación Institucional y Pruebas SABER 11</v>
          </cell>
          <cell r="I38" t="str">
            <v>EVALUACIÓN_CON_FINES_DE_MEJORAMIENTO.</v>
          </cell>
          <cell r="J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8" t="str">
            <v>MARTHA CECILIA MELGAREJO PINTO</v>
          </cell>
          <cell r="L38" t="str">
            <v>MARTHA LUCIA OLAYA VARGAS</v>
          </cell>
          <cell r="M38">
            <v>45791</v>
          </cell>
          <cell r="N38">
            <v>45793</v>
          </cell>
          <cell r="O38">
            <v>45793</v>
          </cell>
          <cell r="P38" t="str">
            <v>Visitas de evaluación con fines de mejoramiento</v>
          </cell>
          <cell r="Q38" t="str">
            <v>Acta Giovanni Pascoli</v>
          </cell>
          <cell r="R38" t="str">
            <v xml:space="preserve">El documento no contiene algunos elementos establecidos en la normatividad, no contempla lo referido en cuanto al libre desarrollo de la personalidad, salidas  escolares, formación de mediadores, instancias con gestión oportuna de conflictos y justicia restaurativa, entre otros componentes 
</v>
          </cell>
          <cell r="S38" t="str">
            <v>Realizará el proceso participativo para la revisión, actualización y adopción del manual de convivencia</v>
          </cell>
          <cell r="T38" t="str">
            <v>Si</v>
          </cell>
          <cell r="U38" t="str">
            <v>Revisar la actualización del manual de conviviencia, de acuerdo con el Plan de Mejora.</v>
          </cell>
        </row>
        <row r="39">
          <cell r="A39">
            <v>2575</v>
          </cell>
          <cell r="B39"/>
          <cell r="C39" t="str">
            <v>USAQUÉN</v>
          </cell>
          <cell r="D39" t="str">
            <v>PRIVADO</v>
          </cell>
          <cell r="E39" t="str">
            <v>EPBM</v>
          </cell>
          <cell r="F39" t="str">
            <v>COLEGIO_GIOVANNI_PASCOLI</v>
          </cell>
          <cell r="G39" t="str">
            <v>COLEGIO GIOVANNI PASCOLI</v>
          </cell>
          <cell r="H39" t="str">
            <v>Autoevaluación Institucional y Pruebas SABER 11</v>
          </cell>
          <cell r="I39" t="str">
            <v>EVALUACIÓN_CON_FINES_DE_MEJORAMIENTO.</v>
          </cell>
          <cell r="J39" t="str">
            <v>Revisar la actualización, socialización e implementación del Sistema Institucional de Evaluación de Estudiantes - SIEE, en articulación con la actualización del PEI y la normatividad vigente.</v>
          </cell>
          <cell r="K39" t="str">
            <v>MARTHA CECILIA MELGAREJO PINTO</v>
          </cell>
          <cell r="L39" t="str">
            <v>MARTHA LUCIA OLAYA VARGAS</v>
          </cell>
          <cell r="M39">
            <v>45791</v>
          </cell>
          <cell r="N39">
            <v>45793</v>
          </cell>
          <cell r="O39">
            <v>45793</v>
          </cell>
          <cell r="P39" t="str">
            <v>Visitas de evaluación con fines de mejoramiento</v>
          </cell>
          <cell r="Q39" t="str">
            <v>Acta Giovanni Pascoli</v>
          </cell>
          <cell r="R39" t="str">
            <v>Contiene las estrategias para resolver las situaciones académicas de los estudiantes, la nivelación y mejoramiento de aprendizaje de los estudiantes</v>
          </cell>
          <cell r="S39" t="str">
            <v xml:space="preserve">Continuar reportando el avance académico de los estudiantes a través de la plataforma dispuesta para ello </v>
          </cell>
          <cell r="T39" t="str">
            <v>No</v>
          </cell>
          <cell r="U39" t="str">
            <v>Verificar el SIIEE y su registro en la plataforma cuando se requiera-</v>
          </cell>
        </row>
        <row r="40">
          <cell r="A40">
            <v>2576</v>
          </cell>
          <cell r="B40"/>
          <cell r="C40" t="str">
            <v>USAQUÉN</v>
          </cell>
          <cell r="D40" t="str">
            <v>PRIVADO</v>
          </cell>
          <cell r="E40" t="str">
            <v>EPBM</v>
          </cell>
          <cell r="F40" t="str">
            <v>COLEGIO_GIOVANNI_PASCOLI</v>
          </cell>
          <cell r="G40" t="str">
            <v>COLEGIO GIOVANNI PASCOLI</v>
          </cell>
          <cell r="H40" t="str">
            <v>Autoevaluación Institucional y Pruebas SABER 11</v>
          </cell>
          <cell r="I40" t="str">
            <v>EVALUACIÓN_CON_FINES_DE_MEJORAMIENTO.</v>
          </cell>
          <cell r="J40" t="str">
            <v>Revisar el calendario escolar, jornada escolar, la intensidad horaria mínima anual en cada nivel y las modificaciones que se realicen al mismo, de acuerdo con lo previsto en la normatividad vigente.</v>
          </cell>
          <cell r="K40" t="str">
            <v>MARTHA CECILIA MELGAREJO PINTO</v>
          </cell>
          <cell r="L40" t="str">
            <v>MARTHA LUCIA OLAYA VARGAS</v>
          </cell>
          <cell r="M40">
            <v>45791</v>
          </cell>
          <cell r="N40">
            <v>45793</v>
          </cell>
          <cell r="O40">
            <v>45793</v>
          </cell>
          <cell r="P40" t="str">
            <v>Visitas de evaluación con fines de mejoramiento</v>
          </cell>
          <cell r="Q40" t="str">
            <v>Acta Giovanni Pascoli</v>
          </cell>
          <cell r="R40" t="str">
            <v xml:space="preserve">La I.E. presenta el calendario escolar el  cual cumple con la intensidad horaria dispuesta en la normatividad educativa </v>
          </cell>
          <cell r="S40" t="str">
            <v>Se continuará prestando  el servicio educativo  con la intensidad horaria dispuesta</v>
          </cell>
          <cell r="T40" t="str">
            <v>No</v>
          </cell>
          <cell r="U40" t="str">
            <v>Verificar la prestación del servicio educativo conforme al calendario escolar cuando se requiera.</v>
          </cell>
        </row>
        <row r="41">
          <cell r="A41">
            <v>2577</v>
          </cell>
          <cell r="B41"/>
          <cell r="C41" t="str">
            <v>USAQUÉN</v>
          </cell>
          <cell r="D41" t="str">
            <v>PRIVADO</v>
          </cell>
          <cell r="E41" t="str">
            <v>EPBM</v>
          </cell>
          <cell r="F41" t="str">
            <v>COLEGIO_GIOVANNI_PASCOLI</v>
          </cell>
          <cell r="G41" t="str">
            <v>COLEGIO GIOVANNI PASCOLI</v>
          </cell>
          <cell r="H41" t="str">
            <v>Autoevaluación Institucional y Pruebas SABER 11</v>
          </cell>
          <cell r="I41" t="str">
            <v>EVALUACIÓN_CON_FINES_DE_MEJORAMIENTO.</v>
          </cell>
          <cell r="J41" t="str">
            <v>Verificar el funcionamiento del Gobierno Escolar e instancias de participación con base en la información sobre conformación reportada por la institución educativa.</v>
          </cell>
          <cell r="K41" t="str">
            <v>MARTHA CECILIA MELGAREJO PINTO</v>
          </cell>
          <cell r="L41" t="str">
            <v>MARTHA LUCIA OLAYA VARGAS</v>
          </cell>
          <cell r="M41">
            <v>45791</v>
          </cell>
          <cell r="N41">
            <v>45793</v>
          </cell>
          <cell r="O41">
            <v>45793</v>
          </cell>
          <cell r="P41" t="str">
            <v>Visitas de evaluación con fines de mejoramiento</v>
          </cell>
          <cell r="Q41" t="str">
            <v>Acta Giovanni Pascoli</v>
          </cell>
          <cell r="R41" t="str">
            <v>El  gobierno escolar y las instancias de participación se encuentran conformadas e instaladas de acuerdo a la normatividad.
No se evidenciaron soportes frente al funcionamiento de gobierno escolar.</v>
          </cell>
          <cell r="S41" t="str">
            <v>El colegio actualizará el reglamento procedimental de gobierno escolar, incorporará el de las instancias de participación estudiantil.
Actualizará el Plan de acción  para cada estamento​.</v>
          </cell>
          <cell r="T41" t="str">
            <v>Si</v>
          </cell>
          <cell r="U41" t="str">
            <v>Realizar  la verificación de la actualización  del reglamento procedimental de gobierno escolar y de las instancias de participación estudiantil. Así como  el  plan de acción  para cada estamento, de acuerdo con el Plan de Mejora.</v>
          </cell>
        </row>
        <row r="42">
          <cell r="A42">
            <v>2578</v>
          </cell>
          <cell r="B42"/>
          <cell r="C42" t="str">
            <v>USAQUÉN</v>
          </cell>
          <cell r="D42" t="str">
            <v>PRIVADO</v>
          </cell>
          <cell r="E42" t="str">
            <v>EPBM</v>
          </cell>
          <cell r="F42" t="str">
            <v>COLEGIO_GIOVANNI_PASCOLI</v>
          </cell>
          <cell r="G42" t="str">
            <v>COLEGIO GIOVANNI PASCOLI</v>
          </cell>
          <cell r="H42" t="str">
            <v>Autoevaluación Institucional y Pruebas SABER 11</v>
          </cell>
          <cell r="I42" t="str">
            <v>EVALUACIÓN_CON_FINES_DE_MEJORAMIENTO.</v>
          </cell>
          <cell r="J42" t="str">
            <v>Verificar las condiciones en cuanto a: la estructura administrativa, condiciones de la planta física y medios educativos adecuados.</v>
          </cell>
          <cell r="K42" t="str">
            <v>MARTHA CECILIA MELGAREJO PINTO</v>
          </cell>
          <cell r="L42" t="str">
            <v>MARTHA LUCIA OLAYA VARGAS</v>
          </cell>
          <cell r="M42">
            <v>45791</v>
          </cell>
          <cell r="N42">
            <v>45793</v>
          </cell>
          <cell r="O42">
            <v>45793</v>
          </cell>
          <cell r="P42" t="str">
            <v>Visitas de evaluación con fines de mejoramiento</v>
          </cell>
          <cell r="Q42" t="str">
            <v>Acta Giovanni Pascoli</v>
          </cell>
          <cell r="R42" t="str">
            <v>En cuanto a la planta física no cuenta con concepto sanitario favorable  vigente y sin observaciones. Cuenta con estructura administrativa y medios educativos adecuados para la prestasción del servicio educativo</v>
          </cell>
          <cell r="S42" t="str">
            <v>La I.E. realizará las acciones correspondientes ante la Secretaría Distrital de salud para obtener el concepto sanitario favorable y sin observaciones</v>
          </cell>
          <cell r="T42" t="str">
            <v>Si</v>
          </cell>
          <cell r="U42" t="str">
            <v>Revisar el certificado sanitario expedido por la Secretaría Distrital de Salud a 2025, para verificar si el concepto es favorable y sin requerimientos.</v>
          </cell>
        </row>
        <row r="43">
          <cell r="A43">
            <v>2579</v>
          </cell>
          <cell r="B43">
            <v>5</v>
          </cell>
          <cell r="C43" t="str">
            <v>USAQUÉN</v>
          </cell>
          <cell r="D43" t="str">
            <v>PRIVADO</v>
          </cell>
          <cell r="E43" t="str">
            <v>EPBM</v>
          </cell>
          <cell r="F43" t="str">
            <v>LICEO_PSICOPEDAGOGICO_TIBABITA</v>
          </cell>
          <cell r="G43" t="str">
            <v>LICEO PSICOPEDAGOGICO TIBABITA</v>
          </cell>
          <cell r="H43" t="str">
            <v>Autoevaluación Institucional y Pruebas SABER 11</v>
          </cell>
          <cell r="I43" t="str">
            <v>SEGUIMIENTO_Y_SUPERVISIÓN.</v>
          </cell>
          <cell r="J43" t="str">
            <v>Realizar visitas para verificar la información registrada sobre la autoevaluación institucional en el aplicativo EVI, a los establecimientos de educación formal no oficial.</v>
          </cell>
          <cell r="K43" t="str">
            <v>MARIA TERESA GAVIRIA LOZANO</v>
          </cell>
          <cell r="L43" t="str">
            <v>MARTHA CECILIA MELGAREJO PINTO</v>
          </cell>
          <cell r="M43">
            <v>45807</v>
          </cell>
          <cell r="N43">
            <v>45807</v>
          </cell>
          <cell r="O43">
            <v>45807</v>
          </cell>
          <cell r="P43" t="str">
            <v>Visitas de evaluación con fines de seguimiento</v>
          </cell>
          <cell r="Q43" t="str">
            <v>Acta Piscop. Tibabita</v>
          </cell>
          <cell r="R43" t="str">
            <v xml:space="preserve">La autoevaluacion institucional se ajusta a la situación  actual.  
Se encuentra que el documento PEI, lo conforman documentos separados
La Institución debe realizar un Plan de Mantenimiento de la Infraestructura, para cumplir con los requerimientos realizados por la Secretaria de Salud. 
</v>
          </cell>
          <cell r="S43" t="str">
            <v>La Institución realizará la actualización del Proyecto Institucional Educativo unificando los criterios de Plan de Estudio y sus bases curriculares entre otros y diseñar plan de mantenimiento de la planta física para dar cumplimiento a las solicitudes de la Secretaría de salud</v>
          </cell>
          <cell r="T43" t="str">
            <v>Si</v>
          </cell>
          <cell r="U43" t="str">
            <v>Comprobar la unificación y actualización del PEI  y del  diseño del plan de mantenimiento  de acuerdo con el Plan de mejora</v>
          </cell>
        </row>
        <row r="44">
          <cell r="A44">
            <v>2580</v>
          </cell>
          <cell r="B44"/>
          <cell r="C44" t="str">
            <v>USAQUÉN</v>
          </cell>
          <cell r="D44" t="str">
            <v>PRIVADO</v>
          </cell>
          <cell r="E44" t="str">
            <v>EPBM</v>
          </cell>
          <cell r="F44" t="str">
            <v>LICEO_PSICOPEDAGOGICO_TIBABITA</v>
          </cell>
          <cell r="G44" t="str">
            <v>LICEO PSICOPEDAGOGICO TIBABITA</v>
          </cell>
          <cell r="H44" t="str">
            <v>Autoevaluación Institucional y Pruebas SABER 11</v>
          </cell>
          <cell r="I44" t="str">
            <v>SEGUIMIENTO_Y_SUPERVISIÓN.</v>
          </cell>
          <cell r="J44" t="str">
            <v>Proponer estrategias en la formulación, verificar su elaboración y realizar seguimiento semestral al desarrollo de  las acciones establecidas en los planes de mejoramiento por pruebas SABER 11 de los establecimientos de educación formal.</v>
          </cell>
          <cell r="K44" t="str">
            <v>MARIA TERESA GAVIRIA LOZANO</v>
          </cell>
          <cell r="L44" t="str">
            <v>MARTHA CECILIA MELGAREJO PINTO</v>
          </cell>
          <cell r="M44">
            <v>45807</v>
          </cell>
          <cell r="N44">
            <v>45807</v>
          </cell>
          <cell r="O44">
            <v>45807</v>
          </cell>
          <cell r="P44" t="str">
            <v>Visitas de evaluación con fines de seguimiento</v>
          </cell>
          <cell r="Q44" t="str">
            <v>Acta Piscop. Tibabita</v>
          </cell>
          <cell r="R44" t="str">
            <v xml:space="preserve">La Institución diseño un plan de mejoramiento despues de realizar simulacro de abril de 2025,  donde  se identificaron las áreas a mejorar. </v>
          </cell>
          <cell r="S44" t="str">
            <v>La I.E. continuará desarrollando talleres de lectura, cuestionarios de entrenamiento y desde el Plan Lector y textos, los talleres literarios, el analisis de preguntas, para el desarrollo de la  logica, el  pensamiento critico,</v>
          </cell>
          <cell r="T44" t="str">
            <v>Si</v>
          </cell>
          <cell r="U44" t="str">
            <v>Verificar la implementación del plan de mejoramiento definido.</v>
          </cell>
        </row>
        <row r="45">
          <cell r="A45">
            <v>2581</v>
          </cell>
          <cell r="B45"/>
          <cell r="C45" t="str">
            <v>USAQUÉN</v>
          </cell>
          <cell r="D45" t="str">
            <v>PRIVADO</v>
          </cell>
          <cell r="E45" t="str">
            <v>EPBM</v>
          </cell>
          <cell r="F45" t="str">
            <v>LICEO_PSICOPEDAGOGICO_TIBABITA</v>
          </cell>
          <cell r="G45" t="str">
            <v>LICEO PSICOPEDAGOGICO TIBABITA</v>
          </cell>
          <cell r="H45" t="str">
            <v>Autoevaluación Institucional y Pruebas SABER 11</v>
          </cell>
          <cell r="I45" t="str">
            <v>SEGUIMIENTO_Y_SUPERVISIÓN.</v>
          </cell>
          <cell r="J45" t="str">
            <v xml:space="preserve">Verificar la implementación por parte de los colegios, de acciones realizadas para la prevención y atención de las situaciones de convivencia en el entorno escolar, según lo establecido en la Directiva 01 de 2022 del MEN. </v>
          </cell>
          <cell r="K45" t="str">
            <v>MARIA TERESA GAVIRIA LOZANO</v>
          </cell>
          <cell r="L45" t="str">
            <v>MARTHA CECILIA MELGAREJO PINTO</v>
          </cell>
          <cell r="M45">
            <v>45807</v>
          </cell>
          <cell r="N45">
            <v>45807</v>
          </cell>
          <cell r="O45">
            <v>45807</v>
          </cell>
          <cell r="P45" t="str">
            <v>Visitas de evaluación con fines de seguimiento</v>
          </cell>
          <cell r="Q45" t="str">
            <v>Acta Piscop. Tibabita</v>
          </cell>
          <cell r="R45" t="str">
            <v xml:space="preserve">Se realiza la consulta de inhabilidades para todo el personal vincuado. Se implementan acciones de prevencion y promoción  para minimizar la ocurrencia de situaciones de violencia contra los estudiantes </v>
          </cell>
          <cell r="S45" t="str">
            <v xml:space="preserve">La institucion educativa continuará realizando las acciones de prevención y promocion y la actualización de la consulta de inhabilidades en los téminos dispuestos </v>
          </cell>
          <cell r="T45" t="str">
            <v>No</v>
          </cell>
          <cell r="U45" t="str">
            <v xml:space="preserve">Verificar la continuidad de las acciones   de prevención y promoción </v>
          </cell>
        </row>
        <row r="46">
          <cell r="A46">
            <v>2582</v>
          </cell>
          <cell r="B46"/>
          <cell r="C46" t="str">
            <v>USAQUÉN</v>
          </cell>
          <cell r="D46" t="str">
            <v>PRIVADO</v>
          </cell>
          <cell r="E46" t="str">
            <v>EPBM</v>
          </cell>
          <cell r="F46" t="str">
            <v>LICEO_PSICOPEDAGOGICO_TIBABITA</v>
          </cell>
          <cell r="G46" t="str">
            <v>LICEO PSICOPEDAGOGICO TIBABITA</v>
          </cell>
          <cell r="H46" t="str">
            <v>Autoevaluación Institucional y Pruebas SABER 11</v>
          </cell>
          <cell r="I46" t="str">
            <v>SEGUIMIENTO_Y_SUPERVISIÓN.</v>
          </cell>
          <cell r="J4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6" t="str">
            <v>MARIA TERESA GAVIRIA LOZANO</v>
          </cell>
          <cell r="L46" t="str">
            <v>MARTHA CECILIA MELGAREJO PINTO</v>
          </cell>
          <cell r="M46">
            <v>45807</v>
          </cell>
          <cell r="N46">
            <v>45807</v>
          </cell>
          <cell r="O46">
            <v>45807</v>
          </cell>
          <cell r="P46" t="str">
            <v>Visitas de evaluación con fines de seguimiento</v>
          </cell>
          <cell r="Q46" t="str">
            <v>Acta Piscop. Tibabita</v>
          </cell>
          <cell r="R46" t="str">
            <v>La institución edcuativa no cuenta con estudiantes con discapacidad,y/o trastornos de aprendizaje</v>
          </cell>
          <cell r="S46" t="str">
            <v xml:space="preserve">El colegio ante la identificación  y caracterización de estudiantes con discapacidad y problemas de apendizaje, diseñara e implementará los Planes Individuales de  Ajuste Razonable  </v>
          </cell>
          <cell r="T46" t="str">
            <v>No</v>
          </cell>
          <cell r="U46" t="str">
            <v>Verificar los PIAR, cuando se requieran</v>
          </cell>
        </row>
        <row r="47">
          <cell r="A47">
            <v>2583</v>
          </cell>
          <cell r="B47"/>
          <cell r="C47" t="str">
            <v>USAQUÉN</v>
          </cell>
          <cell r="D47" t="str">
            <v>PRIVADO</v>
          </cell>
          <cell r="E47" t="str">
            <v>EPBM</v>
          </cell>
          <cell r="F47" t="str">
            <v>LICEO_PSICOPEDAGOGICO_TIBABITA</v>
          </cell>
          <cell r="G47" t="str">
            <v>LICEO PSICOPEDAGOGICO TIBABITA</v>
          </cell>
          <cell r="H47" t="str">
            <v>Autoevaluación Institucional y Pruebas SABER 11</v>
          </cell>
          <cell r="I47" t="str">
            <v>EVALUACIÓN_CON_FINES_DE_MEJORAMIENTO.</v>
          </cell>
          <cell r="J4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7" t="str">
            <v>MARIA TERESA GAVIRIA LOZANO</v>
          </cell>
          <cell r="L47" t="str">
            <v>MARTHA CECILIA MELGAREJO PINTO</v>
          </cell>
          <cell r="M47">
            <v>45807</v>
          </cell>
          <cell r="N47">
            <v>45807</v>
          </cell>
          <cell r="O47">
            <v>45807</v>
          </cell>
          <cell r="P47" t="str">
            <v>Visitas de evaluación con fines de mejoramiento</v>
          </cell>
          <cell r="Q47" t="str">
            <v>Acta Piscop. Tibabita</v>
          </cell>
          <cell r="R47" t="str">
            <v>El documento no contiene algunos elementos establecidos en la normatividad , en especial los procedimientos para  la gestión oportuna de conflictos  con justicia restaurativa y la formación de mediadores y conciliadores</v>
          </cell>
          <cell r="S47" t="str">
            <v>El colegio realizará el procedimiento participativo con la comunidad educativa para realizar los ajustes y actualización del documento M.C.
La Institución  realizará el Plan de acción  para las lineas pedagógicos y convivenciales, el cual contendrá aspectos de ejecución y evidencia de su evaluación.</v>
          </cell>
          <cell r="T47" t="str">
            <v>Si</v>
          </cell>
          <cell r="U47" t="str">
            <v>Constatación  de la actualización del documento  y del plan de acción mediante la revisión  de la nueva versión</v>
          </cell>
        </row>
        <row r="48">
          <cell r="A48">
            <v>2584</v>
          </cell>
          <cell r="B48"/>
          <cell r="C48" t="str">
            <v>USAQUÉN</v>
          </cell>
          <cell r="D48" t="str">
            <v>PRIVADO</v>
          </cell>
          <cell r="E48" t="str">
            <v>EPBM</v>
          </cell>
          <cell r="F48" t="str">
            <v>LICEO_PSICOPEDAGOGICO_TIBABITA</v>
          </cell>
          <cell r="G48" t="str">
            <v>LICEO PSICOPEDAGOGICO TIBABITA</v>
          </cell>
          <cell r="H48" t="str">
            <v>Autoevaluación Institucional y Pruebas SABER 11</v>
          </cell>
          <cell r="I48" t="str">
            <v>EVALUACIÓN_CON_FINES_DE_MEJORAMIENTO.</v>
          </cell>
          <cell r="J48" t="str">
            <v>Revisar la actualización, socialización e implementación del Sistema Institucional de Evaluación de Estudiantes - SIEE, en articulación con la actualización del PEI y la normatividad vigente.</v>
          </cell>
          <cell r="K48" t="str">
            <v>MARIA TERESA GAVIRIA LOZANO</v>
          </cell>
          <cell r="L48" t="str">
            <v>MARTHA CECILIA MELGAREJO PINTO</v>
          </cell>
          <cell r="M48">
            <v>45807</v>
          </cell>
          <cell r="N48">
            <v>45807</v>
          </cell>
          <cell r="O48">
            <v>45807</v>
          </cell>
          <cell r="P48" t="str">
            <v>Visitas de evaluación con fines de mejoramiento</v>
          </cell>
          <cell r="Q48" t="str">
            <v>Acta Piscop. Tibabita</v>
          </cell>
          <cell r="R48" t="str">
            <v>El SIEE cuenta con  estrategias de apoyo para resolver situciones pedagógicas y para nivelar y mejorar el aprendizaje de los estudiantes</v>
          </cell>
          <cell r="S48" t="str">
            <v>El colegio continuará implementando las estrategias para apoyar a los estudiantes en el mejoramiento de su aprendizaje</v>
          </cell>
          <cell r="T48" t="str">
            <v>No</v>
          </cell>
          <cell r="U48" t="str">
            <v xml:space="preserve">Verificación de la implementación de las estrategias de apoyo y de la actualización  de este como parte integrante del PEI  </v>
          </cell>
        </row>
        <row r="49">
          <cell r="A49">
            <v>2585</v>
          </cell>
          <cell r="B49"/>
          <cell r="C49" t="str">
            <v>USAQUÉN</v>
          </cell>
          <cell r="D49" t="str">
            <v>PRIVADO</v>
          </cell>
          <cell r="E49" t="str">
            <v>EPBM</v>
          </cell>
          <cell r="F49" t="str">
            <v>LICEO_PSICOPEDAGOGICO_TIBABITA</v>
          </cell>
          <cell r="G49" t="str">
            <v>LICEO PSICOPEDAGOGICO TIBABITA</v>
          </cell>
          <cell r="H49" t="str">
            <v>Autoevaluación Institucional y Pruebas SABER 11</v>
          </cell>
          <cell r="I49" t="str">
            <v>EVALUACIÓN_CON_FINES_DE_MEJORAMIENTO.</v>
          </cell>
          <cell r="J49" t="str">
            <v>Revisar el calendario escolar, jornada escolar, la intensidad horaria mínima anual en cada nivel y las modificaciones que se realicen al mismo, de acuerdo con lo previsto en la normatividad vigente.</v>
          </cell>
          <cell r="K49" t="str">
            <v>MARIA TERESA GAVIRIA LOZANO</v>
          </cell>
          <cell r="L49" t="str">
            <v>MARTHA CECILIA MELGAREJO PINTO</v>
          </cell>
          <cell r="M49">
            <v>45807</v>
          </cell>
          <cell r="N49">
            <v>45807</v>
          </cell>
          <cell r="O49">
            <v>45807</v>
          </cell>
          <cell r="P49" t="str">
            <v>Visitas de evaluación con fines de mejoramiento</v>
          </cell>
          <cell r="Q49" t="str">
            <v>Acta Piscop. Tibabita</v>
          </cell>
          <cell r="R49" t="str">
            <v xml:space="preserve">L a I.E. presenta el calendario escolar el  cual cumple con la intensidad horaria dispuesta en la normatividad educativa </v>
          </cell>
          <cell r="S49" t="str">
            <v>Se continuará prestando  el servicio educativo  con la intensidad horaria dispuesta</v>
          </cell>
          <cell r="T49" t="str">
            <v>No</v>
          </cell>
          <cell r="U49" t="str">
            <v>Verificar la continuidad de la prestación del servicio educativo conforme a lo establecido por el colegio</v>
          </cell>
        </row>
        <row r="50">
          <cell r="A50">
            <v>2586</v>
          </cell>
          <cell r="B50"/>
          <cell r="C50" t="str">
            <v>USAQUÉN</v>
          </cell>
          <cell r="D50" t="str">
            <v>PRIVADO</v>
          </cell>
          <cell r="E50" t="str">
            <v>EPBM</v>
          </cell>
          <cell r="F50" t="str">
            <v>LICEO_PSICOPEDAGOGICO_TIBABITA</v>
          </cell>
          <cell r="G50" t="str">
            <v>LICEO PSICOPEDAGOGICO TIBABITA</v>
          </cell>
          <cell r="H50" t="str">
            <v>Autoevaluación Institucional y Pruebas SABER 11</v>
          </cell>
          <cell r="I50" t="str">
            <v>EVALUACIÓN_CON_FINES_DE_MEJORAMIENTO.</v>
          </cell>
          <cell r="J50" t="str">
            <v>Verificar el funcionamiento del Gobierno Escolar e instancias de participación con base en la información sobre conformación reportada por la institución educativa.</v>
          </cell>
          <cell r="K50" t="str">
            <v>MARIA TERESA GAVIRIA LOZANO</v>
          </cell>
          <cell r="L50" t="str">
            <v>MARTHA CECILIA MELGAREJO PINTO</v>
          </cell>
          <cell r="M50">
            <v>45807</v>
          </cell>
          <cell r="N50">
            <v>45807</v>
          </cell>
          <cell r="O50">
            <v>45807</v>
          </cell>
          <cell r="P50" t="str">
            <v>Visitas de evaluación con fines de mejoramiento</v>
          </cell>
          <cell r="Q50" t="str">
            <v>Acta Piscop. Tibabita</v>
          </cell>
          <cell r="R50" t="str">
            <v xml:space="preserve">El  gobierno escolar y las instancias de participación se encuentran conformadas e instaladas de acuerdo a la normatividad </v>
          </cell>
          <cell r="S50" t="str">
            <v>La Institución  realizará el  plan de acción y reglamento para las instancias de participación y los estamentos de gobierno escolar.</v>
          </cell>
          <cell r="T50" t="str">
            <v>Si</v>
          </cell>
          <cell r="U50" t="str">
            <v>Constatación  del  plan de acción y reglamento para las instancias de participación y los estamentos de gobierno escolar.</v>
          </cell>
        </row>
        <row r="51">
          <cell r="A51">
            <v>2587</v>
          </cell>
          <cell r="B51"/>
          <cell r="C51" t="str">
            <v>USAQUÉN</v>
          </cell>
          <cell r="D51" t="str">
            <v>PRIVADO</v>
          </cell>
          <cell r="E51" t="str">
            <v>EPBM</v>
          </cell>
          <cell r="F51" t="str">
            <v>LICEO_PSICOPEDAGOGICO_TIBABITA</v>
          </cell>
          <cell r="G51" t="str">
            <v>LICEO PSICOPEDAGOGICO TIBABITA</v>
          </cell>
          <cell r="H51" t="str">
            <v>Autoevaluación Institucional y Pruebas SABER 11</v>
          </cell>
          <cell r="I51" t="str">
            <v>EVALUACIÓN_CON_FINES_DE_MEJORAMIENTO.</v>
          </cell>
          <cell r="J51" t="str">
            <v>Verificar las condiciones en cuanto a: la estructura administrativa, condiciones de la planta física y medios educativos adecuados.</v>
          </cell>
          <cell r="K51" t="str">
            <v>MARIA TERESA GAVIRIA LOZANO</v>
          </cell>
          <cell r="L51" t="str">
            <v>MARTHA CECILIA MELGAREJO PINTO</v>
          </cell>
          <cell r="M51">
            <v>45807</v>
          </cell>
          <cell r="N51">
            <v>45807</v>
          </cell>
          <cell r="O51">
            <v>45807</v>
          </cell>
          <cell r="P51" t="str">
            <v>Visitas de evaluación con fines de mejoramiento</v>
          </cell>
          <cell r="Q51" t="str">
            <v>Acta Piscop. Tibabita</v>
          </cell>
          <cell r="R51" t="str">
            <v>La planta física requiere mantenimiento, cuenta con la dotación necesaria para prestar el servicio educativo, cuenta con señalización, así como rutas de evacuación.</v>
          </cell>
          <cell r="S51" t="str">
            <v xml:space="preserve">El colegio realizará un plan de Mantenimiento de la Infraestructura para cumplir con los requerimientos realizados por la Secretaria de Salud. </v>
          </cell>
          <cell r="T51" t="str">
            <v>Si</v>
          </cell>
          <cell r="U51" t="str">
            <v>Verificación del diseño del plan de mantenimiento para el cumplimiento de los requerimientos de la Secretaria de salud</v>
          </cell>
        </row>
        <row r="52">
          <cell r="A52">
            <v>2588</v>
          </cell>
          <cell r="B52">
            <v>6</v>
          </cell>
          <cell r="C52" t="str">
            <v>USAQUÉN</v>
          </cell>
          <cell r="D52" t="str">
            <v>PRIVADO</v>
          </cell>
          <cell r="E52" t="str">
            <v>Educación de Jóvenes y Adultos</v>
          </cell>
          <cell r="F52" t="str">
            <v>COLEGIO_MONTERROSALES___CICLOS</v>
          </cell>
          <cell r="G52" t="str">
            <v>COLEGIO MONTERROSALES - CICLOS</v>
          </cell>
          <cell r="H52" t="str">
            <v>Autoevaluación Institucional y Pruebas SABER 11</v>
          </cell>
          <cell r="I52" t="str">
            <v>SEGUIMIENTO_Y_SUPERVISIÓN.</v>
          </cell>
          <cell r="J52" t="str">
            <v>Realizar visitas para verificar la información registrada sobre la autoevaluación institucional en el aplicativo EVI, a los establecimientos de educación formal no oficial.</v>
          </cell>
          <cell r="K52" t="str">
            <v>MARTHA LUCIA OLAYA VARGAS</v>
          </cell>
          <cell r="L52" t="str">
            <v>MARIA TERESA GAVIRIA LOZANO</v>
          </cell>
          <cell r="M52">
            <v>45814</v>
          </cell>
          <cell r="N52">
            <v>45814</v>
          </cell>
          <cell r="O52">
            <v>45814</v>
          </cell>
          <cell r="P52" t="str">
            <v>Visitas de evaluación con fines de seguimiento</v>
          </cell>
          <cell r="Q52" t="str">
            <v>Acta Visita_Colegio_Monterosales_Ciclos.pdf</v>
          </cell>
          <cell r="R52" t="str">
            <v>Se evidencia que la información registrada en la autoevaluación, coincide con lo verificado en la visita respecto  a infraestructura, personal y estudiantes.</v>
          </cell>
          <cell r="S52" t="str">
            <v>Continuar con la autoevaluación anual y realizar los ajustes que se requieran</v>
          </cell>
          <cell r="T52" t="str">
            <v>No</v>
          </cell>
          <cell r="U52" t="str">
            <v>Verificar la autoevaluación del año 2025, para definir  las tarifas del 2026.</v>
          </cell>
        </row>
        <row r="53">
          <cell r="A53">
            <v>2589</v>
          </cell>
          <cell r="B53"/>
          <cell r="C53" t="str">
            <v>USAQUÉN</v>
          </cell>
          <cell r="D53" t="str">
            <v>PRIVADO</v>
          </cell>
          <cell r="E53" t="str">
            <v>Educación de Jóvenes y Adultos</v>
          </cell>
          <cell r="F53" t="str">
            <v>COLEGIO_MONTERROSALES___CICLOS</v>
          </cell>
          <cell r="G53" t="str">
            <v>COLEGIO MONTERROSALES - CICLOS</v>
          </cell>
          <cell r="H53" t="str">
            <v>Autoevaluación Institucional y Pruebas SABER 11</v>
          </cell>
          <cell r="I53" t="str">
            <v>SEGUIMIENTO_Y_SUPERVISIÓN.</v>
          </cell>
          <cell r="J53" t="str">
            <v>Proponer estrategias en la formulación, verificar su elaboración y realizar seguimiento semestral al desarrollo de  las acciones establecidas en los planes de mejoramiento por pruebas SABER 11 de los establecimientos de educación formal.</v>
          </cell>
          <cell r="K53" t="str">
            <v>MARTHA LUCIA OLAYA VARGAS</v>
          </cell>
          <cell r="L53" t="str">
            <v>MARIA TERESA GAVIRIA LOZANO</v>
          </cell>
          <cell r="M53">
            <v>45814</v>
          </cell>
          <cell r="N53">
            <v>45814</v>
          </cell>
          <cell r="O53">
            <v>45814</v>
          </cell>
          <cell r="P53" t="str">
            <v>Visitas de evaluación con fines de seguimiento</v>
          </cell>
          <cell r="Q53" t="str">
            <v>Acta Visita_Colegio_Monterosales_Ciclos.pdf</v>
          </cell>
          <cell r="R53" t="str">
            <v>Se evidenció el análisis a los resultados de las pruebas saber del año 2024 y años anteriores.
Realizaron el Plan de Mejoramiento para el año 2025, tienen identificación de problemas y dificultades en áreas para aplicar en los ciclos correspondientes, pero deeb ajustar el plan de estudios y el curriculum</v>
          </cell>
          <cell r="S53" t="str">
            <v xml:space="preserve">Realizar Plan de Mejora, donde se ajuste el curriculum y el plan de estudios del ciclo II de educación Media. </v>
          </cell>
          <cell r="T53" t="str">
            <v>Si</v>
          </cell>
          <cell r="U53" t="str">
            <v>Verificarar el PEI y el  Manual de Conviencia en el mes de enero de 2026</v>
          </cell>
        </row>
        <row r="54">
          <cell r="A54">
            <v>2590</v>
          </cell>
          <cell r="B54"/>
          <cell r="C54" t="str">
            <v>USAQUÉN</v>
          </cell>
          <cell r="D54" t="str">
            <v>PRIVADO</v>
          </cell>
          <cell r="E54" t="str">
            <v>Educación de Jóvenes y Adultos</v>
          </cell>
          <cell r="F54" t="str">
            <v>COLEGIO_MONTERROSALES___CICLOS</v>
          </cell>
          <cell r="G54" t="str">
            <v>COLEGIO MONTERROSALES - CICLOS</v>
          </cell>
          <cell r="H54" t="str">
            <v>Autoevaluación Institucional y Pruebas SABER 11</v>
          </cell>
          <cell r="I54" t="str">
            <v>SEGUIMIENTO_Y_SUPERVISIÓN.</v>
          </cell>
          <cell r="J54" t="str">
            <v xml:space="preserve">Verificar la implementación por parte de los colegios, de acciones realizadas para la prevención y atención de las situaciones de convivencia en el entorno escolar, según lo establecido en la Directiva 01 de 2022 del MEN. </v>
          </cell>
          <cell r="K54" t="str">
            <v>MARTHA LUCIA OLAYA VARGAS</v>
          </cell>
          <cell r="L54" t="str">
            <v>MARIA TERESA GAVIRIA LOZANO</v>
          </cell>
          <cell r="M54">
            <v>45814</v>
          </cell>
          <cell r="N54">
            <v>45814</v>
          </cell>
          <cell r="O54">
            <v>45814</v>
          </cell>
          <cell r="P54" t="str">
            <v>Visitas de evaluación con fines de seguimiento</v>
          </cell>
          <cell r="Q54" t="str">
            <v>Acta Visita_Colegio_Monterosales_Ciclos.pdf</v>
          </cell>
          <cell r="R54" t="str">
            <v>Tienen definido el Comité de Convivencia, sus funciones y reglamento. 
Esta definida la Ruta de atención integral para la atención de situaciones de convivencia. 
Verifican cada 4 meses las inhabilidades por delitos sexuales del personal administrativo y docente de la Institución educativa, según lo establecido en la Directiva 01 MEN 2022</v>
          </cell>
          <cell r="S54" t="str">
            <v>Se evidencia el cumplimiento de la normatividad establecida en la Directiva 01 de 2022 del MEN. Se debe continuar con esta práctica en la Institución.</v>
          </cell>
          <cell r="T54" t="str">
            <v>No</v>
          </cell>
          <cell r="U54" t="str">
            <v>Se hará verificación en caso de presentarse alguna queja.</v>
          </cell>
        </row>
        <row r="55">
          <cell r="A55">
            <v>2591</v>
          </cell>
          <cell r="B55"/>
          <cell r="C55" t="str">
            <v>USAQUÉN</v>
          </cell>
          <cell r="D55" t="str">
            <v>PRIVADO</v>
          </cell>
          <cell r="E55" t="str">
            <v>Educación de Jóvenes y Adultos</v>
          </cell>
          <cell r="F55" t="str">
            <v>COLEGIO_MONTERROSALES___CICLOS</v>
          </cell>
          <cell r="G55" t="str">
            <v>COLEGIO MONTERROSALES - CICLOS</v>
          </cell>
          <cell r="H55" t="str">
            <v>Autoevaluación Institucional y Pruebas SABER 11</v>
          </cell>
          <cell r="I55" t="str">
            <v>SEGUIMIENTO_Y_SUPERVISIÓN.</v>
          </cell>
          <cell r="J5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5" t="str">
            <v>MARTHA LUCIA OLAYA VARGAS</v>
          </cell>
          <cell r="L55" t="str">
            <v>MARIA TERESA GAVIRIA LOZANO</v>
          </cell>
          <cell r="M55">
            <v>45814</v>
          </cell>
          <cell r="N55">
            <v>45814</v>
          </cell>
          <cell r="O55">
            <v>45814</v>
          </cell>
          <cell r="P55" t="str">
            <v>Visitas de evaluación con fines de seguimiento</v>
          </cell>
          <cell r="Q55" t="str">
            <v>Acta Visita_Colegio_Monterosales_Ciclos.pdf</v>
          </cell>
          <cell r="R55" t="str">
            <v>Cuentan con Planes individuales de ajustes razonables diseñados por la Insitución para los 3 estudiantes con trastornos de aprendizaje, pero no estan en el formato definido por el Ministerio de Educación Nacional - MEN.
La información esta sistematizada, no cuentan con carpetas físicas por estudiante.</v>
          </cell>
          <cell r="S55" t="str">
            <v>Deben realizar los ajustes razonables para los estudiantes de acuerdo con los formatos definidos por el Ministerio de Educación Nacional - MEN y organizar la información por estudiante, para hacer seguimiento.</v>
          </cell>
          <cell r="T55" t="str">
            <v>Si</v>
          </cell>
          <cell r="U55" t="str">
            <v>Se verificará el cumplimiento de acuerdo con el plan de mejoramiento para el 11/12/2025</v>
          </cell>
        </row>
        <row r="56">
          <cell r="A56">
            <v>2592</v>
          </cell>
          <cell r="B56"/>
          <cell r="C56" t="str">
            <v>USAQUÉN</v>
          </cell>
          <cell r="D56" t="str">
            <v>PRIVADO</v>
          </cell>
          <cell r="E56" t="str">
            <v>Educación de Jóvenes y Adultos</v>
          </cell>
          <cell r="F56" t="str">
            <v>COLEGIO_MONTERROSALES___CICLOS</v>
          </cell>
          <cell r="G56" t="str">
            <v>COLEGIO MONTERROSALES - CICLOS</v>
          </cell>
          <cell r="H56" t="str">
            <v>Autoevaluación Institucional y Pruebas SABER 11</v>
          </cell>
          <cell r="I56" t="str">
            <v>EVALUACIÓN_CON_FINES_DE_MEJORAMIENTO.</v>
          </cell>
          <cell r="J5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6" t="str">
            <v>MARTHA LUCIA OLAYA VARGAS</v>
          </cell>
          <cell r="L56" t="str">
            <v>MARIA TERESA GAVIRIA LOZANO</v>
          </cell>
          <cell r="M56">
            <v>45814</v>
          </cell>
          <cell r="N56">
            <v>45814</v>
          </cell>
          <cell r="O56">
            <v>45814</v>
          </cell>
          <cell r="P56" t="str">
            <v>Visitas de evaluación con fines de mejoramiento</v>
          </cell>
          <cell r="Q56" t="str">
            <v>Acta Visita_Colegio_Monterosales_Ciclos.pdf</v>
          </cell>
          <cell r="R56" t="str">
            <v>Se identifica que la última actualización que realizaron al manual de convivencia fue en el año 2023.
Han realizado avances y ajustes pero no los han concretado, siguen socializando el del año 2023.</v>
          </cell>
          <cell r="S56" t="str">
            <v>Actualizar el manual de convivencia de acuerdo con la normatividad vigente</v>
          </cell>
          <cell r="T56" t="str">
            <v>Si</v>
          </cell>
          <cell r="U56" t="str">
            <v>Revisar el Manual de convivencia de acuerdo con el plan de mejoramiento para el 11/12/2025</v>
          </cell>
        </row>
        <row r="57">
          <cell r="A57">
            <v>2593</v>
          </cell>
          <cell r="B57"/>
          <cell r="C57" t="str">
            <v>USAQUÉN</v>
          </cell>
          <cell r="D57" t="str">
            <v>PRIVADO</v>
          </cell>
          <cell r="E57" t="str">
            <v>Educación de Jóvenes y Adultos</v>
          </cell>
          <cell r="F57" t="str">
            <v>COLEGIO_MONTERROSALES___CICLOS</v>
          </cell>
          <cell r="G57" t="str">
            <v>COLEGIO MONTERROSALES - CICLOS</v>
          </cell>
          <cell r="H57" t="str">
            <v>Autoevaluación Institucional y Pruebas SABER 11</v>
          </cell>
          <cell r="I57" t="str">
            <v>EVALUACIÓN_CON_FINES_DE_MEJORAMIENTO.</v>
          </cell>
          <cell r="J57" t="str">
            <v>Revisar la actualización, socialización e implementación del Sistema Institucional de Evaluación de Estudiantes - SIEE, en articulación con la actualización del PEI y la normatividad vigente.</v>
          </cell>
          <cell r="K57" t="str">
            <v>MARTHA LUCIA OLAYA VARGAS</v>
          </cell>
          <cell r="L57" t="str">
            <v>MARIA TERESA GAVIRIA LOZANO</v>
          </cell>
          <cell r="M57">
            <v>45814</v>
          </cell>
          <cell r="N57">
            <v>45814</v>
          </cell>
          <cell r="O57">
            <v>45814</v>
          </cell>
          <cell r="P57" t="str">
            <v>Visitas de evaluación con fines de mejoramiento</v>
          </cell>
          <cell r="Q57" t="str">
            <v>Acta Visita_Colegio_Monterosales_Ciclos.pdf</v>
          </cell>
          <cell r="R57" t="str">
            <v>El SIEE, esta actualizado y acorde con lo establecido en la normatividad definida para la educación por ciclos, cuentan con una plataforma institucional donde se registra la información del estudiante por ciclo, la cual genera alertas y les permite realizar seguimiento y control permanente a la evaluación del estudiante.</v>
          </cell>
          <cell r="S57" t="str">
            <v>Continuar con el registro de la información y seguimiento permanente a los procesos académicos y pedagógicos de des estudiantes.</v>
          </cell>
          <cell r="T57" t="str">
            <v>No</v>
          </cell>
          <cell r="U57" t="str">
            <v>Se revisará en caso de presentarse alguna queja, al respecto.</v>
          </cell>
        </row>
        <row r="58">
          <cell r="A58">
            <v>2594</v>
          </cell>
          <cell r="B58"/>
          <cell r="C58" t="str">
            <v>USAQUÉN</v>
          </cell>
          <cell r="D58" t="str">
            <v>PRIVADO</v>
          </cell>
          <cell r="E58" t="str">
            <v>Educación de Jóvenes y Adultos</v>
          </cell>
          <cell r="F58" t="str">
            <v>COLEGIO_MONTERROSALES___CICLOS</v>
          </cell>
          <cell r="G58" t="str">
            <v>COLEGIO MONTERROSALES - CICLOS</v>
          </cell>
          <cell r="H58" t="str">
            <v>Autoevaluación Institucional y Pruebas SABER 11</v>
          </cell>
          <cell r="I58" t="str">
            <v>EVALUACIÓN_CON_FINES_DE_MEJORAMIENTO.</v>
          </cell>
          <cell r="J58" t="str">
            <v>Revisar el calendario escolar, jornada escolar, la intensidad horaria mínima anual en cada nivel y las modificaciones que se realicen al mismo, de acuerdo con lo previsto en la normatividad vigente.</v>
          </cell>
          <cell r="K58" t="str">
            <v>MARTHA LUCIA OLAYA VARGAS</v>
          </cell>
          <cell r="L58" t="str">
            <v>MARIA TERESA GAVIRIA LOZANO</v>
          </cell>
          <cell r="M58">
            <v>45814</v>
          </cell>
          <cell r="N58">
            <v>45814</v>
          </cell>
          <cell r="O58">
            <v>45814</v>
          </cell>
          <cell r="P58" t="str">
            <v>Visitas de evaluación con fines de mejoramiento</v>
          </cell>
          <cell r="Q58" t="str">
            <v>Acta Visita_Colegio_Monterosales_Ciclos.pdf</v>
          </cell>
          <cell r="R58" t="str">
            <v>El caracter de la Institución Educativa es académica por ciclos y el plan de estudios se encuentra por niveles.
Cumplen con la intensidad horaria y se evidencia la secuencia progresiva por cada ciclo.</v>
          </cell>
          <cell r="S58" t="str">
            <v>Deben realizar el ajuste al plan de estudios dado que los definen por nivel y debe ser por ciclos.</v>
          </cell>
          <cell r="T58" t="str">
            <v>Si</v>
          </cell>
          <cell r="U58" t="str">
            <v>Se verificará el Plan de estudios de acuerdo con la fecha definida en el plan de mejoramiento: 11/12/2025</v>
          </cell>
        </row>
        <row r="59">
          <cell r="A59">
            <v>2595</v>
          </cell>
          <cell r="B59"/>
          <cell r="C59" t="str">
            <v>USAQUÉN</v>
          </cell>
          <cell r="D59" t="str">
            <v>PRIVADO</v>
          </cell>
          <cell r="E59" t="str">
            <v>Educación de Jóvenes y Adultos</v>
          </cell>
          <cell r="F59" t="str">
            <v>COLEGIO_MONTERROSALES___CICLOS</v>
          </cell>
          <cell r="G59" t="str">
            <v>COLEGIO MONTERROSALES - CICLOS</v>
          </cell>
          <cell r="H59" t="str">
            <v>Autoevaluación Institucional y Pruebas SABER 11</v>
          </cell>
          <cell r="I59" t="str">
            <v>EVALUACIÓN_CON_FINES_DE_MEJORAMIENTO.</v>
          </cell>
          <cell r="J59" t="str">
            <v>Verificar el funcionamiento del Gobierno Escolar e instancias de participación con base en la información sobre conformación reportada por la institución educativa.</v>
          </cell>
          <cell r="K59" t="str">
            <v>MARTHA LUCIA OLAYA VARGAS</v>
          </cell>
          <cell r="L59" t="str">
            <v>MARIA TERESA GAVIRIA LOZANO</v>
          </cell>
          <cell r="M59">
            <v>45814</v>
          </cell>
          <cell r="N59">
            <v>45814</v>
          </cell>
          <cell r="O59">
            <v>45814</v>
          </cell>
          <cell r="P59" t="str">
            <v>Visitas de evaluación con fines de mejoramiento</v>
          </cell>
          <cell r="Q59" t="str">
            <v>Acta Visita_Colegio_Monterosales_Ciclos.pdf</v>
          </cell>
          <cell r="R59" t="str">
            <v xml:space="preserve">Se encuentra la conformación de Gobierno escolar.
A la fecha han realizado 2 reuniones pero no se evidencian los soportes. 
</v>
          </cell>
          <cell r="S59" t="str">
            <v>Se debe integrar en el PEI y deben ajustar el Manual de Convivencia, incluyendo las funciones del Contralor Estudiantil y Calbildante Estudiantil</v>
          </cell>
          <cell r="T59" t="str">
            <v>Si</v>
          </cell>
          <cell r="U59" t="str">
            <v>Se verificará el Manual de Convivencia y el PEI  de acuerdo con el cronograma del Plan de Mejoramiento: 11/12/2025</v>
          </cell>
        </row>
        <row r="60">
          <cell r="A60">
            <v>2596</v>
          </cell>
          <cell r="B60"/>
          <cell r="C60" t="str">
            <v>USAQUÉN</v>
          </cell>
          <cell r="D60" t="str">
            <v>PRIVADO</v>
          </cell>
          <cell r="E60" t="str">
            <v>Educación de Jóvenes y Adultos</v>
          </cell>
          <cell r="F60" t="str">
            <v>COLEGIO_MONTERROSALES___CICLOS</v>
          </cell>
          <cell r="G60" t="str">
            <v>COLEGIO MONTERROSALES - CICLOS</v>
          </cell>
          <cell r="H60" t="str">
            <v>Autoevaluación Institucional y Pruebas SABER 11</v>
          </cell>
          <cell r="I60" t="str">
            <v>EVALUACIÓN_CON_FINES_DE_MEJORAMIENTO.</v>
          </cell>
          <cell r="J60" t="str">
            <v>Verificar las condiciones en cuanto a: la estructura administrativa, condiciones de la planta física y medios educativos adecuados.</v>
          </cell>
          <cell r="K60" t="str">
            <v>MARTHA LUCIA OLAYA VARGAS</v>
          </cell>
          <cell r="L60" t="str">
            <v>MARIA TERESA GAVIRIA LOZANO</v>
          </cell>
          <cell r="M60">
            <v>45814</v>
          </cell>
          <cell r="N60">
            <v>45814</v>
          </cell>
          <cell r="O60">
            <v>45814</v>
          </cell>
          <cell r="P60" t="str">
            <v>Visitas de evaluación con fines de mejoramiento</v>
          </cell>
          <cell r="Q60" t="str">
            <v>Acta Visita_Colegio_Monterosales_Ciclos.pdf</v>
          </cell>
          <cell r="R60" t="str">
            <v>La institución cuenta con los espacios físicos campestres  para atender la población educativa, incluyendo espacios lúdicos para los estudiantes.
Las áreas de Talento humano, jurídica, Financiera, Mercadeo y ventas las atienden desde la sede del grupo educativo Monterrosales S.A.S.</v>
          </cell>
          <cell r="S60" t="str">
            <v>Cuentan con una infraestructura adecuada y suficiente para atender la población educativa</v>
          </cell>
          <cell r="T60" t="str">
            <v>No</v>
          </cell>
          <cell r="U60" t="str">
            <v>Se realizará revisión de la infraestructura educativa en caso de presentarse algún reclamo.</v>
          </cell>
        </row>
        <row r="61">
          <cell r="A61">
            <v>2597</v>
          </cell>
          <cell r="B61">
            <v>7</v>
          </cell>
          <cell r="C61" t="str">
            <v>USAQUÉN</v>
          </cell>
          <cell r="D61" t="str">
            <v>PRIVADO</v>
          </cell>
          <cell r="E61" t="str">
            <v>EPBM</v>
          </cell>
          <cell r="F61" t="str">
            <v>FUNDACION_EDUCACIONAL_ANA_RESTREPO_DEL_CORRAL</v>
          </cell>
          <cell r="G61" t="str">
            <v>FUNDACION EDUCACIONAL ANA RESTREPO DEL CORRAL</v>
          </cell>
          <cell r="H61" t="str">
            <v>Autoevaluación Institucional y Pruebas SABER 11</v>
          </cell>
          <cell r="I61" t="str">
            <v>SEGUIMIENTO_Y_SUPERVISIÓN.</v>
          </cell>
          <cell r="J61" t="str">
            <v>Realizar visitas para verificar la información registrada sobre la autoevaluación institucional en el aplicativo EVI, a los establecimientos de educación formal no oficial.</v>
          </cell>
          <cell r="K61" t="str">
            <v>JENNIFER CATALINA TORRES PIRA</v>
          </cell>
          <cell r="L61" t="str">
            <v>GILMA ESTHER ALBARRACÍN BALLESTEROS</v>
          </cell>
          <cell r="M61">
            <v>45820</v>
          </cell>
          <cell r="N61">
            <v>45820</v>
          </cell>
          <cell r="O61">
            <v>45820</v>
          </cell>
          <cell r="P61" t="str">
            <v>Visitas de evaluación con fines de seguimiento</v>
          </cell>
          <cell r="Q61" t="str">
            <v>Visita Ana Restrepo</v>
          </cell>
          <cell r="R61" t="str">
            <v>Se encuentra que lo registrado en la autoevaluación respecto  infraestructura, cargos y estudiantes, esta acorde con lo que se evidenció en la visita a la Institución educativa.</v>
          </cell>
          <cell r="S61" t="str">
            <v>Seguir realizando la autoevaluación anualmente, de acuerdo con los ajustes que se lleguen a presentar.</v>
          </cell>
          <cell r="T61" t="str">
            <v>No</v>
          </cell>
          <cell r="U61" t="str">
            <v>Verificar la autoevaluación del año 2025, con el fin de validar las tarifas para el año 2026.</v>
          </cell>
        </row>
        <row r="62">
          <cell r="A62">
            <v>2598</v>
          </cell>
          <cell r="B62"/>
          <cell r="C62" t="str">
            <v>USAQUÉN</v>
          </cell>
          <cell r="D62" t="str">
            <v>PRIVADO</v>
          </cell>
          <cell r="E62" t="str">
            <v>EPBM</v>
          </cell>
          <cell r="F62" t="str">
            <v>FUNDACION_EDUCACIONAL_ANA_RESTREPO_DEL_CORRAL</v>
          </cell>
          <cell r="G62" t="str">
            <v>FUNDACION EDUCACIONAL ANA RESTREPO DEL CORRAL</v>
          </cell>
          <cell r="H62" t="str">
            <v>Autoevaluación Institucional y Pruebas SABER 11</v>
          </cell>
          <cell r="I62" t="str">
            <v>SEGUIMIENTO_Y_SUPERVISIÓN.</v>
          </cell>
          <cell r="J62" t="str">
            <v>Proponer estrategias en la formulación, verificar su elaboración y realizar seguimiento semestral al desarrollo de  las acciones establecidas en los planes de mejoramiento por pruebas SABER 11 de los establecimientos de educación formal.</v>
          </cell>
          <cell r="K62" t="str">
            <v>JENNIFER CATALINA TORRES PIRA</v>
          </cell>
          <cell r="L62" t="str">
            <v>GILMA ESTHER ALBARRACÍN BALLESTEROS</v>
          </cell>
          <cell r="M62">
            <v>45820</v>
          </cell>
          <cell r="N62">
            <v>45820</v>
          </cell>
          <cell r="O62">
            <v>45820</v>
          </cell>
          <cell r="P62" t="str">
            <v>Visitas de evaluación con fines de seguimiento</v>
          </cell>
          <cell r="Q62" t="str">
            <v>Visita Ana Restrepo</v>
          </cell>
          <cell r="R62" t="str">
            <v xml:space="preserve">Se evidencia que realizó revisión y análisis de los resultados Pruebas Saber 11° del año anterior y elaboraron el Plan de mejoramiento, que contempla: realización de  simulacros con firma especializada. </v>
          </cell>
          <cell r="S62" t="str">
            <v>Implementar las acciones establecidas en el plan de mejoramiento y presentar a inspección y vigilancia en el primer semestre del año.</v>
          </cell>
          <cell r="T62" t="str">
            <v>Si</v>
          </cell>
          <cell r="U62" t="str">
            <v>Realizar seguimiento a las acciones establecidas en el plan de mejoramiento</v>
          </cell>
        </row>
        <row r="63">
          <cell r="A63">
            <v>2599</v>
          </cell>
          <cell r="B63"/>
          <cell r="C63" t="str">
            <v>USAQUÉN</v>
          </cell>
          <cell r="D63" t="str">
            <v>PRIVADO</v>
          </cell>
          <cell r="E63" t="str">
            <v>EPBM</v>
          </cell>
          <cell r="F63" t="str">
            <v>FUNDACION_EDUCACIONAL_ANA_RESTREPO_DEL_CORRAL</v>
          </cell>
          <cell r="G63" t="str">
            <v>FUNDACION EDUCACIONAL ANA RESTREPO DEL CORRAL</v>
          </cell>
          <cell r="H63" t="str">
            <v>Autoevaluación Institucional y Pruebas SABER 11</v>
          </cell>
          <cell r="I63" t="str">
            <v>SEGUIMIENTO_Y_SUPERVISIÓN.</v>
          </cell>
          <cell r="J63" t="str">
            <v xml:space="preserve">Verificar la implementación por parte de los colegios, de acciones realizadas para la prevención y atención de las situaciones de convivencia en el entorno escolar, según lo establecido en la Directiva 01 de 2022 del MEN. </v>
          </cell>
          <cell r="K63" t="str">
            <v>JENNIFER CATALINA TORRES PIRA</v>
          </cell>
          <cell r="L63" t="str">
            <v>GILMA ESTHER ALBARRACÍN BALLESTEROS</v>
          </cell>
          <cell r="M63">
            <v>45820</v>
          </cell>
          <cell r="N63">
            <v>45820</v>
          </cell>
          <cell r="O63">
            <v>45820</v>
          </cell>
          <cell r="P63" t="str">
            <v>Visitas de evaluación con fines de seguimiento</v>
          </cell>
          <cell r="Q63" t="str">
            <v>Visita Ana Restrepo</v>
          </cell>
          <cell r="R63" t="str">
            <v>Cuentan con el comité de convivencia, el cual esta debidamente reglamentado.
Definen la ruta de atención y han realizado los reportes al sistema de alerta cuando se ha requerido.
Verifican cada 4 meses las inhabilidades por delitos sexuales, para el personal administrativo y docente de la Institución.</v>
          </cell>
          <cell r="S63" t="str">
            <v>Realizar seguimiento a los casos de convivencia escolar y seguir aplicando lo establecido en el Manual de Convivencia.</v>
          </cell>
          <cell r="T63" t="str">
            <v>No</v>
          </cell>
          <cell r="U63" t="str">
            <v>Revisar los casos de convivencia escolar y verificar que se cumplan los protocolos definidos en el manual de convivencia.</v>
          </cell>
        </row>
        <row r="64">
          <cell r="A64">
            <v>2600</v>
          </cell>
          <cell r="B64"/>
          <cell r="C64" t="str">
            <v>USAQUÉN</v>
          </cell>
          <cell r="D64" t="str">
            <v>PRIVADO</v>
          </cell>
          <cell r="E64" t="str">
            <v>EPBM</v>
          </cell>
          <cell r="F64" t="str">
            <v>FUNDACION_EDUCACIONAL_ANA_RESTREPO_DEL_CORRAL</v>
          </cell>
          <cell r="G64" t="str">
            <v>FUNDACION EDUCACIONAL ANA RESTREPO DEL CORRAL</v>
          </cell>
          <cell r="H64" t="str">
            <v>Autoevaluación Institucional y Pruebas SABER 11</v>
          </cell>
          <cell r="I64" t="str">
            <v>SEGUIMIENTO_Y_SUPERVISIÓN.</v>
          </cell>
          <cell r="J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4" t="str">
            <v>JENNIFER CATALINA TORRES PIRA</v>
          </cell>
          <cell r="L64" t="str">
            <v>GILMA ESTHER ALBARRACÍN BALLESTEROS</v>
          </cell>
          <cell r="M64">
            <v>45820</v>
          </cell>
          <cell r="N64">
            <v>45820</v>
          </cell>
          <cell r="O64">
            <v>45820</v>
          </cell>
          <cell r="P64" t="str">
            <v>Visitas de evaluación con fines de seguimiento</v>
          </cell>
          <cell r="Q64" t="str">
            <v>Visita Ana Restrepo</v>
          </cell>
          <cell r="R64" t="str">
            <v>Tienen definido los Planes Individuales de Ajustes Razonables -PIAR. 
No tienen estudiantes con discapacidad</v>
          </cell>
          <cell r="S64" t="str">
            <v>Aplicar lo definido cuando se presenten casos que requieran los PIAR</v>
          </cell>
          <cell r="T64" t="str">
            <v>No</v>
          </cell>
          <cell r="U64" t="str">
            <v>Revisar los casos de PIAR cuando se requiera</v>
          </cell>
        </row>
        <row r="65">
          <cell r="A65">
            <v>2601</v>
          </cell>
          <cell r="B65"/>
          <cell r="C65" t="str">
            <v>USAQUÉN</v>
          </cell>
          <cell r="D65" t="str">
            <v>PRIVADO</v>
          </cell>
          <cell r="E65" t="str">
            <v>EPBM</v>
          </cell>
          <cell r="F65" t="str">
            <v>FUNDACION_EDUCACIONAL_ANA_RESTREPO_DEL_CORRAL</v>
          </cell>
          <cell r="G65" t="str">
            <v>FUNDACION EDUCACIONAL ANA RESTREPO DEL CORRAL</v>
          </cell>
          <cell r="H65" t="str">
            <v>Autoevaluación Institucional y Pruebas SABER 11</v>
          </cell>
          <cell r="I65" t="str">
            <v>EVALUACIÓN_CON_FINES_DE_MEJORAMIENTO.</v>
          </cell>
          <cell r="J6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5" t="str">
            <v>JENNIFER CATALINA TORRES PIRA</v>
          </cell>
          <cell r="L65" t="str">
            <v>GILMA ESTHER ALBARRACÍN BALLESTEROS</v>
          </cell>
          <cell r="M65">
            <v>45820</v>
          </cell>
          <cell r="N65">
            <v>45820</v>
          </cell>
          <cell r="O65">
            <v>45820</v>
          </cell>
          <cell r="P65" t="str">
            <v>Visitas de evaluación con fines de mejoramiento</v>
          </cell>
          <cell r="Q65" t="str">
            <v>Visita Ana Restrepo</v>
          </cell>
          <cell r="R65" t="str">
            <v>El manual de convivencia fue adoptado mediante acta del consejo directivo, participó en su elaboración la comunidad educativa, esta actualizado a 2025, conforme la normatividad vigente.</v>
          </cell>
          <cell r="S65" t="str">
            <v xml:space="preserve">Continuar con la actualización anual y participativa de la comunidad educativa </v>
          </cell>
          <cell r="T65" t="str">
            <v>No</v>
          </cell>
          <cell r="U65" t="str">
            <v>Validar la actualización del manual de conviviencia para la vigencia 2026</v>
          </cell>
        </row>
        <row r="66">
          <cell r="A66">
            <v>2602</v>
          </cell>
          <cell r="B66"/>
          <cell r="C66" t="str">
            <v>USAQUÉN</v>
          </cell>
          <cell r="D66" t="str">
            <v>PRIVADO</v>
          </cell>
          <cell r="E66" t="str">
            <v>EPBM</v>
          </cell>
          <cell r="F66" t="str">
            <v>FUNDACION_EDUCACIONAL_ANA_RESTREPO_DEL_CORRAL</v>
          </cell>
          <cell r="G66" t="str">
            <v>FUNDACION EDUCACIONAL ANA RESTREPO DEL CORRAL</v>
          </cell>
          <cell r="H66" t="str">
            <v>Autoevaluación Institucional y Pruebas SABER 11</v>
          </cell>
          <cell r="I66" t="str">
            <v>EVALUACIÓN_CON_FINES_DE_MEJORAMIENTO.</v>
          </cell>
          <cell r="J66" t="str">
            <v>Revisar la actualización, socialización e implementación del Sistema Institucional de Evaluación de Estudiantes - SIEE, en articulación con la actualización del PEI y la normatividad vigente.</v>
          </cell>
          <cell r="K66" t="str">
            <v>JENNIFER CATALINA TORRES PIRA</v>
          </cell>
          <cell r="L66" t="str">
            <v>GILMA ESTHER ALBARRACÍN BALLESTEROS</v>
          </cell>
          <cell r="M66">
            <v>45820</v>
          </cell>
          <cell r="N66">
            <v>45820</v>
          </cell>
          <cell r="O66">
            <v>45820</v>
          </cell>
          <cell r="P66" t="str">
            <v>Visitas de evaluación con fines de mejoramiento</v>
          </cell>
          <cell r="Q66" t="str">
            <v>Visita Ana Restrepo</v>
          </cell>
          <cell r="R66" t="str">
            <v>Realizan la actualización del Sistema Institucional de Evaluación de Estudiantes - SIEE, de acuerdo con la normatividad vigente.
Realizan su implementación mediante una plataforma que permite registrar las actividades y notas, al igual que hacer seguimiento a los estudiantes, a la cual tienen ingreso los padres de familia.
Tienen Guias de Nivelación y sistema de comunicación con los padres de familia.</v>
          </cell>
          <cell r="S66" t="str">
            <v>Mantener la comunicación permanente con los padres de familia.</v>
          </cell>
          <cell r="T66" t="str">
            <v>No</v>
          </cell>
          <cell r="U66" t="str">
            <v xml:space="preserve">Revisar el SIEE y su aplicabilidad cuando se requera </v>
          </cell>
        </row>
        <row r="67">
          <cell r="A67">
            <v>2603</v>
          </cell>
          <cell r="B67"/>
          <cell r="C67" t="str">
            <v>USAQUÉN</v>
          </cell>
          <cell r="D67" t="str">
            <v>PRIVADO</v>
          </cell>
          <cell r="E67" t="str">
            <v>EPBM</v>
          </cell>
          <cell r="F67" t="str">
            <v>FUNDACION_EDUCACIONAL_ANA_RESTREPO_DEL_CORRAL</v>
          </cell>
          <cell r="G67" t="str">
            <v>FUNDACION EDUCACIONAL ANA RESTREPO DEL CORRAL</v>
          </cell>
          <cell r="H67" t="str">
            <v>Autoevaluación Institucional y Pruebas SABER 11</v>
          </cell>
          <cell r="I67" t="str">
            <v>EVALUACIÓN_CON_FINES_DE_MEJORAMIENTO.</v>
          </cell>
          <cell r="J67" t="str">
            <v>Revisar el calendario escolar, jornada escolar, la intensidad horaria mínima anual en cada nivel y las modificaciones que se realicen al mismo, de acuerdo con lo previsto en la normatividad vigente.</v>
          </cell>
          <cell r="K67" t="str">
            <v>JENNIFER CATALINA TORRES PIRA</v>
          </cell>
          <cell r="L67" t="str">
            <v>GILMA ESTHER ALBARRACÍN BALLESTEROS</v>
          </cell>
          <cell r="M67">
            <v>45820</v>
          </cell>
          <cell r="N67">
            <v>45820</v>
          </cell>
          <cell r="O67">
            <v>45820</v>
          </cell>
          <cell r="P67" t="str">
            <v>Visitas de evaluación con fines de mejoramiento</v>
          </cell>
          <cell r="Q67" t="str">
            <v>Visita Ana Restrepo</v>
          </cell>
          <cell r="R67" t="str">
            <v xml:space="preserve">Cumplen con la intensidad horaria definida para cada grado de educación básica y educación media.
</v>
          </cell>
          <cell r="S67" t="str">
            <v>Actualizar el calendario escolar de acuerdo con la normatividad</v>
          </cell>
          <cell r="T67" t="str">
            <v>No</v>
          </cell>
          <cell r="U67" t="str">
            <v>Verificar el cumplimiento del calendario escolar, cuando se presente alguna novedad frente a este tema.</v>
          </cell>
        </row>
        <row r="68">
          <cell r="A68">
            <v>2604</v>
          </cell>
          <cell r="B68"/>
          <cell r="C68" t="str">
            <v>USAQUÉN</v>
          </cell>
          <cell r="D68" t="str">
            <v>PRIVADO</v>
          </cell>
          <cell r="E68" t="str">
            <v>EPBM</v>
          </cell>
          <cell r="F68" t="str">
            <v>FUNDACION_EDUCACIONAL_ANA_RESTREPO_DEL_CORRAL</v>
          </cell>
          <cell r="G68" t="str">
            <v>FUNDACION EDUCACIONAL ANA RESTREPO DEL CORRAL</v>
          </cell>
          <cell r="H68" t="str">
            <v>Autoevaluación Institucional y Pruebas SABER 11</v>
          </cell>
          <cell r="I68" t="str">
            <v>EVALUACIÓN_CON_FINES_DE_MEJORAMIENTO.</v>
          </cell>
          <cell r="J68" t="str">
            <v>Verificar el funcionamiento del Gobierno Escolar e instancias de participación con base en la información sobre conformación reportada por la institución educativa.</v>
          </cell>
          <cell r="K68" t="str">
            <v>JENNIFER CATALINA TORRES PIRA</v>
          </cell>
          <cell r="L68" t="str">
            <v>GILMA ESTHER ALBARRACÍN BALLESTEROS</v>
          </cell>
          <cell r="M68">
            <v>45820</v>
          </cell>
          <cell r="N68">
            <v>45820</v>
          </cell>
          <cell r="O68">
            <v>45820</v>
          </cell>
          <cell r="P68" t="str">
            <v>Visitas de evaluación con fines de mejoramiento</v>
          </cell>
          <cell r="Q68" t="str">
            <v>Visita Ana Restrepo</v>
          </cell>
          <cell r="R68" t="str">
            <v>El Gobierno escolar funciona  de acuerdo con lo establecido en el manual de Convivencia.
Tienen las actas de soporte de conformaión de los consejos y de la primera reunión realizada este año 2025.</v>
          </cell>
          <cell r="S68" t="str">
            <v>Contar con los soportes definidos para Gobierno escolar y realizar seguimiento.</v>
          </cell>
          <cell r="T68" t="str">
            <v>No</v>
          </cell>
          <cell r="U68" t="str">
            <v>Verificar la conformación de gobierno escolar en los tiempos establecidos.</v>
          </cell>
        </row>
        <row r="69">
          <cell r="A69">
            <v>2605</v>
          </cell>
          <cell r="B69"/>
          <cell r="C69" t="str">
            <v>USAQUÉN</v>
          </cell>
          <cell r="D69" t="str">
            <v>PRIVADO</v>
          </cell>
          <cell r="E69" t="str">
            <v>EPBM</v>
          </cell>
          <cell r="F69" t="str">
            <v>FUNDACION_EDUCACIONAL_ANA_RESTREPO_DEL_CORRAL</v>
          </cell>
          <cell r="G69" t="str">
            <v>FUNDACION EDUCACIONAL ANA RESTREPO DEL CORRAL</v>
          </cell>
          <cell r="H69" t="str">
            <v>Autoevaluación Institucional y Pruebas SABER 11</v>
          </cell>
          <cell r="I69" t="str">
            <v>EVALUACIÓN_CON_FINES_DE_MEJORAMIENTO.</v>
          </cell>
          <cell r="J69" t="str">
            <v>Verificar las condiciones en cuanto a: la estructura administrativa, condiciones de la planta física y medios educativos adecuados.</v>
          </cell>
          <cell r="K69" t="str">
            <v>JENNIFER CATALINA TORRES PIRA</v>
          </cell>
          <cell r="L69" t="str">
            <v>GILMA ESTHER ALBARRACÍN BALLESTEROS</v>
          </cell>
          <cell r="M69">
            <v>45820</v>
          </cell>
          <cell r="N69">
            <v>45820</v>
          </cell>
          <cell r="O69">
            <v>45820</v>
          </cell>
          <cell r="P69" t="str">
            <v>Visitas de evaluación con fines de mejoramiento</v>
          </cell>
          <cell r="Q69" t="str">
            <v>Visita Ana Restrepo</v>
          </cell>
          <cell r="R69" t="str">
            <v>Está adecuada la infraestructura con espacios incluyentes, pero no tiene matrícula con discapacidad, trastorno o talentos.
En cuanto a la organización administrativa esta de acuerdo con el organigrama y lo registrado en el EVI.</v>
          </cell>
          <cell r="S69" t="str">
            <v>Se observa que en algunas carpetas de HV, no esta todos los soportes que se requieren para su verificación.</v>
          </cell>
          <cell r="T69" t="str">
            <v>Si</v>
          </cell>
          <cell r="U69" t="str">
            <v xml:space="preserve">Revisar el plan de mejora, para evidenciar que la documentación este completa en las carpetas del personal </v>
          </cell>
        </row>
        <row r="70">
          <cell r="A70">
            <v>2606</v>
          </cell>
          <cell r="B70">
            <v>8</v>
          </cell>
          <cell r="C70" t="str">
            <v>USAQUÉN</v>
          </cell>
          <cell r="D70" t="str">
            <v>PRIVADO</v>
          </cell>
          <cell r="E70" t="str">
            <v>EPBM</v>
          </cell>
          <cell r="F70" t="str">
            <v>GIMNASIO_MARROQUIN_CAMPESTRE</v>
          </cell>
          <cell r="G70" t="str">
            <v>GIMNASIO MARROQUIN CAMPESTRE</v>
          </cell>
          <cell r="H70" t="str">
            <v>Autoevaluación Institucional y Pruebas SABER 11</v>
          </cell>
          <cell r="I70" t="str">
            <v>SEGUIMIENTO_Y_SUPERVISIÓN.</v>
          </cell>
          <cell r="J70" t="str">
            <v>Realizar visitas para verificar la información registrada sobre la autoevaluación institucional en el aplicativo EVI, a los establecimientos de educación formal no oficial.</v>
          </cell>
          <cell r="K70" t="str">
            <v>GILMA ESTHER ALBARRACÍN BALLESTEROS</v>
          </cell>
          <cell r="L70" t="str">
            <v>MARTHA LUCIA OLAYA VARGAS</v>
          </cell>
          <cell r="M70">
            <v>45860</v>
          </cell>
          <cell r="N70">
            <v>45860</v>
          </cell>
          <cell r="O70">
            <v>45860</v>
          </cell>
          <cell r="P70" t="str">
            <v>Visitas de evaluación con fines de seguimiento</v>
          </cell>
          <cell r="Q70" t="str">
            <v>Acta_visita_Gimnasio_Marroquin_Campestre.pdf</v>
          </cell>
          <cell r="R70" t="str">
            <v xml:space="preserve">Se evidenció que los docentes están vinculados a termino fijo desde febrero a noviembre, acorde a la normatividad.
3 docentes no tienen la idoneidad profesional. Adicionalmente un docente presenta título de Venezuela sin apostillar.
Tienen un edificio nuevo, para lo cual el señor rector informa que esta en proceso de tramitar los documentos para ampliar la planta física.
</v>
          </cell>
          <cell r="S70" t="str">
            <v>Revisar las hojas de vida y contratar personal que cumpla con los requisitos definidos para ejercer como docente.
Radicar los documentos ante la DLE para legalizar la ampliación de la planta física</v>
          </cell>
          <cell r="T70" t="str">
            <v>Si</v>
          </cell>
          <cell r="U70" t="str">
            <v>Se verificará que la institución cuente con los docentes idoneos y se ajuste la planta física, de acuerdo con su plan de mejora: Enero 2026</v>
          </cell>
        </row>
        <row r="71">
          <cell r="A71">
            <v>2607</v>
          </cell>
          <cell r="B71"/>
          <cell r="C71" t="str">
            <v>USAQUÉN</v>
          </cell>
          <cell r="D71" t="str">
            <v>PRIVADO</v>
          </cell>
          <cell r="E71" t="str">
            <v>EPBM</v>
          </cell>
          <cell r="F71" t="str">
            <v>GIMNASIO_MARROQUIN_CAMPESTRE</v>
          </cell>
          <cell r="G71" t="str">
            <v>GIMNASIO MARROQUIN CAMPESTRE</v>
          </cell>
          <cell r="H71" t="str">
            <v>Autoevaluación Institucional y Pruebas SABER 11</v>
          </cell>
          <cell r="I71" t="str">
            <v>SEGUIMIENTO_Y_SUPERVISIÓN.</v>
          </cell>
          <cell r="J71" t="str">
            <v>Proponer estrategias en la formulación, verificar su elaboración y realizar seguimiento semestral al desarrollo de  las acciones establecidas en los planes de mejoramiento por pruebas SABER 11 de los establecimientos de educación formal.</v>
          </cell>
          <cell r="K71" t="str">
            <v>GILMA ESTHER ALBARRACÍN BALLESTEROS</v>
          </cell>
          <cell r="L71" t="str">
            <v>MARTHA LUCIA OLAYA VARGAS</v>
          </cell>
          <cell r="M71">
            <v>45860</v>
          </cell>
          <cell r="N71">
            <v>45860</v>
          </cell>
          <cell r="O71">
            <v>45860</v>
          </cell>
          <cell r="P71" t="str">
            <v>Visitas de evaluación con fines de seguimiento</v>
          </cell>
          <cell r="Q71" t="str">
            <v>Acta_visita_Gimnasio_Marroquin_Campestre.pdf</v>
          </cell>
          <cell r="R71" t="str">
            <v>Realizaron Plan de mejoramiento el cual define dos rutas, la primera un trabajo directo con los estudiantes en el que a traves de herramientas de mediicón externa realizan refuerzos y la segunda es un trabajo de consultoría especializada para evaluar el curriculum.</v>
          </cell>
          <cell r="S71" t="str">
            <v>Cumplir con lo establecido en el plan de mejora y tener en cuenta la evaluación al curriculum.</v>
          </cell>
          <cell r="T71" t="str">
            <v>No</v>
          </cell>
          <cell r="U71" t="str">
            <v>Verificar los resultados de pruebas saber 11 de 2025.</v>
          </cell>
        </row>
        <row r="72">
          <cell r="A72">
            <v>2608</v>
          </cell>
          <cell r="B72"/>
          <cell r="C72" t="str">
            <v>USAQUÉN</v>
          </cell>
          <cell r="D72" t="str">
            <v>PRIVADO</v>
          </cell>
          <cell r="E72" t="str">
            <v>EPBM</v>
          </cell>
          <cell r="F72" t="str">
            <v>GIMNASIO_MARROQUIN_CAMPESTRE</v>
          </cell>
          <cell r="G72" t="str">
            <v>GIMNASIO MARROQUIN CAMPESTRE</v>
          </cell>
          <cell r="H72" t="str">
            <v>Autoevaluación Institucional y Pruebas SABER 11</v>
          </cell>
          <cell r="I72" t="str">
            <v>SEGUIMIENTO_Y_SUPERVISIÓN.</v>
          </cell>
          <cell r="J72" t="str">
            <v xml:space="preserve">Verificar la implementación por parte de los colegios, de acciones realizadas para la prevención y atención de las situaciones de convivencia en el entorno escolar, según lo establecido en la Directiva 01 de 2022 del MEN. </v>
          </cell>
          <cell r="K72" t="str">
            <v>GILMA ESTHER ALBARRACÍN BALLESTEROS</v>
          </cell>
          <cell r="L72" t="str">
            <v>MARTHA LUCIA OLAYA VARGAS</v>
          </cell>
          <cell r="M72">
            <v>45860</v>
          </cell>
          <cell r="N72">
            <v>45860</v>
          </cell>
          <cell r="O72">
            <v>45860</v>
          </cell>
          <cell r="P72" t="str">
            <v>Visitas de evaluación con fines de seguimiento</v>
          </cell>
          <cell r="Q72" t="str">
            <v>Acta_visita_Gimnasio_Marroquin_Campestre.pdf</v>
          </cell>
          <cell r="R72" t="str">
            <v>Se han realizado 5 comites de convivencia, desde la conformación del mismo y mensualmente se reunen, para el mes de abril se realizarón 2. En la primera reunión se dejo claro las funciones y el reglamento
Se define la Ruta de atención integral para la atención de situaciones de convivencia y han realizado 6 reportes en el sistema de alerta los cuales registran de manera inmedaita (el mismo día).
Verifican cada 4 meses las inhabilidades por delitos sexuales, para el personal docente y administrativo de la Institución.</v>
          </cell>
          <cell r="S72" t="str">
            <v>Continuar realizando los comites de convivencia y atendiendo los casos que se presenten de manera oportuna.</v>
          </cell>
          <cell r="T72" t="str">
            <v>No</v>
          </cell>
          <cell r="U72" t="str">
            <v>Se hará verificación de los casos de convivencia que se presenten.</v>
          </cell>
        </row>
        <row r="73">
          <cell r="A73">
            <v>2609</v>
          </cell>
          <cell r="B73"/>
          <cell r="C73" t="str">
            <v>USAQUÉN</v>
          </cell>
          <cell r="D73" t="str">
            <v>PRIVADO</v>
          </cell>
          <cell r="E73" t="str">
            <v>EPBM</v>
          </cell>
          <cell r="F73" t="str">
            <v>GIMNASIO_MARROQUIN_CAMPESTRE</v>
          </cell>
          <cell r="G73" t="str">
            <v>GIMNASIO MARROQUIN CAMPESTRE</v>
          </cell>
          <cell r="H73" t="str">
            <v>Autoevaluación Institucional y Pruebas SABER 11</v>
          </cell>
          <cell r="I73" t="str">
            <v>SEGUIMIENTO_Y_SUPERVISIÓN.</v>
          </cell>
          <cell r="J7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3" t="str">
            <v>GILMA ESTHER ALBARRACÍN BALLESTEROS</v>
          </cell>
          <cell r="L73" t="str">
            <v>MARTHA LUCIA OLAYA VARGAS</v>
          </cell>
          <cell r="M73">
            <v>45860</v>
          </cell>
          <cell r="N73">
            <v>45860</v>
          </cell>
          <cell r="O73">
            <v>45860</v>
          </cell>
          <cell r="P73" t="str">
            <v>Visitas de evaluación con fines de seguimiento</v>
          </cell>
          <cell r="Q73" t="str">
            <v>Acta_visita_Gimnasio_Marroquin_Campestre.pdf</v>
          </cell>
          <cell r="R73" t="str">
            <v>Tienen 16 estudiantes con trastornos de aprendizaje, los cuales estan caracterizados, tienen el PIAR y el acta de acuerdo.
Se hace seguimiento permanente de las cuales se evidencian las actas y se concilia con los padres de famiilia los tres documentos (caracterización, PIAR y acta de acuerdo).</v>
          </cell>
          <cell r="S73" t="str">
            <v>Continuar realizando esta actividad. mediante seguimiento a los ajustes razonables.</v>
          </cell>
          <cell r="T73" t="str">
            <v>No</v>
          </cell>
          <cell r="U73" t="str">
            <v>Realizar la verificación de los PIAR, cuando se presente una reclamación.</v>
          </cell>
        </row>
        <row r="74">
          <cell r="A74">
            <v>2610</v>
          </cell>
          <cell r="B74"/>
          <cell r="C74" t="str">
            <v>USAQUÉN</v>
          </cell>
          <cell r="D74" t="str">
            <v>PRIVADO</v>
          </cell>
          <cell r="E74" t="str">
            <v>EPBM</v>
          </cell>
          <cell r="F74" t="str">
            <v>GIMNASIO_MARROQUIN_CAMPESTRE</v>
          </cell>
          <cell r="G74" t="str">
            <v>GIMNASIO MARROQUIN CAMPESTRE</v>
          </cell>
          <cell r="H74" t="str">
            <v>Autoevaluación Institucional y Pruebas SABER 11</v>
          </cell>
          <cell r="I74" t="str">
            <v>EVALUACIÓN_CON_FINES_DE_MEJORAMIENTO.</v>
          </cell>
          <cell r="J7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4" t="str">
            <v>GILMA ESTHER ALBARRACÍN BALLESTEROS</v>
          </cell>
          <cell r="L74" t="str">
            <v>MARTHA LUCIA OLAYA VARGAS</v>
          </cell>
          <cell r="M74">
            <v>45860</v>
          </cell>
          <cell r="N74">
            <v>45860</v>
          </cell>
          <cell r="O74">
            <v>45860</v>
          </cell>
          <cell r="P74" t="str">
            <v>Visitas de evaluación con fines de mejoramiento</v>
          </cell>
          <cell r="Q74" t="str">
            <v>Acta_visita_Gimnasio_Marroquin_Campestre.pdf</v>
          </cell>
          <cell r="R74" t="str">
            <v>El manual de convivencia se debe ajustar dado que no contiene todos los apartes definidos.
No se evidencia la participación de la comunidad educativa en la elaboración del manual de convivencia.</v>
          </cell>
          <cell r="S74" t="str">
            <v>Ajustar el manual de convivencia conforme a lo establecido en la Ley 1620 de 2013.</v>
          </cell>
          <cell r="T74" t="str">
            <v>Si</v>
          </cell>
          <cell r="U74" t="str">
            <v>Revisar la  completitud del manual de convivencia en el mes de enero de 2026.</v>
          </cell>
        </row>
        <row r="75">
          <cell r="A75">
            <v>2611</v>
          </cell>
          <cell r="B75"/>
          <cell r="C75" t="str">
            <v>USAQUÉN</v>
          </cell>
          <cell r="D75" t="str">
            <v>PRIVADO</v>
          </cell>
          <cell r="E75" t="str">
            <v>EPBM</v>
          </cell>
          <cell r="F75" t="str">
            <v>GIMNASIO_MARROQUIN_CAMPESTRE</v>
          </cell>
          <cell r="G75" t="str">
            <v>GIMNASIO MARROQUIN CAMPESTRE</v>
          </cell>
          <cell r="H75" t="str">
            <v>Autoevaluación Institucional y Pruebas SABER 11</v>
          </cell>
          <cell r="I75" t="str">
            <v>EVALUACIÓN_CON_FINES_DE_MEJORAMIENTO.</v>
          </cell>
          <cell r="J75" t="str">
            <v>Revisar la actualización, socialización e implementación del Sistema Institucional de Evaluación de Estudiantes - SIEE, en articulación con la actualización del PEI y la normatividad vigente.</v>
          </cell>
          <cell r="K75" t="str">
            <v>GILMA ESTHER ALBARRACÍN BALLESTEROS</v>
          </cell>
          <cell r="L75" t="str">
            <v>MARTHA LUCIA OLAYA VARGAS</v>
          </cell>
          <cell r="M75">
            <v>45860</v>
          </cell>
          <cell r="N75">
            <v>45860</v>
          </cell>
          <cell r="O75">
            <v>45860</v>
          </cell>
          <cell r="P75" t="str">
            <v>Visitas de evaluación con fines de mejoramiento</v>
          </cell>
          <cell r="Q75" t="str">
            <v>Acta_visita_Gimnasio_Marroquin_Campestre.pdf</v>
          </cell>
          <cell r="R75" t="str">
            <v>El SIEE esta actualizado y se implementó en la plataforma institucional VPS Software, donde se realiza el seguimiento y evaluación de los estudiantes acorde a la normatividad vigente</v>
          </cell>
          <cell r="S75" t="str">
            <v>Continuar con el seguimiento y evaluación de los estudiantes acorde a lo establecido en el SIEE y el PEI</v>
          </cell>
          <cell r="T75" t="str">
            <v>No</v>
          </cell>
          <cell r="U75" t="str">
            <v>Se verificará los casos que se presenten frente a este tema.</v>
          </cell>
        </row>
        <row r="76">
          <cell r="A76">
            <v>2612</v>
          </cell>
          <cell r="B76"/>
          <cell r="C76" t="str">
            <v>USAQUÉN</v>
          </cell>
          <cell r="D76" t="str">
            <v>PRIVADO</v>
          </cell>
          <cell r="E76" t="str">
            <v>EPBM</v>
          </cell>
          <cell r="F76" t="str">
            <v>GIMNASIO_MARROQUIN_CAMPESTRE</v>
          </cell>
          <cell r="G76" t="str">
            <v>GIMNASIO MARROQUIN CAMPESTRE</v>
          </cell>
          <cell r="H76" t="str">
            <v>Autoevaluación Institucional y Pruebas SABER 11</v>
          </cell>
          <cell r="I76" t="str">
            <v>EVALUACIÓN_CON_FINES_DE_MEJORAMIENTO.</v>
          </cell>
          <cell r="J76" t="str">
            <v>Revisar el calendario escolar, jornada escolar, la intensidad horaria mínima anual en cada nivel y las modificaciones que se realicen al mismo, de acuerdo con lo previsto en la normatividad vigente.</v>
          </cell>
          <cell r="K76" t="str">
            <v>GILMA ESTHER ALBARRACÍN BALLESTEROS</v>
          </cell>
          <cell r="L76" t="str">
            <v>MARTHA LUCIA OLAYA VARGAS</v>
          </cell>
          <cell r="M76">
            <v>45860</v>
          </cell>
          <cell r="N76">
            <v>45860</v>
          </cell>
          <cell r="O76">
            <v>45860</v>
          </cell>
          <cell r="P76" t="str">
            <v>Visitas de evaluación con fines de mejoramiento</v>
          </cell>
          <cell r="Q76" t="str">
            <v>Acta_visita_Gimnasio_Marroquin_Campestre.pdf</v>
          </cell>
          <cell r="R76" t="str">
            <v>La Institución tiene jornada única y tiene definido el calendario escolar para cada asignatura y cada nivel acorde a la normatividad.</v>
          </cell>
          <cell r="S76" t="str">
            <v>Mantener el calendario escolar establecido el cual cumple con la normatividad</v>
          </cell>
          <cell r="T76" t="str">
            <v>No</v>
          </cell>
          <cell r="U76" t="str">
            <v>Se confrontorá cuando se presente una reclamación frente al tema</v>
          </cell>
        </row>
        <row r="77">
          <cell r="A77">
            <v>2613</v>
          </cell>
          <cell r="B77"/>
          <cell r="C77" t="str">
            <v>USAQUÉN</v>
          </cell>
          <cell r="D77" t="str">
            <v>PRIVADO</v>
          </cell>
          <cell r="E77" t="str">
            <v>EPBM</v>
          </cell>
          <cell r="F77" t="str">
            <v>GIMNASIO_MARROQUIN_CAMPESTRE</v>
          </cell>
          <cell r="G77" t="str">
            <v>GIMNASIO MARROQUIN CAMPESTRE</v>
          </cell>
          <cell r="H77" t="str">
            <v>Autoevaluación Institucional y Pruebas SABER 11</v>
          </cell>
          <cell r="I77" t="str">
            <v>EVALUACIÓN_CON_FINES_DE_MEJORAMIENTO.</v>
          </cell>
          <cell r="J77" t="str">
            <v>Verificar el funcionamiento del Gobierno Escolar e instancias de participación con base en la información sobre conformación reportada por la institución educativa.</v>
          </cell>
          <cell r="K77" t="str">
            <v>GILMA ESTHER ALBARRACÍN BALLESTEROS</v>
          </cell>
          <cell r="L77" t="str">
            <v>MARTHA LUCIA OLAYA VARGAS</v>
          </cell>
          <cell r="M77">
            <v>45860</v>
          </cell>
          <cell r="N77">
            <v>45860</v>
          </cell>
          <cell r="O77">
            <v>45860</v>
          </cell>
          <cell r="P77" t="str">
            <v>Visitas de evaluación con fines de mejoramiento</v>
          </cell>
          <cell r="Q77" t="str">
            <v>Acta_visita_Gimnasio_Marroquin_Campestre.pdf</v>
          </cell>
          <cell r="R77" t="str">
            <v xml:space="preserve">Tienen el acta de consejo directivo No. 001 del 18/03/2025 y a la fecha se han realizado 3 adicionales: 8/04/2025 dos actas y 09/05/2025.
Referente al consejo académico se han realizado a la fecha 7 reuniones  para revisar notas y seguimiento del desempeño académico de los estudiantes </v>
          </cell>
          <cell r="S77" t="str">
            <v>Continuar apoyando el desarrollo de las actividades de gobierno escolar.</v>
          </cell>
          <cell r="T77" t="str">
            <v>No</v>
          </cell>
          <cell r="U77" t="str">
            <v>Se realizará la funcionalidad de gobierno escolar y sus instancias de participación cuando se requiera.</v>
          </cell>
        </row>
        <row r="78">
          <cell r="A78">
            <v>2614</v>
          </cell>
          <cell r="B78"/>
          <cell r="C78" t="str">
            <v>USAQUÉN</v>
          </cell>
          <cell r="D78" t="str">
            <v>PRIVADO</v>
          </cell>
          <cell r="E78" t="str">
            <v>EPBM</v>
          </cell>
          <cell r="F78" t="str">
            <v>GIMNASIO_MARROQUIN_CAMPESTRE</v>
          </cell>
          <cell r="G78" t="str">
            <v>GIMNASIO MARROQUIN CAMPESTRE</v>
          </cell>
          <cell r="H78" t="str">
            <v>Autoevaluación Institucional y Pruebas SABER 11</v>
          </cell>
          <cell r="I78" t="str">
            <v>EVALUACIÓN_CON_FINES_DE_MEJORAMIENTO.</v>
          </cell>
          <cell r="J78" t="str">
            <v>Verificar las condiciones en cuanto a: la estructura administrativa, condiciones de la planta física y medios educativos adecuados.</v>
          </cell>
          <cell r="K78" t="str">
            <v>GILMA ESTHER ALBARRACÍN BALLESTEROS</v>
          </cell>
          <cell r="L78" t="str">
            <v>MARTHA LUCIA OLAYA VARGAS</v>
          </cell>
          <cell r="M78">
            <v>45860</v>
          </cell>
          <cell r="N78">
            <v>45860</v>
          </cell>
          <cell r="O78">
            <v>45860</v>
          </cell>
          <cell r="P78" t="str">
            <v>Visitas de evaluación con fines de mejoramiento</v>
          </cell>
          <cell r="Q78" t="str">
            <v>Acta_visita_Gimnasio_Marroquin_Campestre.pdf</v>
          </cell>
          <cell r="R78" t="str">
            <v>Cuentan con la estructura administrativa definida en el manual de funciones, la planta física y los medios educativos son acorde a la población actual atendida, pero no esta adaptada para atender población con discapacida física, no tiene rampas ni baños para esta población.
Tienen un edificio nuevo, el cual esta en proceso de tramitar los documentos para ampliar la planta física.</v>
          </cell>
          <cell r="S78" t="str">
            <v>Validar la posibilidad de adaptar baños y rampas para posible población con discapacidad física y legalizar la ampliación de la planta física</v>
          </cell>
          <cell r="T78" t="str">
            <v>Si</v>
          </cell>
          <cell r="U78" t="str">
            <v>Verificar lo definido en el plan de mejora que presente el 22/09//2025.</v>
          </cell>
        </row>
        <row r="79">
          <cell r="A79">
            <v>2615</v>
          </cell>
          <cell r="B79">
            <v>9</v>
          </cell>
          <cell r="C79" t="str">
            <v>USAQUÉN</v>
          </cell>
          <cell r="D79" t="str">
            <v>PRIVADO</v>
          </cell>
          <cell r="E79" t="str">
            <v>EPBM</v>
          </cell>
          <cell r="F79" t="str">
            <v>ESCUELA_PEDAGOGICA_EXPERIMENTAL</v>
          </cell>
          <cell r="G79" t="str">
            <v>ESCUELA PEDAGOGICA EXPERIMENTAL</v>
          </cell>
          <cell r="H79" t="str">
            <v>Autoevaluación Institucional y Pruebas SABER 11</v>
          </cell>
          <cell r="I79" t="str">
            <v>SEGUIMIENTO_Y_SUPERVISIÓN.</v>
          </cell>
          <cell r="J79" t="str">
            <v>Realizar visitas para verificar la información registrada sobre la autoevaluación institucional en el aplicativo EVI, a los establecimientos de educación formal no oficial.</v>
          </cell>
          <cell r="K79" t="str">
            <v>MARTHA CECILIA MELGAREJO PINTO</v>
          </cell>
          <cell r="L79" t="str">
            <v>GILMA ESTHER ALBARRACÍN BALLESTEROS</v>
          </cell>
          <cell r="M79">
            <v>45785</v>
          </cell>
          <cell r="N79">
            <v>45785</v>
          </cell>
          <cell r="O79">
            <v>45785</v>
          </cell>
          <cell r="P79"/>
          <cell r="Q79" t="str">
            <v>Acta_visita_Escuela_Pedagogica_Experimental.pdf</v>
          </cell>
          <cell r="R79" t="str">
            <v>Se encontró que no se cuenta con el procedimiento para la asignación de cupos, matrículas, y el registro en los sistemas de información SIMAT y en el EVI.</v>
          </cell>
          <cell r="S79" t="str">
            <v>Ajustar el procedimiento y registrar la información en los aplicativos establecidos.</v>
          </cell>
          <cell r="T79" t="str">
            <v>Si</v>
          </cell>
          <cell r="U79" t="str">
            <v>Revisar el cumplimento frente al procedimiento definido en el plan de mejoramiento. Plazo 30/09/2025</v>
          </cell>
        </row>
        <row r="80">
          <cell r="A80">
            <v>2616</v>
          </cell>
          <cell r="B80"/>
          <cell r="C80" t="str">
            <v>USAQUÉN</v>
          </cell>
          <cell r="D80" t="str">
            <v>PRIVADO</v>
          </cell>
          <cell r="E80" t="str">
            <v>EPBM</v>
          </cell>
          <cell r="F80" t="str">
            <v>ESCUELA_PEDAGOGICA_EXPERIMENTAL</v>
          </cell>
          <cell r="G80" t="str">
            <v>ESCUELA PEDAGOGICA EXPERIMENTAL</v>
          </cell>
          <cell r="H80" t="str">
            <v>Autoevaluación Institucional y Pruebas SABER 11</v>
          </cell>
          <cell r="I80" t="str">
            <v>SEGUIMIENTO_Y_SUPERVISIÓN.</v>
          </cell>
          <cell r="J80" t="str">
            <v>Proponer estrategias en la formulación, verificar su elaboración y realizar seguimiento semestral al desarrollo de  las acciones establecidas en los planes de mejoramiento por pruebas SABER 11 de los establecimientos de educación formal.</v>
          </cell>
          <cell r="K80" t="str">
            <v>MARTHA CECILIA MELGAREJO PINTO</v>
          </cell>
          <cell r="L80" t="str">
            <v>GILMA ESTHER ALBARRACÍN BALLESTEROS</v>
          </cell>
          <cell r="M80">
            <v>45785</v>
          </cell>
          <cell r="N80">
            <v>45785</v>
          </cell>
          <cell r="O80">
            <v>45785</v>
          </cell>
          <cell r="P80"/>
          <cell r="Q80" t="str">
            <v>Acta_visita_Escuela_Pedagogica_Experimental.pdf</v>
          </cell>
          <cell r="R80" t="str">
            <v>La institución no cuenta con organizaciones específicas basadas en los resultados de las pruebas Saber 11, tampoco elabora un plan de mejoramiento, no actualiza el currículo y no ha implementado acciones orientadas al fortalecimiento de los aprendizajes frente a dichos resultados.</v>
          </cell>
          <cell r="S80" t="str">
            <v>Elaborar y ejecutar un plan de mejora que defina acciones que les permita tener mejores resultados en la prueba saber 11.</v>
          </cell>
          <cell r="T80" t="str">
            <v>Si</v>
          </cell>
          <cell r="U80" t="str">
            <v xml:space="preserve">Revisar el plan de mejora definido para tener mejores resultados en las pruebas saber 11 y contrastar frente a los reaultados del año anterior. Plazo 30/09/2025.
</v>
          </cell>
        </row>
        <row r="81">
          <cell r="A81">
            <v>2617</v>
          </cell>
          <cell r="B81"/>
          <cell r="C81" t="str">
            <v>USAQUÉN</v>
          </cell>
          <cell r="D81" t="str">
            <v>PRIVADO</v>
          </cell>
          <cell r="E81" t="str">
            <v>EPBM</v>
          </cell>
          <cell r="F81" t="str">
            <v>ESCUELA_PEDAGOGICA_EXPERIMENTAL</v>
          </cell>
          <cell r="G81" t="str">
            <v>ESCUELA PEDAGOGICA EXPERIMENTAL</v>
          </cell>
          <cell r="H81" t="str">
            <v>Autoevaluación Institucional y Pruebas SABER 11</v>
          </cell>
          <cell r="I81" t="str">
            <v>SEGUIMIENTO_Y_SUPERVISIÓN.</v>
          </cell>
          <cell r="J81" t="str">
            <v xml:space="preserve">Verificar la implementación por parte de los colegios, de acciones realizadas para la prevención y atención de las situaciones de convivencia en el entorno escolar, según lo establecido en la Directiva 01 de 2022 del MEN. </v>
          </cell>
          <cell r="K81" t="str">
            <v>MARTHA CECILIA MELGAREJO PINTO</v>
          </cell>
          <cell r="L81" t="str">
            <v>GILMA ESTHER ALBARRACÍN BALLESTEROS</v>
          </cell>
          <cell r="M81">
            <v>45785</v>
          </cell>
          <cell r="N81">
            <v>45785</v>
          </cell>
          <cell r="O81">
            <v>45785</v>
          </cell>
          <cell r="P81"/>
          <cell r="Q81" t="str">
            <v>Acta_visita_Escuela_Pedagogica_Experimental.pdf</v>
          </cell>
          <cell r="R81" t="str">
            <v xml:space="preserve">Cuentan con un documento que denominan "Una alternativa al manual de convivencia" el cual no hace parte del manual de convivencia de la institución educativa y no contiene la información completa.
</v>
          </cell>
          <cell r="S81" t="str">
            <v>La I.E. realizará las reuniones del Comité de convivencia conforme a las funciones y ajustará el reglamento interno del mismo.
La institución educativa debe revisar, ajustar y actualizar el manual de convivencia conforme a lo dispuesto en la Ley 1620 y Decreto reglamentario 1965 de 2013</v>
          </cell>
          <cell r="T81" t="str">
            <v>Si</v>
          </cell>
          <cell r="U81" t="str">
            <v>Se revisará el ajuste realizado al manual de convivencia, frente a este tema y las actas de las reuniones.  Plazo:30/09/2025</v>
          </cell>
        </row>
        <row r="82">
          <cell r="A82">
            <v>2618</v>
          </cell>
          <cell r="B82"/>
          <cell r="C82" t="str">
            <v>USAQUÉN</v>
          </cell>
          <cell r="D82" t="str">
            <v>PRIVADO</v>
          </cell>
          <cell r="E82" t="str">
            <v>EPBM</v>
          </cell>
          <cell r="F82" t="str">
            <v>ESCUELA_PEDAGOGICA_EXPERIMENTAL</v>
          </cell>
          <cell r="G82" t="str">
            <v>ESCUELA PEDAGOGICA EXPERIMENTAL</v>
          </cell>
          <cell r="H82" t="str">
            <v>Autoevaluación Institucional y Pruebas SABER 11</v>
          </cell>
          <cell r="I82" t="str">
            <v>SEGUIMIENTO_Y_SUPERVISIÓN.</v>
          </cell>
          <cell r="J8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2" t="str">
            <v>MARTHA CECILIA MELGAREJO PINTO</v>
          </cell>
          <cell r="L82" t="str">
            <v>GILMA ESTHER ALBARRACÍN BALLESTEROS</v>
          </cell>
          <cell r="M82">
            <v>45785</v>
          </cell>
          <cell r="N82">
            <v>45785</v>
          </cell>
          <cell r="O82">
            <v>45785</v>
          </cell>
          <cell r="P82"/>
          <cell r="Q82" t="str">
            <v>Acta_visita_Escuela_Pedagogica_Experimental.pdf</v>
          </cell>
          <cell r="R82" t="str">
            <v>La Institución cuenta con el apoyo de un pasante de Terapia Ocupacional mediante convenio institucional, tienen un estudiante identificado con problemas de aprendizaje pero no esta registrado en el SIMAT porque no ha sido diagnósticado, sin embargo le han implementado Planes Individuales de Ajustes Razonables.
El estudiante está identificado, pero no existe un procedimiento de caracterización ni estrategias definidas;</v>
          </cell>
          <cell r="S82" t="str">
            <v>Continuar  diseñando y actualizando los PIAR a los estudiantes que así lo requieran , en atención a  lo dispuesto en Decreto 1421 de 2017.</v>
          </cell>
          <cell r="T82" t="str">
            <v>No</v>
          </cell>
          <cell r="U82" t="str">
            <v>Revisar cuando se presente algún caso relacionado con PIAR.</v>
          </cell>
        </row>
        <row r="83">
          <cell r="A83">
            <v>2619</v>
          </cell>
          <cell r="B83"/>
          <cell r="C83" t="str">
            <v>USAQUÉN</v>
          </cell>
          <cell r="D83" t="str">
            <v>PRIVADO</v>
          </cell>
          <cell r="E83" t="str">
            <v>EPBM</v>
          </cell>
          <cell r="F83" t="str">
            <v>ESCUELA_PEDAGOGICA_EXPERIMENTAL</v>
          </cell>
          <cell r="G83" t="str">
            <v>ESCUELA PEDAGOGICA EXPERIMENTAL</v>
          </cell>
          <cell r="H83" t="str">
            <v>Autoevaluación Institucional y Pruebas SABER 11</v>
          </cell>
          <cell r="I83" t="str">
            <v>EVALUACIÓN_CON_FINES_DE_MEJORAMIENTO.</v>
          </cell>
          <cell r="J8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3" t="str">
            <v>MARTHA CECILIA MELGAREJO PINTO</v>
          </cell>
          <cell r="L83" t="str">
            <v>GILMA ESTHER ALBARRACÍN BALLESTEROS</v>
          </cell>
          <cell r="M83">
            <v>45785</v>
          </cell>
          <cell r="N83">
            <v>45785</v>
          </cell>
          <cell r="O83">
            <v>45785</v>
          </cell>
          <cell r="P83"/>
          <cell r="Q83" t="str">
            <v>Acta_visita_Escuela_Pedagogica_Experimental.pdf</v>
          </cell>
          <cell r="R83" t="str">
            <v>La institución presenta un documento que denominan "Una alternativa al manual de convivencia" no presentan actas que evidencien la participación en la actualización del manual de convivencia, tienen un cuaderno donde registran información pero no tiene firmas, ni nombres.</v>
          </cell>
          <cell r="S83" t="str">
            <v>Se debe ajustar el manual de convivencia conforme a lo establecido en la Ley 1620 de 2013.</v>
          </cell>
          <cell r="T83" t="str">
            <v>Si</v>
          </cell>
          <cell r="U83" t="str">
            <v>Revisar el manual de convivencia una vez lo ajusten de acuerdo con el plan de mejoramiento. Plazo: 30/09/2025</v>
          </cell>
        </row>
        <row r="84">
          <cell r="A84">
            <v>2620</v>
          </cell>
          <cell r="B84"/>
          <cell r="C84" t="str">
            <v>USAQUÉN</v>
          </cell>
          <cell r="D84" t="str">
            <v>PRIVADO</v>
          </cell>
          <cell r="E84" t="str">
            <v>EPBM</v>
          </cell>
          <cell r="F84" t="str">
            <v>ESCUELA_PEDAGOGICA_EXPERIMENTAL</v>
          </cell>
          <cell r="G84" t="str">
            <v>ESCUELA PEDAGOGICA EXPERIMENTAL</v>
          </cell>
          <cell r="H84" t="str">
            <v>Autoevaluación Institucional y Pruebas SABER 11</v>
          </cell>
          <cell r="I84" t="str">
            <v>EVALUACIÓN_CON_FINES_DE_MEJORAMIENTO.</v>
          </cell>
          <cell r="J84" t="str">
            <v>Revisar la actualización, socialización e implementación del Sistema Institucional de Evaluación de Estudiantes - SIEE, en articulación con la actualización del PEI y la normatividad vigente.</v>
          </cell>
          <cell r="K84" t="str">
            <v>MARTHA CECILIA MELGAREJO PINTO</v>
          </cell>
          <cell r="L84" t="str">
            <v>GILMA ESTHER ALBARRACÍN BALLESTEROS</v>
          </cell>
          <cell r="M84">
            <v>45785</v>
          </cell>
          <cell r="N84">
            <v>45785</v>
          </cell>
          <cell r="O84">
            <v>45785</v>
          </cell>
          <cell r="P84"/>
          <cell r="Q84" t="str">
            <v>Acta_visita_Escuela_Pedagogica_Experimental.pdf</v>
          </cell>
          <cell r="R84" t="str">
            <v>El SIEE menciona criterios de promoción pero no incluye la escala de valoración ni su homologación, anuncian estrategias sin detalle y, en casos especiales, los docentes contactan a padres y envían material de apoyo académico.</v>
          </cell>
          <cell r="S84" t="str">
            <v>Definir en el SIEE la escala de valoración y su homologación conforme al Decreto 1290.</v>
          </cell>
          <cell r="T84" t="str">
            <v>SI</v>
          </cell>
          <cell r="U84" t="str">
            <v xml:space="preserve">Verificar la actualización del SIEE de acuerdo con el plan de mejoramiento. Plazo 30/09/2025 </v>
          </cell>
        </row>
        <row r="85">
          <cell r="A85">
            <v>2621</v>
          </cell>
          <cell r="B85"/>
          <cell r="C85" t="str">
            <v>USAQUÉN</v>
          </cell>
          <cell r="D85" t="str">
            <v>PRIVADO</v>
          </cell>
          <cell r="E85" t="str">
            <v>EPBM</v>
          </cell>
          <cell r="F85" t="str">
            <v>ESCUELA_PEDAGOGICA_EXPERIMENTAL</v>
          </cell>
          <cell r="G85" t="str">
            <v>ESCUELA PEDAGOGICA EXPERIMENTAL</v>
          </cell>
          <cell r="H85" t="str">
            <v>Autoevaluación Institucional y Pruebas SABER 11</v>
          </cell>
          <cell r="I85" t="str">
            <v>EVALUACIÓN_CON_FINES_DE_MEJORAMIENTO.</v>
          </cell>
          <cell r="J85" t="str">
            <v>Revisar el calendario escolar, jornada escolar, la intensidad horaria mínima anual en cada nivel y las modificaciones que se realicen al mismo, de acuerdo con lo previsto en la normatividad vigente.</v>
          </cell>
          <cell r="K85" t="str">
            <v>MARTHA CECILIA MELGAREJO PINTO</v>
          </cell>
          <cell r="L85" t="str">
            <v>GILMA ESTHER ALBARRACÍN BALLESTEROS</v>
          </cell>
          <cell r="M85">
            <v>45785</v>
          </cell>
          <cell r="N85">
            <v>45785</v>
          </cell>
          <cell r="O85">
            <v>45785</v>
          </cell>
          <cell r="P85"/>
          <cell r="Q85" t="str">
            <v>Acta_visita_Escuela_Pedagogica_Experimental.pdf</v>
          </cell>
          <cell r="R85" t="str">
            <v>El Colegio da cumplimiento a la intensidad horaria mínima anual para cada uno de los niveles que ofrece.
Tiene jornada única</v>
          </cell>
          <cell r="S85" t="str">
            <v>Seguir cumpliendo con la intensidad horaria definida.</v>
          </cell>
          <cell r="T85" t="str">
            <v>NO</v>
          </cell>
          <cell r="U85" t="str">
            <v>Se revisará una vez se presente alguna relamación frente al calendario escolar.</v>
          </cell>
        </row>
        <row r="86">
          <cell r="A86">
            <v>2622</v>
          </cell>
          <cell r="B86"/>
          <cell r="C86" t="str">
            <v>USAQUÉN</v>
          </cell>
          <cell r="D86" t="str">
            <v>PRIVADO</v>
          </cell>
          <cell r="E86" t="str">
            <v>EPBM</v>
          </cell>
          <cell r="F86" t="str">
            <v>ESCUELA_PEDAGOGICA_EXPERIMENTAL</v>
          </cell>
          <cell r="G86" t="str">
            <v>ESCUELA PEDAGOGICA EXPERIMENTAL</v>
          </cell>
          <cell r="H86" t="str">
            <v>Autoevaluación Institucional y Pruebas SABER 11</v>
          </cell>
          <cell r="I86" t="str">
            <v>EVALUACIÓN_CON_FINES_DE_MEJORAMIENTO.</v>
          </cell>
          <cell r="J86" t="str">
            <v>Verificar el funcionamiento del Gobierno Escolar e instancias de participación con base en la información sobre conformación reportada por la institución educativa.</v>
          </cell>
          <cell r="K86" t="str">
            <v>MARTHA CECILIA MELGAREJO PINTO</v>
          </cell>
          <cell r="L86" t="str">
            <v>GILMA ESTHER ALBARRACÍN BALLESTEROS</v>
          </cell>
          <cell r="M86">
            <v>45785</v>
          </cell>
          <cell r="N86">
            <v>45785</v>
          </cell>
          <cell r="O86">
            <v>45785</v>
          </cell>
          <cell r="P86"/>
          <cell r="Q86" t="str">
            <v>Acta_visita_Escuela_Pedagogica_Experimental.pdf</v>
          </cell>
          <cell r="R86" t="str">
            <v xml:space="preserve">En cuanto al  Gobierno escolar e instancias de participación, la institución muestra una postura de participación diferente, por asambleas.
</v>
          </cell>
          <cell r="S86" t="str">
            <v>Se sugiere ajustar y actualizar el PEI y el manual de convivencia en cuanto a la conformación y operatividad del gobierno escolar: consejo directivo y consejo académico y el desarrollo de  sus funciones.</v>
          </cell>
          <cell r="T86" t="str">
            <v>Si</v>
          </cell>
          <cell r="U86" t="str">
            <v>Verificar el plan de mejoramiento donde se evidencie la modificación del PEI y el manual de convivencia, respecto a gobierno escolar. Plazo 30/09/2025</v>
          </cell>
        </row>
        <row r="87">
          <cell r="A87">
            <v>2623</v>
          </cell>
          <cell r="B87"/>
          <cell r="C87" t="str">
            <v>USAQUÉN</v>
          </cell>
          <cell r="D87" t="str">
            <v>PRIVADO</v>
          </cell>
          <cell r="E87" t="str">
            <v>EPBM</v>
          </cell>
          <cell r="F87" t="str">
            <v>ESCUELA_PEDAGOGICA_EXPERIMENTAL</v>
          </cell>
          <cell r="G87" t="str">
            <v>ESCUELA PEDAGOGICA EXPERIMENTAL</v>
          </cell>
          <cell r="H87" t="str">
            <v>Autoevaluación Institucional y Pruebas SABER 11</v>
          </cell>
          <cell r="I87" t="str">
            <v>EVALUACIÓN_CON_FINES_DE_MEJORAMIENTO.</v>
          </cell>
          <cell r="J87" t="str">
            <v>Verificar las condiciones en cuanto a: la estructura administrativa, condiciones de la planta física y medios educativos adecuados.</v>
          </cell>
          <cell r="K87" t="str">
            <v>MARTHA CECILIA MELGAREJO PINTO</v>
          </cell>
          <cell r="L87" t="str">
            <v>GILMA ESTHER ALBARRACÍN BALLESTEROS</v>
          </cell>
          <cell r="M87">
            <v>45785</v>
          </cell>
          <cell r="N87">
            <v>45785</v>
          </cell>
          <cell r="O87">
            <v>45785</v>
          </cell>
          <cell r="P87"/>
          <cell r="Q87" t="str">
            <v>Acta_visita_Escuela_Pedagogica_Experimental.pdf</v>
          </cell>
          <cell r="R87" t="str">
            <v>La institución educativa cuenta con las hojas de vida del personal pero no tienen las certificaciones de inhabilidades de que trata la Directiva 01 de 2022.
El Concepto Sanitario  SB06N011059  de 30 de abril de 2025, es favorable con requerimientos a 30 días.
La institución educativa debe realizar el diligenciamiento y actualización del  PEGR-CC en el aplicativo.</v>
          </cell>
          <cell r="S87" t="str">
            <v>Realizar las consultas de inhabilidades del personal y realizar las adecuaciones solicitadas por la autoridad sanitaria conforme a los requerimientos consignados en acta de visita.
Actualizar el aplicativo SURE del IDIGER Resolución 592 de 2015.</v>
          </cell>
          <cell r="T87" t="str">
            <v>SI</v>
          </cell>
          <cell r="U87" t="str">
            <v>Revisar el cumpimento de lo definido en el plan de mejoramiento. Plazo 30/09/2025</v>
          </cell>
        </row>
        <row r="88">
          <cell r="A88">
            <v>2624</v>
          </cell>
          <cell r="B88">
            <v>10</v>
          </cell>
          <cell r="C88" t="str">
            <v>USAQUÉN</v>
          </cell>
          <cell r="D88" t="str">
            <v>PRIVADO</v>
          </cell>
          <cell r="E88" t="str">
            <v>EPBM</v>
          </cell>
          <cell r="F88" t="str">
            <v>INSTITUTO_COLOMBO_SUECO</v>
          </cell>
          <cell r="G88" t="str">
            <v>INSTITUTO COLOMBO SUECO</v>
          </cell>
          <cell r="H88" t="str">
            <v>Autoevaluación Institucional y Pruebas SABER 11</v>
          </cell>
          <cell r="I88" t="str">
            <v>SEGUIMIENTO_Y_SUPERVISIÓN.</v>
          </cell>
          <cell r="J88" t="str">
            <v>Realizar visitas para verificar la información registrada sobre la autoevaluación institucional en el aplicativo EVI, a los establecimientos de educación formal no oficial.</v>
          </cell>
          <cell r="K88" t="str">
            <v>MARIA TERESA GAVIRIA LOZANO</v>
          </cell>
          <cell r="L88" t="str">
            <v>JENNIFER CATALINA TORRES PIRA</v>
          </cell>
          <cell r="M88">
            <v>45891</v>
          </cell>
          <cell r="N88">
            <v>45891</v>
          </cell>
          <cell r="O88">
            <v>45891</v>
          </cell>
          <cell r="P88"/>
          <cell r="Q88" t="str">
            <v>Acta_visita_Instituto_Colombo_Sueco.pdf</v>
          </cell>
          <cell r="R88" t="str">
            <v>El PEI está alineado con el manual de convivencia y la planta física</v>
          </cell>
          <cell r="S88" t="str">
            <v>La institución cumple la normatividad, cuenta con un PEI coherente, buena infraestructura.</v>
          </cell>
          <cell r="T88" t="str">
            <v>NO</v>
          </cell>
          <cell r="U88" t="str">
            <v>Seguir actualizando el manual de conviviencia y realizar los ajustes que se requieran.</v>
          </cell>
        </row>
        <row r="89">
          <cell r="A89">
            <v>2625</v>
          </cell>
          <cell r="B89"/>
          <cell r="C89" t="str">
            <v>USAQUÉN</v>
          </cell>
          <cell r="D89" t="str">
            <v>PRIVADO</v>
          </cell>
          <cell r="E89" t="str">
            <v>EPBM</v>
          </cell>
          <cell r="F89" t="str">
            <v>INSTITUTO_COLOMBO_SUECO</v>
          </cell>
          <cell r="G89" t="str">
            <v>INSTITUTO COLOMBO SUECO</v>
          </cell>
          <cell r="H89" t="str">
            <v>Autoevaluación Institucional y Pruebas SABER 11</v>
          </cell>
          <cell r="I89" t="str">
            <v>SEGUIMIENTO_Y_SUPERVISIÓN.</v>
          </cell>
          <cell r="J89" t="str">
            <v>Proponer estrategias en la formulación, verificar su elaboración y realizar seguimiento semestral al desarrollo de  las acciones establecidas en los planes de mejoramiento por pruebas SABER 11 de los establecimientos de educación formal.</v>
          </cell>
          <cell r="K89" t="str">
            <v>MARIA TERESA GAVIRIA LOZANO</v>
          </cell>
          <cell r="L89" t="str">
            <v>JENNIFER CATALINA TORRES PIRA</v>
          </cell>
          <cell r="M89">
            <v>45891</v>
          </cell>
          <cell r="N89">
            <v>45891</v>
          </cell>
          <cell r="O89">
            <v>45891</v>
          </cell>
          <cell r="P89"/>
          <cell r="Q89" t="str">
            <v>Acta_visita_Instituto_Colombo_Sueco.pdf</v>
          </cell>
          <cell r="R89" t="str">
            <v>En las pruebas SABER 11 se encuentra en categoria A, se encontró desempeño bajo  en las áreas de  Ingles, Matemáticas, Ciencias Naturales y Ciencias Sociales</v>
          </cell>
          <cell r="S89" t="str">
            <v>Debe actualizar el currículo e incluir a los estudiantes con discapacidad en los planes de mejoramiento.</v>
          </cell>
          <cell r="T89" t="str">
            <v>SI</v>
          </cell>
          <cell r="U89" t="str">
            <v>Revisar la actualización al currículo para vetificar quehayan incluido a los estudiantes con discapacidad en los planes de mejoramiento.</v>
          </cell>
        </row>
        <row r="90">
          <cell r="A90">
            <v>2626</v>
          </cell>
          <cell r="B90"/>
          <cell r="C90" t="str">
            <v>USAQUÉN</v>
          </cell>
          <cell r="D90" t="str">
            <v>PRIVADO</v>
          </cell>
          <cell r="E90" t="str">
            <v>EPBM</v>
          </cell>
          <cell r="F90" t="str">
            <v>INSTITUTO_COLOMBO_SUECO</v>
          </cell>
          <cell r="G90" t="str">
            <v>INSTITUTO COLOMBO SUECO</v>
          </cell>
          <cell r="H90" t="str">
            <v>Autoevaluación Institucional y Pruebas SABER 11</v>
          </cell>
          <cell r="I90" t="str">
            <v>SEGUIMIENTO_Y_SUPERVISIÓN.</v>
          </cell>
          <cell r="J90" t="str">
            <v xml:space="preserve">Verificar la implementación por parte de los colegios, de acciones realizadas para la prevención y atención de las situaciones de convivencia en el entorno escolar, según lo establecido en la Directiva 01 de 2022 del MEN. </v>
          </cell>
          <cell r="K90" t="str">
            <v>MARIA TERESA GAVIRIA LOZANO</v>
          </cell>
          <cell r="L90" t="str">
            <v>JENNIFER CATALINA TORRES PIRA</v>
          </cell>
          <cell r="M90">
            <v>45891</v>
          </cell>
          <cell r="N90">
            <v>45891</v>
          </cell>
          <cell r="O90">
            <v>45891</v>
          </cell>
          <cell r="P90"/>
          <cell r="Q90" t="str">
            <v>Acta_visita_Instituto_Colombo_Sueco.pdf</v>
          </cell>
          <cell r="R90" t="str">
            <v>Se describen las funciones, integrantes y reglamento interno del Comité de Convivencia escolar.  Se deben articular las decisiones del comité de convivencia con las acciones formuladas en el plan de convivencia. 
Definir cuáles son las competencias y pertinencia del comité de mediación formativo  y si este contribuye o sustituye funciones del  comité de convivencia escolar.</v>
          </cell>
          <cell r="S90" t="str">
            <v>Esta implementado el comite de convivencia pero se requiere dar claridad rente al comité de mediación formativa.</v>
          </cell>
          <cell r="T90" t="str">
            <v>Si</v>
          </cell>
          <cell r="U90" t="str">
            <v>Verificar el ajuste frente al rol del Comité de Mediación Formativa para evitar duplicidad y mejorar la gestión escolar.</v>
          </cell>
        </row>
        <row r="91">
          <cell r="A91">
            <v>2627</v>
          </cell>
          <cell r="B91"/>
          <cell r="C91" t="str">
            <v>USAQUÉN</v>
          </cell>
          <cell r="D91" t="str">
            <v>PRIVADO</v>
          </cell>
          <cell r="E91" t="str">
            <v>EPBM</v>
          </cell>
          <cell r="F91" t="str">
            <v>INSTITUTO_COLOMBO_SUECO</v>
          </cell>
          <cell r="G91" t="str">
            <v>INSTITUTO COLOMBO SUECO</v>
          </cell>
          <cell r="H91" t="str">
            <v>Autoevaluación Institucional y Pruebas SABER 11</v>
          </cell>
          <cell r="I91" t="str">
            <v>SEGUIMIENTO_Y_SUPERVISIÓN.</v>
          </cell>
          <cell r="J9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1" t="str">
            <v>MARIA TERESA GAVIRIA LOZANO</v>
          </cell>
          <cell r="L91" t="str">
            <v>JENNIFER CATALINA TORRES PIRA</v>
          </cell>
          <cell r="M91">
            <v>45891</v>
          </cell>
          <cell r="N91">
            <v>45891</v>
          </cell>
          <cell r="O91">
            <v>45891</v>
          </cell>
          <cell r="P91"/>
          <cell r="Q91" t="str">
            <v>Acta_visita_Instituto_Colombo_Sueco.pdf</v>
          </cell>
          <cell r="R91" t="str">
            <v>Se encuentra la caracterización de 7 estudiantes. Se verifica que realizan seguimiento a cada estudiante, hay actas de reunión con padres de familia sobre los avances del estudiante.</v>
          </cell>
          <cell r="S91" t="str">
            <v xml:space="preserve">Se cuentan con los PIAR pero debe incluir en el PEI las Estrategias para la elaboración, ejecución y evaluación del plan individual de ajustes razonables - PIAR, de conformidad con lo dispuesto en el Decreto 1421 de 2017. </v>
          </cell>
          <cell r="T91" t="str">
            <v>Si</v>
          </cell>
          <cell r="U91" t="str">
            <v xml:space="preserve">Revisar la inclusión de las estrategias para la elaboración, ejecución y evaluación del plan individual de ajustes razonables - PIAR, de conformidad con lo dispuesto en el Decreto 1421 de 2017. </v>
          </cell>
        </row>
        <row r="92">
          <cell r="A92">
            <v>2628</v>
          </cell>
          <cell r="B92"/>
          <cell r="C92" t="str">
            <v>USAQUÉN</v>
          </cell>
          <cell r="D92" t="str">
            <v>PRIVADO</v>
          </cell>
          <cell r="E92" t="str">
            <v>EPBM</v>
          </cell>
          <cell r="F92" t="str">
            <v>INSTITUTO_COLOMBO_SUECO</v>
          </cell>
          <cell r="G92" t="str">
            <v>INSTITUTO COLOMBO SUECO</v>
          </cell>
          <cell r="H92" t="str">
            <v>Autoevaluación Institucional y Pruebas SABER 11</v>
          </cell>
          <cell r="I92" t="str">
            <v>EVALUACIÓN_CON_FINES_DE_MEJORAMIENTO.</v>
          </cell>
          <cell r="J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2" t="str">
            <v>MARIA TERESA GAVIRIA LOZANO</v>
          </cell>
          <cell r="L92" t="str">
            <v>JENNIFER CATALINA TORRES PIRA</v>
          </cell>
          <cell r="M92">
            <v>45891</v>
          </cell>
          <cell r="N92">
            <v>45891</v>
          </cell>
          <cell r="O92">
            <v>45891</v>
          </cell>
          <cell r="P92"/>
          <cell r="Q92" t="str">
            <v>Acta_visita_Instituto_Colombo_Sueco.pdf</v>
          </cell>
          <cell r="R92" t="str">
            <v>El manual de convivencia, se adoptó mediante Resolución No. 16 de enero de 2025, incluye enfoques de derechos, género, diferencial y restaurativo.Se socializó con la comunidad educativa y se ha implementado durante toda la vigencia.</v>
          </cell>
          <cell r="S92" t="str">
            <v xml:space="preserve">Se sugierre emplear el término enfoque restaurativo y no  el de justicia restaurativa escolar </v>
          </cell>
          <cell r="T92" t="str">
            <v>NO</v>
          </cell>
          <cell r="U92" t="str">
            <v>Se realizará verificación cuando se presente una novedad que lo requiera</v>
          </cell>
        </row>
        <row r="93">
          <cell r="A93">
            <v>2629</v>
          </cell>
          <cell r="B93"/>
          <cell r="C93" t="str">
            <v>USAQUÉN</v>
          </cell>
          <cell r="D93" t="str">
            <v>PRIVADO</v>
          </cell>
          <cell r="E93" t="str">
            <v>EPBM</v>
          </cell>
          <cell r="F93" t="str">
            <v>INSTITUTO_COLOMBO_SUECO</v>
          </cell>
          <cell r="G93" t="str">
            <v>INSTITUTO COLOMBO SUECO</v>
          </cell>
          <cell r="H93" t="str">
            <v>Autoevaluación Institucional y Pruebas SABER 11</v>
          </cell>
          <cell r="I93" t="str">
            <v>EVALUACIÓN_CON_FINES_DE_MEJORAMIENTO.</v>
          </cell>
          <cell r="J93" t="str">
            <v>Revisar la actualización, socialización e implementación del Sistema Institucional de Evaluación de Estudiantes - SIEE, en articulación con la actualización del PEI y la normatividad vigente.</v>
          </cell>
          <cell r="K93" t="str">
            <v>MARIA TERESA GAVIRIA LOZANO</v>
          </cell>
          <cell r="L93" t="str">
            <v>JENNIFER CATALINA TORRES PIRA</v>
          </cell>
          <cell r="M93">
            <v>45891</v>
          </cell>
          <cell r="N93">
            <v>45891</v>
          </cell>
          <cell r="O93">
            <v>45891</v>
          </cell>
          <cell r="P93"/>
          <cell r="Q93" t="str">
            <v>Acta_visita_Instituto_Colombo_Sueco.pdf</v>
          </cell>
          <cell r="R93" t="str">
            <v>Se encuentra estructurado de acuerdo con su carácter: media académica, las básicas con profundización Ciencias Politicas, Ciencias Económica, y Competencias Socioemocionales y Catedra para la Paz. Se visualiza en el informe académico y la plataforma gnosoft. Evalución por desempeños Superior Alto, Basico, Bajo.</v>
          </cell>
          <cell r="S93" t="str">
            <v>El SIEE esta acorde con el PEI y a normativiad vigente.</v>
          </cell>
          <cell r="T93" t="str">
            <v>NO</v>
          </cell>
          <cell r="U93" t="str">
            <v>Se verificará el tema de requerirse.</v>
          </cell>
        </row>
        <row r="94">
          <cell r="A94">
            <v>2630</v>
          </cell>
          <cell r="B94"/>
          <cell r="C94" t="str">
            <v>USAQUÉN</v>
          </cell>
          <cell r="D94" t="str">
            <v>PRIVADO</v>
          </cell>
          <cell r="E94" t="str">
            <v>EPBM</v>
          </cell>
          <cell r="F94" t="str">
            <v>INSTITUTO_COLOMBO_SUECO</v>
          </cell>
          <cell r="G94" t="str">
            <v>INSTITUTO COLOMBO SUECO</v>
          </cell>
          <cell r="H94" t="str">
            <v>Autoevaluación Institucional y Pruebas SABER 11</v>
          </cell>
          <cell r="I94" t="str">
            <v>EVALUACIÓN_CON_FINES_DE_MEJORAMIENTO.</v>
          </cell>
          <cell r="J94" t="str">
            <v>Revisar el calendario escolar, jornada escolar, la intensidad horaria mínima anual en cada nivel y las modificaciones que se realicen al mismo, de acuerdo con lo previsto en la normatividad vigente.</v>
          </cell>
          <cell r="K94" t="str">
            <v>MARIA TERESA GAVIRIA LOZANO</v>
          </cell>
          <cell r="L94" t="str">
            <v>JENNIFER CATALINA TORRES PIRA</v>
          </cell>
          <cell r="M94">
            <v>45891</v>
          </cell>
          <cell r="N94">
            <v>45891</v>
          </cell>
          <cell r="O94">
            <v>45891</v>
          </cell>
          <cell r="P94"/>
          <cell r="Q94" t="str">
            <v>Acta_visita_Instituto_Colombo_Sueco.pdf</v>
          </cell>
          <cell r="R94" t="str">
            <v>El calendario está ajustado a lo establecido en la norma vigente frente a intensidades horarias para cada nivel.</v>
          </cell>
          <cell r="S94" t="str">
            <v>Continuar su implementación en lo que resta del año académico</v>
          </cell>
          <cell r="T94" t="str">
            <v>NO</v>
          </cell>
          <cell r="U94" t="str">
            <v>Se revisará en la siguiente vigencia el calendario adoptado.</v>
          </cell>
        </row>
        <row r="95">
          <cell r="A95">
            <v>2631</v>
          </cell>
          <cell r="B95"/>
          <cell r="C95" t="str">
            <v>USAQUÉN</v>
          </cell>
          <cell r="D95" t="str">
            <v>PRIVADO</v>
          </cell>
          <cell r="E95" t="str">
            <v>EPBM</v>
          </cell>
          <cell r="F95" t="str">
            <v>INSTITUTO_COLOMBO_SUECO</v>
          </cell>
          <cell r="G95" t="str">
            <v>INSTITUTO COLOMBO SUECO</v>
          </cell>
          <cell r="H95" t="str">
            <v>Autoevaluación Institucional y Pruebas SABER 11</v>
          </cell>
          <cell r="I95" t="str">
            <v>EVALUACIÓN_CON_FINES_DE_MEJORAMIENTO.</v>
          </cell>
          <cell r="J95" t="str">
            <v>Verificar el funcionamiento del Gobierno Escolar e instancias de participación con base en la información sobre conformación reportada por la institución educativa.</v>
          </cell>
          <cell r="K95" t="str">
            <v>MARIA TERESA GAVIRIA LOZANO</v>
          </cell>
          <cell r="L95" t="str">
            <v>JENNIFER CATALINA TORRES PIRA</v>
          </cell>
          <cell r="M95">
            <v>45891</v>
          </cell>
          <cell r="N95">
            <v>45891</v>
          </cell>
          <cell r="O95">
            <v>45891</v>
          </cell>
          <cell r="P95"/>
          <cell r="Q95" t="str">
            <v>Acta_visita_Instituto_Colombo_Sueco.pdf</v>
          </cell>
          <cell r="R95" t="str">
            <v>Cuenta con el Acta del 4 de marzo de 2025 de elección y conformación del Gobierno Escolar, con verificación en el sistema SAE.
A la fecha se han realizado dos actas que evidencian las reuniones.</v>
          </cell>
          <cell r="S95" t="str">
            <v>Se logro evidenciar el funcionamiento de gobierno escolar.</v>
          </cell>
          <cell r="T95" t="str">
            <v>NO</v>
          </cell>
          <cell r="U95" t="str">
            <v>Se revisará en caso de presentarse alguna queja, al respecto.</v>
          </cell>
        </row>
        <row r="96">
          <cell r="A96">
            <v>2632</v>
          </cell>
          <cell r="B96"/>
          <cell r="C96" t="str">
            <v>USAQUÉN</v>
          </cell>
          <cell r="D96" t="str">
            <v>PRIVADO</v>
          </cell>
          <cell r="E96" t="str">
            <v>EPBM</v>
          </cell>
          <cell r="F96" t="str">
            <v>INSTITUTO_COLOMBO_SUECO</v>
          </cell>
          <cell r="G96" t="str">
            <v>INSTITUTO COLOMBO SUECO</v>
          </cell>
          <cell r="H96" t="str">
            <v>Autoevaluación Institucional y Pruebas SABER 11</v>
          </cell>
          <cell r="I96" t="str">
            <v>EVALUACIÓN_CON_FINES_DE_MEJORAMIENTO.</v>
          </cell>
          <cell r="J96" t="str">
            <v>Verificar las condiciones en cuanto a: la estructura administrativa, condiciones de la planta física y medios educativos adecuados.</v>
          </cell>
          <cell r="K96" t="str">
            <v>MARIA TERESA GAVIRIA LOZANO</v>
          </cell>
          <cell r="L96" t="str">
            <v>JENNIFER CATALINA TORRES PIRA</v>
          </cell>
          <cell r="M96">
            <v>45891</v>
          </cell>
          <cell r="N96">
            <v>45891</v>
          </cell>
          <cell r="O96">
            <v>45891</v>
          </cell>
          <cell r="P96"/>
          <cell r="Q96" t="str">
            <v>Acta_visita_Instituto_Colombo_Sueco.pdf</v>
          </cell>
          <cell r="R96" t="str">
            <v xml:space="preserve">Cuenta con la estructura administrativa definida en el organigrama, la planta física permite la atención a discapacitados se estan ajustando los baños.
Tienen los recursos físicos necesarios para prestar el servicio eduacativo.
</v>
          </cell>
          <cell r="S96" t="str">
            <v>La planta física de la Institución al igual que los medios educativos son adecuados para prestar el servicio educativo.</v>
          </cell>
          <cell r="T96" t="str">
            <v>Si</v>
          </cell>
          <cell r="U96" t="str">
            <v>Verificar la terminación de la obra de los baños para discapacitados</v>
          </cell>
        </row>
        <row r="97">
          <cell r="A97">
            <v>2633</v>
          </cell>
          <cell r="B97">
            <v>11</v>
          </cell>
          <cell r="C97" t="str">
            <v>USAQUÉN</v>
          </cell>
          <cell r="D97" t="str">
            <v>OFICIAL.</v>
          </cell>
          <cell r="E97" t="str">
            <v>EPBM</v>
          </cell>
          <cell r="F97" t="str">
            <v>COLEGIO_GENERAL_SANTANDER_IED</v>
          </cell>
          <cell r="G97" t="str">
            <v>GENERAL SANTANDER</v>
          </cell>
          <cell r="H97" t="str">
            <v>Autoevaluación Institucional y Pruebas SABER 11</v>
          </cell>
          <cell r="I97" t="str">
            <v>SEGUIMIENTO_Y_SUPERVISIÓN.</v>
          </cell>
          <cell r="J97" t="str">
            <v>Proponer estrategias en la formulación, verificar su elaboración y realizar seguimiento semestral al desarrollo de  las acciones establecidas en los planes de mejoramiento por pruebas SABER 11 de los establecimientos de educación formal.</v>
          </cell>
          <cell r="K97" t="str">
            <v>MARTHA CECILIA MELGAREJO PINTO
MARIA TERESA GAVIRIA LOZANO
GILMA ESTHER ALBARRACÍN BALLESTEROS
MARTHA LUCIA OLAYA VARGAS
JENNIFER CATALINA TORRES PIRA</v>
          </cell>
          <cell r="L97" t="str">
            <v>MARTHA CECILIA MELGAREJO PINTO
MARIA TERESA GAVIRIA LOZANO
GILMA ESTHER ALBARRACÍN BALLESTEROS
MARTHA LUCIA OLAYA VARGAS
JENNIFER CATALINA TORRES PIRA</v>
          </cell>
          <cell r="M97">
            <v>45751</v>
          </cell>
          <cell r="N97">
            <v>45751</v>
          </cell>
          <cell r="O97">
            <v>45751</v>
          </cell>
          <cell r="P97" t="str">
            <v>Visitas de evaluación con fines de seguimiento</v>
          </cell>
          <cell r="Q97" t="str">
            <v>Acta_Visita_General_Santander.pdf</v>
          </cell>
          <cell r="R97" t="str">
            <v xml:space="preserve">Realizaron análisis de los resultados y definieron talleres y pruebas en las asignaturas con bajo desempeño, las cuales aplicaran dentro de cada área y evaluarán a partir del mes de mayo de 2025.
</v>
          </cell>
          <cell r="S97" t="str">
            <v>Se debe realizar el plan de mejora incluyendo el ajuste al plan de estudios y curriculum  para el grado 11</v>
          </cell>
          <cell r="T97" t="str">
            <v>Si</v>
          </cell>
          <cell r="U97" t="str">
            <v>Revisar el plan de estudios y el curriculum para el grado 11 a partir del plan de mejora: 17/06/2025</v>
          </cell>
        </row>
        <row r="98">
          <cell r="A98">
            <v>2634</v>
          </cell>
          <cell r="B98"/>
          <cell r="C98" t="str">
            <v>USAQUÉN</v>
          </cell>
          <cell r="D98" t="str">
            <v>OFICIAL.</v>
          </cell>
          <cell r="E98" t="str">
            <v>EPBM</v>
          </cell>
          <cell r="F98" t="str">
            <v>COLEGIO_GENERAL_SANTANDER_IED</v>
          </cell>
          <cell r="G98" t="str">
            <v>GENERAL SANTANDER</v>
          </cell>
          <cell r="H98" t="str">
            <v>Autoevaluación Institucional y Pruebas SABER 11</v>
          </cell>
          <cell r="I98" t="str">
            <v>SEGUIMIENTO_Y_SUPERVISIÓN.</v>
          </cell>
          <cell r="J98" t="str">
            <v xml:space="preserve">Verificar la implementación por parte de los colegios, de acciones realizadas para la prevención y atención de las situaciones de convivencia en el entorno escolar, según lo establecido en la Directiva 01 de 2022 del MEN. </v>
          </cell>
          <cell r="K98" t="str">
            <v>MARTHA CECILIA MELGAREJO PINTO
MARIA TERESA GAVIRIA LOZANO
GILMA ESTHER ALBARRACÍN BALLESTEROS
MARTHA LUCIA OLAYA VARGAS
JENNIFER CATALINA TORRES PIRA</v>
          </cell>
          <cell r="L98" t="str">
            <v>MARTHA CECILIA MELGAREJO PINTO
MARIA TERESA GAVIRIA LOZANO
GILMA ESTHER ALBARRACÍN BALLESTEROS
MARTHA LUCIA OLAYA VARGAS
JENNIFER CATALINA TORRES PIRA</v>
          </cell>
          <cell r="M98">
            <v>45751</v>
          </cell>
          <cell r="N98">
            <v>45751</v>
          </cell>
          <cell r="O98">
            <v>45751</v>
          </cell>
          <cell r="P98" t="str">
            <v>Visitas de evaluación con fines de seguimiento</v>
          </cell>
          <cell r="Q98" t="str">
            <v>Acta_Visita_General_Santander.pdf</v>
          </cell>
          <cell r="R98" t="str">
            <v>Definieron el comité escolar de convivencia y la ruta de atención Integral para la Conviviencia Escolar, se identifican las situaciones y existen mecanismos de resolución de conflictos.
Realizan talleres de prevención de conflictos para los estudiantes.</v>
          </cell>
          <cell r="S98" t="str">
            <v xml:space="preserve">Se solicita incluir en el manual de convivencia para el año 2026, las instancias y protocolos de atención integral para la convivencia escolar de que tratan los artículos 42, 43 y 44 del Decreto 1965 de 11 de septiembre de 2013 compilado en el Decreto 1075 de 2015. </v>
          </cell>
          <cell r="T98" t="str">
            <v>Si</v>
          </cell>
          <cell r="U98" t="str">
            <v>Revisión del Manual de Convivencia en enero de 2026.</v>
          </cell>
        </row>
        <row r="99">
          <cell r="A99">
            <v>2635</v>
          </cell>
          <cell r="B99"/>
          <cell r="C99" t="str">
            <v>USAQUÉN</v>
          </cell>
          <cell r="D99" t="str">
            <v>OFICIAL.</v>
          </cell>
          <cell r="E99" t="str">
            <v>EPBM</v>
          </cell>
          <cell r="F99" t="str">
            <v>COLEGIO_GENERAL_SANTANDER_IED</v>
          </cell>
          <cell r="G99" t="str">
            <v>GENERAL SANTANDER</v>
          </cell>
          <cell r="H99" t="str">
            <v>Autoevaluación Institucional y Pruebas SABER 11</v>
          </cell>
          <cell r="I99" t="str">
            <v>SEGUIMIENTO_Y_SUPERVISIÓN.</v>
          </cell>
          <cell r="J9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9" t="str">
            <v>MARTHA CECILIA MELGAREJO PINTO
MARIA TERESA GAVIRIA LOZANO
GILMA ESTHER ALBARRACÍN BALLESTEROS
MARTHA LUCIA OLAYA VARGAS
JENNIFER CATALINA TORRES PIRA</v>
          </cell>
          <cell r="L99" t="str">
            <v>MARTHA CECILIA MELGAREJO PINTO
MARIA TERESA GAVIRIA LOZANO
GILMA ESTHER ALBARRACÍN BALLESTEROS
MARTHA LUCIA OLAYA VARGAS
JENNIFER CATALINA TORRES PIRA</v>
          </cell>
          <cell r="M99">
            <v>45751</v>
          </cell>
          <cell r="N99">
            <v>45751</v>
          </cell>
          <cell r="O99">
            <v>45751</v>
          </cell>
          <cell r="P99" t="str">
            <v>Visitas de evaluación con fines de seguimiento</v>
          </cell>
          <cell r="Q99" t="str">
            <v>Acta_Visita_General_Santander.pdf</v>
          </cell>
          <cell r="R99" t="str">
            <v>Se encuentran elaborados los 21 Planes Individuales de Ajustes Razonables -PIAR-,  de los estudiantes con discapacidad y trastornos de aprendizaje, cuentan con una carpeta individual la cual contiene el formato del MEN con la información general de cada estudiante, el diagnóstico, el plan de estudios y el acta de acuerdo.Se encuentra en estudio 2 nuevos casos.
Se actualiza cada año y se entrega reporte de seguimiento a los padres en cada periodo.</v>
          </cell>
          <cell r="S99" t="str">
            <v>Continuar desarrolando esta actividad como lo vienen haciendo.</v>
          </cell>
          <cell r="T99" t="str">
            <v>No</v>
          </cell>
          <cell r="U99" t="str">
            <v>Se verificará en caso de presentarse queja.</v>
          </cell>
        </row>
        <row r="100">
          <cell r="A100">
            <v>2636</v>
          </cell>
          <cell r="B100"/>
          <cell r="C100" t="str">
            <v>USAQUÉN</v>
          </cell>
          <cell r="D100" t="str">
            <v>OFICIAL.</v>
          </cell>
          <cell r="E100" t="str">
            <v>EPBM</v>
          </cell>
          <cell r="F100" t="str">
            <v>COLEGIO_GENERAL_SANTANDER_IED</v>
          </cell>
          <cell r="G100" t="str">
            <v>GENERAL SANTANDER</v>
          </cell>
          <cell r="H100" t="str">
            <v>Autoevaluación Institucional y Pruebas SABER 11</v>
          </cell>
          <cell r="I100" t="str">
            <v>EVALUACIÓN_CON_FINES_DE_MEJORAMIENTO.</v>
          </cell>
          <cell r="J10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0" t="str">
            <v>MARTHA CECILIA MELGAREJO PINTO
MARIA TERESA GAVIRIA LOZANO
GILMA ESTHER ALBARRACÍN BALLESTEROS
MARTHA LUCIA OLAYA VARGAS
JENNIFER CATALINA TORRES PIRA</v>
          </cell>
          <cell r="L100" t="str">
            <v>MARTHA CECILIA MELGAREJO PINTO
MARIA TERESA GAVIRIA LOZANO
GILMA ESTHER ALBARRACÍN BALLESTEROS
MARTHA LUCIA OLAYA VARGAS
JENNIFER CATALINA TORRES PIRA</v>
          </cell>
          <cell r="M100">
            <v>45751</v>
          </cell>
          <cell r="N100">
            <v>45751</v>
          </cell>
          <cell r="O100">
            <v>45751</v>
          </cell>
          <cell r="P100" t="str">
            <v>Visitas de evaluación con fines de mejoramiento</v>
          </cell>
          <cell r="Q100" t="str">
            <v>Acta_Visita_General_Santander.pdf</v>
          </cell>
          <cell r="R100" t="str">
            <v xml:space="preserve">Última actualización para el año 2022 aprobado por el Consejo Directivo. No se realizó en los años 2023, 2024 y 2025 por contingencia de cambio de sede. 
 </v>
          </cell>
          <cell r="S100" t="str">
            <v>Actualizar el manual de convivencia, con los mecanismos de detección temprana y denuncia de todas aquellas conductas que atenten contra la convivencia escolar y los derechos humanos, sexuales y reproductivos.</v>
          </cell>
          <cell r="T100" t="str">
            <v>Si</v>
          </cell>
          <cell r="U100" t="str">
            <v>Revisar el Manual de conviviencia para evidenciar la incorporación de los ítems solicitados en enero de 2026.</v>
          </cell>
        </row>
        <row r="101">
          <cell r="A101">
            <v>2637</v>
          </cell>
          <cell r="B101"/>
          <cell r="C101" t="str">
            <v>USAQUÉN</v>
          </cell>
          <cell r="D101" t="str">
            <v>OFICIAL.</v>
          </cell>
          <cell r="E101" t="str">
            <v>EPBM</v>
          </cell>
          <cell r="F101" t="str">
            <v>COLEGIO_GENERAL_SANTANDER_IED</v>
          </cell>
          <cell r="G101" t="str">
            <v>GENERAL SANTANDER</v>
          </cell>
          <cell r="H101" t="str">
            <v>Autoevaluación Institucional y Pruebas SABER 11</v>
          </cell>
          <cell r="I101" t="str">
            <v>EVALUACIÓN_CON_FINES_DE_MEJORAMIENTO.</v>
          </cell>
          <cell r="J101" t="str">
            <v>Revisar la actualización, socialización e implementación del Sistema Institucional de Evaluación de Estudiantes - SIEE, en articulación con la actualización del PEI y la normatividad vigente.</v>
          </cell>
          <cell r="K101" t="str">
            <v>MARTHA CECILIA MELGAREJO PINTO
MARIA TERESA GAVIRIA LOZANO
GILMA ESTHER ALBARRACÍN BALLESTEROS
MARTHA LUCIA OLAYA VARGAS
JENNIFER CATALINA TORRES PIRA</v>
          </cell>
          <cell r="L101" t="str">
            <v>MARTHA CECILIA MELGAREJO PINTO
MARIA TERESA GAVIRIA LOZANO
GILMA ESTHER ALBARRACÍN BALLESTEROS
MARTHA LUCIA OLAYA VARGAS
JENNIFER CATALINA TORRES PIRA</v>
          </cell>
          <cell r="M101">
            <v>45751</v>
          </cell>
          <cell r="N101">
            <v>45751</v>
          </cell>
          <cell r="O101">
            <v>45751</v>
          </cell>
          <cell r="P101" t="str">
            <v>Visitas de evaluación con fines de mejoramiento</v>
          </cell>
          <cell r="Q101" t="str">
            <v>Acta_Visita_General_Santander.pdf</v>
          </cell>
          <cell r="R101" t="str">
            <v xml:space="preserve">El SIEE esta actualizado y cuentan con la plataforma ZIGMA institucional, para el reporte del proceso académico de los estudiantes y se evidencian planes de mejora para los estudiantes realizado por los docenes y socializado a los padres de familia.
</v>
          </cell>
          <cell r="S101" t="str">
            <v>Se debe continuar con el seguimiento permanente a la evaluación de los estudiantes.</v>
          </cell>
          <cell r="T101" t="str">
            <v>No</v>
          </cell>
          <cell r="U101" t="str">
            <v>Se revisará en el momento que se llegue a presentar una solicitud frente a este tema.</v>
          </cell>
        </row>
        <row r="102">
          <cell r="A102">
            <v>2638</v>
          </cell>
          <cell r="B102"/>
          <cell r="C102" t="str">
            <v>USAQUÉN</v>
          </cell>
          <cell r="D102" t="str">
            <v>OFICIAL.</v>
          </cell>
          <cell r="E102" t="str">
            <v>EPBM</v>
          </cell>
          <cell r="F102" t="str">
            <v>COLEGIO_GENERAL_SANTANDER_IED</v>
          </cell>
          <cell r="G102" t="str">
            <v>GENERAL SANTANDER</v>
          </cell>
          <cell r="H102" t="str">
            <v>Autoevaluación Institucional y Pruebas SABER 11</v>
          </cell>
          <cell r="I102" t="str">
            <v>EVALUACIÓN_CON_FINES_DE_MEJORAMIENTO.</v>
          </cell>
          <cell r="J102" t="str">
            <v>Revisar el calendario escolar, jornada escolar, la intensidad horaria mínima anual en cada nivel y las modificaciones que se realicen al mismo, de acuerdo con lo previsto en la normatividad vigente.</v>
          </cell>
          <cell r="K102" t="str">
            <v>MARTHA CECILIA MELGAREJO PINTO
MARIA TERESA GAVIRIA LOZANO
GILMA ESTHER ALBARRACÍN BALLESTEROS
MARTHA LUCIA OLAYA VARGAS
JENNIFER CATALINA TORRES PIRA</v>
          </cell>
          <cell r="L102" t="str">
            <v>MARTHA CECILIA MELGAREJO PINTO
MARIA TERESA GAVIRIA LOZANO
GILMA ESTHER ALBARRACÍN BALLESTEROS
MARTHA LUCIA OLAYA VARGAS
JENNIFER CATALINA TORRES PIRA</v>
          </cell>
          <cell r="M102">
            <v>45751</v>
          </cell>
          <cell r="N102">
            <v>45751</v>
          </cell>
          <cell r="O102">
            <v>45751</v>
          </cell>
          <cell r="P102" t="str">
            <v>Visitas de evaluación con fines de mejoramiento</v>
          </cell>
          <cell r="Q102" t="str">
            <v>Acta_Visita_General_Santander.pdf</v>
          </cell>
          <cell r="R102" t="str">
            <v>Cuenta con la Resolución Rectoral No 01 de 2025, donde se define la Intensidad horaria semanal año 2025 para todos los grados.
Informan que por contingencia y transporte escolar se desarrollan cinco unidades de tiempo académico de 40 minutos para primaria.
En el bachillerato se desarrollan 6 unidades de tiempo de 50 minutos</v>
          </cell>
          <cell r="S102" t="str">
            <v>Continuar con el calendario escolar definido</v>
          </cell>
          <cell r="T102" t="str">
            <v>No</v>
          </cell>
          <cell r="U102" t="str">
            <v>Se revisará en caso de presentarse aguna relcamación al respecto</v>
          </cell>
        </row>
        <row r="103">
          <cell r="A103">
            <v>2639</v>
          </cell>
          <cell r="B103"/>
          <cell r="C103" t="str">
            <v>USAQUÉN</v>
          </cell>
          <cell r="D103" t="str">
            <v>OFICIAL.</v>
          </cell>
          <cell r="E103" t="str">
            <v>EPBM</v>
          </cell>
          <cell r="F103" t="str">
            <v>COLEGIO_GENERAL_SANTANDER_IED</v>
          </cell>
          <cell r="G103" t="str">
            <v>GENERAL SANTANDER</v>
          </cell>
          <cell r="H103" t="str">
            <v>Autoevaluación Institucional y Pruebas SABER 11</v>
          </cell>
          <cell r="I103" t="str">
            <v>EVALUACIÓN_CON_FINES_DE_MEJORAMIENTO.</v>
          </cell>
          <cell r="J103" t="str">
            <v>Verificar el funcionamiento del Gobierno Escolar e instancias de participación con base en la información sobre conformación reportada por la institución educativa.</v>
          </cell>
          <cell r="K103" t="str">
            <v>MARTHA CECILIA MELGAREJO PINTO
MARIA TERESA GAVIRIA LOZANO
GILMA ESTHER ALBARRACÍN BALLESTEROS
MARTHA LUCIA OLAYA VARGAS
JENNIFER CATALINA TORRES PIRA</v>
          </cell>
          <cell r="L103" t="str">
            <v>MARTHA CECILIA MELGAREJO PINTO
MARIA TERESA GAVIRIA LOZANO
GILMA ESTHER ALBARRACÍN BALLESTEROS
MARTHA LUCIA OLAYA VARGAS
JENNIFER CATALINA TORRES PIRA</v>
          </cell>
          <cell r="M103">
            <v>45751</v>
          </cell>
          <cell r="N103">
            <v>45751</v>
          </cell>
          <cell r="O103">
            <v>45751</v>
          </cell>
          <cell r="P103" t="str">
            <v>Visitas de evaluación con fines de mejoramiento</v>
          </cell>
          <cell r="Q103" t="str">
            <v>Acta_Visita_General_Santander.pdf</v>
          </cell>
          <cell r="R103" t="str">
            <v>Se evidencia la conformación del Consejo Directivo, Consejo Académico, consejo estudiantil, consejo de padres de familia, asopadres, la escuela para padres de familia.
La insitución realiza las reuniones de los consejos cada vez que se requiere. No obstante la institución realiza consejo directivo cada mes.</v>
          </cell>
          <cell r="S103" t="str">
            <v>Se debe continuar con la conformación de las instancias de partidipación y de Gobierno escolar.</v>
          </cell>
          <cell r="T103" t="str">
            <v>No</v>
          </cell>
          <cell r="U103" t="str">
            <v>Se hará verificación en caso de presentarse queja relacionada con Gobierno escolar</v>
          </cell>
        </row>
        <row r="104">
          <cell r="A104">
            <v>2640</v>
          </cell>
          <cell r="B104"/>
          <cell r="C104" t="str">
            <v>USAQUÉN</v>
          </cell>
          <cell r="D104" t="str">
            <v>OFICIAL.</v>
          </cell>
          <cell r="E104" t="str">
            <v>EPBM</v>
          </cell>
          <cell r="F104" t="str">
            <v>COLEGIO_GENERAL_SANTANDER_IED</v>
          </cell>
          <cell r="G104" t="str">
            <v>GENERAL SANTANDER</v>
          </cell>
          <cell r="H104" t="str">
            <v>Autoevaluación Institucional y Pruebas SABER 11</v>
          </cell>
          <cell r="I104" t="str">
            <v>EVALUACIÓN_CON_FINES_DE_MEJORAMIENTO.</v>
          </cell>
          <cell r="J104" t="str">
            <v>Verificar las condiciones en cuanto a: la estructura administrativa, condiciones de la planta física y medios educativos adecuados.</v>
          </cell>
          <cell r="K104" t="str">
            <v>MARTHA CECILIA MELGAREJO PINTO
MARIA TERESA GAVIRIA LOZANO
GILMA ESTHER ALBARRACÍN BALLESTEROS
MARTHA LUCIA OLAYA VARGAS
JENNIFER CATALINA TORRES PIRA</v>
          </cell>
          <cell r="L104" t="str">
            <v>MARTHA CECILIA MELGAREJO PINTO
MARIA TERESA GAVIRIA LOZANO
GILMA ESTHER ALBARRACÍN BALLESTEROS
MARTHA LUCIA OLAYA VARGAS
JENNIFER CATALINA TORRES PIRA</v>
          </cell>
          <cell r="M104">
            <v>45751</v>
          </cell>
          <cell r="N104">
            <v>45751</v>
          </cell>
          <cell r="O104">
            <v>45751</v>
          </cell>
          <cell r="P104" t="str">
            <v>Visitas de evaluación con fines de mejoramiento</v>
          </cell>
          <cell r="Q104" t="str">
            <v>Acta_Visita_General_Santander.pdf</v>
          </cell>
          <cell r="R104" t="str">
            <v xml:space="preserve">La institución educativa esta en arriendo, la Dirección de Conservación y construcciones de  espacios escolares de  la SED, la adaptó a las necesidades y las condiciones requeridas. 
No cuenta con rampas de acceso, ni baños adaptados para personas con discapacidad.
</v>
          </cell>
          <cell r="S104" t="str">
            <v>La institución se adaptó a las nuevas condiciones de la sede transitoria.</v>
          </cell>
          <cell r="T104" t="str">
            <v>No</v>
          </cell>
          <cell r="U104" t="str">
            <v>Validar los requerimientos que alleguen, teniendo en cuenta que es una sede temporal.</v>
          </cell>
        </row>
        <row r="105">
          <cell r="A105">
            <v>2641</v>
          </cell>
          <cell r="B105">
            <v>12</v>
          </cell>
          <cell r="C105" t="str">
            <v>USAQUÉN</v>
          </cell>
          <cell r="D105" t="str">
            <v>OFICIAL.</v>
          </cell>
          <cell r="E105" t="str">
            <v>EPBM</v>
          </cell>
          <cell r="F105" t="str">
            <v>COLEGIO_LA_ESTRELLITA_IED</v>
          </cell>
          <cell r="G105" t="str">
            <v>COLEGIO LA ESTRELLITA (IED) - SEDE PRINCIPAL</v>
          </cell>
          <cell r="H105" t="str">
            <v>Autoevaluación Institucional y Pruebas SABER 11</v>
          </cell>
          <cell r="I105" t="str">
            <v>SEGUIMIENTO_Y_SUPERVISIÓN.</v>
          </cell>
          <cell r="J105" t="str">
            <v>Proponer estrategias en la formulación, verificar su elaboración y realizar seguimiento semestral al desarrollo de  las acciones establecidas en los planes de mejoramiento por pruebas SABER 11 de los establecimientos de educación formal.</v>
          </cell>
          <cell r="K105" t="str">
            <v>MARTHA CECILIA MELGAREJO PINTO
MARIA TERESA GAVIRIA LOZANO
GILMA ESTHER ALBARRACÍN BALLESTEROS
MARTHA LUCIA OLAYA VARGAS
JENNIFER CATALINA TORRES PIRA</v>
          </cell>
          <cell r="L105" t="str">
            <v>MARTHA CECILIA MELGAREJO PINTO
MARIA TERESA GAVIRIA LOZANO
GILMA ESTHER ALBARRACÍN BALLESTEROS
MARTHA LUCIA OLAYA VARGAS
JENNIFER CATALINA TORRES PIRA</v>
          </cell>
          <cell r="M105">
            <v>45744</v>
          </cell>
          <cell r="N105">
            <v>45744</v>
          </cell>
          <cell r="O105">
            <v>45744</v>
          </cell>
          <cell r="P105" t="str">
            <v>Visitas de evaluación con fines de seguimiento</v>
          </cell>
          <cell r="Q105" t="str">
            <v>Acta_Visita_Estrellita.pdf</v>
          </cell>
          <cell r="R105" t="str">
            <v xml:space="preserve">Se evidenció que han hecho análisis de causas de las áreas de menor puntaje en las pruebas SABER, y  a partir de este insumo elaboraron estrategias de mejoramiento curricular que aplicarán a partir del segundo semestre de 2025.
</v>
          </cell>
          <cell r="S105" t="str">
            <v>Realizar el plan de mejora, donde se evidencie el ajuste de las mallas curriculares y el plan de estudios del grado 11, apartir de las estrategias de mejoramiento que realizaron. Entregar el 24 de abril</v>
          </cell>
          <cell r="T105" t="str">
            <v>Si</v>
          </cell>
          <cell r="U105" t="str">
            <v>Revisar el plan de mejoramiento en el mes de mayo, para evidenciar el ajuste al plan de estudios y las mallas curriculares.</v>
          </cell>
        </row>
        <row r="106">
          <cell r="A106">
            <v>2642</v>
          </cell>
          <cell r="B106"/>
          <cell r="C106" t="str">
            <v>USAQUÉN</v>
          </cell>
          <cell r="D106" t="str">
            <v>OFICIAL.</v>
          </cell>
          <cell r="E106" t="str">
            <v>EPBM</v>
          </cell>
          <cell r="F106" t="str">
            <v>COLEGIO_LA_ESTRELLITA_IED</v>
          </cell>
          <cell r="G106" t="str">
            <v>COLEGIO LA ESTRELLITA (IED) - SEDE PRINCIPAL</v>
          </cell>
          <cell r="H106" t="str">
            <v>Autoevaluación Institucional y Pruebas SABER 11</v>
          </cell>
          <cell r="I106" t="str">
            <v>SEGUIMIENTO_Y_SUPERVISIÓN.</v>
          </cell>
          <cell r="J106" t="str">
            <v xml:space="preserve">Verificar la implementación por parte de los colegios, de acciones realizadas para la prevención y atención de las situaciones de convivencia en el entorno escolar, según lo establecido en la Directiva 01 de 2022 del MEN. </v>
          </cell>
          <cell r="K106" t="str">
            <v>MARTHA CECILIA MELGAREJO PINTO
MARIA TERESA GAVIRIA LOZANO
GILMA ESTHER ALBARRACÍN BALLESTEROS
MARTHA LUCIA OLAYA VARGAS
JENNIFER CATALINA TORRES PIRA</v>
          </cell>
          <cell r="L106" t="str">
            <v>MARTHA CECILIA MELGAREJO PINTO
MARIA TERESA GAVIRIA LOZANO
GILMA ESTHER ALBARRACÍN BALLESTEROS
MARTHA LUCIA OLAYA VARGAS
JENNIFER CATALINA TORRES PIRA</v>
          </cell>
          <cell r="M106">
            <v>45744</v>
          </cell>
          <cell r="N106">
            <v>45744</v>
          </cell>
          <cell r="O106">
            <v>45744</v>
          </cell>
          <cell r="P106" t="str">
            <v>Visitas de evaluación con fines de seguimiento</v>
          </cell>
          <cell r="Q106" t="str">
            <v>Acta_Visita_Estrellita.pdf</v>
          </cell>
          <cell r="R106" t="str">
            <v>Se evidencia que esta definido el Comité de Convivencia y sus funciones de manera clara hace falta establecer el reglamento de éste. 
Se define la Ruta de atención integral para la atención de situaciones de convivencia y han realizado las capacitaciones a la comunidad educativa para su activación. 
Verifican cada 4 meses las inhabilidades por delitos sexuales, para el personal administrativo de la Institución.</v>
          </cell>
          <cell r="S106" t="str">
            <v xml:space="preserve">
Realizar el reglamento del Comité de Convivencia, y ajustar el manual de convivencia exclusivo para el colegio La estrellita e inclusión de los temas solicitados. 
Entregar las acciones dentro del plan el 24 de abril
</v>
          </cell>
          <cell r="T106" t="str">
            <v>Si</v>
          </cell>
          <cell r="U106" t="str">
            <v>Revisar el plan de mejoramiento en el mes de mayo.</v>
          </cell>
        </row>
        <row r="107">
          <cell r="A107">
            <v>2643</v>
          </cell>
          <cell r="B107"/>
          <cell r="C107" t="str">
            <v>USAQUÉN</v>
          </cell>
          <cell r="D107" t="str">
            <v>OFICIAL.</v>
          </cell>
          <cell r="E107" t="str">
            <v>EPBM</v>
          </cell>
          <cell r="F107" t="str">
            <v>COLEGIO_LA_ESTRELLITA_IED</v>
          </cell>
          <cell r="G107" t="str">
            <v>COLEGIO LA ESTRELLITA (IED) - SEDE PRINCIPAL</v>
          </cell>
          <cell r="H107" t="str">
            <v>Autoevaluación Institucional y Pruebas SABER 11</v>
          </cell>
          <cell r="I107" t="str">
            <v>SEGUIMIENTO_Y_SUPERVISIÓN.</v>
          </cell>
          <cell r="J10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7" t="str">
            <v>MARTHA CECILIA MELGAREJO PINTO
MARIA TERESA GAVIRIA LOZANO
GILMA ESTHER ALBARRACÍN BALLESTEROS
MARTHA LUCIA OLAYA VARGAS
JENNIFER CATALINA TORRES PIRA</v>
          </cell>
          <cell r="L107" t="str">
            <v>MARTHA CECILIA MELGAREJO PINTO
MARIA TERESA GAVIRIA LOZANO
GILMA ESTHER ALBARRACÍN BALLESTEROS
MARTHA LUCIA OLAYA VARGAS
JENNIFER CATALINA TORRES PIRA</v>
          </cell>
          <cell r="M107">
            <v>45744</v>
          </cell>
          <cell r="N107">
            <v>45744</v>
          </cell>
          <cell r="O107">
            <v>45744</v>
          </cell>
          <cell r="P107" t="str">
            <v>Visitas de evaluación con fines de seguimiento</v>
          </cell>
          <cell r="Q107" t="str">
            <v>Acta_Visita_Estrellita.pdf</v>
          </cell>
          <cell r="R107" t="str">
            <v>Se encontró que existen los planes individuales de ajustes razonables a los 11 estudiantes con discapacidad y los 2 estudiantes con transtornos de aprendizaje.
Cada uno cuenta con una carpeta donde se evidencia su ejecución, seguimiento y actualización.</v>
          </cell>
          <cell r="S107" t="str">
            <v>Se debe continuar con esta actividad mediante el seguimiento a los ajustes razonables que se requieran.</v>
          </cell>
          <cell r="T107" t="str">
            <v>No</v>
          </cell>
          <cell r="U107" t="str">
            <v>Se hará verificación de los PIAR en caso de presentarse queja.</v>
          </cell>
        </row>
        <row r="108">
          <cell r="A108">
            <v>2644</v>
          </cell>
          <cell r="B108"/>
          <cell r="C108" t="str">
            <v>USAQUÉN</v>
          </cell>
          <cell r="D108" t="str">
            <v>OFICIAL.</v>
          </cell>
          <cell r="E108" t="str">
            <v>EPBM</v>
          </cell>
          <cell r="F108" t="str">
            <v>COLEGIO_LA_ESTRELLITA_IED</v>
          </cell>
          <cell r="G108" t="str">
            <v>COLEGIO LA ESTRELLITA (IED) - SEDE PRINCIPAL</v>
          </cell>
          <cell r="H108" t="str">
            <v>Autoevaluación Institucional y Pruebas SABER 11</v>
          </cell>
          <cell r="I108" t="str">
            <v>EVALUACIÓN_CON_FINES_DE_MEJORAMIENTO.</v>
          </cell>
          <cell r="J10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8" t="str">
            <v>MARTHA CECILIA MELGAREJO PINTO
MARIA TERESA GAVIRIA LOZANO
GILMA ESTHER ALBARRACÍN BALLESTEROS
MARTHA LUCIA OLAYA VARGAS
JENNIFER CATALINA TORRES PIRA</v>
          </cell>
          <cell r="L108" t="str">
            <v>MARTHA CECILIA MELGAREJO PINTO
MARIA TERESA GAVIRIA LOZANO
GILMA ESTHER ALBARRACÍN BALLESTEROS
MARTHA LUCIA OLAYA VARGAS
JENNIFER CATALINA TORRES PIRA</v>
          </cell>
          <cell r="M108">
            <v>45744</v>
          </cell>
          <cell r="N108">
            <v>45744</v>
          </cell>
          <cell r="O108">
            <v>45744</v>
          </cell>
          <cell r="P108" t="str">
            <v>Visitas de evaluación con fines de mejoramiento</v>
          </cell>
          <cell r="Q108" t="str">
            <v>Acta_Visita_Estrellita.pdf</v>
          </cell>
          <cell r="R108" t="str">
            <v xml:space="preserve">Se evidencia el manual de convivencia se socializó y aprobó, en el cual se señalan las fases  y mecanismos de participación para la actualización, socialización y aprobación del mismo, no obstante, el manual de convivencia esta definido para los 4 colegios que hacen parte de Consorcio Salesiano.
</v>
          </cell>
          <cell r="S108" t="str">
            <v xml:space="preserve">Actualizar el manual de convivencia conforme el PEI del colegio, donde incluirán  el reglamento del Comité de convivencia, Criterios de respeto, valoración y compromiso frente a la utilización y conservación de bienes personales y de uso colectivo; y demás componenetes establecidos en la Ley 1620 de 2013.
</v>
          </cell>
          <cell r="T108" t="str">
            <v>Si</v>
          </cell>
          <cell r="U108" t="str">
            <v xml:space="preserve">Revisar el plan de mejoramiento en el mes de mayo.
</v>
          </cell>
        </row>
        <row r="109">
          <cell r="A109">
            <v>2645</v>
          </cell>
          <cell r="B109"/>
          <cell r="C109" t="str">
            <v>USAQUÉN</v>
          </cell>
          <cell r="D109" t="str">
            <v>OFICIAL.</v>
          </cell>
          <cell r="E109" t="str">
            <v>EPBM</v>
          </cell>
          <cell r="F109" t="str">
            <v>COLEGIO_LA_ESTRELLITA_IED</v>
          </cell>
          <cell r="G109" t="str">
            <v>COLEGIO LA ESTRELLITA (IED) - SEDE PRINCIPAL</v>
          </cell>
          <cell r="H109" t="str">
            <v>Autoevaluación Institucional y Pruebas SABER 11</v>
          </cell>
          <cell r="I109" t="str">
            <v>EVALUACIÓN_CON_FINES_DE_MEJORAMIENTO.</v>
          </cell>
          <cell r="J109" t="str">
            <v>Revisar la actualización, socialización e implementación del Sistema Institucional de Evaluación de Estudiantes - SIEE, en articulación con la actualización del PEI y la normatividad vigente.</v>
          </cell>
          <cell r="K109" t="str">
            <v>MARTHA CECILIA MELGAREJO PINTO
MARIA TERESA GAVIRIA LOZANO
GILMA ESTHER ALBARRACÍN BALLESTEROS
MARTHA LUCIA OLAYA VARGAS
JENNIFER CATALINA TORRES PIRA</v>
          </cell>
          <cell r="L109" t="str">
            <v>MARTHA CECILIA MELGAREJO PINTO
MARIA TERESA GAVIRIA LOZANO
GILMA ESTHER ALBARRACÍN BALLESTEROS
MARTHA LUCIA OLAYA VARGAS
JENNIFER CATALINA TORRES PIRA</v>
          </cell>
          <cell r="M109">
            <v>45744</v>
          </cell>
          <cell r="N109">
            <v>45744</v>
          </cell>
          <cell r="O109">
            <v>45744</v>
          </cell>
          <cell r="P109" t="str">
            <v>Visitas de evaluación con fines de mejoramiento</v>
          </cell>
          <cell r="Q109" t="str">
            <v>Acta_Visita_Estrellita.pdf</v>
          </cell>
          <cell r="R109" t="str">
            <v xml:space="preserve">Se encuentra actualizado el SIEE, pero es necesario ajustarlo para el contexto poblacional y PEI del colegio La Estrellita </v>
          </cell>
          <cell r="S109" t="str">
            <v>Realizar Plan de mejora, dejando evidencia del trabajo de socialización que realizan con los padres de familia, los estudiantes y docentes.</v>
          </cell>
          <cell r="T109" t="str">
            <v>Si</v>
          </cell>
          <cell r="U109" t="str">
            <v xml:space="preserve">Revisar el plan de mejoramiento en el mes de mayo.
</v>
          </cell>
        </row>
        <row r="110">
          <cell r="A110">
            <v>2646</v>
          </cell>
          <cell r="B110"/>
          <cell r="C110" t="str">
            <v>USAQUÉN</v>
          </cell>
          <cell r="D110" t="str">
            <v>OFICIAL.</v>
          </cell>
          <cell r="E110" t="str">
            <v>EPBM</v>
          </cell>
          <cell r="F110" t="str">
            <v>COLEGIO_LA_ESTRELLITA_IED</v>
          </cell>
          <cell r="G110" t="str">
            <v>COLEGIO LA ESTRELLITA (IED) - SEDE PRINCIPAL</v>
          </cell>
          <cell r="H110" t="str">
            <v>Autoevaluación Institucional y Pruebas SABER 11</v>
          </cell>
          <cell r="I110" t="str">
            <v>EVALUACIÓN_CON_FINES_DE_MEJORAMIENTO.</v>
          </cell>
          <cell r="J110" t="str">
            <v>Revisar el calendario escolar, jornada escolar, la intensidad horaria mínima anual en cada nivel y las modificaciones que se realicen al mismo, de acuerdo con lo previsto en la normatividad vigente.</v>
          </cell>
          <cell r="K110" t="str">
            <v>MARTHA CECILIA MELGAREJO PINTO
MARIA TERESA GAVIRIA LOZANO
GILMA ESTHER ALBARRACÍN BALLESTEROS
MARTHA LUCIA OLAYA VARGAS
JENNIFER CATALINA TORRES PIRA</v>
          </cell>
          <cell r="L110" t="str">
            <v>MARTHA CECILIA MELGAREJO PINTO
MARIA TERESA GAVIRIA LOZANO
GILMA ESTHER ALBARRACÍN BALLESTEROS
MARTHA LUCIA OLAYA VARGAS
JENNIFER CATALINA TORRES PIRA</v>
          </cell>
          <cell r="M110">
            <v>45744</v>
          </cell>
          <cell r="N110">
            <v>45744</v>
          </cell>
          <cell r="O110">
            <v>45744</v>
          </cell>
          <cell r="P110" t="str">
            <v>Visitas de evaluación con fines de mejoramiento</v>
          </cell>
          <cell r="Q110" t="str">
            <v>Acta_Visita_Estrellita.pdf</v>
          </cell>
          <cell r="R110" t="str">
            <v xml:space="preserve">El calendario está ajustado a lo establecido en la norma vigente frente a intensidades horarias para cada nivel.
</v>
          </cell>
          <cell r="S110" t="str">
            <v>Continuar su implementación en lo que resta del año académico</v>
          </cell>
          <cell r="T110" t="str">
            <v>No</v>
          </cell>
          <cell r="U110" t="str">
            <v>Se revisará en la siguiente vigencia el calendario adoptado.</v>
          </cell>
        </row>
        <row r="111">
          <cell r="A111">
            <v>2647</v>
          </cell>
          <cell r="B111"/>
          <cell r="C111" t="str">
            <v>USAQUÉN</v>
          </cell>
          <cell r="D111" t="str">
            <v>OFICIAL.</v>
          </cell>
          <cell r="E111" t="str">
            <v>EPBM</v>
          </cell>
          <cell r="F111" t="str">
            <v>COLEGIO_LA_ESTRELLITA_IED</v>
          </cell>
          <cell r="G111" t="str">
            <v>COLEGIO LA ESTRELLITA (IED) - SEDE PRINCIPAL</v>
          </cell>
          <cell r="H111" t="str">
            <v>Autoevaluación Institucional y Pruebas SABER 11</v>
          </cell>
          <cell r="I111" t="str">
            <v>EVALUACIÓN_CON_FINES_DE_MEJORAMIENTO.</v>
          </cell>
          <cell r="J111" t="str">
            <v>Verificar el funcionamiento del Gobierno Escolar e instancias de participación con base en la información sobre conformación reportada por la institución educativa.</v>
          </cell>
          <cell r="K111" t="str">
            <v>MARTHA CECILIA MELGAREJO PINTO
MARIA TERESA GAVIRIA LOZANO
GILMA ESTHER ALBARRACÍN BALLESTEROS
MARTHA LUCIA OLAYA VARGAS
JENNIFER CATALINA TORRES PIRA</v>
          </cell>
          <cell r="L111" t="str">
            <v>MARTHA CECILIA MELGAREJO PINTO
MARIA TERESA GAVIRIA LOZANO
GILMA ESTHER ALBARRACÍN BALLESTEROS
MARTHA LUCIA OLAYA VARGAS
JENNIFER CATALINA TORRES PIRA</v>
          </cell>
          <cell r="M111">
            <v>45744</v>
          </cell>
          <cell r="N111">
            <v>45744</v>
          </cell>
          <cell r="O111">
            <v>45744</v>
          </cell>
          <cell r="P111" t="str">
            <v>Visitas de evaluación con fines de mejoramiento</v>
          </cell>
          <cell r="Q111" t="str">
            <v>Acta_Visita_Estrellita.pdf</v>
          </cell>
          <cell r="R111" t="str">
            <v>Se encuentra el proceso participativo de conformación de: Consejo Directivo, Consejo Académico, Personero estudiantil, Cabildante estudiantil y Consejo de estudiantes.</v>
          </cell>
          <cell r="S111" t="str">
            <v>Realizar requerimiento a la Dirección de Participación para la actualización y registro y cargue de actas en el SAE, dado que no se encuentra registrado  el colegio.</v>
          </cell>
          <cell r="T111" t="str">
            <v>Si</v>
          </cell>
          <cell r="U111" t="str">
            <v>Se verificará en SAE el cargue de las actas correspondientes a la conformación debidamente firmadas.</v>
          </cell>
        </row>
        <row r="112">
          <cell r="A112">
            <v>2648</v>
          </cell>
          <cell r="B112"/>
          <cell r="C112" t="str">
            <v>USAQUÉN</v>
          </cell>
          <cell r="D112" t="str">
            <v>OFICIAL.</v>
          </cell>
          <cell r="E112" t="str">
            <v>EPBM</v>
          </cell>
          <cell r="F112" t="str">
            <v>COLEGIO_LA_ESTRELLITA_IED</v>
          </cell>
          <cell r="G112" t="str">
            <v>COLEGIO LA ESTRELLITA (IED) - SEDE PRINCIPAL</v>
          </cell>
          <cell r="H112" t="str">
            <v>Autoevaluación Institucional y Pruebas SABER 11</v>
          </cell>
          <cell r="I112" t="str">
            <v>EVALUACIÓN_CON_FINES_DE_MEJORAMIENTO.</v>
          </cell>
          <cell r="J112" t="str">
            <v>Verificar las condiciones en cuanto a: la estructura administrativa, condiciones de la planta física y medios educativos adecuados.</v>
          </cell>
          <cell r="K112" t="str">
            <v>MARTHA CECILIA MELGAREJO PINTO
MARIA TERESA GAVIRIA LOZANO
GILMA ESTHER ALBARRACÍN BALLESTEROS
MARTHA LUCIA OLAYA VARGAS
JENNIFER CATALINA TORRES PIRA</v>
          </cell>
          <cell r="L112" t="str">
            <v>MARTHA CECILIA MELGAREJO PINTO
MARIA TERESA GAVIRIA LOZANO
GILMA ESTHER ALBARRACÍN BALLESTEROS
MARTHA LUCIA OLAYA VARGAS
JENNIFER CATALINA TORRES PIRA</v>
          </cell>
          <cell r="M112">
            <v>45744</v>
          </cell>
          <cell r="N112">
            <v>45744</v>
          </cell>
          <cell r="O112">
            <v>45744</v>
          </cell>
          <cell r="P112" t="str">
            <v>Visitas de evaluación con fines de mejoramiento</v>
          </cell>
          <cell r="Q112" t="str">
            <v>Acta_Visita_Estrellita.pdf</v>
          </cell>
          <cell r="R112" t="str">
            <v xml:space="preserve">Se evidenció que la planta física esta en buen estado, las aulas son suficientes para cubrir y garantizar la prestación del servicio educativo actual, faltan espacios para archivo documental, recreación, danzas, ludotecas y actualización tecnológica. Cuentan con la pedagogía del cuidado de los Público mediante estrategias lúdicas para los estudiantes. </v>
          </cell>
          <cell r="S112" t="str">
            <v>Continuar con las estrategias de alternancia para el uso de espacios comunes: recreación, restaurante, entre otros que se encuenyran limitados para la población estudiantil matriculada.</v>
          </cell>
          <cell r="T112" t="str">
            <v>No</v>
          </cell>
          <cell r="U112" t="str">
            <v>Se hará verificación de los componentes de la infraestructura educativa en caso de presentarse queja.</v>
          </cell>
        </row>
        <row r="113">
          <cell r="M113"/>
          <cell r="N113"/>
          <cell r="O113"/>
          <cell r="Q113"/>
          <cell r="R113"/>
          <cell r="S113"/>
          <cell r="U113"/>
        </row>
        <row r="114">
          <cell r="M114"/>
          <cell r="N114"/>
          <cell r="O114"/>
          <cell r="Q114"/>
          <cell r="R114"/>
          <cell r="S114"/>
          <cell r="U114"/>
        </row>
        <row r="115">
          <cell r="M115"/>
          <cell r="N115"/>
          <cell r="O115"/>
          <cell r="Q115"/>
          <cell r="R115"/>
          <cell r="S115"/>
          <cell r="U115"/>
        </row>
        <row r="116">
          <cell r="M116"/>
          <cell r="N116"/>
          <cell r="O116"/>
          <cell r="Q116"/>
          <cell r="R116"/>
          <cell r="S116"/>
          <cell r="U116"/>
        </row>
        <row r="117">
          <cell r="M117"/>
          <cell r="N117"/>
          <cell r="O117"/>
          <cell r="Q117"/>
          <cell r="R117"/>
          <cell r="S117"/>
          <cell r="U117"/>
        </row>
        <row r="118">
          <cell r="M118"/>
          <cell r="N118"/>
          <cell r="O118"/>
          <cell r="Q118"/>
          <cell r="R118"/>
          <cell r="S118"/>
          <cell r="U118"/>
        </row>
        <row r="119">
          <cell r="M119"/>
          <cell r="N119"/>
          <cell r="O119"/>
          <cell r="Q119"/>
          <cell r="R119"/>
          <cell r="S119"/>
          <cell r="U119"/>
        </row>
        <row r="120">
          <cell r="M120"/>
          <cell r="N120"/>
          <cell r="O120"/>
          <cell r="Q120"/>
          <cell r="R120"/>
          <cell r="S120"/>
          <cell r="U120"/>
        </row>
        <row r="121">
          <cell r="M121"/>
          <cell r="N121"/>
          <cell r="O121"/>
          <cell r="Q121"/>
          <cell r="R121"/>
          <cell r="S121"/>
          <cell r="U121"/>
        </row>
        <row r="122">
          <cell r="M122"/>
          <cell r="N122"/>
          <cell r="O122"/>
          <cell r="Q122"/>
          <cell r="R122"/>
          <cell r="S122"/>
          <cell r="U122"/>
        </row>
        <row r="123">
          <cell r="M123"/>
          <cell r="N123"/>
          <cell r="O123"/>
          <cell r="Q123"/>
          <cell r="R123"/>
          <cell r="S123"/>
          <cell r="U123"/>
        </row>
        <row r="124">
          <cell r="M124"/>
          <cell r="N124"/>
          <cell r="O124"/>
          <cell r="Q124"/>
          <cell r="R124"/>
          <cell r="S124"/>
          <cell r="U124"/>
        </row>
        <row r="125">
          <cell r="M125"/>
          <cell r="N125"/>
          <cell r="O125"/>
          <cell r="Q125"/>
          <cell r="R125"/>
          <cell r="S125"/>
          <cell r="U125"/>
        </row>
        <row r="126">
          <cell r="M126"/>
          <cell r="N126"/>
          <cell r="O126"/>
          <cell r="Q126"/>
          <cell r="R126"/>
          <cell r="S126"/>
          <cell r="U126"/>
        </row>
        <row r="127">
          <cell r="M127"/>
          <cell r="N127"/>
          <cell r="O127"/>
          <cell r="Q127"/>
          <cell r="R127"/>
          <cell r="S127"/>
          <cell r="U127"/>
        </row>
        <row r="128">
          <cell r="M128"/>
          <cell r="N128"/>
          <cell r="O128"/>
          <cell r="Q128"/>
          <cell r="R128"/>
          <cell r="S128"/>
          <cell r="U128"/>
        </row>
        <row r="129">
          <cell r="M129"/>
          <cell r="N129"/>
          <cell r="O129"/>
          <cell r="Q129"/>
          <cell r="R129"/>
          <cell r="S129"/>
          <cell r="U129"/>
        </row>
        <row r="130">
          <cell r="M130"/>
          <cell r="N130"/>
          <cell r="O130"/>
          <cell r="Q130"/>
          <cell r="R130"/>
          <cell r="S130"/>
          <cell r="U130"/>
        </row>
        <row r="131">
          <cell r="M131"/>
          <cell r="N131"/>
          <cell r="O131"/>
          <cell r="Q131"/>
          <cell r="R131"/>
          <cell r="S131"/>
          <cell r="U131"/>
        </row>
        <row r="132">
          <cell r="M132"/>
          <cell r="N132"/>
          <cell r="O132"/>
          <cell r="Q132"/>
          <cell r="R132"/>
          <cell r="S132"/>
          <cell r="U132"/>
        </row>
        <row r="133">
          <cell r="M133"/>
          <cell r="N133"/>
          <cell r="O133"/>
          <cell r="Q133"/>
          <cell r="R133"/>
          <cell r="S133"/>
          <cell r="U133"/>
        </row>
        <row r="134">
          <cell r="M134"/>
          <cell r="N134"/>
          <cell r="O134"/>
          <cell r="Q134"/>
          <cell r="R134"/>
          <cell r="S134"/>
          <cell r="U134"/>
        </row>
        <row r="135">
          <cell r="M135"/>
          <cell r="N135"/>
          <cell r="O135"/>
          <cell r="Q135"/>
          <cell r="R135"/>
          <cell r="S135"/>
          <cell r="U135"/>
        </row>
        <row r="136">
          <cell r="M136"/>
          <cell r="N136"/>
          <cell r="O136"/>
          <cell r="Q136"/>
          <cell r="R136"/>
          <cell r="S136"/>
          <cell r="U136"/>
        </row>
        <row r="137">
          <cell r="M137"/>
          <cell r="N137"/>
          <cell r="O137"/>
          <cell r="Q137"/>
          <cell r="R137"/>
          <cell r="S137"/>
          <cell r="U137"/>
        </row>
        <row r="138">
          <cell r="M138"/>
          <cell r="N138"/>
          <cell r="O138"/>
          <cell r="Q138"/>
          <cell r="R138"/>
          <cell r="S138"/>
          <cell r="U138"/>
        </row>
        <row r="139">
          <cell r="M139"/>
          <cell r="N139"/>
          <cell r="O139"/>
          <cell r="Q139"/>
          <cell r="R139"/>
          <cell r="S139"/>
          <cell r="U139"/>
        </row>
        <row r="140">
          <cell r="M140"/>
          <cell r="N140"/>
          <cell r="O140"/>
          <cell r="Q140"/>
          <cell r="R140"/>
          <cell r="S140"/>
          <cell r="U140"/>
        </row>
        <row r="141">
          <cell r="M141"/>
          <cell r="N141"/>
          <cell r="O141"/>
          <cell r="Q141"/>
          <cell r="R141"/>
          <cell r="S141"/>
          <cell r="U141"/>
        </row>
        <row r="142">
          <cell r="M142"/>
          <cell r="N142"/>
          <cell r="O142"/>
          <cell r="Q142"/>
          <cell r="R142"/>
          <cell r="S142"/>
          <cell r="U142"/>
        </row>
        <row r="143">
          <cell r="M143"/>
          <cell r="N143"/>
          <cell r="O143"/>
          <cell r="Q143"/>
          <cell r="R143"/>
          <cell r="S143"/>
          <cell r="U143"/>
        </row>
        <row r="144">
          <cell r="M144"/>
          <cell r="N144"/>
          <cell r="O144"/>
          <cell r="Q144"/>
          <cell r="R144"/>
          <cell r="S144"/>
          <cell r="U144"/>
        </row>
        <row r="145">
          <cell r="M145"/>
          <cell r="N145"/>
          <cell r="O145"/>
          <cell r="Q145"/>
          <cell r="R145"/>
          <cell r="S145"/>
          <cell r="U145"/>
        </row>
        <row r="146">
          <cell r="M146"/>
          <cell r="N146"/>
          <cell r="O146"/>
          <cell r="Q146"/>
          <cell r="R146"/>
          <cell r="S146"/>
          <cell r="U146"/>
        </row>
        <row r="147">
          <cell r="M147"/>
          <cell r="N147"/>
          <cell r="O147"/>
          <cell r="Q147"/>
          <cell r="R147"/>
          <cell r="S147"/>
          <cell r="U147"/>
        </row>
        <row r="148">
          <cell r="M148"/>
          <cell r="N148"/>
          <cell r="O148"/>
          <cell r="Q148"/>
          <cell r="R148"/>
          <cell r="S148"/>
          <cell r="U148"/>
        </row>
        <row r="149">
          <cell r="M149"/>
          <cell r="N149"/>
          <cell r="O149"/>
          <cell r="Q149"/>
          <cell r="R149"/>
          <cell r="S149"/>
          <cell r="U149"/>
        </row>
        <row r="150">
          <cell r="M150"/>
          <cell r="N150"/>
          <cell r="O150"/>
          <cell r="Q150"/>
          <cell r="R150"/>
          <cell r="S150"/>
          <cell r="U150"/>
        </row>
        <row r="151">
          <cell r="M151"/>
          <cell r="N151"/>
          <cell r="O151"/>
          <cell r="Q151"/>
          <cell r="R151"/>
          <cell r="S151"/>
          <cell r="U151"/>
        </row>
        <row r="152">
          <cell r="M152"/>
          <cell r="N152"/>
          <cell r="O152"/>
          <cell r="Q152"/>
          <cell r="R152"/>
          <cell r="S152"/>
          <cell r="U152"/>
        </row>
        <row r="153">
          <cell r="M153"/>
          <cell r="N153"/>
          <cell r="O153"/>
          <cell r="Q153"/>
          <cell r="R153"/>
          <cell r="S153"/>
          <cell r="U153"/>
        </row>
        <row r="154">
          <cell r="M154"/>
          <cell r="N154"/>
          <cell r="O154"/>
          <cell r="Q154"/>
          <cell r="R154"/>
          <cell r="S154"/>
          <cell r="U154"/>
        </row>
        <row r="155">
          <cell r="M155"/>
          <cell r="N155"/>
          <cell r="O155"/>
          <cell r="Q155"/>
          <cell r="R155"/>
          <cell r="S155"/>
          <cell r="U155"/>
        </row>
        <row r="156">
          <cell r="M156"/>
          <cell r="N156"/>
          <cell r="O156"/>
          <cell r="Q156"/>
          <cell r="R156"/>
          <cell r="S156"/>
          <cell r="U156"/>
        </row>
        <row r="157">
          <cell r="M157"/>
          <cell r="N157"/>
          <cell r="O157"/>
          <cell r="Q157"/>
          <cell r="R157"/>
          <cell r="S157"/>
          <cell r="U157"/>
        </row>
        <row r="158">
          <cell r="M158"/>
          <cell r="N158"/>
          <cell r="O158"/>
          <cell r="Q158"/>
          <cell r="R158"/>
          <cell r="S158"/>
          <cell r="U158"/>
        </row>
        <row r="159">
          <cell r="M159"/>
          <cell r="N159"/>
          <cell r="O159"/>
          <cell r="Q159"/>
          <cell r="R159"/>
          <cell r="S159"/>
          <cell r="U159"/>
        </row>
        <row r="160">
          <cell r="M160"/>
          <cell r="N160"/>
          <cell r="O160"/>
          <cell r="Q160"/>
          <cell r="R160"/>
          <cell r="S160"/>
          <cell r="U160"/>
        </row>
        <row r="161">
          <cell r="M161"/>
          <cell r="N161"/>
          <cell r="O161"/>
          <cell r="Q161"/>
          <cell r="R161"/>
          <cell r="S161"/>
          <cell r="U161"/>
        </row>
        <row r="162">
          <cell r="M162"/>
          <cell r="N162"/>
          <cell r="O162"/>
          <cell r="Q162"/>
          <cell r="R162"/>
          <cell r="S162"/>
          <cell r="U162"/>
        </row>
        <row r="163">
          <cell r="M163"/>
          <cell r="N163"/>
          <cell r="O163"/>
          <cell r="Q163"/>
          <cell r="R163"/>
          <cell r="S163"/>
          <cell r="U163"/>
        </row>
        <row r="164">
          <cell r="M164"/>
          <cell r="N164"/>
          <cell r="O164"/>
          <cell r="Q164"/>
          <cell r="R164"/>
          <cell r="S164"/>
          <cell r="U164"/>
        </row>
        <row r="165">
          <cell r="M165"/>
          <cell r="N165"/>
          <cell r="O165"/>
          <cell r="Q165"/>
          <cell r="R165"/>
          <cell r="S165"/>
          <cell r="U165"/>
        </row>
        <row r="166">
          <cell r="M166"/>
          <cell r="N166"/>
          <cell r="O166"/>
          <cell r="Q166"/>
          <cell r="R166"/>
          <cell r="S166"/>
          <cell r="U166"/>
        </row>
        <row r="167">
          <cell r="M167"/>
          <cell r="N167"/>
          <cell r="O167"/>
          <cell r="Q167"/>
          <cell r="R167"/>
          <cell r="S167"/>
          <cell r="U167"/>
        </row>
        <row r="168">
          <cell r="M168"/>
          <cell r="N168"/>
          <cell r="O168"/>
          <cell r="Q168"/>
          <cell r="R168"/>
          <cell r="S168"/>
          <cell r="U168"/>
        </row>
        <row r="169">
          <cell r="M169"/>
          <cell r="N169"/>
          <cell r="O169"/>
          <cell r="Q169"/>
          <cell r="R169"/>
          <cell r="S169"/>
          <cell r="U169"/>
        </row>
        <row r="170">
          <cell r="M170"/>
          <cell r="N170"/>
          <cell r="O170"/>
          <cell r="Q170"/>
          <cell r="R170"/>
          <cell r="S170"/>
          <cell r="U170"/>
        </row>
        <row r="171">
          <cell r="M171"/>
          <cell r="N171"/>
          <cell r="O171"/>
          <cell r="Q171"/>
          <cell r="R171"/>
          <cell r="S171"/>
          <cell r="U171"/>
        </row>
        <row r="172">
          <cell r="M172"/>
          <cell r="N172"/>
          <cell r="O172"/>
          <cell r="Q172"/>
          <cell r="R172"/>
          <cell r="S172"/>
          <cell r="U172"/>
        </row>
        <row r="173">
          <cell r="M173"/>
          <cell r="N173"/>
          <cell r="O173"/>
          <cell r="Q173"/>
          <cell r="R173"/>
          <cell r="S173"/>
          <cell r="U173"/>
        </row>
        <row r="174">
          <cell r="M174"/>
          <cell r="N174"/>
          <cell r="O174"/>
          <cell r="Q174"/>
          <cell r="R174"/>
          <cell r="S174"/>
          <cell r="U174"/>
        </row>
        <row r="175">
          <cell r="M175"/>
          <cell r="N175"/>
          <cell r="O175"/>
          <cell r="Q175"/>
          <cell r="R175"/>
          <cell r="S175"/>
          <cell r="U175"/>
        </row>
        <row r="176">
          <cell r="M176"/>
          <cell r="N176"/>
          <cell r="O176"/>
          <cell r="Q176"/>
          <cell r="R176"/>
          <cell r="S176"/>
          <cell r="U176"/>
        </row>
        <row r="177">
          <cell r="M177"/>
          <cell r="N177"/>
          <cell r="O177"/>
          <cell r="Q177"/>
          <cell r="R177"/>
          <cell r="S177"/>
          <cell r="U177"/>
        </row>
        <row r="178">
          <cell r="M178"/>
          <cell r="N178"/>
          <cell r="O178"/>
          <cell r="Q178"/>
          <cell r="R178"/>
          <cell r="S178"/>
          <cell r="U178"/>
        </row>
        <row r="179">
          <cell r="M179"/>
          <cell r="N179"/>
          <cell r="O179"/>
          <cell r="Q179"/>
          <cell r="R179"/>
          <cell r="S179"/>
          <cell r="U179"/>
        </row>
        <row r="180">
          <cell r="M180"/>
          <cell r="N180"/>
          <cell r="O180"/>
          <cell r="Q180"/>
          <cell r="R180"/>
          <cell r="S180"/>
        </row>
        <row r="181">
          <cell r="M181"/>
          <cell r="N181"/>
          <cell r="O181"/>
          <cell r="Q181"/>
          <cell r="R181"/>
          <cell r="S181"/>
        </row>
        <row r="182">
          <cell r="M182"/>
          <cell r="N182"/>
          <cell r="O182"/>
          <cell r="Q182"/>
          <cell r="R182"/>
          <cell r="S182"/>
        </row>
        <row r="183">
          <cell r="Q183"/>
          <cell r="R183"/>
          <cell r="S183"/>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P7NE24FNZA3NAIKVBQBGN4KT72">
      <xxl21:absoluteUrl r:id="rId2"/>
      <xxl21:relativeUrl r:id="rId3"/>
    </xxl21:alternateUrls>
    <sheetNames>
      <sheetName val="PRIORIZADOS"/>
      <sheetName val="DEMANDA"/>
      <sheetName val="MESAS DIRECTIVOS IE"/>
      <sheetName val="PEGRCC Y GOBIERNOS ESCOLARES"/>
      <sheetName val="MANUALES DE CONVIVENCIA IED"/>
      <sheetName val="OPERACIONES-ACTIVIDADES"/>
      <sheetName val="LISTAS"/>
      <sheetName val="ACTIVIDADES  "/>
      <sheetName val="COLEGIOS"/>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5. USME</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 xml:space="preserve">Codigo Unico </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2649</v>
          </cell>
          <cell r="B8">
            <v>1</v>
          </cell>
          <cell r="C8" t="str">
            <v>USME</v>
          </cell>
          <cell r="D8" t="str">
            <v>PRIVADO</v>
          </cell>
          <cell r="E8" t="str">
            <v>EPBM</v>
          </cell>
          <cell r="F8" t="str">
            <v>COLEGIO_SAN_GREGORIO_HERNANDEZ</v>
          </cell>
          <cell r="G8" t="str">
            <v>COLEGIO SAN GREGORIO HERNANDEZ</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KATHERINE HERNÁNDEZ RUBIANO</v>
          </cell>
          <cell r="L8" t="str">
            <v>FRANCY LORENA RODRIGUEZ CASTRO</v>
          </cell>
          <cell r="M8">
            <v>45716</v>
          </cell>
          <cell r="N8">
            <v>45716</v>
          </cell>
          <cell r="O8">
            <v>45716</v>
          </cell>
          <cell r="P8" t="str">
            <v>Visitas de evaluación con fines de mejoramiento</v>
          </cell>
          <cell r="Q8" t="str">
            <v>01ActaVisitaAdministrativaColegioSanGregorioHernandez28022025.pdf</v>
          </cell>
          <cell r="R8" t="str">
            <v>Se evidencia pago de seguiridad social a docentes y administrativos con contratos a termino fijo a 10 meses pero una docente no presenta soportes académicos.</v>
          </cell>
          <cell r="S8" t="str">
            <v>Revisar cargas academicas que esten acordes a los perfiles profesionales de cada docente y a los profesionales no licenciados la acreditacion de un curso de pedagogía.</v>
          </cell>
          <cell r="T8" t="str">
            <v>Si</v>
          </cell>
          <cell r="U8" t="str">
            <v xml:space="preserve">Revisar que las acciones se incorporen en el plan de mejoramiento, que sera entregado el 31 de octubre. </v>
          </cell>
        </row>
        <row r="9">
          <cell r="A9">
            <v>2650</v>
          </cell>
          <cell r="B9">
            <v>1</v>
          </cell>
          <cell r="C9" t="str">
            <v>USME</v>
          </cell>
          <cell r="D9" t="str">
            <v>PRIVADO</v>
          </cell>
          <cell r="E9" t="str">
            <v>EPBM</v>
          </cell>
          <cell r="F9" t="str">
            <v>COLEGIO_SAN_GREGORIO_HERNANDEZ</v>
          </cell>
          <cell r="G9" t="str">
            <v>COLEGIO SAN GREGORIO HERNANDEZ</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KATHERINE HERNÁNDEZ RUBIANO</v>
          </cell>
          <cell r="L9" t="str">
            <v>FRANCY LORENA RODRIGUEZ CASTRO</v>
          </cell>
          <cell r="M9">
            <v>45716</v>
          </cell>
          <cell r="N9">
            <v>45716</v>
          </cell>
          <cell r="O9">
            <v>45716</v>
          </cell>
          <cell r="P9" t="str">
            <v>Visitas de evaluación con fines de mejoramiento</v>
          </cell>
          <cell r="Q9" t="str">
            <v>01ActaVisitaAdministrativaColegioSanGregorioHernandez28022025.pdf</v>
          </cell>
          <cell r="R9" t="str">
            <v>Se evidenció que la institución realiza revisión y análisis  de los resultados estadísticos con los docentes, pero, no se encuentra un plan de mejoramiento.</v>
          </cell>
          <cell r="S9" t="str">
            <v>La institución incorporará el análisis de resultados de las prueba Saber 11 en su plan de mejoramiento Institucional. Elaborar y entregar plan de mejoramiento el dia 31 de marzo.</v>
          </cell>
          <cell r="T9" t="str">
            <v>Si</v>
          </cell>
          <cell r="U9" t="str">
            <v>Revisar en el plan de mejoramiento institucional las estrategias el dia 31 de marzo.</v>
          </cell>
        </row>
        <row r="10">
          <cell r="A10">
            <v>2651</v>
          </cell>
          <cell r="B10">
            <v>1</v>
          </cell>
          <cell r="C10" t="str">
            <v>USME</v>
          </cell>
          <cell r="D10" t="str">
            <v>PRIVADO</v>
          </cell>
          <cell r="E10" t="str">
            <v>EPBM</v>
          </cell>
          <cell r="F10" t="str">
            <v>COLEGIO_SAN_GREGORIO_HERNANDEZ</v>
          </cell>
          <cell r="G10" t="str">
            <v>COLEGIO SAN GREGORIO HERNANDEZ</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KATHERINE HERNÁNDEZ RUBIANO</v>
          </cell>
          <cell r="L10" t="str">
            <v>FRANCY LORENA RODRIGUEZ CASTRO</v>
          </cell>
          <cell r="M10">
            <v>45716</v>
          </cell>
          <cell r="N10">
            <v>45716</v>
          </cell>
          <cell r="O10">
            <v>45716</v>
          </cell>
          <cell r="P10" t="str">
            <v>Visitas de evaluación con fines de mejoramiento</v>
          </cell>
          <cell r="Q10" t="str">
            <v>01ActaVisitaAdministrativaColegioSanGregorioHernandez28022025.pdf</v>
          </cell>
          <cell r="R10" t="str">
            <v>Se verificó que en la historia laboral de cada docente se encuentra el certificado de inhabilidad por delitos sexuales, encontrando que estan verificados a la fecha.</v>
          </cell>
          <cell r="S10" t="str">
            <v xml:space="preserve">Continuar con la implementación de la Directiva Ministerial 01 de 2022  realizando la consulta cada 4 meses. </v>
          </cell>
          <cell r="T10" t="str">
            <v>No</v>
          </cell>
          <cell r="U10" t="str">
            <v>verificar que se realice la consulta cada 4 meses como lo establece la Directiva Ministerial 01 de 2022</v>
          </cell>
        </row>
        <row r="11">
          <cell r="A11">
            <v>2652</v>
          </cell>
          <cell r="B11">
            <v>1</v>
          </cell>
          <cell r="C11" t="str">
            <v>USME</v>
          </cell>
          <cell r="D11" t="str">
            <v>PRIVADO</v>
          </cell>
          <cell r="E11" t="str">
            <v>EPBM</v>
          </cell>
          <cell r="F11" t="str">
            <v>COLEGIO_SAN_GREGORIO_HERNANDEZ</v>
          </cell>
          <cell r="G11" t="str">
            <v>COLEGIO SAN GREGORIO HERNANDEZ</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KATHERINE HERNÁNDEZ RUBIANO</v>
          </cell>
          <cell r="L11" t="str">
            <v>FRANCY LORENA RODRIGUEZ CASTRO</v>
          </cell>
          <cell r="M11">
            <v>45716</v>
          </cell>
          <cell r="N11">
            <v>45716</v>
          </cell>
          <cell r="O11">
            <v>45716</v>
          </cell>
          <cell r="P11" t="str">
            <v>Visitas de evaluación con fines de mejoramiento</v>
          </cell>
          <cell r="Q11" t="str">
            <v>01ActaVisitaAdministrativaColegioSanGregorioHernandez28022025.pdf</v>
          </cell>
          <cell r="R11" t="str">
            <v>Se encontró que la institución realiza el proceso de acompañamiento a estudiantes que presentan trastornos cognitivos y discapacidad con la implementacion de PIAR; Sin embargo, al realizar verificación en el sistema de matrícula -SIMAT- no se encuentra registro de estudiantes en inclusión.</v>
          </cell>
          <cell r="S11" t="str">
            <v>Continuar con la implementación de los procesos de inclusión desde la construcción y aplicación de los PIAR. La institución realizara el registro de los estduaintes en inclusión en el sistema de matricula SIMAT.</v>
          </cell>
          <cell r="T11" t="str">
            <v>Si</v>
          </cell>
          <cell r="U11" t="str">
            <v>Verificación del registro en la plataforma SIMAT.</v>
          </cell>
        </row>
        <row r="12">
          <cell r="A12">
            <v>2653</v>
          </cell>
          <cell r="B12">
            <v>1</v>
          </cell>
          <cell r="C12" t="str">
            <v>USME</v>
          </cell>
          <cell r="D12" t="str">
            <v>PRIVADO</v>
          </cell>
          <cell r="E12" t="str">
            <v>EPBM</v>
          </cell>
          <cell r="F12" t="str">
            <v>COLEGIO_SAN_GREGORIO_HERNANDEZ</v>
          </cell>
          <cell r="G12" t="str">
            <v>COLEGIO SAN GREGORIO HERNANDEZ</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KATHERINE HERNÁNDEZ RUBIANO</v>
          </cell>
          <cell r="L12" t="str">
            <v>FRANCY LORENA RODRIGUEZ CASTRO</v>
          </cell>
          <cell r="M12">
            <v>45716</v>
          </cell>
          <cell r="N12">
            <v>45716</v>
          </cell>
          <cell r="O12">
            <v>45716</v>
          </cell>
          <cell r="P12" t="str">
            <v>Visitas de evaluación con fines de mejoramiento</v>
          </cell>
          <cell r="Q12" t="str">
            <v>01ActaVisitaAdministrativaColegioSanGregorioHernandez28022025.pdf</v>
          </cell>
          <cell r="R12" t="str">
            <v>Se evidencia documento de Manual de Concivencia sin acta de aprobación y adopción para el año 2025 por Cosejo Directivo. En la revisión se encontró que no cuenta con enfoque diferencial.</v>
          </cell>
          <cell r="S12" t="str">
            <v>La institucón realizará los ajustes y actualización del Manual de Convivencia construidos y aprobados por el Gobierno Escolar e Instancias.</v>
          </cell>
          <cell r="T12" t="str">
            <v>Si</v>
          </cell>
          <cell r="U12" t="str">
            <v xml:space="preserve">Verificar el Manual de Convivencia escolar con fecha de entrega el 31 de octubre de 2025. </v>
          </cell>
        </row>
        <row r="13">
          <cell r="A13">
            <v>2654</v>
          </cell>
          <cell r="B13">
            <v>1</v>
          </cell>
          <cell r="C13" t="str">
            <v>USME</v>
          </cell>
          <cell r="D13" t="str">
            <v>PRIVADO</v>
          </cell>
          <cell r="E13" t="str">
            <v>EPBM</v>
          </cell>
          <cell r="F13" t="str">
            <v>COLEGIO_SAN_GREGORIO_HERNANDEZ</v>
          </cell>
          <cell r="G13" t="str">
            <v>COLEGIO SAN GREGORIO HERNANDEZ</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KATHERINE HERNÁNDEZ RUBIANO</v>
          </cell>
          <cell r="L13" t="str">
            <v>FRANCY LORENA RODRIGUEZ CASTRO</v>
          </cell>
          <cell r="M13">
            <v>45716</v>
          </cell>
          <cell r="N13">
            <v>45716</v>
          </cell>
          <cell r="O13">
            <v>45716</v>
          </cell>
          <cell r="P13" t="str">
            <v>Visitas de evaluación con fines de mejoramiento</v>
          </cell>
          <cell r="Q13" t="str">
            <v>01ActaVisitaAdministrativaColegioSanGregorioHernandez28022025.pdf</v>
          </cell>
          <cell r="R13" t="str">
            <v>Se encontró que existe una escala de valoración para todos los niveles, pero no se evidencia diferenciación en el nivel de preescolar.</v>
          </cell>
          <cell r="S13" t="str">
            <v xml:space="preserve">La institución realizará ajustes a su SIEE determinando un sistema de evaluación para el nivel de preescolar. </v>
          </cell>
          <cell r="T13" t="str">
            <v>Si</v>
          </cell>
          <cell r="U13" t="str">
            <v xml:space="preserve">Verificar de las modificaciones al SIEE de la institución, con fecha de entrega al 31 de octubre de 2025. </v>
          </cell>
        </row>
        <row r="14">
          <cell r="A14">
            <v>2655</v>
          </cell>
          <cell r="B14">
            <v>1</v>
          </cell>
          <cell r="C14" t="str">
            <v>USME</v>
          </cell>
          <cell r="D14" t="str">
            <v>PRIVADO</v>
          </cell>
          <cell r="E14" t="str">
            <v>EPBM</v>
          </cell>
          <cell r="F14" t="str">
            <v>COLEGIO_SAN_GREGORIO_HERNANDEZ</v>
          </cell>
          <cell r="G14" t="str">
            <v>COLEGIO SAN GREGORIO HERNANDEZ</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KATHERINE HERNÁNDEZ RUBIANO</v>
          </cell>
          <cell r="L14" t="str">
            <v>FRANCY LORENA RODRIGUEZ CASTRO</v>
          </cell>
          <cell r="M14">
            <v>45716</v>
          </cell>
          <cell r="N14">
            <v>45716</v>
          </cell>
          <cell r="O14">
            <v>45716</v>
          </cell>
          <cell r="P14" t="str">
            <v>Visitas de evaluación con fines de mejoramiento</v>
          </cell>
          <cell r="Q14" t="str">
            <v>01ActaVisitaAdministrativaColegioSanGregorioHernandez28022025.pdf</v>
          </cell>
          <cell r="R14" t="str">
            <v>El calendario escolar se encuentra ajustado e implementado de acuerdo con la normatividad.</v>
          </cell>
          <cell r="S14" t="str">
            <v xml:space="preserve">Continuar con la implematacion del calendario escolar </v>
          </cell>
          <cell r="T14" t="str">
            <v>No</v>
          </cell>
          <cell r="U14" t="str">
            <v>Verificacion para la proxima vigencia 2026</v>
          </cell>
        </row>
        <row r="15">
          <cell r="A15">
            <v>2657</v>
          </cell>
          <cell r="B15">
            <v>1</v>
          </cell>
          <cell r="C15" t="str">
            <v>USME</v>
          </cell>
          <cell r="D15" t="str">
            <v>PRIVADO</v>
          </cell>
          <cell r="E15" t="str">
            <v>EPBM</v>
          </cell>
          <cell r="F15" t="str">
            <v>COLEGIO_SAN_GREGORIO_HERNANDEZ</v>
          </cell>
          <cell r="G15" t="str">
            <v>COLEGIO SAN GREGORIO HERNANDEZ</v>
          </cell>
          <cell r="H15" t="str">
            <v>Autoevaluación Institucional y Pruebas SABER 11</v>
          </cell>
          <cell r="I15" t="str">
            <v>EVALUACIÓN_CON_FINES_DE_MEJORAMIENTO.</v>
          </cell>
          <cell r="J15" t="str">
            <v>Verificar las condiciones en cuanto a: la estructura administrativa, condiciones de la planta física y medios educativos adecuados.</v>
          </cell>
          <cell r="K15" t="str">
            <v>KATHERINE HERNÁNDEZ RUBIANO</v>
          </cell>
          <cell r="L15" t="str">
            <v>FRANCY LORENA RODRIGUEZ CASTRO</v>
          </cell>
          <cell r="M15">
            <v>45716</v>
          </cell>
          <cell r="N15">
            <v>45716</v>
          </cell>
          <cell r="O15">
            <v>45716</v>
          </cell>
          <cell r="P15" t="str">
            <v>Visitas de evaluación con fines de mejoramiento</v>
          </cell>
          <cell r="Q15" t="str">
            <v>01ActaVisitaAdministrativaColegioSanGregorioHernandez28022025.pdf</v>
          </cell>
          <cell r="R15" t="str">
            <v xml:space="preserve">Se realizo verificación a través de recorrido por las instalaciones y revisión del concepto sanitario el cual, reporta como favorable y certificado de desinfección de tanques y desratización del 3 de febrero. </v>
          </cell>
          <cell r="S15" t="str">
            <v>Continuar con el manejo de las medadidas higienico sanitarias.</v>
          </cell>
          <cell r="T15" t="str">
            <v>No</v>
          </cell>
          <cell r="U15" t="str">
            <v>Revisara en caso de presentarsen quejas frente a este aspecto.</v>
          </cell>
        </row>
        <row r="16">
          <cell r="A16">
            <v>2658</v>
          </cell>
          <cell r="B16">
            <v>2</v>
          </cell>
          <cell r="C16" t="str">
            <v>USME</v>
          </cell>
          <cell r="D16" t="str">
            <v>PRIVADO</v>
          </cell>
          <cell r="E16" t="str">
            <v>EPBM</v>
          </cell>
          <cell r="F16" t="str">
            <v>COLEGIO_JUAN_RULFO</v>
          </cell>
          <cell r="G16" t="str">
            <v>COLEGIO JUAN RULFO</v>
          </cell>
          <cell r="H16" t="str">
            <v>Autoevaluación Institucional y Pruebas SABER 11</v>
          </cell>
          <cell r="I16" t="str">
            <v>SEGUIMIENTO_Y_SUPERVISIÓN.</v>
          </cell>
          <cell r="J16" t="str">
            <v>Realizar visitas para verificar la información registrada sobre la autoevaluación institucional en el aplicativo EVI, a los establecimientos de educación formal no oficial.</v>
          </cell>
          <cell r="K16" t="str">
            <v>KATHERINE HERNÁNDEZ RUBIANO</v>
          </cell>
          <cell r="L16" t="str">
            <v>FRANCY LORENA RODRIGUEZ CASTRO</v>
          </cell>
          <cell r="M16">
            <v>45720</v>
          </cell>
          <cell r="N16">
            <v>45728</v>
          </cell>
          <cell r="O16">
            <v>45728</v>
          </cell>
          <cell r="P16" t="str">
            <v>Visitas de evaluación con fines de mejoramiento</v>
          </cell>
          <cell r="Q16" t="str">
            <v>02ActaVisitaAdministrativaColegioJuanRulfo12032025.pdf</v>
          </cell>
          <cell r="R16" t="str">
            <v>Se encontró carpetas con contratos laborales docentes, correspondientes a termino fijo. Pago de planilla SOI de marzo de 2025. Sin embargo, el docente de Ciencias Sociales no cuenta con el título profesional y el rector al ser profesional no licenciado, no cuenta con formación pedagógica.</v>
          </cell>
          <cell r="S16" t="str">
            <v>La institución debe aportar el titulo de profesional del docente de Ciencias Sociales y el curso de formación pedagógica del rector que no es licenciado.</v>
          </cell>
          <cell r="T16" t="str">
            <v>Si</v>
          </cell>
          <cell r="U16" t="str">
            <v>Revisar el plan de mejoramiento y la ejecución de las actividades relacionadas con la idoneidad de docente y directivo.</v>
          </cell>
        </row>
        <row r="17">
          <cell r="A17">
            <v>2659</v>
          </cell>
          <cell r="B17">
            <v>2</v>
          </cell>
          <cell r="C17" t="str">
            <v>USME</v>
          </cell>
          <cell r="D17" t="str">
            <v>PRIVADO</v>
          </cell>
          <cell r="E17" t="str">
            <v>EPBM</v>
          </cell>
          <cell r="F17" t="str">
            <v>COLEGIO_JUAN_RULFO</v>
          </cell>
          <cell r="G17" t="str">
            <v>COLEGIO JUAN RULFO</v>
          </cell>
          <cell r="H17" t="str">
            <v>Autoevaluación Institucional y Pruebas SABER 11</v>
          </cell>
          <cell r="I17" t="str">
            <v>SEGUIMIENTO_Y_SUPERVISIÓN.</v>
          </cell>
          <cell r="J17" t="str">
            <v>Proponer estrategias en la formulación, verificar su elaboración y realizar seguimiento semestral al desarrollo de  las acciones establecidas en los planes de mejoramiento por pruebas SABER 11 de los establecimientos de educación formal.</v>
          </cell>
          <cell r="K17" t="str">
            <v>KATHERINE HERNÁNDEZ RUBIANO</v>
          </cell>
          <cell r="L17" t="str">
            <v>FRANCY LORENA RODRIGUEZ CASTRO</v>
          </cell>
          <cell r="M17">
            <v>45720</v>
          </cell>
          <cell r="N17">
            <v>45728</v>
          </cell>
          <cell r="O17">
            <v>45728</v>
          </cell>
          <cell r="P17" t="str">
            <v>Visitas de evaluación con fines de mejoramiento</v>
          </cell>
          <cell r="Q17" t="str">
            <v>02ActaVisitaAdministrativaColegioJuanRulfo12032025.pdf</v>
          </cell>
          <cell r="R17" t="str">
            <v>La Institución Educativa, no cuenta con evidencia de análisis de resultados de la Prueba Saber 11</v>
          </cell>
          <cell r="S17" t="str">
            <v>Realizar la revisión y análisis de los resultados de la Pueba Saber 11, definir acciones con el Consejo Académico y Directivo, para establecer un plan de mejoramiento que responda a las necesidades de actualización del currículo y desarrollo de competencias.</v>
          </cell>
          <cell r="T17" t="str">
            <v>Si</v>
          </cell>
          <cell r="U17" t="str">
            <v>Verificar la implementación de este aspecto en el Plan de Mejoramiento Institucional entregado el 21/03/2025.</v>
          </cell>
        </row>
        <row r="18">
          <cell r="A18">
            <v>2660</v>
          </cell>
          <cell r="B18">
            <v>2</v>
          </cell>
          <cell r="C18" t="str">
            <v>USME</v>
          </cell>
          <cell r="D18" t="str">
            <v>PRIVADO</v>
          </cell>
          <cell r="E18" t="str">
            <v>EPBM</v>
          </cell>
          <cell r="F18" t="str">
            <v>COLEGIO_JUAN_RULFO</v>
          </cell>
          <cell r="G18" t="str">
            <v>COLEGIO JUAN RULFO</v>
          </cell>
          <cell r="H18" t="str">
            <v>Autoevaluación Institucional y Pruebas SABER 11</v>
          </cell>
          <cell r="I18" t="str">
            <v>SEGUIMIENTO_Y_SUPERVISIÓN.</v>
          </cell>
          <cell r="J18" t="str">
            <v xml:space="preserve">Verificar la implementación por parte de los colegios, de acciones realizadas para la prevención y atención de las situaciones de convivencia en el entorno escolar, según lo establecido en la Directiva 01 de 2022 del MEN. </v>
          </cell>
          <cell r="K18" t="str">
            <v>KATHERINE HERNÁNDEZ RUBIANO</v>
          </cell>
          <cell r="L18" t="str">
            <v>FRANCY LORENA RODRIGUEZ CASTRO</v>
          </cell>
          <cell r="M18">
            <v>45720</v>
          </cell>
          <cell r="N18">
            <v>45728</v>
          </cell>
          <cell r="O18">
            <v>45728</v>
          </cell>
          <cell r="P18" t="str">
            <v>Visitas de evaluación con fines de mejoramiento</v>
          </cell>
          <cell r="Q18" t="str">
            <v>02ActaVisitaAdministrativaColegioJuanRulfo12032025.pdf</v>
          </cell>
          <cell r="R18" t="str">
            <v>Se revisó los archivos , correspondientes a la contratación docente, encontrando el Certificado de Delitos Sexuales, correspondiente a febrero de 2025 de todos los docentes.</v>
          </cell>
          <cell r="S18" t="str">
            <v>Continuar la revisión de los antecedentes de delitos sexuales cada cuatro meses como lo indica la Directiva 01 de 2022</v>
          </cell>
          <cell r="T18" t="str">
            <v>No</v>
          </cell>
          <cell r="U18" t="str">
            <v>Se realizará la revisión de los certificados, en caso que se presenten novedades sobre este tema.</v>
          </cell>
        </row>
        <row r="19">
          <cell r="A19">
            <v>2664</v>
          </cell>
          <cell r="B19">
            <v>2</v>
          </cell>
          <cell r="C19" t="str">
            <v>USME</v>
          </cell>
          <cell r="D19" t="str">
            <v>PRIVADO</v>
          </cell>
          <cell r="E19" t="str">
            <v>EPBM</v>
          </cell>
          <cell r="F19" t="str">
            <v>COLEGIO_JUAN_RULFO</v>
          </cell>
          <cell r="G19" t="str">
            <v>COLEGIO JUAN RULFO</v>
          </cell>
          <cell r="H19" t="str">
            <v>Autoevaluación Institucional y Pruebas SABER 11</v>
          </cell>
          <cell r="I19" t="str">
            <v>EVALUACIÓN_CON_FINES_DE_MEJORAMIENTO.</v>
          </cell>
          <cell r="J19" t="str">
            <v>Revisar el calendario escolar, jornada escolar, la intensidad horaria mínima anual en cada nivel y las modificaciones que se realicen al mismo, de acuerdo con lo previsto en la normatividad vigente.</v>
          </cell>
          <cell r="K19" t="str">
            <v>KATHERINE HERNÁNDEZ RUBIANO</v>
          </cell>
          <cell r="L19" t="str">
            <v>FRANCY LORENA RODRIGUEZ CASTRO</v>
          </cell>
          <cell r="M19">
            <v>45720</v>
          </cell>
          <cell r="N19">
            <v>45728</v>
          </cell>
          <cell r="O19">
            <v>45728</v>
          </cell>
          <cell r="P19" t="str">
            <v>Visitas de evaluación con fines de mejoramiento</v>
          </cell>
          <cell r="Q19" t="str">
            <v>02ActaVisitaAdministrativaColegioJuanRulfo12032025.pdf</v>
          </cell>
          <cell r="R19" t="str">
            <v>El calendario escolar se encuentró ajustado e implementado de acuerdo con la normatividad.</v>
          </cell>
          <cell r="S19" t="str">
            <v xml:space="preserve">Continuar con la implementación del calendario escolar </v>
          </cell>
          <cell r="T19" t="str">
            <v>No</v>
          </cell>
          <cell r="U19" t="str">
            <v>Verificación para la vigencia 2026</v>
          </cell>
        </row>
        <row r="20">
          <cell r="A20">
            <v>2666</v>
          </cell>
          <cell r="B20">
            <v>2</v>
          </cell>
          <cell r="C20" t="str">
            <v>USME</v>
          </cell>
          <cell r="D20" t="str">
            <v>PRIVADO</v>
          </cell>
          <cell r="E20" t="str">
            <v>EPBM</v>
          </cell>
          <cell r="F20" t="str">
            <v>COLEGIO_JUAN_RULFO</v>
          </cell>
          <cell r="G20" t="str">
            <v>COLEGIO JUAN RULFO</v>
          </cell>
          <cell r="H20" t="str">
            <v>Autoevaluación Institucional y Pruebas SABER 11</v>
          </cell>
          <cell r="I20" t="str">
            <v>EVALUACIÓN_CON_FINES_DE_MEJORAMIENTO.</v>
          </cell>
          <cell r="J20" t="str">
            <v>Verificar las condiciones en cuanto a: la estructura administrativa, condiciones de la planta física y medios educativos adecuados.</v>
          </cell>
          <cell r="K20" t="str">
            <v>KATHERINE HERNÁNDEZ RUBIANO</v>
          </cell>
          <cell r="L20" t="str">
            <v>FRANCY LORENA RODRIGUEZ CASTRO</v>
          </cell>
          <cell r="M20">
            <v>45720</v>
          </cell>
          <cell r="N20">
            <v>45728</v>
          </cell>
          <cell r="O20">
            <v>45728</v>
          </cell>
          <cell r="P20" t="str">
            <v>Visitas de evaluación con fines de mejoramiento</v>
          </cell>
          <cell r="Q20" t="str">
            <v>02ActaVisitaAdministrativaColegioJuanRulfo12032025.pdf</v>
          </cell>
          <cell r="R20" t="str">
            <v>Se observó en el recorrido por la planta física, que la IE cuenta con los ambientes suficientes para los cursos que tienen pero se requieren adecuaciones como construcción de rampas, revisión del espacio usado para el laborario de química y biología.</v>
          </cell>
          <cell r="S20" t="str">
            <v>Elaborar plan de mejoramiento que incorporar las acciones frente a los temas de infraestructura y planta física de la IE, entregarlo el 21 de marzo.</v>
          </cell>
          <cell r="T20" t="str">
            <v>Si</v>
          </cell>
          <cell r="U20" t="str">
            <v>Se verificará la adopción del plan de mejoramieno que incorpore los compromisos establecidos y se realizará visita de seguimiento en 2026.</v>
          </cell>
        </row>
        <row r="21">
          <cell r="A21">
            <v>2667</v>
          </cell>
          <cell r="B21">
            <v>3</v>
          </cell>
          <cell r="C21" t="str">
            <v>USME</v>
          </cell>
          <cell r="D21" t="str">
            <v>PRIVADO</v>
          </cell>
          <cell r="E21" t="str">
            <v>EPBM</v>
          </cell>
          <cell r="F21" t="str">
            <v>COLEGIO_SANTA_MARIA_DE_LA_PAZ</v>
          </cell>
          <cell r="G21" t="str">
            <v>COLEGIO SANTA MARIA DE LA PAZ</v>
          </cell>
          <cell r="H21" t="str">
            <v>Autoevaluación Institucional y Pruebas SABER 11</v>
          </cell>
          <cell r="I21" t="str">
            <v>SEGUIMIENTO_Y_SUPERVISIÓN.</v>
          </cell>
          <cell r="J21" t="str">
            <v>Realizar visitas para verificar la información registrada sobre la autoevaluación institucional en el aplicativo EVI, a los establecimientos de educación formal no oficial.</v>
          </cell>
          <cell r="K21" t="str">
            <v>KATHERINE HERNÁNDEZ RUBIANO</v>
          </cell>
          <cell r="L21" t="str">
            <v>FRANCY LORENA RODRIGUEZ CASTRO</v>
          </cell>
          <cell r="M21">
            <v>45776</v>
          </cell>
          <cell r="N21">
            <v>45866</v>
          </cell>
          <cell r="O21">
            <v>45867</v>
          </cell>
          <cell r="P21" t="str">
            <v>Visitas de evaluación con fines de mejoramiento</v>
          </cell>
          <cell r="Q21" t="str">
            <v>ActaVisitaAdministrativaColegioSantaMariaDeLaPaz280725.pdf</v>
          </cell>
          <cell r="R21" t="str">
            <v>Se encontró que no existe correspondencia entre el número de estudiantes registrados en el EVI - SIMAT y la realidad institucional en el momento de la visita.</v>
          </cell>
          <cell r="S21" t="str">
            <v>Actualizar el SIMAT con la matricula vigente</v>
          </cell>
          <cell r="T21" t="str">
            <v>Si</v>
          </cell>
          <cell r="U21" t="str">
            <v>Se validará la actualización en el SIMAT.</v>
          </cell>
        </row>
        <row r="22">
          <cell r="A22">
            <v>2668</v>
          </cell>
          <cell r="B22">
            <v>3</v>
          </cell>
          <cell r="C22" t="str">
            <v>USME</v>
          </cell>
          <cell r="D22" t="str">
            <v>PRIVADO</v>
          </cell>
          <cell r="E22" t="str">
            <v>EPBM</v>
          </cell>
          <cell r="F22" t="str">
            <v>COLEGIO_SANTA_MARIA_DE_LA_PAZ</v>
          </cell>
          <cell r="G22" t="str">
            <v>COLEGIO SANTA MARIA DE LA PAZ</v>
          </cell>
          <cell r="H22" t="str">
            <v>Autoevaluación Institucional y Pruebas SABER 11</v>
          </cell>
          <cell r="I22" t="str">
            <v>SEGUIMIENTO_Y_SUPERVISIÓN.</v>
          </cell>
          <cell r="J22" t="str">
            <v>Proponer estrategias en la formulación, verificar su elaboración y realizar seguimiento semestral al desarrollo de  las acciones establecidas en los planes de mejoramiento por pruebas SABER 11 de los establecimientos de educación formal.</v>
          </cell>
          <cell r="K22" t="str">
            <v>KATHERINE HERNÁNDEZ RUBIANO</v>
          </cell>
          <cell r="L22" t="str">
            <v>FRANCY LORENA RODRIGUEZ CASTRO</v>
          </cell>
          <cell r="M22">
            <v>45776</v>
          </cell>
          <cell r="N22">
            <v>45866</v>
          </cell>
          <cell r="O22">
            <v>45867</v>
          </cell>
          <cell r="P22" t="str">
            <v>Visitas de evaluación con fines de mejoramiento</v>
          </cell>
          <cell r="Q22" t="str">
            <v>ActaVisitaAdministrativaColegioSantaMariaDeLaPaz280725.pdf</v>
          </cell>
          <cell r="R22" t="str">
            <v>La Institución Educativa, no cuenta con evidencia de análisis de resultados de la Prueba Saber 11</v>
          </cell>
          <cell r="S22" t="str">
            <v>Realizar la revisión y análisis de los resultados de la Pueba Saber 11, definir acciones con el Consejo Académico y Directivo, para establecer un plan de mejoramiento que responda a las necesidades de actualización del currículo y desarrollo de competencias.</v>
          </cell>
          <cell r="T22" t="str">
            <v>Si</v>
          </cell>
          <cell r="U22" t="str">
            <v>Verificar este aspecto en el Plan de Mejoramiento Institucional a entregarse el 14/08/2025.
Verificado el PMI este contempla esta accion.
Se programará visita de seguimiento 2026</v>
          </cell>
        </row>
        <row r="23">
          <cell r="A23">
            <v>2669</v>
          </cell>
          <cell r="B23">
            <v>3</v>
          </cell>
          <cell r="C23" t="str">
            <v>USME</v>
          </cell>
          <cell r="D23" t="str">
            <v>PRIVADO</v>
          </cell>
          <cell r="E23" t="str">
            <v>EPBM</v>
          </cell>
          <cell r="F23" t="str">
            <v>COLEGIO_SANTA_MARIA_DE_LA_PAZ</v>
          </cell>
          <cell r="G23" t="str">
            <v>COLEGIO SANTA MARIA DE LA PAZ</v>
          </cell>
          <cell r="H23" t="str">
            <v>Autoevaluación Institucional y Pruebas SABER 11</v>
          </cell>
          <cell r="I23" t="str">
            <v>SEGUIMIENTO_Y_SUPERVISIÓN.</v>
          </cell>
          <cell r="J23" t="str">
            <v xml:space="preserve">Verificar la implementación por parte de los colegios, de acciones realizadas para la prevención y atención de las situaciones de convivencia en el entorno escolar, según lo establecido en la Directiva 01 de 2022 del MEN. </v>
          </cell>
          <cell r="K23" t="str">
            <v>KATHERINE HERNÁNDEZ RUBIANO</v>
          </cell>
          <cell r="L23" t="str">
            <v>FRANCY LORENA RODRIGUEZ CASTRO</v>
          </cell>
          <cell r="M23">
            <v>45776</v>
          </cell>
          <cell r="N23">
            <v>45866</v>
          </cell>
          <cell r="O23">
            <v>45867</v>
          </cell>
          <cell r="P23" t="str">
            <v>Visitas de evaluación con fines de mejoramiento</v>
          </cell>
          <cell r="Q23" t="str">
            <v>ActaVisitaAdministrativaColegioSantaMariaDeLaPaz280725.pdf</v>
          </cell>
          <cell r="R23" t="str">
            <v>Se revisó los archivos , correspondientes a la contratación el personal, encontrando los certificados de inhabilidades por delitos sexuales actualizados correspondiente a la fecha de la visita</v>
          </cell>
          <cell r="S23" t="str">
            <v>Continuar con la verificación de las inhabilidades, como no establece la normativa vigente</v>
          </cell>
          <cell r="T23" t="str">
            <v>No</v>
          </cell>
          <cell r="U23" t="str">
            <v>Se validará en cuanto existan situaciones relacionadas con este aspecto</v>
          </cell>
        </row>
        <row r="24">
          <cell r="A24">
            <v>2670</v>
          </cell>
          <cell r="B24">
            <v>3</v>
          </cell>
          <cell r="C24" t="str">
            <v>USME</v>
          </cell>
          <cell r="D24" t="str">
            <v>PRIVADO</v>
          </cell>
          <cell r="E24" t="str">
            <v>EPBM</v>
          </cell>
          <cell r="F24" t="str">
            <v>COLEGIO_SANTA_MARIA_DE_LA_PAZ</v>
          </cell>
          <cell r="G24" t="str">
            <v>COLEGIO SANTA MARIA DE LA PAZ</v>
          </cell>
          <cell r="H24" t="str">
            <v>Autoevaluación Institucional y Pruebas SABER 11</v>
          </cell>
          <cell r="I24" t="str">
            <v>SEGUIMIENTO_Y_SUPERVISIÓN.</v>
          </cell>
          <cell r="J2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4" t="str">
            <v>KATHERINE HERNÁNDEZ RUBIANO</v>
          </cell>
          <cell r="L24" t="str">
            <v>FRANCY LORENA RODRIGUEZ CASTRO</v>
          </cell>
          <cell r="M24">
            <v>45776</v>
          </cell>
          <cell r="N24">
            <v>45866</v>
          </cell>
          <cell r="O24">
            <v>45867</v>
          </cell>
          <cell r="P24" t="str">
            <v>Visitas de evaluación con fines de mejoramiento</v>
          </cell>
          <cell r="Q24" t="str">
            <v>ActaVisitaAdministrativaColegioSantaMariaDeLaPaz280725.pdf</v>
          </cell>
          <cell r="R24" t="str">
            <v>La Institución Educativa no tiene en el EVI reportada matricula de estudiantes en condición de discapacidad</v>
          </cell>
          <cell r="S24" t="str">
            <v>En caso de existir estudiantes con que requieran PIAR debera reportarlo en los aplicativos SIMAT y EVI</v>
          </cell>
          <cell r="T24" t="str">
            <v>No</v>
          </cell>
          <cell r="U24" t="str">
            <v>Se validará en caso que llegue a reportar matricula de estudiantes que requieran PIAR</v>
          </cell>
        </row>
        <row r="25">
          <cell r="A25">
            <v>2671</v>
          </cell>
          <cell r="B25">
            <v>3</v>
          </cell>
          <cell r="C25" t="str">
            <v>USME</v>
          </cell>
          <cell r="D25" t="str">
            <v>PRIVADO</v>
          </cell>
          <cell r="E25" t="str">
            <v>EPBM</v>
          </cell>
          <cell r="F25" t="str">
            <v>COLEGIO_SANTA_MARIA_DE_LA_PAZ</v>
          </cell>
          <cell r="G25" t="str">
            <v>COLEGIO SANTA MARIA DE LA PAZ</v>
          </cell>
          <cell r="H25" t="str">
            <v>Autoevaluación Institucional y Pruebas SABER 11</v>
          </cell>
          <cell r="I25" t="str">
            <v>EVALUACIÓN_CON_FINES_DE_MEJORAMIENTO.</v>
          </cell>
          <cell r="J2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 t="str">
            <v>KATHERINE HERNÁNDEZ RUBIANO</v>
          </cell>
          <cell r="L25" t="str">
            <v>FRANCY LORENA RODRIGUEZ CASTRO</v>
          </cell>
          <cell r="M25">
            <v>45776</v>
          </cell>
          <cell r="N25">
            <v>45866</v>
          </cell>
          <cell r="O25">
            <v>45867</v>
          </cell>
          <cell r="P25" t="str">
            <v>Visitas de evaluación con fines de mejoramiento</v>
          </cell>
          <cell r="Q25" t="str">
            <v>ActaVisitaAdministrativaColegioSantaMariaDeLaPaz280725.pdf</v>
          </cell>
          <cell r="R25" t="str">
            <v xml:space="preserve">La rectora no presenta evidencia que permita demostrar que el Manual de Convivencia, fue construido de manera participativa con la comunidad. El Manual de Convivencia no cuenta con los enfoques de diversidad ni los protocolos de atención (Ley 1620 de 2013). </v>
          </cell>
          <cell r="S25" t="str">
            <v>La Institución Educativa convocará al Comité de Convivencia Escolar para realizar la revisión y ajuste del Manual de Convivencia para ponerlo en conocimiento de la comunidad educativa y adoptarlo para el año 2026</v>
          </cell>
          <cell r="T25" t="str">
            <v>Si</v>
          </cell>
          <cell r="U25" t="str">
            <v>Se revisarán los ajustes al manual de convivencia presentado por la IE</v>
          </cell>
        </row>
        <row r="26">
          <cell r="A26">
            <v>2672</v>
          </cell>
          <cell r="B26">
            <v>3</v>
          </cell>
          <cell r="C26" t="str">
            <v>USME</v>
          </cell>
          <cell r="D26" t="str">
            <v>PRIVADO</v>
          </cell>
          <cell r="E26" t="str">
            <v>EPBM</v>
          </cell>
          <cell r="F26" t="str">
            <v>COLEGIO_SANTA_MARIA_DE_LA_PAZ</v>
          </cell>
          <cell r="G26" t="str">
            <v>COLEGIO SANTA MARIA DE LA PAZ</v>
          </cell>
          <cell r="H26" t="str">
            <v>Autoevaluación Institucional y Pruebas SABER 11</v>
          </cell>
          <cell r="I26" t="str">
            <v>EVALUACIÓN_CON_FINES_DE_MEJORAMIENTO.</v>
          </cell>
          <cell r="J26" t="str">
            <v>Revisar la actualización, socialización e implementación del Sistema Institucional de Evaluación de Estudiantes - SIEE, en articulación con la actualización del PEI y la normatividad vigente.</v>
          </cell>
          <cell r="K26" t="str">
            <v>KATHERINE HERNÁNDEZ RUBIANO</v>
          </cell>
          <cell r="L26" t="str">
            <v>FRANCY LORENA RODRIGUEZ CASTRO</v>
          </cell>
          <cell r="M26">
            <v>45776</v>
          </cell>
          <cell r="N26">
            <v>45866</v>
          </cell>
          <cell r="O26">
            <v>45867</v>
          </cell>
          <cell r="P26" t="str">
            <v>Visitas de evaluación con fines de mejoramiento</v>
          </cell>
          <cell r="Q26" t="str">
            <v>ActaVisitaAdministrativaColegioSantaMariaDeLaPaz280725.pdf</v>
          </cell>
          <cell r="R26" t="str">
            <v xml:space="preserve">Revisión de las planillas de notas, las cuales coinciden con  el SIEE. Las estrategias de apoyo para resolver situaciones pedagógicas de los estudiantes en el aula, no se encuentran en el SIEE, la rectora hace una descripción de estas. </v>
          </cell>
          <cell r="S26" t="str">
            <v>Se debe incorporar al SIEE , la descripción de las estrategias de apoyo para resolver situaciones pedagógicas de los estudiantes  en el aula</v>
          </cell>
          <cell r="T26" t="str">
            <v>Si</v>
          </cell>
          <cell r="U26" t="str">
            <v>Se presentará al ELIV el SIEE para enero de 2026 con los ajustes solicitados.</v>
          </cell>
        </row>
        <row r="27">
          <cell r="A27">
            <v>2673</v>
          </cell>
          <cell r="B27">
            <v>3</v>
          </cell>
          <cell r="C27" t="str">
            <v>USME</v>
          </cell>
          <cell r="D27" t="str">
            <v>PRIVADO</v>
          </cell>
          <cell r="E27" t="str">
            <v>EPBM</v>
          </cell>
          <cell r="F27" t="str">
            <v>COLEGIO_SANTA_MARIA_DE_LA_PAZ</v>
          </cell>
          <cell r="G27" t="str">
            <v>COLEGIO SANTA MARIA DE LA PAZ</v>
          </cell>
          <cell r="H27" t="str">
            <v>Autoevaluación Institucional y Pruebas SABER 11</v>
          </cell>
          <cell r="I27" t="str">
            <v>EVALUACIÓN_CON_FINES_DE_MEJORAMIENTO.</v>
          </cell>
          <cell r="J27" t="str">
            <v>Revisar el calendario escolar, jornada escolar, la intensidad horaria mínima anual en cada nivel y las modificaciones que se realicen al mismo, de acuerdo con lo previsto en la normatividad vigente.</v>
          </cell>
          <cell r="K27" t="str">
            <v>KATHERINE HERNÁNDEZ RUBIANO</v>
          </cell>
          <cell r="L27" t="str">
            <v>FRANCY LORENA RODRIGUEZ CASTRO</v>
          </cell>
          <cell r="M27">
            <v>45776</v>
          </cell>
          <cell r="N27">
            <v>45866</v>
          </cell>
          <cell r="O27">
            <v>45867</v>
          </cell>
          <cell r="P27" t="str">
            <v>Visitas de evaluación con fines de mejoramiento</v>
          </cell>
          <cell r="Q27" t="str">
            <v>ActaVisitaAdministrativaColegioSantaMariaDeLaPaz280725.pdf</v>
          </cell>
          <cell r="R27" t="str">
            <v>Acta rectoral No 17 del 04/12/2024 Calendario escolar 2025</v>
          </cell>
          <cell r="S27" t="str">
            <v>El número de horas esta ajustado al Decreto 1075 de 2015 Art. 2.3.3.6.1.3</v>
          </cell>
          <cell r="T27" t="str">
            <v>No</v>
          </cell>
          <cell r="U27" t="str">
            <v>Se revisará el calendario de la vigencia 2026</v>
          </cell>
        </row>
        <row r="28">
          <cell r="A28">
            <v>2674</v>
          </cell>
          <cell r="B28">
            <v>3</v>
          </cell>
          <cell r="C28" t="str">
            <v>USME</v>
          </cell>
          <cell r="D28" t="str">
            <v>PRIVADO</v>
          </cell>
          <cell r="E28" t="str">
            <v>EPBM</v>
          </cell>
          <cell r="F28" t="str">
            <v>COLEGIO_SANTA_MARIA_DE_LA_PAZ</v>
          </cell>
          <cell r="G28" t="str">
            <v>COLEGIO SANTA MARIA DE LA PAZ</v>
          </cell>
          <cell r="H28" t="str">
            <v>Autoevaluación Institucional y Pruebas SABER 11</v>
          </cell>
          <cell r="I28" t="str">
            <v>EVALUACIÓN_CON_FINES_DE_MEJORAMIENTO.</v>
          </cell>
          <cell r="J28" t="str">
            <v>Verificar el funcionamiento del Gobierno Escolar e instancias de participación con base en la información sobre conformación reportada por la institución educativa.</v>
          </cell>
          <cell r="K28" t="str">
            <v>KATHERINE HERNÁNDEZ RUBIANO</v>
          </cell>
          <cell r="L28" t="str">
            <v>FRANCY LORENA RODRIGUEZ CASTRO</v>
          </cell>
          <cell r="M28">
            <v>45776</v>
          </cell>
          <cell r="N28">
            <v>45866</v>
          </cell>
          <cell r="O28">
            <v>45867</v>
          </cell>
          <cell r="P28" t="str">
            <v>Visitas de evaluación con fines de mejoramiento</v>
          </cell>
          <cell r="Q28" t="str">
            <v>ActaVisitaAdministrativaColegioSantaMariaDeLaPaz280725.pdf</v>
          </cell>
          <cell r="R28" t="str">
            <v>Revision de actas de reunión encontrando que se ajustan a lo reglamentado</v>
          </cell>
          <cell r="S28" t="str">
            <v>Continuar sesionando acorde a lo establecido en la norrmatividad vigente</v>
          </cell>
          <cell r="T28" t="str">
            <v>No</v>
          </cell>
          <cell r="U28" t="str">
            <v>Se realizará la revisión del funcionamiento, en caso que se presenten novedades sobre este tema.</v>
          </cell>
        </row>
        <row r="29">
          <cell r="A29">
            <v>2675</v>
          </cell>
          <cell r="B29">
            <v>3</v>
          </cell>
          <cell r="C29" t="str">
            <v>USME</v>
          </cell>
          <cell r="D29" t="str">
            <v>PRIVADO</v>
          </cell>
          <cell r="E29" t="str">
            <v>EPBM</v>
          </cell>
          <cell r="F29" t="str">
            <v>COLEGIO_SANTA_MARIA_DE_LA_PAZ</v>
          </cell>
          <cell r="G29" t="str">
            <v>COLEGIO SANTA MARIA DE LA PAZ</v>
          </cell>
          <cell r="H29" t="str">
            <v>Autoevaluación Institucional y Pruebas SABER 11</v>
          </cell>
          <cell r="I29" t="str">
            <v>EVALUACIÓN_CON_FINES_DE_MEJORAMIENTO.</v>
          </cell>
          <cell r="J29" t="str">
            <v>Verificar las condiciones en cuanto a: la estructura administrativa, condiciones de la planta física y medios educativos adecuados.</v>
          </cell>
          <cell r="K29" t="str">
            <v>KATHERINE HERNÁNDEZ RUBIANO</v>
          </cell>
          <cell r="L29" t="str">
            <v>FRANCY LORENA RODRIGUEZ CASTRO</v>
          </cell>
          <cell r="M29">
            <v>45776</v>
          </cell>
          <cell r="N29">
            <v>45866</v>
          </cell>
          <cell r="O29">
            <v>45867</v>
          </cell>
          <cell r="P29" t="str">
            <v>Visitas de evaluación con fines de mejoramiento</v>
          </cell>
          <cell r="Q29" t="str">
            <v>ActaVisitaAdministrativaColegioSantaMariaDeLaPaz280725.pdf</v>
          </cell>
          <cell r="R29" t="str">
            <v xml:space="preserve">La planta física no cuenta con adaptaciones para  personas en situación con discapacidad física. En el organigrama institucional aparece el servicio de psicología y no de orientación escolar. Reporta el pago de seguridad social integral de solo 6 trabajadores. Algunos docentes tienen vinculación por  horas. </v>
          </cell>
          <cell r="S29" t="str">
            <v>La instituciòn Educativa, se compromete a ajustar el cronograma institucional y  a regularizar la contratación del personal, incluyendo el pago de Seguridad Social integral para todo el personal a cargo , ajustandose a las disposiciones del Código Sustantivo de Trabajo y la Ley 115 de 1994.</v>
          </cell>
          <cell r="T29" t="str">
            <v>Si</v>
          </cell>
          <cell r="U29" t="str">
            <v>Validar en visita de seguimiento durante el último trimestre de 2025.</v>
          </cell>
        </row>
        <row r="30">
          <cell r="A30">
            <v>2676</v>
          </cell>
          <cell r="B30">
            <v>4</v>
          </cell>
          <cell r="C30" t="str">
            <v>USME</v>
          </cell>
          <cell r="D30" t="str">
            <v>PRIVADO</v>
          </cell>
          <cell r="E30" t="str">
            <v>EPBM</v>
          </cell>
          <cell r="F30" t="str">
            <v>COLEGIO_SAN_MARINO</v>
          </cell>
          <cell r="G30" t="str">
            <v>COLEGIO SAN MARINO</v>
          </cell>
          <cell r="H30" t="str">
            <v>Autoevaluación Institucional y Pruebas SABER 11</v>
          </cell>
          <cell r="I30" t="str">
            <v>SEGUIMIENTO_Y_SUPERVISIÓN.</v>
          </cell>
          <cell r="J30" t="str">
            <v>Realizar visitas para verificar la información registrada sobre la autoevaluación institucional en el aplicativo EVI, a los establecimientos de educación formal no oficial.</v>
          </cell>
          <cell r="K30" t="str">
            <v>MIGUEL ANTONIO CARO CARO</v>
          </cell>
          <cell r="L30" t="str">
            <v>FRANCY LORENA RODRIGUEZ CASTRO</v>
          </cell>
          <cell r="M30">
            <v>45748</v>
          </cell>
          <cell r="N30">
            <v>45800</v>
          </cell>
          <cell r="O30">
            <v>45800</v>
          </cell>
          <cell r="P30" t="str">
            <v>Visitas de evaluación con fines de mejoramiento</v>
          </cell>
          <cell r="Q30" t="str">
            <v>02ActaVisitaAdministrativaColegioSanMarino23052025.pdf</v>
          </cell>
          <cell r="R30" t="str">
            <v>Se encontró que no existe correspondencia entre el número de estudiantes registrados en el EVI - SIMAT y la realidad institucional en el momento de la visita.</v>
          </cell>
          <cell r="S30" t="str">
            <v>La Institución realizará la actualización del registro en  SIMAT en el presente mes</v>
          </cell>
          <cell r="T30" t="str">
            <v>Si</v>
          </cell>
          <cell r="U30" t="str">
            <v>Verificar en SIMAT -  segundo semestre 2025 y vigencia 2026</v>
          </cell>
        </row>
        <row r="31">
          <cell r="A31">
            <v>2677</v>
          </cell>
          <cell r="B31">
            <v>4</v>
          </cell>
          <cell r="C31" t="str">
            <v>USME</v>
          </cell>
          <cell r="D31" t="str">
            <v>PRIVADO</v>
          </cell>
          <cell r="E31" t="str">
            <v>EPBM</v>
          </cell>
          <cell r="F31" t="str">
            <v>COLEGIO_SAN_MARINO</v>
          </cell>
          <cell r="G31" t="str">
            <v>COLEGIO SAN MARINO</v>
          </cell>
          <cell r="H31" t="str">
            <v>Autoevaluación Institucional y Pruebas SABER 11</v>
          </cell>
          <cell r="I31" t="str">
            <v>SEGUIMIENTO_Y_SUPERVISIÓN.</v>
          </cell>
          <cell r="J31" t="str">
            <v>Proponer estrategias en la formulación, verificar su elaboración y realizar seguimiento semestral al desarrollo de  las acciones establecidas en los planes de mejoramiento por pruebas SABER 11 de los establecimientos de educación formal.</v>
          </cell>
          <cell r="K31" t="str">
            <v>MIGUEL ANTONIO CARO CARO</v>
          </cell>
          <cell r="L31" t="str">
            <v>FRANCY LORENA RODRIGUEZ CASTRO</v>
          </cell>
          <cell r="M31">
            <v>45748</v>
          </cell>
          <cell r="N31">
            <v>45800</v>
          </cell>
          <cell r="O31">
            <v>45800</v>
          </cell>
          <cell r="P31" t="str">
            <v>Visitas de evaluación con fines de mejoramiento</v>
          </cell>
          <cell r="Q31" t="str">
            <v>02ActaVisitaAdministrativaColegioSanMarino23052025.pdf</v>
          </cell>
          <cell r="R31" t="str">
            <v xml:space="preserve">No se encontró evidencia de la revisión y análisis de resultados de pruebas Saber 11, ni de la formulación de planes de mejoramiento.  </v>
          </cell>
          <cell r="S31" t="str">
            <v xml:space="preserve">Realizar la actualización del plan de mejoramiento para las pruebas saber 11  </v>
          </cell>
          <cell r="T31" t="str">
            <v>Si</v>
          </cell>
          <cell r="U31" t="str">
            <v>Se verificará el cumplimiento del Plan de mejoramiento vigencia 2025 y 2026</v>
          </cell>
        </row>
        <row r="32">
          <cell r="A32">
            <v>2678</v>
          </cell>
          <cell r="B32">
            <v>4</v>
          </cell>
          <cell r="C32" t="str">
            <v>USME</v>
          </cell>
          <cell r="D32" t="str">
            <v>PRIVADO</v>
          </cell>
          <cell r="E32" t="str">
            <v>EPBM</v>
          </cell>
          <cell r="F32" t="str">
            <v>COLEGIO_SAN_MARINO</v>
          </cell>
          <cell r="G32" t="str">
            <v>COLEGIO SAN MARINO</v>
          </cell>
          <cell r="H32" t="str">
            <v>Autoevaluación Institucional y Pruebas SABER 11</v>
          </cell>
          <cell r="I32" t="str">
            <v>SEGUIMIENTO_Y_SUPERVISIÓN.</v>
          </cell>
          <cell r="J32" t="str">
            <v xml:space="preserve">Verificar la implementación por parte de los colegios, de acciones realizadas para la prevención y atención de las situaciones de convivencia en el entorno escolar, según lo establecido en la Directiva 01 de 2022 del MEN. </v>
          </cell>
          <cell r="K32" t="str">
            <v>MIGUEL ANTONIO CARO CARO</v>
          </cell>
          <cell r="L32" t="str">
            <v>FRANCY LORENA RODRIGUEZ CASTRO</v>
          </cell>
          <cell r="M32">
            <v>45748</v>
          </cell>
          <cell r="N32">
            <v>45800</v>
          </cell>
          <cell r="O32">
            <v>45800</v>
          </cell>
          <cell r="P32" t="str">
            <v>Visitas de evaluación con fines de mejoramiento</v>
          </cell>
          <cell r="Q32" t="str">
            <v>02ActaVisitaAdministrativaColegioSanMarino23052025.pdf</v>
          </cell>
          <cell r="R32" t="str">
            <v>Se evidencia que se verifica cumplimiento de la directiva 01, certificados de inicio de año escolar y reciente</v>
          </cell>
          <cell r="S32" t="str">
            <v xml:space="preserve">Continuar con la periodicidad de verificación </v>
          </cell>
          <cell r="T32" t="str">
            <v>No</v>
          </cell>
          <cell r="U32" t="str">
            <v>Se verificará el cumplimiento la directiva 01, vigencia 2025 y 2026 por requerimiento- informe</v>
          </cell>
        </row>
        <row r="33">
          <cell r="A33">
            <v>2679</v>
          </cell>
          <cell r="B33">
            <v>4</v>
          </cell>
          <cell r="C33" t="str">
            <v>USME</v>
          </cell>
          <cell r="D33" t="str">
            <v>PRIVADO</v>
          </cell>
          <cell r="E33" t="str">
            <v>EPBM</v>
          </cell>
          <cell r="F33" t="str">
            <v>COLEGIO_SAN_MARINO</v>
          </cell>
          <cell r="G33" t="str">
            <v>COLEGIO SAN MARINO</v>
          </cell>
          <cell r="H33" t="str">
            <v>Autoevaluación Institucional y Pruebas SABER 11</v>
          </cell>
          <cell r="I33" t="str">
            <v>SEGUIMIENTO_Y_SUPERVISIÓN.</v>
          </cell>
          <cell r="J3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3" t="str">
            <v>MIGUEL ANTONIO CARO CARO</v>
          </cell>
          <cell r="L33" t="str">
            <v>FRANCY LORENA RODRIGUEZ CASTRO</v>
          </cell>
          <cell r="M33">
            <v>45748</v>
          </cell>
          <cell r="N33">
            <v>45800</v>
          </cell>
          <cell r="O33">
            <v>45800</v>
          </cell>
          <cell r="P33" t="str">
            <v>Visitas de evaluación con fines de mejoramiento</v>
          </cell>
          <cell r="Q33" t="str">
            <v>02ActaVisitaAdministrativaColegioSanMarino23052025.pdf</v>
          </cell>
          <cell r="R33" t="str">
            <v>Se evidencia que se registran los casos en formato de caracterización y se lleva carpeta individual del estudiantes con sus anexos</v>
          </cell>
          <cell r="S33" t="str">
            <v>la Institución realizará el ajuste del SIEE para incluir la evaluación de los casos PIAR</v>
          </cell>
          <cell r="T33" t="str">
            <v>Si</v>
          </cell>
          <cell r="U33" t="str">
            <v>Se verificara el cumplimiento del Plan de mejoramiento vigencia 2025 y 2026</v>
          </cell>
        </row>
        <row r="34">
          <cell r="A34">
            <v>2680</v>
          </cell>
          <cell r="B34">
            <v>4</v>
          </cell>
          <cell r="C34" t="str">
            <v>USME</v>
          </cell>
          <cell r="D34" t="str">
            <v>PRIVADO</v>
          </cell>
          <cell r="E34" t="str">
            <v>EPBM</v>
          </cell>
          <cell r="F34" t="str">
            <v>COLEGIO_SAN_MARINO</v>
          </cell>
          <cell r="G34" t="str">
            <v>COLEGIO SAN MARINO</v>
          </cell>
          <cell r="H34" t="str">
            <v>Autoevaluación Institucional y Pruebas SABER 11</v>
          </cell>
          <cell r="I34" t="str">
            <v>EVALUACIÓN_CON_FINES_DE_MEJORAMIENTO.</v>
          </cell>
          <cell r="J3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4" t="str">
            <v>MIGUEL ANTONIO CARO CARO</v>
          </cell>
          <cell r="L34" t="str">
            <v>FRANCY LORENA RODRIGUEZ CASTRO</v>
          </cell>
          <cell r="M34">
            <v>45748</v>
          </cell>
          <cell r="N34">
            <v>45800</v>
          </cell>
          <cell r="O34">
            <v>45800</v>
          </cell>
          <cell r="P34" t="str">
            <v>Visitas de evaluación con fines de mejoramiento</v>
          </cell>
          <cell r="Q34" t="str">
            <v>02ActaVisitaAdministrativaColegioSanMarino23052025.pdf</v>
          </cell>
          <cell r="R34" t="str">
            <v xml:space="preserve">Se evidencia documento de Manual de Convivencia sin acta de aprobación y adopción para el año 2025 por Concejo Directivo.  la Ultima actualización se realizó en el 2022, </v>
          </cell>
          <cell r="S34" t="str">
            <v xml:space="preserve">La institución realizará ajustes a su Manual de convivencia determinando un sistema de evaluación para los estudiantes en situación de inclusión </v>
          </cell>
          <cell r="T34" t="str">
            <v>Si</v>
          </cell>
          <cell r="U34" t="str">
            <v>Se verificara el cumplimiento del Plan de mejoramiento vigencia 2025 y 2026</v>
          </cell>
        </row>
        <row r="35">
          <cell r="A35">
            <v>2681</v>
          </cell>
          <cell r="B35">
            <v>4</v>
          </cell>
          <cell r="C35" t="str">
            <v>USME</v>
          </cell>
          <cell r="D35" t="str">
            <v>PRIVADO</v>
          </cell>
          <cell r="E35" t="str">
            <v>EPBM</v>
          </cell>
          <cell r="F35" t="str">
            <v>COLEGIO_SAN_MARINO</v>
          </cell>
          <cell r="G35" t="str">
            <v>COLEGIO SAN MARINO</v>
          </cell>
          <cell r="H35" t="str">
            <v>Autoevaluación Institucional y Pruebas SABER 11</v>
          </cell>
          <cell r="I35" t="str">
            <v>EVALUACIÓN_CON_FINES_DE_MEJORAMIENTO.</v>
          </cell>
          <cell r="J35" t="str">
            <v>Revisar la actualización, socialización e implementación del Sistema Institucional de Evaluación de Estudiantes - SIEE, en articulación con la actualización del PEI y la normatividad vigente.</v>
          </cell>
          <cell r="K35" t="str">
            <v>MIGUEL ANTONIO CARO CARO</v>
          </cell>
          <cell r="L35" t="str">
            <v>FRANCY LORENA RODRIGUEZ CASTRO</v>
          </cell>
          <cell r="M35">
            <v>45748</v>
          </cell>
          <cell r="N35">
            <v>45800</v>
          </cell>
          <cell r="O35">
            <v>45800</v>
          </cell>
          <cell r="P35" t="str">
            <v>Visitas de evaluación con fines de mejoramiento</v>
          </cell>
          <cell r="Q35" t="str">
            <v>02ActaVisitaAdministrativaColegioSanMarino23052025.pdf</v>
          </cell>
          <cell r="R35" t="str">
            <v xml:space="preserve">Se encontró SIEE actualizado. planillas escolares de seguimiento e informes académicos. </v>
          </cell>
          <cell r="S35" t="str">
            <v xml:space="preserve">La Institución incluirá un capítulo para la evaluación académica de los estudiantes con PIAR </v>
          </cell>
          <cell r="T35" t="str">
            <v>Si</v>
          </cell>
          <cell r="U35" t="str">
            <v>Se verificara el cumplimiento del Plan de mejoramiento vigencia 2025 la inclusión del capítulo</v>
          </cell>
        </row>
        <row r="36">
          <cell r="A36">
            <v>2682</v>
          </cell>
          <cell r="B36">
            <v>4</v>
          </cell>
          <cell r="C36" t="str">
            <v>USME</v>
          </cell>
          <cell r="D36" t="str">
            <v>PRIVADO</v>
          </cell>
          <cell r="E36" t="str">
            <v>EPBM</v>
          </cell>
          <cell r="F36" t="str">
            <v>COLEGIO_SAN_MARINO</v>
          </cell>
          <cell r="G36" t="str">
            <v>COLEGIO SAN MARINO</v>
          </cell>
          <cell r="H36" t="str">
            <v>Autoevaluación Institucional y Pruebas SABER 11</v>
          </cell>
          <cell r="I36" t="str">
            <v>EVALUACIÓN_CON_FINES_DE_MEJORAMIENTO.</v>
          </cell>
          <cell r="J36" t="str">
            <v>Revisar el calendario escolar, jornada escolar, la intensidad horaria mínima anual en cada nivel y las modificaciones que se realicen al mismo, de acuerdo con lo previsto en la normatividad vigente.</v>
          </cell>
          <cell r="K36" t="str">
            <v>MIGUEL ANTONIO CARO CARO</v>
          </cell>
          <cell r="L36" t="str">
            <v>FRANCY LORENA RODRIGUEZ CASTRO</v>
          </cell>
          <cell r="M36">
            <v>45748</v>
          </cell>
          <cell r="N36">
            <v>45800</v>
          </cell>
          <cell r="O36">
            <v>45800</v>
          </cell>
          <cell r="P36" t="str">
            <v>Visitas de evaluación con fines de mejoramiento</v>
          </cell>
          <cell r="Q36" t="str">
            <v>02ActaVisitaAdministrativaColegioSanMarino23052025.pdf</v>
          </cell>
          <cell r="R36" t="str">
            <v xml:space="preserve"> No se encuentra evidencia de cumplimiento de la intensidad horaria por cada nivel </v>
          </cell>
          <cell r="S36" t="str">
            <v xml:space="preserve">La institución ajustará el horario para cumplir con la intensidad mínima </v>
          </cell>
          <cell r="T36" t="str">
            <v>Si</v>
          </cell>
          <cell r="U36" t="str">
            <v>Se verificara el cumplimiento del Plan de mejoramiento vigencia 2025 la intensidad horaria para cada nivel</v>
          </cell>
        </row>
        <row r="37">
          <cell r="A37">
            <v>2683</v>
          </cell>
          <cell r="B37">
            <v>4</v>
          </cell>
          <cell r="C37" t="str">
            <v>USME</v>
          </cell>
          <cell r="D37" t="str">
            <v>PRIVADO</v>
          </cell>
          <cell r="E37" t="str">
            <v>EPBM</v>
          </cell>
          <cell r="F37" t="str">
            <v>COLEGIO_SAN_MARINO</v>
          </cell>
          <cell r="G37" t="str">
            <v>COLEGIO SAN MARINO</v>
          </cell>
          <cell r="H37" t="str">
            <v>Autoevaluación Institucional y Pruebas SABER 11</v>
          </cell>
          <cell r="I37" t="str">
            <v>EVALUACIÓN_CON_FINES_DE_MEJORAMIENTO.</v>
          </cell>
          <cell r="J37" t="str">
            <v>Verificar el funcionamiento del Gobierno Escolar e instancias de participación con base en la información sobre conformación reportada por la institución educativa.</v>
          </cell>
          <cell r="K37" t="str">
            <v>MIGUEL ANTONIO CARO CARO</v>
          </cell>
          <cell r="L37" t="str">
            <v>FRANCY LORENA RODRIGUEZ CASTRO</v>
          </cell>
          <cell r="M37">
            <v>45748</v>
          </cell>
          <cell r="N37">
            <v>45800</v>
          </cell>
          <cell r="O37">
            <v>45800</v>
          </cell>
          <cell r="P37" t="str">
            <v>Visitas de evaluación con fines de mejoramiento</v>
          </cell>
          <cell r="Q37" t="str">
            <v>02ActaVisitaAdministrativaColegioSanMarino23052025.pdf</v>
          </cell>
          <cell r="R37" t="str">
            <v>Existe el acta de instalación -conformación del consejo directivo, pero no se registra en actas las reuniones de las diferentes instancias de gobierno escolar .</v>
          </cell>
          <cell r="S37" t="str">
            <v xml:space="preserve">la Institución generará actas para órgano de gobierno escolar e instancias de participación </v>
          </cell>
          <cell r="T37" t="str">
            <v>Si</v>
          </cell>
          <cell r="U37" t="str">
            <v>Se verificara el cumplimiento del Plan de mejoramiento vigencia 2025.</v>
          </cell>
        </row>
        <row r="38">
          <cell r="A38">
            <v>2684</v>
          </cell>
          <cell r="B38">
            <v>4</v>
          </cell>
          <cell r="C38" t="str">
            <v>USME</v>
          </cell>
          <cell r="D38" t="str">
            <v>PRIVADO</v>
          </cell>
          <cell r="E38" t="str">
            <v>EPBM</v>
          </cell>
          <cell r="F38" t="str">
            <v>COLEGIO_SAN_MARINO</v>
          </cell>
          <cell r="G38" t="str">
            <v>COLEGIO SAN MARINO</v>
          </cell>
          <cell r="H38" t="str">
            <v>Autoevaluación Institucional y Pruebas SABER 11</v>
          </cell>
          <cell r="I38" t="str">
            <v>EVALUACIÓN_CON_FINES_DE_MEJORAMIENTO.</v>
          </cell>
          <cell r="J38" t="str">
            <v>Verificar las condiciones en cuanto a: la estructura administrativa, condiciones de la planta física y medios educativos adecuados.</v>
          </cell>
          <cell r="K38" t="str">
            <v>MIGUEL ANTONIO CARO CARO</v>
          </cell>
          <cell r="L38" t="str">
            <v>FRANCY LORENA RODRIGUEZ CASTRO</v>
          </cell>
          <cell r="M38">
            <v>45748</v>
          </cell>
          <cell r="N38">
            <v>45800</v>
          </cell>
          <cell r="O38">
            <v>45800</v>
          </cell>
          <cell r="P38" t="str">
            <v>Visitas de evaluación con fines de mejoramiento</v>
          </cell>
          <cell r="Q38" t="str">
            <v>02ActaVisitaAdministrativaColegioSanMarino23052025.pdf</v>
          </cell>
          <cell r="R38" t="str">
            <v xml:space="preserve">la Institución cuenta con suficiente salones, zonas de recreación y descanso, areas administrativas, aula multiple y sala de computadores, rampas en las escalas primer piso </v>
          </cell>
          <cell r="S38" t="str">
            <v>Garantizar las condiciones fisicas y administrativas de la IE</v>
          </cell>
          <cell r="T38" t="str">
            <v>No</v>
          </cell>
          <cell r="U38" t="str">
            <v>Se verificara vigencia 2025.</v>
          </cell>
        </row>
        <row r="39">
          <cell r="A39">
            <v>2685</v>
          </cell>
          <cell r="B39">
            <v>5</v>
          </cell>
          <cell r="C39" t="str">
            <v>USME</v>
          </cell>
          <cell r="D39" t="str">
            <v>PRIVADO</v>
          </cell>
          <cell r="E39" t="str">
            <v>EPBM</v>
          </cell>
          <cell r="F39" t="str">
            <v>COLEGIO_CENTRO_CULTURAL</v>
          </cell>
          <cell r="G39" t="str">
            <v>COLEGIO CENTRO CULTURAL</v>
          </cell>
          <cell r="H39" t="str">
            <v>Autoevaluación Institucional y Pruebas SABER 11</v>
          </cell>
          <cell r="I39" t="str">
            <v>SEGUIMIENTO_Y_SUPERVISIÓN.</v>
          </cell>
          <cell r="J39" t="str">
            <v>Realizar visitas para verificar la información registrada sobre la autoevaluación institucional en el aplicativo EVI, a los establecimientos de educación formal no oficial.</v>
          </cell>
          <cell r="K39" t="str">
            <v>MIGUEL ANTONIO CARO CARO</v>
          </cell>
          <cell r="L39" t="str">
            <v>FRANCY LORENA RODRIGUEZ CASTRO</v>
          </cell>
          <cell r="M39">
            <v>45769</v>
          </cell>
          <cell r="N39">
            <v>45909</v>
          </cell>
          <cell r="O39">
            <v>45909</v>
          </cell>
          <cell r="P39" t="str">
            <v>Visitas de evaluación con fines de mejoramiento</v>
          </cell>
          <cell r="Q39" t="str">
            <v>acta de visita con fines de mejoramiento centro cultural 09092025.pdf</v>
          </cell>
          <cell r="R39" t="str">
            <v>Se encontró que no existe correspondencia entre el número de estudiantes registrados en el EVI - SIMAT y la realidad institucional en el momento de la visita, se encontro que la aseveración del pago de parafiscales registrada en el EVI para tarifas 2025 no es concordante con lo encontrado, un solo docente escalafonado ,y ninguna evidencia del pago de parafiscales</v>
          </cell>
          <cell r="S39" t="str">
            <v>la institución se compromete a presentar un plan de mejoramiento para cada uno de los aspectos en que se realizó observaciones el 30 de octubre del 2025</v>
          </cell>
          <cell r="T39" t="str">
            <v>Si</v>
          </cell>
          <cell r="U39" t="str">
            <v>Se revisara el plan de mejoramiento y Verificara en el SIMAT -   vigencia 2026</v>
          </cell>
        </row>
        <row r="40">
          <cell r="A40">
            <v>2686</v>
          </cell>
          <cell r="B40">
            <v>5</v>
          </cell>
          <cell r="C40" t="str">
            <v>USME</v>
          </cell>
          <cell r="D40" t="str">
            <v>PRIVADO</v>
          </cell>
          <cell r="E40" t="str">
            <v>EPBM</v>
          </cell>
          <cell r="F40" t="str">
            <v>COLEGIO_CENTRO_CULTURAL</v>
          </cell>
          <cell r="G40" t="str">
            <v>COLEGIO CENTRO CULTURAL</v>
          </cell>
          <cell r="H40" t="str">
            <v>Autoevaluación Institucional y Pruebas SABER 11</v>
          </cell>
          <cell r="I40" t="str">
            <v>SEGUIMIENTO_Y_SUPERVISIÓN.</v>
          </cell>
          <cell r="J40" t="str">
            <v>Proponer estrategias en la formulación, verificar su elaboración y realizar seguimiento semestral al desarrollo de  las acciones establecidas en los planes de mejoramiento por pruebas SABER 11 de los establecimientos de educación formal.</v>
          </cell>
          <cell r="K40" t="str">
            <v>MIGUEL ANTONIO CARO CARO</v>
          </cell>
          <cell r="L40" t="str">
            <v>FRANCY LORENA RODRIGUEZ CASTRO</v>
          </cell>
          <cell r="M40">
            <v>45769</v>
          </cell>
          <cell r="N40">
            <v>45909</v>
          </cell>
          <cell r="O40">
            <v>45909</v>
          </cell>
          <cell r="P40" t="str">
            <v>Visitas de evaluación con fines de mejoramiento</v>
          </cell>
          <cell r="Q40" t="str">
            <v>acta de visita con fines de mejoramiento centro cultural 09092025.pdf</v>
          </cell>
          <cell r="R40" t="str">
            <v>No se encontró evidencia de la revisión y análisis de resultados de pruebas Saber 11, ni de la formulación de planes de mejoramiento.</v>
          </cell>
          <cell r="S40" t="str">
            <v>la institución se compromete a presentar un plan de mejoramiento para cada uno de los aspectos en que se realizó observaciones el 30 de octubre del 2025</v>
          </cell>
          <cell r="T40" t="str">
            <v>Si</v>
          </cell>
          <cell r="U40" t="str">
            <v>Se revisara el plan de mejoramiento y Verificara - vigencia 2026</v>
          </cell>
        </row>
        <row r="41">
          <cell r="A41">
            <v>2687</v>
          </cell>
          <cell r="B41">
            <v>5</v>
          </cell>
          <cell r="C41" t="str">
            <v>USME</v>
          </cell>
          <cell r="D41" t="str">
            <v>PRIVADO</v>
          </cell>
          <cell r="E41" t="str">
            <v>EPBM</v>
          </cell>
          <cell r="F41" t="str">
            <v>COLEGIO_CENTRO_CULTURAL</v>
          </cell>
          <cell r="G41" t="str">
            <v>COLEGIO CENTRO CULTURAL</v>
          </cell>
          <cell r="H41" t="str">
            <v>Autoevaluación Institucional y Pruebas SABER 11</v>
          </cell>
          <cell r="I41" t="str">
            <v>SEGUIMIENTO_Y_SUPERVISIÓN.</v>
          </cell>
          <cell r="J41" t="str">
            <v xml:space="preserve">Verificar la implementación por parte de los colegios, de acciones realizadas para la prevención y atención de las situaciones de convivencia en el entorno escolar, según lo establecido en la Directiva 01 de 2022 del MEN. </v>
          </cell>
          <cell r="K41" t="str">
            <v>MIGUEL ANTONIO CARO CARO</v>
          </cell>
          <cell r="L41" t="str">
            <v>FRANCY LORENA RODRIGUEZ CASTRO</v>
          </cell>
          <cell r="M41">
            <v>45769</v>
          </cell>
          <cell r="N41">
            <v>45909</v>
          </cell>
          <cell r="O41">
            <v>45909</v>
          </cell>
          <cell r="P41" t="str">
            <v>Visitas de evaluación con fines de mejoramiento</v>
          </cell>
          <cell r="Q41" t="str">
            <v>acta de visita con fines de mejoramiento centro cultural 09092025.pdf</v>
          </cell>
          <cell r="R41" t="str">
            <v>Se evidencia que se verifica cumplimiento de la directiva 01, certificados de inicio de año escolar y reciente</v>
          </cell>
          <cell r="S41" t="str">
            <v>se recomienda continuar periodicamente  con la verificación</v>
          </cell>
          <cell r="T41" t="str">
            <v>No</v>
          </cell>
          <cell r="U41" t="str">
            <v xml:space="preserve"> se verifica cumplimiento de la directiva 01, certificados de inicio de año escolar</v>
          </cell>
        </row>
        <row r="42">
          <cell r="A42">
            <v>2688</v>
          </cell>
          <cell r="B42">
            <v>5</v>
          </cell>
          <cell r="C42" t="str">
            <v>USME</v>
          </cell>
          <cell r="D42" t="str">
            <v>PRIVADO</v>
          </cell>
          <cell r="E42" t="str">
            <v>EPBM</v>
          </cell>
          <cell r="F42" t="str">
            <v>COLEGIO_CENTRO_CULTURAL</v>
          </cell>
          <cell r="G42" t="str">
            <v>COLEGIO CENTRO CULTURAL</v>
          </cell>
          <cell r="H42" t="str">
            <v>Autoevaluación Institucional y Pruebas SABER 11</v>
          </cell>
          <cell r="I42" t="str">
            <v>SEGUIMIENTO_Y_SUPERVISIÓN.</v>
          </cell>
          <cell r="J4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2" t="str">
            <v>MIGUEL ANTONIO CARO CARO</v>
          </cell>
          <cell r="L42" t="str">
            <v>FRANCY LORENA RODRIGUEZ CASTRO</v>
          </cell>
          <cell r="M42">
            <v>45769</v>
          </cell>
          <cell r="N42">
            <v>45909</v>
          </cell>
          <cell r="O42">
            <v>45909</v>
          </cell>
          <cell r="P42" t="str">
            <v>Visitas de evaluación con fines de mejoramiento</v>
          </cell>
          <cell r="Q42" t="str">
            <v>acta de visita con fines de mejoramiento centro cultural 09092025.pdf</v>
          </cell>
          <cell r="R42" t="str">
            <v xml:space="preserve">No se evidencia que se registren  casos, no hsy registro en el SIMAT </v>
          </cell>
          <cell r="S42" t="str">
            <v>la institución se compromete a presentar un plan de mejoramiento para cada uno de los aspectos en que se realizó observaciones el 30 de octubre del 2025</v>
          </cell>
          <cell r="T42" t="str">
            <v>Si</v>
          </cell>
          <cell r="U42" t="str">
            <v xml:space="preserve">Se revisara el plan de mejoramiento y Verificara - vigencia 2026  </v>
          </cell>
        </row>
        <row r="43">
          <cell r="A43">
            <v>2689</v>
          </cell>
          <cell r="B43">
            <v>5</v>
          </cell>
          <cell r="C43" t="str">
            <v>USME</v>
          </cell>
          <cell r="D43" t="str">
            <v>PRIVADO</v>
          </cell>
          <cell r="E43" t="str">
            <v>EPBM</v>
          </cell>
          <cell r="F43" t="str">
            <v>COLEGIO_CENTRO_CULTURAL</v>
          </cell>
          <cell r="G43" t="str">
            <v>COLEGIO CENTRO CULTURAL</v>
          </cell>
          <cell r="H43" t="str">
            <v>Autoevaluación Institucional y Pruebas SABER 11</v>
          </cell>
          <cell r="I43" t="str">
            <v>EVALUACIÓN_CON_FINES_DE_MEJORAMIENTO.</v>
          </cell>
          <cell r="J4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3" t="str">
            <v>MIGUEL ANTONIO CARO CARO</v>
          </cell>
          <cell r="L43" t="str">
            <v>FRANCY LORENA RODRIGUEZ CASTRO</v>
          </cell>
          <cell r="M43">
            <v>45769</v>
          </cell>
          <cell r="N43">
            <v>45909</v>
          </cell>
          <cell r="O43">
            <v>45909</v>
          </cell>
          <cell r="P43" t="str">
            <v>Visitas de evaluación con fines de mejoramiento</v>
          </cell>
          <cell r="Q43" t="str">
            <v>acta de visita con fines de mejoramiento centro cultural 09092025.pdf</v>
          </cell>
          <cell r="R43" t="str">
            <v>Se evidencia documento de Manual de Convivencia  adoptado el año 2022 para el año 2023 por Resolución Rectoral, asocia sanciones a faltas disciplinarias, académicas y adminsitrativas .</v>
          </cell>
          <cell r="S43" t="str">
            <v>la institución se compromete a presentar un plan de mejoramiento para cada uno de los aspectos en que se realizó observaciones el 30 de octubre del 2025</v>
          </cell>
          <cell r="T43" t="str">
            <v>Si</v>
          </cell>
          <cell r="U43" t="str">
            <v xml:space="preserve">Se revisara el plan de mejoramiento y Verificara - vigencia 2026  </v>
          </cell>
        </row>
        <row r="44">
          <cell r="A44">
            <v>2690</v>
          </cell>
          <cell r="B44">
            <v>5</v>
          </cell>
          <cell r="C44" t="str">
            <v>USME</v>
          </cell>
          <cell r="D44" t="str">
            <v>PRIVADO</v>
          </cell>
          <cell r="E44" t="str">
            <v>EPBM</v>
          </cell>
          <cell r="F44" t="str">
            <v>COLEGIO_CENTRO_CULTURAL</v>
          </cell>
          <cell r="G44" t="str">
            <v>COLEGIO CENTRO CULTURAL</v>
          </cell>
          <cell r="H44" t="str">
            <v>Autoevaluación Institucional y Pruebas SABER 11</v>
          </cell>
          <cell r="I44" t="str">
            <v>EVALUACIÓN_CON_FINES_DE_MEJORAMIENTO.</v>
          </cell>
          <cell r="J44" t="str">
            <v>Revisar la actualización, socialización e implementación del Sistema Institucional de Evaluación de Estudiantes - SIEE, en articulación con la actualización del PEI y la normatividad vigente.</v>
          </cell>
          <cell r="K44" t="str">
            <v>MIGUEL ANTONIO CARO CARO</v>
          </cell>
          <cell r="L44" t="str">
            <v>FRANCY LORENA RODRIGUEZ CASTRO</v>
          </cell>
          <cell r="M44">
            <v>45769</v>
          </cell>
          <cell r="N44">
            <v>45909</v>
          </cell>
          <cell r="O44">
            <v>45909</v>
          </cell>
          <cell r="P44" t="str">
            <v>Visitas de evaluación con fines de mejoramiento</v>
          </cell>
          <cell r="Q44" t="str">
            <v>acta de visita con fines de mejoramiento centro cultural 09092025.pdf</v>
          </cell>
          <cell r="R44" t="str">
            <v>el documento SIEE data del año 2022, no se evidencian actualizaciones, se asocia reprobación a inasistencia de padres</v>
          </cell>
          <cell r="S44" t="str">
            <v>la institución se compromete a presentar un plan de mejoramiento para cada uno de los aspectos en que se realizó observaciones el 30 de octubre del 2025</v>
          </cell>
          <cell r="T44" t="str">
            <v>Si</v>
          </cell>
          <cell r="U44" t="str">
            <v xml:space="preserve">Se revisara el plan de mejoramiento y Verificara - vigencia 2026  </v>
          </cell>
        </row>
        <row r="45">
          <cell r="A45">
            <v>2691</v>
          </cell>
          <cell r="B45">
            <v>5</v>
          </cell>
          <cell r="C45" t="str">
            <v>USME</v>
          </cell>
          <cell r="D45" t="str">
            <v>PRIVADO</v>
          </cell>
          <cell r="E45" t="str">
            <v>EPBM</v>
          </cell>
          <cell r="F45" t="str">
            <v>COLEGIO_CENTRO_CULTURAL</v>
          </cell>
          <cell r="G45" t="str">
            <v>COLEGIO CENTRO CULTURAL</v>
          </cell>
          <cell r="H45" t="str">
            <v>Autoevaluación Institucional y Pruebas SABER 11</v>
          </cell>
          <cell r="I45" t="str">
            <v>EVALUACIÓN_CON_FINES_DE_MEJORAMIENTO.</v>
          </cell>
          <cell r="J45" t="str">
            <v>Revisar el calendario escolar, jornada escolar, la intensidad horaria mínima anual en cada nivel y las modificaciones que se realicen al mismo, de acuerdo con lo previsto en la normatividad vigente.</v>
          </cell>
          <cell r="K45" t="str">
            <v>MIGUEL ANTONIO CARO CARO</v>
          </cell>
          <cell r="L45" t="str">
            <v>FRANCY LORENA RODRIGUEZ CASTRO</v>
          </cell>
          <cell r="M45">
            <v>45769</v>
          </cell>
          <cell r="N45">
            <v>45909</v>
          </cell>
          <cell r="O45">
            <v>45909</v>
          </cell>
          <cell r="P45" t="str">
            <v>Visitas de evaluación con fines de mejoramiento</v>
          </cell>
          <cell r="Q45" t="str">
            <v>acta de visita con fines de mejoramiento centro cultural 09092025.pdf</v>
          </cell>
          <cell r="R45" t="str">
            <v xml:space="preserve"> No se encuentra evidencia de cumplimiento de la intensidad horaria por cada nivel </v>
          </cell>
          <cell r="S45" t="str">
            <v xml:space="preserve">La institución ajustará el horario para cumplir con la intensidad mínima </v>
          </cell>
          <cell r="T45" t="str">
            <v>Si</v>
          </cell>
          <cell r="U45" t="str">
            <v>Se verificara el cumplimiento del Plan de mejoramiento vigencia 2025 la intensidad horaria para cada nivel</v>
          </cell>
        </row>
        <row r="46">
          <cell r="A46">
            <v>2692</v>
          </cell>
          <cell r="B46">
            <v>5</v>
          </cell>
          <cell r="C46" t="str">
            <v>USME</v>
          </cell>
          <cell r="D46" t="str">
            <v>PRIVADO</v>
          </cell>
          <cell r="E46" t="str">
            <v>EPBM</v>
          </cell>
          <cell r="F46" t="str">
            <v>COLEGIO_CENTRO_CULTURAL</v>
          </cell>
          <cell r="G46" t="str">
            <v>COLEGIO CENTRO CULTURAL</v>
          </cell>
          <cell r="H46" t="str">
            <v>Autoevaluación Institucional y Pruebas SABER 11</v>
          </cell>
          <cell r="I46" t="str">
            <v>EVALUACIÓN_CON_FINES_DE_MEJORAMIENTO.</v>
          </cell>
          <cell r="J46" t="str">
            <v>Verificar el funcionamiento del Gobierno Escolar e instancias de participación con base en la información sobre conformación reportada por la institución educativa.</v>
          </cell>
          <cell r="K46" t="str">
            <v>MIGUEL ANTONIO CARO CARO</v>
          </cell>
          <cell r="L46" t="str">
            <v>FRANCY LORENA RODRIGUEZ CASTRO</v>
          </cell>
          <cell r="M46">
            <v>45769</v>
          </cell>
          <cell r="N46">
            <v>45909</v>
          </cell>
          <cell r="O46">
            <v>45909</v>
          </cell>
          <cell r="P46" t="str">
            <v>Visitas de evaluación con fines de mejoramiento</v>
          </cell>
          <cell r="Q46" t="str">
            <v>acta de visita con fines de mejoramiento centro cultural 09092025.pdf</v>
          </cell>
          <cell r="R46" t="str">
            <v>Existe el acta de instalación -conformación del gobierno escolar, pero no se registra en actas las reuniones de las diferentes instancias de gobierno escolar .</v>
          </cell>
          <cell r="S46" t="str">
            <v xml:space="preserve">la Institución generará actas para órgano de gobierno escolar e instancias de participación </v>
          </cell>
          <cell r="T46" t="str">
            <v>Si</v>
          </cell>
          <cell r="U46" t="str">
            <v>Se verificara el cumplimiento del Plan de mejoramiento vigencia 2025.</v>
          </cell>
        </row>
        <row r="47">
          <cell r="A47">
            <v>2693</v>
          </cell>
          <cell r="B47">
            <v>5</v>
          </cell>
          <cell r="C47" t="str">
            <v>USME</v>
          </cell>
          <cell r="D47" t="str">
            <v>PRIVADO</v>
          </cell>
          <cell r="E47" t="str">
            <v>EPBM</v>
          </cell>
          <cell r="F47" t="str">
            <v>COLEGIO_CENTRO_CULTURAL</v>
          </cell>
          <cell r="G47" t="str">
            <v>COLEGIO CENTRO CULTURAL</v>
          </cell>
          <cell r="H47" t="str">
            <v>Autoevaluación Institucional y Pruebas SABER 11</v>
          </cell>
          <cell r="I47" t="str">
            <v>EVALUACIÓN_CON_FINES_DE_MEJORAMIENTO.</v>
          </cell>
          <cell r="J47" t="str">
            <v>Verificar las condiciones en cuanto a: la estructura administrativa, condiciones de la planta física y medios educativos adecuados.</v>
          </cell>
          <cell r="K47" t="str">
            <v>MIGUEL ANTONIO CARO CARO</v>
          </cell>
          <cell r="L47" t="str">
            <v>FRANCY LORENA RODRIGUEZ CASTRO</v>
          </cell>
          <cell r="M47">
            <v>45769</v>
          </cell>
          <cell r="N47">
            <v>45909</v>
          </cell>
          <cell r="O47">
            <v>45909</v>
          </cell>
          <cell r="P47" t="str">
            <v>Visitas de evaluación con fines de mejoramiento</v>
          </cell>
          <cell r="Q47" t="str">
            <v>acta de visita con fines de mejoramiento centro cultural 09092025.pdf</v>
          </cell>
          <cell r="R47" t="str">
            <v xml:space="preserve">Aunque la Institución cuenta con suficiente salones, la dotacion es insuficientes, las condiciones no son  adecuadas,ventanas sin vidrios con bolsas  plasticos  sala de informatica con 15 equipos y uno solo conectado a internet, el laboratorio no tiene dotacion y no es funcional   la biblioteca no es usada. </v>
          </cell>
          <cell r="S47" t="str">
            <v>la institución se compromete a presentar un plan de mejoramiento para cada uno de los aspectos en que se realizó observaciones el 30 de octubre del 2025</v>
          </cell>
          <cell r="T47" t="str">
            <v>Si</v>
          </cell>
          <cell r="U47" t="str">
            <v xml:space="preserve">Se revisara el plan de mejoramiento y Verificara - vigencia 2026  </v>
          </cell>
        </row>
        <row r="48">
          <cell r="A48">
            <v>2694</v>
          </cell>
          <cell r="B48">
            <v>6</v>
          </cell>
          <cell r="C48" t="str">
            <v>USME</v>
          </cell>
          <cell r="D48" t="str">
            <v>PRIVADO</v>
          </cell>
          <cell r="E48" t="str">
            <v>EPBM</v>
          </cell>
          <cell r="F48" t="str">
            <v>GIMNASIO_DE_TOLEDO</v>
          </cell>
          <cell r="G48" t="str">
            <v>GIMNASIO DE TOLEDO</v>
          </cell>
          <cell r="H48" t="str">
            <v>Autoevaluación Institucional y Pruebas SABER 11</v>
          </cell>
          <cell r="I48" t="str">
            <v>SEGUIMIENTO_Y_SUPERVISIÓN.</v>
          </cell>
          <cell r="J48"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48" t="str">
            <v>KATHERINE HERNÁNDEZ RUBIANO</v>
          </cell>
          <cell r="L48" t="str">
            <v>FRANCY LORENA RODRIGUEZ CASTRO</v>
          </cell>
          <cell r="M48">
            <v>45783</v>
          </cell>
          <cell r="N48">
            <v>45792</v>
          </cell>
          <cell r="O48">
            <v>45792</v>
          </cell>
          <cell r="P48" t="str">
            <v>Visitas de evaluación con fines de mejoramiento</v>
          </cell>
          <cell r="Q48" t="str">
            <v>01ActaVisitaAdministrativaGimnasioDeToledo15052025.pdf</v>
          </cell>
          <cell r="R48" t="str">
            <v>Se revisa las carpetas del personal vinculado a la institución y los comprobantes de pago y afiliación al Sistema de Seguridad Social, encontrando que algunas docentes son beneficiarias de sus conyugues  y un docentes es practicante, sin aportar ela afiliciación y pago a la ARL.</v>
          </cell>
          <cell r="S48" t="str">
            <v>La Instituciòn Educativa, se compromete a realizar el pago de la Seguridad Social a sus docentes para la vigencia 2025</v>
          </cell>
          <cell r="T48" t="str">
            <v>Si</v>
          </cell>
          <cell r="U48" t="str">
            <v>Se verificará en visita administrativa el día 01 de agosto de 2025</v>
          </cell>
        </row>
        <row r="49">
          <cell r="A49">
            <v>2695</v>
          </cell>
          <cell r="B49">
            <v>6</v>
          </cell>
          <cell r="C49" t="str">
            <v>USME</v>
          </cell>
          <cell r="D49" t="str">
            <v>PRIVADO</v>
          </cell>
          <cell r="E49" t="str">
            <v>EPBM</v>
          </cell>
          <cell r="F49" t="str">
            <v>GIMNASIO_DE_TOLEDO</v>
          </cell>
          <cell r="G49" t="str">
            <v>GIMNASIO DE TOLEDO</v>
          </cell>
          <cell r="H49" t="str">
            <v>Autoevaluación Institucional y Pruebas SABER 11</v>
          </cell>
          <cell r="I49" t="str">
            <v>SEGUIMIENTO_Y_SUPERVISIÓN.</v>
          </cell>
          <cell r="J49" t="str">
            <v>Realizar visitas para verificar la información registrada sobre la autoevaluación institucional en el aplicativo EVI, a los establecimientos de educación formal no oficial.</v>
          </cell>
          <cell r="K49" t="str">
            <v>KATHERINE HERNÁNDEZ RUBIANO</v>
          </cell>
          <cell r="L49" t="str">
            <v>FRANCY LORENA RODRIGUEZ CASTRO</v>
          </cell>
          <cell r="M49">
            <v>45783</v>
          </cell>
          <cell r="N49">
            <v>45792</v>
          </cell>
          <cell r="O49">
            <v>45792</v>
          </cell>
          <cell r="P49" t="str">
            <v>Visitas de evaluación con fines de mejoramiento</v>
          </cell>
          <cell r="Q49" t="str">
            <v>01ActaVisitaAdministrativaGimnasioDeToledo15052025.pdf</v>
          </cell>
          <cell r="R49" t="str">
            <v>Se evidencia que la sala de sistemas esta fuera de funcionamiento y no hay biblioteca</v>
          </cell>
          <cell r="S49" t="str">
            <v>La institucón se compromete a poner en funcionamiento la sala de sistemas</v>
          </cell>
          <cell r="T49" t="str">
            <v>Si</v>
          </cell>
          <cell r="U49" t="str">
            <v>Se verificará en visita administrativa el día 01 de agosto de 2025</v>
          </cell>
        </row>
        <row r="50">
          <cell r="A50">
            <v>2696</v>
          </cell>
          <cell r="B50">
            <v>6</v>
          </cell>
          <cell r="C50" t="str">
            <v>USME</v>
          </cell>
          <cell r="D50" t="str">
            <v>PRIVADO</v>
          </cell>
          <cell r="E50" t="str">
            <v>EPBM</v>
          </cell>
          <cell r="F50" t="str">
            <v>GIMNASIO_DE_TOLEDO</v>
          </cell>
          <cell r="G50" t="str">
            <v>GIMNASIO DE TOLEDO</v>
          </cell>
          <cell r="H50" t="str">
            <v>Autoevaluación Institucional y Pruebas SABER 11</v>
          </cell>
          <cell r="I50" t="str">
            <v>SEGUIMIENTO_Y_SUPERVISIÓN.</v>
          </cell>
          <cell r="J50" t="str">
            <v>Proponer estrategias en la formulación, verificar su elaboración y realizar seguimiento semestral al desarrollo de  las acciones establecidas en los planes de mejoramiento por pruebas SABER 11 de los establecimientos de educación formal.</v>
          </cell>
          <cell r="K50" t="str">
            <v>KATHERINE HERNÁNDEZ RUBIANO</v>
          </cell>
          <cell r="L50" t="str">
            <v>FRANCY LORENA RODRIGUEZ CASTRO</v>
          </cell>
          <cell r="M50">
            <v>45783</v>
          </cell>
          <cell r="N50">
            <v>45792</v>
          </cell>
          <cell r="O50">
            <v>45792</v>
          </cell>
          <cell r="P50" t="str">
            <v>Visitas de evaluación con fines de mejoramiento</v>
          </cell>
          <cell r="Q50" t="str">
            <v>01ActaVisitaAdministrativaGimnasioDeToledo15052025.pdf</v>
          </cell>
          <cell r="R50" t="str">
            <v>No aplica porque la Institución Educativa, pese a tener licencia de funcionamiento para media, funciona solamente en los niveles de pre escolar y básica primaria</v>
          </cell>
          <cell r="S50" t="str">
            <v>La institución Educativa se compromete a solicitar la modificación de la licencia de funcionamiento Resolución 7451 del 13 de noviembre de 1998, ya que en la actualidad solo presta el servicio en los niveles de pre escolar y básica primaria.</v>
          </cell>
          <cell r="T50" t="str">
            <v>Si</v>
          </cell>
          <cell r="U50" t="str">
            <v>Se verificará la solicitud ante la DLE en visita administrativa del 01 de agosto de 2025</v>
          </cell>
        </row>
        <row r="51">
          <cell r="A51">
            <v>2697</v>
          </cell>
          <cell r="B51">
            <v>6</v>
          </cell>
          <cell r="C51" t="str">
            <v>USME</v>
          </cell>
          <cell r="D51" t="str">
            <v>PRIVADO</v>
          </cell>
          <cell r="E51" t="str">
            <v>EPBM</v>
          </cell>
          <cell r="F51" t="str">
            <v>GIMNASIO_DE_TOLEDO</v>
          </cell>
          <cell r="G51" t="str">
            <v>GIMNASIO DE TOLEDO</v>
          </cell>
          <cell r="H51" t="str">
            <v>Autoevaluación Institucional y Pruebas SABER 11</v>
          </cell>
          <cell r="I51" t="str">
            <v>SEGUIMIENTO_Y_SUPERVISIÓN.</v>
          </cell>
          <cell r="J51" t="str">
            <v xml:space="preserve">Verificar la implementación por parte de los colegios, de acciones realizadas para la prevención y atención de las situaciones de convivencia en el entorno escolar, según lo establecido en la Directiva 01 de 2022 del MEN. </v>
          </cell>
          <cell r="K51" t="str">
            <v>KATHERINE HERNÁNDEZ RUBIANO</v>
          </cell>
          <cell r="L51" t="str">
            <v>FRANCY LORENA RODRIGUEZ CASTRO</v>
          </cell>
          <cell r="M51">
            <v>45783</v>
          </cell>
          <cell r="N51">
            <v>45792</v>
          </cell>
          <cell r="O51">
            <v>45792</v>
          </cell>
          <cell r="P51" t="str">
            <v>Visitas de evaluación con fines de mejoramiento</v>
          </cell>
          <cell r="Q51" t="str">
            <v>01ActaVisitaAdministrativaGimnasioDeToledo15052025.pdf</v>
          </cell>
          <cell r="R51" t="str">
            <v>La Institución Educativa no cuenta con evidencia sobre la atención de convivencia escolar, adicionalmente no tiene usuario ni contraseña para ingresar al Sitema de Alertas</v>
          </cell>
          <cell r="S51" t="str">
            <v>El rector solicitará a la Oficina de Convivencia Escolar la creación del usuario y la contraseña para ingresar al Sitema de alertas y capacitación</v>
          </cell>
          <cell r="T51" t="str">
            <v>Si</v>
          </cell>
          <cell r="U51" t="str">
            <v>Se verificará en visita administrativa el día 01 de agosto de 2025</v>
          </cell>
        </row>
        <row r="52">
          <cell r="A52">
            <v>2698</v>
          </cell>
          <cell r="B52">
            <v>6</v>
          </cell>
          <cell r="C52" t="str">
            <v>USME</v>
          </cell>
          <cell r="D52" t="str">
            <v>PRIVADO</v>
          </cell>
          <cell r="E52" t="str">
            <v>EPBM</v>
          </cell>
          <cell r="F52" t="str">
            <v>GIMNASIO_DE_TOLEDO</v>
          </cell>
          <cell r="G52" t="str">
            <v>GIMNASIO DE TOLEDO</v>
          </cell>
          <cell r="H52" t="str">
            <v>Autoevaluación Institucional y Pruebas SABER 11</v>
          </cell>
          <cell r="I52" t="str">
            <v>SEGUIMIENTO_Y_SUPERVISIÓN.</v>
          </cell>
          <cell r="J5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2" t="str">
            <v>KATHERINE HERNÁNDEZ RUBIANO</v>
          </cell>
          <cell r="L52" t="str">
            <v>FRANCY LORENA RODRIGUEZ CASTRO</v>
          </cell>
          <cell r="M52">
            <v>45783</v>
          </cell>
          <cell r="N52">
            <v>45792</v>
          </cell>
          <cell r="O52">
            <v>45792</v>
          </cell>
          <cell r="P52" t="str">
            <v>Visitas de evaluación con fines de mejoramiento</v>
          </cell>
          <cell r="Q52" t="str">
            <v>01ActaVisitaAdministrativaGimnasioDeToledo15052025.pdf</v>
          </cell>
          <cell r="R52" t="str">
            <v>La Institución Educativa, no cuenta con la evidencia de elaboración del PIAR, aunque menciona tener estudiantes de inclusión</v>
          </cell>
          <cell r="S52" t="str">
            <v>El rector se compromente a gestionar la elaboración de los PIAR</v>
          </cell>
          <cell r="T52" t="str">
            <v>Si</v>
          </cell>
          <cell r="U52" t="str">
            <v>Se verificará en visita administrativa el día 01 de agosto de 2025</v>
          </cell>
        </row>
        <row r="53">
          <cell r="A53">
            <v>2699</v>
          </cell>
          <cell r="B53">
            <v>6</v>
          </cell>
          <cell r="C53" t="str">
            <v>USME</v>
          </cell>
          <cell r="D53" t="str">
            <v>PRIVADO</v>
          </cell>
          <cell r="E53" t="str">
            <v>EPBM</v>
          </cell>
          <cell r="F53" t="str">
            <v>GIMNASIO_DE_TOLEDO</v>
          </cell>
          <cell r="G53" t="str">
            <v>GIMNASIO DE TOLEDO</v>
          </cell>
          <cell r="H53" t="str">
            <v>Autoevaluación Institucional y Pruebas SABER 11</v>
          </cell>
          <cell r="I53" t="str">
            <v>EVALUACIÓN_CON_FINES_DE_MEJORAMIENTO.</v>
          </cell>
          <cell r="J5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3" t="str">
            <v>KATHERINE HERNÁNDEZ RUBIANO</v>
          </cell>
          <cell r="L53" t="str">
            <v>FRANCY LORENA RODRIGUEZ CASTRO</v>
          </cell>
          <cell r="M53">
            <v>45783</v>
          </cell>
          <cell r="N53">
            <v>45792</v>
          </cell>
          <cell r="O53">
            <v>45792</v>
          </cell>
          <cell r="P53" t="str">
            <v>Visitas de evaluación con fines de mejoramiento</v>
          </cell>
          <cell r="Q53" t="str">
            <v>01ActaVisitaAdministrativaGimnasioDeToledo15052025.pdf</v>
          </cell>
          <cell r="R53" t="str">
            <v>La Institución Educativa cuenta con un Manual de Convivencia, pero este no se encuentra alineado con la normatividad vigente, además no tiene actas de su elboración, aprobación y adopción</v>
          </cell>
          <cell r="S53" t="str">
            <v>El rector se compromete a realizar el proceso de actualización del manual de convivencia, teniendo en cuenta la normatividad vigente al respecto</v>
          </cell>
          <cell r="T53" t="str">
            <v>Si</v>
          </cell>
          <cell r="U53" t="str">
            <v>Se verificará en la vigencia 2026</v>
          </cell>
        </row>
        <row r="54">
          <cell r="A54">
            <v>2700</v>
          </cell>
          <cell r="B54">
            <v>6</v>
          </cell>
          <cell r="C54" t="str">
            <v>USME</v>
          </cell>
          <cell r="D54" t="str">
            <v>PRIVADO</v>
          </cell>
          <cell r="E54" t="str">
            <v>EPBM</v>
          </cell>
          <cell r="F54" t="str">
            <v>GIMNASIO_DE_TOLEDO</v>
          </cell>
          <cell r="G54" t="str">
            <v>GIMNASIO DE TOLEDO</v>
          </cell>
          <cell r="H54" t="str">
            <v>Autoevaluación Institucional y Pruebas SABER 11</v>
          </cell>
          <cell r="I54" t="str">
            <v>EVALUACIÓN_CON_FINES_DE_MEJORAMIENTO.</v>
          </cell>
          <cell r="J54" t="str">
            <v>Revisar la actualización, socialización e implementación del Sistema Institucional de Evaluación de Estudiantes - SIEE, en articulación con la actualización del PEI y la normatividad vigente.</v>
          </cell>
          <cell r="K54" t="str">
            <v>KATHERINE HERNÁNDEZ RUBIANO</v>
          </cell>
          <cell r="L54" t="str">
            <v>FRANCY LORENA RODRIGUEZ CASTRO</v>
          </cell>
          <cell r="M54">
            <v>45783</v>
          </cell>
          <cell r="N54">
            <v>45792</v>
          </cell>
          <cell r="O54">
            <v>45792</v>
          </cell>
          <cell r="P54" t="str">
            <v>Visitas de evaluación con fines de mejoramiento</v>
          </cell>
          <cell r="Q54" t="str">
            <v>01ActaVisitaAdministrativaGimnasioDeToledo15052025.pdf</v>
          </cell>
          <cell r="R54" t="str">
            <v>La institución Educativa cuenta con un documento del Sistema de Evaluación de los Estudiantes, sin embargo no cuenta con las actas de aprobación del Consejo Directivo, tampoco incluye la evaluación de los estudiantes de inclusión.</v>
          </cell>
          <cell r="S54" t="str">
            <v>El rector se compromete a liderar las modificaciones al SIEE y organización curricular, para que haya una relación entre estos y adicionar un capitulo para la evaluación de los estudiantes de inclusión.</v>
          </cell>
          <cell r="T54" t="str">
            <v>Si</v>
          </cell>
          <cell r="U54" t="str">
            <v>Se verificará en vigencia 2025</v>
          </cell>
        </row>
        <row r="55">
          <cell r="A55">
            <v>2701</v>
          </cell>
          <cell r="B55">
            <v>6</v>
          </cell>
          <cell r="C55" t="str">
            <v>USME</v>
          </cell>
          <cell r="D55" t="str">
            <v>PRIVADO</v>
          </cell>
          <cell r="E55" t="str">
            <v>EPBM</v>
          </cell>
          <cell r="F55" t="str">
            <v>GIMNASIO_DE_TOLEDO</v>
          </cell>
          <cell r="G55" t="str">
            <v>GIMNASIO DE TOLEDO</v>
          </cell>
          <cell r="H55" t="str">
            <v>Autoevaluación Institucional y Pruebas SABER 11</v>
          </cell>
          <cell r="I55" t="str">
            <v>EVALUACIÓN_CON_FINES_DE_MEJORAMIENTO.</v>
          </cell>
          <cell r="J55" t="str">
            <v>Revisar el calendario escolar, jornada escolar, la intensidad horaria mínima anual en cada nivel y las modificaciones que se realicen al mismo, de acuerdo con lo previsto en la normatividad vigente.</v>
          </cell>
          <cell r="K55" t="str">
            <v>KATHERINE HERNÁNDEZ RUBIANO</v>
          </cell>
          <cell r="L55" t="str">
            <v>FRANCY LORENA RODRIGUEZ CASTRO</v>
          </cell>
          <cell r="M55">
            <v>45783</v>
          </cell>
          <cell r="N55">
            <v>45792</v>
          </cell>
          <cell r="O55">
            <v>45792</v>
          </cell>
          <cell r="P55" t="str">
            <v>Visitas de evaluación con fines de mejoramiento</v>
          </cell>
          <cell r="Q55" t="str">
            <v>01ActaVisitaAdministrativaGimnasioDeToledo15052025.pdf</v>
          </cell>
          <cell r="R55" t="str">
            <v>El calendario escolar se encuentra ajustado e implementado de acuerdo con la normatividad.</v>
          </cell>
          <cell r="S55" t="str">
            <v xml:space="preserve">Continuar con la implematacion del calendario escolar </v>
          </cell>
          <cell r="T55" t="str">
            <v>No</v>
          </cell>
          <cell r="U55" t="str">
            <v>Verificacion para la proxima vigencia 2026</v>
          </cell>
        </row>
        <row r="56">
          <cell r="A56">
            <v>2702</v>
          </cell>
          <cell r="B56">
            <v>6</v>
          </cell>
          <cell r="C56" t="str">
            <v>USME</v>
          </cell>
          <cell r="D56" t="str">
            <v>PRIVADO</v>
          </cell>
          <cell r="E56" t="str">
            <v>EPBM</v>
          </cell>
          <cell r="F56" t="str">
            <v>GIMNASIO_DE_TOLEDO</v>
          </cell>
          <cell r="G56" t="str">
            <v>GIMNASIO DE TOLEDO</v>
          </cell>
          <cell r="H56" t="str">
            <v>Autoevaluación Institucional y Pruebas SABER 11</v>
          </cell>
          <cell r="I56" t="str">
            <v>EVALUACIÓN_CON_FINES_DE_MEJORAMIENTO.</v>
          </cell>
          <cell r="J56" t="str">
            <v>Verificar el funcionamiento del Gobierno Escolar e instancias de participación con base en la información sobre conformación reportada por la institución educativa.</v>
          </cell>
          <cell r="K56" t="str">
            <v>KATHERINE HERNÁNDEZ RUBIANO</v>
          </cell>
          <cell r="L56" t="str">
            <v>FRANCY LORENA RODRIGUEZ CASTRO</v>
          </cell>
          <cell r="M56">
            <v>45783</v>
          </cell>
          <cell r="N56">
            <v>45792</v>
          </cell>
          <cell r="O56">
            <v>45792</v>
          </cell>
          <cell r="P56" t="str">
            <v>Visitas de evaluación con fines de mejoramiento</v>
          </cell>
          <cell r="Q56" t="str">
            <v>01ActaVisitaAdministrativaGimnasioDeToledo15052025.pdf</v>
          </cell>
          <cell r="R56" t="str">
            <v>No cuenta con las actas de conformación del Gobierno Escolar ni ha hecho el registro en la plataforma de Apoyo Escolar.</v>
          </cell>
          <cell r="S56" t="str">
            <v>El rector se compromete a realizar las actas de conformación del Gobierno Escolar.</v>
          </cell>
          <cell r="T56" t="str">
            <v>Si</v>
          </cell>
          <cell r="U56" t="str">
            <v>Verificación en la plataforma del Sistema de Apoyo Escolar  en el mes de julio de 2025</v>
          </cell>
        </row>
        <row r="57">
          <cell r="A57">
            <v>2703</v>
          </cell>
          <cell r="B57">
            <v>6</v>
          </cell>
          <cell r="C57" t="str">
            <v>USME</v>
          </cell>
          <cell r="D57" t="str">
            <v>PRIVADO</v>
          </cell>
          <cell r="E57" t="str">
            <v>EPBM</v>
          </cell>
          <cell r="F57" t="str">
            <v>GIMNASIO_DE_TOLEDO</v>
          </cell>
          <cell r="G57" t="str">
            <v>GIMNASIO DE TOLEDO</v>
          </cell>
          <cell r="H57" t="str">
            <v>Autoevaluación Institucional y Pruebas SABER 11</v>
          </cell>
          <cell r="I57" t="str">
            <v>EVALUACIÓN_CON_FINES_DE_MEJORAMIENTO.</v>
          </cell>
          <cell r="J57" t="str">
            <v>Verificar las condiciones en cuanto a: la estructura administrativa, condiciones de la planta física y medios educativos adecuados.</v>
          </cell>
          <cell r="K57" t="str">
            <v>KATHERINE HERNÁNDEZ RUBIANO</v>
          </cell>
          <cell r="L57" t="str">
            <v>FRANCY LORENA RODRIGUEZ CASTRO</v>
          </cell>
          <cell r="M57">
            <v>45783</v>
          </cell>
          <cell r="N57">
            <v>45792</v>
          </cell>
          <cell r="O57">
            <v>45792</v>
          </cell>
          <cell r="P57" t="str">
            <v>Visitas de evaluación con fines de mejoramiento</v>
          </cell>
          <cell r="Q57" t="str">
            <v>01ActaVisitaAdministrativaGimnasioDeToledo15052025.pdf</v>
          </cell>
          <cell r="R57" t="str">
            <v>No cuenta con sala de sistemas en funcionamiento ni biblioteca</v>
          </cell>
          <cell r="S57" t="str">
            <v>El rector se compromete a poner en funcionamiento la sala de sistemas</v>
          </cell>
          <cell r="T57" t="str">
            <v>Si</v>
          </cell>
          <cell r="U57" t="str">
            <v>Se verificará en visita administrativa el día 01 de agosto de 2025</v>
          </cell>
        </row>
        <row r="58">
          <cell r="A58">
            <v>2704</v>
          </cell>
          <cell r="B58">
            <v>7</v>
          </cell>
          <cell r="C58" t="str">
            <v>USME</v>
          </cell>
          <cell r="D58" t="str">
            <v>PRIVADO</v>
          </cell>
          <cell r="E58" t="str">
            <v>EPBM</v>
          </cell>
          <cell r="F58" t="str">
            <v>LICEO_MAX_PLANCK</v>
          </cell>
          <cell r="G58" t="str">
            <v>LICEO MAX PLANCK</v>
          </cell>
          <cell r="H58" t="str">
            <v>Autoevaluación Institucional y Pruebas SABER 11</v>
          </cell>
          <cell r="I58" t="str">
            <v>SEGUIMIENTO_Y_SUPERVISIÓN.</v>
          </cell>
          <cell r="J58" t="str">
            <v>Realizar visitas para verificar la información registrada sobre la autoevaluación institucional en el aplicativo EVI, a los establecimientos de educación formal no oficial.</v>
          </cell>
          <cell r="K58" t="str">
            <v>MIGUEL ANTONIO CARO CARO</v>
          </cell>
          <cell r="L58" t="str">
            <v>FRANCY LORENA RODRIGUEZ CASTRO</v>
          </cell>
          <cell r="M58">
            <v>45818</v>
          </cell>
          <cell r="N58">
            <v>45818</v>
          </cell>
          <cell r="O58">
            <v>45818</v>
          </cell>
          <cell r="P58" t="str">
            <v>Visitas de evaluación con fines de mejoramiento</v>
          </cell>
          <cell r="Q58" t="str">
            <v>05ActaVisitaAdministrativaLiceoMaxPlanck10062025.pdf</v>
          </cell>
          <cell r="R58" t="str">
            <v>Se evidencia pago de seguiridad social a docentes y administrativos con contratos a termino fijo a 9 meses y 15 días; sin embargo, hay tres docentes contratados por hora catedra, incluyendo a la orientadora escolar.</v>
          </cell>
          <cell r="S58" t="str">
            <v>La Institución expresa que mantendrá  las condiciones laborales y, mediante un plan especifico mejorarlas. Fecha entrega del plan: 14 de julio</v>
          </cell>
          <cell r="T58" t="str">
            <v>Si</v>
          </cell>
          <cell r="U58" t="str">
            <v>Se verificará la autoevaluación 2025 en EVI, revisando la vinculación laboral de los docentes.</v>
          </cell>
        </row>
        <row r="59">
          <cell r="A59">
            <v>2705</v>
          </cell>
          <cell r="B59">
            <v>7</v>
          </cell>
          <cell r="C59" t="str">
            <v>USME</v>
          </cell>
          <cell r="D59" t="str">
            <v>PRIVADO</v>
          </cell>
          <cell r="E59" t="str">
            <v>EPBM</v>
          </cell>
          <cell r="F59" t="str">
            <v>LICEO_MAX_PLANCK</v>
          </cell>
          <cell r="G59" t="str">
            <v>LICEO MAX PLANCK</v>
          </cell>
          <cell r="H59" t="str">
            <v>Autoevaluación Institucional y Pruebas SABER 11</v>
          </cell>
          <cell r="I59" t="str">
            <v>SEGUIMIENTO_Y_SUPERVISIÓN.</v>
          </cell>
          <cell r="J59" t="str">
            <v>Proponer estrategias en la formulación, verificar su elaboración y realizar seguimiento semestral al desarrollo de  las acciones establecidas en los planes de mejoramiento por pruebas SABER 11 de los establecimientos de educación formal.</v>
          </cell>
          <cell r="K59" t="str">
            <v>MIGUEL ANTONIO CARO CARO</v>
          </cell>
          <cell r="L59" t="str">
            <v>FRANCY LORENA RODRIGUEZ CASTRO</v>
          </cell>
          <cell r="M59">
            <v>45818</v>
          </cell>
          <cell r="N59">
            <v>45818</v>
          </cell>
          <cell r="O59">
            <v>45818</v>
          </cell>
          <cell r="P59" t="str">
            <v>Visitas de evaluación con fines de mejoramiento</v>
          </cell>
          <cell r="Q59" t="str">
            <v>05ActaVisitaAdministrativaLiceoMaxPlanck10062025.pdf</v>
          </cell>
          <cell r="R59" t="str">
            <v>Se evidencia el análisis de resultados PRUEBA SABER, cuenta con plan de mejoramiento adoptado por Consejo Directivo, el cual incluye estrategias como simulacros y desarrollo de área pre-saber.</v>
          </cell>
          <cell r="S59" t="str">
            <v>Desarrollo del plan de mejoramiento con las estrategias aprobadas: simulacros y pre-saber.</v>
          </cell>
          <cell r="T59" t="str">
            <v>Si</v>
          </cell>
          <cell r="U59" t="str">
            <v xml:space="preserve">se realizará seguimiento al plan </v>
          </cell>
        </row>
        <row r="60">
          <cell r="A60">
            <v>2706</v>
          </cell>
          <cell r="B60">
            <v>7</v>
          </cell>
          <cell r="C60" t="str">
            <v>USME</v>
          </cell>
          <cell r="D60" t="str">
            <v>PRIVADO</v>
          </cell>
          <cell r="E60" t="str">
            <v>EPBM</v>
          </cell>
          <cell r="F60" t="str">
            <v>LICEO_MAX_PLANCK</v>
          </cell>
          <cell r="G60" t="str">
            <v>LICEO MAX PLANCK</v>
          </cell>
          <cell r="H60" t="str">
            <v>Autoevaluación Institucional y Pruebas SABER 11</v>
          </cell>
          <cell r="I60" t="str">
            <v>SEGUIMIENTO_Y_SUPERVISIÓN.</v>
          </cell>
          <cell r="J60" t="str">
            <v xml:space="preserve">Verificar la implementación por parte de los colegios, de acciones realizadas para la prevención y atención de las situaciones de convivencia en el entorno escolar, según lo establecido en la Directiva 01 de 2022 del MEN. </v>
          </cell>
          <cell r="K60" t="str">
            <v>MIGUEL ANTONIO CARO CARO</v>
          </cell>
          <cell r="L60" t="str">
            <v>FRANCY LORENA RODRIGUEZ CASTRO</v>
          </cell>
          <cell r="M60">
            <v>45818</v>
          </cell>
          <cell r="N60">
            <v>45818</v>
          </cell>
          <cell r="O60">
            <v>45818</v>
          </cell>
          <cell r="P60" t="str">
            <v>Visitas de evaluación con fines de mejoramiento</v>
          </cell>
          <cell r="Q60" t="str">
            <v>05ActaVisitaAdministrativaLiceoMaxPlanck10062025.pdf</v>
          </cell>
          <cell r="R60" t="str">
            <v>Se evidencia el cumplimiento de la Directiva 01, sobre la consulta de inhabilidades por delitos sexuales al inicio de año escolar y reciente. Se reportan las situaciones convivenciales tipo II y III en el sistema de alertas del distrito.</v>
          </cell>
          <cell r="S60" t="str">
            <v>Continuar la revisón periodica del cumplimiento de la Directiva 01 de 2022, y el reporte oportuno de las situaciones convivenciales en el sistema del distrito.</v>
          </cell>
          <cell r="T60" t="str">
            <v>No</v>
          </cell>
          <cell r="U60" t="str">
            <v>Se verificara nuevamente el cumplimiento la Directiva 01, en caso de presentarse novedad.</v>
          </cell>
        </row>
        <row r="61">
          <cell r="A61">
            <v>2707</v>
          </cell>
          <cell r="B61">
            <v>7</v>
          </cell>
          <cell r="C61" t="str">
            <v>USME</v>
          </cell>
          <cell r="D61" t="str">
            <v>PRIVADO</v>
          </cell>
          <cell r="E61" t="str">
            <v>EPBM</v>
          </cell>
          <cell r="F61" t="str">
            <v>LICEO_MAX_PLANCK</v>
          </cell>
          <cell r="G61" t="str">
            <v>LICEO MAX PLANCK</v>
          </cell>
          <cell r="H61" t="str">
            <v>Autoevaluación Institucional y Pruebas SABER 11</v>
          </cell>
          <cell r="I61" t="str">
            <v>SEGUIMIENTO_Y_SUPERVISIÓN.</v>
          </cell>
          <cell r="J6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1" t="str">
            <v>MIGUEL ANTONIO CARO CARO</v>
          </cell>
          <cell r="L61" t="str">
            <v>FRANCY LORENA RODRIGUEZ CASTRO</v>
          </cell>
          <cell r="M61">
            <v>45818</v>
          </cell>
          <cell r="N61">
            <v>45818</v>
          </cell>
          <cell r="O61">
            <v>45818</v>
          </cell>
          <cell r="P61" t="str">
            <v>Visitas de evaluación con fines de mejoramiento</v>
          </cell>
          <cell r="Q61" t="str">
            <v>05ActaVisitaAdministrativaLiceoMaxPlanck10062025.pdf</v>
          </cell>
          <cell r="R61" t="str">
            <v>Se encuentra evidencia de elaboración de PIAR para el estudiante con discapacidad, en carpeta de orientación con anexos y compromisos.</v>
          </cell>
          <cell r="S61" t="str">
            <v>La institución mantendrá la revisón periodica del PIAR</v>
          </cell>
          <cell r="T61" t="str">
            <v>No</v>
          </cell>
          <cell r="U61" t="str">
            <v>En la revision de la autoevaluación 2025 en el EVI, se verificará este tema.</v>
          </cell>
        </row>
        <row r="62">
          <cell r="A62">
            <v>2708</v>
          </cell>
          <cell r="B62">
            <v>7</v>
          </cell>
          <cell r="C62" t="str">
            <v>USME</v>
          </cell>
          <cell r="D62" t="str">
            <v>PRIVADO</v>
          </cell>
          <cell r="E62" t="str">
            <v>EPBM</v>
          </cell>
          <cell r="F62" t="str">
            <v>LICEO_MAX_PLANCK</v>
          </cell>
          <cell r="G62" t="str">
            <v>LICEO MAX PLANCK</v>
          </cell>
          <cell r="H62" t="str">
            <v>Autoevaluación Institucional y Pruebas SABER 11</v>
          </cell>
          <cell r="I62" t="str">
            <v>EVALUACIÓN_CON_FINES_DE_MEJORAMIENTO.</v>
          </cell>
          <cell r="J6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2" t="str">
            <v>MIGUEL ANTONIO CARO CARO</v>
          </cell>
          <cell r="L62" t="str">
            <v>FRANCY LORENA RODRIGUEZ CASTRO</v>
          </cell>
          <cell r="M62">
            <v>45818</v>
          </cell>
          <cell r="N62">
            <v>45818</v>
          </cell>
          <cell r="O62">
            <v>45818</v>
          </cell>
          <cell r="P62" t="str">
            <v>Visitas de evaluación con fines de mejoramiento</v>
          </cell>
          <cell r="Q62" t="str">
            <v>05ActaVisitaAdministrativaLiceoMaxPlanck10062025.pdf</v>
          </cell>
          <cell r="R62" t="str">
            <v>Se encuentra evidencia de actualizacion, participación y socializacion y adopción del manual, que tiene documentado los protocolos y rutas de atención para las diferentes situaciones convivenciales, sin embargo requiere actualización de los enfoques diferenciales.</v>
          </cell>
          <cell r="S62" t="str">
            <v>La Institución ralizará la actualización del manual  e incluirá los enfoques de política pública educativa.</v>
          </cell>
          <cell r="T62" t="str">
            <v>Si</v>
          </cell>
          <cell r="U62" t="str">
            <v>Se verificara el cumplimiento del plan de mejoramiento con la inclusión completa de los enfoques y modificación   horizonte institucional en Noviembre 2025</v>
          </cell>
        </row>
        <row r="63">
          <cell r="A63">
            <v>2709</v>
          </cell>
          <cell r="B63">
            <v>7</v>
          </cell>
          <cell r="C63" t="str">
            <v>USME</v>
          </cell>
          <cell r="D63" t="str">
            <v>PRIVADO</v>
          </cell>
          <cell r="E63" t="str">
            <v>EPBM</v>
          </cell>
          <cell r="F63" t="str">
            <v>LICEO_MAX_PLANCK</v>
          </cell>
          <cell r="G63" t="str">
            <v>LICEO MAX PLANCK</v>
          </cell>
          <cell r="H63" t="str">
            <v>Autoevaluación Institucional y Pruebas SABER 11</v>
          </cell>
          <cell r="I63" t="str">
            <v>EVALUACIÓN_CON_FINES_DE_MEJORAMIENTO.</v>
          </cell>
          <cell r="J63" t="str">
            <v>Revisar la actualización, socialización e implementación del Sistema Institucional de Evaluación de Estudiantes - SIEE, en articulación con la actualización del PEI y la normatividad vigente.</v>
          </cell>
          <cell r="K63" t="str">
            <v>MIGUEL ANTONIO CARO CARO</v>
          </cell>
          <cell r="L63" t="str">
            <v>FRANCY LORENA RODRIGUEZ CASTRO</v>
          </cell>
          <cell r="M63">
            <v>45818</v>
          </cell>
          <cell r="N63">
            <v>45818</v>
          </cell>
          <cell r="O63">
            <v>45818</v>
          </cell>
          <cell r="P63" t="str">
            <v>Visitas de evaluación con fines de mejoramiento</v>
          </cell>
          <cell r="Q63" t="str">
            <v>05ActaVisitaAdministrativaLiceoMaxPlanck10062025.pdf</v>
          </cell>
          <cell r="R63" t="str">
            <v>Se encuentra evidencia de SIEE, proyecto de evaluacion y promoción conforme a la norma vigente, seguimiento diario-semanal-mensual del desempeño</v>
          </cell>
          <cell r="S63" t="str">
            <v>La Institución continuará con la estrategia de seguimiento y nivelación según periodicidad establecida en el SIEE.</v>
          </cell>
          <cell r="T63" t="str">
            <v>No</v>
          </cell>
          <cell r="U63" t="str">
            <v>Se verificará nuevamente en caso de presentarse novedad.</v>
          </cell>
        </row>
        <row r="64">
          <cell r="A64">
            <v>2710</v>
          </cell>
          <cell r="B64">
            <v>7</v>
          </cell>
          <cell r="C64" t="str">
            <v>USME</v>
          </cell>
          <cell r="D64" t="str">
            <v>PRIVADO</v>
          </cell>
          <cell r="E64" t="str">
            <v>EPBM</v>
          </cell>
          <cell r="F64" t="str">
            <v>LICEO_MAX_PLANCK</v>
          </cell>
          <cell r="G64" t="str">
            <v>LICEO MAX PLANCK</v>
          </cell>
          <cell r="H64" t="str">
            <v>Autoevaluación Institucional y Pruebas SABER 11</v>
          </cell>
          <cell r="I64" t="str">
            <v>EVALUACIÓN_CON_FINES_DE_MEJORAMIENTO.</v>
          </cell>
          <cell r="J64" t="str">
            <v>Revisar el calendario escolar, jornada escolar, la intensidad horaria mínima anual en cada nivel y las modificaciones que se realicen al mismo, de acuerdo con lo previsto en la normatividad vigente.</v>
          </cell>
          <cell r="K64" t="str">
            <v>MIGUEL ANTONIO CARO CARO</v>
          </cell>
          <cell r="L64" t="str">
            <v>FRANCY LORENA RODRIGUEZ CASTRO</v>
          </cell>
          <cell r="M64">
            <v>45818</v>
          </cell>
          <cell r="N64">
            <v>45818</v>
          </cell>
          <cell r="O64">
            <v>45818</v>
          </cell>
          <cell r="P64" t="str">
            <v>Visitas de evaluación con fines de mejoramiento</v>
          </cell>
          <cell r="Q64" t="str">
            <v>05ActaVisitaAdministrativaLiceoMaxPlanck10062025.pdf</v>
          </cell>
          <cell r="R64" t="str">
            <v xml:space="preserve">Se evidencia por horario de estudiantes, implementación de la jornada unica. </v>
          </cell>
          <cell r="S64" t="str">
            <v>La institución mantendra el ajuste de horario anualmente segun necesidades y plan especifico pruebas saber</v>
          </cell>
          <cell r="T64" t="str">
            <v>No</v>
          </cell>
          <cell r="U64" t="str">
            <v>Se verificará nuevamente en caso de presentarse novedad.</v>
          </cell>
        </row>
        <row r="65">
          <cell r="A65">
            <v>2711</v>
          </cell>
          <cell r="B65">
            <v>7</v>
          </cell>
          <cell r="C65" t="str">
            <v>USME</v>
          </cell>
          <cell r="D65" t="str">
            <v>PRIVADO</v>
          </cell>
          <cell r="E65" t="str">
            <v>EPBM</v>
          </cell>
          <cell r="F65" t="str">
            <v>LICEO_MAX_PLANCK</v>
          </cell>
          <cell r="G65" t="str">
            <v>LICEO MAX PLANCK</v>
          </cell>
          <cell r="H65" t="str">
            <v>Autoevaluación Institucional y Pruebas SABER 11</v>
          </cell>
          <cell r="I65" t="str">
            <v>EVALUACIÓN_CON_FINES_DE_MEJORAMIENTO.</v>
          </cell>
          <cell r="J65" t="str">
            <v>Verificar el funcionamiento del Gobierno Escolar e instancias de participación con base en la información sobre conformación reportada por la institución educativa.</v>
          </cell>
          <cell r="K65" t="str">
            <v>MIGUEL ANTONIO CARO CARO</v>
          </cell>
          <cell r="L65" t="str">
            <v>FRANCY LORENA RODRIGUEZ CASTRO</v>
          </cell>
          <cell r="M65">
            <v>45818</v>
          </cell>
          <cell r="N65">
            <v>45818</v>
          </cell>
          <cell r="O65">
            <v>45818</v>
          </cell>
          <cell r="P65" t="str">
            <v>Visitas de evaluación con fines de mejoramiento</v>
          </cell>
          <cell r="Q65" t="str">
            <v>05ActaVisitaAdministrativaLiceoMaxPlanck10062025.pdf</v>
          </cell>
          <cell r="R65" t="str">
            <v>Se encuentra las actas de conformación y  de dos reuniones de Consejo Académico y una de Consejo Directivo.</v>
          </cell>
          <cell r="S65" t="str">
            <v>La Institución continuará con las sesiones de trabajo del gobierno e instancias de participación.</v>
          </cell>
          <cell r="T65" t="str">
            <v>No</v>
          </cell>
          <cell r="U65" t="str">
            <v>Se verificará mediante requerimiento documental el funcionamiento de gobierno y organos de participación.</v>
          </cell>
        </row>
        <row r="66">
          <cell r="A66">
            <v>2712</v>
          </cell>
          <cell r="B66">
            <v>7</v>
          </cell>
          <cell r="C66" t="str">
            <v>USME</v>
          </cell>
          <cell r="D66" t="str">
            <v>PRIVADO</v>
          </cell>
          <cell r="E66" t="str">
            <v>EPBM</v>
          </cell>
          <cell r="F66" t="str">
            <v>LICEO_MAX_PLANCK</v>
          </cell>
          <cell r="G66" t="str">
            <v>LICEO MAX PLANCK</v>
          </cell>
          <cell r="H66" t="str">
            <v>Autoevaluación Institucional y Pruebas SABER 11</v>
          </cell>
          <cell r="I66" t="str">
            <v>EVALUACIÓN_CON_FINES_DE_MEJORAMIENTO.</v>
          </cell>
          <cell r="J66" t="str">
            <v>Verificar las condiciones en cuanto a: la estructura administrativa, condiciones de la planta física y medios educativos adecuados.</v>
          </cell>
          <cell r="K66" t="str">
            <v>MIGUEL ANTONIO CARO CARO</v>
          </cell>
          <cell r="L66" t="str">
            <v>FRANCY LORENA RODRIGUEZ CASTRO</v>
          </cell>
          <cell r="M66">
            <v>45818</v>
          </cell>
          <cell r="N66">
            <v>45818</v>
          </cell>
          <cell r="O66">
            <v>45818</v>
          </cell>
          <cell r="P66" t="str">
            <v>Visitas de evaluación con fines de mejoramiento</v>
          </cell>
          <cell r="Q66" t="str">
            <v>05ActaVisitaAdministrativaLiceoMaxPlanck10062025.pdf</v>
          </cell>
          <cell r="R66" t="str">
            <v xml:space="preserve">Se evidencia que: las escaleras son estrechas, no hay rutas de evacuación,  y no existen rampas de acceso para personas con discapacidad o con limitaciones en su movilidad. </v>
          </cell>
          <cell r="S66" t="str">
            <v>Incorporar en el plan de mejoramiento acciones relacionadas con accesibilidad, standares de escaleras y espacios abiertos.</v>
          </cell>
          <cell r="T66" t="str">
            <v>Si</v>
          </cell>
          <cell r="U66" t="str">
            <v xml:space="preserve">Se verificará el cumplimiento del Plan de mejoramiento vigencia en el segundo semestre de la presente vigencia. </v>
          </cell>
        </row>
        <row r="67">
          <cell r="A67">
            <v>2713</v>
          </cell>
          <cell r="B67">
            <v>8</v>
          </cell>
          <cell r="C67" t="str">
            <v>USME</v>
          </cell>
          <cell r="D67" t="str">
            <v>PRIVADO</v>
          </cell>
          <cell r="E67" t="str">
            <v>EPBM</v>
          </cell>
          <cell r="F67" t="str">
            <v>INSTITUTO_SUSANA_WESLEY</v>
          </cell>
          <cell r="G67" t="str">
            <v>INSTITUTO SUSANA WESLEY</v>
          </cell>
          <cell r="H67" t="str">
            <v>Autoevaluación Institucional y Pruebas SABER 11</v>
          </cell>
          <cell r="I67" t="str">
            <v>SEGUIMIENTO_Y_SUPERVISIÓN.</v>
          </cell>
          <cell r="J67" t="str">
            <v>Realizar visitas para verificar la información registrada sobre la autoevaluación institucional en el aplicativo EVI, a los establecimientos de educación formal no oficial.</v>
          </cell>
          <cell r="K67" t="str">
            <v>KATHERINE HERNÁNDEZ RUBIANO</v>
          </cell>
          <cell r="L67" t="str">
            <v>FRANCY LORENA RODRIGUEZ CASTRO</v>
          </cell>
          <cell r="M67">
            <v>45811</v>
          </cell>
          <cell r="N67">
            <v>45783</v>
          </cell>
          <cell r="O67">
            <v>45783</v>
          </cell>
          <cell r="P67" t="str">
            <v>Visitas de evaluación con fines de mejoramiento</v>
          </cell>
          <cell r="Q67" t="str">
            <v>04ActaVisitaAdministrativaInstitutoSusanaWesley05062025.pdf</v>
          </cell>
          <cell r="R67" t="str">
            <v>No existe correspondencia entre el número de estudiantes registrados en el EVI - SIMAT y la realidad institucional en el momento de la visita.</v>
          </cell>
          <cell r="S67" t="str">
            <v>La Institución Educativa se compromte a registar en el Sistema de Matriculas Estudiantil (SIMAT), los 9 estudiantes de inclusión matriculados actualmente</v>
          </cell>
          <cell r="T67" t="str">
            <v>Si</v>
          </cell>
          <cell r="U67" t="str">
            <v>Se verificará en el SIMAT en el mes de julio de 2025</v>
          </cell>
        </row>
        <row r="68">
          <cell r="A68">
            <v>2714</v>
          </cell>
          <cell r="B68">
            <v>8</v>
          </cell>
          <cell r="C68" t="str">
            <v>USME</v>
          </cell>
          <cell r="D68" t="str">
            <v>PRIVADO</v>
          </cell>
          <cell r="E68" t="str">
            <v>EPBM</v>
          </cell>
          <cell r="F68" t="str">
            <v>INSTITUTO_SUSANA_WESLEY</v>
          </cell>
          <cell r="G68" t="str">
            <v>INSTITUTO SUSANA WESLEY</v>
          </cell>
          <cell r="H68" t="str">
            <v>Autoevaluación Institucional y Pruebas SABER 11</v>
          </cell>
          <cell r="I68" t="str">
            <v>SEGUIMIENTO_Y_SUPERVISIÓN.</v>
          </cell>
          <cell r="J68" t="str">
            <v>Proponer estrategias en la formulación, verificar su elaboración y realizar seguimiento semestral al desarrollo de  las acciones establecidas en los planes de mejoramiento por pruebas SABER 11 de los establecimientos de educación formal.</v>
          </cell>
          <cell r="K68" t="str">
            <v>KATHERINE HERNÁNDEZ RUBIANO</v>
          </cell>
          <cell r="L68" t="str">
            <v>FRANCY LORENA RODRIGUEZ CASTRO</v>
          </cell>
          <cell r="M68">
            <v>45811</v>
          </cell>
          <cell r="N68">
            <v>45813</v>
          </cell>
          <cell r="O68">
            <v>45814</v>
          </cell>
          <cell r="P68" t="str">
            <v>Visitas de evaluación con fines de mejoramiento</v>
          </cell>
          <cell r="Q68" t="str">
            <v>04ActaVisitaAdministrativaInstitutoSusanaWesley05062025.pdf</v>
          </cell>
          <cell r="R68" t="str">
            <v xml:space="preserve">No presenta evidencia de las acciones </v>
          </cell>
          <cell r="S68" t="str">
            <v>La Institución Educativa se compromete a iniciar el proceso de análisis de los resultados de la prueba Saber 11 y se compromete a desarrollar un plan de mejoramiento al respecto</v>
          </cell>
          <cell r="T68" t="str">
            <v>Si</v>
          </cell>
          <cell r="U68" t="str">
            <v>Se verificará en la vigencia 2026</v>
          </cell>
        </row>
        <row r="69">
          <cell r="A69">
            <v>2715</v>
          </cell>
          <cell r="B69">
            <v>8</v>
          </cell>
          <cell r="C69" t="str">
            <v>USME</v>
          </cell>
          <cell r="D69" t="str">
            <v>PRIVADO</v>
          </cell>
          <cell r="E69" t="str">
            <v>EPBM</v>
          </cell>
          <cell r="F69" t="str">
            <v>INSTITUTO_SUSANA_WESLEY</v>
          </cell>
          <cell r="G69" t="str">
            <v>INSTITUTO SUSANA WESLEY</v>
          </cell>
          <cell r="H69" t="str">
            <v>Autoevaluación Institucional y Pruebas SABER 11</v>
          </cell>
          <cell r="I69" t="str">
            <v>SEGUIMIENTO_Y_SUPERVISIÓN.</v>
          </cell>
          <cell r="J69" t="str">
            <v xml:space="preserve">Verificar la implementación por parte de los colegios, de acciones realizadas para la prevención y atención de las situaciones de convivencia en el entorno escolar, según lo establecido en la Directiva 01 de 2022 del MEN. </v>
          </cell>
          <cell r="K69" t="str">
            <v>KATHERINE HERNÁNDEZ RUBIANO</v>
          </cell>
          <cell r="L69" t="str">
            <v>FRANCY LORENA RODRIGUEZ CASTRO</v>
          </cell>
          <cell r="M69">
            <v>45811</v>
          </cell>
          <cell r="N69">
            <v>45813</v>
          </cell>
          <cell r="O69">
            <v>45817</v>
          </cell>
          <cell r="P69" t="str">
            <v>Visitas de evaluación con fines de mejoramiento</v>
          </cell>
          <cell r="Q69" t="str">
            <v>04ActaVisitaAdministrativaInstitutoSusanaWesley05062025.pdf</v>
          </cell>
          <cell r="R69" t="str">
            <v>Se evidencia mediante acta que llevaron a cabo una capación con la Oficina de Convivencia Escolar (OCE) sobre el manejo de protocolos de atención integral para la convivencia escolar y también presentacn actas de reunión del Comité de Convivenca Escolar</v>
          </cell>
          <cell r="S69" t="str">
            <v>La institución se compromete a fortalecer el debido proceso y acciones sansionatorias para faltas tipo 1</v>
          </cell>
          <cell r="T69" t="str">
            <v>Si</v>
          </cell>
          <cell r="U69" t="str">
            <v>Se verificará en la vigencia 2026</v>
          </cell>
        </row>
        <row r="70">
          <cell r="A70">
            <v>2716</v>
          </cell>
          <cell r="B70">
            <v>8</v>
          </cell>
          <cell r="C70" t="str">
            <v>USME</v>
          </cell>
          <cell r="D70" t="str">
            <v>PRIVADO</v>
          </cell>
          <cell r="E70" t="str">
            <v>EPBM</v>
          </cell>
          <cell r="F70" t="str">
            <v>INSTITUTO_SUSANA_WESLEY</v>
          </cell>
          <cell r="G70" t="str">
            <v>INSTITUTO SUSANA WESLEY</v>
          </cell>
          <cell r="H70" t="str">
            <v>Autoevaluación Institucional y Pruebas SABER 11</v>
          </cell>
          <cell r="I70" t="str">
            <v>SEGUIMIENTO_Y_SUPERVISIÓN.</v>
          </cell>
          <cell r="J7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0" t="str">
            <v>KATHERINE HERNÁNDEZ RUBIANO</v>
          </cell>
          <cell r="L70" t="str">
            <v>FRANCY LORENA RODRIGUEZ CASTRO</v>
          </cell>
          <cell r="M70">
            <v>45811</v>
          </cell>
          <cell r="N70">
            <v>45783</v>
          </cell>
          <cell r="O70">
            <v>45783</v>
          </cell>
          <cell r="P70" t="str">
            <v>Visitas de evaluación con fines de mejoramiento</v>
          </cell>
          <cell r="Q70" t="str">
            <v>04ActaVisitaAdministrativaInstitutoSusanaWesley05062025.pdf</v>
          </cell>
          <cell r="R70" t="str">
            <v>La institución Educativa presenta las fichas de caracterización de los estudiantes de inclusión, sin embargo aunque manejan un modelo de PIAR, este no se encuentra desarrollado para la vigencia 2025</v>
          </cell>
          <cell r="S70" t="str">
            <v>La rectora se compromete a liderar el proceso de elaboración del PIAR</v>
          </cell>
          <cell r="T70" t="str">
            <v>Si</v>
          </cell>
          <cell r="U70" t="str">
            <v>Se verificará en la vigencia 2026</v>
          </cell>
        </row>
        <row r="71">
          <cell r="A71">
            <v>2717</v>
          </cell>
          <cell r="B71">
            <v>8</v>
          </cell>
          <cell r="C71" t="str">
            <v>USME</v>
          </cell>
          <cell r="D71" t="str">
            <v>PRIVADO</v>
          </cell>
          <cell r="E71" t="str">
            <v>EPBM</v>
          </cell>
          <cell r="F71" t="str">
            <v>INSTITUTO_SUSANA_WESLEY</v>
          </cell>
          <cell r="G71" t="str">
            <v>INSTITUTO SUSANA WESLEY</v>
          </cell>
          <cell r="H71" t="str">
            <v>Autoevaluación Institucional y Pruebas SABER 11</v>
          </cell>
          <cell r="I71" t="str">
            <v>EVALUACIÓN_CON_FINES_DE_MEJORAMIENTO.</v>
          </cell>
          <cell r="J7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1" t="str">
            <v>KATHERINE HERNÁNDEZ RUBIANO</v>
          </cell>
          <cell r="L71" t="str">
            <v>FRANCY LORENA RODRIGUEZ CASTRO</v>
          </cell>
          <cell r="M71">
            <v>45811</v>
          </cell>
          <cell r="N71">
            <v>45783</v>
          </cell>
          <cell r="O71">
            <v>45783</v>
          </cell>
          <cell r="P71" t="str">
            <v>Visitas de evaluación con fines de mejoramiento</v>
          </cell>
          <cell r="Q71" t="str">
            <v>04ActaVisitaAdministrativaInstitutoSusanaWesley05062025.pdf</v>
          </cell>
          <cell r="R71" t="str">
            <v>Se realiza la revisión del documento cuya ultima actualización es del 2023, el cual fue realizado solo por los docentes y no incluye la normativa vigente.</v>
          </cell>
          <cell r="S71" t="str">
            <v>La Institución Educativa se compromete a realizar la construccion del Manual de convivencia para la vigencia 2026 de manera participativa, teniendo en cuenta la normativa vigente al respecto.</v>
          </cell>
          <cell r="T71" t="str">
            <v>Si</v>
          </cell>
          <cell r="U71" t="str">
            <v>Se verificará en la vigencia 2026</v>
          </cell>
        </row>
        <row r="72">
          <cell r="A72">
            <v>2718</v>
          </cell>
          <cell r="B72">
            <v>8</v>
          </cell>
          <cell r="C72" t="str">
            <v>USME</v>
          </cell>
          <cell r="D72" t="str">
            <v>PRIVADO</v>
          </cell>
          <cell r="E72" t="str">
            <v>EPBM</v>
          </cell>
          <cell r="F72" t="str">
            <v>INSTITUTO_SUSANA_WESLEY</v>
          </cell>
          <cell r="G72" t="str">
            <v>INSTITUTO SUSANA WESLEY</v>
          </cell>
          <cell r="H72" t="str">
            <v>Autoevaluación Institucional y Pruebas SABER 11</v>
          </cell>
          <cell r="I72" t="str">
            <v>EVALUACIÓN_CON_FINES_DE_MEJORAMIENTO.</v>
          </cell>
          <cell r="J72" t="str">
            <v>Revisar la actualización, socialización e implementación del Sistema Institucional de Evaluación de Estudiantes - SIEE, en articulación con la actualización del PEI y la normatividad vigente.</v>
          </cell>
          <cell r="K72" t="str">
            <v>KATHERINE HERNÁNDEZ RUBIANO</v>
          </cell>
          <cell r="L72" t="str">
            <v>FRANCY LORENA RODRIGUEZ CASTRO</v>
          </cell>
          <cell r="M72">
            <v>45811</v>
          </cell>
          <cell r="N72">
            <v>45783</v>
          </cell>
          <cell r="O72">
            <v>45783</v>
          </cell>
          <cell r="P72" t="str">
            <v>Visitas de evaluación con fines de mejoramiento</v>
          </cell>
          <cell r="Q72" t="str">
            <v>04ActaVisitaAdministrativaInstitutoSusanaWesley05062025.pdf</v>
          </cell>
          <cell r="R72" t="str">
            <v>Se evidencia que el SIEE , no incluye la escala de valoración para los estudiantesl del Nivel de Pre escolar</v>
          </cell>
          <cell r="S72" t="str">
            <v>La Institución Educativa se compromete a incorporar en el SIEE, la escala de valoración para los estudiantes de preescolar.</v>
          </cell>
          <cell r="T72" t="str">
            <v>Si</v>
          </cell>
          <cell r="U72" t="str">
            <v>Se verificará actualizacion del SIEE una vez sea remitido por la IE 2026</v>
          </cell>
        </row>
        <row r="73">
          <cell r="A73">
            <v>2719</v>
          </cell>
          <cell r="B73">
            <v>8</v>
          </cell>
          <cell r="C73" t="str">
            <v>USME</v>
          </cell>
          <cell r="D73" t="str">
            <v>PRIVADO</v>
          </cell>
          <cell r="E73" t="str">
            <v>EPBM</v>
          </cell>
          <cell r="F73" t="str">
            <v>INSTITUTO_SUSANA_WESLEY</v>
          </cell>
          <cell r="G73" t="str">
            <v>INSTITUTO SUSANA WESLEY</v>
          </cell>
          <cell r="H73" t="str">
            <v>Autoevaluación Institucional y Pruebas SABER 11</v>
          </cell>
          <cell r="I73" t="str">
            <v>EVALUACIÓN_CON_FINES_DE_MEJORAMIENTO.</v>
          </cell>
          <cell r="J73" t="str">
            <v>Revisar el calendario escolar, jornada escolar, la intensidad horaria mínima anual en cada nivel y las modificaciones que se realicen al mismo, de acuerdo con lo previsto en la normatividad vigente.</v>
          </cell>
          <cell r="K73" t="str">
            <v>KATHERINE HERNÁNDEZ RUBIANO</v>
          </cell>
          <cell r="L73" t="str">
            <v>FRANCY LORENA RODRIGUEZ CASTRO</v>
          </cell>
          <cell r="M73">
            <v>45811</v>
          </cell>
          <cell r="N73">
            <v>45783</v>
          </cell>
          <cell r="O73">
            <v>45783</v>
          </cell>
          <cell r="P73" t="str">
            <v>Visitas de evaluación con fines de mejoramiento</v>
          </cell>
          <cell r="Q73" t="str">
            <v>04ActaVisitaAdministrativaInstitutoSusanaWesley05062025.pdf</v>
          </cell>
          <cell r="R73" t="str">
            <v>El calendario escolar se encuentra ajustado e implementado de acuerdo con la normatividad.</v>
          </cell>
          <cell r="S73" t="str">
            <v xml:space="preserve">Continuar con la implementación del calendario escolar </v>
          </cell>
          <cell r="T73" t="str">
            <v>No</v>
          </cell>
          <cell r="U73" t="str">
            <v>Verificacion para la proxima vigencia 2026</v>
          </cell>
        </row>
        <row r="74">
          <cell r="A74">
            <v>2720</v>
          </cell>
          <cell r="B74">
            <v>8</v>
          </cell>
          <cell r="C74" t="str">
            <v>USME</v>
          </cell>
          <cell r="D74" t="str">
            <v>PRIVADO</v>
          </cell>
          <cell r="E74" t="str">
            <v>EPBM</v>
          </cell>
          <cell r="F74" t="str">
            <v>INSTITUTO_SUSANA_WESLEY</v>
          </cell>
          <cell r="G74" t="str">
            <v>INSTITUTO SUSANA WESLEY</v>
          </cell>
          <cell r="H74" t="str">
            <v>Autoevaluación Institucional y Pruebas SABER 11</v>
          </cell>
          <cell r="I74" t="str">
            <v>EVALUACIÓN_CON_FINES_DE_MEJORAMIENTO.</v>
          </cell>
          <cell r="J74" t="str">
            <v>Verificar el funcionamiento del Gobierno Escolar e instancias de participación con base en la información sobre conformación reportada por la institución educativa.</v>
          </cell>
          <cell r="K74" t="str">
            <v>KATHERINE HERNÁNDEZ RUBIANO</v>
          </cell>
          <cell r="L74" t="str">
            <v>FRANCY LORENA RODRIGUEZ CASTRO</v>
          </cell>
          <cell r="M74">
            <v>45811</v>
          </cell>
          <cell r="N74">
            <v>45783</v>
          </cell>
          <cell r="O74">
            <v>45783</v>
          </cell>
          <cell r="P74" t="str">
            <v>Visitas de evaluación con fines de mejoramiento</v>
          </cell>
          <cell r="Q74" t="str">
            <v>04ActaVisitaAdministrativaInstitutoSusanaWesley05062025.pdf</v>
          </cell>
          <cell r="R74" t="str">
            <v>No cuenta con las actas de conformación del Gobierno Escolar en los formatos establecidos por la SED ni ha hecho el registro en el Sistema de Apoyo Escolar.</v>
          </cell>
          <cell r="S74" t="str">
            <v>El rector se compromete a realizar las actas de conformación del Gobierno Escolar y reportarlas en el SAE</v>
          </cell>
          <cell r="T74" t="str">
            <v>Si</v>
          </cell>
          <cell r="U74" t="str">
            <v>Verificación en la plataforma del Sistema de Apoyo Escolar  en el mes de julio de 2025</v>
          </cell>
        </row>
        <row r="75">
          <cell r="A75">
            <v>2721</v>
          </cell>
          <cell r="B75">
            <v>8</v>
          </cell>
          <cell r="C75" t="str">
            <v>USME</v>
          </cell>
          <cell r="D75" t="str">
            <v>PRIVADO</v>
          </cell>
          <cell r="E75" t="str">
            <v>EPBM</v>
          </cell>
          <cell r="F75" t="str">
            <v>INSTITUTO_SUSANA_WESLEY</v>
          </cell>
          <cell r="G75" t="str">
            <v>INSTITUTO SUSANA WESLEY</v>
          </cell>
          <cell r="H75" t="str">
            <v>Autoevaluación Institucional y Pruebas SABER 11</v>
          </cell>
          <cell r="I75" t="str">
            <v>EVALUACIÓN_CON_FINES_DE_MEJORAMIENTO.</v>
          </cell>
          <cell r="J75" t="str">
            <v>Verificar las condiciones en cuanto a: la estructura administrativa, condiciones de la planta física y medios educativos adecuados.</v>
          </cell>
          <cell r="K75" t="str">
            <v>KATHERINE HERNÁNDEZ RUBIANO</v>
          </cell>
          <cell r="L75" t="str">
            <v>FRANCY LORENA RODRIGUEZ CASTRO</v>
          </cell>
          <cell r="M75">
            <v>45811</v>
          </cell>
          <cell r="N75">
            <v>45783</v>
          </cell>
          <cell r="O75">
            <v>45783</v>
          </cell>
          <cell r="P75" t="str">
            <v>Visitas de evaluación con fines de mejoramiento</v>
          </cell>
          <cell r="Q75" t="str">
            <v>04ActaVisitaAdministrativaInstitutoSusanaWesley05062025.pdf</v>
          </cell>
          <cell r="R75" t="str">
            <v>En el recorrido por la planta física , se observa que los espacios son amplios y con luz natural, el mobiliario corresponde con el numero de estudiantes y cuenta con sala de sistemas y laboratorios.</v>
          </cell>
          <cell r="S75" t="str">
            <v>Continuar con el mantenimiento de la planta física</v>
          </cell>
          <cell r="T75" t="str">
            <v>No</v>
          </cell>
          <cell r="U75" t="str">
            <v>Verificación para la vigencia 2026</v>
          </cell>
        </row>
        <row r="76">
          <cell r="A76">
            <v>2722</v>
          </cell>
          <cell r="B76">
            <v>9</v>
          </cell>
          <cell r="C76" t="str">
            <v>USME</v>
          </cell>
          <cell r="D76" t="str">
            <v>PRIVADO</v>
          </cell>
          <cell r="E76" t="str">
            <v>EPBM</v>
          </cell>
          <cell r="F76" t="str">
            <v>COLEGIO_ARIEL_DAVID</v>
          </cell>
          <cell r="G76" t="str">
            <v>COLEGIO ARIEL DAVID</v>
          </cell>
          <cell r="H76" t="str">
            <v>Autoevaluación Institucional y Pruebas SABER 11</v>
          </cell>
          <cell r="I76" t="str">
            <v>SEGUIMIENTO_Y_SUPERVISIÓN.</v>
          </cell>
          <cell r="J76"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76" t="str">
            <v>KATHERINE HERNÁNDEZ RUBIANO</v>
          </cell>
          <cell r="L76" t="str">
            <v>FRANCY LORENA RODRIGUEZ CASTRO</v>
          </cell>
          <cell r="M76">
            <v>45860</v>
          </cell>
          <cell r="N76">
            <v>45861</v>
          </cell>
          <cell r="O76">
            <v>45862</v>
          </cell>
          <cell r="P76" t="str">
            <v>Visitas de evaluación con fines de mejoramiento</v>
          </cell>
          <cell r="Q76" t="str">
            <v>ActaVisitaAdministrativaColegioArielDavid23072025.pdf</v>
          </cell>
          <cell r="R76" t="str">
            <v>El PMI por regimen controlado, contempla el pago de Seguridad Social Integral para todo el personal vinculado a la Institución educativa, sin embaro en la revisión documental se encuentra que solo se hace el pago por este concepto a un docente.Adicional a lo anterior se encuentran contratos de los docentes que no estan ajustados a la normativativa vigente en la materia</v>
          </cell>
          <cell r="S76" t="str">
            <v>Cumplir con las acciones establecidas en el PMI por regimen controlado 2024,  es decir realizar la afiliación al Sistema de Seguridad Social Integral a todo el personal vinculado a la Institución Educativa.</v>
          </cell>
          <cell r="T76" t="str">
            <v>Si</v>
          </cell>
          <cell r="U76" t="str">
            <v>Verificación en el EVI 2025.</v>
          </cell>
        </row>
        <row r="77">
          <cell r="A77">
            <v>2723</v>
          </cell>
          <cell r="B77">
            <v>9</v>
          </cell>
          <cell r="C77" t="str">
            <v>USME</v>
          </cell>
          <cell r="D77" t="str">
            <v>PRIVADO</v>
          </cell>
          <cell r="E77" t="str">
            <v>EPBM</v>
          </cell>
          <cell r="F77" t="str">
            <v>COLEGIO_ARIEL_DAVID</v>
          </cell>
          <cell r="G77" t="str">
            <v>COLEGIO ARIEL DAVID</v>
          </cell>
          <cell r="H77" t="str">
            <v>Autoevaluación Institucional y Pruebas SABER 11</v>
          </cell>
          <cell r="I77" t="str">
            <v>SEGUIMIENTO_Y_SUPERVISIÓN.</v>
          </cell>
          <cell r="J77" t="str">
            <v>Realizar visitas para verificar la información registrada sobre la autoevaluación institucional en el aplicativo EVI, a los establecimientos de educación formal no oficial.</v>
          </cell>
          <cell r="K77" t="str">
            <v>KATHERINE HERNÁNDEZ RUBIANO</v>
          </cell>
          <cell r="L77" t="str">
            <v>FRANCY LORENA RODRIGUEZ CASTRO</v>
          </cell>
          <cell r="M77">
            <v>45860</v>
          </cell>
          <cell r="N77">
            <v>45861</v>
          </cell>
          <cell r="O77">
            <v>45862</v>
          </cell>
          <cell r="P77" t="str">
            <v>Visitas de evaluación con fines de mejoramiento</v>
          </cell>
          <cell r="Q77" t="str">
            <v>ActaVisitaAdministrativaColegioArielDavid23072025.pdf</v>
          </cell>
          <cell r="R77" t="str">
            <v>No hay correspondencia entre el número de estudiantes registrados en el EVI - SIMAT y la matricula registrada en el momento de la visita, ni tampoco la relación de de los estudiantes de los estudiantes con discapacidad.</v>
          </cell>
          <cell r="S77" t="str">
            <v>La institución educativa se compromete a actualizar la información en el SIMAT.</v>
          </cell>
          <cell r="T77" t="str">
            <v>Si</v>
          </cell>
          <cell r="U77" t="str">
            <v>Verificación en el EVI 2025.</v>
          </cell>
        </row>
        <row r="78">
          <cell r="A78">
            <v>2724</v>
          </cell>
          <cell r="B78">
            <v>9</v>
          </cell>
          <cell r="C78" t="str">
            <v>USME</v>
          </cell>
          <cell r="D78" t="str">
            <v>PRIVADO</v>
          </cell>
          <cell r="E78" t="str">
            <v>EPBM</v>
          </cell>
          <cell r="F78" t="str">
            <v>COLEGIO_ARIEL_DAVID</v>
          </cell>
          <cell r="G78" t="str">
            <v>COLEGIO ARIEL DAVID</v>
          </cell>
          <cell r="H78" t="str">
            <v>Autoevaluación Institucional y Pruebas SABER 11</v>
          </cell>
          <cell r="I78" t="str">
            <v>SEGUIMIENTO_Y_SUPERVISIÓN.</v>
          </cell>
          <cell r="J78" t="str">
            <v>Proponer estrategias en la formulación, verificar su elaboración y realizar seguimiento semestral al desarrollo de  las acciones establecidas en los planes de mejoramiento por pruebas SABER 11 de los establecimientos de educación formal.</v>
          </cell>
          <cell r="K78" t="str">
            <v>KATHERINE HERNÁNDEZ RUBIANO</v>
          </cell>
          <cell r="L78" t="str">
            <v>FRANCY LORENA RODRIGUEZ CASTRO</v>
          </cell>
          <cell r="M78">
            <v>45860</v>
          </cell>
          <cell r="N78">
            <v>45861</v>
          </cell>
          <cell r="O78">
            <v>45862</v>
          </cell>
          <cell r="P78" t="str">
            <v>Visitas de evaluación con fines de mejoramiento</v>
          </cell>
          <cell r="Q78" t="str">
            <v>ActaVisitaAdministrativaColegioArielDavid23072025.pdf</v>
          </cell>
          <cell r="R78" t="str">
            <v>La institución educativa, no cuenta con evidencia que permita corroborar estrategias de formulación de planes de mejoramiento respecto al resultado de las Pruebas Saber 11</v>
          </cell>
          <cell r="S78" t="str">
            <v>La institución educativa , se compromete a realizar el proceso de análisis y formulación de estrategias de mejora, relacionadas con este aspecto en las sesiones del Consejo Académico, documentando su proceso.</v>
          </cell>
          <cell r="T78" t="str">
            <v>Si</v>
          </cell>
          <cell r="U78" t="str">
            <v>Visita de seguimiento en el primer trimestre de 2026</v>
          </cell>
        </row>
        <row r="79">
          <cell r="A79">
            <v>2725</v>
          </cell>
          <cell r="B79">
            <v>9</v>
          </cell>
          <cell r="C79" t="str">
            <v>USME</v>
          </cell>
          <cell r="D79" t="str">
            <v>PRIVADO</v>
          </cell>
          <cell r="E79" t="str">
            <v>EPBM</v>
          </cell>
          <cell r="F79" t="str">
            <v>COLEGIO_ARIEL_DAVID</v>
          </cell>
          <cell r="G79" t="str">
            <v>COLEGIO ARIEL DAVID</v>
          </cell>
          <cell r="H79" t="str">
            <v>Autoevaluación Institucional y Pruebas SABER 11</v>
          </cell>
          <cell r="I79" t="str">
            <v>SEGUIMIENTO_Y_SUPERVISIÓN.</v>
          </cell>
          <cell r="J79" t="str">
            <v xml:space="preserve">Verificar la implementación por parte de los colegios, de acciones realizadas para la prevención y atención de las situaciones de convivencia en el entorno escolar, según lo establecido en la Directiva 01 de 2022 del MEN. </v>
          </cell>
          <cell r="K79" t="str">
            <v>KATHERINE HERNÁNDEZ RUBIANO</v>
          </cell>
          <cell r="L79" t="str">
            <v>FRANCY LORENA RODRIGUEZ CASTRO</v>
          </cell>
          <cell r="M79">
            <v>45860</v>
          </cell>
          <cell r="N79">
            <v>45861</v>
          </cell>
          <cell r="O79">
            <v>45862</v>
          </cell>
          <cell r="P79" t="str">
            <v>Visitas de evaluación con fines de mejoramiento</v>
          </cell>
          <cell r="Q79" t="str">
            <v>ActaVisitaAdministrativaColegioArielDavid23072025.pdf</v>
          </cell>
          <cell r="R79" t="str">
            <v>En la revisión documental no  hay evidencias que permitan determinar sí se han desarrollado acciones pedagógicas ara la prevención de violencia sexual en las jornadas pedagógicas de formación a docentes, escuelas de padres , proyectos transversales o en el proyecto de convivencia escolar. Frente a la revisión cada 4 meses de las inhabilidades por delitos sexuales del personal vinculado a la IE, presenta certificados emitidos el 18/07/2025, en los otros otros meses del año no realizó la vertificación</v>
          </cell>
          <cell r="S79" t="str">
            <v>La institución educativa se compromete a presentar la información sobre los proyectos sociales obligatorios (educación sexual).</v>
          </cell>
          <cell r="T79" t="str">
            <v>Si</v>
          </cell>
          <cell r="U79" t="str">
            <v>Visita de seguimiento en el primer trimestre de 2026</v>
          </cell>
        </row>
        <row r="80">
          <cell r="A80">
            <v>2726</v>
          </cell>
          <cell r="B80">
            <v>9</v>
          </cell>
          <cell r="C80" t="str">
            <v>USME</v>
          </cell>
          <cell r="D80" t="str">
            <v>PRIVADO</v>
          </cell>
          <cell r="E80" t="str">
            <v>EPBM</v>
          </cell>
          <cell r="F80" t="str">
            <v>COLEGIO_ARIEL_DAVID</v>
          </cell>
          <cell r="G80" t="str">
            <v>COLEGIO ARIEL DAVID</v>
          </cell>
          <cell r="H80" t="str">
            <v>Autoevaluación Institucional y Pruebas SABER 11</v>
          </cell>
          <cell r="I80" t="str">
            <v>SEGUIMIENTO_Y_SUPERVISIÓN.</v>
          </cell>
          <cell r="J8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0" t="str">
            <v>KATHERINE HERNÁNDEZ RUBIANO</v>
          </cell>
          <cell r="L80" t="str">
            <v>FRANCY LORENA RODRIGUEZ CASTRO</v>
          </cell>
          <cell r="M80">
            <v>45860</v>
          </cell>
          <cell r="N80">
            <v>45861</v>
          </cell>
          <cell r="O80">
            <v>45862</v>
          </cell>
          <cell r="P80" t="str">
            <v>Visitas de evaluación con fines de mejoramiento</v>
          </cell>
          <cell r="Q80" t="str">
            <v>ActaVisitaAdministrativaColegioArielDavid23072025.pdf</v>
          </cell>
          <cell r="R80" t="str">
            <v>Presenta como evidencia documentos PIAR 2024-2025, sin embargo , algunos no contienen la caracterización pedagógica, no estan actualizados o no estan firmados por los padres de familia.</v>
          </cell>
          <cell r="S80" t="str">
            <v>La institución educativa se compromete a hacer la caracterización pedagógica de los estudioantes con trastornos de aprendizaje y talentos excepcionales y actualizar el PIAR  para socializarlo con los padres de familia y/o acudientes.</v>
          </cell>
          <cell r="T80" t="str">
            <v>Si</v>
          </cell>
          <cell r="U80" t="str">
            <v>Visita de seguimiento en el primer trimestre de 2026</v>
          </cell>
        </row>
        <row r="81">
          <cell r="A81">
            <v>2727</v>
          </cell>
          <cell r="B81">
            <v>9</v>
          </cell>
          <cell r="C81" t="str">
            <v>USME</v>
          </cell>
          <cell r="D81" t="str">
            <v>PRIVADO</v>
          </cell>
          <cell r="E81" t="str">
            <v>EPBM</v>
          </cell>
          <cell r="F81" t="str">
            <v>COLEGIO_ARIEL_DAVID</v>
          </cell>
          <cell r="G81" t="str">
            <v>COLEGIO ARIEL DAVID</v>
          </cell>
          <cell r="H81" t="str">
            <v>Autoevaluación Institucional y Pruebas SABER 11</v>
          </cell>
          <cell r="I81" t="str">
            <v>EVALUACIÓN_CON_FINES_DE_MEJORAMIENTO.</v>
          </cell>
          <cell r="J8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1" t="str">
            <v>KATHERINE HERNÁNDEZ RUBIANO</v>
          </cell>
          <cell r="L81" t="str">
            <v>FRANCY LORENA RODRIGUEZ CASTRO</v>
          </cell>
          <cell r="M81">
            <v>45860</v>
          </cell>
          <cell r="N81">
            <v>45861</v>
          </cell>
          <cell r="O81">
            <v>45862</v>
          </cell>
          <cell r="P81" t="str">
            <v>Visitas de evaluación con fines de mejoramiento</v>
          </cell>
          <cell r="Q81" t="str">
            <v>ActaVisitaAdministrativaColegioArielDavid23072025.pdf</v>
          </cell>
          <cell r="R81" t="str">
            <v xml:space="preserve">No presenta evidencia de las acciones </v>
          </cell>
          <cell r="S81" t="str">
            <v>La institución se compromete a ajustar el manual de convivencia , de acuerdo con la normativa vigente y las observaciones formuladas en el registro de la visita</v>
          </cell>
          <cell r="T81" t="str">
            <v>Si</v>
          </cell>
          <cell r="U81" t="str">
            <v>Visita de seguimiento en el primer trimestre de 2026</v>
          </cell>
        </row>
        <row r="82">
          <cell r="A82">
            <v>2728</v>
          </cell>
          <cell r="B82">
            <v>9</v>
          </cell>
          <cell r="C82" t="str">
            <v>USME</v>
          </cell>
          <cell r="D82" t="str">
            <v>PRIVADO</v>
          </cell>
          <cell r="E82" t="str">
            <v>EPBM</v>
          </cell>
          <cell r="F82" t="str">
            <v>COLEGIO_ARIEL_DAVID</v>
          </cell>
          <cell r="G82" t="str">
            <v>COLEGIO ARIEL DAVID</v>
          </cell>
          <cell r="H82" t="str">
            <v>Autoevaluación Institucional y Pruebas SABER 11</v>
          </cell>
          <cell r="I82" t="str">
            <v>EVALUACIÓN_CON_FINES_DE_MEJORAMIENTO.</v>
          </cell>
          <cell r="J82" t="str">
            <v>Revisar la actualización, socialización e implementación del Sistema Institucional de Evaluación de Estudiantes - SIEE, en articulación con la actualización del PEI y la normatividad vigente.</v>
          </cell>
          <cell r="K82" t="str">
            <v>KATHERINE HERNÁNDEZ RUBIANO</v>
          </cell>
          <cell r="L82" t="str">
            <v>FRANCY LORENA RODRIGUEZ CASTRO</v>
          </cell>
          <cell r="M82">
            <v>45860</v>
          </cell>
          <cell r="N82">
            <v>45861</v>
          </cell>
          <cell r="O82">
            <v>45862</v>
          </cell>
          <cell r="P82" t="str">
            <v>Visitas de evaluación con fines de mejoramiento</v>
          </cell>
          <cell r="Q82" t="str">
            <v>ActaVisitaAdministrativaColegioArielDavid23072025.pdf</v>
          </cell>
          <cell r="R82" t="str">
            <v xml:space="preserve">No presenta evidencia de las acciones </v>
          </cell>
          <cell r="S82" t="str">
            <v>La institución educativa se compromete a documentar el proceso</v>
          </cell>
          <cell r="T82" t="str">
            <v>Si</v>
          </cell>
          <cell r="U82" t="str">
            <v>Visita de seguimiento en el primer trimestre de 2026</v>
          </cell>
        </row>
        <row r="83">
          <cell r="A83">
            <v>2729</v>
          </cell>
          <cell r="B83">
            <v>9</v>
          </cell>
          <cell r="C83" t="str">
            <v>USME</v>
          </cell>
          <cell r="D83" t="str">
            <v>PRIVADO</v>
          </cell>
          <cell r="E83" t="str">
            <v>EPBM</v>
          </cell>
          <cell r="F83" t="str">
            <v>COLEGIO_ARIEL_DAVID</v>
          </cell>
          <cell r="G83" t="str">
            <v>COLEGIO ARIEL DAVID</v>
          </cell>
          <cell r="H83" t="str">
            <v>Autoevaluación Institucional y Pruebas SABER 11</v>
          </cell>
          <cell r="I83" t="str">
            <v>EVALUACIÓN_CON_FINES_DE_MEJORAMIENTO.</v>
          </cell>
          <cell r="J83" t="str">
            <v>Revisar el calendario escolar, jornada escolar, la intensidad horaria mínima anual en cada nivel y las modificaciones que se realicen al mismo, de acuerdo con lo previsto en la normatividad vigente.</v>
          </cell>
          <cell r="K83" t="str">
            <v>KATHERINE HERNÁNDEZ RUBIANO</v>
          </cell>
          <cell r="L83" t="str">
            <v>FRANCY LORENA RODRIGUEZ CASTRO</v>
          </cell>
          <cell r="M83">
            <v>45860</v>
          </cell>
          <cell r="N83">
            <v>45861</v>
          </cell>
          <cell r="O83">
            <v>45862</v>
          </cell>
          <cell r="P83" t="str">
            <v>Visitas de evaluación con fines de mejoramiento</v>
          </cell>
          <cell r="Q83" t="str">
            <v>ActaVisitaAdministrativaColegioArielDavid23072025.pdf</v>
          </cell>
          <cell r="R83" t="str">
            <v>En la revisión del calendario escolar se encuentra que la distribución horaria en el nivel de media técnica no corresponde en lo establecido en la normatividad vigente.</v>
          </cell>
          <cell r="S83" t="str">
            <v>La institución educativa se compromete a ajustar la intensidad horaria a 1480 horas , asi como el plan de estudios</v>
          </cell>
          <cell r="T83" t="str">
            <v>Si</v>
          </cell>
          <cell r="U83" t="str">
            <v>Visita de seguimiento en el primer trimestre de 2026</v>
          </cell>
        </row>
        <row r="84">
          <cell r="A84">
            <v>2730</v>
          </cell>
          <cell r="B84">
            <v>9</v>
          </cell>
          <cell r="C84" t="str">
            <v>USME</v>
          </cell>
          <cell r="D84" t="str">
            <v>PRIVADO</v>
          </cell>
          <cell r="E84" t="str">
            <v>EPBM</v>
          </cell>
          <cell r="F84" t="str">
            <v>COLEGIO_ARIEL_DAVID</v>
          </cell>
          <cell r="G84" t="str">
            <v>COLEGIO ARIEL DAVID</v>
          </cell>
          <cell r="H84" t="str">
            <v>Autoevaluación Institucional y Pruebas SABER 11</v>
          </cell>
          <cell r="I84" t="str">
            <v>EVALUACIÓN_CON_FINES_DE_MEJORAMIENTO.</v>
          </cell>
          <cell r="J84" t="str">
            <v>Verificar el funcionamiento del Gobierno Escolar e instancias de participación con base en la información sobre conformación reportada por la institución educativa.</v>
          </cell>
          <cell r="K84" t="str">
            <v>KATHERINE HERNÁNDEZ RUBIANO</v>
          </cell>
          <cell r="L84" t="str">
            <v>FRANCY LORENA RODRIGUEZ CASTRO</v>
          </cell>
          <cell r="M84">
            <v>45860</v>
          </cell>
          <cell r="N84">
            <v>45861</v>
          </cell>
          <cell r="O84">
            <v>45862</v>
          </cell>
          <cell r="P84" t="str">
            <v>Visitas de evaluación con fines de mejoramiento</v>
          </cell>
          <cell r="Q84" t="str">
            <v>ActaVisitaAdministrativaColegioArielDavid23072025.pdf</v>
          </cell>
          <cell r="R84" t="str">
            <v>No se cuenta con evidencia que permita corroborar dicho aspecto, sin embargo la rectora menciona que en el equipo que reposan dichas actas se encuentra dañado y en proceso de recuperación de la información.</v>
          </cell>
          <cell r="S84" t="str">
            <v>La institución educativa se compromete a documentar el proceso</v>
          </cell>
          <cell r="T84" t="str">
            <v>Si</v>
          </cell>
          <cell r="U84" t="str">
            <v>Visita de seguimiento en el primer trimestre de 2026</v>
          </cell>
        </row>
        <row r="85">
          <cell r="A85">
            <v>2731</v>
          </cell>
          <cell r="B85">
            <v>9</v>
          </cell>
          <cell r="C85" t="str">
            <v>USME</v>
          </cell>
          <cell r="D85" t="str">
            <v>PRIVADO</v>
          </cell>
          <cell r="E85" t="str">
            <v>EPBM</v>
          </cell>
          <cell r="F85" t="str">
            <v>COLEGIO_ARIEL_DAVID</v>
          </cell>
          <cell r="G85" t="str">
            <v>COLEGIO ARIEL DAVID</v>
          </cell>
          <cell r="H85" t="str">
            <v>Autoevaluación Institucional y Pruebas SABER 11</v>
          </cell>
          <cell r="I85" t="str">
            <v>EVALUACIÓN_CON_FINES_DE_MEJORAMIENTO.</v>
          </cell>
          <cell r="J85" t="str">
            <v>Verificar las condiciones en cuanto a: la estructura administrativa, condiciones de la planta física y medios educativos adecuados.</v>
          </cell>
          <cell r="K85" t="str">
            <v>KATHERINE HERNÁNDEZ RUBIANO</v>
          </cell>
          <cell r="L85" t="str">
            <v>FRANCY LORENA RODRIGUEZ CASTRO</v>
          </cell>
          <cell r="M85">
            <v>45860</v>
          </cell>
          <cell r="N85">
            <v>45861</v>
          </cell>
          <cell r="O85">
            <v>45862</v>
          </cell>
          <cell r="P85" t="str">
            <v>Visitas de evaluación con fines de mejoramiento</v>
          </cell>
          <cell r="Q85" t="str">
            <v>ActaVisitaAdministrativaColegioArielDavid23072025.pdf</v>
          </cell>
          <cell r="R85" t="str">
            <v>La planta física no cuenta con adaptaciones para  personas en situación con discapacidad física.  El concepto de la Secretaria de Salud es Favorable con requerimientos.</v>
          </cell>
          <cell r="S85" t="str">
            <v>La institución educativa recibirá nuevamente visita por Secretaria de salud en febrero de 2026, se compromete a entregar el nuevo concepto a el ELIV.</v>
          </cell>
          <cell r="T85" t="str">
            <v>Si</v>
          </cell>
          <cell r="U85" t="str">
            <v>Visita de seguimiento en el primer trimestre de 2026</v>
          </cell>
        </row>
        <row r="86">
          <cell r="A86">
            <v>2732</v>
          </cell>
          <cell r="B86">
            <v>10</v>
          </cell>
          <cell r="C86" t="str">
            <v>USME</v>
          </cell>
          <cell r="D86" t="str">
            <v>PRIVADO</v>
          </cell>
          <cell r="E86" t="str">
            <v>EPBM</v>
          </cell>
          <cell r="F86" t="str">
            <v>LICEO_MARANATA</v>
          </cell>
          <cell r="G86" t="str">
            <v>LICEO MARANATA</v>
          </cell>
          <cell r="H86" t="str">
            <v>Autoevaluación Institucional y Pruebas SABER 11</v>
          </cell>
          <cell r="I86" t="str">
            <v>SEGUIMIENTO_Y_SUPERVISIÓN.</v>
          </cell>
          <cell r="J86" t="str">
            <v>Realizar visitas para verificar la información registrada sobre la autoevaluación institucional en el aplicativo EVI, a los establecimientos de educación formal no oficial.</v>
          </cell>
          <cell r="K86" t="str">
            <v>MIGUEL ANTONIO CARO CARO</v>
          </cell>
          <cell r="L86" t="str">
            <v>FRANCY LORENA RODRIGUEZ CASTRO</v>
          </cell>
          <cell r="M86">
            <v>45874</v>
          </cell>
          <cell r="N86">
            <v>45755</v>
          </cell>
          <cell r="O86">
            <v>45874</v>
          </cell>
          <cell r="P86" t="str">
            <v>Visitas de evaluación con fines de mejoramiento</v>
          </cell>
          <cell r="Q86" t="str">
            <v>ActaVisitaAdministrativaLiceoMarata05082025.pdf</v>
          </cell>
          <cell r="R86" t="str">
            <v>Se evidencia pago de seguiridad social a docentes y administrativos con contratos a termino fijo , no hay inconsistencia notoria entre SIMAT- EVI y Matricula en libros</v>
          </cell>
          <cell r="S86" t="str">
            <v>La Institución expresa que mantendrá  las condiciones laborales.</v>
          </cell>
          <cell r="T86" t="str">
            <v>Si</v>
          </cell>
          <cell r="U86" t="str">
            <v>Se verificará la autoevaluación 2025 en EVI, revisando la vinculación laboral de la orientadora.</v>
          </cell>
        </row>
        <row r="87">
          <cell r="A87">
            <v>2733</v>
          </cell>
          <cell r="B87">
            <v>10</v>
          </cell>
          <cell r="C87" t="str">
            <v>USME</v>
          </cell>
          <cell r="D87" t="str">
            <v>PRIVADO</v>
          </cell>
          <cell r="E87" t="str">
            <v>EPBM</v>
          </cell>
          <cell r="F87" t="str">
            <v>LICEO_MARANATA</v>
          </cell>
          <cell r="G87" t="str">
            <v>LICEO MARANATA</v>
          </cell>
          <cell r="H87" t="str">
            <v>Autoevaluación Institucional y Pruebas SABER 11</v>
          </cell>
          <cell r="I87" t="str">
            <v>SEGUIMIENTO_Y_SUPERVISIÓN.</v>
          </cell>
          <cell r="J87" t="str">
            <v>Proponer estrategias en la formulación, verificar su elaboración y realizar seguimiento semestral al desarrollo de  las acciones establecidas en los planes de mejoramiento por pruebas SABER 11 de los establecimientos de educación formal.</v>
          </cell>
          <cell r="K87" t="str">
            <v>MIGUEL ANTONIO CARO CARO</v>
          </cell>
          <cell r="L87" t="str">
            <v>FRANCY LORENA RODRIGUEZ CASTRO</v>
          </cell>
          <cell r="M87">
            <v>45874</v>
          </cell>
          <cell r="N87">
            <v>45755</v>
          </cell>
          <cell r="O87">
            <v>45874</v>
          </cell>
          <cell r="P87" t="str">
            <v>Visitas de evaluación con fines de mejoramiento</v>
          </cell>
          <cell r="Q87" t="str">
            <v>ActaVisitaAdministrativaLiceoMarata05082025.pdf</v>
          </cell>
          <cell r="R87" t="str">
            <v>La institución educativa, no cuenta con evidencia que permita verificar  estrategias de formulación de planes de mejoramiento respecto al resultado de las Pruebas Saber 11</v>
          </cell>
          <cell r="S87" t="str">
            <v>la institución se compromete a presentar un plan de mejoramiento para cada uno de los aspectos en que se realizó observaciones el 20 de agosto del 2025 lo cual ya radico y se le realizaron observacion en reunión directa.</v>
          </cell>
          <cell r="T87" t="str">
            <v>Si</v>
          </cell>
          <cell r="U87" t="str">
            <v>Se revisara el plan de mejoramiento y Verificara - vigencia 2026</v>
          </cell>
        </row>
        <row r="88">
          <cell r="A88">
            <v>2734</v>
          </cell>
          <cell r="B88">
            <v>10</v>
          </cell>
          <cell r="C88" t="str">
            <v>USME</v>
          </cell>
          <cell r="D88" t="str">
            <v>PRIVADO</v>
          </cell>
          <cell r="E88" t="str">
            <v>EPBM</v>
          </cell>
          <cell r="F88" t="str">
            <v>LICEO_MARANATA</v>
          </cell>
          <cell r="G88" t="str">
            <v>LICEO MARANATA</v>
          </cell>
          <cell r="H88" t="str">
            <v>Autoevaluación Institucional y Pruebas SABER 11</v>
          </cell>
          <cell r="I88" t="str">
            <v>SEGUIMIENTO_Y_SUPERVISIÓN.</v>
          </cell>
          <cell r="J88" t="str">
            <v xml:space="preserve">Verificar la implementación por parte de los colegios, de acciones realizadas para la prevención y atención de las situaciones de convivencia en el entorno escolar, según lo establecido en la Directiva 01 de 2022 del MEN. </v>
          </cell>
          <cell r="K88" t="str">
            <v>MIGUEL ANTONIO CARO CARO</v>
          </cell>
          <cell r="L88" t="str">
            <v>FRANCY LORENA RODRIGUEZ CASTRO</v>
          </cell>
          <cell r="M88">
            <v>45874</v>
          </cell>
          <cell r="N88">
            <v>45755</v>
          </cell>
          <cell r="O88">
            <v>45874</v>
          </cell>
          <cell r="P88" t="str">
            <v>Visitas de evaluación con fines de mejoramiento</v>
          </cell>
          <cell r="Q88" t="str">
            <v>ActaVisitaAdministrativaLiceoMarata05082025.pdf</v>
          </cell>
          <cell r="R88" t="str">
            <v>Se evidencia el cumplimiento de la Directiva 01, sobre la consulta de inhabilidades por delitos sexuales al inicio de año escolar y reciente. Se reportan las situaciones convivenciales tipo II y III en el sistema de alertas del distrito.</v>
          </cell>
          <cell r="S88" t="str">
            <v>Continuar la revisón periodica del cumplimiento de la Directiva 01 de 2022, y el reporte oportuno de las situaciones convivenciales en el sistema del distrito.</v>
          </cell>
          <cell r="T88" t="str">
            <v>No</v>
          </cell>
          <cell r="U88" t="str">
            <v>Se verificara nuevamente el cumplimiento la Directiva 01, en caso de presentarse novedad.</v>
          </cell>
        </row>
        <row r="89">
          <cell r="A89">
            <v>2735</v>
          </cell>
          <cell r="B89">
            <v>10</v>
          </cell>
          <cell r="C89" t="str">
            <v>USME</v>
          </cell>
          <cell r="D89" t="str">
            <v>PRIVADO</v>
          </cell>
          <cell r="E89" t="str">
            <v>EPBM</v>
          </cell>
          <cell r="F89" t="str">
            <v>LICEO_MARANATA</v>
          </cell>
          <cell r="G89" t="str">
            <v>LICEO MARANATA</v>
          </cell>
          <cell r="H89" t="str">
            <v>Autoevaluación Institucional y Pruebas SABER 11</v>
          </cell>
          <cell r="I89" t="str">
            <v>SEGUIMIENTO_Y_SUPERVISIÓN.</v>
          </cell>
          <cell r="J8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9" t="str">
            <v>MIGUEL ANTONIO CARO CARO</v>
          </cell>
          <cell r="L89" t="str">
            <v>FRANCY LORENA RODRIGUEZ CASTRO</v>
          </cell>
          <cell r="M89">
            <v>45874</v>
          </cell>
          <cell r="N89">
            <v>45755</v>
          </cell>
          <cell r="O89">
            <v>45874</v>
          </cell>
          <cell r="P89" t="str">
            <v>Visitas de evaluación con fines de mejoramiento</v>
          </cell>
          <cell r="Q89" t="str">
            <v>ActaVisitaAdministrativaLiceoMarata05082025.pdf</v>
          </cell>
          <cell r="R89" t="str">
            <v>Se encuentra evidencia de elaboración de PIAR para el estudiante con discapacidad, en carpeta de orientación con anexos y compromisos.</v>
          </cell>
          <cell r="S89" t="str">
            <v>La institución mantendrá la revisón periodica del PIAR</v>
          </cell>
          <cell r="T89" t="str">
            <v>No</v>
          </cell>
          <cell r="U89" t="str">
            <v>En la revision de la autoevaluación 2025 en el EVI, se verificará este tema.</v>
          </cell>
        </row>
        <row r="90">
          <cell r="A90">
            <v>2736</v>
          </cell>
          <cell r="B90">
            <v>10</v>
          </cell>
          <cell r="C90" t="str">
            <v>USME</v>
          </cell>
          <cell r="D90" t="str">
            <v>PRIVADO</v>
          </cell>
          <cell r="E90" t="str">
            <v>EPBM</v>
          </cell>
          <cell r="F90" t="str">
            <v>LICEO_MARANATA</v>
          </cell>
          <cell r="G90" t="str">
            <v>LICEO MARANATA</v>
          </cell>
          <cell r="H90" t="str">
            <v>Autoevaluación Institucional y Pruebas SABER 11</v>
          </cell>
          <cell r="I90" t="str">
            <v>EVALUACIÓN_CON_FINES_DE_MEJORAMIENTO.</v>
          </cell>
          <cell r="J9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0" t="str">
            <v>MIGUEL ANTONIO CARO CARO</v>
          </cell>
          <cell r="L90" t="str">
            <v>FRANCY LORENA RODRIGUEZ CASTRO</v>
          </cell>
          <cell r="M90">
            <v>45874</v>
          </cell>
          <cell r="N90">
            <v>45755</v>
          </cell>
          <cell r="O90">
            <v>45874</v>
          </cell>
          <cell r="P90" t="str">
            <v>Visitas de evaluación con fines de mejoramiento</v>
          </cell>
          <cell r="Q90" t="str">
            <v>ActaVisitaAdministrativaLiceoMarata05082025.pdf</v>
          </cell>
          <cell r="R90" t="str">
            <v>No se aporta evidencia de su actualización y proceso participativo, pero si contitene enfoque restaurativo</v>
          </cell>
          <cell r="S90" t="str">
            <v>la institución se compromete a presentar un plan de mejoramiento para cada uno de los aspectos en que se realizó observaciones el 20 de agosto del 2025 lo cual ya radico y se le realizaron observacion en reunión directa.</v>
          </cell>
          <cell r="T90" t="str">
            <v>Si</v>
          </cell>
          <cell r="U90" t="str">
            <v>Se revisara el plan de mejoramiento y Verificara - vigencia 2026</v>
          </cell>
        </row>
        <row r="91">
          <cell r="A91">
            <v>2737</v>
          </cell>
          <cell r="B91">
            <v>10</v>
          </cell>
          <cell r="C91" t="str">
            <v>USME</v>
          </cell>
          <cell r="D91" t="str">
            <v>PRIVADO</v>
          </cell>
          <cell r="E91" t="str">
            <v>EPBM</v>
          </cell>
          <cell r="F91" t="str">
            <v>LICEO_MARANATA</v>
          </cell>
          <cell r="G91" t="str">
            <v>LICEO MARANATA</v>
          </cell>
          <cell r="H91" t="str">
            <v>Autoevaluación Institucional y Pruebas SABER 11</v>
          </cell>
          <cell r="I91" t="str">
            <v>EVALUACIÓN_CON_FINES_DE_MEJORAMIENTO.</v>
          </cell>
          <cell r="J91" t="str">
            <v>Revisar la actualización, socialización e implementación del Sistema Institucional de Evaluación de Estudiantes - SIEE, en articulación con la actualización del PEI y la normatividad vigente.</v>
          </cell>
          <cell r="K91" t="str">
            <v>MIGUEL ANTONIO CARO CARO</v>
          </cell>
          <cell r="L91" t="str">
            <v>FRANCY LORENA RODRIGUEZ CASTRO</v>
          </cell>
          <cell r="M91">
            <v>45874</v>
          </cell>
          <cell r="N91">
            <v>45755</v>
          </cell>
          <cell r="O91">
            <v>45874</v>
          </cell>
          <cell r="P91" t="str">
            <v>Visitas de evaluación con fines de mejoramiento</v>
          </cell>
          <cell r="Q91" t="str">
            <v>ActaVisitaAdministrativaLiceoMarata05082025.pdf</v>
          </cell>
          <cell r="R91" t="str">
            <v>existe la resolución 001 de octubre 2024, pero no se aporta evidencia de actualización ni de la socialización.</v>
          </cell>
          <cell r="S91" t="str">
            <v>la institución se compromete a presentar un plan de mejoramiento para cada uno de los aspectos en que se realizó observaciones el 20 de agosto del 2025 lo cual ya radico y se le realizaron observacion en reunión directa.</v>
          </cell>
          <cell r="T91" t="str">
            <v>Si</v>
          </cell>
          <cell r="U91" t="str">
            <v>Se revisara el plan de mejoramiento y Verificara - vigencia 2026</v>
          </cell>
        </row>
        <row r="92">
          <cell r="A92">
            <v>2738</v>
          </cell>
          <cell r="B92">
            <v>10</v>
          </cell>
          <cell r="C92" t="str">
            <v>USME</v>
          </cell>
          <cell r="D92" t="str">
            <v>PRIVADO</v>
          </cell>
          <cell r="E92" t="str">
            <v>EPBM</v>
          </cell>
          <cell r="F92" t="str">
            <v>LICEO_MARANATA</v>
          </cell>
          <cell r="G92" t="str">
            <v>LICEO MARANATA</v>
          </cell>
          <cell r="H92" t="str">
            <v>Autoevaluación Institucional y Pruebas SABER 11</v>
          </cell>
          <cell r="I92" t="str">
            <v>EVALUACIÓN_CON_FINES_DE_MEJORAMIENTO.</v>
          </cell>
          <cell r="J92" t="str">
            <v>Revisar el calendario escolar, jornada escolar, la intensidad horaria mínima anual en cada nivel y las modificaciones que se realicen al mismo, de acuerdo con lo previsto en la normatividad vigente.</v>
          </cell>
          <cell r="K92" t="str">
            <v>MIGUEL ANTONIO CARO CARO</v>
          </cell>
          <cell r="L92" t="str">
            <v>FRANCY LORENA RODRIGUEZ CASTRO</v>
          </cell>
          <cell r="M92">
            <v>45874</v>
          </cell>
          <cell r="N92">
            <v>45755</v>
          </cell>
          <cell r="O92">
            <v>45874</v>
          </cell>
          <cell r="P92" t="str">
            <v>Visitas de evaluación con fines de mejoramiento</v>
          </cell>
          <cell r="Q92" t="str">
            <v>ActaVisitaAdministrativaLiceoMarata05082025.pdf</v>
          </cell>
          <cell r="R92" t="str">
            <v>se encyuentra evidencia de calendario escolar adoptado, pero la intensidad horario no esta conforme a lo previsto en la normatividad en algunos niveles</v>
          </cell>
          <cell r="S92" t="str">
            <v>la institución se compromete a presentar un plan de mejoramiento para cada uno de los aspectos en que se realizó observaciones el 20 de agosto del 2025 lo cual ya radico y se le realizaron observacion en reunión directa.</v>
          </cell>
          <cell r="T92" t="str">
            <v>Si</v>
          </cell>
          <cell r="U92" t="str">
            <v>Se revisara el plan de mejoramiento y Verificara - vigencia 2026</v>
          </cell>
        </row>
        <row r="93">
          <cell r="A93">
            <v>2739</v>
          </cell>
          <cell r="B93">
            <v>10</v>
          </cell>
          <cell r="C93" t="str">
            <v>USME</v>
          </cell>
          <cell r="D93" t="str">
            <v>PRIVADO</v>
          </cell>
          <cell r="E93" t="str">
            <v>EPBM</v>
          </cell>
          <cell r="F93" t="str">
            <v>LICEO_MARANATA</v>
          </cell>
          <cell r="G93" t="str">
            <v>LICEO MARANATA</v>
          </cell>
          <cell r="H93" t="str">
            <v>Autoevaluación Institucional y Pruebas SABER 11</v>
          </cell>
          <cell r="I93" t="str">
            <v>EVALUACIÓN_CON_FINES_DE_MEJORAMIENTO.</v>
          </cell>
          <cell r="J93" t="str">
            <v>Verificar el funcionamiento del Gobierno Escolar e instancias de participación con base en la información sobre conformación reportada por la institución educativa.</v>
          </cell>
          <cell r="K93" t="str">
            <v>MIGUEL ANTONIO CARO CARO</v>
          </cell>
          <cell r="L93" t="str">
            <v>FRANCY LORENA RODRIGUEZ CASTRO</v>
          </cell>
          <cell r="M93">
            <v>45874</v>
          </cell>
          <cell r="N93">
            <v>45755</v>
          </cell>
          <cell r="O93">
            <v>45874</v>
          </cell>
          <cell r="P93" t="str">
            <v>Visitas de evaluación con fines de mejoramiento</v>
          </cell>
          <cell r="Q93" t="str">
            <v>ActaVisitaAdministrativaLiceoMarata05082025.pdf</v>
          </cell>
          <cell r="R93" t="str">
            <v>Existe el acta de instalación -conformación del gobierno escolar, pero no se registra en actas las reuniones de las diferentes instancias de gobierno escolar .</v>
          </cell>
          <cell r="S93" t="str">
            <v>la institución se compromete a presentar un plan de mejoramiento para cada uno de los aspectos en que se realizó observaciones el 20 de agosto del 2025 lo cual ya radico y se le realizaron observacion en reunión directa.</v>
          </cell>
          <cell r="T93" t="str">
            <v>Si</v>
          </cell>
          <cell r="U93" t="str">
            <v>Se verificara el cumplimiento del Plan de mejoramiento vigencia 2025.</v>
          </cell>
        </row>
        <row r="94">
          <cell r="A94">
            <v>2740</v>
          </cell>
          <cell r="B94">
            <v>10</v>
          </cell>
          <cell r="C94" t="str">
            <v>USME</v>
          </cell>
          <cell r="D94" t="str">
            <v>PRIVADO</v>
          </cell>
          <cell r="E94" t="str">
            <v>EPBM</v>
          </cell>
          <cell r="F94" t="str">
            <v>LICEO_MARANATA</v>
          </cell>
          <cell r="G94" t="str">
            <v>LICEO MARANATA</v>
          </cell>
          <cell r="H94" t="str">
            <v>Autoevaluación Institucional y Pruebas SABER 11</v>
          </cell>
          <cell r="I94" t="str">
            <v>EVALUACIÓN_CON_FINES_DE_MEJORAMIENTO.</v>
          </cell>
          <cell r="J94" t="str">
            <v>Verificar las condiciones en cuanto a: la estructura administrativa, condiciones de la planta física y medios educativos adecuados.</v>
          </cell>
          <cell r="K94" t="str">
            <v>MIGUEL ANTONIO CARO CARO</v>
          </cell>
          <cell r="L94" t="str">
            <v>FRANCY LORENA RODRIGUEZ CASTRO</v>
          </cell>
          <cell r="M94">
            <v>45874</v>
          </cell>
          <cell r="N94">
            <v>45755</v>
          </cell>
          <cell r="O94">
            <v>45874</v>
          </cell>
          <cell r="P94" t="str">
            <v>Visitas de evaluación con fines de mejoramiento</v>
          </cell>
          <cell r="Q94" t="str">
            <v>ActaVisitaAdministrativaLiceoMarata05082025.pdf</v>
          </cell>
          <cell r="R94" t="str">
            <v>la institución cuenta con aulas amplias , con iluminacion natural y ventilacion espacios abiertos y suficientes .</v>
          </cell>
          <cell r="S94" t="str">
            <v>mejorar la accesibilidad para personas con dificultad en su movilidad.</v>
          </cell>
          <cell r="T94" t="str">
            <v>Si</v>
          </cell>
          <cell r="U94" t="str">
            <v>Se revisara el plan de mejoramiento y Verificara - vigencia 2026</v>
          </cell>
        </row>
        <row r="95">
          <cell r="A95">
            <v>2741</v>
          </cell>
          <cell r="B95">
            <v>11</v>
          </cell>
          <cell r="C95" t="str">
            <v>USME</v>
          </cell>
          <cell r="D95" t="str">
            <v>PRIVADO</v>
          </cell>
          <cell r="E95" t="str">
            <v>EPBM</v>
          </cell>
          <cell r="F95" t="str">
            <v>LICEO_COMERCIAL_NUEVO_ALEJANDRINO</v>
          </cell>
          <cell r="G95" t="str">
            <v>LICEO COMERCIAL NUEVO ALEJANDRINO</v>
          </cell>
          <cell r="H95" t="str">
            <v>Autoevaluación Institucional y Pruebas SABER 11</v>
          </cell>
          <cell r="I95" t="str">
            <v>SEGUIMIENTO_Y_SUPERVISIÓN.</v>
          </cell>
          <cell r="J95" t="str">
            <v>Realizar visitas para verificar la información registrada sobre la autoevaluación institucional en el aplicativo EVI, a los establecimientos de educación formal no oficial.</v>
          </cell>
          <cell r="K95" t="str">
            <v>MIGUEL ANTONIO CARO CARO</v>
          </cell>
          <cell r="L95" t="str">
            <v>FRANCY LORENA RODRIGUEZ CASTRO</v>
          </cell>
          <cell r="M95">
            <v>45890</v>
          </cell>
          <cell r="N95">
            <v>45888</v>
          </cell>
          <cell r="O95">
            <v>45888</v>
          </cell>
          <cell r="P95" t="str">
            <v>Visitas de evaluación con fines de mejoramiento</v>
          </cell>
          <cell r="Q95" t="str">
            <v>ActaVisitaAdministrativaLiceoComercialNuevoAlejandrino19082025</v>
          </cell>
          <cell r="R95" t="str">
            <v>Se encontró que no existe correspondencia entre el número de estudiantes registrados en el EVI - SIMAT y la realidad institucional en el momento de la visita, se encontro que la aseveración del pago de parafiscales registrada en el EVI para tarifas 2025 no es concordante con lo observado.</v>
          </cell>
          <cell r="S95" t="str">
            <v xml:space="preserve">la institución se compromete a presentar un plan de mejoramiento para cada uno de los aspectos en que se realizó observaciones, el 04 de septiembre del 2025, ya radico y  se le realizaron observaciones al mismo en reunión directa </v>
          </cell>
          <cell r="T95" t="str">
            <v>Si</v>
          </cell>
          <cell r="U95" t="str">
            <v>Se revisara el plan de mejoramiento y Verificara en el SIMAT -   vigencia 2026</v>
          </cell>
        </row>
        <row r="96">
          <cell r="A96">
            <v>2742</v>
          </cell>
          <cell r="B96">
            <v>11</v>
          </cell>
          <cell r="C96" t="str">
            <v>USME</v>
          </cell>
          <cell r="D96" t="str">
            <v>PRIVADO</v>
          </cell>
          <cell r="E96" t="str">
            <v>EPBM</v>
          </cell>
          <cell r="F96" t="str">
            <v>LICEO_COMERCIAL_NUEVO_ALEJANDRINO</v>
          </cell>
          <cell r="G96" t="str">
            <v>LICEO COMERCIAL NUEVO ALEJANDRINO</v>
          </cell>
          <cell r="H96" t="str">
            <v>Autoevaluación Institucional y Pruebas SABER 11</v>
          </cell>
          <cell r="I96" t="str">
            <v>SEGUIMIENTO_Y_SUPERVISIÓN.</v>
          </cell>
          <cell r="J96" t="str">
            <v>Proponer estrategias en la formulación, verificar su elaboración y realizar seguimiento semestral al desarrollo de  las acciones establecidas en los planes de mejoramiento por pruebas SABER 11 de los establecimientos de educación formal.</v>
          </cell>
          <cell r="K96" t="str">
            <v>MIGUEL ANTONIO CARO CARO</v>
          </cell>
          <cell r="L96" t="str">
            <v>FRANCY LORENA RODRIGUEZ CASTRO</v>
          </cell>
          <cell r="M96">
            <v>45890</v>
          </cell>
          <cell r="N96">
            <v>45888</v>
          </cell>
          <cell r="O96">
            <v>45888</v>
          </cell>
          <cell r="P96" t="str">
            <v>Visitas de evaluación con fines de mejoramiento</v>
          </cell>
          <cell r="Q96" t="str">
            <v>ActaVisitaAdministrativaLiceoComercialNuevoAlejandrino19082025</v>
          </cell>
          <cell r="R96" t="str">
            <v>No se encontró evidencia de la revisión y análisis de resultados de pruebas Saber 11, ni de la formulación de planes de mejoramiento.</v>
          </cell>
          <cell r="S96" t="str">
            <v xml:space="preserve">la institución se compromete a presentar un plan de mejoramiento para cada uno de los aspectos en que se realizó observaciones, el 04 de septiembre del 2025, ya radico y  se le realizaron observaciones al mismo en reunión directa </v>
          </cell>
          <cell r="T96" t="str">
            <v>Si</v>
          </cell>
          <cell r="U96" t="str">
            <v>Se revisara el plan de mejoramiento y Verificara en la vigencia 2026</v>
          </cell>
        </row>
        <row r="97">
          <cell r="A97">
            <v>2743</v>
          </cell>
          <cell r="B97">
            <v>11</v>
          </cell>
          <cell r="C97" t="str">
            <v>USME</v>
          </cell>
          <cell r="D97" t="str">
            <v>PRIVADO</v>
          </cell>
          <cell r="E97" t="str">
            <v>EPBM</v>
          </cell>
          <cell r="F97" t="str">
            <v>LICEO_COMERCIAL_NUEVO_ALEJANDRINO</v>
          </cell>
          <cell r="G97" t="str">
            <v>LICEO COMERCIAL NUEVO ALEJANDRINO</v>
          </cell>
          <cell r="H97" t="str">
            <v>Autoevaluación Institucional y Pruebas SABER 11</v>
          </cell>
          <cell r="I97" t="str">
            <v>SEGUIMIENTO_Y_SUPERVISIÓN.</v>
          </cell>
          <cell r="J97" t="str">
            <v xml:space="preserve">Verificar la implementación por parte de los colegios, de acciones realizadas para la prevención y atención de las situaciones de convivencia en el entorno escolar, según lo establecido en la Directiva 01 de 2022 del MEN. </v>
          </cell>
          <cell r="K97" t="str">
            <v>MIGUEL ANTONIO CARO CARO</v>
          </cell>
          <cell r="L97" t="str">
            <v>FRANCY LORENA RODRIGUEZ CASTRO</v>
          </cell>
          <cell r="M97">
            <v>45890</v>
          </cell>
          <cell r="N97">
            <v>45888</v>
          </cell>
          <cell r="O97">
            <v>45888</v>
          </cell>
          <cell r="P97" t="str">
            <v>Visitas de evaluación con fines de mejoramiento</v>
          </cell>
          <cell r="Q97" t="str">
            <v>ActaVisitaAdministrativaLiceoComercialNuevoAlejandrino19082025</v>
          </cell>
          <cell r="R97" t="str">
            <v>Se evidencia el cumplimiento de la Directiva 01, sobre la consulta de inhabilidades por delitos sexuales al inicio de año escolar y reciente.  no se aportan evidencias  de reportar las situaciones convivenciales tipo II y III en el sistema de alertas del distrito.</v>
          </cell>
          <cell r="S97" t="str">
            <v xml:space="preserve">Continuar la revisón periodica del cumplimiento de la Directiva 01 de 2022, ypresentar un plan de mejoramiento para cada uno de los aspectos en que se realizó observaciones, el 04 de septiembre del 2025, ya radico   se le realizaron observaciones al mismo en reunión directa </v>
          </cell>
          <cell r="T97" t="str">
            <v>Si</v>
          </cell>
          <cell r="U97" t="str">
            <v>Se verificara nuevamente el cumplimiento la Directiva 01, se revisara plan de mejoramiento y se verificara en la vigencia 2026.</v>
          </cell>
        </row>
        <row r="98">
          <cell r="A98">
            <v>2744</v>
          </cell>
          <cell r="B98">
            <v>11</v>
          </cell>
          <cell r="C98" t="str">
            <v>USME</v>
          </cell>
          <cell r="D98" t="str">
            <v>PRIVADO</v>
          </cell>
          <cell r="E98" t="str">
            <v>EPBM</v>
          </cell>
          <cell r="F98" t="str">
            <v>LICEO_COMERCIAL_NUEVO_ALEJANDRINO</v>
          </cell>
          <cell r="G98" t="str">
            <v>LICEO COMERCIAL NUEVO ALEJANDRINO</v>
          </cell>
          <cell r="H98" t="str">
            <v>Autoevaluación Institucional y Pruebas SABER 11</v>
          </cell>
          <cell r="I98" t="str">
            <v>SEGUIMIENTO_Y_SUPERVISIÓN.</v>
          </cell>
          <cell r="J9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8" t="str">
            <v>MIGUEL ANTONIO CARO CARO</v>
          </cell>
          <cell r="L98" t="str">
            <v>FRANCY LORENA RODRIGUEZ CASTRO</v>
          </cell>
          <cell r="M98">
            <v>45890</v>
          </cell>
          <cell r="N98">
            <v>45888</v>
          </cell>
          <cell r="O98">
            <v>45888</v>
          </cell>
          <cell r="P98" t="str">
            <v>Visitas de evaluación con fines de mejoramiento</v>
          </cell>
          <cell r="Q98" t="str">
            <v>ActaVisitaAdministrativaLiceoComercialNuevoAlejandrino19082025</v>
          </cell>
          <cell r="R98" t="str">
            <v>No se evidencia que se registren  casos, no hay registro en el SIMAT y no se tiene soportes para registro, acompañamiento y seguimiento.</v>
          </cell>
          <cell r="S98" t="str">
            <v xml:space="preserve">la institución se compromete a presentar un plan de mejoramiento para cada uno de los aspectos en que se realizó observaciones, el 04 de septiembre del 2025, ya radico y  se le realizaron observaciones al mismo en reunión directa </v>
          </cell>
          <cell r="T98" t="str">
            <v>Si</v>
          </cell>
          <cell r="U98" t="str">
            <v>Se revisara el plan de mejoramiento y Verificara en la vigencia 2026</v>
          </cell>
        </row>
        <row r="99">
          <cell r="A99">
            <v>2745</v>
          </cell>
          <cell r="B99">
            <v>11</v>
          </cell>
          <cell r="C99" t="str">
            <v>USME</v>
          </cell>
          <cell r="D99" t="str">
            <v>PRIVADO</v>
          </cell>
          <cell r="E99" t="str">
            <v>EPBM</v>
          </cell>
          <cell r="F99" t="str">
            <v>LICEO_COMERCIAL_NUEVO_ALEJANDRINO</v>
          </cell>
          <cell r="G99" t="str">
            <v>LICEO COMERCIAL NUEVO ALEJANDRINO</v>
          </cell>
          <cell r="H99" t="str">
            <v>Autoevaluación Institucional y Pruebas SABER 11</v>
          </cell>
          <cell r="I99" t="str">
            <v>EVALUACIÓN_CON_FINES_DE_MEJORAMIENTO.</v>
          </cell>
          <cell r="J9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9" t="str">
            <v>MIGUEL ANTONIO CARO CARO</v>
          </cell>
          <cell r="L99" t="str">
            <v>FRANCY LORENA RODRIGUEZ CASTRO</v>
          </cell>
          <cell r="M99">
            <v>45890</v>
          </cell>
          <cell r="N99">
            <v>45888</v>
          </cell>
          <cell r="O99">
            <v>45888</v>
          </cell>
          <cell r="P99" t="str">
            <v>Visitas de evaluación con fines de mejoramiento</v>
          </cell>
          <cell r="Q99" t="str">
            <v>ActaVisitaAdministrativaLiceoComercialNuevoAlejandrino19082025</v>
          </cell>
          <cell r="R99" t="str">
            <v xml:space="preserve">No se registra  evidencia de actualizacion ni socialización </v>
          </cell>
          <cell r="S99" t="str">
            <v xml:space="preserve">la institución se compromete a presentar un plan de mejoramiento para cada uno de los aspectos en que se realizó observaciones, el 04 de septiembre del 2025, ya radico  y se le realizaron observaciones al mismo en reunión directa </v>
          </cell>
          <cell r="T99" t="str">
            <v>Si</v>
          </cell>
          <cell r="U99" t="str">
            <v>Se revisara el plan de mejoramiento y Verificara en la vigencia 2026</v>
          </cell>
        </row>
        <row r="100">
          <cell r="A100">
            <v>2746</v>
          </cell>
          <cell r="B100">
            <v>11</v>
          </cell>
          <cell r="C100" t="str">
            <v>USME</v>
          </cell>
          <cell r="D100" t="str">
            <v>PRIVADO</v>
          </cell>
          <cell r="E100" t="str">
            <v>EPBM</v>
          </cell>
          <cell r="F100" t="str">
            <v>LICEO_COMERCIAL_NUEVO_ALEJANDRINO</v>
          </cell>
          <cell r="G100" t="str">
            <v>LICEO COMERCIAL NUEVO ALEJANDRINO</v>
          </cell>
          <cell r="H100" t="str">
            <v>Autoevaluación Institucional y Pruebas SABER 11</v>
          </cell>
          <cell r="I100" t="str">
            <v>EVALUACIÓN_CON_FINES_DE_MEJORAMIENTO.</v>
          </cell>
          <cell r="J100" t="str">
            <v>Revisar la actualización, socialización e implementación del Sistema Institucional de Evaluación de Estudiantes - SIEE, en articulación con la actualización del PEI y la normatividad vigente.</v>
          </cell>
          <cell r="K100" t="str">
            <v>MIGUEL ANTONIO CARO CARO</v>
          </cell>
          <cell r="L100" t="str">
            <v>FRANCY LORENA RODRIGUEZ CASTRO</v>
          </cell>
          <cell r="M100">
            <v>45890</v>
          </cell>
          <cell r="N100">
            <v>45888</v>
          </cell>
          <cell r="O100">
            <v>45888</v>
          </cell>
          <cell r="P100" t="str">
            <v>Visitas de evaluación con fines de mejoramiento</v>
          </cell>
          <cell r="Q100" t="str">
            <v>ActaVisitaAdministrativaLiceoComercialNuevoAlejandrino19082025</v>
          </cell>
          <cell r="R100" t="str">
            <v>No se registra evidencia de la actualización, cuenta con un  SIEE en que registran procesos de nivelación .</v>
          </cell>
          <cell r="S100" t="str">
            <v xml:space="preserve">la institución se compromete a presentar un plan de mejoramiento para cada uno de los aspectos en que se realizó observaciones, el 04 de septiembre del 2025, ya radico  y se le realizaron observaciones al mismo en reunión directa </v>
          </cell>
          <cell r="T100" t="str">
            <v>Si</v>
          </cell>
          <cell r="U100" t="str">
            <v>Se revisara el plan de mejoramiento y Verificara en la vigencia 2026</v>
          </cell>
        </row>
        <row r="101">
          <cell r="A101">
            <v>2747</v>
          </cell>
          <cell r="B101">
            <v>11</v>
          </cell>
          <cell r="C101" t="str">
            <v>USME</v>
          </cell>
          <cell r="D101" t="str">
            <v>PRIVADO</v>
          </cell>
          <cell r="E101" t="str">
            <v>EPBM</v>
          </cell>
          <cell r="F101" t="str">
            <v>LICEO_COMERCIAL_NUEVO_ALEJANDRINO</v>
          </cell>
          <cell r="G101" t="str">
            <v>LICEO COMERCIAL NUEVO ALEJANDRINO</v>
          </cell>
          <cell r="H101" t="str">
            <v>Autoevaluación Institucional y Pruebas SABER 11</v>
          </cell>
          <cell r="I101" t="str">
            <v>EVALUACIÓN_CON_FINES_DE_MEJORAMIENTO.</v>
          </cell>
          <cell r="J101" t="str">
            <v>Revisar el calendario escolar, jornada escolar, la intensidad horaria mínima anual en cada nivel y las modificaciones que se realicen al mismo, de acuerdo con lo previsto en la normatividad vigente.</v>
          </cell>
          <cell r="K101" t="str">
            <v>MIGUEL ANTONIO CARO CARO</v>
          </cell>
          <cell r="L101" t="str">
            <v>FRANCY LORENA RODRIGUEZ CASTRO</v>
          </cell>
          <cell r="M101">
            <v>45890</v>
          </cell>
          <cell r="N101">
            <v>45888</v>
          </cell>
          <cell r="O101">
            <v>45888</v>
          </cell>
          <cell r="P101" t="str">
            <v>Visitas de evaluación con fines de mejoramiento</v>
          </cell>
          <cell r="Q101" t="str">
            <v>ActaVisitaAdministrativaLiceoComercialNuevoAlejandrino19082025</v>
          </cell>
          <cell r="R101" t="str">
            <v>No se registra evidencia que permita verificar el cumplimiento de intensidades minimas de comformidad con la norma y su PEI .</v>
          </cell>
          <cell r="S101" t="str">
            <v xml:space="preserve">la institución se compromete a presentar un plan de mejoramiento para cada uno de los aspectos en que se realizó observaciones, el 04 de septiembre del 2025, ya radico  y se le realizaron observaciones al mismo en reunión directa </v>
          </cell>
          <cell r="T101" t="str">
            <v>Si</v>
          </cell>
          <cell r="U101" t="str">
            <v>Se revisara el plan de mejoramiento y Verificara en la vigencia 2026</v>
          </cell>
        </row>
        <row r="102">
          <cell r="A102">
            <v>2748</v>
          </cell>
          <cell r="B102">
            <v>11</v>
          </cell>
          <cell r="C102" t="str">
            <v>USME</v>
          </cell>
          <cell r="D102" t="str">
            <v>PRIVADO</v>
          </cell>
          <cell r="E102" t="str">
            <v>EPBM</v>
          </cell>
          <cell r="F102" t="str">
            <v>LICEO_COMERCIAL_NUEVO_ALEJANDRINO</v>
          </cell>
          <cell r="G102" t="str">
            <v>LICEO COMERCIAL NUEVO ALEJANDRINO</v>
          </cell>
          <cell r="H102" t="str">
            <v>Autoevaluación Institucional y Pruebas SABER 11</v>
          </cell>
          <cell r="I102" t="str">
            <v>EVALUACIÓN_CON_FINES_DE_MEJORAMIENTO.</v>
          </cell>
          <cell r="J102" t="str">
            <v>Verificar el funcionamiento del Gobierno Escolar e instancias de participación con base en la información sobre conformación reportada por la institución educativa.</v>
          </cell>
          <cell r="K102" t="str">
            <v>MIGUEL ANTONIO CARO CARO</v>
          </cell>
          <cell r="L102" t="str">
            <v>FRANCY LORENA RODRIGUEZ CASTRO</v>
          </cell>
          <cell r="M102">
            <v>45890</v>
          </cell>
          <cell r="N102">
            <v>45888</v>
          </cell>
          <cell r="O102">
            <v>45888</v>
          </cell>
          <cell r="P102" t="str">
            <v>Visitas de evaluación con fines de mejoramiento</v>
          </cell>
          <cell r="Q102" t="str">
            <v>ActaVisitaAdministrativaLiceoComercialNuevoAlejandrino19082025</v>
          </cell>
          <cell r="R102" t="str">
            <v xml:space="preserve">la institución no cuenta con actas de conformacion y funcionamiento de gobierno escolar e instancias de participación </v>
          </cell>
          <cell r="S102" t="str">
            <v>la institución se compromete a presentar un plan de mejoramiento para cada uno de los aspectos en que se realizó observaciones, el 04 de septiembre del 2025, ya radico  y se le realizaron observaciones al mismo en reunión directa, en este aspecto se le recomendó subsanar en muy corto plazo lo correspondiente.</v>
          </cell>
          <cell r="T102" t="str">
            <v>Si</v>
          </cell>
          <cell r="U102" t="str">
            <v>Se revisara el plan de mejoramiento y Verificara en la vigencia 2026</v>
          </cell>
        </row>
        <row r="103">
          <cell r="A103">
            <v>2749</v>
          </cell>
          <cell r="B103">
            <v>11</v>
          </cell>
          <cell r="C103" t="str">
            <v>USME</v>
          </cell>
          <cell r="D103" t="str">
            <v>PRIVADO</v>
          </cell>
          <cell r="E103" t="str">
            <v>EPBM</v>
          </cell>
          <cell r="F103" t="str">
            <v>LICEO_COMERCIAL_NUEVO_ALEJANDRINO</v>
          </cell>
          <cell r="G103" t="str">
            <v>LICEO COMERCIAL NUEVO ALEJANDRINO</v>
          </cell>
          <cell r="H103" t="str">
            <v>Autoevaluación Institucional y Pruebas SABER 11</v>
          </cell>
          <cell r="I103" t="str">
            <v>EVALUACIÓN_CON_FINES_DE_MEJORAMIENTO.</v>
          </cell>
          <cell r="J103" t="str">
            <v>Verificar las condiciones en cuanto a: la estructura administrativa, condiciones de la planta física y medios educativos adecuados.</v>
          </cell>
          <cell r="K103" t="str">
            <v>MIGUEL ANTONIO CARO CARO</v>
          </cell>
          <cell r="L103" t="str">
            <v>FRANCY LORENA RODRIGUEZ CASTRO</v>
          </cell>
          <cell r="M103">
            <v>45890</v>
          </cell>
          <cell r="N103">
            <v>45888</v>
          </cell>
          <cell r="O103">
            <v>45888</v>
          </cell>
          <cell r="P103" t="str">
            <v>Visitas de evaluación con fines de mejoramiento</v>
          </cell>
          <cell r="Q103" t="str">
            <v>ActaVisitaAdministrativaLiceoComercialNuevoAlejandrino19082025</v>
          </cell>
          <cell r="R103" t="str">
            <v>se verifica que cuenta con salones suficientes, los espacios administrativos son reducidos, las personas con limitación fisica no tienen accesibilidad adecuada.</v>
          </cell>
          <cell r="S103" t="str">
            <v xml:space="preserve">la institución se compromete a presentar un plan de mejoramiento para cada uno de los aspectos en que se realizó observaciones, el 04 de septiembre del 2025, ya radico  y se le realizaron observaciones al mismo en reunión directa </v>
          </cell>
          <cell r="T103" t="str">
            <v>Si</v>
          </cell>
          <cell r="U103" t="str">
            <v>Se revisara el plan de mejoramiento y Verificara en la vigencia 2026</v>
          </cell>
        </row>
        <row r="104">
          <cell r="A104">
            <v>2750</v>
          </cell>
          <cell r="B104">
            <v>12</v>
          </cell>
          <cell r="C104" t="str">
            <v>USME</v>
          </cell>
          <cell r="D104" t="str">
            <v>PRIVADO</v>
          </cell>
          <cell r="E104" t="str">
            <v>EPBM</v>
          </cell>
          <cell r="F104" t="str">
            <v>COLEGIO_SANTA_LIBRADA</v>
          </cell>
          <cell r="G104" t="str">
            <v>COLEGIO SANTA LIBRADA</v>
          </cell>
          <cell r="H104" t="str">
            <v>Autoevaluación Institucional y Pruebas SABER 11</v>
          </cell>
          <cell r="I104" t="str">
            <v>SEGUIMIENTO_Y_SUPERVISIÓN.</v>
          </cell>
          <cell r="J104" t="str">
            <v>Realizar visitas para verificar la información registrada sobre la autoevaluación institucional en el aplicativo EVI, a los establecimientos de educación formal no oficial.</v>
          </cell>
          <cell r="K104" t="str">
            <v>KATHERINE HERNÁNDEZ RUBIANO</v>
          </cell>
          <cell r="L104" t="str">
            <v>FRANCY LORENA RODRIGUEZ CASTRO</v>
          </cell>
          <cell r="M104">
            <v>45902</v>
          </cell>
          <cell r="N104">
            <v>45894</v>
          </cell>
          <cell r="O104">
            <v>45894</v>
          </cell>
          <cell r="P104" t="str">
            <v>Visitas de evaluación con fines de mejoramiento</v>
          </cell>
          <cell r="Q104" t="str">
            <v>ActaVisitaAdministrativa ColegioSantaLibrada25082025.pdf</v>
          </cell>
          <cell r="R104" t="str">
            <v>No hay correspondencia entre el número de estudiantes registrados en el EVI - SIMAT y la matricula registrada en el momento de la visita, ni tampoco la relación de de los estudiantes de los estudiantes con discapacidad. El propietario del establecimiento falleció y la propiedad del colegio se definirá en un juicio de sucesión</v>
          </cell>
          <cell r="S104" t="str">
            <v>La institución educativa se compromete a actualizar la información en el SIMAT. El representante legal de la institución educativa, se compromete a gestionar el cambio de la licencia de funcionamiento, una vez se resuelva  la propiedad de la institución educativa.</v>
          </cell>
          <cell r="T104" t="str">
            <v>Si</v>
          </cell>
          <cell r="U104" t="str">
            <v>Verificación en el EVI 2025.</v>
          </cell>
        </row>
        <row r="105">
          <cell r="A105">
            <v>2751</v>
          </cell>
          <cell r="B105">
            <v>12</v>
          </cell>
          <cell r="C105" t="str">
            <v>USME</v>
          </cell>
          <cell r="D105" t="str">
            <v>PRIVADO</v>
          </cell>
          <cell r="E105" t="str">
            <v>EPBM</v>
          </cell>
          <cell r="F105" t="str">
            <v>COLEGIO_SANTA_LIBRADA</v>
          </cell>
          <cell r="G105" t="str">
            <v>COLEGIO SANTA LIBRADA</v>
          </cell>
          <cell r="H105" t="str">
            <v>Autoevaluación Institucional y Pruebas SABER 11</v>
          </cell>
          <cell r="I105" t="str">
            <v>SEGUIMIENTO_Y_SUPERVISIÓN.</v>
          </cell>
          <cell r="J105" t="str">
            <v>Proponer estrategias en la formulación, verificar su elaboración y realizar seguimiento semestral al desarrollo de  las acciones establecidas en los planes de mejoramiento por pruebas SABER 11 de los establecimientos de educación formal.</v>
          </cell>
          <cell r="K105" t="str">
            <v>KATHERINE HERNÁNDEZ RUBIANO</v>
          </cell>
          <cell r="L105" t="str">
            <v>FRANCY LORENA RODRIGUEZ CASTRO</v>
          </cell>
          <cell r="M105">
            <v>45902</v>
          </cell>
          <cell r="N105">
            <v>45894</v>
          </cell>
          <cell r="O105">
            <v>45898</v>
          </cell>
          <cell r="P105" t="str">
            <v>Visitas de evaluación con fines de mejoramiento</v>
          </cell>
          <cell r="Q105" t="str">
            <v>ActaVisitaAdministrativa ColegioSantaLibrada25082025.pdf</v>
          </cell>
          <cell r="R105"/>
          <cell r="S105" t="str">
            <v>La institución educativa se compromete a incorporar en el Plan de mejoramiento Institucional las acciones puntuales , relacionadas con el abordaje del resultado de la prueba Saber 11.</v>
          </cell>
          <cell r="T105" t="str">
            <v>Si</v>
          </cell>
          <cell r="U105" t="str">
            <v>Verificación en el Plan de Mejoramiento Institucional radicado por la institución educativa en septiembre de 2025 y posterior visita de seguimiento en 2026</v>
          </cell>
        </row>
        <row r="106">
          <cell r="A106">
            <v>2752</v>
          </cell>
          <cell r="B106">
            <v>12</v>
          </cell>
          <cell r="C106" t="str">
            <v>USME</v>
          </cell>
          <cell r="D106" t="str">
            <v>PRIVADO</v>
          </cell>
          <cell r="E106" t="str">
            <v>EPBM</v>
          </cell>
          <cell r="F106" t="str">
            <v>COLEGIO_SANTA_LIBRADA</v>
          </cell>
          <cell r="G106" t="str">
            <v>COLEGIO SANTA LIBRADA</v>
          </cell>
          <cell r="H106" t="str">
            <v>Autoevaluación Institucional y Pruebas SABER 11</v>
          </cell>
          <cell r="I106" t="str">
            <v>SEGUIMIENTO_Y_SUPERVISIÓN.</v>
          </cell>
          <cell r="J106" t="str">
            <v xml:space="preserve">Verificar la implementación por parte de los colegios, de acciones realizadas para la prevención y atención de las situaciones de convivencia en el entorno escolar, según lo establecido en la Directiva 01 de 2022 del MEN. </v>
          </cell>
          <cell r="K106" t="str">
            <v>KATHERINE HERNÁNDEZ RUBIANO</v>
          </cell>
          <cell r="L106" t="str">
            <v>FRANCY LORENA RODRIGUEZ CASTRO</v>
          </cell>
          <cell r="M106">
            <v>45902</v>
          </cell>
          <cell r="N106">
            <v>45894</v>
          </cell>
          <cell r="O106">
            <v>45898</v>
          </cell>
          <cell r="P106" t="str">
            <v>Visitas de evaluación con fines de mejoramiento</v>
          </cell>
          <cell r="Q106" t="str">
            <v>ActaVisitaAdministrativa ColegioSantaLibrada25082025.pdf</v>
          </cell>
          <cell r="R106" t="str">
            <v>En la revisión documental no  hay evidencias que permitan determinar el desarrollo  acciones pedagógicas para la prevención de violencia sexual en las jornadas pedagógicas de formación a docentes, escuelas de padres , proyectos transversales o en el proyecto de convivencia escolar. Frente a la revisión cada 4 meses de las inhabilidades por delitos sexuales del personal vinculado a la IE, presenta certificados emitidos el 18/07/2025, en los otros otros meses del año no realizó la vertificación.</v>
          </cell>
          <cell r="S106" t="str">
            <v>La Institución Educativa se compromete a verificar cada 4 meses los antecedentes por delitos sexuales del personal vinculado, a desarrollar los proyectos obligatorios (Educación Sexual).</v>
          </cell>
          <cell r="T106" t="str">
            <v>Si</v>
          </cell>
          <cell r="U106" t="str">
            <v>Verificación mediantes visita de seguimiento en el primer trimestre de 2026</v>
          </cell>
        </row>
        <row r="107">
          <cell r="A107">
            <v>2753</v>
          </cell>
          <cell r="B107">
            <v>12</v>
          </cell>
          <cell r="C107" t="str">
            <v>USME</v>
          </cell>
          <cell r="D107" t="str">
            <v>PRIVADO</v>
          </cell>
          <cell r="E107" t="str">
            <v>EPBM</v>
          </cell>
          <cell r="F107" t="str">
            <v>COLEGIO_SANTA_LIBRADA</v>
          </cell>
          <cell r="G107" t="str">
            <v>COLEGIO SANTA LIBRADA</v>
          </cell>
          <cell r="H107" t="str">
            <v>Autoevaluación Institucional y Pruebas SABER 11</v>
          </cell>
          <cell r="I107" t="str">
            <v>SEGUIMIENTO_Y_SUPERVISIÓN.</v>
          </cell>
          <cell r="J10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7" t="str">
            <v>KATHERINE HERNÁNDEZ RUBIANO</v>
          </cell>
          <cell r="L107" t="str">
            <v>FRANCY LORENA RODRIGUEZ CASTRO</v>
          </cell>
          <cell r="M107">
            <v>45902</v>
          </cell>
          <cell r="N107">
            <v>45894</v>
          </cell>
          <cell r="O107">
            <v>45898</v>
          </cell>
          <cell r="P107" t="str">
            <v>Visitas de evaluación con fines de mejoramiento</v>
          </cell>
          <cell r="Q107" t="str">
            <v>ActaVisitaAdministrativa ColegioSantaLibrada25082025.pdf</v>
          </cell>
          <cell r="R107" t="str">
            <v>Revisión del EVI 2024</v>
          </cell>
          <cell r="S107" t="str">
            <v>La institución educativa indica que no tiene matricula de inclusión y que no tiene estudiantes en la presente vigencia que requieran PIAR</v>
          </cell>
          <cell r="T107" t="str">
            <v>No</v>
          </cell>
          <cell r="U107" t="str">
            <v>Valirdar en el EVI 2025 el registro de matricula de inclusión, para hacer seguimiento a la formulación del PIAR.</v>
          </cell>
        </row>
        <row r="108">
          <cell r="A108">
            <v>2754</v>
          </cell>
          <cell r="B108">
            <v>12</v>
          </cell>
          <cell r="C108" t="str">
            <v>USME</v>
          </cell>
          <cell r="D108" t="str">
            <v>PRIVADO</v>
          </cell>
          <cell r="E108" t="str">
            <v>EPBM</v>
          </cell>
          <cell r="F108" t="str">
            <v>COLEGIO_SANTA_LIBRADA</v>
          </cell>
          <cell r="G108" t="str">
            <v>COLEGIO SANTA LIBRADA</v>
          </cell>
          <cell r="H108" t="str">
            <v>Autoevaluación Institucional y Pruebas SABER 11</v>
          </cell>
          <cell r="I108" t="str">
            <v>EVALUACIÓN_CON_FINES_DE_MEJORAMIENTO.</v>
          </cell>
          <cell r="J10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8" t="str">
            <v>KATHERINE HERNÁNDEZ RUBIANO</v>
          </cell>
          <cell r="L108" t="str">
            <v>FRANCY LORENA RODRIGUEZ CASTRO</v>
          </cell>
          <cell r="M108">
            <v>45902</v>
          </cell>
          <cell r="N108">
            <v>45894</v>
          </cell>
          <cell r="O108">
            <v>45898</v>
          </cell>
          <cell r="P108" t="str">
            <v>Visitas de evaluación con fines de mejoramiento</v>
          </cell>
          <cell r="Q108" t="str">
            <v>ActaVisitaAdministrativa ColegioSantaLibrada25082025.pdf</v>
          </cell>
          <cell r="R108" t="str">
            <v>Revisión del Manual de Convivencia, donde se envidencian los enfoques que fomentan el respeto, la valoración de la diversidad y el enfoque restaurativo, ademas la Ruta de Atención Integral para la Convivencia escolar, no se menciona. Se identifica la necesidad de hacer la actualización normativa.</v>
          </cell>
          <cell r="S108" t="str">
            <v>La institución educativa se compromete a verificar la legislación que soporta la construcción del Manual de Convivencia, incorporar en el Manual de convivencia los enfoques restaurativos y de dirversidad  y determinar el debido proceso para el tratamiento de faltas y sutauciones de convivencia escolar.</v>
          </cell>
          <cell r="T108" t="str">
            <v>Si</v>
          </cell>
          <cell r="U108" t="str">
            <v>Verificación documental en noviembre de 2025.</v>
          </cell>
        </row>
        <row r="109">
          <cell r="A109">
            <v>2755</v>
          </cell>
          <cell r="B109">
            <v>12</v>
          </cell>
          <cell r="C109" t="str">
            <v>USME</v>
          </cell>
          <cell r="D109" t="str">
            <v>PRIVADO</v>
          </cell>
          <cell r="E109" t="str">
            <v>EPBM</v>
          </cell>
          <cell r="F109" t="str">
            <v>COLEGIO_SANTA_LIBRADA</v>
          </cell>
          <cell r="G109" t="str">
            <v>COLEGIO SANTA LIBRADA</v>
          </cell>
          <cell r="H109" t="str">
            <v>Autoevaluación Institucional y Pruebas SABER 11</v>
          </cell>
          <cell r="I109" t="str">
            <v>EVALUACIÓN_CON_FINES_DE_MEJORAMIENTO.</v>
          </cell>
          <cell r="J109" t="str">
            <v>Revisar la actualización, socialización e implementación del Sistema Institucional de Evaluación de Estudiantes - SIEE, en articulación con la actualización del PEI y la normatividad vigente.</v>
          </cell>
          <cell r="K109" t="str">
            <v>KATHERINE HERNÁNDEZ RUBIANO</v>
          </cell>
          <cell r="L109" t="str">
            <v>FRANCY LORENA RODRIGUEZ CASTRO</v>
          </cell>
          <cell r="M109">
            <v>45902</v>
          </cell>
          <cell r="N109">
            <v>45894</v>
          </cell>
          <cell r="O109">
            <v>45898</v>
          </cell>
          <cell r="P109" t="str">
            <v>Visitas de evaluación con fines de mejoramiento</v>
          </cell>
          <cell r="Q109" t="str">
            <v>ActaVisitaAdministrativa ColegioSantaLibrada25082025.pdf</v>
          </cell>
          <cell r="R109" t="str">
            <v>En la Revisión del SIEE se identifica que no cuenta con estrategias de apoyo para resolver situaciones pedagógicas</v>
          </cell>
          <cell r="S109" t="str">
            <v>La Institución educativa se compromete a hacer la actualización normativa del SIEE</v>
          </cell>
          <cell r="T109" t="str">
            <v>Si</v>
          </cell>
          <cell r="U109" t="str">
            <v>Verificación documental noviembre de 2025</v>
          </cell>
        </row>
        <row r="110">
          <cell r="A110">
            <v>2756</v>
          </cell>
          <cell r="B110">
            <v>12</v>
          </cell>
          <cell r="C110" t="str">
            <v>USME</v>
          </cell>
          <cell r="D110" t="str">
            <v>PRIVADO</v>
          </cell>
          <cell r="E110" t="str">
            <v>EPBM</v>
          </cell>
          <cell r="F110" t="str">
            <v>COLEGIO_SANTA_LIBRADA</v>
          </cell>
          <cell r="G110" t="str">
            <v>COLEGIO SANTA LIBRADA</v>
          </cell>
          <cell r="H110" t="str">
            <v>Autoevaluación Institucional y Pruebas SABER 11</v>
          </cell>
          <cell r="I110" t="str">
            <v>EVALUACIÓN_CON_FINES_DE_MEJORAMIENTO.</v>
          </cell>
          <cell r="J110" t="str">
            <v>Revisar el calendario escolar, jornada escolar, la intensidad horaria mínima anual en cada nivel y las modificaciones que se realicen al mismo, de acuerdo con lo previsto en la normatividad vigente.</v>
          </cell>
          <cell r="K110" t="str">
            <v>KATHERINE HERNÁNDEZ RUBIANO</v>
          </cell>
          <cell r="L110" t="str">
            <v>FRANCY LORENA RODRIGUEZ CASTRO</v>
          </cell>
          <cell r="M110">
            <v>45902</v>
          </cell>
          <cell r="N110">
            <v>45894</v>
          </cell>
          <cell r="O110">
            <v>45898</v>
          </cell>
          <cell r="P110" t="str">
            <v>Visitas de evaluación con fines de mejoramiento</v>
          </cell>
          <cell r="Q110" t="str">
            <v>ActaVisitaAdministrativa ColegioSantaLibrada25082025.pdf</v>
          </cell>
          <cell r="R110" t="str">
            <v>El calendario escolar se encuentra ajustado e implementado de acuerdo con la normatividad.</v>
          </cell>
          <cell r="S110" t="str">
            <v xml:space="preserve">Continuar con la implementación del calendario escolar </v>
          </cell>
          <cell r="T110" t="str">
            <v>No</v>
          </cell>
          <cell r="U110" t="str">
            <v>Verificación en la vigencia 2026</v>
          </cell>
        </row>
        <row r="111">
          <cell r="A111">
            <v>2757</v>
          </cell>
          <cell r="B111">
            <v>12</v>
          </cell>
          <cell r="C111" t="str">
            <v>USME</v>
          </cell>
          <cell r="D111" t="str">
            <v>PRIVADO</v>
          </cell>
          <cell r="E111" t="str">
            <v>EPBM</v>
          </cell>
          <cell r="F111" t="str">
            <v>COLEGIO_SANTA_LIBRADA</v>
          </cell>
          <cell r="G111" t="str">
            <v>COLEGIO SANTA LIBRADA</v>
          </cell>
          <cell r="H111" t="str">
            <v>Autoevaluación Institucional y Pruebas SABER 11</v>
          </cell>
          <cell r="I111" t="str">
            <v>EVALUACIÓN_CON_FINES_DE_MEJORAMIENTO.</v>
          </cell>
          <cell r="J111" t="str">
            <v>Verificar el funcionamiento del Gobierno Escolar e instancias de participación con base en la información sobre conformación reportada por la institución educativa.</v>
          </cell>
          <cell r="K111" t="str">
            <v>KATHERINE HERNÁNDEZ RUBIANO</v>
          </cell>
          <cell r="L111" t="str">
            <v>FRANCY LORENA RODRIGUEZ CASTRO</v>
          </cell>
          <cell r="M111">
            <v>45902</v>
          </cell>
          <cell r="N111">
            <v>45894</v>
          </cell>
          <cell r="O111">
            <v>45898</v>
          </cell>
          <cell r="P111" t="str">
            <v>Visitas de evaluación con fines de mejoramiento</v>
          </cell>
          <cell r="Q111" t="str">
            <v>ActaVisitaAdministrativa ColegioSantaLibrada25082025.pdf</v>
          </cell>
          <cell r="R111" t="str">
            <v xml:space="preserve">No presentan evidencia sobre la operatividad </v>
          </cell>
          <cell r="S111" t="str">
            <v>La Institución Educativa, se compromete a ajustar las actas del gobierno escolar en el SAEy formalizar las actas de operatividad del gobierno escolar</v>
          </cell>
          <cell r="T111" t="str">
            <v>Si</v>
          </cell>
          <cell r="U111" t="str">
            <v>Una vez entregado el PMI por la institución educativa, se valorará este aspecto en el SAE.</v>
          </cell>
        </row>
        <row r="112">
          <cell r="A112">
            <v>2758</v>
          </cell>
          <cell r="B112">
            <v>12</v>
          </cell>
          <cell r="C112" t="str">
            <v>USME</v>
          </cell>
          <cell r="D112" t="str">
            <v>PRIVADO</v>
          </cell>
          <cell r="E112" t="str">
            <v>EPBM</v>
          </cell>
          <cell r="F112" t="str">
            <v>COLEGIO_SANTA_LIBRADA</v>
          </cell>
          <cell r="G112" t="str">
            <v>COLEGIO SANTA LIBRADA</v>
          </cell>
          <cell r="H112" t="str">
            <v>Autoevaluación Institucional y Pruebas SABER 11</v>
          </cell>
          <cell r="I112" t="str">
            <v>EVALUACIÓN_CON_FINES_DE_MEJORAMIENTO.</v>
          </cell>
          <cell r="J112" t="str">
            <v>Verificar las condiciones en cuanto a: la estructura administrativa, condiciones de la planta física y medios educativos adecuados.</v>
          </cell>
          <cell r="K112" t="str">
            <v>KATHERINE HERNÁNDEZ RUBIANO</v>
          </cell>
          <cell r="L112" t="str">
            <v>FRANCY LORENA RODRIGUEZ CASTRO</v>
          </cell>
          <cell r="M112">
            <v>45902</v>
          </cell>
          <cell r="N112">
            <v>45894</v>
          </cell>
          <cell r="O112">
            <v>45898</v>
          </cell>
          <cell r="P112" t="str">
            <v>Visitas de evaluación con fines de mejoramiento</v>
          </cell>
          <cell r="Q112" t="str">
            <v>ActaVisitaAdministrativa ColegioSantaLibrada25082025.pdf</v>
          </cell>
          <cell r="R112" t="str">
            <v>En recorrido por la planta física se identiicca que el establecimiento no cuenta con aaccesos adecuados para personas con discapacidad, o cuenta con señalización de las rutas de evacuación y el concepto emitido por Secretaria de Salud es favorable con requerimientos para 2025</v>
          </cell>
          <cell r="S112" t="str">
            <v>La institución Educativa, tendrá en cuenta las observaciones al respecto para incorporarlas en su PMI</v>
          </cell>
          <cell r="T112" t="str">
            <v>Si</v>
          </cell>
          <cell r="U112" t="str">
            <v>Validar el abordaje de estos temas en el PMI y luego se hará visita de seguimiento en el primer trimestre de 2026.</v>
          </cell>
        </row>
        <row r="113">
          <cell r="A113">
            <v>2759</v>
          </cell>
          <cell r="B113">
            <v>13</v>
          </cell>
          <cell r="C113" t="str">
            <v>USME</v>
          </cell>
          <cell r="D113" t="str">
            <v>PRIVADO</v>
          </cell>
          <cell r="E113" t="str">
            <v>EPBM</v>
          </cell>
          <cell r="F113" t="str">
            <v>LICEO_LATINOAMERICANO_DEL_SUR</v>
          </cell>
          <cell r="G113" t="str">
            <v>LICEO LATINOAMERICANO DEL SUR</v>
          </cell>
          <cell r="H113" t="str">
            <v>Autoevaluación Institucional y Pruebas SABER 11</v>
          </cell>
          <cell r="I113" t="str">
            <v>SEGUIMIENTO_Y_SUPERVISIÓN.</v>
          </cell>
          <cell r="J113" t="str">
            <v>Realizar visitas para verificar la información registrada sobre la autoevaluación institucional en el aplicativo EVI, a los establecimientos de educación formal no oficial.</v>
          </cell>
          <cell r="K113" t="str">
            <v>KATHERINE HERNÁNDEZ RUBIANO</v>
          </cell>
          <cell r="L113" t="str">
            <v>FRANCY LORENA RODRIGUEZ CASTRO</v>
          </cell>
          <cell r="M113">
            <v>45916</v>
          </cell>
          <cell r="N113">
            <v>45901</v>
          </cell>
          <cell r="O113">
            <v>45902</v>
          </cell>
          <cell r="P113" t="str">
            <v>Visitas de evaluación con fines de mejoramiento</v>
          </cell>
          <cell r="Q113" t="str">
            <v>ActaVisitaAdministrativaColegioLatinoamericanoDelSur01092025.pdf</v>
          </cell>
          <cell r="R113" t="str">
            <v>No hay correspondencia entre la información registrada en el SIMAT y el EVI</v>
          </cell>
          <cell r="S113" t="str">
            <v>La institución educativa, se compromete a hacer la actualización en el SIMAT</v>
          </cell>
          <cell r="T113" t="str">
            <v>Si</v>
          </cell>
          <cell r="U113" t="str">
            <v>Revisar el EVI para verificar el ajuste. Octubre de 2025</v>
          </cell>
        </row>
        <row r="114">
          <cell r="A114">
            <v>2760</v>
          </cell>
          <cell r="B114">
            <v>13</v>
          </cell>
          <cell r="C114" t="str">
            <v>USME</v>
          </cell>
          <cell r="D114" t="str">
            <v>PRIVADO</v>
          </cell>
          <cell r="E114" t="str">
            <v>EPBM</v>
          </cell>
          <cell r="F114" t="str">
            <v>LICEO_LATINOAMERICANO_DEL_SUR</v>
          </cell>
          <cell r="G114" t="str">
            <v>LICEO LATINOAMERICANO DEL SUR</v>
          </cell>
          <cell r="H114" t="str">
            <v>Autoevaluación Institucional y Pruebas SABER 11</v>
          </cell>
          <cell r="I114" t="str">
            <v>SEGUIMIENTO_Y_SUPERVISIÓN.</v>
          </cell>
          <cell r="J114" t="str">
            <v>Proponer estrategias en la formulación, verificar su elaboración y realizar seguimiento semestral al desarrollo de  las acciones establecidas en los planes de mejoramiento por pruebas SABER 11 de los establecimientos de educación formal.</v>
          </cell>
          <cell r="K114" t="str">
            <v>KATHERINE HERNÁNDEZ RUBIANO</v>
          </cell>
          <cell r="L114" t="str">
            <v>FRANCY LORENA RODRIGUEZ CASTRO</v>
          </cell>
          <cell r="M114">
            <v>45916</v>
          </cell>
          <cell r="N114">
            <v>45901</v>
          </cell>
          <cell r="O114">
            <v>45902</v>
          </cell>
          <cell r="P114" t="str">
            <v>Visitas de evaluación con fines de mejoramiento</v>
          </cell>
          <cell r="Q114" t="str">
            <v>ActaVisitaAdministrativaColegioLatinoamericanoDelSur01092025.pdf</v>
          </cell>
          <cell r="R114" t="str">
            <v>No cuenta con evidencia que permita validar este aspecto.</v>
          </cell>
          <cell r="S114" t="str">
            <v>La institución Educativa, se compromete a formalizar las actas de operatividad del gobierno escolar, entre ellas el consejo académico para que aborde el análisis de la prueba saber.</v>
          </cell>
          <cell r="T114" t="str">
            <v>Si</v>
          </cell>
          <cell r="U114" t="str">
            <v>Visita de seguimiento primer trismestre de 2026</v>
          </cell>
        </row>
        <row r="115">
          <cell r="A115">
            <v>2761</v>
          </cell>
          <cell r="B115">
            <v>13</v>
          </cell>
          <cell r="C115" t="str">
            <v>USME</v>
          </cell>
          <cell r="D115" t="str">
            <v>PRIVADO</v>
          </cell>
          <cell r="E115" t="str">
            <v>EPBM</v>
          </cell>
          <cell r="F115" t="str">
            <v>LICEO_LATINOAMERICANO_DEL_SUR</v>
          </cell>
          <cell r="G115" t="str">
            <v>LICEO LATINOAMERICANO DEL SUR</v>
          </cell>
          <cell r="H115" t="str">
            <v>Autoevaluación Institucional y Pruebas SABER 11</v>
          </cell>
          <cell r="I115" t="str">
            <v>SEGUIMIENTO_Y_SUPERVISIÓN.</v>
          </cell>
          <cell r="J115" t="str">
            <v xml:space="preserve">Verificar la implementación por parte de los colegios, de acciones realizadas para la prevención y atención de las situaciones de convivencia en el entorno escolar, según lo establecido en la Directiva 01 de 2022 del MEN. </v>
          </cell>
          <cell r="K115" t="str">
            <v>KATHERINE HERNÁNDEZ RUBIANO</v>
          </cell>
          <cell r="L115" t="str">
            <v>FRANCY LORENA RODRIGUEZ CASTRO</v>
          </cell>
          <cell r="M115">
            <v>45916</v>
          </cell>
          <cell r="N115">
            <v>45901</v>
          </cell>
          <cell r="O115">
            <v>45902</v>
          </cell>
          <cell r="P115" t="str">
            <v>Visitas de evaluación con fines de mejoramiento</v>
          </cell>
          <cell r="Q115" t="str">
            <v>ActaVisitaAdministrativaColegioLatinoamericanoDelSur01092025.pdf</v>
          </cell>
          <cell r="R115" t="str">
            <v xml:space="preserve">La institución Educativa no cuenta con el proyecto transversal de educación sexual ni actas que evidencien la operatividad del Comité de Convivencia Escolar </v>
          </cell>
          <cell r="S115" t="str">
            <v>La institución educativa se compromete a actualizar los proyectos transversales y  formalizar el comité de convivencia escolar, formular el proyecto de orientación escolar.</v>
          </cell>
          <cell r="T115" t="str">
            <v>Si</v>
          </cell>
          <cell r="U115" t="str">
            <v>Visita de segumiento primer trimestre de 2026</v>
          </cell>
        </row>
        <row r="116">
          <cell r="A116">
            <v>2762</v>
          </cell>
          <cell r="B116">
            <v>13</v>
          </cell>
          <cell r="C116" t="str">
            <v>USME</v>
          </cell>
          <cell r="D116" t="str">
            <v>PRIVADO</v>
          </cell>
          <cell r="E116" t="str">
            <v>EPBM</v>
          </cell>
          <cell r="F116" t="str">
            <v>LICEO_LATINOAMERICANO_DEL_SUR</v>
          </cell>
          <cell r="G116" t="str">
            <v>LICEO LATINOAMERICANO DEL SUR</v>
          </cell>
          <cell r="H116" t="str">
            <v>Autoevaluación Institucional y Pruebas SABER 11</v>
          </cell>
          <cell r="I116" t="str">
            <v>SEGUIMIENTO_Y_SUPERVISIÓN.</v>
          </cell>
          <cell r="J11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6" t="str">
            <v>KATHERINE HERNÁNDEZ RUBIANO</v>
          </cell>
          <cell r="L116" t="str">
            <v>FRANCY LORENA RODRIGUEZ CASTRO</v>
          </cell>
          <cell r="M116">
            <v>45916</v>
          </cell>
          <cell r="N116">
            <v>45901</v>
          </cell>
          <cell r="O116">
            <v>45902</v>
          </cell>
          <cell r="P116" t="str">
            <v>Visitas de evaluación con fines de mejoramiento</v>
          </cell>
          <cell r="Q116" t="str">
            <v>ActaVisitaAdministrativaColegioLatinoamericanoDelSur01092025.pdf</v>
          </cell>
          <cell r="R116" t="str">
            <v xml:space="preserve">En la revisión documental indica que tiene  7 estudiantes como matricula de inclusión para la presente vigencia, sin embargo </v>
          </cell>
          <cell r="S116" t="str">
            <v>La institución educativa, incluirá en su plan de Mejoramiento Institucional, el abordaje de esta situación</v>
          </cell>
          <cell r="T116" t="str">
            <v>Si</v>
          </cell>
          <cell r="U116" t="str">
            <v>Visita de seguimiento primer trismestre de 2026</v>
          </cell>
        </row>
        <row r="117">
          <cell r="A117">
            <v>2763</v>
          </cell>
          <cell r="B117">
            <v>13</v>
          </cell>
          <cell r="C117" t="str">
            <v>USME</v>
          </cell>
          <cell r="D117" t="str">
            <v>PRIVADO</v>
          </cell>
          <cell r="E117" t="str">
            <v>EPBM</v>
          </cell>
          <cell r="F117" t="str">
            <v>LICEO_LATINOAMERICANO_DEL_SUR</v>
          </cell>
          <cell r="G117" t="str">
            <v>LICEO LATINOAMERICANO DEL SUR</v>
          </cell>
          <cell r="H117" t="str">
            <v>Autoevaluación Institucional y Pruebas SABER 11</v>
          </cell>
          <cell r="I117" t="str">
            <v>EVALUACIÓN_CON_FINES_DE_MEJORAMIENTO.</v>
          </cell>
          <cell r="J11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7" t="str">
            <v>KATHERINE HERNÁNDEZ RUBIANO</v>
          </cell>
          <cell r="L117" t="str">
            <v>FRANCY LORENA RODRIGUEZ CASTRO</v>
          </cell>
          <cell r="M117">
            <v>45916</v>
          </cell>
          <cell r="N117">
            <v>45901</v>
          </cell>
          <cell r="O117">
            <v>45902</v>
          </cell>
          <cell r="P117" t="str">
            <v>Visitas de evaluación con fines de mejoramiento</v>
          </cell>
          <cell r="Q117" t="str">
            <v>ActaVisitaAdministrativaColegioLatinoamericanoDelSur01092025.pdf</v>
          </cell>
          <cell r="R117" t="str">
            <v>Revisión del Manual de convivencia escolar, el cual requiere ajustes en cuanto a los términos empleados , la inclusión del debido proceso y el ajuste normativo general.</v>
          </cell>
          <cell r="S117" t="str">
            <v>La institución educativa se compromete a hacer la revisión y actualización del Manual de Convivencia</v>
          </cell>
          <cell r="T117" t="str">
            <v>Si</v>
          </cell>
          <cell r="U117" t="str">
            <v>Revisión documental noviembre de 2025.</v>
          </cell>
        </row>
        <row r="118">
          <cell r="A118">
            <v>2764</v>
          </cell>
          <cell r="B118">
            <v>13</v>
          </cell>
          <cell r="C118" t="str">
            <v>USME</v>
          </cell>
          <cell r="D118" t="str">
            <v>PRIVADO</v>
          </cell>
          <cell r="E118" t="str">
            <v>EPBM</v>
          </cell>
          <cell r="F118" t="str">
            <v>LICEO_LATINOAMERICANO_DEL_SUR</v>
          </cell>
          <cell r="G118" t="str">
            <v>LICEO LATINOAMERICANO DEL SUR</v>
          </cell>
          <cell r="H118" t="str">
            <v>Autoevaluación Institucional y Pruebas SABER 11</v>
          </cell>
          <cell r="I118" t="str">
            <v>EVALUACIÓN_CON_FINES_DE_MEJORAMIENTO.</v>
          </cell>
          <cell r="J118" t="str">
            <v>Revisar la actualización, socialización e implementación del Sistema Institucional de Evaluación de Estudiantes - SIEE, en articulación con la actualización del PEI y la normatividad vigente.</v>
          </cell>
          <cell r="K118" t="str">
            <v>KATHERINE HERNÁNDEZ RUBIANO</v>
          </cell>
          <cell r="L118" t="str">
            <v>FRANCY LORENA RODRIGUEZ CASTRO</v>
          </cell>
          <cell r="M118">
            <v>45916</v>
          </cell>
          <cell r="N118">
            <v>45901</v>
          </cell>
          <cell r="O118">
            <v>45902</v>
          </cell>
          <cell r="P118" t="str">
            <v>Visitas de evaluación con fines de mejoramiento</v>
          </cell>
          <cell r="Q118" t="str">
            <v>ActaVisitaAdministrativaColegioLatinoamericanoDelSur01092025.pdf</v>
          </cell>
          <cell r="R118" t="str">
            <v>En la revisión del SIEE se identifica que no hay una relación entre su formulación y su ejecución, adicional no cuenta con estrategias para resolver situaciones pedagógicas en el aula.</v>
          </cell>
          <cell r="S118" t="str">
            <v>La institución educativa se compromete a justar el SIEE a la normatividad vigente.</v>
          </cell>
          <cell r="T118" t="str">
            <v>Si</v>
          </cell>
          <cell r="U118" t="str">
            <v>Revisión documental noviembre de 2025.</v>
          </cell>
        </row>
        <row r="119">
          <cell r="A119">
            <v>2765</v>
          </cell>
          <cell r="B119">
            <v>13</v>
          </cell>
          <cell r="C119" t="str">
            <v>USME</v>
          </cell>
          <cell r="D119" t="str">
            <v>PRIVADO</v>
          </cell>
          <cell r="E119" t="str">
            <v>EPBM</v>
          </cell>
          <cell r="F119" t="str">
            <v>LICEO_LATINOAMERICANO_DEL_SUR</v>
          </cell>
          <cell r="G119" t="str">
            <v>LICEO LATINOAMERICANO DEL SUR</v>
          </cell>
          <cell r="H119" t="str">
            <v>Autoevaluación Institucional y Pruebas SABER 11</v>
          </cell>
          <cell r="I119" t="str">
            <v>EVALUACIÓN_CON_FINES_DE_MEJORAMIENTO.</v>
          </cell>
          <cell r="J119" t="str">
            <v>Revisar el calendario escolar, jornada escolar, la intensidad horaria mínima anual en cada nivel y las modificaciones que se realicen al mismo, de acuerdo con lo previsto en la normatividad vigente.</v>
          </cell>
          <cell r="K119" t="str">
            <v>KATHERINE HERNÁNDEZ RUBIANO</v>
          </cell>
          <cell r="L119" t="str">
            <v>FRANCY LORENA RODRIGUEZ CASTRO</v>
          </cell>
          <cell r="M119">
            <v>45916</v>
          </cell>
          <cell r="N119">
            <v>45901</v>
          </cell>
          <cell r="O119">
            <v>45902</v>
          </cell>
          <cell r="P119" t="str">
            <v>Visitas de evaluación con fines de mejoramiento</v>
          </cell>
          <cell r="Q119" t="str">
            <v>ActaVisitaAdministrativaColegioLatinoamericanoDelSur01092025.pdf</v>
          </cell>
          <cell r="R119" t="str">
            <v>En la revisión de la carga académica, se identifica que la intensidad horaria de media técnica que tiene aprobada por resolución no se cumple</v>
          </cell>
          <cell r="S119" t="str">
            <v>La institución educativa, se compromete a incorporar el ajuste en su PMI</v>
          </cell>
          <cell r="T119" t="str">
            <v>Si</v>
          </cell>
          <cell r="U119" t="str">
            <v>Revisión documental noviembre de 2025.</v>
          </cell>
        </row>
        <row r="120">
          <cell r="A120">
            <v>2766</v>
          </cell>
          <cell r="B120">
            <v>13</v>
          </cell>
          <cell r="C120" t="str">
            <v>USME</v>
          </cell>
          <cell r="D120" t="str">
            <v>PRIVADO</v>
          </cell>
          <cell r="E120" t="str">
            <v>EPBM</v>
          </cell>
          <cell r="F120" t="str">
            <v>LICEO_LATINOAMERICANO_DEL_SUR</v>
          </cell>
          <cell r="G120" t="str">
            <v>LICEO LATINOAMERICANO DEL SUR</v>
          </cell>
          <cell r="H120" t="str">
            <v>Autoevaluación Institucional y Pruebas SABER 11</v>
          </cell>
          <cell r="I120" t="str">
            <v>EVALUACIÓN_CON_FINES_DE_MEJORAMIENTO.</v>
          </cell>
          <cell r="J120" t="str">
            <v>Verificar el funcionamiento del Gobierno Escolar e instancias de participación con base en la información sobre conformación reportada por la institución educativa.</v>
          </cell>
          <cell r="K120" t="str">
            <v>KATHERINE HERNÁNDEZ RUBIANO</v>
          </cell>
          <cell r="L120" t="str">
            <v>FRANCY LORENA RODRIGUEZ CASTRO</v>
          </cell>
          <cell r="M120">
            <v>45916</v>
          </cell>
          <cell r="N120">
            <v>45666</v>
          </cell>
          <cell r="O120">
            <v>45697</v>
          </cell>
          <cell r="P120" t="str">
            <v>Visitas de evaluación con fines de mejoramiento</v>
          </cell>
          <cell r="Q120" t="str">
            <v>ActaVisitaAdministrativaColegioLatinoamericanoDelSur01092025.pdf</v>
          </cell>
          <cell r="R120" t="str">
            <v>No hay evidencia ni registro que el gobierno escolar e instancias se encuentren funcionando</v>
          </cell>
          <cell r="S120" t="str">
            <v>La institución educativa se compromete a formalizar las actas que den cuenta de la operatividad del gobierno escolar</v>
          </cell>
          <cell r="T120" t="str">
            <v>Si</v>
          </cell>
          <cell r="U120" t="str">
            <v>Revisión documental noviembre de 2025.</v>
          </cell>
        </row>
        <row r="121">
          <cell r="A121">
            <v>2767</v>
          </cell>
          <cell r="B121">
            <v>13</v>
          </cell>
          <cell r="C121" t="str">
            <v>USME</v>
          </cell>
          <cell r="D121" t="str">
            <v>PRIVADO</v>
          </cell>
          <cell r="E121" t="str">
            <v>EPBM</v>
          </cell>
          <cell r="F121" t="str">
            <v>LICEO_LATINOAMERICANO_DEL_SUR</v>
          </cell>
          <cell r="G121" t="str">
            <v>LICEO LATINOAMERICANO DEL SUR</v>
          </cell>
          <cell r="H121" t="str">
            <v>Autoevaluación Institucional y Pruebas SABER 11</v>
          </cell>
          <cell r="I121" t="str">
            <v>EVALUACIÓN_CON_FINES_DE_MEJORAMIENTO.</v>
          </cell>
          <cell r="J121" t="str">
            <v>Verificar las condiciones en cuanto a: la estructura administrativa, condiciones de la planta física y medios educativos adecuados.</v>
          </cell>
          <cell r="K121" t="str">
            <v>KATHERINE HERNÁNDEZ RUBIANO</v>
          </cell>
          <cell r="L121" t="str">
            <v>FRANCY LORENA RODRIGUEZ CASTRO</v>
          </cell>
          <cell r="M121">
            <v>45916</v>
          </cell>
          <cell r="N121">
            <v>45666</v>
          </cell>
          <cell r="O121">
            <v>45697</v>
          </cell>
          <cell r="P121" t="str">
            <v>Visitas de evaluación con fines de mejoramiento</v>
          </cell>
          <cell r="Q121" t="str">
            <v>ActaVisitaAdministrativaColegioLatinoamericanoDelSur01092025.pdf</v>
          </cell>
          <cell r="R121" t="str">
            <v>En recorrido por la planta física se identiicca que el establecimiento no cuenta con aaccesos adecuados para personas con discapacidad y que los extintores estan vencidos.</v>
          </cell>
          <cell r="S121" t="str">
            <v>La institucion educativa se compromete a validar la opción de hacer ajustes para el acceso  para las personas con discapacidad física y de inmediato hacer la renovación de los extintores</v>
          </cell>
          <cell r="T121" t="str">
            <v>Si</v>
          </cell>
          <cell r="U121" t="str">
            <v>Visita de seguimiento octubre de 2025</v>
          </cell>
        </row>
        <row r="122">
          <cell r="A122">
            <v>2768</v>
          </cell>
          <cell r="B122">
            <v>14</v>
          </cell>
          <cell r="C122" t="str">
            <v>USME</v>
          </cell>
          <cell r="D122" t="str">
            <v>PRIVADO</v>
          </cell>
          <cell r="E122" t="str">
            <v>EPBM</v>
          </cell>
          <cell r="F122" t="str">
            <v>LICEO_ADOLFO_LEON_GOMEZ</v>
          </cell>
          <cell r="G122" t="str">
            <v>LICEO ADOLFO LEON GOMEZ</v>
          </cell>
          <cell r="H122" t="str">
            <v>Autoevaluación Institucional y Pruebas SABER 11</v>
          </cell>
          <cell r="I122" t="str">
            <v>SEGUIMIENTO_Y_SUPERVISIÓN.</v>
          </cell>
          <cell r="J122" t="str">
            <v>Realizar visitas para verificar la información registrada sobre la autoevaluación institucional en el aplicativo EVI, a los establecimientos de educación formal no oficial.</v>
          </cell>
          <cell r="K122" t="str">
            <v>MIGUEL ANTONIO CARO CARO</v>
          </cell>
          <cell r="L122" t="str">
            <v>FRANCY LORENA RODRIGUEZ CASTRO</v>
          </cell>
          <cell r="M122">
            <v>45930</v>
          </cell>
          <cell r="N122">
            <v>45894</v>
          </cell>
          <cell r="O122">
            <v>45894</v>
          </cell>
          <cell r="P122" t="str">
            <v>Visitas de evaluación con fines de mejoramiento</v>
          </cell>
          <cell r="Q122" t="str">
            <v>VISITA ADOLFO LEÓN GÓMEZ 26082025</v>
          </cell>
          <cell r="R122" t="str">
            <v>No se evidencia inconsitencias apreciables entre matricula y registero SIMATpara la jornada duirna. presta servicio para adultos, que no registro en EVI ni en SIMAT, la Rectora presta sus servicios adhonoren y no se pagan parafiscales a los docentes</v>
          </cell>
          <cell r="S122" t="str">
            <v>la institución se compromete a presentar un plan de mejoramiento para cada uno de los aspectos en que se realizó observaciones el 07 de octubre del 2025</v>
          </cell>
          <cell r="T122" t="str">
            <v>Si</v>
          </cell>
          <cell r="U122" t="str">
            <v>Se revisara el plan de mejoramiento y Verificara en el SIMAT -   vigencia 2026</v>
          </cell>
        </row>
        <row r="123">
          <cell r="A123">
            <v>2769</v>
          </cell>
          <cell r="B123">
            <v>14</v>
          </cell>
          <cell r="C123" t="str">
            <v>USME</v>
          </cell>
          <cell r="D123" t="str">
            <v>PRIVADO</v>
          </cell>
          <cell r="E123" t="str">
            <v>EPBM</v>
          </cell>
          <cell r="F123" t="str">
            <v>LICEO_ADOLFO_LEON_GOMEZ</v>
          </cell>
          <cell r="G123" t="str">
            <v>LICEO ADOLFO LEON GOMEZ</v>
          </cell>
          <cell r="H123" t="str">
            <v>Autoevaluación Institucional y Pruebas SABER 11</v>
          </cell>
          <cell r="I123" t="str">
            <v>SEGUIMIENTO_Y_SUPERVISIÓN.</v>
          </cell>
          <cell r="J123" t="str">
            <v>Proponer estrategias en la formulación, verificar su elaboración y realizar seguimiento semestral al desarrollo de  las acciones establecidas en los planes de mejoramiento por pruebas SABER 11 de los establecimientos de educación formal.</v>
          </cell>
          <cell r="K123" t="str">
            <v>MIGUEL ANTONIO CARO CARO</v>
          </cell>
          <cell r="L123" t="str">
            <v>FRANCY LORENA RODRIGUEZ CASTRO</v>
          </cell>
          <cell r="M123">
            <v>45930</v>
          </cell>
          <cell r="N123">
            <v>45894</v>
          </cell>
          <cell r="O123">
            <v>45894</v>
          </cell>
          <cell r="P123" t="str">
            <v>Visitas de evaluación con fines de mejoramiento</v>
          </cell>
          <cell r="Q123" t="str">
            <v>VISITA ADOLFO LEÓN GÓMEZ 26082025</v>
          </cell>
          <cell r="R123" t="str">
            <v>No se encontró evidencia de la revisión y análisis de resultados de pruebas Saber 11, ni de la formulación de planes de mejoramiento.</v>
          </cell>
          <cell r="S123" t="str">
            <v>la institución se compromete a presentar un plan de mejoramiento para cada uno de los aspectos en que se realizó observaciones el 07 de octubre del 2025</v>
          </cell>
          <cell r="T123" t="str">
            <v>Si</v>
          </cell>
          <cell r="U123" t="str">
            <v>Se revisara el plan de mejoramiento y Verificara en la  vigencia 2026</v>
          </cell>
        </row>
        <row r="124">
          <cell r="A124">
            <v>2770</v>
          </cell>
          <cell r="B124">
            <v>14</v>
          </cell>
          <cell r="C124" t="str">
            <v>USME</v>
          </cell>
          <cell r="D124" t="str">
            <v>PRIVADO</v>
          </cell>
          <cell r="E124" t="str">
            <v>EPBM</v>
          </cell>
          <cell r="F124" t="str">
            <v>LICEO_ADOLFO_LEON_GOMEZ</v>
          </cell>
          <cell r="G124" t="str">
            <v>LICEO ADOLFO LEON GOMEZ</v>
          </cell>
          <cell r="H124" t="str">
            <v>Autoevaluación Institucional y Pruebas SABER 11</v>
          </cell>
          <cell r="I124" t="str">
            <v>SEGUIMIENTO_Y_SUPERVISIÓN.</v>
          </cell>
          <cell r="J124" t="str">
            <v xml:space="preserve">Verificar la implementación por parte de los colegios, de acciones realizadas para la prevención y atención de las situaciones de convivencia en el entorno escolar, según lo establecido en la Directiva 01 de 2022 del MEN. </v>
          </cell>
          <cell r="K124" t="str">
            <v>MIGUEL ANTONIO CARO CARO</v>
          </cell>
          <cell r="L124" t="str">
            <v>FRANCY LORENA RODRIGUEZ CASTRO</v>
          </cell>
          <cell r="M124">
            <v>45930</v>
          </cell>
          <cell r="N124">
            <v>45894</v>
          </cell>
          <cell r="O124">
            <v>45894</v>
          </cell>
          <cell r="P124" t="str">
            <v>Visitas de evaluación con fines de mejoramiento</v>
          </cell>
          <cell r="Q124" t="str">
            <v>VISITA ADOLFO LEÓN GÓMEZ 26082025</v>
          </cell>
          <cell r="R124" t="str">
            <v>Se evidencia el cumplimiento de la Directiva 01, sobre la consulta de inhabilidades por delitos sexuales al inicio de año escolar y reciente,  se aporta evidencias  de actualización del manual de convivencia.</v>
          </cell>
          <cell r="S124" t="str">
            <v xml:space="preserve">Continuar la revisón periodica del cumplimiento de la Directiva 01 de 2022, </v>
          </cell>
          <cell r="T124" t="str">
            <v>No</v>
          </cell>
          <cell r="U124" t="str">
            <v>Se verificara nuevamente el cumplimiento la Directiva 01.</v>
          </cell>
        </row>
        <row r="125">
          <cell r="A125">
            <v>2771</v>
          </cell>
          <cell r="B125">
            <v>14</v>
          </cell>
          <cell r="C125" t="str">
            <v>USME</v>
          </cell>
          <cell r="D125" t="str">
            <v>PRIVADO</v>
          </cell>
          <cell r="E125" t="str">
            <v>EPBM</v>
          </cell>
          <cell r="F125" t="str">
            <v>LICEO_ADOLFO_LEON_GOMEZ</v>
          </cell>
          <cell r="G125" t="str">
            <v>LICEO ADOLFO LEON GOMEZ</v>
          </cell>
          <cell r="H125" t="str">
            <v>Autoevaluación Institucional y Pruebas SABER 11</v>
          </cell>
          <cell r="I125" t="str">
            <v>SEGUIMIENTO_Y_SUPERVISIÓN.</v>
          </cell>
          <cell r="J12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5" t="str">
            <v>MIGUEL ANTONIO CARO CARO</v>
          </cell>
          <cell r="L125" t="str">
            <v>FRANCY LORENA RODRIGUEZ CASTRO</v>
          </cell>
          <cell r="M125">
            <v>45930</v>
          </cell>
          <cell r="N125">
            <v>45894</v>
          </cell>
          <cell r="O125">
            <v>45894</v>
          </cell>
          <cell r="P125" t="str">
            <v>Visitas de evaluación con fines de mejoramiento</v>
          </cell>
          <cell r="Q125" t="str">
            <v>VISITA ADOLFO LEÓN GÓMEZ 26082025</v>
          </cell>
          <cell r="R125" t="str">
            <v>No se evidencia que se registren  casos, no hay registro en el SIMAT y no se tiene soportes para registro, acompañamiento y seguimiento.</v>
          </cell>
          <cell r="S125" t="str">
            <v>la institución se compromete a presentar un plan de mejoramiento para cada uno de los aspectos en que se realizó observaciones el 07 de octubre del 2025</v>
          </cell>
          <cell r="T125" t="str">
            <v>Si</v>
          </cell>
          <cell r="U125" t="str">
            <v>Se revisara el plan de mejoramiento y Verificara en la  vigencia 2026</v>
          </cell>
        </row>
        <row r="126">
          <cell r="A126">
            <v>2772</v>
          </cell>
          <cell r="B126">
            <v>14</v>
          </cell>
          <cell r="C126" t="str">
            <v>USME</v>
          </cell>
          <cell r="D126" t="str">
            <v>PRIVADO</v>
          </cell>
          <cell r="E126" t="str">
            <v>EPBM</v>
          </cell>
          <cell r="F126" t="str">
            <v>LICEO_ADOLFO_LEON_GOMEZ</v>
          </cell>
          <cell r="G126" t="str">
            <v>LICEO ADOLFO LEON GOMEZ</v>
          </cell>
          <cell r="H126" t="str">
            <v>Autoevaluación Institucional y Pruebas SABER 11</v>
          </cell>
          <cell r="I126" t="str">
            <v>EVALUACIÓN_CON_FINES_DE_MEJORAMIENTO.</v>
          </cell>
          <cell r="J12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6" t="str">
            <v>MIGUEL ANTONIO CARO CARO</v>
          </cell>
          <cell r="L126" t="str">
            <v>FRANCY LORENA RODRIGUEZ CASTRO</v>
          </cell>
          <cell r="M126">
            <v>45930</v>
          </cell>
          <cell r="N126">
            <v>45894</v>
          </cell>
          <cell r="O126">
            <v>45894</v>
          </cell>
          <cell r="P126" t="str">
            <v>Visitas de evaluación con fines de mejoramiento</v>
          </cell>
          <cell r="Q126" t="str">
            <v>VISITA ADOLFO LEÓN GÓMEZ 26082025</v>
          </cell>
          <cell r="R126" t="str">
            <v>Existe documento actualizado 2025, pero no contiene los enfoques y su caracter es punitivo, no se distingue entre faltas y situaciones</v>
          </cell>
          <cell r="S126" t="str">
            <v>la institución se compromete a presentar un plan de mejoramiento para cada uno de los aspectos en que se realizó observaciones el 07 de octubre del 2025</v>
          </cell>
          <cell r="T126" t="str">
            <v>Si</v>
          </cell>
          <cell r="U126" t="str">
            <v>Se revisara el plan de mejoramiento y Verificara en la  vigencia 2026</v>
          </cell>
        </row>
        <row r="127">
          <cell r="A127">
            <v>2773</v>
          </cell>
          <cell r="B127">
            <v>14</v>
          </cell>
          <cell r="C127" t="str">
            <v>USME</v>
          </cell>
          <cell r="D127" t="str">
            <v>PRIVADO</v>
          </cell>
          <cell r="E127" t="str">
            <v>EPBM</v>
          </cell>
          <cell r="F127" t="str">
            <v>LICEO_ADOLFO_LEON_GOMEZ</v>
          </cell>
          <cell r="G127" t="str">
            <v>LICEO ADOLFO LEON GOMEZ</v>
          </cell>
          <cell r="H127" t="str">
            <v>Autoevaluación Institucional y Pruebas SABER 11</v>
          </cell>
          <cell r="I127" t="str">
            <v>EVALUACIÓN_CON_FINES_DE_MEJORAMIENTO.</v>
          </cell>
          <cell r="J127" t="str">
            <v>Revisar la actualización, socialización e implementación del Sistema Institucional de Evaluación de Estudiantes - SIEE, en articulación con la actualización del PEI y la normatividad vigente.</v>
          </cell>
          <cell r="K127" t="str">
            <v>MIGUEL ANTONIO CARO CARO</v>
          </cell>
          <cell r="L127" t="str">
            <v>FRANCY LORENA RODRIGUEZ CASTRO</v>
          </cell>
          <cell r="M127">
            <v>45930</v>
          </cell>
          <cell r="N127">
            <v>45894</v>
          </cell>
          <cell r="O127">
            <v>45894</v>
          </cell>
          <cell r="P127" t="str">
            <v>Visitas de evaluación con fines de mejoramiento</v>
          </cell>
          <cell r="Q127" t="str">
            <v>VISITA ADOLFO LEÓN GÓMEZ 26082025</v>
          </cell>
          <cell r="R127" t="str">
            <v>Se encuentra evidencia de SIEE, sin embargo la valoracion de preescolar la realizan cuantitativamente</v>
          </cell>
          <cell r="S127" t="str">
            <v>la institución se compromete a presentar un plan de mejoramiento para cada uno de los aspectos en que se realizó observaciones el 07 de octubre del 2025</v>
          </cell>
          <cell r="T127" t="str">
            <v>Si</v>
          </cell>
          <cell r="U127" t="str">
            <v>Se revisara el plan de mejoramiento y Verificara en la  vigencia 2026</v>
          </cell>
        </row>
        <row r="128">
          <cell r="A128">
            <v>2774</v>
          </cell>
          <cell r="B128">
            <v>14</v>
          </cell>
          <cell r="C128" t="str">
            <v>USME</v>
          </cell>
          <cell r="D128" t="str">
            <v>PRIVADO</v>
          </cell>
          <cell r="E128" t="str">
            <v>EPBM</v>
          </cell>
          <cell r="F128" t="str">
            <v>LICEO_ADOLFO_LEON_GOMEZ</v>
          </cell>
          <cell r="G128" t="str">
            <v>LICEO ADOLFO LEON GOMEZ</v>
          </cell>
          <cell r="H128" t="str">
            <v>Autoevaluación Institucional y Pruebas SABER 11</v>
          </cell>
          <cell r="I128" t="str">
            <v>EVALUACIÓN_CON_FINES_DE_MEJORAMIENTO.</v>
          </cell>
          <cell r="J128" t="str">
            <v>Revisar el calendario escolar, jornada escolar, la intensidad horaria mínima anual en cada nivel y las modificaciones que se realicen al mismo, de acuerdo con lo previsto en la normatividad vigente.</v>
          </cell>
          <cell r="K128" t="str">
            <v>MIGUEL ANTONIO CARO CARO</v>
          </cell>
          <cell r="L128" t="str">
            <v>FRANCY LORENA RODRIGUEZ CASTRO</v>
          </cell>
          <cell r="M128">
            <v>45930</v>
          </cell>
          <cell r="N128">
            <v>45894</v>
          </cell>
          <cell r="O128">
            <v>45894</v>
          </cell>
          <cell r="P128" t="str">
            <v>Visitas de evaluación con fines de mejoramiento</v>
          </cell>
          <cell r="Q128" t="str">
            <v>VISITA ADOLFO LEÓN GÓMEZ 26082025</v>
          </cell>
          <cell r="R128" t="str">
            <v xml:space="preserve">Se aporta calendario y cronograma escolar  </v>
          </cell>
          <cell r="S128" t="str">
            <v xml:space="preserve">Se recomienda continuar con la implemetación del calendario y gcrograma para cumplir con las intensidades horarias requeridas  </v>
          </cell>
          <cell r="T128" t="str">
            <v>No</v>
          </cell>
          <cell r="U128" t="str">
            <v>revisión del calendario en la vigencia 2026</v>
          </cell>
        </row>
        <row r="129">
          <cell r="A129">
            <v>2775</v>
          </cell>
          <cell r="B129">
            <v>14</v>
          </cell>
          <cell r="C129" t="str">
            <v>USME</v>
          </cell>
          <cell r="D129" t="str">
            <v>PRIVADO</v>
          </cell>
          <cell r="E129" t="str">
            <v>EPBM</v>
          </cell>
          <cell r="F129" t="str">
            <v>LICEO_ADOLFO_LEON_GOMEZ</v>
          </cell>
          <cell r="G129" t="str">
            <v>LICEO ADOLFO LEON GOMEZ</v>
          </cell>
          <cell r="H129" t="str">
            <v>Autoevaluación Institucional y Pruebas SABER 11</v>
          </cell>
          <cell r="I129" t="str">
            <v>EVALUACIÓN_CON_FINES_DE_MEJORAMIENTO.</v>
          </cell>
          <cell r="J129" t="str">
            <v>Verificar el funcionamiento del Gobierno Escolar e instancias de participación con base en la información sobre conformación reportada por la institución educativa.</v>
          </cell>
          <cell r="K129" t="str">
            <v>MIGUEL ANTONIO CARO CARO</v>
          </cell>
          <cell r="L129" t="str">
            <v>FRANCY LORENA RODRIGUEZ CASTRO</v>
          </cell>
          <cell r="M129">
            <v>45930</v>
          </cell>
          <cell r="N129">
            <v>45894</v>
          </cell>
          <cell r="O129">
            <v>45894</v>
          </cell>
          <cell r="P129" t="str">
            <v>Visitas de evaluación con fines de mejoramiento</v>
          </cell>
          <cell r="Q129" t="str">
            <v>VISITA ADOLFO LEÓN GÓMEZ 26082025</v>
          </cell>
          <cell r="R129" t="str">
            <v>Aunque se conformaron las instancias del gobierno escolar no hay evidencia de su funcionamiento</v>
          </cell>
          <cell r="S129" t="str">
            <v>la institución se compromete a presentar un plan de mejoramiento para cada uno de los aspectos en que se realizó observaciones el 07 de octubre del 2025, en este aspecto se recomendo subsanar en el corto plazo.</v>
          </cell>
          <cell r="T129" t="str">
            <v>Si</v>
          </cell>
          <cell r="U129" t="str">
            <v>Se revisara el plan de mejoramiento y Verificara en la  vigencia 2026</v>
          </cell>
        </row>
        <row r="130">
          <cell r="A130">
            <v>2776</v>
          </cell>
          <cell r="B130">
            <v>14</v>
          </cell>
          <cell r="C130" t="str">
            <v>USME</v>
          </cell>
          <cell r="D130" t="str">
            <v>PRIVADO</v>
          </cell>
          <cell r="E130" t="str">
            <v>EPBM</v>
          </cell>
          <cell r="F130" t="str">
            <v>LICEO_ADOLFO_LEON_GOMEZ</v>
          </cell>
          <cell r="G130" t="str">
            <v>LICEO ADOLFO LEON GOMEZ</v>
          </cell>
          <cell r="H130" t="str">
            <v>Autoevaluación Institucional y Pruebas SABER 11</v>
          </cell>
          <cell r="I130" t="str">
            <v>EVALUACIÓN_CON_FINES_DE_MEJORAMIENTO.</v>
          </cell>
          <cell r="J130" t="str">
            <v>Verificar las condiciones en cuanto a: la estructura administrativa, condiciones de la planta física y medios educativos adecuados.</v>
          </cell>
          <cell r="K130" t="str">
            <v>MIGUEL ANTONIO CARO CARO</v>
          </cell>
          <cell r="L130" t="str">
            <v>FRANCY LORENA RODRIGUEZ CASTRO</v>
          </cell>
          <cell r="M130">
            <v>45930</v>
          </cell>
          <cell r="N130">
            <v>45894</v>
          </cell>
          <cell r="O130">
            <v>45894</v>
          </cell>
          <cell r="P130" t="str">
            <v>Visitas de evaluación con fines de mejoramiento</v>
          </cell>
          <cell r="Q130" t="str">
            <v>VISITA ADOLFO LEÓN GÓMEZ 26082025</v>
          </cell>
          <cell r="R130" t="str">
            <v>se cuenta con aulas suficientes y espacios ludicos suficientes para la población matriculada, no existe adecuaciones para población con limitaciones en su movilidad.</v>
          </cell>
          <cell r="S130" t="str">
            <v>la institución se compromete a presentar un plan de mejoramiento para cada uno de los aspectos en que se realizó observaciones el 07 de octubre del 2025</v>
          </cell>
          <cell r="T130" t="str">
            <v>Si</v>
          </cell>
          <cell r="U130" t="str">
            <v>Se revisara el plan de mejoramiento y Verificara en la  vigencia 2026</v>
          </cell>
        </row>
        <row r="131">
          <cell r="A131">
            <v>2777</v>
          </cell>
          <cell r="B131">
            <v>15</v>
          </cell>
          <cell r="C131" t="str">
            <v>USME</v>
          </cell>
          <cell r="D131" t="str">
            <v>PRIVADO</v>
          </cell>
          <cell r="E131" t="str">
            <v>EPBM</v>
          </cell>
          <cell r="F131" t="str">
            <v>COLEGIO_CIUDAD_BOLIVAR</v>
          </cell>
          <cell r="G131" t="str">
            <v>COLEGIO CIUDAD BOLIVAR</v>
          </cell>
          <cell r="H131" t="str">
            <v>Autoevaluación Institucional y Pruebas SABER 11</v>
          </cell>
          <cell r="I131" t="str">
            <v>SEGUIMIENTO_Y_SUPERVISIÓN.</v>
          </cell>
          <cell r="J131" t="str">
            <v>Realizar visitas para verificar la información registrada sobre la autoevaluación institucional en el aplicativo EVI, a los establecimientos de educación formal no oficial.</v>
          </cell>
          <cell r="K131" t="str">
            <v>MIGUEL ANTONIO CARO CARO</v>
          </cell>
          <cell r="L131" t="str">
            <v>FRANCY LORENA RODRIGUEZ CASTRO</v>
          </cell>
          <cell r="M131">
            <v>45931</v>
          </cell>
          <cell r="N131">
            <v>45881</v>
          </cell>
          <cell r="O131">
            <v>45881</v>
          </cell>
          <cell r="P131" t="str">
            <v>Visitas de evaluación con fines de mejoramiento</v>
          </cell>
          <cell r="Q131" t="str">
            <v>VISITA COL CIUDAD BOLIVAR 120825</v>
          </cell>
          <cell r="R131" t="str">
            <v xml:space="preserve">se encuentra inconsitencia entre lo registrado en SIMAT y la matricula real, No se pagan parafiscales y el numero de docentes tiempo completo no cubre la cantidad de cursos </v>
          </cell>
          <cell r="S131" t="str">
            <v>La institución se compromete a presentar un plan de mejoramiento para cada uno de los aspectos en que se realizó observaciones el 26 de septiembre del 2025, en este aspecto ( SIMAT) se recomendo subsanar en el corto plazo.</v>
          </cell>
          <cell r="T131" t="str">
            <v>Si</v>
          </cell>
          <cell r="U131" t="str">
            <v>Se revisara el plan de mejoramiento y Verificara en la  vigencia 2026</v>
          </cell>
        </row>
        <row r="132">
          <cell r="A132">
            <v>2778</v>
          </cell>
          <cell r="B132">
            <v>15</v>
          </cell>
          <cell r="C132" t="str">
            <v>USME</v>
          </cell>
          <cell r="D132" t="str">
            <v>PRIVADO</v>
          </cell>
          <cell r="E132" t="str">
            <v>EPBM</v>
          </cell>
          <cell r="F132" t="str">
            <v>COLEGIO_CIUDAD_BOLIVAR</v>
          </cell>
          <cell r="G132" t="str">
            <v>COLEGIO CIUDAD BOLIVAR</v>
          </cell>
          <cell r="H132" t="str">
            <v>Autoevaluación Institucional y Pruebas SABER 11</v>
          </cell>
          <cell r="I132" t="str">
            <v>SEGUIMIENTO_Y_SUPERVISIÓN.</v>
          </cell>
          <cell r="J132" t="str">
            <v>Proponer estrategias en la formulación, verificar su elaboración y realizar seguimiento semestral al desarrollo de  las acciones establecidas en los planes de mejoramiento por pruebas SABER 11 de los establecimientos de educación formal.</v>
          </cell>
          <cell r="K132" t="str">
            <v>MIGUEL ANTONIO CARO CARO</v>
          </cell>
          <cell r="L132" t="str">
            <v>FRANCY LORENA RODRIGUEZ CASTRO</v>
          </cell>
          <cell r="M132">
            <v>45931</v>
          </cell>
          <cell r="N132">
            <v>45881</v>
          </cell>
          <cell r="O132">
            <v>45881</v>
          </cell>
          <cell r="P132" t="str">
            <v>Visitas de evaluación con fines de mejoramiento</v>
          </cell>
          <cell r="Q132" t="str">
            <v>VISITA COL CIUDAD BOLIVAR 120825</v>
          </cell>
          <cell r="R132" t="str">
            <v>Se evidencia el análisis de resultados PRUEBA SABER, cuenta con plan de mejoramiento adoptado el cual incluye estrategias como simulacros y actualizacion de curriculo</v>
          </cell>
          <cell r="S132" t="str">
            <v>Desarrollo del plan de acción con las estrategias aprobadas: simulacros y actualización de currriculo</v>
          </cell>
          <cell r="T132" t="str">
            <v>No</v>
          </cell>
          <cell r="U132" t="str">
            <v>Se revisara el plan de mejoramiento y Verificara en la  vigencia 2026</v>
          </cell>
        </row>
        <row r="133">
          <cell r="A133">
            <v>2779</v>
          </cell>
          <cell r="B133">
            <v>15</v>
          </cell>
          <cell r="C133" t="str">
            <v>USME</v>
          </cell>
          <cell r="D133" t="str">
            <v>PRIVADO</v>
          </cell>
          <cell r="E133" t="str">
            <v>EPBM</v>
          </cell>
          <cell r="F133" t="str">
            <v>COLEGIO_CIUDAD_BOLIVAR</v>
          </cell>
          <cell r="G133" t="str">
            <v>COLEGIO CIUDAD BOLIVAR</v>
          </cell>
          <cell r="H133" t="str">
            <v>Autoevaluación Institucional y Pruebas SABER 11</v>
          </cell>
          <cell r="I133" t="str">
            <v>SEGUIMIENTO_Y_SUPERVISIÓN.</v>
          </cell>
          <cell r="J133" t="str">
            <v xml:space="preserve">Verificar la implementación por parte de los colegios, de acciones realizadas para la prevención y atención de las situaciones de convivencia en el entorno escolar, según lo establecido en la Directiva 01 de 2022 del MEN. </v>
          </cell>
          <cell r="K133" t="str">
            <v>MIGUEL ANTONIO CARO CARO</v>
          </cell>
          <cell r="L133" t="str">
            <v>FRANCY LORENA RODRIGUEZ CASTRO</v>
          </cell>
          <cell r="M133">
            <v>45931</v>
          </cell>
          <cell r="N133">
            <v>45881</v>
          </cell>
          <cell r="O133">
            <v>45881</v>
          </cell>
          <cell r="P133" t="str">
            <v>Visitas de evaluación con fines de mejoramiento</v>
          </cell>
          <cell r="Q133" t="str">
            <v>VISITA COL CIUDAD BOLIVAR 120825</v>
          </cell>
          <cell r="R133" t="str">
            <v>Se evidencia el cumplimiento de la Directiva 01, sobre la consulta de inhabilidades por delitos sexuales se encuentra actualizado el manual de convivencia .</v>
          </cell>
          <cell r="S133" t="str">
            <v xml:space="preserve">Continuar la revisón periodica del cumplimiento de la Directiva 01 de 2022, y presentar un plan de mejoramiento para cada uno de los aspectos en que se realizó observaciones, el 26 de septiembre del 2025, ya radico  y  se le realizaron observaciones al mismo en reunión directa </v>
          </cell>
          <cell r="T133" t="str">
            <v>Si</v>
          </cell>
          <cell r="U133" t="str">
            <v>Se verificara nuevamente el cumplimiento la Directiva 01, se revisara plan de mejoramiento y se verificara en la vigencia 2026.</v>
          </cell>
        </row>
        <row r="134">
          <cell r="A134">
            <v>2780</v>
          </cell>
          <cell r="B134">
            <v>15</v>
          </cell>
          <cell r="C134" t="str">
            <v>USME</v>
          </cell>
          <cell r="D134" t="str">
            <v>PRIVADO</v>
          </cell>
          <cell r="E134" t="str">
            <v>EPBM</v>
          </cell>
          <cell r="F134" t="str">
            <v>COLEGIO_CIUDAD_BOLIVAR</v>
          </cell>
          <cell r="G134" t="str">
            <v>COLEGIO CIUDAD BOLIVAR</v>
          </cell>
          <cell r="H134" t="str">
            <v>Autoevaluación Institucional y Pruebas SABER 11</v>
          </cell>
          <cell r="I134" t="str">
            <v>SEGUIMIENTO_Y_SUPERVISIÓN.</v>
          </cell>
          <cell r="J13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4" t="str">
            <v>MIGUEL ANTONIO CARO CARO</v>
          </cell>
          <cell r="L134" t="str">
            <v>FRANCY LORENA RODRIGUEZ CASTRO</v>
          </cell>
          <cell r="M134">
            <v>45931</v>
          </cell>
          <cell r="N134">
            <v>45881</v>
          </cell>
          <cell r="O134">
            <v>45881</v>
          </cell>
          <cell r="P134" t="str">
            <v>Visitas de evaluación con fines de mejoramiento</v>
          </cell>
          <cell r="Q134" t="str">
            <v>VISITA COL CIUDAD BOLIVAR 120825</v>
          </cell>
          <cell r="R134" t="str">
            <v>Se encuentra evidencia del cumplimiento de los PIAR , pero no se registro lo pertinente en el SIMAT</v>
          </cell>
          <cell r="S134" t="str">
            <v>La institución se compromete a presentar un plan de mejoramiento para cada uno de los aspectos en que se realizó observaciones el 26 de septiembre del 2025, en este aspecto ( SIMAT) se recomendo subsanar en el corto plazo.</v>
          </cell>
          <cell r="T134" t="str">
            <v>No</v>
          </cell>
          <cell r="U134" t="str">
            <v>Se revisara el plan de mejoramiento y Verificara en la  vigencia 2026</v>
          </cell>
        </row>
        <row r="135">
          <cell r="A135">
            <v>2781</v>
          </cell>
          <cell r="B135">
            <v>15</v>
          </cell>
          <cell r="C135" t="str">
            <v>USME</v>
          </cell>
          <cell r="D135" t="str">
            <v>PRIVADO</v>
          </cell>
          <cell r="E135" t="str">
            <v>EPBM</v>
          </cell>
          <cell r="F135" t="str">
            <v>COLEGIO_CIUDAD_BOLIVAR</v>
          </cell>
          <cell r="G135" t="str">
            <v>COLEGIO CIUDAD BOLIVAR</v>
          </cell>
          <cell r="H135" t="str">
            <v>Autoevaluación Institucional y Pruebas SABER 11</v>
          </cell>
          <cell r="I135" t="str">
            <v>EVALUACIÓN_CON_FINES_DE_MEJORAMIENTO.</v>
          </cell>
          <cell r="J13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5" t="str">
            <v>MIGUEL ANTONIO CARO CARO</v>
          </cell>
          <cell r="L135" t="str">
            <v>FRANCY LORENA RODRIGUEZ CASTRO</v>
          </cell>
          <cell r="M135">
            <v>45931</v>
          </cell>
          <cell r="N135">
            <v>45881</v>
          </cell>
          <cell r="O135">
            <v>45881</v>
          </cell>
          <cell r="P135" t="str">
            <v>Visitas de evaluación con fines de mejoramiento</v>
          </cell>
          <cell r="Q135" t="str">
            <v>VISITA COL CIUDAD BOLIVAR 120825</v>
          </cell>
          <cell r="R135" t="str">
            <v>Se cuenta con Manual de Convivencia actualizado, pero no se regsitra ni el proceso participativo ni su socialización ni contiene los enfoque de Politica Publica</v>
          </cell>
          <cell r="S135" t="str">
            <v>La institución se compromete a presentar un plan de mejoramiento para cada uno de los aspectos en que se realizó observaciones el 26 de septiembre del 2025.</v>
          </cell>
          <cell r="T135" t="str">
            <v>Si</v>
          </cell>
          <cell r="U135" t="str">
            <v>Se revisara el plan de mejoramiento y Verificara en la  vigencia 2026</v>
          </cell>
        </row>
        <row r="136">
          <cell r="A136">
            <v>2782</v>
          </cell>
          <cell r="B136">
            <v>15</v>
          </cell>
          <cell r="C136" t="str">
            <v>USME</v>
          </cell>
          <cell r="D136" t="str">
            <v>PRIVADO</v>
          </cell>
          <cell r="E136" t="str">
            <v>EPBM</v>
          </cell>
          <cell r="F136" t="str">
            <v>COLEGIO_CIUDAD_BOLIVAR</v>
          </cell>
          <cell r="G136" t="str">
            <v>COLEGIO CIUDAD BOLIVAR</v>
          </cell>
          <cell r="H136" t="str">
            <v>Autoevaluación Institucional y Pruebas SABER 11</v>
          </cell>
          <cell r="I136" t="str">
            <v>EVALUACIÓN_CON_FINES_DE_MEJORAMIENTO.</v>
          </cell>
          <cell r="J136" t="str">
            <v>Revisar la actualización, socialización e implementación del Sistema Institucional de Evaluación de Estudiantes - SIEE, en articulación con la actualización del PEI y la normatividad vigente.</v>
          </cell>
          <cell r="K136" t="str">
            <v>MIGUEL ANTONIO CARO CARO</v>
          </cell>
          <cell r="L136" t="str">
            <v>FRANCY LORENA RODRIGUEZ CASTRO</v>
          </cell>
          <cell r="M136">
            <v>45931</v>
          </cell>
          <cell r="N136">
            <v>45881</v>
          </cell>
          <cell r="O136">
            <v>45881</v>
          </cell>
          <cell r="P136" t="str">
            <v>Visitas de evaluación con fines de mejoramiento</v>
          </cell>
          <cell r="Q136" t="str">
            <v>VISITA COL CIUDAD BOLIVAR 120825</v>
          </cell>
          <cell r="R136" t="str">
            <v xml:space="preserve">Se cuenta con un SIEE que se aplica, se expide boletines y se tiene planes de mejoramiento de estudiantes por area y por tema </v>
          </cell>
          <cell r="S136" t="str">
            <v>La institución se compromete a presentar un plan de mejoramiento para cada uno de los aspectos en que se realizó observaciones el 26 de septiembre del 2025.</v>
          </cell>
          <cell r="T136" t="str">
            <v>No</v>
          </cell>
          <cell r="U136" t="str">
            <v>Se revisara el plan de mejoramiento y Verificara en la  vigencia 2026</v>
          </cell>
        </row>
        <row r="137">
          <cell r="A137">
            <v>2783</v>
          </cell>
          <cell r="B137">
            <v>15</v>
          </cell>
          <cell r="C137" t="str">
            <v>USME</v>
          </cell>
          <cell r="D137" t="str">
            <v>PRIVADO</v>
          </cell>
          <cell r="E137" t="str">
            <v>EPBM</v>
          </cell>
          <cell r="F137" t="str">
            <v>COLEGIO_CIUDAD_BOLIVAR</v>
          </cell>
          <cell r="G137" t="str">
            <v>COLEGIO CIUDAD BOLIVAR</v>
          </cell>
          <cell r="H137" t="str">
            <v>Autoevaluación Institucional y Pruebas SABER 11</v>
          </cell>
          <cell r="I137" t="str">
            <v>EVALUACIÓN_CON_FINES_DE_MEJORAMIENTO.</v>
          </cell>
          <cell r="J137" t="str">
            <v>Revisar el calendario escolar, jornada escolar, la intensidad horaria mínima anual en cada nivel y las modificaciones que se realicen al mismo, de acuerdo con lo previsto en la normatividad vigente.</v>
          </cell>
          <cell r="K137" t="str">
            <v>MIGUEL ANTONIO CARO CARO</v>
          </cell>
          <cell r="L137" t="str">
            <v>FRANCY LORENA RODRIGUEZ CASTRO</v>
          </cell>
          <cell r="M137">
            <v>45931</v>
          </cell>
          <cell r="N137">
            <v>45881</v>
          </cell>
          <cell r="O137">
            <v>45881</v>
          </cell>
          <cell r="P137" t="str">
            <v>Visitas de evaluación con fines de mejoramiento</v>
          </cell>
          <cell r="Q137" t="str">
            <v>VISITA COL CIUDAD BOLIVAR 120825</v>
          </cell>
          <cell r="R137" t="str">
            <v>Se cuenta con Calendario escolar y en el registro EVI  para preescolar 998 horas y la básica 1.283 horas, se requiere que en el EVI se ajuste esta información.</v>
          </cell>
          <cell r="S137" t="str">
            <v>La institución se compromete a presentar un plan de mejoramiento para cada uno de los aspectos en que se realizó observaciones el 26 de septiembre del 2025.</v>
          </cell>
          <cell r="T137" t="str">
            <v>No</v>
          </cell>
          <cell r="U137" t="str">
            <v>Se revisara el plan de mejoramiento y Verificara en la  vigencia 2026</v>
          </cell>
        </row>
        <row r="138">
          <cell r="A138">
            <v>2784</v>
          </cell>
          <cell r="B138">
            <v>15</v>
          </cell>
          <cell r="C138" t="str">
            <v>USME</v>
          </cell>
          <cell r="D138" t="str">
            <v>PRIVADO</v>
          </cell>
          <cell r="E138" t="str">
            <v>EPBM</v>
          </cell>
          <cell r="F138" t="str">
            <v>COLEGIO_CIUDAD_BOLIVAR</v>
          </cell>
          <cell r="G138" t="str">
            <v>COLEGIO CIUDAD BOLIVAR</v>
          </cell>
          <cell r="H138" t="str">
            <v>Autoevaluación Institucional y Pruebas SABER 11</v>
          </cell>
          <cell r="I138" t="str">
            <v>EVALUACIÓN_CON_FINES_DE_MEJORAMIENTO.</v>
          </cell>
          <cell r="J138" t="str">
            <v>Verificar el funcionamiento del Gobierno Escolar e instancias de participación con base en la información sobre conformación reportada por la institución educativa.</v>
          </cell>
          <cell r="K138" t="str">
            <v>MIGUEL ANTONIO CARO CARO</v>
          </cell>
          <cell r="L138" t="str">
            <v>FRANCY LORENA RODRIGUEZ CASTRO</v>
          </cell>
          <cell r="M138">
            <v>45931</v>
          </cell>
          <cell r="N138">
            <v>45881</v>
          </cell>
          <cell r="O138">
            <v>45881</v>
          </cell>
          <cell r="P138" t="str">
            <v>Visitas de evaluación con fines de mejoramiento</v>
          </cell>
          <cell r="Q138" t="str">
            <v>VISITA COL CIUDAD BOLIVAR 120825</v>
          </cell>
          <cell r="R138" t="str">
            <v>Aunque se conformaron las instancias del gobierno escolar no hay evidencia de su funcionamiento</v>
          </cell>
          <cell r="S138" t="str">
            <v>La institución se compromete a presentar un plan de mejoramiento para cada uno de los aspectos en que se realizó observaciones el 26 de septiembre del 2025, en este aspecto se recomendo subsanar en el corto plazo.</v>
          </cell>
          <cell r="T138" t="str">
            <v>Si</v>
          </cell>
          <cell r="U138" t="str">
            <v>Se revisara el plan de mejoramiento y Verificara en la  vigencia 2026</v>
          </cell>
        </row>
        <row r="139">
          <cell r="A139">
            <v>2785</v>
          </cell>
          <cell r="B139">
            <v>15</v>
          </cell>
          <cell r="C139" t="str">
            <v>USME</v>
          </cell>
          <cell r="D139" t="str">
            <v>PRIVADO</v>
          </cell>
          <cell r="E139" t="str">
            <v>EPBM</v>
          </cell>
          <cell r="F139" t="str">
            <v>COLEGIO_CIUDAD_BOLIVAR</v>
          </cell>
          <cell r="G139" t="str">
            <v>COLEGIO CIUDAD BOLIVAR</v>
          </cell>
          <cell r="H139" t="str">
            <v>Autoevaluación Institucional y Pruebas SABER 11</v>
          </cell>
          <cell r="I139" t="str">
            <v>EVALUACIÓN_CON_FINES_DE_MEJORAMIENTO.</v>
          </cell>
          <cell r="J139" t="str">
            <v>Verificar las condiciones en cuanto a: la estructura administrativa, condiciones de la planta física y medios educativos adecuados.</v>
          </cell>
          <cell r="K139" t="str">
            <v>MIGUEL ANTONIO CARO CARO</v>
          </cell>
          <cell r="L139" t="str">
            <v>FRANCY LORENA RODRIGUEZ CASTRO</v>
          </cell>
          <cell r="M139">
            <v>45931</v>
          </cell>
          <cell r="N139">
            <v>45881</v>
          </cell>
          <cell r="O139">
            <v>45881</v>
          </cell>
          <cell r="P139" t="str">
            <v>Visitas de evaluación con fines de mejoramiento</v>
          </cell>
          <cell r="Q139" t="str">
            <v>VISITA COL CIUDAD BOLIVAR 120825</v>
          </cell>
          <cell r="R139" t="str">
            <v>La Institución cuenta con espacios administrativos, no tiene laboratorios, la biblioteca no est actualizada, no tien adecuación para lo personas con limitaciones en su movilidad y se requiere el mantenimiento de las instalaciones</v>
          </cell>
          <cell r="S139" t="str">
            <v>La institución se compromete a presentar un plan de mejoramiento para cada uno de los aspectos en que se realizó observaciones el 26 de septiembre del 2025.</v>
          </cell>
          <cell r="T139" t="str">
            <v>Si</v>
          </cell>
          <cell r="U139" t="str">
            <v>Se revisara el plan de mejoramiento y Verificara en la  vigencia 2026</v>
          </cell>
        </row>
        <row r="140">
          <cell r="K140"/>
          <cell r="L140"/>
          <cell r="M140"/>
          <cell r="N140"/>
          <cell r="O140"/>
          <cell r="Q140"/>
          <cell r="R140"/>
          <cell r="S140"/>
          <cell r="T140"/>
          <cell r="U140"/>
        </row>
        <row r="141">
          <cell r="K141"/>
          <cell r="L141"/>
          <cell r="M141"/>
          <cell r="N141"/>
          <cell r="O141"/>
          <cell r="Q141"/>
          <cell r="R141"/>
          <cell r="S141"/>
          <cell r="T141"/>
          <cell r="U141"/>
        </row>
        <row r="142">
          <cell r="K142"/>
          <cell r="L142"/>
          <cell r="M142"/>
          <cell r="N142"/>
          <cell r="O142"/>
          <cell r="Q142"/>
          <cell r="R142"/>
          <cell r="S142"/>
          <cell r="T142"/>
          <cell r="U142"/>
        </row>
        <row r="143">
          <cell r="K143"/>
          <cell r="L143"/>
          <cell r="M143"/>
          <cell r="N143"/>
          <cell r="O143"/>
          <cell r="Q143"/>
          <cell r="R143"/>
          <cell r="S143"/>
          <cell r="T143"/>
          <cell r="U143"/>
        </row>
        <row r="144">
          <cell r="K144"/>
          <cell r="L144"/>
          <cell r="M144"/>
          <cell r="N144"/>
          <cell r="O144"/>
          <cell r="Q144"/>
          <cell r="R144"/>
          <cell r="S144"/>
          <cell r="T144"/>
          <cell r="U144"/>
        </row>
        <row r="145">
          <cell r="K145"/>
          <cell r="L145"/>
          <cell r="M145"/>
          <cell r="N145"/>
          <cell r="O145"/>
          <cell r="Q145"/>
          <cell r="R145"/>
          <cell r="S145"/>
          <cell r="T145"/>
          <cell r="U145"/>
        </row>
        <row r="146">
          <cell r="K146"/>
          <cell r="L146"/>
          <cell r="M146"/>
          <cell r="N146"/>
          <cell r="O146"/>
          <cell r="Q146"/>
          <cell r="R146"/>
          <cell r="S146"/>
          <cell r="T146"/>
          <cell r="U146"/>
        </row>
        <row r="147">
          <cell r="K147"/>
          <cell r="L147"/>
          <cell r="M147"/>
          <cell r="N147"/>
          <cell r="O147"/>
          <cell r="Q147"/>
          <cell r="R147"/>
          <cell r="S147"/>
          <cell r="T147"/>
          <cell r="U147"/>
        </row>
        <row r="148">
          <cell r="K148"/>
          <cell r="L148"/>
          <cell r="M148"/>
          <cell r="N148"/>
          <cell r="O148"/>
          <cell r="Q148"/>
          <cell r="R148"/>
          <cell r="S148"/>
          <cell r="T148"/>
          <cell r="U148"/>
        </row>
        <row r="149">
          <cell r="K149"/>
          <cell r="L149"/>
          <cell r="M149"/>
          <cell r="N149"/>
          <cell r="O149"/>
          <cell r="Q149"/>
          <cell r="R149"/>
          <cell r="S149"/>
          <cell r="T149"/>
          <cell r="U149"/>
        </row>
        <row r="150">
          <cell r="K150"/>
          <cell r="L150"/>
          <cell r="M150"/>
          <cell r="N150"/>
          <cell r="O150"/>
          <cell r="Q150"/>
          <cell r="R150"/>
          <cell r="S150"/>
          <cell r="T150"/>
          <cell r="U150"/>
        </row>
        <row r="151">
          <cell r="K151"/>
          <cell r="L151"/>
          <cell r="M151"/>
          <cell r="N151"/>
          <cell r="O151"/>
          <cell r="Q151"/>
          <cell r="R151"/>
          <cell r="S151"/>
          <cell r="T151"/>
          <cell r="U151"/>
        </row>
        <row r="152">
          <cell r="K152"/>
          <cell r="L152"/>
          <cell r="M152"/>
          <cell r="N152"/>
          <cell r="O152"/>
          <cell r="Q152"/>
          <cell r="R152"/>
          <cell r="S152"/>
          <cell r="T152"/>
          <cell r="U152"/>
        </row>
        <row r="153">
          <cell r="K153"/>
          <cell r="L153"/>
          <cell r="M153"/>
          <cell r="N153"/>
          <cell r="O153"/>
          <cell r="Q153"/>
          <cell r="R153"/>
          <cell r="S153"/>
          <cell r="T153"/>
          <cell r="U153"/>
        </row>
        <row r="154">
          <cell r="K154"/>
          <cell r="L154"/>
          <cell r="M154"/>
          <cell r="N154"/>
          <cell r="O154"/>
          <cell r="Q154"/>
          <cell r="R154"/>
          <cell r="S154"/>
          <cell r="T154"/>
          <cell r="U154"/>
        </row>
        <row r="155">
          <cell r="K155"/>
          <cell r="L155"/>
          <cell r="M155"/>
          <cell r="N155"/>
          <cell r="O155"/>
          <cell r="Q155"/>
          <cell r="R155"/>
          <cell r="S155"/>
          <cell r="T155"/>
          <cell r="U155"/>
        </row>
        <row r="156">
          <cell r="K156"/>
          <cell r="L156"/>
          <cell r="M156"/>
          <cell r="N156"/>
          <cell r="O156"/>
          <cell r="Q156"/>
          <cell r="R156"/>
          <cell r="S156"/>
          <cell r="T156"/>
          <cell r="U156"/>
        </row>
        <row r="157">
          <cell r="K157"/>
          <cell r="L157"/>
          <cell r="M157"/>
          <cell r="N157"/>
          <cell r="O157"/>
          <cell r="Q157"/>
          <cell r="R157"/>
          <cell r="S157"/>
          <cell r="T157"/>
          <cell r="U157"/>
        </row>
        <row r="158">
          <cell r="K158"/>
          <cell r="L158"/>
          <cell r="M158"/>
          <cell r="N158"/>
          <cell r="O158"/>
          <cell r="Q158"/>
          <cell r="R158"/>
          <cell r="S158"/>
          <cell r="T158"/>
          <cell r="U158"/>
        </row>
        <row r="159">
          <cell r="K159"/>
          <cell r="L159"/>
          <cell r="M159"/>
          <cell r="N159"/>
          <cell r="O159"/>
          <cell r="Q159"/>
          <cell r="R159"/>
          <cell r="S159"/>
          <cell r="T159"/>
          <cell r="U159"/>
        </row>
        <row r="160">
          <cell r="K160"/>
          <cell r="L160"/>
          <cell r="M160"/>
          <cell r="N160"/>
          <cell r="O160"/>
          <cell r="Q160"/>
          <cell r="R160"/>
          <cell r="S160"/>
          <cell r="T160"/>
          <cell r="U160"/>
        </row>
        <row r="161">
          <cell r="K161"/>
          <cell r="L161"/>
          <cell r="M161"/>
          <cell r="N161"/>
          <cell r="O161"/>
          <cell r="Q161"/>
          <cell r="R161"/>
          <cell r="S161"/>
          <cell r="T161"/>
          <cell r="U161"/>
        </row>
        <row r="162">
          <cell r="K162"/>
          <cell r="L162"/>
          <cell r="M162"/>
          <cell r="N162"/>
          <cell r="O162"/>
          <cell r="Q162"/>
          <cell r="R162"/>
          <cell r="S162"/>
          <cell r="T162"/>
          <cell r="U162"/>
        </row>
        <row r="163">
          <cell r="K163"/>
          <cell r="L163"/>
          <cell r="M163"/>
          <cell r="N163"/>
          <cell r="O163"/>
          <cell r="Q163"/>
          <cell r="R163"/>
          <cell r="S163"/>
          <cell r="T163"/>
          <cell r="U163"/>
        </row>
        <row r="164">
          <cell r="K164"/>
          <cell r="L164"/>
          <cell r="M164"/>
          <cell r="N164"/>
          <cell r="O164"/>
          <cell r="Q164"/>
          <cell r="R164"/>
          <cell r="S164"/>
          <cell r="T164"/>
          <cell r="U164"/>
        </row>
        <row r="165">
          <cell r="K165"/>
          <cell r="L165"/>
          <cell r="M165"/>
          <cell r="N165"/>
          <cell r="O165"/>
          <cell r="Q165"/>
          <cell r="R165"/>
          <cell r="S165"/>
          <cell r="T165"/>
          <cell r="U165"/>
        </row>
        <row r="166">
          <cell r="K166"/>
          <cell r="L166"/>
          <cell r="M166"/>
          <cell r="N166"/>
          <cell r="O166"/>
          <cell r="Q166"/>
          <cell r="R166"/>
          <cell r="S166"/>
          <cell r="T166"/>
          <cell r="U166"/>
        </row>
        <row r="167">
          <cell r="K167"/>
          <cell r="L167"/>
          <cell r="M167"/>
          <cell r="N167"/>
          <cell r="O167"/>
          <cell r="Q167"/>
          <cell r="R167"/>
          <cell r="S167"/>
          <cell r="T167"/>
          <cell r="U167"/>
        </row>
        <row r="168">
          <cell r="K168"/>
          <cell r="L168"/>
          <cell r="M168"/>
          <cell r="N168"/>
          <cell r="O168"/>
          <cell r="Q168"/>
          <cell r="R168"/>
          <cell r="S168"/>
          <cell r="T168"/>
          <cell r="U168"/>
        </row>
        <row r="169">
          <cell r="K169"/>
          <cell r="L169"/>
          <cell r="M169"/>
          <cell r="N169"/>
          <cell r="O169"/>
          <cell r="Q169"/>
          <cell r="R169"/>
          <cell r="S169"/>
          <cell r="T169"/>
          <cell r="U169"/>
        </row>
        <row r="170">
          <cell r="K170"/>
          <cell r="L170"/>
          <cell r="M170"/>
          <cell r="N170"/>
          <cell r="O170"/>
          <cell r="Q170"/>
          <cell r="R170"/>
          <cell r="S170"/>
          <cell r="T170"/>
          <cell r="U170"/>
        </row>
        <row r="171">
          <cell r="K171"/>
          <cell r="L171"/>
          <cell r="M171"/>
          <cell r="N171"/>
          <cell r="O171"/>
          <cell r="Q171"/>
          <cell r="R171"/>
          <cell r="S171"/>
          <cell r="T171"/>
          <cell r="U171"/>
        </row>
        <row r="172">
          <cell r="K172"/>
          <cell r="L172"/>
          <cell r="M172"/>
          <cell r="N172"/>
          <cell r="O172"/>
          <cell r="Q172"/>
          <cell r="R172"/>
          <cell r="S172"/>
          <cell r="T172"/>
          <cell r="U172"/>
        </row>
        <row r="173">
          <cell r="K173"/>
          <cell r="L173"/>
          <cell r="M173"/>
          <cell r="N173"/>
          <cell r="O173"/>
          <cell r="Q173"/>
          <cell r="R173"/>
          <cell r="S173"/>
          <cell r="T173"/>
          <cell r="U173"/>
        </row>
        <row r="174">
          <cell r="K174"/>
          <cell r="L174"/>
          <cell r="M174"/>
          <cell r="N174"/>
          <cell r="O174"/>
          <cell r="Q174"/>
          <cell r="R174"/>
          <cell r="S174"/>
          <cell r="T174"/>
          <cell r="U174"/>
        </row>
        <row r="175">
          <cell r="K175"/>
          <cell r="L175"/>
          <cell r="M175"/>
          <cell r="N175"/>
          <cell r="O175"/>
          <cell r="Q175"/>
          <cell r="R175"/>
          <cell r="S175"/>
          <cell r="T175"/>
          <cell r="U175"/>
        </row>
        <row r="176">
          <cell r="K176"/>
          <cell r="L176"/>
          <cell r="M176"/>
          <cell r="N176"/>
          <cell r="O176"/>
          <cell r="Q176"/>
          <cell r="R176"/>
          <cell r="S176"/>
          <cell r="T176"/>
          <cell r="U176"/>
        </row>
        <row r="177">
          <cell r="K177"/>
          <cell r="L177"/>
          <cell r="M177"/>
          <cell r="N177"/>
          <cell r="O177"/>
          <cell r="Q177"/>
          <cell r="R177"/>
          <cell r="S177"/>
          <cell r="T177"/>
          <cell r="U177"/>
        </row>
        <row r="178">
          <cell r="K178"/>
          <cell r="L178"/>
          <cell r="M178"/>
          <cell r="N178"/>
          <cell r="O178"/>
          <cell r="Q178"/>
          <cell r="R178"/>
          <cell r="S178"/>
          <cell r="T178"/>
          <cell r="U178"/>
        </row>
        <row r="179">
          <cell r="K179"/>
          <cell r="L179"/>
          <cell r="M179"/>
          <cell r="N179"/>
          <cell r="O179"/>
          <cell r="Q179"/>
          <cell r="R179"/>
          <cell r="S179"/>
          <cell r="T179"/>
          <cell r="U179"/>
        </row>
        <row r="180">
          <cell r="K180"/>
          <cell r="L180"/>
          <cell r="M180"/>
          <cell r="N180"/>
          <cell r="O180"/>
          <cell r="Q180"/>
          <cell r="R180"/>
          <cell r="S180"/>
          <cell r="T180"/>
          <cell r="U180"/>
        </row>
        <row r="181">
          <cell r="K181"/>
          <cell r="L181"/>
          <cell r="M181"/>
          <cell r="N181"/>
          <cell r="O181"/>
          <cell r="Q181"/>
          <cell r="R181"/>
          <cell r="S181"/>
          <cell r="T181"/>
          <cell r="U181"/>
        </row>
        <row r="182">
          <cell r="K182"/>
          <cell r="L182"/>
          <cell r="M182"/>
          <cell r="N182"/>
          <cell r="O182"/>
          <cell r="Q182"/>
          <cell r="R182"/>
          <cell r="S182"/>
          <cell r="T182"/>
          <cell r="U182"/>
        </row>
        <row r="183">
          <cell r="K183"/>
          <cell r="L183"/>
          <cell r="M183"/>
          <cell r="N183"/>
          <cell r="O183"/>
          <cell r="Q183"/>
          <cell r="R183"/>
          <cell r="S183"/>
          <cell r="T183"/>
          <cell r="U183"/>
        </row>
        <row r="184">
          <cell r="K184"/>
          <cell r="L184"/>
          <cell r="M184"/>
          <cell r="N184"/>
          <cell r="O184"/>
          <cell r="Q184"/>
          <cell r="R184"/>
          <cell r="S184"/>
          <cell r="T184"/>
          <cell r="U184"/>
        </row>
        <row r="185">
          <cell r="K185"/>
          <cell r="L185"/>
          <cell r="M185"/>
          <cell r="N185"/>
          <cell r="O185"/>
          <cell r="Q185"/>
          <cell r="R185"/>
          <cell r="S185"/>
          <cell r="T185"/>
          <cell r="U185"/>
        </row>
        <row r="186">
          <cell r="K186"/>
          <cell r="L186"/>
          <cell r="M186"/>
          <cell r="N186"/>
          <cell r="O186"/>
          <cell r="Q186"/>
          <cell r="R186"/>
          <cell r="S186"/>
          <cell r="T186"/>
          <cell r="U186"/>
        </row>
        <row r="187">
          <cell r="K187"/>
          <cell r="L187"/>
          <cell r="M187"/>
          <cell r="N187"/>
          <cell r="O187"/>
          <cell r="Q187"/>
          <cell r="R187"/>
          <cell r="S187"/>
          <cell r="T187"/>
          <cell r="U187"/>
        </row>
        <row r="188">
          <cell r="K188"/>
          <cell r="L188"/>
          <cell r="M188"/>
          <cell r="N188"/>
          <cell r="O188"/>
          <cell r="Q188"/>
          <cell r="R188"/>
          <cell r="S188"/>
          <cell r="T188"/>
          <cell r="U188"/>
        </row>
        <row r="189">
          <cell r="K189"/>
          <cell r="L189"/>
          <cell r="M189"/>
          <cell r="N189"/>
          <cell r="O189"/>
          <cell r="Q189"/>
          <cell r="R189"/>
          <cell r="S189"/>
          <cell r="T189"/>
          <cell r="U189"/>
        </row>
        <row r="190">
          <cell r="K190"/>
          <cell r="L190"/>
          <cell r="M190"/>
          <cell r="N190"/>
          <cell r="O190"/>
          <cell r="Q190"/>
          <cell r="R190"/>
          <cell r="S190"/>
          <cell r="T190"/>
          <cell r="U190"/>
        </row>
        <row r="191">
          <cell r="K191"/>
          <cell r="L191"/>
          <cell r="M191"/>
          <cell r="N191"/>
          <cell r="O191"/>
          <cell r="Q191"/>
          <cell r="R191"/>
          <cell r="S191"/>
          <cell r="T191"/>
          <cell r="U191"/>
        </row>
        <row r="192">
          <cell r="K192"/>
          <cell r="L192"/>
          <cell r="M192"/>
          <cell r="N192"/>
          <cell r="O192"/>
          <cell r="Q192"/>
          <cell r="R192"/>
          <cell r="S192"/>
          <cell r="T192"/>
          <cell r="U192"/>
        </row>
        <row r="193">
          <cell r="K193"/>
          <cell r="L193"/>
          <cell r="M193"/>
          <cell r="N193"/>
          <cell r="O193"/>
          <cell r="Q193"/>
          <cell r="R193"/>
          <cell r="S193"/>
          <cell r="T193"/>
          <cell r="U193"/>
        </row>
        <row r="194">
          <cell r="K194"/>
          <cell r="L194"/>
          <cell r="M194"/>
          <cell r="N194"/>
          <cell r="O194"/>
          <cell r="Q194"/>
          <cell r="R194"/>
          <cell r="S194"/>
          <cell r="T194"/>
          <cell r="U194"/>
        </row>
        <row r="195">
          <cell r="K195"/>
          <cell r="L195"/>
          <cell r="M195"/>
          <cell r="N195"/>
          <cell r="O195"/>
          <cell r="Q195"/>
          <cell r="R195"/>
          <cell r="S195"/>
          <cell r="T195"/>
          <cell r="U195"/>
        </row>
        <row r="196">
          <cell r="K196"/>
          <cell r="L196"/>
          <cell r="M196"/>
          <cell r="N196"/>
          <cell r="O196"/>
          <cell r="Q196"/>
          <cell r="R196"/>
          <cell r="S196"/>
          <cell r="T196"/>
          <cell r="U196"/>
        </row>
        <row r="197">
          <cell r="K197"/>
          <cell r="L197"/>
          <cell r="M197"/>
          <cell r="N197"/>
          <cell r="O197"/>
          <cell r="Q197"/>
          <cell r="R197"/>
          <cell r="S197"/>
          <cell r="T197"/>
          <cell r="U197"/>
        </row>
        <row r="198">
          <cell r="K198"/>
          <cell r="L198"/>
          <cell r="M198"/>
          <cell r="N198"/>
          <cell r="O198"/>
          <cell r="Q198"/>
          <cell r="R198"/>
          <cell r="S198"/>
          <cell r="T198"/>
          <cell r="U198"/>
        </row>
        <row r="199">
          <cell r="K199"/>
          <cell r="L199"/>
          <cell r="M199"/>
          <cell r="N199"/>
          <cell r="O199"/>
          <cell r="Q199"/>
          <cell r="R199"/>
          <cell r="S199"/>
          <cell r="T199"/>
          <cell r="U199"/>
        </row>
        <row r="200">
          <cell r="K200"/>
          <cell r="L200"/>
          <cell r="M200"/>
          <cell r="N200"/>
          <cell r="O200"/>
          <cell r="Q200"/>
          <cell r="R200"/>
          <cell r="S200"/>
          <cell r="T200"/>
          <cell r="U200"/>
        </row>
        <row r="201">
          <cell r="K201"/>
          <cell r="L201"/>
          <cell r="M201"/>
          <cell r="N201"/>
          <cell r="O201"/>
          <cell r="Q201"/>
          <cell r="R201"/>
          <cell r="S201"/>
          <cell r="T201"/>
          <cell r="U201"/>
        </row>
        <row r="202">
          <cell r="K202"/>
          <cell r="L202"/>
          <cell r="M202"/>
          <cell r="N202"/>
          <cell r="O202"/>
          <cell r="Q202"/>
          <cell r="R202"/>
          <cell r="S202"/>
          <cell r="T202"/>
          <cell r="U202"/>
        </row>
        <row r="203">
          <cell r="K203"/>
          <cell r="L203"/>
          <cell r="M203"/>
          <cell r="N203"/>
          <cell r="O203"/>
          <cell r="Q203"/>
          <cell r="R203"/>
          <cell r="S203"/>
          <cell r="T203"/>
          <cell r="U203"/>
        </row>
        <row r="204">
          <cell r="K204"/>
          <cell r="L204"/>
          <cell r="M204"/>
          <cell r="N204"/>
          <cell r="O204"/>
          <cell r="Q204"/>
          <cell r="R204"/>
          <cell r="S204"/>
          <cell r="T204"/>
          <cell r="U204"/>
        </row>
        <row r="205">
          <cell r="K205"/>
          <cell r="L205"/>
          <cell r="M205"/>
          <cell r="N205"/>
          <cell r="O205"/>
          <cell r="Q205"/>
          <cell r="R205"/>
          <cell r="S205"/>
          <cell r="T205"/>
          <cell r="U205"/>
        </row>
        <row r="206">
          <cell r="K206"/>
          <cell r="L206"/>
          <cell r="M206"/>
          <cell r="N206"/>
          <cell r="O206"/>
          <cell r="Q206"/>
          <cell r="R206"/>
          <cell r="S206"/>
          <cell r="T206"/>
          <cell r="U206"/>
        </row>
        <row r="207">
          <cell r="K207"/>
          <cell r="L207"/>
          <cell r="M207"/>
          <cell r="N207"/>
          <cell r="O207"/>
          <cell r="Q207"/>
          <cell r="R207"/>
          <cell r="S207"/>
          <cell r="T207"/>
          <cell r="U207"/>
        </row>
        <row r="208">
          <cell r="K208"/>
          <cell r="L208"/>
          <cell r="M208"/>
          <cell r="N208"/>
          <cell r="O208"/>
          <cell r="Q208"/>
          <cell r="R208"/>
          <cell r="S208"/>
          <cell r="T208"/>
        </row>
        <row r="209">
          <cell r="K209"/>
          <cell r="L209"/>
          <cell r="M209"/>
          <cell r="N209"/>
          <cell r="O209"/>
          <cell r="Q209"/>
          <cell r="R209"/>
          <cell r="S209"/>
          <cell r="T209"/>
        </row>
        <row r="210">
          <cell r="K210"/>
          <cell r="L210"/>
          <cell r="M210"/>
          <cell r="N210"/>
          <cell r="O210"/>
          <cell r="Q210"/>
          <cell r="R210"/>
          <cell r="S210"/>
          <cell r="T210"/>
        </row>
        <row r="211">
          <cell r="K211"/>
          <cell r="L211"/>
          <cell r="Q211"/>
          <cell r="R211"/>
          <cell r="S211"/>
          <cell r="T211"/>
        </row>
        <row r="212">
          <cell r="T212"/>
        </row>
        <row r="213">
          <cell r="T213"/>
        </row>
        <row r="214">
          <cell r="T214"/>
        </row>
        <row r="215">
          <cell r="T215"/>
        </row>
        <row r="216">
          <cell r="T216"/>
        </row>
        <row r="217">
          <cell r="T217"/>
        </row>
        <row r="218">
          <cell r="T218"/>
        </row>
        <row r="219">
          <cell r="T219"/>
        </row>
        <row r="220">
          <cell r="T220"/>
        </row>
        <row r="221">
          <cell r="T221"/>
        </row>
        <row r="222">
          <cell r="T222"/>
        </row>
        <row r="223">
          <cell r="T223"/>
        </row>
        <row r="224">
          <cell r="T224"/>
        </row>
        <row r="225">
          <cell r="T225"/>
        </row>
        <row r="226">
          <cell r="T226"/>
        </row>
        <row r="227">
          <cell r="T227"/>
        </row>
        <row r="228">
          <cell r="T228"/>
        </row>
        <row r="229">
          <cell r="T229"/>
        </row>
        <row r="230">
          <cell r="T230"/>
        </row>
        <row r="231">
          <cell r="T231"/>
        </row>
        <row r="232">
          <cell r="T232"/>
        </row>
        <row r="233">
          <cell r="T233"/>
        </row>
        <row r="234">
          <cell r="T234"/>
        </row>
        <row r="235">
          <cell r="T235"/>
        </row>
        <row r="236">
          <cell r="T236"/>
        </row>
        <row r="237">
          <cell r="T237"/>
        </row>
        <row r="238">
          <cell r="T238"/>
        </row>
        <row r="239">
          <cell r="T239"/>
        </row>
        <row r="240">
          <cell r="T240"/>
        </row>
        <row r="241">
          <cell r="T241"/>
        </row>
        <row r="242">
          <cell r="T242"/>
        </row>
        <row r="243">
          <cell r="T243"/>
        </row>
        <row r="244">
          <cell r="T244"/>
        </row>
        <row r="245">
          <cell r="T245"/>
        </row>
        <row r="246">
          <cell r="T246"/>
        </row>
        <row r="247">
          <cell r="T247"/>
        </row>
        <row r="248">
          <cell r="T248"/>
        </row>
        <row r="249">
          <cell r="T249"/>
        </row>
        <row r="250">
          <cell r="T250"/>
        </row>
        <row r="251">
          <cell r="T251"/>
        </row>
        <row r="252">
          <cell r="T252"/>
        </row>
        <row r="253">
          <cell r="T253"/>
        </row>
        <row r="254">
          <cell r="T254"/>
        </row>
        <row r="255">
          <cell r="T255"/>
        </row>
        <row r="256">
          <cell r="T256"/>
        </row>
        <row r="257">
          <cell r="T257"/>
        </row>
        <row r="258">
          <cell r="T258"/>
        </row>
        <row r="259">
          <cell r="T259"/>
        </row>
        <row r="260">
          <cell r="T260"/>
        </row>
        <row r="261">
          <cell r="T261"/>
        </row>
        <row r="262">
          <cell r="T262"/>
        </row>
        <row r="263">
          <cell r="T263"/>
        </row>
        <row r="264">
          <cell r="T264"/>
        </row>
        <row r="265">
          <cell r="T265"/>
        </row>
        <row r="266">
          <cell r="T266"/>
        </row>
        <row r="267">
          <cell r="T267"/>
        </row>
        <row r="268">
          <cell r="T268"/>
        </row>
        <row r="269">
          <cell r="T269"/>
        </row>
        <row r="270">
          <cell r="T270"/>
        </row>
        <row r="271">
          <cell r="T271"/>
        </row>
        <row r="272">
          <cell r="T272"/>
        </row>
        <row r="273">
          <cell r="T273"/>
        </row>
        <row r="274">
          <cell r="T274"/>
        </row>
        <row r="275">
          <cell r="T275"/>
        </row>
        <row r="276">
          <cell r="T276"/>
        </row>
        <row r="277">
          <cell r="T277"/>
        </row>
        <row r="278">
          <cell r="T278"/>
        </row>
        <row r="279">
          <cell r="T279"/>
        </row>
        <row r="280">
          <cell r="T280"/>
        </row>
        <row r="281">
          <cell r="T281"/>
        </row>
        <row r="282">
          <cell r="T282"/>
        </row>
        <row r="283">
          <cell r="T283"/>
        </row>
        <row r="284">
          <cell r="T284"/>
        </row>
        <row r="285">
          <cell r="T285"/>
        </row>
        <row r="286">
          <cell r="T286"/>
        </row>
        <row r="287">
          <cell r="T287"/>
        </row>
        <row r="288">
          <cell r="T288"/>
        </row>
        <row r="289">
          <cell r="T289"/>
        </row>
        <row r="290">
          <cell r="T290"/>
        </row>
        <row r="291">
          <cell r="T291"/>
        </row>
        <row r="292">
          <cell r="T292"/>
        </row>
        <row r="293">
          <cell r="T293"/>
        </row>
        <row r="294">
          <cell r="T294"/>
        </row>
        <row r="295">
          <cell r="T295"/>
        </row>
        <row r="296">
          <cell r="T296"/>
        </row>
        <row r="297">
          <cell r="T297"/>
        </row>
        <row r="298">
          <cell r="T298"/>
        </row>
        <row r="299">
          <cell r="T299"/>
        </row>
        <row r="300">
          <cell r="T300"/>
        </row>
        <row r="301">
          <cell r="T301"/>
        </row>
        <row r="302">
          <cell r="T302"/>
        </row>
        <row r="303">
          <cell r="T303"/>
        </row>
        <row r="304">
          <cell r="T304"/>
        </row>
        <row r="305">
          <cell r="T305"/>
        </row>
        <row r="306">
          <cell r="T306"/>
        </row>
        <row r="307">
          <cell r="T307"/>
        </row>
        <row r="308">
          <cell r="T308"/>
        </row>
        <row r="309">
          <cell r="T309"/>
        </row>
        <row r="310">
          <cell r="T310"/>
        </row>
        <row r="311">
          <cell r="T311"/>
        </row>
        <row r="312">
          <cell r="T312"/>
        </row>
        <row r="313">
          <cell r="T313"/>
        </row>
        <row r="314">
          <cell r="T314"/>
        </row>
        <row r="315">
          <cell r="T315"/>
        </row>
        <row r="316">
          <cell r="T316"/>
        </row>
        <row r="317">
          <cell r="T317"/>
        </row>
        <row r="318">
          <cell r="T318"/>
        </row>
        <row r="319">
          <cell r="T319"/>
        </row>
        <row r="320">
          <cell r="T320"/>
        </row>
        <row r="321">
          <cell r="T321"/>
        </row>
        <row r="322">
          <cell r="T322"/>
        </row>
        <row r="323">
          <cell r="T323"/>
        </row>
        <row r="324">
          <cell r="T324"/>
        </row>
        <row r="325">
          <cell r="T325"/>
        </row>
        <row r="326">
          <cell r="T326"/>
        </row>
        <row r="327">
          <cell r="T327"/>
        </row>
        <row r="328">
          <cell r="T328"/>
        </row>
        <row r="329">
          <cell r="T329"/>
        </row>
        <row r="330">
          <cell r="T330"/>
        </row>
        <row r="331">
          <cell r="T331"/>
        </row>
        <row r="332">
          <cell r="T332"/>
        </row>
        <row r="333">
          <cell r="T333"/>
        </row>
        <row r="334">
          <cell r="T334"/>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PHCRTAOUKM55BLCOAOUJ7CC7DY">
      <xxl21:absoluteUrl r:id="rId3"/>
      <xxl21:relativeUrl r:id="rId4"/>
    </xxl21:alternateUrls>
    <sheetNames>
      <sheetName val="PRIORIZADOS"/>
      <sheetName val="DEMANDA"/>
      <sheetName val="MESAS DIRECTIVOS IE"/>
      <sheetName val="MANUALES DE CONVIVENCIA IED"/>
      <sheetName val="PEGRCC Y GOBIERNOS ESCOLARES"/>
      <sheetName val="COLEGIOS"/>
      <sheetName val="LISTAS"/>
      <sheetName val="ACTIVIDADES  "/>
      <sheetName val="OPERACIONES-ACTIVIDADES"/>
    </sheetNames>
    <sheetDataSet>
      <sheetData sheetId="0">
        <row r="1">
          <cell r="A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MATRIZ DE FORMULACIÓN Y SEGUIMIENTO A LA EJECUCIÓN DEL POAIV</v>
          </cell>
          <cell r="F4"/>
          <cell r="G4"/>
          <cell r="H4"/>
          <cell r="I4"/>
          <cell r="J4"/>
          <cell r="K4"/>
          <cell r="L4"/>
          <cell r="M4"/>
          <cell r="N4"/>
          <cell r="O4"/>
          <cell r="P4"/>
          <cell r="Q4"/>
          <cell r="R4"/>
          <cell r="S4"/>
          <cell r="T4"/>
          <cell r="U4"/>
        </row>
        <row r="5">
          <cell r="A5"/>
          <cell r="B5"/>
          <cell r="C5"/>
          <cell r="D5"/>
          <cell r="E5" t="str">
            <v>EQUIPO LOCAL DE:</v>
          </cell>
          <cell r="F5" t="str">
            <v>12. BARRIOS UNIDOS</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Unico</v>
          </cell>
          <cell r="B7" t="str">
            <v>NÚMERO DE EE
(Enumere los EE que serán visitados en el período)</v>
          </cell>
          <cell r="C7" t="str">
            <v xml:space="preserve">LOCALIDAD </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130</v>
          </cell>
          <cell r="B8">
            <v>1</v>
          </cell>
          <cell r="C8" t="str">
            <v xml:space="preserve">BARRIOS UNIDOS </v>
          </cell>
          <cell r="D8" t="str">
            <v>PRIVADO</v>
          </cell>
          <cell r="E8" t="str">
            <v>EPBM</v>
          </cell>
          <cell r="F8" t="str">
            <v>LICEO_DE_FORMACIÓN_PERSONALIZADA</v>
          </cell>
          <cell r="G8" t="str">
            <v>LICEO_DE_FORMACIÓN_PERSONALIZADA</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DORIS YOLANDA LÓPEZ ARÉVALO</v>
          </cell>
          <cell r="L8" t="str">
            <v xml:space="preserve">ALBERTO MIGUEL PEÑA </v>
          </cell>
          <cell r="M8">
            <v>45846</v>
          </cell>
          <cell r="N8">
            <v>45846</v>
          </cell>
          <cell r="O8">
            <v>45846</v>
          </cell>
          <cell r="P8" t="str">
            <v>Visitas de evaluación con fines de seguimiento</v>
          </cell>
          <cell r="Q8" t="str">
            <v>Acta_visita_integral_LiceoFormación_20250708.pdf</v>
          </cell>
          <cell r="R8" t="str">
            <v>Se verificaron los espacios, la planta docente y los estudiantes según SIMAT, conforme a lo establecido en el EVI. Se solicitó el retiro de los avisos referentes al COVID-19.</v>
          </cell>
          <cell r="S8" t="str">
            <v>Se deben realizar algunas adecuaciones, como la instalación segura de extintores, el retiro de señalética innecesaria y el ajuste de medidas de seguridad en las puertas de las aulas.</v>
          </cell>
          <cell r="T8" t="str">
            <v>No</v>
          </cell>
          <cell r="U8" t="str">
            <v>Se debe dar continuidad al mantenimiento de las áreas, así como diligenciar el formulario con la descripción correspondiente cuando se requiera.</v>
          </cell>
        </row>
        <row r="9">
          <cell r="A9">
            <v>132</v>
          </cell>
          <cell r="B9">
            <v>1</v>
          </cell>
          <cell r="C9" t="str">
            <v xml:space="preserve">BARRIOS UNIDOS </v>
          </cell>
          <cell r="D9" t="str">
            <v>PRIVADO</v>
          </cell>
          <cell r="E9" t="str">
            <v>EPBM</v>
          </cell>
          <cell r="F9" t="str">
            <v>LICEO_DE_FORMACIÓN_PERSONALIZADA</v>
          </cell>
          <cell r="G9" t="str">
            <v>LICEO_DE_FORMACIÓN_PERSONALIZADA</v>
          </cell>
          <cell r="H9" t="str">
            <v>Autoevaluación Institucional y Pruebas SABER 11</v>
          </cell>
          <cell r="I9" t="str">
            <v>SEGUIMIENTO_Y_SUPERVISIÓN.</v>
          </cell>
          <cell r="J9" t="str">
            <v xml:space="preserve">Verificar la implementación por parte de los colegios, de acciones realizadas para la prevención y atención de las situaciones de convivencia en el entorno escolar, según lo establecido en la Directiva 01 de 2022 del MEN. </v>
          </cell>
          <cell r="K9" t="str">
            <v>DORIS YOLANDA LÓPEZ ARÉVALO</v>
          </cell>
          <cell r="L9" t="str">
            <v xml:space="preserve">ALBERTO MIGUEL PEÑA </v>
          </cell>
          <cell r="M9">
            <v>45846</v>
          </cell>
          <cell r="N9">
            <v>45846</v>
          </cell>
          <cell r="O9">
            <v>45846</v>
          </cell>
          <cell r="P9" t="str">
            <v>Visitas de evaluación con fines de mejoramiento</v>
          </cell>
          <cell r="Q9" t="str">
            <v>Acta_visita_integral_LiceoFormación_20250708.pdf</v>
          </cell>
          <cell r="R9" t="str">
            <v>Se revisaron las hojas de vida de todo el personal y no se encontró la verificación de antecedentes. Sin embargo, los demás documentos estaban completos y se corroboraron las capacitaciones a los docentes.</v>
          </cell>
          <cell r="S9" t="str">
            <v>Se requiere realizar la verificación de antecedentes, conforme a lo establecido en la Directiva 001 de 2022.</v>
          </cell>
          <cell r="T9" t="str">
            <v>Si</v>
          </cell>
          <cell r="U9" t="str">
            <v>Se revisará la propuesta en el Plan de Mejoramiento.</v>
          </cell>
        </row>
        <row r="10">
          <cell r="A10">
            <v>133</v>
          </cell>
          <cell r="B10">
            <v>1</v>
          </cell>
          <cell r="C10" t="str">
            <v xml:space="preserve">BARRIOS UNIDOS </v>
          </cell>
          <cell r="D10" t="str">
            <v>PRIVADO</v>
          </cell>
          <cell r="E10" t="str">
            <v>EPBM</v>
          </cell>
          <cell r="F10" t="str">
            <v>LICEO_DE_FORMACIÓN_PERSONALIZADA</v>
          </cell>
          <cell r="G10" t="str">
            <v>LICEO_DE_FORMACIÓN_PERSONALIZADA</v>
          </cell>
          <cell r="H10" t="str">
            <v>Autoevaluación Institucional y Pruebas SABER 11</v>
          </cell>
          <cell r="I10" t="str">
            <v>SEGUIMIENTO_Y_SUPERVISIÓN.</v>
          </cell>
          <cell r="J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 t="str">
            <v>DORIS YOLANDA LÓPEZ ARÉVALO</v>
          </cell>
          <cell r="L10" t="str">
            <v xml:space="preserve">ALBERTO MIGUEL PEÑA </v>
          </cell>
          <cell r="M10">
            <v>45846</v>
          </cell>
          <cell r="N10">
            <v>45846</v>
          </cell>
          <cell r="O10">
            <v>45846</v>
          </cell>
          <cell r="P10" t="str">
            <v>Visitas de evaluación con fines de mejoramiento</v>
          </cell>
          <cell r="Q10" t="str">
            <v>Acta_visita_integral_LiceoFormación_20250708.pdf</v>
          </cell>
          <cell r="R10" t="str">
            <v>Se revisaron al azar algunos documentos PIAR de inclusión con los que cuenta la institución. La marcación en SIMAT fue verificada y se encuentra acorde con los diagnósticos de los estudiantes. Sin embargo, se identificaron casos en los que se aplican PIAR sin diagnóstico formal, debido a situaciones de tipo socioemocional.</v>
          </cell>
          <cell r="S10" t="str">
            <v>Debe mantenerse la gestión y organización observadas durante la visita.</v>
          </cell>
          <cell r="T10" t="str">
            <v>Si</v>
          </cell>
          <cell r="U10" t="str">
            <v>En caso de presentarse una queja relacionada con algún estudiante de inclusión, se procederá a revisar la situación.</v>
          </cell>
        </row>
        <row r="11">
          <cell r="A11">
            <v>134</v>
          </cell>
          <cell r="B11">
            <v>1</v>
          </cell>
          <cell r="C11" t="str">
            <v xml:space="preserve">BARRIOS UNIDOS </v>
          </cell>
          <cell r="D11" t="str">
            <v>PRIVADO</v>
          </cell>
          <cell r="E11" t="str">
            <v>EPBM</v>
          </cell>
          <cell r="F11" t="str">
            <v>LICEO_DE_FORMACIÓN_PERSONALIZADA</v>
          </cell>
          <cell r="G11" t="str">
            <v>LICEO_DE_FORMACIÓN_PERSONALIZADA</v>
          </cell>
          <cell r="H11" t="str">
            <v>Autoevaluación Institucional y Pruebas SABER 11</v>
          </cell>
          <cell r="I11" t="str">
            <v>EVALUACIÓN_CON_FINES_DE_MEJORAMIENTO.</v>
          </cell>
          <cell r="J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 t="str">
            <v>DORIS YOLANDA LÓPEZ ARÉVALO</v>
          </cell>
          <cell r="L11" t="str">
            <v xml:space="preserve">ALBERTO MIGUEL PEÑA </v>
          </cell>
          <cell r="M11">
            <v>45846</v>
          </cell>
          <cell r="N11">
            <v>45846</v>
          </cell>
          <cell r="O11">
            <v>45846</v>
          </cell>
          <cell r="P11" t="str">
            <v>Visitas de evaluación con fines de mejoramiento</v>
          </cell>
          <cell r="Q11" t="str">
            <v>Acta_visita_integral_LiceoFormación_20250708.pdf</v>
          </cell>
          <cell r="R11" t="str">
            <v>Se revisó el Manual actualizado para la presente vigencia, el cual contenía las estrategias y mecanismos para la resolución de conflictos. Se realizaron algunas observaciones para tener en cuenta en una próxima actualización.</v>
          </cell>
          <cell r="S11" t="str">
            <v>Se revisó el Manual actualizado para la presente vigencia, el cual incluye las estrategias y mecanismos para la resolución de conflictos. Se realizaron algunas observaciones que deberán considerarse en su próxima actualización.</v>
          </cell>
          <cell r="T11" t="str">
            <v>No</v>
          </cell>
          <cell r="U11" t="str">
            <v>En caso de presentarse una queja, se procederá a revisar la situación.</v>
          </cell>
        </row>
        <row r="12">
          <cell r="A12">
            <v>135</v>
          </cell>
          <cell r="B12">
            <v>1</v>
          </cell>
          <cell r="C12" t="str">
            <v xml:space="preserve">BARRIOS UNIDOS </v>
          </cell>
          <cell r="D12" t="str">
            <v>PRIVADO</v>
          </cell>
          <cell r="E12" t="str">
            <v>EPBM</v>
          </cell>
          <cell r="F12" t="str">
            <v>LICEO_DE_FORMACIÓN_PERSONALIZADA</v>
          </cell>
          <cell r="G12" t="str">
            <v>LICEO_DE_FORMACIÓN_PERSONALIZADA</v>
          </cell>
          <cell r="H12" t="str">
            <v>Autoevaluación Institucional y Pruebas SABER 11</v>
          </cell>
          <cell r="I12" t="str">
            <v>EVALUACIÓN_CON_FINES_DE_MEJORAMIENTO.</v>
          </cell>
          <cell r="J12" t="str">
            <v>Revisar la actualización, socialización e implementación del Sistema Institucional de Evaluación de Estudiantes - SIEE, en articulación con la actualización del PEI y la normatividad vigente.</v>
          </cell>
          <cell r="K12" t="str">
            <v>DORIS YOLANDA LÓPEZ ARÉVALO</v>
          </cell>
          <cell r="L12" t="str">
            <v xml:space="preserve">ALBERTO MIGUEL PEÑA </v>
          </cell>
          <cell r="M12">
            <v>45846</v>
          </cell>
          <cell r="N12">
            <v>45846</v>
          </cell>
          <cell r="O12">
            <v>45846</v>
          </cell>
          <cell r="P12" t="str">
            <v>Visitas de evaluación con fines de mejoramiento</v>
          </cell>
          <cell r="Q12" t="str">
            <v>Acta_visita_integral_LiceoFormación_20250708.pdf</v>
          </cell>
          <cell r="R12" t="str">
            <v>Se evidenció que el SIEE contiene estrategias de apoyo para las diferentes situaciones relacionadas con la gestión pedagógica de los estudiantes.</v>
          </cell>
          <cell r="S12" t="str">
            <v>Continuar con la implementación de SIEE y se recomienda que la institución actualice su SIEE según las situaciones presentadas.</v>
          </cell>
          <cell r="T12" t="str">
            <v>No</v>
          </cell>
          <cell r="U12" t="str">
            <v>En caso de presentarse una queja, se procederá a revisar la situación.</v>
          </cell>
        </row>
        <row r="13">
          <cell r="A13">
            <v>136</v>
          </cell>
          <cell r="B13">
            <v>1</v>
          </cell>
          <cell r="C13" t="str">
            <v xml:space="preserve">BARRIOS UNIDOS </v>
          </cell>
          <cell r="D13" t="str">
            <v>PRIVADO</v>
          </cell>
          <cell r="E13" t="str">
            <v>EPBM</v>
          </cell>
          <cell r="F13" t="str">
            <v>LICEO_DE_FORMACIÓN_PERSONALIZADA</v>
          </cell>
          <cell r="G13" t="str">
            <v>LICEO_DE_FORMACIÓN_PERSONALIZADA</v>
          </cell>
          <cell r="H13" t="str">
            <v>Autoevaluación Institucional y Pruebas SABER 11</v>
          </cell>
          <cell r="I13" t="str">
            <v>EVALUACIÓN_CON_FINES_DE_MEJORAMIENTO.</v>
          </cell>
          <cell r="J13" t="str">
            <v>Revisar el calendario escolar, jornada escolar, la intensidad horaria mínima anual en cada nivel y las modificaciones que se realicen al mismo, de acuerdo con lo previsto en la normatividad vigente.</v>
          </cell>
          <cell r="K13" t="str">
            <v>DORIS YOLANDA LÓPEZ ARÉVALO</v>
          </cell>
          <cell r="L13" t="str">
            <v xml:space="preserve">ALBERTO MIGUEL PEÑA </v>
          </cell>
          <cell r="M13">
            <v>45846</v>
          </cell>
          <cell r="N13">
            <v>45846</v>
          </cell>
          <cell r="O13">
            <v>45846</v>
          </cell>
          <cell r="P13" t="str">
            <v>Visitas de evaluación con fines de mejoramiento</v>
          </cell>
          <cell r="Q13" t="str">
            <v>Acta_visita_integral_LiceoFormación_20250708.pdf</v>
          </cell>
          <cell r="R13" t="str">
            <v>Se evidenció el calendario académico 2025 cumpliendo con la intensidad horaria normada para los grados de básica secundaria y media.</v>
          </cell>
          <cell r="S13" t="str">
            <v>Continuar con la implementación de calendario escolar de acuerdo con las intensidades y las semanas de desarrollo académico.</v>
          </cell>
          <cell r="T13" t="str">
            <v>No</v>
          </cell>
          <cell r="U13" t="str">
            <v>En caso de presentarse una queja, se procederá a revisar la situación.</v>
          </cell>
        </row>
        <row r="14">
          <cell r="A14">
            <v>137</v>
          </cell>
          <cell r="B14">
            <v>1</v>
          </cell>
          <cell r="C14" t="str">
            <v xml:space="preserve">BARRIOS UNIDOS </v>
          </cell>
          <cell r="D14" t="str">
            <v>PRIVADO</v>
          </cell>
          <cell r="E14" t="str">
            <v>EPBM</v>
          </cell>
          <cell r="F14" t="str">
            <v>LICEO_DE_FORMACIÓN_PERSONALIZADA</v>
          </cell>
          <cell r="G14" t="str">
            <v>LICEO_DE_FORMACIÓN_PERSONALIZADA</v>
          </cell>
          <cell r="H14" t="str">
            <v>Autoevaluación Institucional y Pruebas SABER 11</v>
          </cell>
          <cell r="I14" t="str">
            <v>EVALUACIÓN_CON_FINES_DE_MEJORAMIENTO.</v>
          </cell>
          <cell r="J14" t="str">
            <v>Verificar el funcionamiento del Gobierno Escolar e instancias de participación con base en la información sobre conformación reportada por la institución educativa.</v>
          </cell>
          <cell r="K14" t="str">
            <v>DORIS YOLANDA LÓPEZ ARÉVALO</v>
          </cell>
          <cell r="L14" t="str">
            <v xml:space="preserve">ALBERTO MIGUEL PEÑA </v>
          </cell>
          <cell r="M14">
            <v>45846</v>
          </cell>
          <cell r="N14">
            <v>45846</v>
          </cell>
          <cell r="O14">
            <v>45846</v>
          </cell>
          <cell r="P14" t="str">
            <v>Visitas de evaluación con fines de mejoramiento</v>
          </cell>
          <cell r="Q14" t="str">
            <v>Acta_visita_integral_LiceoFormación_20250708.pdf</v>
          </cell>
          <cell r="R14" t="str">
            <v>Se evidenciaron las actas de conformación, así como las actas de gestión 2025, correspondientes a los diferentes estamentos del Gobierno Escolar.</v>
          </cell>
          <cell r="S14" t="str">
            <v>Se les insta a continuar con las reuniones y levantamientos de actas en pro de seguir distinguiéndose y permitir el actuar de toda la comunidad educativa.</v>
          </cell>
          <cell r="T14" t="str">
            <v>No</v>
          </cell>
          <cell r="U14" t="str">
            <v>En caso de presentarse una queja, se procederá a revisar la situación.</v>
          </cell>
        </row>
        <row r="15">
          <cell r="A15">
            <v>138</v>
          </cell>
          <cell r="B15">
            <v>1</v>
          </cell>
          <cell r="C15" t="str">
            <v xml:space="preserve">BARRIOS UNIDOS </v>
          </cell>
          <cell r="D15" t="str">
            <v>PRIVADO</v>
          </cell>
          <cell r="E15" t="str">
            <v>EPBM</v>
          </cell>
          <cell r="F15" t="str">
            <v>LICEO_DE_FORMACIÓN_PERSONALIZADA</v>
          </cell>
          <cell r="G15" t="str">
            <v>LICEO_DE_FORMACIÓN_PERSONALIZADA</v>
          </cell>
          <cell r="H15" t="str">
            <v>Autoevaluación Institucional y Pruebas SABER 11</v>
          </cell>
          <cell r="I15" t="str">
            <v>EVALUACIÓN_CON_FINES_DE_MEJORAMIENTO.</v>
          </cell>
          <cell r="J15" t="str">
            <v>Verificar las condiciones en cuanto a: la estructura administrativa, condiciones de la planta física y medios educativos adecuados.</v>
          </cell>
          <cell r="K15" t="str">
            <v>DORIS YOLANDA LÓPEZ ARÉVALO</v>
          </cell>
          <cell r="L15" t="str">
            <v xml:space="preserve">ALBERTO MIGUEL PEÑA </v>
          </cell>
          <cell r="M15">
            <v>45846</v>
          </cell>
          <cell r="N15">
            <v>45846</v>
          </cell>
          <cell r="O15">
            <v>45846</v>
          </cell>
          <cell r="P15" t="str">
            <v>Visitas de evaluación con fines de mejoramiento</v>
          </cell>
          <cell r="Q15" t="str">
            <v>Acta_visita_integral_LiceoFormación_20250708.pdf</v>
          </cell>
          <cell r="R15" t="str">
            <v>Se realizó recorrido por unificación de sedes, se habla acerca de la acomodación de puestos, no hacinamiento, se revisan accesos de estudiantes a diferentes áreas.</v>
          </cell>
          <cell r="S15" t="str">
            <v>Si bien se hacen algunas recomendaciones se deja a voluntad de la IE, por la seguridad de los estudiantes, no se hacen requerimientos de fondo.</v>
          </cell>
          <cell r="T15" t="str">
            <v>No</v>
          </cell>
          <cell r="U15" t="str">
            <v>Cuando se realice la visita de seguimiento, se verificara los aspectos requeridos.</v>
          </cell>
        </row>
        <row r="16">
          <cell r="A16">
            <v>139</v>
          </cell>
          <cell r="B16">
            <v>2</v>
          </cell>
          <cell r="C16" t="str">
            <v xml:space="preserve">BARRIOS UNIDOS </v>
          </cell>
          <cell r="D16" t="str">
            <v>PRIVADO</v>
          </cell>
          <cell r="E16" t="str">
            <v>Educación de Jóvenes y Adultos</v>
          </cell>
          <cell r="F16" t="str">
            <v>COLEGIO_CAPACITACION_2000_CHAPINERO</v>
          </cell>
          <cell r="G16" t="str">
            <v>COLEGIO_CAPACITACION_2000_CHAPINERO</v>
          </cell>
          <cell r="H16" t="str">
            <v>Autoevaluación Institucional y Pruebas SABER 11</v>
          </cell>
          <cell r="I16" t="str">
            <v>SEGUIMIENTO_Y_SUPERVISIÓN.</v>
          </cell>
          <cell r="J16" t="str">
            <v>Realizar visitas para verificar la información registrada sobre la autoevaluación institucional en el aplicativo EVI, a los establecimientos de educación formal no oficial.</v>
          </cell>
          <cell r="K16" t="str">
            <v xml:space="preserve">ALBERTO MIGUEL PEÑA </v>
          </cell>
          <cell r="L16" t="str">
            <v>DORIS YOLANDA LÓPEZ ARÉVALO</v>
          </cell>
          <cell r="M16">
            <v>45768</v>
          </cell>
          <cell r="N16">
            <v>45768</v>
          </cell>
          <cell r="O16">
            <v>45768</v>
          </cell>
          <cell r="P16" t="str">
            <v>Visitas de evaluación con fines de mejoramiento</v>
          </cell>
          <cell r="Q16" t="str">
            <v>Acta_Visita_Integral_Cap2000_Chapinero.pdf</v>
          </cell>
          <cell r="R16" t="str">
            <v>Se encontró una diferencia respecto al certificado del SIMAT de 56 estudiantes en total. De igual forma se evidenció un reporte en SIMAT de 9 estudiantes de inclusión y  al momento de la visita eran 10 en la institución.</v>
          </cell>
          <cell r="S16" t="str">
            <v>La IE debe ajustar y actualizar los estudiantes en la plataforma SIMAT</v>
          </cell>
          <cell r="T16" t="str">
            <v>No</v>
          </cell>
          <cell r="U16" t="str">
            <v xml:space="preserve">Se revisará la actualización en  SIMAT </v>
          </cell>
        </row>
        <row r="17">
          <cell r="A17">
            <v>140</v>
          </cell>
          <cell r="B17">
            <v>2</v>
          </cell>
          <cell r="C17" t="str">
            <v xml:space="preserve">BARRIOS UNIDOS </v>
          </cell>
          <cell r="D17" t="str">
            <v>PRIVADO</v>
          </cell>
          <cell r="E17" t="str">
            <v>Educación de Jóvenes y Adultos</v>
          </cell>
          <cell r="F17" t="str">
            <v>COLEGIO_CAPACITACION_2000_CHAPINERO</v>
          </cell>
          <cell r="G17" t="str">
            <v>COLEGIO_CAPACITACION_2000_CHAPINERO</v>
          </cell>
          <cell r="H17" t="str">
            <v>Autoevaluación Institucional y Pruebas SABER 11</v>
          </cell>
          <cell r="I17" t="str">
            <v>SEGUIMIENTO_Y_SUPERVISIÓN.</v>
          </cell>
          <cell r="J17" t="str">
            <v>Proponer estrategias en la formulación, verificar su elaboración y realizar seguimiento semestral al desarrollo de  las acciones establecidas en los planes de mejoramiento por pruebas SABER 11 de los establecimientos de educación formal.</v>
          </cell>
          <cell r="K17" t="str">
            <v xml:space="preserve">ALBERTO MIGUEL PEÑA </v>
          </cell>
          <cell r="L17" t="str">
            <v>DORIS YOLANDA LÓPEZ ARÉVALO</v>
          </cell>
          <cell r="M17">
            <v>45768</v>
          </cell>
          <cell r="N17">
            <v>45768</v>
          </cell>
          <cell r="O17">
            <v>45768</v>
          </cell>
          <cell r="P17" t="str">
            <v>Visitas de evaluación con fines de mejoramiento</v>
          </cell>
          <cell r="Q17" t="str">
            <v>Acta_Visita_Integral_Cap2000_Chapinero.pdf</v>
          </cell>
          <cell r="R17" t="str">
            <v>Se evidenció que no se cuenta con un plan o programa que permita intensificar y profundizar la preparación para Saber 11.</v>
          </cell>
          <cell r="S17" t="str">
            <v>Se solicita elaborar un plan de mejoramiento que incluya una estrategia para mejorar el desempeño de los estudiantes en las pruebas Saber 11 del año 2025.</v>
          </cell>
          <cell r="T17" t="str">
            <v>Si</v>
          </cell>
          <cell r="U17" t="str">
            <v>La institución educativa remitirá el Plan de Mejoramiento, incluyendo una estrategia, antes del 13 de junio de 2025.</v>
          </cell>
        </row>
        <row r="18">
          <cell r="A18">
            <v>141</v>
          </cell>
          <cell r="B18">
            <v>2</v>
          </cell>
          <cell r="C18" t="str">
            <v xml:space="preserve">BARRIOS UNIDOS </v>
          </cell>
          <cell r="D18" t="str">
            <v>PRIVADO</v>
          </cell>
          <cell r="E18" t="str">
            <v>Educación de Jóvenes y Adultos</v>
          </cell>
          <cell r="F18" t="str">
            <v>COLEGIO_CAPACITACION_2000_CHAPINERO</v>
          </cell>
          <cell r="G18" t="str">
            <v>COLEGIO_CAPACITACION_2000_CHAPINERO</v>
          </cell>
          <cell r="H18" t="str">
            <v>Autoevaluación Institucional y Pruebas SABER 11</v>
          </cell>
          <cell r="I18" t="str">
            <v>SEGUIMIENTO_Y_SUPERVISIÓN.</v>
          </cell>
          <cell r="J18" t="str">
            <v xml:space="preserve">Verificar la implementación por parte de los colegios, de acciones realizadas para la prevención y atención de las situaciones de convivencia en el entorno escolar, según lo establecido en la Directiva 01 de 2022 del MEN. </v>
          </cell>
          <cell r="K18" t="str">
            <v xml:space="preserve">ALBERTO MIGUEL PEÑA </v>
          </cell>
          <cell r="L18" t="str">
            <v>DORIS YOLANDA LÓPEZ ARÉVALO</v>
          </cell>
          <cell r="M18">
            <v>45768</v>
          </cell>
          <cell r="N18">
            <v>45768</v>
          </cell>
          <cell r="O18">
            <v>45768</v>
          </cell>
          <cell r="P18" t="str">
            <v>Visitas de evaluación con fines de mejoramiento</v>
          </cell>
          <cell r="Q18" t="str">
            <v>Acta_Visita_Integral_Cap2000_Chapinero.pdf</v>
          </cell>
          <cell r="R18" t="str">
            <v>Se revisaron las hojas de vida de tres docentes, un administrativo y un coordinador docente. No reposan otras hojas de vida de docentes, debido a que están vinculados a la institución propietaria. Se evidenció que no se realiza la verificación de antecedentes cada cuatro meses.</v>
          </cell>
          <cell r="S18" t="str">
            <v>Se solicita contar con las hojas de vida de todos los docentes de la institución. Además, se requiere cumplir con la Directiva 001 de 2022 del MEN respecto a la verificación de antecedentes.</v>
          </cell>
          <cell r="T18" t="str">
            <v>Si</v>
          </cell>
          <cell r="U18" t="str">
            <v>La institución educativa remitirá el Plan de Mejoramiento antes del 13 de junio de 2025.</v>
          </cell>
        </row>
        <row r="19">
          <cell r="A19">
            <v>142</v>
          </cell>
          <cell r="B19">
            <v>2</v>
          </cell>
          <cell r="C19" t="str">
            <v xml:space="preserve">BARRIOS UNIDOS </v>
          </cell>
          <cell r="D19" t="str">
            <v>PRIVADO</v>
          </cell>
          <cell r="E19" t="str">
            <v>Educación de Jóvenes y Adultos</v>
          </cell>
          <cell r="F19" t="str">
            <v>COLEGIO_CAPACITACION_2000_CHAPINERO</v>
          </cell>
          <cell r="G19" t="str">
            <v>COLEGIO_CAPACITACION_2000_CHAPINERO</v>
          </cell>
          <cell r="H19" t="str">
            <v>Autoevaluación Institucional y Pruebas SABER 11</v>
          </cell>
          <cell r="I19" t="str">
            <v>SEGUIMIENTO_Y_SUPERVISIÓN.</v>
          </cell>
          <cell r="J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 t="str">
            <v xml:space="preserve">ALBERTO MIGUEL PEÑA </v>
          </cell>
          <cell r="L19" t="str">
            <v>DORIS YOLANDA LÓPEZ ARÉVALO</v>
          </cell>
          <cell r="M19">
            <v>45768</v>
          </cell>
          <cell r="N19">
            <v>45768</v>
          </cell>
          <cell r="O19">
            <v>45768</v>
          </cell>
          <cell r="P19" t="str">
            <v>Visitas de evaluación con fines de mejoramiento</v>
          </cell>
          <cell r="Q19" t="str">
            <v>Acta_Visita_Integral_Cap2000_Chapinero.pdf</v>
          </cell>
          <cell r="R19" t="str">
            <v>Se identificó que 10 estudiantes tienen PIAR, y se constató que los documentos institucionales incluyen disposiciones para atender a esta población.</v>
          </cell>
          <cell r="S19" t="str">
            <v>Se insta a mantener la gestión que ha sido llevada a cabo.</v>
          </cell>
          <cell r="T19" t="str">
            <v>No</v>
          </cell>
          <cell r="U19" t="str">
            <v>De presentarse una queja con alguno de los estudiantes de inclusión se entrará a revisar la situación.</v>
          </cell>
        </row>
        <row r="20">
          <cell r="A20">
            <v>143</v>
          </cell>
          <cell r="B20">
            <v>2</v>
          </cell>
          <cell r="C20" t="str">
            <v xml:space="preserve">BARRIOS UNIDOS </v>
          </cell>
          <cell r="D20" t="str">
            <v>PRIVADO</v>
          </cell>
          <cell r="E20" t="str">
            <v>Educación de Jóvenes y Adultos</v>
          </cell>
          <cell r="F20" t="str">
            <v>COLEGIO_CAPACITACION_2000_CHAPINERO</v>
          </cell>
          <cell r="G20" t="str">
            <v>COLEGIO_CAPACITACION_2000_CHAPINERO</v>
          </cell>
          <cell r="H20" t="str">
            <v>Autoevaluación Institucional y Pruebas SABER 11</v>
          </cell>
          <cell r="I20" t="str">
            <v>EVALUACIÓN_CON_FINES_DE_MEJORAMIENTO.</v>
          </cell>
          <cell r="J2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 t="str">
            <v xml:space="preserve">ALBERTO MIGUEL PEÑA </v>
          </cell>
          <cell r="L20" t="str">
            <v>DORIS YOLANDA LÓPEZ ARÉVALO</v>
          </cell>
          <cell r="M20">
            <v>45768</v>
          </cell>
          <cell r="N20">
            <v>45768</v>
          </cell>
          <cell r="O20">
            <v>45768</v>
          </cell>
          <cell r="P20" t="str">
            <v>Visitas de evaluación con fines de mejoramiento</v>
          </cell>
          <cell r="Q20" t="str">
            <v>Acta_Visita_Integral_Cap2000_Chapinero.pdf</v>
          </cell>
          <cell r="R20" t="str">
            <v>Se revisó el Manual actualizado para la presente vigencia y contenía las estrategias y mecanismo para la resolución de conflictos.</v>
          </cell>
          <cell r="S20" t="str">
            <v>Continuar con la implementación del Manual de Convivencia en el entorno escolar y su comunidad educativa. Se recomienda que la institución educativa actualice su Manual conforme a las situaciones de convivencia presentadas.</v>
          </cell>
          <cell r="T20" t="str">
            <v>No</v>
          </cell>
          <cell r="U20" t="str">
            <v>De presentarse una queja se entra a revisar.</v>
          </cell>
        </row>
        <row r="21">
          <cell r="A21">
            <v>144</v>
          </cell>
          <cell r="B21">
            <v>2</v>
          </cell>
          <cell r="C21" t="str">
            <v xml:space="preserve">BARRIOS UNIDOS </v>
          </cell>
          <cell r="D21" t="str">
            <v>PRIVADO</v>
          </cell>
          <cell r="E21" t="str">
            <v>Educación de Jóvenes y Adultos</v>
          </cell>
          <cell r="F21" t="str">
            <v>COLEGIO_CAPACITACION_2000_CHAPINERO</v>
          </cell>
          <cell r="G21" t="str">
            <v>COLEGIO_CAPACITACION_2000_CHAPINERO</v>
          </cell>
          <cell r="H21" t="str">
            <v>Autoevaluación Institucional y Pruebas SABER 11</v>
          </cell>
          <cell r="I21" t="str">
            <v>EVALUACIÓN_CON_FINES_DE_MEJORAMIENTO.</v>
          </cell>
          <cell r="J21" t="str">
            <v>Revisar la actualización, socialización e implementación del Sistema Institucional de Evaluación de Estudiantes - SIEE, en articulación con la actualización del PEI y la normatividad vigente.</v>
          </cell>
          <cell r="K21" t="str">
            <v xml:space="preserve">ALBERTO MIGUEL PEÑA </v>
          </cell>
          <cell r="L21" t="str">
            <v>DORIS YOLANDA LÓPEZ ARÉVALO</v>
          </cell>
          <cell r="M21">
            <v>45768</v>
          </cell>
          <cell r="N21">
            <v>45768</v>
          </cell>
          <cell r="O21">
            <v>45768</v>
          </cell>
          <cell r="P21" t="str">
            <v>Visitas de evaluación con fines de mejoramiento</v>
          </cell>
          <cell r="Q21" t="str">
            <v>Acta_Visita_Integral_Cap2000_Chapinero.pdf</v>
          </cell>
          <cell r="R21" t="str">
            <v>Se evidenció que el SIEE contiene estrategias de apoyo para diversas situaciones en la gestión pedagógica de los estudiantes.</v>
          </cell>
          <cell r="S21" t="str">
            <v>Continuar con la implementación del SIEE y se recomienda que la institución educativa actualice su SIEE conforme a las situaciones presentadas.</v>
          </cell>
          <cell r="T21" t="str">
            <v>No</v>
          </cell>
          <cell r="U21" t="str">
            <v>De presentarse una queja se entra a revisar.</v>
          </cell>
        </row>
        <row r="22">
          <cell r="A22">
            <v>145</v>
          </cell>
          <cell r="B22">
            <v>2</v>
          </cell>
          <cell r="C22" t="str">
            <v xml:space="preserve">BARRIOS UNIDOS </v>
          </cell>
          <cell r="D22" t="str">
            <v>PRIVADO</v>
          </cell>
          <cell r="E22" t="str">
            <v>Educación de Jóvenes y Adultos</v>
          </cell>
          <cell r="F22" t="str">
            <v>COLEGIO_CAPACITACION_2000_CHAPINERO</v>
          </cell>
          <cell r="G22" t="str">
            <v>COLEGIO_CAPACITACION_2000_CHAPINERO</v>
          </cell>
          <cell r="H22" t="str">
            <v>Autoevaluación Institucional y Pruebas SABER 11</v>
          </cell>
          <cell r="I22" t="str">
            <v>EVALUACIÓN_CON_FINES_DE_MEJORAMIENTO.</v>
          </cell>
          <cell r="J22" t="str">
            <v>Revisar el calendario escolar, jornada escolar, la intensidad horaria mínima anual en cada nivel y las modificaciones que se realicen al mismo, de acuerdo con lo previsto en la normatividad vigente.</v>
          </cell>
          <cell r="K22" t="str">
            <v xml:space="preserve">ALBERTO MIGUEL PEÑA </v>
          </cell>
          <cell r="L22" t="str">
            <v>DORIS YOLANDA LÓPEZ ARÉVALO</v>
          </cell>
          <cell r="M22">
            <v>45768</v>
          </cell>
          <cell r="N22">
            <v>45768</v>
          </cell>
          <cell r="O22">
            <v>45768</v>
          </cell>
          <cell r="P22" t="str">
            <v>Visitas de evaluación con fines de mejoramiento</v>
          </cell>
          <cell r="Q22" t="str">
            <v>Acta_Visita_Integral_Cap2000_Chapinero.pdf</v>
          </cell>
          <cell r="R22" t="str">
            <v xml:space="preserve">Se evidenció el calendario académico 2025 cumpliendo con la intensidad horaria normada para los CLEI I al VI </v>
          </cell>
          <cell r="S22" t="str">
            <v>Continuar con la implementación de calendario escolar de acuerdo con las intensidades y las semanas de desarrollo académico.</v>
          </cell>
          <cell r="T22" t="str">
            <v>No</v>
          </cell>
          <cell r="U22" t="str">
            <v>De presentarse una queja se entra a revisar.</v>
          </cell>
        </row>
        <row r="23">
          <cell r="A23">
            <v>146</v>
          </cell>
          <cell r="B23">
            <v>2</v>
          </cell>
          <cell r="C23" t="str">
            <v xml:space="preserve">BARRIOS UNIDOS </v>
          </cell>
          <cell r="D23" t="str">
            <v>PRIVADO</v>
          </cell>
          <cell r="E23" t="str">
            <v>Educación de Jóvenes y Adultos</v>
          </cell>
          <cell r="F23" t="str">
            <v>COLEGIO_CAPACITACION_2000_CHAPINERO</v>
          </cell>
          <cell r="G23" t="str">
            <v>COLEGIO_CAPACITACION_2000_CHAPINERO</v>
          </cell>
          <cell r="H23" t="str">
            <v>Autoevaluación Institucional y Pruebas SABER 11</v>
          </cell>
          <cell r="I23" t="str">
            <v>EVALUACIÓN_CON_FINES_DE_MEJORAMIENTO.</v>
          </cell>
          <cell r="J23" t="str">
            <v>Verificar el funcionamiento del Gobierno Escolar e instancias de participación con base en la información sobre conformación reportada por la institución educativa.</v>
          </cell>
          <cell r="K23" t="str">
            <v xml:space="preserve">ALBERTO MIGUEL PEÑA </v>
          </cell>
          <cell r="L23" t="str">
            <v>DORIS YOLANDA LÓPEZ ARÉVALO</v>
          </cell>
          <cell r="M23">
            <v>45768</v>
          </cell>
          <cell r="N23">
            <v>45768</v>
          </cell>
          <cell r="O23">
            <v>45768</v>
          </cell>
          <cell r="P23" t="str">
            <v>Visitas de evaluación con fines de mejoramiento</v>
          </cell>
          <cell r="Q23" t="str">
            <v>Acta_Visita_Integral_Cap2000_Chapinero.pdf</v>
          </cell>
          <cell r="R23" t="str">
            <v>Se evidenció soportes de la conformación y funcionamiento del gobierno escolar.</v>
          </cell>
          <cell r="S23" t="str">
            <v>Continuar con la implementación de calendario escolar de acuerdo con las intensidades y las semanas de desarrollo académico.</v>
          </cell>
          <cell r="T23" t="str">
            <v>No</v>
          </cell>
          <cell r="U23" t="str">
            <v>De presentarse una queja se entra a revisar.</v>
          </cell>
        </row>
        <row r="24">
          <cell r="A24">
            <v>147</v>
          </cell>
          <cell r="B24">
            <v>2</v>
          </cell>
          <cell r="C24" t="str">
            <v xml:space="preserve">BARRIOS UNIDOS </v>
          </cell>
          <cell r="D24" t="str">
            <v>PRIVADO</v>
          </cell>
          <cell r="E24" t="str">
            <v>Educación de Jóvenes y Adultos</v>
          </cell>
          <cell r="F24" t="str">
            <v>COLEGIO_CAPACITACION_2000_CHAPINERO</v>
          </cell>
          <cell r="G24" t="str">
            <v>COLEGIO_CAPACITACION_2000_CHAPINERO</v>
          </cell>
          <cell r="H24" t="str">
            <v>Autoevaluación Institucional y Pruebas SABER 11</v>
          </cell>
          <cell r="I24" t="str">
            <v>EVALUACIÓN_CON_FINES_DE_MEJORAMIENTO.</v>
          </cell>
          <cell r="J24" t="str">
            <v>Verificar las condiciones en cuanto a: la estructura administrativa, condiciones de la planta física y medios educativos adecuados.</v>
          </cell>
          <cell r="K24" t="str">
            <v xml:space="preserve">ALBERTO MIGUEL PEÑA </v>
          </cell>
          <cell r="L24" t="str">
            <v>DORIS YOLANDA LÓPEZ ARÉVALO</v>
          </cell>
          <cell r="M24">
            <v>45768</v>
          </cell>
          <cell r="N24">
            <v>45768</v>
          </cell>
          <cell r="O24">
            <v>45768</v>
          </cell>
          <cell r="P24" t="str">
            <v>Visitas de evaluación con fines de mejoramiento</v>
          </cell>
          <cell r="Q24" t="str">
            <v>Acta_Visita_Integral_Cap2000_Chapinero.pdf</v>
          </cell>
          <cell r="R24" t="str">
            <v>Se evidenció que los espacios son suficientes y adecuadas para la prestación del servicio sin embargo no se cuenta con espacios para población discapacidad; adicional se evidenció que los equipos de cómputo no cuentan con software actualizado.</v>
          </cell>
          <cell r="S24" t="str">
            <v xml:space="preserve">Se solicita evaluar la posibilidad de mejorar el recorrido de escaleras para incluir a la población con movilidad reducida.
Se solicita evaluar los equipos de cómputo y mejorar sus requerimientos de hardware y software.
</v>
          </cell>
          <cell r="T24" t="str">
            <v>Si</v>
          </cell>
          <cell r="U24" t="str">
            <v xml:space="preserve">Cuando se realice la visita de seguimiento, se verificara los aspectos requeridos </v>
          </cell>
        </row>
        <row r="25">
          <cell r="A25">
            <v>148</v>
          </cell>
          <cell r="B25">
            <v>3</v>
          </cell>
          <cell r="C25" t="str">
            <v xml:space="preserve">BARRIOS UNIDOS </v>
          </cell>
          <cell r="D25" t="str">
            <v>PRIVADO</v>
          </cell>
          <cell r="E25" t="str">
            <v>Educación de Jóvenes y Adultos</v>
          </cell>
          <cell r="F25" t="str">
            <v>COLEGIO_TRIANGULO_CHAPINERO</v>
          </cell>
          <cell r="G25" t="str">
            <v>COLEGIO_TRIANGULO_CHAPINERO</v>
          </cell>
          <cell r="H25" t="str">
            <v>Autoevaluación Institucional y Pruebas SABER 11</v>
          </cell>
          <cell r="I25" t="str">
            <v>SEGUIMIENTO_Y_SUPERVISIÓN.</v>
          </cell>
          <cell r="J25" t="str">
            <v>Realizar visitas para verificar la información registrada sobre la autoevaluación institucional en el aplicativo EVI, a los establecimientos de educación formal no oficial.</v>
          </cell>
          <cell r="K25" t="str">
            <v xml:space="preserve">ALBERTO MIGUEL PEÑA </v>
          </cell>
          <cell r="L25" t="str">
            <v>DORIS YOLANDA LÓPEZ ARÉVALO</v>
          </cell>
          <cell r="M25">
            <v>45769</v>
          </cell>
          <cell r="N25">
            <v>45813</v>
          </cell>
          <cell r="O25">
            <v>45813</v>
          </cell>
          <cell r="P25" t="str">
            <v>Visitas de evaluación con fines de mejoramiento</v>
          </cell>
          <cell r="Q25" t="str">
            <v>Acta_Visita_Integral_Colegio_Triángulo_Chapinero.pdf</v>
          </cell>
          <cell r="R25" t="str">
            <v>Se encontró una diferencia respecto al certificado del SIMAT de 25 estudiantes en total, sin embargo en varios grados hay diferencias. Se debe ajustar. De igual forma se evidencia un reporte en SIMAT de 8 estudiantes de inclusión y  a la fecha solo hay 1 en la institución</v>
          </cell>
          <cell r="S25" t="str">
            <v>La IE deberá ajustar y actualizar los estudiantes en la plataforma SIMAT</v>
          </cell>
          <cell r="T25" t="str">
            <v>No</v>
          </cell>
          <cell r="U25" t="str">
            <v xml:space="preserve">Se revisará la actualización SIMAT </v>
          </cell>
        </row>
        <row r="26">
          <cell r="A26">
            <v>149</v>
          </cell>
          <cell r="B26">
            <v>3</v>
          </cell>
          <cell r="C26" t="str">
            <v xml:space="preserve">BARRIOS UNIDOS </v>
          </cell>
          <cell r="D26" t="str">
            <v>PRIVADO</v>
          </cell>
          <cell r="E26" t="str">
            <v>Educación de Jóvenes y Adultos</v>
          </cell>
          <cell r="F26" t="str">
            <v>COLEGIO_TRIANGULO_CHAPINERO</v>
          </cell>
          <cell r="G26" t="str">
            <v>COLEGIO_TRIANGULO_CHAPINERO</v>
          </cell>
          <cell r="H26" t="str">
            <v>Autoevaluación Institucional y Pruebas SABER 11</v>
          </cell>
          <cell r="I26" t="str">
            <v>SEGUIMIENTO_Y_SUPERVISIÓN.</v>
          </cell>
          <cell r="J26" t="str">
            <v>Proponer estrategias en la formulación, verificar su elaboración y realizar seguimiento semestral al desarrollo de  las acciones establecidas en los planes de mejoramiento por pruebas SABER 11 de los establecimientos de educación formal.</v>
          </cell>
          <cell r="K26" t="str">
            <v xml:space="preserve">ALBERTO MIGUEL PEÑA </v>
          </cell>
          <cell r="L26" t="str">
            <v>DORIS YOLANDA LÓPEZ ARÉVALO</v>
          </cell>
          <cell r="M26">
            <v>45769</v>
          </cell>
          <cell r="N26">
            <v>45813</v>
          </cell>
          <cell r="O26">
            <v>45813</v>
          </cell>
          <cell r="P26" t="str">
            <v>Visitas de evaluación con fines de mejoramiento</v>
          </cell>
          <cell r="Q26" t="str">
            <v>Acta_Visita_Integral_Colegio_Triángulo_Chapinero.pdf</v>
          </cell>
          <cell r="R26" t="str">
            <v>Se evidenció que el índice  de acuerdo con los resultados de las Pruebas Saber los clasificó en nivel C, pese a que se evidencia estrategia de acción implementada.</v>
          </cell>
          <cell r="S26" t="str">
            <v>Se solicita incluir en el plan de mejoramiento la estrategia PONTE A PRUEBA que busca intensificar y profundizar la preparación para Saber11</v>
          </cell>
          <cell r="T26" t="str">
            <v>Si</v>
          </cell>
          <cell r="U26" t="str">
            <v xml:space="preserve"> IE remitirá el Plan de Mejoramiento incluyendo la estrategia PONTE A PRUEBA de acuerdo a requerimiento realizado</v>
          </cell>
        </row>
        <row r="27">
          <cell r="A27">
            <v>150</v>
          </cell>
          <cell r="B27">
            <v>3</v>
          </cell>
          <cell r="C27" t="str">
            <v xml:space="preserve">BARRIOS UNIDOS </v>
          </cell>
          <cell r="D27" t="str">
            <v>PRIVADO</v>
          </cell>
          <cell r="E27" t="str">
            <v>Educación de Jóvenes y Adultos</v>
          </cell>
          <cell r="F27" t="str">
            <v>COLEGIO_TRIANGULO_CHAPINERO</v>
          </cell>
          <cell r="G27" t="str">
            <v>COLEGIO_TRIANGULO_CHAPINERO</v>
          </cell>
          <cell r="H27" t="str">
            <v>Autoevaluación Institucional y Pruebas SABER 11</v>
          </cell>
          <cell r="I27" t="str">
            <v>SEGUIMIENTO_Y_SUPERVISIÓN.</v>
          </cell>
          <cell r="J27" t="str">
            <v xml:space="preserve">Verificar la implementación por parte de los colegios, de acciones realizadas para la prevención y atención de las situaciones de convivencia en el entorno escolar, según lo establecido en la Directiva 01 de 2022 del MEN. </v>
          </cell>
          <cell r="K27" t="str">
            <v xml:space="preserve">ALBERTO MIGUEL PEÑA </v>
          </cell>
          <cell r="L27" t="str">
            <v>DORIS YOLANDA LÓPEZ ARÉVALO</v>
          </cell>
          <cell r="M27">
            <v>45769</v>
          </cell>
          <cell r="N27">
            <v>45813</v>
          </cell>
          <cell r="O27">
            <v>45813</v>
          </cell>
          <cell r="P27" t="str">
            <v>Visitas de evaluación con fines de mejoramiento</v>
          </cell>
          <cell r="Q27" t="str">
            <v>Acta_Visita_Integral_Colegio_Triángulo_Chapinero.pdf</v>
          </cell>
          <cell r="R27" t="str">
            <v>Se revisaron las hojas de vidas de docentes (6), administrativos (2) y rector (1)  y se evidenció que se está realizando la verificación de antecedentes cada 4 meses.</v>
          </cell>
          <cell r="S27" t="str">
            <v>Se les indica que continúen con el proceso de revisión.</v>
          </cell>
          <cell r="T27" t="str">
            <v>No</v>
          </cell>
          <cell r="U27" t="str">
            <v>En caso de presentarse una queja por situación de convivencia escolar se verificará nuevamente.</v>
          </cell>
        </row>
        <row r="28">
          <cell r="A28">
            <v>151</v>
          </cell>
          <cell r="B28">
            <v>3</v>
          </cell>
          <cell r="C28" t="str">
            <v xml:space="preserve">BARRIOS UNIDOS </v>
          </cell>
          <cell r="D28" t="str">
            <v>PRIVADO</v>
          </cell>
          <cell r="E28" t="str">
            <v>Educación de Jóvenes y Adultos</v>
          </cell>
          <cell r="F28" t="str">
            <v>COLEGIO_TRIANGULO_CHAPINERO</v>
          </cell>
          <cell r="G28" t="str">
            <v>COLEGIO_TRIANGULO_CHAPINERO</v>
          </cell>
          <cell r="H28" t="str">
            <v>Autoevaluación Institucional y Pruebas SABER 11</v>
          </cell>
          <cell r="I28" t="str">
            <v>SEGUIMIENTO_Y_SUPERVISIÓN.</v>
          </cell>
          <cell r="J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 t="str">
            <v xml:space="preserve">ALBERTO MIGUEL PEÑA </v>
          </cell>
          <cell r="L28" t="str">
            <v>DORIS YOLANDA LÓPEZ ARÉVALO</v>
          </cell>
          <cell r="M28">
            <v>45769</v>
          </cell>
          <cell r="N28">
            <v>45813</v>
          </cell>
          <cell r="O28">
            <v>45813</v>
          </cell>
          <cell r="P28" t="str">
            <v>Visitas de evaluación con fines de mejoramiento</v>
          </cell>
          <cell r="Q28" t="str">
            <v>Acta_Visita_Integral_Colegio_Triángulo_Chapinero.pdf</v>
          </cell>
          <cell r="R28" t="str">
            <v>Se evidenció que solo un estudiante con discapacidad, el cual no cuenta con PIAR elaborado.</v>
          </cell>
          <cell r="S28" t="str">
            <v xml:space="preserve"> La IE deberá realizar el PIAR del estudiante y solicitar el diagnostico medico a los padres de familia.</v>
          </cell>
          <cell r="T28" t="str">
            <v>No</v>
          </cell>
          <cell r="U28" t="str">
            <v>Durante la visita de seguimiento, se revisara la implementación de ajustes al estudiante de inclusión</v>
          </cell>
        </row>
        <row r="29">
          <cell r="A29">
            <v>152</v>
          </cell>
          <cell r="B29">
            <v>3</v>
          </cell>
          <cell r="C29" t="str">
            <v xml:space="preserve">BARRIOS UNIDOS </v>
          </cell>
          <cell r="D29" t="str">
            <v>PRIVADO</v>
          </cell>
          <cell r="E29" t="str">
            <v>Educación de Jóvenes y Adultos</v>
          </cell>
          <cell r="F29" t="str">
            <v>COLEGIO_TRIANGULO_CHAPINERO</v>
          </cell>
          <cell r="G29" t="str">
            <v>COLEGIO_TRIANGULO_CHAPINERO</v>
          </cell>
          <cell r="H29" t="str">
            <v>Autoevaluación Institucional y Pruebas SABER 11</v>
          </cell>
          <cell r="I29" t="str">
            <v>EVALUACIÓN_CON_FINES_DE_MEJORAMIENTO.</v>
          </cell>
          <cell r="J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9" t="str">
            <v xml:space="preserve">ALBERTO MIGUEL PEÑA </v>
          </cell>
          <cell r="L29" t="str">
            <v>DORIS YOLANDA LÓPEZ ARÉVALO</v>
          </cell>
          <cell r="M29">
            <v>45769</v>
          </cell>
          <cell r="N29">
            <v>45813</v>
          </cell>
          <cell r="O29">
            <v>45813</v>
          </cell>
          <cell r="P29" t="str">
            <v>Visitas de evaluación con fines de mejoramiento</v>
          </cell>
          <cell r="Q29" t="str">
            <v>Acta_Visita_Integral_Colegio_Triángulo_Chapinero.pdf</v>
          </cell>
          <cell r="R29" t="str">
            <v>Se revisó y se encontró Manual actualizado para la presente vigencia y contiene las estrategias y mecanismo para la resolución de conflictos.</v>
          </cell>
          <cell r="S29" t="str">
            <v>Continuar con la implementación de manual de convivencia en el entorno escolar y su comunidad educativa. Sé recomienda que la ID actualice su Manual según las situaciones de convivencia presentadas.</v>
          </cell>
          <cell r="T29" t="str">
            <v>No</v>
          </cell>
          <cell r="U29" t="str">
            <v>Si se presenta queja por situación de convivencia se deberá ajustar el Manual</v>
          </cell>
        </row>
        <row r="30">
          <cell r="A30">
            <v>153</v>
          </cell>
          <cell r="B30">
            <v>3</v>
          </cell>
          <cell r="C30" t="str">
            <v xml:space="preserve">BARRIOS UNIDOS </v>
          </cell>
          <cell r="D30" t="str">
            <v>PRIVADO</v>
          </cell>
          <cell r="E30" t="str">
            <v>Educación de Jóvenes y Adultos</v>
          </cell>
          <cell r="F30" t="str">
            <v>COLEGIO_TRIANGULO_CHAPINERO</v>
          </cell>
          <cell r="G30" t="str">
            <v>COLEGIO_TRIANGULO_CHAPINERO</v>
          </cell>
          <cell r="H30" t="str">
            <v>Autoevaluación Institucional y Pruebas SABER 11</v>
          </cell>
          <cell r="I30" t="str">
            <v>EVALUACIÓN_CON_FINES_DE_MEJORAMIENTO.</v>
          </cell>
          <cell r="J30" t="str">
            <v>Revisar la actualización, socialización e implementación del Sistema Institucional de Evaluación de Estudiantes - SIEE, en articulación con la actualización del PEI y la normatividad vigente.</v>
          </cell>
          <cell r="K30" t="str">
            <v xml:space="preserve">ALBERTO MIGUEL PEÑA </v>
          </cell>
          <cell r="L30" t="str">
            <v>DORIS YOLANDA LÓPEZ ARÉVALO</v>
          </cell>
          <cell r="M30">
            <v>45769</v>
          </cell>
          <cell r="N30">
            <v>45813</v>
          </cell>
          <cell r="O30">
            <v>45813</v>
          </cell>
          <cell r="P30" t="str">
            <v>Visitas de evaluación con fines de mejoramiento</v>
          </cell>
          <cell r="Q30" t="str">
            <v>Acta_Visita_Integral_Colegio_Triángulo_Chapinero.pdf</v>
          </cell>
          <cell r="R30" t="str">
            <v>Se evidenció que el SIEE contiene las estrategias de apoyo para las diferentes situaciones de la gestión pedagógica de los estudiantes.</v>
          </cell>
          <cell r="S30" t="str">
            <v>Continuar con la implementación de SIEE y se recomienda que la ID actualice su SIEE según las situaciones presentadas.</v>
          </cell>
          <cell r="T30" t="str">
            <v>No</v>
          </cell>
          <cell r="U30" t="str">
            <v>De presentarse una nueva situación deberá ser reportada.</v>
          </cell>
        </row>
        <row r="31">
          <cell r="A31">
            <v>154</v>
          </cell>
          <cell r="B31">
            <v>3</v>
          </cell>
          <cell r="C31" t="str">
            <v xml:space="preserve">BARRIOS UNIDOS </v>
          </cell>
          <cell r="D31" t="str">
            <v>PRIVADO</v>
          </cell>
          <cell r="E31" t="str">
            <v>Educación de Jóvenes y Adultos</v>
          </cell>
          <cell r="F31" t="str">
            <v>COLEGIO_TRIANGULO_CHAPINERO</v>
          </cell>
          <cell r="G31" t="str">
            <v>COLEGIO_TRIANGULO_CHAPINERO</v>
          </cell>
          <cell r="H31" t="str">
            <v>Autoevaluación Institucional y Pruebas SABER 11</v>
          </cell>
          <cell r="I31" t="str">
            <v>EVALUACIÓN_CON_FINES_DE_MEJORAMIENTO.</v>
          </cell>
          <cell r="J31" t="str">
            <v>Revisar el calendario escolar, jornada escolar, la intensidad horaria mínima anual en cada nivel y las modificaciones que se realicen al mismo, de acuerdo con lo previsto en la normatividad vigente.</v>
          </cell>
          <cell r="K31" t="str">
            <v xml:space="preserve">ALBERTO MIGUEL PEÑA </v>
          </cell>
          <cell r="L31" t="str">
            <v>DORIS YOLANDA LÓPEZ ARÉVALO</v>
          </cell>
          <cell r="M31">
            <v>45769</v>
          </cell>
          <cell r="N31">
            <v>45813</v>
          </cell>
          <cell r="O31">
            <v>45813</v>
          </cell>
          <cell r="P31" t="str">
            <v>Visitas de evaluación con fines de mejoramiento</v>
          </cell>
          <cell r="Q31" t="str">
            <v>Acta_Visita_Integral_Colegio_Triángulo_Chapinero.pdf</v>
          </cell>
          <cell r="R31" t="str">
            <v xml:space="preserve">Se revisó el calendario académico 2025 cumpliendo con la intensidad horaria normada para los CLEI I al VI </v>
          </cell>
          <cell r="S31" t="str">
            <v>Continuar con la implementación de calendario escolar de acuerdo con las intensidades y las semanas de desarrollo académico.</v>
          </cell>
          <cell r="T31" t="str">
            <v>No</v>
          </cell>
          <cell r="U31" t="str">
            <v>De presentarse una queja se deberá actualizar .</v>
          </cell>
        </row>
        <row r="32">
          <cell r="A32">
            <v>155</v>
          </cell>
          <cell r="B32">
            <v>3</v>
          </cell>
          <cell r="C32" t="str">
            <v xml:space="preserve">BARRIOS UNIDOS </v>
          </cell>
          <cell r="D32" t="str">
            <v>PRIVADO</v>
          </cell>
          <cell r="E32" t="str">
            <v>Educación de Jóvenes y Adultos</v>
          </cell>
          <cell r="F32" t="str">
            <v>COLEGIO_TRIANGULO_CHAPINERO</v>
          </cell>
          <cell r="G32" t="str">
            <v>COLEGIO_TRIANGULO_CHAPINERO</v>
          </cell>
          <cell r="H32" t="str">
            <v>Autoevaluación Institucional y Pruebas SABER 11</v>
          </cell>
          <cell r="I32" t="str">
            <v>EVALUACIÓN_CON_FINES_DE_MEJORAMIENTO.</v>
          </cell>
          <cell r="J32" t="str">
            <v>Verificar el funcionamiento del Gobierno Escolar e instancias de participación con base en la información sobre conformación reportada por la institución educativa.</v>
          </cell>
          <cell r="K32" t="str">
            <v xml:space="preserve">ALBERTO MIGUEL PEÑA </v>
          </cell>
          <cell r="L32" t="str">
            <v>DORIS YOLANDA LÓPEZ ARÉVALO</v>
          </cell>
          <cell r="M32">
            <v>45769</v>
          </cell>
          <cell r="N32">
            <v>45813</v>
          </cell>
          <cell r="O32">
            <v>45813</v>
          </cell>
          <cell r="P32" t="str">
            <v>Visitas de evaluación con fines de mejoramiento</v>
          </cell>
          <cell r="Q32" t="str">
            <v>Acta_Visita_Integral_Colegio_Triángulo_Chapinero.pdf</v>
          </cell>
          <cell r="R32" t="str">
            <v>Se evidenció soportes de la conformación y funcionamiento del gobierno escolar.</v>
          </cell>
          <cell r="S32" t="str">
            <v>Continuar con la sesiones periódicas del Gobierno Escolar y órganos de participación como lo establece la norma y el marco de sus funciones.</v>
          </cell>
          <cell r="T32" t="str">
            <v>No</v>
          </cell>
          <cell r="U32" t="str">
            <v>Se hará seguimiento mediante la verificación de la conformación del Gobierno Escolar y estancia de participación en la siguiente vigencia</v>
          </cell>
        </row>
        <row r="33">
          <cell r="A33">
            <v>156</v>
          </cell>
          <cell r="B33">
            <v>3</v>
          </cell>
          <cell r="C33" t="str">
            <v xml:space="preserve">BARRIOS UNIDOS </v>
          </cell>
          <cell r="D33" t="str">
            <v>PRIVADO</v>
          </cell>
          <cell r="E33" t="str">
            <v>Educación de Jóvenes y Adultos</v>
          </cell>
          <cell r="F33" t="str">
            <v>COLEGIO_TRIANGULO_CHAPINERO</v>
          </cell>
          <cell r="G33" t="str">
            <v>COLEGIO_TRIANGULO_CHAPINERO</v>
          </cell>
          <cell r="H33" t="str">
            <v>Autoevaluación Institucional y Pruebas SABER 11</v>
          </cell>
          <cell r="I33" t="str">
            <v>EVALUACIÓN_CON_FINES_DE_MEJORAMIENTO.</v>
          </cell>
          <cell r="J33" t="str">
            <v>Verificar las condiciones en cuanto a: la estructura administrativa, condiciones de la planta física y medios educativos adecuados.</v>
          </cell>
          <cell r="K33" t="str">
            <v xml:space="preserve">ALBERTO MIGUEL PEÑA </v>
          </cell>
          <cell r="L33" t="str">
            <v>DORIS YOLANDA LÓPEZ ARÉVALO</v>
          </cell>
          <cell r="M33">
            <v>45769</v>
          </cell>
          <cell r="N33">
            <v>45813</v>
          </cell>
          <cell r="O33">
            <v>45813</v>
          </cell>
          <cell r="P33" t="str">
            <v>Visitas de evaluación con fines de mejoramiento</v>
          </cell>
          <cell r="Q33" t="str">
            <v>Acta_Visita_Integral_Colegio_Triángulo_Chapinero.pdf</v>
          </cell>
          <cell r="R33" t="str">
            <v>Se evidenció que los espacios son suficientes y adecuadas para la prestación del servicio sin embargo no se cuenta con espacios para población discapacidad, se evidencio que los equipos de cómputo no cuentan con software actualizado.</v>
          </cell>
          <cell r="S33" t="str">
            <v xml:space="preserve">Se solicita adecuaciones del baño para el uso de personas con discapacidad y actualización del software de los equipos de cómputo </v>
          </cell>
          <cell r="T33" t="str">
            <v>Si</v>
          </cell>
          <cell r="U33" t="str">
            <v xml:space="preserve">Cuando se realice la visita de seguimiento, se verificara los aspectos requeridos </v>
          </cell>
        </row>
        <row r="34">
          <cell r="A34">
            <v>157</v>
          </cell>
          <cell r="B34">
            <v>4</v>
          </cell>
          <cell r="C34" t="str">
            <v xml:space="preserve">BARRIOS UNIDOS </v>
          </cell>
          <cell r="D34" t="str">
            <v>PRIVADO</v>
          </cell>
          <cell r="E34" t="str">
            <v>Educación de Jóvenes y Adultos</v>
          </cell>
          <cell r="F34" t="str">
            <v>COLEGIO_GIMNASIO_AMERICANO</v>
          </cell>
          <cell r="G34" t="str">
            <v>COLEGIO_GIMNASIO_AMERICANO</v>
          </cell>
          <cell r="H34" t="str">
            <v>Autoevaluación Institucional y Pruebas SABER 11</v>
          </cell>
          <cell r="I34" t="str">
            <v>SEGUIMIENTO_Y_SUPERVISIÓN.</v>
          </cell>
          <cell r="J34" t="str">
            <v>Realizar visitas para verificar la información registrada sobre la autoevaluación institucional en el aplicativo EVI, a los establecimientos de educación formal no oficial.</v>
          </cell>
          <cell r="K34" t="str">
            <v>DORIS YOLANDA LÓPEZ ARÉVALO</v>
          </cell>
          <cell r="L34" t="str">
            <v xml:space="preserve">ALBERTO MIGUEL PEÑA </v>
          </cell>
          <cell r="M34">
            <v>45769</v>
          </cell>
          <cell r="N34">
            <v>45769</v>
          </cell>
          <cell r="O34">
            <v>45769</v>
          </cell>
          <cell r="P34" t="str">
            <v>Visitas de evaluación con fines de mejoramiento</v>
          </cell>
          <cell r="Q34" t="str">
            <v>Acta_Visita_Integral_Gimnasio_Americano.pdf</v>
          </cell>
          <cell r="R34" t="str">
            <v>Se revisa la población estudiantil que deben ajustar en SIMAT, no tienen la Resolución publicada y se revisa ejecución de calendario escolar.</v>
          </cell>
          <cell r="S34" t="str">
            <v>La IE debe ajustar y actualizar los estudiantes en la plataforma SIMAT y deben publicar Resolución en lugar visible.</v>
          </cell>
          <cell r="T34" t="str">
            <v>No</v>
          </cell>
          <cell r="U34" t="str">
            <v>Se revisará la actualización en  SIMAT y para el cierre del proceso de visita se revisará la publicación de la Resolución.</v>
          </cell>
        </row>
        <row r="35">
          <cell r="A35">
            <v>158</v>
          </cell>
          <cell r="B35">
            <v>4</v>
          </cell>
          <cell r="C35" t="str">
            <v xml:space="preserve">BARRIOS UNIDOS </v>
          </cell>
          <cell r="D35" t="str">
            <v>PRIVADO</v>
          </cell>
          <cell r="E35" t="str">
            <v>Educación de Jóvenes y Adultos</v>
          </cell>
          <cell r="F35" t="str">
            <v>COLEGIO_GIMNASIO_AMERICANO</v>
          </cell>
          <cell r="G35" t="str">
            <v>COLEGIO_GIMNASIO_AMERICANO</v>
          </cell>
          <cell r="H35" t="str">
            <v>Autoevaluación Institucional y Pruebas SABER 11</v>
          </cell>
          <cell r="I35" t="str">
            <v>SEGUIMIENTO_Y_SUPERVISIÓN.</v>
          </cell>
          <cell r="J35" t="str">
            <v>Proponer estrategias en la formulación, verificar su elaboración y realizar seguimiento semestral al desarrollo de  las acciones establecidas en los planes de mejoramiento por pruebas SABER 11 de los establecimientos de educación formal.</v>
          </cell>
          <cell r="K35" t="str">
            <v>DORIS YOLANDA LÓPEZ ARÉVALO</v>
          </cell>
          <cell r="L35" t="str">
            <v xml:space="preserve">ALBERTO MIGUEL PEÑA </v>
          </cell>
          <cell r="M35">
            <v>45769</v>
          </cell>
          <cell r="N35">
            <v>45769</v>
          </cell>
          <cell r="O35">
            <v>45769</v>
          </cell>
          <cell r="P35" t="str">
            <v>Visitas de evaluación con fines de mejoramiento</v>
          </cell>
          <cell r="Q35" t="str">
            <v>Acta_Visita_Integral_Gimnasio_Americano.pdf</v>
          </cell>
          <cell r="R35" t="str">
            <v>Se indagó acerca de estrategias que permitan elevar la categoría del colegio por los resultados Pruebas Saber 11</v>
          </cell>
          <cell r="S35" t="str">
            <v>Se revisan guías que demuestran un trabajo del cuerpo docente, así como la invitación a presentar pruebas buenas pese a ser adultos.</v>
          </cell>
          <cell r="T35" t="str">
            <v>Si</v>
          </cell>
          <cell r="U35" t="str">
            <v>IE remitirá el Plan de Mejoramiento mostrando acciones que permitan subir de categoría.</v>
          </cell>
        </row>
        <row r="36">
          <cell r="A36">
            <v>159</v>
          </cell>
          <cell r="B36">
            <v>4</v>
          </cell>
          <cell r="C36" t="str">
            <v xml:space="preserve">BARRIOS UNIDOS </v>
          </cell>
          <cell r="D36" t="str">
            <v>PRIVADO</v>
          </cell>
          <cell r="E36" t="str">
            <v>Educación de Jóvenes y Adultos</v>
          </cell>
          <cell r="F36" t="str">
            <v>COLEGIO_GIMNASIO_AMERICANO</v>
          </cell>
          <cell r="G36" t="str">
            <v>COLEGIO_GIMNASIO_AMERICANO</v>
          </cell>
          <cell r="H36" t="str">
            <v>Autoevaluación Institucional y Pruebas SABER 11</v>
          </cell>
          <cell r="I36" t="str">
            <v>SEGUIMIENTO_Y_SUPERVISIÓN.</v>
          </cell>
          <cell r="J36" t="str">
            <v xml:space="preserve">Verificar la implementación por parte de los colegios, de acciones realizadas para la prevención y atención de las situaciones de convivencia en el entorno escolar, según lo establecido en la Directiva 01 de 2022 del MEN. </v>
          </cell>
          <cell r="K36" t="str">
            <v>DORIS YOLANDA LÓPEZ ARÉVALO</v>
          </cell>
          <cell r="L36" t="str">
            <v xml:space="preserve">ALBERTO MIGUEL PEÑA </v>
          </cell>
          <cell r="M36">
            <v>45769</v>
          </cell>
          <cell r="N36">
            <v>45769</v>
          </cell>
          <cell r="O36">
            <v>45769</v>
          </cell>
          <cell r="P36" t="str">
            <v>Visitas de evaluación con fines de mejoramiento</v>
          </cell>
          <cell r="Q36" t="str">
            <v>Acta_Visita_Integral_Gimnasio_Americano.pdf</v>
          </cell>
          <cell r="R36" t="str">
            <v>Se revisó cada una de las hojas de vida de los docentes y se encontró el formato de revisión de antecedentes y con la frecuencia de tres veces al año.</v>
          </cell>
          <cell r="S36" t="str">
            <v>Se les indica que continúen con el proceso de revisión.</v>
          </cell>
          <cell r="T36" t="str">
            <v>No</v>
          </cell>
          <cell r="U36" t="str">
            <v>En caso de presentarse una queja por situación de convivencia escolar se verificará nuevamente.</v>
          </cell>
        </row>
        <row r="37">
          <cell r="A37">
            <v>160</v>
          </cell>
          <cell r="B37">
            <v>4</v>
          </cell>
          <cell r="C37" t="str">
            <v xml:space="preserve">BARRIOS UNIDOS </v>
          </cell>
          <cell r="D37" t="str">
            <v>PRIVADO</v>
          </cell>
          <cell r="E37" t="str">
            <v>Educación de Jóvenes y Adultos</v>
          </cell>
          <cell r="F37" t="str">
            <v>COLEGIO_GIMNASIO_AMERICANO</v>
          </cell>
          <cell r="G37" t="str">
            <v>COLEGIO_GIMNASIO_AMERICANO</v>
          </cell>
          <cell r="H37" t="str">
            <v>Autoevaluación Institucional y Pruebas SABER 11</v>
          </cell>
          <cell r="I37" t="str">
            <v>SEGUIMIENTO_Y_SUPERVISIÓN.</v>
          </cell>
          <cell r="J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7" t="str">
            <v>DORIS YOLANDA LÓPEZ ARÉVALO</v>
          </cell>
          <cell r="L37" t="str">
            <v xml:space="preserve">ALBERTO MIGUEL PEÑA </v>
          </cell>
          <cell r="M37">
            <v>45769</v>
          </cell>
          <cell r="N37">
            <v>45769</v>
          </cell>
          <cell r="O37">
            <v>45769</v>
          </cell>
          <cell r="P37" t="str">
            <v>Visitas de evaluación con fines de mejoramiento</v>
          </cell>
          <cell r="Q37" t="str">
            <v>Acta_Visita_Integral_Gimnasio_Americano.pdf</v>
          </cell>
          <cell r="R37" t="str">
            <v>Al momento de la visita la IE no cuenta con estudiantes de inclusión, se tiene en cuenta esta población en los documentos institucionales.</v>
          </cell>
          <cell r="S37" t="str">
            <v>Se evidencia que conocen los procesos de aplicación de ajustes y tienen zonas de acceso para los estudiantes futuros de inclusión.</v>
          </cell>
          <cell r="T37" t="str">
            <v>No</v>
          </cell>
          <cell r="U37" t="str">
            <v>Se verificará proceso cuando tengan estudiantes de inclusión.</v>
          </cell>
        </row>
        <row r="38">
          <cell r="A38">
            <v>161</v>
          </cell>
          <cell r="B38">
            <v>4</v>
          </cell>
          <cell r="C38" t="str">
            <v xml:space="preserve">BARRIOS UNIDOS </v>
          </cell>
          <cell r="D38" t="str">
            <v>PRIVADO</v>
          </cell>
          <cell r="E38" t="str">
            <v>Educación de Jóvenes y Adultos</v>
          </cell>
          <cell r="F38" t="str">
            <v>COLEGIO_GIMNASIO_AMERICANO</v>
          </cell>
          <cell r="G38" t="str">
            <v>COLEGIO_GIMNASIO_AMERICANO</v>
          </cell>
          <cell r="H38" t="str">
            <v>Autoevaluación Institucional y Pruebas SABER 11</v>
          </cell>
          <cell r="I38" t="str">
            <v>EVALUACIÓN_CON_FINES_DE_MEJORAMIENTO.</v>
          </cell>
          <cell r="J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8" t="str">
            <v>DORIS YOLANDA LÓPEZ ARÉVALO</v>
          </cell>
          <cell r="L38" t="str">
            <v xml:space="preserve">ALBERTO MIGUEL PEÑA </v>
          </cell>
          <cell r="M38">
            <v>45769</v>
          </cell>
          <cell r="N38">
            <v>45769</v>
          </cell>
          <cell r="O38">
            <v>45769</v>
          </cell>
          <cell r="P38" t="str">
            <v>Visitas de evaluación con fines de mejoramiento</v>
          </cell>
          <cell r="Q38" t="str">
            <v>Acta_Visita_Integral_Gimnasio_Americano.pdf</v>
          </cell>
          <cell r="R38" t="str">
            <v>Antes de la visita se revisó Manual de Convivencia encontrando razonabilidad y pertinencia en el documento.</v>
          </cell>
          <cell r="S38" t="str">
            <v>Se revisan documentos de participación en el planteamiento del documento y se menciona que dependiendo las situaciones, se hacen ajustes  al mismo.</v>
          </cell>
          <cell r="T38" t="str">
            <v>No</v>
          </cell>
          <cell r="U38" t="str">
            <v>Cuando se presente una situación se verificará su aplicabilidad.</v>
          </cell>
        </row>
        <row r="39">
          <cell r="A39">
            <v>162</v>
          </cell>
          <cell r="B39">
            <v>4</v>
          </cell>
          <cell r="C39" t="str">
            <v xml:space="preserve">BARRIOS UNIDOS </v>
          </cell>
          <cell r="D39" t="str">
            <v>PRIVADO</v>
          </cell>
          <cell r="E39" t="str">
            <v>Educación de Jóvenes y Adultos</v>
          </cell>
          <cell r="F39" t="str">
            <v>COLEGIO_GIMNASIO_AMERICANO</v>
          </cell>
          <cell r="G39" t="str">
            <v>COLEGIO_GIMNASIO_AMERICANO</v>
          </cell>
          <cell r="H39" t="str">
            <v>Autoevaluación Institucional y Pruebas SABER 11</v>
          </cell>
          <cell r="I39" t="str">
            <v>EVALUACIÓN_CON_FINES_DE_MEJORAMIENTO.</v>
          </cell>
          <cell r="J39" t="str">
            <v>Revisar la actualización, socialización e implementación del Sistema Institucional de Evaluación de Estudiantes - SIEE, en articulación con la actualización del PEI y la normatividad vigente.</v>
          </cell>
          <cell r="K39" t="str">
            <v>DORIS YOLANDA LÓPEZ ARÉVALO</v>
          </cell>
          <cell r="L39" t="str">
            <v xml:space="preserve">ALBERTO MIGUEL PEÑA </v>
          </cell>
          <cell r="M39">
            <v>45769</v>
          </cell>
          <cell r="N39">
            <v>45769</v>
          </cell>
          <cell r="O39">
            <v>45769</v>
          </cell>
          <cell r="P39" t="str">
            <v>Visitas de evaluación con fines de mejoramiento</v>
          </cell>
          <cell r="Q39" t="str">
            <v>Acta_Visita_Integral_Gimnasio_Americano.pdf</v>
          </cell>
          <cell r="R39" t="str">
            <v>Documentos revisados antes de la visita, lo que permitió conocer la institución y la articulación con el documento PEI.</v>
          </cell>
          <cell r="S39" t="str">
            <v>Se encuentra socialización a través de plataformas y durante la jornada de inducción de estudiantes nuevos, así como la recordación al inicio de cada semestre.</v>
          </cell>
          <cell r="T39" t="str">
            <v>No</v>
          </cell>
          <cell r="U39" t="str">
            <v>Cuando se presente una situación se verificará su aplicabilidad.</v>
          </cell>
        </row>
        <row r="40">
          <cell r="A40">
            <v>163</v>
          </cell>
          <cell r="B40">
            <v>4</v>
          </cell>
          <cell r="C40" t="str">
            <v xml:space="preserve">BARRIOS UNIDOS </v>
          </cell>
          <cell r="D40" t="str">
            <v>PRIVADO</v>
          </cell>
          <cell r="E40" t="str">
            <v>Educación de Jóvenes y Adultos</v>
          </cell>
          <cell r="F40" t="str">
            <v>COLEGIO_GIMNASIO_AMERICANO</v>
          </cell>
          <cell r="G40" t="str">
            <v>COLEGIO_GIMNASIO_AMERICANO</v>
          </cell>
          <cell r="H40" t="str">
            <v>Autoevaluación Institucional y Pruebas SABER 11</v>
          </cell>
          <cell r="I40" t="str">
            <v>EVALUACIÓN_CON_FINES_DE_MEJORAMIENTO.</v>
          </cell>
          <cell r="J40" t="str">
            <v>Revisar el calendario escolar, jornada escolar, la intensidad horaria mínima anual en cada nivel y las modificaciones que se realicen al mismo, de acuerdo con lo previsto en la normatividad vigente.</v>
          </cell>
          <cell r="K40" t="str">
            <v>DORIS YOLANDA LÓPEZ ARÉVALO</v>
          </cell>
          <cell r="L40" t="str">
            <v xml:space="preserve">ALBERTO MIGUEL PEÑA </v>
          </cell>
          <cell r="M40">
            <v>45769</v>
          </cell>
          <cell r="N40">
            <v>45769</v>
          </cell>
          <cell r="O40">
            <v>45769</v>
          </cell>
          <cell r="P40" t="str">
            <v>Visitas de evaluación con fines de mejoramiento</v>
          </cell>
          <cell r="Q40" t="str">
            <v>Acta_Visita_Integral_Gimnasio_Americano.pdf</v>
          </cell>
          <cell r="R40" t="str">
            <v>Se revisó calendario escolar y su planteamiento fue acorde en concordancia con lo normado</v>
          </cell>
          <cell r="S40" t="str">
            <v>Se les habla de la obligatoriedad de cumplir las horas para cada ciclo, entendiendo que su jornadas son ajustadas a las necesidades de los adultos.</v>
          </cell>
          <cell r="T40" t="str">
            <v>No</v>
          </cell>
          <cell r="U40" t="str">
            <v>Durante la visita de seguimiento, se revisará el cumplimiento del Desarrollo Curricular con la completitud de áreas obligatorias.</v>
          </cell>
        </row>
        <row r="41">
          <cell r="A41">
            <v>164</v>
          </cell>
          <cell r="B41">
            <v>4</v>
          </cell>
          <cell r="C41" t="str">
            <v xml:space="preserve">BARRIOS UNIDOS </v>
          </cell>
          <cell r="D41" t="str">
            <v>PRIVADO</v>
          </cell>
          <cell r="E41" t="str">
            <v>Educación de Jóvenes y Adultos</v>
          </cell>
          <cell r="F41" t="str">
            <v>COLEGIO_GIMNASIO_AMERICANO</v>
          </cell>
          <cell r="G41" t="str">
            <v>COLEGIO_GIMNASIO_AMERICANO</v>
          </cell>
          <cell r="H41" t="str">
            <v>Autoevaluación Institucional y Pruebas SABER 11</v>
          </cell>
          <cell r="I41" t="str">
            <v>EVALUACIÓN_CON_FINES_DE_MEJORAMIENTO.</v>
          </cell>
          <cell r="J41" t="str">
            <v>Verificar el funcionamiento del Gobierno Escolar e instancias de participación con base en la información sobre conformación reportada por la institución educativa.</v>
          </cell>
          <cell r="K41" t="str">
            <v>DORIS YOLANDA LÓPEZ ARÉVALO</v>
          </cell>
          <cell r="L41" t="str">
            <v xml:space="preserve">ALBERTO MIGUEL PEÑA </v>
          </cell>
          <cell r="M41">
            <v>45769</v>
          </cell>
          <cell r="N41">
            <v>45769</v>
          </cell>
          <cell r="O41">
            <v>45769</v>
          </cell>
          <cell r="P41" t="str">
            <v>Visitas de evaluación con fines de mejoramiento</v>
          </cell>
          <cell r="Q41" t="str">
            <v>Acta_Visita_Integral_Gimnasio_Americano.pdf</v>
          </cell>
          <cell r="R41" t="str">
            <v>Las Actas de Gobierno escolar fueron revisadas, encontrando una conformación según lo normado y en concordancia con lo reportado en la plataforma SAE.</v>
          </cell>
          <cell r="S41" t="str">
            <v>Se evidencian carpetas que contienen las actas de reunión, con los datos específicos de cada una de ellas.</v>
          </cell>
          <cell r="T41" t="str">
            <v>No</v>
          </cell>
          <cell r="U41" t="str">
            <v>Se procederá a revisar en caso de que se presente alguna queja.</v>
          </cell>
        </row>
        <row r="42">
          <cell r="A42">
            <v>166</v>
          </cell>
          <cell r="B42">
            <v>5</v>
          </cell>
          <cell r="C42" t="str">
            <v xml:space="preserve">BARRIOS UNIDOS </v>
          </cell>
          <cell r="D42" t="str">
            <v>PRIVADO</v>
          </cell>
          <cell r="E42" t="str">
            <v>Educación de Jóvenes y Adultos</v>
          </cell>
          <cell r="F42" t="str">
            <v>CENTRO_DE_PROMOCION_SAN_JOSE</v>
          </cell>
          <cell r="G42" t="str">
            <v>CENTRO_DE_PROMOCION_SAN_JOSE</v>
          </cell>
          <cell r="H42" t="str">
            <v>Autoevaluación Institucional y Pruebas SABER 11</v>
          </cell>
          <cell r="I42" t="str">
            <v>SEGUIMIENTO_Y_SUPERVISIÓN.</v>
          </cell>
          <cell r="J42"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42" t="str">
            <v>DORIS YOLANDA LÓPEZ ARÉVALO</v>
          </cell>
          <cell r="L42" t="str">
            <v xml:space="preserve">ALBERTO MIGUEL PEÑA </v>
          </cell>
          <cell r="M42">
            <v>45768</v>
          </cell>
          <cell r="N42">
            <v>45768</v>
          </cell>
          <cell r="O42">
            <v>45768</v>
          </cell>
          <cell r="P42" t="str">
            <v>Visitas de evaluación con fines de mejoramiento</v>
          </cell>
          <cell r="Q42" t="str">
            <v>Acta_Visita_Integral_Centro_de_Promoción_San_José.pdf</v>
          </cell>
          <cell r="R42" t="str">
            <v xml:space="preserve">Se revisó el SIMAT con 51 estudiantes y en la IE solo tienen 18, el rector manifiesta que es un error que no se ha podido subsanar, lo cual le genero muchos estudiantes para las instalaciones que tiene, contribuyendo a su clasificación en Controlado </v>
          </cell>
          <cell r="S42" t="str">
            <v>Se comparten datos de profesionales de cobertura para que proceda a realizar el ajuste en la plataforma de acuerdo a la realidad</v>
          </cell>
          <cell r="T42" t="str">
            <v>Si</v>
          </cell>
          <cell r="U42" t="str">
            <v>Es una revisión y ajuste que se realizará antes de la época de Costos 2026.</v>
          </cell>
        </row>
        <row r="43">
          <cell r="A43">
            <v>167</v>
          </cell>
          <cell r="B43">
            <v>5</v>
          </cell>
          <cell r="C43" t="str">
            <v xml:space="preserve">BARRIOS UNIDOS </v>
          </cell>
          <cell r="D43" t="str">
            <v>PRIVADO</v>
          </cell>
          <cell r="E43" t="str">
            <v>Educación de Jóvenes y Adultos</v>
          </cell>
          <cell r="F43" t="str">
            <v>CENTRO_DE_PROMOCION_SAN_JOSE</v>
          </cell>
          <cell r="G43" t="str">
            <v>CENTRO_DE_PROMOCION_SAN_JOSE</v>
          </cell>
          <cell r="H43" t="str">
            <v>Autoevaluación Institucional y Pruebas SABER 11</v>
          </cell>
          <cell r="I43" t="str">
            <v>SEGUIMIENTO_Y_SUPERVISIÓN.</v>
          </cell>
          <cell r="J43" t="str">
            <v>Realizar visitas para verificar la información registrada sobre la autoevaluación institucional en el aplicativo EVI, a los establecimientos de educación formal no oficial.</v>
          </cell>
          <cell r="K43" t="str">
            <v>DORIS YOLANDA LÓPEZ ARÉVALO</v>
          </cell>
          <cell r="L43" t="str">
            <v xml:space="preserve">ALBERTO MIGUEL PEÑA </v>
          </cell>
          <cell r="M43">
            <v>45768</v>
          </cell>
          <cell r="N43">
            <v>45768</v>
          </cell>
          <cell r="O43">
            <v>45768</v>
          </cell>
          <cell r="P43" t="str">
            <v>Visitas de evaluación con fines de mejoramiento</v>
          </cell>
          <cell r="Q43" t="str">
            <v>Acta_Visita_Integral_Centro_de_Promoción_San_José.pdf</v>
          </cell>
          <cell r="R43" t="str">
            <v>Se revisó durante el recorrido las aulas con los medios educativos encontrando el salón de sistemas desactualizado.</v>
          </cell>
          <cell r="S43" t="str">
            <v>se solicita actualización de software y hardware para que los estudiantes tengan acceso de calidad desde el plantel estudiantil.</v>
          </cell>
          <cell r="T43" t="str">
            <v>Si</v>
          </cell>
          <cell r="U43" t="str">
            <v>Durante la visita de seguimiento, se revisara la implementación de ajustes al estudiante de inclusión</v>
          </cell>
        </row>
        <row r="44">
          <cell r="A44">
            <v>168</v>
          </cell>
          <cell r="B44">
            <v>5</v>
          </cell>
          <cell r="C44" t="str">
            <v xml:space="preserve">BARRIOS UNIDOS </v>
          </cell>
          <cell r="D44" t="str">
            <v>PRIVADO</v>
          </cell>
          <cell r="E44" t="str">
            <v>Educación de Jóvenes y Adultos</v>
          </cell>
          <cell r="F44" t="str">
            <v>CENTRO_DE_PROMOCION_SAN_JOSE</v>
          </cell>
          <cell r="G44" t="str">
            <v>CENTRO_DE_PROMOCION_SAN_JOSE</v>
          </cell>
          <cell r="H44" t="str">
            <v>Autoevaluación Institucional y Pruebas SABER 11</v>
          </cell>
          <cell r="I44" t="str">
            <v>SEGUIMIENTO_Y_SUPERVISIÓN.</v>
          </cell>
          <cell r="J44" t="str">
            <v>Proponer estrategias en la formulación, verificar su elaboración y realizar seguimiento semestral al desarrollo de  las acciones establecidas en los planes de mejoramiento por pruebas SABER 11 de los establecimientos de educación formal.</v>
          </cell>
          <cell r="K44" t="str">
            <v>DORIS YOLANDA LÓPEZ ARÉVALO</v>
          </cell>
          <cell r="L44" t="str">
            <v xml:space="preserve">ALBERTO MIGUEL PEÑA </v>
          </cell>
          <cell r="M44">
            <v>45768</v>
          </cell>
          <cell r="N44">
            <v>45768</v>
          </cell>
          <cell r="O44">
            <v>45768</v>
          </cell>
          <cell r="P44" t="str">
            <v>Visitas de evaluación con fines de mejoramiento</v>
          </cell>
          <cell r="Q44" t="str">
            <v>Acta_Visita_Integral_Centro_de_Promoción_San_José.pdf</v>
          </cell>
          <cell r="R44" t="str">
            <v>Es el establecimiento con las notas más bajas de la localidad, sin embargo los estudiantes no ven la importancia del examen, su meta es el diploma</v>
          </cell>
          <cell r="S44" t="str">
            <v>Se solicita que busquen maneras de incentivar y comprometer a los estudiantes con los resultados en las Pruebas Saber.</v>
          </cell>
          <cell r="T44" t="str">
            <v>Si</v>
          </cell>
          <cell r="U44" t="str">
            <v>Se recibirá plan de mejoramiento institucional con las estrategias de acción al respecto.</v>
          </cell>
        </row>
        <row r="45">
          <cell r="A45">
            <v>169</v>
          </cell>
          <cell r="B45">
            <v>5</v>
          </cell>
          <cell r="C45" t="str">
            <v xml:space="preserve">BARRIOS UNIDOS </v>
          </cell>
          <cell r="D45" t="str">
            <v>PRIVADO</v>
          </cell>
          <cell r="E45" t="str">
            <v>Educación de Jóvenes y Adultos</v>
          </cell>
          <cell r="F45" t="str">
            <v>CENTRO_DE_PROMOCION_SAN_JOSE</v>
          </cell>
          <cell r="G45" t="str">
            <v>CENTRO_DE_PROMOCION_SAN_JOSE</v>
          </cell>
          <cell r="H45" t="str">
            <v>Autoevaluación Institucional y Pruebas SABER 11</v>
          </cell>
          <cell r="I45" t="str">
            <v>SEGUIMIENTO_Y_SUPERVISIÓN.</v>
          </cell>
          <cell r="J45" t="str">
            <v xml:space="preserve">Verificar la implementación por parte de los colegios, de acciones realizadas para la prevención y atención de las situaciones de convivencia en el entorno escolar, según lo establecido en la Directiva 01 de 2022 del MEN. </v>
          </cell>
          <cell r="K45" t="str">
            <v>DORIS YOLANDA LÓPEZ ARÉVALO</v>
          </cell>
          <cell r="L45" t="str">
            <v xml:space="preserve">ALBERTO MIGUEL PEÑA </v>
          </cell>
          <cell r="M45">
            <v>45768</v>
          </cell>
          <cell r="N45">
            <v>45768</v>
          </cell>
          <cell r="O45">
            <v>45768</v>
          </cell>
          <cell r="P45" t="str">
            <v>Visitas de evaluación con fines de mejoramiento</v>
          </cell>
          <cell r="Q45" t="str">
            <v>Acta_Visita_Integral_Centro_de_Promoción_San_José.pdf</v>
          </cell>
          <cell r="R45" t="str">
            <v>Se revisa cada una de las hojas de vida de los docentes que conforman la institución y se encuentra que no realizan revisión de antecedentes sexuales, en concordancia con la Directiva MEN.</v>
          </cell>
          <cell r="S45" t="str">
            <v>Se le comparte link de acceso y Directiva para que nuevamente la lea y la aplique, entendiendo que es obligatoria su aplicación.</v>
          </cell>
          <cell r="T45" t="str">
            <v>Si</v>
          </cell>
          <cell r="U45" t="str">
            <v>Se deberá plasmar en el Plan de Mejoramiento Institucional de manera inmediata la revisión propuesta, en aras de garantizar el bienestar de los estudiantes y la comunidad en general.</v>
          </cell>
        </row>
        <row r="46">
          <cell r="A46">
            <v>170</v>
          </cell>
          <cell r="B46">
            <v>5</v>
          </cell>
          <cell r="C46" t="str">
            <v xml:space="preserve">BARRIOS UNIDOS </v>
          </cell>
          <cell r="D46" t="str">
            <v>PRIVADO</v>
          </cell>
          <cell r="E46" t="str">
            <v>Educación de Jóvenes y Adultos</v>
          </cell>
          <cell r="F46" t="str">
            <v>CENTRO_DE_PROMOCION_SAN_JOSE</v>
          </cell>
          <cell r="G46" t="str">
            <v>CENTRO_DE_PROMOCION_SAN_JOSE</v>
          </cell>
          <cell r="H46" t="str">
            <v>Autoevaluación Institucional y Pruebas SABER 11</v>
          </cell>
          <cell r="I46" t="str">
            <v>SEGUIMIENTO_Y_SUPERVISIÓN.</v>
          </cell>
          <cell r="J4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6" t="str">
            <v>DORIS YOLANDA LÓPEZ ARÉVALO</v>
          </cell>
          <cell r="L46" t="str">
            <v xml:space="preserve">ALBERTO MIGUEL PEÑA </v>
          </cell>
          <cell r="M46">
            <v>45768</v>
          </cell>
          <cell r="N46">
            <v>45768</v>
          </cell>
          <cell r="O46">
            <v>45768</v>
          </cell>
          <cell r="P46" t="str">
            <v>Visitas de evaluación con fines de mejoramiento</v>
          </cell>
          <cell r="Q46" t="str">
            <v>Acta_Visita_Integral_Centro_de_Promoción_San_José.pdf</v>
          </cell>
          <cell r="R46" t="str">
            <v>Pese a que en SIMAT hay estudiantes de inclusión, no se cuenta con estudiantes de inclusión vigentes matriculados.</v>
          </cell>
          <cell r="S46" t="str">
            <v>Se comparten datos de profesionales de cobertura para que proceda a realizar el ajuste en la plataforma de acuerdo a la realidad</v>
          </cell>
          <cell r="T46" t="str">
            <v>Si</v>
          </cell>
          <cell r="U46" t="str">
            <v>Se verificará el ajuste en el SIMAT, antes del mes de octubre de 2025.</v>
          </cell>
        </row>
        <row r="47">
          <cell r="A47">
            <v>171</v>
          </cell>
          <cell r="B47">
            <v>5</v>
          </cell>
          <cell r="C47" t="str">
            <v xml:space="preserve">BARRIOS UNIDOS </v>
          </cell>
          <cell r="D47" t="str">
            <v>PRIVADO</v>
          </cell>
          <cell r="E47" t="str">
            <v>Educación de Jóvenes y Adultos</v>
          </cell>
          <cell r="F47" t="str">
            <v>CENTRO_DE_PROMOCION_SAN_JOSE</v>
          </cell>
          <cell r="G47" t="str">
            <v>CENTRO_DE_PROMOCION_SAN_JOSE</v>
          </cell>
          <cell r="H47" t="str">
            <v>Autoevaluación Institucional y Pruebas SABER 11</v>
          </cell>
          <cell r="I47" t="str">
            <v>EVALUACIÓN_CON_FINES_DE_MEJORAMIENTO.</v>
          </cell>
          <cell r="J4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7" t="str">
            <v>DORIS YOLANDA LÓPEZ ARÉVALO</v>
          </cell>
          <cell r="L47" t="str">
            <v xml:space="preserve">ALBERTO MIGUEL PEÑA </v>
          </cell>
          <cell r="M47">
            <v>45768</v>
          </cell>
          <cell r="N47">
            <v>45768</v>
          </cell>
          <cell r="O47">
            <v>45768</v>
          </cell>
          <cell r="P47" t="str">
            <v>Visitas de evaluación con fines de mejoramiento</v>
          </cell>
          <cell r="Q47" t="str">
            <v>Acta_Visita_Integral_Centro_de_Promoción_San_José.pdf</v>
          </cell>
          <cell r="R47" t="str">
            <v>Revisado el Manual de convivencia se encuentra un documento ajustado a la norma, con inclusión de enfoques y aplicación de justicia escolar restaurativa.</v>
          </cell>
          <cell r="S47" t="str">
            <v>Se revisan documentos de participación en el planteamiento del documento y se menciona que dependiendo las situaciones, se hacen ajustes  al mismo.</v>
          </cell>
          <cell r="T47" t="str">
            <v>No</v>
          </cell>
          <cell r="U47" t="str">
            <v>Cuando se presente una situación se verificará su aplicabilidad.</v>
          </cell>
        </row>
        <row r="48">
          <cell r="A48">
            <v>172</v>
          </cell>
          <cell r="B48">
            <v>5</v>
          </cell>
          <cell r="C48" t="str">
            <v xml:space="preserve">BARRIOS UNIDOS </v>
          </cell>
          <cell r="D48" t="str">
            <v>PRIVADO</v>
          </cell>
          <cell r="E48" t="str">
            <v>Educación de Jóvenes y Adultos</v>
          </cell>
          <cell r="F48" t="str">
            <v>CENTRO_DE_PROMOCION_SAN_JOSE</v>
          </cell>
          <cell r="G48" t="str">
            <v>CENTRO_DE_PROMOCION_SAN_JOSE</v>
          </cell>
          <cell r="H48" t="str">
            <v>Autoevaluación Institucional y Pruebas SABER 11</v>
          </cell>
          <cell r="I48" t="str">
            <v>EVALUACIÓN_CON_FINES_DE_MEJORAMIENTO.</v>
          </cell>
          <cell r="J48" t="str">
            <v>Revisar la actualización, socialización e implementación del Sistema Institucional de Evaluación de Estudiantes - SIEE, en articulación con la actualización del PEI y la normatividad vigente.</v>
          </cell>
          <cell r="K48" t="str">
            <v>DORIS YOLANDA LÓPEZ ARÉVALO</v>
          </cell>
          <cell r="L48" t="str">
            <v xml:space="preserve">ALBERTO MIGUEL PEÑA </v>
          </cell>
          <cell r="M48">
            <v>45768</v>
          </cell>
          <cell r="N48">
            <v>45768</v>
          </cell>
          <cell r="O48">
            <v>45768</v>
          </cell>
          <cell r="P48" t="str">
            <v>Visitas de evaluación con fines de mejoramiento</v>
          </cell>
          <cell r="Q48" t="str">
            <v>Acta_Visita_Integral_Centro_de_Promoción_San_José.pdf</v>
          </cell>
          <cell r="R48" t="str">
            <v>Documentos revisados antes de la visita, lo que permitió conocer la institución y la articulación con el documento PEI.</v>
          </cell>
          <cell r="S48" t="str">
            <v>Se encuentra socialización a través de las jornadas de inducción de estudiantes nuevos, así como la recordación al inicio de cada semestre.</v>
          </cell>
          <cell r="T48" t="str">
            <v>No</v>
          </cell>
          <cell r="U48" t="str">
            <v>Cuando se presente una situación se verificará su aplicabilidad.</v>
          </cell>
        </row>
        <row r="49">
          <cell r="A49">
            <v>173</v>
          </cell>
          <cell r="B49">
            <v>5</v>
          </cell>
          <cell r="C49" t="str">
            <v xml:space="preserve">BARRIOS UNIDOS </v>
          </cell>
          <cell r="D49" t="str">
            <v>PRIVADO</v>
          </cell>
          <cell r="E49" t="str">
            <v>Educación de Jóvenes y Adultos</v>
          </cell>
          <cell r="F49" t="str">
            <v>CENTRO_DE_PROMOCION_SAN_JOSE</v>
          </cell>
          <cell r="G49" t="str">
            <v>CENTRO_DE_PROMOCION_SAN_JOSE</v>
          </cell>
          <cell r="H49" t="str">
            <v>Autoevaluación Institucional y Pruebas SABER 11</v>
          </cell>
          <cell r="I49" t="str">
            <v>EVALUACIÓN_CON_FINES_DE_MEJORAMIENTO.</v>
          </cell>
          <cell r="J49" t="str">
            <v>Revisar el calendario escolar, jornada escolar, la intensidad horaria mínima anual en cada nivel y las modificaciones que se realicen al mismo, de acuerdo con lo previsto en la normatividad vigente.</v>
          </cell>
          <cell r="K49" t="str">
            <v>DORIS YOLANDA LÓPEZ ARÉVALO</v>
          </cell>
          <cell r="L49" t="str">
            <v xml:space="preserve">ALBERTO MIGUEL PEÑA </v>
          </cell>
          <cell r="M49">
            <v>45768</v>
          </cell>
          <cell r="N49">
            <v>45768</v>
          </cell>
          <cell r="O49">
            <v>45768</v>
          </cell>
          <cell r="P49" t="str">
            <v>Visitas de evaluación con fines de mejoramiento</v>
          </cell>
          <cell r="Q49" t="str">
            <v>Acta_Visita_Integral_Centro_de_Promoción_San_José.pdf</v>
          </cell>
          <cell r="R49" t="str">
            <v>Se revisó calendario escolar y su planteamiento fue acorde en concordancia con lo normado</v>
          </cell>
          <cell r="S49" t="str">
            <v>Se les habla de la obligatoriedad de cumplir las horas para cada ciclo, entendiendo que su jornadas son ajustadas a las necesidades de los adultos.</v>
          </cell>
          <cell r="T49" t="str">
            <v>No</v>
          </cell>
          <cell r="U49" t="str">
            <v>Durante la visita de seguimiento, se revisará el cumplimiento del Desarrollo Curricular con la completitud de áreas obligatorias.</v>
          </cell>
        </row>
        <row r="50">
          <cell r="A50">
            <v>174</v>
          </cell>
          <cell r="B50">
            <v>5</v>
          </cell>
          <cell r="C50" t="str">
            <v xml:space="preserve">BARRIOS UNIDOS </v>
          </cell>
          <cell r="D50" t="str">
            <v>PRIVADO</v>
          </cell>
          <cell r="E50" t="str">
            <v>Educación de Jóvenes y Adultos</v>
          </cell>
          <cell r="F50" t="str">
            <v>CENTRO_DE_PROMOCION_SAN_JOSE</v>
          </cell>
          <cell r="G50" t="str">
            <v>CENTRO_DE_PROMOCION_SAN_JOSE</v>
          </cell>
          <cell r="H50" t="str">
            <v>Autoevaluación Institucional y Pruebas SABER 11</v>
          </cell>
          <cell r="I50" t="str">
            <v>EVALUACIÓN_CON_FINES_DE_MEJORAMIENTO.</v>
          </cell>
          <cell r="J50" t="str">
            <v>Verificar el funcionamiento del Gobierno Escolar e instancias de participación con base en la información sobre conformación reportada por la institución educativa.</v>
          </cell>
          <cell r="K50" t="str">
            <v>DORIS YOLANDA LÓPEZ ARÉVALO</v>
          </cell>
          <cell r="L50" t="str">
            <v xml:space="preserve">ALBERTO MIGUEL PEÑA </v>
          </cell>
          <cell r="M50">
            <v>45768</v>
          </cell>
          <cell r="N50">
            <v>45768</v>
          </cell>
          <cell r="O50">
            <v>45768</v>
          </cell>
          <cell r="P50" t="str">
            <v>Visitas de evaluación con fines de mejoramiento</v>
          </cell>
          <cell r="Q50" t="str">
            <v>Acta_Visita_Integral_Centro_de_Promoción_San_José.pdf</v>
          </cell>
          <cell r="R50" t="str">
            <v>Las Actas de Gobierno escolar fueron revisadas, encontrando una conformación según lo normado sin embargo no se han cargado en la plataforma SAE.</v>
          </cell>
          <cell r="S50" t="str">
            <v>Se solicita que deben cargar la información de conformación en la plataforma que está designada para tal fin.</v>
          </cell>
          <cell r="T50" t="str">
            <v>Si</v>
          </cell>
          <cell r="U50" t="str">
            <v>De manera inmediata se solicita el cargue al SAE so pena de incurrir en falta administrativa.</v>
          </cell>
        </row>
        <row r="51">
          <cell r="A51">
            <v>175</v>
          </cell>
          <cell r="B51">
            <v>5</v>
          </cell>
          <cell r="C51" t="str">
            <v xml:space="preserve">BARRIOS UNIDOS </v>
          </cell>
          <cell r="D51" t="str">
            <v>PRIVADO</v>
          </cell>
          <cell r="E51" t="str">
            <v>Educación de Jóvenes y Adultos</v>
          </cell>
          <cell r="F51" t="str">
            <v>CENTRO_DE_PROMOCION_SAN_JOSE</v>
          </cell>
          <cell r="G51" t="str">
            <v>CENTRO_DE_PROMOCION_SAN_JOSE</v>
          </cell>
          <cell r="H51" t="str">
            <v>Autoevaluación Institucional y Pruebas SABER 11</v>
          </cell>
          <cell r="I51" t="str">
            <v>EVALUACIÓN_CON_FINES_DE_MEJORAMIENTO.</v>
          </cell>
          <cell r="J51" t="str">
            <v>Verificar las condiciones en cuanto a: la estructura administrativa, condiciones de la planta física y medios educativos adecuados.</v>
          </cell>
          <cell r="K51" t="str">
            <v>DORIS YOLANDA LÓPEZ ARÉVALO</v>
          </cell>
          <cell r="L51" t="str">
            <v xml:space="preserve">ALBERTO MIGUEL PEÑA </v>
          </cell>
          <cell r="M51">
            <v>45768</v>
          </cell>
          <cell r="N51">
            <v>45768</v>
          </cell>
          <cell r="O51">
            <v>45768</v>
          </cell>
          <cell r="P51" t="str">
            <v>Visitas de evaluación con fines de mejoramiento</v>
          </cell>
          <cell r="Q51" t="str">
            <v>Acta_Visita_Integral_Centro_de_Promoción_San_José.pdf</v>
          </cell>
          <cell r="R51" t="str">
            <v>Las Actas de Gobierno escolar fueron revisadas, encontrando una conformación según lo normado.</v>
          </cell>
          <cell r="S51" t="str">
            <v>Se evidencian carpetas que contienen las actas de reunión, con los datos específicos de cada una de ellas.</v>
          </cell>
          <cell r="T51" t="str">
            <v>No</v>
          </cell>
          <cell r="U51" t="str">
            <v>Se procederá a revisar en caso de que se presente alguna queja.</v>
          </cell>
        </row>
        <row r="52">
          <cell r="A52">
            <v>176</v>
          </cell>
          <cell r="B52">
            <v>6</v>
          </cell>
          <cell r="C52" t="str">
            <v xml:space="preserve">BARRIOS UNIDOS </v>
          </cell>
          <cell r="D52" t="str">
            <v>PRIVADO</v>
          </cell>
          <cell r="E52" t="str">
            <v>EPBM</v>
          </cell>
          <cell r="F52" t="str">
            <v>COLEGIO_SANTA_ROSA_DE_LIMA</v>
          </cell>
          <cell r="G52" t="str">
            <v>COLEGIO_SANTA_ROSA_DE_LIMA</v>
          </cell>
          <cell r="H52" t="str">
            <v>Autoevaluación Institucional y Pruebas SABER 11</v>
          </cell>
          <cell r="I52" t="str">
            <v>SEGUIMIENTO_Y_SUPERVISIÓN.</v>
          </cell>
          <cell r="J52" t="str">
            <v>Realizar visitas para verificar la información registrada sobre la autoevaluación institucional en el aplicativo EVI, a los establecimientos de educación formal no oficial.</v>
          </cell>
          <cell r="K52" t="str">
            <v xml:space="preserve">ALBERTO MIGUEL PEÑA </v>
          </cell>
          <cell r="L52" t="str">
            <v>DORIS YOLANDA LÓPEZ ARÉVALO</v>
          </cell>
          <cell r="M52">
            <v>45756</v>
          </cell>
          <cell r="N52" t="str">
            <v>29/04/2025</v>
          </cell>
          <cell r="O52" t="str">
            <v>29/04/2025</v>
          </cell>
          <cell r="P52" t="str">
            <v>Visitas de evaluación con fines de mejoramiento</v>
          </cell>
          <cell r="Q52" t="str">
            <v>Acta_Visita_Integral_Colegio_Santa_Rosa_de_Lima.pdf</v>
          </cell>
          <cell r="R52" t="str">
            <v xml:space="preserve">Se encontró una diferencia respecto al certificado del SIMAT de 2 estudiantes en total. </v>
          </cell>
          <cell r="S52" t="str">
            <v>La IE debe ajustar y actualizar los estudiantes en la plataforma SIMAT</v>
          </cell>
          <cell r="T52" t="str">
            <v>No</v>
          </cell>
          <cell r="U52" t="str">
            <v xml:space="preserve">Se revisará la actualización en  SIMAT </v>
          </cell>
        </row>
        <row r="53">
          <cell r="A53">
            <v>177</v>
          </cell>
          <cell r="B53">
            <v>6</v>
          </cell>
          <cell r="C53" t="str">
            <v xml:space="preserve">BARRIOS UNIDOS </v>
          </cell>
          <cell r="D53" t="str">
            <v>PRIVADO</v>
          </cell>
          <cell r="E53" t="str">
            <v>EPBM</v>
          </cell>
          <cell r="F53" t="str">
            <v>COLEGIO_SANTA_ROSA_DE_LIMA</v>
          </cell>
          <cell r="G53" t="str">
            <v>COLEGIO_SANTA_ROSA_DE_LIMA</v>
          </cell>
          <cell r="H53" t="str">
            <v>Autoevaluación Institucional y Pruebas SABER 11</v>
          </cell>
          <cell r="I53" t="str">
            <v>SEGUIMIENTO_Y_SUPERVISIÓN.</v>
          </cell>
          <cell r="J53" t="str">
            <v>Proponer estrategias en la formulación, verificar su elaboración y realizar seguimiento semestral al desarrollo de  las acciones establecidas en los planes de mejoramiento por pruebas SABER 11 de los establecimientos de educación formal.</v>
          </cell>
          <cell r="K53" t="str">
            <v xml:space="preserve">ALBERTO MIGUEL PEÑA </v>
          </cell>
          <cell r="L53" t="str">
            <v>DORIS YOLANDA LÓPEZ ARÉVALO</v>
          </cell>
          <cell r="M53">
            <v>45756</v>
          </cell>
          <cell r="N53" t="str">
            <v>29/04/2025</v>
          </cell>
          <cell r="O53" t="str">
            <v>29/04/2025</v>
          </cell>
          <cell r="P53" t="str">
            <v>Visita con fines de Inspección y Vigilancia</v>
          </cell>
          <cell r="Q53" t="str">
            <v>Acta_Visita_Integral_Colegio_Santa_Rosa_de_Lima.pdf</v>
          </cell>
          <cell r="R53" t="str">
            <v>Se revisaron los resultados de los 5 componentes de las pruebas saber 11 obtenidos por la institución. La institución se encuentra en categoría A+ por los resultados de las pruebas saber 2024 .</v>
          </cell>
          <cell r="S53" t="str">
            <v>Se les indica que continúen con las estrategias de trabajo para el desarrollo de los componentes de las pruebas saber 11</v>
          </cell>
          <cell r="T53" t="str">
            <v>No</v>
          </cell>
          <cell r="U53" t="str">
            <v>Se revisará resultados pruebas saber 11 del año 2025</v>
          </cell>
        </row>
        <row r="54">
          <cell r="A54">
            <v>178</v>
          </cell>
          <cell r="B54">
            <v>6</v>
          </cell>
          <cell r="C54" t="str">
            <v xml:space="preserve">BARRIOS UNIDOS </v>
          </cell>
          <cell r="D54" t="str">
            <v>PRIVADO</v>
          </cell>
          <cell r="E54" t="str">
            <v>EPBM</v>
          </cell>
          <cell r="F54" t="str">
            <v>COLEGIO_SANTA_ROSA_DE_LIMA</v>
          </cell>
          <cell r="G54" t="str">
            <v>COLEGIO_SANTA_ROSA_DE_LIMA</v>
          </cell>
          <cell r="H54" t="str">
            <v>Autoevaluación Institucional y Pruebas SABER 11</v>
          </cell>
          <cell r="I54" t="str">
            <v>SEGUIMIENTO_Y_SUPERVISIÓN.</v>
          </cell>
          <cell r="J54" t="str">
            <v xml:space="preserve">Verificar la implementación por parte de los colegios, de acciones realizadas para la prevención y atención de las situaciones de convivencia en el entorno escolar, según lo establecido en la Directiva 01 de 2022 del MEN. </v>
          </cell>
          <cell r="K54" t="str">
            <v xml:space="preserve">ALBERTO MIGUEL PEÑA </v>
          </cell>
          <cell r="L54" t="str">
            <v>DORIS YOLANDA LÓPEZ ARÉVALO</v>
          </cell>
          <cell r="M54">
            <v>45756</v>
          </cell>
          <cell r="N54" t="str">
            <v>29/04/2025</v>
          </cell>
          <cell r="O54" t="str">
            <v>29/04/2025</v>
          </cell>
          <cell r="P54" t="str">
            <v>Visita con fines de Inspección y Vigilancia</v>
          </cell>
          <cell r="Q54" t="str">
            <v>Acta_Visita_Integral_Colegio_Santa_Rosa_de_Lima.pdf</v>
          </cell>
          <cell r="R54" t="str">
            <v>Se recibieron y revisaron las hojas de vida de los docentes que hacen parte de la institución educativa y no se encuentra la revisión de antecedentes sexuales del personal que conforma el establecimiento educativo.</v>
          </cell>
          <cell r="S54" t="str">
            <v>Se solicita revisar los antecedentes de conformidad con la Directiva 001 de 2022</v>
          </cell>
          <cell r="T54" t="str">
            <v>Si</v>
          </cell>
          <cell r="U54" t="str">
            <v>IE remitirá el Plan de Mejoramiento para el próximo 13 de junio 2025.</v>
          </cell>
        </row>
        <row r="55">
          <cell r="A55">
            <v>179</v>
          </cell>
          <cell r="B55">
            <v>6</v>
          </cell>
          <cell r="C55" t="str">
            <v xml:space="preserve">BARRIOS UNIDOS </v>
          </cell>
          <cell r="D55" t="str">
            <v>PRIVADO</v>
          </cell>
          <cell r="E55" t="str">
            <v>EPBM</v>
          </cell>
          <cell r="F55" t="str">
            <v>COLEGIO_SANTA_ROSA_DE_LIMA</v>
          </cell>
          <cell r="G55" t="str">
            <v>COLEGIO_SANTA_ROSA_DE_LIMA</v>
          </cell>
          <cell r="H55" t="str">
            <v>Autoevaluación Institucional y Pruebas SABER 11</v>
          </cell>
          <cell r="I55" t="str">
            <v>SEGUIMIENTO_Y_SUPERVISIÓN.</v>
          </cell>
          <cell r="J5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5" t="str">
            <v xml:space="preserve">ALBERTO MIGUEL PEÑA </v>
          </cell>
          <cell r="L55" t="str">
            <v>DORIS YOLANDA LÓPEZ ARÉVALO</v>
          </cell>
          <cell r="M55">
            <v>45756</v>
          </cell>
          <cell r="N55" t="str">
            <v>29/04/2025</v>
          </cell>
          <cell r="O55" t="str">
            <v>29/04/2025</v>
          </cell>
          <cell r="P55" t="str">
            <v>Visita con fines de Inspección y Vigilancia</v>
          </cell>
          <cell r="Q55" t="str">
            <v>Acta_Visita_Integral_Colegio_Santa_Rosa_de_Lima.pdf</v>
          </cell>
          <cell r="R55" t="str">
            <v>Se revisaron los documentos PIAR de los 12 estudiantes de inclusión  que tiene la institución. Se revisa la marcación en SIMAT y está acorde a los diagnósticos de los estudiantes.</v>
          </cell>
          <cell r="S55" t="str">
            <v xml:space="preserve"> Continuar con la gestión realizada.</v>
          </cell>
          <cell r="T55" t="str">
            <v>Si</v>
          </cell>
          <cell r="U55" t="str">
            <v>De presentarse una queja con alguno de los estudiantes de inclusión se entrará a revisar la situación.</v>
          </cell>
        </row>
        <row r="56">
          <cell r="A56">
            <v>180</v>
          </cell>
          <cell r="B56">
            <v>6</v>
          </cell>
          <cell r="C56" t="str">
            <v xml:space="preserve">BARRIOS UNIDOS </v>
          </cell>
          <cell r="D56" t="str">
            <v>PRIVADO</v>
          </cell>
          <cell r="E56" t="str">
            <v>EPBM</v>
          </cell>
          <cell r="F56" t="str">
            <v>COLEGIO_SANTA_ROSA_DE_LIMA</v>
          </cell>
          <cell r="G56" t="str">
            <v>COLEGIO_SANTA_ROSA_DE_LIMA</v>
          </cell>
          <cell r="H56" t="str">
            <v>Autoevaluación Institucional y Pruebas SABER 11</v>
          </cell>
          <cell r="I56" t="str">
            <v>EVALUACIÓN_CON_FINES_DE_MEJORAMIENTO.</v>
          </cell>
          <cell r="J5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6" t="str">
            <v xml:space="preserve">ALBERTO MIGUEL PEÑA </v>
          </cell>
          <cell r="L56" t="str">
            <v>DORIS YOLANDA LÓPEZ ARÉVALO</v>
          </cell>
          <cell r="M56">
            <v>45756</v>
          </cell>
          <cell r="N56" t="str">
            <v>29/04/2025</v>
          </cell>
          <cell r="O56" t="str">
            <v>29/04/2025</v>
          </cell>
          <cell r="P56" t="str">
            <v>Visita con fines de Inspección y Vigilancia</v>
          </cell>
          <cell r="Q56" t="str">
            <v>Acta_Visita_Integral_Colegio_Santa_Rosa_de_Lima.pdf</v>
          </cell>
          <cell r="R56" t="str">
            <v>Se revisó el Manual actualizado para la presente vigencia y contenía las estrategias y mecanismo para la resolución de conflictos.</v>
          </cell>
          <cell r="S56" t="str">
            <v>Continuar con la implementación de manual de convivencia en el entorno escolar y su comunidad educativa. Se recomienda que la ID actualice su Manual según las situaciones de convivencia presentadas.</v>
          </cell>
          <cell r="T56" t="str">
            <v>No</v>
          </cell>
          <cell r="U56" t="str">
            <v>De presentarse una queja se entra a revisar.</v>
          </cell>
        </row>
        <row r="57">
          <cell r="A57">
            <v>181</v>
          </cell>
          <cell r="B57">
            <v>6</v>
          </cell>
          <cell r="C57" t="str">
            <v xml:space="preserve">BARRIOS UNIDOS </v>
          </cell>
          <cell r="D57" t="str">
            <v>PRIVADO</v>
          </cell>
          <cell r="E57" t="str">
            <v>EPBM</v>
          </cell>
          <cell r="F57" t="str">
            <v>COLEGIO_SANTA_ROSA_DE_LIMA</v>
          </cell>
          <cell r="G57" t="str">
            <v>COLEGIO_SANTA_ROSA_DE_LIMA</v>
          </cell>
          <cell r="H57" t="str">
            <v>Autoevaluación Institucional y Pruebas SABER 11</v>
          </cell>
          <cell r="I57" t="str">
            <v>EVALUACIÓN_CON_FINES_DE_MEJORAMIENTO.</v>
          </cell>
          <cell r="J57" t="str">
            <v>Revisar la actualización, socialización e implementación del Sistema Institucional de Evaluación de Estudiantes - SIEE, en articulación con la actualización del PEI y la normatividad vigente.</v>
          </cell>
          <cell r="K57" t="str">
            <v xml:space="preserve">ALBERTO MIGUEL PEÑA </v>
          </cell>
          <cell r="L57" t="str">
            <v>DORIS YOLANDA LÓPEZ ARÉVALO</v>
          </cell>
          <cell r="M57">
            <v>45756</v>
          </cell>
          <cell r="N57" t="str">
            <v>29/04/2025</v>
          </cell>
          <cell r="O57" t="str">
            <v>29/04/2025</v>
          </cell>
          <cell r="P57" t="str">
            <v>Visita con fines de Inspección y Vigilancia</v>
          </cell>
          <cell r="Q57" t="str">
            <v>Acta_Visita_Integral_Colegio_Santa_Rosa_de_Lima.pdf</v>
          </cell>
          <cell r="R57" t="str">
            <v>Se evidenció que SIEE contiene las estrategias de apoyo para las diferentes situaciones de la gestión pedagógica de los estudiantes.</v>
          </cell>
          <cell r="S57" t="str">
            <v>Continuar con la implementación de SIEE y se recomienda que la institución actualice su SIEE según las situaciones presentadas.</v>
          </cell>
          <cell r="T57" t="str">
            <v>No</v>
          </cell>
          <cell r="U57" t="str">
            <v>De presentarse una queja se entra a revisar.</v>
          </cell>
        </row>
        <row r="58">
          <cell r="A58">
            <v>182</v>
          </cell>
          <cell r="B58">
            <v>6</v>
          </cell>
          <cell r="C58" t="str">
            <v xml:space="preserve">BARRIOS UNIDOS </v>
          </cell>
          <cell r="D58" t="str">
            <v>PRIVADO</v>
          </cell>
          <cell r="E58" t="str">
            <v>EPBM</v>
          </cell>
          <cell r="F58" t="str">
            <v>COLEGIO_SANTA_ROSA_DE_LIMA</v>
          </cell>
          <cell r="G58" t="str">
            <v>COLEGIO_SANTA_ROSA_DE_LIMA</v>
          </cell>
          <cell r="H58" t="str">
            <v>Autoevaluación Institucional y Pruebas SABER 11</v>
          </cell>
          <cell r="I58" t="str">
            <v>EVALUACIÓN_CON_FINES_DE_MEJORAMIENTO.</v>
          </cell>
          <cell r="J58" t="str">
            <v>Revisar el calendario escolar, jornada escolar, la intensidad horaria mínima anual en cada nivel y las modificaciones que se realicen al mismo, de acuerdo con lo previsto en la normatividad vigente.</v>
          </cell>
          <cell r="K58" t="str">
            <v xml:space="preserve">ALBERTO MIGUEL PEÑA </v>
          </cell>
          <cell r="L58" t="str">
            <v>DORIS YOLANDA LÓPEZ ARÉVALO</v>
          </cell>
          <cell r="M58">
            <v>45756</v>
          </cell>
          <cell r="N58" t="str">
            <v>29/04/2025</v>
          </cell>
          <cell r="O58" t="str">
            <v>29/04/2025</v>
          </cell>
          <cell r="P58" t="str">
            <v>Visita con fines de Inspección y Vigilancia</v>
          </cell>
          <cell r="Q58" t="str">
            <v>Acta_Visita_Integral_Colegio_Santa_Rosa_de_Lima.pdf</v>
          </cell>
          <cell r="R58" t="str">
            <v xml:space="preserve">Se evidenció el calendario académico 2025 cumpliendo con la intensidad horaria normada para los CLEI I al VI </v>
          </cell>
          <cell r="S58" t="str">
            <v>Continuar con la implementación de calendario escolar de acuerdo con las intensidades y las semanas de desarrollo académico.</v>
          </cell>
          <cell r="T58" t="str">
            <v>No</v>
          </cell>
          <cell r="U58" t="str">
            <v>De presentarse una queja se entra a revisar.</v>
          </cell>
        </row>
        <row r="59">
          <cell r="A59">
            <v>183</v>
          </cell>
          <cell r="B59">
            <v>6</v>
          </cell>
          <cell r="C59" t="str">
            <v xml:space="preserve">BARRIOS UNIDOS </v>
          </cell>
          <cell r="D59" t="str">
            <v>PRIVADO</v>
          </cell>
          <cell r="E59" t="str">
            <v>EPBM</v>
          </cell>
          <cell r="F59" t="str">
            <v>COLEGIO_SANTA_ROSA_DE_LIMA</v>
          </cell>
          <cell r="G59" t="str">
            <v>COLEGIO_SANTA_ROSA_DE_LIMA</v>
          </cell>
          <cell r="H59" t="str">
            <v>Autoevaluación Institucional y Pruebas SABER 11</v>
          </cell>
          <cell r="I59" t="str">
            <v>EVALUACIÓN_CON_FINES_DE_MEJORAMIENTO.</v>
          </cell>
          <cell r="J59" t="str">
            <v>Verificar el funcionamiento del Gobierno Escolar e instancias de participación con base en la información sobre conformación reportada por la institución educativa.</v>
          </cell>
          <cell r="K59" t="str">
            <v xml:space="preserve">ALBERTO MIGUEL PEÑA </v>
          </cell>
          <cell r="L59" t="str">
            <v>DORIS YOLANDA LÓPEZ ARÉVALO</v>
          </cell>
          <cell r="M59">
            <v>45756</v>
          </cell>
          <cell r="N59" t="str">
            <v>29/04/2025</v>
          </cell>
          <cell r="O59" t="str">
            <v>29/04/2025</v>
          </cell>
          <cell r="P59" t="str">
            <v>Visita con fines de Inspección y Vigilancia</v>
          </cell>
          <cell r="Q59" t="str">
            <v>Acta_Visita_Integral_Colegio_Santa_Rosa_de_Lima.pdf</v>
          </cell>
          <cell r="R59" t="str">
            <v>Se evidenció soportes de la conformación y funcionamiento del gobierno escolar.</v>
          </cell>
          <cell r="S59" t="str">
            <v>Continuar con la implementación de calendario escolar de acuerdo con las intensidades y las semanas de desarrollo académico.</v>
          </cell>
          <cell r="T59" t="str">
            <v>No</v>
          </cell>
          <cell r="U59" t="str">
            <v>De presentarse una queja se entra a revisar.</v>
          </cell>
        </row>
        <row r="60">
          <cell r="A60">
            <v>184</v>
          </cell>
          <cell r="B60">
            <v>6</v>
          </cell>
          <cell r="C60" t="str">
            <v xml:space="preserve">BARRIOS UNIDOS </v>
          </cell>
          <cell r="D60" t="str">
            <v>PRIVADO</v>
          </cell>
          <cell r="E60" t="str">
            <v>EPBM</v>
          </cell>
          <cell r="F60" t="str">
            <v>COLEGIO_SANTA_ROSA_DE_LIMA</v>
          </cell>
          <cell r="G60" t="str">
            <v>COLEGIO_SANTA_ROSA_DE_LIMA</v>
          </cell>
          <cell r="H60" t="str">
            <v>Autoevaluación Institucional y Pruebas SABER 11</v>
          </cell>
          <cell r="I60" t="str">
            <v>EVALUACIÓN_CON_FINES_DE_MEJORAMIENTO.</v>
          </cell>
          <cell r="J60" t="str">
            <v>Verificar las condiciones en cuanto a: la estructura administrativa, condiciones de la planta física y medios educativos adecuados.</v>
          </cell>
          <cell r="K60" t="str">
            <v xml:space="preserve">ALBERTO MIGUEL PEÑA </v>
          </cell>
          <cell r="L60" t="str">
            <v>DORIS YOLANDA LÓPEZ ARÉVALO</v>
          </cell>
          <cell r="M60">
            <v>45756</v>
          </cell>
          <cell r="N60" t="str">
            <v>29/04/2025</v>
          </cell>
          <cell r="O60" t="str">
            <v>29/04/2025</v>
          </cell>
          <cell r="P60" t="str">
            <v>Visita con fines de Inspección y Vigilancia</v>
          </cell>
          <cell r="Q60" t="str">
            <v>Acta_Visita_Integral_Colegio_Santa_Rosa_de_Lima.pdf</v>
          </cell>
          <cell r="R60" t="str">
            <v>Se realizó el recorrido y se evidencia que es necesario: Colocar protectores de seguridad en las puertas de aulas y baños del área de preescolar para evitar accidentes, poner avisos de "riesgo eléctrico" en todas las cajas de luz con tacos, retirar los avisos que se encuentran relativos al COVID-19
reubicar plantas y materas que representan riesgos de caídas, que están en soportes inestables o cercanas a accesos o escaleras y colocar sanitario a tamaño en el baño de niñas de preescolar. Se evidenció el acopamiento de un espacio no autorizado.</v>
          </cell>
          <cell r="S60" t="str">
            <v>Se solicita tener en cuenta las observaciones de la planta física y subsanarlas según cronograma que presenten en el plan de mejoramiento</v>
          </cell>
          <cell r="T60" t="str">
            <v>Si</v>
          </cell>
          <cell r="U60" t="str">
            <v>Cuando se realice la visita de seguimiento, se verificara los aspectos requeridos.</v>
          </cell>
        </row>
        <row r="61">
          <cell r="A61">
            <v>185</v>
          </cell>
          <cell r="B61">
            <v>7</v>
          </cell>
          <cell r="C61" t="str">
            <v xml:space="preserve">BARRIOS UNIDOS </v>
          </cell>
          <cell r="D61" t="str">
            <v>PRIVADO</v>
          </cell>
          <cell r="E61" t="str">
            <v>EPBM</v>
          </cell>
          <cell r="F61" t="str">
            <v>COLEGIO_MONSERRATE</v>
          </cell>
          <cell r="G61" t="str">
            <v>COLEGIO_MONSERRATE</v>
          </cell>
          <cell r="H61" t="str">
            <v>Autoevaluación Institucional y Pruebas SABER 11</v>
          </cell>
          <cell r="I61" t="str">
            <v>SEGUIMIENTO_Y_SUPERVISIÓN.</v>
          </cell>
          <cell r="J61" t="str">
            <v>Realizar visitas para verificar la información registrada sobre la autoevaluación institucional en el aplicativo EVI, a los establecimientos de educación formal no oficial.</v>
          </cell>
          <cell r="K61" t="str">
            <v>CAMILO ANDRÉS GALINDO GÓMEZ</v>
          </cell>
          <cell r="L61" t="str">
            <v>DORIS YOLANDA LÓPEZ ARÉVALO</v>
          </cell>
          <cell r="M61">
            <v>45790</v>
          </cell>
          <cell r="N61">
            <v>45790</v>
          </cell>
          <cell r="O61">
            <v>45790</v>
          </cell>
          <cell r="P61" t="str">
            <v>Visita con fines de Inspección y Vigilancia</v>
          </cell>
          <cell r="Q61" t="str">
            <v>Acta_Visita_Integral_Colegio_Monserrate.pdf</v>
          </cell>
          <cell r="R61" t="str">
            <v>Se revisaron las cargas académicas a los docentes y se encontró que algunos docentes no contaban con la idoneidad y perfil que se requiere.</v>
          </cell>
          <cell r="S61" t="str">
            <v>Se le solicita de manera inmediata hacer el cambio de docentes, según observaciones.</v>
          </cell>
          <cell r="T61" t="str">
            <v>Si</v>
          </cell>
          <cell r="U61" t="str">
            <v>Se otorgaron 10 días hábiles para la presentación del PMI so pena de Proceso Administrativo Sancionatorio</v>
          </cell>
        </row>
        <row r="62">
          <cell r="A62">
            <v>186</v>
          </cell>
          <cell r="B62">
            <v>7</v>
          </cell>
          <cell r="C62" t="str">
            <v xml:space="preserve">BARRIOS UNIDOS </v>
          </cell>
          <cell r="D62" t="str">
            <v>PRIVADO</v>
          </cell>
          <cell r="E62" t="str">
            <v>EPBM</v>
          </cell>
          <cell r="F62" t="str">
            <v>COLEGIO_MONSERRATE</v>
          </cell>
          <cell r="G62" t="str">
            <v>COLEGIO_MONSERRATE</v>
          </cell>
          <cell r="H62" t="str">
            <v>Autoevaluación Institucional y Pruebas SABER 11</v>
          </cell>
          <cell r="I62" t="str">
            <v>SEGUIMIENTO_Y_SUPERVISIÓN.</v>
          </cell>
          <cell r="J62" t="str">
            <v>Proponer estrategias en la formulación, verificar su elaboración y realizar seguimiento semestral al desarrollo de  las acciones establecidas en los planes de mejoramiento por pruebas SABER 11 de los establecimientos de educación formal.</v>
          </cell>
          <cell r="K62" t="str">
            <v>CAMILO ANDRÉS GALINDO GÓMEZ</v>
          </cell>
          <cell r="L62" t="str">
            <v>DORIS YOLANDA LÓPEZ ARÉVALO</v>
          </cell>
          <cell r="M62">
            <v>45790</v>
          </cell>
          <cell r="N62">
            <v>45790</v>
          </cell>
          <cell r="O62">
            <v>45790</v>
          </cell>
          <cell r="P62" t="str">
            <v>Visita con fines de Inspección y Vigilancia</v>
          </cell>
          <cell r="Q62" t="str">
            <v>Acta_Visita_Integral_Colegio_Monserrate.pdf</v>
          </cell>
          <cell r="R62" t="str">
            <v>Según resultados de las pruebas Saber 11-2024, están clasificados en categoría A</v>
          </cell>
          <cell r="S62" t="str">
            <v>Se les insta continuar con su trabajo de profundización en áreas específicas, buscando mantener el nivel</v>
          </cell>
          <cell r="T62" t="str">
            <v>No</v>
          </cell>
          <cell r="U62" t="str">
            <v>Se revisar resultados pruebas saber 11 del año 2025</v>
          </cell>
        </row>
        <row r="63">
          <cell r="A63">
            <v>188</v>
          </cell>
          <cell r="B63">
            <v>7</v>
          </cell>
          <cell r="C63" t="str">
            <v xml:space="preserve">BARRIOS UNIDOS </v>
          </cell>
          <cell r="D63" t="str">
            <v>PRIVADO</v>
          </cell>
          <cell r="E63" t="str">
            <v>EPBM</v>
          </cell>
          <cell r="F63" t="str">
            <v>COLEGIO_MONSERRATE</v>
          </cell>
          <cell r="G63" t="str">
            <v>COLEGIO_MONSERRATE</v>
          </cell>
          <cell r="H63" t="str">
            <v>Autoevaluación Institucional y Pruebas SABER 11</v>
          </cell>
          <cell r="I63" t="str">
            <v>SEGUIMIENTO_Y_SUPERVISIÓN.</v>
          </cell>
          <cell r="J63" t="str">
            <v xml:space="preserve">Verificar la implementación por parte de los colegios, de acciones realizadas para la prevención y atención de las situaciones de convivencia en el entorno escolar, según lo establecido en la Directiva 01 de 2022 del MEN. </v>
          </cell>
          <cell r="K63" t="str">
            <v>CAMILO ANDRÉS GALINDO GÓMEZ</v>
          </cell>
          <cell r="L63" t="str">
            <v>DORIS YOLANDA LÓPEZ ARÉVALO</v>
          </cell>
          <cell r="M63">
            <v>45790</v>
          </cell>
          <cell r="N63">
            <v>45790</v>
          </cell>
          <cell r="O63">
            <v>45790</v>
          </cell>
          <cell r="P63" t="str">
            <v>Visita con fines de Inspección y Vigilancia</v>
          </cell>
          <cell r="Q63" t="str">
            <v>Acta_Visita_Integral_Colegio_Monserrate.pdf</v>
          </cell>
          <cell r="R63" t="str">
            <v>Se recibieron y revisaron doce hojas de vida de los docentes que hacen parte de la institución educativa y no se encuentra la revisión de antecedentes sexuales del personal que conforma el establecimiento educativo.</v>
          </cell>
          <cell r="S63" t="str">
            <v>Se solicita revisar los antecedentes de conformidad con la Directiva 001 de 2022</v>
          </cell>
          <cell r="T63" t="str">
            <v>Si</v>
          </cell>
          <cell r="U63" t="str">
            <v>La institución Educativa remitirá el Plan de Mejoramiento Institucional</v>
          </cell>
        </row>
        <row r="64">
          <cell r="A64">
            <v>189</v>
          </cell>
          <cell r="B64">
            <v>7</v>
          </cell>
          <cell r="C64" t="str">
            <v xml:space="preserve">BARRIOS UNIDOS </v>
          </cell>
          <cell r="D64" t="str">
            <v>PRIVADO</v>
          </cell>
          <cell r="E64" t="str">
            <v>EPBM</v>
          </cell>
          <cell r="F64" t="str">
            <v>COLEGIO_MONSERRATE</v>
          </cell>
          <cell r="G64" t="str">
            <v>COLEGIO_MONSERRATE</v>
          </cell>
          <cell r="H64" t="str">
            <v>Autoevaluación Institucional y Pruebas SABER 11</v>
          </cell>
          <cell r="I64" t="str">
            <v>SEGUIMIENTO_Y_SUPERVISIÓN.</v>
          </cell>
          <cell r="J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4" t="str">
            <v>CAMILO ANDRÉS GALINDO GÓMEZ</v>
          </cell>
          <cell r="L64" t="str">
            <v>DORIS YOLANDA LÓPEZ ARÉVALO</v>
          </cell>
          <cell r="M64">
            <v>45790</v>
          </cell>
          <cell r="N64">
            <v>45790</v>
          </cell>
          <cell r="O64">
            <v>45790</v>
          </cell>
          <cell r="P64" t="str">
            <v>Visita con fines de Inspección y Vigilancia</v>
          </cell>
          <cell r="Q64" t="str">
            <v>Acta_Visita_Integral_Colegio_Monserrate.pdf</v>
          </cell>
          <cell r="R64" t="str">
            <v>Se indagó y verifico la prestación del servicio a estudiantes de inclusión y a la fecha no contaban con Plan de Integral de Ajustes razonables en concordancia con el Decreto 1421 de 2017,</v>
          </cell>
          <cell r="S64" t="str">
            <v>Se le reitera al Colegio que el PIAR debe estar establecido para los estudiantes durante el primer periodo, se solicita hacerlo y aplicarlo</v>
          </cell>
          <cell r="T64" t="str">
            <v>Si</v>
          </cell>
          <cell r="U64" t="str">
            <v>Durante la visita de seguimiento, se revisará el cumplimiento del PIAR, de conformidad con la norma.</v>
          </cell>
        </row>
        <row r="65">
          <cell r="A65">
            <v>190</v>
          </cell>
          <cell r="B65">
            <v>7</v>
          </cell>
          <cell r="C65" t="str">
            <v xml:space="preserve">BARRIOS UNIDOS </v>
          </cell>
          <cell r="D65" t="str">
            <v>PRIVADO</v>
          </cell>
          <cell r="E65" t="str">
            <v>EPBM</v>
          </cell>
          <cell r="F65" t="str">
            <v>COLEGIO_MONSERRATE</v>
          </cell>
          <cell r="G65" t="str">
            <v>COLEGIO_MONSERRATE</v>
          </cell>
          <cell r="H65" t="str">
            <v>Autoevaluación Institucional y Pruebas SABER 11</v>
          </cell>
          <cell r="I65" t="str">
            <v>EVALUACIÓN_CON_FINES_DE_MEJORAMIENTO.</v>
          </cell>
          <cell r="J6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5" t="str">
            <v>CAMILO ANDRÉS GALINDO GÓMEZ</v>
          </cell>
          <cell r="L65" t="str">
            <v>DORIS YOLANDA LÓPEZ ARÉVALO</v>
          </cell>
          <cell r="M65">
            <v>45790</v>
          </cell>
          <cell r="N65">
            <v>45790</v>
          </cell>
          <cell r="O65">
            <v>45790</v>
          </cell>
          <cell r="P65" t="str">
            <v>Visita con fines de Inspección y Vigilancia</v>
          </cell>
          <cell r="Q65" t="str">
            <v>Acta_Visita_Integral_Colegio_Monserrate.pdf</v>
          </cell>
          <cell r="R65" t="str">
            <v>Se revisó el Manual actualizado para la presente vigencia y contemplaba los enfoques que determina la norma.</v>
          </cell>
          <cell r="S65" t="str">
            <v>Continuar con la implementación de manual de convivencia en el entorno escolar y su comunidad educativa. Se recomienda que la institución actualice su Manual según las situaciones de convivencia presentadas.</v>
          </cell>
          <cell r="T65" t="str">
            <v>No</v>
          </cell>
          <cell r="U65" t="str">
            <v>De presentarse una queja se entra a revisar detalladamente.</v>
          </cell>
        </row>
        <row r="66">
          <cell r="A66">
            <v>191</v>
          </cell>
          <cell r="B66">
            <v>7</v>
          </cell>
          <cell r="C66" t="str">
            <v xml:space="preserve">BARRIOS UNIDOS </v>
          </cell>
          <cell r="D66" t="str">
            <v>PRIVADO</v>
          </cell>
          <cell r="E66" t="str">
            <v>EPBM</v>
          </cell>
          <cell r="F66" t="str">
            <v>COLEGIO_MONSERRATE</v>
          </cell>
          <cell r="G66" t="str">
            <v>COLEGIO_MONSERRATE</v>
          </cell>
          <cell r="H66" t="str">
            <v>Autoevaluación Institucional y Pruebas SABER 11</v>
          </cell>
          <cell r="I66" t="str">
            <v>EVALUACIÓN_CON_FINES_DE_MEJORAMIENTO.</v>
          </cell>
          <cell r="J66" t="str">
            <v>Revisar la actualización, socialización e implementación del Sistema Institucional de Evaluación de Estudiantes - SIEE, en articulación con la actualización del PEI y la normatividad vigente.</v>
          </cell>
          <cell r="K66" t="str">
            <v>CAMILO ANDRÉS GALINDO GÓMEZ</v>
          </cell>
          <cell r="L66" t="str">
            <v>DORIS YOLANDA LÓPEZ ARÉVALO</v>
          </cell>
          <cell r="M66">
            <v>45790</v>
          </cell>
          <cell r="N66">
            <v>45790</v>
          </cell>
          <cell r="O66">
            <v>45790</v>
          </cell>
          <cell r="P66" t="str">
            <v>Visita con fines de Inspección y Vigilancia</v>
          </cell>
          <cell r="Q66" t="str">
            <v>Acta_Visita_Integral_Colegio_Monserrate.pdf</v>
          </cell>
          <cell r="R66" t="str">
            <v>Se evidenció que SIEE contiene las estrategias de apoyo para las diferentes situaciones de la gestión pedagógica de los estudiantes.</v>
          </cell>
          <cell r="S66" t="str">
            <v>Continuar con la implementación de SIEE y se recomienda que la institución actualice su SIEE según las situaciones presentadas.</v>
          </cell>
          <cell r="T66" t="str">
            <v>No</v>
          </cell>
          <cell r="U66" t="str">
            <v>De presentarse una queja se entra a revisar.</v>
          </cell>
        </row>
        <row r="67">
          <cell r="A67">
            <v>192</v>
          </cell>
          <cell r="B67">
            <v>7</v>
          </cell>
          <cell r="C67" t="str">
            <v xml:space="preserve">BARRIOS UNIDOS </v>
          </cell>
          <cell r="D67" t="str">
            <v>PRIVADO</v>
          </cell>
          <cell r="E67" t="str">
            <v>EPBM</v>
          </cell>
          <cell r="F67" t="str">
            <v>COLEGIO_MONSERRATE</v>
          </cell>
          <cell r="G67" t="str">
            <v>COLEGIO_MONSERRATE</v>
          </cell>
          <cell r="H67" t="str">
            <v>Autoevaluación Institucional y Pruebas SABER 11</v>
          </cell>
          <cell r="I67" t="str">
            <v>EVALUACIÓN_CON_FINES_DE_MEJORAMIENTO.</v>
          </cell>
          <cell r="J67" t="str">
            <v>Revisar el calendario escolar, jornada escolar, la intensidad horaria mínima anual en cada nivel y las modificaciones que se realicen al mismo, de acuerdo con lo previsto en la normatividad vigente.</v>
          </cell>
          <cell r="K67" t="str">
            <v>CAMILO ANDRÉS GALINDO GÓMEZ</v>
          </cell>
          <cell r="L67" t="str">
            <v>DORIS YOLANDA LÓPEZ ARÉVALO</v>
          </cell>
          <cell r="M67">
            <v>45790</v>
          </cell>
          <cell r="N67">
            <v>45790</v>
          </cell>
          <cell r="O67">
            <v>45790</v>
          </cell>
          <cell r="P67" t="str">
            <v>Visita con fines de Inspección y Vigilancia</v>
          </cell>
          <cell r="Q67" t="str">
            <v>Acta_Visita_Integral_Colegio_Monserrate.pdf</v>
          </cell>
          <cell r="R67" t="str">
            <v xml:space="preserve">Se revisó el calendario académico 2025 cumpliendo con la intensidad horaria y jornada escolar para todos los niveles aprobados. </v>
          </cell>
          <cell r="S67" t="str">
            <v>Continuar con la implementación de calendario escolar de acuerdo con las intensidades y las semanas de desarrollo académico.</v>
          </cell>
          <cell r="T67" t="str">
            <v>No</v>
          </cell>
          <cell r="U67" t="str">
            <v>De presentarse una queja se entra a revisar.</v>
          </cell>
        </row>
        <row r="68">
          <cell r="A68">
            <v>193</v>
          </cell>
          <cell r="B68">
            <v>7</v>
          </cell>
          <cell r="C68" t="str">
            <v xml:space="preserve">BARRIOS UNIDOS </v>
          </cell>
          <cell r="D68" t="str">
            <v>PRIVADO</v>
          </cell>
          <cell r="E68" t="str">
            <v>EPBM</v>
          </cell>
          <cell r="F68" t="str">
            <v>COLEGIO_MONSERRATE</v>
          </cell>
          <cell r="G68" t="str">
            <v>COLEGIO_MONSERRATE</v>
          </cell>
          <cell r="H68" t="str">
            <v>Autoevaluación Institucional y Pruebas SABER 11</v>
          </cell>
          <cell r="I68" t="str">
            <v>EVALUACIÓN_CON_FINES_DE_MEJORAMIENTO.</v>
          </cell>
          <cell r="J68" t="str">
            <v>Verificar el funcionamiento del Gobierno Escolar e instancias de participación con base en la información sobre conformación reportada por la institución educativa.</v>
          </cell>
          <cell r="K68" t="str">
            <v>CAMILO ANDRÉS GALINDO GÓMEZ</v>
          </cell>
          <cell r="L68" t="str">
            <v>DORIS YOLANDA LÓPEZ ARÉVALO</v>
          </cell>
          <cell r="M68">
            <v>45790</v>
          </cell>
          <cell r="N68">
            <v>45790</v>
          </cell>
          <cell r="O68">
            <v>45790</v>
          </cell>
          <cell r="P68" t="str">
            <v>Visita con fines de Inspección y Vigilancia</v>
          </cell>
          <cell r="Q68" t="str">
            <v>Acta_Visita_Integral_Colegio_Monserrate.pdf</v>
          </cell>
          <cell r="R68" t="str">
            <v>Se evidenciaron las actas de conformación de los diferentes estamentos</v>
          </cell>
          <cell r="S68" t="str">
            <v>se solicita cargar la información en la plataforma del Sistema de Apoyo Escolar - SAE</v>
          </cell>
          <cell r="T68" t="str">
            <v>Si</v>
          </cell>
          <cell r="U68" t="str">
            <v>El ELIV revisará la inclusión de las actas según orientación dada</v>
          </cell>
        </row>
        <row r="69">
          <cell r="A69">
            <v>194</v>
          </cell>
          <cell r="B69">
            <v>7</v>
          </cell>
          <cell r="C69" t="str">
            <v xml:space="preserve">BARRIOS UNIDOS </v>
          </cell>
          <cell r="D69" t="str">
            <v>PRIVADO</v>
          </cell>
          <cell r="E69" t="str">
            <v>EPBM</v>
          </cell>
          <cell r="F69" t="str">
            <v>COLEGIO_MONSERRATE</v>
          </cell>
          <cell r="G69" t="str">
            <v>COLEGIO_MONSERRATE</v>
          </cell>
          <cell r="H69" t="str">
            <v>Autoevaluación Institucional y Pruebas SABER 11</v>
          </cell>
          <cell r="I69" t="str">
            <v>EVALUACIÓN_CON_FINES_DE_MEJORAMIENTO.</v>
          </cell>
          <cell r="J69" t="str">
            <v>Verificar las condiciones en cuanto a: la estructura administrativa, condiciones de la planta física y medios educativos adecuados.</v>
          </cell>
          <cell r="K69" t="str">
            <v>CAMILO ANDRÉS GALINDO GÓMEZ</v>
          </cell>
          <cell r="L69" t="str">
            <v>DORIS YOLANDA LÓPEZ ARÉVALO</v>
          </cell>
          <cell r="M69">
            <v>45790</v>
          </cell>
          <cell r="N69">
            <v>45790</v>
          </cell>
          <cell r="O69">
            <v>45790</v>
          </cell>
          <cell r="P69" t="str">
            <v>Visita con fines de Inspección y Vigilancia</v>
          </cell>
          <cell r="Q69" t="str">
            <v>Acta_Visita_Integral_Colegio_Monserrate.pdf</v>
          </cell>
          <cell r="R69" t="str">
            <v>Se verificó la prestación de servicios en todos los niveles, sin embargo este se está ofreciendo en inmuebles aledaños no autorizados, no hacen parte de la Licencia de Funcionamiento y allí tienen parte del servicio académico y administrativo.</v>
          </cell>
          <cell r="S69" t="str">
            <v>Se le solicita de manera inmediata ocupar el espacio autorizado y retirar la publicidad exterior en los otros inmuebles.</v>
          </cell>
          <cell r="T69" t="str">
            <v>Si</v>
          </cell>
          <cell r="U69" t="str">
            <v>Se otorgaron 10 días hábiles para la presentación del PMI so pena de Proceso Administrativo Sancionatorio</v>
          </cell>
        </row>
        <row r="70">
          <cell r="A70">
            <v>196</v>
          </cell>
          <cell r="B70">
            <v>8</v>
          </cell>
          <cell r="C70" t="str">
            <v xml:space="preserve">BARRIOS UNIDOS </v>
          </cell>
          <cell r="D70" t="str">
            <v>OFICIAL</v>
          </cell>
          <cell r="E70" t="str">
            <v>EPBM</v>
          </cell>
          <cell r="F70" t="str">
            <v>COLEGIO_REPUBLICA_DE_PANAMA_IED</v>
          </cell>
          <cell r="G70" t="str">
            <v>REPUBLICA_DE_PANAMA</v>
          </cell>
          <cell r="H70" t="str">
            <v>Convivencia escolar</v>
          </cell>
          <cell r="I70" t="str">
            <v>SEGUIMIENTO_Y_SUPERVISIÓN.</v>
          </cell>
          <cell r="J70" t="str">
            <v xml:space="preserve">Verificar la implementación por parte de los colegios, de acciones realizadas para la prevención y atención de las situaciones de convivencia en el entorno escolar, según lo establecido en la Directiva 01 de 2022 del MEN. </v>
          </cell>
          <cell r="K70" t="str">
            <v>CAMILO ANDRÉS GALINDO GÓMEZ</v>
          </cell>
          <cell r="L70" t="str">
            <v>DORIS YOLANDA LÓPEZ ARÉVALO</v>
          </cell>
          <cell r="M70">
            <v>45804</v>
          </cell>
          <cell r="N70">
            <v>45804</v>
          </cell>
          <cell r="O70">
            <v>45804</v>
          </cell>
          <cell r="P70" t="str">
            <v>Visitas de evaluación con fines de seguimiento</v>
          </cell>
          <cell r="Q70" t="str">
            <v>Acta_visita_Integral_Col_República_de_Panama.pdf</v>
          </cell>
          <cell r="R70" t="str">
            <v>Se evidenció la conformación del Comité de convivencia, el seguimiento de situaciones en el Sistema de alertas y se conoció el cronograma de actividades de promoción y prevención de violencias sexuales.</v>
          </cell>
          <cell r="S70" t="str">
            <v>Se insta a continuar con acciones de prevención hacia la comunidad educativa en general en un trabajo mancomunado con la Oficina de Convivencia Escolar</v>
          </cell>
          <cell r="T70" t="str">
            <v>No</v>
          </cell>
          <cell r="U70" t="str">
            <v>De presentarse una queja se entra a revisar.</v>
          </cell>
        </row>
        <row r="71">
          <cell r="A71">
            <v>197</v>
          </cell>
          <cell r="B71">
            <v>8</v>
          </cell>
          <cell r="C71" t="str">
            <v xml:space="preserve">BARRIOS UNIDOS </v>
          </cell>
          <cell r="D71" t="str">
            <v>OFICIAL</v>
          </cell>
          <cell r="E71" t="str">
            <v>EPBM</v>
          </cell>
          <cell r="F71" t="str">
            <v>COLEGIO_REPUBLICA_DE_PANAMA_IED</v>
          </cell>
          <cell r="G71" t="str">
            <v>REPUBLICA_DE_PANAMA</v>
          </cell>
          <cell r="H71" t="str">
            <v>Convivencia escolar</v>
          </cell>
          <cell r="I71" t="str">
            <v>SEGUIMIENTO_Y_SUPERVISIÓN.</v>
          </cell>
          <cell r="J7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1" t="str">
            <v>CAMILO ANDRÉS GALINDO GÓMEZ</v>
          </cell>
          <cell r="L71" t="str">
            <v>DORIS YOLANDA LÓPEZ ARÉVALO</v>
          </cell>
          <cell r="M71">
            <v>45804</v>
          </cell>
          <cell r="N71">
            <v>45804</v>
          </cell>
          <cell r="O71">
            <v>45804</v>
          </cell>
          <cell r="P71" t="str">
            <v>Visitas de evaluación con fines de seguimiento</v>
          </cell>
          <cell r="Q71" t="str">
            <v>Acta_visita_Integral_Col_República_de_Panama.pdf</v>
          </cell>
          <cell r="R71" t="str">
            <v>Su misionalidad está dirigida a comunidad sorda, la cual se está atendiendo de manera propicia y cada uno cuenta con su Plan Individual de Ajustes Razonables en trabajo mutuo.</v>
          </cell>
          <cell r="S71" t="str">
            <v>Continuar siendo pioneros en la atención a población inclusiva, cumpliendo con el Decreto 1421 de 2017</v>
          </cell>
          <cell r="T71" t="str">
            <v>No</v>
          </cell>
          <cell r="U71" t="str">
            <v>De presentarse una queja se entra a revisar.</v>
          </cell>
        </row>
        <row r="72">
          <cell r="A72">
            <v>198</v>
          </cell>
          <cell r="B72">
            <v>8</v>
          </cell>
          <cell r="C72" t="str">
            <v xml:space="preserve">BARRIOS UNIDOS </v>
          </cell>
          <cell r="D72" t="str">
            <v>OFICIAL</v>
          </cell>
          <cell r="E72" t="str">
            <v>EPBM</v>
          </cell>
          <cell r="F72" t="str">
            <v>COLEGIO_REPUBLICA_DE_PANAMA_IED</v>
          </cell>
          <cell r="G72" t="str">
            <v>REPUBLICA_DE_PANAMA</v>
          </cell>
          <cell r="H72" t="str">
            <v>Convivencia escolar</v>
          </cell>
          <cell r="I72" t="str">
            <v>EVALUACIÓN_CON_FINES_DE_MEJORAMIENTO.</v>
          </cell>
          <cell r="J7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2" t="str">
            <v>CAMILO ANDRÉS GALINDO GÓMEZ</v>
          </cell>
          <cell r="L72" t="str">
            <v>DORIS YOLANDA LÓPEZ ARÉVALO</v>
          </cell>
          <cell r="M72">
            <v>45804</v>
          </cell>
          <cell r="N72">
            <v>45804</v>
          </cell>
          <cell r="O72">
            <v>45804</v>
          </cell>
          <cell r="P72" t="str">
            <v>Visitas de evaluación con fines de seguimiento</v>
          </cell>
          <cell r="Q72" t="str">
            <v>Acta_visita_Integral_Col_República_de_Panama.pdf</v>
          </cell>
          <cell r="R72" t="str">
            <v>Se evidenció anteproyecto del Proyecto educativo Institucional, el cual redunda con la actualización de los documentos institucionales como el Manual y el Sistema Integral de Evaluación de Estudiantes.</v>
          </cell>
          <cell r="S72" t="str">
            <v>Actualizar la página Web con los documentos institucionales vigentes.</v>
          </cell>
          <cell r="T72" t="str">
            <v>Si</v>
          </cell>
          <cell r="U72" t="str">
            <v>Se verificará en el sistema el cargue de los documentos en concordancia con lo informado por el rector en el Plan de Mejoramiento.</v>
          </cell>
        </row>
        <row r="73">
          <cell r="A73">
            <v>199</v>
          </cell>
          <cell r="B73">
            <v>8</v>
          </cell>
          <cell r="C73" t="str">
            <v xml:space="preserve">BARRIOS UNIDOS </v>
          </cell>
          <cell r="D73" t="str">
            <v>OFICIAL</v>
          </cell>
          <cell r="E73" t="str">
            <v>EPBM</v>
          </cell>
          <cell r="F73" t="str">
            <v>COLEGIO_REPUBLICA_DE_PANAMA_IED</v>
          </cell>
          <cell r="G73" t="str">
            <v>REPUBLICA_DE_PANAMA</v>
          </cell>
          <cell r="H73" t="str">
            <v>Convivencia escolar</v>
          </cell>
          <cell r="I73" t="str">
            <v>EVALUACIÓN_CON_FINES_DE_MEJORAMIENTO.</v>
          </cell>
          <cell r="J73" t="str">
            <v>Revisar la actualización, socialización e implementación del Sistema Institucional de Evaluación de Estudiantes - SIEE, en articulación con la actualización del PEI y la normatividad vigente.</v>
          </cell>
          <cell r="K73" t="str">
            <v>CAMILO ANDRÉS GALINDO GÓMEZ</v>
          </cell>
          <cell r="L73" t="str">
            <v>DORIS YOLANDA LÓPEZ ARÉVALO</v>
          </cell>
          <cell r="M73">
            <v>45804</v>
          </cell>
          <cell r="N73">
            <v>45804</v>
          </cell>
          <cell r="O73">
            <v>45804</v>
          </cell>
          <cell r="P73" t="str">
            <v>Visitas de evaluación con fines de seguimiento</v>
          </cell>
          <cell r="Q73" t="str">
            <v>Acta_visita_Integral_Col_República_de_Panama.pdf</v>
          </cell>
          <cell r="R73" t="str">
            <v>Se mostró una actualización del PEI el cual involucraba el cambio del nombre</v>
          </cell>
          <cell r="S73" t="str">
            <v>Dar a conocer el Proyecto final ante la SED, por contemplar el cambio de nombre</v>
          </cell>
          <cell r="T73" t="str">
            <v>Si</v>
          </cell>
          <cell r="U73" t="str">
            <v>Se verificará el PEI cuando en julio se dé a conocer según Plan de Mejoramiento Institucional.</v>
          </cell>
        </row>
        <row r="74">
          <cell r="A74">
            <v>200</v>
          </cell>
          <cell r="B74">
            <v>8</v>
          </cell>
          <cell r="C74" t="str">
            <v xml:space="preserve">BARRIOS UNIDOS </v>
          </cell>
          <cell r="D74" t="str">
            <v>OFICIAL</v>
          </cell>
          <cell r="E74" t="str">
            <v>EPBM</v>
          </cell>
          <cell r="F74" t="str">
            <v>COLEGIO_REPUBLICA_DE_PANAMA_IED</v>
          </cell>
          <cell r="G74" t="str">
            <v>REPUBLICA_DE_PANAMA</v>
          </cell>
          <cell r="H74" t="str">
            <v>Convivencia escolar</v>
          </cell>
          <cell r="I74" t="str">
            <v>EVALUACIÓN_CON_FINES_DE_MEJORAMIENTO.</v>
          </cell>
          <cell r="J74" t="str">
            <v>Revisar el calendario escolar, jornada escolar, la intensidad horaria mínima anual en cada nivel y las modificaciones que se realicen al mismo, de acuerdo con lo previsto en la normatividad vigente.</v>
          </cell>
          <cell r="K74" t="str">
            <v>CAMILO ANDRÉS GALINDO GÓMEZ</v>
          </cell>
          <cell r="L74" t="str">
            <v>DORIS YOLANDA LÓPEZ ARÉVALO</v>
          </cell>
          <cell r="M74">
            <v>45804</v>
          </cell>
          <cell r="N74">
            <v>45804</v>
          </cell>
          <cell r="O74">
            <v>45804</v>
          </cell>
          <cell r="P74" t="str">
            <v>Visitas de evaluación con fines de seguimiento</v>
          </cell>
          <cell r="Q74" t="str">
            <v>Acta_visita_Integral_Col_República_de_Panama.pdf</v>
          </cell>
          <cell r="R74" t="str">
            <v>Se evidencia que sus actividades están ajustadas de acuerdo a lo normado en la Resolución 1811-2024</v>
          </cell>
          <cell r="S74" t="str">
            <v>Se recuerda que deben enviar información de las semanas de desarrollo institucional.</v>
          </cell>
          <cell r="T74" t="str">
            <v>No</v>
          </cell>
          <cell r="U74" t="str">
            <v>De presentarse una queja se entra a revisar.</v>
          </cell>
        </row>
        <row r="75">
          <cell r="A75">
            <v>201</v>
          </cell>
          <cell r="B75">
            <v>8</v>
          </cell>
          <cell r="C75" t="str">
            <v xml:space="preserve">BARRIOS UNIDOS </v>
          </cell>
          <cell r="D75" t="str">
            <v>OFICIAL</v>
          </cell>
          <cell r="E75" t="str">
            <v>EPBM</v>
          </cell>
          <cell r="F75" t="str">
            <v>COLEGIO_REPUBLICA_DE_PANAMA_IED</v>
          </cell>
          <cell r="G75" t="str">
            <v>REPUBLICA_DE_PANAMA</v>
          </cell>
          <cell r="H75" t="str">
            <v>Convivencia escolar</v>
          </cell>
          <cell r="I75" t="str">
            <v>EVALUACIÓN_CON_FINES_DE_MEJORAMIENTO.</v>
          </cell>
          <cell r="J75" t="str">
            <v>Verificar el funcionamiento del Gobierno Escolar e instancias de participación con base en la información sobre conformación reportada por la institución educativa.</v>
          </cell>
          <cell r="K75" t="str">
            <v>CAMILO ANDRÉS GALINDO GÓMEZ</v>
          </cell>
          <cell r="L75" t="str">
            <v>DORIS YOLANDA LÓPEZ ARÉVALO</v>
          </cell>
          <cell r="M75">
            <v>45804</v>
          </cell>
          <cell r="N75">
            <v>45804</v>
          </cell>
          <cell r="O75">
            <v>45804</v>
          </cell>
          <cell r="P75" t="str">
            <v>Visitas de evaluación con fines de seguimiento</v>
          </cell>
          <cell r="Q75" t="str">
            <v>Acta_visita_Integral_Col_República_de_Panama.pdf</v>
          </cell>
          <cell r="R75" t="str">
            <v>Se recibieron las actas de conformación de cada estamento y se evidenció su cargue en la plataforma del Sistema de Apoyo Escolar - SAE</v>
          </cell>
          <cell r="S75" t="str">
            <v>Se les insta continuar con las reuniones de los diferentes órganos de Gobierno escolar.</v>
          </cell>
          <cell r="T75" t="str">
            <v>No</v>
          </cell>
          <cell r="U75" t="str">
            <v>De presentarse una queja se entra a revisar.</v>
          </cell>
        </row>
        <row r="76">
          <cell r="A76">
            <v>202</v>
          </cell>
          <cell r="B76">
            <v>8</v>
          </cell>
          <cell r="C76" t="str">
            <v xml:space="preserve">BARRIOS UNIDOS </v>
          </cell>
          <cell r="D76" t="str">
            <v>OFICIAL</v>
          </cell>
          <cell r="E76" t="str">
            <v>EPBM</v>
          </cell>
          <cell r="F76" t="str">
            <v>COLEGIO_REPUBLICA_DE_PANAMA_IED</v>
          </cell>
          <cell r="G76" t="str">
            <v>REPUBLICA_DE_PANAMA</v>
          </cell>
          <cell r="H76" t="str">
            <v>Convivencia escolar</v>
          </cell>
          <cell r="I76" t="str">
            <v>EVALUACIÓN_CON_FINES_DE_MEJORAMIENTO.</v>
          </cell>
          <cell r="J76" t="str">
            <v>Verificar las condiciones en cuanto a: la estructura administrativa, condiciones de la planta física y medios educativos adecuados.</v>
          </cell>
          <cell r="K76" t="str">
            <v>CAMILO ANDRÉS GALINDO GÓMEZ</v>
          </cell>
          <cell r="L76" t="str">
            <v>DORIS YOLANDA LÓPEZ ARÉVALO</v>
          </cell>
          <cell r="M76">
            <v>45804</v>
          </cell>
          <cell r="N76">
            <v>45804</v>
          </cell>
          <cell r="O76">
            <v>45804</v>
          </cell>
          <cell r="P76" t="str">
            <v>Visitas de evaluación con fines de seguimiento</v>
          </cell>
          <cell r="Q76" t="str">
            <v>Acta_visita_Integral_Col_República_de_Panama.pdf</v>
          </cell>
          <cell r="R76" t="str">
            <v>Se verificaron tres sedes autorizadas, medios educativos y espacios escolares.</v>
          </cell>
          <cell r="S76" t="str">
            <v>Se hacen algunas recomendaciones por oficio para que sean tenidas en cuenta, como la señalización de parqueaderos, seguridad exterior y vecinos.</v>
          </cell>
          <cell r="T76" t="str">
            <v>Si</v>
          </cell>
          <cell r="U76" t="str">
            <v>Se verificará a través de visita de seguimiento</v>
          </cell>
        </row>
        <row r="77">
          <cell r="A77"/>
          <cell r="J77"/>
          <cell r="K77"/>
          <cell r="L77"/>
          <cell r="M77"/>
          <cell r="N77"/>
          <cell r="O77"/>
          <cell r="P77"/>
          <cell r="Q77"/>
          <cell r="R77"/>
          <cell r="S77"/>
          <cell r="T77"/>
          <cell r="U77"/>
        </row>
        <row r="78">
          <cell r="A78"/>
          <cell r="J78"/>
          <cell r="K78"/>
          <cell r="L78"/>
          <cell r="M78"/>
          <cell r="N78"/>
          <cell r="O78"/>
          <cell r="P78"/>
          <cell r="Q78"/>
          <cell r="R78"/>
          <cell r="S78"/>
          <cell r="T78"/>
          <cell r="U78"/>
        </row>
        <row r="79">
          <cell r="A79"/>
          <cell r="J79"/>
          <cell r="K79"/>
          <cell r="L79"/>
          <cell r="M79"/>
          <cell r="N79"/>
          <cell r="O79"/>
          <cell r="P79"/>
          <cell r="Q79"/>
          <cell r="R79"/>
          <cell r="S79"/>
          <cell r="T79"/>
          <cell r="U79"/>
        </row>
        <row r="80">
          <cell r="A80"/>
          <cell r="J80"/>
          <cell r="K80"/>
          <cell r="L80"/>
          <cell r="M80"/>
          <cell r="N80"/>
          <cell r="O80"/>
          <cell r="P80"/>
          <cell r="Q80"/>
          <cell r="R80"/>
          <cell r="S80"/>
          <cell r="T80"/>
          <cell r="U80"/>
        </row>
        <row r="81">
          <cell r="A81"/>
          <cell r="J81"/>
          <cell r="K81"/>
          <cell r="L81"/>
          <cell r="M81"/>
          <cell r="N81"/>
          <cell r="O81"/>
          <cell r="P81"/>
          <cell r="Q81"/>
          <cell r="R81"/>
          <cell r="S81"/>
          <cell r="T81"/>
          <cell r="U81"/>
        </row>
        <row r="82">
          <cell r="A82"/>
          <cell r="J82"/>
          <cell r="K82"/>
          <cell r="L82"/>
          <cell r="M82"/>
          <cell r="N82"/>
          <cell r="O82"/>
          <cell r="P82"/>
          <cell r="Q82"/>
          <cell r="R82"/>
          <cell r="S82"/>
          <cell r="T82"/>
          <cell r="U82"/>
        </row>
        <row r="83">
          <cell r="A83"/>
          <cell r="J83"/>
          <cell r="K83"/>
          <cell r="L83"/>
          <cell r="M83"/>
          <cell r="N83"/>
          <cell r="O83"/>
          <cell r="P83"/>
          <cell r="Q83"/>
          <cell r="R83"/>
          <cell r="S83"/>
          <cell r="T83"/>
          <cell r="U83"/>
        </row>
        <row r="84">
          <cell r="A84"/>
          <cell r="J84"/>
          <cell r="K84"/>
          <cell r="L84"/>
          <cell r="M84"/>
          <cell r="N84"/>
          <cell r="O84"/>
          <cell r="P84"/>
          <cell r="Q84"/>
          <cell r="R84"/>
          <cell r="S84"/>
          <cell r="T84"/>
          <cell r="U84"/>
        </row>
        <row r="85">
          <cell r="A85"/>
          <cell r="J85"/>
          <cell r="K85"/>
          <cell r="L85"/>
          <cell r="M85"/>
          <cell r="N85"/>
          <cell r="O85"/>
          <cell r="P85"/>
          <cell r="Q85"/>
          <cell r="R85"/>
          <cell r="S85"/>
          <cell r="T85"/>
          <cell r="U85"/>
        </row>
        <row r="86">
          <cell r="A86"/>
          <cell r="J86"/>
          <cell r="K86"/>
          <cell r="L86"/>
          <cell r="M86"/>
          <cell r="N86"/>
          <cell r="O86"/>
          <cell r="P86"/>
          <cell r="Q86"/>
          <cell r="R86"/>
          <cell r="S86"/>
          <cell r="T86"/>
          <cell r="U86"/>
        </row>
        <row r="87">
          <cell r="A87"/>
          <cell r="J87"/>
          <cell r="K87"/>
          <cell r="L87"/>
          <cell r="M87"/>
          <cell r="N87"/>
          <cell r="O87"/>
          <cell r="P87"/>
          <cell r="Q87"/>
          <cell r="R87"/>
          <cell r="S87"/>
          <cell r="T87"/>
          <cell r="U87"/>
        </row>
        <row r="88">
          <cell r="A88"/>
          <cell r="J88"/>
          <cell r="K88"/>
          <cell r="L88"/>
          <cell r="M88"/>
          <cell r="N88"/>
          <cell r="O88"/>
          <cell r="P88"/>
          <cell r="Q88"/>
          <cell r="R88"/>
          <cell r="S88"/>
          <cell r="T88"/>
          <cell r="U88"/>
        </row>
        <row r="89">
          <cell r="A89"/>
          <cell r="J89"/>
          <cell r="K89"/>
          <cell r="L89"/>
          <cell r="M89"/>
          <cell r="N89"/>
          <cell r="O89"/>
          <cell r="P89"/>
          <cell r="Q89"/>
          <cell r="R89"/>
          <cell r="S89"/>
          <cell r="T89"/>
          <cell r="U89"/>
        </row>
        <row r="90">
          <cell r="A90"/>
          <cell r="J90"/>
          <cell r="K90"/>
          <cell r="L90"/>
          <cell r="M90"/>
          <cell r="N90"/>
          <cell r="O90"/>
          <cell r="P90"/>
          <cell r="Q90"/>
          <cell r="R90"/>
          <cell r="S90"/>
          <cell r="T90"/>
          <cell r="U90"/>
        </row>
        <row r="91">
          <cell r="A91"/>
          <cell r="J91"/>
          <cell r="K91"/>
          <cell r="L91"/>
          <cell r="M91"/>
          <cell r="N91"/>
          <cell r="O91"/>
          <cell r="P91"/>
          <cell r="Q91"/>
          <cell r="R91"/>
          <cell r="S91"/>
          <cell r="T91"/>
          <cell r="U91"/>
        </row>
        <row r="92">
          <cell r="A92"/>
          <cell r="J92"/>
          <cell r="K92"/>
          <cell r="L92"/>
          <cell r="M92"/>
          <cell r="N92"/>
          <cell r="O92"/>
          <cell r="P92"/>
          <cell r="Q92"/>
          <cell r="R92"/>
          <cell r="S92"/>
          <cell r="T92"/>
          <cell r="U92"/>
        </row>
        <row r="93">
          <cell r="A93"/>
          <cell r="J93"/>
          <cell r="K93"/>
          <cell r="L93"/>
          <cell r="M93"/>
          <cell r="N93"/>
          <cell r="O93"/>
          <cell r="P93"/>
          <cell r="Q93"/>
          <cell r="R93"/>
          <cell r="S93"/>
          <cell r="T93"/>
          <cell r="U93"/>
        </row>
        <row r="94">
          <cell r="A94"/>
          <cell r="J94"/>
          <cell r="K94"/>
          <cell r="L94"/>
          <cell r="M94"/>
          <cell r="N94"/>
          <cell r="O94"/>
          <cell r="P94"/>
          <cell r="Q94"/>
          <cell r="R94"/>
          <cell r="S94"/>
          <cell r="T94"/>
          <cell r="U94"/>
        </row>
        <row r="95">
          <cell r="A95"/>
          <cell r="J95"/>
          <cell r="K95"/>
          <cell r="L95"/>
          <cell r="M95"/>
          <cell r="N95"/>
          <cell r="O95"/>
          <cell r="P95"/>
          <cell r="Q95"/>
          <cell r="R95"/>
          <cell r="S95"/>
          <cell r="T95"/>
          <cell r="U95"/>
        </row>
        <row r="96">
          <cell r="A96"/>
          <cell r="J96"/>
          <cell r="K96"/>
          <cell r="L96"/>
          <cell r="M96"/>
          <cell r="N96"/>
          <cell r="O96"/>
          <cell r="P96"/>
          <cell r="Q96"/>
          <cell r="R96"/>
          <cell r="S96"/>
          <cell r="T96"/>
          <cell r="U96"/>
        </row>
        <row r="97">
          <cell r="A97"/>
          <cell r="J97"/>
          <cell r="K97"/>
          <cell r="L97"/>
          <cell r="M97"/>
          <cell r="N97"/>
          <cell r="O97"/>
          <cell r="P97"/>
          <cell r="Q97"/>
          <cell r="R97"/>
          <cell r="S97"/>
          <cell r="T97"/>
          <cell r="U97"/>
        </row>
        <row r="98">
          <cell r="A98"/>
          <cell r="J98"/>
          <cell r="K98"/>
          <cell r="L98"/>
          <cell r="M98"/>
          <cell r="N98"/>
          <cell r="O98"/>
          <cell r="P98"/>
          <cell r="Q98"/>
          <cell r="R98"/>
          <cell r="S98"/>
          <cell r="T98"/>
          <cell r="U98"/>
        </row>
        <row r="99">
          <cell r="A99"/>
          <cell r="J99"/>
          <cell r="K99"/>
          <cell r="L99"/>
          <cell r="M99"/>
          <cell r="N99"/>
          <cell r="O99"/>
          <cell r="P99"/>
          <cell r="Q99"/>
          <cell r="R99"/>
          <cell r="S99"/>
          <cell r="T99"/>
          <cell r="U99"/>
        </row>
        <row r="100">
          <cell r="A100"/>
          <cell r="J100"/>
          <cell r="K100"/>
          <cell r="L100"/>
          <cell r="M100"/>
          <cell r="N100"/>
          <cell r="O100"/>
          <cell r="P100"/>
          <cell r="Q100"/>
          <cell r="R100"/>
          <cell r="S100"/>
          <cell r="T100"/>
          <cell r="U100"/>
        </row>
        <row r="101">
          <cell r="A101"/>
          <cell r="J101"/>
          <cell r="K101"/>
          <cell r="L101"/>
          <cell r="M101"/>
          <cell r="N101"/>
          <cell r="O101"/>
          <cell r="P101"/>
          <cell r="Q101"/>
          <cell r="R101"/>
          <cell r="S101"/>
          <cell r="T101"/>
          <cell r="U101"/>
        </row>
        <row r="102">
          <cell r="A102"/>
          <cell r="J102"/>
          <cell r="K102"/>
          <cell r="L102"/>
          <cell r="M102"/>
          <cell r="N102"/>
          <cell r="O102"/>
          <cell r="P102"/>
          <cell r="Q102"/>
          <cell r="R102"/>
          <cell r="S102"/>
          <cell r="T102"/>
          <cell r="U102"/>
        </row>
        <row r="103">
          <cell r="A103"/>
          <cell r="J103"/>
          <cell r="K103"/>
          <cell r="L103"/>
          <cell r="M103"/>
          <cell r="N103"/>
          <cell r="O103"/>
          <cell r="P103"/>
          <cell r="Q103"/>
          <cell r="R103"/>
          <cell r="S103"/>
          <cell r="T103"/>
          <cell r="U103"/>
        </row>
        <row r="104">
          <cell r="A104"/>
          <cell r="J104"/>
          <cell r="K104"/>
          <cell r="L104"/>
          <cell r="M104"/>
          <cell r="N104"/>
          <cell r="O104"/>
          <cell r="P104"/>
          <cell r="Q104"/>
          <cell r="R104"/>
          <cell r="S104"/>
          <cell r="T104"/>
          <cell r="U104"/>
        </row>
        <row r="105">
          <cell r="A105"/>
          <cell r="J105"/>
          <cell r="K105"/>
          <cell r="L105"/>
          <cell r="M105"/>
          <cell r="N105"/>
          <cell r="O105"/>
          <cell r="P105"/>
          <cell r="Q105"/>
          <cell r="R105"/>
          <cell r="S105"/>
          <cell r="T105"/>
          <cell r="U105"/>
        </row>
        <row r="106">
          <cell r="A106"/>
          <cell r="J106"/>
          <cell r="K106"/>
          <cell r="L106"/>
          <cell r="M106"/>
          <cell r="N106"/>
          <cell r="O106"/>
          <cell r="P106"/>
          <cell r="Q106"/>
          <cell r="R106"/>
          <cell r="S106"/>
          <cell r="T106"/>
          <cell r="U106"/>
        </row>
        <row r="107">
          <cell r="A107"/>
          <cell r="J107"/>
          <cell r="K107"/>
          <cell r="L107"/>
          <cell r="M107"/>
          <cell r="N107"/>
          <cell r="O107"/>
          <cell r="P107"/>
          <cell r="Q107"/>
          <cell r="R107"/>
          <cell r="S107"/>
          <cell r="T107"/>
          <cell r="U107"/>
        </row>
        <row r="108">
          <cell r="A108"/>
          <cell r="J108"/>
          <cell r="K108"/>
          <cell r="L108"/>
          <cell r="M108"/>
          <cell r="N108"/>
          <cell r="O108"/>
          <cell r="P108"/>
          <cell r="Q108"/>
          <cell r="R108"/>
          <cell r="S108"/>
          <cell r="T108"/>
          <cell r="U108"/>
        </row>
        <row r="109">
          <cell r="A109"/>
          <cell r="J109"/>
          <cell r="K109"/>
          <cell r="L109"/>
          <cell r="M109"/>
          <cell r="N109"/>
          <cell r="O109"/>
          <cell r="P109"/>
          <cell r="Q109"/>
          <cell r="R109"/>
          <cell r="S109"/>
          <cell r="T109"/>
          <cell r="U109"/>
        </row>
        <row r="110">
          <cell r="A110"/>
          <cell r="J110"/>
          <cell r="K110"/>
          <cell r="L110"/>
          <cell r="M110"/>
          <cell r="N110"/>
          <cell r="O110"/>
          <cell r="P110"/>
          <cell r="Q110"/>
          <cell r="R110"/>
          <cell r="S110"/>
          <cell r="T110"/>
          <cell r="U110"/>
        </row>
        <row r="111">
          <cell r="A111"/>
          <cell r="J111"/>
          <cell r="K111"/>
          <cell r="L111"/>
          <cell r="M111"/>
          <cell r="N111"/>
          <cell r="O111"/>
          <cell r="P111"/>
          <cell r="Q111"/>
          <cell r="R111"/>
          <cell r="S111"/>
          <cell r="T111"/>
          <cell r="U111"/>
        </row>
        <row r="112">
          <cell r="A112"/>
          <cell r="J112"/>
          <cell r="K112"/>
          <cell r="L112"/>
          <cell r="M112"/>
          <cell r="N112"/>
          <cell r="O112"/>
          <cell r="P112"/>
          <cell r="Q112"/>
          <cell r="R112"/>
          <cell r="S112"/>
          <cell r="T112"/>
          <cell r="U112"/>
        </row>
        <row r="113">
          <cell r="A113"/>
          <cell r="J113"/>
          <cell r="K113"/>
          <cell r="L113"/>
          <cell r="M113"/>
          <cell r="N113"/>
          <cell r="O113"/>
          <cell r="P113"/>
          <cell r="Q113"/>
          <cell r="R113"/>
          <cell r="S113"/>
          <cell r="T113"/>
          <cell r="U113"/>
        </row>
        <row r="114">
          <cell r="A114"/>
          <cell r="J114"/>
          <cell r="K114"/>
          <cell r="L114"/>
          <cell r="M114"/>
          <cell r="N114"/>
          <cell r="O114"/>
          <cell r="P114"/>
          <cell r="Q114"/>
          <cell r="R114"/>
          <cell r="S114"/>
          <cell r="T114"/>
          <cell r="U114"/>
        </row>
        <row r="115">
          <cell r="A115"/>
          <cell r="J115"/>
          <cell r="K115"/>
          <cell r="L115"/>
          <cell r="M115"/>
          <cell r="N115"/>
          <cell r="O115"/>
          <cell r="P115"/>
          <cell r="Q115"/>
          <cell r="R115"/>
          <cell r="S115"/>
          <cell r="T115"/>
          <cell r="U115"/>
        </row>
        <row r="116">
          <cell r="A116"/>
          <cell r="J116"/>
          <cell r="K116"/>
          <cell r="L116"/>
          <cell r="M116"/>
          <cell r="N116"/>
          <cell r="O116"/>
          <cell r="P116"/>
          <cell r="Q116"/>
          <cell r="R116"/>
          <cell r="S116"/>
          <cell r="T116"/>
          <cell r="U116"/>
        </row>
        <row r="117">
          <cell r="A117"/>
          <cell r="J117"/>
          <cell r="K117"/>
          <cell r="L117"/>
          <cell r="M117"/>
          <cell r="N117"/>
          <cell r="O117"/>
          <cell r="P117"/>
          <cell r="Q117"/>
          <cell r="R117"/>
          <cell r="S117"/>
          <cell r="T117"/>
          <cell r="U117"/>
        </row>
        <row r="118">
          <cell r="A118"/>
          <cell r="J118"/>
          <cell r="K118"/>
          <cell r="L118"/>
          <cell r="M118"/>
          <cell r="N118"/>
          <cell r="O118"/>
          <cell r="P118"/>
          <cell r="Q118"/>
          <cell r="R118"/>
          <cell r="S118"/>
          <cell r="T118"/>
          <cell r="U118"/>
        </row>
        <row r="119">
          <cell r="A119"/>
          <cell r="J119"/>
          <cell r="K119"/>
          <cell r="L119"/>
          <cell r="M119"/>
          <cell r="N119"/>
          <cell r="O119"/>
          <cell r="P119"/>
          <cell r="Q119"/>
          <cell r="R119"/>
          <cell r="S119"/>
          <cell r="T119"/>
          <cell r="U119"/>
        </row>
        <row r="120">
          <cell r="A120"/>
          <cell r="J120"/>
          <cell r="K120"/>
          <cell r="L120"/>
          <cell r="M120"/>
          <cell r="N120"/>
          <cell r="O120"/>
          <cell r="P120"/>
          <cell r="Q120"/>
          <cell r="R120"/>
          <cell r="S120"/>
          <cell r="T120"/>
          <cell r="U120"/>
        </row>
        <row r="121">
          <cell r="A121"/>
          <cell r="J121"/>
          <cell r="K121"/>
          <cell r="L121"/>
          <cell r="M121"/>
          <cell r="N121"/>
          <cell r="O121"/>
          <cell r="P121"/>
          <cell r="Q121"/>
          <cell r="R121"/>
          <cell r="S121"/>
          <cell r="T121"/>
          <cell r="U121"/>
        </row>
        <row r="122">
          <cell r="A122"/>
          <cell r="J122"/>
          <cell r="K122"/>
          <cell r="L122"/>
          <cell r="M122"/>
          <cell r="N122"/>
          <cell r="O122"/>
          <cell r="P122"/>
          <cell r="Q122"/>
          <cell r="R122"/>
          <cell r="S122"/>
          <cell r="T122"/>
          <cell r="U122"/>
        </row>
        <row r="123">
          <cell r="A123"/>
          <cell r="J123"/>
          <cell r="K123"/>
          <cell r="L123"/>
          <cell r="M123"/>
          <cell r="N123"/>
          <cell r="O123"/>
          <cell r="P123"/>
          <cell r="Q123"/>
          <cell r="R123"/>
          <cell r="S123"/>
          <cell r="T123"/>
          <cell r="U123"/>
        </row>
        <row r="124">
          <cell r="A124"/>
          <cell r="J124"/>
          <cell r="K124"/>
          <cell r="L124"/>
          <cell r="M124"/>
          <cell r="N124"/>
          <cell r="O124"/>
          <cell r="P124"/>
          <cell r="Q124"/>
          <cell r="R124"/>
          <cell r="S124"/>
          <cell r="T124"/>
          <cell r="U124"/>
        </row>
        <row r="125">
          <cell r="A125"/>
          <cell r="J125"/>
          <cell r="K125"/>
          <cell r="L125"/>
          <cell r="M125"/>
          <cell r="N125"/>
          <cell r="O125"/>
          <cell r="P125"/>
          <cell r="Q125"/>
          <cell r="R125"/>
          <cell r="S125"/>
          <cell r="T125"/>
          <cell r="U125"/>
        </row>
        <row r="126">
          <cell r="A126"/>
          <cell r="J126"/>
          <cell r="K126"/>
          <cell r="L126"/>
          <cell r="M126"/>
          <cell r="N126"/>
          <cell r="O126"/>
          <cell r="P126"/>
          <cell r="Q126"/>
          <cell r="R126"/>
          <cell r="S126"/>
          <cell r="T126"/>
          <cell r="U126"/>
        </row>
        <row r="127">
          <cell r="A127"/>
          <cell r="J127"/>
          <cell r="K127"/>
          <cell r="L127"/>
          <cell r="M127"/>
          <cell r="N127"/>
          <cell r="O127"/>
          <cell r="P127"/>
          <cell r="Q127"/>
          <cell r="R127"/>
          <cell r="S127"/>
          <cell r="T127"/>
          <cell r="U127"/>
        </row>
        <row r="128">
          <cell r="A128"/>
          <cell r="J128"/>
          <cell r="K128"/>
          <cell r="L128"/>
          <cell r="M128"/>
          <cell r="N128"/>
          <cell r="O128"/>
          <cell r="P128"/>
          <cell r="Q128"/>
          <cell r="R128"/>
          <cell r="S128"/>
          <cell r="T128"/>
          <cell r="U128"/>
        </row>
        <row r="129">
          <cell r="A129"/>
          <cell r="J129"/>
          <cell r="K129"/>
          <cell r="L129"/>
          <cell r="M129"/>
          <cell r="N129"/>
          <cell r="O129"/>
          <cell r="P129"/>
          <cell r="Q129"/>
          <cell r="R129"/>
          <cell r="S129"/>
          <cell r="T129"/>
          <cell r="U129"/>
        </row>
        <row r="130">
          <cell r="A130"/>
          <cell r="J130"/>
          <cell r="K130"/>
          <cell r="L130"/>
          <cell r="M130"/>
          <cell r="N130"/>
          <cell r="O130"/>
          <cell r="P130"/>
          <cell r="Q130"/>
          <cell r="R130"/>
          <cell r="S130"/>
          <cell r="T130"/>
          <cell r="U130"/>
        </row>
        <row r="131">
          <cell r="A131"/>
          <cell r="J131"/>
          <cell r="K131"/>
          <cell r="L131"/>
          <cell r="M131"/>
          <cell r="N131"/>
          <cell r="O131"/>
          <cell r="P131"/>
          <cell r="Q131"/>
          <cell r="R131"/>
          <cell r="S131"/>
          <cell r="T131"/>
          <cell r="U131"/>
        </row>
        <row r="132">
          <cell r="A132"/>
          <cell r="J132"/>
          <cell r="K132"/>
          <cell r="L132"/>
          <cell r="M132"/>
          <cell r="N132"/>
          <cell r="O132"/>
          <cell r="P132"/>
          <cell r="Q132"/>
          <cell r="R132"/>
          <cell r="S132"/>
          <cell r="T132"/>
          <cell r="U132"/>
        </row>
        <row r="133">
          <cell r="A133"/>
          <cell r="J133"/>
          <cell r="K133"/>
          <cell r="L133"/>
          <cell r="M133"/>
          <cell r="N133"/>
          <cell r="O133"/>
          <cell r="P133"/>
          <cell r="Q133"/>
          <cell r="R133"/>
          <cell r="S133"/>
          <cell r="T133"/>
          <cell r="U133"/>
        </row>
        <row r="134">
          <cell r="A134"/>
          <cell r="J134"/>
          <cell r="K134"/>
          <cell r="L134"/>
          <cell r="M134"/>
          <cell r="N134"/>
          <cell r="O134"/>
          <cell r="P134"/>
          <cell r="Q134"/>
          <cell r="R134"/>
          <cell r="S134"/>
          <cell r="T134"/>
          <cell r="U134"/>
        </row>
        <row r="135">
          <cell r="A135"/>
          <cell r="J135"/>
          <cell r="K135"/>
          <cell r="L135"/>
          <cell r="M135"/>
          <cell r="N135"/>
          <cell r="O135"/>
          <cell r="P135"/>
          <cell r="Q135"/>
          <cell r="R135"/>
          <cell r="S135"/>
          <cell r="T135"/>
          <cell r="U135"/>
        </row>
        <row r="136">
          <cell r="A136"/>
          <cell r="J136"/>
          <cell r="K136"/>
          <cell r="L136"/>
          <cell r="M136"/>
          <cell r="N136"/>
          <cell r="O136"/>
          <cell r="P136"/>
          <cell r="Q136"/>
          <cell r="R136"/>
          <cell r="S136"/>
          <cell r="T136"/>
          <cell r="U136"/>
        </row>
        <row r="137">
          <cell r="A137"/>
          <cell r="J137"/>
          <cell r="K137"/>
          <cell r="L137"/>
          <cell r="M137"/>
          <cell r="N137"/>
          <cell r="O137"/>
          <cell r="P137"/>
          <cell r="Q137"/>
          <cell r="R137"/>
          <cell r="S137"/>
          <cell r="T137"/>
          <cell r="U137"/>
        </row>
        <row r="138">
          <cell r="A138"/>
          <cell r="J138"/>
          <cell r="K138"/>
          <cell r="L138"/>
          <cell r="M138"/>
          <cell r="N138"/>
          <cell r="O138"/>
          <cell r="P138"/>
          <cell r="Q138"/>
          <cell r="R138"/>
          <cell r="S138"/>
          <cell r="T138"/>
          <cell r="U138"/>
        </row>
        <row r="139">
          <cell r="A139"/>
          <cell r="J139"/>
          <cell r="K139"/>
          <cell r="L139"/>
          <cell r="M139"/>
          <cell r="N139"/>
          <cell r="O139"/>
          <cell r="P139"/>
          <cell r="Q139"/>
          <cell r="R139"/>
          <cell r="S139"/>
          <cell r="T139"/>
          <cell r="U139"/>
        </row>
        <row r="140">
          <cell r="A140"/>
          <cell r="J140"/>
          <cell r="K140"/>
          <cell r="L140"/>
          <cell r="M140"/>
          <cell r="N140"/>
          <cell r="O140"/>
          <cell r="P140"/>
          <cell r="Q140"/>
          <cell r="R140"/>
          <cell r="S140"/>
          <cell r="T140"/>
          <cell r="U140"/>
        </row>
        <row r="141">
          <cell r="A141"/>
          <cell r="J141"/>
          <cell r="K141"/>
          <cell r="L141"/>
          <cell r="M141"/>
          <cell r="N141"/>
          <cell r="O141"/>
          <cell r="P141"/>
          <cell r="Q141"/>
          <cell r="R141"/>
          <cell r="S141"/>
          <cell r="T141"/>
          <cell r="U141"/>
        </row>
        <row r="142">
          <cell r="A142"/>
          <cell r="J142"/>
          <cell r="K142"/>
          <cell r="L142"/>
          <cell r="M142"/>
          <cell r="N142"/>
          <cell r="O142"/>
          <cell r="P142"/>
          <cell r="Q142"/>
          <cell r="R142"/>
          <cell r="S142"/>
          <cell r="T142"/>
          <cell r="U142"/>
        </row>
        <row r="143">
          <cell r="A143"/>
          <cell r="J143"/>
          <cell r="K143"/>
          <cell r="L143"/>
          <cell r="M143"/>
          <cell r="N143"/>
          <cell r="O143"/>
          <cell r="P143"/>
          <cell r="Q143"/>
          <cell r="R143"/>
          <cell r="S143"/>
          <cell r="T143"/>
          <cell r="U143"/>
        </row>
        <row r="144">
          <cell r="A144"/>
          <cell r="J144"/>
          <cell r="K144"/>
          <cell r="L144"/>
          <cell r="M144"/>
          <cell r="N144"/>
          <cell r="O144"/>
          <cell r="P144"/>
          <cell r="Q144"/>
          <cell r="R144"/>
          <cell r="S144"/>
          <cell r="T144"/>
          <cell r="U144"/>
        </row>
        <row r="145">
          <cell r="A145"/>
          <cell r="J145"/>
          <cell r="K145"/>
          <cell r="L145"/>
          <cell r="M145"/>
          <cell r="N145"/>
          <cell r="O145"/>
          <cell r="P145"/>
          <cell r="Q145"/>
          <cell r="R145"/>
          <cell r="S145"/>
          <cell r="T145"/>
          <cell r="U145"/>
        </row>
        <row r="146">
          <cell r="A146"/>
          <cell r="J146"/>
          <cell r="K146"/>
          <cell r="L146"/>
          <cell r="M146"/>
          <cell r="N146"/>
          <cell r="O146"/>
          <cell r="P146"/>
          <cell r="Q146"/>
          <cell r="R146"/>
          <cell r="S146"/>
          <cell r="T146"/>
          <cell r="U146"/>
        </row>
        <row r="147">
          <cell r="A147"/>
          <cell r="J147"/>
          <cell r="K147"/>
          <cell r="L147"/>
          <cell r="M147"/>
          <cell r="N147"/>
          <cell r="O147"/>
          <cell r="P147"/>
          <cell r="Q147"/>
          <cell r="R147"/>
          <cell r="S147"/>
          <cell r="T147"/>
          <cell r="U147"/>
        </row>
        <row r="148">
          <cell r="A148"/>
          <cell r="J148"/>
          <cell r="K148"/>
          <cell r="L148"/>
          <cell r="M148"/>
          <cell r="N148"/>
          <cell r="O148"/>
          <cell r="P148"/>
          <cell r="Q148"/>
          <cell r="R148"/>
          <cell r="S148"/>
          <cell r="T148"/>
          <cell r="U148"/>
        </row>
        <row r="149">
          <cell r="A149"/>
          <cell r="J149"/>
          <cell r="K149"/>
          <cell r="L149"/>
          <cell r="M149"/>
          <cell r="N149"/>
          <cell r="O149"/>
          <cell r="P149"/>
          <cell r="Q149"/>
          <cell r="R149"/>
          <cell r="S149"/>
          <cell r="T149"/>
          <cell r="U149"/>
        </row>
        <row r="150">
          <cell r="A150"/>
          <cell r="J150"/>
          <cell r="K150"/>
          <cell r="L150"/>
          <cell r="M150"/>
          <cell r="N150"/>
          <cell r="O150"/>
          <cell r="P150"/>
          <cell r="Q150"/>
          <cell r="R150"/>
          <cell r="S150"/>
          <cell r="T150"/>
          <cell r="U150"/>
        </row>
        <row r="151">
          <cell r="A151"/>
          <cell r="J151"/>
          <cell r="K151"/>
          <cell r="L151"/>
          <cell r="M151"/>
          <cell r="N151"/>
          <cell r="O151"/>
          <cell r="P151"/>
          <cell r="Q151"/>
          <cell r="R151"/>
          <cell r="S151"/>
          <cell r="T151"/>
          <cell r="U151"/>
        </row>
        <row r="152">
          <cell r="A152"/>
          <cell r="J152"/>
          <cell r="K152"/>
          <cell r="L152"/>
          <cell r="M152"/>
          <cell r="N152"/>
          <cell r="O152"/>
          <cell r="P152"/>
          <cell r="Q152"/>
          <cell r="R152"/>
          <cell r="S152"/>
          <cell r="T152"/>
          <cell r="U152"/>
        </row>
        <row r="153">
          <cell r="A153"/>
          <cell r="J153"/>
          <cell r="K153"/>
          <cell r="L153"/>
          <cell r="M153"/>
          <cell r="N153"/>
          <cell r="O153"/>
          <cell r="P153"/>
          <cell r="Q153"/>
          <cell r="R153"/>
          <cell r="S153"/>
          <cell r="T153"/>
          <cell r="U153"/>
        </row>
        <row r="154">
          <cell r="A154"/>
          <cell r="J154"/>
          <cell r="K154"/>
          <cell r="L154"/>
          <cell r="M154"/>
          <cell r="N154"/>
          <cell r="O154"/>
          <cell r="P154"/>
          <cell r="Q154"/>
          <cell r="R154"/>
          <cell r="S154"/>
          <cell r="T154"/>
          <cell r="U154"/>
        </row>
        <row r="155">
          <cell r="A155"/>
          <cell r="J155"/>
          <cell r="K155"/>
          <cell r="L155"/>
          <cell r="M155"/>
          <cell r="N155"/>
          <cell r="O155"/>
          <cell r="P155"/>
          <cell r="Q155"/>
          <cell r="R155"/>
          <cell r="S155"/>
          <cell r="T155"/>
          <cell r="U155"/>
        </row>
        <row r="156">
          <cell r="A156"/>
          <cell r="J156"/>
          <cell r="K156"/>
          <cell r="L156"/>
          <cell r="M156"/>
          <cell r="N156"/>
          <cell r="O156"/>
          <cell r="P156"/>
          <cell r="Q156"/>
          <cell r="R156"/>
          <cell r="S156"/>
          <cell r="T156"/>
          <cell r="U156"/>
        </row>
        <row r="157">
          <cell r="A157"/>
          <cell r="J157"/>
          <cell r="K157"/>
          <cell r="L157"/>
          <cell r="M157"/>
          <cell r="N157"/>
          <cell r="O157"/>
          <cell r="P157"/>
          <cell r="Q157"/>
          <cell r="R157"/>
          <cell r="S157"/>
          <cell r="T157"/>
          <cell r="U157"/>
        </row>
        <row r="158">
          <cell r="A158"/>
          <cell r="J158"/>
          <cell r="K158"/>
          <cell r="L158"/>
          <cell r="M158"/>
          <cell r="N158"/>
          <cell r="O158"/>
          <cell r="P158"/>
          <cell r="Q158"/>
          <cell r="R158"/>
          <cell r="S158"/>
          <cell r="T158"/>
          <cell r="U158"/>
        </row>
        <row r="159">
          <cell r="A159"/>
          <cell r="J159"/>
          <cell r="K159"/>
          <cell r="L159"/>
          <cell r="M159"/>
          <cell r="N159"/>
          <cell r="O159"/>
          <cell r="P159"/>
          <cell r="Q159"/>
          <cell r="R159"/>
          <cell r="S159"/>
          <cell r="T159"/>
          <cell r="U159"/>
        </row>
        <row r="160">
          <cell r="A160"/>
          <cell r="J160"/>
          <cell r="K160"/>
          <cell r="L160"/>
          <cell r="M160"/>
          <cell r="N160"/>
          <cell r="O160"/>
          <cell r="P160"/>
          <cell r="Q160"/>
          <cell r="R160"/>
          <cell r="S160"/>
          <cell r="T160"/>
          <cell r="U160"/>
        </row>
        <row r="161">
          <cell r="A161"/>
          <cell r="J161"/>
          <cell r="K161"/>
          <cell r="L161"/>
          <cell r="M161"/>
          <cell r="N161"/>
          <cell r="O161"/>
          <cell r="P161"/>
          <cell r="Q161"/>
          <cell r="R161"/>
          <cell r="S161"/>
          <cell r="T161"/>
          <cell r="U161"/>
        </row>
        <row r="162">
          <cell r="A162"/>
          <cell r="J162"/>
          <cell r="K162"/>
          <cell r="L162"/>
          <cell r="M162"/>
          <cell r="N162"/>
          <cell r="O162"/>
          <cell r="P162"/>
          <cell r="Q162"/>
          <cell r="R162"/>
          <cell r="S162"/>
          <cell r="T162"/>
          <cell r="U162"/>
        </row>
        <row r="163">
          <cell r="A163"/>
          <cell r="J163"/>
          <cell r="K163"/>
          <cell r="L163"/>
          <cell r="M163"/>
          <cell r="N163"/>
          <cell r="O163"/>
          <cell r="P163"/>
          <cell r="Q163"/>
          <cell r="R163"/>
          <cell r="S163"/>
          <cell r="T163"/>
          <cell r="U163"/>
        </row>
        <row r="164">
          <cell r="A164"/>
          <cell r="J164"/>
          <cell r="K164"/>
          <cell r="L164"/>
          <cell r="M164"/>
          <cell r="N164"/>
          <cell r="O164"/>
          <cell r="P164"/>
          <cell r="Q164"/>
          <cell r="R164"/>
          <cell r="S164"/>
          <cell r="T164"/>
          <cell r="U164"/>
        </row>
        <row r="165">
          <cell r="A165"/>
          <cell r="J165"/>
          <cell r="K165"/>
          <cell r="L165"/>
          <cell r="M165"/>
          <cell r="N165"/>
          <cell r="O165"/>
          <cell r="P165"/>
          <cell r="Q165"/>
          <cell r="R165"/>
          <cell r="S165"/>
          <cell r="T165"/>
          <cell r="U165"/>
        </row>
        <row r="166">
          <cell r="A166"/>
          <cell r="J166"/>
          <cell r="K166"/>
          <cell r="L166"/>
          <cell r="M166"/>
          <cell r="N166"/>
          <cell r="O166"/>
          <cell r="P166"/>
          <cell r="Q166"/>
          <cell r="R166"/>
          <cell r="S166"/>
          <cell r="T166"/>
          <cell r="U166"/>
        </row>
        <row r="167">
          <cell r="A167"/>
          <cell r="J167"/>
          <cell r="K167"/>
          <cell r="L167"/>
          <cell r="M167"/>
          <cell r="N167"/>
          <cell r="O167"/>
          <cell r="P167"/>
          <cell r="Q167"/>
          <cell r="R167"/>
          <cell r="S167"/>
          <cell r="T167"/>
          <cell r="U167"/>
        </row>
        <row r="168">
          <cell r="A168"/>
          <cell r="J168"/>
          <cell r="K168"/>
          <cell r="L168"/>
          <cell r="M168"/>
          <cell r="N168"/>
          <cell r="O168"/>
          <cell r="P168"/>
          <cell r="Q168"/>
          <cell r="R168"/>
          <cell r="S168"/>
          <cell r="T168"/>
          <cell r="U168"/>
        </row>
        <row r="169">
          <cell r="A169"/>
          <cell r="J169"/>
          <cell r="K169"/>
          <cell r="L169"/>
          <cell r="M169"/>
          <cell r="N169"/>
          <cell r="O169"/>
          <cell r="P169"/>
          <cell r="Q169"/>
          <cell r="R169"/>
          <cell r="S169"/>
          <cell r="T169"/>
          <cell r="U169"/>
        </row>
        <row r="170">
          <cell r="A170"/>
          <cell r="J170"/>
          <cell r="K170"/>
          <cell r="L170"/>
          <cell r="M170"/>
          <cell r="N170"/>
          <cell r="O170"/>
          <cell r="P170"/>
          <cell r="Q170"/>
          <cell r="R170"/>
          <cell r="S170"/>
          <cell r="T170"/>
          <cell r="U170"/>
        </row>
        <row r="171">
          <cell r="A171"/>
          <cell r="J171"/>
          <cell r="K171"/>
          <cell r="L171"/>
          <cell r="M171"/>
          <cell r="N171"/>
          <cell r="O171"/>
          <cell r="P171"/>
          <cell r="Q171"/>
          <cell r="R171"/>
          <cell r="S171"/>
          <cell r="T171"/>
          <cell r="U171"/>
        </row>
        <row r="172">
          <cell r="A172"/>
          <cell r="J172"/>
          <cell r="K172"/>
          <cell r="L172"/>
          <cell r="M172"/>
          <cell r="N172"/>
          <cell r="O172"/>
          <cell r="P172"/>
          <cell r="Q172"/>
          <cell r="R172"/>
          <cell r="S172"/>
          <cell r="T172"/>
          <cell r="U172"/>
        </row>
        <row r="173">
          <cell r="A173"/>
          <cell r="J173"/>
          <cell r="K173"/>
          <cell r="L173"/>
          <cell r="M173"/>
          <cell r="N173"/>
          <cell r="O173"/>
          <cell r="P173"/>
          <cell r="Q173"/>
          <cell r="R173"/>
          <cell r="S173"/>
          <cell r="T173"/>
          <cell r="U173"/>
        </row>
        <row r="174">
          <cell r="A174"/>
          <cell r="J174"/>
          <cell r="K174"/>
          <cell r="L174"/>
          <cell r="M174"/>
          <cell r="N174"/>
          <cell r="O174"/>
          <cell r="P174"/>
          <cell r="Q174"/>
          <cell r="R174"/>
          <cell r="S174"/>
          <cell r="T174"/>
          <cell r="U174"/>
        </row>
        <row r="175">
          <cell r="A175"/>
          <cell r="J175"/>
          <cell r="K175"/>
          <cell r="L175"/>
          <cell r="M175"/>
          <cell r="N175"/>
          <cell r="O175"/>
          <cell r="P175"/>
          <cell r="Q175"/>
          <cell r="R175"/>
          <cell r="S175"/>
          <cell r="T175"/>
          <cell r="U175"/>
        </row>
        <row r="176">
          <cell r="A176"/>
          <cell r="J176"/>
          <cell r="K176"/>
          <cell r="L176"/>
          <cell r="M176"/>
          <cell r="N176"/>
          <cell r="O176"/>
          <cell r="P176"/>
          <cell r="Q176"/>
          <cell r="R176"/>
          <cell r="S176"/>
          <cell r="T176"/>
          <cell r="U176"/>
        </row>
        <row r="177">
          <cell r="A177"/>
          <cell r="J177"/>
          <cell r="K177"/>
          <cell r="L177"/>
          <cell r="M177"/>
          <cell r="N177"/>
          <cell r="O177"/>
          <cell r="P177"/>
          <cell r="Q177"/>
          <cell r="R177"/>
          <cell r="S177"/>
          <cell r="T177"/>
          <cell r="U177"/>
        </row>
        <row r="178">
          <cell r="A178"/>
          <cell r="J178"/>
          <cell r="K178"/>
          <cell r="L178"/>
          <cell r="M178"/>
          <cell r="N178"/>
          <cell r="O178"/>
          <cell r="P178"/>
          <cell r="Q178"/>
          <cell r="R178"/>
          <cell r="S178"/>
          <cell r="T178"/>
          <cell r="U178"/>
        </row>
        <row r="179">
          <cell r="A179"/>
          <cell r="J179"/>
          <cell r="K179"/>
          <cell r="L179"/>
          <cell r="M179"/>
          <cell r="N179"/>
          <cell r="O179"/>
          <cell r="P179"/>
          <cell r="Q179"/>
          <cell r="R179"/>
          <cell r="S179"/>
          <cell r="T179"/>
          <cell r="U179"/>
        </row>
        <row r="180">
          <cell r="A180"/>
          <cell r="J180"/>
          <cell r="K180"/>
          <cell r="L180"/>
          <cell r="M180"/>
          <cell r="N180"/>
          <cell r="O180"/>
          <cell r="P180"/>
          <cell r="Q180"/>
          <cell r="R180"/>
          <cell r="S180"/>
          <cell r="T180"/>
          <cell r="U180"/>
        </row>
        <row r="181">
          <cell r="A181"/>
          <cell r="J181"/>
          <cell r="K181"/>
          <cell r="L181"/>
          <cell r="M181"/>
          <cell r="N181"/>
          <cell r="O181"/>
          <cell r="P181"/>
          <cell r="Q181"/>
          <cell r="R181"/>
          <cell r="S181"/>
          <cell r="T181"/>
          <cell r="U181"/>
        </row>
        <row r="182">
          <cell r="A182"/>
          <cell r="J182"/>
          <cell r="K182"/>
          <cell r="L182"/>
          <cell r="M182"/>
          <cell r="N182"/>
          <cell r="O182"/>
          <cell r="P182"/>
          <cell r="Q182"/>
          <cell r="R182"/>
          <cell r="S182"/>
          <cell r="T182"/>
          <cell r="U182"/>
        </row>
        <row r="183">
          <cell r="A183"/>
          <cell r="J183"/>
          <cell r="K183"/>
          <cell r="L183"/>
          <cell r="M183"/>
          <cell r="N183"/>
          <cell r="O183"/>
          <cell r="P183"/>
          <cell r="Q183"/>
          <cell r="R183"/>
          <cell r="S183"/>
          <cell r="T183"/>
          <cell r="U183"/>
        </row>
        <row r="184">
          <cell r="A184"/>
          <cell r="J184"/>
          <cell r="K184"/>
          <cell r="L184"/>
          <cell r="M184"/>
          <cell r="N184"/>
          <cell r="O184"/>
          <cell r="P184"/>
          <cell r="Q184"/>
          <cell r="R184"/>
          <cell r="S184"/>
          <cell r="T184"/>
          <cell r="U184"/>
        </row>
        <row r="185">
          <cell r="A185"/>
          <cell r="J185"/>
          <cell r="K185"/>
          <cell r="L185"/>
          <cell r="M185"/>
          <cell r="N185"/>
          <cell r="O185"/>
          <cell r="P185"/>
          <cell r="Q185"/>
          <cell r="R185"/>
          <cell r="S185"/>
          <cell r="T185"/>
          <cell r="U185"/>
        </row>
        <row r="186">
          <cell r="A186"/>
          <cell r="J186"/>
          <cell r="K186"/>
          <cell r="L186"/>
          <cell r="M186"/>
          <cell r="N186"/>
          <cell r="O186"/>
          <cell r="P186"/>
          <cell r="Q186"/>
          <cell r="R186"/>
          <cell r="S186"/>
          <cell r="T186"/>
          <cell r="U186"/>
        </row>
        <row r="187">
          <cell r="A187"/>
          <cell r="J187"/>
          <cell r="K187"/>
          <cell r="L187"/>
          <cell r="M187"/>
          <cell r="N187"/>
          <cell r="O187"/>
          <cell r="P187"/>
          <cell r="Q187"/>
          <cell r="R187"/>
          <cell r="S187"/>
          <cell r="T187"/>
          <cell r="U187"/>
        </row>
        <row r="188">
          <cell r="A188"/>
          <cell r="J188"/>
          <cell r="K188"/>
          <cell r="L188"/>
          <cell r="M188"/>
          <cell r="N188"/>
          <cell r="O188"/>
          <cell r="P188"/>
          <cell r="Q188"/>
          <cell r="R188"/>
          <cell r="S188"/>
          <cell r="T188"/>
          <cell r="U188"/>
        </row>
        <row r="189">
          <cell r="A189"/>
          <cell r="J189"/>
          <cell r="K189"/>
          <cell r="L189"/>
          <cell r="M189"/>
          <cell r="N189"/>
          <cell r="O189"/>
          <cell r="P189"/>
          <cell r="Q189"/>
          <cell r="R189"/>
          <cell r="S189"/>
          <cell r="T189"/>
          <cell r="U189"/>
        </row>
        <row r="190">
          <cell r="A190"/>
          <cell r="J190"/>
          <cell r="K190"/>
          <cell r="L190"/>
          <cell r="M190"/>
          <cell r="N190"/>
          <cell r="O190"/>
          <cell r="P190"/>
          <cell r="Q190"/>
          <cell r="R190"/>
          <cell r="S190"/>
          <cell r="T190"/>
          <cell r="U190"/>
        </row>
        <row r="191">
          <cell r="A191"/>
          <cell r="J191"/>
          <cell r="K191"/>
          <cell r="L191"/>
          <cell r="M191"/>
          <cell r="N191"/>
          <cell r="O191"/>
          <cell r="P191"/>
          <cell r="Q191"/>
          <cell r="R191"/>
          <cell r="S191"/>
          <cell r="T191"/>
          <cell r="U191"/>
        </row>
        <row r="192">
          <cell r="A192"/>
          <cell r="J192"/>
          <cell r="K192"/>
          <cell r="L192"/>
          <cell r="M192"/>
          <cell r="N192"/>
          <cell r="O192"/>
          <cell r="P192"/>
          <cell r="Q192"/>
          <cell r="R192"/>
          <cell r="S192"/>
          <cell r="T192"/>
          <cell r="U192"/>
        </row>
        <row r="193">
          <cell r="A193"/>
          <cell r="J193"/>
          <cell r="K193"/>
          <cell r="L193"/>
          <cell r="M193"/>
          <cell r="N193"/>
          <cell r="O193"/>
          <cell r="P193"/>
          <cell r="Q193"/>
          <cell r="R193"/>
          <cell r="S193"/>
          <cell r="T193"/>
          <cell r="U193"/>
        </row>
        <row r="194">
          <cell r="A194"/>
          <cell r="J194"/>
          <cell r="K194"/>
          <cell r="L194"/>
          <cell r="M194"/>
          <cell r="N194"/>
          <cell r="O194"/>
          <cell r="P194"/>
          <cell r="Q194"/>
          <cell r="R194"/>
          <cell r="S194"/>
          <cell r="T194"/>
          <cell r="U194"/>
        </row>
        <row r="195">
          <cell r="A195"/>
          <cell r="J195"/>
          <cell r="K195"/>
          <cell r="L195"/>
          <cell r="M195"/>
          <cell r="N195"/>
          <cell r="O195"/>
          <cell r="P195"/>
          <cell r="Q195"/>
          <cell r="R195"/>
          <cell r="S195"/>
          <cell r="T195"/>
          <cell r="U195"/>
        </row>
        <row r="196">
          <cell r="A196"/>
          <cell r="J196"/>
          <cell r="K196"/>
          <cell r="L196"/>
          <cell r="M196"/>
          <cell r="N196"/>
          <cell r="O196"/>
          <cell r="P196"/>
          <cell r="Q196"/>
          <cell r="R196"/>
          <cell r="S196"/>
          <cell r="T196"/>
          <cell r="U196"/>
        </row>
        <row r="197">
          <cell r="A197"/>
          <cell r="J197"/>
          <cell r="K197"/>
          <cell r="L197"/>
          <cell r="M197"/>
          <cell r="N197"/>
          <cell r="O197"/>
          <cell r="P197"/>
          <cell r="Q197"/>
          <cell r="R197"/>
          <cell r="S197"/>
          <cell r="T197"/>
          <cell r="U197"/>
        </row>
        <row r="198">
          <cell r="A198"/>
          <cell r="J198"/>
          <cell r="K198"/>
          <cell r="L198"/>
          <cell r="M198"/>
          <cell r="N198"/>
          <cell r="O198"/>
          <cell r="P198"/>
          <cell r="Q198"/>
          <cell r="R198"/>
          <cell r="S198"/>
          <cell r="T198"/>
          <cell r="U198"/>
        </row>
        <row r="199">
          <cell r="A199"/>
          <cell r="J199"/>
          <cell r="K199"/>
          <cell r="L199"/>
          <cell r="M199"/>
          <cell r="N199"/>
          <cell r="O199"/>
          <cell r="P199"/>
          <cell r="Q199"/>
          <cell r="R199"/>
          <cell r="S199"/>
          <cell r="T199"/>
          <cell r="U199"/>
        </row>
        <row r="200">
          <cell r="A200"/>
          <cell r="J200"/>
          <cell r="K200"/>
          <cell r="L200"/>
          <cell r="M200"/>
          <cell r="N200"/>
          <cell r="O200"/>
          <cell r="P200"/>
          <cell r="Q200"/>
          <cell r="R200"/>
          <cell r="S200"/>
          <cell r="T200"/>
          <cell r="U200"/>
        </row>
        <row r="201">
          <cell r="A201"/>
          <cell r="J201"/>
          <cell r="K201"/>
          <cell r="L201"/>
          <cell r="M201"/>
          <cell r="N201"/>
          <cell r="O201"/>
          <cell r="P201"/>
          <cell r="Q201"/>
          <cell r="R201"/>
          <cell r="S201"/>
          <cell r="T201"/>
          <cell r="U201"/>
        </row>
        <row r="202">
          <cell r="A202"/>
          <cell r="J202"/>
          <cell r="K202"/>
          <cell r="L202"/>
          <cell r="M202"/>
          <cell r="N202"/>
          <cell r="O202"/>
          <cell r="P202"/>
          <cell r="Q202"/>
          <cell r="R202"/>
          <cell r="S202"/>
          <cell r="T202"/>
          <cell r="U202"/>
        </row>
        <row r="203">
          <cell r="A203"/>
          <cell r="J203"/>
          <cell r="K203"/>
          <cell r="L203"/>
          <cell r="M203"/>
          <cell r="N203"/>
          <cell r="O203"/>
          <cell r="P203"/>
          <cell r="Q203"/>
          <cell r="R203"/>
          <cell r="S203"/>
          <cell r="T203"/>
          <cell r="U203"/>
        </row>
        <row r="204">
          <cell r="A204"/>
          <cell r="J204"/>
          <cell r="K204"/>
          <cell r="L204"/>
          <cell r="M204"/>
          <cell r="N204"/>
          <cell r="O204"/>
          <cell r="P204"/>
          <cell r="Q204"/>
          <cell r="R204"/>
          <cell r="S204"/>
          <cell r="T204"/>
          <cell r="U204"/>
        </row>
        <row r="205">
          <cell r="A205"/>
          <cell r="J205"/>
          <cell r="K205"/>
          <cell r="L205"/>
          <cell r="M205"/>
          <cell r="N205"/>
          <cell r="O205"/>
          <cell r="P205"/>
          <cell r="Q205"/>
          <cell r="R205"/>
          <cell r="S205"/>
          <cell r="T205"/>
          <cell r="U205"/>
        </row>
        <row r="206">
          <cell r="A206"/>
          <cell r="J206"/>
          <cell r="K206"/>
          <cell r="L206"/>
          <cell r="M206"/>
          <cell r="N206"/>
          <cell r="O206"/>
          <cell r="P206"/>
          <cell r="Q206"/>
          <cell r="R206"/>
          <cell r="S206"/>
          <cell r="T206"/>
          <cell r="U206"/>
        </row>
        <row r="207">
          <cell r="A207"/>
          <cell r="J207"/>
          <cell r="K207"/>
          <cell r="L207"/>
          <cell r="M207"/>
          <cell r="N207"/>
          <cell r="O207"/>
          <cell r="P207"/>
          <cell r="Q207"/>
          <cell r="R207"/>
          <cell r="S207"/>
          <cell r="T207"/>
          <cell r="U207"/>
        </row>
        <row r="208">
          <cell r="A208"/>
          <cell r="J208"/>
          <cell r="K208"/>
          <cell r="L208"/>
          <cell r="M208"/>
          <cell r="N208"/>
          <cell r="O208"/>
          <cell r="P208"/>
          <cell r="Q208"/>
          <cell r="R208"/>
          <cell r="S208"/>
          <cell r="T208"/>
          <cell r="U208"/>
        </row>
        <row r="209">
          <cell r="A209"/>
          <cell r="J209"/>
          <cell r="K209"/>
          <cell r="L209"/>
          <cell r="M209"/>
          <cell r="N209"/>
          <cell r="O209"/>
          <cell r="P209"/>
          <cell r="Q209"/>
          <cell r="R209"/>
          <cell r="S209"/>
          <cell r="T209"/>
          <cell r="U209"/>
        </row>
        <row r="210">
          <cell r="A210"/>
          <cell r="J210"/>
          <cell r="K210"/>
          <cell r="L210"/>
          <cell r="M210"/>
          <cell r="N210"/>
          <cell r="O210"/>
          <cell r="P210"/>
          <cell r="Q210"/>
          <cell r="R210"/>
          <cell r="S210"/>
          <cell r="T210"/>
          <cell r="U210"/>
        </row>
        <row r="211">
          <cell r="A211"/>
          <cell r="J211"/>
          <cell r="K211"/>
          <cell r="L211"/>
          <cell r="M211"/>
          <cell r="N211"/>
          <cell r="O211"/>
          <cell r="P211"/>
          <cell r="Q211"/>
          <cell r="R211"/>
          <cell r="S211"/>
          <cell r="T211"/>
          <cell r="U211"/>
        </row>
        <row r="212">
          <cell r="A212"/>
          <cell r="J212"/>
          <cell r="K212"/>
          <cell r="L212"/>
          <cell r="M212"/>
          <cell r="N212"/>
          <cell r="O212"/>
          <cell r="P212"/>
          <cell r="Q212"/>
          <cell r="R212"/>
          <cell r="S212"/>
          <cell r="T212"/>
          <cell r="U212"/>
        </row>
        <row r="213">
          <cell r="A213"/>
          <cell r="J213"/>
          <cell r="K213"/>
          <cell r="L213"/>
          <cell r="M213"/>
          <cell r="N213"/>
          <cell r="O213"/>
          <cell r="P213"/>
          <cell r="Q213"/>
          <cell r="R213"/>
          <cell r="S213"/>
          <cell r="T213"/>
          <cell r="U213"/>
        </row>
        <row r="214">
          <cell r="A214"/>
          <cell r="J214"/>
          <cell r="K214"/>
          <cell r="L214"/>
          <cell r="M214"/>
          <cell r="N214"/>
          <cell r="O214"/>
          <cell r="P214"/>
          <cell r="Q214"/>
          <cell r="R214"/>
          <cell r="S214"/>
          <cell r="T214"/>
          <cell r="U214"/>
        </row>
        <row r="215">
          <cell r="A215"/>
          <cell r="J215"/>
          <cell r="K215"/>
          <cell r="L215"/>
          <cell r="M215"/>
          <cell r="N215"/>
          <cell r="O215"/>
          <cell r="P215"/>
          <cell r="Q215"/>
          <cell r="R215"/>
          <cell r="S215"/>
          <cell r="T215"/>
          <cell r="U215"/>
        </row>
        <row r="216">
          <cell r="A216"/>
          <cell r="J216"/>
          <cell r="K216"/>
          <cell r="L216"/>
          <cell r="M216"/>
          <cell r="N216"/>
          <cell r="O216"/>
          <cell r="P216"/>
          <cell r="Q216"/>
          <cell r="R216"/>
          <cell r="S216"/>
          <cell r="T216"/>
          <cell r="U216"/>
        </row>
        <row r="217">
          <cell r="A217"/>
          <cell r="J217"/>
          <cell r="K217"/>
          <cell r="L217"/>
          <cell r="M217"/>
          <cell r="N217"/>
          <cell r="O217"/>
          <cell r="P217"/>
          <cell r="Q217"/>
          <cell r="R217"/>
          <cell r="S217"/>
          <cell r="T217"/>
          <cell r="U217"/>
        </row>
        <row r="218">
          <cell r="A218"/>
          <cell r="J218"/>
          <cell r="K218"/>
          <cell r="L218"/>
          <cell r="M218"/>
          <cell r="N218"/>
          <cell r="O218"/>
          <cell r="P218"/>
          <cell r="Q218"/>
          <cell r="R218"/>
          <cell r="S218"/>
          <cell r="T218"/>
          <cell r="U218"/>
        </row>
        <row r="219">
          <cell r="A219"/>
          <cell r="J219"/>
          <cell r="K219"/>
          <cell r="L219"/>
          <cell r="M219"/>
          <cell r="N219"/>
          <cell r="O219"/>
          <cell r="P219"/>
          <cell r="Q219"/>
          <cell r="R219"/>
          <cell r="S219"/>
          <cell r="T219"/>
          <cell r="U219"/>
        </row>
        <row r="220">
          <cell r="A220"/>
          <cell r="J220"/>
          <cell r="K220"/>
          <cell r="L220"/>
          <cell r="M220"/>
          <cell r="N220"/>
          <cell r="O220"/>
          <cell r="P220"/>
          <cell r="Q220"/>
          <cell r="R220"/>
          <cell r="S220"/>
          <cell r="T220"/>
          <cell r="U220"/>
        </row>
        <row r="221">
          <cell r="A221"/>
          <cell r="J221"/>
          <cell r="K221"/>
          <cell r="L221"/>
          <cell r="M221"/>
          <cell r="N221"/>
          <cell r="O221"/>
          <cell r="P221"/>
          <cell r="Q221"/>
          <cell r="R221"/>
          <cell r="S221"/>
          <cell r="T221"/>
          <cell r="U221"/>
        </row>
        <row r="222">
          <cell r="A222"/>
          <cell r="J222"/>
          <cell r="K222"/>
          <cell r="L222"/>
          <cell r="M222"/>
          <cell r="N222"/>
          <cell r="O222"/>
          <cell r="P222"/>
          <cell r="Q222"/>
          <cell r="R222"/>
          <cell r="S222"/>
          <cell r="T222"/>
          <cell r="U222"/>
        </row>
        <row r="223">
          <cell r="A223"/>
          <cell r="J223"/>
          <cell r="K223"/>
          <cell r="L223"/>
          <cell r="M223"/>
          <cell r="N223"/>
          <cell r="O223"/>
          <cell r="P223"/>
          <cell r="Q223"/>
          <cell r="R223"/>
          <cell r="S223"/>
          <cell r="T223"/>
          <cell r="U223"/>
        </row>
        <row r="224">
          <cell r="A224"/>
          <cell r="J224"/>
          <cell r="K224"/>
          <cell r="L224"/>
          <cell r="M224"/>
          <cell r="N224"/>
          <cell r="O224"/>
          <cell r="P224"/>
          <cell r="Q224"/>
          <cell r="R224"/>
          <cell r="S224"/>
          <cell r="T224"/>
          <cell r="U224"/>
        </row>
        <row r="225">
          <cell r="A225"/>
          <cell r="J225"/>
          <cell r="K225"/>
          <cell r="L225"/>
          <cell r="M225"/>
          <cell r="N225"/>
          <cell r="O225"/>
          <cell r="P225"/>
          <cell r="Q225"/>
          <cell r="R225"/>
          <cell r="S225"/>
          <cell r="T225"/>
          <cell r="U225"/>
        </row>
        <row r="226">
          <cell r="A226"/>
          <cell r="J226"/>
          <cell r="K226"/>
          <cell r="L226"/>
          <cell r="M226"/>
          <cell r="N226"/>
          <cell r="O226"/>
          <cell r="P226"/>
          <cell r="Q226"/>
          <cell r="R226"/>
          <cell r="S226"/>
          <cell r="T226"/>
          <cell r="U226"/>
        </row>
        <row r="227">
          <cell r="A227"/>
          <cell r="J227"/>
          <cell r="K227"/>
          <cell r="L227"/>
          <cell r="M227"/>
          <cell r="N227"/>
          <cell r="O227"/>
          <cell r="P227"/>
          <cell r="Q227"/>
          <cell r="R227"/>
          <cell r="S227"/>
          <cell r="T227"/>
          <cell r="U227"/>
        </row>
        <row r="228">
          <cell r="A228"/>
          <cell r="J228"/>
          <cell r="K228"/>
          <cell r="L228"/>
          <cell r="M228"/>
          <cell r="N228"/>
          <cell r="O228"/>
          <cell r="P228"/>
          <cell r="Q228"/>
          <cell r="R228"/>
          <cell r="S228"/>
          <cell r="T228"/>
          <cell r="U228"/>
        </row>
        <row r="229">
          <cell r="A229"/>
          <cell r="J229"/>
          <cell r="K229"/>
          <cell r="L229"/>
          <cell r="M229"/>
          <cell r="N229"/>
          <cell r="O229"/>
          <cell r="P229"/>
          <cell r="Q229"/>
          <cell r="R229"/>
          <cell r="S229"/>
          <cell r="T229"/>
          <cell r="U229"/>
        </row>
        <row r="230">
          <cell r="A230"/>
          <cell r="J230"/>
          <cell r="K230"/>
          <cell r="L230"/>
          <cell r="M230"/>
          <cell r="N230"/>
          <cell r="O230"/>
          <cell r="P230"/>
          <cell r="Q230"/>
          <cell r="R230"/>
          <cell r="S230"/>
          <cell r="T230"/>
          <cell r="U230"/>
        </row>
        <row r="231">
          <cell r="A231"/>
          <cell r="J231"/>
          <cell r="K231"/>
          <cell r="L231"/>
          <cell r="M231"/>
          <cell r="N231"/>
          <cell r="O231"/>
          <cell r="P231"/>
          <cell r="Q231"/>
          <cell r="R231"/>
          <cell r="S231"/>
          <cell r="T231"/>
          <cell r="U231"/>
        </row>
        <row r="232">
          <cell r="A232"/>
          <cell r="J232"/>
          <cell r="K232"/>
          <cell r="L232"/>
          <cell r="M232"/>
          <cell r="N232"/>
          <cell r="O232"/>
          <cell r="P232"/>
          <cell r="Q232"/>
          <cell r="R232"/>
          <cell r="S232"/>
          <cell r="T232"/>
          <cell r="U232"/>
        </row>
        <row r="233">
          <cell r="A233"/>
          <cell r="J233"/>
          <cell r="K233"/>
          <cell r="L233"/>
          <cell r="M233"/>
          <cell r="N233"/>
          <cell r="O233"/>
          <cell r="P233"/>
          <cell r="Q233"/>
          <cell r="R233"/>
          <cell r="S233"/>
          <cell r="T233"/>
          <cell r="U233"/>
        </row>
        <row r="234">
          <cell r="A234"/>
          <cell r="J234"/>
          <cell r="K234"/>
          <cell r="L234"/>
          <cell r="M234"/>
          <cell r="N234"/>
          <cell r="O234"/>
          <cell r="P234"/>
          <cell r="Q234"/>
          <cell r="R234"/>
          <cell r="S234"/>
          <cell r="T234"/>
          <cell r="U234"/>
        </row>
        <row r="235">
          <cell r="A235"/>
          <cell r="J235"/>
          <cell r="K235"/>
          <cell r="L235"/>
          <cell r="M235"/>
          <cell r="N235"/>
          <cell r="O235"/>
          <cell r="P235"/>
          <cell r="Q235"/>
          <cell r="R235"/>
          <cell r="S235"/>
          <cell r="T235"/>
          <cell r="U235"/>
        </row>
        <row r="236">
          <cell r="A236"/>
          <cell r="J236"/>
          <cell r="K236"/>
          <cell r="L236"/>
          <cell r="M236"/>
          <cell r="N236"/>
          <cell r="O236"/>
          <cell r="P236"/>
          <cell r="Q236"/>
          <cell r="R236"/>
          <cell r="S236"/>
          <cell r="T236"/>
          <cell r="U236"/>
        </row>
        <row r="237">
          <cell r="A237"/>
          <cell r="J237"/>
          <cell r="K237"/>
          <cell r="L237"/>
          <cell r="M237"/>
          <cell r="N237"/>
          <cell r="O237"/>
          <cell r="P237"/>
          <cell r="Q237"/>
          <cell r="R237"/>
          <cell r="S237"/>
          <cell r="T237"/>
          <cell r="U237"/>
        </row>
        <row r="238">
          <cell r="A238"/>
          <cell r="J238"/>
          <cell r="K238"/>
          <cell r="L238"/>
          <cell r="M238"/>
          <cell r="N238"/>
          <cell r="O238"/>
          <cell r="P238"/>
          <cell r="Q238"/>
          <cell r="R238"/>
          <cell r="S238"/>
          <cell r="T238"/>
          <cell r="U238"/>
        </row>
        <row r="239">
          <cell r="A239"/>
          <cell r="J239"/>
          <cell r="K239"/>
          <cell r="L239"/>
          <cell r="M239"/>
          <cell r="N239"/>
          <cell r="O239"/>
          <cell r="P239"/>
          <cell r="Q239"/>
          <cell r="R239"/>
          <cell r="S239"/>
          <cell r="T239"/>
          <cell r="U239"/>
        </row>
        <row r="240">
          <cell r="A240"/>
          <cell r="J240"/>
          <cell r="K240"/>
          <cell r="L240"/>
          <cell r="M240"/>
          <cell r="N240"/>
          <cell r="O240"/>
          <cell r="P240"/>
          <cell r="Q240"/>
          <cell r="R240"/>
          <cell r="S240"/>
          <cell r="T240"/>
          <cell r="U240"/>
        </row>
        <row r="241">
          <cell r="A241"/>
          <cell r="J241"/>
          <cell r="K241"/>
          <cell r="L241"/>
          <cell r="M241"/>
          <cell r="N241"/>
          <cell r="O241"/>
          <cell r="P241"/>
          <cell r="Q241"/>
          <cell r="R241"/>
          <cell r="S241"/>
          <cell r="T241"/>
          <cell r="U241"/>
        </row>
        <row r="242">
          <cell r="A242"/>
          <cell r="J242"/>
          <cell r="K242"/>
          <cell r="L242"/>
          <cell r="M242"/>
          <cell r="N242"/>
          <cell r="O242"/>
          <cell r="P242"/>
          <cell r="Q242"/>
          <cell r="R242"/>
          <cell r="S242"/>
          <cell r="T242"/>
          <cell r="U242"/>
        </row>
        <row r="243">
          <cell r="A243"/>
          <cell r="J243"/>
          <cell r="K243"/>
          <cell r="L243"/>
          <cell r="M243"/>
          <cell r="N243"/>
          <cell r="O243"/>
          <cell r="P243"/>
          <cell r="Q243"/>
          <cell r="R243"/>
          <cell r="S243"/>
          <cell r="T243"/>
          <cell r="U243"/>
        </row>
        <row r="244">
          <cell r="A244"/>
          <cell r="J244"/>
          <cell r="K244"/>
          <cell r="L244"/>
          <cell r="M244"/>
          <cell r="N244"/>
          <cell r="O244"/>
          <cell r="P244"/>
          <cell r="Q244"/>
          <cell r="R244"/>
          <cell r="S244"/>
          <cell r="T244"/>
          <cell r="U244"/>
        </row>
        <row r="245">
          <cell r="A245"/>
          <cell r="J245"/>
          <cell r="K245"/>
          <cell r="L245"/>
          <cell r="M245"/>
          <cell r="N245"/>
          <cell r="O245"/>
          <cell r="P245"/>
          <cell r="Q245"/>
          <cell r="R245"/>
          <cell r="S245"/>
          <cell r="T245"/>
          <cell r="U245"/>
        </row>
        <row r="246">
          <cell r="A246"/>
          <cell r="J246"/>
          <cell r="K246"/>
          <cell r="L246"/>
          <cell r="M246"/>
          <cell r="N246"/>
          <cell r="O246"/>
          <cell r="P246"/>
          <cell r="Q246"/>
          <cell r="R246"/>
          <cell r="S246"/>
          <cell r="T246"/>
          <cell r="U246"/>
        </row>
        <row r="247">
          <cell r="A247"/>
          <cell r="J247"/>
          <cell r="K247"/>
          <cell r="L247"/>
          <cell r="M247"/>
          <cell r="N247"/>
          <cell r="O247"/>
          <cell r="P247"/>
          <cell r="Q247"/>
          <cell r="R247"/>
          <cell r="S247"/>
          <cell r="T247"/>
          <cell r="U247"/>
        </row>
        <row r="248">
          <cell r="A248"/>
          <cell r="J248"/>
          <cell r="K248"/>
          <cell r="L248"/>
          <cell r="M248"/>
          <cell r="N248"/>
          <cell r="O248"/>
          <cell r="P248"/>
          <cell r="Q248"/>
          <cell r="R248"/>
          <cell r="S248"/>
          <cell r="T248"/>
          <cell r="U248"/>
        </row>
        <row r="249">
          <cell r="A249"/>
          <cell r="J249"/>
          <cell r="K249"/>
          <cell r="L249"/>
          <cell r="M249"/>
          <cell r="N249"/>
          <cell r="O249"/>
          <cell r="P249"/>
          <cell r="Q249"/>
          <cell r="R249"/>
          <cell r="S249"/>
          <cell r="T249"/>
          <cell r="U249"/>
        </row>
        <row r="250">
          <cell r="A250"/>
          <cell r="J250"/>
          <cell r="K250"/>
          <cell r="L250"/>
          <cell r="M250"/>
          <cell r="N250"/>
          <cell r="O250"/>
          <cell r="P250"/>
          <cell r="Q250"/>
          <cell r="R250"/>
          <cell r="S250"/>
          <cell r="T250"/>
          <cell r="U250"/>
        </row>
        <row r="251">
          <cell r="A251"/>
          <cell r="J251"/>
          <cell r="K251"/>
          <cell r="L251"/>
          <cell r="M251"/>
          <cell r="N251"/>
          <cell r="O251"/>
          <cell r="P251"/>
          <cell r="Q251"/>
          <cell r="R251"/>
          <cell r="S251"/>
          <cell r="T251"/>
          <cell r="U251"/>
        </row>
        <row r="252">
          <cell r="A252"/>
          <cell r="J252"/>
          <cell r="K252"/>
          <cell r="L252"/>
          <cell r="M252"/>
          <cell r="N252"/>
          <cell r="O252"/>
          <cell r="P252"/>
          <cell r="Q252"/>
          <cell r="R252"/>
          <cell r="S252"/>
          <cell r="T252"/>
          <cell r="U252"/>
        </row>
        <row r="253">
          <cell r="A253"/>
          <cell r="J253"/>
          <cell r="K253"/>
          <cell r="L253"/>
          <cell r="M253"/>
          <cell r="N253"/>
          <cell r="O253"/>
          <cell r="P253"/>
          <cell r="Q253"/>
          <cell r="R253"/>
          <cell r="S253"/>
          <cell r="T253"/>
          <cell r="U253"/>
        </row>
        <row r="254">
          <cell r="A254"/>
          <cell r="J254"/>
          <cell r="K254"/>
          <cell r="L254"/>
          <cell r="M254"/>
          <cell r="N254"/>
          <cell r="O254"/>
          <cell r="P254"/>
          <cell r="Q254"/>
          <cell r="R254"/>
          <cell r="S254"/>
          <cell r="T254"/>
          <cell r="U254"/>
        </row>
        <row r="255">
          <cell r="A255"/>
          <cell r="J255"/>
          <cell r="K255"/>
          <cell r="L255"/>
          <cell r="M255"/>
          <cell r="N255"/>
          <cell r="O255"/>
          <cell r="P255"/>
          <cell r="Q255"/>
          <cell r="R255"/>
          <cell r="S255"/>
          <cell r="T255"/>
          <cell r="U255"/>
        </row>
        <row r="256">
          <cell r="A256"/>
          <cell r="J256"/>
          <cell r="K256"/>
          <cell r="L256"/>
          <cell r="M256"/>
          <cell r="N256"/>
          <cell r="O256"/>
          <cell r="P256"/>
          <cell r="Q256"/>
          <cell r="R256"/>
          <cell r="S256"/>
          <cell r="T256"/>
          <cell r="U256"/>
        </row>
        <row r="257">
          <cell r="A257"/>
          <cell r="J257"/>
          <cell r="K257"/>
          <cell r="L257"/>
          <cell r="M257"/>
          <cell r="N257"/>
          <cell r="O257"/>
          <cell r="P257"/>
          <cell r="Q257"/>
          <cell r="R257"/>
          <cell r="S257"/>
          <cell r="T257"/>
          <cell r="U257"/>
        </row>
        <row r="258">
          <cell r="A258"/>
          <cell r="J258"/>
          <cell r="K258"/>
          <cell r="L258"/>
          <cell r="M258"/>
          <cell r="N258"/>
          <cell r="O258"/>
          <cell r="P258"/>
          <cell r="Q258"/>
          <cell r="R258"/>
          <cell r="S258"/>
          <cell r="T258"/>
          <cell r="U258"/>
        </row>
        <row r="259">
          <cell r="A259"/>
          <cell r="J259"/>
          <cell r="K259"/>
          <cell r="L259"/>
          <cell r="M259"/>
          <cell r="N259"/>
          <cell r="O259"/>
          <cell r="P259"/>
          <cell r="Q259"/>
          <cell r="R259"/>
          <cell r="S259"/>
          <cell r="T259"/>
          <cell r="U259"/>
        </row>
        <row r="260">
          <cell r="A260"/>
          <cell r="J260"/>
          <cell r="K260"/>
          <cell r="L260"/>
          <cell r="M260"/>
          <cell r="N260"/>
          <cell r="O260"/>
          <cell r="P260"/>
          <cell r="Q260"/>
          <cell r="R260"/>
          <cell r="S260"/>
          <cell r="T260"/>
          <cell r="U260"/>
        </row>
        <row r="261">
          <cell r="A261"/>
          <cell r="J261"/>
          <cell r="K261"/>
          <cell r="L261"/>
          <cell r="M261"/>
          <cell r="N261"/>
          <cell r="O261"/>
          <cell r="P261"/>
          <cell r="Q261"/>
          <cell r="R261"/>
          <cell r="S261"/>
          <cell r="T261"/>
          <cell r="U261"/>
        </row>
        <row r="262">
          <cell r="A262"/>
          <cell r="J262"/>
          <cell r="K262"/>
          <cell r="L262"/>
          <cell r="M262"/>
          <cell r="N262"/>
          <cell r="O262"/>
          <cell r="P262"/>
          <cell r="Q262"/>
          <cell r="R262"/>
          <cell r="S262"/>
          <cell r="T262"/>
          <cell r="U262"/>
        </row>
        <row r="263">
          <cell r="A263"/>
          <cell r="J263"/>
          <cell r="K263"/>
          <cell r="L263"/>
          <cell r="M263"/>
          <cell r="N263"/>
          <cell r="O263"/>
          <cell r="P263"/>
          <cell r="Q263"/>
          <cell r="R263"/>
          <cell r="S263"/>
          <cell r="T263"/>
          <cell r="U263"/>
        </row>
        <row r="264">
          <cell r="A264"/>
          <cell r="J264"/>
          <cell r="K264"/>
          <cell r="L264"/>
          <cell r="M264"/>
          <cell r="N264"/>
          <cell r="O264"/>
          <cell r="P264"/>
          <cell r="Q264"/>
          <cell r="R264"/>
          <cell r="S264"/>
          <cell r="T264"/>
          <cell r="U264"/>
        </row>
        <row r="265">
          <cell r="A265"/>
          <cell r="J265"/>
          <cell r="K265"/>
          <cell r="L265"/>
          <cell r="M265"/>
          <cell r="N265"/>
          <cell r="O265"/>
          <cell r="P265"/>
          <cell r="Q265"/>
          <cell r="R265"/>
          <cell r="S265"/>
          <cell r="T265"/>
          <cell r="U265"/>
        </row>
        <row r="266">
          <cell r="A266"/>
          <cell r="J266"/>
          <cell r="K266"/>
          <cell r="L266"/>
          <cell r="M266"/>
          <cell r="N266"/>
          <cell r="O266"/>
          <cell r="P266"/>
          <cell r="Q266"/>
          <cell r="R266"/>
          <cell r="S266"/>
          <cell r="T266"/>
          <cell r="U266"/>
        </row>
        <row r="267">
          <cell r="A267"/>
          <cell r="J267"/>
          <cell r="K267"/>
          <cell r="L267"/>
          <cell r="M267"/>
          <cell r="N267"/>
          <cell r="O267"/>
          <cell r="P267"/>
          <cell r="Q267"/>
          <cell r="R267"/>
          <cell r="S267"/>
          <cell r="T267"/>
          <cell r="U267"/>
        </row>
        <row r="268">
          <cell r="A268"/>
          <cell r="J268"/>
          <cell r="K268"/>
          <cell r="L268"/>
          <cell r="M268"/>
          <cell r="N268"/>
          <cell r="O268"/>
          <cell r="P268"/>
          <cell r="Q268"/>
          <cell r="R268"/>
          <cell r="S268"/>
          <cell r="T268"/>
          <cell r="U268"/>
        </row>
        <row r="269">
          <cell r="A269"/>
          <cell r="J269"/>
          <cell r="K269"/>
          <cell r="L269"/>
          <cell r="M269"/>
          <cell r="N269"/>
          <cell r="O269"/>
          <cell r="P269"/>
          <cell r="Q269"/>
          <cell r="R269"/>
          <cell r="S269"/>
          <cell r="T269"/>
          <cell r="U269"/>
        </row>
        <row r="270">
          <cell r="A270"/>
          <cell r="J270"/>
          <cell r="K270"/>
          <cell r="L270"/>
          <cell r="M270"/>
          <cell r="N270"/>
          <cell r="O270"/>
          <cell r="P270"/>
          <cell r="Q270"/>
          <cell r="R270"/>
          <cell r="S270"/>
          <cell r="T270"/>
          <cell r="U270"/>
        </row>
        <row r="271">
          <cell r="A271"/>
          <cell r="J271"/>
          <cell r="K271"/>
          <cell r="L271"/>
          <cell r="M271"/>
          <cell r="N271"/>
          <cell r="O271"/>
          <cell r="P271"/>
          <cell r="Q271"/>
          <cell r="R271"/>
          <cell r="S271"/>
          <cell r="T271"/>
          <cell r="U271"/>
        </row>
        <row r="272">
          <cell r="A272"/>
          <cell r="J272"/>
          <cell r="K272"/>
          <cell r="L272"/>
          <cell r="M272"/>
          <cell r="N272"/>
          <cell r="O272"/>
          <cell r="P272"/>
          <cell r="Q272"/>
          <cell r="R272"/>
          <cell r="S272"/>
          <cell r="T272"/>
          <cell r="U272"/>
        </row>
        <row r="273">
          <cell r="A273"/>
          <cell r="J273"/>
          <cell r="K273"/>
          <cell r="L273"/>
          <cell r="M273"/>
          <cell r="N273"/>
          <cell r="O273"/>
          <cell r="P273"/>
          <cell r="Q273"/>
          <cell r="R273"/>
          <cell r="S273"/>
          <cell r="T273"/>
          <cell r="U273"/>
        </row>
        <row r="274">
          <cell r="A274"/>
          <cell r="J274"/>
          <cell r="K274"/>
          <cell r="L274"/>
          <cell r="M274"/>
          <cell r="N274"/>
          <cell r="O274"/>
          <cell r="P274"/>
          <cell r="Q274"/>
          <cell r="R274"/>
          <cell r="S274"/>
          <cell r="T274"/>
          <cell r="U274"/>
        </row>
        <row r="275">
          <cell r="A275"/>
          <cell r="J275"/>
          <cell r="K275"/>
          <cell r="L275"/>
          <cell r="M275"/>
          <cell r="N275"/>
          <cell r="O275"/>
          <cell r="P275"/>
          <cell r="Q275"/>
          <cell r="R275"/>
          <cell r="S275"/>
          <cell r="T275"/>
          <cell r="U275"/>
        </row>
        <row r="276">
          <cell r="A276"/>
          <cell r="J276"/>
          <cell r="K276"/>
          <cell r="L276"/>
          <cell r="M276"/>
          <cell r="N276"/>
          <cell r="O276"/>
          <cell r="P276"/>
          <cell r="Q276"/>
          <cell r="R276"/>
          <cell r="S276"/>
          <cell r="T276"/>
          <cell r="U276"/>
        </row>
        <row r="277">
          <cell r="A277"/>
          <cell r="J277"/>
          <cell r="K277"/>
          <cell r="L277"/>
          <cell r="M277"/>
          <cell r="N277"/>
          <cell r="O277"/>
          <cell r="P277"/>
          <cell r="Q277"/>
          <cell r="R277"/>
          <cell r="S277"/>
          <cell r="T277"/>
          <cell r="U277"/>
        </row>
        <row r="278">
          <cell r="A278"/>
          <cell r="J278"/>
          <cell r="K278"/>
          <cell r="L278"/>
          <cell r="M278"/>
          <cell r="N278"/>
          <cell r="O278"/>
          <cell r="P278"/>
          <cell r="Q278"/>
          <cell r="R278"/>
          <cell r="S278"/>
          <cell r="T278"/>
          <cell r="U278"/>
        </row>
        <row r="279">
          <cell r="A279"/>
          <cell r="J279"/>
          <cell r="K279"/>
          <cell r="L279"/>
          <cell r="M279"/>
          <cell r="N279"/>
          <cell r="O279"/>
          <cell r="P279"/>
          <cell r="Q279"/>
          <cell r="R279"/>
          <cell r="S279"/>
          <cell r="T279"/>
          <cell r="U279"/>
        </row>
        <row r="280">
          <cell r="A280"/>
          <cell r="J280"/>
          <cell r="K280"/>
          <cell r="L280"/>
          <cell r="M280"/>
          <cell r="N280"/>
          <cell r="O280"/>
          <cell r="P280"/>
          <cell r="Q280"/>
          <cell r="R280"/>
          <cell r="S280"/>
          <cell r="T280"/>
          <cell r="U280"/>
        </row>
        <row r="281">
          <cell r="A281"/>
          <cell r="J281"/>
          <cell r="K281"/>
          <cell r="L281"/>
          <cell r="M281"/>
          <cell r="N281"/>
          <cell r="O281"/>
          <cell r="P281"/>
          <cell r="Q281"/>
          <cell r="R281"/>
          <cell r="S281"/>
          <cell r="T281"/>
          <cell r="U281"/>
        </row>
        <row r="282">
          <cell r="A282"/>
          <cell r="J282"/>
          <cell r="K282"/>
          <cell r="L282"/>
          <cell r="M282"/>
          <cell r="N282"/>
          <cell r="O282"/>
          <cell r="P282"/>
          <cell r="Q282"/>
          <cell r="R282"/>
          <cell r="S282"/>
          <cell r="T282"/>
          <cell r="U282"/>
        </row>
        <row r="283">
          <cell r="A283"/>
          <cell r="J283"/>
          <cell r="K283"/>
          <cell r="L283"/>
          <cell r="M283"/>
          <cell r="N283"/>
          <cell r="O283"/>
          <cell r="P283"/>
          <cell r="Q283"/>
          <cell r="R283"/>
          <cell r="S283"/>
          <cell r="T283"/>
          <cell r="U283"/>
        </row>
        <row r="284">
          <cell r="A284"/>
          <cell r="J284"/>
          <cell r="K284"/>
          <cell r="L284"/>
          <cell r="M284"/>
          <cell r="N284"/>
          <cell r="O284"/>
          <cell r="P284"/>
          <cell r="Q284"/>
          <cell r="R284"/>
          <cell r="S284"/>
          <cell r="T284"/>
          <cell r="U284"/>
        </row>
        <row r="285">
          <cell r="A285"/>
          <cell r="J285"/>
          <cell r="K285"/>
          <cell r="L285"/>
          <cell r="M285"/>
          <cell r="N285"/>
          <cell r="O285"/>
          <cell r="P285"/>
          <cell r="Q285"/>
          <cell r="R285"/>
          <cell r="S285"/>
          <cell r="T285"/>
          <cell r="U285"/>
        </row>
        <row r="286">
          <cell r="A286"/>
          <cell r="J286"/>
          <cell r="K286"/>
          <cell r="L286"/>
          <cell r="M286"/>
          <cell r="N286"/>
          <cell r="O286"/>
          <cell r="P286"/>
          <cell r="Q286"/>
          <cell r="R286"/>
          <cell r="S286"/>
          <cell r="T286"/>
          <cell r="U286"/>
        </row>
        <row r="287">
          <cell r="A287"/>
          <cell r="J287"/>
          <cell r="K287"/>
          <cell r="L287"/>
          <cell r="M287"/>
          <cell r="N287"/>
          <cell r="O287"/>
          <cell r="P287"/>
          <cell r="Q287"/>
          <cell r="R287"/>
          <cell r="S287"/>
          <cell r="T287"/>
          <cell r="U287"/>
        </row>
        <row r="288">
          <cell r="A288"/>
          <cell r="J288"/>
          <cell r="K288"/>
          <cell r="L288"/>
          <cell r="M288"/>
          <cell r="N288"/>
          <cell r="O288"/>
          <cell r="P288"/>
          <cell r="Q288"/>
          <cell r="R288"/>
          <cell r="S288"/>
          <cell r="T288"/>
          <cell r="U288"/>
        </row>
        <row r="289">
          <cell r="A289"/>
          <cell r="J289"/>
          <cell r="K289"/>
          <cell r="L289"/>
          <cell r="M289"/>
          <cell r="N289"/>
          <cell r="O289"/>
          <cell r="P289"/>
          <cell r="Q289"/>
          <cell r="R289"/>
          <cell r="S289"/>
          <cell r="T289"/>
          <cell r="U289"/>
        </row>
        <row r="290">
          <cell r="A290"/>
          <cell r="J290"/>
          <cell r="K290"/>
          <cell r="L290"/>
          <cell r="M290"/>
          <cell r="N290"/>
          <cell r="O290"/>
          <cell r="P290"/>
          <cell r="Q290"/>
          <cell r="R290"/>
          <cell r="S290"/>
          <cell r="T290"/>
          <cell r="U290"/>
        </row>
        <row r="291">
          <cell r="A291"/>
          <cell r="J291"/>
          <cell r="K291"/>
          <cell r="L291"/>
          <cell r="M291"/>
          <cell r="N291"/>
          <cell r="O291"/>
          <cell r="P291"/>
          <cell r="Q291"/>
          <cell r="R291"/>
          <cell r="S291"/>
          <cell r="T291"/>
          <cell r="U291"/>
        </row>
        <row r="292">
          <cell r="A292"/>
          <cell r="J292"/>
          <cell r="K292"/>
          <cell r="L292"/>
          <cell r="M292"/>
          <cell r="N292"/>
          <cell r="O292"/>
          <cell r="P292"/>
          <cell r="Q292"/>
          <cell r="R292"/>
          <cell r="S292"/>
          <cell r="T292"/>
          <cell r="U292"/>
        </row>
        <row r="293">
          <cell r="A293"/>
          <cell r="J293"/>
          <cell r="K293"/>
          <cell r="L293"/>
          <cell r="M293"/>
          <cell r="N293"/>
          <cell r="O293"/>
          <cell r="P293"/>
          <cell r="Q293"/>
          <cell r="R293"/>
          <cell r="S293"/>
          <cell r="T293"/>
          <cell r="U293"/>
        </row>
        <row r="294">
          <cell r="A294"/>
          <cell r="J294"/>
          <cell r="K294"/>
          <cell r="L294"/>
          <cell r="M294"/>
          <cell r="N294"/>
          <cell r="O294"/>
          <cell r="P294"/>
          <cell r="Q294"/>
          <cell r="R294"/>
          <cell r="S294"/>
          <cell r="T294"/>
          <cell r="U294"/>
        </row>
        <row r="295">
          <cell r="A295"/>
          <cell r="J295"/>
          <cell r="K295"/>
          <cell r="L295"/>
          <cell r="M295"/>
          <cell r="N295"/>
          <cell r="O295"/>
          <cell r="P295"/>
          <cell r="Q295"/>
          <cell r="R295"/>
          <cell r="S295"/>
          <cell r="T295"/>
          <cell r="U295"/>
        </row>
        <row r="296">
          <cell r="A296"/>
          <cell r="J296"/>
          <cell r="K296"/>
          <cell r="L296"/>
          <cell r="M296"/>
          <cell r="N296"/>
          <cell r="O296"/>
          <cell r="P296"/>
          <cell r="Q296"/>
          <cell r="R296"/>
          <cell r="S296"/>
          <cell r="T296"/>
          <cell r="U296"/>
        </row>
        <row r="297">
          <cell r="A297"/>
          <cell r="J297"/>
          <cell r="K297"/>
          <cell r="L297"/>
          <cell r="M297"/>
          <cell r="N297"/>
          <cell r="O297"/>
          <cell r="P297"/>
          <cell r="Q297"/>
          <cell r="R297"/>
          <cell r="S297"/>
          <cell r="T297"/>
          <cell r="U297"/>
        </row>
        <row r="298">
          <cell r="A298"/>
          <cell r="J298"/>
          <cell r="K298"/>
          <cell r="L298"/>
          <cell r="M298"/>
          <cell r="N298"/>
          <cell r="O298"/>
          <cell r="P298"/>
          <cell r="Q298"/>
          <cell r="R298"/>
          <cell r="S298"/>
          <cell r="T298"/>
          <cell r="U298"/>
        </row>
        <row r="299">
          <cell r="A299"/>
          <cell r="J299"/>
          <cell r="K299"/>
          <cell r="L299"/>
          <cell r="M299"/>
          <cell r="N299"/>
          <cell r="O299"/>
          <cell r="P299"/>
          <cell r="Q299"/>
          <cell r="R299"/>
          <cell r="S299"/>
          <cell r="T299"/>
          <cell r="U299"/>
        </row>
        <row r="300">
          <cell r="A300"/>
          <cell r="J300"/>
          <cell r="K300"/>
          <cell r="L300"/>
          <cell r="M300"/>
          <cell r="N300"/>
          <cell r="O300"/>
          <cell r="P300"/>
          <cell r="Q300"/>
          <cell r="R300"/>
          <cell r="S300"/>
          <cell r="T300"/>
          <cell r="U300"/>
        </row>
        <row r="301">
          <cell r="A301"/>
          <cell r="J301"/>
          <cell r="K301"/>
          <cell r="L301"/>
          <cell r="M301"/>
          <cell r="N301"/>
          <cell r="O301"/>
          <cell r="P301"/>
          <cell r="Q301"/>
          <cell r="R301"/>
          <cell r="S301"/>
          <cell r="T301"/>
          <cell r="U301"/>
        </row>
        <row r="302">
          <cell r="A302"/>
          <cell r="J302"/>
          <cell r="K302"/>
          <cell r="L302"/>
          <cell r="M302"/>
          <cell r="N302"/>
          <cell r="O302"/>
          <cell r="P302"/>
          <cell r="Q302"/>
          <cell r="R302"/>
          <cell r="S302"/>
          <cell r="T302"/>
          <cell r="U302"/>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NIYRFKXBZIM5ELZU4A53O5GPGB">
      <xxl21:absoluteUrl r:id="rId2"/>
      <xxl21:relativeUrl r:id="rId3"/>
    </xxl21:alternateUrls>
    <sheetNames>
      <sheetName val="PRIORIZADOS"/>
      <sheetName val="DEMANDA"/>
      <sheetName val="MESAS DIRECTIVOS IE"/>
      <sheetName val="MANUALES DE CONVIVENCIA IED"/>
      <sheetName val="COLEGIOS"/>
      <sheetName val="LISTAS"/>
      <sheetName val="PEGRCC Y GOBIERNOS ESCOLARES"/>
      <sheetName val="OPERACIONES-ACTIVIDADES"/>
      <sheetName val="ACTIVIDADES  "/>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7. BOSA</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R6"/>
          <cell r="S6"/>
          <cell r="T6"/>
          <cell r="U6"/>
        </row>
        <row r="7">
          <cell r="A7" t="str">
            <v xml:space="preserve">Codigo Unico </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203</v>
          </cell>
          <cell r="B8">
            <v>1</v>
          </cell>
          <cell r="C8" t="str">
            <v>BOSA</v>
          </cell>
          <cell r="D8" t="str">
            <v>PRIVADO</v>
          </cell>
          <cell r="E8" t="str">
            <v>Educación de Jóvenes y Adultos</v>
          </cell>
          <cell r="F8" t="str">
            <v>CENTRO_EDUCATIVO_EXTERNADO_SIMON_BOLIVAR</v>
          </cell>
          <cell r="G8" t="str">
            <v>CENTRO EDUCATIVO EXTERNADO SIMON BOLIVAR</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ESTEFANY PEÑA GARCIA</v>
          </cell>
          <cell r="L8" t="str">
            <v>ANA ANDREA VARGAS GONZÁLEZ</v>
          </cell>
          <cell r="M8">
            <v>45734</v>
          </cell>
          <cell r="N8">
            <v>45734</v>
          </cell>
          <cell r="O8">
            <v>45734</v>
          </cell>
          <cell r="P8" t="str">
            <v>Visitas de evaluación con fines de mejoramiento</v>
          </cell>
          <cell r="Q8" t="str">
            <v>18MAR2025_Centro Educativo Externado Simón Bolívar - OneDrive</v>
          </cell>
          <cell r="R8" t="str">
            <v>La información consignada en la Plataforma EVI relacionada con los indicadores de: planta física, dotación de espacios y calendario académico coincide con lo verificado en campo</v>
          </cell>
          <cell r="S8" t="str">
            <v xml:space="preserve">Se concluye que la IE realizará su autoevalución institucional en el mes octubre.  </v>
          </cell>
          <cell r="T8" t="str">
            <v>No</v>
          </cell>
          <cell r="U8" t="str">
            <v>Se verificará la información cargada por la IE en el aplicativo EVI de la autoevaluación,  para la emisión del concepto de tarifas 2026.</v>
          </cell>
        </row>
        <row r="9">
          <cell r="A9">
            <v>204</v>
          </cell>
          <cell r="B9">
            <v>1</v>
          </cell>
          <cell r="C9" t="str">
            <v>BOSA</v>
          </cell>
          <cell r="D9" t="str">
            <v>PRIVADO</v>
          </cell>
          <cell r="E9" t="str">
            <v>Educación de Jóvenes y Adultos</v>
          </cell>
          <cell r="F9" t="str">
            <v>CENTRO_EDUCATIVO_EXTERNADO_SIMON_BOLIVAR</v>
          </cell>
          <cell r="G9" t="str">
            <v>CENTRO EDUCATIVO EXTERNADO SIMON BOLIVAR</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ESTEFANY PEÑA GARCIA</v>
          </cell>
          <cell r="L9" t="str">
            <v>ANA ANDREA VARGAS GONZÁLEZ</v>
          </cell>
          <cell r="M9">
            <v>45734</v>
          </cell>
          <cell r="N9">
            <v>45734</v>
          </cell>
          <cell r="O9">
            <v>45734</v>
          </cell>
          <cell r="P9" t="str">
            <v>Visitas de evaluación con fines de seguimiento</v>
          </cell>
          <cell r="Q9" t="str">
            <v>18MAR2025_Centro Educativo Externado Simón Bolívar - OneDrive</v>
          </cell>
          <cell r="R9" t="str">
            <v>La IE se encuentra en Categoría B, realizó la revisión y análisis de los resultados para  actualización del curriculo y el plan de estudios. Se ha adelantado el diagnóstico y la propuesta de Intervención, aplicando pruebas preliminares.</v>
          </cell>
          <cell r="S9" t="str">
            <v>La IE se compromete a diseñar un Plan de Mejoramiento con estrategia actualizada que cuente con cronograma, actividades específicas y proceso de seguimiento y evaluación</v>
          </cell>
          <cell r="T9" t="str">
            <v>Si</v>
          </cell>
          <cell r="U9" t="str">
            <v>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ell>
        </row>
        <row r="10">
          <cell r="A10">
            <v>205</v>
          </cell>
          <cell r="B10">
            <v>1</v>
          </cell>
          <cell r="C10" t="str">
            <v>BOSA</v>
          </cell>
          <cell r="D10" t="str">
            <v>PRIVADO</v>
          </cell>
          <cell r="E10" t="str">
            <v>Educación de Jóvenes y Adultos</v>
          </cell>
          <cell r="F10" t="str">
            <v>CENTRO_EDUCATIVO_EXTERNADO_SIMON_BOLIVAR</v>
          </cell>
          <cell r="G10" t="str">
            <v>CENTRO EDUCATIVO EXTERNADO SIMON BOLIVAR</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ESTEFANY PEÑA GARCIA</v>
          </cell>
          <cell r="L10" t="str">
            <v>ANA ANDREA VARGAS GONZÁLEZ</v>
          </cell>
          <cell r="M10">
            <v>45734</v>
          </cell>
          <cell r="N10">
            <v>45734</v>
          </cell>
          <cell r="O10">
            <v>45734</v>
          </cell>
          <cell r="P10" t="str">
            <v>Visitas de evaluación con fines de mejoramiento</v>
          </cell>
          <cell r="Q10" t="str">
            <v>18MAR2025_Centro Educativo Externado Simón Bolívar - OneDrive</v>
          </cell>
          <cell r="R10" t="str">
            <v>Se verifica la implementación de acciones  realizadas para la prevención como lo es la verificación de inhabilidades por delitos sexuales en el sistema de la Policía Nacional.</v>
          </cell>
          <cell r="S10" t="str">
            <v>Como acción de verificación se solicita implementar  la autorización de directivos, docentes y administrativos para las consultas de antecedentes en los sistemas que se requieran al momento de la vinculación</v>
          </cell>
          <cell r="T10" t="str">
            <v>No</v>
          </cell>
          <cell r="U10" t="str">
            <v>Verificar que la IE cuente con las respectivas autorizaciones para las consultas de antedecentes del personal vinculado.</v>
          </cell>
        </row>
        <row r="11">
          <cell r="A11">
            <v>206</v>
          </cell>
          <cell r="B11">
            <v>1</v>
          </cell>
          <cell r="C11" t="str">
            <v>BOSA</v>
          </cell>
          <cell r="D11" t="str">
            <v>PRIVADO</v>
          </cell>
          <cell r="E11" t="str">
            <v>Educación de Jóvenes y Adultos</v>
          </cell>
          <cell r="F11" t="str">
            <v>CENTRO_EDUCATIVO_EXTERNADO_SIMON_BOLIVAR</v>
          </cell>
          <cell r="G11" t="str">
            <v>CENTRO EDUCATIVO EXTERNADO SIMON BOLIVAR</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ESTEFANY PEÑA GARCIA</v>
          </cell>
          <cell r="L11" t="str">
            <v>ANA ANDREA VARGAS GONZÁLEZ</v>
          </cell>
          <cell r="M11">
            <v>45734</v>
          </cell>
          <cell r="N11">
            <v>45734</v>
          </cell>
          <cell r="O11">
            <v>45734</v>
          </cell>
          <cell r="P11" t="str">
            <v>Visitas de evaluación con fines de mejoramiento</v>
          </cell>
          <cell r="Q11" t="str">
            <v>18MAR2025_Centro Educativo Externado Simón Bolívar - OneDrive</v>
          </cell>
          <cell r="R11" t="str">
            <v>Al revisar la Plataforma SIMAT, no hay estudiantes marcados en la Plataforma con discapacidad</v>
          </cell>
          <cell r="S11" t="str">
            <v>La Institución Educativa se compromete a remitir el Documento Institucional del Plan Individual de Ajustes Razonables PIAR</v>
          </cell>
          <cell r="T11" t="str">
            <v>No</v>
          </cell>
          <cell r="U11" t="str">
            <v>Verificar la información en SIMAT</v>
          </cell>
        </row>
        <row r="12">
          <cell r="A12">
            <v>207</v>
          </cell>
          <cell r="B12">
            <v>1</v>
          </cell>
          <cell r="C12" t="str">
            <v>BOSA</v>
          </cell>
          <cell r="D12" t="str">
            <v>PRIVADO</v>
          </cell>
          <cell r="E12" t="str">
            <v>Educación de Jóvenes y Adultos</v>
          </cell>
          <cell r="F12" t="str">
            <v>CENTRO_EDUCATIVO_EXTERNADO_SIMON_BOLIVAR</v>
          </cell>
          <cell r="G12" t="str">
            <v>CENTRO EDUCATIVO EXTERNADO SIMON BOLIVAR</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ESTEFANY PEÑA GARCIA</v>
          </cell>
          <cell r="L12" t="str">
            <v>ANA ANDREA VARGAS GONZÁLEZ</v>
          </cell>
          <cell r="M12">
            <v>45734</v>
          </cell>
          <cell r="N12">
            <v>45734</v>
          </cell>
          <cell r="O12">
            <v>45734</v>
          </cell>
          <cell r="P12" t="str">
            <v>Visitas de evaluación con fines de mejoramiento</v>
          </cell>
          <cell r="Q12" t="str">
            <v>18MAR2025_Centro Educativo Externado Simón Bolívar - OneDrive</v>
          </cell>
          <cell r="R12" t="str">
            <v>El Manual de Convivencia fue construido y adoptado de forma participativa e incluye los componentes generales, los diferentes enfoques y se encuentra conforme a lo establecido en el PEI y la normatividad vigente</v>
          </cell>
          <cell r="S12" t="str">
            <v>Como acción de verificación la Institución Educativa se compromete a remitir la versión actualizada del Manual de Convivencia a la vigencia 2024 -2025</v>
          </cell>
          <cell r="T12" t="str">
            <v>No</v>
          </cell>
          <cell r="U12" t="str">
            <v>Verificar nuevamente el documento en el mes de agosto de 2025 y generar espacios de asesoría, conforme lo requiera la IE</v>
          </cell>
        </row>
        <row r="13">
          <cell r="A13">
            <v>208</v>
          </cell>
          <cell r="B13">
            <v>1</v>
          </cell>
          <cell r="C13" t="str">
            <v>BOSA</v>
          </cell>
          <cell r="D13" t="str">
            <v>PRIVADO</v>
          </cell>
          <cell r="E13" t="str">
            <v>Educación de Jóvenes y Adultos</v>
          </cell>
          <cell r="F13" t="str">
            <v>CENTRO_EDUCATIVO_EXTERNADO_SIMON_BOLIVAR</v>
          </cell>
          <cell r="G13" t="str">
            <v>CENTRO EDUCATIVO EXTERNADO SIMON BOLIVAR</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ESTEFANY PEÑA GARCIA</v>
          </cell>
          <cell r="L13" t="str">
            <v>ANA ANDREA VARGAS GONZÁLEZ</v>
          </cell>
          <cell r="M13">
            <v>45734</v>
          </cell>
          <cell r="N13">
            <v>45734</v>
          </cell>
          <cell r="O13">
            <v>45734</v>
          </cell>
          <cell r="P13" t="str">
            <v>Visitas de evaluación con fines de mejoramiento</v>
          </cell>
          <cell r="Q13" t="str">
            <v>18MAR2025_Centro Educativo Externado Simón Bolívar - OneDrive</v>
          </cell>
          <cell r="R13" t="str">
            <v>Se evidencia el Sistema Institucional de Evaluación de Estudiantes - SIEE, actualizado para la vigencia 2025. Fue construido en articulación con el Consejo Directivo y la comunidad educativa desde el año 2019 y se actualiza cada 2 años</v>
          </cell>
          <cell r="S13" t="str">
            <v>Como acción de verificación la Institución Educativa se compromete a remitir la versión actualizada del  Sistema institucional de evaluación de los estudiantes- SIEE</v>
          </cell>
          <cell r="T13" t="str">
            <v>No</v>
          </cell>
          <cell r="U13" t="str">
            <v>Verificar nuevamente el documento en el mes de agosto de 2025 y generar espacios de asesoría, conforme lo requiera la IE</v>
          </cell>
        </row>
        <row r="14">
          <cell r="A14">
            <v>209</v>
          </cell>
          <cell r="B14">
            <v>1</v>
          </cell>
          <cell r="C14" t="str">
            <v>BOSA</v>
          </cell>
          <cell r="D14" t="str">
            <v>PRIVADO</v>
          </cell>
          <cell r="E14" t="str">
            <v>Educación de Jóvenes y Adultos</v>
          </cell>
          <cell r="F14" t="str">
            <v>CENTRO_EDUCATIVO_EXTERNADO_SIMON_BOLIVAR</v>
          </cell>
          <cell r="G14" t="str">
            <v>CENTRO EDUCATIVO EXTERNADO SIMON BOLIVAR</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ESTEFANY PEÑA GARCIA</v>
          </cell>
          <cell r="L14" t="str">
            <v>ANA ANDREA VARGAS GONZÁLEZ</v>
          </cell>
          <cell r="M14">
            <v>45734</v>
          </cell>
          <cell r="N14">
            <v>45734</v>
          </cell>
          <cell r="O14">
            <v>45734</v>
          </cell>
          <cell r="P14" t="str">
            <v>Visitas de evaluación con fines de mejoramiento</v>
          </cell>
          <cell r="Q14" t="str">
            <v>18MAR2025_Centro Educativo Externado Simón Bolívar - OneDrive</v>
          </cell>
          <cell r="R14" t="str">
            <v>El calendario escolar, jornada escolar, la intensidad horaria mínima anual en cada nivel se encuentran conforme lo previsto en la normatividad vigente</v>
          </cell>
          <cell r="S14" t="str">
            <v>Como acción de verificación la Institución Educativa se compromete a remitir la versión actualizada calendario escolar</v>
          </cell>
          <cell r="T14" t="str">
            <v>No</v>
          </cell>
          <cell r="U14" t="str">
            <v>Verificar nuevamente el documento en el mes de agosto de 2025 y generar espacios de asesoría, conforme lo requiera la IE</v>
          </cell>
        </row>
        <row r="15">
          <cell r="A15">
            <v>210</v>
          </cell>
          <cell r="B15">
            <v>1</v>
          </cell>
          <cell r="C15" t="str">
            <v>BOSA</v>
          </cell>
          <cell r="D15" t="str">
            <v>PRIVADO</v>
          </cell>
          <cell r="E15" t="str">
            <v>Educación de Jóvenes y Adultos</v>
          </cell>
          <cell r="F15" t="str">
            <v>CENTRO_EDUCATIVO_EXTERNADO_SIMON_BOLIVAR</v>
          </cell>
          <cell r="G15" t="str">
            <v>CENTRO EDUCATIVO EXTERNADO SIMON BOLIVAR</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ESTEFANY PEÑA GARCIA</v>
          </cell>
          <cell r="L15" t="str">
            <v>ANA ANDREA VARGAS GONZÁLEZ</v>
          </cell>
          <cell r="M15">
            <v>45734</v>
          </cell>
          <cell r="N15">
            <v>45734</v>
          </cell>
          <cell r="O15">
            <v>45734</v>
          </cell>
          <cell r="P15" t="str">
            <v>Visitas de evaluación con fines de mejoramiento</v>
          </cell>
          <cell r="Q15" t="str">
            <v>18MAR2025_Centro Educativo Externado Simón Bolívar - OneDrive</v>
          </cell>
          <cell r="R15" t="str">
            <v>La constitución del Gobierno Escolar y sus órganos de participación, se encuentra conforme a la Normativa Vigente</v>
          </cell>
          <cell r="S15" t="str">
            <v>Continuar operando conforme funciones y reglamentos.</v>
          </cell>
          <cell r="T15" t="str">
            <v>No</v>
          </cell>
          <cell r="U15" t="str">
            <v>Verificar la conformación del Gobierno Escolar e instancias para la vigencia 2026 o antes si la IE lo requiere o se presenta solicitud o queja.</v>
          </cell>
        </row>
        <row r="16">
          <cell r="A16">
            <v>211</v>
          </cell>
          <cell r="B16">
            <v>1</v>
          </cell>
          <cell r="C16" t="str">
            <v>BOSA</v>
          </cell>
          <cell r="D16" t="str">
            <v>PRIVADO</v>
          </cell>
          <cell r="E16" t="str">
            <v>Educación de Jóvenes y Adultos</v>
          </cell>
          <cell r="F16" t="str">
            <v>CENTRO_EDUCATIVO_EXTERNADO_SIMON_BOLIVAR</v>
          </cell>
          <cell r="G16" t="str">
            <v>CENTRO EDUCATIVO EXTERNADO SIMON BOLIVAR</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ESTEFANY PEÑA GARCIA</v>
          </cell>
          <cell r="L16" t="str">
            <v>ANA ANDREA VARGAS GONZÁLEZ</v>
          </cell>
          <cell r="M16">
            <v>45734</v>
          </cell>
          <cell r="N16">
            <v>45734</v>
          </cell>
          <cell r="O16">
            <v>45734</v>
          </cell>
          <cell r="P16" t="str">
            <v>Visitas de evaluación con fines de mejoramiento</v>
          </cell>
          <cell r="Q16" t="str">
            <v>18MAR2025_Centro Educativo Externado Simón Bolívar - OneDrive</v>
          </cell>
          <cell r="R16" t="str">
            <v>Se realiza un recorrido en las instalaciones de la IE, verificando las condiciones en cuanto a: la estructura administrativa, condiciones de la planta física y medios educativos adecuados.</v>
          </cell>
          <cell r="S16" t="str">
            <v>Las condiciones de la planta física son adecuadas y se recomienda actualizar el mobiliario más antiguo</v>
          </cell>
          <cell r="T16" t="str">
            <v>No</v>
          </cell>
          <cell r="U16" t="str">
            <v>Las condiciones de la planta física garantizan la adecuada prestación del servicio educativo</v>
          </cell>
        </row>
        <row r="17">
          <cell r="A17">
            <v>212</v>
          </cell>
          <cell r="B17">
            <v>2</v>
          </cell>
          <cell r="C17" t="str">
            <v>BOSA</v>
          </cell>
          <cell r="D17" t="str">
            <v>PRIVADO</v>
          </cell>
          <cell r="E17" t="str">
            <v>Educación de Jóvenes y Adultos</v>
          </cell>
          <cell r="F17" t="str">
            <v>COLEGIO_INETEC</v>
          </cell>
          <cell r="G17" t="str">
            <v>COLEGIO INETEC</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ANA ANDREA VARGAS GONZÁLEZ</v>
          </cell>
          <cell r="L17" t="str">
            <v>JOSÉ ANTONIO PÁEZ FETECUA</v>
          </cell>
          <cell r="M17">
            <v>45736</v>
          </cell>
          <cell r="N17" t="str">
            <v>20/03/2025</v>
          </cell>
          <cell r="O17">
            <v>45734</v>
          </cell>
          <cell r="P17" t="str">
            <v>Visitas de evaluación con fines de mejoramiento</v>
          </cell>
          <cell r="Q17" t="str">
            <v>20MAR2025_Colegio INETEC - OneDrive</v>
          </cell>
          <cell r="R17" t="str">
            <v>La información consignada en la Plataforma EVI relacionada con los indicadores de: planta física, dotación de espacios y calendario académico coincide con lo verificado en campo</v>
          </cell>
          <cell r="S17" t="str">
            <v xml:space="preserve">Se concluye que la IE realizará su autoevalución institucional en el mes octubre.  </v>
          </cell>
          <cell r="T17" t="str">
            <v>No</v>
          </cell>
          <cell r="U17" t="str">
            <v>Se verificará la información cargada por la IE en el aplicativo EVI de la autoevaluación,  para la emisión del concepto de tarifas 2026.</v>
          </cell>
        </row>
        <row r="18">
          <cell r="A18">
            <v>213</v>
          </cell>
          <cell r="B18">
            <v>2</v>
          </cell>
          <cell r="C18" t="str">
            <v>BOSA</v>
          </cell>
          <cell r="D18" t="str">
            <v>PRIVADO</v>
          </cell>
          <cell r="E18" t="str">
            <v>Educación de Jóvenes y Adultos</v>
          </cell>
          <cell r="F18" t="str">
            <v>COLEGIO_INETEC</v>
          </cell>
          <cell r="G18" t="str">
            <v>COLEGIO INETEC</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ANA ANDREA VARGAS GONZÁLEZ</v>
          </cell>
          <cell r="L18" t="str">
            <v>JOSÉ ANTONIO PÁEZ FETECUA</v>
          </cell>
          <cell r="M18">
            <v>45736</v>
          </cell>
          <cell r="N18" t="str">
            <v>20/03/2025</v>
          </cell>
          <cell r="O18">
            <v>45736</v>
          </cell>
          <cell r="P18" t="str">
            <v>Visitas de evaluación con fines de seguimiento</v>
          </cell>
          <cell r="Q18" t="str">
            <v>20MAR2025_Colegio INETEC - OneDrive</v>
          </cell>
          <cell r="R18" t="str">
            <v>La IE se encuentra en Categoría B, realizó la revisión y análisis de los resultados para  actualización del curriculo y el plan de estudios. Se ha adelantado el diagnóstico y la propuesta de Intervención, aplicando pruebas preliminares.</v>
          </cell>
          <cell r="S18" t="str">
            <v>La IE se compromete a diseñar un Plan de Mejoramiento con estrategia actualizada que cuente con cronograma, actividades específicas y proceso de seguimiento y evaluación</v>
          </cell>
          <cell r="T18" t="str">
            <v>Si</v>
          </cell>
          <cell r="U18" t="str">
            <v>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ell>
        </row>
        <row r="19">
          <cell r="A19">
            <v>214</v>
          </cell>
          <cell r="B19">
            <v>2</v>
          </cell>
          <cell r="C19" t="str">
            <v>BOSA</v>
          </cell>
          <cell r="D19" t="str">
            <v>PRIVADO</v>
          </cell>
          <cell r="E19" t="str">
            <v>Educación de Jóvenes y Adultos</v>
          </cell>
          <cell r="F19" t="str">
            <v>COLEGIO_INETEC</v>
          </cell>
          <cell r="G19" t="str">
            <v>COLEGIO INETEC</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ANA ANDREA VARGAS GONZÁLEZ</v>
          </cell>
          <cell r="L19" t="str">
            <v>JOSÉ ANTONIO PÁEZ FETECUA</v>
          </cell>
          <cell r="M19">
            <v>45736</v>
          </cell>
          <cell r="N19" t="str">
            <v>20/03/2025</v>
          </cell>
          <cell r="O19">
            <v>45736</v>
          </cell>
          <cell r="P19" t="str">
            <v>Visitas de evaluación con fines de mejoramiento</v>
          </cell>
          <cell r="Q19" t="str">
            <v>20MAR2025_Colegio INETEC - OneDrive</v>
          </cell>
          <cell r="R19" t="str">
            <v>Se verifica la implementación de acciones  realizadas para la prevención como lo es la verificación de inhabilidades por delitos sexuales en el sistema de la Policía Nacional.</v>
          </cell>
          <cell r="S19" t="str">
            <v>Como acción de verificación se solicita implementar  la autorización de directivos, docentes y administrativos para las consultas de antecedentes en los sistemas que se requieran al momento de la vinculación</v>
          </cell>
          <cell r="T19" t="str">
            <v>No</v>
          </cell>
          <cell r="U19" t="str">
            <v>Verificar que la IE cuente con las respectivas autorizaciones para las consultas de antedecentes del personal vinculado.</v>
          </cell>
        </row>
        <row r="20">
          <cell r="A20">
            <v>215</v>
          </cell>
          <cell r="B20">
            <v>2</v>
          </cell>
          <cell r="C20" t="str">
            <v>BOSA</v>
          </cell>
          <cell r="D20" t="str">
            <v>PRIVADO</v>
          </cell>
          <cell r="E20" t="str">
            <v>Educación de Jóvenes y Adultos</v>
          </cell>
          <cell r="F20" t="str">
            <v>COLEGIO_INETEC</v>
          </cell>
          <cell r="G20" t="str">
            <v>COLEGIO INETEC</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ANA ANDREA VARGAS GONZÁLEZ</v>
          </cell>
          <cell r="L20" t="str">
            <v>JOSÉ ANTONIO PÁEZ FETECUA</v>
          </cell>
          <cell r="M20">
            <v>45736</v>
          </cell>
          <cell r="N20" t="str">
            <v>20/03/2025</v>
          </cell>
          <cell r="O20">
            <v>45736</v>
          </cell>
          <cell r="P20" t="str">
            <v>Visitas de evaluación con fines de mejoramiento</v>
          </cell>
          <cell r="Q20" t="str">
            <v>20MAR2025_Colegio INETEC - OneDrive</v>
          </cell>
          <cell r="R20" t="str">
            <v>Al revisar la Plataforma SIMAT, no hay estudiantes marcados en la Plataforma con discapacidad</v>
          </cell>
          <cell r="S20" t="str">
            <v>La Institución Educativa se compromete a remitir el Documento Institucional del Plan Individual de Ajustes Razonables PIAR</v>
          </cell>
          <cell r="T20" t="str">
            <v>No</v>
          </cell>
          <cell r="U20" t="str">
            <v>Verificar la información en SIMAT</v>
          </cell>
        </row>
        <row r="21">
          <cell r="A21">
            <v>216</v>
          </cell>
          <cell r="B21">
            <v>2</v>
          </cell>
          <cell r="C21" t="str">
            <v>BOSA</v>
          </cell>
          <cell r="D21" t="str">
            <v>PRIVADO</v>
          </cell>
          <cell r="E21" t="str">
            <v>Educación de Jóvenes y Adultos</v>
          </cell>
          <cell r="F21" t="str">
            <v>COLEGIO_INETEC</v>
          </cell>
          <cell r="G21" t="str">
            <v>COLEGIO INETEC</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ANA ANDREA VARGAS GONZÁLEZ</v>
          </cell>
          <cell r="L21" t="str">
            <v>JOSÉ ANTONIO PÁEZ FETECUA</v>
          </cell>
          <cell r="M21">
            <v>45736</v>
          </cell>
          <cell r="N21" t="str">
            <v>20/03/2025</v>
          </cell>
          <cell r="O21">
            <v>45736</v>
          </cell>
          <cell r="P21" t="str">
            <v>Visitas de evaluación con fines de mejoramiento</v>
          </cell>
          <cell r="Q21" t="str">
            <v>20MAR2025_Colegio INETEC - OneDrive</v>
          </cell>
          <cell r="R21" t="str">
            <v>No evidencia Manual de Convivencia actualizado a la vigencia 2024 -2025, con la participación de la comunidad educativa, el cual requiete algunos ajustes en su contenido.</v>
          </cell>
          <cell r="S21" t="str">
            <v>Remitir la versión actualizada del Manual de Conviviencia,  para diferenciar entre faltas y situaciones convivenciales, y las sanciones</v>
          </cell>
          <cell r="T21" t="str">
            <v>Si</v>
          </cell>
          <cell r="U21" t="str">
            <v>Revisar el manual actualizado en  2025 y retroalimentar a la IE.</v>
          </cell>
        </row>
        <row r="22">
          <cell r="A22">
            <v>217</v>
          </cell>
          <cell r="B22">
            <v>2</v>
          </cell>
          <cell r="C22" t="str">
            <v>BOSA</v>
          </cell>
          <cell r="D22" t="str">
            <v>PRIVADO</v>
          </cell>
          <cell r="E22" t="str">
            <v>Educación de Jóvenes y Adultos</v>
          </cell>
          <cell r="F22" t="str">
            <v>COLEGIO_INETEC</v>
          </cell>
          <cell r="G22" t="str">
            <v>COLEGIO INETEC</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ANA ANDREA VARGAS GONZÁLEZ</v>
          </cell>
          <cell r="L22" t="str">
            <v>JOSÉ ANTONIO PÁEZ FETECUA</v>
          </cell>
          <cell r="M22">
            <v>45736</v>
          </cell>
          <cell r="N22" t="str">
            <v>20/03/2025</v>
          </cell>
          <cell r="O22">
            <v>45736</v>
          </cell>
          <cell r="P22" t="str">
            <v>Visitas de evaluación con fines de mejoramiento</v>
          </cell>
          <cell r="Q22" t="str">
            <v>20MAR2025_Colegio INETEC - OneDrive</v>
          </cell>
          <cell r="R22" t="str">
            <v>Se revisa el Sistema Institucional de Evaluación de Estudiantes - SIEE y no se encuentra incorporado en el Manual de Convivencia y requiete algunos ajustes en su contenido.</v>
          </cell>
          <cell r="S22" t="str">
            <v>Remitir la versión actualizada del Sistema Institucional de Evaluación de Estudiantes - SIEE, en articulación con la actualización del PEI y la normatividad vigente.</v>
          </cell>
          <cell r="T22" t="str">
            <v>Si</v>
          </cell>
          <cell r="U22" t="str">
            <v>Revisar el Sistema Institucional de Evaluación de Estudiantes - SIEE actualizado en 2025 y retroalimentar a la IE.</v>
          </cell>
        </row>
        <row r="23">
          <cell r="A23">
            <v>218</v>
          </cell>
          <cell r="B23">
            <v>2</v>
          </cell>
          <cell r="C23" t="str">
            <v>BOSA</v>
          </cell>
          <cell r="D23" t="str">
            <v>PRIVADO</v>
          </cell>
          <cell r="E23" t="str">
            <v>Educación de Jóvenes y Adultos</v>
          </cell>
          <cell r="F23" t="str">
            <v>COLEGIO_INETEC</v>
          </cell>
          <cell r="G23" t="str">
            <v>COLEGIO INETEC</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ANA ANDREA VARGAS GONZÁLEZ</v>
          </cell>
          <cell r="L23" t="str">
            <v>JOSÉ ANTONIO PÁEZ FETECUA</v>
          </cell>
          <cell r="M23">
            <v>45736</v>
          </cell>
          <cell r="N23" t="str">
            <v>20/03/2025</v>
          </cell>
          <cell r="O23">
            <v>45736</v>
          </cell>
          <cell r="P23" t="str">
            <v>Visitas de evaluación con fines de mejoramiento</v>
          </cell>
          <cell r="Q23" t="str">
            <v>20MAR2025_Colegio INETEC - OneDrive</v>
          </cell>
          <cell r="R23" t="str">
            <v>Se revisa el documento de Calendario Escolar y no se encuentra discriminado por semanas y la planeación de las jornadas pedagógicas</v>
          </cell>
          <cell r="S23" t="str">
            <v>Remitir la versión actualizada del Calendario Escolar Vigencia 2025</v>
          </cell>
          <cell r="T23" t="str">
            <v>Si</v>
          </cell>
          <cell r="U23" t="str">
            <v>Revisar el Calendario Escolar Vigencia 2025 actualizado en 2025 y retroalimentar a la IE.</v>
          </cell>
        </row>
        <row r="24">
          <cell r="A24">
            <v>219</v>
          </cell>
          <cell r="B24">
            <v>2</v>
          </cell>
          <cell r="C24" t="str">
            <v>BOSA</v>
          </cell>
          <cell r="D24" t="str">
            <v>PRIVADO</v>
          </cell>
          <cell r="E24" t="str">
            <v>Educación de Jóvenes y Adultos</v>
          </cell>
          <cell r="F24" t="str">
            <v>COLEGIO_INETEC</v>
          </cell>
          <cell r="G24" t="str">
            <v>COLEGIO INETEC</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ANA ANDREA VARGAS GONZÁLEZ</v>
          </cell>
          <cell r="L24" t="str">
            <v>JOSÉ ANTONIO PÁEZ FETECUA</v>
          </cell>
          <cell r="M24">
            <v>45736</v>
          </cell>
          <cell r="N24" t="str">
            <v>20/03/2025</v>
          </cell>
          <cell r="O24">
            <v>45736</v>
          </cell>
          <cell r="P24" t="str">
            <v>Visitas de evaluación con fines de mejoramiento</v>
          </cell>
          <cell r="Q24" t="str">
            <v>20MAR2025_Colegio INETEC - OneDrive</v>
          </cell>
          <cell r="R24" t="str">
            <v>Se revisa la documentación que corresponde a la conformación del Gobierno Escolar y otros órganos de participación y no están ajustados de acuerdo con la normatividad vigente</v>
          </cell>
          <cell r="S24" t="str">
            <v>Remitir la versión actualizada del Gobierno Escolar y otros órganos de participación vigencia 2025</v>
          </cell>
          <cell r="T24" t="str">
            <v>Si</v>
          </cell>
          <cell r="U24" t="str">
            <v>Revisar el Gobierno Escolar y otros órganos de participación actualizado en 2025 y retroalimentar a la IE.</v>
          </cell>
        </row>
        <row r="25">
          <cell r="A25">
            <v>220</v>
          </cell>
          <cell r="B25">
            <v>2</v>
          </cell>
          <cell r="C25" t="str">
            <v>BOSA</v>
          </cell>
          <cell r="D25" t="str">
            <v>PRIVADO</v>
          </cell>
          <cell r="E25" t="str">
            <v>Educación de Jóvenes y Adultos</v>
          </cell>
          <cell r="F25" t="str">
            <v>COLEGIO_INETEC</v>
          </cell>
          <cell r="G25" t="str">
            <v>COLEGIO INETEC</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ANA ANDREA VARGAS GONZÁLEZ</v>
          </cell>
          <cell r="L25" t="str">
            <v>JOSÉ ANTONIO PÁEZ FETECUA</v>
          </cell>
          <cell r="M25">
            <v>45736</v>
          </cell>
          <cell r="N25" t="str">
            <v>20/03/2025</v>
          </cell>
          <cell r="O25">
            <v>45736</v>
          </cell>
          <cell r="P25" t="str">
            <v>Visitas de evaluación con fines de mejoramiento</v>
          </cell>
          <cell r="Q25" t="str">
            <v>20MAR2025_Colegio INETEC - OneDrive</v>
          </cell>
          <cell r="R25" t="str">
            <v>Se realiza un recorrido en las instalaciones de la IE y se evidencia falta de mantenimiento en las Instalaciones y falta de pintura en las paredes</v>
          </cell>
          <cell r="S25" t="str">
            <v xml:space="preserve">Se recomienda actualizar el mobiliario más antiguo y pintar el interior de las instalaciones </v>
          </cell>
          <cell r="T25" t="str">
            <v>Si</v>
          </cell>
          <cell r="U25" t="str">
            <v>Se adelantará una visita administrativa para verificar la pertinencia de las instalaciones en la garantía de la prestación del servicio educativo</v>
          </cell>
        </row>
        <row r="26">
          <cell r="A26">
            <v>221</v>
          </cell>
          <cell r="B26">
            <v>3</v>
          </cell>
          <cell r="C26" t="str">
            <v>BOSA</v>
          </cell>
          <cell r="D26" t="str">
            <v>PRIVADO</v>
          </cell>
          <cell r="E26" t="str">
            <v>EPBM</v>
          </cell>
          <cell r="F26" t="str">
            <v>COLEGIO_MIXTO_VILLA_CAROLINA_EU</v>
          </cell>
          <cell r="G26" t="str">
            <v>COLEGIO MIXTO VILLA CAROLINA EU</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JOSÉ ANTONIO PÁEZ FETECUA</v>
          </cell>
          <cell r="L26" t="str">
            <v>ESTEFANY PEÑA GARCIA</v>
          </cell>
          <cell r="M26">
            <v>45741</v>
          </cell>
          <cell r="N26" t="str">
            <v>25/03/2025</v>
          </cell>
          <cell r="O26" t="str">
            <v>25/03/2025</v>
          </cell>
          <cell r="P26" t="str">
            <v>Visitas de evaluación con fines de mejoramiento</v>
          </cell>
          <cell r="Q26" t="str">
            <v>25MAR2025_Colegio Mixto Villa Carolina - OneDrive</v>
          </cell>
          <cell r="R26" t="str">
            <v>La información consignada en la Plataforma EVI relacionada con los indicadores de: planta física, dotación de espacios y calendario académico coincide con lo verificado en campo</v>
          </cell>
          <cell r="S26" t="str">
            <v xml:space="preserve">Se concluye que la IE realizará su autoevalución institucional en el mes octubre.  </v>
          </cell>
          <cell r="T26" t="str">
            <v>No</v>
          </cell>
          <cell r="U26" t="str">
            <v>Se verificará la información cargada por la IE en el aplicativo EVI de la autoevaluación,  para la emisión del concepto de tarifas 2026</v>
          </cell>
        </row>
        <row r="27">
          <cell r="A27">
            <v>222</v>
          </cell>
          <cell r="B27">
            <v>3</v>
          </cell>
          <cell r="C27" t="str">
            <v>BOSA</v>
          </cell>
          <cell r="D27" t="str">
            <v>PRIVADO</v>
          </cell>
          <cell r="E27" t="str">
            <v>EPBM</v>
          </cell>
          <cell r="F27" t="str">
            <v>COLEGIO_MIXTO_VILLA_CAROLINA_EU</v>
          </cell>
          <cell r="G27" t="str">
            <v>COLEGIO MIXTO VILLA CAROLINA EU</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JOSÉ ANTONIO PÁEZ FETECUA</v>
          </cell>
          <cell r="L27" t="str">
            <v>ESTEFANY PEÑA GARCIA</v>
          </cell>
          <cell r="M27">
            <v>45741</v>
          </cell>
          <cell r="N27" t="str">
            <v>25/03/2025</v>
          </cell>
          <cell r="O27">
            <v>45741</v>
          </cell>
          <cell r="P27" t="str">
            <v>Visitas de evaluación con fines de mejoramiento</v>
          </cell>
          <cell r="Q27" t="str">
            <v>25MAR2025_Colegio Mixto Villa Carolina - OneDrive</v>
          </cell>
          <cell r="R27" t="str">
            <v>Se adelanta la revisión de los Resultados de las Pruebas Saber 11, encontrando que la IE se encuentra en Categoría A</v>
          </cell>
          <cell r="S27" t="str">
            <v>Se aporta documento que la Institución educativa que compara diferentes vigencias y la mejora anual hasta llegar a la categoría A  en los resultados 2024</v>
          </cell>
          <cell r="T27" t="str">
            <v>No</v>
          </cell>
          <cell r="U27" t="str">
            <v>Se acordó revisar nuevamente el documento en el mes de agosto de 2025 y generar espacios de asesoría, conforme lo requiera la IE</v>
          </cell>
        </row>
        <row r="28">
          <cell r="A28">
            <v>223</v>
          </cell>
          <cell r="B28">
            <v>3</v>
          </cell>
          <cell r="C28" t="str">
            <v>BOSA</v>
          </cell>
          <cell r="D28" t="str">
            <v>PRIVADO</v>
          </cell>
          <cell r="E28" t="str">
            <v>EPBM</v>
          </cell>
          <cell r="F28" t="str">
            <v>COLEGIO_MIXTO_VILLA_CAROLINA_EU</v>
          </cell>
          <cell r="G28" t="str">
            <v>COLEGIO MIXTO VILLA CAROLINA EU</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JOSÉ ANTONIO PÁEZ FETECUA</v>
          </cell>
          <cell r="L28" t="str">
            <v>ESTEFANY PEÑA GARCIA</v>
          </cell>
          <cell r="M28">
            <v>45741</v>
          </cell>
          <cell r="N28" t="str">
            <v>25/03/2025</v>
          </cell>
          <cell r="O28">
            <v>45741</v>
          </cell>
          <cell r="P28" t="str">
            <v>Visitas de evaluación con fines de mejoramiento</v>
          </cell>
          <cell r="Q28" t="str">
            <v>25MAR2025_Colegio Mixto Villa Carolina - OneDrive</v>
          </cell>
          <cell r="R28" t="str">
            <v>Se verifica la implementación de acciones  realizadas para la prevención como lo es la verificación de inhabilidades por delitos sexuales en el sistema de la Policía Nacional.</v>
          </cell>
          <cell r="S28" t="str">
            <v>Como acción de verificación se solicita implementar  la autorización de directivos, docentes y administrativos para las consultas de antecedentes en los sistemas que se requieran al momento de la vinculación</v>
          </cell>
          <cell r="T28" t="str">
            <v>No</v>
          </cell>
          <cell r="U28" t="str">
            <v>Verificar que la IE cuente con las respectivas autorizaciones para las consultas de antedecentes del personal vinculado.</v>
          </cell>
        </row>
        <row r="29">
          <cell r="A29">
            <v>224</v>
          </cell>
          <cell r="B29">
            <v>3</v>
          </cell>
          <cell r="C29" t="str">
            <v>BOSA</v>
          </cell>
          <cell r="D29" t="str">
            <v>PRIVADO</v>
          </cell>
          <cell r="E29" t="str">
            <v>EPBM</v>
          </cell>
          <cell r="F29" t="str">
            <v>COLEGIO_MIXTO_VILLA_CAROLINA_EU</v>
          </cell>
          <cell r="G29" t="str">
            <v>COLEGIO MIXTO VILLA CAROLINA EU</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JOSÉ ANTONIO PÁEZ FETECUA</v>
          </cell>
          <cell r="L29" t="str">
            <v>ESTEFANY PEÑA GARCIA</v>
          </cell>
          <cell r="M29">
            <v>45741</v>
          </cell>
          <cell r="N29" t="str">
            <v>25/03/2025</v>
          </cell>
          <cell r="O29">
            <v>45741</v>
          </cell>
          <cell r="P29" t="str">
            <v>Visitas de evaluación con fines de mejoramiento</v>
          </cell>
          <cell r="Q29" t="str">
            <v>25MAR2025_Colegio Mixto Villa Carolina - OneDrive</v>
          </cell>
          <cell r="R29" t="str">
            <v>Al revisar la Plataforma SIMAT, no hay estudiantes marcados en la Plataforma con discapacidad</v>
          </cell>
          <cell r="S29" t="str">
            <v>La Institución Educativa se compromete a remitir el Documento Institucional del Plan Individual de Ajustes Razonables PIAR</v>
          </cell>
          <cell r="T29" t="str">
            <v>No</v>
          </cell>
          <cell r="U29" t="str">
            <v>Verificar la información en SIMAT</v>
          </cell>
        </row>
        <row r="30">
          <cell r="A30">
            <v>225</v>
          </cell>
          <cell r="B30">
            <v>3</v>
          </cell>
          <cell r="C30" t="str">
            <v>BOSA</v>
          </cell>
          <cell r="D30" t="str">
            <v>PRIVADO</v>
          </cell>
          <cell r="E30" t="str">
            <v>EPBM</v>
          </cell>
          <cell r="F30" t="str">
            <v>COLEGIO_MIXTO_VILLA_CAROLINA_EU</v>
          </cell>
          <cell r="G30" t="str">
            <v>COLEGIO MIXTO VILLA CAROLINA EU</v>
          </cell>
          <cell r="H30" t="str">
            <v>Autoevaluación Institucional y Pruebas SABER 11</v>
          </cell>
          <cell r="I30" t="str">
            <v>EVALUACIÓN_CON_FINES_DE_MEJORAMIENTO.</v>
          </cell>
          <cell r="J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 t="str">
            <v>JOSÉ ANTONIO PÁEZ FETECUA</v>
          </cell>
          <cell r="L30" t="str">
            <v>ESTEFANY PEÑA GARCIA</v>
          </cell>
          <cell r="M30">
            <v>45741</v>
          </cell>
          <cell r="N30" t="str">
            <v>25/03/2025</v>
          </cell>
          <cell r="O30" t="str">
            <v>25/03/2025</v>
          </cell>
          <cell r="P30" t="str">
            <v>Visitas de evaluación con fines de mejoramiento</v>
          </cell>
          <cell r="Q30" t="str">
            <v>25MAR2025_Colegio Mixto Villa Carolina - OneDrive</v>
          </cell>
          <cell r="R30" t="str">
            <v>El Manual de Convivencia fue construido y adoptado de forma participativa e incluye los componentes generales, los diferentes enfoques y se encuentra conforme a lo establecido en el PEI y la normatividad vigente</v>
          </cell>
          <cell r="S30" t="str">
            <v>Como acción de verificación la Institución Educativa se compromete a remitir la versión actualizada del Manual de Convivencia a la vigencia 2024 -2025</v>
          </cell>
          <cell r="T30" t="str">
            <v>No</v>
          </cell>
          <cell r="U30" t="str">
            <v>Verificar nuevamente el documento en el mes de agosto de 2025 y generar espacios de asesoría, conforme lo requiera la IE</v>
          </cell>
        </row>
        <row r="31">
          <cell r="A31">
            <v>226</v>
          </cell>
          <cell r="B31">
            <v>3</v>
          </cell>
          <cell r="C31" t="str">
            <v>BOSA</v>
          </cell>
          <cell r="D31" t="str">
            <v>PRIVADO</v>
          </cell>
          <cell r="E31" t="str">
            <v>EPBM</v>
          </cell>
          <cell r="F31" t="str">
            <v>COLEGIO_MIXTO_VILLA_CAROLINA_EU</v>
          </cell>
          <cell r="G31" t="str">
            <v>COLEGIO MIXTO VILLA CAROLINA EU</v>
          </cell>
          <cell r="H31" t="str">
            <v>Autoevaluación Institucional y Pruebas SABER 11</v>
          </cell>
          <cell r="I31" t="str">
            <v>EVALUACIÓN_CON_FINES_DE_MEJORAMIENTO.</v>
          </cell>
          <cell r="J31" t="str">
            <v>Revisar la actualización, socialización e implementación del Sistema Institucional de Evaluación de Estudiantes - SIEE, en articulación con la actualización del PEI y la normatividad vigente.</v>
          </cell>
          <cell r="K31" t="str">
            <v>JOSÉ ANTONIO PÁEZ FETECUA</v>
          </cell>
          <cell r="L31" t="str">
            <v>ESTEFANY PEÑA GARCIA</v>
          </cell>
          <cell r="M31">
            <v>45741</v>
          </cell>
          <cell r="N31" t="str">
            <v>25/03/2025</v>
          </cell>
          <cell r="O31">
            <v>45741</v>
          </cell>
          <cell r="P31" t="str">
            <v>Visitas de evaluación con fines de mejoramiento</v>
          </cell>
          <cell r="Q31" t="str">
            <v>25MAR2025_Colegio Mixto Villa Carolina - OneDrive</v>
          </cell>
          <cell r="R31" t="str">
            <v>Se evidencia el Sistema Institucional de Evaluación de Estudiantes - SIEE, actualizado para la vigencia 2025. Fue construido en articulación con el Consejo Directivo y la comunidad educativa desde el año 2019 y se actualiza cada 2 años</v>
          </cell>
          <cell r="S31" t="str">
            <v>Como acción de verificación la Institución Educativa se compromete a remitir la versión actualizada del  Sistema institucional de evaluación de los estudiantes- SIEE</v>
          </cell>
          <cell r="T31" t="str">
            <v>No</v>
          </cell>
          <cell r="U31" t="str">
            <v>Verificar nuevamente el documento en el mes de agosto de 2025 y generar espacios de asesoría, conforme lo requiera la IE</v>
          </cell>
        </row>
        <row r="32">
          <cell r="A32">
            <v>227</v>
          </cell>
          <cell r="B32">
            <v>3</v>
          </cell>
          <cell r="C32" t="str">
            <v>BOSA</v>
          </cell>
          <cell r="D32" t="str">
            <v>PRIVADO</v>
          </cell>
          <cell r="E32" t="str">
            <v>EPBM</v>
          </cell>
          <cell r="F32" t="str">
            <v>COLEGIO_MIXTO_VILLA_CAROLINA_EU</v>
          </cell>
          <cell r="G32" t="str">
            <v>COLEGIO MIXTO VILLA CAROLINA EU</v>
          </cell>
          <cell r="H32" t="str">
            <v>Autoevaluación Institucional y Pruebas SABER 11</v>
          </cell>
          <cell r="I32" t="str">
            <v>EVALUACIÓN_CON_FINES_DE_MEJORAMIENTO.</v>
          </cell>
          <cell r="J32" t="str">
            <v>Revisar el calendario escolar, jornada escolar, la intensidad horaria mínima anual en cada nivel y las modificaciones que se realicen al mismo, de acuerdo con lo previsto en la normatividad vigente.</v>
          </cell>
          <cell r="K32" t="str">
            <v>JOSÉ ANTONIO PÁEZ FETECUA</v>
          </cell>
          <cell r="L32" t="str">
            <v>ESTEFANY PEÑA GARCIA</v>
          </cell>
          <cell r="M32">
            <v>45741</v>
          </cell>
          <cell r="N32" t="str">
            <v>25/03/2025</v>
          </cell>
          <cell r="O32">
            <v>45741</v>
          </cell>
          <cell r="P32" t="str">
            <v>Visitas de evaluación con fines de mejoramiento</v>
          </cell>
          <cell r="Q32" t="str">
            <v>25MAR2025_Colegio Mixto Villa Carolina - OneDrive</v>
          </cell>
          <cell r="R32" t="str">
            <v>El calendario escolar, jornada escolar, la intensidad horaria mínima anual en cada nivel se encuentran conforme lo previsto en la normatividad vigente</v>
          </cell>
          <cell r="S32" t="str">
            <v>Como acción de verificación la Institución Educativa se compromete a remitir la versión actualizada calendario escolar</v>
          </cell>
          <cell r="T32" t="str">
            <v>No</v>
          </cell>
          <cell r="U32" t="str">
            <v>Verificar nuevamente el documento en el mes de agosto de 2025 y generar espacios de asesoría, conforme lo requiera la IE</v>
          </cell>
        </row>
        <row r="33">
          <cell r="A33">
            <v>228</v>
          </cell>
          <cell r="B33">
            <v>3</v>
          </cell>
          <cell r="C33" t="str">
            <v>BOSA</v>
          </cell>
          <cell r="D33" t="str">
            <v>PRIVADO</v>
          </cell>
          <cell r="E33" t="str">
            <v>EPBM</v>
          </cell>
          <cell r="F33" t="str">
            <v>COLEGIO_MIXTO_VILLA_CAROLINA_EU</v>
          </cell>
          <cell r="G33" t="str">
            <v>COLEGIO MIXTO VILLA CAROLINA EU</v>
          </cell>
          <cell r="H33" t="str">
            <v>Autoevaluación Institucional y Pruebas SABER 11</v>
          </cell>
          <cell r="I33" t="str">
            <v>EVALUACIÓN_CON_FINES_DE_MEJORAMIENTO.</v>
          </cell>
          <cell r="J33" t="str">
            <v>Verificar el funcionamiento del Gobierno Escolar e instancias de participación con base en la información sobre conformación reportada por la institución educativa.</v>
          </cell>
          <cell r="K33" t="str">
            <v>JOSÉ ANTONIO PÁEZ FETECUA</v>
          </cell>
          <cell r="L33" t="str">
            <v>ESTEFANY PEÑA GARCIA</v>
          </cell>
          <cell r="M33">
            <v>45741</v>
          </cell>
          <cell r="N33" t="str">
            <v>25/03/2025</v>
          </cell>
          <cell r="O33" t="str">
            <v>25/03/2025</v>
          </cell>
          <cell r="P33" t="str">
            <v>Visitas de evaluación con fines de mejoramiento</v>
          </cell>
          <cell r="Q33" t="str">
            <v>25MAR2025_Colegio Mixto Villa Carolina - OneDrive</v>
          </cell>
          <cell r="R33" t="str">
            <v>La constitución del Gobierno Escolar y sus órganos de participación, se encuentra conforme a la Normativa Vigente</v>
          </cell>
          <cell r="S33" t="str">
            <v>Continuar operando conforme funciones y reglamentos.</v>
          </cell>
          <cell r="T33" t="str">
            <v>No</v>
          </cell>
          <cell r="U33" t="str">
            <v>Verificar la conformación del Gobierno Escolar e instancias para la vigencia 2026 o antes si la IE lo requiere o se presenta solicitud o queja.</v>
          </cell>
        </row>
        <row r="34">
          <cell r="A34">
            <v>229</v>
          </cell>
          <cell r="B34">
            <v>3</v>
          </cell>
          <cell r="C34" t="str">
            <v>BOSA</v>
          </cell>
          <cell r="D34" t="str">
            <v>PRIVADO</v>
          </cell>
          <cell r="E34" t="str">
            <v>EPBM</v>
          </cell>
          <cell r="F34" t="str">
            <v>COLEGIO_MIXTO_VILLA_CAROLINA_EU</v>
          </cell>
          <cell r="G34" t="str">
            <v>COLEGIO MIXTO VILLA CAROLINA EU</v>
          </cell>
          <cell r="H34" t="str">
            <v>Autoevaluación Institucional y Pruebas SABER 11</v>
          </cell>
          <cell r="I34" t="str">
            <v>EVALUACIÓN_CON_FINES_DE_MEJORAMIENTO.</v>
          </cell>
          <cell r="J34" t="str">
            <v>Verificar las condiciones en cuanto a: la estructura administrativa, condiciones de la planta física y medios educativos adecuados.</v>
          </cell>
          <cell r="K34" t="str">
            <v>JOSÉ ANTONIO PÁEZ FETECUA</v>
          </cell>
          <cell r="L34" t="str">
            <v>ESTEFANY PEÑA GARCIA</v>
          </cell>
          <cell r="M34">
            <v>45741</v>
          </cell>
          <cell r="N34" t="str">
            <v>25/03/2025</v>
          </cell>
          <cell r="O34" t="str">
            <v>25/03/2025</v>
          </cell>
          <cell r="P34" t="str">
            <v>Visitas de evaluación con fines de mejoramiento</v>
          </cell>
          <cell r="Q34" t="str">
            <v>25MAR2025_Colegio Mixto Villa Carolina - OneDrive</v>
          </cell>
          <cell r="R34" t="str">
            <v>Se realiza un recorrido en las instalaciones de la IE, verificando las condiciones en cuanto a: la estructura administrativa, condiciones de la planta física y medios educativos adecuados.</v>
          </cell>
          <cell r="S34" t="str">
            <v>Las condiciones de la planta física son adecuadas y se recomienda actualizar el mobiliario más antiguo</v>
          </cell>
          <cell r="T34" t="str">
            <v>No</v>
          </cell>
          <cell r="U34" t="str">
            <v>Las condiciones de la planta física garantizan la adecuada prestación del servicio educativo</v>
          </cell>
        </row>
        <row r="35">
          <cell r="A35">
            <v>230</v>
          </cell>
          <cell r="B35">
            <v>4</v>
          </cell>
          <cell r="C35" t="str">
            <v>BOSA</v>
          </cell>
          <cell r="D35" t="str">
            <v>PRIVADO</v>
          </cell>
          <cell r="E35" t="str">
            <v>Educación de Jóvenes y Adultos</v>
          </cell>
          <cell r="F35" t="str">
            <v>FUNDACION_HUMANISTA_ERASMO_DE_ROTTERDAM</v>
          </cell>
          <cell r="G35" t="str">
            <v>FUNDACION HUMANISTA ERASMO DE ROTTERDAM</v>
          </cell>
          <cell r="H35" t="str">
            <v>Autoevaluación Institucional y Pruebas SABER 11</v>
          </cell>
          <cell r="I35" t="str">
            <v>SEGUIMIENTO_Y_SUPERVISIÓN.</v>
          </cell>
          <cell r="J35" t="str">
            <v>Realizar visitas para verificar la información registrada sobre la autoevaluación institucional en el aplicativo EVI, a los establecimientos de educación formal no oficial.</v>
          </cell>
          <cell r="K35" t="str">
            <v>JULIÁN FELIPE BERNAL GARZÓN</v>
          </cell>
          <cell r="L35" t="str">
            <v>ANA ANDREA VARGAS GONZÁLEZ</v>
          </cell>
          <cell r="M35">
            <v>45743</v>
          </cell>
          <cell r="N35">
            <v>45743</v>
          </cell>
          <cell r="O35">
            <v>45743</v>
          </cell>
          <cell r="P35" t="str">
            <v>Visitas de evaluación con fines de mejoramiento</v>
          </cell>
          <cell r="Q35" t="str">
            <v>27MAR2025_Fundacion Humanista Erasmo de Rotterdam - OneDrive</v>
          </cell>
          <cell r="R35" t="str">
            <v>La información consignada en la Plataforma EVI coincide con lo verificado en campo. La Institución Educativa se encuentra en Régimen Controlado por las respuestas brindadas en la Autoevaluación en la Pregunta 13</v>
          </cell>
          <cell r="S35" t="str">
            <v>La Institución Educativa se compromete a remitir el Plan de Mejoramiento que subsana el Régimen Controlado para la Vigencia 2025</v>
          </cell>
          <cell r="T35" t="str">
            <v>Si</v>
          </cell>
          <cell r="U35" t="str">
            <v>Verificar en campo el cumplimiento de la información que aportó la Institución Educativa en las respuestas brindadas en la Autoevaluación en la Pregunta 13</v>
          </cell>
        </row>
        <row r="36">
          <cell r="A36">
            <v>231</v>
          </cell>
          <cell r="B36">
            <v>4</v>
          </cell>
          <cell r="C36" t="str">
            <v>BOSA</v>
          </cell>
          <cell r="D36" t="str">
            <v>PRIVADO</v>
          </cell>
          <cell r="E36" t="str">
            <v>Educación de Jóvenes y Adultos</v>
          </cell>
          <cell r="F36" t="str">
            <v>FUNDACION_HUMANISTA_ERASMO_DE_ROTTERDAM</v>
          </cell>
          <cell r="G36" t="str">
            <v>FUNDACION HUMANISTA ERASMO DE ROTTERDAM</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JULIÁN FELIPE BERNAL GARZÓN</v>
          </cell>
          <cell r="L36" t="str">
            <v>ANA ANDREA VARGAS GONZÁLEZ</v>
          </cell>
          <cell r="M36">
            <v>45743</v>
          </cell>
          <cell r="N36">
            <v>45743</v>
          </cell>
          <cell r="O36">
            <v>45743</v>
          </cell>
          <cell r="P36" t="str">
            <v>Visitas de evaluación con fines de mejoramiento</v>
          </cell>
          <cell r="Q36" t="str">
            <v>27MAR2025_Fundacion Humanista Erasmo de Rotterdam - OneDrive</v>
          </cell>
          <cell r="R36" t="str">
            <v>La IE se encuentra en Categoría B, realizó la revisión y análisis de los resultados para  actualización del curriculo y el plan de estudios. Se ha adelantado el diagnóstico y la propuesta de Intervención, aplicando pruebas preliminares.</v>
          </cell>
          <cell r="S36" t="str">
            <v>La IE se compromete a diseñar un Plan de Mejoramiento con estrategia actualizada que cuente con cronograma, actividades específicas y proceso de seguimiento y evaluación</v>
          </cell>
          <cell r="T36" t="str">
            <v>Si</v>
          </cell>
          <cell r="U36" t="str">
            <v xml:space="preserve">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v>
          </cell>
        </row>
        <row r="37">
          <cell r="A37">
            <v>232</v>
          </cell>
          <cell r="B37">
            <v>4</v>
          </cell>
          <cell r="C37" t="str">
            <v>BOSA</v>
          </cell>
          <cell r="D37" t="str">
            <v>PRIVADO</v>
          </cell>
          <cell r="E37" t="str">
            <v>Educación de Jóvenes y Adultos</v>
          </cell>
          <cell r="F37" t="str">
            <v>FUNDACION_HUMANISTA_ERASMO_DE_ROTTERDAM</v>
          </cell>
          <cell r="G37" t="str">
            <v>FUNDACION HUMANISTA ERASMO DE ROTTERDAM</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JULIÁN FELIPE BERNAL GARZÓN</v>
          </cell>
          <cell r="L37" t="str">
            <v>ANA ANDREA VARGAS GONZÁLEZ</v>
          </cell>
          <cell r="M37">
            <v>45743</v>
          </cell>
          <cell r="N37">
            <v>45743</v>
          </cell>
          <cell r="O37">
            <v>45743</v>
          </cell>
          <cell r="P37" t="str">
            <v>Visitas de evaluación con fines de mejoramiento</v>
          </cell>
          <cell r="Q37" t="str">
            <v>27MAR2025_Fundacion Humanista Erasmo de Rotterdam - OneDrive</v>
          </cell>
          <cell r="R37" t="str">
            <v>Se verifica la implementación de acciones  realizadas para la prevención como lo es la verificación de inhabilidades por delitos sexuales en el sistema de la Policía Nacional.</v>
          </cell>
          <cell r="S37" t="str">
            <v>Como acción de verificación se solicita implementar  la autorización de directivos, docentes y administrativos para las consultas de antecedentes en los sistemas que se requieran al momento de la vinculación</v>
          </cell>
          <cell r="T37" t="str">
            <v>No</v>
          </cell>
          <cell r="U37" t="str">
            <v>Verificar que la IE cuente con las respectivas autorizaciones para las consultas de antedecentes del personal vinculado.</v>
          </cell>
        </row>
        <row r="38">
          <cell r="A38">
            <v>233</v>
          </cell>
          <cell r="B38">
            <v>4</v>
          </cell>
          <cell r="C38" t="str">
            <v>BOSA</v>
          </cell>
          <cell r="D38" t="str">
            <v>PRIVADO</v>
          </cell>
          <cell r="E38" t="str">
            <v>Educación de Jóvenes y Adultos</v>
          </cell>
          <cell r="F38" t="str">
            <v>FUNDACION_HUMANISTA_ERASMO_DE_ROTTERDAM</v>
          </cell>
          <cell r="G38" t="str">
            <v>FUNDACION HUMANISTA ERASMO DE ROTTERDAM</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JULIÁN FELIPE BERNAL GARZÓN</v>
          </cell>
          <cell r="L38" t="str">
            <v>ANA ANDREA VARGAS GONZÁLEZ</v>
          </cell>
          <cell r="M38">
            <v>45743</v>
          </cell>
          <cell r="N38">
            <v>45743</v>
          </cell>
          <cell r="O38">
            <v>45743</v>
          </cell>
          <cell r="P38" t="str">
            <v>Visitas de evaluación con fines de mejoramiento</v>
          </cell>
          <cell r="Q38" t="str">
            <v>27MAR2025_Fundacion Humanista Erasmo de Rotterdam - OneDrive</v>
          </cell>
          <cell r="R38" t="str">
            <v>Al revisar la Plataforma SIMAT, no hay estudiantes marcados en la Plataforma con discapacidad</v>
          </cell>
          <cell r="S38" t="str">
            <v>La Institución Educativa se compromete a remitir el Documento Institucional del Plan Individual de Ajustes Razonables PIAR</v>
          </cell>
          <cell r="T38" t="str">
            <v>No</v>
          </cell>
          <cell r="U38" t="str">
            <v>Verificar la información en SIMAT</v>
          </cell>
        </row>
        <row r="39">
          <cell r="A39">
            <v>234</v>
          </cell>
          <cell r="B39">
            <v>4</v>
          </cell>
          <cell r="C39" t="str">
            <v>BOSA</v>
          </cell>
          <cell r="D39" t="str">
            <v>PRIVADO</v>
          </cell>
          <cell r="E39" t="str">
            <v>Educación de Jóvenes y Adultos</v>
          </cell>
          <cell r="F39" t="str">
            <v>FUNDACION_HUMANISTA_ERASMO_DE_ROTTERDAM</v>
          </cell>
          <cell r="G39" t="str">
            <v>FUNDACION HUMANISTA ERASMO DE ROTTERDAM</v>
          </cell>
          <cell r="H39" t="str">
            <v>Autoevaluación Institucional y Pruebas SABER 11</v>
          </cell>
          <cell r="I39" t="str">
            <v>EVALUACIÓN_CON_FINES_DE_MEJORAMIENTO.</v>
          </cell>
          <cell r="J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 t="str">
            <v>JULIÁN FELIPE BERNAL GARZÓN</v>
          </cell>
          <cell r="L39" t="str">
            <v>ANA ANDREA VARGAS GONZÁLEZ</v>
          </cell>
          <cell r="M39">
            <v>45743</v>
          </cell>
          <cell r="N39">
            <v>45743</v>
          </cell>
          <cell r="O39">
            <v>45743</v>
          </cell>
          <cell r="P39" t="str">
            <v>Visitas de evaluación con fines de mejoramiento</v>
          </cell>
          <cell r="Q39" t="str">
            <v>27MAR2025_Fundacion Humanista Erasmo de Rotterdam - OneDrive</v>
          </cell>
          <cell r="R39" t="str">
            <v>No evidencia Manual de Convivencia actualizado a la vigencia 2024 -2025, con la participación de la comunidad educativa, el cual requiere algunos ajustes en su contenido.</v>
          </cell>
          <cell r="S39" t="str">
            <v>Remitir la versión actualizada del Manual de Conviviencia,  para diferenciar entre faltas y situaciones convivenciales, y las sanciones</v>
          </cell>
          <cell r="T39" t="str">
            <v>Si</v>
          </cell>
          <cell r="U39" t="str">
            <v>Revisar el manual actualizado en  2025 y retroalimentar a la IE.</v>
          </cell>
        </row>
        <row r="40">
          <cell r="A40">
            <v>235</v>
          </cell>
          <cell r="B40">
            <v>4</v>
          </cell>
          <cell r="C40" t="str">
            <v>BOSA</v>
          </cell>
          <cell r="D40" t="str">
            <v>PRIVADO</v>
          </cell>
          <cell r="E40" t="str">
            <v>Educación de Jóvenes y Adultos</v>
          </cell>
          <cell r="F40" t="str">
            <v>FUNDACION_HUMANISTA_ERASMO_DE_ROTTERDAM</v>
          </cell>
          <cell r="G40" t="str">
            <v>FUNDACION HUMANISTA ERASMO DE ROTTERDAM</v>
          </cell>
          <cell r="H40" t="str">
            <v>Autoevaluación Institucional y Pruebas SABER 11</v>
          </cell>
          <cell r="I40" t="str">
            <v>EVALUACIÓN_CON_FINES_DE_MEJORAMIENTO.</v>
          </cell>
          <cell r="J40" t="str">
            <v>Revisar la actualización, socialización e implementación del Sistema Institucional de Evaluación de Estudiantes - SIEE, en articulación con la actualización del PEI y la normatividad vigente.</v>
          </cell>
          <cell r="K40" t="str">
            <v>JULIÁN FELIPE BERNAL GARZÓN</v>
          </cell>
          <cell r="L40" t="str">
            <v>ANA ANDREA VARGAS GONZÁLEZ</v>
          </cell>
          <cell r="M40">
            <v>45743</v>
          </cell>
          <cell r="N40">
            <v>45743</v>
          </cell>
          <cell r="O40">
            <v>45743</v>
          </cell>
          <cell r="P40" t="str">
            <v>Visitas de evaluación con fines de mejoramiento</v>
          </cell>
          <cell r="Q40" t="str">
            <v>27MAR2025_Fundacion Humanista Erasmo de Rotterdam - OneDrive</v>
          </cell>
          <cell r="R40" t="str">
            <v>Se evidencia el Sistema Institucional de Evaluación de Estudiantes - SIEE, actualizado para la vigencia 2025. Fue construido en articulación con el Consejo Directivo y la comunidad educativa desde el año 2019 y se actualiza cada 2 años</v>
          </cell>
          <cell r="S40" t="str">
            <v>Como acción de verificación la Institución Educativa se compromete a remitir la versión actualizada del  Sistema institucional de evaluación de los estudiantes- SIEE</v>
          </cell>
          <cell r="T40" t="str">
            <v>No</v>
          </cell>
          <cell r="U40" t="str">
            <v>Verificar nuevamente el documento en el mes de agosto de 2025 y generar espacios de asesoría, conforme lo requiera la IE</v>
          </cell>
        </row>
        <row r="41">
          <cell r="A41">
            <v>236</v>
          </cell>
          <cell r="B41">
            <v>4</v>
          </cell>
          <cell r="C41" t="str">
            <v>BOSA</v>
          </cell>
          <cell r="D41" t="str">
            <v>PRIVADO</v>
          </cell>
          <cell r="E41" t="str">
            <v>Educación de Jóvenes y Adultos</v>
          </cell>
          <cell r="F41" t="str">
            <v>FUNDACION_HUMANISTA_ERASMO_DE_ROTTERDAM</v>
          </cell>
          <cell r="G41" t="str">
            <v>FUNDACION HUMANISTA ERASMO DE ROTTERDAM</v>
          </cell>
          <cell r="H41" t="str">
            <v>Autoevaluación Institucional y Pruebas SABER 11</v>
          </cell>
          <cell r="I41" t="str">
            <v>EVALUACIÓN_CON_FINES_DE_MEJORAMIENTO.</v>
          </cell>
          <cell r="J41" t="str">
            <v>Revisar el calendario escolar, jornada escolar, la intensidad horaria mínima anual en cada nivel y las modificaciones que se realicen al mismo, de acuerdo con lo previsto en la normatividad vigente.</v>
          </cell>
          <cell r="K41" t="str">
            <v>JULIÁN FELIPE BERNAL GARZÓN</v>
          </cell>
          <cell r="L41" t="str">
            <v>ANA ANDREA VARGAS GONZÁLEZ</v>
          </cell>
          <cell r="M41">
            <v>45743</v>
          </cell>
          <cell r="N41">
            <v>45743</v>
          </cell>
          <cell r="O41">
            <v>45743</v>
          </cell>
          <cell r="P41" t="str">
            <v>Visitas de evaluación con fines de mejoramiento</v>
          </cell>
          <cell r="Q41" t="str">
            <v>27MAR2025_Fundacion Humanista Erasmo de Rotterdam - OneDrive</v>
          </cell>
          <cell r="R41" t="str">
            <v>El calendario escolar, jornada escolar, la intensidad horaria mínima anual en cada nivel se encuentran conforme lo previsto en la normatividad vigente</v>
          </cell>
          <cell r="S41" t="str">
            <v>Como acción de verificación la Institución Educativa se compromete a remitir la versión actualizada calendario escolar</v>
          </cell>
          <cell r="T41" t="str">
            <v>No</v>
          </cell>
          <cell r="U41" t="str">
            <v>Verificar nuevamente el documento en el mes de agosto de 2025 y generar espacios de asesoría, conforme lo requiera la IE</v>
          </cell>
        </row>
        <row r="42">
          <cell r="A42">
            <v>237</v>
          </cell>
          <cell r="B42">
            <v>4</v>
          </cell>
          <cell r="C42" t="str">
            <v>BOSA</v>
          </cell>
          <cell r="D42" t="str">
            <v>PRIVADO</v>
          </cell>
          <cell r="E42" t="str">
            <v>Educación de Jóvenes y Adultos</v>
          </cell>
          <cell r="F42" t="str">
            <v>FUNDACION_HUMANISTA_ERASMO_DE_ROTTERDAM</v>
          </cell>
          <cell r="G42" t="str">
            <v>FUNDACION HUMANISTA ERASMO DE ROTTERDAM</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JULIÁN FELIPE BERNAL GARZÓN</v>
          </cell>
          <cell r="L42" t="str">
            <v>ANA ANDREA VARGAS GONZÁLEZ</v>
          </cell>
          <cell r="M42">
            <v>45743</v>
          </cell>
          <cell r="N42">
            <v>45743</v>
          </cell>
          <cell r="O42">
            <v>45743</v>
          </cell>
          <cell r="P42" t="str">
            <v>Visitas de evaluación con fines de mejoramiento</v>
          </cell>
          <cell r="Q42" t="str">
            <v>27MAR2025_Fundacion Humanista Erasmo de Rotterdam - OneDrive</v>
          </cell>
          <cell r="R42" t="str">
            <v>La constitución del Gobierno Escolar y sus órganos de participación, se encuentra conforme a la Normativa Vigente</v>
          </cell>
          <cell r="S42" t="str">
            <v>Continuar operando conforme funciones y reglamentos.</v>
          </cell>
          <cell r="T42" t="str">
            <v>No</v>
          </cell>
          <cell r="U42" t="str">
            <v>Verificar la conformación del Gobierno Escolar e instancias para la vigencia 2026 o antes si la IE lo requiere o se presenta solicitud o queja.</v>
          </cell>
        </row>
        <row r="43">
          <cell r="A43">
            <v>238</v>
          </cell>
          <cell r="B43">
            <v>4</v>
          </cell>
          <cell r="C43" t="str">
            <v>BOSA</v>
          </cell>
          <cell r="D43" t="str">
            <v>PRIVADO</v>
          </cell>
          <cell r="E43" t="str">
            <v>Educación de Jóvenes y Adultos</v>
          </cell>
          <cell r="F43" t="str">
            <v>FUNDACION_HUMANISTA_ERASMO_DE_ROTTERDAM</v>
          </cell>
          <cell r="G43" t="str">
            <v>FUNDACION HUMANISTA ERASMO DE ROTTERDAM</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JULIÁN FELIPE BERNAL GARZÓN</v>
          </cell>
          <cell r="L43" t="str">
            <v>ANA ANDREA VARGAS GONZÁLEZ</v>
          </cell>
          <cell r="M43">
            <v>45743</v>
          </cell>
          <cell r="N43">
            <v>45743</v>
          </cell>
          <cell r="O43">
            <v>45743</v>
          </cell>
          <cell r="P43" t="str">
            <v>Visitas de evaluación con fines de mejoramiento</v>
          </cell>
          <cell r="Q43" t="str">
            <v>27MAR2025_Fundacion Humanista Erasmo de Rotterdam - OneDrive</v>
          </cell>
          <cell r="R43" t="str">
            <v>Se realiza un recorrido en las instalaciones de la IE y se evidencia la información consignada en la Plataforma EVI coincide con lo verificado en campo. La Institución Educativa se encuentra en Régimen Controlado por las respuestas brindadas en la Autoevaluación en la Pregunta 13 y en la Pregunta 14. El Plan de Gestión del Riesgo y Cambio Climático no se encuentra actualizado y se debe subir la información a la plataforma SURE</v>
          </cell>
          <cell r="S43" t="str">
            <v>Se recomienda actualizar el mobiliario más antiguo y verificar la sufifiencia de las instalaciones</v>
          </cell>
          <cell r="T43" t="str">
            <v>Si</v>
          </cell>
          <cell r="U43" t="str">
            <v>Se adelantará una visita administrativa para verificar la pertinencia de las instalaciones en la garantía de la prestación del servicio educativo</v>
          </cell>
        </row>
        <row r="44">
          <cell r="A44">
            <v>239</v>
          </cell>
          <cell r="B44">
            <v>5</v>
          </cell>
          <cell r="C44" t="str">
            <v>BOSA</v>
          </cell>
          <cell r="D44" t="str">
            <v>PRIVADO</v>
          </cell>
          <cell r="E44" t="str">
            <v>EPBM</v>
          </cell>
          <cell r="F44" t="str">
            <v>GIMNASIO_CACERES</v>
          </cell>
          <cell r="G44" t="str">
            <v>GIMNASIO CACERES</v>
          </cell>
          <cell r="H44" t="str">
            <v>Autoevaluación Institucional y Pruebas SABER 11</v>
          </cell>
          <cell r="I44" t="str">
            <v>SEGUIMIENTO_Y_SUPERVISIÓN.</v>
          </cell>
          <cell r="J44" t="str">
            <v>Realizar visitas para verificar la información registrada sobre la autoevaluación institucional en el aplicativo EVI, a los establecimientos de educación formal no oficial.</v>
          </cell>
          <cell r="K44" t="str">
            <v>ESTEFANY PEÑA GARCIA</v>
          </cell>
          <cell r="L44" t="str">
            <v>JULIÁN FELIPE BERNAL GARZÓN</v>
          </cell>
          <cell r="M44">
            <v>45748</v>
          </cell>
          <cell r="N44">
            <v>45748</v>
          </cell>
          <cell r="O44">
            <v>45748</v>
          </cell>
          <cell r="P44" t="str">
            <v>Visitas de evaluación con fines de mejoramiento</v>
          </cell>
          <cell r="Q44" t="str">
            <v>01ABR2025_Gimnasio Caceres - OneDrive</v>
          </cell>
          <cell r="R44" t="str">
            <v>La información consignada en la Plataforma EVI relacionada con los indicadores de: planta física, dotación de espacios y calendario académico coincide con lo verificado en campo</v>
          </cell>
          <cell r="S44" t="str">
            <v xml:space="preserve">Se concluye que la IE realizará su autoevalución institucional en el mes octubre.  </v>
          </cell>
          <cell r="T44" t="str">
            <v>No</v>
          </cell>
          <cell r="U44" t="str">
            <v>Se verificará la información cargada por la IE en el aplicativo EVI de la autoevaluación,  para la emisión del concepto de tarifas 2026</v>
          </cell>
        </row>
        <row r="45">
          <cell r="A45">
            <v>240</v>
          </cell>
          <cell r="B45">
            <v>5</v>
          </cell>
          <cell r="C45" t="str">
            <v>BOSA</v>
          </cell>
          <cell r="D45" t="str">
            <v>PRIVADO</v>
          </cell>
          <cell r="E45" t="str">
            <v>EPBM</v>
          </cell>
          <cell r="F45" t="str">
            <v>GIMNASIO_CACERES</v>
          </cell>
          <cell r="G45" t="str">
            <v>GIMNASIO CACERES</v>
          </cell>
          <cell r="H45" t="str">
            <v>Autoevaluación Institucional y Pruebas SABER 11</v>
          </cell>
          <cell r="I45" t="str">
            <v>SEGUIMIENTO_Y_SUPERVISIÓN.</v>
          </cell>
          <cell r="J45" t="str">
            <v>Proponer estrategias en la formulación, verificar su elaboración y realizar seguimiento semestral al desarrollo de  las acciones establecidas en los planes de mejoramiento por pruebas SABER 11 de los establecimientos de educación formal.</v>
          </cell>
          <cell r="K45" t="str">
            <v>ANA ANDREA VARGAS GONZÁLEZ</v>
          </cell>
          <cell r="L45" t="str">
            <v>JULIÁN FELIPE BERNAL GARZÓN</v>
          </cell>
          <cell r="M45">
            <v>45748</v>
          </cell>
          <cell r="N45">
            <v>45748</v>
          </cell>
          <cell r="O45">
            <v>45748</v>
          </cell>
          <cell r="P45" t="str">
            <v>Visitas de evaluación con fines de seguimiento</v>
          </cell>
          <cell r="Q45" t="str">
            <v>01ABR2025_Gimnasio Caceres - OneDrive</v>
          </cell>
          <cell r="R45" t="str">
            <v>Se adelanta la revisión de los Resultados de las Pruebas Saber 11, encontrando que la IE se encuentra en Categoría A</v>
          </cell>
          <cell r="S45" t="str">
            <v>Se aporta documento que la Institución educativa que compara diferentes vigencias y la mejora anual hasta llegar a la categoría A  en los resultados 2024</v>
          </cell>
          <cell r="T45" t="str">
            <v>No</v>
          </cell>
          <cell r="U45" t="str">
            <v>Se acordó revisar nuevamente el documento en el mes de agosto de 2025 y generar espacios de asesoría, conforme lo requiera la IE</v>
          </cell>
        </row>
        <row r="46">
          <cell r="A46">
            <v>241</v>
          </cell>
          <cell r="B46">
            <v>5</v>
          </cell>
          <cell r="C46" t="str">
            <v>BOSA</v>
          </cell>
          <cell r="D46" t="str">
            <v>PRIVADO</v>
          </cell>
          <cell r="E46" t="str">
            <v>EPBM</v>
          </cell>
          <cell r="F46" t="str">
            <v>GIMNASIO_CACERES</v>
          </cell>
          <cell r="G46" t="str">
            <v>GIMNASIO CACERES</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ANA ANDREA VARGAS GONZÁLEZ</v>
          </cell>
          <cell r="L46" t="str">
            <v>JULIÁN FELIPE BERNAL GARZÓN</v>
          </cell>
          <cell r="M46">
            <v>45748</v>
          </cell>
          <cell r="N46">
            <v>45748</v>
          </cell>
          <cell r="O46">
            <v>45748</v>
          </cell>
          <cell r="P46" t="str">
            <v>Visitas de evaluación con fines de mejoramiento</v>
          </cell>
          <cell r="Q46" t="str">
            <v>01ABR2025_Gimnasio Caceres - OneDrive</v>
          </cell>
          <cell r="R46" t="str">
            <v>Se verifica la implementación de acciones  realizadas para la prevención como lo es la verificación de inhabilidades por delitos sexuales en el sistema de la Policía Nacional.</v>
          </cell>
          <cell r="S46" t="str">
            <v>Como acción de verificación se solicita implementar  la autorización de directivos, docentes y administrativos para las consultas de antecedentes en los sistemas que se requieran al momento de la vinculación</v>
          </cell>
          <cell r="T46" t="str">
            <v>No</v>
          </cell>
          <cell r="U46" t="str">
            <v>Verificar que la IE cuente con las respectivas autorizaciones para las consultas de antedecentes del personal vinculado.</v>
          </cell>
        </row>
        <row r="47">
          <cell r="A47">
            <v>242</v>
          </cell>
          <cell r="B47">
            <v>5</v>
          </cell>
          <cell r="C47" t="str">
            <v>BOSA</v>
          </cell>
          <cell r="D47" t="str">
            <v>PRIVADO</v>
          </cell>
          <cell r="E47" t="str">
            <v>EPBM</v>
          </cell>
          <cell r="F47" t="str">
            <v>GIMNASIO_CACERES</v>
          </cell>
          <cell r="G47" t="str">
            <v>GIMNASIO CACERES</v>
          </cell>
          <cell r="H47" t="str">
            <v>Autoevaluación Institucional y Pruebas SABER 11</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ANA ANDREA VARGAS GONZÁLEZ</v>
          </cell>
          <cell r="L47" t="str">
            <v>JULIÁN FELIPE BERNAL GARZÓN</v>
          </cell>
          <cell r="M47">
            <v>45748</v>
          </cell>
          <cell r="N47">
            <v>45748</v>
          </cell>
          <cell r="O47">
            <v>45748</v>
          </cell>
          <cell r="P47" t="str">
            <v>Visitas de evaluación con fines de mejoramiento</v>
          </cell>
          <cell r="Q47" t="str">
            <v>01ABR2025_Gimnasio Caceres - OneDrive</v>
          </cell>
          <cell r="R47" t="str">
            <v>Al revisar la Plataforma SIMAT, no hay estudiantes marcados en la Plataforma con discapacidad</v>
          </cell>
          <cell r="S47" t="str">
            <v>La Institución Educativa se compromete a remitir el Documento Institucional del Plan Individual de Ajustes Razonables PIAR</v>
          </cell>
          <cell r="T47" t="str">
            <v>No</v>
          </cell>
          <cell r="U47" t="str">
            <v>Verificar la información en SIMAT</v>
          </cell>
        </row>
        <row r="48">
          <cell r="A48">
            <v>243</v>
          </cell>
          <cell r="B48">
            <v>5</v>
          </cell>
          <cell r="C48" t="str">
            <v>BOSA</v>
          </cell>
          <cell r="D48" t="str">
            <v>PRIVADO</v>
          </cell>
          <cell r="E48" t="str">
            <v>EPBM</v>
          </cell>
          <cell r="F48" t="str">
            <v>GIMNASIO_CACERES</v>
          </cell>
          <cell r="G48" t="str">
            <v>GIMNASIO CACERES</v>
          </cell>
          <cell r="H48" t="str">
            <v>Autoevaluación Institucional y Pruebas SABER 11</v>
          </cell>
          <cell r="I48" t="str">
            <v>EVALUACIÓN_CON_FINES_DE_MEJORAMIENTO.</v>
          </cell>
          <cell r="J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8" t="str">
            <v>ANA ANDREA VARGAS GONZÁLEZ</v>
          </cell>
          <cell r="L48" t="str">
            <v>JULIÁN FELIPE BERNAL GARZÓN</v>
          </cell>
          <cell r="M48">
            <v>45748</v>
          </cell>
          <cell r="N48">
            <v>45748</v>
          </cell>
          <cell r="O48">
            <v>45748</v>
          </cell>
          <cell r="P48" t="str">
            <v>Visitas de evaluación con fines de mejoramiento</v>
          </cell>
          <cell r="Q48" t="str">
            <v>01ABR2025_Gimnasio Caceres - OneDrive</v>
          </cell>
          <cell r="R48" t="str">
            <v>El Manual de Convivencia fue construido y adoptado de forma participativa e incluye los componentes generales, los diferentes enfoques y se encuentra conforme a lo establecido en el PEI y la normatividad vigente</v>
          </cell>
          <cell r="S48" t="str">
            <v>Como acción de verificación la Institución Educativa se compromete a remitir la versión actualizada del Manual de Convivencia a la vigencia 2024 -2025</v>
          </cell>
          <cell r="T48" t="str">
            <v>No</v>
          </cell>
          <cell r="U48" t="str">
            <v>Verificar nuevamente el documento en el mes de agosto de 2025 y generar espacios de asesoría, conforme lo requiera la IE</v>
          </cell>
        </row>
        <row r="49">
          <cell r="A49">
            <v>244</v>
          </cell>
          <cell r="B49">
            <v>5</v>
          </cell>
          <cell r="C49" t="str">
            <v>BOSA</v>
          </cell>
          <cell r="D49" t="str">
            <v>PRIVADO</v>
          </cell>
          <cell r="E49" t="str">
            <v>EPBM</v>
          </cell>
          <cell r="F49" t="str">
            <v>GIMNASIO_CACERES</v>
          </cell>
          <cell r="G49" t="str">
            <v>GIMNASIO CACERES</v>
          </cell>
          <cell r="H49" t="str">
            <v>Autoevaluación Institucional y Pruebas SABER 11</v>
          </cell>
          <cell r="I49" t="str">
            <v>EVALUACIÓN_CON_FINES_DE_MEJORAMIENTO.</v>
          </cell>
          <cell r="J49" t="str">
            <v>Revisar la actualización, socialización e implementación del Sistema Institucional de Evaluación de Estudiantes - SIEE, en articulación con la actualización del PEI y la normatividad vigente.</v>
          </cell>
          <cell r="K49" t="str">
            <v>ANA ANDREA VARGAS GONZÁLEZ</v>
          </cell>
          <cell r="L49" t="str">
            <v>JULIÁN FELIPE BERNAL GARZÓN</v>
          </cell>
          <cell r="M49">
            <v>45748</v>
          </cell>
          <cell r="N49">
            <v>45748</v>
          </cell>
          <cell r="O49">
            <v>45748</v>
          </cell>
          <cell r="P49" t="str">
            <v>Visitas de evaluación con fines de mejoramiento</v>
          </cell>
          <cell r="Q49" t="str">
            <v>01ABR2025_Gimnasio Caceres - OneDrive</v>
          </cell>
          <cell r="R49" t="str">
            <v>Se evidencia el Sistema Institucional de Evaluación de Estudiantes - SIEE, actualizado para la vigencia 2025. Fue construido en articulación con el Consejo Directivo y la comunidad educativa desde el año 2019 y se actualiza cada 2 años</v>
          </cell>
          <cell r="S49" t="str">
            <v>Como acción de verificación la Institución Educativa se compromete a remitir la versión actualizada del  Sistema institucional de evaluación de los estudiantes- SIEE</v>
          </cell>
          <cell r="T49" t="str">
            <v>No</v>
          </cell>
          <cell r="U49" t="str">
            <v>Verificar nuevamente el documento en el mes de agosto de 2025 y generar espacios de asesoría, conforme lo requiera la IE</v>
          </cell>
        </row>
        <row r="50">
          <cell r="A50">
            <v>245</v>
          </cell>
          <cell r="B50">
            <v>5</v>
          </cell>
          <cell r="C50" t="str">
            <v>BOSA</v>
          </cell>
          <cell r="D50" t="str">
            <v>PRIVADO</v>
          </cell>
          <cell r="E50" t="str">
            <v>EPBM</v>
          </cell>
          <cell r="F50" t="str">
            <v>GIMNASIO_CACERES</v>
          </cell>
          <cell r="G50" t="str">
            <v>GIMNASIO CACERES</v>
          </cell>
          <cell r="H50" t="str">
            <v>Autoevaluación Institucional y Pruebas SABER 11</v>
          </cell>
          <cell r="I50" t="str">
            <v>EVALUACIÓN_CON_FINES_DE_MEJORAMIENTO.</v>
          </cell>
          <cell r="J50" t="str">
            <v>Revisar el calendario escolar, jornada escolar, la intensidad horaria mínima anual en cada nivel y las modificaciones que se realicen al mismo, de acuerdo con lo previsto en la normatividad vigente.</v>
          </cell>
          <cell r="K50" t="str">
            <v>ANA ANDREA VARGAS GONZÁLEZ</v>
          </cell>
          <cell r="L50" t="str">
            <v>JULIÁN FELIPE BERNAL GARZÓN</v>
          </cell>
          <cell r="M50">
            <v>45748</v>
          </cell>
          <cell r="N50">
            <v>45748</v>
          </cell>
          <cell r="O50">
            <v>45748</v>
          </cell>
          <cell r="P50" t="str">
            <v>Visitas de evaluación con fines de mejoramiento</v>
          </cell>
          <cell r="Q50" t="str">
            <v>01ABR2025_Gimnasio Caceres - OneDrive</v>
          </cell>
          <cell r="R50" t="str">
            <v>El calendario escolar, jornada escolar, la intensidad horaria mínima anual en cada nivel se encuentran conforme lo previsto en la normatividad vigente</v>
          </cell>
          <cell r="S50" t="str">
            <v>Como acción de verificación la Institución Educativa se compromete a remitir la versión actualizada calendario escolar</v>
          </cell>
          <cell r="T50" t="str">
            <v>No</v>
          </cell>
          <cell r="U50" t="str">
            <v>Verificar nuevamente el documento en el mes de agosto de 2025 y generar espacios de asesoría, conforme lo requiera la IE</v>
          </cell>
        </row>
        <row r="51">
          <cell r="A51">
            <v>246</v>
          </cell>
          <cell r="B51">
            <v>5</v>
          </cell>
          <cell r="C51" t="str">
            <v>BOSA</v>
          </cell>
          <cell r="D51" t="str">
            <v>PRIVADO</v>
          </cell>
          <cell r="E51" t="str">
            <v>EPBM</v>
          </cell>
          <cell r="F51" t="str">
            <v>GIMNASIO_CACERES</v>
          </cell>
          <cell r="G51" t="str">
            <v>GIMNASIO CACERES</v>
          </cell>
          <cell r="H51" t="str">
            <v>Autoevaluación Institucional y Pruebas SABER 11</v>
          </cell>
          <cell r="I51" t="str">
            <v>EVALUACIÓN_CON_FINES_DE_MEJORAMIENTO.</v>
          </cell>
          <cell r="J51" t="str">
            <v>Verificar el funcionamiento del Gobierno Escolar e instancias de participación con base en la información sobre conformación reportada por la institución educativa.</v>
          </cell>
          <cell r="K51" t="str">
            <v>ANA ANDREA VARGAS GONZÁLEZ</v>
          </cell>
          <cell r="L51" t="str">
            <v>JULIÁN FELIPE BERNAL GARZÓN</v>
          </cell>
          <cell r="M51">
            <v>45748</v>
          </cell>
          <cell r="N51">
            <v>45748</v>
          </cell>
          <cell r="O51">
            <v>45748</v>
          </cell>
          <cell r="P51" t="str">
            <v>Visitas de evaluación con fines de mejoramiento</v>
          </cell>
          <cell r="Q51" t="str">
            <v>01ABR2025_Gimnasio Caceres - OneDrive</v>
          </cell>
          <cell r="R51" t="str">
            <v>La constitución del Gobierno Escolar y sus órganos de participación, se encuentra conforme a la Normativa Vigente</v>
          </cell>
          <cell r="S51" t="str">
            <v>Continuar operando conforme funciones y reglamentos.</v>
          </cell>
          <cell r="T51" t="str">
            <v>No</v>
          </cell>
          <cell r="U51" t="str">
            <v>Verificar la conformación del Gobierno Escolar e instancias para la vigencia 2026 o antes si la IE lo requiere o se presenta solicitud o queja.</v>
          </cell>
        </row>
        <row r="52">
          <cell r="A52">
            <v>247</v>
          </cell>
          <cell r="B52">
            <v>5</v>
          </cell>
          <cell r="C52" t="str">
            <v>BOSA</v>
          </cell>
          <cell r="D52" t="str">
            <v>PRIVADO</v>
          </cell>
          <cell r="E52" t="str">
            <v>EPBM</v>
          </cell>
          <cell r="F52" t="str">
            <v>GIMNASIO_CACERES</v>
          </cell>
          <cell r="G52" t="str">
            <v>GIMNASIO CACERES</v>
          </cell>
          <cell r="H52" t="str">
            <v>Autoevaluación Institucional y Pruebas SABER 11</v>
          </cell>
          <cell r="I52" t="str">
            <v>EVALUACIÓN_CON_FINES_DE_MEJORAMIENTO.</v>
          </cell>
          <cell r="J52" t="str">
            <v>Verificar las condiciones en cuanto a: la estructura administrativa, condiciones de la planta física y medios educativos adecuados.</v>
          </cell>
          <cell r="K52" t="str">
            <v>ANA ANDREA VARGAS GONZÁLEZ</v>
          </cell>
          <cell r="L52" t="str">
            <v>JULIÁN FELIPE BERNAL GARZÓN</v>
          </cell>
          <cell r="M52">
            <v>45748</v>
          </cell>
          <cell r="N52">
            <v>45748</v>
          </cell>
          <cell r="O52">
            <v>45748</v>
          </cell>
          <cell r="P52" t="str">
            <v>Visitas de evaluación con fines de mejoramiento</v>
          </cell>
          <cell r="Q52" t="str">
            <v>01ABR2025_Gimnasio Caceres - OneDrive</v>
          </cell>
          <cell r="R52" t="str">
            <v>Se realiza un recorrido en las instalaciones de la IE, verificando las condiciones en cuanto a: la estructura administrativa, condiciones de la planta física y medios educativos adecuados.</v>
          </cell>
          <cell r="S52" t="str">
            <v>Las condiciones de la planta física son adecuadas y se recomienda actualizar el mobiliario más antiguo</v>
          </cell>
          <cell r="T52" t="str">
            <v>No</v>
          </cell>
          <cell r="U52" t="str">
            <v>Las condiciones de la planta física garantizan la adecuada prestación del servicio educativo</v>
          </cell>
        </row>
        <row r="53">
          <cell r="A53">
            <v>248</v>
          </cell>
          <cell r="B53">
            <v>6</v>
          </cell>
          <cell r="C53" t="str">
            <v>BOSA</v>
          </cell>
          <cell r="D53" t="str">
            <v>PRIVADO</v>
          </cell>
          <cell r="E53" t="str">
            <v>EPBM</v>
          </cell>
          <cell r="F53" t="str">
            <v>INSTITUTO_ACADEMICO_LA_PORTADA</v>
          </cell>
          <cell r="G53" t="str">
            <v>INSTITUTO ACADEMICO LA PORTADA</v>
          </cell>
          <cell r="H53" t="str">
            <v>Autoevaluación Institucional y Pruebas SABER 11</v>
          </cell>
          <cell r="I53" t="str">
            <v>SEGUIMIENTO_Y_SUPERVISIÓN.</v>
          </cell>
          <cell r="J53" t="str">
            <v>Realizar visitas para verificar la información registrada sobre la autoevaluación institucional en el aplicativo EVI, a los establecimientos de educación formal no oficial.</v>
          </cell>
          <cell r="K53" t="str">
            <v>JOSE YECID PAJOY CASTRO</v>
          </cell>
          <cell r="L53" t="str">
            <v>JOSÉ ANTONIO PÁEZ FETECUA</v>
          </cell>
          <cell r="M53">
            <v>45750</v>
          </cell>
          <cell r="N53">
            <v>45750</v>
          </cell>
          <cell r="O53">
            <v>45750</v>
          </cell>
          <cell r="P53" t="str">
            <v>Visitas de evaluación con fines de mejoramiento</v>
          </cell>
          <cell r="Q53" t="str">
            <v>03ARB2025_Instituto Académico La Portada - OneDrive</v>
          </cell>
          <cell r="R53" t="str">
            <v>La información consignada en la Plataforma EVI relacionada con los indicadores de: planta física, dotación de espacios y calendario académico coincide con lo verificado en campo</v>
          </cell>
          <cell r="S53" t="str">
            <v xml:space="preserve">Se concluye que la IE realizará su autoevalución institucional en el mes octubre.  </v>
          </cell>
          <cell r="T53" t="str">
            <v>No</v>
          </cell>
          <cell r="U53" t="str">
            <v>Se verificará la información cargada por la IE en el aplicativo EVI de la autoevaluación,  para la emisión del concepto de tarifas 2026</v>
          </cell>
        </row>
        <row r="54">
          <cell r="A54">
            <v>249</v>
          </cell>
          <cell r="B54">
            <v>6</v>
          </cell>
          <cell r="C54" t="str">
            <v>BOSA</v>
          </cell>
          <cell r="D54" t="str">
            <v>PRIVADO</v>
          </cell>
          <cell r="E54" t="str">
            <v>EPBM</v>
          </cell>
          <cell r="F54" t="str">
            <v>INSTITUTO_ACADEMICO_LA_PORTADA</v>
          </cell>
          <cell r="G54" t="str">
            <v>INSTITUTO ACADEMICO LA PORTADA</v>
          </cell>
          <cell r="H54" t="str">
            <v>Autoevaluación Institucional y Pruebas SABER 11</v>
          </cell>
          <cell r="I54" t="str">
            <v>SEGUIMIENTO_Y_SUPERVISIÓN.</v>
          </cell>
          <cell r="J54" t="str">
            <v>Proponer estrategias en la formulación, verificar su elaboración y realizar seguimiento semestral al desarrollo de  las acciones establecidas en los planes de mejoramiento por pruebas SABER 11 de los establecimientos de educación formal.</v>
          </cell>
          <cell r="K54" t="str">
            <v>JOSE YECID PAJOY CASTRO</v>
          </cell>
          <cell r="L54" t="str">
            <v>JOSÉ ANTONIO PÁEZ FETECUA</v>
          </cell>
          <cell r="M54">
            <v>45750</v>
          </cell>
          <cell r="N54">
            <v>45750</v>
          </cell>
          <cell r="O54">
            <v>45750</v>
          </cell>
          <cell r="P54" t="str">
            <v>Visitas de evaluación con fines de seguimiento</v>
          </cell>
          <cell r="Q54" t="str">
            <v>03ARB2025_Instituto Académico La Portada - OneDrive</v>
          </cell>
          <cell r="R54" t="str">
            <v>Se adelanta la revisión de los Resultados de las Pruebas Saber 11, encontrando que la IE se encuentra en Categoría B</v>
          </cell>
          <cell r="S54" t="str">
            <v>La Institución Educativa se compromete a incluir en sus próximos análisis, los resultados de las pruebas saber anteriores, asi como una evaluación global de los mismos.</v>
          </cell>
          <cell r="T54" t="str">
            <v>No</v>
          </cell>
          <cell r="U54" t="str">
            <v>Se acordó revisar nuevamente el documento en el mes de agosto de 2025 y generar espacios de asesoría, conforme lo requiera la IE</v>
          </cell>
        </row>
        <row r="55">
          <cell r="A55">
            <v>250</v>
          </cell>
          <cell r="B55">
            <v>6</v>
          </cell>
          <cell r="C55" t="str">
            <v>BOSA</v>
          </cell>
          <cell r="D55" t="str">
            <v>PRIVADO</v>
          </cell>
          <cell r="E55" t="str">
            <v>EPBM</v>
          </cell>
          <cell r="F55" t="str">
            <v>INSTITUTO_ACADEMICO_LA_PORTADA</v>
          </cell>
          <cell r="G55" t="str">
            <v>INSTITUTO ACADEMICO LA PORTADA</v>
          </cell>
          <cell r="H55" t="str">
            <v>Autoevaluación Institucional y Pruebas SABER 11</v>
          </cell>
          <cell r="I55" t="str">
            <v>SEGUIMIENTO_Y_SUPERVISIÓN.</v>
          </cell>
          <cell r="J55" t="str">
            <v xml:space="preserve">Verificar la implementación por parte de los colegios, de acciones realizadas para la prevención y atención de las situaciones de convivencia en el entorno escolar, según lo establecido en la Directiva 01 de 2022 del MEN. </v>
          </cell>
          <cell r="K55" t="str">
            <v>JOSE YECID PAJOY CASTRO</v>
          </cell>
          <cell r="L55" t="str">
            <v>JOSÉ ANTONIO PÁEZ FETECUA</v>
          </cell>
          <cell r="M55">
            <v>45750</v>
          </cell>
          <cell r="N55">
            <v>45750</v>
          </cell>
          <cell r="O55">
            <v>45750</v>
          </cell>
          <cell r="P55" t="str">
            <v>Visitas de evaluación con fines de mejoramiento</v>
          </cell>
          <cell r="Q55" t="str">
            <v>03ARB2025_Instituto Académico La Portada - OneDrive</v>
          </cell>
          <cell r="R55" t="str">
            <v>Se verifica la implementación de acciones  realizadas para la prevención como lo es la verificación de inhabilidades por delitos sexuales en el sistema de la Policía Nacional.</v>
          </cell>
          <cell r="S55" t="str">
            <v>Como acción de verificación se solicita implementar  la autorización de directivos, docentes y administrativos para las consultas de antecedentes en los sistemas que se requieran al momento de la vinculación</v>
          </cell>
          <cell r="T55" t="str">
            <v>No</v>
          </cell>
          <cell r="U55" t="str">
            <v>Verificar que la IE cuente con las respectivas autorizaciones para las consultas de antedecentes del personal vinculado.</v>
          </cell>
        </row>
        <row r="56">
          <cell r="A56">
            <v>251</v>
          </cell>
          <cell r="B56">
            <v>6</v>
          </cell>
          <cell r="C56" t="str">
            <v>BOSA</v>
          </cell>
          <cell r="D56" t="str">
            <v>PRIVADO</v>
          </cell>
          <cell r="E56" t="str">
            <v>EPBM</v>
          </cell>
          <cell r="F56" t="str">
            <v>INSTITUTO_ACADEMICO_LA_PORTADA</v>
          </cell>
          <cell r="G56" t="str">
            <v>INSTITUTO ACADEMICO LA PORTADA</v>
          </cell>
          <cell r="H56" t="str">
            <v>Autoevaluación Institucional y Pruebas SABER 11</v>
          </cell>
          <cell r="I56" t="str">
            <v>SEGUIMIENTO_Y_SUPERVISIÓN.</v>
          </cell>
          <cell r="J5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6" t="str">
            <v>JOSE YECID PAJOY CASTRO</v>
          </cell>
          <cell r="L56" t="str">
            <v>JOSÉ ANTONIO PÁEZ FETECUA</v>
          </cell>
          <cell r="M56">
            <v>45750</v>
          </cell>
          <cell r="N56">
            <v>45750</v>
          </cell>
          <cell r="O56">
            <v>45750</v>
          </cell>
          <cell r="P56" t="str">
            <v>Visitas de evaluación con fines de mejoramiento</v>
          </cell>
          <cell r="Q56" t="str">
            <v>03ARB2025_Instituto Académico La Portada - OneDrive</v>
          </cell>
          <cell r="R56" t="str">
            <v>Al revisar la Plataforma SIMAT, hay 09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56" t="str">
            <v>La Institución Educativa se compromete a remitir el Documento Institucional del Plan Individual de Ajustes Razonables PIAR</v>
          </cell>
          <cell r="T56" t="str">
            <v>No</v>
          </cell>
          <cell r="U56" t="str">
            <v>Verificar la información en SIMAT</v>
          </cell>
        </row>
        <row r="57">
          <cell r="A57">
            <v>252</v>
          </cell>
          <cell r="B57">
            <v>6</v>
          </cell>
          <cell r="C57" t="str">
            <v>BOSA</v>
          </cell>
          <cell r="D57" t="str">
            <v>PRIVADO</v>
          </cell>
          <cell r="E57" t="str">
            <v>EPBM</v>
          </cell>
          <cell r="F57" t="str">
            <v>INSTITUTO_ACADEMICO_LA_PORTADA</v>
          </cell>
          <cell r="G57" t="str">
            <v>INSTITUTO ACADEMICO LA PORTADA</v>
          </cell>
          <cell r="H57" t="str">
            <v>Autoevaluación Institucional y Pruebas SABER 11</v>
          </cell>
          <cell r="I57" t="str">
            <v>EVALUACIÓN_CON_FINES_DE_MEJORAMIENTO.</v>
          </cell>
          <cell r="J5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7" t="str">
            <v>JOSE YECID PAJOY CASTRO</v>
          </cell>
          <cell r="L57" t="str">
            <v>JOSÉ ANTONIO PÁEZ FETECUA</v>
          </cell>
          <cell r="M57">
            <v>45750</v>
          </cell>
          <cell r="N57">
            <v>45750</v>
          </cell>
          <cell r="O57">
            <v>45750</v>
          </cell>
          <cell r="P57" t="str">
            <v>Visitas de evaluación con fines de mejoramiento</v>
          </cell>
          <cell r="Q57" t="str">
            <v>03ARB2025_Instituto Académico La Portada - OneDrive</v>
          </cell>
          <cell r="R57" t="str">
            <v>El Manual de Convivencia fue construido y adoptado de forma participativa e incluye los componentes generales, los diferentes enfoques y se encuentra conforme a lo establecido en el PEI y la normatividad vigente</v>
          </cell>
          <cell r="S57" t="str">
            <v>Como acción de verificación la Institución Educativa se compromete a remitir la versión actualizada del Manual de Convivencia a la vigencia 2024 -2025</v>
          </cell>
          <cell r="T57" t="str">
            <v>No</v>
          </cell>
          <cell r="U57" t="str">
            <v>Verificar nuevamente el documento en el mes de agosto de 2025 y generar espacios de asesoría, conforme lo requiera la IE</v>
          </cell>
        </row>
        <row r="58">
          <cell r="A58">
            <v>253</v>
          </cell>
          <cell r="B58">
            <v>6</v>
          </cell>
          <cell r="C58" t="str">
            <v>BOSA</v>
          </cell>
          <cell r="D58" t="str">
            <v>PRIVADO</v>
          </cell>
          <cell r="E58" t="str">
            <v>EPBM</v>
          </cell>
          <cell r="F58" t="str">
            <v>INSTITUTO_ACADEMICO_LA_PORTADA</v>
          </cell>
          <cell r="G58" t="str">
            <v>INSTITUTO ACADEMICO LA PORTADA</v>
          </cell>
          <cell r="H58" t="str">
            <v>Autoevaluación Institucional y Pruebas SABER 11</v>
          </cell>
          <cell r="I58" t="str">
            <v>EVALUACIÓN_CON_FINES_DE_MEJORAMIENTO.</v>
          </cell>
          <cell r="J58" t="str">
            <v>Revisar la actualización, socialización e implementación del Sistema Institucional de Evaluación de Estudiantes - SIEE, en articulación con la actualización del PEI y la normatividad vigente.</v>
          </cell>
          <cell r="K58" t="str">
            <v>JOSE YECID PAJOY CASTRO</v>
          </cell>
          <cell r="L58" t="str">
            <v>JOSÉ ANTONIO PÁEZ FETECUA</v>
          </cell>
          <cell r="M58">
            <v>45750</v>
          </cell>
          <cell r="N58">
            <v>45750</v>
          </cell>
          <cell r="O58">
            <v>45750</v>
          </cell>
          <cell r="P58" t="str">
            <v>Visitas de evaluación con fines de mejoramiento</v>
          </cell>
          <cell r="Q58" t="str">
            <v>03ARB2025_Instituto Académico La Portada - OneDrive</v>
          </cell>
          <cell r="R58" t="str">
            <v>Se evidencia el Sistema Institucional de Evaluación de Estudiantes - SIEE, actualizado para la vigencia 2025. Fue construido en articulación con el Consejo Directivo y la comunidad educativa desde el año 2019 y se actualiza cada 2 años</v>
          </cell>
          <cell r="S58" t="str">
            <v>Como acción de verificación la Institución Educativa se compromete a remitir la versión actualizada del  Sistema institucional de evaluación de los estudiantes- SIEE</v>
          </cell>
          <cell r="T58" t="str">
            <v>No</v>
          </cell>
          <cell r="U58" t="str">
            <v>Verificar nuevamente el documento en el mes de agosto de 2025 y generar espacios de asesoría, conforme lo requiera la IE</v>
          </cell>
        </row>
        <row r="59">
          <cell r="A59">
            <v>254</v>
          </cell>
          <cell r="B59">
            <v>6</v>
          </cell>
          <cell r="C59" t="str">
            <v>BOSA</v>
          </cell>
          <cell r="D59" t="str">
            <v>PRIVADO</v>
          </cell>
          <cell r="E59" t="str">
            <v>EPBM</v>
          </cell>
          <cell r="F59" t="str">
            <v>INSTITUTO_ACADEMICO_LA_PORTADA</v>
          </cell>
          <cell r="G59" t="str">
            <v>INSTITUTO ACADEMICO LA PORTADA</v>
          </cell>
          <cell r="H59" t="str">
            <v>Autoevaluación Institucional y Pruebas SABER 11</v>
          </cell>
          <cell r="I59" t="str">
            <v>EVALUACIÓN_CON_FINES_DE_MEJORAMIENTO.</v>
          </cell>
          <cell r="J59" t="str">
            <v>Revisar el calendario escolar, jornada escolar, la intensidad horaria mínima anual en cada nivel y las modificaciones que se realicen al mismo, de acuerdo con lo previsto en la normatividad vigente.</v>
          </cell>
          <cell r="K59" t="str">
            <v>JOSE YECID PAJOY CASTRO</v>
          </cell>
          <cell r="L59" t="str">
            <v>JOSÉ ANTONIO PÁEZ FETECUA</v>
          </cell>
          <cell r="M59">
            <v>45750</v>
          </cell>
          <cell r="N59">
            <v>45750</v>
          </cell>
          <cell r="O59">
            <v>45750</v>
          </cell>
          <cell r="P59" t="str">
            <v>Visitas de evaluación con fines de mejoramiento</v>
          </cell>
          <cell r="Q59" t="str">
            <v>03ARB2025_Instituto Académico La Portada - OneDrive</v>
          </cell>
          <cell r="R59" t="str">
            <v>El calendario escolar, jornada escolar, la intensidad horaria mínima anual en cada nivel se encuentran conforme lo previsto en la normatividad vigente</v>
          </cell>
          <cell r="S59" t="str">
            <v>Como acción de verificación la Institución Educativa se compromete a remitir la versión actualizada calendario escolar</v>
          </cell>
          <cell r="T59" t="str">
            <v>No</v>
          </cell>
          <cell r="U59" t="str">
            <v>Verificar nuevamente el documento en el mes de agosto de 2025 y generar espacios de asesoría, conforme lo requiera la IE</v>
          </cell>
        </row>
        <row r="60">
          <cell r="A60">
            <v>255</v>
          </cell>
          <cell r="B60">
            <v>6</v>
          </cell>
          <cell r="C60" t="str">
            <v>BOSA</v>
          </cell>
          <cell r="D60" t="str">
            <v>PRIVADO</v>
          </cell>
          <cell r="E60" t="str">
            <v>EPBM</v>
          </cell>
          <cell r="F60" t="str">
            <v>INSTITUTO_ACADEMICO_LA_PORTADA</v>
          </cell>
          <cell r="G60" t="str">
            <v>INSTITUTO ACADEMICO LA PORTADA</v>
          </cell>
          <cell r="H60" t="str">
            <v>Autoevaluación Institucional y Pruebas SABER 11</v>
          </cell>
          <cell r="I60" t="str">
            <v>EVALUACIÓN_CON_FINES_DE_MEJORAMIENTO.</v>
          </cell>
          <cell r="J60" t="str">
            <v>Verificar el funcionamiento del Gobierno Escolar e instancias de participación con base en la información sobre conformación reportada por la institución educativa.</v>
          </cell>
          <cell r="K60" t="str">
            <v>JOSE YECID PAJOY CASTRO</v>
          </cell>
          <cell r="L60" t="str">
            <v>JOSÉ ANTONIO PÁEZ FETECUA</v>
          </cell>
          <cell r="M60">
            <v>45750</v>
          </cell>
          <cell r="N60">
            <v>45750</v>
          </cell>
          <cell r="O60">
            <v>45750</v>
          </cell>
          <cell r="P60" t="str">
            <v>Visitas de evaluación con fines de mejoramiento</v>
          </cell>
          <cell r="Q60" t="str">
            <v>03ARB2025_Instituto Académico La Portada - OneDrive</v>
          </cell>
          <cell r="R60" t="str">
            <v>La constitución del Gobierno Escolar y sus órganos de participación, se encuentra conforme a la Normativa Vigente</v>
          </cell>
          <cell r="S60" t="str">
            <v>Continuar operando conforme funciones y reglamentos.</v>
          </cell>
          <cell r="T60" t="str">
            <v>No</v>
          </cell>
          <cell r="U60" t="str">
            <v>Verificar la conformación del Gobierno Escolar e instancias para la vigencia 2026 o antes si la IE lo requiere o se presenta solicitud o queja.</v>
          </cell>
        </row>
        <row r="61">
          <cell r="A61">
            <v>256</v>
          </cell>
          <cell r="B61">
            <v>6</v>
          </cell>
          <cell r="C61" t="str">
            <v>BOSA</v>
          </cell>
          <cell r="D61" t="str">
            <v>PRIVADO</v>
          </cell>
          <cell r="E61" t="str">
            <v>EPBM</v>
          </cell>
          <cell r="F61" t="str">
            <v>INSTITUTO_ACADEMICO_LA_PORTADA</v>
          </cell>
          <cell r="G61" t="str">
            <v>INSTITUTO ACADEMICO LA PORTADA</v>
          </cell>
          <cell r="H61" t="str">
            <v>Autoevaluación Institucional y Pruebas SABER 11</v>
          </cell>
          <cell r="I61" t="str">
            <v>EVALUACIÓN_CON_FINES_DE_MEJORAMIENTO.</v>
          </cell>
          <cell r="J61" t="str">
            <v>Verificar las condiciones en cuanto a: la estructura administrativa, condiciones de la planta física y medios educativos adecuados.</v>
          </cell>
          <cell r="K61" t="str">
            <v>JOSE YECID PAJOY CASTRO</v>
          </cell>
          <cell r="L61" t="str">
            <v>JOSÉ ANTONIO PÁEZ FETECUA</v>
          </cell>
          <cell r="M61">
            <v>45750</v>
          </cell>
          <cell r="N61">
            <v>45750</v>
          </cell>
          <cell r="O61">
            <v>45750</v>
          </cell>
          <cell r="P61" t="str">
            <v>Visitas de evaluación con fines de mejoramiento</v>
          </cell>
          <cell r="Q61" t="str">
            <v>03ARB2025_Instituto Académico La Portada - OneDrive</v>
          </cell>
          <cell r="R61" t="str">
            <v>Se realiza un recorrido en las instalaciones de la IE, verificando las condiciones en cuanto a: la estructura administrativa, condiciones de la planta física y medios educativos adecuados.</v>
          </cell>
          <cell r="S61" t="str">
            <v>Las condiciones de la planta física son adecuadas y se recomienda actualizar el mobiliario más antiguo</v>
          </cell>
          <cell r="T61" t="str">
            <v>No</v>
          </cell>
          <cell r="U61" t="str">
            <v>Las condiciones de la planta física garantizan la adecuada prestación del servicio educativo</v>
          </cell>
        </row>
        <row r="62">
          <cell r="A62">
            <v>257</v>
          </cell>
          <cell r="B62">
            <v>7</v>
          </cell>
          <cell r="C62" t="str">
            <v>BOSA</v>
          </cell>
          <cell r="D62" t="str">
            <v>PRIVADO</v>
          </cell>
          <cell r="E62" t="str">
            <v>EPBM</v>
          </cell>
          <cell r="F62" t="str">
            <v>INSTITUTO_ALVARO_MUTIS</v>
          </cell>
          <cell r="G62" t="str">
            <v>INSTITUTO ALVARO MUTIS</v>
          </cell>
          <cell r="H62" t="str">
            <v>Autoevaluación Institucional y Pruebas SABER 11</v>
          </cell>
          <cell r="I62" t="str">
            <v>SEGUIMIENTO_Y_SUPERVISIÓN.</v>
          </cell>
          <cell r="J62" t="str">
            <v>Realizar visitas para verificar la información registrada sobre la autoevaluación institucional en el aplicativo EVI, a los establecimientos de educación formal no oficial.</v>
          </cell>
          <cell r="K62" t="str">
            <v>JOSÉ ANTONIO PÁEZ FETECUA</v>
          </cell>
          <cell r="L62" t="str">
            <v>JULIÁN FELIPE BERNAL GARZÓN</v>
          </cell>
          <cell r="M62">
            <v>45755</v>
          </cell>
          <cell r="N62">
            <v>45755</v>
          </cell>
          <cell r="O62">
            <v>45755</v>
          </cell>
          <cell r="P62" t="str">
            <v>Visitas de evaluación con fines de mejoramiento</v>
          </cell>
          <cell r="Q62" t="str">
            <v>08ABR2025_Instituto Alvaro Mutis - OneDrive</v>
          </cell>
          <cell r="R62" t="str">
            <v>La información consignada en la Plataforma EVI relacionada con los indicadores de: planta física, dotación de espacios y calendario académico coincide con lo verificado en campo</v>
          </cell>
          <cell r="S62" t="str">
            <v xml:space="preserve">Se concluye que la IE realizará su autoevalución institucional en el mes octubre.  </v>
          </cell>
          <cell r="T62" t="str">
            <v>No</v>
          </cell>
          <cell r="U62" t="str">
            <v>Se verificará la información cargada por la IE en el aplicativo EVI de la autoevaluación,  para la emisión del concepto de tarifas 2026</v>
          </cell>
        </row>
        <row r="63">
          <cell r="A63">
            <v>258</v>
          </cell>
          <cell r="B63">
            <v>7</v>
          </cell>
          <cell r="C63" t="str">
            <v>BOSA</v>
          </cell>
          <cell r="D63" t="str">
            <v>PRIVADO</v>
          </cell>
          <cell r="E63" t="str">
            <v>EPBM</v>
          </cell>
          <cell r="F63" t="str">
            <v>INSTITUTO_ALVARO_MUTIS</v>
          </cell>
          <cell r="G63" t="str">
            <v>INSTITUTO ALVARO MUTIS</v>
          </cell>
          <cell r="H63" t="str">
            <v>Autoevaluación Institucional y Pruebas SABER 11</v>
          </cell>
          <cell r="I63" t="str">
            <v>SEGUIMIENTO_Y_SUPERVISIÓN.</v>
          </cell>
          <cell r="J63" t="str">
            <v>Proponer estrategias en la formulación, verificar su elaboración y realizar seguimiento semestral al desarrollo de  las acciones establecidas en los planes de mejoramiento por pruebas SABER 11 de los establecimientos de educación formal.</v>
          </cell>
          <cell r="K63" t="str">
            <v>JOSÉ ANTONIO PÁEZ FETECUA</v>
          </cell>
          <cell r="L63" t="str">
            <v>JULIÁN FELIPE BERNAL GARZÓN</v>
          </cell>
          <cell r="M63">
            <v>45755</v>
          </cell>
          <cell r="N63">
            <v>45755</v>
          </cell>
          <cell r="O63">
            <v>45755</v>
          </cell>
          <cell r="P63" t="str">
            <v>Visitas de evaluación con fines de seguimiento</v>
          </cell>
          <cell r="Q63" t="str">
            <v>08ABR2025_Instituto Alvaro Mutis - OneDrive</v>
          </cell>
          <cell r="R63" t="str">
            <v>Se adelanta la revisión de los Resultados de las Pruebas Saber 11, encontrando que la IE se encuentra en Categoría A</v>
          </cell>
          <cell r="S63" t="str">
            <v>Se aporta documento que la Institución educativa que compara diferentes vigencias y la mejora anual hasta llegar a la categoría A  en los resultados 2024</v>
          </cell>
          <cell r="T63" t="str">
            <v>No</v>
          </cell>
          <cell r="U63" t="str">
            <v>Se acordó revisar nuevamente el documento en el mes de agosto de 2025 y generar espacios de asesoría, conforme lo requiera la IE</v>
          </cell>
        </row>
        <row r="64">
          <cell r="A64">
            <v>259</v>
          </cell>
          <cell r="B64">
            <v>7</v>
          </cell>
          <cell r="C64" t="str">
            <v>BOSA</v>
          </cell>
          <cell r="D64" t="str">
            <v>PRIVADO</v>
          </cell>
          <cell r="E64" t="str">
            <v>EPBM</v>
          </cell>
          <cell r="F64" t="str">
            <v>INSTITUTO_ALVARO_MUTIS</v>
          </cell>
          <cell r="G64" t="str">
            <v>INSTITUTO ALVARO MUTIS</v>
          </cell>
          <cell r="H64" t="str">
            <v>Autoevaluación Institucional y Pruebas SABER 11</v>
          </cell>
          <cell r="I64" t="str">
            <v>SEGUIMIENTO_Y_SUPERVISIÓN.</v>
          </cell>
          <cell r="J64" t="str">
            <v xml:space="preserve">Verificar la implementación por parte de los colegios, de acciones realizadas para la prevención y atención de las situaciones de convivencia en el entorno escolar, según lo establecido en la Directiva 01 de 2022 del MEN. </v>
          </cell>
          <cell r="K64" t="str">
            <v>JOSÉ ANTONIO PÁEZ FETECUA</v>
          </cell>
          <cell r="L64" t="str">
            <v>JULIÁN FELIPE BERNAL GARZÓN</v>
          </cell>
          <cell r="M64">
            <v>45755</v>
          </cell>
          <cell r="N64">
            <v>45755</v>
          </cell>
          <cell r="O64">
            <v>45755</v>
          </cell>
          <cell r="P64" t="str">
            <v>Visitas de evaluación con fines de mejoramiento</v>
          </cell>
          <cell r="Q64" t="str">
            <v>08ABR2025_Instituto Alvaro Mutis - OneDrive</v>
          </cell>
          <cell r="R64" t="str">
            <v>Se verifica la implementación de acciones  realizadas para la prevención como lo es la verificación de inhabilidades por delitos sexuales en el sistema de la Policía Nacional.</v>
          </cell>
          <cell r="S64" t="str">
            <v>Como acción de verificación se solicita implementar  la autorización de directivos, docentes y administrativos para las consultas de antecedentes en los sistemas que se requieran al momento de la vinculación</v>
          </cell>
          <cell r="T64" t="str">
            <v>No</v>
          </cell>
          <cell r="U64" t="str">
            <v>Verificar que la IE cuente con las respectivas autorizaciones para las consultas de antedecentes del personal vinculado.</v>
          </cell>
        </row>
        <row r="65">
          <cell r="A65">
            <v>260</v>
          </cell>
          <cell r="B65">
            <v>7</v>
          </cell>
          <cell r="C65" t="str">
            <v>BOSA</v>
          </cell>
          <cell r="D65" t="str">
            <v>PRIVADO</v>
          </cell>
          <cell r="E65" t="str">
            <v>EPBM</v>
          </cell>
          <cell r="F65" t="str">
            <v>INSTITUTO_ALVARO_MUTIS</v>
          </cell>
          <cell r="G65" t="str">
            <v>INSTITUTO ALVARO MUTIS</v>
          </cell>
          <cell r="H65" t="str">
            <v>Autoevaluación Institucional y Pruebas SABER 11</v>
          </cell>
          <cell r="I65" t="str">
            <v>SEGUIMIENTO_Y_SUPERVISIÓN.</v>
          </cell>
          <cell r="J6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5" t="str">
            <v>JOSÉ ANTONIO PÁEZ FETECUA</v>
          </cell>
          <cell r="L65" t="str">
            <v>JULIÁN FELIPE BERNAL GARZÓN</v>
          </cell>
          <cell r="M65">
            <v>45755</v>
          </cell>
          <cell r="N65">
            <v>45755</v>
          </cell>
          <cell r="O65">
            <v>45755</v>
          </cell>
          <cell r="P65" t="str">
            <v>Visitas de evaluación con fines de mejoramiento</v>
          </cell>
          <cell r="Q65" t="str">
            <v>08ABR2025_Instituto Alvaro Mutis - OneDrive</v>
          </cell>
          <cell r="R65" t="str">
            <v>Al revisar la Plataforma SIMAT, hay 01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65" t="str">
            <v>La Institución Educativa se compromete a remitir el Documento Institucional del Plan Individual de Ajustes Razonables PIAR</v>
          </cell>
          <cell r="T65" t="str">
            <v>No</v>
          </cell>
          <cell r="U65" t="str">
            <v>Verificar la información en SIMAT</v>
          </cell>
        </row>
        <row r="66">
          <cell r="A66">
            <v>261</v>
          </cell>
          <cell r="B66">
            <v>7</v>
          </cell>
          <cell r="C66" t="str">
            <v>BOSA</v>
          </cell>
          <cell r="D66" t="str">
            <v>PRIVADO</v>
          </cell>
          <cell r="E66" t="str">
            <v>EPBM</v>
          </cell>
          <cell r="F66" t="str">
            <v>INSTITUTO_ALVARO_MUTIS</v>
          </cell>
          <cell r="G66" t="str">
            <v>INSTITUTO ALVARO MUTIS</v>
          </cell>
          <cell r="H66" t="str">
            <v>Autoevaluación Institucional y Pruebas SABER 11</v>
          </cell>
          <cell r="I66" t="str">
            <v>EVALUACIÓN_CON_FINES_DE_MEJORAMIENTO.</v>
          </cell>
          <cell r="J6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6" t="str">
            <v>JOSÉ ANTONIO PÁEZ FETECUA</v>
          </cell>
          <cell r="L66" t="str">
            <v>JULIÁN FELIPE BERNAL GARZÓN</v>
          </cell>
          <cell r="M66">
            <v>45755</v>
          </cell>
          <cell r="N66">
            <v>45755</v>
          </cell>
          <cell r="O66">
            <v>45755</v>
          </cell>
          <cell r="P66" t="str">
            <v>Visitas de evaluación con fines de mejoramiento</v>
          </cell>
          <cell r="Q66" t="str">
            <v>08ABR2025_Instituto Alvaro Mutis - OneDrive</v>
          </cell>
          <cell r="R66" t="str">
            <v>El Manual de Convivencia fue construido y adoptado de forma participativa e incluye los componentes generales, los diferentes enfoques y se encuentra conforme a lo establecido en el PEI y la normatividad vigente</v>
          </cell>
          <cell r="S66" t="str">
            <v>Como acción de verificación la Institución Educativa se compromete a remitir la versión actualizada del Manual de Convivencia a la vigencia 2024 -2025</v>
          </cell>
          <cell r="T66" t="str">
            <v>No</v>
          </cell>
          <cell r="U66" t="str">
            <v>Verificar nuevamente el documento en el mes de agosto de 2025 y generar espacios de asesoría, conforme lo requiera la IE</v>
          </cell>
        </row>
        <row r="67">
          <cell r="A67">
            <v>262</v>
          </cell>
          <cell r="B67">
            <v>7</v>
          </cell>
          <cell r="C67" t="str">
            <v>BOSA</v>
          </cell>
          <cell r="D67" t="str">
            <v>PRIVADO</v>
          </cell>
          <cell r="E67" t="str">
            <v>EPBM</v>
          </cell>
          <cell r="F67" t="str">
            <v>INSTITUTO_ALVARO_MUTIS</v>
          </cell>
          <cell r="G67" t="str">
            <v>INSTITUTO ALVARO MUTIS</v>
          </cell>
          <cell r="H67" t="str">
            <v>Autoevaluación Institucional y Pruebas SABER 11</v>
          </cell>
          <cell r="I67" t="str">
            <v>EVALUACIÓN_CON_FINES_DE_MEJORAMIENTO.</v>
          </cell>
          <cell r="J67" t="str">
            <v>Revisar la actualización, socialización e implementación del Sistema Institucional de Evaluación de Estudiantes - SIEE, en articulación con la actualización del PEI y la normatividad vigente.</v>
          </cell>
          <cell r="K67" t="str">
            <v>JOSÉ ANTONIO PÁEZ FETECUA</v>
          </cell>
          <cell r="L67" t="str">
            <v>JULIÁN FELIPE BERNAL GARZÓN</v>
          </cell>
          <cell r="M67">
            <v>45755</v>
          </cell>
          <cell r="N67">
            <v>45755</v>
          </cell>
          <cell r="O67">
            <v>45755</v>
          </cell>
          <cell r="P67" t="str">
            <v>Visitas de evaluación con fines de mejoramiento</v>
          </cell>
          <cell r="Q67" t="str">
            <v>08ABR2025_Instituto Alvaro Mutis - OneDrive</v>
          </cell>
          <cell r="R67" t="str">
            <v>Se evidencia el Sistema Institucional de Evaluación de Estudiantes - SIEE, actualizado para la vigencia 2025. Fue construido en articulación con el Consejo Directivo y la comunidad educativa desde el año 2019 y se actualiza cada 2 años</v>
          </cell>
          <cell r="S67" t="str">
            <v>Como acción de verificación la Institución Educativa se compromete a remitir la versión actualizada del  Sistema institucional de evaluación de los estudiantes- SIEE</v>
          </cell>
          <cell r="T67" t="str">
            <v>No</v>
          </cell>
          <cell r="U67" t="str">
            <v>Verificar nuevamente el documento en el mes de agosto de 2025 y generar espacios de asesoría, conforme lo requiera la IE</v>
          </cell>
        </row>
        <row r="68">
          <cell r="A68">
            <v>263</v>
          </cell>
          <cell r="B68">
            <v>7</v>
          </cell>
          <cell r="C68" t="str">
            <v>BOSA</v>
          </cell>
          <cell r="D68" t="str">
            <v>PRIVADO</v>
          </cell>
          <cell r="E68" t="str">
            <v>EPBM</v>
          </cell>
          <cell r="F68" t="str">
            <v>INSTITUTO_ALVARO_MUTIS</v>
          </cell>
          <cell r="G68" t="str">
            <v>INSTITUTO ALVARO MUTIS</v>
          </cell>
          <cell r="H68" t="str">
            <v>Autoevaluación Institucional y Pruebas SABER 11</v>
          </cell>
          <cell r="I68" t="str">
            <v>EVALUACIÓN_CON_FINES_DE_MEJORAMIENTO.</v>
          </cell>
          <cell r="J68" t="str">
            <v>Revisar el calendario escolar, jornada escolar, la intensidad horaria mínima anual en cada nivel y las modificaciones que se realicen al mismo, de acuerdo con lo previsto en la normatividad vigente.</v>
          </cell>
          <cell r="K68" t="str">
            <v>JOSÉ ANTONIO PÁEZ FETECUA</v>
          </cell>
          <cell r="L68" t="str">
            <v>JULIÁN FELIPE BERNAL GARZÓN</v>
          </cell>
          <cell r="M68">
            <v>45755</v>
          </cell>
          <cell r="N68">
            <v>45755</v>
          </cell>
          <cell r="O68">
            <v>45755</v>
          </cell>
          <cell r="P68" t="str">
            <v>Visitas de evaluación con fines de mejoramiento</v>
          </cell>
          <cell r="Q68" t="str">
            <v>08ABR2025_Instituto Alvaro Mutis - OneDrive</v>
          </cell>
          <cell r="R68" t="str">
            <v>El calendario escolar, jornada escolar, la intensidad horaria mínima anual en cada nivel se encuentran conforme lo previsto en la normatividad vigente</v>
          </cell>
          <cell r="S68" t="str">
            <v>Como acción de verificación la Institución Educativa se compromete a remitir la versión actualizada calendario escolar</v>
          </cell>
          <cell r="T68" t="str">
            <v>No</v>
          </cell>
          <cell r="U68" t="str">
            <v>Verificar nuevamente el documento en el mes de agosto de 2025 y generar espacios de asesoría, conforme lo requiera la IE</v>
          </cell>
        </row>
        <row r="69">
          <cell r="A69">
            <v>264</v>
          </cell>
          <cell r="B69">
            <v>7</v>
          </cell>
          <cell r="C69" t="str">
            <v>BOSA</v>
          </cell>
          <cell r="D69" t="str">
            <v>PRIVADO</v>
          </cell>
          <cell r="E69" t="str">
            <v>EPBM</v>
          </cell>
          <cell r="F69" t="str">
            <v>INSTITUTO_ALVARO_MUTIS</v>
          </cell>
          <cell r="G69" t="str">
            <v>INSTITUTO ALVARO MUTIS</v>
          </cell>
          <cell r="H69" t="str">
            <v>Autoevaluación Institucional y Pruebas SABER 11</v>
          </cell>
          <cell r="I69" t="str">
            <v>EVALUACIÓN_CON_FINES_DE_MEJORAMIENTO.</v>
          </cell>
          <cell r="J69" t="str">
            <v>Verificar el funcionamiento del Gobierno Escolar e instancias de participación con base en la información sobre conformación reportada por la institución educativa.</v>
          </cell>
          <cell r="K69" t="str">
            <v>JOSÉ ANTONIO PÁEZ FETECUA</v>
          </cell>
          <cell r="L69" t="str">
            <v>JULIÁN FELIPE BERNAL GARZÓN</v>
          </cell>
          <cell r="M69">
            <v>45755</v>
          </cell>
          <cell r="N69">
            <v>45755</v>
          </cell>
          <cell r="O69">
            <v>45755</v>
          </cell>
          <cell r="P69" t="str">
            <v>Visitas de evaluación con fines de mejoramiento</v>
          </cell>
          <cell r="Q69" t="str">
            <v>08ABR2025_Instituto Alvaro Mutis - OneDrive</v>
          </cell>
          <cell r="R69" t="str">
            <v>La constitución del Gobierno Escolar y sus órganos de participación, se encuentra conforme a la Normativa Vigente</v>
          </cell>
          <cell r="S69" t="str">
            <v>Continuar operando conforme funciones y reglamentos.</v>
          </cell>
          <cell r="T69" t="str">
            <v>No</v>
          </cell>
          <cell r="U69" t="str">
            <v>Verificar la conformación del Gobierno Escolar e instancias para la vigencia 2026 o antes si la IE lo requiere o se presenta solicitud o queja.</v>
          </cell>
        </row>
        <row r="70">
          <cell r="A70">
            <v>265</v>
          </cell>
          <cell r="B70">
            <v>7</v>
          </cell>
          <cell r="C70" t="str">
            <v>BOSA</v>
          </cell>
          <cell r="D70" t="str">
            <v>PRIVADO</v>
          </cell>
          <cell r="E70" t="str">
            <v>EPBM</v>
          </cell>
          <cell r="F70" t="str">
            <v>INSTITUTO_ALVARO_MUTIS</v>
          </cell>
          <cell r="G70" t="str">
            <v>INSTITUTO ALVARO MUTIS</v>
          </cell>
          <cell r="H70" t="str">
            <v>Autoevaluación Institucional y Pruebas SABER 11</v>
          </cell>
          <cell r="I70" t="str">
            <v>EVALUACIÓN_CON_FINES_DE_MEJORAMIENTO.</v>
          </cell>
          <cell r="J70" t="str">
            <v>Verificar las condiciones en cuanto a: la estructura administrativa, condiciones de la planta física y medios educativos adecuados.</v>
          </cell>
          <cell r="K70" t="str">
            <v>JOSÉ ANTONIO PÁEZ FETECUA</v>
          </cell>
          <cell r="L70" t="str">
            <v>JULIÁN FELIPE BERNAL GARZÓN</v>
          </cell>
          <cell r="M70">
            <v>45755</v>
          </cell>
          <cell r="N70">
            <v>45755</v>
          </cell>
          <cell r="O70">
            <v>45755</v>
          </cell>
          <cell r="P70" t="str">
            <v>Visitas de evaluación con fines de mejoramiento</v>
          </cell>
          <cell r="Q70" t="str">
            <v>08ABR2025_Instituto Alvaro Mutis - OneDrive</v>
          </cell>
          <cell r="R70" t="str">
            <v>Se realiza un recorrido en las instalaciones de la IE, verificando las condiciones en cuanto a: la estructura administrativa, condiciones de la planta física y medios educativos adecuados.</v>
          </cell>
          <cell r="S70" t="str">
            <v>Las condiciones de la planta física son adecuadas y se recomienda actualizar el mobiliario más antiguo</v>
          </cell>
          <cell r="T70" t="str">
            <v>No</v>
          </cell>
          <cell r="U70" t="str">
            <v>Las condiciones de la planta física garantizan la adecuada prestación del servicio educativo</v>
          </cell>
        </row>
        <row r="71">
          <cell r="A71">
            <v>266</v>
          </cell>
          <cell r="B71">
            <v>8</v>
          </cell>
          <cell r="C71" t="str">
            <v>BOSA</v>
          </cell>
          <cell r="D71" t="str">
            <v>PRIVADO</v>
          </cell>
          <cell r="E71" t="str">
            <v>EPBM</v>
          </cell>
          <cell r="F71" t="str">
            <v>INSTITUTO_GUIMARC</v>
          </cell>
          <cell r="G71" t="str">
            <v>INSTITUTO GUIMARC</v>
          </cell>
          <cell r="H71" t="str">
            <v>Autoevaluación Institucional y Pruebas SABER 11</v>
          </cell>
          <cell r="I71" t="str">
            <v>SEGUIMIENTO_Y_SUPERVISIÓN.</v>
          </cell>
          <cell r="J71" t="str">
            <v>Realizar visitas para verificar la información registrada sobre la autoevaluación institucional en el aplicativo EVI, a los establecimientos de educación formal no oficial.</v>
          </cell>
          <cell r="K71" t="str">
            <v>JULIÁN FELIPE BERNAL GARZÓN</v>
          </cell>
          <cell r="L71" t="str">
            <v>JOSÉ ANTONIO PÁEZ FETECUA</v>
          </cell>
          <cell r="M71">
            <v>45769</v>
          </cell>
          <cell r="N71">
            <v>45769</v>
          </cell>
          <cell r="O71">
            <v>45769</v>
          </cell>
          <cell r="P71" t="str">
            <v>Visitas de evaluación con fines de mejoramiento</v>
          </cell>
          <cell r="Q71" t="str">
            <v>22ABR25_Instituto Guimarc - OneDrive</v>
          </cell>
          <cell r="R71" t="str">
            <v>La información consignada en la Plataforma EVI relacionada con los indicadores de: planta física, dotación de espacios y calendario académico coincide con lo verificado en campo</v>
          </cell>
          <cell r="S71" t="str">
            <v xml:space="preserve">Se concluye que la IE realizará su autoevalución institucional en el mes octubre.  </v>
          </cell>
          <cell r="T71" t="str">
            <v>No</v>
          </cell>
          <cell r="U71" t="str">
            <v>Se verificará la información cargada por la IE en el aplicativo EVI de la autoevaluación,  para la emisión del concepto de tarifas 2026</v>
          </cell>
        </row>
        <row r="72">
          <cell r="A72">
            <v>267</v>
          </cell>
          <cell r="B72">
            <v>8</v>
          </cell>
          <cell r="C72" t="str">
            <v>BOSA</v>
          </cell>
          <cell r="D72" t="str">
            <v>PRIVADO</v>
          </cell>
          <cell r="E72" t="str">
            <v>EPBM</v>
          </cell>
          <cell r="F72" t="str">
            <v>INSTITUTO_GUIMARC</v>
          </cell>
          <cell r="G72" t="str">
            <v>INSTITUTO GUIMARC</v>
          </cell>
          <cell r="H72" t="str">
            <v>Autoevaluación Institucional y Pruebas SABER 11</v>
          </cell>
          <cell r="I72" t="str">
            <v>SEGUIMIENTO_Y_SUPERVISIÓN.</v>
          </cell>
          <cell r="J72" t="str">
            <v>Proponer estrategias en la formulación, verificar su elaboración y realizar seguimiento semestral al desarrollo de  las acciones establecidas en los planes de mejoramiento por pruebas SABER 11 de los establecimientos de educación formal.</v>
          </cell>
          <cell r="K72" t="str">
            <v>JULIÁN FELIPE BERNAL GARZÓN</v>
          </cell>
          <cell r="L72" t="str">
            <v>JOSÉ ANTONIO PÁEZ FETECUA</v>
          </cell>
          <cell r="M72">
            <v>45769</v>
          </cell>
          <cell r="N72">
            <v>45769</v>
          </cell>
          <cell r="O72">
            <v>45769</v>
          </cell>
          <cell r="P72" t="str">
            <v>Visitas de evaluación con fines de seguimiento</v>
          </cell>
          <cell r="Q72" t="str">
            <v>22ABR25_Instituto Guimarc - OneDrive</v>
          </cell>
          <cell r="R72" t="str">
            <v>Se adelanta la revisión de los Resultados de las Pruebas Saber 11, encontrando que la IE se encuentra en Categoría A</v>
          </cell>
          <cell r="S72" t="str">
            <v>Se aporta documento que la Institución educativa que compara diferentes vigencias y la mejora anual hasta llegar a la categoría A  en los resultados 2024</v>
          </cell>
          <cell r="T72" t="str">
            <v>No</v>
          </cell>
          <cell r="U72" t="str">
            <v>Se acordó revisar nuevamente el documento en el mes de agosto de 2025 y generar espacios de asesoría, conforme lo requiera la IE</v>
          </cell>
        </row>
        <row r="73">
          <cell r="A73">
            <v>268</v>
          </cell>
          <cell r="B73">
            <v>8</v>
          </cell>
          <cell r="C73" t="str">
            <v>BOSA</v>
          </cell>
          <cell r="D73" t="str">
            <v>PRIVADO</v>
          </cell>
          <cell r="E73" t="str">
            <v>EPBM</v>
          </cell>
          <cell r="F73" t="str">
            <v>INSTITUTO_GUIMARC</v>
          </cell>
          <cell r="G73" t="str">
            <v>INSTITUTO GUIMARC</v>
          </cell>
          <cell r="H73" t="str">
            <v>Autoevaluación Institucional y Pruebas SABER 11</v>
          </cell>
          <cell r="I73" t="str">
            <v>SEGUIMIENTO_Y_SUPERVISIÓN.</v>
          </cell>
          <cell r="J73" t="str">
            <v xml:space="preserve">Verificar la implementación por parte de los colegios, de acciones realizadas para la prevención y atención de las situaciones de convivencia en el entorno escolar, según lo establecido en la Directiva 01 de 2022 del MEN. </v>
          </cell>
          <cell r="K73" t="str">
            <v>JULIÁN FELIPE BERNAL GARZÓN</v>
          </cell>
          <cell r="L73" t="str">
            <v>JOSÉ ANTONIO PÁEZ FETECUA</v>
          </cell>
          <cell r="M73">
            <v>45769</v>
          </cell>
          <cell r="N73">
            <v>45769</v>
          </cell>
          <cell r="O73">
            <v>45769</v>
          </cell>
          <cell r="P73" t="str">
            <v>Visitas de evaluación con fines de mejoramiento</v>
          </cell>
          <cell r="Q73" t="str">
            <v>22ABR25_Instituto Guimarc - OneDrive</v>
          </cell>
          <cell r="R73" t="str">
            <v>Se verifica la implementación de acciones  realizadas para la prevención como lo es la verificación de inhabilidades por delitos sexuales en el sistema de la Policía Nacional.</v>
          </cell>
          <cell r="S73" t="str">
            <v>Como acción de verificación se solicita implementar  la autorización de directivos, docentes y administrativos para las consultas de antecedentes en los sistemas que se requieran al momento de la vinculación</v>
          </cell>
          <cell r="T73" t="str">
            <v>No</v>
          </cell>
          <cell r="U73" t="str">
            <v>Verificar que la IE cuente con las respectivas autorizaciones para las consultas de antedecentes del personal vinculado.</v>
          </cell>
        </row>
        <row r="74">
          <cell r="A74">
            <v>269</v>
          </cell>
          <cell r="B74">
            <v>8</v>
          </cell>
          <cell r="C74" t="str">
            <v>BOSA</v>
          </cell>
          <cell r="D74" t="str">
            <v>PRIVADO</v>
          </cell>
          <cell r="E74" t="str">
            <v>EPBM</v>
          </cell>
          <cell r="F74" t="str">
            <v>INSTITUTO_GUIMARC</v>
          </cell>
          <cell r="G74" t="str">
            <v>INSTITUTO GUIMARC</v>
          </cell>
          <cell r="H74" t="str">
            <v>Autoevaluación Institucional y Pruebas SABER 11</v>
          </cell>
          <cell r="I74" t="str">
            <v>SEGUIMIENTO_Y_SUPERVISIÓN.</v>
          </cell>
          <cell r="J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4" t="str">
            <v>JULIÁN FELIPE BERNAL GARZÓN</v>
          </cell>
          <cell r="L74" t="str">
            <v>JOSÉ ANTONIO PÁEZ FETECUA</v>
          </cell>
          <cell r="M74">
            <v>45769</v>
          </cell>
          <cell r="N74">
            <v>45769</v>
          </cell>
          <cell r="O74">
            <v>45769</v>
          </cell>
          <cell r="P74" t="str">
            <v>Visitas de evaluación con fines de mejoramiento</v>
          </cell>
          <cell r="Q74" t="str">
            <v>22ABR25_Instituto Guimarc - OneDrive</v>
          </cell>
          <cell r="R74" t="str">
            <v>Al revisar la Plataforma SIMAT, hay 01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74" t="str">
            <v>La Institución Educativa se compromete a remitir el Documento Institucional del Plan Individual de Ajustes Razonables PIAR</v>
          </cell>
          <cell r="T74" t="str">
            <v>No</v>
          </cell>
          <cell r="U74" t="str">
            <v>Verificar la información en SIMAT</v>
          </cell>
        </row>
        <row r="75">
          <cell r="A75">
            <v>270</v>
          </cell>
          <cell r="B75">
            <v>8</v>
          </cell>
          <cell r="C75" t="str">
            <v>BOSA</v>
          </cell>
          <cell r="D75" t="str">
            <v>PRIVADO</v>
          </cell>
          <cell r="E75" t="str">
            <v>EPBM</v>
          </cell>
          <cell r="F75" t="str">
            <v>INSTITUTO_GUIMARC</v>
          </cell>
          <cell r="G75" t="str">
            <v>INSTITUTO GUIMARC</v>
          </cell>
          <cell r="H75" t="str">
            <v>Autoevaluación Institucional y Pruebas SABER 11</v>
          </cell>
          <cell r="I75" t="str">
            <v>EVALUACIÓN_CON_FINES_DE_MEJORAMIENTO.</v>
          </cell>
          <cell r="J7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5" t="str">
            <v>JULIÁN FELIPE BERNAL GARZÓN</v>
          </cell>
          <cell r="L75" t="str">
            <v>JOSÉ ANTONIO PÁEZ FETECUA</v>
          </cell>
          <cell r="M75">
            <v>45769</v>
          </cell>
          <cell r="N75">
            <v>45769</v>
          </cell>
          <cell r="O75">
            <v>45769</v>
          </cell>
          <cell r="P75" t="str">
            <v>Visitas de evaluación con fines de mejoramiento</v>
          </cell>
          <cell r="Q75" t="str">
            <v>22ABR25_Instituto Guimarc - OneDrive</v>
          </cell>
          <cell r="R75" t="str">
            <v>El Manual de Convivencia fue construido y adoptado de forma participativa e incluye los componentes generales, los diferentes enfoques y se encuentra conforme a lo establecido en el PEI y la normatividad vigente</v>
          </cell>
          <cell r="S75" t="str">
            <v>Como acción de verificación la Institución Educativa se compromete a remitir la versión actualizada del Manual de Convivencia a la vigencia 2024 -2025</v>
          </cell>
          <cell r="T75" t="str">
            <v>No</v>
          </cell>
          <cell r="U75" t="str">
            <v>Verificar nuevamente el documento en el mes de agosto de 2025 y generar espacios de asesoría, conforme lo requiera la IE</v>
          </cell>
        </row>
        <row r="76">
          <cell r="A76">
            <v>271</v>
          </cell>
          <cell r="B76">
            <v>8</v>
          </cell>
          <cell r="C76" t="str">
            <v>BOSA</v>
          </cell>
          <cell r="D76" t="str">
            <v>PRIVADO</v>
          </cell>
          <cell r="E76" t="str">
            <v>EPBM</v>
          </cell>
          <cell r="F76" t="str">
            <v>INSTITUTO_GUIMARC</v>
          </cell>
          <cell r="G76" t="str">
            <v>INSTITUTO GUIMARC</v>
          </cell>
          <cell r="H76" t="str">
            <v>Autoevaluación Institucional y Pruebas SABER 11</v>
          </cell>
          <cell r="I76" t="str">
            <v>EVALUACIÓN_CON_FINES_DE_MEJORAMIENTO.</v>
          </cell>
          <cell r="J76" t="str">
            <v>Revisar la actualización, socialización e implementación del Sistema Institucional de Evaluación de Estudiantes - SIEE, en articulación con la actualización del PEI y la normatividad vigente.</v>
          </cell>
          <cell r="K76" t="str">
            <v>JULIÁN FELIPE BERNAL GARZÓN</v>
          </cell>
          <cell r="L76" t="str">
            <v>JOSÉ ANTONIO PÁEZ FETECUA</v>
          </cell>
          <cell r="M76">
            <v>45769</v>
          </cell>
          <cell r="N76">
            <v>45769</v>
          </cell>
          <cell r="O76">
            <v>45769</v>
          </cell>
          <cell r="P76" t="str">
            <v>Visitas de evaluación con fines de mejoramiento</v>
          </cell>
          <cell r="Q76" t="str">
            <v>22ABR25_Instituto Guimarc - OneDrive</v>
          </cell>
          <cell r="R76" t="str">
            <v>Se revisa el Sistema Institucional de Evaluación de Estudiantes - SIEE y no se encuentra incorporado en el Manual de Convivencia y requiete algunos ajustes en su contenido.</v>
          </cell>
          <cell r="S76" t="str">
            <v>Remitir la versión actualizada del Sistema Institucional de Evaluación de Estudiantes - SIEE, en articulación con la actualización del PEI y la normatividad vigente.</v>
          </cell>
          <cell r="T76" t="str">
            <v>Si</v>
          </cell>
          <cell r="U76" t="str">
            <v>Revisar el Sistema Institucional de Evaluación de Estudiantes - SIEE actualizado en 2025 y retroalimentar a la IE.</v>
          </cell>
        </row>
        <row r="77">
          <cell r="A77">
            <v>272</v>
          </cell>
          <cell r="B77">
            <v>8</v>
          </cell>
          <cell r="C77" t="str">
            <v>BOSA</v>
          </cell>
          <cell r="D77" t="str">
            <v>PRIVADO</v>
          </cell>
          <cell r="E77" t="str">
            <v>EPBM</v>
          </cell>
          <cell r="F77" t="str">
            <v>INSTITUTO_GUIMARC</v>
          </cell>
          <cell r="G77" t="str">
            <v>INSTITUTO GUIMARC</v>
          </cell>
          <cell r="H77" t="str">
            <v>Autoevaluación Institucional y Pruebas SABER 11</v>
          </cell>
          <cell r="I77" t="str">
            <v>EVALUACIÓN_CON_FINES_DE_MEJORAMIENTO.</v>
          </cell>
          <cell r="J77" t="str">
            <v>Revisar el calendario escolar, jornada escolar, la intensidad horaria mínima anual en cada nivel y las modificaciones que se realicen al mismo, de acuerdo con lo previsto en la normatividad vigente.</v>
          </cell>
          <cell r="K77" t="str">
            <v>JULIÁN FELIPE BERNAL GARZÓN</v>
          </cell>
          <cell r="L77" t="str">
            <v>JOSÉ ANTONIO PÁEZ FETECUA</v>
          </cell>
          <cell r="M77">
            <v>45769</v>
          </cell>
          <cell r="N77">
            <v>45769</v>
          </cell>
          <cell r="O77">
            <v>45769</v>
          </cell>
          <cell r="P77" t="str">
            <v>Visitas de evaluación con fines de mejoramiento</v>
          </cell>
          <cell r="Q77" t="str">
            <v>22ABR25_Instituto Guimarc - OneDrive</v>
          </cell>
          <cell r="R77" t="str">
            <v>El calendario escolar, jornada escolar, la intensidad horaria mínima anual en cada nivel se encuentran conforme lo previsto en la normatividad vigente</v>
          </cell>
          <cell r="S77" t="str">
            <v>Como acción de verificación la Institución Educativa se compromete a remitir la versión actualizada calendario escolar</v>
          </cell>
          <cell r="T77" t="str">
            <v>No</v>
          </cell>
          <cell r="U77" t="str">
            <v>Verificar nuevamente el documento en el mes de agosto de 2025 y generar espacios de asesoría, conforme lo requiera la IE</v>
          </cell>
        </row>
        <row r="78">
          <cell r="A78">
            <v>273</v>
          </cell>
          <cell r="B78">
            <v>8</v>
          </cell>
          <cell r="C78" t="str">
            <v>BOSA</v>
          </cell>
          <cell r="D78" t="str">
            <v>PRIVADO</v>
          </cell>
          <cell r="E78" t="str">
            <v>EPBM</v>
          </cell>
          <cell r="F78" t="str">
            <v>INSTITUTO_GUIMARC</v>
          </cell>
          <cell r="G78" t="str">
            <v>INSTITUTO GUIMARC</v>
          </cell>
          <cell r="H78" t="str">
            <v>Autoevaluación Institucional y Pruebas SABER 11</v>
          </cell>
          <cell r="I78" t="str">
            <v>EVALUACIÓN_CON_FINES_DE_MEJORAMIENTO.</v>
          </cell>
          <cell r="J78" t="str">
            <v>Verificar el funcionamiento del Gobierno Escolar e instancias de participación con base en la información sobre conformación reportada por la institución educativa.</v>
          </cell>
          <cell r="K78" t="str">
            <v>JULIÁN FELIPE BERNAL GARZÓN</v>
          </cell>
          <cell r="L78" t="str">
            <v>JOSÉ ANTONIO PÁEZ FETECUA</v>
          </cell>
          <cell r="M78">
            <v>45769</v>
          </cell>
          <cell r="N78">
            <v>45769</v>
          </cell>
          <cell r="O78">
            <v>45769</v>
          </cell>
          <cell r="P78" t="str">
            <v>Visitas de evaluación con fines de mejoramiento</v>
          </cell>
          <cell r="Q78" t="str">
            <v>22ABR25_Instituto Guimarc - OneDrive</v>
          </cell>
          <cell r="R78" t="str">
            <v>La constitución del Gobierno Escolar y sus órganos de participación, se encuentra conforme a la Normativa Vigente</v>
          </cell>
          <cell r="S78" t="str">
            <v>Continuar operando conforme funciones y reglamentos.</v>
          </cell>
          <cell r="T78" t="str">
            <v>No</v>
          </cell>
          <cell r="U78" t="str">
            <v>Verificar la conformación del Gobierno Escolar e instancias para la vigencia 2026 o antes si la IE lo requiere o se presenta solicitud o queja.</v>
          </cell>
        </row>
        <row r="79">
          <cell r="A79">
            <v>274</v>
          </cell>
          <cell r="B79">
            <v>8</v>
          </cell>
          <cell r="C79" t="str">
            <v>BOSA</v>
          </cell>
          <cell r="D79" t="str">
            <v>PRIVADO</v>
          </cell>
          <cell r="E79" t="str">
            <v>EPBM</v>
          </cell>
          <cell r="F79" t="str">
            <v>INSTITUTO_GUIMARC</v>
          </cell>
          <cell r="G79" t="str">
            <v>INSTITUTO GUIMARC</v>
          </cell>
          <cell r="H79" t="str">
            <v>Autoevaluación Institucional y Pruebas SABER 11</v>
          </cell>
          <cell r="I79" t="str">
            <v>EVALUACIÓN_CON_FINES_DE_MEJORAMIENTO.</v>
          </cell>
          <cell r="J79" t="str">
            <v>Verificar las condiciones en cuanto a: la estructura administrativa, condiciones de la planta física y medios educativos adecuados.</v>
          </cell>
          <cell r="K79" t="str">
            <v>JULIÁN FELIPE BERNAL GARZÓN</v>
          </cell>
          <cell r="L79" t="str">
            <v>JOSÉ ANTONIO PÁEZ FETECUA</v>
          </cell>
          <cell r="M79">
            <v>45769</v>
          </cell>
          <cell r="N79">
            <v>45769</v>
          </cell>
          <cell r="O79">
            <v>45769</v>
          </cell>
          <cell r="P79" t="str">
            <v>Visitas de evaluación con fines de mejoramiento</v>
          </cell>
          <cell r="Q79" t="str">
            <v>22ABR25_Instituto Guimarc - OneDrive</v>
          </cell>
          <cell r="R79" t="str">
            <v>Se realiza un recorrido en las instalaciones de la IE, verificando las condiciones en cuanto a: la estructura administrativa, condiciones de la planta física y medios educativos adecuados.</v>
          </cell>
          <cell r="S79" t="str">
            <v>Las condiciones de la planta física son adecuadas y se recomienda actualizar el mobiliario más antiguo</v>
          </cell>
          <cell r="T79" t="str">
            <v>No</v>
          </cell>
          <cell r="U79" t="str">
            <v>Las condiciones de la planta física garantizan la adecuada prestación del servicio educativo</v>
          </cell>
        </row>
        <row r="80">
          <cell r="A80">
            <v>275</v>
          </cell>
          <cell r="B80">
            <v>9</v>
          </cell>
          <cell r="C80" t="str">
            <v>BOSA</v>
          </cell>
          <cell r="D80" t="str">
            <v>PRIVADO</v>
          </cell>
          <cell r="E80" t="str">
            <v>EPBM</v>
          </cell>
          <cell r="F80" t="str">
            <v>INSTITUTO_LABERINTO_DE_LA_CULTURA</v>
          </cell>
          <cell r="G80" t="str">
            <v>INSTITUTO LABERINTO DE LA CULTURA</v>
          </cell>
          <cell r="H80" t="str">
            <v>Autoevaluación Institucional y Pruebas SABER 11</v>
          </cell>
          <cell r="I80" t="str">
            <v>SEGUIMIENTO_Y_SUPERVISIÓN.</v>
          </cell>
          <cell r="J80" t="str">
            <v>Realizar visitas para verificar la información registrada sobre la autoevaluación institucional en el aplicativo EVI, a los establecimientos de educación formal no oficial.</v>
          </cell>
          <cell r="K80" t="str">
            <v>ANA ANDREA VARGAS GONZÁLEZ</v>
          </cell>
          <cell r="L80" t="str">
            <v>ESTEFANY PEÑA GARCIA</v>
          </cell>
          <cell r="M80">
            <v>45771</v>
          </cell>
          <cell r="N80">
            <v>45771</v>
          </cell>
          <cell r="O80">
            <v>45771</v>
          </cell>
          <cell r="P80" t="str">
            <v>Visitas de evaluación con fines de mejoramiento</v>
          </cell>
          <cell r="Q80" t="str">
            <v>24ABR2025 Instituto Laberinto de la Cultura - OneDrive</v>
          </cell>
          <cell r="R80" t="str">
            <v>La información consignada en la Plataforma EVI relacionada con los indicadores de: planta física, dotación de espacios y calendario académico coincide con lo verificado en campo</v>
          </cell>
          <cell r="S80" t="str">
            <v xml:space="preserve">Se concluye que la IE realizará su autoevalución institucional en el mes octubre.  </v>
          </cell>
          <cell r="T80" t="str">
            <v>No</v>
          </cell>
          <cell r="U80" t="str">
            <v>Se verificará la información cargada por la IE en el aplicativo EVI de la autoevaluación,  para la emisión del concepto de tarifas 2026</v>
          </cell>
        </row>
        <row r="81">
          <cell r="A81">
            <v>276</v>
          </cell>
          <cell r="B81">
            <v>9</v>
          </cell>
          <cell r="C81" t="str">
            <v>BOSA</v>
          </cell>
          <cell r="D81" t="str">
            <v>PRIVADO</v>
          </cell>
          <cell r="E81" t="str">
            <v>EPBM</v>
          </cell>
          <cell r="F81" t="str">
            <v>INSTITUTO_LABERINTO_DE_LA_CULTURA</v>
          </cell>
          <cell r="G81" t="str">
            <v>INSTITUTO LABERINTO DE LA CULTURA</v>
          </cell>
          <cell r="H81" t="str">
            <v>Autoevaluación Institucional y Pruebas SABER 11</v>
          </cell>
          <cell r="I81" t="str">
            <v>SEGUIMIENTO_Y_SUPERVISIÓN.</v>
          </cell>
          <cell r="J81" t="str">
            <v>Proponer estrategias en la formulación, verificar su elaboración y realizar seguimiento semestral al desarrollo de  las acciones establecidas en los planes de mejoramiento por pruebas SABER 11 de los establecimientos de educación formal.</v>
          </cell>
          <cell r="K81" t="str">
            <v>ANA ANDREA VARGAS GONZÁLEZ</v>
          </cell>
          <cell r="L81" t="str">
            <v>ESTEFANY PEÑA GARCIA</v>
          </cell>
          <cell r="M81">
            <v>45771</v>
          </cell>
          <cell r="N81">
            <v>45775</v>
          </cell>
          <cell r="O81">
            <v>45771</v>
          </cell>
          <cell r="P81" t="str">
            <v>Visitas de evaluación con fines de seguimiento</v>
          </cell>
          <cell r="Q81" t="str">
            <v>24ABR2025 Instituto Laberinto de la Cultura - OneDrive</v>
          </cell>
          <cell r="R81" t="str">
            <v>La IE se encuentra en Categoría B, realizó la revisión y análisis de los resultados para  actualización del curriculo y el plan de estudios. Se ha adelantado el diagnóstico y la propuesta de Intervención, aplicando pruebas preliminares.</v>
          </cell>
          <cell r="S81" t="str">
            <v>La IE se compromete a diseñar un Plan de Mejoramiento con estrategia actualizada que cuente con cronograma, actividades específicas y proceso de seguimiento y evaluación</v>
          </cell>
          <cell r="T81" t="str">
            <v>Si</v>
          </cell>
          <cell r="U81" t="str">
            <v xml:space="preserve">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v>
          </cell>
        </row>
        <row r="82">
          <cell r="A82">
            <v>277</v>
          </cell>
          <cell r="B82">
            <v>9</v>
          </cell>
          <cell r="C82" t="str">
            <v>BOSA</v>
          </cell>
          <cell r="D82" t="str">
            <v>PRIVADO</v>
          </cell>
          <cell r="E82" t="str">
            <v>EPBM</v>
          </cell>
          <cell r="F82" t="str">
            <v>INSTITUTO_LABERINTO_DE_LA_CULTURA</v>
          </cell>
          <cell r="G82" t="str">
            <v>INSTITUTO LABERINTO DE LA CULTURA</v>
          </cell>
          <cell r="H82" t="str">
            <v>Autoevaluación Institucional y Pruebas SABER 11</v>
          </cell>
          <cell r="I82" t="str">
            <v>SEGUIMIENTO_Y_SUPERVISIÓN.</v>
          </cell>
          <cell r="J82" t="str">
            <v xml:space="preserve">Verificar la implementación por parte de los colegios, de acciones realizadas para la prevención y atención de las situaciones de convivencia en el entorno escolar, según lo establecido en la Directiva 01 de 2022 del MEN. </v>
          </cell>
          <cell r="K82" t="str">
            <v>ANA ANDREA VARGAS GONZÁLEZ</v>
          </cell>
          <cell r="L82" t="str">
            <v>ESTEFANY PEÑA GARCIA</v>
          </cell>
          <cell r="M82">
            <v>45771</v>
          </cell>
          <cell r="N82">
            <v>45771</v>
          </cell>
          <cell r="O82">
            <v>45771</v>
          </cell>
          <cell r="P82" t="str">
            <v>Visitas de evaluación con fines de mejoramiento</v>
          </cell>
          <cell r="Q82" t="str">
            <v>24ABR2025 Instituto Laberinto de la Cultura - OneDrive</v>
          </cell>
          <cell r="R82" t="str">
            <v>Se verifica la implementación de acciones  realizadas para la prevención como lo es la verificación de inhabilidades por delitos sexuales en el sistema de la Policía Nacional.</v>
          </cell>
          <cell r="S82" t="str">
            <v>Como acción de verificación se solicita implementar  la autorización de directivos, docentes y administrativos para las consultas de antecedentes en los sistemas que se requieran al momento de la vinculación</v>
          </cell>
          <cell r="T82" t="str">
            <v>No</v>
          </cell>
          <cell r="U82" t="str">
            <v>Verificar que la IE cuente con las respectivas autorizaciones para las consultas de antedecentes del personal vinculado.</v>
          </cell>
        </row>
        <row r="83">
          <cell r="A83">
            <v>278</v>
          </cell>
          <cell r="B83">
            <v>9</v>
          </cell>
          <cell r="C83" t="str">
            <v>BOSA</v>
          </cell>
          <cell r="D83" t="str">
            <v>PRIVADO</v>
          </cell>
          <cell r="E83" t="str">
            <v>EPBM</v>
          </cell>
          <cell r="F83" t="str">
            <v>INSTITUTO_LABERINTO_DE_LA_CULTURA</v>
          </cell>
          <cell r="G83" t="str">
            <v>INSTITUTO LABERINTO DE LA CULTURA</v>
          </cell>
          <cell r="H83" t="str">
            <v>Autoevaluación Institucional y Pruebas SABER 11</v>
          </cell>
          <cell r="I83" t="str">
            <v>SEGUIMIENTO_Y_SUPERVISIÓN.</v>
          </cell>
          <cell r="J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3" t="str">
            <v>ANA ANDREA VARGAS GONZÁLEZ</v>
          </cell>
          <cell r="L83" t="str">
            <v>ESTEFANY PEÑA GARCIA</v>
          </cell>
          <cell r="M83">
            <v>45771</v>
          </cell>
          <cell r="N83">
            <v>45771</v>
          </cell>
          <cell r="O83">
            <v>45771</v>
          </cell>
          <cell r="P83" t="str">
            <v>Visitas de evaluación con fines de mejoramiento</v>
          </cell>
          <cell r="Q83" t="str">
            <v>24ABR2025 Instituto Laberinto de la Cultura - OneDrive</v>
          </cell>
          <cell r="R83" t="str">
            <v>Al revisar la Plataforma SIMAT, hay 05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83" t="str">
            <v>La Institución Educativa se compromete a remitir el Documento Institucional del Plan Individual de Ajustes Razonables PIAR</v>
          </cell>
          <cell r="T83" t="str">
            <v>No</v>
          </cell>
          <cell r="U83" t="str">
            <v>Verificar la información en SIMAT</v>
          </cell>
        </row>
        <row r="84">
          <cell r="A84">
            <v>279</v>
          </cell>
          <cell r="B84">
            <v>9</v>
          </cell>
          <cell r="C84" t="str">
            <v>BOSA</v>
          </cell>
          <cell r="D84" t="str">
            <v>PRIVADO</v>
          </cell>
          <cell r="E84" t="str">
            <v>EPBM</v>
          </cell>
          <cell r="F84" t="str">
            <v>INSTITUTO_LABERINTO_DE_LA_CULTURA</v>
          </cell>
          <cell r="G84" t="str">
            <v>INSTITUTO LABERINTO DE LA CULTURA</v>
          </cell>
          <cell r="H84" t="str">
            <v>Autoevaluación Institucional y Pruebas SABER 11</v>
          </cell>
          <cell r="I84" t="str">
            <v>EVALUACIÓN_CON_FINES_DE_MEJORAMIENTO.</v>
          </cell>
          <cell r="J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4" t="str">
            <v>ANA ANDREA VARGAS GONZÁLEZ</v>
          </cell>
          <cell r="L84" t="str">
            <v>ESTEFANY PEÑA GARCIA</v>
          </cell>
          <cell r="M84">
            <v>45771</v>
          </cell>
          <cell r="N84">
            <v>45771</v>
          </cell>
          <cell r="O84">
            <v>45771</v>
          </cell>
          <cell r="P84" t="str">
            <v>Visitas de evaluación con fines de mejoramiento</v>
          </cell>
          <cell r="Q84" t="str">
            <v>24ABR2025 Instituto Laberinto de la Cultura - OneDrive</v>
          </cell>
          <cell r="R84" t="str">
            <v>No evidencia Manual de Convivencia actualizado a la vigencia 2024 -2025, con la participación de la comunidad educativa, el cual requiere algunos ajustes en su contenido.</v>
          </cell>
          <cell r="S84" t="str">
            <v>Remitir la versión actualizada del Manual de Conviviencia,  para diferenciar entre faltas y situaciones convivenciales, y las sanciones</v>
          </cell>
          <cell r="T84" t="str">
            <v>Si</v>
          </cell>
          <cell r="U84" t="str">
            <v>Revisar el manual actualizado en  2025 y retroalimentar a la IE.</v>
          </cell>
        </row>
        <row r="85">
          <cell r="A85">
            <v>280</v>
          </cell>
          <cell r="B85">
            <v>9</v>
          </cell>
          <cell r="C85" t="str">
            <v>BOSA</v>
          </cell>
          <cell r="D85" t="str">
            <v>PRIVADO</v>
          </cell>
          <cell r="E85" t="str">
            <v>EPBM</v>
          </cell>
          <cell r="F85" t="str">
            <v>INSTITUTO_LABERINTO_DE_LA_CULTURA</v>
          </cell>
          <cell r="G85" t="str">
            <v>INSTITUTO LABERINTO DE LA CULTURA</v>
          </cell>
          <cell r="H85" t="str">
            <v>Autoevaluación Institucional y Pruebas SABER 11</v>
          </cell>
          <cell r="I85" t="str">
            <v>EVALUACIÓN_CON_FINES_DE_MEJORAMIENTO.</v>
          </cell>
          <cell r="J85" t="str">
            <v>Revisar la actualización, socialización e implementación del Sistema Institucional de Evaluación de Estudiantes - SIEE, en articulación con la actualización del PEI y la normatividad vigente.</v>
          </cell>
          <cell r="K85" t="str">
            <v>ANA ANDREA VARGAS GONZÁLEZ</v>
          </cell>
          <cell r="L85" t="str">
            <v>ESTEFANY PEÑA GARCIA</v>
          </cell>
          <cell r="M85">
            <v>45771</v>
          </cell>
          <cell r="N85">
            <v>45771</v>
          </cell>
          <cell r="O85">
            <v>45771</v>
          </cell>
          <cell r="P85" t="str">
            <v>Visitas de evaluación con fines de mejoramiento</v>
          </cell>
          <cell r="Q85" t="str">
            <v>24ABR2025 Instituto Laberinto de la Cultura - OneDrive</v>
          </cell>
          <cell r="R85" t="str">
            <v>Se revisa el Sistema Institucional de Evaluación de Estudiantes - SIEE y no se encuentra incorporado en el Manual de Convivencia y requiere algunos ajustes en su contenido.</v>
          </cell>
          <cell r="S85" t="str">
            <v>Remitir la versión actualizada del Sistema Institucional de Evaluación de Estudiantes - SIEE, en articulación con la actualización del PEI y la normatividad vigente.</v>
          </cell>
          <cell r="T85" t="str">
            <v>Si</v>
          </cell>
          <cell r="U85" t="str">
            <v>Revisar el Sistema Institucional de Evaluación de Estudiantes - SIEE actualizado en 2025 y retroalimentar a la IE.</v>
          </cell>
        </row>
        <row r="86">
          <cell r="A86">
            <v>281</v>
          </cell>
          <cell r="B86">
            <v>9</v>
          </cell>
          <cell r="C86" t="str">
            <v>BOSA</v>
          </cell>
          <cell r="D86" t="str">
            <v>PRIVADO</v>
          </cell>
          <cell r="E86" t="str">
            <v>EPBM</v>
          </cell>
          <cell r="F86" t="str">
            <v>INSTITUTO_LABERINTO_DE_LA_CULTURA</v>
          </cell>
          <cell r="G86" t="str">
            <v>INSTITUTO LABERINTO DE LA CULTURA</v>
          </cell>
          <cell r="H86" t="str">
            <v>Autoevaluación Institucional y Pruebas SABER 11</v>
          </cell>
          <cell r="I86" t="str">
            <v>EVALUACIÓN_CON_FINES_DE_MEJORAMIENTO.</v>
          </cell>
          <cell r="J86" t="str">
            <v>Revisar el calendario escolar, jornada escolar, la intensidad horaria mínima anual en cada nivel y las modificaciones que se realicen al mismo, de acuerdo con lo previsto en la normatividad vigente.</v>
          </cell>
          <cell r="K86" t="str">
            <v>ANA ANDREA VARGAS GONZÁLEZ</v>
          </cell>
          <cell r="L86" t="str">
            <v>ESTEFANY PEÑA GARCIA</v>
          </cell>
          <cell r="M86">
            <v>45771</v>
          </cell>
          <cell r="N86">
            <v>45771</v>
          </cell>
          <cell r="O86">
            <v>45771</v>
          </cell>
          <cell r="P86" t="str">
            <v>Visitas de evaluación con fines de mejoramiento</v>
          </cell>
          <cell r="Q86" t="str">
            <v>24ABR2025 Instituto Laberinto de la Cultura - OneDrive</v>
          </cell>
          <cell r="R86" t="str">
            <v>Se revisa el documento de Calendario Escolar y no se encuentra discriminado por semanas y la planeación de las jornadas pedagógicas</v>
          </cell>
          <cell r="S86" t="str">
            <v>Remitir la versión actualizada del Calendario Escolar Vigencia 2025</v>
          </cell>
          <cell r="T86" t="str">
            <v>Si</v>
          </cell>
          <cell r="U86" t="str">
            <v>Revisar el Calendario Escolar Vigencia 2025 actualizado en 2025 y retroalimentar a la IE.</v>
          </cell>
        </row>
        <row r="87">
          <cell r="A87">
            <v>282</v>
          </cell>
          <cell r="B87">
            <v>9</v>
          </cell>
          <cell r="C87" t="str">
            <v>BOSA</v>
          </cell>
          <cell r="D87" t="str">
            <v>PRIVADO</v>
          </cell>
          <cell r="E87" t="str">
            <v>EPBM</v>
          </cell>
          <cell r="F87" t="str">
            <v>INSTITUTO_LABERINTO_DE_LA_CULTURA</v>
          </cell>
          <cell r="G87" t="str">
            <v>INSTITUTO LABERINTO DE LA CULTURA</v>
          </cell>
          <cell r="H87" t="str">
            <v>Autoevaluación Institucional y Pruebas SABER 11</v>
          </cell>
          <cell r="I87" t="str">
            <v>EVALUACIÓN_CON_FINES_DE_MEJORAMIENTO.</v>
          </cell>
          <cell r="J87" t="str">
            <v>Verificar el funcionamiento del Gobierno Escolar e instancias de participación con base en la información sobre conformación reportada por la institución educativa.</v>
          </cell>
          <cell r="K87" t="str">
            <v>ANA ANDREA VARGAS GONZÁLEZ</v>
          </cell>
          <cell r="L87" t="str">
            <v>ESTEFANY PEÑA GARCIA</v>
          </cell>
          <cell r="M87">
            <v>45771</v>
          </cell>
          <cell r="N87">
            <v>45771</v>
          </cell>
          <cell r="O87">
            <v>45771</v>
          </cell>
          <cell r="P87" t="str">
            <v>Visitas de evaluación con fines de mejoramiento</v>
          </cell>
          <cell r="Q87" t="str">
            <v>24ABR2025 Instituto Laberinto de la Cultura - OneDrive</v>
          </cell>
          <cell r="R87" t="str">
            <v>Se revisa la documentación que corresponde a la conformación del Gobierno Escolar y otros órganos de participación y no están ajustados de acuerdo con la normatividad vigente</v>
          </cell>
          <cell r="S87" t="str">
            <v>Remitir la versión actualizada del Gobierno Escolar y otros órganos de participación vigencia 2025</v>
          </cell>
          <cell r="T87" t="str">
            <v>Si</v>
          </cell>
          <cell r="U87" t="str">
            <v>Revisar el Gobierno Escolar y otros órganos de participación actualizado en 2025 y retroalimentar a la IE.</v>
          </cell>
        </row>
        <row r="88">
          <cell r="A88">
            <v>283</v>
          </cell>
          <cell r="B88">
            <v>9</v>
          </cell>
          <cell r="C88" t="str">
            <v>BOSA</v>
          </cell>
          <cell r="D88" t="str">
            <v>PRIVADO</v>
          </cell>
          <cell r="E88" t="str">
            <v>EPBM</v>
          </cell>
          <cell r="F88" t="str">
            <v>INSTITUTO_LABERINTO_DE_LA_CULTURA</v>
          </cell>
          <cell r="G88" t="str">
            <v>INSTITUTO LABERINTO DE LA CULTURA</v>
          </cell>
          <cell r="H88" t="str">
            <v>Autoevaluación Institucional y Pruebas SABER 11</v>
          </cell>
          <cell r="I88" t="str">
            <v>EVALUACIÓN_CON_FINES_DE_MEJORAMIENTO.</v>
          </cell>
          <cell r="J88" t="str">
            <v>Verificar las condiciones en cuanto a: la estructura administrativa, condiciones de la planta física y medios educativos adecuados.</v>
          </cell>
          <cell r="K88" t="str">
            <v>ANA ANDREA VARGAS GONZÁLEZ</v>
          </cell>
          <cell r="L88" t="str">
            <v>ESTEFANY PEÑA GARCIA</v>
          </cell>
          <cell r="M88">
            <v>45771</v>
          </cell>
          <cell r="N88">
            <v>45771</v>
          </cell>
          <cell r="O88">
            <v>45771</v>
          </cell>
          <cell r="P88" t="str">
            <v>Visitas de evaluación con fines de mejoramiento</v>
          </cell>
          <cell r="Q88" t="str">
            <v>24ABR2025 Instituto Laberinto de la Cultura - OneDrive</v>
          </cell>
          <cell r="R88" t="str">
            <v>Se realiza un recorrido en las instalaciones de la IE y se evidencia falta de mantenimiento en las Instalaciones y se debe verificar el proceso de ambientes compartidos de la SED</v>
          </cell>
          <cell r="S88" t="str">
            <v>Se recomienda actualizar el mobiliario más antiguo y se debe verificar el proceso de ambientes compartidos de la SED</v>
          </cell>
          <cell r="T88" t="str">
            <v>Si</v>
          </cell>
          <cell r="U88" t="str">
            <v>Se adelantará una visita administrativa para verificar la pertinencia de las instalaciones en la garantía de la prestación del servicio educativo se debe verificar el proceso de ambientes compartidos de la SED</v>
          </cell>
        </row>
        <row r="89">
          <cell r="A89">
            <v>284</v>
          </cell>
          <cell r="B89">
            <v>10</v>
          </cell>
          <cell r="C89" t="str">
            <v>BOSA</v>
          </cell>
          <cell r="D89" t="str">
            <v>PRIVADO</v>
          </cell>
          <cell r="E89" t="str">
            <v>EPBM</v>
          </cell>
          <cell r="F89" t="str">
            <v>LICEO_ALFREDO_NOBEL</v>
          </cell>
          <cell r="G89" t="str">
            <v>LICEO ALFREDO NOBEL</v>
          </cell>
          <cell r="H89" t="str">
            <v>Autoevaluación Institucional y Pruebas SABER 11</v>
          </cell>
          <cell r="I89" t="str">
            <v>SEGUIMIENTO_Y_SUPERVISIÓN.</v>
          </cell>
          <cell r="J89" t="str">
            <v>Realizar visitas para verificar la información registrada sobre la autoevaluación institucional en el aplicativo EVI, a los establecimientos de educación formal no oficial.</v>
          </cell>
          <cell r="K89" t="str">
            <v>ESTEFANY PEÑA GARCIA</v>
          </cell>
          <cell r="L89" t="str">
            <v>ANA ANDREA VARGAS GONZÁLEZ</v>
          </cell>
          <cell r="M89">
            <v>45776</v>
          </cell>
          <cell r="N89">
            <v>45776</v>
          </cell>
          <cell r="O89">
            <v>45776</v>
          </cell>
          <cell r="P89" t="str">
            <v>Visitas de evaluación con fines de mejoramiento</v>
          </cell>
          <cell r="Q89" t="str">
            <v>28ABR25_Liceo Alfredo Nobel - OneDrive</v>
          </cell>
          <cell r="R89" t="str">
            <v>La información consignada en la Plataforma EVI relacionada con los indicadores de: planta física, dotación de espacios y calendario académico coincide con lo verificado en campo</v>
          </cell>
          <cell r="S89" t="str">
            <v xml:space="preserve">Se concluye que la IE realizará su autoevalución institucional en el mes octubre.  </v>
          </cell>
          <cell r="T89" t="str">
            <v>No</v>
          </cell>
          <cell r="U89" t="str">
            <v>Se verificará la información cargada por la IE en el aplicativo EVI de la autoevaluación,  para la emisión del concepto de tarifas 2026</v>
          </cell>
        </row>
        <row r="90">
          <cell r="A90">
            <v>285</v>
          </cell>
          <cell r="B90">
            <v>10</v>
          </cell>
          <cell r="C90" t="str">
            <v>BOSA</v>
          </cell>
          <cell r="D90" t="str">
            <v>PRIVADO</v>
          </cell>
          <cell r="E90" t="str">
            <v>EPBM</v>
          </cell>
          <cell r="F90" t="str">
            <v>LICEO_ALFREDO_NOBEL</v>
          </cell>
          <cell r="G90" t="str">
            <v>LICEO ALFREDO NOBEL</v>
          </cell>
          <cell r="H90" t="str">
            <v>Autoevaluación Institucional y Pruebas SABER 11</v>
          </cell>
          <cell r="I90" t="str">
            <v>SEGUIMIENTO_Y_SUPERVISIÓN.</v>
          </cell>
          <cell r="J90" t="str">
            <v>Proponer estrategias en la formulación, verificar su elaboración y realizar seguimiento semestral al desarrollo de  las acciones establecidas en los planes de mejoramiento por pruebas SABER 11 de los establecimientos de educación formal.</v>
          </cell>
          <cell r="K90" t="str">
            <v>ESTEFANY PEÑA GARCIA</v>
          </cell>
          <cell r="L90" t="str">
            <v>ANA ANDREA VARGAS GONZÁLEZ</v>
          </cell>
          <cell r="M90">
            <v>45776</v>
          </cell>
          <cell r="N90">
            <v>45776</v>
          </cell>
          <cell r="O90">
            <v>45776</v>
          </cell>
          <cell r="P90" t="str">
            <v>Visitas de evaluación con fines de seguimiento</v>
          </cell>
          <cell r="Q90" t="str">
            <v>28ABR25_Liceo Alfredo Nobel - OneDrive</v>
          </cell>
          <cell r="R90" t="str">
            <v>Se adelanta la revisión de los Resultados de las Pruebas Saber 11, encontrando que la IE se encuentra en Categoría A</v>
          </cell>
          <cell r="S90" t="str">
            <v>Se aporta documento que la Institución educativa que compara diferentes vigencias y la mejora anual hasta llegar a la categoría A  en los resultados 2024</v>
          </cell>
          <cell r="T90" t="str">
            <v>No</v>
          </cell>
          <cell r="U90" t="str">
            <v>Se acordó revisar nuevamente el documento en el mes de agosto de 2025 y generar espacios de asesoría, conforme lo requiera la IE</v>
          </cell>
        </row>
        <row r="91">
          <cell r="A91">
            <v>286</v>
          </cell>
          <cell r="B91">
            <v>10</v>
          </cell>
          <cell r="C91" t="str">
            <v>BOSA</v>
          </cell>
          <cell r="D91" t="str">
            <v>PRIVADO</v>
          </cell>
          <cell r="E91" t="str">
            <v>EPBM</v>
          </cell>
          <cell r="F91" t="str">
            <v>LICEO_ALFREDO_NOBEL</v>
          </cell>
          <cell r="G91" t="str">
            <v>LICEO ALFREDO NOBEL</v>
          </cell>
          <cell r="H91" t="str">
            <v>Autoevaluación Institucional y Pruebas SABER 11</v>
          </cell>
          <cell r="I91" t="str">
            <v>SEGUIMIENTO_Y_SUPERVISIÓN.</v>
          </cell>
          <cell r="J91" t="str">
            <v xml:space="preserve">Verificar la implementación por parte de los colegios, de acciones realizadas para la prevención y atención de las situaciones de convivencia en el entorno escolar, según lo establecido en la Directiva 01 de 2022 del MEN. </v>
          </cell>
          <cell r="K91" t="str">
            <v>ESTEFANY PEÑA GARCIA</v>
          </cell>
          <cell r="L91" t="str">
            <v>ANA ANDREA VARGAS GONZÁLEZ</v>
          </cell>
          <cell r="M91">
            <v>45776</v>
          </cell>
          <cell r="N91">
            <v>45776</v>
          </cell>
          <cell r="O91">
            <v>45776</v>
          </cell>
          <cell r="P91" t="str">
            <v>Visitas de evaluación con fines de mejoramiento</v>
          </cell>
          <cell r="Q91" t="str">
            <v>28ABR25_Liceo Alfredo Nobel - OneDrive</v>
          </cell>
          <cell r="R91" t="str">
            <v>Se verifica la implementación de acciones  realizadas para la prevención como lo es la verificación de inhabilidades por delitos sexuales en el sistema de la Policía Nacional.</v>
          </cell>
          <cell r="S91" t="str">
            <v>Como acción de verificación se solicita implementar  la autorización de directivos, docentes y administrativos para las consultas de antecedentes en los sistemas que se requieran al momento de la vinculación</v>
          </cell>
          <cell r="T91" t="str">
            <v>No</v>
          </cell>
          <cell r="U91" t="str">
            <v>Verificar que la IE cuente con las respectivas autorizaciones para las consultas de antedecentes del personal vinculado.</v>
          </cell>
        </row>
        <row r="92">
          <cell r="A92">
            <v>287</v>
          </cell>
          <cell r="B92">
            <v>10</v>
          </cell>
          <cell r="C92" t="str">
            <v>BOSA</v>
          </cell>
          <cell r="D92" t="str">
            <v>PRIVADO</v>
          </cell>
          <cell r="E92" t="str">
            <v>EPBM</v>
          </cell>
          <cell r="F92" t="str">
            <v>LICEO_ALFREDO_NOBEL</v>
          </cell>
          <cell r="G92" t="str">
            <v>LICEO ALFREDO NOBEL</v>
          </cell>
          <cell r="H92" t="str">
            <v>Autoevaluación Institucional y Pruebas SABER 11</v>
          </cell>
          <cell r="I92" t="str">
            <v>SEGUIMIENTO_Y_SUPERVISIÓN.</v>
          </cell>
          <cell r="J9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2" t="str">
            <v>ESTEFANY PEÑA GARCIA</v>
          </cell>
          <cell r="L92" t="str">
            <v>ANA ANDREA VARGAS GONZÁLEZ</v>
          </cell>
          <cell r="M92">
            <v>45776</v>
          </cell>
          <cell r="N92">
            <v>45776</v>
          </cell>
          <cell r="O92">
            <v>45776</v>
          </cell>
          <cell r="P92" t="str">
            <v>Visitas de evaluación con fines de mejoramiento</v>
          </cell>
          <cell r="Q92" t="str">
            <v>28ABR25_Liceo Alfredo Nobel - OneDrive</v>
          </cell>
          <cell r="R92" t="str">
            <v>Al revisar la Plataforma SIMAT, hay 04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92" t="str">
            <v>La Institución Educativa se compromete a remitir el Documento Institucional del Plan Individual de Ajustes Razonables PIAR</v>
          </cell>
          <cell r="T92" t="str">
            <v>No</v>
          </cell>
          <cell r="U92" t="str">
            <v>Verificar la información en SIMAT</v>
          </cell>
        </row>
        <row r="93">
          <cell r="A93">
            <v>288</v>
          </cell>
          <cell r="B93">
            <v>10</v>
          </cell>
          <cell r="C93" t="str">
            <v>BOSA</v>
          </cell>
          <cell r="D93" t="str">
            <v>PRIVADO</v>
          </cell>
          <cell r="E93" t="str">
            <v>EPBM</v>
          </cell>
          <cell r="F93" t="str">
            <v>LICEO_ALFREDO_NOBEL</v>
          </cell>
          <cell r="G93" t="str">
            <v>LICEO ALFREDO NOBEL</v>
          </cell>
          <cell r="H93" t="str">
            <v>Autoevaluación Institucional y Pruebas SABER 11</v>
          </cell>
          <cell r="I93" t="str">
            <v>EVALUACIÓN_CON_FINES_DE_MEJORAMIENTO.</v>
          </cell>
          <cell r="J9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3" t="str">
            <v>ESTEFANY PEÑA GARCIA</v>
          </cell>
          <cell r="L93" t="str">
            <v>ANA ANDREA VARGAS GONZÁLEZ</v>
          </cell>
          <cell r="M93">
            <v>45776</v>
          </cell>
          <cell r="N93">
            <v>45776</v>
          </cell>
          <cell r="O93">
            <v>45776</v>
          </cell>
          <cell r="P93" t="str">
            <v>Visitas de evaluación con fines de mejoramiento</v>
          </cell>
          <cell r="Q93" t="str">
            <v>28ABR25_Liceo Alfredo Nobel - OneDrive</v>
          </cell>
          <cell r="R93" t="str">
            <v>El Manual de Convivencia fue construido y adoptado de forma participativa e incluye los componentes generales, los diferentes enfoques y se encuentra conforme a lo establecido en el PEI y la normatividad vigente</v>
          </cell>
          <cell r="S93" t="str">
            <v>Como acción de verificación la Institución Educativa se compromete a remitir la versión actualizada del Manual de Convivencia a la vigencia 2024 -2025</v>
          </cell>
          <cell r="T93" t="str">
            <v>No</v>
          </cell>
          <cell r="U93" t="str">
            <v>Verificar nuevamente el documento en el mes de agosto de 2025 y generar espacios de asesoría, conforme lo requiera la IE</v>
          </cell>
        </row>
        <row r="94">
          <cell r="A94">
            <v>289</v>
          </cell>
          <cell r="B94">
            <v>10</v>
          </cell>
          <cell r="C94" t="str">
            <v>BOSA</v>
          </cell>
          <cell r="D94" t="str">
            <v>PRIVADO</v>
          </cell>
          <cell r="E94" t="str">
            <v>EPBM</v>
          </cell>
          <cell r="F94" t="str">
            <v>LICEO_ALFREDO_NOBEL</v>
          </cell>
          <cell r="G94" t="str">
            <v>LICEO ALFREDO NOBEL</v>
          </cell>
          <cell r="H94" t="str">
            <v>Autoevaluación Institucional y Pruebas SABER 11</v>
          </cell>
          <cell r="I94" t="str">
            <v>EVALUACIÓN_CON_FINES_DE_MEJORAMIENTO.</v>
          </cell>
          <cell r="J94" t="str">
            <v>Revisar la actualización, socialización e implementación del Sistema Institucional de Evaluación de Estudiantes - SIEE, en articulación con la actualización del PEI y la normatividad vigente.</v>
          </cell>
          <cell r="K94" t="str">
            <v>ESTEFANY PEÑA GARCIA</v>
          </cell>
          <cell r="L94" t="str">
            <v>ANA ANDREA VARGAS GONZÁLEZ</v>
          </cell>
          <cell r="M94">
            <v>45776</v>
          </cell>
          <cell r="N94">
            <v>45776</v>
          </cell>
          <cell r="O94">
            <v>45776</v>
          </cell>
          <cell r="P94" t="str">
            <v>Visitas de evaluación con fines de mejoramiento</v>
          </cell>
          <cell r="Q94" t="str">
            <v>28ABR25_Liceo Alfredo Nobel - OneDrive</v>
          </cell>
          <cell r="R94" t="str">
            <v>Se evidencia el Sistema Institucional de Evaluación de Estudiantes - SIEE, actualizado para la vigencia 2025. Fue construido en articulación con el Consejo Directivo y la comunidad educativa desde el año 2019 y se actualiza cada 2 años</v>
          </cell>
          <cell r="S94" t="str">
            <v>Como acción de verificación la Institución Educativa se compromete a remitir la versión actualizada del  Sistema institucional de evaluación de los estudiantes- SIEE</v>
          </cell>
          <cell r="T94" t="str">
            <v>No</v>
          </cell>
          <cell r="U94" t="str">
            <v>Verificar nuevamente el documento en el mes de agosto de 2025 y generar espacios de asesoría, conforme lo requiera la IE</v>
          </cell>
        </row>
        <row r="95">
          <cell r="A95">
            <v>290</v>
          </cell>
          <cell r="B95">
            <v>10</v>
          </cell>
          <cell r="C95" t="str">
            <v>BOSA</v>
          </cell>
          <cell r="D95" t="str">
            <v>PRIVADO</v>
          </cell>
          <cell r="E95" t="str">
            <v>EPBM</v>
          </cell>
          <cell r="F95" t="str">
            <v>LICEO_ALFREDO_NOBEL</v>
          </cell>
          <cell r="G95" t="str">
            <v>LICEO ALFREDO NOBEL</v>
          </cell>
          <cell r="H95" t="str">
            <v>Autoevaluación Institucional y Pruebas SABER 11</v>
          </cell>
          <cell r="I95" t="str">
            <v>EVALUACIÓN_CON_FINES_DE_MEJORAMIENTO.</v>
          </cell>
          <cell r="J95" t="str">
            <v>Revisar el calendario escolar, jornada escolar, la intensidad horaria mínima anual en cada nivel y las modificaciones que se realicen al mismo, de acuerdo con lo previsto en la normatividad vigente.</v>
          </cell>
          <cell r="K95" t="str">
            <v>ESTEFANY PEÑA GARCIA</v>
          </cell>
          <cell r="L95" t="str">
            <v>ANA ANDREA VARGAS GONZÁLEZ</v>
          </cell>
          <cell r="M95">
            <v>45776</v>
          </cell>
          <cell r="N95">
            <v>45776</v>
          </cell>
          <cell r="O95">
            <v>45776</v>
          </cell>
          <cell r="P95" t="str">
            <v>Visitas de evaluación con fines de mejoramiento</v>
          </cell>
          <cell r="Q95" t="str">
            <v>28ABR25_Liceo Alfredo Nobel - OneDrive</v>
          </cell>
          <cell r="R95" t="str">
            <v>El calendario escolar, jornada escolar, la intensidad horaria mínima anual en cada nivel se encuentran conforme lo previsto en la normatividad vigente</v>
          </cell>
          <cell r="S95" t="str">
            <v>Como acción de verificación la Institución Educativa se compromete a remitir la versión actualizada calendario escolar</v>
          </cell>
          <cell r="T95" t="str">
            <v>No</v>
          </cell>
          <cell r="U95" t="str">
            <v>Verificar nuevamente el documento en el mes de agosto de 2025 y generar espacios de asesoría, conforme lo requiera la IE</v>
          </cell>
        </row>
        <row r="96">
          <cell r="A96">
            <v>291</v>
          </cell>
          <cell r="B96">
            <v>10</v>
          </cell>
          <cell r="C96" t="str">
            <v>BOSA</v>
          </cell>
          <cell r="D96" t="str">
            <v>PRIVADO</v>
          </cell>
          <cell r="E96" t="str">
            <v>EPBM</v>
          </cell>
          <cell r="F96" t="str">
            <v>LICEO_ALFREDO_NOBEL</v>
          </cell>
          <cell r="G96" t="str">
            <v>LICEO ALFREDO NOBEL</v>
          </cell>
          <cell r="H96" t="str">
            <v>Autoevaluación Institucional y Pruebas SABER 11</v>
          </cell>
          <cell r="I96" t="str">
            <v>EVALUACIÓN_CON_FINES_DE_MEJORAMIENTO.</v>
          </cell>
          <cell r="J96" t="str">
            <v>Verificar el funcionamiento del Gobierno Escolar e instancias de participación con base en la información sobre conformación reportada por la institución educativa.</v>
          </cell>
          <cell r="K96" t="str">
            <v>ESTEFANY PEÑA GARCIA</v>
          </cell>
          <cell r="L96" t="str">
            <v>ANA ANDREA VARGAS GONZÁLEZ</v>
          </cell>
          <cell r="M96">
            <v>45776</v>
          </cell>
          <cell r="N96">
            <v>45776</v>
          </cell>
          <cell r="O96">
            <v>45776</v>
          </cell>
          <cell r="P96" t="str">
            <v>Visitas de evaluación con fines de mejoramiento</v>
          </cell>
          <cell r="Q96" t="str">
            <v>28ABR25_Liceo Alfredo Nobel - OneDrive</v>
          </cell>
          <cell r="R96" t="str">
            <v>La constitución del Gobierno Escolar y sus órganos de participación, se encuentra conforme a la Normativa Vigente</v>
          </cell>
          <cell r="S96" t="str">
            <v>Continuar operando conforme funciones y reglamentos.</v>
          </cell>
          <cell r="T96" t="str">
            <v>No</v>
          </cell>
          <cell r="U96" t="str">
            <v>Verificar la conformación del Gobierno Escolar e instancias para la vigencia 2026 o antes si la IE lo requiere o se presenta solicitud o queja.</v>
          </cell>
        </row>
        <row r="97">
          <cell r="A97">
            <v>292</v>
          </cell>
          <cell r="B97">
            <v>10</v>
          </cell>
          <cell r="C97" t="str">
            <v>BOSA</v>
          </cell>
          <cell r="D97" t="str">
            <v>PRIVADO</v>
          </cell>
          <cell r="E97" t="str">
            <v>EPBM</v>
          </cell>
          <cell r="F97" t="str">
            <v>LICEO_ALFREDO_NOBEL</v>
          </cell>
          <cell r="G97" t="str">
            <v>LICEO ALFREDO NOBEL</v>
          </cell>
          <cell r="H97" t="str">
            <v>Autoevaluación Institucional y Pruebas SABER 11</v>
          </cell>
          <cell r="I97" t="str">
            <v>EVALUACIÓN_CON_FINES_DE_MEJORAMIENTO.</v>
          </cell>
          <cell r="J97" t="str">
            <v>Verificar las condiciones en cuanto a: la estructura administrativa, condiciones de la planta física y medios educativos adecuados.</v>
          </cell>
          <cell r="K97" t="str">
            <v>ESTEFANY PEÑA GARCIA</v>
          </cell>
          <cell r="L97" t="str">
            <v>ANA ANDREA VARGAS GONZÁLEZ</v>
          </cell>
          <cell r="M97">
            <v>45776</v>
          </cell>
          <cell r="N97">
            <v>45776</v>
          </cell>
          <cell r="O97">
            <v>45776</v>
          </cell>
          <cell r="P97" t="str">
            <v>Visitas de evaluación con fines de mejoramiento</v>
          </cell>
          <cell r="Q97" t="str">
            <v>28ABR25_Liceo Alfredo Nobel - OneDrive</v>
          </cell>
          <cell r="R97" t="str">
            <v>Se realiza un recorrido en las instalaciones de la IE, verificando las condiciones en cuanto a: la estructura administrativa, condiciones de la planta física y medios educativos adecuados.</v>
          </cell>
          <cell r="S97" t="str">
            <v>Las condiciones de la estructura administrativa, condiciones de la planta física y medios educativos son adecuados y garantizan la prestación del servicio educativo</v>
          </cell>
          <cell r="T97" t="str">
            <v>No</v>
          </cell>
          <cell r="U97" t="str">
            <v>Las condiciones de la planta física garantizan la adecuada prestación del servicio educativo</v>
          </cell>
        </row>
        <row r="98">
          <cell r="A98">
            <v>293</v>
          </cell>
          <cell r="B98">
            <v>11</v>
          </cell>
          <cell r="C98" t="str">
            <v>BOSA</v>
          </cell>
          <cell r="D98" t="str">
            <v>PRIVADO</v>
          </cell>
          <cell r="E98" t="str">
            <v>EPBM</v>
          </cell>
          <cell r="F98" t="str">
            <v>LICEO_BILINGÜE_ROMULO_GALLEGOS</v>
          </cell>
          <cell r="G98" t="str">
            <v>LICEO BILINGÜE ROMULO GALLEGOS</v>
          </cell>
          <cell r="H98" t="str">
            <v>Autoevaluación Institucional y Pruebas SABER 11</v>
          </cell>
          <cell r="I98" t="str">
            <v>SEGUIMIENTO_Y_SUPERVISIÓN.</v>
          </cell>
          <cell r="J98" t="str">
            <v>Realizar visitas para verificar la información registrada sobre la autoevaluación institucional en el aplicativo EVI, a los establecimientos de educación formal no oficial.</v>
          </cell>
          <cell r="K98" t="str">
            <v>JOSÉ ANTONIO PÁEZ FETECUA</v>
          </cell>
          <cell r="L98" t="str">
            <v>JULIÁN FELIPE BERNAL GARZÓN</v>
          </cell>
          <cell r="M98">
            <v>45783</v>
          </cell>
          <cell r="N98">
            <v>45783</v>
          </cell>
          <cell r="O98">
            <v>45783</v>
          </cell>
          <cell r="P98" t="str">
            <v>Visitas de evaluación con fines de mejoramiento</v>
          </cell>
          <cell r="Q98" t="str">
            <v>05MAY25_Liceo Bilingüe Rómulo Gallegos</v>
          </cell>
          <cell r="R98" t="str">
            <v>La información consignada en la Plataforma EVI relacionada con los indicadores de: planta física, dotación de espacios y calendario académico coincide con lo verificado en campo</v>
          </cell>
          <cell r="S98" t="str">
            <v xml:space="preserve">Se concluye que la IE realizará su autoevalución institucional en el mes octubre.  </v>
          </cell>
          <cell r="T98" t="str">
            <v>No</v>
          </cell>
          <cell r="U98" t="str">
            <v>Se verificará la información cargada por la IE en el aplicativo EVI de la autoevaluación,  para la emisión del concepto de tarifas 2026</v>
          </cell>
        </row>
        <row r="99">
          <cell r="A99">
            <v>294</v>
          </cell>
          <cell r="B99">
            <v>11</v>
          </cell>
          <cell r="C99" t="str">
            <v>BOSA</v>
          </cell>
          <cell r="D99" t="str">
            <v>PRIVADO</v>
          </cell>
          <cell r="E99" t="str">
            <v>EPBM</v>
          </cell>
          <cell r="F99" t="str">
            <v>LICEO_BILINGÜE_ROMULO_GALLEGOS</v>
          </cell>
          <cell r="G99" t="str">
            <v>LICEO BILINGÜE ROMULO GALLEGOS</v>
          </cell>
          <cell r="H99" t="str">
            <v>Autoevaluación Institucional y Pruebas SABER 11</v>
          </cell>
          <cell r="I99" t="str">
            <v>SEGUIMIENTO_Y_SUPERVISIÓN.</v>
          </cell>
          <cell r="J99" t="str">
            <v>Proponer estrategias en la formulación, verificar su elaboración y realizar seguimiento semestral al desarrollo de  las acciones establecidas en los planes de mejoramiento por pruebas SABER 11 de los establecimientos de educación formal.</v>
          </cell>
          <cell r="K99" t="str">
            <v>JOSÉ ANTONIO PÁEZ FETECUA</v>
          </cell>
          <cell r="L99" t="str">
            <v>JULIÁN FELIPE BERNAL GARZÓN</v>
          </cell>
          <cell r="M99">
            <v>45783</v>
          </cell>
          <cell r="N99">
            <v>45783</v>
          </cell>
          <cell r="O99">
            <v>45783</v>
          </cell>
          <cell r="P99" t="str">
            <v>Visitas de evaluación con fines de seguimiento</v>
          </cell>
          <cell r="Q99" t="str">
            <v>05MAY25_Liceo Bilingüe Rómulo Gallegos</v>
          </cell>
          <cell r="R99" t="str">
            <v>Se adelanta la revisión de los Resultados de las Pruebas Saber 11, encontrando que la IE se encuentra en Categoría A</v>
          </cell>
          <cell r="S99" t="str">
            <v>Se aporta documento que la Institución educativa que compara diferentes vigencias y la mejora anual hasta llegar a la categoría A en los resultados 2024</v>
          </cell>
          <cell r="T99" t="str">
            <v>No</v>
          </cell>
          <cell r="U99" t="str">
            <v>Se acordó revisar nuevamente el documento en el mes de agosto de 2025 y generar espacios de asesoría, conforme lo requiera la IE</v>
          </cell>
        </row>
        <row r="100">
          <cell r="A100">
            <v>295</v>
          </cell>
          <cell r="B100">
            <v>11</v>
          </cell>
          <cell r="C100" t="str">
            <v>BOSA</v>
          </cell>
          <cell r="D100" t="str">
            <v>PRIVADO</v>
          </cell>
          <cell r="E100" t="str">
            <v>EPBM</v>
          </cell>
          <cell r="F100" t="str">
            <v>LICEO_BILINGÜE_ROMULO_GALLEGOS</v>
          </cell>
          <cell r="G100" t="str">
            <v>LICEO BILINGÜE ROMULO GALLEGOS</v>
          </cell>
          <cell r="H100" t="str">
            <v>Autoevaluación Institucional y Pruebas SABER 11</v>
          </cell>
          <cell r="I100" t="str">
            <v>SEGUIMIENTO_Y_SUPERVISIÓN.</v>
          </cell>
          <cell r="J100" t="str">
            <v xml:space="preserve">Verificar la implementación por parte de los colegios, de acciones realizadas para la prevención y atención de las situaciones de convivencia en el entorno escolar, según lo establecido en la Directiva 01 de 2022 del MEN. </v>
          </cell>
          <cell r="K100" t="str">
            <v>JOSÉ ANTONIO PÁEZ FETECUA</v>
          </cell>
          <cell r="L100" t="str">
            <v>JULIÁN FELIPE BERNAL GARZÓN</v>
          </cell>
          <cell r="M100">
            <v>45783</v>
          </cell>
          <cell r="N100">
            <v>45783</v>
          </cell>
          <cell r="O100">
            <v>45783</v>
          </cell>
          <cell r="P100" t="str">
            <v>Visitas de evaluación con fines de mejoramiento</v>
          </cell>
          <cell r="Q100" t="str">
            <v>05MAY25_Liceo Bilingüe Rómulo Gallegos</v>
          </cell>
          <cell r="R100" t="str">
            <v>Se verifica la implementación de acciones  realizadas para la prevención como lo es la verificación de inhabilidades por delitos sexuales en el sistema de la Policía Nacional.</v>
          </cell>
          <cell r="S100" t="str">
            <v>Como acción de verificación se solicita implementar  la autorización de directivos, docentes y administrativos para las consultas de antecedentes en los sistemas que se requieran al momento de la vinculación</v>
          </cell>
          <cell r="T100" t="str">
            <v>No</v>
          </cell>
          <cell r="U100" t="str">
            <v>Verificar que la IE cuente con las respectivas autorizaciones para las consultas de antedecentes del personal vinculado.</v>
          </cell>
        </row>
        <row r="101">
          <cell r="A101">
            <v>296</v>
          </cell>
          <cell r="B101">
            <v>11</v>
          </cell>
          <cell r="C101" t="str">
            <v>BOSA</v>
          </cell>
          <cell r="D101" t="str">
            <v>PRIVADO</v>
          </cell>
          <cell r="E101" t="str">
            <v>EPBM</v>
          </cell>
          <cell r="F101" t="str">
            <v>LICEO_BILINGÜE_ROMULO_GALLEGOS</v>
          </cell>
          <cell r="G101" t="str">
            <v>LICEO BILINGÜE ROMULO GALLEGOS</v>
          </cell>
          <cell r="H101" t="str">
            <v>Autoevaluación Institucional y Pruebas SABER 11</v>
          </cell>
          <cell r="I101" t="str">
            <v>SEGUIMIENTO_Y_SUPERVISIÓN.</v>
          </cell>
          <cell r="J10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1" t="str">
            <v>JOSÉ ANTONIO PÁEZ FETECUA</v>
          </cell>
          <cell r="L101" t="str">
            <v>JULIÁN FELIPE BERNAL GARZÓN</v>
          </cell>
          <cell r="M101">
            <v>45783</v>
          </cell>
          <cell r="N101">
            <v>45783</v>
          </cell>
          <cell r="O101">
            <v>45783</v>
          </cell>
          <cell r="P101" t="str">
            <v>Visitas de evaluación con fines de mejoramiento</v>
          </cell>
          <cell r="Q101" t="str">
            <v>05MAY25_Liceo Bilingüe Rómulo Gallegos</v>
          </cell>
          <cell r="R101" t="str">
            <v>Al revisar la Plataforma SIMAT, no hay estudiantes marcados en la Plataforma con discapacidad</v>
          </cell>
          <cell r="S101" t="str">
            <v>La Institución Educativa se compromete a remitir el Documento Institucional del Plan Individual de Ajustes Razonables PIAR</v>
          </cell>
          <cell r="T101" t="str">
            <v>No</v>
          </cell>
          <cell r="U101" t="str">
            <v>Verificar la información en SIMAT</v>
          </cell>
        </row>
        <row r="102">
          <cell r="A102">
            <v>297</v>
          </cell>
          <cell r="B102">
            <v>11</v>
          </cell>
          <cell r="C102" t="str">
            <v>BOSA</v>
          </cell>
          <cell r="D102" t="str">
            <v>PRIVADO</v>
          </cell>
          <cell r="E102" t="str">
            <v>EPBM</v>
          </cell>
          <cell r="F102" t="str">
            <v>LICEO_BILINGÜE_ROMULO_GALLEGOS</v>
          </cell>
          <cell r="G102" t="str">
            <v>LICEO BILINGÜE ROMULO GALLEGOS</v>
          </cell>
          <cell r="H102" t="str">
            <v>Autoevaluación Institucional y Pruebas SABER 11</v>
          </cell>
          <cell r="I102" t="str">
            <v>EVALUACIÓN_CON_FINES_DE_MEJORAMIENTO.</v>
          </cell>
          <cell r="J10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2" t="str">
            <v>JOSÉ ANTONIO PÁEZ FETECUA</v>
          </cell>
          <cell r="L102" t="str">
            <v>JULIÁN FELIPE BERNAL GARZÓN</v>
          </cell>
          <cell r="M102">
            <v>45783</v>
          </cell>
          <cell r="N102">
            <v>45783</v>
          </cell>
          <cell r="O102">
            <v>45783</v>
          </cell>
          <cell r="P102" t="str">
            <v>Visitas de evaluación con fines de mejoramiento</v>
          </cell>
          <cell r="Q102" t="str">
            <v>05MAY25_Liceo Bilingüe Rómulo Gallegos</v>
          </cell>
          <cell r="R102" t="str">
            <v>El Manual de Convivencia fue construido y adoptado de forma participativa e incluye los componentes generales, los diferentes enfoques y se encuentra conforme a lo establecido en el PEI y la normatividad vigente</v>
          </cell>
          <cell r="S102" t="str">
            <v>Como acción de verificación la Institución Educativa se compromete a remitir la versión actualizada del Manual de Convivencia a la vigencia 2024 -2025</v>
          </cell>
          <cell r="T102" t="str">
            <v>No</v>
          </cell>
          <cell r="U102" t="str">
            <v>Verificar nuevamente el documento en el mes de agosto de 2025 y generar espacios de asesoría, conforme lo requiera la IE</v>
          </cell>
        </row>
        <row r="103">
          <cell r="A103">
            <v>298</v>
          </cell>
          <cell r="B103">
            <v>11</v>
          </cell>
          <cell r="C103" t="str">
            <v>BOSA</v>
          </cell>
          <cell r="D103" t="str">
            <v>PRIVADO</v>
          </cell>
          <cell r="E103" t="str">
            <v>EPBM</v>
          </cell>
          <cell r="F103" t="str">
            <v>LICEO_BILINGÜE_ROMULO_GALLEGOS</v>
          </cell>
          <cell r="G103" t="str">
            <v>LICEO BILINGÜE ROMULO GALLEGOS</v>
          </cell>
          <cell r="H103" t="str">
            <v>Autoevaluación Institucional y Pruebas SABER 11</v>
          </cell>
          <cell r="I103" t="str">
            <v>EVALUACIÓN_CON_FINES_DE_MEJORAMIENTO.</v>
          </cell>
          <cell r="J103" t="str">
            <v>Revisar la actualización, socialización e implementación del Sistema Institucional de Evaluación de Estudiantes - SIEE, en articulación con la actualización del PEI y la normatividad vigente.</v>
          </cell>
          <cell r="K103" t="str">
            <v>JOSÉ ANTONIO PÁEZ FETECUA</v>
          </cell>
          <cell r="L103" t="str">
            <v>JULIÁN FELIPE BERNAL GARZÓN</v>
          </cell>
          <cell r="M103">
            <v>45783</v>
          </cell>
          <cell r="N103">
            <v>45783</v>
          </cell>
          <cell r="O103">
            <v>45783</v>
          </cell>
          <cell r="P103" t="str">
            <v>Visitas de evaluación con fines de mejoramiento</v>
          </cell>
          <cell r="Q103" t="str">
            <v>05MAY25_Liceo Bilingüe Rómulo Gallegos</v>
          </cell>
          <cell r="R103" t="str">
            <v>Se evidencia el Sistema Institucional de Evaluación de Estudiantes - SIEE, actualizado para la vigencia 2025. Fue construido en articulación con el Consejo Directivo y la comunidad educativa desde el año 2019 y se actualiza cada 2 años</v>
          </cell>
          <cell r="S103" t="str">
            <v>Como acción de verificación la Institución Educativa se compromete a remitir la versión actualizada del  Sistema institucional de evaluación de los estudiantes- SIEE</v>
          </cell>
          <cell r="T103" t="str">
            <v>No</v>
          </cell>
          <cell r="U103" t="str">
            <v>Verificar nuevamente el documento en el mes de agosto de 2025 y generar espacios de asesoría, conforme lo requiera la IE</v>
          </cell>
        </row>
        <row r="104">
          <cell r="A104">
            <v>299</v>
          </cell>
          <cell r="B104">
            <v>11</v>
          </cell>
          <cell r="C104" t="str">
            <v>BOSA</v>
          </cell>
          <cell r="D104" t="str">
            <v>PRIVADO</v>
          </cell>
          <cell r="E104" t="str">
            <v>EPBM</v>
          </cell>
          <cell r="F104" t="str">
            <v>LICEO_BILINGÜE_ROMULO_GALLEGOS</v>
          </cell>
          <cell r="G104" t="str">
            <v>LICEO BILINGÜE ROMULO GALLEGOS</v>
          </cell>
          <cell r="H104" t="str">
            <v>Autoevaluación Institucional y Pruebas SABER 11</v>
          </cell>
          <cell r="I104" t="str">
            <v>EVALUACIÓN_CON_FINES_DE_MEJORAMIENTO.</v>
          </cell>
          <cell r="J104" t="str">
            <v>Revisar el calendario escolar, jornada escolar, la intensidad horaria mínima anual en cada nivel y las modificaciones que se realicen al mismo, de acuerdo con lo previsto en la normatividad vigente.</v>
          </cell>
          <cell r="K104" t="str">
            <v>JOSÉ ANTONIO PÁEZ FETECUA</v>
          </cell>
          <cell r="L104" t="str">
            <v>JULIÁN FELIPE BERNAL GARZÓN</v>
          </cell>
          <cell r="M104">
            <v>45783</v>
          </cell>
          <cell r="N104">
            <v>45783</v>
          </cell>
          <cell r="O104">
            <v>45783</v>
          </cell>
          <cell r="P104" t="str">
            <v>Visitas de evaluación con fines de mejoramiento</v>
          </cell>
          <cell r="Q104" t="str">
            <v>05MAY25_Liceo Bilingüe Rómulo Gallegos</v>
          </cell>
          <cell r="R104" t="str">
            <v>El calendario escolar, jornada escolar, la intensidad horaria mínima anual en cada nivel se encuentran conforme lo previsto en la normatividad vigente</v>
          </cell>
          <cell r="S104" t="str">
            <v>Como acción de verificación la Institución Educativa se compromete a remitir la versión actualizada calendario escolar</v>
          </cell>
          <cell r="T104" t="str">
            <v>No</v>
          </cell>
          <cell r="U104" t="str">
            <v>Verificar nuevamente el documento en el mes de agosto de 2025 y generar espacios de asesoría, conforme lo requiera la IE</v>
          </cell>
        </row>
        <row r="105">
          <cell r="A105">
            <v>300</v>
          </cell>
          <cell r="B105">
            <v>11</v>
          </cell>
          <cell r="C105" t="str">
            <v>BOSA</v>
          </cell>
          <cell r="D105" t="str">
            <v>PRIVADO</v>
          </cell>
          <cell r="E105" t="str">
            <v>EPBM</v>
          </cell>
          <cell r="F105" t="str">
            <v>LICEO_BILINGÜE_ROMULO_GALLEGOS</v>
          </cell>
          <cell r="G105" t="str">
            <v>LICEO BILINGÜE ROMULO GALLEGOS</v>
          </cell>
          <cell r="H105" t="str">
            <v>Autoevaluación Institucional y Pruebas SABER 11</v>
          </cell>
          <cell r="I105" t="str">
            <v>EVALUACIÓN_CON_FINES_DE_MEJORAMIENTO.</v>
          </cell>
          <cell r="J105" t="str">
            <v>Verificar el funcionamiento del Gobierno Escolar e instancias de participación con base en la información sobre conformación reportada por la institución educativa.</v>
          </cell>
          <cell r="K105" t="str">
            <v>JOSÉ ANTONIO PÁEZ FETECUA</v>
          </cell>
          <cell r="L105" t="str">
            <v>JULIÁN FELIPE BERNAL GARZÓN</v>
          </cell>
          <cell r="M105">
            <v>45783</v>
          </cell>
          <cell r="N105">
            <v>45783</v>
          </cell>
          <cell r="O105">
            <v>45783</v>
          </cell>
          <cell r="P105" t="str">
            <v>Visitas de evaluación con fines de mejoramiento</v>
          </cell>
          <cell r="Q105" t="str">
            <v>05MAY25_Liceo Bilingüe Rómulo Gallegos</v>
          </cell>
          <cell r="R105" t="str">
            <v>La constitución del Gobierno Escolar y sus órganos de participación, se encuentra conforme a la Normativa Vigente</v>
          </cell>
          <cell r="S105" t="str">
            <v>Continuar operando conforme funciones y reglamentos.</v>
          </cell>
          <cell r="T105" t="str">
            <v>No</v>
          </cell>
          <cell r="U105" t="str">
            <v>Verificar la conformación del Gobierno Escolar e instancias para la vigencia 2026 o antes si la IE lo requiere o se presenta solicitud o queja.</v>
          </cell>
        </row>
        <row r="106">
          <cell r="A106">
            <v>301</v>
          </cell>
          <cell r="B106">
            <v>11</v>
          </cell>
          <cell r="C106" t="str">
            <v>BOSA</v>
          </cell>
          <cell r="D106" t="str">
            <v>PRIVADO</v>
          </cell>
          <cell r="E106" t="str">
            <v>EPBM</v>
          </cell>
          <cell r="F106" t="str">
            <v>LICEO_BILINGÜE_ROMULO_GALLEGOS</v>
          </cell>
          <cell r="G106" t="str">
            <v>LICEO BILINGÜE ROMULO GALLEGOS</v>
          </cell>
          <cell r="H106" t="str">
            <v>Autoevaluación Institucional y Pruebas SABER 11</v>
          </cell>
          <cell r="I106" t="str">
            <v>EVALUACIÓN_CON_FINES_DE_MEJORAMIENTO.</v>
          </cell>
          <cell r="J106" t="str">
            <v>Verificar las condiciones en cuanto a: la estructura administrativa, condiciones de la planta física y medios educativos adecuados.</v>
          </cell>
          <cell r="K106" t="str">
            <v>JOSÉ ANTONIO PÁEZ FETECUA</v>
          </cell>
          <cell r="L106" t="str">
            <v>JULIÁN FELIPE BERNAL GARZÓN</v>
          </cell>
          <cell r="M106">
            <v>45783</v>
          </cell>
          <cell r="N106">
            <v>45783</v>
          </cell>
          <cell r="O106">
            <v>45783</v>
          </cell>
          <cell r="P106" t="str">
            <v>Visitas de evaluación con fines de mejoramiento</v>
          </cell>
          <cell r="Q106" t="str">
            <v>05MAY25_Liceo Bilingüe Rómulo Gallegos</v>
          </cell>
          <cell r="R106" t="str">
            <v>Se realiza un recorrido en las instalaciones de la IE, verificando las condiciones en cuanto a: la estructura administrativa, condiciones de la planta física y medios educativos adecuados.</v>
          </cell>
          <cell r="S106" t="str">
            <v>Las condiciones de la estructura administrativa, condiciones de la planta física y medios educativos son adecuados y garantizan la prestación del servicio educativo</v>
          </cell>
          <cell r="T106" t="str">
            <v>No</v>
          </cell>
          <cell r="U106" t="str">
            <v>Las condiciones de la planta física garantizan la adecuada prestación del servicio educativo</v>
          </cell>
        </row>
        <row r="107">
          <cell r="A107">
            <v>302</v>
          </cell>
          <cell r="B107">
            <v>12</v>
          </cell>
          <cell r="C107" t="str">
            <v>BOSA</v>
          </cell>
          <cell r="D107" t="str">
            <v>PRIVADO</v>
          </cell>
          <cell r="E107" t="str">
            <v>EPBM</v>
          </cell>
          <cell r="F107" t="str">
            <v>LICEO_CENTRAL_AMERICAS</v>
          </cell>
          <cell r="G107" t="str">
            <v>LICEO CENTRAL AMERICAS</v>
          </cell>
          <cell r="H107" t="str">
            <v>Autoevaluación Institucional y Pruebas SABER 11</v>
          </cell>
          <cell r="I107" t="str">
            <v>SEGUIMIENTO_Y_SUPERVISIÓN.</v>
          </cell>
          <cell r="J107" t="str">
            <v>Realizar visitas para verificar la información registrada sobre la autoevaluación institucional en el aplicativo EVI, a los establecimientos de educación formal no oficial.</v>
          </cell>
          <cell r="K107" t="str">
            <v>JOSE YECID PAJOY CASTRO</v>
          </cell>
          <cell r="L107" t="str">
            <v>JULIÁN FELIPE BERNAL GARZÓN</v>
          </cell>
          <cell r="M107">
            <v>45790</v>
          </cell>
          <cell r="N107">
            <v>45790</v>
          </cell>
          <cell r="O107">
            <v>45790</v>
          </cell>
          <cell r="P107" t="str">
            <v>Visitas de evaluación con fines de mejoramiento</v>
          </cell>
          <cell r="Q107" t="str">
            <v>13MAY25_Liceo Central Américas</v>
          </cell>
          <cell r="R107" t="str">
            <v>La información consignada en la Plataforma EVI relacionada con los indicadores de: planta física, dotación de espacios y calendario académico coincide con lo verificado en campo</v>
          </cell>
          <cell r="S107" t="str">
            <v xml:space="preserve">Se concluye que la IE realizará su autoevalución institucional en el mes octubre.  </v>
          </cell>
          <cell r="T107" t="str">
            <v>No</v>
          </cell>
          <cell r="U107" t="str">
            <v>Se verificará la información cargada por la IE en el aplicativo EVI de la autoevaluación,  para la emisión del concepto de tarifas 2026</v>
          </cell>
        </row>
        <row r="108">
          <cell r="A108">
            <v>303</v>
          </cell>
          <cell r="B108">
            <v>12</v>
          </cell>
          <cell r="C108" t="str">
            <v>BOSA</v>
          </cell>
          <cell r="D108" t="str">
            <v>PRIVADO</v>
          </cell>
          <cell r="E108" t="str">
            <v>EPBM</v>
          </cell>
          <cell r="F108" t="str">
            <v>LICEO_CENTRAL_AMERICAS</v>
          </cell>
          <cell r="G108" t="str">
            <v>LICEO CENTRAL AMERICAS</v>
          </cell>
          <cell r="H108" t="str">
            <v>Autoevaluación Institucional y Pruebas SABER 11</v>
          </cell>
          <cell r="I108" t="str">
            <v>SEGUIMIENTO_Y_SUPERVISIÓN.</v>
          </cell>
          <cell r="J108" t="str">
            <v>Proponer estrategias en la formulación, verificar su elaboración y realizar seguimiento semestral al desarrollo de  las acciones establecidas en los planes de mejoramiento por pruebas SABER 11 de los establecimientos de educación formal.</v>
          </cell>
          <cell r="K108" t="str">
            <v>JOSE YECID PAJOY CASTRO</v>
          </cell>
          <cell r="L108" t="str">
            <v>JULIÁN FELIPE BERNAL GARZÓN</v>
          </cell>
          <cell r="M108">
            <v>45790</v>
          </cell>
          <cell r="N108">
            <v>45790</v>
          </cell>
          <cell r="O108">
            <v>45790</v>
          </cell>
          <cell r="P108" t="str">
            <v>Visitas de evaluación con fines de seguimiento</v>
          </cell>
          <cell r="Q108" t="str">
            <v>13MAY25_Liceo Central Américas</v>
          </cell>
          <cell r="R108" t="str">
            <v>Se adelanta la revisión de los Resultados de las Pruebas Saber 11, encontrando que la IE se encuentra en Categoría A</v>
          </cell>
          <cell r="S108" t="str">
            <v>Se aporta documento que la Institución educativa que compara diferentes vigencias y la mejora anual hasta llegar a la categoría A  en los resultados 2024</v>
          </cell>
          <cell r="T108" t="str">
            <v>No</v>
          </cell>
          <cell r="U108" t="str">
            <v>Se acordó revisar nuevamente el documento en el mes de agosto de 2025 y generar espacios de asesoría, conforme lo requiera la IE</v>
          </cell>
        </row>
        <row r="109">
          <cell r="A109">
            <v>304</v>
          </cell>
          <cell r="B109">
            <v>12</v>
          </cell>
          <cell r="C109" t="str">
            <v>BOSA</v>
          </cell>
          <cell r="D109" t="str">
            <v>PRIVADO</v>
          </cell>
          <cell r="E109" t="str">
            <v>EPBM</v>
          </cell>
          <cell r="F109" t="str">
            <v>LICEO_CENTRAL_AMERICAS</v>
          </cell>
          <cell r="G109" t="str">
            <v>LICEO CENTRAL AMERICAS</v>
          </cell>
          <cell r="H109" t="str">
            <v>Autoevaluación Institucional y Pruebas SABER 11</v>
          </cell>
          <cell r="I109" t="str">
            <v>SEGUIMIENTO_Y_SUPERVISIÓN.</v>
          </cell>
          <cell r="J109" t="str">
            <v xml:space="preserve">Verificar la implementación por parte de los colegios, de acciones realizadas para la prevención y atención de las situaciones de convivencia en el entorno escolar, según lo establecido en la Directiva 01 de 2022 del MEN. </v>
          </cell>
          <cell r="K109" t="str">
            <v>JOSE YECID PAJOY CASTRO</v>
          </cell>
          <cell r="L109" t="str">
            <v>JULIÁN FELIPE BERNAL GARZÓN</v>
          </cell>
          <cell r="M109">
            <v>45790</v>
          </cell>
          <cell r="N109">
            <v>45790</v>
          </cell>
          <cell r="O109">
            <v>45790</v>
          </cell>
          <cell r="P109" t="str">
            <v>Visitas de evaluación con fines de mejoramiento</v>
          </cell>
          <cell r="Q109" t="str">
            <v>13MAY25_Liceo Central Américas</v>
          </cell>
          <cell r="R109" t="str">
            <v>Se verifica la implementación de acciones  realizadas para la prevención como lo es la verificación de inhabilidades por delitos sexuales en el sistema de la Policía Nacional.</v>
          </cell>
          <cell r="S109" t="str">
            <v>Como acción de verificación se solicita implementar  la autorización de directivos, docentes y administrativos para las consultas de antecedentes en los sistemas que se requieran al momento de la vinculación</v>
          </cell>
          <cell r="T109" t="str">
            <v>No</v>
          </cell>
          <cell r="U109" t="str">
            <v>Verificar que la IE cuente con las respectivas autorizaciones para las consultas de antedecentes del personal vinculado.</v>
          </cell>
        </row>
        <row r="110">
          <cell r="A110">
            <v>305</v>
          </cell>
          <cell r="B110">
            <v>12</v>
          </cell>
          <cell r="C110" t="str">
            <v>BOSA</v>
          </cell>
          <cell r="D110" t="str">
            <v>PRIVADO</v>
          </cell>
          <cell r="E110" t="str">
            <v>EPBM</v>
          </cell>
          <cell r="F110" t="str">
            <v>LICEO_CENTRAL_AMERICAS</v>
          </cell>
          <cell r="G110" t="str">
            <v>LICEO CENTRAL AMERICAS</v>
          </cell>
          <cell r="H110" t="str">
            <v>Autoevaluación Institucional y Pruebas SABER 11</v>
          </cell>
          <cell r="I110" t="str">
            <v>SEGUIMIENTO_Y_SUPERVISIÓN.</v>
          </cell>
          <cell r="J1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0" t="str">
            <v>JOSE YECID PAJOY CASTRO</v>
          </cell>
          <cell r="L110" t="str">
            <v>JULIÁN FELIPE BERNAL GARZÓN</v>
          </cell>
          <cell r="M110">
            <v>45790</v>
          </cell>
          <cell r="N110">
            <v>45790</v>
          </cell>
          <cell r="O110">
            <v>45790</v>
          </cell>
          <cell r="P110" t="str">
            <v>Visitas de evaluación con fines de mejoramiento</v>
          </cell>
          <cell r="Q110" t="str">
            <v>13MAY25_Liceo Central Américas</v>
          </cell>
          <cell r="R110" t="str">
            <v>Al revisar la Plataforma SIMAT, hay 04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10" t="str">
            <v>La Institución Educativa se compromete a remitir el Documento Institucional del Plan Individual de Ajustes Razonables PIAR</v>
          </cell>
          <cell r="T110" t="str">
            <v>No</v>
          </cell>
          <cell r="U110" t="str">
            <v>Verificar la información en SIMAT</v>
          </cell>
        </row>
        <row r="111">
          <cell r="A111">
            <v>306</v>
          </cell>
          <cell r="B111">
            <v>12</v>
          </cell>
          <cell r="C111" t="str">
            <v>BOSA</v>
          </cell>
          <cell r="D111" t="str">
            <v>PRIVADO</v>
          </cell>
          <cell r="E111" t="str">
            <v>EPBM</v>
          </cell>
          <cell r="F111" t="str">
            <v>LICEO_CENTRAL_AMERICAS</v>
          </cell>
          <cell r="G111" t="str">
            <v>LICEO CENTRAL AMERICAS</v>
          </cell>
          <cell r="H111" t="str">
            <v>Autoevaluación Institucional y Pruebas SABER 11</v>
          </cell>
          <cell r="I111" t="str">
            <v>EVALUACIÓN_CON_FINES_DE_MEJORAMIENTO.</v>
          </cell>
          <cell r="J1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1" t="str">
            <v>JOSE YECID PAJOY CASTRO</v>
          </cell>
          <cell r="L111" t="str">
            <v>JULIÁN FELIPE BERNAL GARZÓN</v>
          </cell>
          <cell r="M111">
            <v>45790</v>
          </cell>
          <cell r="N111">
            <v>45790</v>
          </cell>
          <cell r="O111">
            <v>45790</v>
          </cell>
          <cell r="P111" t="str">
            <v>Visitas de evaluación con fines de mejoramiento</v>
          </cell>
          <cell r="Q111" t="str">
            <v>13MAY25_Liceo Central Américas</v>
          </cell>
          <cell r="R111" t="str">
            <v>El Manual de Convivencia fue construido y adoptado de forma participativa e incluye los componentes generales, los diferentes enfoques y se encuentra conforme a lo establecido en el PEI y la normatividad vigente</v>
          </cell>
          <cell r="S111" t="str">
            <v>Como acción de verificación la Institución Educativa se compromete a remitir la versión actualizada del Manual de Convivencia a la vigencia 2024 -2025</v>
          </cell>
          <cell r="T111" t="str">
            <v>No</v>
          </cell>
          <cell r="U111" t="str">
            <v>Verificar nuevamente el documento en el mes de agosto de 2025 y generar espacios de asesoría, conforme lo requiera la IE</v>
          </cell>
        </row>
        <row r="112">
          <cell r="A112">
            <v>307</v>
          </cell>
          <cell r="B112">
            <v>12</v>
          </cell>
          <cell r="C112" t="str">
            <v>BOSA</v>
          </cell>
          <cell r="D112" t="str">
            <v>PRIVADO</v>
          </cell>
          <cell r="E112" t="str">
            <v>EPBM</v>
          </cell>
          <cell r="F112" t="str">
            <v>LICEO_CENTRAL_AMERICAS</v>
          </cell>
          <cell r="G112" t="str">
            <v>LICEO CENTRAL AMERICAS</v>
          </cell>
          <cell r="H112" t="str">
            <v>Autoevaluación Institucional y Pruebas SABER 11</v>
          </cell>
          <cell r="I112" t="str">
            <v>EVALUACIÓN_CON_FINES_DE_MEJORAMIENTO.</v>
          </cell>
          <cell r="J112" t="str">
            <v>Revisar la actualización, socialización e implementación del Sistema Institucional de Evaluación de Estudiantes - SIEE, en articulación con la actualización del PEI y la normatividad vigente.</v>
          </cell>
          <cell r="K112" t="str">
            <v>JOSE YECID PAJOY CASTRO</v>
          </cell>
          <cell r="L112" t="str">
            <v>JULIÁN FELIPE BERNAL GARZÓN</v>
          </cell>
          <cell r="M112">
            <v>45790</v>
          </cell>
          <cell r="N112">
            <v>45790</v>
          </cell>
          <cell r="O112">
            <v>45790</v>
          </cell>
          <cell r="P112" t="str">
            <v>Visitas de evaluación con fines de mejoramiento</v>
          </cell>
          <cell r="Q112" t="str">
            <v>13MAY25_Liceo Central Américas</v>
          </cell>
          <cell r="R112" t="str">
            <v>Se revisa el Sistema Institucional de Evaluación de Estudiantes - SIEE y no se encuentra incorporado en el Manual de Convivencia y requiete algunos ajustes en su contenido.</v>
          </cell>
          <cell r="S112" t="str">
            <v>Remitir la versión actualizada del Sistema Institucional de Evaluación de Estudiantes - SIEE, en articulación con la actualización del PEI y la normatividad vigente.</v>
          </cell>
          <cell r="T112" t="str">
            <v>Si</v>
          </cell>
          <cell r="U112" t="str">
            <v>Revisar el Sistema Institucional de Evaluación de Estudiantes - SIEE actualizado en 2025 y retroalimentar a la IE.</v>
          </cell>
        </row>
        <row r="113">
          <cell r="A113">
            <v>308</v>
          </cell>
          <cell r="B113">
            <v>12</v>
          </cell>
          <cell r="C113" t="str">
            <v>BOSA</v>
          </cell>
          <cell r="D113" t="str">
            <v>PRIVADO</v>
          </cell>
          <cell r="E113" t="str">
            <v>EPBM</v>
          </cell>
          <cell r="F113" t="str">
            <v>LICEO_CENTRAL_AMERICAS</v>
          </cell>
          <cell r="G113" t="str">
            <v>LICEO CENTRAL AMERICAS</v>
          </cell>
          <cell r="H113" t="str">
            <v>Autoevaluación Institucional y Pruebas SABER 11</v>
          </cell>
          <cell r="I113" t="str">
            <v>EVALUACIÓN_CON_FINES_DE_MEJORAMIENTO.</v>
          </cell>
          <cell r="J113" t="str">
            <v>Revisar el calendario escolar, jornada escolar, la intensidad horaria mínima anual en cada nivel y las modificaciones que se realicen al mismo, de acuerdo con lo previsto en la normatividad vigente.</v>
          </cell>
          <cell r="K113" t="str">
            <v>JOSE YECID PAJOY CASTRO</v>
          </cell>
          <cell r="L113" t="str">
            <v>JULIÁN FELIPE BERNAL GARZÓN</v>
          </cell>
          <cell r="M113">
            <v>45790</v>
          </cell>
          <cell r="N113">
            <v>45790</v>
          </cell>
          <cell r="O113">
            <v>45790</v>
          </cell>
          <cell r="P113" t="str">
            <v>Visitas de evaluación con fines de mejoramiento</v>
          </cell>
          <cell r="Q113" t="str">
            <v>13MAY25_Liceo Central Américas</v>
          </cell>
          <cell r="R113" t="str">
            <v>El calendario escolar, jornada escolar, la intensidad horaria mínima anual en cada nivel se encuentran conforme lo previsto en la normatividad vigente</v>
          </cell>
          <cell r="S113" t="str">
            <v>Como acción de verificación la Institución Educativa se compromete a remitir la versión actualizada calendario escolar</v>
          </cell>
          <cell r="T113" t="str">
            <v>No</v>
          </cell>
          <cell r="U113" t="str">
            <v>Verificar nuevamente el documento en el mes de agosto de 2025 y generar espacios de asesoría, conforme lo requiera la IE</v>
          </cell>
        </row>
        <row r="114">
          <cell r="A114">
            <v>309</v>
          </cell>
          <cell r="B114">
            <v>12</v>
          </cell>
          <cell r="C114" t="str">
            <v>BOSA</v>
          </cell>
          <cell r="D114" t="str">
            <v>PRIVADO</v>
          </cell>
          <cell r="E114" t="str">
            <v>EPBM</v>
          </cell>
          <cell r="F114" t="str">
            <v>LICEO_CENTRAL_AMERICAS</v>
          </cell>
          <cell r="G114" t="str">
            <v>LICEO CENTRAL AMERICAS</v>
          </cell>
          <cell r="H114" t="str">
            <v>Autoevaluación Institucional y Pruebas SABER 11</v>
          </cell>
          <cell r="I114" t="str">
            <v>EVALUACIÓN_CON_FINES_DE_MEJORAMIENTO.</v>
          </cell>
          <cell r="J114" t="str">
            <v>Verificar el funcionamiento del Gobierno Escolar e instancias de participación con base en la información sobre conformación reportada por la institución educativa.</v>
          </cell>
          <cell r="K114" t="str">
            <v>JOSE YECID PAJOY CASTRO</v>
          </cell>
          <cell r="L114" t="str">
            <v>JULIÁN FELIPE BERNAL GARZÓN</v>
          </cell>
          <cell r="M114">
            <v>45790</v>
          </cell>
          <cell r="N114">
            <v>45790</v>
          </cell>
          <cell r="O114">
            <v>45790</v>
          </cell>
          <cell r="P114" t="str">
            <v>Visitas de evaluación con fines de mejoramiento</v>
          </cell>
          <cell r="Q114" t="str">
            <v>13MAY25_Liceo Central Américas</v>
          </cell>
          <cell r="R114" t="str">
            <v>La constitución del Gobierno Escolar y sus órganos de participación, se encuentra conforme a la Normativa Vigente</v>
          </cell>
          <cell r="S114" t="str">
            <v>Continuar operando conforme funciones y reglamentos.</v>
          </cell>
          <cell r="T114" t="str">
            <v>No</v>
          </cell>
          <cell r="U114" t="str">
            <v>Verificar la conformación del Gobierno Escolar e instancias para la vigencia 2026 o antes si la IE lo requiere o se presenta solicitud o queja.</v>
          </cell>
        </row>
        <row r="115">
          <cell r="A115">
            <v>310</v>
          </cell>
          <cell r="B115">
            <v>12</v>
          </cell>
          <cell r="C115" t="str">
            <v>BOSA</v>
          </cell>
          <cell r="D115" t="str">
            <v>PRIVADO</v>
          </cell>
          <cell r="E115" t="str">
            <v>EPBM</v>
          </cell>
          <cell r="F115" t="str">
            <v>LICEO_CENTRAL_AMERICAS</v>
          </cell>
          <cell r="G115" t="str">
            <v>LICEO CENTRAL AMERICAS</v>
          </cell>
          <cell r="H115" t="str">
            <v>Autoevaluación Institucional y Pruebas SABER 11</v>
          </cell>
          <cell r="I115" t="str">
            <v>EVALUACIÓN_CON_FINES_DE_MEJORAMIENTO.</v>
          </cell>
          <cell r="J115" t="str">
            <v>Verificar las condiciones en cuanto a: la estructura administrativa, condiciones de la planta física y medios educativos adecuados.</v>
          </cell>
          <cell r="K115" t="str">
            <v>JOSE YECID PAJOY CASTRO</v>
          </cell>
          <cell r="L115" t="str">
            <v>JULIÁN FELIPE BERNAL GARZÓN</v>
          </cell>
          <cell r="M115">
            <v>45790</v>
          </cell>
          <cell r="N115">
            <v>45790</v>
          </cell>
          <cell r="O115">
            <v>45790</v>
          </cell>
          <cell r="P115" t="str">
            <v>Visitas de evaluación con fines de mejoramiento</v>
          </cell>
          <cell r="Q115" t="str">
            <v>13MAY25_Liceo Central Américas</v>
          </cell>
          <cell r="R115" t="str">
            <v>Se realiza un recorrido en las instalaciones de la IE y se evidencia falta de mantenimiento en las Instalaciones y se debe verificar el proceso de ambientes compartidos de la SED</v>
          </cell>
          <cell r="S115" t="str">
            <v>Se recomienda actualizar el mobiliario más antiguo y se debe verificar el proceso de ambientes compartidos de la SED</v>
          </cell>
          <cell r="T115" t="str">
            <v>No</v>
          </cell>
          <cell r="U115" t="str">
            <v>Las condiciones de la planta física garantizan la adecuada prestación del servicio educativo</v>
          </cell>
        </row>
        <row r="116">
          <cell r="A116">
            <v>311</v>
          </cell>
          <cell r="B116">
            <v>13</v>
          </cell>
          <cell r="C116" t="str">
            <v>BOSA</v>
          </cell>
          <cell r="D116" t="str">
            <v>PRIVADO</v>
          </cell>
          <cell r="E116" t="str">
            <v>EPBM</v>
          </cell>
          <cell r="F116" t="str">
            <v>LICEO_CIUDAD_CAPITAL</v>
          </cell>
          <cell r="G116" t="str">
            <v>LICEO CIUDAD CAPITAL</v>
          </cell>
          <cell r="H116" t="str">
            <v>Autoevaluación Institucional y Pruebas SABER 11</v>
          </cell>
          <cell r="I116" t="str">
            <v>SEGUIMIENTO_Y_SUPERVISIÓN.</v>
          </cell>
          <cell r="J116" t="str">
            <v>Realizar visitas para verificar la información registrada sobre la autoevaluación institucional en el aplicativo EVI, a los establecimientos de educación formal no oficial.</v>
          </cell>
          <cell r="K116" t="str">
            <v>ANA ANDREA VARGAS GONZÁLEZ</v>
          </cell>
          <cell r="L116" t="str">
            <v>JOSÉ ANTONIO PÁEZ FETECUA</v>
          </cell>
          <cell r="M116">
            <v>45792</v>
          </cell>
          <cell r="N116">
            <v>45792</v>
          </cell>
          <cell r="O116">
            <v>45792</v>
          </cell>
          <cell r="P116" t="str">
            <v>Visitas de evaluación con fines de mejoramiento</v>
          </cell>
          <cell r="Q116" t="str">
            <v>15MAY25_Liceo Ciudad Capital</v>
          </cell>
          <cell r="R116" t="str">
            <v>La información consignada en la Plataforma EVI relacionada con los indicadores de: planta física, dotación de espacios y calendario académico coincide con lo verificado en campo</v>
          </cell>
          <cell r="S116" t="str">
            <v xml:space="preserve">Se concluye que la IE realizará su autoevalución institucional en el mes octubre.  </v>
          </cell>
          <cell r="T116" t="str">
            <v>No</v>
          </cell>
          <cell r="U116" t="str">
            <v>Se verificará la información cargada por la IE en el aplicativo EVI de la autoevaluación,  para la emisión del concepto de tarifas 2026</v>
          </cell>
        </row>
        <row r="117">
          <cell r="A117">
            <v>312</v>
          </cell>
          <cell r="B117">
            <v>13</v>
          </cell>
          <cell r="C117" t="str">
            <v>BOSA</v>
          </cell>
          <cell r="D117" t="str">
            <v>PRIVADO</v>
          </cell>
          <cell r="E117" t="str">
            <v>EPBM</v>
          </cell>
          <cell r="F117" t="str">
            <v>LICEO_CIUDAD_CAPITAL</v>
          </cell>
          <cell r="G117" t="str">
            <v>LICEO CIUDAD CAPITAL</v>
          </cell>
          <cell r="H117" t="str">
            <v>Autoevaluación Institucional y Pruebas SABER 11</v>
          </cell>
          <cell r="I117" t="str">
            <v>SEGUIMIENTO_Y_SUPERVISIÓN.</v>
          </cell>
          <cell r="J117" t="str">
            <v>Proponer estrategias en la formulación, verificar su elaboración y realizar seguimiento semestral al desarrollo de  las acciones establecidas en los planes de mejoramiento por pruebas SABER 11 de los establecimientos de educación formal.</v>
          </cell>
          <cell r="K117" t="str">
            <v>ANA ANDREA VARGAS GONZÁLEZ</v>
          </cell>
          <cell r="L117" t="str">
            <v>JOSÉ ANTONIO PÁEZ FETECUA</v>
          </cell>
          <cell r="M117">
            <v>45792</v>
          </cell>
          <cell r="N117">
            <v>45792</v>
          </cell>
          <cell r="O117">
            <v>45792</v>
          </cell>
          <cell r="P117" t="str">
            <v>Visitas de evaluación con fines de seguimiento</v>
          </cell>
          <cell r="Q117" t="str">
            <v>15MAY25_Liceo Ciudad Capital</v>
          </cell>
          <cell r="R117" t="str">
            <v>Se adelanta la revisión de los Resultados de las Pruebas Saber 11, encontrando que la IE se encuentra en Categoría A</v>
          </cell>
          <cell r="S117" t="str">
            <v>Se aporta documento que la Institución educativa que compara diferentes vigencias y la mejora anual hasta llegar a la categoría A en los resultados 2024</v>
          </cell>
          <cell r="T117" t="str">
            <v>No</v>
          </cell>
          <cell r="U117" t="str">
            <v>Se acordó revisar nuevamente el documento en el mes de agosto de 2025 y generar espacios de asesoría, conforme lo requiera la IE</v>
          </cell>
        </row>
        <row r="118">
          <cell r="A118">
            <v>313</v>
          </cell>
          <cell r="B118">
            <v>13</v>
          </cell>
          <cell r="C118" t="str">
            <v>BOSA</v>
          </cell>
          <cell r="D118" t="str">
            <v>PRIVADO</v>
          </cell>
          <cell r="E118" t="str">
            <v>EPBM</v>
          </cell>
          <cell r="F118" t="str">
            <v>LICEO_CIUDAD_CAPITAL</v>
          </cell>
          <cell r="G118" t="str">
            <v>LICEO CIUDAD CAPITAL</v>
          </cell>
          <cell r="H118" t="str">
            <v>Autoevaluación Institucional y Pruebas SABER 11</v>
          </cell>
          <cell r="I118" t="str">
            <v>SEGUIMIENTO_Y_SUPERVISIÓN.</v>
          </cell>
          <cell r="J118" t="str">
            <v xml:space="preserve">Verificar la implementación por parte de los colegios, de acciones realizadas para la prevención y atención de las situaciones de convivencia en el entorno escolar, según lo establecido en la Directiva 01 de 2022 del MEN. </v>
          </cell>
          <cell r="K118" t="str">
            <v>ANA ANDREA VARGAS GONZÁLEZ</v>
          </cell>
          <cell r="L118" t="str">
            <v>JOSÉ ANTONIO PÁEZ FETECUA</v>
          </cell>
          <cell r="M118">
            <v>45792</v>
          </cell>
          <cell r="N118">
            <v>45792</v>
          </cell>
          <cell r="O118">
            <v>45792</v>
          </cell>
          <cell r="P118" t="str">
            <v>Visitas de evaluación con fines de mejoramiento</v>
          </cell>
          <cell r="Q118" t="str">
            <v>15MAY25_Liceo Ciudad Capital</v>
          </cell>
          <cell r="R118" t="str">
            <v>Se verifica la implementación de acciones  realizadas para la prevención como lo es la verificación de inhabilidades por delitos sexuales en el sistema de la Policía Nacional.</v>
          </cell>
          <cell r="S118" t="str">
            <v>Como acción de verificación se solicita implementar  la autorización de directivos, docentes y administrativos para las consultas de antecedentes en los sistemas que se requieran al momento de la vinculación</v>
          </cell>
          <cell r="T118" t="str">
            <v>No</v>
          </cell>
          <cell r="U118" t="str">
            <v>Verificar que la IE cuente con las respectivas autorizaciones para las consultas de antedecentes del personal vinculado.</v>
          </cell>
        </row>
        <row r="119">
          <cell r="A119">
            <v>314</v>
          </cell>
          <cell r="B119">
            <v>13</v>
          </cell>
          <cell r="C119" t="str">
            <v>BOSA</v>
          </cell>
          <cell r="D119" t="str">
            <v>PRIVADO</v>
          </cell>
          <cell r="E119" t="str">
            <v>EPBM</v>
          </cell>
          <cell r="F119" t="str">
            <v>LICEO_CIUDAD_CAPITAL</v>
          </cell>
          <cell r="G119" t="str">
            <v>LICEO CIUDAD CAPITAL</v>
          </cell>
          <cell r="H119" t="str">
            <v>Autoevaluación Institucional y Pruebas SABER 11</v>
          </cell>
          <cell r="I119" t="str">
            <v>SEGUIMIENTO_Y_SUPERVISIÓN.</v>
          </cell>
          <cell r="J1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9" t="str">
            <v>ANA ANDREA VARGAS GONZÁLEZ</v>
          </cell>
          <cell r="L119" t="str">
            <v>JOSÉ ANTONIO PÁEZ FETECUA</v>
          </cell>
          <cell r="M119">
            <v>45792</v>
          </cell>
          <cell r="N119">
            <v>45792</v>
          </cell>
          <cell r="O119">
            <v>45792</v>
          </cell>
          <cell r="P119" t="str">
            <v>Visitas de evaluación con fines de mejoramiento</v>
          </cell>
          <cell r="Q119" t="str">
            <v>15MAY25_Liceo Ciudad Capital</v>
          </cell>
          <cell r="R119" t="str">
            <v>Al revisar la Plataforma SIMAT, hay 15 estudiantes marcados en la Plataforma con discapacidad</v>
          </cell>
          <cell r="S119" t="str">
            <v>La Institución Educativa se compromete a remitir el Documento Institucional del Plan Individual de Ajustes Razonables PIAR</v>
          </cell>
          <cell r="T119" t="str">
            <v>No</v>
          </cell>
          <cell r="U119" t="str">
            <v>Verificar la información en SIMAT</v>
          </cell>
        </row>
        <row r="120">
          <cell r="A120">
            <v>315</v>
          </cell>
          <cell r="B120">
            <v>13</v>
          </cell>
          <cell r="C120" t="str">
            <v>BOSA</v>
          </cell>
          <cell r="D120" t="str">
            <v>PRIVADO</v>
          </cell>
          <cell r="E120" t="str">
            <v>EPBM</v>
          </cell>
          <cell r="F120" t="str">
            <v>LICEO_CIUDAD_CAPITAL</v>
          </cell>
          <cell r="G120" t="str">
            <v>LICEO CIUDAD CAPITAL</v>
          </cell>
          <cell r="H120" t="str">
            <v>Autoevaluación Institucional y Pruebas SABER 11</v>
          </cell>
          <cell r="I120" t="str">
            <v>EVALUACIÓN_CON_FINES_DE_MEJORAMIENTO.</v>
          </cell>
          <cell r="J12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0" t="str">
            <v>ANA ANDREA VARGAS GONZÁLEZ</v>
          </cell>
          <cell r="L120" t="str">
            <v>JOSÉ ANTONIO PÁEZ FETECUA</v>
          </cell>
          <cell r="M120">
            <v>45792</v>
          </cell>
          <cell r="N120">
            <v>45792</v>
          </cell>
          <cell r="O120">
            <v>45792</v>
          </cell>
          <cell r="P120" t="str">
            <v>Visitas de evaluación con fines de mejoramiento</v>
          </cell>
          <cell r="Q120" t="str">
            <v>15MAY25_Liceo Ciudad Capital</v>
          </cell>
          <cell r="R120" t="str">
            <v>El Manual de Convivencia fue construido y adoptado de forma participativa e incluye los componentes generales, los diferentes enfoques y se encuentra conforme a lo establecido en el PEI y la normatividad vigente</v>
          </cell>
          <cell r="S120" t="str">
            <v>Como acción de verificación la Institución Educativa se compromete a remitir la versión actualizada del Manual de Convivencia a la vigencia 2024 -2025</v>
          </cell>
          <cell r="T120" t="str">
            <v>No</v>
          </cell>
          <cell r="U120" t="str">
            <v>Verificar nuevamente el documento en el mes de agosto de 2025 y generar espacios de asesoría, conforme lo requiera la IE</v>
          </cell>
        </row>
        <row r="121">
          <cell r="A121">
            <v>316</v>
          </cell>
          <cell r="B121">
            <v>13</v>
          </cell>
          <cell r="C121" t="str">
            <v>BOSA</v>
          </cell>
          <cell r="D121" t="str">
            <v>PRIVADO</v>
          </cell>
          <cell r="E121" t="str">
            <v>EPBM</v>
          </cell>
          <cell r="F121" t="str">
            <v>LICEO_CIUDAD_CAPITAL</v>
          </cell>
          <cell r="G121" t="str">
            <v>LICEO CIUDAD CAPITAL</v>
          </cell>
          <cell r="H121" t="str">
            <v>Autoevaluación Institucional y Pruebas SABER 11</v>
          </cell>
          <cell r="I121" t="str">
            <v>EVALUACIÓN_CON_FINES_DE_MEJORAMIENTO.</v>
          </cell>
          <cell r="J121" t="str">
            <v>Revisar la actualización, socialización e implementación del Sistema Institucional de Evaluación de Estudiantes - SIEE, en articulación con la actualización del PEI y la normatividad vigente.</v>
          </cell>
          <cell r="K121" t="str">
            <v>ANA ANDREA VARGAS GONZÁLEZ</v>
          </cell>
          <cell r="L121" t="str">
            <v>JOSÉ ANTONIO PÁEZ FETECUA</v>
          </cell>
          <cell r="M121">
            <v>45792</v>
          </cell>
          <cell r="N121">
            <v>45792</v>
          </cell>
          <cell r="O121">
            <v>45792</v>
          </cell>
          <cell r="P121" t="str">
            <v>Visitas de evaluación con fines de mejoramiento</v>
          </cell>
          <cell r="Q121" t="str">
            <v>15MAY25_Liceo Ciudad Capital</v>
          </cell>
          <cell r="R121" t="str">
            <v>Se evidencia el Sistema Institucional de Evaluación de Estudiantes - SIEE, actualizado para la vigencia 2025. Fue construido en articulación con el Consejo Directivo y la comunidad educativa desde el año 2019 y se actualiza cada 2 años</v>
          </cell>
          <cell r="S121" t="str">
            <v>Como acción de verificación la Institución Educativa se compromete a remitir la versión actualizada del  Sistema institucional de evaluación de los estudiantes- SIEE</v>
          </cell>
          <cell r="T121" t="str">
            <v>No</v>
          </cell>
          <cell r="U121" t="str">
            <v>Verificar nuevamente el documento en el mes de agosto de 2025 y generar espacios de asesoría, conforme lo requiera la IE</v>
          </cell>
        </row>
        <row r="122">
          <cell r="A122">
            <v>317</v>
          </cell>
          <cell r="B122">
            <v>13</v>
          </cell>
          <cell r="C122" t="str">
            <v>BOSA</v>
          </cell>
          <cell r="D122" t="str">
            <v>PRIVADO</v>
          </cell>
          <cell r="E122" t="str">
            <v>EPBM</v>
          </cell>
          <cell r="F122" t="str">
            <v>LICEO_CIUDAD_CAPITAL</v>
          </cell>
          <cell r="G122" t="str">
            <v>LICEO CIUDAD CAPITAL</v>
          </cell>
          <cell r="H122" t="str">
            <v>Autoevaluación Institucional y Pruebas SABER 11</v>
          </cell>
          <cell r="I122" t="str">
            <v>EVALUACIÓN_CON_FINES_DE_MEJORAMIENTO.</v>
          </cell>
          <cell r="J122" t="str">
            <v>Revisar el calendario escolar, jornada escolar, la intensidad horaria mínima anual en cada nivel y las modificaciones que se realicen al mismo, de acuerdo con lo previsto en la normatividad vigente.</v>
          </cell>
          <cell r="K122" t="str">
            <v>ANA ANDREA VARGAS GONZÁLEZ</v>
          </cell>
          <cell r="L122" t="str">
            <v>JOSÉ ANTONIO PÁEZ FETECUA</v>
          </cell>
          <cell r="M122">
            <v>45792</v>
          </cell>
          <cell r="N122">
            <v>45792</v>
          </cell>
          <cell r="O122">
            <v>45792</v>
          </cell>
          <cell r="P122" t="str">
            <v>Visitas de evaluación con fines de mejoramiento</v>
          </cell>
          <cell r="Q122" t="str">
            <v>15MAY25_Liceo Ciudad Capital</v>
          </cell>
          <cell r="R122" t="str">
            <v>El calendario escolar, jornada escolar, la intensidad horaria mínima anual en cada nivel se encuentran conforme lo previsto en la normatividad vigente</v>
          </cell>
          <cell r="S122" t="str">
            <v>Como acción de verificación la Institución Educativa se compromete a remitir la versión actualizada calendario escolar</v>
          </cell>
          <cell r="T122" t="str">
            <v>No</v>
          </cell>
          <cell r="U122" t="str">
            <v>Verificar nuevamente el documento en el mes de agosto de 2025 y generar espacios de asesoría, conforme lo requiera la IE</v>
          </cell>
        </row>
        <row r="123">
          <cell r="A123">
            <v>318</v>
          </cell>
          <cell r="B123">
            <v>13</v>
          </cell>
          <cell r="C123" t="str">
            <v>BOSA</v>
          </cell>
          <cell r="D123" t="str">
            <v>PRIVADO</v>
          </cell>
          <cell r="E123" t="str">
            <v>EPBM</v>
          </cell>
          <cell r="F123" t="str">
            <v>LICEO_CIUDAD_CAPITAL</v>
          </cell>
          <cell r="G123" t="str">
            <v>LICEO CIUDAD CAPITAL</v>
          </cell>
          <cell r="H123" t="str">
            <v>Autoevaluación Institucional y Pruebas SABER 11</v>
          </cell>
          <cell r="I123" t="str">
            <v>EVALUACIÓN_CON_FINES_DE_MEJORAMIENTO.</v>
          </cell>
          <cell r="J123" t="str">
            <v>Verificar el funcionamiento del Gobierno Escolar e instancias de participación con base en la información sobre conformación reportada por la institución educativa.</v>
          </cell>
          <cell r="K123" t="str">
            <v>ANA ANDREA VARGAS GONZÁLEZ</v>
          </cell>
          <cell r="L123" t="str">
            <v>JOSÉ ANTONIO PÁEZ FETECUA</v>
          </cell>
          <cell r="M123">
            <v>45792</v>
          </cell>
          <cell r="N123">
            <v>45792</v>
          </cell>
          <cell r="O123">
            <v>45792</v>
          </cell>
          <cell r="P123" t="str">
            <v>Visitas de evaluación con fines de mejoramiento</v>
          </cell>
          <cell r="Q123" t="str">
            <v>15MAY25_Liceo Ciudad Capital</v>
          </cell>
          <cell r="R123" t="str">
            <v>La constitución del Gobierno Escolar y sus órganos de participación, se encuentra conforme a la Normativa Vigente</v>
          </cell>
          <cell r="S123" t="str">
            <v>Continuar operando conforme funciones y reglamentos.</v>
          </cell>
          <cell r="T123" t="str">
            <v>No</v>
          </cell>
          <cell r="U123" t="str">
            <v>Verificar la conformación del Gobierno Escolar e instancias para la vigencia 2026 o antes si la IE lo requiere o se presenta solicitud o queja.</v>
          </cell>
        </row>
        <row r="124">
          <cell r="A124">
            <v>319</v>
          </cell>
          <cell r="B124">
            <v>13</v>
          </cell>
          <cell r="C124" t="str">
            <v>BOSA</v>
          </cell>
          <cell r="D124" t="str">
            <v>PRIVADO</v>
          </cell>
          <cell r="E124" t="str">
            <v>EPBM</v>
          </cell>
          <cell r="F124" t="str">
            <v>LICEO_CIUDAD_CAPITAL</v>
          </cell>
          <cell r="G124" t="str">
            <v>LICEO CIUDAD CAPITAL</v>
          </cell>
          <cell r="H124" t="str">
            <v>Autoevaluación Institucional y Pruebas SABER 11</v>
          </cell>
          <cell r="I124" t="str">
            <v>EVALUACIÓN_CON_FINES_DE_MEJORAMIENTO.</v>
          </cell>
          <cell r="J124" t="str">
            <v>Verificar las condiciones en cuanto a: la estructura administrativa, condiciones de la planta física y medios educativos adecuados.</v>
          </cell>
          <cell r="K124" t="str">
            <v>ANA ANDREA VARGAS GONZÁLEZ</v>
          </cell>
          <cell r="L124" t="str">
            <v>JOSÉ ANTONIO PÁEZ FETECUA</v>
          </cell>
          <cell r="M124">
            <v>45792</v>
          </cell>
          <cell r="N124">
            <v>45792</v>
          </cell>
          <cell r="O124">
            <v>45792</v>
          </cell>
          <cell r="P124" t="str">
            <v>Visitas de evaluación con fines de mejoramiento</v>
          </cell>
          <cell r="Q124" t="str">
            <v>15MAY25_Liceo Ciudad Capital</v>
          </cell>
          <cell r="R124" t="str">
            <v>Se realiza un recorrido en las instalaciones de la IE, verificando las condiciones en cuanto a: la estructura administrativa, condiciones de la planta física y medios educativos adecuados.</v>
          </cell>
          <cell r="S124" t="str">
            <v>Las condiciones de la estructura administrativa, condiciones de la planta física y medios educativos son adecuados y garantizan la prestación del servicio educativo</v>
          </cell>
          <cell r="T124" t="str">
            <v>No</v>
          </cell>
          <cell r="U124" t="str">
            <v>Las condiciones de la planta física garantizan la adecuada prestación del servicio educativo</v>
          </cell>
        </row>
        <row r="125">
          <cell r="A125">
            <v>320</v>
          </cell>
          <cell r="B125">
            <v>14</v>
          </cell>
          <cell r="C125" t="str">
            <v>BOSA</v>
          </cell>
          <cell r="D125" t="str">
            <v>PRIVADO</v>
          </cell>
          <cell r="E125" t="str">
            <v>EPBM</v>
          </cell>
          <cell r="F125" t="str">
            <v>LICEO_CULTURAL_LOPEZ_OSORIO</v>
          </cell>
          <cell r="G125" t="str">
            <v>LICEO CULTURAL LOPEZ OSORIO</v>
          </cell>
          <cell r="H125" t="str">
            <v>Autoevaluación Institucional y Pruebas SABER 11</v>
          </cell>
          <cell r="I125" t="str">
            <v>SEGUIMIENTO_Y_SUPERVISIÓN.</v>
          </cell>
          <cell r="J125" t="str">
            <v>Realizar visitas para verificar la información registrada sobre la autoevaluación institucional en el aplicativo EVI, a los establecimientos de educación formal no oficial.</v>
          </cell>
          <cell r="K125" t="str">
            <v>JOSÉ ANTONIO PÁEZ FETECUA</v>
          </cell>
          <cell r="L125" t="str">
            <v>ANA ANDREA VARGAS GONZÁLEZ</v>
          </cell>
          <cell r="M125">
            <v>45797</v>
          </cell>
          <cell r="N125">
            <v>45797</v>
          </cell>
          <cell r="O125">
            <v>45797</v>
          </cell>
          <cell r="P125" t="str">
            <v>Visitas de evaluación con fines de mejoramiento</v>
          </cell>
          <cell r="Q125" t="str">
            <v>20MAY25_Liceo Cultural López Osorio.pdf</v>
          </cell>
          <cell r="R125" t="str">
            <v>La información consignada en la Plataforma EVI relacionada con los indicadores de: planta física, dotación de espacios y calendario académico coincide con lo verificado en campo</v>
          </cell>
          <cell r="S125" t="str">
            <v xml:space="preserve">Se concluye que la IE realizará su autoevalución institucional en el mes octubre.  </v>
          </cell>
          <cell r="T125" t="str">
            <v>No</v>
          </cell>
          <cell r="U125" t="str">
            <v>Se verificará la información cargada por la IE en el aplicativo EVI de la autoevaluación,  para la emisión del concepto de tarifas 2026</v>
          </cell>
        </row>
        <row r="126">
          <cell r="A126">
            <v>321</v>
          </cell>
          <cell r="B126">
            <v>14</v>
          </cell>
          <cell r="C126" t="str">
            <v>BOSA</v>
          </cell>
          <cell r="D126" t="str">
            <v>PRIVADO</v>
          </cell>
          <cell r="E126" t="str">
            <v>EPBM</v>
          </cell>
          <cell r="F126" t="str">
            <v>LICEO_CULTURAL_LOPEZ_OSORIO</v>
          </cell>
          <cell r="G126" t="str">
            <v>LICEO CULTURAL LOPEZ OSORIO</v>
          </cell>
          <cell r="H126" t="str">
            <v>Autoevaluación Institucional y Pruebas SABER 11</v>
          </cell>
          <cell r="I126" t="str">
            <v>SEGUIMIENTO_Y_SUPERVISIÓN.</v>
          </cell>
          <cell r="J126" t="str">
            <v>Proponer estrategias en la formulación, verificar su elaboración y realizar seguimiento semestral al desarrollo de  las acciones establecidas en los planes de mejoramiento por pruebas SABER 11 de los establecimientos de educación formal.</v>
          </cell>
          <cell r="K126" t="str">
            <v>JOSÉ ANTONIO PÁEZ FETECUA</v>
          </cell>
          <cell r="L126" t="str">
            <v>ANA ANDREA VARGAS GONZÁLEZ</v>
          </cell>
          <cell r="M126">
            <v>45797</v>
          </cell>
          <cell r="N126">
            <v>45797</v>
          </cell>
          <cell r="O126">
            <v>45797</v>
          </cell>
          <cell r="P126" t="str">
            <v>Visitas de evaluación con fines de seguimiento</v>
          </cell>
          <cell r="Q126" t="str">
            <v>20MAY25_Liceo Cultural López Osorio.pdf</v>
          </cell>
          <cell r="R126" t="str">
            <v>Se adelanta la revisión de los Resultados de las Pruebas Saber 11, encontrando que la IE se encuentra en Categoría B</v>
          </cell>
          <cell r="S126" t="str">
            <v>Se aporta documento que la Institución educativa que compara diferentes vigencias y la mejora anual hasta llegar a la categoría A  en los resultados 2024</v>
          </cell>
          <cell r="T126" t="str">
            <v>No</v>
          </cell>
          <cell r="U126" t="str">
            <v>Se acordó revisar nuevamente el documento en el mes de agosto de 2025 y generar espacios de asesoría, conforme lo requiera la IE</v>
          </cell>
        </row>
        <row r="127">
          <cell r="A127">
            <v>322</v>
          </cell>
          <cell r="B127">
            <v>14</v>
          </cell>
          <cell r="C127" t="str">
            <v>BOSA</v>
          </cell>
          <cell r="D127" t="str">
            <v>PRIVADO</v>
          </cell>
          <cell r="E127" t="str">
            <v>EPBM</v>
          </cell>
          <cell r="F127" t="str">
            <v>LICEO_CULTURAL_LOPEZ_OSORIO</v>
          </cell>
          <cell r="G127" t="str">
            <v>LICEO CULTURAL LOPEZ OSORIO</v>
          </cell>
          <cell r="H127" t="str">
            <v>Autoevaluación Institucional y Pruebas SABER 11</v>
          </cell>
          <cell r="I127" t="str">
            <v>SEGUIMIENTO_Y_SUPERVISIÓN.</v>
          </cell>
          <cell r="J127" t="str">
            <v xml:space="preserve">Verificar la implementación por parte de los colegios, de acciones realizadas para la prevención y atención de las situaciones de convivencia en el entorno escolar, según lo establecido en la Directiva 01 de 2022 del MEN. </v>
          </cell>
          <cell r="K127" t="str">
            <v>JOSÉ ANTONIO PÁEZ FETECUA</v>
          </cell>
          <cell r="L127" t="str">
            <v>ANA ANDREA VARGAS GONZÁLEZ</v>
          </cell>
          <cell r="M127">
            <v>45797</v>
          </cell>
          <cell r="N127">
            <v>45797</v>
          </cell>
          <cell r="O127">
            <v>45797</v>
          </cell>
          <cell r="P127" t="str">
            <v>Visitas de evaluación con fines de mejoramiento</v>
          </cell>
          <cell r="Q127" t="str">
            <v>20MAY25_Liceo Cultural López Osorio.pdf</v>
          </cell>
          <cell r="R127" t="str">
            <v>Se verifica la implementación de acciones  realizadas para la prevención como lo es la verificación de inhabilidades por delitos sexuales en el sistema de la Policía Nacional.</v>
          </cell>
          <cell r="S127" t="str">
            <v>Como acción de verificación se solicita implementar  la autorización de directivos, docentes y administrativos para las consultas de antecedentes en los sistemas que se requieran al momento de la vinculación</v>
          </cell>
          <cell r="T127" t="str">
            <v>No</v>
          </cell>
          <cell r="U127" t="str">
            <v>Verificar que la IE cuente con las respectivas autorizaciones para las consultas de antedecentes del personal vinculado.</v>
          </cell>
        </row>
        <row r="128">
          <cell r="A128">
            <v>323</v>
          </cell>
          <cell r="B128">
            <v>14</v>
          </cell>
          <cell r="C128" t="str">
            <v>BOSA</v>
          </cell>
          <cell r="D128" t="str">
            <v>PRIVADO</v>
          </cell>
          <cell r="E128" t="str">
            <v>EPBM</v>
          </cell>
          <cell r="F128" t="str">
            <v>LICEO_CULTURAL_LOPEZ_OSORIO</v>
          </cell>
          <cell r="G128" t="str">
            <v>LICEO CULTURAL LOPEZ OSORIO</v>
          </cell>
          <cell r="H128" t="str">
            <v>Autoevaluación Institucional y Pruebas SABER 11</v>
          </cell>
          <cell r="I128" t="str">
            <v>SEGUIMIENTO_Y_SUPERVISIÓN.</v>
          </cell>
          <cell r="J1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8" t="str">
            <v>JOSÉ ANTONIO PÁEZ FETECUA</v>
          </cell>
          <cell r="L128" t="str">
            <v>ANA ANDREA VARGAS GONZÁLEZ</v>
          </cell>
          <cell r="M128">
            <v>45797</v>
          </cell>
          <cell r="N128">
            <v>45797</v>
          </cell>
          <cell r="O128">
            <v>45797</v>
          </cell>
          <cell r="P128" t="str">
            <v>Visitas de evaluación con fines de mejoramiento</v>
          </cell>
          <cell r="Q128" t="str">
            <v>20MAY25_Liceo Cultural López Osorio.pdf</v>
          </cell>
          <cell r="R128" t="str">
            <v>Al revisar la Plataforma SIMAT, no hay estudiantes marcados en la Plataforma con discapacidad.Existe en la IE un documento institucional para atender casos relacionados con estudiantes en inclusión de conformmidad con el PEI, el Manual de Convivencia y en atención a la Población con discapacidad, trastornos de aprendizaje y talentos excepcionales</v>
          </cell>
          <cell r="S128" t="str">
            <v>La Institución Educativa se compromete a remitir el Documento Institucional del Plan Individual de Ajustes Razonables PIAR</v>
          </cell>
          <cell r="T128" t="str">
            <v>No</v>
          </cell>
          <cell r="U128" t="str">
            <v>Verificar la información en SIMAT</v>
          </cell>
        </row>
        <row r="129">
          <cell r="A129">
            <v>324</v>
          </cell>
          <cell r="B129">
            <v>14</v>
          </cell>
          <cell r="C129" t="str">
            <v>BOSA</v>
          </cell>
          <cell r="D129" t="str">
            <v>PRIVADO</v>
          </cell>
          <cell r="E129" t="str">
            <v>EPBM</v>
          </cell>
          <cell r="F129" t="str">
            <v>LICEO_CULTURAL_LOPEZ_OSORIO</v>
          </cell>
          <cell r="G129" t="str">
            <v>LICEO CULTURAL LOPEZ OSORIO</v>
          </cell>
          <cell r="H129" t="str">
            <v>Autoevaluación Institucional y Pruebas SABER 11</v>
          </cell>
          <cell r="I129" t="str">
            <v>EVALUACIÓN_CON_FINES_DE_MEJORAMIENTO.</v>
          </cell>
          <cell r="J1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9" t="str">
            <v>JOSÉ ANTONIO PÁEZ FETECUA</v>
          </cell>
          <cell r="L129" t="str">
            <v>ANA ANDREA VARGAS GONZÁLEZ</v>
          </cell>
          <cell r="M129">
            <v>45797</v>
          </cell>
          <cell r="N129">
            <v>45797</v>
          </cell>
          <cell r="O129">
            <v>45797</v>
          </cell>
          <cell r="P129" t="str">
            <v>Visitas de evaluación con fines de mejoramiento</v>
          </cell>
          <cell r="Q129" t="str">
            <v>20MAY25_Liceo Cultural López Osorio.pdf</v>
          </cell>
          <cell r="R129" t="str">
            <v>El Manual de Convivencia fue construido y adoptado de forma participativa e incluye los componentes generales, los diferentes enfoques y se encuentra conforme a lo establecido en el PEI y la normatividad vigente</v>
          </cell>
          <cell r="S129" t="str">
            <v>Como acción de verificación la Institución Educativa se compromete a remitir la versión actualizada del Manual de Convivencia a la vigencia 2024 -2025</v>
          </cell>
          <cell r="T129" t="str">
            <v>No</v>
          </cell>
          <cell r="U129" t="str">
            <v>Verificar nuevamente el documento en el mes de agosto de 2025 y generar espacios de asesoría, conforme lo requiera la IE</v>
          </cell>
        </row>
        <row r="130">
          <cell r="A130">
            <v>325</v>
          </cell>
          <cell r="B130">
            <v>14</v>
          </cell>
          <cell r="C130" t="str">
            <v>BOSA</v>
          </cell>
          <cell r="D130" t="str">
            <v>PRIVADO</v>
          </cell>
          <cell r="E130" t="str">
            <v>EPBM</v>
          </cell>
          <cell r="F130" t="str">
            <v>LICEO_CULTURAL_LOPEZ_OSORIO</v>
          </cell>
          <cell r="G130" t="str">
            <v>LICEO CULTURAL LOPEZ OSORIO</v>
          </cell>
          <cell r="H130" t="str">
            <v>Autoevaluación Institucional y Pruebas SABER 11</v>
          </cell>
          <cell r="I130" t="str">
            <v>EVALUACIÓN_CON_FINES_DE_MEJORAMIENTO.</v>
          </cell>
          <cell r="J130" t="str">
            <v>Revisar la actualización, socialización e implementación del Sistema Institucional de Evaluación de Estudiantes - SIEE, en articulación con la actualización del PEI y la normatividad vigente.</v>
          </cell>
          <cell r="K130" t="str">
            <v>JOSÉ ANTONIO PÁEZ FETECUA</v>
          </cell>
          <cell r="L130" t="str">
            <v>ANA ANDREA VARGAS GONZÁLEZ</v>
          </cell>
          <cell r="M130">
            <v>45797</v>
          </cell>
          <cell r="N130">
            <v>45797</v>
          </cell>
          <cell r="O130">
            <v>45797</v>
          </cell>
          <cell r="P130" t="str">
            <v>Visitas de evaluación con fines de mejoramiento</v>
          </cell>
          <cell r="Q130" t="str">
            <v>20MAY25_Liceo Cultural López Osorio.pdf</v>
          </cell>
          <cell r="R130" t="str">
            <v>Se evidencia el Sistema Institucional de Evaluación de Estudiantes - SIEE, actualizado para la vigencia 2025. Fue construido en articulación con el Consejo Directivo y la comunidad educativa desde el año 2019 y se actualiza cada 2 años</v>
          </cell>
          <cell r="S130" t="str">
            <v>Como acción de verificación la Institución Educativa se compromete a remitir la versión actualizada del  Sistema institucional de evaluación de los estudiantes- SIEE</v>
          </cell>
          <cell r="T130" t="str">
            <v>No</v>
          </cell>
          <cell r="U130" t="str">
            <v>Verificar nuevamente el documento en el mes de agosto de 2025 y generar espacios de asesoría, conforme lo requiera la IE</v>
          </cell>
        </row>
        <row r="131">
          <cell r="A131">
            <v>326</v>
          </cell>
          <cell r="B131">
            <v>14</v>
          </cell>
          <cell r="C131" t="str">
            <v>BOSA</v>
          </cell>
          <cell r="D131" t="str">
            <v>PRIVADO</v>
          </cell>
          <cell r="E131" t="str">
            <v>EPBM</v>
          </cell>
          <cell r="F131" t="str">
            <v>LICEO_CULTURAL_LOPEZ_OSORIO</v>
          </cell>
          <cell r="G131" t="str">
            <v>LICEO CULTURAL LOPEZ OSORIO</v>
          </cell>
          <cell r="H131" t="str">
            <v>Autoevaluación Institucional y Pruebas SABER 11</v>
          </cell>
          <cell r="I131" t="str">
            <v>EVALUACIÓN_CON_FINES_DE_MEJORAMIENTO.</v>
          </cell>
          <cell r="J131" t="str">
            <v>Revisar el calendario escolar, jornada escolar, la intensidad horaria mínima anual en cada nivel y las modificaciones que se realicen al mismo, de acuerdo con lo previsto en la normatividad vigente.</v>
          </cell>
          <cell r="K131" t="str">
            <v>JOSÉ ANTONIO PÁEZ FETECUA</v>
          </cell>
          <cell r="L131" t="str">
            <v>ANA ANDREA VARGAS GONZÁLEZ</v>
          </cell>
          <cell r="M131">
            <v>45797</v>
          </cell>
          <cell r="N131">
            <v>45797</v>
          </cell>
          <cell r="O131">
            <v>45797</v>
          </cell>
          <cell r="P131" t="str">
            <v>Visitas de evaluación con fines de mejoramiento</v>
          </cell>
          <cell r="Q131" t="str">
            <v>20MAY25_Liceo Cultural López Osorio.pdf</v>
          </cell>
          <cell r="R131" t="str">
            <v>El calendario escolar, jornada escolar, la intensidad horaria mínima anual en cada nivel se encuentran conforme lo previsto en la normatividad vigente</v>
          </cell>
          <cell r="S131" t="str">
            <v>Como acción de verificación la Institución Educativa se compromete a remitir la versión actualizada calendario escolar</v>
          </cell>
          <cell r="T131" t="str">
            <v>No</v>
          </cell>
          <cell r="U131" t="str">
            <v>Verificar nuevamente el documento en el mes de agosto de 2025 y generar espacios de asesoría, conforme lo requiera la IE</v>
          </cell>
        </row>
        <row r="132">
          <cell r="A132">
            <v>327</v>
          </cell>
          <cell r="B132">
            <v>14</v>
          </cell>
          <cell r="C132" t="str">
            <v>BOSA</v>
          </cell>
          <cell r="D132" t="str">
            <v>PRIVADO</v>
          </cell>
          <cell r="E132" t="str">
            <v>EPBM</v>
          </cell>
          <cell r="F132" t="str">
            <v>LICEO_CULTURAL_LOPEZ_OSORIO</v>
          </cell>
          <cell r="G132" t="str">
            <v>LICEO CULTURAL LOPEZ OSORIO</v>
          </cell>
          <cell r="H132" t="str">
            <v>Autoevaluación Institucional y Pruebas SABER 11</v>
          </cell>
          <cell r="I132" t="str">
            <v>EVALUACIÓN_CON_FINES_DE_MEJORAMIENTO.</v>
          </cell>
          <cell r="J132" t="str">
            <v>Verificar el funcionamiento del Gobierno Escolar e instancias de participación con base en la información sobre conformación reportada por la institución educativa.</v>
          </cell>
          <cell r="K132" t="str">
            <v>JOSÉ ANTONIO PÁEZ FETECUA</v>
          </cell>
          <cell r="L132" t="str">
            <v>ANA ANDREA VARGAS GONZÁLEZ</v>
          </cell>
          <cell r="M132">
            <v>45797</v>
          </cell>
          <cell r="N132">
            <v>45797</v>
          </cell>
          <cell r="O132">
            <v>45797</v>
          </cell>
          <cell r="P132" t="str">
            <v>Visitas de evaluación con fines de mejoramiento</v>
          </cell>
          <cell r="Q132" t="str">
            <v>20MAY25_Liceo Cultural López Osorio.pdf</v>
          </cell>
          <cell r="R132" t="str">
            <v>La constitución del Gobierno Escolar y sus órganos de participación, se encuentra conforme a la Normativa Vigente</v>
          </cell>
          <cell r="S132" t="str">
            <v>Continuar operando conforme funciones y reglamentos.</v>
          </cell>
          <cell r="T132" t="str">
            <v>No</v>
          </cell>
          <cell r="U132" t="str">
            <v>Verificar la conformación del Gobierno Escolar e instancias para la vigencia 2026 o antes si la IE lo requiere o se presenta solicitud o queja.</v>
          </cell>
        </row>
        <row r="133">
          <cell r="A133">
            <v>328</v>
          </cell>
          <cell r="B133">
            <v>14</v>
          </cell>
          <cell r="C133" t="str">
            <v>BOSA</v>
          </cell>
          <cell r="D133" t="str">
            <v>PRIVADO</v>
          </cell>
          <cell r="E133" t="str">
            <v>EPBM</v>
          </cell>
          <cell r="F133" t="str">
            <v>LICEO_CULTURAL_LOPEZ_OSORIO</v>
          </cell>
          <cell r="G133" t="str">
            <v>LICEO CULTURAL LOPEZ OSORIO</v>
          </cell>
          <cell r="H133" t="str">
            <v>Autoevaluación Institucional y Pruebas SABER 11</v>
          </cell>
          <cell r="I133" t="str">
            <v>EVALUACIÓN_CON_FINES_DE_MEJORAMIENTO.</v>
          </cell>
          <cell r="J133" t="str">
            <v>Verificar las condiciones en cuanto a: la estructura administrativa, condiciones de la planta física y medios educativos adecuados.</v>
          </cell>
          <cell r="K133" t="str">
            <v>JOSÉ ANTONIO PÁEZ FETECUA</v>
          </cell>
          <cell r="L133" t="str">
            <v>ANA ANDREA VARGAS GONZÁLEZ</v>
          </cell>
          <cell r="M133">
            <v>45797</v>
          </cell>
          <cell r="N133">
            <v>45797</v>
          </cell>
          <cell r="O133">
            <v>45797</v>
          </cell>
          <cell r="P133" t="str">
            <v>Visitas de evaluación con fines de mejoramiento</v>
          </cell>
          <cell r="Q133" t="str">
            <v>20MAY25_Liceo Cultural López Osorio.pdf</v>
          </cell>
          <cell r="R133" t="str">
            <v>Se realiza un recorrido en las instalaciones de la IE, verificando las condiciones en cuanto a: la estructura administrativa, condiciones de la planta física y medios educativos adecuados.</v>
          </cell>
          <cell r="S133" t="str">
            <v>Las condiciones de la planta física son adecuadas y se recomienda actualizar el mobiliario más antiguo</v>
          </cell>
          <cell r="T133" t="str">
            <v>No</v>
          </cell>
          <cell r="U133" t="str">
            <v>Las condiciones de la planta física garantizan la adecuada prestación del servicio educativo</v>
          </cell>
        </row>
        <row r="134">
          <cell r="A134">
            <v>329</v>
          </cell>
          <cell r="B134">
            <v>15</v>
          </cell>
          <cell r="C134" t="str">
            <v>BOSA</v>
          </cell>
          <cell r="D134" t="str">
            <v>PRIVADO</v>
          </cell>
          <cell r="E134" t="str">
            <v>EPBM</v>
          </cell>
          <cell r="F134" t="str">
            <v>LICEO_CULTURAL_LUIS_ENRIQUE_OSORIO</v>
          </cell>
          <cell r="G134" t="str">
            <v>LICEO CULTURAL LUIS ENRIQUE OSORIO</v>
          </cell>
          <cell r="H134" t="str">
            <v>Autoevaluación Institucional y Pruebas SABER 11</v>
          </cell>
          <cell r="I134" t="str">
            <v>SEGUIMIENTO_Y_SUPERVISIÓN.</v>
          </cell>
          <cell r="J134" t="str">
            <v>Realizar visitas para verificar la información registrada sobre la autoevaluación institucional en el aplicativo EVI, a los establecimientos de educación formal no oficial.</v>
          </cell>
          <cell r="K134" t="str">
            <v>JULIÁN FELIPE BERNAL GARZÓN</v>
          </cell>
          <cell r="L134" t="str">
            <v>ESTEFANY PEÑA GARCIA</v>
          </cell>
          <cell r="M134">
            <v>45799</v>
          </cell>
          <cell r="N134">
            <v>45799</v>
          </cell>
          <cell r="O134">
            <v>45799</v>
          </cell>
          <cell r="P134" t="str">
            <v>Visitas de evaluación con fines de mejoramiento</v>
          </cell>
          <cell r="Q134" t="str">
            <v>22MAY25_Liceo Cultural Luis Enrique Osorio</v>
          </cell>
          <cell r="R134" t="str">
            <v>La información consignada en la Plataforma EVI relacionada con los indicadores de: planta física, dotación de espacios y calendario académico coincide con lo verificado en campo</v>
          </cell>
          <cell r="S134" t="str">
            <v xml:space="preserve">Se concluye que la IE realizará su autoevalución institucional en el mes octubre.  </v>
          </cell>
          <cell r="T134" t="str">
            <v>No</v>
          </cell>
          <cell r="U134" t="str">
            <v>Se verificará la información cargada por la IE en el aplicativo EVI de la autoevaluación,  para la emisión del concepto de tarifas 2026</v>
          </cell>
        </row>
        <row r="135">
          <cell r="A135">
            <v>330</v>
          </cell>
          <cell r="B135">
            <v>15</v>
          </cell>
          <cell r="C135" t="str">
            <v>BOSA</v>
          </cell>
          <cell r="D135" t="str">
            <v>PRIVADO</v>
          </cell>
          <cell r="E135" t="str">
            <v>EPBM</v>
          </cell>
          <cell r="F135" t="str">
            <v>LICEO_CULTURAL_LUIS_ENRIQUE_OSORIO</v>
          </cell>
          <cell r="G135" t="str">
            <v>LICEO CULTURAL LUIS ENRIQUE OSORIO</v>
          </cell>
          <cell r="H135" t="str">
            <v>Autoevaluación Institucional y Pruebas SABER 11</v>
          </cell>
          <cell r="I135" t="str">
            <v>SEGUIMIENTO_Y_SUPERVISIÓN.</v>
          </cell>
          <cell r="J135" t="str">
            <v>Proponer estrategias en la formulación, verificar su elaboración y realizar seguimiento semestral al desarrollo de  las acciones establecidas en los planes de mejoramiento por pruebas SABER 11 de los establecimientos de educación formal.</v>
          </cell>
          <cell r="K135" t="str">
            <v>JULIÁN FELIPE BERNAL GARZÓN</v>
          </cell>
          <cell r="L135" t="str">
            <v>ESTEFANY PEÑA GARCIA</v>
          </cell>
          <cell r="M135">
            <v>45799</v>
          </cell>
          <cell r="N135">
            <v>45799</v>
          </cell>
          <cell r="O135">
            <v>45799</v>
          </cell>
          <cell r="P135" t="str">
            <v>Visitas de evaluación con fines de seguimiento</v>
          </cell>
          <cell r="Q135" t="str">
            <v>22MAY25_Liceo Cultural Luis Enrique Osorio</v>
          </cell>
          <cell r="R135" t="str">
            <v>Se adelanta la revisión de los Resultados de las Pruebas Saber 11, encontrando que la IE se encuentra en Categoría A</v>
          </cell>
          <cell r="S135" t="str">
            <v>Se aporta documento que la Institución educativa que compara diferentes vigencias y la mejora anual hasta llegar a la categoría A en los resultados 2024</v>
          </cell>
          <cell r="T135" t="str">
            <v>No</v>
          </cell>
          <cell r="U135" t="str">
            <v>Se acordó revisar nuevamente el documento en el mes de agosto de 2025 y generar espacios de asesoría, conforme lo requiera la IE</v>
          </cell>
        </row>
        <row r="136">
          <cell r="A136">
            <v>331</v>
          </cell>
          <cell r="B136">
            <v>15</v>
          </cell>
          <cell r="C136" t="str">
            <v>BOSA</v>
          </cell>
          <cell r="D136" t="str">
            <v>PRIVADO</v>
          </cell>
          <cell r="E136" t="str">
            <v>EPBM</v>
          </cell>
          <cell r="F136" t="str">
            <v>LICEO_CULTURAL_LUIS_ENRIQUE_OSORIO</v>
          </cell>
          <cell r="G136" t="str">
            <v>LICEO CULTURAL LUIS ENRIQUE OSORIO</v>
          </cell>
          <cell r="H136" t="str">
            <v>Autoevaluación Institucional y Pruebas SABER 11</v>
          </cell>
          <cell r="I136" t="str">
            <v>SEGUIMIENTO_Y_SUPERVISIÓN.</v>
          </cell>
          <cell r="J136" t="str">
            <v xml:space="preserve">Verificar la implementación por parte de los colegios, de acciones realizadas para la prevención y atención de las situaciones de convivencia en el entorno escolar, según lo establecido en la Directiva 01 de 2022 del MEN. </v>
          </cell>
          <cell r="K136" t="str">
            <v>JULIÁN FELIPE BERNAL GARZÓN</v>
          </cell>
          <cell r="L136" t="str">
            <v>ESTEFANY PEÑA GARCIA</v>
          </cell>
          <cell r="M136">
            <v>45799</v>
          </cell>
          <cell r="N136">
            <v>45799</v>
          </cell>
          <cell r="O136">
            <v>45799</v>
          </cell>
          <cell r="P136" t="str">
            <v>Visitas de evaluación con fines de mejoramiento</v>
          </cell>
          <cell r="Q136" t="str">
            <v>22MAY25_Liceo Cultural Luis Enrique Osorio</v>
          </cell>
          <cell r="R136" t="str">
            <v>Se verifica la implementación de acciones  realizadas para la prevención como lo es la verificación de inhabilidades por delitos sexuales en el sistema de la Policía Nacional.</v>
          </cell>
          <cell r="S136" t="str">
            <v>Como acción de verificación se solicita implementar  la autorización de directivos, docentes y administrativos para las consultas de antecedentes en los sistemas que se requieran al momento de la vinculación</v>
          </cell>
          <cell r="T136" t="str">
            <v>No</v>
          </cell>
          <cell r="U136" t="str">
            <v>Verificar que la IE cuente con las respectivas autorizaciones para las consultas de antedecentes del personal vinculado.</v>
          </cell>
        </row>
        <row r="137">
          <cell r="A137">
            <v>332</v>
          </cell>
          <cell r="B137">
            <v>15</v>
          </cell>
          <cell r="C137" t="str">
            <v>BOSA</v>
          </cell>
          <cell r="D137" t="str">
            <v>PRIVADO</v>
          </cell>
          <cell r="E137" t="str">
            <v>EPBM</v>
          </cell>
          <cell r="F137" t="str">
            <v>LICEO_CULTURAL_LUIS_ENRIQUE_OSORIO</v>
          </cell>
          <cell r="G137" t="str">
            <v>LICEO CULTURAL LUIS ENRIQUE OSORIO</v>
          </cell>
          <cell r="H137" t="str">
            <v>Autoevaluación Institucional y Pruebas SABER 11</v>
          </cell>
          <cell r="I137" t="str">
            <v>SEGUIMIENTO_Y_SUPERVISIÓN.</v>
          </cell>
          <cell r="J1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7" t="str">
            <v>JULIÁN FELIPE BERNAL GARZÓN</v>
          </cell>
          <cell r="L137" t="str">
            <v>ESTEFANY PEÑA GARCIA</v>
          </cell>
          <cell r="M137">
            <v>45799</v>
          </cell>
          <cell r="N137">
            <v>45799</v>
          </cell>
          <cell r="O137">
            <v>45799</v>
          </cell>
          <cell r="P137" t="str">
            <v>Visitas de evaluación con fines de mejoramiento</v>
          </cell>
          <cell r="Q137" t="str">
            <v>22MAY25_Liceo Cultural Luis Enrique Osorio</v>
          </cell>
          <cell r="R137" t="str">
            <v>Al revisar la Plataforma SIMAT, hay 18 estudiantes marcados en la Plataforma con discapacidad</v>
          </cell>
          <cell r="S137" t="str">
            <v>La Institución Educativa se compromete a remitir el Documento Institucional del Plan Individual de Ajustes Razonables PIAR</v>
          </cell>
          <cell r="T137" t="str">
            <v>No</v>
          </cell>
          <cell r="U137" t="str">
            <v>Verificar la información en SIMAT</v>
          </cell>
        </row>
        <row r="138">
          <cell r="A138">
            <v>333</v>
          </cell>
          <cell r="B138">
            <v>15</v>
          </cell>
          <cell r="C138" t="str">
            <v>BOSA</v>
          </cell>
          <cell r="D138" t="str">
            <v>PRIVADO</v>
          </cell>
          <cell r="E138" t="str">
            <v>EPBM</v>
          </cell>
          <cell r="F138" t="str">
            <v>LICEO_CULTURAL_LUIS_ENRIQUE_OSORIO</v>
          </cell>
          <cell r="G138" t="str">
            <v>LICEO CULTURAL LUIS ENRIQUE OSORIO</v>
          </cell>
          <cell r="H138" t="str">
            <v>Autoevaluación Institucional y Pruebas SABER 11</v>
          </cell>
          <cell r="I138" t="str">
            <v>EVALUACIÓN_CON_FINES_DE_MEJORAMIENTO.</v>
          </cell>
          <cell r="J1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8" t="str">
            <v>JULIÁN FELIPE BERNAL GARZÓN</v>
          </cell>
          <cell r="L138" t="str">
            <v>ESTEFANY PEÑA GARCIA</v>
          </cell>
          <cell r="M138">
            <v>45799</v>
          </cell>
          <cell r="N138">
            <v>45799</v>
          </cell>
          <cell r="O138">
            <v>45799</v>
          </cell>
          <cell r="P138" t="str">
            <v>Visitas de evaluación con fines de mejoramiento</v>
          </cell>
          <cell r="Q138" t="str">
            <v>22MAY25_Liceo Cultural Luis Enrique Osorio</v>
          </cell>
          <cell r="R138" t="str">
            <v>El Manual de Convivencia fue construido y adoptado de forma participativa e incluye los componentes generales, los diferentes enfoques y se encuentra conforme a lo establecido en el PEI y la normatividad vigente</v>
          </cell>
          <cell r="S138" t="str">
            <v>Como acción de verificación la Institución Educativa se compromete a remitir la versión actualizada del Manual de Convivencia a la vigencia 2024 -2025</v>
          </cell>
          <cell r="T138" t="str">
            <v>No</v>
          </cell>
          <cell r="U138" t="str">
            <v>Verificar nuevamente el documento en el mes de agosto de 2025 y generar espacios de asesoría, conforme lo requiera la IE</v>
          </cell>
        </row>
        <row r="139">
          <cell r="A139">
            <v>334</v>
          </cell>
          <cell r="B139">
            <v>15</v>
          </cell>
          <cell r="C139" t="str">
            <v>BOSA</v>
          </cell>
          <cell r="D139" t="str">
            <v>PRIVADO</v>
          </cell>
          <cell r="E139" t="str">
            <v>EPBM</v>
          </cell>
          <cell r="F139" t="str">
            <v>LICEO_CULTURAL_LUIS_ENRIQUE_OSORIO</v>
          </cell>
          <cell r="G139" t="str">
            <v>LICEO CULTURAL LUIS ENRIQUE OSORIO</v>
          </cell>
          <cell r="H139" t="str">
            <v>Autoevaluación Institucional y Pruebas SABER 11</v>
          </cell>
          <cell r="I139" t="str">
            <v>EVALUACIÓN_CON_FINES_DE_MEJORAMIENTO.</v>
          </cell>
          <cell r="J139" t="str">
            <v>Revisar la actualización, socialización e implementación del Sistema Institucional de Evaluación de Estudiantes - SIEE, en articulación con la actualización del PEI y la normatividad vigente.</v>
          </cell>
          <cell r="K139" t="str">
            <v>JULIÁN FELIPE BERNAL GARZÓN</v>
          </cell>
          <cell r="L139" t="str">
            <v>ESTEFANY PEÑA GARCIA</v>
          </cell>
          <cell r="M139">
            <v>45799</v>
          </cell>
          <cell r="N139">
            <v>45799</v>
          </cell>
          <cell r="O139">
            <v>45799</v>
          </cell>
          <cell r="P139" t="str">
            <v>Visitas de evaluación con fines de mejoramiento</v>
          </cell>
          <cell r="Q139" t="str">
            <v>22MAY25_Liceo Cultural Luis Enrique Osorio</v>
          </cell>
          <cell r="R139" t="str">
            <v>Se evidencia el Sistema Institucional de Evaluación de Estudiantes - SIEE, actualizado para la vigencia 2025. Fue construido en articulación con el Consejo Directivo y la comunidad educativa desde el año 2019 y se actualiza cada 2 años</v>
          </cell>
          <cell r="S139" t="str">
            <v>Como acción de verificación la Institución Educativa se compromete a remitir la versión actualizada del  Sistema institucional de evaluación de los estudiantes- SIEE</v>
          </cell>
          <cell r="T139" t="str">
            <v>No</v>
          </cell>
          <cell r="U139" t="str">
            <v>Verificar nuevamente el documento en el mes de agosto de 2025 y generar espacios de asesoría, conforme lo requiera la IE</v>
          </cell>
        </row>
        <row r="140">
          <cell r="A140">
            <v>335</v>
          </cell>
          <cell r="B140">
            <v>15</v>
          </cell>
          <cell r="C140" t="str">
            <v>BOSA</v>
          </cell>
          <cell r="D140" t="str">
            <v>PRIVADO</v>
          </cell>
          <cell r="E140" t="str">
            <v>EPBM</v>
          </cell>
          <cell r="F140" t="str">
            <v>LICEO_CULTURAL_LUIS_ENRIQUE_OSORIO</v>
          </cell>
          <cell r="G140" t="str">
            <v>LICEO CULTURAL LUIS ENRIQUE OSORIO</v>
          </cell>
          <cell r="H140" t="str">
            <v>Autoevaluación Institucional y Pruebas SABER 11</v>
          </cell>
          <cell r="I140" t="str">
            <v>EVALUACIÓN_CON_FINES_DE_MEJORAMIENTO.</v>
          </cell>
          <cell r="J140" t="str">
            <v>Revisar el calendario escolar, jornada escolar, la intensidad horaria mínima anual en cada nivel y las modificaciones que se realicen al mismo, de acuerdo con lo previsto en la normatividad vigente.</v>
          </cell>
          <cell r="K140" t="str">
            <v>JULIÁN FELIPE BERNAL GARZÓN</v>
          </cell>
          <cell r="L140" t="str">
            <v>ESTEFANY PEÑA GARCIA</v>
          </cell>
          <cell r="M140">
            <v>45799</v>
          </cell>
          <cell r="N140">
            <v>45799</v>
          </cell>
          <cell r="O140">
            <v>45799</v>
          </cell>
          <cell r="P140" t="str">
            <v>Visitas de evaluación con fines de mejoramiento</v>
          </cell>
          <cell r="Q140" t="str">
            <v>22MAY25_Liceo Cultural Luis Enrique Osorio</v>
          </cell>
          <cell r="R140" t="str">
            <v>El calendario escolar, jornada escolar, la intensidad horaria mínima anual en cada nivel se encuentran conforme lo previsto en la normatividad vigente</v>
          </cell>
          <cell r="S140" t="str">
            <v>Como acción de verificación la Institución Educativa se compromete a remitir la versión actualizada calendario escolar</v>
          </cell>
          <cell r="T140" t="str">
            <v>No</v>
          </cell>
          <cell r="U140" t="str">
            <v>Verificar nuevamente el documento en el mes de agosto de 2025 y generar espacios de asesoría, conforme lo requiera la IE</v>
          </cell>
        </row>
        <row r="141">
          <cell r="A141">
            <v>336</v>
          </cell>
          <cell r="B141">
            <v>15</v>
          </cell>
          <cell r="C141" t="str">
            <v>BOSA</v>
          </cell>
          <cell r="D141" t="str">
            <v>PRIVADO</v>
          </cell>
          <cell r="E141" t="str">
            <v>EPBM</v>
          </cell>
          <cell r="F141" t="str">
            <v>LICEO_CULTURAL_LUIS_ENRIQUE_OSORIO</v>
          </cell>
          <cell r="G141" t="str">
            <v>LICEO CULTURAL LUIS ENRIQUE OSORIO</v>
          </cell>
          <cell r="H141" t="str">
            <v>Autoevaluación Institucional y Pruebas SABER 11</v>
          </cell>
          <cell r="I141" t="str">
            <v>EVALUACIÓN_CON_FINES_DE_MEJORAMIENTO.</v>
          </cell>
          <cell r="J141" t="str">
            <v>Verificar el funcionamiento del Gobierno Escolar e instancias de participación con base en la información sobre conformación reportada por la institución educativa.</v>
          </cell>
          <cell r="K141" t="str">
            <v>JULIÁN FELIPE BERNAL GARZÓN</v>
          </cell>
          <cell r="L141" t="str">
            <v>ESTEFANY PEÑA GARCIA</v>
          </cell>
          <cell r="M141">
            <v>45799</v>
          </cell>
          <cell r="N141">
            <v>45799</v>
          </cell>
          <cell r="O141">
            <v>45799</v>
          </cell>
          <cell r="P141" t="str">
            <v>Visitas de evaluación con fines de mejoramiento</v>
          </cell>
          <cell r="Q141" t="str">
            <v>22MAY25_Liceo Cultural Luis Enrique Osorio</v>
          </cell>
          <cell r="R141" t="str">
            <v>La constitución del Gobierno Escolar y sus órganos de participación, se encuentra conforme a la Normativa Vigente</v>
          </cell>
          <cell r="S141" t="str">
            <v>Continuar operando conforme funciones y reglamentos.</v>
          </cell>
          <cell r="T141" t="str">
            <v>No</v>
          </cell>
          <cell r="U141" t="str">
            <v>Verificar la conformación del Gobierno Escolar e instancias para la vigencia 2026 o antes si la IE lo requiere o se presenta solicitud o queja.</v>
          </cell>
        </row>
        <row r="142">
          <cell r="A142">
            <v>337</v>
          </cell>
          <cell r="B142">
            <v>15</v>
          </cell>
          <cell r="C142" t="str">
            <v>BOSA</v>
          </cell>
          <cell r="D142" t="str">
            <v>PRIVADO</v>
          </cell>
          <cell r="E142" t="str">
            <v>EPBM</v>
          </cell>
          <cell r="F142" t="str">
            <v>LICEO_CULTURAL_LUIS_ENRIQUE_OSORIO</v>
          </cell>
          <cell r="G142" t="str">
            <v>LICEO CULTURAL LUIS ENRIQUE OSORIO</v>
          </cell>
          <cell r="H142" t="str">
            <v>Autoevaluación Institucional y Pruebas SABER 11</v>
          </cell>
          <cell r="I142" t="str">
            <v>EVALUACIÓN_CON_FINES_DE_MEJORAMIENTO.</v>
          </cell>
          <cell r="J142" t="str">
            <v>Verificar las condiciones en cuanto a: la estructura administrativa, condiciones de la planta física y medios educativos adecuados.</v>
          </cell>
          <cell r="K142" t="str">
            <v>JULIÁN FELIPE BERNAL GARZÓN</v>
          </cell>
          <cell r="L142" t="str">
            <v>ESTEFANY PEÑA GARCIA</v>
          </cell>
          <cell r="M142">
            <v>45799</v>
          </cell>
          <cell r="N142">
            <v>45799</v>
          </cell>
          <cell r="O142">
            <v>45799</v>
          </cell>
          <cell r="P142" t="str">
            <v>Visitas de evaluación con fines de mejoramiento</v>
          </cell>
          <cell r="Q142" t="str">
            <v>22MAY25_Liceo Cultural Luis Enrique Osorio</v>
          </cell>
          <cell r="R142" t="str">
            <v>Se realiza un recorrido en las instalaciones de la IE, verificando las condiciones en cuanto a: la estructura administrativa, condiciones de la planta física y medios educativos adecuados.</v>
          </cell>
          <cell r="S142" t="str">
            <v>Las condiciones de la estructura administrativa, condiciones de la planta física y medios educativos son adecuados y garantizan la prestación del servicio educativo</v>
          </cell>
          <cell r="T142" t="str">
            <v>No</v>
          </cell>
          <cell r="U142" t="str">
            <v>Las condiciones de la planta física garantizan la adecuada prestación del servicio educativo</v>
          </cell>
        </row>
        <row r="143">
          <cell r="A143">
            <v>338</v>
          </cell>
          <cell r="B143">
            <v>16</v>
          </cell>
          <cell r="C143" t="str">
            <v>BOSA</v>
          </cell>
          <cell r="D143" t="str">
            <v>PRIVADO</v>
          </cell>
          <cell r="E143" t="str">
            <v>EPBM</v>
          </cell>
          <cell r="F143" t="str">
            <v>LICEO_DE_OXFORD</v>
          </cell>
          <cell r="G143" t="str">
            <v>LICEO DE OXFORD</v>
          </cell>
          <cell r="H143" t="str">
            <v>Autoevaluación Institucional y Pruebas SABER 11</v>
          </cell>
          <cell r="I143" t="str">
            <v>SEGUIMIENTO_Y_SUPERVISIÓN.</v>
          </cell>
          <cell r="J143" t="str">
            <v>Realizar visitas para verificar la información registrada sobre la autoevaluación institucional en el aplicativo EVI, a los establecimientos de educación formal no oficial.</v>
          </cell>
          <cell r="K143" t="str">
            <v>JOSE YECID PAJOY CASTRO</v>
          </cell>
          <cell r="L143" t="str">
            <v>JULIÁN FELIPE BERNAL GARZÓN</v>
          </cell>
          <cell r="M143">
            <v>45804</v>
          </cell>
          <cell r="N143">
            <v>45804</v>
          </cell>
          <cell r="O143">
            <v>45804</v>
          </cell>
          <cell r="P143" t="str">
            <v>Visitas de evaluación con fines de mejoramiento</v>
          </cell>
          <cell r="Q143" t="str">
            <v>27MAY25_Liceo De Oxford</v>
          </cell>
          <cell r="R143" t="str">
            <v>La información consignada en la Plataforma EVI relacionada con los indicadores de: planta física, dotación de espacios y calendario académico coincide con lo verificado en campo</v>
          </cell>
          <cell r="S143" t="str">
            <v xml:space="preserve">Se concluye que la IE realizará su autoevalución institucional en el mes octubre.  </v>
          </cell>
          <cell r="T143" t="str">
            <v>No</v>
          </cell>
          <cell r="U143" t="str">
            <v>Se verificará la información cargada por la IE en el aplicativo EVI de la autoevaluación,  para la emisión del concepto de tarifas 2026</v>
          </cell>
        </row>
        <row r="144">
          <cell r="A144">
            <v>339</v>
          </cell>
          <cell r="B144">
            <v>16</v>
          </cell>
          <cell r="C144" t="str">
            <v>BOSA</v>
          </cell>
          <cell r="D144" t="str">
            <v>PRIVADO</v>
          </cell>
          <cell r="E144" t="str">
            <v>EPBM</v>
          </cell>
          <cell r="F144" t="str">
            <v>LICEO_DE_OXFORD</v>
          </cell>
          <cell r="G144" t="str">
            <v>LICEO DE OXFORD</v>
          </cell>
          <cell r="H144" t="str">
            <v>Autoevaluación Institucional y Pruebas SABER 11</v>
          </cell>
          <cell r="I144" t="str">
            <v>SEGUIMIENTO_Y_SUPERVISIÓN.</v>
          </cell>
          <cell r="J144" t="str">
            <v>Proponer estrategias en la formulación, verificar su elaboración y realizar seguimiento semestral al desarrollo de  las acciones establecidas en los planes de mejoramiento por pruebas SABER 11 de los establecimientos de educación formal.</v>
          </cell>
          <cell r="K144" t="str">
            <v>JOSE YECID PAJOY CASTRO</v>
          </cell>
          <cell r="L144" t="str">
            <v>JULIÁN FELIPE BERNAL GARZÓN</v>
          </cell>
          <cell r="M144">
            <v>45804</v>
          </cell>
          <cell r="N144">
            <v>45804</v>
          </cell>
          <cell r="O144">
            <v>45804</v>
          </cell>
          <cell r="P144" t="str">
            <v>Visitas de evaluación con fines de seguimiento</v>
          </cell>
          <cell r="Q144" t="str">
            <v>27MAY25_Liceo De Oxford</v>
          </cell>
          <cell r="R144" t="str">
            <v>Se adelanta la revisión de los Resultados de las Pruebas Saber 11, encontrando que la IE se encuentra en Categoría A</v>
          </cell>
          <cell r="S144" t="str">
            <v>Se aporta documento que la Institución educativa que compara diferentes vigencias y la mejora anual hasta llegar a la categoría A  en los resultados 2024</v>
          </cell>
          <cell r="T144" t="str">
            <v>No</v>
          </cell>
          <cell r="U144" t="str">
            <v>Se acordó revisar nuevamente el documento en el mes de agosto de 2025 y generar espacios de asesoría, conforme lo requiera la IE</v>
          </cell>
        </row>
        <row r="145">
          <cell r="A145">
            <v>340</v>
          </cell>
          <cell r="B145">
            <v>16</v>
          </cell>
          <cell r="C145" t="str">
            <v>BOSA</v>
          </cell>
          <cell r="D145" t="str">
            <v>PRIVADO</v>
          </cell>
          <cell r="E145" t="str">
            <v>EPBM</v>
          </cell>
          <cell r="F145" t="str">
            <v>LICEO_DE_OXFORD</v>
          </cell>
          <cell r="G145" t="str">
            <v>LICEO DE OXFORD</v>
          </cell>
          <cell r="H145" t="str">
            <v>Autoevaluación Institucional y Pruebas SABER 11</v>
          </cell>
          <cell r="I145" t="str">
            <v>SEGUIMIENTO_Y_SUPERVISIÓN.</v>
          </cell>
          <cell r="J145" t="str">
            <v xml:space="preserve">Verificar la implementación por parte de los colegios, de acciones realizadas para la prevención y atención de las situaciones de convivencia en el entorno escolar, según lo establecido en la Directiva 01 de 2022 del MEN. </v>
          </cell>
          <cell r="K145" t="str">
            <v>JOSE YECID PAJOY CASTRO</v>
          </cell>
          <cell r="L145" t="str">
            <v>JULIÁN FELIPE BERNAL GARZÓN</v>
          </cell>
          <cell r="M145">
            <v>45804</v>
          </cell>
          <cell r="N145">
            <v>45804</v>
          </cell>
          <cell r="O145">
            <v>45804</v>
          </cell>
          <cell r="P145" t="str">
            <v>Visitas de evaluación con fines de mejoramiento</v>
          </cell>
          <cell r="Q145" t="str">
            <v>27MAY25_Liceo De Oxford</v>
          </cell>
          <cell r="R145" t="str">
            <v>Se verifica la implementación de acciones  realizadas para la prevención como lo es la verificación de inhabilidades por delitos sexuales en el sistema de la Policía Nacional.</v>
          </cell>
          <cell r="S145" t="str">
            <v>Como acción de verificación se solicita implementar  la autorización de directivos, docentes y administrativos para las consultas de antecedentes en los sistemas que se requieran al momento de la vinculación</v>
          </cell>
          <cell r="T145" t="str">
            <v>No</v>
          </cell>
          <cell r="U145" t="str">
            <v>Verificar que la IE cuente con las respectivas autorizaciones para las consultas de antedecentes del personal vinculado.</v>
          </cell>
        </row>
        <row r="146">
          <cell r="A146">
            <v>341</v>
          </cell>
          <cell r="B146">
            <v>16</v>
          </cell>
          <cell r="C146" t="str">
            <v>BOSA</v>
          </cell>
          <cell r="D146" t="str">
            <v>PRIVADO</v>
          </cell>
          <cell r="E146" t="str">
            <v>EPBM</v>
          </cell>
          <cell r="F146" t="str">
            <v>LICEO_DE_OXFORD</v>
          </cell>
          <cell r="G146" t="str">
            <v>LICEO DE OXFORD</v>
          </cell>
          <cell r="H146" t="str">
            <v>Autoevaluación Institucional y Pruebas SABER 11</v>
          </cell>
          <cell r="I146" t="str">
            <v>SEGUIMIENTO_Y_SUPERVISIÓN.</v>
          </cell>
          <cell r="J14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6" t="str">
            <v>JOSE YECID PAJOY CASTRO</v>
          </cell>
          <cell r="L146" t="str">
            <v>JULIÁN FELIPE BERNAL GARZÓN</v>
          </cell>
          <cell r="M146">
            <v>45804</v>
          </cell>
          <cell r="N146">
            <v>45804</v>
          </cell>
          <cell r="O146">
            <v>45804</v>
          </cell>
          <cell r="P146" t="str">
            <v>Visitas de evaluación con fines de mejoramiento</v>
          </cell>
          <cell r="Q146" t="str">
            <v>27MAY25_Liceo De Oxford</v>
          </cell>
          <cell r="R146" t="str">
            <v>Al revisar la Plataforma SIMAT, hay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46" t="str">
            <v>La Institución Educativa se compromete a remitir el Documento Institucional del Plan Individual de Ajustes Razonables PIAR</v>
          </cell>
          <cell r="T146" t="str">
            <v>No</v>
          </cell>
          <cell r="U146" t="str">
            <v>Verificar la información en SIMAT</v>
          </cell>
        </row>
        <row r="147">
          <cell r="A147">
            <v>342</v>
          </cell>
          <cell r="B147">
            <v>16</v>
          </cell>
          <cell r="C147" t="str">
            <v>BOSA</v>
          </cell>
          <cell r="D147" t="str">
            <v>PRIVADO</v>
          </cell>
          <cell r="E147" t="str">
            <v>EPBM</v>
          </cell>
          <cell r="F147" t="str">
            <v>LICEO_DE_OXFORD</v>
          </cell>
          <cell r="G147" t="str">
            <v>LICEO DE OXFORD</v>
          </cell>
          <cell r="H147" t="str">
            <v>Autoevaluación Institucional y Pruebas SABER 11</v>
          </cell>
          <cell r="I147" t="str">
            <v>EVALUACIÓN_CON_FINES_DE_MEJORAMIENTO.</v>
          </cell>
          <cell r="J14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7" t="str">
            <v>JOSE YECID PAJOY CASTRO</v>
          </cell>
          <cell r="L147" t="str">
            <v>JULIÁN FELIPE BERNAL GARZÓN</v>
          </cell>
          <cell r="M147">
            <v>45804</v>
          </cell>
          <cell r="N147">
            <v>45804</v>
          </cell>
          <cell r="O147">
            <v>45804</v>
          </cell>
          <cell r="P147" t="str">
            <v>Visitas de evaluación con fines de mejoramiento</v>
          </cell>
          <cell r="Q147" t="str">
            <v>27MAY25_Liceo De Oxford</v>
          </cell>
          <cell r="R147" t="str">
            <v>El Manual de Convivencia fue construido y adoptado de forma participativa e incluye los componentes generales, los diferentes enfoques y se encuentra conforme a lo establecido en el PEI y la normatividad vigente</v>
          </cell>
          <cell r="S147" t="str">
            <v>Como acción de verificación la Institución Educativa se compromete a remitir la versión actualizada del Manual de Convivencia a la vigencia 2024 -2025</v>
          </cell>
          <cell r="T147" t="str">
            <v>No</v>
          </cell>
          <cell r="U147" t="str">
            <v>Verificar nuevamente el documento en el mes de agosto de 2025 y generar espacios de asesoría, conforme lo requiera la IE</v>
          </cell>
        </row>
        <row r="148">
          <cell r="A148">
            <v>343</v>
          </cell>
          <cell r="B148">
            <v>16</v>
          </cell>
          <cell r="C148" t="str">
            <v>BOSA</v>
          </cell>
          <cell r="D148" t="str">
            <v>PRIVADO</v>
          </cell>
          <cell r="E148" t="str">
            <v>EPBM</v>
          </cell>
          <cell r="F148" t="str">
            <v>LICEO_DE_OXFORD</v>
          </cell>
          <cell r="G148" t="str">
            <v>LICEO DE OXFORD</v>
          </cell>
          <cell r="H148" t="str">
            <v>Autoevaluación Institucional y Pruebas SABER 11</v>
          </cell>
          <cell r="I148" t="str">
            <v>EVALUACIÓN_CON_FINES_DE_MEJORAMIENTO.</v>
          </cell>
          <cell r="J148" t="str">
            <v>Revisar la actualización, socialización e implementación del Sistema Institucional de Evaluación de Estudiantes - SIEE, en articulación con la actualización del PEI y la normatividad vigente.</v>
          </cell>
          <cell r="K148" t="str">
            <v>JOSE YECID PAJOY CASTRO</v>
          </cell>
          <cell r="L148" t="str">
            <v>JULIÁN FELIPE BERNAL GARZÓN</v>
          </cell>
          <cell r="M148">
            <v>45804</v>
          </cell>
          <cell r="N148">
            <v>45804</v>
          </cell>
          <cell r="O148">
            <v>45804</v>
          </cell>
          <cell r="P148" t="str">
            <v>Visitas de evaluación con fines de mejoramiento</v>
          </cell>
          <cell r="Q148" t="str">
            <v>27MAY25_Liceo De Oxford</v>
          </cell>
          <cell r="R148" t="str">
            <v>Se evidencia el Sistema Institucional de Evaluación de Estudiantes - SIEE, actualizado para la vigencia 2025. Fue construido en articulación con el Consejo Directivo y la comunidad educativa desde el año 2019 y se actualiza cada 2 años</v>
          </cell>
          <cell r="S148" t="str">
            <v>Como acción de verificación la Institución Educativa se compromete a remitir la versión actualizada del  Sistema institucional de evaluación de los estudiantes- SIEE</v>
          </cell>
          <cell r="T148" t="str">
            <v>No</v>
          </cell>
          <cell r="U148" t="str">
            <v>Verificar nuevamente el documento en el mes de agosto de 2025 y generar espacios de asesoría, conforme lo requiera la IE</v>
          </cell>
        </row>
        <row r="149">
          <cell r="A149">
            <v>344</v>
          </cell>
          <cell r="B149">
            <v>16</v>
          </cell>
          <cell r="C149" t="str">
            <v>BOSA</v>
          </cell>
          <cell r="D149" t="str">
            <v>PRIVADO</v>
          </cell>
          <cell r="E149" t="str">
            <v>EPBM</v>
          </cell>
          <cell r="F149" t="str">
            <v>LICEO_DE_OXFORD</v>
          </cell>
          <cell r="G149" t="str">
            <v>LICEO DE OXFORD</v>
          </cell>
          <cell r="H149" t="str">
            <v>Autoevaluación Institucional y Pruebas SABER 11</v>
          </cell>
          <cell r="I149" t="str">
            <v>EVALUACIÓN_CON_FINES_DE_MEJORAMIENTO.</v>
          </cell>
          <cell r="J149" t="str">
            <v>Revisar el calendario escolar, jornada escolar, la intensidad horaria mínima anual en cada nivel y las modificaciones que se realicen al mismo, de acuerdo con lo previsto en la normatividad vigente.</v>
          </cell>
          <cell r="K149" t="str">
            <v>JOSE YECID PAJOY CASTRO</v>
          </cell>
          <cell r="L149" t="str">
            <v>JULIÁN FELIPE BERNAL GARZÓN</v>
          </cell>
          <cell r="M149">
            <v>45804</v>
          </cell>
          <cell r="N149">
            <v>45804</v>
          </cell>
          <cell r="O149">
            <v>45804</v>
          </cell>
          <cell r="P149" t="str">
            <v>Visitas de evaluación con fines de mejoramiento</v>
          </cell>
          <cell r="Q149" t="str">
            <v>27MAY25_Liceo De Oxford</v>
          </cell>
          <cell r="R149" t="str">
            <v>El calendario escolar, jornada escolar, la intensidad horaria mínima anual en cada nivel se encuentran conforme lo previsto en la normatividad vigente</v>
          </cell>
          <cell r="S149" t="str">
            <v>Como acción de verificación la Institución Educativa se compromete a remitir la versión actualizada calendario escolar</v>
          </cell>
          <cell r="T149" t="str">
            <v>No</v>
          </cell>
          <cell r="U149" t="str">
            <v>Verificar nuevamente el documento en el mes de agosto de 2025 y generar espacios de asesoría, conforme lo requiera la IE</v>
          </cell>
        </row>
        <row r="150">
          <cell r="A150">
            <v>345</v>
          </cell>
          <cell r="B150">
            <v>16</v>
          </cell>
          <cell r="C150" t="str">
            <v>BOSA</v>
          </cell>
          <cell r="D150" t="str">
            <v>PRIVADO</v>
          </cell>
          <cell r="E150" t="str">
            <v>EPBM</v>
          </cell>
          <cell r="F150" t="str">
            <v>LICEO_DE_OXFORD</v>
          </cell>
          <cell r="G150" t="str">
            <v>LICEO DE OXFORD</v>
          </cell>
          <cell r="H150" t="str">
            <v>Autoevaluación Institucional y Pruebas SABER 11</v>
          </cell>
          <cell r="I150" t="str">
            <v>EVALUACIÓN_CON_FINES_DE_MEJORAMIENTO.</v>
          </cell>
          <cell r="J150" t="str">
            <v>Verificar el funcionamiento del Gobierno Escolar e instancias de participación con base en la información sobre conformación reportada por la institución educativa.</v>
          </cell>
          <cell r="K150" t="str">
            <v>JOSE YECID PAJOY CASTRO</v>
          </cell>
          <cell r="L150" t="str">
            <v>JULIÁN FELIPE BERNAL GARZÓN</v>
          </cell>
          <cell r="M150">
            <v>45804</v>
          </cell>
          <cell r="N150">
            <v>45804</v>
          </cell>
          <cell r="O150">
            <v>45804</v>
          </cell>
          <cell r="P150" t="str">
            <v>Visitas de evaluación con fines de mejoramiento</v>
          </cell>
          <cell r="Q150" t="str">
            <v>27MAY25_Liceo De Oxford</v>
          </cell>
          <cell r="R150" t="str">
            <v>La constitución del Gobierno Escolar y sus órganos de participación, se encuentra conforme a la Normativa Vigente</v>
          </cell>
          <cell r="S150" t="str">
            <v>Continuar operando conforme funciones y reglamentos.</v>
          </cell>
          <cell r="T150" t="str">
            <v>No</v>
          </cell>
          <cell r="U150" t="str">
            <v>Verificar la conformación del Gobierno Escolar e instancias para la vigencia 2026 o antes si la IE lo requiere o se presenta solicitud o queja.</v>
          </cell>
        </row>
        <row r="151">
          <cell r="A151">
            <v>346</v>
          </cell>
          <cell r="B151">
            <v>16</v>
          </cell>
          <cell r="C151" t="str">
            <v>BOSA</v>
          </cell>
          <cell r="D151" t="str">
            <v>PRIVADO</v>
          </cell>
          <cell r="E151" t="str">
            <v>EPBM</v>
          </cell>
          <cell r="F151" t="str">
            <v>LICEO_DE_OXFORD</v>
          </cell>
          <cell r="G151" t="str">
            <v>LICEO DE OXFORD</v>
          </cell>
          <cell r="H151" t="str">
            <v>Autoevaluación Institucional y Pruebas SABER 11</v>
          </cell>
          <cell r="I151" t="str">
            <v>EVALUACIÓN_CON_FINES_DE_MEJORAMIENTO.</v>
          </cell>
          <cell r="J151" t="str">
            <v>Verificar las condiciones en cuanto a: la estructura administrativa, condiciones de la planta física y medios educativos adecuados.</v>
          </cell>
          <cell r="K151" t="str">
            <v>JOSE YECID PAJOY CASTRO</v>
          </cell>
          <cell r="L151" t="str">
            <v>JULIÁN FELIPE BERNAL GARZÓN</v>
          </cell>
          <cell r="M151">
            <v>45804</v>
          </cell>
          <cell r="N151">
            <v>45804</v>
          </cell>
          <cell r="O151">
            <v>45804</v>
          </cell>
          <cell r="P151" t="str">
            <v>Visitas de evaluación con fines de mejoramiento</v>
          </cell>
          <cell r="Q151" t="str">
            <v>27MAY25_Liceo De Oxford</v>
          </cell>
          <cell r="R151" t="str">
            <v>Se realiza un recorrido en las instalaciones de la IE y se evidencia falta de mantenimiento en las instalaciones y se debe verificar el proceso de ambientes compartidos de la SED</v>
          </cell>
          <cell r="S151" t="str">
            <v>Se recomienda actualizar el mobiliario más antiguo y se debe verificar el proceso de ambientes compartidos de la SED</v>
          </cell>
          <cell r="T151" t="str">
            <v>No</v>
          </cell>
          <cell r="U151" t="str">
            <v>Las condiciones de la planta física garantizan la adecuada prestación del servicio educativo</v>
          </cell>
        </row>
        <row r="152">
          <cell r="A152">
            <v>347</v>
          </cell>
          <cell r="B152">
            <v>17</v>
          </cell>
          <cell r="C152" t="str">
            <v>BOSA</v>
          </cell>
          <cell r="D152" t="str">
            <v>PRIVADO</v>
          </cell>
          <cell r="E152" t="str">
            <v>EPBM</v>
          </cell>
          <cell r="F152" t="str">
            <v>LICEO_ERNESTO_CARDENAL</v>
          </cell>
          <cell r="G152" t="str">
            <v>LICEO ERNESTO CARDENAL</v>
          </cell>
          <cell r="H152" t="str">
            <v>Autoevaluación Institucional y Pruebas SABER 11</v>
          </cell>
          <cell r="I152" t="str">
            <v>SEGUIMIENTO_Y_SUPERVISIÓN.</v>
          </cell>
          <cell r="J152" t="str">
            <v>Realizar visitas para verificar la información registrada sobre la autoevaluación institucional en el aplicativo EVI, a los establecimientos de educación formal no oficial.</v>
          </cell>
          <cell r="K152" t="str">
            <v>ANA ANDREA VARGAS GONZÁLEZ</v>
          </cell>
          <cell r="L152" t="str">
            <v>JOSÉ ANTONIO PÁEZ FETECUA</v>
          </cell>
          <cell r="M152">
            <v>45806</v>
          </cell>
          <cell r="N152">
            <v>45806</v>
          </cell>
          <cell r="O152">
            <v>45806</v>
          </cell>
          <cell r="P152" t="str">
            <v>Visitas de evaluación con fines de mejoramiento</v>
          </cell>
          <cell r="Q152" t="str">
            <v>29MAY25_Liceo Ernesto Cardenal</v>
          </cell>
          <cell r="R152" t="str">
            <v>La información consignada en la Plataforma EVI relacionada con los indicadores de: planta física, dotación de espacios y calendario académico coincide con lo verificado en campo</v>
          </cell>
          <cell r="S152" t="str">
            <v xml:space="preserve">Se concluye que la IE realizará su autoevalución institucional en el mes octubre.  </v>
          </cell>
          <cell r="T152" t="str">
            <v>No</v>
          </cell>
          <cell r="U152" t="str">
            <v>Se verificará la información cargada por la IE en el aplicativo EVI de la autoevaluación,  para la emisión del concepto de tarifas 2026</v>
          </cell>
        </row>
        <row r="153">
          <cell r="A153">
            <v>348</v>
          </cell>
          <cell r="B153">
            <v>17</v>
          </cell>
          <cell r="C153" t="str">
            <v>BOSA</v>
          </cell>
          <cell r="D153" t="str">
            <v>PRIVADO</v>
          </cell>
          <cell r="E153" t="str">
            <v>EPBM</v>
          </cell>
          <cell r="F153" t="str">
            <v>LICEO_ERNESTO_CARDENAL</v>
          </cell>
          <cell r="G153" t="str">
            <v>LICEO ERNESTO CARDENAL</v>
          </cell>
          <cell r="H153" t="str">
            <v>Autoevaluación Institucional y Pruebas SABER 11</v>
          </cell>
          <cell r="I153" t="str">
            <v>SEGUIMIENTO_Y_SUPERVISIÓN.</v>
          </cell>
          <cell r="J153" t="str">
            <v>Proponer estrategias en la formulación, verificar su elaboración y realizar seguimiento semestral al desarrollo de  las acciones establecidas en los planes de mejoramiento por pruebas SABER 11 de los establecimientos de educación formal.</v>
          </cell>
          <cell r="K153" t="str">
            <v>ANA ANDREA VARGAS GONZÁLEZ</v>
          </cell>
          <cell r="L153" t="str">
            <v>JOSÉ ANTONIO PÁEZ FETECUA</v>
          </cell>
          <cell r="M153">
            <v>45806</v>
          </cell>
          <cell r="N153">
            <v>45806</v>
          </cell>
          <cell r="O153">
            <v>45806</v>
          </cell>
          <cell r="P153" t="str">
            <v>Visitas de evaluación con fines de seguimiento</v>
          </cell>
          <cell r="Q153" t="str">
            <v>29MAY25_Liceo Ernesto Cardenal</v>
          </cell>
          <cell r="R153" t="str">
            <v>Se adelanta la revisión de los Resultados de las Pruebas Saber 11, encontrando que la IE se encuentra en Categoría B</v>
          </cell>
          <cell r="S153" t="str">
            <v>Se aporta documento que la Institución educativa que compara diferentes vigencias y la mejora anual hasta llegar a la categoría A  en los resultados 2024</v>
          </cell>
          <cell r="T153" t="str">
            <v>No</v>
          </cell>
          <cell r="U153" t="str">
            <v>Se acordó revisar nuevamente el documento en el mes de agosto de 2025 y generar espacios de asesoría, conforme lo requiera la IE</v>
          </cell>
        </row>
        <row r="154">
          <cell r="A154">
            <v>349</v>
          </cell>
          <cell r="B154">
            <v>17</v>
          </cell>
          <cell r="C154" t="str">
            <v>BOSA</v>
          </cell>
          <cell r="D154" t="str">
            <v>PRIVADO</v>
          </cell>
          <cell r="E154" t="str">
            <v>EPBM</v>
          </cell>
          <cell r="F154" t="str">
            <v>LICEO_ERNESTO_CARDENAL</v>
          </cell>
          <cell r="G154" t="str">
            <v>LICEO ERNESTO CARDENAL</v>
          </cell>
          <cell r="H154" t="str">
            <v>Autoevaluación Institucional y Pruebas SABER 11</v>
          </cell>
          <cell r="I154" t="str">
            <v>SEGUIMIENTO_Y_SUPERVISIÓN.</v>
          </cell>
          <cell r="J154" t="str">
            <v xml:space="preserve">Verificar la implementación por parte de los colegios, de acciones realizadas para la prevención y atención de las situaciones de convivencia en el entorno escolar, según lo establecido en la Directiva 01 de 2022 del MEN. </v>
          </cell>
          <cell r="K154" t="str">
            <v>ANA ANDREA VARGAS GONZÁLEZ</v>
          </cell>
          <cell r="L154" t="str">
            <v>JOSÉ ANTONIO PÁEZ FETECUA</v>
          </cell>
          <cell r="M154">
            <v>45806</v>
          </cell>
          <cell r="N154">
            <v>45806</v>
          </cell>
          <cell r="O154">
            <v>45806</v>
          </cell>
          <cell r="P154" t="str">
            <v>Visitas de evaluación con fines de mejoramiento</v>
          </cell>
          <cell r="Q154" t="str">
            <v>29MAY25_Liceo Ernesto Cardenal</v>
          </cell>
          <cell r="R154" t="str">
            <v>Se verifica la implementación de acciones  realizadas para la prevención como lo es la verificación de inhabilidades por delitos sexuales en el sistema de la Policía Nacional.</v>
          </cell>
          <cell r="S154" t="str">
            <v>Como acción de verificación se solicita implementar  la autorización de directivos, docentes y administrativos para las consultas de antecedentes en los sistemas que se requieran al momento de la vinculación</v>
          </cell>
          <cell r="T154" t="str">
            <v>No</v>
          </cell>
          <cell r="U154" t="str">
            <v>Verificar que la IE cuente con las respectivas autorizaciones para las consultas de antedecentes del personal vinculado.</v>
          </cell>
        </row>
        <row r="155">
          <cell r="A155">
            <v>350</v>
          </cell>
          <cell r="B155">
            <v>17</v>
          </cell>
          <cell r="C155" t="str">
            <v>BOSA</v>
          </cell>
          <cell r="D155" t="str">
            <v>PRIVADO</v>
          </cell>
          <cell r="E155" t="str">
            <v>EPBM</v>
          </cell>
          <cell r="F155" t="str">
            <v>LICEO_ERNESTO_CARDENAL</v>
          </cell>
          <cell r="G155" t="str">
            <v>LICEO ERNESTO CARDENAL</v>
          </cell>
          <cell r="H155" t="str">
            <v>Autoevaluación Institucional y Pruebas SABER 11</v>
          </cell>
          <cell r="I155" t="str">
            <v>SEGUIMIENTO_Y_SUPERVISIÓN.</v>
          </cell>
          <cell r="J15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5" t="str">
            <v>ANA ANDREA VARGAS GONZÁLEZ</v>
          </cell>
          <cell r="L155" t="str">
            <v>JOSÉ ANTONIO PÁEZ FETECUA</v>
          </cell>
          <cell r="M155">
            <v>45806</v>
          </cell>
          <cell r="N155">
            <v>45806</v>
          </cell>
          <cell r="O155">
            <v>45806</v>
          </cell>
          <cell r="P155" t="str">
            <v>Visitas de evaluación con fines de mejoramiento</v>
          </cell>
          <cell r="Q155" t="str">
            <v>29MAY25_Liceo Ernesto Cardenal</v>
          </cell>
          <cell r="R155" t="str">
            <v>Al revisar la Plataforma SIMAT, hay 05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55" t="str">
            <v>La Institución Educativa se compromete a remitir el Documento Institucional del Plan Individual de Ajustes Razonables PIAR</v>
          </cell>
          <cell r="T155" t="str">
            <v>No</v>
          </cell>
          <cell r="U155" t="str">
            <v>Verificar la información en SIMAT</v>
          </cell>
        </row>
        <row r="156">
          <cell r="A156">
            <v>351</v>
          </cell>
          <cell r="B156">
            <v>17</v>
          </cell>
          <cell r="C156" t="str">
            <v>BOSA</v>
          </cell>
          <cell r="D156" t="str">
            <v>PRIVADO</v>
          </cell>
          <cell r="E156" t="str">
            <v>EPBM</v>
          </cell>
          <cell r="F156" t="str">
            <v>LICEO_ERNESTO_CARDENAL</v>
          </cell>
          <cell r="G156" t="str">
            <v>LICEO ERNESTO CARDENAL</v>
          </cell>
          <cell r="H156" t="str">
            <v>Autoevaluación Institucional y Pruebas SABER 11</v>
          </cell>
          <cell r="I156" t="str">
            <v>EVALUACIÓN_CON_FINES_DE_MEJORAMIENTO.</v>
          </cell>
          <cell r="J15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6" t="str">
            <v>ANA ANDREA VARGAS GONZÁLEZ</v>
          </cell>
          <cell r="L156" t="str">
            <v>JOSÉ ANTONIO PÁEZ FETECUA</v>
          </cell>
          <cell r="M156">
            <v>45806</v>
          </cell>
          <cell r="N156">
            <v>45806</v>
          </cell>
          <cell r="O156">
            <v>45806</v>
          </cell>
          <cell r="P156" t="str">
            <v>Visitas de evaluación con fines de mejoramiento</v>
          </cell>
          <cell r="Q156" t="str">
            <v>29MAY25_Liceo Ernesto Cardenal</v>
          </cell>
          <cell r="R156" t="str">
            <v>El Manual de Convivencia fue construido y adoptado de forma participativa e incluye los componentes generales, los diferentes enfoques y se encuentra conforme a lo establecido en el PEI y la normatividad vigente</v>
          </cell>
          <cell r="S156" t="str">
            <v>Como acción de verificación la Institución Educativa se compromete a remitir la versión actualizada del Manual de Convivencia a la vigencia 2024 -2025</v>
          </cell>
          <cell r="T156" t="str">
            <v>No</v>
          </cell>
          <cell r="U156" t="str">
            <v>Verificar nuevamente el documento en el mes de agosto de 2025 y generar espacios de asesoría, conforme lo requiera la IE</v>
          </cell>
        </row>
        <row r="157">
          <cell r="A157">
            <v>352</v>
          </cell>
          <cell r="B157">
            <v>17</v>
          </cell>
          <cell r="C157" t="str">
            <v>BOSA</v>
          </cell>
          <cell r="D157" t="str">
            <v>PRIVADO</v>
          </cell>
          <cell r="E157" t="str">
            <v>EPBM</v>
          </cell>
          <cell r="F157" t="str">
            <v>LICEO_ERNESTO_CARDENAL</v>
          </cell>
          <cell r="G157" t="str">
            <v>LICEO ERNESTO CARDENAL</v>
          </cell>
          <cell r="H157" t="str">
            <v>Autoevaluación Institucional y Pruebas SABER 11</v>
          </cell>
          <cell r="I157" t="str">
            <v>EVALUACIÓN_CON_FINES_DE_MEJORAMIENTO.</v>
          </cell>
          <cell r="J157" t="str">
            <v>Revisar la actualización, socialización e implementación del Sistema Institucional de Evaluación de Estudiantes - SIEE, en articulación con la actualización del PEI y la normatividad vigente.</v>
          </cell>
          <cell r="K157" t="str">
            <v>ANA ANDREA VARGAS GONZÁLEZ</v>
          </cell>
          <cell r="L157" t="str">
            <v>JOSÉ ANTONIO PÁEZ FETECUA</v>
          </cell>
          <cell r="M157">
            <v>45806</v>
          </cell>
          <cell r="N157">
            <v>45806</v>
          </cell>
          <cell r="O157">
            <v>45806</v>
          </cell>
          <cell r="P157" t="str">
            <v>Visitas de evaluación con fines de mejoramiento</v>
          </cell>
          <cell r="Q157" t="str">
            <v>29MAY25_Liceo Ernesto Cardenal</v>
          </cell>
          <cell r="R157" t="str">
            <v>Se evidencia el Sistema Institucional de Evaluación de Estudiantes - SIEE, actualizado para la vigencia 2025. Fue construido en articulación con el Consejo Directivo y la comunidad educativa desde el año 2019 y se actualiza cada 2 años</v>
          </cell>
          <cell r="S157" t="str">
            <v>Como acción de verificación la Institución Educativa se compromete a remitir la versión actualizada del  Sistema institucional de evaluación de los estudiantes- SIEE</v>
          </cell>
          <cell r="T157" t="str">
            <v>No</v>
          </cell>
          <cell r="U157" t="str">
            <v>Verificar nuevamente el documento en el mes de agosto de 2025 y generar espacios de asesoría, conforme lo requiera la IE</v>
          </cell>
        </row>
        <row r="158">
          <cell r="A158">
            <v>353</v>
          </cell>
          <cell r="B158">
            <v>17</v>
          </cell>
          <cell r="C158" t="str">
            <v>BOSA</v>
          </cell>
          <cell r="D158" t="str">
            <v>PRIVADO</v>
          </cell>
          <cell r="E158" t="str">
            <v>EPBM</v>
          </cell>
          <cell r="F158" t="str">
            <v>LICEO_ERNESTO_CARDENAL</v>
          </cell>
          <cell r="G158" t="str">
            <v>LICEO ERNESTO CARDENAL</v>
          </cell>
          <cell r="H158" t="str">
            <v>Autoevaluación Institucional y Pruebas SABER 11</v>
          </cell>
          <cell r="I158" t="str">
            <v>EVALUACIÓN_CON_FINES_DE_MEJORAMIENTO.</v>
          </cell>
          <cell r="J158" t="str">
            <v>Revisar el calendario escolar, jornada escolar, la intensidad horaria mínima anual en cada nivel y las modificaciones que se realicen al mismo, de acuerdo con lo previsto en la normatividad vigente.</v>
          </cell>
          <cell r="K158" t="str">
            <v>ANA ANDREA VARGAS GONZÁLEZ</v>
          </cell>
          <cell r="L158" t="str">
            <v>JOSÉ ANTONIO PÁEZ FETECUA</v>
          </cell>
          <cell r="M158">
            <v>45806</v>
          </cell>
          <cell r="N158">
            <v>45806</v>
          </cell>
          <cell r="O158">
            <v>45806</v>
          </cell>
          <cell r="P158" t="str">
            <v>Visitas de evaluación con fines de mejoramiento</v>
          </cell>
          <cell r="Q158" t="str">
            <v>29MAY25_Liceo Ernesto Cardenal</v>
          </cell>
          <cell r="R158" t="str">
            <v>El calendario escolar, jornada escolar, la intensidad horaria mínima anual en cada nivel se encuentran conforme lo previsto en la normatividad vigente</v>
          </cell>
          <cell r="S158" t="str">
            <v>Como acción de verificación la Institución Educativa se compromete a remitir la versión actualizada calendario escolar</v>
          </cell>
          <cell r="T158" t="str">
            <v>No</v>
          </cell>
          <cell r="U158" t="str">
            <v>Verificar nuevamente el documento en el mes de agosto de 2025 y generar espacios de asesoría, conforme lo requiera la IE</v>
          </cell>
        </row>
        <row r="159">
          <cell r="A159">
            <v>354</v>
          </cell>
          <cell r="B159">
            <v>17</v>
          </cell>
          <cell r="C159" t="str">
            <v>BOSA</v>
          </cell>
          <cell r="D159" t="str">
            <v>PRIVADO</v>
          </cell>
          <cell r="E159" t="str">
            <v>EPBM</v>
          </cell>
          <cell r="F159" t="str">
            <v>LICEO_ERNESTO_CARDENAL</v>
          </cell>
          <cell r="G159" t="str">
            <v>LICEO ERNESTO CARDENAL</v>
          </cell>
          <cell r="H159" t="str">
            <v>Autoevaluación Institucional y Pruebas SABER 11</v>
          </cell>
          <cell r="I159" t="str">
            <v>EVALUACIÓN_CON_FINES_DE_MEJORAMIENTO.</v>
          </cell>
          <cell r="J159" t="str">
            <v>Verificar el funcionamiento del Gobierno Escolar e instancias de participación con base en la información sobre conformación reportada por la institución educativa.</v>
          </cell>
          <cell r="K159" t="str">
            <v>ANA ANDREA VARGAS GONZÁLEZ</v>
          </cell>
          <cell r="L159" t="str">
            <v>JOSÉ ANTONIO PÁEZ FETECUA</v>
          </cell>
          <cell r="M159">
            <v>45806</v>
          </cell>
          <cell r="N159">
            <v>45806</v>
          </cell>
          <cell r="O159">
            <v>45806</v>
          </cell>
          <cell r="P159" t="str">
            <v>Visitas de evaluación con fines de mejoramiento</v>
          </cell>
          <cell r="Q159" t="str">
            <v>29MAY25_Liceo Ernesto Cardenal</v>
          </cell>
          <cell r="R159" t="str">
            <v xml:space="preserve">La constitución del Gobierno Escolar y sus órganos de participación, se encuentra conforme a la Normativa Vigente Sobre el funcionamiento, ¿qué se evidencio? </v>
          </cell>
          <cell r="S159" t="str">
            <v>Continuar operando conforme funciones y reglamentos.</v>
          </cell>
          <cell r="T159" t="str">
            <v>No</v>
          </cell>
          <cell r="U159" t="str">
            <v>Verificar la conformación del Gobierno Escolar e instancias para la vigencia 2026 o antes si la IE lo requiere o se presenta solicitud o queja.</v>
          </cell>
        </row>
        <row r="160">
          <cell r="A160">
            <v>355</v>
          </cell>
          <cell r="B160">
            <v>17</v>
          </cell>
          <cell r="C160" t="str">
            <v>BOSA</v>
          </cell>
          <cell r="D160" t="str">
            <v>PRIVADO</v>
          </cell>
          <cell r="E160" t="str">
            <v>EPBM</v>
          </cell>
          <cell r="F160" t="str">
            <v>LICEO_ERNESTO_CARDENAL</v>
          </cell>
          <cell r="G160" t="str">
            <v>LICEO ERNESTO CARDENAL</v>
          </cell>
          <cell r="H160" t="str">
            <v>Autoevaluación Institucional y Pruebas SABER 11</v>
          </cell>
          <cell r="I160" t="str">
            <v>EVALUACIÓN_CON_FINES_DE_MEJORAMIENTO.</v>
          </cell>
          <cell r="J160" t="str">
            <v>Verificar las condiciones en cuanto a: la estructura administrativa, condiciones de la planta física y medios educativos adecuados.</v>
          </cell>
          <cell r="K160" t="str">
            <v>ANA ANDREA VARGAS GONZÁLEZ</v>
          </cell>
          <cell r="L160" t="str">
            <v>JOSÉ ANTONIO PÁEZ FETECUA</v>
          </cell>
          <cell r="M160">
            <v>45806</v>
          </cell>
          <cell r="N160">
            <v>45806</v>
          </cell>
          <cell r="O160">
            <v>45806</v>
          </cell>
          <cell r="P160" t="str">
            <v>Visitas de evaluación con fines de mejoramiento</v>
          </cell>
          <cell r="Q160" t="str">
            <v>29MAY25_Liceo Ernesto Cardenal</v>
          </cell>
          <cell r="R160" t="str">
            <v>Se realiza un recorrido en las instalaciones de la IE, verificando las condiciones en cuanto a: la estructura administrativa, condiciones de la planta física y medios educativos adecuados.</v>
          </cell>
          <cell r="S160" t="str">
            <v>Las condiciones de la planta física son adecuadas y se recomienda actualizar el mobiliario más antiguo</v>
          </cell>
          <cell r="T160" t="str">
            <v>No</v>
          </cell>
          <cell r="U160" t="str">
            <v>Las condiciones de la planta física garantizan la adecuada prestación del servicio educativo</v>
          </cell>
        </row>
        <row r="161">
          <cell r="A161">
            <v>356</v>
          </cell>
          <cell r="B161">
            <v>18</v>
          </cell>
          <cell r="C161" t="str">
            <v>BOSA</v>
          </cell>
          <cell r="D161" t="str">
            <v>PRIVADO</v>
          </cell>
          <cell r="E161" t="str">
            <v>EPBM</v>
          </cell>
          <cell r="F161" t="str">
            <v>LICEO_MIXTO_LOS_CENTAUROS</v>
          </cell>
          <cell r="G161" t="str">
            <v>LICEO MIXTO LOS CENTAUROS</v>
          </cell>
          <cell r="H161" t="str">
            <v>Autoevaluación Institucional y Pruebas SABER 11</v>
          </cell>
          <cell r="I161" t="str">
            <v>SEGUIMIENTO_Y_SUPERVISIÓN.</v>
          </cell>
          <cell r="J161" t="str">
            <v>Realizar visitas para verificar la información registrada sobre la autoevaluación institucional en el aplicativo EVI, a los establecimientos de educación formal no oficial.</v>
          </cell>
          <cell r="K161" t="str">
            <v>JOSÉ ANTONIO PÁEZ FETECUA</v>
          </cell>
          <cell r="L161" t="str">
            <v>ESTEFANY PEÑA GARCIA</v>
          </cell>
          <cell r="M161">
            <v>45853</v>
          </cell>
          <cell r="N161">
            <v>45853</v>
          </cell>
          <cell r="O161">
            <v>45853</v>
          </cell>
          <cell r="P161" t="str">
            <v>Visitas de evaluación con fines de mejoramiento</v>
          </cell>
          <cell r="Q161" t="str">
            <v>15JUL25_LICEO MIXTO LOS CENTAUROS</v>
          </cell>
          <cell r="R161" t="str">
            <v>La información consignada en la Plataforma EVI relacionada con los indicadores de: planta física, dotación de espacios y calendario académico coincide con lo verificado en campo</v>
          </cell>
          <cell r="S161" t="str">
            <v xml:space="preserve">Se concluye que la IE realizará su autoevalución institucional en el mes octubre.  </v>
          </cell>
          <cell r="T161" t="str">
            <v>No</v>
          </cell>
          <cell r="U161" t="str">
            <v>Se verificará la información cargada por la IE en el aplicativo EVI de la autoevaluación,  para la emisión del concepto de tarifas 2026</v>
          </cell>
        </row>
        <row r="162">
          <cell r="A162">
            <v>357</v>
          </cell>
          <cell r="B162">
            <v>18</v>
          </cell>
          <cell r="C162" t="str">
            <v>BOSA</v>
          </cell>
          <cell r="D162" t="str">
            <v>PRIVADO</v>
          </cell>
          <cell r="E162" t="str">
            <v>EPBM</v>
          </cell>
          <cell r="F162" t="str">
            <v>LICEO_MIXTO_LOS_CENTAUROS</v>
          </cell>
          <cell r="G162" t="str">
            <v>LICEO MIXTO LOS CENTAUROS</v>
          </cell>
          <cell r="H162" t="str">
            <v>Autoevaluación Institucional y Pruebas SABER 11</v>
          </cell>
          <cell r="I162" t="str">
            <v>SEGUIMIENTO_Y_SUPERVISIÓN.</v>
          </cell>
          <cell r="J162" t="str">
            <v>Proponer estrategias en la formulación, verificar su elaboración y realizar seguimiento semestral al desarrollo de  las acciones establecidas en los planes de mejoramiento por pruebas SABER 11 de los establecimientos de educación formal.</v>
          </cell>
          <cell r="K162" t="str">
            <v>JOSÉ ANTONIO PÁEZ FETECUA</v>
          </cell>
          <cell r="L162" t="str">
            <v>ESTEFANY PEÑA GARCIA</v>
          </cell>
          <cell r="M162">
            <v>45853</v>
          </cell>
          <cell r="N162">
            <v>45853</v>
          </cell>
          <cell r="O162">
            <v>45853</v>
          </cell>
          <cell r="P162" t="str">
            <v>Visitas de evaluación con fines de mejoramiento</v>
          </cell>
          <cell r="Q162" t="str">
            <v>15JUL25_LICEO MIXTO LOS CENTAUROS</v>
          </cell>
          <cell r="R162" t="str">
            <v>Se adelanta la revisión de los Resultados de las Pruebas Saber 11, encontrando que la IE se encuentra en Categoría A</v>
          </cell>
          <cell r="S162" t="str">
            <v>Se aporta documento que la Institución educativa que compara diferentes vigencias y la mejora anual hasta llegar a la categoría A  en los resultados 2024</v>
          </cell>
          <cell r="T162" t="str">
            <v>No</v>
          </cell>
          <cell r="U162" t="str">
            <v>Se acordó revisar nuevamente el documento en el mes de agosto de 2025 y generar espacios de asesoría, conforme lo requiera la IE</v>
          </cell>
        </row>
        <row r="163">
          <cell r="A163">
            <v>358</v>
          </cell>
          <cell r="B163">
            <v>18</v>
          </cell>
          <cell r="C163" t="str">
            <v>BOSA</v>
          </cell>
          <cell r="D163" t="str">
            <v>PRIVADO</v>
          </cell>
          <cell r="E163" t="str">
            <v>EPBM</v>
          </cell>
          <cell r="F163" t="str">
            <v>LICEO_MIXTO_LOS_CENTAUROS</v>
          </cell>
          <cell r="G163" t="str">
            <v>LICEO MIXTO LOS CENTAUROS</v>
          </cell>
          <cell r="H163" t="str">
            <v>Autoevaluación Institucional y Pruebas SABER 11</v>
          </cell>
          <cell r="I163" t="str">
            <v>SEGUIMIENTO_Y_SUPERVISIÓN.</v>
          </cell>
          <cell r="J163" t="str">
            <v xml:space="preserve">Verificar la implementación por parte de los colegios, de acciones realizadas para la prevención y atención de las situaciones de convivencia en el entorno escolar, según lo establecido en la Directiva 01 de 2022 del MEN. </v>
          </cell>
          <cell r="K163" t="str">
            <v>JOSÉ ANTONIO PÁEZ FETECUA</v>
          </cell>
          <cell r="L163" t="str">
            <v>ESTEFANY PEÑA GARCIA</v>
          </cell>
          <cell r="M163">
            <v>45853</v>
          </cell>
          <cell r="N163">
            <v>45853</v>
          </cell>
          <cell r="O163">
            <v>45853</v>
          </cell>
          <cell r="P163" t="str">
            <v>Visitas de evaluación con fines de mejoramiento</v>
          </cell>
          <cell r="Q163" t="str">
            <v>15JUL25_LICEO MIXTO LOS CENTAUROS</v>
          </cell>
          <cell r="R163" t="str">
            <v>Se verifica la implementación de acciones  realizadas para la prevención como lo es la verificación de inhabilidades por delitos sexuales en el sistema de la Policía Nacional.</v>
          </cell>
          <cell r="S163" t="str">
            <v>Como acción de verificación se solicita implementar  la autorización de directivos, docentes y administrativos para las consultas de antecedentes en los sistemas que se requieran al momento de la vinculación</v>
          </cell>
          <cell r="T163" t="str">
            <v>No</v>
          </cell>
          <cell r="U163" t="str">
            <v>Verificar que la IE cuente con las respectivas autorizaciones para las consultas de antedecentes del personal vinculado.</v>
          </cell>
        </row>
        <row r="164">
          <cell r="A164">
            <v>359</v>
          </cell>
          <cell r="B164">
            <v>18</v>
          </cell>
          <cell r="C164" t="str">
            <v>BOSA</v>
          </cell>
          <cell r="D164" t="str">
            <v>PRIVADO</v>
          </cell>
          <cell r="E164" t="str">
            <v>EPBM</v>
          </cell>
          <cell r="F164" t="str">
            <v>LICEO_MIXTO_LOS_CENTAUROS</v>
          </cell>
          <cell r="G164" t="str">
            <v>LICEO MIXTO LOS CENTAUROS</v>
          </cell>
          <cell r="H164" t="str">
            <v>Autoevaluación Institucional y Pruebas SABER 11</v>
          </cell>
          <cell r="I164" t="str">
            <v>SEGUIMIENTO_Y_SUPERVISIÓN.</v>
          </cell>
          <cell r="J1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4" t="str">
            <v>JOSÉ ANTONIO PÁEZ FETECUA</v>
          </cell>
          <cell r="L164" t="str">
            <v>ESTEFANY PEÑA GARCIA</v>
          </cell>
          <cell r="M164">
            <v>45853</v>
          </cell>
          <cell r="N164">
            <v>45853</v>
          </cell>
          <cell r="O164">
            <v>45853</v>
          </cell>
          <cell r="P164" t="str">
            <v>Visitas de evaluación con fines de mejoramiento</v>
          </cell>
          <cell r="Q164" t="str">
            <v>15JUL25_LICEO MIXTO LOS CENTAUROS</v>
          </cell>
          <cell r="R164" t="str">
            <v>Al revisar la Plataforma SIMAT, hay 13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64" t="str">
            <v>La Institución Educativa se compromete a remitir el Documento Institucional del Plan Individual de Ajustes Razonables PIAR</v>
          </cell>
          <cell r="T164" t="str">
            <v>No</v>
          </cell>
          <cell r="U164" t="str">
            <v>Verificar la información en SIMAT</v>
          </cell>
        </row>
        <row r="165">
          <cell r="A165">
            <v>360</v>
          </cell>
          <cell r="B165">
            <v>18</v>
          </cell>
          <cell r="C165" t="str">
            <v>BOSA</v>
          </cell>
          <cell r="D165" t="str">
            <v>PRIVADO</v>
          </cell>
          <cell r="E165" t="str">
            <v>EPBM</v>
          </cell>
          <cell r="F165" t="str">
            <v>LICEO_MIXTO_LOS_CENTAUROS</v>
          </cell>
          <cell r="G165" t="str">
            <v>LICEO MIXTO LOS CENTAUROS</v>
          </cell>
          <cell r="H165" t="str">
            <v>Autoevaluación Institucional y Pruebas SABER 11</v>
          </cell>
          <cell r="I165" t="str">
            <v>EVALUACIÓN_CON_FINES_DE_MEJORAMIENTO.</v>
          </cell>
          <cell r="J16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5" t="str">
            <v>JOSÉ ANTONIO PÁEZ FETECUA</v>
          </cell>
          <cell r="L165" t="str">
            <v>ESTEFANY PEÑA GARCIA</v>
          </cell>
          <cell r="M165">
            <v>45853</v>
          </cell>
          <cell r="N165">
            <v>45853</v>
          </cell>
          <cell r="O165">
            <v>45853</v>
          </cell>
          <cell r="P165" t="str">
            <v>Visitas de evaluación con fines de mejoramiento</v>
          </cell>
          <cell r="Q165" t="str">
            <v>15JUL25_LICEO MIXTO LOS CENTAUROS</v>
          </cell>
          <cell r="R165" t="str">
            <v>El Manual de Convivencia fue construido y adoptado de forma participativa e incluye los componentes generales, los diferentes enfoques y se encuentra conforme a lo establecido en el PEI y la normatividad vigente</v>
          </cell>
          <cell r="S165" t="str">
            <v>Como acción de verificación la Institución Educativa se compromete a remitir la versión actualizada del Manual de Convivencia a la vigencia 2024 -2025</v>
          </cell>
          <cell r="T165" t="str">
            <v>No</v>
          </cell>
          <cell r="U165" t="str">
            <v>Verificar nuevamente el documento en el mes de agosto de 2025 y generar espacios de asesoría, conforme lo requiera la IE</v>
          </cell>
        </row>
        <row r="166">
          <cell r="A166">
            <v>361</v>
          </cell>
          <cell r="B166">
            <v>18</v>
          </cell>
          <cell r="C166" t="str">
            <v>BOSA</v>
          </cell>
          <cell r="D166" t="str">
            <v>PRIVADO</v>
          </cell>
          <cell r="E166" t="str">
            <v>EPBM</v>
          </cell>
          <cell r="F166" t="str">
            <v>LICEO_MIXTO_LOS_CENTAUROS</v>
          </cell>
          <cell r="G166" t="str">
            <v>LICEO MIXTO LOS CENTAUROS</v>
          </cell>
          <cell r="H166" t="str">
            <v>Autoevaluación Institucional y Pruebas SABER 11</v>
          </cell>
          <cell r="I166" t="str">
            <v>EVALUACIÓN_CON_FINES_DE_MEJORAMIENTO.</v>
          </cell>
          <cell r="J166" t="str">
            <v>Revisar la actualización, socialización e implementación del Sistema Institucional de Evaluación de Estudiantes - SIEE, en articulación con la actualización del PEI y la normatividad vigente.</v>
          </cell>
          <cell r="K166" t="str">
            <v>JOSÉ ANTONIO PÁEZ FETECUA</v>
          </cell>
          <cell r="L166" t="str">
            <v>ESTEFANY PEÑA GARCIA</v>
          </cell>
          <cell r="M166">
            <v>45853</v>
          </cell>
          <cell r="N166">
            <v>45853</v>
          </cell>
          <cell r="O166">
            <v>45853</v>
          </cell>
          <cell r="P166" t="str">
            <v>Visitas de evaluación con fines de mejoramiento</v>
          </cell>
          <cell r="Q166" t="str">
            <v>15JUL25_LICEO MIXTO LOS CENTAUROS</v>
          </cell>
          <cell r="R166" t="str">
            <v>Se evidencia el Sistema Institucional de Evaluación de Estudiantes - SIEE, actualizado para la vigencia 2025. Fue construido en articulación con el Consejo Directivo y la comunidad educativa desde el año 2019 y se actualiza cada 2 años</v>
          </cell>
          <cell r="S166" t="str">
            <v>Como acción de verificación la Institución Educativa se compromete a remitir la versión actualizada del  Sistema institucional de evaluación de los estudiantes- SIEE</v>
          </cell>
          <cell r="T166" t="str">
            <v>No</v>
          </cell>
          <cell r="U166" t="str">
            <v>Verificar nuevamente el documento en el mes de agosto de 2025 y generar espacios de asesoría, conforme lo requiera la IE</v>
          </cell>
        </row>
        <row r="167">
          <cell r="A167">
            <v>362</v>
          </cell>
          <cell r="B167">
            <v>18</v>
          </cell>
          <cell r="C167" t="str">
            <v>BOSA</v>
          </cell>
          <cell r="D167" t="str">
            <v>PRIVADO</v>
          </cell>
          <cell r="E167" t="str">
            <v>EPBM</v>
          </cell>
          <cell r="F167" t="str">
            <v>LICEO_MIXTO_LOS_CENTAUROS</v>
          </cell>
          <cell r="G167" t="str">
            <v>LICEO MIXTO LOS CENTAUROS</v>
          </cell>
          <cell r="H167" t="str">
            <v>Autoevaluación Institucional y Pruebas SABER 11</v>
          </cell>
          <cell r="I167" t="str">
            <v>EVALUACIÓN_CON_FINES_DE_MEJORAMIENTO.</v>
          </cell>
          <cell r="J167" t="str">
            <v>Revisar el calendario escolar, jornada escolar, la intensidad horaria mínima anual en cada nivel y las modificaciones que se realicen al mismo, de acuerdo con lo previsto en la normatividad vigente.</v>
          </cell>
          <cell r="K167" t="str">
            <v>JOSÉ ANTONIO PÁEZ FETECUA</v>
          </cell>
          <cell r="L167" t="str">
            <v>ESTEFANY PEÑA GARCIA</v>
          </cell>
          <cell r="M167">
            <v>45853</v>
          </cell>
          <cell r="N167">
            <v>45853</v>
          </cell>
          <cell r="O167">
            <v>45853</v>
          </cell>
          <cell r="P167" t="str">
            <v>Visitas de evaluación con fines de mejoramiento</v>
          </cell>
          <cell r="Q167" t="str">
            <v>15JUL25_LICEO MIXTO LOS CENTAUROS</v>
          </cell>
          <cell r="R167" t="str">
            <v>El calendario escolar, jornada escolar, la intensidad horaria mínima anual en cada nivel se encuentran conforme lo previsto en la normatividad vigente</v>
          </cell>
          <cell r="S167" t="str">
            <v>Como acción de verificación la Institución Educativa se compromete a remitir la versión actualizada calendario escolar</v>
          </cell>
          <cell r="T167" t="str">
            <v>No</v>
          </cell>
          <cell r="U167" t="str">
            <v>Verificar nuevamente el documento en el mes de agosto de 2025 y generar espacios de asesoría, conforme lo requiera la IE</v>
          </cell>
        </row>
        <row r="168">
          <cell r="A168">
            <v>363</v>
          </cell>
          <cell r="B168">
            <v>18</v>
          </cell>
          <cell r="C168" t="str">
            <v>BOSA</v>
          </cell>
          <cell r="D168" t="str">
            <v>PRIVADO</v>
          </cell>
          <cell r="E168" t="str">
            <v>EPBM</v>
          </cell>
          <cell r="F168" t="str">
            <v>LICEO_MIXTO_LOS_CENTAUROS</v>
          </cell>
          <cell r="G168" t="str">
            <v>LICEO MIXTO LOS CENTAUROS</v>
          </cell>
          <cell r="H168" t="str">
            <v>Autoevaluación Institucional y Pruebas SABER 11</v>
          </cell>
          <cell r="I168" t="str">
            <v>EVALUACIÓN_CON_FINES_DE_MEJORAMIENTO.</v>
          </cell>
          <cell r="J168" t="str">
            <v>Verificar el funcionamiento del Gobierno Escolar e instancias de participación con base en la información sobre conformación reportada por la institución educativa.</v>
          </cell>
          <cell r="K168" t="str">
            <v>JOSÉ ANTONIO PÁEZ FETECUA</v>
          </cell>
          <cell r="L168" t="str">
            <v>ESTEFANY PEÑA GARCIA</v>
          </cell>
          <cell r="M168">
            <v>45853</v>
          </cell>
          <cell r="N168">
            <v>45853</v>
          </cell>
          <cell r="O168">
            <v>45853</v>
          </cell>
          <cell r="P168" t="str">
            <v>Visitas de evaluación con fines de mejoramiento</v>
          </cell>
          <cell r="Q168" t="str">
            <v>15JUL25_LICEO MIXTO LOS CENTAUROS</v>
          </cell>
          <cell r="R168" t="str">
            <v>La constitución del Gobierno Escolar y sus órganos de participación, se encuentra conforme a la Normativa Vigente</v>
          </cell>
          <cell r="S168" t="str">
            <v>Continuar operando conforme funciones y reglamentos.</v>
          </cell>
          <cell r="T168" t="str">
            <v>No</v>
          </cell>
          <cell r="U168" t="str">
            <v>Verificar la conformación del Gobierno Escolar e instancias para la vigencia 2026 o antes si la IE lo requiere o se presenta solicitud o queja.</v>
          </cell>
        </row>
        <row r="169">
          <cell r="A169">
            <v>364</v>
          </cell>
          <cell r="B169">
            <v>18</v>
          </cell>
          <cell r="C169" t="str">
            <v>BOSA</v>
          </cell>
          <cell r="D169" t="str">
            <v>PRIVADO</v>
          </cell>
          <cell r="E169" t="str">
            <v>EPBM</v>
          </cell>
          <cell r="F169" t="str">
            <v>LICEO_MIXTO_LOS_CENTAUROS</v>
          </cell>
          <cell r="G169" t="str">
            <v>LICEO MIXTO LOS CENTAUROS</v>
          </cell>
          <cell r="H169" t="str">
            <v>Autoevaluación Institucional y Pruebas SABER 11</v>
          </cell>
          <cell r="I169" t="str">
            <v>EVALUACIÓN_CON_FINES_DE_MEJORAMIENTO.</v>
          </cell>
          <cell r="J169" t="str">
            <v>Verificar las condiciones en cuanto a: la estructura administrativa, condiciones de la planta física y medios educativos adecuados.</v>
          </cell>
          <cell r="K169" t="str">
            <v>JOSÉ ANTONIO PÁEZ FETECUA</v>
          </cell>
          <cell r="L169" t="str">
            <v>ESTEFANY PEÑA GARCIA</v>
          </cell>
          <cell r="M169">
            <v>45853</v>
          </cell>
          <cell r="N169">
            <v>45853</v>
          </cell>
          <cell r="O169">
            <v>45853</v>
          </cell>
          <cell r="P169" t="str">
            <v>Visitas de evaluación con fines de mejoramiento</v>
          </cell>
          <cell r="Q169" t="str">
            <v>15JUL25_LICEO MIXTO LOS CENTAUROS</v>
          </cell>
          <cell r="R169" t="str">
            <v>Se realiza un recorrido en las instalaciones de la IE, verificando las condiciones en cuanto a: la estructura administrativa, condiciones de la planta física y medios educativos adecuados.</v>
          </cell>
          <cell r="S169" t="str">
            <v>Las condiciones de la planta física son adecuadas y se recomienda actualizar el mobiliario más antiguo</v>
          </cell>
          <cell r="T169" t="str">
            <v>No</v>
          </cell>
          <cell r="U169" t="str">
            <v>Las condiciones de la planta física garantizan la adecuada prestación del servicio educativo</v>
          </cell>
        </row>
        <row r="170">
          <cell r="A170">
            <v>365</v>
          </cell>
          <cell r="B170">
            <v>19</v>
          </cell>
          <cell r="C170" t="str">
            <v>BOSA</v>
          </cell>
          <cell r="D170" t="str">
            <v>PRIVADO</v>
          </cell>
          <cell r="E170" t="str">
            <v>EPBM</v>
          </cell>
          <cell r="F170" t="str">
            <v>LICEO_MODERNO_BETANIA</v>
          </cell>
          <cell r="G170" t="str">
            <v>LICEO MODERNO BETANIA</v>
          </cell>
          <cell r="H170" t="str">
            <v>Autoevaluación Institucional y Pruebas SABER 11</v>
          </cell>
          <cell r="I170" t="str">
            <v>SEGUIMIENTO_Y_SUPERVISIÓN.</v>
          </cell>
          <cell r="J170" t="str">
            <v>Realizar visitas para verificar la información registrada sobre la autoevaluación institucional en el aplicativo EVI, a los establecimientos de educación formal no oficial.</v>
          </cell>
          <cell r="K170" t="str">
            <v>JULIÁN FELIPE BERNAL GARZÓN</v>
          </cell>
          <cell r="L170" t="str">
            <v>ANA ANDREA VARGAS GONZÁLEZ</v>
          </cell>
          <cell r="M170">
            <v>45855</v>
          </cell>
          <cell r="N170">
            <v>45855</v>
          </cell>
          <cell r="O170">
            <v>45855</v>
          </cell>
          <cell r="P170" t="str">
            <v>Visitas de evaluación con fines de seguimiento</v>
          </cell>
          <cell r="Q170" t="str">
            <v>17JUL25_LICEO MODERNO BETANIA.pdf</v>
          </cell>
          <cell r="R170" t="str">
            <v>La información consignada en la Plataforma EVI relacionada con los indicadores de: planta física, dotacion de espacios y calendario academico coincide con lo verificado en campo.</v>
          </cell>
          <cell r="S170" t="str">
            <v xml:space="preserve">Se concluye que la IE realizará su autoevalución institucional en el mes octubre. </v>
          </cell>
          <cell r="T170" t="str">
            <v>No</v>
          </cell>
          <cell r="U170" t="str">
            <v>Se verificará la información cargada por la IE en el aplicativo EVI de la autoevaluación,  para la emisión del concepto de tarifas 2026.</v>
          </cell>
        </row>
        <row r="171">
          <cell r="A171">
            <v>366</v>
          </cell>
          <cell r="B171">
            <v>19</v>
          </cell>
          <cell r="C171" t="str">
            <v>BOSA</v>
          </cell>
          <cell r="D171" t="str">
            <v>PRIVADO</v>
          </cell>
          <cell r="E171" t="str">
            <v>EPBM</v>
          </cell>
          <cell r="F171" t="str">
            <v>LICEO_MODERNO_BETANIA</v>
          </cell>
          <cell r="G171" t="str">
            <v>LICEO MODERNO BETANIA</v>
          </cell>
          <cell r="H171" t="str">
            <v>Autoevaluación Institucional y Pruebas SABER 11</v>
          </cell>
          <cell r="I171" t="str">
            <v>SEGUIMIENTO_Y_SUPERVISIÓN.</v>
          </cell>
          <cell r="J171" t="str">
            <v>Proponer estrategias en la formulación, verificar su elaboración y realizar seguimiento semestral al desarrollo de  las acciones establecidas en los planes de mejoramiento por pruebas SABER 11 de los establecimientos de educación formal.</v>
          </cell>
          <cell r="K171" t="str">
            <v>JULIÁN FELIPE BERNAL GARZÓN</v>
          </cell>
          <cell r="L171" t="str">
            <v>ANA ANDREA VARGAS GONZÁLEZ</v>
          </cell>
          <cell r="M171">
            <v>45855</v>
          </cell>
          <cell r="N171">
            <v>45855</v>
          </cell>
          <cell r="O171">
            <v>45855</v>
          </cell>
          <cell r="P171" t="str">
            <v>Visitas de evaluación con fines de seguimiento</v>
          </cell>
          <cell r="Q171" t="str">
            <v>17JUL25_LICEO MODERNO BETANIA.pdf</v>
          </cell>
          <cell r="R171" t="str">
            <v>La IE se encuentra en Categoría A, realizó la revisión y análisis de los resultados para  actualización del curriculo y el plan de estudios. Se ha adelantado el diagnóstico y la propuesta de Intervención, aplicando pruebas preliminares.</v>
          </cell>
          <cell r="S171" t="str">
            <v>Continuar realizando el análisis de los resultados de las pruebas saber, para mejora de los procesos académicos.</v>
          </cell>
          <cell r="T171" t="str">
            <v>No</v>
          </cell>
          <cell r="U171" t="str">
            <v>Revisión de los resultados SABER 2025.</v>
          </cell>
        </row>
        <row r="172">
          <cell r="A172">
            <v>367</v>
          </cell>
          <cell r="B172">
            <v>19</v>
          </cell>
          <cell r="C172" t="str">
            <v>BOSA</v>
          </cell>
          <cell r="D172" t="str">
            <v>PRIVADO</v>
          </cell>
          <cell r="E172" t="str">
            <v>EPBM</v>
          </cell>
          <cell r="F172" t="str">
            <v>LICEO_MODERNO_BETANIA</v>
          </cell>
          <cell r="G172" t="str">
            <v>LICEO MODERNO BETANIA</v>
          </cell>
          <cell r="H172" t="str">
            <v>Autoevaluación Institucional y Pruebas SABER 11</v>
          </cell>
          <cell r="I172" t="str">
            <v>SEGUIMIENTO_Y_SUPERVISIÓN.</v>
          </cell>
          <cell r="J172" t="str">
            <v xml:space="preserve">Verificar la implementación por parte de los colegios, de acciones realizadas para la prevención y atención de las situaciones de convivencia en el entorno escolar, según lo establecido en la Directiva 01 de 2022 del MEN. </v>
          </cell>
          <cell r="K172" t="str">
            <v>JULIÁN FELIPE BERNAL GARZÓN</v>
          </cell>
          <cell r="L172" t="str">
            <v>ANA ANDREA VARGAS GONZÁLEZ</v>
          </cell>
          <cell r="M172">
            <v>45855</v>
          </cell>
          <cell r="N172">
            <v>45855</v>
          </cell>
          <cell r="O172">
            <v>45855</v>
          </cell>
          <cell r="P172" t="str">
            <v>Visitas de evaluación con fines de seguimiento</v>
          </cell>
          <cell r="Q172" t="str">
            <v>17JUL25_LICEO MODERNO BETANIA.pdf</v>
          </cell>
          <cell r="R172" t="str">
            <v>Se verifica la implementación de acciones  realizadas para la prevención como lo es la verificación de inhabilidades por delitos sexuales en el sistema de la Policía Nacional.</v>
          </cell>
          <cell r="S172" t="str">
            <v>Como oportunidad de mejora se solicita implementar  la autorización de directivos, docentes y administrativos para las consultas, al momento de la vinculación, para las consultas de antecedentes en los sistemas que se requieran.</v>
          </cell>
          <cell r="T172" t="str">
            <v>No</v>
          </cell>
          <cell r="U172" t="str">
            <v>Verificar que la IE cuente con las respectivas autorizaciones para las consultas de antedecentes del personal vinculado.</v>
          </cell>
        </row>
        <row r="173">
          <cell r="A173">
            <v>368</v>
          </cell>
          <cell r="B173">
            <v>19</v>
          </cell>
          <cell r="C173" t="str">
            <v>BOSA</v>
          </cell>
          <cell r="D173" t="str">
            <v>PRIVADO</v>
          </cell>
          <cell r="E173" t="str">
            <v>EPBM</v>
          </cell>
          <cell r="F173" t="str">
            <v>LICEO_MODERNO_BETANIA</v>
          </cell>
          <cell r="G173" t="str">
            <v>LICEO MODERNO BETANIA</v>
          </cell>
          <cell r="H173" t="str">
            <v>Autoevaluación Institucional y Pruebas SABER 11</v>
          </cell>
          <cell r="I173" t="str">
            <v>SEGUIMIENTO_Y_SUPERVISIÓN.</v>
          </cell>
          <cell r="J17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3" t="str">
            <v>JULIÁN FELIPE BERNAL GARZÓN</v>
          </cell>
          <cell r="L173" t="str">
            <v>ANA ANDREA VARGAS GONZÁLEZ</v>
          </cell>
          <cell r="M173">
            <v>45855</v>
          </cell>
          <cell r="N173">
            <v>45855</v>
          </cell>
          <cell r="O173">
            <v>45855</v>
          </cell>
          <cell r="P173" t="str">
            <v>Visitas de evaluación con fines de seguimiento</v>
          </cell>
          <cell r="Q173" t="str">
            <v>17JUL25_LICEO MODERNO BETANIA.pdf</v>
          </cell>
          <cell r="R173" t="str">
            <v>En la Plataforma SIMAT hay 11 estudiantes registragos con discapacidad, sin embargo, con PIAR se encuentran 7 estudiantes (2 con discapacidad y 5 con trastornos).</v>
          </cell>
          <cell r="S173" t="str">
            <v>Continuar con el seguimiento y ajustes a los PIAR, y revisar las cifras de SIMAT para el ajuste que corresponda.</v>
          </cell>
          <cell r="T173" t="str">
            <v>No</v>
          </cell>
          <cell r="U173" t="str">
            <v>Verificar la información en SIMAT.</v>
          </cell>
        </row>
        <row r="174">
          <cell r="A174">
            <v>369</v>
          </cell>
          <cell r="B174">
            <v>19</v>
          </cell>
          <cell r="C174" t="str">
            <v>BOSA</v>
          </cell>
          <cell r="D174" t="str">
            <v>PRIVADO</v>
          </cell>
          <cell r="E174" t="str">
            <v>EPBM</v>
          </cell>
          <cell r="F174" t="str">
            <v>LICEO_MODERNO_BETANIA</v>
          </cell>
          <cell r="G174" t="str">
            <v>LICEO MODERNO BETANIA</v>
          </cell>
          <cell r="H174" t="str">
            <v>Autoevaluación Institucional y Pruebas SABER 11</v>
          </cell>
          <cell r="I174" t="str">
            <v>EVALUACIÓN_CON_FINES_DE_MEJORAMIENTO.</v>
          </cell>
          <cell r="J17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4" t="str">
            <v>JULIÁN FELIPE BERNAL GARZÓN</v>
          </cell>
          <cell r="L174" t="str">
            <v>ANA ANDREA VARGAS GONZÁLEZ</v>
          </cell>
          <cell r="M174">
            <v>45855</v>
          </cell>
          <cell r="N174">
            <v>45855</v>
          </cell>
          <cell r="O174">
            <v>45855</v>
          </cell>
          <cell r="P174" t="str">
            <v>Visitas de evaluación con fines de mejoramiento</v>
          </cell>
          <cell r="Q174" t="str">
            <v>17JUL25_LICEO MODERNO BETANIA.pdf</v>
          </cell>
          <cell r="R174" t="str">
            <v>Se evidencia Manual de Convivencia actualizado a la vigencia 2024 -2025,  con la participación de la comunidad educativa, el cual requiete algunos ajustes en su contenido.</v>
          </cell>
          <cell r="S174" t="str">
            <v>Remitir la versión actualizada del Manual de Conviviencia,  para diferenciar entre faltas y situaciones convivenciales, y las sanciones</v>
          </cell>
          <cell r="T174" t="str">
            <v>Si</v>
          </cell>
          <cell r="U174" t="str">
            <v>Revisar el manual actualizado en  2025 y retroalimentar a la IE.</v>
          </cell>
        </row>
        <row r="175">
          <cell r="A175">
            <v>370</v>
          </cell>
          <cell r="B175">
            <v>19</v>
          </cell>
          <cell r="C175" t="str">
            <v>BOSA</v>
          </cell>
          <cell r="D175" t="str">
            <v>PRIVADO</v>
          </cell>
          <cell r="E175" t="str">
            <v>EPBM</v>
          </cell>
          <cell r="F175" t="str">
            <v>LICEO_MODERNO_BETANIA</v>
          </cell>
          <cell r="G175" t="str">
            <v>LICEO MODERNO BETANIA</v>
          </cell>
          <cell r="H175" t="str">
            <v>Autoevaluación Institucional y Pruebas SABER 11</v>
          </cell>
          <cell r="I175" t="str">
            <v>EVALUACIÓN_CON_FINES_DE_MEJORAMIENTO.</v>
          </cell>
          <cell r="J175" t="str">
            <v>Revisar la actualización, socialización e implementación del Sistema Institucional de Evaluación de Estudiantes - SIEE, en articulación con la actualización del PEI y la normatividad vigente.</v>
          </cell>
          <cell r="K175" t="str">
            <v>JULIÁN FELIPE BERNAL GARZÓN</v>
          </cell>
          <cell r="L175" t="str">
            <v>ANA ANDREA VARGAS GONZÁLEZ</v>
          </cell>
          <cell r="M175">
            <v>45855</v>
          </cell>
          <cell r="N175">
            <v>45855</v>
          </cell>
          <cell r="O175">
            <v>45855</v>
          </cell>
          <cell r="P175" t="str">
            <v>Visitas de evaluación con fines de mejoramiento</v>
          </cell>
          <cell r="Q175" t="str">
            <v>17JUL25_LICEO MODERNO BETANIA.pdf</v>
          </cell>
          <cell r="R175" t="str">
            <v>Se evidencia el Sistema Institucional de Evaluación de Estudiantes - SIEE, actualizado para la vigencia 2025 con participación de la comunidad educativa. Se actualizó la escala valorativa.</v>
          </cell>
          <cell r="S175" t="str">
            <v>Implementa el sistema de evaluación conforme las actualizaciones realizadas.</v>
          </cell>
          <cell r="T175" t="str">
            <v>No</v>
          </cell>
          <cell r="U175" t="str">
            <v>Se atenderá las orientaciones que requiera la IE en este tema.</v>
          </cell>
        </row>
        <row r="176">
          <cell r="A176">
            <v>371</v>
          </cell>
          <cell r="B176">
            <v>19</v>
          </cell>
          <cell r="C176" t="str">
            <v>BOSA</v>
          </cell>
          <cell r="D176" t="str">
            <v>PRIVADO</v>
          </cell>
          <cell r="E176" t="str">
            <v>EPBM</v>
          </cell>
          <cell r="F176" t="str">
            <v>LICEO_MODERNO_BETANIA</v>
          </cell>
          <cell r="G176" t="str">
            <v>LICEO MODERNO BETANIA</v>
          </cell>
          <cell r="H176" t="str">
            <v>Autoevaluación Institucional y Pruebas SABER 11</v>
          </cell>
          <cell r="I176" t="str">
            <v>EVALUACIÓN_CON_FINES_DE_MEJORAMIENTO.</v>
          </cell>
          <cell r="J176" t="str">
            <v>Revisar el calendario escolar, jornada escolar, la intensidad horaria mínima anual en cada nivel y las modificaciones que se realicen al mismo, de acuerdo con lo previsto en la normatividad vigente.</v>
          </cell>
          <cell r="K176" t="str">
            <v>JULIÁN FELIPE BERNAL GARZÓN</v>
          </cell>
          <cell r="L176" t="str">
            <v>ANA ANDREA VARGAS GONZÁLEZ</v>
          </cell>
          <cell r="M176">
            <v>45855</v>
          </cell>
          <cell r="N176">
            <v>45855</v>
          </cell>
          <cell r="O176">
            <v>45855</v>
          </cell>
          <cell r="P176" t="str">
            <v>Visitas de evaluación con fines de mejoramiento</v>
          </cell>
          <cell r="Q176" t="str">
            <v>17JUL25_LICEO MODERNO BETANIA.pdf</v>
          </cell>
          <cell r="R176" t="str">
            <v>El calendario escolar, jornada escolar, la intensidad horaria mínima anual en cada nivel se encuentra de acuerdo con lo previsto en la normatividad vigente.</v>
          </cell>
          <cell r="S176" t="str">
            <v>Implementar el calendario conforme lo definido</v>
          </cell>
          <cell r="T176" t="str">
            <v>No</v>
          </cell>
          <cell r="U176" t="str">
            <v>Se atenderá las orientaciones que requiera la IE en este tema.</v>
          </cell>
        </row>
        <row r="177">
          <cell r="A177">
            <v>372</v>
          </cell>
          <cell r="B177">
            <v>19</v>
          </cell>
          <cell r="C177" t="str">
            <v>BOSA</v>
          </cell>
          <cell r="D177" t="str">
            <v>PRIVADO</v>
          </cell>
          <cell r="E177" t="str">
            <v>EPBM</v>
          </cell>
          <cell r="F177" t="str">
            <v>LICEO_MODERNO_BETANIA</v>
          </cell>
          <cell r="G177" t="str">
            <v>LICEO MODERNO BETANIA</v>
          </cell>
          <cell r="H177" t="str">
            <v>Autoevaluación Institucional y Pruebas SABER 11</v>
          </cell>
          <cell r="I177" t="str">
            <v>EVALUACIÓN_CON_FINES_DE_MEJORAMIENTO.</v>
          </cell>
          <cell r="J177" t="str">
            <v>Verificar el funcionamiento del Gobierno Escolar e instancias de participación con base en la información sobre conformación reportada por la institución educativa.</v>
          </cell>
          <cell r="K177" t="str">
            <v>JULIÁN FELIPE BERNAL GARZÓN</v>
          </cell>
          <cell r="L177" t="str">
            <v>ANA ANDREA VARGAS GONZÁLEZ</v>
          </cell>
          <cell r="M177">
            <v>45855</v>
          </cell>
          <cell r="N177">
            <v>45855</v>
          </cell>
          <cell r="O177">
            <v>45855</v>
          </cell>
          <cell r="P177" t="str">
            <v>Visitas de evaluación con fines de mejoramiento</v>
          </cell>
          <cell r="Q177" t="str">
            <v>17JUL25_LICEO MODERNO BETANIA.pdf</v>
          </cell>
          <cell r="R177" t="str">
            <v>Se evidencia que están funcionando conforme a la normativa vigente.</v>
          </cell>
          <cell r="S177" t="str">
            <v>Continuar operando conforme funciones y reglamentos.</v>
          </cell>
          <cell r="T177" t="str">
            <v>No</v>
          </cell>
          <cell r="U177" t="str">
            <v>Verificar la conformación del Gobierno Escolar e instancias para la vigencia 2026 o antes si la IE lo requiere o se presenta solicitud o queja.</v>
          </cell>
        </row>
        <row r="178">
          <cell r="A178">
            <v>373</v>
          </cell>
          <cell r="B178">
            <v>19</v>
          </cell>
          <cell r="C178" t="str">
            <v>BOSA</v>
          </cell>
          <cell r="D178" t="str">
            <v>PRIVADO</v>
          </cell>
          <cell r="E178" t="str">
            <v>EPBM</v>
          </cell>
          <cell r="F178" t="str">
            <v>LICEO_MODERNO_BETANIA</v>
          </cell>
          <cell r="G178" t="str">
            <v>LICEO MODERNO BETANIA</v>
          </cell>
          <cell r="H178" t="str">
            <v>Autoevaluación Institucional y Pruebas SABER 11</v>
          </cell>
          <cell r="I178" t="str">
            <v>EVALUACIÓN_CON_FINES_DE_MEJORAMIENTO.</v>
          </cell>
          <cell r="J178" t="str">
            <v>Verificar las condiciones en cuanto a: la estructura administrativa, condiciones de la planta física y medios educativos adecuados.</v>
          </cell>
          <cell r="K178" t="str">
            <v>JULIÁN FELIPE BERNAL GARZÓN</v>
          </cell>
          <cell r="L178" t="str">
            <v>ANA ANDREA VARGAS GONZÁLEZ</v>
          </cell>
          <cell r="M178">
            <v>45855</v>
          </cell>
          <cell r="N178">
            <v>45855</v>
          </cell>
          <cell r="O178">
            <v>45855</v>
          </cell>
          <cell r="P178" t="str">
            <v>Visitas de evaluación con fines de mejoramiento</v>
          </cell>
          <cell r="Q178" t="str">
            <v>17JUL25_LICEO MODERNO BETANIA.pdf</v>
          </cell>
          <cell r="R178" t="str">
            <v>Se realiza un recorrido en las instalaciones de la IE, verificando las condiciones en cuanto a: la estructura administrativa, condiciones de la planta física y medios educativos adecuados.</v>
          </cell>
          <cell r="S178" t="str">
            <v>Se recomienda actualizar el mobiliario más antiguo y enviar la autorización que obtenga de la IDRD a la SED, para actualización definitiva y uso del parque Betania.</v>
          </cell>
          <cell r="T178" t="str">
            <v>No</v>
          </cell>
          <cell r="U178" t="str">
            <v>Verificar la autorización o no sobre el uso del espacio público.</v>
          </cell>
        </row>
        <row r="179">
          <cell r="A179">
            <v>374</v>
          </cell>
          <cell r="B179">
            <v>20</v>
          </cell>
          <cell r="C179" t="str">
            <v>BOSA</v>
          </cell>
          <cell r="D179" t="str">
            <v>PRIVADO</v>
          </cell>
          <cell r="E179" t="str">
            <v>EPBM</v>
          </cell>
          <cell r="F179" t="str">
            <v>LICEO_OCTAVIO_PAZ</v>
          </cell>
          <cell r="G179" t="str">
            <v>LICEO OCTAVIO PAZ</v>
          </cell>
          <cell r="H179" t="str">
            <v>Autoevaluación Institucional y Pruebas SABER 11</v>
          </cell>
          <cell r="I179" t="str">
            <v>SEGUIMIENTO_Y_SUPERVISIÓN.</v>
          </cell>
          <cell r="J179" t="str">
            <v>Realizar visitas para verificar la información registrada sobre la autoevaluación institucional en el aplicativo EVI, a los establecimientos de educación formal no oficial.</v>
          </cell>
          <cell r="K179" t="str">
            <v>ESTEFANY PEÑA GARCIA</v>
          </cell>
          <cell r="L179" t="str">
            <v>JULIÁN FELIPE BERNAL GARZÓN</v>
          </cell>
          <cell r="M179">
            <v>45860</v>
          </cell>
          <cell r="N179">
            <v>45860</v>
          </cell>
          <cell r="O179">
            <v>45860</v>
          </cell>
          <cell r="P179" t="str">
            <v>Visitas de evaluación con fines de mejoramiento</v>
          </cell>
          <cell r="Q179" t="str">
            <v>22JUL25_LICEO OCTAVIO PAZ</v>
          </cell>
          <cell r="R179" t="str">
            <v>La información consignada en la Plataforma EVI relacionada con los indicadores de: planta física, dotación de espacios y calendario académico coincide con lo verificado en campo</v>
          </cell>
          <cell r="S179" t="str">
            <v xml:space="preserve">Se concluye que la IE realizará su autoevalución institucional en el mes octubre.  </v>
          </cell>
          <cell r="T179" t="str">
            <v>No</v>
          </cell>
          <cell r="U179" t="str">
            <v>Se verificará la información cargada por la IE en el aplicativo EVI de la autoevaluación,  para la emisión del concepto de tarifas 2026</v>
          </cell>
        </row>
        <row r="180">
          <cell r="A180">
            <v>375</v>
          </cell>
          <cell r="B180">
            <v>20</v>
          </cell>
          <cell r="C180" t="str">
            <v>BOSA</v>
          </cell>
          <cell r="D180" t="str">
            <v>PRIVADO</v>
          </cell>
          <cell r="E180" t="str">
            <v>EPBM</v>
          </cell>
          <cell r="F180" t="str">
            <v>LICEO_OCTAVIO_PAZ</v>
          </cell>
          <cell r="G180" t="str">
            <v>LICEO OCTAVIO PAZ</v>
          </cell>
          <cell r="H180" t="str">
            <v>Autoevaluación Institucional y Pruebas SABER 11</v>
          </cell>
          <cell r="I180" t="str">
            <v>SEGUIMIENTO_Y_SUPERVISIÓN.</v>
          </cell>
          <cell r="J180" t="str">
            <v>Proponer estrategias en la formulación, verificar su elaboración y realizar seguimiento semestral al desarrollo de  las acciones establecidas en los planes de mejoramiento por pruebas SABER 11 de los establecimientos de educación formal.</v>
          </cell>
          <cell r="K180" t="str">
            <v>ESTEFANY PEÑA GARCIA</v>
          </cell>
          <cell r="L180" t="str">
            <v>JULIÁN FELIPE BERNAL GARZÓN</v>
          </cell>
          <cell r="M180">
            <v>45860</v>
          </cell>
          <cell r="N180">
            <v>45860</v>
          </cell>
          <cell r="O180">
            <v>45860</v>
          </cell>
          <cell r="P180" t="str">
            <v>Visitas de evaluación con fines de mejoramiento</v>
          </cell>
          <cell r="Q180" t="str">
            <v>22JUL25_LICEO OCTAVIO PAZ</v>
          </cell>
          <cell r="R180" t="str">
            <v>Se adelanta la revisión de los Resultados de las Pruebas Saber 11, encontrando que la IE se encuentra en Categoría A</v>
          </cell>
          <cell r="S180" t="str">
            <v>Se aporta documento que la Institución educativa que compara diferentes vigencias y la mejora anual hasta llegar a la categoría A  en los resultados 2024</v>
          </cell>
          <cell r="T180" t="str">
            <v>No</v>
          </cell>
          <cell r="U180" t="str">
            <v>Se acordó revisar nuevamente el documento en el mes de agosto de 2025 y generar espacios de asesoría, conforme lo requiera la IE</v>
          </cell>
        </row>
        <row r="181">
          <cell r="A181">
            <v>376</v>
          </cell>
          <cell r="B181">
            <v>20</v>
          </cell>
          <cell r="C181" t="str">
            <v>BOSA</v>
          </cell>
          <cell r="D181" t="str">
            <v>PRIVADO</v>
          </cell>
          <cell r="E181" t="str">
            <v>EPBM</v>
          </cell>
          <cell r="F181" t="str">
            <v>LICEO_OCTAVIO_PAZ</v>
          </cell>
          <cell r="G181" t="str">
            <v>LICEO OCTAVIO PAZ</v>
          </cell>
          <cell r="H181" t="str">
            <v>Autoevaluación Institucional y Pruebas SABER 11</v>
          </cell>
          <cell r="I181" t="str">
            <v>SEGUIMIENTO_Y_SUPERVISIÓN.</v>
          </cell>
          <cell r="J181" t="str">
            <v xml:space="preserve">Verificar la implementación por parte de los colegios, de acciones realizadas para la prevención y atención de las situaciones de convivencia en el entorno escolar, según lo establecido en la Directiva 01 de 2022 del MEN. </v>
          </cell>
          <cell r="K181" t="str">
            <v>ESTEFANY PEÑA GARCIA</v>
          </cell>
          <cell r="L181" t="str">
            <v>JULIÁN FELIPE BERNAL GARZÓN</v>
          </cell>
          <cell r="M181">
            <v>45860</v>
          </cell>
          <cell r="N181">
            <v>45860</v>
          </cell>
          <cell r="O181">
            <v>45860</v>
          </cell>
          <cell r="P181" t="str">
            <v>Visitas de evaluación con fines de mejoramiento</v>
          </cell>
          <cell r="Q181" t="str">
            <v>22JUL25_LICEO OCTAVIO PAZ</v>
          </cell>
          <cell r="R181" t="str">
            <v>Se verifica la implementación de acciones  realizadas para la prevención como lo es la verificación de inhabilidades por delitos sexuales en el sistema de la Policía Nacional.</v>
          </cell>
          <cell r="S181" t="str">
            <v>Como acción de verificación se solicita implementar  la autorización de directivos, docentes y administrativos para las consultas de antecedentes en los sistemas que se requieran al momento de la vinculación</v>
          </cell>
          <cell r="T181" t="str">
            <v>No</v>
          </cell>
          <cell r="U181" t="str">
            <v>Verificar que la IE cuente con las respectivas autorizaciones para las consultas de antedecentes del personal vinculado.</v>
          </cell>
        </row>
        <row r="182">
          <cell r="A182">
            <v>377</v>
          </cell>
          <cell r="B182">
            <v>20</v>
          </cell>
          <cell r="C182" t="str">
            <v>BOSA</v>
          </cell>
          <cell r="D182" t="str">
            <v>PRIVADO</v>
          </cell>
          <cell r="E182" t="str">
            <v>EPBM</v>
          </cell>
          <cell r="F182" t="str">
            <v>LICEO_OCTAVIO_PAZ</v>
          </cell>
          <cell r="G182" t="str">
            <v>LICEO OCTAVIO PAZ</v>
          </cell>
          <cell r="H182" t="str">
            <v>Autoevaluación Institucional y Pruebas SABER 11</v>
          </cell>
          <cell r="I182" t="str">
            <v>SEGUIMIENTO_Y_SUPERVISIÓN.</v>
          </cell>
          <cell r="J18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82" t="str">
            <v>ESTEFANY PEÑA GARCIA</v>
          </cell>
          <cell r="L182" t="str">
            <v>JULIÁN FELIPE BERNAL GARZÓN</v>
          </cell>
          <cell r="M182">
            <v>45860</v>
          </cell>
          <cell r="N182">
            <v>45860</v>
          </cell>
          <cell r="O182">
            <v>45860</v>
          </cell>
          <cell r="P182" t="str">
            <v>Visitas de evaluación con fines de mejoramiento</v>
          </cell>
          <cell r="Q182" t="str">
            <v>22JUL25_LICEO OCTAVIO PAZ</v>
          </cell>
          <cell r="R182" t="str">
            <v>Al revisar la Plataforma SIMAT, hay 21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82" t="str">
            <v>La Institución Educativa se compromete a remitir el Documento Institucional del Plan Individual de Ajustes Razonables PIAR</v>
          </cell>
          <cell r="T182" t="str">
            <v>No</v>
          </cell>
          <cell r="U182" t="str">
            <v>Verificar la información en SIMAT</v>
          </cell>
        </row>
        <row r="183">
          <cell r="A183">
            <v>378</v>
          </cell>
          <cell r="B183">
            <v>20</v>
          </cell>
          <cell r="C183" t="str">
            <v>BOSA</v>
          </cell>
          <cell r="D183" t="str">
            <v>PRIVADO</v>
          </cell>
          <cell r="E183" t="str">
            <v>EPBM</v>
          </cell>
          <cell r="F183" t="str">
            <v>LICEO_OCTAVIO_PAZ</v>
          </cell>
          <cell r="G183" t="str">
            <v>LICEO OCTAVIO PAZ</v>
          </cell>
          <cell r="H183" t="str">
            <v>Autoevaluación Institucional y Pruebas SABER 11</v>
          </cell>
          <cell r="I183" t="str">
            <v>EVALUACIÓN_CON_FINES_DE_MEJORAMIENTO.</v>
          </cell>
          <cell r="J18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3" t="str">
            <v>ESTEFANY PEÑA GARCIA</v>
          </cell>
          <cell r="L183" t="str">
            <v>JULIÁN FELIPE BERNAL GARZÓN</v>
          </cell>
          <cell r="M183">
            <v>45860</v>
          </cell>
          <cell r="N183">
            <v>45860</v>
          </cell>
          <cell r="O183">
            <v>45860</v>
          </cell>
          <cell r="P183" t="str">
            <v>Visitas de evaluación con fines de mejoramiento</v>
          </cell>
          <cell r="Q183" t="str">
            <v>22JUL25_LICEO OCTAVIO PAZ</v>
          </cell>
          <cell r="R183" t="str">
            <v>El Manual de Convivencia fue construido y adoptado de forma participativa e incluye los componentes generales, los diferentes enfoques y se encuentra conforme a lo establecido en el PEI y la normatividad vigente</v>
          </cell>
          <cell r="S183" t="str">
            <v>Como acción de verificación la Institución Educativa se compromete a remitir la versión actualizada del Manual de Convivencia a la vigencia 2024 -2025</v>
          </cell>
          <cell r="T183" t="str">
            <v>No</v>
          </cell>
          <cell r="U183" t="str">
            <v>Verificar nuevamente el documento en el mes de agosto de 2025 y generar espacios de asesoría, conforme lo requiera la IE</v>
          </cell>
        </row>
        <row r="184">
          <cell r="A184">
            <v>379</v>
          </cell>
          <cell r="B184">
            <v>20</v>
          </cell>
          <cell r="C184" t="str">
            <v>BOSA</v>
          </cell>
          <cell r="D184" t="str">
            <v>PRIVADO</v>
          </cell>
          <cell r="E184" t="str">
            <v>EPBM</v>
          </cell>
          <cell r="F184" t="str">
            <v>LICEO_OCTAVIO_PAZ</v>
          </cell>
          <cell r="G184" t="str">
            <v>LICEO OCTAVIO PAZ</v>
          </cell>
          <cell r="H184" t="str">
            <v>Autoevaluación Institucional y Pruebas SABER 11</v>
          </cell>
          <cell r="I184" t="str">
            <v>EVALUACIÓN_CON_FINES_DE_MEJORAMIENTO.</v>
          </cell>
          <cell r="J184" t="str">
            <v>Revisar la actualización, socialización e implementación del Sistema Institucional de Evaluación de Estudiantes - SIEE, en articulación con la actualización del PEI y la normatividad vigente.</v>
          </cell>
          <cell r="K184" t="str">
            <v>ESTEFANY PEÑA GARCIA</v>
          </cell>
          <cell r="L184" t="str">
            <v>JULIÁN FELIPE BERNAL GARZÓN</v>
          </cell>
          <cell r="M184">
            <v>45860</v>
          </cell>
          <cell r="N184">
            <v>45860</v>
          </cell>
          <cell r="O184">
            <v>45860</v>
          </cell>
          <cell r="P184" t="str">
            <v>Visitas de evaluación con fines de mejoramiento</v>
          </cell>
          <cell r="Q184" t="str">
            <v>22JUL25_LICEO OCTAVIO PAZ</v>
          </cell>
          <cell r="R184" t="str">
            <v>Se evidencia el Sistema Institucional de Evaluación de Estudiantes - SIEE, actualizado para la vigencia 2025. Fue construido en articulación con el Consejo Directivo y la comunidad educativa desde el año 2019 y se actualiza cada 2 años</v>
          </cell>
          <cell r="S184" t="str">
            <v>Como acción de verificación la Institución Educativa se compromete a remitir la versión actualizada del  Sistema institucional de evaluación de los estudiantes- SIEE</v>
          </cell>
          <cell r="T184" t="str">
            <v>No</v>
          </cell>
          <cell r="U184" t="str">
            <v>Verificar nuevamente el documento en el mes de agosto de 2025 y generar espacios de asesoría, conforme lo requiera la IE</v>
          </cell>
        </row>
        <row r="185">
          <cell r="A185">
            <v>380</v>
          </cell>
          <cell r="B185">
            <v>20</v>
          </cell>
          <cell r="C185" t="str">
            <v>BOSA</v>
          </cell>
          <cell r="D185" t="str">
            <v>PRIVADO</v>
          </cell>
          <cell r="E185" t="str">
            <v>EPBM</v>
          </cell>
          <cell r="F185" t="str">
            <v>LICEO_OCTAVIO_PAZ</v>
          </cell>
          <cell r="G185" t="str">
            <v>LICEO OCTAVIO PAZ</v>
          </cell>
          <cell r="H185" t="str">
            <v>Autoevaluación Institucional y Pruebas SABER 11</v>
          </cell>
          <cell r="I185" t="str">
            <v>EVALUACIÓN_CON_FINES_DE_MEJORAMIENTO.</v>
          </cell>
          <cell r="J185" t="str">
            <v>Revisar el calendario escolar, jornada escolar, la intensidad horaria mínima anual en cada nivel y las modificaciones que se realicen al mismo, de acuerdo con lo previsto en la normatividad vigente.</v>
          </cell>
          <cell r="K185" t="str">
            <v>ESTEFANY PEÑA GARCIA</v>
          </cell>
          <cell r="L185" t="str">
            <v>JULIÁN FELIPE BERNAL GARZÓN</v>
          </cell>
          <cell r="M185">
            <v>45860</v>
          </cell>
          <cell r="N185">
            <v>45860</v>
          </cell>
          <cell r="O185">
            <v>45860</v>
          </cell>
          <cell r="P185" t="str">
            <v>Visitas de evaluación con fines de mejoramiento</v>
          </cell>
          <cell r="Q185" t="str">
            <v>22JUL25_LICEO OCTAVIO PAZ</v>
          </cell>
          <cell r="R185" t="str">
            <v>El calendario escolar, jornada escolar, la intensidad horaria mínima anual en cada nivel se encuentran conforme lo previsto en la normatividad vigente</v>
          </cell>
          <cell r="S185" t="str">
            <v>Como acción de verificación la Institución Educativa se compromete a remitir la versión actualizada calendario escolar</v>
          </cell>
          <cell r="T185" t="str">
            <v>No</v>
          </cell>
          <cell r="U185" t="str">
            <v>Verificar nuevamente el documento en el mes de agosto de 2025 y generar espacios de asesoría, conforme lo requiera la IE</v>
          </cell>
        </row>
        <row r="186">
          <cell r="A186">
            <v>381</v>
          </cell>
          <cell r="B186">
            <v>20</v>
          </cell>
          <cell r="C186" t="str">
            <v>BOSA</v>
          </cell>
          <cell r="D186" t="str">
            <v>PRIVADO</v>
          </cell>
          <cell r="E186" t="str">
            <v>EPBM</v>
          </cell>
          <cell r="F186" t="str">
            <v>LICEO_OCTAVIO_PAZ</v>
          </cell>
          <cell r="G186" t="str">
            <v>LICEO OCTAVIO PAZ</v>
          </cell>
          <cell r="H186" t="str">
            <v>Autoevaluación Institucional y Pruebas SABER 11</v>
          </cell>
          <cell r="I186" t="str">
            <v>EVALUACIÓN_CON_FINES_DE_MEJORAMIENTO.</v>
          </cell>
          <cell r="J186" t="str">
            <v>Verificar el funcionamiento del Gobierno Escolar e instancias de participación con base en la información sobre conformación reportada por la institución educativa.</v>
          </cell>
          <cell r="K186" t="str">
            <v>ESTEFANY PEÑA GARCIA</v>
          </cell>
          <cell r="L186" t="str">
            <v>JULIÁN FELIPE BERNAL GARZÓN</v>
          </cell>
          <cell r="M186">
            <v>45860</v>
          </cell>
          <cell r="N186">
            <v>45860</v>
          </cell>
          <cell r="O186">
            <v>45860</v>
          </cell>
          <cell r="P186" t="str">
            <v>Visitas de evaluación con fines de mejoramiento</v>
          </cell>
          <cell r="Q186" t="str">
            <v>22JUL25_LICEO OCTAVIO PAZ</v>
          </cell>
          <cell r="R186" t="str">
            <v>La constitución del Gobierno Escolar y sus órganos de participación, se encuentra conforme a la Normativa Vigente</v>
          </cell>
          <cell r="S186" t="str">
            <v>Continuar operando conforme funciones y reglamentos.</v>
          </cell>
          <cell r="T186" t="str">
            <v>No</v>
          </cell>
          <cell r="U186" t="str">
            <v>Verificar la conformación del Gobierno Escolar e instancias para la vigencia 2026 o antes si la IE lo requiere o se presenta solicitud o queja.</v>
          </cell>
        </row>
        <row r="187">
          <cell r="A187">
            <v>382</v>
          </cell>
          <cell r="B187">
            <v>20</v>
          </cell>
          <cell r="C187" t="str">
            <v>BOSA</v>
          </cell>
          <cell r="D187" t="str">
            <v>PRIVADO</v>
          </cell>
          <cell r="E187" t="str">
            <v>EPBM</v>
          </cell>
          <cell r="F187" t="str">
            <v>LICEO_OCTAVIO_PAZ</v>
          </cell>
          <cell r="G187" t="str">
            <v>LICEO OCTAVIO PAZ</v>
          </cell>
          <cell r="H187" t="str">
            <v>Autoevaluación Institucional y Pruebas SABER 11</v>
          </cell>
          <cell r="I187" t="str">
            <v>EVALUACIÓN_CON_FINES_DE_MEJORAMIENTO.</v>
          </cell>
          <cell r="J187" t="str">
            <v>Verificar las condiciones en cuanto a: la estructura administrativa, condiciones de la planta física y medios educativos adecuados.</v>
          </cell>
          <cell r="K187" t="str">
            <v>ESTEFANY PEÑA GARCIA</v>
          </cell>
          <cell r="L187" t="str">
            <v>JULIÁN FELIPE BERNAL GARZÓN</v>
          </cell>
          <cell r="M187">
            <v>45860</v>
          </cell>
          <cell r="N187">
            <v>45860</v>
          </cell>
          <cell r="O187">
            <v>45860</v>
          </cell>
          <cell r="P187" t="str">
            <v>Visitas de evaluación con fines de mejoramiento</v>
          </cell>
          <cell r="Q187" t="str">
            <v>22JUL25_LICEO OCTAVIO PAZ</v>
          </cell>
          <cell r="R187" t="str">
            <v>Se realiza un recorrido en las instalaciones de la IE, verificando las condiciones en cuanto a: la estructura administrativa, condiciones de la planta física y medios educativos adecuados.</v>
          </cell>
          <cell r="S187" t="str">
            <v>Las condiciones de la planta física son adecuadas y se recomienda actualizar el mobiliario más antiguo</v>
          </cell>
          <cell r="T187" t="str">
            <v>No</v>
          </cell>
          <cell r="U187" t="str">
            <v>Las condiciones de la planta física garantizan la adecuada prestación del servicio educativo</v>
          </cell>
        </row>
        <row r="188">
          <cell r="A188">
            <v>383</v>
          </cell>
          <cell r="B188">
            <v>21</v>
          </cell>
          <cell r="C188" t="str">
            <v>BOSA</v>
          </cell>
          <cell r="D188" t="str">
            <v>PRIVADO</v>
          </cell>
          <cell r="E188" t="str">
            <v>EPBM</v>
          </cell>
          <cell r="F188" t="str">
            <v>LICEO_PSICOPEDAGOGICO_EL_CARMELO</v>
          </cell>
          <cell r="G188" t="str">
            <v>LICEO PSICOPEDAGOGICO EL CARMELO</v>
          </cell>
          <cell r="H188" t="str">
            <v>Autoevaluación Institucional y Pruebas SABER 11</v>
          </cell>
          <cell r="I188" t="str">
            <v>SEGUIMIENTO_Y_SUPERVISIÓN.</v>
          </cell>
          <cell r="J188" t="str">
            <v>Realizar visitas para verificar la información registrada sobre la autoevaluación institucional en el aplicativo EVI, a los establecimientos de educación formal no oficial.</v>
          </cell>
          <cell r="K188" t="str">
            <v>ANA ANDREA VARGAS GONZÁLEZ</v>
          </cell>
          <cell r="L188" t="str">
            <v>JOSÉ ANTONIO PÁEZ FETECUA</v>
          </cell>
          <cell r="M188">
            <v>45862</v>
          </cell>
          <cell r="N188">
            <v>45862</v>
          </cell>
          <cell r="O188">
            <v>45862</v>
          </cell>
          <cell r="P188" t="str">
            <v>Visitas de evaluación con fines de mejoramiento</v>
          </cell>
          <cell r="Q188" t="str">
            <v>2415JUL25_LICEO PSICOPEDAGOGICO EL CARMELO</v>
          </cell>
          <cell r="R188" t="str">
            <v>La información consignada en la Plataforma EVI relacionada con los indicadores de: planta física, dotación de espacios y calendario académico coincide con lo verificado en campo</v>
          </cell>
          <cell r="S188" t="str">
            <v xml:space="preserve">Se concluye que la IE realizará su autoevalución institucional en el mes octubre.  </v>
          </cell>
          <cell r="T188" t="str">
            <v>No</v>
          </cell>
          <cell r="U188" t="str">
            <v>Se verificará la información cargada por la IE en el aplicativo EVI de la autoevaluación,  para la emisión del concepto de tarifas 2026</v>
          </cell>
        </row>
        <row r="189">
          <cell r="A189">
            <v>384</v>
          </cell>
          <cell r="B189">
            <v>21</v>
          </cell>
          <cell r="C189" t="str">
            <v>BOSA</v>
          </cell>
          <cell r="D189" t="str">
            <v>PRIVADO</v>
          </cell>
          <cell r="E189" t="str">
            <v>EPBM</v>
          </cell>
          <cell r="F189" t="str">
            <v>LICEO_PSICOPEDAGOGICO_EL_CARMELO</v>
          </cell>
          <cell r="G189" t="str">
            <v>LICEO PSICOPEDAGOGICO EL CARMELO</v>
          </cell>
          <cell r="H189" t="str">
            <v>Autoevaluación Institucional y Pruebas SABER 11</v>
          </cell>
          <cell r="I189" t="str">
            <v>SEGUIMIENTO_Y_SUPERVISIÓN.</v>
          </cell>
          <cell r="J189" t="str">
            <v>Proponer estrategias en la formulación, verificar su elaboración y realizar seguimiento semestral al desarrollo de  las acciones establecidas en los planes de mejoramiento por pruebas SABER 11 de los establecimientos de educación formal.</v>
          </cell>
          <cell r="K189" t="str">
            <v>ANA ANDREA VARGAS GONZÁLEZ</v>
          </cell>
          <cell r="L189" t="str">
            <v>JOSÉ ANTONIO PÁEZ FETECUA</v>
          </cell>
          <cell r="M189">
            <v>45862</v>
          </cell>
          <cell r="N189">
            <v>45862</v>
          </cell>
          <cell r="O189">
            <v>45862</v>
          </cell>
          <cell r="P189" t="str">
            <v>Visitas de evaluación con fines de mejoramiento</v>
          </cell>
          <cell r="Q189" t="str">
            <v>2415JUL25_LICEO PSICOPEDAGOGICO EL CARMELO</v>
          </cell>
          <cell r="R189" t="str">
            <v>No se adelanta la revisión de los Resultados de las Pruebas Saber 11, toda vez que, la Institución Educativa tiene aprobación hasta básica primaria</v>
          </cell>
          <cell r="S189" t="str">
            <v>No se adelanta la revisión de los Resultados de las Pruebas Saber 11, toda vez que, la Institución Educativa tiene aprobación hasta básica primaria</v>
          </cell>
          <cell r="T189" t="str">
            <v>No</v>
          </cell>
          <cell r="U189" t="str">
            <v>No se adelanta la revisión de los Resultados de las Pruebas Saber 11, toda vez que, la Institución Educativa tiene aprobación hasta básica primaria</v>
          </cell>
        </row>
        <row r="190">
          <cell r="A190">
            <v>385</v>
          </cell>
          <cell r="B190">
            <v>21</v>
          </cell>
          <cell r="C190" t="str">
            <v>BOSA</v>
          </cell>
          <cell r="D190" t="str">
            <v>PRIVADO</v>
          </cell>
          <cell r="E190" t="str">
            <v>EPBM</v>
          </cell>
          <cell r="F190" t="str">
            <v>LICEO_PSICOPEDAGOGICO_EL_CARMELO</v>
          </cell>
          <cell r="G190" t="str">
            <v>LICEO PSICOPEDAGOGICO EL CARMELO</v>
          </cell>
          <cell r="H190" t="str">
            <v>Autoevaluación Institucional y Pruebas SABER 11</v>
          </cell>
          <cell r="I190" t="str">
            <v>SEGUIMIENTO_Y_SUPERVISIÓN.</v>
          </cell>
          <cell r="J190" t="str">
            <v xml:space="preserve">Verificar la implementación por parte de los colegios, de acciones realizadas para la prevención y atención de las situaciones de convivencia en el entorno escolar, según lo establecido en la Directiva 01 de 2022 del MEN. </v>
          </cell>
          <cell r="K190" t="str">
            <v>ANA ANDREA VARGAS GONZÁLEZ</v>
          </cell>
          <cell r="L190" t="str">
            <v>JOSÉ ANTONIO PÁEZ FETECUA</v>
          </cell>
          <cell r="M190">
            <v>45862</v>
          </cell>
          <cell r="N190">
            <v>45862</v>
          </cell>
          <cell r="O190">
            <v>45862</v>
          </cell>
          <cell r="P190" t="str">
            <v>Visitas de evaluación con fines de mejoramiento</v>
          </cell>
          <cell r="Q190" t="str">
            <v>2415JUL25_LICEO PSICOPEDAGOGICO EL CARMELO</v>
          </cell>
          <cell r="R190" t="str">
            <v>Se verifica la implementación de acciones  realizadas para la prevención como lo es la verificación de inhabilidades por delitos sexuales en el sistema de la Policía Nacional.</v>
          </cell>
          <cell r="S190" t="str">
            <v>Como acción de verificación se solicita implementar  la autorización de directivos, docentes y administrativos para las consultas de antecedentes en los sistemas que se requieran al momento de la vinculación</v>
          </cell>
          <cell r="T190" t="str">
            <v>No</v>
          </cell>
          <cell r="U190" t="str">
            <v>Verificar que la IE cuente con las respectivas autorizaciones para las consultas de antedecentes del personal vinculado.</v>
          </cell>
        </row>
        <row r="191">
          <cell r="A191">
            <v>386</v>
          </cell>
          <cell r="B191">
            <v>21</v>
          </cell>
          <cell r="C191" t="str">
            <v>BOSA</v>
          </cell>
          <cell r="D191" t="str">
            <v>PRIVADO</v>
          </cell>
          <cell r="E191" t="str">
            <v>EPBM</v>
          </cell>
          <cell r="F191" t="str">
            <v>LICEO_PSICOPEDAGOGICO_EL_CARMELO</v>
          </cell>
          <cell r="G191" t="str">
            <v>LICEO PSICOPEDAGOGICO EL CARMELO</v>
          </cell>
          <cell r="H191" t="str">
            <v>Autoevaluación Institucional y Pruebas SABER 11</v>
          </cell>
          <cell r="I191" t="str">
            <v>SEGUIMIENTO_Y_SUPERVISIÓN.</v>
          </cell>
          <cell r="J19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1" t="str">
            <v>ANA ANDREA VARGAS GONZÁLEZ</v>
          </cell>
          <cell r="L191" t="str">
            <v>JOSÉ ANTONIO PÁEZ FETECUA</v>
          </cell>
          <cell r="M191">
            <v>45862</v>
          </cell>
          <cell r="N191">
            <v>45862</v>
          </cell>
          <cell r="O191">
            <v>45862</v>
          </cell>
          <cell r="P191" t="str">
            <v>Visitas de evaluación con fines de mejoramiento</v>
          </cell>
          <cell r="Q191" t="str">
            <v>2415JUL25_LICEO PSICOPEDAGOGICO EL CARMELO</v>
          </cell>
          <cell r="R191" t="str">
            <v>Al revisar la Plataforma SIMAT, hay 08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191" t="str">
            <v>La Institución Educativa se compromete a remitir el Documento Institucional del Plan Individual de Ajustes Razonables PIAR</v>
          </cell>
          <cell r="T191" t="str">
            <v>No</v>
          </cell>
          <cell r="U191" t="str">
            <v>Verificar la información en SIMAT</v>
          </cell>
        </row>
        <row r="192">
          <cell r="A192">
            <v>387</v>
          </cell>
          <cell r="B192">
            <v>21</v>
          </cell>
          <cell r="C192" t="str">
            <v>BOSA</v>
          </cell>
          <cell r="D192" t="str">
            <v>PRIVADO</v>
          </cell>
          <cell r="E192" t="str">
            <v>EPBM</v>
          </cell>
          <cell r="F192" t="str">
            <v>LICEO_PSICOPEDAGOGICO_EL_CARMELO</v>
          </cell>
          <cell r="G192" t="str">
            <v>LICEO PSICOPEDAGOGICO EL CARMELO</v>
          </cell>
          <cell r="H192" t="str">
            <v>Autoevaluación Institucional y Pruebas SABER 11</v>
          </cell>
          <cell r="I192" t="str">
            <v>EVALUACIÓN_CON_FINES_DE_MEJORAMIENTO.</v>
          </cell>
          <cell r="J1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2" t="str">
            <v>ANA ANDREA VARGAS GONZÁLEZ</v>
          </cell>
          <cell r="L192" t="str">
            <v>JOSÉ ANTONIO PÁEZ FETECUA</v>
          </cell>
          <cell r="M192">
            <v>45862</v>
          </cell>
          <cell r="N192">
            <v>45862</v>
          </cell>
          <cell r="O192">
            <v>45862</v>
          </cell>
          <cell r="P192" t="str">
            <v>Visitas de evaluación con fines de mejoramiento</v>
          </cell>
          <cell r="Q192" t="str">
            <v>2415JUL25_LICEO PSICOPEDAGOGICO EL CARMELO</v>
          </cell>
          <cell r="R192" t="str">
            <v>El Manual de Convivencia fue construido y adoptado de forma participativa e incluye los componentes generales, los diferentes enfoques y se encuentra conforme a lo establecido en el PEI y la normatividad vigente</v>
          </cell>
          <cell r="S192" t="str">
            <v>Como acción de verificación la Institución Educativa se compromete a remitir la versión actualizada del Manual de Convivencia a la vigencia 2024 -2025</v>
          </cell>
          <cell r="T192" t="str">
            <v>No</v>
          </cell>
          <cell r="U192" t="str">
            <v>Verificar nuevamente el documento en el mes de agosto de 2025 y generar espacios de asesoría, conforme lo requiera la IE</v>
          </cell>
        </row>
        <row r="193">
          <cell r="A193">
            <v>388</v>
          </cell>
          <cell r="B193">
            <v>21</v>
          </cell>
          <cell r="C193" t="str">
            <v>BOSA</v>
          </cell>
          <cell r="D193" t="str">
            <v>PRIVADO</v>
          </cell>
          <cell r="E193" t="str">
            <v>EPBM</v>
          </cell>
          <cell r="F193" t="str">
            <v>LICEO_PSICOPEDAGOGICO_EL_CARMELO</v>
          </cell>
          <cell r="G193" t="str">
            <v>LICEO PSICOPEDAGOGICO EL CARMELO</v>
          </cell>
          <cell r="H193" t="str">
            <v>Autoevaluación Institucional y Pruebas SABER 11</v>
          </cell>
          <cell r="I193" t="str">
            <v>EVALUACIÓN_CON_FINES_DE_MEJORAMIENTO.</v>
          </cell>
          <cell r="J193" t="str">
            <v>Revisar la actualización, socialización e implementación del Sistema Institucional de Evaluación de Estudiantes - SIEE, en articulación con la actualización del PEI y la normatividad vigente.</v>
          </cell>
          <cell r="K193" t="str">
            <v>ANA ANDREA VARGAS GONZÁLEZ</v>
          </cell>
          <cell r="L193" t="str">
            <v>JOSÉ ANTONIO PÁEZ FETECUA</v>
          </cell>
          <cell r="M193">
            <v>45862</v>
          </cell>
          <cell r="N193">
            <v>45862</v>
          </cell>
          <cell r="O193">
            <v>45862</v>
          </cell>
          <cell r="P193" t="str">
            <v>Visitas de evaluación con fines de mejoramiento</v>
          </cell>
          <cell r="Q193" t="str">
            <v>2415JUL25_LICEO PSICOPEDAGOGICO EL CARMELO</v>
          </cell>
          <cell r="R193" t="str">
            <v>Se evidencia el Sistema Institucional de Evaluación de Estudiantes - SIEE, actualizado para la vigencia 2025. Fue construido en articulación con el Consejo Directivo y la comunidad educativa desde el año 2019 y se actualiza cada 2 años</v>
          </cell>
          <cell r="S193" t="str">
            <v>Como acción de verificación la Institución Educativa se compromete a remitir la versión actualizada del  Sistema institucional de evaluación de los estudiantes- SIEE</v>
          </cell>
          <cell r="T193" t="str">
            <v>No</v>
          </cell>
          <cell r="U193" t="str">
            <v>Verificar nuevamente el documento en el mes de agosto de 2025 y generar espacios de asesoría, conforme lo requiera la IE</v>
          </cell>
        </row>
        <row r="194">
          <cell r="A194">
            <v>389</v>
          </cell>
          <cell r="B194">
            <v>21</v>
          </cell>
          <cell r="C194" t="str">
            <v>BOSA</v>
          </cell>
          <cell r="D194" t="str">
            <v>PRIVADO</v>
          </cell>
          <cell r="E194" t="str">
            <v>EPBM</v>
          </cell>
          <cell r="F194" t="str">
            <v>LICEO_PSICOPEDAGOGICO_EL_CARMELO</v>
          </cell>
          <cell r="G194" t="str">
            <v>LICEO PSICOPEDAGOGICO EL CARMELO</v>
          </cell>
          <cell r="H194" t="str">
            <v>Autoevaluación Institucional y Pruebas SABER 11</v>
          </cell>
          <cell r="I194" t="str">
            <v>EVALUACIÓN_CON_FINES_DE_MEJORAMIENTO.</v>
          </cell>
          <cell r="J194" t="str">
            <v>Revisar el calendario escolar, jornada escolar, la intensidad horaria mínima anual en cada nivel y las modificaciones que se realicen al mismo, de acuerdo con lo previsto en la normatividad vigente.</v>
          </cell>
          <cell r="K194" t="str">
            <v>ANA ANDREA VARGAS GONZÁLEZ</v>
          </cell>
          <cell r="L194" t="str">
            <v>JOSÉ ANTONIO PÁEZ FETECUA</v>
          </cell>
          <cell r="M194">
            <v>45862</v>
          </cell>
          <cell r="N194">
            <v>45862</v>
          </cell>
          <cell r="O194">
            <v>45862</v>
          </cell>
          <cell r="P194" t="str">
            <v>Visitas de evaluación con fines de mejoramiento</v>
          </cell>
          <cell r="Q194" t="str">
            <v>2415JUL25_LICEO PSICOPEDAGOGICO EL CARMELO</v>
          </cell>
          <cell r="R194" t="str">
            <v>El calendario escolar, jornada escolar, la intensidad horaria mínima anual en cada nivel se encuentran conforme lo previsto en la normatividad vigente</v>
          </cell>
          <cell r="S194" t="str">
            <v>Como acción de verificación la Institución Educativa se compromete a remitir la versión actualizada calendario escolar</v>
          </cell>
          <cell r="T194" t="str">
            <v>No</v>
          </cell>
          <cell r="U194" t="str">
            <v>Verificar nuevamente el documento en el mes de agosto de 2025 y generar espacios de asesoría, conforme lo requiera la IE</v>
          </cell>
        </row>
        <row r="195">
          <cell r="A195">
            <v>390</v>
          </cell>
          <cell r="B195">
            <v>21</v>
          </cell>
          <cell r="C195" t="str">
            <v>BOSA</v>
          </cell>
          <cell r="D195" t="str">
            <v>PRIVADO</v>
          </cell>
          <cell r="E195" t="str">
            <v>EPBM</v>
          </cell>
          <cell r="F195" t="str">
            <v>LICEO_PSICOPEDAGOGICO_EL_CARMELO</v>
          </cell>
          <cell r="G195" t="str">
            <v>LICEO PSICOPEDAGOGICO EL CARMELO</v>
          </cell>
          <cell r="H195" t="str">
            <v>Autoevaluación Institucional y Pruebas SABER 11</v>
          </cell>
          <cell r="I195" t="str">
            <v>EVALUACIÓN_CON_FINES_DE_MEJORAMIENTO.</v>
          </cell>
          <cell r="J195" t="str">
            <v>Verificar el funcionamiento del Gobierno Escolar e instancias de participación con base en la información sobre conformación reportada por la institución educativa.</v>
          </cell>
          <cell r="K195" t="str">
            <v>ANA ANDREA VARGAS GONZÁLEZ</v>
          </cell>
          <cell r="L195" t="str">
            <v>JOSÉ ANTONIO PÁEZ FETECUA</v>
          </cell>
          <cell r="M195">
            <v>45862</v>
          </cell>
          <cell r="N195">
            <v>45862</v>
          </cell>
          <cell r="O195">
            <v>45862</v>
          </cell>
          <cell r="P195" t="str">
            <v>Visitas de evaluación con fines de mejoramiento</v>
          </cell>
          <cell r="Q195" t="str">
            <v>2415JUL25_LICEO PSICOPEDAGOGICO EL CARMELO</v>
          </cell>
          <cell r="R195" t="str">
            <v>La constitución del Gobierno Escolar y sus órganos de participación, se encuentra conforme a la Normativa Vigente</v>
          </cell>
          <cell r="S195" t="str">
            <v>Continuar operando conforme funciones y reglamentos.</v>
          </cell>
          <cell r="T195" t="str">
            <v>No</v>
          </cell>
          <cell r="U195" t="str">
            <v>Verificar la conformación del Gobierno Escolar e instancias para la vigencia 2026 o antes si la IE lo requiere o se presenta solicitud o queja.</v>
          </cell>
        </row>
        <row r="196">
          <cell r="A196">
            <v>391</v>
          </cell>
          <cell r="B196">
            <v>21</v>
          </cell>
          <cell r="C196" t="str">
            <v>BOSA</v>
          </cell>
          <cell r="D196" t="str">
            <v>PRIVADO</v>
          </cell>
          <cell r="E196" t="str">
            <v>EPBM</v>
          </cell>
          <cell r="F196" t="str">
            <v>LICEO_PSICOPEDAGOGICO_EL_CARMELO</v>
          </cell>
          <cell r="G196" t="str">
            <v>LICEO PSICOPEDAGOGICO EL CARMELO</v>
          </cell>
          <cell r="H196" t="str">
            <v>Autoevaluación Institucional y Pruebas SABER 11</v>
          </cell>
          <cell r="I196" t="str">
            <v>EVALUACIÓN_CON_FINES_DE_MEJORAMIENTO.</v>
          </cell>
          <cell r="J196" t="str">
            <v>Verificar las condiciones en cuanto a: la estructura administrativa, condiciones de la planta física y medios educativos adecuados.</v>
          </cell>
          <cell r="K196" t="str">
            <v>ANA ANDREA VARGAS GONZÁLEZ</v>
          </cell>
          <cell r="L196" t="str">
            <v>JOSÉ ANTONIO PÁEZ FETECUA</v>
          </cell>
          <cell r="M196">
            <v>45862</v>
          </cell>
          <cell r="N196">
            <v>45862</v>
          </cell>
          <cell r="O196">
            <v>45862</v>
          </cell>
          <cell r="P196" t="str">
            <v>Visitas de evaluación con fines de mejoramiento</v>
          </cell>
          <cell r="Q196" t="str">
            <v>2415JUL25_LICEO PSICOPEDAGOGICO EL CARMELO</v>
          </cell>
          <cell r="R196" t="str">
            <v>Se realiza un recorrido en las instalaciones de la IE, verificando las condiciones en cuanto a: la estructura administrativa, condiciones de la planta física y medios educativos adecuados.</v>
          </cell>
          <cell r="S196" t="str">
            <v>Las condiciones de la planta física son adecuadas y se recomienda actualizar el mobiliario más antiguo</v>
          </cell>
          <cell r="T196" t="str">
            <v>No</v>
          </cell>
          <cell r="U196" t="str">
            <v>Las condiciones de la planta física garantizan la adecuada prestación del servicio educativo</v>
          </cell>
        </row>
        <row r="197">
          <cell r="A197">
            <v>392</v>
          </cell>
          <cell r="B197">
            <v>22</v>
          </cell>
          <cell r="C197" t="str">
            <v>BOSA</v>
          </cell>
          <cell r="D197" t="str">
            <v>PRIVADO</v>
          </cell>
          <cell r="E197" t="str">
            <v>EPBM</v>
          </cell>
          <cell r="F197" t="str">
            <v>LICEO_SAN_PABLO</v>
          </cell>
          <cell r="G197" t="str">
            <v>LICEO SAN PABLO</v>
          </cell>
          <cell r="H197" t="str">
            <v>Autoevaluación Institucional y Pruebas SABER 11</v>
          </cell>
          <cell r="I197" t="str">
            <v>SEGUIMIENTO_Y_SUPERVISIÓN.</v>
          </cell>
          <cell r="J197" t="str">
            <v>Realizar visitas para verificar la información registrada sobre la autoevaluación institucional en el aplicativo EVI, a los establecimientos de educación formal no oficial.</v>
          </cell>
          <cell r="K197" t="str">
            <v>ESTEFANY PEÑA GARCIA</v>
          </cell>
          <cell r="L197" t="str">
            <v>ANA ANDREA VARGAS GONZÁLEZ</v>
          </cell>
          <cell r="M197">
            <v>45867</v>
          </cell>
          <cell r="N197">
            <v>45867</v>
          </cell>
          <cell r="O197">
            <v>45867</v>
          </cell>
          <cell r="P197" t="str">
            <v>Visitas de evaluación con fines de mejoramiento</v>
          </cell>
          <cell r="Q197" t="str">
            <v>29JUL25_LICEO SAN PABLO</v>
          </cell>
          <cell r="R197" t="str">
            <v>La información consignada en la Plataforma EVI relacionada con los indicadores de: planta física, dotación de espacios y calendario académico no coincide con lo verificado en campo. Se evidencia que la dirección Calle 65 Sur # 78J - 75 no se encuentra en funcionamiento</v>
          </cell>
          <cell r="S197" t="str">
            <v>Se concluye que la IE realizará su autoevalución institucional en el mes octubre y reportara la novedad de su plamta física a la Dirección Local de Educación de Bosa</v>
          </cell>
          <cell r="T197" t="str">
            <v>Si</v>
          </cell>
          <cell r="U197" t="str">
            <v>Se verificará la información cargada por la IE en el aplicativo EVI de la autoevaluación,  para la emisión del concepto de tarifas 2026, así como las direcciones</v>
          </cell>
        </row>
        <row r="198">
          <cell r="A198">
            <v>393</v>
          </cell>
          <cell r="B198">
            <v>22</v>
          </cell>
          <cell r="C198" t="str">
            <v>BOSA</v>
          </cell>
          <cell r="D198" t="str">
            <v>PRIVADO</v>
          </cell>
          <cell r="E198" t="str">
            <v>EPBM</v>
          </cell>
          <cell r="F198" t="str">
            <v>LICEO_SAN_PABLO</v>
          </cell>
          <cell r="G198" t="str">
            <v>LICEO SAN PABLO</v>
          </cell>
          <cell r="H198" t="str">
            <v>Autoevaluación Institucional y Pruebas SABER 11</v>
          </cell>
          <cell r="I198" t="str">
            <v>SEGUIMIENTO_Y_SUPERVISIÓN.</v>
          </cell>
          <cell r="J198" t="str">
            <v>Proponer estrategias en la formulación, verificar su elaboración y realizar seguimiento semestral al desarrollo de  las acciones establecidas en los planes de mejoramiento por pruebas SABER 11 de los establecimientos de educación formal.</v>
          </cell>
          <cell r="K198" t="str">
            <v>ESTEFANY PEÑA GARCIA</v>
          </cell>
          <cell r="L198" t="str">
            <v>ANA ANDREA VARGAS GONZÁLEZ</v>
          </cell>
          <cell r="M198">
            <v>45867</v>
          </cell>
          <cell r="N198">
            <v>45867</v>
          </cell>
          <cell r="O198">
            <v>45867</v>
          </cell>
          <cell r="P198" t="str">
            <v>Visitas de evaluación con fines de mejoramiento</v>
          </cell>
          <cell r="Q198" t="str">
            <v>29JUL25_LICEO SAN PABLO</v>
          </cell>
          <cell r="R198" t="str">
            <v>La IE se encuentra en Categoría B, realizó la revisión y análisis de los resultados para  actualización del curriculo y el plan de estudios. Se ha adelantado el diagnóstico y la propuesta de Intervención, aplicando pruebas preliminares</v>
          </cell>
          <cell r="S198" t="str">
            <v>La IE se compromete a diseñar un Plan de Mejoramiento con estrategia actualizada que cuente con cronograma, actividades específicas y proceso de seguimiento y evaluación</v>
          </cell>
          <cell r="T198" t="str">
            <v>Si</v>
          </cell>
          <cell r="U198" t="str">
            <v>Se hará seguimiento en Agosto de 2025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ell>
        </row>
        <row r="199">
          <cell r="A199">
            <v>394</v>
          </cell>
          <cell r="B199">
            <v>22</v>
          </cell>
          <cell r="C199" t="str">
            <v>BOSA</v>
          </cell>
          <cell r="D199" t="str">
            <v>PRIVADO</v>
          </cell>
          <cell r="E199" t="str">
            <v>EPBM</v>
          </cell>
          <cell r="F199" t="str">
            <v>LICEO_SAN_PABLO</v>
          </cell>
          <cell r="G199" t="str">
            <v>LICEO SAN PABLO</v>
          </cell>
          <cell r="H199" t="str">
            <v>Autoevaluación Institucional y Pruebas SABER 11</v>
          </cell>
          <cell r="I199" t="str">
            <v>SEGUIMIENTO_Y_SUPERVISIÓN.</v>
          </cell>
          <cell r="J199" t="str">
            <v xml:space="preserve">Verificar la implementación por parte de los colegios, de acciones realizadas para la prevención y atención de las situaciones de convivencia en el entorno escolar, según lo establecido en la Directiva 01 de 2022 del MEN. </v>
          </cell>
          <cell r="K199" t="str">
            <v>ESTEFANY PEÑA GARCIA</v>
          </cell>
          <cell r="L199" t="str">
            <v>ANA ANDREA VARGAS GONZÁLEZ</v>
          </cell>
          <cell r="M199">
            <v>45867</v>
          </cell>
          <cell r="N199">
            <v>45867</v>
          </cell>
          <cell r="O199">
            <v>45867</v>
          </cell>
          <cell r="P199" t="str">
            <v>Visitas de evaluación con fines de mejoramiento</v>
          </cell>
          <cell r="Q199" t="str">
            <v>29JUL25_LICEO SAN PABLO</v>
          </cell>
          <cell r="R199" t="str">
            <v>Se verifica la implementación de acciones  realizadas para la prevención como lo es la verificación de inhabilidades por delitos sexuales en el sistema de la Policía Nacional.</v>
          </cell>
          <cell r="S199" t="str">
            <v>Como acción de verificación se solicita implementar  la autorización de directivos, docentes y administrativos para las consultas de antecedentes en los sistemas que se requieran al momento de la vinculación</v>
          </cell>
          <cell r="T199" t="str">
            <v>No</v>
          </cell>
          <cell r="U199" t="str">
            <v>Verificar que la IE cuente con las respectivas autorizaciones para las consultas de antedecentes del personal vinculado.</v>
          </cell>
        </row>
        <row r="200">
          <cell r="A200">
            <v>395</v>
          </cell>
          <cell r="B200">
            <v>22</v>
          </cell>
          <cell r="C200" t="str">
            <v>BOSA</v>
          </cell>
          <cell r="D200" t="str">
            <v>PRIVADO</v>
          </cell>
          <cell r="E200" t="str">
            <v>EPBM</v>
          </cell>
          <cell r="F200" t="str">
            <v>LICEO_SAN_PABLO</v>
          </cell>
          <cell r="G200" t="str">
            <v>LICEO SAN PABLO</v>
          </cell>
          <cell r="H200" t="str">
            <v>Autoevaluación Institucional y Pruebas SABER 11</v>
          </cell>
          <cell r="I200" t="str">
            <v>SEGUIMIENTO_Y_SUPERVISIÓN.</v>
          </cell>
          <cell r="J20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0" t="str">
            <v>ESTEFANY PEÑA GARCIA</v>
          </cell>
          <cell r="L200" t="str">
            <v>ANA ANDREA VARGAS GONZÁLEZ</v>
          </cell>
          <cell r="M200">
            <v>45867</v>
          </cell>
          <cell r="N200">
            <v>45867</v>
          </cell>
          <cell r="O200">
            <v>45867</v>
          </cell>
          <cell r="P200" t="str">
            <v>Visitas de evaluación con fines de mejoramiento</v>
          </cell>
          <cell r="Q200" t="str">
            <v>29JUL25_LICEO SAN PABLO</v>
          </cell>
          <cell r="R200" t="str">
            <v>Al revisar la Plataforma SIMAT, hay 18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ell>
          <cell r="S200" t="str">
            <v>La Institución Educativa se compromete a remitir el Documento Institucional del Plan Individual de Ajustes Razonables PIAR</v>
          </cell>
          <cell r="T200" t="str">
            <v>No</v>
          </cell>
          <cell r="U200" t="str">
            <v>Verificar la información en SIMAT</v>
          </cell>
        </row>
        <row r="201">
          <cell r="A201">
            <v>396</v>
          </cell>
          <cell r="B201">
            <v>22</v>
          </cell>
          <cell r="C201" t="str">
            <v>BOSA</v>
          </cell>
          <cell r="D201" t="str">
            <v>PRIVADO</v>
          </cell>
          <cell r="E201" t="str">
            <v>EPBM</v>
          </cell>
          <cell r="F201" t="str">
            <v>LICEO_SAN_PABLO</v>
          </cell>
          <cell r="G201" t="str">
            <v>LICEO SAN PABLO</v>
          </cell>
          <cell r="H201" t="str">
            <v>Autoevaluación Institucional y Pruebas SABER 11</v>
          </cell>
          <cell r="I201" t="str">
            <v>EVALUACIÓN_CON_FINES_DE_MEJORAMIENTO.</v>
          </cell>
          <cell r="J20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1" t="str">
            <v>ESTEFANY PEÑA GARCIA</v>
          </cell>
          <cell r="L201" t="str">
            <v>ANA ANDREA VARGAS GONZÁLEZ</v>
          </cell>
          <cell r="M201">
            <v>45867</v>
          </cell>
          <cell r="N201">
            <v>45867</v>
          </cell>
          <cell r="O201">
            <v>45867</v>
          </cell>
          <cell r="P201" t="str">
            <v>Visitas de evaluación con fines de mejoramiento</v>
          </cell>
          <cell r="Q201" t="str">
            <v>29JUL25_LICEO SAN PABLO</v>
          </cell>
          <cell r="R201" t="str">
            <v xml:space="preserve">Se evidencia Manual de Convivencia actualizado a la vigencia 2024 -2025,  con la participación de la comunidad educativa, el cual requiete algunos ajustes en su contenido ¿cuáles? </v>
          </cell>
          <cell r="S201" t="str">
            <v>Remitir la versión actualizada del Manual de Conviviencia,  para diferenciar entre faltas y situaciones convivenciales, y las sanciones</v>
          </cell>
          <cell r="T201" t="str">
            <v>Si</v>
          </cell>
          <cell r="U201" t="str">
            <v>Revisar el manual actualizado en  2025 y retroalimentar a la IE.</v>
          </cell>
        </row>
        <row r="202">
          <cell r="A202">
            <v>397</v>
          </cell>
          <cell r="B202">
            <v>22</v>
          </cell>
          <cell r="C202" t="str">
            <v>BOSA</v>
          </cell>
          <cell r="D202" t="str">
            <v>PRIVADO</v>
          </cell>
          <cell r="E202" t="str">
            <v>EPBM</v>
          </cell>
          <cell r="F202" t="str">
            <v>LICEO_SAN_PABLO</v>
          </cell>
          <cell r="G202" t="str">
            <v>LICEO SAN PABLO</v>
          </cell>
          <cell r="H202" t="str">
            <v>Autoevaluación Institucional y Pruebas SABER 11</v>
          </cell>
          <cell r="I202" t="str">
            <v>EVALUACIÓN_CON_FINES_DE_MEJORAMIENTO.</v>
          </cell>
          <cell r="J202" t="str">
            <v>Revisar la actualización, socialización e implementación del Sistema Institucional de Evaluación de Estudiantes - SIEE, en articulación con la actualización del PEI y la normatividad vigente.</v>
          </cell>
          <cell r="K202" t="str">
            <v>ESTEFANY PEÑA GARCIA</v>
          </cell>
          <cell r="L202" t="str">
            <v>ANA ANDREA VARGAS GONZÁLEZ</v>
          </cell>
          <cell r="M202">
            <v>45867</v>
          </cell>
          <cell r="N202">
            <v>45867</v>
          </cell>
          <cell r="O202">
            <v>45867</v>
          </cell>
          <cell r="P202" t="str">
            <v>Visitas de evaluación con fines de mejoramiento</v>
          </cell>
          <cell r="Q202" t="str">
            <v>29JUL25_LICEO SAN PABLO</v>
          </cell>
          <cell r="R202" t="str">
            <v>Se revisa el Sistema Institucional de Evaluación de Estudiantes - SIEE y no se encuentra incorporado en el Manual de Convivencia y requiere algunos ajustes en su contenido.</v>
          </cell>
          <cell r="S202" t="str">
            <v>Remitir la versión actualizada del Sistema Institucional de Evaluación de Estudiantes - SIEE, en articulación con la actualización del PEI y la normatividad vigente.</v>
          </cell>
          <cell r="T202" t="str">
            <v>Si</v>
          </cell>
          <cell r="U202" t="str">
            <v>Revisar el Sistema Institucional de Evaluación de Estudiantes - SIEE actualizado en 2025 y retroalimentar a la IE.</v>
          </cell>
        </row>
        <row r="203">
          <cell r="A203">
            <v>398</v>
          </cell>
          <cell r="B203">
            <v>22</v>
          </cell>
          <cell r="C203" t="str">
            <v>BOSA</v>
          </cell>
          <cell r="D203" t="str">
            <v>PRIVADO</v>
          </cell>
          <cell r="E203" t="str">
            <v>EPBM</v>
          </cell>
          <cell r="F203" t="str">
            <v>LICEO_SAN_PABLO</v>
          </cell>
          <cell r="G203" t="str">
            <v>LICEO SAN PABLO</v>
          </cell>
          <cell r="H203" t="str">
            <v>Autoevaluación Institucional y Pruebas SABER 11</v>
          </cell>
          <cell r="I203" t="str">
            <v>EVALUACIÓN_CON_FINES_DE_MEJORAMIENTO.</v>
          </cell>
          <cell r="J203" t="str">
            <v>Revisar el calendario escolar, jornada escolar, la intensidad horaria mínima anual en cada nivel y las modificaciones que se realicen al mismo, de acuerdo con lo previsto en la normatividad vigente.</v>
          </cell>
          <cell r="K203" t="str">
            <v>ESTEFANY PEÑA GARCIA</v>
          </cell>
          <cell r="L203" t="str">
            <v>ANA ANDREA VARGAS GONZÁLEZ</v>
          </cell>
          <cell r="M203">
            <v>45867</v>
          </cell>
          <cell r="N203">
            <v>45867</v>
          </cell>
          <cell r="O203">
            <v>45867</v>
          </cell>
          <cell r="P203" t="str">
            <v>Visitas de evaluación con fines de mejoramiento</v>
          </cell>
          <cell r="Q203" t="str">
            <v>29JUL25_LICEO SAN PABLO</v>
          </cell>
          <cell r="R203" t="str">
            <v>Se revisa el documento de Calendario Escolar y no se encuentra discriminado por semanas y la planeación de las jornadas pedagógicas</v>
          </cell>
          <cell r="S203" t="str">
            <v>Remitir la versión actualizada del Calendario Escolar Vigencia 2025</v>
          </cell>
          <cell r="T203" t="str">
            <v>Si</v>
          </cell>
          <cell r="U203" t="str">
            <v>Revisar el Calendario Escolar Vigencia 2025 actualizado en 2025 y retroalimentar a la IE.</v>
          </cell>
        </row>
        <row r="204">
          <cell r="A204">
            <v>399</v>
          </cell>
          <cell r="B204">
            <v>22</v>
          </cell>
          <cell r="C204" t="str">
            <v>BOSA</v>
          </cell>
          <cell r="D204" t="str">
            <v>PRIVADO</v>
          </cell>
          <cell r="E204" t="str">
            <v>EPBM</v>
          </cell>
          <cell r="F204" t="str">
            <v>LICEO_SAN_PABLO</v>
          </cell>
          <cell r="G204" t="str">
            <v>LICEO SAN PABLO</v>
          </cell>
          <cell r="H204" t="str">
            <v>Autoevaluación Institucional y Pruebas SABER 11</v>
          </cell>
          <cell r="I204" t="str">
            <v>EVALUACIÓN_CON_FINES_DE_MEJORAMIENTO.</v>
          </cell>
          <cell r="J204" t="str">
            <v>Verificar el funcionamiento del Gobierno Escolar e instancias de participación con base en la información sobre conformación reportada por la institución educativa.</v>
          </cell>
          <cell r="K204" t="str">
            <v>ESTEFANY PEÑA GARCIA</v>
          </cell>
          <cell r="L204" t="str">
            <v>ANA ANDREA VARGAS GONZÁLEZ</v>
          </cell>
          <cell r="M204">
            <v>45867</v>
          </cell>
          <cell r="N204">
            <v>45867</v>
          </cell>
          <cell r="O204">
            <v>45867</v>
          </cell>
          <cell r="P204" t="str">
            <v>Visitas de evaluación con fines de mejoramiento</v>
          </cell>
          <cell r="Q204" t="str">
            <v>29JUL25_LICEO SAN PABLO</v>
          </cell>
          <cell r="R204" t="str">
            <v>Se revisa la documentación que corresponde a la conformación del Gobierno Escolar y otros órganos de participación y no están ajustados de acuerdo con la normatividad vigente</v>
          </cell>
          <cell r="S204" t="str">
            <v>Remitir la versión actualizada del Gobierno Escolar y otros órganos de participación vigencia 2025</v>
          </cell>
          <cell r="T204" t="str">
            <v>Si</v>
          </cell>
          <cell r="U204" t="str">
            <v>Revisar el Gobierno Escolar y otros órganos de participación actualizado en 2025 y retroalimentar a la IE.</v>
          </cell>
        </row>
        <row r="205">
          <cell r="A205">
            <v>400</v>
          </cell>
          <cell r="B205">
            <v>22</v>
          </cell>
          <cell r="C205" t="str">
            <v>BOSA</v>
          </cell>
          <cell r="D205" t="str">
            <v>PRIVADO</v>
          </cell>
          <cell r="E205" t="str">
            <v>EPBM</v>
          </cell>
          <cell r="F205" t="str">
            <v>LICEO_SAN_PABLO</v>
          </cell>
          <cell r="G205" t="str">
            <v>LICEO SAN PABLO</v>
          </cell>
          <cell r="H205" t="str">
            <v>Autoevaluación Institucional y Pruebas SABER 11</v>
          </cell>
          <cell r="I205" t="str">
            <v>EVALUACIÓN_CON_FINES_DE_MEJORAMIENTO.</v>
          </cell>
          <cell r="J205" t="str">
            <v>Verificar las condiciones en cuanto a: la estructura administrativa, condiciones de la planta física y medios educativos adecuados.</v>
          </cell>
          <cell r="K205" t="str">
            <v>ESTEFANY PEÑA GARCIA</v>
          </cell>
          <cell r="L205" t="str">
            <v>ANA ANDREA VARGAS GONZÁLEZ</v>
          </cell>
          <cell r="M205">
            <v>45867</v>
          </cell>
          <cell r="N205">
            <v>45867</v>
          </cell>
          <cell r="O205">
            <v>45867</v>
          </cell>
          <cell r="P205" t="str">
            <v>Visitas de evaluación con fines de mejoramiento</v>
          </cell>
          <cell r="Q205" t="str">
            <v>29JUL25_LICEO SAN PABLO</v>
          </cell>
          <cell r="R205" t="str">
            <v>Se realiza un recorrido en las instalaciones de la IE y se evidencia falta de mantenimiento en las Instalaciones y falta de pintura en las paredes</v>
          </cell>
          <cell r="S205" t="str">
            <v xml:space="preserve">Se recomienda actualizar el mobiliario más antiguo y pintar el interior de las instalaciones </v>
          </cell>
          <cell r="T205" t="str">
            <v>Si</v>
          </cell>
          <cell r="U205" t="str">
            <v>Se adelantará una visita administrativa para verificar la pertinencia de las instalaciones en la garantía de la prestación del servicio educativo</v>
          </cell>
        </row>
        <row r="206">
          <cell r="A206"/>
          <cell r="M206"/>
          <cell r="N206"/>
          <cell r="O206"/>
          <cell r="Q206"/>
          <cell r="R206"/>
          <cell r="S206"/>
          <cell r="T206"/>
          <cell r="U206"/>
        </row>
        <row r="207">
          <cell r="A207"/>
          <cell r="M207"/>
          <cell r="N207"/>
          <cell r="O207"/>
          <cell r="Q207"/>
          <cell r="R207"/>
          <cell r="S207"/>
          <cell r="T207"/>
          <cell r="U207"/>
        </row>
        <row r="208">
          <cell r="A208"/>
          <cell r="M208"/>
          <cell r="N208"/>
          <cell r="O208"/>
          <cell r="Q208"/>
          <cell r="R208"/>
          <cell r="S208"/>
          <cell r="T208"/>
          <cell r="U208"/>
        </row>
        <row r="209">
          <cell r="A209"/>
          <cell r="M209"/>
          <cell r="N209"/>
          <cell r="O209"/>
          <cell r="Q209"/>
          <cell r="R209"/>
          <cell r="S209"/>
          <cell r="T209"/>
          <cell r="U209"/>
        </row>
        <row r="210">
          <cell r="A210"/>
          <cell r="M210"/>
          <cell r="N210"/>
          <cell r="O210"/>
          <cell r="Q210"/>
          <cell r="R210"/>
          <cell r="S210"/>
          <cell r="T210"/>
          <cell r="U210"/>
        </row>
        <row r="211">
          <cell r="A211"/>
          <cell r="M211"/>
          <cell r="N211"/>
          <cell r="O211"/>
          <cell r="Q211"/>
          <cell r="R211"/>
          <cell r="S211"/>
          <cell r="T211"/>
          <cell r="U211"/>
        </row>
        <row r="212">
          <cell r="A212"/>
          <cell r="M212"/>
          <cell r="N212"/>
          <cell r="O212"/>
          <cell r="Q212"/>
          <cell r="R212"/>
          <cell r="S212"/>
          <cell r="T212"/>
          <cell r="U212"/>
        </row>
        <row r="213">
          <cell r="A213"/>
          <cell r="M213"/>
          <cell r="N213"/>
          <cell r="O213"/>
          <cell r="Q213"/>
          <cell r="R213"/>
          <cell r="S213"/>
          <cell r="T213"/>
          <cell r="U213"/>
        </row>
        <row r="214">
          <cell r="A214"/>
          <cell r="M214"/>
          <cell r="N214"/>
          <cell r="O214"/>
          <cell r="Q214"/>
          <cell r="R214"/>
          <cell r="S214"/>
          <cell r="T214"/>
          <cell r="U214"/>
        </row>
        <row r="215">
          <cell r="A215"/>
          <cell r="M215"/>
          <cell r="N215"/>
          <cell r="O215"/>
          <cell r="Q215"/>
          <cell r="R215"/>
          <cell r="S215"/>
          <cell r="T215"/>
          <cell r="U215"/>
        </row>
        <row r="216">
          <cell r="A216"/>
          <cell r="M216"/>
          <cell r="N216"/>
          <cell r="O216"/>
          <cell r="Q216"/>
          <cell r="R216"/>
          <cell r="S216"/>
          <cell r="T216"/>
          <cell r="U216"/>
        </row>
        <row r="217">
          <cell r="A217"/>
          <cell r="M217"/>
          <cell r="N217"/>
          <cell r="O217"/>
          <cell r="Q217"/>
          <cell r="R217"/>
          <cell r="S217"/>
          <cell r="T217"/>
          <cell r="U217"/>
        </row>
        <row r="218">
          <cell r="A218"/>
          <cell r="M218"/>
          <cell r="N218"/>
          <cell r="O218"/>
          <cell r="Q218"/>
          <cell r="R218"/>
          <cell r="S218"/>
          <cell r="T218"/>
          <cell r="U218"/>
        </row>
        <row r="219">
          <cell r="A219"/>
          <cell r="M219"/>
          <cell r="N219"/>
          <cell r="O219"/>
          <cell r="Q219"/>
          <cell r="R219"/>
          <cell r="S219"/>
          <cell r="T219"/>
          <cell r="U219"/>
        </row>
        <row r="220">
          <cell r="A220"/>
          <cell r="M220"/>
          <cell r="N220"/>
          <cell r="O220"/>
          <cell r="Q220"/>
          <cell r="R220"/>
          <cell r="S220"/>
          <cell r="T220"/>
          <cell r="U220"/>
        </row>
        <row r="221">
          <cell r="A221"/>
          <cell r="M221"/>
          <cell r="N221"/>
          <cell r="O221"/>
          <cell r="Q221"/>
          <cell r="R221"/>
          <cell r="S221"/>
          <cell r="T221"/>
          <cell r="U221"/>
        </row>
        <row r="222">
          <cell r="A222"/>
          <cell r="M222"/>
          <cell r="N222"/>
          <cell r="O222"/>
          <cell r="Q222"/>
          <cell r="R222"/>
          <cell r="S222"/>
          <cell r="T222"/>
          <cell r="U222"/>
        </row>
        <row r="223">
          <cell r="A223"/>
          <cell r="M223"/>
          <cell r="N223"/>
          <cell r="O223"/>
          <cell r="Q223"/>
          <cell r="R223"/>
          <cell r="S223"/>
          <cell r="T223"/>
          <cell r="U223"/>
        </row>
        <row r="224">
          <cell r="A224"/>
          <cell r="M224"/>
          <cell r="N224"/>
          <cell r="O224"/>
          <cell r="Q224"/>
          <cell r="R224"/>
          <cell r="S224"/>
          <cell r="T224"/>
          <cell r="U224"/>
        </row>
        <row r="225">
          <cell r="M225"/>
          <cell r="N225"/>
          <cell r="O225"/>
          <cell r="Q225"/>
          <cell r="R225"/>
          <cell r="S225"/>
          <cell r="U225"/>
        </row>
        <row r="226">
          <cell r="M226"/>
          <cell r="N226"/>
          <cell r="O226"/>
          <cell r="Q226"/>
          <cell r="R226"/>
          <cell r="S226"/>
          <cell r="U226"/>
        </row>
        <row r="227">
          <cell r="M227"/>
          <cell r="N227"/>
          <cell r="O227"/>
          <cell r="Q227"/>
          <cell r="R227"/>
          <cell r="S227"/>
          <cell r="U227"/>
        </row>
        <row r="228">
          <cell r="M228"/>
          <cell r="N228"/>
          <cell r="O228"/>
          <cell r="Q228"/>
          <cell r="R228"/>
          <cell r="S228"/>
          <cell r="U228"/>
        </row>
        <row r="229">
          <cell r="M229"/>
          <cell r="N229"/>
          <cell r="O229"/>
          <cell r="Q229"/>
          <cell r="R229"/>
          <cell r="S229"/>
          <cell r="U229"/>
        </row>
        <row r="230">
          <cell r="M230"/>
          <cell r="N230"/>
          <cell r="O230"/>
          <cell r="Q230"/>
          <cell r="R230"/>
          <cell r="S230"/>
          <cell r="U230"/>
        </row>
        <row r="231">
          <cell r="M231"/>
          <cell r="N231"/>
          <cell r="O231"/>
          <cell r="Q231"/>
          <cell r="R231"/>
          <cell r="S231"/>
          <cell r="U231"/>
        </row>
        <row r="232">
          <cell r="M232"/>
          <cell r="N232"/>
          <cell r="O232"/>
          <cell r="Q232"/>
          <cell r="R232"/>
          <cell r="S232"/>
          <cell r="U232"/>
        </row>
        <row r="233">
          <cell r="M233"/>
          <cell r="N233"/>
          <cell r="O233"/>
          <cell r="Q233"/>
          <cell r="R233"/>
          <cell r="S233"/>
          <cell r="U233"/>
        </row>
        <row r="234">
          <cell r="M234"/>
          <cell r="N234"/>
          <cell r="O234"/>
          <cell r="Q234"/>
          <cell r="R234"/>
          <cell r="S234"/>
          <cell r="U234"/>
        </row>
        <row r="235">
          <cell r="M235"/>
          <cell r="N235"/>
          <cell r="O235"/>
          <cell r="Q235"/>
          <cell r="R235"/>
          <cell r="S235"/>
          <cell r="U235"/>
        </row>
        <row r="236">
          <cell r="M236"/>
          <cell r="N236"/>
          <cell r="O236"/>
          <cell r="Q236"/>
          <cell r="R236"/>
          <cell r="S236"/>
          <cell r="U236"/>
        </row>
        <row r="237">
          <cell r="M237"/>
          <cell r="N237"/>
          <cell r="O237"/>
          <cell r="Q237"/>
          <cell r="R237"/>
          <cell r="S237"/>
          <cell r="U237"/>
        </row>
        <row r="238">
          <cell r="M238"/>
          <cell r="N238"/>
          <cell r="O238"/>
          <cell r="Q238"/>
          <cell r="R238"/>
          <cell r="S238"/>
          <cell r="U238"/>
        </row>
        <row r="239">
          <cell r="M239"/>
          <cell r="N239"/>
          <cell r="O239"/>
          <cell r="Q239"/>
          <cell r="R239"/>
          <cell r="S239"/>
          <cell r="U239"/>
        </row>
        <row r="240">
          <cell r="M240"/>
          <cell r="N240"/>
          <cell r="O240"/>
          <cell r="Q240"/>
          <cell r="R240"/>
          <cell r="S240"/>
          <cell r="U240"/>
        </row>
        <row r="241">
          <cell r="M241"/>
          <cell r="N241"/>
          <cell r="O241"/>
          <cell r="Q241"/>
          <cell r="R241"/>
          <cell r="S241"/>
          <cell r="U241"/>
        </row>
        <row r="242">
          <cell r="M242"/>
          <cell r="N242"/>
          <cell r="O242"/>
          <cell r="Q242"/>
          <cell r="R242"/>
          <cell r="S242"/>
          <cell r="U242"/>
        </row>
        <row r="243">
          <cell r="M243"/>
          <cell r="N243"/>
          <cell r="O243"/>
          <cell r="Q243"/>
          <cell r="R243"/>
          <cell r="S243"/>
          <cell r="U243"/>
        </row>
        <row r="244">
          <cell r="M244"/>
          <cell r="N244"/>
          <cell r="O244"/>
          <cell r="Q244"/>
          <cell r="R244"/>
          <cell r="S244"/>
          <cell r="U244"/>
        </row>
        <row r="245">
          <cell r="M245"/>
          <cell r="N245"/>
          <cell r="O245"/>
          <cell r="Q245"/>
          <cell r="R245"/>
          <cell r="S245"/>
          <cell r="U245"/>
        </row>
        <row r="246">
          <cell r="M246"/>
          <cell r="N246"/>
          <cell r="O246"/>
          <cell r="Q246"/>
          <cell r="R246"/>
          <cell r="S246"/>
          <cell r="U246"/>
        </row>
        <row r="247">
          <cell r="M247"/>
          <cell r="N247"/>
          <cell r="O247"/>
          <cell r="Q247"/>
          <cell r="R247"/>
          <cell r="S247"/>
          <cell r="U247"/>
        </row>
        <row r="248">
          <cell r="M248"/>
          <cell r="N248"/>
          <cell r="O248"/>
          <cell r="Q248"/>
          <cell r="R248"/>
          <cell r="S248"/>
          <cell r="U248"/>
        </row>
        <row r="249">
          <cell r="M249"/>
          <cell r="N249"/>
          <cell r="O249"/>
          <cell r="Q249"/>
          <cell r="R249"/>
          <cell r="S249"/>
          <cell r="U249"/>
        </row>
        <row r="250">
          <cell r="M250"/>
          <cell r="N250"/>
          <cell r="O250"/>
          <cell r="Q250"/>
          <cell r="R250"/>
          <cell r="S250"/>
          <cell r="U250"/>
        </row>
        <row r="251">
          <cell r="M251"/>
          <cell r="N251"/>
          <cell r="O251"/>
          <cell r="Q251"/>
          <cell r="R251"/>
          <cell r="S251"/>
          <cell r="U251"/>
        </row>
        <row r="252">
          <cell r="M252"/>
          <cell r="N252"/>
          <cell r="O252"/>
          <cell r="Q252"/>
          <cell r="R252"/>
          <cell r="S252"/>
          <cell r="U252"/>
        </row>
        <row r="253">
          <cell r="M253"/>
          <cell r="N253"/>
          <cell r="O253"/>
          <cell r="Q253"/>
          <cell r="R253"/>
          <cell r="S253"/>
          <cell r="U253"/>
        </row>
        <row r="254">
          <cell r="M254"/>
          <cell r="N254"/>
          <cell r="O254"/>
          <cell r="Q254"/>
          <cell r="R254"/>
          <cell r="S254"/>
        </row>
        <row r="255">
          <cell r="M255"/>
          <cell r="N255"/>
          <cell r="O255"/>
          <cell r="Q255"/>
          <cell r="R255"/>
          <cell r="S255"/>
        </row>
        <row r="256">
          <cell r="M256"/>
          <cell r="N256"/>
          <cell r="O256"/>
          <cell r="Q256"/>
          <cell r="R256"/>
          <cell r="S256"/>
        </row>
        <row r="257">
          <cell r="Q257"/>
          <cell r="R257"/>
          <cell r="S257"/>
        </row>
        <row r="258">
          <cell r="R258"/>
          <cell r="S258"/>
          <cell r="T258"/>
          <cell r="U258"/>
        </row>
        <row r="259">
          <cell r="R259"/>
          <cell r="S259"/>
          <cell r="T259"/>
          <cell r="U259"/>
        </row>
        <row r="260">
          <cell r="R260"/>
          <cell r="S260"/>
          <cell r="T260"/>
          <cell r="U260"/>
        </row>
        <row r="261">
          <cell r="R261"/>
          <cell r="S261"/>
          <cell r="T261"/>
          <cell r="U261"/>
        </row>
        <row r="262">
          <cell r="R262"/>
          <cell r="S262"/>
          <cell r="T262"/>
          <cell r="U262"/>
        </row>
        <row r="263">
          <cell r="R263"/>
          <cell r="S263"/>
          <cell r="T263"/>
          <cell r="U263"/>
        </row>
        <row r="264">
          <cell r="R264"/>
          <cell r="S264"/>
          <cell r="T264"/>
          <cell r="U264"/>
        </row>
        <row r="265">
          <cell r="R265"/>
          <cell r="S265"/>
          <cell r="T265"/>
          <cell r="U265"/>
        </row>
        <row r="266">
          <cell r="R266"/>
          <cell r="S266"/>
          <cell r="T266"/>
          <cell r="U266"/>
        </row>
        <row r="267">
          <cell r="R267"/>
          <cell r="S267"/>
          <cell r="T267"/>
          <cell r="U267"/>
        </row>
        <row r="268">
          <cell r="R268"/>
          <cell r="S268"/>
          <cell r="T268"/>
          <cell r="U268"/>
        </row>
        <row r="269">
          <cell r="R269"/>
          <cell r="S269"/>
          <cell r="T269"/>
          <cell r="U269"/>
        </row>
        <row r="270">
          <cell r="R270"/>
          <cell r="S270"/>
          <cell r="T270"/>
          <cell r="U270"/>
        </row>
        <row r="271">
          <cell r="R271"/>
          <cell r="S271"/>
          <cell r="T271"/>
          <cell r="U271"/>
        </row>
        <row r="272">
          <cell r="R272"/>
          <cell r="S272"/>
          <cell r="T272"/>
          <cell r="U272"/>
        </row>
        <row r="273">
          <cell r="R273"/>
          <cell r="S273"/>
          <cell r="T273"/>
          <cell r="U273"/>
        </row>
        <row r="274">
          <cell r="R274"/>
          <cell r="S274"/>
          <cell r="T274"/>
          <cell r="U274"/>
        </row>
        <row r="275">
          <cell r="R275"/>
          <cell r="S275"/>
          <cell r="T275"/>
          <cell r="U275"/>
        </row>
        <row r="276">
          <cell r="R276"/>
          <cell r="S276"/>
          <cell r="T276"/>
          <cell r="U276"/>
        </row>
        <row r="277">
          <cell r="R277"/>
          <cell r="S277"/>
          <cell r="T277"/>
          <cell r="U277"/>
        </row>
        <row r="278">
          <cell r="R278"/>
          <cell r="S278"/>
          <cell r="T278"/>
          <cell r="U278"/>
        </row>
        <row r="279">
          <cell r="R279"/>
          <cell r="S279"/>
          <cell r="T279"/>
          <cell r="U279"/>
        </row>
        <row r="280">
          <cell r="R280"/>
          <cell r="S280"/>
          <cell r="T280"/>
          <cell r="U280"/>
        </row>
        <row r="281">
          <cell r="R281"/>
          <cell r="S281"/>
          <cell r="T281"/>
          <cell r="U281"/>
        </row>
        <row r="282">
          <cell r="R282"/>
          <cell r="S282"/>
          <cell r="T282"/>
          <cell r="U282"/>
        </row>
        <row r="283">
          <cell r="R283"/>
          <cell r="S283"/>
          <cell r="T283"/>
          <cell r="U283"/>
        </row>
        <row r="284">
          <cell r="R284"/>
          <cell r="S284"/>
          <cell r="T284"/>
          <cell r="U284"/>
        </row>
        <row r="285">
          <cell r="R285"/>
          <cell r="S285"/>
          <cell r="T285"/>
          <cell r="U285"/>
        </row>
        <row r="286">
          <cell r="R286"/>
          <cell r="S286"/>
          <cell r="T286"/>
          <cell r="U286"/>
        </row>
        <row r="287">
          <cell r="R287"/>
          <cell r="S287"/>
          <cell r="T287"/>
          <cell r="U287"/>
        </row>
        <row r="288">
          <cell r="R288"/>
          <cell r="S288"/>
          <cell r="T288"/>
          <cell r="U288"/>
        </row>
        <row r="289">
          <cell r="R289"/>
          <cell r="S289"/>
          <cell r="T289"/>
          <cell r="U289"/>
        </row>
        <row r="290">
          <cell r="R290"/>
          <cell r="S290"/>
          <cell r="T290"/>
          <cell r="U290"/>
        </row>
        <row r="291">
          <cell r="R291"/>
          <cell r="S291"/>
          <cell r="T291"/>
          <cell r="U291"/>
        </row>
        <row r="292">
          <cell r="R292"/>
          <cell r="S292"/>
          <cell r="T292"/>
          <cell r="U292"/>
        </row>
        <row r="293">
          <cell r="R293"/>
          <cell r="S293"/>
          <cell r="T293"/>
          <cell r="U293"/>
        </row>
        <row r="294">
          <cell r="R294"/>
          <cell r="S294"/>
          <cell r="T294"/>
          <cell r="U294"/>
        </row>
        <row r="295">
          <cell r="R295"/>
          <cell r="S295"/>
          <cell r="T295"/>
          <cell r="U295"/>
        </row>
        <row r="296">
          <cell r="R296"/>
          <cell r="S296"/>
          <cell r="T296"/>
          <cell r="U296"/>
        </row>
        <row r="297">
          <cell r="R297"/>
          <cell r="S297"/>
          <cell r="T297"/>
          <cell r="U297"/>
        </row>
        <row r="298">
          <cell r="R298"/>
          <cell r="S298"/>
          <cell r="T298"/>
          <cell r="U298"/>
        </row>
        <row r="299">
          <cell r="R299"/>
          <cell r="S299"/>
          <cell r="T299"/>
          <cell r="U299"/>
        </row>
        <row r="300">
          <cell r="R300"/>
          <cell r="S300"/>
          <cell r="T300"/>
          <cell r="U300"/>
        </row>
        <row r="301">
          <cell r="R301"/>
          <cell r="S301"/>
          <cell r="T301"/>
          <cell r="U301"/>
        </row>
        <row r="302">
          <cell r="R302"/>
          <cell r="S302"/>
          <cell r="T302"/>
          <cell r="U302"/>
        </row>
        <row r="303">
          <cell r="R303"/>
          <cell r="S303"/>
          <cell r="T303"/>
          <cell r="U303"/>
        </row>
        <row r="304">
          <cell r="R304"/>
          <cell r="S304"/>
          <cell r="T304"/>
          <cell r="U304"/>
        </row>
        <row r="305">
          <cell r="R305"/>
          <cell r="S305"/>
          <cell r="T305"/>
          <cell r="U305"/>
        </row>
        <row r="306">
          <cell r="R306"/>
          <cell r="S306"/>
          <cell r="T306"/>
          <cell r="U306"/>
        </row>
        <row r="307">
          <cell r="R307"/>
          <cell r="S307"/>
          <cell r="T307"/>
          <cell r="U307"/>
        </row>
        <row r="308">
          <cell r="R308"/>
          <cell r="S308"/>
          <cell r="T308"/>
          <cell r="U308"/>
        </row>
        <row r="309">
          <cell r="R309"/>
          <cell r="S309"/>
          <cell r="T309"/>
          <cell r="U309"/>
        </row>
        <row r="310">
          <cell r="R310"/>
          <cell r="S310"/>
          <cell r="T310"/>
          <cell r="U310"/>
        </row>
        <row r="311">
          <cell r="R311"/>
          <cell r="S311"/>
          <cell r="T311"/>
          <cell r="U311"/>
        </row>
        <row r="312">
          <cell r="R312"/>
          <cell r="S312"/>
          <cell r="T312"/>
          <cell r="U312"/>
        </row>
        <row r="313">
          <cell r="R313"/>
          <cell r="S313"/>
          <cell r="T313"/>
          <cell r="U313"/>
        </row>
        <row r="314">
          <cell r="R314"/>
          <cell r="S314"/>
          <cell r="T314"/>
          <cell r="U314"/>
        </row>
        <row r="315">
          <cell r="R315"/>
          <cell r="S315"/>
          <cell r="T315"/>
          <cell r="U315"/>
        </row>
        <row r="316">
          <cell r="R316"/>
          <cell r="S316"/>
          <cell r="T316"/>
          <cell r="U316"/>
        </row>
        <row r="317">
          <cell r="R317"/>
          <cell r="S317"/>
          <cell r="T317"/>
          <cell r="U317"/>
        </row>
        <row r="318">
          <cell r="R318"/>
          <cell r="S318"/>
          <cell r="T318"/>
          <cell r="U318"/>
        </row>
        <row r="319">
          <cell r="R319"/>
          <cell r="S319"/>
          <cell r="T319"/>
          <cell r="U319"/>
        </row>
        <row r="320">
          <cell r="R320"/>
          <cell r="S320"/>
          <cell r="T320"/>
          <cell r="U320"/>
        </row>
        <row r="321">
          <cell r="R321"/>
          <cell r="S321"/>
          <cell r="T321"/>
          <cell r="U321"/>
        </row>
        <row r="322">
          <cell r="R322"/>
          <cell r="S322"/>
          <cell r="T322"/>
          <cell r="U322"/>
        </row>
        <row r="323">
          <cell r="R323"/>
          <cell r="S323"/>
          <cell r="T323"/>
          <cell r="U323"/>
        </row>
        <row r="324">
          <cell r="R324"/>
          <cell r="S324"/>
          <cell r="T324"/>
          <cell r="U324"/>
        </row>
        <row r="325">
          <cell r="R325"/>
          <cell r="S325"/>
          <cell r="T325"/>
          <cell r="U325"/>
        </row>
        <row r="326">
          <cell r="R326"/>
          <cell r="S326"/>
          <cell r="T326"/>
          <cell r="U326"/>
        </row>
        <row r="327">
          <cell r="R327"/>
          <cell r="S327"/>
          <cell r="T327"/>
          <cell r="U327"/>
        </row>
        <row r="328">
          <cell r="R328"/>
          <cell r="S328"/>
          <cell r="T328"/>
          <cell r="U328"/>
        </row>
        <row r="329">
          <cell r="R329"/>
          <cell r="S329"/>
          <cell r="T329"/>
          <cell r="U329"/>
        </row>
        <row r="330">
          <cell r="R330"/>
          <cell r="S330"/>
          <cell r="T330"/>
          <cell r="U330"/>
        </row>
        <row r="331">
          <cell r="R331"/>
          <cell r="S331"/>
          <cell r="T331"/>
          <cell r="U331"/>
        </row>
        <row r="332">
          <cell r="R332"/>
          <cell r="S332"/>
          <cell r="T332"/>
          <cell r="U332"/>
        </row>
        <row r="333">
          <cell r="R333"/>
          <cell r="S333"/>
          <cell r="T333"/>
          <cell r="U333"/>
        </row>
        <row r="334">
          <cell r="R334"/>
          <cell r="S334"/>
          <cell r="T334"/>
          <cell r="U334"/>
        </row>
        <row r="335">
          <cell r="R335"/>
          <cell r="S335"/>
          <cell r="T335"/>
          <cell r="U335"/>
        </row>
        <row r="336">
          <cell r="R336"/>
          <cell r="S336"/>
          <cell r="T336"/>
          <cell r="U336"/>
        </row>
        <row r="337">
          <cell r="R337"/>
          <cell r="S337"/>
          <cell r="T337"/>
          <cell r="U337"/>
        </row>
        <row r="338">
          <cell r="R338"/>
          <cell r="S338"/>
          <cell r="T338"/>
          <cell r="U338"/>
        </row>
        <row r="339">
          <cell r="R339"/>
          <cell r="S339"/>
          <cell r="T339"/>
          <cell r="U339"/>
        </row>
        <row r="340">
          <cell r="R340"/>
          <cell r="S340"/>
          <cell r="T340"/>
          <cell r="U340"/>
        </row>
        <row r="341">
          <cell r="R341"/>
          <cell r="S341"/>
          <cell r="T341"/>
          <cell r="U341"/>
        </row>
        <row r="342">
          <cell r="R342"/>
          <cell r="S342"/>
          <cell r="T342"/>
          <cell r="U342"/>
        </row>
        <row r="343">
          <cell r="R343"/>
          <cell r="S343"/>
          <cell r="T343"/>
          <cell r="U343"/>
        </row>
        <row r="344">
          <cell r="R344"/>
          <cell r="S344"/>
          <cell r="T344"/>
          <cell r="U344"/>
        </row>
        <row r="345">
          <cell r="R345"/>
          <cell r="S345"/>
          <cell r="T345"/>
          <cell r="U345"/>
        </row>
        <row r="346">
          <cell r="R346"/>
          <cell r="S346"/>
          <cell r="T346"/>
          <cell r="U346"/>
        </row>
        <row r="347">
          <cell r="R347"/>
          <cell r="S347"/>
          <cell r="T347"/>
          <cell r="U347"/>
        </row>
        <row r="348">
          <cell r="R348"/>
          <cell r="S348"/>
          <cell r="T348"/>
          <cell r="U348"/>
        </row>
        <row r="349">
          <cell r="R349"/>
          <cell r="S349"/>
          <cell r="T349"/>
          <cell r="U349"/>
        </row>
        <row r="350">
          <cell r="R350"/>
          <cell r="S350"/>
          <cell r="T350"/>
          <cell r="U350"/>
        </row>
        <row r="351">
          <cell r="R351"/>
          <cell r="S351"/>
          <cell r="T351"/>
          <cell r="U351"/>
        </row>
        <row r="352">
          <cell r="R352"/>
          <cell r="S352"/>
          <cell r="T352"/>
          <cell r="U352"/>
        </row>
        <row r="353">
          <cell r="R353"/>
          <cell r="S353"/>
          <cell r="T353"/>
          <cell r="U353"/>
        </row>
        <row r="354">
          <cell r="R354"/>
          <cell r="S354"/>
          <cell r="T354"/>
          <cell r="U354"/>
        </row>
        <row r="355">
          <cell r="R355"/>
          <cell r="S355"/>
          <cell r="T355"/>
          <cell r="U355"/>
        </row>
        <row r="356">
          <cell r="R356"/>
          <cell r="S356"/>
          <cell r="T356"/>
          <cell r="U356"/>
        </row>
        <row r="357">
          <cell r="R357"/>
          <cell r="S357"/>
          <cell r="T357"/>
          <cell r="U357"/>
        </row>
        <row r="358">
          <cell r="R358"/>
          <cell r="S358"/>
          <cell r="T358"/>
          <cell r="U358"/>
        </row>
        <row r="359">
          <cell r="R359"/>
          <cell r="S359"/>
          <cell r="T359"/>
          <cell r="U359"/>
        </row>
        <row r="360">
          <cell r="R360"/>
          <cell r="S360"/>
          <cell r="T360"/>
          <cell r="U360"/>
        </row>
        <row r="361">
          <cell r="R361"/>
          <cell r="S361"/>
          <cell r="T361"/>
          <cell r="U361"/>
        </row>
        <row r="362">
          <cell r="R362"/>
          <cell r="S362"/>
          <cell r="T362"/>
          <cell r="U362"/>
        </row>
        <row r="363">
          <cell r="R363"/>
          <cell r="S363"/>
          <cell r="T363"/>
          <cell r="U363"/>
        </row>
        <row r="364">
          <cell r="R364"/>
          <cell r="S364"/>
          <cell r="T364"/>
          <cell r="U364"/>
        </row>
        <row r="365">
          <cell r="R365"/>
          <cell r="S365"/>
          <cell r="T365"/>
          <cell r="U365"/>
        </row>
        <row r="366">
          <cell r="R366"/>
          <cell r="S366"/>
          <cell r="T366"/>
          <cell r="U366"/>
        </row>
        <row r="367">
          <cell r="R367"/>
          <cell r="S367"/>
          <cell r="T367"/>
          <cell r="U367"/>
        </row>
        <row r="368">
          <cell r="R368"/>
          <cell r="S368"/>
          <cell r="T368"/>
          <cell r="U368"/>
        </row>
        <row r="369">
          <cell r="R369"/>
          <cell r="S369"/>
          <cell r="T369"/>
          <cell r="U369"/>
        </row>
        <row r="370">
          <cell r="R370"/>
          <cell r="S370"/>
          <cell r="T370"/>
          <cell r="U370"/>
        </row>
        <row r="371">
          <cell r="R371"/>
          <cell r="S371"/>
          <cell r="T371"/>
          <cell r="U371"/>
        </row>
        <row r="372">
          <cell r="R372"/>
          <cell r="S372"/>
          <cell r="T372"/>
          <cell r="U372"/>
        </row>
        <row r="373">
          <cell r="R373"/>
          <cell r="S373"/>
          <cell r="T373"/>
          <cell r="U373"/>
        </row>
        <row r="374">
          <cell r="R374"/>
          <cell r="S374"/>
          <cell r="T374"/>
          <cell r="U374"/>
        </row>
        <row r="375">
          <cell r="R375"/>
          <cell r="S375"/>
          <cell r="T375"/>
          <cell r="U375"/>
        </row>
        <row r="376">
          <cell r="R376"/>
          <cell r="S376"/>
          <cell r="T376"/>
          <cell r="U376"/>
        </row>
        <row r="377">
          <cell r="R377"/>
          <cell r="S377"/>
          <cell r="T377"/>
          <cell r="U377"/>
        </row>
        <row r="378">
          <cell r="R378"/>
          <cell r="S378"/>
          <cell r="T378"/>
          <cell r="U378"/>
        </row>
        <row r="379">
          <cell r="R379"/>
          <cell r="S379"/>
          <cell r="T379"/>
          <cell r="U379"/>
        </row>
        <row r="380">
          <cell r="R380"/>
          <cell r="S380"/>
          <cell r="T380"/>
          <cell r="U380"/>
        </row>
        <row r="381">
          <cell r="R381"/>
          <cell r="S381"/>
          <cell r="T381"/>
          <cell r="U381"/>
        </row>
        <row r="382">
          <cell r="R382"/>
          <cell r="S382"/>
          <cell r="T382"/>
          <cell r="U382"/>
        </row>
        <row r="383">
          <cell r="R383"/>
          <cell r="S383"/>
          <cell r="T383"/>
          <cell r="U383"/>
        </row>
        <row r="384">
          <cell r="R384"/>
          <cell r="S384"/>
          <cell r="T384"/>
          <cell r="U384"/>
        </row>
        <row r="385">
          <cell r="R385"/>
          <cell r="S385"/>
          <cell r="T385"/>
          <cell r="U385"/>
        </row>
        <row r="386">
          <cell r="R386"/>
          <cell r="S386"/>
          <cell r="T386"/>
          <cell r="U386"/>
        </row>
        <row r="387">
          <cell r="R387"/>
          <cell r="S387"/>
          <cell r="T387"/>
          <cell r="U387"/>
        </row>
        <row r="388">
          <cell r="R388"/>
          <cell r="S388"/>
          <cell r="T388"/>
          <cell r="U388"/>
        </row>
        <row r="389">
          <cell r="R389"/>
          <cell r="S389"/>
          <cell r="T389"/>
          <cell r="U389"/>
        </row>
        <row r="390">
          <cell r="R390"/>
          <cell r="S390"/>
          <cell r="T390"/>
          <cell r="U390"/>
        </row>
        <row r="391">
          <cell r="R391"/>
          <cell r="S391"/>
          <cell r="T391"/>
          <cell r="U391"/>
        </row>
        <row r="392">
          <cell r="R392"/>
          <cell r="S392"/>
          <cell r="T392"/>
          <cell r="U392"/>
        </row>
        <row r="393">
          <cell r="R393"/>
          <cell r="S393"/>
          <cell r="T393"/>
          <cell r="U393"/>
        </row>
        <row r="394">
          <cell r="R394"/>
          <cell r="S394"/>
          <cell r="T394"/>
          <cell r="U394"/>
        </row>
        <row r="395">
          <cell r="R395"/>
          <cell r="S395"/>
          <cell r="T395"/>
          <cell r="U395"/>
        </row>
        <row r="396">
          <cell r="R396"/>
          <cell r="S396"/>
          <cell r="T396"/>
          <cell r="U396"/>
        </row>
        <row r="397">
          <cell r="R397"/>
          <cell r="S397"/>
          <cell r="T397"/>
          <cell r="U397"/>
        </row>
        <row r="398">
          <cell r="R398"/>
          <cell r="S398"/>
          <cell r="T398"/>
          <cell r="U398"/>
        </row>
        <row r="399">
          <cell r="R399"/>
          <cell r="S399"/>
          <cell r="T399"/>
          <cell r="U399"/>
        </row>
        <row r="400">
          <cell r="R400"/>
          <cell r="S400"/>
          <cell r="T400"/>
          <cell r="U400"/>
        </row>
        <row r="401">
          <cell r="R401"/>
          <cell r="S401"/>
          <cell r="T401"/>
          <cell r="U401"/>
        </row>
        <row r="402">
          <cell r="R402"/>
          <cell r="S402"/>
          <cell r="T402"/>
          <cell r="U402"/>
        </row>
        <row r="403">
          <cell r="R403"/>
          <cell r="S403"/>
          <cell r="T403"/>
          <cell r="U403"/>
        </row>
        <row r="404">
          <cell r="R404"/>
          <cell r="S404"/>
          <cell r="T404"/>
          <cell r="U404"/>
        </row>
        <row r="405">
          <cell r="R405"/>
          <cell r="S405"/>
          <cell r="T405"/>
          <cell r="U405"/>
        </row>
        <row r="406">
          <cell r="R406"/>
          <cell r="S406"/>
          <cell r="T406"/>
          <cell r="U406"/>
        </row>
        <row r="407">
          <cell r="R407"/>
          <cell r="S407"/>
          <cell r="T407"/>
          <cell r="U407"/>
        </row>
        <row r="408">
          <cell r="R408"/>
          <cell r="S408"/>
          <cell r="T408"/>
          <cell r="U408"/>
        </row>
        <row r="409">
          <cell r="R409"/>
          <cell r="S409"/>
          <cell r="T409"/>
          <cell r="U409"/>
        </row>
        <row r="410">
          <cell r="R410"/>
          <cell r="S410"/>
          <cell r="T410"/>
          <cell r="U410"/>
        </row>
        <row r="411">
          <cell r="R411"/>
          <cell r="S411"/>
          <cell r="T411"/>
          <cell r="U411"/>
        </row>
        <row r="412">
          <cell r="R412"/>
          <cell r="S412"/>
          <cell r="T412"/>
          <cell r="U412"/>
        </row>
        <row r="413">
          <cell r="R413"/>
          <cell r="S413"/>
          <cell r="T413"/>
          <cell r="U413"/>
        </row>
        <row r="414">
          <cell r="R414"/>
          <cell r="S414"/>
          <cell r="T414"/>
          <cell r="U414"/>
        </row>
        <row r="415">
          <cell r="R415"/>
          <cell r="S415"/>
          <cell r="T415"/>
          <cell r="U415"/>
        </row>
        <row r="416">
          <cell r="R416"/>
          <cell r="S416"/>
          <cell r="T416"/>
          <cell r="U416"/>
        </row>
        <row r="417">
          <cell r="R417"/>
          <cell r="S417"/>
          <cell r="T417"/>
          <cell r="U417"/>
        </row>
        <row r="418">
          <cell r="R418"/>
          <cell r="S418"/>
          <cell r="T418"/>
          <cell r="U418"/>
        </row>
        <row r="419">
          <cell r="R419"/>
          <cell r="S419"/>
          <cell r="T419"/>
          <cell r="U419"/>
        </row>
        <row r="420">
          <cell r="R420"/>
          <cell r="S420"/>
          <cell r="T420"/>
          <cell r="U420"/>
        </row>
        <row r="421">
          <cell r="R421"/>
          <cell r="S421"/>
          <cell r="T421"/>
          <cell r="U421"/>
        </row>
        <row r="422">
          <cell r="R422"/>
          <cell r="S422"/>
          <cell r="T422"/>
          <cell r="U422"/>
        </row>
        <row r="423">
          <cell r="R423"/>
          <cell r="S423"/>
          <cell r="T423"/>
          <cell r="U423"/>
        </row>
        <row r="424">
          <cell r="R424"/>
          <cell r="S424"/>
          <cell r="T424"/>
          <cell r="U424"/>
        </row>
        <row r="425">
          <cell r="R425"/>
          <cell r="S425"/>
          <cell r="T425"/>
          <cell r="U425"/>
        </row>
        <row r="426">
          <cell r="R426"/>
          <cell r="S426"/>
          <cell r="T426"/>
          <cell r="U426"/>
        </row>
        <row r="427">
          <cell r="R427"/>
          <cell r="S427"/>
          <cell r="T427"/>
          <cell r="U427"/>
        </row>
        <row r="428">
          <cell r="R428"/>
          <cell r="S428"/>
          <cell r="T428"/>
          <cell r="U428"/>
        </row>
        <row r="429">
          <cell r="R429"/>
          <cell r="S429"/>
          <cell r="T429"/>
          <cell r="U429"/>
        </row>
        <row r="430">
          <cell r="R430"/>
          <cell r="S430"/>
          <cell r="T430"/>
          <cell r="U430"/>
        </row>
        <row r="431">
          <cell r="R431"/>
          <cell r="S431"/>
          <cell r="T431"/>
          <cell r="U431"/>
        </row>
        <row r="432">
          <cell r="R432"/>
          <cell r="S432"/>
          <cell r="T432"/>
          <cell r="U432"/>
        </row>
        <row r="433">
          <cell r="R433"/>
          <cell r="S433"/>
          <cell r="T433"/>
          <cell r="U433"/>
        </row>
        <row r="434">
          <cell r="R434"/>
          <cell r="S434"/>
          <cell r="T434"/>
          <cell r="U434"/>
        </row>
        <row r="435">
          <cell r="R435"/>
          <cell r="S435"/>
          <cell r="T435"/>
          <cell r="U435"/>
        </row>
        <row r="436">
          <cell r="R436"/>
          <cell r="S436"/>
          <cell r="T436"/>
          <cell r="U436"/>
        </row>
        <row r="437">
          <cell r="R437"/>
          <cell r="S437"/>
          <cell r="T437"/>
          <cell r="U437"/>
        </row>
        <row r="438">
          <cell r="R438"/>
          <cell r="S438"/>
          <cell r="T438"/>
          <cell r="U438"/>
        </row>
        <row r="439">
          <cell r="R439"/>
          <cell r="S439"/>
          <cell r="T439"/>
          <cell r="U439"/>
        </row>
        <row r="440">
          <cell r="R440"/>
          <cell r="S440"/>
          <cell r="T440"/>
          <cell r="U440"/>
        </row>
        <row r="441">
          <cell r="R441"/>
          <cell r="S441"/>
          <cell r="T441"/>
          <cell r="U441"/>
        </row>
        <row r="442">
          <cell r="R442"/>
          <cell r="S442"/>
          <cell r="T442"/>
          <cell r="U442"/>
        </row>
        <row r="443">
          <cell r="R443"/>
          <cell r="S443"/>
          <cell r="T443"/>
          <cell r="U443"/>
        </row>
        <row r="444">
          <cell r="R444"/>
          <cell r="S444"/>
          <cell r="T444"/>
          <cell r="U444"/>
        </row>
        <row r="445">
          <cell r="R445"/>
          <cell r="S445"/>
          <cell r="T445"/>
          <cell r="U445"/>
        </row>
        <row r="446">
          <cell r="R446"/>
          <cell r="S446"/>
          <cell r="T446"/>
          <cell r="U446"/>
        </row>
        <row r="447">
          <cell r="R447"/>
          <cell r="S447"/>
          <cell r="T447"/>
          <cell r="U447"/>
        </row>
        <row r="448">
          <cell r="R448"/>
          <cell r="S448"/>
          <cell r="T448"/>
          <cell r="U448"/>
        </row>
        <row r="449">
          <cell r="R449"/>
          <cell r="S449"/>
          <cell r="T449"/>
          <cell r="U449"/>
        </row>
        <row r="450">
          <cell r="R450"/>
          <cell r="S450"/>
          <cell r="T450"/>
          <cell r="U450"/>
        </row>
        <row r="451">
          <cell r="R451"/>
          <cell r="S451"/>
          <cell r="T451"/>
          <cell r="U451"/>
        </row>
        <row r="452">
          <cell r="R452"/>
          <cell r="S452"/>
          <cell r="T452"/>
          <cell r="U452"/>
        </row>
        <row r="453">
          <cell r="R453"/>
          <cell r="S453"/>
          <cell r="T453"/>
          <cell r="U453"/>
        </row>
        <row r="454">
          <cell r="R454"/>
          <cell r="S454"/>
          <cell r="T454"/>
          <cell r="U454"/>
        </row>
        <row r="455">
          <cell r="R455"/>
          <cell r="S455"/>
          <cell r="T455"/>
          <cell r="U455"/>
        </row>
        <row r="456">
          <cell r="R456"/>
          <cell r="S456"/>
          <cell r="T456"/>
          <cell r="U456"/>
        </row>
        <row r="457">
          <cell r="R457"/>
          <cell r="S457"/>
          <cell r="T457"/>
          <cell r="U457"/>
        </row>
        <row r="458">
          <cell r="R458"/>
          <cell r="S458"/>
          <cell r="T458"/>
          <cell r="U458"/>
        </row>
        <row r="459">
          <cell r="R459"/>
          <cell r="S459"/>
          <cell r="T459"/>
          <cell r="U459"/>
        </row>
        <row r="460">
          <cell r="R460"/>
          <cell r="S460"/>
          <cell r="T460"/>
          <cell r="U460"/>
        </row>
        <row r="461">
          <cell r="R461"/>
          <cell r="S461"/>
          <cell r="T461"/>
          <cell r="U461"/>
        </row>
        <row r="462">
          <cell r="R462"/>
          <cell r="S462"/>
          <cell r="T462"/>
          <cell r="U462"/>
        </row>
        <row r="463">
          <cell r="R463"/>
          <cell r="S463"/>
          <cell r="T463"/>
          <cell r="U463"/>
        </row>
        <row r="464">
          <cell r="R464"/>
          <cell r="S464"/>
          <cell r="T464"/>
          <cell r="U464"/>
        </row>
        <row r="465">
          <cell r="R465"/>
          <cell r="S465"/>
          <cell r="T465"/>
          <cell r="U465"/>
        </row>
        <row r="466">
          <cell r="R466"/>
          <cell r="S466"/>
          <cell r="T466"/>
          <cell r="U466"/>
        </row>
        <row r="467">
          <cell r="R467"/>
          <cell r="S467"/>
          <cell r="T467"/>
          <cell r="U467"/>
        </row>
        <row r="468">
          <cell r="R468"/>
          <cell r="S468"/>
          <cell r="T468"/>
          <cell r="U468"/>
        </row>
        <row r="469">
          <cell r="R469"/>
          <cell r="S469"/>
          <cell r="T469"/>
          <cell r="U469"/>
        </row>
        <row r="470">
          <cell r="R470"/>
          <cell r="S470"/>
          <cell r="T470"/>
          <cell r="U470"/>
        </row>
        <row r="471">
          <cell r="R471"/>
          <cell r="S471"/>
          <cell r="T471"/>
          <cell r="U471"/>
        </row>
        <row r="472">
          <cell r="R472"/>
          <cell r="S472"/>
          <cell r="T472"/>
          <cell r="U472"/>
        </row>
        <row r="473">
          <cell r="R473"/>
          <cell r="S473"/>
          <cell r="T473"/>
          <cell r="U473"/>
        </row>
        <row r="474">
          <cell r="R474"/>
          <cell r="S474"/>
          <cell r="T474"/>
          <cell r="U474"/>
        </row>
        <row r="475">
          <cell r="R475"/>
          <cell r="S475"/>
          <cell r="T475"/>
          <cell r="U475"/>
        </row>
        <row r="476">
          <cell r="R476"/>
          <cell r="S476"/>
          <cell r="T476"/>
          <cell r="U476"/>
        </row>
        <row r="477">
          <cell r="R477"/>
          <cell r="S477"/>
          <cell r="T477"/>
          <cell r="U477"/>
        </row>
        <row r="478">
          <cell r="R478"/>
          <cell r="S478"/>
          <cell r="T478"/>
          <cell r="U478"/>
        </row>
        <row r="479">
          <cell r="R479"/>
          <cell r="S479"/>
          <cell r="T479"/>
          <cell r="U479"/>
        </row>
        <row r="480">
          <cell r="R480"/>
          <cell r="S480"/>
          <cell r="T480"/>
          <cell r="U480"/>
        </row>
        <row r="481">
          <cell r="R481"/>
          <cell r="S481"/>
          <cell r="T481"/>
          <cell r="U481"/>
        </row>
        <row r="482">
          <cell r="R482"/>
          <cell r="S482"/>
          <cell r="T482"/>
          <cell r="U482"/>
        </row>
        <row r="483">
          <cell r="R483"/>
          <cell r="S483"/>
          <cell r="T483"/>
          <cell r="U483"/>
        </row>
        <row r="484">
          <cell r="R484"/>
          <cell r="S484"/>
          <cell r="T484"/>
          <cell r="U484"/>
        </row>
        <row r="485">
          <cell r="R485"/>
          <cell r="S485"/>
          <cell r="T485"/>
          <cell r="U485"/>
        </row>
        <row r="486">
          <cell r="R486"/>
          <cell r="S486"/>
          <cell r="T486"/>
          <cell r="U486"/>
        </row>
        <row r="487">
          <cell r="R487"/>
          <cell r="S487"/>
          <cell r="T487"/>
          <cell r="U487"/>
        </row>
        <row r="488">
          <cell r="R488"/>
          <cell r="S488"/>
          <cell r="T488"/>
          <cell r="U488"/>
        </row>
        <row r="489">
          <cell r="R489"/>
          <cell r="S489"/>
          <cell r="T489"/>
          <cell r="U489"/>
        </row>
        <row r="490">
          <cell r="R490"/>
          <cell r="S490"/>
          <cell r="T490"/>
          <cell r="U490"/>
        </row>
        <row r="491">
          <cell r="R491"/>
          <cell r="S491"/>
          <cell r="T491"/>
          <cell r="U491"/>
        </row>
        <row r="492">
          <cell r="R492"/>
          <cell r="S492"/>
          <cell r="T492"/>
          <cell r="U492"/>
        </row>
        <row r="493">
          <cell r="R493"/>
          <cell r="S493"/>
          <cell r="T493"/>
          <cell r="U493"/>
        </row>
        <row r="494">
          <cell r="R494"/>
          <cell r="S494"/>
          <cell r="T494"/>
          <cell r="U494"/>
        </row>
        <row r="495">
          <cell r="R495"/>
          <cell r="S495"/>
          <cell r="T495"/>
          <cell r="U495"/>
        </row>
        <row r="496">
          <cell r="R496"/>
          <cell r="S496"/>
          <cell r="T496"/>
          <cell r="U496"/>
        </row>
        <row r="497">
          <cell r="R497"/>
          <cell r="S497"/>
          <cell r="T497"/>
          <cell r="U497"/>
        </row>
        <row r="498">
          <cell r="R498"/>
          <cell r="S498"/>
          <cell r="T498"/>
          <cell r="U498"/>
        </row>
        <row r="499">
          <cell r="R499"/>
          <cell r="S499"/>
          <cell r="T499"/>
          <cell r="U499"/>
        </row>
        <row r="500">
          <cell r="R500"/>
          <cell r="S500"/>
          <cell r="T500"/>
          <cell r="U500"/>
        </row>
        <row r="501">
          <cell r="R501"/>
          <cell r="S501"/>
          <cell r="T501"/>
          <cell r="U501"/>
        </row>
        <row r="502">
          <cell r="R502"/>
          <cell r="S502"/>
          <cell r="T502"/>
          <cell r="U502"/>
        </row>
        <row r="503">
          <cell r="R503"/>
          <cell r="S503"/>
          <cell r="T503"/>
          <cell r="U503"/>
        </row>
        <row r="504">
          <cell r="R504"/>
          <cell r="S504"/>
          <cell r="T504"/>
          <cell r="U504"/>
        </row>
        <row r="505">
          <cell r="R505"/>
          <cell r="S505"/>
          <cell r="T505"/>
          <cell r="U505"/>
        </row>
        <row r="506">
          <cell r="R506"/>
          <cell r="S506"/>
          <cell r="T506"/>
          <cell r="U506"/>
        </row>
        <row r="507">
          <cell r="R507"/>
          <cell r="S507"/>
          <cell r="T507"/>
          <cell r="U507"/>
        </row>
        <row r="508">
          <cell r="R508"/>
          <cell r="S508"/>
          <cell r="T508"/>
          <cell r="U508"/>
        </row>
        <row r="509">
          <cell r="R509"/>
          <cell r="S509"/>
          <cell r="T509"/>
          <cell r="U509"/>
        </row>
        <row r="510">
          <cell r="R510"/>
          <cell r="S510"/>
          <cell r="T510"/>
          <cell r="U510"/>
        </row>
        <row r="511">
          <cell r="R511"/>
          <cell r="S511"/>
          <cell r="T511"/>
          <cell r="U511"/>
        </row>
        <row r="512">
          <cell r="R512"/>
          <cell r="S512"/>
          <cell r="T512"/>
          <cell r="U512"/>
        </row>
        <row r="513">
          <cell r="R513"/>
          <cell r="S513"/>
          <cell r="T513"/>
          <cell r="U513"/>
        </row>
        <row r="514">
          <cell r="R514"/>
          <cell r="S514"/>
          <cell r="T514"/>
          <cell r="U514"/>
        </row>
        <row r="515">
          <cell r="R515"/>
          <cell r="S515"/>
          <cell r="T515"/>
          <cell r="U515"/>
        </row>
        <row r="516">
          <cell r="R516"/>
          <cell r="S516"/>
          <cell r="T516"/>
          <cell r="U516"/>
        </row>
        <row r="517">
          <cell r="R517"/>
          <cell r="S517"/>
          <cell r="T517"/>
          <cell r="U517"/>
        </row>
        <row r="518">
          <cell r="R518"/>
          <cell r="S518"/>
          <cell r="T518"/>
          <cell r="U518"/>
        </row>
        <row r="519">
          <cell r="R519"/>
          <cell r="S519"/>
          <cell r="T519"/>
          <cell r="U519"/>
        </row>
        <row r="520">
          <cell r="R520"/>
          <cell r="S520"/>
          <cell r="T520"/>
          <cell r="U520"/>
        </row>
        <row r="521">
          <cell r="R521"/>
          <cell r="S521"/>
          <cell r="T521"/>
          <cell r="U521"/>
        </row>
        <row r="522">
          <cell r="R522"/>
          <cell r="S522"/>
          <cell r="T522"/>
          <cell r="U522"/>
        </row>
        <row r="523">
          <cell r="R523"/>
          <cell r="S523"/>
          <cell r="T523"/>
          <cell r="U523"/>
        </row>
        <row r="524">
          <cell r="R524"/>
          <cell r="S524"/>
          <cell r="T524"/>
          <cell r="U524"/>
        </row>
        <row r="525">
          <cell r="R525"/>
          <cell r="S525"/>
          <cell r="T525"/>
          <cell r="U525"/>
        </row>
        <row r="526">
          <cell r="R526"/>
          <cell r="S526"/>
          <cell r="T526"/>
          <cell r="U526"/>
        </row>
        <row r="527">
          <cell r="R527"/>
          <cell r="S527"/>
          <cell r="T527"/>
          <cell r="U527"/>
        </row>
        <row r="528">
          <cell r="R528"/>
          <cell r="S528"/>
          <cell r="T528"/>
          <cell r="U528"/>
        </row>
        <row r="529">
          <cell r="R529"/>
          <cell r="S529"/>
          <cell r="T529"/>
          <cell r="U529"/>
        </row>
        <row r="530">
          <cell r="R530"/>
          <cell r="S530"/>
          <cell r="T530"/>
          <cell r="U530"/>
        </row>
        <row r="531">
          <cell r="R531"/>
          <cell r="S531"/>
          <cell r="T531"/>
          <cell r="U531"/>
        </row>
        <row r="532">
          <cell r="R532"/>
          <cell r="S532"/>
          <cell r="T532"/>
          <cell r="U532"/>
        </row>
        <row r="533">
          <cell r="R533"/>
          <cell r="S533"/>
          <cell r="T533"/>
          <cell r="U533"/>
        </row>
        <row r="534">
          <cell r="R534"/>
          <cell r="S534"/>
          <cell r="T534"/>
          <cell r="U534"/>
        </row>
        <row r="535">
          <cell r="R535"/>
          <cell r="S535"/>
          <cell r="T535"/>
          <cell r="U535"/>
        </row>
        <row r="536">
          <cell r="R536"/>
          <cell r="S536"/>
          <cell r="T536"/>
          <cell r="U536"/>
        </row>
        <row r="537">
          <cell r="R537"/>
          <cell r="S537"/>
          <cell r="T537"/>
          <cell r="U537"/>
        </row>
        <row r="538">
          <cell r="R538"/>
          <cell r="S538"/>
          <cell r="T538"/>
          <cell r="U538"/>
        </row>
        <row r="539">
          <cell r="R539"/>
          <cell r="S539"/>
          <cell r="T539"/>
          <cell r="U539"/>
        </row>
        <row r="540">
          <cell r="R540"/>
          <cell r="S540"/>
          <cell r="T540"/>
          <cell r="U540"/>
        </row>
        <row r="541">
          <cell r="R541"/>
          <cell r="S541"/>
          <cell r="T541"/>
          <cell r="U541"/>
        </row>
        <row r="542">
          <cell r="R542"/>
          <cell r="S542"/>
          <cell r="T542"/>
          <cell r="U542"/>
        </row>
        <row r="543">
          <cell r="R543"/>
          <cell r="S543"/>
          <cell r="T543"/>
          <cell r="U543"/>
        </row>
        <row r="544">
          <cell r="R544"/>
          <cell r="S544"/>
          <cell r="T544"/>
          <cell r="U544"/>
        </row>
        <row r="545">
          <cell r="R545"/>
          <cell r="S545"/>
          <cell r="T545"/>
          <cell r="U545"/>
        </row>
        <row r="546">
          <cell r="R546"/>
          <cell r="S546"/>
          <cell r="T546"/>
          <cell r="U546"/>
        </row>
        <row r="547">
          <cell r="R547"/>
          <cell r="S547"/>
          <cell r="T547"/>
          <cell r="U547"/>
        </row>
        <row r="548">
          <cell r="R548"/>
          <cell r="S548"/>
          <cell r="T548"/>
          <cell r="U548"/>
        </row>
        <row r="549">
          <cell r="R549"/>
          <cell r="S549"/>
          <cell r="T549"/>
          <cell r="U549"/>
        </row>
        <row r="550">
          <cell r="R550"/>
          <cell r="S550"/>
          <cell r="T550"/>
          <cell r="U550"/>
        </row>
        <row r="551">
          <cell r="R551"/>
          <cell r="S551"/>
          <cell r="T551"/>
          <cell r="U551"/>
        </row>
        <row r="552">
          <cell r="R552"/>
          <cell r="S552"/>
          <cell r="T552"/>
          <cell r="U552"/>
        </row>
        <row r="553">
          <cell r="R553"/>
          <cell r="S553"/>
          <cell r="T553"/>
          <cell r="U553"/>
        </row>
        <row r="554">
          <cell r="R554"/>
          <cell r="S554"/>
          <cell r="T554"/>
          <cell r="U554"/>
        </row>
        <row r="555">
          <cell r="R555"/>
          <cell r="S555"/>
          <cell r="T555"/>
          <cell r="U555"/>
        </row>
        <row r="556">
          <cell r="R556"/>
          <cell r="S556"/>
          <cell r="T556"/>
          <cell r="U556"/>
        </row>
        <row r="557">
          <cell r="R557"/>
          <cell r="S557"/>
          <cell r="T557"/>
          <cell r="U557"/>
        </row>
        <row r="558">
          <cell r="R558"/>
          <cell r="S558"/>
          <cell r="T558"/>
          <cell r="U558"/>
        </row>
        <row r="559">
          <cell r="R559"/>
          <cell r="S559"/>
          <cell r="T559"/>
          <cell r="U559"/>
        </row>
        <row r="560">
          <cell r="R560"/>
          <cell r="S560"/>
          <cell r="T560"/>
          <cell r="U560"/>
        </row>
        <row r="561">
          <cell r="R561"/>
          <cell r="S561"/>
          <cell r="T561"/>
          <cell r="U561"/>
        </row>
        <row r="562">
          <cell r="R562"/>
          <cell r="S562"/>
          <cell r="T562"/>
          <cell r="U562"/>
        </row>
        <row r="563">
          <cell r="R563"/>
          <cell r="S563"/>
          <cell r="T563"/>
          <cell r="U563"/>
        </row>
        <row r="564">
          <cell r="R564"/>
          <cell r="S564"/>
          <cell r="T564"/>
          <cell r="U564"/>
        </row>
        <row r="565">
          <cell r="R565"/>
          <cell r="S565"/>
          <cell r="T565"/>
          <cell r="U565"/>
        </row>
        <row r="566">
          <cell r="R566"/>
          <cell r="S566"/>
          <cell r="T566"/>
          <cell r="U566"/>
        </row>
        <row r="567">
          <cell r="R567"/>
          <cell r="S567"/>
          <cell r="T567"/>
          <cell r="U567"/>
        </row>
        <row r="568">
          <cell r="R568"/>
          <cell r="S568"/>
          <cell r="T568"/>
          <cell r="U568"/>
        </row>
        <row r="569">
          <cell r="R569"/>
          <cell r="S569"/>
          <cell r="T569"/>
          <cell r="U569"/>
        </row>
        <row r="570">
          <cell r="R570"/>
          <cell r="S570"/>
          <cell r="T570"/>
          <cell r="U570"/>
        </row>
        <row r="571">
          <cell r="R571"/>
          <cell r="S571"/>
          <cell r="T571"/>
          <cell r="U571"/>
        </row>
        <row r="572">
          <cell r="R572"/>
          <cell r="S572"/>
          <cell r="T572"/>
          <cell r="U572"/>
        </row>
        <row r="573">
          <cell r="R573"/>
          <cell r="S573"/>
          <cell r="T573"/>
          <cell r="U573"/>
        </row>
        <row r="574">
          <cell r="R574"/>
          <cell r="S574"/>
          <cell r="T574"/>
          <cell r="U574"/>
        </row>
        <row r="575">
          <cell r="R575"/>
          <cell r="S575"/>
          <cell r="T575"/>
          <cell r="U575"/>
        </row>
        <row r="576">
          <cell r="R576"/>
          <cell r="S576"/>
          <cell r="T576"/>
          <cell r="U576"/>
        </row>
        <row r="577">
          <cell r="R577"/>
          <cell r="S577"/>
          <cell r="T577"/>
          <cell r="U577"/>
        </row>
        <row r="578">
          <cell r="R578"/>
          <cell r="S578"/>
          <cell r="T578"/>
          <cell r="U578"/>
        </row>
        <row r="579">
          <cell r="R579"/>
          <cell r="S579"/>
          <cell r="T579"/>
          <cell r="U579"/>
        </row>
      </sheetData>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KJK3JGXTWPP5HY4MBP6AIFIKYS">
      <xxl21:absoluteUrl r:id="rId2"/>
      <xxl21:relativeUrl r:id="rId3"/>
    </xxl21:alternateUrls>
    <sheetNames>
      <sheetName val="PRIORIZADOS"/>
      <sheetName val="DEMANDA"/>
      <sheetName val="MESAS DIRECTIVOS IE"/>
      <sheetName val="PEGRCC Y GOBIERNOS ESCOLARES"/>
      <sheetName val="MANUALES DE CONVIVENCIA IED"/>
      <sheetName val="ACTIVIDADES  "/>
      <sheetName val="COLEGIOS"/>
      <sheetName val="LISTAS"/>
      <sheetName val="OPERACIONES-ACTIVIDADES"/>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2. CHAPINERO</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Código Único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del seguimiento y/o verificación realizada o por realizar sobre los compromisos o PMI acordados)</v>
          </cell>
        </row>
        <row r="8">
          <cell r="A8">
            <v>401</v>
          </cell>
          <cell r="B8">
            <v>1</v>
          </cell>
          <cell r="C8" t="str">
            <v>CHAPINERO</v>
          </cell>
          <cell r="D8" t="str">
            <v>PRIVADO</v>
          </cell>
          <cell r="E8" t="str">
            <v>EPBM</v>
          </cell>
          <cell r="F8" t="str">
            <v>CENTRO_DE_ESTUDIOS_PSICOPEDAGOGICOS</v>
          </cell>
          <cell r="G8" t="str">
            <v>CENTRO DE ESTUDIOS PSICOPEDAGOGICOS</v>
          </cell>
          <cell r="H8" t="str">
            <v>Autoevaluación Institucional y Pruebas SABER 11</v>
          </cell>
          <cell r="I8" t="str">
            <v>SEGUIMIENTO_Y_SUPERVISIÓN.</v>
          </cell>
          <cell r="J8"/>
          <cell r="K8" t="str">
            <v>LAURA CRISTINA BECERRA CHAVES 
JUAN MANUEL AGUIRRE BOHÓRQUEZ
CONNIE QUIÑONES CÁRDENAS
SANTIAGO ÁVILA LEURO</v>
          </cell>
          <cell r="L8" t="str">
            <v>LAURA CRISTINA BECERRA CHAVES 
JUAN MANUEL AGUIRRE BOHÓRQUEZ
CONNIE QUIÑONES CÁRDENAS
SANTIAGO ÁVILA LEURO</v>
          </cell>
          <cell r="M8">
            <v>45722</v>
          </cell>
          <cell r="N8">
            <v>45754</v>
          </cell>
          <cell r="O8">
            <v>45754</v>
          </cell>
          <cell r="P8" t="str">
            <v>Visitas de evaluación con fines de seguimiento</v>
          </cell>
          <cell r="Q8"/>
          <cell r="R8"/>
          <cell r="S8"/>
          <cell r="T8"/>
          <cell r="U8" t="str">
            <v>Se sustituye por el colegio Liceo de Cervantes, por  cuanto la IE manifestó intención de cierre y traslado a una sede en Suba</v>
          </cell>
        </row>
        <row r="9">
          <cell r="A9">
            <v>402</v>
          </cell>
          <cell r="B9">
            <v>1</v>
          </cell>
          <cell r="C9" t="str">
            <v>CHAPINERO</v>
          </cell>
          <cell r="D9" t="str">
            <v>PRIVADO</v>
          </cell>
          <cell r="E9" t="str">
            <v>EPBM</v>
          </cell>
          <cell r="F9" t="str">
            <v>LICEO_DE_CERVANTES_EL_RETIRO</v>
          </cell>
          <cell r="G9" t="str">
            <v>LICEO DE CERVANTES EL RETIRO</v>
          </cell>
          <cell r="H9" t="str">
            <v>Autoevaluación Institucional y Pruebas SABER 11</v>
          </cell>
          <cell r="I9" t="str">
            <v>SEGUIMIENTO_Y_SUPERVISIÓN.</v>
          </cell>
          <cell r="J9" t="str">
            <v>Realizar visitas para verificar la información registrada sobre la autoevaluación institucional en el aplicativo EVI, a los establecimientos de educación formal no oficial.</v>
          </cell>
          <cell r="K9" t="str">
            <v>SANTIAGO ÁVILA LEURO</v>
          </cell>
          <cell r="L9" t="str">
            <v>JUAN MANUEL AGUIRRE BOHÓRQUEZ</v>
          </cell>
          <cell r="M9">
            <v>45685</v>
          </cell>
          <cell r="N9">
            <v>45685</v>
          </cell>
          <cell r="O9">
            <v>45685</v>
          </cell>
          <cell r="P9" t="str">
            <v>Visitas de evaluación con fines de mejoramiento</v>
          </cell>
          <cell r="Q9" t="str">
            <v>LICEO CERVANTES EL RETIRO</v>
          </cell>
          <cell r="R9" t="str">
            <v>La institución presenta avances significativos en la implementación de procesos de evaluación y seguimiento institucional, incluyendo evaluaciones diagnósticas, exámenes internacionales y uso de plataformas interactivas. Estos procesos evidencian la existencia de mecanismos de autoevaluación interna coherentes con los reportes registrados en el aplicativo EVI.</v>
          </cell>
          <cell r="S9" t="str">
            <v>Continuar fortaleciendo sus procesos de autoevaluación institucional, alineados con los criterios del aplicativo EVI, asegurando la integración de todos los actores y el uso efectivo de los resultados para la toma de decisiones y mejoramiento continuo.</v>
          </cell>
          <cell r="T9" t="str">
            <v>No</v>
          </cell>
          <cell r="U9" t="str">
            <v>Se realizará seguimiento mediante revisión del aplicativo EVI y confrontación con los documentos y resultados institucionales presentados en futuras visitas, verificando la consistencia entre lo reportado y lo implementado.</v>
          </cell>
        </row>
        <row r="10">
          <cell r="A10">
            <v>403</v>
          </cell>
          <cell r="B10"/>
          <cell r="C10" t="str">
            <v>CHAPINERO</v>
          </cell>
          <cell r="D10" t="str">
            <v>PRIVADO</v>
          </cell>
          <cell r="E10" t="str">
            <v>EPBM</v>
          </cell>
          <cell r="F10" t="str">
            <v>LICEO_DE_CERVANTES_EL_RETIRO</v>
          </cell>
          <cell r="G10" t="str">
            <v>LICEO DE CERVANTES EL RETIRO</v>
          </cell>
          <cell r="H10" t="str">
            <v>Autoevaluación Institucional y Pruebas SABER 11</v>
          </cell>
          <cell r="I10" t="str">
            <v>SEGUIMIENTO_Y_SUPERVISIÓN.</v>
          </cell>
          <cell r="J10" t="str">
            <v>Proponer estrategias en la formulación, verificar su elaboración y realizar seguimiento semestral al desarrollo de  las acciones establecidas en los planes de mejoramiento por pruebas SABER 11 de los establecimientos de educación formal.</v>
          </cell>
          <cell r="K10" t="str">
            <v>SANTIAGO ÁVILA LEURO</v>
          </cell>
          <cell r="L10" t="str">
            <v>JUAN MANUEL AGUIRRE BOHÓRQUEZ</v>
          </cell>
          <cell r="M10">
            <v>45685</v>
          </cell>
          <cell r="N10">
            <v>45685</v>
          </cell>
          <cell r="O10">
            <v>45685</v>
          </cell>
          <cell r="P10" t="str">
            <v>Visitas de evaluación con fines de seguimiento</v>
          </cell>
          <cell r="Q10" t="str">
            <v>LICEO CERVANTES EL RETIRO</v>
          </cell>
          <cell r="R10" t="str">
            <v>El Liceo Cervantes El Retiro ha implementado acciones de evaluación y seguimiento al desempeño académico, incluyendo el análisis de resultados históricos de las Pruebas SABER 11, exámenes de suficiencia y diagnósticos institucionales. Estas acciones respaldan la formulación y ejecución de planes de mejoramiento</v>
          </cell>
          <cell r="S10" t="str">
            <v>La institución continuará fortaleciendo los planes de mejoramiento derivados de las Pruebas SABER 11, asegurando su revisión semestral y la integración de acciones específicas por áreas con bajo desempeño, así como la participación del Consejo Académico en su seguimiento.</v>
          </cell>
          <cell r="T10" t="str">
            <v>No</v>
          </cell>
          <cell r="U10" t="str">
            <v>Se realizará verificación semestral de las actas de análisis de resultados, los planes de mejora y sus avances, así como la articulación de estos con los informes pedagógicos y decisiones académicas.</v>
          </cell>
        </row>
        <row r="11">
          <cell r="A11">
            <v>404</v>
          </cell>
          <cell r="B11"/>
          <cell r="C11" t="str">
            <v>CHAPINERO</v>
          </cell>
          <cell r="D11" t="str">
            <v>PRIVADO</v>
          </cell>
          <cell r="E11" t="str">
            <v>EPBM</v>
          </cell>
          <cell r="F11" t="str">
            <v>LICEO_DE_CERVANTES_EL_RETIRO</v>
          </cell>
          <cell r="G11" t="str">
            <v>LICEO DE CERVANTES EL RETIRO</v>
          </cell>
          <cell r="H11" t="str">
            <v>Autoevaluación Institucional y Pruebas SABER 11</v>
          </cell>
          <cell r="I11" t="str">
            <v>EVALUACIÓN_CON_FINES_DE_MEJORAMIENTO.</v>
          </cell>
          <cell r="J11" t="str">
            <v>Revisar la actualización, socialización e implementación del Sistema Institucional de Evaluación de Estudiantes - SIEE, en articulación con la actualización del PEI y la normatividad vigente.</v>
          </cell>
          <cell r="K11" t="str">
            <v>SANTIAGO ÁVILA LEURO</v>
          </cell>
          <cell r="L11" t="str">
            <v>JUAN MANUEL AGUIRRE BOHÓRQUEZ</v>
          </cell>
          <cell r="M11">
            <v>45685</v>
          </cell>
          <cell r="N11">
            <v>45685</v>
          </cell>
          <cell r="O11">
            <v>45685</v>
          </cell>
          <cell r="P11" t="str">
            <v>Visitas de evaluación con fines de mejoramiento</v>
          </cell>
          <cell r="Q11" t="str">
            <v>LICEO CERVANTES EL RETIRO</v>
          </cell>
          <cell r="R11" t="str">
            <v>El Liceo Cervantes El Retiro cuenta con un SIEE formulado, socializado e implementado, alineado con el PEI y con el modelo pedagógico institucional. Se aplican evaluaciones diagnósticas, seguimiento académico y procesos de nivelación, con participación de los diferentes estamentos educativos.</v>
          </cell>
          <cell r="S11" t="str">
            <v>La institución continuará fortaleciendo la implementación del SIEE, garantizando su evaluación periódica, la participación de la comunidad educativa y la articulación permanente con los procesos de mejoramiento institucional.</v>
          </cell>
          <cell r="T11" t="str">
            <v>No</v>
          </cell>
          <cell r="U11" t="str">
            <v>Revisión periódica de los informes de evaluación, actas del Consejo Académico y evidencias de ajustes al SIEE con base en el análisis de resultados institucionales.</v>
          </cell>
        </row>
        <row r="12">
          <cell r="A12">
            <v>405</v>
          </cell>
          <cell r="B12"/>
          <cell r="C12" t="str">
            <v>CHAPINERO</v>
          </cell>
          <cell r="D12" t="str">
            <v>PRIVADO</v>
          </cell>
          <cell r="E12" t="str">
            <v>EPBM</v>
          </cell>
          <cell r="F12" t="str">
            <v>LICEO_DE_CERVANTES_EL_RETIRO</v>
          </cell>
          <cell r="G12" t="str">
            <v>LICEO DE CERVANTES EL RETIRO</v>
          </cell>
          <cell r="H12" t="str">
            <v>Autoevaluación Institucional y Pruebas SABER 11</v>
          </cell>
          <cell r="I12" t="str">
            <v>EVALUACIÓN_CON_FINES_DE_MEJORAMIENTO.</v>
          </cell>
          <cell r="J12" t="str">
            <v>Verificar las condiciones en cuanto a: la estructura administrativa, condiciones de la planta física y medios educativos adecuados.</v>
          </cell>
          <cell r="K12" t="str">
            <v>SANTIAGO ÁVILA LEURO</v>
          </cell>
          <cell r="L12" t="str">
            <v>JUAN MANUEL AGUIRRE BOHÓRQUEZ</v>
          </cell>
          <cell r="M12">
            <v>45685</v>
          </cell>
          <cell r="N12">
            <v>45685</v>
          </cell>
          <cell r="O12">
            <v>45685</v>
          </cell>
          <cell r="P12" t="str">
            <v>Visitas de evaluación con fines de mejoramiento</v>
          </cell>
          <cell r="Q12" t="str">
            <v>LICEO CERVANTES EL RETIRO</v>
          </cell>
          <cell r="R12" t="str">
            <v>El Liceo Cervantes El Retiro cuenta con una estructura administrativa consolidada, planta física en óptimo estado y medios educativos adecuados para el desarrollo del modelo pedagógico bilingüe</v>
          </cell>
          <cell r="S12" t="str">
            <v xml:space="preserve">La institución continuará garantizando el mantenimiento de las condiciones actuales, promoviendo la mejora continua en sus recursos físicos, administrativos y pedagógicos.
</v>
          </cell>
          <cell r="T12" t="str">
            <v>No</v>
          </cell>
          <cell r="U12" t="str">
            <v>Seguimiento mediante visitas institucionales y revisión periódica de mejoras en infraestructura y dotación educativa.</v>
          </cell>
        </row>
        <row r="13">
          <cell r="A13">
            <v>406</v>
          </cell>
          <cell r="B13">
            <v>2</v>
          </cell>
          <cell r="C13" t="str">
            <v>CHAPINERO</v>
          </cell>
          <cell r="D13" t="str">
            <v>PRIVADO</v>
          </cell>
          <cell r="E13" t="str">
            <v>Educación de Jóvenes y Adultos</v>
          </cell>
          <cell r="F13" t="str">
            <v>POLITECNICO_UNIVERSAL_DE_CAPACITACION_UNICAP</v>
          </cell>
          <cell r="G13" t="str">
            <v>POLITECNICO UNIVERSAL DE CAPACITACION UNICAP</v>
          </cell>
          <cell r="H13" t="str">
            <v>Autoevaluación Institucional y Pruebas SABER 11</v>
          </cell>
          <cell r="I13" t="str">
            <v>SEGUIMIENTO_Y_SUPERVISIÓN.</v>
          </cell>
          <cell r="J13" t="str">
            <v>Realizar visitas para verificar la información registrada sobre la autoevaluación institucional en el aplicativo EVI, a los establecimientos de educación formal no oficial.</v>
          </cell>
          <cell r="K13" t="str">
            <v>SANTIAGO ÁVILA LEURO</v>
          </cell>
          <cell r="L13" t="str">
            <v>JUAN MANUEL AGUIRRE BOHÓRQUEZ</v>
          </cell>
          <cell r="M13">
            <v>45743</v>
          </cell>
          <cell r="N13">
            <v>45772</v>
          </cell>
          <cell r="O13">
            <v>45772</v>
          </cell>
          <cell r="P13" t="str">
            <v>Visitas de evaluación con fines de seguimiento</v>
          </cell>
          <cell r="Q13" t="str">
            <v>POLITECNICO UNICAP</v>
          </cell>
          <cell r="R13" t="str">
            <v>Se verificó que se  diligenció el aplicativo EVI en los plazos establecidos,  actualmente se encuentra bajo libertad regulada. Así mismo, reportó oportunamente la información de costos educativos a la Dirección Local de Educación de Chapinero, conforme a la normatividad vigente. Corresponde a la realidad con lo diligenciado en el EVI</v>
          </cell>
          <cell r="S13" t="str">
            <v>La institución continuará actualizando y manteniendo la información en el aplicativo EVI de forma oportuna, así como reportando los costos educativos dentro de los plazos establecidos, conforme a los lineamientos de la Secretaría de Educación del Distrito.</v>
          </cell>
          <cell r="T13" t="str">
            <v>No</v>
          </cell>
          <cell r="U13" t="str">
            <v>Se realizará verificación periódica del cumplimiento en el reporte de información en el aplicativo EVI y en la entrega oportuna de los costos educativos ante la Dirección Local.</v>
          </cell>
        </row>
        <row r="14">
          <cell r="A14">
            <v>407</v>
          </cell>
          <cell r="B14"/>
          <cell r="C14" t="str">
            <v>CHAPINERO</v>
          </cell>
          <cell r="D14" t="str">
            <v>PRIVADO</v>
          </cell>
          <cell r="E14" t="str">
            <v>Educación de Jóvenes y Adultos</v>
          </cell>
          <cell r="F14" t="str">
            <v>POLITECNICO_UNIVERSAL_DE_CAPACITACION_UNICAP</v>
          </cell>
          <cell r="G14" t="str">
            <v>POLITECNICO UNIVERSAL DE CAPACITACION UNICAP</v>
          </cell>
          <cell r="H14" t="str">
            <v>Autoevaluación Institucional y Pruebas SABER 11</v>
          </cell>
          <cell r="I14" t="str">
            <v>SEGUIMIENTO_Y_SUPERVISIÓN.</v>
          </cell>
          <cell r="J14" t="str">
            <v>Proponer estrategias en la formulación, verificar su elaboración y realizar seguimiento semestral al desarrollo de  las acciones establecidas en los planes de mejoramiento por pruebas SABER 11 de los establecimientos de educación formal.</v>
          </cell>
          <cell r="K14" t="str">
            <v>SANTIAGO ÁVILA LEURO</v>
          </cell>
          <cell r="L14" t="str">
            <v>JUAN MANUEL AGUIRRE BOHÓRQUEZ</v>
          </cell>
          <cell r="M14">
            <v>45743</v>
          </cell>
          <cell r="N14">
            <v>45772</v>
          </cell>
          <cell r="O14">
            <v>45772</v>
          </cell>
          <cell r="P14" t="str">
            <v>Visitas de evaluación con fines de seguimiento</v>
          </cell>
          <cell r="Q14" t="str">
            <v>POLITECNICO UNICAP</v>
          </cell>
          <cell r="R14" t="str">
            <v>La institución reporta haber formulado acciones orientadas a mejorar los resultados en las pruebas SABER 11; sin embargo, no se cuenta con evidencia documental clara y verificable de un Plan de Mejoramiento específico derivado del análisis de dichos resultados. Tampoco se encontraron soportes que demuestren el seguimiento semestral a las acciones implementadas.</v>
          </cell>
          <cell r="S14" t="str">
            <v>La institución se compromete a formular un Plan de Mejoramiento específico con base en los resultados de las pruebas SABER 11, incluyendo acciones pedagógicas concretas, cronograma, responsables e indicadores de seguimiento. Así mismo, realizará seguimiento semestral y conservará evidencia documental que permita verificar su ejecución.</v>
          </cell>
          <cell r="T14" t="str">
            <v>Si</v>
          </cell>
          <cell r="U14" t="str">
            <v>Se verificará la formulación, aprobación y ejecución del plan de mejoramiento por resultados SABER 11, así como los informes de seguimiento semestral y las evidencias de las acciones desarrolladas por la institución, para el 24 de mayo de 2025</v>
          </cell>
        </row>
        <row r="15">
          <cell r="A15">
            <v>408</v>
          </cell>
          <cell r="B15"/>
          <cell r="C15" t="str">
            <v>CHAPINERO</v>
          </cell>
          <cell r="D15" t="str">
            <v>PRIVADO</v>
          </cell>
          <cell r="E15" t="str">
            <v>Educación de Jóvenes y Adultos</v>
          </cell>
          <cell r="F15" t="str">
            <v>POLITECNICO_UNIVERSAL_DE_CAPACITACION_UNICAP</v>
          </cell>
          <cell r="G15" t="str">
            <v>POLITECNICO UNIVERSAL DE CAPACITACION UNICAP</v>
          </cell>
          <cell r="H15" t="str">
            <v>Autoevaluación Institucional y Pruebas SABER 11</v>
          </cell>
          <cell r="I15" t="str">
            <v>SEGUIMIENTO_Y_SUPERVISIÓN.</v>
          </cell>
          <cell r="J15" t="str">
            <v xml:space="preserve">Verificar la implementación por parte de los colegios, de acciones realizadas para la prevención y atención de las situaciones de convivencia en el entorno escolar, según lo establecido en la Directiva 01 de 2022 del MEN. </v>
          </cell>
          <cell r="K15" t="str">
            <v>SANTIAGO ÁVILA LEURO</v>
          </cell>
          <cell r="L15" t="str">
            <v>JUAN MANUEL AGUIRRE BOHÓRQUEZ</v>
          </cell>
          <cell r="M15">
            <v>45743</v>
          </cell>
          <cell r="N15">
            <v>45772</v>
          </cell>
          <cell r="O15">
            <v>45774</v>
          </cell>
          <cell r="P15" t="str">
            <v>Visitas de evaluación con fines de seguimiento</v>
          </cell>
          <cell r="Q15" t="str">
            <v>POLITECNICO UNICAP</v>
          </cell>
          <cell r="R15" t="str">
            <v xml:space="preserve">La institución cuenta con protocolos generales de convivencia y menciona la existencia de comités; sin embargo, no se evidencian acciones específicas implementadas en el marco de la Directiva 01 de 2022 del MEN. No se encontró documentación que demuestre el desarrollo de estrategias claras de prevención, atención y seguimiento de situaciones de convivencia escolar conforme a esta normativa.
</v>
          </cell>
          <cell r="S15" t="str">
            <v xml:space="preserve">La institución se compromete a revisar e incorporar en su gestión institucional las acciones orientadas por la Directiva 01 de 2022, incluyendo la actualización de protocolos, la ejecución de estrategias de prevención y la documentación del seguimiento a situaciones de convivencia escolar. Así mismo, fortalecerá el funcionamiento del Comité Escolar de Convivencia.
</v>
          </cell>
          <cell r="T15" t="str">
            <v>Si</v>
          </cell>
          <cell r="U15" t="str">
            <v xml:space="preserve">Se realizará seguimiento a la implementación de estrategias de convivencia escolar alineadas con la Directiva 01 de 2022, así como a la documentación de casos atendidos, funcionamiento del comité de convivencia y la actualización de protocolos internos, para el 24 de mayo de 2025
</v>
          </cell>
        </row>
        <row r="16">
          <cell r="A16">
            <v>409</v>
          </cell>
          <cell r="B16"/>
          <cell r="C16" t="str">
            <v>CHAPINERO</v>
          </cell>
          <cell r="D16" t="str">
            <v>PRIVADO</v>
          </cell>
          <cell r="E16" t="str">
            <v>Educación de Jóvenes y Adultos</v>
          </cell>
          <cell r="F16" t="str">
            <v>POLITECNICO_UNIVERSAL_DE_CAPACITACION_UNICAP</v>
          </cell>
          <cell r="G16" t="str">
            <v>POLITECNICO UNIVERSAL DE CAPACITACION UNICAP</v>
          </cell>
          <cell r="H16" t="str">
            <v>Autoevaluación Institucional y Pruebas SABER 11</v>
          </cell>
          <cell r="I16" t="str">
            <v>SEGUIMIENTO_Y_SUPERVISIÓN.</v>
          </cell>
          <cell r="J1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 t="str">
            <v>SANTIAGO ÁVILA LEURO</v>
          </cell>
          <cell r="L16" t="str">
            <v>JUAN MANUEL AGUIRRE BOHÓRQUEZ</v>
          </cell>
          <cell r="M16">
            <v>45743</v>
          </cell>
          <cell r="N16">
            <v>45772</v>
          </cell>
          <cell r="O16">
            <v>45775</v>
          </cell>
          <cell r="P16" t="str">
            <v>Visitas de evaluación con fines de seguimiento</v>
          </cell>
          <cell r="Q16" t="str">
            <v>POLITECNICO UNICAP</v>
          </cell>
          <cell r="R16" t="str">
            <v>La institución no ha elaborado ni desarrollado Planes Individuales de Ajustes Razonables – PIAR, debido a que actualmente no cuenta con estudiantes caracterizados con discapacidad, trastornos del aprendizaje ni talentos excepcionales. Esta situación ha sido reportada por la institución, por lo cual no se han implementado acciones específicas en este aspecto.</v>
          </cell>
          <cell r="S16" t="str">
            <v>La institución se compromete a realizar procesos de identificación temprana y caracterización en caso de ingresar estudiantes con discapacidad o talentos excepcionales, y a formular los respectivos PIAR de acuerdo con el Decreto 1421 de 2017, garantizando su articulación con el PEI y el manual de convivencia.</v>
          </cell>
          <cell r="T16" t="str">
            <v>No</v>
          </cell>
          <cell r="U16" t="str">
            <v>Se verificará periódicamente si se presentan ingresos de estudiantes con discapacidad o talentos excepcionales, y en tal caso, el cumplimiento de la caracterización, formulación y ejecución de los PIAR, conforme a la normativa vigente.</v>
          </cell>
        </row>
        <row r="17">
          <cell r="A17">
            <v>410</v>
          </cell>
          <cell r="B17"/>
          <cell r="C17" t="str">
            <v>CHAPINERO</v>
          </cell>
          <cell r="D17" t="str">
            <v>PRIVADO</v>
          </cell>
          <cell r="E17" t="str">
            <v>Educación de Jóvenes y Adultos</v>
          </cell>
          <cell r="F17" t="str">
            <v>POLITECNICO_UNIVERSAL_DE_CAPACITACION_UNICAP</v>
          </cell>
          <cell r="G17" t="str">
            <v>POLITECNICO UNIVERSAL DE CAPACITACION UNICAP</v>
          </cell>
          <cell r="H17" t="str">
            <v>Autoevaluación Institucional y Pruebas SABER 11</v>
          </cell>
          <cell r="I17" t="str">
            <v>EVALUACIÓN_CON_FINES_DE_MEJORAMIENTO.</v>
          </cell>
          <cell r="J17" t="str">
            <v>Revisar el calendario escolar, jornada escolar, la intensidad horaria mínima anual en cada nivel y las modificaciones que se realicen al mismo, de acuerdo con lo previsto en la normatividad vigente.</v>
          </cell>
          <cell r="K17" t="str">
            <v>SANTIAGO ÁVILA LEURO</v>
          </cell>
          <cell r="L17" t="str">
            <v>JUAN MANUEL AGUIRRE BOHÓRQUEZ</v>
          </cell>
          <cell r="M17">
            <v>45743</v>
          </cell>
          <cell r="N17">
            <v>45772</v>
          </cell>
          <cell r="O17">
            <v>45776</v>
          </cell>
          <cell r="P17" t="str">
            <v>Visitas de evaluación con fines de mejoramiento</v>
          </cell>
          <cell r="Q17" t="str">
            <v>POLITECNICO UNICAP</v>
          </cell>
          <cell r="R17" t="str">
            <v>La institución cuenta con un calendario escolar aprobado, una jornada académica definida y evidencia documental que demuestra el cumplimiento de la intensidad horaria mínima anual exigida para cada uno de los niveles educativos autorizados, conforme a la normatividad vigente. No se reportan modificaciones recientes al calendario escolar.</v>
          </cell>
          <cell r="S17" t="str">
            <v xml:space="preserve">La institución continuará garantizando el cumplimiento de la intensidad horaria mínima y el desarrollo de la jornada escolar, y se compromete a registrar y reportar de manera oportuna cualquier modificación al calendario escolar, conforme a las disposiciones establecidas por la Secretaría de Educación del Distrito.
</v>
          </cell>
          <cell r="T17" t="str">
            <v>No</v>
          </cell>
          <cell r="U17" t="str">
            <v>Se continuará realizando seguimiento regular a la ejecución del calendario escolar y al cumplimiento de la intensidad horaria mínima en cada nivel, conforme a lo estipulado por la normativa educativa.</v>
          </cell>
        </row>
        <row r="18">
          <cell r="A18">
            <v>411</v>
          </cell>
          <cell r="B18"/>
          <cell r="C18" t="str">
            <v>CHAPINERO</v>
          </cell>
          <cell r="D18" t="str">
            <v>PRIVADO</v>
          </cell>
          <cell r="E18" t="str">
            <v>Educación de Jóvenes y Adultos</v>
          </cell>
          <cell r="F18" t="str">
            <v>POLITECNICO_UNIVERSAL_DE_CAPACITACION_UNICAP</v>
          </cell>
          <cell r="G18" t="str">
            <v>POLITECNICO UNIVERSAL DE CAPACITACION UNICAP</v>
          </cell>
          <cell r="H18" t="str">
            <v>Autoevaluación Institucional y Pruebas SABER 11</v>
          </cell>
          <cell r="I18" t="str">
            <v>EVALUACIÓN_CON_FINES_DE_MEJORAMIENTO.</v>
          </cell>
          <cell r="J1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 t="str">
            <v>SANTIAGO ÁVILA LEURO</v>
          </cell>
          <cell r="L18" t="str">
            <v>JUAN MANUEL AGUIRRE BOHÓRQUEZ</v>
          </cell>
          <cell r="M18">
            <v>45743</v>
          </cell>
          <cell r="N18">
            <v>45772</v>
          </cell>
          <cell r="O18">
            <v>45772</v>
          </cell>
          <cell r="P18" t="str">
            <v>Visitas de evaluación con fines de mejoramiento</v>
          </cell>
          <cell r="Q18" t="str">
            <v>POLITECNICO UNICAP MANUAL</v>
          </cell>
          <cell r="R18" t="str">
            <v>El Manual de Convivencia 2024 del Politécnico UNICAP está vigente, pero presenta vacíos normativos: no incluye los enfoques de diversidad y restaurativo, carece de PIAR y ruta de atención integral conforme a la Ley 1620, y tiene disposiciones sobre presentación personal que pueden vulnerar el derecho al libre desarrollo de la personalidad (Sentencia T-478/15). No se evidencia un proceso participativo de socialización.</v>
          </cell>
          <cell r="S18" t="str">
            <v>La institución se compromete a actualizar el manual incluyendo los enfoques normativos requeridos, ajustar el reglamento de presentación personal, y formalizar procesos de participación y socialización, alineados con el PEI y la normativa vigente.</v>
          </cell>
          <cell r="T18" t="str">
            <v>Si</v>
          </cell>
          <cell r="U18" t="str">
            <v>Se realizará verificación documental posterior a la actualización: revisión del nuevo manual, actas de participación, y validación del cumplimiento normativo (Ley 1620, Decreto 1421, Sentencia T-478/15). Para el 23 de mayo de 2025</v>
          </cell>
        </row>
        <row r="19">
          <cell r="A19">
            <v>412</v>
          </cell>
          <cell r="B19"/>
          <cell r="C19" t="str">
            <v>CHAPINERO</v>
          </cell>
          <cell r="D19" t="str">
            <v>PRIVADO</v>
          </cell>
          <cell r="E19" t="str">
            <v>Educación de Jóvenes y Adultos</v>
          </cell>
          <cell r="F19" t="str">
            <v>POLITECNICO_UNIVERSAL_DE_CAPACITACION_UNICAP</v>
          </cell>
          <cell r="G19" t="str">
            <v>POLITECNICO UNIVERSAL DE CAPACITACION UNICAP</v>
          </cell>
          <cell r="H19" t="str">
            <v>Autoevaluación Institucional y Pruebas SABER 11</v>
          </cell>
          <cell r="I19" t="str">
            <v>EVALUACIÓN_CON_FINES_DE_MEJORAMIENTO.</v>
          </cell>
          <cell r="J19" t="str">
            <v>Revisar la actualización, socialización e implementación del Sistema Institucional de Evaluación de Estudiantes - SIEE, en articulación con la actualización del PEI y la normatividad vigente.</v>
          </cell>
          <cell r="K19" t="str">
            <v>SANTIAGO ÁVILA LEURO</v>
          </cell>
          <cell r="L19" t="str">
            <v>JUAN MANUEL AGUIRRE BOHÓRQUEZ</v>
          </cell>
          <cell r="M19">
            <v>45743</v>
          </cell>
          <cell r="N19">
            <v>45772</v>
          </cell>
          <cell r="O19">
            <v>45772</v>
          </cell>
          <cell r="P19" t="str">
            <v>Visitas de evaluación con fines de mejoramiento</v>
          </cell>
          <cell r="Q19" t="str">
            <v>POLITECNICO UNICAP</v>
          </cell>
          <cell r="R19" t="str">
            <v>El SIEE está implementado y articulado con el modelo pedagógico institucional. Sin embargo, no se ha conformado una Comisión de Evaluación y Promoción independiente del Consejo Académico, como lo exige la normativa vigente.</v>
          </cell>
          <cell r="S19" t="str">
            <v>La institución se compromete a conformar formalmente la Comisión de Evaluación y Promoción, diferenciándola del Consejo Académico, con el fin de cumplir con la normatividad vigente y fortalecer el seguimiento a los procesos de evaluación y promoción. Se revisará el SIEE para ajustarlo y consolidar su implementación con criterios técnicos, participativos y diferenciales.</v>
          </cell>
          <cell r="T19" t="str">
            <v>Si</v>
          </cell>
          <cell r="U19" t="str">
            <v>Se verificará la conformación formal de la Comisión de Evaluación y Promoción mediante actas firmadas y la actualización del SIEE, en una visita posterior o mediante reporte documental a más tardar el 23 de mayo de 2025, fecha establecida para la entrega de documentación actualizada.</v>
          </cell>
        </row>
        <row r="20">
          <cell r="A20">
            <v>413</v>
          </cell>
          <cell r="B20"/>
          <cell r="C20" t="str">
            <v>CHAPINERO</v>
          </cell>
          <cell r="D20" t="str">
            <v>PRIVADO</v>
          </cell>
          <cell r="E20" t="str">
            <v>Educación de Jóvenes y Adultos</v>
          </cell>
          <cell r="F20" t="str">
            <v>POLITECNICO_UNIVERSAL_DE_CAPACITACION_UNICAP</v>
          </cell>
          <cell r="G20" t="str">
            <v>POLITECNICO UNIVERSAL DE CAPACITACION UNICAP</v>
          </cell>
          <cell r="H20" t="str">
            <v>Autoevaluación Institucional y Pruebas SABER 11</v>
          </cell>
          <cell r="I20" t="str">
            <v>EVALUACIÓN_CON_FINES_DE_MEJORAMIENTO.</v>
          </cell>
          <cell r="J20" t="str">
            <v>Verificar el funcionamiento del Gobierno Escolar e instancias de participación con base en la información sobre conformación reportada por la institución educativa.</v>
          </cell>
          <cell r="K20" t="str">
            <v>SANTIAGO ÁVILA LEURO</v>
          </cell>
          <cell r="L20" t="str">
            <v>JUAN MANUEL AGUIRRE BOHÓRQUEZ</v>
          </cell>
          <cell r="M20">
            <v>45743</v>
          </cell>
          <cell r="N20">
            <v>45772</v>
          </cell>
          <cell r="O20">
            <v>45772</v>
          </cell>
          <cell r="P20" t="str">
            <v>Visitas de evaluación con fines de mejoramiento</v>
          </cell>
          <cell r="Q20" t="str">
            <v>POLITECNICO UNICAP</v>
          </cell>
          <cell r="R20" t="str">
            <v>Los órganos del Gobierno Escolar  han sido debidamente conformados para  2024 y 2025, incluyendo el Comité de Convivencia Escolar, con sus respectivas actas de elección y funcionamiento.</v>
          </cell>
          <cell r="S20" t="str">
            <v>La institución continuará garantizando el funcionamiento activo del Gobierno Escolar, promoviendo la participación de todos los estamentos en los espacios colegiados.</v>
          </cell>
          <cell r="T20" t="str">
            <v>No</v>
          </cell>
          <cell r="U20" t="str">
            <v>Se realizará seguimiento a través de la revisión periódica de actas y evidencias del ejercicio de funciones por parte de los órganos del Gobierno Escolar.</v>
          </cell>
        </row>
        <row r="21">
          <cell r="A21">
            <v>414</v>
          </cell>
          <cell r="B21"/>
          <cell r="C21" t="str">
            <v>CHAPINERO</v>
          </cell>
          <cell r="D21" t="str">
            <v>PRIVADO</v>
          </cell>
          <cell r="E21" t="str">
            <v>Educación de Jóvenes y Adultos</v>
          </cell>
          <cell r="F21" t="str">
            <v>POLITECNICO_UNIVERSAL_DE_CAPACITACION_UNICAP</v>
          </cell>
          <cell r="G21" t="str">
            <v>POLITECNICO UNIVERSAL DE CAPACITACION UNICAP</v>
          </cell>
          <cell r="H21" t="str">
            <v>Autoevaluación Institucional y Pruebas SABER 11</v>
          </cell>
          <cell r="I21" t="str">
            <v>EVALUACIÓN_CON_FINES_DE_MEJORAMIENTO.</v>
          </cell>
          <cell r="J21" t="str">
            <v>Verificar las condiciones en cuanto a: la estructura administrativa, condiciones de la planta física y medios educativos adecuados.</v>
          </cell>
          <cell r="K21" t="str">
            <v>SANTIAGO ÁVILA LEURO</v>
          </cell>
          <cell r="L21" t="str">
            <v>JUAN MANUEL AGUIRRE BOHÓRQUEZ</v>
          </cell>
          <cell r="M21">
            <v>45743</v>
          </cell>
          <cell r="N21">
            <v>45772</v>
          </cell>
          <cell r="O21">
            <v>45772</v>
          </cell>
          <cell r="P21" t="str">
            <v>Visitas de evaluación con fines de mejoramiento</v>
          </cell>
          <cell r="Q21" t="str">
            <v>POLITECNICO UNICAP</v>
          </cell>
          <cell r="R21" t="str">
            <v>La institución cuenta con una estructura administrativa organizada, planta física en buenas condiciones y medios educativos adecuados para el desarrollo de sus actividades académicas.</v>
          </cell>
          <cell r="S21" t="str">
            <v>Mantener las condiciones actuales, garantizando la operación continua y segura de los servicios educativos.</v>
          </cell>
          <cell r="T21" t="str">
            <v>No</v>
          </cell>
          <cell r="U21" t="str">
            <v>Seguimiento mediante visitas periódicas o reporte institucional que evidencie el sostenimiento de las condiciones observadas.</v>
          </cell>
        </row>
        <row r="22">
          <cell r="A22">
            <v>415</v>
          </cell>
          <cell r="B22">
            <v>3</v>
          </cell>
          <cell r="C22" t="str">
            <v>CHAPINERO</v>
          </cell>
          <cell r="D22" t="str">
            <v>PRIVADO</v>
          </cell>
          <cell r="E22" t="str">
            <v>Educación de Jóvenes y Adultos</v>
          </cell>
          <cell r="F22" t="str">
            <v>COLEGIO_UNILATINA</v>
          </cell>
          <cell r="G22" t="str">
            <v>COLEGIO UNILATINA</v>
          </cell>
          <cell r="H22" t="str">
            <v>Autoevaluación Institucional y Pruebas SABER 11</v>
          </cell>
          <cell r="I22" t="str">
            <v>SEGUIMIENTO_Y_SUPERVISIÓN.</v>
          </cell>
          <cell r="J22" t="str">
            <v>Realizar visitas para verificar la información registrada sobre la autoevaluación institucional en el aplicativo EVI, a los establecimientos de educación formal no oficial.</v>
          </cell>
          <cell r="K22" t="str">
            <v>CONNIE QUIÑONES CÁRDENAS</v>
          </cell>
          <cell r="L22" t="str">
            <v>JUAN MANUEL AGUIRRE BOHÓRQUEZ</v>
          </cell>
          <cell r="M22">
            <v>45734</v>
          </cell>
          <cell r="N22">
            <v>45786</v>
          </cell>
          <cell r="O22">
            <v>45786</v>
          </cell>
          <cell r="P22" t="str">
            <v>Visitas de evaluación con fines de mejoramiento</v>
          </cell>
          <cell r="Q22" t="str">
            <v>acta visita Colegio Unilatina.pdf</v>
          </cell>
          <cell r="R22" t="str">
            <v>La institución diligenció el aplicativo EVI en los plazos establecidos y actualmente se encuentra  para la jornada diurna en Regulada y las jornadas nocturna y fin de semana en vigilado. Así mismo, reportó oportunamente la información de costos educativos a la Dirección Local de Educación de Chapinero, conforme a la normatividad vigente.</v>
          </cell>
          <cell r="S22" t="str">
            <v>Continuar con el cumplimiento del reporte en el aplicativo EVI previa evaluación institucional y socialización con la comunidad educativa para la presentación y  aprobación de la tarifa</v>
          </cell>
          <cell r="T22" t="str">
            <v>si</v>
          </cell>
          <cell r="U22" t="str">
            <v>Verifica el cumplimiento de los requisitos dentro de los plazos establecidos para llevar a cabo la autorización de las tarifas 2026</v>
          </cell>
        </row>
        <row r="23">
          <cell r="A23">
            <v>416</v>
          </cell>
          <cell r="B23"/>
          <cell r="C23" t="str">
            <v>CHAPINERO</v>
          </cell>
          <cell r="D23" t="str">
            <v>PRIVADO</v>
          </cell>
          <cell r="E23" t="str">
            <v>Educación de Jóvenes y Adultos</v>
          </cell>
          <cell r="F23" t="str">
            <v>COLEGIO_UNILATINA</v>
          </cell>
          <cell r="G23" t="str">
            <v>COLEGIO UNILATINA</v>
          </cell>
          <cell r="H23" t="str">
            <v>Autoevaluación Institucional y Pruebas SABER 11</v>
          </cell>
          <cell r="I23" t="str">
            <v>SEGUIMIENTO_Y_SUPERVISIÓN.</v>
          </cell>
          <cell r="J23" t="str">
            <v>Proponer estrategias en la formulación, verificar su elaboración y realizar seguimiento semestral al desarrollo de  las acciones establecidas en los planes de mejoramiento por pruebas SABER 11 de los establecimientos de educación formal.</v>
          </cell>
          <cell r="K23" t="str">
            <v>CONNIE QUIÑONES CÁRDENAS</v>
          </cell>
          <cell r="L23" t="str">
            <v>JUAN MANUEL AGUIRRE BOHÓRQUEZ</v>
          </cell>
          <cell r="M23">
            <v>45734</v>
          </cell>
          <cell r="N23">
            <v>45786</v>
          </cell>
          <cell r="O23">
            <v>45786</v>
          </cell>
          <cell r="P23" t="str">
            <v>Visitas de evaluación con fines de mejoramiento</v>
          </cell>
          <cell r="Q23" t="str">
            <v>acta visita Colegio Unilatina.pdf</v>
          </cell>
          <cell r="R23" t="str">
            <v>Con los resultados obtenido en el ICFES 2024, la institución intensificó específicamente en áreas como geometría lectura de imágenes y lectura crítica para para que los estudiantes puedan entender las preguntas.  Se clasifica en nivel B tiene en su mayoría resultados por encima de 250</v>
          </cell>
          <cell r="S23" t="str">
            <v>Continuar con esas estrategias y actividades semanales  y sensibilización sobre los beneficios para los estudiantes que obtienen buenos resultados en las pruebas ICFES</v>
          </cell>
          <cell r="T23" t="str">
            <v>No</v>
          </cell>
          <cell r="U23" t="str">
            <v>Sensibilización sobre los beneficios para los estudiantes que obtienen buenos resultados en las pruebas ICFES</v>
          </cell>
        </row>
        <row r="24">
          <cell r="A24">
            <v>417</v>
          </cell>
          <cell r="B24"/>
          <cell r="C24" t="str">
            <v>CHAPINERO</v>
          </cell>
          <cell r="D24" t="str">
            <v>PRIVADO</v>
          </cell>
          <cell r="E24" t="str">
            <v>Educación de Jóvenes y Adultos</v>
          </cell>
          <cell r="F24" t="str">
            <v>COLEGIO_UNILATINA</v>
          </cell>
          <cell r="G24" t="str">
            <v>COLEGIO UNILATINA</v>
          </cell>
          <cell r="H24" t="str">
            <v>Autoevaluación Institucional y Pruebas SABER 11</v>
          </cell>
          <cell r="I24" t="str">
            <v>SEGUIMIENTO_Y_SUPERVISIÓN.</v>
          </cell>
          <cell r="J24" t="str">
            <v xml:space="preserve">Verificar la implementación por parte de los colegios, de acciones realizadas para la prevención y atención de las situaciones de convivencia en el entorno escolar, según lo establecido en la Directiva 01 de 2022 del MEN. </v>
          </cell>
          <cell r="K24" t="str">
            <v>CONNIE QUIÑONES CÁRDENAS</v>
          </cell>
          <cell r="L24" t="str">
            <v>JUAN MANUEL AGUIRRE BOHÓRQUEZ</v>
          </cell>
          <cell r="M24">
            <v>45734</v>
          </cell>
          <cell r="N24">
            <v>45786</v>
          </cell>
          <cell r="O24">
            <v>45786</v>
          </cell>
          <cell r="P24" t="str">
            <v>Visitas de evaluación con fines de mejoramiento</v>
          </cell>
          <cell r="Q24" t="str">
            <v>acta visita Colegio Unilatina.pdf</v>
          </cell>
          <cell r="R24" t="str">
            <v>No contempla en el manual al acciones de prevención, promoción ni atención de conformidad con los protocolos versión 5.0</v>
          </cell>
          <cell r="S24" t="str">
            <v>Ajustar el manual de convivencia para dar cumplimiento a los protocolos de atención y a la directiva 01 de 2022</v>
          </cell>
          <cell r="T24" t="str">
            <v>si</v>
          </cell>
          <cell r="U24" t="str">
            <v>Se presentó al  COLEGIO UNILATINA, los resultados de la evaluación del manual por tanto se esperan los ajustes para la verificación del cumplimiento de lo establecido en la ley y en la directiva de acuerdo al plan de mejoramiento propuesto</v>
          </cell>
        </row>
        <row r="25">
          <cell r="A25">
            <v>418</v>
          </cell>
          <cell r="B25"/>
          <cell r="C25" t="str">
            <v>CHAPINERO</v>
          </cell>
          <cell r="D25" t="str">
            <v>PRIVADO</v>
          </cell>
          <cell r="E25" t="str">
            <v>Educación de Jóvenes y Adultos</v>
          </cell>
          <cell r="F25" t="str">
            <v>COLEGIO_UNILATINA</v>
          </cell>
          <cell r="G25" t="str">
            <v>COLEGIO UNILATINA</v>
          </cell>
          <cell r="H25" t="str">
            <v>Autoevaluación Institucional y Pruebas SABER 11</v>
          </cell>
          <cell r="I25" t="str">
            <v>SEGUIMIENTO_Y_SUPERVISIÓN.</v>
          </cell>
          <cell r="J2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5" t="str">
            <v>CONNIE QUIÑONES CÁRDENAS</v>
          </cell>
          <cell r="L25" t="str">
            <v>JUAN MANUEL AGUIRRE BOHÓRQUEZ</v>
          </cell>
          <cell r="M25">
            <v>45734</v>
          </cell>
          <cell r="N25">
            <v>45786</v>
          </cell>
          <cell r="O25">
            <v>45786</v>
          </cell>
          <cell r="P25" t="str">
            <v>Visitas de evaluación con fines de mejoramiento</v>
          </cell>
          <cell r="Q25" t="str">
            <v>acta visita Colegio Unilatina.pdf</v>
          </cell>
          <cell r="R25" t="str">
            <v>Cuenta con PIAR para uno de los estudiantes registrados con diagnóstico, no tiene estudiantes con discapacidad cognitiva ni física</v>
          </cell>
          <cell r="S25" t="str">
            <v>Continuar con las estrategias de verificación, atención, seguimiento, remisión a los entes competentes en los casos que sean necesarios y para el caso reportado, continuar con los ajustes de conformidad con el informe de salud</v>
          </cell>
          <cell r="T25" t="str">
            <v>si</v>
          </cell>
          <cell r="U25" t="str">
            <v xml:space="preserve">Orientar a la institución en los casos que se requiera para brindar el apoyo </v>
          </cell>
        </row>
        <row r="26">
          <cell r="A26">
            <v>419</v>
          </cell>
          <cell r="B26"/>
          <cell r="C26" t="str">
            <v>CHAPINERO</v>
          </cell>
          <cell r="D26" t="str">
            <v>PRIVADO</v>
          </cell>
          <cell r="E26" t="str">
            <v>Educación de Jóvenes y Adultos</v>
          </cell>
          <cell r="F26" t="str">
            <v>COLEGIO_UNILATINA</v>
          </cell>
          <cell r="G26" t="str">
            <v>COLEGIO UNILATINA</v>
          </cell>
          <cell r="H26" t="str">
            <v>Autoevaluación Institucional y Pruebas SABER 11</v>
          </cell>
          <cell r="I26" t="str">
            <v>EVALUACIÓN_CON_FINES_DE_MEJORAMIENTO.</v>
          </cell>
          <cell r="J26" t="str">
            <v>Revisar el calendario escolar, jornada escolar, la intensidad horaria mínima anual en cada nivel y las modificaciones que se realicen al mismo, de acuerdo con lo previsto en la normatividad vigente.</v>
          </cell>
          <cell r="K26" t="str">
            <v>CONNIE QUIÑONES CÁRDENAS</v>
          </cell>
          <cell r="L26" t="str">
            <v>JUAN MANUEL AGUIRRE BOHÓRQUEZ</v>
          </cell>
          <cell r="M26">
            <v>45734</v>
          </cell>
          <cell r="N26">
            <v>45786</v>
          </cell>
          <cell r="O26">
            <v>45786</v>
          </cell>
          <cell r="P26" t="str">
            <v>Visitas de evaluación con fines de mejoramiento</v>
          </cell>
          <cell r="Q26" t="str">
            <v>acta visita Colegio Unilatina.pdf</v>
          </cell>
          <cell r="R26" t="str">
            <v>Cumple con la jornada escolar para diurna y fin de semana. En la jornada nocturna adultos no tiene matriculados estudiantes y manifiesta que hizo un cambio en su publicidad y espera activar la jornada noche para el segundo periodo para los grados 10° y 11° adultos por ciclos</v>
          </cell>
          <cell r="S26" t="str">
            <v>Continuar garantizando el cumplimiento de las horas, áreas y asignaturas. obligatorias de conformidad con lo establecido para procesos de formación de Adultos</v>
          </cell>
          <cell r="T26" t="str">
            <v>si</v>
          </cell>
          <cell r="U26" t="str">
            <v>Continuar con la verificación del cumplimiento en el reporte del calendario escolar y  del cronograma de actividades escolares</v>
          </cell>
        </row>
        <row r="27">
          <cell r="A27">
            <v>420</v>
          </cell>
          <cell r="B27">
            <v>4</v>
          </cell>
          <cell r="C27" t="str">
            <v>CHAPINERO</v>
          </cell>
          <cell r="D27" t="str">
            <v>PRIVADO</v>
          </cell>
          <cell r="E27" t="str">
            <v>EPBM</v>
          </cell>
          <cell r="F27" t="str">
            <v>GIMNASIO_LOS_CIPRESES</v>
          </cell>
          <cell r="G27" t="str">
            <v>GIMNASIO LOS CIPRESES</v>
          </cell>
          <cell r="H27" t="str">
            <v>Autoevaluación Institucional y Pruebas SABER 11</v>
          </cell>
          <cell r="I27" t="str">
            <v>SEGUIMIENTO_Y_SUPERVISIÓN.</v>
          </cell>
          <cell r="J27"/>
          <cell r="K27" t="str">
            <v>LAURA CRISTINA BECERRA CHAVES 
JUAN MANUEL AGUIRRE BOHÓRQUEZ
CONNIE QUIÑONES CÁRDENAS
SANTIAGO ÁVILA LEURO</v>
          </cell>
          <cell r="L27" t="str">
            <v>LAURA CRISTINA BECERRA CHAVES 
JUAN MANUEL AGUIRRE BOHÓRQUEZ
CONNIE QUIÑONES CÁRDENAS
SANTIAGO ÁVILA LEURO</v>
          </cell>
          <cell r="M27">
            <v>45722</v>
          </cell>
          <cell r="N27"/>
          <cell r="O27"/>
          <cell r="P27"/>
          <cell r="Q27"/>
          <cell r="R27"/>
          <cell r="S27"/>
          <cell r="T27"/>
          <cell r="U27" t="str">
            <v xml:space="preserve">Se sustituye por el colegio Jordán de Sajonia, por  cuanto la IE manifestó intención de cierre y traslado de los 6 estudiantes matriculados a otra IE </v>
          </cell>
        </row>
        <row r="28">
          <cell r="A28">
            <v>421</v>
          </cell>
          <cell r="B28">
            <v>4</v>
          </cell>
          <cell r="C28" t="str">
            <v>CHAPINERO</v>
          </cell>
          <cell r="D28" t="str">
            <v>PRIVADO</v>
          </cell>
          <cell r="E28" t="str">
            <v>EPBM</v>
          </cell>
          <cell r="F28" t="str">
            <v>COLEGIO_JORDAN_DE_SAJONIA</v>
          </cell>
          <cell r="G28" t="str">
            <v>COLEGIO JORDAN DE SAJONIA</v>
          </cell>
          <cell r="H28" t="str">
            <v>Autoevaluación Institucional y Pruebas SABER 11</v>
          </cell>
          <cell r="I28" t="str">
            <v>SEGUIMIENTO_Y_SUPERVISIÓN.</v>
          </cell>
          <cell r="J28" t="str">
            <v>Realizar visitas para verificar la información registrada sobre la autoevaluación institucional en el aplicativo EVI, a los establecimientos de educación formal no oficial.</v>
          </cell>
          <cell r="K28" t="str">
            <v>JUAN MANUEL AGUIRRE BOHÓRQUEZ</v>
          </cell>
          <cell r="L28" t="str">
            <v>SANTIAGO ÁVILA LEURO</v>
          </cell>
          <cell r="M28">
            <v>45722</v>
          </cell>
          <cell r="N28">
            <v>45820</v>
          </cell>
          <cell r="O28">
            <v>45820</v>
          </cell>
          <cell r="P28" t="str">
            <v>Visitas de evaluación con fines de mejoramiento</v>
          </cell>
          <cell r="Q28" t="str">
            <v>Acta de visita administrativa.pdf</v>
          </cell>
          <cell r="R28" t="str">
            <v>La información registrada en el aplicativo EVI coincide con la realidad de la institución educativa</v>
          </cell>
          <cell r="S28" t="str">
            <v>Diligenciar anualmente la autoevaluación asegurándose que cada ítem se registre acorde a la realidad</v>
          </cell>
          <cell r="T28" t="str">
            <v>No</v>
          </cell>
          <cell r="U28" t="str">
            <v>Verificación del aplicativo anualmente, previo al trámite de tarifas educativas</v>
          </cell>
        </row>
        <row r="29">
          <cell r="A29">
            <v>422</v>
          </cell>
          <cell r="B29"/>
          <cell r="C29" t="str">
            <v>CHAPINERO</v>
          </cell>
          <cell r="D29" t="str">
            <v>PRIVADO</v>
          </cell>
          <cell r="E29" t="str">
            <v>Educación de Jóvenes y Adultos</v>
          </cell>
          <cell r="F29" t="str">
            <v>COLEGIO_JORDAN_DE_SAJONIA</v>
          </cell>
          <cell r="G29" t="str">
            <v>COLEGIO JORDAN DE SAJONIA</v>
          </cell>
          <cell r="H29" t="str">
            <v>Autoevaluación Institucional y Pruebas SABER 11</v>
          </cell>
          <cell r="I29" t="str">
            <v>SEGUIMIENTO_Y_SUPERVISIÓN.</v>
          </cell>
          <cell r="J29" t="str">
            <v>Proponer estrategias en la formulación, verificar su elaboración y realizar seguimiento semestral al desarrollo de  las acciones establecidas en los planes de mejoramiento por pruebas SABER 11 de los establecimientos de educación formal.</v>
          </cell>
          <cell r="K29" t="str">
            <v>JUAN MANUEL AGUIRRE BOHÓRQUEZ</v>
          </cell>
          <cell r="L29" t="str">
            <v>SANTIAGO ÁVILA LEURO</v>
          </cell>
          <cell r="M29">
            <v>45722</v>
          </cell>
          <cell r="N29">
            <v>45820</v>
          </cell>
          <cell r="O29">
            <v>45820</v>
          </cell>
          <cell r="P29" t="str">
            <v>Visitas de evaluación con fines de mejoramiento</v>
          </cell>
          <cell r="Q29" t="str">
            <v>Acta de visita administrativa.pdf</v>
          </cell>
          <cell r="R29" t="str">
            <v>En cada área se realiza un trabajo enfocado en la preparación para las pruebas SABER, integrándolas en todas las mallas curriculares. Se brinda apoyo mediante ayudas y pruebas de pensamiento aplicadas, como parte de un entrenamiento constante desde los primeros grados. Se ha implementado una estrategia adaptativa para el acceso a las pruebas, mediante una plataforma que permite identificar fortalezas y debilidades. Además, se promueve la participación activa de los padres de familia en el proceso, especialmente en el desarrollo de simulacros</v>
          </cell>
          <cell r="S29" t="str">
            <v>Continuar fortaleciendo los procesos de mejora institucional mediante el uso de plataformas adaptativas y la participación familiar en simulacros. Con base en las dificultades identificadas, se ajustan las mallas curriculares desde el Consejo Académico y se refuerzan las áreas con mayores necesidades, especialmente Ciencias Naturales.</v>
          </cell>
          <cell r="T29" t="str">
            <v>No</v>
          </cell>
          <cell r="U29" t="str">
            <v>Realizar acompañamiento y asesoría desde el ELIV cuando el Colegio lo requiera</v>
          </cell>
        </row>
        <row r="30">
          <cell r="A30">
            <v>423</v>
          </cell>
          <cell r="B30"/>
          <cell r="C30" t="str">
            <v>CHAPINERO</v>
          </cell>
          <cell r="D30" t="str">
            <v>PRIVADO</v>
          </cell>
          <cell r="E30" t="str">
            <v>Educación de Jóvenes y Adultos</v>
          </cell>
          <cell r="F30" t="str">
            <v>COLEGIO_JORDAN_DE_SAJONIA</v>
          </cell>
          <cell r="G30" t="str">
            <v>COLEGIO JORDAN DE SAJONIA</v>
          </cell>
          <cell r="H30" t="str">
            <v>Autoevaluación Institucional y Pruebas SABER 11</v>
          </cell>
          <cell r="I30" t="str">
            <v>SEGUIMIENTO_Y_SUPERVISIÓN.</v>
          </cell>
          <cell r="J30" t="str">
            <v xml:space="preserve">Verificar la implementación por parte de los colegios, de acciones realizadas para la prevención y atención de las situaciones de convivencia en el entorno escolar, según lo establecido en la Directiva 01 de 2022 del MEN. </v>
          </cell>
          <cell r="K30" t="str">
            <v>JUAN MANUEL AGUIRRE BOHÓRQUEZ</v>
          </cell>
          <cell r="L30" t="str">
            <v>SANTIAGO ÁVILA LEURO</v>
          </cell>
          <cell r="M30">
            <v>45722</v>
          </cell>
          <cell r="N30">
            <v>45820</v>
          </cell>
          <cell r="O30">
            <v>45820</v>
          </cell>
          <cell r="P30" t="str">
            <v>Visitas de evaluación con fines de mejoramiento</v>
          </cell>
          <cell r="Q30" t="str">
            <v>Acta de visita administrativa.pdf</v>
          </cell>
          <cell r="R30" t="str">
            <v>El equipo de convivencia y los moderadores trabajan de manera articulada en acciones preventivas. Se destacan estrategias como la Feria de la Convivencia Escolar, enfocada en la prevención del acoso escolar y la promoción de prácticas de resolución pacífica de conflictos</v>
          </cell>
          <cell r="S30" t="str">
            <v>Continuar fortaleciendo las estrategias de prevención del acoso escolar y la promoción de la convivencia mediante actividades pedagógicas como la Feria de la Convivencia Escolar, el fomento del bienestar integral, el trabajo en autocuidado y el fortalecimiento del orgullo sajoniano. Estas acciones estarán orientadas al desarrollo de una cultura escolar basada en el respeto, la empatía y la resolución pacífica de conflictos a través de herramientas como políticas institucionales</v>
          </cell>
          <cell r="T30" t="str">
            <v>No</v>
          </cell>
          <cell r="U30" t="str">
            <v>Realizar acompañamiento y asesoría desde el ELIV cuando el Colegio lo requiera</v>
          </cell>
        </row>
        <row r="31">
          <cell r="A31">
            <v>424</v>
          </cell>
          <cell r="B31"/>
          <cell r="C31" t="str">
            <v>CHAPINERO</v>
          </cell>
          <cell r="D31" t="str">
            <v>PRIVADO</v>
          </cell>
          <cell r="E31" t="str">
            <v>Educación de Jóvenes y Adultos</v>
          </cell>
          <cell r="F31" t="str">
            <v>COLEGIO_JORDAN_DE_SAJONIA</v>
          </cell>
          <cell r="G31" t="str">
            <v>COLEGIO JORDAN DE SAJONIA</v>
          </cell>
          <cell r="H31" t="str">
            <v>Autoevaluación Institucional y Pruebas SABER 11</v>
          </cell>
          <cell r="I31" t="str">
            <v>SEGUIMIENTO_Y_SUPERVISIÓN.</v>
          </cell>
          <cell r="J3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1" t="str">
            <v>JUAN MANUEL AGUIRRE BOHÓRQUEZ</v>
          </cell>
          <cell r="L31" t="str">
            <v>SANTIAGO ÁVILA LEURO</v>
          </cell>
          <cell r="M31">
            <v>45722</v>
          </cell>
          <cell r="N31">
            <v>45820</v>
          </cell>
          <cell r="O31">
            <v>45820</v>
          </cell>
          <cell r="P31" t="str">
            <v>Visitas de evaluación con fines de mejoramiento</v>
          </cell>
          <cell r="Q31" t="str">
            <v>Acta de visita administrativa.pdf</v>
          </cell>
          <cell r="R31" t="str">
            <v>El colegio ha establecido un protocolo que garantiza la inclusión desde el momento de la admisión del estudiante. Este proceso inicia con la verificación de condiciones particulares y continúa con la generación de reportes por parte de los docentes. A partir de estos insumos, el equipo de orientación escolar interviene de manera oportuna, brindando acompañamiento personalizado y articulado, con el fin de responder adecuadamente a las necesidades educativas y emocionales de cada estudiante.</v>
          </cell>
          <cell r="S31" t="str">
            <v>Continuar con el plan de seguimiento individual a estudiantes con necesidades identificadas desde la admisión, que incluya flexibilización académica y revisiones periódicas en compañía de la familia y el equipo de orientación. Este plan permitirá adaptar estrategias pedagógicas y brindar un acompañamiento integral, garantizando una inclusión efectiva y sostenida en el tiempo.</v>
          </cell>
          <cell r="T31" t="str">
            <v>No</v>
          </cell>
          <cell r="U31" t="str">
            <v>Se verificará anualmente si se presentan ingresos de estudiantes con discapacidad o talentos excepcionales, y en tal caso, el cumplimiento de la caracterización, formulación y ejecución de los PIAR, conforme a la normativa vigente,</v>
          </cell>
        </row>
        <row r="32">
          <cell r="A32">
            <v>425</v>
          </cell>
          <cell r="B32"/>
          <cell r="C32" t="str">
            <v>CHAPINERO</v>
          </cell>
          <cell r="D32" t="str">
            <v>PRIVADO</v>
          </cell>
          <cell r="E32" t="str">
            <v>EPBM</v>
          </cell>
          <cell r="F32" t="str">
            <v>COLEGIO_JORDAN_DE_SAJONIA</v>
          </cell>
          <cell r="G32" t="str">
            <v>COLEGIO JORDAN DE SAJONIA</v>
          </cell>
          <cell r="H32" t="str">
            <v>Autoevaluación Institucional y Pruebas SABER 11</v>
          </cell>
          <cell r="I32" t="str">
            <v>EVALUACIÓN_CON_FINES_DE_MEJORAMIENTO.</v>
          </cell>
          <cell r="J3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2" t="str">
            <v>JUAN MANUEL AGUIRRE BOHÓRQUEZ</v>
          </cell>
          <cell r="L32" t="str">
            <v>SANTIAGO ÁVILA LEURO</v>
          </cell>
          <cell r="M32">
            <v>45722</v>
          </cell>
          <cell r="N32">
            <v>45820</v>
          </cell>
          <cell r="O32">
            <v>45820</v>
          </cell>
          <cell r="P32" t="str">
            <v>Visitas de evaluación con fines de mejoramiento</v>
          </cell>
          <cell r="Q32" t="str">
            <v>Acta de visita administrativa.pdf</v>
          </cell>
          <cell r="R32" t="str">
            <v>Mediante Resolución Rectoral 001 de 2025
se adopto el Manual de Convivencia Escolar para el año 2025.</v>
          </cell>
          <cell r="S32" t="str">
            <v> Realizar ajustes, adiciones, reformas   y demás modificaciones que se consideren pertinentes, en estricto cumplimiento de la normatividad vigente, que surjan en el futuro y de los cambios orientados al bienestar de la comunidad educativa.</v>
          </cell>
          <cell r="T32" t="str">
            <v>No</v>
          </cell>
          <cell r="U32" t="str">
            <v>Revisar los ajustes realizados al manual de convivencia antes del inicio del próximo año escolar</v>
          </cell>
        </row>
        <row r="33">
          <cell r="A33">
            <v>426</v>
          </cell>
          <cell r="B33"/>
          <cell r="C33" t="str">
            <v>CHAPINERO</v>
          </cell>
          <cell r="D33" t="str">
            <v>PRIVADO</v>
          </cell>
          <cell r="E33" t="str">
            <v>EPBM</v>
          </cell>
          <cell r="F33" t="str">
            <v>COLEGIO_JORDAN_DE_SAJONIA</v>
          </cell>
          <cell r="G33" t="str">
            <v>COLEGIO JORDAN DE SAJONIA</v>
          </cell>
          <cell r="H33" t="str">
            <v>Autoevaluación Institucional y Pruebas SABER 11</v>
          </cell>
          <cell r="I33" t="str">
            <v>EVALUACIÓN_CON_FINES_DE_MEJORAMIENTO.</v>
          </cell>
          <cell r="J33" t="str">
            <v>Revisar la actualización, socialización e implementación del Sistema Institucional de Evaluación de Estudiantes - SIEE, en articulación con la actualización del PEI y la normatividad vigente.</v>
          </cell>
          <cell r="K33" t="str">
            <v>JUAN MANUEL AGUIRRE BOHÓRQUEZ</v>
          </cell>
          <cell r="L33" t="str">
            <v>SANTIAGO ÁVILA LEURO</v>
          </cell>
          <cell r="M33">
            <v>45722</v>
          </cell>
          <cell r="N33">
            <v>45820</v>
          </cell>
          <cell r="O33">
            <v>45820</v>
          </cell>
          <cell r="P33" t="str">
            <v>Visitas de evaluación con fines de mejoramiento</v>
          </cell>
          <cell r="Q33" t="str">
            <v>Acta de visita administrativa.pdf</v>
          </cell>
          <cell r="R33" t="str">
            <v>Se evidenció que el colegio ha actualizado y socializado el documento, el cual se encuentra articulado con el PEI en sus diferentes dimensiones. Asimismo, incorpora estrategias orientadas a garantizar que todos los estudiantes puedan alcanzar sus metas académicas y desarrollar integralmente sus competencias.</v>
          </cell>
          <cell r="S33" t="str">
            <v> Reforzar la práctica de socializar anualmente con la comunidad educativa el SIEE y el PEI al inicio del año escolar, dando continuidad a lo que ya se ha venido implementando</v>
          </cell>
          <cell r="T33" t="str">
            <v>No</v>
          </cell>
          <cell r="U33" t="str">
            <v>En caso de sufrir modificaciones el SIEE se realizará revisión al documento con las observaciones que haya lugar</v>
          </cell>
        </row>
        <row r="34">
          <cell r="A34">
            <v>427</v>
          </cell>
          <cell r="B34"/>
          <cell r="C34" t="str">
            <v>CHAPINERO</v>
          </cell>
          <cell r="D34" t="str">
            <v>PRIVADO</v>
          </cell>
          <cell r="E34" t="str">
            <v>EPBM</v>
          </cell>
          <cell r="F34" t="str">
            <v>COLEGIO_JORDAN_DE_SAJONIA</v>
          </cell>
          <cell r="G34" t="str">
            <v>COLEGIO JORDAN DE SAJONIA</v>
          </cell>
          <cell r="H34" t="str">
            <v>Autoevaluación Institucional y Pruebas SABER 11</v>
          </cell>
          <cell r="I34" t="str">
            <v>EVALUACIÓN_CON_FINES_DE_MEJORAMIENTO.</v>
          </cell>
          <cell r="J34" t="str">
            <v>Verificar el funcionamiento del Gobierno Escolar e instancias de participación con base en la información sobre conformación reportada por la institución educativa.</v>
          </cell>
          <cell r="K34" t="str">
            <v>JUAN MANUEL AGUIRRE BOHÓRQUEZ</v>
          </cell>
          <cell r="L34" t="str">
            <v>SANTIAGO ÁVILA LEURO</v>
          </cell>
          <cell r="M34">
            <v>45722</v>
          </cell>
          <cell r="N34">
            <v>45820</v>
          </cell>
          <cell r="O34">
            <v>45820</v>
          </cell>
          <cell r="P34" t="str">
            <v>Visitas de evaluación con fines de mejoramiento</v>
          </cell>
          <cell r="Q34" t="str">
            <v>Acta de visita administrativa.pdf</v>
          </cell>
          <cell r="R34" t="str">
            <v>Los órganos del Gobierno Escolar  han sido debidamente conformados para  el año 2025, incluyendo el Comité de Convivencia Escolar, con sus respectivas actas de elección y funcionamiento.</v>
          </cell>
          <cell r="S34" t="str">
            <v>La institución continuará garantizando el funcionamiento activo del Gobierno Escolar, promoviendo la participación de todos los estamentos en los espacios colegiados.</v>
          </cell>
          <cell r="T34" t="str">
            <v>No</v>
          </cell>
          <cell r="U34" t="str">
            <v>En visitas o mesas de trabajo que se realicen en la institución educativa que involucren acción de los órganos de gobierno escolar se verificara nuevamente el funcionamiento de estos.</v>
          </cell>
        </row>
        <row r="35">
          <cell r="A35">
            <v>428</v>
          </cell>
          <cell r="B35"/>
          <cell r="C35" t="str">
            <v>CHAPINERO</v>
          </cell>
          <cell r="D35" t="str">
            <v>PRIVADO</v>
          </cell>
          <cell r="E35" t="str">
            <v>EPBM</v>
          </cell>
          <cell r="F35" t="str">
            <v>COLEGIO_JORDAN_DE_SAJONIA</v>
          </cell>
          <cell r="G35" t="str">
            <v>COLEGIO JORDAN DE SAJONIA</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JUAN MANUEL AGUIRRE BOHÓRQUEZ</v>
          </cell>
          <cell r="L35" t="str">
            <v>SANTIAGO ÁVILA LEURO</v>
          </cell>
          <cell r="M35">
            <v>45722</v>
          </cell>
          <cell r="N35">
            <v>45820</v>
          </cell>
          <cell r="O35">
            <v>45820</v>
          </cell>
          <cell r="P35" t="str">
            <v>Visitas de evaluación con fines de mejoramiento</v>
          </cell>
          <cell r="Q35" t="str">
            <v>Acta de visita administrativa.pdf</v>
          </cell>
          <cell r="R35" t="str">
            <v>La institución cuenta con una estructura administrativa organizada, planta física en buenas condiciones y medios educativos adecuados para el desarrollo de sus actividades académicas.</v>
          </cell>
          <cell r="S35" t="str">
            <v>Mantener las condiciones actuales, garantizando la operación continua y segura de los servicios educativos.</v>
          </cell>
          <cell r="T35" t="str">
            <v>No</v>
          </cell>
          <cell r="U35" t="str">
            <v>Seguimiento mediante visitas periódicas o reporte institucional que evidencie el sostenimiento de las condiciones observadas.</v>
          </cell>
        </row>
        <row r="36">
          <cell r="A36">
            <v>429</v>
          </cell>
          <cell r="B36">
            <v>5</v>
          </cell>
          <cell r="C36" t="str">
            <v>CHAPINERO</v>
          </cell>
          <cell r="D36" t="str">
            <v>PRIVADO</v>
          </cell>
          <cell r="E36" t="str">
            <v>EPBM</v>
          </cell>
          <cell r="F36" t="str">
            <v>COLEGIO_FUNDACION_NUEVA_GRANADA</v>
          </cell>
          <cell r="G36" t="str">
            <v>COLEGIO FUNDACION NUEVA GRANADA</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 xml:space="preserve">LAURA CRISTINA BECERRA CHAVES </v>
          </cell>
          <cell r="L36" t="str">
            <v>CONNIE QUIÑONES CÁRDENAS</v>
          </cell>
          <cell r="M36">
            <v>45750</v>
          </cell>
          <cell r="N36">
            <v>45769</v>
          </cell>
          <cell r="O36">
            <v>45769</v>
          </cell>
          <cell r="P36" t="str">
            <v>Visitas de evaluación con fines de mejoramiento</v>
          </cell>
          <cell r="Q36" t="str">
            <v>ACTA FINAL FUND NUEVA GRANADA.pdf</v>
          </cell>
          <cell r="R36" t="str">
            <v xml:space="preserve">Cuentan con un plan de mejoramiento establecido para avanzar en los resultado de las pruebas saber, realizan análisis anual de las pruebas, modifican el currículo de acuerdo con los resultados fortaleciendo aquellas áreas que presentan menores resultados </v>
          </cell>
          <cell r="S36" t="str">
            <v>Continuar con la evaluación por áreas, ajuste al currículo y fortalecimiento de los viernes de pruebas</v>
          </cell>
          <cell r="T36" t="str">
            <v>No</v>
          </cell>
          <cell r="U36" t="str">
            <v>Se realizara seguimiento a los resultados de las pruebas 2025 con el fin de verificar la pertinencia de la estrategia determinada en la IE</v>
          </cell>
        </row>
        <row r="37">
          <cell r="A37">
            <v>430</v>
          </cell>
          <cell r="B37"/>
          <cell r="C37" t="str">
            <v>CHAPINERO</v>
          </cell>
          <cell r="D37" t="str">
            <v>PRIVADO</v>
          </cell>
          <cell r="E37" t="str">
            <v>Educación de Jóvenes y Adultos</v>
          </cell>
          <cell r="F37" t="str">
            <v>COLEGIO_FUNDACION_NUEVA_GRANADA</v>
          </cell>
          <cell r="G37" t="str">
            <v>COLEGIO FUNDACION NUEVA GRANADA</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 xml:space="preserve">LAURA CRISTINA BECERRA CHAVES </v>
          </cell>
          <cell r="L37" t="str">
            <v>CONNIE QUIÑONES CÁRDENAS</v>
          </cell>
          <cell r="M37">
            <v>45750</v>
          </cell>
          <cell r="N37">
            <v>45769</v>
          </cell>
          <cell r="O37">
            <v>45769</v>
          </cell>
          <cell r="P37" t="str">
            <v>Visitas de evaluación con fines de mejoramiento</v>
          </cell>
          <cell r="Q37" t="str">
            <v>ACTA FINAL FUND NUEVA GRANADA.pdf</v>
          </cell>
          <cell r="R37" t="str">
            <v xml:space="preserve">La IE construye y socializa el manual de convivencia con la comunidad educativa, realiza acciones de convivencia lideradas por el comité, analiza estadísticamente las alertas y con base en ello genera acciones de promoción y prevención </v>
          </cell>
          <cell r="S37" t="str">
            <v>Actualizar el manual de convivencia ajustado a la  normatividad vigente, abstenerse de toma de decisiones sancionatorias en comité de convivencia</v>
          </cell>
          <cell r="T37" t="str">
            <v>Si</v>
          </cell>
          <cell r="U37" t="str">
            <v>Revisar los ajustes realizados al manual de convivencia antes del inicio del próximo año escolar</v>
          </cell>
        </row>
        <row r="38">
          <cell r="A38">
            <v>431</v>
          </cell>
          <cell r="B38"/>
          <cell r="C38" t="str">
            <v>CHAPINERO</v>
          </cell>
          <cell r="D38" t="str">
            <v>PRIVADO</v>
          </cell>
          <cell r="E38" t="str">
            <v>Educación de Jóvenes y Adultos</v>
          </cell>
          <cell r="F38" t="str">
            <v>COLEGIO_FUNDACION_NUEVA_GRANADA</v>
          </cell>
          <cell r="G38" t="str">
            <v>COLEGIO FUNDACION NUEVA GRANADA</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 xml:space="preserve">LAURA CRISTINA BECERRA CHAVES </v>
          </cell>
          <cell r="L38" t="str">
            <v>CONNIE QUIÑONES CÁRDENAS</v>
          </cell>
          <cell r="M38">
            <v>45750</v>
          </cell>
          <cell r="N38">
            <v>45769</v>
          </cell>
          <cell r="O38">
            <v>45769</v>
          </cell>
          <cell r="P38" t="str">
            <v>Visitas de evaluación con fines de mejoramiento</v>
          </cell>
          <cell r="Q38" t="str">
            <v>ACTA FINAL FUND NUEVA GRANADA.pdf</v>
          </cell>
          <cell r="R38" t="str">
            <v>Realizan PIAR no solo a la población con diagnóstico médico, incluyen alumnos con TDHA y otros problemas comportamentales, con seguimiento permanente y ajustes para mejorar su ambiente y comprensión educativa</v>
          </cell>
          <cell r="S38" t="str">
            <v>Continuar con el uso de la herramienta e involucrar a la familia y las instituciones de salud en pro del bienestar de los estudiantes</v>
          </cell>
          <cell r="T38" t="str">
            <v>No</v>
          </cell>
          <cell r="U38" t="str">
            <v>Se verificará anualmente si se presentan ingresos de estudiantes con discapacidad o talentos excepcionales, y en tal caso, el cumplimiento de la caracterización, formulación y ejecución de los PIAR, conforme a la normativa vigente,</v>
          </cell>
        </row>
        <row r="39">
          <cell r="A39">
            <v>432</v>
          </cell>
          <cell r="B39"/>
          <cell r="C39" t="str">
            <v>CHAPINERO</v>
          </cell>
          <cell r="D39" t="str">
            <v>PRIVADO</v>
          </cell>
          <cell r="E39" t="str">
            <v>Educación de Jóvenes y Adultos</v>
          </cell>
          <cell r="F39" t="str">
            <v>COLEGIO_FUNDACION_NUEVA_GRANADA</v>
          </cell>
          <cell r="G39" t="str">
            <v>COLEGIO FUNDACION NUEVA GRANADA</v>
          </cell>
          <cell r="H39" t="str">
            <v>Autoevaluación Institucional y Pruebas SABER 11</v>
          </cell>
          <cell r="I39" t="str">
            <v>EVALUACIÓN_CON_FINES_DE_MEJORAMIENTO.</v>
          </cell>
          <cell r="J39" t="str">
            <v>Revisar el calendario escolar, jornada escolar, la intensidad horaria mínima anual en cada nivel y las modificaciones que se realicen al mismo, de acuerdo con lo previsto en la normatividad vigente.</v>
          </cell>
          <cell r="K39" t="str">
            <v xml:space="preserve">LAURA CRISTINA BECERRA CHAVES </v>
          </cell>
          <cell r="L39" t="str">
            <v>CONNIE QUIÑONES CÁRDENAS</v>
          </cell>
          <cell r="M39">
            <v>45750</v>
          </cell>
          <cell r="N39">
            <v>45769</v>
          </cell>
          <cell r="O39">
            <v>45769</v>
          </cell>
          <cell r="P39" t="str">
            <v>Visitas de evaluación con fines de mejoramiento</v>
          </cell>
          <cell r="Q39" t="str">
            <v>ACTA FINAL FUND NUEVA GRANADA.pdf</v>
          </cell>
          <cell r="R39" t="str">
            <v>La institución educativa cumple con la jornada educativa y el calendario escolar Inicia a las 7:00 a.m. a 3:00 p.m., todos ingresan a la misma hora con un total de 1.350 al año.</v>
          </cell>
          <cell r="S39" t="str">
            <v>Ajustar en el aplicativo EVI las horas efectivamente proyectadas</v>
          </cell>
          <cell r="T39" t="str">
            <v>Si</v>
          </cell>
          <cell r="U39" t="str">
            <v>Se verificara en la autoevaluación del 2025 que se diligencien las horas que efectivamente reportan en el calendario académico</v>
          </cell>
        </row>
        <row r="40">
          <cell r="A40">
            <v>433</v>
          </cell>
          <cell r="B40">
            <v>6</v>
          </cell>
          <cell r="C40" t="str">
            <v>CHAPINERO</v>
          </cell>
          <cell r="D40" t="str">
            <v>PRIVADO</v>
          </cell>
          <cell r="E40" t="str">
            <v>EPBM</v>
          </cell>
          <cell r="F40" t="str">
            <v>LICEO_FRANCES_LOUIS_PASTEUR</v>
          </cell>
          <cell r="G40" t="str">
            <v>LICEO FRANCES LOUIS PASTEUR</v>
          </cell>
          <cell r="H40" t="str">
            <v>Convivencia escolar</v>
          </cell>
          <cell r="I40" t="str">
            <v>SEGUIMIENTO_Y_SUPERVISIÓN.</v>
          </cell>
          <cell r="J40" t="str">
            <v>Realizar visitas para verificar la información registrada sobre la autoevaluación institucional en el aplicativo EVI, a los establecimientos de educación formal no oficial.</v>
          </cell>
          <cell r="K40" t="str">
            <v xml:space="preserve">LAURA CRISTINA BECERRA CHAVES </v>
          </cell>
          <cell r="L40" t="str">
            <v>SANTIAGO ÁVILA LEURO</v>
          </cell>
          <cell r="M40">
            <v>45797</v>
          </cell>
          <cell r="N40">
            <v>45797</v>
          </cell>
          <cell r="O40">
            <v>45797</v>
          </cell>
          <cell r="P40" t="str">
            <v>Visitas de evaluación con fines de mejoramiento</v>
          </cell>
          <cell r="Q40" t="str">
            <v>ACTA DE VISITA LICEO FRANCES.pdf</v>
          </cell>
          <cell r="R40" t="str">
            <v>La información registrada en el aplicativo EVI coincide con la realidad de la institución educativa</v>
          </cell>
          <cell r="S40" t="str">
            <v>Diligenciar anualmente la autoevaluación asegurándose que cada ítem se registre acorde a la realidad</v>
          </cell>
          <cell r="T40" t="str">
            <v>No</v>
          </cell>
          <cell r="U40" t="str">
            <v>Verificación del aplicativo anualmente, previo al trámite de tarifas educativas</v>
          </cell>
        </row>
        <row r="41">
          <cell r="A41">
            <v>434</v>
          </cell>
          <cell r="B41"/>
          <cell r="C41" t="str">
            <v>CHAPINERO</v>
          </cell>
          <cell r="D41" t="str">
            <v>PRIVADO</v>
          </cell>
          <cell r="E41" t="str">
            <v>EPBM</v>
          </cell>
          <cell r="F41" t="str">
            <v>LICEO_FRANCES_LOUIS_PASTEUR</v>
          </cell>
          <cell r="G41" t="str">
            <v>LICEO FRANCES LOUIS PASTEUR</v>
          </cell>
          <cell r="H41" t="str">
            <v>Convivencia escolar</v>
          </cell>
          <cell r="I41" t="str">
            <v>SEGUIMIENTO_Y_SUPERVISIÓN.</v>
          </cell>
          <cell r="J41" t="str">
            <v xml:space="preserve">Verificar la implementación por parte de los colegios, de acciones realizadas para la prevención y atención de las situaciones de convivencia en el entorno escolar, según lo establecido en la Directiva 01 de 2022 del MEN. </v>
          </cell>
          <cell r="K41" t="str">
            <v xml:space="preserve">LAURA CRISTINA BECERRA CHAVES </v>
          </cell>
          <cell r="L41" t="str">
            <v>SANTIAGO ÁVILA LEURO</v>
          </cell>
          <cell r="M41">
            <v>45797</v>
          </cell>
          <cell r="N41">
            <v>45797</v>
          </cell>
          <cell r="O41">
            <v>45797</v>
          </cell>
          <cell r="P41" t="str">
            <v>Visitas de evaluación con fines de mejoramiento</v>
          </cell>
          <cell r="Q41" t="str">
            <v>ACTA DE VISITA LICEO FRANCES.pdf</v>
          </cell>
          <cell r="R41" t="str">
            <v>Desde el año 2024 viene acompañándose de la OCE para talleres y socialización con la comunidad educativa de las acciones de promoción y prevención, realiza consulta de antecedentes de los docentes</v>
          </cell>
          <cell r="S41" t="str">
            <v xml:space="preserve">Continuar con la realización de las actividades de promoción y prevención  según el diagnóstico y las necesidades de la comunidad educativa </v>
          </cell>
          <cell r="T41" t="str">
            <v>No</v>
          </cell>
          <cell r="U41" t="str">
            <v>Realizar acompañamiento y asesoría desde el ELIV cuando el Liceo lo requiera</v>
          </cell>
        </row>
        <row r="42">
          <cell r="A42">
            <v>435</v>
          </cell>
          <cell r="B42"/>
          <cell r="C42" t="str">
            <v>CHAPINERO</v>
          </cell>
          <cell r="D42" t="str">
            <v>PRIVADO</v>
          </cell>
          <cell r="E42" t="str">
            <v>EPBM</v>
          </cell>
          <cell r="F42" t="str">
            <v>LICEO_FRANCES_LOUIS_PASTEUR</v>
          </cell>
          <cell r="G42" t="str">
            <v>LICEO FRANCES LOUIS PASTEUR</v>
          </cell>
          <cell r="H42" t="str">
            <v>Convivencia escolar</v>
          </cell>
          <cell r="I42" t="str">
            <v>SEGUIMIENTO_Y_SUPERVISIÓN.</v>
          </cell>
          <cell r="J4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2" t="str">
            <v xml:space="preserve">LAURA CRISTINA BECERRA CHAVES </v>
          </cell>
          <cell r="L42" t="str">
            <v>SANTIAGO ÁVILA LEURO</v>
          </cell>
          <cell r="M42">
            <v>45797</v>
          </cell>
          <cell r="N42">
            <v>45797</v>
          </cell>
          <cell r="O42">
            <v>45797</v>
          </cell>
          <cell r="P42" t="str">
            <v>Visitas de evaluación con fines de mejoramiento</v>
          </cell>
          <cell r="Q42" t="str">
            <v>ACTA DE VISITA LICEO FRANCES.pdf</v>
          </cell>
          <cell r="R42" t="str">
            <v>Desarrolla varios ajustes razonables  a los alumnos,  de la población que atiende 14 alumnos cuentan con PIAR, socializado y con seguimiento. Y para 76 estudiantes  implementa otras estrategias de acompañamiento según la necesidad</v>
          </cell>
          <cell r="S42" t="str">
            <v>Verificar y en el SIMAT que todos los estudiantes que cuenten con diagnóstico estén parametrizados</v>
          </cell>
          <cell r="T42" t="str">
            <v>No</v>
          </cell>
          <cell r="U42" t="str">
            <v>Revisión en  mes de  octubre del registro de estudiantes con diagnóstico en el SIMAT, con la nueva matrícula</v>
          </cell>
        </row>
        <row r="43">
          <cell r="A43">
            <v>436</v>
          </cell>
          <cell r="B43"/>
          <cell r="C43" t="str">
            <v>CHAPINERO</v>
          </cell>
          <cell r="D43" t="str">
            <v>PRIVADO</v>
          </cell>
          <cell r="E43" t="str">
            <v>EPBM</v>
          </cell>
          <cell r="F43" t="str">
            <v>LICEO_FRANCES_LOUIS_PASTEUR</v>
          </cell>
          <cell r="G43" t="str">
            <v>LICEO FRANCES LOUIS PASTEUR</v>
          </cell>
          <cell r="H43" t="str">
            <v>Convivencia escolar</v>
          </cell>
          <cell r="I43" t="str">
            <v>EVALUACIÓN_CON_FINES_DE_MEJORAMIENTO.</v>
          </cell>
          <cell r="J43" t="str">
            <v>Revisar el calendario escolar, jornada escolar, la intensidad horaria mínima anual en cada nivel y las modificaciones que se realicen al mismo, de acuerdo con lo previsto en la normatividad vigente.</v>
          </cell>
          <cell r="K43" t="str">
            <v xml:space="preserve">LAURA CRISTINA BECERRA CHAVES </v>
          </cell>
          <cell r="L43" t="str">
            <v>SANTIAGO ÁVILA LEURO</v>
          </cell>
          <cell r="M43">
            <v>45797</v>
          </cell>
          <cell r="N43">
            <v>45797</v>
          </cell>
          <cell r="O43">
            <v>45797</v>
          </cell>
          <cell r="P43" t="str">
            <v>Visitas de evaluación con fines de mejoramiento</v>
          </cell>
          <cell r="Q43" t="str">
            <v>ACTA DE VISITA LICEO FRANCES.pdf</v>
          </cell>
          <cell r="R43" t="str">
            <v>El Liceo cumple doble normatividad educativa colombiana y francesa, tiene en cuenta los recesos escolares franceses. Jornadas extendidas primaria  lunes , martes y jueves de 8 a 3:30 martes y viernes 8 a 12:30, secundaria 7 a 5:30</v>
          </cell>
          <cell r="S43" t="str">
            <v>Cumple con el calendario escolar 936 preescolar y primaria, 1260 secundaria y media</v>
          </cell>
          <cell r="T43" t="str">
            <v>No</v>
          </cell>
          <cell r="U43" t="str">
            <v>Verificar anualmente que la proyección de calendario académico cumpla con la normatividad colombiana</v>
          </cell>
        </row>
        <row r="44">
          <cell r="A44">
            <v>437</v>
          </cell>
          <cell r="B44"/>
          <cell r="C44" t="str">
            <v>CHAPINERO</v>
          </cell>
          <cell r="D44" t="str">
            <v>PRIVADO</v>
          </cell>
          <cell r="E44" t="str">
            <v>EPBM</v>
          </cell>
          <cell r="F44" t="str">
            <v>LICEO_FRANCES_LOUIS_PASTEUR</v>
          </cell>
          <cell r="G44" t="str">
            <v>LICEO FRANCES LOUIS PASTEUR</v>
          </cell>
          <cell r="H44" t="str">
            <v>Convivencia escolar</v>
          </cell>
          <cell r="I44" t="str">
            <v>EVALUACIÓN_CON_FINES_DE_MEJORAMIENTO.</v>
          </cell>
          <cell r="J44" t="str">
            <v>Verificar las condiciones en cuanto a: la estructura administrativa, condiciones de la planta física y medios educativos adecuados.</v>
          </cell>
          <cell r="K44" t="str">
            <v xml:space="preserve">LAURA CRISTINA BECERRA CHAVES </v>
          </cell>
          <cell r="L44" t="str">
            <v>SANTIAGO ÁVILA LEURO</v>
          </cell>
          <cell r="M44">
            <v>45797</v>
          </cell>
          <cell r="N44">
            <v>45797</v>
          </cell>
          <cell r="O44">
            <v>45797</v>
          </cell>
          <cell r="P44" t="str">
            <v>Visitas de evaluación con fines de mejoramiento</v>
          </cell>
          <cell r="Q44" t="str">
            <v>ACTA DE VISITA LICEO FRANCES.pdf</v>
          </cell>
          <cell r="R44" t="str">
            <v>La infraestructura administrativa es suficiente para el número de alumnos, cuenta con instalaciones bien cuidadas y planes de mantenimiento anuales, espacios pedagógicos adecuados</v>
          </cell>
          <cell r="S44" t="str">
            <v>Continuar con los planes de mantenimiento de la infra estura física y mobiliario</v>
          </cell>
          <cell r="T44" t="str">
            <v>No</v>
          </cell>
          <cell r="U44" t="str">
            <v>En visitas de seguimiento verificar que continúen con buenas condiciones para prestación de servicio educativo</v>
          </cell>
        </row>
        <row r="45">
          <cell r="A45">
            <v>438</v>
          </cell>
          <cell r="B45"/>
          <cell r="C45" t="str">
            <v>CHAPINERO</v>
          </cell>
          <cell r="D45" t="str">
            <v>PRIVADO</v>
          </cell>
          <cell r="E45" t="str">
            <v>EPBM</v>
          </cell>
          <cell r="F45" t="str">
            <v>LICEO_FRANCES_LOUIS_PASTEUR</v>
          </cell>
          <cell r="G45" t="str">
            <v>LICEO FRANCES LOUIS PASTEUR</v>
          </cell>
          <cell r="H45" t="str">
            <v>Convivencia escolar</v>
          </cell>
          <cell r="I45" t="str">
            <v>EVALUACIÓN_CON_FINES_DE_MEJORAMIENTO.</v>
          </cell>
          <cell r="J4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5" t="str">
            <v xml:space="preserve">LAURA CRISTINA BECERRA CHAVES </v>
          </cell>
          <cell r="L45" t="str">
            <v>SANTIAGO ÁVILA LEURO</v>
          </cell>
          <cell r="M45">
            <v>45722</v>
          </cell>
          <cell r="N45">
            <v>45797</v>
          </cell>
          <cell r="O45">
            <v>45797</v>
          </cell>
          <cell r="P45" t="str">
            <v>Visitas de evaluación con fines de mejoramiento</v>
          </cell>
          <cell r="Q45" t="str">
            <v>20240913_FV_Manuales_Convivencia LICEO FRANCES.xlsx</v>
          </cell>
          <cell r="R45" t="str">
            <v>El manual de convivencia se encuentra en actualización, deben fortalecen en la propuesta con diferentes conceptos (género, justicia restaurativa, etc.) en la práctica. No basta con las definiciones de estos aspectos; se debe incluir un ítem específico para primera infancia, etc.</v>
          </cell>
          <cell r="S45" t="str">
            <v>Desarrollar en el manual los temas sugeridos por el ELIV, remitir una vez avalado el manual para nueva revisión</v>
          </cell>
          <cell r="T45" t="str">
            <v>Si</v>
          </cell>
          <cell r="U45" t="str">
            <v xml:space="preserve">Revisión por parte del ELIV del manual de convivencia con las modificaciones sugeridas una vez avalado por las diferentes instancias  </v>
          </cell>
        </row>
        <row r="46">
          <cell r="A46">
            <v>439</v>
          </cell>
          <cell r="B46"/>
          <cell r="C46" t="str">
            <v>CHAPINERO</v>
          </cell>
          <cell r="D46" t="str">
            <v>PRIVADO</v>
          </cell>
          <cell r="E46" t="str">
            <v>EPBM</v>
          </cell>
          <cell r="F46" t="str">
            <v>LICEO_FRANCES_LOUIS_PASTEUR</v>
          </cell>
          <cell r="G46" t="str">
            <v>LICEO FRANCES LOUIS PASTEUR</v>
          </cell>
          <cell r="H46" t="str">
            <v>Convivencia escolar</v>
          </cell>
          <cell r="I46" t="str">
            <v>EVALUACIÓN_CON_FINES_DE_MEJORAMIENTO.</v>
          </cell>
          <cell r="J46" t="str">
            <v>Revisar la actualización, socialización e implementación del Sistema Institucional de Evaluación de Estudiantes - SIEE, en articulación con la actualización del PEI y la normatividad vigente.</v>
          </cell>
          <cell r="K46" t="str">
            <v xml:space="preserve">LAURA CRISTINA BECERRA CHAVES </v>
          </cell>
          <cell r="L46" t="str">
            <v>SANTIAGO ÁVILA LEURO</v>
          </cell>
          <cell r="M46">
            <v>45750</v>
          </cell>
          <cell r="N46">
            <v>45797</v>
          </cell>
          <cell r="O46">
            <v>45797</v>
          </cell>
          <cell r="P46" t="str">
            <v>Visitas de evaluación con fines de mejoramiento</v>
          </cell>
          <cell r="Q46" t="str">
            <v>ACTA DE VISITA LICEO FRANCES.pdf</v>
          </cell>
          <cell r="R46" t="str">
            <v>No fue posible verificar documentalmente el SIEE de la institución educativa para realizar un comparativo con lo ejecutado en el Liceo</v>
          </cell>
          <cell r="S46" t="str">
            <v>Elaborar el  documento PEI  en el cual se determine el SIEE q acorde a la normatividad vigente en Colombia con las excepciones que el convenio de cooperación determina</v>
          </cell>
          <cell r="T46" t="str">
            <v>Si</v>
          </cell>
          <cell r="U46" t="str">
            <v>Verificar la propuesta de Plan de Mejoramiento (julio 2025) y revisar el SIEE una vez construido el documento</v>
          </cell>
        </row>
        <row r="47">
          <cell r="A47">
            <v>440</v>
          </cell>
          <cell r="B47"/>
          <cell r="C47" t="str">
            <v>CHAPINERO</v>
          </cell>
          <cell r="D47" t="str">
            <v>PRIVADO</v>
          </cell>
          <cell r="E47" t="str">
            <v>EPBM</v>
          </cell>
          <cell r="F47" t="str">
            <v>LICEO_FRANCES_LOUIS_PASTEUR</v>
          </cell>
          <cell r="G47" t="str">
            <v>LICEO FRANCES LOUIS PASTEUR</v>
          </cell>
          <cell r="H47" t="str">
            <v>Convivencia escolar</v>
          </cell>
          <cell r="I47" t="str">
            <v>EVALUACIÓN_CON_FINES_DE_MEJORAMIENTO.</v>
          </cell>
          <cell r="J47" t="str">
            <v>Verificar el funcionamiento del Gobierno Escolar e instancias de participación con base en la información sobre conformación reportada por la institución educativa.</v>
          </cell>
          <cell r="K47" t="str">
            <v xml:space="preserve">LAURA CRISTINA BECERRA CHAVES </v>
          </cell>
          <cell r="L47" t="str">
            <v>SANTIAGO ÁVILA LEURO</v>
          </cell>
          <cell r="M47">
            <v>45797</v>
          </cell>
          <cell r="N47">
            <v>45797</v>
          </cell>
          <cell r="O47">
            <v>45797</v>
          </cell>
          <cell r="P47" t="str">
            <v>Visitas de evaluación con fines de mejoramiento</v>
          </cell>
          <cell r="Q47" t="str">
            <v>ACTA DE VISITA LICEO FRANCES.pdf</v>
          </cell>
          <cell r="R47" t="str">
            <v>El Liceo cuenta con varios órganos de gobierno escolar en la regulación francesa se ha realizado un trabajo de revisión y homologación con los órganos e instancias de participación colombiana para el cumplimiento de la normatividad vigente, cuenta con actas de reunión y conformación de los mismos</v>
          </cell>
          <cell r="S47" t="str">
            <v>Tener en cuenta las funciones de los órganos de gobierno escolar de acuerdo con lo establecido en el DURSE 1075 al momento de cada sesión, convalidando la viabilidad de homologar estas instancias</v>
          </cell>
          <cell r="T47" t="str">
            <v>No</v>
          </cell>
          <cell r="U47" t="str">
            <v>Verificar anualmente la conformación y funcionamiento de los órganos de gobierno escolar</v>
          </cell>
        </row>
        <row r="48">
          <cell r="A48">
            <v>441</v>
          </cell>
          <cell r="B48">
            <v>7</v>
          </cell>
          <cell r="C48" t="str">
            <v>CHAPINERO</v>
          </cell>
          <cell r="D48" t="str">
            <v>PRIVADO</v>
          </cell>
          <cell r="E48" t="str">
            <v>Educación Inicial</v>
          </cell>
          <cell r="F48" t="str">
            <v>JARDIN_INFANTIL_TALLER_DE_ARTE_ARCO_IRIS</v>
          </cell>
          <cell r="G48" t="str">
            <v>JARDIN INFANTIL TALLER DE ARTE ARCO IRIS</v>
          </cell>
          <cell r="H48" t="str">
            <v>Autoevaluación Institucional y Pruebas SABER 11</v>
          </cell>
          <cell r="I48" t="str">
            <v>SEGUIMIENTO_Y_SUPERVISIÓN.</v>
          </cell>
          <cell r="J48" t="str">
            <v>Realizar visitas para verificar la información registrada sobre la autoevaluación institucional en el aplicativo EVI, a los establecimientos de educación formal no oficial.</v>
          </cell>
          <cell r="K48" t="str">
            <v>JUAN MANUEL AGUIRRE BOHÓRQUEZ</v>
          </cell>
          <cell r="L48" t="str">
            <v>SANTIAGO ÁVILA LEURO</v>
          </cell>
          <cell r="M48">
            <v>45903</v>
          </cell>
          <cell r="N48">
            <v>45905</v>
          </cell>
          <cell r="O48">
            <v>45911</v>
          </cell>
          <cell r="P48" t="str">
            <v>Visitas de evaluación con fines de mejoramiento</v>
          </cell>
          <cell r="Q48" t="str">
            <v>Acta JARDIN INFANTIL EL TALLER DEL ARCO IRIS.pdf</v>
          </cell>
          <cell r="R48" t="str">
            <v xml:space="preserve">Se realiza  comparación en la visita contra la información registrada en el EVI  Las tarifas NO están publicadas y socializadas. Hay procedimientos claros para matrícula y registro en SIMAT. </v>
          </cell>
          <cell r="S48" t="str">
            <v>Deberán publicar las tarifas  y socializarlas.</v>
          </cell>
          <cell r="T48" t="str">
            <v>No</v>
          </cell>
          <cell r="U48" t="str">
            <v xml:space="preserve">Verificar publicación visible de tarifas y cumplimiento del procedimiento de matrícula. </v>
          </cell>
        </row>
        <row r="49">
          <cell r="A49">
            <v>442</v>
          </cell>
          <cell r="B49"/>
          <cell r="C49" t="str">
            <v>CHAPINERO</v>
          </cell>
          <cell r="D49" t="str">
            <v>PRIVADO</v>
          </cell>
          <cell r="E49" t="str">
            <v>Educación Inicial</v>
          </cell>
          <cell r="F49" t="str">
            <v>JARDIN_INFANTIL_TALLER_DE_ARTE_ARCO_IRIS</v>
          </cell>
          <cell r="G49" t="str">
            <v>JARDIN INFANTIL TALLER DE ARTE ARCO IRIS</v>
          </cell>
          <cell r="H49" t="str">
            <v>Autoevaluación Institucional y Pruebas SABER 11</v>
          </cell>
          <cell r="I49" t="str">
            <v>SEGUIMIENTO_Y_SUPERVISIÓN.</v>
          </cell>
          <cell r="J49" t="str">
            <v xml:space="preserve">Verificar la implementación por parte de los colegios, de acciones realizadas para la prevención y atención de las situaciones de convivencia en el entorno escolar, según lo establecido en la Directiva 01 de 2022 del MEN. </v>
          </cell>
          <cell r="K49" t="str">
            <v>JUAN MANUEL AGUIRRE BOHÓRQUEZ</v>
          </cell>
          <cell r="L49" t="str">
            <v>SANTIAGO ÁVILA LEURO</v>
          </cell>
          <cell r="M49">
            <v>45903</v>
          </cell>
          <cell r="N49">
            <v>45905</v>
          </cell>
          <cell r="O49">
            <v>45911</v>
          </cell>
          <cell r="P49" t="str">
            <v>Visitas de evaluación con fines de mejoramiento</v>
          </cell>
          <cell r="Q49" t="str">
            <v>Acta JARDIN INFANTIL EL TALLER DEL ARCO IRIS.pdf</v>
          </cell>
          <cell r="R49" t="str">
            <v>En el  jardín no se han generado este tipo de situaciones; sin embargo, implementan estrategias de prevención y promoción  con la  participación de los padres de familia y mediante una comunicación continua</v>
          </cell>
          <cell r="S49" t="str">
            <v>Continuar con el desarrollo de estrategias de prevención y promoción con la participación de padres de familia y una comunicación continua</v>
          </cell>
          <cell r="T49" t="str">
            <v>No</v>
          </cell>
          <cell r="U49" t="str">
            <v>Realizar revisión del manual de convivencia en su próxima actualización para verificar el fortalecimiento  acciones para la prevención y atención de las situaciones de convivencia en el entorno escolar</v>
          </cell>
        </row>
        <row r="50">
          <cell r="A50">
            <v>443</v>
          </cell>
          <cell r="B50"/>
          <cell r="C50" t="str">
            <v>CHAPINERO</v>
          </cell>
          <cell r="D50" t="str">
            <v>PRIVADO</v>
          </cell>
          <cell r="E50" t="str">
            <v>Educación Inicial</v>
          </cell>
          <cell r="F50" t="str">
            <v>JARDIN_INFANTIL_TALLER_DE_ARTE_ARCO_IRIS</v>
          </cell>
          <cell r="G50" t="str">
            <v>JARDIN INFANTIL TALLER DE ARTE ARCO IRIS</v>
          </cell>
          <cell r="H50" t="str">
            <v>Autoevaluación Institucional y Pruebas SABER 11</v>
          </cell>
          <cell r="I50" t="str">
            <v>SEGUIMIENTO_Y_SUPERVISIÓN.</v>
          </cell>
          <cell r="J5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0" t="str">
            <v>JUAN MANUEL AGUIRRE BOHÓRQUEZ</v>
          </cell>
          <cell r="L50" t="str">
            <v>SANTIAGO ÁVILA LEURO</v>
          </cell>
          <cell r="M50">
            <v>45903</v>
          </cell>
          <cell r="N50">
            <v>45905</v>
          </cell>
          <cell r="O50">
            <v>45911</v>
          </cell>
          <cell r="P50" t="str">
            <v>Visitas de evaluación con fines de mejoramiento</v>
          </cell>
          <cell r="Q50" t="str">
            <v>Acta JARDIN INFANTIL EL TALLER DEL ARCO IRIS.pdf</v>
          </cell>
          <cell r="R50" t="str">
            <v xml:space="preserve">En la actualidad el jardín no tienen estudiantes con discapacidad, trastornos del aprendizaje, y talentos excepcionales. 
</v>
          </cell>
          <cell r="S50" t="str">
            <v xml:space="preserve">
En caso de llegar a tener población con discapacidad, trastornos del aprendizaje, y talentos excepcionales. Se deberá elaborar la actualización y desarrollo de los Planes Individuales de Ajustes Razonables -PIAR, en marco del Decreto 1421 de 2017
</v>
          </cell>
          <cell r="T50" t="str">
            <v>No</v>
          </cell>
          <cell r="U50" t="str">
            <v>Continuar atendiendo a los estudiantes de manera especial para su desarrollo normal en aula. fortaleciendo el desarrollo del lenguaje y el aprendizaje.</v>
          </cell>
        </row>
        <row r="51">
          <cell r="A51">
            <v>444</v>
          </cell>
          <cell r="B51"/>
          <cell r="C51" t="str">
            <v>CHAPINERO</v>
          </cell>
          <cell r="D51" t="str">
            <v>PRIVADO</v>
          </cell>
          <cell r="E51" t="str">
            <v>Educación Inicial</v>
          </cell>
          <cell r="F51" t="str">
            <v>JARDIN_INFANTIL_TALLER_DE_ARTE_ARCO_IRIS</v>
          </cell>
          <cell r="G51" t="str">
            <v>JARDIN INFANTIL TALLER DE ARTE ARCO IRIS</v>
          </cell>
          <cell r="H51" t="str">
            <v>Autoevaluación Institucional y Pruebas SABER 11</v>
          </cell>
          <cell r="I51" t="str">
            <v>EVALUACIÓN_CON_FINES_DE_MEJORAMIENTO.</v>
          </cell>
          <cell r="J5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1" t="str">
            <v>JUAN MANUEL AGUIRRE BOHÓRQUEZ</v>
          </cell>
          <cell r="L51" t="str">
            <v>SANTIAGO ÁVILA LEURO</v>
          </cell>
          <cell r="M51">
            <v>45903</v>
          </cell>
          <cell r="N51">
            <v>45905</v>
          </cell>
          <cell r="O51">
            <v>45911</v>
          </cell>
          <cell r="P51" t="str">
            <v>Visitas de evaluación con fines de mejoramiento</v>
          </cell>
          <cell r="Q51" t="str">
            <v>Acta JARDIN INFANTIL EL TALLER DEL ARCO IRIS.pdf</v>
          </cell>
          <cell r="R51" t="str">
            <v xml:space="preserve">El manual de convivencia fue construido de forma participativa, </v>
          </cell>
          <cell r="S51" t="str">
            <v>El jardín  se compromete a incluir enfoque restaurativo, y el debido proceso y mantener la actualización anual y garantizar la efectiva implementación del plan de convivencia,</v>
          </cell>
          <cell r="T51" t="str">
            <v>Si</v>
          </cell>
          <cell r="U51" t="str">
            <v>Revisar y ajustar el manual para incluir  el enfoque restaurativo. y el debido proceso . A mas tardar el día 13 de octubre de 2025</v>
          </cell>
        </row>
        <row r="52">
          <cell r="A52">
            <v>445</v>
          </cell>
          <cell r="B52"/>
          <cell r="C52" t="str">
            <v>CHAPINERO</v>
          </cell>
          <cell r="D52" t="str">
            <v>PRIVADO</v>
          </cell>
          <cell r="E52" t="str">
            <v>Educación Inicial</v>
          </cell>
          <cell r="F52" t="str">
            <v>JARDIN_INFANTIL_TALLER_DE_ARTE_ARCO_IRIS</v>
          </cell>
          <cell r="G52" t="str">
            <v>JARDIN INFANTIL TALLER DE ARTE ARCO IRIS</v>
          </cell>
          <cell r="H52" t="str">
            <v>Autoevaluación Institucional y Pruebas SABER 11</v>
          </cell>
          <cell r="I52" t="str">
            <v>EVALUACIÓN_CON_FINES_DE_MEJORAMIENTO.</v>
          </cell>
          <cell r="J52" t="str">
            <v>Revisar la actualización, socialización e implementación del Sistema Institucional de Evaluación de Estudiantes - SIEE, en articulación con la actualización del PEI y la normatividad vigente.</v>
          </cell>
          <cell r="K52" t="str">
            <v>JUAN MANUEL AGUIRRE BOHÓRQUEZ</v>
          </cell>
          <cell r="L52" t="str">
            <v>SANTIAGO ÁVILA LEURO</v>
          </cell>
          <cell r="M52">
            <v>45903</v>
          </cell>
          <cell r="N52">
            <v>45905</v>
          </cell>
          <cell r="O52">
            <v>45911</v>
          </cell>
          <cell r="P52" t="str">
            <v>Visitas de evaluación con fines de mejoramiento</v>
          </cell>
          <cell r="Q52" t="str">
            <v>Acta JARDIN INFANTIL EL TALLER DEL ARCO IRIS.pdf</v>
          </cell>
          <cell r="R52" t="str">
            <v>Documento actualizado y socializado, se encuentra articulado con el PEI en sus diferentes dimensiones, cuentan con estrategias de neurodesarrollo y crecimiento de los estudiantes de manera integra</v>
          </cell>
          <cell r="S52" t="str">
            <v xml:space="preserve">Socializar cada año con la comunidad educativa el SIEE y el PEI al inicio del año escolar </v>
          </cell>
          <cell r="T52" t="str">
            <v>No</v>
          </cell>
          <cell r="U52" t="str">
            <v>En el siguiente año lectivo verificar en el documento que se entrega a la comunidad educativa que contemple la información requerida</v>
          </cell>
        </row>
        <row r="53">
          <cell r="A53">
            <v>446</v>
          </cell>
          <cell r="B53"/>
          <cell r="C53" t="str">
            <v>CHAPINERO</v>
          </cell>
          <cell r="D53" t="str">
            <v>PRIVADO</v>
          </cell>
          <cell r="E53" t="str">
            <v>Educación Inicial</v>
          </cell>
          <cell r="F53" t="str">
            <v>JARDIN_INFANTIL_TALLER_DE_ARTE_ARCO_IRIS</v>
          </cell>
          <cell r="G53" t="str">
            <v>JARDIN INFANTIL TALLER DE ARTE ARCO IRIS</v>
          </cell>
          <cell r="H53" t="str">
            <v>Autoevaluación Institucional y Pruebas SABER 11</v>
          </cell>
          <cell r="I53" t="str">
            <v>EVALUACIÓN_CON_FINES_DE_MEJORAMIENTO.</v>
          </cell>
          <cell r="J53" t="str">
            <v>Revisar el calendario escolar, jornada escolar, la intensidad horaria mínima anual en cada nivel y las modificaciones que se realicen al mismo, de acuerdo con lo previsto en la normatividad vigente.</v>
          </cell>
          <cell r="K53" t="str">
            <v>JUAN MANUEL AGUIRRE BOHÓRQUEZ</v>
          </cell>
          <cell r="L53" t="str">
            <v>SANTIAGO ÁVILA LEURO</v>
          </cell>
          <cell r="M53">
            <v>45903</v>
          </cell>
          <cell r="N53">
            <v>45905</v>
          </cell>
          <cell r="O53">
            <v>45911</v>
          </cell>
          <cell r="P53" t="str">
            <v>Visitas de evaluación con fines de mejoramiento</v>
          </cell>
          <cell r="Q53" t="str">
            <v>Acta JARDIN INFANTIL EL TALLER DEL ARCO IRIS.pdf</v>
          </cell>
          <cell r="R53" t="str">
            <v>Resolución de calendario escolar con las horas y fecha reglamentarias conforme al calendario dispuesto por la  SED, cumple con la jornada escolar  en calendario B,</v>
          </cell>
          <cell r="S53" t="str">
            <v>continuar con el cumplimiento de la ley y adopción de lo establecido por la  SED</v>
          </cell>
          <cell r="T53" t="str">
            <v>No</v>
          </cell>
          <cell r="U53" t="str">
            <v>Continuar con lo establecido por la SED para la elaboración y adopción del calendario escolar</v>
          </cell>
        </row>
        <row r="54">
          <cell r="A54">
            <v>447</v>
          </cell>
          <cell r="B54"/>
          <cell r="C54" t="str">
            <v>CHAPINERO</v>
          </cell>
          <cell r="D54" t="str">
            <v>PRIVADO</v>
          </cell>
          <cell r="E54" t="str">
            <v>Educación Inicial</v>
          </cell>
          <cell r="F54" t="str">
            <v>JARDIN_INFANTIL_TALLER_DE_ARTE_ARCO_IRIS</v>
          </cell>
          <cell r="G54" t="str">
            <v>JARDIN INFANTIL TALLER DE ARTE ARCO IRIS</v>
          </cell>
          <cell r="H54" t="str">
            <v>Autoevaluación Institucional y Pruebas SABER 11</v>
          </cell>
          <cell r="I54" t="str">
            <v>EVALUACIÓN_CON_FINES_DE_MEJORAMIENTO.</v>
          </cell>
          <cell r="J54" t="str">
            <v>Verificar el funcionamiento del Gobierno Escolar e instancias de participación con base en la información sobre conformación reportada por la institución educativa.</v>
          </cell>
          <cell r="K54" t="str">
            <v>JUAN MANUEL AGUIRRE BOHÓRQUEZ</v>
          </cell>
          <cell r="L54" t="str">
            <v>SANTIAGO ÁVILA LEURO</v>
          </cell>
          <cell r="M54">
            <v>45903</v>
          </cell>
          <cell r="N54">
            <v>45905</v>
          </cell>
          <cell r="O54">
            <v>45911</v>
          </cell>
          <cell r="P54" t="str">
            <v>Visitas de evaluación con fines de mejoramiento</v>
          </cell>
          <cell r="Q54" t="str">
            <v>Acta JARDIN INFANTIL EL TALLER DEL ARCO IRIS.pdf</v>
          </cell>
          <cell r="R54" t="str">
            <v xml:space="preserve">El Consejo Directivo y Académico están conformados según norma,  Las instancias de participación están constituidas </v>
          </cell>
          <cell r="S54" t="str">
            <v xml:space="preserve">Actualizar los formatos de actas  todas las actas deberán estar debidamente identificadas , numeradas y firmadas,  </v>
          </cell>
          <cell r="T54" t="str">
            <v>No</v>
          </cell>
          <cell r="U54" t="str">
            <v>Verificar que actas de sesión de los órganos de gobierno escolar estén debidamente diligenciadas y firmadas</v>
          </cell>
        </row>
        <row r="55">
          <cell r="A55">
            <v>448</v>
          </cell>
          <cell r="B55"/>
          <cell r="C55" t="str">
            <v>CHAPINERO</v>
          </cell>
          <cell r="D55" t="str">
            <v>PRIVADO</v>
          </cell>
          <cell r="E55" t="str">
            <v>Educación Inicial</v>
          </cell>
          <cell r="F55" t="str">
            <v>JARDIN_INFANTIL_TALLER_DE_ARTE_ARCO_IRIS</v>
          </cell>
          <cell r="G55" t="str">
            <v>JARDIN INFANTIL TALLER DE ARTE ARCO IRIS</v>
          </cell>
          <cell r="H55" t="str">
            <v>Autoevaluación Institucional y Pruebas SABER 11</v>
          </cell>
          <cell r="I55" t="str">
            <v>EVALUACIÓN_CON_FINES_DE_MEJORAMIENTO.</v>
          </cell>
          <cell r="J55" t="str">
            <v>Verificar las condiciones en cuanto a: la estructura administrativa, condiciones de la planta física y medios educativos adecuados.</v>
          </cell>
          <cell r="K55" t="str">
            <v>JUAN MANUEL AGUIRRE BOHÓRQUEZ</v>
          </cell>
          <cell r="L55" t="str">
            <v>SANTIAGO ÁVILA LEURO</v>
          </cell>
          <cell r="M55">
            <v>45903</v>
          </cell>
          <cell r="N55">
            <v>45905</v>
          </cell>
          <cell r="O55">
            <v>45911</v>
          </cell>
          <cell r="P55" t="str">
            <v>Visitas de evaluación con fines de mejoramiento</v>
          </cell>
          <cell r="Q55" t="str">
            <v>Acta JARDIN INFANTIL EL TALLER DEL ARCO IRIS.pdf</v>
          </cell>
          <cell r="R55" t="str">
            <v xml:space="preserve">Se verificó que la institución cuenta con una estructura administrativa definida y espacios físicos adecuados y excelente estado para el desarrollo pedagógico </v>
          </cell>
          <cell r="S55" t="str">
            <v>Continuar con la excelente conservación de la planta física y la prestación del servicio educativo en buenas condiciones</v>
          </cell>
          <cell r="T55" t="str">
            <v>No</v>
          </cell>
          <cell r="U55" t="str">
            <v>Verificación de continuidad de las condiciones de infraestructura cuando se requiera</v>
          </cell>
        </row>
        <row r="56">
          <cell r="A56">
            <v>449</v>
          </cell>
          <cell r="B56">
            <v>8</v>
          </cell>
          <cell r="C56" t="str">
            <v>CHAPINERO</v>
          </cell>
          <cell r="D56" t="str">
            <v>PRIVADO</v>
          </cell>
          <cell r="E56" t="str">
            <v>Educación de Jóvenes y Adultos</v>
          </cell>
          <cell r="F56" t="str">
            <v>COLEGIO_KUEPA</v>
          </cell>
          <cell r="G56" t="str">
            <v>COLEGIO KUEPA</v>
          </cell>
          <cell r="H56" t="str">
            <v>Autoevaluación Institucional y Pruebas SABER 11</v>
          </cell>
          <cell r="I56" t="str">
            <v>SEGUIMIENTO_Y_SUPERVISIÓN.</v>
          </cell>
          <cell r="J56" t="str">
            <v>Realizar visitas para verificar la información registrada sobre la autoevaluación institucional en el aplicativo EVI, a los establecimientos de educación formal no oficial.</v>
          </cell>
          <cell r="K56" t="str">
            <v>JUAN MANUEL AGUIRRE BOHÓRQUEZ</v>
          </cell>
          <cell r="L56" t="str">
            <v>SANTIAGO ÁVILA LEURO</v>
          </cell>
          <cell r="M56">
            <v>45758</v>
          </cell>
          <cell r="N56">
            <v>45758</v>
          </cell>
          <cell r="O56">
            <v>45758</v>
          </cell>
          <cell r="P56" t="str">
            <v>Visitas de evaluación con fines de seguimiento</v>
          </cell>
          <cell r="Q56" t="str">
            <v>COLEGIO KUEPA</v>
          </cell>
          <cell r="R56" t="str">
            <v>La información reportada en el EVI coincide con lo verificado durante la visita. La institución realizó la autoevaluación dentro de los tiempos establecidos.</v>
          </cell>
          <cell r="S56" t="str">
            <v>La institución continuará actualizando y manteniendo la información en el aplicativo EVI de forma oportuna, así como reportando los costos educativos dentro de los plazos establecidos, conforme a los lineamientos de la Secretaría de Educación del Distrito.</v>
          </cell>
          <cell r="T56" t="str">
            <v>No</v>
          </cell>
          <cell r="U56" t="str">
            <v>Se realizará seguimiento y se verificará que la información reportada en el EV, así como las tarifas aprobadas por la SED, estén debidamente publicadas por la institución educativa en un lugar visible para la comunidad.</v>
          </cell>
        </row>
        <row r="57">
          <cell r="A57">
            <v>450</v>
          </cell>
          <cell r="B57"/>
          <cell r="C57" t="str">
            <v>CHAPINERO</v>
          </cell>
          <cell r="D57" t="str">
            <v>PRIVADO</v>
          </cell>
          <cell r="E57" t="str">
            <v>Educación de Jóvenes y Adultos</v>
          </cell>
          <cell r="F57" t="str">
            <v>COLEGIO_KUEPA</v>
          </cell>
          <cell r="G57" t="str">
            <v>COLEGIO KUEPA</v>
          </cell>
          <cell r="H57" t="str">
            <v>Autoevaluación Institucional y Pruebas SABER 11</v>
          </cell>
          <cell r="I57" t="str">
            <v>SEGUIMIENTO_Y_SUPERVISIÓN.</v>
          </cell>
          <cell r="J57" t="str">
            <v>Proponer estrategias en la formulación, verificar su elaboración y realizar seguimiento semestral al desarrollo de  las acciones establecidas en los planes de mejoramiento por pruebas SABER 11 de los establecimientos de educación formal.</v>
          </cell>
          <cell r="K57" t="str">
            <v>JUAN MANUEL AGUIRRE BOHÓRQUEZ</v>
          </cell>
          <cell r="L57" t="str">
            <v>SANTIAGO ÁVILA LEURO</v>
          </cell>
          <cell r="M57">
            <v>45758</v>
          </cell>
          <cell r="N57">
            <v>45758</v>
          </cell>
          <cell r="O57">
            <v>45758</v>
          </cell>
          <cell r="P57" t="str">
            <v>Visitas de evaluación con fines de seguimiento</v>
          </cell>
          <cell r="Q57" t="str">
            <v>COLEGIO KUEPA</v>
          </cell>
          <cell r="R57" t="str">
            <v xml:space="preserve">En el colegio se llevan a cabo simulacros internos organizados por la institución en colaboración con Kuepa – (PMI).
</v>
          </cell>
          <cell r="S57" t="str">
            <v>como estrategia y con base en los elementos evaluados durante dichos simulacros, se realizan capacitaciones dirigidas a áreas focalizadas, con el fin de fortalecer las competencias identificadas como prioritarias.</v>
          </cell>
          <cell r="T57" t="str">
            <v>No</v>
          </cell>
          <cell r="U57" t="str">
            <v>Se realizara seguimiento a los resultados de las pruebas 2025 con el fin de verificar la pertinencia de la estrategia determinada en la IE</v>
          </cell>
        </row>
        <row r="58">
          <cell r="A58">
            <v>451</v>
          </cell>
          <cell r="B58"/>
          <cell r="C58" t="str">
            <v>CHAPINERO</v>
          </cell>
          <cell r="D58" t="str">
            <v>PRIVADO</v>
          </cell>
          <cell r="E58" t="str">
            <v>Educación de Jóvenes y Adultos</v>
          </cell>
          <cell r="F58" t="str">
            <v>COLEGIO_KUEPA</v>
          </cell>
          <cell r="G58" t="str">
            <v>COLEGIO KUEPA</v>
          </cell>
          <cell r="H58" t="str">
            <v>Autoevaluación Institucional y Pruebas SABER 11</v>
          </cell>
          <cell r="I58" t="str">
            <v>SEGUIMIENTO_Y_SUPERVISIÓN.</v>
          </cell>
          <cell r="J58" t="str">
            <v xml:space="preserve">Verificar la implementación por parte de los colegios, de acciones realizadas para la prevención y atención de las situaciones de convivencia en el entorno escolar, según lo establecido en la Directiva 01 de 2022 del MEN. </v>
          </cell>
          <cell r="K58" t="str">
            <v>JUAN MANUEL AGUIRRE BOHÓRQUEZ</v>
          </cell>
          <cell r="L58" t="str">
            <v>SANTIAGO ÁVILA LEURO</v>
          </cell>
          <cell r="M58">
            <v>45758</v>
          </cell>
          <cell r="N58">
            <v>45758</v>
          </cell>
          <cell r="O58">
            <v>45758</v>
          </cell>
          <cell r="P58" t="str">
            <v>Visitas de evaluación con fines de seguimiento</v>
          </cell>
          <cell r="Q58" t="str">
            <v>COLEGIO KUEPA</v>
          </cell>
          <cell r="R58" t="str">
            <v>Se evidencia que la IE construye y socializa el manual de convivencia con la comunidad educativa, desarrolla acciones de convivencia lideradas por el Comité Escolar de Convivencia, analiza estadísticamente las alertas reportadas y, con base en dichos análisis, implementa estrategias de promoción y prevención dirigidas a fortalecer la sana convivencia escolar.</v>
          </cell>
          <cell r="S58" t="str">
            <v xml:space="preserve">Fortalecimiento del Comité Escolar de Convivencia:
Capacitar periódicamente al comité en normativas y manejo de conflictos, asegurando la participación activa de todos los actores de la comunidad educativa.
</v>
          </cell>
          <cell r="T58" t="str">
            <v>No</v>
          </cell>
          <cell r="U58" t="str">
            <v>Se realizara seguimiento al cumplimiento del plan de capacitación del Comité de Convivencia, verificando asistencia, contenidos y aplicación en casos reales.</v>
          </cell>
        </row>
        <row r="59">
          <cell r="A59">
            <v>452</v>
          </cell>
          <cell r="B59"/>
          <cell r="C59" t="str">
            <v>CHAPINERO</v>
          </cell>
          <cell r="D59" t="str">
            <v>PRIVADO</v>
          </cell>
          <cell r="E59" t="str">
            <v>Educación de Jóvenes y Adultos</v>
          </cell>
          <cell r="F59" t="str">
            <v>COLEGIO_KUEPA</v>
          </cell>
          <cell r="G59" t="str">
            <v>COLEGIO KUEPA</v>
          </cell>
          <cell r="H59" t="str">
            <v>Autoevaluación Institucional y Pruebas SABER 11</v>
          </cell>
          <cell r="I59" t="str">
            <v>SEGUIMIENTO_Y_SUPERVISIÓN.</v>
          </cell>
          <cell r="J5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9" t="str">
            <v>JUAN MANUEL AGUIRRE BOHÓRQUEZ</v>
          </cell>
          <cell r="L59" t="str">
            <v>SANTIAGO ÁVILA LEURO</v>
          </cell>
          <cell r="M59">
            <v>45758</v>
          </cell>
          <cell r="N59">
            <v>45758</v>
          </cell>
          <cell r="O59">
            <v>45758</v>
          </cell>
          <cell r="P59" t="str">
            <v>Visitas de evaluación con fines de seguimiento</v>
          </cell>
          <cell r="Q59" t="str">
            <v>COLEGIO KUEPA</v>
          </cell>
          <cell r="R59" t="str">
            <v>El colegio no cuenta con estudiantes que presenten discapacidad, trastornos del aprendizaje ni condiciones de talento excepcional, según la información disponible en la actualidad</v>
          </cell>
          <cell r="S59" t="str">
            <v>La institución se compromete a realizar procesos de identificación temprana y caracterización en caso de ingresar estudiantes con discapacidad o talentos excepcionales, y a formular los respectivos PIAR de acuerdo con el Decreto 1421 de 2017, garantizando su articulación con el PEI y el manual de convivencia.</v>
          </cell>
          <cell r="T59" t="str">
            <v>No</v>
          </cell>
          <cell r="U59" t="str">
            <v>Se verificará periódicamente si se presentan ingresos de estudiantes con discapacidad o talentos excepcionales, y en tal caso, el cumplimiento de la caracterización, formulación y ejecución de los PIAR, conforme a la normativa vigente.</v>
          </cell>
        </row>
        <row r="60">
          <cell r="A60">
            <v>453</v>
          </cell>
          <cell r="B60"/>
          <cell r="C60" t="str">
            <v>CHAPINERO</v>
          </cell>
          <cell r="D60" t="str">
            <v>PRIVADO</v>
          </cell>
          <cell r="E60" t="str">
            <v>Educación de Jóvenes y Adultos</v>
          </cell>
          <cell r="F60" t="str">
            <v>COLEGIO_KUEPA</v>
          </cell>
          <cell r="G60" t="str">
            <v>COLEGIO KUEPA</v>
          </cell>
          <cell r="H60" t="str">
            <v>Autoevaluación Institucional y Pruebas SABER 11</v>
          </cell>
          <cell r="I60" t="str">
            <v>EVALUACIÓN_CON_FINES_DE_MEJORAMIENTO.</v>
          </cell>
          <cell r="J6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0" t="str">
            <v>JUAN MANUEL AGUIRRE BOHÓRQUEZ</v>
          </cell>
          <cell r="L60" t="str">
            <v>SANTIAGO ÁVILA LEURO</v>
          </cell>
          <cell r="M60">
            <v>45758</v>
          </cell>
          <cell r="N60">
            <v>45758</v>
          </cell>
          <cell r="O60">
            <v>45758</v>
          </cell>
          <cell r="P60" t="str">
            <v>Visitas de evaluación con fines de seguimiento</v>
          </cell>
          <cell r="Q60" t="str">
            <v>INFORME VERIFICACIÓN Y EVALUACIÓN MANUAL DE CONVIVENCIA COLEGIO KUEPA.pdf</v>
          </cell>
          <cell r="R60" t="str">
            <v>No se evidencia que el colegio actualice anualmente el manual de convivencia</v>
          </cell>
          <cell r="S60" t="str">
            <v>implementar un cronograma institucional para su revisión cada año, con participación del comité de convivencia Este proceso debe considerar los cambios normativos y necesidades del contexto escolar, y culminar con su aprobación por el Consejo Directivo.</v>
          </cell>
          <cell r="T60" t="str">
            <v>Si</v>
          </cell>
          <cell r="U60" t="str">
            <v xml:space="preserve"> verificar que el colegio realice la actualización del manual de convivencia en temas como salidas pedagógicas directiva ministerial 55, ley 1620 de 2013, el servicio social obligatorio e incluir el manejo de las PQRS</v>
          </cell>
        </row>
        <row r="61">
          <cell r="A61">
            <v>454</v>
          </cell>
          <cell r="B61"/>
          <cell r="C61" t="str">
            <v>CHAPINERO</v>
          </cell>
          <cell r="D61" t="str">
            <v>PRIVADO</v>
          </cell>
          <cell r="E61" t="str">
            <v>Educación de Jóvenes y Adultos</v>
          </cell>
          <cell r="F61" t="str">
            <v>COLEGIO_KUEPA</v>
          </cell>
          <cell r="G61" t="str">
            <v>COLEGIO KUEPA</v>
          </cell>
          <cell r="H61" t="str">
            <v>Autoevaluación Institucional y Pruebas SABER 11</v>
          </cell>
          <cell r="I61" t="str">
            <v>EVALUACIÓN_CON_FINES_DE_MEJORAMIENTO.</v>
          </cell>
          <cell r="J61" t="str">
            <v>Revisar la actualización, socialización e implementación del Sistema Institucional de Evaluación de Estudiantes - SIEE, en articulación con la actualización del PEI y la normatividad vigente.</v>
          </cell>
          <cell r="K61" t="str">
            <v>JUAN MANUEL AGUIRRE BOHÓRQUEZ</v>
          </cell>
          <cell r="L61" t="str">
            <v>SANTIAGO ÁVILA LEURO</v>
          </cell>
          <cell r="M61">
            <v>45758</v>
          </cell>
          <cell r="N61">
            <v>45758</v>
          </cell>
          <cell r="O61">
            <v>45758</v>
          </cell>
          <cell r="P61" t="str">
            <v>Visitas de evaluación con fines de seguimiento</v>
          </cell>
          <cell r="Q61" t="str">
            <v>COLEGIO KUEPA</v>
          </cell>
          <cell r="R61" t="str">
            <v>El PEI incluye el SIEE de acuerdo con la metodología propuesta</v>
          </cell>
          <cell r="S61" t="str">
            <v>Realizar una nueva lectura y revisión integral del  (PEI), con el fin de actualizarlo conforme a las necesidades actuales de la comunidad educativa y los lineamientos normativos vigentes.</v>
          </cell>
          <cell r="T61" t="str">
            <v>Si</v>
          </cell>
          <cell r="U61" t="str">
            <v>Se verificara el avance y cumplimiento de la actualización del PEI, asegurando la incorporación de necesidades actuales y lineamientos normativos vigentes.</v>
          </cell>
        </row>
        <row r="62">
          <cell r="A62">
            <v>455</v>
          </cell>
          <cell r="B62"/>
          <cell r="C62" t="str">
            <v>CHAPINERO</v>
          </cell>
          <cell r="D62" t="str">
            <v>PRIVADO</v>
          </cell>
          <cell r="E62" t="str">
            <v>Educación de Jóvenes y Adultos</v>
          </cell>
          <cell r="F62" t="str">
            <v>COLEGIO_KUEPA</v>
          </cell>
          <cell r="G62" t="str">
            <v>COLEGIO KUEPA</v>
          </cell>
          <cell r="H62" t="str">
            <v>Autoevaluación Institucional y Pruebas SABER 11</v>
          </cell>
          <cell r="I62" t="str">
            <v>EVALUACIÓN_CON_FINES_DE_MEJORAMIENTO.</v>
          </cell>
          <cell r="J62" t="str">
            <v>Revisar el calendario escolar, jornada escolar, la intensidad horaria mínima anual en cada nivel y las modificaciones que se realicen al mismo, de acuerdo con lo previsto en la normatividad vigente.</v>
          </cell>
          <cell r="K62" t="str">
            <v>JUAN MANUEL AGUIRRE BOHÓRQUEZ</v>
          </cell>
          <cell r="L62" t="str">
            <v>SANTIAGO ÁVILA LEURO</v>
          </cell>
          <cell r="M62">
            <v>45758</v>
          </cell>
          <cell r="N62">
            <v>45758</v>
          </cell>
          <cell r="O62">
            <v>45758</v>
          </cell>
          <cell r="P62" t="str">
            <v>Visitas de evaluación con fines de seguimiento</v>
          </cell>
          <cell r="Q62" t="str">
            <v>COLEGIO KUEPA</v>
          </cell>
          <cell r="R62" t="str">
            <v>La institución educativa cumple con la jornada educativa y el calendario escolar I</v>
          </cell>
          <cell r="S62" t="str">
            <v>Ajustar en el aplicativo EVI las horas efectivamente proyectadas</v>
          </cell>
          <cell r="T62" t="str">
            <v>No</v>
          </cell>
          <cell r="U62" t="str">
            <v>Se verificara en la autoevaluación del 2025 que se diligencien las horas que efectivamente reportan en el calendario académico</v>
          </cell>
        </row>
        <row r="63">
          <cell r="A63">
            <v>456</v>
          </cell>
          <cell r="B63"/>
          <cell r="C63" t="str">
            <v>CHAPINERO</v>
          </cell>
          <cell r="D63" t="str">
            <v>PRIVADO</v>
          </cell>
          <cell r="E63" t="str">
            <v>Educación de Jóvenes y Adultos</v>
          </cell>
          <cell r="F63" t="str">
            <v>COLEGIO_KUEPA</v>
          </cell>
          <cell r="G63" t="str">
            <v>COLEGIO KUEPA</v>
          </cell>
          <cell r="H63" t="str">
            <v>Autoevaluación Institucional y Pruebas SABER 11</v>
          </cell>
          <cell r="I63" t="str">
            <v>EVALUACIÓN_CON_FINES_DE_MEJORAMIENTO.</v>
          </cell>
          <cell r="J63" t="str">
            <v>Verificar el funcionamiento del Gobierno Escolar e instancias de participación con base en la información sobre conformación reportada por la institución educativa.</v>
          </cell>
          <cell r="K63" t="str">
            <v>JUAN MANUEL AGUIRRE BOHÓRQUEZ</v>
          </cell>
          <cell r="L63" t="str">
            <v>SANTIAGO ÁVILA LEURO</v>
          </cell>
          <cell r="M63">
            <v>45758</v>
          </cell>
          <cell r="N63">
            <v>45758</v>
          </cell>
          <cell r="O63">
            <v>45758</v>
          </cell>
          <cell r="P63" t="str">
            <v>Visitas de evaluación con fines de seguimiento</v>
          </cell>
          <cell r="Q63" t="str">
            <v>COLEGIO KUEPA</v>
          </cell>
          <cell r="R63" t="str">
            <v>Se evidencia el adecuado funcionamiento del Gobierno Escolar y de las instancias de participación, con base en la información sobre su conformación reportada por el colegio en el SAE.</v>
          </cell>
          <cell r="S63" t="str">
            <v>Se implementarán acciones de mejora orientadas a fortalecer su operatividad, representatividad y participación activa de la comunidad educativa</v>
          </cell>
          <cell r="T63" t="str">
            <v>No</v>
          </cell>
          <cell r="U63" t="str">
            <v>Se realizar seguimiento al fortalecimiento del Gobierno Escolar e instancias de participación, mediante la revisión de actas, informes de gestión y evidencias de participación activa de la comunidad educativa</v>
          </cell>
        </row>
        <row r="64">
          <cell r="A64">
            <v>457</v>
          </cell>
          <cell r="B64"/>
          <cell r="C64" t="str">
            <v>CHAPINERO</v>
          </cell>
          <cell r="D64" t="str">
            <v>PRIVADO</v>
          </cell>
          <cell r="E64" t="str">
            <v>Educación de Jóvenes y Adultos</v>
          </cell>
          <cell r="F64" t="str">
            <v>COLEGIO_KUEPA</v>
          </cell>
          <cell r="G64" t="str">
            <v>COLEGIO KUEPA</v>
          </cell>
          <cell r="H64" t="str">
            <v>Autoevaluación Institucional y Pruebas SABER 11</v>
          </cell>
          <cell r="I64" t="str">
            <v>EVALUACIÓN_CON_FINES_DE_MEJORAMIENTO.</v>
          </cell>
          <cell r="J64" t="str">
            <v>Verificar las condiciones en cuanto a: la estructura administrativa, condiciones de la planta física y medios educativos adecuados.</v>
          </cell>
          <cell r="K64" t="str">
            <v>JUAN MANUEL AGUIRRE BOHÓRQUEZ</v>
          </cell>
          <cell r="L64" t="str">
            <v>SANTIAGO ÁVILA LEURO</v>
          </cell>
          <cell r="M64">
            <v>45758</v>
          </cell>
          <cell r="N64">
            <v>45758</v>
          </cell>
          <cell r="O64">
            <v>45758</v>
          </cell>
          <cell r="P64" t="str">
            <v>Visitas de evaluación con fines de seguimiento</v>
          </cell>
          <cell r="Q64" t="str">
            <v>COLEGIO KUEPA</v>
          </cell>
          <cell r="R64" t="str">
            <v>La planta física del establecimiento cumple con las condiciones adecuadas y los requisitos necesarios para garantizar la prestación del servicio educativo de manera segura y funcional</v>
          </cell>
          <cell r="S64" t="str">
            <v>Implementar un plan de mantenimiento preventivo y correctivo anual, capacitación al personal y participación de la comunidad educativa en el cuidado de la infraestructura.</v>
          </cell>
          <cell r="T64" t="str">
            <v>No</v>
          </cell>
          <cell r="U64" t="str">
            <v>Realizar inspecciones periódicas de la planta física mediante listas de chequeo, con registro de observaciones y plan de mantenimiento preventivo y correctivo</v>
          </cell>
        </row>
        <row r="65">
          <cell r="A65">
            <v>458</v>
          </cell>
          <cell r="B65">
            <v>9</v>
          </cell>
          <cell r="C65" t="str">
            <v>CHAPINERO</v>
          </cell>
          <cell r="D65" t="str">
            <v>PRIVADO</v>
          </cell>
          <cell r="E65" t="str">
            <v>Educación de Jóvenes y Adultos</v>
          </cell>
          <cell r="F65" t="str">
            <v>ARETE</v>
          </cell>
          <cell r="G65" t="str">
            <v>ARETE</v>
          </cell>
          <cell r="H65" t="str">
            <v>Autoevaluación Institucional y Pruebas SABER 11</v>
          </cell>
          <cell r="I65" t="str">
            <v>SEGUIMIENTO_Y_SUPERVISIÓN.</v>
          </cell>
          <cell r="J65"/>
          <cell r="K65" t="str">
            <v>SANTIAGO ÁVILA LEURO</v>
          </cell>
          <cell r="L65" t="str">
            <v>JUAN MANUEL AGUIRRE BOHÓRQUEZ</v>
          </cell>
          <cell r="M65">
            <v>45733</v>
          </cell>
          <cell r="N65"/>
          <cell r="O65"/>
          <cell r="P65"/>
          <cell r="Q65"/>
          <cell r="R65"/>
          <cell r="S65"/>
          <cell r="T65"/>
          <cell r="U65" t="str">
            <v>Se sustituye por el colegio Filadelfia, por  cuanto la IE solicitó cambio de sede</v>
          </cell>
        </row>
        <row r="66">
          <cell r="A66">
            <v>459</v>
          </cell>
          <cell r="B66">
            <v>9</v>
          </cell>
          <cell r="C66" t="str">
            <v>CHAPINERO</v>
          </cell>
          <cell r="D66" t="str">
            <v>PRIVADO</v>
          </cell>
          <cell r="E66" t="str">
            <v>EPBM</v>
          </cell>
          <cell r="F66" t="str">
            <v>COLEGIO_FILADELFIA</v>
          </cell>
          <cell r="G66" t="str">
            <v>COLEGIO FILADELFIA</v>
          </cell>
          <cell r="H66" t="str">
            <v>Autoevaluación Institucional y Pruebas SABER 11</v>
          </cell>
          <cell r="I66" t="str">
            <v>SEGUIMIENTO_Y_SUPERVISIÓN.</v>
          </cell>
          <cell r="J66" t="str">
            <v>Realizar visitas para verificar la información registrada sobre la autoevaluación institucional en el aplicativo EVI, a los establecimientos de educación formal no oficial.</v>
          </cell>
          <cell r="K66" t="str">
            <v>SANTIAGO ÁVILA LEURO</v>
          </cell>
          <cell r="L66" t="str">
            <v>JUAN MANUEL AGUIRRE BOHÓRQUEZ</v>
          </cell>
          <cell r="M66">
            <v>45800</v>
          </cell>
          <cell r="N66">
            <v>45800</v>
          </cell>
          <cell r="O66">
            <v>45800</v>
          </cell>
          <cell r="P66" t="str">
            <v>Visitas de evaluación con fines de mejoramiento</v>
          </cell>
          <cell r="Q66" t="str">
            <v>COLEGIO FILADELFIA</v>
          </cell>
          <cell r="R66" t="str">
            <v>La información registrada en EVI coincide con la realidad institucional. Las tarifas están publicadas y socializadas. Hay procedimientos claros para matrícula y registro en SIMAT. Se realiza seguimiento académico en GNOSOFT. El currículo está articulado con el PEI. Se aplican estrategias de apoyo y seguimiento en caso de inasistencia o bajo rendimiento. Los espacios físicos están dotados y en buen estado.</v>
          </cell>
          <cell r="S66" t="str">
            <v>La IE continuará aplicando sus procedimientos de matrícula, seguimiento académico en GNOSOFT y estrategias pedagógicas según los casos. Se mantendrá la articulación entre currículo y PEI, y se fortalecerá el mantenimiento preventivo de la planta física. Se revisará el currículo en el Consejo Académico y se dará seguimiento a casos de inasistencia con acompañamiento a las familias.</v>
          </cell>
          <cell r="T66" t="str">
            <v>No</v>
          </cell>
          <cell r="U66" t="str">
            <v>Verificar publicación visible de tarifas y cumplimiento del procedimiento de matrícula. Supervisar el uso de GNOSOFT y la ejecución de estrategias pedagógicas cuando se requiera. Hacer seguimiento a mantenimiento de espacios físicos y revisar actas de Consejo Académico para confirmar ajustes curriculares.</v>
          </cell>
        </row>
        <row r="67">
          <cell r="A67">
            <v>460</v>
          </cell>
          <cell r="B67"/>
          <cell r="C67" t="str">
            <v>CHAPINERO</v>
          </cell>
          <cell r="D67" t="str">
            <v>PRIVADO</v>
          </cell>
          <cell r="E67" t="str">
            <v>EPBM</v>
          </cell>
          <cell r="F67" t="str">
            <v>COLEGIO_FILADELFIA</v>
          </cell>
          <cell r="G67" t="str">
            <v>COLEGIO FILADELFIA</v>
          </cell>
          <cell r="H67" t="str">
            <v>Autoevaluación Institucional y Pruebas SABER 11</v>
          </cell>
          <cell r="I67" t="str">
            <v>SEGUIMIENTO_Y_SUPERVISIÓN.</v>
          </cell>
          <cell r="J67" t="str">
            <v xml:space="preserve">Verificar la implementación por parte de los colegios, de acciones realizadas para la prevención y atención de las situaciones de convivencia en el entorno escolar, según lo establecido en la Directiva 01 de 2022 del MEN. </v>
          </cell>
          <cell r="K67" t="str">
            <v>SANTIAGO ÁVILA LEURO</v>
          </cell>
          <cell r="L67" t="str">
            <v>JUAN MANUEL AGUIRRE BOHÓRQUEZ</v>
          </cell>
          <cell r="M67">
            <v>45800</v>
          </cell>
          <cell r="N67">
            <v>45800</v>
          </cell>
          <cell r="O67">
            <v>45800</v>
          </cell>
          <cell r="P67" t="str">
            <v>Visitas de evaluación con fines de mejoramiento</v>
          </cell>
          <cell r="Q67" t="str">
            <v>COLEGIO FILADELFIA</v>
          </cell>
          <cell r="R67" t="str">
            <v>La institución cuenta con un manual de convivencia construido y actualizado participativamente. Se aplican los enfoques de respeto, diversidad y resolución pacífica debe fortalecer el enfoque restaurativo. El Comité de Convivencia opera conforme a la norma y adelanta acciones de prevención. Se aplican los protocolos de la Ley 1620 de 2013 y se garantiza el debido proceso. Las situaciones tipo II y III son reportadas en el Sistema de Alertas del Distrito.</v>
          </cell>
          <cell r="S67" t="str">
            <v>Fortalecer el enfoque restaurativo en el manual de convivencia, haciendo más explícitas sus estrategias. Continuar aplicando los protocolos establecidos y desarrollando acciones de prevención basadas en el análisis de casos reportados. Reforzar la participación activa del comité y la orientación a estudiantes y familias.</v>
          </cell>
          <cell r="T67" t="str">
            <v>Si</v>
          </cell>
          <cell r="U67" t="str">
            <v>Realizar revisión del manual de convivencia en su próxima actualización para verificar el fortalecimiento del enfoque restaurativo. Verificar el funcionamiento del comité mediante actas y evidencias de acciones preventivas. Confirmar el reporte oportuno en el Sistema de Alertas y el cumplimiento del debido proceso en los casos tratados.</v>
          </cell>
        </row>
        <row r="68">
          <cell r="A68">
            <v>461</v>
          </cell>
          <cell r="B68"/>
          <cell r="C68" t="str">
            <v>CHAPINERO</v>
          </cell>
          <cell r="D68" t="str">
            <v>PRIVADO</v>
          </cell>
          <cell r="E68" t="str">
            <v>EPBM</v>
          </cell>
          <cell r="F68" t="str">
            <v>COLEGIO_FILADELFIA</v>
          </cell>
          <cell r="G68" t="str">
            <v>COLEGIO FILADELFIA</v>
          </cell>
          <cell r="H68" t="str">
            <v>Autoevaluación Institucional y Pruebas SABER 11</v>
          </cell>
          <cell r="I68" t="str">
            <v>SEGUIMIENTO_Y_SUPERVISIÓN.</v>
          </cell>
          <cell r="J6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8" t="str">
            <v>SANTIAGO ÁVILA LEURO</v>
          </cell>
          <cell r="L68" t="str">
            <v>JUAN MANUEL AGUIRRE BOHÓRQUEZ</v>
          </cell>
          <cell r="M68">
            <v>45800</v>
          </cell>
          <cell r="N68">
            <v>45800</v>
          </cell>
          <cell r="O68">
            <v>45800</v>
          </cell>
          <cell r="P68" t="str">
            <v>Visitas de evaluación con fines de mejoramiento</v>
          </cell>
          <cell r="Q68" t="str">
            <v>COLEGIO FILADELFIA</v>
          </cell>
          <cell r="R68" t="str">
            <v>La institución educativa ha identificado y caracterizado a dos estudiantes con Trastorno por Déficit de Atención e Hiperactividad (TDAH) en grado tercero. Se han implementado estrategias de atención acordes a las necesidades de estos estudiantes, alineadas con el Plan de Mejoramiento Institucional (PMI). Además, la IE cuenta con dos Planes Individuales de Ajustes Razonables (PIAR) para estudiantes con discapacidad, elaborados en conjunto con el equipo docente, orientadora escolar y familias.</v>
          </cell>
          <cell r="S68" t="str">
            <v>La institución se compromete a continuar fortaleciendo la identificación y caracterización de estudiantes con trastornos de aprendizaje y talentos excepcionales. Se reafirma el compromiso con la elaboración, actualización y desarrollo de los PIAR, garantizando condiciones equitativas de acceso y participación para todos los estudiantes. Se recomienda mantener la articulación constante entre docentes, orientadores y familias para la adecuada implementación de ajustes razonables.</v>
          </cell>
          <cell r="T68" t="str">
            <v>No</v>
          </cell>
          <cell r="U68" t="str">
            <v>Realizar seguimiento periódico a los PIAR mediante reuniones con el equipo docente y la orientadora escolar para evaluar su efectividad y actualizar los ajustes según las necesidades cambiantes de los estudiantes. Verificar el cumplimiento del Plan de Mejoramiento Institucional en relación con la atención a estudiantes con necesidades educativas especiales, con informes trimestrales de avance.</v>
          </cell>
        </row>
        <row r="69">
          <cell r="A69">
            <v>462</v>
          </cell>
          <cell r="B69"/>
          <cell r="C69" t="str">
            <v>CHAPINERO</v>
          </cell>
          <cell r="D69" t="str">
            <v>PRIVADO</v>
          </cell>
          <cell r="E69" t="str">
            <v>EPBM</v>
          </cell>
          <cell r="F69" t="str">
            <v>COLEGIO_FILADELFIA</v>
          </cell>
          <cell r="G69" t="str">
            <v>COLEGIO FILADELFIA</v>
          </cell>
          <cell r="H69" t="str">
            <v>Autoevaluación Institucional y Pruebas SABER 11</v>
          </cell>
          <cell r="I69" t="str">
            <v>EVALUACIÓN_CON_FINES_DE_MEJORAMIENTO.</v>
          </cell>
          <cell r="J6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9" t="str">
            <v>SANTIAGO ÁVILA LEURO</v>
          </cell>
          <cell r="L69" t="str">
            <v>JUAN MANUEL AGUIRRE BOHÓRQUEZ</v>
          </cell>
          <cell r="M69">
            <v>45800</v>
          </cell>
          <cell r="N69">
            <v>45800</v>
          </cell>
          <cell r="O69">
            <v>45800</v>
          </cell>
          <cell r="P69" t="str">
            <v>Visitas de evaluación con fines de mejoramiento</v>
          </cell>
          <cell r="Q69" t="str">
            <v>MANUAL FILADELFIA</v>
          </cell>
          <cell r="R69" t="str">
            <v>El manual de convivencia fue construido de forma participativa, incluye los elementos legales y enfoques para la diversidad y el respeto, aunque el enfoque restaurativo requiere fortalecerse. Se actualiza anualmente, el comité de convivencia funciona y se aplican las rutas y protocolos según la Ley 1620. Las situaciones graves se reportan al Sistema de Alertas y se garantizan los derechos en los procesos disciplinarios.</v>
          </cell>
          <cell r="S69" t="str">
            <v>La institución se compromete a fortalecer el enfoque restaurativo, mantener la actualización anual y garantizar la efectiva implementación del plan de convivencia y protocolos.</v>
          </cell>
          <cell r="T69" t="str">
            <v>Si</v>
          </cell>
          <cell r="U69" t="str">
            <v>Revisar y ajustar el manual para mejorar el enfoque restaurativo. Supervisar el comité y las acciones preventivas. Evaluar el cumplimiento del debido proceso en sanciones. A mas tardar el día 10 de julio de 2025</v>
          </cell>
        </row>
        <row r="70">
          <cell r="A70">
            <v>463</v>
          </cell>
          <cell r="B70"/>
          <cell r="C70" t="str">
            <v>CHAPINERO</v>
          </cell>
          <cell r="D70" t="str">
            <v>PRIVADO</v>
          </cell>
          <cell r="E70" t="str">
            <v>EPBM</v>
          </cell>
          <cell r="F70" t="str">
            <v>COLEGIO_FILADELFIA</v>
          </cell>
          <cell r="G70" t="str">
            <v>COLEGIO FILADELFIA</v>
          </cell>
          <cell r="H70" t="str">
            <v>Autoevaluación Institucional y Pruebas SABER 11</v>
          </cell>
          <cell r="I70" t="str">
            <v>EVALUACIÓN_CON_FINES_DE_MEJORAMIENTO.</v>
          </cell>
          <cell r="J70" t="str">
            <v>Revisar la actualización, socialización e implementación del Sistema Institucional de Evaluación de Estudiantes - SIEE, en articulación con la actualización del PEI y la normatividad vigente.</v>
          </cell>
          <cell r="K70" t="str">
            <v>SANTIAGO ÁVILA LEURO</v>
          </cell>
          <cell r="L70" t="str">
            <v>JUAN MANUEL AGUIRRE BOHÓRQUEZ</v>
          </cell>
          <cell r="M70">
            <v>45800</v>
          </cell>
          <cell r="N70">
            <v>45800</v>
          </cell>
          <cell r="O70">
            <v>45800</v>
          </cell>
          <cell r="P70" t="str">
            <v>Visitas de evaluación con fines de mejoramiento</v>
          </cell>
          <cell r="Q70" t="str">
            <v>COLEGIO FILADELFIA</v>
          </cell>
          <cell r="R70" t="str">
            <v>El Colegio Filadelfia para Niños desarrolla su propuesta pedagógica para preescolar acorde con las bases curriculares y el PEI, documentando el seguimiento individual del aprendizaje. En básica y media, el currículo tiene objetivos progresivos claros y se registra toda la información académica en la plataforma GNOSOFT. Se cuentan con estrategias de apoyo y nivelación para atender las necesidades de los estudiantes.</v>
          </cell>
          <cell r="S70" t="str">
            <v>Mantener la actualización y articulación del SIEE con el PEI y normatividad vigente. Continuar implementando y mejorando las estrategias de apoyo y nivelación para optimizar el proceso de aprendizaje.</v>
          </cell>
          <cell r="T70" t="str">
            <v>No</v>
          </cell>
          <cell r="U70" t="str">
            <v>Verificar periódicamente el uso y actualización de la plataforma GNOSOFT. Realizar seguimiento a los planes de mejoramiento y estrategias pedagógicas aplicadas. Revisar la coherencia entre el diseño curricular y el PEI.</v>
          </cell>
        </row>
        <row r="71">
          <cell r="A71">
            <v>464</v>
          </cell>
          <cell r="B71"/>
          <cell r="C71" t="str">
            <v>CHAPINERO</v>
          </cell>
          <cell r="D71" t="str">
            <v>PRIVADO</v>
          </cell>
          <cell r="E71" t="str">
            <v>EPBM</v>
          </cell>
          <cell r="F71" t="str">
            <v>COLEGIO_FILADELFIA</v>
          </cell>
          <cell r="G71" t="str">
            <v>COLEGIO FILADELFIA</v>
          </cell>
          <cell r="H71" t="str">
            <v>Autoevaluación Institucional y Pruebas SABER 11</v>
          </cell>
          <cell r="I71" t="str">
            <v>EVALUACIÓN_CON_FINES_DE_MEJORAMIENTO.</v>
          </cell>
          <cell r="J71" t="str">
            <v>Revisar el calendario escolar, jornada escolar, la intensidad horaria mínima anual en cada nivel y las modificaciones que se realicen al mismo, de acuerdo con lo previsto en la normatividad vigente.</v>
          </cell>
          <cell r="K71" t="str">
            <v>SANTIAGO ÁVILA LEURO</v>
          </cell>
          <cell r="L71" t="str">
            <v>JUAN MANUEL AGUIRRE BOHÓRQUEZ</v>
          </cell>
          <cell r="M71">
            <v>45800</v>
          </cell>
          <cell r="N71">
            <v>45800</v>
          </cell>
          <cell r="O71">
            <v>45800</v>
          </cell>
          <cell r="P71" t="str">
            <v>Visitas de evaluación con fines de mejoramiento</v>
          </cell>
          <cell r="Q71" t="str">
            <v>COLEGIO FILADELFIA</v>
          </cell>
          <cell r="R71" t="str">
            <v>Durante la visita se verificó que el calendario escolar institucional garantiza el cumplimiento de la intensidad horaria mínima anual para todos los niveles educativos que ofrece la institución, acorde con la normatividad vigente del Ministerio de Educación Nacional.</v>
          </cell>
          <cell r="S71" t="str">
            <v>Mantener la adecuada programación y supervisión del calendario escolar para asegurar la continuidad del cumplimiento de la intensidad horaria mínima establecida.</v>
          </cell>
          <cell r="T71" t="str">
            <v>No</v>
          </cell>
          <cell r="U71" t="str">
            <v>Realizar seguimiento anual al calendario escolar para verificar que no se presenten modificaciones que afecten la intensidad horaria mínima. Revisar informes de asistencia y cumplimiento de la jornada escolar.</v>
          </cell>
        </row>
        <row r="72">
          <cell r="A72">
            <v>465</v>
          </cell>
          <cell r="B72"/>
          <cell r="C72" t="str">
            <v>CHAPINERO</v>
          </cell>
          <cell r="D72" t="str">
            <v>PRIVADO</v>
          </cell>
          <cell r="E72" t="str">
            <v>EPBM</v>
          </cell>
          <cell r="F72" t="str">
            <v>COLEGIO_FILADELFIA</v>
          </cell>
          <cell r="G72" t="str">
            <v>COLEGIO FILADELFIA</v>
          </cell>
          <cell r="H72" t="str">
            <v>Autoevaluación Institucional y Pruebas SABER 11</v>
          </cell>
          <cell r="I72" t="str">
            <v>EVALUACIÓN_CON_FINES_DE_MEJORAMIENTO.</v>
          </cell>
          <cell r="J72" t="str">
            <v>Verificar el funcionamiento del Gobierno Escolar e instancias de participación con base en la información sobre conformación reportada por la institución educativa.</v>
          </cell>
          <cell r="K72" t="str">
            <v>SANTIAGO ÁVILA LEURO</v>
          </cell>
          <cell r="L72" t="str">
            <v>JUAN MANUEL AGUIRRE BOHÓRQUEZ</v>
          </cell>
          <cell r="M72">
            <v>45800</v>
          </cell>
          <cell r="N72">
            <v>45800</v>
          </cell>
          <cell r="O72">
            <v>45800</v>
          </cell>
          <cell r="P72" t="str">
            <v>Visitas de evaluación con fines de mejoramiento</v>
          </cell>
          <cell r="Q72" t="str">
            <v>COLEGIO FILADELFIA</v>
          </cell>
          <cell r="R72" t="str">
            <v>El Consejo Directivo y Académico están conformados según norma, pero el Consejo Académico realiza funciones de comisiones de evaluación. Las instancias de participación están constituidas y funcionan correctamente con respaldo documental.</v>
          </cell>
          <cell r="S72" t="str">
            <v xml:space="preserve">Separar funciones del Consejo Académico creando comisiones propias y a fortalecer la capacitación de los representantes de las instancias de participación.
</v>
          </cell>
          <cell r="T72" t="str">
            <v>No</v>
          </cell>
          <cell r="U72" t="str">
            <v xml:space="preserve">Se hará seguimiento a la conformación de comisiones y a la formación de los representantes mediante revisión de actas y reportes periódicos.
</v>
          </cell>
        </row>
        <row r="73">
          <cell r="A73">
            <v>466</v>
          </cell>
          <cell r="B73"/>
          <cell r="C73" t="str">
            <v>CHAPINERO</v>
          </cell>
          <cell r="D73" t="str">
            <v>PRIVADO</v>
          </cell>
          <cell r="E73" t="str">
            <v>EPBM</v>
          </cell>
          <cell r="F73" t="str">
            <v>COLEGIO_FILADELFIA</v>
          </cell>
          <cell r="G73" t="str">
            <v>COLEGIO FILADELFIA</v>
          </cell>
          <cell r="H73" t="str">
            <v>Autoevaluación Institucional y Pruebas SABER 11</v>
          </cell>
          <cell r="I73" t="str">
            <v>EVALUACIÓN_CON_FINES_DE_MEJORAMIENTO.</v>
          </cell>
          <cell r="J73" t="str">
            <v>Verificar las condiciones en cuanto a: la estructura administrativa, condiciones de la planta física y medios educativos adecuados.</v>
          </cell>
          <cell r="K73" t="str">
            <v>SANTIAGO ÁVILA LEURO</v>
          </cell>
          <cell r="L73" t="str">
            <v>JUAN MANUEL AGUIRRE BOHÓRQUEZ</v>
          </cell>
          <cell r="M73">
            <v>45800</v>
          </cell>
          <cell r="N73">
            <v>45800</v>
          </cell>
          <cell r="O73">
            <v>45800</v>
          </cell>
          <cell r="P73" t="str">
            <v>Visitas de evaluación con fines de mejoramiento</v>
          </cell>
          <cell r="Q73" t="str">
            <v>COLEGIO FILADELFIA</v>
          </cell>
          <cell r="R73" t="str">
            <v>El colegio cuenta con ambientes de aprendizaje, espacios administrativos y recreativos adecuados y dotados conforme al número de estudiantes. No tiene estudiantes con discapacidad. El mobiliario y las instalaciones están en buen estado, aunque algunas estructuras son antiguas.</v>
          </cell>
          <cell r="S73" t="str">
            <v>Mantener en buen estado el mobiliario, la planta física y realizar mantenimiento preventivo o correctivo en las instalaciones, para asegurar la adecuada prestación del servicio educativo.</v>
          </cell>
          <cell r="T73" t="str">
            <v>No</v>
          </cell>
          <cell r="U73" t="str">
            <v xml:space="preserve">Se verificará periódicamente el estado del mobiliario y las instalaciones, asegurando el mantenimiento oportuno y la conservación adecuada de los espacios educativos y administrativos.
</v>
          </cell>
        </row>
        <row r="74">
          <cell r="A74">
            <v>467</v>
          </cell>
          <cell r="B74">
            <v>10</v>
          </cell>
          <cell r="C74" t="str">
            <v>CHAPINERO</v>
          </cell>
          <cell r="D74" t="str">
            <v>OFICIAL</v>
          </cell>
          <cell r="E74" t="str">
            <v>EPBM</v>
          </cell>
          <cell r="F74" t="str">
            <v>COLEGIO_SIMON_RODRIGUEZ_IED</v>
          </cell>
          <cell r="G74" t="str">
            <v>SIMON RODRIGUEZ</v>
          </cell>
          <cell r="H74" t="str">
            <v>Autoevaluación Institucional y Pruebas SABER 11</v>
          </cell>
          <cell r="I74" t="str">
            <v>SEGUIMIENTO_Y_SUPERVISIÓN.</v>
          </cell>
          <cell r="J74" t="str">
            <v xml:space="preserve">Verificar la implementación por parte de los colegios, de acciones realizadas para la prevención y atención de las situaciones de convivencia en el entorno escolar, según lo establecido en la Directiva 01 de 2022 del MEN. </v>
          </cell>
          <cell r="K74" t="str">
            <v xml:space="preserve">LAURA CRISTINA BECERRA CHAVES </v>
          </cell>
          <cell r="L74" t="str">
            <v>SANTIAGO ÁVILA LEURO</v>
          </cell>
          <cell r="M74">
            <v>45744</v>
          </cell>
          <cell r="N74">
            <v>45793</v>
          </cell>
          <cell r="O74">
            <v>45793</v>
          </cell>
          <cell r="P74" t="str">
            <v>Visitas de evaluación con fines de mejoramiento</v>
          </cell>
          <cell r="Q74" t="str">
            <v>ACTA DE VISITA FRIMADA.pdf</v>
          </cell>
          <cell r="R74" t="str">
            <v>La IE realiza diferentes evaluaciones por áreas apoyado de herramientas tecnológicas (Santillana, Colombia aprende), refuerza conocimiento en lectura critica, focalizado de acuerdo con los resultados de las pruebas y lo observado por docentes en el aula</v>
          </cell>
          <cell r="S74" t="str">
            <v xml:space="preserve">Documentar los informes, análisis y estadísticas que le permiten generar las estrategias que esta desarrollando, como insumo para proyección del siguiente año académico </v>
          </cell>
          <cell r="T74" t="str">
            <v>Si</v>
          </cell>
          <cell r="U74" t="str">
            <v>Verificar el plan de mejoramiento en el mes de junio 2025, y una vez documentadas las acciones analizar el documento con el fin de proponer acciones de mejora</v>
          </cell>
        </row>
        <row r="75">
          <cell r="A75">
            <v>469</v>
          </cell>
          <cell r="B75"/>
          <cell r="C75" t="str">
            <v>CHAPINERO</v>
          </cell>
          <cell r="D75" t="str">
            <v>OFICIAL</v>
          </cell>
          <cell r="E75" t="str">
            <v>EPBM</v>
          </cell>
          <cell r="F75" t="str">
            <v>COLEGIO_SIMON_RODRIGUEZ_IED</v>
          </cell>
          <cell r="G75" t="str">
            <v>SIMON RODRIGUEZ</v>
          </cell>
          <cell r="H75" t="str">
            <v>Autoevaluación Institucional y Pruebas SABER 11</v>
          </cell>
          <cell r="I75" t="str">
            <v>SEGUIMIENTO_Y_SUPERVISIÓN.</v>
          </cell>
          <cell r="J7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5" t="str">
            <v xml:space="preserve">LAURA CRISTINA BECERRA CHAVES </v>
          </cell>
          <cell r="L75" t="str">
            <v>SANTIAGO ÁVILA LEURO</v>
          </cell>
          <cell r="M75">
            <v>45744</v>
          </cell>
          <cell r="N75">
            <v>45793</v>
          </cell>
          <cell r="O75">
            <v>45793</v>
          </cell>
          <cell r="P75" t="str">
            <v>Visitas de evaluación con fines de mejoramiento</v>
          </cell>
          <cell r="Q75" t="str">
            <v>ACTA DE VISITA FRIMADA.pdf</v>
          </cell>
          <cell r="R75" t="str">
            <v xml:space="preserve">Cuentan con archivo organizado y detallado de cada uno de los alumnos caracterizados en el SIMAT, realizan los ajustes de acuerdo con la evaluación pedagógica y los aportes médicos. flexibilización en todas las áreas académicas, atención hospitalaria. </v>
          </cell>
          <cell r="S75" t="str">
            <v>Continuar con el ejercicio de valoración pedagógica, remisiones y flexibilización de aquellos estudiantes que se ha determinado requieren este ajuste aunque no se cuente aun con el diagnostico</v>
          </cell>
          <cell r="T75" t="str">
            <v>No</v>
          </cell>
          <cell r="U75" t="str">
            <v>Anualmente realizar acompañamiento que requiera la institución educativa desde el ELIV</v>
          </cell>
        </row>
        <row r="76">
          <cell r="A76">
            <v>2799</v>
          </cell>
          <cell r="B76"/>
          <cell r="C76" t="str">
            <v>CHAPINERO</v>
          </cell>
          <cell r="D76" t="str">
            <v>OFICIAL</v>
          </cell>
          <cell r="E76" t="str">
            <v>EPBM</v>
          </cell>
          <cell r="F76" t="str">
            <v>COLEGIO_SIMON_RODRIGUEZ_IED</v>
          </cell>
          <cell r="G76" t="str">
            <v>SIMON RODRIGUEZ</v>
          </cell>
          <cell r="H76" t="str">
            <v>Autoevaluación Institucional y Pruebas SABER 11</v>
          </cell>
          <cell r="I76" t="str">
            <v>EVALUACIÓN_CON_FINES_DE_MEJORAMIENTO.</v>
          </cell>
          <cell r="J7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6" t="str">
            <v xml:space="preserve">LAURA CRISTINA BECERRA CHAVES </v>
          </cell>
          <cell r="L76" t="str">
            <v>SANTIAGO ÁVILA LEURO</v>
          </cell>
          <cell r="M76">
            <v>45744</v>
          </cell>
          <cell r="N76">
            <v>45793</v>
          </cell>
          <cell r="O76">
            <v>45793</v>
          </cell>
          <cell r="P76" t="str">
            <v>Revisión documental</v>
          </cell>
          <cell r="Q76" t="str">
            <v>20240913_FV_Manuales_Convivencia Simón rodriguez.xlsx</v>
          </cell>
          <cell r="R76" t="str">
            <v>Es fundamental indicar cómo se aplicarán los diferentes conceptos (género, justicia restaurativa, etc.) en la práctica. No basta con las definiciones de estos aspectos; se debe incluir un ítem específico para primera infancia, de manera que esta población pueda comprender el manual de convivencia.
Incluir el comportamiento y uso de los espacios comunes en la institución educativa, el procedimiento, la importancia y la estrategia para las salidas pedagógicas, así como las acciones y procedimientos para el plan de gestión del riesgo y el PRAE</v>
          </cell>
          <cell r="S76" t="str">
            <v>Revisión y modificación del manual de convivencia incorporando las sugerencias con fecha límite noviembre 2025 con el fin de contar con la actualización antes de iniciar el nuevo año lectivo</v>
          </cell>
          <cell r="U76" t="str">
            <v>Una vez el IED remita el documento realizar nuevamente la revisan y si es el caso entregar observaciones</v>
          </cell>
        </row>
        <row r="77">
          <cell r="A77">
            <v>470</v>
          </cell>
          <cell r="B77"/>
          <cell r="C77" t="str">
            <v>CHAPINERO</v>
          </cell>
          <cell r="D77" t="str">
            <v>OFICIAL</v>
          </cell>
          <cell r="E77" t="str">
            <v>EPBM</v>
          </cell>
          <cell r="F77" t="str">
            <v>COLEGIO_SIMON_RODRIGUEZ_IED</v>
          </cell>
          <cell r="G77" t="str">
            <v>SIMON RODRIGUEZ</v>
          </cell>
          <cell r="H77" t="str">
            <v>Autoevaluación Institucional y Pruebas SABER 11</v>
          </cell>
          <cell r="I77" t="str">
            <v>EVALUACIÓN_CON_FINES_DE_MEJORAMIENTO.</v>
          </cell>
          <cell r="J77" t="str">
            <v>Revisar la actualización, socialización e implementación del Sistema Institucional de Evaluación de Estudiantes - SIEE, en articulación con la actualización del PEI y la normatividad vigente.</v>
          </cell>
          <cell r="K77" t="str">
            <v xml:space="preserve">LAURA CRISTINA BECERRA CHAVES </v>
          </cell>
          <cell r="L77" t="str">
            <v>SANTIAGO ÁVILA LEURO</v>
          </cell>
          <cell r="M77">
            <v>45744</v>
          </cell>
          <cell r="N77">
            <v>45793</v>
          </cell>
          <cell r="O77">
            <v>45793</v>
          </cell>
          <cell r="P77" t="str">
            <v>Visitas de evaluación con fines de mejoramiento</v>
          </cell>
          <cell r="Q77" t="str">
            <v>ACTA DE VISITA FRIMADA.pdf</v>
          </cell>
          <cell r="R77" t="str">
            <v>Documento actualizado y socializado, se encuentra articulado con el PEI en sus diferentes dimensiones, cuentan con estrategias diseñadas para asegurar que todos los estudiantes puedan alcanzar sus metas académicas y desarrollar sus competencias de manera integra</v>
          </cell>
          <cell r="S77" t="str">
            <v>Socializar cada año con la comunidad educativa el SIEE y el PEI al inicio del año escolar como lo viene realizando</v>
          </cell>
          <cell r="T77" t="str">
            <v>No</v>
          </cell>
          <cell r="U77" t="str">
            <v>En el siguiente año lectivo verificar en el documento que se entrega a la comunidad educativa que contemple la información requerida</v>
          </cell>
        </row>
        <row r="78">
          <cell r="A78">
            <v>471</v>
          </cell>
          <cell r="B78"/>
          <cell r="C78" t="str">
            <v>CHAPINERO</v>
          </cell>
          <cell r="D78" t="str">
            <v>OFICIAL</v>
          </cell>
          <cell r="E78" t="str">
            <v>EPBM</v>
          </cell>
          <cell r="F78" t="str">
            <v>COLEGIO_SIMON_RODRIGUEZ_IED</v>
          </cell>
          <cell r="G78" t="str">
            <v>SIMON RODRIGUEZ</v>
          </cell>
          <cell r="H78" t="str">
            <v>Autoevaluación Institucional y Pruebas SABER 11</v>
          </cell>
          <cell r="I78" t="str">
            <v>EVALUACIÓN_CON_FINES_DE_MEJORAMIENTO.</v>
          </cell>
          <cell r="J78" t="str">
            <v>Revisar el calendario escolar, jornada escolar, la intensidad horaria mínima anual en cada nivel y las modificaciones que se realicen al mismo, de acuerdo con lo previsto en la normatividad vigente.</v>
          </cell>
          <cell r="K78" t="str">
            <v xml:space="preserve">LAURA CRISTINA BECERRA CHAVES </v>
          </cell>
          <cell r="L78" t="str">
            <v>SANTIAGO ÁVILA LEURO</v>
          </cell>
          <cell r="M78">
            <v>45744</v>
          </cell>
          <cell r="N78">
            <v>45793</v>
          </cell>
          <cell r="O78">
            <v>45793</v>
          </cell>
          <cell r="P78" t="str">
            <v>Visitas de evaluación con fines de mejoramiento</v>
          </cell>
          <cell r="Q78" t="str">
            <v>ACTA DE VISITA FRIMADA.pdf</v>
          </cell>
          <cell r="R78" t="str">
            <v>Resolución rectoral acorde a la resolución de la SED</v>
          </cell>
          <cell r="S78" t="str">
            <v xml:space="preserve">Dar cumplimiento a la resolución </v>
          </cell>
          <cell r="T78" t="str">
            <v>No</v>
          </cell>
          <cell r="U78" t="str">
            <v>Verificar anualmente la propuesta y cumplimiento de la resolución distrital</v>
          </cell>
        </row>
        <row r="79">
          <cell r="A79">
            <v>472</v>
          </cell>
          <cell r="B79"/>
          <cell r="C79" t="str">
            <v>CHAPINERO</v>
          </cell>
          <cell r="D79" t="str">
            <v>OFICIAL</v>
          </cell>
          <cell r="E79" t="str">
            <v>EPBM</v>
          </cell>
          <cell r="F79" t="str">
            <v>COLEGIO_SIMON_RODRIGUEZ_IED</v>
          </cell>
          <cell r="G79" t="str">
            <v>SIMON RODRIGUEZ</v>
          </cell>
          <cell r="H79" t="str">
            <v>Autoevaluación Institucional y Pruebas SABER 11</v>
          </cell>
          <cell r="I79" t="str">
            <v>EVALUACIÓN_CON_FINES_DE_MEJORAMIENTO.</v>
          </cell>
          <cell r="J79" t="str">
            <v>Verificar el funcionamiento del Gobierno Escolar e instancias de participación con base en la información sobre conformación reportada por la institución educativa.</v>
          </cell>
          <cell r="K79" t="str">
            <v xml:space="preserve">LAURA CRISTINA BECERRA CHAVES </v>
          </cell>
          <cell r="L79" t="str">
            <v>SANTIAGO ÁVILA LEURO</v>
          </cell>
          <cell r="M79">
            <v>45744</v>
          </cell>
          <cell r="N79">
            <v>45793</v>
          </cell>
          <cell r="O79">
            <v>45793</v>
          </cell>
          <cell r="P79" t="str">
            <v>Visitas de evaluación con fines de mejoramiento</v>
          </cell>
          <cell r="Q79" t="str">
            <v>ACTA DE VISITA FRIMADA.pdf</v>
          </cell>
          <cell r="R79" t="str">
            <v>Se realizo revisión aleatoria de las actas de conformación y sesión de todos los órganos de gobierno escolar, encontrando que operan acorde a la normatividad vigente</v>
          </cell>
          <cell r="S79" t="str">
            <v>Garantizar que todas las actas estén firmadas una vez termine su elaboración después de la sesión</v>
          </cell>
          <cell r="T79" t="str">
            <v>No</v>
          </cell>
          <cell r="U79" t="str">
            <v>En visitas de seguimiento verificar actas de sesión de los órganos de gobierno escolar de acuerdo con la normatividad en relación con el tiempo en el que cada uno debe sesionar</v>
          </cell>
        </row>
        <row r="80">
          <cell r="A80">
            <v>473</v>
          </cell>
          <cell r="B80">
            <v>11</v>
          </cell>
          <cell r="C80" t="str">
            <v>CHAPINERO</v>
          </cell>
          <cell r="D80" t="str">
            <v>OFICIAL</v>
          </cell>
          <cell r="E80" t="str">
            <v>EPBM</v>
          </cell>
          <cell r="F80" t="str">
            <v>COLEGIO_CAMPESTRE_MONTE_VERDE_IED</v>
          </cell>
          <cell r="G80" t="str">
            <v>PLAN PADRINOS SAN LUIS</v>
          </cell>
          <cell r="H80" t="str">
            <v>Autoevaluación Institucional y Pruebas SABER 11</v>
          </cell>
          <cell r="I80" t="str">
            <v>SEGUIMIENTO_Y_SUPERVISIÓN.</v>
          </cell>
          <cell r="J80" t="str">
            <v>Proponer estrategias en la formulación, verificar su elaboración y realizar seguimiento semestral al desarrollo de  las acciones establecidas en los planes de mejoramiento por pruebas SABER 11 de los establecimientos de educación formal.</v>
          </cell>
          <cell r="K80" t="str">
            <v>CONNIE QUIÑONES CÁRDENAS</v>
          </cell>
          <cell r="L80" t="str">
            <v xml:space="preserve">LAURA CRISTINA BECERRA CHAVES </v>
          </cell>
          <cell r="M80">
            <v>45775</v>
          </cell>
          <cell r="N80" t="str">
            <v>28/4/2025</v>
          </cell>
          <cell r="O80" t="str">
            <v>28/4/2025</v>
          </cell>
          <cell r="P80" t="str">
            <v>Visitas de evaluación con fines de mejoramiento</v>
          </cell>
          <cell r="Q80" t="str">
            <v>Acta Visita Campestre Monte Verde_2025.pdf</v>
          </cell>
          <cell r="R80" t="str">
            <v>La institución se encuentra clasificada en  C lo que implica que hicieran estadísticas que le permitiera evidenciar las falencias por áreas para plantear el plan de mejoramiento, en el cual se identifican los estudiantes con dificultad y se crearon grupos  para nivelación en lectura</v>
          </cell>
          <cell r="S80" t="str">
            <v xml:space="preserve">Continuar con las actividades establecidas  en el cronograma de actividades  tanto en las áreas como en horario extracurricular con el  apoyo de los docentes , y continuar con la práctica de pruebas tipo ICFES </v>
          </cell>
          <cell r="T80" t="str">
            <v>Si</v>
          </cell>
          <cell r="U80" t="str">
            <v>Teniendo en cuenta el Acta del consejo académico donde se implementaron acciones de mejora , hacer el seguimiento sobre su cumplimiento</v>
          </cell>
        </row>
        <row r="81">
          <cell r="A81">
            <v>474</v>
          </cell>
          <cell r="B81"/>
          <cell r="C81" t="str">
            <v>CHAPINERO</v>
          </cell>
          <cell r="D81" t="str">
            <v>OFICIAL</v>
          </cell>
          <cell r="E81" t="str">
            <v>EPBM</v>
          </cell>
          <cell r="F81" t="str">
            <v>COLEGIO_CAMPESTRE_MONTE_VERDE_IED</v>
          </cell>
          <cell r="G81" t="str">
            <v>PLAN PADRINOS SAN LUIS</v>
          </cell>
          <cell r="H81" t="str">
            <v>Autoevaluación Institucional y Pruebas SABER 11</v>
          </cell>
          <cell r="I81" t="str">
            <v>SEGUIMIENTO_Y_SUPERVISIÓN.</v>
          </cell>
          <cell r="J81" t="str">
            <v xml:space="preserve">Verificar la implementación por parte de los colegios, de acciones realizadas para la prevención y atención de las situaciones de convivencia en el entorno escolar, según lo establecido en la Directiva 01 de 2022 del MEN. </v>
          </cell>
          <cell r="K81" t="str">
            <v>CONNIE QUIÑONES CÁRDENAS</v>
          </cell>
          <cell r="L81" t="str">
            <v xml:space="preserve">LAURA CRISTINA BECERRA CHAVES </v>
          </cell>
          <cell r="M81" t="str">
            <v>28/4/2025</v>
          </cell>
          <cell r="N81" t="str">
            <v>28/4/2025</v>
          </cell>
          <cell r="O81" t="str">
            <v>28/4/2025</v>
          </cell>
          <cell r="P81" t="str">
            <v>Visitas de evaluación con fines de mejoramiento</v>
          </cell>
          <cell r="Q81" t="str">
            <v>Acta Visita Campestre Monte Verde_2025.pdf</v>
          </cell>
          <cell r="R81" t="str">
            <v xml:space="preserve">Tiene conformado el comité de convivencia escolar conforme a lo establecido en la norma, contempla acciones de prevención y promoción para los casos de violencia sexual, realiza en cada entrega de boletines escuela de padres donde socializa diferentes temas </v>
          </cell>
          <cell r="S81" t="str">
            <v xml:space="preserve">Realizar ajustes al manual en lo relacionado con la identificación de la persona que atiende el conducto regular bien sea docente o el orientador (a) </v>
          </cell>
          <cell r="T81" t="str">
            <v>SI</v>
          </cell>
          <cell r="U81" t="str">
            <v>De acuerdo al plan de mejoramiento presentado realizar los ajustes al manual de convivencia de conformidad con lo dispuesto en el formato de evaluación y se hará seguimiento una vez presente el documento ajustado</v>
          </cell>
        </row>
        <row r="82">
          <cell r="A82">
            <v>475</v>
          </cell>
          <cell r="B82"/>
          <cell r="C82" t="str">
            <v>CHAPINERO</v>
          </cell>
          <cell r="D82" t="str">
            <v>OFICIAL</v>
          </cell>
          <cell r="E82" t="str">
            <v>EPBM</v>
          </cell>
          <cell r="F82" t="str">
            <v>COLEGIO_CAMPESTRE_MONTE_VERDE_IED</v>
          </cell>
          <cell r="G82" t="str">
            <v>PLAN PADRINOS SAN LUIS</v>
          </cell>
          <cell r="H82" t="str">
            <v>Autoevaluación Institucional y Pruebas SABER 11</v>
          </cell>
          <cell r="I82" t="str">
            <v>SEGUIMIENTO_Y_SUPERVISIÓN.</v>
          </cell>
          <cell r="J8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2" t="str">
            <v>CONNIE QUIÑONES CÁRDENAS</v>
          </cell>
          <cell r="L82" t="str">
            <v xml:space="preserve">LAURA CRISTINA BECERRA CHAVES </v>
          </cell>
          <cell r="M82">
            <v>45775</v>
          </cell>
          <cell r="N82" t="str">
            <v>28/4/2025</v>
          </cell>
          <cell r="O82" t="str">
            <v>28/4/2025</v>
          </cell>
          <cell r="P82" t="str">
            <v>Visitas de evaluación con fines de mejoramiento</v>
          </cell>
          <cell r="Q82" t="str">
            <v>Acta Visita Campestre Monte Verde_2025.pdf</v>
          </cell>
          <cell r="R82" t="str">
            <v>El colegio tiene implementado un protocolo desde el momento en que ingresan los estudiantes para conocer si cuentan o no con diagnóstico o puede ser remitido por el docente según un formato pre diseñado por la institución en el cual tiene varios criterios para que el docente pueda identificar si el estudiante debe ser remitido a orientación para su respectiva atención y si requiere que se diseñe el PIAR</v>
          </cell>
          <cell r="S82" t="str">
            <v>continuar con los protocolos internos y atención a los estudiantes que cuenten con PIAR y seguir con el acompañamiento a los padres para dar apoyo al estudiante</v>
          </cell>
          <cell r="T82" t="str">
            <v>SI</v>
          </cell>
          <cell r="U82" t="str">
            <v>Se realiza seguimiento desde el 1 de octubre con reunión realizada en el colegio para verificar el cumplimiento del decreto 1431 de 2017 en relación con la atención de los niños con dificultad y/o que requieren PIAR</v>
          </cell>
        </row>
        <row r="83">
          <cell r="A83">
            <v>476</v>
          </cell>
          <cell r="B83"/>
          <cell r="C83" t="str">
            <v>CHAPINERO</v>
          </cell>
          <cell r="D83" t="str">
            <v>OFICIAL</v>
          </cell>
          <cell r="E83" t="str">
            <v>EPBM</v>
          </cell>
          <cell r="F83" t="str">
            <v>COLEGIO_CAMPESTRE_MONTE_VERDE_IED</v>
          </cell>
          <cell r="G83" t="str">
            <v>PLAN PADRINOS SAN LUIS</v>
          </cell>
          <cell r="H83" t="str">
            <v>Autoevaluación Institucional y Pruebas SABER 11</v>
          </cell>
          <cell r="I83" t="str">
            <v>EVALUACIÓN_CON_FINES_DE_MEJORAMIENTO.</v>
          </cell>
          <cell r="J83" t="str">
            <v>Revisar la actualización, socialización e implementación del Sistema Institucional de Evaluación de Estudiantes - SIEE, en articulación con la actualización del PEI y la normatividad vigente.</v>
          </cell>
          <cell r="K83" t="str">
            <v>CONNIE QUIÑONES CÁRDENAS</v>
          </cell>
          <cell r="L83" t="str">
            <v xml:space="preserve">LAURA CRISTINA BECERRA CHAVES </v>
          </cell>
          <cell r="M83">
            <v>45775</v>
          </cell>
          <cell r="N83">
            <v>45771</v>
          </cell>
          <cell r="O83" t="str">
            <v>28/4/2025</v>
          </cell>
          <cell r="P83" t="str">
            <v>Visitas de evaluación con fines de mejoramiento</v>
          </cell>
          <cell r="Q83" t="str">
            <v>Acta Visita Campestre Monte Verde_2025.pdf</v>
          </cell>
          <cell r="R83" t="str">
            <v>Contempla en el manual de convivencia el SIIE ajustado con las estrategias de apoyo para aquello que tienen dificultades con un conducto regular, cumple con la normatividad vigente también en lo relacionado con acciones de promoción de estudiantes</v>
          </cell>
          <cell r="S83" t="str">
            <v>Dar a conocer el contenido del Manual de Convivencia a los estudiantes en  lo relacionado con el sistema de evaluación, estrategias de recuperación y apoyos</v>
          </cell>
          <cell r="T83" t="str">
            <v>No</v>
          </cell>
          <cell r="U83" t="str">
            <v>Se verificó que está ajustado el  Sistema Institucional de Evaluación  SIEE y se hará seguimiento al momento en el que la institución presente los avances del PEI de manera anual en la siguiente vigencia.</v>
          </cell>
        </row>
        <row r="84">
          <cell r="A84">
            <v>477</v>
          </cell>
          <cell r="B84"/>
          <cell r="C84" t="str">
            <v>CHAPINERO</v>
          </cell>
          <cell r="D84" t="str">
            <v>OFICIAL</v>
          </cell>
          <cell r="E84" t="str">
            <v>EPBM</v>
          </cell>
          <cell r="F84" t="str">
            <v>COLEGIO_CAMPESTRE_MONTE_VERDE_IED</v>
          </cell>
          <cell r="G84" t="str">
            <v>PLAN PADRINOS SAN LUIS</v>
          </cell>
          <cell r="H84" t="str">
            <v>Autoevaluación Institucional y Pruebas SABER 11</v>
          </cell>
          <cell r="I84" t="str">
            <v>EVALUACIÓN_CON_FINES_DE_MEJORAMIENTO.</v>
          </cell>
          <cell r="J84" t="str">
            <v>Revisar el calendario escolar, jornada escolar, la intensidad horaria mínima anual en cada nivel y las modificaciones que se realicen al mismo, de acuerdo con lo previsto en la normatividad vigente.</v>
          </cell>
          <cell r="K84" t="str">
            <v>CONNIE QUIÑONES CÁRDENAS</v>
          </cell>
          <cell r="L84" t="str">
            <v xml:space="preserve">LAURA CRISTINA BECERRA CHAVES </v>
          </cell>
          <cell r="M84">
            <v>45775</v>
          </cell>
          <cell r="N84" t="str">
            <v>28/4/2025</v>
          </cell>
          <cell r="O84" t="str">
            <v>28/4/2025</v>
          </cell>
          <cell r="P84" t="str">
            <v>Visitas de evaluación con fines de mejoramiento</v>
          </cell>
          <cell r="Q84" t="str">
            <v>Acta Visita Campestre Monte Verde_2025.pdf</v>
          </cell>
          <cell r="R84" t="str">
            <v>Resolución de calendario escolar con las horas y fecha reglamentarias conforme al calendario dispuesto por la  SED, cumple con la jornada escolar</v>
          </cell>
          <cell r="S84" t="str">
            <v>Adoptar lo establecido por la secretaría de Educación en la resolución de CALENDARIO ESCOLAR</v>
          </cell>
          <cell r="T84" t="str">
            <v>no</v>
          </cell>
          <cell r="U84" t="str">
            <v xml:space="preserve">Se hará la verificación del cumplimiento de lo establecido en la resolución de calendario en la próxima vigencia </v>
          </cell>
        </row>
        <row r="85">
          <cell r="A85">
            <v>478</v>
          </cell>
          <cell r="B85"/>
          <cell r="C85" t="str">
            <v>CHAPINERO</v>
          </cell>
          <cell r="D85" t="str">
            <v>OFICIAL</v>
          </cell>
          <cell r="E85" t="str">
            <v>EPBM</v>
          </cell>
          <cell r="F85" t="str">
            <v>COLEGIO_CAMPESTRE_MONTE_VERDE_IED</v>
          </cell>
          <cell r="G85" t="str">
            <v>PLAN PADRINOS SAN LUIS</v>
          </cell>
          <cell r="H85" t="str">
            <v>Autoevaluación Institucional y Pruebas SABER 11</v>
          </cell>
          <cell r="I85" t="str">
            <v>EVALUACIÓN_CON_FINES_DE_MEJORAMIENTO.</v>
          </cell>
          <cell r="J85" t="str">
            <v>Verificar el funcionamiento del Gobierno Escolar e instancias de participación con base en la información sobre conformación reportada por la institución educativa.</v>
          </cell>
          <cell r="K85" t="str">
            <v>CONNIE QUIÑONES CÁRDENAS</v>
          </cell>
          <cell r="L85" t="str">
            <v xml:space="preserve">LAURA CRISTINA BECERRA CHAVES </v>
          </cell>
          <cell r="M85">
            <v>45775</v>
          </cell>
          <cell r="N85" t="str">
            <v>28/4/2025</v>
          </cell>
          <cell r="O85" t="str">
            <v>28/4/2025</v>
          </cell>
          <cell r="P85" t="str">
            <v>Visitas de evaluación con fines de mejoramiento</v>
          </cell>
          <cell r="Q85" t="str">
            <v>Acta Visita Campestre Monte Verde_2025.pdf</v>
          </cell>
          <cell r="R85" t="str">
            <v>Realizó el reporte en el aplicativo SAE en términos y en debida forma</v>
          </cell>
          <cell r="S85" t="str">
            <v xml:space="preserve">Continuar con los reportes en tiempo y adelantar los procesos de participación con todas las instancias y reunirse y elevar las actas respectivas que evidencien su funcionamiento </v>
          </cell>
          <cell r="T85" t="str">
            <v>SI</v>
          </cell>
          <cell r="U85" t="str">
            <v xml:space="preserve">Realizó las elecciones en debida forma y el reporte SAE. Se hará el respectivo seguimiento según el acta de visita hasta el  23 de mayo de 2025 y se verifica el cumplimiento en la plataforma a más tardar en junio 2025 </v>
          </cell>
        </row>
        <row r="86">
          <cell r="A86">
            <v>479</v>
          </cell>
          <cell r="B86"/>
          <cell r="C86" t="str">
            <v>CHAPINERO</v>
          </cell>
          <cell r="D86" t="str">
            <v>OFICIAL</v>
          </cell>
          <cell r="E86" t="str">
            <v>EPBM</v>
          </cell>
          <cell r="F86" t="str">
            <v>COLEGIO_CAMPESTRE_MONTE_VERDE_IED</v>
          </cell>
          <cell r="G86" t="str">
            <v>PLAN PADRINOS SAN LUIS</v>
          </cell>
          <cell r="H86" t="str">
            <v>Autoevaluación Institucional y Pruebas SABER 11</v>
          </cell>
          <cell r="I86" t="str">
            <v>EVALUACIÓN_CON_FINES_DE_MEJORAMIENTO.</v>
          </cell>
          <cell r="J86" t="str">
            <v>Verificar las condiciones en cuanto a: la estructura administrativa, condiciones de la planta física y medios educativos adecuados.</v>
          </cell>
          <cell r="K86" t="str">
            <v>CONNIE QUIÑONES CÁRDENAS</v>
          </cell>
          <cell r="L86" t="str">
            <v xml:space="preserve">LAURA CRISTINA BECERRA CHAVES </v>
          </cell>
          <cell r="M86">
            <v>45775</v>
          </cell>
          <cell r="N86" t="str">
            <v>28/4/2025</v>
          </cell>
          <cell r="O86" t="str">
            <v>28/4/2025</v>
          </cell>
          <cell r="P86" t="str">
            <v>Visitas de evaluación con fines de mejoramiento</v>
          </cell>
          <cell r="Q86" t="str">
            <v>Acta Visita Campestre Monte Verde_2025.pdf</v>
          </cell>
          <cell r="R86" t="str">
            <v>Se encuentra una planta física que cuenta con todos los espacios administrativos, académicos de y de bienestar</v>
          </cell>
          <cell r="S86" t="str">
            <v>Se encuentra en buen estado, con los espacios administrativos, académicos y de bienestar adecuados y completos, sin embargo algunos pupitres de grado 11° se solicitó el cambio para que estén acordes a la contextura y edad de los estudiantes</v>
          </cell>
          <cell r="T86" t="str">
            <v>Si</v>
          </cell>
          <cell r="U86" t="str">
            <v>Se realizara el seguimiento al cambio de algunos pupitres para que estén adecuados a la contextura y edad de los estudiantes, solicitados por el rector, plazo hasta el 23 de mayo de 2025</v>
          </cell>
        </row>
        <row r="87">
          <cell r="A87">
            <v>480</v>
          </cell>
          <cell r="B87">
            <v>12</v>
          </cell>
          <cell r="C87" t="str">
            <v>CHAPINERO</v>
          </cell>
          <cell r="D87" t="str">
            <v>OFICIAL</v>
          </cell>
          <cell r="E87" t="str">
            <v>EPBM</v>
          </cell>
          <cell r="F87" t="str">
            <v>COLEGIO_SAN_MARTIN_DE_PORRES_IED</v>
          </cell>
          <cell r="G87" t="str">
            <v>SAN MARTIN DE PORRES</v>
          </cell>
          <cell r="H87" t="str">
            <v>Autoevaluación Institucional y Pruebas SABER 11</v>
          </cell>
          <cell r="I87" t="str">
            <v>SEGUIMIENTO_Y_SUPERVISIÓN.</v>
          </cell>
          <cell r="J87" t="str">
            <v>Proponer estrategias en la formulación, verificar su elaboración y realizar seguimiento semestral al desarrollo de  las acciones establecidas en los planes de mejoramiento por pruebas SABER 11 de los establecimientos de educación formal.</v>
          </cell>
          <cell r="K87" t="str">
            <v>JUAN MANUEL AGUIRRE BOHÓRQUEZ</v>
          </cell>
          <cell r="L87" t="str">
            <v>CONNIE QUIÑONES CÁRDENAS</v>
          </cell>
          <cell r="M87">
            <v>45777</v>
          </cell>
          <cell r="N87">
            <v>45784</v>
          </cell>
          <cell r="O87">
            <v>45784</v>
          </cell>
          <cell r="P87" t="str">
            <v>Visitas de evaluación con fines de mejoramiento</v>
          </cell>
          <cell r="Q87" t="str">
            <v>COLEGIO SAN MARTIN DE PORRES (IED)</v>
          </cell>
          <cell r="R87" t="str">
            <v>A partir de los simulacros PreICFES, se identificaron debilidades en formación ciudadana, inglés y ciencias naturales, por lo que se implementaron planes de mejora con refuerzos específicos, ajustes en el plan de estudios y evaluaciones adaptadas para monitorear el progreso estudiantil.</v>
          </cell>
          <cell r="S87" t="str">
            <v>Continuar con los simulacros cada periodo y realizar el análisis de los resultados en el comité de evaluación</v>
          </cell>
          <cell r="T87" t="str">
            <v>Si</v>
          </cell>
          <cell r="U87" t="str">
            <v>Se verificará semestralmente la implementación de los planes de mejoramiento y desarrollo basados en evaluaciones, así como los ajustes en los planes de estudio y evaluaciones, y la retroalimentación realizada, con el objetivo de optimizar las estrategias pedagógicas para fortalecer el desempeño estudiantil en las pruebas SABER 11.</v>
          </cell>
        </row>
        <row r="88">
          <cell r="A88">
            <v>481</v>
          </cell>
          <cell r="B88"/>
          <cell r="C88" t="str">
            <v>CHAPINERO</v>
          </cell>
          <cell r="D88" t="str">
            <v>OFICIAL</v>
          </cell>
          <cell r="E88" t="str">
            <v>EPBM</v>
          </cell>
          <cell r="F88" t="str">
            <v>COLEGIO_SAN_MARTIN_DE_PORRES_IED</v>
          </cell>
          <cell r="G88" t="str">
            <v>SAN MARTIN DE PORRES</v>
          </cell>
          <cell r="H88" t="str">
            <v>Autoevaluación Institucional y Pruebas SABER 11</v>
          </cell>
          <cell r="I88" t="str">
            <v>SEGUIMIENTO_Y_SUPERVISIÓN.</v>
          </cell>
          <cell r="J88" t="str">
            <v xml:space="preserve">Verificar la implementación por parte de los colegios, de acciones realizadas para la prevención y atención de las situaciones de convivencia en el entorno escolar, según lo establecido en la Directiva 01 de 2022 del MEN. </v>
          </cell>
          <cell r="K88" t="str">
            <v>JUAN MANUEL AGUIRRE BOHÓRQUEZ</v>
          </cell>
          <cell r="L88" t="str">
            <v>CONNIE QUIÑONES CÁRDENAS</v>
          </cell>
          <cell r="M88">
            <v>45777</v>
          </cell>
          <cell r="N88">
            <v>45784</v>
          </cell>
          <cell r="O88">
            <v>45784</v>
          </cell>
          <cell r="P88" t="str">
            <v>Visitas de evaluación con fines de mejoramiento</v>
          </cell>
          <cell r="Q88" t="str">
            <v>COLEGIO SAN MARTIN DE PORRES (IED)</v>
          </cell>
          <cell r="R88" t="str">
            <v>Durante el proceso de contratación interna para la adquisición de bienes y servicios, el colegio realiza la consulta correspondiente sobre inhabilidades por delitos sexuales.
Por su parte, las acciones de carácter administrativo relacionadas con la selección y el nombramiento de personal administrativo o docente son responsabilidad de la Secretaría de Educación (SED).</v>
          </cell>
          <cell r="S88" t="str">
            <v>Acciones de mejora:
Fortalecer la comunicación interinstitucional: Mejorar entre el colegio y la Secretaría de Educación (SED) para establecer un canal de verificaciones de inhabilidades por delitos sexuales sean realizadas de manera oportuna y eficaz.</v>
          </cell>
          <cell r="T88" t="str">
            <v>No</v>
          </cell>
          <cell r="U88" t="str">
            <v>En visitas posteriores, se verificará la continuidad de la actividad y la realización de la verificación de inhabilidades por delitos sexuales a los contratistas</v>
          </cell>
        </row>
        <row r="89">
          <cell r="A89">
            <v>482</v>
          </cell>
          <cell r="B89"/>
          <cell r="C89" t="str">
            <v>CHAPINERO</v>
          </cell>
          <cell r="D89" t="str">
            <v>OFICIAL</v>
          </cell>
          <cell r="E89" t="str">
            <v>EPBM</v>
          </cell>
          <cell r="F89" t="str">
            <v>COLEGIO_SAN_MARTIN_DE_PORRES_IED</v>
          </cell>
          <cell r="G89" t="str">
            <v>SAN MARTIN DE PORRES</v>
          </cell>
          <cell r="H89" t="str">
            <v>Autoevaluación Institucional y Pruebas SABER 11</v>
          </cell>
          <cell r="I89" t="str">
            <v>SEGUIMIENTO_Y_SUPERVISIÓN.</v>
          </cell>
          <cell r="J8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9" t="str">
            <v>JUAN MANUEL AGUIRRE BOHÓRQUEZ</v>
          </cell>
          <cell r="L89" t="str">
            <v>CONNIE QUIÑONES CÁRDENAS</v>
          </cell>
          <cell r="M89">
            <v>45777</v>
          </cell>
          <cell r="N89">
            <v>45784</v>
          </cell>
          <cell r="O89">
            <v>45784</v>
          </cell>
          <cell r="P89" t="str">
            <v>Visitas de evaluación con fines de mejoramiento</v>
          </cell>
          <cell r="Q89" t="str">
            <v>COLEGIO SAN MARTIN DE PORRES (IED)</v>
          </cell>
          <cell r="R89" t="str">
            <v>El PIAR para 2025 incluye a 11 estudiantes de bachillerato con diagnóstico, siguiendo una ruta que permite a los docentes identificar dificultades académicas, especialmente en áreas como la escritura. Si es necesario, se realiza una valoración y, en caso de ser pertinente, se remite al área de salud</v>
          </cell>
          <cell r="S89" t="str">
            <v>Capacitar al personal docente en estrategias de inclusión y protocolos de remisión.
Implementar un sistema de seguimiento del PIAR para asegurar su efectividad.</v>
          </cell>
          <cell r="T89" t="str">
            <v>No</v>
          </cell>
          <cell r="U89" t="str">
            <v>Garantizar un entorno inclusivo que atienda las necesidades de los estudiantes.
Mantener una comunicación continua y transparente con los padres.
Evaluar y ajustar el proceso de diagnóstico y valoración para asegurar un apoyo adecuado.</v>
          </cell>
        </row>
        <row r="90">
          <cell r="A90">
            <v>2800</v>
          </cell>
          <cell r="B90"/>
          <cell r="C90" t="str">
            <v>CHAPINERO</v>
          </cell>
          <cell r="D90" t="str">
            <v>OFICIAL</v>
          </cell>
          <cell r="E90" t="str">
            <v>EPBM</v>
          </cell>
          <cell r="F90" t="str">
            <v>COLEGIO_SAN_MARTIN_DE_PORRES_IED</v>
          </cell>
          <cell r="G90" t="str">
            <v>SAN MARTIN DE PORRES</v>
          </cell>
          <cell r="H90" t="str">
            <v>Autoevaluación Institucional y Pruebas SABER 11</v>
          </cell>
          <cell r="I90" t="str">
            <v>EVALUACIÓN_CON_FINES_DE_MEJORAMIENTO.</v>
          </cell>
          <cell r="J9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0" t="str">
            <v>JUAN MANUEL AGUIRRE BOHÓRQUEZ</v>
          </cell>
          <cell r="L90" t="str">
            <v>CONNIE QUIÑONES CÁRDENAS</v>
          </cell>
          <cell r="M90">
            <v>45777</v>
          </cell>
          <cell r="N90">
            <v>45784</v>
          </cell>
          <cell r="O90">
            <v>45784</v>
          </cell>
          <cell r="P90" t="str">
            <v>Revisión documental</v>
          </cell>
          <cell r="Q90" t="str">
            <v>INFORME VERIFICACIÓN Y EVALUACIÓN MANUAL DE CONVIVENCIA COLEGIO SAN MARTÍN DE PORRES IED.pdf</v>
          </cell>
          <cell r="R90" t="str">
            <v xml:space="preserve">Se evidenció que el Manual se debe actualizar anualmente, y que se esta omitiendo  la inclusión de los canales de atención para PQRS, el enfoque de diversidad y componente restaurativo, y la ruta de atención integral conforme a la Ley 1620 de 2013. </v>
          </cell>
          <cell r="S90" t="str">
            <v>Revisión y modificación del manual de convivencia incorporando las sugerencias con fecha límite noviembre 2025 con el fin de contar Manual como herramienta de gestión y orientación para la convivencia escolar.</v>
          </cell>
          <cell r="T90" t="str">
            <v>Si</v>
          </cell>
          <cell r="U90" t="str">
            <v>Una vez el IED remita el documento realizar nuevamente la revisión  y si es el caso entregar observaciones</v>
          </cell>
        </row>
        <row r="91">
          <cell r="A91">
            <v>483</v>
          </cell>
          <cell r="B91"/>
          <cell r="C91" t="str">
            <v>CHAPINERO</v>
          </cell>
          <cell r="D91" t="str">
            <v>OFICIAL</v>
          </cell>
          <cell r="E91" t="str">
            <v>EPBM</v>
          </cell>
          <cell r="F91" t="str">
            <v>COLEGIO_SAN_MARTIN_DE_PORRES_IED</v>
          </cell>
          <cell r="G91" t="str">
            <v>SAN MARTIN DE PORRES</v>
          </cell>
          <cell r="H91" t="str">
            <v>Autoevaluación Institucional y Pruebas SABER 11</v>
          </cell>
          <cell r="I91" t="str">
            <v>EVALUACIÓN_CON_FINES_DE_MEJORAMIENTO.</v>
          </cell>
          <cell r="J91" t="str">
            <v>Revisar el calendario escolar, jornada escolar, la intensidad horaria mínima anual en cada nivel y las modificaciones que se realicen al mismo, de acuerdo con lo previsto en la normatividad vigente.</v>
          </cell>
          <cell r="K91" t="str">
            <v>JUAN MANUEL AGUIRRE BOHÓRQUEZ</v>
          </cell>
          <cell r="L91" t="str">
            <v>CONNIE QUIÑONES CÁRDENAS</v>
          </cell>
          <cell r="M91">
            <v>45777</v>
          </cell>
          <cell r="N91">
            <v>45784</v>
          </cell>
          <cell r="O91">
            <v>45784</v>
          </cell>
          <cell r="P91" t="str">
            <v>Visitas de evaluación con fines de mejoramiento</v>
          </cell>
          <cell r="Q91" t="str">
            <v>COLEGIO SAN MARTIN DE PORRES (IED)</v>
          </cell>
          <cell r="R91" t="str">
            <v>La institución, a través de resolución rectoral, establece el calendario académico y el cronograma de actividades, garantizando el cumplimiento de la intensidad horaria mínima anual exigida por la ley para cada nivel, lo cual se evidencia en el calendario escolar.</v>
          </cell>
          <cell r="S91" t="str">
            <v xml:space="preserve">
Revisar anualmente el calendario académico y cronograma de actividades para cumplir con los requisitos legales de intensidad horaria mínima.
Alinear las actividades programadas con la intensidad horaria establecida, garantizando el cumplimiento de la ley.</v>
          </cell>
          <cell r="T91" t="str">
            <v>No</v>
          </cell>
          <cell r="U91" t="str">
            <v xml:space="preserve">
Garantizar el cumplimiento de la intensidad horaria mínima anual exigida por la ley.
Mantener informados a estudiantes y padres sobre el calendario académico y la alineación con los requisitos legales.
Revisar anualmente el calendario académico y cronograma de actividades para asegurar su cumplimiento adecuado.</v>
          </cell>
        </row>
        <row r="92">
          <cell r="A92">
            <v>484</v>
          </cell>
          <cell r="B92">
            <v>13</v>
          </cell>
          <cell r="C92" t="str">
            <v>CHAPINERO</v>
          </cell>
          <cell r="D92" t="str">
            <v>PRIVADO_IETDH</v>
          </cell>
          <cell r="E92" t="str">
            <v>IETDH</v>
          </cell>
          <cell r="F92" t="str">
            <v>INSTITUTO_DE_EDUCACION_TECNICO_LABORAL_EMPRESA_UNIPERSONAL_INFORSALUD_E.U.</v>
          </cell>
          <cell r="G92" t="str">
            <v>INSTITUTO DE EDUCACION TECNICO LABORAL EMPRESA UNIPERSONAL INFORSALUD E.U.</v>
          </cell>
          <cell r="H92" t="str">
            <v>IETDH priorizadas por cada ELIV (seguimiento a PMI, que no se hayan visitado en los últimos 3 años)</v>
          </cell>
          <cell r="I92" t="str">
            <v>SEGUIMIENTO_Y_SUPERVISIÓN.</v>
          </cell>
          <cell r="J92"/>
          <cell r="K92"/>
          <cell r="L92"/>
          <cell r="M92">
            <v>45824</v>
          </cell>
          <cell r="N92">
            <v>45861</v>
          </cell>
          <cell r="O92">
            <v>45861</v>
          </cell>
          <cell r="P92"/>
          <cell r="Q92"/>
          <cell r="R92"/>
          <cell r="S92"/>
          <cell r="T92"/>
          <cell r="U92" t="str">
            <v xml:space="preserve">Se sustituye por la IETD Escuela de Auxiliares de enfermería Hospital Militar Central, teniendo en cuenta que la IETDH Fundesalud se encuentra en PAS por irregularidades en la prestación del servicio, si bien se realizó visita no fue con fines de mejoramiento sino de control </v>
          </cell>
        </row>
        <row r="93">
          <cell r="A93">
            <v>484</v>
          </cell>
          <cell r="B93">
            <v>13</v>
          </cell>
          <cell r="C93" t="str">
            <v>CHAPINERO</v>
          </cell>
          <cell r="D93" t="str">
            <v>PRIVADO_IETDH</v>
          </cell>
          <cell r="E93" t="str">
            <v>IETDH</v>
          </cell>
          <cell r="F93" t="str">
            <v>ESCUELA_DE_AUXILIARES_DE_ENFERMERIA_DEL_HOSPITAL_MILITAR_CENTRAL_</v>
          </cell>
          <cell r="G93" t="str">
            <v xml:space="preserve">ESCUELA DE AUXILIARES DE ENFERMERIA DEL HOSPITAL MILITAR CENTRAL </v>
          </cell>
          <cell r="H93" t="str">
            <v>IETDH priorizadas por cada ELIV (seguimiento a PMI, que no se hayan visitado en los últimos 3 años)</v>
          </cell>
          <cell r="I93" t="str">
            <v>SEGUIMIENTO_Y_SUPERVISIÓN.</v>
          </cell>
          <cell r="J9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93" t="str">
            <v>JUAN MANUEL AGUIRRE BOHÓRQUEZ</v>
          </cell>
          <cell r="L93" t="str">
            <v>CONNIE QUIÑONES CÁRDENAS</v>
          </cell>
          <cell r="M93">
            <v>45951</v>
          </cell>
          <cell r="N93">
            <v>45952</v>
          </cell>
          <cell r="O93">
            <v>45952</v>
          </cell>
          <cell r="P93" t="str">
            <v>Visitas de evaluación con fines de mejoramiento</v>
          </cell>
          <cell r="Q93" t="str">
            <v>ESCUELA DE AUXILIARES EN ENFERMERIA HOSPITAL MILITAR CENTRAL</v>
          </cell>
          <cell r="R93" t="str">
            <v>Se verificó que la institución realiza los cobros de conformidad con lo autorizado y atendió las recomendaciones realizadas, Frente al SIET se encuentra al día en el reporte de matricula y certificados</v>
          </cell>
          <cell r="S93" t="str">
            <v>Continuar con el cumplimiento en cuanto al reporte anual de costos y el reporte de matriculados y certificados en cada cohorte en el SIET,</v>
          </cell>
          <cell r="T93" t="str">
            <v>No</v>
          </cell>
          <cell r="U93" t="str">
            <v>Verificación de continuidad del reporte de costos  y reporte de matriculados y certificados en el SIET, cuando se requiera</v>
          </cell>
        </row>
        <row r="94">
          <cell r="A94">
            <v>485</v>
          </cell>
          <cell r="B94"/>
          <cell r="C94" t="str">
            <v>CHAPINERO</v>
          </cell>
          <cell r="D94" t="str">
            <v>PRIVADO_IETDH</v>
          </cell>
          <cell r="E94" t="str">
            <v>IETDH</v>
          </cell>
          <cell r="F94" t="str">
            <v>ESCUELA_DE_AUXILIARES_DE_ENFERMERIA_DEL_HOSPITAL_MILITAR_CENTRAL_</v>
          </cell>
          <cell r="G94" t="str">
            <v xml:space="preserve">ESCUELA DE AUXILIARES DE ENFERMERIA DEL HOSPITAL MILITAR CENTRAL </v>
          </cell>
          <cell r="H94" t="str">
            <v>IETDH priorizadas por cada ELIV (seguimiento a PMI, que no se hayan visitado en los últimos 3 años)</v>
          </cell>
          <cell r="I94" t="str">
            <v>SEGUIMIENTO_Y_SUPERVISIÓN.</v>
          </cell>
          <cell r="J94" t="str">
            <v>Adelantar visitas para verificar que el desarrollo de los programas de ETDH, esté de acuerdo con lo autorizado y la normatividad vigente, para propender por su pertinencia, legalidad y actualización constante.</v>
          </cell>
          <cell r="K94" t="str">
            <v>JUAN MANUEL AGUIRRE BOHÓRQUEZ</v>
          </cell>
          <cell r="L94" t="str">
            <v>CONNIE QUIÑONES CÁRDENAS</v>
          </cell>
          <cell r="M94">
            <v>45951</v>
          </cell>
          <cell r="N94">
            <v>45952</v>
          </cell>
          <cell r="O94">
            <v>45952</v>
          </cell>
          <cell r="P94" t="str">
            <v>Visitas de evaluación con fines de mejoramiento</v>
          </cell>
          <cell r="Q94" t="str">
            <v>ESCUELA DE AUXILIARES EN ENFERMERIA HOSPITAL MILITAR CENTRAL</v>
          </cell>
          <cell r="R94" t="str">
            <v>Se reviso el programa observando que cumple con la normatividad  y la pertinencia que se requiere.</v>
          </cell>
          <cell r="S94" t="str">
            <v>Continuar con el cumplimiento de lo señalado en los actos administrativos frente al programa de Auxiliar de enfermería,</v>
          </cell>
          <cell r="T94" t="str">
            <v>No</v>
          </cell>
          <cell r="U94" t="str">
            <v>Verificación de la prestación del servicio educativo en condiciones de ley,  en caso de que se presenten irregularidades o de oficio cuando se considere necesario</v>
          </cell>
        </row>
        <row r="95">
          <cell r="A95">
            <v>486</v>
          </cell>
          <cell r="B95"/>
          <cell r="C95" t="str">
            <v>CHAPINERO</v>
          </cell>
          <cell r="D95" t="str">
            <v>PRIVADO_IETDH</v>
          </cell>
          <cell r="E95" t="str">
            <v>IETDH</v>
          </cell>
          <cell r="F95" t="str">
            <v>ESCUELA_DE_AUXILIARES_DE_ENFERMERIA_DEL_HOSPITAL_MILITAR_CENTRAL_</v>
          </cell>
          <cell r="G95" t="str">
            <v xml:space="preserve">ESCUELA DE AUXILIARES DE ENFERMERIA DEL HOSPITAL MILITAR CENTRAL </v>
          </cell>
          <cell r="H95" t="str">
            <v>IETDH priorizadas por cada ELIV (seguimiento a PMI, que no se hayan visitado en los últimos 3 años)</v>
          </cell>
          <cell r="I95" t="str">
            <v>EVALUACIÓN_CON_FINES_DE_MEJORAMIENTO.</v>
          </cell>
          <cell r="J95" t="str">
            <v>Verificar las condiciones en cuanto a: la estructura administrativa, condiciones de la planta física y medios educativos adecuados.</v>
          </cell>
          <cell r="K95" t="str">
            <v>JUAN MANUEL AGUIRRE BOHÓRQUEZ</v>
          </cell>
          <cell r="L95" t="str">
            <v>CONNIE QUIÑONES CÁRDENAS</v>
          </cell>
          <cell r="M95">
            <v>45951</v>
          </cell>
          <cell r="N95">
            <v>45952</v>
          </cell>
          <cell r="O95">
            <v>45952</v>
          </cell>
          <cell r="P95" t="str">
            <v>Visitas de evaluación con fines de mejoramiento</v>
          </cell>
          <cell r="Q95" t="str">
            <v>ESCUELA DE AUXILIARES EN ENFERMERIA HOSPITAL MILITAR CENTRAL</v>
          </cell>
          <cell r="R95" t="str">
            <v>Se verificó que la institución cuenta con una estructura administrativa definida y con espacios físicos adecuados, en excelente estado, para el desarrollo de las actividades académicas. Entre ellos se destacan los salones de clase, la sala de informática y los salones especializados destinados al desarrollo del programa.</v>
          </cell>
          <cell r="S95" t="str">
            <v>Se recomienda continuar con la excelente conservación de los espacios y equipos destinados a la prestación del servicio educativo, garantizando su mantenimiento en óptimas condiciones.</v>
          </cell>
          <cell r="T95" t="str">
            <v>No</v>
          </cell>
          <cell r="U95" t="str">
            <v>Verificación de continuidad de las condiciones de infraestructura y equipos,</v>
          </cell>
        </row>
        <row r="96">
          <cell r="A96">
            <v>487</v>
          </cell>
          <cell r="B96">
            <v>14</v>
          </cell>
          <cell r="C96" t="str">
            <v>CHAPINERO</v>
          </cell>
          <cell r="D96" t="str">
            <v>PRIVADO_IETDH</v>
          </cell>
          <cell r="E96" t="str">
            <v>IETDH</v>
          </cell>
          <cell r="F96" t="str">
            <v>ACADEMIA_DE_IDIOMAS_SMART</v>
          </cell>
          <cell r="G96" t="str">
            <v>ACADEMIA DE IDIOMAS SMART</v>
          </cell>
          <cell r="H96" t="str">
            <v>IETDH priorizadas por cada ELIV (seguimiento a PMI, que no se hayan visitado en los últimos 3 años)</v>
          </cell>
          <cell r="I96" t="str">
            <v>SEGUIMIENTO_Y_SUPERVISIÓN.</v>
          </cell>
          <cell r="J96"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96" t="str">
            <v>SANTIAGO ÁVILA LEURO</v>
          </cell>
          <cell r="L96" t="str">
            <v xml:space="preserve">LAURA CRISTINA BECERRA CHAVES </v>
          </cell>
          <cell r="M96">
            <v>45782</v>
          </cell>
          <cell r="N96">
            <v>45824</v>
          </cell>
          <cell r="O96">
            <v>45824</v>
          </cell>
          <cell r="P96" t="str">
            <v>Visitas de evaluación con fines de seguimiento</v>
          </cell>
          <cell r="Q96" t="str">
            <v>ACTA DE VISITA SMART</v>
          </cell>
          <cell r="R96" t="str">
            <v>Se evidenciaron inconsistencias entre los reportes de matrícula y las planillas internas, así como discrepancias en los certificados académicos frente a los datos registrados en SIET. La institución reportó oportunamente los costos educativos de 2025, pero manifestó no haber recibido validación formal. Se constató que los contratos incluyen los costos y condiciones generales, aunque se recomienda mayor claridad en el desglose y ajuste conforme al IPC.</v>
          </cell>
          <cell r="S96" t="str">
            <v>La institución se comprometió a enviar los soportes actualizados de seguridad social, depurar y actualizar su base de datos de matrícula, unificar los datos académicos con SIET y fortalecer la claridad en los contratos, especialmente en cuanto a la información comercial y los costos educativos ajustados al índice de inflación.</v>
          </cell>
          <cell r="T96" t="str">
            <v>Si</v>
          </cell>
          <cell r="U96" t="str">
            <v>Se realizará verificación del envío de soportes laborales, revisión de la coherencia entre bases de datos y reportes, y seguimiento a la corrección de certificados y contratos. Asimismo, se revisará que los costos educativos 2025 estén ajustados al IPC y reflejados adecuadamente en los contratos de matrícula.</v>
          </cell>
        </row>
        <row r="97">
          <cell r="A97">
            <v>488</v>
          </cell>
          <cell r="B97"/>
          <cell r="C97" t="str">
            <v>CHAPINERO</v>
          </cell>
          <cell r="D97" t="str">
            <v>PRIVADO_IETDH</v>
          </cell>
          <cell r="E97" t="str">
            <v>IETDH</v>
          </cell>
          <cell r="F97" t="str">
            <v>ACADEMIA_DE_IDIOMAS_SMART</v>
          </cell>
          <cell r="G97" t="str">
            <v>ACADEMIA DE IDIOMAS SMART</v>
          </cell>
          <cell r="H97" t="str">
            <v>IETDH priorizadas por cada ELIV (seguimiento a PMI, que no se hayan visitado en los últimos 3 años)</v>
          </cell>
          <cell r="I97" t="str">
            <v>SEGUIMIENTO_Y_SUPERVISIÓN.</v>
          </cell>
          <cell r="J97" t="str">
            <v>Adelantar visitas para verificar que el desarrollo de los programas de ETDH, esté de acuerdo con lo autorizado y la normatividad vigente, para propender por su pertinencia, legalidad y actualización constante.</v>
          </cell>
          <cell r="K97" t="str">
            <v>SANTIAGO ÁVILA LEURO</v>
          </cell>
          <cell r="L97" t="str">
            <v xml:space="preserve">LAURA CRISTINA BECERRA CHAVES </v>
          </cell>
          <cell r="M97">
            <v>45782</v>
          </cell>
          <cell r="N97">
            <v>45824</v>
          </cell>
          <cell r="O97">
            <v>45824</v>
          </cell>
          <cell r="P97" t="str">
            <v>Visitas de evaluación con fines de seguimiento</v>
          </cell>
          <cell r="Q97" t="str">
            <v>ACTA DE VISITA SMART</v>
          </cell>
          <cell r="R97" t="str">
            <v>Durante la visita se verificó que los programas ofertados por la institución cuentan con resolución vigente hasta 2026. Sin embargo, se identificaron dudas por parte de algunos estudiantes sobre la legalidad de la oferta educativa, especialmente en relación con la sede y los títulos de los docentes. Se observó la necesidad de fortalecer la claridad institucional respecto a la vigencia y condiciones autorizadas de los programas.</v>
          </cell>
          <cell r="S97" t="str">
            <v>La institución se comprometió a reforzar la socialización de la legalidad y vigencia de los programas ante su comunidad educativa, aclarando las condiciones de autorización y actualización de los mismos. Así mismo, se acordó verificar que la oferta académica se mantenga ajustada a lo aprobado oficialmente.</v>
          </cell>
          <cell r="T97" t="str">
            <v>Si</v>
          </cell>
          <cell r="U97" t="str">
            <v>Se verificará, conforme al plan de mejoramiento establecido, que el desarrollo de los programas se mantenga ajustado a la normatividad vigente, incluyendo la idoneidad docente, los contenidos impartidos y la jornada autorizada. Igualmente, se comprobará que la información institucional esté actualizada y disponible en los medios oficiales y ante la comunidad educativa.</v>
          </cell>
        </row>
        <row r="98">
          <cell r="A98">
            <v>489</v>
          </cell>
          <cell r="B98"/>
          <cell r="C98" t="str">
            <v>CHAPINERO</v>
          </cell>
          <cell r="D98" t="str">
            <v>PRIVADO_IETDH</v>
          </cell>
          <cell r="E98" t="str">
            <v>IETDH</v>
          </cell>
          <cell r="F98" t="str">
            <v>ACADEMIA_DE_IDIOMAS_SMART</v>
          </cell>
          <cell r="G98" t="str">
            <v>ACADEMIA DE IDIOMAS SMART</v>
          </cell>
          <cell r="H98" t="str">
            <v>IETDH priorizadas por cada ELIV (seguimiento a PMI, que no se hayan visitado en los últimos 3 años)</v>
          </cell>
          <cell r="I98" t="str">
            <v>EVALUACIÓN_CON_FINES_DE_MEJORAMIENTO.</v>
          </cell>
          <cell r="J98" t="str">
            <v>Verificar las condiciones en cuanto a: la estructura administrativa, condiciones de la planta física y medios educativos adecuados.</v>
          </cell>
          <cell r="K98" t="str">
            <v>SANTIAGO ÁVILA LEURO</v>
          </cell>
          <cell r="L98" t="str">
            <v xml:space="preserve">LAURA CRISTINA BECERRA CHAVES </v>
          </cell>
          <cell r="M98">
            <v>45782</v>
          </cell>
          <cell r="N98">
            <v>45824</v>
          </cell>
          <cell r="O98">
            <v>45824</v>
          </cell>
          <cell r="P98" t="str">
            <v>Visitas de evaluación con fines de mejoramiento</v>
          </cell>
          <cell r="Q98" t="str">
            <v>ACTA DE VISITA SMART</v>
          </cell>
          <cell r="R98" t="str">
            <v>Se verificó que la institución cuenta con una estructura administrativa definida y espacios físicos adecuados para el desarrollo académico, incluyendo salones, sala de multimedia y oficinas administrativas. No obstante, se identificaron pendientes como la falta de rutas de evacuación cargadas en el sistema y simulacros desactualizados, lo cual puede afectar la capacidad de respuesta ante emergencias.</v>
          </cell>
          <cell r="S98" t="str">
            <v>La institución se comprometió a actualizar las rutas de evacuación, realizar simulacros por jornada y fortalecer la organización de brigadas y planes de emergencia. Además, se garantizará el mantenimiento de las condiciones físicas y de los medios educativos para cumplir con la normatividad vigente y el bienestar de la comunidad.</v>
          </cell>
          <cell r="T98" t="str">
            <v>Si</v>
          </cell>
          <cell r="U98" t="str">
            <v xml:space="preserve">Se hará seguimiento al cumplimiento de las acciones correctivas previstas en el plan de mejoramiento institucional, incluyendo la carga de rutas de evacuación, actualización de simulacros, y verificación de la infraestructura y recursos disponibles, en coherencia con las exigencias del PEGR-CC y la normatividad aplicable.
</v>
          </cell>
        </row>
        <row r="99">
          <cell r="A99">
            <v>490</v>
          </cell>
          <cell r="B99">
            <v>15</v>
          </cell>
          <cell r="C99" t="str">
            <v>CHAPINERO</v>
          </cell>
          <cell r="D99" t="str">
            <v>PRIVADO_IETDH</v>
          </cell>
          <cell r="E99" t="str">
            <v>IETDH</v>
          </cell>
          <cell r="F99" t="str">
            <v>INSTITUTO_COLOMBIANO_DE_APRENDIZAJE_INCAP</v>
          </cell>
          <cell r="G99" t="str">
            <v>INSTITUTO COLOMBIANO DE APRENDIZAJE INCAP</v>
          </cell>
          <cell r="H99" t="str">
            <v>IETDH priorizadas por cada ELIV (seguimiento a PMI, que no se hayan visitado en los últimos 3 años)</v>
          </cell>
          <cell r="I99" t="str">
            <v>SEGUIMIENTO_Y_SUPERVISIÓN.</v>
          </cell>
          <cell r="J99"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99" t="str">
            <v>JUAN MANUEL AGUIRRE BOHÓRQUEZ</v>
          </cell>
          <cell r="L99" t="str">
            <v>SANTIAGO ÁVILA LEURO</v>
          </cell>
          <cell r="M99">
            <v>45821</v>
          </cell>
          <cell r="N99">
            <v>45863</v>
          </cell>
          <cell r="O99">
            <v>45863</v>
          </cell>
          <cell r="P99" t="str">
            <v>Visitas de evaluación con fines de mejoramiento</v>
          </cell>
          <cell r="Q99" t="str">
            <v>Acta IETDH INCAP.pdf</v>
          </cell>
          <cell r="R99" t="str">
            <v>Se encuentran alumnos matriculados erróneamente en el SIET, en dos  programas no corresponden a la realidad,  costos con incrementos ajustados a la normatividad anual</v>
          </cell>
          <cell r="S99" t="str">
            <v xml:space="preserve">Se indica a la institución que debe corregir la información registrada en el SIET respecto a los dos programas que tienen inconsistencias en el numero de estudiantes  </v>
          </cell>
          <cell r="T99" t="str">
            <v>No</v>
          </cell>
          <cell r="U99" t="str">
            <v>Una vez remitan a la IETDH la evidencia de la corrección de la información en el SIET, se procederá a realizar el cruce de la información en el sistema</v>
          </cell>
        </row>
        <row r="100">
          <cell r="A100">
            <v>491</v>
          </cell>
          <cell r="B100"/>
          <cell r="C100" t="str">
            <v>CHAPINERO</v>
          </cell>
          <cell r="D100" t="str">
            <v>PRIVADO_IETDH</v>
          </cell>
          <cell r="E100" t="str">
            <v>IETDH</v>
          </cell>
          <cell r="F100" t="str">
            <v>INSTITUTO_COLOMBIANO_DE_APRENDIZAJE_INCAP</v>
          </cell>
          <cell r="G100" t="str">
            <v>INSTITUTO COLOMBIANO DE APRENDIZAJE INCAP</v>
          </cell>
          <cell r="H100" t="str">
            <v>IETDH priorizadas por cada ELIV (seguimiento a PMI, que no se hayan visitado en los últimos 3 años)</v>
          </cell>
          <cell r="I100" t="str">
            <v>SEGUIMIENTO_Y_SUPERVISIÓN.</v>
          </cell>
          <cell r="J100" t="str">
            <v>Adelantar visitas para verificar que el desarrollo de los programas de ETDH, esté de acuerdo con lo autorizado y la normatividad vigente, para propender por su pertinencia, legalidad y actualización constante.</v>
          </cell>
          <cell r="K100" t="str">
            <v>JUAN MANUEL AGUIRRE BOHÓRQUEZ</v>
          </cell>
          <cell r="L100" t="str">
            <v>SANTIAGO ÁVILA LEURO</v>
          </cell>
          <cell r="M100">
            <v>45821</v>
          </cell>
          <cell r="N100">
            <v>45863</v>
          </cell>
          <cell r="O100">
            <v>45863</v>
          </cell>
          <cell r="P100" t="str">
            <v>Visitas de evaluación con fines de mejoramiento</v>
          </cell>
          <cell r="Q100" t="str">
            <v>Acta IETDH INCAP.pdf</v>
          </cell>
          <cell r="R100" t="str">
            <v>Se revisan los programas vigentes observando que cumplen con la normatividad  y la pertinencia que se requiere.</v>
          </cell>
          <cell r="S100" t="str">
            <v>Continuar con el cumplimiento de lo señalado en los actos administrativos frente a los programas</v>
          </cell>
          <cell r="T100" t="str">
            <v>No</v>
          </cell>
          <cell r="U100" t="str">
            <v>Verificación de la prestación del servicio educativo en condiciones de ley,  en caso de que se presenten irregularidades o de oficio cuando se considere necesario</v>
          </cell>
        </row>
        <row r="101">
          <cell r="A101">
            <v>492</v>
          </cell>
          <cell r="B101"/>
          <cell r="C101" t="str">
            <v>CHAPINERO</v>
          </cell>
          <cell r="D101" t="str">
            <v>PRIVADO_IETDH</v>
          </cell>
          <cell r="E101" t="str">
            <v>IETDH</v>
          </cell>
          <cell r="F101" t="str">
            <v>INSTITUTO_COLOMBIANO_DE_APRENDIZAJE_INCAP</v>
          </cell>
          <cell r="G101" t="str">
            <v>INSTITUTO COLOMBIANO DE APRENDIZAJE INCAP</v>
          </cell>
          <cell r="H101" t="str">
            <v>IETDH priorizadas por cada ELIV (seguimiento a PMI, que no se hayan visitado en los últimos 3 años)</v>
          </cell>
          <cell r="I101" t="str">
            <v>EVALUACIÓN_CON_FINES_DE_MEJORAMIENTO.</v>
          </cell>
          <cell r="J101" t="str">
            <v>Verificar las condiciones en cuanto a: la estructura administrativa, condiciones de la planta física y medios educativos adecuados.</v>
          </cell>
          <cell r="K101" t="str">
            <v>JUAN MANUEL AGUIRRE BOHÓRQUEZ</v>
          </cell>
          <cell r="L101" t="str">
            <v>SANTIAGO ÁVILA LEURO</v>
          </cell>
          <cell r="M101">
            <v>45821</v>
          </cell>
          <cell r="N101">
            <v>45863</v>
          </cell>
          <cell r="O101">
            <v>45863</v>
          </cell>
          <cell r="P101" t="str">
            <v>Visitas de evaluación con fines de mejoramiento</v>
          </cell>
          <cell r="Q101" t="str">
            <v>Acta IETDH INCAP.pdf</v>
          </cell>
          <cell r="R101" t="str">
            <v xml:space="preserve">Se verificó que la institución cuenta con una estructura administrativa definida y espacios físicos adecuados y excelente estado para el desarrollo académico, incluyendo salones, sala de informática salones especializados para cada programa y oficinas administrativas. </v>
          </cell>
          <cell r="S101" t="str">
            <v>Conservar las condiciones de la planta física para la prestación del servicio educativo</v>
          </cell>
          <cell r="T101" t="str">
            <v>No</v>
          </cell>
          <cell r="U101" t="str">
            <v>Verificación de continuidad de las condiciones de infraestructura cuando se requiera</v>
          </cell>
        </row>
        <row r="102">
          <cell r="A102">
            <v>493</v>
          </cell>
          <cell r="B102">
            <v>16</v>
          </cell>
          <cell r="C102" t="str">
            <v>CHAPINERO</v>
          </cell>
          <cell r="D102" t="str">
            <v>PRIVADO_IETDH</v>
          </cell>
          <cell r="E102" t="str">
            <v>IETDH</v>
          </cell>
          <cell r="F102" t="str">
            <v>ESCUELA_AERONÁUTICA_DE_COLOMBIA</v>
          </cell>
          <cell r="G102" t="str">
            <v>ESCUELA AERONÁUTICA DE COLOMBIA</v>
          </cell>
          <cell r="H102" t="str">
            <v>IETDH priorizadas por cada ELIV (seguimiento a PMI, que no se hayan visitado en los últimos 3 años)</v>
          </cell>
          <cell r="I102" t="str">
            <v>SEGUIMIENTO_Y_SUPERVISIÓN.</v>
          </cell>
          <cell r="J102"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2" t="str">
            <v xml:space="preserve">LAURA CRISTINA BECERRA CHAVES </v>
          </cell>
          <cell r="L102" t="str">
            <v>CONNIE QUIÑONES CÁRDENAS</v>
          </cell>
          <cell r="M102">
            <v>45695</v>
          </cell>
          <cell r="N102">
            <v>45695</v>
          </cell>
          <cell r="O102">
            <v>45695</v>
          </cell>
          <cell r="P102" t="str">
            <v>Visita con fines de Inspección y Vigilancia</v>
          </cell>
          <cell r="Q102" t="str">
            <v>ACTA FINAL VISITA EAC.pdf</v>
          </cell>
          <cell r="R102" t="str">
            <v>Se encuentran alumnos matriculados erróneamente en el SIET, en programa que no corresponde a la realidad, alto número de matrícula pocos certificados, costos educativos con incremento ajustado a la normatividad anual</v>
          </cell>
          <cell r="S102" t="str">
            <v>Se indica al institución que debe corregir la información registrada en el SIET respecto de la matrícula por programa. Informan que el menor número de estudiantes  certificados obedece a que los alumnos no terminan la formación técnico laboral por interés de obtener licencia de la aeronáutica</v>
          </cell>
          <cell r="T102" t="str">
            <v>No</v>
          </cell>
          <cell r="U102" t="str">
            <v>Una vez remitan a la IETDH la evidencia de la corrección de la información en el SIET, se procederá a realizar el cruce de la información en el sistema</v>
          </cell>
        </row>
        <row r="103">
          <cell r="A103">
            <v>494</v>
          </cell>
          <cell r="B103"/>
          <cell r="C103" t="str">
            <v>CHAPINERO</v>
          </cell>
          <cell r="D103" t="str">
            <v>PRIVADO_IETDH</v>
          </cell>
          <cell r="E103" t="str">
            <v>IETDH</v>
          </cell>
          <cell r="F103" t="str">
            <v>ESCUELA_AERONÁUTICA_DE_COLOMBIA</v>
          </cell>
          <cell r="G103" t="str">
            <v>ESCUELA AERONÁUTICA DE COLOMBIA</v>
          </cell>
          <cell r="H103" t="str">
            <v>IETDH priorizadas por cada ELIV (seguimiento a PMI, que no se hayan visitado en los últimos 3 años)</v>
          </cell>
          <cell r="I103" t="str">
            <v>SEGUIMIENTO_Y_SUPERVISIÓN.</v>
          </cell>
          <cell r="J103" t="str">
            <v>Adelantar visitas para verificar que el desarrollo de los programas de ETDH, esté de acuerdo con lo autorizado y la normatividad vigente, para propender por su pertinencia, legalidad y actualización constante.</v>
          </cell>
          <cell r="K103" t="str">
            <v xml:space="preserve">LAURA CRISTINA BECERRA CHAVES </v>
          </cell>
          <cell r="L103" t="str">
            <v>CONNIE QUIÑONES CÁRDENAS</v>
          </cell>
          <cell r="M103">
            <v>45695</v>
          </cell>
          <cell r="N103">
            <v>45695</v>
          </cell>
          <cell r="O103">
            <v>45695</v>
          </cell>
          <cell r="P103" t="str">
            <v>Visita con fines de Inspección y Vigilancia</v>
          </cell>
          <cell r="Q103" t="str">
            <v>ACTA FINAL VISITA EAC.pdf</v>
          </cell>
          <cell r="R103" t="str">
            <v>Se revisan los programas vigentes observando que cumplen con la normatividad  y la pertinencia que se requiere.</v>
          </cell>
          <cell r="S103" t="str">
            <v>Se sugiere replantear la estrategia para que los alumnos culminen la formación técnico laboral, acorde a la normatividad vigente. Deben modificar los programas que radicaron para registro, puesto que no se ajustan a las CUOC</v>
          </cell>
          <cell r="T103" t="str">
            <v>No</v>
          </cell>
          <cell r="U103" t="str">
            <v>Una vez radique la solicitud se procederá a realizar la revisión de los programas ajustados a las CUOC y con la documentación que exige el Decreto 1075</v>
          </cell>
        </row>
        <row r="104">
          <cell r="A104">
            <v>495</v>
          </cell>
          <cell r="B104"/>
          <cell r="C104" t="str">
            <v>CHAPINERO</v>
          </cell>
          <cell r="D104" t="str">
            <v>PRIVADO_IETDH</v>
          </cell>
          <cell r="E104" t="str">
            <v>IETDH</v>
          </cell>
          <cell r="F104" t="str">
            <v>ESCUELA_AERONÁUTICA_DE_COLOMBIA</v>
          </cell>
          <cell r="G104" t="str">
            <v>ESCUELA AERONÁUTICA DE COLOMBIA</v>
          </cell>
          <cell r="H104" t="str">
            <v>IETDH priorizadas por cada ELIV (seguimiento a PMI, que no se hayan visitado en los últimos 3 años)</v>
          </cell>
          <cell r="I104" t="str">
            <v>EVALUACIÓN_CON_FINES_DE_MEJORAMIENTO.</v>
          </cell>
          <cell r="J104" t="str">
            <v>Verificar las condiciones en cuanto a: la estructura administrativa, condiciones de la planta física y medios educativos adecuados.</v>
          </cell>
          <cell r="K104" t="str">
            <v xml:space="preserve">LAURA CRISTINA BECERRA CHAVES </v>
          </cell>
          <cell r="L104" t="str">
            <v>CONNIE QUIÑONES CÁRDENAS</v>
          </cell>
          <cell r="M104">
            <v>45695</v>
          </cell>
          <cell r="N104">
            <v>45695</v>
          </cell>
          <cell r="O104">
            <v>45695</v>
          </cell>
          <cell r="P104" t="str">
            <v>Visita con fines de Inspección y Vigilancia</v>
          </cell>
          <cell r="Q104" t="str">
            <v>ACTA FINAL VISITA EAC.pdf</v>
          </cell>
          <cell r="R104" t="str">
            <v xml:space="preserve">Se verifica la planta física encontrando que cumple con los requisitos para la prestación del servicio educativo. la EAC se encuentra estudiando la viabilidad de cambio de planta física </v>
          </cell>
          <cell r="S104" t="str">
            <v>Se informa que si decide cambiar de planta física debe informar a la DLE con antelación, remitiendo soportes de aviso a los alumnos y la documentación necesaria para el cambio</v>
          </cell>
          <cell r="T104" t="str">
            <v>No</v>
          </cell>
          <cell r="U104" t="str">
            <v>Se continuara Revisando la documentación y adelantar el tramite de modificación licencia de funcionamiento una vez este radicada  de acuerdo con la normatividad vigente</v>
          </cell>
        </row>
        <row r="105">
          <cell r="A105">
            <v>496</v>
          </cell>
          <cell r="B105">
            <v>17</v>
          </cell>
          <cell r="C105" t="str">
            <v>CHAPINERO</v>
          </cell>
          <cell r="D105" t="str">
            <v>PRIVADO_IETDH</v>
          </cell>
          <cell r="E105" t="str">
            <v>IETDH</v>
          </cell>
          <cell r="F105" t="str">
            <v>INSTITUTO_DE_IDIOMAS_COLOMBIA_S.A_BERLITZ</v>
          </cell>
          <cell r="G105" t="str">
            <v>INSTITUTO DE IDIOMAS COLOMBIA S.A BERLITZ</v>
          </cell>
          <cell r="H105" t="str">
            <v>IETDH priorizadas por cada ELIV (seguimiento a PMI, que no se hayan visitado en los últimos 3 años)</v>
          </cell>
          <cell r="I105" t="str">
            <v>SEGUIMIENTO_Y_SUPERVISIÓN.</v>
          </cell>
          <cell r="J105"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5" t="str">
            <v>JUAN MANUEL AGUIRRE BOHÓRQUEZ</v>
          </cell>
          <cell r="L105" t="str">
            <v>CONNIE QUIÑONES CÁRDENAS</v>
          </cell>
          <cell r="M105">
            <v>45853</v>
          </cell>
          <cell r="N105">
            <v>45853</v>
          </cell>
          <cell r="O105">
            <v>45853</v>
          </cell>
          <cell r="P105" t="str">
            <v>Visitas de evaluación con fines de mejoramiento</v>
          </cell>
          <cell r="Q105" t="str">
            <v>ACTA BERLITZ.pdf</v>
          </cell>
          <cell r="R105" t="str">
            <v>Se encuentran alumnos matriculados erróneamente en el SIET,  no corresponde a la realidad, alto número de matrícula pocos certificados, costos con incremento NO ajustado a la normatividad anual</v>
          </cell>
          <cell r="S105" t="str">
            <v xml:space="preserve">Se indica a la institución que debe corregir la información registrada en el SIET respecto a lodos programas que tiene inconsistencias en el numero de estudiantes  y deberá corregir  el valor de los costos 2024 y 2025 </v>
          </cell>
          <cell r="T105" t="str">
            <v>Si</v>
          </cell>
          <cell r="U105" t="str">
            <v>Una vez remitan a la IETDH la evidencia de la corrección de la información en el SIET, se procederá a realizar el cruce de la información en el sistema y la verificación de los costos ajustados</v>
          </cell>
        </row>
        <row r="106">
          <cell r="A106">
            <v>497</v>
          </cell>
          <cell r="B106"/>
          <cell r="C106" t="str">
            <v>CHAPINERO</v>
          </cell>
          <cell r="D106" t="str">
            <v>PRIVADO_IETDH</v>
          </cell>
          <cell r="E106" t="str">
            <v>IETDH</v>
          </cell>
          <cell r="F106" t="str">
            <v>INSTITUTO_DE_IDIOMAS_COLOMBIA_S.A_BERLITZ</v>
          </cell>
          <cell r="G106" t="str">
            <v>INSTITUTO DE IDIOMAS COLOMBIA S.A BERLITZ</v>
          </cell>
          <cell r="H106" t="str">
            <v>IETDH priorizadas por cada ELIV (seguimiento a PMI, que no se hayan visitado en los últimos 3 años)</v>
          </cell>
          <cell r="I106" t="str">
            <v>SEGUIMIENTO_Y_SUPERVISIÓN.</v>
          </cell>
          <cell r="J106" t="str">
            <v>Adelantar visitas para verificar que el desarrollo de los programas de ETDH, esté de acuerdo con lo autorizado y la normatividad vigente, para propender por su pertinencia, legalidad y actualización constante.</v>
          </cell>
          <cell r="K106" t="str">
            <v>JUAN MANUEL AGUIRRE BOHÓRQUEZ</v>
          </cell>
          <cell r="L106" t="str">
            <v>CONNIE QUIÑONES CÁRDENAS</v>
          </cell>
          <cell r="M106">
            <v>45853</v>
          </cell>
          <cell r="N106">
            <v>45853</v>
          </cell>
          <cell r="O106">
            <v>45853</v>
          </cell>
          <cell r="P106" t="str">
            <v>Visitas de evaluación con fines de mejoramiento</v>
          </cell>
          <cell r="Q106" t="str">
            <v>ACTA BERLITZ.pdf</v>
          </cell>
          <cell r="R106" t="str">
            <v>Se revisan los programas vigentes observando que cumplen con la normatividad  y la pertinencia que se requiere.</v>
          </cell>
          <cell r="S106" t="str">
            <v>Continuar con el cumplimiento de lo señalado en los actos administrativos frente a los programas</v>
          </cell>
          <cell r="T106" t="str">
            <v>No</v>
          </cell>
          <cell r="U106" t="str">
            <v>Verificación de la prestación del servicio educativo en condiciones de ley,  en caso de que se presenten irregularidades o de oficio cuando se considere necesario</v>
          </cell>
        </row>
        <row r="107">
          <cell r="A107">
            <v>498</v>
          </cell>
          <cell r="B107"/>
          <cell r="C107" t="str">
            <v>CHAPINERO</v>
          </cell>
          <cell r="D107" t="str">
            <v>PRIVADO_IETDH</v>
          </cell>
          <cell r="E107" t="str">
            <v>IETDH</v>
          </cell>
          <cell r="F107" t="str">
            <v>INSTITUTO_DE_IDIOMAS_COLOMBIA_S.A_BERLITZ</v>
          </cell>
          <cell r="G107" t="str">
            <v>INSTITUTO DE IDIOMAS COLOMBIA S.A BERLITZ</v>
          </cell>
          <cell r="H107" t="str">
            <v>IETDH priorizadas por cada ELIV (seguimiento a PMI, que no se hayan visitado en los últimos 3 años)</v>
          </cell>
          <cell r="I107" t="str">
            <v>EVALUACIÓN_CON_FINES_DE_MEJORAMIENTO.</v>
          </cell>
          <cell r="J107" t="str">
            <v>Verificar las condiciones en cuanto a: la estructura administrativa, condiciones de la planta física y medios educativos adecuados.</v>
          </cell>
          <cell r="K107" t="str">
            <v>JUAN MANUEL AGUIRRE BOHÓRQUEZ</v>
          </cell>
          <cell r="L107" t="str">
            <v>CONNIE QUIÑONES CÁRDENAS</v>
          </cell>
          <cell r="M107">
            <v>45853</v>
          </cell>
          <cell r="N107">
            <v>45853</v>
          </cell>
          <cell r="O107">
            <v>45853</v>
          </cell>
          <cell r="P107" t="str">
            <v>Visitas de evaluación con fines de mejoramiento</v>
          </cell>
          <cell r="Q107" t="str">
            <v>ACTA BERLITZ.pdf</v>
          </cell>
          <cell r="R107" t="str">
            <v xml:space="preserve">Se verifica que cuenta con los espacios académicos, administrativos y de bienestar en buenas condiciones y capacidad para alumnos </v>
          </cell>
          <cell r="S107" t="str">
            <v>Continuar con la prestación del servicio en buenas condiciones</v>
          </cell>
          <cell r="T107" t="str">
            <v>No</v>
          </cell>
          <cell r="U107" t="str">
            <v>Verificación de continuidad de las condiciones de infraestructura cuando se requiera</v>
          </cell>
        </row>
        <row r="108">
          <cell r="A108">
            <v>499</v>
          </cell>
          <cell r="B108">
            <v>18</v>
          </cell>
          <cell r="C108" t="str">
            <v>CHAPINERO</v>
          </cell>
          <cell r="D108" t="str">
            <v>PRIVADO_IETDH</v>
          </cell>
          <cell r="E108" t="str">
            <v>IETDH</v>
          </cell>
          <cell r="F108" t="str">
            <v>CENTRO_DE_IDIOMAS_UNIVERSAL</v>
          </cell>
          <cell r="G108" t="str">
            <v>CENTRO DE IDIOMAS UNIVERSAL</v>
          </cell>
          <cell r="H108" t="str">
            <v>IETDH priorizadas por cada ELIV (seguimiento a PMI, que no se hayan visitado en los últimos 3 años)</v>
          </cell>
          <cell r="I108" t="str">
            <v>SEGUIMIENTO_Y_SUPERVISIÓN.</v>
          </cell>
          <cell r="J108"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08" t="str">
            <v>CONNIE QUIÑONES CÁRDENAS</v>
          </cell>
          <cell r="L108" t="str">
            <v>JUAN MANUEL AGUIRRE BOHÓRQUEZ</v>
          </cell>
          <cell r="M108">
            <v>45783</v>
          </cell>
          <cell r="N108">
            <v>45813</v>
          </cell>
          <cell r="O108">
            <v>45813</v>
          </cell>
          <cell r="P108" t="str">
            <v>Visitas de evaluación con fines de mejoramiento</v>
          </cell>
          <cell r="Q108" t="str">
            <v>CENTRO DE IDIOMAS UNIVERSAL</v>
          </cell>
          <cell r="R108" t="str">
            <v>Se verificó que la institución realiza los cobros de conformidad con lo autorizado y ha realizado el reporte al equipo de Inspección la tarifa cobrada año a año y se ajusta al Índice de inflación, al revisar el contrato de matrícula se recomienda incluir un párrafo en el cual se indique que el estudiante puede retirarse en cualquier tiempo y tendrá que cubrir el costo del nivel efectivamente cursado; por las promociones realizan contratos con un valor total por todos los niveles de un idioma y crea confusión sobre el valor a cobrar al momento del retiro.  Frente al SIET se encuentra al día matricula y certificados</v>
          </cell>
          <cell r="S108" t="str">
            <v>La institución señaló que va a socializar con la oficina de calidad interna para incluir una cláusula que así lo contemple de acuerdo a las orientaciones y así evitar que se generen quejas cuando deseen hacer el retiro o la cancelación de los contratos de prestación de servicio en idiomas</v>
          </cell>
          <cell r="T108" t="str">
            <v>No</v>
          </cell>
          <cell r="U108" t="str">
            <v>En noviembre se verificará el ajuste al manual de convivencia en relación con la inclusión de la cláusula sobre retiro de estudiantes condiciones y demás que considere.</v>
          </cell>
        </row>
        <row r="109">
          <cell r="A109">
            <v>500</v>
          </cell>
          <cell r="B109"/>
          <cell r="C109" t="str">
            <v>CHAPINERO</v>
          </cell>
          <cell r="D109" t="str">
            <v>PRIVADO_IETDH</v>
          </cell>
          <cell r="E109" t="str">
            <v>IETDH</v>
          </cell>
          <cell r="F109" t="str">
            <v>CENTRO_DE_IDIOMAS_UNIVERSAL</v>
          </cell>
          <cell r="G109" t="str">
            <v>CENTRO DE IDIOMAS UNIVERSAL</v>
          </cell>
          <cell r="H109" t="str">
            <v>IETDH priorizadas por cada ELIV (seguimiento a PMI, que no se hayan visitado en los últimos 3 años)</v>
          </cell>
          <cell r="I109" t="str">
            <v>SEGUIMIENTO_Y_SUPERVISIÓN.</v>
          </cell>
          <cell r="J109" t="str">
            <v>Adelantar visitas para verificar que el desarrollo de los programas de ETDH, esté de acuerdo con lo autorizado y la normatividad vigente, para propender por su pertinencia, legalidad y actualización constante.</v>
          </cell>
          <cell r="K109" t="str">
            <v>CONNIE QUIÑONES CÁRDENAS</v>
          </cell>
          <cell r="L109" t="str">
            <v>JUAN MANUEL AGUIRRE BOHÓRQUEZ</v>
          </cell>
          <cell r="M109">
            <v>45783</v>
          </cell>
          <cell r="N109">
            <v>45813</v>
          </cell>
          <cell r="O109">
            <v>45813</v>
          </cell>
          <cell r="P109" t="str">
            <v>Visitas de evaluación con fines de mejoramiento</v>
          </cell>
          <cell r="Q109" t="str">
            <v>CENTRO DE IDIOMAS UNIVERSAL</v>
          </cell>
          <cell r="R109" t="str">
            <v>Se encuentra que la institución  tiene licencia de funcionamiento y registro de programas activos y la oferta corresponde a lo autorizado, presencial y a distancia con estrategia virtual.</v>
          </cell>
          <cell r="S109" t="str">
            <v>Continuar con el cumplimiento de lo señalado en los actos administrativos frente a la modalidad</v>
          </cell>
          <cell r="T109" t="str">
            <v>No</v>
          </cell>
          <cell r="U109" t="str">
            <v>Verificación de la prestación del servicio educativo en condiciones de ley,  en caso de que se presenten irregularidades o de oficio cuando se considere necesario</v>
          </cell>
        </row>
        <row r="110">
          <cell r="A110">
            <v>501</v>
          </cell>
          <cell r="B110"/>
          <cell r="C110" t="str">
            <v>CHAPINERO</v>
          </cell>
          <cell r="D110" t="str">
            <v>PRIVADO_IETDH</v>
          </cell>
          <cell r="E110" t="str">
            <v>IETDH</v>
          </cell>
          <cell r="F110" t="str">
            <v>CENTRO_DE_IDIOMAS_UNIVERSAL</v>
          </cell>
          <cell r="G110" t="str">
            <v>CENTRO DE IDIOMAS UNIVERSAL</v>
          </cell>
          <cell r="H110" t="str">
            <v>IETDH priorizadas por cada ELIV (seguimiento a PMI, que no se hayan visitado en los últimos 3 años)</v>
          </cell>
          <cell r="I110" t="str">
            <v>EVALUACIÓN_CON_FINES_DE_MEJORAMIENTO.</v>
          </cell>
          <cell r="J110" t="str">
            <v>Verificar las condiciones en cuanto a: la estructura administrativa, condiciones de la planta física y medios educativos adecuados.</v>
          </cell>
          <cell r="K110" t="str">
            <v>CONNIE QUIÑONES CÁRDENAS</v>
          </cell>
          <cell r="L110" t="str">
            <v>JUAN MANUEL AGUIRRE BOHÓRQUEZ</v>
          </cell>
          <cell r="M110">
            <v>45783</v>
          </cell>
          <cell r="N110">
            <v>45813</v>
          </cell>
          <cell r="O110">
            <v>45813</v>
          </cell>
          <cell r="P110" t="str">
            <v>Visitas de evaluación con fines de mejoramiento</v>
          </cell>
          <cell r="Q110" t="str">
            <v>CENTRO DE IDIOMAS UNIVERSAL</v>
          </cell>
          <cell r="R110" t="str">
            <v xml:space="preserve">Se verifica que cuenta con los espacios académicos, administrativos y de bienestar en buenas condiciones y capacidad para alumnos </v>
          </cell>
          <cell r="S110" t="str">
            <v>Continuar con la prestación del servicio en buenas condiciones</v>
          </cell>
          <cell r="T110" t="str">
            <v>No</v>
          </cell>
          <cell r="U110" t="str">
            <v>Verificación de continuidad de las condiciones de infraestructura cuando se requiera</v>
          </cell>
        </row>
        <row r="111">
          <cell r="A111">
            <v>502</v>
          </cell>
          <cell r="B111">
            <v>19</v>
          </cell>
          <cell r="C111" t="str">
            <v>CHAPINERO</v>
          </cell>
          <cell r="D111" t="str">
            <v>PRIVADO_IETDH</v>
          </cell>
          <cell r="E111" t="str">
            <v>IETDH</v>
          </cell>
          <cell r="F111" t="str">
            <v>CENTRO_DE_ALTOS_ESTUDIOS_INMOBILIARIOS</v>
          </cell>
          <cell r="G111" t="str">
            <v>CENTRO DE ALTOS ESTUDIOS INMOBILIARIOS</v>
          </cell>
          <cell r="H111" t="str">
            <v>IETDH priorizadas por cada ELIV (seguimiento a PMI, que no se hayan visitado en los últimos 3 años)</v>
          </cell>
          <cell r="I111" t="str">
            <v>SEGUIMIENTO_Y_SUPERVISIÓN.</v>
          </cell>
          <cell r="J111"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11" t="str">
            <v>SANTIAGO ÁVILA LEURO</v>
          </cell>
          <cell r="L111" t="str">
            <v>JUAN MANUEL AGUIRRE BOHÓRQUEZ</v>
          </cell>
          <cell r="M111">
            <v>45799</v>
          </cell>
          <cell r="N111">
            <v>45799</v>
          </cell>
          <cell r="O111">
            <v>45799</v>
          </cell>
          <cell r="P111" t="str">
            <v>Visitas de evaluación con fines de mejoramiento</v>
          </cell>
          <cell r="Q111" t="str">
            <v>CAEI</v>
          </cell>
          <cell r="R111" t="str">
            <v xml:space="preserve">El CAEI trasladó temporalmente sus actividades académicas a una sede sin autorización oficial, lo que constituye una irregularidad legal. Además, no ha reportado los costos educativos actualizados para 2025, aunque informan que el valor del programa permanece en $5.352.699. </v>
          </cell>
          <cell r="S111" t="str">
            <v>Se instó al CAEI a gestionar urgentemente ante la Secretaría de Educación la autorización formal de la nueva sede para garantizar la legalidad en la prestación del servicio. Además, se le recordó la obligación de reportar los costos educativos vigentes conforme a la normatividad.</v>
          </cell>
          <cell r="T111" t="str">
            <v>Si</v>
          </cell>
          <cell r="U111" t="str">
            <v>Se realizará seguimiento a la gestión del CAEI para la regularización de la sede y se verificará el reporte oportuno y actualizado de los costos educativos conforme a la normatividad vigente.</v>
          </cell>
        </row>
        <row r="112">
          <cell r="A112">
            <v>503</v>
          </cell>
          <cell r="B112"/>
          <cell r="C112" t="str">
            <v>CHAPINERO</v>
          </cell>
          <cell r="D112" t="str">
            <v>PRIVADO_IETDH</v>
          </cell>
          <cell r="E112" t="str">
            <v>IETDH</v>
          </cell>
          <cell r="F112" t="str">
            <v>CENTRO_DE_ALTOS_ESTUDIOS_INMOBILIARIOS</v>
          </cell>
          <cell r="G112" t="str">
            <v>CENTRO DE ALTOS ESTUDIOS INMOBILIARIOS</v>
          </cell>
          <cell r="H112" t="str">
            <v>IETDH priorizadas por cada ELIV (seguimiento a PMI, que no se hayan visitado en los últimos 3 años)</v>
          </cell>
          <cell r="I112" t="str">
            <v>SEGUIMIENTO_Y_SUPERVISIÓN.</v>
          </cell>
          <cell r="J112" t="str">
            <v>Adelantar visitas para verificar que el desarrollo de los programas de ETDH, esté de acuerdo con lo autorizado y la normatividad vigente, para propender por su pertinencia, legalidad y actualización constante.</v>
          </cell>
          <cell r="K112" t="str">
            <v>SANTIAGO ÁVILA LEURO</v>
          </cell>
          <cell r="L112" t="str">
            <v>JUAN MANUEL AGUIRRE BOHÓRQUEZ</v>
          </cell>
          <cell r="M112">
            <v>45799</v>
          </cell>
          <cell r="N112">
            <v>45799</v>
          </cell>
          <cell r="O112">
            <v>45799</v>
          </cell>
          <cell r="P112" t="str">
            <v>Visitas de evaluación con fines de mejoramiento</v>
          </cell>
          <cell r="Q112" t="str">
            <v>CAEI</v>
          </cell>
          <cell r="R112" t="str">
            <v>El programa Técnico Laboral en Avalúos muestra una disminución en la matrícula entre 2023 y 2025, con 49 estudiantes actuales y una cantidad constante de certificados emitidos. Además, la institución trasladó temporalmente sus actividades a una sede en Carrera 26 No. 72–73 (Barrios Unidos) que no cuenta con autorización oficial de la Secretaría de Educación del Distrito, lo cual afecta la legalidad de la prestación del servicio educativo.</v>
          </cell>
          <cell r="S112" t="str">
            <v>La institución debe regularizar urgentemente la situación de la sede no autorizada mediante la presentación de la solicitud formal para traslado o modificación ante la Secretaría de Educación. Además, se compromete a mantener la pertinencia y legalidad del programa, asegurando la actualización continua y el cumplimiento normativo en el desarrollo académico.</v>
          </cell>
          <cell r="T112" t="str">
            <v>Si</v>
          </cell>
          <cell r="U112" t="str">
            <v xml:space="preserve">Se dará seguimiento al envío de la estrategia por parte del CAEI antes del 24 de junio de 2025, para garantizar la legalidad y continuidad del servicio educativo. En caso de incumplimiento, se tomarán las medidas administrativas correspondientes.
</v>
          </cell>
        </row>
        <row r="113">
          <cell r="A113">
            <v>504</v>
          </cell>
          <cell r="B113"/>
          <cell r="C113" t="str">
            <v>CHAPINERO</v>
          </cell>
          <cell r="D113" t="str">
            <v>PRIVADO_IETDH</v>
          </cell>
          <cell r="E113" t="str">
            <v>IETDH</v>
          </cell>
          <cell r="F113" t="str">
            <v>CENTRO_DE_ALTOS_ESTUDIOS_INMOBILIARIOS</v>
          </cell>
          <cell r="G113" t="str">
            <v>CENTRO DE ALTOS ESTUDIOS INMOBILIARIOS</v>
          </cell>
          <cell r="H113" t="str">
            <v>IETDH priorizadas por cada ELIV (seguimiento a PMI, que no se hayan visitado en los últimos 3 años)</v>
          </cell>
          <cell r="I113" t="str">
            <v>EVALUACIÓN_CON_FINES_DE_MEJORAMIENTO.</v>
          </cell>
          <cell r="J113" t="str">
            <v>Verificar las condiciones en cuanto a: la estructura administrativa, condiciones de la planta física y medios educativos adecuados.</v>
          </cell>
          <cell r="K113" t="str">
            <v>SANTIAGO ÁVILA LEURO</v>
          </cell>
          <cell r="L113" t="str">
            <v>JUAN MANUEL AGUIRRE BOHÓRQUEZ</v>
          </cell>
          <cell r="M113">
            <v>45799</v>
          </cell>
          <cell r="N113">
            <v>45799</v>
          </cell>
          <cell r="O113">
            <v>45799</v>
          </cell>
          <cell r="P113" t="str">
            <v>Visitas de evaluación con fines de mejoramiento</v>
          </cell>
          <cell r="Q113" t="str">
            <v>AR</v>
          </cell>
          <cell r="R113" t="str">
            <v>La institución no opera en la sede autorizada por la SED (Calle 82 No. 19–31), ya que fue entregada tras un siniestro. Actualmente funciona en una sede no autorizada (Carrera 26 No. 72–73), lo cual constituye una irregularidad. Se realizó visita de observación en esta sede temporal, donde se evidenció dotación básica y condiciones físicas aceptables.</v>
          </cell>
          <cell r="S113" t="str">
            <v>El CAEI se comprometió a remitir, antes del 24 de junio de 2025, una estrategia detallada que garantice la legalidad del servicio educativo, incluyendo plan de reubicación, cronograma y medidas de acompañamiento a los estudiantes.</v>
          </cell>
          <cell r="T113" t="str">
            <v>Si</v>
          </cell>
          <cell r="U113" t="str">
            <v>El equipo local de inspección y vigilancia realizará seguimiento al cumplimiento del compromiso, especialmente a la entrega oportuna de la estrategia y al trámite para regularizar la nueva sede ante la SED, conforme al Decreto 1075 de 2015.</v>
          </cell>
        </row>
        <row r="114">
          <cell r="A114">
            <v>505</v>
          </cell>
          <cell r="B114">
            <v>20</v>
          </cell>
          <cell r="C114" t="str">
            <v>CHAPINERO</v>
          </cell>
          <cell r="D114" t="str">
            <v>PRIVADO_IETDH</v>
          </cell>
          <cell r="E114" t="str">
            <v>IETDH</v>
          </cell>
          <cell r="F114" t="str">
            <v>ACADEMIA_DANZA_DESARROLLO_Y_ARTE_CON_PROPOSITO_DE_EVOLUCION_Y_MAESTRIA_ADDA_PREM</v>
          </cell>
          <cell r="G114" t="str">
            <v>ACADEMIA DANZA DESARROLLO Y ARTE CON PROPOSITO DE EVOLUCION Y MAESTRIA ADDA PREM</v>
          </cell>
          <cell r="H114" t="str">
            <v>IETDH priorizadas por cada ELIV (seguimiento a PMI, que no se hayan visitado en los últimos 3 años)</v>
          </cell>
          <cell r="I114" t="str">
            <v>SEGUIMIENTO_Y_SUPERVISIÓN.</v>
          </cell>
          <cell r="J114"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114" t="str">
            <v>CONNIE QUIÑONES CÁRDENAS</v>
          </cell>
          <cell r="L114" t="str">
            <v>JUAN MANUEL AGUIRRE BOHÓRQUEZ</v>
          </cell>
          <cell r="M114">
            <v>45884</v>
          </cell>
          <cell r="N114">
            <v>45890</v>
          </cell>
          <cell r="O114">
            <v>45890</v>
          </cell>
          <cell r="P114" t="str">
            <v>Visitas de evaluación con fines de mejoramiento</v>
          </cell>
          <cell r="Q114" t="str">
            <v>ACADEMIA DANZA DESARROLLO CON PROPOSITO ADDA</v>
          </cell>
          <cell r="R114" t="str">
            <v>Se encuentra que los estudiantes matriculados y certificados corresponden a los reportados en el sistema  SIET.       En costos se encuentra que los programas se renovaron en el año 2023 y la tarifa no ha sido incrementada y por el contrario concede descuentos a los estudiantes. Se observa que la institución actualizó el  SIET días previos a la visita y en cuanto al reporte de las tarifas, no realiza el reporte anual a la Secretaría de Educación incumpliendo esta obligación.    Respecto al contrato de matricula, cuenta con un documento que contiene el mínimo de requisitos debidamente firmados ordenados y con clausulas claras sobre el programa al que se matricula, costos y forma de pago</v>
          </cell>
          <cell r="S114" t="str">
            <v>Se generan compromisos relacionados con la actualización del SIET cada semestre. Realizar el reporte de costos anualmente a la Dirección Local de Chapinero, actualizar el SURE respecto al PEGR y cambio climático.  Frente al contrato de matrícula dejar evidencia de socialización del manual de convivencia y realizar la consulta de inhabilidades por delitos sexuales por lo menos 3 veces al año y presentará los ajustes antes de finalizar el mes de agosto 2025</v>
          </cell>
          <cell r="T114" t="str">
            <v>No</v>
          </cell>
          <cell r="U114" t="str">
            <v xml:space="preserve">Se hizo seguimiento al plan de mejoramiento de la institución presentado el día 12 de septiembre al cual se le hicieron observaciones el día 26 de septiembre mediante oficio, de lo cual se hará seguimiento el 15 de noviembre para que subsane. Así mismo respecto a la verificación de los costos presentados el 12 de septiembre, se le informo que se encuentran ajustados con oficio del 22 de septiembre de acuerdo a lo establecido en el decreto 1075 de 2015  </v>
          </cell>
        </row>
        <row r="115">
          <cell r="A115">
            <v>506</v>
          </cell>
          <cell r="B115"/>
          <cell r="C115" t="str">
            <v>CHAPINERO</v>
          </cell>
          <cell r="D115" t="str">
            <v>PRIVADO_IETDH</v>
          </cell>
          <cell r="E115" t="str">
            <v>IETDH</v>
          </cell>
          <cell r="F115" t="str">
            <v>ACADEMIA_DANZA_DESARROLLO_Y_ARTE_CON_PROPOSITO_DE_EVOLUCION_Y_MAESTRIA_ADDA_PREM</v>
          </cell>
          <cell r="G115" t="str">
            <v>ACADEMIA DANZA DESARROLLO Y ARTE CON PROPOSITO DE EVOLUCION Y MAESTRIA ADDA PREM</v>
          </cell>
          <cell r="H115" t="str">
            <v>IETDH priorizadas por cada ELIV (seguimiento a PMI, que no se hayan visitado en los últimos 3 años)</v>
          </cell>
          <cell r="I115" t="str">
            <v>SEGUIMIENTO_Y_SUPERVISIÓN.</v>
          </cell>
          <cell r="J115" t="str">
            <v>Adelantar visitas para verificar que el desarrollo de los programas de ETDH, esté de acuerdo con lo autorizado y la normatividad vigente, para propender por su pertinencia, legalidad y actualización constante.</v>
          </cell>
          <cell r="K115" t="str">
            <v>CONNIE QUIÑONES CÁRDENAS</v>
          </cell>
          <cell r="L115" t="str">
            <v>JUAN MANUEL AGUIRRE BOHÓRQUEZ</v>
          </cell>
          <cell r="M115">
            <v>45884</v>
          </cell>
          <cell r="N115">
            <v>45890</v>
          </cell>
          <cell r="O115">
            <v>45890</v>
          </cell>
          <cell r="P115" t="str">
            <v>Visitas de evaluación con fines de mejoramiento</v>
          </cell>
          <cell r="Q115" t="str">
            <v>ACADEMIA DANZA DESARROLLO CON PROPOSITO ADDA</v>
          </cell>
          <cell r="R115" t="str">
            <v xml:space="preserve">Cuenta con licencia de funcionamiento y registro de programas renovados en el 2023, se orienta para mejorar el certificado de conocimientos académicos que expide por encontrar errores en el número de horas certificadas, cumple con las horas autorizadas y se ajusta al plan de estudio, cuenta 8 docentes con experiencia e idoneidad, cuentan con contratos laborales y de prestación de servicios, pendiente completar las carpetas de los docentes sobre todos en lo relacionado con las consultas de inhabilidades y soporte  de afiliación al  SGSS </v>
          </cell>
          <cell r="S115" t="str">
            <v>Se compromete a diseñar un Certificado de Conocimientos académicos que cuente con la información requerida de acuerdo a los actos administrativos expedidos.    Se compromete a hacer la consulta de inhabilidades mínimo dos (2) veces al año</v>
          </cell>
          <cell r="T115" t="str">
            <v>No</v>
          </cell>
          <cell r="U115" t="str">
            <v>Se verificó la propuesta de certificado de Conocimientos académicos y se e dio aprobación. Y se hará seguimiento a la obligación de mantener actualizado el archivo o carpeta de docentes al momento de la renovación de los  programas.</v>
          </cell>
        </row>
        <row r="116">
          <cell r="A116">
            <v>507</v>
          </cell>
          <cell r="B116"/>
          <cell r="C116" t="str">
            <v>CHAPINERO</v>
          </cell>
          <cell r="D116" t="str">
            <v>PRIVADO_IETDH</v>
          </cell>
          <cell r="E116" t="str">
            <v>IETDH</v>
          </cell>
          <cell r="F116" t="str">
            <v>ACADEMIA_DANZA_DESARROLLO_Y_ARTE_CON_PROPOSITO_DE_EVOLUCION_Y_MAESTRIA_ADDA_PREM</v>
          </cell>
          <cell r="G116" t="str">
            <v>ACADEMIA DANZA DESARROLLO Y ARTE CON PROPOSITO DE EVOLUCION Y MAESTRIA ADDA PREM</v>
          </cell>
          <cell r="H116" t="str">
            <v>IETDH priorizadas por cada ELIV (seguimiento a PMI, que no se hayan visitado en los últimos 3 años)</v>
          </cell>
          <cell r="I116" t="str">
            <v>EVALUACIÓN_CON_FINES_DE_MEJORAMIENTO.</v>
          </cell>
          <cell r="J116" t="str">
            <v>Verificar las condiciones en cuanto a: la estructura administrativa, condiciones de la planta física y medios educativos adecuados.</v>
          </cell>
          <cell r="K116" t="str">
            <v>CONNIE QUIÑONES CÁRDENAS</v>
          </cell>
          <cell r="L116" t="str">
            <v>JUAN MANUEL AGUIRRE BOHÓRQUEZ</v>
          </cell>
          <cell r="M116">
            <v>45884</v>
          </cell>
          <cell r="N116">
            <v>45890</v>
          </cell>
          <cell r="O116">
            <v>45890</v>
          </cell>
          <cell r="P116" t="str">
            <v>Visitas de evaluación con fines de mejoramiento</v>
          </cell>
          <cell r="Q116" t="str">
            <v>ACADEMIA DANZA DESARROLLO CON PROPOSITO ADDA</v>
          </cell>
          <cell r="R116" t="str">
            <v>Se encuentra una planta física adecuada, baños para mujeres hombre y administrativos, espacios iluminados adecuados con capacidad y áreas especiales para danza</v>
          </cell>
          <cell r="S116" t="str">
            <v>Mantener las condiciones en buen estado para la prestación del servicio educativo</v>
          </cell>
          <cell r="T116" t="str">
            <v>No</v>
          </cell>
          <cell r="U116" t="str">
            <v>Se hará la verificación de las condiciones de la panta física cuando se requiera</v>
          </cell>
        </row>
        <row r="117">
          <cell r="B117"/>
          <cell r="C117"/>
          <cell r="D117"/>
          <cell r="E117"/>
          <cell r="F117"/>
          <cell r="G117"/>
          <cell r="H117"/>
          <cell r="I117"/>
          <cell r="J117"/>
          <cell r="K117"/>
          <cell r="L117"/>
          <cell r="M117"/>
          <cell r="N117"/>
          <cell r="O117"/>
          <cell r="P117"/>
          <cell r="Q117"/>
          <cell r="R117"/>
          <cell r="S117"/>
          <cell r="T117"/>
          <cell r="U117"/>
        </row>
        <row r="118">
          <cell r="B118"/>
          <cell r="C118"/>
          <cell r="D118"/>
          <cell r="E118"/>
          <cell r="F118"/>
          <cell r="G118"/>
          <cell r="H118"/>
          <cell r="I118"/>
          <cell r="J118"/>
          <cell r="K118"/>
          <cell r="L118"/>
          <cell r="M118"/>
          <cell r="N118"/>
          <cell r="O118"/>
          <cell r="P118"/>
          <cell r="Q118"/>
          <cell r="R118"/>
          <cell r="S118"/>
          <cell r="T118"/>
          <cell r="U118"/>
        </row>
        <row r="119">
          <cell r="B119"/>
          <cell r="C119"/>
          <cell r="D119"/>
          <cell r="E119"/>
          <cell r="F119"/>
          <cell r="G119"/>
          <cell r="H119"/>
          <cell r="I119"/>
          <cell r="J119"/>
          <cell r="K119"/>
          <cell r="L119"/>
          <cell r="M119"/>
          <cell r="N119"/>
          <cell r="O119"/>
          <cell r="P119"/>
          <cell r="Q119"/>
          <cell r="R119"/>
          <cell r="S119"/>
          <cell r="T119"/>
          <cell r="U119"/>
        </row>
        <row r="120">
          <cell r="B120"/>
          <cell r="C120"/>
          <cell r="D120"/>
          <cell r="E120"/>
          <cell r="F120"/>
          <cell r="G120"/>
          <cell r="H120"/>
          <cell r="I120"/>
          <cell r="J120"/>
          <cell r="K120"/>
          <cell r="L120"/>
          <cell r="M120"/>
          <cell r="N120"/>
          <cell r="O120"/>
          <cell r="P120"/>
          <cell r="Q120"/>
          <cell r="R120"/>
          <cell r="S120"/>
          <cell r="T120"/>
          <cell r="U120"/>
        </row>
        <row r="121">
          <cell r="B121"/>
          <cell r="C121"/>
          <cell r="D121"/>
          <cell r="E121"/>
          <cell r="F121"/>
          <cell r="G121"/>
          <cell r="H121"/>
          <cell r="I121"/>
          <cell r="J121"/>
          <cell r="K121"/>
          <cell r="L121"/>
          <cell r="M121"/>
          <cell r="N121"/>
          <cell r="O121"/>
          <cell r="P121"/>
          <cell r="Q121"/>
          <cell r="R121"/>
          <cell r="S121"/>
          <cell r="T121"/>
          <cell r="U121"/>
        </row>
        <row r="122">
          <cell r="B122"/>
          <cell r="C122"/>
          <cell r="D122"/>
          <cell r="E122"/>
          <cell r="F122"/>
          <cell r="G122"/>
          <cell r="H122"/>
          <cell r="I122"/>
          <cell r="J122"/>
          <cell r="K122"/>
          <cell r="L122"/>
          <cell r="M122"/>
          <cell r="N122"/>
          <cell r="O122"/>
          <cell r="P122"/>
          <cell r="Q122"/>
          <cell r="R122"/>
          <cell r="S122"/>
          <cell r="T122"/>
          <cell r="U122"/>
        </row>
        <row r="123">
          <cell r="B123"/>
          <cell r="C123"/>
          <cell r="D123"/>
          <cell r="E123"/>
          <cell r="F123"/>
          <cell r="G123"/>
          <cell r="H123"/>
          <cell r="I123"/>
          <cell r="J123"/>
          <cell r="K123"/>
          <cell r="L123"/>
          <cell r="M123"/>
          <cell r="N123"/>
          <cell r="O123"/>
          <cell r="P123"/>
          <cell r="Q123"/>
          <cell r="R123"/>
          <cell r="S123"/>
          <cell r="T123"/>
          <cell r="U123"/>
        </row>
        <row r="124">
          <cell r="B124"/>
          <cell r="C124"/>
          <cell r="D124"/>
          <cell r="E124"/>
          <cell r="F124"/>
          <cell r="G124"/>
          <cell r="H124"/>
          <cell r="I124"/>
          <cell r="J124"/>
          <cell r="K124"/>
          <cell r="L124"/>
          <cell r="M124"/>
          <cell r="N124"/>
          <cell r="O124"/>
          <cell r="P124"/>
          <cell r="Q124"/>
          <cell r="R124"/>
          <cell r="S124"/>
          <cell r="T124"/>
          <cell r="U124"/>
        </row>
        <row r="125">
          <cell r="B125"/>
          <cell r="C125"/>
          <cell r="D125"/>
          <cell r="E125"/>
          <cell r="F125"/>
          <cell r="G125"/>
          <cell r="H125"/>
          <cell r="I125"/>
          <cell r="J125"/>
          <cell r="K125"/>
          <cell r="L125"/>
          <cell r="M125"/>
          <cell r="N125"/>
          <cell r="O125"/>
          <cell r="P125"/>
          <cell r="Q125"/>
          <cell r="R125"/>
          <cell r="S125"/>
          <cell r="T125"/>
          <cell r="U125"/>
        </row>
        <row r="126">
          <cell r="B126"/>
          <cell r="C126"/>
          <cell r="D126"/>
          <cell r="E126"/>
          <cell r="F126"/>
          <cell r="G126"/>
          <cell r="H126"/>
          <cell r="I126"/>
          <cell r="J126"/>
          <cell r="K126"/>
          <cell r="L126"/>
          <cell r="M126"/>
          <cell r="N126"/>
          <cell r="O126"/>
          <cell r="P126"/>
          <cell r="Q126"/>
          <cell r="R126"/>
          <cell r="S126"/>
          <cell r="T126"/>
          <cell r="U126"/>
        </row>
        <row r="127">
          <cell r="B127"/>
          <cell r="C127"/>
          <cell r="D127"/>
          <cell r="E127"/>
          <cell r="F127"/>
          <cell r="G127"/>
          <cell r="H127"/>
          <cell r="I127"/>
          <cell r="J127"/>
          <cell r="K127"/>
          <cell r="L127"/>
          <cell r="M127"/>
          <cell r="N127"/>
          <cell r="O127"/>
          <cell r="P127"/>
          <cell r="Q127"/>
          <cell r="R127"/>
          <cell r="S127"/>
          <cell r="T127"/>
          <cell r="U127"/>
        </row>
        <row r="128">
          <cell r="B128"/>
          <cell r="C128"/>
          <cell r="D128"/>
          <cell r="E128"/>
          <cell r="F128"/>
          <cell r="G128"/>
          <cell r="H128"/>
          <cell r="I128"/>
          <cell r="J128"/>
          <cell r="K128"/>
          <cell r="L128"/>
          <cell r="M128"/>
          <cell r="N128"/>
          <cell r="O128"/>
          <cell r="P128"/>
          <cell r="Q128"/>
          <cell r="R128"/>
          <cell r="S128"/>
          <cell r="T128"/>
          <cell r="U128"/>
        </row>
        <row r="129">
          <cell r="B129"/>
          <cell r="C129"/>
          <cell r="D129"/>
          <cell r="E129"/>
          <cell r="F129"/>
          <cell r="G129"/>
          <cell r="H129"/>
          <cell r="I129"/>
          <cell r="J129"/>
          <cell r="K129"/>
          <cell r="L129"/>
          <cell r="M129"/>
          <cell r="N129"/>
          <cell r="O129"/>
          <cell r="P129"/>
          <cell r="Q129"/>
          <cell r="R129"/>
          <cell r="S129"/>
          <cell r="T129"/>
          <cell r="U129"/>
        </row>
        <row r="130">
          <cell r="B130"/>
          <cell r="C130"/>
          <cell r="D130"/>
          <cell r="E130"/>
          <cell r="F130"/>
          <cell r="G130"/>
          <cell r="H130"/>
          <cell r="I130"/>
          <cell r="J130"/>
          <cell r="K130"/>
          <cell r="L130"/>
          <cell r="M130"/>
          <cell r="N130"/>
          <cell r="O130"/>
          <cell r="P130"/>
          <cell r="Q130"/>
          <cell r="R130"/>
          <cell r="S130"/>
          <cell r="T130"/>
          <cell r="U130"/>
        </row>
        <row r="131">
          <cell r="B131"/>
          <cell r="C131"/>
          <cell r="D131"/>
          <cell r="E131"/>
          <cell r="F131"/>
          <cell r="G131"/>
          <cell r="H131"/>
          <cell r="I131"/>
          <cell r="J131"/>
          <cell r="K131"/>
          <cell r="L131"/>
          <cell r="M131"/>
          <cell r="N131"/>
          <cell r="O131"/>
          <cell r="P131"/>
          <cell r="Q131"/>
          <cell r="R131"/>
          <cell r="S131"/>
          <cell r="T131"/>
          <cell r="U131"/>
        </row>
        <row r="132">
          <cell r="B132"/>
          <cell r="C132"/>
          <cell r="D132"/>
          <cell r="E132"/>
          <cell r="F132"/>
          <cell r="G132"/>
          <cell r="H132"/>
          <cell r="I132"/>
          <cell r="J132"/>
          <cell r="K132"/>
          <cell r="L132"/>
          <cell r="M132"/>
          <cell r="N132"/>
          <cell r="O132"/>
          <cell r="P132"/>
          <cell r="Q132"/>
          <cell r="R132"/>
          <cell r="S132"/>
          <cell r="T132"/>
          <cell r="U132"/>
        </row>
        <row r="133">
          <cell r="B133"/>
          <cell r="C133"/>
          <cell r="D133"/>
          <cell r="E133"/>
          <cell r="F133"/>
          <cell r="G133"/>
          <cell r="H133"/>
          <cell r="I133"/>
          <cell r="J133"/>
          <cell r="K133"/>
          <cell r="L133"/>
          <cell r="M133"/>
          <cell r="N133"/>
          <cell r="O133"/>
          <cell r="P133"/>
          <cell r="Q133"/>
          <cell r="R133"/>
          <cell r="S133"/>
          <cell r="T133"/>
          <cell r="U133"/>
        </row>
        <row r="134">
          <cell r="B134"/>
          <cell r="C134"/>
          <cell r="D134"/>
          <cell r="E134"/>
          <cell r="F134"/>
          <cell r="G134"/>
          <cell r="H134"/>
          <cell r="I134"/>
          <cell r="J134"/>
          <cell r="K134"/>
          <cell r="L134"/>
          <cell r="M134"/>
          <cell r="N134"/>
          <cell r="O134"/>
          <cell r="P134"/>
          <cell r="Q134"/>
          <cell r="R134"/>
          <cell r="S134"/>
          <cell r="T134"/>
          <cell r="U134"/>
        </row>
        <row r="135">
          <cell r="B135"/>
          <cell r="C135"/>
          <cell r="D135"/>
          <cell r="E135"/>
          <cell r="F135"/>
          <cell r="G135"/>
          <cell r="H135"/>
          <cell r="I135"/>
          <cell r="J135"/>
          <cell r="K135"/>
          <cell r="L135"/>
          <cell r="M135"/>
          <cell r="N135"/>
          <cell r="O135"/>
          <cell r="P135"/>
          <cell r="Q135"/>
          <cell r="R135"/>
          <cell r="S135"/>
          <cell r="T135"/>
          <cell r="U135"/>
        </row>
        <row r="136">
          <cell r="B136"/>
          <cell r="C136"/>
          <cell r="D136"/>
          <cell r="E136"/>
          <cell r="F136"/>
          <cell r="G136"/>
          <cell r="H136"/>
          <cell r="I136"/>
          <cell r="J136"/>
          <cell r="K136"/>
          <cell r="L136"/>
          <cell r="M136"/>
          <cell r="N136"/>
          <cell r="O136"/>
          <cell r="P136"/>
          <cell r="Q136"/>
          <cell r="R136"/>
          <cell r="S136"/>
          <cell r="T136"/>
          <cell r="U136"/>
        </row>
        <row r="137">
          <cell r="B137"/>
          <cell r="C137"/>
          <cell r="D137"/>
          <cell r="E137"/>
          <cell r="F137"/>
          <cell r="G137"/>
          <cell r="H137"/>
          <cell r="I137"/>
          <cell r="J137"/>
          <cell r="K137"/>
          <cell r="L137"/>
          <cell r="M137"/>
          <cell r="N137"/>
          <cell r="O137"/>
          <cell r="P137"/>
          <cell r="Q137"/>
          <cell r="R137"/>
          <cell r="S137"/>
          <cell r="T137"/>
          <cell r="U137"/>
        </row>
        <row r="138">
          <cell r="B138"/>
          <cell r="C138"/>
          <cell r="D138"/>
          <cell r="E138"/>
          <cell r="F138"/>
          <cell r="G138"/>
          <cell r="H138"/>
          <cell r="I138"/>
          <cell r="J138"/>
          <cell r="K138"/>
          <cell r="L138"/>
          <cell r="M138"/>
          <cell r="N138"/>
          <cell r="O138"/>
          <cell r="P138"/>
          <cell r="Q138"/>
          <cell r="R138"/>
          <cell r="S138"/>
          <cell r="T138"/>
          <cell r="U138"/>
        </row>
        <row r="139">
          <cell r="B139"/>
          <cell r="C139"/>
          <cell r="D139"/>
          <cell r="E139"/>
          <cell r="F139"/>
          <cell r="G139"/>
          <cell r="H139"/>
          <cell r="I139"/>
          <cell r="J139"/>
          <cell r="K139"/>
          <cell r="L139"/>
          <cell r="M139"/>
          <cell r="N139"/>
          <cell r="O139"/>
          <cell r="P139"/>
          <cell r="Q139"/>
          <cell r="R139"/>
          <cell r="S139"/>
          <cell r="T139"/>
          <cell r="U139"/>
        </row>
        <row r="140">
          <cell r="B140"/>
          <cell r="C140"/>
          <cell r="D140"/>
          <cell r="E140"/>
          <cell r="F140"/>
          <cell r="G140"/>
          <cell r="H140"/>
          <cell r="I140"/>
          <cell r="J140"/>
          <cell r="K140"/>
          <cell r="L140"/>
          <cell r="M140"/>
          <cell r="N140"/>
          <cell r="O140"/>
          <cell r="P140"/>
          <cell r="Q140"/>
          <cell r="R140"/>
          <cell r="S140"/>
          <cell r="T140"/>
          <cell r="U140"/>
        </row>
        <row r="141">
          <cell r="B141"/>
          <cell r="C141"/>
          <cell r="D141"/>
          <cell r="E141"/>
          <cell r="F141"/>
          <cell r="G141"/>
          <cell r="H141"/>
          <cell r="I141"/>
          <cell r="J141"/>
          <cell r="K141"/>
          <cell r="L141"/>
          <cell r="M141"/>
          <cell r="N141"/>
          <cell r="O141"/>
          <cell r="P141"/>
          <cell r="Q141"/>
          <cell r="R141"/>
          <cell r="S141"/>
          <cell r="T141"/>
          <cell r="U141"/>
        </row>
        <row r="142">
          <cell r="B142"/>
          <cell r="C142"/>
          <cell r="D142"/>
          <cell r="E142"/>
          <cell r="F142"/>
          <cell r="G142"/>
          <cell r="H142"/>
          <cell r="I142"/>
          <cell r="J142"/>
          <cell r="K142"/>
          <cell r="L142"/>
          <cell r="M142"/>
          <cell r="N142"/>
          <cell r="O142"/>
          <cell r="P142"/>
          <cell r="Q142"/>
          <cell r="R142"/>
          <cell r="S142"/>
          <cell r="T142"/>
          <cell r="U142"/>
        </row>
        <row r="143">
          <cell r="B143"/>
          <cell r="C143"/>
          <cell r="D143"/>
          <cell r="E143"/>
          <cell r="F143"/>
          <cell r="G143"/>
          <cell r="H143"/>
          <cell r="I143"/>
          <cell r="J143"/>
          <cell r="K143"/>
          <cell r="L143"/>
          <cell r="M143"/>
          <cell r="N143"/>
          <cell r="O143"/>
          <cell r="P143"/>
          <cell r="Q143"/>
          <cell r="R143"/>
          <cell r="S143"/>
          <cell r="T143"/>
          <cell r="U143"/>
        </row>
        <row r="144">
          <cell r="B144"/>
          <cell r="C144"/>
          <cell r="D144"/>
          <cell r="E144"/>
          <cell r="F144"/>
          <cell r="G144"/>
          <cell r="H144"/>
          <cell r="I144"/>
          <cell r="J144"/>
          <cell r="K144"/>
          <cell r="L144"/>
          <cell r="M144"/>
          <cell r="N144"/>
          <cell r="O144"/>
          <cell r="P144"/>
          <cell r="Q144"/>
          <cell r="R144"/>
          <cell r="S144"/>
          <cell r="T144"/>
          <cell r="U144"/>
        </row>
        <row r="145">
          <cell r="B145"/>
          <cell r="C145"/>
          <cell r="D145"/>
          <cell r="E145"/>
          <cell r="F145"/>
          <cell r="G145"/>
          <cell r="H145"/>
          <cell r="I145"/>
          <cell r="J145"/>
          <cell r="K145"/>
          <cell r="L145"/>
          <cell r="M145"/>
          <cell r="N145"/>
          <cell r="O145"/>
          <cell r="P145"/>
          <cell r="Q145"/>
          <cell r="R145"/>
          <cell r="S145"/>
          <cell r="T145"/>
          <cell r="U145"/>
        </row>
        <row r="146">
          <cell r="B146"/>
          <cell r="C146"/>
          <cell r="D146"/>
          <cell r="E146"/>
          <cell r="F146"/>
          <cell r="G146"/>
          <cell r="H146"/>
          <cell r="I146"/>
          <cell r="J146"/>
          <cell r="K146"/>
          <cell r="L146"/>
          <cell r="M146"/>
          <cell r="N146"/>
          <cell r="O146"/>
          <cell r="P146"/>
          <cell r="Q146"/>
          <cell r="R146"/>
          <cell r="S146"/>
          <cell r="T146"/>
          <cell r="U146"/>
        </row>
        <row r="147">
          <cell r="B147"/>
          <cell r="C147"/>
          <cell r="D147"/>
          <cell r="E147"/>
          <cell r="F147"/>
          <cell r="G147"/>
          <cell r="H147"/>
          <cell r="I147"/>
          <cell r="J147"/>
          <cell r="K147"/>
          <cell r="L147"/>
          <cell r="M147"/>
          <cell r="N147"/>
          <cell r="O147"/>
          <cell r="P147"/>
          <cell r="Q147"/>
          <cell r="R147"/>
          <cell r="S147"/>
          <cell r="T147"/>
          <cell r="U147"/>
        </row>
        <row r="148">
          <cell r="B148"/>
          <cell r="C148"/>
          <cell r="D148"/>
          <cell r="E148"/>
          <cell r="F148"/>
          <cell r="G148"/>
          <cell r="H148"/>
          <cell r="I148"/>
          <cell r="J148"/>
          <cell r="K148"/>
          <cell r="L148"/>
          <cell r="M148"/>
          <cell r="N148"/>
          <cell r="O148"/>
          <cell r="P148"/>
          <cell r="Q148"/>
          <cell r="R148"/>
          <cell r="S148"/>
          <cell r="T148"/>
          <cell r="U148"/>
        </row>
        <row r="149">
          <cell r="B149"/>
          <cell r="C149"/>
          <cell r="D149"/>
          <cell r="E149"/>
          <cell r="F149"/>
          <cell r="G149"/>
          <cell r="H149"/>
          <cell r="I149"/>
          <cell r="J149"/>
          <cell r="K149"/>
          <cell r="L149"/>
          <cell r="M149"/>
          <cell r="N149"/>
          <cell r="O149"/>
          <cell r="P149"/>
          <cell r="Q149"/>
          <cell r="R149"/>
          <cell r="S149"/>
          <cell r="T149"/>
          <cell r="U149"/>
        </row>
        <row r="150">
          <cell r="B150"/>
          <cell r="C150"/>
          <cell r="D150"/>
          <cell r="E150"/>
          <cell r="F150"/>
          <cell r="G150"/>
          <cell r="H150"/>
          <cell r="I150"/>
          <cell r="J150"/>
          <cell r="K150"/>
          <cell r="L150"/>
          <cell r="M150"/>
          <cell r="N150"/>
          <cell r="O150"/>
          <cell r="P150"/>
          <cell r="Q150"/>
          <cell r="R150"/>
          <cell r="S150"/>
          <cell r="T150"/>
          <cell r="U150"/>
        </row>
        <row r="151">
          <cell r="B151"/>
          <cell r="C151"/>
          <cell r="D151"/>
          <cell r="E151"/>
          <cell r="F151"/>
          <cell r="G151"/>
          <cell r="H151"/>
          <cell r="I151"/>
          <cell r="J151"/>
          <cell r="K151"/>
          <cell r="L151"/>
          <cell r="M151"/>
          <cell r="N151"/>
          <cell r="O151"/>
          <cell r="P151"/>
          <cell r="Q151"/>
          <cell r="R151"/>
          <cell r="S151"/>
          <cell r="T151"/>
          <cell r="U151"/>
        </row>
        <row r="152">
          <cell r="B152"/>
          <cell r="C152"/>
          <cell r="D152"/>
          <cell r="E152"/>
          <cell r="F152"/>
          <cell r="G152"/>
          <cell r="H152"/>
          <cell r="I152"/>
          <cell r="J152"/>
          <cell r="K152"/>
          <cell r="L152"/>
          <cell r="M152"/>
          <cell r="N152"/>
          <cell r="O152"/>
          <cell r="P152"/>
          <cell r="Q152"/>
          <cell r="R152"/>
          <cell r="S152"/>
          <cell r="T152"/>
          <cell r="U152"/>
        </row>
        <row r="153">
          <cell r="B153"/>
          <cell r="C153"/>
          <cell r="D153"/>
          <cell r="E153"/>
          <cell r="F153"/>
          <cell r="G153"/>
          <cell r="H153"/>
          <cell r="I153"/>
          <cell r="J153"/>
          <cell r="K153"/>
          <cell r="L153"/>
          <cell r="M153"/>
          <cell r="N153"/>
          <cell r="O153"/>
          <cell r="P153"/>
          <cell r="Q153"/>
          <cell r="R153"/>
          <cell r="S153"/>
          <cell r="T153"/>
          <cell r="U153"/>
        </row>
        <row r="154">
          <cell r="B154"/>
          <cell r="C154"/>
          <cell r="D154"/>
          <cell r="E154"/>
          <cell r="F154"/>
          <cell r="G154"/>
          <cell r="H154"/>
          <cell r="I154"/>
          <cell r="J154"/>
          <cell r="K154"/>
          <cell r="L154"/>
          <cell r="M154"/>
          <cell r="N154"/>
          <cell r="O154"/>
          <cell r="P154"/>
          <cell r="Q154"/>
          <cell r="R154"/>
          <cell r="S154"/>
          <cell r="T154"/>
          <cell r="U154"/>
        </row>
        <row r="155">
          <cell r="B155"/>
          <cell r="C155"/>
          <cell r="D155"/>
          <cell r="E155"/>
          <cell r="F155"/>
          <cell r="G155"/>
          <cell r="H155"/>
          <cell r="I155"/>
          <cell r="J155"/>
          <cell r="K155"/>
          <cell r="L155"/>
          <cell r="M155"/>
          <cell r="N155"/>
          <cell r="O155"/>
          <cell r="P155"/>
          <cell r="Q155"/>
          <cell r="R155"/>
          <cell r="S155"/>
          <cell r="T155"/>
          <cell r="U155"/>
        </row>
        <row r="156">
          <cell r="B156"/>
          <cell r="C156"/>
          <cell r="D156"/>
          <cell r="E156"/>
          <cell r="F156"/>
          <cell r="G156"/>
          <cell r="H156"/>
          <cell r="I156"/>
          <cell r="J156"/>
          <cell r="K156"/>
          <cell r="L156"/>
          <cell r="M156"/>
          <cell r="N156"/>
          <cell r="O156"/>
          <cell r="P156"/>
          <cell r="Q156"/>
          <cell r="R156"/>
          <cell r="S156"/>
          <cell r="T156"/>
          <cell r="U156"/>
        </row>
        <row r="157">
          <cell r="B157"/>
          <cell r="C157"/>
          <cell r="D157"/>
          <cell r="E157"/>
          <cell r="F157"/>
          <cell r="G157"/>
          <cell r="H157"/>
          <cell r="I157"/>
          <cell r="J157"/>
          <cell r="K157"/>
          <cell r="L157"/>
          <cell r="M157"/>
          <cell r="N157"/>
          <cell r="O157"/>
          <cell r="P157"/>
          <cell r="Q157"/>
          <cell r="R157"/>
          <cell r="S157"/>
          <cell r="T157"/>
          <cell r="U157"/>
        </row>
        <row r="158">
          <cell r="B158"/>
          <cell r="C158"/>
          <cell r="D158"/>
          <cell r="E158"/>
          <cell r="F158"/>
          <cell r="G158"/>
          <cell r="H158"/>
          <cell r="I158"/>
          <cell r="J158"/>
          <cell r="K158"/>
          <cell r="L158"/>
          <cell r="M158"/>
          <cell r="N158"/>
          <cell r="O158"/>
          <cell r="P158"/>
          <cell r="Q158"/>
          <cell r="R158"/>
          <cell r="S158"/>
          <cell r="T158"/>
          <cell r="U158"/>
        </row>
        <row r="159">
          <cell r="B159"/>
          <cell r="C159"/>
          <cell r="D159"/>
          <cell r="E159"/>
          <cell r="F159"/>
          <cell r="G159"/>
          <cell r="H159"/>
          <cell r="I159"/>
          <cell r="J159"/>
          <cell r="K159"/>
          <cell r="L159"/>
          <cell r="M159"/>
          <cell r="N159"/>
          <cell r="O159"/>
          <cell r="P159"/>
          <cell r="Q159"/>
          <cell r="R159"/>
          <cell r="S159"/>
          <cell r="T159"/>
          <cell r="U159"/>
        </row>
        <row r="160">
          <cell r="B160"/>
          <cell r="C160"/>
          <cell r="D160"/>
          <cell r="E160"/>
          <cell r="F160"/>
          <cell r="G160"/>
          <cell r="H160"/>
          <cell r="I160"/>
          <cell r="J160"/>
          <cell r="K160"/>
          <cell r="L160"/>
          <cell r="M160"/>
          <cell r="N160"/>
          <cell r="O160"/>
          <cell r="P160"/>
          <cell r="Q160"/>
          <cell r="R160"/>
          <cell r="S160"/>
          <cell r="T160"/>
          <cell r="U160"/>
        </row>
        <row r="161">
          <cell r="B161"/>
          <cell r="C161"/>
          <cell r="D161"/>
          <cell r="E161"/>
          <cell r="F161"/>
          <cell r="G161"/>
          <cell r="H161"/>
          <cell r="I161"/>
          <cell r="J161"/>
          <cell r="K161"/>
          <cell r="L161"/>
          <cell r="M161"/>
          <cell r="N161"/>
          <cell r="O161"/>
          <cell r="P161"/>
          <cell r="Q161"/>
          <cell r="R161"/>
          <cell r="S161"/>
          <cell r="T161"/>
          <cell r="U161"/>
        </row>
        <row r="162">
          <cell r="B162"/>
          <cell r="C162"/>
          <cell r="D162"/>
          <cell r="E162"/>
          <cell r="F162"/>
          <cell r="G162"/>
          <cell r="H162"/>
          <cell r="I162"/>
          <cell r="J162"/>
          <cell r="K162"/>
          <cell r="L162"/>
          <cell r="M162"/>
          <cell r="N162"/>
          <cell r="O162"/>
          <cell r="P162"/>
          <cell r="Q162"/>
          <cell r="R162"/>
          <cell r="S162"/>
          <cell r="T162"/>
          <cell r="U162"/>
        </row>
        <row r="163">
          <cell r="B163"/>
          <cell r="C163"/>
          <cell r="D163"/>
          <cell r="E163"/>
          <cell r="F163"/>
          <cell r="G163"/>
          <cell r="H163"/>
          <cell r="I163"/>
          <cell r="J163"/>
          <cell r="K163"/>
          <cell r="L163"/>
          <cell r="M163"/>
          <cell r="N163"/>
          <cell r="O163"/>
          <cell r="P163"/>
          <cell r="Q163"/>
          <cell r="R163"/>
          <cell r="S163"/>
          <cell r="T163"/>
          <cell r="U163"/>
        </row>
        <row r="164">
          <cell r="B164"/>
          <cell r="C164"/>
          <cell r="D164"/>
          <cell r="E164"/>
          <cell r="F164"/>
          <cell r="G164"/>
          <cell r="H164"/>
          <cell r="I164"/>
          <cell r="J164"/>
          <cell r="K164"/>
          <cell r="L164"/>
          <cell r="M164"/>
          <cell r="N164"/>
          <cell r="O164"/>
          <cell r="P164"/>
          <cell r="Q164"/>
          <cell r="R164"/>
          <cell r="S164"/>
          <cell r="T164"/>
          <cell r="U164"/>
        </row>
        <row r="165">
          <cell r="B165"/>
          <cell r="C165"/>
          <cell r="D165"/>
          <cell r="E165"/>
          <cell r="F165"/>
          <cell r="G165"/>
          <cell r="H165"/>
          <cell r="I165"/>
          <cell r="J165"/>
          <cell r="K165"/>
          <cell r="L165"/>
          <cell r="M165"/>
          <cell r="N165"/>
          <cell r="O165"/>
          <cell r="P165"/>
          <cell r="Q165"/>
          <cell r="R165"/>
          <cell r="S165"/>
          <cell r="T165"/>
          <cell r="U165"/>
        </row>
        <row r="166">
          <cell r="B166"/>
          <cell r="C166"/>
          <cell r="D166"/>
          <cell r="E166"/>
          <cell r="F166"/>
          <cell r="G166"/>
          <cell r="H166"/>
          <cell r="I166"/>
          <cell r="J166"/>
          <cell r="K166"/>
          <cell r="L166"/>
          <cell r="M166"/>
          <cell r="N166"/>
          <cell r="O166"/>
          <cell r="P166"/>
          <cell r="Q166"/>
          <cell r="R166"/>
          <cell r="S166"/>
          <cell r="T166"/>
          <cell r="U166"/>
        </row>
        <row r="167">
          <cell r="B167"/>
          <cell r="C167"/>
          <cell r="D167"/>
          <cell r="E167"/>
          <cell r="F167"/>
          <cell r="G167"/>
          <cell r="H167"/>
          <cell r="I167"/>
          <cell r="J167"/>
          <cell r="K167"/>
          <cell r="L167"/>
          <cell r="M167"/>
          <cell r="N167"/>
          <cell r="O167"/>
          <cell r="P167"/>
          <cell r="Q167"/>
          <cell r="R167"/>
          <cell r="S167"/>
          <cell r="T167"/>
          <cell r="U167"/>
        </row>
        <row r="168">
          <cell r="B168"/>
          <cell r="C168"/>
          <cell r="D168"/>
          <cell r="E168"/>
          <cell r="F168"/>
          <cell r="G168"/>
          <cell r="H168"/>
          <cell r="I168"/>
          <cell r="J168"/>
          <cell r="K168"/>
          <cell r="L168"/>
          <cell r="M168"/>
          <cell r="N168"/>
          <cell r="O168"/>
          <cell r="P168"/>
          <cell r="Q168"/>
          <cell r="R168"/>
          <cell r="S168"/>
          <cell r="T168"/>
          <cell r="U168"/>
        </row>
        <row r="169">
          <cell r="B169"/>
          <cell r="C169"/>
          <cell r="D169"/>
          <cell r="E169"/>
          <cell r="F169"/>
          <cell r="G169"/>
          <cell r="H169"/>
          <cell r="I169"/>
          <cell r="J169"/>
          <cell r="K169"/>
          <cell r="L169"/>
          <cell r="M169"/>
          <cell r="N169"/>
          <cell r="O169"/>
          <cell r="P169"/>
          <cell r="Q169"/>
          <cell r="R169"/>
          <cell r="S169"/>
          <cell r="T169"/>
          <cell r="U169"/>
        </row>
        <row r="170">
          <cell r="B170"/>
          <cell r="C170"/>
          <cell r="D170"/>
          <cell r="E170"/>
          <cell r="F170"/>
          <cell r="G170"/>
          <cell r="H170"/>
          <cell r="I170"/>
          <cell r="J170"/>
          <cell r="K170"/>
          <cell r="L170"/>
          <cell r="M170"/>
          <cell r="N170"/>
          <cell r="O170"/>
          <cell r="P170"/>
          <cell r="Q170"/>
          <cell r="R170"/>
          <cell r="S170"/>
          <cell r="T170"/>
          <cell r="U170"/>
        </row>
        <row r="171">
          <cell r="B171"/>
          <cell r="C171"/>
          <cell r="D171"/>
          <cell r="E171"/>
          <cell r="F171"/>
          <cell r="G171"/>
          <cell r="H171"/>
          <cell r="I171"/>
          <cell r="J171"/>
          <cell r="K171"/>
          <cell r="L171"/>
          <cell r="M171"/>
          <cell r="N171"/>
          <cell r="O171"/>
          <cell r="P171"/>
          <cell r="Q171"/>
          <cell r="R171"/>
          <cell r="S171"/>
          <cell r="T171"/>
          <cell r="U171"/>
        </row>
        <row r="172">
          <cell r="B172"/>
          <cell r="C172"/>
          <cell r="D172"/>
          <cell r="E172"/>
          <cell r="F172"/>
          <cell r="G172"/>
          <cell r="H172"/>
          <cell r="I172"/>
          <cell r="J172"/>
          <cell r="K172"/>
          <cell r="L172"/>
          <cell r="M172"/>
          <cell r="N172"/>
          <cell r="O172"/>
          <cell r="P172"/>
          <cell r="Q172"/>
          <cell r="R172"/>
          <cell r="S172"/>
          <cell r="T172"/>
          <cell r="U172"/>
        </row>
        <row r="173">
          <cell r="B173"/>
          <cell r="C173"/>
          <cell r="D173"/>
          <cell r="E173"/>
          <cell r="F173"/>
          <cell r="G173"/>
          <cell r="H173"/>
          <cell r="I173"/>
          <cell r="J173"/>
          <cell r="K173"/>
          <cell r="L173"/>
          <cell r="M173"/>
          <cell r="N173"/>
          <cell r="O173"/>
          <cell r="P173"/>
          <cell r="Q173"/>
          <cell r="R173"/>
          <cell r="S173"/>
          <cell r="T173"/>
          <cell r="U173"/>
        </row>
        <row r="174">
          <cell r="B174"/>
          <cell r="C174"/>
          <cell r="D174"/>
          <cell r="E174"/>
          <cell r="F174"/>
          <cell r="G174"/>
          <cell r="H174"/>
          <cell r="I174"/>
          <cell r="J174"/>
          <cell r="K174"/>
          <cell r="L174"/>
          <cell r="M174"/>
          <cell r="N174"/>
          <cell r="O174"/>
          <cell r="P174"/>
          <cell r="Q174"/>
          <cell r="R174"/>
          <cell r="S174"/>
          <cell r="T174"/>
          <cell r="U174"/>
        </row>
        <row r="175">
          <cell r="B175"/>
          <cell r="C175"/>
          <cell r="D175"/>
          <cell r="E175"/>
          <cell r="F175"/>
          <cell r="G175"/>
          <cell r="H175"/>
          <cell r="I175"/>
          <cell r="J175"/>
          <cell r="K175"/>
          <cell r="L175"/>
          <cell r="M175"/>
          <cell r="N175"/>
          <cell r="O175"/>
          <cell r="P175"/>
          <cell r="Q175"/>
          <cell r="R175"/>
          <cell r="S175"/>
          <cell r="T175"/>
          <cell r="U175"/>
        </row>
        <row r="176">
          <cell r="B176"/>
          <cell r="C176"/>
          <cell r="D176"/>
          <cell r="E176"/>
          <cell r="F176"/>
          <cell r="G176"/>
          <cell r="H176"/>
          <cell r="I176"/>
          <cell r="J176"/>
          <cell r="K176"/>
          <cell r="L176"/>
          <cell r="M176"/>
          <cell r="N176"/>
          <cell r="O176"/>
          <cell r="P176"/>
          <cell r="Q176"/>
          <cell r="R176"/>
          <cell r="S176"/>
          <cell r="T176"/>
          <cell r="U176"/>
        </row>
        <row r="177">
          <cell r="B177"/>
          <cell r="C177"/>
          <cell r="D177"/>
          <cell r="E177"/>
          <cell r="F177"/>
          <cell r="G177"/>
          <cell r="H177"/>
          <cell r="I177"/>
          <cell r="J177"/>
          <cell r="K177"/>
          <cell r="L177"/>
          <cell r="M177"/>
          <cell r="N177"/>
          <cell r="O177"/>
          <cell r="P177"/>
          <cell r="Q177"/>
          <cell r="R177"/>
          <cell r="S177"/>
          <cell r="T177"/>
          <cell r="U177"/>
        </row>
        <row r="178">
          <cell r="B178"/>
          <cell r="C178"/>
          <cell r="D178"/>
          <cell r="E178"/>
          <cell r="F178"/>
          <cell r="G178"/>
          <cell r="H178"/>
          <cell r="I178"/>
          <cell r="J178"/>
          <cell r="K178"/>
          <cell r="L178"/>
          <cell r="M178"/>
          <cell r="N178"/>
          <cell r="O178"/>
          <cell r="P178"/>
          <cell r="Q178"/>
          <cell r="R178"/>
          <cell r="S178"/>
          <cell r="T178"/>
          <cell r="U178"/>
        </row>
        <row r="179">
          <cell r="B179"/>
          <cell r="C179"/>
          <cell r="D179"/>
          <cell r="E179"/>
          <cell r="F179"/>
          <cell r="G179"/>
          <cell r="H179"/>
          <cell r="I179"/>
          <cell r="J179"/>
          <cell r="K179"/>
          <cell r="L179"/>
          <cell r="M179"/>
          <cell r="N179"/>
          <cell r="O179"/>
          <cell r="P179"/>
          <cell r="Q179"/>
          <cell r="R179"/>
          <cell r="S179"/>
          <cell r="T179"/>
          <cell r="U179"/>
        </row>
        <row r="180">
          <cell r="B180"/>
          <cell r="C180"/>
          <cell r="D180"/>
          <cell r="E180"/>
          <cell r="F180"/>
          <cell r="G180"/>
          <cell r="H180"/>
          <cell r="I180"/>
          <cell r="J180"/>
          <cell r="K180"/>
          <cell r="L180"/>
          <cell r="M180"/>
          <cell r="N180"/>
          <cell r="O180"/>
          <cell r="P180"/>
          <cell r="Q180"/>
          <cell r="R180"/>
          <cell r="S180"/>
          <cell r="T180"/>
          <cell r="U180"/>
        </row>
        <row r="181">
          <cell r="B181"/>
          <cell r="C181"/>
          <cell r="D181"/>
          <cell r="E181"/>
          <cell r="F181"/>
          <cell r="G181"/>
          <cell r="H181"/>
          <cell r="I181"/>
          <cell r="J181"/>
          <cell r="K181"/>
          <cell r="L181"/>
          <cell r="M181"/>
          <cell r="N181"/>
          <cell r="O181"/>
          <cell r="P181"/>
          <cell r="Q181"/>
          <cell r="R181"/>
          <cell r="S181"/>
          <cell r="T181"/>
          <cell r="U181"/>
        </row>
        <row r="182">
          <cell r="B182"/>
          <cell r="C182"/>
          <cell r="D182"/>
          <cell r="E182"/>
          <cell r="F182"/>
          <cell r="G182"/>
          <cell r="H182"/>
          <cell r="I182"/>
          <cell r="J182"/>
          <cell r="K182"/>
          <cell r="L182"/>
          <cell r="M182"/>
          <cell r="N182"/>
          <cell r="O182"/>
          <cell r="P182"/>
          <cell r="Q182"/>
          <cell r="R182"/>
          <cell r="S182"/>
          <cell r="T182"/>
          <cell r="U182"/>
        </row>
        <row r="183">
          <cell r="B183"/>
          <cell r="C183"/>
          <cell r="D183"/>
          <cell r="E183"/>
          <cell r="F183"/>
          <cell r="G183"/>
          <cell r="H183"/>
          <cell r="I183"/>
          <cell r="J183"/>
          <cell r="K183"/>
          <cell r="L183"/>
          <cell r="M183"/>
          <cell r="N183"/>
          <cell r="O183"/>
          <cell r="P183"/>
          <cell r="Q183"/>
          <cell r="R183"/>
          <cell r="S183"/>
          <cell r="T183"/>
          <cell r="U183"/>
        </row>
        <row r="184">
          <cell r="B184"/>
          <cell r="C184"/>
          <cell r="D184"/>
          <cell r="E184"/>
          <cell r="F184"/>
          <cell r="G184"/>
          <cell r="H184"/>
          <cell r="I184"/>
          <cell r="J184"/>
          <cell r="K184"/>
          <cell r="L184"/>
          <cell r="M184"/>
          <cell r="N184"/>
          <cell r="O184"/>
          <cell r="P184"/>
          <cell r="Q184"/>
          <cell r="R184"/>
          <cell r="S184"/>
          <cell r="T184"/>
          <cell r="U184"/>
        </row>
        <row r="185">
          <cell r="B185"/>
          <cell r="C185"/>
          <cell r="D185"/>
          <cell r="E185"/>
          <cell r="F185"/>
          <cell r="G185"/>
          <cell r="H185"/>
          <cell r="I185"/>
          <cell r="J185"/>
          <cell r="K185"/>
          <cell r="L185"/>
          <cell r="M185"/>
          <cell r="N185"/>
          <cell r="O185"/>
          <cell r="P185"/>
          <cell r="Q185"/>
          <cell r="R185"/>
          <cell r="S185"/>
          <cell r="T185"/>
          <cell r="U185"/>
        </row>
        <row r="186">
          <cell r="B186"/>
          <cell r="C186"/>
          <cell r="D186"/>
          <cell r="E186"/>
          <cell r="F186"/>
          <cell r="G186"/>
          <cell r="H186"/>
          <cell r="I186"/>
          <cell r="J186"/>
          <cell r="K186"/>
          <cell r="L186"/>
          <cell r="M186"/>
          <cell r="N186"/>
          <cell r="O186"/>
          <cell r="P186"/>
          <cell r="Q186"/>
          <cell r="R186"/>
          <cell r="S186"/>
          <cell r="T186"/>
          <cell r="U186"/>
        </row>
        <row r="187">
          <cell r="B187"/>
          <cell r="C187"/>
          <cell r="D187"/>
          <cell r="E187"/>
          <cell r="F187"/>
          <cell r="G187"/>
          <cell r="H187"/>
          <cell r="I187"/>
          <cell r="J187"/>
          <cell r="K187"/>
          <cell r="L187"/>
          <cell r="M187"/>
          <cell r="N187"/>
          <cell r="O187"/>
          <cell r="P187"/>
          <cell r="Q187"/>
          <cell r="R187"/>
          <cell r="S187"/>
          <cell r="T187"/>
          <cell r="U187"/>
        </row>
        <row r="188">
          <cell r="B188"/>
          <cell r="C188"/>
          <cell r="D188"/>
          <cell r="E188"/>
          <cell r="F188"/>
          <cell r="G188"/>
          <cell r="H188"/>
          <cell r="I188"/>
          <cell r="J188"/>
          <cell r="K188"/>
          <cell r="L188"/>
          <cell r="M188"/>
          <cell r="N188"/>
          <cell r="O188"/>
          <cell r="P188"/>
          <cell r="Q188"/>
          <cell r="R188"/>
          <cell r="S188"/>
          <cell r="T188"/>
          <cell r="U188"/>
        </row>
        <row r="189">
          <cell r="B189"/>
          <cell r="C189"/>
          <cell r="D189"/>
          <cell r="E189"/>
          <cell r="F189"/>
          <cell r="G189"/>
          <cell r="H189"/>
          <cell r="I189"/>
          <cell r="J189"/>
          <cell r="K189"/>
          <cell r="L189"/>
          <cell r="M189"/>
          <cell r="N189"/>
          <cell r="O189"/>
          <cell r="P189"/>
          <cell r="Q189"/>
          <cell r="R189"/>
          <cell r="S189"/>
          <cell r="T189"/>
          <cell r="U189"/>
        </row>
        <row r="190">
          <cell r="B190"/>
          <cell r="C190"/>
          <cell r="D190"/>
          <cell r="E190"/>
          <cell r="F190"/>
          <cell r="G190"/>
          <cell r="H190"/>
          <cell r="I190"/>
          <cell r="J190"/>
          <cell r="K190"/>
          <cell r="L190"/>
          <cell r="M190"/>
          <cell r="N190"/>
          <cell r="O190"/>
          <cell r="P190"/>
          <cell r="Q190"/>
          <cell r="R190"/>
          <cell r="S190"/>
          <cell r="T190"/>
          <cell r="U190"/>
        </row>
        <row r="191">
          <cell r="B191"/>
          <cell r="C191"/>
          <cell r="D191"/>
          <cell r="E191"/>
          <cell r="F191"/>
          <cell r="G191"/>
          <cell r="H191"/>
          <cell r="I191"/>
          <cell r="J191"/>
          <cell r="K191"/>
          <cell r="L191"/>
          <cell r="M191"/>
          <cell r="N191"/>
          <cell r="O191"/>
          <cell r="P191"/>
          <cell r="Q191"/>
          <cell r="R191"/>
          <cell r="S191"/>
          <cell r="T191"/>
          <cell r="U191"/>
        </row>
        <row r="192">
          <cell r="B192"/>
          <cell r="C192"/>
          <cell r="D192"/>
          <cell r="E192"/>
          <cell r="F192"/>
          <cell r="G192"/>
          <cell r="H192"/>
          <cell r="I192"/>
          <cell r="J192"/>
          <cell r="K192"/>
          <cell r="L192"/>
          <cell r="M192"/>
          <cell r="N192"/>
          <cell r="O192"/>
          <cell r="P192"/>
          <cell r="Q192"/>
          <cell r="R192"/>
          <cell r="S192"/>
          <cell r="T192"/>
          <cell r="U192"/>
        </row>
        <row r="193">
          <cell r="B193"/>
          <cell r="C193"/>
          <cell r="D193"/>
          <cell r="E193"/>
          <cell r="F193"/>
          <cell r="G193"/>
          <cell r="H193"/>
          <cell r="I193"/>
          <cell r="J193"/>
          <cell r="K193"/>
          <cell r="L193"/>
          <cell r="M193"/>
          <cell r="N193"/>
          <cell r="O193"/>
          <cell r="P193"/>
          <cell r="Q193"/>
          <cell r="R193"/>
          <cell r="S193"/>
          <cell r="T193"/>
          <cell r="U193"/>
        </row>
        <row r="194">
          <cell r="B194"/>
          <cell r="C194"/>
          <cell r="D194"/>
          <cell r="E194"/>
          <cell r="F194"/>
          <cell r="G194"/>
          <cell r="H194"/>
          <cell r="I194"/>
          <cell r="J194"/>
          <cell r="K194"/>
          <cell r="L194"/>
          <cell r="M194"/>
          <cell r="N194"/>
          <cell r="O194"/>
          <cell r="P194"/>
          <cell r="Q194"/>
          <cell r="R194"/>
          <cell r="S194"/>
          <cell r="T194"/>
          <cell r="U194"/>
        </row>
        <row r="195">
          <cell r="B195"/>
          <cell r="C195"/>
          <cell r="D195"/>
          <cell r="E195"/>
          <cell r="F195"/>
          <cell r="G195"/>
          <cell r="H195"/>
          <cell r="I195"/>
          <cell r="J195"/>
          <cell r="K195"/>
          <cell r="L195"/>
          <cell r="M195"/>
          <cell r="N195"/>
          <cell r="O195"/>
          <cell r="P195"/>
          <cell r="Q195"/>
          <cell r="R195"/>
          <cell r="S195"/>
          <cell r="T195"/>
          <cell r="U195"/>
        </row>
        <row r="196">
          <cell r="B196"/>
          <cell r="C196"/>
          <cell r="D196"/>
          <cell r="E196"/>
          <cell r="F196"/>
          <cell r="G196"/>
          <cell r="H196"/>
          <cell r="I196"/>
          <cell r="J196"/>
          <cell r="K196"/>
          <cell r="L196"/>
          <cell r="M196"/>
          <cell r="N196"/>
          <cell r="O196"/>
          <cell r="P196"/>
          <cell r="Q196"/>
          <cell r="R196"/>
          <cell r="S196"/>
          <cell r="T196"/>
          <cell r="U196"/>
        </row>
        <row r="197">
          <cell r="B197"/>
          <cell r="C197"/>
          <cell r="D197"/>
          <cell r="E197"/>
          <cell r="F197"/>
          <cell r="G197"/>
          <cell r="H197"/>
          <cell r="I197"/>
          <cell r="J197"/>
          <cell r="K197"/>
          <cell r="L197"/>
          <cell r="M197"/>
          <cell r="N197"/>
          <cell r="O197"/>
          <cell r="P197"/>
          <cell r="Q197"/>
          <cell r="R197"/>
          <cell r="S197"/>
          <cell r="T197"/>
          <cell r="U197"/>
        </row>
        <row r="198">
          <cell r="B198"/>
          <cell r="C198"/>
          <cell r="D198"/>
          <cell r="E198"/>
          <cell r="F198"/>
          <cell r="G198"/>
          <cell r="H198"/>
          <cell r="I198"/>
          <cell r="J198"/>
          <cell r="K198"/>
          <cell r="L198"/>
          <cell r="M198"/>
          <cell r="N198"/>
          <cell r="O198"/>
          <cell r="P198"/>
          <cell r="Q198"/>
          <cell r="R198"/>
          <cell r="S198"/>
          <cell r="T198"/>
          <cell r="U198"/>
        </row>
        <row r="199">
          <cell r="B199"/>
          <cell r="C199"/>
          <cell r="D199"/>
          <cell r="E199"/>
          <cell r="F199"/>
          <cell r="G199"/>
          <cell r="H199"/>
          <cell r="I199"/>
          <cell r="J199"/>
          <cell r="K199"/>
          <cell r="L199"/>
          <cell r="M199"/>
          <cell r="N199"/>
          <cell r="O199"/>
          <cell r="P199"/>
          <cell r="Q199"/>
          <cell r="R199"/>
          <cell r="S199"/>
          <cell r="T199"/>
          <cell r="U199"/>
        </row>
        <row r="200">
          <cell r="B200"/>
          <cell r="C200"/>
          <cell r="D200"/>
          <cell r="E200"/>
          <cell r="F200"/>
          <cell r="G200"/>
          <cell r="H200"/>
          <cell r="I200"/>
          <cell r="J200"/>
          <cell r="K200"/>
          <cell r="L200"/>
          <cell r="M200"/>
          <cell r="N200"/>
          <cell r="O200"/>
          <cell r="P200"/>
          <cell r="Q200"/>
          <cell r="R200"/>
          <cell r="S200"/>
          <cell r="T200"/>
          <cell r="U200"/>
        </row>
        <row r="201">
          <cell r="B201"/>
          <cell r="C201"/>
          <cell r="D201"/>
          <cell r="E201"/>
          <cell r="F201"/>
          <cell r="G201"/>
          <cell r="H201"/>
          <cell r="I201"/>
          <cell r="J201"/>
          <cell r="K201"/>
          <cell r="L201"/>
          <cell r="M201"/>
          <cell r="N201"/>
          <cell r="O201"/>
          <cell r="P201"/>
          <cell r="Q201"/>
          <cell r="R201"/>
          <cell r="S201"/>
          <cell r="T201"/>
          <cell r="U201"/>
        </row>
        <row r="202">
          <cell r="B202"/>
          <cell r="C202"/>
          <cell r="D202"/>
          <cell r="E202"/>
          <cell r="F202"/>
          <cell r="G202"/>
          <cell r="H202"/>
          <cell r="I202"/>
          <cell r="J202"/>
          <cell r="K202"/>
          <cell r="L202"/>
          <cell r="M202"/>
          <cell r="N202"/>
          <cell r="O202"/>
          <cell r="P202"/>
          <cell r="Q202"/>
          <cell r="R202"/>
          <cell r="S202"/>
          <cell r="T202"/>
          <cell r="U202"/>
        </row>
        <row r="203">
          <cell r="B203"/>
          <cell r="C203"/>
          <cell r="D203"/>
          <cell r="E203"/>
          <cell r="F203"/>
          <cell r="G203"/>
          <cell r="H203"/>
          <cell r="I203"/>
          <cell r="J203"/>
          <cell r="K203"/>
          <cell r="L203"/>
          <cell r="M203"/>
          <cell r="N203"/>
          <cell r="O203"/>
          <cell r="P203"/>
          <cell r="Q203"/>
          <cell r="R203"/>
          <cell r="S203"/>
          <cell r="T203"/>
          <cell r="U203"/>
        </row>
        <row r="204">
          <cell r="B204"/>
          <cell r="C204"/>
          <cell r="D204"/>
          <cell r="E204"/>
          <cell r="F204"/>
          <cell r="G204"/>
          <cell r="H204"/>
          <cell r="I204"/>
          <cell r="J204"/>
          <cell r="K204"/>
          <cell r="L204"/>
          <cell r="M204"/>
          <cell r="N204"/>
          <cell r="O204"/>
          <cell r="P204"/>
          <cell r="Q204"/>
          <cell r="R204"/>
          <cell r="S204"/>
          <cell r="T204"/>
          <cell r="U204"/>
        </row>
        <row r="205">
          <cell r="B205"/>
          <cell r="C205"/>
          <cell r="D205"/>
          <cell r="E205"/>
          <cell r="F205"/>
          <cell r="G205"/>
          <cell r="H205"/>
          <cell r="I205"/>
          <cell r="J205"/>
          <cell r="K205"/>
          <cell r="L205"/>
          <cell r="M205"/>
          <cell r="N205"/>
          <cell r="O205"/>
          <cell r="P205"/>
          <cell r="Q205"/>
          <cell r="R205"/>
          <cell r="S205"/>
          <cell r="T205"/>
          <cell r="U205"/>
        </row>
        <row r="206">
          <cell r="B206"/>
          <cell r="C206"/>
          <cell r="D206"/>
          <cell r="E206"/>
          <cell r="F206"/>
          <cell r="G206"/>
          <cell r="H206"/>
          <cell r="I206"/>
          <cell r="J206"/>
          <cell r="K206"/>
          <cell r="L206"/>
          <cell r="M206"/>
          <cell r="N206"/>
          <cell r="O206"/>
          <cell r="P206"/>
          <cell r="Q206"/>
          <cell r="R206"/>
          <cell r="S206"/>
          <cell r="T206"/>
          <cell r="U206"/>
        </row>
        <row r="207">
          <cell r="B207"/>
          <cell r="C207"/>
          <cell r="D207"/>
          <cell r="E207"/>
          <cell r="F207"/>
          <cell r="G207"/>
          <cell r="H207"/>
          <cell r="I207"/>
          <cell r="J207"/>
          <cell r="K207"/>
          <cell r="L207"/>
          <cell r="M207"/>
          <cell r="N207"/>
          <cell r="O207"/>
          <cell r="P207"/>
          <cell r="Q207"/>
          <cell r="R207"/>
          <cell r="S207"/>
          <cell r="T207"/>
          <cell r="U207"/>
        </row>
        <row r="208">
          <cell r="B208"/>
          <cell r="C208"/>
          <cell r="D208"/>
          <cell r="E208"/>
          <cell r="F208"/>
          <cell r="G208"/>
          <cell r="H208"/>
          <cell r="I208"/>
          <cell r="J208"/>
          <cell r="K208"/>
          <cell r="L208"/>
          <cell r="M208"/>
          <cell r="N208"/>
          <cell r="O208"/>
          <cell r="P208"/>
          <cell r="Q208"/>
          <cell r="R208"/>
          <cell r="S208"/>
          <cell r="T208"/>
          <cell r="U208"/>
        </row>
        <row r="209">
          <cell r="B209"/>
          <cell r="C209"/>
          <cell r="D209"/>
          <cell r="E209"/>
          <cell r="F209"/>
          <cell r="G209"/>
          <cell r="H209"/>
          <cell r="I209"/>
          <cell r="J209"/>
          <cell r="K209"/>
          <cell r="L209"/>
          <cell r="M209"/>
          <cell r="N209"/>
          <cell r="O209"/>
          <cell r="P209"/>
          <cell r="Q209"/>
          <cell r="R209"/>
          <cell r="S209"/>
          <cell r="T209"/>
          <cell r="U209"/>
        </row>
        <row r="210">
          <cell r="B210"/>
          <cell r="C210"/>
          <cell r="D210"/>
          <cell r="E210"/>
          <cell r="F210"/>
          <cell r="G210"/>
          <cell r="H210"/>
          <cell r="I210"/>
          <cell r="J210"/>
          <cell r="K210"/>
          <cell r="L210"/>
          <cell r="M210"/>
          <cell r="N210"/>
          <cell r="O210"/>
          <cell r="P210"/>
          <cell r="Q210"/>
          <cell r="R210"/>
          <cell r="S210"/>
          <cell r="T210"/>
          <cell r="U210"/>
        </row>
        <row r="211">
          <cell r="B211"/>
          <cell r="C211"/>
          <cell r="D211"/>
          <cell r="E211"/>
          <cell r="F211"/>
          <cell r="G211"/>
          <cell r="H211"/>
          <cell r="I211"/>
          <cell r="J211"/>
          <cell r="K211"/>
          <cell r="L211"/>
          <cell r="M211"/>
          <cell r="N211"/>
          <cell r="O211"/>
          <cell r="P211"/>
          <cell r="Q211"/>
          <cell r="R211"/>
          <cell r="S211"/>
          <cell r="T211"/>
          <cell r="U211"/>
        </row>
        <row r="212">
          <cell r="B212"/>
          <cell r="C212"/>
          <cell r="D212"/>
          <cell r="E212"/>
          <cell r="F212"/>
          <cell r="G212"/>
          <cell r="H212"/>
          <cell r="I212"/>
          <cell r="J212"/>
          <cell r="K212"/>
          <cell r="L212"/>
          <cell r="M212"/>
          <cell r="N212"/>
          <cell r="O212"/>
          <cell r="P212"/>
          <cell r="Q212"/>
          <cell r="R212"/>
          <cell r="S212"/>
          <cell r="T212"/>
          <cell r="U212"/>
        </row>
        <row r="213">
          <cell r="B213"/>
          <cell r="C213"/>
          <cell r="D213"/>
          <cell r="E213"/>
          <cell r="F213"/>
          <cell r="G213"/>
          <cell r="H213"/>
          <cell r="I213"/>
          <cell r="J213"/>
          <cell r="K213"/>
          <cell r="L213"/>
          <cell r="M213"/>
          <cell r="N213"/>
          <cell r="O213"/>
          <cell r="P213"/>
          <cell r="Q213"/>
          <cell r="R213"/>
          <cell r="S213"/>
          <cell r="T213"/>
          <cell r="U213"/>
        </row>
        <row r="214">
          <cell r="B214"/>
          <cell r="C214"/>
          <cell r="D214"/>
          <cell r="E214"/>
          <cell r="F214"/>
          <cell r="G214"/>
          <cell r="H214"/>
          <cell r="I214"/>
          <cell r="J214"/>
          <cell r="K214"/>
          <cell r="L214"/>
          <cell r="M214"/>
          <cell r="N214"/>
          <cell r="O214"/>
          <cell r="P214"/>
          <cell r="Q214"/>
          <cell r="R214"/>
          <cell r="S214"/>
          <cell r="T214"/>
          <cell r="U214"/>
        </row>
        <row r="215">
          <cell r="B215"/>
          <cell r="C215"/>
          <cell r="D215"/>
          <cell r="E215"/>
          <cell r="F215"/>
          <cell r="G215"/>
          <cell r="H215"/>
          <cell r="I215"/>
          <cell r="J215"/>
          <cell r="K215"/>
          <cell r="L215"/>
          <cell r="M215"/>
          <cell r="N215"/>
          <cell r="O215"/>
          <cell r="P215"/>
          <cell r="Q215"/>
          <cell r="R215"/>
          <cell r="S215"/>
          <cell r="T215"/>
          <cell r="U215"/>
        </row>
        <row r="216">
          <cell r="B216"/>
          <cell r="C216"/>
          <cell r="D216"/>
          <cell r="E216"/>
          <cell r="F216"/>
          <cell r="G216"/>
          <cell r="H216"/>
          <cell r="I216"/>
          <cell r="J216"/>
          <cell r="K216"/>
          <cell r="L216"/>
          <cell r="M216"/>
          <cell r="N216"/>
          <cell r="O216"/>
          <cell r="P216"/>
          <cell r="Q216"/>
          <cell r="R216"/>
          <cell r="S216"/>
          <cell r="T216"/>
          <cell r="U216"/>
        </row>
        <row r="217">
          <cell r="B217"/>
          <cell r="C217"/>
          <cell r="D217"/>
          <cell r="E217"/>
          <cell r="F217"/>
          <cell r="G217"/>
          <cell r="H217"/>
          <cell r="I217"/>
          <cell r="J217"/>
          <cell r="K217"/>
          <cell r="L217"/>
          <cell r="M217"/>
          <cell r="N217"/>
          <cell r="O217"/>
          <cell r="P217"/>
          <cell r="Q217"/>
          <cell r="R217"/>
          <cell r="S217"/>
          <cell r="T217"/>
          <cell r="U217"/>
        </row>
        <row r="218">
          <cell r="B218"/>
          <cell r="C218"/>
          <cell r="D218"/>
          <cell r="E218"/>
          <cell r="F218"/>
          <cell r="G218"/>
          <cell r="H218"/>
          <cell r="I218"/>
          <cell r="J218"/>
          <cell r="K218"/>
          <cell r="L218"/>
          <cell r="M218"/>
          <cell r="N218"/>
          <cell r="O218"/>
          <cell r="P218"/>
          <cell r="Q218"/>
          <cell r="R218"/>
          <cell r="S218"/>
          <cell r="T218"/>
          <cell r="U218"/>
        </row>
        <row r="219">
          <cell r="B219"/>
          <cell r="C219"/>
          <cell r="D219"/>
          <cell r="E219"/>
          <cell r="F219"/>
          <cell r="G219"/>
          <cell r="H219"/>
          <cell r="I219"/>
          <cell r="J219"/>
          <cell r="K219"/>
          <cell r="L219"/>
          <cell r="M219"/>
          <cell r="N219"/>
          <cell r="O219"/>
          <cell r="P219"/>
          <cell r="Q219"/>
          <cell r="R219"/>
          <cell r="S219"/>
          <cell r="T219"/>
          <cell r="U219"/>
        </row>
        <row r="220">
          <cell r="B220"/>
          <cell r="C220"/>
          <cell r="D220"/>
          <cell r="E220"/>
          <cell r="F220"/>
          <cell r="G220"/>
          <cell r="H220"/>
          <cell r="I220"/>
          <cell r="J220"/>
          <cell r="K220"/>
          <cell r="L220"/>
          <cell r="M220"/>
          <cell r="N220"/>
          <cell r="O220"/>
          <cell r="P220"/>
          <cell r="Q220"/>
          <cell r="R220"/>
          <cell r="S220"/>
          <cell r="T220"/>
          <cell r="U220"/>
        </row>
        <row r="221">
          <cell r="B221"/>
          <cell r="C221"/>
          <cell r="D221"/>
          <cell r="E221"/>
          <cell r="F221"/>
          <cell r="G221"/>
          <cell r="H221"/>
          <cell r="I221"/>
          <cell r="J221"/>
          <cell r="K221"/>
          <cell r="L221"/>
          <cell r="M221"/>
          <cell r="N221"/>
          <cell r="O221"/>
          <cell r="P221"/>
          <cell r="Q221"/>
          <cell r="R221"/>
          <cell r="S221"/>
          <cell r="T221"/>
          <cell r="U221"/>
        </row>
        <row r="222">
          <cell r="B222"/>
          <cell r="C222"/>
          <cell r="D222"/>
          <cell r="E222"/>
          <cell r="F222"/>
          <cell r="G222"/>
          <cell r="H222"/>
          <cell r="I222"/>
          <cell r="J222"/>
          <cell r="K222"/>
          <cell r="L222"/>
          <cell r="M222"/>
          <cell r="N222"/>
          <cell r="O222"/>
          <cell r="P222"/>
          <cell r="Q222"/>
          <cell r="R222"/>
          <cell r="S222"/>
          <cell r="T222"/>
          <cell r="U222"/>
        </row>
        <row r="223">
          <cell r="B223"/>
          <cell r="C223"/>
          <cell r="D223"/>
          <cell r="E223"/>
          <cell r="F223"/>
          <cell r="G223"/>
          <cell r="H223"/>
          <cell r="I223"/>
          <cell r="J223"/>
          <cell r="K223"/>
          <cell r="L223"/>
          <cell r="M223"/>
          <cell r="N223"/>
          <cell r="O223"/>
          <cell r="P223"/>
          <cell r="Q223"/>
          <cell r="R223"/>
          <cell r="S223"/>
          <cell r="T223"/>
          <cell r="U223"/>
        </row>
        <row r="224">
          <cell r="B224"/>
          <cell r="C224"/>
          <cell r="D224"/>
          <cell r="E224"/>
          <cell r="F224"/>
          <cell r="G224"/>
          <cell r="H224"/>
          <cell r="I224"/>
          <cell r="J224"/>
          <cell r="K224"/>
          <cell r="L224"/>
          <cell r="M224"/>
          <cell r="N224"/>
          <cell r="O224"/>
          <cell r="P224"/>
          <cell r="Q224"/>
          <cell r="R224"/>
          <cell r="S224"/>
          <cell r="T224"/>
          <cell r="U224"/>
        </row>
        <row r="225">
          <cell r="B225"/>
          <cell r="C225"/>
          <cell r="D225"/>
          <cell r="E225"/>
          <cell r="F225"/>
          <cell r="G225"/>
          <cell r="H225"/>
          <cell r="I225"/>
          <cell r="J225"/>
          <cell r="K225"/>
          <cell r="L225"/>
          <cell r="M225"/>
          <cell r="N225"/>
          <cell r="O225"/>
          <cell r="P225"/>
          <cell r="Q225"/>
          <cell r="R225"/>
          <cell r="S225"/>
          <cell r="T225"/>
          <cell r="U225"/>
        </row>
        <row r="226">
          <cell r="B226"/>
          <cell r="C226"/>
          <cell r="D226"/>
          <cell r="E226"/>
          <cell r="F226"/>
          <cell r="G226"/>
          <cell r="H226"/>
          <cell r="I226"/>
          <cell r="J226"/>
          <cell r="K226"/>
          <cell r="L226"/>
          <cell r="M226"/>
          <cell r="N226"/>
          <cell r="O226"/>
          <cell r="P226"/>
          <cell r="Q226"/>
          <cell r="R226"/>
          <cell r="S226"/>
          <cell r="T226"/>
          <cell r="U226"/>
        </row>
        <row r="227">
          <cell r="B227"/>
          <cell r="C227"/>
          <cell r="D227"/>
          <cell r="E227"/>
          <cell r="F227"/>
          <cell r="G227"/>
          <cell r="H227"/>
          <cell r="I227"/>
          <cell r="J227"/>
          <cell r="K227"/>
          <cell r="L227"/>
          <cell r="M227"/>
          <cell r="N227"/>
          <cell r="O227"/>
          <cell r="P227"/>
          <cell r="Q227"/>
          <cell r="R227"/>
          <cell r="S227"/>
          <cell r="T227"/>
          <cell r="U227"/>
        </row>
        <row r="228">
          <cell r="B228"/>
          <cell r="C228"/>
          <cell r="D228"/>
          <cell r="E228"/>
          <cell r="F228"/>
          <cell r="G228"/>
          <cell r="H228"/>
          <cell r="I228"/>
          <cell r="J228"/>
          <cell r="K228"/>
          <cell r="L228"/>
          <cell r="M228"/>
          <cell r="N228"/>
          <cell r="O228"/>
          <cell r="P228"/>
          <cell r="Q228"/>
          <cell r="R228"/>
          <cell r="S228"/>
          <cell r="T228"/>
          <cell r="U228"/>
        </row>
        <row r="229">
          <cell r="B229"/>
          <cell r="C229"/>
          <cell r="D229"/>
          <cell r="E229"/>
          <cell r="F229"/>
          <cell r="G229"/>
          <cell r="H229"/>
          <cell r="I229"/>
          <cell r="J229"/>
          <cell r="K229"/>
          <cell r="L229"/>
          <cell r="M229"/>
          <cell r="N229"/>
          <cell r="O229"/>
          <cell r="P229"/>
          <cell r="Q229"/>
          <cell r="R229"/>
          <cell r="S229"/>
          <cell r="T229"/>
          <cell r="U229"/>
        </row>
        <row r="230">
          <cell r="B230"/>
          <cell r="C230"/>
          <cell r="D230"/>
          <cell r="E230"/>
          <cell r="F230"/>
          <cell r="G230"/>
          <cell r="H230"/>
          <cell r="I230"/>
          <cell r="J230"/>
          <cell r="K230"/>
          <cell r="L230"/>
          <cell r="M230"/>
          <cell r="N230"/>
          <cell r="O230"/>
          <cell r="P230"/>
          <cell r="Q230"/>
          <cell r="R230"/>
          <cell r="S230"/>
          <cell r="T230"/>
          <cell r="U230"/>
        </row>
        <row r="231">
          <cell r="B231"/>
          <cell r="C231"/>
          <cell r="D231"/>
          <cell r="E231"/>
          <cell r="F231"/>
          <cell r="G231"/>
          <cell r="H231"/>
          <cell r="I231"/>
          <cell r="J231"/>
          <cell r="K231"/>
          <cell r="L231"/>
          <cell r="M231"/>
          <cell r="N231"/>
          <cell r="O231"/>
          <cell r="P231"/>
          <cell r="Q231"/>
          <cell r="R231"/>
          <cell r="S231"/>
          <cell r="T231"/>
          <cell r="U231"/>
        </row>
        <row r="232">
          <cell r="B232"/>
          <cell r="C232"/>
          <cell r="D232"/>
          <cell r="E232"/>
          <cell r="F232"/>
          <cell r="G232"/>
          <cell r="H232"/>
          <cell r="I232"/>
          <cell r="J232"/>
          <cell r="K232"/>
          <cell r="L232"/>
          <cell r="M232"/>
          <cell r="N232"/>
          <cell r="O232"/>
          <cell r="P232"/>
          <cell r="Q232"/>
          <cell r="R232"/>
          <cell r="S232"/>
          <cell r="T232"/>
          <cell r="U232"/>
        </row>
        <row r="233">
          <cell r="B233"/>
          <cell r="C233"/>
          <cell r="D233"/>
          <cell r="E233"/>
          <cell r="F233"/>
          <cell r="G233"/>
          <cell r="H233"/>
          <cell r="I233"/>
          <cell r="J233"/>
          <cell r="K233"/>
          <cell r="L233"/>
          <cell r="M233"/>
          <cell r="N233"/>
          <cell r="O233"/>
          <cell r="P233"/>
          <cell r="Q233"/>
          <cell r="R233"/>
          <cell r="S233"/>
          <cell r="T233"/>
          <cell r="U233"/>
        </row>
        <row r="234">
          <cell r="B234"/>
          <cell r="C234"/>
          <cell r="D234"/>
          <cell r="E234"/>
          <cell r="F234"/>
          <cell r="G234"/>
          <cell r="H234"/>
          <cell r="I234"/>
          <cell r="J234"/>
          <cell r="K234"/>
          <cell r="L234"/>
          <cell r="M234"/>
          <cell r="N234"/>
          <cell r="O234"/>
          <cell r="P234"/>
          <cell r="Q234"/>
          <cell r="R234"/>
          <cell r="S234"/>
          <cell r="T234"/>
          <cell r="U234"/>
        </row>
        <row r="235">
          <cell r="B235"/>
          <cell r="C235"/>
          <cell r="D235"/>
          <cell r="E235"/>
          <cell r="F235"/>
          <cell r="G235"/>
          <cell r="H235"/>
          <cell r="I235"/>
          <cell r="J235"/>
          <cell r="K235"/>
          <cell r="L235"/>
          <cell r="M235"/>
          <cell r="N235"/>
          <cell r="O235"/>
          <cell r="P235"/>
          <cell r="Q235"/>
          <cell r="R235"/>
          <cell r="S235"/>
          <cell r="T235"/>
          <cell r="U235"/>
        </row>
        <row r="236">
          <cell r="B236"/>
          <cell r="C236"/>
          <cell r="D236"/>
          <cell r="E236"/>
          <cell r="F236"/>
          <cell r="G236"/>
          <cell r="H236"/>
          <cell r="I236"/>
          <cell r="J236"/>
          <cell r="K236"/>
          <cell r="L236"/>
          <cell r="M236"/>
          <cell r="N236"/>
          <cell r="O236"/>
          <cell r="P236"/>
          <cell r="Q236"/>
          <cell r="R236"/>
          <cell r="S236"/>
          <cell r="T236"/>
          <cell r="U236"/>
        </row>
        <row r="237">
          <cell r="B237"/>
          <cell r="C237"/>
          <cell r="D237"/>
          <cell r="E237"/>
          <cell r="F237"/>
          <cell r="G237"/>
          <cell r="H237"/>
          <cell r="I237"/>
          <cell r="J237"/>
          <cell r="K237"/>
          <cell r="L237"/>
          <cell r="M237"/>
          <cell r="N237"/>
          <cell r="O237"/>
          <cell r="P237"/>
          <cell r="Q237"/>
          <cell r="R237"/>
          <cell r="S237"/>
          <cell r="T237"/>
          <cell r="U237"/>
        </row>
        <row r="238">
          <cell r="B238"/>
          <cell r="C238"/>
          <cell r="D238"/>
          <cell r="E238"/>
          <cell r="F238"/>
          <cell r="G238"/>
          <cell r="H238"/>
          <cell r="I238"/>
          <cell r="J238"/>
          <cell r="K238"/>
          <cell r="L238"/>
          <cell r="M238"/>
          <cell r="N238"/>
          <cell r="O238"/>
          <cell r="P238"/>
          <cell r="Q238"/>
          <cell r="R238"/>
          <cell r="S238"/>
          <cell r="T238"/>
          <cell r="U238"/>
        </row>
        <row r="239">
          <cell r="B239"/>
          <cell r="C239"/>
          <cell r="D239"/>
          <cell r="E239"/>
          <cell r="F239"/>
          <cell r="G239"/>
          <cell r="H239"/>
          <cell r="I239"/>
          <cell r="J239"/>
          <cell r="K239"/>
          <cell r="L239"/>
          <cell r="M239"/>
          <cell r="N239"/>
          <cell r="O239"/>
          <cell r="P239"/>
          <cell r="Q239"/>
          <cell r="R239"/>
          <cell r="S239"/>
          <cell r="T239"/>
          <cell r="U239"/>
        </row>
        <row r="240">
          <cell r="B240"/>
          <cell r="C240"/>
          <cell r="D240"/>
          <cell r="E240"/>
          <cell r="F240"/>
          <cell r="G240"/>
          <cell r="H240"/>
          <cell r="I240"/>
          <cell r="J240"/>
          <cell r="K240"/>
          <cell r="L240"/>
          <cell r="M240"/>
          <cell r="N240"/>
          <cell r="O240"/>
          <cell r="P240"/>
          <cell r="Q240"/>
          <cell r="R240"/>
          <cell r="S240"/>
          <cell r="T240"/>
          <cell r="U240"/>
        </row>
        <row r="241">
          <cell r="B241"/>
          <cell r="C241"/>
          <cell r="D241"/>
          <cell r="E241"/>
          <cell r="F241"/>
          <cell r="G241"/>
          <cell r="H241"/>
          <cell r="I241"/>
          <cell r="J241"/>
          <cell r="K241"/>
          <cell r="L241"/>
          <cell r="M241"/>
          <cell r="N241"/>
          <cell r="O241"/>
          <cell r="P241"/>
          <cell r="Q241"/>
          <cell r="R241"/>
          <cell r="S241"/>
          <cell r="T241"/>
          <cell r="U241"/>
        </row>
        <row r="242">
          <cell r="B242"/>
          <cell r="C242"/>
          <cell r="D242"/>
          <cell r="E242"/>
          <cell r="F242"/>
          <cell r="G242"/>
          <cell r="H242"/>
          <cell r="I242"/>
          <cell r="J242"/>
          <cell r="K242"/>
          <cell r="L242"/>
          <cell r="M242"/>
          <cell r="N242"/>
          <cell r="O242"/>
          <cell r="P242"/>
          <cell r="Q242"/>
          <cell r="R242"/>
          <cell r="S242"/>
          <cell r="T242"/>
          <cell r="U242"/>
        </row>
        <row r="243">
          <cell r="B243"/>
          <cell r="C243"/>
          <cell r="D243"/>
          <cell r="E243"/>
          <cell r="F243"/>
          <cell r="G243"/>
          <cell r="H243"/>
          <cell r="I243"/>
          <cell r="J243"/>
          <cell r="K243"/>
          <cell r="L243"/>
          <cell r="M243"/>
          <cell r="N243"/>
          <cell r="O243"/>
          <cell r="P243"/>
          <cell r="Q243"/>
          <cell r="R243"/>
          <cell r="S243"/>
          <cell r="T243"/>
          <cell r="U243"/>
        </row>
        <row r="244">
          <cell r="B244"/>
          <cell r="C244"/>
          <cell r="D244"/>
          <cell r="E244"/>
          <cell r="F244"/>
          <cell r="G244"/>
          <cell r="H244"/>
          <cell r="I244"/>
          <cell r="J244"/>
          <cell r="K244"/>
          <cell r="L244"/>
          <cell r="M244"/>
          <cell r="N244"/>
          <cell r="O244"/>
          <cell r="P244"/>
          <cell r="Q244"/>
          <cell r="R244"/>
          <cell r="S244"/>
          <cell r="T244"/>
          <cell r="U244"/>
        </row>
        <row r="245">
          <cell r="B245"/>
          <cell r="C245"/>
          <cell r="D245"/>
          <cell r="E245"/>
          <cell r="F245"/>
          <cell r="G245"/>
          <cell r="H245"/>
          <cell r="I245"/>
          <cell r="J245"/>
          <cell r="K245"/>
          <cell r="L245"/>
          <cell r="M245"/>
          <cell r="N245"/>
          <cell r="O245"/>
          <cell r="P245"/>
          <cell r="Q245"/>
          <cell r="R245"/>
          <cell r="S245"/>
          <cell r="T245"/>
          <cell r="U245"/>
        </row>
        <row r="246">
          <cell r="B246"/>
          <cell r="C246"/>
          <cell r="D246"/>
          <cell r="E246"/>
          <cell r="F246"/>
          <cell r="G246"/>
          <cell r="H246"/>
          <cell r="I246"/>
          <cell r="J246"/>
          <cell r="K246"/>
          <cell r="L246"/>
          <cell r="M246"/>
          <cell r="N246"/>
          <cell r="O246"/>
          <cell r="P246"/>
          <cell r="Q246"/>
          <cell r="R246"/>
          <cell r="S246"/>
          <cell r="T246"/>
          <cell r="U246"/>
        </row>
        <row r="247">
          <cell r="B247"/>
          <cell r="C247"/>
          <cell r="D247"/>
          <cell r="E247"/>
          <cell r="F247"/>
          <cell r="G247"/>
          <cell r="H247"/>
          <cell r="I247"/>
          <cell r="J247"/>
          <cell r="K247"/>
          <cell r="L247"/>
          <cell r="M247"/>
          <cell r="N247"/>
          <cell r="O247"/>
          <cell r="P247"/>
          <cell r="Q247"/>
          <cell r="R247"/>
          <cell r="S247"/>
          <cell r="T247"/>
          <cell r="U247"/>
        </row>
        <row r="248">
          <cell r="B248"/>
          <cell r="C248"/>
          <cell r="D248"/>
          <cell r="E248"/>
          <cell r="F248"/>
          <cell r="G248"/>
          <cell r="H248"/>
          <cell r="I248"/>
          <cell r="J248"/>
          <cell r="K248"/>
          <cell r="L248"/>
          <cell r="M248"/>
          <cell r="N248"/>
          <cell r="O248"/>
          <cell r="P248"/>
          <cell r="Q248"/>
          <cell r="R248"/>
          <cell r="S248"/>
          <cell r="T248"/>
          <cell r="U248"/>
        </row>
        <row r="249">
          <cell r="B249"/>
          <cell r="C249"/>
          <cell r="D249"/>
          <cell r="E249"/>
          <cell r="F249"/>
          <cell r="G249"/>
          <cell r="H249"/>
          <cell r="I249"/>
          <cell r="J249"/>
          <cell r="K249"/>
          <cell r="L249"/>
          <cell r="M249"/>
          <cell r="N249"/>
          <cell r="O249"/>
          <cell r="P249"/>
          <cell r="Q249"/>
          <cell r="R249"/>
          <cell r="S249"/>
          <cell r="T249"/>
          <cell r="U249"/>
        </row>
        <row r="250">
          <cell r="B250"/>
          <cell r="C250"/>
          <cell r="D250"/>
          <cell r="E250"/>
          <cell r="F250"/>
          <cell r="G250"/>
          <cell r="H250"/>
          <cell r="I250"/>
          <cell r="J250"/>
          <cell r="K250"/>
          <cell r="L250"/>
          <cell r="M250"/>
          <cell r="N250"/>
          <cell r="O250"/>
          <cell r="P250"/>
          <cell r="Q250"/>
          <cell r="R250"/>
          <cell r="S250"/>
          <cell r="T250"/>
          <cell r="U250"/>
        </row>
        <row r="251">
          <cell r="B251"/>
          <cell r="C251"/>
          <cell r="D251"/>
          <cell r="E251"/>
          <cell r="F251"/>
          <cell r="G251"/>
          <cell r="H251"/>
          <cell r="I251"/>
          <cell r="J251"/>
          <cell r="K251"/>
          <cell r="L251"/>
          <cell r="M251"/>
          <cell r="N251"/>
          <cell r="O251"/>
          <cell r="P251"/>
          <cell r="Q251"/>
          <cell r="R251"/>
          <cell r="S251"/>
          <cell r="T251"/>
          <cell r="U251"/>
        </row>
        <row r="252">
          <cell r="B252"/>
          <cell r="C252"/>
          <cell r="D252"/>
          <cell r="E252"/>
          <cell r="F252"/>
          <cell r="G252"/>
          <cell r="H252"/>
          <cell r="I252"/>
          <cell r="J252"/>
          <cell r="K252"/>
          <cell r="L252"/>
          <cell r="M252"/>
          <cell r="N252"/>
          <cell r="O252"/>
          <cell r="P252"/>
          <cell r="Q252"/>
          <cell r="R252"/>
          <cell r="S252"/>
          <cell r="T252"/>
          <cell r="U252"/>
        </row>
        <row r="253">
          <cell r="B253"/>
          <cell r="C253"/>
          <cell r="D253"/>
          <cell r="E253"/>
          <cell r="F253"/>
          <cell r="G253"/>
          <cell r="H253"/>
          <cell r="I253"/>
          <cell r="J253"/>
          <cell r="K253"/>
          <cell r="L253"/>
          <cell r="M253"/>
          <cell r="N253"/>
          <cell r="O253"/>
          <cell r="P253"/>
          <cell r="Q253"/>
          <cell r="R253"/>
          <cell r="S253"/>
          <cell r="T253"/>
          <cell r="U253"/>
        </row>
        <row r="254">
          <cell r="B254"/>
          <cell r="C254"/>
          <cell r="D254"/>
          <cell r="E254"/>
          <cell r="F254"/>
          <cell r="G254"/>
          <cell r="H254"/>
          <cell r="I254"/>
          <cell r="J254"/>
          <cell r="K254"/>
          <cell r="L254"/>
          <cell r="M254"/>
          <cell r="N254"/>
          <cell r="O254"/>
          <cell r="P254"/>
          <cell r="Q254"/>
          <cell r="R254"/>
          <cell r="S254"/>
          <cell r="T254"/>
          <cell r="U254"/>
        </row>
        <row r="255">
          <cell r="B255"/>
          <cell r="C255"/>
          <cell r="D255"/>
          <cell r="E255"/>
          <cell r="F255"/>
          <cell r="G255"/>
          <cell r="H255"/>
          <cell r="I255"/>
          <cell r="J255"/>
          <cell r="K255"/>
          <cell r="L255"/>
          <cell r="M255"/>
          <cell r="N255"/>
          <cell r="O255"/>
          <cell r="P255"/>
          <cell r="Q255"/>
          <cell r="R255"/>
          <cell r="S255"/>
          <cell r="T255"/>
          <cell r="U255"/>
        </row>
        <row r="256">
          <cell r="B256"/>
          <cell r="C256"/>
          <cell r="D256"/>
          <cell r="E256"/>
          <cell r="F256"/>
          <cell r="G256"/>
          <cell r="H256"/>
          <cell r="I256"/>
          <cell r="J256"/>
          <cell r="K256"/>
          <cell r="L256"/>
          <cell r="M256"/>
          <cell r="N256"/>
          <cell r="O256"/>
          <cell r="P256"/>
          <cell r="Q256"/>
          <cell r="R256"/>
          <cell r="S256"/>
          <cell r="T256"/>
          <cell r="U256"/>
        </row>
        <row r="257">
          <cell r="B257"/>
          <cell r="C257"/>
          <cell r="D257"/>
          <cell r="E257"/>
          <cell r="F257"/>
          <cell r="G257"/>
          <cell r="H257"/>
          <cell r="I257"/>
          <cell r="J257"/>
          <cell r="K257"/>
          <cell r="L257"/>
          <cell r="M257"/>
          <cell r="N257"/>
          <cell r="O257"/>
          <cell r="P257"/>
          <cell r="Q257"/>
          <cell r="R257"/>
          <cell r="S257"/>
          <cell r="T257"/>
          <cell r="U257"/>
        </row>
        <row r="258">
          <cell r="B258"/>
          <cell r="C258"/>
          <cell r="D258"/>
          <cell r="E258"/>
          <cell r="F258"/>
          <cell r="G258"/>
          <cell r="H258"/>
          <cell r="I258"/>
          <cell r="J258"/>
          <cell r="K258"/>
          <cell r="L258"/>
          <cell r="M258"/>
          <cell r="N258"/>
          <cell r="O258"/>
          <cell r="P258"/>
          <cell r="Q258"/>
          <cell r="R258"/>
          <cell r="S258"/>
          <cell r="T258"/>
          <cell r="U258"/>
        </row>
        <row r="259">
          <cell r="B259"/>
          <cell r="C259"/>
          <cell r="D259"/>
          <cell r="E259"/>
          <cell r="F259"/>
          <cell r="G259"/>
          <cell r="H259"/>
          <cell r="I259"/>
          <cell r="J259"/>
          <cell r="K259"/>
          <cell r="L259"/>
          <cell r="M259"/>
          <cell r="N259"/>
          <cell r="O259"/>
          <cell r="P259"/>
          <cell r="Q259"/>
          <cell r="R259"/>
          <cell r="S259"/>
          <cell r="T259"/>
          <cell r="U259"/>
        </row>
        <row r="260">
          <cell r="B260"/>
          <cell r="C260"/>
          <cell r="D260"/>
          <cell r="E260"/>
          <cell r="F260"/>
          <cell r="G260"/>
          <cell r="H260"/>
          <cell r="I260"/>
          <cell r="J260"/>
          <cell r="K260"/>
          <cell r="L260"/>
          <cell r="M260"/>
          <cell r="N260"/>
          <cell r="O260"/>
          <cell r="P260"/>
          <cell r="Q260"/>
          <cell r="R260"/>
          <cell r="S260"/>
          <cell r="T260"/>
          <cell r="U260"/>
        </row>
        <row r="261">
          <cell r="B261"/>
          <cell r="C261"/>
          <cell r="D261"/>
          <cell r="E261"/>
          <cell r="F261"/>
          <cell r="G261"/>
          <cell r="H261"/>
          <cell r="I261"/>
          <cell r="J261"/>
          <cell r="K261"/>
          <cell r="L261"/>
          <cell r="M261"/>
          <cell r="N261"/>
          <cell r="O261"/>
          <cell r="P261"/>
          <cell r="Q261"/>
          <cell r="R261"/>
          <cell r="S261"/>
          <cell r="T261"/>
          <cell r="U261"/>
        </row>
        <row r="262">
          <cell r="B262"/>
          <cell r="C262"/>
          <cell r="D262"/>
          <cell r="E262"/>
          <cell r="F262"/>
          <cell r="G262"/>
          <cell r="H262"/>
          <cell r="I262"/>
          <cell r="J262"/>
          <cell r="K262"/>
          <cell r="L262"/>
          <cell r="M262"/>
          <cell r="N262"/>
          <cell r="O262"/>
          <cell r="P262"/>
          <cell r="Q262"/>
          <cell r="R262"/>
          <cell r="S262"/>
          <cell r="T262"/>
          <cell r="U262"/>
        </row>
        <row r="263">
          <cell r="B263"/>
          <cell r="C263"/>
          <cell r="D263"/>
          <cell r="E263"/>
          <cell r="F263"/>
          <cell r="G263"/>
          <cell r="H263"/>
          <cell r="I263"/>
          <cell r="J263"/>
          <cell r="K263"/>
          <cell r="L263"/>
          <cell r="M263"/>
          <cell r="N263"/>
          <cell r="O263"/>
          <cell r="P263"/>
          <cell r="Q263"/>
          <cell r="R263"/>
          <cell r="S263"/>
          <cell r="T263"/>
          <cell r="U263"/>
        </row>
        <row r="264">
          <cell r="B264"/>
          <cell r="C264"/>
          <cell r="D264"/>
          <cell r="E264"/>
          <cell r="F264"/>
          <cell r="G264"/>
          <cell r="H264"/>
          <cell r="I264"/>
          <cell r="J264"/>
          <cell r="K264"/>
          <cell r="L264"/>
          <cell r="M264"/>
          <cell r="N264"/>
          <cell r="O264"/>
          <cell r="P264"/>
          <cell r="Q264"/>
          <cell r="R264"/>
          <cell r="S264"/>
          <cell r="T264"/>
          <cell r="U264"/>
        </row>
        <row r="265">
          <cell r="B265"/>
          <cell r="C265"/>
          <cell r="D265"/>
          <cell r="E265"/>
          <cell r="F265"/>
          <cell r="G265"/>
          <cell r="H265"/>
          <cell r="I265"/>
          <cell r="J265"/>
          <cell r="K265"/>
          <cell r="L265"/>
          <cell r="M265"/>
          <cell r="N265"/>
          <cell r="O265"/>
          <cell r="P265"/>
          <cell r="Q265"/>
          <cell r="R265"/>
          <cell r="S265"/>
          <cell r="T265"/>
          <cell r="U265"/>
        </row>
        <row r="266">
          <cell r="B266"/>
          <cell r="C266"/>
          <cell r="D266"/>
          <cell r="E266"/>
          <cell r="F266"/>
          <cell r="G266"/>
          <cell r="H266"/>
          <cell r="I266"/>
          <cell r="J266"/>
          <cell r="K266"/>
          <cell r="L266"/>
          <cell r="M266"/>
          <cell r="N266"/>
          <cell r="O266"/>
          <cell r="P266"/>
          <cell r="Q266"/>
          <cell r="R266"/>
          <cell r="S266"/>
          <cell r="T266"/>
          <cell r="U266"/>
        </row>
        <row r="267">
          <cell r="B267"/>
          <cell r="C267"/>
          <cell r="D267"/>
          <cell r="E267"/>
          <cell r="F267"/>
          <cell r="G267"/>
          <cell r="H267"/>
          <cell r="I267"/>
          <cell r="J267"/>
          <cell r="K267"/>
          <cell r="L267"/>
          <cell r="M267"/>
          <cell r="N267"/>
          <cell r="O267"/>
          <cell r="P267"/>
          <cell r="Q267"/>
          <cell r="R267"/>
          <cell r="S267"/>
          <cell r="T267"/>
          <cell r="U267"/>
        </row>
        <row r="268">
          <cell r="B268"/>
          <cell r="C268"/>
          <cell r="D268"/>
          <cell r="E268"/>
          <cell r="F268"/>
          <cell r="G268"/>
          <cell r="H268"/>
          <cell r="I268"/>
          <cell r="J268"/>
          <cell r="K268"/>
          <cell r="L268"/>
          <cell r="M268"/>
          <cell r="N268"/>
          <cell r="O268"/>
          <cell r="P268"/>
          <cell r="Q268"/>
          <cell r="R268"/>
          <cell r="S268"/>
          <cell r="T268"/>
          <cell r="U268"/>
        </row>
        <row r="269">
          <cell r="B269"/>
          <cell r="C269"/>
          <cell r="D269"/>
          <cell r="E269"/>
          <cell r="F269"/>
          <cell r="G269"/>
          <cell r="H269"/>
          <cell r="I269"/>
          <cell r="J269"/>
          <cell r="K269"/>
          <cell r="L269"/>
          <cell r="M269"/>
          <cell r="N269"/>
          <cell r="O269"/>
          <cell r="P269"/>
          <cell r="Q269"/>
          <cell r="R269"/>
          <cell r="S269"/>
          <cell r="T269"/>
          <cell r="U269"/>
        </row>
        <row r="270">
          <cell r="B270"/>
          <cell r="C270"/>
          <cell r="D270"/>
          <cell r="E270"/>
          <cell r="F270"/>
          <cell r="G270"/>
          <cell r="H270"/>
          <cell r="I270"/>
          <cell r="J270"/>
          <cell r="K270"/>
          <cell r="L270"/>
          <cell r="M270"/>
          <cell r="N270"/>
          <cell r="O270"/>
          <cell r="P270"/>
          <cell r="Q270"/>
          <cell r="R270"/>
          <cell r="S270"/>
          <cell r="T270"/>
          <cell r="U270"/>
        </row>
        <row r="271">
          <cell r="B271"/>
          <cell r="C271"/>
          <cell r="D271"/>
          <cell r="E271"/>
          <cell r="F271"/>
          <cell r="G271"/>
          <cell r="H271"/>
          <cell r="I271"/>
          <cell r="J271"/>
          <cell r="K271"/>
          <cell r="L271"/>
          <cell r="M271"/>
          <cell r="N271"/>
          <cell r="O271"/>
          <cell r="P271"/>
          <cell r="Q271"/>
          <cell r="R271"/>
          <cell r="S271"/>
          <cell r="T271"/>
          <cell r="U271"/>
        </row>
        <row r="272">
          <cell r="B272"/>
          <cell r="C272"/>
          <cell r="D272"/>
          <cell r="E272"/>
          <cell r="F272"/>
          <cell r="G272"/>
          <cell r="H272"/>
          <cell r="I272"/>
          <cell r="J272"/>
          <cell r="K272"/>
          <cell r="L272"/>
          <cell r="M272"/>
          <cell r="N272"/>
          <cell r="O272"/>
          <cell r="P272"/>
          <cell r="Q272"/>
          <cell r="R272"/>
          <cell r="S272"/>
          <cell r="T272"/>
          <cell r="U272"/>
        </row>
        <row r="273">
          <cell r="B273"/>
          <cell r="C273"/>
          <cell r="D273"/>
          <cell r="E273"/>
          <cell r="F273"/>
          <cell r="G273"/>
          <cell r="H273"/>
          <cell r="I273"/>
          <cell r="J273"/>
          <cell r="K273"/>
          <cell r="L273"/>
          <cell r="M273"/>
          <cell r="N273"/>
          <cell r="O273"/>
          <cell r="P273"/>
          <cell r="Q273"/>
          <cell r="R273"/>
          <cell r="S273"/>
          <cell r="T273"/>
          <cell r="U273"/>
        </row>
        <row r="274">
          <cell r="B274"/>
          <cell r="C274"/>
          <cell r="D274"/>
          <cell r="E274"/>
          <cell r="F274"/>
          <cell r="G274"/>
          <cell r="H274"/>
          <cell r="I274"/>
          <cell r="J274"/>
          <cell r="K274"/>
          <cell r="L274"/>
          <cell r="M274"/>
          <cell r="N274"/>
          <cell r="O274"/>
          <cell r="P274"/>
          <cell r="Q274"/>
          <cell r="R274"/>
          <cell r="S274"/>
          <cell r="T274"/>
          <cell r="U274"/>
        </row>
        <row r="275">
          <cell r="B275"/>
          <cell r="C275"/>
          <cell r="D275"/>
          <cell r="E275"/>
          <cell r="F275"/>
          <cell r="G275"/>
          <cell r="H275"/>
          <cell r="I275"/>
          <cell r="J275"/>
          <cell r="K275"/>
          <cell r="L275"/>
          <cell r="M275"/>
          <cell r="N275"/>
          <cell r="O275"/>
          <cell r="P275"/>
          <cell r="Q275"/>
          <cell r="R275"/>
          <cell r="S275"/>
          <cell r="T275"/>
          <cell r="U275"/>
        </row>
        <row r="276">
          <cell r="B276"/>
          <cell r="C276"/>
          <cell r="D276"/>
          <cell r="E276"/>
          <cell r="F276"/>
          <cell r="G276"/>
          <cell r="H276"/>
          <cell r="I276"/>
          <cell r="J276"/>
          <cell r="K276"/>
          <cell r="L276"/>
          <cell r="M276"/>
          <cell r="N276"/>
          <cell r="O276"/>
          <cell r="P276"/>
          <cell r="Q276"/>
          <cell r="R276"/>
          <cell r="S276"/>
          <cell r="T276"/>
          <cell r="U276"/>
        </row>
        <row r="277">
          <cell r="B277"/>
          <cell r="C277"/>
          <cell r="D277"/>
          <cell r="E277"/>
          <cell r="F277"/>
          <cell r="G277"/>
          <cell r="H277"/>
          <cell r="I277"/>
          <cell r="J277"/>
          <cell r="K277"/>
          <cell r="L277"/>
          <cell r="M277"/>
          <cell r="N277"/>
          <cell r="O277"/>
          <cell r="P277"/>
          <cell r="Q277"/>
          <cell r="R277"/>
          <cell r="S277"/>
          <cell r="T277"/>
          <cell r="U277"/>
        </row>
        <row r="278">
          <cell r="M278"/>
          <cell r="N278"/>
          <cell r="O278"/>
          <cell r="Q278"/>
          <cell r="R278"/>
          <cell r="S278"/>
          <cell r="U278"/>
        </row>
        <row r="279">
          <cell r="M279"/>
          <cell r="N279"/>
          <cell r="O279"/>
          <cell r="Q279"/>
          <cell r="R279"/>
          <cell r="S279"/>
          <cell r="U279"/>
        </row>
        <row r="280">
          <cell r="M280"/>
          <cell r="N280"/>
          <cell r="O280"/>
          <cell r="Q280"/>
          <cell r="R280"/>
          <cell r="S280"/>
          <cell r="U280"/>
        </row>
        <row r="281">
          <cell r="M281"/>
          <cell r="N281"/>
          <cell r="O281"/>
          <cell r="Q281"/>
          <cell r="R281"/>
          <cell r="S281"/>
          <cell r="U281"/>
        </row>
        <row r="282">
          <cell r="M282"/>
          <cell r="N282"/>
          <cell r="O282"/>
          <cell r="Q282"/>
          <cell r="R282"/>
          <cell r="S282"/>
          <cell r="U282"/>
        </row>
        <row r="283">
          <cell r="M283"/>
          <cell r="N283"/>
          <cell r="O283"/>
          <cell r="Q283"/>
          <cell r="R283"/>
          <cell r="S283"/>
          <cell r="U283"/>
        </row>
        <row r="284">
          <cell r="M284"/>
          <cell r="N284"/>
          <cell r="O284"/>
          <cell r="Q284"/>
          <cell r="R284"/>
          <cell r="S284"/>
          <cell r="U284"/>
        </row>
        <row r="285">
          <cell r="M285"/>
          <cell r="N285"/>
          <cell r="O285"/>
          <cell r="Q285"/>
          <cell r="R285"/>
          <cell r="S285"/>
          <cell r="U285"/>
        </row>
        <row r="286">
          <cell r="M286"/>
          <cell r="N286"/>
          <cell r="O286"/>
          <cell r="Q286"/>
          <cell r="R286"/>
          <cell r="S286"/>
          <cell r="U286"/>
        </row>
        <row r="287">
          <cell r="M287"/>
          <cell r="N287"/>
          <cell r="O287"/>
          <cell r="Q287"/>
          <cell r="R287"/>
          <cell r="S287"/>
          <cell r="U287"/>
        </row>
        <row r="288">
          <cell r="M288"/>
          <cell r="N288"/>
          <cell r="O288"/>
          <cell r="Q288"/>
          <cell r="R288"/>
          <cell r="S288"/>
          <cell r="U288"/>
        </row>
        <row r="289">
          <cell r="M289"/>
          <cell r="N289"/>
          <cell r="O289"/>
          <cell r="Q289"/>
          <cell r="R289"/>
          <cell r="S289"/>
          <cell r="U289"/>
        </row>
        <row r="290">
          <cell r="M290"/>
          <cell r="N290"/>
          <cell r="O290"/>
          <cell r="Q290"/>
          <cell r="R290"/>
          <cell r="S290"/>
          <cell r="U290"/>
        </row>
        <row r="291">
          <cell r="M291"/>
          <cell r="N291"/>
          <cell r="O291"/>
          <cell r="Q291"/>
          <cell r="R291"/>
          <cell r="S291"/>
          <cell r="U291"/>
        </row>
        <row r="292">
          <cell r="M292"/>
          <cell r="N292"/>
          <cell r="O292"/>
          <cell r="Q292"/>
          <cell r="R292"/>
          <cell r="S292"/>
          <cell r="U292"/>
        </row>
        <row r="293">
          <cell r="M293"/>
          <cell r="N293"/>
          <cell r="O293"/>
          <cell r="Q293"/>
          <cell r="R293"/>
          <cell r="S293"/>
          <cell r="U293"/>
        </row>
        <row r="294">
          <cell r="M294"/>
          <cell r="N294"/>
          <cell r="O294"/>
          <cell r="Q294"/>
          <cell r="R294"/>
          <cell r="S294"/>
          <cell r="U294"/>
        </row>
        <row r="295">
          <cell r="M295"/>
          <cell r="N295"/>
          <cell r="O295"/>
          <cell r="Q295"/>
          <cell r="R295"/>
          <cell r="S295"/>
          <cell r="U295"/>
        </row>
        <row r="296">
          <cell r="M296"/>
          <cell r="N296"/>
          <cell r="O296"/>
          <cell r="Q296"/>
          <cell r="R296"/>
          <cell r="S296"/>
          <cell r="U296"/>
        </row>
        <row r="297">
          <cell r="M297"/>
          <cell r="N297"/>
          <cell r="O297"/>
          <cell r="Q297"/>
          <cell r="R297"/>
          <cell r="S297"/>
          <cell r="U297"/>
        </row>
        <row r="298">
          <cell r="M298"/>
          <cell r="N298"/>
          <cell r="O298"/>
          <cell r="Q298"/>
          <cell r="R298"/>
          <cell r="S298"/>
          <cell r="U298"/>
        </row>
        <row r="299">
          <cell r="M299"/>
          <cell r="N299"/>
          <cell r="O299"/>
          <cell r="Q299"/>
          <cell r="R299"/>
          <cell r="S299"/>
          <cell r="U299"/>
        </row>
        <row r="300">
          <cell r="M300"/>
          <cell r="N300"/>
          <cell r="O300"/>
          <cell r="Q300"/>
          <cell r="R300"/>
          <cell r="S300"/>
          <cell r="U300"/>
        </row>
        <row r="301">
          <cell r="M301"/>
          <cell r="N301"/>
          <cell r="O301"/>
          <cell r="Q301"/>
          <cell r="R301"/>
          <cell r="S301"/>
          <cell r="U301"/>
        </row>
        <row r="302">
          <cell r="M302"/>
          <cell r="N302"/>
          <cell r="O302"/>
          <cell r="Q302"/>
          <cell r="R302"/>
          <cell r="S302"/>
          <cell r="U302"/>
        </row>
        <row r="303">
          <cell r="M303"/>
          <cell r="N303"/>
          <cell r="O303"/>
          <cell r="Q303"/>
          <cell r="R303"/>
          <cell r="S303"/>
          <cell r="U303"/>
        </row>
        <row r="304">
          <cell r="M304"/>
          <cell r="N304"/>
          <cell r="O304"/>
          <cell r="Q304"/>
          <cell r="R304"/>
          <cell r="S304"/>
          <cell r="U304"/>
        </row>
        <row r="305">
          <cell r="M305"/>
          <cell r="N305"/>
          <cell r="O305"/>
          <cell r="Q305"/>
          <cell r="R305"/>
          <cell r="S305"/>
          <cell r="U305"/>
        </row>
        <row r="306">
          <cell r="M306"/>
          <cell r="N306"/>
          <cell r="O306"/>
          <cell r="Q306"/>
          <cell r="R306"/>
          <cell r="S306"/>
          <cell r="U306"/>
        </row>
        <row r="307">
          <cell r="M307"/>
          <cell r="N307"/>
          <cell r="O307"/>
          <cell r="Q307"/>
          <cell r="R307"/>
          <cell r="S307"/>
          <cell r="U307"/>
        </row>
        <row r="308">
          <cell r="M308"/>
          <cell r="N308"/>
          <cell r="O308"/>
          <cell r="Q308"/>
          <cell r="R308"/>
          <cell r="S308"/>
          <cell r="U308"/>
        </row>
        <row r="309">
          <cell r="M309"/>
          <cell r="N309"/>
          <cell r="O309"/>
          <cell r="Q309"/>
          <cell r="R309"/>
          <cell r="S309"/>
          <cell r="U309"/>
        </row>
        <row r="310">
          <cell r="M310"/>
          <cell r="N310"/>
          <cell r="O310"/>
          <cell r="Q310"/>
          <cell r="R310"/>
          <cell r="S310"/>
          <cell r="U310"/>
        </row>
        <row r="311">
          <cell r="M311"/>
          <cell r="N311"/>
          <cell r="O311"/>
          <cell r="Q311"/>
          <cell r="R311"/>
          <cell r="S311"/>
          <cell r="U311"/>
        </row>
        <row r="312">
          <cell r="M312"/>
          <cell r="N312"/>
          <cell r="O312"/>
          <cell r="Q312"/>
          <cell r="R312"/>
          <cell r="S312"/>
          <cell r="U312"/>
        </row>
        <row r="313">
          <cell r="M313"/>
          <cell r="N313"/>
          <cell r="O313"/>
          <cell r="Q313"/>
          <cell r="R313"/>
          <cell r="S313"/>
        </row>
        <row r="314">
          <cell r="M314"/>
          <cell r="N314"/>
          <cell r="O314"/>
          <cell r="Q314"/>
          <cell r="R314"/>
          <cell r="S314"/>
        </row>
        <row r="315">
          <cell r="M315"/>
          <cell r="N315"/>
          <cell r="O315"/>
          <cell r="Q315"/>
          <cell r="R315"/>
          <cell r="S315"/>
        </row>
        <row r="316">
          <cell r="Q316"/>
          <cell r="R316"/>
          <cell r="S316"/>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MKCQ3MT4H3BD2NK7K77Q7UYOH">
      <xxl21:absoluteUrl r:id="rId3"/>
      <xxl21:relativeUrl r:id="rId4"/>
    </xxl21:alternateUrls>
    <sheetNames>
      <sheetName val="PRIORIZADOS"/>
      <sheetName val="DEMANDA"/>
      <sheetName val="MESAS DIRECTIVOS IE"/>
      <sheetName val="MANUALES DE CONVIVENCIA IED"/>
      <sheetName val="ACTIVIDADES  "/>
      <sheetName val="COLEGIOS"/>
      <sheetName val="LISTAS"/>
      <sheetName val="PEGRCC Y GOBIERNOS ESCOLARES"/>
      <sheetName val="OPERACIONES-ACTIVIDADES"/>
      <sheetName val="Hoja1"/>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19. CIUDAD BOLÍVAR</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el seguimiento y/o verificación realizada o por realizar sobre los compromisos o PMI acordados)</v>
          </cell>
        </row>
        <row r="8">
          <cell r="A8">
            <v>508</v>
          </cell>
          <cell r="B8">
            <v>1</v>
          </cell>
          <cell r="C8" t="str">
            <v>CIUDAD BOLÍVAR</v>
          </cell>
          <cell r="D8" t="str">
            <v>PRIVADO</v>
          </cell>
          <cell r="E8" t="str">
            <v>EPBM</v>
          </cell>
          <cell r="F8" t="str">
            <v>COLEGIO_COOPERATIVO_MONSEÑOR_ISMAEL_PERDOMO</v>
          </cell>
          <cell r="G8" t="str">
            <v>COLEGIO COOPERATIVO MONSEÑOR ISMAEL PERDOMO</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 xml:space="preserve">CLAUDIA DOMÍNGUEZ TORRES </v>
          </cell>
          <cell r="L8" t="str">
            <v>ÓSCAR JAVIER CÁRDENAS MUÑOZ</v>
          </cell>
          <cell r="M8">
            <v>45744</v>
          </cell>
          <cell r="N8">
            <v>45785</v>
          </cell>
          <cell r="O8">
            <v>45785</v>
          </cell>
          <cell r="P8" t="str">
            <v>Visitas de evaluación con fines de seguimiento</v>
          </cell>
          <cell r="Q8" t="str">
            <v>20250422ActaVisitaAdministrativaInsCoopIsmaelPerdomo.pdf</v>
          </cell>
          <cell r="R8" t="str">
            <v xml:space="preserve">Se encuentra conformidad con lo reportado en EVI. En la implementación del calendario no se da cumplimiento a la intensidad horaria para bachillerato </v>
          </cell>
          <cell r="S8" t="str">
            <v>Aumentar las horas académicas para bachillerato para dar cumplimiento a la intensidad horaria conforme el decreto 1075 de 2015.</v>
          </cell>
          <cell r="T8" t="str">
            <v>Si</v>
          </cell>
          <cell r="U8" t="str">
            <v>Se realizará seguimiento una vez se reciba el plan de mejoramiento 05.06.2025. Revisión documental septiembre para verificar la implementación de las acciones del plan de mejoramiento</v>
          </cell>
        </row>
        <row r="9">
          <cell r="A9">
            <v>509</v>
          </cell>
          <cell r="B9">
            <v>1</v>
          </cell>
          <cell r="C9" t="str">
            <v>CIUDAD BOLÍVAR</v>
          </cell>
          <cell r="D9" t="str">
            <v>PRIVADO</v>
          </cell>
          <cell r="E9" t="str">
            <v>EPBM</v>
          </cell>
          <cell r="F9" t="str">
            <v>COLEGIO_COOPERATIVO_MONSEÑOR_ISMAEL_PERDOMO</v>
          </cell>
          <cell r="G9" t="str">
            <v>COLEGIO COOPERATIVO MONSEÑOR ISMAEL PERDOMO</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 xml:space="preserve">CLAUDIA DOMÍNGUEZ TORRES </v>
          </cell>
          <cell r="L9" t="str">
            <v>ÓSCAR JAVIER CÁRDENAS MUÑOZ</v>
          </cell>
          <cell r="M9">
            <v>45744</v>
          </cell>
          <cell r="N9">
            <v>45785</v>
          </cell>
          <cell r="O9">
            <v>45785</v>
          </cell>
          <cell r="P9" t="str">
            <v>Visitas de evaluación con fines de mejoramiento</v>
          </cell>
          <cell r="Q9" t="str">
            <v>20250422ActaVisitaAdministrativaInsCoopIsmaelPerdomo.pdf</v>
          </cell>
          <cell r="R9" t="str">
            <v>Se encontró  que la IE ha analizado sus resultados e implementado acciones tendientes a la mejora, a través de pruebas estandarizadas con ente externo, manejo de material didáctico para formación en pruebas tipo saber y preicfes para grado 11°. Se encuentra realizando actualización del diseñor curricular para valoración de aprendizajes bajo metodología de pruebas Saber 11</v>
          </cell>
          <cell r="S9" t="str">
            <v>Implementar la actualización del diseño curricular con miras a fortalecer las competencias minimas en cada grado.</v>
          </cell>
          <cell r="T9" t="str">
            <v>Si</v>
          </cell>
          <cell r="U9" t="str">
            <v>Se realizará seguimiento una vez se reciba el plan de mejoramiento 05.06.2025. Revisión documental septiembre para verificar la implementación de las acciones del plan de mejoramiento</v>
          </cell>
        </row>
        <row r="10">
          <cell r="A10">
            <v>510</v>
          </cell>
          <cell r="B10">
            <v>1</v>
          </cell>
          <cell r="C10" t="str">
            <v>CIUDAD BOLÍVAR</v>
          </cell>
          <cell r="D10" t="str">
            <v>PRIVADO</v>
          </cell>
          <cell r="E10" t="str">
            <v>EPBM</v>
          </cell>
          <cell r="F10" t="str">
            <v>COLEGIO_COOPERATIVO_MONSEÑOR_ISMAEL_PERDOMO</v>
          </cell>
          <cell r="G10" t="str">
            <v>COLEGIO COOPERATIVO MONSEÑOR ISMAEL PERDOMO</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 xml:space="preserve">CLAUDIA DOMÍNGUEZ TORRES </v>
          </cell>
          <cell r="L10" t="str">
            <v>ÓSCAR JAVIER CÁRDENAS MUÑOZ</v>
          </cell>
          <cell r="M10">
            <v>45744</v>
          </cell>
          <cell r="N10">
            <v>45785</v>
          </cell>
          <cell r="O10">
            <v>45785</v>
          </cell>
          <cell r="P10" t="str">
            <v>Visitas de evaluación con fines de mejoramiento</v>
          </cell>
          <cell r="Q10" t="str">
            <v>20250422ActaVisitaAdministrativaInsCoopIsmaelPerdomo.pdf</v>
          </cell>
          <cell r="R10" t="str">
            <v>El colegio implementa estretegias de prevención y promoción en la convivencia escolar, pero no se encuentran documentadas. sobre la periodicidad para realizar la consulta de antecedentes de  inhabilidades por delitos sexuales,  pues la institución la realiza semestralmente.</v>
          </cell>
          <cell r="S10" t="str">
            <v>La IE debe realizar registro documental de todas las acciones emprendidas y realizar la consulta de antecedentes de  inhabilidades por delitos sexuales cada 4 meses.</v>
          </cell>
          <cell r="T10" t="str">
            <v>Si</v>
          </cell>
          <cell r="U10" t="str">
            <v>Se realizará seguimiento una vez se reciba el plan de mejoramiento 05.06.2025. Revisión documental septiembre para verificar la implementación de las acciones del plan de mejoramiento</v>
          </cell>
        </row>
        <row r="11">
          <cell r="A11">
            <v>511</v>
          </cell>
          <cell r="B11">
            <v>1</v>
          </cell>
          <cell r="C11" t="str">
            <v>CIUDAD BOLÍVAR</v>
          </cell>
          <cell r="D11" t="str">
            <v>PRIVADO</v>
          </cell>
          <cell r="E11" t="str">
            <v>EPBM</v>
          </cell>
          <cell r="F11" t="str">
            <v>COLEGIO_COOPERATIVO_MONSEÑOR_ISMAEL_PERDOMO</v>
          </cell>
          <cell r="G11" t="str">
            <v>COLEGIO COOPERATIVO MONSEÑOR ISMAEL PERDOMO</v>
          </cell>
          <cell r="H11" t="str">
            <v>Autoevaluación Institucional y Pruebas SABER 11</v>
          </cell>
          <cell r="I11" t="str">
            <v>SEGUIMIENTO_Y_SUPERVISIÓN.</v>
          </cell>
          <cell r="J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 t="str">
            <v xml:space="preserve">CLAUDIA DOMÍNGUEZ TORRES </v>
          </cell>
          <cell r="L11" t="str">
            <v>ÓSCAR JAVIER CÁRDENAS MUÑOZ</v>
          </cell>
          <cell r="M11">
            <v>45744</v>
          </cell>
          <cell r="N11">
            <v>45785</v>
          </cell>
          <cell r="O11">
            <v>45785</v>
          </cell>
          <cell r="P11" t="str">
            <v>Visitas de evaluación con fines de mejoramiento</v>
          </cell>
          <cell r="Q11" t="str">
            <v>20250422ActaVisitaAdministrativaInsCoopIsmaelPerdomo.pdf</v>
          </cell>
          <cell r="R11" t="str">
            <v>Tiene 5 estudiantes categorizados con discapacidad, debidamente registrados en SIMAT y con su PIAR completo y en desarrollo.</v>
          </cell>
          <cell r="S11" t="str">
            <v>Solicitar la actualización del diagnóstico de los estudiantes desde la EPS para armonizar con los ajustes del PIAR requeridos por los estudiantes.</v>
          </cell>
          <cell r="T11" t="str">
            <v>Si</v>
          </cell>
          <cell r="U11" t="str">
            <v>Se realizará seguimiento una vez se reciba el plan de mejoramiento 05.06.2025. Revisión documental septiembre para verificar la implementación de las acciones del plan de mejoramiento</v>
          </cell>
        </row>
        <row r="12">
          <cell r="A12">
            <v>512</v>
          </cell>
          <cell r="B12">
            <v>1</v>
          </cell>
          <cell r="C12" t="str">
            <v>CIUDAD BOLÍVAR</v>
          </cell>
          <cell r="D12" t="str">
            <v>PRIVADO</v>
          </cell>
          <cell r="E12" t="str">
            <v>EPBM</v>
          </cell>
          <cell r="F12" t="str">
            <v>COLEGIO_COOPERATIVO_MONSEÑOR_ISMAEL_PERDOMO</v>
          </cell>
          <cell r="G12" t="str">
            <v>COLEGIO COOPERATIVO MONSEÑOR ISMAEL PERDOMO</v>
          </cell>
          <cell r="H12" t="str">
            <v>Autoevaluación Institucional y Pruebas SABER 11</v>
          </cell>
          <cell r="I12" t="str">
            <v>EVALUACIÓN_CON_FINES_DE_MEJORAMIENTO.</v>
          </cell>
          <cell r="J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 t="str">
            <v xml:space="preserve">CLAUDIA DOMÍNGUEZ TORRES </v>
          </cell>
          <cell r="L12" t="str">
            <v>ÓSCAR JAVIER CÁRDENAS MUÑOZ</v>
          </cell>
          <cell r="M12">
            <v>45744</v>
          </cell>
          <cell r="N12">
            <v>45785</v>
          </cell>
          <cell r="O12">
            <v>45785</v>
          </cell>
          <cell r="P12" t="str">
            <v>Visitas de evaluación con fines de mejoramiento</v>
          </cell>
          <cell r="Q12" t="str">
            <v>20250422ActaVisitaAdministrativaInsCoopIsmaelPerdomo.pdf</v>
          </cell>
          <cell r="R12" t="str">
            <v xml:space="preserve">Cuentan con un Manual de Convivencia construido de forma participativa, actualizado y en ejecución; sin embargo, no incorpora los enfoques diferenciales y debe ser actualizado normativamente. </v>
          </cell>
          <cell r="S12" t="str">
            <v>Realizar actualización normativa, incorporando el enfoque de genero y de derechos humanos, asi como un plan de orientación escolar para las familias.</v>
          </cell>
          <cell r="T12" t="str">
            <v>Si</v>
          </cell>
          <cell r="U12" t="str">
            <v>Se realizará seguimiento una vez se reciba el plan de mejoramiento 05.06.2025. Revisión documental septiembre para verificar la implementación de las acciones del plan de mejoramiento</v>
          </cell>
        </row>
        <row r="13">
          <cell r="A13">
            <v>513</v>
          </cell>
          <cell r="B13">
            <v>1</v>
          </cell>
          <cell r="C13" t="str">
            <v>CIUDAD BOLÍVAR</v>
          </cell>
          <cell r="D13" t="str">
            <v>PRIVADO</v>
          </cell>
          <cell r="E13" t="str">
            <v>EPBM</v>
          </cell>
          <cell r="F13" t="str">
            <v>COLEGIO_COOPERATIVO_MONSEÑOR_ISMAEL_PERDOMO</v>
          </cell>
          <cell r="G13" t="str">
            <v>COLEGIO COOPERATIVO MONSEÑOR ISMAEL PERDOMO</v>
          </cell>
          <cell r="H13" t="str">
            <v>Autoevaluación Institucional y Pruebas SABER 11</v>
          </cell>
          <cell r="I13" t="str">
            <v>EVALUACIÓN_CON_FINES_DE_MEJORAMIENTO.</v>
          </cell>
          <cell r="J13" t="str">
            <v>Revisar la actualización, socialización e implementación del Sistema Institucional de Evaluación de Estudiantes - SIEE, en articulación con la actualización del PEI y la normatividad vigente.</v>
          </cell>
          <cell r="K13" t="str">
            <v xml:space="preserve">CLAUDIA DOMÍNGUEZ TORRES </v>
          </cell>
          <cell r="L13" t="str">
            <v>ÓSCAR JAVIER CÁRDENAS MUÑOZ</v>
          </cell>
          <cell r="M13">
            <v>45744</v>
          </cell>
          <cell r="N13">
            <v>45785</v>
          </cell>
          <cell r="O13">
            <v>45785</v>
          </cell>
          <cell r="P13" t="str">
            <v>Visitas de evaluación con fines de mejoramiento</v>
          </cell>
          <cell r="Q13" t="str">
            <v>20250422ActaVisitaAdministrativaInsCoopIsmaelPerdomo.pdf</v>
          </cell>
          <cell r="R13" t="str">
            <v>Cuentan con un SIEE actualizado, documentado, claro y coherente, debidamente socializado con los estudiantes y los padres de familia.</v>
          </cell>
          <cell r="S13" t="str">
            <v xml:space="preserve">Consolidar las evidencias de las socializaciones con los padres y estudiantes. Se recomienda definir el estamento  responsable del seguimiento a los procesos de promoción y evaluación y definir su reglamento. </v>
          </cell>
          <cell r="T13" t="str">
            <v>Si</v>
          </cell>
          <cell r="U13" t="str">
            <v>Se realizará seguimiento una vez se reciba el plan de mejoramiento 05.06.2025. Revisión documental septiembre para verificar la implementación de las acciones del plan de mejoramiento</v>
          </cell>
        </row>
        <row r="14">
          <cell r="A14">
            <v>514</v>
          </cell>
          <cell r="B14">
            <v>1</v>
          </cell>
          <cell r="C14" t="str">
            <v>CIUDAD BOLÍVAR</v>
          </cell>
          <cell r="D14" t="str">
            <v>PRIVADO</v>
          </cell>
          <cell r="E14" t="str">
            <v>EPBM</v>
          </cell>
          <cell r="F14" t="str">
            <v>COLEGIO_COOPERATIVO_MONSEÑOR_ISMAEL_PERDOMO</v>
          </cell>
          <cell r="G14" t="str">
            <v>COLEGIO COOPERATIVO MONSEÑOR ISMAEL PERDOMO</v>
          </cell>
          <cell r="H14" t="str">
            <v>Autoevaluación Institucional y Pruebas SABER 11</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 xml:space="preserve">CLAUDIA DOMÍNGUEZ TORRES </v>
          </cell>
          <cell r="L14" t="str">
            <v>ÓSCAR JAVIER CÁRDENAS MUÑOZ</v>
          </cell>
          <cell r="M14">
            <v>45744</v>
          </cell>
          <cell r="N14">
            <v>45785</v>
          </cell>
          <cell r="O14">
            <v>45785</v>
          </cell>
          <cell r="P14" t="str">
            <v>Visitas de evaluación con fines de mejoramiento</v>
          </cell>
          <cell r="Q14" t="str">
            <v>20250422ActaVisitaAdministrativaInsCoopIsmaelPerdomo.pdf</v>
          </cell>
          <cell r="R14" t="str">
            <v xml:space="preserve">Aunque el calendario cumple con las horas mínimas, en la implementación no se da cumplimiento a la intensidad horaria para bachillerato </v>
          </cell>
          <cell r="S14" t="str">
            <v>Aumentar las horas académicas para bachillerato para dar cumplimiento a la intensidad horaria conforme el decreto 1075 de 2015.</v>
          </cell>
          <cell r="T14" t="str">
            <v>Si</v>
          </cell>
          <cell r="U14" t="str">
            <v>Se realizará seguimiento una vez se reciba el plan de mejoramiento 05.06.2025. Revisión documental septiembre para verificar la implementación de las acciones del plan de mejoramiento</v>
          </cell>
        </row>
        <row r="15">
          <cell r="A15">
            <v>515</v>
          </cell>
          <cell r="B15">
            <v>1</v>
          </cell>
          <cell r="C15" t="str">
            <v>CIUDAD BOLÍVAR</v>
          </cell>
          <cell r="D15" t="str">
            <v>PRIVADO</v>
          </cell>
          <cell r="E15" t="str">
            <v>EPBM</v>
          </cell>
          <cell r="F15" t="str">
            <v>COLEGIO_COOPERATIVO_MONSEÑOR_ISMAEL_PERDOMO</v>
          </cell>
          <cell r="G15" t="str">
            <v>COLEGIO COOPERATIVO MONSEÑOR ISMAEL PERDOMO</v>
          </cell>
          <cell r="H15" t="str">
            <v>Autoevaluación Institucional y Pruebas SABER 11</v>
          </cell>
          <cell r="I15" t="str">
            <v>EVALUACIÓN_CON_FINES_DE_MEJORAMIENTO.</v>
          </cell>
          <cell r="J15" t="str">
            <v>Verificar el funcionamiento del Gobierno Escolar e instancias de participación con base en la información sobre conformación reportada por la institución educativa.</v>
          </cell>
          <cell r="K15" t="str">
            <v xml:space="preserve">CLAUDIA DOMÍNGUEZ TORRES </v>
          </cell>
          <cell r="L15" t="str">
            <v>ÓSCAR JAVIER CÁRDENAS MUÑOZ</v>
          </cell>
          <cell r="M15">
            <v>45744</v>
          </cell>
          <cell r="N15">
            <v>45785</v>
          </cell>
          <cell r="O15">
            <v>45785</v>
          </cell>
          <cell r="P15" t="str">
            <v>Visitas de evaluación con fines de mejoramiento</v>
          </cell>
          <cell r="Q15" t="str">
            <v>20250422ActaVisitaAdministrativaInsCoopIsmaelPerdomo.pdf</v>
          </cell>
          <cell r="R15" t="str">
            <v>Se evidencia la conformación de las instancias de  Gobierno Escolar para la presente vigencias, Asi como, su  funcionamiento mediante la verificación de actas de sesión.</v>
          </cell>
          <cell r="S15" t="str">
            <v xml:space="preserve">Se recomendó incluir en el Manual de Convivencia el reglamento de cada estamento de gobierno escolar e instancias de participacion con base  en el contexto normativo actual. </v>
          </cell>
          <cell r="T15" t="str">
            <v>Si</v>
          </cell>
          <cell r="U15" t="str">
            <v>Se realizará seguimiento una vez se reciba el plan de mejoramiento 05.06.2025. Revisión documental septiembre para verificar la implementación de las acciones del plan de mejoramiento</v>
          </cell>
        </row>
        <row r="16">
          <cell r="A16">
            <v>516</v>
          </cell>
          <cell r="B16">
            <v>1</v>
          </cell>
          <cell r="C16" t="str">
            <v>CIUDAD BOLÍVAR</v>
          </cell>
          <cell r="D16" t="str">
            <v>PRIVADO</v>
          </cell>
          <cell r="E16" t="str">
            <v>EPBM</v>
          </cell>
          <cell r="F16" t="str">
            <v>COLEGIO_COOPERATIVO_MONSEÑOR_ISMAEL_PERDOMO</v>
          </cell>
          <cell r="G16" t="str">
            <v>COLEGIO COOPERATIVO MONSEÑOR ISMAEL PERDOMO</v>
          </cell>
          <cell r="H16" t="str">
            <v>Autoevaluación Institucional y Pruebas SABER 11</v>
          </cell>
          <cell r="I16" t="str">
            <v>EVALUACIÓN_CON_FINES_DE_MEJORAMIENTO.</v>
          </cell>
          <cell r="J16" t="str">
            <v>Verificar las condiciones en cuanto a: la estructura administrativa, condiciones de la planta física y medios educativos adecuados.</v>
          </cell>
          <cell r="K16" t="str">
            <v xml:space="preserve">CLAUDIA DOMÍNGUEZ TORRES </v>
          </cell>
          <cell r="L16" t="str">
            <v>ÓSCAR JAVIER CÁRDENAS MUÑOZ</v>
          </cell>
          <cell r="M16">
            <v>45744</v>
          </cell>
          <cell r="N16">
            <v>45785</v>
          </cell>
          <cell r="O16">
            <v>45785</v>
          </cell>
          <cell r="P16" t="str">
            <v>Visitas de evaluación con fines de mejoramiento</v>
          </cell>
          <cell r="Q16" t="str">
            <v>20250422ActaVisitaAdministrativaInsCoopIsmaelPerdomo.pdf</v>
          </cell>
          <cell r="R16" t="str">
            <v>Se evidencian espacios de aprendizaje, administrativos , ludicos y educativos adecuados. No cuenta con rampas ni espacios adecuados para estudiantes con discapacidad. Los recursos son suficientes y se encuentran encondiciones para la prestación del servicio educativo.</v>
          </cell>
          <cell r="S16" t="str">
            <v>Iniciar la gestión para  la adecuación de las instalaciones para la atención de personas en condición de discapacidad.</v>
          </cell>
          <cell r="T16" t="str">
            <v>Si</v>
          </cell>
          <cell r="U16" t="str">
            <v>Se realizará seguimiento una vez se reciba el plan de mejoramiento 05.06.2025. Revisión documental septiembre para verificar la implementación de las acciones del plan de mejoramiento</v>
          </cell>
        </row>
        <row r="17">
          <cell r="A17">
            <v>517</v>
          </cell>
          <cell r="B17">
            <v>2</v>
          </cell>
          <cell r="C17" t="str">
            <v>CIUDAD BOLÍVAR</v>
          </cell>
          <cell r="D17" t="str">
            <v>PRIVADO</v>
          </cell>
          <cell r="E17" t="str">
            <v>EPBM</v>
          </cell>
          <cell r="F17" t="str">
            <v>NUEVO_COLEGIO_LUSADI_LTDA</v>
          </cell>
          <cell r="G17" t="str">
            <v>NUEVO COLEGIO LUSADI LTDA</v>
          </cell>
          <cell r="H17" t="str">
            <v>Autoevaluación Institucional y Pruebas SABER 11</v>
          </cell>
          <cell r="I17" t="str">
            <v>SEGUIMIENTO_Y_SUPERVISIÓN.</v>
          </cell>
          <cell r="J17" t="str">
            <v>Realizar visitas para verificar la información registrada sobre la autoevaluación institucional en el aplicativo EVI, a los establecimientos de educación formal no oficial.</v>
          </cell>
          <cell r="K17" t="str">
            <v>ÓSCAR JAVIER CÁRDENAS MUÑOZ</v>
          </cell>
          <cell r="L17" t="str">
            <v xml:space="preserve">CLAUDIA DOMÍNGUEZ TORRES </v>
          </cell>
          <cell r="M17">
            <v>45747</v>
          </cell>
          <cell r="N17">
            <v>45807</v>
          </cell>
          <cell r="O17">
            <v>45807</v>
          </cell>
          <cell r="P17" t="str">
            <v>Visitas de evaluación con fines de mejoramiento</v>
          </cell>
          <cell r="Q17" t="str">
            <v>NUEVO COLEGIO LUSADI</v>
          </cell>
          <cell r="R17" t="str">
            <v>La IE cumple con lo registrado en el EVI mostrando coherencia con la información reportada y lo identificado en la visita.</v>
          </cell>
          <cell r="S17" t="str">
            <v xml:space="preserve">Continuar con el fortalecimiento de la prestación del servicio educativo bajo principios de calidad. </v>
          </cell>
          <cell r="T17" t="str">
            <v>Si</v>
          </cell>
          <cell r="U17" t="str">
            <v>Verificar la autoevaluación 2025 con fines del proceso de tarifas 2026.</v>
          </cell>
        </row>
        <row r="18">
          <cell r="A18">
            <v>518</v>
          </cell>
          <cell r="B18">
            <v>2</v>
          </cell>
          <cell r="C18" t="str">
            <v>CIUDAD BOLÍVAR</v>
          </cell>
          <cell r="D18" t="str">
            <v>PRIVADO</v>
          </cell>
          <cell r="E18" t="str">
            <v>EPBM</v>
          </cell>
          <cell r="F18" t="str">
            <v>NUEVO_COLEGIO_LUSADI_LTDA</v>
          </cell>
          <cell r="G18" t="str">
            <v>NUEVO COLEGIO LUSADI LTDA</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ÓSCAR JAVIER CÁRDENAS MUÑOZ</v>
          </cell>
          <cell r="L18" t="str">
            <v xml:space="preserve">CLAUDIA DOMÍNGUEZ TORRES </v>
          </cell>
          <cell r="M18">
            <v>45747</v>
          </cell>
          <cell r="N18">
            <v>45807</v>
          </cell>
          <cell r="O18">
            <v>45807</v>
          </cell>
          <cell r="P18" t="str">
            <v>Visitas de evaluación con fines de mejoramiento</v>
          </cell>
          <cell r="Q18" t="str">
            <v>NUEVO COLEGIO LUSADI</v>
          </cell>
          <cell r="R18" t="str">
            <v>Cuentan con un análisis de los resultados en las pruebas saber 11° de los últimos 4 años. Se encuentran desarrollando diversas estrategias para mejorar los resultados.</v>
          </cell>
          <cell r="S18" t="str">
            <v>La IE debe continuar con la implementación de acciones tendientes a mejorar aun más los resultados en las pruebas Saber 11°</v>
          </cell>
          <cell r="T18" t="str">
            <v>No</v>
          </cell>
          <cell r="U18" t="str">
            <v>Se realizará revisión documental en el mes de octubre del 2025</v>
          </cell>
        </row>
        <row r="19">
          <cell r="A19">
            <v>519</v>
          </cell>
          <cell r="B19">
            <v>2</v>
          </cell>
          <cell r="C19" t="str">
            <v>CIUDAD BOLÍVAR</v>
          </cell>
          <cell r="D19" t="str">
            <v>PRIVADO</v>
          </cell>
          <cell r="E19" t="str">
            <v>EPBM</v>
          </cell>
          <cell r="F19" t="str">
            <v>NUEVO_COLEGIO_LUSADI_LTDA</v>
          </cell>
          <cell r="G19" t="str">
            <v>NUEVO COLEGIO LUSADI LTDA</v>
          </cell>
          <cell r="H19" t="str">
            <v>Autoevaluación Institucional y Pruebas SABER 11</v>
          </cell>
          <cell r="I19" t="str">
            <v>SEGUIMIENTO_Y_SUPERVISIÓN.</v>
          </cell>
          <cell r="J19" t="str">
            <v xml:space="preserve">Verificar la implementación por parte de los colegios, de acciones realizadas para la prevención y atención de las situaciones de convivencia en el entorno escolar, según lo establecido en la Directiva 01 de 2022 del MEN. </v>
          </cell>
          <cell r="K19" t="str">
            <v>ÓSCAR JAVIER CÁRDENAS MUÑOZ</v>
          </cell>
          <cell r="L19" t="str">
            <v xml:space="preserve">CLAUDIA DOMÍNGUEZ TORRES </v>
          </cell>
          <cell r="M19">
            <v>45747</v>
          </cell>
          <cell r="N19">
            <v>45807</v>
          </cell>
          <cell r="O19">
            <v>45807</v>
          </cell>
          <cell r="P19" t="str">
            <v>Visitas de evaluación con fines de mejoramiento</v>
          </cell>
          <cell r="Q19" t="str">
            <v>NUEVO COLEGIO LUSADI</v>
          </cell>
          <cell r="R19" t="str">
            <v>Se han activado las rutas de atención en casos necesarios y específicos, la IE cuenta con una buena convivencia y un seguimiento acorde para las diferentes situaciones. No obstante, se debe actualizar normativamente el MC</v>
          </cell>
          <cell r="S19" t="str">
            <v>Actualizar normativamente el Manual de Convivencia</v>
          </cell>
          <cell r="T19" t="str">
            <v>No</v>
          </cell>
          <cell r="U19" t="str">
            <v>Se realizará revisión documental en el mes de octubre del 2025</v>
          </cell>
        </row>
        <row r="20">
          <cell r="A20">
            <v>520</v>
          </cell>
          <cell r="B20">
            <v>2</v>
          </cell>
          <cell r="C20" t="str">
            <v>CIUDAD BOLÍVAR</v>
          </cell>
          <cell r="D20" t="str">
            <v>PRIVADO</v>
          </cell>
          <cell r="E20" t="str">
            <v>EPBM</v>
          </cell>
          <cell r="F20" t="str">
            <v>NUEVO_COLEGIO_LUSADI_LTDA</v>
          </cell>
          <cell r="G20" t="str">
            <v>NUEVO COLEGIO LUSADI LTDA</v>
          </cell>
          <cell r="H20" t="str">
            <v>Autoevaluación Institucional y Pruebas SABER 11</v>
          </cell>
          <cell r="I20" t="str">
            <v>SEGUIMIENTO_Y_SUPERVISIÓN.</v>
          </cell>
          <cell r="J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 t="str">
            <v>ÓSCAR JAVIER CÁRDENAS MUÑOZ</v>
          </cell>
          <cell r="L20" t="str">
            <v xml:space="preserve">CLAUDIA DOMÍNGUEZ TORRES </v>
          </cell>
          <cell r="M20">
            <v>45747</v>
          </cell>
          <cell r="N20">
            <v>45807</v>
          </cell>
          <cell r="O20">
            <v>45807</v>
          </cell>
          <cell r="P20" t="str">
            <v>Visitas de evaluación con fines de mejoramiento</v>
          </cell>
          <cell r="Q20" t="str">
            <v>NUEVO COLEGIO LUSADI</v>
          </cell>
          <cell r="R20" t="str">
            <v xml:space="preserve">Cuentan con 10 casos iniciales con alguna condición. Se brindan claridades sobre el manejo de los estudiantes con trastornos. </v>
          </cell>
          <cell r="S20" t="str">
            <v xml:space="preserve">Hacer un análisis más profundo sobre las condiciones de los estudiantes con base en el diagnóstico médico para el ajuste del PIAR y de la flexibilización curricular. </v>
          </cell>
          <cell r="T20" t="str">
            <v>Si</v>
          </cell>
          <cell r="U20" t="str">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ell>
        </row>
        <row r="21">
          <cell r="A21">
            <v>521</v>
          </cell>
          <cell r="B21">
            <v>2</v>
          </cell>
          <cell r="C21" t="str">
            <v>CIUDAD BOLÍVAR</v>
          </cell>
          <cell r="D21" t="str">
            <v>PRIVADO</v>
          </cell>
          <cell r="E21" t="str">
            <v>EPBM</v>
          </cell>
          <cell r="F21" t="str">
            <v>NUEVO_COLEGIO_LUSADI_LTDA</v>
          </cell>
          <cell r="G21" t="str">
            <v>NUEVO COLEGIO LUSADI LTDA</v>
          </cell>
          <cell r="H21" t="str">
            <v>Autoevaluación Institucional y Pruebas SABER 11</v>
          </cell>
          <cell r="I21" t="str">
            <v>EVALUACIÓN_CON_FINES_DE_MEJORAMIENTO.</v>
          </cell>
          <cell r="J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 t="str">
            <v>ÓSCAR JAVIER CÁRDENAS MUÑOZ</v>
          </cell>
          <cell r="L21" t="str">
            <v xml:space="preserve">CLAUDIA DOMÍNGUEZ TORRES </v>
          </cell>
          <cell r="M21">
            <v>45747</v>
          </cell>
          <cell r="N21">
            <v>45807</v>
          </cell>
          <cell r="O21">
            <v>45807</v>
          </cell>
          <cell r="P21" t="str">
            <v>Visitas de evaluación con fines de mejoramiento</v>
          </cell>
          <cell r="Q21" t="str">
            <v>NUEVO COLEGIO LUSADI</v>
          </cell>
          <cell r="R21" t="str">
            <v>Tienen un Manual de Convivencia, debidamente construido, socializado e implementado, este requiere actualización normativa para la siguiente vigencia.</v>
          </cell>
          <cell r="S21" t="str">
            <v>Realozar la actualizacion normativa del Manual de Convivencia</v>
          </cell>
          <cell r="T21" t="str">
            <v>Si</v>
          </cell>
          <cell r="U21" t="str">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ell>
        </row>
        <row r="22">
          <cell r="A22">
            <v>522</v>
          </cell>
          <cell r="B22">
            <v>2</v>
          </cell>
          <cell r="C22" t="str">
            <v>CIUDAD BOLÍVAR</v>
          </cell>
          <cell r="D22" t="str">
            <v>PRIVADO</v>
          </cell>
          <cell r="E22" t="str">
            <v>EPBM</v>
          </cell>
          <cell r="F22" t="str">
            <v>NUEVO_COLEGIO_LUSADI_LTDA</v>
          </cell>
          <cell r="G22" t="str">
            <v>NUEVO COLEGIO LUSADI LTDA</v>
          </cell>
          <cell r="H22" t="str">
            <v>Autoevaluación Institucional y Pruebas SABER 11</v>
          </cell>
          <cell r="I22" t="str">
            <v>EVALUACIÓN_CON_FINES_DE_MEJORAMIENTO.</v>
          </cell>
          <cell r="J22" t="str">
            <v>Revisar la actualización, socialización e implementación del Sistema Institucional de Evaluación de Estudiantes - SIEE, en articulación con la actualización del PEI y la normatividad vigente.</v>
          </cell>
          <cell r="K22" t="str">
            <v>ÓSCAR JAVIER CÁRDENAS MUÑOZ</v>
          </cell>
          <cell r="L22" t="str">
            <v xml:space="preserve">CLAUDIA DOMÍNGUEZ TORRES </v>
          </cell>
          <cell r="M22">
            <v>45747</v>
          </cell>
          <cell r="N22">
            <v>45807</v>
          </cell>
          <cell r="O22">
            <v>45807</v>
          </cell>
          <cell r="P22" t="str">
            <v>Visitas de evaluación con fines de mejoramiento</v>
          </cell>
          <cell r="Q22" t="str">
            <v>NUEVO COLEGIO LUSADI</v>
          </cell>
          <cell r="R22" t="str">
            <v xml:space="preserve">Tienen un SIEE debidamente construido, socializado e implementado, sin embargo debe actualizarse normativamente. </v>
          </cell>
          <cell r="S22" t="str">
            <v>Actualizar normativamente el SIEE</v>
          </cell>
          <cell r="T22" t="str">
            <v>Si</v>
          </cell>
          <cell r="U22" t="str">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ell>
        </row>
        <row r="23">
          <cell r="A23">
            <v>523</v>
          </cell>
          <cell r="B23">
            <v>2</v>
          </cell>
          <cell r="C23" t="str">
            <v>CIUDAD BOLÍVAR</v>
          </cell>
          <cell r="D23" t="str">
            <v>PRIVADO</v>
          </cell>
          <cell r="E23" t="str">
            <v>EPBM</v>
          </cell>
          <cell r="F23" t="str">
            <v>NUEVO_COLEGIO_LUSADI_LTDA</v>
          </cell>
          <cell r="G23" t="str">
            <v>NUEVO COLEGIO LUSADI LTDA</v>
          </cell>
          <cell r="H23" t="str">
            <v>Autoevaluación Institucional y Pruebas SABER 11</v>
          </cell>
          <cell r="I23" t="str">
            <v>EVALUACIÓN_CON_FINES_DE_MEJORAMIENTO.</v>
          </cell>
          <cell r="J23" t="str">
            <v>Revisar el calendario escolar, jornada escolar, la intensidad horaria mínima anual en cada nivel y las modificaciones que se realicen al mismo, de acuerdo con lo previsto en la normatividad vigente.</v>
          </cell>
          <cell r="K23" t="str">
            <v>ÓSCAR JAVIER CÁRDENAS MUÑOZ</v>
          </cell>
          <cell r="L23" t="str">
            <v xml:space="preserve">CLAUDIA DOMÍNGUEZ TORRES </v>
          </cell>
          <cell r="M23">
            <v>45747</v>
          </cell>
          <cell r="N23">
            <v>45807</v>
          </cell>
          <cell r="O23">
            <v>45807</v>
          </cell>
          <cell r="P23" t="str">
            <v>Visitas de evaluación con fines de mejoramiento</v>
          </cell>
          <cell r="Q23" t="str">
            <v>NUEVO COLEGIO LUSADI</v>
          </cell>
          <cell r="R23" t="str">
            <v>Cumplen con la cantidad de horas para cada nivel escolar.</v>
          </cell>
          <cell r="S23" t="str">
            <v>Continuar con la definición del calendario académico en el marco de la normatividad y garantizar su cumplimiento hasta finalizar el año escolar.</v>
          </cell>
          <cell r="T23" t="str">
            <v>No</v>
          </cell>
          <cell r="U23" t="str">
            <v>Se revisará el calendario para la vigencia 2026</v>
          </cell>
        </row>
        <row r="24">
          <cell r="A24">
            <v>524</v>
          </cell>
          <cell r="B24">
            <v>2</v>
          </cell>
          <cell r="C24" t="str">
            <v>CIUDAD BOLÍVAR</v>
          </cell>
          <cell r="D24" t="str">
            <v>PRIVADO</v>
          </cell>
          <cell r="E24" t="str">
            <v>EPBM</v>
          </cell>
          <cell r="F24" t="str">
            <v>NUEVO_COLEGIO_LUSADI_LTDA</v>
          </cell>
          <cell r="G24" t="str">
            <v>NUEVO COLEGIO LUSADI LTDA</v>
          </cell>
          <cell r="H24" t="str">
            <v>Autoevaluación Institucional y Pruebas SABER 11</v>
          </cell>
          <cell r="I24" t="str">
            <v>EVALUACIÓN_CON_FINES_DE_MEJORAMIENTO.</v>
          </cell>
          <cell r="J24" t="str">
            <v>Verificar el funcionamiento del Gobierno Escolar e instancias de participación con base en la información sobre conformación reportada por la institución educativa.</v>
          </cell>
          <cell r="K24" t="str">
            <v>ÓSCAR JAVIER CÁRDENAS MUÑOZ</v>
          </cell>
          <cell r="L24" t="str">
            <v xml:space="preserve">CLAUDIA DOMÍNGUEZ TORRES </v>
          </cell>
          <cell r="M24">
            <v>45747</v>
          </cell>
          <cell r="N24">
            <v>45807</v>
          </cell>
          <cell r="O24">
            <v>45807</v>
          </cell>
          <cell r="P24" t="str">
            <v>Visitas de evaluación con fines de mejoramiento</v>
          </cell>
          <cell r="Q24" t="str">
            <v>NUEVO COLEGIO LUSADI</v>
          </cell>
          <cell r="R24" t="str">
            <v>Cumplen con la conformación y debida participación de los diferentes estamentos del Gobierno Escolar. Se observo que el registro de las actas no se lleva de manera ordenada</v>
          </cell>
          <cell r="S24" t="str">
            <v>Desarrollar un proceso documental acorde frente al formato de registro de las actas.</v>
          </cell>
          <cell r="T24" t="str">
            <v>Si</v>
          </cell>
          <cell r="U24" t="str">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ell>
        </row>
        <row r="25">
          <cell r="A25">
            <v>525</v>
          </cell>
          <cell r="B25">
            <v>2</v>
          </cell>
          <cell r="C25" t="str">
            <v>CIUDAD BOLÍVAR</v>
          </cell>
          <cell r="D25" t="str">
            <v>PRIVADO</v>
          </cell>
          <cell r="E25" t="str">
            <v>EPBM</v>
          </cell>
          <cell r="F25" t="str">
            <v>NUEVO_COLEGIO_LUSADI_LTDA</v>
          </cell>
          <cell r="G25" t="str">
            <v>NUEVO COLEGIO LUSADI LTDA</v>
          </cell>
          <cell r="H25" t="str">
            <v>Autoevaluación Institucional y Pruebas SABER 11</v>
          </cell>
          <cell r="I25" t="str">
            <v>EVALUACIÓN_CON_FINES_DE_MEJORAMIENTO.</v>
          </cell>
          <cell r="J25" t="str">
            <v>Verificar las condiciones en cuanto a: la estructura administrativa, condiciones de la planta física y medios educativos adecuados.</v>
          </cell>
          <cell r="K25" t="str">
            <v>ÓSCAR JAVIER CÁRDENAS MUÑOZ</v>
          </cell>
          <cell r="L25" t="str">
            <v xml:space="preserve">CLAUDIA DOMÍNGUEZ TORRES </v>
          </cell>
          <cell r="M25">
            <v>45747</v>
          </cell>
          <cell r="N25">
            <v>45807</v>
          </cell>
          <cell r="O25">
            <v>45807</v>
          </cell>
          <cell r="P25" t="str">
            <v>Visitas de evaluación con fines de mejoramiento</v>
          </cell>
          <cell r="Q25" t="str">
            <v>NUEVO COLEGIO LUSADI</v>
          </cell>
          <cell r="R25" t="str">
            <v>Se encuentra una planta física acorde con grupos pequeños e instalaciones y mobiliarios adecuados para la prestación del servicio. No cuenta con acceso para personas en condición de discapacidad.</v>
          </cell>
          <cell r="S25" t="str">
            <v>Establecer acciones para adecuar las instalaciones de manera que permitan el acceso a personas con discapacidad.</v>
          </cell>
          <cell r="T25" t="str">
            <v>Si</v>
          </cell>
          <cell r="U25" t="str">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ell>
        </row>
        <row r="26">
          <cell r="A26">
            <v>526</v>
          </cell>
          <cell r="B26">
            <v>3</v>
          </cell>
          <cell r="C26" t="str">
            <v>CIUDAD BOLÍVAR</v>
          </cell>
          <cell r="D26" t="str">
            <v>PRIVADO</v>
          </cell>
          <cell r="E26" t="str">
            <v>Educación de Jóvenes y Adultos</v>
          </cell>
          <cell r="F26" t="str">
            <v>COLEGIO_NUEVO_MILENIO</v>
          </cell>
          <cell r="G26" t="str">
            <v>COLEGIO NUEVO MILENIO</v>
          </cell>
          <cell r="H26" t="str">
            <v>Autoevaluación Institucional y Pruebas SABER 11</v>
          </cell>
          <cell r="I26" t="str">
            <v>SEGUIMIENTO_Y_SUPERVISIÓN.</v>
          </cell>
          <cell r="J26" t="str">
            <v>Realizar visitas para verificar la información registrada sobre la autoevaluación institucional en el aplicativo EVI, a los establecimientos de educación formal no oficial.</v>
          </cell>
          <cell r="K26" t="str">
            <v xml:space="preserve">JUDITH SOLANO RAMÍREZ </v>
          </cell>
          <cell r="L26" t="str">
            <v xml:space="preserve">MARIA NANCY DUCUARA </v>
          </cell>
          <cell r="M26">
            <v>45776</v>
          </cell>
          <cell r="N26">
            <v>45754</v>
          </cell>
          <cell r="O26">
            <v>45772</v>
          </cell>
          <cell r="P26" t="str">
            <v>Visitas de evaluación con fines de mejoramiento</v>
          </cell>
          <cell r="Q26" t="str">
            <v>20250407_Visita administrativa Colegio Nuevo Milenio.pdf</v>
          </cell>
          <cell r="R26" t="str">
            <v>En la autoevaluación -EVI- reportan docentes titulados; sin embargo, verificadas las hojas de vida solamente la rectora tiene título profesional no licenciada, los demás docentes son tecnólogos. 
Aunque la institución indica que atiende a población de inclusión, se evidencia que su concepto se limita a la población afro, excluyendo a las personas con discapacidad.</v>
          </cell>
          <cell r="S26" t="str">
            <v>Garantizar la contratación de personal idoneo de acuerdo a la normatividad vigente. 
Reportar en el EVI estudiantes de inclusión de acuerdo con la matrícula.
Verificar la información reportada en la autoevaluación  EVI, para que esté de acuerdo a la realidad institucional</v>
          </cell>
          <cell r="T26" t="str">
            <v>Si</v>
          </cell>
          <cell r="U26" t="str">
            <v>.Revisar el plan de mejoramiento a entregar por la IE el 15/05/2025.
.Realizar seguimiento en septiembre de 2025 para verificar el cumplimiento de las acciones establecidas en el plan de mejoramiento.</v>
          </cell>
        </row>
        <row r="27">
          <cell r="A27">
            <v>527</v>
          </cell>
          <cell r="B27">
            <v>3</v>
          </cell>
          <cell r="C27" t="str">
            <v>CIUDAD BOLÍVAR</v>
          </cell>
          <cell r="D27" t="str">
            <v>PRIVADO</v>
          </cell>
          <cell r="E27" t="str">
            <v>Educación de Jóvenes y Adultos</v>
          </cell>
          <cell r="F27" t="str">
            <v>COLEGIO_NUEVO_MILENIO</v>
          </cell>
          <cell r="G27" t="str">
            <v>COLEGIO NUEVO MILENIO</v>
          </cell>
          <cell r="H27" t="str">
            <v>Autoevaluación Institucional y Pruebas SABER 11</v>
          </cell>
          <cell r="I27" t="str">
            <v>SEGUIMIENTO_Y_SUPERVISIÓN.</v>
          </cell>
          <cell r="J27" t="str">
            <v>Proponer estrategias en la formulación, verificar su elaboración y realizar seguimiento semestral al desarrollo de  las acciones establecidas en los planes de mejoramiento por pruebas SABER 11 de los establecimientos de educación formal.</v>
          </cell>
          <cell r="K27" t="str">
            <v xml:space="preserve">JUDITH SOLANO RAMÍREZ </v>
          </cell>
          <cell r="L27" t="str">
            <v xml:space="preserve">MARIA NANCY DUCUARA </v>
          </cell>
          <cell r="M27">
            <v>45776</v>
          </cell>
          <cell r="N27">
            <v>45754</v>
          </cell>
          <cell r="O27">
            <v>45772</v>
          </cell>
          <cell r="P27" t="str">
            <v>Visitas de evaluación con fines de mejoramiento</v>
          </cell>
          <cell r="Q27" t="str">
            <v>20250407_Visita administrativa Colegio Nuevo Milenio.pdf</v>
          </cell>
          <cell r="R27" t="str">
            <v>La IE no implementa acciones de mejora sobre los resultados de las pruebas SABER 11. Inscribe estudiantes de Ciclo V en SIMAT como estudiantes de Ciclo VI para poder inscribirlos en las pruebas  SABER de  agosto, sin haber cursado siquiera el 50% de plan de estudios.</v>
          </cell>
          <cell r="S27" t="str">
            <v xml:space="preserve">Establecer simulacros tipo ICFES y fortalecer lectura crítica. 
Implementar estrategias que mejoren los resultados de las pruebas SABER. </v>
          </cell>
          <cell r="T27" t="str">
            <v>Si</v>
          </cell>
          <cell r="U27" t="str">
            <v>.Revisar el plan de mejoramiento a entregar por la IE el 15/05/2025.
.Realizar seguimiento en septiembre de 2025 para verificar el cumplimiento de las acciones establecidas en el plan de mejoramiento.</v>
          </cell>
        </row>
        <row r="28">
          <cell r="A28">
            <v>528</v>
          </cell>
          <cell r="B28">
            <v>3</v>
          </cell>
          <cell r="C28" t="str">
            <v>CIUDAD BOLÍVAR</v>
          </cell>
          <cell r="D28" t="str">
            <v>PRIVADO</v>
          </cell>
          <cell r="E28" t="str">
            <v>Educación de Jóvenes y Adultos</v>
          </cell>
          <cell r="F28" t="str">
            <v>COLEGIO_NUEVO_MILENIO</v>
          </cell>
          <cell r="G28" t="str">
            <v>COLEGIO NUEVO MILENIO</v>
          </cell>
          <cell r="H28" t="str">
            <v>Autoevaluación Institucional y Pruebas SABER 11</v>
          </cell>
          <cell r="I28" t="str">
            <v>SEGUIMIENTO_Y_SUPERVISIÓN.</v>
          </cell>
          <cell r="J28" t="str">
            <v xml:space="preserve">Verificar la implementación por parte de los colegios, de acciones realizadas para la prevención y atención de las situaciones de convivencia en el entorno escolar, según lo establecido en la Directiva 01 de 2022 del MEN. </v>
          </cell>
          <cell r="K28" t="str">
            <v xml:space="preserve">JUDITH SOLANO RAMÍREZ </v>
          </cell>
          <cell r="L28" t="str">
            <v xml:space="preserve">MARIA NANCY DUCUARA </v>
          </cell>
          <cell r="M28">
            <v>45776</v>
          </cell>
          <cell r="N28">
            <v>45754</v>
          </cell>
          <cell r="O28">
            <v>45772</v>
          </cell>
          <cell r="P28" t="str">
            <v>Visitas de evaluación con fines de mejoramiento</v>
          </cell>
          <cell r="Q28" t="str">
            <v>20250407_Visita administrativa Colegio Nuevo Milenio.pdf</v>
          </cell>
          <cell r="R28" t="str">
            <v>La IE no realiza consulta de antecedentes de  inhabilidades por delitos sexuales del personal vinculado. No se evidencia la realizacion de  actividades de promoción y prevención de situaciones de violencia sexual.</v>
          </cell>
          <cell r="S28" t="str">
            <v>Realizar consulta sobre inhabilidades por delitos sexuales del personal vinculado con la periodicidad que establece la normatividad vigente. 
Articular con el Comité las actividades de promoción y prevención para la convivencia escolar.</v>
          </cell>
          <cell r="T28" t="str">
            <v>Si</v>
          </cell>
          <cell r="U28" t="str">
            <v>.Revisar el plan de mejoramiento a entregar por la IE el 15/05/2025.
.Realizar seguimiento en septiembre de 2025 para verificar el cumplimiento de las acciones establecidas en el plan de mejoramiento.</v>
          </cell>
        </row>
        <row r="29">
          <cell r="A29">
            <v>529</v>
          </cell>
          <cell r="B29">
            <v>3</v>
          </cell>
          <cell r="C29" t="str">
            <v>CIUDAD BOLÍVAR</v>
          </cell>
          <cell r="D29" t="str">
            <v>PRIVADO</v>
          </cell>
          <cell r="E29" t="str">
            <v>Educación de Jóvenes y Adultos</v>
          </cell>
          <cell r="F29" t="str">
            <v>COLEGIO_NUEVO_MILENIO</v>
          </cell>
          <cell r="G29" t="str">
            <v>COLEGIO NUEVO MILENIO</v>
          </cell>
          <cell r="H29" t="str">
            <v>Autoevaluación Institucional y Pruebas SABER 11</v>
          </cell>
          <cell r="I29" t="str">
            <v>SEGUIMIENTO_Y_SUPERVISIÓN.</v>
          </cell>
          <cell r="J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 t="str">
            <v xml:space="preserve">JUDITH SOLANO RAMÍREZ </v>
          </cell>
          <cell r="L29" t="str">
            <v xml:space="preserve">MARIA NANCY DUCUARA </v>
          </cell>
          <cell r="M29">
            <v>45776</v>
          </cell>
          <cell r="N29">
            <v>45754</v>
          </cell>
          <cell r="O29">
            <v>45772</v>
          </cell>
          <cell r="P29" t="str">
            <v>Visitas de evaluación con fines de mejoramiento</v>
          </cell>
          <cell r="Q29" t="str">
            <v>20250407_Visita administrativa Colegio Nuevo Milenio.pdf</v>
          </cell>
          <cell r="R29" t="str">
            <v>Indican que atienden población de inclusión que para ellos consideran solo población afro, pero no con discapacidad. No elaboran PIAR</v>
          </cell>
          <cell r="S29" t="str">
            <v>Modificar y adoptar el PEI, incluyendo lo relacionado con la Ley 1421 de 2017.
Elaborar PIAR para las personas con discapacidad.</v>
          </cell>
          <cell r="T29" t="str">
            <v>Si</v>
          </cell>
          <cell r="U29" t="str">
            <v>.Revisar el plan de mejoramiento a entregar por la IE el 15/05/2025.
.Realizar seguimiento en septiembre de 2025 para verificar el cumplimiento de las acciones establecidas en el plan de mejoramiento.</v>
          </cell>
        </row>
        <row r="30">
          <cell r="A30">
            <v>530</v>
          </cell>
          <cell r="B30">
            <v>3</v>
          </cell>
          <cell r="C30" t="str">
            <v>CIUDAD BOLÍVAR</v>
          </cell>
          <cell r="D30" t="str">
            <v>PRIVADO</v>
          </cell>
          <cell r="E30" t="str">
            <v>Educación de Jóvenes y Adultos</v>
          </cell>
          <cell r="F30" t="str">
            <v>COLEGIO_NUEVO_MILENIO</v>
          </cell>
          <cell r="G30" t="str">
            <v>COLEGIO NUEVO MILENIO</v>
          </cell>
          <cell r="H30" t="str">
            <v>Autoevaluación Institucional y Pruebas SABER 11</v>
          </cell>
          <cell r="I30" t="str">
            <v>EVALUACIÓN_CON_FINES_DE_MEJORAMIENTO.</v>
          </cell>
          <cell r="J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0" t="str">
            <v xml:space="preserve">JUDITH SOLANO RAMÍREZ </v>
          </cell>
          <cell r="L30" t="str">
            <v xml:space="preserve">MARIA NANCY DUCUARA </v>
          </cell>
          <cell r="M30">
            <v>45776</v>
          </cell>
          <cell r="N30">
            <v>45754</v>
          </cell>
          <cell r="O30">
            <v>45772</v>
          </cell>
          <cell r="P30" t="str">
            <v>Visitas de evaluación con fines de mejoramiento</v>
          </cell>
          <cell r="Q30" t="str">
            <v>20250407_Visita administrativa Colegio Nuevo Milenio.pdf</v>
          </cell>
          <cell r="R30" t="str">
            <v>El Manual de Convivencia que presentan es un marco teórico que no está desarrollado de acuerdo al contexto de la IE. No incluye la ruta de atención integral para la convivencia escolar, ni los protocolos versión 5.0. No incluye el debido proceso. No presentan el Plan Escolar de Convivencia.</v>
          </cell>
          <cell r="S30" t="str">
            <v>Realizar la revisión y actualización del manual de convivencia de acuerdo a la normatividad vigente y al documento de orientaciones de 2022.</v>
          </cell>
          <cell r="T30" t="str">
            <v>Si</v>
          </cell>
          <cell r="U30" t="str">
            <v>.Revisar el plan de mejoramiento a entregar por la IE el 15/05/2025.
.Realizar seguimiento en septiembre de 2025 para verificar el cumplimiento de las acciones establecidas en el plan de mejoramiento.</v>
          </cell>
        </row>
        <row r="31">
          <cell r="A31">
            <v>531</v>
          </cell>
          <cell r="B31">
            <v>3</v>
          </cell>
          <cell r="C31" t="str">
            <v>CIUDAD BOLÍVAR</v>
          </cell>
          <cell r="D31" t="str">
            <v>PRIVADO</v>
          </cell>
          <cell r="E31" t="str">
            <v>Educación de Jóvenes y Adultos</v>
          </cell>
          <cell r="F31" t="str">
            <v>COLEGIO_NUEVO_MILENIO</v>
          </cell>
          <cell r="G31" t="str">
            <v>COLEGIO NUEVO MILENIO</v>
          </cell>
          <cell r="H31" t="str">
            <v>Autoevaluación Institucional y Pruebas SABER 11</v>
          </cell>
          <cell r="I31" t="str">
            <v>EVALUACIÓN_CON_FINES_DE_MEJORAMIENTO.</v>
          </cell>
          <cell r="J31" t="str">
            <v>Revisar la actualización, socialización e implementación del Sistema Institucional de Evaluación de Estudiantes - SIEE, en articulación con la actualización del PEI y la normatividad vigente.</v>
          </cell>
          <cell r="K31" t="str">
            <v xml:space="preserve">JUDITH SOLANO RAMÍREZ </v>
          </cell>
          <cell r="L31" t="str">
            <v xml:space="preserve">MARIA NANCY DUCUARA </v>
          </cell>
          <cell r="M31">
            <v>45776</v>
          </cell>
          <cell r="N31">
            <v>45754</v>
          </cell>
          <cell r="O31">
            <v>45772</v>
          </cell>
          <cell r="P31" t="str">
            <v>Visitas de evaluación con fines de mejoramiento</v>
          </cell>
          <cell r="Q31" t="str">
            <v>20250407_Visita administrativa Colegio Nuevo Milenio.pdf</v>
          </cell>
          <cell r="R31" t="str">
            <v xml:space="preserve">El plan de estudios no está desarrollado, solamente enuncian los temas.
Los procedimientos de resolución de situaciones académicas no están sistematizados, los enuncian verbalmente.
No hay instrumentos de recolección de la información para el mejoramiento de los desempeños de los educandos durante el año escolar. </v>
          </cell>
          <cell r="S31" t="str">
            <v>Realizar revisión y actualización del SIEE de acuerdo con la normatividad vigente.
Realizar actualización del Plan de Estudios y malla curricular que incluya las áreas obligatorias y los proyectos transversales.</v>
          </cell>
          <cell r="T31" t="str">
            <v>Si</v>
          </cell>
          <cell r="U31" t="str">
            <v>.Revisar el plan de mejoramiento a entregar por la IE el 15/05/2025.
.Realizar seguimiento en septiembre de 2025 para verificar el cumplimiento de las acciones establecidas en el plan de mejoramiento.</v>
          </cell>
        </row>
        <row r="32">
          <cell r="A32">
            <v>532</v>
          </cell>
          <cell r="B32">
            <v>3</v>
          </cell>
          <cell r="C32" t="str">
            <v>CIUDAD BOLÍVAR</v>
          </cell>
          <cell r="D32" t="str">
            <v>PRIVADO</v>
          </cell>
          <cell r="E32" t="str">
            <v>Educación de Jóvenes y Adultos</v>
          </cell>
          <cell r="F32" t="str">
            <v>COLEGIO_NUEVO_MILENIO</v>
          </cell>
          <cell r="G32" t="str">
            <v>COLEGIO NUEVO MILENIO</v>
          </cell>
          <cell r="H32" t="str">
            <v>Autoevaluación Institucional y Pruebas SABER 11</v>
          </cell>
          <cell r="I32" t="str">
            <v>EVALUACIÓN_CON_FINES_DE_MEJORAMIENTO.</v>
          </cell>
          <cell r="J32" t="str">
            <v>Revisar el calendario escolar, jornada escolar, la intensidad horaria mínima anual en cada nivel y las modificaciones que se realicen al mismo, de acuerdo con lo previsto en la normatividad vigente.</v>
          </cell>
          <cell r="K32" t="str">
            <v xml:space="preserve">JUDITH SOLANO RAMÍREZ </v>
          </cell>
          <cell r="L32" t="str">
            <v xml:space="preserve">MARIA NANCY DUCUARA </v>
          </cell>
          <cell r="M32">
            <v>45776</v>
          </cell>
          <cell r="N32">
            <v>45754</v>
          </cell>
          <cell r="O32">
            <v>45772</v>
          </cell>
          <cell r="P32" t="str">
            <v>Visitas de evaluación con fines de mejoramiento</v>
          </cell>
          <cell r="Q32" t="str">
            <v>20250407_Visita administrativa Colegio Nuevo Milenio.pdf</v>
          </cell>
          <cell r="R32" t="str">
            <v>La IE no presenta información coherente que permita evidenciar el cumplimiento de semanas, jornada e intensidad horaria para cada ciclo.</v>
          </cell>
          <cell r="S32" t="str">
            <v>Realizar actualización del plan de estudios y malla curricular que incluya las áreas obligatorias y los proyectos transversales, de manera que se evidencie el cumplimiento de semanas, jornada e intensidad horaria para cada ciclo.</v>
          </cell>
          <cell r="T32" t="str">
            <v>Si</v>
          </cell>
          <cell r="U32" t="str">
            <v>.Revisar el plan de mejoramiento a entregar por la IE el 15/05/2025.
.Realizar seguimiento en septiembre de 2025 para verificar el cumplimiento de las acciones establecidas en el plan de mejoramiento.</v>
          </cell>
        </row>
        <row r="33">
          <cell r="A33">
            <v>533</v>
          </cell>
          <cell r="B33">
            <v>3</v>
          </cell>
          <cell r="C33" t="str">
            <v>CIUDAD BOLÍVAR</v>
          </cell>
          <cell r="D33" t="str">
            <v>PRIVADO</v>
          </cell>
          <cell r="E33" t="str">
            <v>Educación de Jóvenes y Adultos</v>
          </cell>
          <cell r="F33" t="str">
            <v>COLEGIO_NUEVO_MILENIO</v>
          </cell>
          <cell r="G33" t="str">
            <v>COLEGIO NUEVO MILENIO</v>
          </cell>
          <cell r="H33" t="str">
            <v>Autoevaluación Institucional y Pruebas SABER 11</v>
          </cell>
          <cell r="I33" t="str">
            <v>EVALUACIÓN_CON_FINES_DE_MEJORAMIENTO.</v>
          </cell>
          <cell r="J33" t="str">
            <v>Verificar el funcionamiento del Gobierno Escolar e instancias de participación con base en la información sobre conformación reportada por la institución educativa.</v>
          </cell>
          <cell r="K33" t="str">
            <v xml:space="preserve">JUDITH SOLANO RAMÍREZ </v>
          </cell>
          <cell r="L33" t="str">
            <v xml:space="preserve">MARIA NANCY DUCUARA </v>
          </cell>
          <cell r="M33">
            <v>45776</v>
          </cell>
          <cell r="N33">
            <v>45754</v>
          </cell>
          <cell r="O33">
            <v>45772</v>
          </cell>
          <cell r="P33" t="str">
            <v>Visitas de evaluación con fines de mejoramiento</v>
          </cell>
          <cell r="Q33" t="str">
            <v>20250407_Visita administrativa Colegio Nuevo Milenio.pdf</v>
          </cell>
          <cell r="R33" t="str">
            <v>La IE presenta sus actas de conformación del gobierno escolar y demás instancias de participación. Sin embargo,  por la estructura administrativa, no es viable su operatividad.</v>
          </cell>
          <cell r="S33" t="str">
            <v>Conformar y dar funcionalidad a los órganos del gobierno escolar y las instancias de participación y documentar en actas las decisiones de dichas instancias.</v>
          </cell>
          <cell r="T33" t="str">
            <v>Si</v>
          </cell>
          <cell r="U33" t="str">
            <v>.Revisar el plan de mejoramiento a entregar por la IE el 15/05/2025.
.Realizar seguimiento en septiembre de 2025 para verificar el cumplimiento de las acciones establecidas en el plan de mejoramiento.</v>
          </cell>
        </row>
        <row r="34">
          <cell r="A34">
            <v>534</v>
          </cell>
          <cell r="B34">
            <v>3</v>
          </cell>
          <cell r="C34" t="str">
            <v>CIUDAD BOLÍVAR</v>
          </cell>
          <cell r="D34" t="str">
            <v>PRIVADO</v>
          </cell>
          <cell r="E34" t="str">
            <v>Educación de Jóvenes y Adultos</v>
          </cell>
          <cell r="F34" t="str">
            <v>COLEGIO_NUEVO_MILENIO</v>
          </cell>
          <cell r="G34" t="str">
            <v>COLEGIO NUEVO MILENIO</v>
          </cell>
          <cell r="H34" t="str">
            <v>Autoevaluación Institucional y Pruebas SABER 11</v>
          </cell>
          <cell r="I34" t="str">
            <v>EVALUACIÓN_CON_FINES_DE_MEJORAMIENTO.</v>
          </cell>
          <cell r="J34" t="str">
            <v>Verificar las condiciones en cuanto a: la estructura administrativa, condiciones de la planta física y medios educativos adecuados.</v>
          </cell>
          <cell r="K34" t="str">
            <v xml:space="preserve">JUDITH SOLANO RAMÍREZ </v>
          </cell>
          <cell r="L34" t="str">
            <v xml:space="preserve">MARIA NANCY DUCUARA </v>
          </cell>
          <cell r="M34">
            <v>45776</v>
          </cell>
          <cell r="N34">
            <v>45754</v>
          </cell>
          <cell r="O34">
            <v>45772</v>
          </cell>
          <cell r="P34" t="str">
            <v>Visitas de evaluación con fines de mejoramiento</v>
          </cell>
          <cell r="Q34" t="str">
            <v>20250407_Visita administrativa Colegio Nuevo Milenio.pdf</v>
          </cell>
          <cell r="R34" t="str">
            <v>La institución educativa cambió de propietario pero no se realizó la modificación en la licencia de funcionamiento. 
La IE no tiene definida la estructura organizativa, no posee manual de funciones ni reglamento de trabajo.
 Los espacios no están adaptados para atender personas con discapacidad. No cuenta con espacios lúdicos, recreativos y culturales. No tiene convenios de espacios compartidos.</v>
          </cell>
          <cell r="S34" t="str">
            <v>Tramitar la modificación de la licencia de funcionamiento por cambio de propietario de persona natural a persona juridica.
Definir la estructura organizativa, elaborar el manual de funciones y el reglamento de Trabajo.
Tramitar el convenio de ambientes compartidos.</v>
          </cell>
          <cell r="T34" t="str">
            <v>Si</v>
          </cell>
          <cell r="U34" t="str">
            <v>.Revisar el plan de mejoramiento a entregar por la IE el 15/05/2025.
.Realizar seguimiento en septiembre de 2025 para verificar el cumplimiento de las acciones establecidas en el plan de mejoramiento.</v>
          </cell>
        </row>
        <row r="35">
          <cell r="A35">
            <v>535</v>
          </cell>
          <cell r="B35">
            <v>4</v>
          </cell>
          <cell r="C35" t="str">
            <v>CIUDAD BOLÍVAR</v>
          </cell>
          <cell r="D35" t="str">
            <v>PRIVADO</v>
          </cell>
          <cell r="E35" t="str">
            <v>EPBM</v>
          </cell>
          <cell r="F35" t="str">
            <v>INSTITUTO_SAN_FRANCISCO</v>
          </cell>
          <cell r="G35" t="str">
            <v>INSTITUTO SAN FRANCISCO</v>
          </cell>
          <cell r="H35" t="str">
            <v>Autoevaluación Institucional y Pruebas SABER 11</v>
          </cell>
          <cell r="I35" t="str">
            <v>SEGUIMIENTO_Y_SUPERVISIÓN.</v>
          </cell>
          <cell r="J35" t="str">
            <v>Realizar visitas para verificar la información registrada sobre la autoevaluación institucional en el aplicativo EVI, a los establecimientos de educación formal no oficial.</v>
          </cell>
          <cell r="K35" t="str">
            <v xml:space="preserve">MARIA NANCY DUCUARA </v>
          </cell>
          <cell r="L35" t="str">
            <v xml:space="preserve">JUDITH SOLANO RAMÍREZ </v>
          </cell>
          <cell r="M35">
            <v>45777</v>
          </cell>
          <cell r="N35">
            <v>45755</v>
          </cell>
          <cell r="O35">
            <v>45786</v>
          </cell>
          <cell r="P35" t="str">
            <v>Visitas de evaluación con fines de mejoramiento</v>
          </cell>
          <cell r="Q35" t="str">
            <v>20250408_ActaVisitaAdministrativaInstSanFrancisco.pdf</v>
          </cell>
          <cell r="R35" t="str">
            <v>En EVI relacionan docentes titulados, sin embargo, verificadas las hojas de vida se encuentra que once (11) docentes se encuentran contratados sin ser licenciados.</v>
          </cell>
          <cell r="S35" t="str">
            <v>Garantizar la contratación de personal idoneo de acuerdo a la normatividad existente.
Verificar la información reportada en el aplicativo EVI, para que esté de acuerdo a la realidad institucional.</v>
          </cell>
          <cell r="T35" t="str">
            <v>Si</v>
          </cell>
          <cell r="U35" t="str">
            <v>Realizar revisión documental en septiembre de 2025 para verificar el cumplimiento de las acciones propuestas en el plan de mejoramiento.</v>
          </cell>
        </row>
        <row r="36">
          <cell r="A36">
            <v>536</v>
          </cell>
          <cell r="B36">
            <v>4</v>
          </cell>
          <cell r="C36" t="str">
            <v>CIUDAD BOLÍVAR</v>
          </cell>
          <cell r="D36" t="str">
            <v>PRIVADO</v>
          </cell>
          <cell r="E36" t="str">
            <v>EPBM</v>
          </cell>
          <cell r="F36" t="str">
            <v>INSTITUTO_SAN_FRANCISCO</v>
          </cell>
          <cell r="G36" t="str">
            <v>INSTITUTO SAN FRANCISCO</v>
          </cell>
          <cell r="H36" t="str">
            <v>Autoevaluación Institucional y Pruebas SABER 11</v>
          </cell>
          <cell r="I36" t="str">
            <v>SEGUIMIENTO_Y_SUPERVISIÓN.</v>
          </cell>
          <cell r="J36" t="str">
            <v>Proponer estrategias en la formulación, verificar su elaboración y realizar seguimiento semestral al desarrollo de  las acciones establecidas en los planes de mejoramiento por pruebas SABER 11 de los establecimientos de educación formal.</v>
          </cell>
          <cell r="K36" t="str">
            <v xml:space="preserve">MARIA NANCY DUCUARA </v>
          </cell>
          <cell r="L36" t="str">
            <v xml:space="preserve">JUDITH SOLANO RAMÍREZ </v>
          </cell>
          <cell r="M36">
            <v>45777</v>
          </cell>
          <cell r="N36">
            <v>45755</v>
          </cell>
          <cell r="O36">
            <v>45786</v>
          </cell>
          <cell r="P36" t="str">
            <v>Visitas de evaluación con fines de mejoramiento</v>
          </cell>
          <cell r="Q36" t="str">
            <v>20250408_ActaVisitaAdministrativaInstSanFrancisco.pdf</v>
          </cell>
          <cell r="R36" t="str">
            <v>La IE realiza diagnóstico de los resultados de las pruebas saber a través de una  empresa. Además, hace seguimiento e intervención en los déficit encontrados mediante la aplicación de pruebas Gamma.</v>
          </cell>
          <cell r="S36" t="str">
            <v>Continuar con la implementación de las acciones para el mejoramiento de los resultados de las pruebas saber 11°</v>
          </cell>
          <cell r="T36" t="str">
            <v>No</v>
          </cell>
          <cell r="U36" t="str">
            <v>Realizar revisión de los resultados de pruebas Saber11 2025</v>
          </cell>
        </row>
        <row r="37">
          <cell r="A37">
            <v>537</v>
          </cell>
          <cell r="B37">
            <v>4</v>
          </cell>
          <cell r="C37" t="str">
            <v>CIUDAD BOLÍVAR</v>
          </cell>
          <cell r="D37" t="str">
            <v>PRIVADO</v>
          </cell>
          <cell r="E37" t="str">
            <v>EPBM</v>
          </cell>
          <cell r="F37" t="str">
            <v>INSTITUTO_SAN_FRANCISCO</v>
          </cell>
          <cell r="G37" t="str">
            <v>INSTITUTO SAN FRANCISCO</v>
          </cell>
          <cell r="H37" t="str">
            <v>Autoevaluación Institucional y Pruebas SABER 11</v>
          </cell>
          <cell r="I37" t="str">
            <v>SEGUIMIENTO_Y_SUPERVISIÓN.</v>
          </cell>
          <cell r="J37" t="str">
            <v xml:space="preserve">Verificar la implementación por parte de los colegios, de acciones realizadas para la prevención y atención de las situaciones de convivencia en el entorno escolar, según lo establecido en la Directiva 01 de 2022 del MEN. </v>
          </cell>
          <cell r="K37" t="str">
            <v xml:space="preserve">MARIA NANCY DUCUARA </v>
          </cell>
          <cell r="L37" t="str">
            <v xml:space="preserve">JUDITH SOLANO RAMÍREZ </v>
          </cell>
          <cell r="M37">
            <v>45777</v>
          </cell>
          <cell r="N37">
            <v>45755</v>
          </cell>
          <cell r="O37">
            <v>45786</v>
          </cell>
          <cell r="P37" t="str">
            <v>Visitas de evaluación con fines de mejoramiento</v>
          </cell>
          <cell r="Q37" t="str">
            <v>20250408_ActaVisitaAdministrativaInstSanFrancisco.pdf</v>
          </cell>
          <cell r="R37" t="str">
            <v>Posee un Manual de Convivencia actualizado, con documentación al día de los procesos y procedimientos de acuerdo al debido proceso convivencial y las rutas de atención. Sin embargo, presenta falencias en la formulación del plan de acción de convivencia escolar. Así mismo, en el procedimiento para la presentación de reclamaciones de los estudiantes frente a su proceso académico. Se evidencio la reciente  consulta de antecedentes de inhabilidades por delitos sexuales. Se precisa sobre la periodicidad de la consulta</v>
          </cell>
          <cell r="S37" t="str">
            <v>Realizar el Plan de Acción con acciones de prevención y promoción de la convivencia escolar de acuerdo al diagnóstico de las situaciones más recurrentes del año inmediatamente anterior. 
Elaboración del procedimiento para la presentación de las reclamaciones de los estudiantes frente a su proceso académico, enmarcado en el debido proceso. Realizar consulta de  antecedentes de inhabilidades por delitos sexuales cada cuatro meses</v>
          </cell>
          <cell r="T37" t="str">
            <v>Si</v>
          </cell>
          <cell r="U37" t="str">
            <v>Realizar revisión documental en septiembre de 2025 para verificar el cumplimiento de las acciones propuestas en el plan de mejoramiento.</v>
          </cell>
        </row>
        <row r="38">
          <cell r="A38">
            <v>538</v>
          </cell>
          <cell r="B38">
            <v>4</v>
          </cell>
          <cell r="C38" t="str">
            <v>CIUDAD BOLÍVAR</v>
          </cell>
          <cell r="D38" t="str">
            <v>PRIVADO</v>
          </cell>
          <cell r="E38" t="str">
            <v>EPBM</v>
          </cell>
          <cell r="F38" t="str">
            <v>INSTITUTO_SAN_FRANCISCO</v>
          </cell>
          <cell r="G38" t="str">
            <v>INSTITUTO SAN FRANCISCO</v>
          </cell>
          <cell r="H38" t="str">
            <v>Autoevaluación Institucional y Pruebas SABER 11</v>
          </cell>
          <cell r="I38" t="str">
            <v>SEGUIMIENTO_Y_SUPERVISIÓN.</v>
          </cell>
          <cell r="J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8" t="str">
            <v xml:space="preserve">MARIA NANCY DUCUARA </v>
          </cell>
          <cell r="L38" t="str">
            <v xml:space="preserve">JUDITH SOLANO RAMÍREZ </v>
          </cell>
          <cell r="M38">
            <v>45777</v>
          </cell>
          <cell r="N38">
            <v>45755</v>
          </cell>
          <cell r="O38">
            <v>45786</v>
          </cell>
          <cell r="P38" t="str">
            <v>Visitas de evaluación con fines de mejoramiento</v>
          </cell>
          <cell r="Q38" t="str">
            <v>20250408_ActaVisitaAdministrativaInstSanFrancisco.pdf</v>
          </cell>
          <cell r="R38" t="str">
            <v>Cuenta con Planes Individuales de Ajustes Razonables - PIAR. Los cuales son actualizados de acuerdo a las necesidades de los estudiantes.</v>
          </cell>
          <cell r="S38" t="str">
            <v>Continuar con la elaboración, actualziación e implementación de los PIAR,  de acuerdo a las necesidades identificadas en los estudiantes.</v>
          </cell>
          <cell r="T38" t="str">
            <v>No</v>
          </cell>
          <cell r="U38" t="str">
            <v>Realizar revisión documental en septiembre de 2025 para verificar el cumplimiento de las acciones propuestas en el plan de mejoramiento.</v>
          </cell>
        </row>
        <row r="39">
          <cell r="A39">
            <v>539</v>
          </cell>
          <cell r="B39">
            <v>4</v>
          </cell>
          <cell r="C39" t="str">
            <v>CIUDAD BOLÍVAR</v>
          </cell>
          <cell r="D39" t="str">
            <v>PRIVADO</v>
          </cell>
          <cell r="E39" t="str">
            <v>EPBM</v>
          </cell>
          <cell r="F39" t="str">
            <v>INSTITUTO_SAN_FRANCISCO</v>
          </cell>
          <cell r="G39" t="str">
            <v>INSTITUTO SAN FRANCISCO</v>
          </cell>
          <cell r="H39" t="str">
            <v>Autoevaluación Institucional y Pruebas SABER 11</v>
          </cell>
          <cell r="I39" t="str">
            <v>EVALUACIÓN_CON_FINES_DE_MEJORAMIENTO.</v>
          </cell>
          <cell r="J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9" t="str">
            <v xml:space="preserve">MARIA NANCY DUCUARA </v>
          </cell>
          <cell r="L39" t="str">
            <v xml:space="preserve">JUDITH SOLANO RAMÍREZ </v>
          </cell>
          <cell r="M39">
            <v>45777</v>
          </cell>
          <cell r="N39">
            <v>45755</v>
          </cell>
          <cell r="O39">
            <v>45786</v>
          </cell>
          <cell r="P39" t="str">
            <v>Visitas de evaluación con fines de mejoramiento</v>
          </cell>
          <cell r="Q39" t="str">
            <v>20250408_ActaVisitaAdministrativaInstSanFrancisco.pdf</v>
          </cell>
          <cell r="R39" t="str">
            <v xml:space="preserve">Cuenta con un Manual de Convivencia actualizado y debidamente socializado con la comunidad educativa. Así mismo evidencian su implementación. Se recomienda que se fortalezca el  plan de acción con acciones de prevención y promoción. </v>
          </cell>
          <cell r="S39" t="str">
            <v>Elaborar el Plan de Acción con acciones de prevención y promoción con su respectivo cronograma teniendo en cuenta el diagnóstico realizado de las situaciones de convivencia de mayor recurrencia del año inmediatamente anterior.</v>
          </cell>
          <cell r="T39" t="str">
            <v>Si</v>
          </cell>
          <cell r="U39" t="str">
            <v>Realizar revisión documental en septiembre de 2025 para verificar el cumplimiento de las acciones propuestas en el plan de mejoramiento.</v>
          </cell>
        </row>
        <row r="40">
          <cell r="A40">
            <v>540</v>
          </cell>
          <cell r="B40">
            <v>4</v>
          </cell>
          <cell r="C40" t="str">
            <v>CIUDAD BOLÍVAR</v>
          </cell>
          <cell r="D40" t="str">
            <v>PRIVADO</v>
          </cell>
          <cell r="E40" t="str">
            <v>EPBM</v>
          </cell>
          <cell r="F40" t="str">
            <v>INSTITUTO_SAN_FRANCISCO</v>
          </cell>
          <cell r="G40" t="str">
            <v>INSTITUTO SAN FRANCISCO</v>
          </cell>
          <cell r="H40" t="str">
            <v>Autoevaluación Institucional y Pruebas SABER 11</v>
          </cell>
          <cell r="I40" t="str">
            <v>EVALUACIÓN_CON_FINES_DE_MEJORAMIENTO.</v>
          </cell>
          <cell r="J40" t="str">
            <v>Revisar la actualización, socialización e implementación del Sistema Institucional de Evaluación de Estudiantes - SIEE, en articulación con la actualización del PEI y la normatividad vigente.</v>
          </cell>
          <cell r="K40" t="str">
            <v xml:space="preserve">MARIA NANCY DUCUARA </v>
          </cell>
          <cell r="L40" t="str">
            <v xml:space="preserve">JUDITH SOLANO RAMÍREZ </v>
          </cell>
          <cell r="M40">
            <v>45777</v>
          </cell>
          <cell r="N40">
            <v>45755</v>
          </cell>
          <cell r="O40">
            <v>45786</v>
          </cell>
          <cell r="P40" t="str">
            <v>Visitas de evaluación con fines de mejoramiento</v>
          </cell>
          <cell r="Q40" t="str">
            <v>20250408_ActaVisitaAdministrativaInstSanFrancisco.pdf</v>
          </cell>
          <cell r="R40" t="str">
            <v xml:space="preserve">La IE tiene un Sistema institucional de evaluación de los estudiantes- SIEE actualizado. Sin embargo, no hay procedimiento para presentar las reclamaciones por parte de los estudiantes frente a su proceso académico. </v>
          </cell>
          <cell r="S40" t="str">
            <v>Elaborar procedimiento para la presentación de las reclamaciones frente al proceso académico, enmarcado en el debido proceso.</v>
          </cell>
          <cell r="T40" t="str">
            <v>Si</v>
          </cell>
          <cell r="U40" t="str">
            <v>Realizar revisión documental en septiembre de 2025 para verificar el cumplimiento de las acciones propuestas en el plan de mejoramiento.</v>
          </cell>
        </row>
        <row r="41">
          <cell r="A41">
            <v>541</v>
          </cell>
          <cell r="B41">
            <v>4</v>
          </cell>
          <cell r="C41" t="str">
            <v>CIUDAD BOLÍVAR</v>
          </cell>
          <cell r="D41" t="str">
            <v>PRIVADO</v>
          </cell>
          <cell r="E41" t="str">
            <v>EPBM</v>
          </cell>
          <cell r="F41" t="str">
            <v>INSTITUTO_SAN_FRANCISCO</v>
          </cell>
          <cell r="G41" t="str">
            <v>INSTITUTO SAN FRANCISCO</v>
          </cell>
          <cell r="H41" t="str">
            <v>Autoevaluación Institucional y Pruebas SABER 11</v>
          </cell>
          <cell r="I41" t="str">
            <v>EVALUACIÓN_CON_FINES_DE_MEJORAMIENTO.</v>
          </cell>
          <cell r="J41" t="str">
            <v>Revisar el calendario escolar, jornada escolar, la intensidad horaria mínima anual en cada nivel y las modificaciones que se realicen al mismo, de acuerdo con lo previsto en la normatividad vigente.</v>
          </cell>
          <cell r="K41" t="str">
            <v xml:space="preserve">MARIA NANCY DUCUARA </v>
          </cell>
          <cell r="L41" t="str">
            <v xml:space="preserve">JUDITH SOLANO RAMÍREZ </v>
          </cell>
          <cell r="M41">
            <v>45777</v>
          </cell>
          <cell r="N41">
            <v>45755</v>
          </cell>
          <cell r="O41">
            <v>45786</v>
          </cell>
          <cell r="P41" t="str">
            <v>Visitas de evaluación con fines de mejoramiento</v>
          </cell>
          <cell r="Q41" t="str">
            <v>20250408_ActaVisitaAdministrativaInstSanFrancisco.pdf</v>
          </cell>
          <cell r="R41" t="str">
            <v>El calendario escolar, jornada escolar y la intensidad horaria mínima anual en cada nivel se encuentra acorde con la normatividad vigente.</v>
          </cell>
          <cell r="S41" t="str">
            <v>Continuar con la definición del calendario académico en el marco de la normatividad y garantizar su cumplimiento hasta finalizar el año escolar.</v>
          </cell>
          <cell r="T41" t="str">
            <v>No</v>
          </cell>
          <cell r="U41" t="str">
            <v>Realizar la revisión del calendario académico para la vigencia 2026</v>
          </cell>
        </row>
        <row r="42">
          <cell r="A42">
            <v>542</v>
          </cell>
          <cell r="B42">
            <v>4</v>
          </cell>
          <cell r="C42" t="str">
            <v>CIUDAD BOLÍVAR</v>
          </cell>
          <cell r="D42" t="str">
            <v>PRIVADO</v>
          </cell>
          <cell r="E42" t="str">
            <v>EPBM</v>
          </cell>
          <cell r="F42" t="str">
            <v>INSTITUTO_SAN_FRANCISCO</v>
          </cell>
          <cell r="G42" t="str">
            <v>INSTITUTO SAN FRANCISCO</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 xml:space="preserve">MARIA NANCY DUCUARA </v>
          </cell>
          <cell r="L42" t="str">
            <v xml:space="preserve">JUDITH SOLANO RAMÍREZ </v>
          </cell>
          <cell r="M42">
            <v>45777</v>
          </cell>
          <cell r="N42">
            <v>45755</v>
          </cell>
          <cell r="O42">
            <v>45786</v>
          </cell>
          <cell r="P42" t="str">
            <v>Visitas de evaluación con fines de mejoramiento</v>
          </cell>
          <cell r="Q42" t="str">
            <v>20250408_ActaVisitaAdministrativaInstSanFrancisco.pdf</v>
          </cell>
          <cell r="R42" t="str">
            <v>La conformación y funcionamiento del Gobierno Escolar e instancias de participación se encuentran acorde con la normatividad vigente.</v>
          </cell>
          <cell r="S42" t="str">
            <v>Continuar realizando las sesiones de gobiernos y organos de participación con la periodicidad  establecida en el reglamento interno.</v>
          </cell>
          <cell r="T42" t="str">
            <v>No</v>
          </cell>
          <cell r="U42" t="str">
            <v>Revisar la conformación del gobierno escolar para la viegencia 2026 y hacer seguimiento a su funcionamiento en caso de requerirse</v>
          </cell>
        </row>
        <row r="43">
          <cell r="A43">
            <v>543</v>
          </cell>
          <cell r="B43">
            <v>4</v>
          </cell>
          <cell r="C43" t="str">
            <v>CIUDAD BOLÍVAR</v>
          </cell>
          <cell r="D43" t="str">
            <v>PRIVADO</v>
          </cell>
          <cell r="E43" t="str">
            <v>EPBM</v>
          </cell>
          <cell r="F43" t="str">
            <v>INSTITUTO_SAN_FRANCISCO</v>
          </cell>
          <cell r="G43" t="str">
            <v>INSTITUTO SAN FRANCISCO</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 xml:space="preserve">MARIA NANCY DUCUARA </v>
          </cell>
          <cell r="L43" t="str">
            <v xml:space="preserve">JUDITH SOLANO RAMÍREZ </v>
          </cell>
          <cell r="M43">
            <v>45777</v>
          </cell>
          <cell r="N43">
            <v>45755</v>
          </cell>
          <cell r="O43">
            <v>45786</v>
          </cell>
          <cell r="P43" t="str">
            <v>Visitas de evaluación con fines de mejoramiento</v>
          </cell>
          <cell r="Q43" t="str">
            <v>20250408_ActaVisitaAdministrativaInstSanFrancisco.pdf</v>
          </cell>
          <cell r="R43" t="str">
            <v xml:space="preserve">La infraestructura se encuentra acorde con el servicio que prestan, no obstante se encuentra algunas dificultades que deben corregirse,  ya que representan riesgo, entre ellos: baño compartido entre docentes y estudiantes. No hay acceso para las personas con discapacidad; dificultades en el manejo de bienes de baja y la higienización de espacios,  vidrios de las ventanas no tienen película protectora, el cielo razo en el laboratorio que debe verificarse su flamabilidad; extintores con dificil acceso. </v>
          </cell>
          <cell r="S43" t="str">
            <v>Implementar acciones para realizar adecuaciones de manera progresiva en la planta física que permitan subsanar las observaciones presentadas.</v>
          </cell>
          <cell r="T43" t="str">
            <v>Si</v>
          </cell>
          <cell r="U43" t="str">
            <v>Realizar revisión documental en septiembre de 2025 para verificar el cumplimiento de las acciones propuestas en el plan de mejoramiento.</v>
          </cell>
        </row>
        <row r="44">
          <cell r="A44">
            <v>544</v>
          </cell>
          <cell r="B44">
            <v>5</v>
          </cell>
          <cell r="C44" t="str">
            <v>CIUDAD BOLÍVAR</v>
          </cell>
          <cell r="D44" t="str">
            <v>PRIVADO</v>
          </cell>
          <cell r="E44" t="str">
            <v>EPBM</v>
          </cell>
          <cell r="F44" t="str">
            <v>INSTITUTO_PSICOPEDAGOGICO_EL_TESORO_DE_LA_VERDAD</v>
          </cell>
          <cell r="G44" t="str">
            <v>INSTITUTO PSICOPEDAGOGICO EL TESORO DE LA VERDAD</v>
          </cell>
          <cell r="H44" t="str">
            <v>Autoevaluación Institucional y Pruebas SABER 11</v>
          </cell>
          <cell r="I44" t="str">
            <v>SEGUIMIENTO_Y_SUPERVISIÓN.</v>
          </cell>
          <cell r="J44" t="str">
            <v>Realizar visitas para verificar la información registrada sobre la autoevaluación institucional en el aplicativo EVI, a los establecimientos de educación formal no oficial.</v>
          </cell>
          <cell r="K44" t="str">
            <v>ÓSCAR JAVIER CÁRDENAS MUÑOZ</v>
          </cell>
          <cell r="L44" t="str">
            <v xml:space="preserve">CLAUDIA DOMÍNGUEZ TORRES </v>
          </cell>
          <cell r="M44">
            <v>45806</v>
          </cell>
          <cell r="N44">
            <v>45755</v>
          </cell>
          <cell r="O44">
            <v>45755</v>
          </cell>
          <cell r="P44" t="str">
            <v>Visitas de evaluación con fines de mejoramiento</v>
          </cell>
          <cell r="Q44" t="str">
            <v>20250408ActaVisitaInstInstPsicopedTesoroVerdad (2) (1).pdf</v>
          </cell>
          <cell r="R44" t="str">
            <v>Se evidencian dificultades del orden administrativo, financiero, pedagógico y de planta física.</v>
          </cell>
          <cell r="S44" t="str">
            <v>Definir un plan de acción que se integre al PMI para la atención de los compromisos definidos en la visita.</v>
          </cell>
          <cell r="T44" t="str">
            <v>Si</v>
          </cell>
          <cell r="U44" t="str">
            <v>La IE hará entrega del Plan de Mejoramiento el 30/04/2025.
El ELIV realizará seguimiento en septiembre de 2025 para verificar el cumplimiento de las acciones propuestas en el plan de mejoramiento.</v>
          </cell>
        </row>
        <row r="45">
          <cell r="A45">
            <v>545</v>
          </cell>
          <cell r="B45">
            <v>5</v>
          </cell>
          <cell r="C45" t="str">
            <v>CIUDAD BOLÍVAR</v>
          </cell>
          <cell r="D45" t="str">
            <v>PRIVADO</v>
          </cell>
          <cell r="E45" t="str">
            <v>EPBM</v>
          </cell>
          <cell r="F45" t="str">
            <v>INSTITUTO_PSICOPEDAGOGICO_EL_TESORO_DE_LA_VERDAD</v>
          </cell>
          <cell r="G45" t="str">
            <v>INSTITUTO PSICOPEDAGOGICO EL TESORO DE LA VERDAD</v>
          </cell>
          <cell r="H45" t="str">
            <v>Autoevaluación Institucional y Pruebas SABER 11</v>
          </cell>
          <cell r="I45" t="str">
            <v>SEGUIMIENTO_Y_SUPERVISIÓN.</v>
          </cell>
          <cell r="J45" t="str">
            <v>Proponer estrategias en la formulación, verificar su elaboración y realizar seguimiento semestral al desarrollo de  las acciones establecidas en los planes de mejoramiento por pruebas SABER 11 de los establecimientos de educación formal.</v>
          </cell>
          <cell r="K45" t="str">
            <v>ÓSCAR JAVIER CÁRDENAS MUÑOZ</v>
          </cell>
          <cell r="L45" t="str">
            <v xml:space="preserve">CLAUDIA DOMÍNGUEZ TORRES </v>
          </cell>
          <cell r="M45">
            <v>45806</v>
          </cell>
          <cell r="N45">
            <v>45755</v>
          </cell>
          <cell r="O45">
            <v>45755</v>
          </cell>
          <cell r="P45" t="str">
            <v>Visitas de evaluación con fines de mejoramiento</v>
          </cell>
          <cell r="Q45" t="str">
            <v>20250408ActaVisitaInstInstPsicopedTesoroVerdad (2) (1).pdf</v>
          </cell>
          <cell r="R45" t="str">
            <v>Se establecieron acciones de mejoramiento encaminadas principalemente a la actualización curricular de la IE</v>
          </cell>
          <cell r="S45" t="str">
            <v>Incluir en en el Plan de mejoramiento acciones de actualización curricular</v>
          </cell>
          <cell r="T45" t="str">
            <v>Si</v>
          </cell>
          <cell r="U45" t="str">
            <v>La IE hará entrega del Plan de Mejoramiento el 30/04/2025.
El ELIV realizará seguimiento en septiembre de 2025 para verificar el cumplimiento de las acciones propuestas en el plan de mejoramiento.</v>
          </cell>
        </row>
        <row r="46">
          <cell r="A46">
            <v>546</v>
          </cell>
          <cell r="B46">
            <v>5</v>
          </cell>
          <cell r="C46" t="str">
            <v>CIUDAD BOLÍVAR</v>
          </cell>
          <cell r="D46" t="str">
            <v>PRIVADO</v>
          </cell>
          <cell r="E46" t="str">
            <v>EPBM</v>
          </cell>
          <cell r="F46" t="str">
            <v>INSTITUTO_PSICOPEDAGOGICO_EL_TESORO_DE_LA_VERDAD</v>
          </cell>
          <cell r="G46" t="str">
            <v>INSTITUTO PSICOPEDAGOGICO EL TESORO DE LA VERDAD</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ÓSCAR JAVIER CÁRDENAS MUÑOZ</v>
          </cell>
          <cell r="L46" t="str">
            <v xml:space="preserve">CLAUDIA DOMÍNGUEZ TORRES </v>
          </cell>
          <cell r="M46">
            <v>45806</v>
          </cell>
          <cell r="N46">
            <v>45755</v>
          </cell>
          <cell r="O46">
            <v>45755</v>
          </cell>
          <cell r="P46" t="str">
            <v>Visitas de evaluación con fines de mejoramiento</v>
          </cell>
          <cell r="Q46" t="str">
            <v>20250408ActaVisitaInstInstPsicopedTesoroVerdad (2) (1).pdf</v>
          </cell>
          <cell r="R46" t="str">
            <v>Se evidencia un Manual de Convivencia desactualizado y poca o casi nula acción sobre las situaciones de convivencia</v>
          </cell>
          <cell r="S46" t="str">
            <v>Incluir en el Plan de mejoramiento compromiso de actualización del manual de convivencia</v>
          </cell>
          <cell r="T46" t="str">
            <v>Si</v>
          </cell>
          <cell r="U46" t="str">
            <v>La IE hará entrega del Plan de Mejoramiento el 30/04/2025.
El ELIV realizará seguimiento en septiembre de 2025 para verificar el cumplimiento de las acciones propuestas en el plan de mejoramiento.</v>
          </cell>
        </row>
        <row r="47">
          <cell r="A47">
            <v>547</v>
          </cell>
          <cell r="B47">
            <v>5</v>
          </cell>
          <cell r="C47" t="str">
            <v>CIUDAD BOLÍVAR</v>
          </cell>
          <cell r="D47" t="str">
            <v>PRIVADO</v>
          </cell>
          <cell r="E47" t="str">
            <v>EPBM</v>
          </cell>
          <cell r="F47" t="str">
            <v>INSTITUTO_PSICOPEDAGOGICO_EL_TESORO_DE_LA_VERDAD</v>
          </cell>
          <cell r="G47" t="str">
            <v>INSTITUTO PSICOPEDAGOGICO EL TESORO DE LA VERDAD</v>
          </cell>
          <cell r="H47" t="str">
            <v>Autoevaluación Institucional y Pruebas SABER 11</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ÓSCAR JAVIER CÁRDENAS MUÑOZ</v>
          </cell>
          <cell r="L47" t="str">
            <v xml:space="preserve">CLAUDIA DOMÍNGUEZ TORRES </v>
          </cell>
          <cell r="M47">
            <v>45806</v>
          </cell>
          <cell r="N47">
            <v>45755</v>
          </cell>
          <cell r="O47">
            <v>45755</v>
          </cell>
          <cell r="P47" t="str">
            <v>Visitas de evaluación con fines de mejoramiento</v>
          </cell>
          <cell r="Q47" t="str">
            <v>20250408ActaVisitaInstInstPsicopedTesoroVerdad (2) (1).pdf</v>
          </cell>
          <cell r="R47" t="str">
            <v>No cuenta con una adecuada implementación del PIAR y carecen de protocolos para la atención de la población con discapacidad o trastornos de aprendizaje.</v>
          </cell>
          <cell r="S47" t="str">
            <v>Incluir en el Plan de mejoramiento compromiso de creación de un proyecto de inclusión institucional.</v>
          </cell>
          <cell r="T47" t="str">
            <v>Si</v>
          </cell>
          <cell r="U47" t="str">
            <v>La IE hará entrega del Plan de Mejoramiento el 30/04/2025.
El ELIV realizará seguimiento en septiembre de 2025 para verificar el cumplimiento de las acciones propuestas en el plan de mejoramiento.</v>
          </cell>
        </row>
        <row r="48">
          <cell r="A48">
            <v>548</v>
          </cell>
          <cell r="B48">
            <v>5</v>
          </cell>
          <cell r="C48" t="str">
            <v>CIUDAD BOLÍVAR</v>
          </cell>
          <cell r="D48" t="str">
            <v>PRIVADO</v>
          </cell>
          <cell r="E48" t="str">
            <v>EPBM</v>
          </cell>
          <cell r="F48" t="str">
            <v>INSTITUTO_PSICOPEDAGOGICO_EL_TESORO_DE_LA_VERDAD</v>
          </cell>
          <cell r="G48" t="str">
            <v>INSTITUTO PSICOPEDAGOGICO EL TESORO DE LA VERDAD</v>
          </cell>
          <cell r="H48" t="str">
            <v>Autoevaluación Institucional y Pruebas SABER 11</v>
          </cell>
          <cell r="I48" t="str">
            <v>EVALUACIÓN_CON_FINES_DE_MEJORAMIENTO.</v>
          </cell>
          <cell r="J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8" t="str">
            <v>ÓSCAR JAVIER CÁRDENAS MUÑOZ</v>
          </cell>
          <cell r="L48" t="str">
            <v xml:space="preserve">CLAUDIA DOMÍNGUEZ TORRES </v>
          </cell>
          <cell r="M48">
            <v>45806</v>
          </cell>
          <cell r="N48">
            <v>45755</v>
          </cell>
          <cell r="O48">
            <v>45755</v>
          </cell>
          <cell r="P48" t="str">
            <v>Visitas de evaluación con fines de mejoramiento</v>
          </cell>
          <cell r="Q48" t="str">
            <v>20250408ActaVisitaInstInstPsicopedTesoroVerdad (2) (1).pdf</v>
          </cell>
          <cell r="R48" t="str">
            <v>Implementan un Manual de Convivencia desactualizado normativamente y en cuanto a herramientos de convivencia.</v>
          </cell>
          <cell r="S48" t="str">
            <v>Incluir  en el Plan de mejoramiento compromiso de actualización del manual de convivencia especialmente en el contexto normativo actual.</v>
          </cell>
          <cell r="T48" t="str">
            <v>Si</v>
          </cell>
          <cell r="U48" t="str">
            <v>La IE hará entrega del Plan de Mejoramiento el 30/04/2025.
El ELIV realizará seguimiento en septiembre de 2025 para verificar el cumplimiento de las acciones propuestas en el plan de mejoramiento.</v>
          </cell>
        </row>
        <row r="49">
          <cell r="A49">
            <v>549</v>
          </cell>
          <cell r="B49">
            <v>5</v>
          </cell>
          <cell r="C49" t="str">
            <v>CIUDAD BOLÍVAR</v>
          </cell>
          <cell r="D49" t="str">
            <v>PRIVADO</v>
          </cell>
          <cell r="E49" t="str">
            <v>EPBM</v>
          </cell>
          <cell r="F49" t="str">
            <v>INSTITUTO_PSICOPEDAGOGICO_EL_TESORO_DE_LA_VERDAD</v>
          </cell>
          <cell r="G49" t="str">
            <v>INSTITUTO PSICOPEDAGOGICO EL TESORO DE LA VERDAD</v>
          </cell>
          <cell r="H49" t="str">
            <v>Autoevaluación Institucional y Pruebas SABER 11</v>
          </cell>
          <cell r="I49" t="str">
            <v>EVALUACIÓN_CON_FINES_DE_MEJORAMIENTO.</v>
          </cell>
          <cell r="J49" t="str">
            <v>Revisar la actualización, socialización e implementación del Sistema Institucional de Evaluación de Estudiantes - SIEE, en articulación con la actualización del PEI y la normatividad vigente.</v>
          </cell>
          <cell r="K49" t="str">
            <v>ÓSCAR JAVIER CÁRDENAS MUÑOZ</v>
          </cell>
          <cell r="L49" t="str">
            <v xml:space="preserve">CLAUDIA DOMÍNGUEZ TORRES </v>
          </cell>
          <cell r="M49">
            <v>45806</v>
          </cell>
          <cell r="N49">
            <v>45755</v>
          </cell>
          <cell r="O49">
            <v>45755</v>
          </cell>
          <cell r="P49" t="str">
            <v>Visitas de evaluación con fines de mejoramiento</v>
          </cell>
          <cell r="Q49" t="str">
            <v>20250408ActaVisitaInstInstPsicopedTesoroVerdad (2) (1).pdf</v>
          </cell>
          <cell r="R49" t="str">
            <v>Tienen un SIEE desactualizado que incluye todavia evaluacion por indicadores de logro y con insuficiencias al momento de evaluar a los estudiantes.</v>
          </cell>
          <cell r="S49" t="str">
            <v>Se incluye compromiso de actualización del SIEE a la luz de la norma y la innovación curricular-</v>
          </cell>
          <cell r="T49" t="str">
            <v>Si</v>
          </cell>
          <cell r="U49" t="str">
            <v>La IE hará entrega del Plan de Mejoramiento el 30/04/2025.
El ELIV realizará seguimiento en septiembre de 2025 para verificar el cumplimiento de las acciones propuestas en el plan de mejoramiento.</v>
          </cell>
        </row>
        <row r="50">
          <cell r="A50">
            <v>550</v>
          </cell>
          <cell r="B50">
            <v>5</v>
          </cell>
          <cell r="C50" t="str">
            <v>CIUDAD BOLÍVAR</v>
          </cell>
          <cell r="D50" t="str">
            <v>PRIVADO</v>
          </cell>
          <cell r="E50" t="str">
            <v>EPBM</v>
          </cell>
          <cell r="F50" t="str">
            <v>INSTITUTO_PSICOPEDAGOGICO_EL_TESORO_DE_LA_VERDAD</v>
          </cell>
          <cell r="G50" t="str">
            <v>INSTITUTO PSICOPEDAGOGICO EL TESORO DE LA VERDAD</v>
          </cell>
          <cell r="H50" t="str">
            <v>Autoevaluación Institucional y Pruebas SABER 11</v>
          </cell>
          <cell r="I50" t="str">
            <v>EVALUACIÓN_CON_FINES_DE_MEJORAMIENTO.</v>
          </cell>
          <cell r="J50" t="str">
            <v>Revisar el calendario escolar, jornada escolar, la intensidad horaria mínima anual en cada nivel y las modificaciones que se realicen al mismo, de acuerdo con lo previsto en la normatividad vigente.</v>
          </cell>
          <cell r="K50" t="str">
            <v>ÓSCAR JAVIER CÁRDENAS MUÑOZ</v>
          </cell>
          <cell r="L50" t="str">
            <v xml:space="preserve">CLAUDIA DOMÍNGUEZ TORRES </v>
          </cell>
          <cell r="M50">
            <v>45806</v>
          </cell>
          <cell r="N50">
            <v>45755</v>
          </cell>
          <cell r="O50">
            <v>45755</v>
          </cell>
          <cell r="P50" t="str">
            <v>Visitas de evaluación con fines de mejoramiento</v>
          </cell>
          <cell r="Q50" t="str">
            <v>20250408ActaVisitaInstInstPsicopedTesoroVerdad (2) (1).pdf</v>
          </cell>
          <cell r="R50" t="str">
            <v>Tienen un Calendario Escolar acorde a lo definido para cada grado.</v>
          </cell>
          <cell r="S50" t="str">
            <v>Ajustar intensidad horaria en terminos de tener claridad sobre la horas efectivas de clase en el año escolar.</v>
          </cell>
          <cell r="T50" t="str">
            <v>Si</v>
          </cell>
          <cell r="U50" t="str">
            <v>La IE hará entrega del Plan de Mejoramiento el 30/04/2025.
El ELIV realizará seguimiento en septiembre de 2025 para verificar el cumplimiento de las acciones propuestas en el plan de mejoramiento.</v>
          </cell>
        </row>
        <row r="51">
          <cell r="A51">
            <v>551</v>
          </cell>
          <cell r="B51">
            <v>5</v>
          </cell>
          <cell r="C51" t="str">
            <v>CIUDAD BOLÍVAR</v>
          </cell>
          <cell r="D51" t="str">
            <v>PRIVADO</v>
          </cell>
          <cell r="E51" t="str">
            <v>EPBM</v>
          </cell>
          <cell r="F51" t="str">
            <v>INSTITUTO_PSICOPEDAGOGICO_EL_TESORO_DE_LA_VERDAD</v>
          </cell>
          <cell r="G51" t="str">
            <v>INSTITUTO PSICOPEDAGOGICO EL TESORO DE LA VERDAD</v>
          </cell>
          <cell r="H51" t="str">
            <v>Autoevaluación Institucional y Pruebas SABER 11</v>
          </cell>
          <cell r="I51" t="str">
            <v>EVALUACIÓN_CON_FINES_DE_MEJORAMIENTO.</v>
          </cell>
          <cell r="J51" t="str">
            <v>Verificar el funcionamiento del Gobierno Escolar e instancias de participación con base en la información sobre conformación reportada por la institución educativa.</v>
          </cell>
          <cell r="K51" t="str">
            <v>ÓSCAR JAVIER CÁRDENAS MUÑOZ</v>
          </cell>
          <cell r="L51" t="str">
            <v xml:space="preserve">CLAUDIA DOMÍNGUEZ TORRES </v>
          </cell>
          <cell r="M51">
            <v>45806</v>
          </cell>
          <cell r="N51">
            <v>45755</v>
          </cell>
          <cell r="O51">
            <v>45755</v>
          </cell>
          <cell r="P51" t="str">
            <v>Visitas de evaluación con fines de mejoramiento</v>
          </cell>
          <cell r="Q51" t="str">
            <v>20250408ActaVisitaInstInstPsicopedTesoroVerdad (2) (1).pdf</v>
          </cell>
          <cell r="R51" t="str">
            <v>No se pudo verificar, pues todo lo relacionado al Gobierno Escolar está a cargo del propietario de la IE, quien no estuvo presente durante la visita. Solo se pudo evidenciar lo realizado el año anterior.</v>
          </cell>
          <cell r="S51" t="str">
            <v>Se incluye compromiso de conformación actualización e informe al ELIV de los estamentos del Gob. Escolar.</v>
          </cell>
          <cell r="T51" t="str">
            <v>Si</v>
          </cell>
          <cell r="U51" t="str">
            <v>La IE hará entrega del Plan de Mejoramiento el 30/04/2025.
El ELIV realizará seguimiento en septiembre de 2025 para verificar el cumplimiento de las acciones propuestas en el plan de mejoramiento.</v>
          </cell>
        </row>
        <row r="52">
          <cell r="A52">
            <v>552</v>
          </cell>
          <cell r="B52">
            <v>5</v>
          </cell>
          <cell r="C52" t="str">
            <v>CIUDAD BOLÍVAR</v>
          </cell>
          <cell r="D52" t="str">
            <v>PRIVADO</v>
          </cell>
          <cell r="E52" t="str">
            <v>EPBM</v>
          </cell>
          <cell r="F52" t="str">
            <v>INSTITUTO_PSICOPEDAGOGICO_EL_TESORO_DE_LA_VERDAD</v>
          </cell>
          <cell r="G52" t="str">
            <v>INSTITUTO PSICOPEDAGOGICO EL TESORO DE LA VERDAD</v>
          </cell>
          <cell r="H52" t="str">
            <v>Autoevaluación Institucional y Pruebas SABER 11</v>
          </cell>
          <cell r="I52" t="str">
            <v>EVALUACIÓN_CON_FINES_DE_MEJORAMIENTO.</v>
          </cell>
          <cell r="J52" t="str">
            <v>Verificar las condiciones en cuanto a: la estructura administrativa, condiciones de la planta física y medios educativos adecuados.</v>
          </cell>
          <cell r="K52" t="str">
            <v>ÓSCAR JAVIER CÁRDENAS MUÑOZ</v>
          </cell>
          <cell r="L52" t="str">
            <v xml:space="preserve">CLAUDIA DOMÍNGUEZ TORRES </v>
          </cell>
          <cell r="M52">
            <v>45806</v>
          </cell>
          <cell r="N52">
            <v>45755</v>
          </cell>
          <cell r="O52">
            <v>45755</v>
          </cell>
          <cell r="P52" t="str">
            <v>Visitas de evaluación con fines de mejoramiento</v>
          </cell>
          <cell r="Q52" t="str">
            <v>20250408ActaVisitaInstInstPsicopedTesoroVerdad (2) (1).pdf</v>
          </cell>
          <cell r="R52" t="str">
            <v>Se evidencian medios educativos desgastados y sin un correcto mantenimiento.</v>
          </cell>
          <cell r="S52" t="str">
            <v>Establecer acciones tendientes a garantizar ambientes óptimos para la prestación del servicio educativo.</v>
          </cell>
          <cell r="T52" t="str">
            <v>Si</v>
          </cell>
          <cell r="U52" t="str">
            <v>La IE hará entrega del Plan de Mejoramiento el 30/04/2025.
El ELIV realizará seguimiento en septiembre de 2025 para verificar el cumplimiento de las acciones propuestas en el plan de mejoramiento.</v>
          </cell>
        </row>
        <row r="53">
          <cell r="A53">
            <v>553</v>
          </cell>
          <cell r="B53">
            <v>6</v>
          </cell>
          <cell r="C53" t="str">
            <v>CIUDAD BOLÍVAR</v>
          </cell>
          <cell r="D53" t="str">
            <v>PRIVADO</v>
          </cell>
          <cell r="E53" t="str">
            <v>EPBM</v>
          </cell>
          <cell r="F53" t="str">
            <v>INSTITUTO_JERUSALEN</v>
          </cell>
          <cell r="G53" t="str">
            <v>INSTITUTO JERUSALEN</v>
          </cell>
          <cell r="H53" t="str">
            <v>Autoevaluación Institucional y Pruebas SABER 11</v>
          </cell>
          <cell r="I53" t="str">
            <v>SEGUIMIENTO_Y_SUPERVISIÓN.</v>
          </cell>
          <cell r="J53" t="str">
            <v>Realizar visitas para verificar la información registrada sobre la autoevaluación institucional en el aplicativo EVI, a los establecimientos de educación formal no oficial.</v>
          </cell>
          <cell r="K53" t="str">
            <v xml:space="preserve">CLAUDIA DOMÍNGUEZ TORRES </v>
          </cell>
          <cell r="L53" t="str">
            <v>ÓSCAR JAVIER CÁRDENAS MUÑOZ</v>
          </cell>
          <cell r="M53">
            <v>45807</v>
          </cell>
          <cell r="N53">
            <v>45792</v>
          </cell>
          <cell r="O53">
            <v>45792</v>
          </cell>
          <cell r="P53" t="str">
            <v>Visitas de evaluación con fines de mejoramiento</v>
          </cell>
          <cell r="Q53" t="str">
            <v>20250515ActaVisitaInstJerusalen.pdf</v>
          </cell>
          <cell r="R53" t="str">
            <v>Se evidencia coherencia de lo registrado en EVI, sin embargo, se evidencio que en los grados inferiores hay multigrado en aula</v>
          </cell>
          <cell r="S53" t="str">
            <v>Atender las recomendaciones con relación con la matrícula y la organziación de los cursos.</v>
          </cell>
          <cell r="T53" t="str">
            <v>Si</v>
          </cell>
          <cell r="U53" t="str">
            <v>La IE hará entrega del Plan de Mejoramiento el 23/05/2025.
El ELIV realizará seguimiento en septiembre de 2025 para verificar el cumplimiento de las acciones propuestas en el plan de mejoramiento.</v>
          </cell>
        </row>
        <row r="54">
          <cell r="A54">
            <v>554</v>
          </cell>
          <cell r="B54">
            <v>6</v>
          </cell>
          <cell r="C54" t="str">
            <v>CIUDAD BOLÍVAR</v>
          </cell>
          <cell r="D54" t="str">
            <v>PRIVADO</v>
          </cell>
          <cell r="E54" t="str">
            <v>EPBM</v>
          </cell>
          <cell r="F54" t="str">
            <v>INSTITUTO_JERUSALEN</v>
          </cell>
          <cell r="G54" t="str">
            <v>INSTITUTO JERUSALEN</v>
          </cell>
          <cell r="H54" t="str">
            <v>Autoevaluación Institucional y Pruebas SABER 11</v>
          </cell>
          <cell r="I54" t="str">
            <v>SEGUIMIENTO_Y_SUPERVISIÓN.</v>
          </cell>
          <cell r="J54" t="str">
            <v>Proponer estrategias en la formulación, verificar su elaboración y realizar seguimiento semestral al desarrollo de  las acciones establecidas en los planes de mejoramiento por pruebas SABER 11 de los establecimientos de educación formal.</v>
          </cell>
          <cell r="K54" t="str">
            <v xml:space="preserve">CLAUDIA DOMÍNGUEZ TORRES </v>
          </cell>
          <cell r="L54" t="str">
            <v>ÓSCAR JAVIER CÁRDENAS MUÑOZ</v>
          </cell>
          <cell r="M54">
            <v>45807</v>
          </cell>
          <cell r="N54">
            <v>45792</v>
          </cell>
          <cell r="O54">
            <v>45792</v>
          </cell>
          <cell r="P54" t="str">
            <v>Visitas de evaluación con fines de mejoramiento</v>
          </cell>
          <cell r="Q54" t="str">
            <v>20250515ActaVisitaInstJerusalen.pdf</v>
          </cell>
          <cell r="R54" t="str">
            <v>No tienen claridad sobre los resultados alcanzados y no hay acciones de mejoramiento claras para la superación de los bajos resultados.</v>
          </cell>
          <cell r="S54" t="str">
            <v>Especificar en el plan de acción las estrategias puntuales para el mejoramiento progresivo de los resultados.</v>
          </cell>
          <cell r="T54" t="str">
            <v>Si</v>
          </cell>
          <cell r="U54" t="str">
            <v>La IE hará entrega del Plan de Mejoramiento el 23/05/2025.
El ELIV realizará seguimiento en septiembre de 2025 para verificar el cumplimiento de las acciones propuestas en el plan de mejoramiento.</v>
          </cell>
        </row>
        <row r="55">
          <cell r="A55">
            <v>555</v>
          </cell>
          <cell r="B55">
            <v>6</v>
          </cell>
          <cell r="C55" t="str">
            <v>CIUDAD BOLÍVAR</v>
          </cell>
          <cell r="D55" t="str">
            <v>PRIVADO</v>
          </cell>
          <cell r="E55" t="str">
            <v>EPBM</v>
          </cell>
          <cell r="F55" t="str">
            <v>INSTITUTO_JERUSALEN</v>
          </cell>
          <cell r="G55" t="str">
            <v>INSTITUTO JERUSALEN</v>
          </cell>
          <cell r="H55" t="str">
            <v>Autoevaluación Institucional y Pruebas SABER 11</v>
          </cell>
          <cell r="I55" t="str">
            <v>SEGUIMIENTO_Y_SUPERVISIÓN.</v>
          </cell>
          <cell r="J55" t="str">
            <v xml:space="preserve">Verificar la implementación por parte de los colegios, de acciones realizadas para la prevención y atención de las situaciones de convivencia en el entorno escolar, según lo establecido en la Directiva 01 de 2022 del MEN. </v>
          </cell>
          <cell r="K55" t="str">
            <v xml:space="preserve">CLAUDIA DOMÍNGUEZ TORRES </v>
          </cell>
          <cell r="L55" t="str">
            <v>ÓSCAR JAVIER CÁRDENAS MUÑOZ</v>
          </cell>
          <cell r="M55">
            <v>45807</v>
          </cell>
          <cell r="N55">
            <v>45792</v>
          </cell>
          <cell r="O55">
            <v>45792</v>
          </cell>
          <cell r="P55" t="str">
            <v>Visitas de evaluación con fines de mejoramiento</v>
          </cell>
          <cell r="Q55" t="str">
            <v>20250515ActaVisitaInstJerusalen.pdf</v>
          </cell>
          <cell r="R55" t="str">
            <v>Aunque han realizado algunas aciones de promoción y prevención no hay evidencia documental de esto y en el Manual de Convivencia falta incluir los protocolos   en el marco de la Ruta de Atención
Integral de Convivencia Escolar.</v>
          </cell>
          <cell r="S55" t="str">
            <v xml:space="preserve">Actualizar el Manual de Convivencia en función de las acciones de prevención, promoción y atención. Además, documentar debidamente cada acción implementada. </v>
          </cell>
          <cell r="T55" t="str">
            <v>Si</v>
          </cell>
          <cell r="U55" t="str">
            <v>La IE hará entrega del Plan de Mejoramiento el 23/05/2025.
El ELIV realizará seguimiento en septiembre de 2025 para verificar el cumplimiento de las acciones propuestas en el plan de mejoramiento.</v>
          </cell>
        </row>
        <row r="56">
          <cell r="A56">
            <v>556</v>
          </cell>
          <cell r="B56">
            <v>6</v>
          </cell>
          <cell r="C56" t="str">
            <v>CIUDAD BOLÍVAR</v>
          </cell>
          <cell r="D56" t="str">
            <v>PRIVADO</v>
          </cell>
          <cell r="E56" t="str">
            <v>EPBM</v>
          </cell>
          <cell r="F56" t="str">
            <v>INSTITUTO_JERUSALEN</v>
          </cell>
          <cell r="G56" t="str">
            <v>INSTITUTO JERUSALEN</v>
          </cell>
          <cell r="H56" t="str">
            <v>Autoevaluación Institucional y Pruebas SABER 11</v>
          </cell>
          <cell r="I56" t="str">
            <v>SEGUIMIENTO_Y_SUPERVISIÓN.</v>
          </cell>
          <cell r="J5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6" t="str">
            <v xml:space="preserve">CLAUDIA DOMÍNGUEZ TORRES </v>
          </cell>
          <cell r="L56" t="str">
            <v>ÓSCAR JAVIER CÁRDENAS MUÑOZ</v>
          </cell>
          <cell r="M56">
            <v>45807</v>
          </cell>
          <cell r="N56">
            <v>45792</v>
          </cell>
          <cell r="O56">
            <v>45792</v>
          </cell>
          <cell r="P56" t="str">
            <v>Visitas de evaluación con fines de mejoramiento</v>
          </cell>
          <cell r="Q56" t="str">
            <v>20250515ActaVisitaInstJerusalen.pdf</v>
          </cell>
          <cell r="R56" t="str">
            <v>Tienen caracerizados a dos estudiantes discapacidad que  cuentan con PIAR construido adecuadamente.</v>
          </cell>
          <cell r="S56" t="str">
            <v xml:space="preserve">Continuar con el seguimiento de la ejecución y actualización de los ajustes razonables para los estudiante que lo requieran. Organizar el proceso de identificación de diagnóstico desde la EPS </v>
          </cell>
          <cell r="T56" t="str">
            <v>No</v>
          </cell>
          <cell r="U56" t="str">
            <v xml:space="preserve">Realizar seguimiento en caso de presentarse queja o requerimiento </v>
          </cell>
        </row>
        <row r="57">
          <cell r="A57">
            <v>557</v>
          </cell>
          <cell r="B57">
            <v>6</v>
          </cell>
          <cell r="C57" t="str">
            <v>CIUDAD BOLÍVAR</v>
          </cell>
          <cell r="D57" t="str">
            <v>PRIVADO</v>
          </cell>
          <cell r="E57" t="str">
            <v>EPBM</v>
          </cell>
          <cell r="F57" t="str">
            <v>INSTITUTO_JERUSALEN</v>
          </cell>
          <cell r="G57" t="str">
            <v>INSTITUTO JERUSALEN</v>
          </cell>
          <cell r="H57" t="str">
            <v>Autoevaluación Institucional y Pruebas SABER 11</v>
          </cell>
          <cell r="I57" t="str">
            <v>EVALUACIÓN_CON_FINES_DE_MEJORAMIENTO.</v>
          </cell>
          <cell r="J5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7" t="str">
            <v xml:space="preserve">CLAUDIA DOMÍNGUEZ TORRES </v>
          </cell>
          <cell r="L57" t="str">
            <v>ÓSCAR JAVIER CÁRDENAS MUÑOZ</v>
          </cell>
          <cell r="M57">
            <v>45807</v>
          </cell>
          <cell r="N57">
            <v>45792</v>
          </cell>
          <cell r="O57">
            <v>45792</v>
          </cell>
          <cell r="P57" t="str">
            <v>Visitas de evaluación con fines de mejoramiento</v>
          </cell>
          <cell r="Q57" t="str">
            <v>20250515ActaVisitaInstJerusalen.pdf</v>
          </cell>
          <cell r="R57" t="str">
            <v xml:space="preserve">Se encuentran procesos convienciales desarollados en el marco del MC; no obstante, no hay evidencia documental suficiente. </v>
          </cell>
          <cell r="S57" t="str">
            <v xml:space="preserve">Actualizar el Manual de Convivencia en función de las acciones de prevención, promoción y atención. Además, documentar debidamente cada acción implementada. </v>
          </cell>
          <cell r="T57" t="str">
            <v>Si</v>
          </cell>
          <cell r="U57" t="str">
            <v>La IE hará entrega del Plan de Mejoramiento el 23/05/2025.
El ELIV realizará seguimiento en septiembre de 2025 para verificar el cumplimiento de las acciones propuestas en el plan de mejoramiento.</v>
          </cell>
        </row>
        <row r="58">
          <cell r="A58">
            <v>558</v>
          </cell>
          <cell r="B58">
            <v>6</v>
          </cell>
          <cell r="C58" t="str">
            <v>CIUDAD BOLÍVAR</v>
          </cell>
          <cell r="D58" t="str">
            <v>PRIVADO</v>
          </cell>
          <cell r="E58" t="str">
            <v>EPBM</v>
          </cell>
          <cell r="F58" t="str">
            <v>INSTITUTO_JERUSALEN</v>
          </cell>
          <cell r="G58" t="str">
            <v>INSTITUTO JERUSALEN</v>
          </cell>
          <cell r="H58" t="str">
            <v>Autoevaluación Institucional y Pruebas SABER 11</v>
          </cell>
          <cell r="I58" t="str">
            <v>EVALUACIÓN_CON_FINES_DE_MEJORAMIENTO.</v>
          </cell>
          <cell r="J58" t="str">
            <v>Revisar la actualización, socialización e implementación del Sistema Institucional de Evaluación de Estudiantes - SIEE, en articulación con la actualización del PEI y la normatividad vigente.</v>
          </cell>
          <cell r="K58" t="str">
            <v xml:space="preserve">CLAUDIA DOMÍNGUEZ TORRES </v>
          </cell>
          <cell r="L58" t="str">
            <v>ÓSCAR JAVIER CÁRDENAS MUÑOZ</v>
          </cell>
          <cell r="M58">
            <v>45807</v>
          </cell>
          <cell r="N58">
            <v>45792</v>
          </cell>
          <cell r="O58">
            <v>45792</v>
          </cell>
          <cell r="P58" t="str">
            <v>Visitas de evaluación con fines de mejoramiento</v>
          </cell>
          <cell r="Q58" t="str">
            <v>20250515ActaVisitaInstJerusalen.pdf</v>
          </cell>
          <cell r="R58" t="str">
            <v>No hay evidencia de la actualización, socialización e implementación del Sistema Institucional de Evaluación de Estudiantes - SIEE. No hay evidencia de la articulación con el PEI</v>
          </cell>
          <cell r="S58" t="str">
            <v>Realizar los respectivos ajustes en el  SIEE para articularlo con el PEI y socializarlo en debida manera con la comunidad educativa.</v>
          </cell>
          <cell r="T58" t="str">
            <v>Si</v>
          </cell>
          <cell r="U58" t="str">
            <v>La IE hará entrega del Plan de Mejoramiento el 23/05/2025.
El ELIV realizará seguimiento en septiembre de 2025 para verificar el cumplimiento de las acciones propuestas en el plan de mejoramiento.</v>
          </cell>
        </row>
        <row r="59">
          <cell r="A59">
            <v>559</v>
          </cell>
          <cell r="B59">
            <v>6</v>
          </cell>
          <cell r="C59" t="str">
            <v>CIUDAD BOLÍVAR</v>
          </cell>
          <cell r="D59" t="str">
            <v>PRIVADO</v>
          </cell>
          <cell r="E59" t="str">
            <v>EPBM</v>
          </cell>
          <cell r="F59" t="str">
            <v>INSTITUTO_JERUSALEN</v>
          </cell>
          <cell r="G59" t="str">
            <v>INSTITUTO JERUSALEN</v>
          </cell>
          <cell r="H59" t="str">
            <v>Autoevaluación Institucional y Pruebas SABER 11</v>
          </cell>
          <cell r="I59" t="str">
            <v>EVALUACIÓN_CON_FINES_DE_MEJORAMIENTO.</v>
          </cell>
          <cell r="J59" t="str">
            <v>Revisar el calendario escolar, jornada escolar, la intensidad horaria mínima anual en cada nivel y las modificaciones que se realicen al mismo, de acuerdo con lo previsto en la normatividad vigente.</v>
          </cell>
          <cell r="K59" t="str">
            <v xml:space="preserve">CLAUDIA DOMÍNGUEZ TORRES </v>
          </cell>
          <cell r="L59" t="str">
            <v>ÓSCAR JAVIER CÁRDENAS MUÑOZ</v>
          </cell>
          <cell r="M59">
            <v>45807</v>
          </cell>
          <cell r="N59">
            <v>45792</v>
          </cell>
          <cell r="O59">
            <v>45792</v>
          </cell>
          <cell r="P59" t="str">
            <v>Visitas de evaluación con fines de mejoramiento</v>
          </cell>
          <cell r="Q59" t="str">
            <v>20250515ActaVisitaInstJerusalen.pdf</v>
          </cell>
          <cell r="R59" t="str">
            <v>Aunque cumplen con la intensidad horaria definida en el Dec 1075/15 no es claro para la IE la organzación de la carga anual para todos los estudiantes.</v>
          </cell>
          <cell r="S59" t="str">
            <v xml:space="preserve">Realizar la debida organización de las carga académica. </v>
          </cell>
          <cell r="T59" t="str">
            <v>Si</v>
          </cell>
          <cell r="U59" t="str">
            <v>La IE hará entrega del Plan de Mejoramiento el 23/05/2025.
El ELIV realizará seguimiento en septiembre de 2025 para verificar el cumplimiento de las acciones propuestas en el plan de mejoramiento.</v>
          </cell>
        </row>
        <row r="60">
          <cell r="A60">
            <v>560</v>
          </cell>
          <cell r="B60">
            <v>6</v>
          </cell>
          <cell r="C60" t="str">
            <v>CIUDAD BOLÍVAR</v>
          </cell>
          <cell r="D60" t="str">
            <v>PRIVADO</v>
          </cell>
          <cell r="E60" t="str">
            <v>EPBM</v>
          </cell>
          <cell r="F60" t="str">
            <v>INSTITUTO_JERUSALEN</v>
          </cell>
          <cell r="G60" t="str">
            <v>INSTITUTO JERUSALEN</v>
          </cell>
          <cell r="H60" t="str">
            <v>Autoevaluación Institucional y Pruebas SABER 11</v>
          </cell>
          <cell r="I60" t="str">
            <v>EVALUACIÓN_CON_FINES_DE_MEJORAMIENTO.</v>
          </cell>
          <cell r="J60" t="str">
            <v>Verificar el funcionamiento del Gobierno Escolar e instancias de participación con base en la información sobre conformación reportada por la institución educativa.</v>
          </cell>
          <cell r="K60" t="str">
            <v xml:space="preserve">CLAUDIA DOMÍNGUEZ TORRES </v>
          </cell>
          <cell r="L60" t="str">
            <v>ÓSCAR JAVIER CÁRDENAS MUÑOZ</v>
          </cell>
          <cell r="M60">
            <v>45807</v>
          </cell>
          <cell r="N60">
            <v>45792</v>
          </cell>
          <cell r="O60">
            <v>45792</v>
          </cell>
          <cell r="P60" t="str">
            <v>Visitas de evaluación con fines de mejoramiento</v>
          </cell>
          <cell r="Q60" t="str">
            <v>20250515ActaVisitaInstJerusalen.pdf</v>
          </cell>
          <cell r="R60" t="str">
            <v>No hay evidencia del funcionamiento del Gobierno Escolar</v>
          </cell>
          <cell r="S60" t="str">
            <v>Activar y garantizar  el funcionamiento de todas los estamentos del Gobierno Escolar</v>
          </cell>
          <cell r="T60" t="str">
            <v>Si</v>
          </cell>
          <cell r="U60" t="str">
            <v>La IE hará entrega del Plan de Mejoramiento el 23/05/2025.
El ELIV realizará seguimiento en septiembre de 2025 para verificar el cumplimiento de las acciones propuestas en el plan de mejoramiento.</v>
          </cell>
        </row>
        <row r="61">
          <cell r="A61">
            <v>561</v>
          </cell>
          <cell r="B61">
            <v>6</v>
          </cell>
          <cell r="C61" t="str">
            <v>CIUDAD BOLÍVAR</v>
          </cell>
          <cell r="D61" t="str">
            <v>PRIVADO</v>
          </cell>
          <cell r="E61" t="str">
            <v>EPBM</v>
          </cell>
          <cell r="F61" t="str">
            <v>INSTITUTO_JERUSALEN</v>
          </cell>
          <cell r="G61" t="str">
            <v>INSTITUTO JERUSALEN</v>
          </cell>
          <cell r="H61" t="str">
            <v>Autoevaluación Institucional y Pruebas SABER 11</v>
          </cell>
          <cell r="I61" t="str">
            <v>EVALUACIÓN_CON_FINES_DE_MEJORAMIENTO.</v>
          </cell>
          <cell r="J61" t="str">
            <v>Verificar las condiciones en cuanto a: la estructura administrativa, condiciones de la planta física y medios educativos adecuados.</v>
          </cell>
          <cell r="K61" t="str">
            <v xml:space="preserve">CLAUDIA DOMÍNGUEZ TORRES </v>
          </cell>
          <cell r="L61" t="str">
            <v>ÓSCAR JAVIER CÁRDENAS MUÑOZ</v>
          </cell>
          <cell r="M61">
            <v>45807</v>
          </cell>
          <cell r="N61">
            <v>45792</v>
          </cell>
          <cell r="O61">
            <v>45792</v>
          </cell>
          <cell r="P61" t="str">
            <v>Visitas de evaluación con fines de mejoramiento</v>
          </cell>
          <cell r="Q61" t="str">
            <v>20250515ActaVisitaInstJerusalen.pdf</v>
          </cell>
          <cell r="R61" t="str">
            <v xml:space="preserve">No se evidencia, condiciones de suficiencia, organización, gestión y control de la organziación administrativa, locativa , de recursos y medios </v>
          </cell>
          <cell r="S61" t="str">
            <v>Definir acciones de mejoramiento de acuerdo con las observaciones presentadas en el desarrollo de la visita incluidas en el acta.</v>
          </cell>
          <cell r="T61" t="str">
            <v>Si</v>
          </cell>
          <cell r="U61" t="str">
            <v>La IE hará entrega del Plan de Mejoramiento el 23/05/2025.
El ELIV realizará seguimiento en septiembre de 2025 para verificar el cumplimiento de las acciones propuestas en el plan de mejoramiento.</v>
          </cell>
        </row>
        <row r="62">
          <cell r="A62">
            <v>562</v>
          </cell>
          <cell r="B62">
            <v>7</v>
          </cell>
          <cell r="C62" t="str">
            <v>CIUDAD BOLÍVAR</v>
          </cell>
          <cell r="D62" t="str">
            <v>PRIVADO</v>
          </cell>
          <cell r="E62" t="str">
            <v>EPBM</v>
          </cell>
          <cell r="F62" t="str">
            <v>COLEGIO_SOLES_DEL_SABER</v>
          </cell>
          <cell r="G62" t="str">
            <v>COLEGIO SOLES DEL SABER</v>
          </cell>
          <cell r="H62" t="str">
            <v>Autoevaluación Institucional y Pruebas SABER 11</v>
          </cell>
          <cell r="I62" t="str">
            <v>SEGUIMIENTO_Y_SUPERVISIÓN.</v>
          </cell>
          <cell r="J62" t="str">
            <v>Realizar visitas para verificar la información registrada sobre la autoevaluación institucional en el aplicativo EVI, a los establecimientos de educación formal no oficial.</v>
          </cell>
          <cell r="K62" t="str">
            <v xml:space="preserve">JUDITH SOLANO RAMÍREZ </v>
          </cell>
          <cell r="L62" t="str">
            <v xml:space="preserve">MARIA NANCY DUCUARA </v>
          </cell>
          <cell r="M62">
            <v>45827</v>
          </cell>
          <cell r="N62">
            <v>45847</v>
          </cell>
          <cell r="O62">
            <v>45847</v>
          </cell>
          <cell r="P62" t="str">
            <v>Visitas de evaluación con fines de mejoramiento</v>
          </cell>
          <cell r="Q62" t="str">
            <v>20250709_VisitaAdvaColSolesDelSaber.pdf</v>
          </cell>
          <cell r="R62" t="str">
            <v xml:space="preserve"> - La IE cuenta con un predio que no está incluido en la licencia de funcionamiento.
 - La información relacionada en EVI sobre la formación de los docentes no coincide con lo encontrado en la verificación documental realizada.
</v>
          </cell>
          <cell r="S62" t="str">
            <v>Solicitar la modificación de la licencia de funcionamiento para incluir el tercer predio que fue englobado.
.Aportar título profesional de los cuatro docentes que se encuentran en formación.</v>
          </cell>
          <cell r="T62" t="str">
            <v>Si</v>
          </cell>
          <cell r="U62" t="str">
            <v>Revisión documental en el mes de octubre de 2025 para verificar el cumplimiento de las acciones establecidas en el plan de mejoramiento.</v>
          </cell>
        </row>
        <row r="63">
          <cell r="A63">
            <v>563</v>
          </cell>
          <cell r="B63">
            <v>7</v>
          </cell>
          <cell r="C63" t="str">
            <v>CIUDAD BOLÍVAR</v>
          </cell>
          <cell r="D63" t="str">
            <v>PRIVADO</v>
          </cell>
          <cell r="E63" t="str">
            <v>EPBM</v>
          </cell>
          <cell r="F63" t="str">
            <v>COLEGIO_SOLES_DEL_SABER</v>
          </cell>
          <cell r="G63" t="str">
            <v>COLEGIO SOLES DEL SABER</v>
          </cell>
          <cell r="H63" t="str">
            <v>Autoevaluación Institucional y Pruebas SABER 11</v>
          </cell>
          <cell r="I63" t="str">
            <v>SEGUIMIENTO_Y_SUPERVISIÓN.</v>
          </cell>
          <cell r="J63" t="str">
            <v>Proponer estrategias en la formulación, verificar su elaboración y realizar seguimiento semestral al desarrollo de  las acciones establecidas en los planes de mejoramiento por pruebas SABER 11 de los establecimientos de educación formal.</v>
          </cell>
          <cell r="K63" t="str">
            <v xml:space="preserve">JUDITH SOLANO RAMÍREZ </v>
          </cell>
          <cell r="L63" t="str">
            <v xml:space="preserve">MARIA NANCY DUCUARA </v>
          </cell>
          <cell r="M63">
            <v>45827</v>
          </cell>
          <cell r="N63">
            <v>45847</v>
          </cell>
          <cell r="O63">
            <v>45847</v>
          </cell>
          <cell r="P63" t="str">
            <v>Visitas de evaluación con fines de mejoramiento</v>
          </cell>
          <cell r="Q63" t="str">
            <v>20250709_VisitaAdvaColSolesDelSaber.pdf</v>
          </cell>
          <cell r="R63" t="str">
            <v xml:space="preserve">Aunque la IE presenta actas de seguimiento y análisis de resultados y plan de mejoramiento, no se encontraron evidencias de la implementación de las estrategias formuladas como resultado del análisis. </v>
          </cell>
          <cell r="S63" t="str">
            <v>Realizar adecuaciones al Currículo  y al Plan de Estudios teniendo en cuenta los resultados de las pruebas ICFES.
Presentar evidencias de la puesta en marcha de las estrategias formuladas en el análisis de los resultados</v>
          </cell>
          <cell r="T63" t="str">
            <v>Si</v>
          </cell>
          <cell r="U63" t="str">
            <v>Revisión documental en el mes de octubre de 2025 para verificar el cumplimiento de las acciones establecidas en el plan de mejoramiento.</v>
          </cell>
        </row>
        <row r="64">
          <cell r="A64">
            <v>564</v>
          </cell>
          <cell r="B64">
            <v>7</v>
          </cell>
          <cell r="C64" t="str">
            <v>CIUDAD BOLÍVAR</v>
          </cell>
          <cell r="D64" t="str">
            <v>PRIVADO</v>
          </cell>
          <cell r="E64" t="str">
            <v>EPBM</v>
          </cell>
          <cell r="F64" t="str">
            <v>COLEGIO_SOLES_DEL_SABER</v>
          </cell>
          <cell r="G64" t="str">
            <v>COLEGIO SOLES DEL SABER</v>
          </cell>
          <cell r="H64" t="str">
            <v>Autoevaluación Institucional y Pruebas SABER 11</v>
          </cell>
          <cell r="I64" t="str">
            <v>SEGUIMIENTO_Y_SUPERVISIÓN.</v>
          </cell>
          <cell r="J64" t="str">
            <v xml:space="preserve">Verificar la implementación por parte de los colegios, de acciones realizadas para la prevención y atención de las situaciones de convivencia en el entorno escolar, según lo establecido en la Directiva 01 de 2022 del MEN. </v>
          </cell>
          <cell r="K64" t="str">
            <v xml:space="preserve">JUDITH SOLANO RAMÍREZ </v>
          </cell>
          <cell r="L64" t="str">
            <v xml:space="preserve">MARIA NANCY DUCUARA </v>
          </cell>
          <cell r="M64">
            <v>45827</v>
          </cell>
          <cell r="N64">
            <v>45847</v>
          </cell>
          <cell r="O64">
            <v>45847</v>
          </cell>
          <cell r="P64" t="str">
            <v>Visitas de evaluación con fines de mejoramiento</v>
          </cell>
          <cell r="Q64" t="str">
            <v>20250709_VisitaAdvaColSolesDelSaber.pdf</v>
          </cell>
          <cell r="R64" t="str">
            <v>La IE realiza la verificación periódica de las inhabilidades a los docentes, no al personal administrativo y de servicios generales.
No se encontraron evidencias de la operatividad del Comité de Convivencia Escolar.</v>
          </cell>
          <cell r="S64" t="str">
            <v xml:space="preserve"> Realizar la verificación periódica de los antecedentes de delitos sexuales a todas las personas vinculadas a la IE (docentes, administrativos y servicios generales). .
 Activar la ruta de atención integral una vez tenga conocimiento de una situación que afecta la convivencia escolar, dando cumplimiento a las actividades que apliquen en los protocolos establecidos.
 Incluir actividades de promoción y prevención de violencia sexual en el Proyecto de Sexualidad.</v>
          </cell>
          <cell r="T64" t="str">
            <v>Si</v>
          </cell>
          <cell r="U64" t="str">
            <v>Revisión documental en el mes de octubre de 2025 para verificar el cumplimiento de las acciones establecidas en el plan de mejoramiento.</v>
          </cell>
        </row>
        <row r="65">
          <cell r="A65">
            <v>565</v>
          </cell>
          <cell r="B65">
            <v>7</v>
          </cell>
          <cell r="C65" t="str">
            <v>CIUDAD BOLÍVAR</v>
          </cell>
          <cell r="D65" t="str">
            <v>PRIVADO</v>
          </cell>
          <cell r="E65" t="str">
            <v>EPBM</v>
          </cell>
          <cell r="F65" t="str">
            <v>COLEGIO_SOLES_DEL_SABER</v>
          </cell>
          <cell r="G65" t="str">
            <v>COLEGIO SOLES DEL SABER</v>
          </cell>
          <cell r="H65" t="str">
            <v>Autoevaluación Institucional y Pruebas SABER 11</v>
          </cell>
          <cell r="I65" t="str">
            <v>SEGUIMIENTO_Y_SUPERVISIÓN.</v>
          </cell>
          <cell r="J6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5" t="str">
            <v xml:space="preserve">JUDITH SOLANO RAMÍREZ </v>
          </cell>
          <cell r="L65" t="str">
            <v xml:space="preserve">MARIA NANCY DUCUARA </v>
          </cell>
          <cell r="M65">
            <v>45827</v>
          </cell>
          <cell r="N65">
            <v>45847</v>
          </cell>
          <cell r="O65">
            <v>45847</v>
          </cell>
          <cell r="P65" t="str">
            <v>Visitas de evaluación con fines de mejoramiento</v>
          </cell>
          <cell r="Q65" t="str">
            <v>20250709_VisitaAdvaColSolesDelSaber.pdf</v>
          </cell>
          <cell r="R65" t="str">
            <v>Se encontraron evidencias (Anexos1, 2 y 3 V14 del MEN) de la elaboración de PIAR tanto para estudiantes con trastornos de aprendizaje como para estudiantes con discapacidad, sin embargo falta documentar acciones.
Existe inconsistencia en el número reportado en el simat de estudiantes de inclusión con el número real atendido por la IE.</v>
          </cell>
          <cell r="S65" t="str">
            <v xml:space="preserve"> Revisar la información reportada en SIMAT, dadas las discrepancias en el número de estudiantes caracterizados con trastornos.
 Documentar el proceso de flexibilización para que se evidencia claramente los ajustes realizados de acuerdo con la condición de cada estudiante.</v>
          </cell>
          <cell r="T65" t="str">
            <v>Si</v>
          </cell>
          <cell r="U65" t="str">
            <v>Revisión documental en el mes de octubre de 2025 para verificar el cumplimiento de las acciones establecidas en el plan de mejoramiento.</v>
          </cell>
        </row>
        <row r="66">
          <cell r="A66">
            <v>566</v>
          </cell>
          <cell r="B66">
            <v>7</v>
          </cell>
          <cell r="C66" t="str">
            <v>CIUDAD BOLÍVAR</v>
          </cell>
          <cell r="D66" t="str">
            <v>PRIVADO</v>
          </cell>
          <cell r="E66" t="str">
            <v>EPBM</v>
          </cell>
          <cell r="F66" t="str">
            <v>COLEGIO_SOLES_DEL_SABER</v>
          </cell>
          <cell r="G66" t="str">
            <v>COLEGIO SOLES DEL SABER</v>
          </cell>
          <cell r="H66" t="str">
            <v>Autoevaluación Institucional y Pruebas SABER 11</v>
          </cell>
          <cell r="I66" t="str">
            <v>EVALUACIÓN_CON_FINES_DE_MEJORAMIENTO.</v>
          </cell>
          <cell r="J6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6" t="str">
            <v xml:space="preserve">JUDITH SOLANO RAMÍREZ </v>
          </cell>
          <cell r="L66" t="str">
            <v xml:space="preserve">MARIA NANCY DUCUARA </v>
          </cell>
          <cell r="M66">
            <v>45827</v>
          </cell>
          <cell r="N66">
            <v>45847</v>
          </cell>
          <cell r="O66">
            <v>45847</v>
          </cell>
          <cell r="P66" t="str">
            <v>Visitas de evaluación con fines de mejoramiento</v>
          </cell>
          <cell r="Q66" t="str">
            <v>20250709_VisitaAdvaColSolesDelSaber.pdf</v>
          </cell>
          <cell r="R66" t="str">
            <v>La IE no presentó evidencias que permitan determinar que:
 El Manual de Convivencia haya sido construido y adoptado de forma participativa.
 No se evidencia el enfoque restaurativo.</v>
          </cell>
          <cell r="S66" t="str">
            <v xml:space="preserve">Constituir las evidencias de la participación de la participación de todos los estamentos de la comunidad educativa en la elaboración  y adopción del Manual de Convivencia.
 Desarrollar el enfoque restaurativo en el manual de convivencia.
</v>
          </cell>
          <cell r="T66" t="str">
            <v>Si</v>
          </cell>
          <cell r="U66" t="str">
            <v>Revisión documental en el mes de octubre de 2025 para verificar el cumplimiento de las acciones establecidas en el plan de mejoramiento.</v>
          </cell>
        </row>
        <row r="67">
          <cell r="A67">
            <v>567</v>
          </cell>
          <cell r="B67">
            <v>7</v>
          </cell>
          <cell r="C67" t="str">
            <v>CIUDAD BOLÍVAR</v>
          </cell>
          <cell r="D67" t="str">
            <v>PRIVADO</v>
          </cell>
          <cell r="E67" t="str">
            <v>EPBM</v>
          </cell>
          <cell r="F67" t="str">
            <v>COLEGIO_SOLES_DEL_SABER</v>
          </cell>
          <cell r="G67" t="str">
            <v>COLEGIO SOLES DEL SABER</v>
          </cell>
          <cell r="H67" t="str">
            <v>Autoevaluación Institucional y Pruebas SABER 11</v>
          </cell>
          <cell r="I67" t="str">
            <v>EVALUACIÓN_CON_FINES_DE_MEJORAMIENTO.</v>
          </cell>
          <cell r="J67" t="str">
            <v>Revisar la actualización, socialización e implementación del Sistema Institucional de Evaluación de Estudiantes - SIEE, en articulación con la actualización del PEI y la normatividad vigente.</v>
          </cell>
          <cell r="K67" t="str">
            <v xml:space="preserve">JUDITH SOLANO RAMÍREZ </v>
          </cell>
          <cell r="L67" t="str">
            <v xml:space="preserve">MARIA NANCY DUCUARA </v>
          </cell>
          <cell r="M67">
            <v>45827</v>
          </cell>
          <cell r="N67">
            <v>45847</v>
          </cell>
          <cell r="O67">
            <v>45847</v>
          </cell>
          <cell r="P67" t="str">
            <v>Visitas de evaluación con fines de mejoramiento</v>
          </cell>
          <cell r="Q67" t="str">
            <v>20250709_VisitaAdvaColSolesDelSaber.pdf</v>
          </cell>
          <cell r="R67" t="str">
            <v>La IE presenta documento SIEE actualizado e implementado acorde con su PEI. Sin embargo presenta inconsistencias ya que no hay procedimiento para las reclamaciones. La valoración de las nivelaciones es ambiguo. Las comisiones de evaluación no tienen reglamento.</v>
          </cell>
          <cell r="S67" t="str">
            <v xml:space="preserve"> Definir el procedimiento para la presentación de reclamaciones.
 Eliminar del SIEE el requisito de excelencia académica para ser proclamado como bachiller.
 Modificar la valoración de las nivelaciones que comprende un 50% escrito y un 50% de sustentación.
 Revisar la conformación y las funciones de las Comisiones de Evaluación y Promoción, de manera que se aplique lo establecido en el PEI y en la normatividad vigente.</v>
          </cell>
          <cell r="T67" t="str">
            <v>Si</v>
          </cell>
          <cell r="U67" t="str">
            <v>Revisión documental en el mes de octubre de 2025 para verificar el cumplimiento de las acciones establecidas en el plan de mejoramiento.</v>
          </cell>
        </row>
        <row r="68">
          <cell r="A68">
            <v>568</v>
          </cell>
          <cell r="B68">
            <v>7</v>
          </cell>
          <cell r="C68" t="str">
            <v>CIUDAD BOLÍVAR</v>
          </cell>
          <cell r="D68" t="str">
            <v>PRIVADO</v>
          </cell>
          <cell r="E68" t="str">
            <v>EPBM</v>
          </cell>
          <cell r="F68" t="str">
            <v>COLEGIO_SOLES_DEL_SABER</v>
          </cell>
          <cell r="G68" t="str">
            <v>COLEGIO SOLES DEL SABER</v>
          </cell>
          <cell r="H68" t="str">
            <v>Autoevaluación Institucional y Pruebas SABER 11</v>
          </cell>
          <cell r="I68" t="str">
            <v>EVALUACIÓN_CON_FINES_DE_MEJORAMIENTO.</v>
          </cell>
          <cell r="J68" t="str">
            <v>Revisar el calendario escolar, jornada escolar, la intensidad horaria mínima anual en cada nivel y las modificaciones que se realicen al mismo, de acuerdo con lo previsto en la normatividad vigente.</v>
          </cell>
          <cell r="K68" t="str">
            <v xml:space="preserve">JUDITH SOLANO RAMÍREZ </v>
          </cell>
          <cell r="L68" t="str">
            <v xml:space="preserve">MARIA NANCY DUCUARA </v>
          </cell>
          <cell r="M68">
            <v>45827</v>
          </cell>
          <cell r="N68">
            <v>45847</v>
          </cell>
          <cell r="O68">
            <v>45847</v>
          </cell>
          <cell r="P68" t="str">
            <v>Visitas de evaluación con fines de mejoramiento</v>
          </cell>
          <cell r="Q68" t="str">
            <v>20250709_VisitaAdvaColSolesDelSaber.pdf</v>
          </cell>
          <cell r="R68" t="str">
            <v>En el Calendario Académico se identificó que las fechas de inicio y finalización, así como las horas de llegada y salida reportadas al Nivel Central de la SED  no coinciden con el documento aportado para la visita. No presentan Circular a Padres de Familia. Se evidencia que no se está dando cumplimiento a las 40 semanas establecidas en la normatividad vigente</v>
          </cell>
          <cell r="S68" t="str">
            <v>Realizar las correcciones correspondientes en el Calendario Académico para dar cumplimiento a la normatividad establecida respecto a las semanas e intensidad horaria mínima.</v>
          </cell>
          <cell r="T68" t="str">
            <v>Si</v>
          </cell>
          <cell r="U68" t="str">
            <v>Revisión documental en el mes de octubre de 2025 para verificar el cumplimiento de las acciones establecidas en el plan de mejoramiento.</v>
          </cell>
        </row>
        <row r="69">
          <cell r="A69">
            <v>569</v>
          </cell>
          <cell r="B69">
            <v>7</v>
          </cell>
          <cell r="C69" t="str">
            <v>CIUDAD BOLÍVAR</v>
          </cell>
          <cell r="D69" t="str">
            <v>PRIVADO</v>
          </cell>
          <cell r="E69" t="str">
            <v>EPBM</v>
          </cell>
          <cell r="F69" t="str">
            <v>COLEGIO_SOLES_DEL_SABER</v>
          </cell>
          <cell r="G69" t="str">
            <v>COLEGIO SOLES DEL SABER</v>
          </cell>
          <cell r="H69" t="str">
            <v>Autoevaluación Institucional y Pruebas SABER 11</v>
          </cell>
          <cell r="I69" t="str">
            <v>EVALUACIÓN_CON_FINES_DE_MEJORAMIENTO.</v>
          </cell>
          <cell r="J69" t="str">
            <v>Verificar el funcionamiento del Gobierno Escolar e instancias de participación con base en la información sobre conformación reportada por la institución educativa.</v>
          </cell>
          <cell r="K69" t="str">
            <v xml:space="preserve">JUDITH SOLANO RAMÍREZ </v>
          </cell>
          <cell r="L69" t="str">
            <v xml:space="preserve">MARIA NANCY DUCUARA </v>
          </cell>
          <cell r="M69">
            <v>45827</v>
          </cell>
          <cell r="N69">
            <v>45847</v>
          </cell>
          <cell r="O69">
            <v>45847</v>
          </cell>
          <cell r="P69" t="str">
            <v>Visitas de evaluación con fines de mejoramiento</v>
          </cell>
          <cell r="Q69" t="str">
            <v>20250709_VisitaAdvaColSolesDelSaber.pdf</v>
          </cell>
          <cell r="R69" t="str">
            <v>La IE no presenta evidencias de la operatividad de ninguno de los órganos del Gobierno Escolar ni de las instancias de participación.</v>
          </cell>
          <cell r="S69" t="str">
            <v>Dar operatividad a los estamentos del Gobierno Escolar y demás instancias de participación, presentando las evidencias correspondientes.</v>
          </cell>
          <cell r="T69" t="str">
            <v>Si</v>
          </cell>
          <cell r="U69" t="str">
            <v>Revisión documental en el mes de octubre de 2025 para verificar el cumplimiento de las acciones establecidas en el plan de mejoramiento.</v>
          </cell>
        </row>
        <row r="70">
          <cell r="A70">
            <v>570</v>
          </cell>
          <cell r="B70">
            <v>7</v>
          </cell>
          <cell r="C70" t="str">
            <v>CIUDAD BOLÍVAR</v>
          </cell>
          <cell r="D70" t="str">
            <v>PRIVADO</v>
          </cell>
          <cell r="E70" t="str">
            <v>EPBM</v>
          </cell>
          <cell r="F70" t="str">
            <v>COLEGIO_SOLES_DEL_SABER</v>
          </cell>
          <cell r="G70" t="str">
            <v>COLEGIO SOLES DEL SABER</v>
          </cell>
          <cell r="H70" t="str">
            <v>Autoevaluación Institucional y Pruebas SABER 11</v>
          </cell>
          <cell r="I70" t="str">
            <v>EVALUACIÓN_CON_FINES_DE_MEJORAMIENTO.</v>
          </cell>
          <cell r="J70" t="str">
            <v>Verificar las condiciones en cuanto a: la estructura administrativa, condiciones de la planta física y medios educativos adecuados.</v>
          </cell>
          <cell r="K70" t="str">
            <v xml:space="preserve">JUDITH SOLANO RAMÍREZ </v>
          </cell>
          <cell r="L70" t="str">
            <v xml:space="preserve">MARIA NANCY DUCUARA </v>
          </cell>
          <cell r="M70">
            <v>45827</v>
          </cell>
          <cell r="N70">
            <v>45847</v>
          </cell>
          <cell r="O70">
            <v>45847</v>
          </cell>
          <cell r="P70" t="str">
            <v>Visitas de evaluación con fines de mejoramiento</v>
          </cell>
          <cell r="Q70" t="str">
            <v>20250709_VisitaAdvaColSolesDelSaber.pdf</v>
          </cell>
          <cell r="R70" t="str">
            <v>La IE no presenta organigrama que de cuenta de  su estructura administrativa. No cuenta con un manual de funciones para los cargos existentes. Los ambientes de aprendizaje y espacios administrativos no tienen en cuenta a la población con discapacidad. Los espacios lúdicos, recreativos y culturales no son suficientes. No cuentan con convenios de ambientes compartidos de acuerdo a la normatividad vigente.</v>
          </cell>
          <cell r="S70" t="str">
            <v xml:space="preserve">
 Elaborar organigrama que defina las áreas y dependencias funcionales de acuerdo con la realidad institucional.
Elaborar Manual de Funciones para los cargos existentes.
 Implementar un contrato de matrícula que establezca los derechos y obligaciones de las partes, las causales de terminación y las condiciones de renovación.
 Adecuar los espacios que brinden fácil acceso a personas con discapacidad.
 Mejorar el mobiliario de los amientes de aprendizaje.
 Adelantar el proceso para la autorización del convenio de ambientes compartidos ante la DIV.</v>
          </cell>
          <cell r="T70" t="str">
            <v>Si</v>
          </cell>
          <cell r="U70" t="str">
            <v>Revisión documental en el mes de octubre de 2025 para verificar el cumplimiento de las acciones establecidas en el plan de mejoramiento.</v>
          </cell>
        </row>
        <row r="71">
          <cell r="A71">
            <v>571</v>
          </cell>
          <cell r="B71">
            <v>8</v>
          </cell>
          <cell r="C71" t="str">
            <v>CIUDAD BOLÍVAR</v>
          </cell>
          <cell r="D71" t="str">
            <v>PRIVADO</v>
          </cell>
          <cell r="E71" t="str">
            <v>EPBM</v>
          </cell>
          <cell r="F71" t="str">
            <v>COLEGIO_POPULAR_BOLIVARIANO</v>
          </cell>
          <cell r="G71" t="str">
            <v>COLEGIO POPULAR BOLIVARIANO</v>
          </cell>
          <cell r="H71" t="str">
            <v>Autoevaluación Institucional y Pruebas SABER 11</v>
          </cell>
          <cell r="I71" t="str">
            <v>SEGUIMIENTO_Y_SUPERVISIÓN.</v>
          </cell>
          <cell r="J71" t="str">
            <v>Realizar visitas para verificar la información registrada sobre la autoevaluación institucional en el aplicativo EVI, a los establecimientos de educación formal no oficial.</v>
          </cell>
          <cell r="K71" t="str">
            <v xml:space="preserve">MARIA NANCY DUCUARA </v>
          </cell>
          <cell r="L71" t="str">
            <v xml:space="preserve">CLAUDIA DOMÍNGUEZ TORRES </v>
          </cell>
          <cell r="M71">
            <v>45828</v>
          </cell>
          <cell r="N71">
            <v>45867</v>
          </cell>
          <cell r="O71">
            <v>45867</v>
          </cell>
          <cell r="P71" t="str">
            <v>Visitas de evaluación con fines de mejoramiento</v>
          </cell>
          <cell r="Q71" t="str">
            <v>20250729 COLEGIO POPULAR BOLIVARIANO.pdf</v>
          </cell>
          <cell r="R71" t="str">
            <v>Se encuentra conformidad con lo reportado en EVI. Se evidencia que la dirección del colegio ha sido modificada en catastro, por lo que ya no corresponde con la de la licencia de funcionamiento.</v>
          </cell>
          <cell r="S71" t="str">
            <v>Realizar el proceso de solicitud de actualización de la dirección de la sede que tiene licencia de funcionamiento</v>
          </cell>
          <cell r="T71" t="str">
            <v>Si</v>
          </cell>
          <cell r="U71" t="str">
            <v>Revisión documental en el mes de octubre de 2025 para verificar el cumplimiento de las acciones establecidas en el plan de mejoramiento.</v>
          </cell>
        </row>
        <row r="72">
          <cell r="A72">
            <v>572</v>
          </cell>
          <cell r="B72">
            <v>8</v>
          </cell>
          <cell r="C72" t="str">
            <v>CIUDAD BOLÍVAR</v>
          </cell>
          <cell r="D72" t="str">
            <v>PRIVADO</v>
          </cell>
          <cell r="E72" t="str">
            <v>EPBM</v>
          </cell>
          <cell r="F72" t="str">
            <v>COLEGIO_POPULAR_BOLIVARIANO</v>
          </cell>
          <cell r="G72" t="str">
            <v>COLEGIO POPULAR BOLIVARIANO</v>
          </cell>
          <cell r="H72" t="str">
            <v>Autoevaluación Institucional y Pruebas SABER 11</v>
          </cell>
          <cell r="I72" t="str">
            <v>SEGUIMIENTO_Y_SUPERVISIÓN.</v>
          </cell>
          <cell r="J72" t="str">
            <v>Proponer estrategias en la formulación, verificar su elaboración y realizar seguimiento semestral al desarrollo de  las acciones establecidas en los planes de mejoramiento por pruebas SABER 11 de los establecimientos de educación formal.</v>
          </cell>
          <cell r="K72" t="str">
            <v xml:space="preserve">MARIA NANCY DUCUARA </v>
          </cell>
          <cell r="L72" t="str">
            <v xml:space="preserve">CLAUDIA DOMÍNGUEZ TORRES </v>
          </cell>
          <cell r="M72">
            <v>45828</v>
          </cell>
          <cell r="N72">
            <v>45867</v>
          </cell>
          <cell r="O72">
            <v>45867</v>
          </cell>
          <cell r="P72" t="str">
            <v>Visitas de evaluación con fines de mejoramiento</v>
          </cell>
          <cell r="Q72" t="str">
            <v>20250729 COLEGIO POPULAR BOLIVARIANO.pdf</v>
          </cell>
          <cell r="R72" t="str">
            <v>Realizan un resumen cuantitativo de los resultadosde las pruebas SABER, sin embargo no se realiza revisión y análisis de los resultados de las pruebas para la mejora de los resultados.</v>
          </cell>
          <cell r="S72" t="str">
            <v>Realizar análisis cuantitativo y cualitativo de las pruebas SABER generando estrategias para la mejora del desenvolvimiento de los estudiantes en este tipo de pruebas.</v>
          </cell>
          <cell r="T72" t="str">
            <v>Si</v>
          </cell>
          <cell r="U72" t="str">
            <v>Revisión documental en el mes de octubre de 2025 para verificar el cumplimiento de las acciones establecidas en el plan de mejoramiento.</v>
          </cell>
        </row>
        <row r="73">
          <cell r="A73">
            <v>573</v>
          </cell>
          <cell r="B73">
            <v>8</v>
          </cell>
          <cell r="C73" t="str">
            <v>CIUDAD BOLÍVAR</v>
          </cell>
          <cell r="D73" t="str">
            <v>PRIVADO</v>
          </cell>
          <cell r="E73" t="str">
            <v>EPBM</v>
          </cell>
          <cell r="F73" t="str">
            <v>COLEGIO_POPULAR_BOLIVARIANO</v>
          </cell>
          <cell r="G73" t="str">
            <v>COLEGIO POPULAR BOLIVARIANO</v>
          </cell>
          <cell r="H73" t="str">
            <v>Autoevaluación Institucional y Pruebas SABER 11</v>
          </cell>
          <cell r="I73" t="str">
            <v>SEGUIMIENTO_Y_SUPERVISIÓN.</v>
          </cell>
          <cell r="J73" t="str">
            <v xml:space="preserve">Verificar la implementación por parte de los colegios, de acciones realizadas para la prevención y atención de las situaciones de convivencia en el entorno escolar, según lo establecido en la Directiva 01 de 2022 del MEN. </v>
          </cell>
          <cell r="K73" t="str">
            <v xml:space="preserve">MARIA NANCY DUCUARA </v>
          </cell>
          <cell r="L73" t="str">
            <v xml:space="preserve">CLAUDIA DOMÍNGUEZ TORRES </v>
          </cell>
          <cell r="M73">
            <v>45828</v>
          </cell>
          <cell r="N73">
            <v>45898</v>
          </cell>
          <cell r="O73">
            <v>45898</v>
          </cell>
          <cell r="P73" t="str">
            <v>Visitas de evaluación con fines de mejoramiento</v>
          </cell>
          <cell r="Q73" t="str">
            <v>20250729 COLEGIO POPULAR BOLIVARIANO.pdf</v>
          </cell>
          <cell r="R73" t="str">
            <v xml:space="preserve">
Aunque existe documentación de los casos y activación de rutas de atención, no hay evidencia de operatividad del Comité de Convivencia Escolar.  
Si bien existen acciones de prevención y promoción, no hay Plan de Convivencia Escolar</v>
          </cell>
          <cell r="S73" t="str">
            <v xml:space="preserve">
Establecer el reglamento interno para del Comité de Convivencia.
Construir el Plan de Convivencia Escolar.
</v>
          </cell>
          <cell r="T73" t="str">
            <v>Si</v>
          </cell>
          <cell r="U73" t="str">
            <v>Revisión documental en el mes de octubre de 2025 para verificar el cumplimiento de las acciones establecidas en el plan de mejoramiento.</v>
          </cell>
        </row>
        <row r="74">
          <cell r="A74">
            <v>574</v>
          </cell>
          <cell r="B74">
            <v>8</v>
          </cell>
          <cell r="C74" t="str">
            <v>CIUDAD BOLÍVAR</v>
          </cell>
          <cell r="D74" t="str">
            <v>PRIVADO</v>
          </cell>
          <cell r="E74" t="str">
            <v>EPBM</v>
          </cell>
          <cell r="F74" t="str">
            <v>COLEGIO_POPULAR_BOLIVARIANO</v>
          </cell>
          <cell r="G74" t="str">
            <v>COLEGIO POPULAR BOLIVARIANO</v>
          </cell>
          <cell r="H74" t="str">
            <v>Autoevaluación Institucional y Pruebas SABER 11</v>
          </cell>
          <cell r="I74" t="str">
            <v>SEGUIMIENTO_Y_SUPERVISIÓN.</v>
          </cell>
          <cell r="J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4" t="str">
            <v xml:space="preserve">MARIA NANCY DUCUARA </v>
          </cell>
          <cell r="L74" t="str">
            <v xml:space="preserve">CLAUDIA DOMÍNGUEZ TORRES </v>
          </cell>
          <cell r="M74">
            <v>45828</v>
          </cell>
          <cell r="N74">
            <v>45867</v>
          </cell>
          <cell r="O74">
            <v>45867</v>
          </cell>
          <cell r="P74" t="str">
            <v>Visitas de evaluación con fines de mejoramiento</v>
          </cell>
          <cell r="Q74" t="str">
            <v>20250729 COLEGIO POPULAR BOLIVARIANO.pdf</v>
          </cell>
          <cell r="R74" t="str">
            <v xml:space="preserve">La institución educativa tiene identificada y caracterizada la población con necesidades educativas especiales, así mismo cuenta con PIAR de cada uno de los estudiantes identificados. </v>
          </cell>
          <cell r="S74" t="str">
            <v>Continuar con el seguiemiento de la ejecución de los ajustes razonables.</v>
          </cell>
          <cell r="T74" t="str">
            <v>No</v>
          </cell>
          <cell r="U74" t="str">
            <v xml:space="preserve">Continuar con el fortalecimiento de la prestación del servicio educativo bajo principios de calidad. </v>
          </cell>
        </row>
        <row r="75">
          <cell r="A75">
            <v>575</v>
          </cell>
          <cell r="B75">
            <v>8</v>
          </cell>
          <cell r="C75" t="str">
            <v>CIUDAD BOLÍVAR</v>
          </cell>
          <cell r="D75" t="str">
            <v>PRIVADO</v>
          </cell>
          <cell r="E75" t="str">
            <v>EPBM</v>
          </cell>
          <cell r="F75" t="str">
            <v>COLEGIO_POPULAR_BOLIVARIANO</v>
          </cell>
          <cell r="G75" t="str">
            <v>COLEGIO POPULAR BOLIVARIANO</v>
          </cell>
          <cell r="H75" t="str">
            <v>Autoevaluación Institucional y Pruebas SABER 11</v>
          </cell>
          <cell r="I75" t="str">
            <v>EVALUACIÓN_CON_FINES_DE_MEJORAMIENTO.</v>
          </cell>
          <cell r="J7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5" t="str">
            <v xml:space="preserve">MARIA NANCY DUCUARA </v>
          </cell>
          <cell r="L75" t="str">
            <v xml:space="preserve">CLAUDIA DOMÍNGUEZ TORRES </v>
          </cell>
          <cell r="M75">
            <v>45828</v>
          </cell>
          <cell r="N75">
            <v>45867</v>
          </cell>
          <cell r="O75">
            <v>45867</v>
          </cell>
          <cell r="P75" t="str">
            <v>Visitas de evaluación con fines de mejoramiento</v>
          </cell>
          <cell r="Q75" t="str">
            <v>20250729 COLEGIO POPULAR BOLIVARIANO.pdf</v>
          </cell>
          <cell r="R75" t="str">
            <v xml:space="preserve">No existe evidencia de la construcción participativa del Manual de Convivencia. No se incluye el enfoque restaurativo ni el de género. </v>
          </cell>
          <cell r="S75" t="str">
            <v>Realizar la actualización del Manual de Convivencia con participación de la comunidad educativa, integrando la atención a los PQRs, el debido proceso y los enfoques restaurativo y de género. Teniendo en cuenta la actualidad normativa y la jurisprudencia.</v>
          </cell>
          <cell r="T75" t="str">
            <v>Si</v>
          </cell>
          <cell r="U75" t="str">
            <v>Revisión documental en el mes de octubre de 2025 para verificar el cumplimiento de las acciones establecidas en el plan de mejoramiento.</v>
          </cell>
        </row>
        <row r="76">
          <cell r="A76">
            <v>576</v>
          </cell>
          <cell r="B76">
            <v>8</v>
          </cell>
          <cell r="C76" t="str">
            <v>CIUDAD BOLÍVAR</v>
          </cell>
          <cell r="D76" t="str">
            <v>PRIVADO</v>
          </cell>
          <cell r="E76" t="str">
            <v>EPBM</v>
          </cell>
          <cell r="F76" t="str">
            <v>COLEGIO_POPULAR_BOLIVARIANO</v>
          </cell>
          <cell r="G76" t="str">
            <v>COLEGIO POPULAR BOLIVARIANO</v>
          </cell>
          <cell r="H76" t="str">
            <v>Autoevaluación Institucional y Pruebas SABER 11</v>
          </cell>
          <cell r="I76" t="str">
            <v>EVALUACIÓN_CON_FINES_DE_MEJORAMIENTO.</v>
          </cell>
          <cell r="J76" t="str">
            <v>Revisar la actualización, socialización e implementación del Sistema Institucional de Evaluación de Estudiantes - SIEE, en articulación con la actualización del PEI y la normatividad vigente.</v>
          </cell>
          <cell r="K76" t="str">
            <v xml:space="preserve">MARIA NANCY DUCUARA </v>
          </cell>
          <cell r="L76" t="str">
            <v xml:space="preserve">CLAUDIA DOMÍNGUEZ TORRES </v>
          </cell>
          <cell r="M76">
            <v>45828</v>
          </cell>
          <cell r="N76">
            <v>45867</v>
          </cell>
          <cell r="O76">
            <v>45898</v>
          </cell>
          <cell r="P76" t="str">
            <v>Visitas de evaluación con fines de mejoramiento</v>
          </cell>
          <cell r="Q76" t="str">
            <v>20250729 COLEGIO POPULAR BOLIVARIANO.pdf</v>
          </cell>
          <cell r="R76" t="str">
            <v>La institución educativa tiene un Sistema de Evaluación de los estudiantes SIEE donde existen mecanismos de retroalimentación y coevaluación de Proceso formativo. Contempla Asesorías y Refuerzo escolar, compromisos de mejoramiento y opciones de nivelación en junio y noviembre, para estudiantes con promedio bajo.</v>
          </cell>
          <cell r="S76" t="str">
            <v>Continuar con las actividades determinadas para el mejoramiento académico de los estudiantes.</v>
          </cell>
          <cell r="T76" t="str">
            <v>No</v>
          </cell>
          <cell r="U76" t="str">
            <v xml:space="preserve">Continuar con el fortalecimiento de la prestación del servicio educativo bajo principios de calidad. </v>
          </cell>
        </row>
        <row r="77">
          <cell r="A77">
            <v>577</v>
          </cell>
          <cell r="B77">
            <v>8</v>
          </cell>
          <cell r="C77" t="str">
            <v>CIUDAD BOLÍVAR</v>
          </cell>
          <cell r="D77" t="str">
            <v>PRIVADO</v>
          </cell>
          <cell r="E77" t="str">
            <v>EPBM</v>
          </cell>
          <cell r="F77" t="str">
            <v>COLEGIO_POPULAR_BOLIVARIANO</v>
          </cell>
          <cell r="G77" t="str">
            <v>COLEGIO POPULAR BOLIVARIANO</v>
          </cell>
          <cell r="H77" t="str">
            <v>Autoevaluación Institucional y Pruebas SABER 11</v>
          </cell>
          <cell r="I77" t="str">
            <v>EVALUACIÓN_CON_FINES_DE_MEJORAMIENTO.</v>
          </cell>
          <cell r="J77" t="str">
            <v>Revisar el calendario escolar, jornada escolar, la intensidad horaria mínima anual en cada nivel y las modificaciones que se realicen al mismo, de acuerdo con lo previsto en la normatividad vigente.</v>
          </cell>
          <cell r="K77" t="str">
            <v xml:space="preserve">MARIA NANCY DUCUARA </v>
          </cell>
          <cell r="L77" t="str">
            <v xml:space="preserve">CLAUDIA DOMÍNGUEZ TORRES </v>
          </cell>
          <cell r="M77">
            <v>45828</v>
          </cell>
          <cell r="N77">
            <v>45867</v>
          </cell>
          <cell r="O77">
            <v>45867</v>
          </cell>
          <cell r="P77" t="str">
            <v>Visitas de evaluación con fines de mejoramiento</v>
          </cell>
          <cell r="Q77" t="str">
            <v>20250729 COLEGIO POPULAR BOLIVARIANO.pdf</v>
          </cell>
          <cell r="R77" t="str">
            <v xml:space="preserve">El Plan de Estudios de Preescolar tiene una estructura rígida y una intensidad horaria fragmentada. El área de comerciales y emprendimiento se mantiene con dos horas semanales en décimo y once, es importante que esta área no disminuya la intensidad horaria de las demás áreas académicas. </v>
          </cell>
          <cell r="S77" t="str">
            <v>Realizar la actualización del Plan de Estudios para que se evidencie los niveles de desarrollo en preescolar. Realizar la actualización de distribución de horas por asignatura que evidencien los objetivos específicos o estándares de desempeño por cada grado o ciclo. 
Realizar el ajuste en media académica para que la especialidad en comercial no desplace otras áreas.</v>
          </cell>
          <cell r="T77" t="str">
            <v>Si</v>
          </cell>
          <cell r="U77" t="str">
            <v>Revisión documental en el mes de octubre de 2025 para verificar el cumplimiento de las acciones establecidas en el plan de mejoramiento.</v>
          </cell>
        </row>
        <row r="78">
          <cell r="A78">
            <v>578</v>
          </cell>
          <cell r="B78">
            <v>8</v>
          </cell>
          <cell r="C78" t="str">
            <v>CIUDAD BOLÍVAR</v>
          </cell>
          <cell r="D78" t="str">
            <v>PRIVADO</v>
          </cell>
          <cell r="E78" t="str">
            <v>EPBM</v>
          </cell>
          <cell r="F78" t="str">
            <v>COLEGIO_POPULAR_BOLIVARIANO</v>
          </cell>
          <cell r="G78" t="str">
            <v>COLEGIO POPULAR BOLIVARIANO</v>
          </cell>
          <cell r="H78" t="str">
            <v>Autoevaluación Institucional y Pruebas SABER 11</v>
          </cell>
          <cell r="I78" t="str">
            <v>EVALUACIÓN_CON_FINES_DE_MEJORAMIENTO.</v>
          </cell>
          <cell r="J78" t="str">
            <v>Verificar el funcionamiento del Gobierno Escolar e instancias de participación con base en la información sobre conformación reportada por la institución educativa.</v>
          </cell>
          <cell r="K78" t="str">
            <v xml:space="preserve">MARIA NANCY DUCUARA </v>
          </cell>
          <cell r="L78" t="str">
            <v xml:space="preserve">CLAUDIA DOMÍNGUEZ TORRES </v>
          </cell>
          <cell r="M78">
            <v>45828</v>
          </cell>
          <cell r="N78">
            <v>45867</v>
          </cell>
          <cell r="O78">
            <v>45867</v>
          </cell>
          <cell r="P78" t="str">
            <v>Visitas de evaluación con fines de mejoramiento</v>
          </cell>
          <cell r="Q78" t="str">
            <v>20250729 COLEGIO POPULAR BOLIVARIANO.pdf</v>
          </cell>
          <cell r="R78" t="str">
            <v>Los estamentos de participación están conformados y existen actas de su funcionamiento, sin embargo, las actas no contienen las firmas de los participantes en las reuniones. Los estamentos de participación no tienen establecido su reglamento, ni Plan de Acción.</v>
          </cell>
          <cell r="S78" t="str">
            <v xml:space="preserve">Realizar la revisión de las actas de los estamentos de participación para que se encuentren debidamente firmadas por los participantes. 
Elaborar el reglamento de los estamentos de participación.
Construir el Plan de acción de los estamentos de participación.
</v>
          </cell>
          <cell r="T78" t="str">
            <v>Si</v>
          </cell>
          <cell r="U78" t="str">
            <v>Revisión documental en el mes de octubre de 2025 para verificar el cumplimiento de las acciones establecidas en el plan de mejoramiento.</v>
          </cell>
        </row>
        <row r="79">
          <cell r="A79">
            <v>579</v>
          </cell>
          <cell r="B79">
            <v>8</v>
          </cell>
          <cell r="C79" t="str">
            <v>CIUDAD BOLÍVAR</v>
          </cell>
          <cell r="D79" t="str">
            <v>PRIVADO</v>
          </cell>
          <cell r="E79" t="str">
            <v>EPBM</v>
          </cell>
          <cell r="F79" t="str">
            <v>COLEGIO_POPULAR_BOLIVARIANO</v>
          </cell>
          <cell r="G79" t="str">
            <v>COLEGIO POPULAR BOLIVARIANO</v>
          </cell>
          <cell r="H79" t="str">
            <v>Autoevaluación Institucional y Pruebas SABER 11</v>
          </cell>
          <cell r="I79" t="str">
            <v>EVALUACIÓN_CON_FINES_DE_MEJORAMIENTO.</v>
          </cell>
          <cell r="J79" t="str">
            <v>Verificar las condiciones en cuanto a: la estructura administrativa, condiciones de la planta física y medios educativos adecuados.</v>
          </cell>
          <cell r="K79" t="str">
            <v xml:space="preserve">MARIA NANCY DUCUARA </v>
          </cell>
          <cell r="L79" t="str">
            <v xml:space="preserve">CLAUDIA DOMÍNGUEZ TORRES </v>
          </cell>
          <cell r="M79">
            <v>45828</v>
          </cell>
          <cell r="N79">
            <v>45867</v>
          </cell>
          <cell r="O79">
            <v>45867</v>
          </cell>
          <cell r="P79" t="str">
            <v>Visitas de evaluación con fines de mejoramiento</v>
          </cell>
          <cell r="Q79" t="str">
            <v>20250729 COLEGIO POPULAR BOLIVARIANO.pdf</v>
          </cell>
          <cell r="R79" t="str">
            <v>A nivel estructural se encuentra que existen salones y con espacios de recreación suficientes, sin embargo no tienen resolución de ambientes compartidos. 
Existe multigrado en preescolar y primaria.
No cuenta con organigrama actualizado de acuerdo a los cargos que se encuentran en la IE.
No se tiene reglamento Interno de Trabajo.
No se realiza el proceso de verificación de inhabilidades por delitos sexuales.
El Plan de Gestión del Riesgo se encuentra con documentos desactualizados y no hay conformación del del comité de gestión del riesgo.</v>
          </cell>
          <cell r="S79" t="str">
            <v>Realizar separación de grados, con salones independientes para cada uno.
Realizar el trámite de ambientes compartidos.
Actualizar el organigrama y construir el reglamento de trabajo.
Realizar el proceso de verificación de inhabilidades por delitos sexuales cada cuatro meses.
Realizar la actualización de la documentación en el SURE, conformar y operativisar el Comité de Gestión del riesgo.</v>
          </cell>
          <cell r="T79" t="str">
            <v>Si</v>
          </cell>
          <cell r="U79" t="str">
            <v>La IE hará entrega del Plan de Mejoramiento el 30/09/2025.
El ELIV realizará seguimiento en el mes de octubre de 2025 para verificar el cumplimiento de las acciones propuestas en el plan de mejoramiento.</v>
          </cell>
        </row>
        <row r="80">
          <cell r="A80">
            <v>580</v>
          </cell>
          <cell r="B80">
            <v>9</v>
          </cell>
          <cell r="C80" t="str">
            <v>CIUDAD BOLÍVAR</v>
          </cell>
          <cell r="D80" t="str">
            <v>PRIVADO</v>
          </cell>
          <cell r="E80" t="str">
            <v>EPBM</v>
          </cell>
          <cell r="F80" t="str">
            <v>INSTITUTO_SANTA_ANA_LUZ_DEL_CARMEN</v>
          </cell>
          <cell r="G80" t="str">
            <v>INSTITUTO SANTA ANA LUZ DEL CARMEN</v>
          </cell>
          <cell r="H80" t="str">
            <v>Autoevaluación Institucional y Pruebas SABER 11</v>
          </cell>
          <cell r="I80" t="str">
            <v>SEGUIMIENTO_Y_SUPERVISIÓN.</v>
          </cell>
          <cell r="J80" t="str">
            <v>Realizar visitas para verificar la información registrada sobre la autoevaluación institucional en el aplicativo EVI, a los establecimientos de educación formal no oficial.</v>
          </cell>
          <cell r="K80" t="str">
            <v xml:space="preserve">CLAUDIA DOMÍNGUEZ TORRES </v>
          </cell>
          <cell r="L80" t="str">
            <v>ÓSCAR JAVIER CÁRDENAS MUÑOZ</v>
          </cell>
          <cell r="M80">
            <v>45868</v>
          </cell>
          <cell r="N80">
            <v>45769</v>
          </cell>
          <cell r="O80">
            <v>45769</v>
          </cell>
          <cell r="P80" t="str">
            <v>Visitas de evaluación con fines de mejoramiento</v>
          </cell>
          <cell r="Q80" t="str">
            <v>Visita administrativa Ins Santa Ana Luz del Carmen (1).pdf</v>
          </cell>
          <cell r="R80" t="str">
            <v xml:space="preserve">Se encuentra conformidad con lo reportado en EVI. </v>
          </cell>
          <cell r="S80" t="str">
            <v>Se insta a la IE a continuar con el debido reporte en el EVI en el marco de la realidad institucional y de las actualizaciones y adecuaciones a la IE</v>
          </cell>
          <cell r="T80" t="str">
            <v>No</v>
          </cell>
          <cell r="U80" t="str">
            <v xml:space="preserve">Continuar con el fortalecimiento de la prestación del servicio educativo bajo principios de calidad. </v>
          </cell>
        </row>
        <row r="81">
          <cell r="A81">
            <v>2786</v>
          </cell>
          <cell r="B81">
            <v>9</v>
          </cell>
          <cell r="C81" t="str">
            <v>CIUDAD BOLÍVAR</v>
          </cell>
          <cell r="D81" t="str">
            <v>PRIVADO</v>
          </cell>
          <cell r="E81" t="str">
            <v>EPBM</v>
          </cell>
          <cell r="F81" t="str">
            <v>INSTITUTO_SANTA_ANA_LUZ_DEL_CARMEN</v>
          </cell>
          <cell r="G81" t="str">
            <v>INSTITUTO SANTA ANA LUZ DEL CARMEN</v>
          </cell>
          <cell r="H81" t="str">
            <v>Autoevaluación Institucional y Pruebas SABER 11</v>
          </cell>
          <cell r="I81" t="str">
            <v>SEGUIMIENTO_Y_SUPERVISIÓN.</v>
          </cell>
          <cell r="J81" t="str">
            <v>Proponer estrategias en la formulación, verificar su elaboración y realizar seguimiento semestral al desarrollo de  las acciones establecidas en los planes de mejoramiento por pruebas SABER 11 de los establecimientos de educación formal.</v>
          </cell>
          <cell r="K81" t="str">
            <v xml:space="preserve">CLAUDIA DOMÍNGUEZ TORRES </v>
          </cell>
          <cell r="L81" t="str">
            <v>ÓSCAR JAVIER CÁRDENAS MUÑOZ</v>
          </cell>
          <cell r="M81">
            <v>45868</v>
          </cell>
          <cell r="N81">
            <v>45769</v>
          </cell>
          <cell r="O81">
            <v>45769</v>
          </cell>
          <cell r="P81" t="str">
            <v>Visitas de evaluación con fines de mejoramiento</v>
          </cell>
          <cell r="Q81" t="str">
            <v>Visita administrativa Ins Santa Ana Luz del Carmen (1).pdf</v>
          </cell>
          <cell r="R81" t="str">
            <v>Cuentan con un plan de acción para el mejoramiento de los resulatdos en Pruebas Saber</v>
          </cell>
          <cell r="S81" t="str">
            <v>Realizar una actualización curricular en todos los grados a efectos de garantizar mejormiento en los resultados.</v>
          </cell>
          <cell r="T81" t="str">
            <v>Si</v>
          </cell>
          <cell r="U81" t="str">
            <v>La IE hará entrega del Plan de Mejoramiento el 22/05/2025.
El ELIV realizará seguimiento en septiembre de 2025 para verificar el cumplimiento de las acciones propuestas en el plan de mejoramiento.</v>
          </cell>
        </row>
        <row r="82">
          <cell r="A82">
            <v>2787</v>
          </cell>
          <cell r="B82">
            <v>9</v>
          </cell>
          <cell r="C82" t="str">
            <v>CIUDAD BOLÍVAR</v>
          </cell>
          <cell r="D82" t="str">
            <v>PRIVADO</v>
          </cell>
          <cell r="E82" t="str">
            <v>EPBM</v>
          </cell>
          <cell r="F82" t="str">
            <v>INSTITUTO_SANTA_ANA_LUZ_DEL_CARMEN</v>
          </cell>
          <cell r="G82" t="str">
            <v>INSTITUTO SANTA ANA LUZ DEL CARMEN</v>
          </cell>
          <cell r="H82" t="str">
            <v>Autoevaluación Institucional y Pruebas SABER 11</v>
          </cell>
          <cell r="I82" t="str">
            <v>SEGUIMIENTO_Y_SUPERVISIÓN.</v>
          </cell>
          <cell r="J82" t="str">
            <v xml:space="preserve">Verificar la implementación por parte de los colegios, de acciones realizadas para la prevención y atención de las situaciones de convivencia en el entorno escolar, según lo establecido en la Directiva 01 de 2022 del MEN. </v>
          </cell>
          <cell r="K82" t="str">
            <v xml:space="preserve">CLAUDIA DOMÍNGUEZ TORRES </v>
          </cell>
          <cell r="L82" t="str">
            <v>ÓSCAR JAVIER CÁRDENAS MUÑOZ</v>
          </cell>
          <cell r="M82">
            <v>45868</v>
          </cell>
          <cell r="N82">
            <v>45769</v>
          </cell>
          <cell r="O82">
            <v>45769</v>
          </cell>
          <cell r="P82" t="str">
            <v>Visitas de evaluación con fines de mejoramiento</v>
          </cell>
          <cell r="Q82" t="str">
            <v>Visita administrativa Ins Santa Ana Luz del Carmen (1).pdf</v>
          </cell>
          <cell r="R82" t="str">
            <v>Desarrollan diversas actividades de promoción y prevención e incluyen un acorde control de la convivencia y de los casos más relevantes.</v>
          </cell>
          <cell r="S82" t="str">
            <v>Hacer revisión al Manual de Convivencia teniendo especial atención en el tema de enfoque restaurativo y de drechos humanos.</v>
          </cell>
          <cell r="T82" t="str">
            <v>Si</v>
          </cell>
          <cell r="U82" t="str">
            <v>La IE hará entrega del Plan de Mejoramiento el 22/05/2025.
El ELIV realizará seguimiento en septiembre de 2025 para verificar el cumplimiento de las acciones propuestas en el plan de mejoramiento.</v>
          </cell>
        </row>
        <row r="83">
          <cell r="A83">
            <v>2788</v>
          </cell>
          <cell r="B83">
            <v>9</v>
          </cell>
          <cell r="C83" t="str">
            <v>CIUDAD BOLÍVAR</v>
          </cell>
          <cell r="D83" t="str">
            <v>PRIVADO</v>
          </cell>
          <cell r="E83" t="str">
            <v>EPBM</v>
          </cell>
          <cell r="F83" t="str">
            <v>INSTITUTO_SANTA_ANA_LUZ_DEL_CARMEN</v>
          </cell>
          <cell r="G83" t="str">
            <v>INSTITUTO SANTA ANA LUZ DEL CARMEN</v>
          </cell>
          <cell r="H83" t="str">
            <v>Autoevaluación Institucional y Pruebas SABER 11</v>
          </cell>
          <cell r="I83" t="str">
            <v>SEGUIMIENTO_Y_SUPERVISIÓN.</v>
          </cell>
          <cell r="J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3" t="str">
            <v xml:space="preserve">CLAUDIA DOMÍNGUEZ TORRES </v>
          </cell>
          <cell r="L83" t="str">
            <v>ÓSCAR JAVIER CÁRDENAS MUÑOZ</v>
          </cell>
          <cell r="M83">
            <v>45868</v>
          </cell>
          <cell r="N83">
            <v>45769</v>
          </cell>
          <cell r="O83">
            <v>45769</v>
          </cell>
          <cell r="P83" t="str">
            <v>Visitas de evaluación con fines de mejoramiento</v>
          </cell>
          <cell r="Q83" t="str">
            <v>Visita administrativa Ins Santa Ana Luz del Carmen (1).pdf</v>
          </cell>
          <cell r="R83" t="str">
            <v>Tienen un adecuado seguimiento y control de los casos de inclusión que requieren ajustes</v>
          </cell>
          <cell r="S83" t="str">
            <v xml:space="preserve">Ampliar el personal de orientación para la atención de este tipo de condiciones, toda vez que el proceso lo desarrolla la misma coordiandora académica. </v>
          </cell>
          <cell r="T83" t="str">
            <v>Si</v>
          </cell>
          <cell r="U83" t="str">
            <v>La IE hará entrega del Plan de Mejoramiento el 22/05/2025.
El ELIV realizará seguimiento en septiembre de 2025 para verificar el cumplimiento de las acciones propuestas en el plan de mejoramiento.</v>
          </cell>
        </row>
        <row r="84">
          <cell r="A84">
            <v>2789</v>
          </cell>
          <cell r="B84">
            <v>9</v>
          </cell>
          <cell r="C84" t="str">
            <v>CIUDAD BOLÍVAR</v>
          </cell>
          <cell r="D84" t="str">
            <v>PRIVADO</v>
          </cell>
          <cell r="E84" t="str">
            <v>EPBM</v>
          </cell>
          <cell r="F84" t="str">
            <v>INSTITUTO_SANTA_ANA_LUZ_DEL_CARMEN</v>
          </cell>
          <cell r="G84" t="str">
            <v>INSTITUTO SANTA ANA LUZ DEL CARMEN</v>
          </cell>
          <cell r="H84" t="str">
            <v>Autoevaluación Institucional y Pruebas SABER 11</v>
          </cell>
          <cell r="I84" t="str">
            <v>EVALUACIÓN_CON_FINES_DE_MEJORAMIENTO.</v>
          </cell>
          <cell r="J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4" t="str">
            <v xml:space="preserve">CLAUDIA DOMÍNGUEZ TORRES </v>
          </cell>
          <cell r="L84" t="str">
            <v>ÓSCAR JAVIER CÁRDENAS MUÑOZ</v>
          </cell>
          <cell r="M84">
            <v>45868</v>
          </cell>
          <cell r="N84">
            <v>45769</v>
          </cell>
          <cell r="O84">
            <v>45769</v>
          </cell>
          <cell r="P84" t="str">
            <v>Visitas de evaluación con fines de mejoramiento</v>
          </cell>
          <cell r="Q84" t="str">
            <v>Visita administrativa Ins Santa Ana Luz del Carmen (1).pdf</v>
          </cell>
          <cell r="R84" t="str">
            <v>Tienen un Manual de Convivencia actualizado, construido con la participación de la comunidad educativa.</v>
          </cell>
          <cell r="S84" t="str">
            <v>Actualización de protocolos e incluir enfoque restaurativo y de derechos humanos en el Manual.</v>
          </cell>
          <cell r="T84" t="str">
            <v>Si</v>
          </cell>
          <cell r="U84" t="str">
            <v>La IE hará entrega del Plan de Mejoramiento el 22/05/2025.
El ELIV realizará seguimiento en septiembre de 2025 para verificar el cumplimiento de las acciones propuestas en el plan de mejoramiento.</v>
          </cell>
        </row>
        <row r="85">
          <cell r="A85">
            <v>2790</v>
          </cell>
          <cell r="B85">
            <v>9</v>
          </cell>
          <cell r="C85" t="str">
            <v>CIUDAD BOLÍVAR</v>
          </cell>
          <cell r="D85" t="str">
            <v>PRIVADO</v>
          </cell>
          <cell r="E85" t="str">
            <v>EPBM</v>
          </cell>
          <cell r="F85" t="str">
            <v>INSTITUTO_SANTA_ANA_LUZ_DEL_CARMEN</v>
          </cell>
          <cell r="G85" t="str">
            <v>INSTITUTO SANTA ANA LUZ DEL CARMEN</v>
          </cell>
          <cell r="H85" t="str">
            <v>Autoevaluación Institucional y Pruebas SABER 11</v>
          </cell>
          <cell r="I85" t="str">
            <v>EVALUACIÓN_CON_FINES_DE_MEJORAMIENTO.</v>
          </cell>
          <cell r="J85" t="str">
            <v>Revisar la actualización, socialización e implementación del Sistema Institucional de Evaluación de Estudiantes - SIEE, en articulación con la actualización del PEI y la normatividad vigente.</v>
          </cell>
          <cell r="K85" t="str">
            <v xml:space="preserve">CLAUDIA DOMÍNGUEZ TORRES </v>
          </cell>
          <cell r="L85" t="str">
            <v>ÓSCAR JAVIER CÁRDENAS MUÑOZ</v>
          </cell>
          <cell r="M85">
            <v>45868</v>
          </cell>
          <cell r="N85" t="str">
            <v>22/04/2025</v>
          </cell>
          <cell r="O85">
            <v>45769</v>
          </cell>
          <cell r="P85" t="str">
            <v>Visitas de evaluación con fines de mejoramiento</v>
          </cell>
          <cell r="Q85" t="str">
            <v>Visita administrativa Ins Santa Ana Luz del Carmen (1).pdf</v>
          </cell>
          <cell r="R85" t="str">
            <v>Tienen un adecuado SIEE para la evaluación de los estudiantes, sin embargo no es claro el seguimiento a los casos especiales.</v>
          </cell>
          <cell r="S85" t="str">
            <v>Definir el estamento encargado de definir las promociones y se requirio actualizar el SIEE articuladamente con el rediseño curricular.</v>
          </cell>
          <cell r="T85" t="str">
            <v>Si</v>
          </cell>
          <cell r="U85" t="str">
            <v>La IE hará entrega del Plan de Mejoramiento el 22/05/2025.
El ELIV realizará seguimiento en septiembre de 2025 para verificar el cumplimiento de las acciones propuestas en el plan de mejoramiento.</v>
          </cell>
        </row>
        <row r="86">
          <cell r="A86">
            <v>2791</v>
          </cell>
          <cell r="B86">
            <v>9</v>
          </cell>
          <cell r="C86" t="str">
            <v>CIUDAD BOLÍVAR</v>
          </cell>
          <cell r="D86" t="str">
            <v>PRIVADO</v>
          </cell>
          <cell r="E86" t="str">
            <v>EPBM</v>
          </cell>
          <cell r="F86" t="str">
            <v>INSTITUTO_SANTA_ANA_LUZ_DEL_CARMEN</v>
          </cell>
          <cell r="G86" t="str">
            <v>INSTITUTO SANTA ANA LUZ DEL CARMEN</v>
          </cell>
          <cell r="H86" t="str">
            <v>Autoevaluación Institucional y Pruebas SABER 11</v>
          </cell>
          <cell r="I86" t="str">
            <v>EVALUACIÓN_CON_FINES_DE_MEJORAMIENTO.</v>
          </cell>
          <cell r="J86" t="str">
            <v>Revisar el calendario escolar, jornada escolar, la intensidad horaria mínima anual en cada nivel y las modificaciones que se realicen al mismo, de acuerdo con lo previsto en la normatividad vigente.</v>
          </cell>
          <cell r="K86" t="str">
            <v xml:space="preserve">CLAUDIA DOMÍNGUEZ TORRES </v>
          </cell>
          <cell r="L86" t="str">
            <v>ÓSCAR JAVIER CÁRDENAS MUÑOZ</v>
          </cell>
          <cell r="M86">
            <v>45868</v>
          </cell>
          <cell r="N86">
            <v>45769</v>
          </cell>
          <cell r="O86">
            <v>45769</v>
          </cell>
          <cell r="P86" t="str">
            <v>Visitas de evaluación con fines de mejoramiento</v>
          </cell>
          <cell r="Q86" t="str">
            <v>Visita administrativa Ins Santa Ana Luz del Carmen (1).pdf</v>
          </cell>
          <cell r="R86" t="str">
            <v>Cumplen con el calendario escolar, la totalidad de horas diarias, semanales y anuales, sin embargo, se recomienda definir la intensidad horaria en horas efectivas de 60 minutos.</v>
          </cell>
          <cell r="S86" t="str">
            <v xml:space="preserve">Se recomienda a la IE definir el calendario escolar y la intensidad horario con base a horas efectivas de 60 minutos. </v>
          </cell>
          <cell r="T86" t="str">
            <v>No</v>
          </cell>
          <cell r="U86" t="str">
            <v>Se revisara el calendario escolar para la vigencia 2016</v>
          </cell>
        </row>
        <row r="87">
          <cell r="A87">
            <v>2792</v>
          </cell>
          <cell r="B87">
            <v>9</v>
          </cell>
          <cell r="C87" t="str">
            <v>CIUDAD BOLÍVAR</v>
          </cell>
          <cell r="D87" t="str">
            <v>PRIVADO</v>
          </cell>
          <cell r="E87" t="str">
            <v>EPBM</v>
          </cell>
          <cell r="F87" t="str">
            <v>INSTITUTO_SANTA_ANA_LUZ_DEL_CARMEN</v>
          </cell>
          <cell r="G87" t="str">
            <v>INSTITUTO SANTA ANA LUZ DEL CARMEN</v>
          </cell>
          <cell r="H87" t="str">
            <v>Autoevaluación Institucional y Pruebas SABER 11</v>
          </cell>
          <cell r="I87" t="str">
            <v>EVALUACIÓN_CON_FINES_DE_MEJORAMIENTO.</v>
          </cell>
          <cell r="J87" t="str">
            <v>Verificar el funcionamiento del Gobierno Escolar e instancias de participación con base en la información sobre conformación reportada por la institución educativa.</v>
          </cell>
          <cell r="K87" t="str">
            <v xml:space="preserve">CLAUDIA DOMÍNGUEZ TORRES </v>
          </cell>
          <cell r="L87" t="str">
            <v>ÓSCAR JAVIER CÁRDENAS MUÑOZ</v>
          </cell>
          <cell r="M87">
            <v>45868</v>
          </cell>
          <cell r="N87">
            <v>45769</v>
          </cell>
          <cell r="O87">
            <v>45769</v>
          </cell>
          <cell r="P87" t="str">
            <v>Visitas de evaluación con fines de mejoramiento</v>
          </cell>
          <cell r="Q87" t="str">
            <v>Visita administrativa Ins Santa Ana Luz del Carmen (1).pdf</v>
          </cell>
          <cell r="R87" t="str">
            <v xml:space="preserve">El Gobierno Escolar funciona adecuadamente. </v>
          </cell>
          <cell r="S87" t="str">
            <v>Definir reglamentos propios en cada estamento a la luz de la norma vigente.</v>
          </cell>
          <cell r="T87" t="str">
            <v>Si</v>
          </cell>
          <cell r="U87" t="str">
            <v>La IE hará entrega del Plan de Mejoramiento el 22/05/2025.
El ELIV realizará seguimiento en septiembre de 2025 para verificar el cumplimiento de las acciones propuestas en el plan de mejoramiento.</v>
          </cell>
        </row>
        <row r="88">
          <cell r="A88">
            <v>2793</v>
          </cell>
          <cell r="B88">
            <v>9</v>
          </cell>
          <cell r="C88" t="str">
            <v>CIUDAD BOLÍVAR</v>
          </cell>
          <cell r="D88" t="str">
            <v>PRIVADO</v>
          </cell>
          <cell r="E88" t="str">
            <v>EPBM</v>
          </cell>
          <cell r="F88" t="str">
            <v>INSTITUTO_SANTA_ANA_LUZ_DEL_CARMEN</v>
          </cell>
          <cell r="G88" t="str">
            <v>INSTITUTO SANTA ANA LUZ DEL CARMEN</v>
          </cell>
          <cell r="H88" t="str">
            <v>Autoevaluación Institucional y Pruebas SABER 11</v>
          </cell>
          <cell r="I88" t="str">
            <v>EVALUACIÓN_CON_FINES_DE_MEJORAMIENTO.</v>
          </cell>
          <cell r="J88" t="str">
            <v>Verificar las condiciones en cuanto a: la estructura administrativa, condiciones de la planta física y medios educativos adecuados.</v>
          </cell>
          <cell r="K88" t="str">
            <v xml:space="preserve">CLAUDIA DOMÍNGUEZ TORRES </v>
          </cell>
          <cell r="L88" t="str">
            <v>ÓSCAR JAVIER CÁRDENAS MUÑOZ</v>
          </cell>
          <cell r="M88">
            <v>45868</v>
          </cell>
          <cell r="N88">
            <v>45769</v>
          </cell>
          <cell r="O88">
            <v>45769</v>
          </cell>
          <cell r="P88" t="str">
            <v>Visitas de evaluación con fines de mejoramiento</v>
          </cell>
          <cell r="Q88" t="str">
            <v>Visita administrativa Ins Santa Ana Luz del Carmen (1).pdf</v>
          </cell>
          <cell r="R88" t="str">
            <v xml:space="preserve">Cuenta con una buena infraestructura, con varios salones desocupados que son utilizados para actividades complementarias. Sin embargo, no existen adecuaciones para la movilidad de personas en condición de discapacidad. </v>
          </cell>
          <cell r="S88" t="str">
            <v xml:space="preserve">Generar un plan de atención para la adecuación física de las instalaciones para las personas en condiciones de discapacidad. </v>
          </cell>
          <cell r="T88" t="str">
            <v>Si</v>
          </cell>
          <cell r="U88" t="str">
            <v>La IE hará entrega del Plan de Mejoramiento el 22/05/2025.
El ELIV realizará seguimiento en septiembre de 2025 para verificar el cumplimiento de las acciones propuestas en el plan de mejoramiento.</v>
          </cell>
        </row>
        <row r="89">
          <cell r="A89">
            <v>2794</v>
          </cell>
          <cell r="B89">
            <v>10</v>
          </cell>
          <cell r="C89" t="str">
            <v>CIUDAD BOLÍVAR</v>
          </cell>
          <cell r="D89" t="str">
            <v>PRIVADO</v>
          </cell>
          <cell r="E89" t="str">
            <v>Educación de Jóvenes y Adultos</v>
          </cell>
          <cell r="F89" t="str">
            <v>INSTITUTO_CERROS_DEL_SUR_ICES</v>
          </cell>
          <cell r="G89" t="str">
            <v>INSTITUTO CERROS DEL SUR - ICES</v>
          </cell>
          <cell r="H89" t="str">
            <v>Autoevaluación Institucional y Pruebas SABER 11</v>
          </cell>
          <cell r="I89" t="str">
            <v>SEGUIMIENTO_Y_SUPERVISIÓN.</v>
          </cell>
          <cell r="J89" t="str">
            <v>Realizar visitas para verificar la información registrada sobre la autoevaluación institucional en el aplicativo EVI, a los establecimientos de educación formal no oficial.</v>
          </cell>
          <cell r="K89" t="str">
            <v>ÓSCAR JAVIER CÁRDENAS MUÑOZ</v>
          </cell>
          <cell r="L89" t="str">
            <v xml:space="preserve">CLAUDIA DOMÍNGUEZ TORRES </v>
          </cell>
          <cell r="M89">
            <v>45897</v>
          </cell>
          <cell r="N89">
            <v>45820</v>
          </cell>
          <cell r="O89">
            <v>45820</v>
          </cell>
          <cell r="P89" t="str">
            <v>Visitas de evaluación con fines de mejoramiento</v>
          </cell>
          <cell r="Q89" t="str">
            <v>20250612 ActaVisitaInstitutoCerrosSur.pdf</v>
          </cell>
          <cell r="R89" t="str">
            <v xml:space="preserve">Se evidenciaron inconsistencias en cuanto a la información reportada. </v>
          </cell>
          <cell r="S89" t="str">
            <v>Organizar la distribución de grados para que no exista grupos multigrado.
Definir continuidad de la IE teniendo en cuenta el balance financiero</v>
          </cell>
          <cell r="T89" t="str">
            <v>Si</v>
          </cell>
          <cell r="U89" t="str">
            <v>Se realizará seguimiento una vez se reciba el plan de mejoramiento 18.07.2025. Segunda visita en octubre para verificar la implementación de las acciones del plan de mejoramiento</v>
          </cell>
        </row>
        <row r="90">
          <cell r="A90">
            <v>2795</v>
          </cell>
          <cell r="B90">
            <v>10</v>
          </cell>
          <cell r="C90" t="str">
            <v>CIUDAD BOLÍVAR</v>
          </cell>
          <cell r="D90" t="str">
            <v>PRIVADO</v>
          </cell>
          <cell r="E90" t="str">
            <v>Educación de Jóvenes y Adultos</v>
          </cell>
          <cell r="F90" t="str">
            <v>INSTITUTO_CERROS_DEL_SUR_ICES</v>
          </cell>
          <cell r="G90" t="str">
            <v>INSTITUTO CERROS DEL SUR - ICES</v>
          </cell>
          <cell r="H90" t="str">
            <v>Autoevaluación Institucional y Pruebas SABER 11</v>
          </cell>
          <cell r="I90" t="str">
            <v>SEGUIMIENTO_Y_SUPERVISIÓN.</v>
          </cell>
          <cell r="J90" t="str">
            <v>Proponer estrategias en la formulación, verificar su elaboración y realizar seguimiento semestral al desarrollo de  las acciones establecidas en los planes de mejoramiento por pruebas SABER 11 de los establecimientos de educación formal.</v>
          </cell>
          <cell r="K90" t="str">
            <v>ÓSCAR JAVIER CÁRDENAS MUÑOZ</v>
          </cell>
          <cell r="L90" t="str">
            <v xml:space="preserve">CLAUDIA DOMÍNGUEZ TORRES </v>
          </cell>
          <cell r="M90">
            <v>45897</v>
          </cell>
          <cell r="N90">
            <v>45820</v>
          </cell>
          <cell r="O90">
            <v>45820</v>
          </cell>
          <cell r="P90" t="str">
            <v>Visitas de evaluación con fines de mejoramiento</v>
          </cell>
          <cell r="Q90" t="str">
            <v>20250612 ActaVisitaInstitutoCerrosSur.pdf</v>
          </cell>
          <cell r="R90" t="str">
            <v>No hay claridad frente a las acciones reales para atender el  proceso de mejormiento de los resulatdos de las Pruebas Saber</v>
          </cell>
          <cell r="S90" t="str">
            <v xml:space="preserve">Definir acciones concretas de orden pedagógico para el mejoramiento de los resultados de las pruebas saber. </v>
          </cell>
          <cell r="T90" t="str">
            <v>Si</v>
          </cell>
          <cell r="U90" t="str">
            <v>Se realizará seguimiento una vez se reciba el plan de mejoramiento 18.07.2025. Segunda visita en octubre para verificar la implementación de las acciones del plan de mejoramiento</v>
          </cell>
        </row>
        <row r="91">
          <cell r="A91">
            <v>2796</v>
          </cell>
          <cell r="B91">
            <v>10</v>
          </cell>
          <cell r="C91" t="str">
            <v>CIUDAD BOLÍVAR</v>
          </cell>
          <cell r="D91" t="str">
            <v>PRIVADO</v>
          </cell>
          <cell r="E91" t="str">
            <v>Educación de Jóvenes y Adultos</v>
          </cell>
          <cell r="F91" t="str">
            <v>INSTITUTO_CERROS_DEL_SUR_ICES</v>
          </cell>
          <cell r="G91" t="str">
            <v>INSTITUTO CERROS DEL SUR - ICES</v>
          </cell>
          <cell r="H91" t="str">
            <v>Autoevaluación Institucional y Pruebas SABER 11</v>
          </cell>
          <cell r="I91" t="str">
            <v>SEGUIMIENTO_Y_SUPERVISIÓN.</v>
          </cell>
          <cell r="J91" t="str">
            <v xml:space="preserve">Verificar la implementación por parte de los colegios, de acciones realizadas para la prevención y atención de las situaciones de convivencia en el entorno escolar, según lo establecido en la Directiva 01 de 2022 del MEN. </v>
          </cell>
          <cell r="K91" t="str">
            <v>ÓSCAR JAVIER CÁRDENAS MUÑOZ</v>
          </cell>
          <cell r="L91" t="str">
            <v xml:space="preserve">CLAUDIA DOMÍNGUEZ TORRES </v>
          </cell>
          <cell r="M91">
            <v>45897</v>
          </cell>
          <cell r="N91">
            <v>45820</v>
          </cell>
          <cell r="O91">
            <v>45820</v>
          </cell>
          <cell r="P91" t="str">
            <v>Visitas de evaluación con fines de mejoramiento</v>
          </cell>
          <cell r="Q91" t="str">
            <v>20250612 ActaVisitaInstitutoCerrosSur.pdf</v>
          </cell>
          <cell r="R91" t="str">
            <v xml:space="preserve">La IE desarrolla diferentes acciones de promoción y prevención acordes a su población y a su contexto; sin embargo, no tiene determinadas las rutas de atención dentro del Manual de Convivencia y no se evidencia la consulta de los antecedentes por delitos sexuales del personal vinculado. </v>
          </cell>
          <cell r="S91" t="str">
            <v>Incluir en el Manual de Convivencia, aspectos relacionados con las rutas de atención.
Realizar la respectiva revisión de antecedentes de los docentes y directivos docentes de la IE segun la directiva 001 de 2022.</v>
          </cell>
          <cell r="T91" t="str">
            <v>No</v>
          </cell>
          <cell r="U91" t="str">
            <v>La IE presenta el PM el día 18 de julio. 
Se hace revisión documental encontrando que la IE incluyó los protocolos de atención dentro del MC y aportan la revisión de antecedentes de todo el personal que labora en el colegio.</v>
          </cell>
        </row>
        <row r="92">
          <cell r="A92">
            <v>2797</v>
          </cell>
          <cell r="B92">
            <v>10</v>
          </cell>
          <cell r="C92" t="str">
            <v>CIUDAD BOLÍVAR</v>
          </cell>
          <cell r="D92" t="str">
            <v>PRIVADO</v>
          </cell>
          <cell r="E92" t="str">
            <v>Educación de Jóvenes y Adultos</v>
          </cell>
          <cell r="F92" t="str">
            <v>INSTITUTO_CERROS_DEL_SUR_ICES</v>
          </cell>
          <cell r="G92" t="str">
            <v>INSTITUTO CERROS DEL SUR - ICES</v>
          </cell>
          <cell r="H92" t="str">
            <v>Autoevaluación Institucional y Pruebas SABER 11</v>
          </cell>
          <cell r="I92" t="str">
            <v>SEGUIMIENTO_Y_SUPERVISIÓN.</v>
          </cell>
          <cell r="J9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2" t="str">
            <v>ÓSCAR JAVIER CÁRDENAS MUÑOZ</v>
          </cell>
          <cell r="L92" t="str">
            <v xml:space="preserve">CLAUDIA DOMÍNGUEZ TORRES </v>
          </cell>
          <cell r="M92">
            <v>45897</v>
          </cell>
          <cell r="N92">
            <v>45820</v>
          </cell>
          <cell r="O92">
            <v>45820</v>
          </cell>
          <cell r="P92" t="str">
            <v>Visitas de evaluación con fines de mejoramiento</v>
          </cell>
          <cell r="Q92" t="str">
            <v>20250612 ActaVisitaInstitutoCerrosSur.pdf</v>
          </cell>
          <cell r="R92" t="str">
            <v xml:space="preserve">Tienen PIAR de dos estudiantes debidamente diligenciado. </v>
          </cell>
          <cell r="S92" t="str">
            <v>Garantizar el debido seguimiento a los estudiantes de inclusión y solicitar el diagnóstico de las condiciones.</v>
          </cell>
          <cell r="T92" t="str">
            <v>No</v>
          </cell>
          <cell r="U92" t="str">
            <v xml:space="preserve">Continuar con el fortalecimiento de la prestación del servicio educativo bajo principios de calidad. </v>
          </cell>
        </row>
        <row r="93">
          <cell r="A93">
            <v>2798</v>
          </cell>
          <cell r="B93">
            <v>10</v>
          </cell>
          <cell r="C93" t="str">
            <v>CIUDAD BOLÍVAR</v>
          </cell>
          <cell r="D93" t="str">
            <v>PRIVADO</v>
          </cell>
          <cell r="E93" t="str">
            <v>Educación de Jóvenes y Adultos</v>
          </cell>
          <cell r="F93" t="str">
            <v>INSTITUTO_CERROS_DEL_SUR_ICES</v>
          </cell>
          <cell r="G93" t="str">
            <v>INSTITUTO CERROS DEL SUR - ICES</v>
          </cell>
          <cell r="H93" t="str">
            <v>Autoevaluación Institucional y Pruebas SABER 11</v>
          </cell>
          <cell r="I93" t="str">
            <v>EVALUACIÓN_CON_FINES_DE_MEJORAMIENTO.</v>
          </cell>
          <cell r="J9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3" t="str">
            <v>ÓSCAR JAVIER CÁRDENAS MUÑOZ</v>
          </cell>
          <cell r="L93" t="str">
            <v xml:space="preserve">CLAUDIA DOMÍNGUEZ TORRES </v>
          </cell>
          <cell r="M93">
            <v>45897</v>
          </cell>
          <cell r="N93">
            <v>45820</v>
          </cell>
          <cell r="O93">
            <v>45820</v>
          </cell>
          <cell r="P93" t="str">
            <v>Visitas de evaluación con fines de mejoramiento</v>
          </cell>
          <cell r="Q93" t="str">
            <v>20250612 ActaVisitaInstitutoCerrosSur.pdf</v>
          </cell>
          <cell r="R93" t="str">
            <v>Se encuentra un Manual de Convivencia demasiado sucinto, el cual carece de elementos normativos que sustenten las indicaciones.</v>
          </cell>
          <cell r="S93" t="str">
            <v>Actualizar el Manual de Convivencia con base en el cotexto normativo y teniendo en cuenta los diferentes enfoques provistos en la Ley 1620.</v>
          </cell>
          <cell r="T93" t="str">
            <v>Si</v>
          </cell>
          <cell r="U93" t="str">
            <v>Se realizará seguimiento una vez se reciba el plan de mejoramiento 18.07.2025. Segunda visita en octubre para verificar la implementación de las acciones del plan de mejoramiento</v>
          </cell>
        </row>
        <row r="94">
          <cell r="A94">
            <v>2799</v>
          </cell>
          <cell r="B94">
            <v>10</v>
          </cell>
          <cell r="C94" t="str">
            <v>CIUDAD BOLÍVAR</v>
          </cell>
          <cell r="D94" t="str">
            <v>PRIVADO</v>
          </cell>
          <cell r="E94" t="str">
            <v>Educación de Jóvenes y Adultos</v>
          </cell>
          <cell r="F94" t="str">
            <v>INSTITUTO_CERROS_DEL_SUR_ICES</v>
          </cell>
          <cell r="G94" t="str">
            <v>INSTITUTO CERROS DEL SUR - ICES</v>
          </cell>
          <cell r="H94" t="str">
            <v>Autoevaluación Institucional y Pruebas SABER 11</v>
          </cell>
          <cell r="I94" t="str">
            <v>EVALUACIÓN_CON_FINES_DE_MEJORAMIENTO.</v>
          </cell>
          <cell r="J94" t="str">
            <v>Revisar la actualización, socialización e implementación del Sistema Institucional de Evaluación de Estudiantes - SIEE, en articulación con la actualización del PEI y la normatividad vigente.</v>
          </cell>
          <cell r="K94" t="str">
            <v>ÓSCAR JAVIER CÁRDENAS MUÑOZ</v>
          </cell>
          <cell r="L94" t="str">
            <v xml:space="preserve">CLAUDIA DOMÍNGUEZ TORRES </v>
          </cell>
          <cell r="M94">
            <v>45897</v>
          </cell>
          <cell r="N94">
            <v>45820</v>
          </cell>
          <cell r="O94">
            <v>45820</v>
          </cell>
          <cell r="P94" t="str">
            <v>Visitas de evaluación con fines de mejoramiento</v>
          </cell>
          <cell r="Q94" t="str">
            <v>20250612 ActaVisitaInstitutoCerrosSur.pdf</v>
          </cell>
          <cell r="R94" t="str">
            <v xml:space="preserve">Se encontró un SIEE desactualizado porque incluye conceptos como indicadores y logros que ya no se encuentran definidos normativamente. </v>
          </cell>
          <cell r="S94" t="str">
            <v>Actualizar el SIEE de acuerdo a lo definido en el Decreto 1075 de 2015 y demas normatividad concordante.</v>
          </cell>
          <cell r="T94" t="str">
            <v>Si</v>
          </cell>
          <cell r="U94" t="str">
            <v>Se realizará seguimiento una vez se reciba el plan de mejoramiento 18.07.2025. Segunda visita en octubre para verificar la implementación de las acciones del plan de mejoramiento</v>
          </cell>
        </row>
        <row r="95">
          <cell r="A95">
            <v>2800</v>
          </cell>
          <cell r="B95">
            <v>10</v>
          </cell>
          <cell r="C95" t="str">
            <v>CIUDAD BOLÍVAR</v>
          </cell>
          <cell r="D95" t="str">
            <v>PRIVADO</v>
          </cell>
          <cell r="E95" t="str">
            <v>Educación de Jóvenes y Adultos</v>
          </cell>
          <cell r="F95" t="str">
            <v>INSTITUTO_CERROS_DEL_SUR_ICES</v>
          </cell>
          <cell r="G95" t="str">
            <v>INSTITUTO CERROS DEL SUR - ICES</v>
          </cell>
          <cell r="H95" t="str">
            <v>Autoevaluación Institucional y Pruebas SABER 11</v>
          </cell>
          <cell r="I95" t="str">
            <v>EVALUACIÓN_CON_FINES_DE_MEJORAMIENTO.</v>
          </cell>
          <cell r="J95" t="str">
            <v>Revisar el calendario escolar, jornada escolar, la intensidad horaria mínima anual en cada nivel y las modificaciones que se realicen al mismo, de acuerdo con lo previsto en la normatividad vigente.</v>
          </cell>
          <cell r="K95" t="str">
            <v>ÓSCAR JAVIER CÁRDENAS MUÑOZ</v>
          </cell>
          <cell r="L95" t="str">
            <v xml:space="preserve">CLAUDIA DOMÍNGUEZ TORRES </v>
          </cell>
          <cell r="M95">
            <v>45897</v>
          </cell>
          <cell r="N95">
            <v>45820</v>
          </cell>
          <cell r="O95">
            <v>45820</v>
          </cell>
          <cell r="P95" t="str">
            <v>Visitas de evaluación con fines de mejoramiento</v>
          </cell>
          <cell r="Q95" t="str">
            <v>20250612 ActaVisitaInstitutoCerrosSur.pdf</v>
          </cell>
          <cell r="R95" t="str">
            <v>Cumplen con la cantidad de horas para cada uno de los niveles.</v>
          </cell>
          <cell r="S95" t="str">
            <v xml:space="preserve">Precisar en el SIEE el calendario escolar. </v>
          </cell>
          <cell r="T95" t="str">
            <v>Si</v>
          </cell>
          <cell r="U95" t="str">
            <v>Se realizará seguimiento una vez se reciba el plan de mejoramiento 18.07.2025. Segunda visita en octubre para verificar la implementación de las acciones del plan de mejoramiento</v>
          </cell>
        </row>
        <row r="96">
          <cell r="A96">
            <v>2801</v>
          </cell>
          <cell r="B96">
            <v>10</v>
          </cell>
          <cell r="C96" t="str">
            <v>CIUDAD BOLÍVAR</v>
          </cell>
          <cell r="D96" t="str">
            <v>PRIVADO</v>
          </cell>
          <cell r="E96" t="str">
            <v>Educación de Jóvenes y Adultos</v>
          </cell>
          <cell r="F96" t="str">
            <v>INSTITUTO_CERROS_DEL_SUR_ICES</v>
          </cell>
          <cell r="G96" t="str">
            <v>INSTITUTO CERROS DEL SUR - ICES</v>
          </cell>
          <cell r="H96" t="str">
            <v>Autoevaluación Institucional y Pruebas SABER 11</v>
          </cell>
          <cell r="I96" t="str">
            <v>EVALUACIÓN_CON_FINES_DE_MEJORAMIENTO.</v>
          </cell>
          <cell r="J96" t="str">
            <v>Verificar el funcionamiento del Gobierno Escolar e instancias de participación con base en la información sobre conformación reportada por la institución educativa.</v>
          </cell>
          <cell r="K96" t="str">
            <v>ÓSCAR JAVIER CÁRDENAS MUÑOZ</v>
          </cell>
          <cell r="L96" t="str">
            <v xml:space="preserve">CLAUDIA DOMÍNGUEZ TORRES </v>
          </cell>
          <cell r="M96">
            <v>45897</v>
          </cell>
          <cell r="N96">
            <v>45820</v>
          </cell>
          <cell r="O96">
            <v>45820</v>
          </cell>
          <cell r="P96" t="str">
            <v>Visitas de evaluación con fines de mejoramiento</v>
          </cell>
          <cell r="Q96" t="str">
            <v>20250612 ActaVisitaInstitutoCerrosSur.pdf</v>
          </cell>
          <cell r="R96" t="str">
            <v>Cumplen con la conformación y las reuniones de los estamentos del Gobierno Escolar</v>
          </cell>
          <cell r="S96" t="str">
            <v>Continuar con la debida, participación y registro en acta de las reuniones de los diferentes estamentos del Gobierno Escolar</v>
          </cell>
          <cell r="T96" t="str">
            <v>No</v>
          </cell>
          <cell r="U96" t="str">
            <v>Se verificará la debida conformación y funcionamiento del Gobierno Escolar para la siguiente vigencia.</v>
          </cell>
        </row>
        <row r="97">
          <cell r="A97">
            <v>2802</v>
          </cell>
          <cell r="B97">
            <v>10</v>
          </cell>
          <cell r="C97" t="str">
            <v>CIUDAD BOLÍVAR</v>
          </cell>
          <cell r="D97" t="str">
            <v>PRIVADO</v>
          </cell>
          <cell r="E97" t="str">
            <v>Educación de Jóvenes y Adultos</v>
          </cell>
          <cell r="F97" t="str">
            <v>INSTITUTO_CERROS_DEL_SUR_ICES</v>
          </cell>
          <cell r="G97" t="str">
            <v>INSTITUTO CERROS DEL SUR - ICES</v>
          </cell>
          <cell r="H97" t="str">
            <v>Autoevaluación Institucional y Pruebas SABER 11</v>
          </cell>
          <cell r="I97" t="str">
            <v>EVALUACIÓN_CON_FINES_DE_MEJORAMIENTO.</v>
          </cell>
          <cell r="J97" t="str">
            <v>Verificar las condiciones en cuanto a: la estructura administrativa, condiciones de la planta física y medios educativos adecuados.</v>
          </cell>
          <cell r="K97" t="str">
            <v>ÓSCAR JAVIER CÁRDENAS MUÑOZ</v>
          </cell>
          <cell r="L97" t="str">
            <v xml:space="preserve">CLAUDIA DOMÍNGUEZ TORRES </v>
          </cell>
          <cell r="M97">
            <v>45897</v>
          </cell>
          <cell r="N97">
            <v>45820</v>
          </cell>
          <cell r="O97">
            <v>45820</v>
          </cell>
          <cell r="P97" t="str">
            <v>Visitas de evaluación con fines de mejoramiento</v>
          </cell>
          <cell r="Q97" t="str">
            <v>20250612 ActaVisitaInstitutoCerrosSur.pdf</v>
          </cell>
          <cell r="R97" t="str">
            <v>Las condciones de planta física estan acordes a las necesidades de los estudiantes. Sobre la estructura administrativa no son claros los manejos financieros de la IE.</v>
          </cell>
          <cell r="S97" t="str">
            <v xml:space="preserve">Definir la continuidad de la institución con base a la baja matrícula y a las dificultades financieras del proyecto. </v>
          </cell>
          <cell r="T97" t="str">
            <v>Si</v>
          </cell>
          <cell r="U97" t="str">
            <v>Se realizará seguimiento una vez se reciba el plan de mejoramiento 18.07.2025. Segunda visita en octubre para verificar la implementación de las acciones del plan de mejoramiento</v>
          </cell>
        </row>
        <row r="98">
          <cell r="A98">
            <v>2803</v>
          </cell>
          <cell r="B98">
            <v>11</v>
          </cell>
          <cell r="C98" t="str">
            <v>CIUDAD BOLÍVAR</v>
          </cell>
          <cell r="D98" t="str">
            <v>PRIVADO</v>
          </cell>
          <cell r="E98" t="str">
            <v>EPBM</v>
          </cell>
          <cell r="F98" t="str">
            <v>COLEGIO_DIOS_ES_AMOR_LUCERO_ALTO</v>
          </cell>
          <cell r="G98" t="str">
            <v>COLEGIO DIOS ES AMOR LUCERO ALTO</v>
          </cell>
          <cell r="H98" t="str">
            <v>Autoevaluación Institucional y Pruebas SABER 11</v>
          </cell>
          <cell r="I98" t="str">
            <v>SEGUIMIENTO_Y_SUPERVISIÓN.</v>
          </cell>
          <cell r="J98" t="str">
            <v>Realizar visitas para verificar la información registrada sobre la autoevaluación institucional en el aplicativo EVI, a los establecimientos de educación formal no oficial.</v>
          </cell>
          <cell r="K98" t="str">
            <v xml:space="preserve">CLAUDIA DOMÍNGUEZ TORRES </v>
          </cell>
          <cell r="L98" t="str">
            <v xml:space="preserve">MARIA NANCY DUCUARA </v>
          </cell>
          <cell r="M98">
            <v>45898</v>
          </cell>
          <cell r="N98">
            <v>45901</v>
          </cell>
          <cell r="O98">
            <v>45901</v>
          </cell>
          <cell r="P98" t="str">
            <v>Visitas de evaluación con fines de mejoramiento</v>
          </cell>
          <cell r="Q98" t="str">
            <v>20250901_COLEGIO_DIOS_ES_AMOR.pdf</v>
          </cell>
          <cell r="R98" t="str">
            <v>Se encuentra conformidad con lo reportado en el EVI.</v>
          </cell>
          <cell r="S98" t="str">
            <v>Continuar con el debido reporte en el EVI en el marco de la realidad institucional y de las actualizaciones y adecuaciones a la IE</v>
          </cell>
          <cell r="T98" t="str">
            <v>No</v>
          </cell>
          <cell r="U98" t="str">
            <v>Verificar la autoevaluación 2025 con fines del proceso de tarifas 2026.</v>
          </cell>
        </row>
        <row r="99">
          <cell r="A99">
            <v>2804</v>
          </cell>
          <cell r="B99">
            <v>11</v>
          </cell>
          <cell r="C99" t="str">
            <v>CIUDAD BOLÍVAR</v>
          </cell>
          <cell r="D99" t="str">
            <v>PRIVADO</v>
          </cell>
          <cell r="E99" t="str">
            <v>EPBM</v>
          </cell>
          <cell r="F99" t="str">
            <v>COLEGIO_DIOS_ES_AMOR_LUCERO_ALTO</v>
          </cell>
          <cell r="G99" t="str">
            <v>COLEGIO DIOS ES AMOR LUCERO ALTO</v>
          </cell>
          <cell r="H99" t="str">
            <v>Autoevaluación Institucional y Pruebas SABER 11</v>
          </cell>
          <cell r="I99" t="str">
            <v>SEGUIMIENTO_Y_SUPERVISIÓN.</v>
          </cell>
          <cell r="J99" t="str">
            <v>Proponer estrategias en la formulación, verificar su elaboración y realizar seguimiento semestral al desarrollo de  las acciones establecidas en los planes de mejoramiento por pruebas SABER 11 de los establecimientos de educación formal.</v>
          </cell>
          <cell r="K99" t="str">
            <v xml:space="preserve">CLAUDIA DOMÍNGUEZ TORRES </v>
          </cell>
          <cell r="L99" t="str">
            <v xml:space="preserve">MARIA NANCY DUCUARA </v>
          </cell>
          <cell r="M99">
            <v>45898</v>
          </cell>
          <cell r="N99">
            <v>45901</v>
          </cell>
          <cell r="O99">
            <v>45901</v>
          </cell>
          <cell r="P99" t="str">
            <v>Visitas de evaluación con fines de mejoramiento</v>
          </cell>
          <cell r="Q99" t="str">
            <v>20250901_COLEGIO_DIOS_ES_AMOR.pdf</v>
          </cell>
          <cell r="R99" t="str">
            <v xml:space="preserve">Se realiza análisis cuantitativo y cualitativo de resultados pruebas SABER. Se plantea un Plan de Acción de mejoramiento con una empresa externa, con simulacros y acciones de refuerzo y entrenamiento. </v>
          </cell>
          <cell r="S99" t="str">
            <v xml:space="preserve">Desarrollar el plan de acción para la realización de los simulacros y acciones de refuerzo </v>
          </cell>
          <cell r="T99" t="str">
            <v>No</v>
          </cell>
          <cell r="U99" t="str">
            <v>Verificar los resultados de las pruebas Saber 11 de la presente vigencia respecto a la mejora en su clasificación</v>
          </cell>
        </row>
        <row r="100">
          <cell r="A100">
            <v>2805</v>
          </cell>
          <cell r="B100">
            <v>11</v>
          </cell>
          <cell r="C100" t="str">
            <v>CIUDAD BOLÍVAR</v>
          </cell>
          <cell r="D100" t="str">
            <v>PRIVADO</v>
          </cell>
          <cell r="E100" t="str">
            <v>EPBM</v>
          </cell>
          <cell r="F100" t="str">
            <v>COLEGIO_DIOS_ES_AMOR_LUCERO_ALTO</v>
          </cell>
          <cell r="G100" t="str">
            <v>COLEGIO DIOS ES AMOR LUCERO ALTO</v>
          </cell>
          <cell r="H100" t="str">
            <v>Autoevaluación Institucional y Pruebas SABER 11</v>
          </cell>
          <cell r="I100" t="str">
            <v>SEGUIMIENTO_Y_SUPERVISIÓN.</v>
          </cell>
          <cell r="J100" t="str">
            <v xml:space="preserve">Verificar la implementación por parte de los colegios, de acciones realizadas para la prevención y atención de las situaciones de convivencia en el entorno escolar, según lo establecido en la Directiva 01 de 2022 del MEN. </v>
          </cell>
          <cell r="K100" t="str">
            <v xml:space="preserve">CLAUDIA DOMÍNGUEZ TORRES </v>
          </cell>
          <cell r="L100" t="str">
            <v xml:space="preserve">MARIA NANCY DUCUARA </v>
          </cell>
          <cell r="M100">
            <v>45898</v>
          </cell>
          <cell r="N100">
            <v>45901</v>
          </cell>
          <cell r="O100">
            <v>45901</v>
          </cell>
          <cell r="P100" t="str">
            <v>Visitas de evaluación con fines de mejoramiento</v>
          </cell>
          <cell r="Q100" t="str">
            <v>20250901_COLEGIO_DIOS_ES_AMOR.pdf</v>
          </cell>
          <cell r="R100" t="str">
            <v xml:space="preserve">La institución educativa presenta las acciones realizadas frente al Plan de Mejora de activación de ruta de convivencia, se evidencia que han realizado las actuaciones tendientes a la mejora continua. Los NNA que tienen activación de ruta les realiza el seguimiento por parte de Trabajadora Social en  el Comité de Protección. </v>
          </cell>
          <cell r="S100" t="str">
            <v>Continuar con la aplicabilidad de los protocolos de la RIA, en cumplimiento dela normatividad establecida</v>
          </cell>
          <cell r="T100" t="str">
            <v>No</v>
          </cell>
          <cell r="U100" t="str">
            <v xml:space="preserve">Verificar el cumplimiento de la activación de los  protocolos de de Atención integral para la Convivencia Escolar </v>
          </cell>
        </row>
        <row r="101">
          <cell r="A101">
            <v>2806</v>
          </cell>
          <cell r="B101">
            <v>11</v>
          </cell>
          <cell r="C101" t="str">
            <v>CIUDAD BOLÍVAR</v>
          </cell>
          <cell r="D101" t="str">
            <v>PRIVADO</v>
          </cell>
          <cell r="E101" t="str">
            <v>EPBM</v>
          </cell>
          <cell r="F101" t="str">
            <v>COLEGIO_DIOS_ES_AMOR_LUCERO_ALTO</v>
          </cell>
          <cell r="G101" t="str">
            <v>COLEGIO DIOS ES AMOR LUCERO ALTO</v>
          </cell>
          <cell r="H101" t="str">
            <v>Autoevaluación Institucional y Pruebas SABER 11</v>
          </cell>
          <cell r="I101" t="str">
            <v>SEGUIMIENTO_Y_SUPERVISIÓN.</v>
          </cell>
          <cell r="J10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1" t="str">
            <v xml:space="preserve">CLAUDIA DOMÍNGUEZ TORRES </v>
          </cell>
          <cell r="L101" t="str">
            <v xml:space="preserve">MARIA NANCY DUCUARA </v>
          </cell>
          <cell r="M101">
            <v>45898</v>
          </cell>
          <cell r="N101">
            <v>45901</v>
          </cell>
          <cell r="O101">
            <v>45901</v>
          </cell>
          <cell r="P101" t="str">
            <v>Visitas de evaluación con fines de mejoramiento</v>
          </cell>
          <cell r="Q101" t="str">
            <v>20250901_COLEGIO_DIOS_ES_AMOR.pdf</v>
          </cell>
          <cell r="R101" t="str">
            <v>Tienen caracterizados veintidos (22) casos de NNA con discapacidad los cuales no están reportados en su totalidad en el SIMAT. Cuentan con PIAR para cada uno de los casos, sin embargo falta caracterizar muy bien las condiciones de los ajustes razonables. 
Los ajustes razonables son muy genéricos, no ofrecen una estrategia clara y detallada de su implementación, que permita medir su impacto.</v>
          </cell>
          <cell r="S101" t="str">
            <v>Reportar al SIMAT la totalidad de los NNA con PIAR.
Los ajustes razonables en el PIAR deben ser específicos, deben tener estrategias concretas para el docente y para la familia.</v>
          </cell>
          <cell r="T101" t="str">
            <v>Si</v>
          </cell>
          <cell r="U101" t="str">
            <v>La IE hará entrega del Plan de Mejoramiento el 30/09/2025.
El ELIV realizará seguimiento en el mes de noviembre de 2025 para verificar el cumplimiento de las acciones establecidas en el plan de mejoramiento.</v>
          </cell>
        </row>
        <row r="102">
          <cell r="A102">
            <v>2807</v>
          </cell>
          <cell r="B102">
            <v>11</v>
          </cell>
          <cell r="C102" t="str">
            <v>CIUDAD BOLÍVAR</v>
          </cell>
          <cell r="D102" t="str">
            <v>PRIVADO</v>
          </cell>
          <cell r="E102" t="str">
            <v>EPBM</v>
          </cell>
          <cell r="F102" t="str">
            <v>COLEGIO_DIOS_ES_AMOR_LUCERO_ALTO</v>
          </cell>
          <cell r="G102" t="str">
            <v>COLEGIO DIOS ES AMOR LUCERO ALTO</v>
          </cell>
          <cell r="H102" t="str">
            <v>Autoevaluación Institucional y Pruebas SABER 11</v>
          </cell>
          <cell r="I102" t="str">
            <v>EVALUACIÓN_CON_FINES_DE_MEJORAMIENTO.</v>
          </cell>
          <cell r="J10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2" t="str">
            <v xml:space="preserve">CLAUDIA DOMÍNGUEZ TORRES </v>
          </cell>
          <cell r="L102" t="str">
            <v xml:space="preserve">MARIA NANCY DUCUARA </v>
          </cell>
          <cell r="M102">
            <v>45898</v>
          </cell>
          <cell r="N102">
            <v>45901</v>
          </cell>
          <cell r="O102">
            <v>45901</v>
          </cell>
          <cell r="P102" t="str">
            <v>Visitas de evaluación con fines de mejoramiento</v>
          </cell>
          <cell r="Q102" t="str">
            <v>20250901_COLEGIO_DIOS_ES_AMOR.pdf</v>
          </cell>
          <cell r="R102" t="str">
            <v>El manual de convivencia no diferencia las faltas disciplinarias de las situaciones convivenciales. No tiene establecidas claramente las faltas disciplinarias y no aplica el principio de proporcionalidad en las sanciaones. No se evidencian las etapas del debido proceso en el proceso disciplinario. Falta incluir el enfoque restaurativo y el enfoque de género. Debe incluir actualización normativa.</v>
          </cell>
          <cell r="S102" t="str">
            <v>Actualizar el Manual de Convivencia con base en la normatividad existente, de acuerdo a las observaciones realizadas en el formato de análisis entregado a la IE.</v>
          </cell>
          <cell r="T102" t="str">
            <v>Si</v>
          </cell>
          <cell r="U102" t="str">
            <v>La IE hará entrega del Plan de Mejoramiento el 30/09/2025.
El ELIV realizará seguimiento en el mes de noviembre de 2025 para verificar el cumplimiento de las acciones establecidas en el plan de mejoramiento.</v>
          </cell>
        </row>
        <row r="103">
          <cell r="A103">
            <v>2808</v>
          </cell>
          <cell r="B103">
            <v>11</v>
          </cell>
          <cell r="C103" t="str">
            <v>CIUDAD BOLÍVAR</v>
          </cell>
          <cell r="D103" t="str">
            <v>PRIVADO</v>
          </cell>
          <cell r="E103" t="str">
            <v>EPBM</v>
          </cell>
          <cell r="F103" t="str">
            <v>COLEGIO_DIOS_ES_AMOR_LUCERO_ALTO</v>
          </cell>
          <cell r="G103" t="str">
            <v>COLEGIO DIOS ES AMOR LUCERO ALTO</v>
          </cell>
          <cell r="H103" t="str">
            <v>Autoevaluación Institucional y Pruebas SABER 11</v>
          </cell>
          <cell r="I103" t="str">
            <v>EVALUACIÓN_CON_FINES_DE_MEJORAMIENTO.</v>
          </cell>
          <cell r="J103" t="str">
            <v>Revisar la actualización, socialización e implementación del Sistema Institucional de Evaluación de Estudiantes - SIEE, en articulación con la actualización del PEI y la normatividad vigente.</v>
          </cell>
          <cell r="K103" t="str">
            <v xml:space="preserve">CLAUDIA DOMÍNGUEZ TORRES </v>
          </cell>
          <cell r="L103" t="str">
            <v xml:space="preserve">MARIA NANCY DUCUARA </v>
          </cell>
          <cell r="M103">
            <v>45898</v>
          </cell>
          <cell r="N103">
            <v>45901</v>
          </cell>
          <cell r="O103">
            <v>45901</v>
          </cell>
          <cell r="P103" t="str">
            <v>Visitas de evaluación con fines de mejoramiento</v>
          </cell>
          <cell r="Q103" t="str">
            <v>20250901_COLEGIO_DIOS_ES_AMOR.pdf</v>
          </cell>
          <cell r="R103" t="str">
            <v>No se evidencia las actas de sesión del Comité Institucional de Evaluación, no hay elementos del debido proceso en las reclamaciones frente al proceos de evaluación. Se evidencia el sistema AVANZA como proceso terapéutico interdisciplinario para la atención de estudiantes con bajo rendimiento académico, sin embargo no se encuentra enunciado en el SIEE.Existen procesos de refuerzo escolar y nivelación.</v>
          </cell>
          <cell r="S103" t="str">
            <v xml:space="preserve">Se recomienda la organización del archivo y documentar todas las sesiones del Comité Institucional de Evaluación.
</v>
          </cell>
          <cell r="T103" t="str">
            <v>No</v>
          </cell>
          <cell r="U103" t="str">
            <v>Verificar que se encuentren documentadas las sesiones del Comité Institucional de Evaluación.</v>
          </cell>
        </row>
        <row r="104">
          <cell r="A104">
            <v>2809</v>
          </cell>
          <cell r="B104">
            <v>11</v>
          </cell>
          <cell r="C104" t="str">
            <v>CIUDAD BOLÍVAR</v>
          </cell>
          <cell r="D104" t="str">
            <v>PRIVADO</v>
          </cell>
          <cell r="E104" t="str">
            <v>EPBM</v>
          </cell>
          <cell r="F104" t="str">
            <v>COLEGIO_DIOS_ES_AMOR_LUCERO_ALTO</v>
          </cell>
          <cell r="G104" t="str">
            <v>COLEGIO DIOS ES AMOR LUCERO ALTO</v>
          </cell>
          <cell r="H104" t="str">
            <v>Autoevaluación Institucional y Pruebas SABER 11</v>
          </cell>
          <cell r="I104" t="str">
            <v>EVALUACIÓN_CON_FINES_DE_MEJORAMIENTO.</v>
          </cell>
          <cell r="J104" t="str">
            <v>Revisar el calendario escolar, jornada escolar, la intensidad horaria mínima anual en cada nivel y las modificaciones que se realicen al mismo, de acuerdo con lo previsto en la normatividad vigente.</v>
          </cell>
          <cell r="K104" t="str">
            <v xml:space="preserve">CLAUDIA DOMÍNGUEZ TORRES </v>
          </cell>
          <cell r="L104" t="str">
            <v xml:space="preserve">MARIA NANCY DUCUARA </v>
          </cell>
          <cell r="M104">
            <v>45898</v>
          </cell>
          <cell r="N104">
            <v>45901</v>
          </cell>
          <cell r="O104">
            <v>45901</v>
          </cell>
          <cell r="P104" t="str">
            <v>Visitas de evaluación con fines de mejoramiento</v>
          </cell>
          <cell r="Q104" t="str">
            <v>20250901_COLEGIO_DIOS_ES_AMOR.pdf</v>
          </cell>
          <cell r="R104" t="str">
            <v>Se garantizan las 1000 horas en preescolar y las 1200 en básica y media.</v>
          </cell>
          <cell r="S104" t="str">
            <v>Continuar con la definición del calendario académico en el marco de la normatividad y garantizar su cumplimiento hasta finalizar el año escolar.</v>
          </cell>
          <cell r="T104" t="str">
            <v>No</v>
          </cell>
          <cell r="U104" t="str">
            <v>Se revisara el calendario académico para lavigencia 2026</v>
          </cell>
        </row>
        <row r="105">
          <cell r="A105">
            <v>2810</v>
          </cell>
          <cell r="B105">
            <v>11</v>
          </cell>
          <cell r="C105" t="str">
            <v>CIUDAD BOLÍVAR</v>
          </cell>
          <cell r="D105" t="str">
            <v>PRIVADO</v>
          </cell>
          <cell r="E105" t="str">
            <v>EPBM</v>
          </cell>
          <cell r="F105" t="str">
            <v>COLEGIO_DIOS_ES_AMOR_LUCERO_ALTO</v>
          </cell>
          <cell r="G105" t="str">
            <v>COLEGIO DIOS ES AMOR LUCERO ALTO</v>
          </cell>
          <cell r="H105" t="str">
            <v>Autoevaluación Institucional y Pruebas SABER 11</v>
          </cell>
          <cell r="I105" t="str">
            <v>EVALUACIÓN_CON_FINES_DE_MEJORAMIENTO.</v>
          </cell>
          <cell r="J105" t="str">
            <v>Verificar el funcionamiento del Gobierno Escolar e instancias de participación con base en la información sobre conformación reportada por la institución educativa.</v>
          </cell>
          <cell r="K105" t="str">
            <v xml:space="preserve">CLAUDIA DOMÍNGUEZ TORRES </v>
          </cell>
          <cell r="L105" t="str">
            <v xml:space="preserve">MARIA NANCY DUCUARA </v>
          </cell>
          <cell r="M105">
            <v>45898</v>
          </cell>
          <cell r="N105">
            <v>45901</v>
          </cell>
          <cell r="O105">
            <v>45901</v>
          </cell>
          <cell r="P105" t="str">
            <v>Visitas de evaluación con fines de mejoramiento</v>
          </cell>
          <cell r="Q105" t="str">
            <v>20250901_COLEGIO_DIOS_ES_AMOR.pdf</v>
          </cell>
          <cell r="R105" t="str">
            <v>Se evidencia la conformación de los diferentes estamentos para el año 2025. Existen actas de sesiones ordinarias. Tienen reglamento de funcionamiento.</v>
          </cell>
          <cell r="S105" t="str">
            <v xml:space="preserve">Continuar con la operatividad de los diferentes estamentos del gobierno escolar  </v>
          </cell>
          <cell r="T105" t="str">
            <v>No</v>
          </cell>
          <cell r="U105" t="str">
            <v>Verificar el cumplimiento de la conformacion de gobierno escolar para la vigencia 2026</v>
          </cell>
        </row>
        <row r="106">
          <cell r="A106">
            <v>2811</v>
          </cell>
          <cell r="B106">
            <v>11</v>
          </cell>
          <cell r="C106" t="str">
            <v>CIUDAD BOLÍVAR</v>
          </cell>
          <cell r="D106" t="str">
            <v>PRIVADO</v>
          </cell>
          <cell r="E106" t="str">
            <v>EPBM</v>
          </cell>
          <cell r="F106" t="str">
            <v>COLEGIO_DIOS_ES_AMOR_LUCERO_ALTO</v>
          </cell>
          <cell r="G106" t="str">
            <v>COLEGIO DIOS ES AMOR LUCERO ALTO</v>
          </cell>
          <cell r="H106" t="str">
            <v>Autoevaluación Institucional y Pruebas SABER 11</v>
          </cell>
          <cell r="I106" t="str">
            <v>EVALUACIÓN_CON_FINES_DE_MEJORAMIENTO.</v>
          </cell>
          <cell r="J106" t="str">
            <v>Verificar las condiciones en cuanto a: la estructura administrativa, condiciones de la planta física y medios educativos adecuados.</v>
          </cell>
          <cell r="K106" t="str">
            <v xml:space="preserve">CLAUDIA DOMÍNGUEZ TORRES </v>
          </cell>
          <cell r="L106" t="str">
            <v xml:space="preserve">MARIA NANCY DUCUARA </v>
          </cell>
          <cell r="M106">
            <v>45898</v>
          </cell>
          <cell r="N106">
            <v>45901</v>
          </cell>
          <cell r="O106">
            <v>45901</v>
          </cell>
          <cell r="P106" t="str">
            <v>Visitas de evaluación con fines de mejoramiento</v>
          </cell>
          <cell r="Q106" t="str">
            <v>20250901_COLEGIO_DIOS_ES_AMOR.pdf</v>
          </cell>
          <cell r="R106" t="str">
            <v xml:space="preserve">El organigrama está desactualizado con relación a los cargos que se encuentran en la IE. Tiene manual de funciones y reglamento interno de trabajo, sin embargo no está contenido en el PEI. Algunos docentes no son profesionales. 
 Los ambientes de amprendizaje y los recursos son suficientes para la prestación del servicio educativo, sin embargo hay salones con hacinamiento. Se requiere tramitar el convenio de espacios compartidos y gestionar ante la SED la respectiva aprobación. 
Se requiere revisar la representación legal de la IE,y realizar el trámite de actualización ante la DLE. 
</v>
          </cell>
          <cell r="S106" t="str">
            <v>1.Reedistribuir los salones para evitar el hacinamiento.
2. Actualizar el manual de funciones y el reglamento de trabajo para que se encuentren contenidos en el PEI.
3.Oficializar el convenio de espacios compartidos con la SED.
4. todos los doccentes deben ser profesionales.
5.Realizar la actualización del la representación legal ante la DLE.</v>
          </cell>
          <cell r="T106" t="str">
            <v>Si</v>
          </cell>
          <cell r="U106" t="str">
            <v>La IE hará entrega del Plan de Mejoramiento el 30/09/2025.
El ELIV realizará seguimiento en el mes de noviembre de 2025 para verificar el cumplimiento de las acciones establecidas en el plan de mejoramiento.</v>
          </cell>
        </row>
        <row r="107">
          <cell r="A107">
            <v>2812</v>
          </cell>
          <cell r="B107">
            <v>12</v>
          </cell>
          <cell r="C107" t="str">
            <v>CIUDAD BOLÍVAR</v>
          </cell>
          <cell r="D107" t="str">
            <v>PRIVADO</v>
          </cell>
          <cell r="E107" t="str">
            <v>EPBM</v>
          </cell>
          <cell r="F107" t="str">
            <v>COLEGIO_COFRATERNIDAD_DE_SAN_FERNANDO</v>
          </cell>
          <cell r="G107" t="str">
            <v>COLEGIO COFRATERNIDAD DE SAN FERNANDO</v>
          </cell>
          <cell r="H107" t="str">
            <v>Autoevaluación Institucional y Pruebas SABER 11</v>
          </cell>
          <cell r="I107" t="str">
            <v>SEGUIMIENTO_Y_SUPERVISIÓN.</v>
          </cell>
          <cell r="J107" t="str">
            <v>Realizar visitas para verificar la información registrada sobre la autoevaluación institucional en el aplicativo EVI, a los establecimientos de educación formal no oficial.</v>
          </cell>
          <cell r="K107" t="str">
            <v xml:space="preserve">JUDITH SOLANO RAMÍREZ </v>
          </cell>
          <cell r="L107" t="str">
            <v>ÓSCAR JAVIER CÁRDENAS MUÑOZ</v>
          </cell>
          <cell r="M107">
            <v>45926</v>
          </cell>
          <cell r="N107">
            <v>45881</v>
          </cell>
          <cell r="O107">
            <v>45881</v>
          </cell>
          <cell r="P107" t="str">
            <v>Visitas de evaluación con fines de mejoramiento</v>
          </cell>
          <cell r="Q107" t="str">
            <v>20250812_Col Cofraternidad de San Fernando.pdf</v>
          </cell>
          <cell r="R107" t="str">
            <v xml:space="preserve">Se encontró que:
 - La IE cuenta con un predio que no está incluido en la licencia de funcionamiento.
 - La información relacionada en EVI sobre la formación de los docentes no coincide con lo encontrado en la verificación documental realizada.
</v>
          </cell>
          <cell r="S107" t="str">
            <v>La IE debe: 
 - Iniciar proceso de legalización de los espacios deportivos que tienen en la Carrera 19F # 59B-31 Barrio Villa Helena y la sede donde funciona Sistemas ubicada en la Carrera 19C Bis # 60-26 Sur (Patio 4).
 - Aportar título profesional de los cinco docentes que se encuentran en formación.</v>
          </cell>
          <cell r="T107" t="str">
            <v>Si</v>
          </cell>
          <cell r="U107" t="str">
            <v>La IE hará entrega del Plan de Mejoramiento el 15/09/2025.
El ELIV realizará seguimiento en noviembre de 2025 para verificar el cumplimiento de las acciones establecidas en el plan de mejoramiento.</v>
          </cell>
        </row>
        <row r="108">
          <cell r="A108">
            <v>2813</v>
          </cell>
          <cell r="B108">
            <v>12</v>
          </cell>
          <cell r="C108" t="str">
            <v>CIUDAD BOLÍVAR</v>
          </cell>
          <cell r="D108" t="str">
            <v>PRIVADO</v>
          </cell>
          <cell r="E108" t="str">
            <v>EPBM</v>
          </cell>
          <cell r="F108" t="str">
            <v>COLEGIO_COFRATERNIDAD_DE_SAN_FERNANDO</v>
          </cell>
          <cell r="G108" t="str">
            <v>COLEGIO COFRATERNIDAD DE SAN FERNANDO</v>
          </cell>
          <cell r="H108" t="str">
            <v>Autoevaluación Institucional y Pruebas SABER 11</v>
          </cell>
          <cell r="I108" t="str">
            <v>SEGUIMIENTO_Y_SUPERVISIÓN.</v>
          </cell>
          <cell r="J108" t="str">
            <v>Proponer estrategias en la formulación, verificar su elaboración y realizar seguimiento semestral al desarrollo de  las acciones establecidas en los planes de mejoramiento por pruebas SABER 11 de los establecimientos de educación formal.</v>
          </cell>
          <cell r="K108" t="str">
            <v xml:space="preserve">JUDITH SOLANO RAMÍREZ </v>
          </cell>
          <cell r="L108" t="str">
            <v>ÓSCAR JAVIER CÁRDENAS MUÑOZ</v>
          </cell>
          <cell r="M108">
            <v>45926</v>
          </cell>
          <cell r="N108">
            <v>45881</v>
          </cell>
          <cell r="O108">
            <v>45881</v>
          </cell>
          <cell r="P108" t="str">
            <v>Visitas de evaluación con fines de mejoramiento</v>
          </cell>
          <cell r="Q108" t="str">
            <v>20250812_Col Cofraternidad de San Fernando.pdf</v>
          </cell>
          <cell r="R108" t="str">
            <v>Se encontró que el Diseño Curricular general de la institución se encuentra actualizado enfocado a la preparación de las pruebas Saber 11</v>
          </cell>
          <cell r="S108" t="str">
            <v>La IE debe implementar acciones de atención desde el plan de estudios y de la aplicación de pruebas tipo Saber</v>
          </cell>
          <cell r="T108" t="str">
            <v>Si</v>
          </cell>
          <cell r="U108" t="str">
            <v>La IE hará entrega del Plan de Mejoramiento el 15/09/2025.
El ELIV realizará seguimiento en noviembre de 2025 para verificar el cumplimiento de las acciones establecidas en el plan de mejoramiento.</v>
          </cell>
        </row>
        <row r="109">
          <cell r="A109">
            <v>2814</v>
          </cell>
          <cell r="B109">
            <v>12</v>
          </cell>
          <cell r="C109" t="str">
            <v>CIUDAD BOLÍVAR</v>
          </cell>
          <cell r="D109" t="str">
            <v>PRIVADO</v>
          </cell>
          <cell r="E109" t="str">
            <v>EPBM</v>
          </cell>
          <cell r="F109" t="str">
            <v>COLEGIO_COFRATERNIDAD_DE_SAN_FERNANDO</v>
          </cell>
          <cell r="G109" t="str">
            <v>COLEGIO COFRATERNIDAD DE SAN FERNANDO</v>
          </cell>
          <cell r="H109" t="str">
            <v>Autoevaluación Institucional y Pruebas SABER 11</v>
          </cell>
          <cell r="I109" t="str">
            <v>SEGUIMIENTO_Y_SUPERVISIÓN.</v>
          </cell>
          <cell r="J109" t="str">
            <v xml:space="preserve">Verificar la implementación por parte de los colegios, de acciones realizadas para la prevención y atención de las situaciones de convivencia en el entorno escolar, según lo establecido en la Directiva 01 de 2022 del MEN. </v>
          </cell>
          <cell r="K109" t="str">
            <v xml:space="preserve">JUDITH SOLANO RAMÍREZ </v>
          </cell>
          <cell r="L109" t="str">
            <v>ÓSCAR JAVIER CÁRDENAS MUÑOZ</v>
          </cell>
          <cell r="M109">
            <v>45926</v>
          </cell>
          <cell r="N109">
            <v>45881</v>
          </cell>
          <cell r="O109">
            <v>45881</v>
          </cell>
          <cell r="P109" t="str">
            <v>Visitas de evaluación con fines de mejoramiento</v>
          </cell>
          <cell r="Q109" t="str">
            <v>20250812_Col Cofraternidad de San Fernando.pdf</v>
          </cell>
          <cell r="R109" t="str">
            <v>La IE presenta los reportes de consulta de antecedentes del mes de mayo, sin embargo, no hubo revisión previa a la contratación.</v>
          </cell>
          <cell r="S109" t="str">
            <v>La IE debe garantizar la revisión de los antecedentes de las personas que se vinculan a la IE.</v>
          </cell>
          <cell r="T109" t="str">
            <v>Si</v>
          </cell>
          <cell r="U109" t="str">
            <v>La IE hará entrega del Plan de Mejoramiento el 15/09/2025.
El ELIV realizará seguimiento en noviembre de 2025 para verificar el cumplimiento de las acciones establecidas en el plan de mejoramiento.</v>
          </cell>
        </row>
        <row r="110">
          <cell r="A110">
            <v>2815</v>
          </cell>
          <cell r="B110">
            <v>12</v>
          </cell>
          <cell r="C110" t="str">
            <v>CIUDAD BOLÍVAR</v>
          </cell>
          <cell r="D110" t="str">
            <v>PRIVADO</v>
          </cell>
          <cell r="E110" t="str">
            <v>EPBM</v>
          </cell>
          <cell r="F110" t="str">
            <v>COLEGIO_COFRATERNIDAD_DE_SAN_FERNANDO</v>
          </cell>
          <cell r="G110" t="str">
            <v>COLEGIO COFRATERNIDAD DE SAN FERNANDO</v>
          </cell>
          <cell r="H110" t="str">
            <v>Autoevaluación Institucional y Pruebas SABER 11</v>
          </cell>
          <cell r="I110" t="str">
            <v>SEGUIMIENTO_Y_SUPERVISIÓN.</v>
          </cell>
          <cell r="J1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0" t="str">
            <v xml:space="preserve">JUDITH SOLANO RAMÍREZ </v>
          </cell>
          <cell r="L110" t="str">
            <v>ÓSCAR JAVIER CÁRDENAS MUÑOZ</v>
          </cell>
          <cell r="M110">
            <v>45926</v>
          </cell>
          <cell r="N110">
            <v>45881</v>
          </cell>
          <cell r="O110">
            <v>45881</v>
          </cell>
          <cell r="P110" t="str">
            <v>Visitas de evaluación con fines de mejoramiento</v>
          </cell>
          <cell r="Q110" t="str">
            <v>20250812_Col Cofraternidad de San Fernando.pdf</v>
          </cell>
          <cell r="R110" t="str">
            <v>La IE tiene caracterizados casos de trastornos de aprendizaje y talentos excepcionales y han implementado estrategias para su atención.
La IE presenta PIAR diligenciados.</v>
          </cell>
          <cell r="S110" t="str">
            <v>La IE debe organizar el proceso de identificación del diagnóstico desde la EPS para los casos de trastornos de aprendizaje y atender las recomendaciones frente a la caracterización de las condiciones de los estudiantes</v>
          </cell>
          <cell r="T110" t="str">
            <v>Si</v>
          </cell>
          <cell r="U110" t="str">
            <v>La IE hará entrega del Plan de Mejoramiento el 15/09/2025.
El ELIV realizará seguimiento en noviembre de 2025 para verificar el cumplimiento de las acciones establecidas en el plan de mejoramiento.</v>
          </cell>
        </row>
        <row r="111">
          <cell r="A111">
            <v>2816</v>
          </cell>
          <cell r="B111">
            <v>12</v>
          </cell>
          <cell r="C111" t="str">
            <v>CIUDAD BOLÍVAR</v>
          </cell>
          <cell r="D111" t="str">
            <v>PRIVADO</v>
          </cell>
          <cell r="E111" t="str">
            <v>EPBM</v>
          </cell>
          <cell r="F111" t="str">
            <v>COLEGIO_COFRATERNIDAD_DE_SAN_FERNANDO</v>
          </cell>
          <cell r="G111" t="str">
            <v>COLEGIO COFRATERNIDAD DE SAN FERNANDO</v>
          </cell>
          <cell r="H111" t="str">
            <v>Autoevaluación Institucional y Pruebas SABER 11</v>
          </cell>
          <cell r="I111" t="str">
            <v>EVALUACIÓN_CON_FINES_DE_MEJORAMIENTO.</v>
          </cell>
          <cell r="J1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1" t="str">
            <v xml:space="preserve">JUDITH SOLANO RAMÍREZ </v>
          </cell>
          <cell r="L111" t="str">
            <v>ÓSCAR JAVIER CÁRDENAS MUÑOZ</v>
          </cell>
          <cell r="M111">
            <v>45926</v>
          </cell>
          <cell r="N111">
            <v>45881</v>
          </cell>
          <cell r="O111">
            <v>45881</v>
          </cell>
          <cell r="P111" t="str">
            <v>Visitas de evaluación con fines de mejoramiento</v>
          </cell>
          <cell r="Q111" t="str">
            <v>20250812_Col Cofraternidad de San Fernando.pdf</v>
          </cell>
          <cell r="R111" t="str">
            <v>Se encontraron evidencias de la definición, actualización y participación en la construcción del Manual de Convivencia, así como de la actualización anual.</v>
          </cell>
          <cell r="S111" t="str">
            <v>La IE debe:
 - Ajustar lo relativoal uniforme de los estudiantes en el marco del componente de género.
 - Enfatizar las acciones de convivencia en la aplicación del debido proceso.
 - Incluir el enfoque de género, restaurativo y de derechos humanos.
 - Actualizar la normatividad vigente y aplicable.</v>
          </cell>
          <cell r="T111" t="str">
            <v>Si</v>
          </cell>
          <cell r="U111" t="str">
            <v>La IE hará entrega del Plan de Mejoramiento el 15/09/2025.
El ELIV realizará seguimiento en noviembre de 2025 para verificar el cumplimiento de las acciones establecidas en el plan de mejoramiento.</v>
          </cell>
        </row>
        <row r="112">
          <cell r="A112">
            <v>2817</v>
          </cell>
          <cell r="B112">
            <v>12</v>
          </cell>
          <cell r="C112" t="str">
            <v>CIUDAD BOLÍVAR</v>
          </cell>
          <cell r="D112" t="str">
            <v>PRIVADO</v>
          </cell>
          <cell r="E112" t="str">
            <v>EPBM</v>
          </cell>
          <cell r="F112" t="str">
            <v>COLEGIO_COFRATERNIDAD_DE_SAN_FERNANDO</v>
          </cell>
          <cell r="G112" t="str">
            <v>COLEGIO COFRATERNIDAD DE SAN FERNANDO</v>
          </cell>
          <cell r="H112" t="str">
            <v>Autoevaluación Institucional y Pruebas SABER 11</v>
          </cell>
          <cell r="I112" t="str">
            <v>EVALUACIÓN_CON_FINES_DE_MEJORAMIENTO.</v>
          </cell>
          <cell r="J112" t="str">
            <v>Revisar la actualización, socialización e implementación del Sistema Institucional de Evaluación de Estudiantes - SIEE, en articulación con la actualización del PEI y la normatividad vigente.</v>
          </cell>
          <cell r="K112" t="str">
            <v xml:space="preserve">JUDITH SOLANO RAMÍREZ </v>
          </cell>
          <cell r="L112" t="str">
            <v>ÓSCAR JAVIER CÁRDENAS MUÑOZ</v>
          </cell>
          <cell r="M112">
            <v>45926</v>
          </cell>
          <cell r="N112">
            <v>45881</v>
          </cell>
          <cell r="O112">
            <v>45881</v>
          </cell>
          <cell r="P112" t="str">
            <v>Visitas de evaluación con fines de mejoramiento</v>
          </cell>
          <cell r="Q112" t="str">
            <v>20250812_Col Cofraternidad de San Fernando.pdf</v>
          </cell>
          <cell r="R112" t="str">
            <v xml:space="preserve">La IE presenta evidencias de la operatividad de las Comisiones de Evaluación y Promoción. Se encuentra que define acciones importantes de acompañamiento y seguimiento para la superación de las debilidades académicas, con acompañamiento regular </v>
          </cell>
          <cell r="S112" t="str">
            <v>La IE debe:
 - Incluir en el SIEE la conformación de la Comisión o delegar al Consejo Académico y definir un reglamento para la misma.
 - Eliminar del SIEE el criterio de NO PROMOCIÓN "Por solicitud del padre de familia ..."
 - Actualizar el SIEE y el Manual de Convivencia con base en la normatividad vigente.</v>
          </cell>
          <cell r="T112" t="str">
            <v>Si</v>
          </cell>
          <cell r="U112" t="str">
            <v>La IE hará entrega del Plan de Mejoramiento el 15/09/2025.
El ELIV realizará seguimiento en noviembre de 2025 para verificar el cumplimiento de las acciones establecidas en el plan de mejoramiento.</v>
          </cell>
        </row>
        <row r="113">
          <cell r="A113">
            <v>2818</v>
          </cell>
          <cell r="B113">
            <v>12</v>
          </cell>
          <cell r="C113" t="str">
            <v>CIUDAD BOLÍVAR</v>
          </cell>
          <cell r="D113" t="str">
            <v>PRIVADO</v>
          </cell>
          <cell r="E113" t="str">
            <v>EPBM</v>
          </cell>
          <cell r="F113" t="str">
            <v>COLEGIO_COFRATERNIDAD_DE_SAN_FERNANDO</v>
          </cell>
          <cell r="G113" t="str">
            <v>COLEGIO COFRATERNIDAD DE SAN FERNANDO</v>
          </cell>
          <cell r="H113" t="str">
            <v>Autoevaluación Institucional y Pruebas SABER 11</v>
          </cell>
          <cell r="I113" t="str">
            <v>EVALUACIÓN_CON_FINES_DE_MEJORAMIENTO.</v>
          </cell>
          <cell r="J113" t="str">
            <v>Revisar el calendario escolar, jornada escolar, la intensidad horaria mínima anual en cada nivel y las modificaciones que se realicen al mismo, de acuerdo con lo previsto en la normatividad vigente.</v>
          </cell>
          <cell r="K113" t="str">
            <v xml:space="preserve">JUDITH SOLANO RAMÍREZ </v>
          </cell>
          <cell r="L113" t="str">
            <v>ÓSCAR JAVIER CÁRDENAS MUÑOZ</v>
          </cell>
          <cell r="M113">
            <v>45926</v>
          </cell>
          <cell r="N113">
            <v>45881</v>
          </cell>
          <cell r="O113">
            <v>45881</v>
          </cell>
          <cell r="P113" t="str">
            <v>Visitas de evaluación con fines de mejoramiento</v>
          </cell>
          <cell r="Q113" t="str">
            <v>20250812_Col Cofraternidad de San Fernando.pdf</v>
          </cell>
          <cell r="R113" t="str">
            <v>La IE garantiza 1000 horas en Preescolar, 1200 en Básica Primaria y 1400 en Secundaria y Media</v>
          </cell>
          <cell r="S113" t="str">
            <v>Se insta a la IE a continuar con la debida definición del calendario escolar y de la intensidad horaria en el marco del Decreto 1075 de 2015</v>
          </cell>
          <cell r="T113" t="str">
            <v>No</v>
          </cell>
          <cell r="U113" t="str">
            <v>Se revisara el calendario académico para lavigencia 2026</v>
          </cell>
        </row>
        <row r="114">
          <cell r="A114">
            <v>2819</v>
          </cell>
          <cell r="B114">
            <v>12</v>
          </cell>
          <cell r="C114" t="str">
            <v>CIUDAD BOLÍVAR</v>
          </cell>
          <cell r="D114" t="str">
            <v>PRIVADO</v>
          </cell>
          <cell r="E114" t="str">
            <v>EPBM</v>
          </cell>
          <cell r="F114" t="str">
            <v>COLEGIO_COFRATERNIDAD_DE_SAN_FERNANDO</v>
          </cell>
          <cell r="G114" t="str">
            <v>COLEGIO COFRATERNIDAD DE SAN FERNANDO</v>
          </cell>
          <cell r="H114" t="str">
            <v>Autoevaluación Institucional y Pruebas SABER 11</v>
          </cell>
          <cell r="I114" t="str">
            <v>EVALUACIÓN_CON_FINES_DE_MEJORAMIENTO.</v>
          </cell>
          <cell r="J114" t="str">
            <v>Verificar el funcionamiento del Gobierno Escolar e instancias de participación con base en la información sobre conformación reportada por la institución educativa.</v>
          </cell>
          <cell r="K114" t="str">
            <v xml:space="preserve">JUDITH SOLANO RAMÍREZ </v>
          </cell>
          <cell r="L114" t="str">
            <v>ÓSCAR JAVIER CÁRDENAS MUÑOZ</v>
          </cell>
          <cell r="M114">
            <v>45926</v>
          </cell>
          <cell r="N114">
            <v>45881</v>
          </cell>
          <cell r="O114">
            <v>45881</v>
          </cell>
          <cell r="P114" t="str">
            <v>Visitas de evaluación con fines de mejoramiento</v>
          </cell>
          <cell r="Q114" t="str">
            <v>20250812_Col Cofraternidad de San Fernando.pdf</v>
          </cell>
          <cell r="R114" t="str">
            <v>Se evidenciaron actas de conformación de los diferentes estamentos para la presente vigencia escolar, así como de su operatividad con actas del Consejo Directivo, Comité de Convivencia, Consejo Académico y Consejo de Padres.</v>
          </cell>
          <cell r="S114" t="str">
            <v>Definir las reuniones periódicas del Consejo de Padres, junto con el debido registro en las actas de reunión.</v>
          </cell>
          <cell r="T114" t="str">
            <v>Si</v>
          </cell>
          <cell r="U114" t="str">
            <v>La IE hará entrega del Plan de Mejoramiento el 15/09/2025.
El ELIV realizará seguimiento en noviembre de 2025 para verificar el cumplimiento de las acciones establecidas en el plan de mejoramiento.</v>
          </cell>
        </row>
        <row r="115">
          <cell r="A115">
            <v>2820</v>
          </cell>
          <cell r="B115">
            <v>12</v>
          </cell>
          <cell r="C115" t="str">
            <v>CIUDAD BOLÍVAR</v>
          </cell>
          <cell r="D115" t="str">
            <v>PRIVADO</v>
          </cell>
          <cell r="E115" t="str">
            <v>EPBM</v>
          </cell>
          <cell r="F115" t="str">
            <v>COLEGIO_COFRATERNIDAD_DE_SAN_FERNANDO</v>
          </cell>
          <cell r="G115" t="str">
            <v>COLEGIO COFRATERNIDAD DE SAN FERNANDO</v>
          </cell>
          <cell r="H115" t="str">
            <v>Autoevaluación Institucional y Pruebas SABER 11</v>
          </cell>
          <cell r="I115" t="str">
            <v>EVALUACIÓN_CON_FINES_DE_MEJORAMIENTO.</v>
          </cell>
          <cell r="J115" t="str">
            <v>Verificar las condiciones en cuanto a: la estructura administrativa, condiciones de la planta física y medios educativos adecuados.</v>
          </cell>
          <cell r="K115" t="str">
            <v xml:space="preserve">JUDITH SOLANO RAMÍREZ </v>
          </cell>
          <cell r="L115" t="str">
            <v>ÓSCAR JAVIER CÁRDENAS MUÑOZ</v>
          </cell>
          <cell r="M115">
            <v>45926</v>
          </cell>
          <cell r="N115">
            <v>45881</v>
          </cell>
          <cell r="O115">
            <v>45881</v>
          </cell>
          <cell r="P115" t="str">
            <v>Visitas de evaluación con fines de mejoramiento</v>
          </cell>
          <cell r="Q115" t="str">
            <v>20250812_Col Cofraternidad de San Fernando.pdf</v>
          </cell>
          <cell r="R115" t="str">
            <v xml:space="preserve">Cuenta con una buena infraestructura, con varios salones desocupados que son utilizados para actividades complementarias. Sin embargo, no existen adecuaciones para la movilidad de personas en condición de discapacidad. </v>
          </cell>
          <cell r="S115" t="str">
            <v xml:space="preserve">Generar un plan de atención para la adecuación física de las instalaciones para las personas en condiciones de discapacidad. </v>
          </cell>
          <cell r="T115" t="str">
            <v>Si</v>
          </cell>
          <cell r="U115" t="str">
            <v>La IE hará entrega del Plan de Mejoramiento el 15/09/2025.
El ELIV realizará seguimiento en noviembre de 2025 para verificar el cumplimiento de las acciones establecidas en el plan de mejoramiento.</v>
          </cell>
        </row>
        <row r="116">
          <cell r="A116">
            <v>2821</v>
          </cell>
          <cell r="B116">
            <v>13</v>
          </cell>
          <cell r="C116" t="str">
            <v>CIUDAD BOLÍVAR</v>
          </cell>
          <cell r="D116" t="str">
            <v>PRIVADO</v>
          </cell>
          <cell r="E116" t="str">
            <v>EPBM</v>
          </cell>
          <cell r="F116" t="str">
            <v>COLEGIO_INTERAMERICANO</v>
          </cell>
          <cell r="G116" t="str">
            <v>COLEGIO INTERAMERICANO</v>
          </cell>
          <cell r="H116" t="str">
            <v>Autoevaluación Institucional y Pruebas SABER 11</v>
          </cell>
          <cell r="I116" t="str">
            <v>SEGUIMIENTO_Y_SUPERVISIÓN.</v>
          </cell>
          <cell r="J116" t="str">
            <v>Realizar visitas para verificar la información registrada sobre la autoevaluación institucional en el aplicativo EVI, a los establecimientos de educación formal no oficial.</v>
          </cell>
          <cell r="K116" t="str">
            <v xml:space="preserve">MARIA NANCY DUCUARA </v>
          </cell>
          <cell r="L116" t="str">
            <v xml:space="preserve">JUDITH SOLANO RAMÍREZ </v>
          </cell>
          <cell r="M116">
            <v>45929</v>
          </cell>
          <cell r="N116">
            <v>45917</v>
          </cell>
          <cell r="O116">
            <v>45917</v>
          </cell>
          <cell r="P116" t="str">
            <v>Visitas de evaluación con fines de mejoramiento</v>
          </cell>
          <cell r="Q116" t="str">
            <v>20250917_ActaVisitaAdministrativaColInteramericano.pdf</v>
          </cell>
          <cell r="R116" t="str">
            <v>Se identificó inconsistencias en la legalización de los predios donde opera la institución educativa. Se constató que varios de los lotes utilizados por la institución no se encuentran incluidos en la Resolución de Licencia de Funcionamiento.</v>
          </cell>
          <cell r="S116" t="str">
            <v xml:space="preserve">Solicitar la modificación de la licencia de funcionamiento por apertura de nuevas sedes, en la DLE para incluir los cinco (5) predios que no están  aprobados para la prestación del servicio educativo. </v>
          </cell>
          <cell r="T116" t="str">
            <v>Si</v>
          </cell>
          <cell r="U116" t="str">
            <v>Revisión documental en febrero de 2026 para verificar el cumplimiento de las acciones establecidas en el plan de mejoramiento.</v>
          </cell>
        </row>
        <row r="117">
          <cell r="A117">
            <v>2822</v>
          </cell>
          <cell r="B117">
            <v>13</v>
          </cell>
          <cell r="C117" t="str">
            <v>CIUDAD BOLÍVAR</v>
          </cell>
          <cell r="D117" t="str">
            <v>PRIVADO</v>
          </cell>
          <cell r="E117" t="str">
            <v>EPBM</v>
          </cell>
          <cell r="F117" t="str">
            <v>COLEGIO_INTERAMERICANO</v>
          </cell>
          <cell r="G117" t="str">
            <v>COLEGIO INTERAMERICANO</v>
          </cell>
          <cell r="H117" t="str">
            <v>Autoevaluación Institucional y Pruebas SABER 11</v>
          </cell>
          <cell r="I117" t="str">
            <v>SEGUIMIENTO_Y_SUPERVISIÓN.</v>
          </cell>
          <cell r="J117" t="str">
            <v>Proponer estrategias en la formulación, verificar su elaboración y realizar seguimiento semestral al desarrollo de  las acciones establecidas en los planes de mejoramiento por pruebas SABER 11 de los establecimientos de educación formal.</v>
          </cell>
          <cell r="K117" t="str">
            <v xml:space="preserve">MARIA NANCY DUCUARA </v>
          </cell>
          <cell r="L117" t="str">
            <v xml:space="preserve">JUDITH SOLANO RAMÍREZ </v>
          </cell>
          <cell r="M117">
            <v>45929</v>
          </cell>
          <cell r="N117">
            <v>45917</v>
          </cell>
          <cell r="O117">
            <v>45917</v>
          </cell>
          <cell r="P117" t="str">
            <v>Visitas de evaluación con fines de mejoramiento</v>
          </cell>
          <cell r="Q117" t="str">
            <v>20250917_ActaVisitaAdministrativaColInteramericano.pdf</v>
          </cell>
          <cell r="R117" t="str">
            <v xml:space="preserve">Se evidencia análisis cuantitativo y cualitativo de los resultados de las pruebas SABER. Evalúan el desempeño en cada una de las áreas elaborando un documento de mejora con estrategias de refuerzo. Se realiza ajuste en el Plan de Estudios y Malla Curricular para mejorar el desempeño en las pruebas. </v>
          </cell>
          <cell r="S117" t="str">
            <v>Continuar con la aplicación de acciones para la mejora de los resultados en las pruebas SABER.</v>
          </cell>
          <cell r="T117" t="str">
            <v>No</v>
          </cell>
          <cell r="U117" t="str">
            <v>Verificar los resultados de las pruebas Saber 11 de la presente vigencia respecto a la mejora en su clasificación</v>
          </cell>
        </row>
        <row r="118">
          <cell r="A118">
            <v>2823</v>
          </cell>
          <cell r="B118">
            <v>13</v>
          </cell>
          <cell r="C118" t="str">
            <v>CIUDAD BOLÍVAR</v>
          </cell>
          <cell r="D118" t="str">
            <v>PRIVADO</v>
          </cell>
          <cell r="E118" t="str">
            <v>EPBM</v>
          </cell>
          <cell r="F118" t="str">
            <v>COLEGIO_INTERAMERICANO</v>
          </cell>
          <cell r="G118" t="str">
            <v>COLEGIO INTERAMERICANO</v>
          </cell>
          <cell r="H118" t="str">
            <v>Autoevaluación Institucional y Pruebas SABER 11</v>
          </cell>
          <cell r="I118" t="str">
            <v>SEGUIMIENTO_Y_SUPERVISIÓN.</v>
          </cell>
          <cell r="J118" t="str">
            <v xml:space="preserve">Verificar la implementación por parte de los colegios, de acciones realizadas para la prevención y atención de las situaciones de convivencia en el entorno escolar, según lo establecido en la Directiva 01 de 2022 del MEN. </v>
          </cell>
          <cell r="K118" t="str">
            <v xml:space="preserve">MARIA NANCY DUCUARA </v>
          </cell>
          <cell r="L118" t="str">
            <v xml:space="preserve">JUDITH SOLANO RAMÍREZ </v>
          </cell>
          <cell r="M118">
            <v>45929</v>
          </cell>
          <cell r="N118">
            <v>45917</v>
          </cell>
          <cell r="O118">
            <v>45917</v>
          </cell>
          <cell r="P118" t="str">
            <v>Visitas de evaluación con fines de mejoramiento</v>
          </cell>
          <cell r="Q118" t="str">
            <v>20250917_ActaVisitaAdministrativaColInteramericano.pdf</v>
          </cell>
          <cell r="R118" t="str">
            <v>La Institución Educativa no activa de manera adecuada los protocolos de atención, se evidencia desconocimiento de las acciones que se deben realizar en cada actividad. Al momento de la visita se evidencias tres (3) casos de activación de ruta con acompañamiento de la OCE. Se aclaran conceptos y alcance de las actividades que se deben realizar de acuerdo al protocolo que se debe activar.</v>
          </cell>
          <cell r="S118" t="str">
            <v>1.Establecer un proceso de capacitación en Protocolos de atención para la convivencia escolar, en conjunto con la OCE, con un cronograma de ejecución para el seguimiento.
2.Organizar el archivo de activación de rutas de atención, con los documentos soportes de las actuaciones realizadas y los seguimientos de los casos para facilitar su consulta.</v>
          </cell>
          <cell r="T118" t="str">
            <v>Si</v>
          </cell>
          <cell r="U118" t="str">
            <v>Revisión documental en febrero de 2026 para verificar el cumplimiento de las acciones establecidas en el plan de mejoramiento.</v>
          </cell>
        </row>
        <row r="119">
          <cell r="A119">
            <v>2824</v>
          </cell>
          <cell r="B119">
            <v>13</v>
          </cell>
          <cell r="C119" t="str">
            <v>CIUDAD BOLÍVAR</v>
          </cell>
          <cell r="D119" t="str">
            <v>PRIVADO</v>
          </cell>
          <cell r="E119" t="str">
            <v>EPBM</v>
          </cell>
          <cell r="F119" t="str">
            <v>COLEGIO_INTERAMERICANO</v>
          </cell>
          <cell r="G119" t="str">
            <v>COLEGIO INTERAMERICANO</v>
          </cell>
          <cell r="H119" t="str">
            <v>Autoevaluación Institucional y Pruebas SABER 11</v>
          </cell>
          <cell r="I119" t="str">
            <v>SEGUIMIENTO_Y_SUPERVISIÓN.</v>
          </cell>
          <cell r="J11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9" t="str">
            <v xml:space="preserve">MARIA NANCY DUCUARA </v>
          </cell>
          <cell r="L119" t="str">
            <v xml:space="preserve">JUDITH SOLANO RAMÍREZ </v>
          </cell>
          <cell r="M119">
            <v>45929</v>
          </cell>
          <cell r="N119">
            <v>45917</v>
          </cell>
          <cell r="O119">
            <v>45917</v>
          </cell>
          <cell r="P119" t="str">
            <v>Visitas de evaluación con fines de mejoramiento</v>
          </cell>
          <cell r="Q119" t="str">
            <v>20250917_ActaVisitaAdministrativaColInteramericano.pdf</v>
          </cell>
          <cell r="R119" t="str">
            <v>Tienen caracterizados tres (3) NNA con discapacidad, sin embargo los PIAR no están adecuados al tio de discapacidad que presentan los estudiantes. Falta caracterizar muy bien las condiciones de los ajustes realizados.
Falta el diligenciamiento de uno de los PIAR.
En el SIMAT están reportados cinco (5) NNA con discapacidad, pero no existe igual número de PIAR.
No se evidencia seguimiento a los progresos de los estudiantes de acuerdo a los ajustes realizados.</v>
          </cell>
          <cell r="S119" t="str">
            <v>1.Diligenciar PIAR a todos los estudiantes con diagnóstico de discapacidad.
2.Redactar ajustes concretos y medibles en los PIAR para el seguimiento de los avances. 
3. Realizar seguimiento permanente a los PIAR para su respectivo ajuste de acuerdo al análisis de sus resultados.</v>
          </cell>
          <cell r="T119" t="str">
            <v>Si</v>
          </cell>
          <cell r="U119" t="str">
            <v>Revisión documental en febrero de 2026 para verificar el cumplimiento de las acciones establecidas en el plan de mejoramiento.</v>
          </cell>
        </row>
        <row r="120">
          <cell r="A120">
            <v>2825</v>
          </cell>
          <cell r="B120">
            <v>13</v>
          </cell>
          <cell r="C120" t="str">
            <v>CIUDAD BOLÍVAR</v>
          </cell>
          <cell r="D120" t="str">
            <v>PRIVADO</v>
          </cell>
          <cell r="E120" t="str">
            <v>EPBM</v>
          </cell>
          <cell r="F120" t="str">
            <v>COLEGIO_INTERAMERICANO</v>
          </cell>
          <cell r="G120" t="str">
            <v>COLEGIO INTERAMERICANO</v>
          </cell>
          <cell r="H120" t="str">
            <v>Autoevaluación Institucional y Pruebas SABER 11</v>
          </cell>
          <cell r="I120" t="str">
            <v>EVALUACIÓN_CON_FINES_DE_MEJORAMIENTO.</v>
          </cell>
          <cell r="J12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0" t="str">
            <v xml:space="preserve">MARIA NANCY DUCUARA </v>
          </cell>
          <cell r="L120" t="str">
            <v xml:space="preserve">JUDITH SOLANO RAMÍREZ </v>
          </cell>
          <cell r="M120">
            <v>45929</v>
          </cell>
          <cell r="N120">
            <v>45917</v>
          </cell>
          <cell r="O120">
            <v>45917</v>
          </cell>
          <cell r="P120" t="str">
            <v>Visitas de evaluación con fines de mejoramiento</v>
          </cell>
          <cell r="Q120" t="str">
            <v>20250917_ActaVisitaAdministrativaColInteramericano.pdf</v>
          </cell>
          <cell r="R120" t="str">
            <v>La actualización se realiza anual. Se evidencia participación de los diferentes estamentos en la construcción del Manual de Convivencia.
El Comité de convivencia no tiene reglamento de la ssesiones.
Falta establecer el enfoque de género y el enfoque restaurativo dentro del docuemnto.
Es necesaria actualización normativa.</v>
          </cell>
          <cell r="S120" t="str">
            <v>Realizar actualización del Manual de convivencia teniendo en cuenta la normatividad vigente y la jurisprudencia de la corte constitucional.</v>
          </cell>
          <cell r="T120" t="str">
            <v>Si</v>
          </cell>
          <cell r="U120" t="str">
            <v>Revisión documental en febrero de 2026 para verificar el cumplimiento de las acciones establecidas en el plan de mejoramiento.</v>
          </cell>
        </row>
        <row r="121">
          <cell r="A121">
            <v>2826</v>
          </cell>
          <cell r="B121">
            <v>13</v>
          </cell>
          <cell r="C121" t="str">
            <v>CIUDAD BOLÍVAR</v>
          </cell>
          <cell r="D121" t="str">
            <v>PRIVADO</v>
          </cell>
          <cell r="E121" t="str">
            <v>EPBM</v>
          </cell>
          <cell r="F121" t="str">
            <v>COLEGIO_INTERAMERICANO</v>
          </cell>
          <cell r="G121" t="str">
            <v>COLEGIO INTERAMERICANO</v>
          </cell>
          <cell r="H121" t="str">
            <v>Autoevaluación Institucional y Pruebas SABER 11</v>
          </cell>
          <cell r="I121" t="str">
            <v>EVALUACIÓN_CON_FINES_DE_MEJORAMIENTO.</v>
          </cell>
          <cell r="J121" t="str">
            <v>Revisar la actualización, socialización e implementación del Sistema Institucional de Evaluación de Estudiantes - SIEE, en articulación con la actualización del PEI y la normatividad vigente.</v>
          </cell>
          <cell r="K121" t="str">
            <v xml:space="preserve">MARIA NANCY DUCUARA </v>
          </cell>
          <cell r="L121" t="str">
            <v xml:space="preserve">JUDITH SOLANO RAMÍREZ </v>
          </cell>
          <cell r="M121">
            <v>45929</v>
          </cell>
          <cell r="N121">
            <v>45917</v>
          </cell>
          <cell r="O121">
            <v>45917</v>
          </cell>
          <cell r="P121" t="str">
            <v>Visitas de evaluación con fines de mejoramiento</v>
          </cell>
          <cell r="Q121" t="str">
            <v>20250917_ActaVisitaAdministrativaColInteramericano.pdf</v>
          </cell>
          <cell r="R121" t="str">
            <v>El SIEE no se encuentra plenamente desarrollado en el PEI; se entrega documento separado donde se encuentran todos los elementos de acuerdo a la normatividad existente. Así mismo, en el Plan de Área se encuentran los criterios de logro  la forma de evlauación de los aprendizajes, se recomienda integrar el documento al PEI.
Contiene estrategias de refuerzo de los aprendizajes y nivelación para los estudiantes.</v>
          </cell>
          <cell r="S121" t="str">
            <v>Integrar el SIEE al PEI de la Institución Educativa.</v>
          </cell>
          <cell r="T121" t="str">
            <v>Si</v>
          </cell>
          <cell r="U121" t="str">
            <v>Revisión documental en febrero de 2026 para verificar el cumplimiento de las acciones establecidas en el plan de mejoramiento.</v>
          </cell>
        </row>
        <row r="122">
          <cell r="A122">
            <v>2827</v>
          </cell>
          <cell r="B122">
            <v>13</v>
          </cell>
          <cell r="C122" t="str">
            <v>CIUDAD BOLÍVAR</v>
          </cell>
          <cell r="D122" t="str">
            <v>PRIVADO</v>
          </cell>
          <cell r="E122" t="str">
            <v>EPBM</v>
          </cell>
          <cell r="F122" t="str">
            <v>COLEGIO_INTERAMERICANO</v>
          </cell>
          <cell r="G122" t="str">
            <v>COLEGIO INTERAMERICANO</v>
          </cell>
          <cell r="H122" t="str">
            <v>Autoevaluación Institucional y Pruebas SABER 11</v>
          </cell>
          <cell r="I122" t="str">
            <v>EVALUACIÓN_CON_FINES_DE_MEJORAMIENTO.</v>
          </cell>
          <cell r="J122" t="str">
            <v>Revisar el calendario escolar, jornada escolar, la intensidad horaria mínima anual en cada nivel y las modificaciones que se realicen al mismo, de acuerdo con lo previsto en la normatividad vigente.</v>
          </cell>
          <cell r="K122" t="str">
            <v xml:space="preserve">MARIA NANCY DUCUARA </v>
          </cell>
          <cell r="L122" t="str">
            <v xml:space="preserve">JUDITH SOLANO RAMÍREZ </v>
          </cell>
          <cell r="M122">
            <v>45929</v>
          </cell>
          <cell r="N122">
            <v>45917</v>
          </cell>
          <cell r="O122">
            <v>45917</v>
          </cell>
          <cell r="P122" t="str">
            <v>Visitas de evaluación con fines de mejoramiento</v>
          </cell>
          <cell r="Q122" t="str">
            <v>20250917_ActaVisitaAdministrativaColInteramericano.pdf</v>
          </cell>
          <cell r="R122" t="str">
            <v>Se garantizan las 1000 horas en preescolar y las 1200 en básica y media.</v>
          </cell>
          <cell r="S122" t="str">
            <v>continuar con la aprobación del calendario escolar por parte del Consejo Directivo y publicarlo on resolución rectoral, revisarlo y adoptarlo para el 2026.</v>
          </cell>
          <cell r="T122" t="str">
            <v>No</v>
          </cell>
          <cell r="U122" t="str">
            <v>Verificar el cumplimiento del Calendario Escolar para la vigencia 2026.</v>
          </cell>
        </row>
        <row r="123">
          <cell r="A123">
            <v>2828</v>
          </cell>
          <cell r="B123">
            <v>13</v>
          </cell>
          <cell r="C123" t="str">
            <v>CIUDAD BOLÍVAR</v>
          </cell>
          <cell r="D123" t="str">
            <v>PRIVADO</v>
          </cell>
          <cell r="E123" t="str">
            <v>EPBM</v>
          </cell>
          <cell r="F123" t="str">
            <v>COLEGIO_INTERAMERICANO</v>
          </cell>
          <cell r="G123" t="str">
            <v>COLEGIO INTERAMERICANO</v>
          </cell>
          <cell r="H123" t="str">
            <v>Autoevaluación Institucional y Pruebas SABER 11</v>
          </cell>
          <cell r="I123" t="str">
            <v>EVALUACIÓN_CON_FINES_DE_MEJORAMIENTO.</v>
          </cell>
          <cell r="J123" t="str">
            <v>Verificar el funcionamiento del Gobierno Escolar e instancias de participación con base en la información sobre conformación reportada por la institución educativa.</v>
          </cell>
          <cell r="K123" t="str">
            <v xml:space="preserve">MARIA NANCY DUCUARA </v>
          </cell>
          <cell r="L123" t="str">
            <v xml:space="preserve">JUDITH SOLANO RAMÍREZ </v>
          </cell>
          <cell r="M123">
            <v>45929</v>
          </cell>
          <cell r="N123">
            <v>45917</v>
          </cell>
          <cell r="O123">
            <v>45917</v>
          </cell>
          <cell r="P123" t="str">
            <v>Visitas de evaluación con fines de mejoramiento</v>
          </cell>
          <cell r="Q123" t="str">
            <v>20250917_ActaVisitaAdministrativaColInteramericano.pdf</v>
          </cell>
          <cell r="R123" t="str">
            <v>Se evidencia la conformación de los diferentes estamentos para el año 2025. Existen actas de sesiones ordinarias. No tienen reglamento de funcionamiento.</v>
          </cell>
          <cell r="S123" t="str">
            <v>Establecer el reglamento de los estamentos.</v>
          </cell>
          <cell r="T123" t="str">
            <v>Si</v>
          </cell>
          <cell r="U123" t="str">
            <v>Verificar el cumplimiento de las acciones establecidas en el plan de mejoramiento en febrero de 2026.</v>
          </cell>
        </row>
        <row r="124">
          <cell r="A124">
            <v>2829</v>
          </cell>
          <cell r="B124">
            <v>13</v>
          </cell>
          <cell r="C124" t="str">
            <v>CIUDAD BOLÍVAR</v>
          </cell>
          <cell r="D124" t="str">
            <v>PRIVADO</v>
          </cell>
          <cell r="E124" t="str">
            <v>EPBM</v>
          </cell>
          <cell r="F124" t="str">
            <v>COLEGIO_INTERAMERICANO</v>
          </cell>
          <cell r="G124" t="str">
            <v>COLEGIO INTERAMERICANO</v>
          </cell>
          <cell r="H124" t="str">
            <v>Autoevaluación Institucional y Pruebas SABER 11</v>
          </cell>
          <cell r="I124" t="str">
            <v>EVALUACIÓN_CON_FINES_DE_MEJORAMIENTO.</v>
          </cell>
          <cell r="J124" t="str">
            <v>Verificar las condiciones en cuanto a: la estructura administrativa, condiciones de la planta física y medios educativos adecuados.</v>
          </cell>
          <cell r="K124" t="str">
            <v xml:space="preserve">MARIA NANCY DUCUARA </v>
          </cell>
          <cell r="L124" t="str">
            <v xml:space="preserve">JUDITH SOLANO RAMÍREZ </v>
          </cell>
          <cell r="M124">
            <v>45929</v>
          </cell>
          <cell r="N124">
            <v>45917</v>
          </cell>
          <cell r="O124">
            <v>45917</v>
          </cell>
          <cell r="P124" t="str">
            <v>Visitas de evaluación con fines de mejoramiento</v>
          </cell>
          <cell r="Q124" t="str">
            <v>20250917_ActaVisitaAdministrativaColInteramericano.pdf</v>
          </cell>
          <cell r="R124" t="str">
            <v xml:space="preserve">El organigrama circular que no representa la dependencia funcional. Manual de funciones con cargos que no existen en la IE. 
Contrato de matrícula desactualizado con las condiciones reales de prestación del servicio.
Multigrado en el salón de transisción.
Se evidencian algunos medios educativos desgastados y sin un correcto mantenimiento. Tienen suficientes espacios para el descanso y recreación de los estudiantes. Predios que no están incluidos en la resolución de aprobación. 	</v>
          </cell>
          <cell r="S124" t="str">
            <v>1.Actualizar el organigrama para que refleje la dependencia funcional.
2.Revisar y actualizar el manual de funciones de manera que refleje la structura organización actual. 
3. Actualizar los contratos de matrícula para asegurar la exactitud de la informaciónen cumplimiento de la normatividad eistente.
4. Establecer y ejecutar un programa de mantenimiento preventivo y correctivo del del mobiliario escolar, determinando los tiempos de reemplazo, de acuerdo a la seguridad y vida útil de los elementos. Retirar los elementos que no corresponden a los espacios administrativos.
Realizar el trámite de modificación de licencia de funcionamiento para incluir los predios que no se encuentran dentro de la licencia.</v>
          </cell>
          <cell r="T124" t="str">
            <v>Si</v>
          </cell>
          <cell r="U124" t="str">
            <v>Revisión documental en febrero de 2026 para verificar el cumplimiento de las acciones establecidas en el plan de mejoramiento.</v>
          </cell>
        </row>
        <row r="125">
          <cell r="A125">
            <v>2830</v>
          </cell>
          <cell r="B125">
            <v>14</v>
          </cell>
          <cell r="C125" t="str">
            <v>CIUDAD BOLÍVAR</v>
          </cell>
          <cell r="D125" t="str">
            <v>PRIVADO</v>
          </cell>
          <cell r="E125" t="str">
            <v>EPBM</v>
          </cell>
          <cell r="F125" t="str">
            <v>LICEO_LA_CORUÑA</v>
          </cell>
          <cell r="G125" t="str">
            <v>LICEO LA CORUÑA</v>
          </cell>
          <cell r="H125" t="str">
            <v>Autoevaluación Institucional y Pruebas SABER 11</v>
          </cell>
          <cell r="I125" t="str">
            <v>SEGUIMIENTO_Y_SUPERVISIÓN.</v>
          </cell>
          <cell r="J125" t="str">
            <v>Realizar visitas para verificar la información registrada sobre la autoevaluación institucional en el aplicativo EVI, a los establecimientos de educación formal no oficial.</v>
          </cell>
          <cell r="K125" t="str">
            <v>ÓSCAR JAVIER CÁRDENAS MUÑOZ</v>
          </cell>
          <cell r="L125" t="str">
            <v xml:space="preserve">JUDITH SOLANO RAMÍREZ </v>
          </cell>
          <cell r="M125">
            <v>45930</v>
          </cell>
          <cell r="N125">
            <v>45903</v>
          </cell>
          <cell r="O125">
            <v>45903</v>
          </cell>
          <cell r="P125" t="str">
            <v>Visitas de evaluación con fines de mejoramiento</v>
          </cell>
          <cell r="Q125" t="str">
            <v>20250903 LICEO LA CORUÑA</v>
          </cell>
          <cell r="R125" t="str">
            <v xml:space="preserve">Se identificaron novedades relacionadas con la legalización de los predios donde funciona la IE, dado que varios de los lotes no están incluidos en la Resolución de aprobación. </v>
          </cell>
          <cell r="S125" t="str">
            <v>Solicitar la modificación de la licencia a la DILE incluyendo todos los predios, con el cumplimiento de todos los requisitos.</v>
          </cell>
          <cell r="T125" t="str">
            <v>Si</v>
          </cell>
          <cell r="U125" t="str">
            <v xml:space="preserve">Entrega del Plan de Mejoramiento para el día 03 de octubre. </v>
          </cell>
        </row>
        <row r="126">
          <cell r="A126">
            <v>2831</v>
          </cell>
          <cell r="B126">
            <v>14</v>
          </cell>
          <cell r="C126" t="str">
            <v>CIUDAD BOLÍVAR</v>
          </cell>
          <cell r="D126" t="str">
            <v>PRIVADO</v>
          </cell>
          <cell r="E126" t="str">
            <v>EPBM</v>
          </cell>
          <cell r="F126" t="str">
            <v>LICEO_LA_CORUÑA</v>
          </cell>
          <cell r="G126" t="str">
            <v>LICEO LA CORUÑA</v>
          </cell>
          <cell r="H126" t="str">
            <v>Autoevaluación Institucional y Pruebas SABER 11</v>
          </cell>
          <cell r="I126" t="str">
            <v>SEGUIMIENTO_Y_SUPERVISIÓN.</v>
          </cell>
          <cell r="J126" t="str">
            <v>Proponer estrategias en la formulación, verificar su elaboración y realizar seguimiento semestral al desarrollo de  las acciones establecidas en los planes de mejoramiento por pruebas SABER 11 de los establecimientos de educación formal.</v>
          </cell>
          <cell r="K126" t="str">
            <v>ÓSCAR JAVIER CÁRDENAS MUÑOZ</v>
          </cell>
          <cell r="L126" t="str">
            <v xml:space="preserve">JUDITH SOLANO RAMÍREZ </v>
          </cell>
          <cell r="M126">
            <v>45930</v>
          </cell>
          <cell r="N126">
            <v>45903</v>
          </cell>
          <cell r="O126">
            <v>45903</v>
          </cell>
          <cell r="P126" t="str">
            <v>Visitas de evaluación con fines de mejoramiento</v>
          </cell>
          <cell r="Q126" t="str">
            <v>20250903 LICEO LA CORUÑA</v>
          </cell>
          <cell r="R126" t="str">
            <v xml:space="preserve">Aunque tienen un analisis de los resulatdos en Pruebas Saber, las acciones no han sido efectivas y no se han dispuesto, acciones internas que fomente el uso de pruebas tipo saber para los estudiantes. </v>
          </cell>
          <cell r="S126" t="str">
            <v>Definir estrategías concretas para la superación de los resultados en las pruebas SABER con el apoyo del Consejo Académico.</v>
          </cell>
          <cell r="T126" t="str">
            <v>Si</v>
          </cell>
          <cell r="U126" t="str">
            <v>Verificación del Plan de Mejoramiento para el día 03 de octubre. 
Revisión de la aplicación de acciones para el mejoramiento en las pruebas saber 11° para febrero de 2026.</v>
          </cell>
        </row>
        <row r="127">
          <cell r="A127">
            <v>2832</v>
          </cell>
          <cell r="B127">
            <v>14</v>
          </cell>
          <cell r="C127" t="str">
            <v>CIUDAD BOLÍVAR</v>
          </cell>
          <cell r="D127" t="str">
            <v>PRIVADO</v>
          </cell>
          <cell r="E127" t="str">
            <v>EPBM</v>
          </cell>
          <cell r="F127" t="str">
            <v>LICEO_LA_CORUÑA</v>
          </cell>
          <cell r="G127" t="str">
            <v>LICEO LA CORUÑA</v>
          </cell>
          <cell r="H127" t="str">
            <v>Autoevaluación Institucional y Pruebas SABER 11</v>
          </cell>
          <cell r="I127" t="str">
            <v>SEGUIMIENTO_Y_SUPERVISIÓN.</v>
          </cell>
          <cell r="J127" t="str">
            <v xml:space="preserve">Verificar la implementación por parte de los colegios, de acciones realizadas para la prevención y atención de las situaciones de convivencia en el entorno escolar, según lo establecido en la Directiva 01 de 2022 del MEN. </v>
          </cell>
          <cell r="K127" t="str">
            <v>ÓSCAR JAVIER CÁRDENAS MUÑOZ</v>
          </cell>
          <cell r="L127" t="str">
            <v xml:space="preserve">JUDITH SOLANO RAMÍREZ </v>
          </cell>
          <cell r="M127">
            <v>45930</v>
          </cell>
          <cell r="N127">
            <v>45903</v>
          </cell>
          <cell r="O127">
            <v>45903</v>
          </cell>
          <cell r="P127" t="str">
            <v>Visitas de evaluación con fines de mejoramiento</v>
          </cell>
          <cell r="Q127" t="str">
            <v>20250903 LICEO LA CORUÑA</v>
          </cell>
          <cell r="R127" t="str">
            <v>Tienen un Manual de Convivencia acorde y no presentan situaciones de convivencia de alto impacto, sin embargo, se recomienda actualizar normativamente el documento para la vigencia 2026.</v>
          </cell>
          <cell r="S127" t="str">
            <v>Actualizar normativamente el Manual de Convivencia</v>
          </cell>
          <cell r="T127" t="str">
            <v>Si</v>
          </cell>
          <cell r="U127" t="str">
            <v xml:space="preserve">Verificar la actualización normativamente del MC para la vigencia 2026. </v>
          </cell>
        </row>
        <row r="128">
          <cell r="A128">
            <v>2833</v>
          </cell>
          <cell r="B128">
            <v>14</v>
          </cell>
          <cell r="C128" t="str">
            <v>CIUDAD BOLÍVAR</v>
          </cell>
          <cell r="D128" t="str">
            <v>PRIVADO</v>
          </cell>
          <cell r="E128" t="str">
            <v>EPBM</v>
          </cell>
          <cell r="F128" t="str">
            <v>LICEO_LA_CORUÑA</v>
          </cell>
          <cell r="G128" t="str">
            <v>LICEO LA CORUÑA</v>
          </cell>
          <cell r="H128" t="str">
            <v>Autoevaluación Institucional y Pruebas SABER 11</v>
          </cell>
          <cell r="I128" t="str">
            <v>SEGUIMIENTO_Y_SUPERVISIÓN.</v>
          </cell>
          <cell r="J12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8" t="str">
            <v>ÓSCAR JAVIER CÁRDENAS MUÑOZ</v>
          </cell>
          <cell r="L128" t="str">
            <v xml:space="preserve">JUDITH SOLANO RAMÍREZ </v>
          </cell>
          <cell r="M128">
            <v>45930</v>
          </cell>
          <cell r="N128">
            <v>45903</v>
          </cell>
          <cell r="O128">
            <v>45903</v>
          </cell>
          <cell r="P128" t="str">
            <v>Visitas de evaluación con fines de mejoramiento</v>
          </cell>
          <cell r="Q128" t="str">
            <v>20250903 LICEO LA CORUÑA</v>
          </cell>
          <cell r="R128" t="str">
            <v>Tiene caracterizados en Simat estudiantes diferentes a los que les han hecho PIAR</v>
          </cell>
          <cell r="S128" t="str">
            <v>Actualizar SIMAT con la información real de los estudiantes de inclusión.
Actualizar el PIAR del estudiante con TDAH.</v>
          </cell>
          <cell r="T128" t="str">
            <v>Si</v>
          </cell>
          <cell r="U128" t="str">
            <v>Verificar el Plan de Mejoramiento para el día 03 de octubre. 
Se evidencia segun revisión documental que caraterizaron debidamente a los estudiantes con algún tipo de discapacidad.</v>
          </cell>
        </row>
        <row r="129">
          <cell r="A129">
            <v>2834</v>
          </cell>
          <cell r="B129">
            <v>14</v>
          </cell>
          <cell r="C129" t="str">
            <v>CIUDAD BOLÍVAR</v>
          </cell>
          <cell r="D129" t="str">
            <v>PRIVADO</v>
          </cell>
          <cell r="E129" t="str">
            <v>EPBM</v>
          </cell>
          <cell r="F129" t="str">
            <v>LICEO_LA_CORUÑA</v>
          </cell>
          <cell r="G129" t="str">
            <v>LICEO LA CORUÑA</v>
          </cell>
          <cell r="H129" t="str">
            <v>Autoevaluación Institucional y Pruebas SABER 11</v>
          </cell>
          <cell r="I129" t="str">
            <v>EVALUACIÓN_CON_FINES_DE_MEJORAMIENTO.</v>
          </cell>
          <cell r="J12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9" t="str">
            <v>ÓSCAR JAVIER CÁRDENAS MUÑOZ</v>
          </cell>
          <cell r="L129" t="str">
            <v xml:space="preserve">JUDITH SOLANO RAMÍREZ </v>
          </cell>
          <cell r="M129">
            <v>45930</v>
          </cell>
          <cell r="N129">
            <v>45903</v>
          </cell>
          <cell r="O129">
            <v>45903</v>
          </cell>
          <cell r="P129" t="str">
            <v>Visitas de evaluación con fines de mejoramiento</v>
          </cell>
          <cell r="Q129" t="str">
            <v>20250903 LICEO LA CORUÑA</v>
          </cell>
          <cell r="R129" t="str">
            <v>Tienen un Manual de Convivencia desactualizado normativamente.</v>
          </cell>
          <cell r="S129" t="str">
            <v xml:space="preserve">Actualizar el Manual de Convivencia con base en la normatividad vigente y los protocolos de atención. </v>
          </cell>
          <cell r="T129" t="str">
            <v>Si</v>
          </cell>
          <cell r="U129" t="str">
            <v>Verificar del Plan de Mejoramiento para el día 03 de octubre. Para el siguiente vigencia se hara la revisión del documento MC que debe estar debidamente actualizado, aprobado y ejecutado.</v>
          </cell>
        </row>
        <row r="130">
          <cell r="A130">
            <v>2835</v>
          </cell>
          <cell r="B130">
            <v>14</v>
          </cell>
          <cell r="C130" t="str">
            <v>CIUDAD BOLÍVAR</v>
          </cell>
          <cell r="D130" t="str">
            <v>PRIVADO</v>
          </cell>
          <cell r="E130" t="str">
            <v>EPBM</v>
          </cell>
          <cell r="F130" t="str">
            <v>LICEO_LA_CORUÑA</v>
          </cell>
          <cell r="G130" t="str">
            <v>LICEO LA CORUÑA</v>
          </cell>
          <cell r="H130" t="str">
            <v>Autoevaluación Institucional y Pruebas SABER 11</v>
          </cell>
          <cell r="I130" t="str">
            <v>EVALUACIÓN_CON_FINES_DE_MEJORAMIENTO.</v>
          </cell>
          <cell r="J130" t="str">
            <v>Revisar la actualización, socialización e implementación del Sistema Institucional de Evaluación de Estudiantes - SIEE, en articulación con la actualización del PEI y la normatividad vigente.</v>
          </cell>
          <cell r="K130" t="str">
            <v>ÓSCAR JAVIER CÁRDENAS MUÑOZ</v>
          </cell>
          <cell r="L130" t="str">
            <v xml:space="preserve">JUDITH SOLANO RAMÍREZ </v>
          </cell>
          <cell r="M130">
            <v>45930</v>
          </cell>
          <cell r="N130">
            <v>45903</v>
          </cell>
          <cell r="O130">
            <v>45903</v>
          </cell>
          <cell r="P130" t="str">
            <v>Visitas de evaluación con fines de mejoramiento</v>
          </cell>
          <cell r="Q130" t="str">
            <v>20250903 LICEO LA CORUÑA</v>
          </cell>
          <cell r="R130" t="str">
            <v xml:space="preserve">El SIEE no está actualizado normativamente </v>
          </cell>
          <cell r="S130" t="str">
            <v xml:space="preserve">Actualizar normativamente el SIEE e indicar reglamento de las comisiones de promoción y evaluación. </v>
          </cell>
          <cell r="T130" t="str">
            <v>Si</v>
          </cell>
          <cell r="U130" t="str">
            <v xml:space="preserve">Verificar el Plan de Mejoramiento para el día 03 de octubre. 
Actualizar normativamente el SIEE para la vigencia 2026, lo cual se verificará el siguiente año. </v>
          </cell>
        </row>
        <row r="131">
          <cell r="A131">
            <v>2836</v>
          </cell>
          <cell r="B131">
            <v>14</v>
          </cell>
          <cell r="C131" t="str">
            <v>CIUDAD BOLÍVAR</v>
          </cell>
          <cell r="D131" t="str">
            <v>PRIVADO</v>
          </cell>
          <cell r="E131" t="str">
            <v>EPBM</v>
          </cell>
          <cell r="F131" t="str">
            <v>LICEO_LA_CORUÑA</v>
          </cell>
          <cell r="G131" t="str">
            <v>LICEO LA CORUÑA</v>
          </cell>
          <cell r="H131" t="str">
            <v>Autoevaluación Institucional y Pruebas SABER 11</v>
          </cell>
          <cell r="I131" t="str">
            <v>EVALUACIÓN_CON_FINES_DE_MEJORAMIENTO.</v>
          </cell>
          <cell r="J131" t="str">
            <v>Revisar el calendario escolar, jornada escolar, la intensidad horaria mínima anual en cada nivel y las modificaciones que se realicen al mismo, de acuerdo con lo previsto en la normatividad vigente.</v>
          </cell>
          <cell r="K131" t="str">
            <v>ÓSCAR JAVIER CÁRDENAS MUÑOZ</v>
          </cell>
          <cell r="L131" t="str">
            <v xml:space="preserve">JUDITH SOLANO RAMÍREZ </v>
          </cell>
          <cell r="M131">
            <v>45930</v>
          </cell>
          <cell r="N131">
            <v>45903</v>
          </cell>
          <cell r="O131">
            <v>45903</v>
          </cell>
          <cell r="P131" t="str">
            <v>Visitas de evaluación con fines de mejoramiento</v>
          </cell>
          <cell r="Q131" t="str">
            <v>20250903 LICEO LA CORUÑA</v>
          </cell>
          <cell r="R131" t="str">
            <v>Cumplen con la intesidad horaria segun el Decreto 1075 de 2015</v>
          </cell>
          <cell r="S131" t="str">
            <v>Continuar con la debida organziación del calendario escolar y la intensidad horario.</v>
          </cell>
          <cell r="T131" t="str">
            <v>No</v>
          </cell>
          <cell r="U131" t="str">
            <v>Se revisará para la siguiente vigencia el calendario escolar</v>
          </cell>
        </row>
        <row r="132">
          <cell r="A132">
            <v>2837</v>
          </cell>
          <cell r="B132">
            <v>14</v>
          </cell>
          <cell r="C132" t="str">
            <v>CIUDAD BOLÍVAR</v>
          </cell>
          <cell r="D132" t="str">
            <v>PRIVADO</v>
          </cell>
          <cell r="E132" t="str">
            <v>EPBM</v>
          </cell>
          <cell r="F132" t="str">
            <v>LICEO_LA_CORUÑA</v>
          </cell>
          <cell r="G132" t="str">
            <v>LICEO LA CORUÑA</v>
          </cell>
          <cell r="H132" t="str">
            <v>Autoevaluación Institucional y Pruebas SABER 11</v>
          </cell>
          <cell r="I132" t="str">
            <v>EVALUACIÓN_CON_FINES_DE_MEJORAMIENTO.</v>
          </cell>
          <cell r="J132" t="str">
            <v>Verificar el funcionamiento del Gobierno Escolar e instancias de participación con base en la información sobre conformación reportada por la institución educativa.</v>
          </cell>
          <cell r="K132" t="str">
            <v>ÓSCAR JAVIER CÁRDENAS MUÑOZ</v>
          </cell>
          <cell r="L132" t="str">
            <v xml:space="preserve">JUDITH SOLANO RAMÍREZ </v>
          </cell>
          <cell r="M132">
            <v>45930</v>
          </cell>
          <cell r="N132">
            <v>45903</v>
          </cell>
          <cell r="O132">
            <v>45903</v>
          </cell>
          <cell r="P132" t="str">
            <v>Visitas de evaluación con fines de mejoramiento</v>
          </cell>
          <cell r="Q132" t="str">
            <v>20250903 LICEO LA CORUÑA</v>
          </cell>
          <cell r="R132" t="str">
            <v>Las actas de reunión están desordenadas y no promueven las reuniones periodicas de los estamentos del Gobierno Escolar.</v>
          </cell>
          <cell r="S132" t="str">
            <v xml:space="preserve">Operativizar las reuniones del Gobierno Escolar.
Elaborar el reglamentos de funcionamiento de los diferentes estamentos </v>
          </cell>
          <cell r="T132" t="str">
            <v>Si</v>
          </cell>
          <cell r="U132" t="str">
            <v>Se hará seguimiento para la siguiente vigencia de la debida conformación y ejecución de los estamentos del Gobierno Escolar.</v>
          </cell>
        </row>
        <row r="133">
          <cell r="A133">
            <v>2838</v>
          </cell>
          <cell r="B133">
            <v>14</v>
          </cell>
          <cell r="C133" t="str">
            <v>CIUDAD BOLÍVAR</v>
          </cell>
          <cell r="D133" t="str">
            <v>PRIVADO</v>
          </cell>
          <cell r="E133" t="str">
            <v>EPBM</v>
          </cell>
          <cell r="F133" t="str">
            <v>LICEO_LA_CORUÑA</v>
          </cell>
          <cell r="G133" t="str">
            <v>LICEO LA CORUÑA</v>
          </cell>
          <cell r="H133" t="str">
            <v>Autoevaluación Institucional y Pruebas SABER 11</v>
          </cell>
          <cell r="I133" t="str">
            <v>EVALUACIÓN_CON_FINES_DE_MEJORAMIENTO.</v>
          </cell>
          <cell r="J133" t="str">
            <v>Verificar las condiciones en cuanto a: la estructura administrativa, condiciones de la planta física y medios educativos adecuados.</v>
          </cell>
          <cell r="K133" t="str">
            <v>ÓSCAR JAVIER CÁRDENAS MUÑOZ</v>
          </cell>
          <cell r="L133" t="str">
            <v xml:space="preserve">JUDITH SOLANO RAMÍREZ </v>
          </cell>
          <cell r="M133">
            <v>45930</v>
          </cell>
          <cell r="N133">
            <v>45903</v>
          </cell>
          <cell r="O133">
            <v>45903</v>
          </cell>
          <cell r="P133" t="str">
            <v>Visitas de evaluación con fines de mejoramiento</v>
          </cell>
          <cell r="Q133" t="str">
            <v>20250903 LICEO LA CORUÑA</v>
          </cell>
          <cell r="R133" t="str">
            <v xml:space="preserve">Se evidencian medios educativos desgastados y sin un correcto mantenimiento, organigrama desactualizado, aulas pequeñas o con sobrecupo, aulas sin la debida ventilación y predios que no están incluidos en la resolución de aprobación. 	</v>
          </cell>
          <cell r="S133" t="str">
            <v xml:space="preserve">Establecer un cronograma de cambio de los recursos desgastados.
Atender de manera precisa las indicaciones de los profesionales frente al sobrecupo, la ventilación cruzada y la organización de los espacios y elementos. </v>
          </cell>
          <cell r="T133" t="str">
            <v>Si</v>
          </cell>
          <cell r="U133" t="str">
            <v xml:space="preserve">Verificar el Plan de Mejoramiento para el día 03 de octubre. 
Se evidencia segun PM plan de atención de adecuaciones locativas, las cuales se revisarán en la siguiente vigencia 2026. </v>
          </cell>
        </row>
        <row r="134">
          <cell r="A134">
            <v>2839</v>
          </cell>
          <cell r="B134">
            <v>15</v>
          </cell>
          <cell r="C134" t="str">
            <v>CIUDAD BOLÍVAR</v>
          </cell>
          <cell r="D134" t="str">
            <v>PRIVADO</v>
          </cell>
          <cell r="E134" t="str">
            <v>EPBM</v>
          </cell>
          <cell r="F134" t="str">
            <v>INSTITUTO_ORESTES_SINDICI</v>
          </cell>
          <cell r="G134" t="str">
            <v>INSTITUTO ORESTES SINDICI</v>
          </cell>
          <cell r="H134" t="str">
            <v>Autoevaluación Institucional y Pruebas SABER 11</v>
          </cell>
          <cell r="I134" t="str">
            <v>SEGUIMIENTO_Y_SUPERVISIÓN.</v>
          </cell>
          <cell r="J134" t="str">
            <v>Realizar visitas para verificar la información registrada sobre la autoevaluación institucional en el aplicativo EVI, a los establecimientos de educación formal no oficial.</v>
          </cell>
          <cell r="K134" t="str">
            <v xml:space="preserve">JUDITH SOLANO RAMÍREZ </v>
          </cell>
          <cell r="L134" t="str">
            <v xml:space="preserve">MARIA NANCY DUCUARA </v>
          </cell>
          <cell r="M134">
            <v>45960</v>
          </cell>
          <cell r="N134">
            <v>45909</v>
          </cell>
          <cell r="O134">
            <v>45909</v>
          </cell>
          <cell r="P134" t="str">
            <v>Visitas de evaluación con fines de mejoramiento</v>
          </cell>
          <cell r="Q134" t="str">
            <v>20250909_ActaVisitaAdvaColOrestesSindici.pdf</v>
          </cell>
          <cell r="R134" t="str">
            <v>Se identificó inconsistencias en la legalización de los predios donde opera la institución educativa. Se constató que varios de los lotes utilizados por la institución no se encuentran incluidos en la Resolución de Licencia de Funcionamiento.</v>
          </cell>
          <cell r="S134" t="str">
            <v>Solicitar la modificación de la licencia de funcionamiento por apertura de nuevas sedes para incluir los predios ubicados en la Calle 63A Sur # 70G-88 y en la Calle 63 Sur # 71B-79 ante de la DILE de Ciudad Bolívar de acuerdo a la normatividad vigente y al documento Orientaciones sobre los procesos de legalización de establecimientos de educación formal promovidos por particulares</v>
          </cell>
          <cell r="T134" t="str">
            <v>Si</v>
          </cell>
          <cell r="U134" t="str">
            <v>La IE hará entrega del Plan de Mejoramiento el 09/10/2025.
El ELIV realizará evisión documental en el mes de noviembre de 2025 para verificar el cumplimiento de las acciones establecidas en el plan de mejoramiento.</v>
          </cell>
        </row>
        <row r="135">
          <cell r="A135">
            <v>2840</v>
          </cell>
          <cell r="B135">
            <v>15</v>
          </cell>
          <cell r="C135" t="str">
            <v>CIUDAD BOLÍVAR</v>
          </cell>
          <cell r="D135" t="str">
            <v>PRIVADO</v>
          </cell>
          <cell r="E135" t="str">
            <v>EPBM</v>
          </cell>
          <cell r="F135" t="str">
            <v>INSTITUTO_ORESTES_SINDICI</v>
          </cell>
          <cell r="G135" t="str">
            <v>INSTITUTO ORESTES SINDICI</v>
          </cell>
          <cell r="H135" t="str">
            <v>Autoevaluación Institucional y Pruebas SABER 11</v>
          </cell>
          <cell r="I135" t="str">
            <v>SEGUIMIENTO_Y_SUPERVISIÓN.</v>
          </cell>
          <cell r="J135" t="str">
            <v>Proponer estrategias en la formulación, verificar su elaboración y realizar seguimiento semestral al desarrollo de  las acciones establecidas en los planes de mejoramiento por pruebas SABER 11 de los establecimientos de educación formal.</v>
          </cell>
          <cell r="K135" t="str">
            <v xml:space="preserve">JUDITH SOLANO RAMÍREZ </v>
          </cell>
          <cell r="L135" t="str">
            <v xml:space="preserve">MARIA NANCY DUCUARA </v>
          </cell>
          <cell r="M135">
            <v>45960</v>
          </cell>
          <cell r="N135">
            <v>45909</v>
          </cell>
          <cell r="O135">
            <v>45909</v>
          </cell>
          <cell r="P135" t="str">
            <v>Visitas de evaluación con fines de mejoramiento</v>
          </cell>
          <cell r="Q135" t="str">
            <v>20250909_ActaVisitaAdvaColOrestesSindici.pdf</v>
          </cell>
          <cell r="R135" t="str">
            <v>Sólo se realiza análisis cuantitativo de los resultados de las pruebas SABER. No  se realiza ningún ajuste o acción  para la mejora en los resultados.</v>
          </cell>
          <cell r="S135" t="str">
            <v>Realizar el análisis cualitativo de los resultados de las pruebas Saber 11 que les permita tomar las medidas adecuadas para el mejoramiento de los resultados dejando evidencia, así como de las actas del Consejo Académico en donde se establecen las directrices y la implementación de acciones para mejorar los aprendizajes de los estudiantes en las áreas del plan de estudio con más bajo desempeño en las pruebas SABER 11.</v>
          </cell>
          <cell r="T135" t="str">
            <v>Si</v>
          </cell>
          <cell r="U135" t="str">
            <v>La IE hará entrega del Plan de Mejoramiento el 09/10/2025.
El ELIV realizará evisión documental en el mes de noviembre de 2025 para verificar el cumplimiento de las acciones establecidas en el plan de mejoramiento.</v>
          </cell>
        </row>
        <row r="136">
          <cell r="A136">
            <v>2841</v>
          </cell>
          <cell r="B136">
            <v>15</v>
          </cell>
          <cell r="C136" t="str">
            <v>CIUDAD BOLÍVAR</v>
          </cell>
          <cell r="D136" t="str">
            <v>PRIVADO</v>
          </cell>
          <cell r="E136" t="str">
            <v>EPBM</v>
          </cell>
          <cell r="F136" t="str">
            <v>INSTITUTO_ORESTES_SINDICI</v>
          </cell>
          <cell r="G136" t="str">
            <v>INSTITUTO ORESTES SINDICI</v>
          </cell>
          <cell r="H136" t="str">
            <v>Autoevaluación Institucional y Pruebas SABER 11</v>
          </cell>
          <cell r="I136" t="str">
            <v>SEGUIMIENTO_Y_SUPERVISIÓN.</v>
          </cell>
          <cell r="J136" t="str">
            <v xml:space="preserve">Verificar la implementación por parte de los colegios, de acciones realizadas para la prevención y atención de las situaciones de convivencia en el entorno escolar, según lo establecido en la Directiva 01 de 2022 del MEN. </v>
          </cell>
          <cell r="K136" t="str">
            <v xml:space="preserve">JUDITH SOLANO RAMÍREZ </v>
          </cell>
          <cell r="L136" t="str">
            <v xml:space="preserve">MARIA NANCY DUCUARA </v>
          </cell>
          <cell r="M136">
            <v>45960</v>
          </cell>
          <cell r="N136">
            <v>45909</v>
          </cell>
          <cell r="O136">
            <v>45909</v>
          </cell>
          <cell r="P136" t="str">
            <v>Visitas de evaluación con fines de mejoramiento</v>
          </cell>
          <cell r="Q136" t="str">
            <v>20250909_ActaVisitaAdvaColOrestesSindici.pdf</v>
          </cell>
          <cell r="R136" t="str">
            <v>No hay evidencias de activación de protocolos de atención.No se realiza la verificación de las inhabilidades por delitos sexuales en la IE.</v>
          </cell>
          <cell r="S136" t="str">
            <v>Verificar cada 4 meses las inhabilidades del personal vinculado a la IE por delitos sexuales en la página de la Policía Nacional, según lo establecido en la Directiva 01 MEN 2022 "Orientaciones para la prevención de violencia sexual en entornos escolares", dejando los soportes en medio físico y/o digital.</v>
          </cell>
          <cell r="T136" t="str">
            <v>Si</v>
          </cell>
          <cell r="U136" t="str">
            <v>La IE hará entrega del Plan de Mejoramiento el 09/10/2025.
El ELIV realizará evisión documental en el mes de noviembre de 2025 para verificar el cumplimiento de las acciones establecidas en el plan de mejoramiento.</v>
          </cell>
        </row>
        <row r="137">
          <cell r="A137">
            <v>2842</v>
          </cell>
          <cell r="B137">
            <v>15</v>
          </cell>
          <cell r="C137" t="str">
            <v>CIUDAD BOLÍVAR</v>
          </cell>
          <cell r="D137" t="str">
            <v>PRIVADO</v>
          </cell>
          <cell r="E137" t="str">
            <v>EPBM</v>
          </cell>
          <cell r="F137" t="str">
            <v>INSTITUTO_ORESTES_SINDICI</v>
          </cell>
          <cell r="G137" t="str">
            <v>INSTITUTO ORESTES SINDICI</v>
          </cell>
          <cell r="H137" t="str">
            <v>Autoevaluación Institucional y Pruebas SABER 11</v>
          </cell>
          <cell r="I137" t="str">
            <v>SEGUIMIENTO_Y_SUPERVISIÓN.</v>
          </cell>
          <cell r="J13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7" t="str">
            <v xml:space="preserve">JUDITH SOLANO RAMÍREZ </v>
          </cell>
          <cell r="L137" t="str">
            <v xml:space="preserve">MARIA NANCY DUCUARA </v>
          </cell>
          <cell r="M137">
            <v>45960</v>
          </cell>
          <cell r="N137">
            <v>45909</v>
          </cell>
          <cell r="O137">
            <v>45909</v>
          </cell>
          <cell r="P137" t="str">
            <v>Visitas de evaluación con fines de mejoramiento</v>
          </cell>
          <cell r="Q137" t="str">
            <v>20250909_ActaVisitaAdvaColOrestesSindici.pdf</v>
          </cell>
          <cell r="R137" t="str">
            <v>Se evidencia que se tienen caracterizados tres estudiantes, los cuales tienen establecidos los ajustes razonables, que tienen seguimiento en cada periodo. Los ajustes razonables son específicos, por lo cual son medibles y ayudan a verificar el avance de estudiante. Los ajustes son pertinentes de acuerdo al tipo de trastorno o discapacidad.</v>
          </cell>
          <cell r="S137" t="str">
            <v>Continuar con el la implementación de los PIAR de acuerdo a las necesidades de los estudiantes.</v>
          </cell>
          <cell r="T137" t="str">
            <v>No</v>
          </cell>
          <cell r="U137" t="str">
            <v>Continuar con el cumplimiento de la normatividad para la calidad educativa.</v>
          </cell>
        </row>
        <row r="138">
          <cell r="A138">
            <v>2843</v>
          </cell>
          <cell r="B138">
            <v>15</v>
          </cell>
          <cell r="C138" t="str">
            <v>CIUDAD BOLÍVAR</v>
          </cell>
          <cell r="D138" t="str">
            <v>PRIVADO</v>
          </cell>
          <cell r="E138" t="str">
            <v>EPBM</v>
          </cell>
          <cell r="F138" t="str">
            <v>INSTITUTO_ORESTES_SINDICI</v>
          </cell>
          <cell r="G138" t="str">
            <v>INSTITUTO ORESTES SINDICI</v>
          </cell>
          <cell r="H138" t="str">
            <v>Autoevaluación Institucional y Pruebas SABER 11</v>
          </cell>
          <cell r="I138" t="str">
            <v>EVALUACIÓN_CON_FINES_DE_MEJORAMIENTO.</v>
          </cell>
          <cell r="J13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8" t="str">
            <v xml:space="preserve">JUDITH SOLANO RAMÍREZ </v>
          </cell>
          <cell r="L138" t="str">
            <v xml:space="preserve">MARIA NANCY DUCUARA </v>
          </cell>
          <cell r="M138">
            <v>45960</v>
          </cell>
          <cell r="N138">
            <v>45909</v>
          </cell>
          <cell r="O138">
            <v>45909</v>
          </cell>
          <cell r="P138" t="str">
            <v>Visitas de evaluación con fines de mejoramiento</v>
          </cell>
          <cell r="Q138" t="str">
            <v>20250909_ActaVisitaAdvaColOrestesSindici.pdf</v>
          </cell>
          <cell r="R138" t="str">
            <v>El manual de convivencia no tiene actualización normativa, confunde situaciones  convivenciales con faltas disciplinarias.</v>
          </cell>
          <cell r="S138" t="str">
            <v>Actualizar el Manual de Convivencia de acuerdo a la normatividad y jurisprudencia de la corte constitucional.</v>
          </cell>
          <cell r="T138" t="str">
            <v>Si</v>
          </cell>
          <cell r="U138" t="str">
            <v>La IE hará entrega del Plan de Mejoramiento el 09/10/2025.
El ELIV realizará evisión documental en el mes de noviembre de 2025 para verificar el cumplimiento de las acciones establecidas en el plan de mejoramiento.</v>
          </cell>
        </row>
        <row r="139">
          <cell r="A139">
            <v>2844</v>
          </cell>
          <cell r="B139">
            <v>15</v>
          </cell>
          <cell r="C139" t="str">
            <v>CIUDAD BOLÍVAR</v>
          </cell>
          <cell r="D139" t="str">
            <v>PRIVADO</v>
          </cell>
          <cell r="E139" t="str">
            <v>EPBM</v>
          </cell>
          <cell r="F139" t="str">
            <v>INSTITUTO_ORESTES_SINDICI</v>
          </cell>
          <cell r="G139" t="str">
            <v>INSTITUTO ORESTES SINDICI</v>
          </cell>
          <cell r="H139" t="str">
            <v>Autoevaluación Institucional y Pruebas SABER 11</v>
          </cell>
          <cell r="I139" t="str">
            <v>EVALUACIÓN_CON_FINES_DE_MEJORAMIENTO.</v>
          </cell>
          <cell r="J139" t="str">
            <v>Revisar la actualización, socialización e implementación del Sistema Institucional de Evaluación de Estudiantes - SIEE, en articulación con la actualización del PEI y la normatividad vigente.</v>
          </cell>
          <cell r="K139" t="str">
            <v xml:space="preserve">JUDITH SOLANO RAMÍREZ </v>
          </cell>
          <cell r="L139" t="str">
            <v xml:space="preserve">MARIA NANCY DUCUARA </v>
          </cell>
          <cell r="M139">
            <v>45960</v>
          </cell>
          <cell r="N139">
            <v>45909</v>
          </cell>
          <cell r="O139">
            <v>45909</v>
          </cell>
          <cell r="P139" t="str">
            <v>Visitas de evaluación con fines de mejoramiento</v>
          </cell>
          <cell r="Q139" t="str">
            <v>20250909_ActaVisitaAdvaColOrestesSindici.pdf</v>
          </cell>
          <cell r="R139" t="str">
            <v xml:space="preserve">Tiene actas de conformación y sesiones de funcionamiento. Se requiere que en las actas sean más específicas las decisiones tomadas respecto al proceso de acompañamiento con los estudiantes.
Tienen Actividades de nivelación por periodo y una fase de superación semestral.
</v>
          </cell>
          <cell r="S139" t="str">
            <v>Continuar con la implementación del Sistema Institucional de Evaluación de Estudiantes - SIEE, documentando en las sesiones las decisiones tomadas.</v>
          </cell>
          <cell r="T139" t="str">
            <v>No</v>
          </cell>
          <cell r="U139" t="str">
            <v xml:space="preserve">Verificar la implementación y actualización del SIEE </v>
          </cell>
        </row>
        <row r="140">
          <cell r="A140">
            <v>2845</v>
          </cell>
          <cell r="B140">
            <v>15</v>
          </cell>
          <cell r="C140" t="str">
            <v>CIUDAD BOLÍVAR</v>
          </cell>
          <cell r="D140" t="str">
            <v>PRIVADO</v>
          </cell>
          <cell r="E140" t="str">
            <v>EPBM</v>
          </cell>
          <cell r="F140" t="str">
            <v>INSTITUTO_ORESTES_SINDICI</v>
          </cell>
          <cell r="G140" t="str">
            <v>INSTITUTO ORESTES SINDICI</v>
          </cell>
          <cell r="H140" t="str">
            <v>Autoevaluación Institucional y Pruebas SABER 11</v>
          </cell>
          <cell r="I140" t="str">
            <v>EVALUACIÓN_CON_FINES_DE_MEJORAMIENTO.</v>
          </cell>
          <cell r="J140" t="str">
            <v>Revisar el calendario escolar, jornada escolar, la intensidad horaria mínima anual en cada nivel y las modificaciones que se realicen al mismo, de acuerdo con lo previsto en la normatividad vigente.</v>
          </cell>
          <cell r="K140" t="str">
            <v xml:space="preserve">JUDITH SOLANO RAMÍREZ </v>
          </cell>
          <cell r="L140" t="str">
            <v xml:space="preserve">MARIA NANCY DUCUARA </v>
          </cell>
          <cell r="M140">
            <v>45960</v>
          </cell>
          <cell r="N140">
            <v>45909</v>
          </cell>
          <cell r="O140">
            <v>45909</v>
          </cell>
          <cell r="P140" t="str">
            <v>Visitas de evaluación con fines de mejoramiento</v>
          </cell>
          <cell r="Q140" t="str">
            <v>20250909_ActaVisitaAdvaColOrestesSindici.pdf</v>
          </cell>
          <cell r="R140" t="str">
            <v>Se aclara que la hora es de 60 minutos, así las cosas la IE cumple con 1075 horas para preescolar y 1235 horas para básica y media.</v>
          </cell>
          <cell r="S140" t="str">
            <v>Continuar con la definición del calendario académico en el marco de la normatividad y garantizar su cumplimiento hasta finalizar el año escolar.</v>
          </cell>
          <cell r="T140" t="str">
            <v>No</v>
          </cell>
          <cell r="U140" t="str">
            <v>Verificar el calendario académico de la vigencia 2026</v>
          </cell>
        </row>
        <row r="141">
          <cell r="A141">
            <v>2846</v>
          </cell>
          <cell r="B141">
            <v>15</v>
          </cell>
          <cell r="C141" t="str">
            <v>CIUDAD BOLÍVAR</v>
          </cell>
          <cell r="D141" t="str">
            <v>PRIVADO</v>
          </cell>
          <cell r="E141" t="str">
            <v>EPBM</v>
          </cell>
          <cell r="F141" t="str">
            <v>INSTITUTO_ORESTES_SINDICI</v>
          </cell>
          <cell r="G141" t="str">
            <v>INSTITUTO ORESTES SINDICI</v>
          </cell>
          <cell r="H141" t="str">
            <v>Autoevaluación Institucional y Pruebas SABER 11</v>
          </cell>
          <cell r="I141" t="str">
            <v>EVALUACIÓN_CON_FINES_DE_MEJORAMIENTO.</v>
          </cell>
          <cell r="J141" t="str">
            <v>Verificar el funcionamiento del Gobierno Escolar e instancias de participación con base en la información sobre conformación reportada por la institución educativa.</v>
          </cell>
          <cell r="K141" t="str">
            <v xml:space="preserve">JUDITH SOLANO RAMÍREZ </v>
          </cell>
          <cell r="L141" t="str">
            <v xml:space="preserve">MARIA NANCY DUCUARA </v>
          </cell>
          <cell r="M141">
            <v>45960</v>
          </cell>
          <cell r="N141">
            <v>45909</v>
          </cell>
          <cell r="O141">
            <v>45909</v>
          </cell>
          <cell r="P141" t="str">
            <v>Visitas de evaluación con fines de mejoramiento</v>
          </cell>
          <cell r="Q141" t="str">
            <v>20250909_ActaVisitaAdvaColOrestesSindici.pdf</v>
          </cell>
          <cell r="R141" t="str">
            <v>Se evidencia que se realizan las sesiones de los entes de participación. El Consejo de padres sólo ha tenido dos sesiones en el año 2025. Las reuniones deben ser mínimo cada dos meses,  de acuerdo a la normatividad para las reuniones ordinarias del consejo de padres de familia. Los estamentos no tienen reglamento interno.</v>
          </cell>
          <cell r="S141" t="str">
            <v>Elaborar el reglamento interno de todos los estamentos de participación.</v>
          </cell>
          <cell r="T141" t="str">
            <v>Si</v>
          </cell>
          <cell r="U141" t="str">
            <v>La IE hará entrega del Plan de Mejoramiento el 09/10/2025.
El ELIV realizará evisión documental en el mes de noviembre de 2025 para verificar el cumplimiento de las acciones establecidas en el plan de mejoramiento.</v>
          </cell>
        </row>
        <row r="142">
          <cell r="A142">
            <v>2847</v>
          </cell>
          <cell r="B142">
            <v>15</v>
          </cell>
          <cell r="C142" t="str">
            <v>CIUDAD BOLÍVAR</v>
          </cell>
          <cell r="D142" t="str">
            <v>PRIVADO</v>
          </cell>
          <cell r="E142" t="str">
            <v>EPBM</v>
          </cell>
          <cell r="F142" t="str">
            <v>INSTITUTO_ORESTES_SINDICI</v>
          </cell>
          <cell r="G142" t="str">
            <v>INSTITUTO ORESTES SINDICI</v>
          </cell>
          <cell r="H142" t="str">
            <v>Autoevaluación Institucional y Pruebas SABER 11</v>
          </cell>
          <cell r="I142" t="str">
            <v>EVALUACIÓN_CON_FINES_DE_MEJORAMIENTO.</v>
          </cell>
          <cell r="J142" t="str">
            <v>Verificar las condiciones en cuanto a: la estructura administrativa, condiciones de la planta física y medios educativos adecuados.</v>
          </cell>
          <cell r="K142" t="str">
            <v xml:space="preserve">JUDITH SOLANO RAMÍREZ </v>
          </cell>
          <cell r="L142" t="str">
            <v xml:space="preserve">MARIA NANCY DUCUARA </v>
          </cell>
          <cell r="M142">
            <v>45960</v>
          </cell>
          <cell r="N142">
            <v>45909</v>
          </cell>
          <cell r="O142">
            <v>45909</v>
          </cell>
          <cell r="P142" t="str">
            <v>Visitas de evaluación con fines de mejoramiento</v>
          </cell>
          <cell r="Q142" t="str">
            <v>20250909_ActaVisitaAdvaColOrestesSindici.pdf</v>
          </cell>
          <cell r="R142" t="str">
            <v>El organigrama presenta un esquema circular que no corresponde a un organigrama como tal.
El manual de funciones no contiene todas las áreas de la IE. Los contratos laborales omiten información relevante para la IE.
La información de matrícula y asignación de cupos no está consignada en el PEI.
Las instalaciones Son suficientes y cuentan con la dotación requerida de acuerdo con el número de estudiantes.
La infraestructura de la IE no requiere la gestión de convenios de ambiente compartidos porque cuenta con las áreas suficientes.</v>
          </cell>
          <cell r="S142" t="str">
            <v>1. Diseñar un organigrama que refleje la estructura funcional de la IE.
2.  Incluir todas las áreas de la IE en el Manual de Funciones.
3. Mejorar las clausulas del contrato laboral indicando: derechos, deberes, prohibiciones y debido proceso (faltas y sanciones). Causales expresas para la cancelación del contrato. Toda la información debe ser coherente con el Manual de Funciones, el Manual de Convivencia y el Reglamento Interno de Trabajo.
4. Compilar en el PEI el procedimiento para la asignación de cupos, matrículas, y el registro en los sistemas de información SIMAT y/o EVI.
5.  Adecuar las instalaciones así como la señalización para las personas con algún tipo de discapacidad</v>
          </cell>
          <cell r="T142" t="str">
            <v>Si</v>
          </cell>
          <cell r="U142" t="str">
            <v>La IE hará entrega del Plan de Mejoramiento el 09/10/2025.
El ELIV realizará evisión documental en el mes de noviembre de 2025 para verificar el cumplimiento de las acciones establecidas en el plan de mejoramiento.</v>
          </cell>
        </row>
        <row r="143">
          <cell r="A143">
            <v>2849</v>
          </cell>
          <cell r="B143">
            <v>16</v>
          </cell>
          <cell r="C143" t="str">
            <v>CIUDAD BOLÍVAR</v>
          </cell>
          <cell r="D143" t="str">
            <v>PRIVADO</v>
          </cell>
          <cell r="E143" t="str">
            <v>EPBM</v>
          </cell>
          <cell r="F143" t="str">
            <v>LICEO_MAURITANIA</v>
          </cell>
          <cell r="G143" t="str">
            <v>LICEO MAURITANIA</v>
          </cell>
          <cell r="H143" t="str">
            <v>Autoevaluación Institucional y Pruebas SABER 11</v>
          </cell>
          <cell r="I143" t="str">
            <v>SEGUIMIENTO_Y_SUPERVISIÓN.</v>
          </cell>
          <cell r="J143" t="str">
            <v>Realizar visitas para verificar la información registrada sobre la autoevaluación institucional en el aplicativo EVI, a los establecimientos de educación formal no oficial.</v>
          </cell>
          <cell r="K143" t="str">
            <v xml:space="preserve">MARIA NANCY DUCUARA </v>
          </cell>
          <cell r="L143" t="str">
            <v xml:space="preserve">JUDITH SOLANO RAMÍREZ </v>
          </cell>
          <cell r="M143">
            <v>45961</v>
          </cell>
          <cell r="N143">
            <v>45931</v>
          </cell>
          <cell r="O143">
            <v>45931</v>
          </cell>
          <cell r="P143" t="str">
            <v>Visitas de evaluación con fines de mejoramiento</v>
          </cell>
          <cell r="Q143" t="str">
            <v>20251001_ActaVisitaAdministrativaLicMauritania.pdf</v>
          </cell>
          <cell r="R143" t="str">
            <v>Se verificó que la IE ha realizado el pago de seguridad social integral a la mayoría de los docentes conforme lo establecido en la norma, quedando pendiente cinco docentes. sin embargo, se requiere esta acción para todos los decentes vinculados. Además se encontó que hay cuatro docentes que no están títulados.</v>
          </cell>
          <cell r="S143" t="str">
            <v>Elaborar y entregar plan de mejoramiento que contemple las  acciones establecidas para dar cumplimiento a lo normativo frente a vinculación docente e idoneidad.</v>
          </cell>
          <cell r="T143" t="str">
            <v>Si</v>
          </cell>
          <cell r="U143" t="str">
            <v xml:space="preserve">Verificar las acciones establecidas en el plan de mejoramiento una vez sea entregado por la IE. PM 30.10.2025 y realizar visita de seguimiento en febrero de 2025 </v>
          </cell>
        </row>
        <row r="144">
          <cell r="A144">
            <v>2851</v>
          </cell>
          <cell r="B144">
            <v>16</v>
          </cell>
          <cell r="C144" t="str">
            <v>CIUDAD BOLÍVAR</v>
          </cell>
          <cell r="D144" t="str">
            <v>PRIVADO</v>
          </cell>
          <cell r="E144" t="str">
            <v>EPBM</v>
          </cell>
          <cell r="F144" t="str">
            <v>LICEO_MAURITANIA</v>
          </cell>
          <cell r="G144" t="str">
            <v>LICEO MAURITANIA</v>
          </cell>
          <cell r="H144" t="str">
            <v>Autoevaluación Institucional y Pruebas SABER 11</v>
          </cell>
          <cell r="I144" t="str">
            <v>SEGUIMIENTO_Y_SUPERVISIÓN.</v>
          </cell>
          <cell r="J144" t="str">
            <v xml:space="preserve">Verificar la implementación por parte de los colegios, de acciones realizadas para la prevención y atención de las situaciones de convivencia en el entorno escolar, según lo establecido en la Directiva 01 de 2022 del MEN. </v>
          </cell>
          <cell r="K144" t="str">
            <v xml:space="preserve">MARIA NANCY DUCUARA </v>
          </cell>
          <cell r="L144" t="str">
            <v xml:space="preserve">JUDITH SOLANO RAMÍREZ </v>
          </cell>
          <cell r="M144">
            <v>45961</v>
          </cell>
          <cell r="N144">
            <v>45931</v>
          </cell>
          <cell r="O144">
            <v>45931</v>
          </cell>
          <cell r="P144" t="str">
            <v>Visitas de evaluación con fines de mejoramiento</v>
          </cell>
          <cell r="Q144" t="str">
            <v>20251001_ActaVisitaAdministrativaLicMauritania.pdf</v>
          </cell>
          <cell r="R144" t="str">
            <v>Se evidencia el reporte de situaciones convivenciales tipo I, agresión escolar. Se indica que si los padres de familia no realizan el proceso por salud, se deben reportar por negligencia al ICBF.No se verifican los antecedentes por delitos sexuales.</v>
          </cell>
          <cell r="S144" t="str">
            <v>Realizar la verificación de los antecedentes de delitos sexuales para todo el personal vinculado,  previa a la vinculación y cada cuatro meses durante su vinculación.</v>
          </cell>
          <cell r="T144" t="str">
            <v>Si</v>
          </cell>
          <cell r="U144" t="str">
            <v>Verificar la implementación de la consulta  de antecedentes de delitos sexuales para todo el personal vinculado a la IE.</v>
          </cell>
        </row>
        <row r="145">
          <cell r="A145">
            <v>2852</v>
          </cell>
          <cell r="B145">
            <v>16</v>
          </cell>
          <cell r="C145" t="str">
            <v>CIUDAD BOLÍVAR</v>
          </cell>
          <cell r="D145" t="str">
            <v>PRIVADO</v>
          </cell>
          <cell r="E145" t="str">
            <v>EPBM</v>
          </cell>
          <cell r="F145" t="str">
            <v>LICEO_MAURITANIA</v>
          </cell>
          <cell r="G145" t="str">
            <v>LICEO MAURITANIA</v>
          </cell>
          <cell r="H145" t="str">
            <v>Autoevaluación Institucional y Pruebas SABER 11</v>
          </cell>
          <cell r="I145" t="str">
            <v>SEGUIMIENTO_Y_SUPERVISIÓN.</v>
          </cell>
          <cell r="J14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5" t="str">
            <v xml:space="preserve">MARIA NANCY DUCUARA </v>
          </cell>
          <cell r="L145" t="str">
            <v xml:space="preserve">JUDITH SOLANO RAMÍREZ </v>
          </cell>
          <cell r="M145">
            <v>45961</v>
          </cell>
          <cell r="N145">
            <v>45931</v>
          </cell>
          <cell r="O145">
            <v>45931</v>
          </cell>
          <cell r="P145" t="str">
            <v>Visitas de evaluación con fines de mejoramiento</v>
          </cell>
          <cell r="Q145" t="str">
            <v>20251001_ActaVisitaAdministrativaLicMauritania.pdf</v>
          </cell>
          <cell r="R145" t="str">
            <v>Se evidencia que la institución educativa tiene caracterizados los estudiantes con discapacidad, los cuales tienen PIAR diligenciado. Sin embargo, es necesario que los PIAR se adapten de manera específica a las necesidades de los estudiantes y se realice el seguimiento respectivo para la verificación del impacto de los ajustes razonables.</v>
          </cell>
          <cell r="S145" t="str">
            <v>Realizar actualización de los PIAR diligenciando el formato completo de los ajustes razonables de acuerdo al diagnóstico de los estudiantes, evidenciando el seguimiento del proceso.</v>
          </cell>
          <cell r="T145" t="str">
            <v>Si</v>
          </cell>
          <cell r="U145" t="str">
            <v xml:space="preserve">Verificar el documento de PIAR actualizado para cada estudiante  y la evidencia del seguimiento en los formatos diligenciados. PM 30.10.2025 y realizar visita de seguimiento en febrero de 2025 </v>
          </cell>
        </row>
        <row r="146">
          <cell r="A146">
            <v>2853</v>
          </cell>
          <cell r="B146">
            <v>16</v>
          </cell>
          <cell r="C146" t="str">
            <v>CIUDAD BOLÍVAR</v>
          </cell>
          <cell r="D146" t="str">
            <v>PRIVADO</v>
          </cell>
          <cell r="E146" t="str">
            <v>EPBM</v>
          </cell>
          <cell r="F146" t="str">
            <v>LICEO_MAURITANIA</v>
          </cell>
          <cell r="G146" t="str">
            <v>LICEO MAURITANIA</v>
          </cell>
          <cell r="H146" t="str">
            <v>Autoevaluación Institucional y Pruebas SABER 11</v>
          </cell>
          <cell r="I146" t="str">
            <v>EVALUACIÓN_CON_FINES_DE_MEJORAMIENTO.</v>
          </cell>
          <cell r="J14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6" t="str">
            <v xml:space="preserve">MARIA NANCY DUCUARA </v>
          </cell>
          <cell r="L146" t="str">
            <v xml:space="preserve">JUDITH SOLANO RAMÍREZ </v>
          </cell>
          <cell r="M146">
            <v>45961</v>
          </cell>
          <cell r="N146">
            <v>45931</v>
          </cell>
          <cell r="O146">
            <v>45931</v>
          </cell>
          <cell r="P146" t="str">
            <v>Visitas de evaluación con fines de mejoramiento</v>
          </cell>
          <cell r="Q146" t="str">
            <v>20251001_ActaVisitaAdministrativaLicMauritania.pdf</v>
          </cell>
          <cell r="R146" t="str">
            <v>Tienen un documento de Manual de Convivencia; sin embargo no tienen documentada la participación de los diferentes estamentos en su construcción. El documento no está actualizado normativamente y carece del enfoque de género, enfoque restaurativo y de derechos humanos.</v>
          </cell>
          <cell r="S146" t="str">
            <v>Actualizar el manual de convivencia de acuerdo a la normatividad vigente, de manera participativa con los diferentes estamentos, documentando el proceso, incluyendo los enfoques de género, restaurativo y de derechos humanos.</v>
          </cell>
          <cell r="T146" t="str">
            <v>Si</v>
          </cell>
          <cell r="U146" t="str">
            <v xml:space="preserve">Verificar el documento de Manual de Convivencia actualizado y las actas de su construcción participativa con la comunidad educativa. PM 30.10.2025 y realizar visita de seguimiento en febrero de 2025 </v>
          </cell>
        </row>
        <row r="147">
          <cell r="A147">
            <v>2854</v>
          </cell>
          <cell r="B147">
            <v>16</v>
          </cell>
          <cell r="C147" t="str">
            <v>CIUDAD BOLÍVAR</v>
          </cell>
          <cell r="D147" t="str">
            <v>PRIVADO</v>
          </cell>
          <cell r="E147" t="str">
            <v>EPBM</v>
          </cell>
          <cell r="F147" t="str">
            <v>LICEO_MAURITANIA</v>
          </cell>
          <cell r="G147" t="str">
            <v>LICEO MAURITANIA</v>
          </cell>
          <cell r="H147" t="str">
            <v>Autoevaluación Institucional y Pruebas SABER 11</v>
          </cell>
          <cell r="I147" t="str">
            <v>EVALUACIÓN_CON_FINES_DE_MEJORAMIENTO.</v>
          </cell>
          <cell r="J147" t="str">
            <v>Revisar la actualización, socialización e implementación del Sistema Institucional de Evaluación de Estudiantes - SIEE, en articulación con la actualización del PEI y la normatividad vigente.</v>
          </cell>
          <cell r="K147" t="str">
            <v xml:space="preserve">MARIA NANCY DUCUARA </v>
          </cell>
          <cell r="L147" t="str">
            <v xml:space="preserve">JUDITH SOLANO RAMÍREZ </v>
          </cell>
          <cell r="M147">
            <v>45961</v>
          </cell>
          <cell r="N147">
            <v>45931</v>
          </cell>
          <cell r="O147">
            <v>45931</v>
          </cell>
          <cell r="P147" t="str">
            <v>Visitas de evaluación con fines de mejoramiento</v>
          </cell>
          <cell r="Q147" t="str">
            <v>20251001_ActaVisitaAdministrativaLicMauritania.pdf</v>
          </cell>
          <cell r="R147" t="str">
            <v xml:space="preserve">Se evidencia un documento SIEE donde se indica los criterios, estrategias, temas y tiempos para la evaluación, revisado y evaluado en reuniones de área. Sin embargo, en el documento se enuncia la escala de valoración para el nivel de preescolar, pero la institución educativa no tiene aprobado este nivel educativo.
En el SIEE se enuncia planes de apoyo y refuerzo, así como nivelaciones, sin embargo no se encuentran documentadas las actividades. </v>
          </cell>
          <cell r="S147" t="str">
            <v>Actualizar el documento SIEE realizando el ajuste de acuerdo a la realidad institucional de grados ofertados. Documentar las acciones de apoyo y refuerzo escolar, así como las nivelaciones realizadas con los estudiantes.</v>
          </cell>
          <cell r="T147" t="str">
            <v>Si</v>
          </cell>
          <cell r="U147" t="str">
            <v xml:space="preserve">Verificar el documento del SIEE actualizado de acuerdo a la normatividad existente. PM 30.10.2025 y realizar visita de seguimiento en febrero de 2025 </v>
          </cell>
        </row>
        <row r="148">
          <cell r="A148">
            <v>2855</v>
          </cell>
          <cell r="B148">
            <v>16</v>
          </cell>
          <cell r="C148" t="str">
            <v>CIUDAD BOLÍVAR</v>
          </cell>
          <cell r="D148" t="str">
            <v>PRIVADO</v>
          </cell>
          <cell r="E148" t="str">
            <v>EPBM</v>
          </cell>
          <cell r="F148" t="str">
            <v>LICEO_MAURITANIA</v>
          </cell>
          <cell r="G148" t="str">
            <v>LICEO MAURITANIA</v>
          </cell>
          <cell r="H148" t="str">
            <v>Autoevaluación Institucional y Pruebas SABER 11</v>
          </cell>
          <cell r="I148" t="str">
            <v>EVALUACIÓN_CON_FINES_DE_MEJORAMIENTO.</v>
          </cell>
          <cell r="J148" t="str">
            <v>Revisar el calendario escolar, jornada escolar, la intensidad horaria mínima anual en cada nivel y las modificaciones que se realicen al mismo, de acuerdo con lo previsto en la normatividad vigente.</v>
          </cell>
          <cell r="K148" t="str">
            <v xml:space="preserve">MARIA NANCY DUCUARA </v>
          </cell>
          <cell r="L148" t="str">
            <v xml:space="preserve">JUDITH SOLANO RAMÍREZ </v>
          </cell>
          <cell r="M148">
            <v>45961</v>
          </cell>
          <cell r="N148">
            <v>45931</v>
          </cell>
          <cell r="O148">
            <v>45931</v>
          </cell>
          <cell r="P148" t="str">
            <v>Visitas de evaluación con fines de mejoramiento</v>
          </cell>
          <cell r="Q148" t="str">
            <v>20251001_ActaVisitaAdministrativaLicMauritania.pdf</v>
          </cell>
          <cell r="R148" t="str">
            <v>La institución educativa cumple con las horas establecidas para cada unos de los niveles aprobados.</v>
          </cell>
          <cell r="S148" t="str">
            <v>Reportar el calendario escolar de acuerdo a la normatividad existente en el año 2026.</v>
          </cell>
          <cell r="T148" t="str">
            <v>No</v>
          </cell>
          <cell r="U148" t="str">
            <v>Verificar el calendario escolar para el año 2026 de acuerdo a  la normatividad existente.</v>
          </cell>
        </row>
        <row r="149">
          <cell r="A149">
            <v>2856</v>
          </cell>
          <cell r="B149">
            <v>16</v>
          </cell>
          <cell r="C149" t="str">
            <v>CIUDAD BOLÍVAR</v>
          </cell>
          <cell r="D149" t="str">
            <v>PRIVADO</v>
          </cell>
          <cell r="E149" t="str">
            <v>EPBM</v>
          </cell>
          <cell r="F149" t="str">
            <v>LICEO_MAURITANIA</v>
          </cell>
          <cell r="G149" t="str">
            <v>LICEO MAURITANIA</v>
          </cell>
          <cell r="H149" t="str">
            <v>Autoevaluación Institucional y Pruebas SABER 11</v>
          </cell>
          <cell r="I149" t="str">
            <v>EVALUACIÓN_CON_FINES_DE_MEJORAMIENTO.</v>
          </cell>
          <cell r="J149" t="str">
            <v>Verificar el funcionamiento del Gobierno Escolar e instancias de participación con base en la información sobre conformación reportada por la institución educativa.</v>
          </cell>
          <cell r="K149" t="str">
            <v xml:space="preserve">MARIA NANCY DUCUARA </v>
          </cell>
          <cell r="L149" t="str">
            <v xml:space="preserve">JUDITH SOLANO RAMÍREZ </v>
          </cell>
          <cell r="M149">
            <v>45961</v>
          </cell>
          <cell r="N149">
            <v>45931</v>
          </cell>
          <cell r="O149">
            <v>45931</v>
          </cell>
          <cell r="P149" t="str">
            <v>Visitas de evaluación con fines de mejoramiento</v>
          </cell>
          <cell r="Q149" t="str">
            <v>20251001_ActaVisitaAdministrativaLicMauritania.pdf</v>
          </cell>
          <cell r="R149" t="str">
            <v>Se evidencia la conformación de los diferentes estamentos, y las actas de su funcionamiento, sin embargo hay falencias en su archivo y legalización de firmas. No tienen reglamento interno. No hay actas de sesiones del concejo directivo.</v>
          </cell>
          <cell r="S149" t="str">
            <v>Organizar las actas de los estamentos de acuerdo a la normatividad archivística, asegurando que se encuentren firmadas por los asistentes a las sesiones. Elaborar el reglamento de cada uno de los estamentos de participación de la institución educativa.Operativizar el Consejo directivo, asegurando su funcionamiento y la documentación de las sesiones a través de actas.</v>
          </cell>
          <cell r="T149" t="str">
            <v>Si</v>
          </cell>
          <cell r="U149" t="str">
            <v>Verificar las actas de funcionamiento de los distintos estamentos de participación para constatar el cumplimiento de la normativa vigente.</v>
          </cell>
        </row>
        <row r="150">
          <cell r="A150">
            <v>2857</v>
          </cell>
          <cell r="B150">
            <v>16</v>
          </cell>
          <cell r="C150" t="str">
            <v>CIUDAD BOLÍVAR</v>
          </cell>
          <cell r="D150" t="str">
            <v>PRIVADO</v>
          </cell>
          <cell r="E150" t="str">
            <v>EPBM</v>
          </cell>
          <cell r="F150" t="str">
            <v>LICEO_MAURITANIA</v>
          </cell>
          <cell r="G150" t="str">
            <v>LICEO MAURITANIA</v>
          </cell>
          <cell r="H150" t="str">
            <v>Autoevaluación Institucional y Pruebas SABER 11</v>
          </cell>
          <cell r="I150" t="str">
            <v>EVALUACIÓN_CON_FINES_DE_MEJORAMIENTO.</v>
          </cell>
          <cell r="J150" t="str">
            <v>Verificar las condiciones en cuanto a: la estructura administrativa, condiciones de la planta física y medios educativos adecuados.</v>
          </cell>
          <cell r="K150" t="str">
            <v xml:space="preserve">MARIA NANCY DUCUARA </v>
          </cell>
          <cell r="L150" t="str">
            <v xml:space="preserve">JUDITH SOLANO RAMÍREZ </v>
          </cell>
          <cell r="M150">
            <v>45961</v>
          </cell>
          <cell r="N150">
            <v>45931</v>
          </cell>
          <cell r="O150">
            <v>45931</v>
          </cell>
          <cell r="P150" t="str">
            <v>Visitas de evaluación con fines de mejoramiento</v>
          </cell>
          <cell r="Q150" t="str">
            <v>20251001_ActaVisitaAdministrativaLicMauritania.pdf</v>
          </cell>
          <cell r="R150" t="str">
            <v xml:space="preserve">Se encuentran doce (12) salones, evidenciando hacinamiento en uno de ellos, en el grado 6°, por lo que se debe realizar redistribución de los cursos, para que haya mejor movilidad. No hay señalización para las personas con discapacidad. Frente a los recursos educativos, algunos muebles se encuentran deteriorados, teniendo en cuenta que algunos espacios son pequeños se debe retirar elementos que obstruyan el paso. No tienen trámite de ambientes compartidos. </v>
          </cell>
          <cell r="S150" t="str">
            <v>Redistribuir los salones para mejorar la movilidad de los estudiantes y evitar el hacinamiento. 
Realizar señalización de los espacios teniendo en cuenta las personas con discapacidad.
Generar un cronograma de reemplazo de los muebles que se encuentran deteriorados.
Retirar elementos que obstruyan el paso, asegurando la libre movilidad de los estudiantes.
Tramitar el convenio de ambientes compartidos y su correspondiente oficialización ante la SED.</v>
          </cell>
          <cell r="T150" t="str">
            <v>Si</v>
          </cell>
          <cell r="U150" t="str">
            <v>Verificar la implementación de los ajustes requeridos para la mejora en la movilidad de los estudiantes y la implementación del plan de reemplazo de bienes deteriorados. Así mismo el acto administrativo de ambientes compartidos.</v>
          </cell>
        </row>
        <row r="151">
          <cell r="B151"/>
          <cell r="C151"/>
          <cell r="D151"/>
          <cell r="E151"/>
          <cell r="F151"/>
          <cell r="G151"/>
          <cell r="H151"/>
          <cell r="I151"/>
          <cell r="J151"/>
          <cell r="K151"/>
          <cell r="L151"/>
          <cell r="M151"/>
          <cell r="N151"/>
          <cell r="O151"/>
          <cell r="P151"/>
          <cell r="Q151"/>
          <cell r="R151"/>
          <cell r="S151"/>
          <cell r="T151"/>
          <cell r="U151"/>
        </row>
        <row r="152">
          <cell r="B152"/>
          <cell r="C152"/>
          <cell r="D152"/>
          <cell r="E152"/>
          <cell r="F152"/>
          <cell r="G152"/>
          <cell r="H152"/>
          <cell r="I152"/>
          <cell r="J152"/>
          <cell r="K152"/>
          <cell r="L152"/>
          <cell r="M152"/>
          <cell r="N152"/>
          <cell r="O152"/>
          <cell r="P152"/>
          <cell r="Q152"/>
          <cell r="R152"/>
          <cell r="S152"/>
          <cell r="T152"/>
          <cell r="U152"/>
        </row>
        <row r="153">
          <cell r="B153"/>
          <cell r="C153"/>
          <cell r="D153"/>
          <cell r="E153"/>
          <cell r="F153"/>
          <cell r="G153"/>
          <cell r="H153"/>
          <cell r="I153"/>
          <cell r="J153"/>
          <cell r="K153"/>
          <cell r="L153"/>
          <cell r="M153"/>
          <cell r="N153"/>
          <cell r="O153"/>
          <cell r="P153"/>
          <cell r="Q153"/>
          <cell r="R153"/>
          <cell r="S153"/>
          <cell r="T153"/>
          <cell r="U153"/>
        </row>
        <row r="154">
          <cell r="B154"/>
          <cell r="C154"/>
          <cell r="D154"/>
          <cell r="E154"/>
          <cell r="F154"/>
          <cell r="G154"/>
          <cell r="H154"/>
          <cell r="I154"/>
          <cell r="J154"/>
          <cell r="K154"/>
          <cell r="L154"/>
          <cell r="M154"/>
          <cell r="N154"/>
          <cell r="O154"/>
          <cell r="P154"/>
          <cell r="Q154"/>
          <cell r="R154"/>
          <cell r="S154"/>
          <cell r="T154"/>
          <cell r="U154"/>
        </row>
        <row r="155">
          <cell r="B155"/>
          <cell r="C155"/>
          <cell r="D155"/>
          <cell r="E155"/>
          <cell r="F155"/>
          <cell r="G155"/>
          <cell r="H155"/>
          <cell r="I155"/>
          <cell r="J155"/>
          <cell r="K155"/>
          <cell r="L155"/>
          <cell r="M155"/>
          <cell r="N155"/>
          <cell r="O155"/>
          <cell r="P155"/>
          <cell r="Q155"/>
          <cell r="R155"/>
          <cell r="S155"/>
          <cell r="T155"/>
          <cell r="U155"/>
        </row>
        <row r="156">
          <cell r="B156"/>
          <cell r="C156"/>
          <cell r="D156"/>
          <cell r="E156"/>
          <cell r="F156"/>
          <cell r="G156"/>
          <cell r="H156"/>
          <cell r="I156"/>
          <cell r="J156"/>
          <cell r="K156"/>
          <cell r="L156"/>
          <cell r="M156"/>
          <cell r="N156"/>
          <cell r="O156"/>
          <cell r="P156"/>
          <cell r="Q156"/>
          <cell r="R156"/>
          <cell r="S156"/>
          <cell r="T156"/>
          <cell r="U156"/>
        </row>
        <row r="157">
          <cell r="B157"/>
          <cell r="C157"/>
          <cell r="D157"/>
          <cell r="E157"/>
          <cell r="F157"/>
          <cell r="G157"/>
          <cell r="H157"/>
          <cell r="I157"/>
          <cell r="J157"/>
          <cell r="K157"/>
          <cell r="L157"/>
          <cell r="M157"/>
          <cell r="N157"/>
          <cell r="O157"/>
          <cell r="P157"/>
          <cell r="Q157"/>
          <cell r="R157"/>
          <cell r="S157"/>
          <cell r="T157"/>
          <cell r="U157"/>
        </row>
        <row r="158">
          <cell r="B158"/>
          <cell r="C158"/>
          <cell r="D158"/>
          <cell r="E158"/>
          <cell r="F158"/>
          <cell r="G158"/>
          <cell r="H158"/>
          <cell r="I158"/>
          <cell r="J158"/>
          <cell r="K158"/>
          <cell r="L158"/>
          <cell r="M158"/>
          <cell r="N158"/>
          <cell r="O158"/>
          <cell r="P158"/>
          <cell r="Q158"/>
          <cell r="R158"/>
          <cell r="S158"/>
          <cell r="T158"/>
          <cell r="U158"/>
        </row>
        <row r="159">
          <cell r="B159"/>
          <cell r="C159"/>
          <cell r="D159"/>
          <cell r="E159"/>
          <cell r="F159"/>
          <cell r="G159"/>
          <cell r="H159"/>
          <cell r="I159"/>
          <cell r="J159"/>
          <cell r="K159"/>
          <cell r="L159"/>
          <cell r="M159"/>
          <cell r="N159"/>
          <cell r="O159"/>
          <cell r="P159"/>
          <cell r="Q159"/>
          <cell r="R159"/>
          <cell r="S159"/>
          <cell r="T159"/>
          <cell r="U159"/>
        </row>
        <row r="160">
          <cell r="B160"/>
          <cell r="C160"/>
          <cell r="D160"/>
          <cell r="E160"/>
          <cell r="F160"/>
          <cell r="G160"/>
          <cell r="H160"/>
          <cell r="I160"/>
          <cell r="J160"/>
          <cell r="K160"/>
          <cell r="L160"/>
          <cell r="M160"/>
          <cell r="N160"/>
          <cell r="O160"/>
          <cell r="P160"/>
          <cell r="Q160"/>
          <cell r="R160"/>
          <cell r="S160"/>
          <cell r="T160"/>
          <cell r="U160"/>
        </row>
        <row r="161">
          <cell r="B161"/>
          <cell r="C161"/>
          <cell r="D161"/>
          <cell r="E161"/>
          <cell r="F161"/>
          <cell r="G161"/>
          <cell r="H161"/>
          <cell r="I161"/>
          <cell r="J161"/>
          <cell r="K161"/>
          <cell r="L161"/>
          <cell r="M161"/>
          <cell r="N161"/>
          <cell r="O161"/>
          <cell r="P161"/>
          <cell r="Q161"/>
          <cell r="R161"/>
          <cell r="S161"/>
          <cell r="T161"/>
          <cell r="U161"/>
        </row>
        <row r="162">
          <cell r="B162"/>
          <cell r="C162"/>
          <cell r="D162"/>
          <cell r="E162"/>
          <cell r="F162"/>
          <cell r="G162"/>
          <cell r="H162"/>
          <cell r="I162"/>
          <cell r="J162"/>
          <cell r="K162"/>
          <cell r="L162"/>
          <cell r="M162"/>
          <cell r="N162"/>
          <cell r="O162"/>
          <cell r="P162"/>
          <cell r="Q162"/>
          <cell r="R162"/>
          <cell r="S162"/>
          <cell r="T162"/>
          <cell r="U162"/>
        </row>
        <row r="163">
          <cell r="B163"/>
          <cell r="C163"/>
          <cell r="D163"/>
          <cell r="E163"/>
          <cell r="F163"/>
          <cell r="G163"/>
          <cell r="H163"/>
          <cell r="I163"/>
          <cell r="J163"/>
          <cell r="K163"/>
          <cell r="L163"/>
          <cell r="M163"/>
          <cell r="N163"/>
          <cell r="O163"/>
          <cell r="P163"/>
          <cell r="Q163"/>
          <cell r="R163"/>
          <cell r="S163"/>
          <cell r="T163"/>
          <cell r="U163"/>
        </row>
        <row r="164">
          <cell r="B164"/>
          <cell r="C164"/>
          <cell r="D164"/>
          <cell r="E164"/>
          <cell r="F164"/>
          <cell r="G164"/>
          <cell r="H164"/>
          <cell r="I164"/>
          <cell r="J164"/>
          <cell r="K164"/>
          <cell r="L164"/>
          <cell r="M164"/>
          <cell r="N164"/>
          <cell r="O164"/>
          <cell r="P164"/>
          <cell r="Q164"/>
          <cell r="R164"/>
          <cell r="S164"/>
          <cell r="T164"/>
          <cell r="U164"/>
        </row>
        <row r="165">
          <cell r="B165"/>
          <cell r="C165"/>
          <cell r="D165"/>
          <cell r="E165"/>
          <cell r="F165"/>
          <cell r="G165"/>
          <cell r="H165"/>
          <cell r="I165"/>
          <cell r="J165"/>
          <cell r="K165"/>
          <cell r="L165"/>
          <cell r="M165"/>
          <cell r="N165"/>
          <cell r="O165"/>
          <cell r="P165"/>
          <cell r="Q165"/>
          <cell r="R165"/>
          <cell r="S165"/>
          <cell r="T165"/>
          <cell r="U165"/>
        </row>
        <row r="166">
          <cell r="B166"/>
          <cell r="C166"/>
          <cell r="D166"/>
          <cell r="E166"/>
          <cell r="F166"/>
          <cell r="G166"/>
          <cell r="H166"/>
          <cell r="I166"/>
          <cell r="J166"/>
          <cell r="K166"/>
          <cell r="L166"/>
          <cell r="M166"/>
          <cell r="N166"/>
          <cell r="O166"/>
          <cell r="P166"/>
          <cell r="Q166"/>
          <cell r="R166"/>
          <cell r="S166"/>
          <cell r="T166"/>
          <cell r="U166"/>
        </row>
        <row r="167">
          <cell r="B167"/>
          <cell r="C167"/>
          <cell r="D167"/>
          <cell r="E167"/>
          <cell r="F167"/>
          <cell r="G167"/>
          <cell r="H167"/>
          <cell r="I167"/>
          <cell r="J167"/>
          <cell r="K167"/>
          <cell r="L167"/>
          <cell r="M167"/>
          <cell r="N167"/>
          <cell r="O167"/>
          <cell r="P167"/>
          <cell r="Q167"/>
          <cell r="R167"/>
          <cell r="S167"/>
          <cell r="T167"/>
          <cell r="U167"/>
        </row>
        <row r="168">
          <cell r="B168"/>
          <cell r="C168"/>
          <cell r="D168"/>
          <cell r="E168"/>
          <cell r="F168"/>
          <cell r="G168"/>
          <cell r="H168"/>
          <cell r="I168"/>
          <cell r="J168"/>
          <cell r="K168"/>
          <cell r="L168"/>
          <cell r="M168"/>
          <cell r="N168"/>
          <cell r="O168"/>
          <cell r="P168"/>
          <cell r="Q168"/>
          <cell r="R168"/>
          <cell r="S168"/>
          <cell r="T168"/>
          <cell r="U168"/>
        </row>
        <row r="169">
          <cell r="B169"/>
          <cell r="C169"/>
          <cell r="D169"/>
          <cell r="E169"/>
          <cell r="F169"/>
          <cell r="G169"/>
          <cell r="H169"/>
          <cell r="I169"/>
          <cell r="J169"/>
          <cell r="K169"/>
          <cell r="L169"/>
          <cell r="M169"/>
          <cell r="N169"/>
          <cell r="O169"/>
          <cell r="P169"/>
          <cell r="Q169"/>
          <cell r="R169"/>
          <cell r="S169"/>
          <cell r="T169"/>
          <cell r="U169"/>
        </row>
        <row r="170">
          <cell r="B170"/>
          <cell r="C170"/>
          <cell r="D170"/>
          <cell r="E170"/>
          <cell r="F170"/>
          <cell r="G170"/>
          <cell r="H170"/>
          <cell r="I170"/>
          <cell r="J170"/>
          <cell r="K170"/>
          <cell r="L170"/>
          <cell r="M170"/>
          <cell r="N170"/>
          <cell r="O170"/>
          <cell r="P170"/>
          <cell r="Q170"/>
          <cell r="R170"/>
          <cell r="S170"/>
          <cell r="T170"/>
          <cell r="U170"/>
        </row>
        <row r="171">
          <cell r="B171"/>
          <cell r="C171"/>
          <cell r="D171"/>
          <cell r="E171"/>
          <cell r="F171"/>
          <cell r="G171"/>
          <cell r="H171"/>
          <cell r="I171"/>
          <cell r="J171"/>
          <cell r="K171"/>
          <cell r="L171"/>
          <cell r="M171"/>
          <cell r="N171"/>
          <cell r="O171"/>
          <cell r="P171"/>
          <cell r="Q171"/>
          <cell r="R171"/>
          <cell r="S171"/>
          <cell r="T171"/>
          <cell r="U171"/>
        </row>
        <row r="172">
          <cell r="B172"/>
          <cell r="C172"/>
          <cell r="D172"/>
          <cell r="E172"/>
          <cell r="F172"/>
          <cell r="G172"/>
          <cell r="H172"/>
          <cell r="I172"/>
          <cell r="J172"/>
          <cell r="K172"/>
          <cell r="L172"/>
          <cell r="M172"/>
          <cell r="N172"/>
          <cell r="O172"/>
          <cell r="P172"/>
          <cell r="Q172"/>
          <cell r="R172"/>
          <cell r="S172"/>
          <cell r="T172"/>
          <cell r="U172"/>
        </row>
        <row r="173">
          <cell r="B173"/>
          <cell r="C173"/>
          <cell r="D173"/>
          <cell r="E173"/>
          <cell r="F173"/>
          <cell r="G173"/>
          <cell r="H173"/>
          <cell r="I173"/>
          <cell r="J173"/>
          <cell r="K173"/>
          <cell r="L173"/>
          <cell r="M173"/>
          <cell r="N173"/>
          <cell r="O173"/>
          <cell r="P173"/>
          <cell r="Q173"/>
          <cell r="R173"/>
          <cell r="S173"/>
          <cell r="T173"/>
          <cell r="U173"/>
        </row>
        <row r="174">
          <cell r="B174"/>
          <cell r="C174"/>
          <cell r="D174"/>
          <cell r="E174"/>
          <cell r="F174"/>
          <cell r="G174"/>
          <cell r="H174"/>
          <cell r="I174"/>
          <cell r="J174"/>
          <cell r="K174"/>
          <cell r="L174"/>
          <cell r="M174"/>
          <cell r="N174"/>
          <cell r="O174"/>
          <cell r="P174"/>
          <cell r="Q174"/>
          <cell r="R174"/>
          <cell r="S174"/>
          <cell r="T174"/>
          <cell r="U174"/>
        </row>
        <row r="175">
          <cell r="B175"/>
          <cell r="C175"/>
          <cell r="D175"/>
          <cell r="E175"/>
          <cell r="F175"/>
          <cell r="G175"/>
          <cell r="H175"/>
          <cell r="I175"/>
          <cell r="J175"/>
          <cell r="K175"/>
          <cell r="L175"/>
          <cell r="M175"/>
          <cell r="N175"/>
          <cell r="O175"/>
          <cell r="P175"/>
          <cell r="Q175"/>
          <cell r="R175"/>
          <cell r="S175"/>
          <cell r="T175"/>
          <cell r="U175"/>
        </row>
        <row r="176">
          <cell r="B176"/>
          <cell r="C176"/>
          <cell r="D176"/>
          <cell r="E176"/>
          <cell r="F176"/>
          <cell r="G176"/>
          <cell r="H176"/>
          <cell r="I176"/>
          <cell r="J176"/>
          <cell r="K176"/>
          <cell r="L176"/>
          <cell r="M176"/>
          <cell r="N176"/>
          <cell r="O176"/>
          <cell r="P176"/>
          <cell r="Q176"/>
          <cell r="R176"/>
          <cell r="S176"/>
          <cell r="T176"/>
          <cell r="U176"/>
        </row>
        <row r="177">
          <cell r="B177"/>
          <cell r="C177"/>
          <cell r="D177"/>
          <cell r="E177"/>
          <cell r="F177"/>
          <cell r="G177"/>
          <cell r="H177"/>
          <cell r="I177"/>
          <cell r="J177"/>
          <cell r="K177"/>
          <cell r="L177"/>
          <cell r="M177"/>
          <cell r="N177"/>
          <cell r="O177"/>
          <cell r="P177"/>
          <cell r="Q177"/>
          <cell r="R177"/>
          <cell r="S177"/>
          <cell r="T177"/>
          <cell r="U177"/>
        </row>
        <row r="178">
          <cell r="B178"/>
          <cell r="C178"/>
          <cell r="D178"/>
          <cell r="E178"/>
          <cell r="F178"/>
          <cell r="G178"/>
          <cell r="H178"/>
          <cell r="I178"/>
          <cell r="J178"/>
          <cell r="K178"/>
          <cell r="L178"/>
          <cell r="M178"/>
          <cell r="N178"/>
          <cell r="O178"/>
          <cell r="P178"/>
          <cell r="Q178"/>
          <cell r="R178"/>
          <cell r="S178"/>
          <cell r="T178"/>
          <cell r="U178"/>
        </row>
        <row r="179">
          <cell r="B179"/>
          <cell r="C179"/>
          <cell r="D179"/>
          <cell r="E179"/>
          <cell r="F179"/>
          <cell r="G179"/>
          <cell r="H179"/>
          <cell r="I179"/>
          <cell r="J179"/>
          <cell r="K179"/>
          <cell r="L179"/>
          <cell r="M179"/>
          <cell r="N179"/>
          <cell r="O179"/>
          <cell r="P179"/>
          <cell r="Q179"/>
          <cell r="R179"/>
          <cell r="S179"/>
          <cell r="T179"/>
          <cell r="U179"/>
        </row>
        <row r="180">
          <cell r="B180"/>
          <cell r="C180"/>
          <cell r="D180"/>
          <cell r="E180"/>
          <cell r="F180"/>
          <cell r="G180"/>
          <cell r="H180"/>
          <cell r="I180"/>
          <cell r="J180"/>
          <cell r="K180"/>
          <cell r="L180"/>
          <cell r="M180"/>
          <cell r="N180"/>
          <cell r="O180"/>
          <cell r="P180"/>
          <cell r="Q180"/>
          <cell r="R180"/>
          <cell r="S180"/>
          <cell r="T180"/>
          <cell r="U180"/>
        </row>
        <row r="181">
          <cell r="B181"/>
          <cell r="C181"/>
          <cell r="D181"/>
          <cell r="E181"/>
          <cell r="F181"/>
          <cell r="G181"/>
          <cell r="H181"/>
          <cell r="I181"/>
          <cell r="J181"/>
          <cell r="K181"/>
          <cell r="L181"/>
          <cell r="M181"/>
          <cell r="N181"/>
          <cell r="O181"/>
          <cell r="P181"/>
          <cell r="Q181"/>
          <cell r="R181"/>
          <cell r="S181"/>
          <cell r="T181"/>
          <cell r="U181"/>
        </row>
        <row r="182">
          <cell r="B182"/>
          <cell r="C182"/>
          <cell r="D182"/>
          <cell r="E182"/>
          <cell r="F182"/>
          <cell r="G182"/>
          <cell r="H182"/>
          <cell r="I182"/>
          <cell r="J182"/>
          <cell r="K182"/>
          <cell r="L182"/>
          <cell r="M182"/>
          <cell r="N182"/>
          <cell r="O182"/>
          <cell r="P182"/>
          <cell r="Q182"/>
          <cell r="R182"/>
          <cell r="S182"/>
          <cell r="T182"/>
          <cell r="U182"/>
        </row>
        <row r="183">
          <cell r="B183"/>
          <cell r="C183"/>
          <cell r="D183"/>
          <cell r="E183"/>
          <cell r="F183"/>
          <cell r="G183"/>
          <cell r="H183"/>
          <cell r="I183"/>
          <cell r="J183"/>
          <cell r="K183"/>
          <cell r="L183"/>
          <cell r="M183"/>
          <cell r="N183"/>
          <cell r="O183"/>
          <cell r="P183"/>
          <cell r="Q183"/>
          <cell r="R183"/>
          <cell r="S183"/>
          <cell r="T183"/>
          <cell r="U183"/>
        </row>
        <row r="184">
          <cell r="B184"/>
          <cell r="C184"/>
          <cell r="D184"/>
          <cell r="E184"/>
          <cell r="F184"/>
          <cell r="G184"/>
          <cell r="H184"/>
          <cell r="I184"/>
          <cell r="J184"/>
          <cell r="K184"/>
          <cell r="L184"/>
          <cell r="M184"/>
          <cell r="N184"/>
          <cell r="O184"/>
          <cell r="P184"/>
          <cell r="Q184"/>
          <cell r="R184"/>
          <cell r="S184"/>
          <cell r="T184"/>
          <cell r="U184"/>
        </row>
        <row r="185">
          <cell r="B185"/>
          <cell r="C185"/>
          <cell r="D185"/>
          <cell r="E185"/>
          <cell r="F185"/>
          <cell r="G185"/>
          <cell r="H185"/>
          <cell r="I185"/>
          <cell r="J185"/>
          <cell r="K185"/>
          <cell r="L185"/>
          <cell r="M185"/>
          <cell r="N185"/>
          <cell r="O185"/>
          <cell r="P185"/>
          <cell r="Q185"/>
          <cell r="R185"/>
          <cell r="S185"/>
          <cell r="T185"/>
          <cell r="U185"/>
        </row>
        <row r="186">
          <cell r="B186"/>
          <cell r="C186"/>
          <cell r="D186"/>
          <cell r="E186"/>
          <cell r="F186"/>
          <cell r="G186"/>
          <cell r="H186"/>
          <cell r="I186"/>
          <cell r="J186"/>
          <cell r="K186"/>
          <cell r="L186"/>
          <cell r="M186"/>
          <cell r="N186"/>
          <cell r="O186"/>
          <cell r="P186"/>
          <cell r="Q186"/>
          <cell r="R186"/>
          <cell r="S186"/>
          <cell r="T186"/>
          <cell r="U186"/>
        </row>
        <row r="187">
          <cell r="B187"/>
          <cell r="C187"/>
          <cell r="D187"/>
          <cell r="E187"/>
          <cell r="F187"/>
          <cell r="G187"/>
          <cell r="H187"/>
          <cell r="I187"/>
          <cell r="J187"/>
          <cell r="K187"/>
          <cell r="L187"/>
          <cell r="M187"/>
          <cell r="N187"/>
          <cell r="O187"/>
          <cell r="P187"/>
          <cell r="Q187"/>
          <cell r="R187"/>
          <cell r="S187"/>
          <cell r="T187"/>
          <cell r="U187"/>
        </row>
        <row r="188">
          <cell r="B188"/>
          <cell r="C188"/>
          <cell r="D188"/>
          <cell r="E188"/>
          <cell r="F188"/>
          <cell r="G188"/>
          <cell r="H188"/>
          <cell r="I188"/>
          <cell r="J188"/>
          <cell r="K188"/>
          <cell r="L188"/>
          <cell r="M188"/>
          <cell r="N188"/>
          <cell r="O188"/>
          <cell r="P188"/>
          <cell r="Q188"/>
          <cell r="R188"/>
          <cell r="S188"/>
          <cell r="T188"/>
          <cell r="U188"/>
        </row>
        <row r="189">
          <cell r="B189"/>
          <cell r="C189"/>
          <cell r="D189"/>
          <cell r="E189"/>
          <cell r="F189"/>
          <cell r="G189"/>
          <cell r="H189"/>
          <cell r="I189"/>
          <cell r="J189"/>
          <cell r="K189"/>
          <cell r="L189"/>
          <cell r="M189"/>
          <cell r="N189"/>
          <cell r="O189"/>
          <cell r="P189"/>
          <cell r="Q189"/>
          <cell r="R189"/>
          <cell r="S189"/>
          <cell r="T189"/>
          <cell r="U189"/>
        </row>
        <row r="190">
          <cell r="B190"/>
          <cell r="C190"/>
          <cell r="D190"/>
          <cell r="E190"/>
          <cell r="F190"/>
          <cell r="G190"/>
          <cell r="H190"/>
          <cell r="I190"/>
          <cell r="J190"/>
          <cell r="K190"/>
          <cell r="L190"/>
          <cell r="M190"/>
          <cell r="N190"/>
          <cell r="O190"/>
          <cell r="P190"/>
          <cell r="Q190"/>
          <cell r="R190"/>
          <cell r="S190"/>
          <cell r="T190"/>
          <cell r="U190"/>
        </row>
        <row r="191">
          <cell r="B191"/>
          <cell r="C191"/>
          <cell r="D191"/>
          <cell r="E191"/>
          <cell r="F191"/>
          <cell r="G191"/>
          <cell r="H191"/>
          <cell r="I191"/>
          <cell r="J191"/>
          <cell r="K191"/>
          <cell r="L191"/>
          <cell r="M191"/>
          <cell r="N191"/>
          <cell r="O191"/>
          <cell r="P191"/>
          <cell r="Q191"/>
          <cell r="R191"/>
          <cell r="S191"/>
          <cell r="T191"/>
          <cell r="U191"/>
        </row>
        <row r="192">
          <cell r="B192"/>
          <cell r="C192"/>
          <cell r="D192"/>
          <cell r="E192"/>
          <cell r="F192"/>
          <cell r="G192"/>
          <cell r="H192"/>
          <cell r="I192"/>
          <cell r="J192"/>
          <cell r="K192"/>
          <cell r="L192"/>
          <cell r="M192"/>
          <cell r="N192"/>
          <cell r="O192"/>
          <cell r="P192"/>
          <cell r="Q192"/>
          <cell r="R192"/>
          <cell r="S192"/>
          <cell r="T192"/>
          <cell r="U192"/>
        </row>
        <row r="193">
          <cell r="B193"/>
          <cell r="C193"/>
          <cell r="D193"/>
          <cell r="E193"/>
          <cell r="F193"/>
          <cell r="G193"/>
          <cell r="H193"/>
          <cell r="I193"/>
          <cell r="J193"/>
          <cell r="K193"/>
          <cell r="L193"/>
          <cell r="M193"/>
          <cell r="N193"/>
          <cell r="O193"/>
          <cell r="P193"/>
          <cell r="Q193"/>
          <cell r="R193"/>
          <cell r="S193"/>
          <cell r="T193"/>
          <cell r="U193"/>
        </row>
        <row r="194">
          <cell r="B194"/>
          <cell r="C194"/>
          <cell r="D194"/>
          <cell r="E194"/>
          <cell r="F194"/>
          <cell r="G194"/>
          <cell r="H194"/>
          <cell r="I194"/>
          <cell r="J194"/>
          <cell r="K194"/>
          <cell r="L194"/>
          <cell r="M194"/>
          <cell r="N194"/>
          <cell r="O194"/>
          <cell r="P194"/>
          <cell r="Q194"/>
          <cell r="R194"/>
          <cell r="S194"/>
          <cell r="T194"/>
          <cell r="U194"/>
        </row>
        <row r="195">
          <cell r="B195"/>
          <cell r="C195"/>
          <cell r="D195"/>
          <cell r="E195"/>
          <cell r="F195"/>
          <cell r="G195"/>
          <cell r="H195"/>
          <cell r="I195"/>
          <cell r="J195"/>
          <cell r="K195"/>
          <cell r="L195"/>
          <cell r="M195"/>
          <cell r="N195"/>
          <cell r="O195"/>
          <cell r="P195"/>
          <cell r="Q195"/>
          <cell r="R195"/>
          <cell r="S195"/>
          <cell r="T195"/>
          <cell r="U195"/>
        </row>
        <row r="196">
          <cell r="B196"/>
          <cell r="C196"/>
          <cell r="D196"/>
          <cell r="E196"/>
          <cell r="F196"/>
          <cell r="G196"/>
          <cell r="H196"/>
          <cell r="I196"/>
          <cell r="J196"/>
          <cell r="K196"/>
          <cell r="L196"/>
          <cell r="M196"/>
          <cell r="N196"/>
          <cell r="O196"/>
          <cell r="P196"/>
          <cell r="Q196"/>
          <cell r="R196"/>
          <cell r="S196"/>
          <cell r="T196"/>
          <cell r="U196"/>
        </row>
        <row r="197">
          <cell r="B197"/>
          <cell r="C197"/>
          <cell r="D197"/>
          <cell r="E197"/>
          <cell r="F197"/>
          <cell r="G197"/>
          <cell r="H197"/>
          <cell r="I197"/>
          <cell r="J197"/>
          <cell r="K197"/>
          <cell r="L197"/>
          <cell r="M197"/>
          <cell r="N197"/>
          <cell r="O197"/>
          <cell r="P197"/>
          <cell r="Q197"/>
          <cell r="R197"/>
          <cell r="S197"/>
          <cell r="T197"/>
          <cell r="U197"/>
        </row>
        <row r="198">
          <cell r="B198"/>
          <cell r="C198"/>
          <cell r="D198"/>
          <cell r="E198"/>
          <cell r="F198"/>
          <cell r="G198"/>
          <cell r="H198"/>
          <cell r="I198"/>
          <cell r="J198"/>
          <cell r="K198"/>
          <cell r="L198"/>
          <cell r="M198"/>
          <cell r="N198"/>
          <cell r="O198"/>
          <cell r="P198"/>
          <cell r="Q198"/>
          <cell r="R198"/>
          <cell r="S198"/>
          <cell r="T198"/>
          <cell r="U198"/>
        </row>
        <row r="199">
          <cell r="B199"/>
          <cell r="C199"/>
          <cell r="D199"/>
          <cell r="E199"/>
          <cell r="F199"/>
          <cell r="G199"/>
          <cell r="H199"/>
          <cell r="I199"/>
          <cell r="J199"/>
          <cell r="K199"/>
          <cell r="L199"/>
          <cell r="M199"/>
          <cell r="N199"/>
          <cell r="O199"/>
          <cell r="P199"/>
          <cell r="Q199"/>
          <cell r="R199"/>
          <cell r="S199"/>
          <cell r="T199"/>
          <cell r="U199"/>
        </row>
        <row r="200">
          <cell r="B200"/>
          <cell r="C200"/>
          <cell r="D200"/>
          <cell r="E200"/>
          <cell r="F200"/>
          <cell r="G200"/>
          <cell r="H200"/>
          <cell r="I200"/>
          <cell r="J200"/>
          <cell r="K200"/>
          <cell r="L200"/>
          <cell r="M200"/>
          <cell r="N200"/>
          <cell r="O200"/>
          <cell r="P200"/>
          <cell r="Q200"/>
          <cell r="R200"/>
          <cell r="S200"/>
          <cell r="T200"/>
          <cell r="U200"/>
        </row>
        <row r="201">
          <cell r="B201"/>
          <cell r="C201"/>
          <cell r="D201"/>
          <cell r="E201"/>
          <cell r="F201"/>
          <cell r="G201"/>
          <cell r="H201"/>
          <cell r="I201"/>
          <cell r="J201"/>
          <cell r="K201"/>
          <cell r="L201"/>
          <cell r="M201"/>
          <cell r="N201"/>
          <cell r="O201"/>
          <cell r="P201"/>
          <cell r="Q201"/>
          <cell r="R201"/>
          <cell r="S201"/>
          <cell r="T201"/>
          <cell r="U201"/>
        </row>
        <row r="202">
          <cell r="B202"/>
          <cell r="C202"/>
          <cell r="D202"/>
          <cell r="E202"/>
          <cell r="F202"/>
          <cell r="G202"/>
          <cell r="H202"/>
          <cell r="I202"/>
          <cell r="J202"/>
          <cell r="K202"/>
          <cell r="L202"/>
          <cell r="M202"/>
          <cell r="N202"/>
          <cell r="O202"/>
          <cell r="P202"/>
          <cell r="Q202"/>
          <cell r="R202"/>
          <cell r="S202"/>
          <cell r="T202"/>
          <cell r="U202"/>
        </row>
        <row r="203">
          <cell r="B203"/>
          <cell r="C203"/>
          <cell r="D203"/>
          <cell r="E203"/>
          <cell r="F203"/>
          <cell r="G203"/>
          <cell r="H203"/>
          <cell r="I203"/>
          <cell r="J203"/>
          <cell r="K203"/>
          <cell r="L203"/>
          <cell r="M203"/>
          <cell r="N203"/>
          <cell r="O203"/>
          <cell r="P203"/>
          <cell r="Q203"/>
          <cell r="R203"/>
          <cell r="S203"/>
          <cell r="T203"/>
          <cell r="U203"/>
        </row>
        <row r="204">
          <cell r="B204"/>
          <cell r="C204"/>
          <cell r="D204"/>
          <cell r="E204"/>
          <cell r="F204"/>
          <cell r="G204"/>
          <cell r="H204"/>
          <cell r="I204"/>
          <cell r="J204"/>
          <cell r="K204"/>
          <cell r="L204"/>
          <cell r="M204"/>
          <cell r="N204"/>
          <cell r="O204"/>
          <cell r="P204"/>
          <cell r="Q204"/>
          <cell r="R204"/>
          <cell r="S204"/>
          <cell r="T204"/>
          <cell r="U204"/>
        </row>
        <row r="205">
          <cell r="B205"/>
          <cell r="C205"/>
          <cell r="D205"/>
          <cell r="E205"/>
          <cell r="F205"/>
          <cell r="G205"/>
          <cell r="H205"/>
          <cell r="I205"/>
          <cell r="J205"/>
          <cell r="K205"/>
          <cell r="L205"/>
          <cell r="M205"/>
          <cell r="N205"/>
          <cell r="O205"/>
          <cell r="P205"/>
          <cell r="Q205"/>
          <cell r="R205"/>
          <cell r="S205"/>
          <cell r="T205"/>
          <cell r="U205"/>
        </row>
        <row r="206">
          <cell r="B206"/>
          <cell r="C206"/>
          <cell r="D206"/>
          <cell r="E206"/>
          <cell r="F206"/>
          <cell r="G206"/>
          <cell r="H206"/>
          <cell r="I206"/>
          <cell r="J206"/>
          <cell r="K206"/>
          <cell r="L206"/>
          <cell r="M206"/>
          <cell r="N206"/>
          <cell r="O206"/>
          <cell r="P206"/>
          <cell r="Q206"/>
          <cell r="R206"/>
          <cell r="S206"/>
          <cell r="T206"/>
          <cell r="U206"/>
        </row>
        <row r="207">
          <cell r="B207"/>
          <cell r="C207"/>
          <cell r="D207"/>
          <cell r="E207"/>
          <cell r="F207"/>
          <cell r="G207"/>
          <cell r="H207"/>
          <cell r="I207"/>
          <cell r="J207"/>
          <cell r="K207"/>
          <cell r="L207"/>
          <cell r="M207"/>
          <cell r="N207"/>
          <cell r="O207"/>
          <cell r="P207"/>
          <cell r="Q207"/>
          <cell r="R207"/>
          <cell r="S207"/>
          <cell r="T207"/>
          <cell r="U207"/>
        </row>
        <row r="208">
          <cell r="B208"/>
          <cell r="C208"/>
          <cell r="D208"/>
          <cell r="E208"/>
          <cell r="F208"/>
          <cell r="G208"/>
          <cell r="H208"/>
          <cell r="I208"/>
          <cell r="J208"/>
          <cell r="K208"/>
          <cell r="L208"/>
          <cell r="M208"/>
          <cell r="N208"/>
          <cell r="O208"/>
          <cell r="P208"/>
          <cell r="Q208"/>
          <cell r="R208"/>
          <cell r="S208"/>
          <cell r="T208"/>
          <cell r="U208"/>
        </row>
        <row r="209">
          <cell r="B209"/>
          <cell r="C209"/>
          <cell r="D209"/>
          <cell r="E209"/>
          <cell r="F209"/>
          <cell r="G209"/>
          <cell r="H209"/>
          <cell r="I209"/>
          <cell r="J209"/>
          <cell r="K209"/>
          <cell r="L209"/>
          <cell r="M209"/>
          <cell r="N209"/>
          <cell r="O209"/>
          <cell r="P209"/>
          <cell r="Q209"/>
          <cell r="R209"/>
          <cell r="S209"/>
          <cell r="T209"/>
          <cell r="U209"/>
        </row>
        <row r="210">
          <cell r="B210"/>
          <cell r="C210"/>
          <cell r="D210"/>
          <cell r="E210"/>
          <cell r="F210"/>
          <cell r="G210"/>
          <cell r="H210"/>
          <cell r="I210"/>
          <cell r="J210"/>
          <cell r="K210"/>
          <cell r="L210"/>
          <cell r="M210"/>
          <cell r="N210"/>
          <cell r="O210"/>
          <cell r="P210"/>
          <cell r="Q210"/>
          <cell r="R210"/>
          <cell r="S210"/>
          <cell r="T210"/>
          <cell r="U210"/>
        </row>
        <row r="211">
          <cell r="B211"/>
          <cell r="C211"/>
          <cell r="D211"/>
          <cell r="E211"/>
          <cell r="F211"/>
          <cell r="G211"/>
          <cell r="H211"/>
          <cell r="I211"/>
          <cell r="J211"/>
          <cell r="K211"/>
          <cell r="L211"/>
          <cell r="M211"/>
          <cell r="N211"/>
          <cell r="O211"/>
          <cell r="P211"/>
          <cell r="Q211"/>
          <cell r="R211"/>
          <cell r="S211"/>
          <cell r="T211"/>
          <cell r="U211"/>
        </row>
        <row r="212">
          <cell r="B212"/>
          <cell r="C212"/>
          <cell r="D212"/>
          <cell r="E212"/>
          <cell r="F212"/>
          <cell r="G212"/>
          <cell r="H212"/>
          <cell r="I212"/>
          <cell r="J212"/>
          <cell r="K212"/>
          <cell r="L212"/>
          <cell r="M212"/>
          <cell r="N212"/>
          <cell r="O212"/>
          <cell r="P212"/>
          <cell r="Q212"/>
          <cell r="R212"/>
          <cell r="S212"/>
          <cell r="T212"/>
          <cell r="U212"/>
        </row>
        <row r="213">
          <cell r="B213"/>
          <cell r="C213"/>
          <cell r="D213"/>
          <cell r="E213"/>
          <cell r="F213"/>
          <cell r="G213"/>
          <cell r="H213"/>
          <cell r="I213"/>
          <cell r="J213"/>
          <cell r="K213"/>
          <cell r="L213"/>
          <cell r="M213"/>
          <cell r="N213"/>
          <cell r="O213"/>
          <cell r="P213"/>
          <cell r="Q213"/>
          <cell r="R213"/>
          <cell r="S213"/>
          <cell r="T213"/>
          <cell r="U213"/>
        </row>
        <row r="214">
          <cell r="B214"/>
          <cell r="C214"/>
          <cell r="D214"/>
          <cell r="E214"/>
          <cell r="F214"/>
          <cell r="G214"/>
          <cell r="H214"/>
          <cell r="I214"/>
          <cell r="J214"/>
          <cell r="K214"/>
          <cell r="L214"/>
          <cell r="M214"/>
          <cell r="N214"/>
          <cell r="O214"/>
          <cell r="P214"/>
          <cell r="Q214"/>
          <cell r="R214"/>
          <cell r="S214"/>
          <cell r="T214"/>
          <cell r="U214"/>
        </row>
        <row r="215">
          <cell r="B215"/>
          <cell r="C215"/>
          <cell r="D215"/>
          <cell r="E215"/>
          <cell r="F215"/>
          <cell r="G215"/>
          <cell r="H215"/>
          <cell r="I215"/>
          <cell r="J215"/>
          <cell r="K215"/>
          <cell r="L215"/>
          <cell r="M215"/>
          <cell r="N215"/>
          <cell r="O215"/>
          <cell r="P215"/>
          <cell r="Q215"/>
          <cell r="R215"/>
          <cell r="S215"/>
          <cell r="T215"/>
          <cell r="U215"/>
        </row>
        <row r="216">
          <cell r="B216"/>
          <cell r="C216"/>
          <cell r="D216"/>
          <cell r="E216"/>
          <cell r="F216"/>
          <cell r="G216"/>
          <cell r="H216"/>
          <cell r="I216"/>
          <cell r="J216"/>
          <cell r="K216"/>
          <cell r="L216"/>
          <cell r="M216"/>
          <cell r="N216"/>
          <cell r="O216"/>
          <cell r="P216"/>
          <cell r="Q216"/>
          <cell r="R216"/>
          <cell r="S216"/>
          <cell r="T216"/>
          <cell r="U216"/>
        </row>
        <row r="217">
          <cell r="B217"/>
          <cell r="C217"/>
          <cell r="D217"/>
          <cell r="E217"/>
          <cell r="F217"/>
          <cell r="G217"/>
          <cell r="H217"/>
          <cell r="I217"/>
          <cell r="J217"/>
          <cell r="K217"/>
          <cell r="L217"/>
          <cell r="M217"/>
          <cell r="N217"/>
          <cell r="O217"/>
          <cell r="P217"/>
          <cell r="Q217"/>
          <cell r="R217"/>
          <cell r="S217"/>
          <cell r="T217"/>
          <cell r="U217"/>
        </row>
        <row r="218">
          <cell r="B218"/>
          <cell r="C218"/>
          <cell r="D218"/>
          <cell r="E218"/>
          <cell r="F218"/>
          <cell r="G218"/>
          <cell r="H218"/>
          <cell r="I218"/>
          <cell r="J218"/>
          <cell r="K218"/>
          <cell r="L218"/>
          <cell r="M218"/>
          <cell r="N218"/>
          <cell r="O218"/>
          <cell r="P218"/>
          <cell r="Q218"/>
          <cell r="R218"/>
          <cell r="S218"/>
          <cell r="T218"/>
          <cell r="U218"/>
        </row>
        <row r="219">
          <cell r="B219"/>
          <cell r="C219"/>
          <cell r="D219"/>
          <cell r="E219"/>
          <cell r="F219"/>
          <cell r="G219"/>
          <cell r="H219"/>
          <cell r="I219"/>
          <cell r="J219"/>
          <cell r="K219"/>
          <cell r="L219"/>
          <cell r="M219"/>
          <cell r="N219"/>
          <cell r="O219"/>
          <cell r="P219"/>
          <cell r="Q219"/>
          <cell r="R219"/>
          <cell r="S219"/>
          <cell r="T219"/>
          <cell r="U219"/>
        </row>
        <row r="220">
          <cell r="B220"/>
          <cell r="C220"/>
          <cell r="D220"/>
          <cell r="E220"/>
          <cell r="F220"/>
          <cell r="G220"/>
          <cell r="H220"/>
          <cell r="I220"/>
          <cell r="J220"/>
          <cell r="K220"/>
          <cell r="L220"/>
          <cell r="M220"/>
          <cell r="N220"/>
          <cell r="O220"/>
          <cell r="P220"/>
          <cell r="Q220"/>
          <cell r="R220"/>
          <cell r="S220"/>
          <cell r="T220"/>
          <cell r="U220"/>
        </row>
        <row r="221">
          <cell r="B221"/>
          <cell r="C221"/>
          <cell r="D221"/>
          <cell r="E221"/>
          <cell r="F221"/>
          <cell r="G221"/>
          <cell r="H221"/>
          <cell r="I221"/>
          <cell r="J221"/>
          <cell r="K221"/>
          <cell r="L221"/>
          <cell r="M221"/>
          <cell r="N221"/>
          <cell r="O221"/>
          <cell r="P221"/>
          <cell r="Q221"/>
          <cell r="R221"/>
          <cell r="S221"/>
          <cell r="T221"/>
          <cell r="U221"/>
        </row>
        <row r="222">
          <cell r="B222"/>
          <cell r="C222"/>
          <cell r="D222"/>
          <cell r="E222"/>
          <cell r="F222"/>
          <cell r="G222"/>
          <cell r="H222"/>
          <cell r="I222"/>
          <cell r="J222"/>
          <cell r="K222"/>
          <cell r="L222"/>
          <cell r="M222"/>
          <cell r="N222"/>
          <cell r="O222"/>
          <cell r="P222"/>
          <cell r="Q222"/>
          <cell r="R222"/>
          <cell r="S222"/>
          <cell r="T222"/>
          <cell r="U222"/>
        </row>
        <row r="223">
          <cell r="B223"/>
          <cell r="C223"/>
          <cell r="D223"/>
          <cell r="E223"/>
          <cell r="F223"/>
          <cell r="G223"/>
          <cell r="H223"/>
          <cell r="I223"/>
          <cell r="J223"/>
          <cell r="K223"/>
          <cell r="L223"/>
          <cell r="M223"/>
          <cell r="N223"/>
          <cell r="O223"/>
          <cell r="P223"/>
          <cell r="Q223"/>
          <cell r="R223"/>
          <cell r="S223"/>
          <cell r="T223"/>
          <cell r="U223"/>
        </row>
        <row r="224">
          <cell r="B224"/>
          <cell r="C224"/>
          <cell r="D224"/>
          <cell r="E224"/>
          <cell r="F224"/>
          <cell r="G224"/>
          <cell r="H224"/>
          <cell r="I224"/>
          <cell r="J224"/>
          <cell r="K224"/>
          <cell r="L224"/>
          <cell r="M224"/>
          <cell r="N224"/>
          <cell r="O224"/>
          <cell r="P224"/>
          <cell r="Q224"/>
          <cell r="R224"/>
          <cell r="S224"/>
          <cell r="T224"/>
          <cell r="U224"/>
        </row>
        <row r="225">
          <cell r="B225"/>
          <cell r="C225"/>
          <cell r="D225"/>
          <cell r="E225"/>
          <cell r="F225"/>
          <cell r="G225"/>
          <cell r="H225"/>
          <cell r="I225"/>
          <cell r="J225"/>
          <cell r="K225"/>
          <cell r="L225"/>
          <cell r="M225"/>
          <cell r="N225"/>
          <cell r="O225"/>
          <cell r="P225"/>
          <cell r="Q225"/>
          <cell r="R225"/>
          <cell r="S225"/>
          <cell r="T225"/>
          <cell r="U225"/>
        </row>
        <row r="226">
          <cell r="B226"/>
          <cell r="C226"/>
          <cell r="D226"/>
          <cell r="E226"/>
          <cell r="F226"/>
          <cell r="G226"/>
          <cell r="H226"/>
          <cell r="I226"/>
          <cell r="J226"/>
          <cell r="K226"/>
          <cell r="L226"/>
          <cell r="M226"/>
          <cell r="N226"/>
          <cell r="O226"/>
          <cell r="P226"/>
          <cell r="Q226"/>
          <cell r="R226"/>
          <cell r="S226"/>
          <cell r="T226"/>
          <cell r="U226"/>
        </row>
        <row r="227">
          <cell r="B227"/>
          <cell r="C227"/>
          <cell r="D227"/>
          <cell r="E227"/>
          <cell r="F227"/>
          <cell r="G227"/>
          <cell r="H227"/>
          <cell r="I227"/>
          <cell r="J227"/>
          <cell r="K227"/>
          <cell r="L227"/>
          <cell r="M227"/>
          <cell r="N227"/>
          <cell r="O227"/>
          <cell r="P227"/>
          <cell r="Q227"/>
          <cell r="R227"/>
          <cell r="S227"/>
          <cell r="T227"/>
          <cell r="U227"/>
        </row>
        <row r="228">
          <cell r="B228"/>
          <cell r="C228"/>
          <cell r="D228"/>
          <cell r="E228"/>
          <cell r="F228"/>
          <cell r="G228"/>
          <cell r="H228"/>
          <cell r="I228"/>
          <cell r="J228"/>
          <cell r="K228"/>
          <cell r="L228"/>
          <cell r="M228"/>
          <cell r="N228"/>
          <cell r="O228"/>
          <cell r="P228"/>
          <cell r="Q228"/>
          <cell r="R228"/>
          <cell r="S228"/>
          <cell r="T228"/>
          <cell r="U228"/>
        </row>
        <row r="229">
          <cell r="B229"/>
          <cell r="C229"/>
          <cell r="D229"/>
          <cell r="E229"/>
          <cell r="F229"/>
          <cell r="G229"/>
          <cell r="H229"/>
          <cell r="I229"/>
          <cell r="J229"/>
          <cell r="K229"/>
          <cell r="L229"/>
          <cell r="M229"/>
          <cell r="N229"/>
          <cell r="O229"/>
          <cell r="P229"/>
          <cell r="Q229"/>
          <cell r="R229"/>
          <cell r="S229"/>
          <cell r="T229"/>
          <cell r="U229"/>
        </row>
        <row r="230">
          <cell r="B230"/>
          <cell r="C230"/>
          <cell r="D230"/>
          <cell r="E230"/>
          <cell r="F230"/>
          <cell r="G230"/>
          <cell r="H230"/>
          <cell r="I230"/>
          <cell r="J230"/>
          <cell r="K230"/>
          <cell r="L230"/>
          <cell r="M230"/>
          <cell r="N230"/>
          <cell r="O230"/>
          <cell r="P230"/>
          <cell r="Q230"/>
          <cell r="R230"/>
          <cell r="S230"/>
          <cell r="T230"/>
          <cell r="U230"/>
        </row>
        <row r="231">
          <cell r="B231"/>
          <cell r="C231"/>
          <cell r="D231"/>
          <cell r="E231"/>
          <cell r="F231"/>
          <cell r="G231"/>
          <cell r="H231"/>
          <cell r="I231"/>
          <cell r="J231"/>
          <cell r="K231"/>
          <cell r="L231"/>
          <cell r="M231"/>
          <cell r="N231"/>
          <cell r="O231"/>
          <cell r="P231"/>
          <cell r="Q231"/>
          <cell r="R231"/>
          <cell r="S231"/>
          <cell r="T231"/>
          <cell r="U231"/>
        </row>
        <row r="232">
          <cell r="B232"/>
          <cell r="C232"/>
          <cell r="D232"/>
          <cell r="E232"/>
          <cell r="F232"/>
          <cell r="G232"/>
          <cell r="H232"/>
          <cell r="I232"/>
          <cell r="J232"/>
          <cell r="K232"/>
          <cell r="L232"/>
          <cell r="M232"/>
          <cell r="N232"/>
          <cell r="O232"/>
          <cell r="P232"/>
          <cell r="Q232"/>
          <cell r="R232"/>
          <cell r="S232"/>
          <cell r="T232"/>
          <cell r="U232"/>
        </row>
        <row r="233">
          <cell r="B233"/>
          <cell r="C233"/>
          <cell r="D233"/>
          <cell r="E233"/>
          <cell r="F233"/>
          <cell r="G233"/>
          <cell r="H233"/>
          <cell r="I233"/>
          <cell r="J233"/>
          <cell r="K233"/>
          <cell r="L233"/>
          <cell r="M233"/>
          <cell r="N233"/>
          <cell r="O233"/>
          <cell r="P233"/>
          <cell r="Q233"/>
          <cell r="R233"/>
          <cell r="S233"/>
          <cell r="T233"/>
          <cell r="U233"/>
        </row>
        <row r="234">
          <cell r="B234"/>
          <cell r="C234"/>
          <cell r="D234"/>
          <cell r="E234"/>
          <cell r="F234"/>
          <cell r="G234"/>
          <cell r="H234"/>
          <cell r="I234"/>
          <cell r="J234"/>
          <cell r="K234"/>
          <cell r="L234"/>
          <cell r="M234"/>
          <cell r="N234"/>
          <cell r="O234"/>
          <cell r="P234"/>
          <cell r="Q234"/>
          <cell r="R234"/>
          <cell r="S234"/>
          <cell r="T234"/>
          <cell r="U234"/>
        </row>
        <row r="235">
          <cell r="B235"/>
          <cell r="C235"/>
          <cell r="D235"/>
          <cell r="E235"/>
          <cell r="F235"/>
          <cell r="G235"/>
          <cell r="H235"/>
          <cell r="I235"/>
          <cell r="J235"/>
          <cell r="K235"/>
          <cell r="L235"/>
          <cell r="M235"/>
          <cell r="N235"/>
          <cell r="O235"/>
          <cell r="P235"/>
          <cell r="Q235"/>
          <cell r="R235"/>
          <cell r="S235"/>
          <cell r="T235"/>
          <cell r="U235"/>
        </row>
        <row r="236">
          <cell r="B236"/>
          <cell r="C236"/>
          <cell r="D236"/>
          <cell r="E236"/>
          <cell r="F236"/>
          <cell r="G236"/>
          <cell r="H236"/>
          <cell r="I236"/>
          <cell r="J236"/>
          <cell r="K236"/>
          <cell r="L236"/>
          <cell r="M236"/>
          <cell r="N236"/>
          <cell r="O236"/>
          <cell r="P236"/>
          <cell r="Q236"/>
          <cell r="R236"/>
          <cell r="S236"/>
          <cell r="T236"/>
          <cell r="U236"/>
        </row>
        <row r="237">
          <cell r="B237"/>
          <cell r="C237"/>
          <cell r="D237"/>
          <cell r="E237"/>
          <cell r="F237"/>
          <cell r="G237"/>
          <cell r="H237"/>
          <cell r="I237"/>
          <cell r="J237"/>
          <cell r="K237"/>
          <cell r="L237"/>
          <cell r="M237"/>
          <cell r="N237"/>
          <cell r="O237"/>
          <cell r="P237"/>
          <cell r="Q237"/>
          <cell r="R237"/>
          <cell r="S237"/>
          <cell r="T237"/>
          <cell r="U237"/>
        </row>
        <row r="238">
          <cell r="B238"/>
          <cell r="C238"/>
          <cell r="D238"/>
          <cell r="E238"/>
          <cell r="F238"/>
          <cell r="G238"/>
          <cell r="H238"/>
          <cell r="I238"/>
          <cell r="J238"/>
          <cell r="K238"/>
          <cell r="L238"/>
          <cell r="M238"/>
          <cell r="N238"/>
          <cell r="O238"/>
          <cell r="P238"/>
          <cell r="Q238"/>
          <cell r="R238"/>
          <cell r="S238"/>
          <cell r="T238"/>
          <cell r="U238"/>
        </row>
        <row r="239">
          <cell r="B239"/>
          <cell r="C239"/>
          <cell r="D239"/>
          <cell r="E239"/>
          <cell r="F239"/>
          <cell r="G239"/>
          <cell r="H239"/>
          <cell r="I239"/>
          <cell r="J239"/>
          <cell r="K239"/>
          <cell r="L239"/>
          <cell r="M239"/>
          <cell r="N239"/>
          <cell r="O239"/>
          <cell r="P239"/>
          <cell r="Q239"/>
          <cell r="R239"/>
          <cell r="S239"/>
          <cell r="T239"/>
          <cell r="U239"/>
        </row>
        <row r="240">
          <cell r="B240"/>
          <cell r="C240"/>
          <cell r="D240"/>
          <cell r="E240"/>
          <cell r="F240"/>
          <cell r="G240"/>
          <cell r="H240"/>
          <cell r="I240"/>
          <cell r="J240"/>
          <cell r="K240"/>
          <cell r="L240"/>
          <cell r="M240"/>
          <cell r="N240"/>
          <cell r="O240"/>
          <cell r="P240"/>
          <cell r="Q240"/>
          <cell r="R240"/>
          <cell r="S240"/>
          <cell r="T240"/>
          <cell r="U240"/>
        </row>
        <row r="241">
          <cell r="B241"/>
          <cell r="C241"/>
          <cell r="D241"/>
          <cell r="E241"/>
          <cell r="F241"/>
          <cell r="G241"/>
          <cell r="H241"/>
          <cell r="I241"/>
          <cell r="J241"/>
          <cell r="K241"/>
          <cell r="L241"/>
          <cell r="M241"/>
          <cell r="N241"/>
          <cell r="O241"/>
          <cell r="P241"/>
          <cell r="Q241"/>
          <cell r="R241"/>
          <cell r="S241"/>
          <cell r="T241"/>
          <cell r="U241"/>
        </row>
        <row r="242">
          <cell r="B242"/>
          <cell r="C242"/>
          <cell r="D242"/>
          <cell r="E242"/>
          <cell r="F242"/>
          <cell r="G242"/>
          <cell r="H242"/>
          <cell r="I242"/>
          <cell r="J242"/>
          <cell r="K242"/>
          <cell r="L242"/>
          <cell r="M242"/>
          <cell r="N242"/>
          <cell r="O242"/>
          <cell r="P242"/>
          <cell r="Q242"/>
          <cell r="R242"/>
          <cell r="S242"/>
          <cell r="T242"/>
          <cell r="U242"/>
        </row>
        <row r="243">
          <cell r="B243"/>
          <cell r="C243"/>
          <cell r="D243"/>
          <cell r="E243"/>
          <cell r="F243"/>
          <cell r="G243"/>
          <cell r="H243"/>
          <cell r="I243"/>
          <cell r="J243"/>
          <cell r="K243"/>
          <cell r="L243"/>
          <cell r="M243"/>
          <cell r="N243"/>
          <cell r="O243"/>
          <cell r="P243"/>
          <cell r="Q243"/>
          <cell r="R243"/>
          <cell r="S243"/>
          <cell r="T243"/>
          <cell r="U243"/>
        </row>
        <row r="244">
          <cell r="B244"/>
          <cell r="C244"/>
          <cell r="D244"/>
          <cell r="E244"/>
          <cell r="F244"/>
          <cell r="G244"/>
          <cell r="H244"/>
          <cell r="I244"/>
          <cell r="J244"/>
          <cell r="K244"/>
          <cell r="L244"/>
          <cell r="M244"/>
          <cell r="N244"/>
          <cell r="O244"/>
          <cell r="P244"/>
          <cell r="Q244"/>
          <cell r="R244"/>
          <cell r="S244"/>
          <cell r="T244"/>
          <cell r="U244"/>
        </row>
        <row r="245">
          <cell r="B245"/>
          <cell r="C245"/>
          <cell r="D245"/>
          <cell r="E245"/>
          <cell r="F245"/>
          <cell r="G245"/>
          <cell r="H245"/>
          <cell r="I245"/>
          <cell r="J245"/>
          <cell r="K245"/>
          <cell r="L245"/>
          <cell r="M245"/>
          <cell r="N245"/>
          <cell r="O245"/>
          <cell r="P245"/>
          <cell r="Q245"/>
          <cell r="R245"/>
          <cell r="S245"/>
          <cell r="T245"/>
          <cell r="U245"/>
        </row>
        <row r="246">
          <cell r="B246"/>
          <cell r="C246"/>
          <cell r="D246"/>
          <cell r="E246"/>
          <cell r="F246"/>
          <cell r="G246"/>
          <cell r="H246"/>
          <cell r="I246"/>
          <cell r="J246"/>
          <cell r="K246"/>
          <cell r="L246"/>
          <cell r="M246"/>
          <cell r="N246"/>
          <cell r="O246"/>
          <cell r="P246"/>
          <cell r="Q246"/>
          <cell r="R246"/>
          <cell r="S246"/>
          <cell r="T246"/>
          <cell r="U246"/>
        </row>
        <row r="247">
          <cell r="B247"/>
          <cell r="C247"/>
          <cell r="D247"/>
          <cell r="E247"/>
          <cell r="F247"/>
          <cell r="G247"/>
          <cell r="H247"/>
          <cell r="I247"/>
          <cell r="J247"/>
          <cell r="K247"/>
          <cell r="L247"/>
          <cell r="M247"/>
          <cell r="N247"/>
          <cell r="O247"/>
          <cell r="P247"/>
          <cell r="Q247"/>
          <cell r="R247"/>
          <cell r="S247"/>
          <cell r="T247"/>
          <cell r="U247"/>
        </row>
        <row r="248">
          <cell r="B248"/>
          <cell r="C248"/>
          <cell r="D248"/>
          <cell r="E248"/>
          <cell r="F248"/>
          <cell r="G248"/>
          <cell r="H248"/>
          <cell r="I248"/>
          <cell r="J248"/>
          <cell r="K248"/>
          <cell r="L248"/>
          <cell r="M248"/>
          <cell r="N248"/>
          <cell r="O248"/>
          <cell r="P248"/>
          <cell r="Q248"/>
          <cell r="R248"/>
          <cell r="S248"/>
          <cell r="T248"/>
          <cell r="U248"/>
        </row>
        <row r="249">
          <cell r="B249"/>
          <cell r="C249"/>
          <cell r="D249"/>
          <cell r="E249"/>
          <cell r="F249"/>
          <cell r="G249"/>
          <cell r="H249"/>
          <cell r="I249"/>
          <cell r="J249"/>
          <cell r="K249"/>
          <cell r="L249"/>
          <cell r="M249"/>
          <cell r="N249"/>
          <cell r="O249"/>
          <cell r="P249"/>
          <cell r="Q249"/>
          <cell r="R249"/>
          <cell r="S249"/>
          <cell r="T249"/>
          <cell r="U249"/>
        </row>
        <row r="250">
          <cell r="B250"/>
          <cell r="C250"/>
          <cell r="D250"/>
          <cell r="E250"/>
          <cell r="F250"/>
          <cell r="G250"/>
          <cell r="H250"/>
          <cell r="I250"/>
          <cell r="J250"/>
          <cell r="K250"/>
          <cell r="L250"/>
          <cell r="M250"/>
          <cell r="N250"/>
          <cell r="O250"/>
          <cell r="P250"/>
          <cell r="Q250"/>
          <cell r="R250"/>
          <cell r="S250"/>
          <cell r="T250"/>
          <cell r="U250"/>
        </row>
        <row r="251">
          <cell r="B251"/>
          <cell r="C251"/>
          <cell r="D251"/>
          <cell r="E251"/>
          <cell r="F251"/>
          <cell r="G251"/>
          <cell r="H251"/>
          <cell r="I251"/>
          <cell r="J251"/>
          <cell r="K251"/>
          <cell r="L251"/>
          <cell r="M251"/>
          <cell r="N251"/>
          <cell r="O251"/>
          <cell r="P251"/>
          <cell r="Q251"/>
          <cell r="R251"/>
          <cell r="S251"/>
          <cell r="T251"/>
          <cell r="U251"/>
        </row>
        <row r="252">
          <cell r="B252"/>
          <cell r="C252"/>
          <cell r="D252"/>
          <cell r="E252"/>
          <cell r="F252"/>
          <cell r="G252"/>
          <cell r="H252"/>
          <cell r="I252"/>
          <cell r="J252"/>
          <cell r="K252"/>
          <cell r="L252"/>
          <cell r="M252"/>
          <cell r="N252"/>
          <cell r="O252"/>
          <cell r="P252"/>
          <cell r="Q252"/>
          <cell r="R252"/>
          <cell r="S252"/>
          <cell r="T252"/>
          <cell r="U252"/>
        </row>
        <row r="253">
          <cell r="B253"/>
          <cell r="C253"/>
          <cell r="D253"/>
          <cell r="E253"/>
          <cell r="F253"/>
          <cell r="G253"/>
          <cell r="H253"/>
          <cell r="I253"/>
          <cell r="J253"/>
          <cell r="K253"/>
          <cell r="L253"/>
          <cell r="M253"/>
          <cell r="N253"/>
          <cell r="O253"/>
          <cell r="P253"/>
          <cell r="Q253"/>
          <cell r="R253"/>
          <cell r="S253"/>
          <cell r="T253"/>
          <cell r="U253"/>
        </row>
        <row r="254">
          <cell r="B254"/>
          <cell r="C254"/>
          <cell r="D254"/>
          <cell r="E254"/>
          <cell r="F254"/>
          <cell r="G254"/>
          <cell r="H254"/>
          <cell r="I254"/>
          <cell r="J254"/>
          <cell r="K254"/>
          <cell r="L254"/>
          <cell r="M254"/>
          <cell r="N254"/>
          <cell r="O254"/>
          <cell r="P254"/>
          <cell r="Q254"/>
          <cell r="R254"/>
          <cell r="S254"/>
          <cell r="T254"/>
          <cell r="U254"/>
        </row>
        <row r="255">
          <cell r="B255"/>
          <cell r="C255"/>
          <cell r="D255"/>
          <cell r="E255"/>
          <cell r="F255"/>
          <cell r="G255"/>
          <cell r="H255"/>
          <cell r="I255"/>
          <cell r="J255"/>
          <cell r="K255"/>
          <cell r="L255"/>
          <cell r="M255"/>
          <cell r="N255"/>
          <cell r="O255"/>
          <cell r="P255"/>
          <cell r="Q255"/>
          <cell r="R255"/>
          <cell r="S255"/>
          <cell r="T255"/>
          <cell r="U255"/>
        </row>
        <row r="256">
          <cell r="B256"/>
          <cell r="C256"/>
          <cell r="D256"/>
          <cell r="E256"/>
          <cell r="F256"/>
          <cell r="G256"/>
          <cell r="H256"/>
          <cell r="I256"/>
          <cell r="J256"/>
          <cell r="K256"/>
          <cell r="L256"/>
          <cell r="M256"/>
          <cell r="N256"/>
          <cell r="O256"/>
          <cell r="P256"/>
          <cell r="Q256"/>
          <cell r="R256"/>
          <cell r="S256"/>
          <cell r="T256"/>
          <cell r="U256"/>
        </row>
        <row r="257">
          <cell r="B257"/>
          <cell r="C257"/>
          <cell r="D257"/>
          <cell r="E257"/>
          <cell r="F257"/>
          <cell r="G257"/>
          <cell r="H257"/>
          <cell r="I257"/>
          <cell r="J257"/>
          <cell r="K257"/>
          <cell r="L257"/>
          <cell r="M257"/>
          <cell r="N257"/>
          <cell r="O257"/>
          <cell r="P257"/>
          <cell r="Q257"/>
          <cell r="R257"/>
          <cell r="S257"/>
          <cell r="T257"/>
          <cell r="U257"/>
        </row>
        <row r="258">
          <cell r="B258"/>
          <cell r="C258"/>
          <cell r="D258"/>
          <cell r="E258"/>
          <cell r="F258"/>
          <cell r="G258"/>
          <cell r="H258"/>
          <cell r="I258"/>
          <cell r="J258"/>
          <cell r="K258"/>
          <cell r="L258"/>
          <cell r="M258"/>
          <cell r="N258"/>
          <cell r="O258"/>
          <cell r="P258"/>
          <cell r="Q258"/>
          <cell r="R258"/>
          <cell r="S258"/>
          <cell r="T258"/>
          <cell r="U258"/>
        </row>
        <row r="259">
          <cell r="B259"/>
          <cell r="C259"/>
          <cell r="D259"/>
          <cell r="E259"/>
          <cell r="F259"/>
          <cell r="G259"/>
          <cell r="H259"/>
          <cell r="I259"/>
          <cell r="J259"/>
          <cell r="K259"/>
          <cell r="L259"/>
          <cell r="M259"/>
          <cell r="N259"/>
          <cell r="O259"/>
          <cell r="P259"/>
          <cell r="Q259"/>
          <cell r="R259"/>
          <cell r="S259"/>
          <cell r="T259"/>
          <cell r="U259"/>
        </row>
        <row r="260">
          <cell r="B260"/>
          <cell r="C260"/>
          <cell r="D260"/>
          <cell r="E260"/>
          <cell r="F260"/>
          <cell r="G260"/>
          <cell r="H260"/>
          <cell r="I260"/>
          <cell r="J260"/>
          <cell r="K260"/>
          <cell r="L260"/>
          <cell r="M260"/>
          <cell r="N260"/>
          <cell r="O260"/>
          <cell r="P260"/>
          <cell r="Q260"/>
          <cell r="R260"/>
          <cell r="S260"/>
          <cell r="T260"/>
          <cell r="U260"/>
        </row>
        <row r="261">
          <cell r="B261"/>
          <cell r="C261"/>
          <cell r="D261"/>
          <cell r="E261"/>
          <cell r="F261"/>
          <cell r="G261"/>
          <cell r="H261"/>
          <cell r="I261"/>
          <cell r="J261"/>
          <cell r="K261"/>
          <cell r="L261"/>
          <cell r="M261"/>
          <cell r="N261"/>
          <cell r="O261"/>
          <cell r="P261"/>
          <cell r="Q261"/>
          <cell r="R261"/>
          <cell r="S261"/>
          <cell r="T261"/>
          <cell r="U261"/>
        </row>
        <row r="262">
          <cell r="B262"/>
          <cell r="C262"/>
          <cell r="D262"/>
          <cell r="E262"/>
          <cell r="F262"/>
          <cell r="G262"/>
          <cell r="H262"/>
          <cell r="I262"/>
          <cell r="J262"/>
          <cell r="K262"/>
          <cell r="L262"/>
          <cell r="M262"/>
          <cell r="N262"/>
          <cell r="O262"/>
          <cell r="P262"/>
          <cell r="Q262"/>
          <cell r="R262"/>
          <cell r="S262"/>
          <cell r="T262"/>
          <cell r="U262"/>
        </row>
        <row r="263">
          <cell r="B263"/>
          <cell r="C263"/>
          <cell r="D263"/>
          <cell r="E263"/>
          <cell r="F263"/>
          <cell r="G263"/>
          <cell r="H263"/>
          <cell r="I263"/>
          <cell r="J263"/>
          <cell r="K263"/>
          <cell r="L263"/>
          <cell r="M263"/>
          <cell r="N263"/>
          <cell r="O263"/>
          <cell r="P263"/>
          <cell r="Q263"/>
          <cell r="R263"/>
          <cell r="S263"/>
          <cell r="T263"/>
          <cell r="U263"/>
        </row>
        <row r="264">
          <cell r="B264"/>
          <cell r="C264"/>
          <cell r="D264"/>
          <cell r="E264"/>
          <cell r="F264"/>
          <cell r="G264"/>
          <cell r="H264"/>
          <cell r="I264"/>
          <cell r="J264"/>
          <cell r="K264"/>
          <cell r="L264"/>
          <cell r="M264"/>
          <cell r="N264"/>
          <cell r="O264"/>
          <cell r="P264"/>
          <cell r="Q264"/>
          <cell r="R264"/>
          <cell r="S264"/>
          <cell r="T264"/>
          <cell r="U264"/>
        </row>
        <row r="265">
          <cell r="B265"/>
          <cell r="C265"/>
          <cell r="D265"/>
          <cell r="E265"/>
          <cell r="F265"/>
          <cell r="G265"/>
          <cell r="H265"/>
          <cell r="I265"/>
          <cell r="J265"/>
          <cell r="K265"/>
          <cell r="L265"/>
          <cell r="M265"/>
          <cell r="N265"/>
          <cell r="O265"/>
          <cell r="P265"/>
          <cell r="Q265"/>
          <cell r="R265"/>
          <cell r="S265"/>
          <cell r="T265"/>
          <cell r="U265"/>
        </row>
        <row r="266">
          <cell r="B266"/>
          <cell r="C266"/>
          <cell r="D266"/>
          <cell r="E266"/>
          <cell r="F266"/>
          <cell r="G266"/>
          <cell r="H266"/>
          <cell r="I266"/>
          <cell r="J266"/>
          <cell r="K266"/>
          <cell r="L266"/>
          <cell r="M266"/>
          <cell r="N266"/>
          <cell r="O266"/>
          <cell r="P266"/>
          <cell r="Q266"/>
          <cell r="R266"/>
          <cell r="S266"/>
          <cell r="T266"/>
          <cell r="U266"/>
        </row>
        <row r="267">
          <cell r="B267"/>
          <cell r="C267"/>
          <cell r="D267"/>
          <cell r="E267"/>
          <cell r="F267"/>
          <cell r="G267"/>
          <cell r="H267"/>
          <cell r="I267"/>
          <cell r="J267"/>
          <cell r="K267"/>
          <cell r="L267"/>
          <cell r="M267"/>
          <cell r="N267"/>
          <cell r="O267"/>
          <cell r="P267"/>
          <cell r="Q267"/>
          <cell r="R267"/>
          <cell r="S267"/>
          <cell r="T267"/>
          <cell r="U267"/>
        </row>
        <row r="268">
          <cell r="B268"/>
          <cell r="C268"/>
          <cell r="D268"/>
          <cell r="E268"/>
          <cell r="F268"/>
          <cell r="G268"/>
          <cell r="H268"/>
          <cell r="I268"/>
          <cell r="J268"/>
          <cell r="K268"/>
          <cell r="L268"/>
          <cell r="M268"/>
          <cell r="N268"/>
          <cell r="O268"/>
          <cell r="P268"/>
          <cell r="Q268"/>
          <cell r="R268"/>
          <cell r="S268"/>
          <cell r="T268"/>
          <cell r="U268"/>
        </row>
        <row r="269">
          <cell r="B269"/>
          <cell r="C269"/>
          <cell r="D269"/>
          <cell r="E269"/>
          <cell r="F269"/>
          <cell r="G269"/>
          <cell r="H269"/>
          <cell r="I269"/>
          <cell r="J269"/>
          <cell r="K269"/>
          <cell r="L269"/>
          <cell r="M269"/>
          <cell r="N269"/>
          <cell r="O269"/>
          <cell r="P269"/>
          <cell r="Q269"/>
          <cell r="R269"/>
          <cell r="S269"/>
          <cell r="T269"/>
          <cell r="U269"/>
        </row>
        <row r="270">
          <cell r="B270"/>
          <cell r="C270"/>
          <cell r="D270"/>
          <cell r="E270"/>
          <cell r="F270"/>
          <cell r="G270"/>
          <cell r="H270"/>
          <cell r="I270"/>
          <cell r="J270"/>
          <cell r="K270"/>
          <cell r="L270"/>
          <cell r="M270"/>
          <cell r="N270"/>
          <cell r="O270"/>
          <cell r="P270"/>
          <cell r="Q270"/>
          <cell r="R270"/>
          <cell r="S270"/>
          <cell r="T270"/>
          <cell r="U270"/>
        </row>
        <row r="271">
          <cell r="B271"/>
          <cell r="C271"/>
          <cell r="D271"/>
          <cell r="E271"/>
          <cell r="F271"/>
          <cell r="G271"/>
          <cell r="H271"/>
          <cell r="I271"/>
          <cell r="J271"/>
          <cell r="K271"/>
          <cell r="L271"/>
          <cell r="M271"/>
          <cell r="N271"/>
          <cell r="O271"/>
          <cell r="P271"/>
          <cell r="Q271"/>
          <cell r="R271"/>
          <cell r="S271"/>
          <cell r="T271"/>
          <cell r="U271"/>
        </row>
        <row r="272">
          <cell r="B272"/>
          <cell r="C272"/>
          <cell r="D272"/>
          <cell r="E272"/>
          <cell r="F272"/>
          <cell r="G272"/>
          <cell r="H272"/>
          <cell r="I272"/>
          <cell r="J272"/>
          <cell r="K272"/>
          <cell r="L272"/>
          <cell r="M272"/>
          <cell r="N272"/>
          <cell r="O272"/>
          <cell r="P272"/>
          <cell r="Q272"/>
          <cell r="R272"/>
          <cell r="S272"/>
          <cell r="T272"/>
          <cell r="U272"/>
        </row>
        <row r="273">
          <cell r="B273"/>
          <cell r="C273"/>
          <cell r="D273"/>
          <cell r="E273"/>
          <cell r="F273"/>
          <cell r="G273"/>
          <cell r="H273"/>
          <cell r="I273"/>
          <cell r="J273"/>
          <cell r="K273"/>
          <cell r="L273"/>
          <cell r="M273"/>
          <cell r="N273"/>
          <cell r="O273"/>
          <cell r="P273"/>
          <cell r="Q273"/>
          <cell r="R273"/>
          <cell r="S273"/>
          <cell r="T273"/>
          <cell r="U273"/>
        </row>
        <row r="274">
          <cell r="B274"/>
          <cell r="C274"/>
          <cell r="D274"/>
          <cell r="E274"/>
          <cell r="F274"/>
          <cell r="G274"/>
          <cell r="H274"/>
          <cell r="I274"/>
          <cell r="J274"/>
          <cell r="K274"/>
          <cell r="L274"/>
          <cell r="M274"/>
          <cell r="N274"/>
          <cell r="O274"/>
          <cell r="P274"/>
          <cell r="Q274"/>
          <cell r="R274"/>
          <cell r="S274"/>
          <cell r="T274"/>
          <cell r="U274"/>
        </row>
        <row r="275">
          <cell r="B275"/>
          <cell r="C275"/>
          <cell r="D275"/>
          <cell r="E275"/>
          <cell r="F275"/>
          <cell r="G275"/>
          <cell r="H275"/>
          <cell r="I275"/>
          <cell r="J275"/>
          <cell r="K275"/>
          <cell r="L275"/>
          <cell r="M275"/>
          <cell r="N275"/>
          <cell r="O275"/>
          <cell r="P275"/>
          <cell r="Q275"/>
          <cell r="R275"/>
          <cell r="S275"/>
          <cell r="T275"/>
          <cell r="U275"/>
        </row>
        <row r="276">
          <cell r="B276"/>
          <cell r="C276"/>
          <cell r="D276"/>
          <cell r="E276"/>
          <cell r="F276"/>
          <cell r="G276"/>
          <cell r="H276"/>
          <cell r="I276"/>
          <cell r="J276"/>
          <cell r="K276"/>
          <cell r="L276"/>
          <cell r="M276"/>
          <cell r="N276"/>
          <cell r="O276"/>
          <cell r="P276"/>
          <cell r="Q276"/>
          <cell r="R276"/>
          <cell r="S276"/>
          <cell r="T276"/>
          <cell r="U276"/>
        </row>
        <row r="277">
          <cell r="B277"/>
          <cell r="C277"/>
          <cell r="D277"/>
          <cell r="E277"/>
          <cell r="F277"/>
          <cell r="G277"/>
          <cell r="H277"/>
          <cell r="I277"/>
          <cell r="J277"/>
          <cell r="K277"/>
          <cell r="L277"/>
          <cell r="M277"/>
          <cell r="N277"/>
          <cell r="O277"/>
          <cell r="P277"/>
          <cell r="Q277"/>
          <cell r="R277"/>
          <cell r="S277"/>
          <cell r="T277"/>
          <cell r="U277"/>
        </row>
        <row r="278">
          <cell r="B278"/>
          <cell r="C278"/>
          <cell r="D278"/>
          <cell r="E278"/>
          <cell r="F278"/>
          <cell r="G278"/>
          <cell r="H278"/>
          <cell r="I278"/>
          <cell r="J278"/>
          <cell r="K278"/>
          <cell r="L278"/>
          <cell r="M278"/>
          <cell r="N278"/>
          <cell r="O278"/>
          <cell r="P278"/>
          <cell r="Q278"/>
          <cell r="R278"/>
          <cell r="S278"/>
          <cell r="T278"/>
          <cell r="U278"/>
        </row>
        <row r="279">
          <cell r="B279"/>
          <cell r="C279"/>
          <cell r="D279"/>
          <cell r="E279"/>
          <cell r="F279"/>
          <cell r="G279"/>
          <cell r="H279"/>
          <cell r="I279"/>
          <cell r="J279"/>
          <cell r="K279"/>
          <cell r="L279"/>
          <cell r="M279"/>
          <cell r="N279"/>
          <cell r="O279"/>
          <cell r="P279"/>
          <cell r="Q279"/>
          <cell r="R279"/>
          <cell r="S279"/>
          <cell r="T279"/>
          <cell r="U279"/>
        </row>
        <row r="280">
          <cell r="B280"/>
          <cell r="C280"/>
          <cell r="D280"/>
          <cell r="E280"/>
          <cell r="F280"/>
          <cell r="G280"/>
          <cell r="H280"/>
          <cell r="I280"/>
          <cell r="J280"/>
          <cell r="K280"/>
          <cell r="L280"/>
          <cell r="M280"/>
          <cell r="N280"/>
          <cell r="O280"/>
          <cell r="P280"/>
          <cell r="Q280"/>
          <cell r="R280"/>
          <cell r="S280"/>
          <cell r="T280"/>
          <cell r="U280"/>
        </row>
        <row r="281">
          <cell r="B281"/>
          <cell r="C281"/>
          <cell r="D281"/>
          <cell r="E281"/>
          <cell r="F281"/>
          <cell r="G281"/>
          <cell r="H281"/>
          <cell r="I281"/>
          <cell r="J281"/>
          <cell r="K281"/>
          <cell r="L281"/>
          <cell r="M281"/>
          <cell r="N281"/>
          <cell r="O281"/>
          <cell r="P281"/>
          <cell r="Q281"/>
          <cell r="R281"/>
          <cell r="S281"/>
          <cell r="T281"/>
          <cell r="U281"/>
        </row>
        <row r="282">
          <cell r="B282"/>
          <cell r="C282"/>
          <cell r="D282"/>
          <cell r="E282"/>
          <cell r="F282"/>
          <cell r="G282"/>
          <cell r="H282"/>
          <cell r="I282"/>
          <cell r="J282"/>
          <cell r="K282"/>
          <cell r="L282"/>
          <cell r="M282"/>
          <cell r="N282"/>
          <cell r="O282"/>
          <cell r="P282"/>
          <cell r="Q282"/>
          <cell r="R282"/>
          <cell r="S282"/>
          <cell r="T282"/>
          <cell r="U282"/>
        </row>
        <row r="283">
          <cell r="B283"/>
          <cell r="C283"/>
          <cell r="D283"/>
          <cell r="E283"/>
          <cell r="F283"/>
          <cell r="G283"/>
          <cell r="H283"/>
          <cell r="I283"/>
          <cell r="J283"/>
          <cell r="K283"/>
          <cell r="L283"/>
          <cell r="M283"/>
          <cell r="N283"/>
          <cell r="O283"/>
          <cell r="P283"/>
          <cell r="Q283"/>
          <cell r="R283"/>
          <cell r="S283"/>
          <cell r="T283"/>
          <cell r="U283"/>
        </row>
        <row r="284">
          <cell r="B284"/>
          <cell r="C284"/>
          <cell r="D284"/>
          <cell r="E284"/>
          <cell r="F284"/>
          <cell r="G284"/>
          <cell r="H284"/>
          <cell r="I284"/>
          <cell r="J284"/>
          <cell r="K284"/>
          <cell r="L284"/>
          <cell r="M284"/>
          <cell r="N284"/>
          <cell r="O284"/>
          <cell r="P284"/>
          <cell r="Q284"/>
          <cell r="R284"/>
          <cell r="S284"/>
          <cell r="T284"/>
          <cell r="U284"/>
        </row>
        <row r="285">
          <cell r="B285"/>
          <cell r="C285"/>
          <cell r="D285"/>
          <cell r="E285"/>
          <cell r="F285"/>
          <cell r="G285"/>
          <cell r="H285"/>
          <cell r="I285"/>
          <cell r="J285"/>
          <cell r="K285"/>
          <cell r="L285"/>
          <cell r="M285"/>
          <cell r="N285"/>
          <cell r="O285"/>
          <cell r="P285"/>
          <cell r="Q285"/>
          <cell r="R285"/>
          <cell r="S285"/>
          <cell r="T285"/>
          <cell r="U285"/>
        </row>
        <row r="286">
          <cell r="B286"/>
          <cell r="C286"/>
          <cell r="D286"/>
          <cell r="E286"/>
          <cell r="F286"/>
          <cell r="G286"/>
          <cell r="H286"/>
          <cell r="I286"/>
          <cell r="J286"/>
          <cell r="K286"/>
          <cell r="L286"/>
          <cell r="M286"/>
          <cell r="N286"/>
          <cell r="O286"/>
          <cell r="P286"/>
          <cell r="Q286"/>
          <cell r="R286"/>
          <cell r="S286"/>
          <cell r="T286"/>
          <cell r="U286"/>
        </row>
        <row r="287">
          <cell r="B287"/>
          <cell r="C287"/>
          <cell r="D287"/>
          <cell r="E287"/>
          <cell r="F287"/>
          <cell r="G287"/>
          <cell r="H287"/>
          <cell r="I287"/>
          <cell r="J287"/>
          <cell r="K287"/>
          <cell r="L287"/>
          <cell r="M287"/>
          <cell r="N287"/>
          <cell r="O287"/>
          <cell r="P287"/>
          <cell r="Q287"/>
          <cell r="R287"/>
          <cell r="S287"/>
          <cell r="T287"/>
          <cell r="U287"/>
        </row>
        <row r="288">
          <cell r="B288"/>
          <cell r="C288"/>
          <cell r="D288"/>
          <cell r="E288"/>
          <cell r="F288"/>
          <cell r="G288"/>
          <cell r="H288"/>
          <cell r="I288"/>
          <cell r="J288"/>
          <cell r="K288"/>
          <cell r="L288"/>
          <cell r="M288"/>
          <cell r="N288"/>
          <cell r="O288"/>
          <cell r="P288"/>
          <cell r="Q288"/>
          <cell r="R288"/>
          <cell r="S288"/>
          <cell r="T288"/>
          <cell r="U288"/>
        </row>
        <row r="289">
          <cell r="B289"/>
          <cell r="C289"/>
          <cell r="D289"/>
          <cell r="E289"/>
          <cell r="F289"/>
          <cell r="G289"/>
          <cell r="H289"/>
          <cell r="I289"/>
          <cell r="J289"/>
          <cell r="K289"/>
          <cell r="L289"/>
          <cell r="M289"/>
          <cell r="N289"/>
          <cell r="O289"/>
          <cell r="P289"/>
          <cell r="Q289"/>
          <cell r="R289"/>
          <cell r="S289"/>
          <cell r="T289"/>
          <cell r="U289"/>
        </row>
        <row r="290">
          <cell r="B290"/>
          <cell r="C290"/>
          <cell r="D290"/>
          <cell r="E290"/>
          <cell r="F290"/>
          <cell r="G290"/>
          <cell r="H290"/>
          <cell r="I290"/>
          <cell r="J290"/>
          <cell r="K290"/>
          <cell r="L290"/>
          <cell r="M290"/>
          <cell r="N290"/>
          <cell r="O290"/>
          <cell r="P290"/>
          <cell r="Q290"/>
          <cell r="R290"/>
          <cell r="S290"/>
          <cell r="T290"/>
          <cell r="U290"/>
        </row>
        <row r="291">
          <cell r="B291"/>
          <cell r="C291"/>
          <cell r="D291"/>
          <cell r="E291"/>
          <cell r="F291"/>
          <cell r="G291"/>
          <cell r="H291"/>
          <cell r="I291"/>
          <cell r="J291"/>
          <cell r="K291"/>
          <cell r="L291"/>
          <cell r="M291"/>
          <cell r="N291"/>
          <cell r="O291"/>
          <cell r="P291"/>
          <cell r="Q291"/>
          <cell r="R291"/>
          <cell r="S291"/>
          <cell r="T291"/>
          <cell r="U291"/>
        </row>
        <row r="292">
          <cell r="B292"/>
          <cell r="C292"/>
          <cell r="D292"/>
          <cell r="E292"/>
          <cell r="F292"/>
          <cell r="G292"/>
          <cell r="H292"/>
          <cell r="I292"/>
          <cell r="J292"/>
          <cell r="K292"/>
          <cell r="L292"/>
          <cell r="M292"/>
          <cell r="N292"/>
          <cell r="O292"/>
          <cell r="P292"/>
          <cell r="Q292"/>
          <cell r="R292"/>
          <cell r="S292"/>
          <cell r="T292"/>
          <cell r="U292"/>
        </row>
        <row r="293">
          <cell r="B293"/>
          <cell r="C293"/>
          <cell r="D293"/>
          <cell r="E293"/>
          <cell r="F293"/>
          <cell r="G293"/>
          <cell r="H293"/>
          <cell r="I293"/>
          <cell r="J293"/>
          <cell r="K293"/>
          <cell r="L293"/>
          <cell r="M293"/>
          <cell r="N293"/>
          <cell r="O293"/>
          <cell r="P293"/>
          <cell r="Q293"/>
          <cell r="R293"/>
          <cell r="S293"/>
          <cell r="T293"/>
          <cell r="U293"/>
        </row>
        <row r="294">
          <cell r="B294"/>
          <cell r="C294"/>
          <cell r="D294"/>
          <cell r="E294"/>
          <cell r="F294"/>
          <cell r="G294"/>
          <cell r="H294"/>
          <cell r="I294"/>
          <cell r="J294"/>
          <cell r="K294"/>
          <cell r="L294"/>
          <cell r="M294"/>
          <cell r="N294"/>
          <cell r="O294"/>
          <cell r="P294"/>
          <cell r="Q294"/>
          <cell r="R294"/>
          <cell r="S294"/>
          <cell r="T294"/>
          <cell r="U294"/>
        </row>
        <row r="295">
          <cell r="B295"/>
          <cell r="C295"/>
          <cell r="D295"/>
          <cell r="E295"/>
          <cell r="F295"/>
          <cell r="G295"/>
          <cell r="H295"/>
          <cell r="I295"/>
          <cell r="J295"/>
          <cell r="K295"/>
          <cell r="L295"/>
          <cell r="M295"/>
          <cell r="N295"/>
          <cell r="O295"/>
          <cell r="P295"/>
          <cell r="Q295"/>
          <cell r="R295"/>
          <cell r="S295"/>
          <cell r="T295"/>
          <cell r="U295"/>
        </row>
        <row r="296">
          <cell r="B296"/>
          <cell r="C296"/>
          <cell r="D296"/>
          <cell r="E296"/>
          <cell r="F296"/>
          <cell r="G296"/>
          <cell r="H296"/>
          <cell r="I296"/>
          <cell r="J296"/>
          <cell r="K296"/>
          <cell r="L296"/>
          <cell r="M296"/>
          <cell r="N296"/>
          <cell r="O296"/>
          <cell r="P296"/>
          <cell r="Q296"/>
          <cell r="R296"/>
          <cell r="S296"/>
          <cell r="T296"/>
          <cell r="U296"/>
        </row>
        <row r="297">
          <cell r="B297"/>
          <cell r="C297"/>
          <cell r="D297"/>
          <cell r="E297"/>
          <cell r="F297"/>
          <cell r="G297"/>
          <cell r="H297"/>
          <cell r="I297"/>
          <cell r="J297"/>
          <cell r="K297"/>
          <cell r="L297"/>
          <cell r="M297"/>
          <cell r="N297"/>
          <cell r="O297"/>
          <cell r="P297"/>
          <cell r="Q297"/>
          <cell r="R297"/>
          <cell r="S297"/>
          <cell r="T297"/>
          <cell r="U297"/>
        </row>
        <row r="298">
          <cell r="M298"/>
          <cell r="N298"/>
          <cell r="O298"/>
          <cell r="Q298"/>
          <cell r="R298"/>
          <cell r="S298"/>
          <cell r="U298"/>
        </row>
        <row r="299">
          <cell r="M299"/>
          <cell r="N299"/>
          <cell r="O299"/>
          <cell r="Q299"/>
          <cell r="R299"/>
          <cell r="S299"/>
          <cell r="U299"/>
        </row>
        <row r="300">
          <cell r="M300"/>
          <cell r="N300"/>
          <cell r="O300"/>
          <cell r="Q300"/>
          <cell r="R300"/>
          <cell r="S300"/>
          <cell r="U300"/>
        </row>
        <row r="301">
          <cell r="M301"/>
          <cell r="N301"/>
          <cell r="O301"/>
          <cell r="Q301"/>
          <cell r="R301"/>
          <cell r="S301"/>
          <cell r="U301"/>
        </row>
        <row r="302">
          <cell r="M302"/>
          <cell r="N302"/>
          <cell r="O302"/>
          <cell r="Q302"/>
          <cell r="R302"/>
          <cell r="S302"/>
          <cell r="U302"/>
        </row>
        <row r="303">
          <cell r="M303"/>
          <cell r="N303"/>
          <cell r="O303"/>
          <cell r="Q303"/>
          <cell r="R303"/>
          <cell r="S303"/>
          <cell r="U303"/>
        </row>
        <row r="304">
          <cell r="M304"/>
          <cell r="N304"/>
          <cell r="O304"/>
          <cell r="Q304"/>
          <cell r="R304"/>
          <cell r="S304"/>
          <cell r="U304"/>
        </row>
        <row r="305">
          <cell r="M305"/>
          <cell r="N305"/>
          <cell r="O305"/>
          <cell r="Q305"/>
          <cell r="R305"/>
          <cell r="S305"/>
          <cell r="U305"/>
        </row>
        <row r="306">
          <cell r="M306"/>
          <cell r="N306"/>
          <cell r="O306"/>
          <cell r="Q306"/>
          <cell r="R306"/>
          <cell r="S306"/>
          <cell r="U306"/>
        </row>
        <row r="307">
          <cell r="M307"/>
          <cell r="N307"/>
          <cell r="O307"/>
          <cell r="Q307"/>
          <cell r="R307"/>
          <cell r="S307"/>
          <cell r="U307"/>
        </row>
        <row r="308">
          <cell r="M308"/>
          <cell r="N308"/>
          <cell r="O308"/>
          <cell r="Q308"/>
          <cell r="R308"/>
          <cell r="S308"/>
          <cell r="U308"/>
        </row>
        <row r="309">
          <cell r="M309"/>
          <cell r="N309"/>
          <cell r="O309"/>
          <cell r="Q309"/>
          <cell r="R309"/>
          <cell r="S309"/>
          <cell r="U309"/>
        </row>
        <row r="310">
          <cell r="M310"/>
          <cell r="N310"/>
          <cell r="O310"/>
          <cell r="Q310"/>
          <cell r="R310"/>
          <cell r="S310"/>
          <cell r="U310"/>
        </row>
        <row r="311">
          <cell r="M311"/>
          <cell r="N311"/>
          <cell r="O311"/>
          <cell r="Q311"/>
          <cell r="R311"/>
          <cell r="S311"/>
          <cell r="U311"/>
        </row>
        <row r="312">
          <cell r="M312"/>
          <cell r="N312"/>
          <cell r="O312"/>
          <cell r="Q312"/>
          <cell r="R312"/>
          <cell r="S312"/>
          <cell r="U312"/>
        </row>
        <row r="313">
          <cell r="M313"/>
          <cell r="N313"/>
          <cell r="O313"/>
          <cell r="Q313"/>
          <cell r="R313"/>
          <cell r="S313"/>
          <cell r="U313"/>
        </row>
        <row r="314">
          <cell r="M314"/>
          <cell r="N314"/>
          <cell r="O314"/>
          <cell r="Q314"/>
          <cell r="R314"/>
          <cell r="S314"/>
          <cell r="U314"/>
        </row>
        <row r="315">
          <cell r="M315"/>
          <cell r="N315"/>
          <cell r="O315"/>
          <cell r="Q315"/>
          <cell r="R315"/>
          <cell r="S315"/>
          <cell r="U315"/>
        </row>
        <row r="316">
          <cell r="M316"/>
          <cell r="N316"/>
          <cell r="O316"/>
          <cell r="Q316"/>
          <cell r="R316"/>
          <cell r="S316"/>
          <cell r="U316"/>
        </row>
        <row r="317">
          <cell r="M317"/>
          <cell r="N317"/>
          <cell r="O317"/>
          <cell r="Q317"/>
          <cell r="R317"/>
          <cell r="S317"/>
          <cell r="U317"/>
        </row>
        <row r="318">
          <cell r="M318"/>
          <cell r="N318"/>
          <cell r="O318"/>
          <cell r="Q318"/>
          <cell r="R318"/>
          <cell r="S318"/>
          <cell r="U318"/>
        </row>
        <row r="319">
          <cell r="M319"/>
          <cell r="N319"/>
          <cell r="O319"/>
          <cell r="Q319"/>
          <cell r="R319"/>
          <cell r="S319"/>
          <cell r="U319"/>
        </row>
        <row r="320">
          <cell r="M320"/>
          <cell r="N320"/>
          <cell r="O320"/>
          <cell r="Q320"/>
          <cell r="R320"/>
          <cell r="S320"/>
          <cell r="U320"/>
        </row>
        <row r="321">
          <cell r="M321"/>
          <cell r="N321"/>
          <cell r="O321"/>
          <cell r="Q321"/>
          <cell r="R321"/>
          <cell r="S321"/>
          <cell r="U321"/>
        </row>
        <row r="322">
          <cell r="M322"/>
          <cell r="N322"/>
          <cell r="O322"/>
          <cell r="Q322"/>
          <cell r="R322"/>
          <cell r="S322"/>
          <cell r="U322"/>
        </row>
        <row r="323">
          <cell r="M323"/>
          <cell r="N323"/>
          <cell r="O323"/>
          <cell r="Q323"/>
          <cell r="R323"/>
          <cell r="S323"/>
          <cell r="U323"/>
        </row>
        <row r="324">
          <cell r="M324"/>
          <cell r="N324"/>
          <cell r="O324"/>
          <cell r="Q324"/>
          <cell r="R324"/>
          <cell r="S324"/>
          <cell r="U324"/>
        </row>
        <row r="325">
          <cell r="M325"/>
          <cell r="N325"/>
          <cell r="O325"/>
          <cell r="Q325"/>
          <cell r="R325"/>
          <cell r="S325"/>
          <cell r="U325"/>
        </row>
        <row r="326">
          <cell r="M326"/>
          <cell r="N326"/>
          <cell r="O326"/>
          <cell r="Q326"/>
          <cell r="R326"/>
          <cell r="S326"/>
          <cell r="U326"/>
        </row>
        <row r="327">
          <cell r="M327"/>
          <cell r="N327"/>
          <cell r="O327"/>
          <cell r="Q327"/>
          <cell r="R327"/>
          <cell r="S327"/>
          <cell r="U327"/>
        </row>
        <row r="328">
          <cell r="M328"/>
          <cell r="N328"/>
          <cell r="O328"/>
          <cell r="Q328"/>
          <cell r="R328"/>
          <cell r="S328"/>
          <cell r="U328"/>
        </row>
        <row r="329">
          <cell r="M329"/>
          <cell r="N329"/>
          <cell r="O329"/>
          <cell r="Q329"/>
          <cell r="R329"/>
          <cell r="S329"/>
          <cell r="U329"/>
        </row>
        <row r="330">
          <cell r="M330"/>
          <cell r="N330"/>
          <cell r="O330"/>
          <cell r="Q330"/>
          <cell r="R330"/>
          <cell r="S330"/>
          <cell r="U330"/>
        </row>
        <row r="331">
          <cell r="M331"/>
          <cell r="N331"/>
          <cell r="O331"/>
          <cell r="Q331"/>
          <cell r="R331"/>
          <cell r="S331"/>
          <cell r="U331"/>
        </row>
        <row r="332">
          <cell r="M332"/>
          <cell r="N332"/>
          <cell r="O332"/>
          <cell r="Q332"/>
          <cell r="R332"/>
          <cell r="S332"/>
          <cell r="U332"/>
        </row>
        <row r="333">
          <cell r="M333"/>
          <cell r="N333"/>
          <cell r="O333"/>
          <cell r="Q333"/>
          <cell r="R333"/>
          <cell r="S333"/>
          <cell r="U333"/>
        </row>
        <row r="334">
          <cell r="M334"/>
          <cell r="N334"/>
          <cell r="O334"/>
          <cell r="Q334"/>
          <cell r="R334"/>
          <cell r="S334"/>
          <cell r="U334"/>
        </row>
        <row r="335">
          <cell r="M335"/>
          <cell r="N335"/>
          <cell r="O335"/>
          <cell r="Q335"/>
          <cell r="R335"/>
          <cell r="S335"/>
          <cell r="U335"/>
        </row>
        <row r="336">
          <cell r="M336"/>
          <cell r="N336"/>
          <cell r="O336"/>
          <cell r="Q336"/>
          <cell r="R336"/>
          <cell r="S336"/>
          <cell r="U336"/>
        </row>
        <row r="337">
          <cell r="M337"/>
          <cell r="N337"/>
          <cell r="O337"/>
          <cell r="Q337"/>
          <cell r="R337"/>
          <cell r="S337"/>
          <cell r="U337"/>
        </row>
        <row r="338">
          <cell r="M338"/>
          <cell r="N338"/>
          <cell r="O338"/>
          <cell r="Q338"/>
          <cell r="R338"/>
          <cell r="S338"/>
          <cell r="U338"/>
        </row>
        <row r="339">
          <cell r="M339"/>
          <cell r="N339"/>
          <cell r="O339"/>
          <cell r="Q339"/>
          <cell r="R339"/>
          <cell r="S339"/>
          <cell r="U339"/>
        </row>
        <row r="340">
          <cell r="M340"/>
          <cell r="N340"/>
          <cell r="O340"/>
          <cell r="Q340"/>
          <cell r="R340"/>
          <cell r="S340"/>
          <cell r="U340"/>
        </row>
        <row r="341">
          <cell r="M341"/>
          <cell r="N341"/>
          <cell r="O341"/>
          <cell r="Q341"/>
          <cell r="R341"/>
          <cell r="S341"/>
          <cell r="U341"/>
        </row>
        <row r="342">
          <cell r="M342"/>
          <cell r="N342"/>
          <cell r="O342"/>
          <cell r="Q342"/>
          <cell r="R342"/>
          <cell r="S342"/>
          <cell r="U342"/>
        </row>
        <row r="343">
          <cell r="M343"/>
          <cell r="N343"/>
          <cell r="O343"/>
          <cell r="Q343"/>
          <cell r="R343"/>
          <cell r="S343"/>
          <cell r="U343"/>
        </row>
        <row r="344">
          <cell r="M344"/>
          <cell r="N344"/>
          <cell r="O344"/>
          <cell r="Q344"/>
          <cell r="R344"/>
          <cell r="S344"/>
          <cell r="U344"/>
        </row>
        <row r="345">
          <cell r="M345"/>
          <cell r="N345"/>
          <cell r="O345"/>
          <cell r="Q345"/>
          <cell r="R345"/>
          <cell r="S345"/>
          <cell r="U345"/>
        </row>
        <row r="346">
          <cell r="M346"/>
          <cell r="N346"/>
          <cell r="O346"/>
          <cell r="Q346"/>
          <cell r="R346"/>
          <cell r="S346"/>
          <cell r="U346"/>
        </row>
        <row r="347">
          <cell r="M347"/>
          <cell r="N347"/>
          <cell r="O347"/>
          <cell r="Q347"/>
          <cell r="R347"/>
          <cell r="S347"/>
          <cell r="U347"/>
        </row>
        <row r="348">
          <cell r="M348"/>
          <cell r="N348"/>
          <cell r="O348"/>
          <cell r="Q348"/>
          <cell r="R348"/>
          <cell r="S348"/>
          <cell r="U348"/>
        </row>
        <row r="349">
          <cell r="M349"/>
          <cell r="N349"/>
          <cell r="O349"/>
          <cell r="Q349"/>
          <cell r="R349"/>
          <cell r="S349"/>
          <cell r="U349"/>
        </row>
        <row r="350">
          <cell r="M350"/>
          <cell r="N350"/>
          <cell r="O350"/>
          <cell r="Q350"/>
          <cell r="R350"/>
          <cell r="S350"/>
          <cell r="U350"/>
        </row>
        <row r="351">
          <cell r="M351"/>
          <cell r="N351"/>
          <cell r="O351"/>
          <cell r="Q351"/>
          <cell r="R351"/>
          <cell r="S351"/>
          <cell r="U351"/>
        </row>
        <row r="352">
          <cell r="M352"/>
          <cell r="N352"/>
          <cell r="O352"/>
          <cell r="Q352"/>
          <cell r="R352"/>
          <cell r="S352"/>
          <cell r="U352"/>
        </row>
        <row r="353">
          <cell r="M353"/>
          <cell r="N353"/>
          <cell r="O353"/>
          <cell r="Q353"/>
          <cell r="R353"/>
          <cell r="S353"/>
          <cell r="U353"/>
        </row>
        <row r="354">
          <cell r="M354"/>
          <cell r="N354"/>
          <cell r="O354"/>
          <cell r="Q354"/>
          <cell r="R354"/>
          <cell r="S354"/>
          <cell r="U354"/>
        </row>
        <row r="355">
          <cell r="M355"/>
          <cell r="N355"/>
          <cell r="O355"/>
          <cell r="Q355"/>
          <cell r="R355"/>
          <cell r="S355"/>
          <cell r="U355"/>
        </row>
        <row r="356">
          <cell r="M356"/>
          <cell r="N356"/>
          <cell r="O356"/>
          <cell r="Q356"/>
          <cell r="R356"/>
          <cell r="S356"/>
          <cell r="U356"/>
        </row>
        <row r="357">
          <cell r="M357"/>
          <cell r="N357"/>
          <cell r="O357"/>
          <cell r="Q357"/>
          <cell r="R357"/>
          <cell r="S357"/>
          <cell r="U357"/>
        </row>
        <row r="358">
          <cell r="M358"/>
          <cell r="N358"/>
          <cell r="O358"/>
          <cell r="Q358"/>
          <cell r="R358"/>
          <cell r="S358"/>
          <cell r="U358"/>
        </row>
        <row r="359">
          <cell r="M359"/>
          <cell r="N359"/>
          <cell r="O359"/>
          <cell r="Q359"/>
          <cell r="R359"/>
          <cell r="S359"/>
          <cell r="U359"/>
        </row>
        <row r="360">
          <cell r="M360"/>
          <cell r="N360"/>
          <cell r="O360"/>
          <cell r="Q360"/>
          <cell r="R360"/>
          <cell r="S360"/>
          <cell r="U360"/>
        </row>
        <row r="361">
          <cell r="M361"/>
          <cell r="N361"/>
          <cell r="O361"/>
          <cell r="Q361"/>
          <cell r="R361"/>
          <cell r="S361"/>
          <cell r="U361"/>
        </row>
        <row r="362">
          <cell r="M362"/>
          <cell r="N362"/>
          <cell r="O362"/>
          <cell r="Q362"/>
          <cell r="R362"/>
          <cell r="S362"/>
          <cell r="U362"/>
        </row>
        <row r="363">
          <cell r="M363"/>
          <cell r="N363"/>
          <cell r="O363"/>
          <cell r="Q363"/>
          <cell r="R363"/>
          <cell r="S363"/>
          <cell r="U363"/>
        </row>
        <row r="364">
          <cell r="M364"/>
          <cell r="N364"/>
          <cell r="O364"/>
          <cell r="Q364"/>
          <cell r="R364"/>
          <cell r="S364"/>
          <cell r="U364"/>
        </row>
        <row r="365">
          <cell r="M365"/>
          <cell r="N365"/>
          <cell r="O365"/>
          <cell r="Q365"/>
          <cell r="R365"/>
          <cell r="S365"/>
          <cell r="U365"/>
        </row>
        <row r="366">
          <cell r="M366"/>
          <cell r="N366"/>
          <cell r="O366"/>
          <cell r="Q366"/>
          <cell r="R366"/>
          <cell r="S366"/>
        </row>
        <row r="367">
          <cell r="M367"/>
          <cell r="N367"/>
          <cell r="O367"/>
          <cell r="Q367"/>
          <cell r="R367"/>
          <cell r="S367"/>
        </row>
        <row r="368">
          <cell r="M368"/>
          <cell r="N368"/>
          <cell r="O368"/>
          <cell r="Q368"/>
          <cell r="R368"/>
          <cell r="S368"/>
        </row>
        <row r="369">
          <cell r="Q369"/>
          <cell r="R369"/>
          <cell r="S369"/>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PQSRTCPEPJYZH34OQ4O3BIIOO5">
      <xxl21:absoluteUrl r:id="rId2"/>
      <xxl21:relativeUrl r:id="rId3"/>
    </xxl21:alternateUrls>
    <sheetNames>
      <sheetName val="PRIORIZADOS"/>
      <sheetName val="DEMANDA"/>
      <sheetName val="MESAS DIRECTIVOS IE"/>
      <sheetName val="MANUALES DE CONVIVENCIA IED"/>
      <sheetName val="PEGRCC Y GOBIERNOS ESCOLARES"/>
      <sheetName val="COLEGIOS"/>
      <sheetName val="OPERACIONES-ACTIVIDADES"/>
      <sheetName val="LISTAS"/>
      <sheetName val="ACTIVIDADES  "/>
    </sheetNames>
    <sheetDataSet>
      <sheetData sheetId="0">
        <row r="1">
          <cell r="A1"/>
          <cell r="B1"/>
          <cell r="C1"/>
          <cell r="D1"/>
          <cell r="E1"/>
          <cell r="F1"/>
          <cell r="H1"/>
          <cell r="I1"/>
          <cell r="J1"/>
          <cell r="K1"/>
          <cell r="L1"/>
          <cell r="M1"/>
          <cell r="N1"/>
          <cell r="O1"/>
          <cell r="P1"/>
          <cell r="Q1"/>
          <cell r="R1"/>
          <cell r="S1"/>
          <cell r="T1"/>
          <cell r="U1"/>
        </row>
        <row r="2">
          <cell r="A2"/>
          <cell r="B2"/>
          <cell r="C2"/>
          <cell r="D2"/>
          <cell r="E2" t="str">
            <v>SUBSECRETARÍA DE INTEGRACIÓN INTERINSTITUCIONAL
DIRECCIÓN DE INSPECCIÓN Y VIGILANCIA</v>
          </cell>
          <cell r="F2"/>
          <cell r="G2"/>
          <cell r="H2"/>
          <cell r="I2"/>
          <cell r="J2"/>
          <cell r="K2"/>
          <cell r="L2"/>
          <cell r="M2"/>
          <cell r="N2"/>
          <cell r="O2"/>
          <cell r="P2"/>
          <cell r="Q2"/>
          <cell r="R2"/>
          <cell r="S2"/>
          <cell r="T2"/>
          <cell r="U2"/>
        </row>
        <row r="3">
          <cell r="A3"/>
          <cell r="B3"/>
          <cell r="C3"/>
          <cell r="D3"/>
          <cell r="E3"/>
          <cell r="F3"/>
          <cell r="G3"/>
          <cell r="H3"/>
          <cell r="I3"/>
          <cell r="J3"/>
          <cell r="K3"/>
          <cell r="L3"/>
          <cell r="M3"/>
          <cell r="N3"/>
          <cell r="O3"/>
          <cell r="P3"/>
          <cell r="Q3"/>
          <cell r="R3"/>
          <cell r="S3"/>
          <cell r="T3"/>
          <cell r="U3"/>
        </row>
        <row r="4">
          <cell r="A4"/>
          <cell r="B4"/>
          <cell r="C4"/>
          <cell r="D4"/>
          <cell r="E4" t="str">
            <v>PLAN OPERATIVO ANUAL DE INSPECCIÓN Y VIGILANCIA 2025</v>
          </cell>
          <cell r="F4"/>
          <cell r="G4"/>
          <cell r="H4"/>
          <cell r="I4"/>
          <cell r="J4"/>
          <cell r="K4"/>
          <cell r="L4"/>
          <cell r="M4"/>
          <cell r="N4"/>
          <cell r="O4"/>
          <cell r="P4"/>
          <cell r="Q4"/>
          <cell r="R4"/>
          <cell r="S4"/>
          <cell r="T4"/>
          <cell r="U4"/>
        </row>
        <row r="5">
          <cell r="A5"/>
          <cell r="B5"/>
          <cell r="C5"/>
          <cell r="D5"/>
          <cell r="E5" t="str">
            <v>MATRIZ DE FORMULACIÓN Y SEGUIMIENTO A LA EJECUCIÓN DEL POAIV</v>
          </cell>
          <cell r="F5"/>
          <cell r="G5"/>
          <cell r="H5"/>
          <cell r="I5"/>
          <cell r="J5"/>
          <cell r="K5"/>
          <cell r="L5"/>
          <cell r="M5"/>
          <cell r="N5"/>
          <cell r="O5"/>
          <cell r="P5"/>
          <cell r="Q5"/>
          <cell r="R5"/>
          <cell r="S5"/>
          <cell r="T5"/>
          <cell r="U5"/>
        </row>
        <row r="6">
          <cell r="A6"/>
          <cell r="B6"/>
          <cell r="C6"/>
          <cell r="D6"/>
          <cell r="E6" t="str">
            <v>EQUIPO LOCAL DE:</v>
          </cell>
          <cell r="F6" t="str">
            <v>10. ENGATIVÁ</v>
          </cell>
          <cell r="G6"/>
          <cell r="H6"/>
          <cell r="I6"/>
          <cell r="J6"/>
          <cell r="K6"/>
          <cell r="L6"/>
          <cell r="M6"/>
          <cell r="N6"/>
          <cell r="O6"/>
          <cell r="P6"/>
          <cell r="Q6"/>
          <cell r="R6"/>
          <cell r="S6"/>
          <cell r="T6"/>
          <cell r="U6"/>
        </row>
        <row r="7">
          <cell r="A7"/>
          <cell r="B7" t="str">
            <v>COMPONENTE DE FORMULACIÓN (PLANEACIÓN DE VISITAS, ACTUACIONES O INTERVENCIONES A LOS ESTABLECIMIENTOS EDUCATIVOS)</v>
          </cell>
          <cell r="C7"/>
          <cell r="D7"/>
          <cell r="E7"/>
          <cell r="F7"/>
          <cell r="G7"/>
          <cell r="H7"/>
          <cell r="I7"/>
          <cell r="J7"/>
          <cell r="K7"/>
          <cell r="L7"/>
          <cell r="M7"/>
          <cell r="N7" t="str">
            <v>COMPONENTE DE SEGUIMIENTO RESULTADOS DE LAS ACTUACIONES REALIZADAS - INFORMES DE EJECUCIÓN</v>
          </cell>
          <cell r="O7"/>
          <cell r="P7"/>
          <cell r="Q7"/>
          <cell r="R7"/>
          <cell r="S7"/>
          <cell r="T7"/>
          <cell r="U7"/>
        </row>
        <row r="8">
          <cell r="A8" t="str">
            <v>Codigo Unico</v>
          </cell>
          <cell r="B8" t="str">
            <v>NÚMERO DE EE
(Enumere los EE que serán visitados en el período)</v>
          </cell>
          <cell r="C8" t="str">
            <v>LOCALIDAD</v>
          </cell>
          <cell r="D8" t="str">
            <v xml:space="preserve">SECTOR DEL ESTABLECIMIENTO
(Indicar si es EE es Oficial o Privado)  </v>
          </cell>
          <cell r="E8" t="str">
            <v xml:space="preserve">TIPO DE ESTABLECIMIENTO EDUCATIVO
(Indique si el EE objeto de la intervención es: EPBM, IETDH, Educación Inicial o Educación de Jóvenes y Adultos) </v>
          </cell>
          <cell r="F8" t="str">
            <v>NOMBRE DEL ESTABLECIMIENTO EDUCATIVO
(Indique el nombre del EE, como aparece en la licencia de funcionamiento priorizado para realizar la visita o ejecutar otro tipo de actuaciones según los criterios definidos)</v>
          </cell>
          <cell r="G8" t="str">
            <v xml:space="preserve">SEDE ATENDIDA  (Indique el nombre de la sede del EE en donde se ejecutará la visita y/o actuación) </v>
          </cell>
          <cell r="H8" t="str">
            <v>CRITERIO DE PRIORIZACIÓN
(Seleccione el criterio por el cual fue priorizado el EE, para realizar esta intervención, según la lista desplegable)</v>
          </cell>
          <cell r="I8" t="str">
            <v>OPERACIÓN 
(Seleccione la operación de la cual hacen parte las actividades a desarrollar en el EE priorizado)</v>
          </cell>
          <cell r="J8" t="str">
            <v xml:space="preserve">ACTIVIDAD (ES) A DESARROLLAR
(Indique la actividad a desarrollar según la operación)
</v>
          </cell>
          <cell r="K8" t="str">
            <v xml:space="preserve">FUNCIONARIO RESPONSABLE
(Nombre y apellido del responsable de ejecutar la actividad) </v>
          </cell>
          <cell r="L8" t="str">
            <v xml:space="preserve">FUNCIONARIO 
CORRESPONSABLE
(Nombre y apellido del coresponsable de ejecutar la actividad) </v>
          </cell>
          <cell r="M8" t="str">
            <v>FECHA PROGRAMADA
(Fecha en la que se programa realizar la visita u otra actuación, indicar DD/MM/AA)</v>
          </cell>
          <cell r="N8" t="str">
            <v xml:space="preserve">FECHA REAL DE INICIO DE LA ACTUACIÓN
(Fecha en la que se llevó a cabo la visita o actuación DD/MM/AA) </v>
          </cell>
          <cell r="O8" t="str">
            <v xml:space="preserve">FECHA REAL FIN DE LA ACTUACIÓN
(Fecha en la que se llevó a cabo la visita o actuación DD/MM/AA) </v>
          </cell>
          <cell r="P8" t="str">
            <v xml:space="preserve"> ACTUACIÓN REALIZADA
(Indique el tipo de actuación que se realizó en el EE, artículo 24 de la Resolución 1983 de 2023)</v>
          </cell>
          <cell r="Q8" t="str">
            <v>UBICACIÓN EVIDENCIA DOCUMENTAL 
(Colocar el link de ubicación directa de la evidencia correspondiente)</v>
          </cell>
          <cell r="R8" t="str">
            <v>SITUACIÓN ENCONTRADA
(Con base en lo consignado en la evidencia documental que corresponda, resuma la situación tratada o encontrada en la actuación realizada, particularizando los hehos relevantes observados en el EE)</v>
          </cell>
          <cell r="S8" t="str">
            <v xml:space="preserve">CONCLUSIONES Y/O COMPROMISOS ADQUIRIDOS (Relacione las acciones de mejora, medidas a implementar, estrategias y/o compromisos adquiridos por el EE, tendientes a resolver la situación encontrada) </v>
          </cell>
          <cell r="T8" t="str">
            <v xml:space="preserve">PMI (Requiere la elaboración, aprobación y ejecución de un Plan de Mejoramiento Institucional que permita subsanar la situación encontrada y mejore la prestación del servicio educativo) </v>
          </cell>
          <cell r="U8" t="str">
            <v>ACCIONES DE SEGUIMIENTO Y/O VERIFICACIÓN
(Señale la acción de  seguimiento y/o verificación realizada o por realizar sobre los compromisos o PMI acordados)</v>
          </cell>
        </row>
        <row r="9">
          <cell r="A9">
            <v>581</v>
          </cell>
          <cell r="B9">
            <v>1</v>
          </cell>
          <cell r="C9" t="str">
            <v>ENGATIVÁ</v>
          </cell>
          <cell r="D9" t="str">
            <v>PRIVADO</v>
          </cell>
          <cell r="E9" t="str">
            <v>Educación de Jóvenes y Adultos</v>
          </cell>
          <cell r="F9" t="str">
            <v>CORPORACION_TECNOLOGICA_EMPRESARIAL</v>
          </cell>
          <cell r="G9" t="str">
            <v>CORPORACION_TECNOLOGICA_EMPRESARIAL</v>
          </cell>
          <cell r="H9" t="str">
            <v>Autoevaluación Institucional y Pruebas SABER 11</v>
          </cell>
          <cell r="I9" t="str">
            <v>SEGUIMIENTO_Y_SUPERVISIÓN.</v>
          </cell>
          <cell r="J9" t="str">
            <v>Realizar visitas para verificar la información registrada sobre la autoevaluación institucional en el aplicativo EVI, a los establecimientos de educación formal no oficial.</v>
          </cell>
          <cell r="K9" t="str">
            <v>JAIME HUMBERTO RAMÍREZ LLANOS</v>
          </cell>
          <cell r="L9" t="str">
            <v>LUZ MERY PARRA NOPE</v>
          </cell>
          <cell r="M9">
            <v>45745</v>
          </cell>
          <cell r="N9">
            <v>45745</v>
          </cell>
          <cell r="O9">
            <v>45745</v>
          </cell>
          <cell r="P9" t="str">
            <v>Visitas de evaluación con fines de seguimiento</v>
          </cell>
          <cell r="Q9" t="str">
            <v>20250329Acta visita corpoempresarial.pdf</v>
          </cell>
          <cell r="R9" t="str">
            <v>Hecha la verficación de especios pedagógicos, baños, salas de apoyo se pudo constatar que corresponden con lo registrado en el aplicativo EVI</v>
          </cell>
          <cell r="S9" t="str">
            <v>Constada la información registrada en el EVI se encontró que la misma se ajusta a lo físicamente verificado en la visita</v>
          </cell>
          <cell r="T9" t="str">
            <v>No</v>
          </cell>
          <cell r="U9" t="str">
            <v>Se llevó a cabo visita de verificación el 08/11/2025 para garantizar cumplimiento Se hará seguimiento en el 2026</v>
          </cell>
        </row>
        <row r="10">
          <cell r="A10">
            <v>582</v>
          </cell>
          <cell r="B10">
            <v>1</v>
          </cell>
          <cell r="C10" t="str">
            <v>ENGATIVÁ</v>
          </cell>
          <cell r="D10" t="str">
            <v>PRIVADO</v>
          </cell>
          <cell r="E10" t="str">
            <v>Educación de Jóvenes y Adultos</v>
          </cell>
          <cell r="F10" t="str">
            <v>CORPORACION_TECNOLOGICA_EMPRESARIAL</v>
          </cell>
          <cell r="G10" t="str">
            <v>CORPORACION_TECNOLOGICA_EMPRESARIAL</v>
          </cell>
          <cell r="H10" t="str">
            <v>Autoevaluación Institucional y Pruebas SABER 11</v>
          </cell>
          <cell r="I10" t="str">
            <v>SEGUIMIENTO_Y_SUPERVISIÓN.</v>
          </cell>
          <cell r="J10" t="str">
            <v>Proponer estrategias en la formulación, verificar su elaboración y realizar seguimiento semestral al desarrollo de  las acciones establecidas en los planes de mejoramiento por pruebas SABER 11 de los establecimientos de educación formal.</v>
          </cell>
          <cell r="K10" t="str">
            <v>JAIME HUMBERTO RAMÍREZ LLANOS</v>
          </cell>
          <cell r="L10" t="str">
            <v>LUZ MERY PARRA NOPE</v>
          </cell>
          <cell r="M10">
            <v>45745</v>
          </cell>
          <cell r="N10">
            <v>45745</v>
          </cell>
          <cell r="O10">
            <v>45745</v>
          </cell>
          <cell r="P10" t="str">
            <v>Visitas de evaluación con fines de seguimiento</v>
          </cell>
          <cell r="Q10" t="str">
            <v>20250329Acta visita corpoempresarial.pdf</v>
          </cell>
          <cell r="R10" t="str">
            <v>No se presentaron estudiantes para pruebas saber 2024, no hay opción de establecer plan</v>
          </cell>
          <cell r="S10" t="str">
            <v>Con el fin de garantizar una mejor formación de sus estudiantes se sugiere a la institución presentarlos en las pruebas saber 11</v>
          </cell>
          <cell r="T10" t="str">
            <v>No</v>
          </cell>
          <cell r="U10" t="str">
            <v>Se llevó a cabo visita de verificación el 08/11/2025 para garantizar cumplimiento Se hará seguimiento en el 2026</v>
          </cell>
        </row>
        <row r="11">
          <cell r="A11">
            <v>583</v>
          </cell>
          <cell r="B11">
            <v>1</v>
          </cell>
          <cell r="C11" t="str">
            <v>ENGATIVÁ</v>
          </cell>
          <cell r="D11" t="str">
            <v>PRIVADO</v>
          </cell>
          <cell r="E11" t="str">
            <v>Educación de Jóvenes y Adultos</v>
          </cell>
          <cell r="F11" t="str">
            <v>CORPORACION_TECNOLOGICA_EMPRESARIAL</v>
          </cell>
          <cell r="G11" t="str">
            <v>CORPORACION_TECNOLOGICA_EMPRESARIAL</v>
          </cell>
          <cell r="H11" t="str">
            <v>Autoevaluación Institucional y Pruebas SABER 11</v>
          </cell>
          <cell r="I11" t="str">
            <v>SEGUIMIENTO_Y_SUPERVISIÓN.</v>
          </cell>
          <cell r="J11" t="str">
            <v xml:space="preserve">Verificar la implementación por parte de los colegios, de acciones realizadas para la prevención y atención de las situaciones de convivencia en el entorno escolar, según lo establecido en la Directiva 01 de 2022 del MEN. </v>
          </cell>
          <cell r="K11" t="str">
            <v>JAIME HUMBERTO RAMÍREZ LLANOS</v>
          </cell>
          <cell r="L11" t="str">
            <v>LUZ MERY PARRA NOPE</v>
          </cell>
          <cell r="M11">
            <v>45745</v>
          </cell>
          <cell r="N11">
            <v>45745</v>
          </cell>
          <cell r="O11">
            <v>45745</v>
          </cell>
          <cell r="P11" t="str">
            <v>Visitas de evaluación con fines de seguimiento</v>
          </cell>
          <cell r="Q11" t="str">
            <v>20250329Acta visita corpoempresarial.pdf</v>
          </cell>
          <cell r="R11" t="str">
            <v>No se registran quejas en la DILE por temas de convivencia. Ha ocurrido un hecho al que se aplicó ruta de atención.</v>
          </cell>
          <cell r="S11" t="str">
            <v>Se sugiere hacer seguimiento y subir evidencias, además realizar acciones tendientes a minimizar situaciones que puedan ocurrir</v>
          </cell>
          <cell r="T11" t="str">
            <v>No</v>
          </cell>
          <cell r="U11" t="str">
            <v>Se llevó a cabo visita de verificación el 08/11/2025 para garantizar cumplimiento Se hará seguimiento en el 2026</v>
          </cell>
        </row>
        <row r="12">
          <cell r="A12">
            <v>584</v>
          </cell>
          <cell r="B12">
            <v>1</v>
          </cell>
          <cell r="C12" t="str">
            <v>ENGATIVÁ</v>
          </cell>
          <cell r="D12" t="str">
            <v>PRIVADO</v>
          </cell>
          <cell r="E12" t="str">
            <v>Educación de Jóvenes y Adultos</v>
          </cell>
          <cell r="F12" t="str">
            <v>CORPORACION_TECNOLOGICA_EMPRESARIAL</v>
          </cell>
          <cell r="G12" t="str">
            <v>CORPORACION_TECNOLOGICA_EMPRESARIAL</v>
          </cell>
          <cell r="H12" t="str">
            <v>Autoevaluación Institucional y Pruebas SABER 11</v>
          </cell>
          <cell r="I12" t="str">
            <v>SEGUIMIENTO_Y_SUPERVISIÓN.</v>
          </cell>
          <cell r="J1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 t="str">
            <v>JAIME HUMBERTO RAMÍREZ LLANOS</v>
          </cell>
          <cell r="L12" t="str">
            <v>LUZ MERY PARRA NOPE</v>
          </cell>
          <cell r="M12">
            <v>45745</v>
          </cell>
          <cell r="N12">
            <v>45745</v>
          </cell>
          <cell r="O12">
            <v>45745</v>
          </cell>
          <cell r="P12" t="str">
            <v>Visitas de evaluación con fines de seguimiento</v>
          </cell>
          <cell r="Q12" t="str">
            <v>20250329Acta visita corpoempresarial.pdf</v>
          </cell>
          <cell r="R12" t="str">
            <v>Se tiene diseñado un formato para PIAR, no se ha aplicado a estudiante al que se hace seguimiento por posible dificultad en aprendizaje</v>
          </cell>
          <cell r="S12" t="str">
            <v>Hacer seguimiento a estudiante y elaborar PIAR teniendo en cuenta los tiempos establecidos</v>
          </cell>
          <cell r="T12" t="str">
            <v>No</v>
          </cell>
          <cell r="U12" t="str">
            <v>Se llevó a cabo visita de verificación el 08/11/2025 para garantizar cumplimiento Se hará seguimiento en el 2026</v>
          </cell>
        </row>
        <row r="13">
          <cell r="A13">
            <v>585</v>
          </cell>
          <cell r="B13">
            <v>1</v>
          </cell>
          <cell r="C13" t="str">
            <v>ENGATIVÁ</v>
          </cell>
          <cell r="D13" t="str">
            <v>PRIVADO</v>
          </cell>
          <cell r="E13" t="str">
            <v>Educación de Jóvenes y Adultos</v>
          </cell>
          <cell r="F13" t="str">
            <v>CORPORACION_TECNOLOGICA_EMPRESARIAL</v>
          </cell>
          <cell r="G13" t="str">
            <v>CORPORACION_TECNOLOGICA_EMPRESARIAL</v>
          </cell>
          <cell r="H13" t="str">
            <v>Autoevaluación Institucional y Pruebas SABER 11</v>
          </cell>
          <cell r="I13" t="str">
            <v>EVALUACIÓN_CON_FINES_DE_MEJORAMIENTO.</v>
          </cell>
          <cell r="J1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 t="str">
            <v>JAIME HUMBERTO RAMÍREZ LLANOS</v>
          </cell>
          <cell r="L13" t="str">
            <v>LUZ MERY PARRA NOPE</v>
          </cell>
          <cell r="M13">
            <v>45745</v>
          </cell>
          <cell r="N13">
            <v>45745</v>
          </cell>
          <cell r="O13">
            <v>45745</v>
          </cell>
          <cell r="P13" t="str">
            <v>Visitas de evaluación con fines de mejoramiento</v>
          </cell>
          <cell r="Q13" t="str">
            <v>20250329Acta visita corpoempresarial.pdf</v>
          </cell>
          <cell r="R13" t="str">
            <v>La institución presenta Manual actualizado en febrero del 2025, no tiene claramente definidos los enfoques de valoración y diversidad, como tampoco el enfoque restaurativo.</v>
          </cell>
          <cell r="S13" t="str">
            <v>Actualizar el manual de convivencia para incorporar  los enfoques de valoración y diversidad y el enfoque restaurativo. Incluir en PEI el procedimiento para trabajo social, actualizar SIMAT, realizar planeación de jornadas pedagógicas</v>
          </cell>
          <cell r="T13" t="str">
            <v>Si</v>
          </cell>
          <cell r="U13" t="str">
            <v>Se llevó a cabo visita de verificación el 08/11/2025 para garantizar cumplimiento Se hará seguimiento en el 2026</v>
          </cell>
        </row>
        <row r="14">
          <cell r="A14">
            <v>586</v>
          </cell>
          <cell r="B14">
            <v>1</v>
          </cell>
          <cell r="C14" t="str">
            <v>ENGATIVÁ</v>
          </cell>
          <cell r="D14" t="str">
            <v>PRIVADO</v>
          </cell>
          <cell r="E14" t="str">
            <v>Educación de Jóvenes y Adultos</v>
          </cell>
          <cell r="F14" t="str">
            <v>CORPORACION_TECNOLOGICA_EMPRESARIAL</v>
          </cell>
          <cell r="G14" t="str">
            <v>CORPORACION_TECNOLOGICA_EMPRESARIAL</v>
          </cell>
          <cell r="H14" t="str">
            <v>Autoevaluación Institucional y Pruebas SABER 11</v>
          </cell>
          <cell r="I14" t="str">
            <v>EVALUACIÓN_CON_FINES_DE_MEJORAMIENTO.</v>
          </cell>
          <cell r="J14" t="str">
            <v>Revisar la actualización, socialización e implementación del Sistema Institucional de Evaluación de Estudiantes - SIEE, en articulación con la actualización del PEI y la normatividad vigente.</v>
          </cell>
          <cell r="K14" t="str">
            <v>JAIME HUMBERTO RAMÍREZ LLANOS</v>
          </cell>
          <cell r="L14" t="str">
            <v>LUZ MERY PARRA NOPE</v>
          </cell>
          <cell r="M14">
            <v>45745</v>
          </cell>
          <cell r="N14">
            <v>45745</v>
          </cell>
          <cell r="O14">
            <v>45745</v>
          </cell>
          <cell r="P14" t="str">
            <v>Visitas de evaluación con fines de mejoramiento</v>
          </cell>
          <cell r="Q14" t="str">
            <v>20250329Acta visita corpoempresarial.pdf</v>
          </cell>
          <cell r="R14" t="str">
            <v>El SIEE se encuentra debidamente incluido PEI, es conocido por docente y estudiantes, se ajusta a las normas de Mineducación y se evidencia su debida aplicación</v>
          </cell>
          <cell r="S14" t="str">
            <v>No se hace requerimiento</v>
          </cell>
          <cell r="T14" t="str">
            <v>No</v>
          </cell>
          <cell r="U14" t="str">
            <v>No requiere seguimiento</v>
          </cell>
        </row>
        <row r="15">
          <cell r="A15">
            <v>587</v>
          </cell>
          <cell r="B15">
            <v>1</v>
          </cell>
          <cell r="C15" t="str">
            <v>ENGATIVÁ</v>
          </cell>
          <cell r="D15" t="str">
            <v>PRIVADO</v>
          </cell>
          <cell r="E15" t="str">
            <v>Educación de Jóvenes y Adultos</v>
          </cell>
          <cell r="F15" t="str">
            <v>CORPORACION_TECNOLOGICA_EMPRESARIAL</v>
          </cell>
          <cell r="G15" t="str">
            <v>CORPORACION_TECNOLOGICA_EMPRESARIAL</v>
          </cell>
          <cell r="H15" t="str">
            <v>Autoevaluación Institucional y Pruebas SABER 11</v>
          </cell>
          <cell r="I15" t="str">
            <v>EVALUACIÓN_CON_FINES_DE_MEJORAMIENTO.</v>
          </cell>
          <cell r="J15" t="str">
            <v>Revisar el calendario escolar, jornada escolar, la intensidad horaria mínima anual en cada nivel y las modificaciones que se realicen al mismo, de acuerdo con lo previsto en la normatividad vigente.</v>
          </cell>
          <cell r="K15" t="str">
            <v>JAIME HUMBERTO RAMÍREZ LLANOS</v>
          </cell>
          <cell r="L15" t="str">
            <v>LUZ MERY PARRA NOPE</v>
          </cell>
          <cell r="M15">
            <v>45745</v>
          </cell>
          <cell r="N15">
            <v>45745</v>
          </cell>
          <cell r="O15">
            <v>45745</v>
          </cell>
          <cell r="P15" t="str">
            <v>Visitas de evaluación con fines de mejoramiento</v>
          </cell>
          <cell r="Q15" t="str">
            <v>20250329Acta visita corpoempresarial.pdf</v>
          </cell>
          <cell r="R15" t="str">
            <v>El calendario escolar es ajustado según la norma de los CLEI</v>
          </cell>
          <cell r="S15" t="str">
            <v>No se hace requerimiento</v>
          </cell>
          <cell r="T15" t="str">
            <v>No</v>
          </cell>
          <cell r="U15" t="str">
            <v>Se llevó a cabo visita de verificación el 08/11/2025 para garantizar cumplimiento Se hará seguimiento en el 2026</v>
          </cell>
        </row>
        <row r="16">
          <cell r="A16">
            <v>588</v>
          </cell>
          <cell r="B16">
            <v>1</v>
          </cell>
          <cell r="C16" t="str">
            <v>ENGATIVÁ</v>
          </cell>
          <cell r="D16" t="str">
            <v>PRIVADO</v>
          </cell>
          <cell r="E16" t="str">
            <v>Educación de Jóvenes y Adultos</v>
          </cell>
          <cell r="F16" t="str">
            <v>CORPORACION_TECNOLOGICA_EMPRESARIAL</v>
          </cell>
          <cell r="G16" t="str">
            <v>CORPORACION_TECNOLOGICA_EMPRESARIAL</v>
          </cell>
          <cell r="H16" t="str">
            <v>Autoevaluación Institucional y Pruebas SABER 11</v>
          </cell>
          <cell r="I16" t="str">
            <v>EVALUACIÓN_CON_FINES_DE_MEJORAMIENTO.</v>
          </cell>
          <cell r="J16" t="str">
            <v>Verificar el funcionamiento del Gobierno Escolar e instancias de participación con base en la información sobre conformación reportada por la institución educativa.</v>
          </cell>
          <cell r="K16" t="str">
            <v>JAIME HUMBERTO RAMÍREZ LLANOS</v>
          </cell>
          <cell r="L16" t="str">
            <v>LUZ MERY PARRA NOPE</v>
          </cell>
          <cell r="M16">
            <v>45745</v>
          </cell>
          <cell r="N16">
            <v>45745</v>
          </cell>
          <cell r="O16">
            <v>45745</v>
          </cell>
          <cell r="P16" t="str">
            <v>Visitas de evaluación con fines de mejoramiento</v>
          </cell>
          <cell r="Q16" t="str">
            <v>20250329Acta visita corpoempresarial.pdf</v>
          </cell>
          <cell r="R16" t="str">
            <v>Los órganos de gobierno escolar están dedidamente conformados, se verificaron actas, se tiene planeadas las reuniones en el transcurso del año</v>
          </cell>
          <cell r="S16" t="str">
            <v>No se hace requerimiento</v>
          </cell>
          <cell r="T16" t="str">
            <v>No</v>
          </cell>
          <cell r="U16" t="str">
            <v>Se llevó a cabo visita de verificación el 08/11/2025 para garantizar cumplimiento Se hará seguimiento en el 2026</v>
          </cell>
        </row>
        <row r="17">
          <cell r="A17">
            <v>589</v>
          </cell>
          <cell r="B17">
            <v>1</v>
          </cell>
          <cell r="C17" t="str">
            <v>ENGATIVÁ</v>
          </cell>
          <cell r="D17" t="str">
            <v>PRIVADO</v>
          </cell>
          <cell r="E17" t="str">
            <v>Educación de Jóvenes y Adultos</v>
          </cell>
          <cell r="F17" t="str">
            <v>CORPORACION_TECNOLOGICA_EMPRESARIAL</v>
          </cell>
          <cell r="G17" t="str">
            <v>CORPORACION_TECNOLOGICA_EMPRESARIAL</v>
          </cell>
          <cell r="H17" t="str">
            <v>Autoevaluación Institucional y Pruebas SABER 11</v>
          </cell>
          <cell r="I17" t="str">
            <v>EVALUACIÓN_CON_FINES_DE_MEJORAMIENTO.</v>
          </cell>
          <cell r="J17" t="str">
            <v>Verificar las condiciones en cuanto a: la estructura administrativa, condiciones de la planta física y medios educativos adecuados.</v>
          </cell>
          <cell r="K17" t="str">
            <v>JAIME HUMBERTO RAMÍREZ LLANOS</v>
          </cell>
          <cell r="L17" t="str">
            <v>LUZ MERY PARRA NOPE</v>
          </cell>
          <cell r="M17">
            <v>45745</v>
          </cell>
          <cell r="N17">
            <v>45745</v>
          </cell>
          <cell r="O17">
            <v>45745</v>
          </cell>
          <cell r="P17" t="str">
            <v>Visitas de evaluación con fines de mejoramiento</v>
          </cell>
          <cell r="Q17" t="str">
            <v>20250329Acta visita corpoempresarial.pdf</v>
          </cell>
          <cell r="R17" t="str">
            <v>La institución tiene aprobados cuatro ciclos, cuenta con cuatro salones para clase, una sala de sistemas, rectoría, orientación, oficina de mercadeo, secretaría, cuatro baterías de baño completas</v>
          </cell>
          <cell r="S17" t="str">
            <v>No se hace requerimiento</v>
          </cell>
          <cell r="T17" t="str">
            <v>No</v>
          </cell>
          <cell r="U17" t="str">
            <v>Se llevó a cabo visita de verificación el 08/11/2025 para garantizar cumplimiento Se hará seguimiento en el 2026</v>
          </cell>
        </row>
        <row r="18">
          <cell r="A18">
            <v>590</v>
          </cell>
          <cell r="B18">
            <v>2</v>
          </cell>
          <cell r="C18" t="str">
            <v>ENGATIVÁ</v>
          </cell>
          <cell r="D18" t="str">
            <v>PRIVADO</v>
          </cell>
          <cell r="E18" t="str">
            <v>Educación de Jóvenes y Adultos</v>
          </cell>
          <cell r="F18" t="str">
            <v>INSTITUTO_IP_EDUCANDO_LA_JUVENTUD_FUTURO_DE_COLOMBIA</v>
          </cell>
          <cell r="G18" t="str">
            <v>INSTITUTO_IP_EDUCANDO_LA_JUVENTUD_FUTURO_DE_COLOMBIA</v>
          </cell>
          <cell r="H18" t="str">
            <v>Autoevaluación Institucional y Pruebas SABER 11</v>
          </cell>
          <cell r="I18" t="str">
            <v>SEGUIMIENTO_Y_SUPERVISIÓN.</v>
          </cell>
          <cell r="J18" t="str">
            <v>Realizar visitas para verificar la información registrada sobre la autoevaluación institucional en el aplicativo EVI, a los establecimientos de educación formal no oficial.</v>
          </cell>
          <cell r="K18" t="str">
            <v>FREDDY CLAROS PEÑA</v>
          </cell>
          <cell r="L18" t="str">
            <v>LUZ MERY PARRA NOPE</v>
          </cell>
          <cell r="M18">
            <v>45814</v>
          </cell>
          <cell r="N18">
            <v>45814</v>
          </cell>
          <cell r="O18">
            <v>45814</v>
          </cell>
          <cell r="P18" t="str">
            <v>Visitas de evaluación con fines de seguimiento</v>
          </cell>
          <cell r="Q18" t="str">
            <v>06_06_2025_INSTITUTO IP EDUCANDO LA JUVENTUD FUTURO DE COLOMBIa.pdf</v>
          </cell>
          <cell r="R18" t="str">
            <v>Se verificó que la información registrada en el aplicativo EVI, enocntrandose con 3 aulas de clase y un
aula de sistemas, los estudiantes rotan.
Cuenta con tres baterias sanitarias un orinal y dos
lavamanos, sin embargo en EVI se reportaron 4
sanitarios con cuatro lavamanos.
En EVI registraron 24 computadores para uso
académico y en realidad hay 21 de los cuales 18
se encuentran operando.</v>
          </cell>
          <cell r="S18" t="str">
            <v xml:space="preserve">Realizar la autoevaluación para la presente vigencia conforme los recursos e indicadores con los que cuente.
Realizar la vinculación del personal docente con contratos a terminos fijos o indefinidos.
Contratar el profesional para ejercer el roll de orientación escolar
</v>
          </cell>
          <cell r="T18" t="str">
            <v>Si</v>
          </cell>
          <cell r="U18" t="str">
            <v>Se requirió presentar Plan de Majoramiento con el subsanar la situación encontrada . El PMI debe ser entregado  el 23 de junio del 2025</v>
          </cell>
        </row>
        <row r="19">
          <cell r="A19">
            <v>591</v>
          </cell>
          <cell r="B19">
            <v>2</v>
          </cell>
          <cell r="C19" t="str">
            <v>ENGATIVÁ</v>
          </cell>
          <cell r="D19" t="str">
            <v>PRIVADO</v>
          </cell>
          <cell r="E19" t="str">
            <v>Educación de Jóvenes y Adultos</v>
          </cell>
          <cell r="F19" t="str">
            <v>INSTITUTO_IP_EDUCANDO_LA_JUVENTUD_FUTURO_DE_COLOMBIA</v>
          </cell>
          <cell r="G19" t="str">
            <v>INSTITUTO_IP_EDUCANDO_LA_JUVENTUD_FUTURO_DE_COLOMBIA</v>
          </cell>
          <cell r="H19" t="str">
            <v>Autoevaluación Institucional y Pruebas SABER 11</v>
          </cell>
          <cell r="I19" t="str">
            <v>SEGUIMIENTO_Y_SUPERVISIÓN.</v>
          </cell>
          <cell r="J19" t="str">
            <v>Proponer estrategias en la formulación, verificar su elaboración y realizar seguimiento semestral al desarrollo de  las acciones establecidas en los planes de mejoramiento por pruebas SABER 11 de los establecimientos de educación formal.</v>
          </cell>
          <cell r="K19" t="str">
            <v>FREDDY CLAROS PEÑA</v>
          </cell>
          <cell r="L19" t="str">
            <v>LUZ MERY PARRA NOPE</v>
          </cell>
          <cell r="M19">
            <v>45814</v>
          </cell>
          <cell r="N19">
            <v>45814</v>
          </cell>
          <cell r="O19">
            <v>45814</v>
          </cell>
          <cell r="P19" t="str">
            <v>Visitas de evaluación con fines de seguimiento</v>
          </cell>
          <cell r="Q19" t="str">
            <v>06_06_2025_INSTITUTO IP EDUCANDO LA JUVENTUD FUTURO DE COLOMBIa.pdf</v>
          </cell>
          <cell r="R19" t="str">
            <v>El establecimiento educativo no ha diseñado un plan de mejoramiento por los resultados obtenidos en las pruebas saber 11</v>
          </cell>
          <cell r="S19" t="str">
            <v>Se orientó al establecimiento educativo sobre el cómo diseñar el plan de mejoramiento</v>
          </cell>
          <cell r="T19" t="str">
            <v>Si</v>
          </cell>
          <cell r="U19" t="str">
            <v>Revisar el PMI que debe debe ser entregado el 23 de junio del 2025 por la IE.</v>
          </cell>
        </row>
        <row r="20">
          <cell r="A20">
            <v>592</v>
          </cell>
          <cell r="B20">
            <v>2</v>
          </cell>
          <cell r="C20" t="str">
            <v>ENGATIVÁ</v>
          </cell>
          <cell r="D20" t="str">
            <v>PRIVADO</v>
          </cell>
          <cell r="E20" t="str">
            <v>Educación de Jóvenes y Adultos</v>
          </cell>
          <cell r="F20" t="str">
            <v>INSTITUTO_IP_EDUCANDO_LA_JUVENTUD_FUTURO_DE_COLOMBIA</v>
          </cell>
          <cell r="G20" t="str">
            <v>INSTITUTO_IP_EDUCANDO_LA_JUVENTUD_FUTURO_DE_COLOMBIA</v>
          </cell>
          <cell r="H20" t="str">
            <v>Autoevaluación Institucional y Pruebas SABER 11</v>
          </cell>
          <cell r="I20" t="str">
            <v>SEGUIMIENTO_Y_SUPERVISIÓN.</v>
          </cell>
          <cell r="J20" t="str">
            <v xml:space="preserve">Verificar la implementación por parte de los colegios, de acciones realizadas para la prevención y atención de las situaciones de convivencia en el entorno escolar, según lo establecido en la Directiva 01 de 2022 del MEN. </v>
          </cell>
          <cell r="K20" t="str">
            <v>FREDDY CLAROS PEÑA</v>
          </cell>
          <cell r="L20" t="str">
            <v>LUZ MERY PARRA NOPE</v>
          </cell>
          <cell r="M20">
            <v>45814</v>
          </cell>
          <cell r="N20">
            <v>45814</v>
          </cell>
          <cell r="O20">
            <v>45814</v>
          </cell>
          <cell r="P20" t="str">
            <v>Visitas de evaluación con fines de seguimiento</v>
          </cell>
          <cell r="Q20" t="str">
            <v>06_06_2025_INSTITUTO IP EDUCANDO LA JUVENTUD FUTURO DE COLOMBIa.pdf</v>
          </cell>
          <cell r="R20" t="str">
            <v>El E.E. realiza verificación de inhabilidad  a los docentes y personal admnistrativo</v>
          </cell>
          <cell r="S20" t="str">
            <v>Se sugiere organizarlo en carpeta institucional y continuar su verificación cada 4 meses</v>
          </cell>
          <cell r="T20" t="str">
            <v>No</v>
          </cell>
          <cell r="U20" t="str">
            <v>Se verificacrá en una actuación en otra vigencia o si se genera petición o queja ciudadana.</v>
          </cell>
        </row>
        <row r="21">
          <cell r="A21">
            <v>593</v>
          </cell>
          <cell r="B21">
            <v>2</v>
          </cell>
          <cell r="C21" t="str">
            <v>ENGATIVÁ</v>
          </cell>
          <cell r="D21" t="str">
            <v>PRIVADO</v>
          </cell>
          <cell r="E21" t="str">
            <v>Educación de Jóvenes y Adultos</v>
          </cell>
          <cell r="F21" t="str">
            <v>INSTITUTO_IP_EDUCANDO_LA_JUVENTUD_FUTURO_DE_COLOMBIA</v>
          </cell>
          <cell r="G21" t="str">
            <v>INSTITUTO_IP_EDUCANDO_LA_JUVENTUD_FUTURO_DE_COLOMBIA</v>
          </cell>
          <cell r="H21" t="str">
            <v>Autoevaluación Institucional y Pruebas SABER 11</v>
          </cell>
          <cell r="I21" t="str">
            <v>SEGUIMIENTO_Y_SUPERVISIÓN.</v>
          </cell>
          <cell r="J2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1" t="str">
            <v>FREDDY CLAROS PEÑA</v>
          </cell>
          <cell r="L21" t="str">
            <v>LUZ MERY PARRA NOPE</v>
          </cell>
          <cell r="M21">
            <v>45814</v>
          </cell>
          <cell r="N21">
            <v>45814</v>
          </cell>
          <cell r="O21">
            <v>45814</v>
          </cell>
          <cell r="P21" t="str">
            <v>Visitas de evaluación con fines de seguimiento</v>
          </cell>
          <cell r="Q21" t="str">
            <v>06_06_2025_INSTITUTO IP EDUCANDO LA JUVENTUD FUTURO DE COLOMBIa.pdf</v>
          </cell>
          <cell r="R21" t="str">
            <v>En SIMAT se registran 3 estudiantres en condición de discapacidad, sin embargo no hay estudiantes matriculados en condición de discapacidad</v>
          </cell>
          <cell r="S21" t="str">
            <v>Realizar la actualización del manual de convivencia en el acapite de enfoques, para el momento de contar con estudiantes con discapacidad, trastornos o talestos excepcionales.</v>
          </cell>
          <cell r="T21" t="str">
            <v>SI</v>
          </cell>
          <cell r="U21" t="str">
            <v>Se requirió presentar Plan de Majoramiento con el fin de subsanar la situación encontrada . El PMI debe ser entregado  el 23 de junio del 2025</v>
          </cell>
        </row>
        <row r="22">
          <cell r="A22">
            <v>594</v>
          </cell>
          <cell r="B22">
            <v>2</v>
          </cell>
          <cell r="C22" t="str">
            <v>ENGATIVÁ</v>
          </cell>
          <cell r="D22" t="str">
            <v>PRIVADO</v>
          </cell>
          <cell r="E22" t="str">
            <v>Educación de Jóvenes y Adultos</v>
          </cell>
          <cell r="F22" t="str">
            <v>INSTITUTO_IP_EDUCANDO_LA_JUVENTUD_FUTURO_DE_COLOMBIA</v>
          </cell>
          <cell r="G22" t="str">
            <v>INSTITUTO_IP_EDUCANDO_LA_JUVENTUD_FUTURO_DE_COLOMBIA</v>
          </cell>
          <cell r="H22" t="str">
            <v>Autoevaluación Institucional y Pruebas SABER 11</v>
          </cell>
          <cell r="I22" t="str">
            <v>EVALUACIÓN_CON_FINES_DE_MEJORAMIENTO.</v>
          </cell>
          <cell r="J2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2" t="str">
            <v>FREDDY CLAROS PEÑA</v>
          </cell>
          <cell r="L22" t="str">
            <v>LUZ MERY PARRA NOPE</v>
          </cell>
          <cell r="M22">
            <v>45814</v>
          </cell>
          <cell r="N22">
            <v>45814</v>
          </cell>
          <cell r="O22">
            <v>45814</v>
          </cell>
          <cell r="P22" t="str">
            <v>Visitas de evaluación con fines de mejoramiento</v>
          </cell>
          <cell r="Q22" t="str">
            <v>06_06_2025_INSTITUTO IP EDUCANDO LA JUVENTUD FUTURO DE COLOMBIa.pdf</v>
          </cell>
          <cell r="R22" t="str">
            <v xml:space="preserve">No se encontraron evidencias de la participacion de la comunidad educativa en actualización del manual de convivencia
</v>
          </cell>
          <cell r="S22" t="str">
            <v xml:space="preserve"> se requiere su actualuización y tener soporte que se realiza manera participativa con la comunidad educativa</v>
          </cell>
          <cell r="T22" t="str">
            <v>Si</v>
          </cell>
          <cell r="U22" t="str">
            <v>Se requirió presentar Plan de Majoramiento con el fin de subsanar la situación encontrada . El PMI debe ser entregado  el 23 de junio del 2025</v>
          </cell>
        </row>
        <row r="23">
          <cell r="A23">
            <v>595</v>
          </cell>
          <cell r="B23">
            <v>2</v>
          </cell>
          <cell r="C23" t="str">
            <v>ENGATIVÁ</v>
          </cell>
          <cell r="D23" t="str">
            <v>PRIVADO</v>
          </cell>
          <cell r="E23" t="str">
            <v>Educación de Jóvenes y Adultos</v>
          </cell>
          <cell r="F23" t="str">
            <v>INSTITUTO_IP_EDUCANDO_LA_JUVENTUD_FUTURO_DE_COLOMBIA</v>
          </cell>
          <cell r="G23" t="str">
            <v>INSTITUTO_IP_EDUCANDO_LA_JUVENTUD_FUTURO_DE_COLOMBIA</v>
          </cell>
          <cell r="H23" t="str">
            <v>Autoevaluación Institucional y Pruebas SABER 11</v>
          </cell>
          <cell r="I23" t="str">
            <v>EVALUACIÓN_CON_FINES_DE_MEJORAMIENTO.</v>
          </cell>
          <cell r="J23" t="str">
            <v>Revisar la actualización, socialización e implementación del Sistema Institucional de Evaluación de Estudiantes - SIEE, en articulación con la actualización del PEI y la normatividad vigente.</v>
          </cell>
          <cell r="K23" t="str">
            <v>FREDDY CLAROS PEÑA</v>
          </cell>
          <cell r="L23" t="str">
            <v>LUZ MERY PARRA NOPE</v>
          </cell>
          <cell r="M23">
            <v>45814</v>
          </cell>
          <cell r="N23">
            <v>45814</v>
          </cell>
          <cell r="O23">
            <v>45814</v>
          </cell>
          <cell r="P23" t="str">
            <v>Visitas de evaluación con fines de mejoramiento</v>
          </cell>
          <cell r="Q23" t="str">
            <v>06_06_2025_INSTITUTO IP EDUCANDO LA JUVENTUD FUTURO DE COLOMBIa.pdf</v>
          </cell>
          <cell r="R23" t="str">
            <v xml:space="preserve">No se encontraron evidencias de la participacion de la comunidad educativa en actualización del SIEE.
</v>
          </cell>
          <cell r="S23" t="str">
            <v xml:space="preserve"> se requiere su actualuización y tener soporte que se realiza manera participativa con la comunidad educativa</v>
          </cell>
          <cell r="T23" t="str">
            <v>Si</v>
          </cell>
          <cell r="U23" t="str">
            <v>Se requirió presentar Plan de Majoramiento con el fin de subsanar la situación encontrada . El PMI debe ser entregado  el 23 de junio del 2025</v>
          </cell>
        </row>
        <row r="24">
          <cell r="A24">
            <v>596</v>
          </cell>
          <cell r="B24">
            <v>2</v>
          </cell>
          <cell r="C24" t="str">
            <v>ENGATIVÁ</v>
          </cell>
          <cell r="D24" t="str">
            <v>PRIVADO</v>
          </cell>
          <cell r="E24" t="str">
            <v>Educación de Jóvenes y Adultos</v>
          </cell>
          <cell r="F24" t="str">
            <v>INSTITUTO_IP_EDUCANDO_LA_JUVENTUD_FUTURO_DE_COLOMBIA</v>
          </cell>
          <cell r="G24" t="str">
            <v>INSTITUTO_IP_EDUCANDO_LA_JUVENTUD_FUTURO_DE_COLOMBIA</v>
          </cell>
          <cell r="H24" t="str">
            <v>Autoevaluación Institucional y Pruebas SABER 11</v>
          </cell>
          <cell r="I24" t="str">
            <v>EVALUACIÓN_CON_FINES_DE_MEJORAMIENTO.</v>
          </cell>
          <cell r="J24" t="str">
            <v>Revisar el calendario escolar, jornada escolar, la intensidad horaria mínima anual en cada nivel y las modificaciones que se realicen al mismo, de acuerdo con lo previsto en la normatividad vigente.</v>
          </cell>
          <cell r="K24" t="str">
            <v>FREDDY CLAROS PEÑA</v>
          </cell>
          <cell r="L24" t="str">
            <v>LUZ MERY PARRA NOPE</v>
          </cell>
          <cell r="M24">
            <v>45814</v>
          </cell>
          <cell r="N24">
            <v>45814</v>
          </cell>
          <cell r="O24">
            <v>45814</v>
          </cell>
          <cell r="P24" t="str">
            <v>Visitas de evaluación con fines de mejoramiento</v>
          </cell>
          <cell r="Q24" t="str">
            <v>06_06_2025_INSTITUTO IP EDUCANDO LA JUVENTUD FUTURO DE COLOMBIa.pdf</v>
          </cell>
          <cell r="R24" t="str">
            <v xml:space="preserve">Se revisa en el formato establecido el cumplimiento de la intensidad horaria </v>
          </cell>
          <cell r="S24" t="str">
            <v>El colegio cumple la intensidad horaria establecida por nivel según normativa vigente</v>
          </cell>
          <cell r="T24" t="str">
            <v>No</v>
          </cell>
          <cell r="U24" t="str">
            <v>Se verificacrá en una actuación en otra vigencia o si se genera petición o queja ciudadana.</v>
          </cell>
        </row>
        <row r="25">
          <cell r="A25">
            <v>597</v>
          </cell>
          <cell r="B25">
            <v>2</v>
          </cell>
          <cell r="C25" t="str">
            <v>ENGATIVÁ</v>
          </cell>
          <cell r="D25" t="str">
            <v>PRIVADO</v>
          </cell>
          <cell r="E25" t="str">
            <v>Educación de Jóvenes y Adultos</v>
          </cell>
          <cell r="F25" t="str">
            <v>INSTITUTO_IP_EDUCANDO_LA_JUVENTUD_FUTURO_DE_COLOMBIA</v>
          </cell>
          <cell r="G25" t="str">
            <v>INSTITUTO_IP_EDUCANDO_LA_JUVENTUD_FUTURO_DE_COLOMBIA</v>
          </cell>
          <cell r="H25" t="str">
            <v>Autoevaluación Institucional y Pruebas SABER 11</v>
          </cell>
          <cell r="I25" t="str">
            <v>EVALUACIÓN_CON_FINES_DE_MEJORAMIENTO.</v>
          </cell>
          <cell r="J25" t="str">
            <v>Verificar el funcionamiento del Gobierno Escolar e instancias de participación con base en la información sobre conformación reportada por la institución educativa.</v>
          </cell>
          <cell r="K25" t="str">
            <v>FREDDY CLAROS PEÑA</v>
          </cell>
          <cell r="L25" t="str">
            <v>LUZ MERY PARRA NOPE</v>
          </cell>
          <cell r="M25">
            <v>45814</v>
          </cell>
          <cell r="N25">
            <v>45814</v>
          </cell>
          <cell r="O25">
            <v>45814</v>
          </cell>
          <cell r="P25" t="str">
            <v>Visitas de evaluación con fines de mejoramiento</v>
          </cell>
          <cell r="Q25" t="str">
            <v>06_06_2025_INSTITUTO IP EDUCANDO LA JUVENTUD FUTURO DE COLOMBIa.pdf</v>
          </cell>
          <cell r="R25" t="str">
            <v xml:space="preserve">Se observa la conformación del Gobierno Escolar y las instancias de participación en el formato definido para tal fin y debidamente reportado en el Sistema de Apoyo Escolar.No obstante no se evidencian actas de su fucnionamiento
</v>
          </cell>
          <cell r="S25" t="str">
            <v xml:space="preserve">Se encuentran fechadas y suscritas por los participantes, no obstante no se aportan actas de comisión de promoción y evaluación, asímismo, el  gobierno y organos deben sesionar según periodiocidad establecida en la normatividad vigente. </v>
          </cell>
          <cell r="T25" t="str">
            <v>Si</v>
          </cell>
          <cell r="U25" t="str">
            <v>Se requirió presentar Plan de Majoramiento con el fin de subsanar la situación encontrada . El PMI debe ser entregado  el 23 de junio del 2025</v>
          </cell>
        </row>
        <row r="26">
          <cell r="A26">
            <v>598</v>
          </cell>
          <cell r="B26">
            <v>2</v>
          </cell>
          <cell r="C26" t="str">
            <v>ENGATIVÁ</v>
          </cell>
          <cell r="D26" t="str">
            <v>PRIVADO</v>
          </cell>
          <cell r="E26" t="str">
            <v>Educación de Jóvenes y Adultos</v>
          </cell>
          <cell r="F26" t="str">
            <v>INSTITUTO_IP_EDUCANDO_LA_JUVENTUD_FUTURO_DE_COLOMBIA</v>
          </cell>
          <cell r="G26" t="str">
            <v>INSTITUTO_IP_EDUCANDO_LA_JUVENTUD_FUTURO_DE_COLOMBIA</v>
          </cell>
          <cell r="H26" t="str">
            <v>Autoevaluación Institucional y Pruebas SABER 11</v>
          </cell>
          <cell r="I26" t="str">
            <v>EVALUACIÓN_CON_FINES_DE_MEJORAMIENTO.</v>
          </cell>
          <cell r="J26" t="str">
            <v>Verificar las condiciones en cuanto a: la estructura administrativa, condiciones de la planta física y medios educativos adecuados.</v>
          </cell>
          <cell r="K26" t="str">
            <v>FREDDY CLAROS PEÑA</v>
          </cell>
          <cell r="L26" t="str">
            <v>LUZ MERY PARRA NOPE</v>
          </cell>
          <cell r="M26">
            <v>45814</v>
          </cell>
          <cell r="N26">
            <v>45814</v>
          </cell>
          <cell r="O26">
            <v>45814</v>
          </cell>
          <cell r="P26" t="str">
            <v>Visitas de evaluación con fines de mejoramiento</v>
          </cell>
          <cell r="Q26" t="str">
            <v>06_06_2025_INSTITUTO IP EDUCANDO LA JUVENTUD FUTURO DE COLOMBIa.pdf</v>
          </cell>
          <cell r="R26" t="str">
            <v>Se evidencia que los espacios adminsitrativos y académicos se encuentran acorde para la prestación del servicio educativo.</v>
          </cell>
          <cell r="S26" t="str">
            <v>Se sugiren continuar el mantenumiento de los espacios y dotación dispuesta para la prestación del servicio educativo</v>
          </cell>
          <cell r="T26" t="str">
            <v>No</v>
          </cell>
          <cell r="U26" t="str">
            <v>Se verificacrá en una actuación en otra vigencia o si se genera petición o queja ciudadana.</v>
          </cell>
        </row>
        <row r="27">
          <cell r="A27">
            <v>599</v>
          </cell>
          <cell r="B27">
            <v>3</v>
          </cell>
          <cell r="C27" t="str">
            <v>ENGATIVÁ</v>
          </cell>
          <cell r="D27" t="str">
            <v>PRIVADO</v>
          </cell>
          <cell r="E27" t="str">
            <v>EPBM</v>
          </cell>
          <cell r="F27" t="str">
            <v>GIMNASIO_MADRE_TRINIDAD_DE_CALCUTA</v>
          </cell>
          <cell r="G27" t="str">
            <v>GIMNASIO_MADRE_TRINIDAD_DE_CALCUTA</v>
          </cell>
          <cell r="H27" t="str">
            <v>Autoevaluación Institucional y Pruebas SABER 11</v>
          </cell>
          <cell r="I27" t="str">
            <v>SEGUIMIENTO_Y_SUPERVISIÓN.</v>
          </cell>
          <cell r="J27" t="str">
            <v>Realizar visitas para verificar la información registrada sobre la autoevaluación institucional en el aplicativo EVI, a los establecimientos de educación formal no oficial.</v>
          </cell>
          <cell r="K27" t="str">
            <v>FREDDY CLAROS PEÑA</v>
          </cell>
          <cell r="L27" t="str">
            <v>JAIME HUMBERTO RAMÍREZ LLANOS</v>
          </cell>
          <cell r="M27">
            <v>45769</v>
          </cell>
          <cell r="N27">
            <v>45771</v>
          </cell>
          <cell r="O27">
            <v>45771</v>
          </cell>
          <cell r="P27" t="str">
            <v>Visitas de evaluación con fines de seguimiento</v>
          </cell>
          <cell r="Q27" t="str">
            <v>GIM MADRE TRINIDAD DE CALCUTA.pdf</v>
          </cell>
          <cell r="R27" t="str">
            <v>Se realizó verificación de la información registrada en el aplicativo EVI encontrandose 14 aulas de clase, con dos
aulas de sistemas dotadas de 30 computadores
con conexión a internet, un área destinada de
lectura, enfermería, un depósito con
isntrumentos musicales y 17 baterias sanitarias,
10 lavamanos individuales y un depósito de
libros.</v>
          </cell>
          <cell r="S27" t="str">
            <v>Dado que faltan 4 lavamanos para la cantidad de estudiantes matriculados y hacinamiento en preescolar, el colegio se compromete a realizar los ajustes correspondientes para dar cumplimiento a lo descrito en EVI</v>
          </cell>
          <cell r="T27" t="str">
            <v>Si</v>
          </cell>
          <cell r="U27" t="str">
            <v>Se requirió presentar Plan de Majoramiento con el fin de subsanar la situación actual de las áreas en cuanto a capacidad . El PMI debe ser entregado  el 12 de mayo de 2025</v>
          </cell>
        </row>
        <row r="28">
          <cell r="A28">
            <v>600</v>
          </cell>
          <cell r="B28">
            <v>3</v>
          </cell>
          <cell r="C28" t="str">
            <v>ENGATIVÁ</v>
          </cell>
          <cell r="D28" t="str">
            <v>PRIVADO</v>
          </cell>
          <cell r="E28" t="str">
            <v>EPBM</v>
          </cell>
          <cell r="F28" t="str">
            <v>GIMNASIO_MADRE_TRINIDAD_DE_CALCUTA</v>
          </cell>
          <cell r="G28" t="str">
            <v>GIMNASIO_MADRE_TRINIDAD_DE_CALCUTA</v>
          </cell>
          <cell r="H28" t="str">
            <v>Autoevaluación Institucional y Pruebas SABER 11</v>
          </cell>
          <cell r="I28" t="str">
            <v>SEGUIMIENTO_Y_SUPERVISIÓN.</v>
          </cell>
          <cell r="J28" t="str">
            <v>Proponer estrategias en la formulación, verificar su elaboración y realizar seguimiento semestral al desarrollo de  las acciones establecidas en los planes de mejoramiento por pruebas SABER 11 de los establecimientos de educación formal.</v>
          </cell>
          <cell r="K28" t="str">
            <v>FREDDY CLAROS PEÑA</v>
          </cell>
          <cell r="L28" t="str">
            <v>JAIME HUMBERTO RAMÍREZ LLANOS</v>
          </cell>
          <cell r="M28">
            <v>45769</v>
          </cell>
          <cell r="N28">
            <v>45771</v>
          </cell>
          <cell r="O28">
            <v>45771</v>
          </cell>
          <cell r="P28" t="str">
            <v>Visitas de evaluación con fines de seguimiento</v>
          </cell>
          <cell r="Q28" t="str">
            <v>GIM MADRE TRINIDAD DE CALCUTA.pdf</v>
          </cell>
          <cell r="R28" t="str">
            <v>Se evidenció el establecimiento de un plan de mejoramiento que posee indicadores, situación identificada y oportunidades y actividades de mejora.
No se han realizado actualizaciones del curriculo y plan de estudios con base en los resultados del plan</v>
          </cell>
          <cell r="S28" t="str">
            <v>Se resalta el mejoramiento en las pruebas, se solicita que el plan de mejoramiento tenga en cuenta a toda la comunidad educativa, niveles y diversidades.
Se solicita actualización de plan de estudios en todos los grados no solamente en 11°</v>
          </cell>
          <cell r="T28" t="str">
            <v>Si</v>
          </cell>
          <cell r="U28" t="str">
            <v>Se requirió presentar Plan de Majoramiento con el fin de subsanar la situación actual. El PMI debe ser entregado el 9 de mayo de 2025</v>
          </cell>
        </row>
        <row r="29">
          <cell r="A29">
            <v>601</v>
          </cell>
          <cell r="B29">
            <v>3</v>
          </cell>
          <cell r="C29" t="str">
            <v>ENGATIVÁ</v>
          </cell>
          <cell r="D29" t="str">
            <v>PRIVADO</v>
          </cell>
          <cell r="E29" t="str">
            <v>EPBM</v>
          </cell>
          <cell r="F29" t="str">
            <v>GIMNASIO_MADRE_TRINIDAD_DE_CALCUTA</v>
          </cell>
          <cell r="G29" t="str">
            <v>GIMNASIO_MADRE_TRINIDAD_DE_CALCUTA</v>
          </cell>
          <cell r="H29" t="str">
            <v>Autoevaluación Institucional y Pruebas SABER 11</v>
          </cell>
          <cell r="I29" t="str">
            <v>SEGUIMIENTO_Y_SUPERVISIÓN.</v>
          </cell>
          <cell r="J29" t="str">
            <v xml:space="preserve">Verificar la implementación por parte de los colegios, de acciones realizadas para la prevención y atención de las situaciones de convivencia en el entorno escolar, según lo establecido en la Directiva 01 de 2022 del MEN. </v>
          </cell>
          <cell r="K29" t="str">
            <v>FREDDY CLAROS PEÑA</v>
          </cell>
          <cell r="L29" t="str">
            <v>JAIME HUMBERTO RAMÍREZ LLANOS</v>
          </cell>
          <cell r="M29">
            <v>45769</v>
          </cell>
          <cell r="N29">
            <v>45771</v>
          </cell>
          <cell r="O29">
            <v>45771</v>
          </cell>
          <cell r="P29" t="str">
            <v>Visitas de evaluación con fines de seguimiento</v>
          </cell>
          <cell r="Q29" t="str">
            <v>GIM MADRE TRINIDAD DE CALCUTA.pdf</v>
          </cell>
          <cell r="R29" t="str">
            <v>El E.E. no realiza verificación de inhabilidad por parte del personal contratado</v>
          </cell>
          <cell r="S29" t="str">
            <v>Se explica al rector, coordinador y orientadora escolar la Directiva y se informa como se debe realizar las consultas de las inhabilidades</v>
          </cell>
          <cell r="T29" t="str">
            <v>Si</v>
          </cell>
          <cell r="U29" t="str">
            <v>Se requirió presentar Plan de Majoramiento con el fin de subsanar la situación actual. El PMI debe ser entregado el 9 de mayo de 2025</v>
          </cell>
        </row>
        <row r="30">
          <cell r="A30">
            <v>602</v>
          </cell>
          <cell r="B30">
            <v>3</v>
          </cell>
          <cell r="C30" t="str">
            <v>ENGATIVÁ</v>
          </cell>
          <cell r="D30" t="str">
            <v>PRIVADO</v>
          </cell>
          <cell r="E30" t="str">
            <v>EPBM</v>
          </cell>
          <cell r="F30" t="str">
            <v>GIMNASIO_MADRE_TRINIDAD_DE_CALCUTA</v>
          </cell>
          <cell r="G30" t="str">
            <v>GIMNASIO_MADRE_TRINIDAD_DE_CALCUTA</v>
          </cell>
          <cell r="H30" t="str">
            <v>Autoevaluación Institucional y Pruebas SABER 11</v>
          </cell>
          <cell r="I30" t="str">
            <v>SEGUIMIENTO_Y_SUPERVISIÓN.</v>
          </cell>
          <cell r="J3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0" t="str">
            <v>FREDDY CLAROS PEÑA</v>
          </cell>
          <cell r="L30" t="str">
            <v>JAIME HUMBERTO RAMÍREZ LLANOS</v>
          </cell>
          <cell r="M30">
            <v>45769</v>
          </cell>
          <cell r="N30">
            <v>45771</v>
          </cell>
          <cell r="O30">
            <v>45771</v>
          </cell>
          <cell r="P30" t="str">
            <v>Visitas de evaluación con fines de seguimiento</v>
          </cell>
          <cell r="Q30" t="str">
            <v>GIM MADRE TRINIDAD DE CALCUTA.pdf</v>
          </cell>
          <cell r="R30" t="str">
            <v>Se observa que tienen 9 estudiantes con alguna discapacidad, de los cuales se han estructurado y socializado 5 PIAR, faltan 4</v>
          </cell>
          <cell r="S30" t="str">
            <v>Se dan recomendaciones para el correcto diseño de los PIAR y se remite formato establecido para tal fin</v>
          </cell>
          <cell r="T30" t="str">
            <v>Si</v>
          </cell>
          <cell r="U30" t="str">
            <v>Se requirió presentar Plan de Majoramiento con el fin de subsanar la situación actual. El PMI debe ser entregado el 9 de mayo de 2025</v>
          </cell>
        </row>
        <row r="31">
          <cell r="A31">
            <v>603</v>
          </cell>
          <cell r="B31">
            <v>3</v>
          </cell>
          <cell r="C31" t="str">
            <v>ENGATIVÁ</v>
          </cell>
          <cell r="D31" t="str">
            <v>PRIVADO</v>
          </cell>
          <cell r="E31" t="str">
            <v>EPBM</v>
          </cell>
          <cell r="F31" t="str">
            <v>GIMNASIO_MADRE_TRINIDAD_DE_CALCUTA</v>
          </cell>
          <cell r="G31" t="str">
            <v>GIMNASIO_MADRE_TRINIDAD_DE_CALCUTA</v>
          </cell>
          <cell r="H31" t="str">
            <v>Autoevaluación Institucional y Pruebas SABER 11</v>
          </cell>
          <cell r="I31" t="str">
            <v>EVALUACIÓN_CON_FINES_DE_MEJORAMIENTO.</v>
          </cell>
          <cell r="J3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1" t="str">
            <v>FREDDY CLAROS PEÑA</v>
          </cell>
          <cell r="L31" t="str">
            <v>JAIME HUMBERTO RAMÍREZ LLANOS</v>
          </cell>
          <cell r="M31">
            <v>45769</v>
          </cell>
          <cell r="N31">
            <v>45771</v>
          </cell>
          <cell r="O31">
            <v>45771</v>
          </cell>
          <cell r="P31" t="str">
            <v>Visitas de evaluación con fines de mejoramiento</v>
          </cell>
          <cell r="Q31" t="str">
            <v>GIM MADRE TRINIDAD DE CALCUTA.pdf</v>
          </cell>
          <cell r="R31" t="str">
            <v>No se encontraron evidencias de la participacion de la comunidad educativa en actualización del manual de convivencia
Se socializó mediante circular y en asamblea de padres al inicio del año escolar 2025</v>
          </cell>
          <cell r="S31" t="str">
            <v xml:space="preserve">Se indica que debe quedar soporte de los procesos que se llevan a cabo frente a la construcción participativa del Manual de convivencia </v>
          </cell>
          <cell r="T31" t="str">
            <v>Si</v>
          </cell>
          <cell r="U31" t="str">
            <v>Se requirió presentar Plan de Majoramiento con el fin de subsanar la situación actual. El PMI debe ser entregado el 9 de mayo de 2025</v>
          </cell>
        </row>
        <row r="32">
          <cell r="A32">
            <v>604</v>
          </cell>
          <cell r="B32">
            <v>3</v>
          </cell>
          <cell r="C32" t="str">
            <v>ENGATIVÁ</v>
          </cell>
          <cell r="D32" t="str">
            <v>PRIVADO</v>
          </cell>
          <cell r="E32" t="str">
            <v>EPBM</v>
          </cell>
          <cell r="F32" t="str">
            <v>GIMNASIO_MADRE_TRINIDAD_DE_CALCUTA</v>
          </cell>
          <cell r="G32" t="str">
            <v>GIMNASIO_MADRE_TRINIDAD_DE_CALCUTA</v>
          </cell>
          <cell r="H32" t="str">
            <v>Autoevaluación Institucional y Pruebas SABER 11</v>
          </cell>
          <cell r="I32" t="str">
            <v>EVALUACIÓN_CON_FINES_DE_MEJORAMIENTO.</v>
          </cell>
          <cell r="J32" t="str">
            <v>Revisar la actualización, socialización e implementación del Sistema Institucional de Evaluación de Estudiantes - SIEE, en articulación con la actualización del PEI y la normatividad vigente.</v>
          </cell>
          <cell r="K32" t="str">
            <v>FREDDY CLAROS PEÑA</v>
          </cell>
          <cell r="L32" t="str">
            <v>JAIME HUMBERTO RAMÍREZ LLANOS</v>
          </cell>
          <cell r="M32">
            <v>45769</v>
          </cell>
          <cell r="N32">
            <v>45771</v>
          </cell>
          <cell r="O32">
            <v>45771</v>
          </cell>
          <cell r="P32" t="str">
            <v>Visitas de evaluación con fines de mejoramiento</v>
          </cell>
          <cell r="Q32" t="str">
            <v>GIM MADRE TRINIDAD DE CALCUTA.pdf</v>
          </cell>
          <cell r="R32" t="str">
            <v>No se encontraron evidencias de la participacion de la comunidad educativa en actualización del SIEE.
Se socializó mediante circular y en asamblea de padres</v>
          </cell>
          <cell r="S32" t="str">
            <v xml:space="preserve">Se indica que debe quedar soporte de los procesos que se llevan a cabo frente a la construcción participativa del SIEE </v>
          </cell>
          <cell r="T32" t="str">
            <v>Si</v>
          </cell>
          <cell r="U32" t="str">
            <v>Se requirió presentar Plan de Majoramiento con el fin de subsanar la situación actual. El PMI debe ser entregado el 9 de mayo de 2025</v>
          </cell>
        </row>
        <row r="33">
          <cell r="A33">
            <v>605</v>
          </cell>
          <cell r="B33">
            <v>3</v>
          </cell>
          <cell r="C33" t="str">
            <v>ENGATIVÁ</v>
          </cell>
          <cell r="D33" t="str">
            <v>PRIVADO</v>
          </cell>
          <cell r="E33" t="str">
            <v>EPBM</v>
          </cell>
          <cell r="F33" t="str">
            <v>GIMNASIO_MADRE_TRINIDAD_DE_CALCUTA</v>
          </cell>
          <cell r="G33" t="str">
            <v>GIMNASIO_MADRE_TRINIDAD_DE_CALCUTA</v>
          </cell>
          <cell r="H33" t="str">
            <v>Autoevaluación Institucional y Pruebas SABER 11</v>
          </cell>
          <cell r="I33" t="str">
            <v>EVALUACIÓN_CON_FINES_DE_MEJORAMIENTO.</v>
          </cell>
          <cell r="J33" t="str">
            <v>Revisar el calendario escolar, jornada escolar, la intensidad horaria mínima anual en cada nivel y las modificaciones que se realicen al mismo, de acuerdo con lo previsto en la normatividad vigente.</v>
          </cell>
          <cell r="K33" t="str">
            <v>FREDDY CLAROS PEÑA</v>
          </cell>
          <cell r="L33" t="str">
            <v>JAIME HUMBERTO RAMÍREZ LLANOS</v>
          </cell>
          <cell r="M33">
            <v>45769</v>
          </cell>
          <cell r="N33">
            <v>45771</v>
          </cell>
          <cell r="O33">
            <v>45771</v>
          </cell>
          <cell r="P33" t="str">
            <v>Visitas de evaluación con fines de mejoramiento</v>
          </cell>
          <cell r="Q33" t="str">
            <v>GIM MADRE TRINIDAD DE CALCUTA.pdf</v>
          </cell>
          <cell r="R33" t="str">
            <v xml:space="preserve">Se revisa en el formato establecido el cumplimiento de la intensidad horaria </v>
          </cell>
          <cell r="S33" t="str">
            <v>El colegio cumple la intensidad horaria establecida por nivel según normativa vigente</v>
          </cell>
          <cell r="T33" t="str">
            <v>No</v>
          </cell>
          <cell r="U33" t="str">
            <v>Se realizará verifricación dado el caso que se requiera por alguna petición o en la próxima vigencia académica</v>
          </cell>
        </row>
        <row r="34">
          <cell r="A34">
            <v>606</v>
          </cell>
          <cell r="B34">
            <v>3</v>
          </cell>
          <cell r="C34" t="str">
            <v>ENGATIVÁ</v>
          </cell>
          <cell r="D34" t="str">
            <v>PRIVADO</v>
          </cell>
          <cell r="E34" t="str">
            <v>EPBM</v>
          </cell>
          <cell r="F34" t="str">
            <v>GIMNASIO_MADRE_TRINIDAD_DE_CALCUTA</v>
          </cell>
          <cell r="G34" t="str">
            <v>GIMNASIO_MADRE_TRINIDAD_DE_CALCUTA</v>
          </cell>
          <cell r="H34" t="str">
            <v>Autoevaluación Institucional y Pruebas SABER 11</v>
          </cell>
          <cell r="I34" t="str">
            <v>EVALUACIÓN_CON_FINES_DE_MEJORAMIENTO.</v>
          </cell>
          <cell r="J34" t="str">
            <v>Verificar el funcionamiento del Gobierno Escolar e instancias de participación con base en la información sobre conformación reportada por la institución educativa.</v>
          </cell>
          <cell r="K34" t="str">
            <v>FREDDY CLAROS PEÑA</v>
          </cell>
          <cell r="L34" t="str">
            <v>JAIME HUMBERTO RAMÍREZ LLANOS</v>
          </cell>
          <cell r="M34">
            <v>45769</v>
          </cell>
          <cell r="N34">
            <v>45771</v>
          </cell>
          <cell r="O34">
            <v>45771</v>
          </cell>
          <cell r="P34" t="str">
            <v>Visitas de evaluación con fines de mejoramiento</v>
          </cell>
          <cell r="Q34" t="str">
            <v>GIM MADRE TRINIDAD DE CALCUTA.pdf</v>
          </cell>
          <cell r="R34" t="str">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ell>
          <cell r="S34" t="str">
            <v>Se solicita que las actan tenga una descripción más amplia de los temas tratados, que se especifiquen y relaciones las funciones propias de cada comité, así como el cronograma de sesiones  y se encuentren firmadas las actas de reunión</v>
          </cell>
          <cell r="T34" t="str">
            <v>Si</v>
          </cell>
          <cell r="U34" t="str">
            <v>Se requirió presentar Plan de Majoramiento con el fin de subsanar la situación actual. El PMI debe ser entregado el 9 de mayo de 2025</v>
          </cell>
        </row>
        <row r="35">
          <cell r="A35">
            <v>607</v>
          </cell>
          <cell r="B35">
            <v>3</v>
          </cell>
          <cell r="C35" t="str">
            <v>ENGATIVÁ</v>
          </cell>
          <cell r="D35" t="str">
            <v>PRIVADO</v>
          </cell>
          <cell r="E35" t="str">
            <v>EPBM</v>
          </cell>
          <cell r="F35" t="str">
            <v>GIMNASIO_MADRE_TRINIDAD_DE_CALCUTA</v>
          </cell>
          <cell r="G35" t="str">
            <v>GIMNASIO_MADRE_TRINIDAD_DE_CALCUTA</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FREDDY CLAROS PEÑA</v>
          </cell>
          <cell r="L35" t="str">
            <v>JAIME HUMBERTO RAMÍREZ LLANOS</v>
          </cell>
          <cell r="M35">
            <v>45769</v>
          </cell>
          <cell r="N35">
            <v>45771</v>
          </cell>
          <cell r="O35">
            <v>45771</v>
          </cell>
          <cell r="P35" t="str">
            <v>Visitas de evaluación con fines de mejoramiento</v>
          </cell>
          <cell r="Q35" t="str">
            <v>GIM MADRE TRINIDAD DE CALCUTA.pdf</v>
          </cell>
          <cell r="R35" t="str">
            <v>Se evidencia que los espacios adminsitrativos y académicos se encuentran a corde para la prestación del servicio educativo, sin emabrgo el E.E no ha logrado definir las nomenclaturas debido a la actalización catastral.</v>
          </cell>
          <cell r="S35" t="str">
            <v xml:space="preserve">Se deberá cambiar de aula a los estudiantes de grado preescolar </v>
          </cell>
          <cell r="T35" t="str">
            <v>Si</v>
          </cell>
          <cell r="U35" t="str">
            <v>Se requirió presentar Plan de Majoramiento con el fin de subsanar la situación actual. El PMI debe ser entregado el 9 de mayo de 2025</v>
          </cell>
        </row>
        <row r="36">
          <cell r="A36">
            <v>608</v>
          </cell>
          <cell r="B36">
            <v>4</v>
          </cell>
          <cell r="C36" t="str">
            <v>ENGATIVÁ</v>
          </cell>
          <cell r="D36" t="str">
            <v>PRIVADO</v>
          </cell>
          <cell r="E36" t="str">
            <v>Educación de Jóvenes y Adultos</v>
          </cell>
          <cell r="F36" t="str">
            <v>CENTRO_PANAMERICANO_DE_CAPACITACION</v>
          </cell>
          <cell r="G36" t="str">
            <v>CENTRO_PANAMERICANO_DE_CAPACITACION</v>
          </cell>
          <cell r="H36" t="str">
            <v>Autoevaluación Institucional y Pruebas SABER 11</v>
          </cell>
          <cell r="I36" t="str">
            <v>SEGUIMIENTO_Y_SUPERVISIÓN.</v>
          </cell>
          <cell r="J36" t="str">
            <v>Realizar visitas para verificar la información registrada sobre la autoevaluación institucional en el aplicativo EVI, a los establecimientos de educación formal no oficial.</v>
          </cell>
          <cell r="K36" t="str">
            <v>JAIME HUMBERTO RAMÍREZ LLANOS</v>
          </cell>
          <cell r="L36" t="str">
            <v>LUZ MERY PARRA NOPE</v>
          </cell>
          <cell r="M36">
            <v>45721</v>
          </cell>
          <cell r="N36">
            <v>45752</v>
          </cell>
          <cell r="O36">
            <v>45752</v>
          </cell>
          <cell r="P36" t="str">
            <v>Visitas de evaluación con fines de seguimiento</v>
          </cell>
          <cell r="Q36" t="str">
            <v>Acta visita Centro Panamericano05-04-2025.pdf</v>
          </cell>
          <cell r="R36" t="str">
            <v>La institución educativa lleva siete año sin diligenciar adecuadamente el aplicativo EVI por este motivo el presente año se le expidieron costos en régimen controlado</v>
          </cell>
          <cell r="S36" t="str">
            <v>Para la emisión de costos 2026 la institución se compromete a hacer el diligenciamiento en forma adecuada</v>
          </cell>
          <cell r="T36" t="str">
            <v>Si</v>
          </cell>
          <cell r="U36" t="str">
            <v>Se llevó a cabo visita de verificación el 08/11/2025 para garantizar cumplimiento Se hará seguimiento en el 2026</v>
          </cell>
        </row>
        <row r="37">
          <cell r="A37">
            <v>609</v>
          </cell>
          <cell r="B37">
            <v>4</v>
          </cell>
          <cell r="C37" t="str">
            <v>ENGATIVÁ</v>
          </cell>
          <cell r="D37" t="str">
            <v>PRIVADO</v>
          </cell>
          <cell r="E37" t="str">
            <v>Educación de Jóvenes y Adultos</v>
          </cell>
          <cell r="F37" t="str">
            <v>CENTRO_PANAMERICANO_DE_CAPACITACION</v>
          </cell>
          <cell r="G37" t="str">
            <v>CENTRO_PANAMERICANO_DE_CAPACITACION</v>
          </cell>
          <cell r="H37" t="str">
            <v>Autoevaluación Institucional y Pruebas SABER 11</v>
          </cell>
          <cell r="I37" t="str">
            <v>SEGUIMIENTO_Y_SUPERVISIÓN.</v>
          </cell>
          <cell r="J37" t="str">
            <v>Proponer estrategias en la formulación, verificar su elaboración y realizar seguimiento semestral al desarrollo de  las acciones establecidas en los planes de mejoramiento por pruebas SABER 11 de los establecimientos de educación formal.</v>
          </cell>
          <cell r="K37" t="str">
            <v>JAIME HUMBERTO RAMÍREZ LLANOS</v>
          </cell>
          <cell r="L37" t="str">
            <v>LUZ MERY PARRA NOPE</v>
          </cell>
          <cell r="M37">
            <v>45752</v>
          </cell>
          <cell r="N37">
            <v>45752</v>
          </cell>
          <cell r="O37">
            <v>45752</v>
          </cell>
          <cell r="P37" t="str">
            <v>Visitas de evaluación con fines de seguimiento</v>
          </cell>
          <cell r="Q37" t="str">
            <v>Acta visita Centro Panamericano05-04-2025.pdf</v>
          </cell>
          <cell r="R37" t="str">
            <v>La IE en las pruebas saber año 2024 quedó clasificada en el nivel D</v>
          </cell>
          <cell r="S37" t="str">
            <v>La institución sostiene que por la condición de sus estudiantes CLEI muchos de ellos solo asisten por obtener el título de bachiller, pese a esto se les hacen refuerzos y se continuará con su preparación para la presentación de las pruebas</v>
          </cell>
          <cell r="T37" t="str">
            <v>Si</v>
          </cell>
          <cell r="U37" t="str">
            <v>La institución tiene programados tres simulacros antes de la presentación de las pruebas, uno de los cuales se llevó a cabo el día 27 de marzo con el fin de hacer un diagnóstico inicial que permita verificar en qué áreas hacer énfasis. Se hace verificación de cumplimiento 08/11/2025</v>
          </cell>
        </row>
        <row r="38">
          <cell r="A38">
            <v>610</v>
          </cell>
          <cell r="B38">
            <v>4</v>
          </cell>
          <cell r="C38" t="str">
            <v>ENGATIVÁ</v>
          </cell>
          <cell r="D38" t="str">
            <v>PRIVADO</v>
          </cell>
          <cell r="E38" t="str">
            <v>Educación de Jóvenes y Adultos</v>
          </cell>
          <cell r="F38" t="str">
            <v>CENTRO_PANAMERICANO_DE_CAPACITACION</v>
          </cell>
          <cell r="G38" t="str">
            <v>CENTRO_PANAMERICANO_DE_CAPACITACION</v>
          </cell>
          <cell r="H38" t="str">
            <v>Autoevaluación Institucional y Pruebas SABER 11</v>
          </cell>
          <cell r="I38" t="str">
            <v>SEGUIMIENTO_Y_SUPERVISIÓN.</v>
          </cell>
          <cell r="J38" t="str">
            <v xml:space="preserve">Verificar la implementación por parte de los colegios, de acciones realizadas para la prevención y atención de las situaciones de convivencia en el entorno escolar, según lo establecido en la Directiva 01 de 2022 del MEN. </v>
          </cell>
          <cell r="K38" t="str">
            <v>JAIME HUMBERTO RAMÍREZ LLANOS</v>
          </cell>
          <cell r="L38" t="str">
            <v>LUZ MERY PARRA NOPE</v>
          </cell>
          <cell r="M38">
            <v>45752</v>
          </cell>
          <cell r="N38">
            <v>45752</v>
          </cell>
          <cell r="O38">
            <v>45752</v>
          </cell>
          <cell r="P38" t="str">
            <v>Visitas de evaluación con fines de seguimiento</v>
          </cell>
          <cell r="Q38" t="str">
            <v>Acta visita Centro Panamericano05-04-2025.pdf</v>
          </cell>
          <cell r="R38" t="str">
            <v>La institución educativa no hace la verificación que la directiva exige</v>
          </cell>
          <cell r="S38" t="str">
            <v>La institución de compromete a hacer las verificaciones de acuerdo con la directiva Ministerial</v>
          </cell>
          <cell r="T38" t="str">
            <v>Si</v>
          </cell>
          <cell r="U38" t="str">
            <v>La institución con fecha máxima 25 de abril del 2025 presentará plan de mejora con el fin de ser revisado por el equipo de Inspección y Vigilancia para hacer los ajustes y la trazabilidad correspondiente. Se hace verificación de cumplimiento 08/11/2025</v>
          </cell>
        </row>
        <row r="39">
          <cell r="A39">
            <v>611</v>
          </cell>
          <cell r="B39">
            <v>4</v>
          </cell>
          <cell r="C39" t="str">
            <v>ENGATIVÁ</v>
          </cell>
          <cell r="D39" t="str">
            <v>PRIVADO</v>
          </cell>
          <cell r="E39" t="str">
            <v>Educación de Jóvenes y Adultos</v>
          </cell>
          <cell r="F39" t="str">
            <v>CENTRO_PANAMERICANO_DE_CAPACITACION</v>
          </cell>
          <cell r="G39" t="str">
            <v>CENTRO_PANAMERICANO_DE_CAPACITACION</v>
          </cell>
          <cell r="H39" t="str">
            <v>Autoevaluación Institucional y Pruebas SABER 11</v>
          </cell>
          <cell r="I39" t="str">
            <v>SEGUIMIENTO_Y_SUPERVISIÓN.</v>
          </cell>
          <cell r="J3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 t="str">
            <v>JAIME HUMBERTO RAMÍREZ LLANOS</v>
          </cell>
          <cell r="L39" t="str">
            <v>LUZ MERY PARRA NOPE</v>
          </cell>
          <cell r="M39">
            <v>45752</v>
          </cell>
          <cell r="N39">
            <v>45752</v>
          </cell>
          <cell r="O39">
            <v>45752</v>
          </cell>
          <cell r="P39" t="str">
            <v>Visitas de evaluación con fines de seguimiento</v>
          </cell>
          <cell r="Q39" t="str">
            <v>Acta visita Centro Panamericano05-04-2025.pdf</v>
          </cell>
          <cell r="R39" t="str">
            <v>La institución no tiene identificados estudiantes con discapacidad</v>
          </cell>
          <cell r="S39" t="str">
            <v>La institución se compromete a hacer la verificación y elaborar si es neceario los PIAR</v>
          </cell>
          <cell r="T39" t="str">
            <v>Si</v>
          </cell>
          <cell r="U39" t="str">
            <v>La institución con fecha máxima 25 de abril del 2025 presentará plan de mejora con el fin de ser revisado por el equipo de Inspección y Vigilancia para hacer los ajustes y la trazabilidad correspondiente. Se hace verificación de cumplimiento 08/11/2025</v>
          </cell>
        </row>
        <row r="40">
          <cell r="A40">
            <v>612</v>
          </cell>
          <cell r="B40">
            <v>4</v>
          </cell>
          <cell r="C40" t="str">
            <v>ENGATIVÁ</v>
          </cell>
          <cell r="D40" t="str">
            <v>PRIVADO</v>
          </cell>
          <cell r="E40" t="str">
            <v>Educación de Jóvenes y Adultos</v>
          </cell>
          <cell r="F40" t="str">
            <v>CENTRO_PANAMERICANO_DE_CAPACITACION</v>
          </cell>
          <cell r="G40" t="str">
            <v>CENTRO_PANAMERICANO_DE_CAPACITACION</v>
          </cell>
          <cell r="H40" t="str">
            <v>Autoevaluación Institucional y Pruebas SABER 11</v>
          </cell>
          <cell r="I40" t="str">
            <v>EVALUACIÓN_CON_FINES_DE_MEJORAMIENTO.</v>
          </cell>
          <cell r="J4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0" t="str">
            <v>JAIME HUMBERTO RAMÍREZ LLANOS</v>
          </cell>
          <cell r="L40" t="str">
            <v>LUZ MERY PARRA NOPE</v>
          </cell>
          <cell r="M40">
            <v>45752</v>
          </cell>
          <cell r="N40">
            <v>45752</v>
          </cell>
          <cell r="O40">
            <v>45752</v>
          </cell>
          <cell r="P40" t="str">
            <v>Visitas de evaluación con fines de mejoramiento</v>
          </cell>
          <cell r="Q40" t="str">
            <v>Acta visita Centro Panamericano05-04-2025.pdf</v>
          </cell>
          <cell r="R40" t="str">
            <v>El manual de convivencia está totalmente desactualizado</v>
          </cell>
          <cell r="S40" t="str">
            <v>La institución se compromete a hacer la debida revisión y actualización</v>
          </cell>
          <cell r="T40" t="str">
            <v>Si</v>
          </cell>
          <cell r="U40" t="str">
            <v>La institución con fecha máxima 25 de abril del 2025 presentará plan de mejora con el fin de ser revisado por el equipo de Inspección y Vigilancia para hacer los ajustes y la trazabilidad correspondiente. Se hace verificación de cumplimiento 08/11/2025</v>
          </cell>
        </row>
        <row r="41">
          <cell r="A41">
            <v>613</v>
          </cell>
          <cell r="B41">
            <v>4</v>
          </cell>
          <cell r="C41" t="str">
            <v>ENGATIVÁ</v>
          </cell>
          <cell r="D41" t="str">
            <v>PRIVADO</v>
          </cell>
          <cell r="E41" t="str">
            <v>Educación de Jóvenes y Adultos</v>
          </cell>
          <cell r="F41" t="str">
            <v>CENTRO_PANAMERICANO_DE_CAPACITACION</v>
          </cell>
          <cell r="G41" t="str">
            <v>CENTRO_PANAMERICANO_DE_CAPACITACION</v>
          </cell>
          <cell r="H41" t="str">
            <v>Autoevaluación Institucional y Pruebas SABER 11</v>
          </cell>
          <cell r="I41" t="str">
            <v>EVALUACIÓN_CON_FINES_DE_MEJORAMIENTO.</v>
          </cell>
          <cell r="J41" t="str">
            <v>Revisar la actualización, socialización e implementación del Sistema Institucional de Evaluación de Estudiantes - SIEE, en articulación con la actualización del PEI y la normatividad vigente.</v>
          </cell>
          <cell r="K41" t="str">
            <v>JAIME HUMBERTO RAMÍREZ LLANOS</v>
          </cell>
          <cell r="L41" t="str">
            <v>LUZ MERY PARRA NOPE</v>
          </cell>
          <cell r="M41">
            <v>45752</v>
          </cell>
          <cell r="N41">
            <v>45752</v>
          </cell>
          <cell r="O41">
            <v>45752</v>
          </cell>
          <cell r="P41" t="str">
            <v>Visitas de evaluación con fines de mejoramiento</v>
          </cell>
          <cell r="Q41" t="str">
            <v>Acta visita Centro Panamericano05-04-2025.pdf</v>
          </cell>
          <cell r="R41" t="str">
            <v>El SIEE como todos los compnentes del PEI están totalmente desactualizados</v>
          </cell>
          <cell r="S41" t="str">
            <v>La institución se compromete a hacer la debida revisión y actualización</v>
          </cell>
          <cell r="T41" t="str">
            <v>Si</v>
          </cell>
          <cell r="U41" t="str">
            <v>La institución con fecha máxima 25 de abril del 2025 presentará plan de mejora con el fin de ser revisado por el equipo de Inspección y Vigilancia para hacer los ajustes y la trazabilidad correspondiente. Se hace verificación de cumplimiento 08/11/2025</v>
          </cell>
        </row>
        <row r="42">
          <cell r="A42">
            <v>614</v>
          </cell>
          <cell r="B42">
            <v>4</v>
          </cell>
          <cell r="C42" t="str">
            <v>ENGATIVÁ</v>
          </cell>
          <cell r="D42" t="str">
            <v>PRIVADO</v>
          </cell>
          <cell r="E42" t="str">
            <v>Educación de Jóvenes y Adultos</v>
          </cell>
          <cell r="F42" t="str">
            <v>CENTRO_PANAMERICANO_DE_CAPACITACION</v>
          </cell>
          <cell r="G42" t="str">
            <v>CENTRO_PANAMERICANO_DE_CAPACITACION</v>
          </cell>
          <cell r="H42" t="str">
            <v>Autoevaluación Institucional y Pruebas SABER 11</v>
          </cell>
          <cell r="I42" t="str">
            <v>EVALUACIÓN_CON_FINES_DE_MEJORAMIENTO.</v>
          </cell>
          <cell r="J42" t="str">
            <v>Revisar el calendario escolar, jornada escolar, la intensidad horaria mínima anual en cada nivel y las modificaciones que se realicen al mismo, de acuerdo con lo previsto en la normatividad vigente.</v>
          </cell>
          <cell r="K42" t="str">
            <v>JAIME HUMBERTO RAMÍREZ LLANOS</v>
          </cell>
          <cell r="L42" t="str">
            <v>LUZ MERY PARRA NOPE</v>
          </cell>
          <cell r="M42">
            <v>45752</v>
          </cell>
          <cell r="N42">
            <v>45752</v>
          </cell>
          <cell r="O42">
            <v>45752</v>
          </cell>
          <cell r="P42" t="str">
            <v>Visitas de evaluación con fines de mejoramiento</v>
          </cell>
          <cell r="Q42" t="str">
            <v>Acta visita Centro Panamericano05-04-2025.pdf</v>
          </cell>
          <cell r="R42" t="str">
            <v>Para la fecha la institución no tiene debidamente elaborado su calendario escolar</v>
          </cell>
          <cell r="S42" t="str">
            <v>La institución se compromete a hacer la debida revisión y actualización</v>
          </cell>
          <cell r="T42" t="str">
            <v>Si</v>
          </cell>
          <cell r="U42" t="str">
            <v>Se llevó a cabo visita de verificación el 08/11/2025 para garantizar cumplimiento Se hará seguimiento en el 2026</v>
          </cell>
        </row>
        <row r="43">
          <cell r="A43">
            <v>615</v>
          </cell>
          <cell r="B43">
            <v>4</v>
          </cell>
          <cell r="C43" t="str">
            <v>ENGATIVÁ</v>
          </cell>
          <cell r="D43" t="str">
            <v>PRIVADO</v>
          </cell>
          <cell r="E43" t="str">
            <v>Educación de Jóvenes y Adultos</v>
          </cell>
          <cell r="F43" t="str">
            <v>CENTRO_PANAMERICANO_DE_CAPACITACION</v>
          </cell>
          <cell r="G43" t="str">
            <v>CENTRO_PANAMERICANO_DE_CAPACITACION</v>
          </cell>
          <cell r="H43" t="str">
            <v>Autoevaluación Institucional y Pruebas SABER 11</v>
          </cell>
          <cell r="I43" t="str">
            <v>EVALUACIÓN_CON_FINES_DE_MEJORAMIENTO.</v>
          </cell>
          <cell r="J43" t="str">
            <v>Verificar el funcionamiento del Gobierno Escolar e instancias de participación con base en la información sobre conformación reportada por la institución educativa.</v>
          </cell>
          <cell r="K43" t="str">
            <v>JAIME HUMBERTO RAMÍREZ LLANOS</v>
          </cell>
          <cell r="L43" t="str">
            <v>LUZ MERY PARRA NOPE</v>
          </cell>
          <cell r="M43">
            <v>45752</v>
          </cell>
          <cell r="N43">
            <v>45752</v>
          </cell>
          <cell r="O43">
            <v>45752</v>
          </cell>
          <cell r="P43" t="str">
            <v>Visitas de evaluación con fines de mejoramiento</v>
          </cell>
          <cell r="Q43" t="str">
            <v>Acta visita Centro Panamericano05-04-2025.pdf</v>
          </cell>
          <cell r="R43" t="str">
            <v>La institución no tiene conformado totalmente el gobierno escolar</v>
          </cell>
          <cell r="S43" t="str">
            <v>La institución se compromete a hacer la debida revisión y actualización</v>
          </cell>
          <cell r="T43" t="str">
            <v>Si</v>
          </cell>
          <cell r="U43" t="str">
            <v>Se llevó a cabo visita de verificación el 08/11/2025 para garantizar cumplimiento Se hará seguimiento en el 2026</v>
          </cell>
        </row>
        <row r="44">
          <cell r="A44">
            <v>616</v>
          </cell>
          <cell r="B44">
            <v>4</v>
          </cell>
          <cell r="C44" t="str">
            <v>ENGATIVÁ</v>
          </cell>
          <cell r="D44" t="str">
            <v>PRIVADO</v>
          </cell>
          <cell r="E44" t="str">
            <v>Educación de Jóvenes y Adultos</v>
          </cell>
          <cell r="F44" t="str">
            <v>CENTRO_PANAMERICANO_DE_CAPACITACION</v>
          </cell>
          <cell r="G44" t="str">
            <v>CENTRO_PANAMERICANO_DE_CAPACITACION</v>
          </cell>
          <cell r="H44" t="str">
            <v>Autoevaluación Institucional y Pruebas SABER 11</v>
          </cell>
          <cell r="I44" t="str">
            <v>EVALUACIÓN_CON_FINES_DE_MEJORAMIENTO.</v>
          </cell>
          <cell r="J44" t="str">
            <v>Verificar las condiciones en cuanto a: la estructura administrativa, condiciones de la planta física y medios educativos adecuados.</v>
          </cell>
          <cell r="K44" t="str">
            <v>JAIME HUMBERTO RAMÍREZ LLANOS</v>
          </cell>
          <cell r="L44" t="str">
            <v>LUZ MERY PARRA NOPE</v>
          </cell>
          <cell r="M44">
            <v>45752</v>
          </cell>
          <cell r="N44">
            <v>45752</v>
          </cell>
          <cell r="O44">
            <v>45752</v>
          </cell>
          <cell r="P44" t="str">
            <v>Visitas de evaluación con fines de mejoramiento</v>
          </cell>
          <cell r="Q44" t="str">
            <v>Acta visita Centro Panamericano05-04-2025.pdf</v>
          </cell>
          <cell r="R44" t="str">
            <v>La institución cuenta con espacios pedagógico, pero sus aulas de apoyo no son suficientes</v>
          </cell>
          <cell r="S44" t="str">
            <v>La institución se compromete a hacer la debida revisión y actualización</v>
          </cell>
          <cell r="T44" t="str">
            <v>Si</v>
          </cell>
          <cell r="U44" t="str">
            <v>La institución con fecha máxima 25 de abril del 2025 presentará plan de mejora con el fin de ser revisado por el equipo de Inspección y Vigilancia para hacer los ajustes y la trazabilidad correspondiente Visita 08/11/2025, aun no tiene espacios suficientes, se hará seguimeinto en el 2026</v>
          </cell>
        </row>
        <row r="45">
          <cell r="A45">
            <v>617</v>
          </cell>
          <cell r="B45">
            <v>5</v>
          </cell>
          <cell r="C45" t="str">
            <v>ENGATIVÁ</v>
          </cell>
          <cell r="D45" t="str">
            <v>PRIVADO</v>
          </cell>
          <cell r="E45" t="str">
            <v>Educación de Jóvenes y Adultos</v>
          </cell>
          <cell r="F45" t="str">
            <v>CENTRO_DE_EDUCACION_LABORAL</v>
          </cell>
          <cell r="G45" t="str">
            <v>CENTRO_DE_EDUCACION_LABORAL</v>
          </cell>
          <cell r="H45" t="str">
            <v>Autoevaluación Institucional y Pruebas SABER 11</v>
          </cell>
          <cell r="I45" t="str">
            <v>SEGUIMIENTO_Y_SUPERVISIÓN.</v>
          </cell>
          <cell r="J45" t="str">
            <v>Realizar visitas para verificar la información registrada sobre la autoevaluación institucional en el aplicativo EVI, a los establecimientos de educación formal no oficial.</v>
          </cell>
          <cell r="K45" t="str">
            <v>SANDRA MILENA BUENAVENTURA RUEDA</v>
          </cell>
          <cell r="L45" t="str">
            <v>JAIME HUMBERTO RAMÍREZ LLANOS</v>
          </cell>
          <cell r="M45">
            <v>45743</v>
          </cell>
          <cell r="N45">
            <v>45743</v>
          </cell>
          <cell r="O45">
            <v>45743</v>
          </cell>
          <cell r="P45" t="str">
            <v>Visitas de evaluación con fines de seguimiento</v>
          </cell>
          <cell r="Q45" t="str">
            <v>ACTA VISITA CEL 27MAR2025</v>
          </cell>
          <cell r="R45" t="str">
            <v>La IE tiene diferencias en cuanto a lo registrado en EVI, ofrece educación semipresencial y a distancia y esta modalidad no esta autorizada en la Licencia de Funcionamiento, por lo que debe solicitar modificación de LF por modalidad, actualización catastal y cambio de propietario</v>
          </cell>
          <cell r="S45" t="str">
            <v>Solicitar con los correspondientes soportes la modificación de la LF</v>
          </cell>
          <cell r="T45" t="str">
            <v>Si</v>
          </cell>
          <cell r="U45" t="str">
            <v>La institución presentará plan de mejora con fecha máxima 11 de abril con el fin de ser revisado por el equipo de Inspección y Vigilancia para hacer los ajustes y la trazabilidad correspondiente</v>
          </cell>
        </row>
        <row r="46">
          <cell r="A46">
            <v>618</v>
          </cell>
          <cell r="B46">
            <v>5</v>
          </cell>
          <cell r="C46" t="str">
            <v>ENGATIVÁ</v>
          </cell>
          <cell r="D46" t="str">
            <v>PRIVADO</v>
          </cell>
          <cell r="E46" t="str">
            <v>Educación de Jóvenes y Adultos</v>
          </cell>
          <cell r="F46" t="str">
            <v>CENTRO_DE_EDUCACION_LABORAL</v>
          </cell>
          <cell r="G46" t="str">
            <v>CENTRO_DE_EDUCACION_LABORAL</v>
          </cell>
          <cell r="H46" t="str">
            <v>Autoevaluación Institucional y Pruebas SABER 11</v>
          </cell>
          <cell r="I46" t="str">
            <v>SEGUIMIENTO_Y_SUPERVISIÓN.</v>
          </cell>
          <cell r="J46" t="str">
            <v>Proponer estrategias en la formulación, verificar su elaboración y realizar seguimiento semestral al desarrollo de  las acciones establecidas en los planes de mejoramiento por pruebas SABER 11 de los establecimientos de educación formal.</v>
          </cell>
          <cell r="K46" t="str">
            <v>SANDRA MILENA BUENAVENTURA RUEDA</v>
          </cell>
          <cell r="L46" t="str">
            <v>JAIME HUMBERTO RAMÍREZ LLANOS</v>
          </cell>
          <cell r="M46">
            <v>45743</v>
          </cell>
          <cell r="N46">
            <v>45743</v>
          </cell>
          <cell r="O46">
            <v>45743</v>
          </cell>
          <cell r="P46" t="str">
            <v>Visitas de evaluación con fines de seguimiento</v>
          </cell>
          <cell r="Q46" t="str">
            <v>ACTA VISITA CEL 27MAR2025</v>
          </cell>
          <cell r="R46" t="str">
            <v xml:space="preserve">La IE no tiene actualizado el PEI ni el plan  de estudios, no cuenta con proyectos obligatorios </v>
          </cell>
          <cell r="S46" t="str">
            <v>En el plan de estudios, el diseño curricular de la educación básica y media debe actualizarse a fin de que se desarrollen las competencias básicas, ciudadanas, laborales generales y socioemocionales y Derechos básicos de aprendizaje - dba.</v>
          </cell>
          <cell r="T46" t="str">
            <v>Si</v>
          </cell>
          <cell r="U46" t="str">
            <v>La institución presentará plan de mejora con fecha máxima 11 de abril con el fin de ser revisado por el equipo de Inspección y Vigilancia para hacer los ajustes y la trazabilidad correspondiente</v>
          </cell>
        </row>
        <row r="47">
          <cell r="A47">
            <v>619</v>
          </cell>
          <cell r="B47">
            <v>5</v>
          </cell>
          <cell r="C47" t="str">
            <v>ENGATIVÁ</v>
          </cell>
          <cell r="D47" t="str">
            <v>PRIVADO</v>
          </cell>
          <cell r="E47" t="str">
            <v>Educación de Jóvenes y Adultos</v>
          </cell>
          <cell r="F47" t="str">
            <v>CENTRO_DE_EDUCACION_LABORAL</v>
          </cell>
          <cell r="G47" t="str">
            <v>CENTRO_DE_EDUCACION_LABORAL</v>
          </cell>
          <cell r="H47" t="str">
            <v>Autoevaluación Institucional y Pruebas SABER 11</v>
          </cell>
          <cell r="I47" t="str">
            <v>SEGUIMIENTO_Y_SUPERVISIÓN.</v>
          </cell>
          <cell r="J47" t="str">
            <v xml:space="preserve">Verificar la implementación por parte de los colegios, de acciones realizadas para la prevención y atención de las situaciones de convivencia en el entorno escolar, según lo establecido en la Directiva 01 de 2022 del MEN. </v>
          </cell>
          <cell r="K47" t="str">
            <v>SANDRA MILENA BUENAVENTURA RUEDA</v>
          </cell>
          <cell r="L47" t="str">
            <v>JAIME HUMBERTO RAMÍREZ LLANOS</v>
          </cell>
          <cell r="M47">
            <v>45743</v>
          </cell>
          <cell r="N47">
            <v>45743</v>
          </cell>
          <cell r="O47">
            <v>45743</v>
          </cell>
          <cell r="P47" t="str">
            <v>Visitas de evaluación con fines de seguimiento</v>
          </cell>
          <cell r="Q47" t="str">
            <v>ACTA VISITA CEL 27MAR2025</v>
          </cell>
          <cell r="R47" t="str">
            <v xml:space="preserve">La institución no hace la verificación de </v>
          </cell>
          <cell r="S47" t="str">
            <v>En la IE no se han presentado situaciones que requieran la activación en el sistema de alertas o protocolos, se le indica que se debe trabajar con la OCE la capacitación con el personal docente.</v>
          </cell>
          <cell r="T47" t="str">
            <v>Si</v>
          </cell>
          <cell r="U47" t="str">
            <v>La institución presentará plan de mejora con fecha máxima 11 de abril con el fin de ser revisado por el equipo de Inspección y Vigilancia para hacer los ajustes y la trazabilidad correspondiente</v>
          </cell>
        </row>
        <row r="48">
          <cell r="A48">
            <v>620</v>
          </cell>
          <cell r="B48">
            <v>5</v>
          </cell>
          <cell r="C48" t="str">
            <v>ENGATIVÁ</v>
          </cell>
          <cell r="D48" t="str">
            <v>PRIVADO</v>
          </cell>
          <cell r="E48" t="str">
            <v>Educación de Jóvenes y Adultos</v>
          </cell>
          <cell r="F48" t="str">
            <v>CENTRO_DE_EDUCACION_LABORAL</v>
          </cell>
          <cell r="G48" t="str">
            <v>CENTRO_DE_EDUCACION_LABORAL</v>
          </cell>
          <cell r="H48" t="str">
            <v>Autoevaluación Institucional y Pruebas SABER 11</v>
          </cell>
          <cell r="I48" t="str">
            <v>SEGUIMIENTO_Y_SUPERVISIÓN.</v>
          </cell>
          <cell r="J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8" t="str">
            <v>SANDRA MILENA BUENAVENTURA RUEDA</v>
          </cell>
          <cell r="L48" t="str">
            <v>JAIME HUMBERTO RAMÍREZ LLANOS</v>
          </cell>
          <cell r="M48">
            <v>45743</v>
          </cell>
          <cell r="N48">
            <v>45743</v>
          </cell>
          <cell r="O48">
            <v>45743</v>
          </cell>
          <cell r="P48" t="str">
            <v>Visitas de evaluación con fines de seguimiento</v>
          </cell>
          <cell r="Q48" t="str">
            <v>ACTA VISITA CEL 27MAR2025</v>
          </cell>
          <cell r="R48" t="str">
            <v>Solo se evidencia un PIAR y en el SIMAT tiene siete estudiantes con Discapacidad</v>
          </cell>
          <cell r="S48" t="str">
            <v>Se le indica la debida actualización de los PIAR de los estudiantes registrados en el SIMAT</v>
          </cell>
          <cell r="T48" t="str">
            <v>Si</v>
          </cell>
          <cell r="U48" t="str">
            <v>La institución presentará plan de mejora con fecha máxima 11 de abril con el fin de ser revisado por el equipo de Inspección y Vigilancia para hacer los ajustes y la trazabilidad correspondiente</v>
          </cell>
        </row>
        <row r="49">
          <cell r="A49">
            <v>621</v>
          </cell>
          <cell r="B49">
            <v>5</v>
          </cell>
          <cell r="C49" t="str">
            <v>ENGATIVÁ</v>
          </cell>
          <cell r="D49" t="str">
            <v>PRIVADO</v>
          </cell>
          <cell r="E49" t="str">
            <v>Educación de Jóvenes y Adultos</v>
          </cell>
          <cell r="F49" t="str">
            <v>CENTRO_DE_EDUCACION_LABORAL</v>
          </cell>
          <cell r="G49" t="str">
            <v>CENTRO_DE_EDUCACION_LABORAL</v>
          </cell>
          <cell r="H49" t="str">
            <v>Autoevaluación Institucional y Pruebas SABER 11</v>
          </cell>
          <cell r="I49" t="str">
            <v>EVALUACIÓN_CON_FINES_DE_MEJORAMIENTO.</v>
          </cell>
          <cell r="J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9" t="str">
            <v>SANDRA MILENA BUENAVENTURA RUEDA</v>
          </cell>
          <cell r="L49" t="str">
            <v>JAIME HUMBERTO RAMÍREZ LLANOS</v>
          </cell>
          <cell r="M49">
            <v>45743</v>
          </cell>
          <cell r="N49">
            <v>45743</v>
          </cell>
          <cell r="O49">
            <v>45743</v>
          </cell>
          <cell r="P49" t="str">
            <v>Visitas de evaluación con fines de mejoramiento</v>
          </cell>
          <cell r="Q49" t="str">
            <v>ACTA VISITA CEL 27MAR2025</v>
          </cell>
          <cell r="R49" t="str">
            <v xml:space="preserve">El Manual de Convivencia se encuentra desactualizado y no acorde con la normatividad </v>
          </cell>
          <cell r="S49" t="str">
            <v>El Manual de convivencia debe ser actualizado de acuerdo a la normatividad vigente, debe incluir la diversidad y el enfoque restaurativo, asi mismo, que se evidencie que fue construido de manera participativa.</v>
          </cell>
          <cell r="T49" t="str">
            <v>Si</v>
          </cell>
          <cell r="U49" t="str">
            <v>La institución presentará plan de mejora con fecha máxima 11 de abril con el fin de ser revisado por el equipo de Inspección y Vigilancia para hacer los ajustes y la trazabilidad correspondiente</v>
          </cell>
        </row>
        <row r="50">
          <cell r="A50">
            <v>622</v>
          </cell>
          <cell r="B50">
            <v>5</v>
          </cell>
          <cell r="C50" t="str">
            <v>ENGATIVÁ</v>
          </cell>
          <cell r="D50" t="str">
            <v>PRIVADO</v>
          </cell>
          <cell r="E50" t="str">
            <v>Educación de Jóvenes y Adultos</v>
          </cell>
          <cell r="F50" t="str">
            <v>CENTRO_DE_EDUCACION_LABORAL</v>
          </cell>
          <cell r="G50" t="str">
            <v>CENTRO_DE_EDUCACION_LABORAL</v>
          </cell>
          <cell r="H50" t="str">
            <v>Autoevaluación Institucional y Pruebas SABER 11</v>
          </cell>
          <cell r="I50" t="str">
            <v>EVALUACIÓN_CON_FINES_DE_MEJORAMIENTO.</v>
          </cell>
          <cell r="J50" t="str">
            <v>Revisar la actualización, socialización e implementación del Sistema Institucional de Evaluación de Estudiantes - SIEE, en articulación con la actualización del PEI y la normatividad vigente.</v>
          </cell>
          <cell r="K50" t="str">
            <v>SANDRA MILENA BUENAVENTURA RUEDA</v>
          </cell>
          <cell r="L50" t="str">
            <v>JAIME HUMBERTO RAMÍREZ LLANOS</v>
          </cell>
          <cell r="M50">
            <v>45743</v>
          </cell>
          <cell r="N50">
            <v>45743</v>
          </cell>
          <cell r="O50">
            <v>45743</v>
          </cell>
          <cell r="P50" t="str">
            <v>Visitas de evaluación con fines de mejoramiento</v>
          </cell>
          <cell r="Q50" t="str">
            <v>ACTA VISITA CEL 27MAR2025</v>
          </cell>
          <cell r="R50" t="str">
            <v xml:space="preserve">El SIEE se encuentra desactualizado y no acorde con la normatividad </v>
          </cell>
          <cell r="S50" t="str">
            <v>Actualizar el año lectivo debe ser ciclo lectivo, en promoción anticipada se debe especificar que la solicita el estudiante pero si es menor de edad debe ser el acudiente.</v>
          </cell>
          <cell r="T50" t="str">
            <v>Si</v>
          </cell>
          <cell r="U50" t="str">
            <v>La institución presentará plan de mejora con fecha máxima 11 de abril con el fin de ser revisado por el equipo de Inspección y Vigilancia para hacer los ajustes y la trazabilidad correspondiente</v>
          </cell>
        </row>
        <row r="51">
          <cell r="A51">
            <v>623</v>
          </cell>
          <cell r="B51">
            <v>5</v>
          </cell>
          <cell r="C51" t="str">
            <v>ENGATIVÁ</v>
          </cell>
          <cell r="D51" t="str">
            <v>PRIVADO</v>
          </cell>
          <cell r="E51" t="str">
            <v>Educación de Jóvenes y Adultos</v>
          </cell>
          <cell r="F51" t="str">
            <v>CENTRO_DE_EDUCACION_LABORAL</v>
          </cell>
          <cell r="G51" t="str">
            <v>CENTRO_DE_EDUCACION_LABORAL</v>
          </cell>
          <cell r="H51" t="str">
            <v>Autoevaluación Institucional y Pruebas SABER 11</v>
          </cell>
          <cell r="I51" t="str">
            <v>EVALUACIÓN_CON_FINES_DE_MEJORAMIENTO.</v>
          </cell>
          <cell r="J51" t="str">
            <v>Revisar el calendario escolar, jornada escolar, la intensidad horaria mínima anual en cada nivel y las modificaciones que se realicen al mismo, de acuerdo con lo previsto en la normatividad vigente.</v>
          </cell>
          <cell r="K51" t="str">
            <v>SANDRA MILENA BUENAVENTURA RUEDA</v>
          </cell>
          <cell r="L51" t="str">
            <v>JAIME HUMBERTO RAMÍREZ LLANOS</v>
          </cell>
          <cell r="M51">
            <v>45743</v>
          </cell>
          <cell r="N51">
            <v>45743</v>
          </cell>
          <cell r="O51">
            <v>45743</v>
          </cell>
          <cell r="P51" t="str">
            <v>Visitas de evaluación con fines de mejoramiento</v>
          </cell>
          <cell r="Q51" t="str">
            <v>ACTA VISITA CEL 27MAR2025</v>
          </cell>
          <cell r="R51" t="str">
            <v xml:space="preserve">La IE no tiene el calendario escolar para la vigencia </v>
          </cell>
          <cell r="S51" t="str">
            <v>Se requiere actualizar el calendario escolar</v>
          </cell>
          <cell r="T51" t="str">
            <v>Si</v>
          </cell>
          <cell r="U51" t="str">
            <v>La institución presentará plan de mejora con fecha máxima 11 de abril con el fin de ser revisado por el equipo de Inspección y Vigilancia para hacer los ajustes y la trazabilidad correspondiente</v>
          </cell>
        </row>
        <row r="52">
          <cell r="A52">
            <v>624</v>
          </cell>
          <cell r="B52">
            <v>5</v>
          </cell>
          <cell r="C52" t="str">
            <v>ENGATIVÁ</v>
          </cell>
          <cell r="D52" t="str">
            <v>PRIVADO</v>
          </cell>
          <cell r="E52" t="str">
            <v>Educación de Jóvenes y Adultos</v>
          </cell>
          <cell r="F52" t="str">
            <v>CENTRO_DE_EDUCACION_LABORAL</v>
          </cell>
          <cell r="G52" t="str">
            <v>CENTRO_DE_EDUCACION_LABORAL</v>
          </cell>
          <cell r="H52" t="str">
            <v>Autoevaluación Institucional y Pruebas SABER 11</v>
          </cell>
          <cell r="I52" t="str">
            <v>EVALUACIÓN_CON_FINES_DE_MEJORAMIENTO.</v>
          </cell>
          <cell r="J52" t="str">
            <v>Verificar el funcionamiento del Gobierno Escolar e instancias de participación con base en la información sobre conformación reportada por la institución educativa.</v>
          </cell>
          <cell r="K52" t="str">
            <v>SANDRA MILENA BUENAVENTURA RUEDA</v>
          </cell>
          <cell r="L52" t="str">
            <v>JAIME HUMBERTO RAMÍREZ LLANOS</v>
          </cell>
          <cell r="M52">
            <v>45743</v>
          </cell>
          <cell r="N52">
            <v>45743</v>
          </cell>
          <cell r="O52">
            <v>45743</v>
          </cell>
          <cell r="P52" t="str">
            <v>Visitas de evaluación con fines de mejoramiento</v>
          </cell>
          <cell r="Q52" t="str">
            <v>ACTA VISITA CEL 27MAR2025</v>
          </cell>
          <cell r="R52" t="str">
            <v>La IE aporta las actas de las reuniones realizadas con el Consejo Directivo, Consejo Academico y Comisión de evaluación y promocióm.</v>
          </cell>
          <cell r="S52" t="str">
            <v>Se hacen recomendaciones en cuanto a la estructura de las actas, numeración, agenda de los temas abordados y especificación de los casos tratados y debidamente suscritas.</v>
          </cell>
          <cell r="T52" t="str">
            <v>Si</v>
          </cell>
          <cell r="U52" t="str">
            <v>La institución presentará plan de mejora con fecha máxima 11 de abril con el fin de ser revisado por el equipo de Inspección y Vigilancia para hacer los ajustes y la trazabilidad correspondiente</v>
          </cell>
        </row>
        <row r="53">
          <cell r="A53">
            <v>625</v>
          </cell>
          <cell r="B53">
            <v>5</v>
          </cell>
          <cell r="C53" t="str">
            <v>ENGATIVÁ</v>
          </cell>
          <cell r="D53" t="str">
            <v>PRIVADO</v>
          </cell>
          <cell r="E53" t="str">
            <v>Educación de Jóvenes y Adultos</v>
          </cell>
          <cell r="F53" t="str">
            <v>CENTRO_DE_EDUCACION_LABORAL</v>
          </cell>
          <cell r="G53" t="str">
            <v>CENTRO_DE_EDUCACION_LABORAL</v>
          </cell>
          <cell r="H53" t="str">
            <v>Autoevaluación Institucional y Pruebas SABER 11</v>
          </cell>
          <cell r="I53" t="str">
            <v>EVALUACIÓN_CON_FINES_DE_MEJORAMIENTO.</v>
          </cell>
          <cell r="J53" t="str">
            <v>Verificar las condiciones en cuanto a: la estructura administrativa, condiciones de la planta física y medios educativos adecuados.</v>
          </cell>
          <cell r="K53" t="str">
            <v>SANDRA MILENA BUENAVENTURA RUEDA</v>
          </cell>
          <cell r="L53" t="str">
            <v>JAIME HUMBERTO RAMÍREZ LLANOS</v>
          </cell>
          <cell r="M53">
            <v>45743</v>
          </cell>
          <cell r="N53">
            <v>45743</v>
          </cell>
          <cell r="O53">
            <v>45743</v>
          </cell>
          <cell r="P53" t="str">
            <v>Visitas de evaluación con fines de mejoramiento</v>
          </cell>
          <cell r="Q53" t="str">
            <v>ACTA VISITA CEL 27MAR2025</v>
          </cell>
          <cell r="R53" t="str">
            <v>La IE cuenta con 5 salones, 1 aula de sistemas con 15 computadores con acceso a internet, 5 baños y 72 pupitres</v>
          </cell>
          <cell r="S53" t="str">
            <v>La IE no cuenta con laboratorios para la media, la capacidad de las aulas no es suficiente con la matricula (99 estudiantes en jornada completa y 55 estudiantes en jornada nocturna) no cuenta con bilbioteca</v>
          </cell>
          <cell r="T53" t="str">
            <v>Si</v>
          </cell>
          <cell r="U53" t="str">
            <v>La institución presentará plan de mejora con fecha máxima 11 de abril con el fin de ser revisado por el equipo de Inspección y Vigilancia para hacer los ajustes y la trazabilidad correspondiente</v>
          </cell>
        </row>
        <row r="54">
          <cell r="A54">
            <v>626</v>
          </cell>
          <cell r="B54">
            <v>6</v>
          </cell>
          <cell r="C54" t="str">
            <v>ENGATIVÁ</v>
          </cell>
          <cell r="D54" t="str">
            <v>PRIVADO</v>
          </cell>
          <cell r="E54" t="str">
            <v>EPBM</v>
          </cell>
          <cell r="F54" t="str">
            <v>COLEGIO MAYOR DE GALES</v>
          </cell>
          <cell r="G54" t="str">
            <v>COLEGIO MAYOR DE GALES</v>
          </cell>
          <cell r="H54" t="str">
            <v>Autoevaluación Institucional y Pruebas SABER 11</v>
          </cell>
          <cell r="I54" t="str">
            <v>SEGUIMIENTO_Y_SUPERVISIÓN.</v>
          </cell>
          <cell r="J54" t="str">
            <v>Realizar visitas para verificar la información registrada sobre la autoevaluación institucional en el aplicativo EVI, a los establecimientos de educación formal no oficial.</v>
          </cell>
          <cell r="K54" t="str">
            <v>ANA MARÍA CASAS SANABRIA</v>
          </cell>
          <cell r="L54" t="str">
            <v>MÓNICA JANNETH RAMÍREZ MORENO</v>
          </cell>
          <cell r="M54">
            <v>45891</v>
          </cell>
          <cell r="N54">
            <v>45891</v>
          </cell>
          <cell r="O54">
            <v>45891</v>
          </cell>
          <cell r="P54" t="str">
            <v>Visitas de evaluación con fines de seguimiento</v>
          </cell>
          <cell r="Q54" t="str">
            <v>ACTA MAYOR DE GALES.pdf</v>
          </cell>
          <cell r="R54" t="str">
            <v>Se realizó verificación de la información registrada en el aplicativo EVI</v>
          </cell>
          <cell r="S54" t="str">
            <v>El colegio cumple con lo registrado en el EVi</v>
          </cell>
          <cell r="T54" t="str">
            <v>No</v>
          </cell>
          <cell r="U54" t="str">
            <v>Se verificará en proximas visitas</v>
          </cell>
        </row>
        <row r="55">
          <cell r="A55">
            <v>627</v>
          </cell>
          <cell r="B55">
            <v>6</v>
          </cell>
          <cell r="C55" t="str">
            <v>ENGATIVÁ</v>
          </cell>
          <cell r="D55" t="str">
            <v>PRIVADO</v>
          </cell>
          <cell r="E55" t="str">
            <v>EPBM</v>
          </cell>
          <cell r="F55" t="str">
            <v>COLEGIO MAYOR DE GALES</v>
          </cell>
          <cell r="G55" t="str">
            <v>COLEGIO MAYOR DE GALES</v>
          </cell>
          <cell r="H55" t="str">
            <v>Autoevaluación Institucional y Pruebas SABER 11</v>
          </cell>
          <cell r="I55" t="str">
            <v>SEGUIMIENTO_Y_SUPERVISIÓN.</v>
          </cell>
          <cell r="J55" t="str">
            <v>Proponer estrategias en la formulación, verificar su elaboración y realizar seguimiento semestral al desarrollo de  las acciones establecidas en los planes de mejoramiento por pruebas SABER 11 de los establecimientos de educación formal.</v>
          </cell>
          <cell r="K55" t="str">
            <v>ANA MARÍA CASAS SANABRIA</v>
          </cell>
          <cell r="L55" t="str">
            <v>MÓNICA JANNETH RAMÍREZ MORENO</v>
          </cell>
          <cell r="M55">
            <v>45891</v>
          </cell>
          <cell r="N55">
            <v>45891</v>
          </cell>
          <cell r="O55">
            <v>45891</v>
          </cell>
          <cell r="P55" t="str">
            <v>Visitas de evaluación con fines de seguimiento</v>
          </cell>
          <cell r="Q55" t="str">
            <v>ACTA MAYOR DE GALES.pdf</v>
          </cell>
          <cell r="R55" t="str">
            <v xml:space="preserve">La institucion plantea como estrategia de mejora  acciones como cambio de modelo pedagogico, diagnostico del grado 10° </v>
          </cell>
          <cell r="S55" t="str">
            <v>Estas estrategias deben ser aprobadas por la comunidad educativa, el consejo académico.</v>
          </cell>
          <cell r="T55" t="str">
            <v>Si</v>
          </cell>
          <cell r="U55" t="str">
            <v xml:space="preserve"> Se requirió presentar Plan de Majoramiento donde registre el proceso de comunicar, y aprobar por parte de la comunidad educativa con el fin de subsanar la situación actual. El PMI debe ser entregado al ELIV a más tardar el 15 de septiembre de 2025</v>
          </cell>
        </row>
        <row r="56">
          <cell r="A56">
            <v>628</v>
          </cell>
          <cell r="B56">
            <v>6</v>
          </cell>
          <cell r="C56" t="str">
            <v>ENGATIVÁ</v>
          </cell>
          <cell r="D56" t="str">
            <v>PRIVADO</v>
          </cell>
          <cell r="E56" t="str">
            <v>EPBM</v>
          </cell>
          <cell r="F56" t="str">
            <v>COLEGIO MAYOR DE GALES</v>
          </cell>
          <cell r="G56" t="str">
            <v>COLEGIO MAYOR DE GALES</v>
          </cell>
          <cell r="H56" t="str">
            <v>Autoevaluación Institucional y Pruebas SABER 11</v>
          </cell>
          <cell r="I56" t="str">
            <v>SEGUIMIENTO_Y_SUPERVISIÓN.</v>
          </cell>
          <cell r="J56" t="str">
            <v xml:space="preserve">Verificar la implementación por parte de los colegios, de acciones realizadas para la prevención y atención de las situaciones de convivencia en el entorno escolar, según lo establecido en la Directiva 01 de 2022 del MEN. </v>
          </cell>
          <cell r="K56" t="str">
            <v>ANA MARÍA CASAS SANABRIA</v>
          </cell>
          <cell r="L56" t="str">
            <v>MÓNICA JANNETH RAMÍREZ MORENO</v>
          </cell>
          <cell r="M56">
            <v>45891</v>
          </cell>
          <cell r="N56">
            <v>45891</v>
          </cell>
          <cell r="O56">
            <v>45891</v>
          </cell>
          <cell r="P56" t="str">
            <v>Visitas de evaluación con fines de seguimiento</v>
          </cell>
          <cell r="Q56" t="str">
            <v>ACTA MAYOR DE GALES.pdf</v>
          </cell>
          <cell r="R56" t="str">
            <v xml:space="preserve">La institucion no tenia conocimiento de la directiva 01 de 2022 del MEN por lo cual no ha realizado ninguna de las acciones alli mencionadas </v>
          </cell>
          <cell r="S56" t="str">
            <v>se sugiere hacer la verificación de antecedentes de delitos sexuales cada 4 meses para todo el pesonal de la institucion, Además de revisar las actividades presentadas en la Directiva</v>
          </cell>
          <cell r="T56" t="str">
            <v>Si</v>
          </cell>
          <cell r="U56" t="str">
            <v>Se requirió presentar Plan de Majoramiento con el fin de subsanar la situación actual. El PMI debe ser entregado al ELIV a más tardar el 15 de septiembre de  2025</v>
          </cell>
        </row>
        <row r="57">
          <cell r="A57">
            <v>629</v>
          </cell>
          <cell r="B57">
            <v>6</v>
          </cell>
          <cell r="C57" t="str">
            <v>ENGATIVÁ</v>
          </cell>
          <cell r="D57" t="str">
            <v>PRIVADO</v>
          </cell>
          <cell r="E57" t="str">
            <v>EPBM</v>
          </cell>
          <cell r="F57" t="str">
            <v>COLEGIO MAYOR DE GALES</v>
          </cell>
          <cell r="G57" t="str">
            <v>COLEGIO MAYOR DE GALES</v>
          </cell>
          <cell r="H57" t="str">
            <v>Autoevaluación Institucional y Pruebas SABER 11</v>
          </cell>
          <cell r="I57" t="str">
            <v>SEGUIMIENTO_Y_SUPERVISIÓN.</v>
          </cell>
          <cell r="J5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7" t="str">
            <v>ANA MARÍA CASAS SANABRIA</v>
          </cell>
          <cell r="L57" t="str">
            <v>MÓNICA JANNETH RAMÍREZ MORENO</v>
          </cell>
          <cell r="M57">
            <v>45891</v>
          </cell>
          <cell r="N57">
            <v>45891</v>
          </cell>
          <cell r="O57">
            <v>45891</v>
          </cell>
          <cell r="P57" t="str">
            <v>Visitas de evaluación con fines de seguimiento</v>
          </cell>
          <cell r="Q57" t="str">
            <v>ACTA MAYOR DE GALES.pdf</v>
          </cell>
          <cell r="R57" t="str">
            <v>La institución solo tiene un estudiante con Diagnostico de incapacidad al cual se le ha diseñado y ajustado el PIAR</v>
          </cell>
          <cell r="S57" t="str">
            <v>Continuar con el seguimiento y los ajueste del PIAR que requiera el estudiante</v>
          </cell>
          <cell r="T57" t="str">
            <v>No</v>
          </cell>
          <cell r="U57" t="str">
            <v>Se verificará en proximas visitas</v>
          </cell>
        </row>
        <row r="58">
          <cell r="A58">
            <v>630</v>
          </cell>
          <cell r="B58">
            <v>6</v>
          </cell>
          <cell r="C58" t="str">
            <v>ENGATIVÁ</v>
          </cell>
          <cell r="D58" t="str">
            <v>PRIVADO</v>
          </cell>
          <cell r="E58" t="str">
            <v>EPBM</v>
          </cell>
          <cell r="F58" t="str">
            <v>COLEGIO MAYOR DE GALES</v>
          </cell>
          <cell r="G58" t="str">
            <v>COLEGIO MAYOR DE GALES</v>
          </cell>
          <cell r="H58" t="str">
            <v>Autoevaluación Institucional y Pruebas SABER 11</v>
          </cell>
          <cell r="I58" t="str">
            <v>EVALUACIÓN_CON_FINES_DE_MEJORAMIENTO.</v>
          </cell>
          <cell r="J5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8" t="str">
            <v>ANA MARÍA CASAS SANABRIA</v>
          </cell>
          <cell r="L58" t="str">
            <v>MÓNICA JANNETH RAMÍREZ MORENO</v>
          </cell>
          <cell r="M58">
            <v>45891</v>
          </cell>
          <cell r="N58">
            <v>45891</v>
          </cell>
          <cell r="O58">
            <v>45891</v>
          </cell>
          <cell r="P58" t="str">
            <v>Visitas de evaluación con fines de mejoramiento</v>
          </cell>
          <cell r="Q58" t="str">
            <v>ACTA MAYOR DE GALES.pdf</v>
          </cell>
          <cell r="R58" t="str">
            <v>La institucion no evidencia el proceso de actualización y socialización del manual de conviencia.</v>
          </cell>
          <cell r="S58" t="str">
            <v xml:space="preserve">Se solicita realizar el proceso de construccion del Manual  con los miembros de la comunidad educativa, registrarlo. aprobarlo y socializarlo </v>
          </cell>
          <cell r="T58" t="str">
            <v>Si</v>
          </cell>
          <cell r="U58" t="str">
            <v>Se requirió presentar Plan de Majoramiento con el fin de subsanar la situación actual. El PMI debe ser entregado al ELIV a más tardar el 15 de septiembre de 2025</v>
          </cell>
        </row>
        <row r="59">
          <cell r="A59">
            <v>631</v>
          </cell>
          <cell r="B59">
            <v>6</v>
          </cell>
          <cell r="C59" t="str">
            <v>ENGATIVÁ</v>
          </cell>
          <cell r="D59" t="str">
            <v>PRIVADO</v>
          </cell>
          <cell r="E59" t="str">
            <v>EPBM</v>
          </cell>
          <cell r="F59" t="str">
            <v>COLEGIO MAYOR DE GALES</v>
          </cell>
          <cell r="G59" t="str">
            <v>COLEGIO MAYOR DE GALES</v>
          </cell>
          <cell r="H59" t="str">
            <v>Autoevaluación Institucional y Pruebas SABER 11</v>
          </cell>
          <cell r="I59" t="str">
            <v>EVALUACIÓN_CON_FINES_DE_MEJORAMIENTO.</v>
          </cell>
          <cell r="J59" t="str">
            <v>Revisar la actualización, socialización e implementación del Sistema Institucional de Evaluación de Estudiantes - SIEE, en articulación con la actualización del PEI y la normatividad vigente.</v>
          </cell>
          <cell r="K59" t="str">
            <v>ANA MARÍA CASAS SANABRIA</v>
          </cell>
          <cell r="L59" t="str">
            <v>MÓNICA JANNETH RAMÍREZ MORENO</v>
          </cell>
          <cell r="M59">
            <v>45891</v>
          </cell>
          <cell r="N59">
            <v>45891</v>
          </cell>
          <cell r="O59">
            <v>45891</v>
          </cell>
          <cell r="P59" t="str">
            <v>Visitas de evaluación con fines de mejoramiento</v>
          </cell>
          <cell r="Q59" t="str">
            <v>ACTA MAYOR DE GALES.pdf</v>
          </cell>
          <cell r="R59" t="str">
            <v xml:space="preserve">La institucion no evidencia el proceso de actualización y socialización del SIEE </v>
          </cell>
          <cell r="S59" t="str">
            <v xml:space="preserve">Se solicita realizar el proceso de construccion del SIEcon los miembros de la comunidad educativa, registrarlo. aprobarlo y socializarlo </v>
          </cell>
          <cell r="T59" t="str">
            <v>Si</v>
          </cell>
          <cell r="U59" t="str">
            <v>Se requirió presentar Plan de Majoramiento con el fin de subsanar la situación actual. El PMI debe ser entregado al ELIV a más tardar el 15 de septiembre de 2025</v>
          </cell>
        </row>
        <row r="60">
          <cell r="A60">
            <v>632</v>
          </cell>
          <cell r="B60">
            <v>6</v>
          </cell>
          <cell r="C60" t="str">
            <v>ENGATIVÁ</v>
          </cell>
          <cell r="D60" t="str">
            <v>PRIVADO</v>
          </cell>
          <cell r="E60" t="str">
            <v>EPBM</v>
          </cell>
          <cell r="F60" t="str">
            <v>COLEGIO MAYOR DE GALES</v>
          </cell>
          <cell r="G60" t="str">
            <v>COLEGIO MAYOR DE GALES</v>
          </cell>
          <cell r="H60" t="str">
            <v>Autoevaluación Institucional y Pruebas SABER 11</v>
          </cell>
          <cell r="I60" t="str">
            <v>EVALUACIÓN_CON_FINES_DE_MEJORAMIENTO.</v>
          </cell>
          <cell r="J60" t="str">
            <v>Revisar el calendario escolar, jornada escolar, la intensidad horaria mínima anual en cada nivel y las modificaciones que se realicen al mismo, de acuerdo con lo previsto en la normatividad vigente.</v>
          </cell>
          <cell r="K60" t="str">
            <v>ANA MARÍA CASAS SANABRIA</v>
          </cell>
          <cell r="L60" t="str">
            <v>MÓNICA JANNETH RAMÍREZ MORENO</v>
          </cell>
          <cell r="M60">
            <v>45891</v>
          </cell>
          <cell r="N60">
            <v>45891</v>
          </cell>
          <cell r="O60">
            <v>45891</v>
          </cell>
          <cell r="P60" t="str">
            <v>Visitas de evaluación con fines de mejoramiento</v>
          </cell>
          <cell r="Q60" t="str">
            <v>ACTA MAYOR DE GALES.pdf</v>
          </cell>
          <cell r="R60" t="str">
            <v xml:space="preserve">Se revisa en el calendario escolar  horario de clases y docentes el cumplimiento de la intensidad horaria </v>
          </cell>
          <cell r="S60" t="str">
            <v>El colegio cumple la intensidad horaria establecida por nivel según normativa vigente</v>
          </cell>
          <cell r="T60" t="str">
            <v>No</v>
          </cell>
          <cell r="U60" t="str">
            <v>Se verificará en proximas visitas</v>
          </cell>
        </row>
        <row r="61">
          <cell r="A61">
            <v>633</v>
          </cell>
          <cell r="B61">
            <v>6</v>
          </cell>
          <cell r="C61" t="str">
            <v>ENGATIVÁ</v>
          </cell>
          <cell r="D61" t="str">
            <v>PRIVADO</v>
          </cell>
          <cell r="E61" t="str">
            <v>EPBM</v>
          </cell>
          <cell r="F61" t="str">
            <v>COLEGIO MAYOR DE GALES</v>
          </cell>
          <cell r="G61" t="str">
            <v>COLEGIO MAYOR DE GALES</v>
          </cell>
          <cell r="H61" t="str">
            <v>Autoevaluación Institucional y Pruebas SABER 11</v>
          </cell>
          <cell r="I61" t="str">
            <v>EVALUACIÓN_CON_FINES_DE_MEJORAMIENTO.</v>
          </cell>
          <cell r="J61" t="str">
            <v>Verificar el funcionamiento del Gobierno Escolar e instancias de participación con base en la información sobre conformación reportada por la institución educativa.</v>
          </cell>
          <cell r="K61" t="str">
            <v>ANA MARÍA CASAS SANABRIA</v>
          </cell>
          <cell r="L61" t="str">
            <v>MÓNICA JANNETH RAMÍREZ MORENO</v>
          </cell>
          <cell r="M61">
            <v>45891</v>
          </cell>
          <cell r="N61">
            <v>45891</v>
          </cell>
          <cell r="O61">
            <v>45891</v>
          </cell>
          <cell r="P61" t="str">
            <v>Visitas de evaluación con fines de mejoramiento</v>
          </cell>
          <cell r="Q61" t="str">
            <v>ACTA MAYOR DE GALES.pdf</v>
          </cell>
          <cell r="R61" t="str">
            <v>La insitucion no evidencia el funcionamiento normativo de las instancias de gobierno escolar.</v>
          </cell>
          <cell r="S61" t="str">
            <v xml:space="preserve"> Se indica que debe quedar registrada la conformacion de los estamentos del gobierno escolar, con sus funciones y plna de trabajo para el año</v>
          </cell>
          <cell r="T61" t="str">
            <v>Si</v>
          </cell>
          <cell r="U61" t="str">
            <v>Se requirió presentar Plan de Majoramiento con el fin de subsanar la situación actual. El PMI debe ser entregado al ELIV a más tardar el 15 de septiembre de 2025</v>
          </cell>
        </row>
        <row r="62">
          <cell r="A62">
            <v>634</v>
          </cell>
          <cell r="B62">
            <v>6</v>
          </cell>
          <cell r="C62" t="str">
            <v>ENGATIVÁ</v>
          </cell>
          <cell r="D62" t="str">
            <v>PRIVADO</v>
          </cell>
          <cell r="E62" t="str">
            <v>EPBM</v>
          </cell>
          <cell r="F62" t="str">
            <v>COLEGIO MAYOR DE GALES</v>
          </cell>
          <cell r="G62" t="str">
            <v>COLEGIO MAYOR DE GALES</v>
          </cell>
          <cell r="H62" t="str">
            <v>Autoevaluación Institucional y Pruebas SABER 11</v>
          </cell>
          <cell r="I62" t="str">
            <v>EVALUACIÓN_CON_FINES_DE_MEJORAMIENTO.</v>
          </cell>
          <cell r="J62" t="str">
            <v>Verificar las condiciones en cuanto a: la estructura administrativa, condiciones de la planta física y medios educativos adecuados.</v>
          </cell>
          <cell r="K62" t="str">
            <v>ANA MARÍA CASAS SANABRIA</v>
          </cell>
          <cell r="L62" t="str">
            <v>MÓNICA JANNETH RAMÍREZ MORENO</v>
          </cell>
          <cell r="M62">
            <v>45891</v>
          </cell>
          <cell r="N62">
            <v>45891</v>
          </cell>
          <cell r="O62">
            <v>45891</v>
          </cell>
          <cell r="P62" t="str">
            <v>Visitas de evaluación con fines de mejoramiento</v>
          </cell>
          <cell r="Q62" t="str">
            <v>ACTA MAYOR DE GALES.pdf</v>
          </cell>
          <cell r="R62" t="str">
            <v xml:space="preserve">Se evidencia que los espacios administrativos son suficientes para las funciones que se deben desarrollar.  </v>
          </cell>
          <cell r="S62" t="str">
            <v xml:space="preserve">En el recorrido se evidencia espacios suficientes y en buenas condiciones </v>
          </cell>
          <cell r="T62" t="str">
            <v>No</v>
          </cell>
          <cell r="U62" t="str">
            <v>Se verificará en proximas visitas</v>
          </cell>
        </row>
        <row r="63">
          <cell r="A63">
            <v>636</v>
          </cell>
          <cell r="B63">
            <v>7</v>
          </cell>
          <cell r="C63" t="str">
            <v>ENGATIVÁ</v>
          </cell>
          <cell r="D63" t="str">
            <v>PRIVADO</v>
          </cell>
          <cell r="E63" t="str">
            <v>Educación de Jóvenes y Adultos</v>
          </cell>
          <cell r="F63" t="str">
            <v>COLEGIO_EMMANUEL_RUBIANO</v>
          </cell>
          <cell r="G63" t="str">
            <v>COLEGIO_EMMANUEL_RUBIANO</v>
          </cell>
          <cell r="H63" t="str">
            <v>Autoevaluación Institucional y Pruebas SABER 11</v>
          </cell>
          <cell r="I63" t="str">
            <v>SEGUIMIENTO_Y_SUPERVISIÓN.</v>
          </cell>
          <cell r="J63" t="str">
            <v>Realizar visitas para verificar la información registrada sobre la autoevaluación institucional en el aplicativo EVI, a los establecimientos de educación formal no oficial.</v>
          </cell>
          <cell r="K63" t="str">
            <v>LUZ MERY PARRA NOPE</v>
          </cell>
          <cell r="L63" t="str">
            <v>FREDDY CLAROS PEÑA</v>
          </cell>
          <cell r="M63">
            <v>45855</v>
          </cell>
          <cell r="N63">
            <v>45785</v>
          </cell>
          <cell r="O63">
            <v>45785</v>
          </cell>
          <cell r="P63" t="str">
            <v>Visitas de evaluación con fines de seguimiento</v>
          </cell>
          <cell r="Q63" t="str">
            <v>ACTA DE VISITA COLEGIO EMMANUEL RUBIANO CORREGIDA.pdf</v>
          </cell>
          <cell r="R63" t="str">
            <v>Los docentes no tienen contrato laboral, tampoco se realiza el pago de parafiscales al personal vincluado. No tiene laboratorio de Ciencías, no tiene software.</v>
          </cell>
          <cell r="S63" t="str">
            <v>Realizar vinculación a todo el personal que labora en la Institución de acuerdo con la ley 115 de 1994 y el Código Sustantivo del Trabajo. Realizar cambio de nombre de la publicidad que se encuentra en la entrada del Colegio, dado que, registra como Colegio Emmanuel G.</v>
          </cell>
          <cell r="T63" t="str">
            <v>Si</v>
          </cell>
          <cell r="U63" t="str">
            <v xml:space="preserve">Presentar un plan de mejoramiento que subsane las observaciones realizadas, el plazo para la radicación de dicho plan es de 10 días hábiles posteriores a la visita. </v>
          </cell>
        </row>
        <row r="64">
          <cell r="A64">
            <v>637</v>
          </cell>
          <cell r="B64">
            <v>7</v>
          </cell>
          <cell r="C64" t="str">
            <v>ENGATIVÁ</v>
          </cell>
          <cell r="D64" t="str">
            <v>PRIVADO</v>
          </cell>
          <cell r="E64" t="str">
            <v>Educación de Jóvenes y Adultos</v>
          </cell>
          <cell r="F64" t="str">
            <v>COLEGIO_EMMANUEL_RUBIANO</v>
          </cell>
          <cell r="G64" t="str">
            <v>COLEGIO_EMMANUEL_RUBIANO</v>
          </cell>
          <cell r="H64" t="str">
            <v>Autoevaluación Institucional y Pruebas SABER 11</v>
          </cell>
          <cell r="I64" t="str">
            <v>SEGUIMIENTO_Y_SUPERVISIÓN.</v>
          </cell>
          <cell r="J64" t="str">
            <v>Proponer estrategias en la formulación, verificar su elaboración y realizar seguimiento semestral al desarrollo de  las acciones establecidas en los planes de mejoramiento por pruebas SABER 11 de los establecimientos de educación formal.</v>
          </cell>
          <cell r="K64" t="str">
            <v>LUZ MERY PARRA NOPE</v>
          </cell>
          <cell r="L64" t="str">
            <v>FREDDY CLAROS PEÑA</v>
          </cell>
          <cell r="M64">
            <v>45855</v>
          </cell>
          <cell r="N64">
            <v>45785</v>
          </cell>
          <cell r="O64">
            <v>45785</v>
          </cell>
          <cell r="P64" t="str">
            <v>Visitas de evaluación con fines de seguimiento</v>
          </cell>
          <cell r="Q64" t="str">
            <v>ACTA DE VISITA COLEGIO EMMANUEL RUBIANO CORREGIDA.pdf</v>
          </cell>
          <cell r="R64" t="str">
            <v xml:space="preserve">El EE se encuentra clasificada en las pruebas saber en C, no han realizado plan de mejoramiento, manifiestan que todos los sabados realizan un preicfes con los estudiantes de ciclo 5 y 6.  </v>
          </cell>
          <cell r="S64" t="str">
            <v>Actualizar el currículo y plan de estudios (incluyendo los proyectos obligatorios adscritos al PEI), con base en los resultados obtenidos en las pruebas SABER 11. Implementar acciones para mejorar los aprendizajes de los estudiantes en las áreas del plan de estudio con más bajo desempeño en las pruebas SABER 11.</v>
          </cell>
          <cell r="T64" t="str">
            <v>Si</v>
          </cell>
          <cell r="U64" t="str">
            <v xml:space="preserve">Presentar un plan de mejoramiento que subsane las observaciones realizadas, el plazo para la radicación de dicho plan es de 10 días hábiles posteriores a la visita. </v>
          </cell>
        </row>
        <row r="65">
          <cell r="A65">
            <v>638</v>
          </cell>
          <cell r="B65">
            <v>7</v>
          </cell>
          <cell r="C65" t="str">
            <v>ENGATIVÁ</v>
          </cell>
          <cell r="D65" t="str">
            <v>PRIVADO</v>
          </cell>
          <cell r="E65" t="str">
            <v>Educación de Jóvenes y Adultos</v>
          </cell>
          <cell r="F65" t="str">
            <v>COLEGIO_EMMANUEL_RUBIANO</v>
          </cell>
          <cell r="G65" t="str">
            <v>COLEGIO_EMMANUEL_RUBIANO</v>
          </cell>
          <cell r="H65" t="str">
            <v>Autoevaluación Institucional y Pruebas SABER 11</v>
          </cell>
          <cell r="I65" t="str">
            <v>SEGUIMIENTO_Y_SUPERVISIÓN.</v>
          </cell>
          <cell r="J65" t="str">
            <v xml:space="preserve">Verificar la implementación por parte de los colegios, de acciones realizadas para la prevención y atención de las situaciones de convivencia en el entorno escolar, según lo establecido en la Directiva 01 de 2022 del MEN. </v>
          </cell>
          <cell r="K65" t="str">
            <v>LUZ MERY PARRA NOPE</v>
          </cell>
          <cell r="L65" t="str">
            <v>FREDDY CLAROS PEÑA</v>
          </cell>
          <cell r="M65">
            <v>45855</v>
          </cell>
          <cell r="N65">
            <v>45785</v>
          </cell>
          <cell r="O65">
            <v>45785</v>
          </cell>
          <cell r="P65" t="str">
            <v>Visitas de evaluación con fines de seguimiento</v>
          </cell>
          <cell r="Q65" t="str">
            <v>ACTA DE VISITA COLEGIO EMMANUEL RUBIANO CORREGIDA.pdf</v>
          </cell>
          <cell r="R65" t="str">
            <v>El EE no realiza activiación de alertas en los casos de convivencia según la Ley 1620 de 2013. Informan que una psicologa va los días jueves pero, no tiene contrato.</v>
          </cell>
          <cell r="S65" t="str">
            <v>Contratar un orientador por tiempo completo.Realizar la ejecución y evaluación de los proyectos obligatorios (educación para la sexualidad, sostenibilidad del medio ambiente, recreación y empleo productivo del tiempo, democracia) Aportar evidenciar de las estrategias de apoyo para familias y estudiantes con dificultades socio emocionales realizadas desde Orientación</v>
          </cell>
          <cell r="T65" t="str">
            <v>Si</v>
          </cell>
          <cell r="U65" t="str">
            <v xml:space="preserve">Presentar un plan de mejoramiento que subsane las observaciones realizadas, el plazo para la radicación de dicho plan es de 10 días hábiles posteriores a la visita. </v>
          </cell>
        </row>
        <row r="66">
          <cell r="A66">
            <v>639</v>
          </cell>
          <cell r="B66">
            <v>7</v>
          </cell>
          <cell r="C66" t="str">
            <v>ENGATIVÁ</v>
          </cell>
          <cell r="D66" t="str">
            <v>PRIVADO</v>
          </cell>
          <cell r="E66" t="str">
            <v>Educación de Jóvenes y Adultos</v>
          </cell>
          <cell r="F66" t="str">
            <v>COLEGIO_EMMANUEL_RUBIANO</v>
          </cell>
          <cell r="G66" t="str">
            <v>COLEGIO_EMMANUEL_RUBIANO</v>
          </cell>
          <cell r="H66" t="str">
            <v>Autoevaluación Institucional y Pruebas SABER 11</v>
          </cell>
          <cell r="I66" t="str">
            <v>SEGUIMIENTO_Y_SUPERVISIÓN.</v>
          </cell>
          <cell r="J6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6" t="str">
            <v>LUZ MERY PARRA NOPE</v>
          </cell>
          <cell r="L66" t="str">
            <v>FREDDY CLAROS PEÑA</v>
          </cell>
          <cell r="M66">
            <v>45855</v>
          </cell>
          <cell r="N66">
            <v>45785</v>
          </cell>
          <cell r="O66">
            <v>45785</v>
          </cell>
          <cell r="P66" t="str">
            <v>Visitas de evaluación con fines de seguimiento</v>
          </cell>
          <cell r="Q66" t="str">
            <v>ACTA DE VISITA COLEGIO EMMANUEL RUBIANO CORREGIDA.pdf</v>
          </cell>
          <cell r="R66" t="str">
            <v>El EE informa que no tiene estudiantes con discapacidad.</v>
          </cell>
          <cell r="S66" t="str">
            <v> </v>
          </cell>
          <cell r="T66" t="str">
            <v>No</v>
          </cell>
          <cell r="U66" t="str">
            <v> Se hará verificación en caso de presentar solicitud o queja ciudadana.</v>
          </cell>
        </row>
        <row r="67">
          <cell r="A67">
            <v>640</v>
          </cell>
          <cell r="B67">
            <v>7</v>
          </cell>
          <cell r="C67" t="str">
            <v>ENGATIVÁ</v>
          </cell>
          <cell r="D67" t="str">
            <v>PRIVADO</v>
          </cell>
          <cell r="E67" t="str">
            <v>Educación de Jóvenes y Adultos</v>
          </cell>
          <cell r="F67" t="str">
            <v>COLEGIO_EMMANUEL_RUBIANO</v>
          </cell>
          <cell r="G67" t="str">
            <v>COLEGIO_EMMANUEL_RUBIANO</v>
          </cell>
          <cell r="H67" t="str">
            <v>Autoevaluación Institucional y Pruebas SABER 11</v>
          </cell>
          <cell r="I67" t="str">
            <v>EVALUACIÓN_CON_FINES_DE_MEJORAMIENTO.</v>
          </cell>
          <cell r="J6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7" t="str">
            <v>LUZ MERY PARRA NOPE</v>
          </cell>
          <cell r="L67" t="str">
            <v>FREDDY CLAROS PEÑA</v>
          </cell>
          <cell r="M67">
            <v>45855</v>
          </cell>
          <cell r="N67">
            <v>45785</v>
          </cell>
          <cell r="O67">
            <v>45785</v>
          </cell>
          <cell r="P67" t="str">
            <v>Visitas de evaluación con fines de mejoramiento</v>
          </cell>
          <cell r="Q67" t="str">
            <v>ACTA DE VISITA COLEGIO EMMANUEL RUBIANO CORREGIDA.pdf</v>
          </cell>
          <cell r="R67" t="str">
            <v>No se observa actualización al manual de convivencia, tampoco se evidencia participación de padres y estudiantes.</v>
          </cell>
          <cell r="S67" t="str">
            <v>Actualizar manual de convienvencia de manera participativa incluyendo a toda la comunidad educativa, Incluir en el manual de convivencia la operatividad del comité de convivencia escolar sus integrantes, funciones, el plan de convivencia escolar y reglamento interno. Aplicar la ruta de atención integral y protocolos para las situaciones de convivencia escolar, conforme a lo establecido en la Ley 1620 de 2013.</v>
          </cell>
          <cell r="T67" t="str">
            <v>Si</v>
          </cell>
          <cell r="U67" t="str">
            <v xml:space="preserve">Presentar un plan de mejoramiento que subsane las observaciones realizadas, el plazo para la radicación de dicho plan es de 10 días hábiles posteriores a la visita. </v>
          </cell>
        </row>
        <row r="68">
          <cell r="A68">
            <v>641</v>
          </cell>
          <cell r="B68">
            <v>7</v>
          </cell>
          <cell r="C68" t="str">
            <v>ENGATIVÁ</v>
          </cell>
          <cell r="D68" t="str">
            <v>PRIVADO</v>
          </cell>
          <cell r="E68" t="str">
            <v>Educación de Jóvenes y Adultos</v>
          </cell>
          <cell r="F68" t="str">
            <v>COLEGIO_EMMANUEL_RUBIANO</v>
          </cell>
          <cell r="G68" t="str">
            <v>COLEGIO_EMMANUEL_RUBIANO</v>
          </cell>
          <cell r="H68" t="str">
            <v>Autoevaluación Institucional y Pruebas SABER 11</v>
          </cell>
          <cell r="I68" t="str">
            <v>EVALUACIÓN_CON_FINES_DE_MEJORAMIENTO.</v>
          </cell>
          <cell r="J68" t="str">
            <v>Revisar la actualización, socialización e implementación del Sistema Institucional de Evaluación de Estudiantes - SIEE, en articulación con la actualización del PEI y la normatividad vigente.</v>
          </cell>
          <cell r="K68" t="str">
            <v>LUZ MERY PARRA NOPE</v>
          </cell>
          <cell r="L68" t="str">
            <v>FREDDY CLAROS PEÑA</v>
          </cell>
          <cell r="M68">
            <v>45855</v>
          </cell>
          <cell r="N68">
            <v>45785</v>
          </cell>
          <cell r="O68">
            <v>45785</v>
          </cell>
          <cell r="P68" t="str">
            <v>Visitas de evaluación con fines de mejoramiento</v>
          </cell>
          <cell r="Q68" t="str">
            <v>ACTA DE VISITA COLEGIO EMMANUEL RUBIANO CORREGIDA.pdf</v>
          </cell>
          <cell r="R68" t="str">
            <v>Se observa que el EE diseña los boletines en excel y los entrega por areas con descripción culitativa y cuantitativa. De otra parte, los estudiantes presentan trabajos sustentados al final de cada periodo.</v>
          </cell>
          <cell r="S68" t="str">
            <v>Continuar realizando estrategias que contribuyan al acompañamiento de los estudiantes que los requieran</v>
          </cell>
          <cell r="T68" t="str">
            <v>No</v>
          </cell>
          <cell r="U68" t="str">
            <v xml:space="preserve">Presentar un plan de mejoramiento que subsane las observaciones realizadas, el plazo para la radicación de dicho plan es de 10 días hábiles posteriores a la visita. </v>
          </cell>
        </row>
        <row r="69">
          <cell r="A69">
            <v>642</v>
          </cell>
          <cell r="B69">
            <v>7</v>
          </cell>
          <cell r="C69" t="str">
            <v>ENGATIVÁ</v>
          </cell>
          <cell r="D69" t="str">
            <v>PRIVADO</v>
          </cell>
          <cell r="E69" t="str">
            <v>Educación de Jóvenes y Adultos</v>
          </cell>
          <cell r="F69" t="str">
            <v>COLEGIO_EMMANUEL_RUBIANO</v>
          </cell>
          <cell r="G69" t="str">
            <v>COLEGIO_EMMANUEL_RUBIANO</v>
          </cell>
          <cell r="H69" t="str">
            <v>Autoevaluación Institucional y Pruebas SABER 11</v>
          </cell>
          <cell r="I69" t="str">
            <v>EVALUACIÓN_CON_FINES_DE_MEJORAMIENTO.</v>
          </cell>
          <cell r="J69" t="str">
            <v>Revisar el calendario escolar, jornada escolar, la intensidad horaria mínima anual en cada nivel y las modificaciones que se realicen al mismo, de acuerdo con lo previsto en la normatividad vigente.</v>
          </cell>
          <cell r="K69" t="str">
            <v>LUZ MERY PARRA NOPE</v>
          </cell>
          <cell r="L69" t="str">
            <v>FREDDY CLAROS PEÑA</v>
          </cell>
          <cell r="M69">
            <v>45855</v>
          </cell>
          <cell r="N69">
            <v>45785</v>
          </cell>
          <cell r="O69">
            <v>45785</v>
          </cell>
          <cell r="P69" t="str">
            <v>Visitas de evaluación con fines de mejoramiento</v>
          </cell>
          <cell r="Q69" t="str">
            <v>ACTA DE VISITA COLEGIO EMMANUEL RUBIANO CORREGIDA.pdf</v>
          </cell>
          <cell r="R69" t="str">
            <v>Se observa que el calendario escolar, jornada escolar y la intensidad horaria minima requeida comple con la normatividad vigente</v>
          </cell>
          <cell r="S69" t="str">
            <v>La EE cumple con la intensidad minima legal vigente para cada nivel ofrecido.</v>
          </cell>
          <cell r="T69" t="str">
            <v>No</v>
          </cell>
          <cell r="U69" t="str">
            <v> Se hará verificación en caso de presentar solicitud o queja ciudadana.</v>
          </cell>
        </row>
        <row r="70">
          <cell r="A70">
            <v>643</v>
          </cell>
          <cell r="B70">
            <v>7</v>
          </cell>
          <cell r="C70" t="str">
            <v>ENGATIVÁ</v>
          </cell>
          <cell r="D70" t="str">
            <v>PRIVADO</v>
          </cell>
          <cell r="E70" t="str">
            <v>Educación de Jóvenes y Adultos</v>
          </cell>
          <cell r="F70" t="str">
            <v>COLEGIO_EMMANUEL_RUBIANO</v>
          </cell>
          <cell r="G70" t="str">
            <v>COLEGIO_EMMANUEL_RUBIANO</v>
          </cell>
          <cell r="H70" t="str">
            <v>Autoevaluación Institucional y Pruebas SABER 11</v>
          </cell>
          <cell r="I70" t="str">
            <v>EVALUACIÓN_CON_FINES_DE_MEJORAMIENTO.</v>
          </cell>
          <cell r="J70" t="str">
            <v>Verificar el funcionamiento del Gobierno Escolar e instancias de participación con base en la información sobre conformación reportada por la institución educativa.</v>
          </cell>
          <cell r="K70" t="str">
            <v>LUZ MERY PARRA NOPE</v>
          </cell>
          <cell r="L70" t="str">
            <v>FREDDY CLAROS PEÑA</v>
          </cell>
          <cell r="M70">
            <v>45855</v>
          </cell>
          <cell r="N70">
            <v>45785</v>
          </cell>
          <cell r="O70">
            <v>45785</v>
          </cell>
          <cell r="P70" t="str">
            <v>Visitas de evaluación con fines de mejoramiento</v>
          </cell>
          <cell r="Q70" t="str">
            <v>ACTA DE VISITA COLEGIO EMMANUEL RUBIANO CORREGIDA.pdf</v>
          </cell>
          <cell r="R70" t="str">
            <v>El EE no ha realizado el cargue de actas en aplicativo SAE de igual forma no evidencian acta de reunión de cada una las instancias de participación.</v>
          </cell>
          <cell r="S70" t="str">
            <v>Realizar las actas de Gobierno Escolar y cargue en los formatos del aplicativo SAE para el año 2025.</v>
          </cell>
          <cell r="T70" t="str">
            <v>Si</v>
          </cell>
          <cell r="U70" t="str">
            <v xml:space="preserve">Presentar un plan de mejoramiento que subsane las observaciones realizadas, el plazo para la radicación de dicho plan es de 10 días hábiles posteriores a la visita. </v>
          </cell>
        </row>
        <row r="71">
          <cell r="A71">
            <v>644</v>
          </cell>
          <cell r="B71">
            <v>7</v>
          </cell>
          <cell r="C71" t="str">
            <v>ENGATIVÁ</v>
          </cell>
          <cell r="D71" t="str">
            <v>PRIVADO</v>
          </cell>
          <cell r="E71" t="str">
            <v>Educación de Jóvenes y Adultos</v>
          </cell>
          <cell r="F71" t="str">
            <v>COLEGIO_EMMANUEL_RUBIANO</v>
          </cell>
          <cell r="G71" t="str">
            <v>COLEGIO_EMMANUEL_RUBIANO</v>
          </cell>
          <cell r="H71" t="str">
            <v>Autoevaluación Institucional y Pruebas SABER 11</v>
          </cell>
          <cell r="I71" t="str">
            <v>EVALUACIÓN_CON_FINES_DE_MEJORAMIENTO.</v>
          </cell>
          <cell r="J71" t="str">
            <v>Verificar las condiciones en cuanto a: la estructura administrativa, condiciones de la planta física y medios educativos adecuados.</v>
          </cell>
          <cell r="K71" t="str">
            <v>LUZ MERY PARRA NOPE</v>
          </cell>
          <cell r="L71" t="str">
            <v>FREDDY CLAROS PEÑA</v>
          </cell>
          <cell r="M71">
            <v>45855</v>
          </cell>
          <cell r="N71">
            <v>45785</v>
          </cell>
          <cell r="O71">
            <v>45785</v>
          </cell>
          <cell r="P71" t="str">
            <v>Visitas de evaluación con fines de mejoramiento</v>
          </cell>
          <cell r="Q71" t="str">
            <v>ACTA DE VISITA COLEGIO EMMANUEL RUBIANO CORREGIDA.pdf</v>
          </cell>
          <cell r="R71" t="str">
            <v>Al realizar el recorrido por la planta fisica del EE se observa que se encuentra en buen estado.</v>
          </cell>
          <cell r="S71" t="str">
            <v>Se sugiere adecuar espacios para personas con discapacidad.</v>
          </cell>
          <cell r="T71" t="str">
            <v>No</v>
          </cell>
          <cell r="U71" t="str">
            <v> Se hará verificación en caso de presentar solicitud o queja ciudadana.</v>
          </cell>
        </row>
        <row r="72">
          <cell r="A72">
            <v>645</v>
          </cell>
          <cell r="B72">
            <v>8</v>
          </cell>
          <cell r="C72" t="str">
            <v>ENGATIVÁ</v>
          </cell>
          <cell r="D72" t="str">
            <v>PRIVADO</v>
          </cell>
          <cell r="E72" t="str">
            <v>EPBM</v>
          </cell>
          <cell r="F72" t="str">
            <v>LICEO_SAN_LEON_MAGNO</v>
          </cell>
          <cell r="G72" t="str">
            <v>LICEO_SAN_LEON_MAGNO</v>
          </cell>
          <cell r="H72" t="str">
            <v>Autoevaluación Institucional y Pruebas SABER 11</v>
          </cell>
          <cell r="I72" t="str">
            <v>SEGUIMIENTO_Y_SUPERVISIÓN.</v>
          </cell>
          <cell r="J72" t="str">
            <v>Realizar visitas para verificar la información registrada sobre la autoevaluación institucional en el aplicativo EVI, a los establecimientos de educación formal no oficial.</v>
          </cell>
          <cell r="K72" t="str">
            <v>FREDDY CLAROS PEÑA</v>
          </cell>
          <cell r="L72" t="str">
            <v>ANA MARÍA CASAS SANABRIA</v>
          </cell>
          <cell r="M72">
            <v>45806</v>
          </cell>
          <cell r="N72">
            <v>45807</v>
          </cell>
          <cell r="O72">
            <v>45807</v>
          </cell>
          <cell r="P72" t="str">
            <v>Visitas de evaluación con fines de seguimiento</v>
          </cell>
          <cell r="Q72" t="str">
            <v>30_05_2025_LICEO SAN LEON MAGNO.pdf</v>
          </cell>
          <cell r="R72" t="str">
            <v>Se realizó verificación de la información registrada en el aplicativo EVI, encontrandose con 12 aulas de clase, un aula destina a sala de sistemas con 19 computadores con conexión a internet, se evidencia un depósito de libros, 15 baterias sanitaras, 19 lavamaos.</v>
          </cell>
          <cell r="S72" t="str">
            <v>se respondió en EVI que se cuenta con software para consulta, ofimatica y trabajo colaborativo, sin embargo, no se cuentan con estos.
Los baños, lavaamanos y computadores descritos en EVI no corresponden a la realidad</v>
          </cell>
          <cell r="T72" t="str">
            <v>Si</v>
          </cell>
          <cell r="U72" t="str">
            <v>Se requirió presentar Plan de Majoramiento con el fin de subsanar la situación actual de las áreas en cuanto a capacidad . El PMI debe ser entregado  el 23 de junio  de 2025</v>
          </cell>
        </row>
        <row r="73">
          <cell r="A73">
            <v>646</v>
          </cell>
          <cell r="B73">
            <v>8</v>
          </cell>
          <cell r="C73" t="str">
            <v>ENGATIVÁ</v>
          </cell>
          <cell r="D73" t="str">
            <v>PRIVADO</v>
          </cell>
          <cell r="E73" t="str">
            <v>EPBM</v>
          </cell>
          <cell r="F73" t="str">
            <v>LICEO_SAN_LEON_MAGNO</v>
          </cell>
          <cell r="G73" t="str">
            <v>LICEO_SAN_LEON_MAGNO</v>
          </cell>
          <cell r="H73" t="str">
            <v>Autoevaluación Institucional y Pruebas SABER 11</v>
          </cell>
          <cell r="I73" t="str">
            <v>SEGUIMIENTO_Y_SUPERVISIÓN.</v>
          </cell>
          <cell r="J73" t="str">
            <v>Proponer estrategias en la formulación, verificar su elaboración y realizar seguimiento semestral al desarrollo de  las acciones establecidas en los planes de mejoramiento por pruebas SABER 11 de los establecimientos de educación formal.</v>
          </cell>
          <cell r="K73" t="str">
            <v>FREDDY CLAROS PEÑA</v>
          </cell>
          <cell r="L73" t="str">
            <v>ANA MARÍA CASAS SANABRIA</v>
          </cell>
          <cell r="M73">
            <v>45786</v>
          </cell>
          <cell r="N73">
            <v>45807</v>
          </cell>
          <cell r="O73">
            <v>45807</v>
          </cell>
          <cell r="P73" t="str">
            <v>Visitas de evaluación con fines de seguimiento</v>
          </cell>
          <cell r="Q73" t="str">
            <v>30_05_2025_LICEO SAN LEON MAGNO.pdf</v>
          </cell>
          <cell r="R73" t="str">
            <v>No se evidencia un plan de mejoramiento estructurado por cada asignatura, sobre los resultados de las pruebas saber 11</v>
          </cell>
          <cell r="S73" t="str">
            <v xml:space="preserve">Se explicó a la rectora y al coordinador que os resultados deben ser socialziados con los docentes, con el fin de diseñar un plan de mejoramiento por cada área </v>
          </cell>
          <cell r="T73" t="str">
            <v>Si</v>
          </cell>
          <cell r="U73" t="str">
            <v>Se requirió presentar Plan de Majoramiento con el fin de subsanar la situación actual de las áreas en cuanto a capacidad . El PMI debe ser entregado  el 23 de junio  de 2025</v>
          </cell>
        </row>
        <row r="74">
          <cell r="A74">
            <v>647</v>
          </cell>
          <cell r="B74">
            <v>8</v>
          </cell>
          <cell r="C74" t="str">
            <v>ENGATIVÁ</v>
          </cell>
          <cell r="D74" t="str">
            <v>PRIVADO</v>
          </cell>
          <cell r="E74" t="str">
            <v>EPBM</v>
          </cell>
          <cell r="F74" t="str">
            <v>LICEO_SAN_LEON_MAGNO</v>
          </cell>
          <cell r="G74" t="str">
            <v>LICEO_SAN_LEON_MAGNO</v>
          </cell>
          <cell r="H74" t="str">
            <v>Autoevaluación Institucional y Pruebas SABER 11</v>
          </cell>
          <cell r="I74" t="str">
            <v>SEGUIMIENTO_Y_SUPERVISIÓN.</v>
          </cell>
          <cell r="J74" t="str">
            <v xml:space="preserve">Verificar la implementación por parte de los colegios, de acciones realizadas para la prevención y atención de las situaciones de convivencia en el entorno escolar, según lo establecido en la Directiva 01 de 2022 del MEN. </v>
          </cell>
          <cell r="K74" t="str">
            <v>FREDDY CLAROS PEÑA</v>
          </cell>
          <cell r="L74" t="str">
            <v>ANA MARÍA CASAS SANABRIA</v>
          </cell>
          <cell r="M74">
            <v>45786</v>
          </cell>
          <cell r="N74">
            <v>45807</v>
          </cell>
          <cell r="O74">
            <v>45807</v>
          </cell>
          <cell r="P74" t="str">
            <v>Visitas de evaluación con fines de seguimiento</v>
          </cell>
          <cell r="Q74" t="str">
            <v>30_05_2025_LICEO SAN LEON MAGNO.pdf</v>
          </cell>
          <cell r="R74" t="str">
            <v>El E.E. no realiza verificación de inhabilidad por parte del personal contratado</v>
          </cell>
          <cell r="S74" t="str">
            <v>Se explica al rector, coordinador y orientadora escolar la Directiva y se informa como se debe realizar las consultas de las inhabilidades, en consecuencia el colegio se compromete a realizara cada cuatro meses</v>
          </cell>
          <cell r="T74" t="str">
            <v>Si</v>
          </cell>
          <cell r="U74" t="str">
            <v>Se requirió presentar Plan de Majoramiento con el fin de subsanar la situación actual de las áreas en cuanto a capacidad . El PMI debe ser entregado  el 23 de junio  de 2025</v>
          </cell>
        </row>
        <row r="75">
          <cell r="A75">
            <v>648</v>
          </cell>
          <cell r="B75">
            <v>8</v>
          </cell>
          <cell r="C75" t="str">
            <v>ENGATIVÁ</v>
          </cell>
          <cell r="D75" t="str">
            <v>PRIVADO</v>
          </cell>
          <cell r="E75" t="str">
            <v>EPBM</v>
          </cell>
          <cell r="F75" t="str">
            <v>LICEO_SAN_LEON_MAGNO</v>
          </cell>
          <cell r="G75" t="str">
            <v>LICEO_SAN_LEON_MAGNO</v>
          </cell>
          <cell r="H75" t="str">
            <v>Autoevaluación Institucional y Pruebas SABER 11</v>
          </cell>
          <cell r="I75" t="str">
            <v>SEGUIMIENTO_Y_SUPERVISIÓN.</v>
          </cell>
          <cell r="J7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5" t="str">
            <v>FREDDY CLAROS PEÑA</v>
          </cell>
          <cell r="L75" t="str">
            <v>ANA MARÍA CASAS SANABRIA</v>
          </cell>
          <cell r="M75">
            <v>45786</v>
          </cell>
          <cell r="N75">
            <v>45807</v>
          </cell>
          <cell r="O75">
            <v>45807</v>
          </cell>
          <cell r="P75" t="str">
            <v>Visitas de evaluación con fines de seguimiento</v>
          </cell>
          <cell r="Q75" t="str">
            <v>30_05_2025_LICEO SAN LEON MAGNO.pdf</v>
          </cell>
          <cell r="R75" t="str">
            <v>Se observa los PIAR debidamente dilifenciados, sin embargo, no se evidencia socialziación con los padres de familia</v>
          </cell>
          <cell r="S75" t="str">
            <v>Se orienta a la profesional en psicología la importancia de la socialziación de los PIAR con los padres de familia</v>
          </cell>
          <cell r="T75" t="str">
            <v>Si</v>
          </cell>
          <cell r="U75" t="str">
            <v>Se requirió presentar Plan de Majoramiento con el fin de subsanar la situación actual de las áreas en cuanto a capacidad . El PMI debe ser entregado  el 23 de junio  de 2025</v>
          </cell>
        </row>
        <row r="76">
          <cell r="A76">
            <v>649</v>
          </cell>
          <cell r="B76">
            <v>8</v>
          </cell>
          <cell r="C76" t="str">
            <v>ENGATIVÁ</v>
          </cell>
          <cell r="D76" t="str">
            <v>PRIVADO</v>
          </cell>
          <cell r="E76" t="str">
            <v>EPBM</v>
          </cell>
          <cell r="F76" t="str">
            <v>LICEO_SAN_LEON_MAGNO</v>
          </cell>
          <cell r="G76" t="str">
            <v>LICEO_SAN_LEON_MAGNO</v>
          </cell>
          <cell r="H76" t="str">
            <v>Autoevaluación Institucional y Pruebas SABER 11</v>
          </cell>
          <cell r="I76" t="str">
            <v>EVALUACIÓN_CON_FINES_DE_MEJORAMIENTO.</v>
          </cell>
          <cell r="J7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6" t="str">
            <v>FREDDY CLAROS PEÑA</v>
          </cell>
          <cell r="L76" t="str">
            <v>ANA MARÍA CASAS SANABRIA</v>
          </cell>
          <cell r="M76">
            <v>45786</v>
          </cell>
          <cell r="N76">
            <v>45807</v>
          </cell>
          <cell r="O76">
            <v>45807</v>
          </cell>
          <cell r="P76" t="str">
            <v>Visitas de evaluación con fines de mejoramiento</v>
          </cell>
          <cell r="Q76" t="str">
            <v>30_05_2025_LICEO SAN LEON MAGNO.pdf</v>
          </cell>
          <cell r="R76" t="str">
            <v xml:space="preserve">No se encontraron evidencias de la participacion de la comunidad educativa en actualización del manual de convivencia
</v>
          </cell>
          <cell r="S76" t="str">
            <v xml:space="preserve">Se indica que debe quedar soporte de los procesos que se llevan a cabo frente a la construcción participativa del Manual de convivencia </v>
          </cell>
          <cell r="T76" t="str">
            <v>Si</v>
          </cell>
          <cell r="U76" t="str">
            <v>Se requirió presentar Plan de Majoramiento con el fin de subsanar la situación actual de las áreas en cuanto a capacidad . El PMI debe ser entregado  el 23 de junio  de 2025</v>
          </cell>
        </row>
        <row r="77">
          <cell r="A77">
            <v>650</v>
          </cell>
          <cell r="B77">
            <v>8</v>
          </cell>
          <cell r="C77" t="str">
            <v>ENGATIVÁ</v>
          </cell>
          <cell r="D77" t="str">
            <v>PRIVADO</v>
          </cell>
          <cell r="E77" t="str">
            <v>EPBM</v>
          </cell>
          <cell r="F77" t="str">
            <v>LICEO_SAN_LEON_MAGNO</v>
          </cell>
          <cell r="G77" t="str">
            <v>LICEO_SAN_LEON_MAGNO</v>
          </cell>
          <cell r="H77" t="str">
            <v>Autoevaluación Institucional y Pruebas SABER 11</v>
          </cell>
          <cell r="I77" t="str">
            <v>EVALUACIÓN_CON_FINES_DE_MEJORAMIENTO.</v>
          </cell>
          <cell r="J77" t="str">
            <v>Revisar la actualización, socialización e implementación del Sistema Institucional de Evaluación de Estudiantes - SIEE, en articulación con la actualización del PEI y la normatividad vigente.</v>
          </cell>
          <cell r="K77" t="str">
            <v>FREDDY CLAROS PEÑA</v>
          </cell>
          <cell r="L77" t="str">
            <v>ANA MARÍA CASAS SANABRIA</v>
          </cell>
          <cell r="M77">
            <v>45786</v>
          </cell>
          <cell r="N77">
            <v>45807</v>
          </cell>
          <cell r="O77">
            <v>45807</v>
          </cell>
          <cell r="P77" t="str">
            <v>Visitas de evaluación con fines de mejoramiento</v>
          </cell>
          <cell r="Q77" t="str">
            <v>30_05_2025_LICEO SAN LEON MAGNO.pdf</v>
          </cell>
          <cell r="R77" t="str">
            <v xml:space="preserve">No se encontraron evidencias de la participacion de la comunidad educativa en actualización del SIEE.
</v>
          </cell>
          <cell r="S77" t="str">
            <v xml:space="preserve">Se indica que debe quedar soporte de los procesos que se llevan a cabo frente a la construcción participativa del SIEE </v>
          </cell>
          <cell r="T77" t="str">
            <v>Si</v>
          </cell>
          <cell r="U77" t="str">
            <v>Se requirió presentar Plan de Majoramiento con el fin de subsanar la situación actual de las áreas en cuanto a capacidad . El PMI debe ser entregado  el 23 de junio  de 2025</v>
          </cell>
        </row>
        <row r="78">
          <cell r="A78">
            <v>651</v>
          </cell>
          <cell r="B78">
            <v>8</v>
          </cell>
          <cell r="C78" t="str">
            <v>ENGATIVÁ</v>
          </cell>
          <cell r="D78" t="str">
            <v>PRIVADO</v>
          </cell>
          <cell r="E78" t="str">
            <v>EPBM</v>
          </cell>
          <cell r="F78" t="str">
            <v>LICEO_SAN_LEON_MAGNO</v>
          </cell>
          <cell r="G78" t="str">
            <v>LICEO_SAN_LEON_MAGNO</v>
          </cell>
          <cell r="H78" t="str">
            <v>Autoevaluación Institucional y Pruebas SABER 11</v>
          </cell>
          <cell r="I78" t="str">
            <v>EVALUACIÓN_CON_FINES_DE_MEJORAMIENTO.</v>
          </cell>
          <cell r="J78" t="str">
            <v>Revisar el calendario escolar, jornada escolar, la intensidad horaria mínima anual en cada nivel y las modificaciones que se realicen al mismo, de acuerdo con lo previsto en la normatividad vigente.</v>
          </cell>
          <cell r="K78" t="str">
            <v>FREDDY CLAROS PEÑA</v>
          </cell>
          <cell r="L78" t="str">
            <v>ANA MARÍA CASAS SANABRIA</v>
          </cell>
          <cell r="M78">
            <v>45786</v>
          </cell>
          <cell r="N78">
            <v>45807</v>
          </cell>
          <cell r="O78">
            <v>45807</v>
          </cell>
          <cell r="P78" t="str">
            <v>Visitas de evaluación con fines de mejoramiento</v>
          </cell>
          <cell r="Q78" t="str">
            <v>30_05_2025_LICEO SAN LEON MAGNO.pdf</v>
          </cell>
          <cell r="R78" t="str">
            <v xml:space="preserve">Se revisa en el formato establecido el cumplimiento de la intensidad horaria </v>
          </cell>
          <cell r="S78" t="str">
            <v>El colegio cumple la intensidad horaria establecida por nivel según normativa vigente</v>
          </cell>
          <cell r="T78" t="str">
            <v>No</v>
          </cell>
          <cell r="U78" t="str">
            <v>Se verificacrá en una actuación en otra vigencia o si se genera petición o queja ciudadana.</v>
          </cell>
        </row>
        <row r="79">
          <cell r="A79">
            <v>652</v>
          </cell>
          <cell r="B79">
            <v>8</v>
          </cell>
          <cell r="C79" t="str">
            <v>ENGATIVÁ</v>
          </cell>
          <cell r="D79" t="str">
            <v>PRIVADO</v>
          </cell>
          <cell r="E79" t="str">
            <v>EPBM</v>
          </cell>
          <cell r="F79" t="str">
            <v>LICEO_SAN_LEON_MAGNO</v>
          </cell>
          <cell r="G79" t="str">
            <v>LICEO_SAN_LEON_MAGNO</v>
          </cell>
          <cell r="H79" t="str">
            <v>Autoevaluación Institucional y Pruebas SABER 11</v>
          </cell>
          <cell r="I79" t="str">
            <v>EVALUACIÓN_CON_FINES_DE_MEJORAMIENTO.</v>
          </cell>
          <cell r="J79" t="str">
            <v>Verificar el funcionamiento del Gobierno Escolar e instancias de participación con base en la información sobre conformación reportada por la institución educativa.</v>
          </cell>
          <cell r="K79" t="str">
            <v>FREDDY CLAROS PEÑA</v>
          </cell>
          <cell r="L79" t="str">
            <v>ANA MARÍA CASAS SANABRIA</v>
          </cell>
          <cell r="M79">
            <v>45786</v>
          </cell>
          <cell r="N79">
            <v>45807</v>
          </cell>
          <cell r="O79">
            <v>45807</v>
          </cell>
          <cell r="P79" t="str">
            <v>Visitas de evaluación con fines de mejoramiento</v>
          </cell>
          <cell r="Q79" t="str">
            <v>30_05_2025_LICEO SAN LEON MAGNO.pdf</v>
          </cell>
          <cell r="R79" t="str">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ell>
          <cell r="S79" t="str">
            <v>Se sugiere que los integrantes del gobierno escolar firmen las actas y escriban sus nombres</v>
          </cell>
          <cell r="T79" t="str">
            <v>No</v>
          </cell>
          <cell r="U79" t="str">
            <v>Se verificacrá en una actuación en otra vigencia o si se genera petición o queja ciudadana.</v>
          </cell>
        </row>
        <row r="80">
          <cell r="A80">
            <v>653</v>
          </cell>
          <cell r="B80">
            <v>8</v>
          </cell>
          <cell r="C80" t="str">
            <v>ENGATIVÁ</v>
          </cell>
          <cell r="D80" t="str">
            <v>PRIVADO</v>
          </cell>
          <cell r="E80" t="str">
            <v>EPBM</v>
          </cell>
          <cell r="F80" t="str">
            <v>LICEO_SAN_LEON_MAGNO</v>
          </cell>
          <cell r="G80" t="str">
            <v>LICEO_SAN_LEON_MAGNO</v>
          </cell>
          <cell r="H80" t="str">
            <v>Autoevaluación Institucional y Pruebas SABER 11</v>
          </cell>
          <cell r="I80" t="str">
            <v>EVALUACIÓN_CON_FINES_DE_MEJORAMIENTO.</v>
          </cell>
          <cell r="J80" t="str">
            <v>Verificar las condiciones en cuanto a: la estructura administrativa, condiciones de la planta física y medios educativos adecuados.</v>
          </cell>
          <cell r="K80" t="str">
            <v>FREDDY CLAROS PEÑA</v>
          </cell>
          <cell r="L80" t="str">
            <v>ANA MARÍA CASAS SANABRIA</v>
          </cell>
          <cell r="M80">
            <v>45786</v>
          </cell>
          <cell r="N80">
            <v>45807</v>
          </cell>
          <cell r="O80">
            <v>45807</v>
          </cell>
          <cell r="P80" t="str">
            <v>Visitas de evaluación con fines de mejoramiento</v>
          </cell>
          <cell r="Q80" t="str">
            <v>30_05_2025_LICEO SAN LEON MAGNO.pdf</v>
          </cell>
          <cell r="R80" t="str">
            <v>Se evidencia un deterioro en las aulas, baños y espacios académicos en general, en relación con pintura, ubicación de materiales como cajas con materiales del colegio y el salon de profesores</v>
          </cell>
          <cell r="S80" t="str">
            <v>Se sugiere al establecimiento educativo organizar su mobiliario, separación de orinales de los estudiantes</v>
          </cell>
          <cell r="T80" t="str">
            <v>Si</v>
          </cell>
          <cell r="U80" t="str">
            <v>Se requirió presentar Plan de Majoramiento con el fin de subsanar la situación actual de las áreas en cuanto a capacidad . El PMI debe ser entregado  el 23 de junio  de 2025</v>
          </cell>
        </row>
        <row r="81">
          <cell r="A81">
            <v>654</v>
          </cell>
          <cell r="B81">
            <v>9</v>
          </cell>
          <cell r="C81" t="str">
            <v>ENGATIVÁ</v>
          </cell>
          <cell r="D81" t="str">
            <v>PRIVADO</v>
          </cell>
          <cell r="E81" t="str">
            <v>EPBM</v>
          </cell>
          <cell r="F81" t="str">
            <v>LICEO_MODERNO_LEEUWENHOEK</v>
          </cell>
          <cell r="G81" t="str">
            <v>LICEO_MODERNO_LEEUWENHOEK</v>
          </cell>
          <cell r="H81" t="str">
            <v>Autoevaluación Institucional y Pruebas SABER 11</v>
          </cell>
          <cell r="I81" t="str">
            <v>SEGUIMIENTO_Y_SUPERVISIÓN.</v>
          </cell>
          <cell r="J81" t="str">
            <v>Realizar visitas para verificar la información registrada sobre la autoevaluación institucional en el aplicativo EVI, a los establecimientos de educación formal no oficial.</v>
          </cell>
          <cell r="K81" t="str">
            <v>MÓNICA JANNETH RAMÍREZ MORENO</v>
          </cell>
          <cell r="L81" t="str">
            <v>JENIFER CATHERINE LEÓN ACOSTA</v>
          </cell>
          <cell r="M81">
            <v>45743</v>
          </cell>
          <cell r="N81">
            <v>45743</v>
          </cell>
          <cell r="O81">
            <v>45743</v>
          </cell>
          <cell r="P81" t="str">
            <v>Visitas de evaluación con fines de seguimiento</v>
          </cell>
          <cell r="Q81" t="str">
            <v>20250326ActavisitaLicModLeeuwenhoek.pdf</v>
          </cell>
          <cell r="R81" t="str">
            <v>Se realizó verificación de la información registrada en el aplicativo EVI</v>
          </cell>
          <cell r="S81" t="str">
            <v>La información reportada corresponde a la sumatoria de ambas sedes, sin embargo, se detectaron deficiencias en cuanto espacios y áreas de la sede B</v>
          </cell>
          <cell r="T81" t="str">
            <v>Si</v>
          </cell>
          <cell r="U81" t="str">
            <v>Se requirió presentar Plan de Majoramiento con el fin de subsanar la situación actual de las áreas en cuanto a capacidad y confort. El PMI debe ser entregado al ELIV a más tardar el 9 de mayo de 2025</v>
          </cell>
        </row>
        <row r="82">
          <cell r="A82">
            <v>655</v>
          </cell>
          <cell r="B82">
            <v>9</v>
          </cell>
          <cell r="C82" t="str">
            <v>ENGATIVÁ</v>
          </cell>
          <cell r="D82" t="str">
            <v>PRIVADO</v>
          </cell>
          <cell r="E82" t="str">
            <v>EPBM</v>
          </cell>
          <cell r="F82" t="str">
            <v>LICEO_MODERNO_LEEUWENHOEK</v>
          </cell>
          <cell r="G82" t="str">
            <v>LICEO_MODERNO_LEEUWENHOEK</v>
          </cell>
          <cell r="H82" t="str">
            <v>Autoevaluación Institucional y Pruebas SABER 11</v>
          </cell>
          <cell r="I82" t="str">
            <v>SEGUIMIENTO_Y_SUPERVISIÓN.</v>
          </cell>
          <cell r="J82" t="str">
            <v>Proponer estrategias en la formulación, verificar su elaboración y realizar seguimiento semestral al desarrollo de  las acciones establecidas en los planes de mejoramiento por pruebas SABER 11 de los establecimientos de educación formal.</v>
          </cell>
          <cell r="K82" t="str">
            <v>MÓNICA JANNETH RAMÍREZ MORENO</v>
          </cell>
          <cell r="L82" t="str">
            <v>JENIFER CATHERINE LEÓN ACOSTA</v>
          </cell>
          <cell r="M82">
            <v>45743</v>
          </cell>
          <cell r="N82">
            <v>45743</v>
          </cell>
          <cell r="O82">
            <v>45743</v>
          </cell>
          <cell r="P82" t="str">
            <v>Visitas de evaluación con fines de seguimiento</v>
          </cell>
          <cell r="Q82" t="str">
            <v>20250326ActavisitaLicModLeeuwenhoek.pdf</v>
          </cell>
          <cell r="R82" t="str">
            <v>Se evidenció el establecimiento de un plan de mejoramiento que posee indicadores, situación identificada y oportunidades y actividades de mejora.
No se han realizado actualizaciones del curriculo y plan de estudios con base en los resultados del plan</v>
          </cell>
          <cell r="S82" t="str">
            <v>Se resalta el mejoramiento en las pruebas, se solicita que el plan de mejoramiento tenga en cuenta a toda la comunidad educativa, niveles y diversidades.
Se solicita actualización de plan de estudios en todos los grados no solamente en 11°</v>
          </cell>
          <cell r="T82" t="str">
            <v>Si</v>
          </cell>
          <cell r="U82" t="str">
            <v>Se requirió presentar Plan de Majoramiento con el fin de subsanar la situación actual. El PMI debe ser entregado al ELIV a más tardar el 9 de mayo de 2025</v>
          </cell>
        </row>
        <row r="83">
          <cell r="A83">
            <v>656</v>
          </cell>
          <cell r="B83">
            <v>9</v>
          </cell>
          <cell r="C83" t="str">
            <v>ENGATIVÁ</v>
          </cell>
          <cell r="D83" t="str">
            <v>PRIVADO</v>
          </cell>
          <cell r="E83" t="str">
            <v>EPBM</v>
          </cell>
          <cell r="F83" t="str">
            <v>LICEO_MODERNO_LEEUWENHOEK</v>
          </cell>
          <cell r="G83" t="str">
            <v>LICEO_MODERNO_LEEUWENHOEK</v>
          </cell>
          <cell r="H83" t="str">
            <v>Autoevaluación Institucional y Pruebas SABER 11</v>
          </cell>
          <cell r="I83" t="str">
            <v>SEGUIMIENTO_Y_SUPERVISIÓN.</v>
          </cell>
          <cell r="J83" t="str">
            <v xml:space="preserve">Verificar la implementación por parte de los colegios, de acciones realizadas para la prevención y atención de las situaciones de convivencia en el entorno escolar, según lo establecido en la Directiva 01 de 2022 del MEN. </v>
          </cell>
          <cell r="K83" t="str">
            <v>MÓNICA JANNETH RAMÍREZ MORENO</v>
          </cell>
          <cell r="L83" t="str">
            <v>JENIFER CATHERINE LEÓN ACOSTA</v>
          </cell>
          <cell r="M83">
            <v>45743</v>
          </cell>
          <cell r="N83">
            <v>45743</v>
          </cell>
          <cell r="O83">
            <v>45743</v>
          </cell>
          <cell r="P83" t="str">
            <v>Visitas de evaluación con fines de seguimiento</v>
          </cell>
          <cell r="Q83" t="str">
            <v>20250326ActavisitaLicModLeeuwenhoek.pdf</v>
          </cell>
          <cell r="R83" t="str">
            <v>El E.E. no realiza verificación de inhabilidad por parte del personal contratado</v>
          </cell>
          <cell r="S83" t="str">
            <v>SE explica a la rectora la Directiva y se informa como se debe realizar las consultas de las inhabilidades</v>
          </cell>
          <cell r="T83" t="str">
            <v>Si</v>
          </cell>
          <cell r="U83" t="str">
            <v>Se requirió presentar Plan de Majoramiento con el fin de subsanar la situación actual. El PMI debe ser entregado al ELIV a más tardar el 9 de mayo de 2025</v>
          </cell>
        </row>
        <row r="84">
          <cell r="A84">
            <v>657</v>
          </cell>
          <cell r="B84">
            <v>9</v>
          </cell>
          <cell r="C84" t="str">
            <v>ENGATIVÁ</v>
          </cell>
          <cell r="D84" t="str">
            <v>PRIVADO</v>
          </cell>
          <cell r="E84" t="str">
            <v>EPBM</v>
          </cell>
          <cell r="F84" t="str">
            <v>LICEO_MODERNO_LEEUWENHOEK</v>
          </cell>
          <cell r="G84" t="str">
            <v>LICEO_MODERNO_LEEUWENHOEK</v>
          </cell>
          <cell r="H84" t="str">
            <v>Autoevaluación Institucional y Pruebas SABER 11</v>
          </cell>
          <cell r="I84" t="str">
            <v>SEGUIMIENTO_Y_SUPERVISIÓN.</v>
          </cell>
          <cell r="J8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4" t="str">
            <v>MÓNICA JANNETH RAMÍREZ MORENO</v>
          </cell>
          <cell r="L84" t="str">
            <v>JENIFER CATHERINE LEÓN ACOSTA</v>
          </cell>
          <cell r="M84">
            <v>45743</v>
          </cell>
          <cell r="N84">
            <v>45743</v>
          </cell>
          <cell r="O84">
            <v>45743</v>
          </cell>
          <cell r="P84" t="str">
            <v>Visitas de evaluación con fines de seguimiento</v>
          </cell>
          <cell r="Q84" t="str">
            <v>20250326ActavisitaLicModLeeuwenhoek.pdf</v>
          </cell>
          <cell r="R84" t="str">
            <v>Se observa que actualmente estan en la etapa de formulación de los PIAR de los estudiantes que los requieren</v>
          </cell>
          <cell r="S84" t="str">
            <v>Se dan recomendaciones para el correcto diseño de los PIAR y se remite formato establecido para tal fin</v>
          </cell>
          <cell r="T84" t="str">
            <v>Si</v>
          </cell>
          <cell r="U84" t="str">
            <v>Se requirió presentar Plan de Majoramiento con el fin de subsanar la situación actual. El PMI debe ser entregado al ELIV a más tardar el 9 de mayo de 2025</v>
          </cell>
        </row>
        <row r="85">
          <cell r="A85">
            <v>658</v>
          </cell>
          <cell r="B85">
            <v>9</v>
          </cell>
          <cell r="C85" t="str">
            <v>ENGATIVÁ</v>
          </cell>
          <cell r="D85" t="str">
            <v>PRIVADO</v>
          </cell>
          <cell r="E85" t="str">
            <v>EPBM</v>
          </cell>
          <cell r="F85" t="str">
            <v>LICEO_MODERNO_LEEUWENHOEK</v>
          </cell>
          <cell r="G85" t="str">
            <v>LICEO_MODERNO_LEEUWENHOEK</v>
          </cell>
          <cell r="H85" t="str">
            <v>Autoevaluación Institucional y Pruebas SABER 11</v>
          </cell>
          <cell r="I85" t="str">
            <v>EVALUACIÓN_CON_FINES_DE_MEJORAMIENTO.</v>
          </cell>
          <cell r="J8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5" t="str">
            <v>MÓNICA JANNETH RAMÍREZ MORENO</v>
          </cell>
          <cell r="L85" t="str">
            <v>JENIFER CATHERINE LEÓN ACOSTA</v>
          </cell>
          <cell r="M85">
            <v>45743</v>
          </cell>
          <cell r="N85">
            <v>45743</v>
          </cell>
          <cell r="O85">
            <v>45743</v>
          </cell>
          <cell r="P85" t="str">
            <v>Visitas de evaluación con fines de mejoramiento</v>
          </cell>
          <cell r="Q85" t="str">
            <v>20250326ActavisitaLicModLeeuwenhoek.pdf</v>
          </cell>
          <cell r="R85" t="str">
            <v xml:space="preserve">El manual de convivencia actual esta vigente desde 2021, no se observan actualizaciones desde esa fecha ni contempla los enfoques de inclusión, de genero, ni restaurativo.
</v>
          </cell>
          <cell r="S85" t="str">
            <v xml:space="preserve">Se  indica que los procesos de actualización  deben ser participativos, dejando evidencia de las actividades y que el manual debe actualizarse y adoptar anualmente.
</v>
          </cell>
          <cell r="T85" t="str">
            <v>Si</v>
          </cell>
          <cell r="U85" t="str">
            <v>Se requirió presentar Plan de Majoramiento con el fin de subsanar la situación actual. El PMI debe ser entregado al ELIV a más tardar el 9 de mayo de 2025</v>
          </cell>
        </row>
        <row r="86">
          <cell r="A86">
            <v>658</v>
          </cell>
          <cell r="B86">
            <v>9</v>
          </cell>
          <cell r="C86" t="str">
            <v>ENGATIVÁ</v>
          </cell>
          <cell r="D86" t="str">
            <v>PRIVADO</v>
          </cell>
          <cell r="E86" t="str">
            <v>EPBM</v>
          </cell>
          <cell r="F86" t="str">
            <v>LICEO_MODERNO_LEEUWENHOEK</v>
          </cell>
          <cell r="G86" t="str">
            <v>LICEO_MODERNO_LEEUWENHOEK</v>
          </cell>
          <cell r="H86" t="str">
            <v>Autoevaluación Institucional y Pruebas SABER 11</v>
          </cell>
          <cell r="I86" t="str">
            <v>EVALUACIÓN_CON_FINES_DE_MEJORAMIENTO.</v>
          </cell>
          <cell r="J86" t="str">
            <v>Revisar la actualización, socialización e implementación del Sistema Institucional de Evaluación de Estudiantes - SIEE, en articulación con la actualización del PEI y la normatividad vigente.</v>
          </cell>
          <cell r="K86" t="str">
            <v>MÓNICA JANNETH RAMÍREZ MORENO</v>
          </cell>
          <cell r="L86" t="str">
            <v>JENIFER CATHERINE LEÓN ACOSTA</v>
          </cell>
          <cell r="M86">
            <v>45743</v>
          </cell>
          <cell r="N86">
            <v>45743</v>
          </cell>
          <cell r="O86">
            <v>45743</v>
          </cell>
          <cell r="P86" t="str">
            <v>Visitas de evaluación con fines de mejoramiento</v>
          </cell>
          <cell r="Q86" t="str">
            <v>20250326ActavisitaLicModLeeuwenhoek.pdf</v>
          </cell>
          <cell r="R86" t="str">
            <v>No se encontraron evidencias de la participacion de la comunidad educativa en actualización del SIEE.
Se socializó mediante circular y en asamblea de padres</v>
          </cell>
          <cell r="S86" t="str">
            <v>Se indica que debe quedar registrado en el SIEE los proceso que se llevan a cabo frente a seguimiento de casos, inasistencias, deserción estudiantil por cuanto no estan incluidos en el documento</v>
          </cell>
          <cell r="T86" t="str">
            <v>Si</v>
          </cell>
          <cell r="U86" t="str">
            <v>Se requirió presentar Plan de Majoramiento con el fin de subsanar la situación actual. El PMI debe ser entregado al ELIV a más tardar el 9 de mayo de 2025</v>
          </cell>
        </row>
        <row r="87">
          <cell r="A87">
            <v>659</v>
          </cell>
          <cell r="B87">
            <v>9</v>
          </cell>
          <cell r="C87" t="str">
            <v>ENGATIVÁ</v>
          </cell>
          <cell r="D87" t="str">
            <v>PRIVADO</v>
          </cell>
          <cell r="E87" t="str">
            <v>EPBM</v>
          </cell>
          <cell r="F87" t="str">
            <v>LICEO_MODERNO_LEEUWENHOEK</v>
          </cell>
          <cell r="G87" t="str">
            <v>LICEO_MODERNO_LEEUWENHOEK</v>
          </cell>
          <cell r="H87" t="str">
            <v>Autoevaluación Institucional y Pruebas SABER 11</v>
          </cell>
          <cell r="I87" t="str">
            <v>EVALUACIÓN_CON_FINES_DE_MEJORAMIENTO.</v>
          </cell>
          <cell r="J87" t="str">
            <v>Revisar el calendario escolar, jornada escolar, la intensidad horaria mínima anual en cada nivel y las modificaciones que se realicen al mismo, de acuerdo con lo previsto en la normatividad vigente.</v>
          </cell>
          <cell r="K87" t="str">
            <v>MÓNICA JANNETH RAMÍREZ MORENO</v>
          </cell>
          <cell r="L87" t="str">
            <v>JENIFER CATHERINE LEÓN ACOSTA</v>
          </cell>
          <cell r="M87">
            <v>45743</v>
          </cell>
          <cell r="N87">
            <v>45743</v>
          </cell>
          <cell r="O87">
            <v>45743</v>
          </cell>
          <cell r="P87" t="str">
            <v>Visitas de evaluación con fines de mejoramiento</v>
          </cell>
          <cell r="Q87" t="str">
            <v>20250326ActavisitaLicModLeeuwenhoek.pdf</v>
          </cell>
          <cell r="R87" t="str">
            <v xml:space="preserve">Se revisa en el formato establecido el cumplimiento de la intensidad horaria </v>
          </cell>
          <cell r="S87" t="str">
            <v>El colegio cumple la intensidad horaria establecida por nivel según normativa vigente</v>
          </cell>
          <cell r="T87" t="str">
            <v>No</v>
          </cell>
          <cell r="U87" t="str">
            <v>Se verificará cumplimiento del calendario académico según lo determinado</v>
          </cell>
        </row>
        <row r="88">
          <cell r="A88">
            <v>660</v>
          </cell>
          <cell r="B88">
            <v>9</v>
          </cell>
          <cell r="C88" t="str">
            <v>ENGATIVÁ</v>
          </cell>
          <cell r="D88" t="str">
            <v>PRIVADO</v>
          </cell>
          <cell r="E88" t="str">
            <v>EPBM</v>
          </cell>
          <cell r="F88" t="str">
            <v>LICEO_MODERNO_LEEUWENHOEK</v>
          </cell>
          <cell r="G88" t="str">
            <v>LICEO_MODERNO_LEEUWENHOEK</v>
          </cell>
          <cell r="H88" t="str">
            <v>Autoevaluación Institucional y Pruebas SABER 11</v>
          </cell>
          <cell r="I88" t="str">
            <v>EVALUACIÓN_CON_FINES_DE_MEJORAMIENTO.</v>
          </cell>
          <cell r="J88" t="str">
            <v>Verificar el funcionamiento del Gobierno Escolar e instancias de participación con base en la información sobre conformación reportada por la institución educativa.</v>
          </cell>
          <cell r="K88" t="str">
            <v>MÓNICA JANNETH RAMÍREZ MORENO</v>
          </cell>
          <cell r="L88" t="str">
            <v>JENIFER CATHERINE LEÓN ACOSTA</v>
          </cell>
          <cell r="M88">
            <v>45743</v>
          </cell>
          <cell r="N88">
            <v>45743</v>
          </cell>
          <cell r="O88">
            <v>45743</v>
          </cell>
          <cell r="P88" t="str">
            <v>Visitas de evaluación con fines de mejoramiento</v>
          </cell>
          <cell r="Q88" t="str">
            <v>20250326ActavisitaLicModLeeuwenhoek.pdf</v>
          </cell>
          <cell r="R88" t="str">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ell>
          <cell r="S88" t="str">
            <v>Se solicita que las actan tenga una descripción más amplia de los temas tratados, que se especifiquen y relaciones las funciones propias de cada comité, así como el cronograma de sesiones</v>
          </cell>
          <cell r="T88" t="str">
            <v>Si</v>
          </cell>
          <cell r="U88" t="str">
            <v>Se requirió presentar Plan de Majoramiento con el fin de subsanar la situación actual. El PMI debe ser entregado al ELIV a más tardar el 9 de mayo de 2025</v>
          </cell>
        </row>
        <row r="89">
          <cell r="A89">
            <v>661</v>
          </cell>
          <cell r="B89">
            <v>9</v>
          </cell>
          <cell r="C89" t="str">
            <v>ENGATIVÁ</v>
          </cell>
          <cell r="D89" t="str">
            <v>PRIVADO</v>
          </cell>
          <cell r="E89" t="str">
            <v>EPBM</v>
          </cell>
          <cell r="F89" t="str">
            <v>LICEO_MODERNO_LEEUWENHOEK</v>
          </cell>
          <cell r="G89" t="str">
            <v>LICEO_MODERNO_LEEUWENHOEK</v>
          </cell>
          <cell r="H89" t="str">
            <v>Autoevaluación Institucional y Pruebas SABER 11</v>
          </cell>
          <cell r="I89" t="str">
            <v>EVALUACIÓN_CON_FINES_DE_MEJORAMIENTO.</v>
          </cell>
          <cell r="J89" t="str">
            <v>Verificar las condiciones en cuanto a: la estructura administrativa, condiciones de la planta física y medios educativos adecuados.</v>
          </cell>
          <cell r="K89" t="str">
            <v>MÓNICA JANNETH RAMÍREZ MORENO</v>
          </cell>
          <cell r="L89" t="str">
            <v>JENIFER CATHERINE LEÓN ACOSTA</v>
          </cell>
          <cell r="M89">
            <v>45743</v>
          </cell>
          <cell r="N89">
            <v>45743</v>
          </cell>
          <cell r="O89">
            <v>45743</v>
          </cell>
          <cell r="P89" t="str">
            <v>Visitas de evaluación con fines de mejoramiento</v>
          </cell>
          <cell r="Q89" t="str">
            <v>20250326ActavisitaLicModLeeuwenhoek.pdf</v>
          </cell>
          <cell r="R89" t="str">
            <v>Se evidencia que los espacios administrativos no son suficientes para las funciones que se deben desarrollar. Los espacios pedagógicos presentas deficiencias en iluminación y ventilación, así como en la capacidad de estudiantes. No cuenta con área libre</v>
          </cell>
          <cell r="S89" t="str">
            <v>Se remite la capacidad de cada aula teniendo en cuenta el área de cada una de ellas, así mismo, se indica el procedimiento para la autorización de la utilización de los parques comoárea compartida</v>
          </cell>
          <cell r="T89" t="str">
            <v>Si</v>
          </cell>
          <cell r="U89" t="str">
            <v>Se requirió presentar Plan de Majoramiento con el fin de subsanar la situación actual. El PMI debe ser entregado al ELIV a más tardar el 9 de mayo de 2025</v>
          </cell>
        </row>
        <row r="90">
          <cell r="A90">
            <v>662</v>
          </cell>
          <cell r="B90">
            <v>10</v>
          </cell>
          <cell r="C90" t="str">
            <v>ENGATIVÁ</v>
          </cell>
          <cell r="D90" t="str">
            <v>PRIVADO</v>
          </cell>
          <cell r="E90" t="str">
            <v>EPBM</v>
          </cell>
          <cell r="F90" t="str">
            <v>COLEGIO_LUIS_MARIANO</v>
          </cell>
          <cell r="G90" t="str">
            <v>COLEGIO_LUIS_MARIANO</v>
          </cell>
          <cell r="H90" t="str">
            <v>Autoevaluación Institucional y Pruebas SABER 11</v>
          </cell>
          <cell r="I90" t="str">
            <v>SEGUIMIENTO_Y_SUPERVISIÓN.</v>
          </cell>
          <cell r="J90" t="str">
            <v>Realizar visitas para verificar la información registrada sobre la autoevaluación institucional en el aplicativo EVI, a los establecimientos de educación formal no oficial.</v>
          </cell>
          <cell r="K90" t="str">
            <v>FREDDY CLAROS PEÑA</v>
          </cell>
          <cell r="L90" t="str">
            <v>JAIME HUMBERTO RAMÍREZ LLANOS</v>
          </cell>
          <cell r="M90">
            <v>45869</v>
          </cell>
          <cell r="N90">
            <v>45881</v>
          </cell>
          <cell r="O90">
            <v>45881</v>
          </cell>
          <cell r="P90" t="str">
            <v>Visitas de evaluación con fines de seguimiento</v>
          </cell>
          <cell r="Q90" t="str">
            <v>COLEGIO LUIS MARIANO 12_08_2025.pdf</v>
          </cell>
          <cell r="R90" t="str">
            <v xml:space="preserve">Se verificó que la información registrada en el aplicativo EVI, enocntrandose con 14 aulas de clase, con un aula de sistemas con 40 computadores cn conexión a internet, un aula de danzas, un laboratorio
integrado para física y quimica, una ludoteca y 18 unidades sanitarias compeltas </v>
          </cell>
          <cell r="S90" t="str">
            <v>Realizar la autoevaluación para la presente vigencia conforme los recursos e indicadores con los que cuente.</v>
          </cell>
          <cell r="T90" t="str">
            <v>No</v>
          </cell>
          <cell r="U90" t="str">
            <v>Se verificacrá en una actuación en otra vigencia o si se genera petición o queja ciudadana.</v>
          </cell>
        </row>
        <row r="91">
          <cell r="A91">
            <v>663</v>
          </cell>
          <cell r="B91">
            <v>10</v>
          </cell>
          <cell r="C91" t="str">
            <v>ENGATIVÁ</v>
          </cell>
          <cell r="D91" t="str">
            <v>PRIVADO</v>
          </cell>
          <cell r="E91" t="str">
            <v>EPBM</v>
          </cell>
          <cell r="F91" t="str">
            <v>COLEGIO_LUIS_MARIANO</v>
          </cell>
          <cell r="G91" t="str">
            <v>COLEGIO_LUIS_MARIANO</v>
          </cell>
          <cell r="H91" t="str">
            <v>Autoevaluación Institucional y Pruebas SABER 11</v>
          </cell>
          <cell r="I91" t="str">
            <v>SEGUIMIENTO_Y_SUPERVISIÓN.</v>
          </cell>
          <cell r="J91" t="str">
            <v>Proponer estrategias en la formulación, verificar su elaboración y realizar seguimiento semestral al desarrollo de  las acciones establecidas en los planes de mejoramiento por pruebas SABER 11 de los establecimientos de educación formal.</v>
          </cell>
          <cell r="K91" t="str">
            <v>FREDDY CLAROS PEÑA</v>
          </cell>
          <cell r="L91" t="str">
            <v>JAIME HUMBERTO RAMÍREZ LLANOS</v>
          </cell>
          <cell r="M91">
            <v>45869</v>
          </cell>
          <cell r="N91">
            <v>45881</v>
          </cell>
          <cell r="O91">
            <v>45881</v>
          </cell>
          <cell r="P91" t="str">
            <v>Visitas de evaluación con fines de seguimiento</v>
          </cell>
          <cell r="Q91" t="str">
            <v>COLEGIO LUIS MARIANO 12_08_2025.pdf</v>
          </cell>
          <cell r="R91" t="str">
            <v>El establecimiento educativo realiza análisis de las pruebas saber 11 creando estrategias de mejoramiento, se realizan trabajos de refuerzo extracurriclar, de igual manera, el Grupo Integral Saber realiza simulacros y los comparte con los docentes</v>
          </cell>
          <cell r="S91" t="str">
            <v>Se debe aportar las evidencias de dichas estrategias formuladas</v>
          </cell>
          <cell r="T91" t="str">
            <v>Si</v>
          </cell>
          <cell r="U91" t="str">
            <v>Revisión de los soportes que se deben presentar, dentro de los tiempos estipulados en el acta (10 dias siguientes a la visita)</v>
          </cell>
        </row>
        <row r="92">
          <cell r="A92">
            <v>664</v>
          </cell>
          <cell r="B92">
            <v>10</v>
          </cell>
          <cell r="C92" t="str">
            <v>ENGATIVÁ</v>
          </cell>
          <cell r="D92" t="str">
            <v>PRIVADO</v>
          </cell>
          <cell r="E92" t="str">
            <v>EPBM</v>
          </cell>
          <cell r="F92" t="str">
            <v>COLEGIO_LUIS_MARIANO</v>
          </cell>
          <cell r="G92" t="str">
            <v>COLEGIO_LUIS_MARIANO</v>
          </cell>
          <cell r="H92" t="str">
            <v>Autoevaluación Institucional y Pruebas SABER 11</v>
          </cell>
          <cell r="I92" t="str">
            <v>SEGUIMIENTO_Y_SUPERVISIÓN.</v>
          </cell>
          <cell r="J92" t="str">
            <v xml:space="preserve">Verificar la implementación por parte de los colegios, de acciones realizadas para la prevención y atención de las situaciones de convivencia en el entorno escolar, según lo establecido en la Directiva 01 de 2022 del MEN. </v>
          </cell>
          <cell r="K92" t="str">
            <v>FREDDY CLAROS PEÑA</v>
          </cell>
          <cell r="L92" t="str">
            <v>JAIME HUMBERTO RAMÍREZ LLANOS</v>
          </cell>
          <cell r="M92">
            <v>45869</v>
          </cell>
          <cell r="N92">
            <v>45881</v>
          </cell>
          <cell r="O92">
            <v>45881</v>
          </cell>
          <cell r="P92" t="str">
            <v>Visitas de evaluación con fines de seguimiento</v>
          </cell>
          <cell r="Q92" t="str">
            <v>COLEGIO LUIS MARIANO 12_08_2025.pdf</v>
          </cell>
          <cell r="R92" t="str">
            <v>El E.E. realiza verificación de inhabilidad  a los docentes y personal admnistrativo se guarda soporte en carpeta institucional de cada docente</v>
          </cell>
          <cell r="S92" t="str">
            <v xml:space="preserve">Se sugiere continuar realizando la verificación cada 4 meses, tiempo estipulado por Directiva </v>
          </cell>
          <cell r="T92" t="str">
            <v>No</v>
          </cell>
          <cell r="U92" t="str">
            <v>Se verificacrá en una actuación en otra vigencia o si se genera petición o queja ciudadana.</v>
          </cell>
        </row>
        <row r="93">
          <cell r="A93">
            <v>665</v>
          </cell>
          <cell r="B93">
            <v>10</v>
          </cell>
          <cell r="C93" t="str">
            <v>ENGATIVÁ</v>
          </cell>
          <cell r="D93" t="str">
            <v>PRIVADO</v>
          </cell>
          <cell r="E93" t="str">
            <v>EPBM</v>
          </cell>
          <cell r="F93" t="str">
            <v>COLEGIO_LUIS_MARIANO</v>
          </cell>
          <cell r="G93" t="str">
            <v>COLEGIO_LUIS_MARIANO</v>
          </cell>
          <cell r="H93" t="str">
            <v>Autoevaluación Institucional y Pruebas SABER 11</v>
          </cell>
          <cell r="I93" t="str">
            <v>SEGUIMIENTO_Y_SUPERVISIÓN.</v>
          </cell>
          <cell r="J9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3" t="str">
            <v>FREDDY CLAROS PEÑA</v>
          </cell>
          <cell r="L93" t="str">
            <v>JAIME HUMBERTO RAMÍREZ LLANOS</v>
          </cell>
          <cell r="M93">
            <v>45869</v>
          </cell>
          <cell r="N93">
            <v>45881</v>
          </cell>
          <cell r="O93">
            <v>45881</v>
          </cell>
          <cell r="P93" t="str">
            <v>Visitas de evaluación con fines de seguimiento</v>
          </cell>
          <cell r="Q93" t="str">
            <v>COLEGIO LUIS MARIANO 12_08_2025.pdf</v>
          </cell>
          <cell r="R93" t="str">
            <v xml:space="preserve">Se evidencia en carpetas físicas el formato PIAR para 4 estudiantes que se encuentran diagnosticados. Sin embargo, el colegio ha realizado PIAR para 10 estudiantes </v>
          </cell>
          <cell r="S93" t="str">
            <v>Los PIAR fueron socializados con los padres de familia, sin embargo no se encuentra la firma, por ende se debe aportar soporte de la socialización</v>
          </cell>
          <cell r="T93" t="str">
            <v>Si</v>
          </cell>
          <cell r="U93" t="str">
            <v>se debe aportar los PIAR con la firma de los padres de familia, dando cuenta de su socialización.</v>
          </cell>
        </row>
        <row r="94">
          <cell r="A94">
            <v>666</v>
          </cell>
          <cell r="B94">
            <v>10</v>
          </cell>
          <cell r="C94" t="str">
            <v>ENGATIVÁ</v>
          </cell>
          <cell r="D94" t="str">
            <v>PRIVADO</v>
          </cell>
          <cell r="E94" t="str">
            <v>EPBM</v>
          </cell>
          <cell r="F94" t="str">
            <v>COLEGIO_LUIS_MARIANO</v>
          </cell>
          <cell r="G94" t="str">
            <v>COLEGIO_LUIS_MARIANO</v>
          </cell>
          <cell r="H94" t="str">
            <v>Autoevaluación Institucional y Pruebas SABER 11</v>
          </cell>
          <cell r="I94" t="str">
            <v>EVALUACIÓN_CON_FINES_DE_MEJORAMIENTO.</v>
          </cell>
          <cell r="J9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4" t="str">
            <v>FREDDY CLAROS PEÑA</v>
          </cell>
          <cell r="L94" t="str">
            <v>JAIME HUMBERTO RAMÍREZ LLANOS</v>
          </cell>
          <cell r="M94">
            <v>45869</v>
          </cell>
          <cell r="N94">
            <v>45999</v>
          </cell>
          <cell r="O94">
            <v>45881</v>
          </cell>
          <cell r="P94" t="str">
            <v>Visitas de evaluación con fines de seguimiento</v>
          </cell>
          <cell r="Q94" t="str">
            <v>COLEGIO LUIS MARIANO 12_08_2025.pdf</v>
          </cell>
          <cell r="R94" t="str">
            <v xml:space="preserve">Se evidencia participación de la comunidad educativa en la actualización y socialización </v>
          </cell>
          <cell r="S94" t="str">
            <v>Se debe continuar con la actualización y socialización partivcipativa</v>
          </cell>
          <cell r="T94" t="str">
            <v>No</v>
          </cell>
          <cell r="U94" t="str">
            <v>Se verificacrá en una actuación en otra vigencia o si se genera petición o queja ciudadana.</v>
          </cell>
        </row>
        <row r="95">
          <cell r="A95">
            <v>667</v>
          </cell>
          <cell r="B95">
            <v>10</v>
          </cell>
          <cell r="C95" t="str">
            <v>ENGATIVÁ</v>
          </cell>
          <cell r="D95" t="str">
            <v>PRIVADO</v>
          </cell>
          <cell r="E95" t="str">
            <v>EPBM</v>
          </cell>
          <cell r="F95" t="str">
            <v>COLEGIO_LUIS_MARIANO</v>
          </cell>
          <cell r="G95" t="str">
            <v>COLEGIO_LUIS_MARIANO</v>
          </cell>
          <cell r="H95" t="str">
            <v>Autoevaluación Institucional y Pruebas SABER 11</v>
          </cell>
          <cell r="I95" t="str">
            <v>EVALUACIÓN_CON_FINES_DE_MEJORAMIENTO.</v>
          </cell>
          <cell r="J95" t="str">
            <v>Revisar la actualización, socialización e implementación del Sistema Institucional de Evaluación de Estudiantes - SIEE, en articulación con la actualización del PEI y la normatividad vigente.</v>
          </cell>
          <cell r="K95" t="str">
            <v>FREDDY CLAROS PEÑA</v>
          </cell>
          <cell r="L95" t="str">
            <v>JAIME HUMBERTO RAMÍREZ LLANOS</v>
          </cell>
          <cell r="M95">
            <v>45869</v>
          </cell>
          <cell r="N95">
            <v>45999</v>
          </cell>
          <cell r="O95">
            <v>45881</v>
          </cell>
          <cell r="P95" t="str">
            <v>Visitas de evaluación con fines de seguimiento</v>
          </cell>
          <cell r="Q95" t="str">
            <v>COLEGIO LUIS MARIANO 12_08_2025.pdf</v>
          </cell>
          <cell r="R95" t="str">
            <v xml:space="preserve">Se evidencia participación de la comunidad educativa en la actualización y socialización </v>
          </cell>
          <cell r="S95" t="str">
            <v>El colegio se compromete a  continuar con la actualización y socialización partivcipativa</v>
          </cell>
          <cell r="T95" t="str">
            <v>No</v>
          </cell>
          <cell r="U95" t="str">
            <v>Se verificacrá en una actuación en otra vigencia o si se genera petición o queja ciudadana.</v>
          </cell>
        </row>
        <row r="96">
          <cell r="A96">
            <v>668</v>
          </cell>
          <cell r="B96">
            <v>10</v>
          </cell>
          <cell r="C96" t="str">
            <v>ENGATIVÁ</v>
          </cell>
          <cell r="D96" t="str">
            <v>PRIVADO</v>
          </cell>
          <cell r="E96" t="str">
            <v>EPBM</v>
          </cell>
          <cell r="F96" t="str">
            <v>COLEGIO_LUIS_MARIANO</v>
          </cell>
          <cell r="G96" t="str">
            <v>COLEGIO_LUIS_MARIANO</v>
          </cell>
          <cell r="H96" t="str">
            <v>Autoevaluación Institucional y Pruebas SABER 11</v>
          </cell>
          <cell r="I96" t="str">
            <v>EVALUACIÓN_CON_FINES_DE_MEJORAMIENTO.</v>
          </cell>
          <cell r="J96" t="str">
            <v>Revisar el calendario escolar, jornada escolar, la intensidad horaria mínima anual en cada nivel y las modificaciones que se realicen al mismo, de acuerdo con lo previsto en la normatividad vigente.</v>
          </cell>
          <cell r="K96" t="str">
            <v>FREDDY CLAROS PEÑA</v>
          </cell>
          <cell r="L96" t="str">
            <v>JAIME HUMBERTO RAMÍREZ LLANOS</v>
          </cell>
          <cell r="M96">
            <v>45869</v>
          </cell>
          <cell r="N96">
            <v>45999</v>
          </cell>
          <cell r="O96">
            <v>45881</v>
          </cell>
          <cell r="P96" t="str">
            <v>Visitas de evaluación con fines de seguimiento</v>
          </cell>
          <cell r="Q96" t="str">
            <v>COLEGIO LUIS MARIANO 12_08_2025.pdf</v>
          </cell>
          <cell r="R96" t="str">
            <v xml:space="preserve">Se revisa en el formato establecido el cumplimiento de la intensidad horaria </v>
          </cell>
          <cell r="S96" t="str">
            <v>El colegio cumple la intensidad horaria establecida por nivel según normativa vigente</v>
          </cell>
          <cell r="T96" t="str">
            <v>No</v>
          </cell>
          <cell r="U96" t="str">
            <v>Se verificacrá en una actuación en otra vigencia o si se genera petición o queja ciudadana.</v>
          </cell>
        </row>
        <row r="97">
          <cell r="A97">
            <v>669</v>
          </cell>
          <cell r="B97">
            <v>10</v>
          </cell>
          <cell r="C97" t="str">
            <v>ENGATIVÁ</v>
          </cell>
          <cell r="D97" t="str">
            <v>PRIVADO</v>
          </cell>
          <cell r="E97" t="str">
            <v>EPBM</v>
          </cell>
          <cell r="F97" t="str">
            <v>COLEGIO_LUIS_MARIANO</v>
          </cell>
          <cell r="G97" t="str">
            <v>COLEGIO_LUIS_MARIANO</v>
          </cell>
          <cell r="H97" t="str">
            <v>Autoevaluación Institucional y Pruebas SABER 11</v>
          </cell>
          <cell r="I97" t="str">
            <v>EVALUACIÓN_CON_FINES_DE_MEJORAMIENTO.</v>
          </cell>
          <cell r="J97" t="str">
            <v>Verificar el funcionamiento del Gobierno Escolar e instancias de participación con base en la información sobre conformación reportada por la institución educativa.</v>
          </cell>
          <cell r="K97" t="str">
            <v>FREDDY CLAROS PEÑA</v>
          </cell>
          <cell r="L97" t="str">
            <v>JAIME HUMBERTO RAMÍREZ LLANOS</v>
          </cell>
          <cell r="M97">
            <v>45869</v>
          </cell>
          <cell r="N97">
            <v>45999</v>
          </cell>
          <cell r="O97">
            <v>45881</v>
          </cell>
          <cell r="P97" t="str">
            <v>Visitas de evaluación con fines de seguimiento</v>
          </cell>
          <cell r="Q97" t="str">
            <v>COLEGIO LUIS MARIANO 12_08_2025.pdf</v>
          </cell>
          <cell r="R97" t="str">
            <v>No se aportan actas y soportes de funcionamiento e instancias de participación del gobierno escolar</v>
          </cell>
          <cell r="S97" t="str">
            <v>Se debe organizar las actas y remitirlas dentro del plan de mejoramiento</v>
          </cell>
          <cell r="T97" t="str">
            <v>Si</v>
          </cell>
          <cell r="U97" t="str">
            <v xml:space="preserve">Se debe aportar las actas actas y soportes de funcionamiento e instancias de participación </v>
          </cell>
        </row>
        <row r="98">
          <cell r="A98">
            <v>670</v>
          </cell>
          <cell r="B98">
            <v>10</v>
          </cell>
          <cell r="C98" t="str">
            <v>ENGATIVÁ</v>
          </cell>
          <cell r="D98" t="str">
            <v>PRIVADO</v>
          </cell>
          <cell r="E98" t="str">
            <v>EPBM</v>
          </cell>
          <cell r="F98" t="str">
            <v>COLEGIO_LUIS_MARIANO</v>
          </cell>
          <cell r="G98" t="str">
            <v>COLEGIO_MAYOR_DE_GALES</v>
          </cell>
          <cell r="H98" t="str">
            <v>Autoevaluación Institucional y Pruebas SABER 11</v>
          </cell>
          <cell r="I98" t="str">
            <v>EVALUACIÓN_CON_FINES_DE_MEJORAMIENTO.</v>
          </cell>
          <cell r="J98" t="str">
            <v>Verificar las condiciones en cuanto a: la estructura administrativa, condiciones de la planta física y medios educativos adecuados.</v>
          </cell>
          <cell r="K98" t="str">
            <v>FREDDY CLAROS PEÑA</v>
          </cell>
          <cell r="L98" t="str">
            <v>JAIME HUMBERTO RAMÍREZ LLANOS</v>
          </cell>
          <cell r="M98">
            <v>45869</v>
          </cell>
          <cell r="N98">
            <v>45999</v>
          </cell>
          <cell r="O98">
            <v>45881</v>
          </cell>
          <cell r="P98" t="str">
            <v>Visitas de evaluación con fines de seguimiento</v>
          </cell>
          <cell r="Q98" t="str">
            <v>COLEGIO LUIS MARIANO 12_08_2025.pdf</v>
          </cell>
          <cell r="R98" t="str">
            <v>Se evidencia que los espacios adminsitrativos y académicos se encuentran acorde para la prestación del servicio educativo.</v>
          </cell>
          <cell r="S98" t="str">
            <v>Se sugiren continuar el mantenumiento de los espacios y dotación dispuesta para la prestación del servicio educativo</v>
          </cell>
          <cell r="T98" t="str">
            <v>No</v>
          </cell>
          <cell r="U98" t="str">
            <v>Se verificacrá en una actuación en otra vigencia o si se genera petición o queja ciudadana.</v>
          </cell>
        </row>
        <row r="99">
          <cell r="A99">
            <v>671</v>
          </cell>
          <cell r="B99">
            <v>11</v>
          </cell>
          <cell r="C99" t="str">
            <v>ENGATIVÁ</v>
          </cell>
          <cell r="D99" t="str">
            <v>PRIVADO</v>
          </cell>
          <cell r="E99" t="str">
            <v>EPBM</v>
          </cell>
          <cell r="F99" t="str">
            <v>INSTITUTO_JOSE_MARTINEZ_RUIZ</v>
          </cell>
          <cell r="G99" t="str">
            <v>INSTITUTO_JOSE_MARTINEZ_RUIZ</v>
          </cell>
          <cell r="H99" t="str">
            <v>Autoevaluación Institucional y Pruebas SABER 11</v>
          </cell>
          <cell r="I99" t="str">
            <v>SEGUIMIENTO_Y_SUPERVISIÓN.</v>
          </cell>
          <cell r="J99" t="str">
            <v>Realizar visitas para verificar la información registrada sobre la autoevaluación institucional en el aplicativo EVI, a los establecimientos de educación formal no oficial.</v>
          </cell>
          <cell r="K99" t="str">
            <v>ANA MARÍA CASAS SANABRIA</v>
          </cell>
          <cell r="L99" t="str">
            <v>JENIFER CATHERINE LEÓN ACOSTA</v>
          </cell>
          <cell r="M99">
            <v>45860</v>
          </cell>
          <cell r="N99">
            <v>45860</v>
          </cell>
          <cell r="O99">
            <v>45860</v>
          </cell>
          <cell r="P99" t="str">
            <v>Visitas de evaluación con fines de seguimiento</v>
          </cell>
          <cell r="Q99" t="str">
            <v>ACTA JOSE MARTINEZ RUIZ.pdf</v>
          </cell>
          <cell r="R99" t="str">
            <v>Se realizó verificación de la información registrada en el aplicativo EVI</v>
          </cell>
          <cell r="S99" t="str">
            <v>La información reportada corresponde a la sumatoria de ambas sedes, sin embargo, se detectaron deficiencias en cuanto espacio en las aulas de clase</v>
          </cell>
          <cell r="T99" t="str">
            <v>Si</v>
          </cell>
          <cell r="U99" t="str">
            <v>Se requirió presentar Plan de Majoramiento con el fin de subsanar la situación actual. El PMI debe ser entregado al ELIV a más tardar el 15 de agosto de 2025</v>
          </cell>
        </row>
        <row r="100">
          <cell r="A100">
            <v>672</v>
          </cell>
          <cell r="B100">
            <v>11</v>
          </cell>
          <cell r="C100" t="str">
            <v>ENGATIVÁ</v>
          </cell>
          <cell r="D100" t="str">
            <v>PRIVADO</v>
          </cell>
          <cell r="E100" t="str">
            <v>EPBM</v>
          </cell>
          <cell r="F100" t="str">
            <v>INSTITUTO_JOSE_MARTINEZ_RUIZ</v>
          </cell>
          <cell r="G100" t="str">
            <v>INSTITUTO_JOSE_MARTINEZ_RUIZ</v>
          </cell>
          <cell r="H100" t="str">
            <v>Autoevaluación Institucional y Pruebas SABER 11</v>
          </cell>
          <cell r="I100" t="str">
            <v>SEGUIMIENTO_Y_SUPERVISIÓN.</v>
          </cell>
          <cell r="J100" t="str">
            <v>Proponer estrategias en la formulación, verificar su elaboración y realizar seguimiento semestral al desarrollo de  las acciones establecidas en los planes de mejoramiento por pruebas SABER 11 de los establecimientos de educación formal.</v>
          </cell>
          <cell r="K100" t="str">
            <v>ANA MARÍA CASAS SANABRIA</v>
          </cell>
          <cell r="L100" t="str">
            <v>JENIFER CATHERINE LEÓN ACOSTA</v>
          </cell>
          <cell r="M100">
            <v>45860</v>
          </cell>
          <cell r="N100">
            <v>45860</v>
          </cell>
          <cell r="O100">
            <v>45860</v>
          </cell>
          <cell r="P100" t="str">
            <v>Visitas de evaluación con fines de seguimiento</v>
          </cell>
          <cell r="Q100" t="str">
            <v>ACTA JOSE MARTINEZ RUIZ.pdf</v>
          </cell>
          <cell r="R100" t="str">
            <v xml:space="preserve">El establecimiento presenta algunas estrategias basadas en los resultados de las pruebas saber, como ajuste del curriculo de grado 11 </v>
          </cell>
          <cell r="S100" t="str">
            <v>Se solicita tener encuenta la aprobacion de la estrategias por parte del consejo academico y directivo.</v>
          </cell>
          <cell r="T100" t="str">
            <v>Si</v>
          </cell>
          <cell r="U100" t="str">
            <v>Se requirió presentar Plan de Majoramiento con el fin de subsanar la situación actual. El PMI debe ser entregado al ELIV a más tardar el 15 de agosto de 2025</v>
          </cell>
        </row>
        <row r="101">
          <cell r="A101">
            <v>673</v>
          </cell>
          <cell r="B101">
            <v>11</v>
          </cell>
          <cell r="C101" t="str">
            <v>ENGATIVÁ</v>
          </cell>
          <cell r="D101" t="str">
            <v>PRIVADO</v>
          </cell>
          <cell r="E101" t="str">
            <v>EPBM</v>
          </cell>
          <cell r="F101" t="str">
            <v>INSTITUTO_JOSE_MARTINEZ_RUIZ</v>
          </cell>
          <cell r="G101" t="str">
            <v>INSTITUTO_JOSE_MARTINEZ_RUIZ</v>
          </cell>
          <cell r="H101" t="str">
            <v>Autoevaluación Institucional y Pruebas SABER 11</v>
          </cell>
          <cell r="I101" t="str">
            <v>SEGUIMIENTO_Y_SUPERVISIÓN.</v>
          </cell>
          <cell r="J101" t="str">
            <v xml:space="preserve">Verificar la implementación por parte de los colegios, de acciones realizadas para la prevención y atención de las situaciones de convivencia en el entorno escolar, según lo establecido en la Directiva 01 de 2022 del MEN. </v>
          </cell>
          <cell r="K101" t="str">
            <v>ANA MARÍA CASAS SANABRIA</v>
          </cell>
          <cell r="L101" t="str">
            <v>JENIFER CATHERINE LEÓN ACOSTA</v>
          </cell>
          <cell r="M101">
            <v>45860</v>
          </cell>
          <cell r="N101">
            <v>45860</v>
          </cell>
          <cell r="O101">
            <v>45860</v>
          </cell>
          <cell r="P101" t="str">
            <v>Visitas de evaluación con fines de seguimiento</v>
          </cell>
          <cell r="Q101" t="str">
            <v>ACTA JOSE MARTINEZ RUIZ.pdf</v>
          </cell>
          <cell r="R101" t="str">
            <v>El E.E. realiza verificación de inhabilidad por parte del personal contratado cada 4 meses.</v>
          </cell>
          <cell r="S101" t="str">
            <v>Se recomienda tener encuenta todas las acciones que establece la directiva como estrategia de prevencion y atencion.</v>
          </cell>
          <cell r="T101" t="str">
            <v>No</v>
          </cell>
          <cell r="U101" t="str">
            <v>Se verificará en proximas visitas</v>
          </cell>
        </row>
        <row r="102">
          <cell r="A102">
            <v>674</v>
          </cell>
          <cell r="B102">
            <v>11</v>
          </cell>
          <cell r="C102" t="str">
            <v>ENGATIVÁ</v>
          </cell>
          <cell r="D102" t="str">
            <v>PRIVADO</v>
          </cell>
          <cell r="E102" t="str">
            <v>EPBM</v>
          </cell>
          <cell r="F102" t="str">
            <v>INSTITUTO_JOSE_MARTINEZ_RUIZ</v>
          </cell>
          <cell r="G102" t="str">
            <v>INSTITUTO_JOSE_MARTINEZ_RUIZ</v>
          </cell>
          <cell r="H102" t="str">
            <v>Autoevaluación Institucional y Pruebas SABER 11</v>
          </cell>
          <cell r="I102" t="str">
            <v>SEGUIMIENTO_Y_SUPERVISIÓN.</v>
          </cell>
          <cell r="J10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2" t="str">
            <v>ANA MARÍA CASAS SANABRIA</v>
          </cell>
          <cell r="L102" t="str">
            <v>JENIFER CATHERINE LEÓN ACOSTA</v>
          </cell>
          <cell r="M102">
            <v>45860</v>
          </cell>
          <cell r="N102">
            <v>45860</v>
          </cell>
          <cell r="O102">
            <v>45860</v>
          </cell>
          <cell r="P102" t="str">
            <v>Visitas de evaluación con fines de seguimiento</v>
          </cell>
          <cell r="Q102" t="str">
            <v>ACTA JOSE MARTINEZ RUIZ.pdf</v>
          </cell>
          <cell r="R102" t="str">
            <v>Se observa que diseña los  los PIAR  con acompañmiento de orientacion y los docentes de aula.</v>
          </cell>
          <cell r="S102" t="str">
            <v>Se dan recomendaciones para el correcto diseño de los PIAR y se solciita verificar en el SIMAT algunops estudiantes que estan caracterizados, pero la insitucion no tiene conocimiento de diagnosticos.</v>
          </cell>
          <cell r="T102" t="str">
            <v>Si</v>
          </cell>
          <cell r="U102" t="str">
            <v>Se requirió presentar Plan de Majoramiento con el fin de subsanar la situación actual. El PMI debe ser entregado al ELIV a más tardar el 15 de agosto de 2025</v>
          </cell>
        </row>
        <row r="103">
          <cell r="A103">
            <v>675</v>
          </cell>
          <cell r="B103">
            <v>11</v>
          </cell>
          <cell r="C103" t="str">
            <v>ENGATIVÁ</v>
          </cell>
          <cell r="D103" t="str">
            <v>PRIVADO</v>
          </cell>
          <cell r="E103" t="str">
            <v>EPBM</v>
          </cell>
          <cell r="F103" t="str">
            <v>INSTITUTO_JOSE_MARTINEZ_RUIZ</v>
          </cell>
          <cell r="G103" t="str">
            <v>INSTITUTO_JOSE_MARTINEZ_RUIZ</v>
          </cell>
          <cell r="H103" t="str">
            <v>Autoevaluación Institucional y Pruebas SABER 11</v>
          </cell>
          <cell r="I103" t="str">
            <v>EVALUACIÓN_CON_FINES_DE_MEJORAMIENTO.</v>
          </cell>
          <cell r="J10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3" t="str">
            <v>ANA MARÍA CASAS SANABRIA</v>
          </cell>
          <cell r="L103" t="str">
            <v>JENIFER CATHERINE LEÓN ACOSTA</v>
          </cell>
          <cell r="M103">
            <v>45860</v>
          </cell>
          <cell r="N103">
            <v>45860</v>
          </cell>
          <cell r="O103">
            <v>45860</v>
          </cell>
          <cell r="P103" t="str">
            <v>Visitas de evaluación con fines de mejoramiento</v>
          </cell>
          <cell r="Q103" t="str">
            <v>ACTA JOSE MARTINEZ RUIZ.pdf</v>
          </cell>
          <cell r="R103" t="str">
            <v xml:space="preserve">la insitucion evidencia una participacion  por parte de la comunidad educativa en actualización del manual se evidencia confucion entre faltas y situaciones convivenciales </v>
          </cell>
          <cell r="S103" t="str">
            <v xml:space="preserve">Se indica que debe quedar registrado en el manual el debido proceso y hacer diferenciacion entre faltas y situaciones convivenciales </v>
          </cell>
          <cell r="T103" t="str">
            <v>Si</v>
          </cell>
          <cell r="U103" t="str">
            <v>Se requirió presentar Plan de Majoramiento con el fin de subsanar la situación actual. El PMI debe ser entregado al ELIV a más tardar el 15 de agosto de 2025</v>
          </cell>
        </row>
        <row r="104">
          <cell r="A104">
            <v>676</v>
          </cell>
          <cell r="B104">
            <v>11</v>
          </cell>
          <cell r="C104" t="str">
            <v>ENGATIVÁ</v>
          </cell>
          <cell r="D104" t="str">
            <v>PRIVADO</v>
          </cell>
          <cell r="E104" t="str">
            <v>EPBM</v>
          </cell>
          <cell r="F104" t="str">
            <v>INSTITUTO_JOSE_MARTINEZ_RUIZ</v>
          </cell>
          <cell r="G104" t="str">
            <v>INSTITUTO_JOSE_MARTINEZ_RUIZ</v>
          </cell>
          <cell r="H104" t="str">
            <v>Autoevaluación Institucional y Pruebas SABER 11</v>
          </cell>
          <cell r="I104" t="str">
            <v>EVALUACIÓN_CON_FINES_DE_MEJORAMIENTO.</v>
          </cell>
          <cell r="J104" t="str">
            <v>Revisar la actualización, socialización e implementación del Sistema Institucional de Evaluación de Estudiantes - SIEE, en articulación con la actualización del PEI y la normatividad vigente.</v>
          </cell>
          <cell r="K104" t="str">
            <v>ANA MARÍA CASAS SANABRIA</v>
          </cell>
          <cell r="L104" t="str">
            <v>JENIFER CATHERINE LEÓN ACOSTA</v>
          </cell>
          <cell r="M104">
            <v>45860</v>
          </cell>
          <cell r="N104">
            <v>45860</v>
          </cell>
          <cell r="O104">
            <v>45860</v>
          </cell>
          <cell r="P104" t="str">
            <v>Visitas de evaluación con fines de mejoramiento</v>
          </cell>
          <cell r="Q104" t="str">
            <v>ACTA JOSE MARTINEZ RUIZ.pdf</v>
          </cell>
          <cell r="R104" t="str">
            <v xml:space="preserve">se evidencia que la institucion aprobo el SIEE en el consejo academico y se encuentra presente en el manual de convivencia </v>
          </cell>
          <cell r="S104" t="str">
            <v xml:space="preserve">se recomienda revisar el manual de convivencia donde presentan un comite de convivencia como organo alterno a las comisiones de evaluacion y promoción </v>
          </cell>
          <cell r="T104" t="str">
            <v>Si</v>
          </cell>
          <cell r="U104" t="str">
            <v>Se requirió presentar Plan de Majoramiento con el fin de subsanar la situación actual. El PMI debe ser entregado al ELIV a más tardar el 15 de agosto de 2025</v>
          </cell>
        </row>
        <row r="105">
          <cell r="A105">
            <v>677</v>
          </cell>
          <cell r="B105">
            <v>11</v>
          </cell>
          <cell r="C105" t="str">
            <v>ENGATIVÁ</v>
          </cell>
          <cell r="D105" t="str">
            <v>PRIVADO</v>
          </cell>
          <cell r="E105" t="str">
            <v>EPBM</v>
          </cell>
          <cell r="F105" t="str">
            <v>INSTITUTO_JOSE_MARTINEZ_RUIZ</v>
          </cell>
          <cell r="G105" t="str">
            <v>INSTITUTO_JOSE_MARTINEZ_RUIZ</v>
          </cell>
          <cell r="H105" t="str">
            <v>Autoevaluación Institucional y Pruebas SABER 11</v>
          </cell>
          <cell r="I105" t="str">
            <v>EVALUACIÓN_CON_FINES_DE_MEJORAMIENTO.</v>
          </cell>
          <cell r="J105" t="str">
            <v>Revisar el calendario escolar, jornada escolar, la intensidad horaria mínima anual en cada nivel y las modificaciones que se realicen al mismo, de acuerdo con lo previsto en la normatividad vigente.</v>
          </cell>
          <cell r="K105" t="str">
            <v>ANA MARÍA CASAS SANABRIA</v>
          </cell>
          <cell r="L105" t="str">
            <v>JENIFER CATHERINE LEÓN ACOSTA</v>
          </cell>
          <cell r="M105">
            <v>45860</v>
          </cell>
          <cell r="N105">
            <v>45860</v>
          </cell>
          <cell r="O105">
            <v>45860</v>
          </cell>
          <cell r="P105" t="str">
            <v>Visitas de evaluación con fines de mejoramiento</v>
          </cell>
          <cell r="Q105" t="str">
            <v>ACTA JOSE MARTINEZ RUIZ.pdf</v>
          </cell>
          <cell r="R105" t="str">
            <v xml:space="preserve">Se revisa en el calendario escolar  horario de clases y docentes el cumplimiento de la intensidad horaria </v>
          </cell>
          <cell r="S105" t="str">
            <v>El colegio cumple la intensidad horaria establecida por nivel según normativa vigente</v>
          </cell>
          <cell r="T105" t="str">
            <v>No</v>
          </cell>
          <cell r="U105" t="str">
            <v>Se verificará en proximas visitas</v>
          </cell>
        </row>
        <row r="106">
          <cell r="A106">
            <v>678</v>
          </cell>
          <cell r="B106">
            <v>11</v>
          </cell>
          <cell r="C106" t="str">
            <v>ENGATIVÁ</v>
          </cell>
          <cell r="D106" t="str">
            <v>PRIVADO</v>
          </cell>
          <cell r="E106" t="str">
            <v>EPBM</v>
          </cell>
          <cell r="F106" t="str">
            <v>INSTITUTO_JOSE_MARTINEZ_RUIZ</v>
          </cell>
          <cell r="G106" t="str">
            <v>INSTITUTO_JOSE_MARTINEZ_RUIZ</v>
          </cell>
          <cell r="H106" t="str">
            <v>Autoevaluación Institucional y Pruebas SABER 11</v>
          </cell>
          <cell r="I106" t="str">
            <v>EVALUACIÓN_CON_FINES_DE_MEJORAMIENTO.</v>
          </cell>
          <cell r="J106" t="str">
            <v>Verificar el funcionamiento del Gobierno Escolar e instancias de participación con base en la información sobre conformación reportada por la institución educativa.</v>
          </cell>
          <cell r="K106" t="str">
            <v>ANA MARÍA CASAS SANABRIA</v>
          </cell>
          <cell r="L106" t="str">
            <v>JENIFER CATHERINE LEÓN ACOSTA</v>
          </cell>
          <cell r="M106">
            <v>45860</v>
          </cell>
          <cell r="N106">
            <v>45860</v>
          </cell>
          <cell r="O106">
            <v>45860</v>
          </cell>
          <cell r="P106" t="str">
            <v>Visitas de evaluación con fines de mejoramiento</v>
          </cell>
          <cell r="Q106" t="str">
            <v>ACTA JOSE MARTINEZ RUIZ.pdf</v>
          </cell>
          <cell r="R106" t="str">
            <v xml:space="preserve">Se observa la conformación del Gobierno Escolar y las instancias de participación a traves de las carpetas y actas.
No se evidencia el funcionamiento del Comite de Convivencia Escolar
</v>
          </cell>
          <cell r="S106" t="str">
            <v>La institución presento dificultades para subir las actas al aplicativo SAE, lo cual se subsano durante la visita</v>
          </cell>
          <cell r="T106" t="str">
            <v>No</v>
          </cell>
          <cell r="U106" t="str">
            <v>Se verificará en proximas visitas</v>
          </cell>
        </row>
        <row r="107">
          <cell r="A107">
            <v>679</v>
          </cell>
          <cell r="B107">
            <v>11</v>
          </cell>
          <cell r="C107" t="str">
            <v>ENGATIVÁ</v>
          </cell>
          <cell r="D107" t="str">
            <v>PRIVADO</v>
          </cell>
          <cell r="E107" t="str">
            <v>EPBM</v>
          </cell>
          <cell r="F107" t="str">
            <v>INSTITUTO_JOSE_MARTINEZ_RUIZ</v>
          </cell>
          <cell r="G107" t="str">
            <v>INSTITUTO_JOSE_MARTINEZ_RUIZ</v>
          </cell>
          <cell r="H107" t="str">
            <v>Autoevaluación Institucional y Pruebas SABER 11</v>
          </cell>
          <cell r="I107" t="str">
            <v>EVALUACIÓN_CON_FINES_DE_MEJORAMIENTO.</v>
          </cell>
          <cell r="J107" t="str">
            <v>Verificar las condiciones en cuanto a: la estructura administrativa, condiciones de la planta física y medios educativos adecuados.</v>
          </cell>
          <cell r="K107" t="str">
            <v>ANA MARÍA CASAS SANABRIA</v>
          </cell>
          <cell r="L107" t="str">
            <v>JENIFER CATHERINE LEÓN ACOSTA</v>
          </cell>
          <cell r="M107">
            <v>45860</v>
          </cell>
          <cell r="N107">
            <v>45860</v>
          </cell>
          <cell r="O107">
            <v>45860</v>
          </cell>
          <cell r="P107" t="str">
            <v>Visitas de evaluación con fines de mejoramiento</v>
          </cell>
          <cell r="Q107" t="str">
            <v>ACTA JOSE MARTINEZ RUIZ.pdf</v>
          </cell>
          <cell r="R107" t="str">
            <v xml:space="preserve">Se evidencia que los espacios administrativos son suficientes para las funciones que se deben desarrollar. Las aulas de clase  son pequeñas para la cantidad de estudiantes. </v>
          </cell>
          <cell r="S107" t="str">
            <v>Se remite la capacidad de cada aula teniendo en cuenta  el área de cada una de ellas. (1.3 m por estudiante)</v>
          </cell>
          <cell r="T107" t="str">
            <v>Si</v>
          </cell>
          <cell r="U107" t="str">
            <v>Se requirió presentar Plan de Majoramiento con el fin de subsanar la situación actual. El PMI debe ser entregado al ELIV a más tardar el 15 de agosto de 2025</v>
          </cell>
        </row>
        <row r="108">
          <cell r="A108">
            <v>680</v>
          </cell>
          <cell r="B108">
            <v>12</v>
          </cell>
          <cell r="C108" t="str">
            <v>ENGATIVÁ</v>
          </cell>
          <cell r="D108" t="str">
            <v>PRIVADO</v>
          </cell>
          <cell r="E108" t="str">
            <v>EPBM</v>
          </cell>
          <cell r="F108" t="str">
            <v>LICEO_SAN_RAFAEL_DE_ALICANTE</v>
          </cell>
          <cell r="G108" t="str">
            <v>LICEO_SAN_RAFAEL_DE_ALICANTE</v>
          </cell>
          <cell r="H108" t="str">
            <v>Autoevaluación Institucional y Pruebas SABER 11</v>
          </cell>
          <cell r="I108" t="str">
            <v>SEGUIMIENTO_Y_SUPERVISIÓN.</v>
          </cell>
          <cell r="J108" t="str">
            <v>Realizar visitas para verificar la información registrada sobre la autoevaluación institucional en el aplicativo EVI, a los establecimientos de educación formal no oficial.</v>
          </cell>
          <cell r="K108" t="str">
            <v>JENIFER CATHERINE LEÓN ACOSTA</v>
          </cell>
          <cell r="L108" t="str">
            <v>ANA MARÍA CASAS SANABRIA</v>
          </cell>
          <cell r="M108">
            <v>45862</v>
          </cell>
          <cell r="N108">
            <v>45862</v>
          </cell>
          <cell r="O108">
            <v>45862</v>
          </cell>
          <cell r="P108" t="str">
            <v>Visitas de evaluación con fines de seguimiento</v>
          </cell>
          <cell r="Q108" t="str">
            <v>ACTA RAFAEL DE ALICANTE.pdf</v>
          </cell>
          <cell r="R108" t="str">
            <v>La información reportada no corresponde, puesto que las baterias de baños  y lavamanos no corresponden a las reportadas</v>
          </cell>
          <cell r="S108" t="str">
            <v>Se recomendo realizar la corrección  en la plataforma EVI</v>
          </cell>
          <cell r="T108" t="str">
            <v>Si</v>
          </cell>
          <cell r="U108" t="str">
            <v>Se verificará en la autoevaluacion 2025 de la plataforma EVI</v>
          </cell>
        </row>
        <row r="109">
          <cell r="A109">
            <v>681</v>
          </cell>
          <cell r="B109">
            <v>12</v>
          </cell>
          <cell r="C109" t="str">
            <v>ENGATIVÁ</v>
          </cell>
          <cell r="D109" t="str">
            <v>PRIVADO</v>
          </cell>
          <cell r="E109" t="str">
            <v>EPBM</v>
          </cell>
          <cell r="F109" t="str">
            <v>LICEO_SAN_RAFAEL_DE_ALICANTE</v>
          </cell>
          <cell r="G109" t="str">
            <v>LICEO_SAN_RAFAEL_DE_ALICANTE</v>
          </cell>
          <cell r="H109" t="str">
            <v>Autoevaluación Institucional y Pruebas SABER 11</v>
          </cell>
          <cell r="I109" t="str">
            <v>SEGUIMIENTO_Y_SUPERVISIÓN.</v>
          </cell>
          <cell r="J109" t="str">
            <v>Proponer estrategias en la formulación, verificar su elaboración y realizar seguimiento semestral al desarrollo de  las acciones establecidas en los planes de mejoramiento por pruebas SABER 11 de los establecimientos de educación formal.</v>
          </cell>
          <cell r="K109" t="str">
            <v>JENIFER CATHERINE LEÓN ACOSTA</v>
          </cell>
          <cell r="L109" t="str">
            <v>ANA MARÍA CASAS SANABRIA</v>
          </cell>
          <cell r="M109">
            <v>45862</v>
          </cell>
          <cell r="N109">
            <v>45862</v>
          </cell>
          <cell r="O109">
            <v>45862</v>
          </cell>
          <cell r="P109" t="str">
            <v>Visitas de evaluación con fines de seguimiento</v>
          </cell>
          <cell r="Q109" t="str">
            <v>ACTA RAFAEL DE ALICANTE.pdf</v>
          </cell>
          <cell r="R109" t="str">
            <v>Tienen  informe realizado por la empresa Educate colombia. Pero solo se realiza informe con el fin de realizar un preicfes con los estudiantes de la institucion, por parte de la empresa.</v>
          </cell>
          <cell r="S109" t="str">
            <v>El establecimiento se compromete a analizar e incorporar los resultados de las pruebas SABER en el plan de estudios, con el fin de fortalecer las áreas que lo requieran, previa aprobación del Consejo Académico y Directivo. Asimismo, se garantiza que las acciones de mejoramiento académico estarán incluidas en el servicio educativo cubierto por la matrícula, sin generar cobros adicionales ni prácticas excluyentes. Los cursos PreICFES ofrecidos por terceros no se desarrollarán en horario escolar.</v>
          </cell>
          <cell r="T109" t="str">
            <v>Si</v>
          </cell>
          <cell r="U109"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0">
          <cell r="A110">
            <v>682</v>
          </cell>
          <cell r="B110">
            <v>12</v>
          </cell>
          <cell r="C110" t="str">
            <v>ENGATIVÁ</v>
          </cell>
          <cell r="D110" t="str">
            <v>PRIVADO</v>
          </cell>
          <cell r="E110" t="str">
            <v>EPBM</v>
          </cell>
          <cell r="F110" t="str">
            <v>LICEO_SAN_RAFAEL_DE_ALICANTE</v>
          </cell>
          <cell r="G110" t="str">
            <v>LICEO_SAN_RAFAEL_DE_ALICANTE</v>
          </cell>
          <cell r="H110" t="str">
            <v>Autoevaluación Institucional y Pruebas SABER 11</v>
          </cell>
          <cell r="I110" t="str">
            <v>SEGUIMIENTO_Y_SUPERVISIÓN.</v>
          </cell>
          <cell r="J110" t="str">
            <v xml:space="preserve">Verificar la implementación por parte de los colegios, de acciones realizadas para la prevención y atención de las situaciones de convivencia en el entorno escolar, según lo establecido en la Directiva 01 de 2022 del MEN. </v>
          </cell>
          <cell r="K110" t="str">
            <v>JENIFER CATHERINE LEÓN ACOSTA</v>
          </cell>
          <cell r="L110" t="str">
            <v>ANA MARÍA CASAS SANABRIA</v>
          </cell>
          <cell r="M110">
            <v>45862</v>
          </cell>
          <cell r="N110">
            <v>45862</v>
          </cell>
          <cell r="O110">
            <v>45862</v>
          </cell>
          <cell r="P110" t="str">
            <v>Visitas de evaluación con fines de seguimiento</v>
          </cell>
          <cell r="Q110" t="str">
            <v>ACTA RAFAEL DE ALICANTE.pdf</v>
          </cell>
          <cell r="R110" t="str">
            <v>No se ha aplicado la directiva 001</v>
          </cell>
          <cell r="S110" t="str">
            <v>Socializar la Directiva 01 del MEN de 2022, “Orientaciones para la prevención de la violencia sexual en entornos escolares”, con todos los miembros de la comunidad educativa. Asimismo, realizar la revisión de posibles inhabilidades de conformidad con la normatividad vigente y enviar las evidencias correspondientes que demuestren el cumplimiento de estas acciones.</v>
          </cell>
          <cell r="T110" t="str">
            <v>Si</v>
          </cell>
          <cell r="U110"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1">
          <cell r="A111">
            <v>683</v>
          </cell>
          <cell r="B111">
            <v>12</v>
          </cell>
          <cell r="C111" t="str">
            <v>ENGATIVÁ</v>
          </cell>
          <cell r="D111" t="str">
            <v>PRIVADO</v>
          </cell>
          <cell r="E111" t="str">
            <v>EPBM</v>
          </cell>
          <cell r="F111" t="str">
            <v>LICEO_SAN_RAFAEL_DE_ALICANTE</v>
          </cell>
          <cell r="G111" t="str">
            <v>LICEO_SAN_RAFAEL_DE_ALICANTE</v>
          </cell>
          <cell r="H111" t="str">
            <v>Autoevaluación Institucional y Pruebas SABER 11</v>
          </cell>
          <cell r="I111" t="str">
            <v>SEGUIMIENTO_Y_SUPERVISIÓN.</v>
          </cell>
          <cell r="J11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1" t="str">
            <v>JENIFER CATHERINE LEÓN ACOSTA</v>
          </cell>
          <cell r="L111" t="str">
            <v>ANA MARÍA CASAS SANABRIA</v>
          </cell>
          <cell r="M111">
            <v>45862</v>
          </cell>
          <cell r="N111">
            <v>45862</v>
          </cell>
          <cell r="O111">
            <v>45862</v>
          </cell>
          <cell r="P111" t="str">
            <v>Visitas de evaluación con fines de seguimiento</v>
          </cell>
          <cell r="Q111" t="str">
            <v>ACTA RAFAEL DE ALICANTE.pdf</v>
          </cell>
          <cell r="R111" t="str">
            <v>El colegio no cuenta con una identificación clara de los niños con discapacidad, trastornos o talentos. La información se debe organizar de tal manera que se puedan realizar los PIAR , de los estudiantes que lo requieran.</v>
          </cell>
          <cell r="S111" t="str">
            <v>Se concluye que, actualmente, no se cuenta con ningún PIAR elaborado para los 19 estudiantes reportados en el SIMAT.
Se recomienda proceder con la elaboración de los respectivos PIAR, gestionar su firma por parte de los padres de familia y remitir las evidencias correspondientes que den cuenta del cumplimiento de este requerimiento.</v>
          </cell>
          <cell r="T111" t="str">
            <v>Si</v>
          </cell>
          <cell r="U111"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2">
          <cell r="A112">
            <v>684</v>
          </cell>
          <cell r="B112">
            <v>12</v>
          </cell>
          <cell r="C112" t="str">
            <v>ENGATIVÁ</v>
          </cell>
          <cell r="D112" t="str">
            <v>PRIVADO</v>
          </cell>
          <cell r="E112" t="str">
            <v>EPBM</v>
          </cell>
          <cell r="F112" t="str">
            <v>LICEO_SAN_RAFAEL_DE_ALICANTE</v>
          </cell>
          <cell r="G112" t="str">
            <v>LICEO_SAN_RAFAEL_DE_ALICANTE</v>
          </cell>
          <cell r="H112" t="str">
            <v>Autoevaluación Institucional y Pruebas SABER 11</v>
          </cell>
          <cell r="I112" t="str">
            <v>EVALUACIÓN_CON_FINES_DE_MEJORAMIENTO.</v>
          </cell>
          <cell r="J11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2" t="str">
            <v>JENIFER CATHERINE LEÓN ACOSTA</v>
          </cell>
          <cell r="L112" t="str">
            <v>ANA MARÍA CASAS SANABRIA</v>
          </cell>
          <cell r="M112">
            <v>45862</v>
          </cell>
          <cell r="N112">
            <v>45862</v>
          </cell>
          <cell r="O112">
            <v>45862</v>
          </cell>
          <cell r="P112" t="str">
            <v>Visitas de evaluación con fines de mejoramiento</v>
          </cell>
          <cell r="Q112" t="str">
            <v>ACTA RAFAEL DE ALICANTE.pdf</v>
          </cell>
          <cell r="R112" t="str">
            <v>No se tiene actualizó el manual de convivencia según la normatividad vigente.</v>
          </cell>
          <cell r="S112" t="str">
            <v>Se requiere una actualización del Manual de Convivencia, dado que actualmente existe confusión entre las situaciones convivenciales y la aplicación de los protocolos 5.0. Es fundamental establecer un debido proceso claro y riguroso para el tratamiento de las faltas disciplinarias, garantizando así la transparencia y la equidad en su resolución. Además, se debe incorporar de manera explícita el enfoque de diversidad y el modelo restaurativo como ejes orientadores de las acciones pedagógicas y formativas, con el fin de promover una cultura escolar más inclusiva, participativa y respetuosa de los derechos de todos los miembros de la comunidad educativa.</v>
          </cell>
          <cell r="T112" t="str">
            <v>Si</v>
          </cell>
          <cell r="U112"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3">
          <cell r="A113">
            <v>685</v>
          </cell>
          <cell r="B113">
            <v>12</v>
          </cell>
          <cell r="C113" t="str">
            <v>ENGATIVÁ</v>
          </cell>
          <cell r="D113" t="str">
            <v>PRIVADO</v>
          </cell>
          <cell r="E113" t="str">
            <v>EPBM</v>
          </cell>
          <cell r="F113" t="str">
            <v>LICEO_SAN_RAFAEL_DE_ALICANTE</v>
          </cell>
          <cell r="G113" t="str">
            <v>LICEO_SAN_RAFAEL_DE_ALICANTE</v>
          </cell>
          <cell r="H113" t="str">
            <v>Autoevaluación Institucional y Pruebas SABER 11</v>
          </cell>
          <cell r="I113" t="str">
            <v>EVALUACIÓN_CON_FINES_DE_MEJORAMIENTO.</v>
          </cell>
          <cell r="J113" t="str">
            <v>Revisar la actualización, socialización e implementación del Sistema Institucional de Evaluación de Estudiantes - SIEE, en articulación con la actualización del PEI y la normatividad vigente.</v>
          </cell>
          <cell r="K113" t="str">
            <v>JENIFER CATHERINE LEÓN ACOSTA</v>
          </cell>
          <cell r="L113" t="str">
            <v>ANA MARÍA CASAS SANABRIA</v>
          </cell>
          <cell r="M113">
            <v>45862</v>
          </cell>
          <cell r="N113">
            <v>45862</v>
          </cell>
          <cell r="O113">
            <v>45862</v>
          </cell>
          <cell r="P113" t="str">
            <v>Visitas de evaluación con fines de mejoramiento</v>
          </cell>
          <cell r="Q113" t="str">
            <v>ACTA RAFAEL DE ALICANTE.pdf</v>
          </cell>
          <cell r="R113" t="str">
            <v xml:space="preserve"> Se debe armonizar el proceso de evaluación de   los niños de preescolar, ya que se esta  realizando por áreas y no por dimensiones.</v>
          </cell>
          <cell r="S113" t="str">
            <v>Se identifica la necesidad de armonizar el proceso de evaluación en el nivel de preescolar, ya que actualmente se está realizando por áreas, lo cual no corresponde con el enfoque formativo e integral establecido para esta etapa educativa. En consecuencia, se debe unificar el proceso evaluativo en torno a las dimensiones del desarrollo infantil (corporal, comunicativa, socioafectiva, ética, estética y cognitiva), garantizando así una valoración coherente con el propósito pedagógico del nivel. Como compromiso institucional, se elaborará una guía orientadora para docentes, se brindará formación específica sobre evaluación por dimensiones y se ajustarán los instrumentos evaluativos en coherencia con los lineamientos del Ministerio de Educación Nacional.</v>
          </cell>
          <cell r="T113" t="str">
            <v>Si</v>
          </cell>
          <cell r="U113"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4">
          <cell r="A114">
            <v>686</v>
          </cell>
          <cell r="B114">
            <v>12</v>
          </cell>
          <cell r="C114" t="str">
            <v>ENGATIVÁ</v>
          </cell>
          <cell r="D114" t="str">
            <v>PRIVADO</v>
          </cell>
          <cell r="E114" t="str">
            <v>EPBM</v>
          </cell>
          <cell r="F114" t="str">
            <v>LICEO_SAN_RAFAEL_DE_ALICANTE</v>
          </cell>
          <cell r="G114" t="str">
            <v>LICEO_SAN_RAFAEL_DE_ALICANTE</v>
          </cell>
          <cell r="H114" t="str">
            <v>Autoevaluación Institucional y Pruebas SABER 11</v>
          </cell>
          <cell r="I114" t="str">
            <v>EVALUACIÓN_CON_FINES_DE_MEJORAMIENTO.</v>
          </cell>
          <cell r="J114" t="str">
            <v>Revisar el calendario escolar, jornada escolar, la intensidad horaria mínima anual en cada nivel y las modificaciones que se realicen al mismo, de acuerdo con lo previsto en la normatividad vigente.</v>
          </cell>
          <cell r="K114" t="str">
            <v>JENIFER CATHERINE LEÓN ACOSTA</v>
          </cell>
          <cell r="L114" t="str">
            <v>ANA MARÍA CASAS SANABRIA</v>
          </cell>
          <cell r="M114">
            <v>45862</v>
          </cell>
          <cell r="N114">
            <v>45862</v>
          </cell>
          <cell r="O114">
            <v>45862</v>
          </cell>
          <cell r="P114" t="str">
            <v>Visitas de evaluación con fines de mejoramiento</v>
          </cell>
          <cell r="Q114" t="str">
            <v>ACTA RAFAEL DE ALICANTE.pdf</v>
          </cell>
          <cell r="R114" t="str">
            <v>Tienen el calendrio escolar, y la itensidad horaria de acuerdo a la norma , Publicada en la pagina web del colegio y en su plataforma de informes</v>
          </cell>
          <cell r="S114" t="str">
            <v>El colegio cumple con la implementación de su calendario escolar, con las semanas de desarrollo académico y las intensidades mínimas.</v>
          </cell>
          <cell r="T114" t="str">
            <v>No</v>
          </cell>
          <cell r="U114" t="str">
            <v>No se hace requerimiento</v>
          </cell>
        </row>
        <row r="115">
          <cell r="A115">
            <v>687</v>
          </cell>
          <cell r="B115">
            <v>12</v>
          </cell>
          <cell r="C115" t="str">
            <v>ENGATIVÁ</v>
          </cell>
          <cell r="D115" t="str">
            <v>PRIVADO</v>
          </cell>
          <cell r="E115" t="str">
            <v>EPBM</v>
          </cell>
          <cell r="F115" t="str">
            <v>LICEO_SAN_RAFAEL_DE_ALICANTE</v>
          </cell>
          <cell r="G115" t="str">
            <v>LICEO_SAN_RAFAEL_DE_ALICANTE</v>
          </cell>
          <cell r="H115" t="str">
            <v>Autoevaluación Institucional y Pruebas SABER 11</v>
          </cell>
          <cell r="I115" t="str">
            <v>EVALUACIÓN_CON_FINES_DE_MEJORAMIENTO.</v>
          </cell>
          <cell r="J115" t="str">
            <v>Verificar el funcionamiento del Gobierno Escolar e instancias de participación con base en la información sobre conformación reportada por la institución educativa.</v>
          </cell>
          <cell r="K115" t="str">
            <v>JENIFER CATHERINE LEÓN ACOSTA</v>
          </cell>
          <cell r="L115" t="str">
            <v>ANA MARÍA CASAS SANABRIA</v>
          </cell>
          <cell r="M115">
            <v>45862</v>
          </cell>
          <cell r="N115">
            <v>45862</v>
          </cell>
          <cell r="O115">
            <v>45862</v>
          </cell>
          <cell r="P115" t="str">
            <v>Visitas de evaluación con fines de mejoramiento</v>
          </cell>
          <cell r="Q115" t="str">
            <v>ACTA RAFAEL DE ALICANTE.pdf</v>
          </cell>
          <cell r="R115" t="str">
            <v>No se puede verificar funciinamiento, pues no existe archivos con la trazabilidad de las instancias de participacion.</v>
          </cell>
          <cell r="S115" t="str">
            <v>Se debe organizar adecuadamente los archivos y evidencias de las instancias del gobierno escolar y la Comisión de Evaluación y Promoción. Cada una debe contar con acta de instalación, normatividad vigente y cronograma de trabajo, organizados por instancia y fecha. Como compromiso institucional, se implementará un sistema de archivo físico y/o digital que facilite el seguimiento y garantice la transparencia en los procesos.</v>
          </cell>
          <cell r="T115" t="str">
            <v>Si</v>
          </cell>
          <cell r="U115"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6">
          <cell r="A116">
            <v>688</v>
          </cell>
          <cell r="B116">
            <v>12</v>
          </cell>
          <cell r="C116" t="str">
            <v>ENGATIVÁ</v>
          </cell>
          <cell r="D116" t="str">
            <v>PRIVADO</v>
          </cell>
          <cell r="E116" t="str">
            <v>EPBM</v>
          </cell>
          <cell r="F116" t="str">
            <v>LICEO_SAN_RAFAEL_DE_ALICANTE</v>
          </cell>
          <cell r="G116" t="str">
            <v>LICEO_SAN_RAFAEL_DE_ALICANTE</v>
          </cell>
          <cell r="H116" t="str">
            <v>Autoevaluación Institucional y Pruebas SABER 11</v>
          </cell>
          <cell r="I116" t="str">
            <v>EVALUACIÓN_CON_FINES_DE_MEJORAMIENTO.</v>
          </cell>
          <cell r="J116" t="str">
            <v>Verificar las condiciones en cuanto a: la estructura administrativa, condiciones de la planta física y medios educativos adecuados.</v>
          </cell>
          <cell r="K116" t="str">
            <v>JENIFER CATHERINE LEÓN ACOSTA</v>
          </cell>
          <cell r="L116" t="str">
            <v>ANA MARÍA CASAS SANABRIA</v>
          </cell>
          <cell r="M116">
            <v>45862</v>
          </cell>
          <cell r="N116">
            <v>45862</v>
          </cell>
          <cell r="O116">
            <v>45862</v>
          </cell>
          <cell r="P116" t="str">
            <v>Visitas de evaluación con fines de mejoramiento</v>
          </cell>
          <cell r="Q116" t="str">
            <v>ACTA RAFAEL DE ALICANTE.pdf</v>
          </cell>
          <cell r="R116" t="str">
            <v>El establecimiento educativo  tiene una planta fisica buena y suficiente para  la atencion educativa, sin embargo, deben realizar organizaciones  administrativas para cumplir con la normatividad.</v>
          </cell>
          <cell r="S116" t="str">
            <v>Se identifica la necesidad de atender de manera adecuada los cursos de prejardín y jardín, conforme a la normatividad vigente, dado que actualmente comparten un mismo espacio físico y cuentan con una sola docente para ambos niveles, lo cual puede afectar la calidad del acompañamiento pedagógico.</v>
          </cell>
          <cell r="T116" t="str">
            <v>Si</v>
          </cell>
          <cell r="U116" t="str">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ell>
        </row>
        <row r="117">
          <cell r="A117">
            <v>689</v>
          </cell>
          <cell r="B117">
            <v>13</v>
          </cell>
          <cell r="C117" t="str">
            <v>ENGATIVÁ</v>
          </cell>
          <cell r="D117" t="str">
            <v>PRIVADO</v>
          </cell>
          <cell r="E117" t="str">
            <v>EPBM</v>
          </cell>
          <cell r="F117" t="str">
            <v>COLEGIO_REAL_DE_BOGOTA</v>
          </cell>
          <cell r="G117" t="str">
            <v>COLEGIO_REAL_DE_BOGOTA</v>
          </cell>
          <cell r="H117" t="str">
            <v>Autoevaluación Institucional y Pruebas SABER 11</v>
          </cell>
          <cell r="I117" t="str">
            <v>SEGUIMIENTO_Y_SUPERVISIÓN.</v>
          </cell>
          <cell r="J117" t="str">
            <v>Realizar visitas para verificar la información registrada sobre la autoevaluación institucional en el aplicativo EVI, a los establecimientos de educación formal no oficial.</v>
          </cell>
          <cell r="K117" t="str">
            <v>LUZ MERY PARRA NOPE</v>
          </cell>
          <cell r="L117" t="str">
            <v>JUAN AGUSTÍN RODRÍGUEZ ROZO</v>
          </cell>
          <cell r="M117">
            <v>45868</v>
          </cell>
          <cell r="N117">
            <v>45868</v>
          </cell>
          <cell r="O117">
            <v>45868</v>
          </cell>
          <cell r="P117" t="str">
            <v>Visitas de evaluación con fines de seguimiento</v>
          </cell>
          <cell r="Q117" t="str">
            <v>ACTA DE VISITA COLEGIO REAL DE BOGOTÁ.pdf</v>
          </cell>
          <cell r="R117" t="str">
            <v>Durante el recorrido por la planta fisica del EE se evidencio los ambientes de aprendizaje, espacio administrativos y espacios recreativos, igualmente se revisa la maticula en SIMAT. En los ambientes compartidos el Colegio no cuenta con el permiso del IDRD para el uso del parque</v>
          </cell>
          <cell r="S117" t="str">
            <v>Tramitar ante el IDRD autorización para uso del parque según lo establecido en Resolución1326 de 2023</v>
          </cell>
          <cell r="T117" t="str">
            <v>Si</v>
          </cell>
          <cell r="U117" t="str">
            <v xml:space="preserve">Presentar un plan de mejoramiento que subsane las observaciones realizadas, el plazo para la radicación de dicho plan es de 10 días hábiles posteriores a la visita. </v>
          </cell>
        </row>
        <row r="118">
          <cell r="A118">
            <v>690</v>
          </cell>
          <cell r="B118">
            <v>13</v>
          </cell>
          <cell r="C118" t="str">
            <v>ENGATIVÁ</v>
          </cell>
          <cell r="D118" t="str">
            <v>PRIVADO</v>
          </cell>
          <cell r="E118" t="str">
            <v>EPBM</v>
          </cell>
          <cell r="F118" t="str">
            <v>COLEGIO_REAL_DE_BOGOTA</v>
          </cell>
          <cell r="G118" t="str">
            <v>COLEGIO_REAL_DE_BOGOTA</v>
          </cell>
          <cell r="H118" t="str">
            <v>Autoevaluación Institucional y Pruebas SABER 11</v>
          </cell>
          <cell r="I118" t="str">
            <v>SEGUIMIENTO_Y_SUPERVISIÓN.</v>
          </cell>
          <cell r="J118" t="str">
            <v>Proponer estrategias en la formulación, verificar su elaboración y realizar seguimiento semestral al desarrollo de  las acciones establecidas en los planes de mejoramiento por pruebas SABER 11 de los establecimientos de educación formal.</v>
          </cell>
          <cell r="K118" t="str">
            <v>LUZ MERY PARRA NOPE</v>
          </cell>
          <cell r="L118" t="str">
            <v>JUAN AGUSTÍN RODRÍGUEZ ROZO</v>
          </cell>
          <cell r="M118">
            <v>45868</v>
          </cell>
          <cell r="N118">
            <v>45868</v>
          </cell>
          <cell r="O118">
            <v>45868</v>
          </cell>
          <cell r="P118" t="str">
            <v>Visitas de evaluación con fines de seguimiento</v>
          </cell>
          <cell r="Q118" t="str">
            <v>ACTA DE VISITA COLEGIO REAL DE BOGOTÁ.pdf</v>
          </cell>
          <cell r="R118" t="str">
            <v xml:space="preserve">La EE se encuentra clasificada en las pruebas saber en B, no han realizado plan de mejoramiento.  </v>
          </cell>
          <cell r="S118" t="str">
            <v>Con base en los resultados de las pruebas saber, realizar ajustes al currículo y plan de estudios, igualmente implementar acciones para mejorar los aprendizajes de los estudiantes en las áreas del plan de estudio con más bajo desempeño en las pruebas SABER 11: Matemáticas, sociales y ciudadanía, ciencias naturales e inglés.</v>
          </cell>
          <cell r="T118" t="str">
            <v>Si</v>
          </cell>
          <cell r="U118" t="str">
            <v xml:space="preserve">Presentar un plan de mejoramiento que subsane las observaciones realizadas, el plazo para la radicación de dicho plan es de 10 días hábiles posteriores a la visita. </v>
          </cell>
        </row>
        <row r="119">
          <cell r="A119">
            <v>691</v>
          </cell>
          <cell r="B119">
            <v>13</v>
          </cell>
          <cell r="C119" t="str">
            <v>ENGATIVÁ</v>
          </cell>
          <cell r="D119" t="str">
            <v>PRIVADO</v>
          </cell>
          <cell r="E119" t="str">
            <v>EPBM</v>
          </cell>
          <cell r="F119" t="str">
            <v>COLEGIO_REAL_DE_BOGOTA</v>
          </cell>
          <cell r="G119" t="str">
            <v>COLEGIO_REAL_DE_BOGOTA</v>
          </cell>
          <cell r="H119" t="str">
            <v>Autoevaluación Institucional y Pruebas SABER 11</v>
          </cell>
          <cell r="I119" t="str">
            <v>SEGUIMIENTO_Y_SUPERVISIÓN.</v>
          </cell>
          <cell r="J119" t="str">
            <v xml:space="preserve">Verificar la implementación por parte de los colegios, de acciones realizadas para la prevención y atención de las situaciones de convivencia en el entorno escolar, según lo establecido en la Directiva 01 de 2022 del MEN. </v>
          </cell>
          <cell r="K119" t="str">
            <v>LUZ MERY PARRA NOPE</v>
          </cell>
          <cell r="L119" t="str">
            <v>JUAN AGUSTÍN RODRÍGUEZ ROZO</v>
          </cell>
          <cell r="M119">
            <v>45868</v>
          </cell>
          <cell r="N119">
            <v>45868</v>
          </cell>
          <cell r="O119">
            <v>45868</v>
          </cell>
          <cell r="P119" t="str">
            <v>Visitas de evaluación con fines de seguimiento</v>
          </cell>
          <cell r="Q119" t="str">
            <v>ACTA DE VISITA COLEGIO REAL DE BOGOTÁ.pdf</v>
          </cell>
          <cell r="R119" t="str">
            <v>LA EE no realiza activiación de alertas en los casos de convivencia según la Ley 1620 de 2013. No tienen orientador escolar, falta orientación en el abordaje de los protocolos.</v>
          </cell>
          <cell r="S119" t="str">
            <v>Contratar un orientador escolar de planta tiempo completo para que atienda la totalidad de funciones que implica el cargo, ajustar en el manual de convivencia los elementos de ley que fomenten el enfoque restaurativo. Realizar un plan de trabajo para el comité de convivencia escolar que tenga en cuenta sus integrantes, funciones y reglamento interno.</v>
          </cell>
          <cell r="T119" t="str">
            <v>Si</v>
          </cell>
          <cell r="U119" t="str">
            <v xml:space="preserve">Presentar un plan de mejoramiento que subsane las observaciones realizadas, el plazo para la radicación de dicho plan es de 10 días hábiles posteriores a la visita. </v>
          </cell>
        </row>
        <row r="120">
          <cell r="A120">
            <v>692</v>
          </cell>
          <cell r="B120">
            <v>13</v>
          </cell>
          <cell r="C120" t="str">
            <v>ENGATIVÁ</v>
          </cell>
          <cell r="D120" t="str">
            <v>PRIVADO</v>
          </cell>
          <cell r="E120" t="str">
            <v>EPBM</v>
          </cell>
          <cell r="F120" t="str">
            <v>COLEGIO_REAL_DE_BOGOTA</v>
          </cell>
          <cell r="G120" t="str">
            <v>COLEGIO_REAL_DE_BOGOTA</v>
          </cell>
          <cell r="H120" t="str">
            <v>Autoevaluación Institucional y Pruebas SABER 11</v>
          </cell>
          <cell r="I120" t="str">
            <v>SEGUIMIENTO_Y_SUPERVISIÓN.</v>
          </cell>
          <cell r="J1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0" t="str">
            <v>LUZ MERY PARRA NOPE</v>
          </cell>
          <cell r="L120" t="str">
            <v>JUAN AGUSTÍN RODRÍGUEZ ROZO</v>
          </cell>
          <cell r="M120">
            <v>45868</v>
          </cell>
          <cell r="N120">
            <v>45868</v>
          </cell>
          <cell r="O120">
            <v>45868</v>
          </cell>
          <cell r="P120" t="str">
            <v>Visitas de evaluación con fines de seguimiento</v>
          </cell>
          <cell r="Q120" t="str">
            <v>ACTA DE VISITA COLEGIO REAL DE BOGOTÁ.pdf</v>
          </cell>
          <cell r="R120" t="str">
            <v>La EE informa que no tiene estudiantes con discapacidad.</v>
          </cell>
          <cell r="S120" t="str">
            <v>No se hace ninguna observación</v>
          </cell>
          <cell r="T120" t="str">
            <v>No</v>
          </cell>
          <cell r="U120" t="str">
            <v>Se hará verificación en caso de presentar solicitud o queja ciudadana.</v>
          </cell>
        </row>
        <row r="121">
          <cell r="A121">
            <v>693</v>
          </cell>
          <cell r="B121">
            <v>13</v>
          </cell>
          <cell r="C121" t="str">
            <v>ENGATIVÁ</v>
          </cell>
          <cell r="D121" t="str">
            <v>PRIVADO</v>
          </cell>
          <cell r="E121" t="str">
            <v>EPBM</v>
          </cell>
          <cell r="F121" t="str">
            <v>COLEGIO_REAL_DE_BOGOTA</v>
          </cell>
          <cell r="G121" t="str">
            <v>COLEGIO_REAL_DE_BOGOTA</v>
          </cell>
          <cell r="H121" t="str">
            <v>Autoevaluación Institucional y Pruebas SABER 11</v>
          </cell>
          <cell r="I121" t="str">
            <v>EVALUACIÓN_CON_FINES_DE_MEJORAMIENTO.</v>
          </cell>
          <cell r="J1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1" t="str">
            <v>LUZ MERY PARRA NOPE</v>
          </cell>
          <cell r="L121" t="str">
            <v>JUAN AGUSTÍN RODRÍGUEZ ROZO</v>
          </cell>
          <cell r="M121">
            <v>45868</v>
          </cell>
          <cell r="N121">
            <v>45868</v>
          </cell>
          <cell r="O121">
            <v>45868</v>
          </cell>
          <cell r="P121" t="str">
            <v>Visitas de evaluación con fines de mejoramiento</v>
          </cell>
          <cell r="Q121" t="str">
            <v>ACTA DE VISITA COLEGIO REAL DE BOGOTÁ.pdf</v>
          </cell>
          <cell r="R121" t="str">
            <v>La EE manifiesta que el manual de convivencia se actualiza anualmente, pero no incluye a padres de familia ni estudiantes</v>
          </cell>
          <cell r="S121" t="str">
            <v xml:space="preserve">Ajustar el manual de convivencia aplicando el debido proceso (consultar con los estamentos de la comunidad educativa la propuesta de reforma y acordar n consejo directivo las modificaciones) </v>
          </cell>
          <cell r="T121" t="str">
            <v>Si</v>
          </cell>
          <cell r="U121" t="str">
            <v xml:space="preserve">Presentar un plan de mejoramiento que subsane las observaciones realizadas, el plazo para la radicación de dicho plan es de 10 días hábiles posteriores a la visita. </v>
          </cell>
        </row>
        <row r="122">
          <cell r="A122">
            <v>694</v>
          </cell>
          <cell r="B122">
            <v>13</v>
          </cell>
          <cell r="C122" t="str">
            <v>ENGATIVÁ</v>
          </cell>
          <cell r="D122" t="str">
            <v>PRIVADO</v>
          </cell>
          <cell r="E122" t="str">
            <v>EPBM</v>
          </cell>
          <cell r="F122" t="str">
            <v>COLEGIO_REAL_DE_BOGOTA</v>
          </cell>
          <cell r="G122" t="str">
            <v>COLEGIO_REAL_DE_BOGOTA</v>
          </cell>
          <cell r="H122" t="str">
            <v>Autoevaluación Institucional y Pruebas SABER 11</v>
          </cell>
          <cell r="I122" t="str">
            <v>EVALUACIÓN_CON_FINES_DE_MEJORAMIENTO.</v>
          </cell>
          <cell r="J122" t="str">
            <v>Revisar la actualización, socialización e implementación del Sistema Institucional de Evaluación de Estudiantes - SIEE, en articulación con la actualización del PEI y la normatividad vigente.</v>
          </cell>
          <cell r="K122" t="str">
            <v>LUZ MERY PARRA NOPE</v>
          </cell>
          <cell r="L122" t="str">
            <v>JUAN AGUSTÍN RODRÍGUEZ ROZO</v>
          </cell>
          <cell r="M122">
            <v>45868</v>
          </cell>
          <cell r="N122">
            <v>45868</v>
          </cell>
          <cell r="O122">
            <v>45868</v>
          </cell>
          <cell r="P122" t="str">
            <v>Visitas de evaluación con fines de mejoramiento</v>
          </cell>
          <cell r="Q122" t="str">
            <v>ACTA DE VISITA COLEGIO REAL DE BOGOTÁ.pdf</v>
          </cell>
          <cell r="R122" t="str">
            <v>Se evidencia en la EE informe de notas de los estudiantes, con estrategias de apoyo para los estudiantes que lo requieran. Se observa actas de reuniones con docentes y padres de familia para suscribir acuerdos de cooperación, al igual que la realización de trabajos especificos sobre temas de mejoramiento.</v>
          </cell>
          <cell r="S122" t="str">
            <v>Continuar realizando estrategias que contribuyan al acompañamiento de los estudiantes que los requieran</v>
          </cell>
          <cell r="T122" t="str">
            <v>No</v>
          </cell>
          <cell r="U122" t="str">
            <v>Se hará verificación en caso de presentar solicitud o queja ciudadana.</v>
          </cell>
        </row>
        <row r="123">
          <cell r="A123">
            <v>695</v>
          </cell>
          <cell r="B123">
            <v>13</v>
          </cell>
          <cell r="C123" t="str">
            <v>ENGATIVÁ</v>
          </cell>
          <cell r="D123" t="str">
            <v>PRIVADO</v>
          </cell>
          <cell r="E123" t="str">
            <v>EPBM</v>
          </cell>
          <cell r="F123" t="str">
            <v>COLEGIO_REAL_DE_BOGOTA</v>
          </cell>
          <cell r="G123" t="str">
            <v>COLEGIO_REAL_DE_BOGOTA</v>
          </cell>
          <cell r="H123" t="str">
            <v>Autoevaluación Institucional y Pruebas SABER 11</v>
          </cell>
          <cell r="I123" t="str">
            <v>EVALUACIÓN_CON_FINES_DE_MEJORAMIENTO.</v>
          </cell>
          <cell r="J123" t="str">
            <v>Revisar el calendario escolar, jornada escolar, la intensidad horaria mínima anual en cada nivel y las modificaciones que se realicen al mismo, de acuerdo con lo previsto en la normatividad vigente.</v>
          </cell>
          <cell r="K123" t="str">
            <v>LUZ MERY PARRA NOPE</v>
          </cell>
          <cell r="L123" t="str">
            <v>JUAN AGUSTÍN RODRÍGUEZ ROZO</v>
          </cell>
          <cell r="M123">
            <v>45868</v>
          </cell>
          <cell r="N123">
            <v>45868</v>
          </cell>
          <cell r="O123">
            <v>45868</v>
          </cell>
          <cell r="P123" t="str">
            <v>Visitas de evaluación con fines de mejoramiento</v>
          </cell>
          <cell r="Q123" t="str">
            <v>ACTA DE VISITA COLEGIO REAL DE BOGOTÁ.pdf</v>
          </cell>
          <cell r="R123" t="str">
            <v>Se observa que el calendario escolar, jornada escolar y la intensidad horaria minima requeida comple con la normatividad vigente</v>
          </cell>
          <cell r="S123" t="str">
            <v>El EE cumple con la intensidad minima legal vigente para cada nivel ofrecido.</v>
          </cell>
          <cell r="T123" t="str">
            <v>No</v>
          </cell>
          <cell r="U123" t="str">
            <v>Se hará verificación en caso de presentar solicitud o queja ciudadana.</v>
          </cell>
        </row>
        <row r="124">
          <cell r="A124">
            <v>696</v>
          </cell>
          <cell r="B124">
            <v>13</v>
          </cell>
          <cell r="C124" t="str">
            <v>ENGATIVÁ</v>
          </cell>
          <cell r="D124" t="str">
            <v>PRIVADO</v>
          </cell>
          <cell r="E124" t="str">
            <v>EPBM</v>
          </cell>
          <cell r="F124" t="str">
            <v>COLEGIO_REAL_DE_BOGOTA</v>
          </cell>
          <cell r="G124" t="str">
            <v>COLEGIO_REAL_DE_BOGOTA</v>
          </cell>
          <cell r="H124" t="str">
            <v>Autoevaluación Institucional y Pruebas SABER 11</v>
          </cell>
          <cell r="I124" t="str">
            <v>EVALUACIÓN_CON_FINES_DE_MEJORAMIENTO.</v>
          </cell>
          <cell r="J124" t="str">
            <v>Verificar el funcionamiento del Gobierno Escolar e instancias de participación con base en la información sobre conformación reportada por la institución educativa.</v>
          </cell>
          <cell r="K124" t="str">
            <v>LUZ MERY PARRA NOPE</v>
          </cell>
          <cell r="L124" t="str">
            <v>JUAN AGUSTÍN RODRÍGUEZ ROZO</v>
          </cell>
          <cell r="M124">
            <v>45868</v>
          </cell>
          <cell r="N124">
            <v>45868</v>
          </cell>
          <cell r="O124">
            <v>45868</v>
          </cell>
          <cell r="P124" t="str">
            <v>Visitas de evaluación con fines de mejoramiento</v>
          </cell>
          <cell r="Q124" t="str">
            <v>ACTA DE VISITA COLEGIO REAL DE BOGOTÁ.pdf</v>
          </cell>
          <cell r="R124" t="str">
            <v>Se eviencia a traves de actas la conformación de las instancias de participación del Gobierno Escolar, al igual que su seguimiento.</v>
          </cell>
          <cell r="S124" t="str">
            <v>Cumple con la normatividad vigente.</v>
          </cell>
          <cell r="T124" t="str">
            <v>No</v>
          </cell>
          <cell r="U124" t="str">
            <v>Se hará verificación en caso de presentar solicitud o queja ciudadana.</v>
          </cell>
        </row>
        <row r="125">
          <cell r="A125">
            <v>697</v>
          </cell>
          <cell r="B125">
            <v>13</v>
          </cell>
          <cell r="C125" t="str">
            <v>ENGATIVÁ</v>
          </cell>
          <cell r="D125" t="str">
            <v>PRIVADO</v>
          </cell>
          <cell r="E125" t="str">
            <v>EPBM</v>
          </cell>
          <cell r="F125" t="str">
            <v>COLEGIO_REAL_DE_BOGOTA</v>
          </cell>
          <cell r="G125" t="str">
            <v>COLEGIO_REAL_DE_BOGOTA</v>
          </cell>
          <cell r="H125" t="str">
            <v>Autoevaluación Institucional y Pruebas SABER 11</v>
          </cell>
          <cell r="I125" t="str">
            <v>EVALUACIÓN_CON_FINES_DE_MEJORAMIENTO.</v>
          </cell>
          <cell r="J125" t="str">
            <v>Verificar las condiciones en cuanto a: la estructura administrativa, condiciones de la planta física y medios educativos adecuados.</v>
          </cell>
          <cell r="K125" t="str">
            <v>LUZ MERY PARRA NOPE</v>
          </cell>
          <cell r="L125" t="str">
            <v>JUAN AGUSTÍN RODRÍGUEZ ROZO</v>
          </cell>
          <cell r="M125">
            <v>45868</v>
          </cell>
          <cell r="N125">
            <v>45868</v>
          </cell>
          <cell r="O125">
            <v>45868</v>
          </cell>
          <cell r="P125" t="str">
            <v>Visitas de evaluación con fines de mejoramiento</v>
          </cell>
          <cell r="Q125" t="str">
            <v>ACTA DE VISITA COLEGIO REAL DE BOGOTÁ.pdf</v>
          </cell>
          <cell r="R125" t="str">
            <v>Al realizar el recorrido por la planta fisica del EE se observa que se encuentra en buen estado. Sin embargo, se observa en un deposito materiales sobrantes como pintura, pupitres y mosbilario en desuso en tre otros.</v>
          </cell>
          <cell r="S125" t="str">
            <v>Revisar y hacer un buen uso de los elementos que se encuentran en ese deposito.</v>
          </cell>
          <cell r="T125" t="str">
            <v>Si</v>
          </cell>
          <cell r="U125" t="str">
            <v xml:space="preserve">Presentar un plan de mejoramiento que subsane las observaciones realizadas, el plazo para la radicación de dicho plan es de 10 días hábiles posteriores a la visita. </v>
          </cell>
        </row>
        <row r="126">
          <cell r="A126">
            <v>698</v>
          </cell>
          <cell r="B126">
            <v>14</v>
          </cell>
          <cell r="C126" t="str">
            <v>ENGATIVÁ</v>
          </cell>
          <cell r="D126" t="str">
            <v>PRIVADO</v>
          </cell>
          <cell r="E126" t="str">
            <v>EPBM</v>
          </cell>
          <cell r="F126" t="str">
            <v>COLEGIO_PSICOPEDAGOGICO_EL_ARTE_DEL_SABER</v>
          </cell>
          <cell r="G126" t="str">
            <v>COLEGIO_PSICOPEDAGOGICO_EL_ARTE_DEL_SABER</v>
          </cell>
          <cell r="H126" t="str">
            <v>Autoevaluación Institucional y Pruebas SABER 11</v>
          </cell>
          <cell r="I126" t="str">
            <v>SEGUIMIENTO_Y_SUPERVISIÓN.</v>
          </cell>
          <cell r="J126" t="str">
            <v>Realizar visitas para verificar la información registrada sobre la autoevaluación institucional en el aplicativo EVI, a los establecimientos de educación formal no oficial.</v>
          </cell>
          <cell r="K126" t="str">
            <v>SANDRA MILENA BUENAVENTURA RUEDA</v>
          </cell>
          <cell r="L126" t="str">
            <v>ANA MARÍA CASAS SANABRIA</v>
          </cell>
          <cell r="M126">
            <v>45756</v>
          </cell>
          <cell r="N126">
            <v>45756</v>
          </cell>
          <cell r="O126">
            <v>45756</v>
          </cell>
          <cell r="P126" t="str">
            <v>Visitas de evaluación con fines de seguimiento</v>
          </cell>
          <cell r="Q126" t="str">
            <v>ACTACOLARTESABER.pdf</v>
          </cell>
          <cell r="R126" t="str">
            <v>Se realiza recorrido a la planta física evidenciando falencias en los espacios motivo por el cual se encuentra en vigilado y se evidencia la prestación del servicio educativo para el grado preescolar en una sede no autorizada en licencia de funcionamiento.</v>
          </cell>
          <cell r="S126" t="str">
            <v xml:space="preserve">
Se debe realizar un análisis de la capacidad instalada en salones de clase y baterías de baño para una posible intervención a la planta físicay la modificación de la Licencia de Funcionamiento por nueva sede</v>
          </cell>
          <cell r="T126" t="str">
            <v>Si</v>
          </cell>
          <cell r="U126" t="str">
            <v>La institución presentará plan de mejora con fecha máxima 07 de mayo con el fin de ser revisado por el equipo de Inspección y Vigilancia para hacer los ajustes y la trazabilidad correspondiente</v>
          </cell>
        </row>
        <row r="127">
          <cell r="A127">
            <v>699</v>
          </cell>
          <cell r="B127">
            <v>14</v>
          </cell>
          <cell r="C127" t="str">
            <v>ENGATIVÁ</v>
          </cell>
          <cell r="D127" t="str">
            <v>PRIVADO</v>
          </cell>
          <cell r="E127" t="str">
            <v>EPBM</v>
          </cell>
          <cell r="F127" t="str">
            <v>COLEGIO_PSICOPEDAGOGICO_EL_ARTE_DEL_SABER</v>
          </cell>
          <cell r="G127" t="str">
            <v>COLEGIO_PSICOPEDAGOGICO_EL_ARTE_DEL_SABER</v>
          </cell>
          <cell r="H127" t="str">
            <v>Autoevaluación Institucional y Pruebas SABER 11</v>
          </cell>
          <cell r="I127" t="str">
            <v>SEGUIMIENTO_Y_SUPERVISIÓN.</v>
          </cell>
          <cell r="J127" t="str">
            <v>Proponer estrategias en la formulación, verificar su elaboración y realizar seguimiento semestral al desarrollo de  las acciones establecidas en los planes de mejoramiento por pruebas SABER 11 de los establecimientos de educación formal.</v>
          </cell>
          <cell r="K127" t="str">
            <v>SANDRA MILENA BUENAVENTURA RUEDA</v>
          </cell>
          <cell r="L127" t="str">
            <v>ANA MARÍA CASAS SANABRIA</v>
          </cell>
          <cell r="M127">
            <v>45756</v>
          </cell>
          <cell r="N127">
            <v>45756</v>
          </cell>
          <cell r="O127">
            <v>45756</v>
          </cell>
          <cell r="P127" t="str">
            <v>Visitas de evaluación con fines de seguimiento</v>
          </cell>
          <cell r="Q127" t="str">
            <v>ACTACOLARTESABER.pdf</v>
          </cell>
          <cell r="R127" t="str">
            <v>La IE se clasifica en A y los resultados los revisa el coordinador y el rector pero hasta el mes de abril se hara la primera reunión con los docentes</v>
          </cell>
          <cell r="S127" t="str">
            <v>Se recomienda socializar los resultados con los docentes los resultados al inicio del año escolar.</v>
          </cell>
          <cell r="T127" t="str">
            <v>No</v>
          </cell>
          <cell r="U127" t="str">
            <v>Se hara el respectivo seguimiento en el último trimestre de 2025</v>
          </cell>
        </row>
        <row r="128">
          <cell r="A128">
            <v>700</v>
          </cell>
          <cell r="B128">
            <v>14</v>
          </cell>
          <cell r="C128" t="str">
            <v>ENGATIVÁ</v>
          </cell>
          <cell r="D128" t="str">
            <v>PRIVADO</v>
          </cell>
          <cell r="E128" t="str">
            <v>EPBM</v>
          </cell>
          <cell r="F128" t="str">
            <v>COLEGIO_PSICOPEDAGOGICO_EL_ARTE_DEL_SABER</v>
          </cell>
          <cell r="G128" t="str">
            <v>COLEGIO_PSICOPEDAGOGICO_EL_ARTE_DEL_SABER</v>
          </cell>
          <cell r="H128" t="str">
            <v>Autoevaluación Institucional y Pruebas SABER 11</v>
          </cell>
          <cell r="I128" t="str">
            <v>SEGUIMIENTO_Y_SUPERVISIÓN.</v>
          </cell>
          <cell r="J128" t="str">
            <v xml:space="preserve">Verificar la implementación por parte de los colegios, de acciones realizadas para la prevención y atención de las situaciones de convivencia en el entorno escolar, según lo establecido en la Directiva 01 de 2022 del MEN. </v>
          </cell>
          <cell r="K128" t="str">
            <v>SANDRA MILENA BUENAVENTURA RUEDA</v>
          </cell>
          <cell r="L128" t="str">
            <v>ANA MARÍA CASAS SANABRIA</v>
          </cell>
          <cell r="M128">
            <v>45756</v>
          </cell>
          <cell r="N128">
            <v>45756</v>
          </cell>
          <cell r="O128">
            <v>45756</v>
          </cell>
          <cell r="P128" t="str">
            <v>Visitas de evaluación con fines de seguimiento</v>
          </cell>
          <cell r="Q128" t="str">
            <v>ACTACOLARTESABER.pdf</v>
          </cell>
          <cell r="R128" t="str">
            <v>Se evidencia consulta de estos antecedentes en años anteriores</v>
          </cell>
          <cell r="S128" t="str">
            <v>Se les indica que esta verificación se debe hacer cada cuatro meses.</v>
          </cell>
          <cell r="T128" t="str">
            <v>No</v>
          </cell>
          <cell r="U128" t="str">
            <v>Se hara el respectivo seguimiento en el último trimestre de 2025</v>
          </cell>
        </row>
        <row r="129">
          <cell r="A129">
            <v>701</v>
          </cell>
          <cell r="B129">
            <v>14</v>
          </cell>
          <cell r="C129" t="str">
            <v>ENGATIVÁ</v>
          </cell>
          <cell r="D129" t="str">
            <v>PRIVADO</v>
          </cell>
          <cell r="E129" t="str">
            <v>EPBM</v>
          </cell>
          <cell r="F129" t="str">
            <v>COLEGIO_PSICOPEDAGOGICO_EL_ARTE_DEL_SABER</v>
          </cell>
          <cell r="G129" t="str">
            <v>COLEGIO_PSICOPEDAGOGICO_EL_ARTE_DEL_SABER</v>
          </cell>
          <cell r="H129" t="str">
            <v>Autoevaluación Institucional y Pruebas SABER 11</v>
          </cell>
          <cell r="I129" t="str">
            <v>SEGUIMIENTO_Y_SUPERVISIÓN.</v>
          </cell>
          <cell r="J12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9" t="str">
            <v>SANDRA MILENA BUENAVENTURA RUEDA</v>
          </cell>
          <cell r="L129" t="str">
            <v>ANA MARÍA CASAS SANABRIA</v>
          </cell>
          <cell r="M129">
            <v>45756</v>
          </cell>
          <cell r="N129">
            <v>45756</v>
          </cell>
          <cell r="O129">
            <v>45756</v>
          </cell>
          <cell r="P129" t="str">
            <v>Visitas de evaluación con fines de seguimiento</v>
          </cell>
          <cell r="Q129" t="str">
            <v>ACTACOLARTESABER.pdf</v>
          </cell>
          <cell r="R129" t="str">
            <v>Se evidencian en SIMAT 2 estudiantes en proceso de elaboración por parte del área de orientación 8 nuevos PIAR.</v>
          </cell>
          <cell r="S129" t="str">
            <v>Se le indica la debida actualización de los PIAR de los estudiantes registrados en el SIMAT</v>
          </cell>
          <cell r="T129" t="str">
            <v>Si</v>
          </cell>
          <cell r="U129" t="str">
            <v>La institución presentará plan de mejora con fecha máxima 07 de mayo con el fin de ser revisado por el equipo de Inspección y Vigilancia para hacer los ajustes y la trazabilidad correspondiente</v>
          </cell>
        </row>
        <row r="130">
          <cell r="A130">
            <v>702</v>
          </cell>
          <cell r="B130">
            <v>14</v>
          </cell>
          <cell r="C130" t="str">
            <v>ENGATIVÁ</v>
          </cell>
          <cell r="D130" t="str">
            <v>PRIVADO</v>
          </cell>
          <cell r="E130" t="str">
            <v>EPBM</v>
          </cell>
          <cell r="F130" t="str">
            <v>COLEGIO_PSICOPEDAGOGICO_EL_ARTE_DEL_SABER</v>
          </cell>
          <cell r="G130" t="str">
            <v>COLEGIO_PSICOPEDAGOGICO_EL_ARTE_DEL_SABER</v>
          </cell>
          <cell r="H130" t="str">
            <v>Autoevaluación Institucional y Pruebas SABER 11</v>
          </cell>
          <cell r="I130" t="str">
            <v>EVALUACIÓN_CON_FINES_DE_MEJORAMIENTO.</v>
          </cell>
          <cell r="J13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0" t="str">
            <v>SANDRA MILENA BUENAVENTURA RUEDA</v>
          </cell>
          <cell r="L130" t="str">
            <v>ANA MARÍA CASAS SANABRIA</v>
          </cell>
          <cell r="M130">
            <v>45756</v>
          </cell>
          <cell r="N130">
            <v>45756</v>
          </cell>
          <cell r="O130">
            <v>45756</v>
          </cell>
          <cell r="P130" t="str">
            <v>Visitas de evaluación con fines de mejoramiento</v>
          </cell>
          <cell r="Q130" t="str">
            <v>ACTACOLARTESABER.pdf</v>
          </cell>
          <cell r="R130" t="str">
            <v>Se evidencia el Manual de Convivencia de la IE el cual consta de 140 páginas y define la Diversidad, Inclusión educativa, enfoque de genero, interseccionalidad, perspectiva intercultural. En el capitulo 9 Estategia para la solución pacifica de conflictos desarrolla el enfoque restaurativo, se llevan a cabo reuniones con el fin de actualizarlo en medio de las jornadas pedagógicas.</v>
          </cell>
          <cell r="S130" t="str">
            <v>Se recuerda que la actualización debe ser anual y de forma participativa con toda la comunidad educativa.</v>
          </cell>
          <cell r="T130" t="str">
            <v>No</v>
          </cell>
          <cell r="U130" t="str">
            <v>Se hara el respectivo seguimiento en el último trimestre de 2025</v>
          </cell>
        </row>
        <row r="131">
          <cell r="A131">
            <v>703</v>
          </cell>
          <cell r="B131">
            <v>14</v>
          </cell>
          <cell r="C131" t="str">
            <v>ENGATIVÁ</v>
          </cell>
          <cell r="D131" t="str">
            <v>PRIVADO</v>
          </cell>
          <cell r="E131" t="str">
            <v>EPBM</v>
          </cell>
          <cell r="F131" t="str">
            <v>COLEGIO_PSICOPEDAGOGICO_EL_ARTE_DEL_SABER</v>
          </cell>
          <cell r="G131" t="str">
            <v>COLEGIO_PSICOPEDAGOGICO_EL_ARTE_DEL_SABER</v>
          </cell>
          <cell r="H131" t="str">
            <v>Autoevaluación Institucional y Pruebas SABER 11</v>
          </cell>
          <cell r="I131" t="str">
            <v>EVALUACIÓN_CON_FINES_DE_MEJORAMIENTO.</v>
          </cell>
          <cell r="J131" t="str">
            <v>Revisar la actualización, socialización e implementación del Sistema Institucional de Evaluación de Estudiantes - SIEE, en articulación con la actualización del PEI y la normatividad vigente.</v>
          </cell>
          <cell r="K131" t="str">
            <v>SANDRA MILENA BUENAVENTURA RUEDA</v>
          </cell>
          <cell r="L131" t="str">
            <v>ANA MARÍA CASAS SANABRIA</v>
          </cell>
          <cell r="M131">
            <v>45756</v>
          </cell>
          <cell r="N131">
            <v>45756</v>
          </cell>
          <cell r="O131">
            <v>45756</v>
          </cell>
          <cell r="P131" t="str">
            <v>Visitas de evaluación con fines de mejoramiento</v>
          </cell>
          <cell r="Q131" t="str">
            <v>ACTACOLARTESABER.pdf</v>
          </cell>
          <cell r="R131" t="str">
            <v>La IE reporta al sistema de alertas las situaciones que lo amerite, en las actas del comité se evidencia acciones de prevención y promoción.</v>
          </cell>
          <cell r="S131" t="str">
            <v>Se recuerda que pueden solicitar capacitación a los docentes por medio de la OCE.</v>
          </cell>
          <cell r="T131" t="str">
            <v>No</v>
          </cell>
          <cell r="U131" t="str">
            <v>Se hara el respectivo seguimiento en el último trimestre de 2025</v>
          </cell>
        </row>
        <row r="132">
          <cell r="A132">
            <v>704</v>
          </cell>
          <cell r="B132">
            <v>14</v>
          </cell>
          <cell r="C132" t="str">
            <v>ENGATIVÁ</v>
          </cell>
          <cell r="D132" t="str">
            <v>PRIVADO</v>
          </cell>
          <cell r="E132" t="str">
            <v>EPBM</v>
          </cell>
          <cell r="F132" t="str">
            <v>COLEGIO_PSICOPEDAGOGICO_EL_ARTE_DEL_SABER</v>
          </cell>
          <cell r="G132" t="str">
            <v>COLEGIO_PSICOPEDAGOGICO_EL_ARTE_DEL_SABER</v>
          </cell>
          <cell r="H132" t="str">
            <v>Autoevaluación Institucional y Pruebas SABER 11</v>
          </cell>
          <cell r="I132" t="str">
            <v>EVALUACIÓN_CON_FINES_DE_MEJORAMIENTO.</v>
          </cell>
          <cell r="J132" t="str">
            <v>Revisar el calendario escolar, jornada escolar, la intensidad horaria mínima anual en cada nivel y las modificaciones que se realicen al mismo, de acuerdo con lo previsto en la normatividad vigente.</v>
          </cell>
          <cell r="K132" t="str">
            <v>SANDRA MILENA BUENAVENTURA RUEDA</v>
          </cell>
          <cell r="L132" t="str">
            <v>ANA MARÍA CASAS SANABRIA</v>
          </cell>
          <cell r="M132">
            <v>45756</v>
          </cell>
          <cell r="N132">
            <v>45756</v>
          </cell>
          <cell r="O132">
            <v>45756</v>
          </cell>
          <cell r="P132" t="str">
            <v>Visitas de evaluación con fines de mejoramiento</v>
          </cell>
          <cell r="Q132" t="str">
            <v>ACTACOLARTESABER.pdf</v>
          </cell>
          <cell r="R132" t="str">
            <v>Se evidencia en el calendario academico 2025 para preescolar 971 horas primaria 1141 horas secundaria 1202 horas y media 1202.</v>
          </cell>
          <cell r="S132" t="str">
            <v>Cumple con la normatividad vigente</v>
          </cell>
          <cell r="T132" t="str">
            <v>No</v>
          </cell>
          <cell r="U132" t="str">
            <v>Se hara el respectivo seguimiento en el último trimestre de 2025</v>
          </cell>
        </row>
        <row r="133">
          <cell r="A133">
            <v>705</v>
          </cell>
          <cell r="B133">
            <v>14</v>
          </cell>
          <cell r="C133" t="str">
            <v>ENGATIVÁ</v>
          </cell>
          <cell r="D133" t="str">
            <v>PRIVADO</v>
          </cell>
          <cell r="E133" t="str">
            <v>EPBM</v>
          </cell>
          <cell r="F133" t="str">
            <v>COLEGIO_PSICOPEDAGOGICO_EL_ARTE_DEL_SABER</v>
          </cell>
          <cell r="G133" t="str">
            <v>COLEGIO_PSICOPEDAGOGICO_EL_ARTE_DEL_SABER</v>
          </cell>
          <cell r="H133" t="str">
            <v>Autoevaluación Institucional y Pruebas SABER 11</v>
          </cell>
          <cell r="I133" t="str">
            <v>EVALUACIÓN_CON_FINES_DE_MEJORAMIENTO.</v>
          </cell>
          <cell r="J133" t="str">
            <v>Verificar el funcionamiento del Gobierno Escolar e instancias de participación con base en la información sobre conformación reportada por la institución educativa.</v>
          </cell>
          <cell r="K133" t="str">
            <v>SANDRA MILENA BUENAVENTURA RUEDA</v>
          </cell>
          <cell r="L133" t="str">
            <v>ANA MARÍA CASAS SANABRIA</v>
          </cell>
          <cell r="M133">
            <v>45756</v>
          </cell>
          <cell r="N133">
            <v>45756</v>
          </cell>
          <cell r="O133">
            <v>45756</v>
          </cell>
          <cell r="P133" t="str">
            <v>Visitas de evaluación con fines de mejoramiento</v>
          </cell>
          <cell r="Q133" t="str">
            <v>ACTACOLARTESABER.pdf</v>
          </cell>
          <cell r="R133" t="str">
            <v>Se evidencian las actas impresas y en One Drive del Consejo Académico y Consejo Directivo. Se encuentran debidamente suscritas, fechadas y numeradas. Se refiere temas que deben incluir en las reuniones y en el registro del acta.</v>
          </cell>
          <cell r="S133" t="str">
            <v>Se le requiere verificar los miembros del consejo directivo el cual debe ser conformado por ocho representates de los diferentes estamentos de la comunidad educativa</v>
          </cell>
          <cell r="T133" t="str">
            <v>Si</v>
          </cell>
          <cell r="U133" t="str">
            <v>La institución presentará plan de mejora con fecha máxima 07 de mayo con el fin de ser revisado por el equipo de Inspección y Vigilancia para hacer los ajustes y la trazabilidad correspondiente</v>
          </cell>
        </row>
        <row r="134">
          <cell r="A134">
            <v>706</v>
          </cell>
          <cell r="B134">
            <v>14</v>
          </cell>
          <cell r="C134" t="str">
            <v>ENGATIVÁ</v>
          </cell>
          <cell r="D134" t="str">
            <v>PRIVADO</v>
          </cell>
          <cell r="E134" t="str">
            <v>EPBM</v>
          </cell>
          <cell r="F134" t="str">
            <v>COLEGIO_PSICOPEDAGOGICO_EL_ARTE_DEL_SABER</v>
          </cell>
          <cell r="G134" t="str">
            <v>COLEGIO_PSICOPEDAGOGICO_EL_ARTE_DEL_SABER</v>
          </cell>
          <cell r="H134" t="str">
            <v>Autoevaluación Institucional y Pruebas SABER 11</v>
          </cell>
          <cell r="I134" t="str">
            <v>EVALUACIÓN_CON_FINES_DE_MEJORAMIENTO.</v>
          </cell>
          <cell r="J134" t="str">
            <v>Verificar las condiciones en cuanto a: la estructura administrativa, condiciones de la planta física y medios educativos adecuados.</v>
          </cell>
          <cell r="K134" t="str">
            <v>SANDRA MILENA BUENAVENTURA RUEDA</v>
          </cell>
          <cell r="L134" t="str">
            <v>ANA MARÍA CASAS SANABRIA</v>
          </cell>
          <cell r="M134">
            <v>45756</v>
          </cell>
          <cell r="N134">
            <v>45756</v>
          </cell>
          <cell r="O134">
            <v>45756</v>
          </cell>
          <cell r="P134" t="str">
            <v>Visitas de evaluación con fines de mejoramiento</v>
          </cell>
          <cell r="Q134" t="str">
            <v>ACTACOLARTESABER.pdf</v>
          </cell>
          <cell r="R134" t="str">
            <v>Se realiza recorrido a la planta física evidenciando falencias en los espacios motivo por el cual se encuentra en vigilado, no cuenta con suficientes baterias de baño y los espacios son muy reducidos y con poca accesibilidad.</v>
          </cell>
          <cell r="S134" t="str">
            <v xml:space="preserve">
Se debe realizar un análisis de la capacidad instalada en salones de clase y baterías de baño para una posible intervención a la planta física</v>
          </cell>
          <cell r="T134" t="str">
            <v>Si</v>
          </cell>
          <cell r="U134" t="str">
            <v>La institución presentará plan de mejora con fecha máxima 07 de mayo con el fin de ser revisado por el equipo de Inspección y Vigilancia para hacer los ajustes y la trazabilidad correspondiente</v>
          </cell>
        </row>
        <row r="135">
          <cell r="A135">
            <v>707</v>
          </cell>
          <cell r="B135">
            <v>15</v>
          </cell>
          <cell r="C135" t="str">
            <v>ENGATIVÁ</v>
          </cell>
          <cell r="D135" t="str">
            <v>PRIVADO</v>
          </cell>
          <cell r="E135" t="str">
            <v>EPBM</v>
          </cell>
          <cell r="F135" t="str">
            <v>COLEGIO_JOSE_JOAQUIN_VARGAS</v>
          </cell>
          <cell r="G135" t="str">
            <v>COLEGIO_JOSE_JOAQUIN_VARGAS</v>
          </cell>
          <cell r="H135" t="str">
            <v>Autoevaluación Institucional y Pruebas SABER 11</v>
          </cell>
          <cell r="I135" t="str">
            <v>SEGUIMIENTO_Y_SUPERVISIÓN.</v>
          </cell>
          <cell r="J135" t="str">
            <v>Realizar visitas para verificar la información registrada sobre la autoevaluación institucional en el aplicativo EVI, a los establecimientos de educación formal no oficial.</v>
          </cell>
          <cell r="K135" t="str">
            <v>ANA MARÍA CASAS SANABRIA</v>
          </cell>
          <cell r="L135" t="str">
            <v>JENIFER CATHERINE LEÓN ACOSTA</v>
          </cell>
          <cell r="M135">
            <v>45882</v>
          </cell>
          <cell r="N135">
            <v>45882</v>
          </cell>
          <cell r="O135">
            <v>45882</v>
          </cell>
          <cell r="P135" t="str">
            <v>Visitas de evaluación con fines de seguimiento</v>
          </cell>
          <cell r="Q135" t="str">
            <v>ACTAS J.J. VARGAS.pdf</v>
          </cell>
          <cell r="R135" t="str">
            <v xml:space="preserve">Se realizó verificación de la información registrada en el aplicativo EVI Encontrando algunas incosistencias en el registro equipos de uso pedagogico </v>
          </cell>
          <cell r="S135" t="str">
            <v xml:space="preserve">Se recomienda ampliar la capacidad de la sala de sistemas, ya que cuenta con pocos computadores respecto a la cantidad de estudaintes </v>
          </cell>
          <cell r="T135" t="str">
            <v>No</v>
          </cell>
          <cell r="U135" t="str">
            <v>Se verificará en la informacion que la institucion suba al EVI</v>
          </cell>
        </row>
        <row r="136">
          <cell r="A136">
            <v>708</v>
          </cell>
          <cell r="B136">
            <v>15</v>
          </cell>
          <cell r="C136" t="str">
            <v>ENGATIVÁ</v>
          </cell>
          <cell r="D136" t="str">
            <v>PRIVADO</v>
          </cell>
          <cell r="E136" t="str">
            <v>EPBM</v>
          </cell>
          <cell r="F136" t="str">
            <v>COLEGIO_JOSE_JOAQUIN_VARGAS</v>
          </cell>
          <cell r="G136" t="str">
            <v>COLEGIO_JOSE_JOAQUIN_VARGAS</v>
          </cell>
          <cell r="H136" t="str">
            <v>Autoevaluación Institucional y Pruebas SABER 11</v>
          </cell>
          <cell r="I136" t="str">
            <v>SEGUIMIENTO_Y_SUPERVISIÓN.</v>
          </cell>
          <cell r="J136" t="str">
            <v>Proponer estrategias en la formulación, verificar su elaboración y realizar seguimiento semestral al desarrollo de  las acciones establecidas en los planes de mejoramiento por pruebas SABER 11 de los establecimientos de educación formal.</v>
          </cell>
          <cell r="K136" t="str">
            <v>ANA MARÍA CASAS SANABRIA</v>
          </cell>
          <cell r="L136" t="str">
            <v>JENIFER CATHERINE LEÓN ACOSTA</v>
          </cell>
          <cell r="M136">
            <v>45882</v>
          </cell>
          <cell r="N136">
            <v>45882</v>
          </cell>
          <cell r="O136">
            <v>45882</v>
          </cell>
          <cell r="P136" t="str">
            <v>Visitas de evaluación con fines de seguimiento</v>
          </cell>
          <cell r="Q136" t="str">
            <v>ACTAS J.J. VARGAS.pdf</v>
          </cell>
          <cell r="R136" t="str">
            <v xml:space="preserve">El establecimiento no evidencia haber desarrollado  estrategias basadas en los resultados de las pruebas saber. </v>
          </cell>
          <cell r="S136" t="str">
            <v>se sugiere que apartir de los resultados de pruebas saber 2025, el consejo academico se reuna, analice y establezca estrategias de mejora en las áreas con menor desempeño</v>
          </cell>
          <cell r="T136" t="str">
            <v>Si</v>
          </cell>
          <cell r="U136" t="str">
            <v>Se requirió presentar Plan de Majoramiento con el fin de subsanar la situación actual. El PMI debe ser entregado al ELIV a más tardar el 29 de agosto de 2025</v>
          </cell>
        </row>
        <row r="137">
          <cell r="A137">
            <v>709</v>
          </cell>
          <cell r="B137">
            <v>15</v>
          </cell>
          <cell r="C137" t="str">
            <v>ENGATIVÁ</v>
          </cell>
          <cell r="D137" t="str">
            <v>PRIVADO</v>
          </cell>
          <cell r="E137" t="str">
            <v>EPBM</v>
          </cell>
          <cell r="F137" t="str">
            <v>COLEGIO_JOSE_JOAQUIN_VARGAS</v>
          </cell>
          <cell r="G137" t="str">
            <v>COLEGIO_JOSE_JOAQUIN_VARGAS</v>
          </cell>
          <cell r="H137" t="str">
            <v>Autoevaluación Institucional y Pruebas SABER 11</v>
          </cell>
          <cell r="I137" t="str">
            <v>SEGUIMIENTO_Y_SUPERVISIÓN.</v>
          </cell>
          <cell r="J137" t="str">
            <v xml:space="preserve">Verificar la implementación por parte de los colegios, de acciones realizadas para la prevención y atención de las situaciones de convivencia en el entorno escolar, según lo establecido en la Directiva 01 de 2022 del MEN. </v>
          </cell>
          <cell r="K137" t="str">
            <v>ANA MARÍA CASAS SANABRIA</v>
          </cell>
          <cell r="L137" t="str">
            <v>JENIFER CATHERINE LEÓN ACOSTA</v>
          </cell>
          <cell r="M137">
            <v>45882</v>
          </cell>
          <cell r="N137">
            <v>45882</v>
          </cell>
          <cell r="O137">
            <v>45882</v>
          </cell>
          <cell r="P137" t="str">
            <v>Visitas de evaluación con fines de seguimiento</v>
          </cell>
          <cell r="Q137" t="str">
            <v>ACTAS J.J. VARGAS.pdf</v>
          </cell>
          <cell r="R137" t="str">
            <v xml:space="preserve">La institucion no evidencia realizar la verificacion e implementación, de acciones realizadas para la prevención y atención de las situaciones de convivencia en el entorno escolar, según lo establecido en la Directiva 01 de 2022 del MEN. </v>
          </cell>
          <cell r="S137" t="str">
            <v>se sugiere hacer la verificación de antecedentes de delitos sexuales cada 4 meses para todo el pesonal de la institucion, Además de revisar las actividades presentadas en la Directiva</v>
          </cell>
          <cell r="T137" t="str">
            <v>Si</v>
          </cell>
          <cell r="U137" t="str">
            <v>Se requirió presentar Plan de Majoramiento con el fin de subsanar la situación actual. El PMI debe ser entregado al ELIV a más tardar el 29 de agosto de 2025</v>
          </cell>
        </row>
        <row r="138">
          <cell r="A138">
            <v>710</v>
          </cell>
          <cell r="B138">
            <v>15</v>
          </cell>
          <cell r="C138" t="str">
            <v>ENGATIVÁ</v>
          </cell>
          <cell r="D138" t="str">
            <v>PRIVADO</v>
          </cell>
          <cell r="E138" t="str">
            <v>EPBM</v>
          </cell>
          <cell r="F138" t="str">
            <v>COLEGIO_JOSE_JOAQUIN_VARGAS</v>
          </cell>
          <cell r="G138" t="str">
            <v>COLEGIO_JOSE_JOAQUIN_VARGAS</v>
          </cell>
          <cell r="H138" t="str">
            <v>Autoevaluación Institucional y Pruebas SABER 11</v>
          </cell>
          <cell r="I138" t="str">
            <v>SEGUIMIENTO_Y_SUPERVISIÓN.</v>
          </cell>
          <cell r="J13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8" t="str">
            <v>ANA MARÍA CASAS SANABRIA</v>
          </cell>
          <cell r="L138" t="str">
            <v>JENIFER CATHERINE LEÓN ACOSTA</v>
          </cell>
          <cell r="M138">
            <v>45882</v>
          </cell>
          <cell r="N138">
            <v>45882</v>
          </cell>
          <cell r="O138">
            <v>45882</v>
          </cell>
          <cell r="P138" t="str">
            <v>Visitas de evaluación con fines de seguimiento</v>
          </cell>
          <cell r="Q138" t="str">
            <v>ACTAS J.J. VARGAS.pdf</v>
          </cell>
          <cell r="R138" t="str">
            <v>La institución no evidencia la  actualización y desarrollo de los Planes Individuales de Ajustes Razonables -PIAR. del unico estudiante con Discapacidad matriculado</v>
          </cell>
          <cell r="S138" t="str">
            <v>se solicita actualizar el PIAR del estudiante y hacerlo firmar por los padres de familia</v>
          </cell>
          <cell r="T138" t="str">
            <v>Si</v>
          </cell>
          <cell r="U138" t="str">
            <v>Se requirió presentar Plan de Majoramiento con el fin de subsanar la situación actual. El PMI debe ser entregado al ELIV a más tardar el 29 de agosto de 2025</v>
          </cell>
        </row>
        <row r="139">
          <cell r="A139">
            <v>711</v>
          </cell>
          <cell r="B139">
            <v>15</v>
          </cell>
          <cell r="C139" t="str">
            <v>ENGATIVÁ</v>
          </cell>
          <cell r="D139" t="str">
            <v>PRIVADO</v>
          </cell>
          <cell r="E139" t="str">
            <v>EPBM</v>
          </cell>
          <cell r="F139" t="str">
            <v>COLEGIO_JOSE_JOAQUIN_VARGAS</v>
          </cell>
          <cell r="G139" t="str">
            <v>COLEGIO_JOSE_JOAQUIN_VARGAS</v>
          </cell>
          <cell r="H139" t="str">
            <v>Autoevaluación Institucional y Pruebas SABER 11</v>
          </cell>
          <cell r="I139" t="str">
            <v>EVALUACIÓN_CON_FINES_DE_MEJORAMIENTO.</v>
          </cell>
          <cell r="J13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9" t="str">
            <v>ANA MARÍA CASAS SANABRIA</v>
          </cell>
          <cell r="L139" t="str">
            <v>JENIFER CATHERINE LEÓN ACOSTA</v>
          </cell>
          <cell r="M139">
            <v>45882</v>
          </cell>
          <cell r="N139">
            <v>45882</v>
          </cell>
          <cell r="O139">
            <v>45882</v>
          </cell>
          <cell r="P139" t="str">
            <v>Visitas de evaluación con fines de mejoramiento</v>
          </cell>
          <cell r="Q139" t="str">
            <v>ACTAS J.J. VARGAS.pdf</v>
          </cell>
          <cell r="R139" t="str">
            <v>La institucion no evidencia el proceso de actualización y socialización del manual de conviencia.</v>
          </cell>
          <cell r="S139" t="str">
            <v xml:space="preserve">Se solicita realizar el proceso de construccion del Manual  con los miembros de la comunidad educativa, registrarlo. aprobarlo y socializarlo </v>
          </cell>
          <cell r="T139" t="str">
            <v>Si</v>
          </cell>
          <cell r="U139" t="str">
            <v>Se requirió presentar Plan de Majoramiento con el fin de subsanar la situación actual. El PMI debe ser entregado al ELIV a más tardar el 29 de agosto de 2025</v>
          </cell>
        </row>
        <row r="140">
          <cell r="A140">
            <v>712</v>
          </cell>
          <cell r="B140">
            <v>15</v>
          </cell>
          <cell r="C140" t="str">
            <v>ENGATIVÁ</v>
          </cell>
          <cell r="D140" t="str">
            <v>PRIVADO</v>
          </cell>
          <cell r="E140" t="str">
            <v>EPBM</v>
          </cell>
          <cell r="F140" t="str">
            <v>COLEGIO_JOSE_JOAQUIN_VARGAS</v>
          </cell>
          <cell r="G140" t="str">
            <v>COLEGIO_JOSE_JOAQUIN_VARGAS</v>
          </cell>
          <cell r="H140" t="str">
            <v>Autoevaluación Institucional y Pruebas SABER 11</v>
          </cell>
          <cell r="I140" t="str">
            <v>EVALUACIÓN_CON_FINES_DE_MEJORAMIENTO.</v>
          </cell>
          <cell r="J140" t="str">
            <v>Revisar la actualización, socialización e implementación del Sistema Institucional de Evaluación de Estudiantes - SIEE, en articulación con la actualización del PEI y la normatividad vigente.</v>
          </cell>
          <cell r="K140" t="str">
            <v>ANA MARÍA CASAS SANABRIA</v>
          </cell>
          <cell r="L140" t="str">
            <v>JENIFER CATHERINE LEÓN ACOSTA</v>
          </cell>
          <cell r="M140">
            <v>45882</v>
          </cell>
          <cell r="N140">
            <v>45882</v>
          </cell>
          <cell r="O140">
            <v>45882</v>
          </cell>
          <cell r="P140" t="str">
            <v>Visitas de evaluación con fines de mejoramiento</v>
          </cell>
          <cell r="Q140" t="str">
            <v>ACTAS J.J. VARGAS.pdf</v>
          </cell>
          <cell r="R140" t="str">
            <v>La institucion no evidencia el proceso de actualización y socialización del manual de conviencia.</v>
          </cell>
          <cell r="S140" t="str">
            <v xml:space="preserve">Se solicita realizar el proceso de construccion del SIEcon los miembros de la comunidad educativa, registrarlo. aprobarlo y socializarlo </v>
          </cell>
          <cell r="T140" t="str">
            <v>Si</v>
          </cell>
          <cell r="U140" t="str">
            <v>Se requirió presentar Plan de Majoramiento con el fin de subsanar la situación actual. El PMI debe ser entregado al ELIV a más tardar el 29 de agosto de 2025</v>
          </cell>
        </row>
        <row r="141">
          <cell r="A141">
            <v>713</v>
          </cell>
          <cell r="B141">
            <v>15</v>
          </cell>
          <cell r="C141" t="str">
            <v>ENGATIVÁ</v>
          </cell>
          <cell r="D141" t="str">
            <v>PRIVADO</v>
          </cell>
          <cell r="E141" t="str">
            <v>EPBM</v>
          </cell>
          <cell r="F141" t="str">
            <v>COLEGIO_JOSE_JOAQUIN_VARGAS</v>
          </cell>
          <cell r="G141" t="str">
            <v>COLEGIO_JOSE_JOAQUIN_VARGAS</v>
          </cell>
          <cell r="H141" t="str">
            <v>Autoevaluación Institucional y Pruebas SABER 11</v>
          </cell>
          <cell r="I141" t="str">
            <v>EVALUACIÓN_CON_FINES_DE_MEJORAMIENTO.</v>
          </cell>
          <cell r="J141" t="str">
            <v>Revisar el calendario escolar, jornada escolar, la intensidad horaria mínima anual en cada nivel y las modificaciones que se realicen al mismo, de acuerdo con lo previsto en la normatividad vigente.</v>
          </cell>
          <cell r="K141" t="str">
            <v>ANA MARÍA CASAS SANABRIA</v>
          </cell>
          <cell r="L141" t="str">
            <v>JENIFER CATHERINE LEÓN ACOSTA</v>
          </cell>
          <cell r="M141">
            <v>45882</v>
          </cell>
          <cell r="N141">
            <v>45882</v>
          </cell>
          <cell r="O141">
            <v>45882</v>
          </cell>
          <cell r="P141" t="str">
            <v>Visitas de evaluación con fines de mejoramiento</v>
          </cell>
          <cell r="Q141" t="str">
            <v>ACTAS J.J. VARGAS.pdf</v>
          </cell>
          <cell r="R141" t="str">
            <v xml:space="preserve">Se revisa en el calendario escolar  horario de clases y docentes el cumplimiento de la intensidad horaria </v>
          </cell>
          <cell r="S141" t="str">
            <v>El colegio cumple la intensidad horaria establecida por nivel según normativa vigente</v>
          </cell>
          <cell r="T141" t="str">
            <v>No</v>
          </cell>
          <cell r="U141" t="str">
            <v>Se verificará en proximas visitas</v>
          </cell>
        </row>
        <row r="142">
          <cell r="A142">
            <v>714</v>
          </cell>
          <cell r="B142">
            <v>15</v>
          </cell>
          <cell r="C142" t="str">
            <v>ENGATIVÁ</v>
          </cell>
          <cell r="D142" t="str">
            <v>PRIVADO</v>
          </cell>
          <cell r="E142" t="str">
            <v>EPBM</v>
          </cell>
          <cell r="F142" t="str">
            <v>COLEGIO_JOSE_JOAQUIN_VARGAS</v>
          </cell>
          <cell r="G142" t="str">
            <v>COLEGIO_JOSE_JOAQUIN_VARGAS</v>
          </cell>
          <cell r="H142" t="str">
            <v>Autoevaluación Institucional y Pruebas SABER 11</v>
          </cell>
          <cell r="I142" t="str">
            <v>EVALUACIÓN_CON_FINES_DE_MEJORAMIENTO.</v>
          </cell>
          <cell r="J142" t="str">
            <v>Verificar el funcionamiento del Gobierno Escolar e instancias de participación con base en la información sobre conformación reportada por la institución educativa.</v>
          </cell>
          <cell r="K142" t="str">
            <v>ANA MARÍA CASAS SANABRIA</v>
          </cell>
          <cell r="L142" t="str">
            <v>JENIFER CATHERINE LEÓN ACOSTA</v>
          </cell>
          <cell r="M142">
            <v>45882</v>
          </cell>
          <cell r="N142">
            <v>45882</v>
          </cell>
          <cell r="O142">
            <v>45882</v>
          </cell>
          <cell r="P142" t="str">
            <v>Visitas de evaluación con fines de mejoramiento</v>
          </cell>
          <cell r="Q142" t="str">
            <v>ACTAS J.J. VARGAS.pdf</v>
          </cell>
          <cell r="R142" t="str">
            <v>La insitucion no evidencia el funcionamiento normativo de las instancias de gobierno escolar.</v>
          </cell>
          <cell r="S142" t="str">
            <v xml:space="preserve"> Se indica que debe quedar registrada la conformacion de los estamentos del gobierno escolar, con sus funciones y plna de trabajo para el año</v>
          </cell>
          <cell r="T142" t="str">
            <v>Si</v>
          </cell>
          <cell r="U142" t="str">
            <v>Se requirió presentar Plan de Majoramiento con el fin de subsanar la situación actual. El PMI debe ser entregado al ELIV a más tardar el 29 de agosto de 2025</v>
          </cell>
        </row>
        <row r="143">
          <cell r="A143">
            <v>715</v>
          </cell>
          <cell r="B143">
            <v>15</v>
          </cell>
          <cell r="C143" t="str">
            <v>ENGATIVÁ</v>
          </cell>
          <cell r="D143" t="str">
            <v>PRIVADO</v>
          </cell>
          <cell r="E143" t="str">
            <v>EPBM</v>
          </cell>
          <cell r="F143" t="str">
            <v>COLEGIO_JOSE_JOAQUIN_VARGAS</v>
          </cell>
          <cell r="G143" t="str">
            <v>COLEGIO_JOSE_JOAQUIN_VARGAS</v>
          </cell>
          <cell r="H143" t="str">
            <v>Autoevaluación Institucional y Pruebas SABER 11</v>
          </cell>
          <cell r="I143" t="str">
            <v>EVALUACIÓN_CON_FINES_DE_MEJORAMIENTO.</v>
          </cell>
          <cell r="J143" t="str">
            <v>Verificar las condiciones en cuanto a: la estructura administrativa, condiciones de la planta física y medios educativos adecuados.</v>
          </cell>
          <cell r="K143" t="str">
            <v>ANA MARÍA CASAS SANABRIA</v>
          </cell>
          <cell r="L143" t="str">
            <v>JENIFER CATHERINE LEÓN ACOSTA</v>
          </cell>
          <cell r="M143">
            <v>45882</v>
          </cell>
          <cell r="N143">
            <v>45882</v>
          </cell>
          <cell r="O143">
            <v>45882</v>
          </cell>
          <cell r="P143" t="str">
            <v>Visitas de evaluación con fines de mejoramiento</v>
          </cell>
          <cell r="Q143" t="str">
            <v>ACTAS J.J. VARGAS.pdf</v>
          </cell>
          <cell r="R143" t="str">
            <v xml:space="preserve">Se evidencia que los espacios administrativos son suficientes para las funciones que se deben desarrollar.  </v>
          </cell>
          <cell r="S143" t="str">
            <v xml:space="preserve">Se recomienda ampliar la capacidad de la sala de sistemas, ya que cuenta con pocos computadores respecto a la cantidad de estudaintes </v>
          </cell>
          <cell r="T143" t="str">
            <v>No</v>
          </cell>
          <cell r="U143"/>
        </row>
        <row r="144">
          <cell r="A144">
            <v>716</v>
          </cell>
          <cell r="B144">
            <v>16</v>
          </cell>
          <cell r="C144" t="str">
            <v>ENGATIVÁ</v>
          </cell>
          <cell r="D144" t="str">
            <v>PRIVADO</v>
          </cell>
          <cell r="E144" t="str">
            <v>EPBM</v>
          </cell>
          <cell r="F144" t="str">
            <v>COLEGIO_MAYOR_DE_ENGATIVA</v>
          </cell>
          <cell r="G144" t="str">
            <v>COLEGIO_MAYOR_DE_ENGATIVA</v>
          </cell>
          <cell r="H144" t="str">
            <v>Autoevaluación Institucional y Pruebas SABER 11</v>
          </cell>
          <cell r="I144" t="str">
            <v>SEGUIMIENTO_Y_SUPERVISIÓN.</v>
          </cell>
          <cell r="J144" t="str">
            <v>Realizar visitas para verificar la información registrada sobre la autoevaluación institucional en el aplicativo EVI, a los establecimientos de educación formal no oficial.</v>
          </cell>
          <cell r="K144" t="str">
            <v>MÓNICA JANNETH RAMÍREZ MORENO</v>
          </cell>
          <cell r="L144" t="str">
            <v>ANA MARÍA CASAS SANABRIA</v>
          </cell>
          <cell r="M144">
            <v>45814</v>
          </cell>
          <cell r="N144">
            <v>45814</v>
          </cell>
          <cell r="O144">
            <v>45814</v>
          </cell>
          <cell r="P144" t="str">
            <v>Visitas de evaluación con fines de seguimiento</v>
          </cell>
          <cell r="Q144" t="str">
            <v>20250605ColmayEngat.pdf</v>
          </cell>
          <cell r="R144" t="str">
            <v xml:space="preserve">Se realizó verificacion de los ambientes de aprendizaje, medios educativos y espacios administrativos, lúdicos, recreativos y culturales reportados y el registro de la matricula en SIMAT encontrando diferencias  </v>
          </cell>
          <cell r="S144" t="str">
            <v>Revisar la capacidad de las aulas, disponer espacio para coordinaciones, registrar novedades encontradas en SIMAT y solicitar autorización para uso del parque</v>
          </cell>
          <cell r="T144" t="str">
            <v>Si</v>
          </cell>
          <cell r="U144" t="str">
            <v>Presentar un plan de mejoramiento que de cuenta de las actividades a realizar para subsanar las observaciones, el cual debe allegar a má tardar el 20 de junio de 2025, para ser revisado y aprobado</v>
          </cell>
        </row>
        <row r="145">
          <cell r="A145">
            <v>717</v>
          </cell>
          <cell r="B145">
            <v>16</v>
          </cell>
          <cell r="C145" t="str">
            <v>ENGATIVÁ</v>
          </cell>
          <cell r="D145" t="str">
            <v>PRIVADO</v>
          </cell>
          <cell r="E145" t="str">
            <v>EPBM</v>
          </cell>
          <cell r="F145" t="str">
            <v>COLEGIO_MAYOR_DE_ENGATIVA</v>
          </cell>
          <cell r="G145" t="str">
            <v>COLEGIO_MAYOR_DE_ENGATIVA</v>
          </cell>
          <cell r="H145" t="str">
            <v>Autoevaluación Institucional y Pruebas SABER 11</v>
          </cell>
          <cell r="I145" t="str">
            <v>SEGUIMIENTO_Y_SUPERVISIÓN.</v>
          </cell>
          <cell r="J145" t="str">
            <v>Proponer estrategias en la formulación, verificar su elaboración y realizar seguimiento semestral al desarrollo de  las acciones establecidas en los planes de mejoramiento por pruebas SABER 11 de los establecimientos de educación formal.</v>
          </cell>
          <cell r="K145" t="str">
            <v>MÓNICA JANNETH RAMÍREZ MORENO</v>
          </cell>
          <cell r="L145" t="str">
            <v>ANA MARÍA CASAS SANABRIA</v>
          </cell>
          <cell r="M145">
            <v>45814</v>
          </cell>
          <cell r="N145">
            <v>45814</v>
          </cell>
          <cell r="O145">
            <v>45814</v>
          </cell>
          <cell r="P145" t="str">
            <v>Visitas de evaluación con fines de seguimiento</v>
          </cell>
          <cell r="Q145" t="str">
            <v>20250605ColmayEngat.pdf</v>
          </cell>
          <cell r="R145" t="str">
            <v>El colegio se encuentra clasificado según los resultados de las pruebas saber 2024 en categoria B y en visita presenta un plan de mejoramiento donde establece diagnóstico genera, estrategias metodologicas y evaluacion del proceso por areas</v>
          </cell>
          <cell r="S145" t="str">
            <v>Presentar PMI y una propuesta de actualización curricular al Consejo académico y fortalecerlo con un cronograma de actividaes, fechas, temáticas y resultados concretos</v>
          </cell>
          <cell r="T145" t="str">
            <v>Si</v>
          </cell>
          <cell r="U145" t="str">
            <v>Presentar un plan de mejoramiento que de cuenta de las actividades a realizar para subsanar las observaciones, el cual debe allegar a má tardar el 20 de junio de 2025, para ser revisado y aprobado</v>
          </cell>
        </row>
        <row r="146">
          <cell r="A146">
            <v>718</v>
          </cell>
          <cell r="B146">
            <v>16</v>
          </cell>
          <cell r="C146" t="str">
            <v>ENGATIVÁ</v>
          </cell>
          <cell r="D146" t="str">
            <v>PRIVADO</v>
          </cell>
          <cell r="E146" t="str">
            <v>EPBM</v>
          </cell>
          <cell r="F146" t="str">
            <v>COLEGIO_MAYOR_DE_ENGATIVA</v>
          </cell>
          <cell r="G146" t="str">
            <v>COLEGIO_MAYOR_DE_ENGATIVA</v>
          </cell>
          <cell r="H146" t="str">
            <v>Autoevaluación Institucional y Pruebas SABER 11</v>
          </cell>
          <cell r="I146" t="str">
            <v>SEGUIMIENTO_Y_SUPERVISIÓN.</v>
          </cell>
          <cell r="J146" t="str">
            <v xml:space="preserve">Verificar la implementación por parte de los colegios, de acciones realizadas para la prevención y atención de las situaciones de convivencia en el entorno escolar, según lo establecido en la Directiva 01 de 2022 del MEN. </v>
          </cell>
          <cell r="K146" t="str">
            <v>MÓNICA JANNETH RAMÍREZ MORENO</v>
          </cell>
          <cell r="L146" t="str">
            <v>ANA MARÍA CASAS SANABRIA</v>
          </cell>
          <cell r="M146">
            <v>45814</v>
          </cell>
          <cell r="N146">
            <v>45814</v>
          </cell>
          <cell r="O146">
            <v>45814</v>
          </cell>
          <cell r="P146" t="str">
            <v>Visitas de evaluación con fines de seguimiento</v>
          </cell>
          <cell r="Q146" t="str">
            <v>20250605ColmayEngat.pdf</v>
          </cell>
          <cell r="R146" t="str">
            <v>No se realiza la verificación de antecedentes de las personas que laboran allí, solamente se encontraron 3 carpetas con antecedentes disciplinarios de 2025</v>
          </cell>
          <cell r="S146" t="str">
            <v>Realizar la verificación de antecedentes disciplinarios y de inhabilidades al momento de la contratación y posteriormente cada 4 meses</v>
          </cell>
          <cell r="T146" t="str">
            <v>Si</v>
          </cell>
          <cell r="U146" t="str">
            <v>Presentar un plan de mejoramiento que de cuenta de las actividades a realizar para subsanar las observaciones, el cual debe allegar a má tardar el 20 de junio de 2025, para ser revisado y aprobado</v>
          </cell>
        </row>
        <row r="147">
          <cell r="A147">
            <v>719</v>
          </cell>
          <cell r="B147">
            <v>16</v>
          </cell>
          <cell r="C147" t="str">
            <v>ENGATIVÁ</v>
          </cell>
          <cell r="D147" t="str">
            <v>PRIVADO</v>
          </cell>
          <cell r="E147" t="str">
            <v>EPBM</v>
          </cell>
          <cell r="F147" t="str">
            <v>COLEGIO_MAYOR_DE_ENGATIVA</v>
          </cell>
          <cell r="G147" t="str">
            <v>COLEGIO_MAYOR_DE_ENGATIVA</v>
          </cell>
          <cell r="H147" t="str">
            <v>Autoevaluación Institucional y Pruebas SABER 11</v>
          </cell>
          <cell r="I147" t="str">
            <v>SEGUIMIENTO_Y_SUPERVISIÓN.</v>
          </cell>
          <cell r="J1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7" t="str">
            <v>MÓNICA JANNETH RAMÍREZ MORENO</v>
          </cell>
          <cell r="L147" t="str">
            <v>ANA MARÍA CASAS SANABRIA</v>
          </cell>
          <cell r="M147">
            <v>45814</v>
          </cell>
          <cell r="N147">
            <v>45814</v>
          </cell>
          <cell r="O147">
            <v>45814</v>
          </cell>
          <cell r="P147" t="str">
            <v>Visitas de evaluación con fines de seguimiento</v>
          </cell>
          <cell r="Q147" t="str">
            <v>20250605ColmayEngat.pdf</v>
          </cell>
          <cell r="R147" t="str">
            <v>Actualmente tiene 1 solo estudiante diagnosticado con discapacidad y presenta el documento PIAR diligenciado aunque sin firmas de los padres de familia</v>
          </cell>
          <cell r="S147" t="str">
            <v xml:space="preserve">El PIAR diseñado debe estar debidamente suscrito por los padres y los docentes, de la cual se debe entregar copia a los padres. </v>
          </cell>
          <cell r="T147" t="str">
            <v>Si</v>
          </cell>
          <cell r="U147" t="str">
            <v>Presentar un plan de mejoramiento que de cuenta de las actividades a realizar para subsanar las observaciones, el cual debe allegar a má tardar el 20 de junio de 2025, para ser revisado y aprobado</v>
          </cell>
        </row>
        <row r="148">
          <cell r="A148">
            <v>720</v>
          </cell>
          <cell r="B148">
            <v>16</v>
          </cell>
          <cell r="C148" t="str">
            <v>ENGATIVÁ</v>
          </cell>
          <cell r="D148" t="str">
            <v>PRIVADO</v>
          </cell>
          <cell r="E148" t="str">
            <v>EPBM</v>
          </cell>
          <cell r="F148" t="str">
            <v>COLEGIO_MAYOR_DE_ENGATIVA</v>
          </cell>
          <cell r="G148" t="str">
            <v>COLEGIO_MAYOR_DE_ENGATIVA</v>
          </cell>
          <cell r="H148" t="str">
            <v>Autoevaluación Institucional y Pruebas SABER 11</v>
          </cell>
          <cell r="I148" t="str">
            <v>EVALUACIÓN_CON_FINES_DE_MEJORAMIENTO.</v>
          </cell>
          <cell r="J1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8" t="str">
            <v>MÓNICA JANNETH RAMÍREZ MORENO</v>
          </cell>
          <cell r="L148" t="str">
            <v>ANA MARÍA CASAS SANABRIA</v>
          </cell>
          <cell r="M148">
            <v>45814</v>
          </cell>
          <cell r="N148">
            <v>45814</v>
          </cell>
          <cell r="O148">
            <v>45814</v>
          </cell>
          <cell r="P148" t="str">
            <v>Visitas de evaluación con fines de mejoramiento</v>
          </cell>
          <cell r="Q148" t="str">
            <v>20250605ColmayEngat.pdf</v>
          </cell>
          <cell r="R148" t="str">
            <v>La actualización del manual se realiza cada dos años y no hay evidencia de participación de estudiantes y padres de familia. Contemplan la ruta de atencion integral y los protocolos, sin embargo, no estan actualizados</v>
          </cell>
          <cell r="S148" t="str">
            <v>Actualizar el Manual de convivencia teniendo en cuenta las observaciones realizadas de participación de comunidad educativa, rutas de atención y los protocolos, el proceso de admisión y matrícula</v>
          </cell>
          <cell r="T148" t="str">
            <v>Si</v>
          </cell>
          <cell r="U148" t="str">
            <v>Presentar un plan de mejoramiento que de cuenta de las actividades a realizar para subsanar las observaciones, el cual debe allegar a má tardar el 20 de junio de 2025, para ser revisado y aprobado</v>
          </cell>
        </row>
        <row r="149">
          <cell r="A149">
            <v>721</v>
          </cell>
          <cell r="B149">
            <v>16</v>
          </cell>
          <cell r="C149" t="str">
            <v>ENGATIVÁ</v>
          </cell>
          <cell r="D149" t="str">
            <v>PRIVADO</v>
          </cell>
          <cell r="E149" t="str">
            <v>EPBM</v>
          </cell>
          <cell r="F149" t="str">
            <v>COLEGIO_MAYOR_DE_ENGATIVA</v>
          </cell>
          <cell r="G149" t="str">
            <v>COLEGIO_MAYOR_DE_ENGATIVA</v>
          </cell>
          <cell r="H149" t="str">
            <v>Autoevaluación Institucional y Pruebas SABER 11</v>
          </cell>
          <cell r="I149" t="str">
            <v>EVALUACIÓN_CON_FINES_DE_MEJORAMIENTO.</v>
          </cell>
          <cell r="J149" t="str">
            <v>Revisar la actualización, socialización e implementación del Sistema Institucional de Evaluación de Estudiantes - SIEE, en articulación con la actualización del PEI y la normatividad vigente.</v>
          </cell>
          <cell r="K149" t="str">
            <v>MÓNICA JANNETH RAMÍREZ MORENO</v>
          </cell>
          <cell r="L149" t="str">
            <v>ANA MARÍA CASAS SANABRIA</v>
          </cell>
          <cell r="M149">
            <v>45814</v>
          </cell>
          <cell r="N149">
            <v>45814</v>
          </cell>
          <cell r="O149">
            <v>45814</v>
          </cell>
          <cell r="P149" t="str">
            <v>Visitas de evaluación con fines de mejoramiento</v>
          </cell>
          <cell r="Q149" t="str">
            <v>20250605ColmayEngat.pdf</v>
          </cell>
          <cell r="R149" t="str">
            <v>El colegio cuenta con in SIEE socializado con padres de familia  través de pagina web, realizan un corte en cada periodo escolar para preinformar el desempeño de los estudiantes</v>
          </cell>
          <cell r="S149" t="str">
            <v xml:space="preserve">Registrar en el SIEE el procedimiento de verificación de asistencia y genetar estrategias de atención para casos especiales y la estrategia de refuerzo escolar </v>
          </cell>
          <cell r="T149" t="str">
            <v>Si</v>
          </cell>
          <cell r="U149" t="str">
            <v>Presentar un plan de mejoramiento que de cuenta de las actividades a realizar para subsanar las observaciones, el cual debe allegar a má tardar el 20 de junio de 2025, para ser revisado y aprobado</v>
          </cell>
        </row>
        <row r="150">
          <cell r="A150">
            <v>722</v>
          </cell>
          <cell r="B150">
            <v>16</v>
          </cell>
          <cell r="C150" t="str">
            <v>ENGATIVÁ</v>
          </cell>
          <cell r="D150" t="str">
            <v>PRIVADO</v>
          </cell>
          <cell r="E150" t="str">
            <v>EPBM</v>
          </cell>
          <cell r="F150" t="str">
            <v>COLEGIO_MAYOR_DE_ENGATIVA</v>
          </cell>
          <cell r="G150" t="str">
            <v>COLEGIO_MAYOR_DE_ENGATIVA</v>
          </cell>
          <cell r="H150" t="str">
            <v>Autoevaluación Institucional y Pruebas SABER 11</v>
          </cell>
          <cell r="I150" t="str">
            <v>EVALUACIÓN_CON_FINES_DE_MEJORAMIENTO.</v>
          </cell>
          <cell r="J150" t="str">
            <v>Revisar el calendario escolar, jornada escolar, la intensidad horaria mínima anual en cada nivel y las modificaciones que se realicen al mismo, de acuerdo con lo previsto en la normatividad vigente.</v>
          </cell>
          <cell r="K150" t="str">
            <v>MÓNICA JANNETH RAMÍREZ MORENO</v>
          </cell>
          <cell r="L150" t="str">
            <v>ANA MARÍA CASAS SANABRIA</v>
          </cell>
          <cell r="M150">
            <v>45814</v>
          </cell>
          <cell r="N150">
            <v>45814</v>
          </cell>
          <cell r="O150">
            <v>45814</v>
          </cell>
          <cell r="P150" t="str">
            <v>Visitas de evaluación con fines de mejoramiento</v>
          </cell>
          <cell r="Q150" t="str">
            <v>20250605ColmayEngat.pdf</v>
          </cell>
          <cell r="R150" t="str">
            <v xml:space="preserve">El colegio tiene las intensidades minimas así: preescolar se  950 horas, Primaria: 1140 horas, secundaria y media: 1266 horas, </v>
          </cell>
          <cell r="S150" t="str">
            <v>Se cumple con la intensidad minima legal vigente para cada nivel ofrecido</v>
          </cell>
          <cell r="T150" t="str">
            <v>No</v>
          </cell>
          <cell r="U150" t="str">
            <v>Se verificará cumplimiento del calendario académico según lo determinado</v>
          </cell>
        </row>
        <row r="151">
          <cell r="A151">
            <v>723</v>
          </cell>
          <cell r="B151">
            <v>16</v>
          </cell>
          <cell r="C151" t="str">
            <v>ENGATIVÁ</v>
          </cell>
          <cell r="D151" t="str">
            <v>PRIVADO</v>
          </cell>
          <cell r="E151" t="str">
            <v>EPBM</v>
          </cell>
          <cell r="F151" t="str">
            <v>COLEGIO_MAYOR_DE_ENGATIVA</v>
          </cell>
          <cell r="G151" t="str">
            <v>COLEGIO_MAYOR_DE_ENGATIVA</v>
          </cell>
          <cell r="H151" t="str">
            <v>Autoevaluación Institucional y Pruebas SABER 11</v>
          </cell>
          <cell r="I151" t="str">
            <v>EVALUACIÓN_CON_FINES_DE_MEJORAMIENTO.</v>
          </cell>
          <cell r="J151" t="str">
            <v>Verificar el funcionamiento del Gobierno Escolar e instancias de participación con base en la información sobre conformación reportada por la institución educativa.</v>
          </cell>
          <cell r="K151" t="str">
            <v>MÓNICA JANNETH RAMÍREZ MORENO</v>
          </cell>
          <cell r="L151" t="str">
            <v>ANA MARÍA CASAS SANABRIA</v>
          </cell>
          <cell r="M151">
            <v>45814</v>
          </cell>
          <cell r="N151">
            <v>45814</v>
          </cell>
          <cell r="O151">
            <v>45814</v>
          </cell>
          <cell r="P151" t="str">
            <v>Visitas de evaluación con fines de mejoramiento</v>
          </cell>
          <cell r="Q151" t="str">
            <v>20250605ColmayEngat.pdf</v>
          </cell>
          <cell r="R151" t="str">
            <v xml:space="preserve">No se presentaron actas de funcionamiento del Consejo Academico ni otras instancias de participación </v>
          </cell>
          <cell r="S151" t="str">
            <v>Presentar las actas del Consejo Academico, de las comisiones de evaluaciòn, Comite de Convivencia Escolar y demàs instancias de participacion que den cuenta de su funcionamiento. 
Revisar las funciones propias de cada estamento y definir el cronograma de reuniones</v>
          </cell>
          <cell r="T151" t="str">
            <v>Si</v>
          </cell>
          <cell r="U151" t="str">
            <v>Presentar un plan de mejoramiento que de cuenta de las actividades a realizar para subsanar las observaciones, el cual debe allegar a má tardar el 20 de junio de 2025, para ser revisado y aprobado</v>
          </cell>
        </row>
        <row r="152">
          <cell r="A152">
            <v>724</v>
          </cell>
          <cell r="B152">
            <v>16</v>
          </cell>
          <cell r="C152" t="str">
            <v>ENGATIVÁ</v>
          </cell>
          <cell r="D152" t="str">
            <v>PRIVADO</v>
          </cell>
          <cell r="E152" t="str">
            <v>EPBM</v>
          </cell>
          <cell r="F152" t="str">
            <v>COLEGIO_MAYOR_DE_ENGATIVA</v>
          </cell>
          <cell r="G152" t="str">
            <v>COLEGIO_MAYOR_DE_ENGATIVA</v>
          </cell>
          <cell r="H152" t="str">
            <v>Autoevaluación Institucional y Pruebas SABER 11</v>
          </cell>
          <cell r="I152" t="str">
            <v>EVALUACIÓN_CON_FINES_DE_MEJORAMIENTO.</v>
          </cell>
          <cell r="J152" t="str">
            <v>Verificar las condiciones en cuanto a: la estructura administrativa, condiciones de la planta física y medios educativos adecuados.</v>
          </cell>
          <cell r="K152" t="str">
            <v>MÓNICA JANNETH RAMÍREZ MORENO</v>
          </cell>
          <cell r="L152" t="str">
            <v>ANA MARÍA CASAS SANABRIA</v>
          </cell>
          <cell r="M152">
            <v>45814</v>
          </cell>
          <cell r="N152">
            <v>45814</v>
          </cell>
          <cell r="O152">
            <v>45814</v>
          </cell>
          <cell r="P152" t="str">
            <v>Visitas de evaluación con fines de mejoramiento</v>
          </cell>
          <cell r="Q152" t="str">
            <v>20250605ColmayEngat.pdf</v>
          </cell>
          <cell r="R152" t="str">
            <v>Se verificó la estructura física encontrando espacios suficientes para los estudiantes, faltan oficinas para coordinadores, para educación física utilizan el parque del barrio y deben actualizar una parte de mobiliario de estudiantes</v>
          </cell>
          <cell r="S152" t="str">
            <v>Dotar con mobiliario apropiado para los estudiantes teniendo en cuenta las horas que los ocupan
.Solicitar autorizaciòn del uso del parque a la SED, segùn procedimiento establecido en la guia que se envia por correo electronico.
.El ELIV remitirá la guía para obtener autorización para uso de parques del IDFD y la SED</v>
          </cell>
          <cell r="T152" t="str">
            <v>Si</v>
          </cell>
          <cell r="U152" t="str">
            <v>Presentar un plan de mejoramiento que de cuenta de las actividades a realizar para subsanar las observaciones, el cual debe allegar a má tardar el 20 de junio de 2025, para ser revisado y aprobado</v>
          </cell>
        </row>
        <row r="153">
          <cell r="A153">
            <v>725</v>
          </cell>
          <cell r="B153">
            <v>17</v>
          </cell>
          <cell r="C153" t="str">
            <v>ENGATIVÁ</v>
          </cell>
          <cell r="D153" t="str">
            <v>PRIVADO</v>
          </cell>
          <cell r="E153" t="str">
            <v>EPBM</v>
          </cell>
          <cell r="F153" t="str">
            <v>INSTITUTO_HENAO_Y_ARRUBLA</v>
          </cell>
          <cell r="G153" t="str">
            <v>INSTITUTO_HENAO_Y_ARRUBLA</v>
          </cell>
          <cell r="H153" t="str">
            <v>Autoevaluación Institucional y Pruebas SABER 11</v>
          </cell>
          <cell r="I153" t="str">
            <v>SEGUIMIENTO_Y_SUPERVISIÓN.</v>
          </cell>
          <cell r="J153" t="str">
            <v>Realizar visitas para verificar la información registrada sobre la autoevaluación institucional en el aplicativo EVI, a los establecimientos de educación formal no oficial.</v>
          </cell>
          <cell r="K153" t="str">
            <v>MÓNICA JANNETH RAMÍREZ MORENO</v>
          </cell>
          <cell r="L153" t="str">
            <v>LUZ MERY PARRA NOPE</v>
          </cell>
          <cell r="M153">
            <v>45862</v>
          </cell>
          <cell r="N153">
            <v>45863</v>
          </cell>
          <cell r="O153">
            <v>45863</v>
          </cell>
          <cell r="P153" t="str">
            <v>Visitas de evaluación con fines de seguimiento</v>
          </cell>
          <cell r="Q153" t="str">
            <v>20250725VisitaInstHenaoyArrubla.pdf</v>
          </cell>
          <cell r="R153" t="str">
            <v>Se realizó verificacion de los ambientes de aprendizaje, medios educativos y espacios administrativos, lúdicos, recreativos y culturales reportados y el registro de la matricula en SIMAT encontrando que no se ha formalizado el convenio para uso del parque</v>
          </cell>
          <cell r="S153" t="str">
            <v>solicitar autorización para uso del parque y formalizar convenio de ambiente compartido según lo establecido en Resolución1326 de 2023</v>
          </cell>
          <cell r="T153" t="str">
            <v>Si</v>
          </cell>
          <cell r="U153" t="str">
            <v>Presentar un plan de mejoramiento que de cuenta de las actividades a realizar para subsanar las observaciones, el cual debe allegar a má tardar el 8 de agosto de 2025, para ser revisado y aprobado</v>
          </cell>
        </row>
        <row r="154">
          <cell r="A154">
            <v>726</v>
          </cell>
          <cell r="B154">
            <v>17</v>
          </cell>
          <cell r="C154" t="str">
            <v>ENGATIVÁ</v>
          </cell>
          <cell r="D154" t="str">
            <v>PRIVADO</v>
          </cell>
          <cell r="E154" t="str">
            <v>EPBM</v>
          </cell>
          <cell r="F154" t="str">
            <v>INSTITUTO_HENAO_Y_ARRUBLA</v>
          </cell>
          <cell r="G154" t="str">
            <v>INSTITUTO_HENAO_Y_ARRUBLA</v>
          </cell>
          <cell r="H154" t="str">
            <v>Autoevaluación Institucional y Pruebas SABER 11</v>
          </cell>
          <cell r="I154" t="str">
            <v>SEGUIMIENTO_Y_SUPERVISIÓN.</v>
          </cell>
          <cell r="J154" t="str">
            <v>Proponer estrategias en la formulación, verificar su elaboración y realizar seguimiento semestral al desarrollo de  las acciones establecidas en los planes de mejoramiento por pruebas SABER 11 de los establecimientos de educación formal.</v>
          </cell>
          <cell r="K154" t="str">
            <v>MÓNICA JANNETH RAMÍREZ MORENO</v>
          </cell>
          <cell r="L154" t="str">
            <v>LUZ MERY PARRA NOPE</v>
          </cell>
          <cell r="M154">
            <v>45862</v>
          </cell>
          <cell r="N154">
            <v>45863</v>
          </cell>
          <cell r="O154">
            <v>45863</v>
          </cell>
          <cell r="P154" t="str">
            <v>Visitas de evaluación con fines de seguimiento</v>
          </cell>
          <cell r="Q154" t="str">
            <v>20250725VisitaInstHenaoyArrubla.pdf</v>
          </cell>
          <cell r="R154" t="str">
            <v>El colegio se encuentra clasificado según los resultados de las pruebas saber 2024 en categoria A y en visita se evidencia que no hay un plan de mejoramiento para aquellas áreas con resultados bajos</v>
          </cell>
          <cell r="S154" t="str">
            <v>Diseñar un PMI con base en el análisis de los resultados obtenidos en pruebas SABER y actualizar el PEI con las estrategias establecidas</v>
          </cell>
          <cell r="T154" t="str">
            <v>Si</v>
          </cell>
          <cell r="U154" t="str">
            <v>Presentar un plan de mejoramiento que de cuenta de las actividades a realizar para subsanar las observaciones, el cual debe allegar a má tardar el 8 de agosto de 2025, para ser revisado y aprobado</v>
          </cell>
        </row>
        <row r="155">
          <cell r="A155">
            <v>727</v>
          </cell>
          <cell r="B155">
            <v>17</v>
          </cell>
          <cell r="C155" t="str">
            <v>ENGATIVÁ</v>
          </cell>
          <cell r="D155" t="str">
            <v>PRIVADO</v>
          </cell>
          <cell r="E155" t="str">
            <v>EPBM</v>
          </cell>
          <cell r="F155" t="str">
            <v>INSTITUTO_HENAO_Y_ARRUBLA</v>
          </cell>
          <cell r="G155" t="str">
            <v>INSTITUTO_HENAO_Y_ARRUBLA</v>
          </cell>
          <cell r="H155" t="str">
            <v>Autoevaluación Institucional y Pruebas SABER 11</v>
          </cell>
          <cell r="I155" t="str">
            <v>SEGUIMIENTO_Y_SUPERVISIÓN.</v>
          </cell>
          <cell r="J155" t="str">
            <v xml:space="preserve">Verificar la implementación por parte de los colegios, de acciones realizadas para la prevención y atención de las situaciones de convivencia en el entorno escolar, según lo establecido en la Directiva 01 de 2022 del MEN. </v>
          </cell>
          <cell r="K155" t="str">
            <v>MÓNICA JANNETH RAMÍREZ MORENO</v>
          </cell>
          <cell r="L155" t="str">
            <v>LUZ MERY PARRA NOPE</v>
          </cell>
          <cell r="M155">
            <v>45862</v>
          </cell>
          <cell r="N155">
            <v>45863</v>
          </cell>
          <cell r="O155">
            <v>45863</v>
          </cell>
          <cell r="P155" t="str">
            <v>Visitas de evaluación con fines de seguimiento</v>
          </cell>
          <cell r="Q155" t="str">
            <v>20250725VisitaInstHenaoyArrubla.pdf</v>
          </cell>
          <cell r="R155" t="str">
            <v>El colegio realiza la verificación de antecedentes de las personas que laboran allí, para todo el personal, excepto 4 docentes</v>
          </cell>
          <cell r="S155" t="str">
            <v>Realizar la verificación de antecedentes disciplinarios y de inhabilidades al momento de la contratación y posteriormente cada 4 meses a todo el personal contratado y dejar evidencia</v>
          </cell>
          <cell r="T155" t="str">
            <v>Si</v>
          </cell>
          <cell r="U155" t="str">
            <v>Presentar un plan de mejoramiento que de cuenta de las actividades a realizar para subsanar las observaciones, el cual debe allegar a má tardar el 8 de agosto de 2025, para ser revisado y aprobado</v>
          </cell>
        </row>
        <row r="156">
          <cell r="A156">
            <v>728</v>
          </cell>
          <cell r="B156">
            <v>17</v>
          </cell>
          <cell r="C156" t="str">
            <v>ENGATIVÁ</v>
          </cell>
          <cell r="D156" t="str">
            <v>PRIVADO</v>
          </cell>
          <cell r="E156" t="str">
            <v>EPBM</v>
          </cell>
          <cell r="F156" t="str">
            <v>INSTITUTO_HENAO_Y_ARRUBLA</v>
          </cell>
          <cell r="G156" t="str">
            <v>INSTITUTO_HENAO_Y_ARRUBLA</v>
          </cell>
          <cell r="H156" t="str">
            <v>Autoevaluación Institucional y Pruebas SABER 11</v>
          </cell>
          <cell r="I156" t="str">
            <v>SEGUIMIENTO_Y_SUPERVISIÓN.</v>
          </cell>
          <cell r="J15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56" t="str">
            <v>MÓNICA JANNETH RAMÍREZ MORENO</v>
          </cell>
          <cell r="L156" t="str">
            <v>LUZ MERY PARRA NOPE</v>
          </cell>
          <cell r="M156">
            <v>45862</v>
          </cell>
          <cell r="N156">
            <v>45863</v>
          </cell>
          <cell r="O156">
            <v>45863</v>
          </cell>
          <cell r="P156" t="str">
            <v>Visitas de evaluación con fines de seguimiento</v>
          </cell>
          <cell r="Q156" t="str">
            <v>20250725VisitaInstHenaoyArrubla.pdf</v>
          </cell>
          <cell r="R156" t="str">
            <v>Actualmente tiene 5 estudiantes diagnosticados con discapacidad o transtornos de comportamiento y presenta el documento PIAR en medio magnético sin firmas de los padres de familia</v>
          </cell>
          <cell r="S156" t="str">
            <v xml:space="preserve">Los PIAR diseñados debe estar debidamente suscrito por los padres y los docentes, de la cual se debe entregar copia a los padres. </v>
          </cell>
          <cell r="T156" t="str">
            <v>Si</v>
          </cell>
          <cell r="U156" t="str">
            <v>Presentar un plan de mejoramiento que de cuenta de las actividades a realizar para subsanar las observaciones, el cual debe allegar a má tardar el 8 de agosto de 2025, para ser revisado y aprobado</v>
          </cell>
        </row>
        <row r="157">
          <cell r="A157">
            <v>729</v>
          </cell>
          <cell r="B157">
            <v>17</v>
          </cell>
          <cell r="C157" t="str">
            <v>ENGATIVÁ</v>
          </cell>
          <cell r="D157" t="str">
            <v>PRIVADO</v>
          </cell>
          <cell r="E157" t="str">
            <v>EPBM</v>
          </cell>
          <cell r="F157" t="str">
            <v>INSTITUTO_HENAO_Y_ARRUBLA</v>
          </cell>
          <cell r="G157" t="str">
            <v>INSTITUTO_HENAO_Y_ARRUBLA</v>
          </cell>
          <cell r="H157" t="str">
            <v>Autoevaluación Institucional y Pruebas SABER 11</v>
          </cell>
          <cell r="I157" t="str">
            <v>EVALUACIÓN_CON_FINES_DE_MEJORAMIENTO.</v>
          </cell>
          <cell r="J15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7" t="str">
            <v>MÓNICA JANNETH RAMÍREZ MORENO</v>
          </cell>
          <cell r="L157" t="str">
            <v>LUZ MERY PARRA NOPE</v>
          </cell>
          <cell r="M157">
            <v>45862</v>
          </cell>
          <cell r="N157">
            <v>45863</v>
          </cell>
          <cell r="O157">
            <v>45863</v>
          </cell>
          <cell r="P157" t="str">
            <v>Visitas de evaluación con fines de mejoramiento</v>
          </cell>
          <cell r="Q157" t="str">
            <v>20250725VisitaInstHenaoyArrubla.pdf</v>
          </cell>
          <cell r="R157" t="str">
            <v xml:space="preserve">Participan en los las directivas del colegio y los representantes del Consejo Directivo lo aprueban contemplan la ruta de atencion integral y los protocolos. Se tienen diferenciadas las faltas y las situaciones de convivencia. </v>
          </cell>
          <cell r="S157" t="str">
            <v>Se recomienda que las sanciones sean de tipo pedagógico y formativo y establecer los canales de atencion de las PQR en el Manual de Convivencia
Debe ser participativo y contar con todos los estamentos de la comunidad educativa</v>
          </cell>
          <cell r="T157" t="str">
            <v>Si</v>
          </cell>
          <cell r="U157" t="str">
            <v>Presentar un plan de mejoramiento que de cuenta de las actividades a realizar para subsanar las observaciones, el cual debe allegar a má tardar el 8 de agosto de 2025, para ser revisado y aprobado</v>
          </cell>
        </row>
        <row r="158">
          <cell r="A158">
            <v>730</v>
          </cell>
          <cell r="B158">
            <v>17</v>
          </cell>
          <cell r="C158" t="str">
            <v>ENGATIVÁ</v>
          </cell>
          <cell r="D158" t="str">
            <v>PRIVADO</v>
          </cell>
          <cell r="E158" t="str">
            <v>EPBM</v>
          </cell>
          <cell r="F158" t="str">
            <v>INSTITUTO_HENAO_Y_ARRUBLA</v>
          </cell>
          <cell r="G158" t="str">
            <v>INSTITUTO_HENAO_Y_ARRUBLA</v>
          </cell>
          <cell r="H158" t="str">
            <v>Autoevaluación Institucional y Pruebas SABER 11</v>
          </cell>
          <cell r="I158" t="str">
            <v>EVALUACIÓN_CON_FINES_DE_MEJORAMIENTO.</v>
          </cell>
          <cell r="J158" t="str">
            <v>Revisar la actualización, socialización e implementación del Sistema Institucional de Evaluación de Estudiantes - SIEE, en articulación con la actualización del PEI y la normatividad vigente.</v>
          </cell>
          <cell r="K158" t="str">
            <v>MÓNICA JANNETH RAMÍREZ MORENO</v>
          </cell>
          <cell r="L158" t="str">
            <v>LUZ MERY PARRA NOPE</v>
          </cell>
          <cell r="M158">
            <v>45862</v>
          </cell>
          <cell r="N158">
            <v>45863</v>
          </cell>
          <cell r="O158">
            <v>45863</v>
          </cell>
          <cell r="P158" t="str">
            <v>Visitas de evaluación con fines de mejoramiento</v>
          </cell>
          <cell r="Q158" t="str">
            <v>20250725VisitaInstHenaoyArrubla.pdf</v>
          </cell>
          <cell r="R158" t="str">
            <v>El documento vigente pero falta registrar algunas estrategias que implementan para casos de inasistencias y deserción, se realizan nivelaciones para estudiantes que no han alcanzado los logros de forma semestral y de forma extemporanea cuando la situació lo amerita. Hacen cortes academicos cada 4 semanas y se informan resultados a los padres estableciendo niveles a presentar</v>
          </cell>
          <cell r="S158" t="str">
            <v>Registrar en el SIEE las estrategias que implementan para casos de inasistencias y deserción</v>
          </cell>
          <cell r="T158" t="str">
            <v>Si</v>
          </cell>
          <cell r="U158" t="str">
            <v>Presentar un plan de mejoramiento que de cuenta de las actividades a realizar para subsanar las observaciones, el cual debe allegar a má tardar el 8 de agosto de 2025, para ser revisado y aprobado</v>
          </cell>
        </row>
        <row r="159">
          <cell r="A159">
            <v>731</v>
          </cell>
          <cell r="B159">
            <v>17</v>
          </cell>
          <cell r="C159" t="str">
            <v>ENGATIVÁ</v>
          </cell>
          <cell r="D159" t="str">
            <v>PRIVADO</v>
          </cell>
          <cell r="E159" t="str">
            <v>EPBM</v>
          </cell>
          <cell r="F159" t="str">
            <v>INSTITUTO_HENAO_Y_ARRUBLA</v>
          </cell>
          <cell r="G159" t="str">
            <v>INSTITUTO_HENAO_Y_ARRUBLA</v>
          </cell>
          <cell r="H159" t="str">
            <v>Autoevaluación Institucional y Pruebas SABER 11</v>
          </cell>
          <cell r="I159" t="str">
            <v>EVALUACIÓN_CON_FINES_DE_MEJORAMIENTO.</v>
          </cell>
          <cell r="J159" t="str">
            <v>Revisar el calendario escolar, jornada escolar, la intensidad horaria mínima anual en cada nivel y las modificaciones que se realicen al mismo, de acuerdo con lo previsto en la normatividad vigente.</v>
          </cell>
          <cell r="K159" t="str">
            <v>MÓNICA JANNETH RAMÍREZ MORENO</v>
          </cell>
          <cell r="L159" t="str">
            <v>LUZ MERY PARRA NOPE</v>
          </cell>
          <cell r="M159">
            <v>45862</v>
          </cell>
          <cell r="N159">
            <v>45863</v>
          </cell>
          <cell r="O159">
            <v>45863</v>
          </cell>
          <cell r="P159" t="str">
            <v>Visitas de evaluación con fines de mejoramiento</v>
          </cell>
          <cell r="Q159" t="str">
            <v>20250725VisitaInstHenaoyArrubla.pdf</v>
          </cell>
          <cell r="R159" t="str">
            <v xml:space="preserve">El colegio tiene las intensidades minimas de 1282 horas en todos los niveles </v>
          </cell>
          <cell r="S159" t="str">
            <v>Se cumple con la intensidad minima legal vigente para cada nivel ofrecido</v>
          </cell>
          <cell r="T159" t="str">
            <v>No</v>
          </cell>
          <cell r="U159" t="str">
            <v>Se verificará cumplimiento del calendario académico según lo determinado</v>
          </cell>
        </row>
        <row r="160">
          <cell r="A160">
            <v>732</v>
          </cell>
          <cell r="B160">
            <v>17</v>
          </cell>
          <cell r="C160" t="str">
            <v>ENGATIVÁ</v>
          </cell>
          <cell r="D160" t="str">
            <v>PRIVADO</v>
          </cell>
          <cell r="E160" t="str">
            <v>EPBM</v>
          </cell>
          <cell r="F160" t="str">
            <v>INSTITUTO_HENAO_Y_ARRUBLA</v>
          </cell>
          <cell r="G160" t="str">
            <v>INSTITUTO_HENAO_Y_ARRUBLA</v>
          </cell>
          <cell r="H160" t="str">
            <v>Autoevaluación Institucional y Pruebas SABER 11</v>
          </cell>
          <cell r="I160" t="str">
            <v>EVALUACIÓN_CON_FINES_DE_MEJORAMIENTO.</v>
          </cell>
          <cell r="J160" t="str">
            <v>Verificar el funcionamiento del Gobierno Escolar e instancias de participación con base en la información sobre conformación reportada por la institución educativa.</v>
          </cell>
          <cell r="K160" t="str">
            <v>MÓNICA JANNETH RAMÍREZ MORENO</v>
          </cell>
          <cell r="L160" t="str">
            <v>LUZ MERY PARRA NOPE</v>
          </cell>
          <cell r="M160">
            <v>45862</v>
          </cell>
          <cell r="N160">
            <v>45863</v>
          </cell>
          <cell r="O160">
            <v>45863</v>
          </cell>
          <cell r="P160" t="str">
            <v>Visitas de evaluación con fines de mejoramiento</v>
          </cell>
          <cell r="Q160" t="str">
            <v>20250725VisitaInstHenaoyArrubla.pdf</v>
          </cell>
          <cell r="R160" t="str">
            <v>Se evidenció que los órganos del Gobierno Escolar y las instancias de participación no funcionan con la periodicidad que establece la norma</v>
          </cell>
          <cell r="S160" t="str">
            <v>Realizar las reunión del Consejo Directivo cuando corresponden e incentivar el funcionamiento de las instancias de participación según la normativa, deben presentar las actas de los encuentros</v>
          </cell>
          <cell r="T160" t="str">
            <v>Si</v>
          </cell>
          <cell r="U160" t="str">
            <v>Presentar un plan de mejoramiento que de cuenta de las actividades a realizar para subsanar las observaciones, el cual debe allegar a má tardar el 8 de agosto de 2025, para ser revisado y aprobado</v>
          </cell>
        </row>
        <row r="161">
          <cell r="A161">
            <v>733</v>
          </cell>
          <cell r="B161">
            <v>17</v>
          </cell>
          <cell r="C161" t="str">
            <v>ENGATIVÁ</v>
          </cell>
          <cell r="D161" t="str">
            <v>PRIVADO</v>
          </cell>
          <cell r="E161" t="str">
            <v>EPBM</v>
          </cell>
          <cell r="F161" t="str">
            <v>INSTITUTO_HENAO_Y_ARRUBLA</v>
          </cell>
          <cell r="G161" t="str">
            <v>INSTITUTO_HENAO_Y_ARRUBLA</v>
          </cell>
          <cell r="H161" t="str">
            <v>Autoevaluación Institucional y Pruebas SABER 11</v>
          </cell>
          <cell r="I161" t="str">
            <v>EVALUACIÓN_CON_FINES_DE_MEJORAMIENTO.</v>
          </cell>
          <cell r="J161" t="str">
            <v>Verificar las condiciones en cuanto a: la estructura administrativa, condiciones de la planta física y medios educativos adecuados.</v>
          </cell>
          <cell r="K161" t="str">
            <v>MÓNICA JANNETH RAMÍREZ MORENO</v>
          </cell>
          <cell r="L161" t="str">
            <v>LUZ MERY PARRA NOPE</v>
          </cell>
          <cell r="M161">
            <v>45862</v>
          </cell>
          <cell r="N161">
            <v>45863</v>
          </cell>
          <cell r="O161">
            <v>45863</v>
          </cell>
          <cell r="P161" t="str">
            <v>Visitas de evaluación con fines de mejoramiento</v>
          </cell>
          <cell r="Q161" t="str">
            <v>20250725VisitaInstHenaoyArrubla.pdf</v>
          </cell>
          <cell r="R161" t="str">
            <v>Se verificó la estructura física encontrando espacios suficientes para los estudiantes, para educación física utilizan el parque del barrio y no tienen en cuenta accesos y espacios para la atención a estudiantes con discapacidad</v>
          </cell>
          <cell r="S161" t="str">
            <v>.Solicitar autorizaciòn del uso del parque a la SED, segùn procedimiento establecido en la guia que se envia por correo electronico.
.Adecuar espacios para estudiantes con discapacidad</v>
          </cell>
          <cell r="T161" t="str">
            <v>Si</v>
          </cell>
          <cell r="U161" t="str">
            <v>Presentar un plan de mejoramiento que de cuenta de las actividades a realizar para subsanar las observaciones, el cual debe allegar a má tardar el 8 de agosto de 2025, para ser revisado y aprobado</v>
          </cell>
        </row>
        <row r="162">
          <cell r="A162">
            <v>734</v>
          </cell>
          <cell r="B162">
            <v>18</v>
          </cell>
          <cell r="C162" t="str">
            <v>ENGATIVÁ</v>
          </cell>
          <cell r="D162" t="str">
            <v>PRIVADO</v>
          </cell>
          <cell r="E162" t="str">
            <v>EPBM</v>
          </cell>
          <cell r="F162" t="str">
            <v>INSTITUTO_TECNICO_ANGELI</v>
          </cell>
          <cell r="G162" t="str">
            <v>INSTITUTO_TECNICO_ANGELI</v>
          </cell>
          <cell r="H162" t="str">
            <v>Autoevaluación Institucional y Pruebas SABER 11</v>
          </cell>
          <cell r="I162" t="str">
            <v>SEGUIMIENTO_Y_SUPERVISIÓN.</v>
          </cell>
          <cell r="J162" t="str">
            <v>Realizar visitas para verificar la información registrada sobre la autoevaluación institucional en el aplicativo EVI, a los establecimientos de educación formal no oficial.</v>
          </cell>
          <cell r="K162" t="str">
            <v>LUZ MERY PARRA NOPE</v>
          </cell>
          <cell r="L162" t="str">
            <v>JUAN AGUSTÍN RODRÍGUEZ ROZO</v>
          </cell>
          <cell r="M162">
            <v>45873</v>
          </cell>
          <cell r="N162">
            <v>45891</v>
          </cell>
          <cell r="O162">
            <v>45891</v>
          </cell>
          <cell r="P162" t="str">
            <v>Visitas de evaluación con fines de seguimiento</v>
          </cell>
          <cell r="Q162" t="str">
            <v>ACTA DE VISITA INST TECNICO ANGELI 22 DE AGO DE 2025.pdf</v>
          </cell>
          <cell r="R162" t="str">
            <v>Durante el recorrido por la planta física del EE se evidencio los ambientes de aprendizaje, espacios administrativos y espacios recreativos, igualmente se revisa la matricula en SIMAT. En los ambientes compartidos el Colegio no cuenta con el permiso del IDRD para el uso del parque. Por otro lado, se evidencio falta de mantenimiento en los pasamanos de las escaleras, recipientes de almacenamiento de residuos sólidos, instalaciones eléctricas</v>
          </cell>
          <cell r="S162" t="str">
            <v>Tramitar ante el IDRD autorización para uso del parque según lo establecido en Resolución 1326 de 2023. de otra parte, realizar mantenimiento a la planta física de acuerdo con lo encontrado en el recorrido.</v>
          </cell>
          <cell r="T162" t="str">
            <v>SI</v>
          </cell>
          <cell r="U162" t="str">
            <v xml:space="preserve">Presentar un plan de mejoramiento que subsane las observaciones realizadas, el plazo para la radicación de dicho plan es de 10 días hábiles posteriores a la visita. </v>
          </cell>
        </row>
        <row r="163">
          <cell r="A163">
            <v>735</v>
          </cell>
          <cell r="B163">
            <v>18</v>
          </cell>
          <cell r="C163" t="str">
            <v>ENGATIVÁ</v>
          </cell>
          <cell r="D163" t="str">
            <v>PRIVADO</v>
          </cell>
          <cell r="E163" t="str">
            <v>EPBM</v>
          </cell>
          <cell r="F163" t="str">
            <v>INSTITUTO_TECNICO_ANGELI</v>
          </cell>
          <cell r="G163" t="str">
            <v>INSTITUTO_TECNICO_ANGELI</v>
          </cell>
          <cell r="H163" t="str">
            <v>Autoevaluación Institucional y Pruebas SABER 11</v>
          </cell>
          <cell r="I163" t="str">
            <v>SEGUIMIENTO_Y_SUPERVISIÓN.</v>
          </cell>
          <cell r="J163" t="str">
            <v>Proponer estrategias en la formulación, verificar su elaboración y realizar seguimiento semestral al desarrollo de  las acciones establecidas en los planes de mejoramiento por pruebas SABER 11 de los establecimientos de educación formal.</v>
          </cell>
          <cell r="K163" t="str">
            <v>LUZ MERY PARRA NOPE</v>
          </cell>
          <cell r="L163" t="str">
            <v>JUAN AGUSTÍN RODRÍGUEZ ROZO</v>
          </cell>
          <cell r="M163">
            <v>45873</v>
          </cell>
          <cell r="N163">
            <v>45891</v>
          </cell>
          <cell r="O163">
            <v>45891</v>
          </cell>
          <cell r="P163" t="str">
            <v>Visitas de evaluación con fines de seguimiento</v>
          </cell>
          <cell r="Q163" t="str">
            <v>ACTA DE VISITA INST TECNICO ANGELI 22 DE AGO DE 2025.pdf</v>
          </cell>
          <cell r="R163" t="str">
            <v>El EE se encuentra clasificado en las pruebas saber en A, a la fecha no han realizado un plan de acción para mejorar los aprendizajes en las áreas con más bajo desempeño</v>
          </cell>
          <cell r="S163" t="str">
            <v>Realizar la revisión y análisis de los últimos resultados de las pruebas SABER 11. Formular acciones específicas basadas en estos resultados. Implementar acciones para mejorar los aprendizajes de los estudiantes en las áreas del plan de estudio con más bajo desempeño.</v>
          </cell>
          <cell r="T163" t="str">
            <v>SI</v>
          </cell>
          <cell r="U163" t="str">
            <v xml:space="preserve">Presentar un plan de mejoramiento que subsane las observaciones realizadas, el plazo para la radicación de dicho plan es de 10 días hábiles posteriores a la visita. </v>
          </cell>
        </row>
        <row r="164">
          <cell r="A164">
            <v>736</v>
          </cell>
          <cell r="B164">
            <v>18</v>
          </cell>
          <cell r="C164" t="str">
            <v>ENGATIVÁ</v>
          </cell>
          <cell r="D164" t="str">
            <v>PRIVADO</v>
          </cell>
          <cell r="E164" t="str">
            <v>EPBM</v>
          </cell>
          <cell r="F164" t="str">
            <v>INSTITUTO_TECNICO_ANGELI</v>
          </cell>
          <cell r="G164" t="str">
            <v>INSTITUTO_TECNICO_ANGELI</v>
          </cell>
          <cell r="H164" t="str">
            <v>Autoevaluación Institucional y Pruebas SABER 11</v>
          </cell>
          <cell r="I164" t="str">
            <v>SEGUIMIENTO_Y_SUPERVISIÓN.</v>
          </cell>
          <cell r="J164" t="str">
            <v xml:space="preserve">Verificar la implementación por parte de los colegios, de acciones realizadas para la prevención y atención de las situaciones de convivencia en el entorno escolar, según lo establecido en la Directiva 01 de 2022 del MEN. </v>
          </cell>
          <cell r="K164" t="str">
            <v>LUZ MERY PARRA NOPE</v>
          </cell>
          <cell r="L164" t="str">
            <v>JUAN AGUSTÍN RODRÍGUEZ ROZO</v>
          </cell>
          <cell r="M164">
            <v>45873</v>
          </cell>
          <cell r="N164">
            <v>45891</v>
          </cell>
          <cell r="O164">
            <v>45891</v>
          </cell>
          <cell r="P164" t="str">
            <v>Visitas de evaluación con fines de seguimiento</v>
          </cell>
          <cell r="Q164" t="str">
            <v>ACTA DE VISITA INST TECNICO ANGELI 22 DE AGO DE 2025.pdf</v>
          </cell>
          <cell r="R164" t="str">
            <v xml:space="preserve">El EE realiza la activación de rutas y protocolos, de acuerdo con la Ley 1620 de 2013, de igual forma desde orientación escolar se realizan acciones de prevención y promoción. </v>
          </cell>
          <cell r="S164" t="str">
            <v>Continuar realización actividades de prevención y promoción para las situaciones de convivencia escolar.</v>
          </cell>
          <cell r="T164" t="str">
            <v>NO</v>
          </cell>
          <cell r="U164" t="str">
            <v>Se hará verificación en caso de presentar solicitud o queja ciudadana.</v>
          </cell>
        </row>
        <row r="165">
          <cell r="A165">
            <v>737</v>
          </cell>
          <cell r="B165">
            <v>18</v>
          </cell>
          <cell r="C165" t="str">
            <v>ENGATIVÁ</v>
          </cell>
          <cell r="D165" t="str">
            <v>PRIVADO</v>
          </cell>
          <cell r="E165" t="str">
            <v>EPBM</v>
          </cell>
          <cell r="F165" t="str">
            <v>INSTITUTO_TECNICO_ANGELI</v>
          </cell>
          <cell r="G165" t="str">
            <v>INSTITUTO_TECNICO_ANGELI</v>
          </cell>
          <cell r="H165" t="str">
            <v>Autoevaluación Institucional y Pruebas SABER 11</v>
          </cell>
          <cell r="I165" t="str">
            <v>SEGUIMIENTO_Y_SUPERVISIÓN.</v>
          </cell>
          <cell r="J16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5" t="str">
            <v>LUZ MERY PARRA NOPE</v>
          </cell>
          <cell r="L165" t="str">
            <v>JUAN AGUSTÍN RODRÍGUEZ ROZO</v>
          </cell>
          <cell r="M165">
            <v>45873</v>
          </cell>
          <cell r="N165">
            <v>45891</v>
          </cell>
          <cell r="O165">
            <v>45891</v>
          </cell>
          <cell r="P165" t="str">
            <v>Visitas de evaluación con fines de seguimiento</v>
          </cell>
          <cell r="Q165" t="str">
            <v>ACTA DE VISITA INST TECNICO ANGELI 22 DE AGO DE 2025.pdf</v>
          </cell>
          <cell r="R165" t="str">
            <v>El EE cuenta actualmente con 43 estudiantes con algún tipo de discapacidad, se observa la elaboración de todos los PIAR. Sin embargo, se realizan algunas observaciones de mejora.</v>
          </cell>
          <cell r="S165" t="str">
            <v>Suscribir los PIAR con padres de familia, de tal manera que quede formalizado el compromiso de corresponsabilidad familia-colegio. Mantener los instrumentos de registro que dan cuenta de la implementación del PIAR.</v>
          </cell>
          <cell r="T165" t="str">
            <v>SI</v>
          </cell>
          <cell r="U165" t="str">
            <v xml:space="preserve">Presentar un plan de mejoramiento que subsane las observaciones realizadas, el plazo para la radicación de dicho plan es de 10 días hábiles posteriores a la visita. </v>
          </cell>
        </row>
        <row r="166">
          <cell r="A166">
            <v>738</v>
          </cell>
          <cell r="B166">
            <v>18</v>
          </cell>
          <cell r="C166" t="str">
            <v>ENGATIVÁ</v>
          </cell>
          <cell r="D166" t="str">
            <v>PRIVADO</v>
          </cell>
          <cell r="E166" t="str">
            <v>EPBM</v>
          </cell>
          <cell r="F166" t="str">
            <v>INSTITUTO_TECNICO_ANGELI</v>
          </cell>
          <cell r="G166" t="str">
            <v>INSTITUTO_TECNICO_ANGELI</v>
          </cell>
          <cell r="H166" t="str">
            <v>Autoevaluación Institucional y Pruebas SABER 11</v>
          </cell>
          <cell r="I166" t="str">
            <v>EVALUACIÓN_CON_FINES_DE_MEJORAMIENTO.</v>
          </cell>
          <cell r="J16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6" t="str">
            <v>LUZ MERY PARRA NOPE</v>
          </cell>
          <cell r="L166" t="str">
            <v>JUAN AGUSTÍN RODRÍGUEZ ROZO</v>
          </cell>
          <cell r="M166">
            <v>45873</v>
          </cell>
          <cell r="N166">
            <v>45891</v>
          </cell>
          <cell r="O166">
            <v>45891</v>
          </cell>
          <cell r="P166" t="str">
            <v>Visitas de evaluación con fines de mejoramiento</v>
          </cell>
          <cell r="Q166" t="str">
            <v>ACTA DE VISITA INST TECNICO ANGELI 22 DE AGO DE 2025.pdf</v>
          </cell>
          <cell r="R166" t="str">
            <v>El EE manifiesta que anualmente realiza la actualización del Manual de Convivencia e incluye la participación de la comunidad educativa. Sin embargo, se realizan algunas observaciones.</v>
          </cell>
          <cell r="S166" t="str">
            <v>Incluir en el manual de convivencia el enfoque restaurativo, igualmente incluir su reglamento interno y plan de trabajo. Incluir el debido proceso en todas sus etapas.  incluir los relacionados con: Promoción de derechos, prevención de vulneraciones y seguimiento de conformidad con la Ley 1620 y el decreto 1965, ambos de 2013.</v>
          </cell>
          <cell r="T166" t="str">
            <v>SI</v>
          </cell>
          <cell r="U166" t="str">
            <v xml:space="preserve">Presentar un plan de mejoramiento que subsane las observaciones realizadas, el plazo para la radicación de dicho plan es de 10 días hábiles posteriores a la visita. </v>
          </cell>
        </row>
        <row r="167">
          <cell r="A167">
            <v>739</v>
          </cell>
          <cell r="B167">
            <v>18</v>
          </cell>
          <cell r="C167" t="str">
            <v>ENGATIVÁ</v>
          </cell>
          <cell r="D167" t="str">
            <v>PRIVADO</v>
          </cell>
          <cell r="E167" t="str">
            <v>EPBM</v>
          </cell>
          <cell r="F167" t="str">
            <v>INSTITUTO_TECNICO_ANGELI</v>
          </cell>
          <cell r="G167" t="str">
            <v>INSTITUTO_TECNICO_ANGELI</v>
          </cell>
          <cell r="H167" t="str">
            <v>Autoevaluación Institucional y Pruebas SABER 11</v>
          </cell>
          <cell r="I167" t="str">
            <v>EVALUACIÓN_CON_FINES_DE_MEJORAMIENTO.</v>
          </cell>
          <cell r="J167" t="str">
            <v>Revisar la actualización, socialización e implementación del Sistema Institucional de Evaluación de Estudiantes - SIEE, en articulación con la actualización del PEI y la normatividad vigente.</v>
          </cell>
          <cell r="K167" t="str">
            <v>LUZ MERY PARRA NOPE</v>
          </cell>
          <cell r="L167" t="str">
            <v>JUAN AGUSTÍN RODRÍGUEZ ROZO</v>
          </cell>
          <cell r="M167">
            <v>45873</v>
          </cell>
          <cell r="N167">
            <v>45891</v>
          </cell>
          <cell r="O167">
            <v>45891</v>
          </cell>
          <cell r="P167" t="str">
            <v>Visitas de evaluación con fines de mejoramiento</v>
          </cell>
          <cell r="Q167" t="str">
            <v>ACTA DE VISITA INST TECNICO ANGELI 22 DE AGO DE 2025.pdf</v>
          </cell>
          <cell r="R167" t="str">
            <v>Se encuentra boletines de cada periodo académico que incluye áreas de objeto de reforzamiento y compromiso con padres de familia, acta de compromiso familiar. El docente de aula nombra un tutor para desarrollar estrategias de aprendizaje colaborativo y actividades de refuerzo en coordinación con los padres de familia.</v>
          </cell>
          <cell r="S167" t="str">
            <v>Seguir implementando estrategias pedagógicas y de apoyo con el respecto al mejoramiento y nivelación de los estudiantes.</v>
          </cell>
          <cell r="T167" t="str">
            <v>NO</v>
          </cell>
          <cell r="U167" t="str">
            <v>Se hará verificación en caso de presentar solicitud o queja ciudadana.</v>
          </cell>
        </row>
        <row r="168">
          <cell r="A168">
            <v>740</v>
          </cell>
          <cell r="B168">
            <v>18</v>
          </cell>
          <cell r="C168" t="str">
            <v>ENGATIVÁ</v>
          </cell>
          <cell r="D168" t="str">
            <v>PRIVADO</v>
          </cell>
          <cell r="E168" t="str">
            <v>EPBM</v>
          </cell>
          <cell r="F168" t="str">
            <v>INSTITUTO_TECNICO_ANGELI</v>
          </cell>
          <cell r="G168" t="str">
            <v>INSTITUTO_TECNICO_ANGELI</v>
          </cell>
          <cell r="H168" t="str">
            <v>Autoevaluación Institucional y Pruebas SABER 11</v>
          </cell>
          <cell r="I168" t="str">
            <v>EVALUACIÓN_CON_FINES_DE_MEJORAMIENTO.</v>
          </cell>
          <cell r="J168" t="str">
            <v>Revisar el calendario escolar, jornada escolar, la intensidad horaria mínima anual en cada nivel y las modificaciones que se realicen al mismo, de acuerdo con lo previsto en la normatividad vigente.</v>
          </cell>
          <cell r="K168" t="str">
            <v>LUZ MERY PARRA NOPE</v>
          </cell>
          <cell r="L168" t="str">
            <v>JUAN AGUSTÍN RODRÍGUEZ ROZO</v>
          </cell>
          <cell r="M168">
            <v>45873</v>
          </cell>
          <cell r="N168">
            <v>45891</v>
          </cell>
          <cell r="O168">
            <v>45891</v>
          </cell>
          <cell r="P168" t="str">
            <v>Visitas de evaluación con fines de mejoramiento</v>
          </cell>
          <cell r="Q168" t="str">
            <v>ACTA DE VISITA INST TECNICO ANGELI 22 DE AGO DE 2025.pdf</v>
          </cell>
          <cell r="R168" t="str">
            <v>Se observa que el calendario escolar, jornada escolar y la intensidad horaria mínima requerida cumple con la normatividad vigente</v>
          </cell>
          <cell r="S168" t="str">
            <v>El EE cumple con la intensidad mínima legal vigente para cada nivel ofrecido.</v>
          </cell>
          <cell r="T168" t="str">
            <v>NO</v>
          </cell>
          <cell r="U168" t="str">
            <v>Se hará verificación en caso de presentar solicitud o queja ciudadana.</v>
          </cell>
        </row>
        <row r="169">
          <cell r="A169">
            <v>741</v>
          </cell>
          <cell r="B169">
            <v>18</v>
          </cell>
          <cell r="C169" t="str">
            <v>ENGATIVÁ</v>
          </cell>
          <cell r="D169" t="str">
            <v>PRIVADO</v>
          </cell>
          <cell r="E169" t="str">
            <v>EPBM</v>
          </cell>
          <cell r="F169" t="str">
            <v>INSTITUTO_TECNICO_ANGELI</v>
          </cell>
          <cell r="G169" t="str">
            <v>INSTITUTO_TECNICO_ANGELI</v>
          </cell>
          <cell r="H169" t="str">
            <v>Autoevaluación Institucional y Pruebas SABER 11</v>
          </cell>
          <cell r="I169" t="str">
            <v>EVALUACIÓN_CON_FINES_DE_MEJORAMIENTO.</v>
          </cell>
          <cell r="J169" t="str">
            <v>Verificar el funcionamiento del Gobierno Escolar e instancias de participación con base en la información sobre conformación reportada por la institución educativa.</v>
          </cell>
          <cell r="K169" t="str">
            <v>LUZ MERY PARRA NOPE</v>
          </cell>
          <cell r="L169" t="str">
            <v>JUAN AGUSTÍN RODRÍGUEZ ROZO</v>
          </cell>
          <cell r="M169">
            <v>45873</v>
          </cell>
          <cell r="N169">
            <v>45891</v>
          </cell>
          <cell r="O169">
            <v>45891</v>
          </cell>
          <cell r="P169" t="str">
            <v>Visitas de evaluación con fines de mejoramiento</v>
          </cell>
          <cell r="Q169" t="str">
            <v>ACTA DE VISITA INST TECNICO ANGELI 22 DE AGO DE 2025.pdf</v>
          </cell>
          <cell r="R169" t="str">
            <v>Se observa las actas de conformación y seguimiento de las diferentes instancias del gobierno escolar</v>
          </cell>
          <cell r="S169" t="str">
            <v>Se recomienda incluir una agenda de cada reunión, que las actas se realicen en computador y se impriman. Con base en los resultados académicos de los estudiantes, formular planes de acción tendientes a solucionar vacíos o debilidades en el desarrollo de las mallas curriculares.</v>
          </cell>
          <cell r="T169" t="str">
            <v>No</v>
          </cell>
          <cell r="U169" t="str">
            <v>Se hará verificación en caso de presentar solicitud o queja ciudadana.</v>
          </cell>
        </row>
        <row r="170">
          <cell r="A170">
            <v>742</v>
          </cell>
          <cell r="B170">
            <v>18</v>
          </cell>
          <cell r="C170" t="str">
            <v>ENGATIVÁ</v>
          </cell>
          <cell r="D170" t="str">
            <v>PRIVADO</v>
          </cell>
          <cell r="E170" t="str">
            <v>EPBM</v>
          </cell>
          <cell r="F170" t="str">
            <v>INSTITUTO_TECNICO_ANGELI</v>
          </cell>
          <cell r="G170" t="str">
            <v>INSTITUTO_TECNICO_ANGELI</v>
          </cell>
          <cell r="H170" t="str">
            <v>Autoevaluación Institucional y Pruebas SABER 11</v>
          </cell>
          <cell r="I170" t="str">
            <v>EVALUACIÓN_CON_FINES_DE_MEJORAMIENTO.</v>
          </cell>
          <cell r="J170" t="str">
            <v>Verificar las condiciones en cuanto a: la estructura administrativa, condiciones de la planta física y medios educativos adecuados.</v>
          </cell>
          <cell r="K170" t="str">
            <v>LUZ MERY PARRA NOPE</v>
          </cell>
          <cell r="L170" t="str">
            <v>JUAN AGUSTÍN RODRÍGUEZ ROZO</v>
          </cell>
          <cell r="M170">
            <v>45873</v>
          </cell>
          <cell r="N170">
            <v>45891</v>
          </cell>
          <cell r="O170">
            <v>45891</v>
          </cell>
          <cell r="P170" t="str">
            <v>Visitas de evaluación con fines de mejoramiento</v>
          </cell>
          <cell r="Q170" t="str">
            <v>ACTA DE VISITA INST TECNICO ANGELI 22 DE AGO DE 2025.pdf</v>
          </cell>
          <cell r="R170" t="str">
            <v>Al realizar el recorrido por la planta física del EE se observa que se encuentra en buen estado. Sin embargo, se observa falta de mantenimiento en algunos espacios al interior de la sede A.</v>
          </cell>
          <cell r="S170" t="str">
            <v>Realizar mantenimiento preventivo y correctivo en algunas partes especificas del Colegio de la sede A.</v>
          </cell>
          <cell r="T170" t="str">
            <v>Si</v>
          </cell>
          <cell r="U170" t="str">
            <v xml:space="preserve">Presentar un plan de mejoramiento que subsane las observaciones realizadas, el plazo para la radicación de dicho plan es de 10 días hábiles posteriores a la visita. </v>
          </cell>
        </row>
        <row r="171">
          <cell r="A171">
            <v>743</v>
          </cell>
          <cell r="B171">
            <v>19</v>
          </cell>
          <cell r="C171" t="str">
            <v>ENGATIVÁ</v>
          </cell>
          <cell r="D171" t="str">
            <v>PRIVADO</v>
          </cell>
          <cell r="E171" t="str">
            <v>Educación de Jóvenes y Adultos</v>
          </cell>
          <cell r="F171" t="str">
            <v>ATENEO_JUAN_EUDES</v>
          </cell>
          <cell r="G171" t="str">
            <v>ATENEO_JUAN_EUDES</v>
          </cell>
          <cell r="H171" t="str">
            <v>Autoevaluación Institucional y Pruebas SABER 11</v>
          </cell>
          <cell r="I171" t="str">
            <v>SEGUIMIENTO_Y_SUPERVISIÓN.</v>
          </cell>
          <cell r="J171" t="str">
            <v>Realizar visitas para verificar la información registrada sobre la autoevaluación institucional en el aplicativo EVI, a los establecimientos de educación formal no oficial.</v>
          </cell>
          <cell r="K171" t="str">
            <v>LUZ MERY PARRA NOPE</v>
          </cell>
          <cell r="L171" t="str">
            <v>FREDDY CLAROS PEÑA</v>
          </cell>
          <cell r="M171">
            <v>45744</v>
          </cell>
          <cell r="N171">
            <v>45744</v>
          </cell>
          <cell r="O171">
            <v>45744</v>
          </cell>
          <cell r="P171" t="str">
            <v>Visitas de evaluación con fines de seguimiento</v>
          </cell>
          <cell r="Q171" t="str">
            <v>ACTA DE VISITA PRIORIZADOS 2025 ATENEO JUAN EUDES 28-03-2025.pdf</v>
          </cell>
          <cell r="R171" t="str">
            <v>La información cargada en EVI coincide con lo registrado en EVI. Sin embargo, se observa que deben ajustar las baterias de baño e inventario de biblioteca. De otro lado, se observa en res de lic de funcionamiento jornada tarde, pero el colegio tiene jornada unica, se solicita modicar licencia.  Realizar actualización en SIMAT de matricula con estudiantes activos. 4 docentes con perfil profesional no cuentan con curso de pedagogia.</v>
          </cell>
          <cell r="S171" t="str">
            <v>La IE se compromete a realizar los ajustes correspondientes.</v>
          </cell>
          <cell r="T171" t="str">
            <v>No</v>
          </cell>
          <cell r="U171" t="str">
            <v>Realizar seguimiento en autoevaluación de tarifas para el año 2026.</v>
          </cell>
        </row>
        <row r="172">
          <cell r="A172">
            <v>744</v>
          </cell>
          <cell r="B172">
            <v>19</v>
          </cell>
          <cell r="C172" t="str">
            <v>ENGATIVÁ</v>
          </cell>
          <cell r="D172" t="str">
            <v>PRIVADO</v>
          </cell>
          <cell r="E172" t="str">
            <v>Educación de Jóvenes y Adultos</v>
          </cell>
          <cell r="F172" t="str">
            <v>ATENEO_JUAN_EUDES</v>
          </cell>
          <cell r="G172" t="str">
            <v>ATENEO_JUAN_EUDES</v>
          </cell>
          <cell r="H172" t="str">
            <v>Autoevaluación Institucional y Pruebas SABER 11</v>
          </cell>
          <cell r="I172" t="str">
            <v>SEGUIMIENTO_Y_SUPERVISIÓN.</v>
          </cell>
          <cell r="J172" t="str">
            <v>Proponer estrategias en la formulación, verificar su elaboración y realizar seguimiento semestral al desarrollo de  las acciones establecidas en los planes de mejoramiento por pruebas SABER 11 de los establecimientos de educación formal.</v>
          </cell>
          <cell r="K172" t="str">
            <v>LUZ MERY PARRA NOPE</v>
          </cell>
          <cell r="L172" t="str">
            <v>FREDDY CLAROS PEÑA</v>
          </cell>
          <cell r="M172">
            <v>45744</v>
          </cell>
          <cell r="N172">
            <v>45744</v>
          </cell>
          <cell r="O172">
            <v>45744</v>
          </cell>
          <cell r="P172" t="str">
            <v>Visitas de evaluación con fines de seguimiento</v>
          </cell>
          <cell r="Q172" t="str">
            <v>ACTA DE VISITA PRIORIZADOS 2025 ATENEO JUAN EUDES 28-03-2025.pdf</v>
          </cell>
          <cell r="R172" t="str">
            <v xml:space="preserve">La IE realizó un informe de los resultados de los ultimos 5 años, con base en esos resultados se realizan practivas tipo ICFES cada viernes </v>
          </cell>
          <cell r="S172" t="str">
            <v xml:space="preserve">La IE realizará plan de mejoramiento con base en los resultados de 2024, estructurando acciones que mejores los resultados del 2025 </v>
          </cell>
          <cell r="T172" t="str">
            <v>Si</v>
          </cell>
          <cell r="U172" t="str">
            <v>La IE tiene plazo para radicación del plan de mejoramiento el 11 de abril. Una vez radicado procedemos con la revisión</v>
          </cell>
        </row>
        <row r="173">
          <cell r="A173">
            <v>745</v>
          </cell>
          <cell r="B173">
            <v>19</v>
          </cell>
          <cell r="C173" t="str">
            <v>ENGATIVÁ</v>
          </cell>
          <cell r="D173" t="str">
            <v>PRIVADO</v>
          </cell>
          <cell r="E173" t="str">
            <v>Educación de Jóvenes y Adultos</v>
          </cell>
          <cell r="F173" t="str">
            <v>ATENEO_JUAN_EUDES</v>
          </cell>
          <cell r="G173" t="str">
            <v>ATENEO_JUAN_EUDES</v>
          </cell>
          <cell r="H173" t="str">
            <v>Autoevaluación Institucional y Pruebas SABER 11</v>
          </cell>
          <cell r="I173" t="str">
            <v>SEGUIMIENTO_Y_SUPERVISIÓN.</v>
          </cell>
          <cell r="J173" t="str">
            <v xml:space="preserve">Verificar la implementación por parte de los colegios, de acciones realizadas para la prevención y atención de las situaciones de convivencia en el entorno escolar, según lo establecido en la Directiva 01 de 2022 del MEN. </v>
          </cell>
          <cell r="K173" t="str">
            <v>LUZ MERY PARRA NOPE</v>
          </cell>
          <cell r="L173" t="str">
            <v>FREDDY CLAROS PEÑA</v>
          </cell>
          <cell r="M173">
            <v>45744</v>
          </cell>
          <cell r="N173">
            <v>45744</v>
          </cell>
          <cell r="O173">
            <v>45744</v>
          </cell>
          <cell r="P173" t="str">
            <v>Visitas de evaluación con fines de seguimiento</v>
          </cell>
          <cell r="Q173" t="str">
            <v>ACTA DE VISITA PRIORIZADOS 2025 ATENEO JUAN EUDES 28-03-2025.pdf</v>
          </cell>
          <cell r="R173" t="str">
            <v>la IE aporta evidencia de la verificación de consulta de  inhabilidades por delitos sexuales en la página de la Policía Nacional</v>
          </cell>
          <cell r="S173" t="str">
            <v>La IE se compromete a realizar dicha consulta cada 4 meses</v>
          </cell>
          <cell r="T173" t="str">
            <v>No</v>
          </cell>
          <cell r="U173" t="str">
            <v>Se hará verificación en caso de presentar solicitud o queja ciudadana.</v>
          </cell>
        </row>
        <row r="174">
          <cell r="A174">
            <v>746</v>
          </cell>
          <cell r="B174">
            <v>19</v>
          </cell>
          <cell r="C174" t="str">
            <v>ENGATIVÁ</v>
          </cell>
          <cell r="D174" t="str">
            <v>PRIVADO</v>
          </cell>
          <cell r="E174" t="str">
            <v>Educación de Jóvenes y Adultos</v>
          </cell>
          <cell r="F174" t="str">
            <v>ATENEO_JUAN_EUDES</v>
          </cell>
          <cell r="G174" t="str">
            <v>ATENEO_JUAN_EUDES</v>
          </cell>
          <cell r="H174" t="str">
            <v>Autoevaluación Institucional y Pruebas SABER 11</v>
          </cell>
          <cell r="I174" t="str">
            <v>SEGUIMIENTO_Y_SUPERVISIÓN.</v>
          </cell>
          <cell r="J1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4" t="str">
            <v>LUZ MERY PARRA NOPE</v>
          </cell>
          <cell r="L174" t="str">
            <v>FREDDY CLAROS PEÑA</v>
          </cell>
          <cell r="M174">
            <v>45744</v>
          </cell>
          <cell r="N174">
            <v>45744</v>
          </cell>
          <cell r="O174">
            <v>45744</v>
          </cell>
          <cell r="P174" t="str">
            <v>Visitas de evaluación con fines de seguimiento</v>
          </cell>
          <cell r="Q174" t="str">
            <v>ACTA DE VISITA PRIORIZADOS 2025 ATENEO JUAN EUDES 28-03-2025.pdf</v>
          </cell>
          <cell r="R174" t="str">
            <v>Se han realizado 7 PIAR, se observa el seguimiento realizado por la Orientadora a cada uno de ellos. No se observa estudiantes de inclusión en SIMAT</v>
          </cell>
          <cell r="S174" t="str">
            <v>Actualizar SIMAT e incluir estudiantes de inclusión, dado que a la fecha no se encuentran registrado</v>
          </cell>
          <cell r="T174" t="str">
            <v>Si</v>
          </cell>
          <cell r="U174" t="str">
            <v>La IE tiene plazo para radicación del plan de mejoramiento el 11 de abril. Una vez radicado procedemos con la revisión</v>
          </cell>
        </row>
        <row r="175">
          <cell r="A175">
            <v>747</v>
          </cell>
          <cell r="B175">
            <v>19</v>
          </cell>
          <cell r="C175" t="str">
            <v>ENGATIVÁ</v>
          </cell>
          <cell r="D175" t="str">
            <v>PRIVADO</v>
          </cell>
          <cell r="E175" t="str">
            <v>Educación de Jóvenes y Adultos</v>
          </cell>
          <cell r="F175" t="str">
            <v>ATENEO_JUAN_EUDES</v>
          </cell>
          <cell r="G175" t="str">
            <v>ATENEO_JUAN_EUDES</v>
          </cell>
          <cell r="H175" t="str">
            <v>Autoevaluación Institucional y Pruebas SABER 11</v>
          </cell>
          <cell r="I175" t="str">
            <v>EVALUACIÓN_CON_FINES_DE_MEJORAMIENTO.</v>
          </cell>
          <cell r="J17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5" t="str">
            <v>LUZ MERY PARRA NOPE</v>
          </cell>
          <cell r="L175" t="str">
            <v>FREDDY CLAROS PEÑA</v>
          </cell>
          <cell r="M175">
            <v>45744</v>
          </cell>
          <cell r="N175">
            <v>45744</v>
          </cell>
          <cell r="O175">
            <v>45744</v>
          </cell>
          <cell r="P175" t="str">
            <v>Visitas de evaluación con fines de mejoramiento</v>
          </cell>
          <cell r="Q175" t="str">
            <v>ACTA DE VISITA PRIORIZADOS 2025 ATENEO JUAN EUDES 28-03-2025.pdf</v>
          </cell>
          <cell r="R175" t="str">
            <v>El manual no contiene enfoques que fomentan el respeto, la valoración de la diversidad y el enfoque restaurativo. Tampoco se realiza de forma participativa</v>
          </cell>
          <cell r="S175" t="str">
            <v>Actualizar manual de convivencia que incluya estos enfoques. Incluir servicio social.</v>
          </cell>
          <cell r="T175" t="str">
            <v>Si</v>
          </cell>
          <cell r="U175" t="str">
            <v>La IE tiene plazo para radicación del plan de mejoramiento el 11 de abril. Una vez radicado procedemos con la revisión</v>
          </cell>
        </row>
        <row r="176">
          <cell r="A176">
            <v>748</v>
          </cell>
          <cell r="B176">
            <v>19</v>
          </cell>
          <cell r="C176" t="str">
            <v>ENGATIVÁ</v>
          </cell>
          <cell r="D176" t="str">
            <v>PRIVADO</v>
          </cell>
          <cell r="E176" t="str">
            <v>Educación de Jóvenes y Adultos</v>
          </cell>
          <cell r="F176" t="str">
            <v>ATENEO_JUAN_EUDES</v>
          </cell>
          <cell r="G176" t="str">
            <v>ATENEO_JUAN_EUDES</v>
          </cell>
          <cell r="H176" t="str">
            <v>Autoevaluación Institucional y Pruebas SABER 11</v>
          </cell>
          <cell r="I176" t="str">
            <v>EVALUACIÓN_CON_FINES_DE_MEJORAMIENTO.</v>
          </cell>
          <cell r="J176" t="str">
            <v>Revisar la actualización, socialización e implementación del Sistema Institucional de Evaluación de Estudiantes - SIEE, en articulación con la actualización del PEI y la normatividad vigente.</v>
          </cell>
          <cell r="K176" t="str">
            <v>LUZ MERY PARRA NOPE</v>
          </cell>
          <cell r="L176" t="str">
            <v>FREDDY CLAROS PEÑA</v>
          </cell>
          <cell r="M176">
            <v>45744</v>
          </cell>
          <cell r="N176">
            <v>45744</v>
          </cell>
          <cell r="O176">
            <v>45744</v>
          </cell>
          <cell r="P176" t="str">
            <v>Visitas de evaluación con fines de mejoramiento</v>
          </cell>
          <cell r="Q176" t="str">
            <v>ACTA DE VISITA PRIORIZADOS 2025 ATENEO JUAN EUDES 28-03-2025.pdf</v>
          </cell>
          <cell r="R176" t="str">
            <v>Se evidencia autoevaluación y co-evaluación en cuanto al SIEE. El PEI no se actualizado</v>
          </cell>
          <cell r="S176" t="str">
            <v>Realizar actualización del PEI, en cuanto a  competencias básicas, ciudadanas, laborales generales y socioemocionales. Unir mallas curriculares con el PEI. Incluir orgranigrama en el PEI</v>
          </cell>
          <cell r="T176" t="str">
            <v>Si</v>
          </cell>
          <cell r="U176" t="str">
            <v>La IE tiene plazo para radicación del plan de mejoramiento el 11 de abril. Una vez radicado procedemos con la revisión</v>
          </cell>
        </row>
        <row r="177">
          <cell r="A177">
            <v>749</v>
          </cell>
          <cell r="B177">
            <v>19</v>
          </cell>
          <cell r="C177" t="str">
            <v>ENGATIVÁ</v>
          </cell>
          <cell r="D177" t="str">
            <v>PRIVADO</v>
          </cell>
          <cell r="E177" t="str">
            <v>Educación de Jóvenes y Adultos</v>
          </cell>
          <cell r="F177" t="str">
            <v>ATENEO_JUAN_EUDES</v>
          </cell>
          <cell r="G177" t="str">
            <v>ATENEO_JUAN_EUDES</v>
          </cell>
          <cell r="H177" t="str">
            <v>Autoevaluación Institucional y Pruebas SABER 11</v>
          </cell>
          <cell r="I177" t="str">
            <v>EVALUACIÓN_CON_FINES_DE_MEJORAMIENTO.</v>
          </cell>
          <cell r="J177" t="str">
            <v>Revisar el calendario escolar, jornada escolar, la intensidad horaria mínima anual en cada nivel y las modificaciones que se realicen al mismo, de acuerdo con lo previsto en la normatividad vigente.</v>
          </cell>
          <cell r="K177" t="str">
            <v>LUZ MERY PARRA NOPE</v>
          </cell>
          <cell r="L177" t="str">
            <v>FREDDY CLAROS PEÑA</v>
          </cell>
          <cell r="M177">
            <v>45744</v>
          </cell>
          <cell r="N177">
            <v>45744</v>
          </cell>
          <cell r="O177">
            <v>45744</v>
          </cell>
          <cell r="P177" t="str">
            <v>Visitas de evaluación con fines de mejoramiento</v>
          </cell>
          <cell r="Q177" t="str">
            <v>ACTA DE VISITA PRIORIZADOS 2025 ATENEO JUAN EUDES 28-03-2025.pdf</v>
          </cell>
          <cell r="R177" t="str">
            <v xml:space="preserve">Se observa una intensidad horaria de 1.200 horas, al igual que horario extra, correspondiente a nivelaciones cuando algún estudiante lo requiera.
 </v>
          </cell>
          <cell r="S177"/>
          <cell r="T177" t="str">
            <v>No</v>
          </cell>
          <cell r="U177" t="str">
            <v>Se hará verificación en caso de presentar solicitud o queja ciudadana.</v>
          </cell>
        </row>
        <row r="178">
          <cell r="A178">
            <v>750</v>
          </cell>
          <cell r="B178">
            <v>19</v>
          </cell>
          <cell r="C178" t="str">
            <v>ENGATIVÁ</v>
          </cell>
          <cell r="D178" t="str">
            <v>PRIVADO</v>
          </cell>
          <cell r="E178" t="str">
            <v>Educación de Jóvenes y Adultos</v>
          </cell>
          <cell r="F178" t="str">
            <v>ATENEO_JUAN_EUDES</v>
          </cell>
          <cell r="G178" t="str">
            <v>ATENEO_JUAN_EUDES</v>
          </cell>
          <cell r="H178" t="str">
            <v>Autoevaluación Institucional y Pruebas SABER 11</v>
          </cell>
          <cell r="I178" t="str">
            <v>EVALUACIÓN_CON_FINES_DE_MEJORAMIENTO.</v>
          </cell>
          <cell r="J178" t="str">
            <v>Verificar el funcionamiento del Gobierno Escolar e instancias de participación con base en la información sobre conformación reportada por la institución educativa.</v>
          </cell>
          <cell r="K178" t="str">
            <v>LUZ MERY PARRA NOPE</v>
          </cell>
          <cell r="L178" t="str">
            <v>FREDDY CLAROS PEÑA</v>
          </cell>
          <cell r="M178">
            <v>45744</v>
          </cell>
          <cell r="N178">
            <v>45744</v>
          </cell>
          <cell r="O178">
            <v>45744</v>
          </cell>
          <cell r="P178" t="str">
            <v>Visitas de evaluación con fines de mejoramiento</v>
          </cell>
          <cell r="Q178" t="str">
            <v>ACTA DE VISITA PRIORIZADOS 2025 ATENEO JUAN EUDES 28-03-2025.pdf</v>
          </cell>
          <cell r="R178" t="str">
            <v>Se observa actas de conformación de Gobierno Escolar en los formatos establecidos, de igual forma se evidencia el cargue de estas en el SAE. Aportan cronograma de reuniones con todas las instancias.</v>
          </cell>
          <cell r="S178"/>
          <cell r="T178" t="str">
            <v>No</v>
          </cell>
          <cell r="U178" t="str">
            <v>Se hará verificación en caso de presentar solicitud o queja ciudadana.</v>
          </cell>
        </row>
        <row r="179">
          <cell r="A179">
            <v>751</v>
          </cell>
          <cell r="B179">
            <v>19</v>
          </cell>
          <cell r="C179" t="str">
            <v>ENGATIVÁ</v>
          </cell>
          <cell r="D179" t="str">
            <v>PRIVADO</v>
          </cell>
          <cell r="E179" t="str">
            <v>Educación de Jóvenes y Adultos</v>
          </cell>
          <cell r="F179" t="str">
            <v>ATENEO_JUAN_EUDES</v>
          </cell>
          <cell r="G179" t="str">
            <v>ATENEO_JUAN_EUDES</v>
          </cell>
          <cell r="H179" t="str">
            <v>Autoevaluación Institucional y Pruebas SABER 11</v>
          </cell>
          <cell r="I179" t="str">
            <v>EVALUACIÓN_CON_FINES_DE_MEJORAMIENTO.</v>
          </cell>
          <cell r="J179" t="str">
            <v>Verificar las condiciones en cuanto a: la estructura administrativa, condiciones de la planta física y medios educativos adecuados.</v>
          </cell>
          <cell r="K179" t="str">
            <v>LUZ MERY PARRA NOPE</v>
          </cell>
          <cell r="L179" t="str">
            <v>FREDDY CLAROS PEÑA</v>
          </cell>
          <cell r="M179">
            <v>45744</v>
          </cell>
          <cell r="N179">
            <v>45744</v>
          </cell>
          <cell r="O179">
            <v>45744</v>
          </cell>
          <cell r="P179" t="str">
            <v>Visitas de evaluación con fines de mejoramiento</v>
          </cell>
          <cell r="Q179" t="str">
            <v>ACTA DE VISITA PRIORIZADOS 2025 ATENEO JUAN EUDES 28-03-2025.pdf</v>
          </cell>
          <cell r="R179" t="str">
            <v xml:space="preserve">Se observa inventario de biblioteca desactualizado, la estructura administrativa, planta fisica y ambientes de aprendiaje se encuentran en buenas condiciones para la prestación del servicio educativo. </v>
          </cell>
          <cell r="S179" t="str">
            <v>Acualizar inventario de biblioteca para emisión de tarifas 2026.</v>
          </cell>
          <cell r="T179" t="str">
            <v>Si</v>
          </cell>
          <cell r="U179" t="str">
            <v>La IE tiene plazo para radicación del plan de mejoramiento el 11 de abril. Una vez radicado procedemos con la revisión</v>
          </cell>
        </row>
        <row r="180">
          <cell r="A180">
            <v>752</v>
          </cell>
          <cell r="B180">
            <v>20</v>
          </cell>
          <cell r="C180" t="str">
            <v>ENGATIVÁ</v>
          </cell>
          <cell r="D180" t="str">
            <v>PRIVADO</v>
          </cell>
          <cell r="E180" t="str">
            <v>EPBM</v>
          </cell>
          <cell r="F180" t="str">
            <v>COLEGIO_MONTERREY</v>
          </cell>
          <cell r="G180" t="str">
            <v>COLEGIO_MONTERREY</v>
          </cell>
          <cell r="H180" t="str">
            <v>Autoevaluación Institucional y Pruebas SABER 11</v>
          </cell>
          <cell r="I180" t="str">
            <v>SEGUIMIENTO_Y_SUPERVISIÓN.</v>
          </cell>
          <cell r="J180" t="str">
            <v>Realizar visitas para verificar la información registrada sobre la autoevaluación institucional en el aplicativo EVI, a los establecimientos de educación formal no oficial.</v>
          </cell>
          <cell r="K180" t="str">
            <v>JUAN AGUSTÍN RODRÍGUEZ ROZO</v>
          </cell>
          <cell r="L180" t="str">
            <v>MÓNICA JANNETH RAMÍREZ MORENO</v>
          </cell>
          <cell r="M180">
            <v>45776</v>
          </cell>
          <cell r="N180">
            <v>45954</v>
          </cell>
          <cell r="O180">
            <v>45954</v>
          </cell>
          <cell r="P180" t="str">
            <v>Visitas de evaluación con fines de seguimiento</v>
          </cell>
          <cell r="Q180" t="str">
            <v>20251024Visitacolmonterrey.pdf</v>
          </cell>
          <cell r="R180" t="str">
            <v>Se realizó recorrido por la planta física y se pudo establecer que el avance en la ejecución de suconstrucción va en el  95% y correspone con lo registrado en el aplicativo EVI en el año 2024</v>
          </cell>
          <cell r="S180" t="str">
            <v>Diligenciar la autoevaluación en el aplicativo EVI para la vigencia 2026</v>
          </cell>
          <cell r="T180" t="str">
            <v>No</v>
          </cell>
          <cell r="U180" t="str">
            <v>Cuando aporte la documentación sobre planta física y actualización de propietario se procederá a emitir concepto para la modificación de la licencia de funcionamiento.</v>
          </cell>
        </row>
        <row r="181">
          <cell r="A181">
            <v>754</v>
          </cell>
          <cell r="B181">
            <v>20</v>
          </cell>
          <cell r="C181" t="str">
            <v>ENGATIVÁ</v>
          </cell>
          <cell r="D181" t="str">
            <v>PRIVADO</v>
          </cell>
          <cell r="E181" t="str">
            <v>EPBM</v>
          </cell>
          <cell r="F181" t="str">
            <v>COLEGIO_MONTERREY</v>
          </cell>
          <cell r="G181" t="str">
            <v>COLEGIO_MONTERREY</v>
          </cell>
          <cell r="H181" t="str">
            <v>Autoevaluación Institucional y Pruebas SABER 11</v>
          </cell>
          <cell r="I181" t="str">
            <v>SEGUIMIENTO_Y_SUPERVISIÓN.</v>
          </cell>
          <cell r="J181" t="str">
            <v>Proponer estrategias en la formulación, verificar su elaboración y realizar seguimiento semestral al desarrollo de  las acciones establecidas en los planes de mejoramiento por pruebas SABER 11 de los establecimientos de educación formal.</v>
          </cell>
          <cell r="K181" t="str">
            <v>JUAN AGUSTÍN RODRÍGUEZ ROZO</v>
          </cell>
          <cell r="L181" t="str">
            <v>MÓNICA JANNETH RAMÍREZ MORENO</v>
          </cell>
          <cell r="M181">
            <v>45776</v>
          </cell>
          <cell r="N181">
            <v>45954</v>
          </cell>
          <cell r="O181">
            <v>45954</v>
          </cell>
          <cell r="P181" t="str">
            <v>Visitas de evaluación con fines de seguimiento</v>
          </cell>
          <cell r="Q181" t="str">
            <v>20251024Visitacolmonterrey.pdf</v>
          </cell>
          <cell r="R181" t="str">
            <v>El colegio hace la revisión desde rectoria y coordinación, pero no existen registros de esta actividad.</v>
          </cell>
          <cell r="S181" t="str">
            <v>Se recomienda documentar esta actividad para que sirva como uno de los insumos de la autoevaluación institucional y de parte del trabajo en el Consejo Académico</v>
          </cell>
          <cell r="T181" t="str">
            <v>Si</v>
          </cell>
          <cell r="U181" t="str">
            <v>Se revisará el PMI que entregue el colegio el 5 de noviembre</v>
          </cell>
        </row>
        <row r="182">
          <cell r="A182">
            <v>755</v>
          </cell>
          <cell r="B182">
            <v>20</v>
          </cell>
          <cell r="C182" t="str">
            <v>ENGATIVÁ</v>
          </cell>
          <cell r="D182" t="str">
            <v>PRIVADO</v>
          </cell>
          <cell r="E182" t="str">
            <v>EPBM</v>
          </cell>
          <cell r="F182" t="str">
            <v>COLEGIO_MONTERREY</v>
          </cell>
          <cell r="G182" t="str">
            <v>COLEGIO_MONTERREY</v>
          </cell>
          <cell r="H182" t="str">
            <v>Autoevaluación Institucional y Pruebas SABER 11</v>
          </cell>
          <cell r="I182" t="str">
            <v>SEGUIMIENTO_Y_SUPERVISIÓN.</v>
          </cell>
          <cell r="J182" t="str">
            <v xml:space="preserve">Verificar la implementación por parte de los colegios, de acciones realizadas para la prevención y atención de las situaciones de convivencia en el entorno escolar, según lo establecido en la Directiva 01 de 2022 del MEN. </v>
          </cell>
          <cell r="K182" t="str">
            <v>JUAN AGUSTÍN RODRÍGUEZ ROZO</v>
          </cell>
          <cell r="L182" t="str">
            <v>MÓNICA JANNETH RAMÍREZ MORENO</v>
          </cell>
          <cell r="M182">
            <v>45776</v>
          </cell>
          <cell r="N182">
            <v>45954</v>
          </cell>
          <cell r="O182">
            <v>45954</v>
          </cell>
          <cell r="P182" t="str">
            <v>Visitas de evaluación con fines de seguimiento</v>
          </cell>
          <cell r="Q182" t="str">
            <v>20251024Visitacolmonterrey.pdf</v>
          </cell>
          <cell r="R182" t="str">
            <v>El colegio realiza las consultas cada 4 meses sobre inhabilidades por delitos sexuales de cada trabajador y el resultado lo incorpora a cada carpeta</v>
          </cell>
          <cell r="S182" t="str">
            <v>Cumple con la Directiva 01 de 2022</v>
          </cell>
          <cell r="T182" t="str">
            <v>No</v>
          </cell>
          <cell r="U182" t="str">
            <v>Se verificará en otra vigencia o si se presenta petición o queja de la comunidad educativa</v>
          </cell>
        </row>
        <row r="183">
          <cell r="A183">
            <v>756</v>
          </cell>
          <cell r="B183">
            <v>20</v>
          </cell>
          <cell r="C183" t="str">
            <v>ENGATIVÁ</v>
          </cell>
          <cell r="D183" t="str">
            <v>PRIVADO</v>
          </cell>
          <cell r="E183" t="str">
            <v>EPBM</v>
          </cell>
          <cell r="F183" t="str">
            <v>COLEGIO_MONTERREY</v>
          </cell>
          <cell r="G183" t="str">
            <v>COLEGIO_MONTERREY</v>
          </cell>
          <cell r="H183" t="str">
            <v>Autoevaluación Institucional y Pruebas SABER 11</v>
          </cell>
          <cell r="I183" t="str">
            <v>SEGUIMIENTO_Y_SUPERVISIÓN.</v>
          </cell>
          <cell r="J1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83" t="str">
            <v>JUAN AGUSTÍN RODRÍGUEZ ROZO</v>
          </cell>
          <cell r="L183" t="str">
            <v>MÓNICA JANNETH RAMÍREZ MORENO</v>
          </cell>
          <cell r="M183">
            <v>45776</v>
          </cell>
          <cell r="N183">
            <v>45954</v>
          </cell>
          <cell r="O183">
            <v>45954</v>
          </cell>
          <cell r="P183" t="str">
            <v>Visitas de evaluación con fines de seguimiento</v>
          </cell>
          <cell r="Q183" t="str">
            <v>20251024Visitacolmonterrey.pdf</v>
          </cell>
          <cell r="R183" t="str">
            <v>Los PIAR se encuentran en el formato establecido por el MEN falta la firma de los padres de familia. Registrar los apoyos requeridos en los ajustes razonables definidos</v>
          </cell>
          <cell r="S183" t="str">
            <v>Registrar en los PIAR los apoyos requeridos en los ajustes razonables y realizar la firma de compromisos con los padres de familia duarnte el primer trimestre</v>
          </cell>
          <cell r="T183" t="str">
            <v>Si</v>
          </cell>
          <cell r="U183" t="str">
            <v>Se revisará el PMI que entregue el colegio el 5 de noviembre</v>
          </cell>
        </row>
        <row r="184">
          <cell r="A184">
            <v>757</v>
          </cell>
          <cell r="B184">
            <v>20</v>
          </cell>
          <cell r="C184" t="str">
            <v>ENGATIVÁ</v>
          </cell>
          <cell r="D184" t="str">
            <v>PRIVADO</v>
          </cell>
          <cell r="E184" t="str">
            <v>EPBM</v>
          </cell>
          <cell r="F184" t="str">
            <v>COLEGIO_MONTERREY</v>
          </cell>
          <cell r="G184" t="str">
            <v>COLEGIO_MONTERREY</v>
          </cell>
          <cell r="H184" t="str">
            <v>Autoevaluación Institucional y Pruebas SABER 11</v>
          </cell>
          <cell r="I184" t="str">
            <v>EVALUACIÓN_CON_FINES_DE_MEJORAMIENTO.</v>
          </cell>
          <cell r="J1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4" t="str">
            <v>JUAN AGUSTÍN RODRÍGUEZ ROZO</v>
          </cell>
          <cell r="L184" t="str">
            <v>MÓNICA JANNETH RAMÍREZ MORENO</v>
          </cell>
          <cell r="M184">
            <v>45776</v>
          </cell>
          <cell r="N184">
            <v>45954</v>
          </cell>
          <cell r="O184">
            <v>45954</v>
          </cell>
          <cell r="P184" t="str">
            <v>Visitas de evaluación con fines de mejoramiento</v>
          </cell>
          <cell r="Q184" t="str">
            <v>20251024Visitacolmonterrey.pdf</v>
          </cell>
          <cell r="R184" t="str">
            <v>El manual está vigente y fue aprobado siguiendo el debido proceso; sinembargo , falta incluir lo relacionado con los enfoques de género, inclusión y restaurativo y se deben diferenciar las situaciones que afectan la convivencia escolar de las faltas disciplanarias y su debido proceso para manejarlas e Incluir lo relacionado con el directorio de protocolos para atender las situaciones de convivencia.</v>
          </cell>
          <cell r="S184" t="str">
            <v xml:space="preserve">Se debe revisar y ajustar el manual de convivencia con base en lo establecido en el Decreto 1075 de 2015, articulo 2.3.3.1.4.4. </v>
          </cell>
          <cell r="T184" t="str">
            <v>Si</v>
          </cell>
          <cell r="U184" t="str">
            <v>Se revisará el PMI que entregue el colegio el 5 de noviembre</v>
          </cell>
        </row>
        <row r="185">
          <cell r="A185">
            <v>758</v>
          </cell>
          <cell r="B185">
            <v>20</v>
          </cell>
          <cell r="C185" t="str">
            <v>ENGATIVÁ</v>
          </cell>
          <cell r="D185" t="str">
            <v>PRIVADO</v>
          </cell>
          <cell r="E185" t="str">
            <v>EPBM</v>
          </cell>
          <cell r="F185" t="str">
            <v>COLEGIO_MONTERREY</v>
          </cell>
          <cell r="G185" t="str">
            <v>COLEGIO_MONTERREY</v>
          </cell>
          <cell r="H185" t="str">
            <v>Autoevaluación Institucional y Pruebas SABER 11</v>
          </cell>
          <cell r="I185" t="str">
            <v>EVALUACIÓN_CON_FINES_DE_MEJORAMIENTO.</v>
          </cell>
          <cell r="J185" t="str">
            <v>Revisar la actualización, socialización e implementación del Sistema Institucional de Evaluación de Estudiantes - SIEE, en articulación con la actualización del PEI y la normatividad vigente.</v>
          </cell>
          <cell r="K185" t="str">
            <v>JUAN AGUSTÍN RODRÍGUEZ ROZO</v>
          </cell>
          <cell r="L185" t="str">
            <v>MÓNICA JANNETH RAMÍREZ MORENO</v>
          </cell>
          <cell r="M185">
            <v>45776</v>
          </cell>
          <cell r="N185">
            <v>45954</v>
          </cell>
          <cell r="O185">
            <v>45954</v>
          </cell>
          <cell r="P185" t="str">
            <v>Visitas de evaluación con fines de mejoramiento</v>
          </cell>
          <cell r="Q185" t="str">
            <v>20251024Visitacolmonterrey.pdf</v>
          </cell>
          <cell r="R185" t="str">
            <v>El colegio cuenta con un sistema institucional de apoyo a estudiantes con dificultades academicas denominado SIAEDA, que se reune en la mitad de cada periodo para revisar los casos de bajo desempeño academico y establecer las actividades de nivelación correspondientes.</v>
          </cell>
          <cell r="S185" t="str">
            <v>Tiene todos los componentes que establece el Decreto 1075 de 2015</v>
          </cell>
          <cell r="T185" t="str">
            <v>No</v>
          </cell>
          <cell r="U185" t="str">
            <v>Se verificará en otra vigencia o si se presenta petición o queja de la comunidad educativa</v>
          </cell>
        </row>
        <row r="186">
          <cell r="A186">
            <v>759</v>
          </cell>
          <cell r="B186">
            <v>20</v>
          </cell>
          <cell r="C186" t="str">
            <v>ENGATIVÁ</v>
          </cell>
          <cell r="D186" t="str">
            <v>PRIVADO</v>
          </cell>
          <cell r="E186" t="str">
            <v>EPBM</v>
          </cell>
          <cell r="F186" t="str">
            <v>COLEGIO_MONTERREY</v>
          </cell>
          <cell r="G186" t="str">
            <v>COLEGIO_MONTERREY</v>
          </cell>
          <cell r="H186" t="str">
            <v>Autoevaluación Institucional y Pruebas SABER 11</v>
          </cell>
          <cell r="I186" t="str">
            <v>EVALUACIÓN_CON_FINES_DE_MEJORAMIENTO.</v>
          </cell>
          <cell r="J186" t="str">
            <v>Revisar el calendario escolar, jornada escolar, la intensidad horaria mínima anual en cada nivel y las modificaciones que se realicen al mismo, de acuerdo con lo previsto en la normatividad vigente.</v>
          </cell>
          <cell r="K186" t="str">
            <v>JUAN AGUSTÍN RODRÍGUEZ ROZO</v>
          </cell>
          <cell r="L186" t="str">
            <v>MÓNICA JANNETH RAMÍREZ MORENO</v>
          </cell>
          <cell r="M186">
            <v>45776</v>
          </cell>
          <cell r="N186">
            <v>45954</v>
          </cell>
          <cell r="O186">
            <v>45954</v>
          </cell>
          <cell r="P186" t="str">
            <v>Visitas de evaluación con fines de mejoramiento</v>
          </cell>
          <cell r="Q186" t="str">
            <v>20251024Visitacolmonterrey.pdf</v>
          </cell>
          <cell r="R186" t="str">
            <v>Con base en el horario de clases, el colegio umple la siguiente in tensidad horaria: 1267 en el nivel de Preescolar, 1365 en Básica y 1219 en media. En la educación formal regular para jóvenes y adultos: 871 en la  basica y 473 en la media</v>
          </cell>
          <cell r="S186" t="str">
            <v>Se cumple con las horas establecidas para cada nivel y jornada</v>
          </cell>
          <cell r="T186" t="str">
            <v>No</v>
          </cell>
          <cell r="U186" t="str">
            <v>Se verificará en otra vigencia o si se presenta petición o queja de la comunidad educativa</v>
          </cell>
        </row>
        <row r="187">
          <cell r="A187">
            <v>760</v>
          </cell>
          <cell r="B187">
            <v>20</v>
          </cell>
          <cell r="C187" t="str">
            <v>ENGATIVÁ</v>
          </cell>
          <cell r="D187" t="str">
            <v>PRIVADO</v>
          </cell>
          <cell r="E187" t="str">
            <v>EPBM</v>
          </cell>
          <cell r="F187" t="str">
            <v>COLEGIO_MONTERREY</v>
          </cell>
          <cell r="G187" t="str">
            <v>COLEGIO_MONTERREY</v>
          </cell>
          <cell r="H187" t="str">
            <v>Autoevaluación Institucional y Pruebas SABER 11</v>
          </cell>
          <cell r="I187" t="str">
            <v>EVALUACIÓN_CON_FINES_DE_MEJORAMIENTO.</v>
          </cell>
          <cell r="J187" t="str">
            <v>Verificar el funcionamiento del Gobierno Escolar e instancias de participación con base en la información sobre conformación reportada por la institución educativa.</v>
          </cell>
          <cell r="K187" t="str">
            <v>JUAN AGUSTÍN RODRÍGUEZ ROZO</v>
          </cell>
          <cell r="L187" t="str">
            <v>MÓNICA JANNETH RAMÍREZ MORENO</v>
          </cell>
          <cell r="M187">
            <v>45776</v>
          </cell>
          <cell r="N187">
            <v>45954</v>
          </cell>
          <cell r="O187">
            <v>45954</v>
          </cell>
          <cell r="P187" t="str">
            <v>Visitas de evaluación con fines de mejoramiento</v>
          </cell>
          <cell r="Q187" t="str">
            <v>20251024Visitacolmonterrey.pdf</v>
          </cell>
          <cell r="R187" t="str">
            <v>El Consejo Directivo se ha reunido dos veces para la presente vigencia, se indica que según la normativa vigente debe reunirse por lo menos cada dos meses y extraordinariamente cuando se amerite</v>
          </cell>
          <cell r="S187" t="str">
            <v>La periodicidad de las reuniones debe ser la indicada en la norma</v>
          </cell>
          <cell r="T187" t="str">
            <v>Si</v>
          </cell>
          <cell r="U187" t="str">
            <v>Se revisará el PMI que entregue el colegio el 5 de noviembre</v>
          </cell>
        </row>
        <row r="188">
          <cell r="A188">
            <v>761</v>
          </cell>
          <cell r="B188">
            <v>20</v>
          </cell>
          <cell r="C188" t="str">
            <v>ENGATIVÁ</v>
          </cell>
          <cell r="D188" t="str">
            <v>PRIVADO</v>
          </cell>
          <cell r="E188" t="str">
            <v>EPBM</v>
          </cell>
          <cell r="F188" t="str">
            <v>COLEGIO_MONTERREY</v>
          </cell>
          <cell r="G188" t="str">
            <v>COLEGIO_MONTERREY</v>
          </cell>
          <cell r="H188" t="str">
            <v>Autoevaluación Institucional y Pruebas SABER 11</v>
          </cell>
          <cell r="I188" t="str">
            <v>EVALUACIÓN_CON_FINES_DE_MEJORAMIENTO.</v>
          </cell>
          <cell r="J188" t="str">
            <v>Verificar las condiciones en cuanto a: la estructura administrativa, condiciones de la planta física y medios educativos adecuados.</v>
          </cell>
          <cell r="K188" t="str">
            <v>JUAN AGUSTÍN RODRÍGUEZ ROZO</v>
          </cell>
          <cell r="L188" t="str">
            <v>MÓNICA JANNETH RAMÍREZ MORENO</v>
          </cell>
          <cell r="M188">
            <v>45776</v>
          </cell>
          <cell r="N188">
            <v>45954</v>
          </cell>
          <cell r="O188">
            <v>45954</v>
          </cell>
          <cell r="P188" t="str">
            <v>Visitas de evaluación con fines de mejoramiento</v>
          </cell>
          <cell r="Q188" t="str">
            <v>20251024Visitacolmonterrey.pdf</v>
          </cell>
          <cell r="R188" t="str">
            <v>La señora Ana Mercedes Moreno de Gonzalez, quien figura como propietaria, falleció en el año 2022 y a la fecha no han realizado el juicio de sucesión correspondiente para determinar el actual propietario o propietarios.</v>
          </cell>
          <cell r="S188" t="str">
            <v>El colegio debe aportar la documentación necesaria para definir la propiedad del establecimiento educativo</v>
          </cell>
          <cell r="T188" t="str">
            <v>Si</v>
          </cell>
          <cell r="U188" t="str">
            <v>Se revisará el PMI que entregue el colegio el 5 de noviembre</v>
          </cell>
        </row>
        <row r="189">
          <cell r="A189">
            <v>762</v>
          </cell>
          <cell r="B189">
            <v>21</v>
          </cell>
          <cell r="C189" t="str">
            <v>ENGATIVÁ</v>
          </cell>
          <cell r="D189" t="str">
            <v>PRIVADO</v>
          </cell>
          <cell r="E189" t="str">
            <v>EPBM</v>
          </cell>
          <cell r="F189" t="str">
            <v>LICEO_MODERNO_CELESTIN_FREINET</v>
          </cell>
          <cell r="G189" t="str">
            <v>LICEO_MODERNO_CELESTIN_FREINET</v>
          </cell>
          <cell r="H189" t="str">
            <v>Autoevaluación Institucional y Pruebas SABER 11</v>
          </cell>
          <cell r="I189" t="str">
            <v>SEGUIMIENTO_Y_SUPERVISIÓN.</v>
          </cell>
          <cell r="J189" t="str">
            <v>Proponer estrategias en la formulación, verificar su elaboración y realizar seguimiento semestral al desarrollo de  las acciones establecidas en los planes de mejoramiento por pruebas SABER 11 de los establecimientos de educación formal.</v>
          </cell>
          <cell r="K189" t="str">
            <v>JUAN AGUSTÍN RODRÍGUEZ ROZO</v>
          </cell>
          <cell r="L189" t="str">
            <v>SANDRA MILENA BUENAVENTURA RUEDA</v>
          </cell>
          <cell r="M189">
            <v>45783</v>
          </cell>
          <cell r="N189">
            <v>45783</v>
          </cell>
          <cell r="O189">
            <v>45783</v>
          </cell>
          <cell r="P189" t="str">
            <v>Visitas de evaluación con fines de seguimiento</v>
          </cell>
          <cell r="Q189" t="str">
            <v>ActaLicCelestinFrei.pdf</v>
          </cell>
          <cell r="R189" t="str">
            <v>El colegio expuso evidencias de realización de pruebas y de acciones de nivelación con estudiantes de bajo desempeño en horas de descanso</v>
          </cell>
          <cell r="S189" t="str">
            <v xml:space="preserve">El colegio se compromete a realziar revisión y actualización periodica al plan de estudios </v>
          </cell>
          <cell r="T189" t="str">
            <v>No</v>
          </cell>
          <cell r="U189" t="str">
            <v>Revisión de acta del consejo académico donde se evidencie el proceso de actualziación</v>
          </cell>
        </row>
        <row r="190">
          <cell r="A190">
            <v>763</v>
          </cell>
          <cell r="B190">
            <v>21</v>
          </cell>
          <cell r="C190" t="str">
            <v>ENGATIVÁ</v>
          </cell>
          <cell r="D190" t="str">
            <v>PRIVADO</v>
          </cell>
          <cell r="E190" t="str">
            <v>EPBM</v>
          </cell>
          <cell r="F190" t="str">
            <v>LICEO_MODERNO_CELESTIN_FREINET</v>
          </cell>
          <cell r="G190" t="str">
            <v>LICEO_MODERNO_CELESTIN_FREINET</v>
          </cell>
          <cell r="H190" t="str">
            <v>Autoevaluación Institucional y Pruebas SABER 11</v>
          </cell>
          <cell r="I190" t="str">
            <v>SEGUIMIENTO_Y_SUPERVISIÓN.</v>
          </cell>
          <cell r="J190" t="str">
            <v xml:space="preserve">Verificar la implementación por parte de los colegios, de acciones realizadas para la prevención y atención de las situaciones de convivencia en el entorno escolar, según lo establecido en la Directiva 01 de 2022 del MEN. </v>
          </cell>
          <cell r="K190" t="str">
            <v>JUAN AGUSTÍN RODRÍGUEZ ROZO</v>
          </cell>
          <cell r="L190" t="str">
            <v>SANDRA MILENA BUENAVENTURA RUEDA</v>
          </cell>
          <cell r="M190">
            <v>45783</v>
          </cell>
          <cell r="N190">
            <v>45783</v>
          </cell>
          <cell r="O190">
            <v>45783</v>
          </cell>
          <cell r="P190" t="str">
            <v>Visitas de evaluación con fines de seguimiento</v>
          </cell>
          <cell r="Q190" t="str">
            <v>ActaLicCelestinFrei.pdf</v>
          </cell>
          <cell r="R190" t="str">
            <v>No se encontraron evidencias de la realización de las verificaciones cuatrimestrales</v>
          </cell>
          <cell r="S190" t="str">
            <v>Se debe hacer las verificacioens con la periodicidad indicada</v>
          </cell>
          <cell r="T190" t="str">
            <v>Si</v>
          </cell>
          <cell r="U190" t="str">
            <v>Verificación en carperta sonbre resultados de las verificaciones</v>
          </cell>
        </row>
        <row r="191">
          <cell r="A191">
            <v>764</v>
          </cell>
          <cell r="B191">
            <v>21</v>
          </cell>
          <cell r="C191" t="str">
            <v>ENGATIVÁ</v>
          </cell>
          <cell r="D191" t="str">
            <v>PRIVADO</v>
          </cell>
          <cell r="E191" t="str">
            <v>EPBM</v>
          </cell>
          <cell r="F191" t="str">
            <v>LICEO_MODERNO_CELESTIN_FREINET</v>
          </cell>
          <cell r="G191" t="str">
            <v>LICEO_MODERNO_CELESTIN_FREINET</v>
          </cell>
          <cell r="H191" t="str">
            <v>Autoevaluación Institucional y Pruebas SABER 11</v>
          </cell>
          <cell r="I191" t="str">
            <v>SEGUIMIENTO_Y_SUPERVISIÓN.</v>
          </cell>
          <cell r="J19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1" t="str">
            <v>JUAN AGUSTÍN RODRÍGUEZ ROZO</v>
          </cell>
          <cell r="L191" t="str">
            <v>SANDRA MILENA BUENAVENTURA RUEDA</v>
          </cell>
          <cell r="M191">
            <v>45783</v>
          </cell>
          <cell r="N191">
            <v>45783</v>
          </cell>
          <cell r="O191">
            <v>45783</v>
          </cell>
          <cell r="P191" t="str">
            <v>Visitas de evaluación con fines de seguimiento</v>
          </cell>
          <cell r="Q191" t="str">
            <v>ActaLicCelestinFrei.pdf</v>
          </cell>
          <cell r="R191" t="str">
            <v>Se evidencia la elaboración de 7  PIAR y su socialización con los padres de familias y las remisiones necesarias al sector salud</v>
          </cell>
          <cell r="S191" t="str">
            <v>El colegio se compromete a actualziar el SIMAT registrando estas novedades ya que solo se registran dos estudiantes</v>
          </cell>
          <cell r="T191" t="str">
            <v>Si</v>
          </cell>
          <cell r="U191" t="str">
            <v>Verificación en SIMAT de los estudiantes faltantes y completitud del diseño de los PIAR</v>
          </cell>
        </row>
        <row r="192">
          <cell r="A192">
            <v>765</v>
          </cell>
          <cell r="B192">
            <v>21</v>
          </cell>
          <cell r="C192" t="str">
            <v>ENGATIVÁ</v>
          </cell>
          <cell r="D192" t="str">
            <v>PRIVADO</v>
          </cell>
          <cell r="E192" t="str">
            <v>EPBM</v>
          </cell>
          <cell r="F192" t="str">
            <v>LICEO_MODERNO_CELESTIN_FREINET</v>
          </cell>
          <cell r="G192" t="str">
            <v>LICEO_MODERNO_CELESTIN_FREINET</v>
          </cell>
          <cell r="H192" t="str">
            <v>Autoevaluación Institucional y Pruebas SABER 11</v>
          </cell>
          <cell r="I192" t="str">
            <v>EVALUACIÓN_CON_FINES_DE_MEJORAMIENTO.</v>
          </cell>
          <cell r="J1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2" t="str">
            <v>JUAN AGUSTÍN RODRÍGUEZ ROZO</v>
          </cell>
          <cell r="L192" t="str">
            <v>SANDRA MILENA BUENAVENTURA RUEDA</v>
          </cell>
          <cell r="M192">
            <v>45783</v>
          </cell>
          <cell r="N192">
            <v>45783</v>
          </cell>
          <cell r="O192">
            <v>45783</v>
          </cell>
          <cell r="P192" t="str">
            <v>Visitas de evaluación con fines de mejoramiento</v>
          </cell>
          <cell r="Q192" t="str">
            <v>ActaLicCelestinFrei.pdf</v>
          </cell>
          <cell r="R192" t="str">
            <v>El colegio aporta evidencias de la socialización y actualización conforme a lo establecido a la normatividad vigente, publicandolo en su página web</v>
          </cell>
          <cell r="S192" t="str">
            <v>El colegio dará continuidad a los procesos de actualización que viene adelantando</v>
          </cell>
          <cell r="T192" t="str">
            <v>No</v>
          </cell>
          <cell r="U192" t="str">
            <v>En el año 2026 confirmar la actualización respecto al año 2025</v>
          </cell>
        </row>
        <row r="193">
          <cell r="A193">
            <v>766</v>
          </cell>
          <cell r="B193">
            <v>21</v>
          </cell>
          <cell r="C193" t="str">
            <v>ENGATIVÁ</v>
          </cell>
          <cell r="D193" t="str">
            <v>PRIVADO</v>
          </cell>
          <cell r="E193" t="str">
            <v>EPBM</v>
          </cell>
          <cell r="F193" t="str">
            <v>LICEO_MODERNO_CELESTIN_FREINET</v>
          </cell>
          <cell r="G193" t="str">
            <v>LICEO_MODERNO_CELESTIN_FREINET</v>
          </cell>
          <cell r="H193" t="str">
            <v>Autoevaluación Institucional y Pruebas SABER 11</v>
          </cell>
          <cell r="I193" t="str">
            <v>EVALUACIÓN_CON_FINES_DE_MEJORAMIENTO.</v>
          </cell>
          <cell r="J193" t="str">
            <v>Revisar la actualización, socialización e implementación del Sistema Institucional de Evaluación de Estudiantes - SIEE, en articulación con la actualización del PEI y la normatividad vigente.</v>
          </cell>
          <cell r="K193" t="str">
            <v>JUAN AGUSTÍN RODRÍGUEZ ROZO</v>
          </cell>
          <cell r="L193" t="str">
            <v>SANDRA MILENA BUENAVENTURA RUEDA</v>
          </cell>
          <cell r="M193">
            <v>45783</v>
          </cell>
          <cell r="N193">
            <v>45783</v>
          </cell>
          <cell r="O193">
            <v>45783</v>
          </cell>
          <cell r="P193" t="str">
            <v>Visitas de evaluación con fines de mejoramiento</v>
          </cell>
          <cell r="Q193" t="str">
            <v>ActaLicCelestinFrei.pdf</v>
          </cell>
          <cell r="R193" t="str">
            <v xml:space="preserve">El colegio lo implementa através de la plataforma Q10, donde se evidenvcia socialización, ejecución y registro de la información </v>
          </cell>
          <cell r="S193" t="str">
            <v xml:space="preserve">Continuar con el uso de la plataforma, con el trabajo colaborativo y los talleres de nivelación </v>
          </cell>
          <cell r="T193" t="str">
            <v>No</v>
          </cell>
          <cell r="U193" t="str">
            <v>En el año 2026 confirmar la continuidad en el uso  de la plataforma y la actualización de los registros</v>
          </cell>
        </row>
        <row r="194">
          <cell r="A194">
            <v>767</v>
          </cell>
          <cell r="B194">
            <v>21</v>
          </cell>
          <cell r="C194" t="str">
            <v>ENGATIVÁ</v>
          </cell>
          <cell r="D194" t="str">
            <v>PRIVADO</v>
          </cell>
          <cell r="E194" t="str">
            <v>EPBM</v>
          </cell>
          <cell r="F194" t="str">
            <v>LICEO_MODERNO_CELESTIN_FREINET</v>
          </cell>
          <cell r="G194" t="str">
            <v>LICEO_MODERNO_CELESTIN_FREINET</v>
          </cell>
          <cell r="H194" t="str">
            <v>Autoevaluación Institucional y Pruebas SABER 11</v>
          </cell>
          <cell r="I194" t="str">
            <v>EVALUACIÓN_CON_FINES_DE_MEJORAMIENTO.</v>
          </cell>
          <cell r="J194" t="str">
            <v>Revisar el calendario escolar, jornada escolar, la intensidad horaria mínima anual en cada nivel y las modificaciones que se realicen al mismo, de acuerdo con lo previsto en la normatividad vigente.</v>
          </cell>
          <cell r="K194" t="str">
            <v>JUAN AGUSTÍN RODRÍGUEZ ROZO</v>
          </cell>
          <cell r="L194" t="str">
            <v>SANDRA MILENA BUENAVENTURA RUEDA</v>
          </cell>
          <cell r="M194">
            <v>45783</v>
          </cell>
          <cell r="N194">
            <v>45783</v>
          </cell>
          <cell r="O194">
            <v>45783</v>
          </cell>
          <cell r="P194" t="str">
            <v>Visitas de evaluación con fines de mejoramiento</v>
          </cell>
          <cell r="Q194" t="str">
            <v>ActaLicCelestinFrei.pdf</v>
          </cell>
          <cell r="R194" t="str">
            <v>El colegio contiene el calendario escolar registrandolo en el ONE DRIVE y cumple las intensidades horarias requeridas</v>
          </cell>
          <cell r="S194" t="str">
            <v>Continuar el cumplimiento de las horas mínimas en cada uno de los niveles</v>
          </cell>
          <cell r="T194" t="str">
            <v>No</v>
          </cell>
          <cell r="U194" t="str">
            <v>En el año 2026 confirmar la continuidad en el cumplimiento de las horas establecidas</v>
          </cell>
        </row>
        <row r="195">
          <cell r="A195">
            <v>768</v>
          </cell>
          <cell r="B195">
            <v>21</v>
          </cell>
          <cell r="C195" t="str">
            <v>ENGATIVÁ</v>
          </cell>
          <cell r="D195" t="str">
            <v>PRIVADO</v>
          </cell>
          <cell r="E195" t="str">
            <v>EPBM</v>
          </cell>
          <cell r="F195" t="str">
            <v>LICEO_MODERNO_CELESTIN_FREINET</v>
          </cell>
          <cell r="G195" t="str">
            <v>LICEO_MODERNO_CELESTIN_FREINET</v>
          </cell>
          <cell r="H195" t="str">
            <v>Autoevaluación Institucional y Pruebas SABER 11</v>
          </cell>
          <cell r="I195" t="str">
            <v>EVALUACIÓN_CON_FINES_DE_MEJORAMIENTO.</v>
          </cell>
          <cell r="J195" t="str">
            <v>Verificar el funcionamiento del Gobierno Escolar e instancias de participación con base en la información sobre conformación reportada por la institución educativa.</v>
          </cell>
          <cell r="K195" t="str">
            <v>JUAN AGUSTÍN RODRÍGUEZ ROZO</v>
          </cell>
          <cell r="L195" t="str">
            <v>SANDRA MILENA BUENAVENTURA RUEDA</v>
          </cell>
          <cell r="M195">
            <v>45783</v>
          </cell>
          <cell r="N195">
            <v>45783</v>
          </cell>
          <cell r="O195">
            <v>45783</v>
          </cell>
          <cell r="P195" t="str">
            <v>Visitas de evaluación con fines de mejoramiento</v>
          </cell>
          <cell r="Q195" t="str">
            <v>ActaLicCelestinFrei.pdf</v>
          </cell>
          <cell r="R195" t="str">
            <v>El colegio aportó carpea institucional con actas de conformación y funcionamiento del gobierno escolar</v>
          </cell>
          <cell r="S195" t="str">
            <v>Dar continuidad a la periodicidad de las reuniones y al registro formal de sus decisiones</v>
          </cell>
          <cell r="T195" t="str">
            <v>No</v>
          </cell>
          <cell r="U195" t="str">
            <v>verificación de las actas de las sesiones realizadas</v>
          </cell>
        </row>
        <row r="196">
          <cell r="A196">
            <v>769</v>
          </cell>
          <cell r="B196">
            <v>21</v>
          </cell>
          <cell r="C196" t="str">
            <v>ENGATIVÁ</v>
          </cell>
          <cell r="D196" t="str">
            <v>PRIVADO</v>
          </cell>
          <cell r="E196" t="str">
            <v>EPBM</v>
          </cell>
          <cell r="F196" t="str">
            <v>LICEO_MODERNO_CELESTIN_FREINET</v>
          </cell>
          <cell r="G196" t="str">
            <v>LICEO_MODERNO_CELESTIN_FREINET</v>
          </cell>
          <cell r="H196" t="str">
            <v>Autoevaluación Institucional y Pruebas SABER 11</v>
          </cell>
          <cell r="I196" t="str">
            <v>EVALUACIÓN_CON_FINES_DE_MEJORAMIENTO.</v>
          </cell>
          <cell r="J196" t="str">
            <v>Verificar las condiciones en cuanto a: la estructura administrativa, condiciones de la planta física y medios educativos adecuados.</v>
          </cell>
          <cell r="K196" t="str">
            <v>JUAN AGUSTÍN RODRÍGUEZ ROZO</v>
          </cell>
          <cell r="L196" t="str">
            <v>SANDRA MILENA BUENAVENTURA RUEDA</v>
          </cell>
          <cell r="M196">
            <v>45783</v>
          </cell>
          <cell r="N196">
            <v>45783</v>
          </cell>
          <cell r="O196">
            <v>45783</v>
          </cell>
          <cell r="P196" t="str">
            <v>Visitas de evaluación con fines de mejoramiento</v>
          </cell>
          <cell r="Q196" t="str">
            <v>ActaLicCelestinFrei.pdf</v>
          </cell>
          <cell r="R196" t="str">
            <v>En el recorrido se evidenció el buen estado de la dotación y la suficiencia respecto a los ambientes aprendizaje</v>
          </cell>
          <cell r="S196" t="str">
            <v>Continuar las políticas de mantenimiento preventivo y correctivo</v>
          </cell>
          <cell r="T196" t="str">
            <v>No</v>
          </cell>
          <cell r="U196" t="str">
            <v>Revisión del resultado de la visita de la Subred Norte sobre concepto sanitario</v>
          </cell>
        </row>
        <row r="197">
          <cell r="A197">
            <v>770</v>
          </cell>
          <cell r="B197">
            <v>22</v>
          </cell>
          <cell r="C197" t="str">
            <v>ENGATIVÁ</v>
          </cell>
          <cell r="D197" t="str">
            <v>PRIVADO</v>
          </cell>
          <cell r="E197" t="str">
            <v>EPBM</v>
          </cell>
          <cell r="F197" t="str">
            <v>COLEGIO_HENRY_WALLON</v>
          </cell>
          <cell r="G197" t="str">
            <v>COLEGIO_HENRY_WALLON</v>
          </cell>
          <cell r="H197" t="str">
            <v>Autoevaluación Institucional y Pruebas SABER 11</v>
          </cell>
          <cell r="I197" t="str">
            <v>SEGUIMIENTO_Y_SUPERVISIÓN.</v>
          </cell>
          <cell r="J197" t="str">
            <v>Proponer estrategias en la formulación, verificar su elaboración y realizar seguimiento semestral al desarrollo de  las acciones establecidas en los planes de mejoramiento por pruebas SABER 11 de los establecimientos de educación formal.</v>
          </cell>
          <cell r="K197" t="str">
            <v>LUZ MERY PARRA NOPE</v>
          </cell>
          <cell r="L197" t="str">
            <v>SANDRA MILENA BUENAVENTURA RUEDA</v>
          </cell>
          <cell r="M197">
            <v>45772</v>
          </cell>
          <cell r="N197">
            <v>45772</v>
          </cell>
          <cell r="O197">
            <v>45772</v>
          </cell>
          <cell r="P197" t="str">
            <v>Visitas de evaluación con fines de seguimiento</v>
          </cell>
          <cell r="Q197" t="str">
            <v>ACTA DE VISITA COLEGIO HENRY WALLON 25 ABRIL DE 2025.pdf</v>
          </cell>
          <cell r="R197" t="str">
            <v xml:space="preserve">Se observa que la IE realizó la estadistica con los resultados de las puebas del año 2024a finales de noviembre de 2024, se conto con a participación de los docentes. </v>
          </cell>
          <cell r="S197" t="str">
            <v>Implementan plan de mejoramiento y plan de estudios y pryectos realizados con los docentes con el fin de mejorar los puntajes para el año 2025</v>
          </cell>
          <cell r="T197" t="str">
            <v>Si</v>
          </cell>
          <cell r="U197" t="str">
            <v>La IE tiene plazo para radicación del plan de mejoramiento 10 días hábiles posteriores a la visita. Una vez radicado procedemos con la revisión</v>
          </cell>
        </row>
        <row r="198">
          <cell r="A198">
            <v>771</v>
          </cell>
          <cell r="B198">
            <v>22</v>
          </cell>
          <cell r="C198" t="str">
            <v>ENGATIVÁ</v>
          </cell>
          <cell r="D198" t="str">
            <v>PRIVADO</v>
          </cell>
          <cell r="E198" t="str">
            <v>EPBM</v>
          </cell>
          <cell r="F198" t="str">
            <v>COLEGIO_HENRY_WALLON</v>
          </cell>
          <cell r="G198" t="str">
            <v>COLEGIO_HENRY_WALLON</v>
          </cell>
          <cell r="H198" t="str">
            <v>Autoevaluación Institucional y Pruebas SABER 11</v>
          </cell>
          <cell r="I198" t="str">
            <v>SEGUIMIENTO_Y_SUPERVISIÓN.</v>
          </cell>
          <cell r="J198" t="str">
            <v xml:space="preserve">Verificar la implementación por parte de los colegios, de acciones realizadas para la prevención y atención de las situaciones de convivencia en el entorno escolar, según lo establecido en la Directiva 01 de 2022 del MEN. </v>
          </cell>
          <cell r="K198" t="str">
            <v>LUZ MERY PARRA NOPE</v>
          </cell>
          <cell r="L198" t="str">
            <v>SANDRA MILENA BUENAVENTURA RUEDA</v>
          </cell>
          <cell r="M198">
            <v>45772</v>
          </cell>
          <cell r="N198">
            <v>45772</v>
          </cell>
          <cell r="O198">
            <v>45772</v>
          </cell>
          <cell r="P198" t="str">
            <v>Visitas de evaluación con fines de seguimiento</v>
          </cell>
          <cell r="Q198" t="str">
            <v>ACTA DE VISITA COLEGIO HENRY WALLON 25 ABRIL DE 2025.pdf</v>
          </cell>
          <cell r="R198" t="str">
            <v>Se evidencia en cada una de las hojas de vida de los docentes y personal de planta la IE la consulta realizada entre los meses de enero y febrero de 2025. Por tanto, se encuentra dentro de los 4 meses y cumple con la normativida</v>
          </cell>
          <cell r="S198" t="str">
            <v>Seguir realizando la consulta cada 4 meses y archivar en hojas de vida.</v>
          </cell>
          <cell r="T198" t="str">
            <v>No</v>
          </cell>
          <cell r="U198" t="str">
            <v>Se hará verificación en caso de presentar solicitud o queja ciudadana.</v>
          </cell>
        </row>
        <row r="199">
          <cell r="A199">
            <v>772</v>
          </cell>
          <cell r="B199">
            <v>22</v>
          </cell>
          <cell r="C199" t="str">
            <v>ENGATIVÁ</v>
          </cell>
          <cell r="D199" t="str">
            <v>PRIVADO</v>
          </cell>
          <cell r="E199" t="str">
            <v>EPBM</v>
          </cell>
          <cell r="F199" t="str">
            <v>COLEGIO_HENRY_WALLON</v>
          </cell>
          <cell r="G199" t="str">
            <v>COLEGIO_HENRY_WALLON</v>
          </cell>
          <cell r="H199" t="str">
            <v>Autoevaluación Institucional y Pruebas SABER 11</v>
          </cell>
          <cell r="I199" t="str">
            <v>SEGUIMIENTO_Y_SUPERVISIÓN.</v>
          </cell>
          <cell r="J19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9" t="str">
            <v>LUZ MERY PARRA NOPE</v>
          </cell>
          <cell r="L199" t="str">
            <v>SANDRA MILENA BUENAVENTURA RUEDA</v>
          </cell>
          <cell r="M199">
            <v>45772</v>
          </cell>
          <cell r="N199">
            <v>45772</v>
          </cell>
          <cell r="O199">
            <v>45772</v>
          </cell>
          <cell r="P199" t="str">
            <v>Visitas de evaluación con fines de seguimiento</v>
          </cell>
          <cell r="Q199" t="str">
            <v>ACTA DE VISITA COLEGIO HENRY WALLON 25 ABRIL DE 2025.pdf</v>
          </cell>
          <cell r="R199" t="str">
            <v>Aportan 2 PIAR de los estudiantes con algún tipo de incapacidad. Se encuentra en elaboración uno pendiente por entrega del diagnostico medico que deben aportar los padres de familia.</v>
          </cell>
          <cell r="S199" t="str">
            <v>Una vez la familia aporte diagnostico del estudiante faltante, se comprometen a realizar PIAR y solcializarlo.</v>
          </cell>
          <cell r="T199" t="str">
            <v>Si</v>
          </cell>
          <cell r="U199" t="str">
            <v>La IE tiene plazo para radicación del plan de mejoramiento 10 días hábiles posteriores a la visita. Una vez radicado procedemos con la revisión</v>
          </cell>
        </row>
        <row r="200">
          <cell r="A200">
            <v>773</v>
          </cell>
          <cell r="B200">
            <v>22</v>
          </cell>
          <cell r="C200" t="str">
            <v>ENGATIVÁ</v>
          </cell>
          <cell r="D200" t="str">
            <v>PRIVADO</v>
          </cell>
          <cell r="E200" t="str">
            <v>EPBM</v>
          </cell>
          <cell r="F200" t="str">
            <v>COLEGIO_HENRY_WALLON</v>
          </cell>
          <cell r="G200" t="str">
            <v>COLEGIO_HENRY_WALLON</v>
          </cell>
          <cell r="H200" t="str">
            <v>Autoevaluación Institucional y Pruebas SABER 11</v>
          </cell>
          <cell r="I200" t="str">
            <v>EVALUACIÓN_CON_FINES_DE_MEJORAMIENTO.</v>
          </cell>
          <cell r="J20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0" t="str">
            <v>LUZ MERY PARRA NOPE</v>
          </cell>
          <cell r="L200" t="str">
            <v>SANDRA MILENA BUENAVENTURA RUEDA</v>
          </cell>
          <cell r="M200">
            <v>45772</v>
          </cell>
          <cell r="N200">
            <v>45772</v>
          </cell>
          <cell r="O200">
            <v>45772</v>
          </cell>
          <cell r="P200" t="str">
            <v>Visitas de evaluación con fines de mejoramiento</v>
          </cell>
          <cell r="Q200" t="str">
            <v>ACTA DE VISITA COLEGIO HENRY WALLON 25 ABRIL DE 2025.pdf</v>
          </cell>
          <cell r="R200" t="str">
            <v>La ultima actualización al Manual de convivencia fue terminada el 02/12/2024. Mediante circular enviada a padres de familias se invito a realizar aportes para su actualización</v>
          </cell>
          <cell r="S200" t="str">
            <v>No se evidencia en el Manual los elementos de ley y los diferentes enfoques que fomentan el respeto, la valoración de la diversidad y el enfoque restaurativo. Tipificar en el manual de convivencia situaciones y faltas. Definir estrategias de apoyo para familias y estudiantes con dificultades socio emocionales desde orientación</v>
          </cell>
          <cell r="T200" t="str">
            <v>Si</v>
          </cell>
          <cell r="U200" t="str">
            <v>La IE tiene plazo para radicación del plan de mejoramiento 10 días hábiles posteriores a la visita. Una vez radicado procedemos con la revisión</v>
          </cell>
        </row>
        <row r="201">
          <cell r="A201">
            <v>774</v>
          </cell>
          <cell r="B201">
            <v>22</v>
          </cell>
          <cell r="C201" t="str">
            <v>ENGATIVÁ</v>
          </cell>
          <cell r="D201" t="str">
            <v>PRIVADO</v>
          </cell>
          <cell r="E201" t="str">
            <v>EPBM</v>
          </cell>
          <cell r="F201" t="str">
            <v>COLEGIO_HENRY_WALLON</v>
          </cell>
          <cell r="G201" t="str">
            <v>COLEGIO_HENRY_WALLON</v>
          </cell>
          <cell r="H201" t="str">
            <v>Autoevaluación Institucional y Pruebas SABER 11</v>
          </cell>
          <cell r="I201" t="str">
            <v>EVALUACIÓN_CON_FINES_DE_MEJORAMIENTO.</v>
          </cell>
          <cell r="J201" t="str">
            <v>Revisar la actualización, socialización e implementación del Sistema Institucional de Evaluación de Estudiantes - SIEE, en articulación con la actualización del PEI y la normatividad vigente.</v>
          </cell>
          <cell r="K201" t="str">
            <v>LUZ MERY PARRA NOPE</v>
          </cell>
          <cell r="L201" t="str">
            <v>SANDRA MILENA BUENAVENTURA RUEDA</v>
          </cell>
          <cell r="M201">
            <v>45772</v>
          </cell>
          <cell r="N201">
            <v>45772</v>
          </cell>
          <cell r="O201">
            <v>45772</v>
          </cell>
          <cell r="P201" t="str">
            <v>Visitas de evaluación con fines de mejoramiento</v>
          </cell>
          <cell r="Q201" t="str">
            <v>ACTA DE VISITA COLEGIO HENRY WALLON 25 ABRIL DE 2025.pdf</v>
          </cell>
          <cell r="R201" t="str">
            <v>El SIEE se encuentra registrado en la agenda del Colegio, de otro lado se evidencia que cada docente carga la información manuelamente en planillas de un excel y un onedrive, cuentan con planes y proyectos por acada area en fisico, igualmente con actas de recuperación y nivelaciones.</v>
          </cell>
          <cell r="S201" t="str">
            <v>Seguir realizando estrategias de apoyo pedagogicas para su actualización según la normatividad vigente.</v>
          </cell>
          <cell r="T201" t="str">
            <v>No</v>
          </cell>
          <cell r="U201" t="str">
            <v>Se hará verificación en caso de presentar solicitud o queja ciudadana.</v>
          </cell>
        </row>
        <row r="202">
          <cell r="A202">
            <v>775</v>
          </cell>
          <cell r="B202">
            <v>22</v>
          </cell>
          <cell r="C202" t="str">
            <v>ENGATIVÁ</v>
          </cell>
          <cell r="D202" t="str">
            <v>PRIVADO</v>
          </cell>
          <cell r="E202" t="str">
            <v>EPBM</v>
          </cell>
          <cell r="F202" t="str">
            <v>COLEGIO_HENRY_WALLON</v>
          </cell>
          <cell r="G202" t="str">
            <v>COLEGIO_HENRY_WALLON</v>
          </cell>
          <cell r="H202" t="str">
            <v>Autoevaluación Institucional y Pruebas SABER 11</v>
          </cell>
          <cell r="I202" t="str">
            <v>EVALUACIÓN_CON_FINES_DE_MEJORAMIENTO.</v>
          </cell>
          <cell r="J202" t="str">
            <v>Revisar el calendario escolar, jornada escolar, la intensidad horaria mínima anual en cada nivel y las modificaciones que se realicen al mismo, de acuerdo con lo previsto en la normatividad vigente.</v>
          </cell>
          <cell r="K202" t="str">
            <v>LUZ MERY PARRA NOPE</v>
          </cell>
          <cell r="L202" t="str">
            <v>SANDRA MILENA BUENAVENTURA RUEDA</v>
          </cell>
          <cell r="M202">
            <v>45772</v>
          </cell>
          <cell r="N202">
            <v>45772</v>
          </cell>
          <cell r="O202">
            <v>45772</v>
          </cell>
          <cell r="P202" t="str">
            <v>Visitas de evaluación con fines de mejoramiento</v>
          </cell>
          <cell r="Q202" t="str">
            <v>ACTA DE VISITA COLEGIO HENRY WALLON 25 ABRIL DE 2025.pdf</v>
          </cell>
          <cell r="R202" t="str">
            <v>Se observa en el calendario escolar la intesidad horaria minima anual en cada nivel.</v>
          </cell>
          <cell r="S202" t="str">
            <v>Con respecto a las Jornadas pedagógicas y de formación docente realizar planeación de las fechas en que se realizarán, y registrarlas en calendario académico. Continuar garantizando el cumplliento de la intesidad horaria minima permitida según normatividad vigente.</v>
          </cell>
          <cell r="T202" t="str">
            <v>Si</v>
          </cell>
          <cell r="U202" t="str">
            <v>La IE tiene plazo para radicación del plan de mejoramiento 10 días hábiles posteriores a la visita. Una vez radicado procedemos con la revisión</v>
          </cell>
        </row>
        <row r="203">
          <cell r="A203">
            <v>776</v>
          </cell>
          <cell r="B203">
            <v>22</v>
          </cell>
          <cell r="C203" t="str">
            <v>ENGATIVÁ</v>
          </cell>
          <cell r="D203" t="str">
            <v>PRIVADO</v>
          </cell>
          <cell r="E203" t="str">
            <v>EPBM</v>
          </cell>
          <cell r="F203" t="str">
            <v>COLEGIO_HENRY_WALLON</v>
          </cell>
          <cell r="G203" t="str">
            <v>COLEGIO_HENRY_WALLON</v>
          </cell>
          <cell r="H203" t="str">
            <v>Autoevaluación Institucional y Pruebas SABER 11</v>
          </cell>
          <cell r="I203" t="str">
            <v>EVALUACIÓN_CON_FINES_DE_MEJORAMIENTO.</v>
          </cell>
          <cell r="J203" t="str">
            <v>Verificar el funcionamiento del Gobierno Escolar e instancias de participación con base en la información sobre conformación reportada por la institución educativa.</v>
          </cell>
          <cell r="K203" t="str">
            <v>LUZ MERY PARRA NOPE</v>
          </cell>
          <cell r="L203" t="str">
            <v>SANDRA MILENA BUENAVENTURA RUEDA</v>
          </cell>
          <cell r="M203">
            <v>45772</v>
          </cell>
          <cell r="N203">
            <v>45772</v>
          </cell>
          <cell r="O203">
            <v>45772</v>
          </cell>
          <cell r="P203" t="str">
            <v>Visitas de evaluación con fines de mejoramiento</v>
          </cell>
          <cell r="Q203" t="str">
            <v>ACTA DE VISITA COLEGIO HENRY WALLON 25 ABRIL DE 2025.pdf</v>
          </cell>
          <cell r="R203" t="str">
            <v>Se observa actas de conformación de consejo directivo, academico, estudiantil, padres de familia. Actas de conformación de elección de personero, contralor y cabildantes. Las actas continuen sus fuciones respectivas.</v>
          </cell>
          <cell r="S203" t="str">
            <v>Continuar con el funcionamiento y operatividad del Gobierno Escolar de conformidad con lo establecido en la normatividad vigente.</v>
          </cell>
          <cell r="T203" t="str">
            <v>No</v>
          </cell>
          <cell r="U203" t="str">
            <v>Se hará verificación en caso de presentar solicitud o queja ciudadana.</v>
          </cell>
        </row>
        <row r="204">
          <cell r="A204">
            <v>777</v>
          </cell>
          <cell r="B204">
            <v>22</v>
          </cell>
          <cell r="C204" t="str">
            <v>ENGATIVÁ</v>
          </cell>
          <cell r="D204" t="str">
            <v>PRIVADO</v>
          </cell>
          <cell r="E204" t="str">
            <v>EPBM</v>
          </cell>
          <cell r="F204" t="str">
            <v>COLEGIO_HENRY_WALLON</v>
          </cell>
          <cell r="G204" t="str">
            <v>COLEGIO_HENRY_WALLON</v>
          </cell>
          <cell r="H204" t="str">
            <v>Autoevaluación Institucional y Pruebas SABER 11</v>
          </cell>
          <cell r="I204" t="str">
            <v>EVALUACIÓN_CON_FINES_DE_MEJORAMIENTO.</v>
          </cell>
          <cell r="J204" t="str">
            <v>Verificar las condiciones en cuanto a: la estructura administrativa, condiciones de la planta física y medios educativos adecuados.</v>
          </cell>
          <cell r="K204" t="str">
            <v>LUZ MERY PARRA NOPE</v>
          </cell>
          <cell r="L204" t="str">
            <v>SANDRA MILENA BUENAVENTURA RUEDA</v>
          </cell>
          <cell r="M204">
            <v>45772</v>
          </cell>
          <cell r="N204">
            <v>45772</v>
          </cell>
          <cell r="O204">
            <v>45772</v>
          </cell>
          <cell r="P204" t="str">
            <v>Visitas de evaluación con fines de mejoramiento</v>
          </cell>
          <cell r="Q204" t="str">
            <v>ACTA DE VISITA COLEGIO HENRY WALLON 25 ABRIL DE 2025.pdf</v>
          </cell>
          <cell r="R204" t="str">
            <v>Se observa en el recorrido en las instalaciones de la IE que cuentan con 13 aulas en buen estado, algunas con televisor y video beam, igualmente cuenta con aulas de apoyo. los espacios administrativos son suficientes y se encuntran en buen estado.</v>
          </cell>
          <cell r="S204" t="str">
            <v>Revisar contratación del docente de educación física, dado que su contrato no se ajusta a la normatividad vigente. Afiliar a seguridad social a docentes faltantes</v>
          </cell>
          <cell r="T204" t="str">
            <v>Si</v>
          </cell>
          <cell r="U204" t="str">
            <v>La IE tiene plazo para radicación del plan de mejoramiento 10 días hábiles posteriores a la visita. Una vez radicado procedemos con la revisión</v>
          </cell>
        </row>
        <row r="205">
          <cell r="A205">
            <v>778</v>
          </cell>
          <cell r="B205">
            <v>23</v>
          </cell>
          <cell r="C205" t="str">
            <v>ENGATIVÁ</v>
          </cell>
          <cell r="D205" t="str">
            <v>PRIVADO</v>
          </cell>
          <cell r="E205" t="str">
            <v>EPBM</v>
          </cell>
          <cell r="F205" t="str">
            <v>LICEO_COMERCIAL_LAS_AMERICAS</v>
          </cell>
          <cell r="G205" t="str">
            <v>LICEO_COMERCIAL_LAS_AMERICAS</v>
          </cell>
          <cell r="H205" t="str">
            <v>Autoevaluación Institucional y Pruebas SABER 11</v>
          </cell>
          <cell r="I205" t="str">
            <v>SEGUIMIENTO_Y_SUPERVISIÓN.</v>
          </cell>
          <cell r="J205"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205" t="str">
            <v>JUAN AGUSTÍN RODRÍGUEZ ROZO</v>
          </cell>
          <cell r="L205" t="str">
            <v>MÓNICA JANNETH RAMÍREZ MORENO</v>
          </cell>
          <cell r="M205">
            <v>45790</v>
          </cell>
          <cell r="N205">
            <v>45799</v>
          </cell>
          <cell r="O205">
            <v>45799</v>
          </cell>
          <cell r="P205" t="str">
            <v>Visitas de evaluación con fines de seguimiento</v>
          </cell>
          <cell r="Q205" t="str">
            <v>ActavisitaLiccialAmericas.pdf</v>
          </cell>
          <cell r="R205" t="str">
            <v>La información registrada en EVI corresponde a la realidad institucional</v>
          </cell>
          <cell r="S205" t="str">
            <v>Continuar las políticas de mantenimiento preventivo y correctivo</v>
          </cell>
          <cell r="T205" t="str">
            <v>No</v>
          </cell>
          <cell r="U205" t="str">
            <v>Revisión del resultado de la visita de la Subred Norte sobre concepto sanitario</v>
          </cell>
        </row>
        <row r="206">
          <cell r="A206">
            <v>779</v>
          </cell>
          <cell r="B206">
            <v>23</v>
          </cell>
          <cell r="C206" t="str">
            <v>ENGATIVÁ</v>
          </cell>
          <cell r="D206" t="str">
            <v>PRIVADO</v>
          </cell>
          <cell r="E206" t="str">
            <v>EPBM</v>
          </cell>
          <cell r="F206" t="str">
            <v>LICEO_COMERCIAL_LAS_AMERICAS</v>
          </cell>
          <cell r="G206" t="str">
            <v>LICEO_COMERCIAL_LAS_AMERICAS</v>
          </cell>
          <cell r="H206" t="str">
            <v>Autoevaluación Institucional y Pruebas SABER 11</v>
          </cell>
          <cell r="I206" t="str">
            <v>SEGUIMIENTO_Y_SUPERVISIÓN.</v>
          </cell>
          <cell r="J206" t="str">
            <v>Proponer estrategias en la formulación, verificar su elaboración y realizar seguimiento semestral al desarrollo de  las acciones establecidas en los planes de mejoramiento por pruebas SABER 11 de los establecimientos de educación formal.</v>
          </cell>
          <cell r="K206" t="str">
            <v>JUAN AGUSTÍN RODRÍGUEZ ROZO</v>
          </cell>
          <cell r="L206" t="str">
            <v>MÓNICA JANNETH RAMÍREZ MORENO</v>
          </cell>
          <cell r="M206">
            <v>45790</v>
          </cell>
          <cell r="N206">
            <v>45799</v>
          </cell>
          <cell r="O206">
            <v>45799</v>
          </cell>
          <cell r="P206" t="str">
            <v>Visitas de evaluación con fines de seguimiento</v>
          </cell>
          <cell r="Q206" t="str">
            <v>ActavisitaLiccialAmericas.pdf</v>
          </cell>
          <cell r="R206" t="str">
            <v xml:space="preserve">El colegio cuenta con la asesoría de la entidad IMPROVE, para desarrollar acciones de mejora con base en los resultados </v>
          </cell>
          <cell r="S206" t="str">
            <v>El colegio se compromete a dar continuidad a la asistencia técnica de IMPROVE</v>
          </cell>
          <cell r="T206" t="str">
            <v>No</v>
          </cell>
          <cell r="U206" t="str">
            <v>Comparar los resultados de los años 2024 y 2025 para detectar tendencias y generar recomendaciones</v>
          </cell>
        </row>
        <row r="207">
          <cell r="A207">
            <v>780</v>
          </cell>
          <cell r="B207">
            <v>23</v>
          </cell>
          <cell r="C207" t="str">
            <v>ENGATIVÁ</v>
          </cell>
          <cell r="D207" t="str">
            <v>PRIVADO</v>
          </cell>
          <cell r="E207" t="str">
            <v>EPBM</v>
          </cell>
          <cell r="F207" t="str">
            <v>LICEO_COMERCIAL_LAS_AMERICAS</v>
          </cell>
          <cell r="G207" t="str">
            <v>LICEO_COMERCIAL_LAS_AMERICAS</v>
          </cell>
          <cell r="H207" t="str">
            <v>Autoevaluación Institucional y Pruebas SABER 11</v>
          </cell>
          <cell r="I207" t="str">
            <v>SEGUIMIENTO_Y_SUPERVISIÓN.</v>
          </cell>
          <cell r="J207" t="str">
            <v xml:space="preserve">Verificar la implementación por parte de los colegios, de acciones realizadas para la prevención y atención de las situaciones de convivencia en el entorno escolar, según lo establecido en la Directiva 01 de 2022 del MEN. </v>
          </cell>
          <cell r="K207" t="str">
            <v>JUAN AGUSTÍN RODRÍGUEZ ROZO</v>
          </cell>
          <cell r="L207" t="str">
            <v>MÓNICA JANNETH RAMÍREZ MORENO</v>
          </cell>
          <cell r="M207">
            <v>45790</v>
          </cell>
          <cell r="N207">
            <v>45799</v>
          </cell>
          <cell r="O207">
            <v>45799</v>
          </cell>
          <cell r="P207" t="str">
            <v>Visitas de evaluación con fines de seguimiento</v>
          </cell>
          <cell r="Q207" t="str">
            <v>ActavisitaLiccialAmericas.pdf</v>
          </cell>
          <cell r="R207" t="str">
            <v>El colegio no realiza la verificación establecida</v>
          </cell>
          <cell r="S207" t="str">
            <v xml:space="preserve">El colegio se compromete a ejecutar la revisión con la periodicidad indicada </v>
          </cell>
          <cell r="T207" t="str">
            <v>Si</v>
          </cell>
          <cell r="U207" t="str">
            <v>Revisión del informe generado por el colegio</v>
          </cell>
        </row>
        <row r="208">
          <cell r="A208">
            <v>781</v>
          </cell>
          <cell r="B208">
            <v>23</v>
          </cell>
          <cell r="C208" t="str">
            <v>ENGATIVÁ</v>
          </cell>
          <cell r="D208" t="str">
            <v>PRIVADO</v>
          </cell>
          <cell r="E208" t="str">
            <v>EPBM</v>
          </cell>
          <cell r="F208" t="str">
            <v>LICEO_COMERCIAL_LAS_AMERICAS</v>
          </cell>
          <cell r="G208" t="str">
            <v>LICEO_COMERCIAL_LAS_AMERICAS</v>
          </cell>
          <cell r="H208" t="str">
            <v>Autoevaluación Institucional y Pruebas SABER 11</v>
          </cell>
          <cell r="I208" t="str">
            <v>SEGUIMIENTO_Y_SUPERVISIÓN.</v>
          </cell>
          <cell r="J20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8" t="str">
            <v>JUAN AGUSTÍN RODRÍGUEZ ROZO</v>
          </cell>
          <cell r="L208" t="str">
            <v>MÓNICA JANNETH RAMÍREZ MORENO</v>
          </cell>
          <cell r="M208">
            <v>45790</v>
          </cell>
          <cell r="N208">
            <v>45799</v>
          </cell>
          <cell r="O208">
            <v>45799</v>
          </cell>
          <cell r="P208" t="str">
            <v>Visitas de evaluación con fines de seguimiento</v>
          </cell>
          <cell r="Q208" t="str">
            <v>ActavisitaLiccialAmericas.pdf</v>
          </cell>
          <cell r="R208" t="str">
            <v xml:space="preserve">Se evidencia la existencia de un PIAR </v>
          </cell>
          <cell r="S208" t="str">
            <v>Cada docente debe aportar los ajustes requeridos en su área de trabajo</v>
          </cell>
          <cell r="T208" t="str">
            <v>No</v>
          </cell>
          <cell r="U208" t="str">
            <v>Analizar el informe de la orientadora escolar y/o docente de apoyo</v>
          </cell>
        </row>
        <row r="209">
          <cell r="A209">
            <v>782</v>
          </cell>
          <cell r="B209">
            <v>23</v>
          </cell>
          <cell r="C209" t="str">
            <v>ENGATIVÁ</v>
          </cell>
          <cell r="D209" t="str">
            <v>PRIVADO</v>
          </cell>
          <cell r="E209" t="str">
            <v>EPBM</v>
          </cell>
          <cell r="F209" t="str">
            <v>LICEO_COMERCIAL_LAS_AMERICAS</v>
          </cell>
          <cell r="G209" t="str">
            <v>LICEO_COMERCIAL_LAS_AMERICAS</v>
          </cell>
          <cell r="H209" t="str">
            <v>Autoevaluación Institucional y Pruebas SABER 11</v>
          </cell>
          <cell r="I209" t="str">
            <v>EVALUACIÓN_CON_FINES_DE_MEJORAMIENTO.</v>
          </cell>
          <cell r="J20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9" t="str">
            <v>JUAN AGUSTÍN RODRÍGUEZ ROZO</v>
          </cell>
          <cell r="L209" t="str">
            <v>MÓNICA JANNETH RAMÍREZ MORENO</v>
          </cell>
          <cell r="M209">
            <v>45790</v>
          </cell>
          <cell r="N209">
            <v>45799</v>
          </cell>
          <cell r="O209">
            <v>45799</v>
          </cell>
          <cell r="P209" t="str">
            <v>Visitas de evaluación con fines de mejoramiento</v>
          </cell>
          <cell r="Q209" t="str">
            <v>ActavisitaLiccialAmericas.pdf</v>
          </cell>
          <cell r="R209" t="str">
            <v>El colegio presenta soporte de la actualización anual aplicada mediante encuesta a padres de familia, docentes y estudiantes. Aplican el enfoque restaurativo aunque no esta explícito dentro del manual de convivencia</v>
          </cell>
          <cell r="S209" t="str">
            <v>los directivos reafirman su compromiso para consultar a la comunidad educativa anualmente para garantizar la pertinencia en su actualización</v>
          </cell>
          <cell r="T209" t="str">
            <v>No</v>
          </cell>
          <cell r="U209" t="str">
            <v>verificación de la inclusión del enfoque restaurativo dentro del manual de convivencia</v>
          </cell>
        </row>
        <row r="210">
          <cell r="A210">
            <v>783</v>
          </cell>
          <cell r="B210">
            <v>23</v>
          </cell>
          <cell r="C210" t="str">
            <v>ENGATIVÁ</v>
          </cell>
          <cell r="D210" t="str">
            <v>PRIVADO</v>
          </cell>
          <cell r="E210" t="str">
            <v>EPBM</v>
          </cell>
          <cell r="F210" t="str">
            <v>LICEO_COMERCIAL_LAS_AMERICAS</v>
          </cell>
          <cell r="G210" t="str">
            <v>LICEO_COMERCIAL_LAS_AMERICAS</v>
          </cell>
          <cell r="H210" t="str">
            <v>Autoevaluación Institucional y Pruebas SABER 11</v>
          </cell>
          <cell r="I210" t="str">
            <v>EVALUACIÓN_CON_FINES_DE_MEJORAMIENTO.</v>
          </cell>
          <cell r="J210" t="str">
            <v>Revisar la actualización, socialización e implementación del Sistema Institucional de Evaluación de Estudiantes - SIEE, en articulación con la actualización del PEI y la normatividad vigente.</v>
          </cell>
          <cell r="K210" t="str">
            <v>JUAN AGUSTÍN RODRÍGUEZ ROZO</v>
          </cell>
          <cell r="L210" t="str">
            <v>MÓNICA JANNETH RAMÍREZ MORENO</v>
          </cell>
          <cell r="M210">
            <v>45790</v>
          </cell>
          <cell r="N210">
            <v>45799</v>
          </cell>
          <cell r="O210">
            <v>45799</v>
          </cell>
          <cell r="P210" t="str">
            <v>Visitas de evaluación con fines de mejoramiento</v>
          </cell>
          <cell r="Q210" t="str">
            <v>ActavisitaLiccialAmericas.pdf</v>
          </cell>
          <cell r="R210" t="str">
            <v xml:space="preserve">Se desarrollan tutorias y refuerzos académicos grupales por áreas y planes de mejoramiento individuales </v>
          </cell>
          <cell r="S210" t="str">
            <v>Se debe incluir los mecanismos formales para las reclamaciones sobre los resultados de la evaluación del rendimiento académico</v>
          </cell>
          <cell r="T210" t="str">
            <v>No</v>
          </cell>
          <cell r="U210" t="str">
            <v xml:space="preserve">Verificación de la inclusión de los mecanismos formales de reclamación </v>
          </cell>
        </row>
        <row r="211">
          <cell r="A211">
            <v>784</v>
          </cell>
          <cell r="B211">
            <v>23</v>
          </cell>
          <cell r="C211" t="str">
            <v>ENGATIVÁ</v>
          </cell>
          <cell r="D211" t="str">
            <v>PRIVADO</v>
          </cell>
          <cell r="E211" t="str">
            <v>EPBM</v>
          </cell>
          <cell r="F211" t="str">
            <v>LICEO_COMERCIAL_LAS_AMERICAS</v>
          </cell>
          <cell r="G211" t="str">
            <v>LICEO_COMERCIAL_LAS_AMERICAS</v>
          </cell>
          <cell r="H211" t="str">
            <v>Autoevaluación Institucional y Pruebas SABER 11</v>
          </cell>
          <cell r="I211" t="str">
            <v>EVALUACIÓN_CON_FINES_DE_MEJORAMIENTO.</v>
          </cell>
          <cell r="J211" t="str">
            <v>Revisar el calendario escolar, jornada escolar, la intensidad horaria mínima anual en cada nivel y las modificaciones que se realicen al mismo, de acuerdo con lo previsto en la normatividad vigente.</v>
          </cell>
          <cell r="K211" t="str">
            <v>JUAN AGUSTÍN RODRÍGUEZ ROZO</v>
          </cell>
          <cell r="L211" t="str">
            <v>MÓNICA JANNETH RAMÍREZ MORENO</v>
          </cell>
          <cell r="M211">
            <v>45790</v>
          </cell>
          <cell r="N211">
            <v>45799</v>
          </cell>
          <cell r="O211">
            <v>45799</v>
          </cell>
          <cell r="P211" t="str">
            <v>Visitas de evaluación con fines de mejoramiento</v>
          </cell>
          <cell r="Q211" t="str">
            <v>ActavisitaLiccialAmericas.pdf</v>
          </cell>
          <cell r="R211" t="str">
            <v>El colegio desarrolla su calendario escolar, superando las intensidades horarias mínimas (preescolar 925, primaria 1110, secunday media 1249)</v>
          </cell>
          <cell r="S211" t="str">
            <v>Continuar el cumplimiento de las horas en cada uno de los niveles</v>
          </cell>
          <cell r="T211" t="str">
            <v>No</v>
          </cell>
          <cell r="U211" t="str">
            <v>En el año 2026 confirmar la continuidad en el cumplimiento de las horas establecidas</v>
          </cell>
        </row>
        <row r="212">
          <cell r="A212">
            <v>785</v>
          </cell>
          <cell r="B212">
            <v>23</v>
          </cell>
          <cell r="C212" t="str">
            <v>ENGATIVÁ</v>
          </cell>
          <cell r="D212" t="str">
            <v>PRIVADO</v>
          </cell>
          <cell r="E212" t="str">
            <v>EPBM</v>
          </cell>
          <cell r="F212" t="str">
            <v>LICEO_COMERCIAL_LAS_AMERICAS</v>
          </cell>
          <cell r="G212" t="str">
            <v>LICEO_COMERCIAL_LAS_AMERICAS</v>
          </cell>
          <cell r="H212" t="str">
            <v>Autoevaluación Institucional y Pruebas SABER 11</v>
          </cell>
          <cell r="I212" t="str">
            <v>EVALUACIÓN_CON_FINES_DE_MEJORAMIENTO.</v>
          </cell>
          <cell r="J212" t="str">
            <v>Verificar el funcionamiento del Gobierno Escolar e instancias de participación con base en la información sobre conformación reportada por la institución educativa.</v>
          </cell>
          <cell r="K212" t="str">
            <v>JUAN AGUSTÍN RODRÍGUEZ ROZO</v>
          </cell>
          <cell r="L212" t="str">
            <v>MÓNICA JANNETH RAMÍREZ MORENO</v>
          </cell>
          <cell r="M212">
            <v>45790</v>
          </cell>
          <cell r="N212">
            <v>45799</v>
          </cell>
          <cell r="O212">
            <v>45799</v>
          </cell>
          <cell r="P212" t="str">
            <v>Visitas de evaluación con fines de mejoramiento</v>
          </cell>
          <cell r="Q212" t="str">
            <v>ActavisitaLiccialAmericas.pdf</v>
          </cell>
          <cell r="R212" t="str">
            <v>El colegio realizó la conformación, pero no realizó la instalación de los organos e instancias de participación, por lo cual los consejos directivo y académico no han iniciado su funcionamiento. No lo han reportado en el SAE</v>
          </cell>
          <cell r="S212" t="str">
            <v>Poner en funcionamiento el gobierno escolar y sus instancias de participación y registrar la información en el SAE</v>
          </cell>
          <cell r="T212" t="str">
            <v>Si</v>
          </cell>
          <cell r="U212" t="str">
            <v>Verificar el funcionamiento y el registro en el SAE</v>
          </cell>
        </row>
        <row r="213">
          <cell r="A213">
            <v>786</v>
          </cell>
          <cell r="B213">
            <v>23</v>
          </cell>
          <cell r="C213" t="str">
            <v>ENGATIVÁ</v>
          </cell>
          <cell r="D213" t="str">
            <v>PRIVADO</v>
          </cell>
          <cell r="E213" t="str">
            <v>EPBM</v>
          </cell>
          <cell r="F213" t="str">
            <v>LICEO_COMERCIAL_LAS_AMERICAS</v>
          </cell>
          <cell r="G213" t="str">
            <v>LICEO_COMERCIAL_LAS_AMERICAS</v>
          </cell>
          <cell r="H213" t="str">
            <v>Autoevaluación Institucional y Pruebas SABER 11</v>
          </cell>
          <cell r="I213" t="str">
            <v>EVALUACIÓN_CON_FINES_DE_MEJORAMIENTO.</v>
          </cell>
          <cell r="J213" t="str">
            <v>Verificar las condiciones en cuanto a: la estructura administrativa, condiciones de la planta física y medios educativos adecuados.</v>
          </cell>
          <cell r="K213" t="str">
            <v>JUAN AGUSTÍN RODRÍGUEZ ROZO</v>
          </cell>
          <cell r="L213" t="str">
            <v>MÓNICA JANNETH RAMÍREZ MORENO</v>
          </cell>
          <cell r="M213">
            <v>45790</v>
          </cell>
          <cell r="N213">
            <v>45799</v>
          </cell>
          <cell r="O213">
            <v>45799</v>
          </cell>
          <cell r="P213" t="str">
            <v>Visitas de evaluación con fines de mejoramiento</v>
          </cell>
          <cell r="Q213" t="str">
            <v>ActavisitaLiccialAmericas.pdf</v>
          </cell>
          <cell r="R213" t="str">
            <v>Existe dotación suficiente en los diferentes ambientes de aprendizaje y están modernizando la dotación de pupitres, no existen espacios adecuados con población con discapacidad física</v>
          </cell>
          <cell r="S213" t="str">
            <v>Se debe  continuar con la política de actualización del mobiliario para los estudiantes y la adecuación de espacios para discapacitados</v>
          </cell>
          <cell r="T213" t="str">
            <v>No</v>
          </cell>
          <cell r="U213" t="str">
            <v xml:space="preserve">Verificar las adecuaciones para atender pobalción discapacitada y la actualziación del mobiliario escolar </v>
          </cell>
        </row>
        <row r="214">
          <cell r="A214">
            <v>788</v>
          </cell>
          <cell r="B214">
            <v>24</v>
          </cell>
          <cell r="C214" t="str">
            <v>ENGATIVÁ</v>
          </cell>
          <cell r="D214" t="str">
            <v>PRIVADO</v>
          </cell>
          <cell r="E214" t="str">
            <v>EPBM</v>
          </cell>
          <cell r="F214" t="str">
            <v>COLEGIO_ESTRADA_DE_MARIA_AUXILIADORA</v>
          </cell>
          <cell r="G214" t="str">
            <v>COLEGIO_ESTRADA_DE_MARIA_AUXILIADORA</v>
          </cell>
          <cell r="H214" t="str">
            <v>Autoevaluación Institucional y Pruebas SABER 11</v>
          </cell>
          <cell r="I214" t="str">
            <v>SEGUIMIENTO_Y_SUPERVISIÓN.</v>
          </cell>
          <cell r="J214" t="str">
            <v>Proponer estrategias en la formulación, verificar su elaboración y realizar seguimiento semestral al desarrollo de  las acciones establecidas en los planes de mejoramiento por pruebas SABER 11 de los establecimientos de educación formal.</v>
          </cell>
          <cell r="K214" t="str">
            <v>JENIFER CATHERINE LEÓN ACOSTA</v>
          </cell>
          <cell r="L214" t="str">
            <v>MÓNICA JANNETH RAMÍREZ MORENO</v>
          </cell>
          <cell r="M214">
            <v>45797</v>
          </cell>
          <cell r="N214">
            <v>45811</v>
          </cell>
          <cell r="O214">
            <v>45813</v>
          </cell>
          <cell r="P214" t="str">
            <v>Visitas de evaluación con fines de seguimiento</v>
          </cell>
          <cell r="Q214" t="str">
            <v>VISITA MARIA AUXILIADORA.pdf</v>
          </cell>
          <cell r="R214" t="str">
            <v>El EE, realiza de manera diaria, acciones de formación y mejoramiento con los docentes, con el fin de  impactar en el curriculo y con ello en el resultado de las pruebas. Realizan los martes de prueba  en todos los grados con el fin de preparar a los estudiantes.</v>
          </cell>
          <cell r="S214" t="str">
            <v>Las acciones  de mejoramiento  que realizan diariamente los docentes en su reunion, deben  tener una planeacion mas organizada para que puedan generar el impacto esperado</v>
          </cell>
          <cell r="T214" t="str">
            <v>No</v>
          </cell>
          <cell r="U214" t="str">
            <v>Se realizará verificacion en caso de presentarse una solicitud o queja al respecto de este apartado</v>
          </cell>
        </row>
        <row r="215">
          <cell r="A215">
            <v>789</v>
          </cell>
          <cell r="B215">
            <v>24</v>
          </cell>
          <cell r="C215" t="str">
            <v>ENGATIVÁ</v>
          </cell>
          <cell r="D215" t="str">
            <v>PRIVADO</v>
          </cell>
          <cell r="E215" t="str">
            <v>EPBM</v>
          </cell>
          <cell r="F215" t="str">
            <v>COLEGIO_ESTRADA_DE_MARIA_AUXILIADORA</v>
          </cell>
          <cell r="G215" t="str">
            <v>COLEGIO_ESTRADA_DE_MARIA_AUXILIADORA</v>
          </cell>
          <cell r="H215" t="str">
            <v>Autoevaluación Institucional y Pruebas SABER 11</v>
          </cell>
          <cell r="I215" t="str">
            <v>SEGUIMIENTO_Y_SUPERVISIÓN.</v>
          </cell>
          <cell r="J215" t="str">
            <v xml:space="preserve">Verificar la implementación por parte de los colegios, de acciones realizadas para la prevención y atención de las situaciones de convivencia en el entorno escolar, según lo establecido en la Directiva 01 de 2022 del MEN. </v>
          </cell>
          <cell r="K215" t="str">
            <v>JENIFER CATHERINE LEÓN ACOSTA</v>
          </cell>
          <cell r="L215" t="str">
            <v>MÓNICA JANNETH RAMÍREZ MORENO</v>
          </cell>
          <cell r="M215">
            <v>45797</v>
          </cell>
          <cell r="N215">
            <v>45811</v>
          </cell>
          <cell r="O215">
            <v>45813</v>
          </cell>
          <cell r="P215" t="str">
            <v>Visitas de evaluación con fines de seguimiento</v>
          </cell>
          <cell r="Q215" t="str">
            <v>VISITA MARIA AUXILIADORA.pdf</v>
          </cell>
          <cell r="R215" t="str">
            <v xml:space="preserve">Realizan trabajo desde las emociones para la prevencion de violencia sexual, desde los proyectos trasversales.
No se hace revision de las inhabilidades que puedan presentar docentes y administrativos cada 4 meses.
Se enfatiza en la importancia de trabajar la violencia sexual con enfoque de genero, por ello deben capacitarse en los enfoques a incluir en su manual de convivencia </v>
          </cell>
          <cell r="S215" t="str">
            <v xml:space="preserve">Realizar la revision cada 4 meses de las ihabilidades.
Incluir en el manual de convivencia el enfoque de genero.
</v>
          </cell>
          <cell r="T215" t="str">
            <v>Si</v>
          </cell>
          <cell r="U215" t="str">
            <v>El EE presentara el plan de mejoramiento 10 dias depues de la visita</v>
          </cell>
        </row>
        <row r="216">
          <cell r="A216">
            <v>790</v>
          </cell>
          <cell r="B216">
            <v>24</v>
          </cell>
          <cell r="C216" t="str">
            <v>ENGATIVÁ</v>
          </cell>
          <cell r="D216" t="str">
            <v>PRIVADO</v>
          </cell>
          <cell r="E216" t="str">
            <v>EPBM</v>
          </cell>
          <cell r="F216" t="str">
            <v>COLEGIO_ESTRADA_DE_MARIA_AUXILIADORA</v>
          </cell>
          <cell r="G216" t="str">
            <v>COLEGIO_ESTRADA_DE_MARIA_AUXILIADORA</v>
          </cell>
          <cell r="H216" t="str">
            <v>Autoevaluación Institucional y Pruebas SABER 11</v>
          </cell>
          <cell r="I216" t="str">
            <v>SEGUIMIENTO_Y_SUPERVISIÓN.</v>
          </cell>
          <cell r="J21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16" t="str">
            <v>JENIFER CATHERINE LEÓN ACOSTA</v>
          </cell>
          <cell r="L216" t="str">
            <v>MÓNICA JANNETH RAMÍREZ MORENO</v>
          </cell>
          <cell r="M216">
            <v>45797</v>
          </cell>
          <cell r="N216">
            <v>45811</v>
          </cell>
          <cell r="O216">
            <v>45813</v>
          </cell>
          <cell r="P216" t="str">
            <v>Visitas de evaluación con fines de seguimiento</v>
          </cell>
          <cell r="Q216" t="str">
            <v>VISITA MARIA AUXILIADORA.pdf</v>
          </cell>
          <cell r="R216" t="str">
            <v>No se encuentran PIAR   firmados por parte de los padres de Familia. Sin embargo, desde la plataforma institucional, si hay descripción de la situacion inicial de los estudiantes y ajustes para cada una de las clases, que pueden ser observadas por la plataforma de los docentes y padres</v>
          </cell>
          <cell r="S216" t="str">
            <v>Realizar  la socializacion y firma de los PIAR, por parte de los padres de familia.</v>
          </cell>
          <cell r="T216" t="str">
            <v>Si</v>
          </cell>
          <cell r="U216" t="str">
            <v>El EE presentara el plan de mejoramiento 10 dias depues de la visita</v>
          </cell>
        </row>
        <row r="217">
          <cell r="A217">
            <v>791</v>
          </cell>
          <cell r="B217">
            <v>24</v>
          </cell>
          <cell r="C217" t="str">
            <v>ENGATIVÁ</v>
          </cell>
          <cell r="D217" t="str">
            <v>PRIVADO</v>
          </cell>
          <cell r="E217" t="str">
            <v>EPBM</v>
          </cell>
          <cell r="F217" t="str">
            <v>COLEGIO_ESTRADA_DE_MARIA_AUXILIADORA</v>
          </cell>
          <cell r="G217" t="str">
            <v>COLEGIO_ESTRADA_DE_MARIA_AUXILIADORA</v>
          </cell>
          <cell r="H217" t="str">
            <v>Autoevaluación Institucional y Pruebas SABER 11</v>
          </cell>
          <cell r="I217" t="str">
            <v>EVALUACIÓN_CON_FINES_DE_MEJORAMIENTO.</v>
          </cell>
          <cell r="J21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7" t="str">
            <v>JENIFER CATHERINE LEÓN ACOSTA</v>
          </cell>
          <cell r="L217" t="str">
            <v>MÓNICA JANNETH RAMÍREZ MORENO</v>
          </cell>
          <cell r="M217">
            <v>45797</v>
          </cell>
          <cell r="N217">
            <v>45811</v>
          </cell>
          <cell r="O217">
            <v>45813</v>
          </cell>
          <cell r="P217" t="str">
            <v>Visitas de evaluación con fines de mejoramiento</v>
          </cell>
          <cell r="Q217" t="str">
            <v>VISITA MARIA AUXILIADORA.pdf</v>
          </cell>
          <cell r="R217" t="str">
            <v>Existe confusion entre las situaciones convivenciales y sus protocolos y las acciones disciplinares.
No se evidencia la inclusion del enfoque de género y restaurativo. Informan que es un manual que esta en constante construcción, sin embargo, en lo relacionado con la actualizacion de la normatividad, no se evidencia la inclusion del enfoque de género y restaurativo.</v>
          </cell>
          <cell r="S217" t="str">
            <v xml:space="preserve"> Ajustar en el manual  de convivencia , las situaciones convivenciales y sus protocolos de atencion, diferenciando las acciones disciplinares y  las acciones pedagogicas para abordarlas.
Trabajar en conjunto la inclusion el enfoque de genero y restaurativo en el manual de convivencia.</v>
          </cell>
          <cell r="T217" t="str">
            <v>Si</v>
          </cell>
          <cell r="U217" t="str">
            <v>El EE presentara el plan de mejoramiento 10 dias depues de la visita</v>
          </cell>
        </row>
        <row r="218">
          <cell r="A218">
            <v>792</v>
          </cell>
          <cell r="B218">
            <v>24</v>
          </cell>
          <cell r="C218" t="str">
            <v>ENGATIVÁ</v>
          </cell>
          <cell r="D218" t="str">
            <v>PRIVADO</v>
          </cell>
          <cell r="E218" t="str">
            <v>EPBM</v>
          </cell>
          <cell r="F218" t="str">
            <v>COLEGIO_ESTRADA_DE_MARIA_AUXILIADORA</v>
          </cell>
          <cell r="G218" t="str">
            <v>COLEGIO_ESTRADA_DE_MARIA_AUXILIADORA</v>
          </cell>
          <cell r="H218" t="str">
            <v>Autoevaluación Institucional y Pruebas SABER 11</v>
          </cell>
          <cell r="I218" t="str">
            <v>EVALUACIÓN_CON_FINES_DE_MEJORAMIENTO.</v>
          </cell>
          <cell r="J218" t="str">
            <v>Revisar la actualización, socialización e implementación del Sistema Institucional de Evaluación de Estudiantes - SIEE, en articulación con la actualización del PEI y la normatividad vigente.</v>
          </cell>
          <cell r="K218" t="str">
            <v>JENIFER CATHERINE LEÓN ACOSTA</v>
          </cell>
          <cell r="L218" t="str">
            <v>MÓNICA JANNETH RAMÍREZ MORENO</v>
          </cell>
          <cell r="M218">
            <v>45797</v>
          </cell>
          <cell r="N218">
            <v>45811</v>
          </cell>
          <cell r="O218">
            <v>45813</v>
          </cell>
          <cell r="P218" t="str">
            <v>Visitas de evaluación con fines de mejoramiento</v>
          </cell>
          <cell r="Q218" t="str">
            <v>VISITA MARIA AUXILIADORA.pdf</v>
          </cell>
          <cell r="R218" t="str">
            <v xml:space="preserve">Esta claro, y publicado en la pagina del colegio de manera permanente. </v>
          </cell>
          <cell r="S218" t="str">
            <v>No se hace requerimiento</v>
          </cell>
          <cell r="T218" t="str">
            <v>No</v>
          </cell>
          <cell r="U218" t="str">
            <v>Se realizará verificacion en caso de presentarse una solicitud o queja al respecto de este apartado</v>
          </cell>
        </row>
        <row r="219">
          <cell r="A219">
            <v>793</v>
          </cell>
          <cell r="B219">
            <v>24</v>
          </cell>
          <cell r="C219" t="str">
            <v>ENGATIVÁ</v>
          </cell>
          <cell r="D219" t="str">
            <v>PRIVADO</v>
          </cell>
          <cell r="E219" t="str">
            <v>EPBM</v>
          </cell>
          <cell r="F219" t="str">
            <v>COLEGIO_ESTRADA_DE_MARIA_AUXILIADORA</v>
          </cell>
          <cell r="G219" t="str">
            <v>COLEGIO_ESTRADA_DE_MARIA_AUXILIADORA</v>
          </cell>
          <cell r="H219" t="str">
            <v>Autoevaluación Institucional y Pruebas SABER 11</v>
          </cell>
          <cell r="I219" t="str">
            <v>EVALUACIÓN_CON_FINES_DE_MEJORAMIENTO.</v>
          </cell>
          <cell r="J219" t="str">
            <v>Revisar el calendario escolar, jornada escolar, la intensidad horaria mínima anual en cada nivel y las modificaciones que se realicen al mismo, de acuerdo con lo previsto en la normatividad vigente.</v>
          </cell>
          <cell r="K219" t="str">
            <v>JENIFER CATHERINE LEÓN ACOSTA</v>
          </cell>
          <cell r="L219" t="str">
            <v>MÓNICA JANNETH RAMÍREZ MORENO</v>
          </cell>
          <cell r="M219">
            <v>45797</v>
          </cell>
          <cell r="N219">
            <v>45811</v>
          </cell>
          <cell r="O219">
            <v>45813</v>
          </cell>
          <cell r="P219" t="str">
            <v>Visitas de evaluación con fines de mejoramiento</v>
          </cell>
          <cell r="Q219" t="str">
            <v>VISITA MARIA AUXILIADORA.pdf</v>
          </cell>
          <cell r="R219" t="str">
            <v>El calendario escolar, y la intensidad horaria , está publicado en la pagina del colegio y en el perfil de la plataforma  al cual tiene acceso todos los padres y estudiantes.</v>
          </cell>
          <cell r="S219" t="str">
            <v>No se hace requerimiento</v>
          </cell>
          <cell r="T219" t="str">
            <v>No</v>
          </cell>
          <cell r="U219" t="str">
            <v>Se realizará verificacion en caso de presentarse una solicitud o queja al respecto de este apartado</v>
          </cell>
        </row>
        <row r="220">
          <cell r="A220">
            <v>794</v>
          </cell>
          <cell r="B220">
            <v>24</v>
          </cell>
          <cell r="C220" t="str">
            <v>ENGATIVÁ</v>
          </cell>
          <cell r="D220" t="str">
            <v>PRIVADO</v>
          </cell>
          <cell r="E220" t="str">
            <v>EPBM</v>
          </cell>
          <cell r="F220" t="str">
            <v>COLEGIO_ESTRADA_DE_MARIA_AUXILIADORA</v>
          </cell>
          <cell r="G220" t="str">
            <v>COLEGIO_ESTRADA_DE_MARIA_AUXILIADORA</v>
          </cell>
          <cell r="H220" t="str">
            <v>Autoevaluación Institucional y Pruebas SABER 11</v>
          </cell>
          <cell r="I220" t="str">
            <v>EVALUACIÓN_CON_FINES_DE_MEJORAMIENTO.</v>
          </cell>
          <cell r="J220" t="str">
            <v>Verificar el funcionamiento del Gobierno Escolar e instancias de participación con base en la información sobre conformación reportada por la institución educativa.</v>
          </cell>
          <cell r="K220" t="str">
            <v>JENIFER CATHERINE LEÓN ACOSTA</v>
          </cell>
          <cell r="L220" t="str">
            <v>MÓNICA JANNETH RAMÍREZ MORENO</v>
          </cell>
          <cell r="M220">
            <v>45797</v>
          </cell>
          <cell r="N220">
            <v>45811</v>
          </cell>
          <cell r="O220">
            <v>45813</v>
          </cell>
          <cell r="P220" t="str">
            <v>Visitas de evaluación con fines de mejoramiento</v>
          </cell>
          <cell r="Q220" t="str">
            <v>VISITA MARIA AUXILIADORA.pdf</v>
          </cell>
          <cell r="R220" t="str">
            <v>Se tienen las actas de conformación instalacion y en el manual de convivencia esta la descripción de las funciones de los miembros de las instancias.</v>
          </cell>
          <cell r="S220" t="str">
            <v>No se hace requerimiento</v>
          </cell>
          <cell r="T220" t="str">
            <v>No</v>
          </cell>
          <cell r="U220" t="str">
            <v>Se realizará verificacion en caso de presentarse una solicitud o queja al respecto de este apartado</v>
          </cell>
        </row>
        <row r="221">
          <cell r="A221">
            <v>795</v>
          </cell>
          <cell r="B221">
            <v>24</v>
          </cell>
          <cell r="C221" t="str">
            <v>ENGATIVÁ</v>
          </cell>
          <cell r="D221" t="str">
            <v>PRIVADO</v>
          </cell>
          <cell r="E221" t="str">
            <v>EPBM</v>
          </cell>
          <cell r="F221" t="str">
            <v>COLEGIO_ESTRADA_DE_MARIA_AUXILIADORA</v>
          </cell>
          <cell r="G221" t="str">
            <v>COLEGIO_ESTRADA_DE_MARIA_AUXILIADORA</v>
          </cell>
          <cell r="H221" t="str">
            <v>Autoevaluación Institucional y Pruebas SABER 11</v>
          </cell>
          <cell r="I221" t="str">
            <v>EVALUACIÓN_CON_FINES_DE_MEJORAMIENTO.</v>
          </cell>
          <cell r="J221" t="str">
            <v>Verificar las condiciones en cuanto a: la estructura administrativa, condiciones de la planta física y medios educativos adecuados.</v>
          </cell>
          <cell r="K221" t="str">
            <v>JENIFER CATHERINE LEÓN ACOSTA</v>
          </cell>
          <cell r="L221" t="str">
            <v>MÓNICA JANNETH RAMÍREZ MORENO</v>
          </cell>
          <cell r="M221">
            <v>45797</v>
          </cell>
          <cell r="N221">
            <v>45811</v>
          </cell>
          <cell r="O221">
            <v>45813</v>
          </cell>
          <cell r="P221" t="str">
            <v>Visitas de evaluación con fines de mejoramiento</v>
          </cell>
          <cell r="Q221" t="str">
            <v>VISITA MARIA AUXILIADORA.pdf</v>
          </cell>
          <cell r="R221" t="str">
            <v>1. En algunos salones, los espacios no son los adecuados para la cantidad de estudiantes que atienden.
2. Existes insuficientes baterias de baños, ya que ellos cuentan sanitarios y orinales por aparte.
3. Todos los docentes y administrativos tambien hacen uso de los mismos baños de los estudiantes, no tienen un baño exclusivo para ellos como adultos.</v>
          </cell>
          <cell r="S221" t="str">
            <v>El EE presentara el plan de mejoramiento 10 dias depues de la visita</v>
          </cell>
          <cell r="T221" t="str">
            <v>Si</v>
          </cell>
          <cell r="U221" t="str">
            <v>Revisar el plan de mejoramiento y la implementación de las acciones establecidas, una vez sea entregado por la IE.</v>
          </cell>
        </row>
        <row r="222">
          <cell r="A222">
            <v>796</v>
          </cell>
          <cell r="B222">
            <v>25</v>
          </cell>
          <cell r="C222" t="str">
            <v>ENGATIVÁ</v>
          </cell>
          <cell r="D222" t="str">
            <v>PRIVADO</v>
          </cell>
          <cell r="E222" t="str">
            <v>EPBM</v>
          </cell>
          <cell r="F222" t="str">
            <v>COLEGIO_COOPERATIVO_DE_LOS_ALAMOS</v>
          </cell>
          <cell r="G222" t="str">
            <v>COLEGIO_COOPERATIVO_DE_LOS_ALAMOS</v>
          </cell>
          <cell r="H222" t="str">
            <v>Autoevaluación Institucional y Pruebas SABER 11</v>
          </cell>
          <cell r="I222" t="str">
            <v>SEGUIMIENTO_Y_SUPERVISIÓN.</v>
          </cell>
          <cell r="J222" t="str">
            <v>Realizar visitas para verificar la información registrada sobre la autoevaluación institucional en el aplicativo EVI, a los establecimientos de educación formal no oficial.</v>
          </cell>
          <cell r="K222" t="str">
            <v>SANDRA MILENA BUENAVENTURA RUEDA</v>
          </cell>
          <cell r="L222" t="str">
            <v>JENIFER CATHERINE LEÓN ACOSTA</v>
          </cell>
          <cell r="M222">
            <v>45819</v>
          </cell>
          <cell r="N222">
            <v>45819</v>
          </cell>
          <cell r="O222">
            <v>45819</v>
          </cell>
          <cell r="P222" t="str">
            <v>Visitas de evaluación con fines de seguimiento</v>
          </cell>
          <cell r="Q222" t="str">
            <v>ACTA COOP ALAMOS.pdf</v>
          </cell>
          <cell r="R222" t="str">
            <v>Se realiza recorrido a la planta física evidenciando que lo registrado en EVI coincide con la realidad</v>
          </cell>
          <cell r="S222" t="str">
            <v xml:space="preserve">
Se debe realizar un análisis de la capacidad instalada en salones de clase de la parte antigua del colegio</v>
          </cell>
          <cell r="T222" t="str">
            <v>Si</v>
          </cell>
          <cell r="U222" t="str">
            <v>La institución presentará plan de mejora con fecha máxima 25 de junio con el fin de ser revisado por el equipo de Inspección y Vigilancia para hacer los ajustes y la trazabilidad correspondiente</v>
          </cell>
        </row>
        <row r="223">
          <cell r="A223">
            <v>797</v>
          </cell>
          <cell r="B223">
            <v>25</v>
          </cell>
          <cell r="C223" t="str">
            <v>ENGATIVÁ</v>
          </cell>
          <cell r="D223" t="str">
            <v>PRIVADO</v>
          </cell>
          <cell r="E223" t="str">
            <v>EPBM</v>
          </cell>
          <cell r="F223" t="str">
            <v>COLEGIO_COOPERATIVO_DE_LOS_ALAMOS</v>
          </cell>
          <cell r="G223" t="str">
            <v>COLEGIO_COOPERATIVO_DE_LOS_ALAMOS</v>
          </cell>
          <cell r="H223" t="str">
            <v>Autoevaluación Institucional y Pruebas SABER 11</v>
          </cell>
          <cell r="I223" t="str">
            <v>SEGUIMIENTO_Y_SUPERVISIÓN.</v>
          </cell>
          <cell r="J223" t="str">
            <v>Proponer estrategias en la formulación, verificar su elaboración y realizar seguimiento semestral al desarrollo de  las acciones establecidas en los planes de mejoramiento por pruebas SABER 11 de los establecimientos de educación formal.</v>
          </cell>
          <cell r="K223" t="str">
            <v>SANDRA MILENA BUENAVENTURA RUEDA</v>
          </cell>
          <cell r="L223" t="str">
            <v>JENIFER CATHERINE LEÓN ACOSTA</v>
          </cell>
          <cell r="M223">
            <v>45819</v>
          </cell>
          <cell r="N223">
            <v>45819</v>
          </cell>
          <cell r="O223">
            <v>45819</v>
          </cell>
          <cell r="P223" t="str">
            <v>Visitas de evaluación con fines de seguimiento</v>
          </cell>
          <cell r="Q223" t="str">
            <v>ACTA COOP ALAMOS.pdf</v>
          </cell>
          <cell r="R223" t="str">
            <v>La IE se clasifica en A, contratan a la  empresa Milton Ochoa, quienes analizan por areas los resultados  y en relación a los años anteriores.</v>
          </cell>
          <cell r="S223" t="str">
            <v>Los resultados se llevaron al consejo academico y quedaron registrados en acta.</v>
          </cell>
          <cell r="T223" t="str">
            <v>No</v>
          </cell>
          <cell r="U223" t="str">
            <v>Se hara el respectivo seguimiento en el último trimestre de 2025</v>
          </cell>
        </row>
        <row r="224">
          <cell r="A224">
            <v>798</v>
          </cell>
          <cell r="B224">
            <v>25</v>
          </cell>
          <cell r="C224" t="str">
            <v>ENGATIVÁ</v>
          </cell>
          <cell r="D224" t="str">
            <v>PRIVADO</v>
          </cell>
          <cell r="E224" t="str">
            <v>EPBM</v>
          </cell>
          <cell r="F224" t="str">
            <v>COLEGIO_COOPERATIVO_DE_LOS_ALAMOS</v>
          </cell>
          <cell r="G224" t="str">
            <v>COLEGIO_COOPERATIVO_DE_LOS_ALAMOS</v>
          </cell>
          <cell r="H224" t="str">
            <v>Autoevaluación Institucional y Pruebas SABER 11</v>
          </cell>
          <cell r="I224" t="str">
            <v>SEGUIMIENTO_Y_SUPERVISIÓN.</v>
          </cell>
          <cell r="J224" t="str">
            <v xml:space="preserve">Verificar la implementación por parte de los colegios, de acciones realizadas para la prevención y atención de las situaciones de convivencia en el entorno escolar, según lo establecido en la Directiva 01 de 2022 del MEN. </v>
          </cell>
          <cell r="K224" t="str">
            <v>SANDRA MILENA BUENAVENTURA RUEDA</v>
          </cell>
          <cell r="L224" t="str">
            <v>JENIFER CATHERINE LEÓN ACOSTA</v>
          </cell>
          <cell r="M224">
            <v>45819</v>
          </cell>
          <cell r="N224">
            <v>45819</v>
          </cell>
          <cell r="O224">
            <v>45819</v>
          </cell>
          <cell r="P224" t="str">
            <v>Visitas de evaluación con fines de seguimiento</v>
          </cell>
          <cell r="Q224" t="str">
            <v>ACTA COOP ALAMOS.pdf</v>
          </cell>
          <cell r="R224" t="str">
            <v>Se evidencia consulta de antecedentes de manera parcial para la planta docente, no se evidencia para la parte administrativa del Colegio</v>
          </cell>
          <cell r="S224" t="str">
            <v>Se les indica que esta verificación se debe hacer cada cuatro meses a todo el personal de la IE.</v>
          </cell>
          <cell r="T224" t="str">
            <v>Si</v>
          </cell>
          <cell r="U224" t="str">
            <v>La institución presentará plan de mejora con fecha máxima 25 de junio con el fin de ser revisado por el equipo de Inspección y Vigilancia para hacer los ajustes y la trazabilidad correspondiente</v>
          </cell>
        </row>
        <row r="225">
          <cell r="A225">
            <v>799</v>
          </cell>
          <cell r="B225">
            <v>25</v>
          </cell>
          <cell r="C225" t="str">
            <v>ENGATIVÁ</v>
          </cell>
          <cell r="D225" t="str">
            <v>PRIVADO</v>
          </cell>
          <cell r="E225" t="str">
            <v>EPBM</v>
          </cell>
          <cell r="F225" t="str">
            <v>COLEGIO_COOPERATIVO_DE_LOS_ALAMOS</v>
          </cell>
          <cell r="G225" t="str">
            <v>COLEGIO_COOPERATIVO_DE_LOS_ALAMOS</v>
          </cell>
          <cell r="H225" t="str">
            <v>Autoevaluación Institucional y Pruebas SABER 11</v>
          </cell>
          <cell r="I225" t="str">
            <v>SEGUIMIENTO_Y_SUPERVISIÓN.</v>
          </cell>
          <cell r="J22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25" t="str">
            <v>SANDRA MILENA BUENAVENTURA RUEDA</v>
          </cell>
          <cell r="L225" t="str">
            <v>JENIFER CATHERINE LEÓN ACOSTA</v>
          </cell>
          <cell r="M225">
            <v>45819</v>
          </cell>
          <cell r="N225">
            <v>45819</v>
          </cell>
          <cell r="O225">
            <v>45819</v>
          </cell>
          <cell r="P225" t="str">
            <v>Visitas de evaluación con fines de seguimiento</v>
          </cell>
          <cell r="Q225" t="str">
            <v>ACTA COOP ALAMOS.pdf</v>
          </cell>
          <cell r="R225" t="str">
            <v>Se evidencia en carpeta fisica de Orientación 12 PIAR y 2 flexibilizaciones. Los planes cuentan con el desarrollo del plan de trabajo, diagnóstico, objetivos y estrategias.</v>
          </cell>
          <cell r="S225" t="str">
            <v>Se les indica que se debe evidenciar la formalización de la entrega de los PIAR a los padres de familia.</v>
          </cell>
          <cell r="T225" t="str">
            <v>No</v>
          </cell>
          <cell r="U225" t="str">
            <v>Se hara el respectivo seguimiento en el último trimestre de 2025</v>
          </cell>
        </row>
        <row r="226">
          <cell r="A226">
            <v>800</v>
          </cell>
          <cell r="B226">
            <v>25</v>
          </cell>
          <cell r="C226" t="str">
            <v>ENGATIVÁ</v>
          </cell>
          <cell r="D226" t="str">
            <v>PRIVADO</v>
          </cell>
          <cell r="E226" t="str">
            <v>EPBM</v>
          </cell>
          <cell r="F226" t="str">
            <v>COLEGIO_COOPERATIVO_DE_LOS_ALAMOS</v>
          </cell>
          <cell r="G226" t="str">
            <v>COLEGIO_COOPERATIVO_DE_LOS_ALAMOS</v>
          </cell>
          <cell r="H226" t="str">
            <v>Autoevaluación Institucional y Pruebas SABER 11</v>
          </cell>
          <cell r="I226" t="str">
            <v>EVALUACIÓN_CON_FINES_DE_MEJORAMIENTO.</v>
          </cell>
          <cell r="J22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26" t="str">
            <v>SANDRA MILENA BUENAVENTURA RUEDA</v>
          </cell>
          <cell r="L226" t="str">
            <v>JENIFER CATHERINE LEÓN ACOSTA</v>
          </cell>
          <cell r="M226">
            <v>45819</v>
          </cell>
          <cell r="N226">
            <v>45819</v>
          </cell>
          <cell r="O226">
            <v>45819</v>
          </cell>
          <cell r="P226" t="str">
            <v>Visitas de evaluación con fines de mejoramiento</v>
          </cell>
          <cell r="Q226" t="str">
            <v>ACTA COOP ALAMOS.pdf</v>
          </cell>
          <cell r="R226" t="str">
            <v>El Manual de Convivencia se actualizó en el mes de diciembre, se reunen los estamentos y se hace la revisión y aporte respectiva, el Manual de Convivencia de la IE el cual consta de 59 páginas. Se evidencia en PEI, agenda escolar y pagina Web.</v>
          </cell>
          <cell r="S226" t="str">
            <v>Actualizar el manual incorporando los enfoque diferenciales  y la diferencia entre las situaciones convivenciales y las faltas disciplinarias.
La institución presentará plan de mejora con fecha máxima 25 de junio</v>
          </cell>
          <cell r="T226" t="str">
            <v>Si</v>
          </cell>
          <cell r="U226" t="str">
            <v xml:space="preserve"> Revisar el manual de convivencia y retroalimentar a la IE</v>
          </cell>
        </row>
        <row r="227">
          <cell r="A227">
            <v>801</v>
          </cell>
          <cell r="B227">
            <v>25</v>
          </cell>
          <cell r="C227" t="str">
            <v>ENGATIVÁ</v>
          </cell>
          <cell r="D227" t="str">
            <v>PRIVADO</v>
          </cell>
          <cell r="E227" t="str">
            <v>EPBM</v>
          </cell>
          <cell r="F227" t="str">
            <v>COLEGIO_COOPERATIVO_DE_LOS_ALAMOS</v>
          </cell>
          <cell r="G227" t="str">
            <v>COLEGIO_COOPERATIVO_DE_LOS_ALAMOS</v>
          </cell>
          <cell r="H227" t="str">
            <v>Autoevaluación Institucional y Pruebas SABER 11</v>
          </cell>
          <cell r="I227" t="str">
            <v>EVALUACIÓN_CON_FINES_DE_MEJORAMIENTO.</v>
          </cell>
          <cell r="J227" t="str">
            <v>Revisar la actualización, socialización e implementación del Sistema Institucional de Evaluación de Estudiantes - SIEE, en articulación con la actualización del PEI y la normatividad vigente.</v>
          </cell>
          <cell r="K227" t="str">
            <v>SANDRA MILENA BUENAVENTURA RUEDA</v>
          </cell>
          <cell r="L227" t="str">
            <v>JENIFER CATHERINE LEÓN ACOSTA</v>
          </cell>
          <cell r="M227">
            <v>45819</v>
          </cell>
          <cell r="N227">
            <v>45819</v>
          </cell>
          <cell r="O227">
            <v>45819</v>
          </cell>
          <cell r="P227" t="str">
            <v>Visitas de evaluación con fines de mejoramiento</v>
          </cell>
          <cell r="Q227" t="str">
            <v>ACTA COOP ALAMOS.pdf</v>
          </cell>
          <cell r="R227" t="str">
            <v xml:space="preserve">Se maneja mediante la plataforma SISTEMA DE SABERES y se maneja en linea, cuenta con usuarios administrativo, docentes acudientes y estudiantes </v>
          </cell>
          <cell r="S227" t="str">
            <v>Se debe especificar estas estrategias de manera detallada en el SIEE</v>
          </cell>
          <cell r="T227" t="str">
            <v>Si</v>
          </cell>
          <cell r="U227" t="str">
            <v>La institución presentará plan de mejora con fecha máxima 25 de junio con el fin de ser revisado por el equipo de Inspección y Vigilancia para hacer los ajustes y la trazabilidad correspondiente</v>
          </cell>
        </row>
        <row r="228">
          <cell r="A228">
            <v>802</v>
          </cell>
          <cell r="B228">
            <v>25</v>
          </cell>
          <cell r="C228" t="str">
            <v>ENGATIVÁ</v>
          </cell>
          <cell r="D228" t="str">
            <v>PRIVADO</v>
          </cell>
          <cell r="E228" t="str">
            <v>EPBM</v>
          </cell>
          <cell r="F228" t="str">
            <v>COLEGIO_COOPERATIVO_DE_LOS_ALAMOS</v>
          </cell>
          <cell r="G228" t="str">
            <v>COLEGIO_COOPERATIVO_DE_LOS_ALAMOS</v>
          </cell>
          <cell r="H228" t="str">
            <v>Autoevaluación Institucional y Pruebas SABER 11</v>
          </cell>
          <cell r="I228" t="str">
            <v>EVALUACIÓN_CON_FINES_DE_MEJORAMIENTO.</v>
          </cell>
          <cell r="J228" t="str">
            <v>Revisar el calendario escolar, jornada escolar, la intensidad horaria mínima anual en cada nivel y las modificaciones que se realicen al mismo, de acuerdo con lo previsto en la normatividad vigente.</v>
          </cell>
          <cell r="K228" t="str">
            <v>SANDRA MILENA BUENAVENTURA RUEDA</v>
          </cell>
          <cell r="L228" t="str">
            <v>JENIFER CATHERINE LEÓN ACOSTA</v>
          </cell>
          <cell r="M228">
            <v>45819</v>
          </cell>
          <cell r="N228">
            <v>45819</v>
          </cell>
          <cell r="O228">
            <v>45819</v>
          </cell>
          <cell r="P228" t="str">
            <v>Visitas de evaluación con fines de mejoramiento</v>
          </cell>
          <cell r="Q228" t="str">
            <v>ACTA COOP ALAMOS.pdf</v>
          </cell>
          <cell r="R228" t="str">
            <v>Se evidencia en el calendario academico 2025 por niveles para preescolar 1102 horas primaria 1102 horas secundaria 1254 horas.</v>
          </cell>
          <cell r="S228" t="str">
            <v>Cumple con la normatividad vigente</v>
          </cell>
          <cell r="T228" t="str">
            <v>No</v>
          </cell>
          <cell r="U228" t="str">
            <v>Se hara el respectivo seguimiento en el último trimestre de 2025</v>
          </cell>
        </row>
        <row r="229">
          <cell r="A229">
            <v>803</v>
          </cell>
          <cell r="B229">
            <v>25</v>
          </cell>
          <cell r="C229" t="str">
            <v>ENGATIVÁ</v>
          </cell>
          <cell r="D229" t="str">
            <v>PRIVADO</v>
          </cell>
          <cell r="E229" t="str">
            <v>EPBM</v>
          </cell>
          <cell r="F229" t="str">
            <v>COLEGIO_COOPERATIVO_DE_LOS_ALAMOS</v>
          </cell>
          <cell r="G229" t="str">
            <v>COLEGIO_COOPERATIVO_DE_LOS_ALAMOS</v>
          </cell>
          <cell r="H229" t="str">
            <v>Autoevaluación Institucional y Pruebas SABER 11</v>
          </cell>
          <cell r="I229" t="str">
            <v>EVALUACIÓN_CON_FINES_DE_MEJORAMIENTO.</v>
          </cell>
          <cell r="J229" t="str">
            <v>Verificar el funcionamiento del Gobierno Escolar e instancias de participación con base en la información sobre conformación reportada por la institución educativa.</v>
          </cell>
          <cell r="K229" t="str">
            <v>SANDRA MILENA BUENAVENTURA RUEDA</v>
          </cell>
          <cell r="L229" t="str">
            <v>JENIFER CATHERINE LEÓN ACOSTA</v>
          </cell>
          <cell r="M229">
            <v>45819</v>
          </cell>
          <cell r="N229">
            <v>45819</v>
          </cell>
          <cell r="O229">
            <v>45819</v>
          </cell>
          <cell r="P229" t="str">
            <v>Visitas de evaluación con fines de mejoramiento</v>
          </cell>
          <cell r="Q229" t="str">
            <v>ACTA COOP ALAMOS.pdf</v>
          </cell>
          <cell r="R229" t="str">
            <v>Se evidencia las carpetas por cada instancia con las actas correspondientes, del mismo modo en la plataforma SAE y el ejercicio de elección y conformación de forma participativa de acuerdo con lo establecido en el PEI.</v>
          </cell>
          <cell r="S229" t="str">
            <v>Se evidencias las funciones y reglamento interno en todas las instancias</v>
          </cell>
          <cell r="T229" t="str">
            <v>No</v>
          </cell>
          <cell r="U229" t="str">
            <v>Se hara el respectivo seguimiento en el último trimestre de 2025</v>
          </cell>
        </row>
        <row r="230">
          <cell r="A230">
            <v>804</v>
          </cell>
          <cell r="B230">
            <v>25</v>
          </cell>
          <cell r="C230" t="str">
            <v>ENGATIVÁ</v>
          </cell>
          <cell r="D230" t="str">
            <v>PRIVADO</v>
          </cell>
          <cell r="E230" t="str">
            <v>EPBM</v>
          </cell>
          <cell r="F230" t="str">
            <v>COLEGIO_COOPERATIVO_DE_LOS_ALAMOS</v>
          </cell>
          <cell r="G230" t="str">
            <v>COLEGIO_COOPERATIVO_DE_LOS_ALAMOS</v>
          </cell>
          <cell r="H230" t="str">
            <v>Autoevaluación Institucional y Pruebas SABER 11</v>
          </cell>
          <cell r="I230" t="str">
            <v>EVALUACIÓN_CON_FINES_DE_MEJORAMIENTO.</v>
          </cell>
          <cell r="J230" t="str">
            <v>Verificar las condiciones en cuanto a: la estructura administrativa, condiciones de la planta física y medios educativos adecuados.</v>
          </cell>
          <cell r="K230" t="str">
            <v>SANDRA MILENA BUENAVENTURA RUEDA</v>
          </cell>
          <cell r="L230" t="str">
            <v>JENIFER CATHERINE LEÓN ACOSTA</v>
          </cell>
          <cell r="M230">
            <v>45819</v>
          </cell>
          <cell r="N230">
            <v>45819</v>
          </cell>
          <cell r="O230">
            <v>45819</v>
          </cell>
          <cell r="P230" t="str">
            <v>Visitas de evaluación con fines de mejoramiento</v>
          </cell>
          <cell r="Q230" t="str">
            <v>ACTA COOP ALAMOS.pdf</v>
          </cell>
          <cell r="R230" t="str">
            <v>La IE cuenta con 20 salones, 2 aulas de sistemas con 62 computadores con acceso a internet, 1 salón auxiliar de preescolar, salón de danzas, salón de música, 1 laboratorio, deposito para implementos deperotivos, zona de cafeteria, enfermeria con baño, 1 laboratorio y 33 sanitarios y 28 lavamanos para estudiantes ( separados por secciones primera infancia, primaria y bachillerato)</v>
          </cell>
          <cell r="S230" t="str">
            <v xml:space="preserve">
Se debe realizar un análisis de la capacidad instalada en salones de clase de la parte antigua del colegio</v>
          </cell>
          <cell r="T230" t="str">
            <v>Si</v>
          </cell>
          <cell r="U230" t="str">
            <v>La institución presentará plan de mejora con fecha máxima 25 de junio con el fin de ser revisado por el equipo de Inspección y Vigilancia para hacer los ajustes y la trazabilidad correspondiente</v>
          </cell>
        </row>
        <row r="231">
          <cell r="A231">
            <v>806</v>
          </cell>
          <cell r="B231">
            <v>26</v>
          </cell>
          <cell r="C231" t="str">
            <v>ENGATIVÁ</v>
          </cell>
          <cell r="D231" t="str">
            <v>PRIVADO</v>
          </cell>
          <cell r="E231" t="str">
            <v>EPBM</v>
          </cell>
          <cell r="F231" t="str">
            <v>COLEGIO_REAL_DE_COLOMBIA</v>
          </cell>
          <cell r="G231" t="str">
            <v>COLEGIO_REAL_DE_COLOMBIA</v>
          </cell>
          <cell r="H231" t="str">
            <v>Autoevaluación Institucional y Pruebas SABER 11</v>
          </cell>
          <cell r="I231" t="str">
            <v>SEGUIMIENTO_Y_SUPERVISIÓN.</v>
          </cell>
          <cell r="J231" t="str">
            <v>Proponer estrategias en la formulación, verificar su elaboración y realizar seguimiento semestral al desarrollo de  las acciones establecidas en los planes de mejoramiento por pruebas SABER 11 de los establecimientos de educación formal.</v>
          </cell>
          <cell r="K231" t="str">
            <v>JENIFER CATHERINE LEÓN ACOSTA</v>
          </cell>
          <cell r="L231" t="str">
            <v>ANA MARÍA CASAS SANABRIA</v>
          </cell>
          <cell r="M231">
            <v>45818</v>
          </cell>
          <cell r="N231">
            <v>45818</v>
          </cell>
          <cell r="O231">
            <v>45818</v>
          </cell>
          <cell r="P231" t="str">
            <v>Visitas de evaluación con fines de seguimiento</v>
          </cell>
          <cell r="Q231" t="str">
            <v>ACTA VISITA COLEGIO REAL DE COLOMBIA.pdf</v>
          </cell>
          <cell r="R231" t="str">
            <v>Documento realizado por la empresar Formarte, en la cual se analiza los resultados por áreas y se comprara con el rendimiento académico en años anteriores</v>
          </cell>
          <cell r="S231" t="str">
            <v>Se contrata empresa para realizar el Anàlisis de los resultados, en este caso es Formarte. Sin embargo, a el acta de proceso de socializaciòn de los resultados con docentes o consejo acadèmica y la planeación para los cambios curriculares.</v>
          </cell>
          <cell r="T231" t="str">
            <v>Si</v>
          </cell>
          <cell r="U231" t="str">
            <v>El EE presentara el plan de mejoramiento el 14 de Julio</v>
          </cell>
        </row>
        <row r="232">
          <cell r="A232">
            <v>807</v>
          </cell>
          <cell r="B232">
            <v>26</v>
          </cell>
          <cell r="C232" t="str">
            <v>ENGATIVÁ</v>
          </cell>
          <cell r="D232" t="str">
            <v>PRIVADO</v>
          </cell>
          <cell r="E232" t="str">
            <v>EPBM</v>
          </cell>
          <cell r="F232" t="str">
            <v>COLEGIO_REAL_DE_COLOMBIA</v>
          </cell>
          <cell r="G232" t="str">
            <v>COLEGIO_REAL_DE_COLOMBIA</v>
          </cell>
          <cell r="H232" t="str">
            <v>Autoevaluación Institucional y Pruebas SABER 11</v>
          </cell>
          <cell r="I232" t="str">
            <v>SEGUIMIENTO_Y_SUPERVISIÓN.</v>
          </cell>
          <cell r="J232" t="str">
            <v xml:space="preserve">Verificar la implementación por parte de los colegios, de acciones realizadas para la prevención y atención de las situaciones de convivencia en el entorno escolar, según lo establecido en la Directiva 01 de 2022 del MEN. </v>
          </cell>
          <cell r="K232" t="str">
            <v>JENIFER CATHERINE LEÓN ACOSTA</v>
          </cell>
          <cell r="L232" t="str">
            <v>ANA MARÍA CASAS SANABRIA</v>
          </cell>
          <cell r="M232">
            <v>45818</v>
          </cell>
          <cell r="N232">
            <v>45818</v>
          </cell>
          <cell r="O232">
            <v>45818</v>
          </cell>
          <cell r="P232" t="str">
            <v>Visitas de evaluación con fines de seguimiento</v>
          </cell>
          <cell r="Q232" t="str">
            <v>ACTA VISITA COLEGIO REAL DE COLOMBIA.pdf</v>
          </cell>
          <cell r="R232" t="str">
            <v xml:space="preserve">1, Realizan trabajo desde el area de orientación, con tematicas puntuales a estudiantes, docentes y padres de familia, que incluyen tematicas trasversales desde la prevención de violencia sexual. 
2,  No tienen revisión de inhabilidades.
3, No se tienen el enfoque de genero  en las capacitaciones sobre vioencia sexual, solo se tratan temas muy amplios.
</v>
          </cell>
          <cell r="S232" t="str">
            <v xml:space="preserve">1. Se debe realizar la adopcion del manual de convivencia por parte del comité directivo.
2. se debe incluir los aspectos de ley en la actualizacion del manual  en el comite de convivencia escolar y la capacitacion a los docentes frente a los temas establecidos a incluir.
3, se debe Operativizar el comite de convivencia escolar.  </v>
          </cell>
          <cell r="T232" t="str">
            <v>Si</v>
          </cell>
          <cell r="U232" t="str">
            <v>El EE presentara el plan de mejoramiento el 14 de Julio</v>
          </cell>
        </row>
        <row r="233">
          <cell r="A233">
            <v>808</v>
          </cell>
          <cell r="B233">
            <v>26</v>
          </cell>
          <cell r="C233" t="str">
            <v>ENGATIVÁ</v>
          </cell>
          <cell r="D233" t="str">
            <v>PRIVADO</v>
          </cell>
          <cell r="E233" t="str">
            <v>EPBM</v>
          </cell>
          <cell r="F233" t="str">
            <v>COLEGIO_REAL_DE_COLOMBIA</v>
          </cell>
          <cell r="G233" t="str">
            <v>COLEGIO_REAL_DE_COLOMBIA</v>
          </cell>
          <cell r="H233" t="str">
            <v>Autoevaluación Institucional y Pruebas SABER 11</v>
          </cell>
          <cell r="I233" t="str">
            <v>SEGUIMIENTO_Y_SUPERVISIÓN.</v>
          </cell>
          <cell r="J23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33" t="str">
            <v>JENIFER CATHERINE LEÓN ACOSTA</v>
          </cell>
          <cell r="L233" t="str">
            <v>ANA MARÍA CASAS SANABRIA</v>
          </cell>
          <cell r="M233">
            <v>45818</v>
          </cell>
          <cell r="N233">
            <v>45818</v>
          </cell>
          <cell r="O233">
            <v>45818</v>
          </cell>
          <cell r="P233" t="str">
            <v>Visitas de evaluación con fines de seguimiento</v>
          </cell>
          <cell r="Q233" t="str">
            <v>ACTA VISITA COLEGIO REAL DE COLOMBIA.pdf</v>
          </cell>
          <cell r="R233" t="str">
            <v>Tres PIAR  de los estudiantes caracterizados  desde el SIMAT, que fueron actualizados el primer trimestre del año y estan debidamente firmados por los padres de familia.</v>
          </cell>
          <cell r="S233" t="str">
            <v>Se realiza identificacion de la poblacion que requiere ajustes razonables, se esta realizando por parte del establecimiento educativo.</v>
          </cell>
          <cell r="T233" t="str">
            <v>No</v>
          </cell>
          <cell r="U233" t="str">
            <v>El seguimiento al cumplimiento  de identificacion y formalizacion de los ajustes razonables se realiza de manera constante.</v>
          </cell>
        </row>
        <row r="234">
          <cell r="A234">
            <v>809</v>
          </cell>
          <cell r="B234">
            <v>26</v>
          </cell>
          <cell r="C234" t="str">
            <v>ENGATIVÁ</v>
          </cell>
          <cell r="D234" t="str">
            <v>PRIVADO</v>
          </cell>
          <cell r="E234" t="str">
            <v>EPBM</v>
          </cell>
          <cell r="F234" t="str">
            <v>COLEGIO_REAL_DE_COLOMBIA</v>
          </cell>
          <cell r="G234" t="str">
            <v>COLEGIO_REAL_DE_COLOMBIA</v>
          </cell>
          <cell r="H234" t="str">
            <v>Autoevaluación Institucional y Pruebas SABER 11</v>
          </cell>
          <cell r="I234" t="str">
            <v>EVALUACIÓN_CON_FINES_DE_MEJORAMIENTO.</v>
          </cell>
          <cell r="J23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34" t="str">
            <v>JENIFER CATHERINE LEÓN ACOSTA</v>
          </cell>
          <cell r="L234" t="str">
            <v>ANA MARÍA CASAS SANABRIA</v>
          </cell>
          <cell r="M234">
            <v>45818</v>
          </cell>
          <cell r="N234">
            <v>45818</v>
          </cell>
          <cell r="O234">
            <v>45818</v>
          </cell>
          <cell r="P234" t="str">
            <v>Visitas de evaluación con fines de mejoramiento</v>
          </cell>
          <cell r="Q234" t="str">
            <v>ACTA VISITA COLEGIO REAL DE COLOMBIA.pdf</v>
          </cell>
          <cell r="R234" t="str">
            <v>Existe confusion entre las situaciones convivenciales y sus protocolos y las acciones disciplinares.
No se evidencia la inclusion del enfoque de género y restaurativo. Informan que es un manual que esta en constante construcción, sin embargo, en lo relacionado con la actualizacion de la normatividad, no se evidencia la inclusion del enfoque de género y restaurativo.</v>
          </cell>
          <cell r="S234" t="str">
            <v xml:space="preserve">1. Se debe realizar la adopcion del manual de convivencia por parte del comité directivo.
2. se debe incluir los aspectos de ley en la actualizacion del manual  en el comite de convivencia escolar y la capacitacion a los docentes frente a los temas establecidos a incluir.
3, se debe Operativizar el comite de convivencia escolar.  </v>
          </cell>
          <cell r="T234"/>
          <cell r="U234" t="str">
            <v>El EE presentara el plan de mejoramiento el 14 de Julio</v>
          </cell>
        </row>
        <row r="235">
          <cell r="A235">
            <v>810</v>
          </cell>
          <cell r="B235">
            <v>26</v>
          </cell>
          <cell r="C235" t="str">
            <v>ENGATIVÁ</v>
          </cell>
          <cell r="D235" t="str">
            <v>PRIVADO</v>
          </cell>
          <cell r="E235" t="str">
            <v>EPBM</v>
          </cell>
          <cell r="F235" t="str">
            <v>COLEGIO_REAL_DE_COLOMBIA</v>
          </cell>
          <cell r="G235" t="str">
            <v>COLEGIO_REAL_DE_COLOMBIA</v>
          </cell>
          <cell r="H235" t="str">
            <v>Autoevaluación Institucional y Pruebas SABER 11</v>
          </cell>
          <cell r="I235" t="str">
            <v>EVALUACIÓN_CON_FINES_DE_MEJORAMIENTO.</v>
          </cell>
          <cell r="J235" t="str">
            <v>Revisar la actualización, socialización e implementación del Sistema Institucional de Evaluación de Estudiantes - SIEE, en articulación con la actualización del PEI y la normatividad vigente.</v>
          </cell>
          <cell r="K235" t="str">
            <v>JENIFER CATHERINE LEÓN ACOSTA</v>
          </cell>
          <cell r="L235" t="str">
            <v>ANA MARÍA CASAS SANABRIA</v>
          </cell>
          <cell r="M235">
            <v>45818</v>
          </cell>
          <cell r="N235">
            <v>45818</v>
          </cell>
          <cell r="O235">
            <v>45818</v>
          </cell>
          <cell r="P235" t="str">
            <v>Visitas de evaluación con fines de mejoramiento</v>
          </cell>
          <cell r="Q235" t="str">
            <v>ACTA VISITA COLEGIO REAL DE COLOMBIA.pdf</v>
          </cell>
          <cell r="R235" t="str">
            <v xml:space="preserve">Aunque tienen un capitulo amplio en el PEI y en el manual de convivencia. No existe un protocolo sobre el procedimiento de evaluación, nivelación y la atencion a la descercion escolar.
</v>
          </cell>
          <cell r="S235" t="str">
            <v>Ajustar el SIEE conforme las observaciones realizadas y lo estblecido en la normatividad vigente.
El EE presentara el plan de mejoramiento el 14 de Julio</v>
          </cell>
          <cell r="T235" t="str">
            <v>Si</v>
          </cell>
          <cell r="U235" t="str">
            <v>Revisar el SIEE y retroalimentar a la IE</v>
          </cell>
        </row>
        <row r="236">
          <cell r="A236">
            <v>811</v>
          </cell>
          <cell r="B236">
            <v>26</v>
          </cell>
          <cell r="C236" t="str">
            <v>ENGATIVÁ</v>
          </cell>
          <cell r="D236" t="str">
            <v>PRIVADO</v>
          </cell>
          <cell r="E236" t="str">
            <v>EPBM</v>
          </cell>
          <cell r="F236" t="str">
            <v>COLEGIO_REAL_DE_COLOMBIA</v>
          </cell>
          <cell r="G236" t="str">
            <v>COLEGIO_REAL_DE_COLOMBIA</v>
          </cell>
          <cell r="H236" t="str">
            <v>Autoevaluación Institucional y Pruebas SABER 11</v>
          </cell>
          <cell r="I236" t="str">
            <v>EVALUACIÓN_CON_FINES_DE_MEJORAMIENTO.</v>
          </cell>
          <cell r="J236" t="str">
            <v>Revisar el calendario escolar, jornada escolar, la intensidad horaria mínima anual en cada nivel y las modificaciones que se realicen al mismo, de acuerdo con lo previsto en la normatividad vigente.</v>
          </cell>
          <cell r="K236" t="str">
            <v>JENIFER CATHERINE LEÓN ACOSTA</v>
          </cell>
          <cell r="L236" t="str">
            <v>ANA MARÍA CASAS SANABRIA</v>
          </cell>
          <cell r="M236">
            <v>45818</v>
          </cell>
          <cell r="N236">
            <v>45818</v>
          </cell>
          <cell r="O236">
            <v>45818</v>
          </cell>
          <cell r="P236" t="str">
            <v>Visitas de evaluación con fines de mejoramiento</v>
          </cell>
          <cell r="Q236" t="str">
            <v>ACTA VISITA COLEGIO REAL DE COLOMBIA.pdf</v>
          </cell>
          <cell r="R236" t="str">
            <v>Tienen el calendrio escolar, y la itensidad horaria de acuerdo a la norma , Publicada en la pagina web del colegio y en su plataforma de informes</v>
          </cell>
          <cell r="S236" t="str">
            <v>No se hace requerimiento</v>
          </cell>
          <cell r="T236" t="str">
            <v>No</v>
          </cell>
          <cell r="U236" t="str">
            <v>Se realizará verificacion en caso de presentarse una solicitud o queja al respecto de este apartado</v>
          </cell>
        </row>
        <row r="237">
          <cell r="A237">
            <v>812</v>
          </cell>
          <cell r="B237">
            <v>26</v>
          </cell>
          <cell r="C237" t="str">
            <v>ENGATIVÁ</v>
          </cell>
          <cell r="D237" t="str">
            <v>PRIVADO</v>
          </cell>
          <cell r="E237" t="str">
            <v>EPBM</v>
          </cell>
          <cell r="F237" t="str">
            <v>COLEGIO_REAL_DE_COLOMBIA</v>
          </cell>
          <cell r="G237" t="str">
            <v>COLEGIO_REAL_DE_COLOMBIA</v>
          </cell>
          <cell r="H237" t="str">
            <v>Autoevaluación Institucional y Pruebas SABER 11</v>
          </cell>
          <cell r="I237" t="str">
            <v>EVALUACIÓN_CON_FINES_DE_MEJORAMIENTO.</v>
          </cell>
          <cell r="J237" t="str">
            <v>Verificar el funcionamiento del Gobierno Escolar e instancias de participación con base en la información sobre conformación reportada por la institución educativa.</v>
          </cell>
          <cell r="K237" t="str">
            <v>JENIFER CATHERINE LEÓN ACOSTA</v>
          </cell>
          <cell r="L237" t="str">
            <v>ANA MARÍA CASAS SANABRIA</v>
          </cell>
          <cell r="M237">
            <v>45818</v>
          </cell>
          <cell r="N237">
            <v>45818</v>
          </cell>
          <cell r="O237">
            <v>45818</v>
          </cell>
          <cell r="P237" t="str">
            <v>Visitas de evaluación con fines de mejoramiento</v>
          </cell>
          <cell r="Q237" t="str">
            <v>ACTA VISITA COLEGIO REAL DE COLOMBIA.pdf</v>
          </cell>
          <cell r="R237" t="str">
            <v xml:space="preserve">Solo se encuentras las actas de conformacion </v>
          </cell>
          <cell r="S237" t="str">
            <v>1, Se debe generar un plan de accion de las instancias de Gobierno escolar.
2, Operativizar la accion de las inStancias de participación
El EE presentara el plan de mejoramiento el 14 de Julio</v>
          </cell>
          <cell r="T237" t="str">
            <v>Si</v>
          </cell>
          <cell r="U237" t="str">
            <v>Verificar la formulación y hacer seguimiento a las acciones establecidas en el plan de mejoramiento.</v>
          </cell>
        </row>
        <row r="238">
          <cell r="A238">
            <v>813</v>
          </cell>
          <cell r="B238">
            <v>26</v>
          </cell>
          <cell r="C238" t="str">
            <v>ENGATIVÁ</v>
          </cell>
          <cell r="D238" t="str">
            <v>PRIVADO</v>
          </cell>
          <cell r="E238" t="str">
            <v>EPBM</v>
          </cell>
          <cell r="F238" t="str">
            <v>COLEGIO_REAL_DE_COLOMBIA</v>
          </cell>
          <cell r="G238" t="str">
            <v>COLEGIO_REAL_DE_COLOMBIA</v>
          </cell>
          <cell r="H238" t="str">
            <v>Autoevaluación Institucional y Pruebas SABER 11</v>
          </cell>
          <cell r="I238" t="str">
            <v>EVALUACIÓN_CON_FINES_DE_MEJORAMIENTO.</v>
          </cell>
          <cell r="J238" t="str">
            <v>Verificar las condiciones en cuanto a: la estructura administrativa, condiciones de la planta física y medios educativos adecuados.</v>
          </cell>
          <cell r="K238" t="str">
            <v>JENIFER CATHERINE LEÓN ACOSTA</v>
          </cell>
          <cell r="L238" t="str">
            <v>ANA MARÍA CASAS SANABRIA</v>
          </cell>
          <cell r="M238">
            <v>45818</v>
          </cell>
          <cell r="N238">
            <v>45818</v>
          </cell>
          <cell r="O238">
            <v>45818</v>
          </cell>
          <cell r="P238" t="str">
            <v>Visitas de evaluación con fines de mejoramiento</v>
          </cell>
          <cell r="Q238" t="str">
            <v>ACTA VISITA COLEGIO REAL DE COLOMBIA.pdf</v>
          </cell>
          <cell r="R238" t="str">
            <v xml:space="preserve">1, Los espacios no son suficientes y se eviencia hacinamieto en algunas aulas.
2, Las baterias de baños no son sufientes para la cantidad de niños que estan matriculados.
3, No existe un baño para los adultos y estos ingresan a los de los niños
4,Falta Material de apoyo pedagogico en los salones de clase. </v>
          </cell>
          <cell r="S238" t="str">
            <v>1, Generar estrategias para dar cumplimiento a la normatividad actual sobre espacios escolares.
El EE presentara el plan de mejoramiento el 14 de Julio</v>
          </cell>
          <cell r="T238" t="str">
            <v>Si</v>
          </cell>
          <cell r="U238"/>
        </row>
        <row r="239">
          <cell r="A239">
            <v>814</v>
          </cell>
          <cell r="B239">
            <v>27</v>
          </cell>
          <cell r="C239" t="str">
            <v>ENGATIVÁ</v>
          </cell>
          <cell r="D239" t="str">
            <v>PRIVADO</v>
          </cell>
          <cell r="E239" t="str">
            <v>EPBM</v>
          </cell>
          <cell r="F239" t="str">
            <v>LICEO_NORMANDIA</v>
          </cell>
          <cell r="G239" t="str">
            <v>LICEO_NORMANDIA</v>
          </cell>
          <cell r="H239" t="str">
            <v>Autoevaluación Institucional y Pruebas SABER 11</v>
          </cell>
          <cell r="I239" t="str">
            <v>SEGUIMIENTO_Y_SUPERVISIÓN.</v>
          </cell>
          <cell r="J239" t="str">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ell>
          <cell r="K239" t="str">
            <v>ANA MARÍA CASAS SANABRIA</v>
          </cell>
          <cell r="L239" t="str">
            <v>JAIME HUMBERTO RAMÍREZ LLANOS</v>
          </cell>
          <cell r="M239">
            <v>45874</v>
          </cell>
          <cell r="N239">
            <v>45874</v>
          </cell>
          <cell r="O239">
            <v>45874</v>
          </cell>
          <cell r="P239" t="str">
            <v>Visitas de evaluación con fines de seguimiento</v>
          </cell>
          <cell r="Q239" t="str">
            <v>ACTA LICEO NORMANDIA.pdf</v>
          </cell>
          <cell r="R239" t="str">
            <v>Se realizó verificación de la información registrada en el aplicativo EVI</v>
          </cell>
          <cell r="S239" t="str">
            <v>La información reportada corresponde a la reportada en el aplicativo EVI</v>
          </cell>
          <cell r="T239" t="str">
            <v>No</v>
          </cell>
          <cell r="U239"/>
        </row>
        <row r="240">
          <cell r="A240">
            <v>815</v>
          </cell>
          <cell r="B240">
            <v>27</v>
          </cell>
          <cell r="C240" t="str">
            <v>ENGATIVÁ</v>
          </cell>
          <cell r="D240" t="str">
            <v>PRIVADO</v>
          </cell>
          <cell r="E240" t="str">
            <v>EPBM</v>
          </cell>
          <cell r="F240" t="str">
            <v>LICEO_NORMANDIA</v>
          </cell>
          <cell r="G240" t="str">
            <v>LICEO_NORMANDIA</v>
          </cell>
          <cell r="H240" t="str">
            <v>Autoevaluación Institucional y Pruebas SABER 11</v>
          </cell>
          <cell r="I240" t="str">
            <v>SEGUIMIENTO_Y_SUPERVISIÓN.</v>
          </cell>
          <cell r="J240" t="str">
            <v>Proponer estrategias en la formulación, verificar su elaboración y realizar seguimiento semestral al desarrollo de  las acciones establecidas en los planes de mejoramiento por pruebas SABER 11 de los establecimientos de educación formal.</v>
          </cell>
          <cell r="K240" t="str">
            <v>ANA MARÍA CASAS SANABRIA</v>
          </cell>
          <cell r="L240" t="str">
            <v>JAIME HUMBERTO RAMÍREZ LLANOS</v>
          </cell>
          <cell r="M240">
            <v>45874</v>
          </cell>
          <cell r="N240">
            <v>45874</v>
          </cell>
          <cell r="O240">
            <v>45874</v>
          </cell>
          <cell r="P240" t="str">
            <v>Visitas de evaluación con fines de seguimiento</v>
          </cell>
          <cell r="Q240" t="str">
            <v>ACTA LICEO NORMANDIA.pdf</v>
          </cell>
          <cell r="R240" t="str">
            <v xml:space="preserve">El establecimiento presenta algunas estrategias basadas en los resultados de las pruebas saber, como ajuste del curriculo desde grado 6 hasta 11 </v>
          </cell>
          <cell r="S240" t="str">
            <v>Se solicita tener encuenta la aprobacion de la estrategias por parte del consejo academico y directivo.</v>
          </cell>
          <cell r="T240" t="str">
            <v>Si</v>
          </cell>
          <cell r="U240" t="str">
            <v>Se requirió presentar Plan de Majoramiento con el fin de subsanar la situación actual. El PMI debe ser entregado al ELIV a más tardar el 21 de agosto de 2025</v>
          </cell>
        </row>
        <row r="241">
          <cell r="A241">
            <v>816</v>
          </cell>
          <cell r="B241">
            <v>27</v>
          </cell>
          <cell r="C241" t="str">
            <v>ENGATIVÁ</v>
          </cell>
          <cell r="D241" t="str">
            <v>PRIVADO</v>
          </cell>
          <cell r="E241" t="str">
            <v>EPBM</v>
          </cell>
          <cell r="F241" t="str">
            <v>LICEO_NORMANDIA</v>
          </cell>
          <cell r="G241" t="str">
            <v>LICEO_NORMANDIA</v>
          </cell>
          <cell r="H241" t="str">
            <v>Autoevaluación Institucional y Pruebas SABER 11</v>
          </cell>
          <cell r="I241" t="str">
            <v>SEGUIMIENTO_Y_SUPERVISIÓN.</v>
          </cell>
          <cell r="J241" t="str">
            <v xml:space="preserve">Verificar la implementación por parte de los colegios, de acciones realizadas para la prevención y atención de las situaciones de convivencia en el entorno escolar, según lo establecido en la Directiva 01 de 2022 del MEN. </v>
          </cell>
          <cell r="K241" t="str">
            <v>ANA MARÍA CASAS SANABRIA</v>
          </cell>
          <cell r="L241" t="str">
            <v>JAIME HUMBERTO RAMÍREZ LLANOS</v>
          </cell>
          <cell r="M241">
            <v>45874</v>
          </cell>
          <cell r="N241">
            <v>45874</v>
          </cell>
          <cell r="O241">
            <v>45874</v>
          </cell>
          <cell r="P241" t="str">
            <v>Visitas de evaluación con fines de seguimiento</v>
          </cell>
          <cell r="Q241" t="str">
            <v>ACTA LICEO NORMANDIA.pdf</v>
          </cell>
          <cell r="R241" t="str">
            <v>El E.E. realiza verificación de inhabilidad por parte del personal contratado cada 4 meses.</v>
          </cell>
          <cell r="S241" t="str">
            <v>Se recomienda tener encuenta todas las acciones que establece la directiva como estrategia de prevencion y atencion.</v>
          </cell>
          <cell r="T241" t="str">
            <v>Si</v>
          </cell>
          <cell r="U241" t="str">
            <v>Se requirió presentar Plan de Majoramiento con el fin de subsanar la situación actual. El PMI debe ser entregado al ELIV a más tardar el 21 de agosto de 2025</v>
          </cell>
        </row>
        <row r="242">
          <cell r="A242">
            <v>817</v>
          </cell>
          <cell r="B242">
            <v>27</v>
          </cell>
          <cell r="C242" t="str">
            <v>ENGATIVÁ</v>
          </cell>
          <cell r="D242" t="str">
            <v>PRIVADO</v>
          </cell>
          <cell r="E242" t="str">
            <v>EPBM</v>
          </cell>
          <cell r="F242" t="str">
            <v>LICEO_NORMANDIA</v>
          </cell>
          <cell r="G242" t="str">
            <v>LICEO_NORMANDIA</v>
          </cell>
          <cell r="H242" t="str">
            <v>Autoevaluación Institucional y Pruebas SABER 11</v>
          </cell>
          <cell r="I242" t="str">
            <v>SEGUIMIENTO_Y_SUPERVISIÓN.</v>
          </cell>
          <cell r="J24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42" t="str">
            <v>ANA MARÍA CASAS SANABRIA</v>
          </cell>
          <cell r="L242" t="str">
            <v>JAIME HUMBERTO RAMÍREZ LLANOS</v>
          </cell>
          <cell r="M242">
            <v>45874</v>
          </cell>
          <cell r="N242">
            <v>45874</v>
          </cell>
          <cell r="O242">
            <v>45874</v>
          </cell>
          <cell r="P242" t="str">
            <v>Visitas de evaluación con fines de seguimiento</v>
          </cell>
          <cell r="Q242" t="str">
            <v>ACTA LICEO NORMANDIA.pdf</v>
          </cell>
          <cell r="R242" t="str">
            <v>Se observa que diseña los  los PIAR  con acompañmiento de orientacion y los docentes de aula.</v>
          </cell>
          <cell r="S242" t="str">
            <v>Se dan recomendaciones para el correcto diseño de los PIAR y se solciita verificar en el SIMAT algunops estudiantes que estan caracterizados, pero la insitucion no tiene conocimiento de diagnosticos.</v>
          </cell>
          <cell r="T242" t="str">
            <v>Si</v>
          </cell>
          <cell r="U242" t="str">
            <v>Se requirió presentar Plan de Majoramiento con el fin de subsanar la situación actual. El PMI debe ser entregado al ELIV a más tardar el 21 de agosto de 2025</v>
          </cell>
        </row>
        <row r="243">
          <cell r="A243">
            <v>818</v>
          </cell>
          <cell r="B243">
            <v>27</v>
          </cell>
          <cell r="C243" t="str">
            <v>ENGATIVÁ</v>
          </cell>
          <cell r="D243" t="str">
            <v>PRIVADO</v>
          </cell>
          <cell r="E243" t="str">
            <v>EPBM</v>
          </cell>
          <cell r="F243" t="str">
            <v>LICEO_NORMANDIA</v>
          </cell>
          <cell r="G243" t="str">
            <v>LICEO_NORMANDIA</v>
          </cell>
          <cell r="H243" t="str">
            <v>Autoevaluación Institucional y Pruebas SABER 11</v>
          </cell>
          <cell r="I243" t="str">
            <v>EVALUACIÓN_CON_FINES_DE_MEJORAMIENTO.</v>
          </cell>
          <cell r="J24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43" t="str">
            <v>ANA MARÍA CASAS SANABRIA</v>
          </cell>
          <cell r="L243" t="str">
            <v>JAIME HUMBERTO RAMÍREZ LLANOS</v>
          </cell>
          <cell r="M243">
            <v>45874</v>
          </cell>
          <cell r="N243">
            <v>45874</v>
          </cell>
          <cell r="O243">
            <v>45874</v>
          </cell>
          <cell r="P243" t="str">
            <v>Visitas de evaluación con fines de mejoramiento</v>
          </cell>
          <cell r="Q243" t="str">
            <v>ACTA LICEO NORMANDIA.pdf</v>
          </cell>
          <cell r="R243" t="str">
            <v xml:space="preserve">la insitucion evidencia una participacion  por parte de la comunidad educativa en actualización del manual se evidencia confucion entre faltas y situaciones convivenciales </v>
          </cell>
          <cell r="S243" t="str">
            <v>Se indica que debe quedar registrado la participacion de toda la comunidad  educativa en la actualización del manual de convivencia</v>
          </cell>
          <cell r="T243" t="str">
            <v>Si</v>
          </cell>
          <cell r="U243" t="str">
            <v>Se requirió presentar Plan de Majoramiento con el fin de subsanar la situación actual. El PMI debe ser entregado al ELIV a más tardar el 21 de agosto de 2025</v>
          </cell>
        </row>
        <row r="244">
          <cell r="A244">
            <v>819</v>
          </cell>
          <cell r="B244">
            <v>27</v>
          </cell>
          <cell r="C244" t="str">
            <v>ENGATIVÁ</v>
          </cell>
          <cell r="D244" t="str">
            <v>PRIVADO</v>
          </cell>
          <cell r="E244" t="str">
            <v>EPBM</v>
          </cell>
          <cell r="F244" t="str">
            <v>LICEO_NORMANDIA</v>
          </cell>
          <cell r="G244" t="str">
            <v>LICEO_NORMANDIA</v>
          </cell>
          <cell r="H244" t="str">
            <v>Autoevaluación Institucional y Pruebas SABER 11</v>
          </cell>
          <cell r="I244" t="str">
            <v>EVALUACIÓN_CON_FINES_DE_MEJORAMIENTO.</v>
          </cell>
          <cell r="J244" t="str">
            <v>Revisar la actualización, socialización e implementación del Sistema Institucional de Evaluación de Estudiantes - SIEE, en articulación con la actualización del PEI y la normatividad vigente.</v>
          </cell>
          <cell r="K244" t="str">
            <v>ANA MARÍA CASAS SANABRIA</v>
          </cell>
          <cell r="L244" t="str">
            <v>JAIME HUMBERTO RAMÍREZ LLANOS</v>
          </cell>
          <cell r="M244">
            <v>45874</v>
          </cell>
          <cell r="N244">
            <v>45874</v>
          </cell>
          <cell r="O244">
            <v>45874</v>
          </cell>
          <cell r="P244" t="str">
            <v>Visitas de evaluación con fines de mejoramiento</v>
          </cell>
          <cell r="Q244" t="str">
            <v>ACTA LICEO NORMANDIA.pdf</v>
          </cell>
          <cell r="R244" t="str">
            <v xml:space="preserve">la insitucion evidencia una participacion  por parte de la comunidad educativa en actualización del manual se evidencia confucion entre faltas y situaciones convivenciales </v>
          </cell>
          <cell r="S244" t="str">
            <v>Se indica que debe quedar registrado la participacion de toda la comunidad  educativa en la actualización del manual de convivencia</v>
          </cell>
          <cell r="T244" t="str">
            <v>Si</v>
          </cell>
          <cell r="U244" t="str">
            <v>Se requirió presentar Plan de Majoramiento con el fin de subsanar la situación actual. El PMI debe ser entregado al ELIV a más tardar el 21 de agosto de 2025</v>
          </cell>
        </row>
        <row r="245">
          <cell r="A245">
            <v>820</v>
          </cell>
          <cell r="B245">
            <v>27</v>
          </cell>
          <cell r="C245" t="str">
            <v>ENGATIVÁ</v>
          </cell>
          <cell r="D245" t="str">
            <v>PRIVADO</v>
          </cell>
          <cell r="E245" t="str">
            <v>EPBM</v>
          </cell>
          <cell r="F245" t="str">
            <v>LICEO_NORMANDIA</v>
          </cell>
          <cell r="G245" t="str">
            <v>LICEO_NORMANDIA</v>
          </cell>
          <cell r="H245" t="str">
            <v>Autoevaluación Institucional y Pruebas SABER 11</v>
          </cell>
          <cell r="I245" t="str">
            <v>EVALUACIÓN_CON_FINES_DE_MEJORAMIENTO.</v>
          </cell>
          <cell r="J245" t="str">
            <v>Revisar el calendario escolar, jornada escolar, la intensidad horaria mínima anual en cada nivel y las modificaciones que se realicen al mismo, de acuerdo con lo previsto en la normatividad vigente.</v>
          </cell>
          <cell r="K245" t="str">
            <v>ANA MARÍA CASAS SANABRIA</v>
          </cell>
          <cell r="L245" t="str">
            <v>JAIME HUMBERTO RAMÍREZ LLANOS</v>
          </cell>
          <cell r="M245">
            <v>45874</v>
          </cell>
          <cell r="N245">
            <v>45874</v>
          </cell>
          <cell r="O245">
            <v>45874</v>
          </cell>
          <cell r="P245" t="str">
            <v>Visitas de evaluación con fines de mejoramiento</v>
          </cell>
          <cell r="Q245" t="str">
            <v>ACTA LICEO NORMANDIA.pdf</v>
          </cell>
          <cell r="R245" t="str">
            <v xml:space="preserve">Se revisa en el calendario escolar  horario de clases y docentes el cumplimiento de la intensidad horaria </v>
          </cell>
          <cell r="S245" t="str">
            <v>El colegio cumple la intensidad horaria establecida por nivel según normativa vigente</v>
          </cell>
          <cell r="T245" t="str">
            <v>No</v>
          </cell>
          <cell r="U245" t="str">
            <v>Se verificará en proximas visitas</v>
          </cell>
        </row>
        <row r="246">
          <cell r="A246">
            <v>821</v>
          </cell>
          <cell r="B246">
            <v>27</v>
          </cell>
          <cell r="C246" t="str">
            <v>ENGATIVÁ</v>
          </cell>
          <cell r="D246" t="str">
            <v>PRIVADO</v>
          </cell>
          <cell r="E246" t="str">
            <v>EPBM</v>
          </cell>
          <cell r="F246" t="str">
            <v>LICEO_NORMANDIA</v>
          </cell>
          <cell r="G246" t="str">
            <v>LICEO_NORMANDIA</v>
          </cell>
          <cell r="H246" t="str">
            <v>Autoevaluación Institucional y Pruebas SABER 11</v>
          </cell>
          <cell r="I246" t="str">
            <v>EVALUACIÓN_CON_FINES_DE_MEJORAMIENTO.</v>
          </cell>
          <cell r="J246" t="str">
            <v>Verificar el funcionamiento del Gobierno Escolar e instancias de participación con base en la información sobre conformación reportada por la institución educativa.</v>
          </cell>
          <cell r="K246" t="str">
            <v>ANA MARÍA CASAS SANABRIA</v>
          </cell>
          <cell r="L246" t="str">
            <v>JAIME HUMBERTO RAMÍREZ LLANOS</v>
          </cell>
          <cell r="M246">
            <v>45874</v>
          </cell>
          <cell r="N246">
            <v>45874</v>
          </cell>
          <cell r="O246">
            <v>45874</v>
          </cell>
          <cell r="P246" t="str">
            <v>Visitas de evaluación con fines de mejoramiento</v>
          </cell>
          <cell r="Q246" t="str">
            <v>ACTA LICEO NORMANDIA.pdf</v>
          </cell>
          <cell r="R246" t="str">
            <v xml:space="preserve">Se observa la conformación del Gobierno Escolar y las instancias de participación a traves de las carpetas y actas.
No se evidencia el funcionamiento del Comite de Convivencia Escolar
</v>
          </cell>
          <cell r="S246" t="str">
            <v>Se indica que debe quedar registrada la conformacion de los estamentos del gobierno escolar, con sus funciones y plna de trabajo para el año</v>
          </cell>
          <cell r="T246" t="str">
            <v>Si</v>
          </cell>
          <cell r="U246" t="str">
            <v>Se requirió presentar Plan de Majoramiento con el fin de subsanar la situación actual. El PMI debe ser entregado al ELIV a más tardar el 21 de agosto de 2025</v>
          </cell>
        </row>
        <row r="247">
          <cell r="A247">
            <v>822</v>
          </cell>
          <cell r="B247">
            <v>27</v>
          </cell>
          <cell r="C247" t="str">
            <v>ENGATIVÁ</v>
          </cell>
          <cell r="D247" t="str">
            <v>PRIVADO</v>
          </cell>
          <cell r="E247" t="str">
            <v>EPBM</v>
          </cell>
          <cell r="F247" t="str">
            <v>LICEO_NORMANDIA</v>
          </cell>
          <cell r="G247" t="str">
            <v>LICEO_NORMANDIA</v>
          </cell>
          <cell r="H247" t="str">
            <v>Autoevaluación Institucional y Pruebas SABER 11</v>
          </cell>
          <cell r="I247" t="str">
            <v>EVALUACIÓN_CON_FINES_DE_MEJORAMIENTO.</v>
          </cell>
          <cell r="J247" t="str">
            <v>Verificar las condiciones en cuanto a: la estructura administrativa, condiciones de la planta física y medios educativos adecuados.</v>
          </cell>
          <cell r="K247" t="str">
            <v>ANA MARÍA CASAS SANABRIA</v>
          </cell>
          <cell r="L247" t="str">
            <v>JAIME HUMBERTO RAMÍREZ LLANOS</v>
          </cell>
          <cell r="M247">
            <v>45874</v>
          </cell>
          <cell r="N247">
            <v>45874</v>
          </cell>
          <cell r="O247">
            <v>45874</v>
          </cell>
          <cell r="P247" t="str">
            <v>Visitas de evaluación con fines de mejoramiento</v>
          </cell>
          <cell r="Q247" t="str">
            <v>ACTA LICEO NORMANDIA.pdf</v>
          </cell>
          <cell r="R247" t="str">
            <v xml:space="preserve">Se evidencia que los espacios administrativos son suficientes para las funciones que se deben desarrollar.  </v>
          </cell>
          <cell r="S247" t="str">
            <v>Se remite la capacidad de cada aula teniendo en cuenta  el área de cada una de ellas. (1.3 m por estudiante)</v>
          </cell>
          <cell r="T247" t="str">
            <v>No</v>
          </cell>
          <cell r="U247" t="str">
            <v>Se requirió presentar Plan de Majoramiento con el fin de subsanar la situación actual. El PMI debe ser entregado al ELIV a más tardar el 15 de agosto de 2025</v>
          </cell>
        </row>
        <row r="248">
          <cell r="A248">
            <v>823</v>
          </cell>
          <cell r="B248">
            <v>28</v>
          </cell>
          <cell r="C248" t="str">
            <v>ENGATIVÁ</v>
          </cell>
          <cell r="D248" t="str">
            <v>PRIVADO</v>
          </cell>
          <cell r="E248" t="str">
            <v>EPBM</v>
          </cell>
          <cell r="F248" t="str">
            <v>LICEO_LEONARDO_DAVINCI</v>
          </cell>
          <cell r="G248" t="str">
            <v>LICEO_LEONARDO_DAVINCI</v>
          </cell>
          <cell r="H248" t="str">
            <v>Colegios Nuevos (creados en los últimos 2 años) / Seguimiento a los PMI acordados en 2024</v>
          </cell>
          <cell r="I248" t="str">
            <v>SEGUIMIENTO_Y_SUPERVISIÓN.</v>
          </cell>
          <cell r="J248" t="str">
            <v>Realizar visitas para verificar la información registrada sobre la autoevaluación institucional en el aplicativo EVI, a los establecimientos de educación formal no oficial.</v>
          </cell>
          <cell r="K248" t="str">
            <v>JAIME HUMBERTO RAMÍREZ LLANOS</v>
          </cell>
          <cell r="L248" t="str">
            <v>SANDRA MILENA BUENAVENTURA RUEDA</v>
          </cell>
          <cell r="M248">
            <v>45750</v>
          </cell>
          <cell r="N248">
            <v>45750</v>
          </cell>
          <cell r="O248">
            <v>45750</v>
          </cell>
          <cell r="P248" t="str">
            <v>Visitas de evaluación con fines de seguimiento</v>
          </cell>
          <cell r="Q248" t="str">
            <v>visita L. Da vinci.pdf</v>
          </cell>
          <cell r="R248" t="str">
            <v>Por dificultades con el código DANE, la institución aun no ha diligenciado el aplicativo EVI</v>
          </cell>
          <cell r="S248" t="str">
            <v>Por dificultades con el código DANE, la institución aun no ha diligenciado el aplicativo EVI</v>
          </cell>
          <cell r="T248" t="str">
            <v>No</v>
          </cell>
          <cell r="U248" t="str">
            <v>Por dificultades con el código DANE, la institución aun no ha diligenciado el aplicativo EVI para costos 2025 diligenció adecuadamente aplicativo.</v>
          </cell>
        </row>
        <row r="249">
          <cell r="A249">
            <v>824</v>
          </cell>
          <cell r="B249">
            <v>28</v>
          </cell>
          <cell r="C249" t="str">
            <v>ENGATIVÁ</v>
          </cell>
          <cell r="D249" t="str">
            <v>PRIVADO</v>
          </cell>
          <cell r="E249" t="str">
            <v>EPBM</v>
          </cell>
          <cell r="F249" t="str">
            <v>LICEO_LEONARDO_DAVINCI</v>
          </cell>
          <cell r="G249" t="str">
            <v>LICEO_LEONARDO_DAVINCI</v>
          </cell>
          <cell r="H249" t="str">
            <v>Colegios Nuevos (creados en los últimos 2 años) / Seguimiento a los PMI acordados en 2024</v>
          </cell>
          <cell r="I249" t="str">
            <v>SEGUIMIENTO_Y_SUPERVISIÓN.</v>
          </cell>
          <cell r="J249" t="str">
            <v>Proponer estrategias en la formulación, verificar su elaboración y realizar seguimiento semestral al desarrollo de  las acciones establecidas en los planes de mejoramiento por pruebas SABER 11 de los establecimientos de educación formal.</v>
          </cell>
          <cell r="K249" t="str">
            <v>JAIME HUMBERTO RAMÍREZ LLANOS</v>
          </cell>
          <cell r="L249" t="str">
            <v>SANDRA MILENA BUENAVENTURA RUEDA</v>
          </cell>
          <cell r="M249">
            <v>45750</v>
          </cell>
          <cell r="N249">
            <v>45750</v>
          </cell>
          <cell r="O249">
            <v>45750</v>
          </cell>
          <cell r="P249" t="str">
            <v>Visitas de evaluación con fines de seguimiento</v>
          </cell>
          <cell r="Q249" t="str">
            <v>visita L. Da vinci.pdf</v>
          </cell>
          <cell r="R249" t="str">
            <v>La institución aún no ha presentao pruebas saber</v>
          </cell>
          <cell r="S249" t="str">
            <v>La institución aún no ha presentado pruebas saber</v>
          </cell>
          <cell r="T249" t="str">
            <v>No</v>
          </cell>
          <cell r="U249" t="str">
            <v>La institución aún no ha presentado pruebas saber. Se hará seguimiento en 2026</v>
          </cell>
        </row>
        <row r="250">
          <cell r="A250">
            <v>825</v>
          </cell>
          <cell r="B250">
            <v>28</v>
          </cell>
          <cell r="C250" t="str">
            <v>ENGATIVÁ</v>
          </cell>
          <cell r="D250" t="str">
            <v>PRIVADO</v>
          </cell>
          <cell r="E250" t="str">
            <v>EPBM</v>
          </cell>
          <cell r="F250" t="str">
            <v>LICEO_LEONARDO_DAVINCI</v>
          </cell>
          <cell r="G250" t="str">
            <v>LICEO_LEONARDO_DAVINCI</v>
          </cell>
          <cell r="H250" t="str">
            <v>Colegios Nuevos (creados en los últimos 2 años) / Seguimiento a los PMI acordados en 2024</v>
          </cell>
          <cell r="I250" t="str">
            <v>SEGUIMIENTO_Y_SUPERVISIÓN.</v>
          </cell>
          <cell r="J250" t="str">
            <v xml:space="preserve">Verificar la implementación por parte de los colegios, de acciones realizadas para la prevención y atención de las situaciones de convivencia en el entorno escolar, según lo establecido en la Directiva 01 de 2022 del MEN. </v>
          </cell>
          <cell r="K250" t="str">
            <v>JAIME HUMBERTO RAMÍREZ LLANOS</v>
          </cell>
          <cell r="L250" t="str">
            <v>SANDRA MILENA BUENAVENTURA RUEDA</v>
          </cell>
          <cell r="M250">
            <v>45750</v>
          </cell>
          <cell r="N250">
            <v>45750</v>
          </cell>
          <cell r="O250">
            <v>45750</v>
          </cell>
          <cell r="P250" t="str">
            <v>Visitas de evaluación con fines de seguimiento</v>
          </cell>
          <cell r="Q250" t="str">
            <v>visita L. Da vinci.pdf</v>
          </cell>
          <cell r="R250" t="str">
            <v>Solo matricula estudiantes hasta grado quinto, no ha tenido situaciones graves de convivencia escolar</v>
          </cell>
          <cell r="S250" t="str">
            <v>Solo matricula estudiantes hasta grado quinto, no ha tenido situaciones graves de convivencia escolar</v>
          </cell>
          <cell r="T250" t="str">
            <v>No</v>
          </cell>
          <cell r="U250" t="str">
            <v>Solo matricula estudiantes hasta grado quinto, no ha tenido situaciones graves de convivencia escolar</v>
          </cell>
        </row>
        <row r="251">
          <cell r="A251">
            <v>826</v>
          </cell>
          <cell r="B251">
            <v>28</v>
          </cell>
          <cell r="C251" t="str">
            <v>ENGATIVÁ</v>
          </cell>
          <cell r="D251" t="str">
            <v>PRIVADO</v>
          </cell>
          <cell r="E251" t="str">
            <v>EPBM</v>
          </cell>
          <cell r="F251" t="str">
            <v>LICEO_LEONARDO_DAVINCI</v>
          </cell>
          <cell r="G251" t="str">
            <v>LICEO_LEONARDO_DAVINCI</v>
          </cell>
          <cell r="H251" t="str">
            <v>Colegios Nuevos (creados en los últimos 2 años) / Seguimiento a los PMI acordados en 2024</v>
          </cell>
          <cell r="I251" t="str">
            <v>SEGUIMIENTO_Y_SUPERVISIÓN.</v>
          </cell>
          <cell r="J25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51" t="str">
            <v>JAIME HUMBERTO RAMÍREZ LLANOS</v>
          </cell>
          <cell r="L251" t="str">
            <v>SANDRA MILENA BUENAVENTURA RUEDA</v>
          </cell>
          <cell r="M251">
            <v>45750</v>
          </cell>
          <cell r="N251">
            <v>45750</v>
          </cell>
          <cell r="O251">
            <v>45750</v>
          </cell>
          <cell r="P251" t="str">
            <v>Visitas de evaluación con fines de seguimiento</v>
          </cell>
          <cell r="Q251" t="str">
            <v>visita L. Da vinci.pdf</v>
          </cell>
          <cell r="R251" t="str">
            <v>Para la fecha no ha tenido estudiantes con discapacidad</v>
          </cell>
          <cell r="S251" t="str">
            <v>Para la fecha no ha tenido estudiantes con discapacidad</v>
          </cell>
          <cell r="T251" t="str">
            <v>No</v>
          </cell>
          <cell r="U251" t="str">
            <v>Para la fecha no ha tenido estudiantes con discapacidad</v>
          </cell>
        </row>
        <row r="252">
          <cell r="A252">
            <v>827</v>
          </cell>
          <cell r="B252">
            <v>28</v>
          </cell>
          <cell r="C252" t="str">
            <v>ENGATIVÁ</v>
          </cell>
          <cell r="D252" t="str">
            <v>PRIVADO</v>
          </cell>
          <cell r="E252" t="str">
            <v>EPBM</v>
          </cell>
          <cell r="F252" t="str">
            <v>LICEO_LEONARDO_DAVINCI</v>
          </cell>
          <cell r="G252" t="str">
            <v>LICEO_LEONARDO_DAVINCI</v>
          </cell>
          <cell r="H252" t="str">
            <v>Colegios Nuevos (creados en los últimos 2 años) / Seguimiento a los PMI acordados en 2024</v>
          </cell>
          <cell r="I252" t="str">
            <v>EVALUACIÓN_CON_FINES_DE_MEJORAMIENTO.</v>
          </cell>
          <cell r="J25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2" t="str">
            <v>JAIME HUMBERTO RAMÍREZ LLANOS</v>
          </cell>
          <cell r="L252" t="str">
            <v>SANDRA MILENA BUENAVENTURA RUEDA</v>
          </cell>
          <cell r="M252">
            <v>45750</v>
          </cell>
          <cell r="N252">
            <v>45750</v>
          </cell>
          <cell r="O252">
            <v>45750</v>
          </cell>
          <cell r="P252" t="str">
            <v>Visitas de evaluación con fines de mejoramiento</v>
          </cell>
          <cell r="Q252" t="str">
            <v>visita L. Da vinci.pdf</v>
          </cell>
          <cell r="R252" t="str">
            <v>La Institución dede elaborar y presentar plan de mejora</v>
          </cell>
          <cell r="S252" t="str">
            <v>Se elaborará plan de mejora y preentará para aprobación de la DILE</v>
          </cell>
          <cell r="T252" t="str">
            <v>Si</v>
          </cell>
          <cell r="U252" t="str">
            <v>Una vez aprobado plan de mejoramiente se hará seguimiento se continuará con seguimiento den el 2026</v>
          </cell>
        </row>
        <row r="253">
          <cell r="A253">
            <v>828</v>
          </cell>
          <cell r="B253">
            <v>28</v>
          </cell>
          <cell r="C253" t="str">
            <v>ENGATIVÁ</v>
          </cell>
          <cell r="D253" t="str">
            <v>PRIVADO</v>
          </cell>
          <cell r="E253" t="str">
            <v>EPBM</v>
          </cell>
          <cell r="F253" t="str">
            <v>LICEO_LEONARDO_DAVINCI</v>
          </cell>
          <cell r="G253" t="str">
            <v>LICEO_LEONARDO_DAVINCI</v>
          </cell>
          <cell r="H253" t="str">
            <v>Colegios Nuevos (creados en los últimos 2 años) / Seguimiento a los PMI acordados en 2024</v>
          </cell>
          <cell r="I253" t="str">
            <v>EVALUACIÓN_CON_FINES_DE_MEJORAMIENTO.</v>
          </cell>
          <cell r="J253" t="str">
            <v>Revisar la actualización, socialización e implementación del Sistema Institucional de Evaluación de Estudiantes - SIEE, en articulación con la actualización del PEI y la normatividad vigente.</v>
          </cell>
          <cell r="K253" t="str">
            <v>JAIME HUMBERTO RAMÍREZ LLANOS</v>
          </cell>
          <cell r="L253" t="str">
            <v>SANDRA MILENA BUENAVENTURA RUEDA</v>
          </cell>
          <cell r="M253">
            <v>45750</v>
          </cell>
          <cell r="N253">
            <v>45750</v>
          </cell>
          <cell r="O253">
            <v>45750</v>
          </cell>
          <cell r="P253" t="str">
            <v>Visitas de evaluación con fines de mejoramiento</v>
          </cell>
          <cell r="Q253" t="str">
            <v>visita L. Da vinci.pdf</v>
          </cell>
          <cell r="R253" t="str">
            <v>La Institución dede elaborar y presentar plan de mejora</v>
          </cell>
          <cell r="S253" t="str">
            <v>Se elaborará plan de mejora y preentará para aprobación de la DILE</v>
          </cell>
          <cell r="T253" t="str">
            <v>Si</v>
          </cell>
          <cell r="U253" t="str">
            <v>Una vez aprobado plan de mejoramiente se hará seguimiento se continuará con seguimiento den el 2026</v>
          </cell>
        </row>
        <row r="254">
          <cell r="A254">
            <v>829</v>
          </cell>
          <cell r="B254">
            <v>28</v>
          </cell>
          <cell r="C254" t="str">
            <v>ENGATIVÁ</v>
          </cell>
          <cell r="D254" t="str">
            <v>PRIVADO</v>
          </cell>
          <cell r="E254" t="str">
            <v>EPBM</v>
          </cell>
          <cell r="F254" t="str">
            <v>LICEO_LEONARDO_DAVINCI</v>
          </cell>
          <cell r="G254" t="str">
            <v>LICEO_LEONARDO_DAVINCI</v>
          </cell>
          <cell r="H254" t="str">
            <v>Colegios Nuevos (creados en los últimos 2 años) / Seguimiento a los PMI acordados en 2024</v>
          </cell>
          <cell r="I254" t="str">
            <v>EVALUACIÓN_CON_FINES_DE_MEJORAMIENTO.</v>
          </cell>
          <cell r="J254" t="str">
            <v>Revisar el calendario escolar, jornada escolar, la intensidad horaria mínima anual en cada nivel y las modificaciones que se realicen al mismo, de acuerdo con lo previsto en la normatividad vigente.</v>
          </cell>
          <cell r="K254" t="str">
            <v>JAIME HUMBERTO RAMÍREZ LLANOS</v>
          </cell>
          <cell r="L254" t="str">
            <v>SANDRA MILENA BUENAVENTURA RUEDA</v>
          </cell>
          <cell r="M254">
            <v>45750</v>
          </cell>
          <cell r="N254">
            <v>45750</v>
          </cell>
          <cell r="O254">
            <v>45750</v>
          </cell>
          <cell r="P254" t="str">
            <v>Visitas de evaluación con fines de mejoramiento</v>
          </cell>
          <cell r="Q254" t="str">
            <v>visita L. Da vinci.pdf</v>
          </cell>
          <cell r="R254" t="str">
            <v>El calendario y la jornada escolar se ajustan a la normaitividad vigente</v>
          </cell>
          <cell r="S254" t="str">
            <v>El calendario y la jornada escolar se ajustan a la normaitividad vigente</v>
          </cell>
          <cell r="T254" t="str">
            <v>No</v>
          </cell>
          <cell r="U254" t="str">
            <v>Se hará verificación en las revisión de avances PEI</v>
          </cell>
        </row>
        <row r="255">
          <cell r="A255">
            <v>830</v>
          </cell>
          <cell r="B255">
            <v>28</v>
          </cell>
          <cell r="C255" t="str">
            <v>ENGATIVÁ</v>
          </cell>
          <cell r="D255" t="str">
            <v>PRIVADO</v>
          </cell>
          <cell r="E255" t="str">
            <v>EPBM</v>
          </cell>
          <cell r="F255" t="str">
            <v>LICEO_LEONARDO_DAVINCI</v>
          </cell>
          <cell r="G255" t="str">
            <v>LICEO_LEONARDO_DAVINCI</v>
          </cell>
          <cell r="H255" t="str">
            <v>Colegios Nuevos (creados en los últimos 2 años) / Seguimiento a los PMI acordados en 2024</v>
          </cell>
          <cell r="I255" t="str">
            <v>EVALUACIÓN_CON_FINES_DE_MEJORAMIENTO.</v>
          </cell>
          <cell r="J255" t="str">
            <v>Verificar el funcionamiento del Gobierno Escolar e instancias de participación con base en la información sobre conformación reportada por la institución educativa.</v>
          </cell>
          <cell r="K255" t="str">
            <v>JAIME HUMBERTO RAMÍREZ LLANOS</v>
          </cell>
          <cell r="L255" t="str">
            <v>SANDRA MILENA BUENAVENTURA RUEDA</v>
          </cell>
          <cell r="M255">
            <v>45750</v>
          </cell>
          <cell r="N255">
            <v>45750</v>
          </cell>
          <cell r="O255">
            <v>45750</v>
          </cell>
          <cell r="P255" t="str">
            <v>Visitas de evaluación con fines de mejoramiento</v>
          </cell>
          <cell r="Q255" t="str">
            <v>visita L. Da vinci.pdf</v>
          </cell>
          <cell r="R255" t="str">
            <v>No se evidencia la realización de reuniones de gobierno escolar</v>
          </cell>
          <cell r="S255" t="str">
            <v>La institución en plan de mejora fijará compromiso de actualización</v>
          </cell>
          <cell r="T255" t="str">
            <v>Si</v>
          </cell>
          <cell r="U255" t="str">
            <v>Una vez aprobado plan de mejoramiente se hará seguimiento se continuará con seguimiento den el 2026</v>
          </cell>
        </row>
        <row r="256">
          <cell r="A256">
            <v>831</v>
          </cell>
          <cell r="B256">
            <v>28</v>
          </cell>
          <cell r="C256" t="str">
            <v>ENGATIVÁ</v>
          </cell>
          <cell r="D256" t="str">
            <v>PRIVADO</v>
          </cell>
          <cell r="E256" t="str">
            <v>EPBM</v>
          </cell>
          <cell r="F256" t="str">
            <v>LICEO_LEONARDO_DAVINCI</v>
          </cell>
          <cell r="G256" t="str">
            <v>LICEO_LEONARDO_DAVINCI</v>
          </cell>
          <cell r="H256" t="str">
            <v>Colegios Nuevos (creados en los últimos 2 años) / Seguimiento a los PMI acordados en 2024</v>
          </cell>
          <cell r="I256" t="str">
            <v>EVALUACIÓN_CON_FINES_DE_MEJORAMIENTO.</v>
          </cell>
          <cell r="J256" t="str">
            <v>Verificar las condiciones en cuanto a: la estructura administrativa, condiciones de la planta física y medios educativos adecuados.</v>
          </cell>
          <cell r="K256" t="str">
            <v>JAIME HUMBERTO RAMÍREZ LLANOS</v>
          </cell>
          <cell r="L256" t="str">
            <v>SANDRA MILENA BUENAVENTURA RUEDA</v>
          </cell>
          <cell r="M256">
            <v>45750</v>
          </cell>
          <cell r="N256">
            <v>45750</v>
          </cell>
          <cell r="O256">
            <v>45750</v>
          </cell>
          <cell r="P256" t="str">
            <v>Visitas de evaluación con fines de mejoramiento</v>
          </cell>
          <cell r="Q256" t="str">
            <v>visita L. Da vinci.pdf</v>
          </cell>
          <cell r="R256" t="str">
            <v>La planta física y áreas pedagógicas se ajustan a las normas establecidas</v>
          </cell>
          <cell r="S256" t="str">
            <v>Deberán mantener su infraestructura</v>
          </cell>
          <cell r="T256" t="str">
            <v>No</v>
          </cell>
          <cell r="U256" t="str">
            <v>Se verificará en futura visita</v>
          </cell>
        </row>
        <row r="257">
          <cell r="A257">
            <v>832</v>
          </cell>
          <cell r="B257">
            <v>29</v>
          </cell>
          <cell r="C257" t="str">
            <v>ENGATIVÁ</v>
          </cell>
          <cell r="D257" t="str">
            <v>OFICIAL.</v>
          </cell>
          <cell r="E257" t="str">
            <v>EPBM</v>
          </cell>
          <cell r="F257" t="str">
            <v>COLEGIO_GENERAL_SANTANDER_IED</v>
          </cell>
          <cell r="G257" t="str">
            <v>GENERAL_SANTANDER</v>
          </cell>
          <cell r="H257" t="str">
            <v>Convivencia escolar</v>
          </cell>
          <cell r="I257" t="str">
            <v>SEGUIMIENTO_Y_SUPERVISIÓN.</v>
          </cell>
          <cell r="J257" t="str">
            <v xml:space="preserve">Verificar la implementación por parte de los colegios, de acciones realizadas para la prevención y atención de las situaciones de convivencia en el entorno escolar, según lo establecido en la Directiva 01 de 2022 del MEN. </v>
          </cell>
          <cell r="K257" t="str">
            <v>JENIFER CATHERINE LEÓN ACOSTA</v>
          </cell>
          <cell r="L257" t="str">
            <v>JAIME HUMBERTO RAMÍREZ LLANOS</v>
          </cell>
          <cell r="M257">
            <v>45867</v>
          </cell>
          <cell r="N257">
            <v>45867</v>
          </cell>
          <cell r="O257">
            <v>45867</v>
          </cell>
          <cell r="P257" t="str">
            <v>Visitas de evaluación con fines de seguimiento</v>
          </cell>
          <cell r="Q257" t="str">
            <v>ACTA VISITA GENERAL SANTANDER.pdf</v>
          </cell>
          <cell r="R257" t="str">
            <v>Se conoce la directiva por parte de la rectoria ,pero por parte de la demas comunidad educativa no es asi. Se espera circular de la SED , Sobre la aplicación de la msisma en establecimientos públicos.</v>
          </cell>
          <cell r="S257" t="str">
            <v>Se dara a conocer la Directiva 001 del MEN, mientras se realiza la directriz especifica desde la SED.</v>
          </cell>
          <cell r="T257" t="str">
            <v>Si</v>
          </cell>
          <cell r="U257" t="str">
            <v>El EE presentara el plan de mejoramiento el 14 de Agosto.</v>
          </cell>
        </row>
        <row r="258">
          <cell r="A258">
            <v>833</v>
          </cell>
          <cell r="B258">
            <v>29</v>
          </cell>
          <cell r="C258" t="str">
            <v>ENGATIVÁ</v>
          </cell>
          <cell r="D258" t="str">
            <v>OFICIAL.</v>
          </cell>
          <cell r="E258" t="str">
            <v>EPBM</v>
          </cell>
          <cell r="F258" t="str">
            <v>COLEGIO_GENERAL_SANTANDER_IED</v>
          </cell>
          <cell r="G258" t="str">
            <v>GENERAL_SANTANDER</v>
          </cell>
          <cell r="H258" t="str">
            <v>Convivencia escolar</v>
          </cell>
          <cell r="I258" t="str">
            <v>SEGUIMIENTO_Y_SUPERVISIÓN.</v>
          </cell>
          <cell r="J2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58" t="str">
            <v>JENIFER CATHERINE LEÓN ACOSTA</v>
          </cell>
          <cell r="L258" t="str">
            <v>JAIME HUMBERTO RAMÍREZ LLANOS</v>
          </cell>
          <cell r="M258">
            <v>45867</v>
          </cell>
          <cell r="N258">
            <v>45867</v>
          </cell>
          <cell r="O258">
            <v>45867</v>
          </cell>
          <cell r="P258" t="str">
            <v>Visitas de evaluación con fines de seguimiento</v>
          </cell>
          <cell r="Q258" t="str">
            <v>ACTA VISITA GENERAL SANTANDER.pdf</v>
          </cell>
          <cell r="R258" t="str">
            <v>Se llevó a cabo la verificación de la elaboración, firma y seguimiento de los PIAR de los estudiantes registrados como población con necesidades educativas especiales en el SIMAT.</v>
          </cell>
          <cell r="S258" t="str">
            <v>No se hace requerimiento</v>
          </cell>
          <cell r="T258" t="str">
            <v>No</v>
          </cell>
          <cell r="U258" t="str">
            <v>Se realizará verificacion en caso de presentarse una solicitud o queja al respecto de este apartado</v>
          </cell>
        </row>
        <row r="259">
          <cell r="A259">
            <v>834</v>
          </cell>
          <cell r="B259">
            <v>29</v>
          </cell>
          <cell r="C259" t="str">
            <v>ENGATIVÁ</v>
          </cell>
          <cell r="D259" t="str">
            <v>OFICIAL.</v>
          </cell>
          <cell r="E259" t="str">
            <v>EPBM</v>
          </cell>
          <cell r="F259" t="str">
            <v>COLEGIO_GENERAL_SANTANDER_IED</v>
          </cell>
          <cell r="G259" t="str">
            <v>GENERAL_SANTANDER</v>
          </cell>
          <cell r="H259" t="str">
            <v>Convivencia escolar</v>
          </cell>
          <cell r="I259" t="str">
            <v>EVALUACIÓN_CON_FINES_DE_MEJORAMIENTO.</v>
          </cell>
          <cell r="J2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9" t="str">
            <v>JENIFER CATHERINE LEÓN ACOSTA</v>
          </cell>
          <cell r="L259" t="str">
            <v>JAIME HUMBERTO RAMÍREZ LLANOS</v>
          </cell>
          <cell r="M259">
            <v>45867</v>
          </cell>
          <cell r="N259">
            <v>45867</v>
          </cell>
          <cell r="O259">
            <v>45867</v>
          </cell>
          <cell r="P259" t="str">
            <v>Visitas de evaluación con fines de mejoramiento</v>
          </cell>
          <cell r="Q259" t="str">
            <v>ACTA VISITA GENERAL SANTANDER.pdf</v>
          </cell>
          <cell r="R259" t="str">
            <v>Se cuenta con un manual de convivencia robusto, con una conceptualización sólida. Sin embargo, no ha sido actualizado para el año 2025. Además, aún está pendiente la incorporación del enfoque de diversidad, así como la tipificación de las situaciones convivenciales y las acciones disciplinarias correspondientes.</v>
          </cell>
          <cell r="S259" t="str">
            <v xml:space="preserve">Enviar el acta del Consejo Estudiantil donde conste la participación en la construcción del Sistema Institucional de Evaluación de los Estudiantes (SIEE) y la actualización del Manual de Convivencia.
Entregar las actas de reuniones realizadas con padres de familia, estudiantes y docentes que participaron en el proceso de actualización del Manual de Convivencia.
Capacitar y coordinar el funcionamiento del Comité de Convivencia Escolar, fortaleciendo su operatividad y garantizando el cumplimiento de sus funciones según la normatividad vigente.
Actualizar el Manual de Convivencia, reformulando de manera clara y precisa el debido proceso frente a situaciones convivenciales y las acciones formativas y disciplinarias correspondientes.
</v>
          </cell>
          <cell r="T259" t="str">
            <v>Si</v>
          </cell>
          <cell r="U259" t="str">
            <v>El EE presentara el plan de mejoramiento el 14 de Agosto.</v>
          </cell>
        </row>
        <row r="260">
          <cell r="A260">
            <v>835</v>
          </cell>
          <cell r="B260">
            <v>29</v>
          </cell>
          <cell r="C260" t="str">
            <v>ENGATIVÁ</v>
          </cell>
          <cell r="D260" t="str">
            <v>OFICIAL.</v>
          </cell>
          <cell r="E260" t="str">
            <v>EPBM</v>
          </cell>
          <cell r="F260" t="str">
            <v>COLEGIO_GENERAL_SANTANDER_IED</v>
          </cell>
          <cell r="G260" t="str">
            <v>GENERAL_SANTANDER</v>
          </cell>
          <cell r="H260" t="str">
            <v>Convivencia escolar</v>
          </cell>
          <cell r="I260" t="str">
            <v>EVALUACIÓN_CON_FINES_DE_MEJORAMIENTO.</v>
          </cell>
          <cell r="J260" t="str">
            <v>Revisar la actualización, socialización e implementación del Sistema Institucional de Evaluación de Estudiantes - SIEE, en articulación con la actualización del PEI y la normatividad vigente.</v>
          </cell>
          <cell r="K260" t="str">
            <v>JENIFER CATHERINE LEÓN ACOSTA</v>
          </cell>
          <cell r="L260" t="str">
            <v>JAIME HUMBERTO RAMÍREZ LLANOS</v>
          </cell>
          <cell r="M260">
            <v>45867</v>
          </cell>
          <cell r="N260">
            <v>45867</v>
          </cell>
          <cell r="O260">
            <v>45867</v>
          </cell>
          <cell r="P260" t="str">
            <v>Visitas de evaluación con fines de mejoramiento</v>
          </cell>
          <cell r="Q260" t="str">
            <v>ACTA VISITA GENERAL SANTANDER.pdf</v>
          </cell>
          <cell r="R260" t="str">
            <v xml:space="preserve">En el Manual de Convivencia se estipula conceptualmente el SIEE , en concordancia con el SIEE y desde la comision de evaluacion y promoción se realiza el seguimiento a los casos reportados </v>
          </cell>
          <cell r="S260" t="str">
            <v>No se hace requerimiento</v>
          </cell>
          <cell r="T260" t="str">
            <v>No</v>
          </cell>
          <cell r="U260" t="str">
            <v>Se realizará verificacion en caso de presentarse una solicitud o queja al respecto de este apartado</v>
          </cell>
        </row>
        <row r="261">
          <cell r="A261">
            <v>836</v>
          </cell>
          <cell r="B261">
            <v>29</v>
          </cell>
          <cell r="C261" t="str">
            <v>ENGATIVÁ</v>
          </cell>
          <cell r="D261" t="str">
            <v>OFICIAL.</v>
          </cell>
          <cell r="E261" t="str">
            <v>EPBM</v>
          </cell>
          <cell r="F261" t="str">
            <v>COLEGIO_GENERAL_SANTANDER_IED</v>
          </cell>
          <cell r="G261" t="str">
            <v>GENERAL_SANTANDER</v>
          </cell>
          <cell r="H261" t="str">
            <v>Convivencia escolar</v>
          </cell>
          <cell r="I261" t="str">
            <v>EVALUACIÓN_CON_FINES_DE_MEJORAMIENTO.</v>
          </cell>
          <cell r="J261" t="str">
            <v>Revisar el calendario escolar, jornada escolar, la intensidad horaria mínima anual en cada nivel y las modificaciones que se realicen al mismo, de acuerdo con lo previsto en la normatividad vigente.</v>
          </cell>
          <cell r="K261" t="str">
            <v>JENIFER CATHERINE LEÓN ACOSTA</v>
          </cell>
          <cell r="L261" t="str">
            <v>JAIME HUMBERTO RAMÍREZ LLANOS</v>
          </cell>
          <cell r="M261">
            <v>45867</v>
          </cell>
          <cell r="N261">
            <v>45867</v>
          </cell>
          <cell r="O261">
            <v>45867</v>
          </cell>
          <cell r="P261" t="str">
            <v>Visitas de evaluación con fines de mejoramiento</v>
          </cell>
          <cell r="Q261" t="str">
            <v>ACTA VISITA GENERAL SANTANDER.pdf</v>
          </cell>
          <cell r="R261" t="str">
            <v>Tienen el calendrio escolar, y la itensidad horaria de acuerdo a la norma ,aprobado por el consejo directivo y publicado  en la pagina del Colegio</v>
          </cell>
          <cell r="S261" t="str">
            <v>No se hace requerimiento</v>
          </cell>
          <cell r="T261" t="str">
            <v>No</v>
          </cell>
          <cell r="U261" t="str">
            <v>Se realizará verificacion en caso de presentarse una solicitud o queja al respecto de este apartado</v>
          </cell>
        </row>
        <row r="262">
          <cell r="A262">
            <v>837</v>
          </cell>
          <cell r="B262">
            <v>29</v>
          </cell>
          <cell r="C262" t="str">
            <v>ENGATIVÁ</v>
          </cell>
          <cell r="D262" t="str">
            <v>OFICIAL.</v>
          </cell>
          <cell r="E262" t="str">
            <v>EPBM</v>
          </cell>
          <cell r="F262" t="str">
            <v>COLEGIO_GENERAL_SANTANDER_IED</v>
          </cell>
          <cell r="G262" t="str">
            <v>GENERAL_SANTANDER</v>
          </cell>
          <cell r="H262" t="str">
            <v>Convivencia escolar</v>
          </cell>
          <cell r="I262" t="str">
            <v>EVALUACIÓN_CON_FINES_DE_MEJORAMIENTO.</v>
          </cell>
          <cell r="J262" t="str">
            <v>Verificar el funcionamiento del Gobierno Escolar e instancias de participación con base en la información sobre conformación reportada por la institución educativa.</v>
          </cell>
          <cell r="K262" t="str">
            <v>JENIFER CATHERINE LEÓN ACOSTA</v>
          </cell>
          <cell r="L262" t="str">
            <v>JAIME HUMBERTO RAMÍREZ LLANOS</v>
          </cell>
          <cell r="M262">
            <v>45867</v>
          </cell>
          <cell r="N262">
            <v>45867</v>
          </cell>
          <cell r="O262">
            <v>45867</v>
          </cell>
          <cell r="P262" t="str">
            <v>Visitas de evaluación con fines de mejoramiento</v>
          </cell>
          <cell r="Q262" t="str">
            <v>ACTA VISITA GENERAL SANTANDER.pdf</v>
          </cell>
          <cell r="R262" t="str">
            <v>Se tienen las actas de conformación , instalación y sesiones según los calendrios estipulados de las instancias de participacio, sin embargo las actas no estan firmadas.</v>
          </cell>
          <cell r="S262" t="str">
            <v>Se solicita que se firmen las actas de las sesiones realizadas y se ejecute un mejor procedimiento para la firma de las mismas.</v>
          </cell>
          <cell r="T262" t="str">
            <v>Si</v>
          </cell>
          <cell r="U262" t="str">
            <v>El EE presentara el plan de mejoramiento el 14 de Agosto.</v>
          </cell>
        </row>
        <row r="263">
          <cell r="A263">
            <v>838</v>
          </cell>
          <cell r="B263">
            <v>29</v>
          </cell>
          <cell r="C263" t="str">
            <v>ENGATIVÁ</v>
          </cell>
          <cell r="D263" t="str">
            <v>OFICIAL.</v>
          </cell>
          <cell r="E263" t="str">
            <v>EPBM</v>
          </cell>
          <cell r="F263" t="str">
            <v>COLEGIO_GENERAL_SANTANDER_IED</v>
          </cell>
          <cell r="G263" t="str">
            <v>GENERAL_SANTANDER</v>
          </cell>
          <cell r="H263" t="str">
            <v>Convivencia escolar</v>
          </cell>
          <cell r="I263" t="str">
            <v>EVALUACIÓN_CON_FINES_DE_MEJORAMIENTO.</v>
          </cell>
          <cell r="J263" t="str">
            <v>Verificar las condiciones en cuanto a: la estructura administrativa, condiciones de la planta física y medios educativos adecuados.</v>
          </cell>
          <cell r="K263" t="str">
            <v>JENIFER CATHERINE LEÓN ACOSTA</v>
          </cell>
          <cell r="L263" t="str">
            <v>JAIME HUMBERTO RAMÍREZ LLANOS</v>
          </cell>
          <cell r="M263">
            <v>45867</v>
          </cell>
          <cell r="N263">
            <v>45867</v>
          </cell>
          <cell r="O263">
            <v>45867</v>
          </cell>
          <cell r="P263" t="str">
            <v>Visitas de evaluación con fines de mejoramiento</v>
          </cell>
          <cell r="Q263" t="str">
            <v>ACTA VISITA GENERAL SANTANDER.pdf</v>
          </cell>
          <cell r="R263" t="str">
            <v xml:space="preserve">Se encuentran en la Sede A Se tienen 36 Aulas 31 Baterias de baño,  dos laboratorio, dos salas de informatica,  una biblioteca y un comedor, 12 oficinas administrativas .
Sede B 35 Aulas, 2 aulas de informativa, 5 oficinas, 1 laboratorio, 22 baterias de baño.
Sede C 18 aulas, 20 baterias de balo, 1 sala de sistemas y 1 ludoteca . </v>
          </cell>
          <cell r="S263" t="str">
            <v>No se hace requerimiento</v>
          </cell>
          <cell r="T263" t="str">
            <v>No</v>
          </cell>
          <cell r="U263" t="str">
            <v>Se realizará verificacion en caso de presentarse una solicitud o queja al respecto de este apartado</v>
          </cell>
        </row>
        <row r="264">
          <cell r="A264">
            <v>839</v>
          </cell>
          <cell r="B264">
            <v>30</v>
          </cell>
          <cell r="C264" t="str">
            <v>ENGATIVÁ</v>
          </cell>
          <cell r="D264" t="str">
            <v>OFICIAL.</v>
          </cell>
          <cell r="E264" t="str">
            <v>EPBM</v>
          </cell>
          <cell r="F264" t="str">
            <v>COLEGIO_ABEL_RODRIGUEZ_CESPEDES_IED</v>
          </cell>
          <cell r="G264" t="str">
            <v>COLEGIO_ABEL_RODRIGUEZ_CESPEDES_IED</v>
          </cell>
          <cell r="H264" t="str">
            <v>Convivencia escolar</v>
          </cell>
          <cell r="I264" t="str">
            <v>SEGUIMIENTO_Y_SUPERVISIÓN.</v>
          </cell>
          <cell r="J264" t="str">
            <v xml:space="preserve">Verificar la implementación por parte de los colegios, de acciones realizadas para la prevención y atención de las situaciones de convivencia en el entorno escolar, según lo establecido en la Directiva 01 de 2022 del MEN. </v>
          </cell>
          <cell r="K264" t="str">
            <v>FREDDY CLAROS PEÑA</v>
          </cell>
          <cell r="L264" t="str">
            <v>MÓNICA JANNETH RAMÍREZ MORENO</v>
          </cell>
          <cell r="M264">
            <v>45881</v>
          </cell>
          <cell r="N264">
            <v>45909</v>
          </cell>
          <cell r="O264">
            <v>45909</v>
          </cell>
          <cell r="P264" t="str">
            <v>Visitas de evaluación con fines de seguimiento</v>
          </cell>
          <cell r="Q264" t="str">
            <v>ACTA ABEL RODRIGUEZ CÉSPEDES_09_09_2025.pdf</v>
          </cell>
          <cell r="R264" t="str">
            <v>No se ha realizado la verificación dado que la IED no cuenta con las fechas de expedición de las cédulas de ciudadnia de los docentes y personal administrativo</v>
          </cell>
          <cell r="S264" t="str">
            <v>Se debe hacer la consulta cada 4 meses de inhabilidades por delitos sexuales en la ágina de la policia, por ende se debe aportar evidencia de la consulta hecha</v>
          </cell>
          <cell r="T264" t="str">
            <v>Si</v>
          </cell>
          <cell r="U264" t="str">
            <v>Se debe aportar evidencia de la verficación establecida en la Directiva 01</v>
          </cell>
        </row>
        <row r="265">
          <cell r="A265">
            <v>840</v>
          </cell>
          <cell r="B265">
            <v>30</v>
          </cell>
          <cell r="C265" t="str">
            <v>ENGATIVÁ</v>
          </cell>
          <cell r="D265" t="str">
            <v>OFICIAL.</v>
          </cell>
          <cell r="E265" t="str">
            <v>EPBM</v>
          </cell>
          <cell r="F265" t="str">
            <v>COLEGIO_ABEL_RODRIGUEZ_CESPEDES_IED</v>
          </cell>
          <cell r="G265" t="str">
            <v>COLEGIO_ABEL_RODRIGUEZ_CESPEDES_IED</v>
          </cell>
          <cell r="H265" t="str">
            <v>Convivencia escolar</v>
          </cell>
          <cell r="I265" t="str">
            <v>SEGUIMIENTO_Y_SUPERVISIÓN.</v>
          </cell>
          <cell r="J26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5" t="str">
            <v>FREDDY CLAROS PEÑA</v>
          </cell>
          <cell r="L265" t="str">
            <v>MÓNICA JANNETH RAMÍREZ MORENO</v>
          </cell>
          <cell r="M265">
            <v>45881</v>
          </cell>
          <cell r="N265">
            <v>45909</v>
          </cell>
          <cell r="O265">
            <v>45909</v>
          </cell>
          <cell r="P265" t="str">
            <v>Visitas de evaluación con fines de seguimiento</v>
          </cell>
          <cell r="Q265" t="str">
            <v>ACTA ABEL RODRIGUEZ CÉSPEDES_09_09_2025.pdf</v>
          </cell>
          <cell r="R265" t="str">
            <v>Se evidencia PIAR de los 47 estudiantes con diagnóstico de discapacidad.</v>
          </cell>
          <cell r="S265" t="str">
            <v>Se debe continuar socializando los PIAR con los padres de familia y docentes, dependiendo su diseño si es por trimestre o periodo acadèmico</v>
          </cell>
          <cell r="T265" t="str">
            <v>No</v>
          </cell>
          <cell r="U265" t="str">
            <v>Se verificará en una actuación en otra vigencia o si se genera petición o queja ciudadana.</v>
          </cell>
        </row>
        <row r="266">
          <cell r="A266">
            <v>841</v>
          </cell>
          <cell r="B266">
            <v>30</v>
          </cell>
          <cell r="C266" t="str">
            <v>ENGATIVÁ</v>
          </cell>
          <cell r="D266" t="str">
            <v>OFICIAL.</v>
          </cell>
          <cell r="E266" t="str">
            <v>EPBM</v>
          </cell>
          <cell r="F266" t="str">
            <v>COLEGIO_ABEL_RODRIGUEZ_CESPEDES_IED</v>
          </cell>
          <cell r="G266" t="str">
            <v>COLEGIO_ABEL_RODRIGUEZ_CESPEDES_IED</v>
          </cell>
          <cell r="H266" t="str">
            <v>Convivencia escolar</v>
          </cell>
          <cell r="I266" t="str">
            <v>EVALUACIÓN_CON_FINES_DE_MEJORAMIENTO.</v>
          </cell>
          <cell r="J26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66" t="str">
            <v>FREDDY CLAROS PEÑA</v>
          </cell>
          <cell r="L266" t="str">
            <v>MÓNICA JANNETH RAMÍREZ MORENO</v>
          </cell>
          <cell r="M266">
            <v>45881</v>
          </cell>
          <cell r="N266">
            <v>45909</v>
          </cell>
          <cell r="O266">
            <v>45909</v>
          </cell>
          <cell r="P266" t="str">
            <v>Visitas de evaluación con fines de mejoramiento</v>
          </cell>
          <cell r="Q266" t="str">
            <v>ACTA ABEL RODRIGUEZ CÉSPEDES_09_09_2025.pdf</v>
          </cell>
          <cell r="R266" t="str">
            <v>Dado que la IED es nueva, se inauguró en el año 2022, se inició con el manual de convivencia estipulado por la SED, se ha venido haciendo actualización participativa para la vigencia 2026, el 28 de agosto se hizo taller con padres de familia sobre sensibilización del manual de convivencia</v>
          </cell>
          <cell r="S266" t="str">
            <v xml:space="preserve">Se debe continuar la actualización participativa de toda la comunidad educativa </v>
          </cell>
          <cell r="T266" t="str">
            <v>No</v>
          </cell>
          <cell r="U266" t="str">
            <v>Se verificará en una actuación en otra vigencia o si se genera petición o queja ciudadana.</v>
          </cell>
        </row>
        <row r="267">
          <cell r="A267">
            <v>842</v>
          </cell>
          <cell r="B267">
            <v>30</v>
          </cell>
          <cell r="C267" t="str">
            <v>ENGATIVÁ</v>
          </cell>
          <cell r="D267" t="str">
            <v>OFICIAL.</v>
          </cell>
          <cell r="E267" t="str">
            <v>EPBM</v>
          </cell>
          <cell r="F267" t="str">
            <v>COLEGIO_ABEL_RODRIGUEZ_CESPEDES_IED</v>
          </cell>
          <cell r="G267" t="str">
            <v>COLEGIO_ABEL_RODRIGUEZ_CESPEDES_IED</v>
          </cell>
          <cell r="H267" t="str">
            <v>Convivencia escolar</v>
          </cell>
          <cell r="I267" t="str">
            <v>EVALUACIÓN_CON_FINES_DE_MEJORAMIENTO.</v>
          </cell>
          <cell r="J267" t="str">
            <v>Revisar la actualización, socialización e implementación del Sistema Institucional de Evaluación de Estudiantes - SIEE, en articulación con la actualización del PEI y la normatividad vigente.</v>
          </cell>
          <cell r="K267" t="str">
            <v>FREDDY CLAROS PEÑA</v>
          </cell>
          <cell r="L267" t="str">
            <v>MÓNICA JANNETH RAMÍREZ MORENO</v>
          </cell>
          <cell r="M267">
            <v>45881</v>
          </cell>
          <cell r="N267">
            <v>45909</v>
          </cell>
          <cell r="O267">
            <v>45909</v>
          </cell>
          <cell r="P267" t="str">
            <v>Visitas de evaluación con fines de mejoramiento</v>
          </cell>
          <cell r="Q267" t="str">
            <v>ACTA ABEL RODRIGUEZ CÉSPEDES_09_09_2025.pdf</v>
          </cell>
          <cell r="R267" t="str">
            <v>Dado que la IED es nueva, se inauguró en el año 2022, se inició con el manual de convivenci estipulado por la SED, se ha venido haciendo actualización participativa para la vigencia 2026, el 28 de agosto se hizo taller con padres de familia sobre sensibilización del manual de convivencia</v>
          </cell>
          <cell r="S267" t="str">
            <v xml:space="preserve">Se debe continuar la actualización participativa de toda la comunidad educativa </v>
          </cell>
          <cell r="T267" t="str">
            <v>No</v>
          </cell>
          <cell r="U267" t="str">
            <v>Se verificará en una actuación en otra vigencia o si se genera petición o queja ciudadana.</v>
          </cell>
        </row>
        <row r="268">
          <cell r="A268">
            <v>843</v>
          </cell>
          <cell r="B268">
            <v>30</v>
          </cell>
          <cell r="C268" t="str">
            <v>ENGATIVÁ</v>
          </cell>
          <cell r="D268" t="str">
            <v>OFICIAL.</v>
          </cell>
          <cell r="E268" t="str">
            <v>EPBM</v>
          </cell>
          <cell r="F268" t="str">
            <v>COLEGIO_ABEL_RODRIGUEZ_CESPEDES_IED</v>
          </cell>
          <cell r="G268" t="str">
            <v>COLEGIO_ABEL_RODRIGUEZ_CESPEDES_IED</v>
          </cell>
          <cell r="H268" t="str">
            <v>Convivencia escolar</v>
          </cell>
          <cell r="I268" t="str">
            <v>EVALUACIÓN_CON_FINES_DE_MEJORAMIENTO.</v>
          </cell>
          <cell r="J268" t="str">
            <v>Revisar el calendario escolar, jornada escolar, la intensidad horaria mínima anual en cada nivel y las modificaciones que se realicen al mismo, de acuerdo con lo previsto en la normatividad vigente.</v>
          </cell>
          <cell r="K268" t="str">
            <v>FREDDY CLAROS PEÑA</v>
          </cell>
          <cell r="L268" t="str">
            <v>MÓNICA JANNETH RAMÍREZ MORENO</v>
          </cell>
          <cell r="M268">
            <v>45881</v>
          </cell>
          <cell r="N268">
            <v>45909</v>
          </cell>
          <cell r="O268">
            <v>45909</v>
          </cell>
          <cell r="P268" t="str">
            <v>Visitas de evaluación con fines de mejoramiento</v>
          </cell>
          <cell r="Q268" t="str">
            <v>ACTA ABEL RODRIGUEZ CÉSPEDES_09_09_2025.pdf</v>
          </cell>
          <cell r="R268" t="str">
            <v xml:space="preserve">Se revisa en el formato establecido el cumplimiento de la intensidad horaria </v>
          </cell>
          <cell r="S268" t="str">
            <v>El colegio cumple la intensidad horaria establecida por nivel según normativa vigente</v>
          </cell>
          <cell r="T268" t="str">
            <v>No</v>
          </cell>
          <cell r="U268" t="str">
            <v>Se verificará en una actuación en otra vigencia o si se genera petición o queja ciudadana.</v>
          </cell>
        </row>
        <row r="269">
          <cell r="A269">
            <v>844</v>
          </cell>
          <cell r="B269">
            <v>30</v>
          </cell>
          <cell r="C269" t="str">
            <v>ENGATIVÁ</v>
          </cell>
          <cell r="D269" t="str">
            <v>OFICIAL.</v>
          </cell>
          <cell r="E269" t="str">
            <v>EPBM</v>
          </cell>
          <cell r="F269" t="str">
            <v>COLEGIO_ABEL_RODRIGUEZ_CESPEDES_IED</v>
          </cell>
          <cell r="G269" t="str">
            <v>COLEGIO_ABEL_RODRIGUEZ_CESPEDES_IED</v>
          </cell>
          <cell r="H269" t="str">
            <v>Convivencia escolar</v>
          </cell>
          <cell r="I269" t="str">
            <v>EVALUACIÓN_CON_FINES_DE_MEJORAMIENTO.</v>
          </cell>
          <cell r="J269" t="str">
            <v>Verificar el funcionamiento del Gobierno Escolar e instancias de participación con base en la información sobre conformación reportada por la institución educativa.</v>
          </cell>
          <cell r="K269" t="str">
            <v>FREDDY CLAROS PEÑA</v>
          </cell>
          <cell r="L269" t="str">
            <v>MÓNICA JANNETH RAMÍREZ MORENO</v>
          </cell>
          <cell r="M269">
            <v>45881</v>
          </cell>
          <cell r="N269">
            <v>45909</v>
          </cell>
          <cell r="O269">
            <v>45909</v>
          </cell>
          <cell r="P269" t="str">
            <v>Visitas de evaluación con fines de mejoramiento</v>
          </cell>
          <cell r="Q269" t="str">
            <v>ACTA ABEL RODRIGUEZ CÉSPEDES_09_09_2025.pdf</v>
          </cell>
          <cell r="R269" t="str">
            <v>Se evidencian (10) actas que dan cuenta del funcionamiento del consejo directivo en el año 2025 y  Consejo académico (12), del consejo de padres (3) y del consejo de estudiantes (2)</v>
          </cell>
          <cell r="S269" t="str">
            <v xml:space="preserve">Continuar desarollando las reuniones estipuladas de acuerdo a la norm </v>
          </cell>
          <cell r="T269" t="str">
            <v>No</v>
          </cell>
          <cell r="U269" t="str">
            <v>Se verificará en una actuación en otra vigencia o si se genera petición o queja ciudadana.</v>
          </cell>
        </row>
        <row r="270">
          <cell r="A270">
            <v>845</v>
          </cell>
          <cell r="B270">
            <v>30</v>
          </cell>
          <cell r="C270" t="str">
            <v>ENGATIVÁ</v>
          </cell>
          <cell r="D270" t="str">
            <v>OFICIAL.</v>
          </cell>
          <cell r="E270" t="str">
            <v>EPBM</v>
          </cell>
          <cell r="F270" t="str">
            <v>COLEGIO_ABEL_RODRIGUEZ_CESPEDES_IED</v>
          </cell>
          <cell r="G270" t="str">
            <v>COLEGIO_ABEL_RODRIGUEZ_CESPEDES_IED</v>
          </cell>
          <cell r="H270" t="str">
            <v>Convivencia escolar</v>
          </cell>
          <cell r="I270" t="str">
            <v>EVALUACIÓN_CON_FINES_DE_MEJORAMIENTO.</v>
          </cell>
          <cell r="J270" t="str">
            <v>Verificar las condiciones en cuanto a: la estructura administrativa, condiciones de la planta física y medios educativos adecuados.</v>
          </cell>
          <cell r="K270" t="str">
            <v>FREDDY CLAROS PEÑA</v>
          </cell>
          <cell r="L270" t="str">
            <v>MÓNICA JANNETH RAMÍREZ MORENO</v>
          </cell>
          <cell r="M270">
            <v>45881</v>
          </cell>
          <cell r="N270">
            <v>45909</v>
          </cell>
          <cell r="O270">
            <v>45909</v>
          </cell>
          <cell r="P270" t="str">
            <v>Visitas de evaluación con fines de mejoramiento</v>
          </cell>
          <cell r="Q270" t="str">
            <v>ACTA ABEL RODRIGUEZ CÉSPEDES_09_09_2025.pdf</v>
          </cell>
          <cell r="R270" t="str">
            <v xml:space="preserve">Se evidencia condiciones de planta física adecuadas, no obstante la planta física cuenta con 4 pisos con ascensor pero no cuenta con rampas para estudiantes con movilidad reducida </v>
          </cell>
          <cell r="S270" t="str">
            <v>Continuar el mantenimiento de las instalaciones de la IED</v>
          </cell>
          <cell r="T270" t="str">
            <v>No</v>
          </cell>
          <cell r="U270" t="str">
            <v>Se verificará en una actuación en otra vigencia o si se genera petición o queja ciudadana.</v>
          </cell>
        </row>
        <row r="271">
          <cell r="A271">
            <v>846</v>
          </cell>
          <cell r="B271">
            <v>31</v>
          </cell>
          <cell r="C271" t="str">
            <v>ENGATIVÁ</v>
          </cell>
          <cell r="D271" t="str">
            <v>PRIVADO</v>
          </cell>
          <cell r="E271" t="str">
            <v>Educación de Jóvenes y Adultos</v>
          </cell>
          <cell r="F271" t="str">
            <v>INSTITUTO_TOMAS_MORO</v>
          </cell>
          <cell r="G271" t="str">
            <v>INSTITUTO_TOMAS_MORO</v>
          </cell>
          <cell r="H271" t="str">
            <v>Convivencia escolar</v>
          </cell>
          <cell r="I271" t="str">
            <v>SEGUIMIENTO_Y_SUPERVISIÓN.</v>
          </cell>
          <cell r="J271" t="str">
            <v>Realizar visitas para verificar la información registrada sobre la autoevaluación institucional en el aplicativo EVI, a los establecimientos de educación formal no oficial.</v>
          </cell>
          <cell r="K271" t="str">
            <v>JAIME HUMBERTO RAMÍREZ LLANOS</v>
          </cell>
          <cell r="L271" t="str">
            <v>SANDRA MILENA BUENAVENTURA RUEDA</v>
          </cell>
          <cell r="M271">
            <v>45780</v>
          </cell>
          <cell r="N271">
            <v>45780</v>
          </cell>
          <cell r="O271">
            <v>45780</v>
          </cell>
          <cell r="P271" t="str">
            <v>Visitas de evaluación con fines de seguimiento</v>
          </cell>
          <cell r="Q271" t="str">
            <v>Acta visita Tomás Moro.pdf</v>
          </cell>
          <cell r="R271" t="str">
            <v>Constratada información en aplicativo con la visita se encontraron al gunas consistencias</v>
          </cell>
          <cell r="S271" t="str">
            <v>La institución presentará plan de trabajo a mas tardar el día 23 de mayo del 2025 con el fin de subsanar inconsistencias</v>
          </cell>
          <cell r="T271" t="str">
            <v>Si</v>
          </cell>
          <cell r="U271" t="str">
            <v>Una vez aprobado PMI se establecerá el seguimiento a llevar a cabo. Se hizo verificación de condiciones 08/11/2025 no ha cumplido se exige nuevo plan para seguimiento en el 2026</v>
          </cell>
        </row>
        <row r="272">
          <cell r="A272">
            <v>847</v>
          </cell>
          <cell r="B272">
            <v>31</v>
          </cell>
          <cell r="C272" t="str">
            <v>ENGATIVÁ</v>
          </cell>
          <cell r="D272" t="str">
            <v>PRIVADO</v>
          </cell>
          <cell r="E272" t="str">
            <v>Educación de Jóvenes y Adultos</v>
          </cell>
          <cell r="F272" t="str">
            <v>INSTITUTO_TOMAS_MORO</v>
          </cell>
          <cell r="G272" t="str">
            <v>INSTITUTO_TOMAS_MORO</v>
          </cell>
          <cell r="H272" t="str">
            <v>Convivencia escolar</v>
          </cell>
          <cell r="I272" t="str">
            <v>SEGUIMIENTO_Y_SUPERVISIÓN.</v>
          </cell>
          <cell r="J272" t="str">
            <v xml:space="preserve">Verificar la implementación por parte de los colegios, de acciones realizadas para la prevención y atención de las situaciones de convivencia en el entorno escolar, según lo establecido en la Directiva 01 de 2022 del MEN. </v>
          </cell>
          <cell r="K272" t="str">
            <v>JAIME HUMBERTO RAMÍREZ LLANOS</v>
          </cell>
          <cell r="L272" t="str">
            <v>SANDRA MILENA BUENAVENTURA RUEDA</v>
          </cell>
          <cell r="M272">
            <v>45780</v>
          </cell>
          <cell r="N272">
            <v>45780</v>
          </cell>
          <cell r="O272">
            <v>45780</v>
          </cell>
          <cell r="P272" t="str">
            <v>Visitas de evaluación con fines de seguimiento</v>
          </cell>
          <cell r="Q272" t="str">
            <v>Acta visita Tomás Moro.pdf</v>
          </cell>
          <cell r="R272" t="str">
            <v>No se evidencian acciones encaminadas a la prevención de temas de convivencia</v>
          </cell>
          <cell r="S272" t="str">
            <v>La institución presentará plan de trabajo a mas tardar el día 23 de mayo del 2025 con el fin de subsanar inconsistencias</v>
          </cell>
          <cell r="T272" t="str">
            <v>Si</v>
          </cell>
          <cell r="U272" t="str">
            <v>Una vez aprobado PMI se establecerá el seguimiento a llevar a cabo se implementó verificación cada cuatro meses. Se hizo verificación de condiciones 08/11/2025 no ha cumplido se exige nuevo plan para seguimiento en el 2026</v>
          </cell>
        </row>
        <row r="273">
          <cell r="A273">
            <v>848</v>
          </cell>
          <cell r="B273">
            <v>31</v>
          </cell>
          <cell r="C273" t="str">
            <v>ENGATIVÁ</v>
          </cell>
          <cell r="D273" t="str">
            <v>PRIVADO</v>
          </cell>
          <cell r="E273" t="str">
            <v>Educación de Jóvenes y Adultos</v>
          </cell>
          <cell r="F273" t="str">
            <v>INSTITUTO_TOMAS_MORO</v>
          </cell>
          <cell r="G273" t="str">
            <v>INSTITUTO_TOMAS_MORO</v>
          </cell>
          <cell r="H273" t="str">
            <v>Convivencia escolar</v>
          </cell>
          <cell r="I273" t="str">
            <v>SEGUIMIENTO_Y_SUPERVISIÓN.</v>
          </cell>
          <cell r="J27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73" t="str">
            <v>JAIME HUMBERTO RAMÍREZ LLANOS</v>
          </cell>
          <cell r="L273" t="str">
            <v>SANDRA MILENA BUENAVENTURA RUEDA</v>
          </cell>
          <cell r="M273">
            <v>45780</v>
          </cell>
          <cell r="N273">
            <v>45780</v>
          </cell>
          <cell r="O273">
            <v>45780</v>
          </cell>
          <cell r="P273" t="str">
            <v>Visitas de evaluación con fines de seguimiento</v>
          </cell>
          <cell r="Q273" t="str">
            <v>Acta visita Tomás Moro.pdf</v>
          </cell>
          <cell r="R273" t="str">
            <v>La institución informa no tener estudiantes con discapacidad</v>
          </cell>
          <cell r="S273" t="str">
            <v>No requiere presentar PIAR</v>
          </cell>
          <cell r="T273" t="str">
            <v>No</v>
          </cell>
          <cell r="U273" t="str">
            <v>En caso de reportar estudiantes con discapacidad, deberáb elaborar PIAR. Se hizo verificación de condiciones 08/11/2025 no ha cumplido se exige nuevo plan para seguimiento en el 2026</v>
          </cell>
        </row>
        <row r="274">
          <cell r="A274">
            <v>849</v>
          </cell>
          <cell r="B274">
            <v>31</v>
          </cell>
          <cell r="C274" t="str">
            <v>ENGATIVÁ</v>
          </cell>
          <cell r="D274" t="str">
            <v>PRIVADO</v>
          </cell>
          <cell r="E274" t="str">
            <v>Educación de Jóvenes y Adultos</v>
          </cell>
          <cell r="F274" t="str">
            <v>INSTITUTO_TOMAS_MORO</v>
          </cell>
          <cell r="G274" t="str">
            <v>INSTITUTO_TOMAS_MORO</v>
          </cell>
          <cell r="H274" t="str">
            <v>Convivencia escolar</v>
          </cell>
          <cell r="I274" t="str">
            <v>EVALUACIÓN_CON_FINES_DE_MEJORAMIENTO.</v>
          </cell>
          <cell r="J27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4" t="str">
            <v>JAIME HUMBERTO RAMÍREZ LLANOS</v>
          </cell>
          <cell r="L274" t="str">
            <v>SANDRA MILENA BUENAVENTURA RUEDA</v>
          </cell>
          <cell r="M274">
            <v>45780</v>
          </cell>
          <cell r="N274">
            <v>45780</v>
          </cell>
          <cell r="O274">
            <v>45780</v>
          </cell>
          <cell r="P274" t="str">
            <v>Visitas de evaluación con fines de mejoramiento</v>
          </cell>
          <cell r="Q274" t="str">
            <v>Acta visita Tomás Moro.pdf</v>
          </cell>
          <cell r="R274" t="str">
            <v>Verificado su manual de convivencia, se úede a´preciar que fue elaborado teniendo en cuenta lo solicitado por la normaitvidad actual</v>
          </cell>
          <cell r="S274" t="str">
            <v>Deben matener actualizado</v>
          </cell>
          <cell r="T274" t="str">
            <v>No</v>
          </cell>
          <cell r="U274" t="str">
            <v>Anualmente se hará verificación. Se hizo verificación de condiciones 08/11/2025 no ha cumplido se exige nuevo plan para seguimiento en el 2026</v>
          </cell>
        </row>
        <row r="275">
          <cell r="A275">
            <v>850</v>
          </cell>
          <cell r="B275">
            <v>31</v>
          </cell>
          <cell r="C275" t="str">
            <v>ENGATIVÁ</v>
          </cell>
          <cell r="D275" t="str">
            <v>PRIVADO</v>
          </cell>
          <cell r="E275" t="str">
            <v>Educación de Jóvenes y Adultos</v>
          </cell>
          <cell r="F275" t="str">
            <v>INSTITUTO_TOMAS_MORO</v>
          </cell>
          <cell r="G275" t="str">
            <v>INSTITUTO_TOMAS_MORO</v>
          </cell>
          <cell r="H275" t="str">
            <v>Convivencia escolar</v>
          </cell>
          <cell r="I275" t="str">
            <v>EVALUACIÓN_CON_FINES_DE_MEJORAMIENTO.</v>
          </cell>
          <cell r="J275" t="str">
            <v>Revisar la actualización, socialización e implementación del Sistema Institucional de Evaluación de Estudiantes - SIEE, en articulación con la actualización del PEI y la normatividad vigente.</v>
          </cell>
          <cell r="K275" t="str">
            <v>JAIME HUMBERTO RAMÍREZ LLANOS</v>
          </cell>
          <cell r="L275" t="str">
            <v>SANDRA MILENA BUENAVENTURA RUEDA</v>
          </cell>
          <cell r="M275">
            <v>45780</v>
          </cell>
          <cell r="N275">
            <v>45780</v>
          </cell>
          <cell r="O275">
            <v>45780</v>
          </cell>
          <cell r="P275" t="str">
            <v>Visitas de evaluación con fines de mejoramiento</v>
          </cell>
          <cell r="Q275" t="str">
            <v>Acta visita Tomás Moro.pdf</v>
          </cell>
          <cell r="R275" t="str">
            <v>La institución tiene en su PEI el SIEE, aunque no es dado a conocer a sus estudiantes</v>
          </cell>
          <cell r="S275" t="str">
            <v>La institución presentará plan de trabajo a mas tardar el día 23 de mayo del 2025 con el fin de subsanar inconsistencias</v>
          </cell>
          <cell r="T275" t="str">
            <v>Si</v>
          </cell>
          <cell r="U275" t="str">
            <v>Una vez aprobado PMI se establecerá el seguimiento a llevar a cabo. Se hizo verificación de condiciones 08/11/2025 no ha cumplido se exige nuevo plan para seguimiento en el 2026</v>
          </cell>
        </row>
        <row r="276">
          <cell r="A276">
            <v>851</v>
          </cell>
          <cell r="B276">
            <v>31</v>
          </cell>
          <cell r="C276" t="str">
            <v>ENGATIVÁ</v>
          </cell>
          <cell r="D276" t="str">
            <v>PRIVADO</v>
          </cell>
          <cell r="E276" t="str">
            <v>Educación de Jóvenes y Adultos</v>
          </cell>
          <cell r="F276" t="str">
            <v>INSTITUTO_TOMAS_MORO</v>
          </cell>
          <cell r="G276" t="str">
            <v>INSTITUTO_TOMAS_MORO</v>
          </cell>
          <cell r="H276" t="str">
            <v>Convivencia escolar</v>
          </cell>
          <cell r="I276" t="str">
            <v>EVALUACIÓN_CON_FINES_DE_MEJORAMIENTO.</v>
          </cell>
          <cell r="J276" t="str">
            <v>Revisar el calendario escolar, jornada escolar, la intensidad horaria mínima anual en cada nivel y las modificaciones que se realicen al mismo, de acuerdo con lo previsto en la normatividad vigente.</v>
          </cell>
          <cell r="K276" t="str">
            <v>JAIME HUMBERTO RAMÍREZ LLANOS</v>
          </cell>
          <cell r="L276" t="str">
            <v>SANDRA MILENA BUENAVENTURA RUEDA</v>
          </cell>
          <cell r="M276">
            <v>45780</v>
          </cell>
          <cell r="N276">
            <v>45780</v>
          </cell>
          <cell r="O276">
            <v>45780</v>
          </cell>
          <cell r="P276" t="str">
            <v>Visitas de evaluación con fines de mejoramiento</v>
          </cell>
          <cell r="Q276" t="str">
            <v>Acta visita Tomás Moro.pdf</v>
          </cell>
          <cell r="R276" t="str">
            <v>El calendario ecolar se ajusta a lo exigido por el MEN</v>
          </cell>
          <cell r="S276" t="str">
            <v>Se deberá dar cumpliminento a su ejecución</v>
          </cell>
          <cell r="T276" t="str">
            <v>No</v>
          </cell>
          <cell r="U276" t="str">
            <v>En la verificación de avances PEI y calendario escolar se hará la verificación.. Se hizo verificación de condiciones 08/11/2025 no ha cumplido se exige nuevo plan para seguimiento en el 2026</v>
          </cell>
        </row>
        <row r="277">
          <cell r="A277">
            <v>852</v>
          </cell>
          <cell r="B277">
            <v>31</v>
          </cell>
          <cell r="C277" t="str">
            <v>ENGATIVÁ</v>
          </cell>
          <cell r="D277" t="str">
            <v>PRIVADO</v>
          </cell>
          <cell r="E277" t="str">
            <v>Educación de Jóvenes y Adultos</v>
          </cell>
          <cell r="F277" t="str">
            <v>INSTITUTO_TOMAS_MORO</v>
          </cell>
          <cell r="G277" t="str">
            <v>INSTITUTO_TOMAS_MORO</v>
          </cell>
          <cell r="H277" t="str">
            <v>Convivencia escolar</v>
          </cell>
          <cell r="I277" t="str">
            <v>EVALUACIÓN_CON_FINES_DE_MEJORAMIENTO.</v>
          </cell>
          <cell r="J277" t="str">
            <v>Verificar el funcionamiento del Gobierno Escolar e instancias de participación con base en la información sobre conformación reportada por la institución educativa.</v>
          </cell>
          <cell r="K277" t="str">
            <v>JAIME HUMBERTO RAMÍREZ LLANOS</v>
          </cell>
          <cell r="L277" t="str">
            <v>SANDRA MILENA BUENAVENTURA RUEDA</v>
          </cell>
          <cell r="M277">
            <v>45780</v>
          </cell>
          <cell r="N277">
            <v>45780</v>
          </cell>
          <cell r="O277">
            <v>45780</v>
          </cell>
          <cell r="P277" t="str">
            <v>Visitas de evaluación con fines de mejoramiento</v>
          </cell>
          <cell r="Q277" t="str">
            <v>Acta visita Tomás Moro.pdf</v>
          </cell>
          <cell r="R277" t="str">
            <v>No se evidencian reuniones de órganos de gobierrno escolar</v>
          </cell>
          <cell r="S277" t="str">
            <v>La institución presentará plan de trabajo a mas tardar el día 23 de mayo del 2025 con el fin de subsanar inconsistencias</v>
          </cell>
          <cell r="T277" t="str">
            <v>Si</v>
          </cell>
          <cell r="U277" t="str">
            <v>Una vez aprobado PMI se establecerá el seguimiento a llevar a cabo. Se hizo verificación de condiciones 08/11/2025 no ha cumplido se exige nuevo plan para seguimiento en el 2026</v>
          </cell>
        </row>
        <row r="278">
          <cell r="A278">
            <v>853</v>
          </cell>
          <cell r="B278">
            <v>31</v>
          </cell>
          <cell r="C278" t="str">
            <v>ENGATIVÁ</v>
          </cell>
          <cell r="D278" t="str">
            <v>PRIVADO</v>
          </cell>
          <cell r="E278" t="str">
            <v>Educación de Jóvenes y Adultos</v>
          </cell>
          <cell r="F278" t="str">
            <v>INSTITUTO_TOMAS_MORO</v>
          </cell>
          <cell r="G278" t="str">
            <v>INSTITUTO_TOMAS_MORO</v>
          </cell>
          <cell r="H278" t="str">
            <v>Convivencia escolar</v>
          </cell>
          <cell r="I278" t="str">
            <v>EVALUACIÓN_CON_FINES_DE_MEJORAMIENTO.</v>
          </cell>
          <cell r="J278" t="str">
            <v>Verificar las condiciones en cuanto a: la estructura administrativa, condiciones de la planta física y medios educativos adecuados.</v>
          </cell>
          <cell r="K278" t="str">
            <v>JAIME HUMBERTO RAMÍREZ LLANOS</v>
          </cell>
          <cell r="L278" t="str">
            <v>SANDRA MILENA BUENAVENTURA RUEDA</v>
          </cell>
          <cell r="M278">
            <v>45780</v>
          </cell>
          <cell r="N278">
            <v>45780</v>
          </cell>
          <cell r="O278">
            <v>45780</v>
          </cell>
          <cell r="P278" t="str">
            <v>Visitas de evaluación con fines de mejoramiento</v>
          </cell>
          <cell r="Q278" t="str">
            <v>Acta visita Tomás Moro.pdf</v>
          </cell>
          <cell r="R278" t="str">
            <v>En general se cuentan con los espacios pedagógicos requeridos, se le sugiere reubicar los ciclos V y VI en aulas mas amplias</v>
          </cell>
          <cell r="S278" t="str">
            <v>Deben reubicar los Ciclos V y VI en aulas mas grandes</v>
          </cell>
          <cell r="T278" t="str">
            <v>Si</v>
          </cell>
          <cell r="U278" t="str">
            <v>En próxima visita de verificación e hará revisión. Se hizo verificación de condiciones 08/11/2025 no ha cumplido se exige nuevo plan para seguimiento en el 2026</v>
          </cell>
        </row>
        <row r="279">
          <cell r="A279">
            <v>854</v>
          </cell>
          <cell r="B279">
            <v>32</v>
          </cell>
          <cell r="C279" t="str">
            <v>ENGATIVÁ</v>
          </cell>
          <cell r="D279" t="str">
            <v>OFICIAL.</v>
          </cell>
          <cell r="E279" t="str">
            <v>EPBM</v>
          </cell>
          <cell r="F279" t="str">
            <v>COLEGIO_SAN_JOSE_NORTE_IED</v>
          </cell>
          <cell r="G279" t="str">
            <v>SAN_JOSE_NORTE</v>
          </cell>
          <cell r="H279" t="str">
            <v>Convivencia escolar</v>
          </cell>
          <cell r="I279" t="str">
            <v>SEGUIMIENTO_Y_SUPERVISIÓN.</v>
          </cell>
          <cell r="J279" t="str">
            <v xml:space="preserve">Verificar la implementación por parte de los colegios, de acciones realizadas para la prevención y atención de las situaciones de convivencia en el entorno escolar, según lo establecido en la Directiva 01 de 2022 del MEN. </v>
          </cell>
          <cell r="K279" t="str">
            <v>MÓNICA JANNETH RAMÍREZ MORENO</v>
          </cell>
          <cell r="L279" t="str">
            <v>JUAN AGUSTÍN RODRÍGUEZ ROZO</v>
          </cell>
          <cell r="M279">
            <v>45866</v>
          </cell>
          <cell r="N279">
            <v>45929</v>
          </cell>
          <cell r="O279">
            <v>45929</v>
          </cell>
          <cell r="P279" t="str">
            <v>Visitas de evaluación con fines de seguimiento</v>
          </cell>
          <cell r="Q279" t="str">
            <v>20250929visitacolsanjosenorte.pdf</v>
          </cell>
          <cell r="R279" t="str">
            <v>El colegio no realiza la verificación de inhabilidades para el personal docente y administrativo</v>
          </cell>
          <cell r="S279" t="str">
            <v>Verificar cada 4 meses las inhabilidades del personal vinculado a la IE por delitos sexuales en la página de la Policía Nacional</v>
          </cell>
          <cell r="T279" t="str">
            <v>Si</v>
          </cell>
          <cell r="U279" t="str">
            <v>Revisión del plan de mejoramiento institucional una vez sea presentado</v>
          </cell>
        </row>
        <row r="280">
          <cell r="A280">
            <v>855</v>
          </cell>
          <cell r="B280">
            <v>32</v>
          </cell>
          <cell r="C280" t="str">
            <v>ENGATIVÁ</v>
          </cell>
          <cell r="D280" t="str">
            <v>OFICIAL.</v>
          </cell>
          <cell r="E280" t="str">
            <v>EPBM</v>
          </cell>
          <cell r="F280" t="str">
            <v>COLEGIO_SAN_JOSE_NORTE_IED</v>
          </cell>
          <cell r="G280" t="str">
            <v>SAN_JOSE_NORTE</v>
          </cell>
          <cell r="H280" t="str">
            <v>Convivencia escolar</v>
          </cell>
          <cell r="I280" t="str">
            <v>SEGUIMIENTO_Y_SUPERVISIÓN.</v>
          </cell>
          <cell r="J28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0" t="str">
            <v>MÓNICA JANNETH RAMÍREZ MORENO</v>
          </cell>
          <cell r="L280" t="str">
            <v>JUAN AGUSTÍN RODRÍGUEZ ROZO</v>
          </cell>
          <cell r="M280">
            <v>45866</v>
          </cell>
          <cell r="N280">
            <v>45929</v>
          </cell>
          <cell r="O280">
            <v>45929</v>
          </cell>
          <cell r="P280" t="str">
            <v>Visitas de evaluación con fines de seguimiento</v>
          </cell>
          <cell r="Q280" t="str">
            <v>20250929visitacolsanjosenorte.pdf</v>
          </cell>
          <cell r="R280" t="str">
            <v>Se evidencia PIAR de los 43 estudiantes con diagnóstico de discapacidad, caracterizados en el SIMAT.</v>
          </cell>
          <cell r="S280" t="str">
            <v>Los coordinadores revisan los PIAR realizados y se hace seguimiento en el one drive dispuesto para tal fin y las docentes de apoyo y orientadoras tienen formatos fisicos debidamente suscritos</v>
          </cell>
          <cell r="T280" t="str">
            <v>No</v>
          </cell>
          <cell r="U280" t="str">
            <v>Se verificará en una actuación en otra vigencia o si se genera petición o queja ciudadana.</v>
          </cell>
        </row>
        <row r="281">
          <cell r="A281">
            <v>856</v>
          </cell>
          <cell r="B281">
            <v>32</v>
          </cell>
          <cell r="C281" t="str">
            <v>ENGATIVÁ</v>
          </cell>
          <cell r="D281" t="str">
            <v>OFICIAL.</v>
          </cell>
          <cell r="E281" t="str">
            <v>EPBM</v>
          </cell>
          <cell r="F281" t="str">
            <v>COLEGIO_SAN_JOSE_NORTE_IED</v>
          </cell>
          <cell r="G281" t="str">
            <v>SAN_JOSE_NORTE</v>
          </cell>
          <cell r="H281" t="str">
            <v>Convivencia escolar</v>
          </cell>
          <cell r="I281" t="str">
            <v>EVALUACIÓN_CON_FINES_DE_MEJORAMIENTO.</v>
          </cell>
          <cell r="J28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81" t="str">
            <v>MÓNICA JANNETH RAMÍREZ MORENO</v>
          </cell>
          <cell r="L281" t="str">
            <v>JUAN AGUSTÍN RODRÍGUEZ ROZO</v>
          </cell>
          <cell r="M281">
            <v>45866</v>
          </cell>
          <cell r="N281">
            <v>45929</v>
          </cell>
          <cell r="O281">
            <v>45929</v>
          </cell>
          <cell r="P281" t="str">
            <v>Visitas de evaluación con fines de mejoramiento</v>
          </cell>
          <cell r="Q281" t="str">
            <v>20250929visitacolsanjosenorte.pdf</v>
          </cell>
          <cell r="R281" t="str">
            <v>El colegio realiza actualizaciones del manual cada 2 años y debe desarrollar los enfoques de genero, inclusión y restaurativo, contempla por separado las faltas disciplinarias y las situaciones que afectan la convivencia escolar</v>
          </cell>
          <cell r="S281" t="str">
            <v xml:space="preserve">Se debe ajustar el manual de convivencia con base en observaciones realizadas incluyendo  el proceso establecido y los canales de atención para peticiónes, quejas, reclamos y felicitaciones por parte de la comunidad educativa </v>
          </cell>
          <cell r="T281" t="str">
            <v>Si</v>
          </cell>
          <cell r="U281" t="str">
            <v>Revisión del plan de mejoramiento institucional una vez sea presentado</v>
          </cell>
        </row>
        <row r="282">
          <cell r="A282">
            <v>857</v>
          </cell>
          <cell r="B282">
            <v>32</v>
          </cell>
          <cell r="C282" t="str">
            <v>ENGATIVÁ</v>
          </cell>
          <cell r="D282" t="str">
            <v>OFICIAL.</v>
          </cell>
          <cell r="E282" t="str">
            <v>EPBM</v>
          </cell>
          <cell r="F282" t="str">
            <v>COLEGIO_SAN_JOSE_NORTE_IED</v>
          </cell>
          <cell r="G282" t="str">
            <v>SAN_JOSE_NORTE</v>
          </cell>
          <cell r="H282" t="str">
            <v>Convivencia escolar</v>
          </cell>
          <cell r="I282" t="str">
            <v>EVALUACIÓN_CON_FINES_DE_MEJORAMIENTO.</v>
          </cell>
          <cell r="J282" t="str">
            <v>Revisar la actualización, socialización e implementación del Sistema Institucional de Evaluación de Estudiantes - SIEE, en articulación con la actualización del PEI y la normatividad vigente.</v>
          </cell>
          <cell r="K282" t="str">
            <v>MÓNICA JANNETH RAMÍREZ MORENO</v>
          </cell>
          <cell r="L282" t="str">
            <v>JUAN AGUSTÍN RODRÍGUEZ ROZO</v>
          </cell>
          <cell r="M282">
            <v>45866</v>
          </cell>
          <cell r="N282">
            <v>45929</v>
          </cell>
          <cell r="O282">
            <v>45929</v>
          </cell>
          <cell r="P282" t="str">
            <v>Visitas de evaluación con fines de mejoramiento</v>
          </cell>
          <cell r="Q282" t="str">
            <v>20250929visitacolsanjosenorte.pdf</v>
          </cell>
          <cell r="R282" t="str">
            <v>El SIEE se encuentra actualizado y socializado conforme lo requiere el programa de Bachillerato internacional, pero falta registrar las estrategias de apoyo que realizan</v>
          </cell>
          <cell r="S282" t="str">
            <v>Se recomienda registrar las estrategias de apoyo en el SIEE como los informes parciales y actividades de refuerzo</v>
          </cell>
          <cell r="T282" t="str">
            <v>Si</v>
          </cell>
          <cell r="U282" t="str">
            <v>Revisión del plan de mejoramiento institucional una vez sea presentado</v>
          </cell>
        </row>
        <row r="283">
          <cell r="A283">
            <v>858</v>
          </cell>
          <cell r="B283">
            <v>32</v>
          </cell>
          <cell r="C283" t="str">
            <v>ENGATIVÁ</v>
          </cell>
          <cell r="D283" t="str">
            <v>OFICIAL.</v>
          </cell>
          <cell r="E283" t="str">
            <v>EPBM</v>
          </cell>
          <cell r="F283" t="str">
            <v>COLEGIO_SAN_JOSE_NORTE_IED</v>
          </cell>
          <cell r="G283" t="str">
            <v>SAN_JOSE_NORTE</v>
          </cell>
          <cell r="H283" t="str">
            <v>Convivencia escolar</v>
          </cell>
          <cell r="I283" t="str">
            <v>EVALUACIÓN_CON_FINES_DE_MEJORAMIENTO.</v>
          </cell>
          <cell r="J283" t="str">
            <v>Revisar el calendario escolar, jornada escolar, la intensidad horaria mínima anual en cada nivel y las modificaciones que se realicen al mismo, de acuerdo con lo previsto en la normatividad vigente.</v>
          </cell>
          <cell r="K283" t="str">
            <v>MÓNICA JANNETH RAMÍREZ MORENO</v>
          </cell>
          <cell r="L283" t="str">
            <v>JUAN AGUSTÍN RODRÍGUEZ ROZO</v>
          </cell>
          <cell r="M283">
            <v>45866</v>
          </cell>
          <cell r="N283">
            <v>45929</v>
          </cell>
          <cell r="O283">
            <v>45929</v>
          </cell>
          <cell r="P283" t="str">
            <v>Visitas de evaluación con fines de mejoramiento</v>
          </cell>
          <cell r="Q283" t="str">
            <v>20250929visitacolsanjosenorte.pdf</v>
          </cell>
          <cell r="R283" t="str">
            <v>El colegio cumple la intensidad horaria establecida por nivel según normativa vigente</v>
          </cell>
          <cell r="S283" t="str">
            <v>Continuar el cumplimiento teniendo en cuenta la autorización de jornada única</v>
          </cell>
          <cell r="T283" t="str">
            <v>No</v>
          </cell>
          <cell r="U283" t="str">
            <v>Se verificará en una actuación en otra vigencia o si se genera petición o queja ciudadana.</v>
          </cell>
        </row>
        <row r="284">
          <cell r="A284">
            <v>859</v>
          </cell>
          <cell r="B284">
            <v>32</v>
          </cell>
          <cell r="C284" t="str">
            <v>ENGATIVÁ</v>
          </cell>
          <cell r="D284" t="str">
            <v>OFICIAL.</v>
          </cell>
          <cell r="E284" t="str">
            <v>EPBM</v>
          </cell>
          <cell r="F284" t="str">
            <v>COLEGIO_SAN_JOSE_NORTE_IED</v>
          </cell>
          <cell r="G284" t="str">
            <v>SAN_JOSE_NORTE</v>
          </cell>
          <cell r="H284" t="str">
            <v>Convivencia escolar</v>
          </cell>
          <cell r="I284" t="str">
            <v>EVALUACIÓN_CON_FINES_DE_MEJORAMIENTO.</v>
          </cell>
          <cell r="J284" t="str">
            <v>Verificar el funcionamiento del Gobierno Escolar e instancias de participación con base en la información sobre conformación reportada por la institución educativa.</v>
          </cell>
          <cell r="K284" t="str">
            <v>MÓNICA JANNETH RAMÍREZ MORENO</v>
          </cell>
          <cell r="L284" t="str">
            <v>JUAN AGUSTÍN RODRÍGUEZ ROZO</v>
          </cell>
          <cell r="M284">
            <v>45866</v>
          </cell>
          <cell r="N284">
            <v>45929</v>
          </cell>
          <cell r="O284">
            <v>45929</v>
          </cell>
          <cell r="P284" t="str">
            <v>Visitas de evaluación con fines de mejoramiento</v>
          </cell>
          <cell r="Q284" t="str">
            <v>20250929visitacolsanjosenorte.pdf</v>
          </cell>
          <cell r="R284" t="str">
            <v>Se verificaron las actas del gobierno escolar y las instancias de participación observándose su organización y cumplimiento</v>
          </cell>
          <cell r="S284" t="str">
            <v>El Gobierno Escolar y las instancias de participación funcionan correctamente atendiendo la normativa vigente</v>
          </cell>
          <cell r="T284" t="str">
            <v>No</v>
          </cell>
          <cell r="U284" t="str">
            <v>Se verificará en una actuación en otra vigencia o si se genera petición o queja ciudadana.</v>
          </cell>
        </row>
        <row r="285">
          <cell r="A285">
            <v>860</v>
          </cell>
          <cell r="B285">
            <v>32</v>
          </cell>
          <cell r="C285" t="str">
            <v>ENGATIVÁ</v>
          </cell>
          <cell r="D285" t="str">
            <v>OFICIAL.</v>
          </cell>
          <cell r="E285" t="str">
            <v>EPBM</v>
          </cell>
          <cell r="F285" t="str">
            <v>COLEGIO_SAN_JOSE_NORTE_IED</v>
          </cell>
          <cell r="G285" t="str">
            <v>SAN_JOSE_NORTE</v>
          </cell>
          <cell r="H285" t="str">
            <v>Convivencia escolar</v>
          </cell>
          <cell r="I285" t="str">
            <v>EVALUACIÓN_CON_FINES_DE_MEJORAMIENTO.</v>
          </cell>
          <cell r="J285" t="str">
            <v>Verificar las condiciones en cuanto a: la estructura administrativa, condiciones de la planta física y medios educativos adecuados.</v>
          </cell>
          <cell r="K285" t="str">
            <v>MÓNICA JANNETH RAMÍREZ MORENO</v>
          </cell>
          <cell r="L285" t="str">
            <v>JUAN AGUSTÍN RODRÍGUEZ ROZO</v>
          </cell>
          <cell r="M285">
            <v>45866</v>
          </cell>
          <cell r="N285">
            <v>45929</v>
          </cell>
          <cell r="O285">
            <v>45929</v>
          </cell>
          <cell r="P285" t="str">
            <v>Visitas de evaluación con fines de mejoramiento</v>
          </cell>
          <cell r="Q285" t="str">
            <v>20250929visitacolsanjosenorte.pdf</v>
          </cell>
          <cell r="R285" t="str">
            <v>Hacen falta espacios para atender la oferta total de estudiantes actual
En la sede B no se cuentan con rampas de acceso ni ascensor
Existe inconformidad con la entrega de la obra por cuanto hay adecuaciones pendientes.
El colegio impulsa una política de "cuidado de lo público" que permite la conservación y cuidado de la dotación</v>
          </cell>
          <cell r="S285" t="str">
            <v>Continuar proceso con Dirección de Construcciones para lograr culminar a satisfacción la obra</v>
          </cell>
          <cell r="T285" t="str">
            <v>No</v>
          </cell>
          <cell r="U285" t="str">
            <v>Se verificará en una actuación en otra vigencia o si se genera petición o queja ciudadana.</v>
          </cell>
        </row>
        <row r="286">
          <cell r="A286">
            <v>861</v>
          </cell>
          <cell r="B286">
            <v>33</v>
          </cell>
          <cell r="C286" t="str">
            <v>ENGATIVÁ</v>
          </cell>
          <cell r="D286" t="str">
            <v>OFICIAL.</v>
          </cell>
          <cell r="E286" t="str">
            <v>EPBM</v>
          </cell>
          <cell r="F286" t="str">
            <v>COLEGIO_LA_PALESTINA_IED</v>
          </cell>
          <cell r="G286" t="str">
            <v>LA_PALESTINA</v>
          </cell>
          <cell r="H286" t="str">
            <v>Convivencia escolar</v>
          </cell>
          <cell r="I286" t="str">
            <v>SEGUIMIENTO_Y_SUPERVISIÓN.</v>
          </cell>
          <cell r="J286" t="str">
            <v xml:space="preserve">Verificar la implementación por parte de los colegios, de acciones realizadas para la prevención y atención de las situaciones de convivencia en el entorno escolar, según lo establecido en la Directiva 01 de 2022 del MEN. </v>
          </cell>
          <cell r="K286" t="str">
            <v>JUAN AGUSTÍN RODRÍGUEZ ROZO</v>
          </cell>
          <cell r="L286" t="str">
            <v>JENIFER CATHERINE LEÓN ACOSTA</v>
          </cell>
          <cell r="M286">
            <v>45748</v>
          </cell>
          <cell r="N286">
            <v>45748</v>
          </cell>
          <cell r="O286">
            <v>45748</v>
          </cell>
          <cell r="P286" t="str">
            <v>Visitas de evaluación con fines de seguimiento</v>
          </cell>
          <cell r="Q286" t="str">
            <v>20250401 Acta visita Col la Palestina.pdf</v>
          </cell>
          <cell r="R286" t="str">
            <v>No se realiza la verificación cuatrienal establecida en la Directiva 01 en relación con la consulta de inhabilidad por delito sexual</v>
          </cell>
          <cell r="S286" t="str">
            <v>Por intermedio del área de Talento Humano de la DILE se eleva consulta sobre quien debe hacer la verificación de antecedentes de delitos sexuales ante la Oficina de Personal de la SED</v>
          </cell>
          <cell r="T286" t="str">
            <v>Si</v>
          </cell>
          <cell r="U286" t="str">
            <v>Analizar la respuesta de la consulta y comunicarle al rector para que proceda de conformidad</v>
          </cell>
        </row>
        <row r="287">
          <cell r="A287">
            <v>862</v>
          </cell>
          <cell r="B287">
            <v>33</v>
          </cell>
          <cell r="C287" t="str">
            <v>ENGATIVÁ</v>
          </cell>
          <cell r="D287" t="str">
            <v>OFICIAL.</v>
          </cell>
          <cell r="E287" t="str">
            <v>EPBM</v>
          </cell>
          <cell r="F287" t="str">
            <v>COLEGIO_LA_PALESTINA_IED</v>
          </cell>
          <cell r="G287" t="str">
            <v>LA_PALESTINA</v>
          </cell>
          <cell r="H287" t="str">
            <v>Convivencia escolar</v>
          </cell>
          <cell r="I287" t="str">
            <v>SEGUIMIENTO_Y_SUPERVISIÓN.</v>
          </cell>
          <cell r="J28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7" t="str">
            <v>JUAN AGUSTÍN RODRÍGUEZ ROZO</v>
          </cell>
          <cell r="L287" t="str">
            <v>JENIFER CATHERINE LEÓN ACOSTA</v>
          </cell>
          <cell r="M287">
            <v>45748</v>
          </cell>
          <cell r="N287">
            <v>45748</v>
          </cell>
          <cell r="O287">
            <v>45748</v>
          </cell>
          <cell r="P287" t="str">
            <v>Visitas de evaluación con fines de seguimiento</v>
          </cell>
          <cell r="Q287" t="str">
            <v>20250401 Acta visita Col la Palestina.pdf</v>
          </cell>
          <cell r="R287" t="str">
            <v>Presentaron dos PIAR diligenciados parcialmente</v>
          </cell>
          <cell r="S287" t="str">
            <v>Orgaizar los PIAR, puesto que no tienen todos los documentos y seguimientos. Trabajar en el procedimiento para el transito entre los ciclos.</v>
          </cell>
          <cell r="T287" t="str">
            <v>La entrega se realizará el 30 de mayo de 2025</v>
          </cell>
          <cell r="U287" t="str">
            <v>Se programará visita de verificación según cronograma del PMI</v>
          </cell>
        </row>
        <row r="288">
          <cell r="A288">
            <v>863</v>
          </cell>
          <cell r="B288">
            <v>33</v>
          </cell>
          <cell r="C288" t="str">
            <v>ENGATIVÁ</v>
          </cell>
          <cell r="D288" t="str">
            <v>OFICIAL.</v>
          </cell>
          <cell r="E288" t="str">
            <v>EPBM</v>
          </cell>
          <cell r="F288" t="str">
            <v>COLEGIO_LA_PALESTINA_IED</v>
          </cell>
          <cell r="G288" t="str">
            <v>LA_PALESTINA</v>
          </cell>
          <cell r="H288" t="str">
            <v>Convivencia escolar</v>
          </cell>
          <cell r="I288" t="str">
            <v>EVALUACIÓN_CON_FINES_DE_MEJORAMIENTO.</v>
          </cell>
          <cell r="J28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88" t="str">
            <v>JUAN AGUSTÍN RODRÍGUEZ ROZO</v>
          </cell>
          <cell r="L288" t="str">
            <v>JENIFER CATHERINE LEÓN ACOSTA</v>
          </cell>
          <cell r="M288">
            <v>45748</v>
          </cell>
          <cell r="N288">
            <v>45748</v>
          </cell>
          <cell r="O288">
            <v>45748</v>
          </cell>
          <cell r="P288" t="str">
            <v>Visitas de evaluación con fines de mejoramiento</v>
          </cell>
          <cell r="Q288" t="str">
            <v>20250401 Acta visita Col la Palestina.pdf</v>
          </cell>
          <cell r="R288" t="str">
            <v>No aportaron evidencias sobre la elaboración participativa del Manual.</v>
          </cell>
          <cell r="S288" t="str">
            <v xml:space="preserve">Entregar actas de reunion de padres, estudiantes y maestros que participaron en la actualizacion del manual de convivencia. </v>
          </cell>
          <cell r="T288" t="str">
            <v>La entrega se realizará el 30 de mayo de 2025</v>
          </cell>
          <cell r="U288" t="str">
            <v>Se programará visita de verificación según cronograma del PMI</v>
          </cell>
        </row>
        <row r="289">
          <cell r="A289">
            <v>864</v>
          </cell>
          <cell r="B289">
            <v>33</v>
          </cell>
          <cell r="C289" t="str">
            <v>ENGATIVÁ</v>
          </cell>
          <cell r="D289" t="str">
            <v>OFICIAL.</v>
          </cell>
          <cell r="E289" t="str">
            <v>EPBM</v>
          </cell>
          <cell r="F289" t="str">
            <v>COLEGIO_LA_PALESTINA_IED</v>
          </cell>
          <cell r="G289" t="str">
            <v>LA_PALESTINA</v>
          </cell>
          <cell r="H289" t="str">
            <v>Convivencia escolar</v>
          </cell>
          <cell r="I289" t="str">
            <v>EVALUACIÓN_CON_FINES_DE_MEJORAMIENTO.</v>
          </cell>
          <cell r="J289" t="str">
            <v>Revisar la actualización, socialización e implementación del Sistema Institucional de Evaluación de Estudiantes - SIEE, en articulación con la actualización del PEI y la normatividad vigente.</v>
          </cell>
          <cell r="K289" t="str">
            <v>JUAN AGUSTÍN RODRÍGUEZ ROZO</v>
          </cell>
          <cell r="L289" t="str">
            <v>JENIFER CATHERINE LEÓN ACOSTA</v>
          </cell>
          <cell r="M289">
            <v>45748</v>
          </cell>
          <cell r="N289">
            <v>45748</v>
          </cell>
          <cell r="O289">
            <v>45748</v>
          </cell>
          <cell r="P289" t="str">
            <v>Visitas de evaluación con fines de mejoramiento</v>
          </cell>
          <cell r="Q289" t="str">
            <v>20250401 Acta visita Col la Palestina.pdf</v>
          </cell>
          <cell r="R289" t="str">
            <v>Está planteado con los componentes establecidos en la regulación vigente e implementado</v>
          </cell>
          <cell r="S289" t="str">
            <v>Continuarán la revisión en la comuidad educativa</v>
          </cell>
          <cell r="T289" t="str">
            <v>No</v>
          </cell>
          <cell r="U289" t="str">
            <v>No</v>
          </cell>
        </row>
        <row r="290">
          <cell r="A290">
            <v>865</v>
          </cell>
          <cell r="B290">
            <v>33</v>
          </cell>
          <cell r="C290" t="str">
            <v>ENGATIVÁ</v>
          </cell>
          <cell r="D290" t="str">
            <v>OFICIAL.</v>
          </cell>
          <cell r="E290" t="str">
            <v>EPBM</v>
          </cell>
          <cell r="F290" t="str">
            <v>COLEGIO_LA_PALESTINA_IED</v>
          </cell>
          <cell r="G290" t="str">
            <v>LA_PALESTINA</v>
          </cell>
          <cell r="H290" t="str">
            <v>Convivencia escolar</v>
          </cell>
          <cell r="I290" t="str">
            <v>EVALUACIÓN_CON_FINES_DE_MEJORAMIENTO.</v>
          </cell>
          <cell r="J290" t="str">
            <v>Revisar el calendario escolar, jornada escolar, la intensidad horaria mínima anual en cada nivel y las modificaciones que se realicen al mismo, de acuerdo con lo previsto en la normatividad vigente.</v>
          </cell>
          <cell r="K290" t="str">
            <v>JUAN AGUSTÍN RODRÍGUEZ ROZO</v>
          </cell>
          <cell r="L290" t="str">
            <v>JENIFER CATHERINE LEÓN ACOSTA</v>
          </cell>
          <cell r="M290">
            <v>45748</v>
          </cell>
          <cell r="N290">
            <v>45748</v>
          </cell>
          <cell r="O290">
            <v>45748</v>
          </cell>
          <cell r="P290" t="str">
            <v>Visitas de evaluación con fines de mejoramiento</v>
          </cell>
          <cell r="Q290" t="str">
            <v>20250401 Acta visita Col la Palestina.pdf</v>
          </cell>
          <cell r="R290" t="str">
            <v>La IED tiene jornada Unica y los docentes asumen jornada laboral de seis horas ingresando en horarios diferentes para lograr la atención de los estudiantes en su jornada escolar</v>
          </cell>
          <cell r="S290" t="str">
            <v>Se hace necesrio que la Dirección de Educación Media y la Dirección de Colegios Distritales se pronuncien sobre la aplicación de la resolución N° 0277 de marzo 12 de 2025 en las IED de jornada única</v>
          </cell>
          <cell r="T290" t="str">
            <v>No</v>
          </cell>
          <cell r="U290" t="str">
            <v xml:space="preserve">Ver resultado de la mesa de trabajo que conformaron los rectores de todas las IED de jornada unica de Bogfotá </v>
          </cell>
        </row>
        <row r="291">
          <cell r="A291">
            <v>866</v>
          </cell>
          <cell r="B291">
            <v>33</v>
          </cell>
          <cell r="C291" t="str">
            <v>ENGATIVÁ</v>
          </cell>
          <cell r="D291" t="str">
            <v>OFICIAL.</v>
          </cell>
          <cell r="E291" t="str">
            <v>EPBM</v>
          </cell>
          <cell r="F291" t="str">
            <v>COLEGIO_LA_PALESTINA_IED</v>
          </cell>
          <cell r="G291" t="str">
            <v>LA_PALESTINA</v>
          </cell>
          <cell r="H291" t="str">
            <v>Convivencia escolar</v>
          </cell>
          <cell r="I291" t="str">
            <v>EVALUACIÓN_CON_FINES_DE_MEJORAMIENTO.</v>
          </cell>
          <cell r="J291" t="str">
            <v>Verificar el funcionamiento del Gobierno Escolar e instancias de participación con base en la información sobre conformación reportada por la institución educativa.</v>
          </cell>
          <cell r="K291" t="str">
            <v>JUAN AGUSTÍN RODRÍGUEZ ROZO</v>
          </cell>
          <cell r="L291" t="str">
            <v>JENIFER CATHERINE LEÓN ACOSTA</v>
          </cell>
          <cell r="M291">
            <v>45748</v>
          </cell>
          <cell r="N291">
            <v>45748</v>
          </cell>
          <cell r="O291">
            <v>45748</v>
          </cell>
          <cell r="P291" t="str">
            <v>Visitas de evaluación con fines de mejoramiento</v>
          </cell>
          <cell r="Q291" t="str">
            <v>20250401 Acta visita Col la Palestina.pdf</v>
          </cell>
          <cell r="R291" t="str">
            <v>Se encuenra conformado y entrando en funcionamiento, dado el avance del año lectivo</v>
          </cell>
          <cell r="S291" t="str">
            <v>Es necesario que culminen los reglamentos internos de los comnités</v>
          </cell>
          <cell r="T291" t="str">
            <v>No</v>
          </cell>
          <cell r="U291"/>
        </row>
        <row r="292">
          <cell r="A292">
            <v>867</v>
          </cell>
          <cell r="B292">
            <v>34</v>
          </cell>
          <cell r="C292" t="str">
            <v>ENGATIVÁ</v>
          </cell>
          <cell r="D292" t="str">
            <v>OFICIAL.</v>
          </cell>
          <cell r="E292" t="str">
            <v>EPBM</v>
          </cell>
          <cell r="F292" t="str">
            <v>COLEGIO_NACIONES_UNIDAS_IED</v>
          </cell>
          <cell r="G292" t="str">
            <v>NACIONES_UNIDAS</v>
          </cell>
          <cell r="H292" t="str">
            <v>Convivencia escolar</v>
          </cell>
          <cell r="I292" t="str">
            <v>SEGUIMIENTO_Y_SUPERVISIÓN.</v>
          </cell>
          <cell r="J292" t="str">
            <v xml:space="preserve">Verificar la implementación por parte de los colegios, de acciones realizadas para la prevención y atención de las situaciones de convivencia en el entorno escolar, según lo establecido en la Directiva 01 de 2022 del MEN. </v>
          </cell>
          <cell r="K292" t="str">
            <v>JAIME HUMBERTO RAMÍREZ LLANOS</v>
          </cell>
          <cell r="L292" t="str">
            <v>JUAN AGUSTÍN RODRÍGUEZ ROZO</v>
          </cell>
          <cell r="M292">
            <v>45904</v>
          </cell>
          <cell r="N292">
            <v>45915</v>
          </cell>
          <cell r="O292">
            <v>45915</v>
          </cell>
          <cell r="P292" t="str">
            <v>Visitas de evaluación con fines de seguimiento</v>
          </cell>
          <cell r="Q292" t="str">
            <v>Acta visita Naciones Unidas.pdf</v>
          </cell>
          <cell r="R292" t="str">
            <v>En espera circular de la SED , Sobre la aplicación de la directiva en establecimientos públicos.</v>
          </cell>
          <cell r="S292" t="str">
            <v>Hacer seguimiento a publicación de circular de la SED</v>
          </cell>
          <cell r="T292" t="str">
            <v>No</v>
          </cell>
          <cell r="U292" t="str">
            <v>S.E.D. no ha aclarado responsable.Pendiente verficación 2026</v>
          </cell>
        </row>
        <row r="293">
          <cell r="A293">
            <v>868</v>
          </cell>
          <cell r="B293">
            <v>34</v>
          </cell>
          <cell r="C293" t="str">
            <v>ENGATIVÁ</v>
          </cell>
          <cell r="D293" t="str">
            <v>OFICIAL.</v>
          </cell>
          <cell r="E293" t="str">
            <v>EPBM</v>
          </cell>
          <cell r="F293" t="str">
            <v>COLEGIO_NACIONES_UNIDAS_IED</v>
          </cell>
          <cell r="G293" t="str">
            <v>NACIONES_UNIDAS</v>
          </cell>
          <cell r="H293" t="str">
            <v>Convivencia escolar</v>
          </cell>
          <cell r="I293" t="str">
            <v>SEGUIMIENTO_Y_SUPERVISIÓN.</v>
          </cell>
          <cell r="J29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93" t="str">
            <v>JAIME HUMBERTO RAMÍREZ LLANOS</v>
          </cell>
          <cell r="L293" t="str">
            <v>JUAN AGUSTÍN RODRÍGUEZ ROZO</v>
          </cell>
          <cell r="M293">
            <v>45904</v>
          </cell>
          <cell r="N293">
            <v>45915</v>
          </cell>
          <cell r="O293">
            <v>45915</v>
          </cell>
          <cell r="P293" t="str">
            <v>Visitas de evaluación con fines de seguimiento</v>
          </cell>
          <cell r="Q293" t="str">
            <v>Acta visita Naciones Unidas.pdf</v>
          </cell>
          <cell r="R293" t="str">
            <v>Se pudo evidenciar un debido registro y seguimiento a 41 estudiantes con PIAR en la institución</v>
          </cell>
          <cell r="S293" t="str">
            <v>Los PIAR deben estar firmados por los acudientes en el anexo uno</v>
          </cell>
          <cell r="T293" t="str">
            <v>Si</v>
          </cell>
          <cell r="U293" t="str">
            <v>Se espera radicación de plan de mejora para verificar la subsanación debida. Pendiente verficación 2026</v>
          </cell>
        </row>
        <row r="294">
          <cell r="A294">
            <v>869</v>
          </cell>
          <cell r="B294">
            <v>34</v>
          </cell>
          <cell r="C294" t="str">
            <v>ENGATIVÁ</v>
          </cell>
          <cell r="D294" t="str">
            <v>OFICIAL.</v>
          </cell>
          <cell r="E294" t="str">
            <v>EPBM</v>
          </cell>
          <cell r="F294" t="str">
            <v>COLEGIO_NACIONES_UNIDAS_IED</v>
          </cell>
          <cell r="G294" t="str">
            <v>NACIONES_UNIDAS</v>
          </cell>
          <cell r="H294" t="str">
            <v>Convivencia escolar</v>
          </cell>
          <cell r="I294" t="str">
            <v>EVALUACIÓN_CON_FINES_DE_MEJORAMIENTO.</v>
          </cell>
          <cell r="J29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94" t="str">
            <v>JAIME HUMBERTO RAMÍREZ LLANOS</v>
          </cell>
          <cell r="L294" t="str">
            <v>JUAN AGUSTÍN RODRÍGUEZ ROZO</v>
          </cell>
          <cell r="M294">
            <v>45904</v>
          </cell>
          <cell r="N294">
            <v>45915</v>
          </cell>
          <cell r="O294">
            <v>45915</v>
          </cell>
          <cell r="P294" t="str">
            <v>Visitas de evaluación con fines de mejoramiento</v>
          </cell>
          <cell r="Q294" t="str">
            <v>Acta visita Naciones Unidas.pdf</v>
          </cell>
          <cell r="R294" t="str">
            <v>Hecha la verificación del Manual de convivencia se pudo evidenciar el cumplimiento de las normas básicas establecidas en la Ley 1620 del 2013</v>
          </cell>
          <cell r="S294" t="str">
            <v>NO APLICA</v>
          </cell>
          <cell r="T294" t="str">
            <v>No</v>
          </cell>
          <cell r="U294"/>
        </row>
        <row r="295">
          <cell r="A295">
            <v>870</v>
          </cell>
          <cell r="B295">
            <v>34</v>
          </cell>
          <cell r="C295" t="str">
            <v>ENGATIVÁ</v>
          </cell>
          <cell r="D295" t="str">
            <v>OFICIAL.</v>
          </cell>
          <cell r="E295" t="str">
            <v>EPBM</v>
          </cell>
          <cell r="F295" t="str">
            <v>COLEGIO_NACIONES_UNIDAS_IED</v>
          </cell>
          <cell r="G295" t="str">
            <v>NACIONES_UNIDAS</v>
          </cell>
          <cell r="H295" t="str">
            <v>Convivencia escolar</v>
          </cell>
          <cell r="I295" t="str">
            <v>EVALUACIÓN_CON_FINES_DE_MEJORAMIENTO.</v>
          </cell>
          <cell r="J295" t="str">
            <v>Revisar la actualización, socialización e implementación del Sistema Institucional de Evaluación de Estudiantes - SIEE, en articulación con la actualización del PEI y la normatividad vigente.</v>
          </cell>
          <cell r="K295" t="str">
            <v>JAIME HUMBERTO RAMÍREZ LLANOS</v>
          </cell>
          <cell r="L295" t="str">
            <v>JUAN AGUSTÍN RODRÍGUEZ ROZO</v>
          </cell>
          <cell r="M295">
            <v>45904</v>
          </cell>
          <cell r="N295">
            <v>45915</v>
          </cell>
          <cell r="O295">
            <v>45915</v>
          </cell>
          <cell r="P295" t="str">
            <v>Visitas de evaluación con fines de mejoramiento</v>
          </cell>
          <cell r="Q295" t="str">
            <v>Acta visita Naciones Unidas.pdf</v>
          </cell>
          <cell r="R295" t="str">
            <v>Verificada planilla del grado 7-01 se evidencia su debida aplicación</v>
          </cell>
          <cell r="S295" t="str">
            <v>Se sugiere continuar aplicación</v>
          </cell>
          <cell r="T295" t="str">
            <v>No</v>
          </cell>
          <cell r="U295"/>
        </row>
        <row r="296">
          <cell r="A296">
            <v>871</v>
          </cell>
          <cell r="B296">
            <v>34</v>
          </cell>
          <cell r="C296" t="str">
            <v>ENGATIVÁ</v>
          </cell>
          <cell r="D296" t="str">
            <v>OFICIAL.</v>
          </cell>
          <cell r="E296" t="str">
            <v>EPBM</v>
          </cell>
          <cell r="F296" t="str">
            <v>COLEGIO_NACIONES_UNIDAS_IED</v>
          </cell>
          <cell r="G296" t="str">
            <v>NACIONES_UNIDAS</v>
          </cell>
          <cell r="H296" t="str">
            <v>Convivencia escolar</v>
          </cell>
          <cell r="I296" t="str">
            <v>EVALUACIÓN_CON_FINES_DE_MEJORAMIENTO.</v>
          </cell>
          <cell r="J296" t="str">
            <v>Revisar el calendario escolar, jornada escolar, la intensidad horaria mínima anual en cada nivel y las modificaciones que se realicen al mismo, de acuerdo con lo previsto en la normatividad vigente.</v>
          </cell>
          <cell r="K296" t="str">
            <v>JAIME HUMBERTO RAMÍREZ LLANOS</v>
          </cell>
          <cell r="L296" t="str">
            <v>JUAN AGUSTÍN RODRÍGUEZ ROZO</v>
          </cell>
          <cell r="M296">
            <v>45904</v>
          </cell>
          <cell r="N296">
            <v>45915</v>
          </cell>
          <cell r="O296">
            <v>45915</v>
          </cell>
          <cell r="P296" t="str">
            <v>Visitas de evaluación con fines de mejoramiento</v>
          </cell>
          <cell r="Q296" t="str">
            <v>Acta visita Naciones Unidas.pdf</v>
          </cell>
          <cell r="R296" t="str">
            <v>Se ajusta al calendario establecido por la SED</v>
          </cell>
          <cell r="S296" t="str">
            <v>Se sugiere continuar aplicación</v>
          </cell>
          <cell r="T296" t="str">
            <v>No</v>
          </cell>
          <cell r="U296"/>
        </row>
        <row r="297">
          <cell r="A297">
            <v>872</v>
          </cell>
          <cell r="B297">
            <v>34</v>
          </cell>
          <cell r="C297" t="str">
            <v>ENGATIVÁ</v>
          </cell>
          <cell r="D297" t="str">
            <v>OFICIAL.</v>
          </cell>
          <cell r="E297" t="str">
            <v>EPBM</v>
          </cell>
          <cell r="F297" t="str">
            <v>COLEGIO_NACIONES_UNIDAS_IED</v>
          </cell>
          <cell r="G297" t="str">
            <v>NACIONES_UNIDAS</v>
          </cell>
          <cell r="H297" t="str">
            <v>Convivencia escolar</v>
          </cell>
          <cell r="I297" t="str">
            <v>EVALUACIÓN_CON_FINES_DE_MEJORAMIENTO.</v>
          </cell>
          <cell r="J297" t="str">
            <v>Verificar el funcionamiento del Gobierno Escolar e instancias de participación con base en la información sobre conformación reportada por la institución educativa.</v>
          </cell>
          <cell r="K297" t="str">
            <v>JAIME HUMBERTO RAMÍREZ LLANOS</v>
          </cell>
          <cell r="L297" t="str">
            <v>JUAN AGUSTÍN RODRÍGUEZ ROZO</v>
          </cell>
          <cell r="M297">
            <v>45904</v>
          </cell>
          <cell r="N297">
            <v>45915</v>
          </cell>
          <cell r="O297">
            <v>45915</v>
          </cell>
          <cell r="P297" t="str">
            <v>Visitas de evaluación con fines de mejoramiento</v>
          </cell>
          <cell r="Q297" t="str">
            <v>Acta visita Naciones Unidas.pdf</v>
          </cell>
          <cell r="R297" t="str">
            <v>Información subida al SAE fue verificado su cumplimiento</v>
          </cell>
          <cell r="S297" t="str">
            <v>Se encuentran archivadas actas de confromación y reuniones periódicas</v>
          </cell>
          <cell r="T297" t="str">
            <v>No</v>
          </cell>
          <cell r="U297"/>
        </row>
        <row r="298">
          <cell r="A298">
            <v>873</v>
          </cell>
          <cell r="B298">
            <v>34</v>
          </cell>
          <cell r="C298" t="str">
            <v>ENGATIVÁ</v>
          </cell>
          <cell r="D298" t="str">
            <v>OFICIAL.</v>
          </cell>
          <cell r="E298" t="str">
            <v>EPBM</v>
          </cell>
          <cell r="F298" t="str">
            <v>COLEGIO_NACIONES_UNIDAS_IED</v>
          </cell>
          <cell r="G298" t="str">
            <v>NACIONES_UNIDAS</v>
          </cell>
          <cell r="H298" t="str">
            <v>Convivencia escolar</v>
          </cell>
          <cell r="I298" t="str">
            <v>EVALUACIÓN_CON_FINES_DE_MEJORAMIENTO.</v>
          </cell>
          <cell r="J298" t="str">
            <v>Verificar las condiciones en cuanto a: la estructura administrativa, condiciones de la planta física y medios educativos adecuados.</v>
          </cell>
          <cell r="K298" t="str">
            <v>JAIME HUMBERTO RAMÍREZ LLANOS</v>
          </cell>
          <cell r="L298" t="str">
            <v>JUAN AGUSTÍN RODRÍGUEZ ROZO</v>
          </cell>
          <cell r="M298">
            <v>45904</v>
          </cell>
          <cell r="N298">
            <v>45915</v>
          </cell>
          <cell r="O298">
            <v>45915</v>
          </cell>
          <cell r="P298" t="str">
            <v>Visitas de evaluación con fines de mejoramiento</v>
          </cell>
          <cell r="Q298" t="str">
            <v>Acta visita Naciones Unidas.pdf</v>
          </cell>
          <cell r="R298" t="str">
            <v>Las sedes A y B por ser construidas por la SED cuentan con lo recursos que se le han proveido, mas completa la sede B</v>
          </cell>
          <cell r="S298" t="str">
            <v>Adecuadas por la SED</v>
          </cell>
          <cell r="T298" t="str">
            <v>No</v>
          </cell>
          <cell r="U298"/>
        </row>
        <row r="299">
          <cell r="A299">
            <v>874</v>
          </cell>
          <cell r="B299">
            <v>35</v>
          </cell>
          <cell r="C299" t="str">
            <v>ENGATIVÁ</v>
          </cell>
          <cell r="D299" t="str">
            <v>PRIVADO_IETDH</v>
          </cell>
          <cell r="E299" t="str">
            <v>IETDH</v>
          </cell>
          <cell r="F299" t="str">
            <v>INSTITUTO_SIDEP_SAS</v>
          </cell>
          <cell r="G299" t="str">
            <v>INSTITUTO_SIDEP_SAS</v>
          </cell>
          <cell r="H299" t="str">
            <v>IETDH priorizadas por cada ELIV (seguimiento a PMI, que no se hayan visitado en los últimos 3 años)</v>
          </cell>
          <cell r="I299" t="str">
            <v>SEGUIMIENTO_Y_SUPERVISIÓN.</v>
          </cell>
          <cell r="J299"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299" t="str">
            <v>SANDRA MILENA BUENAVENTURA RUEDA</v>
          </cell>
          <cell r="L299" t="str">
            <v>JAIME HUMBERTO RAMÍREZ LLANOS</v>
          </cell>
          <cell r="M299">
            <v>45843</v>
          </cell>
          <cell r="N299">
            <v>45850</v>
          </cell>
          <cell r="O299">
            <v>45850</v>
          </cell>
          <cell r="P299" t="str">
            <v>Visitas de evaluación con fines de seguimiento</v>
          </cell>
          <cell r="Q299" t="str">
            <v>ACTA VISITA SIDEP SAS IETDH 12JUL2025.pdf</v>
          </cell>
          <cell r="R299" t="str">
            <v xml:space="preserve">
Para el mes de mayo en SIET la IE no contaba con estudiantes matriculados ni certificados en julio registra 9 estudiantes matriculados y 0 certificados, no realizaron el incremento de costos ni tampoco informaron a la DLE, el contrato no tiene claridad en cuanto al valor de los programas.</v>
          </cell>
          <cell r="S299" t="str">
            <v>Verificar el registro de estudiantes matriculados y fechas establecidas para reportes. Radicar en cada vigencia radicar ante la Dirección Local el aumento del costo sobre el IPC en cada uno de los programas ofrecidos. Ajustar a el valor total del programa en el contrato de prestación de servicio educativo.</v>
          </cell>
          <cell r="T299" t="str">
            <v>Si</v>
          </cell>
          <cell r="U299" t="str">
            <v>La institución presentará plan de mejora con fecha máxima 24 de julio con el fin de ser revisado por el equipo de Inspección y Vigilancia para hacer los ajustes y la trazabilidad correspondiente</v>
          </cell>
        </row>
        <row r="300">
          <cell r="A300">
            <v>875</v>
          </cell>
          <cell r="B300">
            <v>35</v>
          </cell>
          <cell r="C300" t="str">
            <v>ENGATIVÁ</v>
          </cell>
          <cell r="D300" t="str">
            <v>PRIVADO_IETDH</v>
          </cell>
          <cell r="E300" t="str">
            <v>IETDH</v>
          </cell>
          <cell r="F300" t="str">
            <v>INSTITUTO_SIDEP_SAS</v>
          </cell>
          <cell r="G300" t="str">
            <v>INSTITUTO_SIDEP_SAS</v>
          </cell>
          <cell r="H300" t="str">
            <v>IETDH priorizadas por cada ELIV (seguimiento a PMI, que no se hayan visitado en los últimos 3 años)</v>
          </cell>
          <cell r="I300" t="str">
            <v>SEGUIMIENTO_Y_SUPERVISIÓN.</v>
          </cell>
          <cell r="J300" t="str">
            <v>Adelantar visitas para verificar que el desarrollo de los programas de ETDH, esté de acuerdo con lo autorizado y la normatividad vigente, para propender por su pertinencia, legalidad y actualización constante.</v>
          </cell>
          <cell r="K300" t="str">
            <v>SANDRA MILENA BUENAVENTURA RUEDA</v>
          </cell>
          <cell r="L300" t="str">
            <v>JAIME HUMBERTO RAMÍREZ LLANOS</v>
          </cell>
          <cell r="M300">
            <v>45843</v>
          </cell>
          <cell r="N300">
            <v>45850</v>
          </cell>
          <cell r="O300">
            <v>45850</v>
          </cell>
          <cell r="P300" t="str">
            <v>Visitas de evaluación con fines de seguimiento</v>
          </cell>
          <cell r="Q300" t="str">
            <v>ACTA VISITA SIDEP SAS IETDH 12JUL2025.pdf</v>
          </cell>
          <cell r="R300" t="str">
            <v xml:space="preserve">
De los seis programas ofrecidos, dos técnicos laborales no se encuentran denominados adecuadamente y están elevados a educación superior, asi mismo, solo cuentan con dos convenios para prácticas. Los programas no cumplen con la intensidad horaria reglamentaria y el plan de estudios no es coherente.</v>
          </cell>
          <cell r="S300" t="str">
            <v>Se deben adaptar los programas elevados a superior de acuerdo con CUOC y MNC, modificar la estructura curricular de los técnicos que no cumplen con la intensidad horaria, actualizar el plan de estudios y el Manual de Convivencia, aclarar la modalidad y metodologia dado que ofrecen virtualidad y en el PEI indican modalidad presencial y a Distancia</v>
          </cell>
          <cell r="T300" t="str">
            <v>Si</v>
          </cell>
          <cell r="U300" t="str">
            <v>La institución presentará plan de mejora con fecha máxima 24 de julio con el fin de ser revisado por el equipo de Inspección y Vigilancia para hacer los ajustes y la trazabilidad correspondiente</v>
          </cell>
        </row>
        <row r="301">
          <cell r="A301"/>
          <cell r="B301"/>
          <cell r="C301"/>
          <cell r="D301"/>
          <cell r="E301"/>
          <cell r="F301"/>
          <cell r="H301"/>
          <cell r="I301"/>
          <cell r="J301"/>
          <cell r="K301"/>
          <cell r="L301"/>
          <cell r="M301"/>
          <cell r="N301"/>
          <cell r="O301"/>
          <cell r="P301"/>
          <cell r="Q301"/>
          <cell r="R301"/>
          <cell r="S301"/>
          <cell r="T301"/>
          <cell r="U301"/>
        </row>
        <row r="302">
          <cell r="A302"/>
          <cell r="B302"/>
          <cell r="C302"/>
          <cell r="D302"/>
          <cell r="E302"/>
          <cell r="F302"/>
          <cell r="H302"/>
          <cell r="I302"/>
          <cell r="J302"/>
          <cell r="K302"/>
          <cell r="L302"/>
          <cell r="M302"/>
          <cell r="N302"/>
          <cell r="O302"/>
          <cell r="P302"/>
          <cell r="Q302"/>
          <cell r="R302"/>
          <cell r="S302"/>
          <cell r="T302"/>
          <cell r="U302"/>
        </row>
        <row r="303">
          <cell r="A303"/>
          <cell r="B303"/>
          <cell r="C303"/>
          <cell r="D303"/>
          <cell r="E303"/>
          <cell r="F303"/>
          <cell r="H303"/>
          <cell r="I303"/>
          <cell r="J303"/>
          <cell r="K303"/>
          <cell r="L303"/>
          <cell r="M303"/>
          <cell r="N303"/>
          <cell r="O303"/>
          <cell r="P303"/>
          <cell r="Q303"/>
          <cell r="R303"/>
          <cell r="S303"/>
          <cell r="T303"/>
          <cell r="U303"/>
        </row>
        <row r="304">
          <cell r="A304"/>
          <cell r="B304"/>
          <cell r="C304"/>
          <cell r="D304"/>
          <cell r="E304"/>
          <cell r="F304"/>
          <cell r="H304"/>
          <cell r="I304"/>
          <cell r="J304"/>
          <cell r="K304"/>
          <cell r="L304"/>
          <cell r="M304"/>
          <cell r="N304"/>
          <cell r="O304"/>
          <cell r="P304"/>
          <cell r="Q304"/>
          <cell r="R304"/>
          <cell r="S304"/>
          <cell r="T304"/>
          <cell r="U304"/>
        </row>
        <row r="305">
          <cell r="A305"/>
          <cell r="B305"/>
          <cell r="C305"/>
          <cell r="D305"/>
          <cell r="E305"/>
          <cell r="F305"/>
          <cell r="H305"/>
          <cell r="I305"/>
          <cell r="J305"/>
          <cell r="K305"/>
          <cell r="L305"/>
          <cell r="M305"/>
          <cell r="N305"/>
          <cell r="O305"/>
          <cell r="P305"/>
          <cell r="Q305"/>
          <cell r="R305"/>
          <cell r="S305"/>
          <cell r="T305"/>
          <cell r="U305"/>
        </row>
        <row r="306">
          <cell r="A306"/>
          <cell r="B306"/>
          <cell r="C306"/>
          <cell r="D306"/>
          <cell r="E306"/>
          <cell r="F306"/>
          <cell r="H306"/>
          <cell r="I306"/>
          <cell r="J306"/>
          <cell r="K306"/>
          <cell r="L306"/>
          <cell r="M306"/>
          <cell r="N306"/>
          <cell r="O306"/>
          <cell r="P306"/>
          <cell r="Q306"/>
          <cell r="R306"/>
          <cell r="S306"/>
          <cell r="T306"/>
          <cell r="U306"/>
        </row>
        <row r="307">
          <cell r="A307"/>
          <cell r="B307"/>
          <cell r="C307"/>
          <cell r="D307"/>
          <cell r="E307"/>
          <cell r="F307"/>
          <cell r="H307"/>
          <cell r="I307"/>
          <cell r="J307"/>
          <cell r="K307"/>
          <cell r="L307"/>
          <cell r="M307"/>
          <cell r="N307"/>
          <cell r="O307"/>
          <cell r="P307"/>
          <cell r="Q307"/>
          <cell r="R307"/>
          <cell r="S307"/>
          <cell r="T307"/>
          <cell r="U307"/>
        </row>
        <row r="308">
          <cell r="A308"/>
          <cell r="B308"/>
          <cell r="C308"/>
          <cell r="D308"/>
          <cell r="E308"/>
          <cell r="F308"/>
          <cell r="H308"/>
          <cell r="I308"/>
          <cell r="J308"/>
          <cell r="K308"/>
          <cell r="L308"/>
          <cell r="M308"/>
          <cell r="N308"/>
          <cell r="O308"/>
          <cell r="P308"/>
          <cell r="Q308"/>
          <cell r="R308"/>
          <cell r="S308"/>
          <cell r="T308"/>
          <cell r="U308"/>
        </row>
        <row r="309">
          <cell r="A309"/>
          <cell r="B309"/>
          <cell r="C309"/>
          <cell r="D309"/>
          <cell r="E309"/>
          <cell r="F309"/>
          <cell r="H309"/>
          <cell r="I309"/>
          <cell r="J309"/>
          <cell r="K309"/>
          <cell r="L309"/>
          <cell r="M309"/>
          <cell r="N309"/>
          <cell r="O309"/>
          <cell r="P309"/>
          <cell r="Q309"/>
          <cell r="R309"/>
          <cell r="S309"/>
          <cell r="T309"/>
          <cell r="U309"/>
        </row>
        <row r="310">
          <cell r="A310"/>
          <cell r="B310"/>
          <cell r="C310"/>
          <cell r="D310"/>
          <cell r="E310"/>
          <cell r="F310"/>
          <cell r="H310"/>
          <cell r="I310"/>
          <cell r="J310"/>
          <cell r="K310"/>
          <cell r="L310"/>
          <cell r="M310"/>
          <cell r="N310"/>
          <cell r="O310"/>
          <cell r="P310"/>
          <cell r="Q310"/>
          <cell r="R310"/>
          <cell r="S310"/>
          <cell r="T310"/>
          <cell r="U310"/>
        </row>
        <row r="311">
          <cell r="A311"/>
          <cell r="B311"/>
          <cell r="C311"/>
          <cell r="D311"/>
          <cell r="E311"/>
          <cell r="F311"/>
          <cell r="H311"/>
          <cell r="I311"/>
          <cell r="J311"/>
          <cell r="K311"/>
          <cell r="L311"/>
          <cell r="M311"/>
          <cell r="N311"/>
          <cell r="O311"/>
          <cell r="P311"/>
          <cell r="Q311"/>
          <cell r="R311"/>
          <cell r="S311"/>
          <cell r="T311"/>
          <cell r="U311"/>
        </row>
        <row r="312">
          <cell r="A312"/>
          <cell r="B312"/>
          <cell r="C312"/>
          <cell r="D312"/>
          <cell r="E312"/>
          <cell r="F312"/>
          <cell r="H312"/>
          <cell r="I312"/>
          <cell r="J312"/>
          <cell r="K312"/>
          <cell r="L312"/>
          <cell r="M312"/>
          <cell r="N312"/>
          <cell r="O312"/>
          <cell r="P312"/>
          <cell r="Q312"/>
          <cell r="R312"/>
          <cell r="S312"/>
          <cell r="T312"/>
          <cell r="U312"/>
        </row>
        <row r="313">
          <cell r="A313"/>
          <cell r="B313"/>
          <cell r="C313"/>
          <cell r="D313"/>
          <cell r="E313"/>
          <cell r="F313"/>
          <cell r="H313"/>
          <cell r="I313"/>
          <cell r="J313"/>
          <cell r="K313"/>
          <cell r="L313"/>
          <cell r="M313"/>
          <cell r="N313"/>
          <cell r="O313"/>
          <cell r="P313"/>
          <cell r="Q313"/>
          <cell r="R313"/>
          <cell r="S313"/>
          <cell r="T313"/>
          <cell r="U313"/>
        </row>
        <row r="314">
          <cell r="A314"/>
          <cell r="B314"/>
          <cell r="C314"/>
          <cell r="D314"/>
          <cell r="E314"/>
          <cell r="F314"/>
          <cell r="H314"/>
          <cell r="I314"/>
          <cell r="J314"/>
          <cell r="K314"/>
          <cell r="L314"/>
          <cell r="M314"/>
          <cell r="N314"/>
          <cell r="O314"/>
          <cell r="P314"/>
          <cell r="Q314"/>
          <cell r="R314"/>
          <cell r="S314"/>
          <cell r="T314"/>
          <cell r="U314"/>
        </row>
        <row r="315">
          <cell r="A315"/>
          <cell r="B315"/>
          <cell r="C315"/>
          <cell r="D315"/>
          <cell r="E315"/>
          <cell r="F315"/>
          <cell r="H315"/>
          <cell r="I315"/>
          <cell r="J315"/>
          <cell r="K315"/>
          <cell r="L315"/>
          <cell r="M315"/>
          <cell r="N315"/>
          <cell r="O315"/>
          <cell r="P315"/>
          <cell r="Q315"/>
          <cell r="R315"/>
          <cell r="S315"/>
          <cell r="T315"/>
          <cell r="U315"/>
        </row>
        <row r="316">
          <cell r="A316"/>
          <cell r="B316"/>
          <cell r="C316"/>
          <cell r="D316"/>
          <cell r="E316"/>
          <cell r="F316"/>
          <cell r="H316"/>
          <cell r="I316"/>
          <cell r="J316"/>
          <cell r="K316"/>
          <cell r="L316"/>
          <cell r="M316"/>
          <cell r="N316"/>
          <cell r="O316"/>
          <cell r="P316"/>
          <cell r="Q316"/>
          <cell r="R316"/>
          <cell r="S316"/>
          <cell r="T316"/>
          <cell r="U316"/>
        </row>
        <row r="317">
          <cell r="A317"/>
          <cell r="B317"/>
          <cell r="C317"/>
          <cell r="D317"/>
          <cell r="E317"/>
          <cell r="F317"/>
          <cell r="H317"/>
          <cell r="I317"/>
          <cell r="J317"/>
          <cell r="K317"/>
          <cell r="L317"/>
          <cell r="M317"/>
          <cell r="N317"/>
          <cell r="O317"/>
          <cell r="P317"/>
          <cell r="Q317"/>
          <cell r="R317"/>
          <cell r="S317"/>
          <cell r="T317"/>
          <cell r="U317"/>
        </row>
        <row r="318">
          <cell r="A318"/>
          <cell r="B318"/>
          <cell r="C318"/>
          <cell r="D318"/>
          <cell r="E318"/>
          <cell r="F318"/>
          <cell r="H318"/>
          <cell r="I318"/>
          <cell r="J318"/>
          <cell r="K318"/>
          <cell r="L318"/>
          <cell r="M318"/>
          <cell r="N318"/>
          <cell r="O318"/>
          <cell r="P318"/>
          <cell r="Q318"/>
          <cell r="R318"/>
          <cell r="S318"/>
          <cell r="T318"/>
          <cell r="U318"/>
        </row>
        <row r="319">
          <cell r="A319"/>
          <cell r="B319"/>
          <cell r="C319"/>
          <cell r="D319"/>
          <cell r="E319"/>
          <cell r="F319"/>
          <cell r="H319"/>
          <cell r="I319"/>
          <cell r="J319"/>
          <cell r="K319"/>
          <cell r="L319"/>
          <cell r="M319"/>
          <cell r="N319"/>
          <cell r="O319"/>
          <cell r="P319"/>
          <cell r="Q319"/>
          <cell r="R319"/>
          <cell r="S319"/>
          <cell r="T319"/>
          <cell r="U319"/>
        </row>
        <row r="320">
          <cell r="A320"/>
          <cell r="B320"/>
          <cell r="C320"/>
          <cell r="D320"/>
          <cell r="E320"/>
          <cell r="F320"/>
          <cell r="H320"/>
          <cell r="I320"/>
          <cell r="J320"/>
          <cell r="K320"/>
          <cell r="L320"/>
          <cell r="M320"/>
          <cell r="N320"/>
          <cell r="O320"/>
          <cell r="P320"/>
          <cell r="Q320"/>
          <cell r="R320"/>
          <cell r="S320"/>
          <cell r="T320"/>
          <cell r="U320"/>
        </row>
        <row r="321">
          <cell r="A321"/>
          <cell r="B321"/>
          <cell r="C321"/>
          <cell r="D321"/>
          <cell r="E321"/>
          <cell r="F321"/>
          <cell r="H321"/>
          <cell r="I321"/>
          <cell r="J321"/>
          <cell r="K321"/>
          <cell r="L321"/>
          <cell r="M321"/>
          <cell r="N321"/>
          <cell r="O321"/>
          <cell r="P321"/>
          <cell r="Q321"/>
          <cell r="R321"/>
          <cell r="S321"/>
          <cell r="T321"/>
          <cell r="U321"/>
        </row>
        <row r="322">
          <cell r="A322"/>
          <cell r="B322"/>
          <cell r="C322"/>
          <cell r="D322"/>
          <cell r="E322"/>
          <cell r="F322"/>
          <cell r="H322"/>
          <cell r="I322"/>
          <cell r="J322"/>
          <cell r="K322"/>
          <cell r="L322"/>
          <cell r="M322"/>
          <cell r="N322"/>
          <cell r="O322"/>
          <cell r="P322"/>
          <cell r="Q322"/>
          <cell r="R322"/>
          <cell r="S322"/>
          <cell r="T322"/>
          <cell r="U322"/>
        </row>
        <row r="323">
          <cell r="A323"/>
          <cell r="B323"/>
          <cell r="C323"/>
          <cell r="D323"/>
          <cell r="E323"/>
          <cell r="F323"/>
          <cell r="H323"/>
          <cell r="I323"/>
          <cell r="J323"/>
          <cell r="K323"/>
          <cell r="L323"/>
          <cell r="M323"/>
          <cell r="N323"/>
          <cell r="O323"/>
          <cell r="P323"/>
          <cell r="Q323"/>
          <cell r="R323"/>
          <cell r="S323"/>
          <cell r="T323"/>
          <cell r="U323"/>
        </row>
        <row r="324">
          <cell r="A324"/>
          <cell r="B324"/>
          <cell r="C324"/>
          <cell r="D324"/>
          <cell r="E324"/>
          <cell r="F324"/>
          <cell r="H324"/>
          <cell r="I324"/>
          <cell r="J324"/>
          <cell r="K324"/>
          <cell r="L324"/>
          <cell r="M324"/>
          <cell r="N324"/>
          <cell r="O324"/>
          <cell r="P324"/>
          <cell r="Q324"/>
          <cell r="R324"/>
          <cell r="S324"/>
          <cell r="T324"/>
          <cell r="U324"/>
        </row>
        <row r="325">
          <cell r="A325"/>
          <cell r="B325"/>
          <cell r="C325"/>
          <cell r="D325"/>
          <cell r="E325"/>
          <cell r="F325"/>
          <cell r="H325"/>
          <cell r="I325"/>
          <cell r="J325"/>
          <cell r="K325"/>
          <cell r="L325"/>
          <cell r="M325"/>
          <cell r="N325"/>
          <cell r="O325"/>
          <cell r="P325"/>
          <cell r="Q325"/>
          <cell r="R325"/>
          <cell r="S325"/>
          <cell r="T325"/>
          <cell r="U325"/>
        </row>
        <row r="326">
          <cell r="A326"/>
          <cell r="B326"/>
          <cell r="C326"/>
          <cell r="D326"/>
          <cell r="E326"/>
          <cell r="F326"/>
          <cell r="H326"/>
          <cell r="I326"/>
          <cell r="J326"/>
          <cell r="K326"/>
          <cell r="L326"/>
          <cell r="M326"/>
          <cell r="N326"/>
          <cell r="O326"/>
          <cell r="P326"/>
          <cell r="Q326"/>
          <cell r="R326"/>
          <cell r="S326"/>
          <cell r="T326"/>
          <cell r="U326"/>
        </row>
        <row r="327">
          <cell r="A327"/>
          <cell r="B327"/>
          <cell r="C327"/>
          <cell r="D327"/>
          <cell r="E327"/>
          <cell r="F327"/>
          <cell r="H327"/>
          <cell r="I327"/>
          <cell r="J327"/>
          <cell r="K327"/>
          <cell r="L327"/>
          <cell r="M327"/>
          <cell r="N327"/>
          <cell r="O327"/>
          <cell r="P327"/>
          <cell r="Q327"/>
          <cell r="R327"/>
          <cell r="S327"/>
          <cell r="T327"/>
          <cell r="U327"/>
        </row>
        <row r="328">
          <cell r="A328"/>
          <cell r="B328"/>
          <cell r="C328"/>
          <cell r="D328"/>
          <cell r="E328"/>
          <cell r="F328"/>
          <cell r="H328"/>
          <cell r="I328"/>
          <cell r="J328"/>
          <cell r="K328"/>
          <cell r="L328"/>
          <cell r="M328"/>
          <cell r="N328"/>
          <cell r="O328"/>
          <cell r="P328"/>
          <cell r="Q328"/>
          <cell r="R328"/>
          <cell r="S328"/>
          <cell r="T328"/>
          <cell r="U328"/>
        </row>
        <row r="329">
          <cell r="A329"/>
          <cell r="B329"/>
          <cell r="C329"/>
          <cell r="D329"/>
          <cell r="E329"/>
          <cell r="F329"/>
          <cell r="H329"/>
          <cell r="I329"/>
          <cell r="J329"/>
          <cell r="K329"/>
          <cell r="L329"/>
          <cell r="M329"/>
          <cell r="N329"/>
          <cell r="O329"/>
          <cell r="P329"/>
          <cell r="Q329"/>
          <cell r="R329"/>
          <cell r="S329"/>
          <cell r="T329"/>
          <cell r="U329"/>
        </row>
        <row r="330">
          <cell r="A330"/>
          <cell r="B330"/>
          <cell r="C330"/>
          <cell r="D330"/>
          <cell r="E330"/>
          <cell r="F330"/>
          <cell r="H330"/>
          <cell r="I330"/>
          <cell r="J330"/>
          <cell r="K330"/>
          <cell r="L330"/>
          <cell r="M330"/>
          <cell r="N330"/>
          <cell r="O330"/>
          <cell r="P330"/>
          <cell r="Q330"/>
          <cell r="R330"/>
          <cell r="S330"/>
          <cell r="T330"/>
          <cell r="U330"/>
        </row>
        <row r="331">
          <cell r="A331"/>
          <cell r="B331"/>
          <cell r="C331"/>
          <cell r="D331"/>
          <cell r="E331"/>
          <cell r="F331"/>
          <cell r="H331"/>
          <cell r="I331"/>
          <cell r="J331"/>
          <cell r="K331"/>
          <cell r="L331"/>
          <cell r="M331"/>
          <cell r="N331"/>
          <cell r="O331"/>
          <cell r="P331"/>
          <cell r="Q331"/>
          <cell r="R331"/>
          <cell r="S331"/>
          <cell r="T331"/>
          <cell r="U331"/>
        </row>
        <row r="332">
          <cell r="A332"/>
          <cell r="B332"/>
          <cell r="C332"/>
          <cell r="D332"/>
          <cell r="E332"/>
          <cell r="F332"/>
          <cell r="H332"/>
          <cell r="I332"/>
          <cell r="J332"/>
          <cell r="K332"/>
          <cell r="L332"/>
          <cell r="M332"/>
          <cell r="N332"/>
          <cell r="O332"/>
          <cell r="P332"/>
          <cell r="Q332"/>
          <cell r="R332"/>
          <cell r="S332"/>
          <cell r="T332"/>
          <cell r="U332"/>
        </row>
        <row r="333">
          <cell r="A333"/>
          <cell r="B333"/>
          <cell r="C333"/>
          <cell r="D333"/>
          <cell r="E333"/>
          <cell r="F333"/>
          <cell r="H333"/>
          <cell r="I333"/>
          <cell r="J333"/>
          <cell r="K333"/>
          <cell r="L333"/>
          <cell r="M333"/>
          <cell r="N333"/>
          <cell r="O333"/>
          <cell r="P333"/>
          <cell r="Q333"/>
          <cell r="R333"/>
          <cell r="S333"/>
          <cell r="T333"/>
          <cell r="U333"/>
        </row>
        <row r="334">
          <cell r="A334"/>
          <cell r="B334"/>
          <cell r="C334"/>
          <cell r="D334"/>
          <cell r="E334"/>
          <cell r="F334"/>
          <cell r="H334"/>
          <cell r="I334"/>
          <cell r="J334"/>
          <cell r="K334"/>
          <cell r="L334"/>
          <cell r="M334"/>
          <cell r="N334"/>
          <cell r="O334"/>
          <cell r="P334"/>
          <cell r="Q334"/>
          <cell r="R334"/>
          <cell r="S334"/>
          <cell r="T334"/>
          <cell r="U334"/>
        </row>
        <row r="335">
          <cell r="A335"/>
          <cell r="B335"/>
          <cell r="C335"/>
          <cell r="D335"/>
          <cell r="E335"/>
          <cell r="F335"/>
          <cell r="H335"/>
          <cell r="I335"/>
          <cell r="J335"/>
          <cell r="K335"/>
          <cell r="L335"/>
          <cell r="M335"/>
          <cell r="N335"/>
          <cell r="O335"/>
          <cell r="P335"/>
          <cell r="Q335"/>
          <cell r="R335"/>
          <cell r="S335"/>
          <cell r="T335"/>
          <cell r="U335"/>
        </row>
        <row r="336">
          <cell r="A336"/>
          <cell r="B336"/>
          <cell r="C336"/>
          <cell r="D336"/>
          <cell r="E336"/>
          <cell r="F336"/>
          <cell r="H336"/>
          <cell r="I336"/>
          <cell r="J336"/>
          <cell r="K336"/>
          <cell r="L336"/>
          <cell r="M336"/>
          <cell r="N336"/>
          <cell r="O336"/>
          <cell r="P336"/>
          <cell r="Q336"/>
          <cell r="R336"/>
          <cell r="S336"/>
          <cell r="T336"/>
          <cell r="U336"/>
        </row>
        <row r="337">
          <cell r="A337"/>
          <cell r="B337"/>
          <cell r="C337"/>
          <cell r="D337"/>
          <cell r="E337"/>
          <cell r="F337"/>
          <cell r="H337"/>
          <cell r="I337"/>
          <cell r="J337"/>
          <cell r="K337"/>
          <cell r="L337"/>
          <cell r="M337"/>
          <cell r="N337"/>
          <cell r="O337"/>
          <cell r="P337"/>
          <cell r="Q337"/>
          <cell r="R337"/>
          <cell r="S337"/>
          <cell r="T337"/>
          <cell r="U337"/>
        </row>
        <row r="338">
          <cell r="A338"/>
          <cell r="B338"/>
          <cell r="C338"/>
          <cell r="D338"/>
          <cell r="E338"/>
          <cell r="F338"/>
          <cell r="H338"/>
          <cell r="I338"/>
          <cell r="J338"/>
          <cell r="K338"/>
          <cell r="L338"/>
          <cell r="M338"/>
          <cell r="N338"/>
          <cell r="O338"/>
          <cell r="P338"/>
          <cell r="Q338"/>
          <cell r="R338"/>
          <cell r="S338"/>
          <cell r="T338"/>
          <cell r="U338"/>
        </row>
        <row r="339">
          <cell r="A339"/>
          <cell r="B339"/>
          <cell r="C339"/>
          <cell r="D339"/>
          <cell r="E339"/>
          <cell r="F339"/>
          <cell r="H339"/>
          <cell r="I339"/>
          <cell r="J339"/>
          <cell r="K339"/>
          <cell r="L339"/>
          <cell r="M339"/>
          <cell r="N339"/>
          <cell r="O339"/>
          <cell r="P339"/>
          <cell r="Q339"/>
          <cell r="R339"/>
          <cell r="S339"/>
          <cell r="T339"/>
          <cell r="U339"/>
        </row>
        <row r="340">
          <cell r="A340"/>
          <cell r="B340"/>
          <cell r="C340"/>
          <cell r="D340"/>
          <cell r="E340"/>
          <cell r="F340"/>
          <cell r="H340"/>
          <cell r="I340"/>
          <cell r="J340"/>
          <cell r="K340"/>
          <cell r="L340"/>
          <cell r="M340"/>
          <cell r="N340"/>
          <cell r="O340"/>
          <cell r="P340"/>
          <cell r="Q340"/>
          <cell r="R340"/>
          <cell r="S340"/>
          <cell r="T340"/>
          <cell r="U340"/>
        </row>
        <row r="341">
          <cell r="A341"/>
          <cell r="B341"/>
          <cell r="C341"/>
          <cell r="D341"/>
          <cell r="E341"/>
          <cell r="F341"/>
          <cell r="H341"/>
          <cell r="I341"/>
          <cell r="J341"/>
          <cell r="K341"/>
          <cell r="L341"/>
          <cell r="M341"/>
          <cell r="N341"/>
          <cell r="O341"/>
          <cell r="P341"/>
          <cell r="Q341"/>
          <cell r="R341"/>
          <cell r="S341"/>
          <cell r="T341"/>
          <cell r="U341"/>
        </row>
        <row r="342">
          <cell r="A342"/>
          <cell r="B342"/>
          <cell r="C342"/>
          <cell r="D342"/>
          <cell r="E342"/>
          <cell r="F342"/>
          <cell r="H342"/>
          <cell r="I342"/>
          <cell r="J342"/>
          <cell r="K342"/>
          <cell r="L342"/>
          <cell r="M342"/>
          <cell r="N342"/>
          <cell r="O342"/>
          <cell r="P342"/>
          <cell r="Q342"/>
          <cell r="R342"/>
          <cell r="S342"/>
          <cell r="T342"/>
          <cell r="U342"/>
        </row>
        <row r="343">
          <cell r="A343"/>
          <cell r="B343"/>
          <cell r="C343"/>
          <cell r="D343"/>
          <cell r="E343"/>
          <cell r="F343"/>
          <cell r="H343"/>
          <cell r="I343"/>
          <cell r="J343"/>
          <cell r="K343"/>
          <cell r="L343"/>
          <cell r="M343"/>
          <cell r="N343"/>
          <cell r="O343"/>
          <cell r="P343"/>
          <cell r="Q343"/>
          <cell r="R343"/>
          <cell r="S343"/>
          <cell r="T343"/>
          <cell r="U343"/>
        </row>
        <row r="344">
          <cell r="A344"/>
          <cell r="B344"/>
          <cell r="C344"/>
          <cell r="D344"/>
          <cell r="E344"/>
          <cell r="F344"/>
          <cell r="H344"/>
          <cell r="I344"/>
          <cell r="J344"/>
          <cell r="K344"/>
          <cell r="L344"/>
          <cell r="M344"/>
          <cell r="N344"/>
          <cell r="O344"/>
          <cell r="P344"/>
          <cell r="Q344"/>
          <cell r="R344"/>
          <cell r="S344"/>
          <cell r="T344"/>
          <cell r="U344"/>
        </row>
        <row r="345">
          <cell r="A345"/>
          <cell r="B345"/>
          <cell r="C345"/>
          <cell r="D345"/>
          <cell r="E345"/>
          <cell r="F345"/>
          <cell r="H345"/>
          <cell r="I345"/>
          <cell r="J345"/>
          <cell r="K345"/>
          <cell r="L345"/>
          <cell r="M345"/>
          <cell r="N345"/>
          <cell r="O345"/>
          <cell r="P345"/>
          <cell r="Q345"/>
          <cell r="R345"/>
          <cell r="S345"/>
          <cell r="T345"/>
          <cell r="U345"/>
        </row>
        <row r="346">
          <cell r="A346"/>
          <cell r="B346"/>
          <cell r="C346"/>
          <cell r="D346"/>
          <cell r="E346"/>
          <cell r="F346"/>
          <cell r="H346"/>
          <cell r="I346"/>
          <cell r="J346"/>
          <cell r="K346"/>
          <cell r="L346"/>
          <cell r="M346"/>
          <cell r="N346"/>
          <cell r="O346"/>
          <cell r="P346"/>
          <cell r="Q346"/>
          <cell r="R346"/>
          <cell r="S346"/>
          <cell r="T346"/>
          <cell r="U346"/>
        </row>
        <row r="347">
          <cell r="A347"/>
          <cell r="B347"/>
          <cell r="C347"/>
          <cell r="D347"/>
          <cell r="E347"/>
          <cell r="F347"/>
          <cell r="H347"/>
          <cell r="I347"/>
          <cell r="J347"/>
          <cell r="K347"/>
          <cell r="L347"/>
          <cell r="M347"/>
          <cell r="N347"/>
          <cell r="O347"/>
          <cell r="P347"/>
          <cell r="Q347"/>
          <cell r="R347"/>
          <cell r="S347"/>
          <cell r="T347"/>
          <cell r="U347"/>
        </row>
        <row r="348">
          <cell r="A348"/>
          <cell r="B348"/>
          <cell r="C348"/>
          <cell r="D348"/>
          <cell r="E348"/>
          <cell r="F348"/>
          <cell r="H348"/>
          <cell r="I348"/>
          <cell r="J348"/>
          <cell r="K348"/>
          <cell r="L348"/>
          <cell r="M348"/>
          <cell r="N348"/>
          <cell r="O348"/>
          <cell r="P348"/>
          <cell r="Q348"/>
          <cell r="R348"/>
          <cell r="S348"/>
          <cell r="T348"/>
          <cell r="U348"/>
        </row>
        <row r="349">
          <cell r="A349"/>
          <cell r="B349"/>
          <cell r="C349"/>
          <cell r="D349"/>
          <cell r="E349"/>
          <cell r="F349"/>
          <cell r="H349"/>
          <cell r="I349"/>
          <cell r="J349"/>
          <cell r="K349"/>
          <cell r="L349"/>
          <cell r="M349"/>
          <cell r="N349"/>
          <cell r="O349"/>
          <cell r="P349"/>
          <cell r="Q349"/>
          <cell r="R349"/>
          <cell r="S349"/>
          <cell r="T349"/>
          <cell r="U349"/>
        </row>
        <row r="350">
          <cell r="A350"/>
          <cell r="B350"/>
          <cell r="C350"/>
          <cell r="D350"/>
          <cell r="E350"/>
          <cell r="F350"/>
          <cell r="H350"/>
          <cell r="I350"/>
          <cell r="J350"/>
          <cell r="K350"/>
          <cell r="L350"/>
          <cell r="M350"/>
          <cell r="N350"/>
          <cell r="O350"/>
          <cell r="P350"/>
          <cell r="Q350"/>
          <cell r="R350"/>
          <cell r="S350"/>
          <cell r="T350"/>
          <cell r="U350"/>
        </row>
        <row r="351">
          <cell r="A351"/>
          <cell r="B351"/>
          <cell r="C351"/>
          <cell r="D351"/>
          <cell r="E351"/>
          <cell r="F351"/>
          <cell r="H351"/>
          <cell r="I351"/>
          <cell r="J351"/>
          <cell r="K351"/>
          <cell r="L351"/>
          <cell r="M351"/>
          <cell r="N351"/>
          <cell r="O351"/>
          <cell r="P351"/>
          <cell r="Q351"/>
          <cell r="R351"/>
          <cell r="S351"/>
          <cell r="T351"/>
          <cell r="U351"/>
        </row>
        <row r="352">
          <cell r="A352"/>
          <cell r="B352"/>
          <cell r="C352"/>
          <cell r="D352"/>
          <cell r="E352"/>
          <cell r="F352"/>
          <cell r="H352"/>
          <cell r="I352"/>
          <cell r="J352"/>
          <cell r="K352"/>
          <cell r="L352"/>
          <cell r="M352"/>
          <cell r="N352"/>
          <cell r="O352"/>
          <cell r="P352"/>
          <cell r="Q352"/>
          <cell r="R352"/>
          <cell r="S352"/>
          <cell r="T352"/>
          <cell r="U352"/>
        </row>
        <row r="353">
          <cell r="A353"/>
          <cell r="B353"/>
          <cell r="C353"/>
          <cell r="D353"/>
          <cell r="E353"/>
          <cell r="F353"/>
          <cell r="H353"/>
          <cell r="I353"/>
          <cell r="J353"/>
          <cell r="K353"/>
          <cell r="L353"/>
          <cell r="M353"/>
          <cell r="N353"/>
          <cell r="O353"/>
          <cell r="P353"/>
          <cell r="Q353"/>
          <cell r="R353"/>
          <cell r="S353"/>
          <cell r="T353"/>
          <cell r="U353"/>
        </row>
        <row r="354">
          <cell r="A354"/>
          <cell r="B354"/>
          <cell r="C354"/>
          <cell r="D354"/>
          <cell r="E354"/>
          <cell r="F354"/>
          <cell r="H354"/>
          <cell r="I354"/>
          <cell r="J354"/>
          <cell r="K354"/>
          <cell r="L354"/>
          <cell r="M354"/>
          <cell r="N354"/>
          <cell r="O354"/>
          <cell r="P354"/>
          <cell r="Q354"/>
          <cell r="R354"/>
          <cell r="S354"/>
          <cell r="T354"/>
          <cell r="U354"/>
        </row>
        <row r="355">
          <cell r="A355"/>
          <cell r="B355"/>
          <cell r="C355"/>
          <cell r="D355"/>
          <cell r="E355"/>
          <cell r="F355"/>
          <cell r="H355"/>
          <cell r="I355"/>
          <cell r="J355"/>
          <cell r="K355"/>
          <cell r="L355"/>
          <cell r="M355"/>
          <cell r="N355"/>
          <cell r="O355"/>
          <cell r="P355"/>
          <cell r="Q355"/>
          <cell r="R355"/>
          <cell r="S355"/>
          <cell r="T355"/>
          <cell r="U355"/>
        </row>
        <row r="356">
          <cell r="A356"/>
          <cell r="B356"/>
          <cell r="C356"/>
          <cell r="D356"/>
          <cell r="E356"/>
          <cell r="F356"/>
          <cell r="H356"/>
          <cell r="I356"/>
          <cell r="J356"/>
          <cell r="K356"/>
          <cell r="L356"/>
          <cell r="M356"/>
          <cell r="N356"/>
          <cell r="O356"/>
          <cell r="P356"/>
          <cell r="Q356"/>
          <cell r="R356"/>
          <cell r="S356"/>
          <cell r="T356"/>
          <cell r="U356"/>
        </row>
        <row r="357">
          <cell r="A357"/>
          <cell r="B357"/>
          <cell r="C357"/>
          <cell r="D357"/>
          <cell r="E357"/>
          <cell r="F357"/>
          <cell r="H357"/>
          <cell r="I357"/>
          <cell r="J357"/>
          <cell r="K357"/>
          <cell r="L357"/>
          <cell r="M357"/>
          <cell r="N357"/>
          <cell r="O357"/>
          <cell r="P357"/>
          <cell r="Q357"/>
          <cell r="R357"/>
          <cell r="S357"/>
          <cell r="T357"/>
          <cell r="U357"/>
        </row>
        <row r="358">
          <cell r="A358"/>
          <cell r="B358"/>
          <cell r="C358"/>
          <cell r="D358"/>
          <cell r="E358"/>
          <cell r="F358"/>
          <cell r="H358"/>
          <cell r="I358"/>
          <cell r="J358"/>
          <cell r="K358"/>
          <cell r="L358"/>
          <cell r="M358"/>
          <cell r="N358"/>
          <cell r="O358"/>
          <cell r="P358"/>
          <cell r="Q358"/>
          <cell r="R358"/>
          <cell r="S358"/>
          <cell r="T358"/>
          <cell r="U358"/>
        </row>
        <row r="359">
          <cell r="A359"/>
          <cell r="B359"/>
          <cell r="C359"/>
          <cell r="D359"/>
          <cell r="E359"/>
          <cell r="F359"/>
          <cell r="H359"/>
          <cell r="I359"/>
          <cell r="J359"/>
          <cell r="K359"/>
          <cell r="L359"/>
          <cell r="M359"/>
          <cell r="N359"/>
          <cell r="O359"/>
          <cell r="P359"/>
          <cell r="Q359"/>
          <cell r="R359"/>
          <cell r="S359"/>
          <cell r="T359"/>
          <cell r="U359"/>
        </row>
        <row r="360">
          <cell r="A360"/>
          <cell r="B360"/>
          <cell r="C360"/>
          <cell r="D360"/>
          <cell r="E360"/>
          <cell r="F360"/>
          <cell r="H360"/>
          <cell r="I360"/>
          <cell r="J360"/>
          <cell r="K360"/>
          <cell r="L360"/>
          <cell r="M360"/>
          <cell r="N360"/>
          <cell r="O360"/>
          <cell r="P360"/>
          <cell r="Q360"/>
          <cell r="R360"/>
          <cell r="S360"/>
          <cell r="T360"/>
          <cell r="U360"/>
        </row>
        <row r="361">
          <cell r="A361"/>
          <cell r="B361"/>
          <cell r="C361"/>
          <cell r="D361"/>
          <cell r="E361"/>
          <cell r="F361"/>
          <cell r="H361"/>
          <cell r="I361"/>
          <cell r="J361"/>
          <cell r="K361"/>
          <cell r="L361"/>
          <cell r="M361"/>
          <cell r="N361"/>
          <cell r="O361"/>
          <cell r="P361"/>
          <cell r="Q361"/>
          <cell r="R361"/>
          <cell r="S361"/>
          <cell r="T361"/>
          <cell r="U361"/>
        </row>
        <row r="362">
          <cell r="A362"/>
          <cell r="B362"/>
          <cell r="C362"/>
          <cell r="D362"/>
          <cell r="E362"/>
          <cell r="F362"/>
          <cell r="H362"/>
          <cell r="I362"/>
          <cell r="J362"/>
          <cell r="K362"/>
          <cell r="L362"/>
          <cell r="M362"/>
          <cell r="N362"/>
          <cell r="O362"/>
          <cell r="P362"/>
          <cell r="Q362"/>
          <cell r="R362"/>
          <cell r="S362"/>
          <cell r="T362"/>
          <cell r="U362"/>
        </row>
        <row r="363">
          <cell r="A363"/>
          <cell r="B363"/>
          <cell r="C363"/>
          <cell r="D363"/>
          <cell r="E363"/>
          <cell r="F363"/>
          <cell r="H363"/>
          <cell r="I363"/>
          <cell r="J363"/>
          <cell r="K363"/>
          <cell r="L363"/>
          <cell r="M363"/>
          <cell r="N363"/>
          <cell r="O363"/>
          <cell r="P363"/>
          <cell r="Q363"/>
          <cell r="R363"/>
          <cell r="S363"/>
          <cell r="T363"/>
          <cell r="U363"/>
        </row>
        <row r="364">
          <cell r="A364"/>
          <cell r="B364"/>
          <cell r="C364"/>
          <cell r="D364"/>
          <cell r="E364"/>
          <cell r="F364"/>
          <cell r="H364"/>
          <cell r="I364"/>
          <cell r="J364"/>
          <cell r="K364"/>
          <cell r="L364"/>
          <cell r="M364"/>
          <cell r="N364"/>
          <cell r="O364"/>
          <cell r="P364"/>
          <cell r="Q364"/>
          <cell r="R364"/>
          <cell r="S364"/>
          <cell r="T364"/>
          <cell r="U364"/>
        </row>
        <row r="365">
          <cell r="A365"/>
          <cell r="B365"/>
          <cell r="C365"/>
          <cell r="D365"/>
          <cell r="E365"/>
          <cell r="F365"/>
          <cell r="H365"/>
          <cell r="I365"/>
          <cell r="J365"/>
          <cell r="K365"/>
          <cell r="L365"/>
          <cell r="M365"/>
          <cell r="N365"/>
          <cell r="O365"/>
          <cell r="P365"/>
          <cell r="Q365"/>
          <cell r="R365"/>
          <cell r="S365"/>
          <cell r="T365"/>
          <cell r="U365"/>
        </row>
        <row r="366">
          <cell r="A366"/>
          <cell r="B366"/>
          <cell r="C366"/>
          <cell r="D366"/>
          <cell r="E366"/>
          <cell r="F366"/>
          <cell r="H366"/>
          <cell r="I366"/>
          <cell r="J366"/>
          <cell r="K366"/>
          <cell r="L366"/>
          <cell r="M366"/>
          <cell r="N366"/>
          <cell r="O366"/>
          <cell r="P366"/>
          <cell r="Q366"/>
          <cell r="R366"/>
          <cell r="S366"/>
          <cell r="T366"/>
          <cell r="U366"/>
        </row>
        <row r="367">
          <cell r="A367"/>
          <cell r="B367"/>
          <cell r="C367"/>
          <cell r="D367"/>
          <cell r="E367"/>
          <cell r="F367"/>
          <cell r="H367"/>
          <cell r="I367"/>
          <cell r="J367"/>
          <cell r="K367"/>
          <cell r="L367"/>
          <cell r="M367"/>
          <cell r="N367"/>
          <cell r="O367"/>
          <cell r="P367"/>
          <cell r="Q367"/>
          <cell r="R367"/>
          <cell r="S367"/>
          <cell r="T367"/>
          <cell r="U367"/>
        </row>
        <row r="368">
          <cell r="A368"/>
          <cell r="B368"/>
          <cell r="C368"/>
          <cell r="D368"/>
          <cell r="E368"/>
          <cell r="F368"/>
          <cell r="H368"/>
          <cell r="I368"/>
          <cell r="J368"/>
          <cell r="K368"/>
          <cell r="L368"/>
          <cell r="M368"/>
          <cell r="N368"/>
          <cell r="O368"/>
          <cell r="P368"/>
          <cell r="Q368"/>
          <cell r="R368"/>
          <cell r="S368"/>
          <cell r="T368"/>
          <cell r="U368"/>
        </row>
        <row r="369">
          <cell r="A369"/>
          <cell r="B369"/>
          <cell r="C369"/>
          <cell r="D369"/>
          <cell r="E369"/>
          <cell r="F369"/>
          <cell r="H369"/>
          <cell r="I369"/>
          <cell r="J369"/>
          <cell r="K369"/>
          <cell r="L369"/>
          <cell r="M369"/>
          <cell r="N369"/>
          <cell r="O369"/>
          <cell r="P369"/>
          <cell r="Q369"/>
          <cell r="R369"/>
          <cell r="S369"/>
          <cell r="T369"/>
          <cell r="U369"/>
        </row>
        <row r="370">
          <cell r="A370"/>
          <cell r="B370"/>
          <cell r="C370"/>
          <cell r="D370"/>
          <cell r="E370"/>
          <cell r="F370"/>
          <cell r="H370"/>
          <cell r="I370"/>
          <cell r="J370"/>
          <cell r="K370"/>
          <cell r="L370"/>
          <cell r="M370"/>
          <cell r="N370"/>
          <cell r="O370"/>
          <cell r="P370"/>
          <cell r="Q370"/>
          <cell r="R370"/>
          <cell r="S370"/>
          <cell r="T370"/>
          <cell r="U370"/>
        </row>
        <row r="371">
          <cell r="A371"/>
          <cell r="B371"/>
          <cell r="C371"/>
          <cell r="D371"/>
          <cell r="E371"/>
          <cell r="F371"/>
          <cell r="H371"/>
          <cell r="I371"/>
          <cell r="J371"/>
          <cell r="K371"/>
          <cell r="L371"/>
          <cell r="M371"/>
          <cell r="N371"/>
          <cell r="O371"/>
          <cell r="P371"/>
          <cell r="Q371"/>
          <cell r="R371"/>
          <cell r="S371"/>
          <cell r="T371"/>
          <cell r="U371"/>
        </row>
        <row r="372">
          <cell r="A372"/>
          <cell r="B372"/>
          <cell r="C372"/>
          <cell r="D372"/>
          <cell r="E372"/>
          <cell r="F372"/>
          <cell r="H372"/>
          <cell r="I372"/>
          <cell r="J372"/>
          <cell r="K372"/>
          <cell r="L372"/>
          <cell r="M372"/>
          <cell r="N372"/>
          <cell r="O372"/>
          <cell r="P372"/>
          <cell r="Q372"/>
          <cell r="R372"/>
          <cell r="S372"/>
          <cell r="T372"/>
          <cell r="U372"/>
        </row>
        <row r="373">
          <cell r="A373"/>
          <cell r="B373"/>
          <cell r="C373"/>
          <cell r="D373"/>
          <cell r="E373"/>
          <cell r="F373"/>
          <cell r="H373"/>
          <cell r="I373"/>
          <cell r="J373"/>
          <cell r="K373"/>
          <cell r="L373"/>
          <cell r="M373"/>
          <cell r="N373"/>
          <cell r="O373"/>
          <cell r="P373"/>
          <cell r="Q373"/>
          <cell r="R373"/>
          <cell r="S373"/>
          <cell r="T373"/>
          <cell r="U373"/>
        </row>
        <row r="374">
          <cell r="A374"/>
          <cell r="B374"/>
          <cell r="C374"/>
          <cell r="D374"/>
          <cell r="E374"/>
          <cell r="F374"/>
          <cell r="H374"/>
          <cell r="I374"/>
          <cell r="J374"/>
          <cell r="K374"/>
          <cell r="L374"/>
          <cell r="M374"/>
          <cell r="N374"/>
          <cell r="O374"/>
          <cell r="P374"/>
          <cell r="Q374"/>
          <cell r="R374"/>
          <cell r="S374"/>
          <cell r="T374"/>
          <cell r="U374"/>
        </row>
        <row r="375">
          <cell r="A375"/>
          <cell r="B375"/>
          <cell r="C375"/>
          <cell r="D375"/>
          <cell r="E375"/>
          <cell r="F375"/>
          <cell r="H375"/>
          <cell r="I375"/>
          <cell r="J375"/>
          <cell r="K375"/>
          <cell r="L375"/>
          <cell r="M375"/>
          <cell r="N375"/>
          <cell r="O375"/>
          <cell r="P375"/>
          <cell r="Q375"/>
          <cell r="R375"/>
          <cell r="S375"/>
          <cell r="T375"/>
          <cell r="U375"/>
        </row>
        <row r="376">
          <cell r="A376"/>
          <cell r="B376"/>
          <cell r="C376"/>
          <cell r="D376"/>
          <cell r="E376"/>
          <cell r="F376"/>
          <cell r="H376"/>
          <cell r="I376"/>
          <cell r="J376"/>
          <cell r="K376"/>
          <cell r="L376"/>
          <cell r="M376"/>
          <cell r="N376"/>
          <cell r="O376"/>
          <cell r="P376"/>
          <cell r="Q376"/>
          <cell r="R376"/>
          <cell r="S376"/>
          <cell r="T376"/>
          <cell r="U376"/>
        </row>
        <row r="377">
          <cell r="A377"/>
          <cell r="B377"/>
          <cell r="C377"/>
          <cell r="D377"/>
          <cell r="E377"/>
          <cell r="F377"/>
          <cell r="H377"/>
          <cell r="I377"/>
          <cell r="J377"/>
          <cell r="K377"/>
          <cell r="L377"/>
          <cell r="M377"/>
          <cell r="N377"/>
          <cell r="O377"/>
          <cell r="P377"/>
          <cell r="Q377"/>
          <cell r="R377"/>
          <cell r="S377"/>
          <cell r="T377"/>
          <cell r="U377"/>
        </row>
        <row r="378">
          <cell r="A378"/>
          <cell r="B378"/>
          <cell r="C378"/>
          <cell r="D378"/>
          <cell r="E378"/>
          <cell r="F378"/>
          <cell r="H378"/>
          <cell r="I378"/>
          <cell r="J378"/>
          <cell r="K378"/>
          <cell r="L378"/>
          <cell r="M378"/>
          <cell r="N378"/>
          <cell r="O378"/>
          <cell r="P378"/>
          <cell r="Q378"/>
          <cell r="R378"/>
          <cell r="S378"/>
          <cell r="T378"/>
          <cell r="U378"/>
        </row>
        <row r="379">
          <cell r="A379"/>
          <cell r="B379"/>
          <cell r="C379"/>
          <cell r="D379"/>
          <cell r="E379"/>
          <cell r="F379"/>
          <cell r="H379"/>
          <cell r="I379"/>
          <cell r="J379"/>
          <cell r="K379"/>
          <cell r="L379"/>
          <cell r="M379"/>
          <cell r="N379"/>
          <cell r="O379"/>
          <cell r="P379"/>
          <cell r="Q379"/>
          <cell r="R379"/>
          <cell r="S379"/>
          <cell r="T379"/>
          <cell r="U379"/>
        </row>
        <row r="380">
          <cell r="A380"/>
          <cell r="B380"/>
          <cell r="C380"/>
          <cell r="D380"/>
          <cell r="E380"/>
          <cell r="F380"/>
          <cell r="H380"/>
          <cell r="I380"/>
          <cell r="J380"/>
          <cell r="K380"/>
          <cell r="L380"/>
          <cell r="M380"/>
          <cell r="N380"/>
          <cell r="O380"/>
          <cell r="P380"/>
          <cell r="Q380"/>
          <cell r="R380"/>
          <cell r="S380"/>
          <cell r="T380"/>
          <cell r="U380"/>
        </row>
        <row r="381">
          <cell r="A381"/>
          <cell r="B381"/>
          <cell r="C381"/>
          <cell r="D381"/>
          <cell r="E381"/>
          <cell r="F381"/>
          <cell r="H381"/>
          <cell r="I381"/>
          <cell r="J381"/>
          <cell r="K381"/>
          <cell r="L381"/>
          <cell r="M381"/>
          <cell r="N381"/>
          <cell r="O381"/>
          <cell r="P381"/>
          <cell r="Q381"/>
          <cell r="R381"/>
          <cell r="S381"/>
          <cell r="T381"/>
          <cell r="U381"/>
        </row>
        <row r="382">
          <cell r="A382"/>
          <cell r="B382"/>
          <cell r="C382"/>
          <cell r="D382"/>
          <cell r="E382"/>
          <cell r="F382"/>
          <cell r="H382"/>
          <cell r="I382"/>
          <cell r="J382"/>
          <cell r="K382"/>
          <cell r="L382"/>
          <cell r="M382"/>
          <cell r="N382"/>
          <cell r="O382"/>
          <cell r="P382"/>
          <cell r="Q382"/>
          <cell r="R382"/>
          <cell r="S382"/>
          <cell r="T382"/>
          <cell r="U382"/>
        </row>
        <row r="383">
          <cell r="A383"/>
          <cell r="B383"/>
          <cell r="C383"/>
          <cell r="D383"/>
          <cell r="E383"/>
          <cell r="F383"/>
          <cell r="H383"/>
          <cell r="I383"/>
          <cell r="J383"/>
          <cell r="K383"/>
          <cell r="L383"/>
          <cell r="M383"/>
          <cell r="N383"/>
          <cell r="O383"/>
          <cell r="P383"/>
          <cell r="Q383"/>
          <cell r="R383"/>
          <cell r="S383"/>
          <cell r="T383"/>
          <cell r="U383"/>
        </row>
        <row r="384">
          <cell r="A384"/>
          <cell r="B384"/>
          <cell r="C384"/>
          <cell r="D384"/>
          <cell r="E384"/>
          <cell r="F384"/>
          <cell r="H384"/>
          <cell r="I384"/>
          <cell r="J384"/>
          <cell r="K384"/>
          <cell r="L384"/>
          <cell r="M384"/>
          <cell r="N384"/>
          <cell r="O384"/>
          <cell r="P384"/>
          <cell r="Q384"/>
          <cell r="R384"/>
          <cell r="S384"/>
          <cell r="T384"/>
          <cell r="U384"/>
        </row>
        <row r="385">
          <cell r="A385"/>
          <cell r="B385"/>
          <cell r="C385"/>
          <cell r="D385"/>
          <cell r="E385"/>
          <cell r="F385"/>
          <cell r="H385"/>
          <cell r="I385"/>
          <cell r="J385"/>
          <cell r="K385"/>
          <cell r="L385"/>
          <cell r="M385"/>
          <cell r="N385"/>
          <cell r="O385"/>
          <cell r="P385"/>
          <cell r="Q385"/>
          <cell r="R385"/>
          <cell r="S385"/>
          <cell r="T385"/>
          <cell r="U385"/>
        </row>
        <row r="386">
          <cell r="A386"/>
          <cell r="B386"/>
          <cell r="C386"/>
          <cell r="D386"/>
          <cell r="E386"/>
          <cell r="F386"/>
          <cell r="H386"/>
          <cell r="I386"/>
          <cell r="J386"/>
          <cell r="K386"/>
          <cell r="L386"/>
          <cell r="M386"/>
          <cell r="N386"/>
          <cell r="O386"/>
          <cell r="P386"/>
          <cell r="Q386"/>
          <cell r="R386"/>
          <cell r="S386"/>
          <cell r="T386"/>
          <cell r="U386"/>
        </row>
        <row r="387">
          <cell r="A387"/>
          <cell r="B387"/>
          <cell r="C387"/>
          <cell r="D387"/>
          <cell r="E387"/>
          <cell r="F387"/>
          <cell r="H387"/>
          <cell r="I387"/>
          <cell r="J387"/>
          <cell r="K387"/>
          <cell r="L387"/>
          <cell r="M387"/>
          <cell r="N387"/>
          <cell r="O387"/>
          <cell r="P387"/>
          <cell r="Q387"/>
          <cell r="R387"/>
          <cell r="S387"/>
          <cell r="T387"/>
          <cell r="U387"/>
        </row>
        <row r="388">
          <cell r="A388"/>
          <cell r="B388"/>
          <cell r="C388"/>
          <cell r="D388"/>
          <cell r="E388"/>
          <cell r="F388"/>
          <cell r="H388"/>
          <cell r="I388"/>
          <cell r="J388"/>
          <cell r="K388"/>
          <cell r="L388"/>
          <cell r="M388"/>
          <cell r="N388"/>
          <cell r="O388"/>
          <cell r="P388"/>
          <cell r="Q388"/>
          <cell r="R388"/>
          <cell r="S388"/>
          <cell r="T388"/>
          <cell r="U388"/>
        </row>
        <row r="389">
          <cell r="A389"/>
          <cell r="B389"/>
          <cell r="C389"/>
          <cell r="D389"/>
          <cell r="E389"/>
          <cell r="F389"/>
          <cell r="H389"/>
          <cell r="I389"/>
          <cell r="J389"/>
          <cell r="K389"/>
          <cell r="L389"/>
          <cell r="M389"/>
          <cell r="N389"/>
          <cell r="O389"/>
          <cell r="P389"/>
          <cell r="Q389"/>
          <cell r="R389"/>
          <cell r="S389"/>
          <cell r="T389"/>
          <cell r="U389"/>
        </row>
        <row r="390">
          <cell r="A390"/>
          <cell r="B390"/>
          <cell r="C390"/>
          <cell r="D390"/>
          <cell r="E390"/>
          <cell r="F390"/>
          <cell r="H390"/>
          <cell r="I390"/>
          <cell r="J390"/>
          <cell r="K390"/>
          <cell r="L390"/>
          <cell r="M390"/>
          <cell r="N390"/>
          <cell r="O390"/>
          <cell r="P390"/>
          <cell r="Q390"/>
          <cell r="R390"/>
          <cell r="S390"/>
          <cell r="T390"/>
          <cell r="U390"/>
        </row>
        <row r="391">
          <cell r="A391"/>
          <cell r="B391"/>
          <cell r="C391"/>
          <cell r="D391"/>
          <cell r="E391"/>
          <cell r="F391"/>
          <cell r="H391"/>
          <cell r="I391"/>
          <cell r="J391"/>
          <cell r="K391"/>
          <cell r="L391"/>
          <cell r="M391"/>
          <cell r="N391"/>
          <cell r="O391"/>
          <cell r="P391"/>
          <cell r="Q391"/>
          <cell r="R391"/>
          <cell r="S391"/>
          <cell r="T391"/>
          <cell r="U391"/>
        </row>
        <row r="392">
          <cell r="A392"/>
          <cell r="B392"/>
          <cell r="C392"/>
          <cell r="D392"/>
          <cell r="E392"/>
          <cell r="F392"/>
          <cell r="H392"/>
          <cell r="I392"/>
          <cell r="J392"/>
          <cell r="K392"/>
          <cell r="L392"/>
          <cell r="M392"/>
          <cell r="N392"/>
          <cell r="O392"/>
          <cell r="P392"/>
          <cell r="Q392"/>
          <cell r="R392"/>
          <cell r="S392"/>
          <cell r="T392"/>
          <cell r="U392"/>
        </row>
        <row r="393">
          <cell r="A393"/>
          <cell r="B393"/>
          <cell r="C393"/>
          <cell r="D393"/>
          <cell r="E393"/>
          <cell r="F393"/>
          <cell r="H393"/>
          <cell r="I393"/>
          <cell r="J393"/>
          <cell r="K393"/>
          <cell r="L393"/>
          <cell r="M393"/>
          <cell r="N393"/>
          <cell r="O393"/>
          <cell r="P393"/>
          <cell r="Q393"/>
          <cell r="R393"/>
          <cell r="S393"/>
          <cell r="T393"/>
          <cell r="U393"/>
        </row>
        <row r="394">
          <cell r="A394"/>
          <cell r="B394"/>
          <cell r="C394"/>
          <cell r="D394"/>
          <cell r="E394"/>
          <cell r="F394"/>
          <cell r="H394"/>
          <cell r="I394"/>
          <cell r="J394"/>
          <cell r="K394"/>
          <cell r="L394"/>
          <cell r="M394"/>
          <cell r="N394"/>
          <cell r="O394"/>
          <cell r="P394"/>
          <cell r="Q394"/>
          <cell r="R394"/>
          <cell r="S394"/>
          <cell r="T394"/>
          <cell r="U394"/>
        </row>
        <row r="395">
          <cell r="A395"/>
          <cell r="B395"/>
          <cell r="C395"/>
          <cell r="D395"/>
          <cell r="E395"/>
          <cell r="F395"/>
          <cell r="H395"/>
          <cell r="I395"/>
          <cell r="J395"/>
          <cell r="K395"/>
          <cell r="L395"/>
          <cell r="M395"/>
          <cell r="N395"/>
          <cell r="O395"/>
          <cell r="P395"/>
          <cell r="Q395"/>
          <cell r="R395"/>
          <cell r="S395"/>
          <cell r="T395"/>
          <cell r="U395"/>
        </row>
        <row r="396">
          <cell r="A396"/>
          <cell r="B396"/>
          <cell r="C396"/>
          <cell r="D396"/>
          <cell r="E396"/>
          <cell r="F396"/>
          <cell r="H396"/>
          <cell r="I396"/>
          <cell r="J396"/>
          <cell r="K396"/>
          <cell r="L396"/>
          <cell r="M396"/>
          <cell r="N396"/>
          <cell r="O396"/>
          <cell r="P396"/>
          <cell r="Q396"/>
          <cell r="R396"/>
          <cell r="S396"/>
          <cell r="T396"/>
          <cell r="U396"/>
        </row>
        <row r="397">
          <cell r="A397"/>
          <cell r="B397"/>
          <cell r="C397"/>
          <cell r="D397"/>
          <cell r="E397"/>
          <cell r="F397"/>
          <cell r="H397"/>
          <cell r="I397"/>
          <cell r="J397"/>
          <cell r="K397"/>
          <cell r="L397"/>
          <cell r="M397"/>
          <cell r="N397"/>
          <cell r="O397"/>
          <cell r="P397"/>
          <cell r="Q397"/>
          <cell r="R397"/>
          <cell r="S397"/>
          <cell r="T397"/>
          <cell r="U397"/>
        </row>
        <row r="398">
          <cell r="A398"/>
          <cell r="B398"/>
          <cell r="C398"/>
          <cell r="D398"/>
          <cell r="E398"/>
          <cell r="F398"/>
          <cell r="H398"/>
          <cell r="I398"/>
          <cell r="J398"/>
          <cell r="K398"/>
          <cell r="L398"/>
          <cell r="M398"/>
          <cell r="N398"/>
          <cell r="O398"/>
          <cell r="P398"/>
          <cell r="Q398"/>
          <cell r="R398"/>
          <cell r="S398"/>
          <cell r="T398"/>
          <cell r="U398"/>
        </row>
        <row r="399">
          <cell r="A399"/>
          <cell r="B399"/>
          <cell r="C399"/>
          <cell r="D399"/>
          <cell r="E399"/>
          <cell r="F399"/>
          <cell r="H399"/>
          <cell r="I399"/>
          <cell r="J399"/>
          <cell r="K399"/>
          <cell r="L399"/>
          <cell r="M399"/>
          <cell r="N399"/>
          <cell r="O399"/>
          <cell r="P399"/>
          <cell r="Q399"/>
          <cell r="R399"/>
          <cell r="S399"/>
          <cell r="T399"/>
          <cell r="U399"/>
        </row>
        <row r="400">
          <cell r="A400"/>
          <cell r="B400"/>
          <cell r="C400"/>
          <cell r="D400"/>
          <cell r="E400"/>
          <cell r="F400"/>
          <cell r="H400"/>
          <cell r="I400"/>
          <cell r="J400"/>
          <cell r="K400"/>
          <cell r="L400"/>
          <cell r="M400"/>
          <cell r="N400"/>
          <cell r="O400"/>
          <cell r="P400"/>
          <cell r="Q400"/>
          <cell r="R400"/>
          <cell r="S400"/>
          <cell r="T400"/>
          <cell r="U400"/>
        </row>
        <row r="401">
          <cell r="A401"/>
          <cell r="B401"/>
          <cell r="C401"/>
          <cell r="D401"/>
          <cell r="E401"/>
          <cell r="F401"/>
          <cell r="H401"/>
          <cell r="I401"/>
          <cell r="J401"/>
          <cell r="K401"/>
          <cell r="L401"/>
          <cell r="M401"/>
          <cell r="N401"/>
          <cell r="O401"/>
          <cell r="P401"/>
          <cell r="Q401"/>
          <cell r="R401"/>
          <cell r="S401"/>
          <cell r="T401"/>
          <cell r="U401"/>
        </row>
        <row r="402">
          <cell r="A402"/>
          <cell r="B402"/>
          <cell r="C402"/>
          <cell r="D402"/>
          <cell r="E402"/>
          <cell r="F402"/>
          <cell r="H402"/>
          <cell r="I402"/>
          <cell r="J402"/>
          <cell r="K402"/>
          <cell r="L402"/>
          <cell r="M402"/>
          <cell r="N402"/>
          <cell r="O402"/>
          <cell r="P402"/>
          <cell r="Q402"/>
          <cell r="R402"/>
          <cell r="S402"/>
          <cell r="T402"/>
          <cell r="U402"/>
        </row>
        <row r="403">
          <cell r="A403"/>
          <cell r="B403"/>
          <cell r="C403"/>
          <cell r="D403"/>
          <cell r="E403"/>
          <cell r="F403"/>
          <cell r="H403"/>
          <cell r="I403"/>
          <cell r="J403"/>
          <cell r="K403"/>
          <cell r="L403"/>
          <cell r="M403"/>
          <cell r="N403"/>
          <cell r="O403"/>
          <cell r="P403"/>
          <cell r="Q403"/>
          <cell r="R403"/>
          <cell r="S403"/>
          <cell r="T403"/>
          <cell r="U403"/>
        </row>
        <row r="404">
          <cell r="A404"/>
          <cell r="B404"/>
          <cell r="C404"/>
          <cell r="D404"/>
          <cell r="E404"/>
          <cell r="F404"/>
          <cell r="H404"/>
          <cell r="I404"/>
          <cell r="J404"/>
          <cell r="K404"/>
          <cell r="L404"/>
          <cell r="M404"/>
          <cell r="N404"/>
          <cell r="O404"/>
          <cell r="P404"/>
          <cell r="Q404"/>
          <cell r="R404"/>
          <cell r="S404"/>
          <cell r="T404"/>
          <cell r="U404"/>
        </row>
        <row r="405">
          <cell r="A405"/>
          <cell r="B405"/>
          <cell r="C405"/>
          <cell r="D405"/>
          <cell r="E405"/>
          <cell r="F405"/>
          <cell r="H405"/>
          <cell r="I405"/>
          <cell r="J405"/>
          <cell r="K405"/>
          <cell r="L405"/>
          <cell r="M405"/>
          <cell r="N405"/>
          <cell r="O405"/>
          <cell r="P405"/>
          <cell r="Q405"/>
          <cell r="R405"/>
          <cell r="S405"/>
          <cell r="T405"/>
          <cell r="U405"/>
        </row>
        <row r="406">
          <cell r="A406"/>
          <cell r="B406"/>
          <cell r="C406"/>
          <cell r="D406"/>
          <cell r="E406"/>
          <cell r="F406"/>
          <cell r="H406"/>
          <cell r="I406"/>
          <cell r="J406"/>
          <cell r="K406"/>
          <cell r="L406"/>
          <cell r="M406"/>
          <cell r="N406"/>
          <cell r="O406"/>
          <cell r="P406"/>
          <cell r="Q406"/>
          <cell r="R406"/>
          <cell r="S406"/>
          <cell r="T406"/>
          <cell r="U406"/>
        </row>
        <row r="407">
          <cell r="A407"/>
          <cell r="B407"/>
          <cell r="C407"/>
          <cell r="D407"/>
          <cell r="E407"/>
          <cell r="F407"/>
          <cell r="H407"/>
          <cell r="I407"/>
          <cell r="J407"/>
          <cell r="K407"/>
          <cell r="L407"/>
          <cell r="M407"/>
          <cell r="N407"/>
          <cell r="O407"/>
          <cell r="P407"/>
          <cell r="Q407"/>
          <cell r="R407"/>
          <cell r="S407"/>
          <cell r="T407"/>
          <cell r="U407"/>
        </row>
        <row r="408">
          <cell r="A408"/>
          <cell r="B408"/>
          <cell r="C408"/>
          <cell r="D408"/>
          <cell r="E408"/>
          <cell r="F408"/>
          <cell r="H408"/>
          <cell r="I408"/>
          <cell r="J408"/>
          <cell r="K408"/>
          <cell r="L408"/>
          <cell r="M408"/>
          <cell r="N408"/>
          <cell r="O408"/>
          <cell r="P408"/>
          <cell r="Q408"/>
          <cell r="R408"/>
          <cell r="S408"/>
          <cell r="T408"/>
          <cell r="U408"/>
        </row>
        <row r="409">
          <cell r="A409"/>
          <cell r="B409"/>
          <cell r="C409"/>
          <cell r="D409"/>
          <cell r="E409"/>
          <cell r="F409"/>
          <cell r="H409"/>
          <cell r="I409"/>
          <cell r="J409"/>
          <cell r="K409"/>
          <cell r="L409"/>
          <cell r="M409"/>
          <cell r="N409"/>
          <cell r="O409"/>
          <cell r="P409"/>
          <cell r="Q409"/>
          <cell r="R409"/>
          <cell r="S409"/>
          <cell r="T409"/>
          <cell r="U409"/>
        </row>
        <row r="410">
          <cell r="A410"/>
          <cell r="B410"/>
          <cell r="C410"/>
          <cell r="D410"/>
          <cell r="E410"/>
          <cell r="F410"/>
          <cell r="H410"/>
          <cell r="I410"/>
          <cell r="J410"/>
          <cell r="K410"/>
          <cell r="L410"/>
          <cell r="M410"/>
          <cell r="N410"/>
          <cell r="O410"/>
          <cell r="P410"/>
          <cell r="Q410"/>
          <cell r="R410"/>
          <cell r="S410"/>
          <cell r="T410"/>
          <cell r="U410"/>
        </row>
        <row r="411">
          <cell r="A411"/>
          <cell r="B411"/>
          <cell r="C411"/>
          <cell r="D411"/>
          <cell r="E411"/>
          <cell r="F411"/>
          <cell r="H411"/>
          <cell r="I411"/>
          <cell r="J411"/>
          <cell r="K411"/>
          <cell r="L411"/>
          <cell r="M411"/>
          <cell r="N411"/>
          <cell r="O411"/>
          <cell r="P411"/>
          <cell r="Q411"/>
          <cell r="R411"/>
          <cell r="S411"/>
          <cell r="T411"/>
          <cell r="U411"/>
        </row>
        <row r="412">
          <cell r="A412"/>
          <cell r="B412"/>
          <cell r="C412"/>
          <cell r="D412"/>
          <cell r="E412"/>
          <cell r="F412"/>
          <cell r="H412"/>
          <cell r="I412"/>
          <cell r="J412"/>
          <cell r="K412"/>
          <cell r="L412"/>
          <cell r="M412"/>
          <cell r="N412"/>
          <cell r="O412"/>
          <cell r="P412"/>
          <cell r="Q412"/>
          <cell r="R412"/>
          <cell r="S412"/>
          <cell r="T412"/>
          <cell r="U412"/>
        </row>
        <row r="413">
          <cell r="A413"/>
          <cell r="B413"/>
          <cell r="C413"/>
          <cell r="D413"/>
          <cell r="E413"/>
          <cell r="F413"/>
          <cell r="H413"/>
          <cell r="I413"/>
          <cell r="J413"/>
          <cell r="K413"/>
          <cell r="L413"/>
          <cell r="M413"/>
          <cell r="N413"/>
          <cell r="O413"/>
          <cell r="P413"/>
          <cell r="Q413"/>
          <cell r="R413"/>
          <cell r="S413"/>
          <cell r="T413"/>
          <cell r="U413"/>
        </row>
        <row r="414">
          <cell r="A414"/>
          <cell r="B414"/>
          <cell r="C414"/>
          <cell r="D414"/>
          <cell r="E414"/>
          <cell r="F414"/>
          <cell r="H414"/>
          <cell r="I414"/>
          <cell r="J414"/>
          <cell r="K414"/>
          <cell r="L414"/>
          <cell r="M414"/>
          <cell r="N414"/>
          <cell r="O414"/>
          <cell r="P414"/>
          <cell r="Q414"/>
          <cell r="R414"/>
          <cell r="S414"/>
          <cell r="T414"/>
          <cell r="U414"/>
        </row>
        <row r="415">
          <cell r="A415"/>
          <cell r="B415"/>
          <cell r="C415"/>
          <cell r="D415"/>
          <cell r="E415"/>
          <cell r="F415"/>
          <cell r="H415"/>
          <cell r="I415"/>
          <cell r="J415"/>
          <cell r="K415"/>
          <cell r="L415"/>
          <cell r="M415"/>
          <cell r="N415"/>
          <cell r="O415"/>
          <cell r="P415"/>
          <cell r="Q415"/>
          <cell r="R415"/>
          <cell r="S415"/>
          <cell r="T415"/>
          <cell r="U415"/>
        </row>
        <row r="416">
          <cell r="A416"/>
          <cell r="B416"/>
          <cell r="C416"/>
          <cell r="D416"/>
          <cell r="E416"/>
          <cell r="F416"/>
          <cell r="H416"/>
          <cell r="I416"/>
          <cell r="J416"/>
          <cell r="K416"/>
          <cell r="L416"/>
          <cell r="M416"/>
          <cell r="N416"/>
          <cell r="O416"/>
          <cell r="P416"/>
          <cell r="Q416"/>
          <cell r="R416"/>
          <cell r="S416"/>
          <cell r="T416"/>
          <cell r="U416"/>
        </row>
        <row r="417">
          <cell r="A417"/>
          <cell r="B417"/>
          <cell r="C417"/>
          <cell r="D417"/>
          <cell r="E417"/>
          <cell r="F417"/>
          <cell r="H417"/>
          <cell r="I417"/>
          <cell r="J417"/>
          <cell r="K417"/>
          <cell r="L417"/>
          <cell r="M417"/>
          <cell r="N417"/>
          <cell r="O417"/>
          <cell r="P417"/>
          <cell r="Q417"/>
          <cell r="R417"/>
          <cell r="S417"/>
          <cell r="T417"/>
          <cell r="U417"/>
        </row>
        <row r="418">
          <cell r="A418"/>
          <cell r="B418"/>
          <cell r="C418"/>
          <cell r="D418"/>
          <cell r="E418"/>
          <cell r="F418"/>
          <cell r="H418"/>
          <cell r="I418"/>
          <cell r="J418"/>
          <cell r="K418"/>
          <cell r="L418"/>
          <cell r="M418"/>
          <cell r="N418"/>
          <cell r="O418"/>
          <cell r="P418"/>
          <cell r="Q418"/>
          <cell r="R418"/>
          <cell r="S418"/>
          <cell r="T418"/>
          <cell r="U418"/>
        </row>
        <row r="419">
          <cell r="A419"/>
          <cell r="B419"/>
          <cell r="C419"/>
          <cell r="D419"/>
          <cell r="E419"/>
          <cell r="F419"/>
          <cell r="H419"/>
          <cell r="I419"/>
          <cell r="J419"/>
          <cell r="K419"/>
          <cell r="L419"/>
          <cell r="M419"/>
          <cell r="N419"/>
          <cell r="O419"/>
          <cell r="P419"/>
          <cell r="Q419"/>
          <cell r="R419"/>
          <cell r="S419"/>
          <cell r="T419"/>
          <cell r="U419"/>
        </row>
        <row r="420">
          <cell r="A420"/>
          <cell r="B420"/>
          <cell r="C420"/>
          <cell r="D420"/>
          <cell r="E420"/>
          <cell r="F420"/>
          <cell r="H420"/>
          <cell r="I420"/>
          <cell r="J420"/>
          <cell r="K420"/>
          <cell r="L420"/>
          <cell r="M420"/>
          <cell r="N420"/>
          <cell r="O420"/>
          <cell r="P420"/>
          <cell r="Q420"/>
          <cell r="R420"/>
          <cell r="S420"/>
          <cell r="T420"/>
          <cell r="U420"/>
        </row>
        <row r="421">
          <cell r="A421"/>
          <cell r="B421"/>
          <cell r="C421"/>
          <cell r="D421"/>
          <cell r="E421"/>
          <cell r="F421"/>
          <cell r="H421"/>
          <cell r="I421"/>
          <cell r="J421"/>
          <cell r="K421"/>
          <cell r="L421"/>
          <cell r="M421"/>
          <cell r="N421"/>
          <cell r="O421"/>
          <cell r="P421"/>
          <cell r="Q421"/>
          <cell r="R421"/>
          <cell r="S421"/>
          <cell r="T421"/>
          <cell r="U421"/>
        </row>
        <row r="422">
          <cell r="A422"/>
          <cell r="B422"/>
          <cell r="C422"/>
          <cell r="D422"/>
          <cell r="E422"/>
          <cell r="F422"/>
          <cell r="H422"/>
          <cell r="I422"/>
          <cell r="J422"/>
          <cell r="K422"/>
          <cell r="L422"/>
          <cell r="M422"/>
          <cell r="N422"/>
          <cell r="O422"/>
          <cell r="P422"/>
          <cell r="Q422"/>
          <cell r="R422"/>
          <cell r="S422"/>
          <cell r="T422"/>
          <cell r="U422"/>
        </row>
        <row r="423">
          <cell r="A423"/>
          <cell r="B423"/>
          <cell r="C423"/>
          <cell r="D423"/>
          <cell r="E423"/>
          <cell r="F423"/>
          <cell r="H423"/>
          <cell r="I423"/>
          <cell r="J423"/>
          <cell r="K423"/>
          <cell r="L423"/>
          <cell r="M423"/>
          <cell r="N423"/>
          <cell r="O423"/>
          <cell r="P423"/>
          <cell r="Q423"/>
          <cell r="R423"/>
          <cell r="S423"/>
          <cell r="T423"/>
          <cell r="U423"/>
        </row>
        <row r="424">
          <cell r="A424"/>
          <cell r="B424"/>
          <cell r="C424"/>
          <cell r="D424"/>
          <cell r="E424"/>
          <cell r="F424"/>
          <cell r="H424"/>
          <cell r="I424"/>
          <cell r="J424"/>
          <cell r="K424"/>
          <cell r="L424"/>
          <cell r="M424"/>
          <cell r="N424"/>
          <cell r="O424"/>
          <cell r="P424"/>
          <cell r="Q424"/>
          <cell r="R424"/>
          <cell r="S424"/>
          <cell r="T424"/>
          <cell r="U424"/>
        </row>
        <row r="425">
          <cell r="A425"/>
          <cell r="B425"/>
          <cell r="C425"/>
          <cell r="D425"/>
          <cell r="E425"/>
          <cell r="F425"/>
          <cell r="H425"/>
          <cell r="I425"/>
          <cell r="J425"/>
          <cell r="K425"/>
          <cell r="L425"/>
          <cell r="M425"/>
          <cell r="N425"/>
          <cell r="O425"/>
          <cell r="P425"/>
          <cell r="Q425"/>
          <cell r="R425"/>
          <cell r="S425"/>
          <cell r="T425"/>
          <cell r="U425"/>
        </row>
        <row r="426">
          <cell r="A426"/>
          <cell r="B426"/>
          <cell r="C426"/>
          <cell r="D426"/>
          <cell r="E426"/>
          <cell r="F426"/>
          <cell r="H426"/>
          <cell r="I426"/>
          <cell r="J426"/>
          <cell r="K426"/>
          <cell r="L426"/>
          <cell r="M426"/>
          <cell r="N426"/>
          <cell r="O426"/>
          <cell r="P426"/>
          <cell r="Q426"/>
          <cell r="R426"/>
          <cell r="S426"/>
          <cell r="T426"/>
          <cell r="U426"/>
        </row>
        <row r="427">
          <cell r="A427"/>
          <cell r="B427"/>
          <cell r="C427"/>
          <cell r="D427"/>
          <cell r="E427"/>
          <cell r="F427"/>
          <cell r="H427"/>
          <cell r="I427"/>
          <cell r="J427"/>
          <cell r="K427"/>
          <cell r="L427"/>
          <cell r="M427"/>
          <cell r="N427"/>
          <cell r="O427"/>
          <cell r="P427"/>
          <cell r="Q427"/>
          <cell r="R427"/>
          <cell r="S427"/>
          <cell r="T427"/>
          <cell r="U427"/>
        </row>
        <row r="428">
          <cell r="A428"/>
          <cell r="B428"/>
          <cell r="C428"/>
          <cell r="D428"/>
          <cell r="E428"/>
          <cell r="F428"/>
          <cell r="H428"/>
          <cell r="I428"/>
          <cell r="J428"/>
          <cell r="K428"/>
          <cell r="L428"/>
          <cell r="M428"/>
          <cell r="N428"/>
          <cell r="O428"/>
          <cell r="P428"/>
          <cell r="Q428"/>
          <cell r="R428"/>
          <cell r="S428"/>
          <cell r="T428"/>
          <cell r="U428"/>
        </row>
        <row r="429">
          <cell r="A429"/>
          <cell r="B429"/>
          <cell r="C429"/>
          <cell r="D429"/>
          <cell r="E429"/>
          <cell r="F429"/>
          <cell r="H429"/>
          <cell r="I429"/>
          <cell r="J429"/>
          <cell r="K429"/>
          <cell r="L429"/>
          <cell r="M429"/>
          <cell r="N429"/>
          <cell r="O429"/>
          <cell r="P429"/>
          <cell r="Q429"/>
          <cell r="R429"/>
          <cell r="S429"/>
          <cell r="T429"/>
          <cell r="U429"/>
        </row>
        <row r="430">
          <cell r="A430"/>
          <cell r="B430"/>
          <cell r="C430"/>
          <cell r="D430"/>
          <cell r="E430"/>
          <cell r="F430"/>
          <cell r="H430"/>
          <cell r="I430"/>
          <cell r="J430"/>
          <cell r="K430"/>
          <cell r="L430"/>
          <cell r="M430"/>
          <cell r="N430"/>
          <cell r="O430"/>
          <cell r="P430"/>
          <cell r="Q430"/>
          <cell r="R430"/>
          <cell r="S430"/>
          <cell r="T430"/>
          <cell r="U430"/>
        </row>
        <row r="431">
          <cell r="A431"/>
          <cell r="B431"/>
          <cell r="C431"/>
          <cell r="D431"/>
          <cell r="E431"/>
          <cell r="F431"/>
          <cell r="H431"/>
          <cell r="I431"/>
          <cell r="J431"/>
          <cell r="K431"/>
          <cell r="L431"/>
          <cell r="M431"/>
          <cell r="N431"/>
          <cell r="O431"/>
          <cell r="P431"/>
          <cell r="Q431"/>
          <cell r="R431"/>
          <cell r="S431"/>
          <cell r="T431"/>
          <cell r="U431"/>
        </row>
        <row r="432">
          <cell r="A432"/>
          <cell r="B432"/>
          <cell r="C432"/>
          <cell r="D432"/>
          <cell r="E432"/>
          <cell r="F432"/>
          <cell r="H432"/>
          <cell r="I432"/>
          <cell r="J432"/>
          <cell r="K432"/>
          <cell r="L432"/>
          <cell r="M432"/>
          <cell r="N432"/>
          <cell r="O432"/>
          <cell r="P432"/>
          <cell r="Q432"/>
          <cell r="R432"/>
          <cell r="S432"/>
          <cell r="T432"/>
          <cell r="U432"/>
        </row>
        <row r="433">
          <cell r="A433"/>
          <cell r="B433"/>
          <cell r="C433"/>
          <cell r="D433"/>
          <cell r="E433"/>
          <cell r="F433"/>
          <cell r="H433"/>
          <cell r="I433"/>
          <cell r="J433"/>
          <cell r="K433"/>
          <cell r="L433"/>
          <cell r="M433"/>
          <cell r="N433"/>
          <cell r="O433"/>
          <cell r="P433"/>
          <cell r="Q433"/>
          <cell r="R433"/>
          <cell r="S433"/>
          <cell r="T433"/>
          <cell r="U433"/>
        </row>
        <row r="434">
          <cell r="A434"/>
          <cell r="B434"/>
          <cell r="C434"/>
          <cell r="D434"/>
          <cell r="E434"/>
          <cell r="F434"/>
          <cell r="H434"/>
          <cell r="I434"/>
          <cell r="J434"/>
          <cell r="K434"/>
          <cell r="L434"/>
          <cell r="M434"/>
          <cell r="N434"/>
          <cell r="O434"/>
          <cell r="P434"/>
          <cell r="Q434"/>
          <cell r="R434"/>
          <cell r="S434"/>
          <cell r="T434"/>
          <cell r="U434"/>
        </row>
        <row r="435">
          <cell r="A435"/>
          <cell r="B435"/>
          <cell r="C435"/>
          <cell r="D435"/>
          <cell r="E435"/>
          <cell r="F435"/>
          <cell r="H435"/>
          <cell r="I435"/>
          <cell r="J435"/>
          <cell r="K435"/>
          <cell r="L435"/>
          <cell r="M435"/>
          <cell r="N435"/>
          <cell r="O435"/>
          <cell r="P435"/>
          <cell r="Q435"/>
          <cell r="R435"/>
          <cell r="S435"/>
          <cell r="T435"/>
          <cell r="U435"/>
        </row>
        <row r="436">
          <cell r="A436"/>
          <cell r="B436"/>
          <cell r="C436"/>
          <cell r="D436"/>
          <cell r="E436"/>
          <cell r="F436"/>
          <cell r="H436"/>
          <cell r="I436"/>
          <cell r="J436"/>
          <cell r="K436"/>
          <cell r="L436"/>
          <cell r="M436"/>
          <cell r="N436"/>
          <cell r="O436"/>
          <cell r="P436"/>
          <cell r="Q436"/>
          <cell r="R436"/>
          <cell r="S436"/>
          <cell r="T436"/>
          <cell r="U436"/>
        </row>
        <row r="437">
          <cell r="A437"/>
          <cell r="B437"/>
          <cell r="C437"/>
          <cell r="D437"/>
          <cell r="E437"/>
          <cell r="F437"/>
          <cell r="H437"/>
          <cell r="I437"/>
          <cell r="J437"/>
          <cell r="K437"/>
          <cell r="L437"/>
          <cell r="M437"/>
          <cell r="N437"/>
          <cell r="O437"/>
          <cell r="P437"/>
          <cell r="Q437"/>
          <cell r="R437"/>
          <cell r="S437"/>
          <cell r="T437"/>
          <cell r="U437"/>
        </row>
        <row r="438">
          <cell r="A438"/>
          <cell r="B438"/>
          <cell r="C438"/>
          <cell r="D438"/>
          <cell r="E438"/>
          <cell r="F438"/>
          <cell r="H438"/>
          <cell r="I438"/>
          <cell r="J438"/>
          <cell r="K438"/>
          <cell r="L438"/>
          <cell r="M438"/>
          <cell r="N438"/>
          <cell r="O438"/>
          <cell r="P438"/>
          <cell r="Q438"/>
          <cell r="R438"/>
          <cell r="S438"/>
          <cell r="T438"/>
          <cell r="U438"/>
        </row>
        <row r="439">
          <cell r="A439"/>
          <cell r="B439"/>
          <cell r="C439"/>
          <cell r="D439"/>
          <cell r="E439"/>
          <cell r="F439"/>
          <cell r="H439"/>
          <cell r="I439"/>
          <cell r="J439"/>
          <cell r="K439"/>
          <cell r="L439"/>
          <cell r="M439"/>
          <cell r="N439"/>
          <cell r="O439"/>
          <cell r="P439"/>
          <cell r="Q439"/>
          <cell r="R439"/>
          <cell r="S439"/>
          <cell r="T439"/>
          <cell r="U439"/>
        </row>
        <row r="440">
          <cell r="A440"/>
          <cell r="B440"/>
          <cell r="C440"/>
          <cell r="D440"/>
          <cell r="E440"/>
          <cell r="F440"/>
          <cell r="H440"/>
          <cell r="I440"/>
          <cell r="J440"/>
          <cell r="K440"/>
          <cell r="L440"/>
          <cell r="M440"/>
          <cell r="N440"/>
          <cell r="O440"/>
          <cell r="P440"/>
          <cell r="Q440"/>
          <cell r="R440"/>
          <cell r="S440"/>
          <cell r="T440"/>
          <cell r="U440"/>
        </row>
        <row r="441">
          <cell r="A441"/>
          <cell r="B441"/>
          <cell r="C441"/>
          <cell r="D441"/>
          <cell r="E441"/>
          <cell r="F441"/>
          <cell r="H441"/>
          <cell r="I441"/>
          <cell r="J441"/>
          <cell r="K441"/>
          <cell r="L441"/>
          <cell r="M441"/>
          <cell r="N441"/>
          <cell r="O441"/>
          <cell r="P441"/>
          <cell r="Q441"/>
          <cell r="R441"/>
          <cell r="S441"/>
          <cell r="T441"/>
          <cell r="U441"/>
        </row>
        <row r="442">
          <cell r="A442"/>
          <cell r="B442"/>
          <cell r="C442"/>
          <cell r="D442"/>
          <cell r="E442"/>
          <cell r="F442"/>
          <cell r="H442"/>
          <cell r="I442"/>
          <cell r="J442"/>
          <cell r="K442"/>
          <cell r="L442"/>
          <cell r="M442"/>
          <cell r="N442"/>
          <cell r="O442"/>
          <cell r="P442"/>
          <cell r="Q442"/>
          <cell r="R442"/>
          <cell r="S442"/>
          <cell r="T442"/>
          <cell r="U442"/>
        </row>
        <row r="443">
          <cell r="A443"/>
          <cell r="B443"/>
          <cell r="C443"/>
          <cell r="D443"/>
          <cell r="E443"/>
          <cell r="F443"/>
          <cell r="H443"/>
          <cell r="I443"/>
          <cell r="J443"/>
          <cell r="K443"/>
          <cell r="L443"/>
          <cell r="M443"/>
          <cell r="N443"/>
          <cell r="O443"/>
          <cell r="P443"/>
          <cell r="Q443"/>
          <cell r="R443"/>
          <cell r="S443"/>
          <cell r="T443"/>
          <cell r="U443"/>
        </row>
        <row r="444">
          <cell r="A444"/>
          <cell r="B444"/>
          <cell r="C444"/>
          <cell r="D444"/>
          <cell r="E444"/>
          <cell r="F444"/>
          <cell r="H444"/>
          <cell r="I444"/>
          <cell r="J444"/>
          <cell r="K444"/>
          <cell r="L444"/>
          <cell r="M444"/>
          <cell r="N444"/>
          <cell r="O444"/>
          <cell r="P444"/>
          <cell r="Q444"/>
          <cell r="R444"/>
          <cell r="S444"/>
          <cell r="T444"/>
          <cell r="U444"/>
        </row>
        <row r="445">
          <cell r="A445"/>
          <cell r="B445"/>
          <cell r="C445"/>
          <cell r="D445"/>
          <cell r="E445"/>
          <cell r="F445"/>
          <cell r="H445"/>
          <cell r="I445"/>
          <cell r="J445"/>
          <cell r="K445"/>
          <cell r="L445"/>
          <cell r="M445"/>
          <cell r="N445"/>
          <cell r="O445"/>
          <cell r="P445"/>
          <cell r="Q445"/>
          <cell r="R445"/>
          <cell r="S445"/>
          <cell r="T445"/>
          <cell r="U445"/>
        </row>
        <row r="446">
          <cell r="A446"/>
          <cell r="B446"/>
          <cell r="C446"/>
          <cell r="D446"/>
          <cell r="E446"/>
          <cell r="F446"/>
          <cell r="H446"/>
          <cell r="I446"/>
          <cell r="J446"/>
          <cell r="K446"/>
          <cell r="L446"/>
          <cell r="M446"/>
          <cell r="N446"/>
          <cell r="O446"/>
          <cell r="P446"/>
          <cell r="Q446"/>
          <cell r="R446"/>
          <cell r="S446"/>
          <cell r="T446"/>
          <cell r="U446"/>
        </row>
        <row r="447">
          <cell r="A447"/>
          <cell r="B447"/>
          <cell r="C447"/>
          <cell r="D447"/>
          <cell r="E447"/>
          <cell r="F447"/>
          <cell r="H447"/>
          <cell r="I447"/>
          <cell r="J447"/>
          <cell r="K447"/>
          <cell r="L447"/>
          <cell r="M447"/>
          <cell r="N447"/>
          <cell r="O447"/>
          <cell r="P447"/>
          <cell r="Q447"/>
          <cell r="R447"/>
          <cell r="S447"/>
          <cell r="T447"/>
          <cell r="U447"/>
        </row>
        <row r="448">
          <cell r="A448"/>
          <cell r="B448"/>
          <cell r="C448"/>
          <cell r="D448"/>
          <cell r="E448"/>
          <cell r="F448"/>
          <cell r="H448"/>
          <cell r="I448"/>
          <cell r="J448"/>
          <cell r="K448"/>
          <cell r="L448"/>
          <cell r="M448"/>
          <cell r="N448"/>
          <cell r="O448"/>
          <cell r="P448"/>
          <cell r="Q448"/>
          <cell r="R448"/>
          <cell r="S448"/>
          <cell r="T448"/>
          <cell r="U448"/>
        </row>
        <row r="449">
          <cell r="A449"/>
          <cell r="B449"/>
          <cell r="C449"/>
          <cell r="D449"/>
          <cell r="E449"/>
          <cell r="F449"/>
          <cell r="H449"/>
          <cell r="I449"/>
          <cell r="J449"/>
          <cell r="K449"/>
          <cell r="L449"/>
          <cell r="M449"/>
          <cell r="N449"/>
          <cell r="O449"/>
          <cell r="P449"/>
          <cell r="Q449"/>
          <cell r="R449"/>
          <cell r="S449"/>
          <cell r="T449"/>
          <cell r="U449"/>
        </row>
        <row r="450">
          <cell r="A450"/>
          <cell r="B450"/>
          <cell r="C450"/>
          <cell r="D450"/>
          <cell r="E450"/>
          <cell r="F450"/>
          <cell r="H450"/>
          <cell r="I450"/>
          <cell r="J450"/>
          <cell r="K450"/>
          <cell r="L450"/>
          <cell r="M450"/>
          <cell r="N450"/>
          <cell r="O450"/>
          <cell r="P450"/>
          <cell r="Q450"/>
          <cell r="R450"/>
          <cell r="S450"/>
          <cell r="T450"/>
          <cell r="U450"/>
        </row>
        <row r="451">
          <cell r="A451"/>
          <cell r="B451"/>
          <cell r="C451"/>
          <cell r="D451"/>
          <cell r="E451"/>
          <cell r="F451"/>
          <cell r="H451"/>
          <cell r="I451"/>
          <cell r="J451"/>
          <cell r="K451"/>
          <cell r="L451"/>
          <cell r="M451"/>
          <cell r="N451"/>
          <cell r="O451"/>
          <cell r="P451"/>
          <cell r="Q451"/>
          <cell r="R451"/>
          <cell r="S451"/>
          <cell r="T451"/>
          <cell r="U451"/>
        </row>
        <row r="452">
          <cell r="A452"/>
          <cell r="B452"/>
          <cell r="C452"/>
          <cell r="D452"/>
          <cell r="E452"/>
          <cell r="F452"/>
          <cell r="H452"/>
          <cell r="I452"/>
          <cell r="J452"/>
          <cell r="K452"/>
          <cell r="L452"/>
          <cell r="M452"/>
          <cell r="N452"/>
          <cell r="O452"/>
          <cell r="P452"/>
          <cell r="Q452"/>
          <cell r="R452"/>
          <cell r="S452"/>
          <cell r="T452"/>
          <cell r="U452"/>
        </row>
        <row r="453">
          <cell r="A453"/>
          <cell r="B453"/>
          <cell r="C453"/>
          <cell r="D453"/>
          <cell r="E453"/>
          <cell r="F453"/>
          <cell r="H453"/>
          <cell r="I453"/>
          <cell r="J453"/>
          <cell r="K453"/>
          <cell r="L453"/>
          <cell r="M453"/>
          <cell r="N453"/>
          <cell r="O453"/>
          <cell r="P453"/>
          <cell r="Q453"/>
          <cell r="R453"/>
          <cell r="S453"/>
          <cell r="T453"/>
          <cell r="U453"/>
        </row>
        <row r="454">
          <cell r="A454"/>
          <cell r="B454"/>
          <cell r="C454"/>
          <cell r="D454"/>
          <cell r="E454"/>
          <cell r="F454"/>
          <cell r="H454"/>
          <cell r="I454"/>
          <cell r="J454"/>
          <cell r="K454"/>
          <cell r="L454"/>
          <cell r="M454"/>
          <cell r="N454"/>
          <cell r="O454"/>
          <cell r="P454"/>
          <cell r="Q454"/>
          <cell r="R454"/>
          <cell r="S454"/>
          <cell r="T454"/>
          <cell r="U454"/>
        </row>
        <row r="455">
          <cell r="A455"/>
          <cell r="B455"/>
          <cell r="C455"/>
          <cell r="D455"/>
          <cell r="E455"/>
          <cell r="F455"/>
          <cell r="H455"/>
          <cell r="I455"/>
          <cell r="J455"/>
          <cell r="K455"/>
          <cell r="L455"/>
          <cell r="M455"/>
          <cell r="N455"/>
          <cell r="O455"/>
          <cell r="P455"/>
          <cell r="Q455"/>
          <cell r="R455"/>
          <cell r="S455"/>
          <cell r="T455"/>
          <cell r="U455"/>
        </row>
        <row r="456">
          <cell r="A456"/>
          <cell r="B456"/>
          <cell r="C456"/>
          <cell r="D456"/>
          <cell r="E456"/>
          <cell r="F456"/>
          <cell r="H456"/>
          <cell r="I456"/>
          <cell r="J456"/>
          <cell r="K456"/>
          <cell r="L456"/>
          <cell r="M456"/>
          <cell r="N456"/>
          <cell r="O456"/>
          <cell r="P456"/>
          <cell r="Q456"/>
          <cell r="R456"/>
          <cell r="S456"/>
          <cell r="T456"/>
          <cell r="U456"/>
        </row>
        <row r="457">
          <cell r="A457"/>
          <cell r="B457"/>
          <cell r="C457"/>
          <cell r="D457"/>
          <cell r="E457"/>
          <cell r="F457"/>
          <cell r="H457"/>
          <cell r="I457"/>
          <cell r="J457"/>
          <cell r="K457"/>
          <cell r="L457"/>
          <cell r="M457"/>
          <cell r="N457"/>
          <cell r="O457"/>
          <cell r="P457"/>
          <cell r="Q457"/>
          <cell r="R457"/>
          <cell r="S457"/>
          <cell r="T457"/>
          <cell r="U457"/>
        </row>
        <row r="458">
          <cell r="A458"/>
          <cell r="B458"/>
          <cell r="C458"/>
          <cell r="D458"/>
          <cell r="E458"/>
          <cell r="F458"/>
          <cell r="H458"/>
          <cell r="I458"/>
          <cell r="J458"/>
          <cell r="K458"/>
          <cell r="L458"/>
          <cell r="M458"/>
          <cell r="N458"/>
          <cell r="O458"/>
          <cell r="P458"/>
          <cell r="Q458"/>
          <cell r="R458"/>
          <cell r="S458"/>
          <cell r="T458"/>
          <cell r="U458"/>
        </row>
        <row r="459">
          <cell r="A459"/>
          <cell r="B459"/>
          <cell r="C459"/>
          <cell r="D459"/>
          <cell r="E459"/>
          <cell r="F459"/>
          <cell r="H459"/>
          <cell r="I459"/>
          <cell r="J459"/>
          <cell r="K459"/>
          <cell r="L459"/>
          <cell r="M459"/>
          <cell r="N459"/>
          <cell r="O459"/>
          <cell r="P459"/>
          <cell r="Q459"/>
          <cell r="R459"/>
          <cell r="S459"/>
          <cell r="T459"/>
          <cell r="U459"/>
        </row>
        <row r="460">
          <cell r="A460"/>
          <cell r="B460"/>
          <cell r="C460"/>
          <cell r="D460"/>
          <cell r="E460"/>
          <cell r="F460"/>
          <cell r="H460"/>
          <cell r="I460"/>
          <cell r="J460"/>
          <cell r="K460"/>
          <cell r="L460"/>
          <cell r="M460"/>
          <cell r="N460"/>
          <cell r="O460"/>
          <cell r="P460"/>
          <cell r="Q460"/>
          <cell r="R460"/>
          <cell r="S460"/>
          <cell r="T460"/>
          <cell r="U460"/>
        </row>
        <row r="461">
          <cell r="A461"/>
          <cell r="B461"/>
          <cell r="C461"/>
          <cell r="D461"/>
          <cell r="E461"/>
          <cell r="F461"/>
          <cell r="H461"/>
          <cell r="I461"/>
          <cell r="J461"/>
          <cell r="K461"/>
          <cell r="L461"/>
          <cell r="M461"/>
          <cell r="N461"/>
          <cell r="O461"/>
          <cell r="P461"/>
          <cell r="Q461"/>
          <cell r="R461"/>
          <cell r="S461"/>
          <cell r="T461"/>
          <cell r="U461"/>
        </row>
        <row r="462">
          <cell r="A462"/>
          <cell r="B462"/>
          <cell r="C462"/>
          <cell r="D462"/>
          <cell r="E462"/>
          <cell r="F462"/>
          <cell r="H462"/>
          <cell r="I462"/>
          <cell r="J462"/>
          <cell r="K462"/>
          <cell r="L462"/>
          <cell r="M462"/>
          <cell r="N462"/>
          <cell r="O462"/>
          <cell r="P462"/>
          <cell r="Q462"/>
          <cell r="R462"/>
          <cell r="S462"/>
          <cell r="T462"/>
          <cell r="U462"/>
        </row>
        <row r="463">
          <cell r="A463"/>
          <cell r="B463"/>
          <cell r="C463"/>
          <cell r="D463"/>
          <cell r="E463"/>
          <cell r="F463"/>
          <cell r="H463"/>
          <cell r="I463"/>
          <cell r="J463"/>
          <cell r="K463"/>
          <cell r="L463"/>
          <cell r="M463"/>
          <cell r="N463"/>
          <cell r="O463"/>
          <cell r="P463"/>
          <cell r="Q463"/>
          <cell r="R463"/>
          <cell r="S463"/>
          <cell r="T463"/>
          <cell r="U463"/>
        </row>
        <row r="464">
          <cell r="A464"/>
          <cell r="B464"/>
          <cell r="C464"/>
          <cell r="D464"/>
          <cell r="E464"/>
          <cell r="F464"/>
          <cell r="H464"/>
          <cell r="I464"/>
          <cell r="J464"/>
          <cell r="K464"/>
          <cell r="L464"/>
          <cell r="M464"/>
          <cell r="N464"/>
          <cell r="O464"/>
          <cell r="P464"/>
          <cell r="Q464"/>
          <cell r="R464"/>
          <cell r="S464"/>
          <cell r="T464"/>
          <cell r="U464"/>
        </row>
        <row r="465">
          <cell r="A465"/>
          <cell r="B465"/>
          <cell r="C465"/>
          <cell r="D465"/>
          <cell r="E465"/>
          <cell r="F465"/>
          <cell r="H465"/>
          <cell r="I465"/>
          <cell r="J465"/>
          <cell r="K465"/>
          <cell r="L465"/>
          <cell r="M465"/>
          <cell r="N465"/>
          <cell r="O465"/>
          <cell r="P465"/>
          <cell r="Q465"/>
          <cell r="R465"/>
          <cell r="S465"/>
          <cell r="T465"/>
          <cell r="U465"/>
        </row>
        <row r="466">
          <cell r="A466"/>
          <cell r="B466"/>
          <cell r="C466"/>
          <cell r="D466"/>
          <cell r="E466"/>
          <cell r="F466"/>
          <cell r="H466"/>
          <cell r="I466"/>
          <cell r="J466"/>
          <cell r="K466"/>
          <cell r="L466"/>
          <cell r="M466"/>
          <cell r="N466"/>
          <cell r="O466"/>
          <cell r="P466"/>
          <cell r="Q466"/>
          <cell r="R466"/>
          <cell r="S466"/>
          <cell r="T466"/>
          <cell r="U466"/>
        </row>
        <row r="467">
          <cell r="A467"/>
          <cell r="B467"/>
          <cell r="C467"/>
          <cell r="D467"/>
          <cell r="E467"/>
          <cell r="F467"/>
          <cell r="H467"/>
          <cell r="I467"/>
          <cell r="J467"/>
          <cell r="K467"/>
          <cell r="L467"/>
          <cell r="M467"/>
          <cell r="N467"/>
          <cell r="O467"/>
          <cell r="P467"/>
          <cell r="Q467"/>
          <cell r="R467"/>
          <cell r="S467"/>
          <cell r="T467"/>
          <cell r="U467"/>
        </row>
        <row r="468">
          <cell r="A468"/>
          <cell r="B468"/>
          <cell r="C468"/>
          <cell r="D468"/>
          <cell r="E468"/>
          <cell r="F468"/>
          <cell r="H468"/>
          <cell r="I468"/>
          <cell r="J468"/>
          <cell r="K468"/>
          <cell r="L468"/>
          <cell r="M468"/>
          <cell r="N468"/>
          <cell r="O468"/>
          <cell r="P468"/>
          <cell r="Q468"/>
          <cell r="R468"/>
          <cell r="S468"/>
          <cell r="T468"/>
          <cell r="U468"/>
        </row>
        <row r="469">
          <cell r="A469"/>
          <cell r="B469"/>
          <cell r="C469"/>
          <cell r="D469"/>
          <cell r="E469"/>
          <cell r="F469"/>
          <cell r="H469"/>
          <cell r="I469"/>
          <cell r="J469"/>
          <cell r="K469"/>
          <cell r="L469"/>
          <cell r="M469"/>
          <cell r="N469"/>
          <cell r="O469"/>
          <cell r="P469"/>
          <cell r="Q469"/>
          <cell r="R469"/>
          <cell r="S469"/>
          <cell r="T469"/>
          <cell r="U469"/>
        </row>
        <row r="470">
          <cell r="A470"/>
          <cell r="B470"/>
          <cell r="C470"/>
          <cell r="D470"/>
          <cell r="E470"/>
          <cell r="F470"/>
          <cell r="H470"/>
          <cell r="I470"/>
          <cell r="J470"/>
          <cell r="K470"/>
          <cell r="L470"/>
          <cell r="M470"/>
          <cell r="N470"/>
          <cell r="O470"/>
          <cell r="P470"/>
          <cell r="Q470"/>
          <cell r="R470"/>
          <cell r="S470"/>
          <cell r="T470"/>
          <cell r="U470"/>
        </row>
        <row r="471">
          <cell r="A471"/>
          <cell r="B471"/>
          <cell r="C471"/>
          <cell r="D471"/>
          <cell r="E471"/>
          <cell r="F471"/>
          <cell r="H471"/>
          <cell r="I471"/>
          <cell r="J471"/>
          <cell r="K471"/>
          <cell r="L471"/>
          <cell r="M471"/>
          <cell r="N471"/>
          <cell r="O471"/>
          <cell r="P471"/>
          <cell r="Q471"/>
          <cell r="R471"/>
          <cell r="S471"/>
          <cell r="T471"/>
          <cell r="U471"/>
        </row>
        <row r="472">
          <cell r="A472"/>
          <cell r="B472"/>
          <cell r="C472"/>
          <cell r="D472"/>
          <cell r="E472"/>
          <cell r="F472"/>
          <cell r="H472"/>
          <cell r="I472"/>
          <cell r="J472"/>
          <cell r="K472"/>
          <cell r="L472"/>
          <cell r="M472"/>
          <cell r="N472"/>
          <cell r="O472"/>
          <cell r="P472"/>
          <cell r="Q472"/>
          <cell r="R472"/>
          <cell r="S472"/>
          <cell r="T472"/>
          <cell r="U472"/>
        </row>
        <row r="473">
          <cell r="A473"/>
          <cell r="B473"/>
          <cell r="C473"/>
          <cell r="D473"/>
          <cell r="E473"/>
          <cell r="F473"/>
          <cell r="H473"/>
          <cell r="I473"/>
          <cell r="J473"/>
          <cell r="K473"/>
          <cell r="L473"/>
          <cell r="M473"/>
          <cell r="N473"/>
          <cell r="O473"/>
          <cell r="P473"/>
          <cell r="Q473"/>
          <cell r="R473"/>
          <cell r="S473"/>
          <cell r="T473"/>
          <cell r="U473"/>
        </row>
        <row r="474">
          <cell r="A474"/>
          <cell r="B474"/>
          <cell r="C474"/>
          <cell r="D474"/>
          <cell r="E474"/>
          <cell r="F474"/>
          <cell r="H474"/>
          <cell r="I474"/>
          <cell r="J474"/>
          <cell r="K474"/>
          <cell r="L474"/>
          <cell r="M474"/>
          <cell r="N474"/>
          <cell r="O474"/>
          <cell r="P474"/>
          <cell r="Q474"/>
          <cell r="R474"/>
          <cell r="S474"/>
          <cell r="T474"/>
          <cell r="U474"/>
        </row>
        <row r="475">
          <cell r="A475"/>
          <cell r="B475"/>
          <cell r="C475"/>
          <cell r="D475"/>
          <cell r="E475"/>
          <cell r="F475"/>
          <cell r="H475"/>
          <cell r="I475"/>
          <cell r="J475"/>
          <cell r="K475"/>
          <cell r="L475"/>
          <cell r="M475"/>
          <cell r="N475"/>
          <cell r="O475"/>
          <cell r="P475"/>
          <cell r="Q475"/>
          <cell r="R475"/>
          <cell r="S475"/>
          <cell r="T475"/>
          <cell r="U475"/>
        </row>
        <row r="476">
          <cell r="A476"/>
          <cell r="B476"/>
          <cell r="C476"/>
          <cell r="D476"/>
          <cell r="E476"/>
          <cell r="F476"/>
          <cell r="H476"/>
          <cell r="I476"/>
          <cell r="J476"/>
          <cell r="K476"/>
          <cell r="L476"/>
          <cell r="M476"/>
          <cell r="N476"/>
          <cell r="O476"/>
          <cell r="P476"/>
          <cell r="Q476"/>
          <cell r="R476"/>
          <cell r="S476"/>
          <cell r="T476"/>
          <cell r="U476"/>
        </row>
        <row r="477">
          <cell r="A477"/>
          <cell r="B477"/>
          <cell r="C477"/>
          <cell r="D477"/>
          <cell r="E477"/>
          <cell r="F477"/>
          <cell r="H477"/>
          <cell r="I477"/>
          <cell r="J477"/>
          <cell r="K477"/>
          <cell r="L477"/>
          <cell r="M477"/>
          <cell r="N477"/>
          <cell r="O477"/>
          <cell r="P477"/>
          <cell r="Q477"/>
          <cell r="R477"/>
          <cell r="S477"/>
          <cell r="T477"/>
          <cell r="U477"/>
        </row>
        <row r="478">
          <cell r="A478"/>
          <cell r="B478"/>
          <cell r="C478"/>
          <cell r="D478"/>
          <cell r="E478"/>
          <cell r="F478"/>
          <cell r="H478"/>
          <cell r="I478"/>
          <cell r="J478"/>
          <cell r="K478"/>
          <cell r="L478"/>
          <cell r="M478"/>
          <cell r="N478"/>
          <cell r="O478"/>
          <cell r="P478"/>
          <cell r="Q478"/>
          <cell r="R478"/>
          <cell r="S478"/>
          <cell r="T478"/>
          <cell r="U478"/>
        </row>
        <row r="479">
          <cell r="A479"/>
          <cell r="B479"/>
          <cell r="C479"/>
          <cell r="D479"/>
          <cell r="E479"/>
          <cell r="F479"/>
          <cell r="H479"/>
          <cell r="I479"/>
          <cell r="J479"/>
          <cell r="K479"/>
          <cell r="L479"/>
          <cell r="M479"/>
          <cell r="N479"/>
          <cell r="O479"/>
          <cell r="P479"/>
          <cell r="Q479"/>
          <cell r="R479"/>
          <cell r="S479"/>
          <cell r="T479"/>
          <cell r="U479"/>
        </row>
        <row r="480">
          <cell r="A480"/>
          <cell r="B480"/>
          <cell r="C480"/>
          <cell r="D480"/>
          <cell r="E480"/>
          <cell r="F480"/>
          <cell r="H480"/>
          <cell r="I480"/>
          <cell r="J480"/>
          <cell r="K480"/>
          <cell r="L480"/>
          <cell r="M480"/>
          <cell r="N480"/>
          <cell r="O480"/>
          <cell r="P480"/>
          <cell r="Q480"/>
          <cell r="R480"/>
          <cell r="S480"/>
          <cell r="T480"/>
          <cell r="U480"/>
        </row>
        <row r="481">
          <cell r="A481"/>
          <cell r="B481"/>
          <cell r="C481"/>
          <cell r="D481"/>
          <cell r="E481"/>
          <cell r="F481"/>
          <cell r="H481"/>
          <cell r="I481"/>
          <cell r="J481"/>
          <cell r="K481"/>
          <cell r="L481"/>
          <cell r="M481"/>
          <cell r="N481"/>
          <cell r="O481"/>
          <cell r="P481"/>
          <cell r="Q481"/>
          <cell r="R481"/>
          <cell r="S481"/>
          <cell r="T481"/>
          <cell r="U481"/>
        </row>
        <row r="482">
          <cell r="A482"/>
          <cell r="B482"/>
          <cell r="C482"/>
          <cell r="D482"/>
          <cell r="E482"/>
          <cell r="F482"/>
          <cell r="H482"/>
          <cell r="I482"/>
          <cell r="J482"/>
          <cell r="K482"/>
          <cell r="L482"/>
          <cell r="M482"/>
          <cell r="N482"/>
          <cell r="O482"/>
          <cell r="P482"/>
          <cell r="Q482"/>
          <cell r="R482"/>
          <cell r="S482"/>
          <cell r="T482"/>
          <cell r="U482"/>
        </row>
        <row r="483">
          <cell r="A483"/>
          <cell r="B483"/>
          <cell r="C483"/>
          <cell r="D483"/>
          <cell r="E483"/>
          <cell r="F483"/>
          <cell r="H483"/>
          <cell r="I483"/>
          <cell r="J483"/>
          <cell r="K483"/>
          <cell r="L483"/>
          <cell r="M483"/>
          <cell r="N483"/>
          <cell r="O483"/>
          <cell r="P483"/>
          <cell r="Q483"/>
          <cell r="R483"/>
          <cell r="S483"/>
          <cell r="T483"/>
          <cell r="U483"/>
        </row>
        <row r="484">
          <cell r="A484"/>
          <cell r="B484"/>
          <cell r="C484"/>
          <cell r="D484"/>
          <cell r="E484"/>
          <cell r="F484"/>
          <cell r="H484"/>
          <cell r="I484"/>
          <cell r="J484"/>
          <cell r="K484"/>
          <cell r="L484"/>
          <cell r="M484"/>
          <cell r="N484"/>
          <cell r="O484"/>
          <cell r="P484"/>
          <cell r="Q484"/>
          <cell r="R484"/>
          <cell r="S484"/>
          <cell r="T484"/>
          <cell r="U484"/>
        </row>
        <row r="485">
          <cell r="A485"/>
          <cell r="B485"/>
          <cell r="C485"/>
          <cell r="D485"/>
          <cell r="E485"/>
          <cell r="F485"/>
          <cell r="H485"/>
          <cell r="I485"/>
          <cell r="J485"/>
          <cell r="K485"/>
          <cell r="L485"/>
          <cell r="M485"/>
          <cell r="N485"/>
          <cell r="O485"/>
          <cell r="P485"/>
          <cell r="Q485"/>
          <cell r="R485"/>
          <cell r="S485"/>
          <cell r="T485"/>
          <cell r="U485"/>
        </row>
        <row r="486">
          <cell r="A486"/>
          <cell r="B486"/>
          <cell r="C486"/>
          <cell r="D486"/>
          <cell r="E486"/>
          <cell r="F486"/>
          <cell r="H486"/>
          <cell r="I486"/>
          <cell r="J486"/>
          <cell r="K486"/>
          <cell r="L486"/>
          <cell r="M486"/>
          <cell r="N486"/>
          <cell r="O486"/>
          <cell r="P486"/>
          <cell r="Q486"/>
          <cell r="R486"/>
          <cell r="S486"/>
          <cell r="T486"/>
          <cell r="U486"/>
        </row>
        <row r="487">
          <cell r="A487"/>
          <cell r="B487"/>
          <cell r="C487"/>
          <cell r="D487"/>
          <cell r="E487"/>
          <cell r="F487"/>
          <cell r="H487"/>
          <cell r="I487"/>
          <cell r="J487"/>
          <cell r="K487"/>
          <cell r="L487"/>
          <cell r="M487"/>
          <cell r="N487"/>
          <cell r="O487"/>
          <cell r="P487"/>
          <cell r="Q487"/>
          <cell r="R487"/>
          <cell r="S487"/>
          <cell r="T487"/>
          <cell r="U487"/>
        </row>
        <row r="488">
          <cell r="A488"/>
          <cell r="B488"/>
          <cell r="C488"/>
          <cell r="D488"/>
          <cell r="E488"/>
          <cell r="F488"/>
          <cell r="H488"/>
          <cell r="I488"/>
          <cell r="J488"/>
          <cell r="K488"/>
          <cell r="L488"/>
          <cell r="M488"/>
          <cell r="N488"/>
          <cell r="O488"/>
          <cell r="P488"/>
          <cell r="Q488"/>
          <cell r="R488"/>
          <cell r="S488"/>
          <cell r="T488"/>
          <cell r="U488"/>
        </row>
        <row r="489">
          <cell r="A489"/>
          <cell r="B489"/>
          <cell r="C489"/>
          <cell r="D489"/>
          <cell r="E489"/>
          <cell r="F489"/>
          <cell r="H489"/>
          <cell r="I489"/>
          <cell r="J489"/>
          <cell r="K489"/>
          <cell r="L489"/>
          <cell r="M489"/>
          <cell r="N489"/>
          <cell r="O489"/>
          <cell r="P489"/>
          <cell r="Q489"/>
          <cell r="R489"/>
          <cell r="S489"/>
          <cell r="T489"/>
          <cell r="U489"/>
        </row>
        <row r="490">
          <cell r="A490"/>
          <cell r="B490"/>
          <cell r="C490"/>
          <cell r="D490"/>
          <cell r="E490"/>
          <cell r="F490"/>
          <cell r="H490"/>
          <cell r="I490"/>
          <cell r="J490"/>
          <cell r="K490"/>
          <cell r="L490"/>
          <cell r="M490"/>
          <cell r="N490"/>
          <cell r="O490"/>
          <cell r="P490"/>
          <cell r="Q490"/>
          <cell r="R490"/>
          <cell r="S490"/>
          <cell r="T490"/>
          <cell r="U490"/>
        </row>
        <row r="491">
          <cell r="A491"/>
          <cell r="B491"/>
          <cell r="C491"/>
          <cell r="D491"/>
          <cell r="E491"/>
          <cell r="F491"/>
          <cell r="H491"/>
          <cell r="I491"/>
          <cell r="J491"/>
          <cell r="K491"/>
          <cell r="L491"/>
          <cell r="M491"/>
          <cell r="N491"/>
          <cell r="O491"/>
          <cell r="P491"/>
          <cell r="Q491"/>
          <cell r="R491"/>
          <cell r="S491"/>
          <cell r="T491"/>
          <cell r="U491"/>
        </row>
        <row r="492">
          <cell r="A492"/>
          <cell r="B492"/>
          <cell r="C492"/>
          <cell r="D492"/>
          <cell r="E492"/>
          <cell r="F492"/>
          <cell r="H492"/>
          <cell r="I492"/>
          <cell r="J492"/>
          <cell r="K492"/>
          <cell r="L492"/>
          <cell r="M492"/>
          <cell r="N492"/>
          <cell r="O492"/>
          <cell r="P492"/>
          <cell r="Q492"/>
          <cell r="R492"/>
          <cell r="S492"/>
          <cell r="T492"/>
          <cell r="U492"/>
        </row>
        <row r="493">
          <cell r="A493"/>
          <cell r="B493"/>
          <cell r="C493"/>
          <cell r="D493"/>
          <cell r="E493"/>
          <cell r="F493"/>
          <cell r="H493"/>
          <cell r="I493"/>
          <cell r="J493"/>
          <cell r="K493"/>
          <cell r="L493"/>
          <cell r="M493"/>
          <cell r="N493"/>
          <cell r="O493"/>
          <cell r="P493"/>
          <cell r="Q493"/>
          <cell r="R493"/>
          <cell r="S493"/>
          <cell r="T493"/>
          <cell r="U493"/>
        </row>
        <row r="494">
          <cell r="A494"/>
          <cell r="B494"/>
          <cell r="C494"/>
          <cell r="D494"/>
          <cell r="E494"/>
          <cell r="F494"/>
          <cell r="H494"/>
          <cell r="I494"/>
          <cell r="J494"/>
          <cell r="K494"/>
          <cell r="L494"/>
          <cell r="M494"/>
          <cell r="N494"/>
          <cell r="O494"/>
          <cell r="P494"/>
          <cell r="Q494"/>
          <cell r="R494"/>
          <cell r="S494"/>
          <cell r="T494"/>
          <cell r="U494"/>
        </row>
        <row r="495">
          <cell r="A495"/>
          <cell r="B495"/>
          <cell r="C495"/>
          <cell r="D495"/>
          <cell r="E495"/>
          <cell r="F495"/>
          <cell r="H495"/>
          <cell r="I495"/>
          <cell r="J495"/>
          <cell r="K495"/>
          <cell r="L495"/>
          <cell r="M495"/>
          <cell r="N495"/>
          <cell r="O495"/>
          <cell r="P495"/>
          <cell r="Q495"/>
          <cell r="R495"/>
          <cell r="S495"/>
          <cell r="T495"/>
          <cell r="U495"/>
        </row>
        <row r="496">
          <cell r="A496"/>
          <cell r="B496"/>
          <cell r="C496"/>
          <cell r="D496"/>
          <cell r="E496"/>
          <cell r="F496"/>
          <cell r="H496"/>
          <cell r="I496"/>
          <cell r="J496"/>
          <cell r="K496"/>
          <cell r="L496"/>
          <cell r="M496"/>
          <cell r="N496"/>
          <cell r="O496"/>
          <cell r="P496"/>
          <cell r="Q496"/>
          <cell r="R496"/>
          <cell r="S496"/>
          <cell r="T496"/>
          <cell r="U496"/>
        </row>
        <row r="497">
          <cell r="A497"/>
          <cell r="B497"/>
          <cell r="C497"/>
          <cell r="D497"/>
          <cell r="E497"/>
          <cell r="F497"/>
          <cell r="H497"/>
          <cell r="I497"/>
          <cell r="J497"/>
          <cell r="K497"/>
          <cell r="L497"/>
          <cell r="M497"/>
          <cell r="N497"/>
          <cell r="O497"/>
          <cell r="P497"/>
          <cell r="Q497"/>
          <cell r="R497"/>
          <cell r="S497"/>
          <cell r="T497"/>
          <cell r="U497"/>
        </row>
        <row r="498">
          <cell r="A498"/>
          <cell r="B498"/>
          <cell r="C498"/>
          <cell r="D498"/>
          <cell r="E498"/>
          <cell r="F498"/>
          <cell r="H498"/>
          <cell r="I498"/>
          <cell r="J498"/>
          <cell r="K498"/>
          <cell r="L498"/>
          <cell r="M498"/>
          <cell r="N498"/>
          <cell r="O498"/>
          <cell r="P498"/>
          <cell r="Q498"/>
          <cell r="R498"/>
          <cell r="S498"/>
          <cell r="T498"/>
          <cell r="U498"/>
        </row>
        <row r="499">
          <cell r="A499"/>
          <cell r="B499"/>
          <cell r="C499"/>
          <cell r="D499"/>
          <cell r="E499"/>
          <cell r="F499"/>
          <cell r="H499"/>
          <cell r="I499"/>
          <cell r="J499"/>
          <cell r="K499"/>
          <cell r="L499"/>
          <cell r="M499"/>
          <cell r="N499"/>
          <cell r="O499"/>
          <cell r="P499"/>
          <cell r="Q499"/>
          <cell r="R499"/>
          <cell r="S499"/>
          <cell r="T499"/>
          <cell r="U499"/>
        </row>
        <row r="500">
          <cell r="A500"/>
          <cell r="B500"/>
          <cell r="C500"/>
          <cell r="D500"/>
          <cell r="E500"/>
          <cell r="F500"/>
          <cell r="H500"/>
          <cell r="I500"/>
          <cell r="J500"/>
          <cell r="K500"/>
          <cell r="L500"/>
          <cell r="M500"/>
          <cell r="N500"/>
          <cell r="O500"/>
          <cell r="P500"/>
          <cell r="Q500"/>
          <cell r="R500"/>
          <cell r="S500"/>
          <cell r="T500"/>
          <cell r="U500"/>
        </row>
        <row r="501">
          <cell r="A501"/>
          <cell r="B501"/>
          <cell r="C501"/>
          <cell r="D501"/>
          <cell r="E501"/>
          <cell r="F501"/>
          <cell r="H501"/>
          <cell r="I501"/>
          <cell r="J501"/>
          <cell r="K501"/>
          <cell r="L501"/>
          <cell r="M501"/>
          <cell r="N501"/>
          <cell r="O501"/>
          <cell r="P501"/>
          <cell r="Q501"/>
          <cell r="R501"/>
          <cell r="S501"/>
          <cell r="T501"/>
          <cell r="U501"/>
        </row>
        <row r="502">
          <cell r="A502"/>
          <cell r="B502"/>
          <cell r="C502"/>
          <cell r="D502"/>
          <cell r="E502"/>
          <cell r="F502"/>
          <cell r="H502"/>
          <cell r="I502"/>
          <cell r="J502"/>
          <cell r="K502"/>
          <cell r="L502"/>
          <cell r="M502"/>
          <cell r="N502"/>
          <cell r="O502"/>
          <cell r="P502"/>
          <cell r="Q502"/>
          <cell r="R502"/>
          <cell r="S502"/>
          <cell r="T502"/>
          <cell r="U502"/>
        </row>
        <row r="503">
          <cell r="A503"/>
          <cell r="B503"/>
          <cell r="C503"/>
          <cell r="D503"/>
          <cell r="E503"/>
          <cell r="F503"/>
          <cell r="H503"/>
          <cell r="I503"/>
          <cell r="J503"/>
          <cell r="K503"/>
          <cell r="L503"/>
          <cell r="M503"/>
          <cell r="N503"/>
          <cell r="O503"/>
          <cell r="P503"/>
          <cell r="Q503"/>
          <cell r="R503"/>
          <cell r="S503"/>
          <cell r="T503"/>
          <cell r="U503"/>
        </row>
        <row r="504">
          <cell r="A504"/>
          <cell r="B504"/>
          <cell r="C504"/>
          <cell r="D504"/>
          <cell r="E504"/>
          <cell r="F504"/>
          <cell r="H504"/>
          <cell r="I504"/>
          <cell r="J504"/>
          <cell r="K504"/>
          <cell r="L504"/>
          <cell r="M504"/>
          <cell r="N504"/>
          <cell r="O504"/>
          <cell r="P504"/>
          <cell r="Q504"/>
          <cell r="R504"/>
          <cell r="S504"/>
          <cell r="T504"/>
          <cell r="U504"/>
        </row>
        <row r="505">
          <cell r="A505"/>
          <cell r="B505"/>
          <cell r="C505"/>
          <cell r="D505"/>
          <cell r="E505"/>
          <cell r="F505"/>
          <cell r="H505"/>
          <cell r="I505"/>
          <cell r="J505"/>
          <cell r="K505"/>
          <cell r="L505"/>
          <cell r="M505"/>
          <cell r="N505"/>
          <cell r="O505"/>
          <cell r="P505"/>
          <cell r="Q505"/>
          <cell r="R505"/>
          <cell r="S505"/>
          <cell r="T505"/>
          <cell r="U505"/>
        </row>
        <row r="506">
          <cell r="A506"/>
          <cell r="B506"/>
          <cell r="C506"/>
          <cell r="D506"/>
          <cell r="E506"/>
          <cell r="F506"/>
          <cell r="H506"/>
          <cell r="I506"/>
          <cell r="J506"/>
          <cell r="K506"/>
          <cell r="L506"/>
          <cell r="M506"/>
          <cell r="N506"/>
          <cell r="O506"/>
          <cell r="P506"/>
          <cell r="Q506"/>
          <cell r="R506"/>
          <cell r="S506"/>
          <cell r="T506"/>
          <cell r="U506"/>
        </row>
        <row r="507">
          <cell r="A507"/>
          <cell r="B507"/>
          <cell r="C507"/>
          <cell r="D507"/>
          <cell r="E507"/>
          <cell r="F507"/>
          <cell r="H507"/>
          <cell r="I507"/>
          <cell r="J507"/>
          <cell r="K507"/>
          <cell r="L507"/>
          <cell r="M507"/>
          <cell r="N507"/>
          <cell r="O507"/>
          <cell r="P507"/>
          <cell r="Q507"/>
          <cell r="R507"/>
          <cell r="S507"/>
          <cell r="T507"/>
          <cell r="U507"/>
        </row>
        <row r="508">
          <cell r="A508"/>
          <cell r="B508"/>
          <cell r="C508"/>
          <cell r="D508"/>
          <cell r="E508"/>
          <cell r="F508"/>
          <cell r="H508"/>
          <cell r="I508"/>
          <cell r="J508"/>
          <cell r="K508"/>
          <cell r="L508"/>
          <cell r="M508"/>
          <cell r="N508"/>
          <cell r="O508"/>
          <cell r="P508"/>
          <cell r="Q508"/>
          <cell r="R508"/>
          <cell r="S508"/>
          <cell r="T508"/>
          <cell r="U508"/>
        </row>
        <row r="509">
          <cell r="A509"/>
          <cell r="B509"/>
          <cell r="C509"/>
          <cell r="D509"/>
          <cell r="E509"/>
          <cell r="F509"/>
          <cell r="H509"/>
          <cell r="I509"/>
          <cell r="J509"/>
          <cell r="K509"/>
          <cell r="L509"/>
          <cell r="M509"/>
          <cell r="N509"/>
          <cell r="O509"/>
          <cell r="P509"/>
          <cell r="Q509"/>
          <cell r="R509"/>
          <cell r="S509"/>
          <cell r="T509"/>
          <cell r="U509"/>
        </row>
        <row r="510">
          <cell r="A510"/>
          <cell r="B510"/>
          <cell r="C510"/>
          <cell r="D510"/>
          <cell r="E510"/>
          <cell r="F510"/>
          <cell r="H510"/>
          <cell r="I510"/>
          <cell r="J510"/>
          <cell r="K510"/>
          <cell r="L510"/>
          <cell r="M510"/>
          <cell r="N510"/>
          <cell r="O510"/>
          <cell r="P510"/>
          <cell r="Q510"/>
          <cell r="R510"/>
          <cell r="S510"/>
          <cell r="T510"/>
          <cell r="U510"/>
        </row>
        <row r="511">
          <cell r="A511"/>
          <cell r="B511"/>
          <cell r="C511"/>
          <cell r="D511"/>
          <cell r="E511"/>
          <cell r="F511"/>
          <cell r="H511"/>
          <cell r="I511"/>
          <cell r="J511"/>
          <cell r="K511"/>
          <cell r="L511"/>
          <cell r="M511"/>
          <cell r="N511"/>
          <cell r="O511"/>
          <cell r="P511"/>
          <cell r="Q511"/>
          <cell r="R511"/>
          <cell r="S511"/>
          <cell r="T511"/>
          <cell r="U511"/>
        </row>
        <row r="512">
          <cell r="A512"/>
          <cell r="B512"/>
          <cell r="C512"/>
          <cell r="D512"/>
          <cell r="E512"/>
          <cell r="F512"/>
          <cell r="H512"/>
          <cell r="I512"/>
          <cell r="J512"/>
          <cell r="K512"/>
          <cell r="L512"/>
          <cell r="M512"/>
          <cell r="N512"/>
          <cell r="O512"/>
          <cell r="P512"/>
          <cell r="Q512"/>
          <cell r="R512"/>
          <cell r="S512"/>
          <cell r="T512"/>
          <cell r="U512"/>
        </row>
        <row r="513">
          <cell r="A513"/>
          <cell r="B513"/>
          <cell r="C513"/>
          <cell r="D513"/>
          <cell r="E513"/>
          <cell r="F513"/>
          <cell r="H513"/>
          <cell r="I513"/>
          <cell r="J513"/>
          <cell r="K513"/>
          <cell r="L513"/>
          <cell r="M513"/>
          <cell r="N513"/>
          <cell r="O513"/>
          <cell r="P513"/>
          <cell r="Q513"/>
          <cell r="R513"/>
          <cell r="S513"/>
          <cell r="T513"/>
          <cell r="U513"/>
        </row>
        <row r="514">
          <cell r="A514"/>
          <cell r="B514"/>
          <cell r="C514"/>
          <cell r="D514"/>
          <cell r="E514"/>
          <cell r="F514"/>
          <cell r="H514"/>
          <cell r="I514"/>
          <cell r="J514"/>
          <cell r="K514"/>
          <cell r="L514"/>
          <cell r="M514"/>
          <cell r="N514"/>
          <cell r="O514"/>
          <cell r="P514"/>
          <cell r="Q514"/>
          <cell r="R514"/>
          <cell r="S514"/>
          <cell r="T514"/>
          <cell r="U514"/>
        </row>
        <row r="515">
          <cell r="A515"/>
          <cell r="B515"/>
          <cell r="C515"/>
          <cell r="D515"/>
          <cell r="E515"/>
          <cell r="F515"/>
          <cell r="H515"/>
          <cell r="I515"/>
          <cell r="J515"/>
          <cell r="K515"/>
          <cell r="L515"/>
          <cell r="M515"/>
          <cell r="N515"/>
          <cell r="O515"/>
          <cell r="P515"/>
          <cell r="Q515"/>
          <cell r="R515"/>
          <cell r="S515"/>
          <cell r="T515"/>
          <cell r="U515"/>
        </row>
        <row r="516">
          <cell r="A516"/>
          <cell r="B516"/>
          <cell r="C516"/>
          <cell r="D516"/>
          <cell r="E516"/>
          <cell r="F516"/>
          <cell r="H516"/>
          <cell r="I516"/>
          <cell r="J516"/>
          <cell r="K516"/>
          <cell r="L516"/>
          <cell r="M516"/>
          <cell r="N516"/>
          <cell r="O516"/>
          <cell r="P516"/>
          <cell r="Q516"/>
          <cell r="R516"/>
          <cell r="S516"/>
          <cell r="T516"/>
          <cell r="U516"/>
        </row>
        <row r="517">
          <cell r="A517"/>
          <cell r="B517"/>
          <cell r="C517"/>
          <cell r="D517"/>
          <cell r="E517"/>
          <cell r="F517"/>
          <cell r="H517"/>
          <cell r="I517"/>
          <cell r="J517"/>
          <cell r="K517"/>
          <cell r="L517"/>
          <cell r="M517"/>
          <cell r="N517"/>
          <cell r="O517"/>
          <cell r="P517"/>
          <cell r="Q517"/>
          <cell r="R517"/>
          <cell r="S517"/>
          <cell r="T517"/>
          <cell r="U517"/>
        </row>
        <row r="518">
          <cell r="A518"/>
          <cell r="B518"/>
          <cell r="C518"/>
          <cell r="D518"/>
          <cell r="E518"/>
          <cell r="F518"/>
          <cell r="H518"/>
          <cell r="I518"/>
          <cell r="J518"/>
          <cell r="K518"/>
          <cell r="L518"/>
          <cell r="M518"/>
          <cell r="N518"/>
          <cell r="O518"/>
          <cell r="P518"/>
          <cell r="Q518"/>
          <cell r="R518"/>
          <cell r="S518"/>
          <cell r="T518"/>
          <cell r="U518"/>
        </row>
        <row r="519">
          <cell r="A519"/>
          <cell r="B519"/>
          <cell r="C519"/>
          <cell r="D519"/>
          <cell r="E519"/>
          <cell r="F519"/>
          <cell r="H519"/>
          <cell r="I519"/>
          <cell r="J519"/>
          <cell r="K519"/>
          <cell r="L519"/>
          <cell r="M519"/>
          <cell r="N519"/>
          <cell r="O519"/>
          <cell r="P519"/>
          <cell r="Q519"/>
          <cell r="R519"/>
          <cell r="S519"/>
          <cell r="T519"/>
          <cell r="U519"/>
        </row>
        <row r="520">
          <cell r="A520"/>
          <cell r="B520"/>
          <cell r="C520"/>
          <cell r="D520"/>
          <cell r="E520"/>
          <cell r="F520"/>
          <cell r="H520"/>
          <cell r="I520"/>
          <cell r="J520"/>
          <cell r="K520"/>
          <cell r="L520"/>
          <cell r="M520"/>
          <cell r="N520"/>
          <cell r="O520"/>
          <cell r="P520"/>
          <cell r="Q520"/>
          <cell r="R520"/>
          <cell r="S520"/>
          <cell r="T520"/>
          <cell r="U520"/>
        </row>
        <row r="521">
          <cell r="A521"/>
          <cell r="B521"/>
          <cell r="C521"/>
          <cell r="D521"/>
          <cell r="E521"/>
          <cell r="F521"/>
          <cell r="H521"/>
          <cell r="I521"/>
          <cell r="J521"/>
          <cell r="K521"/>
          <cell r="L521"/>
          <cell r="M521"/>
          <cell r="N521"/>
          <cell r="O521"/>
          <cell r="P521"/>
          <cell r="Q521"/>
          <cell r="R521"/>
          <cell r="S521"/>
          <cell r="T521"/>
          <cell r="U521"/>
        </row>
        <row r="522">
          <cell r="A522"/>
          <cell r="B522"/>
          <cell r="C522"/>
          <cell r="D522"/>
          <cell r="E522"/>
          <cell r="F522"/>
          <cell r="H522"/>
          <cell r="I522"/>
          <cell r="J522"/>
          <cell r="K522"/>
          <cell r="L522"/>
          <cell r="M522"/>
          <cell r="N522"/>
          <cell r="O522"/>
          <cell r="P522"/>
          <cell r="Q522"/>
          <cell r="R522"/>
          <cell r="S522"/>
          <cell r="T522"/>
          <cell r="U522"/>
        </row>
        <row r="523">
          <cell r="A523"/>
          <cell r="B523"/>
          <cell r="C523"/>
          <cell r="D523"/>
          <cell r="E523"/>
          <cell r="F523"/>
          <cell r="H523"/>
          <cell r="I523"/>
          <cell r="J523"/>
          <cell r="K523"/>
          <cell r="L523"/>
          <cell r="M523"/>
          <cell r="N523"/>
          <cell r="O523"/>
          <cell r="P523"/>
          <cell r="Q523"/>
          <cell r="R523"/>
          <cell r="S523"/>
          <cell r="T523"/>
          <cell r="U523"/>
        </row>
        <row r="524">
          <cell r="A524"/>
          <cell r="B524"/>
          <cell r="C524"/>
          <cell r="D524"/>
          <cell r="E524"/>
          <cell r="F524"/>
          <cell r="H524"/>
          <cell r="I524"/>
          <cell r="J524"/>
          <cell r="K524"/>
          <cell r="L524"/>
          <cell r="M524"/>
          <cell r="N524"/>
          <cell r="O524"/>
          <cell r="P524"/>
          <cell r="Q524"/>
          <cell r="R524"/>
          <cell r="S524"/>
          <cell r="T524"/>
          <cell r="U524"/>
        </row>
        <row r="525">
          <cell r="A525"/>
          <cell r="B525"/>
          <cell r="C525"/>
          <cell r="D525"/>
          <cell r="E525"/>
          <cell r="F525"/>
          <cell r="H525"/>
          <cell r="I525"/>
          <cell r="J525"/>
          <cell r="K525"/>
          <cell r="L525"/>
          <cell r="M525"/>
          <cell r="N525"/>
          <cell r="O525"/>
          <cell r="P525"/>
          <cell r="Q525"/>
          <cell r="R525"/>
          <cell r="S525"/>
          <cell r="T525"/>
          <cell r="U525"/>
        </row>
        <row r="526">
          <cell r="A526"/>
          <cell r="B526"/>
          <cell r="C526"/>
          <cell r="D526"/>
          <cell r="E526"/>
          <cell r="F526"/>
          <cell r="H526"/>
          <cell r="I526"/>
          <cell r="J526"/>
          <cell r="K526"/>
          <cell r="L526"/>
          <cell r="M526"/>
          <cell r="N526"/>
          <cell r="O526"/>
          <cell r="P526"/>
          <cell r="Q526"/>
          <cell r="R526"/>
          <cell r="S526"/>
          <cell r="T526"/>
          <cell r="U526"/>
        </row>
        <row r="527">
          <cell r="A527"/>
          <cell r="B527"/>
          <cell r="C527"/>
          <cell r="D527"/>
          <cell r="E527"/>
          <cell r="F527"/>
          <cell r="H527"/>
          <cell r="I527"/>
          <cell r="J527"/>
          <cell r="K527"/>
          <cell r="L527"/>
          <cell r="M527"/>
          <cell r="N527"/>
          <cell r="O527"/>
          <cell r="P527"/>
          <cell r="Q527"/>
          <cell r="R527"/>
          <cell r="S527"/>
          <cell r="T527"/>
          <cell r="U527"/>
        </row>
        <row r="528">
          <cell r="A528"/>
          <cell r="B528"/>
          <cell r="C528"/>
          <cell r="D528"/>
          <cell r="E528"/>
          <cell r="F528"/>
          <cell r="H528"/>
          <cell r="I528"/>
          <cell r="J528"/>
          <cell r="K528"/>
          <cell r="L528"/>
          <cell r="M528"/>
          <cell r="N528"/>
          <cell r="O528"/>
          <cell r="P528"/>
          <cell r="Q528"/>
          <cell r="R528"/>
          <cell r="S528"/>
          <cell r="T528"/>
          <cell r="U528"/>
        </row>
        <row r="529">
          <cell r="A529"/>
          <cell r="B529"/>
          <cell r="C529"/>
          <cell r="D529"/>
          <cell r="E529"/>
          <cell r="F529"/>
          <cell r="H529"/>
          <cell r="I529"/>
          <cell r="J529"/>
          <cell r="K529"/>
          <cell r="L529"/>
          <cell r="M529"/>
          <cell r="N529"/>
          <cell r="O529"/>
          <cell r="P529"/>
          <cell r="Q529"/>
          <cell r="R529"/>
          <cell r="S529"/>
          <cell r="T529"/>
          <cell r="U529"/>
        </row>
        <row r="530">
          <cell r="A530"/>
          <cell r="B530"/>
          <cell r="C530"/>
          <cell r="D530"/>
          <cell r="E530"/>
          <cell r="F530"/>
          <cell r="H530"/>
          <cell r="I530"/>
          <cell r="J530"/>
          <cell r="K530"/>
          <cell r="L530"/>
          <cell r="M530"/>
          <cell r="N530"/>
          <cell r="O530"/>
          <cell r="P530"/>
          <cell r="Q530"/>
          <cell r="R530"/>
          <cell r="S530"/>
          <cell r="T530"/>
          <cell r="U530"/>
        </row>
        <row r="531">
          <cell r="A531"/>
          <cell r="B531"/>
          <cell r="C531"/>
          <cell r="D531"/>
          <cell r="E531"/>
          <cell r="F531"/>
          <cell r="H531"/>
          <cell r="I531"/>
          <cell r="J531"/>
          <cell r="K531"/>
          <cell r="L531"/>
          <cell r="M531"/>
          <cell r="N531"/>
          <cell r="O531"/>
          <cell r="P531"/>
          <cell r="Q531"/>
          <cell r="R531"/>
          <cell r="S531"/>
          <cell r="T531"/>
          <cell r="U531"/>
        </row>
        <row r="532">
          <cell r="A532"/>
          <cell r="B532"/>
          <cell r="C532"/>
          <cell r="D532"/>
          <cell r="E532"/>
          <cell r="F532"/>
          <cell r="H532"/>
          <cell r="I532"/>
          <cell r="J532"/>
          <cell r="K532"/>
          <cell r="L532"/>
          <cell r="M532"/>
          <cell r="N532"/>
          <cell r="O532"/>
          <cell r="P532"/>
          <cell r="Q532"/>
          <cell r="R532"/>
          <cell r="S532"/>
          <cell r="T532"/>
          <cell r="U532"/>
        </row>
        <row r="533">
          <cell r="A533"/>
          <cell r="B533"/>
          <cell r="C533"/>
          <cell r="D533"/>
          <cell r="E533"/>
          <cell r="F533"/>
          <cell r="H533"/>
          <cell r="I533"/>
          <cell r="J533"/>
          <cell r="K533"/>
          <cell r="L533"/>
          <cell r="M533"/>
          <cell r="N533"/>
          <cell r="O533"/>
          <cell r="P533"/>
          <cell r="Q533"/>
          <cell r="R533"/>
          <cell r="S533"/>
          <cell r="T533"/>
          <cell r="U533"/>
        </row>
        <row r="534">
          <cell r="A534"/>
          <cell r="B534"/>
          <cell r="C534"/>
          <cell r="D534"/>
          <cell r="E534"/>
          <cell r="F534"/>
          <cell r="H534"/>
          <cell r="I534"/>
          <cell r="J534"/>
          <cell r="K534"/>
          <cell r="L534"/>
          <cell r="M534"/>
          <cell r="N534"/>
          <cell r="O534"/>
          <cell r="P534"/>
          <cell r="Q534"/>
          <cell r="R534"/>
          <cell r="S534"/>
          <cell r="T534"/>
          <cell r="U534"/>
        </row>
        <row r="535">
          <cell r="A535"/>
          <cell r="B535"/>
          <cell r="C535"/>
          <cell r="D535"/>
          <cell r="E535"/>
          <cell r="F535"/>
          <cell r="H535"/>
          <cell r="I535"/>
          <cell r="J535"/>
          <cell r="K535"/>
          <cell r="L535"/>
          <cell r="M535"/>
          <cell r="N535"/>
          <cell r="O535"/>
          <cell r="P535"/>
          <cell r="Q535"/>
          <cell r="R535"/>
          <cell r="S535"/>
          <cell r="T535"/>
          <cell r="U535"/>
        </row>
        <row r="536">
          <cell r="A536"/>
          <cell r="B536"/>
          <cell r="C536"/>
          <cell r="D536"/>
          <cell r="E536"/>
          <cell r="F536"/>
          <cell r="H536"/>
          <cell r="I536"/>
          <cell r="J536"/>
          <cell r="K536"/>
          <cell r="L536"/>
          <cell r="M536"/>
          <cell r="N536"/>
          <cell r="O536"/>
          <cell r="P536"/>
          <cell r="Q536"/>
          <cell r="R536"/>
          <cell r="S536"/>
          <cell r="T536"/>
          <cell r="U536"/>
        </row>
        <row r="537">
          <cell r="A537"/>
          <cell r="B537"/>
          <cell r="C537"/>
          <cell r="D537"/>
          <cell r="E537"/>
          <cell r="F537"/>
          <cell r="H537"/>
          <cell r="I537"/>
          <cell r="J537"/>
          <cell r="K537"/>
          <cell r="L537"/>
          <cell r="M537"/>
          <cell r="N537"/>
          <cell r="O537"/>
          <cell r="P537"/>
          <cell r="Q537"/>
          <cell r="R537"/>
          <cell r="S537"/>
          <cell r="T537"/>
          <cell r="U537"/>
        </row>
        <row r="538">
          <cell r="A538"/>
          <cell r="B538"/>
          <cell r="C538"/>
          <cell r="D538"/>
          <cell r="E538"/>
          <cell r="F538"/>
          <cell r="H538"/>
          <cell r="I538"/>
          <cell r="J538"/>
          <cell r="K538"/>
          <cell r="L538"/>
          <cell r="M538"/>
          <cell r="N538"/>
          <cell r="O538"/>
          <cell r="P538"/>
          <cell r="Q538"/>
          <cell r="R538"/>
          <cell r="S538"/>
          <cell r="T538"/>
          <cell r="U538"/>
        </row>
        <row r="539">
          <cell r="A539"/>
          <cell r="B539"/>
          <cell r="C539"/>
          <cell r="D539"/>
          <cell r="E539"/>
          <cell r="F539"/>
          <cell r="H539"/>
          <cell r="I539"/>
          <cell r="J539"/>
          <cell r="K539"/>
          <cell r="L539"/>
          <cell r="M539"/>
          <cell r="N539"/>
          <cell r="O539"/>
          <cell r="P539"/>
          <cell r="Q539"/>
          <cell r="R539"/>
          <cell r="S539"/>
          <cell r="T539"/>
          <cell r="U539"/>
        </row>
        <row r="540">
          <cell r="A540"/>
          <cell r="B540"/>
          <cell r="C540"/>
          <cell r="D540"/>
          <cell r="E540"/>
          <cell r="F540"/>
          <cell r="H540"/>
          <cell r="I540"/>
          <cell r="J540"/>
          <cell r="K540"/>
          <cell r="L540"/>
          <cell r="M540"/>
          <cell r="N540"/>
          <cell r="O540"/>
          <cell r="P540"/>
          <cell r="Q540"/>
          <cell r="R540"/>
          <cell r="S540"/>
          <cell r="T540"/>
          <cell r="U540"/>
        </row>
        <row r="541">
          <cell r="A541"/>
          <cell r="B541"/>
          <cell r="C541"/>
          <cell r="D541"/>
          <cell r="E541"/>
          <cell r="F541"/>
          <cell r="H541"/>
          <cell r="I541"/>
          <cell r="J541"/>
          <cell r="K541"/>
          <cell r="L541"/>
          <cell r="M541"/>
          <cell r="N541"/>
          <cell r="O541"/>
          <cell r="P541"/>
          <cell r="Q541"/>
          <cell r="R541"/>
          <cell r="S541"/>
          <cell r="T541"/>
          <cell r="U541"/>
        </row>
        <row r="542">
          <cell r="A542"/>
          <cell r="B542"/>
          <cell r="C542"/>
          <cell r="D542"/>
          <cell r="E542"/>
          <cell r="F542"/>
          <cell r="H542"/>
          <cell r="I542"/>
          <cell r="J542"/>
          <cell r="K542"/>
          <cell r="L542"/>
          <cell r="M542"/>
          <cell r="N542"/>
          <cell r="O542"/>
          <cell r="P542"/>
          <cell r="Q542"/>
          <cell r="R542"/>
          <cell r="S542"/>
          <cell r="T542"/>
          <cell r="U542"/>
        </row>
        <row r="543">
          <cell r="A543"/>
          <cell r="B543"/>
          <cell r="C543"/>
          <cell r="D543"/>
          <cell r="E543"/>
          <cell r="F543"/>
          <cell r="H543"/>
          <cell r="I543"/>
          <cell r="J543"/>
          <cell r="K543"/>
          <cell r="L543"/>
          <cell r="M543"/>
          <cell r="N543"/>
          <cell r="O543"/>
          <cell r="P543"/>
          <cell r="Q543"/>
          <cell r="R543"/>
          <cell r="S543"/>
          <cell r="T543"/>
          <cell r="U543"/>
        </row>
        <row r="544">
          <cell r="A544"/>
          <cell r="B544"/>
          <cell r="C544"/>
          <cell r="D544"/>
          <cell r="E544"/>
          <cell r="F544"/>
          <cell r="H544"/>
          <cell r="I544"/>
          <cell r="J544"/>
          <cell r="K544"/>
          <cell r="L544"/>
          <cell r="M544"/>
          <cell r="N544"/>
          <cell r="O544"/>
          <cell r="P544"/>
          <cell r="Q544"/>
          <cell r="R544"/>
          <cell r="S544"/>
          <cell r="T544"/>
          <cell r="U544"/>
        </row>
        <row r="545">
          <cell r="A545"/>
          <cell r="B545"/>
          <cell r="C545"/>
          <cell r="D545"/>
          <cell r="E545"/>
          <cell r="F545"/>
          <cell r="H545"/>
          <cell r="I545"/>
          <cell r="J545"/>
          <cell r="K545"/>
          <cell r="L545"/>
          <cell r="M545"/>
          <cell r="N545"/>
          <cell r="O545"/>
          <cell r="P545"/>
          <cell r="Q545"/>
          <cell r="R545"/>
          <cell r="S545"/>
          <cell r="T545"/>
          <cell r="U545"/>
        </row>
        <row r="546">
          <cell r="A546"/>
          <cell r="B546"/>
          <cell r="C546"/>
          <cell r="D546"/>
          <cell r="E546"/>
          <cell r="F546"/>
          <cell r="H546"/>
          <cell r="I546"/>
          <cell r="J546"/>
          <cell r="K546"/>
          <cell r="L546"/>
          <cell r="M546"/>
          <cell r="N546"/>
          <cell r="O546"/>
          <cell r="P546"/>
          <cell r="Q546"/>
          <cell r="R546"/>
          <cell r="S546"/>
          <cell r="T546"/>
          <cell r="U546"/>
        </row>
        <row r="547">
          <cell r="A547"/>
          <cell r="B547"/>
          <cell r="C547"/>
          <cell r="D547"/>
          <cell r="E547"/>
          <cell r="F547"/>
          <cell r="H547"/>
          <cell r="I547"/>
          <cell r="J547"/>
          <cell r="K547"/>
          <cell r="L547"/>
          <cell r="M547"/>
          <cell r="N547"/>
          <cell r="O547"/>
          <cell r="P547"/>
          <cell r="Q547"/>
          <cell r="R547"/>
          <cell r="S547"/>
          <cell r="T547"/>
          <cell r="U547"/>
        </row>
        <row r="548">
          <cell r="A548"/>
          <cell r="B548"/>
          <cell r="C548"/>
          <cell r="D548"/>
          <cell r="E548"/>
          <cell r="F548"/>
          <cell r="H548"/>
          <cell r="I548"/>
          <cell r="J548"/>
          <cell r="K548"/>
          <cell r="L548"/>
          <cell r="M548"/>
          <cell r="N548"/>
          <cell r="O548"/>
          <cell r="P548"/>
          <cell r="Q548"/>
          <cell r="R548"/>
          <cell r="S548"/>
          <cell r="T548"/>
          <cell r="U548"/>
        </row>
        <row r="549">
          <cell r="A549"/>
          <cell r="B549"/>
          <cell r="C549"/>
          <cell r="D549"/>
          <cell r="E549"/>
          <cell r="F549"/>
          <cell r="H549"/>
          <cell r="I549"/>
          <cell r="J549"/>
          <cell r="K549"/>
          <cell r="L549"/>
          <cell r="M549"/>
          <cell r="N549"/>
          <cell r="O549"/>
          <cell r="P549"/>
          <cell r="Q549"/>
          <cell r="R549"/>
          <cell r="S549"/>
          <cell r="T549"/>
          <cell r="U549"/>
        </row>
        <row r="550">
          <cell r="A550"/>
          <cell r="B550"/>
          <cell r="C550"/>
          <cell r="D550"/>
          <cell r="E550"/>
          <cell r="F550"/>
          <cell r="H550"/>
          <cell r="I550"/>
          <cell r="J550"/>
          <cell r="K550"/>
          <cell r="L550"/>
          <cell r="M550"/>
          <cell r="N550"/>
          <cell r="O550"/>
          <cell r="P550"/>
          <cell r="Q550"/>
          <cell r="R550"/>
          <cell r="S550"/>
          <cell r="T550"/>
          <cell r="U550"/>
        </row>
        <row r="551">
          <cell r="A551"/>
          <cell r="B551"/>
          <cell r="C551"/>
          <cell r="D551"/>
          <cell r="E551"/>
          <cell r="F551"/>
          <cell r="H551"/>
          <cell r="I551"/>
          <cell r="J551"/>
          <cell r="K551"/>
          <cell r="L551"/>
          <cell r="M551"/>
          <cell r="N551"/>
          <cell r="O551"/>
          <cell r="P551"/>
          <cell r="Q551"/>
          <cell r="R551"/>
          <cell r="S551"/>
          <cell r="T551"/>
          <cell r="U551"/>
        </row>
        <row r="552">
          <cell r="A552"/>
          <cell r="B552"/>
          <cell r="C552"/>
          <cell r="D552"/>
          <cell r="E552"/>
          <cell r="F552"/>
          <cell r="H552"/>
          <cell r="I552"/>
          <cell r="J552"/>
          <cell r="K552"/>
          <cell r="L552"/>
          <cell r="M552"/>
          <cell r="N552"/>
          <cell r="O552"/>
          <cell r="P552"/>
          <cell r="Q552"/>
          <cell r="R552"/>
          <cell r="S552"/>
          <cell r="T552"/>
          <cell r="U552"/>
        </row>
        <row r="553">
          <cell r="A553"/>
          <cell r="B553"/>
          <cell r="C553"/>
          <cell r="D553"/>
          <cell r="E553"/>
          <cell r="F553"/>
          <cell r="H553"/>
          <cell r="I553"/>
          <cell r="J553"/>
          <cell r="K553"/>
          <cell r="L553"/>
          <cell r="M553"/>
          <cell r="N553"/>
          <cell r="O553"/>
          <cell r="P553"/>
          <cell r="Q553"/>
          <cell r="R553"/>
          <cell r="S553"/>
          <cell r="T553"/>
          <cell r="U553"/>
        </row>
        <row r="554">
          <cell r="A554"/>
          <cell r="B554"/>
          <cell r="C554"/>
          <cell r="D554"/>
          <cell r="E554"/>
          <cell r="F554"/>
          <cell r="H554"/>
          <cell r="I554"/>
          <cell r="J554"/>
          <cell r="K554"/>
          <cell r="L554"/>
          <cell r="M554"/>
          <cell r="N554"/>
          <cell r="O554"/>
          <cell r="P554"/>
          <cell r="Q554"/>
          <cell r="R554"/>
          <cell r="S554"/>
          <cell r="T554"/>
          <cell r="U554"/>
        </row>
        <row r="555">
          <cell r="A555"/>
          <cell r="B555"/>
          <cell r="C555"/>
          <cell r="D555"/>
          <cell r="E555"/>
          <cell r="F555"/>
          <cell r="H555"/>
          <cell r="I555"/>
          <cell r="J555"/>
          <cell r="K555"/>
          <cell r="L555"/>
          <cell r="M555"/>
          <cell r="N555"/>
          <cell r="O555"/>
          <cell r="P555"/>
          <cell r="Q555"/>
          <cell r="R555"/>
          <cell r="S555"/>
          <cell r="T555"/>
          <cell r="U555"/>
        </row>
        <row r="556">
          <cell r="A556"/>
          <cell r="B556"/>
          <cell r="C556"/>
          <cell r="D556"/>
          <cell r="E556"/>
          <cell r="F556"/>
          <cell r="H556"/>
          <cell r="I556"/>
          <cell r="J556"/>
          <cell r="K556"/>
          <cell r="L556"/>
          <cell r="M556"/>
          <cell r="N556"/>
          <cell r="O556"/>
          <cell r="P556"/>
          <cell r="Q556"/>
          <cell r="R556"/>
          <cell r="S556"/>
          <cell r="T556"/>
          <cell r="U556"/>
        </row>
        <row r="557">
          <cell r="A557"/>
          <cell r="B557"/>
          <cell r="C557"/>
          <cell r="D557"/>
          <cell r="E557"/>
          <cell r="F557"/>
          <cell r="H557"/>
          <cell r="I557"/>
          <cell r="J557"/>
          <cell r="K557"/>
          <cell r="L557"/>
          <cell r="M557"/>
          <cell r="N557"/>
          <cell r="O557"/>
          <cell r="P557"/>
          <cell r="Q557"/>
          <cell r="R557"/>
          <cell r="S557"/>
          <cell r="T557"/>
          <cell r="U557"/>
        </row>
        <row r="558">
          <cell r="A558"/>
          <cell r="B558"/>
          <cell r="C558"/>
          <cell r="D558"/>
          <cell r="E558"/>
          <cell r="F558"/>
          <cell r="H558"/>
          <cell r="I558"/>
          <cell r="J558"/>
          <cell r="K558"/>
          <cell r="L558"/>
          <cell r="M558"/>
          <cell r="N558"/>
          <cell r="O558"/>
          <cell r="P558"/>
          <cell r="Q558"/>
          <cell r="R558"/>
          <cell r="S558"/>
          <cell r="T558"/>
          <cell r="U558"/>
        </row>
        <row r="559">
          <cell r="A559"/>
          <cell r="B559"/>
          <cell r="C559"/>
          <cell r="D559"/>
          <cell r="E559"/>
          <cell r="F559"/>
          <cell r="H559"/>
          <cell r="I559"/>
          <cell r="J559"/>
          <cell r="K559"/>
          <cell r="L559"/>
          <cell r="M559"/>
          <cell r="N559"/>
          <cell r="O559"/>
          <cell r="P559"/>
          <cell r="Q559"/>
          <cell r="R559"/>
          <cell r="S559"/>
          <cell r="T559"/>
          <cell r="U559"/>
        </row>
        <row r="560">
          <cell r="A560"/>
          <cell r="B560"/>
          <cell r="C560"/>
          <cell r="D560"/>
          <cell r="E560"/>
          <cell r="F560"/>
          <cell r="H560"/>
          <cell r="I560"/>
          <cell r="J560"/>
          <cell r="K560"/>
          <cell r="L560"/>
          <cell r="M560"/>
          <cell r="N560"/>
          <cell r="O560"/>
          <cell r="P560"/>
          <cell r="Q560"/>
          <cell r="R560"/>
          <cell r="S560"/>
          <cell r="T560"/>
          <cell r="U560"/>
        </row>
        <row r="561">
          <cell r="A561"/>
          <cell r="B561"/>
          <cell r="C561"/>
          <cell r="D561"/>
          <cell r="E561"/>
          <cell r="F561"/>
          <cell r="H561"/>
          <cell r="I561"/>
          <cell r="J561"/>
          <cell r="K561"/>
          <cell r="L561"/>
          <cell r="M561"/>
          <cell r="N561"/>
          <cell r="O561"/>
          <cell r="P561"/>
          <cell r="Q561"/>
          <cell r="R561"/>
          <cell r="S561"/>
          <cell r="T561"/>
          <cell r="U561"/>
        </row>
        <row r="562">
          <cell r="A562"/>
          <cell r="B562"/>
          <cell r="C562"/>
          <cell r="D562"/>
          <cell r="E562"/>
          <cell r="F562"/>
          <cell r="H562"/>
          <cell r="I562"/>
          <cell r="J562"/>
          <cell r="K562"/>
          <cell r="L562"/>
          <cell r="M562"/>
          <cell r="N562"/>
          <cell r="O562"/>
          <cell r="P562"/>
          <cell r="Q562"/>
          <cell r="R562"/>
          <cell r="S562"/>
          <cell r="T562"/>
          <cell r="U562"/>
        </row>
        <row r="563">
          <cell r="A563"/>
          <cell r="B563"/>
          <cell r="C563"/>
          <cell r="D563"/>
          <cell r="E563"/>
          <cell r="F563"/>
          <cell r="H563"/>
          <cell r="I563"/>
          <cell r="J563"/>
          <cell r="K563"/>
          <cell r="L563"/>
          <cell r="M563"/>
          <cell r="N563"/>
          <cell r="O563"/>
          <cell r="P563"/>
          <cell r="Q563"/>
          <cell r="R563"/>
          <cell r="S563"/>
          <cell r="T563"/>
          <cell r="U563"/>
        </row>
        <row r="564">
          <cell r="A564"/>
          <cell r="B564"/>
          <cell r="C564"/>
          <cell r="D564"/>
          <cell r="E564"/>
          <cell r="F564"/>
          <cell r="H564"/>
          <cell r="I564"/>
          <cell r="J564"/>
          <cell r="K564"/>
          <cell r="L564"/>
          <cell r="M564"/>
          <cell r="N564"/>
          <cell r="O564"/>
          <cell r="P564"/>
          <cell r="Q564"/>
          <cell r="R564"/>
          <cell r="S564"/>
          <cell r="T564"/>
          <cell r="U564"/>
        </row>
        <row r="565">
          <cell r="A565"/>
          <cell r="B565"/>
          <cell r="C565"/>
          <cell r="D565"/>
          <cell r="E565"/>
          <cell r="F565"/>
          <cell r="H565"/>
          <cell r="I565"/>
          <cell r="J565"/>
          <cell r="K565"/>
          <cell r="L565"/>
          <cell r="M565"/>
          <cell r="N565"/>
          <cell r="O565"/>
          <cell r="P565"/>
          <cell r="Q565"/>
          <cell r="R565"/>
          <cell r="S565"/>
          <cell r="T565"/>
          <cell r="U565"/>
        </row>
        <row r="566">
          <cell r="A566"/>
          <cell r="B566"/>
          <cell r="C566"/>
          <cell r="D566"/>
          <cell r="E566"/>
          <cell r="F566"/>
          <cell r="H566"/>
          <cell r="I566"/>
          <cell r="J566"/>
          <cell r="K566"/>
          <cell r="L566"/>
          <cell r="M566"/>
          <cell r="N566"/>
          <cell r="O566"/>
          <cell r="P566"/>
          <cell r="Q566"/>
          <cell r="R566"/>
          <cell r="S566"/>
          <cell r="T566"/>
          <cell r="U566"/>
        </row>
        <row r="567">
          <cell r="A567"/>
          <cell r="B567"/>
          <cell r="C567"/>
          <cell r="D567"/>
          <cell r="E567"/>
          <cell r="F567"/>
          <cell r="H567"/>
          <cell r="I567"/>
          <cell r="J567"/>
          <cell r="K567"/>
          <cell r="L567"/>
          <cell r="M567"/>
          <cell r="N567"/>
          <cell r="O567"/>
          <cell r="P567"/>
          <cell r="Q567"/>
          <cell r="R567"/>
          <cell r="S567"/>
          <cell r="T567"/>
          <cell r="U567"/>
        </row>
        <row r="568">
          <cell r="A568"/>
          <cell r="B568"/>
          <cell r="C568"/>
          <cell r="D568"/>
          <cell r="E568"/>
          <cell r="F568"/>
          <cell r="H568"/>
          <cell r="I568"/>
          <cell r="J568"/>
          <cell r="K568"/>
          <cell r="L568"/>
          <cell r="M568"/>
          <cell r="N568"/>
          <cell r="O568"/>
          <cell r="P568"/>
          <cell r="Q568"/>
          <cell r="R568"/>
          <cell r="S568"/>
          <cell r="T568"/>
          <cell r="U568"/>
        </row>
        <row r="569">
          <cell r="A569"/>
          <cell r="B569"/>
          <cell r="C569"/>
          <cell r="D569"/>
          <cell r="E569"/>
          <cell r="F569"/>
          <cell r="H569"/>
          <cell r="I569"/>
          <cell r="J569"/>
          <cell r="K569"/>
          <cell r="L569"/>
          <cell r="M569"/>
          <cell r="N569"/>
          <cell r="O569"/>
          <cell r="P569"/>
          <cell r="Q569"/>
          <cell r="R569"/>
          <cell r="S569"/>
          <cell r="T569"/>
          <cell r="U569"/>
        </row>
        <row r="570">
          <cell r="A570"/>
          <cell r="B570"/>
          <cell r="C570"/>
          <cell r="D570"/>
          <cell r="E570"/>
          <cell r="F570"/>
          <cell r="H570"/>
          <cell r="I570"/>
          <cell r="J570"/>
          <cell r="K570"/>
          <cell r="L570"/>
          <cell r="M570"/>
          <cell r="N570"/>
          <cell r="O570"/>
          <cell r="P570"/>
          <cell r="Q570"/>
          <cell r="R570"/>
          <cell r="S570"/>
          <cell r="T570"/>
          <cell r="U570"/>
        </row>
        <row r="571">
          <cell r="A571"/>
          <cell r="B571"/>
          <cell r="C571"/>
          <cell r="D571"/>
          <cell r="E571"/>
          <cell r="F571"/>
          <cell r="H571"/>
          <cell r="I571"/>
          <cell r="J571"/>
          <cell r="K571"/>
          <cell r="L571"/>
          <cell r="M571"/>
          <cell r="N571"/>
          <cell r="O571"/>
          <cell r="P571"/>
          <cell r="Q571"/>
          <cell r="R571"/>
          <cell r="S571"/>
          <cell r="T571"/>
          <cell r="U571"/>
        </row>
        <row r="572">
          <cell r="A572"/>
          <cell r="B572"/>
          <cell r="C572"/>
          <cell r="D572"/>
          <cell r="E572"/>
          <cell r="F572"/>
          <cell r="H572"/>
          <cell r="I572"/>
          <cell r="J572"/>
          <cell r="K572"/>
          <cell r="L572"/>
          <cell r="M572"/>
          <cell r="N572"/>
          <cell r="O572"/>
          <cell r="P572"/>
          <cell r="Q572"/>
          <cell r="R572"/>
          <cell r="S572"/>
          <cell r="T572"/>
          <cell r="U572"/>
        </row>
        <row r="573">
          <cell r="A573"/>
          <cell r="B573"/>
          <cell r="C573"/>
          <cell r="D573"/>
          <cell r="E573"/>
          <cell r="F573"/>
          <cell r="H573"/>
          <cell r="I573"/>
          <cell r="J573"/>
          <cell r="K573"/>
          <cell r="L573"/>
          <cell r="M573"/>
          <cell r="N573"/>
          <cell r="O573"/>
          <cell r="P573"/>
          <cell r="Q573"/>
          <cell r="R573"/>
          <cell r="S573"/>
          <cell r="T573"/>
          <cell r="U573"/>
        </row>
        <row r="574">
          <cell r="A574"/>
          <cell r="B574"/>
          <cell r="C574"/>
          <cell r="D574"/>
          <cell r="E574"/>
          <cell r="F574"/>
          <cell r="H574"/>
          <cell r="I574"/>
          <cell r="J574"/>
          <cell r="K574"/>
          <cell r="L574"/>
          <cell r="M574"/>
          <cell r="N574"/>
          <cell r="O574"/>
          <cell r="P574"/>
          <cell r="Q574"/>
          <cell r="R574"/>
          <cell r="S574"/>
          <cell r="T574"/>
          <cell r="U574"/>
        </row>
        <row r="575">
          <cell r="A575"/>
          <cell r="B575"/>
          <cell r="C575"/>
          <cell r="D575"/>
          <cell r="E575"/>
          <cell r="F575"/>
          <cell r="H575"/>
          <cell r="I575"/>
          <cell r="J575"/>
          <cell r="K575"/>
          <cell r="L575"/>
          <cell r="M575"/>
          <cell r="N575"/>
          <cell r="O575"/>
          <cell r="P575"/>
          <cell r="Q575"/>
          <cell r="R575"/>
          <cell r="S575"/>
          <cell r="T575"/>
          <cell r="U575"/>
        </row>
        <row r="576">
          <cell r="A576"/>
          <cell r="B576"/>
          <cell r="C576"/>
          <cell r="D576"/>
          <cell r="E576"/>
          <cell r="F576"/>
          <cell r="H576"/>
          <cell r="I576"/>
          <cell r="J576"/>
          <cell r="K576"/>
          <cell r="L576"/>
          <cell r="M576"/>
          <cell r="N576"/>
          <cell r="O576"/>
          <cell r="P576"/>
          <cell r="Q576"/>
          <cell r="R576"/>
          <cell r="S576"/>
          <cell r="T576"/>
          <cell r="U576"/>
        </row>
        <row r="577">
          <cell r="A577"/>
          <cell r="B577"/>
          <cell r="C577"/>
          <cell r="D577"/>
          <cell r="E577"/>
          <cell r="F577"/>
          <cell r="H577"/>
          <cell r="I577"/>
          <cell r="J577"/>
          <cell r="K577"/>
          <cell r="L577"/>
          <cell r="M577"/>
          <cell r="N577"/>
          <cell r="O577"/>
          <cell r="P577"/>
          <cell r="Q577"/>
          <cell r="R577"/>
          <cell r="S577"/>
          <cell r="T577"/>
          <cell r="U577"/>
        </row>
        <row r="578">
          <cell r="A578"/>
          <cell r="B578"/>
          <cell r="C578"/>
          <cell r="D578"/>
          <cell r="E578"/>
          <cell r="F578"/>
          <cell r="H578"/>
          <cell r="I578"/>
          <cell r="J578"/>
          <cell r="K578"/>
          <cell r="L578"/>
          <cell r="M578"/>
          <cell r="N578"/>
          <cell r="O578"/>
          <cell r="P578"/>
          <cell r="Q578"/>
          <cell r="R578"/>
          <cell r="S578"/>
          <cell r="T578"/>
          <cell r="U578"/>
        </row>
        <row r="579">
          <cell r="A579"/>
          <cell r="B579"/>
          <cell r="C579"/>
          <cell r="D579"/>
          <cell r="E579"/>
          <cell r="F579"/>
          <cell r="H579"/>
          <cell r="I579"/>
          <cell r="J579"/>
          <cell r="K579"/>
          <cell r="L579"/>
          <cell r="M579"/>
          <cell r="N579"/>
          <cell r="O579"/>
          <cell r="P579"/>
          <cell r="Q579"/>
          <cell r="R579"/>
          <cell r="S579"/>
          <cell r="T579"/>
          <cell r="U579"/>
        </row>
        <row r="580">
          <cell r="A580"/>
          <cell r="B580"/>
          <cell r="C580"/>
          <cell r="D580"/>
          <cell r="E580"/>
          <cell r="F580"/>
          <cell r="H580"/>
          <cell r="I580"/>
          <cell r="J580"/>
          <cell r="K580"/>
          <cell r="L580"/>
          <cell r="M580"/>
          <cell r="N580"/>
          <cell r="O580"/>
          <cell r="P580"/>
          <cell r="Q580"/>
          <cell r="R580"/>
          <cell r="S580"/>
          <cell r="T580"/>
          <cell r="U580"/>
        </row>
        <row r="581">
          <cell r="A581"/>
          <cell r="B581"/>
          <cell r="C581"/>
          <cell r="D581"/>
          <cell r="E581"/>
          <cell r="F581"/>
          <cell r="H581"/>
          <cell r="I581"/>
          <cell r="J581"/>
          <cell r="K581"/>
          <cell r="L581"/>
          <cell r="M581"/>
          <cell r="N581"/>
          <cell r="O581"/>
          <cell r="P581"/>
          <cell r="Q581"/>
          <cell r="R581"/>
          <cell r="S581"/>
          <cell r="T581"/>
          <cell r="U581"/>
        </row>
        <row r="582">
          <cell r="A582"/>
          <cell r="B582"/>
          <cell r="C582"/>
          <cell r="D582"/>
          <cell r="E582"/>
          <cell r="F582"/>
          <cell r="H582"/>
          <cell r="I582"/>
          <cell r="J582"/>
          <cell r="K582"/>
          <cell r="L582"/>
          <cell r="M582"/>
          <cell r="N582"/>
          <cell r="O582"/>
          <cell r="P582"/>
          <cell r="Q582"/>
          <cell r="R582"/>
          <cell r="S582"/>
          <cell r="T582"/>
          <cell r="U582"/>
        </row>
        <row r="583">
          <cell r="A583"/>
          <cell r="B583"/>
          <cell r="C583"/>
          <cell r="D583"/>
          <cell r="E583"/>
          <cell r="F583"/>
          <cell r="H583"/>
          <cell r="I583"/>
          <cell r="J583"/>
          <cell r="K583"/>
          <cell r="L583"/>
          <cell r="M583"/>
          <cell r="N583"/>
          <cell r="O583"/>
          <cell r="P583"/>
          <cell r="Q583"/>
          <cell r="R583"/>
          <cell r="S583"/>
          <cell r="T583"/>
          <cell r="U583"/>
        </row>
        <row r="584">
          <cell r="A584"/>
          <cell r="B584"/>
          <cell r="C584"/>
          <cell r="D584"/>
          <cell r="E584"/>
          <cell r="F584"/>
          <cell r="H584"/>
          <cell r="I584"/>
          <cell r="J584"/>
          <cell r="K584"/>
          <cell r="L584"/>
          <cell r="M584"/>
          <cell r="N584"/>
          <cell r="O584"/>
          <cell r="P584"/>
          <cell r="Q584"/>
          <cell r="R584"/>
          <cell r="S584"/>
          <cell r="T584"/>
          <cell r="U584"/>
        </row>
        <row r="585">
          <cell r="A585"/>
          <cell r="B585"/>
          <cell r="C585"/>
          <cell r="D585"/>
          <cell r="E585"/>
          <cell r="F585"/>
          <cell r="H585"/>
          <cell r="I585"/>
          <cell r="J585"/>
          <cell r="K585"/>
          <cell r="L585"/>
          <cell r="M585"/>
          <cell r="N585"/>
          <cell r="O585"/>
          <cell r="P585"/>
          <cell r="Q585"/>
          <cell r="R585"/>
          <cell r="S585"/>
          <cell r="T585"/>
          <cell r="U585"/>
        </row>
        <row r="586">
          <cell r="A586"/>
          <cell r="B586"/>
          <cell r="C586"/>
          <cell r="D586"/>
          <cell r="E586"/>
          <cell r="F586"/>
          <cell r="H586"/>
          <cell r="I586"/>
          <cell r="J586"/>
          <cell r="K586"/>
          <cell r="L586"/>
          <cell r="M586"/>
          <cell r="N586"/>
          <cell r="O586"/>
          <cell r="P586"/>
          <cell r="Q586"/>
          <cell r="R586"/>
          <cell r="S586"/>
          <cell r="T586"/>
          <cell r="U586"/>
        </row>
        <row r="587">
          <cell r="A587"/>
          <cell r="B587"/>
          <cell r="C587"/>
          <cell r="D587"/>
          <cell r="E587"/>
          <cell r="F587"/>
          <cell r="H587"/>
          <cell r="I587"/>
          <cell r="J587"/>
          <cell r="K587"/>
          <cell r="L587"/>
          <cell r="M587"/>
          <cell r="N587"/>
          <cell r="O587"/>
          <cell r="P587"/>
          <cell r="Q587"/>
          <cell r="R587"/>
          <cell r="S587"/>
          <cell r="T587"/>
          <cell r="U587"/>
        </row>
        <row r="588">
          <cell r="A588"/>
          <cell r="B588"/>
          <cell r="C588"/>
          <cell r="D588"/>
          <cell r="E588"/>
          <cell r="F588"/>
          <cell r="H588"/>
          <cell r="I588"/>
          <cell r="J588"/>
          <cell r="K588"/>
          <cell r="L588"/>
          <cell r="M588"/>
          <cell r="N588"/>
          <cell r="O588"/>
          <cell r="P588"/>
          <cell r="Q588"/>
          <cell r="R588"/>
          <cell r="S588"/>
          <cell r="T588"/>
          <cell r="U588"/>
        </row>
        <row r="589">
          <cell r="A589"/>
          <cell r="B589"/>
          <cell r="C589"/>
          <cell r="D589"/>
          <cell r="E589"/>
          <cell r="F589"/>
          <cell r="H589"/>
          <cell r="I589"/>
          <cell r="J589"/>
          <cell r="K589"/>
          <cell r="L589"/>
          <cell r="M589"/>
          <cell r="N589"/>
          <cell r="O589"/>
          <cell r="P589"/>
          <cell r="Q589"/>
          <cell r="R589"/>
          <cell r="S589"/>
          <cell r="T589"/>
          <cell r="U589"/>
        </row>
        <row r="590">
          <cell r="A590"/>
          <cell r="B590"/>
          <cell r="C590"/>
          <cell r="D590"/>
          <cell r="E590"/>
          <cell r="F590"/>
          <cell r="H590"/>
          <cell r="I590"/>
          <cell r="J590"/>
          <cell r="K590"/>
          <cell r="L590"/>
          <cell r="M590"/>
          <cell r="N590"/>
          <cell r="O590"/>
          <cell r="P590"/>
          <cell r="Q590"/>
          <cell r="R590"/>
          <cell r="S590"/>
          <cell r="T590"/>
          <cell r="U590"/>
        </row>
        <row r="591">
          <cell r="A591"/>
          <cell r="B591"/>
          <cell r="C591"/>
          <cell r="D591"/>
          <cell r="E591"/>
          <cell r="F591"/>
          <cell r="H591"/>
          <cell r="I591"/>
          <cell r="J591"/>
          <cell r="K591"/>
          <cell r="L591"/>
          <cell r="M591"/>
          <cell r="N591"/>
          <cell r="O591"/>
          <cell r="P591"/>
          <cell r="Q591"/>
          <cell r="R591"/>
          <cell r="S591"/>
          <cell r="T591"/>
          <cell r="U591"/>
        </row>
        <row r="592">
          <cell r="A592"/>
          <cell r="B592"/>
          <cell r="C592"/>
          <cell r="D592"/>
          <cell r="E592"/>
          <cell r="F592"/>
          <cell r="H592"/>
          <cell r="I592"/>
          <cell r="J592"/>
          <cell r="K592"/>
          <cell r="L592"/>
          <cell r="M592"/>
          <cell r="N592"/>
          <cell r="O592"/>
          <cell r="P592"/>
          <cell r="Q592"/>
          <cell r="R592"/>
          <cell r="S592"/>
          <cell r="T592"/>
          <cell r="U592"/>
        </row>
        <row r="593">
          <cell r="A593"/>
          <cell r="B593"/>
          <cell r="C593"/>
          <cell r="D593"/>
          <cell r="E593"/>
          <cell r="F593"/>
          <cell r="H593"/>
          <cell r="I593"/>
          <cell r="J593"/>
          <cell r="K593"/>
          <cell r="L593"/>
          <cell r="M593"/>
          <cell r="N593"/>
          <cell r="O593"/>
          <cell r="P593"/>
          <cell r="Q593"/>
          <cell r="R593"/>
          <cell r="S593"/>
          <cell r="T593"/>
          <cell r="U593"/>
        </row>
        <row r="594">
          <cell r="A594"/>
          <cell r="B594"/>
          <cell r="C594"/>
          <cell r="D594"/>
          <cell r="E594"/>
          <cell r="F594"/>
          <cell r="H594"/>
          <cell r="I594"/>
          <cell r="J594"/>
          <cell r="K594"/>
          <cell r="L594"/>
          <cell r="M594"/>
          <cell r="N594"/>
          <cell r="O594"/>
          <cell r="P594"/>
          <cell r="Q594"/>
          <cell r="R594"/>
          <cell r="S594"/>
          <cell r="T594"/>
          <cell r="U594"/>
        </row>
        <row r="595">
          <cell r="A595"/>
          <cell r="B595"/>
          <cell r="C595"/>
          <cell r="D595"/>
          <cell r="E595"/>
          <cell r="F595"/>
          <cell r="H595"/>
          <cell r="I595"/>
          <cell r="J595"/>
          <cell r="K595"/>
          <cell r="L595"/>
          <cell r="M595"/>
          <cell r="N595"/>
          <cell r="O595"/>
          <cell r="P595"/>
          <cell r="Q595"/>
          <cell r="R595"/>
          <cell r="S595"/>
          <cell r="T595"/>
          <cell r="U595"/>
        </row>
        <row r="596">
          <cell r="A596"/>
          <cell r="B596"/>
          <cell r="C596"/>
          <cell r="D596"/>
          <cell r="E596"/>
          <cell r="F596"/>
          <cell r="H596"/>
          <cell r="I596"/>
          <cell r="J596"/>
          <cell r="K596"/>
          <cell r="L596"/>
          <cell r="M596"/>
          <cell r="N596"/>
          <cell r="O596"/>
          <cell r="P596"/>
          <cell r="Q596"/>
          <cell r="R596"/>
          <cell r="S596"/>
          <cell r="T596"/>
          <cell r="U596"/>
        </row>
        <row r="597">
          <cell r="A597"/>
          <cell r="B597"/>
          <cell r="C597"/>
          <cell r="D597"/>
          <cell r="E597"/>
          <cell r="F597"/>
          <cell r="H597"/>
          <cell r="I597"/>
          <cell r="J597"/>
          <cell r="K597"/>
          <cell r="L597"/>
          <cell r="M597"/>
          <cell r="N597"/>
          <cell r="O597"/>
          <cell r="P597"/>
          <cell r="Q597"/>
          <cell r="R597"/>
          <cell r="S597"/>
          <cell r="T597"/>
          <cell r="U597"/>
        </row>
        <row r="598">
          <cell r="A598"/>
          <cell r="B598"/>
          <cell r="C598"/>
          <cell r="D598"/>
          <cell r="E598"/>
          <cell r="F598"/>
          <cell r="H598"/>
          <cell r="I598"/>
          <cell r="J598"/>
          <cell r="K598"/>
          <cell r="L598"/>
          <cell r="M598"/>
          <cell r="N598"/>
          <cell r="O598"/>
          <cell r="P598"/>
          <cell r="Q598"/>
          <cell r="R598"/>
          <cell r="S598"/>
          <cell r="T598"/>
          <cell r="U598"/>
        </row>
        <row r="599">
          <cell r="A599"/>
          <cell r="B599"/>
          <cell r="C599"/>
          <cell r="D599"/>
          <cell r="E599"/>
          <cell r="F599"/>
          <cell r="H599"/>
          <cell r="I599"/>
          <cell r="J599"/>
          <cell r="K599"/>
          <cell r="L599"/>
          <cell r="M599"/>
          <cell r="N599"/>
          <cell r="O599"/>
          <cell r="P599"/>
          <cell r="Q599"/>
          <cell r="R599"/>
          <cell r="S599"/>
          <cell r="T599"/>
          <cell r="U599"/>
        </row>
        <row r="600">
          <cell r="A600"/>
          <cell r="B600"/>
          <cell r="C600"/>
          <cell r="D600"/>
          <cell r="E600"/>
          <cell r="F600"/>
          <cell r="H600"/>
          <cell r="I600"/>
          <cell r="J600"/>
          <cell r="K600"/>
          <cell r="L600"/>
          <cell r="M600"/>
          <cell r="N600"/>
          <cell r="O600"/>
          <cell r="P600"/>
          <cell r="Q600"/>
          <cell r="R600"/>
          <cell r="S600"/>
          <cell r="T600"/>
          <cell r="U600"/>
        </row>
        <row r="601">
          <cell r="A601"/>
          <cell r="B601"/>
          <cell r="C601"/>
          <cell r="D601"/>
          <cell r="E601"/>
          <cell r="F601"/>
          <cell r="H601"/>
          <cell r="I601"/>
          <cell r="J601"/>
          <cell r="K601"/>
          <cell r="L601"/>
          <cell r="M601"/>
          <cell r="N601"/>
          <cell r="O601"/>
          <cell r="P601"/>
          <cell r="Q601"/>
          <cell r="R601"/>
          <cell r="S601"/>
          <cell r="T601"/>
          <cell r="U601"/>
        </row>
        <row r="602">
          <cell r="A602"/>
          <cell r="B602"/>
          <cell r="C602"/>
          <cell r="D602"/>
          <cell r="E602"/>
          <cell r="F602"/>
          <cell r="H602"/>
          <cell r="I602"/>
          <cell r="J602"/>
          <cell r="K602"/>
          <cell r="L602"/>
          <cell r="M602"/>
          <cell r="N602"/>
          <cell r="O602"/>
          <cell r="P602"/>
          <cell r="Q602"/>
          <cell r="R602"/>
          <cell r="S602"/>
          <cell r="T602"/>
          <cell r="U602"/>
        </row>
        <row r="603">
          <cell r="A603"/>
          <cell r="B603"/>
          <cell r="C603"/>
          <cell r="D603"/>
          <cell r="E603"/>
          <cell r="F603"/>
          <cell r="H603"/>
          <cell r="I603"/>
          <cell r="J603"/>
          <cell r="K603"/>
          <cell r="L603"/>
          <cell r="M603"/>
          <cell r="N603"/>
          <cell r="O603"/>
          <cell r="P603"/>
          <cell r="Q603"/>
          <cell r="R603"/>
          <cell r="S603"/>
          <cell r="T603"/>
          <cell r="U603"/>
        </row>
        <row r="604">
          <cell r="A604"/>
          <cell r="B604"/>
          <cell r="C604"/>
          <cell r="D604"/>
          <cell r="E604"/>
          <cell r="F604"/>
          <cell r="H604"/>
          <cell r="I604"/>
          <cell r="J604"/>
          <cell r="K604"/>
          <cell r="L604"/>
          <cell r="M604"/>
          <cell r="N604"/>
          <cell r="O604"/>
          <cell r="P604"/>
          <cell r="Q604"/>
          <cell r="R604"/>
          <cell r="S604"/>
          <cell r="T604"/>
          <cell r="U604"/>
        </row>
        <row r="605">
          <cell r="A605"/>
          <cell r="B605"/>
          <cell r="C605"/>
          <cell r="D605"/>
          <cell r="E605"/>
          <cell r="F605"/>
          <cell r="H605"/>
          <cell r="I605"/>
          <cell r="J605"/>
          <cell r="K605"/>
          <cell r="L605"/>
          <cell r="M605"/>
          <cell r="N605"/>
          <cell r="O605"/>
          <cell r="P605"/>
          <cell r="Q605"/>
          <cell r="R605"/>
          <cell r="S605"/>
          <cell r="T605"/>
          <cell r="U605"/>
        </row>
        <row r="606">
          <cell r="A606"/>
          <cell r="B606"/>
          <cell r="C606"/>
          <cell r="D606"/>
          <cell r="E606"/>
          <cell r="F606"/>
          <cell r="H606"/>
          <cell r="I606"/>
          <cell r="J606"/>
          <cell r="K606"/>
          <cell r="L606"/>
          <cell r="M606"/>
          <cell r="N606"/>
          <cell r="O606"/>
          <cell r="P606"/>
          <cell r="Q606"/>
          <cell r="R606"/>
          <cell r="S606"/>
          <cell r="T606"/>
          <cell r="U606"/>
        </row>
        <row r="607">
          <cell r="A607"/>
          <cell r="B607"/>
          <cell r="C607"/>
          <cell r="D607"/>
          <cell r="E607"/>
          <cell r="F607"/>
          <cell r="H607"/>
          <cell r="I607"/>
          <cell r="J607"/>
          <cell r="K607"/>
          <cell r="L607"/>
          <cell r="M607"/>
          <cell r="N607"/>
          <cell r="O607"/>
          <cell r="P607"/>
          <cell r="Q607"/>
          <cell r="R607"/>
          <cell r="S607"/>
          <cell r="T607"/>
          <cell r="U607"/>
        </row>
        <row r="608">
          <cell r="A608"/>
          <cell r="B608"/>
          <cell r="C608"/>
          <cell r="D608"/>
          <cell r="E608"/>
          <cell r="F608"/>
          <cell r="H608"/>
          <cell r="I608"/>
          <cell r="J608"/>
          <cell r="K608"/>
          <cell r="L608"/>
          <cell r="M608"/>
          <cell r="N608"/>
          <cell r="O608"/>
          <cell r="P608"/>
          <cell r="Q608"/>
          <cell r="R608"/>
          <cell r="S608"/>
          <cell r="T608"/>
          <cell r="U608"/>
        </row>
        <row r="609">
          <cell r="A609"/>
          <cell r="B609"/>
          <cell r="C609"/>
          <cell r="D609"/>
          <cell r="E609"/>
          <cell r="F609"/>
          <cell r="H609"/>
          <cell r="I609"/>
          <cell r="J609"/>
          <cell r="K609"/>
          <cell r="L609"/>
          <cell r="M609"/>
          <cell r="N609"/>
          <cell r="O609"/>
          <cell r="P609"/>
          <cell r="Q609"/>
          <cell r="R609"/>
          <cell r="S609"/>
          <cell r="T609"/>
          <cell r="U609"/>
        </row>
        <row r="610">
          <cell r="A610"/>
          <cell r="B610"/>
          <cell r="C610"/>
          <cell r="D610"/>
          <cell r="E610"/>
          <cell r="F610"/>
          <cell r="H610"/>
          <cell r="I610"/>
          <cell r="J610"/>
          <cell r="K610"/>
          <cell r="L610"/>
          <cell r="M610"/>
          <cell r="N610"/>
          <cell r="O610"/>
          <cell r="P610"/>
          <cell r="Q610"/>
          <cell r="R610"/>
          <cell r="S610"/>
          <cell r="T610"/>
          <cell r="U610"/>
        </row>
        <row r="611">
          <cell r="A611"/>
          <cell r="B611"/>
          <cell r="C611"/>
          <cell r="D611"/>
          <cell r="E611"/>
          <cell r="F611"/>
          <cell r="H611"/>
          <cell r="I611"/>
          <cell r="J611"/>
          <cell r="K611"/>
          <cell r="L611"/>
          <cell r="M611"/>
          <cell r="N611"/>
          <cell r="O611"/>
          <cell r="P611"/>
          <cell r="Q611"/>
          <cell r="R611"/>
          <cell r="S611"/>
          <cell r="T611"/>
          <cell r="U611"/>
        </row>
        <row r="612">
          <cell r="A612"/>
          <cell r="B612"/>
          <cell r="C612"/>
          <cell r="D612"/>
          <cell r="E612"/>
          <cell r="F612"/>
          <cell r="H612"/>
          <cell r="I612"/>
          <cell r="J612"/>
          <cell r="K612"/>
          <cell r="L612"/>
          <cell r="M612"/>
          <cell r="N612"/>
          <cell r="O612"/>
          <cell r="P612"/>
          <cell r="Q612"/>
          <cell r="R612"/>
          <cell r="S612"/>
          <cell r="T612"/>
          <cell r="U612"/>
        </row>
        <row r="613">
          <cell r="A613"/>
          <cell r="B613"/>
          <cell r="C613"/>
          <cell r="D613"/>
          <cell r="E613"/>
          <cell r="F613"/>
          <cell r="H613"/>
          <cell r="I613"/>
          <cell r="J613"/>
          <cell r="K613"/>
          <cell r="L613"/>
          <cell r="M613"/>
          <cell r="N613"/>
          <cell r="O613"/>
          <cell r="P613"/>
          <cell r="Q613"/>
          <cell r="R613"/>
          <cell r="S613"/>
          <cell r="T613"/>
          <cell r="U613"/>
        </row>
        <row r="614">
          <cell r="A614"/>
          <cell r="B614"/>
          <cell r="C614"/>
          <cell r="D614"/>
          <cell r="E614"/>
          <cell r="F614"/>
          <cell r="H614"/>
          <cell r="I614"/>
          <cell r="J614"/>
          <cell r="K614"/>
          <cell r="L614"/>
          <cell r="M614"/>
          <cell r="N614"/>
          <cell r="O614"/>
          <cell r="P614"/>
          <cell r="Q614"/>
          <cell r="R614"/>
          <cell r="S614"/>
          <cell r="T614"/>
          <cell r="U614"/>
        </row>
        <row r="615">
          <cell r="A615"/>
          <cell r="B615"/>
          <cell r="C615"/>
          <cell r="D615"/>
          <cell r="E615"/>
          <cell r="F615"/>
          <cell r="H615"/>
          <cell r="I615"/>
          <cell r="J615"/>
          <cell r="K615"/>
          <cell r="L615"/>
          <cell r="M615"/>
          <cell r="N615"/>
          <cell r="O615"/>
          <cell r="P615"/>
          <cell r="Q615"/>
          <cell r="R615"/>
          <cell r="S615"/>
          <cell r="T615"/>
          <cell r="U615"/>
        </row>
        <row r="616">
          <cell r="A616"/>
          <cell r="B616"/>
          <cell r="C616"/>
          <cell r="D616"/>
          <cell r="E616"/>
          <cell r="F616"/>
          <cell r="H616"/>
          <cell r="I616"/>
          <cell r="J616"/>
          <cell r="K616"/>
          <cell r="L616"/>
          <cell r="M616"/>
          <cell r="N616"/>
          <cell r="O616"/>
          <cell r="P616"/>
          <cell r="Q616"/>
          <cell r="R616"/>
          <cell r="S616"/>
          <cell r="T616"/>
          <cell r="U616"/>
        </row>
        <row r="617">
          <cell r="A617"/>
          <cell r="B617"/>
          <cell r="C617"/>
          <cell r="D617"/>
          <cell r="E617"/>
          <cell r="F617"/>
          <cell r="H617"/>
          <cell r="I617"/>
          <cell r="J617"/>
          <cell r="K617"/>
          <cell r="L617"/>
          <cell r="M617"/>
          <cell r="N617"/>
          <cell r="O617"/>
          <cell r="P617"/>
          <cell r="Q617"/>
          <cell r="R617"/>
          <cell r="S617"/>
          <cell r="T617"/>
          <cell r="U617"/>
        </row>
        <row r="618">
          <cell r="A618"/>
          <cell r="B618"/>
          <cell r="C618"/>
          <cell r="D618"/>
          <cell r="E618"/>
          <cell r="F618"/>
          <cell r="H618"/>
          <cell r="I618"/>
          <cell r="J618"/>
          <cell r="K618"/>
          <cell r="L618"/>
          <cell r="M618"/>
          <cell r="N618"/>
          <cell r="O618"/>
          <cell r="P618"/>
          <cell r="Q618"/>
          <cell r="R618"/>
          <cell r="S618"/>
          <cell r="T618"/>
          <cell r="U618"/>
        </row>
        <row r="619">
          <cell r="A619"/>
          <cell r="B619"/>
          <cell r="C619"/>
          <cell r="D619"/>
          <cell r="E619"/>
          <cell r="F619"/>
          <cell r="H619"/>
          <cell r="I619"/>
          <cell r="J619"/>
          <cell r="K619"/>
          <cell r="L619"/>
          <cell r="M619"/>
          <cell r="N619"/>
          <cell r="O619"/>
          <cell r="P619"/>
          <cell r="Q619"/>
          <cell r="R619"/>
          <cell r="S619"/>
          <cell r="T619"/>
          <cell r="U619"/>
        </row>
        <row r="620">
          <cell r="A620"/>
          <cell r="B620"/>
          <cell r="C620"/>
          <cell r="D620"/>
          <cell r="E620"/>
          <cell r="F620"/>
          <cell r="H620"/>
          <cell r="I620"/>
          <cell r="J620"/>
          <cell r="K620"/>
          <cell r="L620"/>
          <cell r="M620"/>
          <cell r="N620"/>
          <cell r="O620"/>
          <cell r="P620"/>
          <cell r="Q620"/>
          <cell r="R620"/>
          <cell r="S620"/>
          <cell r="T620"/>
          <cell r="U620"/>
        </row>
        <row r="621">
          <cell r="A621"/>
          <cell r="B621"/>
          <cell r="C621"/>
          <cell r="D621"/>
          <cell r="E621"/>
          <cell r="F621"/>
          <cell r="H621"/>
          <cell r="I621"/>
          <cell r="J621"/>
          <cell r="K621"/>
          <cell r="L621"/>
          <cell r="M621"/>
          <cell r="N621"/>
          <cell r="O621"/>
          <cell r="P621"/>
          <cell r="Q621"/>
          <cell r="R621"/>
          <cell r="S621"/>
          <cell r="T621"/>
          <cell r="U621"/>
        </row>
        <row r="622">
          <cell r="A622"/>
          <cell r="B622"/>
          <cell r="C622"/>
          <cell r="D622"/>
          <cell r="E622"/>
          <cell r="F622"/>
          <cell r="H622"/>
          <cell r="I622"/>
          <cell r="J622"/>
          <cell r="K622"/>
          <cell r="L622"/>
          <cell r="M622"/>
          <cell r="N622"/>
          <cell r="O622"/>
          <cell r="P622"/>
          <cell r="Q622"/>
          <cell r="R622"/>
          <cell r="S622"/>
          <cell r="T622"/>
          <cell r="U622"/>
        </row>
        <row r="623">
          <cell r="A623"/>
          <cell r="B623"/>
          <cell r="C623"/>
          <cell r="D623"/>
          <cell r="E623"/>
          <cell r="F623"/>
          <cell r="H623"/>
          <cell r="I623"/>
          <cell r="J623"/>
          <cell r="K623"/>
          <cell r="L623"/>
          <cell r="M623"/>
          <cell r="N623"/>
          <cell r="O623"/>
          <cell r="P623"/>
          <cell r="Q623"/>
          <cell r="R623"/>
          <cell r="S623"/>
          <cell r="T623"/>
          <cell r="U623"/>
        </row>
        <row r="624">
          <cell r="A624"/>
          <cell r="B624"/>
          <cell r="C624"/>
          <cell r="D624"/>
          <cell r="E624"/>
          <cell r="F624"/>
          <cell r="H624"/>
          <cell r="I624"/>
          <cell r="J624"/>
          <cell r="K624"/>
          <cell r="L624"/>
          <cell r="M624"/>
          <cell r="N624"/>
          <cell r="O624"/>
          <cell r="P624"/>
          <cell r="Q624"/>
          <cell r="R624"/>
          <cell r="S624"/>
          <cell r="T624"/>
          <cell r="U624"/>
        </row>
        <row r="625">
          <cell r="A625"/>
          <cell r="B625"/>
          <cell r="C625"/>
          <cell r="D625"/>
          <cell r="E625"/>
          <cell r="F625"/>
          <cell r="H625"/>
          <cell r="I625"/>
          <cell r="J625"/>
          <cell r="K625"/>
          <cell r="L625"/>
          <cell r="M625"/>
          <cell r="N625"/>
          <cell r="O625"/>
          <cell r="P625"/>
          <cell r="Q625"/>
          <cell r="R625"/>
          <cell r="S625"/>
          <cell r="T625"/>
          <cell r="U625"/>
        </row>
        <row r="626">
          <cell r="A626"/>
          <cell r="B626"/>
          <cell r="C626"/>
          <cell r="D626"/>
          <cell r="E626"/>
          <cell r="F626"/>
          <cell r="H626"/>
          <cell r="I626"/>
          <cell r="J626"/>
          <cell r="K626"/>
          <cell r="L626"/>
          <cell r="M626"/>
          <cell r="N626"/>
          <cell r="O626"/>
          <cell r="P626"/>
          <cell r="Q626"/>
          <cell r="R626"/>
          <cell r="S626"/>
          <cell r="T626"/>
          <cell r="U626"/>
        </row>
        <row r="627">
          <cell r="A627"/>
          <cell r="B627"/>
          <cell r="C627"/>
          <cell r="D627"/>
          <cell r="E627"/>
          <cell r="F627"/>
          <cell r="H627"/>
          <cell r="I627"/>
          <cell r="J627"/>
          <cell r="K627"/>
          <cell r="L627"/>
          <cell r="M627"/>
          <cell r="N627"/>
          <cell r="O627"/>
          <cell r="P627"/>
          <cell r="Q627"/>
          <cell r="R627"/>
          <cell r="S627"/>
          <cell r="T627"/>
          <cell r="U627"/>
        </row>
        <row r="628">
          <cell r="A628"/>
          <cell r="B628"/>
          <cell r="C628"/>
          <cell r="D628"/>
          <cell r="E628"/>
          <cell r="F628"/>
          <cell r="H628"/>
          <cell r="I628"/>
          <cell r="J628"/>
          <cell r="K628"/>
          <cell r="L628"/>
          <cell r="M628"/>
          <cell r="N628"/>
          <cell r="O628"/>
          <cell r="P628"/>
          <cell r="Q628"/>
          <cell r="R628"/>
          <cell r="S628"/>
          <cell r="T628"/>
          <cell r="U628"/>
        </row>
        <row r="629">
          <cell r="A629"/>
          <cell r="B629"/>
          <cell r="C629"/>
          <cell r="D629"/>
          <cell r="E629"/>
          <cell r="F629"/>
          <cell r="H629"/>
          <cell r="I629"/>
          <cell r="J629"/>
          <cell r="K629"/>
          <cell r="L629"/>
          <cell r="M629"/>
          <cell r="N629"/>
          <cell r="O629"/>
          <cell r="P629"/>
          <cell r="Q629"/>
          <cell r="R629"/>
          <cell r="S629"/>
          <cell r="T629"/>
          <cell r="U629"/>
        </row>
        <row r="630">
          <cell r="A630"/>
          <cell r="B630"/>
          <cell r="C630"/>
          <cell r="D630"/>
          <cell r="E630"/>
          <cell r="F630"/>
          <cell r="H630"/>
          <cell r="I630"/>
          <cell r="J630"/>
          <cell r="K630"/>
          <cell r="L630"/>
          <cell r="M630"/>
          <cell r="N630"/>
          <cell r="O630"/>
          <cell r="P630"/>
          <cell r="Q630"/>
          <cell r="R630"/>
          <cell r="S630"/>
          <cell r="T630"/>
          <cell r="U630"/>
        </row>
        <row r="631">
          <cell r="A631"/>
          <cell r="B631"/>
          <cell r="C631"/>
          <cell r="D631"/>
          <cell r="E631"/>
          <cell r="F631"/>
          <cell r="H631"/>
          <cell r="I631"/>
          <cell r="J631"/>
          <cell r="K631"/>
          <cell r="L631"/>
          <cell r="M631"/>
          <cell r="N631"/>
          <cell r="O631"/>
          <cell r="P631"/>
          <cell r="Q631"/>
          <cell r="R631"/>
          <cell r="S631"/>
          <cell r="T631"/>
          <cell r="U631"/>
        </row>
        <row r="632">
          <cell r="A632"/>
          <cell r="B632"/>
          <cell r="C632"/>
          <cell r="D632"/>
          <cell r="E632"/>
          <cell r="F632"/>
          <cell r="H632"/>
          <cell r="I632"/>
          <cell r="J632"/>
          <cell r="K632"/>
          <cell r="L632"/>
          <cell r="M632"/>
          <cell r="N632"/>
          <cell r="O632"/>
          <cell r="P632"/>
          <cell r="Q632"/>
          <cell r="R632"/>
          <cell r="S632"/>
          <cell r="T632"/>
          <cell r="U632"/>
        </row>
        <row r="633">
          <cell r="A633"/>
          <cell r="B633"/>
          <cell r="C633"/>
          <cell r="D633"/>
          <cell r="E633"/>
          <cell r="F633"/>
          <cell r="H633"/>
          <cell r="I633"/>
          <cell r="J633"/>
          <cell r="K633"/>
          <cell r="L633"/>
          <cell r="M633"/>
          <cell r="N633"/>
          <cell r="O633"/>
          <cell r="P633"/>
          <cell r="Q633"/>
          <cell r="R633"/>
          <cell r="S633"/>
          <cell r="T633"/>
          <cell r="U633"/>
        </row>
        <row r="634">
          <cell r="A634"/>
          <cell r="B634"/>
          <cell r="C634"/>
          <cell r="D634"/>
          <cell r="E634"/>
          <cell r="F634"/>
          <cell r="H634"/>
          <cell r="I634"/>
          <cell r="J634"/>
          <cell r="K634"/>
          <cell r="L634"/>
          <cell r="M634"/>
          <cell r="N634"/>
          <cell r="O634"/>
          <cell r="P634"/>
          <cell r="Q634"/>
          <cell r="R634"/>
          <cell r="S634"/>
          <cell r="T634"/>
          <cell r="U634"/>
        </row>
        <row r="635">
          <cell r="A635"/>
          <cell r="B635"/>
          <cell r="C635"/>
          <cell r="D635"/>
          <cell r="E635"/>
          <cell r="F635"/>
          <cell r="H635"/>
          <cell r="I635"/>
          <cell r="J635"/>
          <cell r="K635"/>
          <cell r="L635"/>
          <cell r="M635"/>
          <cell r="N635"/>
          <cell r="O635"/>
          <cell r="P635"/>
          <cell r="Q635"/>
          <cell r="R635"/>
          <cell r="S635"/>
          <cell r="T635"/>
          <cell r="U635"/>
        </row>
        <row r="636">
          <cell r="A636"/>
          <cell r="B636"/>
          <cell r="C636"/>
          <cell r="D636"/>
          <cell r="E636"/>
          <cell r="F636"/>
          <cell r="H636"/>
          <cell r="I636"/>
          <cell r="J636"/>
          <cell r="K636"/>
          <cell r="L636"/>
          <cell r="M636"/>
          <cell r="N636"/>
          <cell r="O636"/>
          <cell r="P636"/>
          <cell r="Q636"/>
          <cell r="R636"/>
          <cell r="S636"/>
          <cell r="T636"/>
          <cell r="U636"/>
        </row>
        <row r="637">
          <cell r="A637"/>
          <cell r="B637"/>
          <cell r="C637"/>
          <cell r="D637"/>
          <cell r="E637"/>
          <cell r="F637"/>
          <cell r="H637"/>
          <cell r="I637"/>
          <cell r="J637"/>
          <cell r="K637"/>
          <cell r="L637"/>
          <cell r="M637"/>
          <cell r="N637"/>
          <cell r="O637"/>
          <cell r="P637"/>
          <cell r="Q637"/>
          <cell r="R637"/>
          <cell r="S637"/>
          <cell r="T637"/>
          <cell r="U637"/>
        </row>
        <row r="638">
          <cell r="A638"/>
          <cell r="B638"/>
          <cell r="C638"/>
          <cell r="D638"/>
          <cell r="E638"/>
          <cell r="F638"/>
          <cell r="H638"/>
          <cell r="I638"/>
          <cell r="J638"/>
          <cell r="K638"/>
          <cell r="L638"/>
          <cell r="M638"/>
          <cell r="N638"/>
          <cell r="O638"/>
          <cell r="P638"/>
          <cell r="Q638"/>
          <cell r="R638"/>
          <cell r="S638"/>
          <cell r="T638"/>
          <cell r="U638"/>
        </row>
        <row r="639">
          <cell r="A639"/>
          <cell r="B639"/>
          <cell r="C639"/>
          <cell r="D639"/>
          <cell r="E639"/>
          <cell r="F639"/>
          <cell r="H639"/>
          <cell r="I639"/>
          <cell r="J639"/>
          <cell r="K639"/>
          <cell r="L639"/>
          <cell r="M639"/>
          <cell r="N639"/>
          <cell r="O639"/>
          <cell r="P639"/>
          <cell r="Q639"/>
          <cell r="R639"/>
          <cell r="S639"/>
          <cell r="T639"/>
          <cell r="U639"/>
        </row>
        <row r="640">
          <cell r="A640"/>
          <cell r="B640"/>
          <cell r="C640"/>
          <cell r="D640"/>
          <cell r="E640"/>
          <cell r="F640"/>
          <cell r="H640"/>
          <cell r="I640"/>
          <cell r="J640"/>
          <cell r="K640"/>
          <cell r="L640"/>
          <cell r="M640"/>
          <cell r="N640"/>
          <cell r="O640"/>
          <cell r="P640"/>
          <cell r="Q640"/>
          <cell r="R640"/>
          <cell r="S640"/>
          <cell r="T640"/>
          <cell r="U640"/>
        </row>
        <row r="641">
          <cell r="A641"/>
          <cell r="B641"/>
          <cell r="C641"/>
          <cell r="D641"/>
          <cell r="E641"/>
          <cell r="F641"/>
          <cell r="H641"/>
          <cell r="I641"/>
          <cell r="J641"/>
          <cell r="K641"/>
          <cell r="L641"/>
          <cell r="M641"/>
          <cell r="N641"/>
          <cell r="O641"/>
          <cell r="P641"/>
          <cell r="Q641"/>
          <cell r="R641"/>
          <cell r="S641"/>
          <cell r="T641"/>
          <cell r="U641"/>
        </row>
        <row r="642">
          <cell r="A642"/>
          <cell r="B642"/>
          <cell r="C642"/>
          <cell r="D642"/>
          <cell r="E642"/>
          <cell r="F642"/>
          <cell r="H642"/>
          <cell r="I642"/>
          <cell r="J642"/>
          <cell r="K642"/>
          <cell r="L642"/>
          <cell r="M642"/>
          <cell r="N642"/>
          <cell r="O642"/>
          <cell r="P642"/>
          <cell r="Q642"/>
          <cell r="R642"/>
          <cell r="S642"/>
          <cell r="T642"/>
          <cell r="U642"/>
        </row>
        <row r="643">
          <cell r="A643"/>
          <cell r="B643"/>
          <cell r="C643"/>
          <cell r="D643"/>
          <cell r="E643"/>
          <cell r="F643"/>
          <cell r="H643"/>
          <cell r="I643"/>
          <cell r="J643"/>
          <cell r="K643"/>
          <cell r="L643"/>
          <cell r="M643"/>
          <cell r="N643"/>
          <cell r="O643"/>
          <cell r="P643"/>
          <cell r="Q643"/>
          <cell r="R643"/>
          <cell r="S643"/>
          <cell r="T643"/>
          <cell r="U643"/>
        </row>
        <row r="644">
          <cell r="A644"/>
          <cell r="B644"/>
          <cell r="C644"/>
          <cell r="D644"/>
          <cell r="E644"/>
          <cell r="F644"/>
          <cell r="H644"/>
          <cell r="I644"/>
          <cell r="J644"/>
          <cell r="K644"/>
          <cell r="L644"/>
          <cell r="M644"/>
          <cell r="N644"/>
          <cell r="O644"/>
          <cell r="P644"/>
          <cell r="Q644"/>
          <cell r="R644"/>
          <cell r="S644"/>
          <cell r="T644"/>
          <cell r="U644"/>
        </row>
        <row r="645">
          <cell r="A645"/>
          <cell r="B645"/>
          <cell r="C645"/>
          <cell r="D645"/>
          <cell r="E645"/>
          <cell r="F645"/>
          <cell r="H645"/>
          <cell r="I645"/>
          <cell r="J645"/>
          <cell r="K645"/>
          <cell r="L645"/>
          <cell r="M645"/>
          <cell r="N645"/>
          <cell r="O645"/>
          <cell r="P645"/>
          <cell r="Q645"/>
          <cell r="R645"/>
          <cell r="S645"/>
          <cell r="T645"/>
          <cell r="U645"/>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MLDTZFJYGJXFAZGDSS46SRJVZN">
      <xxl21:absoluteUrl r:id="rId2"/>
      <xxl21:relativeUrl r:id="rId3"/>
    </xxl21:alternateUrls>
    <sheetNames>
      <sheetName val="PRIORIZADOS"/>
      <sheetName val="DEMANDA"/>
      <sheetName val="MESAS DIRECTIVOS IE"/>
      <sheetName val="OPERACIONES-ACTIVIDADES"/>
      <sheetName val="MANUALES DE CONVIVENCIA IED"/>
      <sheetName val="PEGRCC Y GOBIERNOS ESCOLARES"/>
      <sheetName val="LISTAS"/>
      <sheetName val="COLEGIOS"/>
      <sheetName val="ACTIVIDADES  "/>
    </sheetNames>
    <sheetDataSet>
      <sheetData sheetId="0">
        <row r="1">
          <cell r="B1"/>
          <cell r="C1"/>
          <cell r="D1"/>
          <cell r="E1" t="str">
            <v>SUBSECRETARÍA DE INTEGRACIÓN INTERINSTITUCIONAL
DIRECCIÓN DE INSPECCIÓN Y VIGILANCIA</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cell r="G5" t="str">
            <v>9. FONTIBÓN</v>
          </cell>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Código Único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FUNCIONARIO (S)
CORRESPONSABLE/(S)
(Nombre y apellido del corresponsable de ejecutar la actividad)</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seguimiento y/o verificación realizada o por realizar sobre los compromisos o PMI acordados)</v>
          </cell>
        </row>
        <row r="8">
          <cell r="A8">
            <v>877</v>
          </cell>
          <cell r="B8">
            <v>1</v>
          </cell>
          <cell r="C8" t="str">
            <v>FONTIBÓN</v>
          </cell>
          <cell r="D8" t="str">
            <v>PRIVADO</v>
          </cell>
          <cell r="E8" t="str">
            <v>Educación de Jóvenes y Adultos</v>
          </cell>
          <cell r="F8" t="str">
            <v>POLITECNICO_MAYOR_ANDINO</v>
          </cell>
          <cell r="G8" t="str">
            <v>POLITECNICO_MAYOR_ANDINO</v>
          </cell>
          <cell r="H8" t="str">
            <v>Autoevaluación Institucional y Pruebas SABER 11</v>
          </cell>
          <cell r="I8" t="str">
            <v>SEGUIMIENTO_Y_SUPERVISIÓN.</v>
          </cell>
          <cell r="J8" t="str">
            <v>Proponer estrategias en la formulación, verificar su elaboración y realizar seguimiento semestral al desarrollo de  las acciones establecidas en los planes de mejoramiento por pruebas SABER 11 de los establecimientos de educación formal.</v>
          </cell>
          <cell r="K8" t="str">
            <v>JAIME GABRIEL GONZÁLEZ GAMBOA</v>
          </cell>
          <cell r="L8" t="str">
            <v>JOSÉ GUILLERMO ALARCÓN CUALLA</v>
          </cell>
          <cell r="M8">
            <v>45769</v>
          </cell>
          <cell r="N8">
            <v>45807</v>
          </cell>
          <cell r="O8">
            <v>45807</v>
          </cell>
          <cell r="P8" t="str">
            <v>Visitas de evaluación con fines de mejoramiento</v>
          </cell>
          <cell r="Q8" t="str">
            <v>POLITECNICO MAYOR ANDINO.pdf</v>
          </cell>
          <cell r="R8" t="str">
            <v>La institución no ha implementado acciones para mejorar los aprendizajes de los estudiantes en las áreas del plan de estudio con más bajo desempeño en las pruebas SABER 11, ni  actualizado el currículo y plan de estudios  con base en los resultados obtenidos en las pruebas SABER 11?</v>
          </cell>
          <cell r="S8" t="str">
            <v xml:space="preserve">Se debe llevar a Consejo Académico el Plan de Mejoramiento, donde se involucre el PEI, el Currículo en relación con el desempeño institucional de las pruebas saber </v>
          </cell>
          <cell r="T8" t="str">
            <v>Si</v>
          </cell>
          <cell r="U8" t="str">
            <v>Revisión y análisis del plan de trabajo a presentar a finales del mes de agosto del 2025.</v>
          </cell>
        </row>
        <row r="9">
          <cell r="A9">
            <v>878</v>
          </cell>
          <cell r="B9">
            <v>1</v>
          </cell>
          <cell r="C9" t="str">
            <v>FONTIBÓN</v>
          </cell>
          <cell r="D9" t="str">
            <v>PRIVADO</v>
          </cell>
          <cell r="E9" t="str">
            <v>Educación de Jóvenes y Adultos</v>
          </cell>
          <cell r="F9" t="str">
            <v>POLITECNICO_MAYOR_ANDINO</v>
          </cell>
          <cell r="G9" t="str">
            <v>POLITECNICO_MAYOR_ANDINO</v>
          </cell>
          <cell r="H9" t="str">
            <v>Autoevaluación Institucional y Pruebas SABER 11</v>
          </cell>
          <cell r="I9" t="str">
            <v>SEGUIMIENTO_Y_SUPERVISIÓN.</v>
          </cell>
          <cell r="J9" t="str">
            <v xml:space="preserve">Verificar la implementación por parte de los colegios, de acciones realizadas para la prevención y atención de las situaciones de convivencia en el entorno escolar, según lo establecido en la Directiva 01 de 2022 del MEN. </v>
          </cell>
          <cell r="K9" t="str">
            <v>JAIME GABRIEL GONZÁLEZ GAMBOA</v>
          </cell>
          <cell r="L9" t="str">
            <v>JOSÉ GUILLERMO ALARCÓN CUALLA</v>
          </cell>
          <cell r="M9">
            <v>45769</v>
          </cell>
          <cell r="N9">
            <v>45807</v>
          </cell>
          <cell r="O9">
            <v>45807</v>
          </cell>
          <cell r="P9" t="str">
            <v>Visitas de evaluación con fines de control</v>
          </cell>
          <cell r="Q9" t="str">
            <v>POLITECNICO MAYOR ANDINO.pdf</v>
          </cell>
          <cell r="R9" t="str">
            <v>No hay acciones del Comité de Convivencia Escolar en el marco de la Ruta de Atención integral, que tiendan a generar acciones encaminadas a la previsión y prevención en materia convivencial.</v>
          </cell>
          <cell r="S9" t="str">
            <v>Se deben desarrollar jornadas lideradas por el Comité de convivencia escolar encaminadas a la previsión y promoción de la convivencia escolar.</v>
          </cell>
          <cell r="T9" t="str">
            <v>Si</v>
          </cell>
          <cell r="U9" t="str">
            <v>Revisión y análisis del plan trabajo a presentar finales del mes de agosto del 2025</v>
          </cell>
        </row>
        <row r="10">
          <cell r="A10">
            <v>879</v>
          </cell>
          <cell r="B10">
            <v>1</v>
          </cell>
          <cell r="C10" t="str">
            <v>FONTIBÓN</v>
          </cell>
          <cell r="D10" t="str">
            <v>PRIVADO</v>
          </cell>
          <cell r="E10" t="str">
            <v>Educación de Jóvenes y Adultos</v>
          </cell>
          <cell r="F10" t="str">
            <v>POLITECNICO_MAYOR_ANDINO</v>
          </cell>
          <cell r="G10" t="str">
            <v>POLITECNICO_MAYOR_ANDINO</v>
          </cell>
          <cell r="H10" t="str">
            <v>Autoevaluación Institucional y Pruebas SABER 11</v>
          </cell>
          <cell r="I10" t="str">
            <v>SEGUIMIENTO_Y_SUPERVISIÓN.</v>
          </cell>
          <cell r="J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 t="str">
            <v>JAIME GABRIEL GONZÁLEZ GAMBOA</v>
          </cell>
          <cell r="L10" t="str">
            <v>JOSÉ GUILLERMO ALARCÓN CUALLA</v>
          </cell>
          <cell r="M10">
            <v>45769</v>
          </cell>
          <cell r="N10">
            <v>45807</v>
          </cell>
          <cell r="O10">
            <v>45807</v>
          </cell>
          <cell r="P10" t="str">
            <v>Visitas de evaluación con fines de mejoramiento</v>
          </cell>
          <cell r="Q10" t="str">
            <v>POLITECNICO MAYOR ANDINO.pdf</v>
          </cell>
          <cell r="R10" t="str">
            <v>La institución no registra  estudiantes en condición de discapacidad; sin embargo, en el SIMAT se registran algunos estudiantes en dicha situación.</v>
          </cell>
          <cell r="S10" t="str">
            <v>La institución debe dirigir comunicación a los padres de familia y a la institución educativa anterior, para que se actualice la información registrada en el SIMAT, el estado y la cifra real de esta población.</v>
          </cell>
          <cell r="T10" t="str">
            <v>Si</v>
          </cell>
          <cell r="U10" t="str">
            <v>Revisión y análisis del plan trabajo a presentar finales del mes de agosto del 2025</v>
          </cell>
        </row>
        <row r="11">
          <cell r="A11">
            <v>880</v>
          </cell>
          <cell r="B11">
            <v>1</v>
          </cell>
          <cell r="C11" t="str">
            <v>FONTIBÓN</v>
          </cell>
          <cell r="D11" t="str">
            <v>PRIVADO</v>
          </cell>
          <cell r="E11" t="str">
            <v>Educación de Jóvenes y Adultos</v>
          </cell>
          <cell r="F11" t="str">
            <v>POLITECNICO_MAYOR_ANDINO</v>
          </cell>
          <cell r="G11" t="str">
            <v>POLITECNICO_MAYOR_ANDINO</v>
          </cell>
          <cell r="H11" t="str">
            <v>Autoevaluación Institucional y Pruebas SABER 11</v>
          </cell>
          <cell r="I11" t="str">
            <v>EVALUACIÓN_CON_FINES_DE_MEJORAMIENTO.</v>
          </cell>
          <cell r="J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 t="str">
            <v>JAIME GABRIEL GONZÁLEZ GAMBOA</v>
          </cell>
          <cell r="L11" t="str">
            <v>JOSÉ GUILLERMO ALARCÓN CUALLA</v>
          </cell>
          <cell r="M11">
            <v>45769</v>
          </cell>
          <cell r="N11">
            <v>45807</v>
          </cell>
          <cell r="O11">
            <v>45807</v>
          </cell>
          <cell r="P11" t="str">
            <v>Visitas de evaluación con fines de mejoramiento</v>
          </cell>
          <cell r="Q11" t="str">
            <v>POLITECNICO MAYOR ANDINO.pdf</v>
          </cell>
          <cell r="R11" t="str">
            <v xml:space="preserve">El manual de convivencia fue construido de manera participativa, pero es necesario que sea conocido por toda la comunidad con énfasis en el enfoque restaurativo y en los mecanismos de previsión y prevención en materia de convivencia.  </v>
          </cell>
          <cell r="S11" t="str">
            <v>Planear y ejecutar programas de sensibilización en torno a la convivencia escolar dirigido a la comunidad educativa.</v>
          </cell>
          <cell r="T11" t="str">
            <v>Si</v>
          </cell>
          <cell r="U11" t="str">
            <v>Revisión y análisis del plan trabajo a presentar finales del mes de agosto del 2025</v>
          </cell>
        </row>
        <row r="12">
          <cell r="A12">
            <v>881</v>
          </cell>
          <cell r="B12">
            <v>1</v>
          </cell>
          <cell r="C12" t="str">
            <v>FONTIBÓN</v>
          </cell>
          <cell r="D12" t="str">
            <v>PRIVADO</v>
          </cell>
          <cell r="E12" t="str">
            <v>Educación de Jóvenes y Adultos</v>
          </cell>
          <cell r="F12" t="str">
            <v>POLITECNICO_MAYOR_ANDINO</v>
          </cell>
          <cell r="G12" t="str">
            <v>POLITECNICO_MAYOR_ANDINO</v>
          </cell>
          <cell r="H12" t="str">
            <v>Autoevaluación Institucional y Pruebas SABER 11</v>
          </cell>
          <cell r="I12" t="str">
            <v>EVALUACIÓN_CON_FINES_DE_MEJORAMIENTO.</v>
          </cell>
          <cell r="J12" t="str">
            <v>Revisar la actualización, socialización e implementación del Sistema Institucional de Evaluación de Estudiantes - SIEE, en articulación con la actualización del PEI y la normatividad vigente.</v>
          </cell>
          <cell r="K12" t="str">
            <v>JAIME GABRIEL GONZÁLEZ GAMBOA</v>
          </cell>
          <cell r="L12" t="str">
            <v>JOSÉ GUILLERMO ALARCÓN CUALLA</v>
          </cell>
          <cell r="M12">
            <v>45769</v>
          </cell>
          <cell r="N12">
            <v>45807</v>
          </cell>
          <cell r="O12">
            <v>45807</v>
          </cell>
          <cell r="P12" t="str">
            <v>Visitas de evaluación con fines de mejoramiento</v>
          </cell>
          <cell r="Q12" t="str">
            <v>POLITECNICO MAYOR ANDINO.pdf</v>
          </cell>
          <cell r="R12" t="str">
            <v>El sistema institucional de evaluación estudiantil se debe revisar, en razón a que la institución solo emite un informe académico durante el ciclo.</v>
          </cell>
          <cell r="S12" t="str">
            <v>La institución debe generar informes académicos periódicos del desempeño de los estudiantes y documentarlo en el SIEE.</v>
          </cell>
          <cell r="T12" t="str">
            <v>Si</v>
          </cell>
          <cell r="U12" t="str">
            <v>Revisión y análisis del plan trabajo a presentar finales del mes de agosto del 2025</v>
          </cell>
        </row>
        <row r="13">
          <cell r="A13">
            <v>882</v>
          </cell>
          <cell r="B13">
            <v>1</v>
          </cell>
          <cell r="C13" t="str">
            <v>FONTIBÓN</v>
          </cell>
          <cell r="D13" t="str">
            <v>PRIVADO</v>
          </cell>
          <cell r="E13" t="str">
            <v>Educación de Jóvenes y Adultos</v>
          </cell>
          <cell r="F13" t="str">
            <v>POLITECNICO_MAYOR_ANDINO</v>
          </cell>
          <cell r="G13" t="str">
            <v>POLITECNICO_MAYOR_ANDINO</v>
          </cell>
          <cell r="H13" t="str">
            <v>Autoevaluación Institucional y Pruebas SABER 11</v>
          </cell>
          <cell r="I13" t="str">
            <v>EVALUACIÓN_CON_FINES_DE_MEJORAMIENTO.</v>
          </cell>
          <cell r="J13" t="str">
            <v>Revisar el calendario escolar, jornada escolar, la intensidad horaria mínima anual en cada nivel y las modificaciones que se realicen al mismo, de acuerdo con lo previsto en la normatividad vigente.</v>
          </cell>
          <cell r="K13" t="str">
            <v>JAIME GABRIEL GONZÁLEZ GAMBOA</v>
          </cell>
          <cell r="L13" t="str">
            <v>JOSÉ GUILLERMO ALARCÓN CUALLA</v>
          </cell>
          <cell r="M13">
            <v>45769</v>
          </cell>
          <cell r="N13">
            <v>45807</v>
          </cell>
          <cell r="O13">
            <v>45807</v>
          </cell>
          <cell r="P13" t="str">
            <v>Visitas de evaluación con fines de mejoramiento</v>
          </cell>
          <cell r="Q13" t="str">
            <v>POLITECNICO MAYOR ANDINO.pdf</v>
          </cell>
          <cell r="R13" t="str">
            <v>La institución educativa debe realizar la evaluación y ajuste de la intensidad horaria mínima para cada área académica del respectivo nivel, el cual debe ser informado oportunamente a los estudiantes y/o acudientes.</v>
          </cell>
          <cell r="S13" t="str">
            <v>Evaluación y ajuste de los tiempos escolares en garantía del servicio educativo.</v>
          </cell>
          <cell r="T13" t="str">
            <v>Si</v>
          </cell>
          <cell r="U13" t="str">
            <v>Revisión y análisis del plan trabajo a presentar finales del mes de agosto del 2025</v>
          </cell>
        </row>
        <row r="14">
          <cell r="A14">
            <v>883</v>
          </cell>
          <cell r="B14">
            <v>1</v>
          </cell>
          <cell r="C14" t="str">
            <v>FONTIBÓN</v>
          </cell>
          <cell r="D14" t="str">
            <v>PRIVADO</v>
          </cell>
          <cell r="E14" t="str">
            <v>Educación de Jóvenes y Adultos</v>
          </cell>
          <cell r="F14" t="str">
            <v>POLITECNICO_MAYOR_ANDINO</v>
          </cell>
          <cell r="G14" t="str">
            <v>POLITECNICO_MAYOR_ANDINO</v>
          </cell>
          <cell r="H14" t="str">
            <v>Autoevaluación Institucional y Pruebas SABER 11</v>
          </cell>
          <cell r="I14" t="str">
            <v>EVALUACIÓN_CON_FINES_DE_MEJORAMIENTO.</v>
          </cell>
          <cell r="J14" t="str">
            <v>Verificar el funcionamiento del Gobierno Escolar e instancias de participación con base en la información sobre conformación reportada por la institución educativa.</v>
          </cell>
          <cell r="K14" t="str">
            <v>JAIME GABRIEL GONZÁLEZ GAMBOA</v>
          </cell>
          <cell r="L14" t="str">
            <v>JOSÉ GUILLERMO ALARCÓN CUALLA</v>
          </cell>
          <cell r="M14">
            <v>45769</v>
          </cell>
          <cell r="N14">
            <v>45807</v>
          </cell>
          <cell r="O14">
            <v>45807</v>
          </cell>
          <cell r="P14" t="str">
            <v>Visitas de evaluación con fines de mejoramiento</v>
          </cell>
          <cell r="Q14" t="str">
            <v>POLITECNICO MAYOR ANDINO.pdf</v>
          </cell>
          <cell r="R14" t="str">
            <v>El Gobierno escolar está constituido de acuerdo a lo establecido en norma y soportado en actas, pero en el primer trimestre no se había reunido .</v>
          </cell>
          <cell r="S14" t="str">
            <v>Se debe convocar a las diferentes instancias del gobierno escolar para lo  de su competencia.</v>
          </cell>
          <cell r="T14" t="str">
            <v>Si</v>
          </cell>
          <cell r="U14" t="str">
            <v>Revisión y análisis del plan trabajo a presentar finales del mes de agosto del 2025</v>
          </cell>
        </row>
        <row r="15">
          <cell r="A15">
            <v>884</v>
          </cell>
          <cell r="B15">
            <v>1</v>
          </cell>
          <cell r="C15" t="str">
            <v>FONTIBÓN</v>
          </cell>
          <cell r="D15" t="str">
            <v>PRIVADO</v>
          </cell>
          <cell r="E15" t="str">
            <v>Educación de Jóvenes y Adultos</v>
          </cell>
          <cell r="F15" t="str">
            <v>POLITECNICO_MAYOR_ANDINO</v>
          </cell>
          <cell r="G15" t="str">
            <v>POLITECNICO_MAYOR_ANDINO</v>
          </cell>
          <cell r="H15" t="str">
            <v>Autoevaluación Institucional y Pruebas SABER 11</v>
          </cell>
          <cell r="I15" t="str">
            <v>EVALUACIÓN_CON_FINES_DE_MEJORAMIENTO.</v>
          </cell>
          <cell r="J15" t="str">
            <v>Verificar las condiciones en cuanto a: la estructura administrativa, condiciones de la planta física y medios educativos adecuados.</v>
          </cell>
          <cell r="K15" t="str">
            <v>JAIME GABRIEL GONZÁLEZ GAMBOA</v>
          </cell>
          <cell r="L15" t="str">
            <v>JOSÉ GUILLERMO ALARCÓN CUALLA</v>
          </cell>
          <cell r="M15">
            <v>45769</v>
          </cell>
          <cell r="N15">
            <v>45807</v>
          </cell>
          <cell r="O15">
            <v>45807</v>
          </cell>
          <cell r="P15" t="str">
            <v>Visitas de evaluación con fines de mejoramiento</v>
          </cell>
          <cell r="Q15" t="str">
            <v>POLITECNICO MAYOR ANDINO.pdf</v>
          </cell>
          <cell r="R15" t="str">
            <v>El mobiliario se encuentra funcional y en buen estado, no tiene escenarios habilitados para actividades recreativas, lúdicas o deportivas.</v>
          </cell>
          <cell r="S15" t="str">
            <v>Se deben activar y adecuar áreas que no están en servicio, para el desarrollo de las actividades lúdicas, recreativas y culturales.</v>
          </cell>
          <cell r="T15" t="str">
            <v>Si</v>
          </cell>
          <cell r="U15" t="str">
            <v>Revisión y análisis del plan trabajo a presentar finales del mes de agosto del 2025</v>
          </cell>
        </row>
        <row r="16">
          <cell r="A16">
            <v>886</v>
          </cell>
          <cell r="B16">
            <v>2</v>
          </cell>
          <cell r="C16" t="str">
            <v>FONTIBÓN</v>
          </cell>
          <cell r="D16" t="str">
            <v>PRIVADO</v>
          </cell>
          <cell r="E16" t="str">
            <v>Educación de Jóvenes y Adultos</v>
          </cell>
          <cell r="F16" t="str">
            <v>COLEGIO_TECNISISTEMAS</v>
          </cell>
          <cell r="G16" t="str">
            <v>COLEGIO_TECNISISTEMAS</v>
          </cell>
          <cell r="H16" t="str">
            <v>Autoevaluación Institucional y Pruebas SABER 11</v>
          </cell>
          <cell r="I16" t="str">
            <v>SEGUIMIENTO_Y_SUPERVISIÓN.</v>
          </cell>
          <cell r="J16" t="str">
            <v>Proponer estrategias en la formulación, verificar su elaboración y realizar seguimiento semestral al desarrollo de  las acciones establecidas en los planes de mejoramiento por pruebas SABER 11 de los establecimientos de educación formal.</v>
          </cell>
          <cell r="K16" t="str">
            <v>JOSÉ GUILLERMO ALARCÓN CUALLA</v>
          </cell>
          <cell r="L16" t="str">
            <v>JAIME GABRIEL GONZÁLEZ GAMBOA</v>
          </cell>
          <cell r="M16">
            <v>45799</v>
          </cell>
          <cell r="N16">
            <v>45783</v>
          </cell>
          <cell r="O16">
            <v>45783</v>
          </cell>
          <cell r="P16" t="str">
            <v>Visitas de evaluación con fines de mejoramiento</v>
          </cell>
          <cell r="Q16" t="str">
            <v>acta visita firmada.pdf</v>
          </cell>
          <cell r="R16" t="str">
            <v>La IE se encuentra clasificada pruebas SABER 11 vigencia 2024 – NIVEL C., se identifica que es necesario hacer reflexión de los resultados por área de valoración.</v>
          </cell>
          <cell r="S16" t="str">
            <v>Generar el análisis institucional por área de estudio y resultados, con el fin de potenciar estrategias académicas de evaluación.</v>
          </cell>
          <cell r="T16" t="str">
            <v>Si</v>
          </cell>
          <cell r="U16" t="str">
            <v>Revisión y análisis de la  proyección de mejoramiento con base en el análisis de resultados, el 15 de agosto.</v>
          </cell>
        </row>
        <row r="17">
          <cell r="A17">
            <v>887</v>
          </cell>
          <cell r="B17">
            <v>2</v>
          </cell>
          <cell r="C17" t="str">
            <v>FONTIBÓN</v>
          </cell>
          <cell r="D17" t="str">
            <v>PRIVADO</v>
          </cell>
          <cell r="E17" t="str">
            <v>Educación de Jóvenes y Adultos</v>
          </cell>
          <cell r="F17" t="str">
            <v>COLEGIO_TECNISISTEMAS</v>
          </cell>
          <cell r="G17" t="str">
            <v>COLEGIO_TECNISISTEMAS</v>
          </cell>
          <cell r="H17" t="str">
            <v>Autoevaluación Institucional y Pruebas SABER 11</v>
          </cell>
          <cell r="I17" t="str">
            <v>SEGUIMIENTO_Y_SUPERVISIÓN.</v>
          </cell>
          <cell r="J17" t="str">
            <v xml:space="preserve">Verificar la implementación por parte de los colegios, de acciones realizadas para la prevención y atención de las situaciones de convivencia en el entorno escolar, según lo establecido en la Directiva 01 de 2022 del MEN. </v>
          </cell>
          <cell r="K17" t="str">
            <v>JOSÉ GUILLERMO ALARCÓN CUALLA</v>
          </cell>
          <cell r="L17" t="str">
            <v>JAIME GABRIEL GONZÁLEZ GAMBOA</v>
          </cell>
          <cell r="M17">
            <v>45799</v>
          </cell>
          <cell r="N17">
            <v>45783</v>
          </cell>
          <cell r="O17">
            <v>45783</v>
          </cell>
          <cell r="P17" t="str">
            <v>Visitas de evaluación con fines de mejoramiento</v>
          </cell>
          <cell r="Q17" t="str">
            <v>acta visita firmada.pdf</v>
          </cell>
          <cell r="R17" t="str">
            <v>Se realiza la consulta y registro permanente de inhabilidades por delitos sexuales en el sistema de la Policía Nacional.</v>
          </cell>
          <cell r="S17" t="str">
            <v>El sistema de personal de la IE, mantiene la observación continua y la anotación individual en las hojas de vida.</v>
          </cell>
          <cell r="T17" t="str">
            <v>No</v>
          </cell>
          <cell r="U17" t="str">
            <v>Promover en reuniones de Directivos acciones de seguimiento y prevención sobre la temática.</v>
          </cell>
        </row>
        <row r="18">
          <cell r="A18">
            <v>888</v>
          </cell>
          <cell r="B18">
            <v>2</v>
          </cell>
          <cell r="C18" t="str">
            <v>FONTIBÓN</v>
          </cell>
          <cell r="D18" t="str">
            <v>PRIVADO</v>
          </cell>
          <cell r="E18" t="str">
            <v>Educación de Jóvenes y Adultos</v>
          </cell>
          <cell r="F18" t="str">
            <v>COLEGIO_TECNISISTEMAS</v>
          </cell>
          <cell r="G18" t="str">
            <v>COLEGIO_TECNISISTEMAS</v>
          </cell>
          <cell r="H18" t="str">
            <v>Autoevaluación Institucional y Pruebas SABER 11</v>
          </cell>
          <cell r="I18" t="str">
            <v>SEGUIMIENTO_Y_SUPERVISIÓN.</v>
          </cell>
          <cell r="J1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8" t="str">
            <v>JOSÉ GUILLERMO ALARCÓN CUALLA</v>
          </cell>
          <cell r="L18" t="str">
            <v>JAIME GABRIEL GONZÁLEZ GAMBOA</v>
          </cell>
          <cell r="M18">
            <v>45799</v>
          </cell>
          <cell r="N18">
            <v>45783</v>
          </cell>
          <cell r="O18">
            <v>45783</v>
          </cell>
          <cell r="P18" t="str">
            <v>Visitas de evaluación con fines de mejoramiento</v>
          </cell>
          <cell r="Q18" t="str">
            <v>acta visita firmada.pdf</v>
          </cell>
          <cell r="R18" t="str">
            <v>Cada escolar en condición de inclusión cuenta con PIAR formalizado y es de conocimiento familiar. Se registra el diagnóstico y proyecta el sistema de atención pedagógica.</v>
          </cell>
          <cell r="S18" t="str">
            <v xml:space="preserve">Continuar con el seguimiento y los ajustes que se requieran en el proceso académico y convivencial de los estudiantes. </v>
          </cell>
          <cell r="T18" t="str">
            <v>No</v>
          </cell>
          <cell r="U18" t="str">
            <v xml:space="preserve">En seguimiento se solicitará informe al finalizar el tercer periodo escolar, sobre la atención a los escolares. </v>
          </cell>
        </row>
        <row r="19">
          <cell r="A19">
            <v>889</v>
          </cell>
          <cell r="B19">
            <v>2</v>
          </cell>
          <cell r="C19" t="str">
            <v>FONTIBÓN</v>
          </cell>
          <cell r="D19" t="str">
            <v>PRIVADO</v>
          </cell>
          <cell r="E19" t="str">
            <v>Educación de Jóvenes y Adultos</v>
          </cell>
          <cell r="F19" t="str">
            <v>COLEGIO_TECNISISTEMAS</v>
          </cell>
          <cell r="G19" t="str">
            <v>COLEGIO_TECNISISTEMAS</v>
          </cell>
          <cell r="H19" t="str">
            <v>Autoevaluación Institucional y Pruebas SABER 11</v>
          </cell>
          <cell r="I19" t="str">
            <v>EVALUACIÓN_CON_FINES_DE_MEJORAMIENTO.</v>
          </cell>
          <cell r="J1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 t="str">
            <v>JOSÉ GUILLERMO ALARCÓN CUALLA</v>
          </cell>
          <cell r="L19" t="str">
            <v>JAIME GABRIEL GONZÁLEZ GAMBOA</v>
          </cell>
          <cell r="M19">
            <v>45799</v>
          </cell>
          <cell r="N19">
            <v>45783</v>
          </cell>
          <cell r="O19">
            <v>45783</v>
          </cell>
          <cell r="P19" t="str">
            <v>Visitas de evaluación con fines de mejoramiento</v>
          </cell>
          <cell r="Q19" t="str">
            <v>acta visita firmada.pdf</v>
          </cell>
          <cell r="R19" t="str">
            <v>Se encuentra publicado, se socializa en cada uno de los ciclos y su contenido registra los elementos de ley. En seguimiento se solicita informe al finalizar el tercer periodo escolar, sobre la atención a los escolares.</v>
          </cell>
          <cell r="S19" t="str">
            <v>Continuar los proceso de revisión y actualización anual del manual</v>
          </cell>
          <cell r="T19" t="str">
            <v>No</v>
          </cell>
          <cell r="U19" t="str">
            <v>. Se efectuará mesa de gestión a finalizar el tercer periodo escolar. Fecha: cuarto trimestre.</v>
          </cell>
        </row>
        <row r="20">
          <cell r="A20">
            <v>890</v>
          </cell>
          <cell r="B20">
            <v>2</v>
          </cell>
          <cell r="C20" t="str">
            <v>FONTIBÓN</v>
          </cell>
          <cell r="D20" t="str">
            <v>PRIVADO</v>
          </cell>
          <cell r="E20" t="str">
            <v>Educación de Jóvenes y Adultos</v>
          </cell>
          <cell r="F20" t="str">
            <v>COLEGIO_TECNISISTEMAS</v>
          </cell>
          <cell r="G20" t="str">
            <v>COLEGIO_TECNISISTEMAS</v>
          </cell>
          <cell r="H20" t="str">
            <v>Autoevaluación Institucional y Pruebas SABER 11</v>
          </cell>
          <cell r="I20" t="str">
            <v>EVALUACIÓN_CON_FINES_DE_MEJORAMIENTO.</v>
          </cell>
          <cell r="J20" t="str">
            <v>Revisar la actualización, socialización e implementación del Sistema Institucional de Evaluación de Estudiantes - SIEE, en articulación con la actualización del PEI y la normatividad vigente.</v>
          </cell>
          <cell r="K20" t="str">
            <v>JOSÉ GUILLERMO ALARCÓN CUALLA</v>
          </cell>
          <cell r="L20" t="str">
            <v>JAIME GABRIEL GONZÁLEZ GAMBOA</v>
          </cell>
          <cell r="M20">
            <v>45799</v>
          </cell>
          <cell r="N20">
            <v>45783</v>
          </cell>
          <cell r="O20">
            <v>45783</v>
          </cell>
          <cell r="P20" t="str">
            <v>Visitas de evaluación con fines de mejoramiento</v>
          </cell>
          <cell r="Q20" t="str">
            <v>acta visita firmada.pdf</v>
          </cell>
          <cell r="R20" t="str">
            <v>Esta publicado, es de conocimiento de la comunidad y se soporta en un sistema de registro de resultados académicos.
Se emiten resultados académicos periódicos y desarrollan planes de mejoramiento preventivos.</v>
          </cell>
          <cell r="S20" t="str">
            <v>Continuar con la implementación de las acciones definidas en el SIEE.</v>
          </cell>
          <cell r="T20" t="str">
            <v>No</v>
          </cell>
          <cell r="U20" t="str">
            <v>Se efectuará mesa de gestión a finalizar el tercer periodo escolar. Fecha: cuarto trimestre.</v>
          </cell>
        </row>
        <row r="21">
          <cell r="A21">
            <v>891</v>
          </cell>
          <cell r="B21">
            <v>2</v>
          </cell>
          <cell r="C21" t="str">
            <v>FONTIBÓN</v>
          </cell>
          <cell r="D21" t="str">
            <v>PRIVADO</v>
          </cell>
          <cell r="E21" t="str">
            <v>Educación de Jóvenes y Adultos</v>
          </cell>
          <cell r="F21" t="str">
            <v>COLEGIO_TECNISISTEMAS</v>
          </cell>
          <cell r="G21" t="str">
            <v>COLEGIO_TECNISISTEMAS</v>
          </cell>
          <cell r="H21" t="str">
            <v>Autoevaluación Institucional y Pruebas SABER 11</v>
          </cell>
          <cell r="I21" t="str">
            <v>EVALUACIÓN_CON_FINES_DE_MEJORAMIENTO.</v>
          </cell>
          <cell r="J21" t="str">
            <v>Revisar el calendario escolar, jornada escolar, la intensidad horaria mínima anual en cada nivel y las modificaciones que se realicen al mismo, de acuerdo con lo previsto en la normatividad vigente.</v>
          </cell>
          <cell r="K21" t="str">
            <v>JOSÉ GUILLERMO ALARCÓN CUALLA</v>
          </cell>
          <cell r="L21" t="str">
            <v>JAIME GABRIEL GONZÁLEZ GAMBOA</v>
          </cell>
          <cell r="M21">
            <v>45799</v>
          </cell>
          <cell r="N21">
            <v>45783</v>
          </cell>
          <cell r="O21">
            <v>45783</v>
          </cell>
          <cell r="P21" t="str">
            <v>Visitas de evaluación con fines de mejoramiento</v>
          </cell>
          <cell r="Q21" t="str">
            <v>acta visita firmada.pdf</v>
          </cell>
          <cell r="R21" t="str">
            <v>Esta publicado, es de conocimiento institucional.</v>
          </cell>
          <cell r="S21" t="str">
            <v>Efectuar revisión del concepto sabatino VS fin de semana, que permita ajustar el tiempo académico.</v>
          </cell>
          <cell r="T21" t="str">
            <v>Si</v>
          </cell>
          <cell r="U21" t="str">
            <v>Se efectuará mesa de gestión a finalizar el tercer periodo escolar, para alorar el tiempo académico y su ajuste. Fecha: cuarto trimestre.</v>
          </cell>
        </row>
        <row r="22">
          <cell r="A22">
            <v>892</v>
          </cell>
          <cell r="B22">
            <v>2</v>
          </cell>
          <cell r="C22" t="str">
            <v>FONTIBÓN</v>
          </cell>
          <cell r="D22" t="str">
            <v>PRIVADO</v>
          </cell>
          <cell r="E22" t="str">
            <v>Educación de Jóvenes y Adultos</v>
          </cell>
          <cell r="F22" t="str">
            <v>COLEGIO_TECNISISTEMAS</v>
          </cell>
          <cell r="G22" t="str">
            <v>COLEGIO_TECNISISTEMAS</v>
          </cell>
          <cell r="H22" t="str">
            <v>Autoevaluación Institucional y Pruebas SABER 11</v>
          </cell>
          <cell r="I22" t="str">
            <v>EVALUACIÓN_CON_FINES_DE_MEJORAMIENTO.</v>
          </cell>
          <cell r="J22" t="str">
            <v>Verificar el funcionamiento del Gobierno Escolar e instancias de participación con base en la información sobre conformación reportada por la institución educativa.</v>
          </cell>
          <cell r="K22" t="str">
            <v>JOSÉ GUILLERMO ALARCÓN CUALLA</v>
          </cell>
          <cell r="L22" t="str">
            <v>JAIME GABRIEL GONZÁLEZ GAMBOA</v>
          </cell>
          <cell r="M22">
            <v>45799</v>
          </cell>
          <cell r="N22">
            <v>45783</v>
          </cell>
          <cell r="O22">
            <v>45783</v>
          </cell>
          <cell r="P22" t="str">
            <v>Visitas de evaluación con fines de mejoramiento</v>
          </cell>
          <cell r="Q22" t="str">
            <v>acta visita firmada.pdf</v>
          </cell>
          <cell r="R22" t="str">
            <v>Se encuentra registrado en plataforma SAE y en funcionamiento</v>
          </cell>
          <cell r="S22" t="str">
            <v>Los colegiados están en actividad y sesionan con regularidad.</v>
          </cell>
          <cell r="T22" t="str">
            <v>No</v>
          </cell>
          <cell r="U22" t="str">
            <v>Se efectuará mesa de gestión a finalizar el tercer periodo escolar. Fecha: cuarto trimestre.</v>
          </cell>
        </row>
        <row r="23">
          <cell r="A23">
            <v>893</v>
          </cell>
          <cell r="B23">
            <v>2</v>
          </cell>
          <cell r="C23" t="str">
            <v>FONTIBÓN</v>
          </cell>
          <cell r="D23" t="str">
            <v>PRIVADO</v>
          </cell>
          <cell r="E23" t="str">
            <v>Educación de Jóvenes y Adultos</v>
          </cell>
          <cell r="F23" t="str">
            <v>COLEGIO_TECNISISTEMAS</v>
          </cell>
          <cell r="G23" t="str">
            <v>COLEGIO_TECNISISTEMAS</v>
          </cell>
          <cell r="H23" t="str">
            <v>Autoevaluación Institucional y Pruebas SABER 11</v>
          </cell>
          <cell r="I23" t="str">
            <v>EVALUACIÓN_CON_FINES_DE_MEJORAMIENTO.</v>
          </cell>
          <cell r="J23" t="str">
            <v>Verificar las condiciones en cuanto a: la estructura administrativa, condiciones de la planta física y medios educativos adecuados.</v>
          </cell>
          <cell r="K23" t="str">
            <v>JOSÉ GUILLERMO ALARCÓN CUALLA</v>
          </cell>
          <cell r="L23" t="str">
            <v>JAIME GABRIEL GONZÁLEZ GAMBOA</v>
          </cell>
          <cell r="M23">
            <v>45799</v>
          </cell>
          <cell r="N23">
            <v>45783</v>
          </cell>
          <cell r="O23">
            <v>45783</v>
          </cell>
          <cell r="P23" t="str">
            <v>Visitas de evaluación con fines de mejoramiento</v>
          </cell>
          <cell r="Q23" t="str">
            <v>acta visita firmada.pdf</v>
          </cell>
          <cell r="R23" t="str">
            <v>Cuenta con espacios, administrativos, académicos y de bienestar. Se requiere valorar la disposición de espacios y proyectar una renovación de los académicos – pedagógicos</v>
          </cell>
          <cell r="S23" t="str">
            <v>Realizar valoración de áreas administrativas, de servicio académico, soporte didáctico y de bienestar. Entregar propuesta a 15 de agosto.</v>
          </cell>
          <cell r="T23" t="str">
            <v>Si</v>
          </cell>
          <cell r="U23" t="str">
            <v>Se efectuará mesa de gestión a finalizar el tercer periodo escolar. Fecha: cuarto trimestre.</v>
          </cell>
        </row>
        <row r="24">
          <cell r="A24">
            <v>895</v>
          </cell>
          <cell r="B24">
            <v>3</v>
          </cell>
          <cell r="C24" t="str">
            <v>FONTIBÓN</v>
          </cell>
          <cell r="D24" t="str">
            <v>PRIVADO</v>
          </cell>
          <cell r="E24" t="str">
            <v>EPBM</v>
          </cell>
          <cell r="F24" t="str">
            <v>UNIDAD_EDUCATIVA_BAHIA_SOLANO</v>
          </cell>
          <cell r="G24" t="str">
            <v>UNIDAD_EDUCATIVA_BAHIA_SOLANO</v>
          </cell>
          <cell r="H24" t="str">
            <v>Autoevaluación Institucional y Pruebas SABER 11</v>
          </cell>
          <cell r="I24" t="str">
            <v>SEGUIMIENTO_Y_SUPERVISIÓN.</v>
          </cell>
          <cell r="J24" t="str">
            <v>Proponer estrategias en la formulación, verificar su elaboración y realizar seguimiento semestral al desarrollo de  las acciones establecidas en los planes de mejoramiento por pruebas SABER 11 de los establecimientos de educación formal.</v>
          </cell>
          <cell r="K24" t="str">
            <v>MARITZA SARMIENTO VANEGAS</v>
          </cell>
          <cell r="L24" t="str">
            <v>GLORIA INES AMAYA RAMÍREZ</v>
          </cell>
          <cell r="M24">
            <v>45776</v>
          </cell>
          <cell r="N24">
            <v>45863</v>
          </cell>
          <cell r="O24">
            <v>45863</v>
          </cell>
          <cell r="P24" t="str">
            <v>Visitas de evaluación con fines de mejoramiento</v>
          </cell>
          <cell r="Q24" t="str">
            <v>FORMATO UNIDAD EDUCATIVA BAHIA SOLANO.pdf</v>
          </cell>
          <cell r="R24" t="str">
            <v>Análisis de resultados, diseño de estrategias, aplicación de simulacros, repaso de contenidos, asistencia a refuerzo en contra jornada, participación de todos los estudiantes matriculados en grado once a las diferentes actividades.</v>
          </cell>
          <cell r="S24" t="str">
            <v>Continuar con la implementación de estrategias, que fortalecen los resultados de la pruebas SABER 11</v>
          </cell>
          <cell r="T24" t="str">
            <v>No</v>
          </cell>
          <cell r="U24" t="str">
            <v>Se realizará revisión frente a los resultados de la Institución en la pruebas SABER 11 2025</v>
          </cell>
        </row>
        <row r="25">
          <cell r="A25">
            <v>896</v>
          </cell>
          <cell r="B25">
            <v>3</v>
          </cell>
          <cell r="C25" t="str">
            <v>FONTIBÓN</v>
          </cell>
          <cell r="D25" t="str">
            <v>PRIVADO</v>
          </cell>
          <cell r="E25" t="str">
            <v>EPBM</v>
          </cell>
          <cell r="F25" t="str">
            <v>UNIDAD_EDUCATIVA_BAHIA_SOLANO</v>
          </cell>
          <cell r="G25" t="str">
            <v>UNIDAD_EDUCATIVA_BAHIA_SOLANO</v>
          </cell>
          <cell r="H25" t="str">
            <v>Autoevaluación Institucional y Pruebas SABER 11</v>
          </cell>
          <cell r="I25" t="str">
            <v>SEGUIMIENTO_Y_SUPERVISIÓN.</v>
          </cell>
          <cell r="J25" t="str">
            <v xml:space="preserve">Verificar la implementación por parte de los colegios, de acciones realizadas para la prevención y atención de las situaciones de convivencia en el entorno escolar, según lo establecido en la Directiva 01 de 2022 del MEN. </v>
          </cell>
          <cell r="K25" t="str">
            <v>MARITZA SARMIENTO VANEGAS</v>
          </cell>
          <cell r="L25" t="str">
            <v>GLORIA INES AMAYA RAMÍREZ</v>
          </cell>
          <cell r="M25">
            <v>45776</v>
          </cell>
          <cell r="N25">
            <v>45863</v>
          </cell>
          <cell r="O25">
            <v>45863</v>
          </cell>
          <cell r="P25" t="str">
            <v>Visitas de evaluación con fines de mejoramiento</v>
          </cell>
          <cell r="Q25" t="str">
            <v>FORMATO UNIDAD EDUCATIVA BAHIA SOLANO.pdf</v>
          </cell>
          <cell r="R25" t="str">
            <v>Se realizan actividades pedagógico formativas del componente de prevención y promoción de la ruta de atención integral. se han atendido los casos presentados aplicando protocolos y ruta.
La institución presento los certificados de consulta de delitos sexuales de los docentes contratados.</v>
          </cell>
          <cell r="S25" t="str">
            <v>Continuar con la aplicación de las estrategias de prevención, promoción y seguimiento por parte del Comité de Convivencia Escolar.</v>
          </cell>
          <cell r="T25" t="str">
            <v>No</v>
          </cell>
          <cell r="U25" t="str">
            <v>Revisar el cumplimiento y actualización de certificados en el cuarto trimestre del año.</v>
          </cell>
        </row>
        <row r="26">
          <cell r="A26">
            <v>897</v>
          </cell>
          <cell r="B26">
            <v>3</v>
          </cell>
          <cell r="C26" t="str">
            <v>FONTIBÓN</v>
          </cell>
          <cell r="D26" t="str">
            <v>PRIVADO</v>
          </cell>
          <cell r="E26" t="str">
            <v>EPBM</v>
          </cell>
          <cell r="F26" t="str">
            <v>UNIDAD_EDUCATIVA_BAHIA_SOLANO</v>
          </cell>
          <cell r="G26" t="str">
            <v>UNIDAD_EDUCATIVA_BAHIA_SOLANO</v>
          </cell>
          <cell r="H26" t="str">
            <v>Autoevaluación Institucional y Pruebas SABER 11</v>
          </cell>
          <cell r="I26" t="str">
            <v>SEGUIMIENTO_Y_SUPERVISIÓN.</v>
          </cell>
          <cell r="J2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 t="str">
            <v>MARITZA SARMIENTO VANEGAS</v>
          </cell>
          <cell r="L26" t="str">
            <v>GLORIA INES AMAYA RAMÍREZ</v>
          </cell>
          <cell r="M26">
            <v>45776</v>
          </cell>
          <cell r="N26">
            <v>45863</v>
          </cell>
          <cell r="O26">
            <v>45863</v>
          </cell>
          <cell r="P26" t="str">
            <v>Visitas de evaluación con fines de mejoramiento</v>
          </cell>
          <cell r="Q26" t="str">
            <v>FORMATO UNIDAD EDUCATIVA BAHIA SOLANO.pdf</v>
          </cell>
          <cell r="R26" t="str">
            <v>Se elaboraron y se está implementando el PIAR para cada uno de los 6 estudiantes en Condición de discapacidad</v>
          </cell>
          <cell r="S26" t="str">
            <v>Continuar con la implementación de las acciones definidas en los PIAR y los ajustes que se requieran en los procesos académicos de los estudiantes.</v>
          </cell>
          <cell r="T26" t="str">
            <v>No</v>
          </cell>
          <cell r="U26" t="str">
            <v>Se realizará revisión de los PIAR en caso de presentarse queja.</v>
          </cell>
        </row>
        <row r="27">
          <cell r="A27">
            <v>898</v>
          </cell>
          <cell r="B27">
            <v>3</v>
          </cell>
          <cell r="C27" t="str">
            <v>FONTIBÓN</v>
          </cell>
          <cell r="D27" t="str">
            <v>PRIVADO</v>
          </cell>
          <cell r="E27" t="str">
            <v>EPBM</v>
          </cell>
          <cell r="F27" t="str">
            <v>UNIDAD_EDUCATIVA_BAHIA_SOLANO</v>
          </cell>
          <cell r="G27" t="str">
            <v>UNIDAD_EDUCATIVA_BAHIA_SOLANO</v>
          </cell>
          <cell r="H27" t="str">
            <v>Autoevaluación Institucional y Pruebas SABER 11</v>
          </cell>
          <cell r="I27" t="str">
            <v>EVALUACIÓN_CON_FINES_DE_MEJORAMIENTO.</v>
          </cell>
          <cell r="J2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 t="str">
            <v>MARITZA SARMIENTO VANEGAS</v>
          </cell>
          <cell r="L27" t="str">
            <v>GLORIA INES AMAYA RAMÍREZ</v>
          </cell>
          <cell r="M27">
            <v>45776</v>
          </cell>
          <cell r="N27">
            <v>45863</v>
          </cell>
          <cell r="O27">
            <v>45863</v>
          </cell>
          <cell r="P27" t="str">
            <v>Visitas de evaluación con fines de mejoramiento</v>
          </cell>
          <cell r="Q27" t="str">
            <v>FORMATO UNIDAD EDUCATIVA BAHIA SOLANO.pdf</v>
          </cell>
          <cell r="R27" t="str">
            <v>Manual de convivencia actualizado, socializado con los miembros de la comunidad educativa. Debe ser ajustado en cuanto a lo requerido por los enfoques de género y restaurativo y marco legal.</v>
          </cell>
          <cell r="S27" t="str">
            <v>Actualizar y ajustar el manual incorporando los enfoques diferenciales.</v>
          </cell>
          <cell r="T27" t="str">
            <v>Si</v>
          </cell>
          <cell r="U27" t="str">
            <v>Realizar revisión del primer avance en la actualización del manual de convivencia, en el segundo semestre de la presente vigencia.</v>
          </cell>
        </row>
        <row r="28">
          <cell r="A28">
            <v>899</v>
          </cell>
          <cell r="B28">
            <v>3</v>
          </cell>
          <cell r="C28" t="str">
            <v>FONTIBÓN</v>
          </cell>
          <cell r="D28" t="str">
            <v>PRIVADO</v>
          </cell>
          <cell r="E28" t="str">
            <v>EPBM</v>
          </cell>
          <cell r="F28" t="str">
            <v>UNIDAD_EDUCATIVA_BAHIA_SOLANO</v>
          </cell>
          <cell r="G28" t="str">
            <v>UNIDAD_EDUCATIVA_BAHIA_SOLANO</v>
          </cell>
          <cell r="H28" t="str">
            <v>Autoevaluación Institucional y Pruebas SABER 11</v>
          </cell>
          <cell r="I28" t="str">
            <v>EVALUACIÓN_CON_FINES_DE_MEJORAMIENTO.</v>
          </cell>
          <cell r="J28" t="str">
            <v>Revisar la actualización, socialización e implementación del Sistema Institucional de Evaluación de Estudiantes - SIEE, en articulación con la actualización del PEI y la normatividad vigente.</v>
          </cell>
          <cell r="K28" t="str">
            <v>MARITZA SARMIENTO VANEGAS</v>
          </cell>
          <cell r="L28" t="str">
            <v>GLORIA INES AMAYA RAMÍREZ</v>
          </cell>
          <cell r="M28">
            <v>45776</v>
          </cell>
          <cell r="N28">
            <v>45863</v>
          </cell>
          <cell r="O28">
            <v>45863</v>
          </cell>
          <cell r="P28" t="str">
            <v>Visitas de evaluación con fines de mejoramiento</v>
          </cell>
          <cell r="Q28" t="str">
            <v>FORMATO UNIDAD EDUCATIVA BAHIA SOLANO.pdf</v>
          </cell>
          <cell r="R28" t="str">
            <v>SIEE actualizado y coherente con el modelo pedagógico</v>
          </cell>
          <cell r="S28" t="str">
            <v>Continuar con la implementación de las acciones definidas en el SIEE.</v>
          </cell>
          <cell r="T28" t="str">
            <v>No</v>
          </cell>
          <cell r="U28" t="str">
            <v>Verificar la socialización del SIEE para la siguiente vigencia o en caso de presentarse queja.</v>
          </cell>
        </row>
        <row r="29">
          <cell r="A29">
            <v>900</v>
          </cell>
          <cell r="B29">
            <v>3</v>
          </cell>
          <cell r="C29" t="str">
            <v>FONTIBÓN</v>
          </cell>
          <cell r="D29" t="str">
            <v>PRIVADO</v>
          </cell>
          <cell r="E29" t="str">
            <v>EPBM</v>
          </cell>
          <cell r="F29" t="str">
            <v>UNIDAD_EDUCATIVA_BAHIA_SOLANO</v>
          </cell>
          <cell r="G29" t="str">
            <v>UNIDAD_EDUCATIVA_BAHIA_SOLANO</v>
          </cell>
          <cell r="H29" t="str">
            <v>Autoevaluación Institucional y Pruebas SABER 11</v>
          </cell>
          <cell r="I29" t="str">
            <v>EVALUACIÓN_CON_FINES_DE_MEJORAMIENTO.</v>
          </cell>
          <cell r="J29" t="str">
            <v>Revisar el calendario escolar, jornada escolar, la intensidad horaria mínima anual en cada nivel y las modificaciones que se realicen al mismo, de acuerdo con lo previsto en la normatividad vigente.</v>
          </cell>
          <cell r="K29" t="str">
            <v>MARITZA SARMIENTO VANEGAS</v>
          </cell>
          <cell r="L29" t="str">
            <v>GLORIA INES AMAYA RAMÍREZ</v>
          </cell>
          <cell r="M29">
            <v>45776</v>
          </cell>
          <cell r="N29">
            <v>45863</v>
          </cell>
          <cell r="O29">
            <v>45863</v>
          </cell>
          <cell r="P29" t="str">
            <v>Visitas de evaluación con fines de mejoramiento</v>
          </cell>
          <cell r="Q29" t="str">
            <v>FORMATO UNIDAD EDUCATIVA BAHIA SOLANO.pdf</v>
          </cell>
          <cell r="R29" t="str">
            <v>Calendario escolar ajustado a norma para los niveles de  preescolar básica y media</v>
          </cell>
          <cell r="S29" t="str">
            <v>Continuar con la implementación del calendario según las fechas definidas para los períodos de desarrollo académico y recesos.</v>
          </cell>
          <cell r="T29" t="str">
            <v>No</v>
          </cell>
          <cell r="U29" t="str">
            <v>Verificar la elaboración y socialización del calendario para la siguiente vigencia o en caso de presentarse queja.</v>
          </cell>
        </row>
        <row r="30">
          <cell r="A30">
            <v>901</v>
          </cell>
          <cell r="B30">
            <v>3</v>
          </cell>
          <cell r="C30" t="str">
            <v>FONTIBÓN</v>
          </cell>
          <cell r="D30" t="str">
            <v>PRIVADO</v>
          </cell>
          <cell r="E30" t="str">
            <v>EPBM</v>
          </cell>
          <cell r="F30" t="str">
            <v>UNIDAD_EDUCATIVA_BAHIA_SOLANO</v>
          </cell>
          <cell r="G30" t="str">
            <v>UNIDAD_EDUCATIVA_BAHIA_SOLANO</v>
          </cell>
          <cell r="H30" t="str">
            <v>Autoevaluación Institucional y Pruebas SABER 11</v>
          </cell>
          <cell r="I30" t="str">
            <v>EVALUACIÓN_CON_FINES_DE_MEJORAMIENTO.</v>
          </cell>
          <cell r="J30" t="str">
            <v>Verificar el funcionamiento del Gobierno Escolar e instancias de participación con base en la información sobre conformación reportada por la institución educativa.</v>
          </cell>
          <cell r="K30" t="str">
            <v>MARITZA SARMIENTO VANEGAS</v>
          </cell>
          <cell r="L30" t="str">
            <v>GLORIA INES AMAYA RAMÍREZ</v>
          </cell>
          <cell r="M30">
            <v>45776</v>
          </cell>
          <cell r="N30">
            <v>45863</v>
          </cell>
          <cell r="O30">
            <v>45863</v>
          </cell>
          <cell r="P30" t="str">
            <v>Visitas de evaluación con fines de mejoramiento</v>
          </cell>
          <cell r="Q30" t="str">
            <v>FORMATO UNIDAD EDUCATIVA BAHIA SOLANO.pdf</v>
          </cell>
          <cell r="R30" t="str">
            <v>Conformación y funcionamiento del gobierno escolar  y  las instancia de participación  de acuerdo a lo establecido en la normatividad</v>
          </cell>
          <cell r="S30" t="str">
            <v>Continuar con la operatividad del gobierno y las instancias de participación cada dos meses o según corresponda.</v>
          </cell>
          <cell r="T30" t="str">
            <v>No</v>
          </cell>
          <cell r="U30" t="str">
            <v>Se verificará la conformación del gobierno escolar para la siguiente vigencia.</v>
          </cell>
        </row>
        <row r="31">
          <cell r="A31">
            <v>902</v>
          </cell>
          <cell r="B31">
            <v>3</v>
          </cell>
          <cell r="C31" t="str">
            <v>FONTIBÓN</v>
          </cell>
          <cell r="D31" t="str">
            <v>PRIVADO</v>
          </cell>
          <cell r="E31" t="str">
            <v>EPBM</v>
          </cell>
          <cell r="F31" t="str">
            <v>UNIDAD_EDUCATIVA_BAHIA_SOLANO</v>
          </cell>
          <cell r="G31" t="str">
            <v>UNIDAD_EDUCATIVA_BAHIA_SOLANO</v>
          </cell>
          <cell r="H31" t="str">
            <v>Autoevaluación Institucional y Pruebas SABER 11</v>
          </cell>
          <cell r="I31" t="str">
            <v>EVALUACIÓN_CON_FINES_DE_MEJORAMIENTO.</v>
          </cell>
          <cell r="J31" t="str">
            <v>Verificar las condiciones en cuanto a: la estructura administrativa, condiciones de la planta física y medios educativos adecuados.</v>
          </cell>
          <cell r="K31" t="str">
            <v>MARITZA SARMIENTO VANEGAS</v>
          </cell>
          <cell r="L31" t="str">
            <v>GLORIA INES AMAYA RAMÍREZ</v>
          </cell>
          <cell r="M31">
            <v>45776</v>
          </cell>
          <cell r="N31">
            <v>45863</v>
          </cell>
          <cell r="O31">
            <v>45863</v>
          </cell>
          <cell r="P31" t="str">
            <v>Visitas de evaluación con fines de mejoramiento</v>
          </cell>
          <cell r="Q31" t="str">
            <v>FORMATO UNIDAD EDUCATIVA BAHIA SOLANO.pdf</v>
          </cell>
          <cell r="R31" t="str">
            <v xml:space="preserve">Las condiciones presentadas en cuanto infraestructura y estructura administrativa cumple con lo exigido por la normatividad vigente    </v>
          </cell>
          <cell r="S31" t="str">
            <v>Continuar con las gestiones necesarias para mantener el nivel del servicio educativo en relación con la planta física y demás recursos.</v>
          </cell>
          <cell r="T31" t="str">
            <v>No</v>
          </cell>
          <cell r="U31" t="str">
            <v>Se hará nueva verificación de esta actividad en caso de presentarse queja.</v>
          </cell>
        </row>
        <row r="32">
          <cell r="A32">
            <v>904</v>
          </cell>
          <cell r="B32">
            <v>4</v>
          </cell>
          <cell r="C32" t="str">
            <v>FONTIBÓN</v>
          </cell>
          <cell r="D32" t="str">
            <v>PRIVADO</v>
          </cell>
          <cell r="E32" t="str">
            <v>EPBM</v>
          </cell>
          <cell r="F32" t="str">
            <v>COLEGIO_NUEVO_MONTESSORIANO</v>
          </cell>
          <cell r="G32" t="str">
            <v>COLEGIO_NUEVO_MONTESSORIANO</v>
          </cell>
          <cell r="H32" t="str">
            <v>Autoevaluación Institucional y Pruebas SABER 11</v>
          </cell>
          <cell r="I32" t="str">
            <v>SEGUIMIENTO_Y_SUPERVISIÓN.</v>
          </cell>
          <cell r="J32" t="str">
            <v>Proponer estrategias en la formulación, verificar su elaboración y realizar seguimiento semestral al desarrollo de  las acciones establecidas en los planes de mejoramiento por pruebas SABER 11 de los establecimientos de educación formal.</v>
          </cell>
          <cell r="K32" t="str">
            <v>GLORIA INES AMAYA RAMÍREZ</v>
          </cell>
          <cell r="L32" t="str">
            <v>MARITZA SARMIENTO VANEGAS</v>
          </cell>
          <cell r="M32">
            <v>45772</v>
          </cell>
          <cell r="N32">
            <v>45799</v>
          </cell>
          <cell r="O32">
            <v>45799</v>
          </cell>
          <cell r="P32" t="str">
            <v>Visitas de evaluación con fines de mejoramiento</v>
          </cell>
          <cell r="Q32" t="str">
            <v>VISITA CON FINES DE MEJORAMIENTO COLEGIO NUEVO MONTESSORIANO.pdf</v>
          </cell>
          <cell r="R32" t="str">
            <v xml:space="preserve">Se evidencia que la Institución con su Consejo Académico ha implementado estrategias de fortalecimiento en el desarrollo de las clases y simulacros que incluye los estudiantes en condición de discapacidad; basados en el diagnóstico médico. </v>
          </cell>
          <cell r="S32" t="str">
            <v>Elaborar plan de mejoramiento institucional que incorpore las estrategias adelantadas, y entregar el 25 de agosto al ELIV.</v>
          </cell>
          <cell r="T32" t="str">
            <v>Si</v>
          </cell>
          <cell r="U32" t="str">
            <v>Revisar la entrega de  PMI el 25 de agosto y las acciones establecidas con los respectivos seguimientos.</v>
          </cell>
        </row>
        <row r="33">
          <cell r="A33">
            <v>905</v>
          </cell>
          <cell r="B33">
            <v>4</v>
          </cell>
          <cell r="C33" t="str">
            <v>FONTIBÓN</v>
          </cell>
          <cell r="D33" t="str">
            <v>PRIVADO</v>
          </cell>
          <cell r="E33" t="str">
            <v>EPBM</v>
          </cell>
          <cell r="F33" t="str">
            <v>COLEGIO_NUEVO_MONTESSORIANO</v>
          </cell>
          <cell r="G33" t="str">
            <v>COLEGIO_NUEVO_MONTESSORIANO</v>
          </cell>
          <cell r="H33" t="str">
            <v>Autoevaluación Institucional y Pruebas SABER 11</v>
          </cell>
          <cell r="I33" t="str">
            <v>SEGUIMIENTO_Y_SUPERVISIÓN.</v>
          </cell>
          <cell r="J33" t="str">
            <v xml:space="preserve">Verificar la implementación por parte de los colegios, de acciones realizadas para la prevención y atención de las situaciones de convivencia en el entorno escolar, según lo establecido en la Directiva 01 de 2022 del MEN. </v>
          </cell>
          <cell r="K33" t="str">
            <v>GLORIA INES AMAYA RAMÍREZ</v>
          </cell>
          <cell r="L33" t="str">
            <v>MARITZA SARMIENTO VANEGAS</v>
          </cell>
          <cell r="M33">
            <v>45772</v>
          </cell>
          <cell r="N33">
            <v>45799</v>
          </cell>
          <cell r="O33">
            <v>45799</v>
          </cell>
          <cell r="P33" t="str">
            <v>Visitas de evaluación con fines de mejoramiento</v>
          </cell>
          <cell r="Q33" t="str">
            <v>VISITA CON FINES DE MEJORAMIENTO COLEGIO NUEVO MONTESSORIANO.pdf</v>
          </cell>
          <cell r="R33" t="str">
            <v>Se realizan actividades pedagógico formativas del componente de  prevención y promoción de la ruta de atención integral, sin embargo no ha realizado la verificación de antecedentes por delitos sexuales del personal vinculado.</v>
          </cell>
          <cell r="S33" t="str">
            <v>Continuar con la aplicación de las estrategias de prevención, promoción y seguimiento por parte del Comité de Convivencia Escolar, y realizar la velicación de antecedentes cada cuatro meses de todo el personal (directivo, docente y administrativo) vinculado.</v>
          </cell>
          <cell r="T33" t="str">
            <v>Si</v>
          </cell>
          <cell r="U33" t="str">
            <v>Revisar la entrega de  PMI el 25 de agosto y las acciones establecidas con los respectivos seguimientos.</v>
          </cell>
        </row>
        <row r="34">
          <cell r="A34">
            <v>906</v>
          </cell>
          <cell r="B34">
            <v>4</v>
          </cell>
          <cell r="C34" t="str">
            <v>FONTIBÓN</v>
          </cell>
          <cell r="D34" t="str">
            <v>PRIVADO</v>
          </cell>
          <cell r="E34" t="str">
            <v>EPBM</v>
          </cell>
          <cell r="F34" t="str">
            <v>COLEGIO_NUEVO_MONTESSORIANO</v>
          </cell>
          <cell r="G34" t="str">
            <v>COLEGIO_NUEVO_MONTESSORIANO</v>
          </cell>
          <cell r="H34" t="str">
            <v>Autoevaluación Institucional y Pruebas SABER 11</v>
          </cell>
          <cell r="I34" t="str">
            <v>SEGUIMIENTO_Y_SUPERVISIÓN.</v>
          </cell>
          <cell r="J3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4" t="str">
            <v>GLORIA INES AMAYA RAMÍREZ</v>
          </cell>
          <cell r="L34" t="str">
            <v>MARITZA SARMIENTO VANEGAS</v>
          </cell>
          <cell r="M34">
            <v>45772</v>
          </cell>
          <cell r="N34">
            <v>45799</v>
          </cell>
          <cell r="O34">
            <v>45799</v>
          </cell>
          <cell r="P34" t="str">
            <v>Visitas de evaluación con fines de mejoramiento</v>
          </cell>
          <cell r="Q34" t="str">
            <v>VISITA CON FINES DE MEJORAMIENTO COLEGIO NUEVO MONTESSORIANO.pdf</v>
          </cell>
          <cell r="R34" t="str">
            <v xml:space="preserve">La Institución elaboró el PIAR de los  dos estudiantes en condición de discapacidad. </v>
          </cell>
          <cell r="S34" t="str">
            <v>Continuar con la implementación de las acciones definidas en los PIAR y los ajustes que se requieran en los procesos académicos de los estudiantes.</v>
          </cell>
          <cell r="T34" t="str">
            <v>No</v>
          </cell>
          <cell r="U34" t="str">
            <v>Se realizará revisión de los PIAR en caso de presentarse queja.</v>
          </cell>
        </row>
        <row r="35">
          <cell r="A35">
            <v>907</v>
          </cell>
          <cell r="B35">
            <v>4</v>
          </cell>
          <cell r="C35" t="str">
            <v>FONTIBÓN</v>
          </cell>
          <cell r="D35" t="str">
            <v>PRIVADO</v>
          </cell>
          <cell r="E35" t="str">
            <v>EPBM</v>
          </cell>
          <cell r="F35" t="str">
            <v>COLEGIO_NUEVO_MONTESSORIANO</v>
          </cell>
          <cell r="G35" t="str">
            <v>COLEGIO_NUEVO_MONTESSORIANO</v>
          </cell>
          <cell r="H35" t="str">
            <v>Autoevaluación Institucional y Pruebas SABER 11</v>
          </cell>
          <cell r="I35" t="str">
            <v>EVALUACIÓN_CON_FINES_DE_MEJORAMIENTO.</v>
          </cell>
          <cell r="J3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5" t="str">
            <v>GLORIA INES AMAYA RAMÍREZ</v>
          </cell>
          <cell r="L35" t="str">
            <v>MARITZA SARMIENTO VANEGAS</v>
          </cell>
          <cell r="M35">
            <v>45772</v>
          </cell>
          <cell r="N35">
            <v>45799</v>
          </cell>
          <cell r="O35">
            <v>45799</v>
          </cell>
          <cell r="P35" t="str">
            <v>Visitas de evaluación con fines de mejoramiento</v>
          </cell>
          <cell r="Q35" t="str">
            <v>VISITA CON FINES DE MEJORAMIENTO COLEGIO NUEVO MONTESSORIANO.pdf</v>
          </cell>
          <cell r="R35" t="str">
            <v>El manual de convivencia esta actualizado pero requiere incorporar los componentes diferenciales.</v>
          </cell>
          <cell r="S35" t="str">
            <v>Debe ser ajustado en cuanto a lo requerido por los enfoques de género y restaurativo y marco legal vigente.</v>
          </cell>
          <cell r="T35" t="str">
            <v>Si</v>
          </cell>
          <cell r="U35" t="str">
            <v>Realizar revisión del primer avance en la actualización del manual de convivencia, en el segundo semestre de la presente vigencia.</v>
          </cell>
        </row>
        <row r="36">
          <cell r="A36">
            <v>908</v>
          </cell>
          <cell r="B36">
            <v>4</v>
          </cell>
          <cell r="C36" t="str">
            <v>FONTIBÓN</v>
          </cell>
          <cell r="D36" t="str">
            <v>PRIVADO</v>
          </cell>
          <cell r="E36" t="str">
            <v>EPBM</v>
          </cell>
          <cell r="F36" t="str">
            <v>COLEGIO_NUEVO_MONTESSORIANO</v>
          </cell>
          <cell r="G36" t="str">
            <v>COLEGIO_NUEVO_MONTESSORIANO</v>
          </cell>
          <cell r="H36" t="str">
            <v>Autoevaluación Institucional y Pruebas SABER 11</v>
          </cell>
          <cell r="I36" t="str">
            <v>EVALUACIÓN_CON_FINES_DE_MEJORAMIENTO.</v>
          </cell>
          <cell r="J36" t="str">
            <v>Revisar la actualización, socialización e implementación del Sistema Institucional de Evaluación de Estudiantes - SIEE, en articulación con la actualización del PEI y la normatividad vigente.</v>
          </cell>
          <cell r="K36" t="str">
            <v>GLORIA INES AMAYA RAMÍREZ</v>
          </cell>
          <cell r="L36" t="str">
            <v>MARITZA SARMIENTO VANEGAS</v>
          </cell>
          <cell r="M36">
            <v>45772</v>
          </cell>
          <cell r="N36">
            <v>45799</v>
          </cell>
          <cell r="O36">
            <v>45799</v>
          </cell>
          <cell r="P36" t="str">
            <v>Visitas de evaluación con fines de mejoramiento</v>
          </cell>
          <cell r="Q36" t="str">
            <v>VISITA CON FINES DE MEJORAMIENTO COLEGIO NUEVO MONTESSORIANO.pdf</v>
          </cell>
          <cell r="R36" t="str">
            <v>El SIEE se encuentra actualizado y contiene los elementos normativos, pero se requiere documentar las actividades de nivelación de aprendizajes en aula.</v>
          </cell>
          <cell r="S36" t="str">
            <v>Actualizar el SIEE incorporando las actividades de nivelación de aprendizajes y entregar avances de la gestión el 25 de agosto</v>
          </cell>
          <cell r="T36" t="str">
            <v>Si</v>
          </cell>
          <cell r="U36" t="str">
            <v>Realizar revisión del primer avance en la actualización del SIEE, en el segundo semestre de la presente vigencia.</v>
          </cell>
        </row>
        <row r="37">
          <cell r="A37">
            <v>909</v>
          </cell>
          <cell r="B37">
            <v>4</v>
          </cell>
          <cell r="C37" t="str">
            <v>FONTIBÓN</v>
          </cell>
          <cell r="D37" t="str">
            <v>PRIVADO</v>
          </cell>
          <cell r="E37" t="str">
            <v>EPBM</v>
          </cell>
          <cell r="F37" t="str">
            <v>COLEGIO_NUEVO_MONTESSORIANO</v>
          </cell>
          <cell r="G37" t="str">
            <v>COLEGIO_NUEVO_MONTESSORIANO</v>
          </cell>
          <cell r="H37" t="str">
            <v>Autoevaluación Institucional y Pruebas SABER 11</v>
          </cell>
          <cell r="I37" t="str">
            <v>EVALUACIÓN_CON_FINES_DE_MEJORAMIENTO.</v>
          </cell>
          <cell r="J37" t="str">
            <v>Revisar el calendario escolar, jornada escolar, la intensidad horaria mínima anual en cada nivel y las modificaciones que se realicen al mismo, de acuerdo con lo previsto en la normatividad vigente.</v>
          </cell>
          <cell r="K37" t="str">
            <v>GLORIA INES AMAYA RAMÍREZ</v>
          </cell>
          <cell r="L37" t="str">
            <v>MARITZA SARMIENTO VANEGAS</v>
          </cell>
          <cell r="M37">
            <v>45772</v>
          </cell>
          <cell r="N37">
            <v>45799</v>
          </cell>
          <cell r="O37">
            <v>45799</v>
          </cell>
          <cell r="P37" t="str">
            <v>Visitas de evaluación con fines de mejoramiento</v>
          </cell>
          <cell r="Q37" t="str">
            <v>VISITA CON FINES DE MEJORAMIENTO COLEGIO NUEVO MONTESSORIANO.pdf</v>
          </cell>
          <cell r="R37" t="str">
            <v>Calendario escolar ajustado a norma para los niveles de básica y media</v>
          </cell>
          <cell r="S37" t="str">
            <v>Continuar con la implementación del calendario según las fechas definidas para los períodos de desarrollo académico y recesos.</v>
          </cell>
          <cell r="T37" t="str">
            <v>No</v>
          </cell>
          <cell r="U37" t="str">
            <v>Verificar la elaboración y socialización del calendario para la siguiente vigencia o en caso de presentarse queja.</v>
          </cell>
        </row>
        <row r="38">
          <cell r="A38">
            <v>910</v>
          </cell>
          <cell r="B38">
            <v>4</v>
          </cell>
          <cell r="C38" t="str">
            <v>FONTIBÓN</v>
          </cell>
          <cell r="D38" t="str">
            <v>PRIVADO</v>
          </cell>
          <cell r="E38" t="str">
            <v>EPBM</v>
          </cell>
          <cell r="F38" t="str">
            <v>COLEGIO_NUEVO_MONTESSORIANO</v>
          </cell>
          <cell r="G38" t="str">
            <v>COLEGIO_NUEVO_MONTESSORIANO</v>
          </cell>
          <cell r="H38" t="str">
            <v>Autoevaluación Institucional y Pruebas SABER 11</v>
          </cell>
          <cell r="I38" t="str">
            <v>EVALUACIÓN_CON_FINES_DE_MEJORAMIENTO.</v>
          </cell>
          <cell r="J38" t="str">
            <v>Verificar el funcionamiento del Gobierno Escolar e instancias de participación con base en la información sobre conformación reportada por la institución educativa.</v>
          </cell>
          <cell r="K38" t="str">
            <v>GLORIA INES AMAYA RAMÍREZ</v>
          </cell>
          <cell r="L38" t="str">
            <v>MARITZA SARMIENTO VANEGAS</v>
          </cell>
          <cell r="M38">
            <v>45772</v>
          </cell>
          <cell r="N38">
            <v>45799</v>
          </cell>
          <cell r="O38">
            <v>45799</v>
          </cell>
          <cell r="P38" t="str">
            <v>Visitas de evaluación con fines de mejoramiento</v>
          </cell>
          <cell r="Q38" t="str">
            <v>VISITA CON FINES DE MEJORAMIENTO COLEGIO NUEVO MONTESSORIANO.pdf</v>
          </cell>
          <cell r="R38" t="str">
            <v>La conformación y funcionamiento del gobierno escolar y las instancia de participación se ha realizado de acuerdo con lo establecido en la normatividad, se evidencian dos actas de Consejos Directivo y Académico.</v>
          </cell>
          <cell r="S38" t="str">
            <v>Continuar con la operatividad del gobierno y las instancias de participación cada dos meses o según corresponda.</v>
          </cell>
          <cell r="T38" t="str">
            <v>No</v>
          </cell>
          <cell r="U38" t="str">
            <v>Se verificará la conformación del gobierno escolar para la siguiente vigencia.</v>
          </cell>
        </row>
        <row r="39">
          <cell r="A39">
            <v>911</v>
          </cell>
          <cell r="B39">
            <v>4</v>
          </cell>
          <cell r="C39" t="str">
            <v>FONTIBÓN</v>
          </cell>
          <cell r="D39" t="str">
            <v>PRIVADO</v>
          </cell>
          <cell r="E39" t="str">
            <v>EPBM</v>
          </cell>
          <cell r="F39" t="str">
            <v>COLEGIO_NUEVO_MONTESSORIANO</v>
          </cell>
          <cell r="G39" t="str">
            <v>COLEGIO_NUEVO_MONTESSORIANO</v>
          </cell>
          <cell r="H39" t="str">
            <v>Autoevaluación Institucional y Pruebas SABER 11</v>
          </cell>
          <cell r="I39" t="str">
            <v>EVALUACIÓN_CON_FINES_DE_MEJORAMIENTO.</v>
          </cell>
          <cell r="J39" t="str">
            <v>Verificar las condiciones en cuanto a: la estructura administrativa, condiciones de la planta física y medios educativos adecuados.</v>
          </cell>
          <cell r="K39" t="str">
            <v>GLORIA INES AMAYA RAMÍREZ</v>
          </cell>
          <cell r="L39" t="str">
            <v>MARITZA SARMIENTO VANEGAS</v>
          </cell>
          <cell r="M39">
            <v>45772</v>
          </cell>
          <cell r="N39">
            <v>45799</v>
          </cell>
          <cell r="O39">
            <v>45799</v>
          </cell>
          <cell r="P39" t="str">
            <v>Visitas de evaluación con fines de mejoramiento</v>
          </cell>
          <cell r="Q39" t="str">
            <v>VISITA CON FINES DE MEJORAMIENTO COLEGIO NUEVO MONTESSORIANO.pdf</v>
          </cell>
          <cell r="R39" t="str">
            <v xml:space="preserve">Las condiciones de planta física y dotación cumple con lo exigido por la normatividad vigente.    </v>
          </cell>
          <cell r="S39" t="str">
            <v>Continuar con las gestiones necesarias para mantener el nivel del servicio educativo en relación con la planta física y demás recursos.</v>
          </cell>
          <cell r="T39" t="str">
            <v>No</v>
          </cell>
          <cell r="U39" t="str">
            <v>Se hará nueva verificación de esta actividad en caso de presentarse queja.</v>
          </cell>
        </row>
        <row r="40">
          <cell r="A40">
            <v>913</v>
          </cell>
          <cell r="B40">
            <v>5</v>
          </cell>
          <cell r="C40" t="str">
            <v>FONTIBÓN</v>
          </cell>
          <cell r="D40" t="str">
            <v>PRIVADO</v>
          </cell>
          <cell r="E40" t="str">
            <v>EPBM</v>
          </cell>
          <cell r="F40" t="str">
            <v>INSTITUTO_NAZARENO_MODELIA</v>
          </cell>
          <cell r="G40" t="str">
            <v>INSTITUTO_NAZARENO_MODELIA</v>
          </cell>
          <cell r="H40" t="str">
            <v>Autoevaluación Institucional y Pruebas SABER 11</v>
          </cell>
          <cell r="I40" t="str">
            <v>SEGUIMIENTO_Y_SUPERVISIÓN.</v>
          </cell>
          <cell r="J40" t="str">
            <v>Proponer estrategias en la formulación, verificar su elaboración y realizar seguimiento semestral al desarrollo de  las acciones establecidas en los planes de mejoramiento por pruebas SABER 11 de los establecimientos de educación formal.</v>
          </cell>
          <cell r="K40" t="str">
            <v>MARITZA SARMIENTO VANEGAS</v>
          </cell>
          <cell r="L40" t="str">
            <v>GLORIA INES AMAYA RAMÍREZ</v>
          </cell>
          <cell r="M40">
            <v>45776</v>
          </cell>
          <cell r="N40">
            <v>45793</v>
          </cell>
          <cell r="O40">
            <v>45793</v>
          </cell>
          <cell r="P40" t="str">
            <v>Visitas de evaluación con fines de mejoramiento</v>
          </cell>
          <cell r="Q40" t="str">
            <v>VISITA CON FINES DE MEJORAMIENTO INSTITUTO NAZARENO DE MODELIA.pdf</v>
          </cell>
          <cell r="R40" t="str">
            <v>Análisis de resultados, diseño de estrategias, aplicación de simulacros, repaso de contenidos, asistencia a refuerzo en contra jornada, participación de todos los estudiantes matriculados en grado once a las diferentes actividades</v>
          </cell>
          <cell r="S40" t="str">
            <v>Continuar con la implementación de estrategias, que fortalecen los resultados de la pruebas SABER 11</v>
          </cell>
          <cell r="T40" t="str">
            <v>No</v>
          </cell>
          <cell r="U40" t="str">
            <v>Se realizará revisión frente a los resultados de la Institución en la pruebas SABER 11 2025</v>
          </cell>
        </row>
        <row r="41">
          <cell r="A41">
            <v>914</v>
          </cell>
          <cell r="B41">
            <v>5</v>
          </cell>
          <cell r="C41" t="str">
            <v>FONTIBÓN</v>
          </cell>
          <cell r="D41" t="str">
            <v>PRIVADO</v>
          </cell>
          <cell r="E41" t="str">
            <v>EPBM</v>
          </cell>
          <cell r="F41" t="str">
            <v>INSTITUTO_NAZARENO_MODELIA</v>
          </cell>
          <cell r="G41" t="str">
            <v>INSTITUTO_NAZARENO_MODELIA</v>
          </cell>
          <cell r="H41" t="str">
            <v>Autoevaluación Institucional y Pruebas SABER 11</v>
          </cell>
          <cell r="I41" t="str">
            <v>SEGUIMIENTO_Y_SUPERVISIÓN.</v>
          </cell>
          <cell r="J41" t="str">
            <v xml:space="preserve">Verificar la implementación por parte de los colegios, de acciones realizadas para la prevención y atención de las situaciones de convivencia en el entorno escolar, según lo establecido en la Directiva 01 de 2022 del MEN. </v>
          </cell>
          <cell r="K41" t="str">
            <v>MARITZA SARMIENTO VANEGAS</v>
          </cell>
          <cell r="L41" t="str">
            <v>GLORIA INES AMAYA RAMÍREZ</v>
          </cell>
          <cell r="M41">
            <v>45776</v>
          </cell>
          <cell r="N41">
            <v>45793</v>
          </cell>
          <cell r="O41">
            <v>45793</v>
          </cell>
          <cell r="P41" t="str">
            <v>Visitas de evaluación con fines de mejoramiento</v>
          </cell>
          <cell r="Q41" t="str">
            <v>VISITA CON FINES DE MEJORAMIENTO INSTITUTO NAZARENO DE MODELIA.pdf</v>
          </cell>
          <cell r="R41" t="str">
            <v>Se realizan actividades pedagógico formativas del componente de  prevención y promoción de la ruta de atención integral, sin embargo no ha realizado la verificación de antecedentes por delitos sexuales del personal vinculado.</v>
          </cell>
          <cell r="S41" t="str">
            <v>Continuar con la aplicación de las estrategias de prevención, promoción y seguimiento por parte del Comité de Convivencia Escolar, y realizar la velicación de intendentes cada cuatro meses de todo el personal (directivo, docente y administrativo) vinculado.</v>
          </cell>
          <cell r="T41" t="str">
            <v>Si</v>
          </cell>
          <cell r="U41" t="str">
            <v>Revisar la entrega de  PMI el 20 de agosto y las acciones establecidas con los respectivos seguimientos.</v>
          </cell>
        </row>
        <row r="42">
          <cell r="A42">
            <v>915</v>
          </cell>
          <cell r="B42">
            <v>5</v>
          </cell>
          <cell r="C42" t="str">
            <v>FONTIBÓN</v>
          </cell>
          <cell r="D42" t="str">
            <v>PRIVADO</v>
          </cell>
          <cell r="E42" t="str">
            <v>EPBM</v>
          </cell>
          <cell r="F42" t="str">
            <v>INSTITUTO_NAZARENO_MODELIA</v>
          </cell>
          <cell r="G42" t="str">
            <v>INSTITUTO_NAZARENO_MODELIA</v>
          </cell>
          <cell r="H42" t="str">
            <v>Autoevaluación Institucional y Pruebas SABER 11</v>
          </cell>
          <cell r="I42" t="str">
            <v>SEGUIMIENTO_Y_SUPERVISIÓN.</v>
          </cell>
          <cell r="J4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2" t="str">
            <v>MARITZA SARMIENTO VANEGAS</v>
          </cell>
          <cell r="L42" t="str">
            <v>GLORIA INES AMAYA RAMÍREZ</v>
          </cell>
          <cell r="M42">
            <v>45776</v>
          </cell>
          <cell r="N42">
            <v>45793</v>
          </cell>
          <cell r="O42">
            <v>45793</v>
          </cell>
          <cell r="P42" t="str">
            <v>Visitas de evaluación con fines de mejoramiento</v>
          </cell>
          <cell r="Q42" t="str">
            <v>VISITA CON FINES DE MEJORAMIENTO INSTITUTO NAZARENO DE MODELIA.pdf</v>
          </cell>
          <cell r="R42" t="str">
            <v>Se encontró el respectivo formato de documento PIAR de los estudiantes, con ajustes y flexibilización de acuerdo con la necesidad de cada uno. en algunos no se registra la firma del acudiente.</v>
          </cell>
          <cell r="S42" t="str">
            <v>Registrar la firma de los padres cada vez que socialice su contenido y avances.
Continuar con la implementación de las acciones definidas en los PIAR y los ajustes que se requieran en los procesos académicos de los estudiantes.</v>
          </cell>
          <cell r="T42" t="str">
            <v>Si</v>
          </cell>
          <cell r="U42" t="str">
            <v>Solicitud de entrega de avance  PMI el 20 de agosto</v>
          </cell>
        </row>
        <row r="43">
          <cell r="A43">
            <v>916</v>
          </cell>
          <cell r="B43">
            <v>5</v>
          </cell>
          <cell r="C43" t="str">
            <v>FONTIBÓN</v>
          </cell>
          <cell r="D43" t="str">
            <v>PRIVADO</v>
          </cell>
          <cell r="E43" t="str">
            <v>EPBM</v>
          </cell>
          <cell r="F43" t="str">
            <v>INSTITUTO_NAZARENO_MODELIA</v>
          </cell>
          <cell r="G43" t="str">
            <v>INSTITUTO_NAZARENO_MODELIA</v>
          </cell>
          <cell r="H43" t="str">
            <v>Autoevaluación Institucional y Pruebas SABER 11</v>
          </cell>
          <cell r="I43" t="str">
            <v>EVALUACIÓN_CON_FINES_DE_MEJORAMIENTO.</v>
          </cell>
          <cell r="J4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3" t="str">
            <v>MARITZA SARMIENTO VANEGAS</v>
          </cell>
          <cell r="L43" t="str">
            <v>GLORIA INES AMAYA RAMÍREZ</v>
          </cell>
          <cell r="M43">
            <v>45776</v>
          </cell>
          <cell r="N43">
            <v>45793</v>
          </cell>
          <cell r="O43">
            <v>45793</v>
          </cell>
          <cell r="P43" t="str">
            <v>Visitas de evaluación con fines de mejoramiento</v>
          </cell>
          <cell r="Q43" t="str">
            <v>VISITA CON FINES DE MEJORAMIENTO INSTITUTO NAZARENO DE MODELIA.pdf</v>
          </cell>
          <cell r="R43" t="str">
            <v>El manual de convivencia esta actualizado pero requiere incluir los diferentes enfoques que fomentan el respeto, la valoración de la diversidad y el enfoque restaurativo así como el debido proceso disciplinario</v>
          </cell>
          <cell r="S43" t="str">
            <v>Debe ser ajustado en cuanto a lo requerido en la normatividad vigente</v>
          </cell>
          <cell r="T43" t="str">
            <v>Si</v>
          </cell>
          <cell r="U43" t="str">
            <v>Realizar revisión del primer avance en los ajustes del manual de convivencia, en el segundo semestre de la presente vigencia.</v>
          </cell>
        </row>
        <row r="44">
          <cell r="A44">
            <v>917</v>
          </cell>
          <cell r="B44">
            <v>5</v>
          </cell>
          <cell r="C44" t="str">
            <v>FONTIBÓN</v>
          </cell>
          <cell r="D44" t="str">
            <v>PRIVADO</v>
          </cell>
          <cell r="E44" t="str">
            <v>EPBM</v>
          </cell>
          <cell r="F44" t="str">
            <v>INSTITUTO_NAZARENO_MODELIA</v>
          </cell>
          <cell r="G44" t="str">
            <v>INSTITUTO_NAZARENO_MODELIA</v>
          </cell>
          <cell r="H44" t="str">
            <v>Autoevaluación Institucional y Pruebas SABER 11</v>
          </cell>
          <cell r="I44" t="str">
            <v>EVALUACIÓN_CON_FINES_DE_MEJORAMIENTO.</v>
          </cell>
          <cell r="J44" t="str">
            <v>Revisar la actualización, socialización e implementación del Sistema Institucional de Evaluación de Estudiantes - SIEE, en articulación con la actualización del PEI y la normatividad vigente.</v>
          </cell>
          <cell r="K44" t="str">
            <v>MARITZA SARMIENTO VANEGAS</v>
          </cell>
          <cell r="L44" t="str">
            <v>GLORIA INES AMAYA RAMÍREZ</v>
          </cell>
          <cell r="M44">
            <v>45776</v>
          </cell>
          <cell r="N44">
            <v>45793</v>
          </cell>
          <cell r="O44">
            <v>45793</v>
          </cell>
          <cell r="P44" t="str">
            <v>Visitas de evaluación con fines de mejoramiento</v>
          </cell>
          <cell r="Q44" t="str">
            <v>VISITA CON FINES DE MEJORAMIENTO INSTITUTO NAZARENO DE MODELIA.pdf</v>
          </cell>
          <cell r="R44" t="str">
            <v>El SIEE no es coherente con el PEI en lo relacionado con el modelo pedagógico adoptado por la Institución.  Requiere estructurar un capítulo con el tema de la inclusión en el marco de lo establecido en el decreto 1421 de 2017</v>
          </cell>
          <cell r="S44" t="str">
            <v>Revisar  el SIEE y ajustarlo en concordancia con el PEI, estructurar capitulo teniendo en cuenta el decreto 1421 de 2017</v>
          </cell>
          <cell r="T44" t="str">
            <v>Si</v>
          </cell>
          <cell r="U44" t="str">
            <v>Solicitud de entrega de avance  PMI el 20 de agosto</v>
          </cell>
        </row>
        <row r="45">
          <cell r="A45">
            <v>918</v>
          </cell>
          <cell r="B45">
            <v>5</v>
          </cell>
          <cell r="C45" t="str">
            <v>FONTIBÓN</v>
          </cell>
          <cell r="D45" t="str">
            <v>PRIVADO</v>
          </cell>
          <cell r="E45" t="str">
            <v>EPBM</v>
          </cell>
          <cell r="F45" t="str">
            <v>INSTITUTO_NAZARENO_MODELIA</v>
          </cell>
          <cell r="G45" t="str">
            <v>INSTITUTO_NAZARENO_MODELIA</v>
          </cell>
          <cell r="H45" t="str">
            <v>Autoevaluación Institucional y Pruebas SABER 11</v>
          </cell>
          <cell r="I45" t="str">
            <v>EVALUACIÓN_CON_FINES_DE_MEJORAMIENTO.</v>
          </cell>
          <cell r="J45" t="str">
            <v>Revisar el calendario escolar, jornada escolar, la intensidad horaria mínima anual en cada nivel y las modificaciones que se realicen al mismo, de acuerdo con lo previsto en la normatividad vigente.</v>
          </cell>
          <cell r="K45" t="str">
            <v>MARITZA SARMIENTO VANEGAS</v>
          </cell>
          <cell r="L45" t="str">
            <v>GLORIA INES AMAYA RAMÍREZ</v>
          </cell>
          <cell r="M45">
            <v>45776</v>
          </cell>
          <cell r="N45">
            <v>45793</v>
          </cell>
          <cell r="O45">
            <v>45793</v>
          </cell>
          <cell r="P45" t="str">
            <v>Visitas de evaluación con fines de mejoramiento</v>
          </cell>
          <cell r="Q45" t="str">
            <v>VISITA CON FINES DE MEJORAMIENTO INSTITUTO NAZARENO DE MODELIA.pdf</v>
          </cell>
          <cell r="R45" t="str">
            <v>Calendario escolar ajustado a norma para los niveles de básica y media</v>
          </cell>
          <cell r="S45" t="str">
            <v>Continuar con la implementación del calendario según las fechas definidas para los períodos de desarrollo académico y recesos.</v>
          </cell>
          <cell r="T45" t="str">
            <v>No</v>
          </cell>
          <cell r="U45" t="str">
            <v>Verificar la elaboración y socialización del calendario para la siguiente vigencia o en caso de presentarse queja.</v>
          </cell>
        </row>
        <row r="46">
          <cell r="A46">
            <v>919</v>
          </cell>
          <cell r="B46">
            <v>5</v>
          </cell>
          <cell r="C46" t="str">
            <v>FONTIBÓN</v>
          </cell>
          <cell r="D46" t="str">
            <v>PRIVADO</v>
          </cell>
          <cell r="E46" t="str">
            <v>EPBM</v>
          </cell>
          <cell r="F46" t="str">
            <v>INSTITUTO_NAZARENO_MODELIA</v>
          </cell>
          <cell r="G46" t="str">
            <v>INSTITUTO_NAZARENO_MODELIA</v>
          </cell>
          <cell r="H46" t="str">
            <v>Autoevaluación Institucional y Pruebas SABER 11</v>
          </cell>
          <cell r="I46" t="str">
            <v>EVALUACIÓN_CON_FINES_DE_MEJORAMIENTO.</v>
          </cell>
          <cell r="J46" t="str">
            <v>Verificar el funcionamiento del Gobierno Escolar e instancias de participación con base en la información sobre conformación reportada por la institución educativa.</v>
          </cell>
          <cell r="K46" t="str">
            <v>MARITZA SARMIENTO VANEGAS</v>
          </cell>
          <cell r="L46" t="str">
            <v>GLORIA INES AMAYA RAMÍREZ</v>
          </cell>
          <cell r="M46">
            <v>45776</v>
          </cell>
          <cell r="N46">
            <v>45793</v>
          </cell>
          <cell r="O46">
            <v>45793</v>
          </cell>
          <cell r="P46" t="str">
            <v>Visitas de evaluación con fines de mejoramiento</v>
          </cell>
          <cell r="Q46" t="str">
            <v>VISITA CON FINES DE MEJORAMIENTO INSTITUTO NAZARENO DE MODELIA.pdf</v>
          </cell>
          <cell r="R46" t="str">
            <v>Conformación y operatividad del gobierno escolar  y las instancia de participación  de acuerdo a lo establecido en la normatividad</v>
          </cell>
          <cell r="S46" t="str">
            <v>Continuar con la operatividad del gobierno escolar y las instancias de participación cada dos meses o según corresponda.</v>
          </cell>
          <cell r="T46" t="str">
            <v>No</v>
          </cell>
          <cell r="U46" t="str">
            <v>Se verificará la conformación del gobierno escolar para la siguiente vigencia.</v>
          </cell>
        </row>
        <row r="47">
          <cell r="A47">
            <v>920</v>
          </cell>
          <cell r="B47">
            <v>5</v>
          </cell>
          <cell r="C47" t="str">
            <v>FONTIBÓN</v>
          </cell>
          <cell r="D47" t="str">
            <v>PRIVADO</v>
          </cell>
          <cell r="E47" t="str">
            <v>EPBM</v>
          </cell>
          <cell r="F47" t="str">
            <v>INSTITUTO_NAZARENO_MODELIA</v>
          </cell>
          <cell r="G47" t="str">
            <v>INSTITUTO_NAZARENO_MODELIA</v>
          </cell>
          <cell r="H47" t="str">
            <v>Autoevaluación Institucional y Pruebas SABER 11</v>
          </cell>
          <cell r="I47" t="str">
            <v>EVALUACIÓN_CON_FINES_DE_MEJORAMIENTO.</v>
          </cell>
          <cell r="J47" t="str">
            <v>Verificar las condiciones en cuanto a: la estructura administrativa, condiciones de la planta física y medios educativos adecuados.</v>
          </cell>
          <cell r="K47" t="str">
            <v>MARITZA SARMIENTO VANEGAS</v>
          </cell>
          <cell r="L47" t="str">
            <v>GLORIA INES AMAYA RAMÍREZ</v>
          </cell>
          <cell r="M47">
            <v>45776</v>
          </cell>
          <cell r="N47">
            <v>45793</v>
          </cell>
          <cell r="O47">
            <v>45793</v>
          </cell>
          <cell r="P47" t="str">
            <v>Visitas de evaluación con fines de mejoramiento</v>
          </cell>
          <cell r="Q47" t="str">
            <v>VISITA CON FINES DE MEJORAMIENTO INSTITUTO NAZARENO DE MODELIA.pdf</v>
          </cell>
          <cell r="R47" t="str">
            <v>Las condiciones presentadas cumple con lo exigido por la normatividad vigente  para la prestación del servicio educativo</v>
          </cell>
          <cell r="S47" t="str">
            <v>Continuar con las gestiones necesarias para mantener el nivel del servicio educativo en relación con la planta física y demás recursos.</v>
          </cell>
          <cell r="T47" t="str">
            <v>No</v>
          </cell>
          <cell r="U47" t="str">
            <v>Se hará nueva verificación de esta actividad en caso de presentarse queja.</v>
          </cell>
        </row>
        <row r="48">
          <cell r="A48">
            <v>922</v>
          </cell>
          <cell r="B48">
            <v>6</v>
          </cell>
          <cell r="C48" t="str">
            <v>FONTIBÓN</v>
          </cell>
          <cell r="D48" t="str">
            <v>PRIVADO</v>
          </cell>
          <cell r="E48" t="str">
            <v>EPBM</v>
          </cell>
          <cell r="F48" t="str">
            <v>COLEGIO_MILITAR_JOSE_ANTONIO_GALAN</v>
          </cell>
          <cell r="G48" t="str">
            <v>COLEGIO_MILITAR_JOSE_ANTONIO_GALAN</v>
          </cell>
          <cell r="H48" t="str">
            <v>Autoevaluación Institucional y Pruebas SABER 11</v>
          </cell>
          <cell r="I48" t="str">
            <v>SEGUIMIENTO_Y_SUPERVISIÓN.</v>
          </cell>
          <cell r="J48" t="str">
            <v>Proponer estrategias en la formulación, verificar su elaboración y realizar seguimiento semestral al desarrollo de  las acciones establecidas en los planes de mejoramiento por pruebas SABER 11 de los establecimientos de educación formal.</v>
          </cell>
          <cell r="K48" t="str">
            <v>JOSÉ GUILLERMO ALARCÓN CUALLA</v>
          </cell>
          <cell r="L48" t="str">
            <v>JAIME GABRIEL GONZÁLEZ GAMBOA</v>
          </cell>
          <cell r="M48">
            <v>45806</v>
          </cell>
          <cell r="N48">
            <v>45804</v>
          </cell>
          <cell r="O48">
            <v>45804</v>
          </cell>
          <cell r="P48" t="str">
            <v>Visitas de evaluación con fines de mejoramiento</v>
          </cell>
          <cell r="Q48" t="str">
            <v>acá de visita - militar.pdf</v>
          </cell>
          <cell r="R48" t="str">
            <v>La institución educativa tiene una estrategia de preparación para las pruebas saber y manifiesta que sus logros se deben al desarrollo de esta y a los compromisos de los docentes. Se encuentra clasificado en la categoría A.</v>
          </cell>
          <cell r="S48" t="str">
            <v>Seguir implementando esta estrategia para lograr mayores avances en estas pruebas</v>
          </cell>
          <cell r="T48" t="str">
            <v>No</v>
          </cell>
          <cell r="U48" t="str">
            <v>Se verificará el desempeño de los estudiantes en las pruebas SABER 2025.</v>
          </cell>
        </row>
        <row r="49">
          <cell r="A49">
            <v>923</v>
          </cell>
          <cell r="B49">
            <v>6</v>
          </cell>
          <cell r="C49" t="str">
            <v>FONTIBÓN</v>
          </cell>
          <cell r="D49" t="str">
            <v>PRIVADO</v>
          </cell>
          <cell r="E49" t="str">
            <v>EPBM</v>
          </cell>
          <cell r="F49" t="str">
            <v>COLEGIO_MILITAR_JOSE_ANTONIO_GALAN</v>
          </cell>
          <cell r="G49" t="str">
            <v>COLEGIO_MILITAR_JOSE_ANTONIO_GALAN</v>
          </cell>
          <cell r="H49" t="str">
            <v>Autoevaluación Institucional y Pruebas SABER 11</v>
          </cell>
          <cell r="I49" t="str">
            <v>SEGUIMIENTO_Y_SUPERVISIÓN.</v>
          </cell>
          <cell r="J49" t="str">
            <v xml:space="preserve">Verificar la implementación por parte de los colegios, de acciones realizadas para la prevención y atención de las situaciones de convivencia en el entorno escolar, según lo establecido en la Directiva 01 de 2022 del MEN. </v>
          </cell>
          <cell r="K49" t="str">
            <v>JOSÉ GUILLERMO ALARCÓN CUALLA</v>
          </cell>
          <cell r="L49" t="str">
            <v>JAIME GABRIEL GONZÁLEZ GAMBOA</v>
          </cell>
          <cell r="M49">
            <v>45806</v>
          </cell>
          <cell r="N49">
            <v>45804</v>
          </cell>
          <cell r="O49">
            <v>45804</v>
          </cell>
          <cell r="P49" t="str">
            <v>Visitas de evaluación con fines de mejoramiento</v>
          </cell>
          <cell r="Q49" t="str">
            <v>acá de visita - militar.pdf</v>
          </cell>
          <cell r="R49" t="str">
            <v>Se desarrollan actividades pedagógico - formativas en los  componente de prevención y promoción de la ruta de atención integral.
La institución periódicamente realiza la verificación sobre reporte de delitos sexuales del personal contratado.</v>
          </cell>
          <cell r="S49" t="str">
            <v>Continuar con la aplicación de las estrategias de prevención, promoción y seguimiento por parte del Comité de Convivencia Escolar. Así mismo, la actualización de certificados, los cuales se deben realizar en los términos establecidos en la norma.</v>
          </cell>
          <cell r="T49" t="str">
            <v>No</v>
          </cell>
          <cell r="U49" t="str">
            <v>Se verificarán nuevamente los componentes de la Directa 01 de 2022 en caso de presentarse queja.</v>
          </cell>
        </row>
        <row r="50">
          <cell r="A50">
            <v>924</v>
          </cell>
          <cell r="B50">
            <v>6</v>
          </cell>
          <cell r="C50" t="str">
            <v>FONTIBÓN</v>
          </cell>
          <cell r="D50" t="str">
            <v>PRIVADO</v>
          </cell>
          <cell r="E50" t="str">
            <v>EPBM</v>
          </cell>
          <cell r="F50" t="str">
            <v>COLEGIO_MILITAR_JOSE_ANTONIO_GALAN</v>
          </cell>
          <cell r="G50" t="str">
            <v>COLEGIO_MILITAR_JOSE_ANTONIO_GALAN</v>
          </cell>
          <cell r="H50" t="str">
            <v>Autoevaluación Institucional y Pruebas SABER 11</v>
          </cell>
          <cell r="I50" t="str">
            <v>SEGUIMIENTO_Y_SUPERVISIÓN.</v>
          </cell>
          <cell r="J5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0" t="str">
            <v>JOSÉ GUILLERMO ALARCÓN CUALLA</v>
          </cell>
          <cell r="L50" t="str">
            <v>JAIME GABRIEL GONZÁLEZ GAMBOA</v>
          </cell>
          <cell r="M50">
            <v>45806</v>
          </cell>
          <cell r="N50">
            <v>45804</v>
          </cell>
          <cell r="O50">
            <v>45804</v>
          </cell>
          <cell r="P50" t="str">
            <v>Visitas de evaluación con fines de mejoramiento</v>
          </cell>
          <cell r="Q50" t="str">
            <v>acá de visita - militar.pdf</v>
          </cell>
          <cell r="R50" t="str">
            <v>La institución no registra  estudiantes en condición de discapacidad; sin embargo, en el SIMAT se registran algunos estudiantes en dicha situación.</v>
          </cell>
          <cell r="S50" t="str">
            <v>La institución debe dirigir comunicación a los padres de familia y a la institución educativa anterior, para que se actualice la información registrada en el SIMAT, el estado y la cifra real de esta población.</v>
          </cell>
          <cell r="T50" t="str">
            <v>No</v>
          </cell>
          <cell r="U50" t="str">
            <v>Revisión de la información actualiza en SIMAT, para la siguiente vigencia.</v>
          </cell>
        </row>
        <row r="51">
          <cell r="A51">
            <v>925</v>
          </cell>
          <cell r="B51">
            <v>6</v>
          </cell>
          <cell r="C51" t="str">
            <v>FONTIBÓN</v>
          </cell>
          <cell r="D51" t="str">
            <v>PRIVADO</v>
          </cell>
          <cell r="E51" t="str">
            <v>EPBM</v>
          </cell>
          <cell r="F51" t="str">
            <v>COLEGIO_MILITAR_JOSE_ANTONIO_GALAN</v>
          </cell>
          <cell r="G51" t="str">
            <v>COLEGIO_MILITAR_JOSE_ANTONIO_GALAN</v>
          </cell>
          <cell r="H51" t="str">
            <v>Autoevaluación Institucional y Pruebas SABER 11</v>
          </cell>
          <cell r="I51" t="str">
            <v>EVALUACIÓN_CON_FINES_DE_MEJORAMIENTO.</v>
          </cell>
          <cell r="J5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1" t="str">
            <v>JOSÉ GUILLERMO ALARCÓN CUALLA</v>
          </cell>
          <cell r="L51" t="str">
            <v>JAIME GABRIEL GONZÁLEZ GAMBOA</v>
          </cell>
          <cell r="M51">
            <v>45806</v>
          </cell>
          <cell r="N51">
            <v>45804</v>
          </cell>
          <cell r="O51">
            <v>45804</v>
          </cell>
          <cell r="P51" t="str">
            <v>Visitas de evaluación con fines de mejoramiento</v>
          </cell>
          <cell r="Q51" t="str">
            <v>acá de visita - militar.pdf</v>
          </cell>
          <cell r="R51" t="str">
            <v>El manual de convivencia está actualizado para el 2025, se debe ajustar la conformación del Comité de Convivencia, respeto a sus integrantes, de acuerdo con lo establecido en la normatividad vigente.</v>
          </cell>
          <cell r="S51" t="str">
            <v>El manual debe ser ajustado en lo permitente al Comité de Convivencia  y entregar la última semana de agosto.</v>
          </cell>
          <cell r="T51" t="str">
            <v>Si</v>
          </cell>
          <cell r="U51" t="str">
            <v>Revisar la propuesta de mejora institucional presentada y hacer seguimiento de acuerdo a fecha planteada.</v>
          </cell>
        </row>
        <row r="52">
          <cell r="A52">
            <v>926</v>
          </cell>
          <cell r="B52">
            <v>6</v>
          </cell>
          <cell r="C52" t="str">
            <v>FONTIBÓN</v>
          </cell>
          <cell r="D52" t="str">
            <v>PRIVADO</v>
          </cell>
          <cell r="E52" t="str">
            <v>EPBM</v>
          </cell>
          <cell r="F52" t="str">
            <v>COLEGIO_MILITAR_JOSE_ANTONIO_GALAN</v>
          </cell>
          <cell r="G52" t="str">
            <v>COLEGIO_MILITAR_JOSE_ANTONIO_GALAN</v>
          </cell>
          <cell r="H52" t="str">
            <v>Autoevaluación Institucional y Pruebas SABER 11</v>
          </cell>
          <cell r="I52" t="str">
            <v>EVALUACIÓN_CON_FINES_DE_MEJORAMIENTO.</v>
          </cell>
          <cell r="J52" t="str">
            <v>Revisar la actualización, socialización e implementación del Sistema Institucional de Evaluación de Estudiantes - SIEE, en articulación con la actualización del PEI y la normatividad vigente.</v>
          </cell>
          <cell r="K52" t="str">
            <v>JOSÉ GUILLERMO ALARCÓN CUALLA</v>
          </cell>
          <cell r="L52" t="str">
            <v>JAIME GABRIEL GONZÁLEZ GAMBOA</v>
          </cell>
          <cell r="M52">
            <v>45806</v>
          </cell>
          <cell r="N52">
            <v>45804</v>
          </cell>
          <cell r="O52">
            <v>45804</v>
          </cell>
          <cell r="P52" t="str">
            <v>Visitas de evaluación con fines de mejoramiento</v>
          </cell>
          <cell r="Q52" t="str">
            <v>acá de visita - militar.pdf</v>
          </cell>
          <cell r="R52" t="str">
            <v>El SIEE actualizado y coherente con el modelo pedagógico y con las características de formación militar.</v>
          </cell>
          <cell r="S52" t="str">
            <v>Continuar con la implementación de las acciones definidas en el SIEE.</v>
          </cell>
          <cell r="T52" t="str">
            <v>No</v>
          </cell>
          <cell r="U52" t="str">
            <v>Revisar nuevamente el SIEE en caso de presentarse queja.</v>
          </cell>
        </row>
        <row r="53">
          <cell r="A53">
            <v>927</v>
          </cell>
          <cell r="B53">
            <v>6</v>
          </cell>
          <cell r="C53" t="str">
            <v>FONTIBÓN</v>
          </cell>
          <cell r="D53" t="str">
            <v>PRIVADO</v>
          </cell>
          <cell r="E53" t="str">
            <v>EPBM</v>
          </cell>
          <cell r="F53" t="str">
            <v>COLEGIO_MILITAR_JOSE_ANTONIO_GALAN</v>
          </cell>
          <cell r="G53" t="str">
            <v>COLEGIO_MILITAR_JOSE_ANTONIO_GALAN</v>
          </cell>
          <cell r="H53" t="str">
            <v>Autoevaluación Institucional y Pruebas SABER 11</v>
          </cell>
          <cell r="I53" t="str">
            <v>EVALUACIÓN_CON_FINES_DE_MEJORAMIENTO.</v>
          </cell>
          <cell r="J53" t="str">
            <v>Revisar el calendario escolar, jornada escolar, la intensidad horaria mínima anual en cada nivel y las modificaciones que se realicen al mismo, de acuerdo con lo previsto en la normatividad vigente.</v>
          </cell>
          <cell r="K53" t="str">
            <v>JOSÉ GUILLERMO ALARCÓN CUALLA</v>
          </cell>
          <cell r="L53" t="str">
            <v>JAIME GABRIEL GONZÁLEZ GAMBOA</v>
          </cell>
          <cell r="M53">
            <v>45806</v>
          </cell>
          <cell r="N53">
            <v>45804</v>
          </cell>
          <cell r="O53">
            <v>45804</v>
          </cell>
          <cell r="P53" t="str">
            <v>Visitas de evaluación con fines de mejoramiento</v>
          </cell>
          <cell r="Q53" t="str">
            <v>acá de visita - militar.pdf</v>
          </cell>
          <cell r="R53" t="str">
            <v xml:space="preserve">En calendario escolar se encuentra  ajustado a norma para los niveles de educación ofertados por la institución educativa. </v>
          </cell>
          <cell r="S53" t="str">
            <v>Se debe continuar con la implementación del calendario  escolar según las fechas definidas para los períodos de desarrollo académico y recesos.</v>
          </cell>
          <cell r="T53" t="str">
            <v>No</v>
          </cell>
          <cell r="U53" t="str">
            <v>Verificar la elaboración y socialización del calendario para la siguiente vigencia o en caso de presentarse queja.</v>
          </cell>
        </row>
        <row r="54">
          <cell r="A54">
            <v>928</v>
          </cell>
          <cell r="B54">
            <v>6</v>
          </cell>
          <cell r="C54" t="str">
            <v>FONTIBÓN</v>
          </cell>
          <cell r="D54" t="str">
            <v>PRIVADO</v>
          </cell>
          <cell r="E54" t="str">
            <v>EPBM</v>
          </cell>
          <cell r="F54" t="str">
            <v>COLEGIO_MILITAR_JOSE_ANTONIO_GALAN</v>
          </cell>
          <cell r="G54" t="str">
            <v>COLEGIO_MILITAR_JOSE_ANTONIO_GALAN</v>
          </cell>
          <cell r="H54" t="str">
            <v>Autoevaluación Institucional y Pruebas SABER 11</v>
          </cell>
          <cell r="I54" t="str">
            <v>EVALUACIÓN_CON_FINES_DE_MEJORAMIENTO.</v>
          </cell>
          <cell r="J54" t="str">
            <v>Verificar el funcionamiento del Gobierno Escolar e instancias de participación con base en la información sobre conformación reportada por la institución educativa.</v>
          </cell>
          <cell r="K54" t="str">
            <v>JOSÉ GUILLERMO ALARCÓN CUALLA</v>
          </cell>
          <cell r="L54" t="str">
            <v>JAIME GABRIEL GONZÁLEZ GAMBOA</v>
          </cell>
          <cell r="M54">
            <v>45806</v>
          </cell>
          <cell r="N54">
            <v>45804</v>
          </cell>
          <cell r="O54">
            <v>45804</v>
          </cell>
          <cell r="P54" t="str">
            <v>Visitas de evaluación con fines de mejoramiento</v>
          </cell>
          <cell r="Q54" t="str">
            <v>acá de visita - militar.pdf</v>
          </cell>
          <cell r="R54" t="str">
            <v>La institución conformo el gobierno escolar  y  las instancia de participación  de acuerdo a lo establecido en la normatividad y subió la información en el SAE.</v>
          </cell>
          <cell r="S54" t="str">
            <v xml:space="preserve">Continuar la operatividad del gobierno escolar  y las instancias de participación, buscando cumplir con el cronograma propuesto. </v>
          </cell>
          <cell r="T54" t="str">
            <v>No</v>
          </cell>
          <cell r="U54" t="str">
            <v>Se verificará la operatividad del gobierno escolar en lo que resta del año lectivo.</v>
          </cell>
        </row>
        <row r="55">
          <cell r="A55">
            <v>929</v>
          </cell>
          <cell r="B55">
            <v>6</v>
          </cell>
          <cell r="C55" t="str">
            <v>FONTIBÓN</v>
          </cell>
          <cell r="D55" t="str">
            <v>PRIVADO</v>
          </cell>
          <cell r="E55" t="str">
            <v>EPBM</v>
          </cell>
          <cell r="F55" t="str">
            <v>COLEGIO_MILITAR_JOSE_ANTONIO_GALAN</v>
          </cell>
          <cell r="G55" t="str">
            <v>COLEGIO_MILITAR_JOSE_ANTONIO_GALAN</v>
          </cell>
          <cell r="H55" t="str">
            <v>Autoevaluación Institucional y Pruebas SABER 11</v>
          </cell>
          <cell r="I55" t="str">
            <v>EVALUACIÓN_CON_FINES_DE_MEJORAMIENTO.</v>
          </cell>
          <cell r="J55" t="str">
            <v>Verificar las condiciones en cuanto a: la estructura administrativa, condiciones de la planta física y medios educativos adecuados.</v>
          </cell>
          <cell r="K55" t="str">
            <v>JOSÉ GUILLERMO ALARCÓN CUALLA</v>
          </cell>
          <cell r="L55" t="str">
            <v>JAIME GABRIEL GONZÁLEZ GAMBOA</v>
          </cell>
          <cell r="M55">
            <v>45806</v>
          </cell>
          <cell r="N55">
            <v>45804</v>
          </cell>
          <cell r="O55">
            <v>45804</v>
          </cell>
          <cell r="P55" t="str">
            <v>Visitas de evaluación con fines de mejoramiento</v>
          </cell>
          <cell r="Q55" t="str">
            <v>acá de visita - militar.pdf</v>
          </cell>
          <cell r="R55" t="str">
            <v>La institución educativa cuenta con espacios, administrativos, académicos y de bienestar, con buen nivel de mantenimiento.</v>
          </cell>
          <cell r="S55" t="str">
            <v>La institución tiene un programa de mantenimiento de la infraestructura, el cual se compromete a continuar desarrollándolo.</v>
          </cell>
          <cell r="T55" t="str">
            <v>No</v>
          </cell>
          <cell r="U55" t="str">
            <v>Verificar que el mantenimiento establecido en el cronograma se está cumpliendo.</v>
          </cell>
        </row>
        <row r="56">
          <cell r="A56">
            <v>931</v>
          </cell>
          <cell r="B56">
            <v>7</v>
          </cell>
          <cell r="C56" t="str">
            <v>FONTIBÓN</v>
          </cell>
          <cell r="D56" t="str">
            <v>PRIVADO</v>
          </cell>
          <cell r="E56" t="str">
            <v>EPBM</v>
          </cell>
          <cell r="F56" t="str">
            <v>UNIDAD_EDUCATIVA_PRADOS_DE_ALAMEDA</v>
          </cell>
          <cell r="G56" t="str">
            <v>UNIDAD_EDUCATIVA_PRADOS_DE_ALAMEDA</v>
          </cell>
          <cell r="H56" t="str">
            <v>Autoevaluación Institucional y Pruebas SABER 11</v>
          </cell>
          <cell r="I56" t="str">
            <v>SEGUIMIENTO_Y_SUPERVISIÓN.</v>
          </cell>
          <cell r="J56" t="str">
            <v>Proponer estrategias en la formulación, verificar su elaboración y realizar seguimiento semestral al desarrollo de  las acciones establecidas en los planes de mejoramiento por pruebas SABER 11 de los establecimientos de educación formal.</v>
          </cell>
          <cell r="K56" t="str">
            <v>JAIME GABRIEL GONZÁLEZ GAMBOA</v>
          </cell>
          <cell r="L56" t="str">
            <v>JOSÉ GUILLERMO ALARCÓN CUALLA</v>
          </cell>
          <cell r="M56">
            <v>45771</v>
          </cell>
          <cell r="N56">
            <v>45806</v>
          </cell>
          <cell r="O56">
            <v>45806</v>
          </cell>
          <cell r="P56" t="str">
            <v>Visitas de evaluación con fines de mejoramiento</v>
          </cell>
          <cell r="Q56" t="str">
            <v>ACTA FIRMADA PRADOS DE ALAMEDA.pdf</v>
          </cell>
          <cell r="R56" t="str">
            <v>El nivel alcanzado en pruebas SABER 11 corresponde al nivel A y se mantiene en constante autoevaluación. Como estrategia, trabaja con el acompañamiento de una  empresa externa para la preparación de los estudiantes y docentes.</v>
          </cell>
          <cell r="S56" t="str">
            <v>Continuar implementando las capacitaciones, simulacros y preguntas tipo SABER 11.</v>
          </cell>
          <cell r="T56" t="str">
            <v>No</v>
          </cell>
          <cell r="U56" t="str">
            <v>Se realizara revisión frente a resultados en pruebas saber 11 en el próximo periodo académico.</v>
          </cell>
        </row>
        <row r="57">
          <cell r="A57">
            <v>932</v>
          </cell>
          <cell r="B57">
            <v>7</v>
          </cell>
          <cell r="C57" t="str">
            <v>FONTIBÓN</v>
          </cell>
          <cell r="D57" t="str">
            <v>PRIVADO</v>
          </cell>
          <cell r="E57" t="str">
            <v>EPBM</v>
          </cell>
          <cell r="F57" t="str">
            <v>UNIDAD_EDUCATIVA_PRADOS_DE_ALAMEDA</v>
          </cell>
          <cell r="G57" t="str">
            <v>UNIDAD_EDUCATIVA_PRADOS_DE_ALAMEDA</v>
          </cell>
          <cell r="H57" t="str">
            <v>Autoevaluación Institucional y Pruebas SABER 11</v>
          </cell>
          <cell r="I57" t="str">
            <v>SEGUIMIENTO_Y_SUPERVISIÓN.</v>
          </cell>
          <cell r="J57" t="str">
            <v xml:space="preserve">Verificar la implementación por parte de los colegios, de acciones realizadas para la prevención y atención de las situaciones de convivencia en el entorno escolar, según lo establecido en la Directiva 01 de 2022 del MEN. </v>
          </cell>
          <cell r="K57" t="str">
            <v>JAIME GABRIEL GONZÁLEZ GAMBOA</v>
          </cell>
          <cell r="L57" t="str">
            <v>JOSÉ GUILLERMO ALARCÓN CUALLA</v>
          </cell>
          <cell r="M57">
            <v>45771</v>
          </cell>
          <cell r="N57">
            <v>45806</v>
          </cell>
          <cell r="O57">
            <v>45806</v>
          </cell>
          <cell r="P57" t="str">
            <v>Visitas de evaluación con fines de mejoramiento</v>
          </cell>
          <cell r="Q57" t="str">
            <v>ACTA FIRMADA PRADOS DE ALAMEDA.pdf</v>
          </cell>
          <cell r="R57" t="str">
            <v>La institución educativa no realiza la implementación de la Directiva, frente a la verificación de antecedentes en el sistema de la Policía Nacional.</v>
          </cell>
          <cell r="S57" t="str">
            <v xml:space="preserve">Realizar la consulta del personal vinculado cada 4 meses, en el sistema de inhabilidades por delitos sexuales.  </v>
          </cell>
          <cell r="T57" t="str">
            <v>Si</v>
          </cell>
          <cell r="U57" t="str">
            <v>Solicitar informe al finalizar el tercer periodo escolar.</v>
          </cell>
        </row>
        <row r="58">
          <cell r="A58">
            <v>933</v>
          </cell>
          <cell r="B58">
            <v>7</v>
          </cell>
          <cell r="C58" t="str">
            <v>FONTIBÓN</v>
          </cell>
          <cell r="D58" t="str">
            <v>PRIVADO</v>
          </cell>
          <cell r="E58" t="str">
            <v>EPBM</v>
          </cell>
          <cell r="F58" t="str">
            <v>UNIDAD_EDUCATIVA_PRADOS_DE_ALAMEDA</v>
          </cell>
          <cell r="G58" t="str">
            <v>UNIDAD_EDUCATIVA_PRADOS_DE_ALAMEDA</v>
          </cell>
          <cell r="H58" t="str">
            <v>Autoevaluación Institucional y Pruebas SABER 11</v>
          </cell>
          <cell r="I58" t="str">
            <v>SEGUIMIENTO_Y_SUPERVISIÓN.</v>
          </cell>
          <cell r="J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8" t="str">
            <v>JAIME GABRIEL GONZÁLEZ GAMBOA</v>
          </cell>
          <cell r="L58" t="str">
            <v>JOSÉ GUILLERMO ALARCÓN CUALLA</v>
          </cell>
          <cell r="M58">
            <v>45771</v>
          </cell>
          <cell r="N58">
            <v>45806</v>
          </cell>
          <cell r="O58">
            <v>45806</v>
          </cell>
          <cell r="P58" t="str">
            <v>Visitas de evaluación con fines de mejoramiento</v>
          </cell>
          <cell r="Q58" t="str">
            <v>ACTA FIRMADA PRADOS DE ALAMEDA.pdf</v>
          </cell>
          <cell r="R58" t="str">
            <v>Cada escolar en condición de inclusión, cuenta con PIAR, formalizado y es de conocimiento familiar. La institución educativa a partir del diagnóstico documenta y efectúa atención académica y seguimiento en orientación a los15 escolares en inclusión.</v>
          </cell>
          <cell r="S58" t="str">
            <v>Continuar con el seguimiento y ajustes que se requieran a los PIAR</v>
          </cell>
          <cell r="T58" t="str">
            <v>No</v>
          </cell>
          <cell r="U58" t="str">
            <v>. Solicitar informe al finalizar el tercer periodo escolar, sobre la atención a los escolares.</v>
          </cell>
        </row>
        <row r="59">
          <cell r="A59">
            <v>934</v>
          </cell>
          <cell r="B59">
            <v>7</v>
          </cell>
          <cell r="C59" t="str">
            <v>FONTIBÓN</v>
          </cell>
          <cell r="D59" t="str">
            <v>PRIVADO</v>
          </cell>
          <cell r="E59" t="str">
            <v>EPBM</v>
          </cell>
          <cell r="F59" t="str">
            <v>UNIDAD_EDUCATIVA_PRADOS_DE_ALAMEDA</v>
          </cell>
          <cell r="G59" t="str">
            <v>UNIDAD_EDUCATIVA_PRADOS_DE_ALAMEDA</v>
          </cell>
          <cell r="H59" t="str">
            <v>Autoevaluación Institucional y Pruebas SABER 11</v>
          </cell>
          <cell r="I59" t="str">
            <v>EVALUACIÓN_CON_FINES_DE_MEJORAMIENTO.</v>
          </cell>
          <cell r="J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9" t="str">
            <v>JAIME GABRIEL GONZÁLEZ GAMBOA</v>
          </cell>
          <cell r="L59" t="str">
            <v>JOSÉ GUILLERMO ALARCÓN CUALLA</v>
          </cell>
          <cell r="M59">
            <v>45771</v>
          </cell>
          <cell r="N59">
            <v>45806</v>
          </cell>
          <cell r="O59">
            <v>45806</v>
          </cell>
          <cell r="P59" t="str">
            <v>Visitas de evaluación con fines de mejoramiento</v>
          </cell>
          <cell r="Q59" t="str">
            <v>ACTA FIRMADA PRADOS DE ALAMEDA.pdf</v>
          </cell>
          <cell r="R59" t="str">
            <v>Se encuentra publicado, se desarrolló con la participación de la comunidad y su contenido registra los elementos de ley.</v>
          </cell>
          <cell r="S59" t="str">
            <v>El manual de convivencia se revisó y ajusto en el año 2024 y es de conocimiento y aplicación en la institución educativa.</v>
          </cell>
          <cell r="T59" t="str">
            <v>No</v>
          </cell>
          <cell r="U59" t="str">
            <v>Se efectuará revisión en caso de presentarse queja.</v>
          </cell>
        </row>
        <row r="60">
          <cell r="A60">
            <v>935</v>
          </cell>
          <cell r="B60">
            <v>7</v>
          </cell>
          <cell r="C60" t="str">
            <v>FONTIBÓN</v>
          </cell>
          <cell r="D60" t="str">
            <v>PRIVADO</v>
          </cell>
          <cell r="E60" t="str">
            <v>EPBM</v>
          </cell>
          <cell r="F60" t="str">
            <v>UNIDAD_EDUCATIVA_PRADOS_DE_ALAMEDA</v>
          </cell>
          <cell r="G60" t="str">
            <v>UNIDAD_EDUCATIVA_PRADOS_DE_ALAMEDA</v>
          </cell>
          <cell r="H60" t="str">
            <v>Autoevaluación Institucional y Pruebas SABER 11</v>
          </cell>
          <cell r="I60" t="str">
            <v>EVALUACIÓN_CON_FINES_DE_MEJORAMIENTO.</v>
          </cell>
          <cell r="J60" t="str">
            <v>Revisar la actualización, socialización e implementación del Sistema Institucional de Evaluación de Estudiantes - SIEE, en articulación con la actualización del PEI y la normatividad vigente.</v>
          </cell>
          <cell r="K60" t="str">
            <v>JAIME GABRIEL GONZÁLEZ GAMBOA</v>
          </cell>
          <cell r="L60" t="str">
            <v>JOSÉ GUILLERMO ALARCÓN CUALLA</v>
          </cell>
          <cell r="M60">
            <v>45771</v>
          </cell>
          <cell r="N60">
            <v>45806</v>
          </cell>
          <cell r="O60">
            <v>45806</v>
          </cell>
          <cell r="P60" t="str">
            <v>Visitas de evaluación con fines de mejoramiento</v>
          </cell>
          <cell r="Q60" t="str">
            <v>ACTA FIRMADA PRADOS DE ALAMEDA.pdf</v>
          </cell>
          <cell r="R60" t="str">
            <v>Esta publicado, es de conocimiento de la comunidad y se soporta en un sistema de registro de resultados académicos.</v>
          </cell>
          <cell r="S60" t="str">
            <v>. La institución cuenta con un sistema de valoración académica, de consulta en plataforma y atienda oportunamente las dificultades en los resultados escolares</v>
          </cell>
          <cell r="T60" t="str">
            <v>No</v>
          </cell>
          <cell r="U60" t="str">
            <v>Se efectuará revisión en caso de presentarse queja.</v>
          </cell>
        </row>
        <row r="61">
          <cell r="A61">
            <v>936</v>
          </cell>
          <cell r="B61">
            <v>7</v>
          </cell>
          <cell r="C61" t="str">
            <v>FONTIBÓN</v>
          </cell>
          <cell r="D61" t="str">
            <v>PRIVADO</v>
          </cell>
          <cell r="E61" t="str">
            <v>EPBM</v>
          </cell>
          <cell r="F61" t="str">
            <v>UNIDAD_EDUCATIVA_PRADOS_DE_ALAMEDA</v>
          </cell>
          <cell r="G61" t="str">
            <v>UNIDAD_EDUCATIVA_PRADOS_DE_ALAMEDA</v>
          </cell>
          <cell r="H61" t="str">
            <v>Autoevaluación Institucional y Pruebas SABER 11</v>
          </cell>
          <cell r="I61" t="str">
            <v>EVALUACIÓN_CON_FINES_DE_MEJORAMIENTO.</v>
          </cell>
          <cell r="J61" t="str">
            <v>Revisar el calendario escolar, jornada escolar, la intensidad horaria mínima anual en cada nivel y las modificaciones que se realicen al mismo, de acuerdo con lo previsto en la normatividad vigente.</v>
          </cell>
          <cell r="K61" t="str">
            <v>JAIME GABRIEL GONZÁLEZ GAMBOA</v>
          </cell>
          <cell r="L61" t="str">
            <v>JOSÉ GUILLERMO ALARCÓN CUALLA</v>
          </cell>
          <cell r="M61">
            <v>45771</v>
          </cell>
          <cell r="N61">
            <v>45806</v>
          </cell>
          <cell r="O61">
            <v>45806</v>
          </cell>
          <cell r="P61" t="str">
            <v>Visitas de evaluación con fines de mejoramiento</v>
          </cell>
          <cell r="Q61" t="str">
            <v>ACTA FIRMADA PRADOS DE ALAMEDA.pdf</v>
          </cell>
          <cell r="R61" t="str">
            <v>Está publicado, es de conocimiento institucional y acorde con la normatividad.</v>
          </cell>
          <cell r="S61" t="str">
            <v>Continuar su desarrollo e implementación</v>
          </cell>
          <cell r="T61" t="str">
            <v>No</v>
          </cell>
          <cell r="U61" t="str">
            <v>Se efectuará revisión en caso de presentarse queja.</v>
          </cell>
        </row>
        <row r="62">
          <cell r="A62">
            <v>937</v>
          </cell>
          <cell r="B62">
            <v>7</v>
          </cell>
          <cell r="C62" t="str">
            <v>FONTIBÓN</v>
          </cell>
          <cell r="D62" t="str">
            <v>PRIVADO</v>
          </cell>
          <cell r="E62" t="str">
            <v>EPBM</v>
          </cell>
          <cell r="F62" t="str">
            <v>UNIDAD_EDUCATIVA_PRADOS_DE_ALAMEDA</v>
          </cell>
          <cell r="G62" t="str">
            <v>UNIDAD_EDUCATIVA_PRADOS_DE_ALAMEDA</v>
          </cell>
          <cell r="H62" t="str">
            <v>Autoevaluación Institucional y Pruebas SABER 11</v>
          </cell>
          <cell r="I62" t="str">
            <v>EVALUACIÓN_CON_FINES_DE_MEJORAMIENTO.</v>
          </cell>
          <cell r="J62" t="str">
            <v>Verificar el funcionamiento del Gobierno Escolar e instancias de participación con base en la información sobre conformación reportada por la institución educativa.</v>
          </cell>
          <cell r="K62" t="str">
            <v>JAIME GABRIEL GONZÁLEZ GAMBOA</v>
          </cell>
          <cell r="L62" t="str">
            <v>JOSÉ GUILLERMO ALARCÓN CUALLA</v>
          </cell>
          <cell r="M62">
            <v>45771</v>
          </cell>
          <cell r="N62">
            <v>45806</v>
          </cell>
          <cell r="O62">
            <v>45806</v>
          </cell>
          <cell r="P62" t="str">
            <v>Visitas de evaluación con fines de mejoramiento</v>
          </cell>
          <cell r="Q62" t="str">
            <v>ACTA FIRMADA PRADOS DE ALAMEDA.pdf</v>
          </cell>
          <cell r="R62" t="str">
            <v>Se encuentra registrado en plataforma SAE y en funcionamiento.</v>
          </cell>
          <cell r="S62" t="str">
            <v>Los colegiados están en actividad y sesionan con regularidad.</v>
          </cell>
          <cell r="T62" t="str">
            <v>No</v>
          </cell>
          <cell r="U62" t="str">
            <v>Se verificará la conformación del gobierno e instancias para la siguiente vigencia.</v>
          </cell>
        </row>
        <row r="63">
          <cell r="A63">
            <v>938</v>
          </cell>
          <cell r="B63">
            <v>7</v>
          </cell>
          <cell r="C63" t="str">
            <v>FONTIBÓN</v>
          </cell>
          <cell r="D63" t="str">
            <v>PRIVADO</v>
          </cell>
          <cell r="E63" t="str">
            <v>EPBM</v>
          </cell>
          <cell r="F63" t="str">
            <v>UNIDAD_EDUCATIVA_PRADOS_DE_ALAMEDA</v>
          </cell>
          <cell r="G63" t="str">
            <v>UNIDAD_EDUCATIVA_PRADOS_DE_ALAMEDA</v>
          </cell>
          <cell r="H63" t="str">
            <v>Autoevaluación Institucional y Pruebas SABER 11</v>
          </cell>
          <cell r="I63" t="str">
            <v>EVALUACIÓN_CON_FINES_DE_MEJORAMIENTO.</v>
          </cell>
          <cell r="J63" t="str">
            <v>Verificar las condiciones en cuanto a: la estructura administrativa, condiciones de la planta física y medios educativos adecuados.</v>
          </cell>
          <cell r="K63" t="str">
            <v>JAIME GABRIEL GONZÁLEZ GAMBOA</v>
          </cell>
          <cell r="L63" t="str">
            <v>JOSÉ GUILLERMO ALARCÓN CUALLA</v>
          </cell>
          <cell r="M63">
            <v>45771</v>
          </cell>
          <cell r="N63">
            <v>45806</v>
          </cell>
          <cell r="O63">
            <v>45806</v>
          </cell>
          <cell r="P63" t="str">
            <v>Visitas de evaluación con fines de mejoramiento</v>
          </cell>
          <cell r="Q63" t="str">
            <v>ACTA FIRMADA PRADOS DE ALAMEDA.pdf</v>
          </cell>
          <cell r="R63" t="str">
            <v>Cuenta con espacios suficientes, administrativos, académicos y de bienestar.</v>
          </cell>
          <cell r="S63" t="str">
            <v>Los espacios académicos – pedagógicos brindan a la población escolar un buen campo de desarrollo cognitivo y social.</v>
          </cell>
          <cell r="T63" t="str">
            <v>No</v>
          </cell>
          <cell r="U63" t="str">
            <v>Se efectuara revisión en caso de presentarse queja</v>
          </cell>
        </row>
        <row r="64">
          <cell r="A64">
            <v>939</v>
          </cell>
          <cell r="B64">
            <v>8</v>
          </cell>
          <cell r="C64" t="str">
            <v>FONTIBÓN</v>
          </cell>
          <cell r="D64" t="str">
            <v>PRIVADO</v>
          </cell>
          <cell r="E64" t="str">
            <v>EPBM</v>
          </cell>
          <cell r="F64" t="str">
            <v>COLEGIO_DE_NUESTRA_SEÑORA_DEL_PERPETUO_SOCORRO</v>
          </cell>
          <cell r="G64" t="str">
            <v>COLEGIO_DE_NUESTRA_SEÑORA_DEL_PERPETUO_SOCORRO</v>
          </cell>
          <cell r="H64" t="str">
            <v>Autoevaluación Institucional y Pruebas SABER 11</v>
          </cell>
          <cell r="I64" t="str">
            <v>SEGUIMIENTO_Y_SUPERVISIÓN.</v>
          </cell>
          <cell r="J64"/>
          <cell r="K64"/>
          <cell r="L64"/>
          <cell r="M64"/>
          <cell r="N64"/>
          <cell r="O64"/>
          <cell r="P64"/>
          <cell r="Q64"/>
          <cell r="R64"/>
          <cell r="S64"/>
          <cell r="T64"/>
          <cell r="U64"/>
        </row>
        <row r="65">
          <cell r="A65">
            <v>940</v>
          </cell>
          <cell r="B65">
            <v>8</v>
          </cell>
          <cell r="C65" t="str">
            <v>FONTIBÓN</v>
          </cell>
          <cell r="D65" t="str">
            <v>PRIVADO</v>
          </cell>
          <cell r="E65" t="str">
            <v>Educación de Jóvenes y Adultos</v>
          </cell>
          <cell r="F65" t="str">
            <v>COLEGIO_MARCO_AURELIO</v>
          </cell>
          <cell r="G65" t="str">
            <v>COLEGIO_MARCO_AURELIO</v>
          </cell>
          <cell r="H65" t="str">
            <v>Autoevaluación Institucional y Pruebas SABER 11</v>
          </cell>
          <cell r="I65" t="str">
            <v>SEGUIMIENTO_Y_SUPERVISIÓN.</v>
          </cell>
          <cell r="J65" t="str">
            <v>Proponer estrategias en la formulación, verificar su elaboración y realizar seguimiento semestral al desarrollo de  las acciones establecidas en los planes de mejoramiento por pruebas SABER 11 de los establecimientos de educación formal.</v>
          </cell>
          <cell r="K65" t="str">
            <v>JAIME GABRIEL GONZÁLEZ GAMBOA</v>
          </cell>
          <cell r="L65" t="str">
            <v>JOSÉ GUILLERMO ALARCÓN CUALLA</v>
          </cell>
          <cell r="M65">
            <v>45790</v>
          </cell>
          <cell r="N65">
            <v>45864</v>
          </cell>
          <cell r="O65">
            <v>45864</v>
          </cell>
          <cell r="P65" t="str">
            <v>Visitas de evaluación con fines de mejoramiento</v>
          </cell>
          <cell r="Q65" t="str">
            <v>acta de visita - marco aurelio.pdf</v>
          </cell>
          <cell r="R65" t="str">
            <v>La institución no ha implementado acciones para mejorar los aprendizajes de los estudiantes en las áreas del plan de estudio con más bajo desempeño en las pruebas SABER 11, ni  actualizado el currículo y plan de estudios  con base en los resultados obtenidos en las pruebas SABER 11?</v>
          </cell>
          <cell r="S65" t="str">
            <v xml:space="preserve">Se debe llevar a Consejo Académico el Plan de Mejoramiento, donde se involucre el PEI, el Currículo en relación con el desempeño institucional de las pruebas saber </v>
          </cell>
          <cell r="T65" t="str">
            <v>Si</v>
          </cell>
          <cell r="U65" t="str">
            <v>Presentará plan de trabajo en el mes de  agosto del 2025</v>
          </cell>
        </row>
        <row r="66">
          <cell r="A66">
            <v>941</v>
          </cell>
          <cell r="B66">
            <v>8</v>
          </cell>
          <cell r="C66" t="str">
            <v>FONTIBÓN</v>
          </cell>
          <cell r="D66" t="str">
            <v>PRIVADO</v>
          </cell>
          <cell r="E66" t="str">
            <v>Educación de Jóvenes y Adultos</v>
          </cell>
          <cell r="F66" t="str">
            <v>COLEGIO_MARCO_AURELIO</v>
          </cell>
          <cell r="G66" t="str">
            <v>COLEGIO_MARCO_AURELIO</v>
          </cell>
          <cell r="H66" t="str">
            <v>Autoevaluación Institucional y Pruebas SABER 11</v>
          </cell>
          <cell r="I66" t="str">
            <v>SEGUIMIENTO_Y_SUPERVISIÓN.</v>
          </cell>
          <cell r="J66" t="str">
            <v xml:space="preserve">Verificar la implementación por parte de los colegios, de acciones realizadas para la prevención y atención de las situaciones de convivencia en el entorno escolar, según lo establecido en la Directiva 01 de 2022 del MEN. </v>
          </cell>
          <cell r="K66" t="str">
            <v>JAIME GABRIEL GONZÁLEZ GAMBOA</v>
          </cell>
          <cell r="L66" t="str">
            <v>JOSÉ GUILLERMO ALARCÓN CUALLA</v>
          </cell>
          <cell r="M66">
            <v>45790</v>
          </cell>
          <cell r="N66">
            <v>45864</v>
          </cell>
          <cell r="O66">
            <v>45864</v>
          </cell>
          <cell r="P66" t="str">
            <v>Visitas de evaluación con fines de mejoramiento</v>
          </cell>
          <cell r="Q66" t="str">
            <v>acta de visita - marco aurelio.pdf</v>
          </cell>
          <cell r="R66" t="str">
            <v xml:space="preserve">La institución realiza actividades pedagógico formativas del componente de  prevención y promoción de la ruta de atención integral  y verifica antecedentes por delitos sexuales.  </v>
          </cell>
          <cell r="S66" t="str">
            <v>Continuar con la aplicación de las estrategias de prevención, promoción y seguimiento por parte del Comité de Convivencia Escolar, y continuar realizando la verificación de antecedentes de acuerdo a los tiempos establecidos en norma.</v>
          </cell>
          <cell r="T66" t="str">
            <v>Si</v>
          </cell>
          <cell r="U66" t="str">
            <v>Presentará plan de trabajo y mejoramiento en el mes de agosto de 2025</v>
          </cell>
        </row>
        <row r="67">
          <cell r="A67">
            <v>942</v>
          </cell>
          <cell r="B67">
            <v>8</v>
          </cell>
          <cell r="C67" t="str">
            <v>FONTIBÓN</v>
          </cell>
          <cell r="D67" t="str">
            <v>PRIVADO</v>
          </cell>
          <cell r="E67" t="str">
            <v>Educación de Jóvenes y Adultos</v>
          </cell>
          <cell r="F67" t="str">
            <v>COLEGIO_MARCO_AURELIO</v>
          </cell>
          <cell r="G67" t="str">
            <v>COLEGIO_MARCO_AURELIO</v>
          </cell>
          <cell r="H67" t="str">
            <v>Autoevaluación Institucional y Pruebas SABER 11</v>
          </cell>
          <cell r="I67" t="str">
            <v>SEGUIMIENTO_Y_SUPERVISIÓN.</v>
          </cell>
          <cell r="J6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7" t="str">
            <v>JAIME GABRIEL GONZÁLEZ GAMBOA</v>
          </cell>
          <cell r="L67" t="str">
            <v>JOSÉ GUILLERMO ALARCÓN CUALLA</v>
          </cell>
          <cell r="M67">
            <v>45790</v>
          </cell>
          <cell r="N67">
            <v>45864</v>
          </cell>
          <cell r="O67">
            <v>45864</v>
          </cell>
          <cell r="P67" t="str">
            <v>Visitas de evaluación con fines de mejoramiento</v>
          </cell>
          <cell r="Q67" t="str">
            <v>acta de visita - marco aurelio.pdf</v>
          </cell>
          <cell r="R67" t="str">
            <v>La institución debe dirigir comunicación a los padres de familia y a la institución educativa anterior, para que informen sobre el seguimiento a la información registrada en el SIMAT.</v>
          </cell>
          <cell r="S67" t="str">
            <v>La institución presentara plan de trabajo de acuerdo a la poblacion que se encuentre en lo establecido en el Decreto 1421 de 2017.</v>
          </cell>
          <cell r="T67" t="str">
            <v>si</v>
          </cell>
          <cell r="U67" t="str">
            <v>Presentará plan de trabajo a finales del mes de agosto del 2025, al cual se le realizara el respectivo seguimiento.</v>
          </cell>
        </row>
        <row r="68">
          <cell r="A68">
            <v>943</v>
          </cell>
          <cell r="B68">
            <v>8</v>
          </cell>
          <cell r="C68" t="str">
            <v>FONTIBÓN</v>
          </cell>
          <cell r="D68" t="str">
            <v>PRIVADO</v>
          </cell>
          <cell r="E68" t="str">
            <v>Educación de Jóvenes y Adultos</v>
          </cell>
          <cell r="F68" t="str">
            <v>COLEGIO_MARCO_AURELIO</v>
          </cell>
          <cell r="G68" t="str">
            <v>COLEGIO_MARCO_AURELIO</v>
          </cell>
          <cell r="H68" t="str">
            <v>Autoevaluación Institucional y Pruebas SABER 11</v>
          </cell>
          <cell r="I68" t="str">
            <v>EVALUACIÓN_CON_FINES_DE_MEJORAMIENTO.</v>
          </cell>
          <cell r="J6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8" t="str">
            <v>JAIME GABRIEL GONZÁLEZ GAMBOA</v>
          </cell>
          <cell r="L68" t="str">
            <v>JOSÉ GUILLERMO ALARCÓN CUALLA</v>
          </cell>
          <cell r="M68">
            <v>45790</v>
          </cell>
          <cell r="N68">
            <v>45864</v>
          </cell>
          <cell r="O68">
            <v>45864</v>
          </cell>
          <cell r="P68" t="str">
            <v>Visitas de evaluación con fines de mejoramiento</v>
          </cell>
          <cell r="Q68" t="str">
            <v>acta de visita - marco aurelio.pdf</v>
          </cell>
          <cell r="R68" t="str">
            <v>Su contenido establece los elementos de norma. esta publicado en la página institucional  y se desarrolló con la participación de la comunidad y su contenido registra los elementos de ley.</v>
          </cell>
          <cell r="S68" t="str">
            <v>El manual de convivencia se revisó y ajusto en el año 2025 y es de conocimiento y aplicación en la institución educativa</v>
          </cell>
          <cell r="T68" t="str">
            <v>No</v>
          </cell>
          <cell r="U68" t="str">
            <v>Finalizando este período académico se iniciara el proceso de revisión y adecuación para el 2026.</v>
          </cell>
        </row>
        <row r="69">
          <cell r="A69">
            <v>944</v>
          </cell>
          <cell r="B69">
            <v>8</v>
          </cell>
          <cell r="C69" t="str">
            <v>FONTIBÓN</v>
          </cell>
          <cell r="D69" t="str">
            <v>PRIVADO</v>
          </cell>
          <cell r="E69" t="str">
            <v>Educación de Jóvenes y Adultos</v>
          </cell>
          <cell r="F69" t="str">
            <v>COLEGIO_MARCO_AURELIO</v>
          </cell>
          <cell r="G69" t="str">
            <v>COLEGIO_MARCO_AURELIO</v>
          </cell>
          <cell r="H69" t="str">
            <v>Autoevaluación Institucional y Pruebas SABER 11</v>
          </cell>
          <cell r="I69" t="str">
            <v>EVALUACIÓN_CON_FINES_DE_MEJORAMIENTO.</v>
          </cell>
          <cell r="J69" t="str">
            <v>Revisar la actualización, socialización e implementación del Sistema Institucional de Evaluación de Estudiantes - SIEE, en articulación con la actualización del PEI y la normatividad vigente.</v>
          </cell>
          <cell r="K69" t="str">
            <v>JAIME GABRIEL GONZÁLEZ GAMBOA</v>
          </cell>
          <cell r="L69" t="str">
            <v>JOSÉ GUILLERMO ALARCÓN CUALLA</v>
          </cell>
          <cell r="M69">
            <v>45790</v>
          </cell>
          <cell r="N69">
            <v>45864</v>
          </cell>
          <cell r="O69">
            <v>45864</v>
          </cell>
          <cell r="P69" t="str">
            <v>Visitas de evaluación con fines de mejoramiento</v>
          </cell>
          <cell r="Q69" t="str">
            <v>acta de visita - marco aurelio.pdf</v>
          </cell>
          <cell r="R69" t="str">
            <v>Esta publicado, es de conocimiento de la comunidad y se soporta en un sistema de registro de resultados académicos.</v>
          </cell>
          <cell r="S69" t="str">
            <v>Se emite n resultados académicos periódicos y desarrollan planes de mejoramiento preventivos, dirigidos a los estudiantes con deficiencias.</v>
          </cell>
          <cell r="T69" t="str">
            <v>No</v>
          </cell>
          <cell r="U69" t="str">
            <v>Se generara observación del proceso al finalizar el tercer período</v>
          </cell>
        </row>
        <row r="70">
          <cell r="A70">
            <v>945</v>
          </cell>
          <cell r="B70">
            <v>8</v>
          </cell>
          <cell r="C70" t="str">
            <v>FONTIBÓN</v>
          </cell>
          <cell r="D70" t="str">
            <v>PRIVADO</v>
          </cell>
          <cell r="E70" t="str">
            <v>Educación de Jóvenes y Adultos</v>
          </cell>
          <cell r="F70" t="str">
            <v>COLEGIO_MARCO_AURELIO</v>
          </cell>
          <cell r="G70" t="str">
            <v>COLEGIO_MARCO_AURELIO</v>
          </cell>
          <cell r="H70" t="str">
            <v>Autoevaluación Institucional y Pruebas SABER 11</v>
          </cell>
          <cell r="I70" t="str">
            <v>EVALUACIÓN_CON_FINES_DE_MEJORAMIENTO.</v>
          </cell>
          <cell r="J70" t="str">
            <v>Revisar el calendario escolar, jornada escolar, la intensidad horaria mínima anual en cada nivel y las modificaciones que se realicen al mismo, de acuerdo con lo previsto en la normatividad vigente.</v>
          </cell>
          <cell r="K70" t="str">
            <v>JAIME GABRIEL GONZÁLEZ GAMBOA</v>
          </cell>
          <cell r="L70" t="str">
            <v>JOSÉ GUILLERMO ALARCÓN CUALLA</v>
          </cell>
          <cell r="M70">
            <v>45790</v>
          </cell>
          <cell r="N70">
            <v>45864</v>
          </cell>
          <cell r="O70">
            <v>45864</v>
          </cell>
          <cell r="P70" t="str">
            <v>Visitas de evaluación con fines de mejoramiento</v>
          </cell>
          <cell r="Q70" t="str">
            <v>acta de visita - marco aurelio.pdf</v>
          </cell>
          <cell r="R70" t="str">
            <v>Esta publicado en la oficina en la cual prestan el servicio y es de conocimiento institucional.</v>
          </cell>
          <cell r="S70" t="str">
            <v>La propuesta de calendario se realiza de acuerdo a lo contemplado en la normatividad.</v>
          </cell>
          <cell r="T70" t="str">
            <v>No</v>
          </cell>
          <cell r="U70" t="str">
            <v>Se consultará su aplicación al finalizar el tercer período</v>
          </cell>
        </row>
        <row r="71">
          <cell r="A71">
            <v>946</v>
          </cell>
          <cell r="B71">
            <v>8</v>
          </cell>
          <cell r="C71" t="str">
            <v>FONTIBÓN</v>
          </cell>
          <cell r="D71" t="str">
            <v>PRIVADO</v>
          </cell>
          <cell r="E71" t="str">
            <v>Educación de Jóvenes y Adultos</v>
          </cell>
          <cell r="F71" t="str">
            <v>COLEGIO_MARCO_AURELIO</v>
          </cell>
          <cell r="G71" t="str">
            <v>COLEGIO_MARCO_AURELIO</v>
          </cell>
          <cell r="H71" t="str">
            <v>Autoevaluación Institucional y Pruebas SABER 11</v>
          </cell>
          <cell r="I71" t="str">
            <v>EVALUACIÓN_CON_FINES_DE_MEJORAMIENTO.</v>
          </cell>
          <cell r="J71" t="str">
            <v>Verificar el funcionamiento del Gobierno Escolar e instancias de participación con base en la información sobre conformación reportada por la institución educativa.</v>
          </cell>
          <cell r="K71" t="str">
            <v>JAIME GABRIEL GONZÁLEZ GAMBOA</v>
          </cell>
          <cell r="L71" t="str">
            <v>JOSÉ GUILLERMO ALARCÓN CUALLA</v>
          </cell>
          <cell r="M71">
            <v>45790</v>
          </cell>
          <cell r="N71">
            <v>45864</v>
          </cell>
          <cell r="O71">
            <v>45864</v>
          </cell>
          <cell r="P71" t="str">
            <v>Visitas de evaluación con fines de mejoramiento</v>
          </cell>
          <cell r="Q71" t="str">
            <v>acta de visita - marco aurelio.pdf</v>
          </cell>
          <cell r="R71" t="str">
            <v>La conformación del Gobierno Escolar en sus diferentes instancias se encuentra registrado en plataforma SAE y está en funcionamiento.</v>
          </cell>
          <cell r="S71" t="str">
            <v>Los colegiados están en actividad y seccionan con regularidad.</v>
          </cell>
          <cell r="T71" t="str">
            <v>No</v>
          </cell>
          <cell r="U71" t="str">
            <v>En seguimiento de proceso, se consultará su actividad al finalizar el tercer período académico.</v>
          </cell>
        </row>
        <row r="72">
          <cell r="A72">
            <v>947</v>
          </cell>
          <cell r="B72">
            <v>8</v>
          </cell>
          <cell r="C72" t="str">
            <v>FONTIBÓN</v>
          </cell>
          <cell r="D72" t="str">
            <v>PRIVADO</v>
          </cell>
          <cell r="E72" t="str">
            <v>Educación de Jóvenes y Adultos</v>
          </cell>
          <cell r="F72" t="str">
            <v>COLEGIO_MARCO_AURELIO</v>
          </cell>
          <cell r="G72" t="str">
            <v>COLEGIO_MARCO_AURELIO</v>
          </cell>
          <cell r="H72" t="str">
            <v>Autoevaluación Institucional y Pruebas SABER 11</v>
          </cell>
          <cell r="I72" t="str">
            <v>EVALUACIÓN_CON_FINES_DE_MEJORAMIENTO.</v>
          </cell>
          <cell r="J72" t="str">
            <v>Verificar las condiciones en cuanto a: la estructura administrativa, condiciones de la planta física y medios educativos adecuados.</v>
          </cell>
          <cell r="K72" t="str">
            <v>JAIME GABRIEL GONZÁLEZ GAMBOA</v>
          </cell>
          <cell r="L72" t="str">
            <v>JOSÉ GUILLERMO ALARCÓN CUALLA</v>
          </cell>
          <cell r="M72">
            <v>45790</v>
          </cell>
          <cell r="N72">
            <v>45864</v>
          </cell>
          <cell r="O72">
            <v>45864</v>
          </cell>
          <cell r="P72" t="str">
            <v>Visitas de evaluación con fines de mejoramiento</v>
          </cell>
          <cell r="Q72" t="str">
            <v>acta de visita - marco aurelio.pdf</v>
          </cell>
          <cell r="R72" t="str">
            <v>No cuenta con espacios suficientes, administrativos, académicos y de bienestar, que estén dedicados a la atención integral del servicio.</v>
          </cell>
          <cell r="S72" t="str">
            <v>Los espacios académicos – pedagógicos no brindan a la población escolar un buen campo de desarrollo cognitivo y social.</v>
          </cell>
          <cell r="T72" t="str">
            <v>Si</v>
          </cell>
          <cell r="U72" t="str">
            <v>Deben incluir acciones de mejoramiento,  a las cuales se les realizara el seguimiento.</v>
          </cell>
        </row>
        <row r="73">
          <cell r="A73">
            <v>949</v>
          </cell>
          <cell r="B73">
            <v>9</v>
          </cell>
          <cell r="C73" t="str">
            <v>FONTIBÓN</v>
          </cell>
          <cell r="D73" t="str">
            <v>PRIVADO</v>
          </cell>
          <cell r="E73" t="str">
            <v>EPBM</v>
          </cell>
          <cell r="F73" t="str">
            <v>COLEGIO_PARROQUIAL_SAN_JOSE</v>
          </cell>
          <cell r="G73" t="str">
            <v>COLEGIO_PARROQUIAL_SAN_JOSE</v>
          </cell>
          <cell r="H73" t="str">
            <v>Autoevaluación Institucional y Pruebas SABER 11</v>
          </cell>
          <cell r="I73" t="str">
            <v>SEGUIMIENTO_Y_SUPERVISIÓN.</v>
          </cell>
          <cell r="J73" t="str">
            <v>Proponer estrategias en la formulación, verificar su elaboración y realizar seguimiento semestral al desarrollo de  las acciones establecidas en los planes de mejoramiento por pruebas SABER 11 de los establecimientos de educación formal.</v>
          </cell>
          <cell r="K73" t="str">
            <v>GLORIA INES AMAYA RAMÍREZ</v>
          </cell>
          <cell r="L73" t="str">
            <v>MARITZA SARMIENTO VANEGAS</v>
          </cell>
          <cell r="M73">
            <v>45770</v>
          </cell>
          <cell r="N73">
            <v>45805</v>
          </cell>
          <cell r="O73">
            <v>45805</v>
          </cell>
          <cell r="P73" t="str">
            <v>Visitas de evaluación con fines de mejoramiento</v>
          </cell>
          <cell r="Q73" t="str">
            <v>VISITA CON FINES DE MEJORAMIENTO COLEGIO PARROQUIAL SAN JOSE DE FONTIBON.pdf</v>
          </cell>
          <cell r="R73" t="str">
            <v>Análisis de resultados, diseño de estrategias, repasos. aplicación de simulacros, asistencia a refuerzo en contra jornada, participación de  los estudiantes matriculados en grado once a las diferentes actividades, apoyo empresa externa.</v>
          </cell>
          <cell r="S73" t="str">
            <v>Continuar con la implementación de estrategias, que fortalecen los resultados de la pruebas SABER 11</v>
          </cell>
          <cell r="T73" t="str">
            <v>No</v>
          </cell>
          <cell r="U73" t="str">
            <v>verificar resultados de la Institución pruebas SABER 11 2025</v>
          </cell>
        </row>
        <row r="74">
          <cell r="A74">
            <v>950</v>
          </cell>
          <cell r="B74">
            <v>9</v>
          </cell>
          <cell r="C74" t="str">
            <v>FONTIBÓN</v>
          </cell>
          <cell r="D74" t="str">
            <v>PRIVADO</v>
          </cell>
          <cell r="E74" t="str">
            <v>EPBM</v>
          </cell>
          <cell r="F74" t="str">
            <v>COLEGIO_PARROQUIAL_SAN_JOSE</v>
          </cell>
          <cell r="G74" t="str">
            <v>COLEGIO_PARROQUIAL_SAN_JOSE</v>
          </cell>
          <cell r="H74" t="str">
            <v>Autoevaluación Institucional y Pruebas SABER 11</v>
          </cell>
          <cell r="I74" t="str">
            <v>SEGUIMIENTO_Y_SUPERVISIÓN.</v>
          </cell>
          <cell r="J74" t="str">
            <v xml:space="preserve">Verificar la implementación por parte de los colegios, de acciones realizadas para la prevención y atención de las situaciones de convivencia en el entorno escolar, según lo establecido en la Directiva 01 de 2022 del MEN. </v>
          </cell>
          <cell r="K74" t="str">
            <v>GLORIA INES AMAYA RAMÍREZ</v>
          </cell>
          <cell r="L74" t="str">
            <v>MARITZA SARMIENTO VANEGAS</v>
          </cell>
          <cell r="M74">
            <v>45770</v>
          </cell>
          <cell r="N74">
            <v>45805</v>
          </cell>
          <cell r="O74">
            <v>45805</v>
          </cell>
          <cell r="P74" t="str">
            <v>Visitas de evaluación con fines de mejoramiento</v>
          </cell>
          <cell r="Q74" t="str">
            <v>VISITA CON FINES DE MEJORAMIENTO COLEGIO PARROQUIAL SAN JOSE DE FONTIBON.pdf</v>
          </cell>
          <cell r="R74" t="str">
            <v>Se realizan actividades pedagógico formativas del componente de  prevención y promoción de la ruta de atención integral. se han atendido los casos presentados aplicando protocolos y ruta.
La institución presento los certificados de consulta de delitos sexuales de los docentes contratados</v>
          </cell>
          <cell r="S74" t="str">
            <v>Continuar con la aplicación de las estrategias de prevención, promoción y seguimiento por parte del Comité de Convivencia Escolar, y realizar la verificación de antecedentes cada cuatro meses de todo el personal (directivo, docente y administrativo) vinculado.</v>
          </cell>
          <cell r="T74" t="str">
            <v>No</v>
          </cell>
          <cell r="U74" t="str">
            <v>se verificara el cumplimiento de la directiva  01 de 2022 del MEN, en caso de presentarse alguna queja.</v>
          </cell>
        </row>
        <row r="75">
          <cell r="A75">
            <v>951</v>
          </cell>
          <cell r="B75">
            <v>9</v>
          </cell>
          <cell r="C75" t="str">
            <v>FONTIBÓN</v>
          </cell>
          <cell r="D75" t="str">
            <v>PRIVADO</v>
          </cell>
          <cell r="E75" t="str">
            <v>EPBM</v>
          </cell>
          <cell r="F75" t="str">
            <v>COLEGIO_PARROQUIAL_SAN_JOSE</v>
          </cell>
          <cell r="G75" t="str">
            <v>COLEGIO_PARROQUIAL_SAN_JOSE</v>
          </cell>
          <cell r="H75" t="str">
            <v>Autoevaluación Institucional y Pruebas SABER 11</v>
          </cell>
          <cell r="I75" t="str">
            <v>SEGUIMIENTO_Y_SUPERVISIÓN.</v>
          </cell>
          <cell r="J75"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5" t="str">
            <v>GLORIA INES AMAYA RAMÍREZ</v>
          </cell>
          <cell r="L75" t="str">
            <v>MARITZA SARMIENTO VANEGAS</v>
          </cell>
          <cell r="M75">
            <v>45770</v>
          </cell>
          <cell r="N75">
            <v>45805</v>
          </cell>
          <cell r="O75">
            <v>45805</v>
          </cell>
          <cell r="P75" t="str">
            <v>Visitas de evaluación con fines de mejoramiento</v>
          </cell>
          <cell r="Q75" t="str">
            <v>VISITA CON FINES DE MEJORAMIENTO COLEGIO PARROQUIAL SAN JOSE DE FONTIBON.pdf</v>
          </cell>
          <cell r="R75" t="str">
            <v>Se elaboraron y se están implementando el PIAR para cada uno de los 16 estudiantes en Condición de discapacidad</v>
          </cell>
          <cell r="S75" t="str">
            <v>Continuar con la implementación de las acciones definidas en los PIAR y los ajustes que se requieran en los procesos académicos de los estudiantes.</v>
          </cell>
          <cell r="T75" t="str">
            <v>No</v>
          </cell>
          <cell r="U75" t="str">
            <v>Se realizará revisión de los PIAR en caso de presentarse queja.</v>
          </cell>
        </row>
        <row r="76">
          <cell r="A76">
            <v>952</v>
          </cell>
          <cell r="B76">
            <v>9</v>
          </cell>
          <cell r="C76" t="str">
            <v>FONTIBÓN</v>
          </cell>
          <cell r="D76" t="str">
            <v>PRIVADO</v>
          </cell>
          <cell r="E76" t="str">
            <v>EPBM</v>
          </cell>
          <cell r="F76" t="str">
            <v>COLEGIO_PARROQUIAL_SAN_JOSE</v>
          </cell>
          <cell r="G76" t="str">
            <v>COLEGIO_PARROQUIAL_SAN_JOSE</v>
          </cell>
          <cell r="H76" t="str">
            <v>Autoevaluación Institucional y Pruebas SABER 11</v>
          </cell>
          <cell r="I76" t="str">
            <v>EVALUACIÓN_CON_FINES_DE_MEJORAMIENTO.</v>
          </cell>
          <cell r="J7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6" t="str">
            <v>GLORIA INES AMAYA RAMÍREZ</v>
          </cell>
          <cell r="L76" t="str">
            <v>MARITZA SARMIENTO VANEGAS</v>
          </cell>
          <cell r="M76">
            <v>45770</v>
          </cell>
          <cell r="N76">
            <v>45805</v>
          </cell>
          <cell r="O76">
            <v>45805</v>
          </cell>
          <cell r="P76" t="str">
            <v>Visitas de evaluación con fines de mejoramiento</v>
          </cell>
          <cell r="Q76" t="str">
            <v>VISITA CON FINES DE MEJORAMIENTO COLEGIO PARROQUIAL SAN JOSE DE FONTIBON.pdf</v>
          </cell>
          <cell r="R76" t="str">
            <v>Manual de convivencia actualizado, socializado con los miembros de la comunidad educativa</v>
          </cell>
          <cell r="S76" t="str">
            <v xml:space="preserve">Ajustar  los marcos conceptuales del  enfoques de género, justicia escolar restaurativa. </v>
          </cell>
          <cell r="T76" t="str">
            <v>Si</v>
          </cell>
          <cell r="U76" t="str">
            <v>Realizar revisión del primer avance en la actualización del manual de convivencia, en el segundo semestre de la presente vigencia.</v>
          </cell>
        </row>
        <row r="77">
          <cell r="A77">
            <v>953</v>
          </cell>
          <cell r="B77">
            <v>9</v>
          </cell>
          <cell r="C77" t="str">
            <v>FONTIBÓN</v>
          </cell>
          <cell r="D77" t="str">
            <v>PRIVADO</v>
          </cell>
          <cell r="E77" t="str">
            <v>EPBM</v>
          </cell>
          <cell r="F77" t="str">
            <v>COLEGIO_PARROQUIAL_SAN_JOSE</v>
          </cell>
          <cell r="G77" t="str">
            <v>COLEGIO_PARROQUIAL_SAN_JOSE</v>
          </cell>
          <cell r="H77" t="str">
            <v>Autoevaluación Institucional y Pruebas SABER 11</v>
          </cell>
          <cell r="I77" t="str">
            <v>EVALUACIÓN_CON_FINES_DE_MEJORAMIENTO.</v>
          </cell>
          <cell r="J77" t="str">
            <v>Revisar la actualización, socialización e implementación del Sistema Institucional de Evaluación de Estudiantes - SIEE, en articulación con la actualización del PEI y la normatividad vigente.</v>
          </cell>
          <cell r="K77" t="str">
            <v>GLORIA INES AMAYA RAMÍREZ</v>
          </cell>
          <cell r="L77" t="str">
            <v>MARITZA SARMIENTO VANEGAS</v>
          </cell>
          <cell r="M77">
            <v>45770</v>
          </cell>
          <cell r="N77">
            <v>45805</v>
          </cell>
          <cell r="O77">
            <v>45805</v>
          </cell>
          <cell r="P77" t="str">
            <v>Visitas de evaluación con fines de mejoramiento</v>
          </cell>
          <cell r="Q77" t="str">
            <v>VISITA CON FINES DE MEJORAMIENTO COLEGIO PARROQUIAL SAN JOSE DE FONTIBON.pdf</v>
          </cell>
          <cell r="R77" t="str">
            <v>SIEE actualizado y coherente con el modelo pedagógico</v>
          </cell>
          <cell r="S77" t="str">
            <v>Continuar con la implementación de las acciones definidas en el SIEE.</v>
          </cell>
          <cell r="T77" t="str">
            <v>No</v>
          </cell>
          <cell r="U77" t="str">
            <v>Verificar la socialización del SIEE para la siguiente vigencia o en caso de presentarse queja.</v>
          </cell>
        </row>
        <row r="78">
          <cell r="A78">
            <v>954</v>
          </cell>
          <cell r="B78">
            <v>9</v>
          </cell>
          <cell r="C78" t="str">
            <v>FONTIBÓN</v>
          </cell>
          <cell r="D78" t="str">
            <v>PRIVADO</v>
          </cell>
          <cell r="E78" t="str">
            <v>EPBM</v>
          </cell>
          <cell r="F78" t="str">
            <v>COLEGIO_PARROQUIAL_SAN_JOSE</v>
          </cell>
          <cell r="G78" t="str">
            <v>COLEGIO_PARROQUIAL_SAN_JOSE</v>
          </cell>
          <cell r="H78" t="str">
            <v>Autoevaluación Institucional y Pruebas SABER 11</v>
          </cell>
          <cell r="I78" t="str">
            <v>EVALUACIÓN_CON_FINES_DE_MEJORAMIENTO.</v>
          </cell>
          <cell r="J78" t="str">
            <v>Revisar el calendario escolar, jornada escolar, la intensidad horaria mínima anual en cada nivel y las modificaciones que se realicen al mismo, de acuerdo con lo previsto en la normatividad vigente.</v>
          </cell>
          <cell r="K78" t="str">
            <v>GLORIA INES AMAYA RAMÍREZ</v>
          </cell>
          <cell r="L78" t="str">
            <v>MARITZA SARMIENTO VANEGAS</v>
          </cell>
          <cell r="M78">
            <v>45770</v>
          </cell>
          <cell r="N78">
            <v>45805</v>
          </cell>
          <cell r="O78">
            <v>45805</v>
          </cell>
          <cell r="P78" t="str">
            <v>Visitas de evaluación con fines de mejoramiento</v>
          </cell>
          <cell r="Q78" t="str">
            <v>VISITA CON FINES DE MEJORAMIENTO COLEGIO PARROQUIAL SAN JOSE DE FONTIBON.pdf</v>
          </cell>
          <cell r="R78" t="str">
            <v>Calendario escolar ajustado a norma para los niveles de  preescolar básica y media</v>
          </cell>
          <cell r="S78" t="str">
            <v>Continuar con la implementación del calendario según las fechas definidas para los períodos de desarrollo académico y recesos.</v>
          </cell>
          <cell r="T78" t="str">
            <v>No</v>
          </cell>
          <cell r="U78" t="str">
            <v>Verificar la elaboración y socialización del calendario para la siguiente vigencia o en caso de presentarse queja.</v>
          </cell>
        </row>
        <row r="79">
          <cell r="A79">
            <v>955</v>
          </cell>
          <cell r="B79">
            <v>9</v>
          </cell>
          <cell r="C79" t="str">
            <v>FONTIBÓN</v>
          </cell>
          <cell r="D79" t="str">
            <v>PRIVADO</v>
          </cell>
          <cell r="E79" t="str">
            <v>EPBM</v>
          </cell>
          <cell r="F79" t="str">
            <v>COLEGIO_PARROQUIAL_SAN_JOSE</v>
          </cell>
          <cell r="G79" t="str">
            <v>COLEGIO_PARROQUIAL_SAN_JOSE</v>
          </cell>
          <cell r="H79" t="str">
            <v>Autoevaluación Institucional y Pruebas SABER 11</v>
          </cell>
          <cell r="I79" t="str">
            <v>EVALUACIÓN_CON_FINES_DE_MEJORAMIENTO.</v>
          </cell>
          <cell r="J79" t="str">
            <v>Verificar el funcionamiento del Gobierno Escolar e instancias de participación con base en la información sobre conformación reportada por la institución educativa.</v>
          </cell>
          <cell r="K79" t="str">
            <v>GLORIA INES AMAYA RAMÍREZ</v>
          </cell>
          <cell r="L79" t="str">
            <v>MARITZA SARMIENTO VANEGAS</v>
          </cell>
          <cell r="M79">
            <v>45770</v>
          </cell>
          <cell r="N79">
            <v>45805</v>
          </cell>
          <cell r="O79">
            <v>45805</v>
          </cell>
          <cell r="P79" t="str">
            <v>Visitas de evaluación con fines de mejoramiento</v>
          </cell>
          <cell r="Q79" t="str">
            <v>VISITA CON FINES DE MEJORAMIENTO COLEGIO PARROQUIAL SAN JOSE DE FONTIBON.pdf</v>
          </cell>
          <cell r="R79" t="str">
            <v>Conformación y funcionamiento del gobierno escolar  y  las instancia de participación  de acuerdo a lo establecido en la normatividad</v>
          </cell>
          <cell r="S79" t="str">
            <v>Continuar con la operatividad del gobierno y las instancias de participación cada dos meses o según corresponda.</v>
          </cell>
          <cell r="T79" t="str">
            <v>No</v>
          </cell>
          <cell r="U79" t="str">
            <v>Se verificará la conformación del gobierno escolar para la siguiente vigencia.</v>
          </cell>
        </row>
        <row r="80">
          <cell r="A80">
            <v>956</v>
          </cell>
          <cell r="B80">
            <v>9</v>
          </cell>
          <cell r="C80" t="str">
            <v>FONTIBÓN</v>
          </cell>
          <cell r="D80" t="str">
            <v>PRIVADO</v>
          </cell>
          <cell r="E80" t="str">
            <v>EPBM</v>
          </cell>
          <cell r="F80" t="str">
            <v>COLEGIO_PARROQUIAL_SAN_JOSE</v>
          </cell>
          <cell r="G80" t="str">
            <v>COLEGIO_PARROQUIAL_SAN_JOSE</v>
          </cell>
          <cell r="H80" t="str">
            <v>Autoevaluación Institucional y Pruebas SABER 11</v>
          </cell>
          <cell r="I80" t="str">
            <v>EVALUACIÓN_CON_FINES_DE_MEJORAMIENTO.</v>
          </cell>
          <cell r="J80" t="str">
            <v>Verificar las condiciones en cuanto a: la estructura administrativa, condiciones de la planta física y medios educativos adecuados.</v>
          </cell>
          <cell r="K80" t="str">
            <v>GLORIA INES AMAYA RAMÍREZ</v>
          </cell>
          <cell r="L80" t="str">
            <v>MARITZA SARMIENTO VANEGAS</v>
          </cell>
          <cell r="M80">
            <v>45770</v>
          </cell>
          <cell r="N80">
            <v>45805</v>
          </cell>
          <cell r="O80">
            <v>45805</v>
          </cell>
          <cell r="P80" t="str">
            <v>Visitas de evaluación con fines de mejoramiento</v>
          </cell>
          <cell r="Q80" t="str">
            <v>VISITA CON FINES DE MEJORAMIENTO COLEGIO PARROQUIAL SAN JOSE DE FONTIBON.pdf</v>
          </cell>
          <cell r="R80" t="str">
            <v>estructura administrativa y medios educativos pertinentes 
Los salones de 3,4° y 5° presentan deficiencia en iluminación, ventilación cruza, acústica y  pisos requieren mantenimiento</v>
          </cell>
          <cell r="S80" t="str">
            <v>realizar adecuaciones pertinentes en 
Los salones de 3,4° y 5°.</v>
          </cell>
          <cell r="T80" t="str">
            <v>Si</v>
          </cell>
          <cell r="U80" t="str">
            <v>Se verificara  en la  entrega de avance  PMI el 25 de agosto,  el inicio del proceso de adecuación.</v>
          </cell>
        </row>
        <row r="81">
          <cell r="A81">
            <v>958</v>
          </cell>
          <cell r="B81">
            <v>10</v>
          </cell>
          <cell r="C81" t="str">
            <v>FONTIBÓN</v>
          </cell>
          <cell r="D81" t="str">
            <v>PRIVADO</v>
          </cell>
          <cell r="E81" t="str">
            <v>EPBM</v>
          </cell>
          <cell r="F81" t="str">
            <v>COLEGIO_MADRE_MATILDE</v>
          </cell>
          <cell r="G81" t="str">
            <v>COLEGIO_MADRE_MATILDE</v>
          </cell>
          <cell r="H81" t="str">
            <v>Autoevaluación Institucional y Pruebas SABER 11</v>
          </cell>
          <cell r="I81" t="str">
            <v>SEGUIMIENTO_Y_SUPERVISIÓN.</v>
          </cell>
          <cell r="J81" t="str">
            <v>Proponer estrategias en la formulación, verificar su elaboración y realizar seguimiento semestral al desarrollo de  las acciones establecidas en los planes de mejoramiento por pruebas SABER 11 de los establecimientos de educación formal.</v>
          </cell>
          <cell r="K81" t="str">
            <v>MARITZA SARMIENTO VANEGAS</v>
          </cell>
          <cell r="L81" t="str">
            <v>GLORIA INES AMAYA RAMÍREZ</v>
          </cell>
          <cell r="M81">
            <v>45799</v>
          </cell>
          <cell r="N81">
            <v>45825</v>
          </cell>
          <cell r="O81">
            <v>45825</v>
          </cell>
          <cell r="P81" t="str">
            <v>Visitas de evaluación con fines de mejoramiento</v>
          </cell>
          <cell r="Q81" t="str">
            <v>VISITA CON FINES DE MEJORA COLEGIO MADRE MATILDE.pdf</v>
          </cell>
          <cell r="R81" t="str">
            <v>Lectura de resultados de pruebas SABER, retroalimentación de resultados generación planes de mejoramiento.
implementación de cartillas, talleres de exploración institucional, simulacros</v>
          </cell>
          <cell r="S81" t="str">
            <v>Continuar con la implementación de estrategias, que coadyuvan en la mejora de los resultados de la pruebas SABER 11</v>
          </cell>
          <cell r="T81" t="str">
            <v>No</v>
          </cell>
          <cell r="U81" t="str">
            <v>Verificar resultados de la Institución pruebas SABER 11 2025</v>
          </cell>
        </row>
        <row r="82">
          <cell r="A82">
            <v>959</v>
          </cell>
          <cell r="B82">
            <v>10</v>
          </cell>
          <cell r="C82" t="str">
            <v>FONTIBÓN</v>
          </cell>
          <cell r="D82" t="str">
            <v>PRIVADO</v>
          </cell>
          <cell r="E82" t="str">
            <v>EPBM</v>
          </cell>
          <cell r="F82" t="str">
            <v>COLEGIO_MADRE_MATILDE</v>
          </cell>
          <cell r="G82" t="str">
            <v>COLEGIO_MADRE_MATILDE</v>
          </cell>
          <cell r="H82" t="str">
            <v>Autoevaluación Institucional y Pruebas SABER 11</v>
          </cell>
          <cell r="I82" t="str">
            <v>SEGUIMIENTO_Y_SUPERVISIÓN.</v>
          </cell>
          <cell r="J82" t="str">
            <v xml:space="preserve">Verificar la implementación por parte de los colegios, de acciones realizadas para la prevención y atención de las situaciones de convivencia en el entorno escolar, según lo establecido en la Directiva 01 de 2022 del MEN. </v>
          </cell>
          <cell r="K82" t="str">
            <v>MARITZA SARMIENTO VANEGAS</v>
          </cell>
          <cell r="L82" t="str">
            <v>GLORIA INES AMAYA RAMÍREZ</v>
          </cell>
          <cell r="M82">
            <v>45799</v>
          </cell>
          <cell r="N82">
            <v>45825</v>
          </cell>
          <cell r="O82">
            <v>45825</v>
          </cell>
          <cell r="P82" t="str">
            <v>Visitas de evaluación con fines de mejoramiento</v>
          </cell>
          <cell r="Q82" t="str">
            <v>VISITA CON FINES DE MEJORA COLEGIO MADRE MATILDE.pdf</v>
          </cell>
          <cell r="R82" t="str">
            <v>Se realizan actividades pedagógico formativas del componente de  prevención y promoción de la ruta de atención integral. 
La institución presento los certificados de consulta de delitos sexuales de los docentes contratados</v>
          </cell>
          <cell r="S82" t="str">
            <v>Continuar con la aplicación de las estrategias de prevención, promoción y seguimiento por parte del Comité de Convivencia Escolar, y realizar la verificación de antecedentes cada cuatro meses de todo el personal (directivo, docente y administrativo) vinculado.</v>
          </cell>
          <cell r="T82" t="str">
            <v>No</v>
          </cell>
          <cell r="U82" t="str">
            <v>se verificara el cumplimiento de la directiva  01 de 2022 del MEN, en caso de presentarse alguna queja.</v>
          </cell>
        </row>
        <row r="83">
          <cell r="A83">
            <v>960</v>
          </cell>
          <cell r="B83">
            <v>10</v>
          </cell>
          <cell r="C83" t="str">
            <v>FONTIBÓN</v>
          </cell>
          <cell r="D83" t="str">
            <v>PRIVADO</v>
          </cell>
          <cell r="E83" t="str">
            <v>EPBM</v>
          </cell>
          <cell r="F83" t="str">
            <v>COLEGIO_MADRE_MATILDE</v>
          </cell>
          <cell r="G83" t="str">
            <v>COLEGIO_MADRE_MATILDE</v>
          </cell>
          <cell r="H83" t="str">
            <v>Autoevaluación Institucional y Pruebas SABER 11</v>
          </cell>
          <cell r="I83" t="str">
            <v>SEGUIMIENTO_Y_SUPERVISIÓN.</v>
          </cell>
          <cell r="J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3" t="str">
            <v>MARITZA SARMIENTO VANEGAS</v>
          </cell>
          <cell r="L83" t="str">
            <v>GLORIA INES AMAYA RAMÍREZ</v>
          </cell>
          <cell r="M83">
            <v>45799</v>
          </cell>
          <cell r="N83">
            <v>45825</v>
          </cell>
          <cell r="O83">
            <v>45825</v>
          </cell>
          <cell r="P83" t="str">
            <v>Visitas de evaluación con fines de mejoramiento</v>
          </cell>
          <cell r="Q83" t="str">
            <v>VISITA CON FINES DE MEJORA COLEGIO MADRE MATILDE.pdf</v>
          </cell>
          <cell r="R83" t="str">
            <v>Se elaboró y  se implementó el PIAR para el  estudiante en Condición de discapacidad</v>
          </cell>
          <cell r="S83" t="str">
            <v>Continuar con la implementación de las acciones definidas en los PIAR y los ajustes que se requieran en los procesos académicos de los estudiantes.</v>
          </cell>
          <cell r="T83" t="str">
            <v>No</v>
          </cell>
          <cell r="U83" t="str">
            <v>Se realizará revisión de los PIAR en caso de presentarse queja.</v>
          </cell>
        </row>
        <row r="84">
          <cell r="A84">
            <v>961</v>
          </cell>
          <cell r="B84">
            <v>10</v>
          </cell>
          <cell r="C84" t="str">
            <v>FONTIBÓN</v>
          </cell>
          <cell r="D84" t="str">
            <v>PRIVADO</v>
          </cell>
          <cell r="E84" t="str">
            <v>EPBM</v>
          </cell>
          <cell r="F84" t="str">
            <v>COLEGIO_MADRE_MATILDE</v>
          </cell>
          <cell r="G84" t="str">
            <v>COLEGIO_MADRE_MATILDE</v>
          </cell>
          <cell r="H84" t="str">
            <v>Autoevaluación Institucional y Pruebas SABER 11</v>
          </cell>
          <cell r="I84" t="str">
            <v>EVALUACIÓN_CON_FINES_DE_MEJORAMIENTO.</v>
          </cell>
          <cell r="J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4" t="str">
            <v>MARITZA SARMIENTO VANEGAS</v>
          </cell>
          <cell r="L84" t="str">
            <v>GLORIA INES AMAYA RAMÍREZ</v>
          </cell>
          <cell r="M84">
            <v>45799</v>
          </cell>
          <cell r="N84">
            <v>45825</v>
          </cell>
          <cell r="O84">
            <v>45825</v>
          </cell>
          <cell r="P84" t="str">
            <v>Visitas de evaluación con fines de mejoramiento</v>
          </cell>
          <cell r="Q84" t="str">
            <v>VISITA CON FINES DE MEJORA COLEGIO MADRE MATILDE.pdf</v>
          </cell>
          <cell r="R84" t="str">
            <v>Manual de convivencia actualizado, socializado con los miembros de la comunidad educativa</v>
          </cell>
          <cell r="S84" t="str">
            <v>Debe ser ajustado en cuanto a lo requerido por  los  enfoques de género y restaurativo</v>
          </cell>
          <cell r="T84" t="str">
            <v>Si</v>
          </cell>
          <cell r="U84" t="str">
            <v>Realizar revisión del primer avance en la actualización del manual de convivencia, en el segundo semestre de la presente vigencia.</v>
          </cell>
        </row>
        <row r="85">
          <cell r="A85">
            <v>962</v>
          </cell>
          <cell r="B85">
            <v>10</v>
          </cell>
          <cell r="C85" t="str">
            <v>FONTIBÓN</v>
          </cell>
          <cell r="D85" t="str">
            <v>PRIVADO</v>
          </cell>
          <cell r="E85" t="str">
            <v>EPBM</v>
          </cell>
          <cell r="F85" t="str">
            <v>COLEGIO_MADRE_MATILDE</v>
          </cell>
          <cell r="G85" t="str">
            <v>COLEGIO_MADRE_MATILDE</v>
          </cell>
          <cell r="H85" t="str">
            <v>Autoevaluación Institucional y Pruebas SABER 11</v>
          </cell>
          <cell r="I85" t="str">
            <v>EVALUACIÓN_CON_FINES_DE_MEJORAMIENTO.</v>
          </cell>
          <cell r="J85" t="str">
            <v>Revisar la actualización, socialización e implementación del Sistema Institucional de Evaluación de Estudiantes - SIEE, en articulación con la actualización del PEI y la normatividad vigente.</v>
          </cell>
          <cell r="K85" t="str">
            <v>MARITZA SARMIENTO VANEGAS</v>
          </cell>
          <cell r="L85" t="str">
            <v>GLORIA INES AMAYA RAMÍREZ</v>
          </cell>
          <cell r="M85">
            <v>45799</v>
          </cell>
          <cell r="N85">
            <v>45825</v>
          </cell>
          <cell r="O85">
            <v>45825</v>
          </cell>
          <cell r="P85" t="str">
            <v>Visitas de evaluación con fines de mejoramiento</v>
          </cell>
          <cell r="Q85" t="str">
            <v>VISITA CON FINES DE MEJORA COLEGIO MADRE MATILDE.pdf</v>
          </cell>
          <cell r="R85" t="str">
            <v xml:space="preserve">Se  evidencia  un SIEE actualizado, aunque es necesario realizar ajustes en lo relacionado con los   procesos de autoevaluación, coevaluación y heteroevaluación. </v>
          </cell>
          <cell r="S85" t="str">
            <v>Ajustar  en el SIEE el proceso evaluativo del preescolar y  Revisar la pertinencia  de la figura “ habilitación” e incluir las evidencias que dan cuenta de los procesos de autoevaluación, coevaluación y heteroevaluación.</v>
          </cell>
          <cell r="T85" t="str">
            <v>Si</v>
          </cell>
          <cell r="U85" t="str">
            <v>Solicitud de entrega de avance  PMI el 8 de septiembre</v>
          </cell>
        </row>
        <row r="86">
          <cell r="A86">
            <v>963</v>
          </cell>
          <cell r="B86">
            <v>10</v>
          </cell>
          <cell r="C86" t="str">
            <v>FONTIBÓN</v>
          </cell>
          <cell r="D86" t="str">
            <v>PRIVADO</v>
          </cell>
          <cell r="E86" t="str">
            <v>EPBM</v>
          </cell>
          <cell r="F86" t="str">
            <v>COLEGIO_MADRE_MATILDE</v>
          </cell>
          <cell r="G86" t="str">
            <v>COLEGIO_MADRE_MATILDE</v>
          </cell>
          <cell r="H86" t="str">
            <v>Autoevaluación Institucional y Pruebas SABER 11</v>
          </cell>
          <cell r="I86" t="str">
            <v>EVALUACIÓN_CON_FINES_DE_MEJORAMIENTO.</v>
          </cell>
          <cell r="J86" t="str">
            <v>Revisar el calendario escolar, jornada escolar, la intensidad horaria mínima anual en cada nivel y las modificaciones que se realicen al mismo, de acuerdo con lo previsto en la normatividad vigente.</v>
          </cell>
          <cell r="K86" t="str">
            <v>MARITZA SARMIENTO VANEGAS</v>
          </cell>
          <cell r="L86" t="str">
            <v>GLORIA INES AMAYA RAMÍREZ</v>
          </cell>
          <cell r="M86">
            <v>45799</v>
          </cell>
          <cell r="N86">
            <v>45825</v>
          </cell>
          <cell r="O86">
            <v>45825</v>
          </cell>
          <cell r="P86" t="str">
            <v>Visitas de evaluación con fines de mejoramiento</v>
          </cell>
          <cell r="Q86" t="str">
            <v>VISITA CON FINES DE MEJORA COLEGIO MADRE MATILDE.pdf</v>
          </cell>
          <cell r="R86" t="str">
            <v>Calendario escolar ajustado a norma para los niveles de  preescolar básica y media</v>
          </cell>
          <cell r="S86" t="str">
            <v>Continuar con la implementación del calendario según las fechas definidas para los períodos de desarrollo académico y recesos.</v>
          </cell>
          <cell r="T86" t="str">
            <v>No</v>
          </cell>
          <cell r="U86" t="str">
            <v>Verificar la elaboración y socialización del calendario para la siguiente vigencia o en caso de presentarse queja.</v>
          </cell>
        </row>
        <row r="87">
          <cell r="A87">
            <v>964</v>
          </cell>
          <cell r="B87">
            <v>10</v>
          </cell>
          <cell r="C87" t="str">
            <v>FONTIBÓN</v>
          </cell>
          <cell r="D87" t="str">
            <v>PRIVADO</v>
          </cell>
          <cell r="E87" t="str">
            <v>EPBM</v>
          </cell>
          <cell r="F87" t="str">
            <v>COLEGIO_MADRE_MATILDE</v>
          </cell>
          <cell r="G87" t="str">
            <v>COLEGIO_MADRE_MATILDE</v>
          </cell>
          <cell r="H87" t="str">
            <v>Autoevaluación Institucional y Pruebas SABER 11</v>
          </cell>
          <cell r="I87" t="str">
            <v>EVALUACIÓN_CON_FINES_DE_MEJORAMIENTO.</v>
          </cell>
          <cell r="J87" t="str">
            <v>Verificar el funcionamiento del Gobierno Escolar e instancias de participación con base en la información sobre conformación reportada por la institución educativa.</v>
          </cell>
          <cell r="K87" t="str">
            <v>MARITZA SARMIENTO VANEGAS</v>
          </cell>
          <cell r="L87" t="str">
            <v>GLORIA INES AMAYA RAMÍREZ</v>
          </cell>
          <cell r="M87">
            <v>45799</v>
          </cell>
          <cell r="N87">
            <v>45825</v>
          </cell>
          <cell r="O87">
            <v>45825</v>
          </cell>
          <cell r="P87" t="str">
            <v>Visitas de evaluación con fines de mejoramiento</v>
          </cell>
          <cell r="Q87" t="str">
            <v>VISITA CON FINES DE MEJORA COLEGIO MADRE MATILDE.pdf</v>
          </cell>
          <cell r="R87" t="str">
            <v>Conformación y funcionamiento del gobierno escolar  y  las instancia de participación  de acuerdo a lo establecido en la normatividad</v>
          </cell>
          <cell r="S87" t="str">
            <v>Continuar con la operatividad del gobierno y las instancias de participación cada dos meses o según corresponda.</v>
          </cell>
          <cell r="T87" t="str">
            <v>No</v>
          </cell>
          <cell r="U87" t="str">
            <v>Se verificará la conformación del gobierno escolar para la siguiente vigencia.</v>
          </cell>
        </row>
        <row r="88">
          <cell r="A88">
            <v>965</v>
          </cell>
          <cell r="B88">
            <v>10</v>
          </cell>
          <cell r="C88" t="str">
            <v>FONTIBÓN</v>
          </cell>
          <cell r="D88" t="str">
            <v>PRIVADO</v>
          </cell>
          <cell r="E88" t="str">
            <v>EPBM</v>
          </cell>
          <cell r="F88" t="str">
            <v>COLEGIO_MADRE_MATILDE</v>
          </cell>
          <cell r="G88" t="str">
            <v>COLEGIO_MADRE_MATILDE</v>
          </cell>
          <cell r="H88" t="str">
            <v>Autoevaluación Institucional y Pruebas SABER 11</v>
          </cell>
          <cell r="I88" t="str">
            <v>EVALUACIÓN_CON_FINES_DE_MEJORAMIENTO.</v>
          </cell>
          <cell r="J88" t="str">
            <v>Verificar las condiciones en cuanto a: la estructura administrativa, condiciones de la planta física y medios educativos adecuados.</v>
          </cell>
          <cell r="K88" t="str">
            <v>MARITZA SARMIENTO VANEGAS</v>
          </cell>
          <cell r="L88" t="str">
            <v>GLORIA INES AMAYA RAMÍREZ</v>
          </cell>
          <cell r="M88">
            <v>45799</v>
          </cell>
          <cell r="N88">
            <v>45825</v>
          </cell>
          <cell r="O88">
            <v>45825</v>
          </cell>
          <cell r="P88" t="str">
            <v>Visitas de evaluación con fines de mejoramiento</v>
          </cell>
          <cell r="Q88" t="str">
            <v>VISITA CON FINES DE MEJORA COLEGIO MADRE MATILDE.pdf</v>
          </cell>
          <cell r="R88" t="str">
            <v xml:space="preserve">Las condiciones presentadas cumple con lo exigido por la normatividad vigente    </v>
          </cell>
          <cell r="S88" t="str">
            <v>Continuar con las gestiones necesarias para mantener el nivel del servicio educativo en relación con la planta física y demás recursos.</v>
          </cell>
          <cell r="T88" t="str">
            <v>No</v>
          </cell>
          <cell r="U88" t="str">
            <v>Se hará nueva verificación de esta actividad en caso de presentarse queja.</v>
          </cell>
        </row>
        <row r="89">
          <cell r="A89">
            <v>967</v>
          </cell>
          <cell r="B89">
            <v>11</v>
          </cell>
          <cell r="C89" t="str">
            <v>FONTIBÓN</v>
          </cell>
          <cell r="D89" t="str">
            <v>OFICIAL.</v>
          </cell>
          <cell r="E89" t="str">
            <v>EPBM</v>
          </cell>
          <cell r="F89" t="str">
            <v>COLEGIO_MARIA_JOSEFA_CANELONES_IED</v>
          </cell>
          <cell r="G89" t="str">
            <v>COLEGIO_MARIA_JOSEFA_CANELONES_(IED)</v>
          </cell>
          <cell r="H89" t="str">
            <v>Autoevaluación Institucional y Pruebas SABER 11</v>
          </cell>
          <cell r="I89" t="str">
            <v>SEGUIMIENTO_Y_SUPERVISIÓN.</v>
          </cell>
          <cell r="J89" t="str">
            <v xml:space="preserve">Verificar la implementación por parte de los colegios, de acciones realizadas para la prevención y atención de las situaciones de convivencia en el entorno escolar, según lo establecido en la Directiva 01 de 2022 del MEN. </v>
          </cell>
          <cell r="K89" t="str">
            <v>MARITZA SARMIENTO VANEGAS</v>
          </cell>
          <cell r="L89" t="str">
            <v>JOSÉ GUILLERMO ALARCÓN CUALLA</v>
          </cell>
          <cell r="M89">
            <v>45813</v>
          </cell>
          <cell r="N89">
            <v>45898</v>
          </cell>
          <cell r="O89">
            <v>45898</v>
          </cell>
          <cell r="P89" t="str">
            <v>Visitas de evaluación con fines de seguimiento</v>
          </cell>
          <cell r="Q89" t="str">
            <v>ACTA MARIA JOSEFA CANELONES.pdf</v>
          </cell>
          <cell r="R89" t="str">
            <v xml:space="preserve">La institución educativa  está Implementando acciones de promoción, prevención  y atención,  frente a situaciones de violencia sexual en el entorno escolar y el   Nivel central de la Secretaría de Educación realiza la verificación de las personas vinculadas a la institución educativa, en relación a inhabilidades por delitos sexuales contra la libertad e integridad de niños, niñas y adolescentes </v>
          </cell>
          <cell r="S89" t="str">
            <v>Continuar con la Implementación de acciones de  prevención y atención  frente a situaciones de violencia sexual en el entorno escolar.</v>
          </cell>
          <cell r="T89" t="str">
            <v>No</v>
          </cell>
          <cell r="U89" t="str">
            <v>Se verificara el cumplimiento de la Directiva 01 del 2022 del MEN, en caso de presentarse alguna queja.</v>
          </cell>
        </row>
        <row r="90">
          <cell r="A90">
            <v>968</v>
          </cell>
          <cell r="B90">
            <v>11</v>
          </cell>
          <cell r="C90" t="str">
            <v>FONTIBÓN</v>
          </cell>
          <cell r="D90" t="str">
            <v>OFICIAL.</v>
          </cell>
          <cell r="E90" t="str">
            <v>EPBM</v>
          </cell>
          <cell r="F90" t="str">
            <v>COLEGIO_MARIA_JOSEFA_CANELONES_IED</v>
          </cell>
          <cell r="G90" t="str">
            <v>COLEGIO_MARIA_JOSEFA_CANELONES_(IED)</v>
          </cell>
          <cell r="H90" t="str">
            <v>Autoevaluación Institucional y Pruebas SABER 11</v>
          </cell>
          <cell r="I90" t="str">
            <v>SEGUIMIENTO_Y_SUPERVISIÓN.</v>
          </cell>
          <cell r="J9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0" t="str">
            <v>MARITZA SARMIENTO VANEGAS</v>
          </cell>
          <cell r="L90" t="str">
            <v>JAIME GABRIEL GONZÁLEZ GAMBOA</v>
          </cell>
          <cell r="M90">
            <v>45813</v>
          </cell>
          <cell r="N90">
            <v>45898</v>
          </cell>
          <cell r="O90">
            <v>45898</v>
          </cell>
          <cell r="P90" t="str">
            <v>Visitas de evaluación con fines de seguimiento</v>
          </cell>
          <cell r="Q90" t="str">
            <v>ACTA MARIA JOSEFA CANELONES.pdf</v>
          </cell>
          <cell r="R90" t="str">
            <v>La Institución elabora los planes individuales de ajuste razonable de acuerdo a lo establecido en la norma.</v>
          </cell>
          <cell r="S90" t="str">
            <v>Continuar con el seguimiento y actualización de los PIAR, y la identificación de talentos excepcionales.</v>
          </cell>
          <cell r="T90" t="str">
            <v>No</v>
          </cell>
          <cell r="U90" t="str">
            <v>A demanda se realizara el proceso de acompañamiento a la institución, en lo relacionado con lo establecido en el Decreto 1421 de 2017.</v>
          </cell>
        </row>
        <row r="91">
          <cell r="A91">
            <v>969</v>
          </cell>
          <cell r="B91">
            <v>11</v>
          </cell>
          <cell r="C91" t="str">
            <v>FONTIBÓN</v>
          </cell>
          <cell r="D91" t="str">
            <v>OFICIAL.</v>
          </cell>
          <cell r="E91" t="str">
            <v>EPBM</v>
          </cell>
          <cell r="F91" t="str">
            <v>COLEGIO_MARIA_JOSEFA_CANELONES_IED</v>
          </cell>
          <cell r="G91" t="str">
            <v>COLEGIO_MARIA_JOSEFA_CANELONES_(IED)</v>
          </cell>
          <cell r="H91" t="str">
            <v>Autoevaluación Institucional y Pruebas SABER 11</v>
          </cell>
          <cell r="I91" t="str">
            <v>EVALUACIÓN_CON_FINES_DE_MEJORAMIENTO.</v>
          </cell>
          <cell r="J9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1" t="str">
            <v>MARITZA SARMIENTO VANEGAS</v>
          </cell>
          <cell r="L91" t="str">
            <v>JOSÉ GUILLERMO ALARCÓN CUALLA</v>
          </cell>
          <cell r="M91">
            <v>45813</v>
          </cell>
          <cell r="N91">
            <v>45898</v>
          </cell>
          <cell r="O91">
            <v>45898</v>
          </cell>
          <cell r="P91" t="str">
            <v>Visitas de evaluación con fines de seguimiento</v>
          </cell>
          <cell r="Q91" t="str">
            <v>ACTA MARIA JOSEFA CANELONES.pdf</v>
          </cell>
          <cell r="R91" t="str">
            <v>El Consejo académico se reúne periódicamente a través de mesas sectoriales, las cuales están en el proceso de construcción de este documento</v>
          </cell>
          <cell r="S91" t="str">
            <v xml:space="preserve">la mesa responsable de la construcción de este documento tiene proyectado realizar la primera entrega para el mes de octubre
</v>
          </cell>
          <cell r="T91" t="str">
            <v>No</v>
          </cell>
          <cell r="U91" t="str">
            <v>En noviembre se solicitara copia del documento Manual de Convivencia,  que la institución va a implementar en el 2026.</v>
          </cell>
        </row>
        <row r="92">
          <cell r="A92">
            <v>970</v>
          </cell>
          <cell r="B92">
            <v>11</v>
          </cell>
          <cell r="C92" t="str">
            <v>FONTIBÓN</v>
          </cell>
          <cell r="D92" t="str">
            <v>OFICIAL.</v>
          </cell>
          <cell r="E92" t="str">
            <v>EPBM</v>
          </cell>
          <cell r="F92" t="str">
            <v>COLEGIO_MARIA_JOSEFA_CANELONES_IED</v>
          </cell>
          <cell r="G92" t="str">
            <v>COLEGIO_MARIA_JOSEFA_CANELONES_(IED)</v>
          </cell>
          <cell r="H92" t="str">
            <v>Autoevaluación Institucional y Pruebas SABER 11</v>
          </cell>
          <cell r="I92" t="str">
            <v>EVALUACIÓN_CON_FINES_DE_MEJORAMIENTO.</v>
          </cell>
          <cell r="J92" t="str">
            <v>Revisar la actualización, socialización e implementación del Sistema Institucional de Evaluación de Estudiantes - SIEE, en articulación con la actualización del PEI y la normatividad vigente.</v>
          </cell>
          <cell r="K92" t="str">
            <v>MARITZA SARMIENTO VANEGAS</v>
          </cell>
          <cell r="L92" t="str">
            <v>JOSÉ GUILLERMO ALARCÓN CUALLA</v>
          </cell>
          <cell r="M92">
            <v>45813</v>
          </cell>
          <cell r="N92">
            <v>45898</v>
          </cell>
          <cell r="O92">
            <v>45898</v>
          </cell>
          <cell r="P92" t="str">
            <v>Visitas de evaluación con fines de seguimiento</v>
          </cell>
          <cell r="Q92" t="str">
            <v>ACTA MARIA JOSEFA CANELONES.pdf</v>
          </cell>
          <cell r="R92" t="str">
            <v xml:space="preserve">Se proyecta implementar un sistema de evaluación escolar cualitativo, lo cual se está construyendo  a través de mesas de trabajo en el Consejo Académico </v>
          </cell>
          <cell r="S92" t="str">
            <v xml:space="preserve">la mesa responsable de la construcción de este documento tiene proyectado realizar la primera entrega para el mes de octubre
</v>
          </cell>
          <cell r="T92" t="str">
            <v>No</v>
          </cell>
          <cell r="U92" t="str">
            <v>En noviembre se solicitara copia del documento SIEE,  que la institución va a implementar en el 2026.</v>
          </cell>
        </row>
        <row r="93">
          <cell r="A93">
            <v>971</v>
          </cell>
          <cell r="B93">
            <v>11</v>
          </cell>
          <cell r="C93" t="str">
            <v>FONTIBÓN</v>
          </cell>
          <cell r="D93" t="str">
            <v>OFICIAL.</v>
          </cell>
          <cell r="E93" t="str">
            <v>EPBM</v>
          </cell>
          <cell r="F93" t="str">
            <v>COLEGIO_MARIA_JOSEFA_CANELONES_IED</v>
          </cell>
          <cell r="G93" t="str">
            <v>COLEGIO_MARIA_JOSEFA_CANELONES_(IED)</v>
          </cell>
          <cell r="H93" t="str">
            <v>Autoevaluación Institucional y Pruebas SABER 11</v>
          </cell>
          <cell r="I93" t="str">
            <v>EVALUACIÓN_CON_FINES_DE_MEJORAMIENTO.</v>
          </cell>
          <cell r="J93" t="str">
            <v>Revisar el calendario escolar, jornada escolar, la intensidad horaria mínima anual en cada nivel y las modificaciones que se realicen al mismo, de acuerdo con lo previsto en la normatividad vigente.</v>
          </cell>
          <cell r="K93" t="str">
            <v>MARITZA SARMIENTO VANEGAS</v>
          </cell>
          <cell r="L93" t="str">
            <v>JOSÉ GUILLERMO ALARCÓN CUALLA</v>
          </cell>
          <cell r="M93">
            <v>45813</v>
          </cell>
          <cell r="N93">
            <v>45898</v>
          </cell>
          <cell r="O93">
            <v>45898</v>
          </cell>
          <cell r="P93" t="str">
            <v>Visitas de evaluación con fines de seguimiento</v>
          </cell>
          <cell r="Q93" t="str">
            <v>ACTA MARIA JOSEFA CANELONES.pdf</v>
          </cell>
          <cell r="R93" t="str">
            <v xml:space="preserve">La Institución educativa se rige por el acto administrativo de la SED, que establece el calendario escolar. </v>
          </cell>
          <cell r="S93" t="str">
            <v>Continuar cumpliendo lo normado en la Resolución de la SED</v>
          </cell>
          <cell r="T93" t="str">
            <v>No</v>
          </cell>
          <cell r="U93" t="str">
            <v>Verificar la implementación del calendario escolar en caso de presentarse queja.</v>
          </cell>
        </row>
        <row r="94">
          <cell r="A94">
            <v>972</v>
          </cell>
          <cell r="B94">
            <v>11</v>
          </cell>
          <cell r="C94" t="str">
            <v>FONTIBÓN</v>
          </cell>
          <cell r="D94" t="str">
            <v>OFICIAL.</v>
          </cell>
          <cell r="E94" t="str">
            <v>EPBM</v>
          </cell>
          <cell r="F94" t="str">
            <v>COLEGIO_MARIA_JOSEFA_CANELONES_IED</v>
          </cell>
          <cell r="G94" t="str">
            <v>COLEGIO_MARIA_JOSEFA_CANELONES_(IED)</v>
          </cell>
          <cell r="H94" t="str">
            <v>Autoevaluación Institucional y Pruebas SABER 11</v>
          </cell>
          <cell r="I94" t="str">
            <v>EVALUACIÓN_CON_FINES_DE_MEJORAMIENTO.</v>
          </cell>
          <cell r="J94" t="str">
            <v>Verificar el funcionamiento del Gobierno Escolar e instancias de participación con base en la información sobre conformación reportada por la institución educativa.</v>
          </cell>
          <cell r="K94" t="str">
            <v>MARITZA SARMIENTO VANEGAS</v>
          </cell>
          <cell r="L94" t="str">
            <v>JOSÉ GUILLERMO ALARCÓN CUALLA</v>
          </cell>
          <cell r="M94">
            <v>45813</v>
          </cell>
          <cell r="N94">
            <v>45898</v>
          </cell>
          <cell r="O94">
            <v>45898</v>
          </cell>
          <cell r="P94" t="str">
            <v>Visitas de evaluación con fines de seguimiento</v>
          </cell>
          <cell r="Q94" t="str">
            <v>ACTA MARIA JOSEFA CANELONES.pdf</v>
          </cell>
          <cell r="R94" t="str">
            <v>El Gobierno Escolar e instancias de participación fueron registradas en plataforma SAE,  se  reúnen periódicamente y participan en las decisiones de la institución.</v>
          </cell>
          <cell r="S94" t="str">
            <v>Avanzar en la construcción de los diferentes documentos institucionales.</v>
          </cell>
          <cell r="T94" t="str">
            <v>No</v>
          </cell>
          <cell r="U94" t="str">
            <v xml:space="preserve">A demanda de la institución se continuará con el acompañamiento del Gobierno Escolar e instancias de participación, </v>
          </cell>
        </row>
        <row r="95">
          <cell r="A95">
            <v>973</v>
          </cell>
          <cell r="B95">
            <v>11</v>
          </cell>
          <cell r="C95" t="str">
            <v>FONTIBÓN</v>
          </cell>
          <cell r="D95" t="str">
            <v>OFICIAL.</v>
          </cell>
          <cell r="E95" t="str">
            <v>EPBM</v>
          </cell>
          <cell r="F95" t="str">
            <v>COLEGIO_MARIA_JOSEFA_CANELONES_IED</v>
          </cell>
          <cell r="G95" t="str">
            <v>COLEGIO_MARIA_JOSEFA_CANELONES_(IED)</v>
          </cell>
          <cell r="H95" t="str">
            <v>Autoevaluación Institucional y Pruebas SABER 11</v>
          </cell>
          <cell r="I95" t="str">
            <v>EVALUACIÓN_CON_FINES_DE_MEJORAMIENTO.</v>
          </cell>
          <cell r="J95" t="str">
            <v>Verificar las condiciones en cuanto a: la estructura administrativa, condiciones de la planta física y medios educativos adecuados.</v>
          </cell>
          <cell r="K95" t="str">
            <v>MARITZA SARMIENTO VANEGAS</v>
          </cell>
          <cell r="L95" t="str">
            <v>JOSÉ GUILLERMO ALARCÓN CUALLA</v>
          </cell>
          <cell r="M95">
            <v>45813</v>
          </cell>
          <cell r="N95">
            <v>45898</v>
          </cell>
          <cell r="O95">
            <v>45898</v>
          </cell>
          <cell r="P95" t="str">
            <v>Visitas de evaluación con fines de seguimiento</v>
          </cell>
          <cell r="Q95" t="str">
            <v>ACTA MARIA JOSEFA CANELONES.pdf</v>
          </cell>
          <cell r="R95" t="str">
            <v>La planta física a la fecha no ha sido entregada a las Directivas de la institución educativa.</v>
          </cell>
          <cell r="S95" t="str">
            <v>La institución gestionara la dotación de diferentes ambientes pedagógicos y que se provean cargos como el de Bibliotecólogo.</v>
          </cell>
          <cell r="T95" t="str">
            <v>No</v>
          </cell>
          <cell r="U95" t="str">
            <v>En caso de presentarse queja, se verificará los compromisos adquiridos por la Institución.</v>
          </cell>
        </row>
        <row r="96">
          <cell r="A96">
            <v>974</v>
          </cell>
          <cell r="B96">
            <v>12</v>
          </cell>
          <cell r="C96" t="str">
            <v>FONTIBÓN</v>
          </cell>
          <cell r="D96" t="str">
            <v>PRIVADO</v>
          </cell>
          <cell r="E96" t="str">
            <v>EPBM</v>
          </cell>
          <cell r="F96" t="str">
            <v>COLEGIO_LIDERES_DEL_MAÑANA</v>
          </cell>
          <cell r="G96" t="str">
            <v>COLEGIO_LIDERES_DEL_MAÑANA</v>
          </cell>
          <cell r="H96" t="str">
            <v>Autoevaluación Institucional y Pruebas SABER 11</v>
          </cell>
          <cell r="I96" t="str">
            <v>SEGUIMIENTO_Y_SUPERVISIÓN.</v>
          </cell>
          <cell r="J96" t="str">
            <v xml:space="preserve">Verificar la implementación por parte de los colegios, de acciones realizadas para la prevención y atención de las situaciones de convivencia en el entorno escolar, según lo establecido en la Directiva 01 de 2022 del MEN. </v>
          </cell>
          <cell r="K96" t="str">
            <v>GLORIA INES AMAYA RAMÍREZ</v>
          </cell>
          <cell r="L96" t="str">
            <v>JORGE WILLIAM BONILLA ROMERO</v>
          </cell>
          <cell r="M96">
            <v>45758</v>
          </cell>
          <cell r="N96">
            <v>45772</v>
          </cell>
          <cell r="O96">
            <v>45772</v>
          </cell>
          <cell r="P96" t="str">
            <v>Visitas de evaluación con fines de seguimiento</v>
          </cell>
          <cell r="Q96" t="str">
            <v>3. Acta de Visita CON FINES DE MEJORAMIENTO 31032025 V.5 - COLEGIO LIDERES DEL MAÑANA 2025 04 25.pdf</v>
          </cell>
          <cell r="R96" t="str">
            <v>La EE desarrolla talleres  con temáticas de prevención y promoción con todos los miembros de la comunidad educativa. Aportan registro de antecedentes del personal vinculado</v>
          </cell>
          <cell r="S96" t="str">
            <v>Dar continuidad a las actividades  prevención y/o promoción establecidas en la planeación</v>
          </cell>
          <cell r="T96" t="str">
            <v>No</v>
          </cell>
          <cell r="U96" t="str">
            <v>En visita de seguimiento en el mes de octubre de  2025, se verificara la ejecución de estas acciones.</v>
          </cell>
        </row>
        <row r="97">
          <cell r="A97">
            <v>975</v>
          </cell>
          <cell r="B97">
            <v>12</v>
          </cell>
          <cell r="C97" t="str">
            <v>FONTIBÓN</v>
          </cell>
          <cell r="D97" t="str">
            <v>PRIVADO</v>
          </cell>
          <cell r="E97" t="str">
            <v>EPBM</v>
          </cell>
          <cell r="F97" t="str">
            <v>COLEGIO_LIDERES_DEL_MAÑANA</v>
          </cell>
          <cell r="G97" t="str">
            <v>COLEGIO_LIDERES_DEL_MAÑANA</v>
          </cell>
          <cell r="H97" t="str">
            <v>Autoevaluación Institucional y Pruebas SABER 11</v>
          </cell>
          <cell r="I97" t="str">
            <v>SEGUIMIENTO_Y_SUPERVISIÓN.</v>
          </cell>
          <cell r="J9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97" t="str">
            <v>GLORIA INES AMAYA RAMÍREZ</v>
          </cell>
          <cell r="L97" t="str">
            <v>JORGE WILLIAM BONILLA ROMERO</v>
          </cell>
          <cell r="M97">
            <v>45758</v>
          </cell>
          <cell r="N97">
            <v>45772</v>
          </cell>
          <cell r="O97">
            <v>45772</v>
          </cell>
          <cell r="P97" t="str">
            <v>Visitas de evaluación con fines de seguimiento</v>
          </cell>
          <cell r="Q97" t="str">
            <v>3. Acta de Visita CON FINES DE MEJORAMIENTO 31032025 V.5 - COLEGIO LIDERES DEL MAÑANA 2025 04 25.pdf</v>
          </cell>
          <cell r="R97" t="str">
            <v>El EE aportó las evidencias de la construcción e implementación de los PIAR.</v>
          </cell>
          <cell r="S97" t="str">
            <v>Se está dando cumplimiento a la normatividad relacionada, continuar con su implementación y los ajustes que se requieran.</v>
          </cell>
          <cell r="T97" t="str">
            <v>No</v>
          </cell>
          <cell r="U97" t="str">
            <v>En visita de seguimiento en el mes de octubre de  2025, se verificara la ejecución de estas acciones.</v>
          </cell>
        </row>
        <row r="98">
          <cell r="A98">
            <v>976</v>
          </cell>
          <cell r="B98">
            <v>12</v>
          </cell>
          <cell r="C98" t="str">
            <v>FONTIBÓN</v>
          </cell>
          <cell r="D98" t="str">
            <v>PRIVADO</v>
          </cell>
          <cell r="E98" t="str">
            <v>EPBM</v>
          </cell>
          <cell r="F98" t="str">
            <v>COLEGIO_LIDERES_DEL_MAÑANA</v>
          </cell>
          <cell r="G98" t="str">
            <v>COLEGIO_LIDERES_DEL_MAÑANA</v>
          </cell>
          <cell r="H98" t="str">
            <v>Autoevaluación Institucional y Pruebas SABER 11</v>
          </cell>
          <cell r="I98" t="str">
            <v>EVALUACIÓN_CON_FINES_DE_MEJORAMIENTO.</v>
          </cell>
          <cell r="J9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8" t="str">
            <v>GLORIA INES AMAYA RAMÍREZ</v>
          </cell>
          <cell r="L98" t="str">
            <v>JORGE WILLIAM BONILLA ROMERO</v>
          </cell>
          <cell r="M98">
            <v>45758</v>
          </cell>
          <cell r="N98">
            <v>45772</v>
          </cell>
          <cell r="O98">
            <v>45772</v>
          </cell>
          <cell r="P98" t="str">
            <v>Visitas de evaluación con fines de mejoramiento</v>
          </cell>
          <cell r="Q98" t="str">
            <v>3. Acta de Visita CON FINES DE MEJORAMIENTO 31032025 V.5 - COLEGIO LIDERES DEL MAÑANA 2025 04 25.pdf</v>
          </cell>
          <cell r="R98" t="str">
            <v xml:space="preserve">Manual de convivencia socializado a la comunidad educativa mediante la charla de inducción y la agenda escolar. </v>
          </cell>
          <cell r="S98" t="str">
            <v>Incluir la temática de justicia escolar restaurativa, reglamento del comité de convivencia y procedimiento para la  atención de PQRS.</v>
          </cell>
          <cell r="T98" t="str">
            <v>No</v>
          </cell>
          <cell r="U98" t="str">
            <v>En visita de seguimiento en el mes de octubre de  2025, se verificara la ejecución de estas acciones.</v>
          </cell>
        </row>
        <row r="99">
          <cell r="A99">
            <v>977</v>
          </cell>
          <cell r="B99">
            <v>12</v>
          </cell>
          <cell r="C99" t="str">
            <v>FONTIBÓN</v>
          </cell>
          <cell r="D99" t="str">
            <v>PRIVADO</v>
          </cell>
          <cell r="E99" t="str">
            <v>EPBM</v>
          </cell>
          <cell r="F99" t="str">
            <v>COLEGIO_LIDERES_DEL_MAÑANA</v>
          </cell>
          <cell r="G99" t="str">
            <v>COLEGIO_LIDERES_DEL_MAÑANA</v>
          </cell>
          <cell r="H99" t="str">
            <v>Autoevaluación Institucional y Pruebas SABER 11</v>
          </cell>
          <cell r="I99" t="str">
            <v>EVALUACIÓN_CON_FINES_DE_MEJORAMIENTO.</v>
          </cell>
          <cell r="J99" t="str">
            <v>Revisar la actualización, socialización e implementación del Sistema Institucional de Evaluación de Estudiantes - SIEE, en articulación con la actualización del PEI y la normatividad vigente.</v>
          </cell>
          <cell r="K99" t="str">
            <v>GLORIA INES AMAYA RAMÍREZ</v>
          </cell>
          <cell r="L99" t="str">
            <v>JORGE WILLIAM BONILLA ROMERO</v>
          </cell>
          <cell r="M99">
            <v>45758</v>
          </cell>
          <cell r="N99">
            <v>45772</v>
          </cell>
          <cell r="O99">
            <v>45772</v>
          </cell>
          <cell r="P99" t="str">
            <v>Visitas de evaluación con fines de seguimiento</v>
          </cell>
          <cell r="Q99" t="str">
            <v>3. Acta de Visita CON FINES DE MEJORAMIENTO 31032025 V.5 - COLEGIO LIDERES DEL MAÑANA 2025 04 25.pdf</v>
          </cell>
          <cell r="R99" t="str">
            <v>Sistema institucional de evaluación ajustado a norma.</v>
          </cell>
          <cell r="S99" t="str">
            <v>Está en construcción, dando cumplimiento a la normatividad relacionada.</v>
          </cell>
          <cell r="T99" t="str">
            <v>No</v>
          </cell>
          <cell r="U99" t="str">
            <v>En visita de seguimiento en el mes de octubre de  2025, se verificara la ejecución de estas acciones.</v>
          </cell>
        </row>
        <row r="100">
          <cell r="A100">
            <v>978</v>
          </cell>
          <cell r="B100">
            <v>12</v>
          </cell>
          <cell r="C100" t="str">
            <v>FONTIBÓN</v>
          </cell>
          <cell r="D100" t="str">
            <v>PRIVADO</v>
          </cell>
          <cell r="E100" t="str">
            <v>EPBM</v>
          </cell>
          <cell r="F100" t="str">
            <v>COLEGIO_LIDERES_DEL_MAÑANA</v>
          </cell>
          <cell r="G100" t="str">
            <v>COLEGIO_LIDERES_DEL_MAÑANA</v>
          </cell>
          <cell r="H100" t="str">
            <v>Autoevaluación Institucional y Pruebas SABER 11</v>
          </cell>
          <cell r="I100" t="str">
            <v>EVALUACIÓN_CON_FINES_DE_MEJORAMIENTO.</v>
          </cell>
          <cell r="J100" t="str">
            <v>Revisar el calendario escolar, jornada escolar, la intensidad horaria mínima anual en cada nivel y las modificaciones que se realicen al mismo, de acuerdo con lo previsto en la normatividad vigente.</v>
          </cell>
          <cell r="K100" t="str">
            <v>GLORIA INES AMAYA RAMÍREZ</v>
          </cell>
          <cell r="L100" t="str">
            <v>JORGE WILLIAM BONILLA ROMERO</v>
          </cell>
          <cell r="M100">
            <v>45758</v>
          </cell>
          <cell r="N100">
            <v>45772</v>
          </cell>
          <cell r="O100">
            <v>45772</v>
          </cell>
          <cell r="P100" t="str">
            <v>Visitas de evaluación con fines de seguimiento</v>
          </cell>
          <cell r="Q100" t="str">
            <v>3. Acta de Visita CON FINES DE MEJORAMIENTO 31032025 V.5 - COLEGIO LIDERES DEL MAÑANA 2025 04 25.pdf</v>
          </cell>
          <cell r="R100" t="str">
            <v>Calendario escolar ajustado a norma para los niveles de preescolar y básica primaria.</v>
          </cell>
          <cell r="S100" t="str">
            <v>Se está dando cumplimiento a la normatividad relacionada.</v>
          </cell>
          <cell r="T100" t="str">
            <v>No</v>
          </cell>
          <cell r="U100" t="str">
            <v>En visita de seguimiento en el mes de octubre de  2025, se verificara la ejecución de estas acciones.</v>
          </cell>
        </row>
        <row r="101">
          <cell r="A101">
            <v>979</v>
          </cell>
          <cell r="B101">
            <v>12</v>
          </cell>
          <cell r="C101" t="str">
            <v>FONTIBÓN</v>
          </cell>
          <cell r="D101" t="str">
            <v>PRIVADO</v>
          </cell>
          <cell r="E101" t="str">
            <v>EPBM</v>
          </cell>
          <cell r="F101" t="str">
            <v>COLEGIO_LIDERES_DEL_MAÑANA</v>
          </cell>
          <cell r="G101" t="str">
            <v>COLEGIO_LIDERES_DEL_MAÑANA</v>
          </cell>
          <cell r="H101" t="str">
            <v>Autoevaluación Institucional y Pruebas SABER 11</v>
          </cell>
          <cell r="I101" t="str">
            <v>EVALUACIÓN_CON_FINES_DE_MEJORAMIENTO.</v>
          </cell>
          <cell r="J101" t="str">
            <v>Verificar el funcionamiento del Gobierno Escolar e instancias de participación con base en la información sobre conformación reportada por la institución educativa.</v>
          </cell>
          <cell r="K101" t="str">
            <v>GLORIA INES AMAYA RAMÍREZ</v>
          </cell>
          <cell r="L101" t="str">
            <v>JORGE WILLIAM BONILLA ROMERO</v>
          </cell>
          <cell r="M101">
            <v>45758</v>
          </cell>
          <cell r="N101">
            <v>45772</v>
          </cell>
          <cell r="O101">
            <v>45772</v>
          </cell>
          <cell r="P101" t="str">
            <v>Visitas de evaluación con fines de seguimiento</v>
          </cell>
          <cell r="Q101" t="str">
            <v>3. Acta de Visita CON FINES DE MEJORAMIENTO 31032025 V.5 - COLEGIO LIDERES DEL MAÑANA 2025 04 25.pdf</v>
          </cell>
          <cell r="R101" t="str">
            <v xml:space="preserve">Se evidencia conformación de las instancias de gobierno escolar. </v>
          </cell>
          <cell r="S101" t="str">
            <v>Luego de conformarse el gobierno escolar e instancias pudo tramitar el ingreso a la plataforma SAE, para el cargue de las respectivas actas.</v>
          </cell>
          <cell r="T101" t="str">
            <v>No</v>
          </cell>
          <cell r="U101" t="str">
            <v>En visita de seguimiento en el mes de octubre 2025 se verificara su avance en el desarrollo del plan de trabajo de cada una de las instancias del gobierno escolar.</v>
          </cell>
        </row>
        <row r="102">
          <cell r="A102">
            <v>980</v>
          </cell>
          <cell r="B102">
            <v>12</v>
          </cell>
          <cell r="C102" t="str">
            <v>FONTIBÓN</v>
          </cell>
          <cell r="D102" t="str">
            <v>PRIVADO</v>
          </cell>
          <cell r="E102" t="str">
            <v>EPBM</v>
          </cell>
          <cell r="F102" t="str">
            <v>COLEGIO_LIDERES_DEL_MAÑANA</v>
          </cell>
          <cell r="G102" t="str">
            <v>COLEGIO_LIDERES_DEL_MAÑANA</v>
          </cell>
          <cell r="H102" t="str">
            <v>Autoevaluación Institucional y Pruebas SABER 11</v>
          </cell>
          <cell r="I102" t="str">
            <v>EVALUACIÓN_CON_FINES_DE_MEJORAMIENTO.</v>
          </cell>
          <cell r="J102" t="str">
            <v>Verificar las condiciones en cuanto a: la estructura administrativa, condiciones de la planta física y medios educativos adecuados.</v>
          </cell>
          <cell r="K102" t="str">
            <v>GLORIA INES AMAYA RAMÍREZ</v>
          </cell>
          <cell r="L102" t="str">
            <v>JORGE WILLIAM BONILLA ROMERO</v>
          </cell>
          <cell r="M102">
            <v>45758</v>
          </cell>
          <cell r="N102">
            <v>45772</v>
          </cell>
          <cell r="O102">
            <v>45772</v>
          </cell>
          <cell r="P102" t="str">
            <v>Visitas de evaluación con fines de seguimiento</v>
          </cell>
          <cell r="Q102" t="str">
            <v>3. Acta de Visita CON FINES DE MEJORAMIENTO 31032025 V.5 - COLEGIO LIDERES DEL MAÑANA 2025 04 25.pdf</v>
          </cell>
          <cell r="R102" t="str">
            <v>Cumple con los requisitos legales.</v>
          </cell>
          <cell r="S102" t="str">
            <v>Se está dando cumplimiento a la normatividad relacionada.</v>
          </cell>
          <cell r="T102" t="str">
            <v>No</v>
          </cell>
          <cell r="U102" t="str">
            <v>Se verificarán estos aspectos en caso de queja o solicitud de la IE.</v>
          </cell>
        </row>
        <row r="103">
          <cell r="M103"/>
          <cell r="N103"/>
          <cell r="O103"/>
          <cell r="Q103"/>
          <cell r="R103"/>
          <cell r="S103"/>
          <cell r="U103"/>
        </row>
        <row r="104">
          <cell r="M104"/>
          <cell r="N104"/>
          <cell r="O104"/>
          <cell r="Q104"/>
          <cell r="R104"/>
          <cell r="S104"/>
          <cell r="U104"/>
        </row>
        <row r="105">
          <cell r="M105"/>
          <cell r="N105"/>
          <cell r="O105"/>
          <cell r="Q105"/>
          <cell r="R105"/>
          <cell r="S105"/>
          <cell r="U105"/>
        </row>
        <row r="106">
          <cell r="M106"/>
          <cell r="N106"/>
          <cell r="O106"/>
          <cell r="Q106"/>
          <cell r="R106"/>
          <cell r="S106"/>
          <cell r="U106"/>
        </row>
        <row r="107">
          <cell r="M107"/>
          <cell r="N107"/>
          <cell r="O107"/>
          <cell r="Q107"/>
          <cell r="R107"/>
          <cell r="S107"/>
          <cell r="U107"/>
        </row>
        <row r="108">
          <cell r="M108"/>
          <cell r="N108"/>
          <cell r="O108"/>
          <cell r="Q108"/>
          <cell r="R108"/>
          <cell r="S108"/>
          <cell r="U108"/>
        </row>
        <row r="109">
          <cell r="M109"/>
          <cell r="N109"/>
          <cell r="O109"/>
          <cell r="Q109"/>
          <cell r="R109"/>
          <cell r="S109"/>
          <cell r="U109"/>
        </row>
        <row r="110">
          <cell r="M110"/>
          <cell r="N110"/>
          <cell r="O110"/>
          <cell r="Q110"/>
          <cell r="R110"/>
          <cell r="S110"/>
          <cell r="U110"/>
        </row>
        <row r="111">
          <cell r="M111"/>
          <cell r="N111"/>
          <cell r="O111"/>
          <cell r="Q111"/>
          <cell r="R111"/>
          <cell r="S111"/>
          <cell r="U111"/>
        </row>
        <row r="112">
          <cell r="M112"/>
          <cell r="N112"/>
          <cell r="O112"/>
          <cell r="Q112"/>
          <cell r="R112"/>
          <cell r="S112"/>
          <cell r="U112"/>
        </row>
        <row r="113">
          <cell r="M113"/>
          <cell r="N113"/>
          <cell r="O113"/>
          <cell r="Q113"/>
          <cell r="R113"/>
          <cell r="S113"/>
          <cell r="U113"/>
        </row>
        <row r="114">
          <cell r="M114"/>
          <cell r="N114"/>
          <cell r="O114"/>
          <cell r="Q114"/>
          <cell r="R114"/>
          <cell r="S114"/>
          <cell r="U114"/>
        </row>
        <row r="115">
          <cell r="M115"/>
          <cell r="N115"/>
          <cell r="O115"/>
          <cell r="Q115"/>
          <cell r="R115"/>
          <cell r="S115"/>
          <cell r="U115"/>
        </row>
        <row r="116">
          <cell r="M116"/>
          <cell r="N116"/>
          <cell r="O116"/>
          <cell r="Q116"/>
          <cell r="R116"/>
          <cell r="S116"/>
          <cell r="U116"/>
        </row>
        <row r="117">
          <cell r="M117"/>
          <cell r="N117"/>
          <cell r="O117"/>
          <cell r="Q117"/>
          <cell r="R117"/>
          <cell r="S117"/>
          <cell r="U117"/>
        </row>
        <row r="118">
          <cell r="M118"/>
          <cell r="N118"/>
          <cell r="O118"/>
          <cell r="Q118"/>
          <cell r="R118"/>
          <cell r="S118"/>
          <cell r="U118"/>
        </row>
        <row r="119">
          <cell r="M119"/>
          <cell r="N119"/>
          <cell r="O119"/>
          <cell r="Q119"/>
          <cell r="R119"/>
          <cell r="S119"/>
          <cell r="U119"/>
        </row>
        <row r="120">
          <cell r="M120"/>
          <cell r="N120"/>
          <cell r="O120"/>
          <cell r="Q120"/>
          <cell r="R120"/>
          <cell r="S120"/>
          <cell r="U120"/>
        </row>
        <row r="121">
          <cell r="M121"/>
          <cell r="N121"/>
          <cell r="O121"/>
          <cell r="Q121"/>
          <cell r="R121"/>
          <cell r="S121"/>
          <cell r="U121"/>
        </row>
        <row r="122">
          <cell r="M122"/>
          <cell r="N122"/>
          <cell r="O122"/>
          <cell r="Q122"/>
          <cell r="R122"/>
          <cell r="S122"/>
          <cell r="U122"/>
        </row>
        <row r="123">
          <cell r="M123"/>
          <cell r="N123"/>
          <cell r="O123"/>
          <cell r="Q123"/>
          <cell r="R123"/>
          <cell r="S123"/>
          <cell r="U123"/>
        </row>
        <row r="124">
          <cell r="M124"/>
          <cell r="N124"/>
          <cell r="O124"/>
          <cell r="Q124"/>
          <cell r="R124"/>
          <cell r="S124"/>
          <cell r="U124"/>
        </row>
        <row r="125">
          <cell r="M125"/>
          <cell r="N125"/>
          <cell r="O125"/>
          <cell r="Q125"/>
          <cell r="R125"/>
          <cell r="S125"/>
          <cell r="U125"/>
        </row>
        <row r="126">
          <cell r="M126"/>
          <cell r="N126"/>
          <cell r="O126"/>
          <cell r="Q126"/>
          <cell r="R126"/>
          <cell r="S126"/>
          <cell r="U126"/>
        </row>
        <row r="127">
          <cell r="M127"/>
          <cell r="N127"/>
          <cell r="O127"/>
          <cell r="Q127"/>
          <cell r="R127"/>
          <cell r="S127"/>
          <cell r="U127"/>
        </row>
        <row r="128">
          <cell r="M128"/>
          <cell r="N128"/>
          <cell r="O128"/>
          <cell r="Q128"/>
          <cell r="R128"/>
          <cell r="S128"/>
          <cell r="U128"/>
        </row>
        <row r="129">
          <cell r="M129"/>
          <cell r="N129"/>
          <cell r="O129"/>
          <cell r="Q129"/>
          <cell r="R129"/>
          <cell r="S129"/>
          <cell r="U129"/>
        </row>
        <row r="130">
          <cell r="M130"/>
          <cell r="N130"/>
          <cell r="O130"/>
          <cell r="Q130"/>
          <cell r="R130"/>
          <cell r="S130"/>
          <cell r="U130"/>
        </row>
        <row r="131">
          <cell r="M131"/>
          <cell r="N131"/>
          <cell r="O131"/>
          <cell r="Q131"/>
          <cell r="R131"/>
          <cell r="S131"/>
          <cell r="U131"/>
        </row>
        <row r="132">
          <cell r="M132"/>
          <cell r="N132"/>
          <cell r="O132"/>
          <cell r="Q132"/>
          <cell r="R132"/>
          <cell r="S132"/>
          <cell r="U132"/>
        </row>
        <row r="133">
          <cell r="M133"/>
          <cell r="N133"/>
          <cell r="O133"/>
          <cell r="Q133"/>
          <cell r="R133"/>
          <cell r="S133"/>
          <cell r="U133"/>
        </row>
        <row r="134">
          <cell r="M134"/>
          <cell r="N134"/>
          <cell r="O134"/>
          <cell r="Q134"/>
          <cell r="R134"/>
          <cell r="S134"/>
          <cell r="U134"/>
        </row>
        <row r="135">
          <cell r="M135"/>
          <cell r="N135"/>
          <cell r="O135"/>
          <cell r="Q135"/>
          <cell r="R135"/>
          <cell r="S135"/>
          <cell r="U135"/>
        </row>
        <row r="136">
          <cell r="M136"/>
          <cell r="N136"/>
          <cell r="O136"/>
          <cell r="Q136"/>
          <cell r="R136"/>
          <cell r="S136"/>
          <cell r="U136"/>
        </row>
        <row r="137">
          <cell r="M137"/>
          <cell r="N137"/>
          <cell r="O137"/>
          <cell r="Q137"/>
          <cell r="R137"/>
          <cell r="S137"/>
          <cell r="U137"/>
        </row>
        <row r="138">
          <cell r="M138"/>
          <cell r="N138"/>
          <cell r="O138"/>
          <cell r="Q138"/>
          <cell r="R138"/>
          <cell r="S138"/>
        </row>
        <row r="139">
          <cell r="M139"/>
          <cell r="N139"/>
          <cell r="O139"/>
          <cell r="Q139"/>
          <cell r="R139"/>
          <cell r="S139"/>
        </row>
        <row r="140">
          <cell r="M140"/>
          <cell r="N140"/>
          <cell r="O140"/>
          <cell r="Q140"/>
          <cell r="R140"/>
          <cell r="S140"/>
        </row>
        <row r="141">
          <cell r="Q141"/>
          <cell r="R141"/>
          <cell r="S141"/>
        </row>
      </sheetData>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O6SQO4PU42FBCIG755QTNFH5ET">
      <xxl21:absoluteUrl r:id="rId2"/>
      <xxl21:relativeUrl r:id="rId3"/>
    </xxl21:alternateUrls>
    <sheetNames>
      <sheetName val="PRIORIZADOS"/>
      <sheetName val="DEMANDA"/>
      <sheetName val="PEGRCC Y GOBIERNOS ESCOLARES"/>
      <sheetName val="MESAS DIRECTIVOS IE"/>
      <sheetName val="MANUALES DE CONVIVENCIA IED"/>
      <sheetName val="COLEGIOS"/>
      <sheetName val="LISTAS"/>
      <sheetName val="ACTIVIDADES  "/>
      <sheetName val="OPERACIONES-ACTIVIDADES"/>
      <sheetName val="Hoja1"/>
    </sheetNames>
    <sheetDataSet>
      <sheetData sheetId="0">
        <row r="1">
          <cell r="A1"/>
          <cell r="B1"/>
          <cell r="C1"/>
          <cell r="D1"/>
          <cell r="E1" t="str">
            <v xml:space="preserve">                                                                                                                                                                                                                                                                                                                                                                                                                                                                                                                                                                                                                                                                                                                                                                                                                                                                                                                                                                                                                                                                                                                                                                                                                                                                                                                                                                                                                                                                                                                       </v>
          </cell>
          <cell r="F1"/>
          <cell r="G1"/>
          <cell r="H1"/>
          <cell r="I1"/>
          <cell r="J1"/>
          <cell r="K1"/>
          <cell r="L1"/>
          <cell r="M1"/>
          <cell r="N1"/>
          <cell r="O1"/>
          <cell r="P1"/>
          <cell r="Q1"/>
          <cell r="R1"/>
          <cell r="S1"/>
          <cell r="T1"/>
          <cell r="U1"/>
        </row>
        <row r="2">
          <cell r="A2"/>
          <cell r="B2"/>
          <cell r="C2"/>
          <cell r="D2"/>
          <cell r="E2"/>
          <cell r="F2"/>
          <cell r="G2"/>
          <cell r="H2"/>
          <cell r="I2"/>
          <cell r="J2"/>
          <cell r="K2"/>
          <cell r="L2"/>
          <cell r="M2"/>
          <cell r="N2"/>
          <cell r="O2"/>
          <cell r="P2"/>
          <cell r="Q2"/>
          <cell r="R2"/>
          <cell r="S2"/>
          <cell r="T2"/>
          <cell r="U2"/>
        </row>
        <row r="3">
          <cell r="A3"/>
          <cell r="B3"/>
          <cell r="C3"/>
          <cell r="D3"/>
          <cell r="E3" t="str">
            <v>PLAN OPERATIVO ANUAL DE INSPECCIÓN Y VIGILANCIA 2025</v>
          </cell>
          <cell r="F3"/>
          <cell r="G3"/>
          <cell r="H3"/>
          <cell r="I3"/>
          <cell r="J3"/>
          <cell r="K3"/>
          <cell r="L3"/>
          <cell r="M3"/>
          <cell r="N3"/>
          <cell r="O3"/>
          <cell r="P3"/>
          <cell r="Q3"/>
          <cell r="R3"/>
          <cell r="S3"/>
          <cell r="T3"/>
          <cell r="U3"/>
        </row>
        <row r="4">
          <cell r="A4"/>
          <cell r="B4"/>
          <cell r="C4"/>
          <cell r="D4"/>
          <cell r="E4" t="str">
            <v>e</v>
          </cell>
          <cell r="F4"/>
          <cell r="G4"/>
          <cell r="H4"/>
          <cell r="I4"/>
          <cell r="J4"/>
          <cell r="K4"/>
          <cell r="L4"/>
          <cell r="M4"/>
          <cell r="N4"/>
          <cell r="O4"/>
          <cell r="P4"/>
          <cell r="Q4"/>
          <cell r="R4"/>
          <cell r="S4"/>
          <cell r="T4"/>
          <cell r="U4"/>
        </row>
        <row r="5">
          <cell r="A5"/>
          <cell r="B5"/>
          <cell r="C5"/>
          <cell r="D5"/>
          <cell r="E5" t="str">
            <v>EQUIPO LOCAL DE:</v>
          </cell>
          <cell r="F5" t="str">
            <v>8. KENNEDY</v>
          </cell>
          <cell r="G5"/>
          <cell r="H5"/>
          <cell r="I5"/>
          <cell r="J5"/>
          <cell r="K5"/>
          <cell r="L5"/>
          <cell r="M5"/>
          <cell r="N5"/>
          <cell r="O5"/>
          <cell r="P5"/>
          <cell r="Q5"/>
          <cell r="R5"/>
          <cell r="S5"/>
          <cell r="T5"/>
          <cell r="U5"/>
        </row>
        <row r="6">
          <cell r="A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Código Único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corresponsable de ejecutar la actividad)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seguimiento y/o verificación realizada o por realizar sobre los compromisos o PMI acordados)</v>
          </cell>
        </row>
        <row r="8">
          <cell r="A8">
            <v>980</v>
          </cell>
          <cell r="B8">
            <v>1</v>
          </cell>
          <cell r="C8" t="str">
            <v>KENNEDY</v>
          </cell>
          <cell r="D8" t="str">
            <v>PRIVADO</v>
          </cell>
          <cell r="E8" t="str">
            <v>Educación de Jóvenes y Adultos</v>
          </cell>
          <cell r="F8" t="str">
            <v>CENTRO_DE_EDUCACION_ROBERT_HOOKE</v>
          </cell>
          <cell r="G8" t="str">
            <v>CENTRO DE EDUCACION ROBERT HOOKE</v>
          </cell>
          <cell r="H8" t="str">
            <v>Autoevaluación Institucional y Pruebas SABER 11</v>
          </cell>
          <cell r="I8" t="str">
            <v>SEGUIMIENTO_Y_SUPERVISIÓN.</v>
          </cell>
          <cell r="J8" t="str">
            <v>Realizar visitas para verificar la información registrada sobre la autoevaluación institucional en el aplicativo EVI, a los establecimientos de educación formal no oficial.</v>
          </cell>
          <cell r="K8" t="str">
            <v>LUCY GONZÁLEZ LERMA</v>
          </cell>
          <cell r="L8" t="str">
            <v>VIVANA PILAR BOHÓRQUEZ DÍAZ</v>
          </cell>
          <cell r="M8">
            <v>45734</v>
          </cell>
          <cell r="N8">
            <v>45751</v>
          </cell>
          <cell r="O8">
            <v>45751</v>
          </cell>
          <cell r="P8" t="str">
            <v>Visitas de evaluación con fines de mejoramiento</v>
          </cell>
          <cell r="Q8" t="str">
            <v>ACTA DE VISITA COLEGIO ROBERT HOOKE.pdf</v>
          </cell>
          <cell r="R8" t="str">
            <v xml:space="preserve">La información referenciada en el EVI es incoherente en relación con los aspectos identificados en relación con la infraestructura, el mobiliario, la organización administrativa y académica.  Gran parte de lo declarado carece de soportes documentales. </v>
          </cell>
          <cell r="S8" t="str">
            <v>La Institución Educativa debe validar la información de tal manera que lo registrado en el EVI sea coherente con la realidad institucional.</v>
          </cell>
          <cell r="T8" t="str">
            <v>Si</v>
          </cell>
          <cell r="U8" t="str">
            <v>Seguimiento al cumplimiento del plan de mejoramiento, en la próxima vigencia.</v>
          </cell>
        </row>
        <row r="9">
          <cell r="A9">
            <v>981</v>
          </cell>
          <cell r="B9"/>
          <cell r="C9" t="str">
            <v>KENNEDY</v>
          </cell>
          <cell r="D9" t="str">
            <v>PRIVADO</v>
          </cell>
          <cell r="E9" t="str">
            <v>Educación de Jóvenes y Adultos</v>
          </cell>
          <cell r="F9" t="str">
            <v>CENTRO_DE_EDUCACION_ROBERT_HOOKE</v>
          </cell>
          <cell r="G9" t="str">
            <v>CENTRO DE EDUCACION ROBERT HOOKE</v>
          </cell>
          <cell r="H9" t="str">
            <v>Autoevaluación Institucional y Pruebas SABER 11</v>
          </cell>
          <cell r="I9" t="str">
            <v>SEGUIMIENTO_Y_SUPERVISIÓN.</v>
          </cell>
          <cell r="J9" t="str">
            <v>Proponer estrategias en la formulación, verificar su elaboración y realizar seguimiento semestral al desarrollo de  las acciones establecidas en los planes de mejoramiento por pruebas SABER 11 de los establecimientos de educación formal.</v>
          </cell>
          <cell r="K9" t="str">
            <v>LUCY GONZÁLEZ LERMA</v>
          </cell>
          <cell r="L9" t="str">
            <v>VIVANA PILAR BOHÓRQUEZ DÍAZ</v>
          </cell>
          <cell r="M9">
            <v>45734</v>
          </cell>
          <cell r="N9">
            <v>45751</v>
          </cell>
          <cell r="O9">
            <v>45751</v>
          </cell>
          <cell r="P9" t="str">
            <v>Visitas de evaluación con fines de mejoramiento</v>
          </cell>
          <cell r="Q9" t="str">
            <v>ACTA DE VISITA COLEGIO ROBERT HOOKE.pdf</v>
          </cell>
          <cell r="R9" t="str">
            <v xml:space="preserve">El establecimiento educativo identifica que se encuentra en la categoría D en las pruebas SABER 11; sin embargo, no ha realizado el análisis de estos resultados, por lo que no ha elaborado un plan de mejoramiento que le permita avanzar en la consolidación de mejores resultados.  </v>
          </cell>
          <cell r="S9" t="str">
            <v>Realizar el análisis de los resultados de las pruebas SABER 11, elaborar e implementar el respectivo plan de mejoramiento.</v>
          </cell>
          <cell r="T9" t="str">
            <v>Si</v>
          </cell>
          <cell r="U9" t="str">
            <v>Seguimiento al cumplimiento del plan de mejoramiento.</v>
          </cell>
        </row>
        <row r="10">
          <cell r="A10">
            <v>982</v>
          </cell>
          <cell r="B10"/>
          <cell r="C10" t="str">
            <v>KENNEDY</v>
          </cell>
          <cell r="D10" t="str">
            <v>PRIVADO</v>
          </cell>
          <cell r="E10" t="str">
            <v>Educación de Jóvenes y Adultos</v>
          </cell>
          <cell r="F10" t="str">
            <v>CENTRO_DE_EDUCACION_ROBERT_HOOKE</v>
          </cell>
          <cell r="G10" t="str">
            <v>CENTRO DE EDUCACION ROBERT HOOKE</v>
          </cell>
          <cell r="H10" t="str">
            <v>Autoevaluación Institucional y Pruebas SABER 11</v>
          </cell>
          <cell r="I10" t="str">
            <v>SEGUIMIENTO_Y_SUPERVISIÓN.</v>
          </cell>
          <cell r="J10" t="str">
            <v xml:space="preserve">Verificar la implementación por parte de los colegios, de acciones realizadas para la prevención y atención de las situaciones de convivencia en el entorno escolar, según lo establecido en la Directiva 01 de 2022 del MEN. </v>
          </cell>
          <cell r="K10" t="str">
            <v>LUCY GONZÁLEZ LERMA</v>
          </cell>
          <cell r="L10" t="str">
            <v>VIVANA PILAR BOHÓRQUEZ DÍAZ</v>
          </cell>
          <cell r="M10">
            <v>45734</v>
          </cell>
          <cell r="N10">
            <v>45751</v>
          </cell>
          <cell r="O10">
            <v>45751</v>
          </cell>
          <cell r="P10" t="str">
            <v>Visitas de evaluación con fines de mejoramiento</v>
          </cell>
          <cell r="Q10" t="str">
            <v>ACTA DE VISITA COLEGIO ROBERT HOOKE.pdf</v>
          </cell>
          <cell r="R10" t="str">
            <v xml:space="preserve">El servicio de orientación escolar no se cumple de acuerdo con la normatividad vigente, puesto que la profesional designada acompaña a la institución educativa una vez a la semana y algunas de las estrategias previstas desde esta área las asume la coordinadora de la sede. </v>
          </cell>
          <cell r="S10" t="str">
            <v>Fortalecer el ejercicio de la orientación escolar y organizar el archivo requerido en sus procesos de acompañamiento.</v>
          </cell>
          <cell r="T10" t="str">
            <v>Si</v>
          </cell>
          <cell r="U10" t="str">
            <v>Seguimiento al cumplimiento del plan de mejoramiento.</v>
          </cell>
        </row>
        <row r="11">
          <cell r="A11">
            <v>983</v>
          </cell>
          <cell r="B11"/>
          <cell r="C11" t="str">
            <v>KENNEDY</v>
          </cell>
          <cell r="D11" t="str">
            <v>PRIVADO</v>
          </cell>
          <cell r="E11" t="str">
            <v>Educación de Jóvenes y Adultos</v>
          </cell>
          <cell r="F11" t="str">
            <v>CENTRO_DE_EDUCACION_ROBERT_HOOKE</v>
          </cell>
          <cell r="G11" t="str">
            <v>CENTRO DE EDUCACION ROBERT HOOKE</v>
          </cell>
          <cell r="H11" t="str">
            <v>Autoevaluación Institucional y Pruebas SABER 11</v>
          </cell>
          <cell r="I11" t="str">
            <v>EVALUACIÓN_CON_FINES_DE_MEJORAMIENTO.</v>
          </cell>
          <cell r="J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 t="str">
            <v>LUCY GONZÁLEZ LERMA</v>
          </cell>
          <cell r="L11" t="str">
            <v>VIVANA PILAR BOHÓRQUEZ DÍAZ</v>
          </cell>
          <cell r="M11">
            <v>45734</v>
          </cell>
          <cell r="N11">
            <v>45751</v>
          </cell>
          <cell r="O11">
            <v>45751</v>
          </cell>
          <cell r="P11" t="str">
            <v>Visitas de evaluación con fines de mejoramiento</v>
          </cell>
          <cell r="Q11" t="str">
            <v>ACTA DE VISITA COLEGIO ROBERT HOOKE.pdf</v>
          </cell>
          <cell r="R11" t="str">
            <v>El manual de convivencia no  incluye la comprensión de las diversidades, el enfoque restaurativo ni las condiciones para el servicio social obligatorio. De igual modo no refleja la representación de todos los estamentos.</v>
          </cell>
          <cell r="S11" t="str">
            <v xml:space="preserve">Realizar la actualización del manual de convivencia desde los enfoques previstos en la normatividad vigente y para este proceso se debe convocar a la comunidad educativa. </v>
          </cell>
          <cell r="T11" t="str">
            <v>Si</v>
          </cell>
          <cell r="U11" t="str">
            <v>Seguimiento al cumplimiento del plan de mejoramiento.</v>
          </cell>
        </row>
        <row r="12">
          <cell r="A12">
            <v>984</v>
          </cell>
          <cell r="B12"/>
          <cell r="C12" t="str">
            <v>KENNEDY</v>
          </cell>
          <cell r="D12" t="str">
            <v>PRIVADO</v>
          </cell>
          <cell r="E12" t="str">
            <v>Educación de Jóvenes y Adultos</v>
          </cell>
          <cell r="F12" t="str">
            <v>CENTRO_DE_EDUCACION_ROBERT_HOOKE</v>
          </cell>
          <cell r="G12" t="str">
            <v>CENTRO DE EDUCACION ROBERT HOOKE</v>
          </cell>
          <cell r="H12" t="str">
            <v>Autoevaluación Institucional y Pruebas SABER 11</v>
          </cell>
          <cell r="I12" t="str">
            <v>EVALUACIÓN_CON_FINES_DE_MEJORAMIENTO.</v>
          </cell>
          <cell r="J12" t="str">
            <v>Verificar el funcionamiento del Gobierno Escolar e instancias de participación con base en la información sobre conformación reportada por la institución educativa.</v>
          </cell>
          <cell r="K12" t="str">
            <v>LUCY GONZÁLEZ LERMA</v>
          </cell>
          <cell r="L12" t="str">
            <v>VIVANA PILAR BOHÓRQUEZ DÍAZ</v>
          </cell>
          <cell r="M12">
            <v>45734</v>
          </cell>
          <cell r="N12">
            <v>45751</v>
          </cell>
          <cell r="O12">
            <v>45751</v>
          </cell>
          <cell r="P12" t="str">
            <v>Visitas de evaluación con fines de mejoramiento</v>
          </cell>
          <cell r="Q12" t="str">
            <v>ACTA DE VISITA COLEGIO ROBERT HOOKE.pdf</v>
          </cell>
          <cell r="R12" t="str">
            <v xml:space="preserve">Se encuentran las actas de conformación de las instancias del gobierno escolar. Se encuentra reglamento interno, plan de acción y convocatorias durante esta vigencia. </v>
          </cell>
          <cell r="S12" t="str">
            <v xml:space="preserve">Convocar a las instancias del gobierno escolar para el diseño de los planes de acción y adelantar el primer consejo académico para la actualización de los planes de estudio. </v>
          </cell>
          <cell r="T12" t="str">
            <v>Si</v>
          </cell>
          <cell r="U12" t="str">
            <v>Seguimiento al cumplimiento del plan de mejoramiento.</v>
          </cell>
        </row>
        <row r="13">
          <cell r="A13">
            <v>985</v>
          </cell>
          <cell r="B13"/>
          <cell r="C13" t="str">
            <v>KENNEDY</v>
          </cell>
          <cell r="D13" t="str">
            <v>PRIVADO</v>
          </cell>
          <cell r="E13" t="str">
            <v>Educación de Jóvenes y Adultos</v>
          </cell>
          <cell r="F13" t="str">
            <v>CENTRO_DE_EDUCACION_ROBERT_HOOKE</v>
          </cell>
          <cell r="G13" t="str">
            <v>CENTRO DE EDUCACION ROBERT HOOKE</v>
          </cell>
          <cell r="H13" t="str">
            <v>Autoevaluación Institucional y Pruebas SABER 11</v>
          </cell>
          <cell r="I13" t="str">
            <v>EVALUACIÓN_CON_FINES_DE_MEJORAMIENTO.</v>
          </cell>
          <cell r="J13" t="str">
            <v>Verificar las condiciones en cuanto a: la estructura administrativa, condiciones de la planta física y medios educativos adecuados.</v>
          </cell>
          <cell r="K13" t="str">
            <v>LUCY GONZÁLEZ LERMA</v>
          </cell>
          <cell r="L13" t="str">
            <v>VIVANA PILAR BOHÓRQUEZ DÍAZ</v>
          </cell>
          <cell r="M13">
            <v>45734</v>
          </cell>
          <cell r="N13">
            <v>45751</v>
          </cell>
          <cell r="O13">
            <v>45751</v>
          </cell>
          <cell r="P13" t="str">
            <v>Visitas de evaluación con fines de mejoramiento</v>
          </cell>
          <cell r="Q13" t="str">
            <v>ACTA DE VISITA COLEGIO ROBERT HOOKE.pdf</v>
          </cell>
          <cell r="R13" t="str">
            <v xml:space="preserve">Las condiciones de aseo, organización y mantenimiento de los espacios son regulares.
Hay presencia de fisuras, humedades, daños de luminarias, deterioro de pintura. No disponen de espacios lúdicos y recreativos y gran parte de los recursos pedagógicos están deteriorados. </v>
          </cell>
          <cell r="S13" t="str">
            <v>Realizar las mejoras locativas y de mantenimiento requeridos para garantizar las condiciones de infraestructura acordes con el servicio prestado.</v>
          </cell>
          <cell r="T13" t="str">
            <v>Si</v>
          </cell>
          <cell r="U13" t="str">
            <v>Seguimiento al cumplimiento del plan de mejoramiento.</v>
          </cell>
        </row>
        <row r="14">
          <cell r="A14">
            <v>986</v>
          </cell>
          <cell r="B14">
            <v>2</v>
          </cell>
          <cell r="C14" t="str">
            <v>KENNEDY</v>
          </cell>
          <cell r="D14" t="str">
            <v>PRIVADO</v>
          </cell>
          <cell r="E14" t="str">
            <v>EPBM</v>
          </cell>
          <cell r="F14" t="str">
            <v>COLEGIO_ALEXANDER_FLEMING</v>
          </cell>
          <cell r="G14" t="str">
            <v>COLEGIO ALEXANDER FLEMING</v>
          </cell>
          <cell r="H14" t="str">
            <v>Autoevaluación Institucional y Pruebas SABER 11</v>
          </cell>
          <cell r="I14" t="str">
            <v>SEGUIMIENTO_Y_SUPERVISIÓN.</v>
          </cell>
          <cell r="J14" t="str">
            <v>Realizar visitas para verificar la información registrada sobre la autoevaluación institucional en el aplicativo EVI, a los establecimientos de educación formal no oficial.</v>
          </cell>
          <cell r="K14" t="str">
            <v>LUCY GONZÁLEZ LERMA</v>
          </cell>
          <cell r="L14" t="str">
            <v xml:space="preserve">DIANA ZULAY HUERTAS ORTÍZ </v>
          </cell>
          <cell r="M14">
            <v>45735</v>
          </cell>
          <cell r="N14">
            <v>45895</v>
          </cell>
          <cell r="O14">
            <v>45896</v>
          </cell>
          <cell r="P14" t="str">
            <v>Visitas de evaluación con fines de mejoramiento</v>
          </cell>
          <cell r="Q14" t="str">
            <v>COLEGIO ALEXANDER FLEMING.pdf</v>
          </cell>
          <cell r="R14" t="str">
            <v>La  información registrada en el aplicativo EVI da cuenta de la realidad institucional</v>
          </cell>
          <cell r="S14" t="str">
            <v>Continuar reportando en el aplicativo la información  institucional.</v>
          </cell>
          <cell r="T14" t="str">
            <v>No</v>
          </cell>
          <cell r="U14" t="str">
            <v>El ELIV, verificará en la próxima vigencia que la información registrada en el EVI da cuenta de la realidad institucional. Se realiza mesa de seguimiento el día 23 de septiembre 2025.</v>
          </cell>
        </row>
        <row r="15">
          <cell r="A15">
            <v>987</v>
          </cell>
          <cell r="B15"/>
          <cell r="C15" t="str">
            <v>KENNEDY</v>
          </cell>
          <cell r="D15" t="str">
            <v>PRIVADO</v>
          </cell>
          <cell r="E15" t="str">
            <v>EPBM</v>
          </cell>
          <cell r="F15" t="str">
            <v>COLEGIO_ALEXANDER_FLEMING</v>
          </cell>
          <cell r="G15" t="str">
            <v>COLEGIO ALEXANDER FLEMING</v>
          </cell>
          <cell r="H15" t="str">
            <v>Autoevaluación Institucional y Pruebas SABER 11</v>
          </cell>
          <cell r="I15" t="str">
            <v>SEGUIMIENTO_Y_SUPERVISIÓN.</v>
          </cell>
          <cell r="J15" t="str">
            <v>Proponer estrategias en la formulación, verificar su elaboración y realizar seguimiento semestral al desarrollo de  las acciones establecidas en los planes de mejoramiento por pruebas SABER 11 de los establecimientos de educación formal.</v>
          </cell>
          <cell r="K15" t="str">
            <v>LUCY GONZÁLEZ LERMA</v>
          </cell>
          <cell r="L15" t="str">
            <v xml:space="preserve">DIANA ZULAY HUERTAS ORTÍZ </v>
          </cell>
          <cell r="M15">
            <v>45735</v>
          </cell>
          <cell r="N15">
            <v>45895</v>
          </cell>
          <cell r="O15">
            <v>45896</v>
          </cell>
          <cell r="P15" t="str">
            <v>Visitas de evaluación con fines de mejoramiento</v>
          </cell>
          <cell r="Q15" t="str">
            <v>COLEGIO ALEXANDER FLEMING.pdf</v>
          </cell>
          <cell r="R15" t="str">
            <v xml:space="preserve">Las estrategias previstas para avanzar en los resultados de las pruebas SABER 11 no están avaladas por el Consejo Directivo ni el Consejo Académico. </v>
          </cell>
          <cell r="S15" t="str">
            <v xml:space="preserve">Convocar al Consejo Académico y al Consejo Directivo para socializar las acciones de mejora que se prevén para el avance en los resultados de las pruebas SABER 11. </v>
          </cell>
          <cell r="T15" t="str">
            <v>Si</v>
          </cell>
          <cell r="U15" t="str">
            <v>Verificar el cumplimiento del plan de mejoramiento y de los resultados obtenidos en su implementación.  Se realiza mesa de seguimiento el día 23 de septiembre 2025.</v>
          </cell>
        </row>
        <row r="16">
          <cell r="A16">
            <v>988</v>
          </cell>
          <cell r="B16"/>
          <cell r="C16" t="str">
            <v>KENNEDY</v>
          </cell>
          <cell r="D16" t="str">
            <v>PRIVADO</v>
          </cell>
          <cell r="E16" t="str">
            <v>EPBM</v>
          </cell>
          <cell r="F16" t="str">
            <v>COLEGIO_ALEXANDER_FLEMING</v>
          </cell>
          <cell r="G16" t="str">
            <v>COLEGIO ALEXANDER FLEMING</v>
          </cell>
          <cell r="H16" t="str">
            <v>Autoevaluación Institucional y Pruebas SABER 11</v>
          </cell>
          <cell r="I16" t="str">
            <v>SEGUIMIENTO_Y_SUPERVISIÓN.</v>
          </cell>
          <cell r="J16" t="str">
            <v xml:space="preserve">Verificar la implementación por parte de los colegios, de acciones realizadas para la prevención y atención de las situaciones de convivencia en el entorno escolar, según lo establecido en la Directiva 01 de 2022 del MEN. </v>
          </cell>
          <cell r="K16" t="str">
            <v>LUCY GONZÁLEZ LERMA</v>
          </cell>
          <cell r="L16" t="str">
            <v xml:space="preserve">DIANA ZULAY HUERTAS ORTÍZ </v>
          </cell>
          <cell r="M16">
            <v>45735</v>
          </cell>
          <cell r="N16">
            <v>45895</v>
          </cell>
          <cell r="O16">
            <v>45896</v>
          </cell>
          <cell r="P16" t="str">
            <v>Visitas de evaluación con fines de mejoramiento</v>
          </cell>
          <cell r="Q16" t="str">
            <v>COLEGIO ALEXANDER FLEMING.pdf</v>
          </cell>
          <cell r="R16" t="str">
            <v xml:space="preserve">La institución no cuenta con documentación que soporte las acciones de promoción y prevención  frente a las situaciones de convivencia que se presentan con mayor regularidad. </v>
          </cell>
          <cell r="S16" t="str">
            <v xml:space="preserve">Documentar las acciones de promoción y prevención realizadas con ocasión de las situaciones de convivencia presentadas con mayor frecuencia. </v>
          </cell>
          <cell r="T16" t="str">
            <v>Si</v>
          </cell>
          <cell r="U16" t="str">
            <v>Verificar la realización de actividades de promoción y prevención. Se realiza mesa de seguimiento el día 23 de septiembre 2025.</v>
          </cell>
        </row>
        <row r="17">
          <cell r="A17">
            <v>989</v>
          </cell>
          <cell r="B17"/>
          <cell r="C17" t="str">
            <v>KENNEDY</v>
          </cell>
          <cell r="D17" t="str">
            <v>PRIVADO</v>
          </cell>
          <cell r="E17" t="str">
            <v>EPBM</v>
          </cell>
          <cell r="F17" t="str">
            <v>COLEGIO_ALEXANDER_FLEMING</v>
          </cell>
          <cell r="G17" t="str">
            <v>COLEGIO ALEXANDER FLEMING</v>
          </cell>
          <cell r="H17" t="str">
            <v>Autoevaluación Institucional y Pruebas SABER 11</v>
          </cell>
          <cell r="I17" t="str">
            <v>SEGUIMIENTO_Y_SUPERVISIÓN.</v>
          </cell>
          <cell r="J1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 t="str">
            <v>LUCY GONZÁLEZ LERMA</v>
          </cell>
          <cell r="L17" t="str">
            <v xml:space="preserve">DIANA ZULAY HUERTAS ORTÍZ </v>
          </cell>
          <cell r="M17">
            <v>45735</v>
          </cell>
          <cell r="N17">
            <v>45895</v>
          </cell>
          <cell r="O17">
            <v>45896</v>
          </cell>
          <cell r="P17" t="str">
            <v>Visitas de evaluación con fines de mejoramiento</v>
          </cell>
          <cell r="Q17" t="str">
            <v>COLEGIO ALEXANDER FLEMING.pdf</v>
          </cell>
          <cell r="R17" t="str">
            <v xml:space="preserve">La institución educativa tiene estudiantes con discapacidad y cada uno de ellos cuenta con el Plan Individual de Ajustes Razonables -PIAR y el respectivo seguimiento. </v>
          </cell>
          <cell r="S17" t="str">
            <v>Continuar adelantando seguimiento periódico (acorde con el sistema institucional de evaluación)  y actualización anual a los Planes Individuales de Ajustes Razonables -PIAR</v>
          </cell>
          <cell r="T17" t="str">
            <v>No</v>
          </cell>
          <cell r="U17" t="str">
            <v>Verificar que se sigan implementando los PIAR para los estudiantes nuevos que lleguen a la institución educativa. Se realiza mesa de seguimiento el día 23 de septiembre 2025.</v>
          </cell>
        </row>
        <row r="18">
          <cell r="A18">
            <v>990</v>
          </cell>
          <cell r="B18"/>
          <cell r="C18" t="str">
            <v>KENNEDY</v>
          </cell>
          <cell r="D18" t="str">
            <v>PRIVADO</v>
          </cell>
          <cell r="E18" t="str">
            <v>EPBM</v>
          </cell>
          <cell r="F18" t="str">
            <v>COLEGIO_ALEXANDER_FLEMING</v>
          </cell>
          <cell r="G18" t="str">
            <v>COLEGIO ALEXANDER FLEMING</v>
          </cell>
          <cell r="H18" t="str">
            <v>Autoevaluación Institucional y Pruebas SABER 11</v>
          </cell>
          <cell r="I18" t="str">
            <v>EVALUACIÓN_CON_FINES_DE_MEJORAMIENTO.</v>
          </cell>
          <cell r="J1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 t="str">
            <v>LUCY GONZÁLEZ LERMA</v>
          </cell>
          <cell r="L18" t="str">
            <v xml:space="preserve">DIANA ZULAY HUERTAS ORTÍZ </v>
          </cell>
          <cell r="M18">
            <v>45735</v>
          </cell>
          <cell r="N18">
            <v>45895</v>
          </cell>
          <cell r="O18">
            <v>45896</v>
          </cell>
          <cell r="P18" t="str">
            <v>Visitas de evaluación con fines de mejoramiento</v>
          </cell>
          <cell r="Q18" t="str">
            <v>COLEGIO ALEXANDER FLEMING.pdf</v>
          </cell>
          <cell r="R18" t="str">
            <v>La IE debe actualizar el manual de convivencia de acuerdo  con la normatividad vigente.</v>
          </cell>
          <cell r="S18" t="str">
            <v xml:space="preserve"> Actualizar de manera participativa el manual de convivencia de la institución teniendo los enfoques, la tipificación de situaciones y las faltas de acuerdo a la ley 1620 y decreto 1965.</v>
          </cell>
          <cell r="T18" t="str">
            <v>Si</v>
          </cell>
          <cell r="U18" t="str">
            <v>El ELIV verificará la actualización del manual de convivencia. Se realiza mesa de seguimiento el día 23 de septiembre 2025.</v>
          </cell>
        </row>
        <row r="19">
          <cell r="A19">
            <v>991</v>
          </cell>
          <cell r="B19"/>
          <cell r="C19" t="str">
            <v>KENNEDY</v>
          </cell>
          <cell r="D19" t="str">
            <v>PRIVADO</v>
          </cell>
          <cell r="E19" t="str">
            <v>EPBM</v>
          </cell>
          <cell r="F19" t="str">
            <v>COLEGIO_ALEXANDER_FLEMING</v>
          </cell>
          <cell r="G19" t="str">
            <v>COLEGIO ALEXANDER FLEMING</v>
          </cell>
          <cell r="H19" t="str">
            <v>Autoevaluación Institucional y Pruebas SABER 11</v>
          </cell>
          <cell r="I19" t="str">
            <v>EVALUACIÓN_CON_FINES_DE_MEJORAMIENTO.</v>
          </cell>
          <cell r="J19" t="str">
            <v>Revisar la actualización, socialización e implementación del Sistema Institucional de Evaluación de Estudiantes - SIEE, en articulación con la actualización del PEI y la normatividad vigente.</v>
          </cell>
          <cell r="K19" t="str">
            <v>LUCY GONZÁLEZ LERMA</v>
          </cell>
          <cell r="L19" t="str">
            <v xml:space="preserve">DIANA ZULAY HUERTAS ORTÍZ </v>
          </cell>
          <cell r="M19">
            <v>45735</v>
          </cell>
          <cell r="N19">
            <v>45895</v>
          </cell>
          <cell r="O19">
            <v>45896</v>
          </cell>
          <cell r="P19" t="str">
            <v>Visitas de evaluación con fines de mejoramiento</v>
          </cell>
          <cell r="Q19" t="str">
            <v>COLEGIO ALEXANDER FLEMING.pdf</v>
          </cell>
          <cell r="R19" t="str">
            <v>El SIEE incorpora los elementos de ley e incluye las estrategias de apoyo para acompañar los procesos de los estudiantes con dificultades académicas</v>
          </cell>
          <cell r="S19" t="str">
            <v>Continuar con la socialización para la comunidad educativa del SIIE  en cada vigencias y cuando se actualice el mismo.</v>
          </cell>
          <cell r="T19" t="str">
            <v>No</v>
          </cell>
          <cell r="U19" t="str">
            <v>Validar las acciones planificadas por la institución educativa en su plan de mejora. Se realiza mesa de seguimiento el día 23 de septiembre 2025.</v>
          </cell>
        </row>
        <row r="20">
          <cell r="A20">
            <v>992</v>
          </cell>
          <cell r="B20"/>
          <cell r="C20" t="str">
            <v>KENNEDY</v>
          </cell>
          <cell r="D20" t="str">
            <v>PRIVADO</v>
          </cell>
          <cell r="E20" t="str">
            <v>EPBM</v>
          </cell>
          <cell r="F20" t="str">
            <v>COLEGIO_ALEXANDER_FLEMING</v>
          </cell>
          <cell r="G20" t="str">
            <v>COLEGIO ALEXANDER FLEMING</v>
          </cell>
          <cell r="H20" t="str">
            <v>Autoevaluación Institucional y Pruebas SABER 11</v>
          </cell>
          <cell r="I20" t="str">
            <v>EVALUACIÓN_CON_FINES_DE_MEJORAMIENTO.</v>
          </cell>
          <cell r="J20" t="str">
            <v>Revisar el calendario escolar, jornada escolar, la intensidad horaria mínima anual en cada nivel y las modificaciones que se realicen al mismo, de acuerdo con lo previsto en la normatividad vigente.</v>
          </cell>
          <cell r="K20" t="str">
            <v>LUCY GONZÁLEZ LERMA</v>
          </cell>
          <cell r="L20" t="str">
            <v xml:space="preserve">DIANA ZULAY HUERTAS ORTÍZ </v>
          </cell>
          <cell r="M20">
            <v>45735</v>
          </cell>
          <cell r="N20">
            <v>45895</v>
          </cell>
          <cell r="O20">
            <v>45896</v>
          </cell>
          <cell r="P20" t="str">
            <v>Visitas de evaluación con fines de mejoramiento</v>
          </cell>
          <cell r="Q20" t="str">
            <v>COLEGIO ALEXANDER FLEMING.pdf</v>
          </cell>
          <cell r="R20" t="str">
            <v>Se evidencia que cumple con la intensidad horaria mínima anual.</v>
          </cell>
          <cell r="S20" t="str">
            <v>Implementar el horario socializado y  revisado por el ELIV.</v>
          </cell>
          <cell r="T20" t="str">
            <v>No</v>
          </cell>
          <cell r="U20" t="str">
            <v>Verificar que el calendario escolar sea socializado con la comunidad educativa. Se realiza mesa de seguimiento el día 23 de septiembre 2025.</v>
          </cell>
        </row>
        <row r="21">
          <cell r="A21">
            <v>993</v>
          </cell>
          <cell r="B21"/>
          <cell r="C21" t="str">
            <v>KENNEDY</v>
          </cell>
          <cell r="D21" t="str">
            <v>PRIVADO</v>
          </cell>
          <cell r="E21" t="str">
            <v>EPBM</v>
          </cell>
          <cell r="F21" t="str">
            <v>COLEGIO_ALEXANDER_FLEMING</v>
          </cell>
          <cell r="G21" t="str">
            <v>COLEGIO ALEXANDER FLEMING</v>
          </cell>
          <cell r="H21" t="str">
            <v>Autoevaluación Institucional y Pruebas SABER 11</v>
          </cell>
          <cell r="I21" t="str">
            <v>EVALUACIÓN_CON_FINES_DE_MEJORAMIENTO.</v>
          </cell>
          <cell r="J21" t="str">
            <v>Verificar el funcionamiento del Gobierno Escolar e instancias de participación con base en la información sobre conformación reportada por la institución educativa.</v>
          </cell>
          <cell r="K21" t="str">
            <v>LUCY GONZÁLEZ LERMA</v>
          </cell>
          <cell r="L21" t="str">
            <v xml:space="preserve">DIANA ZULAY HUERTAS ORTÍZ </v>
          </cell>
          <cell r="M21">
            <v>45735</v>
          </cell>
          <cell r="N21">
            <v>45895</v>
          </cell>
          <cell r="O21">
            <v>45896</v>
          </cell>
          <cell r="P21" t="str">
            <v>Visitas de evaluación con fines de mejoramiento</v>
          </cell>
          <cell r="Q21" t="str">
            <v>COLEGIO ALEXANDER FLEMING.pdf</v>
          </cell>
          <cell r="R21" t="str">
            <v>Se evidenció la conformación del gobierno escolar, el cual contó con las instancias de participación de la comunidad educativa</v>
          </cell>
          <cell r="S21" t="str">
            <v>Mantener y ejecutar los procesos de participación por parte de los diferentes estamentos.</v>
          </cell>
          <cell r="T21" t="str">
            <v>No</v>
          </cell>
          <cell r="U21" t="str">
            <v>Verificar la operatividad  de los diferentes órganos de participación. Se realiza mesa de seguimiento el día 23 de septiembre 2025.</v>
          </cell>
        </row>
        <row r="22">
          <cell r="A22">
            <v>2785</v>
          </cell>
          <cell r="B22"/>
          <cell r="C22" t="str">
            <v>KENNEDY</v>
          </cell>
          <cell r="D22" t="str">
            <v>PRIVADO</v>
          </cell>
          <cell r="E22" t="str">
            <v>EPBM</v>
          </cell>
          <cell r="F22" t="str">
            <v>COLEGIO_ALEXANDER_FLEMING</v>
          </cell>
          <cell r="G22" t="str">
            <v>COLEGIO ALEXANDER FLEMING</v>
          </cell>
          <cell r="H22" t="str">
            <v>Autoevaluación Institucional y Pruebas SABER 11</v>
          </cell>
          <cell r="I22" t="str">
            <v>EVALUACIÓN_CON_FINES_DE_MEJORAMIENTO.</v>
          </cell>
          <cell r="J22" t="str">
            <v>Verificar las condiciones en cuanto a: la estructura administrativa, condiciones de la planta física y medios educativos adecuados.</v>
          </cell>
          <cell r="K22" t="str">
            <v>GERMÁN EDUARDO TORO ROSERO</v>
          </cell>
          <cell r="L22" t="str">
            <v xml:space="preserve">DIANA ZULAY HUERTAS ORTÍZ </v>
          </cell>
          <cell r="M22">
            <v>45735</v>
          </cell>
          <cell r="N22">
            <v>45895</v>
          </cell>
          <cell r="O22">
            <v>45896</v>
          </cell>
          <cell r="P22" t="str">
            <v>Visitas de evaluación con fines de mejoramiento</v>
          </cell>
          <cell r="Q22" t="str">
            <v>COLEGIO ALEXANDER FLEMING.pdf</v>
          </cell>
          <cell r="R22" t="str">
            <v>El organigrama que se encuentra documentado en el PEI no tiene concordancia con los perfiles de la realidad institucional del colegio</v>
          </cell>
          <cell r="S22" t="str">
            <v>Ajustar el organigrama de la instrucción educativa de acuerdo a los perfiles que se encuentran en la institución y verificar que todos los perfiles incluidos en el organigrama estén documentados.</v>
          </cell>
          <cell r="T22" t="str">
            <v>Si</v>
          </cell>
          <cell r="U22" t="str">
            <v>Revisar el organigrama institucional y verificar que los perfiles descritos estén documentados. Se realiza mesa de seguimiento el día 23 de septiembre 2025.</v>
          </cell>
        </row>
        <row r="23">
          <cell r="A23">
            <v>994</v>
          </cell>
          <cell r="B23">
            <v>3</v>
          </cell>
          <cell r="C23" t="str">
            <v>KENNEDY</v>
          </cell>
          <cell r="D23" t="str">
            <v>PRIVADO</v>
          </cell>
          <cell r="E23" t="str">
            <v>EPBM</v>
          </cell>
          <cell r="F23" t="str">
            <v>COLEGIO_ANTARES</v>
          </cell>
          <cell r="G23" t="str">
            <v>COLEGIO ANTARES</v>
          </cell>
          <cell r="H23" t="str">
            <v>Autoevaluación Institucional y Pruebas SABER 11</v>
          </cell>
          <cell r="I23" t="str">
            <v>SEGUIMIENTO_Y_SUPERVISIÓN.</v>
          </cell>
          <cell r="J23" t="str">
            <v>Realizar visitas para verificar la información registrada sobre la autoevaluación institucional en el aplicativo EVI, a los establecimientos de educación formal no oficial.</v>
          </cell>
          <cell r="K23" t="str">
            <v>INGRID VIVIANA DÁVILA ÁVILA</v>
          </cell>
          <cell r="L23" t="str">
            <v>LUIS FERNANDO CÁRDENAS URAN</v>
          </cell>
          <cell r="M23">
            <v>45736</v>
          </cell>
          <cell r="N23">
            <v>45896</v>
          </cell>
          <cell r="O23">
            <v>45896</v>
          </cell>
          <cell r="P23" t="str">
            <v>Visitas de evaluación con fines de mejoramiento</v>
          </cell>
          <cell r="Q23" t="str">
            <v>COLEGIO ANTARES.pdf</v>
          </cell>
          <cell r="R23" t="str">
            <v>Se encontró coherencia entre la información registrada en el EVI y la realidad institucional en concordancia con los documentos aportados y la revisión de los mismos, al igual que la validación de los diferentes espacios con los que cuenta el colegio</v>
          </cell>
          <cell r="S23" t="str">
            <v>Continuar registrado la información en la autoevaluación institucional acorde a las capacidades y realidades de la institución</v>
          </cell>
          <cell r="T23" t="str">
            <v>No</v>
          </cell>
          <cell r="U23" t="str">
            <v xml:space="preserve">Validar las acciones planificadas por la institución educativa en su plan de mejora. </v>
          </cell>
        </row>
        <row r="24">
          <cell r="A24">
            <v>995</v>
          </cell>
          <cell r="B24"/>
          <cell r="C24" t="str">
            <v>KENNEDY</v>
          </cell>
          <cell r="D24" t="str">
            <v>PRIVADO</v>
          </cell>
          <cell r="E24" t="str">
            <v>EPBM</v>
          </cell>
          <cell r="F24" t="str">
            <v>COLEGIO_ANTARES</v>
          </cell>
          <cell r="G24" t="str">
            <v>COLEGIO ANTARES</v>
          </cell>
          <cell r="H24" t="str">
            <v>Autoevaluación Institucional y Pruebas SABER 11</v>
          </cell>
          <cell r="I24" t="str">
            <v>SEGUIMIENTO_Y_SUPERVISIÓN.</v>
          </cell>
          <cell r="J24" t="str">
            <v>Proponer estrategias en la formulación, verificar su elaboración y realizar seguimiento semestral al desarrollo de  las acciones establecidas en los planes de mejoramiento por pruebas SABER 11 de los establecimientos de educación formal.</v>
          </cell>
          <cell r="K24" t="str">
            <v>INGRID VIVIANA DÁVILA ÁVILA</v>
          </cell>
          <cell r="L24" t="str">
            <v>LUIS FERNANDO CÁRDENAS URAN</v>
          </cell>
          <cell r="M24">
            <v>45736</v>
          </cell>
          <cell r="N24">
            <v>45896</v>
          </cell>
          <cell r="O24">
            <v>45896</v>
          </cell>
          <cell r="P24" t="str">
            <v>Visitas de evaluación con fines de mejoramiento</v>
          </cell>
          <cell r="Q24" t="str">
            <v>COLEGIO ANTARES.pdf</v>
          </cell>
          <cell r="R24" t="str">
            <v>El colegio indica que ha implementado estrategias sin embargo no se encuentran documentadas y avaladas por el consejo directivo y académico</v>
          </cell>
          <cell r="S24" t="str">
            <v>Realizar análisis, formulación y plan de mejora en las pruebas saber 11,  las cuales deben estar avaladas por consejo directivo y académico</v>
          </cell>
          <cell r="T24" t="str">
            <v>Si</v>
          </cell>
          <cell r="U24" t="str">
            <v xml:space="preserve">Validar las acciones planificadas por la institución educativa en su plan de mejora  Se realiza mesa de seguimiento el día 23 de septiembre 2025. De acuerdo al acta se validará el 23 de enero el cumplimiento de los compromisos faltantes. </v>
          </cell>
        </row>
        <row r="25">
          <cell r="A25">
            <v>996</v>
          </cell>
          <cell r="B25"/>
          <cell r="C25" t="str">
            <v>KENNEDY</v>
          </cell>
          <cell r="D25" t="str">
            <v>PRIVADO</v>
          </cell>
          <cell r="E25" t="str">
            <v>EPBM</v>
          </cell>
          <cell r="F25" t="str">
            <v>COLEGIO_ANTARES</v>
          </cell>
          <cell r="G25" t="str">
            <v>COLEGIO ANTARES</v>
          </cell>
          <cell r="H25" t="str">
            <v>Autoevaluación Institucional y Pruebas SABER 11</v>
          </cell>
          <cell r="I25" t="str">
            <v>SEGUIMIENTO_Y_SUPERVISIÓN.</v>
          </cell>
          <cell r="J25" t="str">
            <v xml:space="preserve">Verificar la implementación por parte de los colegios, de acciones realizadas para la prevención y atención de las situaciones de convivencia en el entorno escolar, según lo establecido en la Directiva 01 de 2022 del MEN. </v>
          </cell>
          <cell r="K25" t="str">
            <v>INGRID VIVIANA DÁVILA ÁVILA</v>
          </cell>
          <cell r="L25" t="str">
            <v>LUIS FERNANDO CÁRDENAS URAN</v>
          </cell>
          <cell r="M25">
            <v>45736</v>
          </cell>
          <cell r="N25">
            <v>45896</v>
          </cell>
          <cell r="O25">
            <v>45896</v>
          </cell>
          <cell r="P25" t="str">
            <v>Visitas de evaluación con fines de mejoramiento</v>
          </cell>
          <cell r="Q25" t="str">
            <v>COLEGIO ANTARES.pdf</v>
          </cell>
          <cell r="R25" t="str">
            <v>El colegio realiza jornadas de promoción y prevención en temas de convivencia escolar</v>
          </cell>
          <cell r="S25" t="str">
            <v>Continuar con las actividades de promoción y prevención y activar los protocolos de convivencia escolar en caso que se requiera</v>
          </cell>
          <cell r="T25" t="str">
            <v>No</v>
          </cell>
          <cell r="U25" t="str">
            <v>Validar las acciones planificadas por la institución educativa en su plan de mejora</v>
          </cell>
        </row>
        <row r="26">
          <cell r="A26">
            <v>997</v>
          </cell>
          <cell r="B26"/>
          <cell r="C26" t="str">
            <v>KENNEDY</v>
          </cell>
          <cell r="D26" t="str">
            <v>PRIVADO</v>
          </cell>
          <cell r="E26" t="str">
            <v>EPBM</v>
          </cell>
          <cell r="F26" t="str">
            <v>COLEGIO_ANTARES</v>
          </cell>
          <cell r="G26" t="str">
            <v>COLEGIO ANTARES</v>
          </cell>
          <cell r="H26" t="str">
            <v>Autoevaluación Institucional y Pruebas SABER 11</v>
          </cell>
          <cell r="I26" t="str">
            <v>SEGUIMIENTO_Y_SUPERVISIÓN.</v>
          </cell>
          <cell r="J2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 t="str">
            <v>INGRID VIVIANA DÁVILA ÁVILA</v>
          </cell>
          <cell r="L26" t="str">
            <v>LUIS FERNANDO CÁRDENAS URAN</v>
          </cell>
          <cell r="M26">
            <v>45736</v>
          </cell>
          <cell r="N26">
            <v>45896</v>
          </cell>
          <cell r="O26">
            <v>45896</v>
          </cell>
          <cell r="P26" t="str">
            <v>Visitas de evaluación con fines de mejoramiento</v>
          </cell>
          <cell r="Q26" t="str">
            <v>COLEGIO ANTARES.pdf</v>
          </cell>
          <cell r="R26" t="str">
            <v>Cuenta con PIAR para los 5 estudiantes de inclusión que se encuentran matriculados</v>
          </cell>
          <cell r="S26" t="str">
            <v>Realizar los ajustes al PIAR en los casos que sean pertinentes</v>
          </cell>
          <cell r="T26" t="str">
            <v>No</v>
          </cell>
          <cell r="U26" t="str">
            <v>Validar las acciones planificadas por la institución educativa en su plan de mejora</v>
          </cell>
        </row>
        <row r="27">
          <cell r="A27">
            <v>998</v>
          </cell>
          <cell r="B27"/>
          <cell r="C27" t="str">
            <v>KENNEDY</v>
          </cell>
          <cell r="D27" t="str">
            <v>PRIVADO</v>
          </cell>
          <cell r="E27" t="str">
            <v>EPBM</v>
          </cell>
          <cell r="F27" t="str">
            <v>COLEGIO_ANTARES</v>
          </cell>
          <cell r="G27" t="str">
            <v>COLEGIO ANTARES</v>
          </cell>
          <cell r="H27" t="str">
            <v>Autoevaluación Institucional y Pruebas SABER 11</v>
          </cell>
          <cell r="I27" t="str">
            <v>EVALUACIÓN_CON_FINES_DE_MEJORAMIENTO.</v>
          </cell>
          <cell r="J2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 t="str">
            <v>INGRID VIVIANA DÁVILA ÁVILA</v>
          </cell>
          <cell r="L27" t="str">
            <v>LUIS FERNANDO CÁRDENAS URAN</v>
          </cell>
          <cell r="M27">
            <v>45736</v>
          </cell>
          <cell r="N27">
            <v>45896</v>
          </cell>
          <cell r="O27">
            <v>45896</v>
          </cell>
          <cell r="P27" t="str">
            <v>Visitas de evaluación con fines de mejoramiento</v>
          </cell>
          <cell r="Q27" t="str">
            <v>COLEGIO ANTARES.pdf</v>
          </cell>
          <cell r="R27" t="str">
            <v xml:space="preserve">No se encontró evidencia que permita verificar la construcción y actualización participativa del manual de convivencia </v>
          </cell>
          <cell r="S27" t="str">
            <v>Construir de forma participativa con la comunidad educativa la construcción del manual de convivencia y dejar evidencia de esta participación</v>
          </cell>
          <cell r="T27" t="str">
            <v>Si</v>
          </cell>
          <cell r="U27" t="str">
            <v xml:space="preserve">Validar las acciones planificadas por la institución educativa en su plan de mejora.  Se realiza mesa de seguimiento el día 23 de septiembre 2025. De acuerdo al acta se validará el 23 de enero el cumplimiento de los compromisos faltantes. </v>
          </cell>
        </row>
        <row r="28">
          <cell r="A28">
            <v>999</v>
          </cell>
          <cell r="B28"/>
          <cell r="C28" t="str">
            <v>KENNEDY</v>
          </cell>
          <cell r="D28" t="str">
            <v>PRIVADO</v>
          </cell>
          <cell r="E28" t="str">
            <v>EPBM</v>
          </cell>
          <cell r="F28" t="str">
            <v>COLEGIO_ANTARES</v>
          </cell>
          <cell r="G28" t="str">
            <v>COLEGIO ANTARES</v>
          </cell>
          <cell r="H28" t="str">
            <v>Autoevaluación Institucional y Pruebas SABER 11</v>
          </cell>
          <cell r="I28" t="str">
            <v>EVALUACIÓN_CON_FINES_DE_MEJORAMIENTO.</v>
          </cell>
          <cell r="J28" t="str">
            <v>Revisar la actualización, socialización e implementación del Sistema Institucional de Evaluación de Estudiantes - SIEE, en articulación con la actualización del PEI y la normatividad vigente.</v>
          </cell>
          <cell r="K28" t="str">
            <v>INGRID VIVIANA DÁVILA ÁVILA</v>
          </cell>
          <cell r="L28" t="str">
            <v>LUIS FERNANDO CÁRDENAS URAN</v>
          </cell>
          <cell r="M28">
            <v>45736</v>
          </cell>
          <cell r="N28">
            <v>45896</v>
          </cell>
          <cell r="O28">
            <v>45896</v>
          </cell>
          <cell r="P28" t="str">
            <v>Visitas de evaluación con fines de mejoramiento</v>
          </cell>
          <cell r="Q28" t="str">
            <v>COLEGIO ANTARES.pdf</v>
          </cell>
          <cell r="R28" t="str">
            <v>Se encontró que la información reportada en la autoevaluación institucional guarda relación con la realidad institucional.</v>
          </cell>
          <cell r="S28" t="str">
            <v>Continuar registrado la información en la autoevaluación institucional acorde a las capacidades y realidades de la institución</v>
          </cell>
          <cell r="T28" t="str">
            <v>No</v>
          </cell>
          <cell r="U28" t="str">
            <v>Validar las acciones planificadas por la institución educativa en su plan de mejora</v>
          </cell>
        </row>
        <row r="29">
          <cell r="A29">
            <v>1000</v>
          </cell>
          <cell r="B29"/>
          <cell r="C29" t="str">
            <v>KENNEDY</v>
          </cell>
          <cell r="D29" t="str">
            <v>PRIVADO</v>
          </cell>
          <cell r="E29" t="str">
            <v>EPBM</v>
          </cell>
          <cell r="F29" t="str">
            <v>COLEGIO_ANTARES</v>
          </cell>
          <cell r="G29" t="str">
            <v>COLEGIO ANTARES</v>
          </cell>
          <cell r="H29" t="str">
            <v>Autoevaluación Institucional y Pruebas SABER 11</v>
          </cell>
          <cell r="I29" t="str">
            <v>EVALUACIÓN_CON_FINES_DE_MEJORAMIENTO.</v>
          </cell>
          <cell r="J29" t="str">
            <v>Revisar el calendario escolar, jornada escolar, la intensidad horaria mínima anual en cada nivel y las modificaciones que se realicen al mismo, de acuerdo con lo previsto en la normatividad vigente.</v>
          </cell>
          <cell r="K29" t="str">
            <v>INGRID VIVIANA DÁVILA ÁVILA</v>
          </cell>
          <cell r="L29" t="str">
            <v>LUIS FERNANDO CÁRDENAS URAN</v>
          </cell>
          <cell r="M29">
            <v>45736</v>
          </cell>
          <cell r="N29">
            <v>45896</v>
          </cell>
          <cell r="O29">
            <v>45896</v>
          </cell>
          <cell r="P29" t="str">
            <v>Visitas de evaluación con fines de mejoramiento</v>
          </cell>
          <cell r="Q29" t="str">
            <v>COLEGIO ANTARES.pdf</v>
          </cell>
          <cell r="R29" t="str">
            <v>El colegio no radicado el calendario escolar en la dirección local al revisar la resolución rectoral se observa que para bachillerato se debe realizar ajuste para completar las horas mínimas</v>
          </cell>
          <cell r="S29" t="str">
            <v>Presentar calendario escolar para la próxima vigencia  en la Dirección Local de Educación</v>
          </cell>
          <cell r="T29" t="str">
            <v>Si</v>
          </cell>
          <cell r="U29" t="str">
            <v xml:space="preserve">Validar las acciones planificadas por la institución educativa en su plan de mejora.  Se realiza mesa de seguimiento el día 23 de septiembre 2025. De acuerdo al acta se validará el 23 de enero el cumplimiento de los compromisos faltantes. </v>
          </cell>
        </row>
        <row r="30">
          <cell r="A30">
            <v>1001</v>
          </cell>
          <cell r="B30"/>
          <cell r="C30" t="str">
            <v>KENNEDY</v>
          </cell>
          <cell r="D30" t="str">
            <v>PRIVADO</v>
          </cell>
          <cell r="E30" t="str">
            <v>EPBM</v>
          </cell>
          <cell r="F30" t="str">
            <v>COLEGIO_ANTARES</v>
          </cell>
          <cell r="G30" t="str">
            <v>COLEGIO ANTARES</v>
          </cell>
          <cell r="H30" t="str">
            <v>Autoevaluación Institucional y Pruebas SABER 11</v>
          </cell>
          <cell r="I30" t="str">
            <v>EVALUACIÓN_CON_FINES_DE_MEJORAMIENTO.</v>
          </cell>
          <cell r="J30" t="str">
            <v>Verificar el funcionamiento del Gobierno Escolar e instancias de participación con base en la información sobre conformación reportada por la institución educativa.</v>
          </cell>
          <cell r="K30" t="str">
            <v>INGRID VIVIANA DÁVILA ÁVILA</v>
          </cell>
          <cell r="L30" t="str">
            <v>LUIS FERNANDO CÁRDENAS URAN</v>
          </cell>
          <cell r="M30">
            <v>45736</v>
          </cell>
          <cell r="N30">
            <v>45896</v>
          </cell>
          <cell r="O30">
            <v>45896</v>
          </cell>
          <cell r="P30" t="str">
            <v>Visitas de evaluación con fines de mejoramiento</v>
          </cell>
          <cell r="Q30" t="str">
            <v>COLEGIO ANTARES.pdf</v>
          </cell>
          <cell r="R30" t="str">
            <v>El colegio realizo la conformación de su gobierno escolar sin embargo las actas no se encuentran se encuentra cargadas en el SAE</v>
          </cell>
          <cell r="S30" t="str">
            <v>Realizar el cargue de las actas en el SAE</v>
          </cell>
          <cell r="T30" t="str">
            <v>No</v>
          </cell>
          <cell r="U30" t="str">
            <v>Validar el cargue de las actas en el SAE</v>
          </cell>
        </row>
        <row r="31">
          <cell r="A31">
            <v>2786</v>
          </cell>
          <cell r="B31"/>
          <cell r="C31" t="str">
            <v>KENNEDY</v>
          </cell>
          <cell r="D31" t="str">
            <v>PRIVADO</v>
          </cell>
          <cell r="E31" t="str">
            <v>EPBM</v>
          </cell>
          <cell r="F31" t="str">
            <v>COLEGIO_ANTARES</v>
          </cell>
          <cell r="G31" t="str">
            <v>COLEGIO ANTARES</v>
          </cell>
          <cell r="H31" t="str">
            <v>Autoevaluación Institucional y Pruebas SABER 11</v>
          </cell>
          <cell r="I31" t="str">
            <v>EVALUACIÓN_CON_FINES_DE_MEJORAMIENTO.</v>
          </cell>
          <cell r="J31" t="str">
            <v>Verificar las condiciones en cuanto a: la estructura administrativa, condiciones de la planta física y medios educativos adecuados.</v>
          </cell>
          <cell r="K31" t="str">
            <v>INGRID VIVIANA DÁVILA ÁVILA</v>
          </cell>
          <cell r="L31" t="str">
            <v>LUIS FERNANDO CÁRDENAS URAN</v>
          </cell>
          <cell r="M31">
            <v>45736</v>
          </cell>
          <cell r="N31">
            <v>45896</v>
          </cell>
          <cell r="O31">
            <v>45896</v>
          </cell>
          <cell r="P31" t="str">
            <v>Visitas de evaluación con fines de mejoramiento</v>
          </cell>
          <cell r="Q31" t="str">
            <v>COLEGIO ANTARES.pdf</v>
          </cell>
          <cell r="R31" t="str">
            <v>La institución cuenta con las condiciones de estructura administrativa, planta física y medios educativos adecuados.</v>
          </cell>
          <cell r="S31" t="str">
            <v>Mantener  las condiciones de estructura administrativa, planta física y medios educativos adecuados, para atender a la población matriculada en la IE.</v>
          </cell>
          <cell r="T31" t="str">
            <v>No</v>
          </cell>
          <cell r="U31" t="str">
            <v>El ELIV, verificará que la institución continua prestando el servicio con las condiciones adecuadas de estructura administrativa, planta física y medios educativos.</v>
          </cell>
        </row>
        <row r="32">
          <cell r="A32">
            <v>1002</v>
          </cell>
          <cell r="B32">
            <v>4</v>
          </cell>
          <cell r="C32" t="str">
            <v>KENNEDY</v>
          </cell>
          <cell r="D32" t="str">
            <v>PRIVADO</v>
          </cell>
          <cell r="E32" t="str">
            <v>EPBM</v>
          </cell>
          <cell r="F32" t="str">
            <v>COLEGIO_ATENIENSE</v>
          </cell>
          <cell r="G32" t="str">
            <v>COLEGIO ATENIENSE</v>
          </cell>
          <cell r="H32" t="str">
            <v>Autoevaluación Institucional y Pruebas SABER 11</v>
          </cell>
          <cell r="I32" t="str">
            <v>SEGUIMIENTO_Y_SUPERVISIÓN.</v>
          </cell>
          <cell r="J32" t="str">
            <v>Proponer estrategias en la formulación, verificar su elaboración y realizar seguimiento semestral al desarrollo de  las acciones establecidas en los planes de mejoramiento por pruebas SABER 11 de los establecimientos de educación formal.</v>
          </cell>
          <cell r="K32" t="str">
            <v>INGRID VIVIANA DÁVILA ÁVILA</v>
          </cell>
          <cell r="L32" t="str">
            <v>LUIS FERNANDO CÁRDENAS URAN</v>
          </cell>
          <cell r="M32">
            <v>45741</v>
          </cell>
          <cell r="N32">
            <v>45745</v>
          </cell>
          <cell r="O32">
            <v>45745</v>
          </cell>
          <cell r="P32" t="str">
            <v>Visitas de evaluación con fines de mejoramiento</v>
          </cell>
          <cell r="Q32" t="str">
            <v>ACTA VISITA COLEGIO_ATENIENSE.pdf</v>
          </cell>
          <cell r="R32" t="str">
            <v xml:space="preserve">El Colegio no ha revisado los puntajes globales de las pruebas saber 11, por lo que no hay claridad en los aspectos sobre los cuales debe trabajar. </v>
          </cell>
          <cell r="S32" t="str">
            <v xml:space="preserve">El establecimiento educativo debe adelantar un análisis detallado de los resultados de las pruebas saber 11, lo que les permitirá definir las estrategias pedagógicas para subir la clasificación. </v>
          </cell>
          <cell r="T32" t="str">
            <v>Si</v>
          </cell>
          <cell r="U32" t="str">
            <v xml:space="preserve">Revisión de las acciones ejecutadas por la institución educativa con respecto al análisis realizado de las pruebas saber.  Se realiza mesa de seguimiento el día 30 de septiembre 2025. </v>
          </cell>
        </row>
        <row r="33">
          <cell r="A33">
            <v>1003</v>
          </cell>
          <cell r="B33"/>
          <cell r="C33" t="str">
            <v>KENNEDY</v>
          </cell>
          <cell r="D33" t="str">
            <v>PRIVADO</v>
          </cell>
          <cell r="E33" t="str">
            <v>EPBM</v>
          </cell>
          <cell r="F33" t="str">
            <v>COLEGIO_ATENIENSE</v>
          </cell>
          <cell r="G33" t="str">
            <v>COLEGIO ATENIENSE</v>
          </cell>
          <cell r="H33" t="str">
            <v>Autoevaluación Institucional y Pruebas SABER 11</v>
          </cell>
          <cell r="I33" t="str">
            <v>SEGUIMIENTO_Y_SUPERVISIÓN.</v>
          </cell>
          <cell r="J3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3" t="str">
            <v>INGRID VIVIANA DÁVILA ÁVILA</v>
          </cell>
          <cell r="L33" t="str">
            <v>LUIS FERNANDO CÁRDENAS URAN</v>
          </cell>
          <cell r="M33">
            <v>45741</v>
          </cell>
          <cell r="N33">
            <v>45745</v>
          </cell>
          <cell r="O33">
            <v>45745</v>
          </cell>
          <cell r="P33" t="str">
            <v>Visitas de evaluación con fines de mejoramiento</v>
          </cell>
          <cell r="Q33" t="str">
            <v>ACTA VISITA COLEGIO_ATENIENSE.pdf</v>
          </cell>
          <cell r="R33" t="str">
            <v xml:space="preserve">La institución educativa tiene 5 estudiantes con discapacidad y cada uno de ellos cuenta con el Plan Individual de Ajustes Razonables -PIAR y el respectivo seguimiento. </v>
          </cell>
          <cell r="S33" t="str">
            <v>Continuar adelantando seguimiento periódico (acorde con el sistema institucional de evaluación)  y actualización anual a los Planes Individuales de Ajustes Razonables -PIAR</v>
          </cell>
          <cell r="T33" t="str">
            <v>No</v>
          </cell>
          <cell r="U33" t="str">
            <v>Verificar que se sigan implementando los PIAR para los estudiantes nuevos que lleguen a la institución educativa</v>
          </cell>
        </row>
        <row r="34">
          <cell r="A34">
            <v>1004</v>
          </cell>
          <cell r="B34"/>
          <cell r="C34" t="str">
            <v>KENNEDY</v>
          </cell>
          <cell r="D34" t="str">
            <v>PRIVADO</v>
          </cell>
          <cell r="E34" t="str">
            <v>EPBM</v>
          </cell>
          <cell r="F34" t="str">
            <v>COLEGIO_ATENIENSE</v>
          </cell>
          <cell r="G34" t="str">
            <v>COLEGIO ATENIENSE</v>
          </cell>
          <cell r="H34" t="str">
            <v>Autoevaluación Institucional y Pruebas SABER 11</v>
          </cell>
          <cell r="I34" t="str">
            <v>EVALUACIÓN_CON_FINES_DE_MEJORAMIENTO.</v>
          </cell>
          <cell r="J3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4" t="str">
            <v>INGRID VIVIANA DÁVILA ÁVILA</v>
          </cell>
          <cell r="L34" t="str">
            <v>LUIS FERNANDO CÁRDENAS URAN</v>
          </cell>
          <cell r="M34">
            <v>45741</v>
          </cell>
          <cell r="N34">
            <v>45745</v>
          </cell>
          <cell r="O34">
            <v>45745</v>
          </cell>
          <cell r="P34" t="str">
            <v>Visitas de evaluación con fines de mejoramiento</v>
          </cell>
          <cell r="Q34" t="str">
            <v>ACTA VISITA COLEGIO_ATENIENSE.pdf</v>
          </cell>
          <cell r="R34" t="str">
            <v xml:space="preserve">La institución educativa cuenta con los soportes del proceso de elaboración, socialización e implementación del manual de convivencia. </v>
          </cell>
          <cell r="S34" t="str">
            <v xml:space="preserve">Mantener el proceso participativo para la actualización del manual de convivencia. </v>
          </cell>
          <cell r="T34" t="str">
            <v>No</v>
          </cell>
          <cell r="U34" t="str">
            <v>Validar que la institución continua construyendo el manual de convivencia en conjunto con la comunidad educativa</v>
          </cell>
        </row>
        <row r="35">
          <cell r="A35">
            <v>1005</v>
          </cell>
          <cell r="B35"/>
          <cell r="C35" t="str">
            <v>KENNEDY</v>
          </cell>
          <cell r="D35" t="str">
            <v>PRIVADO</v>
          </cell>
          <cell r="E35" t="str">
            <v>EPBM</v>
          </cell>
          <cell r="F35" t="str">
            <v>COLEGIO_ATENIENSE</v>
          </cell>
          <cell r="G35" t="str">
            <v>COLEGIO ATENIENSE</v>
          </cell>
          <cell r="H35" t="str">
            <v>Autoevaluación Institucional y Pruebas SABER 11</v>
          </cell>
          <cell r="I35" t="str">
            <v>EVALUACIÓN_CON_FINES_DE_MEJORAMIENTO.</v>
          </cell>
          <cell r="J35" t="str">
            <v>Verificar las condiciones en cuanto a: la estructura administrativa, condiciones de la planta física y medios educativos adecuados.</v>
          </cell>
          <cell r="K35" t="str">
            <v>ADRIANA VENEGAS VALERA</v>
          </cell>
          <cell r="L35" t="str">
            <v>LUIS FERNANDO CÁRDENAS URAN</v>
          </cell>
          <cell r="M35">
            <v>45741</v>
          </cell>
          <cell r="N35">
            <v>45745</v>
          </cell>
          <cell r="O35">
            <v>45745</v>
          </cell>
          <cell r="P35" t="str">
            <v>Visitas de evaluación con fines de mejoramiento</v>
          </cell>
          <cell r="Q35" t="str">
            <v>ACTA VISITA COLEGIO_ATENIENSE.pdf</v>
          </cell>
          <cell r="R35" t="str">
            <v xml:space="preserve">No se encontró que estén documentados los perfiles de cargo del personal relacionado en el organigrama. </v>
          </cell>
          <cell r="S35" t="str">
            <v xml:space="preserve">Elaborar el manual de funciones que permita identificar los perfiles de cargo según el organigrama. </v>
          </cell>
          <cell r="T35" t="str">
            <v>Si</v>
          </cell>
          <cell r="U35" t="str">
            <v xml:space="preserve">Revisar los perfiles de cargo y contrastarlos con el organigrama institucional.  Se realiza mesa de seguimiento el día 30 de septiembre 2025. </v>
          </cell>
        </row>
        <row r="36">
          <cell r="A36">
            <v>1006</v>
          </cell>
          <cell r="B36">
            <v>5</v>
          </cell>
          <cell r="C36" t="str">
            <v>KENNEDY</v>
          </cell>
          <cell r="D36" t="str">
            <v>PRIVADO</v>
          </cell>
          <cell r="E36" t="str">
            <v>Educación de Jóvenes y Adultos</v>
          </cell>
          <cell r="F36" t="str">
            <v>COLEGIO_BRITANICO</v>
          </cell>
          <cell r="G36" t="str">
            <v>COLEGIO BRITANICO</v>
          </cell>
          <cell r="H36" t="str">
            <v>Autoevaluación Institucional y Pruebas SABER 11</v>
          </cell>
          <cell r="I36" t="str">
            <v>SEGUIMIENTO_Y_SUPERVISIÓN.</v>
          </cell>
          <cell r="J36" t="str">
            <v>Realizar visitas para verificar la información registrada sobre la autoevaluación institucional en el aplicativo EVI, a los establecimientos de educación formal no oficial.</v>
          </cell>
          <cell r="K36" t="str">
            <v>GERMÁN EDUARDO TORO ROSERO</v>
          </cell>
          <cell r="L36" t="str">
            <v xml:space="preserve">ELIZABETH QUIRÓZ MARTÍNEZ </v>
          </cell>
          <cell r="M36">
            <v>45742</v>
          </cell>
          <cell r="N36">
            <v>45752</v>
          </cell>
          <cell r="O36">
            <v>45752</v>
          </cell>
          <cell r="P36" t="str">
            <v>Visitas de evaluación con fines de mejoramiento</v>
          </cell>
          <cell r="Q36" t="str">
            <v>ACTA VISITA COLEGIO BRITANICO.pdf</v>
          </cell>
          <cell r="R36" t="str">
            <v xml:space="preserve">EE no cuenta con espacios, dotación, ni convenios para los laboratorios de ciencias naturales (biología, física y química) biblioteca ni sala de sistemas, espacios que según la norma son necesarios para el desarrollo de aprendizaje de los estudiantes y que se encuentran reportados en el EVI. </v>
          </cell>
          <cell r="S36" t="str">
            <v>Adecuar espacios y dotación o establecer convenios para los laboratorios de ciencias naturales (biología, física y química) biblioteca, sala de sistemas.</v>
          </cell>
          <cell r="T36" t="str">
            <v>Si</v>
          </cell>
          <cell r="U36" t="str">
            <v xml:space="preserve">Seguimiento al cumplimiento del plan de mejoramiento. Se realiza mesa de seguimiento el día 19 de septiembre 2025. De acuerdo al acta se validará el 22 de enero el cumplimiento de los compromisos faltantes. </v>
          </cell>
        </row>
        <row r="37">
          <cell r="A37">
            <v>1007</v>
          </cell>
          <cell r="B37"/>
          <cell r="C37" t="str">
            <v>KENNEDY</v>
          </cell>
          <cell r="D37" t="str">
            <v>PRIVADO</v>
          </cell>
          <cell r="E37" t="str">
            <v>Educación de Jóvenes y Adultos</v>
          </cell>
          <cell r="F37" t="str">
            <v>COLEGIO_BRITANICO</v>
          </cell>
          <cell r="G37" t="str">
            <v>COLEGIO BRITANICO</v>
          </cell>
          <cell r="H37" t="str">
            <v>Autoevaluación Institucional y Pruebas SABER 11</v>
          </cell>
          <cell r="I37" t="str">
            <v>SEGUIMIENTO_Y_SUPERVISIÓN.</v>
          </cell>
          <cell r="J37" t="str">
            <v>Proponer estrategias en la formulación, verificar su elaboración y realizar seguimiento semestral al desarrollo de  las acciones establecidas en los planes de mejoramiento por pruebas SABER 11 de los establecimientos de educación formal.</v>
          </cell>
          <cell r="K37" t="str">
            <v>GERMÁN EDUARDO TORO ROSERO</v>
          </cell>
          <cell r="L37" t="str">
            <v xml:space="preserve">ELIZABETH QUIRÓZ MARTÍNEZ </v>
          </cell>
          <cell r="M37">
            <v>45742</v>
          </cell>
          <cell r="N37">
            <v>45752</v>
          </cell>
          <cell r="O37">
            <v>45752</v>
          </cell>
          <cell r="P37" t="str">
            <v>Visitas de evaluación con fines de mejoramiento</v>
          </cell>
          <cell r="Q37" t="str">
            <v>ACTA VISITA COLEGIO BRITANICO.pdf</v>
          </cell>
          <cell r="R37" t="str">
            <v>No se encuentran evidencias de la revisión y análisis de los últimos resultados de las pruebas SABER 11, que  formulen acciones específicas basadas en estos resultados, ni de actualización del currículo, plan de estudios y planes de aula.</v>
          </cell>
          <cell r="S37" t="str">
            <v>Realizar la revisión y análisis de los últimos resultados de las pruebas SABER 11, formulando acciones específicas basadas en estos resultados, actualizando el currículo, plan de estudios y planes de aula, teniendo en cuenta que las mismas sean avaladas por el Consejo Directivo y Consejo Académico.</v>
          </cell>
          <cell r="T37" t="str">
            <v>Si</v>
          </cell>
          <cell r="U37" t="str">
            <v xml:space="preserve">Seguimiento al cumplimiento del plan de mejoramiento. Se realiza mesa de seguimiento el día 19 de septiembre 2025. De acuerdo al acta se validará el 22 de enero el cumplimiento de los compromisos faltantes. </v>
          </cell>
        </row>
        <row r="38">
          <cell r="A38">
            <v>1008</v>
          </cell>
          <cell r="B38"/>
          <cell r="C38" t="str">
            <v>KENNEDY</v>
          </cell>
          <cell r="D38" t="str">
            <v>PRIVADO</v>
          </cell>
          <cell r="E38" t="str">
            <v>Educación de Jóvenes y Adultos</v>
          </cell>
          <cell r="F38" t="str">
            <v>COLEGIO_BRITANICO</v>
          </cell>
          <cell r="G38" t="str">
            <v>COLEGIO BRITANICO</v>
          </cell>
          <cell r="H38" t="str">
            <v>Autoevaluación Institucional y Pruebas SABER 11</v>
          </cell>
          <cell r="I38" t="str">
            <v>SEGUIMIENTO_Y_SUPERVISIÓN.</v>
          </cell>
          <cell r="J38" t="str">
            <v xml:space="preserve">Verificar la implementación por parte de los colegios, de acciones realizadas para la prevención y atención de las situaciones de convivencia en el entorno escolar, según lo establecido en la Directiva 01 de 2022 del MEN. </v>
          </cell>
          <cell r="K38" t="str">
            <v>GERMÁN EDUARDO TORO ROSERO</v>
          </cell>
          <cell r="L38" t="str">
            <v xml:space="preserve">ELIZABETH QUIRÓZ MARTÍNEZ </v>
          </cell>
          <cell r="M38">
            <v>45742</v>
          </cell>
          <cell r="N38">
            <v>45752</v>
          </cell>
          <cell r="O38">
            <v>45752</v>
          </cell>
          <cell r="P38" t="str">
            <v>Visitas de evaluación con fines de mejoramiento</v>
          </cell>
          <cell r="Q38" t="str">
            <v>ACTA VISITA COLEGIO BRITANICO.pdf</v>
          </cell>
          <cell r="R38" t="str">
            <v>EE no ha elaborado ni ejecutado un plan que contenga acciones de promoción, prevención, atención y seguimiento de situaciones convivenciales y disciplinarias  de acuerdo a lo establecido a la Ley 1620 y su Decreto reglamentario.</v>
          </cell>
          <cell r="S38" t="str">
            <v>Establecer el plan de acción de convivencia escolar que contenga acciones de promoción, prevención, atención y seguimiento de situaciones convivenciales de acuerdo a lo establecido a la Ley 1620 y su Decreto reglamentario.</v>
          </cell>
          <cell r="T38" t="str">
            <v>Si</v>
          </cell>
          <cell r="U38" t="str">
            <v xml:space="preserve">Seguimiento al cumplimiento del plan de mejoramiento. Se realiza mesa de seguimiento el día 19 de septiembre 2025. De acuerdo al acta se validará el 22 de enero el cumplimiento de los compromisos faltantes. </v>
          </cell>
        </row>
        <row r="39">
          <cell r="A39">
            <v>1009</v>
          </cell>
          <cell r="B39"/>
          <cell r="C39" t="str">
            <v>KENNEDY</v>
          </cell>
          <cell r="D39" t="str">
            <v>PRIVADO</v>
          </cell>
          <cell r="E39" t="str">
            <v>Educación de Jóvenes y Adultos</v>
          </cell>
          <cell r="F39" t="str">
            <v>COLEGIO_BRITANICO</v>
          </cell>
          <cell r="G39" t="str">
            <v>COLEGIO BRITANICO</v>
          </cell>
          <cell r="H39" t="str">
            <v>Autoevaluación Institucional y Pruebas SABER 11</v>
          </cell>
          <cell r="I39" t="str">
            <v>EVALUACIÓN_CON_FINES_DE_MEJORAMIENTO.</v>
          </cell>
          <cell r="J39" t="str">
            <v>Verificar el funcionamiento del Gobierno Escolar e instancias de participación con base en la información sobre conformación reportada por la institución educativa.</v>
          </cell>
          <cell r="K39" t="str">
            <v>GERMÁN EDUARDO TORO ROSERO</v>
          </cell>
          <cell r="L39" t="str">
            <v xml:space="preserve">ELIZABETH QUIRÓZ MARTÍNEZ </v>
          </cell>
          <cell r="M39">
            <v>45742</v>
          </cell>
          <cell r="N39">
            <v>45752</v>
          </cell>
          <cell r="O39">
            <v>45752</v>
          </cell>
          <cell r="P39" t="str">
            <v>Visitas de evaluación con fines de mejoramiento</v>
          </cell>
          <cell r="Q39" t="str">
            <v>ACTA VISITA COLEGIO BRITANICO.pdf</v>
          </cell>
          <cell r="R39" t="str">
            <v xml:space="preserve">EE, cuenta con evidencias de la conformación del gobierno escolar y demás instancias de participación, sin embargo no cuenta con evidencias del funcionamiento de las instancias de participación.  </v>
          </cell>
          <cell r="S39" t="str">
            <v>Operativizar las instancias de participación, dejando constancia de su funcionamiento y seguimiento.</v>
          </cell>
          <cell r="T39" t="str">
            <v>Si</v>
          </cell>
          <cell r="U39" t="str">
            <v xml:space="preserve">Seguimiento a la operatividad del gobierno escolar e instancias de participación de acuerdo al plan de mejoramiento presentado. Se realiza mesa de seguimiento el día 19 de septiembre 2025. De acuerdo al acta se validará el 22 de enero el cumplimiento de los compromisos faltantes. </v>
          </cell>
        </row>
        <row r="40">
          <cell r="A40">
            <v>1010</v>
          </cell>
          <cell r="B40"/>
          <cell r="C40" t="str">
            <v>KENNEDY</v>
          </cell>
          <cell r="D40" t="str">
            <v>PRIVADO</v>
          </cell>
          <cell r="E40" t="str">
            <v>Educación de Jóvenes y Adultos</v>
          </cell>
          <cell r="F40" t="str">
            <v>COLEGIO_CENTRO_DE_INSTRUCCION_SISTEMATIZADA_CEIS</v>
          </cell>
          <cell r="G40" t="str">
            <v>COLEGIO CENTRO DE INSTRUCCION SISTEMATIZADA - CEIS</v>
          </cell>
          <cell r="H40" t="str">
            <v>Autoevaluación Institucional y Pruebas SABER 11</v>
          </cell>
          <cell r="I40" t="str">
            <v>SEGUIMIENTO_Y_SUPERVISIÓN.</v>
          </cell>
          <cell r="J40" t="str">
            <v>Proponer estrategias en la formulación, verificar su elaboración y realizar seguimiento semestral al desarrollo de  las acciones establecidas en los planes de mejoramiento por pruebas SABER 11 de los establecimientos de educación formal.</v>
          </cell>
          <cell r="K40" t="str">
            <v>INGRID VIVIANA DÁVILA ÁVILA</v>
          </cell>
          <cell r="L40" t="str">
            <v>VIVANA PILAR BOHÓRQUEZ DÍAZ</v>
          </cell>
          <cell r="M40">
            <v>45743</v>
          </cell>
          <cell r="N40">
            <v>45752</v>
          </cell>
          <cell r="O40">
            <v>45752</v>
          </cell>
          <cell r="P40" t="str">
            <v>Visitas de evaluación con fines de mejoramiento</v>
          </cell>
          <cell r="Q40" t="str">
            <v>ACTA VISITA COLEGIO CENTRO DE INSTRUCCION SISTEMATIZADA CEIS.pdf</v>
          </cell>
          <cell r="R40" t="str">
            <v>La institución educativa no ha realizado el análisis de los últimos resultados de las pruebas saber 11 , tampoco ha establecido acciones tendientes a mejorar los resultados para la presente vigencia.</v>
          </cell>
          <cell r="S40" t="str">
            <v>Establecer un plan de mejoramiento que contemple estrategias académicas y pedagógicas que permita subir la clasificación en las pruebas de estado.</v>
          </cell>
          <cell r="T40" t="str">
            <v>Si</v>
          </cell>
          <cell r="U40" t="str">
            <v xml:space="preserve">Verificar el plan de acción de la institución educativa y la ejecución de las actividades propuestas. Se realiza mesa de seguimiento el día 22 de septiembre 2025. De acuerdo al acta se validará el 27 de febrero el cumplimiento de los compromisos faltantes. </v>
          </cell>
        </row>
        <row r="41">
          <cell r="A41">
            <v>1011</v>
          </cell>
          <cell r="B41"/>
          <cell r="C41" t="str">
            <v>KENNEDY</v>
          </cell>
          <cell r="D41" t="str">
            <v>PRIVADO</v>
          </cell>
          <cell r="E41" t="str">
            <v>Educación de Jóvenes y Adultos</v>
          </cell>
          <cell r="F41" t="str">
            <v>COLEGIO_CENTRO_DE_INSTRUCCION_SISTEMATIZADA_CEIS</v>
          </cell>
          <cell r="G41" t="str">
            <v>COLEGIO CENTRO DE INSTRUCCION SISTEMATIZADA - CEIS</v>
          </cell>
          <cell r="H41" t="str">
            <v>Autoevaluación Institucional y Pruebas SABER 11</v>
          </cell>
          <cell r="I41" t="str">
            <v>EVALUACIÓN_CON_FINES_DE_MEJORAMIENTO.</v>
          </cell>
          <cell r="J4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1" t="str">
            <v>INGRID VIVIANA DÁVILA ÁVILA</v>
          </cell>
          <cell r="L41" t="str">
            <v>VIVANA PILAR BOHÓRQUEZ DÍAZ</v>
          </cell>
          <cell r="M41">
            <v>45743</v>
          </cell>
          <cell r="N41">
            <v>45752</v>
          </cell>
          <cell r="O41">
            <v>45752</v>
          </cell>
          <cell r="P41" t="str">
            <v>Visitas de evaluación con fines de mejoramiento</v>
          </cell>
          <cell r="Q41" t="str">
            <v>ACTA VISITA COLEGIO CENTRO DE INSTRUCCION SISTEMATIZADA CEIS.pdf</v>
          </cell>
          <cell r="R41" t="str">
            <v>Se encontró que la institución educativa no documenta la participación de la comunidad educativa en la  construcción del manual de convivencia</v>
          </cell>
          <cell r="S41" t="str">
            <v>Garantizar la participación de la comunidad educativa en la construcción del manual de convivencia y socializar las actualizaciones respectivas junto con las evidencias que permitan validar las acciones tomadas</v>
          </cell>
          <cell r="T41" t="str">
            <v>Si</v>
          </cell>
          <cell r="U41" t="str">
            <v xml:space="preserve">Revisar las acciones realizadas por la institución educativa que permita verificar la aplicación de las acciones ejecutadas. Se realiza mesa de seguimiento el día 22 de septiembre 2025. De acuerdo al acta se validará el 27 de febrero el cumplimiento de los compromisos faltantes. </v>
          </cell>
        </row>
        <row r="42">
          <cell r="A42">
            <v>1012</v>
          </cell>
          <cell r="B42"/>
          <cell r="C42" t="str">
            <v>KENNEDY</v>
          </cell>
          <cell r="D42" t="str">
            <v>PRIVADO</v>
          </cell>
          <cell r="E42" t="str">
            <v>Educación de Jóvenes y Adultos</v>
          </cell>
          <cell r="F42" t="str">
            <v>COLEGIO_CENTRO_DE_INSTRUCCION_SISTEMATIZADA_CEIS</v>
          </cell>
          <cell r="G42" t="str">
            <v>COLEGIO CENTRO DE INSTRUCCION SISTEMATIZADA - CEIS</v>
          </cell>
          <cell r="H42" t="str">
            <v>Autoevaluación Institucional y Pruebas SABER 11</v>
          </cell>
          <cell r="I42" t="str">
            <v>EVALUACIÓN_CON_FINES_DE_MEJORAMIENTO.</v>
          </cell>
          <cell r="J42" t="str">
            <v>Verificar el funcionamiento del Gobierno Escolar e instancias de participación con base en la información sobre conformación reportada por la institución educativa.</v>
          </cell>
          <cell r="K42" t="str">
            <v>INGRID VIVIANA DÁVILA ÁVILA</v>
          </cell>
          <cell r="L42" t="str">
            <v>VIVANA PILAR BOHÓRQUEZ DÍAZ</v>
          </cell>
          <cell r="M42">
            <v>45743</v>
          </cell>
          <cell r="N42">
            <v>45752</v>
          </cell>
          <cell r="O42">
            <v>45752</v>
          </cell>
          <cell r="P42" t="str">
            <v>Visitas de evaluación con fines de mejoramiento</v>
          </cell>
          <cell r="Q42" t="str">
            <v>ACTA VISITA COLEGIO CENTRO DE INSTRUCCION SISTEMATIZADA CEIS.pdf</v>
          </cell>
          <cell r="R42" t="str">
            <v>Se evidenció la conformación del gobierno escolar, el cual contó con las instancias de participación de la comunidad educativa</v>
          </cell>
          <cell r="S42" t="str">
            <v>Mantener y ejecutar los procesos de participación por parte de los diferentes estamentos.</v>
          </cell>
          <cell r="T42" t="str">
            <v>No</v>
          </cell>
          <cell r="U42" t="str">
            <v xml:space="preserve">Verificar la operatividad  de los diferentes órganos de participación. Se realiza mesa de seguimiento el día 22 de septiembre 2025. De acuerdo al acta se validará el 27 de febrero el cumplimiento de los compromisos faltantes. </v>
          </cell>
        </row>
        <row r="43">
          <cell r="A43">
            <v>1013</v>
          </cell>
          <cell r="B43"/>
          <cell r="C43" t="str">
            <v>KENNEDY</v>
          </cell>
          <cell r="D43" t="str">
            <v>PRIVADO</v>
          </cell>
          <cell r="E43" t="str">
            <v>Educación de Jóvenes y Adultos</v>
          </cell>
          <cell r="F43" t="str">
            <v>COLEGIO_CENTRO_DE_INSTRUCCION_SISTEMATIZADA_CEIS</v>
          </cell>
          <cell r="G43" t="str">
            <v>COLEGIO CENTRO DE INSTRUCCION SISTEMATIZADA - CEIS</v>
          </cell>
          <cell r="H43" t="str">
            <v>Autoevaluación Institucional y Pruebas SABER 11</v>
          </cell>
          <cell r="I43" t="str">
            <v>EVALUACIÓN_CON_FINES_DE_MEJORAMIENTO.</v>
          </cell>
          <cell r="J43" t="str">
            <v>Verificar las condiciones en cuanto a: la estructura administrativa, condiciones de la planta física y medios educativos adecuados.</v>
          </cell>
          <cell r="K43" t="str">
            <v>INGRID VIVIANA DÁVILA ÁVILA</v>
          </cell>
          <cell r="L43" t="str">
            <v>VIVANA PILAR BOHÓRQUEZ DÍAZ</v>
          </cell>
          <cell r="M43">
            <v>45743</v>
          </cell>
          <cell r="N43">
            <v>45752</v>
          </cell>
          <cell r="O43">
            <v>45752</v>
          </cell>
          <cell r="P43" t="str">
            <v>Visitas de evaluación con fines de mejoramiento</v>
          </cell>
          <cell r="Q43" t="str">
            <v>ACTA VISITA COLEGIO CENTRO DE INSTRUCCION SISTEMATIZADA CEIS.pdf</v>
          </cell>
          <cell r="R43" t="str">
            <v>El organigrama que se encuentra documentado en el PEI no tiene concordancia con los perfiles de la realidad institucional del colegio</v>
          </cell>
          <cell r="S43" t="str">
            <v>Ajustar el organigrama de la instrucción educativa de acuerdo a los perfiles que se encuentran en la institución y verificar que todos los perfiles incluidos en el organigrama estén documentados.</v>
          </cell>
          <cell r="T43" t="str">
            <v>Si</v>
          </cell>
          <cell r="U43" t="str">
            <v xml:space="preserve">Revisar el organigrama institucional y verificar que los perfiles descritos estén documentados. Se realiza mesa de seguimiento el día 22 de septiembre 2025. De acuerdo al acta se validará el 27 de febrero el cumplimiento de los compromisos faltantes. </v>
          </cell>
        </row>
        <row r="44">
          <cell r="A44">
            <v>1014</v>
          </cell>
          <cell r="B44">
            <v>7</v>
          </cell>
          <cell r="C44" t="str">
            <v>KENNEDY</v>
          </cell>
          <cell r="D44" t="str">
            <v>PRIVADO</v>
          </cell>
          <cell r="E44" t="str">
            <v>Educación de Jóvenes y Adultos</v>
          </cell>
          <cell r="F44" t="str">
            <v>COLEGIO_CHARLES_BABBAGGE</v>
          </cell>
          <cell r="G44" t="str">
            <v>COLEGIO CHARLES BABBAGGE</v>
          </cell>
          <cell r="H44" t="str">
            <v>Autoevaluación Institucional y Pruebas SABER 11</v>
          </cell>
          <cell r="I44" t="str">
            <v>SEGUIMIENTO_Y_SUPERVISIÓN.</v>
          </cell>
          <cell r="J44" t="str">
            <v>Realizar visitas para verificar la información registrada sobre la autoevaluación institucional en el aplicativo EVI, a los establecimientos de educación formal no oficial.</v>
          </cell>
          <cell r="K44" t="str">
            <v>ADRIANA VENEGAS VALERA</v>
          </cell>
          <cell r="L44" t="str">
            <v xml:space="preserve">DIANA ZULAY HUERTAS ORTÍZ </v>
          </cell>
          <cell r="M44">
            <v>45748</v>
          </cell>
          <cell r="N44">
            <v>45748</v>
          </cell>
          <cell r="O44">
            <v>45748</v>
          </cell>
          <cell r="P44" t="str">
            <v>Visitas de evaluación con fines de legalización</v>
          </cell>
          <cell r="Q44" t="str">
            <v>ACTA VISITA COLEGIO_CHARLES_BABAGGE.pdf</v>
          </cell>
          <cell r="R44" t="str">
            <v>El EVI no está acorde con la realidad de la EE, debido a que no cuenta con los recursos, como libros, laboratorios y contratación de personal registrados.</v>
          </cell>
          <cell r="S44" t="str">
            <v xml:space="preserve">Actualizar la información registrada sobre la autoevaluación institucional en el aplicativo EVI. </v>
          </cell>
          <cell r="T44" t="str">
            <v>Si</v>
          </cell>
          <cell r="U44" t="str">
            <v xml:space="preserve">El  LIV verificará la información en el aplicativo.  Se realiza mesa de seguimiento el 15 de octubre. </v>
          </cell>
        </row>
        <row r="45">
          <cell r="A45">
            <v>1015</v>
          </cell>
          <cell r="B45"/>
          <cell r="C45" t="str">
            <v>KENNEDY</v>
          </cell>
          <cell r="D45" t="str">
            <v>PRIVADO</v>
          </cell>
          <cell r="E45" t="str">
            <v>Educación de Jóvenes y Adultos</v>
          </cell>
          <cell r="F45" t="str">
            <v>COLEGIO_CHARLES_BABBAGGE</v>
          </cell>
          <cell r="G45" t="str">
            <v>COLEGIO CHARLES BABBAGGE</v>
          </cell>
          <cell r="H45" t="str">
            <v>Autoevaluación Institucional y Pruebas SABER 11</v>
          </cell>
          <cell r="I45" t="str">
            <v>SEGUIMIENTO_Y_SUPERVISIÓN.</v>
          </cell>
          <cell r="J45" t="str">
            <v>Proponer estrategias en la formulación, verificar su elaboración y realizar seguimiento semestral al desarrollo de  las acciones establecidas en los planes de mejoramiento por pruebas SABER 11 de los establecimientos de educación formal.</v>
          </cell>
          <cell r="K45" t="str">
            <v>ADRIANA VENEGAS VALERA</v>
          </cell>
          <cell r="L45" t="str">
            <v xml:space="preserve">DIANA ZULAY HUERTAS ORTÍZ </v>
          </cell>
          <cell r="M45">
            <v>45748</v>
          </cell>
          <cell r="N45">
            <v>45748</v>
          </cell>
          <cell r="O45">
            <v>45748</v>
          </cell>
          <cell r="P45" t="str">
            <v>Visitas de evaluación con fines de legalización</v>
          </cell>
          <cell r="Q45" t="str">
            <v>ACTA VISITA COLEGIO_CHARLES_BABAGGE.pdf</v>
          </cell>
          <cell r="R45" t="str">
            <v xml:space="preserve">Se evidenció que la institución carece de un plan de mejoramiento sobre sus resultados de pruebas saber. </v>
          </cell>
          <cell r="S45" t="str">
            <v xml:space="preserve">EE debe adelantar un análisis detallado de los resultados de las pruebas saber 11, lo que les permitirá definir las estrategias pedagógicas para subir la clasificación. </v>
          </cell>
          <cell r="T45" t="str">
            <v>Si</v>
          </cell>
          <cell r="U45" t="str">
            <v xml:space="preserve">Revisión de las acciones ejecutadas por la EE con respecto al análisis realizado de las pruebas saber, por parte del ELIV.  Se realiza mesa de seguimiento el 15 de octubre.  </v>
          </cell>
        </row>
        <row r="46">
          <cell r="A46">
            <v>1016</v>
          </cell>
          <cell r="B46"/>
          <cell r="C46" t="str">
            <v>KENNEDY</v>
          </cell>
          <cell r="D46" t="str">
            <v>PRIVADO</v>
          </cell>
          <cell r="E46" t="str">
            <v>Educación de Jóvenes y Adultos</v>
          </cell>
          <cell r="F46" t="str">
            <v>COLEGIO_CHARLES_BABBAGGE</v>
          </cell>
          <cell r="G46" t="str">
            <v>COLEGIO CHARLES BABBAGGE</v>
          </cell>
          <cell r="H46" t="str">
            <v>Autoevaluación Institucional y Pruebas SABER 11</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ADRIANA VENEGAS VALERA</v>
          </cell>
          <cell r="L46" t="str">
            <v xml:space="preserve">DIANA ZULAY HUERTAS ORTÍZ </v>
          </cell>
          <cell r="M46">
            <v>45748</v>
          </cell>
          <cell r="N46">
            <v>45748</v>
          </cell>
          <cell r="O46">
            <v>45748</v>
          </cell>
          <cell r="P46" t="str">
            <v>Visitas de evaluación con fines de legalización</v>
          </cell>
          <cell r="Q46" t="str">
            <v>ACTA VISITA COLEGIO_CHARLES_BABAGGE.pdf</v>
          </cell>
          <cell r="R46" t="str">
            <v xml:space="preserve">La IE no presenta evidencia de la implementación de acciones realizadas para la prevención y atención de situaciones de convivencia escolar. </v>
          </cell>
          <cell r="S46" t="str">
            <v xml:space="preserve">Documentar la acciones de prevención  de situaciones de convivencia escolar. </v>
          </cell>
          <cell r="T46" t="str">
            <v>Si</v>
          </cell>
          <cell r="U46" t="str">
            <v xml:space="preserve">Revisión por parte del ELIV, de evidencias de la prevención e implementación de situaciones de convivencia escolar.  Se realiza mesa de seguimiento el 15 de octubre. </v>
          </cell>
        </row>
        <row r="47">
          <cell r="A47">
            <v>1017</v>
          </cell>
          <cell r="B47"/>
          <cell r="C47" t="str">
            <v>KENNEDY</v>
          </cell>
          <cell r="D47" t="str">
            <v>PRIVADO</v>
          </cell>
          <cell r="E47" t="str">
            <v>Educación de Jóvenes y Adultos</v>
          </cell>
          <cell r="F47" t="str">
            <v>COLEGIO_CHARLES_BABBAGGE</v>
          </cell>
          <cell r="G47" t="str">
            <v>COLEGIO CHARLES BABBAGGE</v>
          </cell>
          <cell r="H47" t="str">
            <v>Autoevaluación Institucional y Pruebas SABER 11</v>
          </cell>
          <cell r="I47" t="str">
            <v>EVALUACIÓN_CON_FINES_DE_MEJORAMIENTO.</v>
          </cell>
          <cell r="J47" t="str">
            <v>Revisar el calendario escolar, jornada escolar, la intensidad horaria mínima anual en cada nivel y las modificaciones que se realicen al mismo, de acuerdo con lo previsto en la normatividad vigente.</v>
          </cell>
          <cell r="K47" t="str">
            <v>ADRIANA VENEGAS VALERA</v>
          </cell>
          <cell r="L47" t="str">
            <v xml:space="preserve">DIANA ZULAY HUERTAS ORTÍZ </v>
          </cell>
          <cell r="M47">
            <v>45748</v>
          </cell>
          <cell r="N47">
            <v>45748</v>
          </cell>
          <cell r="O47">
            <v>45748</v>
          </cell>
          <cell r="P47" t="str">
            <v>Visitas de evaluación con fines de legalización</v>
          </cell>
          <cell r="Q47" t="str">
            <v>ACTA VISITA COLEGIO_CHARLES_BABAGGE.pdf</v>
          </cell>
          <cell r="R47" t="str">
            <v>Se evidencia que cumple con la intensidad horaria mínima anual.</v>
          </cell>
          <cell r="S47" t="str">
            <v>Implementar el horario socializado y  revisado por el ELIV.</v>
          </cell>
          <cell r="T47" t="str">
            <v>No</v>
          </cell>
          <cell r="U47" t="str">
            <v>Verificar que el calendario escolar sea socializado con la comunidad educativa.</v>
          </cell>
        </row>
        <row r="48">
          <cell r="A48">
            <v>1018</v>
          </cell>
          <cell r="B48"/>
          <cell r="C48" t="str">
            <v>KENNEDY</v>
          </cell>
          <cell r="D48" t="str">
            <v>PRIVADO</v>
          </cell>
          <cell r="E48" t="str">
            <v>Educación de Jóvenes y Adultos</v>
          </cell>
          <cell r="F48" t="str">
            <v>COLEGIO_CHARLES_BABBAGGE</v>
          </cell>
          <cell r="G48" t="str">
            <v>COLEGIO CHARLES BABBAGGE</v>
          </cell>
          <cell r="H48" t="str">
            <v>Autoevaluación Institucional y Pruebas SABER 11</v>
          </cell>
          <cell r="I48" t="str">
            <v>EVALUACIÓN_CON_FINES_DE_MEJORAMIENTO.</v>
          </cell>
          <cell r="J48" t="str">
            <v>Verificar las condiciones en cuanto a: la estructura administrativa, condiciones de la planta física y medios educativos adecuados.</v>
          </cell>
          <cell r="K48" t="str">
            <v>ADRIANA VENEGAS VALERA</v>
          </cell>
          <cell r="L48" t="str">
            <v xml:space="preserve">DIANA ZULAY HUERTAS ORTÍZ </v>
          </cell>
          <cell r="M48">
            <v>45748</v>
          </cell>
          <cell r="N48">
            <v>45748</v>
          </cell>
          <cell r="O48">
            <v>45748</v>
          </cell>
          <cell r="P48" t="str">
            <v>Visitas de evaluación con fines de legalización</v>
          </cell>
          <cell r="Q48" t="str">
            <v>ACTA VISITA COLEGIO_CHARLES_BABAGGE.pdf</v>
          </cell>
          <cell r="R48" t="str">
            <v>La IE carece de una  estructura administrativa, que le permita una adecuada gestión. Cuenta con las condiciones de planta física y medios educativos adecuados para atender a la población matriculada.</v>
          </cell>
          <cell r="S48" t="str">
            <v>Adecuar la estructura administrativa que permita el debido desarrollo de la EE   conforme  a la población matriculada</v>
          </cell>
          <cell r="T48" t="str">
            <v>Si</v>
          </cell>
          <cell r="U48" t="str">
            <v xml:space="preserve">ELIV realizará seguimiento al cumplimiento de este compromiso.  Se realiza mesa de seguimiento el 15 de octubre. </v>
          </cell>
        </row>
        <row r="49">
          <cell r="A49">
            <v>1019</v>
          </cell>
          <cell r="B49"/>
          <cell r="C49" t="str">
            <v>KENNEDY</v>
          </cell>
          <cell r="D49" t="str">
            <v>PRIVADO</v>
          </cell>
          <cell r="E49" t="str">
            <v>EPBM</v>
          </cell>
          <cell r="F49" t="str">
            <v>COLEGIO_CIUDAD_DE_CALI</v>
          </cell>
          <cell r="G49" t="str">
            <v>COLEGIO CIUDAD DE CALI</v>
          </cell>
          <cell r="H49" t="str">
            <v>Autoevaluación Institucional y Pruebas SABER 11</v>
          </cell>
          <cell r="I49" t="str">
            <v>SEGUIMIENTO_Y_SUPERVISIÓN.</v>
          </cell>
          <cell r="J49" t="str">
            <v>Proponer estrategias en la formulación, verificar su elaboración y realizar seguimiento semestral al desarrollo de  las acciones establecidas en los planes de mejoramiento por pruebas SABER 11 de los establecimientos de educación formal.</v>
          </cell>
          <cell r="K49" t="str">
            <v>GERMÁN EDUARDO TORO ROSERO</v>
          </cell>
          <cell r="L49" t="str">
            <v>LUIS FERNANDO CÁRDENAS URAN</v>
          </cell>
          <cell r="M49">
            <v>45749</v>
          </cell>
          <cell r="N49">
            <v>45749</v>
          </cell>
          <cell r="O49">
            <v>45749</v>
          </cell>
          <cell r="P49" t="str">
            <v>Visitas de evaluación con fines de mejoramiento</v>
          </cell>
          <cell r="Q49" t="str">
            <v>ACTA VISITA CIUDAD DE CALI.pdf</v>
          </cell>
          <cell r="R49" t="str">
            <v>Se evidenció que a la institución le falta documentar el análisis  y revisión de los últimos resultados  de las pruebas saber 11 y formular acciones específicas basadas en los resultados  que incluya a la población con discapacidad en caso de que exista.</v>
          </cell>
          <cell r="S49" t="str">
            <v xml:space="preserve">EE debe adelantar un análisis detallado de los resultados de las pruebas saber 11, lo que les permitirá definir las estrategias pedagógicas para subir la clasificación. </v>
          </cell>
          <cell r="T49" t="str">
            <v>Si</v>
          </cell>
          <cell r="U49" t="str">
            <v xml:space="preserve">Revisión de las acciones ejecutadas por la EE con respecto al análisis realizado de las pruebas saber, por parte del ELIV.  se realiza mesa de seguimiento el día 23 de septiembre 2025. </v>
          </cell>
        </row>
        <row r="50">
          <cell r="A50">
            <v>1020</v>
          </cell>
          <cell r="B50"/>
          <cell r="C50" t="str">
            <v>KENNEDY</v>
          </cell>
          <cell r="D50" t="str">
            <v>PRIVADO</v>
          </cell>
          <cell r="E50" t="str">
            <v>EPBM</v>
          </cell>
          <cell r="F50" t="str">
            <v>COLEGIO_CIUDAD_DE_CALI</v>
          </cell>
          <cell r="G50" t="str">
            <v>COLEGIO CIUDAD DE CALI</v>
          </cell>
          <cell r="H50" t="str">
            <v>Autoevaluación Institucional y Pruebas SABER 11</v>
          </cell>
          <cell r="I50" t="str">
            <v>SEGUIMIENTO_Y_SUPERVISIÓN.</v>
          </cell>
          <cell r="J5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0" t="str">
            <v>GERMÁN EDUARDO TORO ROSERO</v>
          </cell>
          <cell r="L50" t="str">
            <v>LUIS FERNANDO CÁRDENAS URAN</v>
          </cell>
          <cell r="M50">
            <v>45749</v>
          </cell>
          <cell r="N50">
            <v>45749</v>
          </cell>
          <cell r="O50">
            <v>45749</v>
          </cell>
          <cell r="P50" t="str">
            <v>Visitas de evaluación con fines de mejoramiento</v>
          </cell>
          <cell r="Q50" t="str">
            <v>ACTA VISITA CIUDAD DE CALI.pdf</v>
          </cell>
          <cell r="R50" t="str">
            <v>La EE no presentó PIAR para el estudiante de grado 11 con discapacidad física D.T</v>
          </cell>
          <cell r="S50" t="str">
            <v>La institución debe elaborar PIAR para el estudiante de grado 11 con discapacidad física D.T</v>
          </cell>
          <cell r="T50" t="str">
            <v>Si</v>
          </cell>
          <cell r="U50" t="str">
            <v xml:space="preserve">Revisión de las acciones ejecutadas por la EE con respecto al PIAR del estudiante de grado 11 , por parte del ELIV.Se realiza mesa de seguimiento el día 23 de septiembre 2025. </v>
          </cell>
        </row>
        <row r="51">
          <cell r="A51">
            <v>1021</v>
          </cell>
          <cell r="B51"/>
          <cell r="C51" t="str">
            <v>KENNEDY</v>
          </cell>
          <cell r="D51" t="str">
            <v>PRIVADO</v>
          </cell>
          <cell r="E51" t="str">
            <v>EPBM</v>
          </cell>
          <cell r="F51" t="str">
            <v>COLEGIO_CIUDAD_DE_CALI</v>
          </cell>
          <cell r="G51" t="str">
            <v>COLEGIO CIUDAD DE CALI</v>
          </cell>
          <cell r="H51" t="str">
            <v>Autoevaluación Institucional y Pruebas SABER 11</v>
          </cell>
          <cell r="I51" t="str">
            <v>EVALUACIÓN_CON_FINES_DE_MEJORAMIENTO.</v>
          </cell>
          <cell r="J5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1" t="str">
            <v>GERMÁN EDUARDO TORO ROSERO</v>
          </cell>
          <cell r="L51" t="str">
            <v>LUIS FERNANDO CÁRDENAS URAN</v>
          </cell>
          <cell r="M51">
            <v>45749</v>
          </cell>
          <cell r="N51">
            <v>45749</v>
          </cell>
          <cell r="O51">
            <v>45749</v>
          </cell>
          <cell r="P51" t="str">
            <v>Visitas de evaluación con fines de mejoramiento</v>
          </cell>
          <cell r="Q51" t="str">
            <v>ACTA VISITA CIUDAD DE CALI.pdf</v>
          </cell>
          <cell r="R51" t="str">
            <v>El manual de convivencia está conformado de acuerdo a lo establecido en la normatividad vigente</v>
          </cell>
          <cell r="S51" t="str">
            <v>La institución adoptó  en su manual de convivencia  los protocolos de atención integral de la Secretaria de Educación.</v>
          </cell>
          <cell r="T51" t="str">
            <v>No</v>
          </cell>
          <cell r="U51" t="str">
            <v>Con relación a este ítem, por parte del ELIV se le informa a la EE que ante cualquier inquietud con referencia al manual de convivencia estará atento a brindar la orientación que requiera.</v>
          </cell>
        </row>
        <row r="52">
          <cell r="A52">
            <v>1022</v>
          </cell>
          <cell r="B52"/>
          <cell r="C52" t="str">
            <v>KENNEDY</v>
          </cell>
          <cell r="D52" t="str">
            <v>PRIVADO</v>
          </cell>
          <cell r="E52" t="str">
            <v>EPBM</v>
          </cell>
          <cell r="F52" t="str">
            <v>COLEGIO_CIUDAD_DE_CALI</v>
          </cell>
          <cell r="G52" t="str">
            <v>COLEGIO CIUDAD DE CALI</v>
          </cell>
          <cell r="H52" t="str">
            <v>Autoevaluación Institucional y Pruebas SABER 11</v>
          </cell>
          <cell r="I52" t="str">
            <v>EVALUACIÓN_CON_FINES_DE_MEJORAMIENTO.</v>
          </cell>
          <cell r="J52" t="str">
            <v>Revisar el calendario escolar, jornada escolar, la intensidad horaria mínima anual en cada nivel y las modificaciones que se realicen al mismo, de acuerdo con lo previsto en la normatividad vigente.</v>
          </cell>
          <cell r="K52" t="str">
            <v>GERMÁN EDUARDO TORO ROSERO</v>
          </cell>
          <cell r="L52" t="str">
            <v>LUIS FERNANDO CÁRDENAS URAN</v>
          </cell>
          <cell r="M52">
            <v>45749</v>
          </cell>
          <cell r="N52">
            <v>45749</v>
          </cell>
          <cell r="O52">
            <v>45749</v>
          </cell>
          <cell r="P52" t="str">
            <v>Visitas de evaluación con fines de mejoramiento</v>
          </cell>
          <cell r="Q52" t="str">
            <v>ACTA VISITA CIUDAD DE CALI.pdf</v>
          </cell>
          <cell r="R52" t="str">
            <v>Se evidencia que cumple con la intensidad horaria mínima anual.</v>
          </cell>
          <cell r="S52" t="str">
            <v>Implementar el horario socializado y  revisado por el ELIV.</v>
          </cell>
          <cell r="T52" t="str">
            <v>No</v>
          </cell>
          <cell r="U52" t="str">
            <v>Verificar que el calendario escolar sea socializado con la comunidad educativa.</v>
          </cell>
        </row>
        <row r="53">
          <cell r="A53">
            <v>1023</v>
          </cell>
          <cell r="B53"/>
          <cell r="C53" t="str">
            <v>KENNEDY</v>
          </cell>
          <cell r="D53" t="str">
            <v>PRIVADO</v>
          </cell>
          <cell r="E53" t="str">
            <v>EPBM</v>
          </cell>
          <cell r="F53" t="str">
            <v>COLEGIO_CIUDAD_DE_CALI</v>
          </cell>
          <cell r="G53" t="str">
            <v>COLEGIO CIUDAD DE CALI</v>
          </cell>
          <cell r="H53" t="str">
            <v>Autoevaluación Institucional y Pruebas SABER 11</v>
          </cell>
          <cell r="I53" t="str">
            <v>EVALUACIÓN_CON_FINES_DE_MEJORAMIENTO.</v>
          </cell>
          <cell r="J53" t="str">
            <v>Verificar el funcionamiento del Gobierno Escolar e instancias de participación con base en la información sobre conformación reportada por la institución educativa.</v>
          </cell>
          <cell r="K53" t="str">
            <v>GERMÁN EDUARDO TORO ROSERO</v>
          </cell>
          <cell r="L53" t="str">
            <v>LUIS FERNANDO CÁRDENAS URAN</v>
          </cell>
          <cell r="M53">
            <v>45749</v>
          </cell>
          <cell r="N53">
            <v>45749</v>
          </cell>
          <cell r="O53">
            <v>45749</v>
          </cell>
          <cell r="P53" t="str">
            <v>Visitas de evaluación con fines de mejoramiento</v>
          </cell>
          <cell r="Q53" t="str">
            <v>ACTA VISITA CIUDAD DE CALI.pdf</v>
          </cell>
          <cell r="R53" t="str">
            <v>La institución educativa presenta actas de conformación y funcionamiento, evidenciándose todo lo relacionado con el proceso de convocatoria y elección del gobierno escolar y demás instancias de participación. Las actas están subidas al SAE</v>
          </cell>
          <cell r="S53" t="str">
            <v>Seguir garantizado la aplicación del Debido proceso en todas las instancias de la comunidad educativa  en todas sus actuaciones.</v>
          </cell>
          <cell r="T53" t="str">
            <v>No</v>
          </cell>
          <cell r="U53" t="str">
            <v>Verificar que la información subida en el SAE se encuentre completa y acorde a lo solicitado.</v>
          </cell>
        </row>
        <row r="54">
          <cell r="A54">
            <v>1024</v>
          </cell>
          <cell r="B54"/>
          <cell r="C54" t="str">
            <v>KENNEDY</v>
          </cell>
          <cell r="D54" t="str">
            <v>PRIVADO</v>
          </cell>
          <cell r="E54" t="str">
            <v>EPBM</v>
          </cell>
          <cell r="F54" t="str">
            <v>COLEGIO_CIUDAD_DE_CALI</v>
          </cell>
          <cell r="G54" t="str">
            <v>COLEGIO CIUDAD DE CALI</v>
          </cell>
          <cell r="H54" t="str">
            <v>Autoevaluación Institucional y Pruebas SABER 11</v>
          </cell>
          <cell r="I54" t="str">
            <v>EVALUACIÓN_CON_FINES_DE_MEJORAMIENTO.</v>
          </cell>
          <cell r="J54" t="str">
            <v>Verificar las condiciones en cuanto a: la estructura administrativa, condiciones de la planta física y medios educativos adecuados.</v>
          </cell>
          <cell r="K54" t="str">
            <v>GERMÁN EDUARDO TORO ROSERO</v>
          </cell>
          <cell r="L54" t="str">
            <v>LUIS FERNANDO CÁRDENAS URAN</v>
          </cell>
          <cell r="M54">
            <v>45749</v>
          </cell>
          <cell r="N54">
            <v>45749</v>
          </cell>
          <cell r="O54">
            <v>45749</v>
          </cell>
          <cell r="P54" t="str">
            <v>Visitas de evaluación con fines de mejoramiento</v>
          </cell>
          <cell r="Q54" t="str">
            <v>ACTA VISITA CIUDAD DE CALI.pdf</v>
          </cell>
          <cell r="R54" t="str">
            <v>La EE cuenta con laboratorio de ciencias naturales, robótica, dos salas de sistemas, biblioteca, sala de danzas, sala de profesores ,enfermería, oficinas administrativas, zona de archivo y dos aulas múltiples. Todos los salones  están dotados de televisor ,internet, tablero acrílico y el inmobiliario se encuentra en buen estado. Pero no tiene acondiciona la infraestructura  física  para atender población con alguna discapacidad .</v>
          </cell>
          <cell r="S54" t="str">
            <v xml:space="preserve">Seguir realizando el mantenimiento preventivo de la estructura administrativa, condiciones de la planta física y medios educativos . Acondicionar la infraestructura  física con el propósito  de atender la población con alguna discapacidad </v>
          </cell>
          <cell r="T54" t="str">
            <v>Si</v>
          </cell>
          <cell r="U54" t="str">
            <v>Revisión de las acciones ejecutadas por la EE con respecto mantenimiento preventivo de estructura administrativa, y condiciones de la planta física y medios educativos . Revisión de las acciones ejecutadas por la EE con respecto al acondicionamiento de  la infraestructura física con el propósito  de atender la población con alguna discapacidad por parte del ELIV según el cronograma de ejecución indicado por la institución.</v>
          </cell>
        </row>
        <row r="55">
          <cell r="A55">
            <v>1025</v>
          </cell>
          <cell r="B55">
            <v>9</v>
          </cell>
          <cell r="C55" t="str">
            <v>KENNEDY</v>
          </cell>
          <cell r="D55" t="str">
            <v>PRIVADO</v>
          </cell>
          <cell r="E55" t="str">
            <v>EPBM</v>
          </cell>
          <cell r="F55" t="str">
            <v>COLEGIO_CIUDAD_DE_FOMEQUE</v>
          </cell>
          <cell r="G55" t="str">
            <v>COLEGIO CIUDAD DE FOMEQUE</v>
          </cell>
          <cell r="H55" t="str">
            <v>Autoevaluación Institucional y Pruebas SABER 11</v>
          </cell>
          <cell r="I55" t="str">
            <v>SEGUIMIENTO_Y_SUPERVISIÓN.</v>
          </cell>
          <cell r="J55" t="str">
            <v>Realizar visitas para verificar la información registrada sobre la autoevaluación institucional en el aplicativo EVI, a los establecimientos de educación formal no oficial.</v>
          </cell>
          <cell r="K55" t="str">
            <v>LUCY GONZÁLEZ LERMA</v>
          </cell>
          <cell r="L55" t="str">
            <v>VIVANA PILAR BOHÓRQUEZ DÍAZ</v>
          </cell>
          <cell r="M55">
            <v>45750</v>
          </cell>
          <cell r="N55">
            <v>45750</v>
          </cell>
          <cell r="O55">
            <v>45750</v>
          </cell>
          <cell r="P55" t="str">
            <v>Visitas de evaluación con fines de mejoramiento</v>
          </cell>
          <cell r="Q55" t="str">
            <v>ACTA VISITA COLEGIO CIUDAD DE FOMEQUE.pdf</v>
          </cell>
          <cell r="R55" t="str">
            <v>El colegio cuenta con reporte de autoevaluación 2024, se observó publicación tarifas en oficina y puerta principal.  El contrato de prestación de servicios cuenta con una  cláusula que  refiere la acción judicial que se desencadena con la morosidad.</v>
          </cell>
          <cell r="S55" t="str">
            <v>Instalar en algunos espacios la señalización requerida, extintores y planos de evacuación. (De acuerdo con lo informado las instalaciones fueron pintadas y se retiraron). Avanzar en adecuaciones para las niñas y los niños con discapacidad o alteraciones del desarrollo.</v>
          </cell>
          <cell r="T55" t="str">
            <v>Si</v>
          </cell>
          <cell r="U55" t="str">
            <v>Seguimiento al cumplimiento del plan de mejoramiento. Se realiza visita de seguimiento el 30 de septiembre 2025.</v>
          </cell>
        </row>
        <row r="56">
          <cell r="A56">
            <v>1026</v>
          </cell>
          <cell r="B56"/>
          <cell r="C56" t="str">
            <v>KENNEDY</v>
          </cell>
          <cell r="D56" t="str">
            <v>PRIVADO</v>
          </cell>
          <cell r="E56" t="str">
            <v>EPBM</v>
          </cell>
          <cell r="F56" t="str">
            <v>COLEGIO_CIUDAD_DE_FOMEQUE</v>
          </cell>
          <cell r="G56" t="str">
            <v>COLEGIO CIUDAD DE FOMEQUE</v>
          </cell>
          <cell r="H56" t="str">
            <v>Autoevaluación Institucional y Pruebas SABER 11</v>
          </cell>
          <cell r="I56" t="str">
            <v>SEGUIMIENTO_Y_SUPERVISIÓN.</v>
          </cell>
          <cell r="J56" t="str">
            <v>Proponer estrategias en la formulación, verificar su elaboración y realizar seguimiento semestral al desarrollo de  las acciones establecidas en los planes de mejoramiento por pruebas SABER 11 de los establecimientos de educación formal.</v>
          </cell>
          <cell r="K56" t="str">
            <v>LUCY GONZÁLEZ LERMA</v>
          </cell>
          <cell r="L56" t="str">
            <v>VIVANA PILAR BOHÓRQUEZ DÍAZ</v>
          </cell>
          <cell r="M56">
            <v>45750</v>
          </cell>
          <cell r="N56">
            <v>45750</v>
          </cell>
          <cell r="O56">
            <v>45750</v>
          </cell>
          <cell r="P56" t="str">
            <v>Visitas de evaluación con fines de mejoramiento</v>
          </cell>
          <cell r="Q56" t="str">
            <v>ACTA VISITA COLEGIO CIUDAD DE FOMEQUE.pdf</v>
          </cell>
          <cell r="R56" t="str">
            <v xml:space="preserve">El colegio contrato una empresa privada para analizar de manera conjunta los resultados de las pruebas SABER 11 de la vigencia 2023 y 2024 y a partir de esto ha generado acciones de mejora con el equipo de maestros y estudiantes de los últimos grados. </v>
          </cell>
          <cell r="S56" t="str">
            <v xml:space="preserve">Ajustar, actualizar o modificar los planes de estudio en correlación con las asignaturas que se encuentran en bajo puntaje en las pruebas SABER 11. </v>
          </cell>
          <cell r="T56" t="str">
            <v>Si</v>
          </cell>
          <cell r="U56" t="str">
            <v>Seguimiento al cumplimiento del plan de mejoramiento. Se realiza visita de seguimiento el 30 de septiembre 2025.</v>
          </cell>
        </row>
        <row r="57">
          <cell r="A57">
            <v>1027</v>
          </cell>
          <cell r="B57"/>
          <cell r="C57" t="str">
            <v>KENNEDY</v>
          </cell>
          <cell r="D57" t="str">
            <v>PRIVADO</v>
          </cell>
          <cell r="E57" t="str">
            <v>EPBM</v>
          </cell>
          <cell r="F57" t="str">
            <v>COLEGIO_CIUDAD_DE_FOMEQUE</v>
          </cell>
          <cell r="G57" t="str">
            <v>COLEGIO CIUDAD DE FOMEQUE</v>
          </cell>
          <cell r="H57" t="str">
            <v>Autoevaluación Institucional y Pruebas SABER 11</v>
          </cell>
          <cell r="I57" t="str">
            <v>SEGUIMIENTO_Y_SUPERVISIÓN.</v>
          </cell>
          <cell r="J57" t="str">
            <v xml:space="preserve">Verificar la implementación por parte de los colegios, de acciones realizadas para la prevención y atención de las situaciones de convivencia en el entorno escolar, según lo establecido en la Directiva 01 de 2022 del MEN. </v>
          </cell>
          <cell r="K57" t="str">
            <v>LUCY GONZÁLEZ LERMA</v>
          </cell>
          <cell r="L57" t="str">
            <v>VIVANA PILAR BOHÓRQUEZ DÍAZ</v>
          </cell>
          <cell r="M57">
            <v>45750</v>
          </cell>
          <cell r="N57">
            <v>45750</v>
          </cell>
          <cell r="O57">
            <v>45750</v>
          </cell>
          <cell r="P57" t="str">
            <v>Visitas de evaluación con fines de mejoramiento</v>
          </cell>
          <cell r="Q57" t="str">
            <v>ACTA VISITA COLEGIO CIUDAD DE FOMEQUE.pdf</v>
          </cell>
          <cell r="R57" t="str">
            <v xml:space="preserve">La rectora del colegio refiere que el reporte de delitos sexuales se encuentra en poder de la psicóloga de INNOVAR SA quien adelanto el proceso de selección. </v>
          </cell>
          <cell r="S57" t="str">
            <v xml:space="preserve">Anexar en las  carpetas del personal vinculado el certificado de delitos sexuales. </v>
          </cell>
          <cell r="T57" t="str">
            <v>Si</v>
          </cell>
          <cell r="U57" t="str">
            <v>Seguimiento al cumplimiento del plan de mejoramiento. Se realiza visita de seguimiento el 30 de septiembre 2025.</v>
          </cell>
        </row>
        <row r="58">
          <cell r="A58">
            <v>1028</v>
          </cell>
          <cell r="B58"/>
          <cell r="C58" t="str">
            <v>KENNEDY</v>
          </cell>
          <cell r="D58" t="str">
            <v>PRIVADO</v>
          </cell>
          <cell r="E58" t="str">
            <v>EPBM</v>
          </cell>
          <cell r="F58" t="str">
            <v>COLEGIO_CIUDAD_DE_FOMEQUE</v>
          </cell>
          <cell r="G58" t="str">
            <v>COLEGIO CIUDAD DE FOMEQUE</v>
          </cell>
          <cell r="H58" t="str">
            <v>Autoevaluación Institucional y Pruebas SABER 11</v>
          </cell>
          <cell r="I58" t="str">
            <v>SEGUIMIENTO_Y_SUPERVISIÓN.</v>
          </cell>
          <cell r="J5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8" t="str">
            <v>LUCY GONZÁLEZ LERMA</v>
          </cell>
          <cell r="L58" t="str">
            <v>VIVANA PILAR BOHÓRQUEZ DÍAZ</v>
          </cell>
          <cell r="M58">
            <v>45750</v>
          </cell>
          <cell r="N58">
            <v>45750</v>
          </cell>
          <cell r="O58">
            <v>45750</v>
          </cell>
          <cell r="P58" t="str">
            <v>Visitas de evaluación con fines de mejoramiento</v>
          </cell>
          <cell r="Q58" t="str">
            <v>ACTA VISITA COLEGIO CIUDAD DE FOMEQUE.pdf</v>
          </cell>
          <cell r="R58" t="str">
            <v>El Colegio cuenta con el PIAR de 4 estudiantes con diagnóstico diferencial. La orientadora escolar acompaña el proceso de caracterización de las niñas y los niños, elaboración del PIAR, socialización a las familias y el respectivo seguimiento.</v>
          </cell>
          <cell r="S58" t="str">
            <v>Continuar con el seguimiento de los PIAR y la retroalimentación a las familias respecto a los avances en el proceso de desarrollo de los estudiantes</v>
          </cell>
          <cell r="T58" t="str">
            <v>No</v>
          </cell>
          <cell r="U58" t="str">
            <v>Seguimiento al cumplimiento del plan de mejoramiento.</v>
          </cell>
        </row>
        <row r="59">
          <cell r="A59">
            <v>1029</v>
          </cell>
          <cell r="B59"/>
          <cell r="C59" t="str">
            <v>KENNEDY</v>
          </cell>
          <cell r="D59" t="str">
            <v>PRIVADO</v>
          </cell>
          <cell r="E59" t="str">
            <v>EPBM</v>
          </cell>
          <cell r="F59" t="str">
            <v>COLEGIO_CIUDAD_DE_FOMEQUE</v>
          </cell>
          <cell r="G59" t="str">
            <v>COLEGIO CIUDAD DE FOMEQUE</v>
          </cell>
          <cell r="H59" t="str">
            <v>Autoevaluación Institucional y Pruebas SABER 11</v>
          </cell>
          <cell r="I59" t="str">
            <v>EVALUACIÓN_CON_FINES_DE_MEJORAMIENTO.</v>
          </cell>
          <cell r="J5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59" t="str">
            <v>LUCY GONZÁLEZ LERMA</v>
          </cell>
          <cell r="L59" t="str">
            <v>VIVANA PILAR BOHÓRQUEZ DÍAZ</v>
          </cell>
          <cell r="M59">
            <v>45750</v>
          </cell>
          <cell r="N59">
            <v>45750</v>
          </cell>
          <cell r="O59">
            <v>45750</v>
          </cell>
          <cell r="P59" t="str">
            <v>Visitas de evaluación con fines de mejoramiento</v>
          </cell>
          <cell r="Q59" t="str">
            <v>ACTA VISITA COLEGIO CIUDAD DE FOMEQUE.pdf</v>
          </cell>
          <cell r="R59" t="str">
            <v>El colegio cuenta con el manual de convivencia y las actas que evidencian el último proceso de actualización y su implementación.</v>
          </cell>
          <cell r="S59" t="str">
            <v xml:space="preserve">Incluir en el manual de convivencia la comprensión de la diversidad y el enfoque restaurativo, adicionalmente vincular a las familias en el proceso de actualización. </v>
          </cell>
          <cell r="T59" t="str">
            <v>Si</v>
          </cell>
          <cell r="U59" t="str">
            <v>Realizar seguimiento a partir de las nuevas evidencias que aporte el colegio respecto a las situaciones de mejora sugeridas. Se realiza visita de seguimiento el 30 de septiembre 2025.</v>
          </cell>
        </row>
        <row r="60">
          <cell r="A60">
            <v>1030</v>
          </cell>
          <cell r="B60"/>
          <cell r="C60" t="str">
            <v>KENNEDY</v>
          </cell>
          <cell r="D60" t="str">
            <v>PRIVADO</v>
          </cell>
          <cell r="E60" t="str">
            <v>EPBM</v>
          </cell>
          <cell r="F60" t="str">
            <v>COLEGIO_CIUDAD_DE_FOMEQUE</v>
          </cell>
          <cell r="G60" t="str">
            <v>COLEGIO CIUDAD DE FOMEQUE</v>
          </cell>
          <cell r="H60" t="str">
            <v>Autoevaluación Institucional y Pruebas SABER 11</v>
          </cell>
          <cell r="I60" t="str">
            <v>EVALUACIÓN_CON_FINES_DE_MEJORAMIENTO.</v>
          </cell>
          <cell r="J60" t="str">
            <v>Revisar el calendario escolar, jornada escolar, la intensidad horaria mínima anual en cada nivel y las modificaciones que se realicen al mismo, de acuerdo con lo previsto en la normatividad vigente.</v>
          </cell>
          <cell r="K60" t="str">
            <v>LUCY GONZÁLEZ LERMA</v>
          </cell>
          <cell r="L60" t="str">
            <v>VIVANA PILAR BOHÓRQUEZ DÍAZ</v>
          </cell>
          <cell r="M60">
            <v>45750</v>
          </cell>
          <cell r="N60">
            <v>45750</v>
          </cell>
          <cell r="O60">
            <v>45750</v>
          </cell>
          <cell r="P60" t="str">
            <v>Visitas de evaluación con fines de mejoramiento</v>
          </cell>
          <cell r="Q60" t="str">
            <v>ACTA VISITA COLEGIO CIUDAD DE FOMEQUE.pdf</v>
          </cell>
          <cell r="R60" t="str">
            <v>Se evidencia que cumple con la intensidad horaria mínima anual.</v>
          </cell>
          <cell r="S60" t="str">
            <v>Implementar el calendario revisado por el ELIV.</v>
          </cell>
          <cell r="T60" t="str">
            <v>No</v>
          </cell>
          <cell r="U60" t="str">
            <v>Verificar el cumplimiento de las horas mínimas en la próxima vigencia.</v>
          </cell>
        </row>
        <row r="61">
          <cell r="A61">
            <v>1031</v>
          </cell>
          <cell r="B61"/>
          <cell r="C61" t="str">
            <v>KENNEDY</v>
          </cell>
          <cell r="D61" t="str">
            <v>PRIVADO</v>
          </cell>
          <cell r="E61" t="str">
            <v>EPBM</v>
          </cell>
          <cell r="F61" t="str">
            <v>COLEGIO_CIUDAD_DE_FOMEQUE</v>
          </cell>
          <cell r="G61" t="str">
            <v>COLEGIO CIUDAD DE FOMEQUE</v>
          </cell>
          <cell r="H61" t="str">
            <v>Autoevaluación Institucional y Pruebas SABER 11</v>
          </cell>
          <cell r="I61" t="str">
            <v>EVALUACIÓN_CON_FINES_DE_MEJORAMIENTO.</v>
          </cell>
          <cell r="J61" t="str">
            <v>Verificar el funcionamiento del Gobierno Escolar e instancias de participación con base en la información sobre conformación reportada por la institución educativa.</v>
          </cell>
          <cell r="K61" t="str">
            <v>LUCY GONZÁLEZ LERMA</v>
          </cell>
          <cell r="L61" t="str">
            <v>VIVANA PILAR BOHÓRQUEZ DÍAZ</v>
          </cell>
          <cell r="M61">
            <v>45750</v>
          </cell>
          <cell r="N61">
            <v>45750</v>
          </cell>
          <cell r="O61">
            <v>45750</v>
          </cell>
          <cell r="P61" t="str">
            <v>Visitas de evaluación con fines de mejoramiento</v>
          </cell>
          <cell r="Q61" t="str">
            <v>ACTA VISITA COLEGIO CIUDAD DE FOMEQUE.pdf</v>
          </cell>
          <cell r="R61" t="str">
            <v>El colegio cuenta con las actas de conformación e implementación del gobierno escolar vigencias 2024 y 2025. En la primera reunión de cada estamento se socializan las funciones.</v>
          </cell>
          <cell r="S61" t="str">
            <v>Continuar con el proceso y actualización en cada vigencia.</v>
          </cell>
          <cell r="T61" t="str">
            <v>No</v>
          </cell>
          <cell r="U61" t="str">
            <v>Seguimiento al cumplimiento del plan de mejoramiento.</v>
          </cell>
        </row>
        <row r="62">
          <cell r="A62">
            <v>1032</v>
          </cell>
          <cell r="B62"/>
          <cell r="C62" t="str">
            <v>KENNEDY</v>
          </cell>
          <cell r="D62" t="str">
            <v>PRIVADO</v>
          </cell>
          <cell r="E62" t="str">
            <v>EPBM</v>
          </cell>
          <cell r="F62" t="str">
            <v>COLEGIO_CIUDAD_DE_FOMEQUE</v>
          </cell>
          <cell r="G62" t="str">
            <v>COLEGIO CIUDAD DE FOMEQUE</v>
          </cell>
          <cell r="H62" t="str">
            <v>Autoevaluación Institucional y Pruebas SABER 11</v>
          </cell>
          <cell r="I62" t="str">
            <v>EVALUACIÓN_CON_FINES_DE_MEJORAMIENTO.</v>
          </cell>
          <cell r="J62" t="str">
            <v>Verificar las condiciones en cuanto a: la estructura administrativa, condiciones de la planta física y medios educativos adecuados.</v>
          </cell>
          <cell r="K62" t="str">
            <v>LUCY GONZÁLEZ LERMA</v>
          </cell>
          <cell r="L62" t="str">
            <v>VIVANA PILAR BOHÓRQUEZ DÍAZ</v>
          </cell>
          <cell r="M62">
            <v>45750</v>
          </cell>
          <cell r="N62">
            <v>45750</v>
          </cell>
          <cell r="O62">
            <v>45750</v>
          </cell>
          <cell r="P62" t="str">
            <v>Visitas de evaluación con fines de seguimiento</v>
          </cell>
          <cell r="Q62" t="str">
            <v>ACTA VISITA COLEGIO CIUDAD DE FOMEQUE.pdf</v>
          </cell>
          <cell r="R62" t="str">
            <v xml:space="preserve">La planta física no  cuenta con ajustes razonables para la inclusión de población con discapacidad o alteraciones del desarrollo. </v>
          </cell>
          <cell r="S62" t="str">
            <v xml:space="preserve">Avanzar en adecuaciones pequeñas para las niñas y los niños con discapacidad o alteraciones del desarrollo. </v>
          </cell>
          <cell r="T62" t="str">
            <v>Si</v>
          </cell>
          <cell r="U62" t="str">
            <v>Seguimiento al cumplimiento del plan de mejoramiento. Se realiza visita de seguimiento el 30 de septiembre 2025.</v>
          </cell>
        </row>
        <row r="63">
          <cell r="A63">
            <v>1033</v>
          </cell>
          <cell r="B63"/>
          <cell r="C63" t="str">
            <v>KENNEDY</v>
          </cell>
          <cell r="D63" t="str">
            <v>PRIVADO</v>
          </cell>
          <cell r="E63" t="str">
            <v>EPBM</v>
          </cell>
          <cell r="F63" t="str">
            <v>COLEGIO_CIUDAD_PATIO_BONITO</v>
          </cell>
          <cell r="G63" t="str">
            <v>COLEGIO CIUDAD PATIO BONITO</v>
          </cell>
          <cell r="H63" t="str">
            <v>Autoevaluación Institucional y Pruebas SABER 11</v>
          </cell>
          <cell r="I63" t="str">
            <v>SEGUIMIENTO_Y_SUPERVISIÓN.</v>
          </cell>
          <cell r="J63" t="str">
            <v>Proponer estrategias en la formulación, verificar su elaboración y realizar seguimiento semestral al desarrollo de  las acciones establecidas en los planes de mejoramiento por pruebas SABER 11 de los establecimientos de educación formal.</v>
          </cell>
          <cell r="K63" t="str">
            <v>ADRIANA VENEGAS VALERA</v>
          </cell>
          <cell r="L63" t="str">
            <v xml:space="preserve">DIANA ZULAY HUERTAS ORTÍZ </v>
          </cell>
          <cell r="M63">
            <v>45755</v>
          </cell>
          <cell r="N63">
            <v>45755</v>
          </cell>
          <cell r="O63">
            <v>45755</v>
          </cell>
          <cell r="P63" t="str">
            <v>Visitas de evaluación con fines de mejoramiento</v>
          </cell>
          <cell r="Q63" t="str">
            <v>ACTA DE VISITA CIUDAD DE PATIO BONITO.pdf</v>
          </cell>
          <cell r="R63" t="str">
            <v>EE desarrolla estrategias para analizar y realizar seguimiento a los resultados de prueba SABER 11.</v>
          </cell>
          <cell r="S63" t="str">
            <v xml:space="preserve">Continuar desarrollando estrategias en pro del mejoramiento de los resultados de las pruebas SABER. </v>
          </cell>
          <cell r="T63" t="str">
            <v>No</v>
          </cell>
          <cell r="U63" t="str">
            <v>ELIV, verificará el desarrollo de las estrategias planteadas por EE y el análisis de sus resultados.</v>
          </cell>
        </row>
        <row r="64">
          <cell r="A64">
            <v>1034</v>
          </cell>
          <cell r="B64"/>
          <cell r="C64" t="str">
            <v>KENNEDY</v>
          </cell>
          <cell r="D64" t="str">
            <v>PRIVADO</v>
          </cell>
          <cell r="E64" t="str">
            <v>EPBM</v>
          </cell>
          <cell r="F64" t="str">
            <v>COLEGIO_CIUDAD_PATIO_BONITO</v>
          </cell>
          <cell r="G64" t="str">
            <v>COLEGIO CIUDAD PATIO BONITO</v>
          </cell>
          <cell r="H64" t="str">
            <v>Autoevaluación Institucional y Pruebas SABER 11</v>
          </cell>
          <cell r="I64" t="str">
            <v>SEGUIMIENTO_Y_SUPERVISIÓN.</v>
          </cell>
          <cell r="J6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64" t="str">
            <v>ADRIANA VENEGAS VALERA</v>
          </cell>
          <cell r="L64" t="str">
            <v xml:space="preserve">DIANA ZULAY HUERTAS ORTÍZ </v>
          </cell>
          <cell r="M64">
            <v>45755</v>
          </cell>
          <cell r="N64">
            <v>45755</v>
          </cell>
          <cell r="O64">
            <v>45755</v>
          </cell>
          <cell r="P64" t="str">
            <v>Visitas de evaluación con fines de mejoramiento</v>
          </cell>
          <cell r="Q64" t="str">
            <v>ACTA DE VISITA CIUDAD DE PATIO BONITO.pdf</v>
          </cell>
          <cell r="R64" t="str">
            <v>Se evidenció el desarrollo de  PIAR para un estudiante, con los soportes necesarios.</v>
          </cell>
          <cell r="S64" t="str">
            <v>Continuar desarrollando e implementando PIAR, para estudiantes que lo necesiten de acuerdo a la caracterización e identificación institucional.</v>
          </cell>
          <cell r="T64" t="str">
            <v>No</v>
          </cell>
          <cell r="U64" t="str">
            <v xml:space="preserve">Verificar el desarrollo y la implementación de PIAR, de acuerdo a la necesidad. </v>
          </cell>
        </row>
        <row r="65">
          <cell r="A65">
            <v>1035</v>
          </cell>
          <cell r="B65"/>
          <cell r="C65" t="str">
            <v>KENNEDY</v>
          </cell>
          <cell r="D65" t="str">
            <v>PRIVADO</v>
          </cell>
          <cell r="E65" t="str">
            <v>EPBM</v>
          </cell>
          <cell r="F65" t="str">
            <v>COLEGIO_CIUDAD_PATIO_BONITO</v>
          </cell>
          <cell r="G65" t="str">
            <v>COLEGIO CIUDAD PATIO BONITO</v>
          </cell>
          <cell r="H65" t="str">
            <v>Autoevaluación Institucional y Pruebas SABER 11</v>
          </cell>
          <cell r="I65" t="str">
            <v>EVALUACIÓN_CON_FINES_DE_MEJORAMIENTO.</v>
          </cell>
          <cell r="J65" t="str">
            <v>Revisar el calendario escolar, jornada escolar, la intensidad horaria mínima anual en cada nivel y las modificaciones que se realicen al mismo, de acuerdo con lo previsto en la normatividad vigente.</v>
          </cell>
          <cell r="K65" t="str">
            <v>ADRIANA VENEGAS VALERA</v>
          </cell>
          <cell r="L65" t="str">
            <v xml:space="preserve">DIANA ZULAY HUERTAS ORTÍZ </v>
          </cell>
          <cell r="M65">
            <v>45755</v>
          </cell>
          <cell r="N65">
            <v>45755</v>
          </cell>
          <cell r="O65">
            <v>45755</v>
          </cell>
          <cell r="P65" t="str">
            <v>Visitas de evaluación con fines de mejoramiento</v>
          </cell>
          <cell r="Q65" t="str">
            <v>ACTA DE VISITA CIUDAD DE PATIO BONITO.pdf</v>
          </cell>
          <cell r="R65" t="str">
            <v>Se evidenció que EE, cumple con la intensidad mínima anual en cada nivel, de acuerdo a lo previsto en la normatividad vigente.</v>
          </cell>
          <cell r="S65" t="str">
            <v xml:space="preserve">Continuar cumpliendo con la normatividad vigente, sobre la intensidad horaria mínima anual. </v>
          </cell>
          <cell r="T65" t="str">
            <v>No</v>
          </cell>
          <cell r="U65" t="str">
            <v xml:space="preserve">El ELIV, verificará el cumplimiento del calendario escolar. </v>
          </cell>
        </row>
        <row r="66">
          <cell r="A66">
            <v>1036</v>
          </cell>
          <cell r="B66"/>
          <cell r="C66" t="str">
            <v>KENNEDY</v>
          </cell>
          <cell r="D66" t="str">
            <v>PRIVADO</v>
          </cell>
          <cell r="E66" t="str">
            <v>EPBM</v>
          </cell>
          <cell r="F66" t="str">
            <v>COLEGIO_CIUDAD_PATIO_BONITO</v>
          </cell>
          <cell r="G66" t="str">
            <v>COLEGIO CIUDAD PATIO BONITO</v>
          </cell>
          <cell r="H66" t="str">
            <v>Autoevaluación Institucional y Pruebas SABER 11</v>
          </cell>
          <cell r="I66" t="str">
            <v>EVALUACIÓN_CON_FINES_DE_MEJORAMIENTO.</v>
          </cell>
          <cell r="J66" t="str">
            <v>Verificar las condiciones en cuanto a: la estructura administrativa, condiciones de la planta física y medios educativos adecuados.</v>
          </cell>
          <cell r="K66" t="str">
            <v>ADRIANA VENEGAS VALERA</v>
          </cell>
          <cell r="L66" t="str">
            <v xml:space="preserve">DIANA ZULAY HUERTAS ORTÍZ </v>
          </cell>
          <cell r="M66">
            <v>45755</v>
          </cell>
          <cell r="N66">
            <v>45755</v>
          </cell>
          <cell r="O66">
            <v>45755</v>
          </cell>
          <cell r="P66" t="str">
            <v>Visitas de evaluación con fines de seguimiento</v>
          </cell>
          <cell r="Q66" t="str">
            <v>ACTA DE VISITA CIUDAD DE PATIO BONITO.pdf</v>
          </cell>
          <cell r="R66" t="str">
            <v xml:space="preserve">EE cuenta con espacios suficiente y adecuados para la atención de la población matriculada, sin embargo carece de espacios para la atención de población con condiciones especiales. </v>
          </cell>
          <cell r="S66" t="str">
            <v xml:space="preserve">Adecuar espacios para personas con discapacidad en el marco de la inclusión. </v>
          </cell>
          <cell r="T66" t="str">
            <v>Si</v>
          </cell>
          <cell r="U66" t="str">
            <v>El ELIV, verificará el cumplimiento del plan de mejoramiento.</v>
          </cell>
        </row>
        <row r="67">
          <cell r="A67">
            <v>1037</v>
          </cell>
          <cell r="B67">
            <v>11</v>
          </cell>
          <cell r="C67" t="str">
            <v>KENNEDY</v>
          </cell>
          <cell r="D67" t="str">
            <v>PRIVADO</v>
          </cell>
          <cell r="E67" t="str">
            <v>Educación de Jóvenes y Adultos</v>
          </cell>
          <cell r="F67" t="str">
            <v>COLEGIO_INCADE_KENNEDY</v>
          </cell>
          <cell r="G67" t="str">
            <v>COLEGIO INCADE KENNEDY</v>
          </cell>
          <cell r="H67" t="str">
            <v>Autoevaluación Institucional y Pruebas SABER 11</v>
          </cell>
          <cell r="I67" t="str">
            <v>SEGUIMIENTO_Y_SUPERVISIÓN.</v>
          </cell>
          <cell r="J67" t="str">
            <v>Proponer estrategias en la formulación, verificar su elaboración y realizar seguimiento semestral al desarrollo de  las acciones establecidas en los planes de mejoramiento por pruebas SABER 11 de los establecimientos de educación formal.</v>
          </cell>
          <cell r="K67" t="str">
            <v>GERMÁN EDUARDO TORO ROSERO</v>
          </cell>
          <cell r="L67" t="str">
            <v>VIVANA PILAR BOHÓRQUEZ DÍAZ</v>
          </cell>
          <cell r="M67">
            <v>45756</v>
          </cell>
          <cell r="N67">
            <v>45756</v>
          </cell>
          <cell r="O67">
            <v>45756</v>
          </cell>
          <cell r="P67" t="str">
            <v>Visitas de evaluación con fines de seguimiento</v>
          </cell>
          <cell r="Q67" t="str">
            <v>ACTA VISITA COLEGIO INCADE KENNEDY.pdf</v>
          </cell>
          <cell r="R67" t="str">
            <v xml:space="preserve">El establecimiento educativo no ha realizado el  balance de los resultados de las pruebas SABER 11, por lo que no ha identificado en que áreas debe intensificar su acompañamiento para obtener mejoras. </v>
          </cell>
          <cell r="S67" t="str">
            <v xml:space="preserve">Realizar el balance de los resultados de las pruebas SABER 11 y derivado de lo identificado establecer un plan de mejoramiento que les permita establecer ajustes en sus planes de estudio y estrategias pedagógicas. </v>
          </cell>
          <cell r="T67" t="str">
            <v>Si</v>
          </cell>
          <cell r="U67" t="str">
            <v>El ELIV, verificará el cumplimiento del plan de mejoramiento.</v>
          </cell>
        </row>
        <row r="68">
          <cell r="A68">
            <v>1038</v>
          </cell>
          <cell r="B68"/>
          <cell r="C68" t="str">
            <v>KENNEDY</v>
          </cell>
          <cell r="D68" t="str">
            <v>PRIVADO</v>
          </cell>
          <cell r="E68" t="str">
            <v>Educación de Jóvenes y Adultos</v>
          </cell>
          <cell r="F68" t="str">
            <v>COLEGIO_INCADE_KENNEDY</v>
          </cell>
          <cell r="G68" t="str">
            <v>COLEGIO INCADE KENNEDY</v>
          </cell>
          <cell r="H68" t="str">
            <v>Autoevaluación Institucional y Pruebas SABER 11</v>
          </cell>
          <cell r="I68" t="str">
            <v>SEGUIMIENTO_Y_SUPERVISIÓN.</v>
          </cell>
          <cell r="J68" t="str">
            <v xml:space="preserve">Verificar la implementación por parte de los colegios, de acciones realizadas para la prevención y atención de las situaciones de convivencia en el entorno escolar, según lo establecido en la Directiva 01 de 2022 del MEN. </v>
          </cell>
          <cell r="K68" t="str">
            <v>GERMÁN EDUARDO TORO ROSERO</v>
          </cell>
          <cell r="L68" t="str">
            <v>VIVANA PILAR BOHÓRQUEZ DÍAZ</v>
          </cell>
          <cell r="M68">
            <v>45756</v>
          </cell>
          <cell r="N68">
            <v>45756</v>
          </cell>
          <cell r="O68">
            <v>45756</v>
          </cell>
          <cell r="P68" t="str">
            <v>Visitas de evaluación con fines de seguimiento</v>
          </cell>
          <cell r="Q68" t="str">
            <v>ACTA VISITA COLEGIO INCADE KENNEDY.pdf</v>
          </cell>
          <cell r="R68" t="str">
            <v xml:space="preserve">La orientadora escolar cuenta con un archivo organizado de las acciones planeadas e implementadas para la prevención y atención de situaciones de convivencia escolar. </v>
          </cell>
          <cell r="S68" t="str">
            <v xml:space="preserve">Mantener las estrategias de prevención y promoción para minimizar las situaciones de convivencia escolar. </v>
          </cell>
          <cell r="T68" t="str">
            <v>No</v>
          </cell>
          <cell r="U68" t="str">
            <v>El ELIV, verificará que el programa de orientación siga cumpliendo con el plan de prevención y promoción.</v>
          </cell>
        </row>
        <row r="69">
          <cell r="A69">
            <v>1039</v>
          </cell>
          <cell r="B69"/>
          <cell r="C69" t="str">
            <v>KENNEDY</v>
          </cell>
          <cell r="D69" t="str">
            <v>PRIVADO</v>
          </cell>
          <cell r="E69" t="str">
            <v>Educación de Jóvenes y Adultos</v>
          </cell>
          <cell r="F69" t="str">
            <v>COLEGIO_INCADE_KENNEDY</v>
          </cell>
          <cell r="G69" t="str">
            <v>COLEGIO INCADE KENNEDY</v>
          </cell>
          <cell r="H69" t="str">
            <v>Autoevaluación Institucional y Pruebas SABER 11</v>
          </cell>
          <cell r="I69" t="str">
            <v>EVALUACIÓN_CON_FINES_DE_MEJORAMIENTO.</v>
          </cell>
          <cell r="J6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9" t="str">
            <v>GERMÁN EDUARDO TORO ROSERO</v>
          </cell>
          <cell r="L69" t="str">
            <v>VIVANA PILAR BOHÓRQUEZ DÍAZ</v>
          </cell>
          <cell r="M69">
            <v>45756</v>
          </cell>
          <cell r="N69">
            <v>45756</v>
          </cell>
          <cell r="O69">
            <v>45756</v>
          </cell>
          <cell r="P69" t="str">
            <v>Visitas de evaluación con fines de seguimiento</v>
          </cell>
          <cell r="Q69" t="str">
            <v>ACTA VISITA COLEGIO INCADE KENNEDY.pdf</v>
          </cell>
          <cell r="R69" t="str">
            <v xml:space="preserve">El manual de convivencia cuenta con los aspectos definidos en la normatividad vigente, sin embargo carece del enfoque restaurativo. </v>
          </cell>
          <cell r="S69" t="str">
            <v xml:space="preserve">Actualizar el manual de convivencia, analizando el enfoque restaurativo y los aportes que dicho enfoque le puede brindar para movilizar acciones pedagógicas. </v>
          </cell>
          <cell r="T69" t="str">
            <v>Si</v>
          </cell>
          <cell r="U69" t="str">
            <v>El ELIV, verificará el cumplimiento del plan de mejoramiento de acuerdo a la fecha determinada en el acta.</v>
          </cell>
        </row>
        <row r="70">
          <cell r="A70">
            <v>1040</v>
          </cell>
          <cell r="B70"/>
          <cell r="C70" t="str">
            <v>KENNEDY</v>
          </cell>
          <cell r="D70" t="str">
            <v>PRIVADO</v>
          </cell>
          <cell r="E70" t="str">
            <v>Educación de Jóvenes y Adultos</v>
          </cell>
          <cell r="F70" t="str">
            <v>COLEGIO_INCADE_KENNEDY</v>
          </cell>
          <cell r="G70" t="str">
            <v>COLEGIO INCADE KENNEDY</v>
          </cell>
          <cell r="H70" t="str">
            <v>Autoevaluación Institucional y Pruebas SABER 11</v>
          </cell>
          <cell r="I70" t="str">
            <v>EVALUACIÓN_CON_FINES_DE_MEJORAMIENTO.</v>
          </cell>
          <cell r="J70" t="str">
            <v>Revisar el calendario escolar, jornada escolar, la intensidad horaria mínima anual en cada nivel y las modificaciones que se realicen al mismo, de acuerdo con lo previsto en la normatividad vigente.</v>
          </cell>
          <cell r="K70" t="str">
            <v>GERMÁN EDUARDO TORO ROSERO</v>
          </cell>
          <cell r="L70" t="str">
            <v>VIVANA PILAR BOHÓRQUEZ DÍAZ</v>
          </cell>
          <cell r="M70">
            <v>45756</v>
          </cell>
          <cell r="N70">
            <v>45756</v>
          </cell>
          <cell r="O70">
            <v>45756</v>
          </cell>
          <cell r="P70" t="str">
            <v>Visitas de evaluación con fines de seguimiento</v>
          </cell>
          <cell r="Q70" t="str">
            <v>ACTA VISITA COLEGIO INCADE KENNEDY.pdf</v>
          </cell>
          <cell r="R70" t="str">
            <v>El calendario escolar cumple con la intensidad mínima anual en cada ciclo, de acuerdo a lo previsto en la normatividad vigente.</v>
          </cell>
          <cell r="S70" t="str">
            <v xml:space="preserve">Mantener el cumplimiento de los tiempos e intensidad horaria establecida en el calendario escolar. </v>
          </cell>
          <cell r="T70" t="str">
            <v>No</v>
          </cell>
          <cell r="U70" t="str">
            <v xml:space="preserve">El ELIV, verificará el cumplimiento del calendario escolar. </v>
          </cell>
        </row>
        <row r="71">
          <cell r="A71">
            <v>1041</v>
          </cell>
          <cell r="B71"/>
          <cell r="C71" t="str">
            <v>KENNEDY</v>
          </cell>
          <cell r="D71" t="str">
            <v>PRIVADO</v>
          </cell>
          <cell r="E71" t="str">
            <v>Educación de Jóvenes y Adultos</v>
          </cell>
          <cell r="F71" t="str">
            <v>COLEGIO_INCADE_KENNEDY</v>
          </cell>
          <cell r="G71" t="str">
            <v>COLEGIO INCADE KENNEDY</v>
          </cell>
          <cell r="H71" t="str">
            <v>Autoevaluación Institucional y Pruebas SABER 11</v>
          </cell>
          <cell r="I71" t="str">
            <v>EVALUACIÓN_CON_FINES_DE_MEJORAMIENTO.</v>
          </cell>
          <cell r="J71" t="str">
            <v>Verificar el funcionamiento del Gobierno Escolar e instancias de participación con base en la información sobre conformación reportada por la institución educativa.</v>
          </cell>
          <cell r="K71" t="str">
            <v>GERMÁN EDUARDO TORO ROSERO</v>
          </cell>
          <cell r="L71" t="str">
            <v>VIVANA PILAR BOHÓRQUEZ DÍAZ</v>
          </cell>
          <cell r="M71">
            <v>45756</v>
          </cell>
          <cell r="N71">
            <v>45756</v>
          </cell>
          <cell r="O71">
            <v>45756</v>
          </cell>
          <cell r="P71" t="str">
            <v>Visitas de evaluación con fines de seguimiento</v>
          </cell>
          <cell r="Q71" t="str">
            <v>ACTA VISITA COLEGIO INCADE KENNEDY.pdf</v>
          </cell>
          <cell r="R71" t="str">
            <v xml:space="preserve">El colegio cuenta con las actas de conformación del gobierno escolar para la vigencia 2025; sin embargo, no se evidencia alguna sección que les permita identificar sus funciones y las acciones que van adelantar.  </v>
          </cell>
          <cell r="S71" t="str">
            <v xml:space="preserve">Movilizar las instancias de participación del gobierno escolar, con la revisión de sus reglamentos internos y sus planes de acción. </v>
          </cell>
          <cell r="T71" t="str">
            <v>Si</v>
          </cell>
          <cell r="U71" t="str">
            <v>El ELIV, verificará el cumplimiento del plan de mejoramiento.</v>
          </cell>
        </row>
        <row r="72">
          <cell r="A72">
            <v>1042</v>
          </cell>
          <cell r="B72"/>
          <cell r="C72" t="str">
            <v>KENNEDY</v>
          </cell>
          <cell r="D72" t="str">
            <v>PRIVADO</v>
          </cell>
          <cell r="E72" t="str">
            <v>Educación de Jóvenes y Adultos</v>
          </cell>
          <cell r="F72" t="str">
            <v>COLEGIO_INCADE_KENNEDY</v>
          </cell>
          <cell r="G72" t="str">
            <v>COLEGIO INCADE KENNEDY</v>
          </cell>
          <cell r="H72" t="str">
            <v>Autoevaluación Institucional y Pruebas SABER 11</v>
          </cell>
          <cell r="I72" t="str">
            <v>EVALUACIÓN_CON_FINES_DE_MEJORAMIENTO.</v>
          </cell>
          <cell r="J72" t="str">
            <v>Verificar las condiciones en cuanto a: la estructura administrativa, condiciones de la planta física y medios educativos adecuados.</v>
          </cell>
          <cell r="K72" t="str">
            <v>GERMÁN EDUARDO TORO ROSERO</v>
          </cell>
          <cell r="L72" t="str">
            <v>VIVANA PILAR BOHÓRQUEZ DÍAZ</v>
          </cell>
          <cell r="M72">
            <v>45756</v>
          </cell>
          <cell r="N72">
            <v>45756</v>
          </cell>
          <cell r="O72">
            <v>45756</v>
          </cell>
          <cell r="P72" t="str">
            <v>Visitas de evaluación con fines de seguimiento</v>
          </cell>
          <cell r="Q72" t="str">
            <v>ACTA VISITA COLEGIO INCADE KENNEDY.pdf</v>
          </cell>
          <cell r="R72" t="str">
            <v xml:space="preserve">Hay elementos del mobiliario y recursos pedagógicos que se encuentran deteriorados y desactualizados. </v>
          </cell>
          <cell r="S72" t="str">
            <v xml:space="preserve">Avanzar progresivamente en el cambio o ajuste de algunos elementos del mobiliario. </v>
          </cell>
          <cell r="T72" t="str">
            <v>Si</v>
          </cell>
          <cell r="U72" t="str">
            <v>El ELIV, verificará el cumplimiento del plan de mejoramiento.</v>
          </cell>
        </row>
        <row r="73">
          <cell r="A73">
            <v>1043</v>
          </cell>
          <cell r="B73"/>
          <cell r="C73" t="str">
            <v>KENNEDY</v>
          </cell>
          <cell r="D73" t="str">
            <v>PRIVADO</v>
          </cell>
          <cell r="E73" t="str">
            <v>EPBM</v>
          </cell>
          <cell r="F73" t="str">
            <v>COLEGIO_JAIME_QUIJANO_CABALLERO</v>
          </cell>
          <cell r="G73" t="str">
            <v>COLEGIO JAIME QUIJANO CABALLERO</v>
          </cell>
          <cell r="H73" t="str">
            <v>Autoevaluación Institucional y Pruebas SABER 11</v>
          </cell>
          <cell r="I73" t="str">
            <v>SEGUIMIENTO_Y_SUPERVISIÓN.</v>
          </cell>
          <cell r="J73" t="str">
            <v>Proponer estrategias en la formulación, verificar su elaboración y realizar seguimiento semestral al desarrollo de  las acciones establecidas en los planes de mejoramiento por pruebas SABER 11 de los establecimientos de educación formal.</v>
          </cell>
          <cell r="K73" t="str">
            <v>INGRID VIVIANA DÁVILA ÁVILA</v>
          </cell>
          <cell r="L73" t="str">
            <v>LUIS FERNANDO CÁRDENAS URAN</v>
          </cell>
          <cell r="M73">
            <v>45757</v>
          </cell>
          <cell r="N73">
            <v>45756</v>
          </cell>
          <cell r="O73">
            <v>45756</v>
          </cell>
          <cell r="P73" t="str">
            <v>Visitas de evaluación con fines de mejoramiento</v>
          </cell>
          <cell r="Q73" t="str">
            <v>ACTA DE VISITA COLEGIO JAIME QUIJANO.pdf</v>
          </cell>
          <cell r="R73" t="str">
            <v xml:space="preserve">El Colegio no ha revisado los puntajes globales de las pruebas saber 11, por lo que no hay claridad en los aspectos sobre los cuales debe trabajar. </v>
          </cell>
          <cell r="S73" t="str">
            <v xml:space="preserve">El establecimiento educativo debe adelantar un análisis detallado de los resultados de las pruebas saber 11, lo que les permitirá definir las estrategias pedagógicas para subir la clasificación. </v>
          </cell>
          <cell r="T73" t="str">
            <v>Si</v>
          </cell>
          <cell r="U73" t="str">
            <v xml:space="preserve">Revisión de las acciones ejecutadas por la institución educativa con respecto al análisis realizado de las pruebas saber.  Se realiza mesa de seguimiento el día 23 de septiembre 2025. El día 24 de octubre se validará el cumplimiento de los compromisos pendientes. </v>
          </cell>
        </row>
        <row r="74">
          <cell r="A74">
            <v>1044</v>
          </cell>
          <cell r="B74"/>
          <cell r="C74" t="str">
            <v>KENNEDY</v>
          </cell>
          <cell r="D74" t="str">
            <v>PRIVADO</v>
          </cell>
          <cell r="E74" t="str">
            <v>EPBM</v>
          </cell>
          <cell r="F74" t="str">
            <v>COLEGIO_JAIME_QUIJANO_CABALLERO</v>
          </cell>
          <cell r="G74" t="str">
            <v>COLEGIO JAIME QUIJANO CABALLERO</v>
          </cell>
          <cell r="H74" t="str">
            <v>Autoevaluación Institucional y Pruebas SABER 11</v>
          </cell>
          <cell r="I74" t="str">
            <v>SEGUIMIENTO_Y_SUPERVISIÓN.</v>
          </cell>
          <cell r="J7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4" t="str">
            <v>INGRID VIVIANA DÁVILA ÁVILA</v>
          </cell>
          <cell r="L74" t="str">
            <v>LUIS FERNANDO CÁRDENAS URAN</v>
          </cell>
          <cell r="M74">
            <v>45757</v>
          </cell>
          <cell r="N74">
            <v>45756</v>
          </cell>
          <cell r="O74">
            <v>45756</v>
          </cell>
          <cell r="P74" t="str">
            <v>Visitas de evaluación con fines de mejoramiento</v>
          </cell>
          <cell r="Q74" t="str">
            <v>ACTA DE VISITA COLEGIO JAIME QUIJANO.pdf</v>
          </cell>
          <cell r="R74" t="str">
            <v xml:space="preserve">Se evidencio que no se está subiendo la información de situaciones tipo II y III de convivencia escolar en el sistema de alertas </v>
          </cell>
          <cell r="S74" t="str">
            <v>El colegio realiza un seguimiento de los casos de convivencia escolar sin embargo no se está realizando las actividades según protocolo de atención integral para la convivencia escolar</v>
          </cell>
          <cell r="T74" t="str">
            <v>Si</v>
          </cell>
          <cell r="U74" t="str">
            <v xml:space="preserve">Revisar que la institución educativa realice los reportes en el sistema de alertas y active el protocolo de forma adecuada siguiendo los lineamientos  de atención integral para la convivencia escolar versión 5 Se realiza mesa de seguimiento el día 23 de septiembre 2025. El día 24 de octubre se validará el cumplimiento de los compromisos pendientes. </v>
          </cell>
        </row>
        <row r="75">
          <cell r="A75">
            <v>1045</v>
          </cell>
          <cell r="B75"/>
          <cell r="C75" t="str">
            <v>KENNEDY</v>
          </cell>
          <cell r="D75" t="str">
            <v>PRIVADO</v>
          </cell>
          <cell r="E75" t="str">
            <v>EPBM</v>
          </cell>
          <cell r="F75" t="str">
            <v>COLEGIO_JAIME_QUIJANO_CABALLERO</v>
          </cell>
          <cell r="G75" t="str">
            <v>COLEGIO JAIME QUIJANO CABALLERO</v>
          </cell>
          <cell r="H75" t="str">
            <v>Autoevaluación Institucional y Pruebas SABER 11</v>
          </cell>
          <cell r="I75" t="str">
            <v>EVALUACIÓN_CON_FINES_DE_MEJORAMIENTO.</v>
          </cell>
          <cell r="J75" t="str">
            <v>Verificar el funcionamiento del Gobierno Escolar e instancias de participación con base en la información sobre conformación reportada por la institución educativa.</v>
          </cell>
          <cell r="K75" t="str">
            <v>INGRID VIVIANA DÁVILA ÁVILA</v>
          </cell>
          <cell r="L75" t="str">
            <v>LUIS FERNANDO CÁRDENAS URAN</v>
          </cell>
          <cell r="M75">
            <v>45757</v>
          </cell>
          <cell r="N75">
            <v>45756</v>
          </cell>
          <cell r="O75">
            <v>45756</v>
          </cell>
          <cell r="P75" t="str">
            <v>Visitas de evaluación con fines de mejoramiento</v>
          </cell>
          <cell r="Q75" t="str">
            <v>ACTA DE VISITA COLEGIO JAIME QUIJANO.pdf</v>
          </cell>
          <cell r="R75" t="str">
            <v xml:space="preserve">
Al realizar verificación de las actas de consejo académico  no se encontró que se proponga la actualización del currículo y plan de estudio siguiendo las funciones de este órgano de participación</v>
          </cell>
          <cell r="S75" t="str">
            <v>En concordancia con el articulo 145 de la ley 115 se establece las funciones del consejo académico dentro de las cuales se encuentra la actualización del currículo y plan de estudios, por lo tanto es necesario que la institución educativa de cumplimiento al mismo.</v>
          </cell>
          <cell r="T75" t="str">
            <v>Si</v>
          </cell>
          <cell r="U75" t="str">
            <v xml:space="preserve">Documentar en las reuniones con consejo académico la actualización del currículo y plan de estudios. Se realiza mesa de seguimiento el día 23 de septiembre 2025. El día 24 de octubre se validará el cumplimiento d ellos compromisos pendientes. </v>
          </cell>
        </row>
        <row r="76">
          <cell r="A76">
            <v>1046</v>
          </cell>
          <cell r="B76"/>
          <cell r="C76" t="str">
            <v>KENNEDY</v>
          </cell>
          <cell r="D76" t="str">
            <v>PRIVADO</v>
          </cell>
          <cell r="E76" t="str">
            <v>EPBM</v>
          </cell>
          <cell r="F76" t="str">
            <v>COLEGIO_JAIME_QUIJANO_CABALLERO</v>
          </cell>
          <cell r="G76" t="str">
            <v>COLEGIO JAIME QUIJANO CABALLERO</v>
          </cell>
          <cell r="H76" t="str">
            <v>Autoevaluación Institucional y Pruebas SABER 11</v>
          </cell>
          <cell r="I76" t="str">
            <v>EVALUACIÓN_CON_FINES_DE_MEJORAMIENTO.</v>
          </cell>
          <cell r="J76" t="str">
            <v>Verificar las condiciones en cuanto a: la estructura administrativa, condiciones de la planta física y medios educativos adecuados.</v>
          </cell>
          <cell r="K76" t="str">
            <v>INGRID VIVIANA DÁVILA ÁVILA</v>
          </cell>
          <cell r="L76" t="str">
            <v>LUIS FERNANDO CÁRDENAS URAN</v>
          </cell>
          <cell r="M76">
            <v>45757</v>
          </cell>
          <cell r="N76">
            <v>45756</v>
          </cell>
          <cell r="O76">
            <v>45756</v>
          </cell>
          <cell r="P76" t="str">
            <v>Visitas de evaluación con fines de mejoramiento</v>
          </cell>
          <cell r="Q76" t="str">
            <v>ACTA DE VISITA COLEGIO JAIME QUIJANO.pdf</v>
          </cell>
          <cell r="R76" t="str">
            <v>Al contrastar el  organigrama con los perfiles de cargo se evidencio que no todos los cargos presentan manual de funciones o perfiles de cargo</v>
          </cell>
          <cell r="S76" t="str">
            <v>Ajustar el organigrama de la instrucción educativa de acuerdo a los perfiles que se encuentran en la institución y verificar que todos los perfiles incluidos en el organigrama estén documentados.</v>
          </cell>
          <cell r="T76" t="str">
            <v>Si</v>
          </cell>
          <cell r="U76" t="str">
            <v xml:space="preserve">Revisar el organigrama institucional y verificar que los perfiles descritos estén documentados. Se realiza mesa de seguimiento el día 23 de septiembre 2025. El día 24 de octubre se validará el cumplimiento de los compromisos pendientes. </v>
          </cell>
        </row>
        <row r="77">
          <cell r="A77">
            <v>1047</v>
          </cell>
          <cell r="B77"/>
          <cell r="C77" t="str">
            <v>KENNEDY</v>
          </cell>
          <cell r="D77" t="str">
            <v>PRIVADO</v>
          </cell>
          <cell r="E77" t="str">
            <v>EPBM</v>
          </cell>
          <cell r="F77" t="str">
            <v>COLEGIO_JAZMIN_OCCIDENTAL</v>
          </cell>
          <cell r="G77" t="str">
            <v>COLEGIO JAZMIN OCCIDENTAL</v>
          </cell>
          <cell r="H77" t="str">
            <v>Autoevaluación Institucional y Pruebas SABER 11</v>
          </cell>
          <cell r="I77" t="str">
            <v>SEGUIMIENTO_Y_SUPERVISIÓN.</v>
          </cell>
          <cell r="J77" t="str">
            <v>Proponer estrategias en la formulación, verificar su elaboración y realizar seguimiento semestral al desarrollo de  las acciones establecidas en los planes de mejoramiento por pruebas SABER 11 de los establecimientos de educación formal.</v>
          </cell>
          <cell r="K77" t="str">
            <v>LUCY GONZÁLEZ LERMA</v>
          </cell>
          <cell r="L77" t="str">
            <v>LUIS FERNANDO CÁRDENAS URAN</v>
          </cell>
          <cell r="M77">
            <v>45776</v>
          </cell>
          <cell r="N77">
            <v>45776</v>
          </cell>
          <cell r="O77">
            <v>45776</v>
          </cell>
          <cell r="P77" t="str">
            <v>Visitas de evaluación con fines de mejoramiento</v>
          </cell>
          <cell r="Q77" t="str">
            <v>ACTA DE VISITA COLEGIO JAZMIN OCCIDENTAL.pdf</v>
          </cell>
          <cell r="R77" t="str">
            <v>En libro del consejo directivo en el acta número 175 del 01 /03/25 se evidencia formulación y análisis de los resultados de las pruebas SABER.</v>
          </cell>
          <cell r="S77" t="str">
            <v>La IE se compromete a realizar  cursos de preicfes en contra jornada y realizar  simulacros virtuales y físicos por medio de cuadernillos.</v>
          </cell>
          <cell r="T77" t="str">
            <v>No</v>
          </cell>
          <cell r="U77" t="str">
            <v>El ELIV, verificara los resultados de las Pruebas Saber en la siguiente vigencia</v>
          </cell>
        </row>
        <row r="78">
          <cell r="A78">
            <v>1048</v>
          </cell>
          <cell r="B78"/>
          <cell r="C78" t="str">
            <v>KENNEDY</v>
          </cell>
          <cell r="D78" t="str">
            <v>PRIVADO</v>
          </cell>
          <cell r="E78" t="str">
            <v>EPBM</v>
          </cell>
          <cell r="F78" t="str">
            <v>COLEGIO_JAZMIN_OCCIDENTAL</v>
          </cell>
          <cell r="G78" t="str">
            <v>COLEGIO JAZMIN OCCIDENTAL</v>
          </cell>
          <cell r="H78" t="str">
            <v>Autoevaluación Institucional y Pruebas SABER 11</v>
          </cell>
          <cell r="I78" t="str">
            <v>SEGUIMIENTO_Y_SUPERVISIÓN.</v>
          </cell>
          <cell r="J7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8" t="str">
            <v>LUCY GONZÁLEZ LERMA</v>
          </cell>
          <cell r="L78" t="str">
            <v>LUIS FERNANDO CÁRDENAS URAN</v>
          </cell>
          <cell r="M78">
            <v>45776</v>
          </cell>
          <cell r="N78">
            <v>45776</v>
          </cell>
          <cell r="O78">
            <v>45776</v>
          </cell>
          <cell r="P78" t="str">
            <v>Visitas de evaluación con fines de mejoramiento</v>
          </cell>
          <cell r="Q78" t="str">
            <v>ACTA DE VISITA COLEGIO JAZMIN OCCIDENTAL.pdf</v>
          </cell>
          <cell r="R78" t="str">
            <v>Se realizó la  elaboración Planes Individuales de Ajustes Razonables  de 20 PIAR  en coherencia con el decreto 1421 de 2017 debidamente Caracterizados Organizados , documentados  soportados.</v>
          </cell>
          <cell r="S78" t="str">
            <v>La IE dará cumplimiento y seguimiento a los PIAR realizados.</v>
          </cell>
          <cell r="T78" t="str">
            <v>No</v>
          </cell>
          <cell r="U78" t="str">
            <v>Verificar que se sigan implementando los PIAR para los estudiantes nuevos que lleguen a la institución educativa</v>
          </cell>
        </row>
        <row r="79">
          <cell r="A79">
            <v>1049</v>
          </cell>
          <cell r="B79"/>
          <cell r="C79" t="str">
            <v>KENNEDY</v>
          </cell>
          <cell r="D79" t="str">
            <v>PRIVADO</v>
          </cell>
          <cell r="E79" t="str">
            <v>EPBM</v>
          </cell>
          <cell r="F79" t="str">
            <v>COLEGIO_JAZMIN_OCCIDENTAL</v>
          </cell>
          <cell r="G79" t="str">
            <v>COLEGIO JAZMIN OCCIDENTAL</v>
          </cell>
          <cell r="H79" t="str">
            <v>Autoevaluación Institucional y Pruebas SABER 11</v>
          </cell>
          <cell r="I79" t="str">
            <v>EVALUACIÓN_CON_FINES_DE_MEJORAMIENTO.</v>
          </cell>
          <cell r="J7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9" t="str">
            <v>LUCY GONZÁLEZ LERMA</v>
          </cell>
          <cell r="L79" t="str">
            <v>LUIS FERNANDO CÁRDENAS URAN</v>
          </cell>
          <cell r="M79">
            <v>45776</v>
          </cell>
          <cell r="N79">
            <v>45776</v>
          </cell>
          <cell r="O79">
            <v>45776</v>
          </cell>
          <cell r="P79" t="str">
            <v>Visitas de evaluación con fines de mejoramiento</v>
          </cell>
          <cell r="Q79" t="str">
            <v>ACTA DE VISITA COLEGIO JAZMIN OCCIDENTAL.pdf</v>
          </cell>
          <cell r="R79" t="str">
            <v xml:space="preserve">Aunque se evidencia participación en la elaboración Manual de Convivencia  no hay evidencia que exprese  la materialización  frente a la garantía de que el estudiante está siendo  escuchado bajo presunción. </v>
          </cell>
          <cell r="S79" t="str">
            <v>Documentar  el proceso de construcción participativa del  Manual de Convivencia.</v>
          </cell>
          <cell r="T79" t="str">
            <v>Si</v>
          </cell>
          <cell r="U79" t="str">
            <v>El  ELIV  verificará  que se realice  el ajuste  al  manual de convivencia  en el aspecto de escuchar a los estudiantes debido a que esto  promueve un ambiente escolar más democrático, respetuoso y participativo también  fomenta la confianza, mejora la convivencia al interior de la institución  y permite identificar conflictos o necesidades antes de que se escalen. Se realiza mesa de seguimiento el día 22 de septiembre 2025.</v>
          </cell>
        </row>
        <row r="80">
          <cell r="A80">
            <v>1050</v>
          </cell>
          <cell r="B80"/>
          <cell r="C80" t="str">
            <v>KENNEDY</v>
          </cell>
          <cell r="D80" t="str">
            <v>PRIVADO</v>
          </cell>
          <cell r="E80" t="str">
            <v>EPBM</v>
          </cell>
          <cell r="F80" t="str">
            <v>COLEGIO_JAZMIN_OCCIDENTAL</v>
          </cell>
          <cell r="G80" t="str">
            <v>COLEGIO JAZMIN OCCIDENTAL</v>
          </cell>
          <cell r="H80" t="str">
            <v>Autoevaluación Institucional y Pruebas SABER 11</v>
          </cell>
          <cell r="I80" t="str">
            <v>EVALUACIÓN_CON_FINES_DE_MEJORAMIENTO.</v>
          </cell>
          <cell r="J80" t="str">
            <v>Verificar el funcionamiento del Gobierno Escolar e instancias de participación con base en la información sobre conformación reportada por la institución educativa.</v>
          </cell>
          <cell r="K80" t="str">
            <v>LUCY GONZÁLEZ LERMA</v>
          </cell>
          <cell r="L80" t="str">
            <v>LUIS FERNANDO CÁRDENAS URAN</v>
          </cell>
          <cell r="M80">
            <v>45776</v>
          </cell>
          <cell r="N80">
            <v>45776</v>
          </cell>
          <cell r="O80">
            <v>45776</v>
          </cell>
          <cell r="P80" t="str">
            <v>Visitas de evaluación con fines de mejoramiento</v>
          </cell>
          <cell r="Q80" t="str">
            <v>ACTA DE VISITA COLEGIO JAZMIN OCCIDENTAL.pdf</v>
          </cell>
          <cell r="R80" t="str">
            <v>Se evidenciaron actas ,Libro de Actas, Actas del Sistema de Apoyo Escolar.</v>
          </cell>
          <cell r="S80" t="str">
            <v>El gobierno escolar y las instancias de participación deben seguir funcionando de acuerdo a la normatividad vigente</v>
          </cell>
          <cell r="T80" t="str">
            <v>No</v>
          </cell>
          <cell r="U80" t="str">
            <v>El ELIV verificará que  de forma sistemática y continua  la institución educativa garantice condiciones efectivas para la participación activa, informada y representativa de los estudiantes en los distintos espacios del Gobierno Escolar, conforme a lo establecido en la normatividad educativa vigente.</v>
          </cell>
        </row>
        <row r="81">
          <cell r="A81">
            <v>1051</v>
          </cell>
          <cell r="B81"/>
          <cell r="C81" t="str">
            <v>KENNEDY</v>
          </cell>
          <cell r="D81" t="str">
            <v>PRIVADO</v>
          </cell>
          <cell r="E81" t="str">
            <v>EPBM</v>
          </cell>
          <cell r="F81" t="str">
            <v>COLEGIO_LAZARILLO_DE_TORMES</v>
          </cell>
          <cell r="G81" t="str">
            <v>COLEGIO LAZARILLO DE TORMES</v>
          </cell>
          <cell r="H81" t="str">
            <v>Autoevaluación Institucional y Pruebas SABER 11</v>
          </cell>
          <cell r="I81" t="str">
            <v>SEGUIMIENTO_Y_SUPERVISIÓN.</v>
          </cell>
          <cell r="J81" t="str">
            <v>Proponer estrategias en la formulación, verificar su elaboración y realizar seguimiento semestral al desarrollo de  las acciones establecidas en los planes de mejoramiento por pruebas SABER 11 de los establecimientos de educación formal.</v>
          </cell>
          <cell r="K81" t="str">
            <v>GERMÁN EDUARDO TORO ROSERO</v>
          </cell>
          <cell r="L81" t="str">
            <v>VIVANA PILAR BOHÓRQUEZ DÍAZ</v>
          </cell>
          <cell r="M81">
            <v>45777</v>
          </cell>
          <cell r="N81">
            <v>45797</v>
          </cell>
          <cell r="O81">
            <v>45797</v>
          </cell>
          <cell r="P81" t="str">
            <v>Visitas de evaluación con fines de mejoramiento</v>
          </cell>
          <cell r="Q81" t="str">
            <v>ACTA DE VISITA COLEGIO LAZARILLO DE TORMES</v>
          </cell>
          <cell r="R81" t="str">
            <v>La IE no presenta evidencias de la ejecución del plan de mejoramiento de las pruebas saber 11, tampoco contempla la población con discapacidad</v>
          </cell>
          <cell r="S81" t="str">
            <v>Teniendo en cuenta el análisis y la revisión de los resultados de las pruebas saber 11, la IE debe presentar plan de mejoramiento y evidencias de ejecución que contemple   la población con discapacidad</v>
          </cell>
          <cell r="T81" t="str">
            <v>Si</v>
          </cell>
          <cell r="U81" t="str">
            <v>Seguimiento al cumplimiento del plan de mejoramiento. Se realiza mesa de seguimiento el día 22 de septiembre 2025.Se validará el cumplimiento de las actividades pendientes el 5 de diciembre.</v>
          </cell>
        </row>
        <row r="82">
          <cell r="A82">
            <v>1052</v>
          </cell>
          <cell r="B82"/>
          <cell r="C82" t="str">
            <v>KENNEDY</v>
          </cell>
          <cell r="D82" t="str">
            <v>PRIVADO</v>
          </cell>
          <cell r="E82" t="str">
            <v>EPBM</v>
          </cell>
          <cell r="F82" t="str">
            <v>COLEGIO_LAZARILLO_DE_TORMES</v>
          </cell>
          <cell r="G82" t="str">
            <v>COLEGIO LAZARILLO DE TORMES</v>
          </cell>
          <cell r="H82" t="str">
            <v>Autoevaluación Institucional y Pruebas SABER 11</v>
          </cell>
          <cell r="I82" t="str">
            <v>SEGUIMIENTO_Y_SUPERVISIÓN.</v>
          </cell>
          <cell r="J82" t="str">
            <v xml:space="preserve">Verificar la implementación por parte de los colegios, de acciones realizadas para la prevención y atención de las situaciones de convivencia en el entorno escolar, según lo establecido en la Directiva 01 de 2022 del MEN. </v>
          </cell>
          <cell r="K82" t="str">
            <v>GERMÁN EDUARDO TORO ROSERO</v>
          </cell>
          <cell r="L82" t="str">
            <v>VIVANA PILAR BOHÓRQUEZ DÍAZ</v>
          </cell>
          <cell r="M82">
            <v>45777</v>
          </cell>
          <cell r="N82">
            <v>45797</v>
          </cell>
          <cell r="O82">
            <v>45797</v>
          </cell>
          <cell r="P82" t="str">
            <v>Visitas de evaluación con fines de mejoramiento</v>
          </cell>
          <cell r="Q82" t="str">
            <v>ACTA DE VISITA COLEGIO LAZARILLO DE TORMES</v>
          </cell>
          <cell r="R82" t="str">
            <v xml:space="preserve">La IE no cuenta con la clave para el acceso al Sistema de Alertas de la SED para reportar casos de convivencia escolar, los protocolos de atención están incompletos si tomamos como referencia los establecidos por la Secretaría de Educación. </v>
          </cell>
          <cell r="S82" t="str">
            <v>Solicitar la clave de acceso en el sistema de Alertas para reportar situaciones tipo II y III.</v>
          </cell>
          <cell r="T82" t="str">
            <v>Si</v>
          </cell>
          <cell r="U82" t="str">
            <v>Seguimiento al cumplimiento del plan de mejoramiento.  Se realiza mesa de seguimiento el día 22 de septiembre 2025.Se validará el cumplimiento de las actividades pendientes el 5 de diciembre.</v>
          </cell>
        </row>
        <row r="83">
          <cell r="A83">
            <v>1053</v>
          </cell>
          <cell r="B83"/>
          <cell r="C83" t="str">
            <v>KENNEDY</v>
          </cell>
          <cell r="D83" t="str">
            <v>PRIVADO</v>
          </cell>
          <cell r="E83" t="str">
            <v>EPBM</v>
          </cell>
          <cell r="F83" t="str">
            <v>COLEGIO_LAZARILLO_DE_TORMES</v>
          </cell>
          <cell r="G83" t="str">
            <v>COLEGIO LAZARILLO DE TORMES</v>
          </cell>
          <cell r="H83" t="str">
            <v>Autoevaluación Institucional y Pruebas SABER 11</v>
          </cell>
          <cell r="I83" t="str">
            <v>SEGUIMIENTO_Y_SUPERVISIÓN.</v>
          </cell>
          <cell r="J8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3" t="str">
            <v>GERMÁN EDUARDO TORO ROSERO</v>
          </cell>
          <cell r="L83" t="str">
            <v>VIVANA PILAR BOHÓRQUEZ DÍAZ</v>
          </cell>
          <cell r="M83">
            <v>45777</v>
          </cell>
          <cell r="N83">
            <v>45797</v>
          </cell>
          <cell r="O83">
            <v>45797</v>
          </cell>
          <cell r="P83" t="str">
            <v>Visitas de evaluación con fines de mejoramiento</v>
          </cell>
          <cell r="Q83" t="str">
            <v>ACTA DE VISITA COLEGIO LAZARILLO DE TORMES</v>
          </cell>
          <cell r="R83" t="str">
            <v xml:space="preserve">El colegio realiza la caracterización de los estudiantes de inclusión, así mismo elabora e implementa los Planes Individuales de Ajustes Razonables. </v>
          </cell>
          <cell r="S83" t="str">
            <v xml:space="preserve">Mantener el proceso de acompañamiento pedagógico y hacer seguimiento a los casos identificados. </v>
          </cell>
          <cell r="T83" t="str">
            <v>No</v>
          </cell>
          <cell r="U83" t="str">
            <v xml:space="preserve">No requiere plan de mejoramiento, puesto que esta adelantado su acompañamiento conforme al Decreto 1421. </v>
          </cell>
        </row>
        <row r="84">
          <cell r="A84">
            <v>1054</v>
          </cell>
          <cell r="B84"/>
          <cell r="C84" t="str">
            <v>KENNEDY</v>
          </cell>
          <cell r="D84" t="str">
            <v>PRIVADO</v>
          </cell>
          <cell r="E84" t="str">
            <v>EPBM</v>
          </cell>
          <cell r="F84" t="str">
            <v>COLEGIO_LAZARILLO_DE_TORMES</v>
          </cell>
          <cell r="G84" t="str">
            <v>COLEGIO LAZARILLO DE TORMES</v>
          </cell>
          <cell r="H84" t="str">
            <v>Autoevaluación Institucional y Pruebas SABER 11</v>
          </cell>
          <cell r="I84" t="str">
            <v>EVALUACIÓN_CON_FINES_DE_MEJORAMIENTO.</v>
          </cell>
          <cell r="J8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4" t="str">
            <v>GERMÁN EDUARDO TORO ROSERO</v>
          </cell>
          <cell r="L84" t="str">
            <v>VIVANA PILAR BOHÓRQUEZ DÍAZ</v>
          </cell>
          <cell r="M84">
            <v>45777</v>
          </cell>
          <cell r="N84">
            <v>45797</v>
          </cell>
          <cell r="O84">
            <v>45797</v>
          </cell>
          <cell r="P84" t="str">
            <v>Visitas de evaluación con fines de mejoramiento</v>
          </cell>
          <cell r="Q84" t="str">
            <v>ACTA DE VISITA COLEGIO LAZARILLO DE TORMES</v>
          </cell>
          <cell r="R84" t="str">
            <v xml:space="preserve">El manual de convivencia de la IE se encuentra desactualizado y en muchos de sus apartes es contrario a la norma. </v>
          </cell>
          <cell r="S84" t="str">
            <v>La IE debe actualizar y ajustar el manual de convivencia, especialmente en lo relacionado a debido proceso, otros cobros periódicos, protocolos de atención a situaciones de convivencia escolar, condiciones del servicio social obligatorio e incluir los enfoques de derechos humanos, diversidad, inclusión y enfoque restaurativo.</v>
          </cell>
          <cell r="T84" t="str">
            <v>Si</v>
          </cell>
          <cell r="U84" t="str">
            <v>Seguimiento al cumplimiento del plan de mejoramiento.  Se realiza mesa de seguimiento el día 22 de septiembre 2025.Se validará el cumplimiento de las actividades pendientes el 5 de diciembre.</v>
          </cell>
        </row>
        <row r="85">
          <cell r="A85">
            <v>1055</v>
          </cell>
          <cell r="B85"/>
          <cell r="C85" t="str">
            <v>KENNEDY</v>
          </cell>
          <cell r="D85" t="str">
            <v>PRIVADO</v>
          </cell>
          <cell r="E85" t="str">
            <v>EPBM</v>
          </cell>
          <cell r="F85" t="str">
            <v>COLEGIO_LAZARILLO_DE_TORMES</v>
          </cell>
          <cell r="G85" t="str">
            <v>COLEGIO LAZARILLO DE TORMES</v>
          </cell>
          <cell r="H85" t="str">
            <v>Autoevaluación Institucional y Pruebas SABER 11</v>
          </cell>
          <cell r="I85" t="str">
            <v>EVALUACIÓN_CON_FINES_DE_MEJORAMIENTO.</v>
          </cell>
          <cell r="J85" t="str">
            <v>Verificar las condiciones en cuanto a: la estructura administrativa, condiciones de la planta física y medios educativos adecuados.</v>
          </cell>
          <cell r="K85" t="str">
            <v>GERMÁN EDUARDO TORO ROSERO</v>
          </cell>
          <cell r="L85" t="str">
            <v>VIVANA PILAR BOHÓRQUEZ DÍAZ</v>
          </cell>
          <cell r="M85">
            <v>45777</v>
          </cell>
          <cell r="N85">
            <v>45797</v>
          </cell>
          <cell r="O85">
            <v>45797</v>
          </cell>
          <cell r="P85" t="str">
            <v>Visitas de evaluación con fines de mejoramiento</v>
          </cell>
          <cell r="Q85" t="str">
            <v>ACTA DE VISITA COLEGIO LAZARILLO DE TORMES</v>
          </cell>
          <cell r="R85" t="str">
            <v>Algunos elementos del mobiliario se encuentran deteriorados (pupitres, colchonetas, balones, libros, entre otros)</v>
          </cell>
          <cell r="S85" t="str">
            <v xml:space="preserve">La IE debe proyectar a mediano plazo un plan para reposición de mobiliario. </v>
          </cell>
          <cell r="T85" t="str">
            <v>Si</v>
          </cell>
          <cell r="U85" t="str">
            <v>Seguimiento al cumplimiento del plan de mejoramiento.  Se realiza mesa de seguimiento el día 22 de septiembre 2025.Se validará el cumplimiento de las actividades pendientes el 5 de diciembre.</v>
          </cell>
        </row>
        <row r="86">
          <cell r="A86">
            <v>1056</v>
          </cell>
          <cell r="B86"/>
          <cell r="C86" t="str">
            <v>KENNEDY</v>
          </cell>
          <cell r="D86" t="str">
            <v>PRIVADO</v>
          </cell>
          <cell r="E86" t="str">
            <v>EPBM</v>
          </cell>
          <cell r="F86" t="str">
            <v>COLEGIO_MANDALAY</v>
          </cell>
          <cell r="G86" t="str">
            <v>COLEGIO MANDALAY</v>
          </cell>
          <cell r="H86" t="str">
            <v>Autoevaluación Institucional y Pruebas SABER 11</v>
          </cell>
          <cell r="I86" t="str">
            <v>SEGUIMIENTO_Y_SUPERVISIÓN.</v>
          </cell>
          <cell r="J86" t="str">
            <v>Proponer estrategias en la formulación, verificar su elaboración y realizar seguimiento semestral al desarrollo de  las acciones establecidas en los planes de mejoramiento por pruebas SABER 11 de los establecimientos de educación formal.</v>
          </cell>
          <cell r="K86" t="str">
            <v>INGRID VIVIANA DÁVILA ÁVILA</v>
          </cell>
          <cell r="L86" t="str">
            <v xml:space="preserve">DIANA ZULAY HUERTAS ORTÍZ </v>
          </cell>
          <cell r="M86">
            <v>45783</v>
          </cell>
          <cell r="N86">
            <v>45783</v>
          </cell>
          <cell r="O86">
            <v>45783</v>
          </cell>
          <cell r="P86" t="str">
            <v>Visitas de evaluación con fines de mejoramiento</v>
          </cell>
          <cell r="Q86" t="str">
            <v>ACTA VISITA COLEGIO MANDALAY.pdf</v>
          </cell>
          <cell r="R86" t="str">
            <v>No se encontró la actualización el currículo, plan de estudios y análisis de resultados de pruebas Saber 11</v>
          </cell>
          <cell r="S86" t="str">
            <v xml:space="preserve">Reunir al consejo académico y realizar análisis y actualización del currículo plan de estudios y análisis de resultados de pruebas </v>
          </cell>
          <cell r="T86" t="str">
            <v>Si</v>
          </cell>
          <cell r="U86" t="str">
            <v>Revisión de las acciones ejecutadas por la institución educativa con respecto al análisis realizado.  Se realiza mesa de seguimiento el día 26 de septiembre 2025.Se validará el cumplimiento de las actividades pendientes el 30 de octubre.</v>
          </cell>
        </row>
        <row r="87">
          <cell r="A87">
            <v>1057</v>
          </cell>
          <cell r="B87"/>
          <cell r="C87" t="str">
            <v>KENNEDY</v>
          </cell>
          <cell r="D87" t="str">
            <v>PRIVADO</v>
          </cell>
          <cell r="E87" t="str">
            <v>EPBM</v>
          </cell>
          <cell r="F87" t="str">
            <v>COLEGIO_MANDALAY</v>
          </cell>
          <cell r="G87" t="str">
            <v>COLEGIO MANDALAY</v>
          </cell>
          <cell r="H87" t="str">
            <v>Autoevaluación Institucional y Pruebas SABER 11</v>
          </cell>
          <cell r="I87" t="str">
            <v>SEGUIMIENTO_Y_SUPERVISIÓN.</v>
          </cell>
          <cell r="J8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7" t="str">
            <v>INGRID VIVIANA DÁVILA ÁVILA</v>
          </cell>
          <cell r="L87" t="str">
            <v xml:space="preserve">DIANA ZULAY HUERTAS ORTÍZ </v>
          </cell>
          <cell r="M87">
            <v>45783</v>
          </cell>
          <cell r="N87">
            <v>45783</v>
          </cell>
          <cell r="O87">
            <v>45783</v>
          </cell>
          <cell r="P87" t="str">
            <v>Visitas de evaluación con fines de mejoramiento</v>
          </cell>
          <cell r="Q87" t="str">
            <v>ACTA VISITA COLEGIO MANDALAY.pdf</v>
          </cell>
          <cell r="R87" t="str">
            <v xml:space="preserve">La institución educativa tiene 6 estudiantes con discapacidad y cada uno de ellos cuenta con el Plan Individual de Ajustes Razonables -PIAR y el respectivo seguimiento. </v>
          </cell>
          <cell r="S87" t="str">
            <v>Continuar adelantando seguimiento periódico (acorde con el sistema institucional de evaluación)  y actualización anual a los Planes Individuales de Ajustes Razonables -PIAR</v>
          </cell>
          <cell r="T87" t="str">
            <v>No</v>
          </cell>
          <cell r="U87" t="str">
            <v>Verificar que se sigan implementando los PIAR para los estudiantes nuevos que lleguen a la institución educativa</v>
          </cell>
        </row>
        <row r="88">
          <cell r="A88">
            <v>1058</v>
          </cell>
          <cell r="B88"/>
          <cell r="C88" t="str">
            <v>KENNEDY</v>
          </cell>
          <cell r="D88" t="str">
            <v>PRIVADO</v>
          </cell>
          <cell r="E88" t="str">
            <v>EPBM</v>
          </cell>
          <cell r="F88" t="str">
            <v>COLEGIO_MANDALAY</v>
          </cell>
          <cell r="G88" t="str">
            <v>COLEGIO MANDALAY</v>
          </cell>
          <cell r="H88" t="str">
            <v>Autoevaluación Institucional y Pruebas SABER 11</v>
          </cell>
          <cell r="I88" t="str">
            <v>EVALUACIÓN_CON_FINES_DE_MEJORAMIENTO.</v>
          </cell>
          <cell r="J8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8" t="str">
            <v>INGRID VIVIANA DÁVILA ÁVILA</v>
          </cell>
          <cell r="L88" t="str">
            <v xml:space="preserve">DIANA ZULAY HUERTAS ORTÍZ </v>
          </cell>
          <cell r="M88">
            <v>45783</v>
          </cell>
          <cell r="N88">
            <v>45783</v>
          </cell>
          <cell r="O88">
            <v>45783</v>
          </cell>
          <cell r="P88" t="str">
            <v>Visitas de evaluación con fines de mejoramiento</v>
          </cell>
          <cell r="Q88" t="str">
            <v>ACTA VISITA COLEGIO MANDALAY.pdf</v>
          </cell>
          <cell r="R88" t="str">
            <v>Se encontró en el manual de convivencia algunas faltas de convivencia tipificadas como situaciones tipo I, II y III, teniendo en cuenta que no siempre una falta representa una situación.</v>
          </cell>
          <cell r="S88" t="str">
            <v>Realizar revisión del manual de convivencia en cuanto a la tipificación de faltas y situaciones</v>
          </cell>
          <cell r="T88" t="str">
            <v>Si</v>
          </cell>
          <cell r="U88" t="str">
            <v>Verificar la revisión y actualización del manual de convivencia.  Se realiza mesa de seguimiento el día 26 de septiembre 2025.Se validará el cumplimiento de las actividades pendientes el 30 de octubre.</v>
          </cell>
        </row>
        <row r="89">
          <cell r="A89">
            <v>1059</v>
          </cell>
          <cell r="B89"/>
          <cell r="C89" t="str">
            <v>KENNEDY</v>
          </cell>
          <cell r="D89" t="str">
            <v>PRIVADO</v>
          </cell>
          <cell r="E89" t="str">
            <v>EPBM</v>
          </cell>
          <cell r="F89" t="str">
            <v>COLEGIO_MANDALAY</v>
          </cell>
          <cell r="G89" t="str">
            <v>COLEGIO MANDALAY</v>
          </cell>
          <cell r="H89" t="str">
            <v>Autoevaluación Institucional y Pruebas SABER 11</v>
          </cell>
          <cell r="I89" t="str">
            <v>EVALUACIÓN_CON_FINES_DE_MEJORAMIENTO.</v>
          </cell>
          <cell r="J89" t="str">
            <v>Verificar el funcionamiento del Gobierno Escolar e instancias de participación con base en la información sobre conformación reportada por la institución educativa.</v>
          </cell>
          <cell r="K89" t="str">
            <v>INGRID VIVIANA DÁVILA ÁVILA</v>
          </cell>
          <cell r="L89" t="str">
            <v xml:space="preserve">DIANA ZULAY HUERTAS ORTÍZ </v>
          </cell>
          <cell r="M89">
            <v>45783</v>
          </cell>
          <cell r="N89">
            <v>45783</v>
          </cell>
          <cell r="O89">
            <v>45783</v>
          </cell>
          <cell r="P89" t="str">
            <v>Visitas de evaluación con fines de mejoramiento</v>
          </cell>
          <cell r="Q89" t="str">
            <v>ACTA VISITA COLEGIO MANDALAY.pdf</v>
          </cell>
          <cell r="R89" t="str">
            <v>Al revisar las actas de consejo directivo de 2025 este órgano de participación solo se ha reunido en una oportunidad para su conformación.</v>
          </cell>
          <cell r="S89" t="str">
            <v>Reunir al consejo directivo de manera mensual, según lo indica el decreto 1075.</v>
          </cell>
          <cell r="T89" t="str">
            <v>Si</v>
          </cell>
          <cell r="U89" t="str">
            <v>Revisar las actas del consejo directivo y verificar la frecuencia con que se reúne y los temas abordados.  Se realiza mesa de seguimiento el día 26 de septiembre 2025.Se validará el cumplimiento de las actividades pendientes el 30 de octubre.</v>
          </cell>
        </row>
        <row r="90">
          <cell r="A90">
            <v>1060</v>
          </cell>
          <cell r="B90">
            <v>16</v>
          </cell>
          <cell r="C90" t="str">
            <v>KENNEDY</v>
          </cell>
          <cell r="D90" t="str">
            <v>PRIVADO</v>
          </cell>
          <cell r="E90" t="str">
            <v>EPBM</v>
          </cell>
          <cell r="F90" t="str">
            <v>GIMNASIO_MODERNO_SAN_FRANCISCO_EL_TINTAL</v>
          </cell>
          <cell r="G90" t="str">
            <v>GIMNASIO MODERNO SAN FRANCISCO EL TINTAL</v>
          </cell>
          <cell r="H90" t="str">
            <v>Autoevaluación Institucional y Pruebas SABER 11</v>
          </cell>
          <cell r="I90" t="str">
            <v>SEGUIMIENTO_Y_SUPERVISIÓN.</v>
          </cell>
          <cell r="J90" t="str">
            <v>Realizar visitas para verificar la información registrada sobre la autoevaluación institucional en el aplicativo EVI, a los establecimientos de educación formal no oficial.</v>
          </cell>
          <cell r="K90" t="str">
            <v>ADRIANA VENEGAS VALERA</v>
          </cell>
          <cell r="L90" t="str">
            <v>VIVANA PILAR BOHÓRQUEZ DÍAZ</v>
          </cell>
          <cell r="M90">
            <v>45784</v>
          </cell>
          <cell r="N90">
            <v>45784</v>
          </cell>
          <cell r="O90">
            <v>45784</v>
          </cell>
          <cell r="P90" t="str">
            <v>Visitas de evaluación con fines de mejoramiento</v>
          </cell>
          <cell r="Q90" t="str">
            <v>ACTA VISITA GIMNASIO MODERNO EL TINTAL.pdf</v>
          </cell>
          <cell r="R90" t="str">
            <v>La EE, registra información en el aplicativo EVI, que da cuenta de la realidad institucional</v>
          </cell>
          <cell r="S90" t="str">
            <v>Continuar reportando en el aplicativo información que da cuenta de la realidad institucional.</v>
          </cell>
          <cell r="T90" t="str">
            <v>No</v>
          </cell>
          <cell r="U90" t="str">
            <v>El ELIV, verificará en la próxima vigencia que la información registrada en el EVI da cuenta de la realidad institucional.</v>
          </cell>
        </row>
        <row r="91">
          <cell r="A91">
            <v>1061</v>
          </cell>
          <cell r="B91"/>
          <cell r="C91" t="str">
            <v>KENNEDY</v>
          </cell>
          <cell r="D91" t="str">
            <v>PRIVADO</v>
          </cell>
          <cell r="E91" t="str">
            <v>EPBM</v>
          </cell>
          <cell r="F91" t="str">
            <v>GIMNASIO_MODERNO_SAN_FRANCISCO_EL_TINTAL</v>
          </cell>
          <cell r="G91" t="str">
            <v>GIMNASIO MODERNO SAN FRANCISCO EL TINTAL</v>
          </cell>
          <cell r="H91" t="str">
            <v>Autoevaluación Institucional y Pruebas SABER 11</v>
          </cell>
          <cell r="I91" t="str">
            <v>SEGUIMIENTO_Y_SUPERVISIÓN.</v>
          </cell>
          <cell r="J91" t="str">
            <v xml:space="preserve">Verificar la implementación por parte de los colegios, de acciones realizadas para la prevención y atención de las situaciones de convivencia en el entorno escolar, según lo establecido en la Directiva 01 de 2022 del MEN. </v>
          </cell>
          <cell r="K91" t="str">
            <v>ADRIANA VENEGAS VALERA</v>
          </cell>
          <cell r="L91" t="str">
            <v>VIVANA PILAR BOHÓRQUEZ DÍAZ</v>
          </cell>
          <cell r="M91">
            <v>45784</v>
          </cell>
          <cell r="N91">
            <v>45784</v>
          </cell>
          <cell r="O91">
            <v>45784</v>
          </cell>
          <cell r="P91" t="str">
            <v>Visitas de evaluación con fines de mejoramiento</v>
          </cell>
          <cell r="Q91" t="str">
            <v>ACTA VISITA GIMNASIO MODERNO EL TINTAL.pdf</v>
          </cell>
          <cell r="R91" t="str">
            <v>La EE, no cuenta con un programa de promoción y prevención de situaciones que afectan la convivencia escolar, articulado con el manual de convivencia escolar.</v>
          </cell>
          <cell r="S91" t="str">
            <v xml:space="preserve">Realizar una actualización de manera participativa del manual de convivencia teniendo en cuenta la ruta de atención integral y protocolos paralas situaciones de convivencia escolar. </v>
          </cell>
          <cell r="T91" t="str">
            <v>Si</v>
          </cell>
          <cell r="U91" t="str">
            <v>El ELIV  verificará la actualización de manera participativa del manual de convivencia.  Se realiza mesa de seguimiento el día 23 de septiembre 2025.Se validará el cumplimiento de las actividades pendientes el  7 de noviembre.</v>
          </cell>
        </row>
        <row r="92">
          <cell r="A92">
            <v>1062</v>
          </cell>
          <cell r="B92"/>
          <cell r="C92" t="str">
            <v>KENNEDY</v>
          </cell>
          <cell r="D92" t="str">
            <v>PRIVADO</v>
          </cell>
          <cell r="E92" t="str">
            <v>EPBM</v>
          </cell>
          <cell r="F92" t="str">
            <v>GIMNASIO_MODERNO_SAN_FRANCISCO_EL_TINTAL</v>
          </cell>
          <cell r="G92" t="str">
            <v>GIMNASIO MODERNO SAN FRANCISCO EL TINTAL</v>
          </cell>
          <cell r="H92" t="str">
            <v>Autoevaluación Institucional y Pruebas SABER 11</v>
          </cell>
          <cell r="I92" t="str">
            <v>EVALUACIÓN_CON_FINES_DE_MEJORAMIENTO.</v>
          </cell>
          <cell r="J92" t="str">
            <v>Verificar el funcionamiento del Gobierno Escolar e instancias de participación con base en la información sobre conformación reportada por la institución educativa.</v>
          </cell>
          <cell r="K92" t="str">
            <v>ADRIANA VENEGAS VALERA</v>
          </cell>
          <cell r="L92" t="str">
            <v>VIVANA PILAR BOHÓRQUEZ DÍAZ</v>
          </cell>
          <cell r="M92">
            <v>45784</v>
          </cell>
          <cell r="N92">
            <v>45784</v>
          </cell>
          <cell r="O92">
            <v>45784</v>
          </cell>
          <cell r="P92" t="str">
            <v>Visitas de evaluación con fines de mejoramiento</v>
          </cell>
          <cell r="Q92" t="str">
            <v>ACTA VISITA GIMNASIO MODERNO EL TINTAL.pdf</v>
          </cell>
          <cell r="R92" t="str">
            <v xml:space="preserve">La institución educativa cuenta con las actas de conformación del gobierno escolar, sin embargo no ha sido convocado el consejo académico y se requiere la actualización de los planes de estudio. </v>
          </cell>
          <cell r="S92" t="str">
            <v xml:space="preserve">Actualización de los planes de estudio de educación preescolar de conformidad con el lineamiento pedagógico y curricular para la educación inicial, así como la inclusión del proyecto transversal del uso del tiempo libre. </v>
          </cell>
          <cell r="T92" t="str">
            <v>Si</v>
          </cell>
          <cell r="U92" t="str">
            <v>Verificar la operatividad del consejo académico en la actualización de planes de estudio y demás gestión académica de la institución. Se realiza mesa de seguimiento el día 23 de septiembre 2025.Se validará el cumplimiento de las actividades pendientes el  7 de noviembre.</v>
          </cell>
        </row>
        <row r="93">
          <cell r="A93">
            <v>1063</v>
          </cell>
          <cell r="B93"/>
          <cell r="C93" t="str">
            <v>KENNEDY</v>
          </cell>
          <cell r="D93" t="str">
            <v>PRIVADO</v>
          </cell>
          <cell r="E93" t="str">
            <v>EPBM</v>
          </cell>
          <cell r="F93" t="str">
            <v>GIMNASIO_MODERNO_SAN_FRANCISCO_EL_TINTAL</v>
          </cell>
          <cell r="G93" t="str">
            <v>GIMNASIO MODERNO SAN FRANCISCO EL TINTAL</v>
          </cell>
          <cell r="H93" t="str">
            <v>Autoevaluación Institucional y Pruebas SABER 11</v>
          </cell>
          <cell r="I93" t="str">
            <v>EVALUACIÓN_CON_FINES_DE_MEJORAMIENTO.</v>
          </cell>
          <cell r="J93" t="str">
            <v>Verificar las condiciones en cuanto a: la estructura administrativa, condiciones de la planta física y medios educativos adecuados.</v>
          </cell>
          <cell r="K93" t="str">
            <v>ADRIANA VENEGAS VALERA</v>
          </cell>
          <cell r="L93" t="str">
            <v>VIVANA PILAR BOHÓRQUEZ DÍAZ</v>
          </cell>
          <cell r="M93">
            <v>45784</v>
          </cell>
          <cell r="N93">
            <v>45784</v>
          </cell>
          <cell r="O93">
            <v>45784</v>
          </cell>
          <cell r="P93" t="str">
            <v>Visitas de evaluación con fines de mejoramiento</v>
          </cell>
          <cell r="Q93" t="str">
            <v>ACTA VISITA GIMNASIO MODERNO EL TINTAL.pdf</v>
          </cell>
          <cell r="R93" t="str">
            <v>La institución cuenta con la condiciones de estructura administrativa, planta física y medios educativos adecuados.</v>
          </cell>
          <cell r="S93" t="str">
            <v>Mantener  las condiciones de estructura administrativa, planta física y medios educativos adecuados, para atender a la población matriculada en le EE.</v>
          </cell>
          <cell r="T93" t="str">
            <v>No</v>
          </cell>
          <cell r="U93" t="str">
            <v>El ELIV, verificará que la institución continua prestando el servicio con las condiciones adecuadas de estructura administrativa, planta física y medios educativos.</v>
          </cell>
        </row>
        <row r="94">
          <cell r="A94">
            <v>1064</v>
          </cell>
          <cell r="B94">
            <v>17</v>
          </cell>
          <cell r="C94" t="str">
            <v>KENNEDY</v>
          </cell>
          <cell r="D94" t="str">
            <v>PRIVADO</v>
          </cell>
          <cell r="E94" t="str">
            <v>EPBM</v>
          </cell>
          <cell r="F94" t="str">
            <v>COLEGIO_MI_PATRIA</v>
          </cell>
          <cell r="G94" t="str">
            <v>COLEGIO MI PATRIA</v>
          </cell>
          <cell r="H94" t="str">
            <v>Autoevaluación Institucional y Pruebas SABER 11</v>
          </cell>
          <cell r="I94" t="str">
            <v>SEGUIMIENTO_Y_SUPERVISIÓN.</v>
          </cell>
          <cell r="J94" t="str">
            <v>Realizar visitas para verificar la información registrada sobre la autoevaluación institucional en el aplicativo EVI, a los establecimientos de educación formal no oficial.</v>
          </cell>
          <cell r="K94" t="str">
            <v>GERMÁN EDUARDO TORO ROSERO</v>
          </cell>
          <cell r="L94" t="str">
            <v>LUIS FERNANDO CÁRDENAS URAN</v>
          </cell>
          <cell r="M94">
            <v>45785</v>
          </cell>
          <cell r="N94">
            <v>45785</v>
          </cell>
          <cell r="O94">
            <v>45785</v>
          </cell>
          <cell r="P94" t="str">
            <v>Visitas de evaluación con fines de mejoramiento</v>
          </cell>
          <cell r="Q94" t="str">
            <v>ACTA DE VISITA COLEGIO MI PATRIA.pdf</v>
          </cell>
          <cell r="R94" t="str">
            <v xml:space="preserve">
En la visita se observa que la institución educativa está operando en dos plantas físicas diferentes, una en la autorizada en la Resolución 2404 del 27 de agosto de 2003 donde funcionan los grados 7, 8, 9, 10 y 11, además de las oficinas administrativas y la otra planta física que se encuentra al frente de ésta, ubicada en la Cra 68D No. 21 - 92 sur donde funcionan los grados Transición, 1, 2, 3, 4, 5, y 6, además de la sala de informática.  </v>
          </cell>
          <cell r="S94" t="str">
            <v>ELIV citará a la institución educativa para analizar el caso de la planta física que no está autorizada en la licencia de funcionamiento y proceder a su legalización en el caso de que cumpla con los requisitos establecidos en la norma. IE debe explicar el funcionamiento en la otra dirección y presentar la documentación correspondiente para la legalización, si es el caso.</v>
          </cell>
          <cell r="T94" t="str">
            <v>Si</v>
          </cell>
          <cell r="U94" t="str">
            <v>Seguimiento al cumplimiento del plan de mejoramiento. Se realiza visita de seguimiento el 1 de octubre y se establece envío de documentos para el día 5 de diciembre.</v>
          </cell>
        </row>
        <row r="95">
          <cell r="A95">
            <v>1065</v>
          </cell>
          <cell r="B95"/>
          <cell r="C95" t="str">
            <v>KENNEDY</v>
          </cell>
          <cell r="D95" t="str">
            <v>PRIVADO</v>
          </cell>
          <cell r="E95" t="str">
            <v>EPBM</v>
          </cell>
          <cell r="F95" t="str">
            <v>COLEGIO_MI_PATRIA</v>
          </cell>
          <cell r="G95" t="str">
            <v>COLEGIO MI PATRIA</v>
          </cell>
          <cell r="H95" t="str">
            <v>Autoevaluación Institucional y Pruebas SABER 11</v>
          </cell>
          <cell r="I95" t="str">
            <v>SEGUIMIENTO_Y_SUPERVISIÓN.</v>
          </cell>
          <cell r="J95" t="str">
            <v>Proponer estrategias en la formulación, verificar su elaboración y realizar seguimiento semestral al desarrollo de  las acciones establecidas en los planes de mejoramiento por pruebas SABER 11 de los establecimientos de educación formal.</v>
          </cell>
          <cell r="K95" t="str">
            <v>GERMÁN EDUARDO TORO ROSERO</v>
          </cell>
          <cell r="L95" t="str">
            <v>LUIS FERNANDO CÁRDENAS URAN</v>
          </cell>
          <cell r="M95">
            <v>45785</v>
          </cell>
          <cell r="N95">
            <v>45785</v>
          </cell>
          <cell r="O95">
            <v>45785</v>
          </cell>
          <cell r="P95" t="str">
            <v>Visitas de evaluación con fines de mejoramiento</v>
          </cell>
          <cell r="Q95" t="str">
            <v>ACTA DE VISITA COLEGIO MI PATRIA.pdf</v>
          </cell>
          <cell r="R95" t="str">
            <v>La institución no presenta evidencias de la revisión y análisis de los últimos resultados de las pruebas SABER 11</v>
          </cell>
          <cell r="S95" t="str">
            <v>La IE debe realizar la revisión y análisis de las pruebas saber 11 y formular acciones de mejoramiento mediante un plan de acción</v>
          </cell>
          <cell r="T95" t="str">
            <v>Si</v>
          </cell>
          <cell r="U95" t="str">
            <v>Seguimiento al cumplimiento del plan de mejoramiento. Se realiza visita de seguimiento el 1 de octubre y se establece envío de documentos para el día 5 de diciembre.</v>
          </cell>
        </row>
        <row r="96">
          <cell r="A96">
            <v>1066</v>
          </cell>
          <cell r="B96"/>
          <cell r="C96" t="str">
            <v>KENNEDY</v>
          </cell>
          <cell r="D96" t="str">
            <v>PRIVADO</v>
          </cell>
          <cell r="E96" t="str">
            <v>EPBM</v>
          </cell>
          <cell r="F96" t="str">
            <v>COLEGIO_MI_PATRIA</v>
          </cell>
          <cell r="G96" t="str">
            <v>COLEGIO MI PATRIA</v>
          </cell>
          <cell r="H96" t="str">
            <v>Autoevaluación Institucional y Pruebas SABER 11</v>
          </cell>
          <cell r="I96" t="str">
            <v>EVALUACIÓN_CON_FINES_DE_MEJORAMIENTO.</v>
          </cell>
          <cell r="J9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96" t="str">
            <v>GERMÁN EDUARDO TORO ROSERO</v>
          </cell>
          <cell r="L96" t="str">
            <v>LUIS FERNANDO CÁRDENAS URAN</v>
          </cell>
          <cell r="M96">
            <v>45785</v>
          </cell>
          <cell r="N96">
            <v>45785</v>
          </cell>
          <cell r="O96">
            <v>45785</v>
          </cell>
          <cell r="P96" t="str">
            <v>Visitas de evaluación con fines de mejoramiento</v>
          </cell>
          <cell r="Q96" t="str">
            <v>ACTA DE VISITA COLEGIO MI PATRIA.pdf</v>
          </cell>
          <cell r="R96" t="str">
            <v>La IE no presenta evidencias de que el manual de convivencia haya sido elaborado y actualizado con la participación de toda la comunidad educativa, de igual manera el manual no presenta una estructura organizada y no incluye los enfoques de derechos humanos, genero, diversidad y enfoque restaurativo.</v>
          </cell>
          <cell r="S96" t="str">
            <v>La IE debe actualizar su manual de convivencia con la participación de toda la comunidad educativa y debe tener en cuenta el artículo 2.3.3.1.4.4. del Decreto 1075 de 2015, además de incluir los enfoques de derechos humanos, genero, diversidad y enfoque restaurativo.</v>
          </cell>
          <cell r="T96" t="str">
            <v>Si</v>
          </cell>
          <cell r="U96" t="str">
            <v>Seguimiento al cumplimiento del plan de mejoramiento. Se realiza visita de seguimiento el 1 de octubre y se establece envío de documentos para el día 5 de diciembre.</v>
          </cell>
        </row>
        <row r="97">
          <cell r="A97">
            <v>1067</v>
          </cell>
          <cell r="B97"/>
          <cell r="C97" t="str">
            <v>KENNEDY</v>
          </cell>
          <cell r="D97" t="str">
            <v>PRIVADO</v>
          </cell>
          <cell r="E97" t="str">
            <v>EPBM</v>
          </cell>
          <cell r="F97" t="str">
            <v>COLEGIO_MI_PATRIA</v>
          </cell>
          <cell r="G97" t="str">
            <v>COLEGIO MI PATRIA</v>
          </cell>
          <cell r="H97" t="str">
            <v>Autoevaluación Institucional y Pruebas SABER 11</v>
          </cell>
          <cell r="I97" t="str">
            <v>EVALUACIÓN_CON_FINES_DE_MEJORAMIENTO.</v>
          </cell>
          <cell r="J97" t="str">
            <v>Verificar el funcionamiento del Gobierno Escolar e instancias de participación con base en la información sobre conformación reportada por la institución educativa.</v>
          </cell>
          <cell r="K97" t="str">
            <v>GERMÁN EDUARDO TORO ROSERO</v>
          </cell>
          <cell r="L97" t="str">
            <v>LUIS FERNANDO CÁRDENAS URAN</v>
          </cell>
          <cell r="M97">
            <v>45785</v>
          </cell>
          <cell r="N97">
            <v>45785</v>
          </cell>
          <cell r="O97">
            <v>45785</v>
          </cell>
          <cell r="P97" t="str">
            <v>Visitas de evaluación con fines de mejoramiento</v>
          </cell>
          <cell r="Q97" t="str">
            <v>ACTA DE VISITA COLEGIO MI PATRIA.pdf</v>
          </cell>
          <cell r="R97" t="str">
            <v>La IE no evidencia el funcionamiento del gobierno escolar y demás instancias de participación</v>
          </cell>
          <cell r="S97" t="str">
            <v xml:space="preserve">La IE debe operativizar el gobierno escolar y demás instancias de participación dejando las respectivas evidencias. </v>
          </cell>
          <cell r="T97" t="str">
            <v>Si</v>
          </cell>
          <cell r="U97" t="str">
            <v>Seguimiento al cumplimiento del plan de mejoramiento. Se realiza visita de seguimiento el 1 de octubre y se establece envío de documentos para el día 5 de diciembre.</v>
          </cell>
        </row>
        <row r="98">
          <cell r="A98">
            <v>1068</v>
          </cell>
          <cell r="B98">
            <v>18</v>
          </cell>
          <cell r="C98" t="str">
            <v>KENNEDY</v>
          </cell>
          <cell r="D98" t="str">
            <v>PRIVADO</v>
          </cell>
          <cell r="E98" t="str">
            <v>EPBM</v>
          </cell>
          <cell r="F98" t="str">
            <v>COLEGIO_MILITAR_ANTONIA_SANTOS</v>
          </cell>
          <cell r="G98" t="str">
            <v>COLEGIO MILITAR ANTONIA SANTOS</v>
          </cell>
          <cell r="H98" t="str">
            <v>Autoevaluación Institucional y Pruebas SABER 11</v>
          </cell>
          <cell r="I98" t="str">
            <v>SEGUIMIENTO_Y_SUPERVISIÓN.</v>
          </cell>
          <cell r="J98" t="str">
            <v>Realizar visitas para verificar la información registrada sobre la autoevaluación institucional en el aplicativo EVI, a los establecimientos de educación formal no oficial.</v>
          </cell>
          <cell r="K98" t="str">
            <v>INGRID VIVIANA DÁVILA ÁVILA</v>
          </cell>
          <cell r="L98" t="str">
            <v xml:space="preserve">DIANA ZULAY HUERTAS ORTÍZ </v>
          </cell>
          <cell r="M98">
            <v>45790</v>
          </cell>
          <cell r="N98">
            <v>45790</v>
          </cell>
          <cell r="O98">
            <v>45790</v>
          </cell>
          <cell r="P98" t="str">
            <v>Visitas de evaluación con fines de mejoramiento</v>
          </cell>
          <cell r="Q98" t="str">
            <v>ACTA DE VISITA COLEGIO MILITAR ANTONIA SANTOS.pdf</v>
          </cell>
          <cell r="R98" t="str">
            <v>La EE, registra información que da cuenta de la realidad institucional, En cuanto los espacios físicos, gestión administrativa y recursos.</v>
          </cell>
          <cell r="S98" t="str">
            <v>Seguir registrando la información que da cuenta de la realidad institucional.</v>
          </cell>
          <cell r="T98" t="str">
            <v>No</v>
          </cell>
          <cell r="U98" t="str">
            <v>Verificar en el aplicativo EVI, la información registrada.</v>
          </cell>
        </row>
        <row r="99">
          <cell r="A99">
            <v>1069</v>
          </cell>
          <cell r="B99"/>
          <cell r="C99" t="str">
            <v>KENNEDY</v>
          </cell>
          <cell r="D99" t="str">
            <v>PRIVADO</v>
          </cell>
          <cell r="E99" t="str">
            <v>EPBM</v>
          </cell>
          <cell r="F99" t="str">
            <v>COLEGIO_MILITAR_ANTONIA_SANTOS</v>
          </cell>
          <cell r="G99" t="str">
            <v>COLEGIO MILITAR ANTONIA SANTOS</v>
          </cell>
          <cell r="H99" t="str">
            <v>Autoevaluación Institucional y Pruebas SABER 11</v>
          </cell>
          <cell r="I99" t="str">
            <v>SEGUIMIENTO_Y_SUPERVISIÓN.</v>
          </cell>
          <cell r="J99" t="str">
            <v>Proponer estrategias en la formulación, verificar su elaboración y realizar seguimiento semestral al desarrollo de  las acciones establecidas en los planes de mejoramiento por pruebas SABER 11 de los establecimientos de educación formal.</v>
          </cell>
          <cell r="K99" t="str">
            <v>INGRID VIVIANA DÁVILA ÁVILA</v>
          </cell>
          <cell r="L99" t="str">
            <v xml:space="preserve">DIANA ZULAY HUERTAS ORTÍZ </v>
          </cell>
          <cell r="M99">
            <v>45790</v>
          </cell>
          <cell r="N99">
            <v>45790</v>
          </cell>
          <cell r="O99">
            <v>45790</v>
          </cell>
          <cell r="P99" t="str">
            <v>Visitas de evaluación con fines de mejoramiento</v>
          </cell>
          <cell r="Q99" t="str">
            <v>ACTA DE VISITA COLEGIO MILITAR ANTONIA SANTOS.pdf</v>
          </cell>
          <cell r="R99" t="str">
            <v>La EE, no cuenta con un análisis de los resultados de pruebas SABER 11, que le permita establecer estrategias y actualizar su plan de estudios con acciones para mejorar.</v>
          </cell>
          <cell r="S99" t="str">
            <v>Realizar un análisis de los resultado de últimas pruebas SABER 11 y establecer las acciones de mejoramiento junto con el consejo académico e involucrarla en la actualización de los planes de estudio</v>
          </cell>
          <cell r="T99" t="str">
            <v>Si</v>
          </cell>
          <cell r="U99" t="str">
            <v>Verificar el cumplimiento del plan de mejoramiento y de los resultados obtenidos en su implementación. Se realiza mesa de seguimiento el día 26 de septiembre 2025.Se validará el cumplimiento de las actividades pendientes el  5 de diciembre.</v>
          </cell>
        </row>
        <row r="100">
          <cell r="A100">
            <v>1070</v>
          </cell>
          <cell r="B100"/>
          <cell r="C100" t="str">
            <v>KENNEDY</v>
          </cell>
          <cell r="D100" t="str">
            <v>PRIVADO</v>
          </cell>
          <cell r="E100" t="str">
            <v>EPBM</v>
          </cell>
          <cell r="F100" t="str">
            <v>COLEGIO_MILITAR_ANTONIA_SANTOS</v>
          </cell>
          <cell r="G100" t="str">
            <v>COLEGIO MILITAR ANTONIA SANTOS</v>
          </cell>
          <cell r="H100" t="str">
            <v>Autoevaluación Institucional y Pruebas SABER 11</v>
          </cell>
          <cell r="I100" t="str">
            <v>SEGUIMIENTO_Y_SUPERVISIÓN.</v>
          </cell>
          <cell r="J100" t="str">
            <v xml:space="preserve">Verificar la implementación por parte de los colegios, de acciones realizadas para la prevención y atención de las situaciones de convivencia en el entorno escolar, según lo establecido en la Directiva 01 de 2022 del MEN. </v>
          </cell>
          <cell r="K100" t="str">
            <v>INGRID VIVIANA DÁVILA ÁVILA</v>
          </cell>
          <cell r="L100" t="str">
            <v xml:space="preserve">DIANA ZULAY HUERTAS ORTÍZ </v>
          </cell>
          <cell r="M100">
            <v>45790</v>
          </cell>
          <cell r="N100">
            <v>45790</v>
          </cell>
          <cell r="O100">
            <v>45790</v>
          </cell>
          <cell r="P100" t="str">
            <v>Visitas de evaluación con fines de mejoramiento</v>
          </cell>
          <cell r="Q100" t="str">
            <v>ACTA DE VISITA COLEGIO MILITAR ANTONIA SANTOS.pdf</v>
          </cell>
          <cell r="R100" t="str">
            <v xml:space="preserve">La EE, cuenta con un plan de promoción y prevención de situaciones que afectan la convivencia. </v>
          </cell>
          <cell r="S100" t="str">
            <v>Planear y ejecutar anualmente un plan de acción que dé cuenta de las acciones de promoción y prevención de situaciones que afectan la convivencia .</v>
          </cell>
          <cell r="T100" t="str">
            <v>No</v>
          </cell>
          <cell r="U100" t="str">
            <v xml:space="preserve">El ELIV, verificará la ejecución y evaluación del plan de acción para la promoción de la convivencia escolar. </v>
          </cell>
        </row>
        <row r="101">
          <cell r="A101">
            <v>1071</v>
          </cell>
          <cell r="B101"/>
          <cell r="C101" t="str">
            <v>KENNEDY</v>
          </cell>
          <cell r="D101" t="str">
            <v>PRIVADO</v>
          </cell>
          <cell r="E101" t="str">
            <v>EPBM</v>
          </cell>
          <cell r="F101" t="str">
            <v>COLEGIO_MILITAR_ANTONIA_SANTOS</v>
          </cell>
          <cell r="G101" t="str">
            <v>COLEGIO MILITAR ANTONIA SANTOS</v>
          </cell>
          <cell r="H101" t="str">
            <v>Autoevaluación Institucional y Pruebas SABER 11</v>
          </cell>
          <cell r="I101" t="str">
            <v>EVALUACIÓN_CON_FINES_DE_MEJORAMIENTO.</v>
          </cell>
          <cell r="J10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1" t="str">
            <v>INGRID VIVIANA DÁVILA ÁVILA</v>
          </cell>
          <cell r="L101" t="str">
            <v xml:space="preserve">DIANA ZULAY HUERTAS ORTÍZ </v>
          </cell>
          <cell r="M101">
            <v>45790</v>
          </cell>
          <cell r="N101">
            <v>45790</v>
          </cell>
          <cell r="O101">
            <v>45790</v>
          </cell>
          <cell r="P101" t="str">
            <v>Visitas de evaluación con fines de mejoramiento</v>
          </cell>
          <cell r="Q101" t="str">
            <v>ACTA DE VISITA COLEGIO MILITAR ANTONIA SANTOS.pdf</v>
          </cell>
          <cell r="R101" t="str">
            <v>La EE, debe actualizar el manual de convivencia de acuerdo a la normatividad vigente.</v>
          </cell>
          <cell r="S101" t="str">
            <v xml:space="preserve"> Actualizar de manera participativa el manual de convivencia de la institución teniendo los enfoques, la tipificación de situaciones y las faltas de acuerdo a la ley 1620 y decreto 1965.</v>
          </cell>
          <cell r="T101" t="str">
            <v>Si</v>
          </cell>
          <cell r="U101" t="str">
            <v>El ELIV verificará la actualización del manual de convivencia. Se realiza mesa de seguimiento el día 26 de septiembre 2025.Se validará el cumplimiento de las actividades pendientes el  5 de diciembre.</v>
          </cell>
        </row>
        <row r="102">
          <cell r="A102">
            <v>1072</v>
          </cell>
          <cell r="B102"/>
          <cell r="C102" t="str">
            <v>KENNEDY</v>
          </cell>
          <cell r="D102" t="str">
            <v>PRIVADO</v>
          </cell>
          <cell r="E102" t="str">
            <v>EPBM</v>
          </cell>
          <cell r="F102" t="str">
            <v>COLEGIO_MILITAR_ANTONIA_SANTOS</v>
          </cell>
          <cell r="G102" t="str">
            <v>COLEGIO MILITAR ANTONIA SANTOS</v>
          </cell>
          <cell r="H102" t="str">
            <v>Autoevaluación Institucional y Pruebas SABER 11</v>
          </cell>
          <cell r="I102" t="str">
            <v>EVALUACIÓN_CON_FINES_DE_MEJORAMIENTO.</v>
          </cell>
          <cell r="J102" t="str">
            <v>Revisar el calendario escolar, jornada escolar, la intensidad horaria mínima anual en cada nivel y las modificaciones que se realicen al mismo, de acuerdo con lo previsto en la normatividad vigente.</v>
          </cell>
          <cell r="K102" t="str">
            <v>INGRID VIVIANA DÁVILA ÁVILA</v>
          </cell>
          <cell r="L102" t="str">
            <v xml:space="preserve">DIANA ZULAY HUERTAS ORTÍZ </v>
          </cell>
          <cell r="M102">
            <v>45790</v>
          </cell>
          <cell r="N102">
            <v>45790</v>
          </cell>
          <cell r="O102">
            <v>45790</v>
          </cell>
          <cell r="P102" t="str">
            <v>Visitas de evaluación con fines de mejoramiento</v>
          </cell>
          <cell r="Q102" t="str">
            <v>ACTA DE VISITA COLEGIO MILITAR ANTONIA SANTOS.pdf</v>
          </cell>
          <cell r="R102" t="str">
            <v>La EE, cumple con la intensidad horaria mínima anual para cada nivel.</v>
          </cell>
          <cell r="S102" t="str">
            <v xml:space="preserve">La EE, debe seguir cumpliendo con la intensidad horaria mínima. </v>
          </cell>
          <cell r="T102" t="str">
            <v>No</v>
          </cell>
          <cell r="U102" t="str">
            <v xml:space="preserve">El ELIV verificará en la próxima vigencia el cumplimiento del calendario escolar. </v>
          </cell>
        </row>
        <row r="103">
          <cell r="A103">
            <v>1073</v>
          </cell>
          <cell r="B103"/>
          <cell r="C103" t="str">
            <v>KENNEDY</v>
          </cell>
          <cell r="D103" t="str">
            <v>PRIVADO</v>
          </cell>
          <cell r="E103" t="str">
            <v>EPBM</v>
          </cell>
          <cell r="F103" t="str">
            <v>COLEGIO_MILITAR_ANTONIA_SANTOS</v>
          </cell>
          <cell r="G103" t="str">
            <v>COLEGIO MILITAR ANTONIA SANTOS</v>
          </cell>
          <cell r="H103" t="str">
            <v>Autoevaluación Institucional y Pruebas SABER 11</v>
          </cell>
          <cell r="I103" t="str">
            <v>EVALUACIÓN_CON_FINES_DE_MEJORAMIENTO.</v>
          </cell>
          <cell r="J103" t="str">
            <v>Verificar el funcionamiento del Gobierno Escolar e instancias de participación con base en la información sobre conformación reportada por la institución educativa.</v>
          </cell>
          <cell r="K103" t="str">
            <v>INGRID VIVIANA DÁVILA ÁVILA</v>
          </cell>
          <cell r="L103" t="str">
            <v xml:space="preserve">DIANA ZULAY HUERTAS ORTÍZ </v>
          </cell>
          <cell r="M103">
            <v>45790</v>
          </cell>
          <cell r="N103">
            <v>45790</v>
          </cell>
          <cell r="O103">
            <v>45790</v>
          </cell>
          <cell r="P103" t="str">
            <v>Visitas de evaluación con fines de mejoramiento</v>
          </cell>
          <cell r="Q103" t="str">
            <v>ACTA DE VISITA COLEGIO MILITAR ANTONIA SANTOS.pdf</v>
          </cell>
          <cell r="R103" t="str">
            <v>La EE, cumple con la conformación y funcionamiento del gobierno escolar y las instancias de participación.</v>
          </cell>
          <cell r="S103" t="str">
            <v>La EE, debe seguir cumpliendo con la  conformación y funcionamiento del gobierno escolar y las instancias de participación.  Debe reunir el consejo directivo de acuerdo a la normatividad vigente.</v>
          </cell>
          <cell r="T103" t="str">
            <v>No</v>
          </cell>
          <cell r="U103" t="str">
            <v xml:space="preserve">El ELIV verificará la operatividad del gobierno escolar. </v>
          </cell>
        </row>
        <row r="104">
          <cell r="A104">
            <v>1074</v>
          </cell>
          <cell r="B104"/>
          <cell r="C104" t="str">
            <v>KENNEDY</v>
          </cell>
          <cell r="D104" t="str">
            <v>PRIVADO</v>
          </cell>
          <cell r="E104" t="str">
            <v>EPBM</v>
          </cell>
          <cell r="F104" t="str">
            <v>COLEGIO_MILITAR_ANTONIA_SANTOS</v>
          </cell>
          <cell r="G104" t="str">
            <v>COLEGIO MILITAR ANTONIA SANTOS</v>
          </cell>
          <cell r="H104" t="str">
            <v>Autoevaluación Institucional y Pruebas SABER 11</v>
          </cell>
          <cell r="I104" t="str">
            <v>EVALUACIÓN_CON_FINES_DE_MEJORAMIENTO.</v>
          </cell>
          <cell r="J104" t="str">
            <v>Verificar las condiciones en cuanto a: la estructura administrativa, condiciones de la planta física y medios educativos adecuados.</v>
          </cell>
          <cell r="K104" t="str">
            <v>INGRID VIVIANA DÁVILA ÁVILA</v>
          </cell>
          <cell r="L104" t="str">
            <v xml:space="preserve">DIANA ZULAY HUERTAS ORTÍZ </v>
          </cell>
          <cell r="M104">
            <v>45790</v>
          </cell>
          <cell r="N104">
            <v>45790</v>
          </cell>
          <cell r="O104">
            <v>45790</v>
          </cell>
          <cell r="P104" t="str">
            <v>Visitas de evaluación con fines de mejoramiento</v>
          </cell>
          <cell r="Q104" t="str">
            <v>ACTA DE VISITA COLEGIO MILITAR ANTONIA SANTOS.pdf</v>
          </cell>
          <cell r="R104" t="str">
            <v>La EE, cumple con las condiciones de estructura administrativa, condiciones de la planta física y medios educativos adecuados.</v>
          </cell>
          <cell r="S104" t="str">
            <v xml:space="preserve">La EE debe mantener las condiciones de prestación del servicio, en cuanto estructura administrativa, planta física y medios educativos. </v>
          </cell>
          <cell r="T104" t="str">
            <v>No</v>
          </cell>
          <cell r="U104" t="str">
            <v xml:space="preserve">El ELIV verificará que se mantengan las condiciones de prestación del servicio. </v>
          </cell>
        </row>
        <row r="105">
          <cell r="A105">
            <v>1075</v>
          </cell>
          <cell r="B105">
            <v>19</v>
          </cell>
          <cell r="C105" t="str">
            <v>KENNEDY</v>
          </cell>
          <cell r="D105" t="str">
            <v>PRIVADO</v>
          </cell>
          <cell r="E105" t="str">
            <v>EPBM</v>
          </cell>
          <cell r="F105" t="str">
            <v>COLEGIO_MILITAR_COOPERATIVO_JUSTINIANO_QUIÑONEZ_ANGULO</v>
          </cell>
          <cell r="G105" t="str">
            <v>COLEGIO MILITAR COOPERATIVO JUSTINIANO QUIÑONEZ ANGULO</v>
          </cell>
          <cell r="H105" t="str">
            <v>Autoevaluación Institucional y Pruebas SABER 11</v>
          </cell>
          <cell r="I105" t="str">
            <v>SEGUIMIENTO_Y_SUPERVISIÓN.</v>
          </cell>
          <cell r="J105" t="str">
            <v>Realizar visitas para verificar la información registrada sobre la autoevaluación institucional en el aplicativo EVI, a los establecimientos de educación formal no oficial.</v>
          </cell>
          <cell r="K105" t="str">
            <v>ADRIANA VENEGAS VALERA</v>
          </cell>
          <cell r="L105" t="str">
            <v>VIVANA PILAR BOHÓRQUEZ DÍAZ</v>
          </cell>
          <cell r="M105">
            <v>45791</v>
          </cell>
          <cell r="N105">
            <v>45792</v>
          </cell>
          <cell r="O105">
            <v>45792</v>
          </cell>
          <cell r="P105" t="str">
            <v>Visitas de evaluación con fines de mejoramiento</v>
          </cell>
          <cell r="Q105" t="str">
            <v>ACTA DE VISITA COLEGIO COOPERATIVO MILITAR JUSTINIANO QUIÑONEZ ANGULO.pdf</v>
          </cell>
          <cell r="R105" t="str">
            <v xml:space="preserve">La autoevaluación institucional reporta datos que no son coherentes con lo identificado en la visita administrativa. Tal es el caso del número de unidades sanitarias, la dotación de la biblioteca y el número de estudiantes, entre otros aspectos. </v>
          </cell>
          <cell r="S105" t="str">
            <v xml:space="preserve">Una vez se disponga la actualización del EVI realizarlo conforme con la realidad institucional. </v>
          </cell>
          <cell r="T105" t="str">
            <v>Si</v>
          </cell>
          <cell r="U105" t="str">
            <v>Verificar en el aplicativo EVI, la información registrada. Se realiza mesa de seguimiento el 30 de octubre 2025.</v>
          </cell>
        </row>
        <row r="106">
          <cell r="A106">
            <v>1076</v>
          </cell>
          <cell r="B106"/>
          <cell r="C106" t="str">
            <v>KENNEDY</v>
          </cell>
          <cell r="D106" t="str">
            <v>PRIVADO</v>
          </cell>
          <cell r="E106" t="str">
            <v>EPBM</v>
          </cell>
          <cell r="F106" t="str">
            <v>COLEGIO_MILITAR_COOPERATIVO_JUSTINIANO_QUIÑONEZ_ANGULO</v>
          </cell>
          <cell r="G106" t="str">
            <v>COLEGIO MILITAR COOPERATIVO JUSTINIANO QUIÑONEZ ANGULO</v>
          </cell>
          <cell r="H106" t="str">
            <v>Autoevaluación Institucional y Pruebas SABER 11</v>
          </cell>
          <cell r="I106" t="str">
            <v>SEGUIMIENTO_Y_SUPERVISIÓN.</v>
          </cell>
          <cell r="J106" t="str">
            <v>Proponer estrategias en la formulación, verificar su elaboración y realizar seguimiento semestral al desarrollo de  las acciones establecidas en los planes de mejoramiento por pruebas SABER 11 de los establecimientos de educación formal.</v>
          </cell>
          <cell r="K106" t="str">
            <v>ADRIANA VENEGAS VALERA</v>
          </cell>
          <cell r="L106" t="str">
            <v>VIVANA PILAR BOHÓRQUEZ DÍAZ</v>
          </cell>
          <cell r="M106">
            <v>45791</v>
          </cell>
          <cell r="N106">
            <v>45792</v>
          </cell>
          <cell r="O106">
            <v>45792</v>
          </cell>
          <cell r="P106" t="str">
            <v>Visitas de evaluación con fines de mejoramiento</v>
          </cell>
          <cell r="Q106" t="str">
            <v>ACTA DE VISITA COLEGIO COOPERATIVO MILITAR JUSTINIANO QUIÑONEZ ANGULO.pdf</v>
          </cell>
          <cell r="R106" t="str">
            <v xml:space="preserve">Las estrategias previstas para avanzar en los resultados de las pruebas SABER 11 no están avaladas por el Consejo Directivo ni el Consejo Académico. </v>
          </cell>
          <cell r="S106" t="str">
            <v xml:space="preserve">Convocar al Consejo Académico y al Consejo Directivo para socializar las acciones de mejora que se prevén para el avance en los resultados de las pruebas SABER 11. </v>
          </cell>
          <cell r="T106" t="str">
            <v>Si</v>
          </cell>
          <cell r="U106" t="str">
            <v>Verificar el cumplimiento del plan de mejoramiento y de los resultados obtenidos en su implementación.  Se realiza mesa de seguimiento el 30 de octubre 2025.</v>
          </cell>
        </row>
        <row r="107">
          <cell r="A107">
            <v>1077</v>
          </cell>
          <cell r="B107"/>
          <cell r="C107" t="str">
            <v>KENNEDY</v>
          </cell>
          <cell r="D107" t="str">
            <v>PRIVADO</v>
          </cell>
          <cell r="E107" t="str">
            <v>EPBM</v>
          </cell>
          <cell r="F107" t="str">
            <v>COLEGIO_MILITAR_COOPERATIVO_JUSTINIANO_QUIÑONEZ_ANGULO</v>
          </cell>
          <cell r="G107" t="str">
            <v>COLEGIO MILITAR COOPERATIVO JUSTINIANO QUIÑONEZ ANGULO</v>
          </cell>
          <cell r="H107" t="str">
            <v>Autoevaluación Institucional y Pruebas SABER 11</v>
          </cell>
          <cell r="I107" t="str">
            <v>SEGUIMIENTO_Y_SUPERVISIÓN.</v>
          </cell>
          <cell r="J107" t="str">
            <v xml:space="preserve">Verificar la implementación por parte de los colegios, de acciones realizadas para la prevención y atención de las situaciones de convivencia en el entorno escolar, según lo establecido en la Directiva 01 de 2022 del MEN. </v>
          </cell>
          <cell r="K107" t="str">
            <v>ADRIANA VENEGAS VALERA</v>
          </cell>
          <cell r="L107" t="str">
            <v>VIVANA PILAR BOHÓRQUEZ DÍAZ</v>
          </cell>
          <cell r="M107">
            <v>45791</v>
          </cell>
          <cell r="N107">
            <v>45792</v>
          </cell>
          <cell r="O107">
            <v>45792</v>
          </cell>
          <cell r="P107" t="str">
            <v>Visitas de evaluación con fines de mejoramiento</v>
          </cell>
          <cell r="Q107" t="str">
            <v>ACTA DE VISITA COLEGIO COOPERATIVO MILITAR JUSTINIANO QUIÑONEZ ANGULO.pdf</v>
          </cell>
          <cell r="R107" t="str">
            <v xml:space="preserve">Las carpetas del personal vinculado no cuenta con el certificado de inhabilidades por delitos sexuales, de acuerdo con la Directiva Ministerial. </v>
          </cell>
          <cell r="S107" t="str">
            <v xml:space="preserve">Realizar la consulta de inhabilidades por delitos sexuales del talento humano del colegio, previa autorización del tratamiento de datos personales. </v>
          </cell>
          <cell r="T107" t="str">
            <v>Si</v>
          </cell>
          <cell r="U107" t="str">
            <v>Verificar las carpetas institucional con el respectivo soporte vigente.  Se realiza mesa de seguimiento el 30 de octubre 2025.</v>
          </cell>
        </row>
        <row r="108">
          <cell r="A108">
            <v>1078</v>
          </cell>
          <cell r="B108"/>
          <cell r="C108" t="str">
            <v>KENNEDY</v>
          </cell>
          <cell r="D108" t="str">
            <v>PRIVADO</v>
          </cell>
          <cell r="E108" t="str">
            <v>EPBM</v>
          </cell>
          <cell r="F108" t="str">
            <v>COLEGIO_MILITAR_COOPERATIVO_JUSTINIANO_QUIÑONEZ_ANGULO</v>
          </cell>
          <cell r="G108" t="str">
            <v>COLEGIO MILITAR COOPERATIVO JUSTINIANO QUIÑONEZ ANGULO</v>
          </cell>
          <cell r="H108" t="str">
            <v>Autoevaluación Institucional y Pruebas SABER 11</v>
          </cell>
          <cell r="I108" t="str">
            <v>EVALUACIÓN_CON_FINES_DE_MEJORAMIENTO.</v>
          </cell>
          <cell r="J10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08" t="str">
            <v>ADRIANA VENEGAS VALERA</v>
          </cell>
          <cell r="L108" t="str">
            <v>VIVANA PILAR BOHÓRQUEZ DÍAZ</v>
          </cell>
          <cell r="M108">
            <v>45791</v>
          </cell>
          <cell r="N108">
            <v>45792</v>
          </cell>
          <cell r="O108">
            <v>45792</v>
          </cell>
          <cell r="P108" t="str">
            <v>Visitas de evaluación con fines de mejoramiento</v>
          </cell>
          <cell r="Q108" t="str">
            <v>ACTA DE VISITA COLEGIO COOPERATIVO MILITAR JUSTINIANO QUIÑONEZ ANGULO.pdf</v>
          </cell>
          <cell r="R108" t="str">
            <v>El manual de convivencia incorpora algunas orientaciones de la SED, pero no implementa lo relacionado en los Protocolos de Atención Integral Para La Convivencia Escolar Versión 5.0</v>
          </cell>
          <cell r="S108" t="str">
            <v>Actualizar el manual de convivencia escolar incluyendo los enfoques restaurativo y de diversidad, así como también las orientaciones técnicas de los   Protocolos de Atención Integral Para La Convivencia Escolar Versión 5.0</v>
          </cell>
          <cell r="T108" t="str">
            <v>Si</v>
          </cell>
          <cell r="U108" t="str">
            <v>Verificar la construcción participativa del manual de convivencia y sus ajustes.  Se realiza mesa de seguimiento el 30 de octubre 2025.</v>
          </cell>
        </row>
        <row r="109">
          <cell r="A109">
            <v>1079</v>
          </cell>
          <cell r="B109"/>
          <cell r="C109" t="str">
            <v>KENNEDY</v>
          </cell>
          <cell r="D109" t="str">
            <v>PRIVADO</v>
          </cell>
          <cell r="E109" t="str">
            <v>EPBM</v>
          </cell>
          <cell r="F109" t="str">
            <v>COLEGIO_MILITAR_COOPERATIVO_JUSTINIANO_QUIÑONEZ_ANGULO</v>
          </cell>
          <cell r="G109" t="str">
            <v>COLEGIO MILITAR COOPERATIVO JUSTINIANO QUIÑONEZ ANGULO</v>
          </cell>
          <cell r="H109" t="str">
            <v>Autoevaluación Institucional y Pruebas SABER 11</v>
          </cell>
          <cell r="I109" t="str">
            <v>EVALUACIÓN_CON_FINES_DE_MEJORAMIENTO.</v>
          </cell>
          <cell r="J109" t="str">
            <v>Verificar el funcionamiento del Gobierno Escolar e instancias de participación con base en la información sobre conformación reportada por la institución educativa.</v>
          </cell>
          <cell r="K109" t="str">
            <v>ADRIANA VENEGAS VALERA</v>
          </cell>
          <cell r="L109" t="str">
            <v>VIVANA PILAR BOHÓRQUEZ DÍAZ</v>
          </cell>
          <cell r="M109">
            <v>45791</v>
          </cell>
          <cell r="N109">
            <v>45792</v>
          </cell>
          <cell r="O109">
            <v>45792</v>
          </cell>
          <cell r="P109" t="str">
            <v>Visitas de evaluación con fines de mejoramiento</v>
          </cell>
          <cell r="Q109" t="str">
            <v>ACTA DE VISITA COLEGIO COOPERATIVO MILITAR JUSTINIANO QUIÑONEZ ANGULO.pdf</v>
          </cell>
          <cell r="R109" t="str">
            <v xml:space="preserve">No se ha propuesto la actualización del currículo y el plan de estudios en el Consejo académico. </v>
          </cell>
          <cell r="S109" t="str">
            <v xml:space="preserve">Actualizar el PEI, el plan de estudios de educación preescolar conforme al lineamiento pedagógico y curricular para la educación inicial y los demás planes de estudios conforme a las acciones de mejora de las pruebas SABER 11. </v>
          </cell>
          <cell r="T109" t="str">
            <v>Si</v>
          </cell>
          <cell r="U109" t="str">
            <v>Verificar la actualización de los planes de estudio.  Se realiza mesa de seguimiento el 30 de octubre 2025.</v>
          </cell>
        </row>
        <row r="110">
          <cell r="A110">
            <v>1080</v>
          </cell>
          <cell r="B110"/>
          <cell r="C110" t="str">
            <v>KENNEDY</v>
          </cell>
          <cell r="D110" t="str">
            <v>PRIVADO</v>
          </cell>
          <cell r="E110" t="str">
            <v>EPBM</v>
          </cell>
          <cell r="F110" t="str">
            <v>COLEGIO_MILITAR_COOPERATIVO_JUSTINIANO_QUIÑONEZ_ANGULO</v>
          </cell>
          <cell r="G110" t="str">
            <v>COLEGIO MILITAR COOPERATIVO JUSTINIANO QUIÑONEZ ANGULO</v>
          </cell>
          <cell r="H110" t="str">
            <v>Autoevaluación Institucional y Pruebas SABER 11</v>
          </cell>
          <cell r="I110" t="str">
            <v>EVALUACIÓN_CON_FINES_DE_MEJORAMIENTO.</v>
          </cell>
          <cell r="J110" t="str">
            <v>Verificar las condiciones en cuanto a: la estructura administrativa, condiciones de la planta física y medios educativos adecuados.</v>
          </cell>
          <cell r="K110" t="str">
            <v>ADRIANA VENEGAS VALERA</v>
          </cell>
          <cell r="L110" t="str">
            <v>VIVANA PILAR BOHÓRQUEZ DÍAZ</v>
          </cell>
          <cell r="M110">
            <v>45791</v>
          </cell>
          <cell r="N110">
            <v>45792</v>
          </cell>
          <cell r="O110">
            <v>45792</v>
          </cell>
          <cell r="P110" t="str">
            <v>Visitas de evaluación con fines de mejoramiento</v>
          </cell>
          <cell r="Q110" t="str">
            <v>ACTA DE VISITA COLEGIO COOPERATIVO MILITAR JUSTINIANO QUIÑONEZ ANGULO.pdf</v>
          </cell>
          <cell r="R110" t="str">
            <v xml:space="preserve">La planta física no cuenta con ajustes razonables de planta física para la población con discapacidad. </v>
          </cell>
          <cell r="S110" t="str">
            <v xml:space="preserve">Realizar adecuaciones menores para que la infraestructura responda a las necesidades de la población con discapacidad. </v>
          </cell>
          <cell r="T110" t="str">
            <v>Si</v>
          </cell>
          <cell r="U110" t="str">
            <v>Verificar las condiciones de mejora de la planta física.   Se realiza mesa de seguimiento el 30 de octubre 2025.</v>
          </cell>
        </row>
        <row r="111">
          <cell r="A111">
            <v>1081</v>
          </cell>
          <cell r="B111"/>
          <cell r="C111" t="str">
            <v>KENNEDY</v>
          </cell>
          <cell r="D111" t="str">
            <v>PRIVADO</v>
          </cell>
          <cell r="E111" t="str">
            <v>EPBM</v>
          </cell>
          <cell r="F111" t="str">
            <v>COLEGIO_RAFAEL_GOBERNA</v>
          </cell>
          <cell r="G111" t="str">
            <v>COLEGIO RAFAEL GOBERNA</v>
          </cell>
          <cell r="H111" t="str">
            <v>Autoevaluación Institucional y Pruebas SABER 11</v>
          </cell>
          <cell r="I111" t="str">
            <v>SEGUIMIENTO_Y_SUPERVISIÓN.</v>
          </cell>
          <cell r="J111" t="str">
            <v>Proponer estrategias en la formulación, verificar su elaboración y realizar seguimiento semestral al desarrollo de  las acciones establecidas en los planes de mejoramiento por pruebas SABER 11 de los establecimientos de educación formal.</v>
          </cell>
          <cell r="K111" t="str">
            <v>GERMÁN EDUARDO TORO ROSERO</v>
          </cell>
          <cell r="L111" t="str">
            <v xml:space="preserve">DIANA ZULAY HUERTAS ORTÍZ </v>
          </cell>
          <cell r="M111">
            <v>45792</v>
          </cell>
          <cell r="N111">
            <v>45792</v>
          </cell>
          <cell r="O111">
            <v>45792</v>
          </cell>
          <cell r="P111" t="str">
            <v>Visitas de evaluación con fines de mejoramiento</v>
          </cell>
          <cell r="Q111" t="str">
            <v>ACTA VISITA COLEGIO RAFAEL GOBERNA.pdf</v>
          </cell>
          <cell r="R111" t="str">
            <v>La IE no ha realizado revisión, análisis ni ha implementado acciones específicas basadas en los resultados de las pruebas saber 11</v>
          </cell>
          <cell r="S111" t="str">
            <v>La IE debe analizar los resultados de las pruebas saber 11 y establecer un plan de mejoramiento para superar dichos resultados, que incluya estrategias en el plan de estudios y el análisis del consejo académico dejando las respetivas evidencias.</v>
          </cell>
          <cell r="T111" t="str">
            <v>Si</v>
          </cell>
          <cell r="U111" t="str">
            <v>Seguimiento al cumplimiento del plan de mejoramiento. Se realiza mesa de seguimiento el día 22 de septiembre 2025.Se validará el cumplimiento de las actividades pendientes el  5 de diciembre.</v>
          </cell>
        </row>
        <row r="112">
          <cell r="A112">
            <v>1082</v>
          </cell>
          <cell r="B112"/>
          <cell r="C112" t="str">
            <v>KENNEDY</v>
          </cell>
          <cell r="D112" t="str">
            <v>PRIVADO</v>
          </cell>
          <cell r="E112" t="str">
            <v>EPBM</v>
          </cell>
          <cell r="F112" t="str">
            <v>COLEGIO_RAFAEL_GOBERNA</v>
          </cell>
          <cell r="G112" t="str">
            <v>COLEGIO RAFAEL GOBERNA</v>
          </cell>
          <cell r="H112" t="str">
            <v>Autoevaluación Institucional y Pruebas SABER 11</v>
          </cell>
          <cell r="I112" t="str">
            <v>SEGUIMIENTO_Y_SUPERVISIÓN.</v>
          </cell>
          <cell r="J11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12" t="str">
            <v>GERMÁN EDUARDO TORO ROSERO</v>
          </cell>
          <cell r="L112" t="str">
            <v xml:space="preserve">DIANA ZULAY HUERTAS ORTÍZ </v>
          </cell>
          <cell r="M112">
            <v>45792</v>
          </cell>
          <cell r="N112">
            <v>45792</v>
          </cell>
          <cell r="O112">
            <v>45792</v>
          </cell>
          <cell r="P112" t="str">
            <v>Visitas de evaluación con fines de mejoramiento</v>
          </cell>
          <cell r="Q112" t="str">
            <v>ACTA VISITA COLEGIO RAFAEL GOBERNA.pdf</v>
          </cell>
          <cell r="R112" t="str">
            <v xml:space="preserve">La IE no ha caracterizado ni ha identificado la población con trastornos de aprendizaje y talento excepcionales </v>
          </cell>
          <cell r="S112" t="str">
            <v>La IE debe identificar y caracterizar a población estudiantil con trastornos de aprendizaje y talento excepcionales y formular el respectivo PIAR en caso de ser necesario.</v>
          </cell>
          <cell r="T112" t="str">
            <v>Si</v>
          </cell>
          <cell r="U112" t="str">
            <v>Seguimiento al cumplimiento del plan de mejoramiento.  Se realiza mesa de seguimiento el día 22 de septiembre 2025.Se validará el cumplimiento de las actividades pendientes el  5 de diciembre.</v>
          </cell>
        </row>
        <row r="113">
          <cell r="A113">
            <v>1083</v>
          </cell>
          <cell r="B113"/>
          <cell r="C113" t="str">
            <v>KENNEDY</v>
          </cell>
          <cell r="D113" t="str">
            <v>PRIVADO</v>
          </cell>
          <cell r="E113" t="str">
            <v>EPBM</v>
          </cell>
          <cell r="F113" t="str">
            <v>COLEGIO_RAFAEL_GOBERNA</v>
          </cell>
          <cell r="G113" t="str">
            <v>COLEGIO RAFAEL GOBERNA</v>
          </cell>
          <cell r="H113" t="str">
            <v>Autoevaluación Institucional y Pruebas SABER 11</v>
          </cell>
          <cell r="I113" t="str">
            <v>EVALUACIÓN_CON_FINES_DE_MEJORAMIENTO.</v>
          </cell>
          <cell r="J11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3" t="str">
            <v>GERMÁN EDUARDO TORO ROSERO</v>
          </cell>
          <cell r="L113" t="str">
            <v xml:space="preserve">DIANA ZULAY HUERTAS ORTÍZ </v>
          </cell>
          <cell r="M113">
            <v>45792</v>
          </cell>
          <cell r="N113">
            <v>45792</v>
          </cell>
          <cell r="O113">
            <v>45792</v>
          </cell>
          <cell r="P113" t="str">
            <v>Visitas de evaluación con fines de mejoramiento</v>
          </cell>
          <cell r="Q113" t="str">
            <v>ACTA VISITA COLEGIO RAFAEL GOBERNA.pdf</v>
          </cell>
          <cell r="R113" t="str">
            <v>La IE no presenta evidencias de la construcción participativa del manual de convivencia y no ha incorporado los enfoques que fomentan el respeto, la valoración de la diversidad y el enfoque restaurativo.</v>
          </cell>
          <cell r="S113" t="str">
            <v>La IE debe ajustar el manual de convivencia de manera participativa, de acuerdo a lo establecido en el artículo 2.3.3.1.4.4. del Decreto 1075 de 2015, la Ley 1620 y el Decreto 1965. además de incorporar   los enfoques que fomentan el respeto, la valoración de la diversidad y el enfoque restaurativo.</v>
          </cell>
          <cell r="T113" t="str">
            <v>Si</v>
          </cell>
          <cell r="U113" t="str">
            <v>Seguimiento al cumplimiento del plan de mejoramiento.  Se realiza mesa de seguimiento el día 22 de septiembre 2025.Se validará el cumplimiento de las actividades pendientes el  5 de diciembre.</v>
          </cell>
        </row>
        <row r="114">
          <cell r="A114">
            <v>1084</v>
          </cell>
          <cell r="B114"/>
          <cell r="C114" t="str">
            <v>KENNEDY</v>
          </cell>
          <cell r="D114" t="str">
            <v>PRIVADO</v>
          </cell>
          <cell r="E114" t="str">
            <v>EPBM</v>
          </cell>
          <cell r="F114" t="str">
            <v>COLEGIO_RAFAEL_GOBERNA</v>
          </cell>
          <cell r="G114" t="str">
            <v>COLEGIO RAFAEL GOBERNA</v>
          </cell>
          <cell r="H114" t="str">
            <v>Autoevaluación Institucional y Pruebas SABER 11</v>
          </cell>
          <cell r="I114" t="str">
            <v>EVALUACIÓN_CON_FINES_DE_MEJORAMIENTO.</v>
          </cell>
          <cell r="J114" t="str">
            <v>Verificar las condiciones en cuanto a: la estructura administrativa, condiciones de la planta física y medios educativos adecuados.</v>
          </cell>
          <cell r="K114" t="str">
            <v>GERMÁN EDUARDO TORO ROSERO</v>
          </cell>
          <cell r="L114" t="str">
            <v xml:space="preserve">DIANA ZULAY HUERTAS ORTÍZ </v>
          </cell>
          <cell r="M114">
            <v>45792</v>
          </cell>
          <cell r="N114">
            <v>45792</v>
          </cell>
          <cell r="O114">
            <v>45792</v>
          </cell>
          <cell r="P114" t="str">
            <v>Visitas de evaluación con fines de mejoramiento</v>
          </cell>
          <cell r="Q114" t="str">
            <v>ACTA VISITA COLEGIO RAFAEL GOBERNA.pdf</v>
          </cell>
          <cell r="R114" t="str">
            <v>Las condiciones de los medios educativos no son adecuados para la prestación del servicio educativo (pupitres, tableros y medios tecnológicos)</v>
          </cell>
          <cell r="S114" t="str">
            <v xml:space="preserve">La IE debe implementar un plan de mantenimiento, mejora o cambio del inmobiliario (pupitres, tableros y medios tecnológicos), con el propósito de prestar un servicio educativo de calidad. </v>
          </cell>
          <cell r="T114" t="str">
            <v>Si</v>
          </cell>
          <cell r="U114" t="str">
            <v>Seguimiento al cumplimiento del plan de mejoramiento.  Se realiza mesa de seguimiento el día 22 de septiembre 2025.Se validará el cumplimiento de las actividades pendientes el  5 de diciembre.</v>
          </cell>
        </row>
        <row r="115">
          <cell r="A115">
            <v>1085</v>
          </cell>
          <cell r="B115">
            <v>21</v>
          </cell>
          <cell r="C115" t="str">
            <v>KENNEDY</v>
          </cell>
          <cell r="D115" t="str">
            <v>PRIVADO</v>
          </cell>
          <cell r="E115" t="str">
            <v>EPBM</v>
          </cell>
          <cell r="F115" t="str">
            <v>COLEGIO_SAGRADO_CORAZON</v>
          </cell>
          <cell r="G115" t="str">
            <v>COLEGIO SAGRADO CORAZON</v>
          </cell>
          <cell r="H115" t="str">
            <v>Autoevaluación Institucional y Pruebas SABER 11</v>
          </cell>
          <cell r="I115" t="str">
            <v>SEGUIMIENTO_Y_SUPERVISIÓN.</v>
          </cell>
          <cell r="J115" t="str">
            <v>Realizar visitas para verificar la información registrada sobre la autoevaluación institucional en el aplicativo EVI, a los establecimientos de educación formal no oficial.</v>
          </cell>
          <cell r="K115" t="str">
            <v>INGRID VIVIANA DÁVILA ÁVILA</v>
          </cell>
          <cell r="L115" t="str">
            <v>LUIS FERNANDO CÁRDENAS URAN</v>
          </cell>
          <cell r="M115">
            <v>45797</v>
          </cell>
          <cell r="N115">
            <v>45797</v>
          </cell>
          <cell r="O115">
            <v>45797</v>
          </cell>
          <cell r="P115" t="str">
            <v>Visitas de evaluación con fines de mejoramiento</v>
          </cell>
          <cell r="Q115" t="str">
            <v>ACTA DE VISITA COLEGIO SAGRADO CORAZON.pdf</v>
          </cell>
          <cell r="R115" t="str">
            <v>Existe correspondencia entre la información registrada en EVI y la realidad institucional para la definición de régimen y tarifas</v>
          </cell>
          <cell r="S115" t="str">
            <v>La IE debe seguir reportando la información que da cuenta de la realidad  institucional en el  aplicativo EVI</v>
          </cell>
          <cell r="T115" t="str">
            <v>No</v>
          </cell>
          <cell r="U115" t="str">
            <v>El ELIV verificará en la próxima vigencia que el aplicativo EVI da cuenta de la realidad institucional</v>
          </cell>
        </row>
        <row r="116">
          <cell r="A116">
            <v>1086</v>
          </cell>
          <cell r="B116"/>
          <cell r="C116" t="str">
            <v>KENNEDY</v>
          </cell>
          <cell r="D116" t="str">
            <v>PRIVADO</v>
          </cell>
          <cell r="E116" t="str">
            <v>EPBM</v>
          </cell>
          <cell r="F116" t="str">
            <v>COLEGIO_SAGRADO_CORAZON</v>
          </cell>
          <cell r="G116" t="str">
            <v>COLEGIO SAGRADO CORAZON</v>
          </cell>
          <cell r="H116" t="str">
            <v>Autoevaluación Institucional y Pruebas SABER 11</v>
          </cell>
          <cell r="I116" t="str">
            <v>SEGUIMIENTO_Y_SUPERVISIÓN.</v>
          </cell>
          <cell r="J116" t="str">
            <v>Proponer estrategias en la formulación, verificar su elaboración y realizar seguimiento semestral al desarrollo de  las acciones establecidas en los planes de mejoramiento por pruebas SABER 11 de los establecimientos de educación formal.</v>
          </cell>
          <cell r="K116" t="str">
            <v>INGRID VIVIANA DÁVILA ÁVILA</v>
          </cell>
          <cell r="L116" t="str">
            <v>LUIS FERNANDO CÁRDENAS URAN</v>
          </cell>
          <cell r="M116">
            <v>45797</v>
          </cell>
          <cell r="N116">
            <v>45797</v>
          </cell>
          <cell r="O116">
            <v>45797</v>
          </cell>
          <cell r="P116" t="str">
            <v>Visitas de evaluación con fines de mejoramiento</v>
          </cell>
          <cell r="Q116" t="str">
            <v>ACTA DE VISITA COLEGIO SAGRADO CORAZON.pdf</v>
          </cell>
          <cell r="R116" t="str">
            <v>Se evidencia que  no se han implementado acciones para mejorar los aprendizajes de los estudiantes en las áreas del plan de estudio con más bajo desempeño en las pruebas SABER 11.</v>
          </cell>
          <cell r="S116" t="str">
            <v>La IE debe implementar  estrategias  pedagógicas  y establecer el plan de mejoramiento  en las áreas  de estudio con más bajo desempeño en las pruebas SABER 11</v>
          </cell>
          <cell r="T116" t="str">
            <v>No</v>
          </cell>
          <cell r="U116" t="str">
            <v xml:space="preserve">Verificar la actualización de los planes de estudio. </v>
          </cell>
        </row>
        <row r="117">
          <cell r="A117">
            <v>1087</v>
          </cell>
          <cell r="B117"/>
          <cell r="C117" t="str">
            <v>KENNEDY</v>
          </cell>
          <cell r="D117" t="str">
            <v>PRIVADO</v>
          </cell>
          <cell r="E117" t="str">
            <v>EPBM</v>
          </cell>
          <cell r="F117" t="str">
            <v>COLEGIO_SAGRADO_CORAZON</v>
          </cell>
          <cell r="G117" t="str">
            <v>COLEGIO SAGRADO CORAZON</v>
          </cell>
          <cell r="H117" t="str">
            <v>Autoevaluación Institucional y Pruebas SABER 11</v>
          </cell>
          <cell r="I117" t="str">
            <v>EVALUACIÓN_CON_FINES_DE_MEJORAMIENTO.</v>
          </cell>
          <cell r="J11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7" t="str">
            <v>INGRID VIVIANA DÁVILA ÁVILA</v>
          </cell>
          <cell r="L117" t="str">
            <v>LUIS FERNANDO CÁRDENAS URAN</v>
          </cell>
          <cell r="M117">
            <v>45797</v>
          </cell>
          <cell r="N117">
            <v>45797</v>
          </cell>
          <cell r="O117">
            <v>45797</v>
          </cell>
          <cell r="P117" t="str">
            <v>Visitas de evaluación con fines de mejoramiento</v>
          </cell>
          <cell r="Q117" t="str">
            <v>ACTA DE VISITA COLEGIO SAGRADO CORAZON.pdf</v>
          </cell>
          <cell r="R117" t="str">
            <v>El manual de convivencia  no evidencia  ,  ni documenta  la  participación  a la comunidad educativa  en y con relación  a las situaciones y faltas referenciadas en el mismo.</v>
          </cell>
          <cell r="S117" t="str">
            <v>Actualizar el manual de convivencia y hacer partícipe a la comunidad educativa, igualmente revisar las situaciones y faltas, esto en garantía del debido proceso de los  miembros de la comunidad educativa.</v>
          </cell>
          <cell r="T117" t="str">
            <v>Si</v>
          </cell>
          <cell r="U117" t="str">
            <v>Verificar la construcción participativa del manual de convivencia y sus ajustes.  Se realiza mesa de seguimiento el día 22 de septiembre 2025.Se validará el cumplimiento de las actividades pendientes el  15 de octubre.</v>
          </cell>
        </row>
        <row r="118">
          <cell r="A118">
            <v>1088</v>
          </cell>
          <cell r="B118"/>
          <cell r="C118" t="str">
            <v>KENNEDY</v>
          </cell>
          <cell r="D118" t="str">
            <v>PRIVADO</v>
          </cell>
          <cell r="E118" t="str">
            <v>EPBM</v>
          </cell>
          <cell r="F118" t="str">
            <v>COLEGIO_SAGRADO_CORAZON</v>
          </cell>
          <cell r="G118" t="str">
            <v>COLEGIO SAGRADO CORAZON</v>
          </cell>
          <cell r="H118" t="str">
            <v>Autoevaluación Institucional y Pruebas SABER 11</v>
          </cell>
          <cell r="I118" t="str">
            <v>EVALUACIÓN_CON_FINES_DE_MEJORAMIENTO.</v>
          </cell>
          <cell r="J118" t="str">
            <v>Verificar las condiciones en cuanto a: la estructura administrativa, condiciones de la planta física y medios educativos adecuados.</v>
          </cell>
          <cell r="K118" t="str">
            <v>INGRID VIVIANA DÁVILA ÁVILA</v>
          </cell>
          <cell r="L118" t="str">
            <v>LUIS FERNANDO CÁRDENAS URAN</v>
          </cell>
          <cell r="M118">
            <v>45797</v>
          </cell>
          <cell r="N118">
            <v>45797</v>
          </cell>
          <cell r="O118">
            <v>45797</v>
          </cell>
          <cell r="P118" t="str">
            <v>Visitas de evaluación con fines de mejoramiento</v>
          </cell>
          <cell r="Q118" t="str">
            <v>ACTA DE VISITA COLEGIO SAGRADO CORAZON.pdf</v>
          </cell>
          <cell r="R118" t="str">
            <v>La EE  en el piso superior (terraza) tiene  las mallas que cubren el perímetro  pueden generar  riesgo de accidentes para los niños, niñas, jóvenes y adolescentes,  junto con las tapas  de los tacos de luz</v>
          </cell>
          <cell r="S118" t="str">
            <v>Realizar el mantenimiento locativo en el piso superior (terraza)  de las mallas que cubren el perímetro de este espacio con el fin de prevenir riesgo de accidentes para los niños, niñas, jóvenes y adolescentes, igualmente verificar las tapas de los tacos de luz</v>
          </cell>
          <cell r="T118" t="str">
            <v>Si</v>
          </cell>
          <cell r="U118" t="str">
            <v>Seguimiento al cumplimiento del plan de mejoramiento con referencia al mantenimiento locativo. Se realiza mesa de seguimiento el día 22 de septiembre 2025.Se validará el cumplimiento de las actividades pendientes el  15 de octubre.</v>
          </cell>
        </row>
        <row r="119">
          <cell r="A119">
            <v>1089</v>
          </cell>
          <cell r="B119"/>
          <cell r="C119" t="str">
            <v>KENNEDY</v>
          </cell>
          <cell r="D119" t="str">
            <v>PRIVADO</v>
          </cell>
          <cell r="E119" t="str">
            <v>EPBM</v>
          </cell>
          <cell r="F119" t="str">
            <v>COLEGIO_SAN_ANGEL</v>
          </cell>
          <cell r="G119" t="str">
            <v>COLEGIO SAN ANGEL</v>
          </cell>
          <cell r="H119" t="str">
            <v>Autoevaluación Institucional y Pruebas SABER 11</v>
          </cell>
          <cell r="I119" t="str">
            <v>SEGUIMIENTO_Y_SUPERVISIÓN.</v>
          </cell>
          <cell r="J119" t="str">
            <v>Proponer estrategias en la formulación, verificar su elaboración y realizar seguimiento semestral al desarrollo de  las acciones establecidas en los planes de mejoramiento por pruebas SABER 11 de los establecimientos de educación formal.</v>
          </cell>
          <cell r="K119" t="str">
            <v>ADRIANA VENEGAS VALERA</v>
          </cell>
          <cell r="L119" t="str">
            <v>LUIS FERNANDO CÁRDENAS URAN</v>
          </cell>
          <cell r="M119">
            <v>45798</v>
          </cell>
          <cell r="N119">
            <v>45804</v>
          </cell>
          <cell r="O119">
            <v>45804</v>
          </cell>
          <cell r="P119" t="str">
            <v>Visitas de evaluación con fines de mejoramiento</v>
          </cell>
          <cell r="Q119" t="str">
            <v>ACTA DE VISITA_COLEGIO SAN ANGEL.pdf</v>
          </cell>
          <cell r="R119" t="str">
            <v>La IE no ha realizado  estrategias en la formulación, verificación  y elaboración  en los planes de mejoramiento por pruebas SABER 11</v>
          </cell>
          <cell r="S119" t="str">
            <v xml:space="preserve">Formular , ejecutar y realizar  seguimiento al plan de mejoramiento por pruebas Saber 11 </v>
          </cell>
          <cell r="T119" t="str">
            <v>Si</v>
          </cell>
          <cell r="U119" t="str">
            <v>El ELIV, verificará el  plan de mejoramiento propuesto y su efectivo cumplimiento  en coherencia con la actualización del Currículo que propongan. Se realiza mesa de seguimiento el día 3 de octubre 2025 donde se establece el compromiso del cumplimiento total para el 30 de octubre.</v>
          </cell>
        </row>
        <row r="120">
          <cell r="A120">
            <v>1090</v>
          </cell>
          <cell r="B120"/>
          <cell r="C120" t="str">
            <v>KENNEDY</v>
          </cell>
          <cell r="D120" t="str">
            <v>PRIVADO</v>
          </cell>
          <cell r="E120" t="str">
            <v>EPBM</v>
          </cell>
          <cell r="F120" t="str">
            <v>COLEGIO_SAN_ANGEL</v>
          </cell>
          <cell r="G120" t="str">
            <v>COLEGIO SAN ANGEL</v>
          </cell>
          <cell r="H120" t="str">
            <v>Autoevaluación Institucional y Pruebas SABER 11</v>
          </cell>
          <cell r="I120" t="str">
            <v>SEGUIMIENTO_Y_SUPERVISIÓN.</v>
          </cell>
          <cell r="J12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0" t="str">
            <v>ADRIANA VENEGAS VALERA</v>
          </cell>
          <cell r="L120" t="str">
            <v>LUIS FERNANDO CÁRDENAS URAN</v>
          </cell>
          <cell r="M120">
            <v>45798</v>
          </cell>
          <cell r="N120">
            <v>45804</v>
          </cell>
          <cell r="O120">
            <v>45804</v>
          </cell>
          <cell r="P120" t="str">
            <v>Visitas de evaluación con fines de mejoramiento</v>
          </cell>
          <cell r="Q120" t="str">
            <v>ACTA DE VISITA_COLEGIO SAN ANGEL.pdf</v>
          </cell>
          <cell r="R120" t="str">
            <v>La IE presenta  PIAR y evidencian su cumplimiento</v>
          </cell>
          <cell r="S120" t="str">
            <v>La IE debe seguir garantizando el cumplimiento de lo propuesto en los PIAR,  esto en garantía de derechos a los NNA</v>
          </cell>
          <cell r="T120" t="str">
            <v>No</v>
          </cell>
          <cell r="U120" t="str">
            <v>El ELIV  verificará  el cumplimiento de lo propuesto en los PIAR</v>
          </cell>
        </row>
        <row r="121">
          <cell r="A121">
            <v>1091</v>
          </cell>
          <cell r="B121"/>
          <cell r="C121" t="str">
            <v>KENNEDY</v>
          </cell>
          <cell r="D121" t="str">
            <v>PRIVADO</v>
          </cell>
          <cell r="E121" t="str">
            <v>EPBM</v>
          </cell>
          <cell r="F121" t="str">
            <v>COLEGIO_SAN_ANGEL</v>
          </cell>
          <cell r="G121" t="str">
            <v>COLEGIO SAN ANGEL</v>
          </cell>
          <cell r="H121" t="str">
            <v>Autoevaluación Institucional y Pruebas SABER 11</v>
          </cell>
          <cell r="I121" t="str">
            <v>EVALUACIÓN_CON_FINES_DE_MEJORAMIENTO.</v>
          </cell>
          <cell r="J12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1" t="str">
            <v>ADRIANA VENEGAS VALERA</v>
          </cell>
          <cell r="L121" t="str">
            <v>LUIS FERNANDO CÁRDENAS URAN</v>
          </cell>
          <cell r="M121">
            <v>45798</v>
          </cell>
          <cell r="N121">
            <v>45804</v>
          </cell>
          <cell r="O121">
            <v>45804</v>
          </cell>
          <cell r="P121" t="str">
            <v>Visitas de evaluación con fines de mejoramiento</v>
          </cell>
          <cell r="Q121" t="str">
            <v>ACTA DE VISITA_COLEGIO SAN ANGEL.pdf</v>
          </cell>
          <cell r="R121" t="str">
            <v>La IE presenta evaluación, actualización del Manual de Convivencia, y su implementación conforme a lo establecido en el PEI.</v>
          </cell>
          <cell r="S121" t="str">
            <v>La IE debe seguir garantizando las plataforma de participación que permiten a los estudiantes expresar sus opiniones, involucrarse en la toma de decisiones y contribuir a la mejora de la comunidad escolar.</v>
          </cell>
          <cell r="T121" t="str">
            <v>No</v>
          </cell>
          <cell r="U121" t="str">
            <v xml:space="preserve">El ELIV, verificará que la IE de cumplimiento en su Manual de Convivencia conforme  a lo establecido a la normatividad vigente </v>
          </cell>
        </row>
        <row r="122">
          <cell r="A122">
            <v>1092</v>
          </cell>
          <cell r="B122"/>
          <cell r="C122" t="str">
            <v>KENNEDY</v>
          </cell>
          <cell r="D122" t="str">
            <v>PRIVADO</v>
          </cell>
          <cell r="E122" t="str">
            <v>EPBM</v>
          </cell>
          <cell r="F122" t="str">
            <v>COLEGIO_SAN_ANGEL</v>
          </cell>
          <cell r="G122" t="str">
            <v>COLEGIO SAN ANGEL</v>
          </cell>
          <cell r="H122" t="str">
            <v>Autoevaluación Institucional y Pruebas SABER 11</v>
          </cell>
          <cell r="I122" t="str">
            <v>EVALUACIÓN_CON_FINES_DE_MEJORAMIENTO.</v>
          </cell>
          <cell r="J122" t="str">
            <v>Verificar el funcionamiento del Gobierno Escolar e instancias de participación con base en la información sobre conformación reportada por la institución educativa.</v>
          </cell>
          <cell r="K122" t="str">
            <v>ADRIANA VENEGAS VALERA</v>
          </cell>
          <cell r="L122" t="str">
            <v>LUIS FERNANDO CÁRDENAS URAN</v>
          </cell>
          <cell r="M122">
            <v>45798</v>
          </cell>
          <cell r="N122">
            <v>45804</v>
          </cell>
          <cell r="O122">
            <v>45804</v>
          </cell>
          <cell r="P122" t="str">
            <v>Visitas de evaluación con fines de mejoramiento</v>
          </cell>
          <cell r="Q122" t="str">
            <v>ACTA DE VISITA_COLEGIO SAN ANGEL.pdf</v>
          </cell>
          <cell r="R122" t="str">
            <v>La IE  evidencia el  funcionamiento del Gobierno Escolar e instancias de participación</v>
          </cell>
          <cell r="S122" t="str">
            <v xml:space="preserve">La IE debe seguir garantizando la participación de todos los estamentos de la comunidad educativa (estudiantes, docentes, padres de familia, egresados). Es crucial que cada estamento tenga voz y voto en las decisiones que afectan a la institución educativa, promoviendo la transparencia y el cumplimiento de las normas. </v>
          </cell>
          <cell r="T122" t="str">
            <v>No</v>
          </cell>
          <cell r="U122" t="str">
            <v>el ELIV, verificará que la IE de cumplimiento conforme  a lo establecido a la normatividad vigente con relación a las instancias de participación.</v>
          </cell>
        </row>
        <row r="123">
          <cell r="A123">
            <v>1093</v>
          </cell>
          <cell r="B123"/>
          <cell r="C123" t="str">
            <v>KENNEDY</v>
          </cell>
          <cell r="D123" t="str">
            <v>PRIVADO</v>
          </cell>
          <cell r="E123" t="str">
            <v>EPBM</v>
          </cell>
          <cell r="F123" t="str">
            <v>COLEGIO_SAN_ANGEL</v>
          </cell>
          <cell r="G123" t="str">
            <v>COLEGIO SAN ANGEL</v>
          </cell>
          <cell r="H123" t="str">
            <v>Autoevaluación Institucional y Pruebas SABER 11</v>
          </cell>
          <cell r="I123" t="str">
            <v>EVALUACIÓN_CON_FINES_DE_MEJORAMIENTO.</v>
          </cell>
          <cell r="J123" t="str">
            <v>Verificar las condiciones en cuanto a: la estructura administrativa, condiciones de la planta física y medios educativos adecuados.</v>
          </cell>
          <cell r="K123" t="str">
            <v>ADRIANA VENEGAS VALERA</v>
          </cell>
          <cell r="L123" t="str">
            <v>LUIS FERNANDO CÁRDENAS URAN</v>
          </cell>
          <cell r="M123">
            <v>45798</v>
          </cell>
          <cell r="N123">
            <v>45804</v>
          </cell>
          <cell r="O123">
            <v>45804</v>
          </cell>
          <cell r="P123" t="str">
            <v>Visitas de evaluación con fines de mejoramiento</v>
          </cell>
          <cell r="Q123" t="str">
            <v>ACTA DE VISITA_COLEGIO SAN ANGEL.pdf</v>
          </cell>
          <cell r="R123" t="str">
            <v>En el recorrido a la institución se evidencia que las condiciones en cuanto a: la estructura administrativa, condiciones de la planta física y medios educativos adecuados.</v>
          </cell>
          <cell r="S123" t="str">
            <v>La IE debe seguir garantizando que la estructura administrativa, condiciones de la planta física y medios educativos estén adecuados para la prestación del servicio educativo con calidad.</v>
          </cell>
          <cell r="T123" t="str">
            <v>No</v>
          </cell>
          <cell r="U123" t="str">
            <v>El ELIV  verificará  el cumplimiento  y que este sea Coherente con lo consignado en el EVI</v>
          </cell>
        </row>
        <row r="124">
          <cell r="A124">
            <v>1094</v>
          </cell>
          <cell r="B124">
            <v>23</v>
          </cell>
          <cell r="C124" t="str">
            <v>KENNEDY</v>
          </cell>
          <cell r="D124" t="str">
            <v>PRIVADO</v>
          </cell>
          <cell r="E124" t="str">
            <v>EPBM</v>
          </cell>
          <cell r="F124" t="str">
            <v>COLEGIO_SUPERIOR_DE_OCCIDENTE</v>
          </cell>
          <cell r="G124" t="str">
            <v>COLEGIO SUPERIOR DE OCCIDENTE</v>
          </cell>
          <cell r="H124" t="str">
            <v>Autoevaluación Institucional y Pruebas SABER 11</v>
          </cell>
          <cell r="I124" t="str">
            <v>SEGUIMIENTO_Y_SUPERVISIÓN.</v>
          </cell>
          <cell r="J124" t="str">
            <v>Realizar visitas para verificar la información registrada sobre la autoevaluación institucional en el aplicativo EVI, a los establecimientos de educación formal no oficial.</v>
          </cell>
          <cell r="K124" t="str">
            <v>GERMÁN EDUARDO TORO ROSERO</v>
          </cell>
          <cell r="L124" t="str">
            <v xml:space="preserve">DIANA ZULAY HUERTAS ORTÍZ </v>
          </cell>
          <cell r="M124">
            <v>45799</v>
          </cell>
          <cell r="N124">
            <v>45799</v>
          </cell>
          <cell r="O124">
            <v>45799</v>
          </cell>
          <cell r="P124" t="str">
            <v>Visitas de evaluación con fines de mejoramiento</v>
          </cell>
          <cell r="Q124" t="str">
            <v>ACTA VISITA COLEGIO SUPERIOR DE OCCIDENTE.pdf</v>
          </cell>
          <cell r="R124" t="str">
            <v xml:space="preserve">La EE, registra información que da cuenta de la realidad institucional, en los espacios físicos, medios educativos, gestión administrativa y recursos. </v>
          </cell>
          <cell r="S124" t="str">
            <v>Seguir registrando la información que da cuenta de la realidad institucional.</v>
          </cell>
          <cell r="T124" t="str">
            <v>No</v>
          </cell>
          <cell r="U124" t="str">
            <v>Verificar en el aplicativo EVI, la información registrada.</v>
          </cell>
        </row>
        <row r="125">
          <cell r="A125">
            <v>1095</v>
          </cell>
          <cell r="B125"/>
          <cell r="C125" t="str">
            <v>KENNEDY</v>
          </cell>
          <cell r="D125" t="str">
            <v>PRIVADO</v>
          </cell>
          <cell r="E125" t="str">
            <v>EPBM</v>
          </cell>
          <cell r="F125" t="str">
            <v>COLEGIO_SUPERIOR_DE_OCCIDENTE</v>
          </cell>
          <cell r="G125" t="str">
            <v>COLEGIO SUPERIOR DE OCCIDENTE</v>
          </cell>
          <cell r="H125" t="str">
            <v>Autoevaluación Institucional y Pruebas SABER 11</v>
          </cell>
          <cell r="I125" t="str">
            <v>SEGUIMIENTO_Y_SUPERVISIÓN.</v>
          </cell>
          <cell r="J125" t="str">
            <v>Proponer estrategias en la formulación, verificar su elaboración y realizar seguimiento semestral al desarrollo de  las acciones establecidas en los planes de mejoramiento por pruebas SABER 11 de los establecimientos de educación formal.</v>
          </cell>
          <cell r="K125" t="str">
            <v>GERMÁN EDUARDO TORO ROSERO</v>
          </cell>
          <cell r="L125" t="str">
            <v xml:space="preserve">DIANA ZULAY HUERTAS ORTÍZ </v>
          </cell>
          <cell r="M125">
            <v>45799</v>
          </cell>
          <cell r="N125">
            <v>45799</v>
          </cell>
          <cell r="O125">
            <v>45799</v>
          </cell>
          <cell r="P125" t="str">
            <v>Visitas de evaluación con fines de mejoramiento</v>
          </cell>
          <cell r="Q125" t="str">
            <v>ACTA VISITA COLEGIO SUPERIOR DE OCCIDENTE.pdf</v>
          </cell>
          <cell r="R125" t="str">
            <v>EE desarrolla análisis y seguimiento a los resultados de prueba SABER 11, por medio de un proyecto institucional destinado a la verificación de resultados por componente y comparación por año.</v>
          </cell>
          <cell r="S125" t="str">
            <v xml:space="preserve">Continuar desarrollando estrategias en pro del mejoramiento de los resultados de las pruebas SABER. </v>
          </cell>
          <cell r="T125" t="str">
            <v>No</v>
          </cell>
          <cell r="U125" t="str">
            <v>ELIV, verificará el desarrollo de las estrategias planteadas por EE y el análisis de sus resultados.</v>
          </cell>
        </row>
        <row r="126">
          <cell r="A126">
            <v>1096</v>
          </cell>
          <cell r="B126"/>
          <cell r="C126" t="str">
            <v>KENNEDY</v>
          </cell>
          <cell r="D126" t="str">
            <v>PRIVADO</v>
          </cell>
          <cell r="E126" t="str">
            <v>EPBM</v>
          </cell>
          <cell r="F126" t="str">
            <v>COLEGIO_SUPERIOR_DE_OCCIDENTE</v>
          </cell>
          <cell r="G126" t="str">
            <v>COLEGIO SUPERIOR DE OCCIDENTE</v>
          </cell>
          <cell r="H126" t="str">
            <v>Autoevaluación Institucional y Pruebas SABER 11</v>
          </cell>
          <cell r="I126" t="str">
            <v>SEGUIMIENTO_Y_SUPERVISIÓN.</v>
          </cell>
          <cell r="J126" t="str">
            <v xml:space="preserve">Verificar la implementación por parte de los colegios, de acciones realizadas para la prevención y atención de las situaciones de convivencia en el entorno escolar, según lo establecido en la Directiva 01 de 2022 del MEN. </v>
          </cell>
          <cell r="K126" t="str">
            <v>GERMÁN EDUARDO TORO ROSERO</v>
          </cell>
          <cell r="L126" t="str">
            <v xml:space="preserve">DIANA ZULAY HUERTAS ORTÍZ </v>
          </cell>
          <cell r="M126">
            <v>45799</v>
          </cell>
          <cell r="N126">
            <v>45799</v>
          </cell>
          <cell r="O126">
            <v>45799</v>
          </cell>
          <cell r="P126" t="str">
            <v>Visitas de evaluación con fines de mejoramiento</v>
          </cell>
          <cell r="Q126" t="str">
            <v>ACTA VISITA COLEGIO SUPERIOR DE OCCIDENTE.pdf</v>
          </cell>
          <cell r="R126" t="str">
            <v xml:space="preserve">La EE cuenta con proyectos que evidencian la implementación de acciones de prevención y promoción de situaciones de convivencia en el entorno escolar, como talleres, campañas de sensibilización e información a toda la comunidad educativa. </v>
          </cell>
          <cell r="S126" t="str">
            <v xml:space="preserve">Continuar con la implementación de acciones de promoción y prevención de la convivencia escolar. </v>
          </cell>
          <cell r="T126" t="str">
            <v>No</v>
          </cell>
          <cell r="U126" t="str">
            <v xml:space="preserve">El ELIV verificará en la próxima vigencia el desarrollo de acciones de promoción y prevención. </v>
          </cell>
        </row>
        <row r="127">
          <cell r="A127">
            <v>1097</v>
          </cell>
          <cell r="B127"/>
          <cell r="C127" t="str">
            <v>KENNEDY</v>
          </cell>
          <cell r="D127" t="str">
            <v>PRIVADO</v>
          </cell>
          <cell r="E127" t="str">
            <v>EPBM</v>
          </cell>
          <cell r="F127" t="str">
            <v>COLEGIO_SUPERIOR_DE_OCCIDENTE</v>
          </cell>
          <cell r="G127" t="str">
            <v>COLEGIO SUPERIOR DE OCCIDENTE</v>
          </cell>
          <cell r="H127" t="str">
            <v>Autoevaluación Institucional y Pruebas SABER 11</v>
          </cell>
          <cell r="I127" t="str">
            <v>SEGUIMIENTO_Y_SUPERVISIÓN.</v>
          </cell>
          <cell r="J12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27" t="str">
            <v>GERMÁN EDUARDO TORO ROSERO</v>
          </cell>
          <cell r="L127" t="str">
            <v xml:space="preserve">DIANA ZULAY HUERTAS ORTÍZ </v>
          </cell>
          <cell r="M127">
            <v>45799</v>
          </cell>
          <cell r="N127">
            <v>45799</v>
          </cell>
          <cell r="O127">
            <v>45799</v>
          </cell>
          <cell r="P127" t="str">
            <v>Visitas de evaluación con fines de mejoramiento</v>
          </cell>
          <cell r="Q127" t="str">
            <v>ACTA VISITA COLEGIO SUPERIOR DE OCCIDENTE.pdf</v>
          </cell>
          <cell r="R127" t="str">
            <v>Se evidenció el desarrollo de  PIAR, para un estudiante, con los soportes necesarios.</v>
          </cell>
          <cell r="S127" t="str">
            <v>Continuar desarrollando e implementando PIAR, para estudiantes que lo necesiten de acuerdo a la caracterización e identificación institucional.</v>
          </cell>
          <cell r="T127" t="str">
            <v>No</v>
          </cell>
          <cell r="U127" t="str">
            <v xml:space="preserve">Verificar el desarrollo y la implementación de PIAR, de acuerdo a la necesidad. </v>
          </cell>
        </row>
        <row r="128">
          <cell r="A128">
            <v>1098</v>
          </cell>
          <cell r="B128"/>
          <cell r="C128" t="str">
            <v>KENNEDY</v>
          </cell>
          <cell r="D128" t="str">
            <v>PRIVADO</v>
          </cell>
          <cell r="E128" t="str">
            <v>EPBM</v>
          </cell>
          <cell r="F128" t="str">
            <v>COLEGIO_SUPERIOR_DE_OCCIDENTE</v>
          </cell>
          <cell r="G128" t="str">
            <v>COLEGIO SUPERIOR DE OCCIDENTE</v>
          </cell>
          <cell r="H128" t="str">
            <v>Autoevaluación Institucional y Pruebas SABER 11</v>
          </cell>
          <cell r="I128" t="str">
            <v>EVALUACIÓN_CON_FINES_DE_MEJORAMIENTO.</v>
          </cell>
          <cell r="J12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28" t="str">
            <v>GERMÁN EDUARDO TORO ROSERO</v>
          </cell>
          <cell r="L128" t="str">
            <v xml:space="preserve">DIANA ZULAY HUERTAS ORTÍZ </v>
          </cell>
          <cell r="M128">
            <v>45799</v>
          </cell>
          <cell r="N128">
            <v>45799</v>
          </cell>
          <cell r="O128">
            <v>45799</v>
          </cell>
          <cell r="P128" t="str">
            <v>Visitas de evaluación con fines de mejoramiento</v>
          </cell>
          <cell r="Q128" t="str">
            <v>ACTA VISITA COLEGIO SUPERIOR DE OCCIDENTE.pdf</v>
          </cell>
          <cell r="R128" t="str">
            <v>La EE, debe actualizar el manual de convivencia de acuerdo a la normatividad vigente.</v>
          </cell>
          <cell r="S128" t="str">
            <v>Actualizar de manera participativa el manual de convivencia de la institución teniendo los enfoques, la tipificación de situaciones y las faltas de acuerdo a la ley 1620 y decreto 1965.</v>
          </cell>
          <cell r="T128" t="str">
            <v>Si</v>
          </cell>
          <cell r="U128" t="str">
            <v>El ELIV verificará la actualización del manual de convivencia. Se realiza mesa de seguimiento el día 22 de septiembre 2025.Se validará el cumplimiento de las actividades pendientes el  5 de diciembre.</v>
          </cell>
        </row>
        <row r="129">
          <cell r="A129">
            <v>1099</v>
          </cell>
          <cell r="B129"/>
          <cell r="C129" t="str">
            <v>KENNEDY</v>
          </cell>
          <cell r="D129" t="str">
            <v>PRIVADO</v>
          </cell>
          <cell r="E129" t="str">
            <v>EPBM</v>
          </cell>
          <cell r="F129" t="str">
            <v>COLEGIO_SUPERIOR_DE_OCCIDENTE</v>
          </cell>
          <cell r="G129" t="str">
            <v>COLEGIO SUPERIOR DE OCCIDENTE</v>
          </cell>
          <cell r="H129" t="str">
            <v>Autoevaluación Institucional y Pruebas SABER 11</v>
          </cell>
          <cell r="I129" t="str">
            <v>EVALUACIÓN_CON_FINES_DE_MEJORAMIENTO.</v>
          </cell>
          <cell r="J129" t="str">
            <v>Revisar el calendario escolar, jornada escolar, la intensidad horaria mínima anual en cada nivel y las modificaciones que se realicen al mismo, de acuerdo con lo previsto en la normatividad vigente.</v>
          </cell>
          <cell r="K129" t="str">
            <v>GERMÁN EDUARDO TORO ROSERO</v>
          </cell>
          <cell r="L129" t="str">
            <v xml:space="preserve">DIANA ZULAY HUERTAS ORTÍZ </v>
          </cell>
          <cell r="M129">
            <v>45799</v>
          </cell>
          <cell r="N129">
            <v>45799</v>
          </cell>
          <cell r="O129">
            <v>45799</v>
          </cell>
          <cell r="P129" t="str">
            <v>Visitas de evaluación con fines de mejoramiento</v>
          </cell>
          <cell r="Q129" t="str">
            <v>ACTA VISITA COLEGIO SUPERIOR DE OCCIDENTE.pdf</v>
          </cell>
          <cell r="R129" t="str">
            <v>La EE, cumple con la intensidad horaria mínima anual para cada nivel.</v>
          </cell>
          <cell r="S129" t="str">
            <v xml:space="preserve">La EE, debe seguir cumpliendo con la intensidad horaria mínima. </v>
          </cell>
          <cell r="T129" t="str">
            <v>No</v>
          </cell>
          <cell r="U129" t="str">
            <v xml:space="preserve">El ELIV verificará en la próxima vigencia el cumplimiento del calendario escolar. </v>
          </cell>
        </row>
        <row r="130">
          <cell r="A130">
            <v>1100</v>
          </cell>
          <cell r="B130"/>
          <cell r="C130" t="str">
            <v>KENNEDY</v>
          </cell>
          <cell r="D130" t="str">
            <v>PRIVADO</v>
          </cell>
          <cell r="E130" t="str">
            <v>EPBM</v>
          </cell>
          <cell r="F130" t="str">
            <v>COLEGIO_SUPERIOR_DE_OCCIDENTE</v>
          </cell>
          <cell r="G130" t="str">
            <v>COLEGIO SUPERIOR DE OCCIDENTE</v>
          </cell>
          <cell r="H130" t="str">
            <v>Autoevaluación Institucional y Pruebas SABER 11</v>
          </cell>
          <cell r="I130" t="str">
            <v>EVALUACIÓN_CON_FINES_DE_MEJORAMIENTO.</v>
          </cell>
          <cell r="J130" t="str">
            <v>Verificar las condiciones en cuanto a: la estructura administrativa, condiciones de la planta física y medios educativos adecuados.</v>
          </cell>
          <cell r="K130" t="str">
            <v>GERMÁN EDUARDO TORO ROSERO</v>
          </cell>
          <cell r="L130" t="str">
            <v xml:space="preserve">DIANA ZULAY HUERTAS ORTÍZ </v>
          </cell>
          <cell r="M130">
            <v>45799</v>
          </cell>
          <cell r="N130">
            <v>45799</v>
          </cell>
          <cell r="O130">
            <v>45799</v>
          </cell>
          <cell r="P130" t="str">
            <v>Visitas de evaluación con fines de mejoramiento</v>
          </cell>
          <cell r="Q130" t="str">
            <v>ACTA VISITA COLEGIO SUPERIOR DE OCCIDENTE.pdf</v>
          </cell>
          <cell r="R130" t="str">
            <v>Las condiciones de los medios educativos no son adecuados para la prestación del servicio educativo (pupitres, tableros y medios tecnológicos)</v>
          </cell>
          <cell r="S130" t="str">
            <v xml:space="preserve">La IE debe implementar un plan de mantenimiento, mejora o cambio del inmobiliario (pupitres, tableros y medios tecnológicos), con el propósito de prestar un servicio educativo de calidad. </v>
          </cell>
          <cell r="T130" t="str">
            <v>Si</v>
          </cell>
          <cell r="U130" t="str">
            <v>Seguimiento al cumplimiento del plan de mejoramiento. Se realiza mesa de seguimiento el día 22 de septiembre 2025.Se validará el cumplimiento de las actividades pendientes el  5 de diciembre.</v>
          </cell>
        </row>
        <row r="131">
          <cell r="A131">
            <v>1101</v>
          </cell>
          <cell r="B131">
            <v>24</v>
          </cell>
          <cell r="C131" t="str">
            <v>KENNEDY</v>
          </cell>
          <cell r="D131" t="str">
            <v>PRIVADO</v>
          </cell>
          <cell r="E131" t="str">
            <v>EPBM</v>
          </cell>
          <cell r="F131" t="str">
            <v>COLEGIO_TALENTOS</v>
          </cell>
          <cell r="G131" t="str">
            <v>COLEGIO TALENTOS</v>
          </cell>
          <cell r="H131" t="str">
            <v>Autoevaluación Institucional y Pruebas SABER 11</v>
          </cell>
          <cell r="I131" t="str">
            <v>SEGUIMIENTO_Y_SUPERVISIÓN.</v>
          </cell>
          <cell r="J131" t="str">
            <v>Realizar visitas para verificar la información registrada sobre la autoevaluación institucional en el aplicativo EVI, a los establecimientos de educación formal no oficial.</v>
          </cell>
          <cell r="K131" t="str">
            <v>INGRID VIVIANA DÁVILA ÁVILA</v>
          </cell>
          <cell r="L131" t="str">
            <v>VIVANA PILAR BOHÓRQUEZ DÍAZ</v>
          </cell>
          <cell r="M131">
            <v>45804</v>
          </cell>
          <cell r="N131">
            <v>45804</v>
          </cell>
          <cell r="O131">
            <v>45804</v>
          </cell>
          <cell r="P131" t="str">
            <v>Visitas de evaluación con fines de mejoramiento</v>
          </cell>
          <cell r="Q131" t="str">
            <v>ACTA DE VISITA COLEGIO TALENTOS</v>
          </cell>
          <cell r="R131" t="str">
            <v xml:space="preserve">La información relacionada en el EVI es coherente con los aspectos identificados en la visita como infraestructura, mobiliario,  organización administrativa y académica.  </v>
          </cell>
          <cell r="S131" t="str">
            <v>Para la vigencia 2026 la Institución Educativa debe validar la información de tal manera que lo registrado en el EVI sea coherente con la realidad institucional.</v>
          </cell>
          <cell r="T131" t="str">
            <v>No</v>
          </cell>
          <cell r="U131" t="str">
            <v>Seguimiento al EVI en la próxima vigencia.</v>
          </cell>
        </row>
        <row r="132">
          <cell r="A132">
            <v>1102</v>
          </cell>
          <cell r="B132"/>
          <cell r="C132" t="str">
            <v>KENNEDY</v>
          </cell>
          <cell r="D132" t="str">
            <v>PRIVADO</v>
          </cell>
          <cell r="E132" t="str">
            <v>EPBM</v>
          </cell>
          <cell r="F132" t="str">
            <v>COLEGIO_TALENTOS</v>
          </cell>
          <cell r="G132" t="str">
            <v>COLEGIO TALENTOS</v>
          </cell>
          <cell r="H132" t="str">
            <v>Autoevaluación Institucional y Pruebas SABER 11</v>
          </cell>
          <cell r="I132" t="str">
            <v>SEGUIMIENTO_Y_SUPERVISIÓN.</v>
          </cell>
          <cell r="J132" t="str">
            <v>Proponer estrategias en la formulación, verificar su elaboración y realizar seguimiento semestral al desarrollo de  las acciones establecidas en los planes de mejoramiento por pruebas SABER 11 de los establecimientos de educación formal.</v>
          </cell>
          <cell r="K132" t="str">
            <v>INGRID VIVIANA DÁVILA ÁVILA</v>
          </cell>
          <cell r="L132" t="str">
            <v>VIVANA PILAR BOHÓRQUEZ DÍAZ</v>
          </cell>
          <cell r="M132">
            <v>45804</v>
          </cell>
          <cell r="N132">
            <v>45804</v>
          </cell>
          <cell r="O132">
            <v>45804</v>
          </cell>
          <cell r="P132" t="str">
            <v>Visitas de evaluación con fines de mejoramiento</v>
          </cell>
          <cell r="Q132" t="str">
            <v>ACTA DE VISITA COLEGIO TALENTOS</v>
          </cell>
          <cell r="R132" t="str">
            <v xml:space="preserve">La institución educativa no ha realizado el análisis de los resultados de las pruebas SABER 11 y no ha formulado ningún plan de trabajo para avanzar en la mejora de estos resultados. </v>
          </cell>
          <cell r="S132" t="str">
            <v xml:space="preserve">Realizar el análisis de los resultados de las pruebas SABER 11, diseñar un plan de mejoramiento, aprobado por el Consejo Directivo y el Consejo Académico e implementar acciones precisas para contribuir al incremento de los resultados. </v>
          </cell>
          <cell r="T132" t="str">
            <v>Si</v>
          </cell>
          <cell r="U132" t="str">
            <v>Seguimiento a las acciones definidas en el plan de mejoramiento. Se realiza visita de seguimiento el 3 de octubre y se establece envío de documentos para el día 30 de noviembre.</v>
          </cell>
        </row>
        <row r="133">
          <cell r="A133">
            <v>1103</v>
          </cell>
          <cell r="B133"/>
          <cell r="C133" t="str">
            <v>KENNEDY</v>
          </cell>
          <cell r="D133" t="str">
            <v>PRIVADO</v>
          </cell>
          <cell r="E133" t="str">
            <v>EPBM</v>
          </cell>
          <cell r="F133" t="str">
            <v>COLEGIO_TALENTOS</v>
          </cell>
          <cell r="G133" t="str">
            <v>COLEGIO TALENTOS</v>
          </cell>
          <cell r="H133" t="str">
            <v>Autoevaluación Institucional y Pruebas SABER 11</v>
          </cell>
          <cell r="I133" t="str">
            <v>SEGUIMIENTO_Y_SUPERVISIÓN.</v>
          </cell>
          <cell r="J133" t="str">
            <v xml:space="preserve">Verificar la implementación por parte de los colegios, de acciones realizadas para la prevención y atención de las situaciones de convivencia en el entorno escolar, según lo establecido en la Directiva 01 de 2022 del MEN. </v>
          </cell>
          <cell r="K133" t="str">
            <v>INGRID VIVIANA DÁVILA ÁVILA</v>
          </cell>
          <cell r="L133" t="str">
            <v>VIVANA PILAR BOHÓRQUEZ DÍAZ</v>
          </cell>
          <cell r="M133">
            <v>45804</v>
          </cell>
          <cell r="N133">
            <v>45804</v>
          </cell>
          <cell r="O133">
            <v>45804</v>
          </cell>
          <cell r="P133" t="str">
            <v>Visitas de evaluación con fines de mejoramiento</v>
          </cell>
          <cell r="Q133" t="str">
            <v>ACTA DE VISITA COLEGIO TALENTOS</v>
          </cell>
          <cell r="R133" t="str">
            <v xml:space="preserve">Las carpetas del personal vinculado no cuenta con el certificado de inhabilidades por delitos sexuales, de acuerdo con la Directiva Ministerial. </v>
          </cell>
          <cell r="S133" t="str">
            <v xml:space="preserve">Realizar la consulta de inhabilidades por delitos sexuales del talento humano del colegio, previa autorización del tratamiento de datos personales. </v>
          </cell>
          <cell r="T133" t="str">
            <v>Si</v>
          </cell>
          <cell r="U133" t="str">
            <v>Verificar las carpetas institucional con el respectivo soporte vigente. Se realiza visita de seguimiento el 1 de octubre y se establece envío de documentos para el día 5 de diciembre.</v>
          </cell>
        </row>
        <row r="134">
          <cell r="A134">
            <v>1104</v>
          </cell>
          <cell r="B134"/>
          <cell r="C134" t="str">
            <v>KENNEDY</v>
          </cell>
          <cell r="D134" t="str">
            <v>PRIVADO</v>
          </cell>
          <cell r="E134" t="str">
            <v>EPBM</v>
          </cell>
          <cell r="F134" t="str">
            <v>COLEGIO_TALENTOS</v>
          </cell>
          <cell r="G134" t="str">
            <v>COLEGIO TALENTOS</v>
          </cell>
          <cell r="H134" t="str">
            <v>Autoevaluación Institucional y Pruebas SABER 11</v>
          </cell>
          <cell r="I134" t="str">
            <v>SEGUIMIENTO_Y_SUPERVISIÓN.</v>
          </cell>
          <cell r="J13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34" t="str">
            <v>INGRID VIVIANA DÁVILA ÁVILA</v>
          </cell>
          <cell r="L134" t="str">
            <v>VIVANA PILAR BOHÓRQUEZ DÍAZ</v>
          </cell>
          <cell r="M134">
            <v>45804</v>
          </cell>
          <cell r="N134">
            <v>45804</v>
          </cell>
          <cell r="O134">
            <v>45804</v>
          </cell>
          <cell r="P134" t="str">
            <v>Visitas de evaluación con fines de mejoramiento</v>
          </cell>
          <cell r="Q134" t="str">
            <v>ACTA DE VISITA COLEGIO TALENTOS</v>
          </cell>
          <cell r="R134" t="str">
            <v xml:space="preserve">La institución educativa tiene estudiantes con discapacidad y no tiene soportes del Plan Individual de Ajustes Razonables -PIAR y el respectivo seguimiento. </v>
          </cell>
          <cell r="S134" t="str">
            <v xml:space="preserve">Elaborar los Planes Individuales de Ajustes Razonables -PIAR de cada uno de los estudiantes caracterizados y realizar el respectivo seguimiento. </v>
          </cell>
          <cell r="T134" t="str">
            <v>Si</v>
          </cell>
          <cell r="U134" t="str">
            <v>Verificar que el cumplimiento de los  PIAR. Se realiza visita de seguimiento el 1 de octubre y se establece envío de documentos para el día 5 de diciembre.</v>
          </cell>
        </row>
        <row r="135">
          <cell r="A135">
            <v>1105</v>
          </cell>
          <cell r="B135"/>
          <cell r="C135" t="str">
            <v>KENNEDY</v>
          </cell>
          <cell r="D135" t="str">
            <v>PRIVADO</v>
          </cell>
          <cell r="E135" t="str">
            <v>EPBM</v>
          </cell>
          <cell r="F135" t="str">
            <v>COLEGIO_TALENTOS</v>
          </cell>
          <cell r="G135" t="str">
            <v>COLEGIO TALENTOS</v>
          </cell>
          <cell r="H135" t="str">
            <v>Autoevaluación Institucional y Pruebas SABER 11</v>
          </cell>
          <cell r="I135" t="str">
            <v>EVALUACIÓN_CON_FINES_DE_MEJORAMIENTO.</v>
          </cell>
          <cell r="J13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35" t="str">
            <v>INGRID VIVIANA DÁVILA ÁVILA</v>
          </cell>
          <cell r="L135" t="str">
            <v>VIVANA PILAR BOHÓRQUEZ DÍAZ</v>
          </cell>
          <cell r="M135">
            <v>45804</v>
          </cell>
          <cell r="N135">
            <v>45804</v>
          </cell>
          <cell r="O135">
            <v>45804</v>
          </cell>
          <cell r="P135" t="str">
            <v>Visitas de evaluación con fines de mejoramiento</v>
          </cell>
          <cell r="Q135" t="str">
            <v>ACTA DE VISITA COLEGIO TALENTOS</v>
          </cell>
          <cell r="R135" t="str">
            <v>La IE no presenta evidencias de que el manual de convivencia haya sido elaborado y actualizado con la participación de toda la comunidad educativa, de igual manera no incluye los enfoques de derechos humanos, genero, diversidad y enfoque restaurativo.</v>
          </cell>
          <cell r="S135" t="str">
            <v>La IE debe actualizar su manual de convivencia con la participación de toda la comunidad educativa e incluir los enfoques de derechos humanos, genero, diversidad y enfoque restaurativo.</v>
          </cell>
          <cell r="T135" t="str">
            <v>Si</v>
          </cell>
          <cell r="U135" t="str">
            <v>Seguimiento al cumplimiento del plan de mejoramiento. Se realiza visita de seguimiento el 1 de octubre y se establece envío de documentos para el día 5 de diciembre.</v>
          </cell>
        </row>
        <row r="136">
          <cell r="A136">
            <v>1107</v>
          </cell>
          <cell r="B136"/>
          <cell r="C136" t="str">
            <v>KENNEDY</v>
          </cell>
          <cell r="D136" t="str">
            <v>PRIVADO</v>
          </cell>
          <cell r="E136" t="str">
            <v>EPBM</v>
          </cell>
          <cell r="F136" t="str">
            <v>COLEGIO_TALENTOS</v>
          </cell>
          <cell r="G136" t="str">
            <v>COLEGIO TALENTOS</v>
          </cell>
          <cell r="H136" t="str">
            <v>Autoevaluación Institucional y Pruebas SABER 11</v>
          </cell>
          <cell r="I136" t="str">
            <v>EVALUACIÓN_CON_FINES_DE_MEJORAMIENTO.</v>
          </cell>
          <cell r="J136" t="str">
            <v>Verificar el funcionamiento del Gobierno Escolar e instancias de participación con base en la información sobre conformación reportada por la institución educativa.</v>
          </cell>
          <cell r="K136" t="str">
            <v>INGRID VIVIANA DÁVILA ÁVILA</v>
          </cell>
          <cell r="L136" t="str">
            <v>VIVANA PILAR BOHÓRQUEZ DÍAZ</v>
          </cell>
          <cell r="M136">
            <v>45804</v>
          </cell>
          <cell r="N136">
            <v>45804</v>
          </cell>
          <cell r="O136">
            <v>45804</v>
          </cell>
          <cell r="P136" t="str">
            <v>Visitas de evaluación con fines de mejoramiento</v>
          </cell>
          <cell r="Q136" t="str">
            <v>ACTA DE VISITA COLEGIO TALENTOS</v>
          </cell>
          <cell r="R136" t="str">
            <v xml:space="preserve">No hay reporte en el Sistema de Apoyo Escolar de las actas de la institución educativa  y las actas que se encuentran en la institución están incompletas </v>
          </cell>
          <cell r="S136" t="str">
            <v xml:space="preserve">Adelantar los ajustes requeridos en las actas de gobierno escolar y realizar el respectivo cargue en el SAE </v>
          </cell>
          <cell r="T136" t="str">
            <v>Si</v>
          </cell>
          <cell r="U136" t="str">
            <v>Seguimiento al cumplimiento del plan de mejoramiento. Se realiza visita de seguimiento el 1 de octubre y se establece envío de documentos para el día 5 de diciembre.</v>
          </cell>
        </row>
        <row r="137">
          <cell r="A137">
            <v>1109</v>
          </cell>
          <cell r="B137">
            <v>25</v>
          </cell>
          <cell r="C137" t="str">
            <v>KENNEDY</v>
          </cell>
          <cell r="D137" t="str">
            <v>PRIVADO</v>
          </cell>
          <cell r="E137" t="str">
            <v>Educación de Jóvenes y Adultos</v>
          </cell>
          <cell r="F137" t="str">
            <v>COLEGIO_TECNISISTEMAS</v>
          </cell>
          <cell r="G137" t="str">
            <v>COLEGIO TECNISISTEMAS</v>
          </cell>
          <cell r="H137" t="str">
            <v>Autoevaluación Institucional y Pruebas SABER 11</v>
          </cell>
          <cell r="I137" t="str">
            <v>SEGUIMIENTO_Y_SUPERVISIÓN.</v>
          </cell>
          <cell r="J137" t="str">
            <v>Realizar visitas para verificar la información registrada sobre la autoevaluación institucional en el aplicativo EVI, a los establecimientos de educación formal no oficial.</v>
          </cell>
          <cell r="K137" t="str">
            <v>ADRIANA VENEGAS VALERA</v>
          </cell>
          <cell r="L137" t="str">
            <v xml:space="preserve">DIANA ZULAY HUERTAS ORTÍZ </v>
          </cell>
          <cell r="M137">
            <v>45805</v>
          </cell>
          <cell r="N137">
            <v>45805</v>
          </cell>
          <cell r="O137">
            <v>45805</v>
          </cell>
          <cell r="P137" t="str">
            <v>Visitas de evaluación con fines de mejoramiento</v>
          </cell>
          <cell r="Q137" t="str">
            <v>ACTA DE VISITA COLEGIO TECNISISTEMAS.pdf</v>
          </cell>
          <cell r="R137" t="str">
            <v xml:space="preserve">La EE, registra información que da cuenta de la realidad institucional. </v>
          </cell>
          <cell r="S137" t="str">
            <v>Seguir registrando la información que da cuenta de la realidad institucional.</v>
          </cell>
          <cell r="T137" t="str">
            <v>No</v>
          </cell>
          <cell r="U137" t="str">
            <v>Verificar en el aplicativo EVI, la información registrada.</v>
          </cell>
        </row>
        <row r="138">
          <cell r="A138">
            <v>1110</v>
          </cell>
          <cell r="B138"/>
          <cell r="C138" t="str">
            <v>KENNEDY</v>
          </cell>
          <cell r="D138" t="str">
            <v>PRIVADO</v>
          </cell>
          <cell r="E138" t="str">
            <v>Educación de Jóvenes y Adultos</v>
          </cell>
          <cell r="F138" t="str">
            <v>COLEGIO_TECNISISTEMAS</v>
          </cell>
          <cell r="G138" t="str">
            <v>COLEGIO TECNISISTEMAS</v>
          </cell>
          <cell r="H138" t="str">
            <v>Autoevaluación Institucional y Pruebas SABER 11</v>
          </cell>
          <cell r="I138" t="str">
            <v>SEGUIMIENTO_Y_SUPERVISIÓN.</v>
          </cell>
          <cell r="J138" t="str">
            <v>Proponer estrategias en la formulación, verificar su elaboración y realizar seguimiento semestral al desarrollo de  las acciones establecidas en los planes de mejoramiento por pruebas SABER 11 de los establecimientos de educación formal.</v>
          </cell>
          <cell r="K138" t="str">
            <v>ADRIANA VENEGAS VALERA</v>
          </cell>
          <cell r="L138" t="str">
            <v xml:space="preserve">DIANA ZULAY HUERTAS ORTÍZ </v>
          </cell>
          <cell r="M138">
            <v>45805</v>
          </cell>
          <cell r="N138">
            <v>45805</v>
          </cell>
          <cell r="O138">
            <v>45805</v>
          </cell>
          <cell r="P138" t="str">
            <v>Visitas de evaluación con fines de mejoramiento</v>
          </cell>
          <cell r="Q138" t="str">
            <v>ACTA DE VISITA COLEGIO TECNISISTEMAS.pdf</v>
          </cell>
          <cell r="R138" t="str">
            <v>EE desarrolla estrategias para analizar y realizar seguimiento a los resultados de prueba SABER 11.</v>
          </cell>
          <cell r="S138" t="str">
            <v xml:space="preserve">Continuar desarrollando estrategias en pro del mejoramiento de los resultados de las pruebas SABER. </v>
          </cell>
          <cell r="T138" t="str">
            <v>No</v>
          </cell>
          <cell r="U138" t="str">
            <v>ELIV, verificará el desarrollo de las estrategias planteadas por EE y el análisis de sus resultados.</v>
          </cell>
        </row>
        <row r="139">
          <cell r="A139">
            <v>1111</v>
          </cell>
          <cell r="B139"/>
          <cell r="C139" t="str">
            <v>KENNEDY</v>
          </cell>
          <cell r="D139" t="str">
            <v>PRIVADO</v>
          </cell>
          <cell r="E139" t="str">
            <v>Educación de Jóvenes y Adultos</v>
          </cell>
          <cell r="F139" t="str">
            <v>COLEGIO_TECNISISTEMAS</v>
          </cell>
          <cell r="G139" t="str">
            <v>COLEGIO TECNISISTEMAS</v>
          </cell>
          <cell r="H139" t="str">
            <v>Autoevaluación Institucional y Pruebas SABER 11</v>
          </cell>
          <cell r="I139" t="str">
            <v>SEGUIMIENTO_Y_SUPERVISIÓN.</v>
          </cell>
          <cell r="J139" t="str">
            <v xml:space="preserve">Verificar la implementación por parte de los colegios, de acciones realizadas para la prevención y atención de las situaciones de convivencia en el entorno escolar, según lo establecido en la Directiva 01 de 2022 del MEN. </v>
          </cell>
          <cell r="K139" t="str">
            <v>ADRIANA VENEGAS VALERA</v>
          </cell>
          <cell r="L139" t="str">
            <v xml:space="preserve">DIANA ZULAY HUERTAS ORTÍZ </v>
          </cell>
          <cell r="M139">
            <v>45805</v>
          </cell>
          <cell r="N139">
            <v>45805</v>
          </cell>
          <cell r="O139">
            <v>45805</v>
          </cell>
          <cell r="P139" t="str">
            <v>Visitas de evaluación con fines de mejoramiento</v>
          </cell>
          <cell r="Q139" t="str">
            <v>ACTA DE VISITA COLEGIO TECNISISTEMAS.pdf</v>
          </cell>
          <cell r="R139" t="str">
            <v>La EE no cuenta con evidencia de las acciones de prevención, promoción y atención de las situaciones de convivencia en el entorno escolar.</v>
          </cell>
          <cell r="S139" t="str">
            <v>Presentar informe de las acciones de prevención, promoción y atención de las situaciones de convivencia en el entorno escolar más comunes.</v>
          </cell>
          <cell r="T139" t="str">
            <v>Si</v>
          </cell>
          <cell r="U139" t="str">
            <v>ELIV, revisará el informe que contempla las acciones realizadas. Se realiza mesa de seguimiento el 20 de agosto de 2025.</v>
          </cell>
        </row>
        <row r="140">
          <cell r="A140">
            <v>1112</v>
          </cell>
          <cell r="B140"/>
          <cell r="C140" t="str">
            <v>KENNEDY</v>
          </cell>
          <cell r="D140" t="str">
            <v>PRIVADO</v>
          </cell>
          <cell r="E140" t="str">
            <v>Educación de Jóvenes y Adultos</v>
          </cell>
          <cell r="F140" t="str">
            <v>COLEGIO_TECNISISTEMAS</v>
          </cell>
          <cell r="G140" t="str">
            <v>COLEGIO TECNISISTEMAS</v>
          </cell>
          <cell r="H140" t="str">
            <v>Autoevaluación Institucional y Pruebas SABER 11</v>
          </cell>
          <cell r="I140" t="str">
            <v>SEGUIMIENTO_Y_SUPERVISIÓN.</v>
          </cell>
          <cell r="J14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0" t="str">
            <v>ADRIANA VENEGAS VALERA</v>
          </cell>
          <cell r="L140" t="str">
            <v xml:space="preserve">DIANA ZULAY HUERTAS ORTÍZ </v>
          </cell>
          <cell r="M140">
            <v>45805</v>
          </cell>
          <cell r="N140">
            <v>45805</v>
          </cell>
          <cell r="O140">
            <v>45805</v>
          </cell>
          <cell r="P140" t="str">
            <v>Visitas de evaluación con fines de mejoramiento</v>
          </cell>
          <cell r="Q140" t="str">
            <v>ACTA DE VISITA COLEGIO TECNISISTEMAS.pdf</v>
          </cell>
          <cell r="R140" t="str">
            <v>Se evidenció el desarrollo de  PIAR, para  estudiantes, con los soportes necesarios.</v>
          </cell>
          <cell r="S140" t="str">
            <v>Continuar desarrollando e implementando PIAR, para estudiantes que lo necesiten de acuerdo a la caracterización e identificación institucional.</v>
          </cell>
          <cell r="T140" t="str">
            <v>No</v>
          </cell>
          <cell r="U140" t="str">
            <v xml:space="preserve">Verificar el desarrollo y la implementación de PIAR, de acuerdo a la necesidad. </v>
          </cell>
        </row>
        <row r="141">
          <cell r="A141">
            <v>1113</v>
          </cell>
          <cell r="B141"/>
          <cell r="C141" t="str">
            <v>KENNEDY</v>
          </cell>
          <cell r="D141" t="str">
            <v>PRIVADO</v>
          </cell>
          <cell r="E141" t="str">
            <v>Educación de Jóvenes y Adultos</v>
          </cell>
          <cell r="F141" t="str">
            <v>COLEGIO_TECNISISTEMAS</v>
          </cell>
          <cell r="G141" t="str">
            <v>COLEGIO TECNISISTEMAS</v>
          </cell>
          <cell r="H141" t="str">
            <v>Autoevaluación Institucional y Pruebas SABER 11</v>
          </cell>
          <cell r="I141" t="str">
            <v>EVALUACIÓN_CON_FINES_DE_MEJORAMIENTO.</v>
          </cell>
          <cell r="J14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1" t="str">
            <v>ADRIANA VENEGAS VALERA</v>
          </cell>
          <cell r="L141" t="str">
            <v xml:space="preserve">DIANA ZULAY HUERTAS ORTÍZ </v>
          </cell>
          <cell r="M141">
            <v>45805</v>
          </cell>
          <cell r="N141">
            <v>45805</v>
          </cell>
          <cell r="O141">
            <v>45805</v>
          </cell>
          <cell r="P141" t="str">
            <v>Visitas de evaluación con fines de mejoramiento</v>
          </cell>
          <cell r="Q141" t="str">
            <v>ACTA DE VISITA COLEGIO TECNISISTEMAS.pdf</v>
          </cell>
          <cell r="R141" t="str">
            <v>La EE debe aclarar en el manual de convivencia los protocolos de atención de situaciones y faltas.</v>
          </cell>
          <cell r="S141" t="str">
            <v>Actualizar en el manual de convivencia los protocolos de atención para las situaciones y faltas.</v>
          </cell>
          <cell r="T141" t="str">
            <v>Si</v>
          </cell>
          <cell r="U141" t="str">
            <v>ELIV, revisará la aclaración del manual de convivencia. Se realiza mesa de seguimiento el 20 de agosto de 2025.</v>
          </cell>
        </row>
        <row r="142">
          <cell r="A142">
            <v>1114</v>
          </cell>
          <cell r="B142"/>
          <cell r="C142" t="str">
            <v>KENNEDY</v>
          </cell>
          <cell r="D142" t="str">
            <v>PRIVADO</v>
          </cell>
          <cell r="E142" t="str">
            <v>Educación de Jóvenes y Adultos</v>
          </cell>
          <cell r="F142" t="str">
            <v>COLEGIO_TECNISISTEMAS</v>
          </cell>
          <cell r="G142" t="str">
            <v>COLEGIO TECNISISTEMAS</v>
          </cell>
          <cell r="H142" t="str">
            <v>Autoevaluación Institucional y Pruebas SABER 11</v>
          </cell>
          <cell r="I142" t="str">
            <v>EVALUACIÓN_CON_FINES_DE_MEJORAMIENTO.</v>
          </cell>
          <cell r="J142" t="str">
            <v>Revisar el calendario escolar, jornada escolar, la intensidad horaria mínima anual en cada nivel y las modificaciones que se realicen al mismo, de acuerdo con lo previsto en la normatividad vigente.</v>
          </cell>
          <cell r="K142" t="str">
            <v>ADRIANA VENEGAS VALERA</v>
          </cell>
          <cell r="L142" t="str">
            <v xml:space="preserve">DIANA ZULAY HUERTAS ORTÍZ </v>
          </cell>
          <cell r="M142">
            <v>45805</v>
          </cell>
          <cell r="N142">
            <v>45805</v>
          </cell>
          <cell r="O142">
            <v>45805</v>
          </cell>
          <cell r="P142" t="str">
            <v>Visitas de evaluación con fines de mejoramiento</v>
          </cell>
          <cell r="Q142" t="str">
            <v>ACTA DE VISITA COLEGIO TECNISISTEMAS.pdf</v>
          </cell>
          <cell r="R142" t="str">
            <v>La EE, cumple con la intensidad horaria mínima anual para cada nivel.</v>
          </cell>
          <cell r="S142" t="str">
            <v xml:space="preserve">La EE, debe seguir cumpliendo con la intensidad horaria mínima. </v>
          </cell>
          <cell r="T142" t="str">
            <v>No</v>
          </cell>
          <cell r="U142" t="str">
            <v xml:space="preserve">El ELIV verificará en la próxima vigencia el cumplimiento del calendario escolar. </v>
          </cell>
        </row>
        <row r="143">
          <cell r="A143">
            <v>1115</v>
          </cell>
          <cell r="B143"/>
          <cell r="C143" t="str">
            <v>KENNEDY</v>
          </cell>
          <cell r="D143" t="str">
            <v>PRIVADO</v>
          </cell>
          <cell r="E143" t="str">
            <v>Educación de Jóvenes y Adultos</v>
          </cell>
          <cell r="F143" t="str">
            <v>COLEGIO_TECNISISTEMAS</v>
          </cell>
          <cell r="G143" t="str">
            <v>COLEGIO TECNISISTEMAS</v>
          </cell>
          <cell r="H143" t="str">
            <v>Autoevaluación Institucional y Pruebas SABER 11</v>
          </cell>
          <cell r="I143" t="str">
            <v>EVALUACIÓN_CON_FINES_DE_MEJORAMIENTO.</v>
          </cell>
          <cell r="J143" t="str">
            <v>Verificar el funcionamiento del Gobierno Escolar e instancias de participación con base en la información sobre conformación reportada por la institución educativa.</v>
          </cell>
          <cell r="K143" t="str">
            <v>ADRIANA VENEGAS VALERA</v>
          </cell>
          <cell r="L143" t="str">
            <v xml:space="preserve">DIANA ZULAY HUERTAS ORTÍZ </v>
          </cell>
          <cell r="M143">
            <v>45805</v>
          </cell>
          <cell r="N143">
            <v>45805</v>
          </cell>
          <cell r="O143">
            <v>45805</v>
          </cell>
          <cell r="P143" t="str">
            <v>Visitas de evaluación con fines de mejoramiento</v>
          </cell>
          <cell r="Q143" t="str">
            <v>ACTA DE VISITA COLEGIO TECNISISTEMAS.pdf</v>
          </cell>
          <cell r="R143" t="str">
            <v>La EE, cumple con el funcionamiento del gobierno escolar y las instancias de participación.</v>
          </cell>
          <cell r="S143" t="str">
            <v>La EE, debe seguir cumpliendo con el funcionamiento del gobierno escolar y las instancias de participación.  Debe reunir el consejo directivo de acuerdo a la normatividad vigente.</v>
          </cell>
          <cell r="T143" t="str">
            <v>Si</v>
          </cell>
          <cell r="U143" t="str">
            <v>El ELIV verificará la operatividad del gobierno escolar. Se realiza mesa de seguimiento el 20 de agosto de 2025.</v>
          </cell>
        </row>
        <row r="144">
          <cell r="A144">
            <v>1116</v>
          </cell>
          <cell r="B144"/>
          <cell r="C144" t="str">
            <v>KENNEDY</v>
          </cell>
          <cell r="D144" t="str">
            <v>PRIVADO</v>
          </cell>
          <cell r="E144" t="str">
            <v>Educación de Jóvenes y Adultos</v>
          </cell>
          <cell r="F144" t="str">
            <v>COLEGIO_TECNISISTEMAS</v>
          </cell>
          <cell r="G144" t="str">
            <v>COLEGIO TECNISISTEMAS</v>
          </cell>
          <cell r="H144" t="str">
            <v>Autoevaluación Institucional y Pruebas SABER 11</v>
          </cell>
          <cell r="I144" t="str">
            <v>EVALUACIÓN_CON_FINES_DE_MEJORAMIENTO.</v>
          </cell>
          <cell r="J144" t="str">
            <v>Verificar las condiciones en cuanto a: la estructura administrativa, condiciones de la planta física y medios educativos adecuados.</v>
          </cell>
          <cell r="K144" t="str">
            <v>ADRIANA VENEGAS VALERA</v>
          </cell>
          <cell r="L144" t="str">
            <v xml:space="preserve">DIANA ZULAY HUERTAS ORTÍZ </v>
          </cell>
          <cell r="M144">
            <v>45805</v>
          </cell>
          <cell r="N144">
            <v>45805</v>
          </cell>
          <cell r="O144">
            <v>45805</v>
          </cell>
          <cell r="P144" t="str">
            <v>Visitas de evaluación con fines de mejoramiento</v>
          </cell>
          <cell r="Q144" t="str">
            <v>ACTA DE VISITA COLEGIO TECNISISTEMAS.pdf</v>
          </cell>
          <cell r="R144" t="str">
            <v>La EE, cumple con las condiciones de estructura administrativa, condiciones de la planta física y medios educativos adecuados, ya que cuenta con espacios en condiciones adecuados de iluminación y ventilación.</v>
          </cell>
          <cell r="S144" t="str">
            <v xml:space="preserve">La EE debe mantener las condiciones de prestación del servicio, en cuanto estructura administrativa, planta física y medios educativos. </v>
          </cell>
          <cell r="T144" t="str">
            <v>No</v>
          </cell>
          <cell r="U144" t="str">
            <v xml:space="preserve">El ELIV verificará que se mantengan las condiciones de prestación del servicio. </v>
          </cell>
        </row>
        <row r="145">
          <cell r="A145">
            <v>1117</v>
          </cell>
          <cell r="B145">
            <v>26</v>
          </cell>
          <cell r="C145" t="str">
            <v>KENNEDY</v>
          </cell>
          <cell r="D145" t="str">
            <v>PRIVADO</v>
          </cell>
          <cell r="E145" t="str">
            <v>Educación de Jóvenes y Adultos</v>
          </cell>
          <cell r="F145" t="str">
            <v>COLEGIO_TRIANGULO_KENNEDY</v>
          </cell>
          <cell r="G145" t="str">
            <v>COLEGIO TRIANGULO KENNEDY</v>
          </cell>
          <cell r="H145" t="str">
            <v>Autoevaluación Institucional y Pruebas SABER 11</v>
          </cell>
          <cell r="I145" t="str">
            <v>SEGUIMIENTO_Y_SUPERVISIÓN.</v>
          </cell>
          <cell r="J145" t="str">
            <v>Realizar visitas para verificar la información registrada sobre la autoevaluación institucional en el aplicativo EVI, a los establecimientos de educación formal no oficial.</v>
          </cell>
          <cell r="K145" t="str">
            <v>LUCY GONZÁLEZ LERMA</v>
          </cell>
          <cell r="L145" t="str">
            <v>LUIS FERNANDO CÁRDENAS URAN</v>
          </cell>
          <cell r="M145">
            <v>45806</v>
          </cell>
          <cell r="N145">
            <v>45805</v>
          </cell>
          <cell r="O145">
            <v>45805</v>
          </cell>
          <cell r="P145" t="str">
            <v>Visitas de evaluación con fines de mejoramiento</v>
          </cell>
          <cell r="Q145" t="str">
            <v>ACTA DE VISITA COLEGIO TRIANGULO KENNEDY_29_05_2025.pdf</v>
          </cell>
          <cell r="R145" t="str">
            <v>La autoevaluación es coherente con la realidad institucional .  Se evidencia organización y cumplimento en cuanto a idoneidad de docentes, panta física y pago de seguridad social y parafiscales.</v>
          </cell>
          <cell r="S145" t="str">
            <v>Mantener los indicadores y procedimientos y realizar la autoevaluación para la presente vigencia.</v>
          </cell>
          <cell r="T145" t="str">
            <v>No</v>
          </cell>
          <cell r="U145" t="str">
            <v xml:space="preserve">Verificar la autoevaluación institucional para la vigencia 2025. </v>
          </cell>
        </row>
        <row r="146">
          <cell r="A146">
            <v>1118</v>
          </cell>
          <cell r="B146"/>
          <cell r="C146" t="str">
            <v>KENNEDY</v>
          </cell>
          <cell r="D146" t="str">
            <v>PRIVADO</v>
          </cell>
          <cell r="E146" t="str">
            <v>Educación de Jóvenes y Adultos</v>
          </cell>
          <cell r="F146" t="str">
            <v>COLEGIO_TRIANGULO_KENNEDY</v>
          </cell>
          <cell r="G146" t="str">
            <v>COLEGIO TRIANGULO KENNEDY</v>
          </cell>
          <cell r="H146" t="str">
            <v>Autoevaluación Institucional y Pruebas SABER 11</v>
          </cell>
          <cell r="I146" t="str">
            <v>SEGUIMIENTO_Y_SUPERVISIÓN.</v>
          </cell>
          <cell r="J146" t="str">
            <v>Proponer estrategias en la formulación, verificar su elaboración y realizar seguimiento semestral al desarrollo de  las acciones establecidas en los planes de mejoramiento por pruebas SABER 11 de los establecimientos de educación formal.</v>
          </cell>
          <cell r="K146" t="str">
            <v>LUCY GONZÁLEZ LERMA</v>
          </cell>
          <cell r="L146" t="str">
            <v>LUIS FERNANDO CÁRDENAS URAN</v>
          </cell>
          <cell r="M146">
            <v>45806</v>
          </cell>
          <cell r="N146">
            <v>45805</v>
          </cell>
          <cell r="O146">
            <v>45805</v>
          </cell>
          <cell r="P146" t="str">
            <v>Visitas de evaluación con fines de mejoramiento</v>
          </cell>
          <cell r="Q146" t="str">
            <v>ACTA DE VISITA COLEGIO TRIANGULO KENNEDY_29_05_2025.pdf</v>
          </cell>
          <cell r="R146" t="str">
            <v>La IE establece un plan de mejoramiento para las 5 áreas  evaluadas en las pruebas Saber 11. El plan contempla diagnóstico inicial  proceso de autoformación encuentro presencial y evaluación de impacto.</v>
          </cell>
          <cell r="S146" t="str">
            <v>Continuar con la implementación de acciones del plan de mejoramiento y que sea aprobado  por el Consejo Directivo y  Académico</v>
          </cell>
          <cell r="T146" t="str">
            <v>No</v>
          </cell>
          <cell r="U146" t="str">
            <v>Verificar que la implementación del Plan y su aprobación por parte del Consejo Directivo y Académico.</v>
          </cell>
        </row>
        <row r="147">
          <cell r="A147">
            <v>1119</v>
          </cell>
          <cell r="B147"/>
          <cell r="C147" t="str">
            <v>KENNEDY</v>
          </cell>
          <cell r="D147" t="str">
            <v>PRIVADO</v>
          </cell>
          <cell r="E147" t="str">
            <v>Educación de Jóvenes y Adultos</v>
          </cell>
          <cell r="F147" t="str">
            <v>COLEGIO_TRIANGULO_KENNEDY</v>
          </cell>
          <cell r="G147" t="str">
            <v>COLEGIO TRIANGULO KENNEDY</v>
          </cell>
          <cell r="H147" t="str">
            <v>Autoevaluación Institucional y Pruebas SABER 11</v>
          </cell>
          <cell r="I147" t="str">
            <v>SEGUIMIENTO_Y_SUPERVISIÓN.</v>
          </cell>
          <cell r="J147" t="str">
            <v xml:space="preserve">Verificar la implementación por parte de los colegios, de acciones realizadas para la prevención y atención de las situaciones de convivencia en el entorno escolar, según lo establecido en la Directiva 01 de 2022 del MEN. </v>
          </cell>
          <cell r="K147" t="str">
            <v>LUCY GONZÁLEZ LERMA</v>
          </cell>
          <cell r="L147" t="str">
            <v>LUIS FERNANDO CÁRDENAS URAN</v>
          </cell>
          <cell r="M147">
            <v>45806</v>
          </cell>
          <cell r="N147">
            <v>45805</v>
          </cell>
          <cell r="O147">
            <v>45805</v>
          </cell>
          <cell r="P147" t="str">
            <v>Visitas de evaluación con fines de mejoramiento</v>
          </cell>
          <cell r="Q147" t="str">
            <v>ACTA DE VISITA COLEGIO TRIANGULO KENNEDY_29_05_2025.pdf</v>
          </cell>
          <cell r="R147" t="str">
            <v>Se encuentra  documentada la ruta de atención y protocolos de atención en el manual de convivencia. La IE manifiesta que no se han presentado casos que requieran el reporte en el sistema  de alertas.</v>
          </cell>
          <cell r="S147" t="str">
            <v>Continuar con el monitoreo de las situaciones de convivencia en el entorno escolar y con las acciones de prevención. Realizar el reporte en el sistema de alertas en caso de presentarse una situación de tipo II o III</v>
          </cell>
          <cell r="T147" t="str">
            <v>No</v>
          </cell>
          <cell r="U147" t="str">
            <v>En caso de presentarse una situación convivencial verificar la activación de ruta y el reporte en el sistema de alertas</v>
          </cell>
        </row>
        <row r="148">
          <cell r="A148">
            <v>1120</v>
          </cell>
          <cell r="B148"/>
          <cell r="C148" t="str">
            <v>KENNEDY</v>
          </cell>
          <cell r="D148" t="str">
            <v>PRIVADO</v>
          </cell>
          <cell r="E148" t="str">
            <v>Educación de Jóvenes y Adultos</v>
          </cell>
          <cell r="F148" t="str">
            <v>COLEGIO_TRIANGULO_KENNEDY</v>
          </cell>
          <cell r="G148" t="str">
            <v>COLEGIO TRIANGULO KENNEDY</v>
          </cell>
          <cell r="H148" t="str">
            <v>Autoevaluación Institucional y Pruebas SABER 11</v>
          </cell>
          <cell r="I148" t="str">
            <v>SEGUIMIENTO_Y_SUPERVISIÓN.</v>
          </cell>
          <cell r="J14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48" t="str">
            <v>LUCY GONZÁLEZ LERMA</v>
          </cell>
          <cell r="L148" t="str">
            <v>LUIS FERNANDO CÁRDENAS URAN</v>
          </cell>
          <cell r="M148">
            <v>45806</v>
          </cell>
          <cell r="N148">
            <v>45805</v>
          </cell>
          <cell r="O148">
            <v>45805</v>
          </cell>
          <cell r="P148" t="str">
            <v>Visitas de evaluación con fines de mejoramiento</v>
          </cell>
          <cell r="Q148" t="str">
            <v>ACTA DE VISITA COLEGIO TRIANGULO KENNEDY_29_05_2025.pdf</v>
          </cell>
          <cell r="R148" t="str">
            <v>No tienen estudiantes con discapacidad que requieran el PIAR</v>
          </cell>
          <cell r="S148" t="str">
            <v>En caso de tener estudiantes con discapacidad, diseñar el correspondiente PIAR</v>
          </cell>
          <cell r="T148" t="str">
            <v>No</v>
          </cell>
          <cell r="U148" t="str">
            <v>Verificar la pertinencia de la aplicación.</v>
          </cell>
        </row>
        <row r="149">
          <cell r="A149">
            <v>1121</v>
          </cell>
          <cell r="B149"/>
          <cell r="C149" t="str">
            <v>KENNEDY</v>
          </cell>
          <cell r="D149" t="str">
            <v>PRIVADO</v>
          </cell>
          <cell r="E149" t="str">
            <v>Educación de Jóvenes y Adultos</v>
          </cell>
          <cell r="F149" t="str">
            <v>COLEGIO_TRIANGULO_KENNEDY</v>
          </cell>
          <cell r="G149" t="str">
            <v>COLEGIO TRIANGULO KENNEDY</v>
          </cell>
          <cell r="H149" t="str">
            <v>Autoevaluación Institucional y Pruebas SABER 11</v>
          </cell>
          <cell r="I149" t="str">
            <v>EVALUACIÓN_CON_FINES_DE_MEJORAMIENTO.</v>
          </cell>
          <cell r="J14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49" t="str">
            <v>LUCY GONZÁLEZ LERMA</v>
          </cell>
          <cell r="L149" t="str">
            <v>LUIS FERNANDO CÁRDENAS URAN</v>
          </cell>
          <cell r="M149">
            <v>45806</v>
          </cell>
          <cell r="N149">
            <v>45805</v>
          </cell>
          <cell r="O149">
            <v>45805</v>
          </cell>
          <cell r="P149" t="str">
            <v>Visitas de evaluación con fines de mejoramiento</v>
          </cell>
          <cell r="Q149" t="str">
            <v>ACTA DE VISITA COLEGIO TRIANGULO KENNEDY_29_05_2025.pdf</v>
          </cell>
          <cell r="R149" t="str">
            <v xml:space="preserve">El manual se actualiza anualmente; no obstante, no fue construido de forma participativa </v>
          </cell>
          <cell r="S149" t="str">
            <v>Convocar al Gobierno Escolar e Instancias de Participación para la actualización del manual de convivencia.</v>
          </cell>
          <cell r="T149" t="str">
            <v>Si</v>
          </cell>
          <cell r="U149" t="str">
            <v>Revisará la actualización del manual para la vigencia 2026.Se realiza mesa de seguimiento el 6 de octubre.</v>
          </cell>
        </row>
        <row r="150">
          <cell r="A150">
            <v>1122</v>
          </cell>
          <cell r="B150"/>
          <cell r="C150" t="str">
            <v>KENNEDY</v>
          </cell>
          <cell r="D150" t="str">
            <v>PRIVADO</v>
          </cell>
          <cell r="E150" t="str">
            <v>Educación de Jóvenes y Adultos</v>
          </cell>
          <cell r="F150" t="str">
            <v>COLEGIO_TRIANGULO_KENNEDY</v>
          </cell>
          <cell r="G150" t="str">
            <v>COLEGIO TRIANGULO KENNEDY</v>
          </cell>
          <cell r="H150" t="str">
            <v>Autoevaluación Institucional y Pruebas SABER 11</v>
          </cell>
          <cell r="I150" t="str">
            <v>EVALUACIÓN_CON_FINES_DE_MEJORAMIENTO.</v>
          </cell>
          <cell r="J150" t="str">
            <v>Revisar la actualización, socialización e implementación del Sistema Institucional de Evaluación de Estudiantes - SIEE, en articulación con la actualización del PEI y la normatividad vigente.</v>
          </cell>
          <cell r="K150" t="str">
            <v>LUCY GONZÁLEZ LERMA</v>
          </cell>
          <cell r="L150" t="str">
            <v>LUIS FERNANDO CÁRDENAS URAN</v>
          </cell>
          <cell r="M150">
            <v>45806</v>
          </cell>
          <cell r="N150">
            <v>45805</v>
          </cell>
          <cell r="O150">
            <v>45805</v>
          </cell>
          <cell r="P150" t="str">
            <v>Visitas de evaluación con fines de mejoramiento</v>
          </cell>
          <cell r="Q150" t="str">
            <v>ACTA DE VISITA COLEGIO TRIANGULO KENNEDY_29_05_2025.pdf</v>
          </cell>
          <cell r="R150" t="str">
            <v xml:space="preserve">Se evidencio que el SIEE está cargado en una plataforma denominada Q10, que establece la métrica de evaluación y el seguimiento académico a los estudiantes.
No está conformada la Comisión de evaluación para el seguimiento a los procesos. </v>
          </cell>
          <cell r="S150" t="str">
            <v>Documentar la conformación de la comisión de evaluación acorde al PEI y para realizar seguimiento al proceso de evaluación de los estudiantes</v>
          </cell>
          <cell r="T150" t="str">
            <v>Si</v>
          </cell>
          <cell r="U150" t="str">
            <v>Se verificará con la actualización del SIEE la incorporación de la Comisión de Evaluación.  Y las acciones en el plan de mejoramiento en septiembre. Se realiza mesa de seguimiento el 6 de octubre.</v>
          </cell>
        </row>
        <row r="151">
          <cell r="A151">
            <v>1123</v>
          </cell>
          <cell r="B151"/>
          <cell r="C151" t="str">
            <v>KENNEDY</v>
          </cell>
          <cell r="D151" t="str">
            <v>PRIVADO</v>
          </cell>
          <cell r="E151" t="str">
            <v>Educación de Jóvenes y Adultos</v>
          </cell>
          <cell r="F151" t="str">
            <v>COLEGIO_TRIANGULO_KENNEDY</v>
          </cell>
          <cell r="G151" t="str">
            <v>COLEGIO TRIANGULO KENNEDY</v>
          </cell>
          <cell r="H151" t="str">
            <v>Autoevaluación Institucional y Pruebas SABER 11</v>
          </cell>
          <cell r="I151" t="str">
            <v>EVALUACIÓN_CON_FINES_DE_MEJORAMIENTO.</v>
          </cell>
          <cell r="J151" t="str">
            <v>Revisar el calendario escolar, jornada escolar, la intensidad horaria mínima anual en cada nivel y las modificaciones que se realicen al mismo, de acuerdo con lo previsto en la normatividad vigente.</v>
          </cell>
          <cell r="K151" t="str">
            <v>LUCY GONZÁLEZ LERMA</v>
          </cell>
          <cell r="L151" t="str">
            <v>LUIS FERNANDO CÁRDENAS URAN</v>
          </cell>
          <cell r="M151">
            <v>45806</v>
          </cell>
          <cell r="N151">
            <v>45805</v>
          </cell>
          <cell r="O151">
            <v>45805</v>
          </cell>
          <cell r="P151" t="str">
            <v>Visitas de evaluación con fines de mejoramiento</v>
          </cell>
          <cell r="Q151" t="str">
            <v>ACTA DE VISITA COLEGIO TRIANGULO KENNEDY_29_05_2025.pdf</v>
          </cell>
          <cell r="R151" t="str">
            <v xml:space="preserve">El calendario no contiene de manera clara la intensidad horaria de las áreas fundamentales y optativas para los niveles que ofrece. </v>
          </cell>
          <cell r="S151" t="str">
            <v xml:space="preserve">Subsanar y radicar el calendario escolar según las observaciones realizadas </v>
          </cell>
          <cell r="T151" t="str">
            <v>Si</v>
          </cell>
          <cell r="U151" t="str">
            <v>Se verificó el cumplimiento de la intensidad horaria en el calendario aportado por la IE en la primera semana de junio. Se realiza mesa de seguimiento el 6 de octubre.</v>
          </cell>
        </row>
        <row r="152">
          <cell r="A152">
            <v>1124</v>
          </cell>
          <cell r="B152"/>
          <cell r="C152" t="str">
            <v>KENNEDY</v>
          </cell>
          <cell r="D152" t="str">
            <v>PRIVADO</v>
          </cell>
          <cell r="E152" t="str">
            <v>Educación de Jóvenes y Adultos</v>
          </cell>
          <cell r="F152" t="str">
            <v>COLEGIO_TRIANGULO_KENNEDY</v>
          </cell>
          <cell r="G152" t="str">
            <v>COLEGIO TRIANGULO KENNEDY</v>
          </cell>
          <cell r="H152" t="str">
            <v>Autoevaluación Institucional y Pruebas SABER 11</v>
          </cell>
          <cell r="I152" t="str">
            <v>EVALUACIÓN_CON_FINES_DE_MEJORAMIENTO.</v>
          </cell>
          <cell r="J152" t="str">
            <v>Verificar el funcionamiento del Gobierno Escolar e instancias de participación con base en la información sobre conformación reportada por la institución educativa.</v>
          </cell>
          <cell r="K152" t="str">
            <v>LUCY GONZÁLEZ LERMA</v>
          </cell>
          <cell r="L152" t="str">
            <v>LUIS FERNANDO CÁRDENAS URAN</v>
          </cell>
          <cell r="M152">
            <v>45806</v>
          </cell>
          <cell r="N152">
            <v>45805</v>
          </cell>
          <cell r="O152">
            <v>45805</v>
          </cell>
          <cell r="P152" t="str">
            <v>Visitas de evaluación con fines de mejoramiento</v>
          </cell>
          <cell r="Q152" t="str">
            <v>ACTA DE VISITA COLEGIO TRIANGULO KENNEDY_29_05_2025.pdf</v>
          </cell>
          <cell r="R152" t="str">
            <v xml:space="preserve">Se encuentra conformado el gobierno escolar, pero, no se evidencia su operatividad. </v>
          </cell>
          <cell r="S152" t="str">
            <v>Garantizar la operatividad del Gobierno Escolar</v>
          </cell>
          <cell r="T152" t="str">
            <v>Si</v>
          </cell>
          <cell r="U152" t="str">
            <v>Se verificará en el plan de mejoramiento en septiembre. Se realiza mesa de seguimiento el 6 de octubre.</v>
          </cell>
        </row>
        <row r="153">
          <cell r="A153">
            <v>1125</v>
          </cell>
          <cell r="B153"/>
          <cell r="C153" t="str">
            <v>KENNEDY</v>
          </cell>
          <cell r="D153" t="str">
            <v>PRIVADO</v>
          </cell>
          <cell r="E153" t="str">
            <v>Educación de Jóvenes y Adultos</v>
          </cell>
          <cell r="F153" t="str">
            <v>COLEGIO_TRIANGULO_KENNEDY</v>
          </cell>
          <cell r="G153" t="str">
            <v>COLEGIO TRIANGULO KENNEDY</v>
          </cell>
          <cell r="H153" t="str">
            <v>Autoevaluación Institucional y Pruebas SABER 11</v>
          </cell>
          <cell r="I153" t="str">
            <v>EVALUACIÓN_CON_FINES_DE_MEJORAMIENTO.</v>
          </cell>
          <cell r="J153" t="str">
            <v>Verificar las condiciones en cuanto a: la estructura administrativa, condiciones de la planta física y medios educativos adecuados.</v>
          </cell>
          <cell r="K153" t="str">
            <v>LUCY GONZÁLEZ LERMA</v>
          </cell>
          <cell r="L153" t="str">
            <v>LUIS FERNANDO CÁRDENAS URAN</v>
          </cell>
          <cell r="M153">
            <v>45806</v>
          </cell>
          <cell r="N153">
            <v>45805</v>
          </cell>
          <cell r="O153">
            <v>45805</v>
          </cell>
          <cell r="P153" t="str">
            <v>Visitas de evaluación con fines de mejoramiento</v>
          </cell>
          <cell r="Q153" t="str">
            <v>ACTA DE VISITA COLEGIO TRIANGULO KENNEDY_29_05_2025.pdf</v>
          </cell>
          <cell r="R153" t="str">
            <v>Cumple con las condiciones de estructura administrativa, de la planta física, mobiliario, equipos de cómputo, medios educativos y tecnológicos  adecuadas  condiciones iluminación y ventilación.  La IE no cuenta con  espacios lúdicos, recreativos  y culturales, por lo que ha optado por la suscripción de un convenio con la Fundación  de Educación Superior San José.</v>
          </cell>
          <cell r="S153" t="str">
            <v>Mantener las condiciones de estructura física, mobiliario, equipos y recursos.</v>
          </cell>
          <cell r="T153" t="str">
            <v>No</v>
          </cell>
          <cell r="U153" t="str">
            <v>Verificar que se mantengan las condiciones de prestación del servicio.</v>
          </cell>
        </row>
        <row r="154">
          <cell r="A154">
            <v>2787</v>
          </cell>
          <cell r="B154">
            <v>27</v>
          </cell>
          <cell r="C154" t="str">
            <v>KENNEDY</v>
          </cell>
          <cell r="D154" t="str">
            <v>PRIVADO</v>
          </cell>
          <cell r="E154" t="str">
            <v>Educación de Jóvenes y Adultos</v>
          </cell>
          <cell r="F154" t="str">
            <v>COLEGIO_TRIANGULO_PATIO_BONITO</v>
          </cell>
          <cell r="G154" t="str">
            <v>COLEGIO TRIANGULO PATIO BONITO</v>
          </cell>
          <cell r="H154" t="str">
            <v>Autoevaluación Institucional y Pruebas SABER 11</v>
          </cell>
          <cell r="I154" t="str">
            <v>SEGUIMIENTO_Y_SUPERVISIÓN.</v>
          </cell>
          <cell r="J154" t="str">
            <v>Proponer estrategias en la formulación, verificar su elaboración y realizar seguimiento semestral al desarrollo de  las acciones establecidas en los planes de mejoramiento por pruebas SABER 11 de los establecimientos de educación formal.</v>
          </cell>
          <cell r="K154" t="str">
            <v>INGRID VIVIANA DÁVILA ÁVILA</v>
          </cell>
          <cell r="L154" t="str">
            <v>VIVANA PILAR BOHÓRQUEZ DÍAZ</v>
          </cell>
          <cell r="M154">
            <v>45811</v>
          </cell>
          <cell r="N154">
            <v>45811</v>
          </cell>
          <cell r="O154">
            <v>45811</v>
          </cell>
          <cell r="P154" t="str">
            <v>Visitas de evaluación con fines de mejoramiento</v>
          </cell>
          <cell r="Q154" t="str">
            <v>ACTA DE VISITA COLEGIO TRIANGULO.pdf</v>
          </cell>
          <cell r="R154" t="str">
            <v>La IE realizó análisis de cada uno de los resultados obtenidos por estudiante y estableció  un plan de acción para mejorar en las áreas con mayor dificultad, igualmente,  cuenta con una plataforma de refuerzo que trabaja temas relacionados con las pruebas SABER 11</v>
          </cell>
          <cell r="S154" t="str">
            <v>Continuar con la implementación de acciones del plan de mejoramiento y que sea aprobado  por el Consejo Directivo y  Académico</v>
          </cell>
          <cell r="T154" t="str">
            <v>No</v>
          </cell>
          <cell r="U154" t="str">
            <v>Verificar que la implementación del Plan y su aprobación por parte del Consejo Directivo y Académico.</v>
          </cell>
        </row>
        <row r="155">
          <cell r="A155">
            <v>1126</v>
          </cell>
          <cell r="B155"/>
          <cell r="C155" t="str">
            <v>KENNEDY</v>
          </cell>
          <cell r="D155" t="str">
            <v>PRIVADO</v>
          </cell>
          <cell r="E155" t="str">
            <v>Educación de Jóvenes y Adultos</v>
          </cell>
          <cell r="F155" t="str">
            <v>COLEGIO_TRIANGULO_PATIO_BONITO</v>
          </cell>
          <cell r="G155" t="str">
            <v>COLEGIO TRIANGULO PATIO BONITO</v>
          </cell>
          <cell r="H155" t="str">
            <v>Autoevaluación Institucional y Pruebas SABER 11</v>
          </cell>
          <cell r="I155" t="str">
            <v>SEGUIMIENTO_Y_SUPERVISIÓN.</v>
          </cell>
          <cell r="J155" t="str">
            <v>Realizar visitas para verificar la información registrada sobre la autoevaluación institucional en el aplicativo EVI, a los establecimientos de educación formal no oficial.</v>
          </cell>
          <cell r="K155" t="str">
            <v>INGRID VIVIANA DÁVILA ÁVILA</v>
          </cell>
          <cell r="L155" t="str">
            <v>VIVANA PILAR BOHÓRQUEZ DÍAZ</v>
          </cell>
          <cell r="M155">
            <v>45811</v>
          </cell>
          <cell r="N155">
            <v>45811</v>
          </cell>
          <cell r="O155">
            <v>45811</v>
          </cell>
          <cell r="P155" t="str">
            <v>Visitas de evaluación con fines de mejoramiento</v>
          </cell>
          <cell r="Q155" t="str">
            <v>ACTA DE VISITA COLEGIO TRIANGULO.pdf</v>
          </cell>
          <cell r="R155" t="str">
            <v>Al revisar la información reportada en el EVI y contrastar con la visita realizada a la institución educativa se puedo encontrar coherencia con la información registrada</v>
          </cell>
          <cell r="S155" t="str">
            <v>Seguir registrando la información que da cuenta de la realidad institucional.</v>
          </cell>
          <cell r="T155" t="str">
            <v>No</v>
          </cell>
          <cell r="U155" t="str">
            <v>Verificar en el aplicativo EVI, la información registrada.</v>
          </cell>
        </row>
        <row r="156">
          <cell r="A156">
            <v>1127</v>
          </cell>
          <cell r="B156"/>
          <cell r="C156" t="str">
            <v>KENNEDY</v>
          </cell>
          <cell r="D156" t="str">
            <v>PRIVADO</v>
          </cell>
          <cell r="E156" t="str">
            <v>Educación de Jóvenes y Adultos</v>
          </cell>
          <cell r="F156" t="str">
            <v>COLEGIO_TRIANGULO_PATIO_BONITO</v>
          </cell>
          <cell r="G156" t="str">
            <v>COLEGIO TRIANGULO PATIO BONITO</v>
          </cell>
          <cell r="H156" t="str">
            <v>Autoevaluación Institucional y Pruebas SABER 11</v>
          </cell>
          <cell r="I156" t="str">
            <v>SEGUIMIENTO_Y_SUPERVISIÓN.</v>
          </cell>
          <cell r="J156" t="str">
            <v xml:space="preserve">Verificar la implementación por parte de los colegios, de acciones realizadas para la prevención y atención de las situaciones de convivencia en el entorno escolar, según lo establecido en la Directiva 01 de 2022 del MEN. </v>
          </cell>
          <cell r="K156" t="str">
            <v>INGRID VIVIANA DÁVILA ÁVILA</v>
          </cell>
          <cell r="L156" t="str">
            <v>VIVANA PILAR BOHÓRQUEZ DÍAZ</v>
          </cell>
          <cell r="M156">
            <v>45811</v>
          </cell>
          <cell r="N156">
            <v>45811</v>
          </cell>
          <cell r="O156">
            <v>45811</v>
          </cell>
          <cell r="P156" t="str">
            <v>Visitas de evaluación con fines de mejoramiento</v>
          </cell>
          <cell r="Q156" t="str">
            <v>ACTA DE VISITA COLEGIO TRIANGULO.pdf</v>
          </cell>
          <cell r="R156" t="str">
            <v>Al momento de indagar las estrategias de apoyo socioemocional el rector manifiesta que existe un acompañamiento por orientación sin embargo por los tiempos se concentra en los académico</v>
          </cell>
          <cell r="S156" t="str">
            <v>Diseñar estrategias de apoyo para familias y estudiantes con dificultades socio emocionales.</v>
          </cell>
          <cell r="T156" t="str">
            <v>Si</v>
          </cell>
          <cell r="U156" t="str">
            <v xml:space="preserve">Validar las acciones realizadas por la institución educativa con respecto al acompañamiento de los estudiantes en temas socioemocionales Se realiza mesa de seguimiento el 6 de octubre. </v>
          </cell>
        </row>
        <row r="157">
          <cell r="A157">
            <v>1128</v>
          </cell>
          <cell r="B157"/>
          <cell r="C157" t="str">
            <v>KENNEDY</v>
          </cell>
          <cell r="D157" t="str">
            <v>PRIVADO</v>
          </cell>
          <cell r="E157" t="str">
            <v>Educación de Jóvenes y Adultos</v>
          </cell>
          <cell r="F157" t="str">
            <v>COLEGIO_TRIANGULO_PATIO_BONITO</v>
          </cell>
          <cell r="G157" t="str">
            <v>COLEGIO TRIANGULO PATIO BONITO</v>
          </cell>
          <cell r="H157" t="str">
            <v>Autoevaluación Institucional y Pruebas SABER 11</v>
          </cell>
          <cell r="I157" t="str">
            <v>EVALUACIÓN_CON_FINES_DE_MEJORAMIENTO.</v>
          </cell>
          <cell r="J15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57" t="str">
            <v>INGRID VIVIANA DÁVILA ÁVILA</v>
          </cell>
          <cell r="L157" t="str">
            <v>VIVANA PILAR BOHÓRQUEZ DÍAZ</v>
          </cell>
          <cell r="M157">
            <v>45811</v>
          </cell>
          <cell r="N157">
            <v>45811</v>
          </cell>
          <cell r="O157">
            <v>45811</v>
          </cell>
          <cell r="P157" t="str">
            <v>Visitas de evaluación con fines de mejoramiento</v>
          </cell>
          <cell r="Q157" t="str">
            <v>ACTA DE VISITA COLEGIO TRIANGULO.pdf</v>
          </cell>
          <cell r="R157" t="str">
            <v>El manual de convivencia con contempla el enfoque restaurativo y tampoco se logró evidenciar la construcción participativa por parte de la comunidad educativa</v>
          </cell>
          <cell r="S157" t="str">
            <v>Actualizar el manual de convivencia incluyendo el enfoque restaurativo y con la participación de todos los estamentos.</v>
          </cell>
          <cell r="T157" t="str">
            <v>Si</v>
          </cell>
          <cell r="U157" t="str">
            <v xml:space="preserve">El ELIV verificará y hará seguimiento. Se realiza mesa de seguimiento el 6 de octubre. </v>
          </cell>
        </row>
        <row r="158">
          <cell r="A158">
            <v>1129</v>
          </cell>
          <cell r="B158"/>
          <cell r="C158" t="str">
            <v>KENNEDY</v>
          </cell>
          <cell r="D158" t="str">
            <v>PRIVADO</v>
          </cell>
          <cell r="E158" t="str">
            <v>Educación de Jóvenes y Adultos</v>
          </cell>
          <cell r="F158" t="str">
            <v>COLEGIO_TRIANGULO_PATIO_BONITO</v>
          </cell>
          <cell r="G158" t="str">
            <v>COLEGIO TRIANGULO PATIO BONITO</v>
          </cell>
          <cell r="H158" t="str">
            <v>Autoevaluación Institucional y Pruebas SABER 11</v>
          </cell>
          <cell r="I158" t="str">
            <v>EVALUACIÓN_CON_FINES_DE_MEJORAMIENTO.</v>
          </cell>
          <cell r="J158" t="str">
            <v>Verificar el funcionamiento del Gobierno Escolar e instancias de participación con base en la información sobre conformación reportada por la institución educativa.</v>
          </cell>
          <cell r="K158" t="str">
            <v>INGRID VIVIANA DÁVILA ÁVILA</v>
          </cell>
          <cell r="L158" t="str">
            <v>VIVANA PILAR BOHÓRQUEZ DÍAZ</v>
          </cell>
          <cell r="M158">
            <v>45811</v>
          </cell>
          <cell r="N158">
            <v>45811</v>
          </cell>
          <cell r="O158">
            <v>45811</v>
          </cell>
          <cell r="P158" t="str">
            <v>Visitas de evaluación con fines de mejoramiento</v>
          </cell>
          <cell r="Q158" t="str">
            <v>ACTA DE VISITA COLEGIO TRIANGULO.pdf</v>
          </cell>
          <cell r="R158" t="str">
            <v>Al revisar las actas de  consejo académico y consejo directivo se encontró que solo se han reunido para la conformación del mismo.</v>
          </cell>
          <cell r="S158" t="str">
            <v>Movilizar las instancias de gobierno escolar, como la aprobación del plan de mejoramiento de las pruebas SABER en el consejo directivo y académico.</v>
          </cell>
          <cell r="T158" t="str">
            <v>Si</v>
          </cell>
          <cell r="U158" t="str">
            <v xml:space="preserve">Verificar la actualización del manual de convivencia y la construcción participativa del mismo.  Se realiza mesa de seguimiento el 6 de octubre. </v>
          </cell>
        </row>
        <row r="159">
          <cell r="A159">
            <v>1130</v>
          </cell>
          <cell r="B159">
            <v>28</v>
          </cell>
          <cell r="C159" t="str">
            <v>KENNEDY</v>
          </cell>
          <cell r="D159" t="str">
            <v>PRIVADO</v>
          </cell>
          <cell r="E159" t="str">
            <v>EPBM</v>
          </cell>
          <cell r="F159" t="str">
            <v>GIMNASIO_IMPERIAL_IGNACIA_CAMACHO_DE_CIFUENTES</v>
          </cell>
          <cell r="G159" t="str">
            <v>GIMNASIO IMPERIAL IGNACIA CAMACHO DE CIFUENTES</v>
          </cell>
          <cell r="H159" t="str">
            <v>Autoevaluación Institucional y Pruebas SABER 11</v>
          </cell>
          <cell r="I159" t="str">
            <v>SEGUIMIENTO_Y_SUPERVISIÓN.</v>
          </cell>
          <cell r="J159" t="str">
            <v>Realizar visitas para verificar la información registrada sobre la autoevaluación institucional en el aplicativo EVI, a los establecimientos de educación formal no oficial.</v>
          </cell>
          <cell r="K159" t="str">
            <v>ADRIANA VENEGAS VALERA</v>
          </cell>
          <cell r="L159" t="str">
            <v xml:space="preserve">DIANA ZULAY HUERTAS ORTÍZ </v>
          </cell>
          <cell r="M159">
            <v>45812</v>
          </cell>
          <cell r="N159">
            <v>45812</v>
          </cell>
          <cell r="O159">
            <v>45812</v>
          </cell>
          <cell r="P159" t="str">
            <v>Visitas de evaluación con fines de mejoramiento</v>
          </cell>
          <cell r="Q159" t="str">
            <v>ACTA VISITA COLEGIO GIMNASIO IGNACIA CAMACHO DE CIPHUENTES.pdf</v>
          </cell>
          <cell r="R159" t="str">
            <v xml:space="preserve">La IE reporta en el EVI, información diferente a la observada, registra una cantidad diferente de lavamanos, espacios de atención, convenios no existentes. </v>
          </cell>
          <cell r="S159" t="str">
            <v xml:space="preserve">Registrar en el EVI, información que dé cuenta de la realidad institucional. </v>
          </cell>
          <cell r="T159" t="str">
            <v>Si</v>
          </cell>
          <cell r="U159" t="str">
            <v>Verificar en el aplicativo EVI, la información registrada, para la vigencia actual.</v>
          </cell>
        </row>
        <row r="160">
          <cell r="A160">
            <v>1131</v>
          </cell>
          <cell r="B160"/>
          <cell r="C160" t="str">
            <v>KENNEDY</v>
          </cell>
          <cell r="D160" t="str">
            <v>PRIVADO</v>
          </cell>
          <cell r="E160" t="str">
            <v>EPBM</v>
          </cell>
          <cell r="F160" t="str">
            <v>GIMNASIO_IMPERIAL_IGNACIA_CAMACHO_DE_CIFUENTES</v>
          </cell>
          <cell r="G160" t="str">
            <v>GIMNASIO IMPERIAL IGNACIA CAMACHO DE CIFUENTES</v>
          </cell>
          <cell r="H160" t="str">
            <v>Autoevaluación Institucional y Pruebas SABER 11</v>
          </cell>
          <cell r="I160" t="str">
            <v>SEGUIMIENTO_Y_SUPERVISIÓN.</v>
          </cell>
          <cell r="J160" t="str">
            <v>Proponer estrategias en la formulación, verificar su elaboración y realizar seguimiento semestral al desarrollo de  las acciones establecidas en los planes de mejoramiento por pruebas SABER 11 de los establecimientos de educación formal.</v>
          </cell>
          <cell r="K160" t="str">
            <v>ADRIANA VENEGAS VALERA</v>
          </cell>
          <cell r="L160" t="str">
            <v xml:space="preserve">DIANA ZULAY HUERTAS ORTÍZ </v>
          </cell>
          <cell r="M160">
            <v>45812</v>
          </cell>
          <cell r="N160">
            <v>45812</v>
          </cell>
          <cell r="O160">
            <v>45812</v>
          </cell>
          <cell r="P160" t="str">
            <v>Visitas de evaluación con fines de mejoramiento</v>
          </cell>
          <cell r="Q160" t="str">
            <v>ACTA VISITA COLEGIO GIMNASIO IGNACIA CAMACHO DE CIPHUENTES.pdf</v>
          </cell>
          <cell r="R160" t="str">
            <v>La IE, no ha realizado un análisis de los últimos resultados de pruebas SABER 11. No se han propuesto estrategias de mejoramiento desde el consejo académico.</v>
          </cell>
          <cell r="S160" t="str">
            <v>Realizar el análisis de los últimos resultados de pruebas SABER 11 y establecer estrategias de mejoramiento para superar esos resultados que incluya estrategias en el plan de estudios y el análisis del consejo académico.</v>
          </cell>
          <cell r="T160" t="str">
            <v>Si</v>
          </cell>
          <cell r="U160" t="str">
            <v>Validar las acciones realizadas por la institución educativa con respecto al análisis de los resultados pruebas SABER 11 y estrategias de mejoramiento. Se realiza visita de seguimiento el 1 de octubre y se establece envío de documentos para el día 5 de diciembre.</v>
          </cell>
        </row>
        <row r="161">
          <cell r="A161">
            <v>1132</v>
          </cell>
          <cell r="B161"/>
          <cell r="C161" t="str">
            <v>KENNEDY</v>
          </cell>
          <cell r="D161" t="str">
            <v>PRIVADO</v>
          </cell>
          <cell r="E161" t="str">
            <v>EPBM</v>
          </cell>
          <cell r="F161" t="str">
            <v>GIMNASIO_IMPERIAL_IGNACIA_CAMACHO_DE_CIFUENTES</v>
          </cell>
          <cell r="G161" t="str">
            <v>GIMNASIO IMPERIAL IGNACIA CAMACHO DE CIFUENTES</v>
          </cell>
          <cell r="H161" t="str">
            <v>Autoevaluación Institucional y Pruebas SABER 11</v>
          </cell>
          <cell r="I161" t="str">
            <v>SEGUIMIENTO_Y_SUPERVISIÓN.</v>
          </cell>
          <cell r="J161" t="str">
            <v xml:space="preserve">Verificar la implementación por parte de los colegios, de acciones realizadas para la prevención y atención de las situaciones de convivencia en el entorno escolar, según lo establecido en la Directiva 01 de 2022 del MEN. </v>
          </cell>
          <cell r="K161" t="str">
            <v>ADRIANA VENEGAS VALERA</v>
          </cell>
          <cell r="L161" t="str">
            <v xml:space="preserve">DIANA ZULAY HUERTAS ORTÍZ </v>
          </cell>
          <cell r="M161">
            <v>45812</v>
          </cell>
          <cell r="N161">
            <v>45812</v>
          </cell>
          <cell r="O161">
            <v>45812</v>
          </cell>
          <cell r="P161" t="str">
            <v>Visitas de evaluación con fines de mejoramiento</v>
          </cell>
          <cell r="Q161" t="str">
            <v>ACTA VISITA COLEGIO GIMNASIO IGNACIA CAMACHO DE CIPHUENTES.pdf</v>
          </cell>
          <cell r="R161" t="str">
            <v xml:space="preserve">La institución no cuenta con un plan de acciones de prevención y promoción de convivencia escolar basado en las situaciones más presentadas. </v>
          </cell>
          <cell r="S161" t="str">
            <v>Establecer y documentar un plan de acción de promoción y prevención de la convivencia escolar.</v>
          </cell>
          <cell r="T161" t="str">
            <v>Si</v>
          </cell>
          <cell r="U161" t="str">
            <v>El ELIV, verificará de acuerdo a la fecha establecida en el cronograma de plan de mejoramiento  que se entregará  el 11 de agosto de 2025. Se realiza visita de seguimiento el 1 de octubre y se establece envío de documentos para el día 5 de diciembre.</v>
          </cell>
        </row>
        <row r="162">
          <cell r="A162">
            <v>1133</v>
          </cell>
          <cell r="B162"/>
          <cell r="C162" t="str">
            <v>KENNEDY</v>
          </cell>
          <cell r="D162" t="str">
            <v>PRIVADO</v>
          </cell>
          <cell r="E162" t="str">
            <v>EPBM</v>
          </cell>
          <cell r="F162" t="str">
            <v>GIMNASIO_IMPERIAL_IGNACIA_CAMACHO_DE_CIFUENTES</v>
          </cell>
          <cell r="G162" t="str">
            <v>GIMNASIO IMPERIAL IGNACIA CAMACHO DE CIFUENTES</v>
          </cell>
          <cell r="H162" t="str">
            <v>Autoevaluación Institucional y Pruebas SABER 11</v>
          </cell>
          <cell r="I162" t="str">
            <v>SEGUIMIENTO_Y_SUPERVISIÓN.</v>
          </cell>
          <cell r="J16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62" t="str">
            <v>ADRIANA VENEGAS VALERA</v>
          </cell>
          <cell r="L162" t="str">
            <v xml:space="preserve">DIANA ZULAY HUERTAS ORTÍZ </v>
          </cell>
          <cell r="M162">
            <v>45812</v>
          </cell>
          <cell r="N162">
            <v>45812</v>
          </cell>
          <cell r="O162">
            <v>45812</v>
          </cell>
          <cell r="P162" t="str">
            <v>Visitas de evaluación con fines de mejoramiento</v>
          </cell>
          <cell r="Q162" t="str">
            <v>ACTA VISITA COLEGIO GIMNASIO IGNACIA CAMACHO DE CIPHUENTES.pdf</v>
          </cell>
          <cell r="R162" t="str">
            <v xml:space="preserve">La institución educativa tiene estudiantes con discapacidad y cada uno de ellos cuenta con el Plan Individual de Ajustes Razonables -PIAR y el respectivo seguimiento. </v>
          </cell>
          <cell r="S162" t="str">
            <v>Continuar adelantando seguimiento periódico (acorde con el sistema institucional de evaluación)  y actualización anual a los Planes Individuales de Ajustes Razonables -PIAR</v>
          </cell>
          <cell r="T162" t="str">
            <v>No</v>
          </cell>
          <cell r="U162" t="str">
            <v>Verificar que se sigan implementando los PIAR para los estudiantes nuevos que lleguen a la institución educativa</v>
          </cell>
        </row>
        <row r="163">
          <cell r="A163">
            <v>1134</v>
          </cell>
          <cell r="B163"/>
          <cell r="C163" t="str">
            <v>KENNEDY</v>
          </cell>
          <cell r="D163" t="str">
            <v>PRIVADO</v>
          </cell>
          <cell r="E163" t="str">
            <v>EPBM</v>
          </cell>
          <cell r="F163" t="str">
            <v>GIMNASIO_IMPERIAL_IGNACIA_CAMACHO_DE_CIFUENTES</v>
          </cell>
          <cell r="G163" t="str">
            <v>GIMNASIO IMPERIAL IGNACIA CAMACHO DE CIFUENTES</v>
          </cell>
          <cell r="H163" t="str">
            <v>Autoevaluación Institucional y Pruebas SABER 11</v>
          </cell>
          <cell r="I163" t="str">
            <v>EVALUACIÓN_CON_FINES_DE_MEJORAMIENTO.</v>
          </cell>
          <cell r="J16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63" t="str">
            <v>ADRIANA VENEGAS VALERA</v>
          </cell>
          <cell r="L163" t="str">
            <v xml:space="preserve">DIANA ZULAY HUERTAS ORTÍZ </v>
          </cell>
          <cell r="M163">
            <v>45812</v>
          </cell>
          <cell r="N163">
            <v>45812</v>
          </cell>
          <cell r="O163">
            <v>45812</v>
          </cell>
          <cell r="P163" t="str">
            <v>Visitas de evaluación con fines de mejoramiento</v>
          </cell>
          <cell r="Q163" t="str">
            <v>ACTA VISITA COLEGIO GIMNASIO IGNACIA CAMACHO DE CIPHUENTES.pdf</v>
          </cell>
          <cell r="R163" t="str">
            <v xml:space="preserve">La EE, debe actualizar el manual de convivencia de acuerdo a la normatividad vigente, revisando aspectos relacionados con los protocolos de atención y el debido proceso. </v>
          </cell>
          <cell r="S163" t="str">
            <v>Actualizar de manera participativa el manual de convivencia de la institución teniendo los enfoques, la tipificación de situaciones y las faltas de acuerdo a la ley 1620 y decreto 1965.</v>
          </cell>
          <cell r="T163" t="str">
            <v>Si</v>
          </cell>
          <cell r="U163" t="str">
            <v>El ELIV verificará la actualización del manual de convivencia. Se realiza visita de seguimiento el 1 de octubre y se establece envío de documentos para el día 5 de diciembre.</v>
          </cell>
        </row>
        <row r="164">
          <cell r="A164">
            <v>1135</v>
          </cell>
          <cell r="B164"/>
          <cell r="C164" t="str">
            <v>KENNEDY</v>
          </cell>
          <cell r="D164" t="str">
            <v>PRIVADO</v>
          </cell>
          <cell r="E164" t="str">
            <v>EPBM</v>
          </cell>
          <cell r="F164" t="str">
            <v>GIMNASIO_IMPERIAL_IGNACIA_CAMACHO_DE_CIFUENTES</v>
          </cell>
          <cell r="G164" t="str">
            <v>GIMNASIO IMPERIAL IGNACIA CAMACHO DE CIFUENTES</v>
          </cell>
          <cell r="H164" t="str">
            <v>Autoevaluación Institucional y Pruebas SABER 11</v>
          </cell>
          <cell r="I164" t="str">
            <v>EVALUACIÓN_CON_FINES_DE_MEJORAMIENTO.</v>
          </cell>
          <cell r="J164" t="str">
            <v>Revisar el calendario escolar, jornada escolar, la intensidad horaria mínima anual en cada nivel y las modificaciones que se realicen al mismo, de acuerdo con lo previsto en la normatividad vigente.</v>
          </cell>
          <cell r="K164" t="str">
            <v>ADRIANA VENEGAS VALERA</v>
          </cell>
          <cell r="L164" t="str">
            <v xml:space="preserve">DIANA ZULAY HUERTAS ORTÍZ </v>
          </cell>
          <cell r="M164">
            <v>45812</v>
          </cell>
          <cell r="N164">
            <v>45812</v>
          </cell>
          <cell r="O164">
            <v>45812</v>
          </cell>
          <cell r="P164" t="str">
            <v>Visitas de evaluación con fines de mejoramiento</v>
          </cell>
          <cell r="Q164" t="str">
            <v>ACTA VISITA COLEGIO GIMNASIO IGNACIA CAMACHO DE CIPHUENTES.pdf</v>
          </cell>
          <cell r="R164" t="str">
            <v>La EE, cumple con la intensidad horaria mínima anual para cada nivel.</v>
          </cell>
          <cell r="S164" t="str">
            <v xml:space="preserve">La EE, debe seguir cumpliendo con la intensidad horaria mínima. </v>
          </cell>
          <cell r="T164" t="str">
            <v>No</v>
          </cell>
          <cell r="U164" t="str">
            <v xml:space="preserve">El ELIV verificará en la próxima vigencia el cumplimiento del calendario escolar. </v>
          </cell>
        </row>
        <row r="165">
          <cell r="A165">
            <v>1136</v>
          </cell>
          <cell r="B165"/>
          <cell r="C165" t="str">
            <v>KENNEDY</v>
          </cell>
          <cell r="D165" t="str">
            <v>PRIVADO</v>
          </cell>
          <cell r="E165" t="str">
            <v>EPBM</v>
          </cell>
          <cell r="F165" t="str">
            <v>GIMNASIO_IMPERIAL_IGNACIA_CAMACHO_DE_CIFUENTES</v>
          </cell>
          <cell r="G165" t="str">
            <v>GIMNASIO IMPERIAL IGNACIA CAMACHO DE CIFUENTES</v>
          </cell>
          <cell r="H165" t="str">
            <v>Autoevaluación Institucional y Pruebas SABER 11</v>
          </cell>
          <cell r="I165" t="str">
            <v>EVALUACIÓN_CON_FINES_DE_MEJORAMIENTO.</v>
          </cell>
          <cell r="J165" t="str">
            <v>Verificar el funcionamiento del Gobierno Escolar e instancias de participación con base en la información sobre conformación reportada por la institución educativa.</v>
          </cell>
          <cell r="K165" t="str">
            <v>ADRIANA VENEGAS VALERA</v>
          </cell>
          <cell r="L165" t="str">
            <v xml:space="preserve">DIANA ZULAY HUERTAS ORTÍZ </v>
          </cell>
          <cell r="M165">
            <v>45812</v>
          </cell>
          <cell r="N165">
            <v>45812</v>
          </cell>
          <cell r="O165">
            <v>45812</v>
          </cell>
          <cell r="P165" t="str">
            <v>Visitas de evaluación con fines de mejoramiento</v>
          </cell>
          <cell r="Q165" t="str">
            <v>ACTA VISITA COLEGIO GIMNASIO IGNACIA CAMACHO DE CIPHUENTES.pdf</v>
          </cell>
          <cell r="R165" t="str">
            <v xml:space="preserve">Se encuentra conformado el gobierno escolar, pero, no se evidencia su operatividad. </v>
          </cell>
          <cell r="S165" t="str">
            <v>Garantizar la operatividad del Gobierno Escolar</v>
          </cell>
          <cell r="T165" t="str">
            <v>Si</v>
          </cell>
          <cell r="U165" t="str">
            <v>Se verificará en el plan de mejoramiento en septiembre. Se realiza visita de seguimiento el 1 de octubre y se establece envío de documentos para el día 5 de diciembre.</v>
          </cell>
        </row>
        <row r="166">
          <cell r="A166">
            <v>1137</v>
          </cell>
          <cell r="B166"/>
          <cell r="C166" t="str">
            <v>KENNEDY</v>
          </cell>
          <cell r="D166" t="str">
            <v>PRIVADO</v>
          </cell>
          <cell r="E166" t="str">
            <v>EPBM</v>
          </cell>
          <cell r="F166" t="str">
            <v>GIMNASIO_IMPERIAL_IGNACIA_CAMACHO_DE_CIFUENTES</v>
          </cell>
          <cell r="G166" t="str">
            <v>GIMNASIO IMPERIAL IGNACIA CAMACHO DE CIFUENTES</v>
          </cell>
          <cell r="H166" t="str">
            <v>Autoevaluación Institucional y Pruebas SABER 11</v>
          </cell>
          <cell r="I166" t="str">
            <v>EVALUACIÓN_CON_FINES_DE_MEJORAMIENTO.</v>
          </cell>
          <cell r="J166" t="str">
            <v>Verificar las condiciones en cuanto a: la estructura administrativa, condiciones de la planta física y medios educativos adecuados.</v>
          </cell>
          <cell r="K166" t="str">
            <v>ADRIANA VENEGAS VALERA</v>
          </cell>
          <cell r="L166" t="str">
            <v xml:space="preserve">DIANA ZULAY HUERTAS ORTÍZ </v>
          </cell>
          <cell r="M166">
            <v>45812</v>
          </cell>
          <cell r="N166">
            <v>45812</v>
          </cell>
          <cell r="O166">
            <v>45812</v>
          </cell>
          <cell r="P166" t="str">
            <v>Visitas de evaluación con fines de mejoramiento</v>
          </cell>
          <cell r="Q166" t="str">
            <v>ACTA VISITA COLEGIO GIMNASIO IGNACIA CAMACHO DE CIPHUENTES.pdf</v>
          </cell>
          <cell r="R166" t="str">
            <v>Las condiciones de los espacios no son adecuados para la prestación del servicio educativo.</v>
          </cell>
          <cell r="S166" t="str">
            <v xml:space="preserve">La IE debe implementar un plan de mantenimiento general de los espacios y redistribuir de acuerdo a la capacidad, con el propósito de prestar un servicio educativo de calidad. </v>
          </cell>
          <cell r="T166" t="str">
            <v>Si</v>
          </cell>
          <cell r="U166" t="str">
            <v>Seguimiento al cumplimiento del plan de mejoramiento.</v>
          </cell>
        </row>
        <row r="167">
          <cell r="A167">
            <v>1138</v>
          </cell>
          <cell r="B167">
            <v>29</v>
          </cell>
          <cell r="C167" t="str">
            <v>KENNEDY</v>
          </cell>
          <cell r="D167" t="str">
            <v>PRIVADO</v>
          </cell>
          <cell r="E167" t="str">
            <v>EPBM</v>
          </cell>
          <cell r="F167" t="str">
            <v>INSTITUTO_COMERCIAL_LORETO_SEDE_B</v>
          </cell>
          <cell r="G167" t="str">
            <v>INSTITUTO COMERCIAL LORETO SEDE B</v>
          </cell>
          <cell r="H167" t="str">
            <v>Autoevaluación Institucional y Pruebas SABER 11</v>
          </cell>
          <cell r="I167" t="str">
            <v>SEGUIMIENTO_Y_SUPERVISIÓN.</v>
          </cell>
          <cell r="J167" t="str">
            <v>Realizar visitas para verificar la información registrada sobre la autoevaluación institucional en el aplicativo EVI, a los establecimientos de educación formal no oficial.</v>
          </cell>
          <cell r="K167" t="str">
            <v>GERMÁN EDUARDO TORO ROSERO</v>
          </cell>
          <cell r="L167" t="str">
            <v>ADRIANA VENEGAS VALERA</v>
          </cell>
          <cell r="M167">
            <v>45813</v>
          </cell>
          <cell r="N167">
            <v>45813</v>
          </cell>
          <cell r="O167">
            <v>45813</v>
          </cell>
          <cell r="P167" t="str">
            <v>Visitas de evaluación con fines de mejoramiento</v>
          </cell>
          <cell r="Q167" t="str">
            <v>ultur</v>
          </cell>
          <cell r="R167" t="str">
            <v>La dirección actual de la institución reportada en la autoevaluación institucional no corresponde a las establecidas en las resoluciones 9180 y 7441 mediante las cuales se le concede licencia de funcionamiento a la institución</v>
          </cell>
          <cell r="S167" t="str">
            <v>La IE debe solicitar a la DILE modificación a la licencia de funcionamiento por cambio de nomenclatura, para lo cual debe anexar certificado catastral</v>
          </cell>
          <cell r="T167" t="str">
            <v>SI</v>
          </cell>
          <cell r="U167" t="str">
            <v>Seguimiento al cumplimiento del plan de mejoramiento.. Se realiza visita de seguimiento el 1 de octubre y se establece envío de documentos para el día 5 de diciembre.</v>
          </cell>
        </row>
        <row r="168">
          <cell r="A168">
            <v>1139</v>
          </cell>
          <cell r="B168"/>
          <cell r="C168" t="str">
            <v>KENNEDY</v>
          </cell>
          <cell r="D168" t="str">
            <v>PRIVADO</v>
          </cell>
          <cell r="E168" t="str">
            <v>EPBM</v>
          </cell>
          <cell r="F168" t="str">
            <v>INSTITUTO_COMERCIAL_LORETO_SEDE_B</v>
          </cell>
          <cell r="G168" t="str">
            <v>INSTITUTO COMERCIAL LORETO SEDE B</v>
          </cell>
          <cell r="H168" t="str">
            <v>Autoevaluación Institucional y Pruebas SABER 11</v>
          </cell>
          <cell r="I168" t="str">
            <v>SEGUIMIENTO_Y_SUPERVISIÓN.</v>
          </cell>
          <cell r="J168" t="str">
            <v>Proponer estrategias en la formulación, verificar su elaboración y realizar seguimiento semestral al desarrollo de  las acciones establecidas en los planes de mejoramiento por pruebas SABER 11 de los establecimientos de educación formal.</v>
          </cell>
          <cell r="K168" t="str">
            <v>GERMÁN EDUARDO TORO ROSERO</v>
          </cell>
          <cell r="L168" t="str">
            <v>ADRIANA VENEGAS VALERA</v>
          </cell>
          <cell r="M168">
            <v>45813</v>
          </cell>
          <cell r="N168">
            <v>45813</v>
          </cell>
          <cell r="O168">
            <v>45813</v>
          </cell>
          <cell r="P168" t="str">
            <v>Visitas de evaluación con fines de mejoramiento</v>
          </cell>
          <cell r="Q168" t="str">
            <v>ACTA LORETO SEDE B.pdf</v>
          </cell>
          <cell r="R168" t="str">
            <v>La IE presenta evidencias de la revisión y análisis de los últimos resultados de las pruebas saber 11, formulando acciones específicas con el objetivo de mejorar los resultados obtenidos.</v>
          </cell>
          <cell r="S168" t="str">
            <v>La IE debe continuar con el análisis y hacer seguimiento a las acciones implementadas para verificar su impacto en los próximos resultados en las pruebas saber 11</v>
          </cell>
          <cell r="T168" t="str">
            <v>No</v>
          </cell>
          <cell r="U168" t="str">
            <v>Seguimiento al resultado de las pruebas saber 11 en visita de seguimiento al plan de mejoramiento general de la institución</v>
          </cell>
        </row>
        <row r="169">
          <cell r="A169">
            <v>1140</v>
          </cell>
          <cell r="B169"/>
          <cell r="C169" t="str">
            <v>KENNEDY</v>
          </cell>
          <cell r="D169" t="str">
            <v>PRIVADO</v>
          </cell>
          <cell r="E169" t="str">
            <v>EPBM</v>
          </cell>
          <cell r="F169" t="str">
            <v>INSTITUTO_COMERCIAL_LORETO_SEDE_B</v>
          </cell>
          <cell r="G169" t="str">
            <v>INSTITUTO COMERCIAL LORETO SEDE B</v>
          </cell>
          <cell r="H169" t="str">
            <v>Autoevaluación Institucional y Pruebas SABER 11</v>
          </cell>
          <cell r="I169" t="str">
            <v>SEGUIMIENTO_Y_SUPERVISIÓN.</v>
          </cell>
          <cell r="J169" t="str">
            <v xml:space="preserve">Verificar la implementación por parte de los colegios, de acciones realizadas para la prevención y atención de las situaciones de convivencia en el entorno escolar, según lo establecido en la Directiva 01 de 2022 del MEN. </v>
          </cell>
          <cell r="K169" t="str">
            <v>GERMÁN EDUARDO TORO ROSERO</v>
          </cell>
          <cell r="L169" t="str">
            <v>ADRIANA VENEGAS VALERA</v>
          </cell>
          <cell r="M169">
            <v>45813</v>
          </cell>
          <cell r="N169">
            <v>45813</v>
          </cell>
          <cell r="O169">
            <v>45813</v>
          </cell>
          <cell r="P169" t="str">
            <v>Visitas de evaluación con fines de mejoramiento</v>
          </cell>
          <cell r="Q169" t="str">
            <v>ACTA LORETO SEDE B.pdf</v>
          </cell>
          <cell r="R169" t="str">
            <v xml:space="preserve">La IE evidencia para la presente vigencia una sola consulta por delitos sexuales del personal vinculado </v>
          </cell>
          <cell r="S169" t="str">
            <v>La IE debe verificar cada 4 meses las inhabilidades del personal vinculado por delitos sexuales.</v>
          </cell>
          <cell r="T169" t="str">
            <v>Si</v>
          </cell>
          <cell r="U169" t="str">
            <v>Seguimiento al cumplimiento del plan de mejoramiento. Se realiza mesa de seguimiento el día 25 de septiembre 2025.</v>
          </cell>
        </row>
        <row r="170">
          <cell r="A170">
            <v>1141</v>
          </cell>
          <cell r="B170"/>
          <cell r="C170" t="str">
            <v>KENNEDY</v>
          </cell>
          <cell r="D170" t="str">
            <v>PRIVADO</v>
          </cell>
          <cell r="E170" t="str">
            <v>EPBM</v>
          </cell>
          <cell r="F170" t="str">
            <v>INSTITUTO_COMERCIAL_LORETO_SEDE_B</v>
          </cell>
          <cell r="G170" t="str">
            <v>INSTITUTO COMERCIAL LORETO SEDE B</v>
          </cell>
          <cell r="H170" t="str">
            <v>Autoevaluación Institucional y Pruebas SABER 11</v>
          </cell>
          <cell r="I170" t="str">
            <v>SEGUIMIENTO_Y_SUPERVISIÓN.</v>
          </cell>
          <cell r="J17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0" t="str">
            <v>GERMÁN EDUARDO TORO ROSERO</v>
          </cell>
          <cell r="L170" t="str">
            <v>ADRIANA VENEGAS VALERA</v>
          </cell>
          <cell r="M170">
            <v>45813</v>
          </cell>
          <cell r="N170">
            <v>45813</v>
          </cell>
          <cell r="O170">
            <v>45813</v>
          </cell>
          <cell r="P170" t="str">
            <v>Visitas de evaluación con fines de mejoramiento</v>
          </cell>
          <cell r="Q170" t="str">
            <v>ACTA LORETO SEDE B.pdf</v>
          </cell>
          <cell r="R170" t="str">
            <v>La IE cuenta con planes individuales de ajustes razonables (3), los actualiza y realiza seguimiento.</v>
          </cell>
          <cell r="S170" t="str">
            <v>La IE debe continuar con la identificación de estudiantes en condición de discapacidad, elaborar los planes individuales de ajustes razonables y hacer seguimiento.</v>
          </cell>
          <cell r="T170" t="str">
            <v>No</v>
          </cell>
          <cell r="U170" t="str">
            <v>Seguimiento al Plan de Mejoramiento general de la IE</v>
          </cell>
        </row>
        <row r="171">
          <cell r="A171">
            <v>1142</v>
          </cell>
          <cell r="B171"/>
          <cell r="C171" t="str">
            <v>KENNEDY</v>
          </cell>
          <cell r="D171" t="str">
            <v>PRIVADO</v>
          </cell>
          <cell r="E171" t="str">
            <v>EPBM</v>
          </cell>
          <cell r="F171" t="str">
            <v>INSTITUTO_COMERCIAL_LORETO_SEDE_B</v>
          </cell>
          <cell r="G171" t="str">
            <v>INSTITUTO COMERCIAL LORETO SEDE B</v>
          </cell>
          <cell r="H171" t="str">
            <v>Autoevaluación Institucional y Pruebas SABER 11</v>
          </cell>
          <cell r="I171" t="str">
            <v>EVALUACIÓN_CON_FINES_DE_MEJORAMIENTO.</v>
          </cell>
          <cell r="J17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1" t="str">
            <v>GERMÁN EDUARDO TORO ROSERO</v>
          </cell>
          <cell r="L171" t="str">
            <v>ADRIANA VENEGAS VALERA</v>
          </cell>
          <cell r="M171">
            <v>45813</v>
          </cell>
          <cell r="N171">
            <v>45813</v>
          </cell>
          <cell r="O171">
            <v>45813</v>
          </cell>
          <cell r="P171" t="str">
            <v>Visitas de evaluación con fines de mejoramiento</v>
          </cell>
          <cell r="Q171" t="str">
            <v>ACTA LORETO SEDE B.pdf</v>
          </cell>
          <cell r="R171" t="str">
            <v>El manual de convivencia contiene los enfoques de género, de identidad de género y educación sexual, diferencial y enfoque restaurativo. Los protocolos de atención no refieren todas las actuaciones para atender situaciones de convivencia. En lo relacionado a la presentación personal, el manual es restrictivo y va en contravía del libre desarrollo de la personalidad.</v>
          </cell>
          <cell r="S171" t="str">
            <v>La IE debe ajustar los protocolos de atención a situaciones de convivencia, para lo cual debe tomar como referencia los establecidos por la Secretaría de Educación. debe ajustar en lo relacionado a la presentación personal para que no se vulnere el principio del libre desarrollo de la personalidad.</v>
          </cell>
          <cell r="T171" t="str">
            <v>Si</v>
          </cell>
          <cell r="U171" t="str">
            <v>Seguimiento al cumplimiento del plan de mejoramiento. Se realiza mesa de seguimiento el día 25 de septiembre 2025.</v>
          </cell>
        </row>
        <row r="172">
          <cell r="A172">
            <v>1143</v>
          </cell>
          <cell r="B172"/>
          <cell r="C172" t="str">
            <v>KENNEDY</v>
          </cell>
          <cell r="D172" t="str">
            <v>PRIVADO</v>
          </cell>
          <cell r="E172" t="str">
            <v>EPBM</v>
          </cell>
          <cell r="F172" t="str">
            <v>INSTITUTO_COMERCIAL_LORETO_SEDE_B</v>
          </cell>
          <cell r="G172" t="str">
            <v>INSTITUTO COMERCIAL LORETO SEDE B</v>
          </cell>
          <cell r="H172" t="str">
            <v>Autoevaluación Institucional y Pruebas SABER 11</v>
          </cell>
          <cell r="I172" t="str">
            <v>EVALUACIÓN_CON_FINES_DE_MEJORAMIENTO.</v>
          </cell>
          <cell r="J172" t="str">
            <v>Revisar el calendario escolar, jornada escolar, la intensidad horaria mínima anual en cada nivel y las modificaciones que se realicen al mismo, de acuerdo con lo previsto en la normatividad vigente.</v>
          </cell>
          <cell r="K172" t="str">
            <v>GERMÁN EDUARDO TORO ROSERO</v>
          </cell>
          <cell r="L172" t="str">
            <v>ADRIANA VENEGAS VALERA</v>
          </cell>
          <cell r="M172">
            <v>45813</v>
          </cell>
          <cell r="N172">
            <v>45813</v>
          </cell>
          <cell r="O172">
            <v>45813</v>
          </cell>
          <cell r="P172" t="str">
            <v>Visitas de evaluación con fines de mejoramiento</v>
          </cell>
          <cell r="Q172" t="str">
            <v>ACTA LORETO SEDE B.pdf</v>
          </cell>
          <cell r="R172" t="str">
            <v>El calendario académico presentado por la IE cumple con lo establecido en la norma.</v>
          </cell>
          <cell r="S172" t="str">
            <v xml:space="preserve">La IE debe dar cumplimiento al calendario escolar aprobado y hacer seguimiento a su implementación. </v>
          </cell>
          <cell r="T172" t="str">
            <v>No</v>
          </cell>
          <cell r="U172" t="str">
            <v xml:space="preserve">Hacer seguimiento a la implementación. </v>
          </cell>
        </row>
        <row r="173">
          <cell r="A173">
            <v>1144</v>
          </cell>
          <cell r="B173"/>
          <cell r="C173" t="str">
            <v>KENNEDY</v>
          </cell>
          <cell r="D173" t="str">
            <v>PRIVADO</v>
          </cell>
          <cell r="E173" t="str">
            <v>EPBM</v>
          </cell>
          <cell r="F173" t="str">
            <v>INSTITUTO_COMERCIAL_LORETO_SEDE_B</v>
          </cell>
          <cell r="G173" t="str">
            <v>INSTITUTO COMERCIAL LORETO SEDE B</v>
          </cell>
          <cell r="H173" t="str">
            <v>Autoevaluación Institucional y Pruebas SABER 11</v>
          </cell>
          <cell r="I173" t="str">
            <v>EVALUACIÓN_CON_FINES_DE_MEJORAMIENTO.</v>
          </cell>
          <cell r="J173" t="str">
            <v>Verificar el funcionamiento del Gobierno Escolar e instancias de participación con base en la información sobre conformación reportada por la institución educativa.</v>
          </cell>
          <cell r="K173" t="str">
            <v>GERMÁN EDUARDO TORO ROSERO</v>
          </cell>
          <cell r="L173" t="str">
            <v>ADRIANA VENEGAS VALERA</v>
          </cell>
          <cell r="M173">
            <v>45813</v>
          </cell>
          <cell r="N173">
            <v>45813</v>
          </cell>
          <cell r="O173">
            <v>45813</v>
          </cell>
          <cell r="P173" t="str">
            <v>Visitas de evaluación con fines de mejoramiento</v>
          </cell>
          <cell r="Q173" t="str">
            <v>ACTA LORETO SEDE B.pdf</v>
          </cell>
          <cell r="R173" t="str">
            <v>La IE presenta evidencias  de la conformación y funcionamiento del gobierno escolar y demás instancias de participación de conformidad con lo establecido en la normatividad vigente y reglamentos internos.</v>
          </cell>
          <cell r="S173" t="str">
            <v>La IE debe hacer seguimiento al funcionamiento del gobierno escolar y demás instancias de participación, dejando las respectivas evidencias.</v>
          </cell>
          <cell r="T173" t="str">
            <v>No</v>
          </cell>
          <cell r="U173" t="str">
            <v xml:space="preserve">Hacer seguimiento a la implementación. </v>
          </cell>
        </row>
        <row r="174">
          <cell r="A174">
            <v>1146</v>
          </cell>
          <cell r="B174">
            <v>30</v>
          </cell>
          <cell r="C174" t="str">
            <v>KENNEDY</v>
          </cell>
          <cell r="D174" t="str">
            <v>PRIVADO</v>
          </cell>
          <cell r="E174" t="str">
            <v>EPBM</v>
          </cell>
          <cell r="F174" t="str">
            <v>INSTITUTO_CULTURAL_CIUDAD_KENNEDY</v>
          </cell>
          <cell r="G174" t="str">
            <v>INSTITUTO CULTURAL CIUDAD KENNEDY</v>
          </cell>
          <cell r="H174" t="str">
            <v>Autoevaluación Institucional y Pruebas SABER 11</v>
          </cell>
          <cell r="I174" t="str">
            <v>SEGUIMIENTO_Y_SUPERVISIÓN.</v>
          </cell>
          <cell r="J174" t="str">
            <v>Realizar visitas para verificar la información registrada sobre la autoevaluación institucional en el aplicativo EVI, a los establecimientos de educación formal no oficial.</v>
          </cell>
          <cell r="K174" t="str">
            <v>INGRID VIVIANA DÁVILA ÁVILA</v>
          </cell>
          <cell r="L174" t="str">
            <v>ADRIANA VENEGAS VALERA</v>
          </cell>
          <cell r="M174">
            <v>45853</v>
          </cell>
          <cell r="N174">
            <v>45853</v>
          </cell>
          <cell r="O174">
            <v>45853</v>
          </cell>
          <cell r="P174" t="str">
            <v>Visitas de evaluación con fines de mejoramiento</v>
          </cell>
          <cell r="Q174" t="str">
            <v>INSTITUTO CULTURAL CIUDAD DE KENNEDY</v>
          </cell>
          <cell r="R174" t="str">
            <v>Se encontró que la información reportada en la autoevaluación institucional guarda relación con la realidad institucional.</v>
          </cell>
          <cell r="S174" t="str">
            <v>Continuar registrado la información en la autoevaluación institucional acorde a las capacidades y realidades de la institución</v>
          </cell>
          <cell r="T174" t="str">
            <v>NO</v>
          </cell>
          <cell r="U174" t="str">
            <v>Validar las acciones planificadas por la institución educativa en su plan de mejora</v>
          </cell>
        </row>
        <row r="175">
          <cell r="A175">
            <v>1147</v>
          </cell>
          <cell r="B175"/>
          <cell r="C175" t="str">
            <v>KENNEDY</v>
          </cell>
          <cell r="D175" t="str">
            <v>PRIVADO</v>
          </cell>
          <cell r="E175" t="str">
            <v>EPBM</v>
          </cell>
          <cell r="F175" t="str">
            <v>INSTITUTO_CULTURAL_CIUDAD_KENNEDY</v>
          </cell>
          <cell r="G175" t="str">
            <v>INSTITUTO CULTURAL CIUDAD KENNEDY</v>
          </cell>
          <cell r="H175" t="str">
            <v>Autoevaluación Institucional y Pruebas SABER 11</v>
          </cell>
          <cell r="I175" t="str">
            <v>SEGUIMIENTO_Y_SUPERVISIÓN.</v>
          </cell>
          <cell r="J175" t="str">
            <v>Proponer estrategias en la formulación, verificar su elaboración y realizar seguimiento semestral al desarrollo de  las acciones establecidas en los planes de mejoramiento por pruebas SABER 11 de los establecimientos de educación formal.</v>
          </cell>
          <cell r="K175" t="str">
            <v>INGRID VIVIANA DÁVILA ÁVILA</v>
          </cell>
          <cell r="L175" t="str">
            <v>ADRIANA VENEGAS VALERA</v>
          </cell>
          <cell r="M175">
            <v>45853</v>
          </cell>
          <cell r="N175">
            <v>45853</v>
          </cell>
          <cell r="O175">
            <v>45853</v>
          </cell>
          <cell r="P175" t="str">
            <v>Visitas de evaluación con fines de mejoramiento</v>
          </cell>
          <cell r="Q175" t="str">
            <v>INSTITUTO CULTURAL CIUDAD DE KENNEDY</v>
          </cell>
          <cell r="R175" t="str">
            <v>No se encontraron los soportes que permitan verificar que se realizó un ejercicio de análisis para establecer estrategias de mejora en los resultados de las pruebas saber 11</v>
          </cell>
          <cell r="S175" t="str">
            <v>Realizar análisis, formulación y plan de mejora en las pruebas saber 11,  las cuales deben estar avaladas por consejo directivo y académico</v>
          </cell>
          <cell r="T175" t="str">
            <v>Si</v>
          </cell>
          <cell r="U175" t="str">
            <v xml:space="preserve">Validar las acciones planificadas por la institución educativa en su plan de mejora. Se realiza mesa de seguimiento el 30 de septiembre, se establece envío de evidencias del cumplimiento de plan de mejoramiento el 30 de octubre. </v>
          </cell>
        </row>
        <row r="176">
          <cell r="A176">
            <v>1148</v>
          </cell>
          <cell r="B176"/>
          <cell r="C176" t="str">
            <v>KENNEDY</v>
          </cell>
          <cell r="D176" t="str">
            <v>PRIVADO</v>
          </cell>
          <cell r="E176" t="str">
            <v>EPBM</v>
          </cell>
          <cell r="F176" t="str">
            <v>INSTITUTO_CULTURAL_CIUDAD_KENNEDY</v>
          </cell>
          <cell r="G176" t="str">
            <v>INSTITUTO CULTURAL CIUDAD KENNEDY</v>
          </cell>
          <cell r="H176" t="str">
            <v>Autoevaluación Institucional y Pruebas SABER 11</v>
          </cell>
          <cell r="I176" t="str">
            <v>SEGUIMIENTO_Y_SUPERVISIÓN.</v>
          </cell>
          <cell r="J176" t="str">
            <v xml:space="preserve">Verificar la implementación por parte de los colegios, de acciones realizadas para la prevención y atención de las situaciones de convivencia en el entorno escolar, según lo establecido en la Directiva 01 de 2022 del MEN. </v>
          </cell>
          <cell r="K176" t="str">
            <v>INGRID VIVIANA DÁVILA ÁVILA</v>
          </cell>
          <cell r="L176" t="str">
            <v>ADRIANA VENEGAS VALERA</v>
          </cell>
          <cell r="M176">
            <v>45853</v>
          </cell>
          <cell r="N176">
            <v>45853</v>
          </cell>
          <cell r="O176">
            <v>45853</v>
          </cell>
          <cell r="P176" t="str">
            <v>Visitas de evaluación con fines de mejoramiento</v>
          </cell>
          <cell r="Q176" t="str">
            <v>INSTITUTO CULTURAL CIUDAD DE KENNEDY</v>
          </cell>
          <cell r="R176" t="str">
            <v>La institución educativa cuenta con personal de apoyo para la orientación escolar, quien fortalece los procesos de promoción y prevención en la convivencia escolar</v>
          </cell>
          <cell r="S176" t="str">
            <v>Continuar con los procesos de seguimientos a los estudiantes que requieran manejo por dificultades socioemocionales</v>
          </cell>
          <cell r="T176" t="str">
            <v>Si</v>
          </cell>
          <cell r="U176" t="str">
            <v xml:space="preserve">Validar las acciones planificadas por la institución educativa en su plan de mejora. Se realiza mesa de seguimiento el 30 de septiembre, se establece envío de evidencias del cumplimiento de plan de mejoramiento el 30 de octubre. </v>
          </cell>
        </row>
        <row r="177">
          <cell r="A177">
            <v>1149</v>
          </cell>
          <cell r="B177"/>
          <cell r="C177" t="str">
            <v>KENNEDY</v>
          </cell>
          <cell r="D177" t="str">
            <v>PRIVADO</v>
          </cell>
          <cell r="E177" t="str">
            <v>EPBM</v>
          </cell>
          <cell r="F177" t="str">
            <v>INSTITUTO_CULTURAL_CIUDAD_KENNEDY</v>
          </cell>
          <cell r="G177" t="str">
            <v>INSTITUTO CULTURAL CIUDAD KENNEDY</v>
          </cell>
          <cell r="H177" t="str">
            <v>Autoevaluación Institucional y Pruebas SABER 11</v>
          </cell>
          <cell r="I177" t="str">
            <v>SEGUIMIENTO_Y_SUPERVISIÓN.</v>
          </cell>
          <cell r="J17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7" t="str">
            <v>INGRID VIVIANA DÁVILA ÁVILA</v>
          </cell>
          <cell r="L177" t="str">
            <v>ADRIANA VENEGAS VALERA</v>
          </cell>
          <cell r="M177">
            <v>45853</v>
          </cell>
          <cell r="N177">
            <v>45853</v>
          </cell>
          <cell r="O177">
            <v>45853</v>
          </cell>
          <cell r="P177" t="str">
            <v>Visitas de evaluación con fines de mejoramiento</v>
          </cell>
          <cell r="Q177" t="str">
            <v>INSTITUTO CULTURAL CIUDAD DE KENNEDY</v>
          </cell>
          <cell r="R177" t="str">
            <v>El rector de la institución indica que el colegio acoge a 4 estudiantes con discapacidad los cuales cuentan con su respectivo PIAR</v>
          </cell>
          <cell r="S177" t="str">
            <v>Actualizar los PIAR acorde a los ajustes requeridos en la evaluación pedagógica</v>
          </cell>
          <cell r="T177" t="str">
            <v>No</v>
          </cell>
          <cell r="U177" t="str">
            <v>Validar las acciones planificadas por la institución educativa en su plan de mejora</v>
          </cell>
        </row>
        <row r="178">
          <cell r="A178">
            <v>1150</v>
          </cell>
          <cell r="B178"/>
          <cell r="C178" t="str">
            <v>KENNEDY</v>
          </cell>
          <cell r="D178" t="str">
            <v>PRIVADO</v>
          </cell>
          <cell r="E178" t="str">
            <v>EPBM</v>
          </cell>
          <cell r="F178" t="str">
            <v>INSTITUTO_CULTURAL_CIUDAD_KENNEDY</v>
          </cell>
          <cell r="G178" t="str">
            <v>INSTITUTO CULTURAL CIUDAD KENNEDY</v>
          </cell>
          <cell r="H178" t="str">
            <v>Autoevaluación Institucional y Pruebas SABER 11</v>
          </cell>
          <cell r="I178" t="str">
            <v>EVALUACIÓN_CON_FINES_DE_MEJORAMIENTO.</v>
          </cell>
          <cell r="J17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78" t="str">
            <v>INGRID VIVIANA DÁVILA ÁVILA</v>
          </cell>
          <cell r="L178" t="str">
            <v>ADRIANA VENEGAS VALERA</v>
          </cell>
          <cell r="M178">
            <v>45853</v>
          </cell>
          <cell r="N178">
            <v>45853</v>
          </cell>
          <cell r="O178">
            <v>45853</v>
          </cell>
          <cell r="P178" t="str">
            <v>Visitas de evaluación con fines de mejoramiento</v>
          </cell>
          <cell r="Q178" t="str">
            <v>INSTITUTO CULTURAL CIUDAD DE KENNEDY</v>
          </cell>
          <cell r="R178" t="str">
            <v>En la revisión del manual de convivencia se encontró que en la ultima actualización se hizo participe a los estudiantes para el proceso de retroalimentación sin embargo falta incluir en el manual en enfoque restaurativo y valoración de diversidades</v>
          </cell>
          <cell r="S178" t="str">
            <v>Incluir en el manual de convivencia el enfoque restaurativo y valoración de diversidades</v>
          </cell>
          <cell r="T178" t="str">
            <v>Si</v>
          </cell>
          <cell r="U178" t="str">
            <v xml:space="preserve">Validar las acciones planificadas por la institución educativa en su plan de mejora. Se realiza mesa de seguimiento el 30 de septiembre, se establece envío de evidencias del cumplimiento de plan de mejoramiento el 30 de octubre. </v>
          </cell>
        </row>
        <row r="179">
          <cell r="A179">
            <v>1151</v>
          </cell>
          <cell r="B179"/>
          <cell r="C179" t="str">
            <v>KENNEDY</v>
          </cell>
          <cell r="D179" t="str">
            <v>PRIVADO</v>
          </cell>
          <cell r="E179" t="str">
            <v>EPBM</v>
          </cell>
          <cell r="F179" t="str">
            <v>INSTITUTO_CULTURAL_CIUDAD_KENNEDY</v>
          </cell>
          <cell r="G179" t="str">
            <v>INSTITUTO CULTURAL CIUDAD KENNEDY</v>
          </cell>
          <cell r="H179" t="str">
            <v>Autoevaluación Institucional y Pruebas SABER 11</v>
          </cell>
          <cell r="I179" t="str">
            <v>EVALUACIÓN_CON_FINES_DE_MEJORAMIENTO.</v>
          </cell>
          <cell r="J179" t="str">
            <v>Revisar la actualización, socialización e implementación del Sistema Institucional de Evaluación de Estudiantes - SIEE, en articulación con la actualización del PEI y la normatividad vigente.</v>
          </cell>
          <cell r="K179" t="str">
            <v>INGRID VIVIANA DÁVILA ÁVILA</v>
          </cell>
          <cell r="L179" t="str">
            <v>ADRIANA VENEGAS VALERA</v>
          </cell>
          <cell r="M179">
            <v>45853</v>
          </cell>
          <cell r="N179">
            <v>45853</v>
          </cell>
          <cell r="O179">
            <v>45853</v>
          </cell>
          <cell r="P179" t="str">
            <v>Visitas de evaluación con fines de mejoramiento</v>
          </cell>
          <cell r="Q179" t="str">
            <v>INSTITUTO CULTURAL CIUDAD DE KENNEDY</v>
          </cell>
          <cell r="R179" t="str">
            <v>El SIEE incorpora los elementos de ley e incluye las estrategias de apoyo para acompañar los procesos de los estudiantes con dificultades académicas</v>
          </cell>
          <cell r="S179" t="str">
            <v>Continuar con la socialización para la comunidad educativa del SIIE  en cada vigencias y cuando se actualice el mismo.</v>
          </cell>
          <cell r="T179" t="str">
            <v>No</v>
          </cell>
          <cell r="U179" t="str">
            <v>Validar las acciones planificadas por la institución educativa en su plan de mejora</v>
          </cell>
        </row>
        <row r="180">
          <cell r="A180">
            <v>1152</v>
          </cell>
          <cell r="B180"/>
          <cell r="C180" t="str">
            <v>KENNEDY</v>
          </cell>
          <cell r="D180" t="str">
            <v>PRIVADO</v>
          </cell>
          <cell r="E180" t="str">
            <v>EPBM</v>
          </cell>
          <cell r="F180" t="str">
            <v>INSTITUTO_CULTURAL_CIUDAD_KENNEDY</v>
          </cell>
          <cell r="G180" t="str">
            <v>INSTITUTO CULTURAL CIUDAD KENNEDY</v>
          </cell>
          <cell r="H180" t="str">
            <v>Autoevaluación Institucional y Pruebas SABER 11</v>
          </cell>
          <cell r="I180" t="str">
            <v>EVALUACIÓN_CON_FINES_DE_MEJORAMIENTO.</v>
          </cell>
          <cell r="J180" t="str">
            <v>Revisar el calendario escolar, jornada escolar, la intensidad horaria mínima anual en cada nivel y las modificaciones que se realicen al mismo, de acuerdo con lo previsto en la normatividad vigente.</v>
          </cell>
          <cell r="K180" t="str">
            <v>INGRID VIVIANA DÁVILA ÁVILA</v>
          </cell>
          <cell r="L180" t="str">
            <v>ADRIANA VENEGAS VALERA</v>
          </cell>
          <cell r="M180">
            <v>45853</v>
          </cell>
          <cell r="N180">
            <v>45853</v>
          </cell>
          <cell r="O180">
            <v>45853</v>
          </cell>
          <cell r="P180" t="str">
            <v>Visitas de evaluación con fines de mejoramiento</v>
          </cell>
          <cell r="Q180" t="str">
            <v>INSTITUTO CULTURAL CIUDAD DE KENNEDY</v>
          </cell>
          <cell r="R180" t="str">
            <v>La IE no aporto documento que permita verificar el cumplimiento de la intensidad horaria de su calendario escolar</v>
          </cell>
          <cell r="S180" t="str">
            <v>Presentar calendario escolar en la Dirección Local de Educación</v>
          </cell>
          <cell r="T180" t="str">
            <v>Si</v>
          </cell>
          <cell r="U180" t="str">
            <v xml:space="preserve">Validar las acciones planificadas por la institución educativa en su plan de mejora. Se realiza mesa de seguimiento el 30 de septiembre, se establece envío de evidencias del cumplimiento de plan de mejoramiento el 30 de octubre. </v>
          </cell>
        </row>
        <row r="181">
          <cell r="A181">
            <v>1153</v>
          </cell>
          <cell r="B181"/>
          <cell r="C181" t="str">
            <v>KENNEDY</v>
          </cell>
          <cell r="D181" t="str">
            <v>PRIVADO</v>
          </cell>
          <cell r="E181" t="str">
            <v>EPBM</v>
          </cell>
          <cell r="F181" t="str">
            <v>INSTITUTO_CULTURAL_CIUDAD_KENNEDY</v>
          </cell>
          <cell r="G181" t="str">
            <v>INSTITUTO CULTURAL CIUDAD KENNEDY</v>
          </cell>
          <cell r="H181" t="str">
            <v>Autoevaluación Institucional y Pruebas SABER 11</v>
          </cell>
          <cell r="I181" t="str">
            <v>EVALUACIÓN_CON_FINES_DE_MEJORAMIENTO.</v>
          </cell>
          <cell r="J181" t="str">
            <v>Verificar el funcionamiento del Gobierno Escolar e instancias de participación con base en la información sobre conformación reportada por la institución educativa.</v>
          </cell>
          <cell r="K181" t="str">
            <v>INGRID VIVIANA DÁVILA ÁVILA</v>
          </cell>
          <cell r="L181" t="str">
            <v>ADRIANA VENEGAS VALERA</v>
          </cell>
          <cell r="M181">
            <v>45853</v>
          </cell>
          <cell r="N181">
            <v>45853</v>
          </cell>
          <cell r="O181">
            <v>45853</v>
          </cell>
          <cell r="P181" t="str">
            <v>Visitas de evaluación con fines de mejoramiento</v>
          </cell>
          <cell r="Q181" t="str">
            <v>INSTITUTO CULTURAL CIUDAD DE KENNEDY</v>
          </cell>
          <cell r="R181" t="str">
            <v>No se encontraron actas que permita evidenciar la conformación del gobierno escolar</v>
          </cell>
          <cell r="S181" t="str">
            <v>Presentar la conformación del gobierno escolar y realizar el cargue de las actas en el SAE</v>
          </cell>
          <cell r="T181" t="str">
            <v>Si</v>
          </cell>
          <cell r="U181" t="str">
            <v xml:space="preserve">Validar las acciones planificadas por la institución educativa en su plan de mejora Se realiza mesa de seguimiento el 30 de septiembre, se establece envío de evidencias del cumplimiento de plan de mejoramiento el 30 de octubre. </v>
          </cell>
        </row>
        <row r="182">
          <cell r="A182">
            <v>2788</v>
          </cell>
          <cell r="B182"/>
          <cell r="C182" t="str">
            <v>KENNEDY</v>
          </cell>
          <cell r="D182" t="str">
            <v>PRIVADO</v>
          </cell>
          <cell r="E182" t="str">
            <v>EPBM</v>
          </cell>
          <cell r="F182" t="str">
            <v>INSTITUTO_CULTURAL_CIUDAD_KENNEDY</v>
          </cell>
          <cell r="G182" t="str">
            <v>INSTITUTO CULTURAL CIUDAD KENNEDY</v>
          </cell>
          <cell r="H182" t="str">
            <v>Autoevaluación Institucional y Pruebas SABER 11</v>
          </cell>
          <cell r="I182" t="str">
            <v>EVALUACIÓN_CON_FINES_DE_MEJORAMIENTO.</v>
          </cell>
          <cell r="J182" t="str">
            <v>Verificar las condiciones en cuanto a: la estructura administrativa, condiciones de la planta física y medios educativos adecuados.</v>
          </cell>
          <cell r="K182" t="str">
            <v>INGRID VIVIANA DÁVILA ÁVILA</v>
          </cell>
          <cell r="L182" t="str">
            <v>ADRIANA VENEGAS VALERA</v>
          </cell>
          <cell r="M182">
            <v>45853</v>
          </cell>
          <cell r="N182">
            <v>45853</v>
          </cell>
          <cell r="O182">
            <v>45853</v>
          </cell>
          <cell r="P182" t="str">
            <v>Visitas de evaluación con fines de mejoramiento</v>
          </cell>
          <cell r="Q182" t="str">
            <v>INSTITUTO CULTURAL CIUDAD DE KENNEDY</v>
          </cell>
          <cell r="R182" t="str">
            <v>Cuenta con una planta física adecuada y los medios educativos acordes,  sin embargo falta fortalecer documentos de apoyo para el proceso administrativo</v>
          </cell>
          <cell r="S182" t="str">
            <v xml:space="preserve">Documentar los perfiles de cargo según organigrama institucional </v>
          </cell>
          <cell r="T182" t="str">
            <v>Si</v>
          </cell>
          <cell r="U182" t="str">
            <v xml:space="preserve">Validar las acciones planificadas por la institución educativa en su plan de mejora Se realiza mesa de seguimiento el 30 de septiembre, se establece envío de evidencias del cumplimiento de plan de mejoramiento el 30 de octubre. </v>
          </cell>
        </row>
        <row r="183">
          <cell r="A183">
            <v>1154</v>
          </cell>
          <cell r="B183"/>
          <cell r="C183" t="str">
            <v>KENNEDY</v>
          </cell>
          <cell r="D183" t="str">
            <v>PRIVADO</v>
          </cell>
          <cell r="E183" t="str">
            <v>EPBM</v>
          </cell>
          <cell r="F183" t="str">
            <v>INSTITUTO_DE_EDUCACION_MEDIA_EMAUS</v>
          </cell>
          <cell r="G183" t="str">
            <v>INSTITUTO DE EDUCACION MEDIA EMAUS</v>
          </cell>
          <cell r="H183" t="str">
            <v>Autoevaluación Institucional y Pruebas SABER 11</v>
          </cell>
          <cell r="I183" t="str">
            <v>SEGUIMIENTO_Y_SUPERVISIÓN.</v>
          </cell>
          <cell r="J183" t="str">
            <v>Proponer estrategias en la formulación, verificar su elaboración y realizar seguimiento semestral al desarrollo de  las acciones establecidas en los planes de mejoramiento por pruebas SABER 11 de los establecimientos de educación formal.</v>
          </cell>
          <cell r="K183" t="str">
            <v>ADRIANA VENEGAS VALERA</v>
          </cell>
          <cell r="L183" t="str">
            <v>LUIS FERNANDO CÁRDENAS URAN</v>
          </cell>
          <cell r="M183">
            <v>45854</v>
          </cell>
          <cell r="N183">
            <v>45799</v>
          </cell>
          <cell r="O183">
            <v>45799</v>
          </cell>
          <cell r="P183" t="str">
            <v>Visitas de evaluación con fines de mejoramiento</v>
          </cell>
          <cell r="Q183" t="str">
            <v>ACTA DE VISITA_INSTITUTO DE EDUCACION EMAUS_22_05_25.pdf</v>
          </cell>
          <cell r="R183" t="str">
            <v>La IE adelantó acciones para mejoramiento  de resultados de  PRUEBAS  SABER como la modificación de metodologías del plan de estudios  de las asignaturas con bajo rendimiento, ajuste de mallas curriculares y fortalecimiento pedagógico</v>
          </cell>
          <cell r="S183" t="str">
            <v>Continuar con la actualización de su plan de estudios favorecerá  las actividades para el desarrollo de las competencias de los estudiantes en áreas de aprendizaje como matemáticas, español con énfasis en lectura analítica.</v>
          </cell>
          <cell r="T183" t="str">
            <v>No</v>
          </cell>
          <cell r="U183" t="str">
            <v>El ELIV verificará que la IE desarrolle el plan de mejoramiento que auto gestionó.</v>
          </cell>
        </row>
        <row r="184">
          <cell r="A184"/>
          <cell r="B184"/>
          <cell r="C184" t="str">
            <v>KENNEDY</v>
          </cell>
          <cell r="D184" t="str">
            <v>PRIVADO</v>
          </cell>
          <cell r="E184" t="str">
            <v>EPBM</v>
          </cell>
          <cell r="F184" t="str">
            <v>INSTITUTO_DE_EDUCACION_MEDIA_EMAUS</v>
          </cell>
          <cell r="G184" t="str">
            <v>INSTITUTO DE EDUCACION MEDIA EMAUS</v>
          </cell>
          <cell r="H184" t="str">
            <v>Autoevaluación Institucional y Pruebas SABER 11</v>
          </cell>
          <cell r="I184" t="str">
            <v>SEGUIMIENTO_Y_SUPERVISIÓN.</v>
          </cell>
          <cell r="J184" t="str">
            <v>Realizar visitas para verificar la información registrada sobre la autoevaluación institucional en el aplicativo EVI, a los establecimientos de educación formal no oficial.</v>
          </cell>
          <cell r="K184" t="str">
            <v>ADRIANA VENEGAS VALERA</v>
          </cell>
          <cell r="L184" t="str">
            <v>LUIS FERNANDO CÁRDENAS URAN</v>
          </cell>
          <cell r="M184">
            <v>45854</v>
          </cell>
          <cell r="N184">
            <v>45799</v>
          </cell>
          <cell r="O184">
            <v>45799</v>
          </cell>
          <cell r="P184" t="str">
            <v>Visitas de evaluación con fines de mejoramiento</v>
          </cell>
          <cell r="Q184" t="str">
            <v>ACTA DE VISITA_INSTITUTO DE EDUCACION EMAUS_22_05_25.pdf</v>
          </cell>
          <cell r="R184" t="str">
            <v>La institución registra en el aplicativo EVI, la realidad institucional.</v>
          </cell>
          <cell r="S184" t="str">
            <v xml:space="preserve">Continuar registrando la realidad institucional en el aplicativo EVI. </v>
          </cell>
          <cell r="T184" t="str">
            <v>No</v>
          </cell>
          <cell r="U184" t="str">
            <v xml:space="preserve">El ELIV, verificará que la institución reporte la información que da cuenta de la realidad Institucional en el aplicativo EVI. </v>
          </cell>
        </row>
        <row r="185">
          <cell r="A185"/>
          <cell r="B185"/>
          <cell r="C185" t="str">
            <v>KENNEDY</v>
          </cell>
          <cell r="D185" t="str">
            <v>PRIVADO</v>
          </cell>
          <cell r="E185" t="str">
            <v>EPBM</v>
          </cell>
          <cell r="F185" t="str">
            <v>INSTITUTO_DE_EDUCACION_MEDIA_EMAUS</v>
          </cell>
          <cell r="G185" t="str">
            <v>INSTITUTO DE EDUCACION MEDIA EMAUS</v>
          </cell>
          <cell r="H185" t="str">
            <v>Autoevaluación Institucional y Pruebas SABER 11</v>
          </cell>
          <cell r="I185" t="str">
            <v>SEGUIMIENTO_Y_SUPERVISIÓN.</v>
          </cell>
          <cell r="J185" t="str">
            <v xml:space="preserve">Verificar la implementación por parte de los colegios, de acciones realizadas para la prevención y atención de las situaciones de convivencia en el entorno escolar, según lo establecido en la Directiva 01 de 2022 del MEN. </v>
          </cell>
          <cell r="K185" t="str">
            <v>ADRIANA VENEGAS VALERA</v>
          </cell>
          <cell r="L185" t="str">
            <v>LUIS FERNANDO CÁRDENAS URAN</v>
          </cell>
          <cell r="M185">
            <v>45854</v>
          </cell>
          <cell r="N185">
            <v>45799</v>
          </cell>
          <cell r="O185">
            <v>45799</v>
          </cell>
          <cell r="P185" t="str">
            <v>Visitas de evaluación con fines de mejoramiento</v>
          </cell>
          <cell r="Q185" t="str">
            <v>ACTA DE VISITA_INSTITUTO DE EDUCACION EMAUS_22_05_25.pdf</v>
          </cell>
          <cell r="R185" t="str">
            <v xml:space="preserve">La IE  no evidencia para la presente vigencia consultas por delitos sexuales del personal vinculado </v>
          </cell>
          <cell r="S185" t="str">
            <v>La IE debe verificar cada 4 meses las inhabilidades del personal vinculado por delitos sexuales.</v>
          </cell>
          <cell r="T185" t="str">
            <v>Si</v>
          </cell>
          <cell r="U185" t="str">
            <v xml:space="preserve">Seguimiento al cumplimiento del plan de mejoramiento. Se realiza mesa de seguimiento el día 1 de octubre de 2025. El cumplimiento total se enviará el 30 de octubre. </v>
          </cell>
        </row>
        <row r="186">
          <cell r="A186">
            <v>1155</v>
          </cell>
          <cell r="B186"/>
          <cell r="C186" t="str">
            <v>KENNEDY</v>
          </cell>
          <cell r="D186" t="str">
            <v>PRIVADO</v>
          </cell>
          <cell r="E186" t="str">
            <v>EPBM</v>
          </cell>
          <cell r="F186" t="str">
            <v>INSTITUTO_DE_EDUCACION_MEDIA_EMAUS</v>
          </cell>
          <cell r="G186" t="str">
            <v>INSTITUTO DE EDUCACION MEDIA EMAUS</v>
          </cell>
          <cell r="H186" t="str">
            <v>Autoevaluación Institucional y Pruebas SABER 11</v>
          </cell>
          <cell r="I186" t="str">
            <v>EVALUACIÓN_CON_FINES_DE_MEJORAMIENTO.</v>
          </cell>
          <cell r="J18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86" t="str">
            <v>ADRIANA VENEGAS VALERA</v>
          </cell>
          <cell r="L186" t="str">
            <v>LUIS FERNANDO CÁRDENAS URAN</v>
          </cell>
          <cell r="M186">
            <v>45854</v>
          </cell>
          <cell r="N186">
            <v>45799</v>
          </cell>
          <cell r="O186">
            <v>45799</v>
          </cell>
          <cell r="P186" t="str">
            <v>Visitas de evaluación con fines de mejoramiento</v>
          </cell>
          <cell r="Q186" t="str">
            <v>ACTA DE VISITA_INSTITUTO DE EDUCACION EMAUS_22_05_25.pdf</v>
          </cell>
          <cell r="R186" t="str">
            <v>La IE con relación al Manual de Convivencia  no evidencia que fue construido de forma participativa.</v>
          </cell>
          <cell r="S186" t="str">
            <v>Actualizar de forma participativa el manual de convivencia dejando evidencia.</v>
          </cell>
          <cell r="T186" t="str">
            <v>Si</v>
          </cell>
          <cell r="U186" t="str">
            <v xml:space="preserve">El ELIV verificará que el Manual de Convivencia  cumpla con la normatividad vigente. Se realiza mesa de seguimiento el día 1 de octubre de 2025. El cumplimiento total se enviará el 30 de octubre. </v>
          </cell>
        </row>
        <row r="187">
          <cell r="A187">
            <v>1156</v>
          </cell>
          <cell r="B187"/>
          <cell r="C187" t="str">
            <v>KENNEDY</v>
          </cell>
          <cell r="D187" t="str">
            <v>PRIVADO</v>
          </cell>
          <cell r="E187" t="str">
            <v>EPBM</v>
          </cell>
          <cell r="F187" t="str">
            <v>INSTITUTO_DE_EDUCACION_MEDIA_EMAUS</v>
          </cell>
          <cell r="G187" t="str">
            <v>INSTITUTO DE EDUCACION MEDIA EMAUS</v>
          </cell>
          <cell r="H187" t="str">
            <v>Autoevaluación Institucional y Pruebas SABER 11</v>
          </cell>
          <cell r="I187" t="str">
            <v>EVALUACIÓN_CON_FINES_DE_MEJORAMIENTO.</v>
          </cell>
          <cell r="J187" t="str">
            <v>Revisar el calendario escolar, jornada escolar, la intensidad horaria mínima anual en cada nivel y las modificaciones que se realicen al mismo, de acuerdo con lo previsto en la normatividad vigente.</v>
          </cell>
          <cell r="K187" t="str">
            <v>ADRIANA VENEGAS VALERA</v>
          </cell>
          <cell r="L187" t="str">
            <v>LUIS FERNANDO CÁRDENAS URAN</v>
          </cell>
          <cell r="M187">
            <v>45854</v>
          </cell>
          <cell r="N187">
            <v>45799</v>
          </cell>
          <cell r="O187">
            <v>45799</v>
          </cell>
          <cell r="P187" t="str">
            <v>Visitas de evaluación con fines de mejoramiento</v>
          </cell>
          <cell r="Q187" t="str">
            <v>ACTA DE VISITA_INSTITUTO DE EDUCACION EMAUS_22_05_25.pdf</v>
          </cell>
          <cell r="R187" t="str">
            <v>La IE cumple con la intensidad horaria mínima anual en cada nivel  radicado S-2025-17905 del 23 de enero del 2025</v>
          </cell>
          <cell r="S187" t="str">
            <v>La IE debe seguir dando cumplimiento a la normatividad vigente en referencia a la intensidad horaria</v>
          </cell>
          <cell r="T187" t="str">
            <v>No</v>
          </cell>
          <cell r="U187" t="str">
            <v xml:space="preserve">El ELIV realizara seguimiento al cumplimiento de la intensidad horaria, en la próxima vigencia. </v>
          </cell>
        </row>
        <row r="188">
          <cell r="A188">
            <v>1157</v>
          </cell>
          <cell r="B188"/>
          <cell r="C188" t="str">
            <v>KENNEDY</v>
          </cell>
          <cell r="D188" t="str">
            <v>PRIVADO</v>
          </cell>
          <cell r="E188" t="str">
            <v>EPBM</v>
          </cell>
          <cell r="F188" t="str">
            <v>INSTITUTO_DE_EDUCACION_MEDIA_EMAUS</v>
          </cell>
          <cell r="G188" t="str">
            <v>INSTITUTO DE EDUCACION MEDIA EMAUS</v>
          </cell>
          <cell r="H188" t="str">
            <v>Autoevaluación Institucional y Pruebas SABER 11</v>
          </cell>
          <cell r="I188" t="str">
            <v>EVALUACIÓN_CON_FINES_DE_MEJORAMIENTO.</v>
          </cell>
          <cell r="J188" t="str">
            <v>Verificar el funcionamiento del Gobierno Escolar e instancias de participación con base en la información sobre conformación reportada por la institución educativa.</v>
          </cell>
          <cell r="K188" t="str">
            <v>ADRIANA VENEGAS VALERA</v>
          </cell>
          <cell r="L188" t="str">
            <v>LUIS FERNANDO CÁRDENAS URAN</v>
          </cell>
          <cell r="M188">
            <v>45854</v>
          </cell>
          <cell r="N188">
            <v>45799</v>
          </cell>
          <cell r="O188">
            <v>45799</v>
          </cell>
          <cell r="P188" t="str">
            <v>Visitas de evaluación con fines de mejoramiento</v>
          </cell>
          <cell r="Q188" t="str">
            <v>ACTA DE VISITA_INSTITUTO DE EDUCACION EMAUS_22_05_25.pdf</v>
          </cell>
          <cell r="R188" t="str">
            <v>La IE evidencia el funcionamiento  del Gobierno Escolar e instancias de participación.</v>
          </cell>
          <cell r="S188" t="str">
            <v>La IE debe seguir garantizando que todos los actores de la comunidad educativa, incluyendo estudiantes, padres de familia, docentes y personal administrativo, tengan la oportunidad de participar en la toma de decisiones que afectan la vida escolar</v>
          </cell>
          <cell r="T188" t="str">
            <v>No</v>
          </cell>
          <cell r="U188" t="str">
            <v>El ELIV realizara seguimiento al cumplimiento de las acciones propuestas por la IE</v>
          </cell>
        </row>
        <row r="189">
          <cell r="A189">
            <v>1159</v>
          </cell>
          <cell r="B189"/>
          <cell r="C189" t="str">
            <v>KENNEDY</v>
          </cell>
          <cell r="D189" t="str">
            <v>PRIVADO</v>
          </cell>
          <cell r="E189" t="str">
            <v>EPBM</v>
          </cell>
          <cell r="F189" t="str">
            <v>INSTITUTO_LEONARD_EULER</v>
          </cell>
          <cell r="G189" t="str">
            <v>INSTITUTO LEONARD EULER</v>
          </cell>
          <cell r="H189" t="str">
            <v>Autoevaluación Institucional y Pruebas SABER 11</v>
          </cell>
          <cell r="I189" t="str">
            <v>SEGUIMIENTO_Y_SUPERVISIÓN.</v>
          </cell>
          <cell r="J189" t="str">
            <v>Proponer estrategias en la formulación, verificar su elaboración y realizar seguimiento semestral al desarrollo de  las acciones establecidas en los planes de mejoramiento por pruebas SABER 11 de los establecimientos de educación formal.</v>
          </cell>
          <cell r="K189" t="str">
            <v>GERMÁN EDUARDO TORO ROSERO</v>
          </cell>
          <cell r="L189" t="str">
            <v>VIVANA PILAR BOHÓRQUEZ DÍAZ</v>
          </cell>
          <cell r="M189">
            <v>45855</v>
          </cell>
          <cell r="N189">
            <v>45855</v>
          </cell>
          <cell r="O189">
            <v>45855</v>
          </cell>
          <cell r="P189" t="str">
            <v>Visitas de evaluación con fines de mejoramiento</v>
          </cell>
          <cell r="Q189" t="str">
            <v>INSTITUTO LEONARD EULER.pdf</v>
          </cell>
          <cell r="R189" t="str">
            <v xml:space="preserve">La IE cuenta con Plan de mejoramiento para las pruebas SABER 11; sin embargo este no contempla a las y los estudiantes con discapacidad, tampoco hay evidencia de la actualización del currículo del plan de estudios. </v>
          </cell>
          <cell r="S189" t="str">
            <v xml:space="preserve">Incluir en el plan de mejoramiento de las pruebas SABER 11 las estrategias previstas para el acompañamiento de las y los estudiantes con discapacidad. </v>
          </cell>
          <cell r="T189" t="str">
            <v>Si</v>
          </cell>
          <cell r="U189" t="str">
            <v>Seguimiento al cumplimiento de las acciones definidas en el Plan de Mejoramiento. Se realiza mesa de seguimiento el día 25 de septiembre 2025. Se validara el 5 de diciembre el cumplimiento de los compromisos.</v>
          </cell>
        </row>
        <row r="190">
          <cell r="A190">
            <v>1161</v>
          </cell>
          <cell r="B190"/>
          <cell r="C190" t="str">
            <v>KENNEDY</v>
          </cell>
          <cell r="D190" t="str">
            <v>PRIVADO</v>
          </cell>
          <cell r="E190" t="str">
            <v>EPBM</v>
          </cell>
          <cell r="F190" t="str">
            <v>INSTITUTO_LEONARD_EULER</v>
          </cell>
          <cell r="G190" t="str">
            <v>INSTITUTO LEONARD EULER</v>
          </cell>
          <cell r="H190" t="str">
            <v>Autoevaluación Institucional y Pruebas SABER 11</v>
          </cell>
          <cell r="I190" t="str">
            <v>SEGUIMIENTO_Y_SUPERVISIÓN.</v>
          </cell>
          <cell r="J19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90" t="str">
            <v>GERMÁN EDUARDO TORO ROSERO</v>
          </cell>
          <cell r="L190" t="str">
            <v>VIVANA PILAR BOHÓRQUEZ DÍAZ</v>
          </cell>
          <cell r="M190">
            <v>45855</v>
          </cell>
          <cell r="N190">
            <v>45855</v>
          </cell>
          <cell r="O190">
            <v>45855</v>
          </cell>
          <cell r="P190" t="str">
            <v>Visitas de evaluación con fines de mejoramiento</v>
          </cell>
          <cell r="Q190" t="str">
            <v>INSTITUTO LEONARD EULER.pdf</v>
          </cell>
          <cell r="R190" t="str">
            <v xml:space="preserve">La institución educativa cuenta con un carpeta de las niñas y los niños con discapacidad que incluye diagnóstico y recomendaciones médicas, por lo que hace falta la elaboración de los Planes Individuales de Ajustes Razonables de cada uno de los estudiantes.  </v>
          </cell>
          <cell r="S190" t="str">
            <v xml:space="preserve">Diseñar, implementar y hacer seguimiento a los Planes Individuales de Ajustes Razonables de las niñas y los niños que lo requieran. </v>
          </cell>
          <cell r="T190" t="str">
            <v>Si</v>
          </cell>
          <cell r="U190" t="str">
            <v xml:space="preserve">Seguimiento al cumplimiento de las acciones definidas en el Plan de Mejoramiento. </v>
          </cell>
        </row>
        <row r="191">
          <cell r="A191"/>
          <cell r="B191"/>
          <cell r="C191" t="str">
            <v>KENNEDY</v>
          </cell>
          <cell r="D191" t="str">
            <v>PRIVADO</v>
          </cell>
          <cell r="E191" t="str">
            <v>EPBM</v>
          </cell>
          <cell r="F191" t="str">
            <v>INSTITUTO_LEONARD_EULER</v>
          </cell>
          <cell r="G191" t="str">
            <v>INSTITUTO LEONARD EULER</v>
          </cell>
          <cell r="H191" t="str">
            <v>Autoevaluación Institucional y Pruebas SABER 11</v>
          </cell>
          <cell r="I191" t="str">
            <v>SEGUIMIENTO_Y_SUPERVISIÓN.</v>
          </cell>
          <cell r="J191" t="str">
            <v>Realizar visitas para verificar la información registrada sobre la autoevaluación institucional en el aplicativo EVI, a los establecimientos de educación formal no oficial.</v>
          </cell>
          <cell r="K191" t="str">
            <v>GERMÁN EDUARDO TORO ROSERO</v>
          </cell>
          <cell r="L191" t="str">
            <v>VIVANA PILAR BOHÓRQUEZ DÍAZ</v>
          </cell>
          <cell r="M191">
            <v>45855</v>
          </cell>
          <cell r="N191">
            <v>45855</v>
          </cell>
          <cell r="O191">
            <v>45855</v>
          </cell>
          <cell r="P191" t="str">
            <v>Visitas de evaluación con fines de mejoramiento</v>
          </cell>
          <cell r="Q191" t="str">
            <v>INSTITUTO LEONARD EULER.pdf</v>
          </cell>
          <cell r="R191" t="str">
            <v>La institución registra en el aplicativo EVI, la realidad institucional.</v>
          </cell>
          <cell r="S191" t="str">
            <v xml:space="preserve">Continuar registrando la realidad institucional en el aplicativo EVI. </v>
          </cell>
          <cell r="T191" t="str">
            <v>No</v>
          </cell>
          <cell r="U191" t="str">
            <v xml:space="preserve">El ELIV, verificará que la institución reporte la información que da cuenta de la realidad Institucional en el aplicativo EVI. </v>
          </cell>
        </row>
        <row r="192">
          <cell r="A192">
            <v>1162</v>
          </cell>
          <cell r="B192"/>
          <cell r="C192" t="str">
            <v>KENNEDY</v>
          </cell>
          <cell r="D192" t="str">
            <v>PRIVADO</v>
          </cell>
          <cell r="E192" t="str">
            <v>EPBM</v>
          </cell>
          <cell r="F192" t="str">
            <v>INSTITUTO_LEONARD_EULER</v>
          </cell>
          <cell r="G192" t="str">
            <v>INSTITUTO LEONARD EULER</v>
          </cell>
          <cell r="H192" t="str">
            <v>Autoevaluación Institucional y Pruebas SABER 11</v>
          </cell>
          <cell r="I192" t="str">
            <v>EVALUACIÓN_CON_FINES_DE_MEJORAMIENTO.</v>
          </cell>
          <cell r="J19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2" t="str">
            <v>GERMÁN EDUARDO TORO ROSERO</v>
          </cell>
          <cell r="L192" t="str">
            <v>VIVANA PILAR BOHÓRQUEZ DÍAZ</v>
          </cell>
          <cell r="M192">
            <v>45855</v>
          </cell>
          <cell r="N192">
            <v>45855</v>
          </cell>
          <cell r="O192">
            <v>45855</v>
          </cell>
          <cell r="P192" t="str">
            <v>Visitas de evaluación con fines de mejoramiento</v>
          </cell>
          <cell r="Q192" t="str">
            <v>INSTITUTO LEONARD EULER.pdf</v>
          </cell>
          <cell r="R192" t="str">
            <v xml:space="preserve">El manual de convivencia requiere ajuste, puesto que no contiene los protocolos de atención de la SED versión 5.0, el debido proceso y algunos de los elementos citados en las normas u obligaciones que contradicen el enfoque de derechos e inclusión. </v>
          </cell>
          <cell r="S192" t="str">
            <v>Actualizar el manual de convivencia, de acuerdo con las orientaciones impartidas por el ELIV en lo relacionado con instancias de gobierno escolar, el debido proceso, los protocolos de atención de la SED versión 5.0 , así como en la inclusión de los enfoques.</v>
          </cell>
          <cell r="T192" t="str">
            <v>Si</v>
          </cell>
          <cell r="U192" t="str">
            <v>Seguimiento al cumplimiento de las acciones definidas en el Plan de Mejoramiento. Se realiza mesa de seguimiento el día 25 de septiembre 2025. Se validara el 5 de diciembre el cumplimiento de los compromisos.</v>
          </cell>
        </row>
        <row r="193">
          <cell r="A193">
            <v>1163</v>
          </cell>
          <cell r="B193"/>
          <cell r="C193" t="str">
            <v>KENNEDY</v>
          </cell>
          <cell r="D193" t="str">
            <v>PRIVADO</v>
          </cell>
          <cell r="E193" t="str">
            <v>EPBM</v>
          </cell>
          <cell r="F193" t="str">
            <v>INSTITUTO_LEONARD_EULER</v>
          </cell>
          <cell r="G193" t="str">
            <v>INSTITUTO LEONARD EULER</v>
          </cell>
          <cell r="H193" t="str">
            <v>Autoevaluación Institucional y Pruebas SABER 11</v>
          </cell>
          <cell r="I193" t="str">
            <v>EVALUACIÓN_CON_FINES_DE_MEJORAMIENTO.</v>
          </cell>
          <cell r="J193" t="str">
            <v>Revisar la actualización, socialización e implementación del Sistema Institucional de Evaluación de Estudiantes - SIEE, en articulación con la actualización del PEI y la normatividad vigente.</v>
          </cell>
          <cell r="K193" t="str">
            <v>GERMÁN EDUARDO TORO ROSERO</v>
          </cell>
          <cell r="L193" t="str">
            <v>VIVANA PILAR BOHÓRQUEZ DÍAZ</v>
          </cell>
          <cell r="M193">
            <v>45855</v>
          </cell>
          <cell r="N193">
            <v>45855</v>
          </cell>
          <cell r="O193">
            <v>45855</v>
          </cell>
          <cell r="P193" t="str">
            <v>Visitas de evaluación con fines de mejoramiento</v>
          </cell>
          <cell r="Q193" t="str">
            <v>INSTITUTO LEONARD EULER.pdf</v>
          </cell>
          <cell r="R193" t="str">
            <v xml:space="preserve">El Sistema Institucional de Evaluación  contempla evidencias de su ejecución a través de la plataforma Class Room, además, cuenta con estrategias de apoyo para resolver situaciones académicas  de los estudiantes. </v>
          </cell>
          <cell r="S193" t="str">
            <v xml:space="preserve">Mantener actualizada la información en la plataforma dispuesta por la institución y hacer seguimiento y ajustes cuando se requieran. </v>
          </cell>
          <cell r="T193" t="str">
            <v>No</v>
          </cell>
          <cell r="U193" t="str">
            <v>El ELIV verificará en la próxima vigencia el desarrollo de las acciones previstas en el SIEE.</v>
          </cell>
        </row>
        <row r="194">
          <cell r="A194">
            <v>1164</v>
          </cell>
          <cell r="B194"/>
          <cell r="C194" t="str">
            <v>KENNEDY</v>
          </cell>
          <cell r="D194" t="str">
            <v>PRIVADO</v>
          </cell>
          <cell r="E194" t="str">
            <v>EPBM</v>
          </cell>
          <cell r="F194" t="str">
            <v>INSTITUTO_LEONARD_EULER</v>
          </cell>
          <cell r="G194" t="str">
            <v>INSTITUTO LEONARD EULER</v>
          </cell>
          <cell r="H194" t="str">
            <v>Autoevaluación Institucional y Pruebas SABER 11</v>
          </cell>
          <cell r="I194" t="str">
            <v>EVALUACIÓN_CON_FINES_DE_MEJORAMIENTO.</v>
          </cell>
          <cell r="J194" t="str">
            <v>Revisar el calendario escolar, jornada escolar, la intensidad horaria mínima anual en cada nivel y las modificaciones que se realicen al mismo, de acuerdo con lo previsto en la normatividad vigente.</v>
          </cell>
          <cell r="K194" t="str">
            <v>GERMÁN EDUARDO TORO ROSERO</v>
          </cell>
          <cell r="L194" t="str">
            <v>VIVANA PILAR BOHÓRQUEZ DÍAZ</v>
          </cell>
          <cell r="M194">
            <v>45855</v>
          </cell>
          <cell r="N194">
            <v>45855</v>
          </cell>
          <cell r="O194">
            <v>45855</v>
          </cell>
          <cell r="P194" t="str">
            <v>Visitas de evaluación con fines de mejoramiento</v>
          </cell>
          <cell r="Q194" t="str">
            <v>INSTITUTO LEONARD EULER.pdf</v>
          </cell>
          <cell r="R194" t="str">
            <v xml:space="preserve">La institución educativa cuenta con el calendario escolar con la intensidad horaria mínima requerida. </v>
          </cell>
          <cell r="S194" t="str">
            <v xml:space="preserve">Dar cumplimiento a lo establecido en el calendario escolar. </v>
          </cell>
          <cell r="T194" t="str">
            <v>No</v>
          </cell>
          <cell r="U194" t="str">
            <v xml:space="preserve">El ELIV verificará en la próxima vigencia el calendario escolar. </v>
          </cell>
        </row>
        <row r="195">
          <cell r="A195">
            <v>1165</v>
          </cell>
          <cell r="B195"/>
          <cell r="C195" t="str">
            <v>KENNEDY</v>
          </cell>
          <cell r="D195" t="str">
            <v>PRIVADO</v>
          </cell>
          <cell r="E195" t="str">
            <v>EPBM</v>
          </cell>
          <cell r="F195" t="str">
            <v>INSTITUTO_LEONARD_EULER</v>
          </cell>
          <cell r="G195" t="str">
            <v>INSTITUTO LEONARD EULER</v>
          </cell>
          <cell r="H195" t="str">
            <v>Autoevaluación Institucional y Pruebas SABER 11</v>
          </cell>
          <cell r="I195" t="str">
            <v>EVALUACIÓN_CON_FINES_DE_MEJORAMIENTO.</v>
          </cell>
          <cell r="J195" t="str">
            <v>Verificar el funcionamiento del Gobierno Escolar e instancias de participación con base en la información sobre conformación reportada por la institución educativa.</v>
          </cell>
          <cell r="K195" t="str">
            <v>GERMÁN EDUARDO TORO ROSERO</v>
          </cell>
          <cell r="L195" t="str">
            <v>VIVANA PILAR BOHÓRQUEZ DÍAZ</v>
          </cell>
          <cell r="M195">
            <v>45855</v>
          </cell>
          <cell r="N195">
            <v>45855</v>
          </cell>
          <cell r="O195">
            <v>45855</v>
          </cell>
          <cell r="P195" t="str">
            <v>Visitas de evaluación con fines de mejoramiento</v>
          </cell>
          <cell r="Q195" t="str">
            <v>INSTITUTO LEONARD EULER.pdf</v>
          </cell>
          <cell r="R195" t="str">
            <v xml:space="preserve">El establecimiento no cuenta con soportes de la revisión y análisis de las pruebas SABER 11 y no se ha actualizado el plan de estudios de acuerdo con los  resultados. </v>
          </cell>
          <cell r="S195" t="str">
            <v xml:space="preserve">Actualizar los planes de estudio de acuerdo con el análisis de las pruebas SABER 11 y contar con el aval del Consejo académico y el consejo directivo. </v>
          </cell>
          <cell r="T195" t="str">
            <v>Si</v>
          </cell>
          <cell r="U195" t="str">
            <v>Seguimiento al cumplimiento de las acciones definidas en el Plan de Mejoramiento. Se realiza mesa de seguimiento el día 25 de septiembre 2025. Se validara el 5 de diciembre el cumplimiento de los compromisos.</v>
          </cell>
        </row>
        <row r="196">
          <cell r="A196">
            <v>2789</v>
          </cell>
          <cell r="B196"/>
          <cell r="C196" t="str">
            <v>KENNEDY</v>
          </cell>
          <cell r="D196" t="str">
            <v>PRIVADO</v>
          </cell>
          <cell r="E196" t="str">
            <v>EPBM</v>
          </cell>
          <cell r="F196" t="str">
            <v>INSTITUTO_LEONARD_EULER</v>
          </cell>
          <cell r="G196" t="str">
            <v>INSTITUTO LEONARD EULER</v>
          </cell>
          <cell r="H196" t="str">
            <v>Autoevaluación Institucional y Pruebas SABER 11</v>
          </cell>
          <cell r="I196" t="str">
            <v>EVALUACIÓN_CON_FINES_DE_MEJORAMIENTO.</v>
          </cell>
          <cell r="J196" t="str">
            <v>Verificar las condiciones en cuanto a: la estructura administrativa, condiciones de la planta física y medios educativos adecuados.</v>
          </cell>
          <cell r="K196" t="str">
            <v>GERMÁN EDUARDO TORO ROSERO</v>
          </cell>
          <cell r="L196" t="str">
            <v>VIVANA PILAR BOHÓRQUEZ DÍAZ</v>
          </cell>
          <cell r="M196">
            <v>45855</v>
          </cell>
          <cell r="N196">
            <v>45855</v>
          </cell>
          <cell r="O196">
            <v>45855</v>
          </cell>
          <cell r="P196" t="str">
            <v>Visitas de evaluación con fines de mejoramiento</v>
          </cell>
          <cell r="Q196" t="str">
            <v>INSTITUTO LEONARD EULER.pdf</v>
          </cell>
          <cell r="R196" t="str">
            <v xml:space="preserve">Las instalaciones no cuentan con zonas verdes, por lo que usa el parque zonal aledaño al Colegio. </v>
          </cell>
          <cell r="S196" t="str">
            <v>Adelantar el trámite al convenio de ambientes compartidos con el IDRD y la DIV</v>
          </cell>
          <cell r="T196" t="str">
            <v>Si</v>
          </cell>
          <cell r="U196" t="str">
            <v>Seguimiento al cumplimiento de las acciones definidas en el Plan de Mejoramiento. Se realiza mesa de seguimiento el día 25 de septiembre 2025. Se validara el 5 de diciembre el cumplimiento de los compromisos.</v>
          </cell>
        </row>
        <row r="197">
          <cell r="A197">
            <v>1166</v>
          </cell>
          <cell r="B197">
            <v>33</v>
          </cell>
          <cell r="C197" t="str">
            <v>KENNEDY</v>
          </cell>
          <cell r="D197" t="str">
            <v>PRIVADO</v>
          </cell>
          <cell r="E197" t="str">
            <v>EPBM</v>
          </cell>
          <cell r="F197" t="str">
            <v>INSTITUTO_SAN_RICARDO_PAMPURI</v>
          </cell>
          <cell r="G197" t="str">
            <v>INSTITUTO SAN RICARDO PAMPURI</v>
          </cell>
          <cell r="H197" t="str">
            <v>Autoevaluación Institucional y Pruebas SABER 11</v>
          </cell>
          <cell r="I197" t="str">
            <v>SEGUIMIENTO_Y_SUPERVISIÓN.</v>
          </cell>
          <cell r="J197" t="str">
            <v>Realizar visitas para verificar la información registrada sobre la autoevaluación institucional en el aplicativo EVI, a los establecimientos de educación formal no oficial.</v>
          </cell>
          <cell r="K197" t="str">
            <v>INGRID VIVIANA DÁVILA ÁVILA</v>
          </cell>
          <cell r="L197" t="str">
            <v xml:space="preserve">DIANA ZULAY HUERTAS ORTÍZ </v>
          </cell>
          <cell r="M197">
            <v>45860</v>
          </cell>
          <cell r="N197">
            <v>45860</v>
          </cell>
          <cell r="O197">
            <v>45860</v>
          </cell>
          <cell r="P197" t="str">
            <v>Visitas de evaluación con fines de mejoramiento</v>
          </cell>
          <cell r="Q197" t="str">
            <v>INSTITUTO SAN RICARDO PAMPURI.pdf</v>
          </cell>
          <cell r="R197" t="str">
            <v xml:space="preserve">La institución no registra información en el EVI, que dé cuenta de la realidad institucional relacionada con la  presencia de laboratorios y biblioteca. </v>
          </cell>
          <cell r="S197" t="str">
            <v>Registrar en el aplicativo EVI, la información que dé cuenta de la realidad institucional.</v>
          </cell>
          <cell r="T197" t="str">
            <v>SI</v>
          </cell>
          <cell r="U197" t="str">
            <v xml:space="preserve">Verificar la información registrada en el aplicativo en la vigencia 2025. Se realiza mesa de seguimiento el día 25 de septiembre 2025. </v>
          </cell>
        </row>
        <row r="198">
          <cell r="A198">
            <v>1167</v>
          </cell>
          <cell r="B198"/>
          <cell r="C198" t="str">
            <v>KENNEDY</v>
          </cell>
          <cell r="D198" t="str">
            <v>PRIVADO</v>
          </cell>
          <cell r="E198" t="str">
            <v>EPBM</v>
          </cell>
          <cell r="F198" t="str">
            <v>INSTITUTO_SAN_RICARDO_PAMPURI</v>
          </cell>
          <cell r="G198" t="str">
            <v>INSTITUTO SAN RICARDO PAMPURI</v>
          </cell>
          <cell r="H198" t="str">
            <v>Autoevaluación Institucional y Pruebas SABER 11</v>
          </cell>
          <cell r="I198" t="str">
            <v>SEGUIMIENTO_Y_SUPERVISIÓN.</v>
          </cell>
          <cell r="J198" t="str">
            <v>Proponer estrategias en la formulación, verificar su elaboración y realizar seguimiento semestral al desarrollo de  las acciones establecidas en los planes de mejoramiento por pruebas SABER 11 de los establecimientos de educación formal.</v>
          </cell>
          <cell r="K198" t="str">
            <v>INGRID VIVIANA DÁVILA ÁVILA</v>
          </cell>
          <cell r="L198" t="str">
            <v xml:space="preserve">DIANA ZULAY HUERTAS ORTÍZ </v>
          </cell>
          <cell r="M198">
            <v>45860</v>
          </cell>
          <cell r="N198">
            <v>45860</v>
          </cell>
          <cell r="O198">
            <v>45860</v>
          </cell>
          <cell r="P198" t="str">
            <v>Visitas de evaluación con fines de mejoramiento</v>
          </cell>
          <cell r="Q198" t="str">
            <v>INSTITUTO SAN RICARDO PAMPURI.pdf</v>
          </cell>
          <cell r="R198" t="str">
            <v>La institución no ha formulado estrategias para el seguimiento de los resultados de pruebas SABER 11.</v>
          </cell>
          <cell r="S198" t="str">
            <v>Establecer un plan de mejoramiento basado en los resultados obtenidos en las pruebas SABER 11.</v>
          </cell>
          <cell r="T198" t="str">
            <v>Si</v>
          </cell>
          <cell r="U198" t="str">
            <v>Verificar el cumplimiento del plan de mejoramiento diseñado para atender los resultados de las pruebas SABER 11.Se realiza mesa de seguimiento el día 25 de septiembre 2025</v>
          </cell>
        </row>
        <row r="199">
          <cell r="A199">
            <v>1168</v>
          </cell>
          <cell r="B199"/>
          <cell r="C199" t="str">
            <v>KENNEDY</v>
          </cell>
          <cell r="D199" t="str">
            <v>PRIVADO</v>
          </cell>
          <cell r="E199" t="str">
            <v>EPBM</v>
          </cell>
          <cell r="F199" t="str">
            <v>INSTITUTO_SAN_RICARDO_PAMPURI</v>
          </cell>
          <cell r="G199" t="str">
            <v>INSTITUTO SAN RICARDO PAMPURI</v>
          </cell>
          <cell r="H199" t="str">
            <v>Autoevaluación Institucional y Pruebas SABER 11</v>
          </cell>
          <cell r="I199" t="str">
            <v>SEGUIMIENTO_Y_SUPERVISIÓN.</v>
          </cell>
          <cell r="J199" t="str">
            <v xml:space="preserve">Verificar la implementación por parte de los colegios, de acciones realizadas para la prevención y atención de las situaciones de convivencia en el entorno escolar, según lo establecido en la Directiva 01 de 2022 del MEN. </v>
          </cell>
          <cell r="K199" t="str">
            <v>INGRID VIVIANA DÁVILA ÁVILA</v>
          </cell>
          <cell r="L199" t="str">
            <v xml:space="preserve">DIANA ZULAY HUERTAS ORTÍZ </v>
          </cell>
          <cell r="M199">
            <v>45860</v>
          </cell>
          <cell r="N199">
            <v>45860</v>
          </cell>
          <cell r="O199">
            <v>45860</v>
          </cell>
          <cell r="P199" t="str">
            <v>Visitas de evaluación con fines de mejoramiento</v>
          </cell>
          <cell r="Q199" t="str">
            <v>INSTITUTO SAN RICARDO PAMPURI.pdf</v>
          </cell>
          <cell r="R199" t="str">
            <v>La institución cuenta con un plan de promoción y prevención de situaciones que afectan la convivencia escolar desde el equipo de orientación.</v>
          </cell>
          <cell r="S199" t="str">
            <v>Continuar desarrollando acciones para la  promoción, prevención y atención de situaciones de convivencia.</v>
          </cell>
          <cell r="T199" t="str">
            <v>No</v>
          </cell>
          <cell r="U199" t="str">
            <v>Verificar que se sigan desarrollando acciones para la promoción y prevención de situaciones que afectan la convivencia.</v>
          </cell>
        </row>
        <row r="200">
          <cell r="A200">
            <v>1169</v>
          </cell>
          <cell r="B200"/>
          <cell r="C200" t="str">
            <v>KENNEDY</v>
          </cell>
          <cell r="D200" t="str">
            <v>PRIVADO</v>
          </cell>
          <cell r="E200" t="str">
            <v>EPBM</v>
          </cell>
          <cell r="F200" t="str">
            <v>INSTITUTO_SAN_RICARDO_PAMPURI</v>
          </cell>
          <cell r="G200" t="str">
            <v>INSTITUTO SAN RICARDO PAMPURI</v>
          </cell>
          <cell r="H200" t="str">
            <v>Autoevaluación Institucional y Pruebas SABER 11</v>
          </cell>
          <cell r="I200" t="str">
            <v>SEGUIMIENTO_Y_SUPERVISIÓN.</v>
          </cell>
          <cell r="J20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0" t="str">
            <v>INGRID VIVIANA DÁVILA ÁVILA</v>
          </cell>
          <cell r="L200" t="str">
            <v xml:space="preserve">DIANA ZULAY HUERTAS ORTÍZ </v>
          </cell>
          <cell r="M200">
            <v>45860</v>
          </cell>
          <cell r="N200">
            <v>45860</v>
          </cell>
          <cell r="O200">
            <v>45860</v>
          </cell>
          <cell r="P200" t="str">
            <v>Visitas de evaluación con fines de mejoramiento</v>
          </cell>
          <cell r="Q200" t="str">
            <v>INSTITUTO SAN RICARDO PAMPURI.pdf</v>
          </cell>
          <cell r="R200" t="str">
            <v>La institución cuenta con tres estudiantes  con discapacidad, los cuales cuentan con el Plan de Ajustes Razonables (PIAR).</v>
          </cell>
          <cell r="S200" t="str">
            <v>Desarrollar los PIAR en el aula de clase, permitiendo que la población con discapacidad sea atendida y tenga acceso al derecho de la Educación.</v>
          </cell>
          <cell r="T200" t="str">
            <v>No</v>
          </cell>
          <cell r="U200" t="str">
            <v>Verificar que la población con discapacidad, trastornos del aprendizaje y talentos excepcionales sea atendida en el marco del Decreto 1421 de 2017.</v>
          </cell>
        </row>
        <row r="201">
          <cell r="A201">
            <v>1170</v>
          </cell>
          <cell r="B201"/>
          <cell r="C201" t="str">
            <v>KENNEDY</v>
          </cell>
          <cell r="D201" t="str">
            <v>PRIVADO</v>
          </cell>
          <cell r="E201" t="str">
            <v>EPBM</v>
          </cell>
          <cell r="F201" t="str">
            <v>INSTITUTO_SAN_RICARDO_PAMPURI</v>
          </cell>
          <cell r="G201" t="str">
            <v>INSTITUTO SAN RICARDO PAMPURI</v>
          </cell>
          <cell r="H201" t="str">
            <v>Autoevaluación Institucional y Pruebas SABER 11</v>
          </cell>
          <cell r="I201" t="str">
            <v>EVALUACIÓN_CON_FINES_DE_MEJORAMIENTO.</v>
          </cell>
          <cell r="J20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01" t="str">
            <v>INGRID VIVIANA DÁVILA ÁVILA</v>
          </cell>
          <cell r="L201" t="str">
            <v xml:space="preserve">DIANA ZULAY HUERTAS ORTÍZ </v>
          </cell>
          <cell r="M201">
            <v>45860</v>
          </cell>
          <cell r="N201">
            <v>45860</v>
          </cell>
          <cell r="O201">
            <v>45860</v>
          </cell>
          <cell r="P201" t="str">
            <v>Visitas de evaluación con fines de mejoramiento</v>
          </cell>
          <cell r="Q201" t="str">
            <v>INSTITUTO SAN RICARDO PAMPURI.pdf</v>
          </cell>
          <cell r="R201" t="str">
            <v xml:space="preserve">La institución no cuenta con una diferenciación de faltas y situaciones , que ocasiona que no se realice un adecuado abordaje en la atención de cada una. </v>
          </cell>
          <cell r="S201" t="str">
            <v>Actualizar el manual de Convivencia, diferenciando faltas y situaciones, de la misma manera revisar el debido proceso y los protocolos de atención.</v>
          </cell>
          <cell r="T201" t="str">
            <v>Si</v>
          </cell>
          <cell r="U201" t="str">
            <v>Verificar la actualización del manual de convivencia teniendo en cuenta la normatividad vigente.  Se realiza mesa de seguimiento el día 25 de septiembre 2025</v>
          </cell>
        </row>
        <row r="202">
          <cell r="A202">
            <v>1171</v>
          </cell>
          <cell r="B202"/>
          <cell r="C202" t="str">
            <v>KENNEDY</v>
          </cell>
          <cell r="D202" t="str">
            <v>PRIVADO</v>
          </cell>
          <cell r="E202" t="str">
            <v>EPBM</v>
          </cell>
          <cell r="F202" t="str">
            <v>INSTITUTO_SAN_RICARDO_PAMPURI</v>
          </cell>
          <cell r="G202" t="str">
            <v>INSTITUTO SAN RICARDO PAMPURI</v>
          </cell>
          <cell r="H202" t="str">
            <v>Autoevaluación Institucional y Pruebas SABER 11</v>
          </cell>
          <cell r="I202" t="str">
            <v>EVALUACIÓN_CON_FINES_DE_MEJORAMIENTO.</v>
          </cell>
          <cell r="J202" t="str">
            <v>Revisar la actualización, socialización e implementación del Sistema Institucional de Evaluación de Estudiantes - SIEE, en articulación con la actualización del PEI y la normatividad vigente.</v>
          </cell>
          <cell r="K202" t="str">
            <v>INGRID VIVIANA DÁVILA ÁVILA</v>
          </cell>
          <cell r="L202" t="str">
            <v xml:space="preserve">DIANA ZULAY HUERTAS ORTÍZ </v>
          </cell>
          <cell r="M202">
            <v>45860</v>
          </cell>
          <cell r="N202">
            <v>45860</v>
          </cell>
          <cell r="O202">
            <v>45860</v>
          </cell>
          <cell r="P202" t="str">
            <v>Visitas de evaluación con fines de mejoramiento</v>
          </cell>
          <cell r="Q202" t="str">
            <v>INSTITUTO SAN RICARDO PAMPURI.pdf</v>
          </cell>
          <cell r="R202" t="str">
            <v>La institución socializa e implementa el Sistema Institucional de Evaluación de Estudiantes- SIEE.</v>
          </cell>
          <cell r="S202" t="str">
            <v>Continuar implementando el Sistema Institucional de Evaluación de Estudiantes- SIEE, y socializando con la comunidad educativa.</v>
          </cell>
          <cell r="T202" t="str">
            <v>NO</v>
          </cell>
          <cell r="U202" t="str">
            <v>Verificar en la próxima vigencia el registro de la información y la implementación del el Sistema Institucional de Evaluación de Estudiantes- SIEE.</v>
          </cell>
        </row>
        <row r="203">
          <cell r="A203">
            <v>1172</v>
          </cell>
          <cell r="B203"/>
          <cell r="C203" t="str">
            <v>KENNEDY</v>
          </cell>
          <cell r="D203" t="str">
            <v>PRIVADO</v>
          </cell>
          <cell r="E203" t="str">
            <v>EPBM</v>
          </cell>
          <cell r="F203" t="str">
            <v>INSTITUTO_SAN_RICARDO_PAMPURI</v>
          </cell>
          <cell r="G203" t="str">
            <v>INSTITUTO SAN RICARDO PAMPURI</v>
          </cell>
          <cell r="H203" t="str">
            <v>Autoevaluación Institucional y Pruebas SABER 11</v>
          </cell>
          <cell r="I203" t="str">
            <v>EVALUACIÓN_CON_FINES_DE_MEJORAMIENTO.</v>
          </cell>
          <cell r="J203" t="str">
            <v>Revisar el calendario escolar, jornada escolar, la intensidad horaria mínima anual en cada nivel y las modificaciones que se realicen al mismo, de acuerdo con lo previsto en la normatividad vigente.</v>
          </cell>
          <cell r="K203" t="str">
            <v>INGRID VIVIANA DÁVILA ÁVILA</v>
          </cell>
          <cell r="L203" t="str">
            <v xml:space="preserve">DIANA ZULAY HUERTAS ORTÍZ </v>
          </cell>
          <cell r="M203">
            <v>45860</v>
          </cell>
          <cell r="N203">
            <v>45860</v>
          </cell>
          <cell r="O203">
            <v>45860</v>
          </cell>
          <cell r="P203" t="str">
            <v>Visitas de evaluación con fines de mejoramiento</v>
          </cell>
          <cell r="Q203" t="str">
            <v>INSTITUTO SAN RICARDO PAMPURI.pdf</v>
          </cell>
          <cell r="R203" t="str">
            <v>Se evidenció que EE, cumple con la intensidad mínima anual en cada nivel, de acuerdo a lo previsto en la normatividad vigente.</v>
          </cell>
          <cell r="S203" t="str">
            <v xml:space="preserve">Continuar cumpliendo con la normatividad vigente, sobre la intensidad horaria mínima anual. </v>
          </cell>
          <cell r="T203" t="str">
            <v>No</v>
          </cell>
          <cell r="U203" t="str">
            <v xml:space="preserve">El ELIV, verificará el cumplimiento del calendario escolar. </v>
          </cell>
        </row>
        <row r="204">
          <cell r="A204">
            <v>1173</v>
          </cell>
          <cell r="B204"/>
          <cell r="C204" t="str">
            <v>KENNEDY</v>
          </cell>
          <cell r="D204" t="str">
            <v>PRIVADO</v>
          </cell>
          <cell r="E204" t="str">
            <v>EPBM</v>
          </cell>
          <cell r="F204" t="str">
            <v>INSTITUTO_SAN_RICARDO_PAMPURI</v>
          </cell>
          <cell r="G204" t="str">
            <v>INSTITUTO SAN RICARDO PAMPURI</v>
          </cell>
          <cell r="H204" t="str">
            <v>Autoevaluación Institucional y Pruebas SABER 11</v>
          </cell>
          <cell r="I204" t="str">
            <v>EVALUACIÓN_CON_FINES_DE_MEJORAMIENTO.</v>
          </cell>
          <cell r="J204" t="str">
            <v>Verificar el funcionamiento del Gobierno Escolar e instancias de participación con base en la información sobre conformación reportada por la institución educativa.</v>
          </cell>
          <cell r="K204" t="str">
            <v>INGRID VIVIANA DÁVILA ÁVILA</v>
          </cell>
          <cell r="L204" t="str">
            <v xml:space="preserve">DIANA ZULAY HUERTAS ORTÍZ </v>
          </cell>
          <cell r="M204">
            <v>45860</v>
          </cell>
          <cell r="N204">
            <v>45860</v>
          </cell>
          <cell r="O204">
            <v>45860</v>
          </cell>
          <cell r="P204" t="str">
            <v>Visitas de evaluación con fines de mejoramiento</v>
          </cell>
          <cell r="Q204" t="str">
            <v>INSTITUTO SAN RICARDO PAMPURI.pdf</v>
          </cell>
          <cell r="R204" t="str">
            <v>La EE cumple con la conformación y funcionamiento del gobierno escolar y las instancias de participación.</v>
          </cell>
          <cell r="S204" t="str">
            <v>La EE, debe seguir cumpliendo con la  conformación y funcionamiento del gobierno escolar y las instancias de participación.  Debe reunir el consejo directivo de acuerdo a la normatividad vigente.</v>
          </cell>
          <cell r="T204" t="str">
            <v>Si</v>
          </cell>
          <cell r="U204" t="str">
            <v>El ELIV verificará la operatividad del gobierno escolar.  Se realiza mesa de seguimiento el día 25 de septiembre 2025</v>
          </cell>
        </row>
        <row r="205">
          <cell r="A205">
            <v>2790</v>
          </cell>
          <cell r="B205"/>
          <cell r="C205" t="str">
            <v>KENNEDY</v>
          </cell>
          <cell r="D205" t="str">
            <v>PRIVADO</v>
          </cell>
          <cell r="E205" t="str">
            <v>EPBM</v>
          </cell>
          <cell r="F205" t="str">
            <v>INSTITUTO_SAN_RICARDO_PAMPURI</v>
          </cell>
          <cell r="G205" t="str">
            <v>INSTITUTO SAN RICARDO PAMPURI</v>
          </cell>
          <cell r="H205" t="str">
            <v>Autoevaluación Institucional y Pruebas SABER 11</v>
          </cell>
          <cell r="I205" t="str">
            <v>EVALUACIÓN_CON_FINES_DE_MEJORAMIENTO.</v>
          </cell>
          <cell r="J205" t="str">
            <v>Verificar las condiciones en cuanto a: la estructura administrativa, condiciones de la planta física y medios educativos adecuados.</v>
          </cell>
          <cell r="K205" t="str">
            <v>INGRID VIVIANA DÁVILA ÁVILA</v>
          </cell>
          <cell r="L205" t="str">
            <v xml:space="preserve">DIANA ZULAY HUERTAS ORTÍZ </v>
          </cell>
          <cell r="M205">
            <v>45860</v>
          </cell>
          <cell r="N205">
            <v>45860</v>
          </cell>
          <cell r="O205">
            <v>45860</v>
          </cell>
          <cell r="P205" t="str">
            <v>Visitas de evaluación con fines de mejoramiento</v>
          </cell>
          <cell r="Q205" t="str">
            <v>INSTITUTO SAN RICARDO PAMPURI.pdf</v>
          </cell>
          <cell r="R205" t="str">
            <v>La IE cumple con las condiciones de estructura administrativa, condiciones de la planta física y medios educativos adecuados.</v>
          </cell>
          <cell r="S205" t="str">
            <v xml:space="preserve">La EE debe mantener las condiciones de prestación del servicio, en cuanto estructura administrativa, planta física y medios educativos. </v>
          </cell>
          <cell r="T205" t="str">
            <v>No</v>
          </cell>
          <cell r="U205" t="str">
            <v xml:space="preserve">El ELIV verificará que se mantengan las condiciones de prestación del servicio. </v>
          </cell>
        </row>
        <row r="206">
          <cell r="A206">
            <v>1174</v>
          </cell>
          <cell r="B206">
            <v>34</v>
          </cell>
          <cell r="C206" t="str">
            <v>KENNEDY</v>
          </cell>
          <cell r="D206" t="str">
            <v>PRIVADO</v>
          </cell>
          <cell r="E206" t="str">
            <v>EPBM</v>
          </cell>
          <cell r="F206" t="str">
            <v>INSTITUTO_TENERIFE</v>
          </cell>
          <cell r="G206" t="str">
            <v>INSTITUTO TENERIFE</v>
          </cell>
          <cell r="H206" t="str">
            <v>Autoevaluación Institucional y Pruebas SABER 11</v>
          </cell>
          <cell r="I206" t="str">
            <v>SEGUIMIENTO_Y_SUPERVISIÓN.</v>
          </cell>
          <cell r="J206" t="str">
            <v>Realizar visitas para verificar la información registrada sobre la autoevaluación institucional en el aplicativo EVI, a los establecimientos de educación formal no oficial.</v>
          </cell>
          <cell r="K206" t="str">
            <v>ADRIANA VENEGAS VALERA</v>
          </cell>
          <cell r="L206" t="str">
            <v>VIVANA PILAR BOHÓRQUEZ DÍAZ</v>
          </cell>
          <cell r="M206">
            <v>45861</v>
          </cell>
          <cell r="N206">
            <v>45861</v>
          </cell>
          <cell r="O206">
            <v>45861</v>
          </cell>
          <cell r="P206" t="str">
            <v>Visitas de evaluación con fines de mejoramiento</v>
          </cell>
          <cell r="Q206" t="str">
            <v>INSTITUTO TENERIFE.pdf</v>
          </cell>
          <cell r="R206" t="str">
            <v>La institución educativa registra en el aplicativo EVI la realidad institucional.</v>
          </cell>
          <cell r="S206" t="str">
            <v>Registrar la información en el aplicativo EVI en los tiempos en los que disponga el MEN.</v>
          </cell>
          <cell r="T206" t="str">
            <v>No</v>
          </cell>
          <cell r="U206" t="str">
            <v xml:space="preserve">El ELIV, verificará que la institución reporte la información que da cuenta de la realidad Institucional en el aplicativo EVI. </v>
          </cell>
        </row>
        <row r="207">
          <cell r="A207">
            <v>1175</v>
          </cell>
          <cell r="B207"/>
          <cell r="C207" t="str">
            <v>KENNEDY</v>
          </cell>
          <cell r="D207" t="str">
            <v>PRIVADO</v>
          </cell>
          <cell r="E207" t="str">
            <v>EPBM</v>
          </cell>
          <cell r="F207" t="str">
            <v>INSTITUTO_TENERIFE</v>
          </cell>
          <cell r="G207" t="str">
            <v>INSTITUTO TENERIFE</v>
          </cell>
          <cell r="H207" t="str">
            <v>Autoevaluación Institucional y Pruebas SABER 11</v>
          </cell>
          <cell r="I207" t="str">
            <v>SEGUIMIENTO_Y_SUPERVISIÓN.</v>
          </cell>
          <cell r="J207" t="str">
            <v>Proponer estrategias en la formulación, verificar su elaboración y realizar seguimiento semestral al desarrollo de  las acciones establecidas en los planes de mejoramiento por pruebas SABER 11 de los establecimientos de educación formal.</v>
          </cell>
          <cell r="K207" t="str">
            <v>ADRIANA VENEGAS VALERA</v>
          </cell>
          <cell r="L207" t="str">
            <v>VIVANA PILAR BOHÓRQUEZ DÍAZ</v>
          </cell>
          <cell r="M207">
            <v>45861</v>
          </cell>
          <cell r="N207">
            <v>45861</v>
          </cell>
          <cell r="O207">
            <v>45861</v>
          </cell>
          <cell r="P207" t="str">
            <v>Visitas de evaluación con fines de mejoramiento</v>
          </cell>
          <cell r="Q207" t="str">
            <v>INSTITUTO TENERIFE.pdf</v>
          </cell>
          <cell r="R207" t="str">
            <v>La IE tiene una contratación vigente con el Grupo Aurea, quienes realizaron el diagnóstico de las pruebas SABER 11, diseñan pruebas, las evalúan y retroalimentan el ejercicio. Sin embargo, estos documentos no incluyen a las y los estudiantes con discapacidad.</v>
          </cell>
          <cell r="S207" t="str">
            <v>Incluir en el plan de mejoramiento las y los estudiantes con discapacidad.</v>
          </cell>
          <cell r="T207" t="str">
            <v>Si</v>
          </cell>
          <cell r="U207" t="str">
            <v>Verificar el cumplimiento del plan de mejoramiento diseñado para atender los resultados de las pruebas SABER 11.Se realiza mesa de seguimiento el 14 de noviembre.</v>
          </cell>
        </row>
        <row r="208">
          <cell r="A208">
            <v>1177</v>
          </cell>
          <cell r="B208"/>
          <cell r="C208" t="str">
            <v>KENNEDY</v>
          </cell>
          <cell r="D208" t="str">
            <v>PRIVADO</v>
          </cell>
          <cell r="E208" t="str">
            <v>EPBM</v>
          </cell>
          <cell r="F208" t="str">
            <v>INSTITUTO_TENERIFE</v>
          </cell>
          <cell r="G208" t="str">
            <v>INSTITUTO TENERIFE</v>
          </cell>
          <cell r="H208" t="str">
            <v>Autoevaluación Institucional y Pruebas SABER 11</v>
          </cell>
          <cell r="I208" t="str">
            <v>SEGUIMIENTO_Y_SUPERVISIÓN.</v>
          </cell>
          <cell r="J208"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08" t="str">
            <v>ADRIANA VENEGAS VALERA</v>
          </cell>
          <cell r="L208" t="str">
            <v>VIVANA PILAR BOHÓRQUEZ DÍAZ</v>
          </cell>
          <cell r="M208">
            <v>45861</v>
          </cell>
          <cell r="N208">
            <v>45861</v>
          </cell>
          <cell r="O208">
            <v>45861</v>
          </cell>
          <cell r="P208" t="str">
            <v>Visitas de evaluación con fines de mejoramiento</v>
          </cell>
          <cell r="Q208" t="str">
            <v>INSTITUTO TENERIFE.pdf</v>
          </cell>
          <cell r="R208" t="str">
            <v>La institución educativa diseña, implementa y hace seguimiento a los Planes Individuales de Ajustes Razonables de 9 estudiantes con discapacidad.</v>
          </cell>
          <cell r="S208" t="str">
            <v>Continuar adelantando el seguimiento a los PIAR, así como el diseño de estrategias conjuntas con las familias.</v>
          </cell>
          <cell r="T208" t="str">
            <v>No</v>
          </cell>
          <cell r="U208" t="str">
            <v>Verificar en la próxima vigencia la atención de la población con discapacidad, trastornos del aprendizaje y talentos excepcionales, en el marco del Decreto 1421 de 2017.</v>
          </cell>
        </row>
        <row r="209">
          <cell r="A209"/>
          <cell r="B209"/>
          <cell r="C209" t="str">
            <v>KENNEDY</v>
          </cell>
          <cell r="D209" t="str">
            <v>PRIVADO</v>
          </cell>
          <cell r="E209" t="str">
            <v>EPBM</v>
          </cell>
          <cell r="F209" t="str">
            <v>INSTITUTO_TENERIFE</v>
          </cell>
          <cell r="G209" t="str">
            <v>INSTITUTO TENERIFE</v>
          </cell>
          <cell r="H209" t="str">
            <v>Autoevaluación Institucional y Pruebas SABER 11</v>
          </cell>
          <cell r="I209" t="str">
            <v>SEGUIMIENTO_Y_SUPERVISIÓN.</v>
          </cell>
          <cell r="J209" t="str">
            <v xml:space="preserve">Verificar la implementación por parte de los colegios, de acciones realizadas para la prevención y atención de las situaciones de convivencia en el entorno escolar, según lo establecido en la Directiva 01 de 2022 del MEN. </v>
          </cell>
          <cell r="K209" t="str">
            <v>ADRIANA VENEGAS VALERA</v>
          </cell>
          <cell r="L209" t="str">
            <v>VIVANA PILAR BOHÓRQUEZ DÍAZ</v>
          </cell>
          <cell r="M209">
            <v>45861</v>
          </cell>
          <cell r="N209">
            <v>45861</v>
          </cell>
          <cell r="O209">
            <v>45861</v>
          </cell>
          <cell r="P209" t="str">
            <v>Visitas de evaluación con fines de mejoramiento</v>
          </cell>
          <cell r="Q209" t="str">
            <v>INSTITUTO TENERIFE.pdf</v>
          </cell>
          <cell r="R209" t="str">
            <v>La Institución realiza acciones de prevención y atención de las situaciones de convivencia en el entorno escolar.</v>
          </cell>
          <cell r="S209" t="str">
            <v xml:space="preserve">Continuar realizando acciones de prevención y atención de las situaciones de convivencia escolar. </v>
          </cell>
          <cell r="T209" t="str">
            <v>No</v>
          </cell>
          <cell r="U209" t="str">
            <v>Verificar que las acciones de prevención y atención de las situaciones de convivencia en el entorno escolar se continúen realizando. Se realiza mesa de seguimiento el 14 de noviembre.</v>
          </cell>
        </row>
        <row r="210">
          <cell r="A210">
            <v>1178</v>
          </cell>
          <cell r="B210"/>
          <cell r="C210" t="str">
            <v>KENNEDY</v>
          </cell>
          <cell r="D210" t="str">
            <v>PRIVADO</v>
          </cell>
          <cell r="E210" t="str">
            <v>EPBM</v>
          </cell>
          <cell r="F210" t="str">
            <v>INSTITUTO_TENERIFE</v>
          </cell>
          <cell r="G210" t="str">
            <v>INSTITUTO TENERIFE</v>
          </cell>
          <cell r="H210" t="str">
            <v>Autoevaluación Institucional y Pruebas SABER 11</v>
          </cell>
          <cell r="I210" t="str">
            <v>EVALUACIÓN_CON_FINES_DE_MEJORAMIENTO.</v>
          </cell>
          <cell r="J21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0" t="str">
            <v>ADRIANA VENEGAS VALERA</v>
          </cell>
          <cell r="L210" t="str">
            <v>VIVANA PILAR BOHÓRQUEZ DÍAZ</v>
          </cell>
          <cell r="M210">
            <v>45861</v>
          </cell>
          <cell r="N210">
            <v>45861</v>
          </cell>
          <cell r="O210">
            <v>45861</v>
          </cell>
          <cell r="P210" t="str">
            <v>Visitas de evaluación con fines de mejoramiento</v>
          </cell>
          <cell r="Q210" t="str">
            <v>INSTITUTO TENERIFE.pdf</v>
          </cell>
          <cell r="R210" t="str">
            <v xml:space="preserve">El manual de convivencia presentado no incorpora los protocolos versión 5.0 de la SED, ni tampoco evidencia avances en la comprensión de los enfoques de derechos, inclusión, género y justicia restaurativa escolar. </v>
          </cell>
          <cell r="S210" t="str">
            <v>Actualizar el manual de convivencia, incluyendo los protocolos de atención de la SED versión 5.0 , así como de los enfoques.</v>
          </cell>
          <cell r="T210" t="str">
            <v>Si</v>
          </cell>
          <cell r="U210" t="str">
            <v>Seguimiento al cumplimiento de las acciones definidas en el Plan de Mejoramiento. Se realiza mesa de seguimiento el 14 de noviembre.</v>
          </cell>
        </row>
        <row r="211">
          <cell r="A211">
            <v>1179</v>
          </cell>
          <cell r="B211"/>
          <cell r="C211" t="str">
            <v>KENNEDY</v>
          </cell>
          <cell r="D211" t="str">
            <v>PRIVADO</v>
          </cell>
          <cell r="E211" t="str">
            <v>EPBM</v>
          </cell>
          <cell r="F211" t="str">
            <v>INSTITUTO_TENERIFE</v>
          </cell>
          <cell r="G211" t="str">
            <v>INSTITUTO TENERIFE</v>
          </cell>
          <cell r="H211" t="str">
            <v>Autoevaluación Institucional y Pruebas SABER 11</v>
          </cell>
          <cell r="I211" t="str">
            <v>EVALUACIÓN_CON_FINES_DE_MEJORAMIENTO.</v>
          </cell>
          <cell r="J211" t="str">
            <v>Revisar la actualización, socialización e implementación del Sistema Institucional de Evaluación de Estudiantes - SIEE, en articulación con la actualización del PEI y la normatividad vigente.</v>
          </cell>
          <cell r="K211" t="str">
            <v>ADRIANA VENEGAS VALERA</v>
          </cell>
          <cell r="L211" t="str">
            <v>VIVANA PILAR BOHÓRQUEZ DÍAZ</v>
          </cell>
          <cell r="M211">
            <v>45861</v>
          </cell>
          <cell r="N211">
            <v>45861</v>
          </cell>
          <cell r="O211">
            <v>45861</v>
          </cell>
          <cell r="P211" t="str">
            <v>Visitas de evaluación con fines de mejoramiento</v>
          </cell>
          <cell r="Q211" t="str">
            <v>INSTITUTO TENERIFE.pdf</v>
          </cell>
          <cell r="R211" t="str">
            <v xml:space="preserve">El Sistema Institucional de Evaluación  contempla evidencias de su ejecución, sin embargo no contempla la Comisión de Evaluación y Promoción. </v>
          </cell>
          <cell r="S211" t="str">
            <v>Incorporar en el SIEE la Comisión de Evaluación y Promoción, con sus respectivas funciones y periodicidad, para que de acuerdo con ello se organicen las evidencias de su implementación.</v>
          </cell>
          <cell r="T211" t="str">
            <v>Si</v>
          </cell>
          <cell r="U211" t="str">
            <v>Seguimiento al cumplimiento de las acciones definidas en el Plan de Mejoramiento. Se realiza mesa de seguimiento el 14 de noviembre.</v>
          </cell>
        </row>
        <row r="212">
          <cell r="A212">
            <v>1180</v>
          </cell>
          <cell r="B212"/>
          <cell r="C212" t="str">
            <v>KENNEDY</v>
          </cell>
          <cell r="D212" t="str">
            <v>PRIVADO</v>
          </cell>
          <cell r="E212" t="str">
            <v>EPBM</v>
          </cell>
          <cell r="F212" t="str">
            <v>INSTITUTO_TENERIFE</v>
          </cell>
          <cell r="G212" t="str">
            <v>INSTITUTO TENERIFE</v>
          </cell>
          <cell r="H212" t="str">
            <v>Autoevaluación Institucional y Pruebas SABER 11</v>
          </cell>
          <cell r="I212" t="str">
            <v>EVALUACIÓN_CON_FINES_DE_MEJORAMIENTO.</v>
          </cell>
          <cell r="J212" t="str">
            <v>Revisar el calendario escolar, jornada escolar, la intensidad horaria mínima anual en cada nivel y las modificaciones que se realicen al mismo, de acuerdo con lo previsto en la normatividad vigente.</v>
          </cell>
          <cell r="K212" t="str">
            <v>ADRIANA VENEGAS VALERA</v>
          </cell>
          <cell r="L212" t="str">
            <v>VIVANA PILAR BOHÓRQUEZ DÍAZ</v>
          </cell>
          <cell r="M212">
            <v>45861</v>
          </cell>
          <cell r="N212">
            <v>45861</v>
          </cell>
          <cell r="O212">
            <v>45861</v>
          </cell>
          <cell r="P212" t="str">
            <v>Visitas de evaluación con fines de mejoramiento</v>
          </cell>
          <cell r="Q212" t="str">
            <v>INSTITUTO TENERIFE.pdf</v>
          </cell>
          <cell r="R212" t="str">
            <v>La IE cuenta con el calendario escolar, el cual refiere la jornada escolar e intensidad horaria, de acuerdo con lo previsto en la normatividad vigente.</v>
          </cell>
          <cell r="S212" t="str">
            <v>Garantizar el cumplimiento de la intensidad horaria definida en el calendario escolar.</v>
          </cell>
          <cell r="T212" t="str">
            <v>No</v>
          </cell>
          <cell r="U212" t="str">
            <v>Seguimiento al cumplimiento del calendario escolar en la próxima vigencia.</v>
          </cell>
        </row>
        <row r="213">
          <cell r="A213">
            <v>1181</v>
          </cell>
          <cell r="B213"/>
          <cell r="C213" t="str">
            <v>KENNEDY</v>
          </cell>
          <cell r="D213" t="str">
            <v>PRIVADO</v>
          </cell>
          <cell r="E213" t="str">
            <v>EPBM</v>
          </cell>
          <cell r="F213" t="str">
            <v>INSTITUTO_TENERIFE</v>
          </cell>
          <cell r="G213" t="str">
            <v>INSTITUTO TENERIFE</v>
          </cell>
          <cell r="H213" t="str">
            <v>Autoevaluación Institucional y Pruebas SABER 11</v>
          </cell>
          <cell r="I213" t="str">
            <v>EVALUACIÓN_CON_FINES_DE_MEJORAMIENTO.</v>
          </cell>
          <cell r="J213" t="str">
            <v>Verificar el funcionamiento del Gobierno Escolar e instancias de participación con base en la información sobre conformación reportada por la institución educativa.</v>
          </cell>
          <cell r="K213" t="str">
            <v>ADRIANA VENEGAS VALERA</v>
          </cell>
          <cell r="L213" t="str">
            <v>VIVANA PILAR BOHÓRQUEZ DÍAZ</v>
          </cell>
          <cell r="M213">
            <v>45861</v>
          </cell>
          <cell r="N213">
            <v>45861</v>
          </cell>
          <cell r="O213">
            <v>45861</v>
          </cell>
          <cell r="P213" t="str">
            <v>Visitas de evaluación con fines de mejoramiento</v>
          </cell>
          <cell r="Q213" t="str">
            <v>INSTITUTO TENERIFE.pdf</v>
          </cell>
          <cell r="R213" t="str">
            <v>La IE presenta evidencias  de la conformación de las instancias del gobierno escolar, lo cual cumple con lo establecido en la normatividad vigente y reglamentos internos. Sin embargo, es necesario movilizar estas instancias en coherencia con sus funciones.</v>
          </cell>
          <cell r="S213" t="str">
            <v>La IE debe movilizar las instancias del gobierno escolar, en casos como  la actualización del currículo y el aval del plan de mejoramiento de las pruebas SABER 11.</v>
          </cell>
          <cell r="T213" t="str">
            <v>Si</v>
          </cell>
          <cell r="U213" t="str">
            <v>Hacer seguimiento a la implementación de las acciones definidas en el plan de mejoramiento. Se realiza mesa de seguimiento el 14 de noviembre.</v>
          </cell>
        </row>
        <row r="214">
          <cell r="A214">
            <v>2791</v>
          </cell>
          <cell r="B214"/>
          <cell r="C214" t="str">
            <v>KENNEDY</v>
          </cell>
          <cell r="D214" t="str">
            <v>PRIVADO</v>
          </cell>
          <cell r="E214" t="str">
            <v>EPBM</v>
          </cell>
          <cell r="F214" t="str">
            <v>INSTITUTO_TENERIFE</v>
          </cell>
          <cell r="G214" t="str">
            <v>INSTITUTO TENERIFE</v>
          </cell>
          <cell r="H214" t="str">
            <v>Autoevaluación Institucional y Pruebas SABER 11</v>
          </cell>
          <cell r="I214" t="str">
            <v>EVALUACIÓN_CON_FINES_DE_MEJORAMIENTO.</v>
          </cell>
          <cell r="J214" t="str">
            <v>Verificar las condiciones en cuanto a: la estructura administrativa, condiciones de la planta física y medios educativos adecuados.</v>
          </cell>
          <cell r="K214" t="str">
            <v>ADRIANA VENEGAS VALERA</v>
          </cell>
          <cell r="L214" t="str">
            <v>VIVANA PILAR BOHÓRQUEZ DÍAZ</v>
          </cell>
          <cell r="M214">
            <v>45861</v>
          </cell>
          <cell r="N214">
            <v>45861</v>
          </cell>
          <cell r="O214">
            <v>45861</v>
          </cell>
          <cell r="P214" t="str">
            <v>Visitas de evaluación con fines de mejoramiento</v>
          </cell>
          <cell r="Q214" t="str">
            <v>INSTITUTO TENERIFE.pdf</v>
          </cell>
          <cell r="R214" t="str">
            <v>Dadas las condiciones de la infraestructura, el colegio hace uso de dos parques aledaños a la institución, sin embargo no cuenta con el convenio requerido para su uso.</v>
          </cell>
          <cell r="S214" t="str">
            <v>La Institución educativa adelantará el convenio de ambientes compartidos para garantizar la seguridad de las niñas y los niños en estos espacios.</v>
          </cell>
          <cell r="T214" t="str">
            <v>Si</v>
          </cell>
          <cell r="U214" t="str">
            <v>Verificar el trámite del convenio de ambientes compartidos, en el marco del plan de mejoramiento. Se realiza mesa de seguimiento el 14 de noviembre.</v>
          </cell>
        </row>
        <row r="215">
          <cell r="A215">
            <v>1183</v>
          </cell>
          <cell r="B215"/>
          <cell r="C215" t="str">
            <v>KENNEDY</v>
          </cell>
          <cell r="D215" t="str">
            <v>PRIVADO</v>
          </cell>
          <cell r="E215" t="str">
            <v>EPBM</v>
          </cell>
          <cell r="F215" t="str">
            <v>INSTITUTO_YOLKIN</v>
          </cell>
          <cell r="G215" t="str">
            <v>INSTITUTO YOLKIN</v>
          </cell>
          <cell r="H215" t="str">
            <v>Autoevaluación Institucional y Pruebas SABER 11</v>
          </cell>
          <cell r="I215" t="str">
            <v>SEGUIMIENTO_Y_SUPERVISIÓN.</v>
          </cell>
          <cell r="J215" t="str">
            <v>Proponer estrategias en la formulación, verificar su elaboración y realizar seguimiento semestral al desarrollo de  las acciones establecidas en los planes de mejoramiento por pruebas SABER 11 de los establecimientos de educación formal.</v>
          </cell>
          <cell r="K215" t="str">
            <v>GERMÁN EDUARDO TORO ROSERO</v>
          </cell>
          <cell r="L215" t="str">
            <v>LUIS FERNANDO CÁRDENAS URAN</v>
          </cell>
          <cell r="M215">
            <v>45862</v>
          </cell>
          <cell r="N215">
            <v>45862</v>
          </cell>
          <cell r="O215">
            <v>45862</v>
          </cell>
          <cell r="P215" t="str">
            <v>Visitas de evaluación con fines de mejoramiento</v>
          </cell>
          <cell r="Q215" t="str">
            <v>ACTA DE VISITA INSTITUTO YOLKIN.pdf</v>
          </cell>
          <cell r="R215" t="str">
            <v xml:space="preserve">La IE no ha realizado revisión y análisis de los últimos resultados de las Pruebas Saber 11, por lo que no ha formulado acciones ni plan de mejoramiento con miras a actualizar el plan de estudios y mejorar los procesos de aprendizaje de los estudiantes. </v>
          </cell>
          <cell r="S215" t="str">
            <v>La IE debe realizar la revisión y análisis de los últimos resultados de las Pruebas Saber 11, formular acciones  y un plan de mejoramiento con el propósito  de  actualizar el plan de estudios y mejorar los procesos de aprendizaje de los estudiantes.</v>
          </cell>
          <cell r="T215" t="str">
            <v>Si</v>
          </cell>
          <cell r="U215" t="str">
            <v xml:space="preserve">Seguimiento al cumplimiento de las acciones de mejoramiento. Se realiza mesa de seguimiento el día 29 de septiembre 2025. Se validará el cumplimiento total del plan de mejoramiento el 30 de noviembre. </v>
          </cell>
        </row>
        <row r="216">
          <cell r="A216">
            <v>1185</v>
          </cell>
          <cell r="B216"/>
          <cell r="C216" t="str">
            <v>KENNEDY</v>
          </cell>
          <cell r="D216" t="str">
            <v>PRIVADO</v>
          </cell>
          <cell r="E216" t="str">
            <v>EPBM</v>
          </cell>
          <cell r="F216" t="str">
            <v>INSTITUTO_YOLKIN</v>
          </cell>
          <cell r="G216" t="str">
            <v>INSTITUTO YOLKIN</v>
          </cell>
          <cell r="H216" t="str">
            <v>Autoevaluación Institucional y Pruebas SABER 11</v>
          </cell>
          <cell r="I216" t="str">
            <v>SEGUIMIENTO_Y_SUPERVISIÓN.</v>
          </cell>
          <cell r="J21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16" t="str">
            <v>GERMÁN EDUARDO TORO ROSERO</v>
          </cell>
          <cell r="L216" t="str">
            <v>LUIS FERNANDO CÁRDENAS URAN</v>
          </cell>
          <cell r="M216">
            <v>45862</v>
          </cell>
          <cell r="N216">
            <v>45862</v>
          </cell>
          <cell r="O216">
            <v>45862</v>
          </cell>
          <cell r="P216" t="str">
            <v>Visitas de evaluación con fines de mejoramiento</v>
          </cell>
          <cell r="Q216" t="str">
            <v>ACTA DE VISITA INSTITUTO YOLKIN.pdf</v>
          </cell>
          <cell r="R216" t="str">
            <v>La IE no ha caracterizado ni identificado a estudiantes con trastornos de aprendizaje y talentos excepcionales, razón por la cual no ha implementado estrategias para su atención, ni ha elaborado plan de ajustes razonables.</v>
          </cell>
          <cell r="S216" t="str">
            <v xml:space="preserve">La IE debe hacer un ejercicio de caracterización e identificación de estudiantes con discapacidad, trastornos de aprendizaje y talentos excepcionales, y elaborar los respectivos planes individuales de ajustes razonables </v>
          </cell>
          <cell r="T216" t="str">
            <v>Si</v>
          </cell>
          <cell r="U216" t="str">
            <v xml:space="preserve">Seguimiento al cumplimiento de las acciones de mejoramiento. Se realiza mesa de seguimiento el día 29 de septiembre 2025. Se validará el cumplimiento total del plan de mejoramiento el 30 de noviembre. </v>
          </cell>
        </row>
        <row r="217">
          <cell r="A217"/>
          <cell r="B217"/>
          <cell r="C217" t="str">
            <v>KENNEDY</v>
          </cell>
          <cell r="D217" t="str">
            <v>PRIVADO</v>
          </cell>
          <cell r="E217" t="str">
            <v>EPBM</v>
          </cell>
          <cell r="F217" t="str">
            <v>INSTITUTO_YOLKIN</v>
          </cell>
          <cell r="G217" t="str">
            <v>INSTITUTO YOLKIN</v>
          </cell>
          <cell r="H217" t="str">
            <v>Autoevaluación Institucional y Pruebas SABER 11</v>
          </cell>
          <cell r="I217" t="str">
            <v>SEGUIMIENTO_Y_SUPERVISIÓN.</v>
          </cell>
          <cell r="J217" t="str">
            <v xml:space="preserve">Verificar la implementación por parte de los colegios, de acciones realizadas para la prevención y atención de las situaciones de convivencia en el entorno escolar, según lo establecido en la Directiva 01 de 2022 del MEN. </v>
          </cell>
          <cell r="K217" t="str">
            <v>GERMÁN EDUARDO TORO ROSERO</v>
          </cell>
          <cell r="L217" t="str">
            <v>LUIS FERNANDO CÁRDENAS URAN</v>
          </cell>
          <cell r="M217">
            <v>45862</v>
          </cell>
          <cell r="N217">
            <v>45862</v>
          </cell>
          <cell r="O217">
            <v>45862</v>
          </cell>
          <cell r="P217" t="str">
            <v>Visitas de evaluación con fines de mejoramiento</v>
          </cell>
          <cell r="Q217" t="str">
            <v>ACTA DE VISITA INSTITUTO YOLKIN.pdf</v>
          </cell>
          <cell r="R217" t="str">
            <v xml:space="preserve">La IE  no evidencia para la presente vigencia consultas por delitos sexuales del personal vinculado </v>
          </cell>
          <cell r="S217" t="str">
            <v>La IE debe verificar cada 4 meses las inhabilidades del personal vinculado por delitos sexuales.</v>
          </cell>
          <cell r="T217" t="str">
            <v>Si</v>
          </cell>
          <cell r="U217" t="str">
            <v xml:space="preserve">Seguimiento al cumplimiento del plan de mejoramiento. Se realiza mesa de seguimiento el día 29 de septiembre 2025. Se validará el cumplimiento total del plan de mejoramiento el 30 de noviembre. </v>
          </cell>
        </row>
        <row r="218">
          <cell r="A218">
            <v>1186</v>
          </cell>
          <cell r="B218"/>
          <cell r="C218" t="str">
            <v>KENNEDY</v>
          </cell>
          <cell r="D218" t="str">
            <v>PRIVADO</v>
          </cell>
          <cell r="E218" t="str">
            <v>EPBM</v>
          </cell>
          <cell r="F218" t="str">
            <v>INSTITUTO_YOLKIN</v>
          </cell>
          <cell r="G218" t="str">
            <v>INSTITUTO YOLKIN</v>
          </cell>
          <cell r="H218" t="str">
            <v>Autoevaluación Institucional y Pruebas SABER 11</v>
          </cell>
          <cell r="I218" t="str">
            <v>EVALUACIÓN_CON_FINES_DE_MEJORAMIENTO.</v>
          </cell>
          <cell r="J21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18" t="str">
            <v>GERMÁN EDUARDO TORO ROSERO</v>
          </cell>
          <cell r="L218" t="str">
            <v>LUIS FERNANDO CÁRDENAS URAN</v>
          </cell>
          <cell r="M218">
            <v>45862</v>
          </cell>
          <cell r="N218">
            <v>45862</v>
          </cell>
          <cell r="O218">
            <v>45862</v>
          </cell>
          <cell r="P218" t="str">
            <v>Visitas de evaluación con fines de mejoramiento</v>
          </cell>
          <cell r="Q218" t="str">
            <v>ACTA DE VISITA INSTITUTO YOLKIN.pdf</v>
          </cell>
          <cell r="R218" t="str">
            <v xml:space="preserve">El manual de convivencia presenta protocolos de atención propios de la IE, pero están incompletos si se tiene en cuenta los establecidos por la SED, no cuenta con un plan de acción de que dé cuenta de la ruta integral de atención y no incluye los enfoques de género, diferencial por orientación sexual e identidad de género y enfoque restaurativo. </v>
          </cell>
          <cell r="S218" t="str">
            <v xml:space="preserve">Ajustar el Manual de Convivencia en lo relacionado a los protocolos de atención (ajustar o adoptar los protocolos V5 de la SED), Incluir en el manual de convivencia el plan de acción que da cuenta de las acciones de promoción, prevención y seguimiento de la ruta de atención integral. Incluir y desarrollar los enfoques de género, diferencial por orientación sexual e identidad de género y enfoque restaurativo. </v>
          </cell>
          <cell r="T218" t="str">
            <v>SI</v>
          </cell>
          <cell r="U218" t="str">
            <v xml:space="preserve">Seguimiento al cumplimiento de las acciones de mejoramiento. Se realiza mesa de seguimiento el día 29 de septiembre 2025. Se validará el cumplimiento total del plan de mejoramiento el 30 de noviembre. </v>
          </cell>
        </row>
        <row r="219">
          <cell r="A219">
            <v>1187</v>
          </cell>
          <cell r="B219"/>
          <cell r="C219" t="str">
            <v>KENNEDY</v>
          </cell>
          <cell r="D219" t="str">
            <v>PRIVADO</v>
          </cell>
          <cell r="E219" t="str">
            <v>EPBM</v>
          </cell>
          <cell r="F219" t="str">
            <v>INSTITUTO_YOLKIN</v>
          </cell>
          <cell r="G219" t="str">
            <v>INSTITUTO YOLKIN</v>
          </cell>
          <cell r="H219" t="str">
            <v>Autoevaluación Institucional y Pruebas SABER 11</v>
          </cell>
          <cell r="I219" t="str">
            <v>EVALUACIÓN_CON_FINES_DE_MEJORAMIENTO.</v>
          </cell>
          <cell r="J219" t="str">
            <v>Revisar la actualización, socialización e implementación del Sistema Institucional de Evaluación de Estudiantes - SIEE, en articulación con la actualización del PEI y la normatividad vigente.</v>
          </cell>
          <cell r="K219" t="str">
            <v>GERMÁN EDUARDO TORO ROSERO</v>
          </cell>
          <cell r="L219" t="str">
            <v>LUIS FERNANDO CÁRDENAS URAN</v>
          </cell>
          <cell r="M219">
            <v>45862</v>
          </cell>
          <cell r="N219">
            <v>45862</v>
          </cell>
          <cell r="O219">
            <v>45862</v>
          </cell>
          <cell r="P219" t="str">
            <v>Visitas de evaluación con fines de mejoramiento</v>
          </cell>
          <cell r="Q219" t="str">
            <v>ACTA DE VISITA INSTITUTO YOLKIN.pdf</v>
          </cell>
          <cell r="R219" t="str">
            <v>El SIEE de la IE no desarrolla un proceso de valoración y seguimiento del aprendizaje de los estudiantes del nivel de preescolar.</v>
          </cell>
          <cell r="S219" t="str">
            <v>La IE debe incluir en el SIEE proceso de valoración y seguimiento del aprendizaje de los estudiantes del nivel de preescolar.</v>
          </cell>
          <cell r="T219" t="str">
            <v>Si</v>
          </cell>
          <cell r="U219" t="str">
            <v xml:space="preserve">Seguimiento al cumplimiento de las acciones de mejoramiento. Se realiza mesa de seguimiento el día 29 de septiembre 2025. Se validará el cumplimiento total del plan de mejoramiento el 30 de noviembre. </v>
          </cell>
        </row>
        <row r="220">
          <cell r="A220">
            <v>1188</v>
          </cell>
          <cell r="B220"/>
          <cell r="C220" t="str">
            <v>KENNEDY</v>
          </cell>
          <cell r="D220" t="str">
            <v>PRIVADO</v>
          </cell>
          <cell r="E220" t="str">
            <v>EPBM</v>
          </cell>
          <cell r="F220" t="str">
            <v>INSTITUTO_YOLKIN</v>
          </cell>
          <cell r="G220" t="str">
            <v>INSTITUTO YOLKIN</v>
          </cell>
          <cell r="H220" t="str">
            <v>Autoevaluación Institucional y Pruebas SABER 11</v>
          </cell>
          <cell r="I220" t="str">
            <v>EVALUACIÓN_CON_FINES_DE_MEJORAMIENTO.</v>
          </cell>
          <cell r="J220" t="str">
            <v>Revisar el calendario escolar, jornada escolar, la intensidad horaria mínima anual en cada nivel y las modificaciones que se realicen al mismo, de acuerdo con lo previsto en la normatividad vigente.</v>
          </cell>
          <cell r="K220" t="str">
            <v>GERMÁN EDUARDO TORO ROSERO</v>
          </cell>
          <cell r="L220" t="str">
            <v>LUIS FERNANDO CÁRDENAS URAN</v>
          </cell>
          <cell r="M220">
            <v>45862</v>
          </cell>
          <cell r="N220">
            <v>45862</v>
          </cell>
          <cell r="O220">
            <v>45862</v>
          </cell>
          <cell r="P220" t="str">
            <v>Visitas de evaluación con fines de mejoramiento</v>
          </cell>
          <cell r="Q220" t="str">
            <v>ACTA DE VISITA INSTITUTO YOLKIN.pdf</v>
          </cell>
          <cell r="R220" t="str">
            <v>La IE cuenta con calendario escolar que da cuenta de su jornada escolar la intensidad horaria mínima anual en cada nivel y las modificaciones que se realicen al mismo, de acuerdo con lo previsto en la normatividad vigente.</v>
          </cell>
          <cell r="S220" t="str">
            <v>La IE garantiza el cumplimiento de la intensidad horaria mínima anual para cada uno de los niveles que ofrece</v>
          </cell>
          <cell r="T220" t="str">
            <v>No</v>
          </cell>
          <cell r="U220" t="str">
            <v>Seguimiento al cumplimiento del calendario escolar en la próxima vigencia.</v>
          </cell>
        </row>
        <row r="221">
          <cell r="A221">
            <v>1189</v>
          </cell>
          <cell r="B221"/>
          <cell r="C221" t="str">
            <v>KENNEDY</v>
          </cell>
          <cell r="D221" t="str">
            <v>PRIVADO</v>
          </cell>
          <cell r="E221" t="str">
            <v>EPBM</v>
          </cell>
          <cell r="F221" t="str">
            <v>INSTITUTO_YOLKIN</v>
          </cell>
          <cell r="G221" t="str">
            <v>INSTITUTO YOLKIN</v>
          </cell>
          <cell r="H221" t="str">
            <v>Autoevaluación Institucional y Pruebas SABER 11</v>
          </cell>
          <cell r="I221" t="str">
            <v>EVALUACIÓN_CON_FINES_DE_MEJORAMIENTO.</v>
          </cell>
          <cell r="J221" t="str">
            <v>Verificar el funcionamiento del Gobierno Escolar e instancias de participación con base en la información sobre conformación reportada por la institución educativa.</v>
          </cell>
          <cell r="K221" t="str">
            <v>GERMÁN EDUARDO TORO ROSERO</v>
          </cell>
          <cell r="L221" t="str">
            <v>LUIS FERNANDO CÁRDENAS URAN</v>
          </cell>
          <cell r="M221">
            <v>45862</v>
          </cell>
          <cell r="N221">
            <v>45862</v>
          </cell>
          <cell r="O221">
            <v>45862</v>
          </cell>
          <cell r="P221" t="str">
            <v>Visitas de evaluación con fines de mejoramiento</v>
          </cell>
          <cell r="Q221" t="str">
            <v>ACTA DE VISITA INSTITUTO YOLKIN.pdf</v>
          </cell>
          <cell r="R221" t="str">
            <v xml:space="preserve">La IE eligió y conformo el gobierno escolar y demás instancias de participación, sin embargo no cuenta con evidencias de su funcionamiento. </v>
          </cell>
          <cell r="S221" t="str">
            <v xml:space="preserve">la IE debe adelantar las acciones pertinentes para operativizar el funcionamiento del Gobierno escolar y demás instancias de participación. </v>
          </cell>
          <cell r="T221" t="str">
            <v>Si</v>
          </cell>
          <cell r="U221" t="str">
            <v xml:space="preserve">Seguimiento al cumplimiento de las acciones de mejoramiento Se realiza mesa de seguimiento el día 29 de septiembre 2025. Se validará el cumplimiento total del plan de mejoramiento el 30 de noviembre. </v>
          </cell>
        </row>
        <row r="222">
          <cell r="A222">
            <v>2792</v>
          </cell>
          <cell r="B222"/>
          <cell r="C222" t="str">
            <v>KENNEDY</v>
          </cell>
          <cell r="D222" t="str">
            <v>PRIVADO</v>
          </cell>
          <cell r="E222" t="str">
            <v>EPBM</v>
          </cell>
          <cell r="F222" t="str">
            <v>INSTITUTO_YOLKIN</v>
          </cell>
          <cell r="G222" t="str">
            <v>INSTITUTO YOLKIN</v>
          </cell>
          <cell r="H222" t="str">
            <v>Autoevaluación Institucional y Pruebas SABER 11</v>
          </cell>
          <cell r="I222" t="str">
            <v>EVALUACIÓN_CON_FINES_DE_MEJORAMIENTO.</v>
          </cell>
          <cell r="J222" t="str">
            <v>Verificar las condiciones en cuanto a: la estructura administrativa, condiciones de la planta física y medios educativos adecuados.</v>
          </cell>
          <cell r="K222" t="str">
            <v>GERMÁN EDUARDO TORO ROSERO</v>
          </cell>
          <cell r="L222" t="str">
            <v>LUIS FERNANDO CÁRDENAS URAN</v>
          </cell>
          <cell r="M222">
            <v>45862</v>
          </cell>
          <cell r="N222">
            <v>45862</v>
          </cell>
          <cell r="O222">
            <v>45862</v>
          </cell>
          <cell r="P222" t="str">
            <v>Visitas de evaluación con fines de mejoramiento</v>
          </cell>
          <cell r="Q222" t="str">
            <v>ACTA DE VISITA INSTITUTO YOLKIN.pdf</v>
          </cell>
          <cell r="R222" t="str">
            <v>La IE cuanta con una estructura física de cinco plantas con condiciones aceptables y medios educativos adecuados.</v>
          </cell>
          <cell r="S222" t="str">
            <v>Se recomienda a la IE cambiar los pupitres de los grados 2° y 5 ° ya que los mismos no son funcionales, es decir deben ser pupitres individuales.</v>
          </cell>
          <cell r="T222" t="str">
            <v>Si</v>
          </cell>
          <cell r="U222" t="str">
            <v xml:space="preserve">Seguimiento al cumplimiento de las acciones de mejoramiento Se realiza mesa de seguimiento el día 29 de septiembre 2025. Se validará el cumplimiento total del plan de mejoramiento el 30 de noviembre. </v>
          </cell>
        </row>
        <row r="223">
          <cell r="A223">
            <v>1190</v>
          </cell>
          <cell r="B223">
            <v>36</v>
          </cell>
          <cell r="C223" t="str">
            <v>KENNEDY</v>
          </cell>
          <cell r="D223" t="str">
            <v>PRIVADO</v>
          </cell>
          <cell r="E223" t="str">
            <v>EPBM</v>
          </cell>
          <cell r="F223" t="str">
            <v>LICEO_EMMANUELE_MARLUI</v>
          </cell>
          <cell r="G223" t="str">
            <v>LICEO EMMANUELE MARLUI</v>
          </cell>
          <cell r="H223" t="str">
            <v>Autoevaluación Institucional y Pruebas SABER 11</v>
          </cell>
          <cell r="I223" t="str">
            <v>SEGUIMIENTO_Y_SUPERVISIÓN.</v>
          </cell>
          <cell r="J223" t="str">
            <v>Realizar visitas para verificar la información registrada sobre la autoevaluación institucional en el aplicativo EVI, a los establecimientos de educación formal no oficial.</v>
          </cell>
          <cell r="K223" t="str">
            <v>LUCY GONZÁLEZ LERMA</v>
          </cell>
          <cell r="L223" t="str">
            <v xml:space="preserve">DIANA ZULAY HUERTAS ORTÍZ </v>
          </cell>
          <cell r="M223">
            <v>45867</v>
          </cell>
          <cell r="N223">
            <v>45867</v>
          </cell>
          <cell r="O223">
            <v>45867</v>
          </cell>
          <cell r="P223" t="str">
            <v>Visitas de evaluación con fines de mejoramiento</v>
          </cell>
          <cell r="Q223" t="str">
            <v>LICEO EMANUEL MARLUI.pdf</v>
          </cell>
          <cell r="R223" t="str">
            <v>La institución registra en el aplicativo EVI, la realidad institucional.</v>
          </cell>
          <cell r="S223" t="str">
            <v xml:space="preserve">Continuar registrando la realidad institucional en el aplicativo EVI. </v>
          </cell>
          <cell r="T223" t="str">
            <v>No</v>
          </cell>
          <cell r="U223" t="str">
            <v xml:space="preserve">El ELIV, verificará que la institución reporte la información que da cuenta de la realidad Institucional en el aplicativo EVI. </v>
          </cell>
        </row>
        <row r="224">
          <cell r="A224">
            <v>1191</v>
          </cell>
          <cell r="B224"/>
          <cell r="C224" t="str">
            <v>KENNEDY</v>
          </cell>
          <cell r="D224" t="str">
            <v>PRIVADO</v>
          </cell>
          <cell r="E224" t="str">
            <v>EPBM</v>
          </cell>
          <cell r="F224" t="str">
            <v>LICEO_EMMANUELE_MARLUI</v>
          </cell>
          <cell r="G224" t="str">
            <v>LICEO EMMANUELE MARLUI</v>
          </cell>
          <cell r="H224" t="str">
            <v>Autoevaluación Institucional y Pruebas SABER 11</v>
          </cell>
          <cell r="I224" t="str">
            <v>SEGUIMIENTO_Y_SUPERVISIÓN.</v>
          </cell>
          <cell r="J224" t="str">
            <v>Proponer estrategias en la formulación, verificar su elaboración y realizar seguimiento semestral al desarrollo de  las acciones establecidas en los planes de mejoramiento por pruebas SABER 11 de los establecimientos de educación formal.</v>
          </cell>
          <cell r="K224" t="str">
            <v>LUCY GONZÁLEZ LERMA</v>
          </cell>
          <cell r="L224" t="str">
            <v xml:space="preserve">DIANA ZULAY HUERTAS ORTÍZ </v>
          </cell>
          <cell r="M224">
            <v>45867</v>
          </cell>
          <cell r="N224">
            <v>45867</v>
          </cell>
          <cell r="O224">
            <v>45867</v>
          </cell>
          <cell r="P224" t="str">
            <v>Visitas de evaluación con fines de mejoramiento</v>
          </cell>
          <cell r="Q224" t="str">
            <v>LICEO EMANUEL MARLUI.pdf</v>
          </cell>
          <cell r="R224" t="str">
            <v xml:space="preserve">La Institución realiza un análisis de los resultados de pruebas SABER 11, manifiestan que plantea estrategias de mejoramiento pero no las documenta. </v>
          </cell>
          <cell r="S224" t="str">
            <v>Documentar el análisis de las pruebas SABER 11, las estrategias implementadas como Plan de Mejoramiento y aprobadas por el consejo Académico.</v>
          </cell>
          <cell r="T224" t="str">
            <v>Si</v>
          </cell>
          <cell r="U224" t="str">
            <v>El ELIV, verificará de acuerdo con la fecha registrada en el Plan de Mejoramiento las evidencias de la aprobación del consejo académico de las estrategias para mejorar resultados de Pruebas SABER 11. Se realiza mesa de seguimiento el 1 de octubre 2025.</v>
          </cell>
        </row>
        <row r="225">
          <cell r="A225">
            <v>1192</v>
          </cell>
          <cell r="B225"/>
          <cell r="C225" t="str">
            <v>KENNEDY</v>
          </cell>
          <cell r="D225" t="str">
            <v>PRIVADO</v>
          </cell>
          <cell r="E225" t="str">
            <v>EPBM</v>
          </cell>
          <cell r="F225" t="str">
            <v>LICEO_EMMANUELE_MARLUI</v>
          </cell>
          <cell r="G225" t="str">
            <v>LICEO EMMANUELE MARLUI</v>
          </cell>
          <cell r="H225" t="str">
            <v>Autoevaluación Institucional y Pruebas SABER 11</v>
          </cell>
          <cell r="I225" t="str">
            <v>SEGUIMIENTO_Y_SUPERVISIÓN.</v>
          </cell>
          <cell r="J225" t="str">
            <v xml:space="preserve">Verificar la implementación por parte de los colegios, de acciones realizadas para la prevención y atención de las situaciones de convivencia en el entorno escolar, según lo establecido en la Directiva 01 de 2022 del MEN. </v>
          </cell>
          <cell r="K225" t="str">
            <v>LUCY GONZÁLEZ LERMA</v>
          </cell>
          <cell r="L225" t="str">
            <v xml:space="preserve">DIANA ZULAY HUERTAS ORTÍZ </v>
          </cell>
          <cell r="M225">
            <v>45867</v>
          </cell>
          <cell r="N225">
            <v>45867</v>
          </cell>
          <cell r="O225">
            <v>45867</v>
          </cell>
          <cell r="P225" t="str">
            <v>Visitas de evaluación con fines de mejoramiento</v>
          </cell>
          <cell r="Q225" t="str">
            <v>LICEO EMANUEL MARLUI.pdf</v>
          </cell>
          <cell r="R225" t="str">
            <v>La Institución realiza acciones de prevención y atención de las situaciones de convivencia en el entorno escolar.</v>
          </cell>
          <cell r="S225" t="str">
            <v xml:space="preserve">Continuar realizando acciones de prevención y atención de las situaciones de convivencia escolar. </v>
          </cell>
          <cell r="T225" t="str">
            <v>No</v>
          </cell>
          <cell r="U225" t="str">
            <v>Verificar que las acciones de prevención y atención de las situaciones de convivencia en el entorno escolar se continúen realizando.</v>
          </cell>
        </row>
        <row r="226">
          <cell r="A226">
            <v>1193</v>
          </cell>
          <cell r="B226"/>
          <cell r="C226" t="str">
            <v>KENNEDY</v>
          </cell>
          <cell r="D226" t="str">
            <v>PRIVADO</v>
          </cell>
          <cell r="E226" t="str">
            <v>EPBM</v>
          </cell>
          <cell r="F226" t="str">
            <v>LICEO_EMMANUELE_MARLUI</v>
          </cell>
          <cell r="G226" t="str">
            <v>LICEO EMMANUELE MARLUI</v>
          </cell>
          <cell r="H226" t="str">
            <v>Autoevaluación Institucional y Pruebas SABER 11</v>
          </cell>
          <cell r="I226" t="str">
            <v>SEGUIMIENTO_Y_SUPERVISIÓN.</v>
          </cell>
          <cell r="J22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26" t="str">
            <v>LUCY GONZÁLEZ LERMA</v>
          </cell>
          <cell r="L226" t="str">
            <v xml:space="preserve">DIANA ZULAY HUERTAS ORTÍZ </v>
          </cell>
          <cell r="M226">
            <v>45867</v>
          </cell>
          <cell r="N226">
            <v>45867</v>
          </cell>
          <cell r="O226">
            <v>45867</v>
          </cell>
          <cell r="P226" t="str">
            <v>Visitas de evaluación con fines de mejoramiento</v>
          </cell>
          <cell r="Q226" t="str">
            <v>LICEO EMANUEL MARLUI.pdf</v>
          </cell>
          <cell r="R226" t="str">
            <v xml:space="preserve">La institución informa que no cuenta con población con discapacidad, trastornos de aprendizaje ni talentos excepcionales que requieran la implementación de un PIAR. </v>
          </cell>
          <cell r="S226" t="str">
            <v xml:space="preserve">Seguir caracterizando la población para realizar los ajustes necesarios cuando se identifique un estudiante con discapacidad, trastorno de aprendizaje o talento excepcional. </v>
          </cell>
          <cell r="T226" t="str">
            <v>No</v>
          </cell>
          <cell r="U226" t="str">
            <v xml:space="preserve">Verificar acciones de identificación de población con discapacidad, trastornos de aprendizaje o talentos excepcionales con el fin de realizar ajustes necesarios. </v>
          </cell>
        </row>
        <row r="227">
          <cell r="A227">
            <v>1194</v>
          </cell>
          <cell r="B227"/>
          <cell r="C227" t="str">
            <v>KENNEDY</v>
          </cell>
          <cell r="D227" t="str">
            <v>PRIVADO</v>
          </cell>
          <cell r="E227" t="str">
            <v>EPBM</v>
          </cell>
          <cell r="F227" t="str">
            <v>LICEO_EMMANUELE_MARLUI</v>
          </cell>
          <cell r="G227" t="str">
            <v>LICEO EMMANUELE MARLUI</v>
          </cell>
          <cell r="H227" t="str">
            <v>Autoevaluación Institucional y Pruebas SABER 11</v>
          </cell>
          <cell r="I227" t="str">
            <v>EVALUACIÓN_CON_FINES_DE_MEJORAMIENTO.</v>
          </cell>
          <cell r="J22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27" t="str">
            <v>LUCY GONZÁLEZ LERMA</v>
          </cell>
          <cell r="L227" t="str">
            <v xml:space="preserve">DIANA ZULAY HUERTAS ORTÍZ </v>
          </cell>
          <cell r="M227">
            <v>45867</v>
          </cell>
          <cell r="N227">
            <v>45867</v>
          </cell>
          <cell r="O227">
            <v>45867</v>
          </cell>
          <cell r="P227" t="str">
            <v>Visitas de evaluación con fines de mejoramiento</v>
          </cell>
          <cell r="Q227" t="str">
            <v>LICEO EMANUEL MARLUI.pdf</v>
          </cell>
          <cell r="R227" t="str">
            <v xml:space="preserve">La institución no cuenta con un manual de convivencia actualizado. en relación aspectos disciplinarios, situaciones de convivencia y enfoques de derechos, restaurativos y de diversidad de género. </v>
          </cell>
          <cell r="S227" t="str">
            <v>Actualizar el manual de convivencia involucrando los enfoques restaurativo, de derechos y de diversidad de género.</v>
          </cell>
          <cell r="T227" t="str">
            <v>SI</v>
          </cell>
          <cell r="U227" t="str">
            <v>El ELIV, revisará la actualización del manual de convivencia de acuerdo a la normatividad vigente. Se realiza mesa de seguimiento el 1 de octubre 2025.</v>
          </cell>
        </row>
        <row r="228">
          <cell r="A228">
            <v>1195</v>
          </cell>
          <cell r="B228"/>
          <cell r="C228" t="str">
            <v>KENNEDY</v>
          </cell>
          <cell r="D228" t="str">
            <v>PRIVADO</v>
          </cell>
          <cell r="E228" t="str">
            <v>EPBM</v>
          </cell>
          <cell r="F228" t="str">
            <v>LICEO_EMMANUELE_MARLUI</v>
          </cell>
          <cell r="G228" t="str">
            <v>LICEO EMMANUELE MARLUI</v>
          </cell>
          <cell r="H228" t="str">
            <v>Autoevaluación Institucional y Pruebas SABER 11</v>
          </cell>
          <cell r="I228" t="str">
            <v>EVALUACIÓN_CON_FINES_DE_MEJORAMIENTO.</v>
          </cell>
          <cell r="J228" t="str">
            <v>Revisar la actualización, socialización e implementación del Sistema Institucional de Evaluación de Estudiantes - SIEE, en articulación con la actualización del PEI y la normatividad vigente.</v>
          </cell>
          <cell r="K228" t="str">
            <v>LUCY GONZÁLEZ LERMA</v>
          </cell>
          <cell r="L228" t="str">
            <v xml:space="preserve">DIANA ZULAY HUERTAS ORTÍZ </v>
          </cell>
          <cell r="M228">
            <v>45867</v>
          </cell>
          <cell r="N228">
            <v>45867</v>
          </cell>
          <cell r="O228">
            <v>45867</v>
          </cell>
          <cell r="P228" t="str">
            <v>Visitas de evaluación con fines de mejoramiento</v>
          </cell>
          <cell r="Q228" t="str">
            <v>LICEO EMANUEL MARLUI.pdf</v>
          </cell>
          <cell r="R228" t="str">
            <v xml:space="preserve">El Sistema Institucional de Evaluación  contempla evidencias de su ejecución a través de la plataforma Class Room, además, cuenta con estrategias de apoyo para resolver situaciones académicas  de los estudiantes. </v>
          </cell>
          <cell r="S228" t="str">
            <v xml:space="preserve">Mantener actualizada la información en la plataforma dispuesta por la institución y hacer seguimiento y ajustes cuando se requieran. </v>
          </cell>
          <cell r="T228" t="str">
            <v>No</v>
          </cell>
          <cell r="U228" t="str">
            <v>El ELIV verificará en la próxima vigencia el desarrollo de las acciones previstas en el SIEE.</v>
          </cell>
        </row>
        <row r="229">
          <cell r="A229">
            <v>1196</v>
          </cell>
          <cell r="B229"/>
          <cell r="C229" t="str">
            <v>KENNEDY</v>
          </cell>
          <cell r="D229" t="str">
            <v>PRIVADO</v>
          </cell>
          <cell r="E229" t="str">
            <v>EPBM</v>
          </cell>
          <cell r="F229" t="str">
            <v>LICEO_EMMANUELE_MARLUI</v>
          </cell>
          <cell r="G229" t="str">
            <v>LICEO EMMANUELE MARLUI</v>
          </cell>
          <cell r="H229" t="str">
            <v>Autoevaluación Institucional y Pruebas SABER 11</v>
          </cell>
          <cell r="I229" t="str">
            <v>EVALUACIÓN_CON_FINES_DE_MEJORAMIENTO.</v>
          </cell>
          <cell r="J229" t="str">
            <v>Revisar el calendario escolar, jornada escolar, la intensidad horaria mínima anual en cada nivel y las modificaciones que se realicen al mismo, de acuerdo con lo previsto en la normatividad vigente.</v>
          </cell>
          <cell r="K229" t="str">
            <v>LUCY GONZÁLEZ LERMA</v>
          </cell>
          <cell r="L229" t="str">
            <v xml:space="preserve">DIANA ZULAY HUERTAS ORTÍZ </v>
          </cell>
          <cell r="M229">
            <v>45867</v>
          </cell>
          <cell r="N229">
            <v>45867</v>
          </cell>
          <cell r="O229">
            <v>45867</v>
          </cell>
          <cell r="P229" t="str">
            <v>Visitas de evaluación con fines de mejoramiento</v>
          </cell>
          <cell r="Q229" t="str">
            <v>LICEO EMANUEL MARLUI.pdf</v>
          </cell>
          <cell r="R229" t="str">
            <v>La IE cuenta con calendario escolar que da cuenta de su jornada escolar la intensidad horaria mínima anual en cada nivel , de acuerdo con lo previsto en la normatividad vigente.</v>
          </cell>
          <cell r="S229" t="str">
            <v>La IE garantiza el cumplimiento de la intensidad horaria mínima anual para cada uno de los niveles que ofrece</v>
          </cell>
          <cell r="T229" t="str">
            <v>No</v>
          </cell>
          <cell r="U229" t="str">
            <v>Seguimiento al cumplimiento del calendario escolar en la próxima vigencia.</v>
          </cell>
        </row>
        <row r="230">
          <cell r="A230">
            <v>1197</v>
          </cell>
          <cell r="B230"/>
          <cell r="C230" t="str">
            <v>KENNEDY</v>
          </cell>
          <cell r="D230" t="str">
            <v>PRIVADO</v>
          </cell>
          <cell r="E230" t="str">
            <v>EPBM</v>
          </cell>
          <cell r="F230" t="str">
            <v>LICEO_EMMANUELE_MARLUI</v>
          </cell>
          <cell r="G230" t="str">
            <v>LICEO EMMANUELE MARLUI</v>
          </cell>
          <cell r="H230" t="str">
            <v>Autoevaluación Institucional y Pruebas SABER 11</v>
          </cell>
          <cell r="I230" t="str">
            <v>EVALUACIÓN_CON_FINES_DE_MEJORAMIENTO.</v>
          </cell>
          <cell r="J230" t="str">
            <v>Verificar el funcionamiento del Gobierno Escolar e instancias de participación con base en la información sobre conformación reportada por la institución educativa.</v>
          </cell>
          <cell r="K230" t="str">
            <v>LUCY GONZÁLEZ LERMA</v>
          </cell>
          <cell r="L230" t="str">
            <v xml:space="preserve">DIANA ZULAY HUERTAS ORTÍZ </v>
          </cell>
          <cell r="M230">
            <v>45867</v>
          </cell>
          <cell r="N230">
            <v>45867</v>
          </cell>
          <cell r="O230">
            <v>45867</v>
          </cell>
          <cell r="P230" t="str">
            <v>Visitas de evaluación con fines de mejoramiento</v>
          </cell>
          <cell r="Q230" t="str">
            <v>LICEO EMANUEL MARLUI.pdf</v>
          </cell>
          <cell r="R230" t="str">
            <v>La institución educativa presenta actas de conformación y funcionamiento, evidenciándose todo lo relacionado con el proceso de convocatoria y elección del gobierno escolar y demás instancias de participación. Las actas están subidas al SAE</v>
          </cell>
          <cell r="S230" t="str">
            <v>Seguir garantizado la aplicación del Debido proceso en todas las instancias de la comunidad educativa  en todas sus actuaciones.</v>
          </cell>
          <cell r="T230" t="str">
            <v>No</v>
          </cell>
          <cell r="U230" t="str">
            <v>Verificar que la información subida en el SAE se encuentre completa y acorde a lo solicitado.</v>
          </cell>
        </row>
        <row r="231">
          <cell r="A231">
            <v>2793</v>
          </cell>
          <cell r="B231"/>
          <cell r="C231" t="str">
            <v>KENNEDY</v>
          </cell>
          <cell r="D231" t="str">
            <v>PRIVADO</v>
          </cell>
          <cell r="E231" t="str">
            <v>EPBM</v>
          </cell>
          <cell r="F231" t="str">
            <v>LICEO_EMMANUELE_MARLUI</v>
          </cell>
          <cell r="G231" t="str">
            <v>LICEO EMMANUELE MARLUI</v>
          </cell>
          <cell r="H231" t="str">
            <v>Autoevaluación Institucional y Pruebas SABER 11</v>
          </cell>
          <cell r="I231" t="str">
            <v>EVALUACIÓN_CON_FINES_DE_MEJORAMIENTO.</v>
          </cell>
          <cell r="J231" t="str">
            <v>Verificar las condiciones en cuanto a: la estructura administrativa, condiciones de la planta física y medios educativos adecuados.</v>
          </cell>
          <cell r="K231" t="str">
            <v>LUCY GONZÁLEZ LERMA</v>
          </cell>
          <cell r="L231" t="str">
            <v xml:space="preserve">DIANA ZULAY HUERTAS ORTÍZ </v>
          </cell>
          <cell r="M231">
            <v>45867</v>
          </cell>
          <cell r="N231">
            <v>45867</v>
          </cell>
          <cell r="O231">
            <v>45867</v>
          </cell>
          <cell r="P231" t="str">
            <v>Visitas de evaluación con fines de mejoramiento</v>
          </cell>
          <cell r="Q231" t="str">
            <v>LICEO EMANUEL MARLUI.pdf</v>
          </cell>
          <cell r="R231" t="str">
            <v>La IE cumple con las condiciones de estructura administrativa, condiciones de la planta física y medios educativos adecuados.</v>
          </cell>
          <cell r="S231" t="str">
            <v>La IE debe mantener las condiciones de prestación del servicio, en cuanto estructura administrativa, planta física y medios educativos. Debe adecuar su organigrama, manual de funciones y perfiles de cargo.</v>
          </cell>
          <cell r="T231" t="str">
            <v>SI</v>
          </cell>
          <cell r="U231" t="str">
            <v>El ELIV verificará que se mantengan las condiciones de prestación del servicio. y la actualización del organigrama, manual de funciones y perfiles de cargo. Se realiza mesa de seguimiento el 1 de octubre 2025.</v>
          </cell>
        </row>
        <row r="232">
          <cell r="A232">
            <v>1198</v>
          </cell>
          <cell r="B232">
            <v>37</v>
          </cell>
          <cell r="C232" t="str">
            <v>KENNEDY</v>
          </cell>
          <cell r="D232" t="str">
            <v>PRIVADO</v>
          </cell>
          <cell r="E232" t="str">
            <v>EPBM</v>
          </cell>
          <cell r="F232" t="str">
            <v>LICEO_LUTHER_KING</v>
          </cell>
          <cell r="G232" t="str">
            <v>LICEO LUTHER KING</v>
          </cell>
          <cell r="H232" t="str">
            <v>Autoevaluación Institucional y Pruebas SABER 11</v>
          </cell>
          <cell r="I232" t="str">
            <v>SEGUIMIENTO_Y_SUPERVISIÓN.</v>
          </cell>
          <cell r="J232" t="str">
            <v>Realizar visitas para verificar la información registrada sobre la autoevaluación institucional en el aplicativo EVI, a los establecimientos de educación formal no oficial.</v>
          </cell>
          <cell r="K232" t="str">
            <v>ADRIANA VENEGAS VALERA</v>
          </cell>
          <cell r="L232" t="str">
            <v>VIVANA PILAR BOHÓRQUEZ DÍAZ</v>
          </cell>
          <cell r="M232">
            <v>45868</v>
          </cell>
          <cell r="N232">
            <v>45868</v>
          </cell>
          <cell r="O232">
            <v>45868</v>
          </cell>
          <cell r="P232" t="str">
            <v>Visitas de evaluación con fines de mejoramiento</v>
          </cell>
          <cell r="Q232" t="str">
            <v>LICEO LUTHER KING.pdf</v>
          </cell>
          <cell r="R232" t="str">
            <v>La institución educativa registra en el aplicativo EVI, la realidad institucional.</v>
          </cell>
          <cell r="S232" t="str">
            <v>Registrar la información en el aplicativo EVI en los tiempos en los que disponga el MEN.</v>
          </cell>
          <cell r="T232" t="str">
            <v>No</v>
          </cell>
          <cell r="U232" t="str">
            <v xml:space="preserve">El ELIV, verificará que la institución reporte la información que da cuenta de la realidad Institucional en el aplicativo EVI. </v>
          </cell>
        </row>
        <row r="233">
          <cell r="A233">
            <v>1199</v>
          </cell>
          <cell r="B233"/>
          <cell r="C233" t="str">
            <v>KENNEDY</v>
          </cell>
          <cell r="D233" t="str">
            <v>PRIVADO</v>
          </cell>
          <cell r="E233" t="str">
            <v>EPBM</v>
          </cell>
          <cell r="F233" t="str">
            <v>LICEO_LUTHER_KING</v>
          </cell>
          <cell r="G233" t="str">
            <v>LICEO LUTHER KING</v>
          </cell>
          <cell r="H233" t="str">
            <v>Autoevaluación Institucional y Pruebas SABER 11</v>
          </cell>
          <cell r="I233" t="str">
            <v>SEGUIMIENTO_Y_SUPERVISIÓN.</v>
          </cell>
          <cell r="J233" t="str">
            <v>Proponer estrategias en la formulación, verificar su elaboración y realizar seguimiento semestral al desarrollo de  las acciones establecidas en los planes de mejoramiento por pruebas SABER 11 de los establecimientos de educación formal.</v>
          </cell>
          <cell r="K233" t="str">
            <v>ADRIANA VENEGAS VALERA</v>
          </cell>
          <cell r="L233" t="str">
            <v>VIVANA PILAR BOHÓRQUEZ DÍAZ</v>
          </cell>
          <cell r="M233">
            <v>45868</v>
          </cell>
          <cell r="N233">
            <v>45868</v>
          </cell>
          <cell r="O233">
            <v>45868</v>
          </cell>
          <cell r="P233" t="str">
            <v>Visitas de evaluación con fines de mejoramiento</v>
          </cell>
          <cell r="Q233" t="str">
            <v>LICEO LUTHER KING.pdf</v>
          </cell>
          <cell r="R233" t="str">
            <v>La IE realizó un balance general de los resultados de las pruebas SABER 11 de los últimos 5 años, a partir del cual  diseño un plan de mejoramiento y se encuentra adelantando las estrategias de mejora entre las que se encuentra la realización simulacros de pruebas.</v>
          </cell>
          <cell r="S233" t="str">
            <v xml:space="preserve">Continuar implementando las acciones diseñadas en el plan de mejoramiento de las pruebas SABER 11. </v>
          </cell>
          <cell r="T233" t="str">
            <v>No</v>
          </cell>
          <cell r="U233" t="str">
            <v>Seguimiento a las acciones previstas en la próxima vigencia.</v>
          </cell>
        </row>
        <row r="234">
          <cell r="A234">
            <v>1201</v>
          </cell>
          <cell r="B234"/>
          <cell r="C234" t="str">
            <v>KENNEDY</v>
          </cell>
          <cell r="D234" t="str">
            <v>PRIVADO</v>
          </cell>
          <cell r="E234" t="str">
            <v>EPBM</v>
          </cell>
          <cell r="F234" t="str">
            <v>LICEO_LUTHER_KING</v>
          </cell>
          <cell r="G234" t="str">
            <v>LICEO LUTHER KING</v>
          </cell>
          <cell r="H234" t="str">
            <v>Autoevaluación Institucional y Pruebas SABER 11</v>
          </cell>
          <cell r="I234" t="str">
            <v>SEGUIMIENTO_Y_SUPERVISIÓN.</v>
          </cell>
          <cell r="J23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34" t="str">
            <v>ADRIANA VENEGAS VALERA</v>
          </cell>
          <cell r="L234" t="str">
            <v>VIVANA PILAR BOHÓRQUEZ DÍAZ</v>
          </cell>
          <cell r="M234">
            <v>45868</v>
          </cell>
          <cell r="N234">
            <v>45868</v>
          </cell>
          <cell r="O234">
            <v>45868</v>
          </cell>
          <cell r="P234" t="str">
            <v>Visitas de evaluación con fines de mejoramiento</v>
          </cell>
          <cell r="Q234" t="str">
            <v>LICEO LUTHER KING.pdf</v>
          </cell>
          <cell r="R234" t="str">
            <v xml:space="preserve">Las y los estudiantes cuentan con el Plan Individual de Ajustes Razonables, sin embargo, los ajustes planteados deben ser revisados puesto que se centran en los contenidos y no en las acciones, adaptaciones,
estrategias, apoyos, recursos o modificaciones
necesarias y adecuadas en el proceso de acompañamiento educativo, y el seguimiento también difiere de su propósito. </v>
          </cell>
          <cell r="S234" t="str">
            <v xml:space="preserve">Revisar los Planes Individuales de Ajustes Razonables, de tal manera que los ajustes y el seguimiento sean coherentes con la comprensión de estos conceptos. </v>
          </cell>
          <cell r="T234" t="str">
            <v>Si</v>
          </cell>
          <cell r="U234" t="str">
            <v xml:space="preserve">Seguimiento al cumplimiento de las acciones definidas en el Plan de Mejoramiento. Se realiza mesa de seguimiento el día 19 de septiembre 2025. Se validará el cumplimiento total del plan de mejoramiento el 13 de marzo 2025. </v>
          </cell>
        </row>
        <row r="235">
          <cell r="A235"/>
          <cell r="B235"/>
          <cell r="C235" t="str">
            <v>KENNEDY</v>
          </cell>
          <cell r="D235" t="str">
            <v>PRIVADO</v>
          </cell>
          <cell r="E235" t="str">
            <v>EPBM</v>
          </cell>
          <cell r="F235" t="str">
            <v>LICEO_LUTHER_KING</v>
          </cell>
          <cell r="G235" t="str">
            <v>LICEO LUTHER KING</v>
          </cell>
          <cell r="H235" t="str">
            <v>Autoevaluación Institucional y Pruebas SABER 11</v>
          </cell>
          <cell r="I235" t="str">
            <v>SEGUIMIENTO_Y_SUPERVISIÓN.</v>
          </cell>
          <cell r="J235" t="str">
            <v xml:space="preserve">Verificar la implementación por parte de los colegios, de acciones realizadas para la prevención y atención de las situaciones de convivencia en el entorno escolar, según lo establecido en la Directiva 01 de 2022 del MEN. </v>
          </cell>
          <cell r="K235" t="str">
            <v>ADRIANA VENEGAS VALERA</v>
          </cell>
          <cell r="L235" t="str">
            <v>VIVANA PILAR BOHÓRQUEZ DÍAZ</v>
          </cell>
          <cell r="M235">
            <v>45868</v>
          </cell>
          <cell r="N235">
            <v>45868</v>
          </cell>
          <cell r="O235">
            <v>45868</v>
          </cell>
          <cell r="P235" t="str">
            <v>Visitas de evaluación con fines de mejoramiento</v>
          </cell>
          <cell r="Q235" t="str">
            <v>LICEO LUTHER KING.pdf</v>
          </cell>
          <cell r="R235" t="str">
            <v>La Institución realiza acciones de prevención y atención de las situaciones de convivencia en el entorno escolar.</v>
          </cell>
          <cell r="S235" t="str">
            <v xml:space="preserve">Continuar realizando acciones de prevención y atención de las situaciones de convivencia escolar. </v>
          </cell>
          <cell r="T235" t="str">
            <v>No</v>
          </cell>
          <cell r="U235" t="str">
            <v>Verificar que las acciones de prevención y atención de las situaciones de convivencia en el entorno escolar se continúen realizando.</v>
          </cell>
        </row>
        <row r="236">
          <cell r="A236">
            <v>1202</v>
          </cell>
          <cell r="B236"/>
          <cell r="C236" t="str">
            <v>KENNEDY</v>
          </cell>
          <cell r="D236" t="str">
            <v>PRIVADO</v>
          </cell>
          <cell r="E236" t="str">
            <v>EPBM</v>
          </cell>
          <cell r="F236" t="str">
            <v>LICEO_LUTHER_KING</v>
          </cell>
          <cell r="G236" t="str">
            <v>LICEO LUTHER KING</v>
          </cell>
          <cell r="H236" t="str">
            <v>Autoevaluación Institucional y Pruebas SABER 11</v>
          </cell>
          <cell r="I236" t="str">
            <v>EVALUACIÓN_CON_FINES_DE_MEJORAMIENTO.</v>
          </cell>
          <cell r="J23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36" t="str">
            <v>ADRIANA VENEGAS VALERA</v>
          </cell>
          <cell r="L236" t="str">
            <v>VIVANA PILAR BOHÓRQUEZ DÍAZ</v>
          </cell>
          <cell r="M236">
            <v>45868</v>
          </cell>
          <cell r="N236">
            <v>45868</v>
          </cell>
          <cell r="O236">
            <v>45868</v>
          </cell>
          <cell r="P236" t="str">
            <v>Visitas de evaluación con fines de mejoramiento</v>
          </cell>
          <cell r="Q236" t="str">
            <v>LICEO LUTHER KING.pdf</v>
          </cell>
          <cell r="R236" t="str">
            <v xml:space="preserve">La institución educativa cuenta con un manual de convivencia robusto que incorpora los enfoques de derechos, diversidad e inclusión, sin embargo es necesario avanzar en la comprensión del enfoque de justicia restaurativa escolar. </v>
          </cell>
          <cell r="S236" t="str">
            <v xml:space="preserve">Actualizar el manual de convivencia incorporando el enfoque de justicia restaurativo escolar. </v>
          </cell>
          <cell r="T236" t="str">
            <v>Si</v>
          </cell>
          <cell r="U236" t="str">
            <v xml:space="preserve">Seguimiento al cumplimiento de las acciones definidas en el Plan de Mejoramiento. Seguimiento al cumplimiento de las acciones definidas en el Plan de Mejoramiento. Se realiza mesa de seguimiento el día 19 de septiembre 2025. Se validará el cumplimiento total del plan de mejoramiento el 13 de marzo 2025. </v>
          </cell>
        </row>
        <row r="237">
          <cell r="A237">
            <v>1203</v>
          </cell>
          <cell r="B237"/>
          <cell r="C237" t="str">
            <v>KENNEDY</v>
          </cell>
          <cell r="D237" t="str">
            <v>PRIVADO</v>
          </cell>
          <cell r="E237" t="str">
            <v>EPBM</v>
          </cell>
          <cell r="F237" t="str">
            <v>LICEO_LUTHER_KING</v>
          </cell>
          <cell r="G237" t="str">
            <v>LICEO LUTHER KING</v>
          </cell>
          <cell r="H237" t="str">
            <v>Autoevaluación Institucional y Pruebas SABER 11</v>
          </cell>
          <cell r="I237" t="str">
            <v>EVALUACIÓN_CON_FINES_DE_MEJORAMIENTO.</v>
          </cell>
          <cell r="J237" t="str">
            <v>Revisar la actualización, socialización e implementación del Sistema Institucional de Evaluación de Estudiantes - SIEE, en articulación con la actualización del PEI y la normatividad vigente.</v>
          </cell>
          <cell r="K237" t="str">
            <v>ADRIANA VENEGAS VALERA</v>
          </cell>
          <cell r="L237" t="str">
            <v>VIVANA PILAR BOHÓRQUEZ DÍAZ</v>
          </cell>
          <cell r="M237">
            <v>45868</v>
          </cell>
          <cell r="N237">
            <v>45868</v>
          </cell>
          <cell r="O237">
            <v>45868</v>
          </cell>
          <cell r="P237" t="str">
            <v>Visitas de evaluación con fines de mejoramiento</v>
          </cell>
          <cell r="Q237" t="str">
            <v>LICEO LUTHER KING.pdf</v>
          </cell>
          <cell r="R237" t="str">
            <v xml:space="preserve">La institución educativa cuenta con la plataforma Eduquality, en la cual se registran las evidencias del Sistema Institucional de Evaluación y el seguimiento a las estrategias de apoyo para resolver situaciones académicas de los estudiantes. </v>
          </cell>
          <cell r="S237" t="str">
            <v xml:space="preserve">Mantener actualizada la información en la plataforma. </v>
          </cell>
          <cell r="T237" t="str">
            <v>No</v>
          </cell>
          <cell r="U237" t="str">
            <v>El ELIV verificará en la próxima vigencia el desarrollo de las acciones previstas en el SIEE.</v>
          </cell>
        </row>
        <row r="238">
          <cell r="A238">
            <v>1204</v>
          </cell>
          <cell r="B238"/>
          <cell r="C238" t="str">
            <v>KENNEDY</v>
          </cell>
          <cell r="D238" t="str">
            <v>PRIVADO</v>
          </cell>
          <cell r="E238" t="str">
            <v>EPBM</v>
          </cell>
          <cell r="F238" t="str">
            <v>LICEO_LUTHER_KING</v>
          </cell>
          <cell r="G238" t="str">
            <v>LICEO LUTHER KING</v>
          </cell>
          <cell r="H238" t="str">
            <v>Autoevaluación Institucional y Pruebas SABER 11</v>
          </cell>
          <cell r="I238" t="str">
            <v>EVALUACIÓN_CON_FINES_DE_MEJORAMIENTO.</v>
          </cell>
          <cell r="J238" t="str">
            <v>Revisar el calendario escolar, jornada escolar, la intensidad horaria mínima anual en cada nivel y las modificaciones que se realicen al mismo, de acuerdo con lo previsto en la normatividad vigente.</v>
          </cell>
          <cell r="K238" t="str">
            <v>ADRIANA VENEGAS VALERA</v>
          </cell>
          <cell r="L238" t="str">
            <v>VIVANA PILAR BOHÓRQUEZ DÍAZ</v>
          </cell>
          <cell r="M238">
            <v>45868</v>
          </cell>
          <cell r="N238">
            <v>45868</v>
          </cell>
          <cell r="O238">
            <v>45868</v>
          </cell>
          <cell r="P238" t="str">
            <v>Visitas de evaluación con fines de mejoramiento</v>
          </cell>
          <cell r="Q238" t="str">
            <v>LICEO LUTHER KING.pdf</v>
          </cell>
          <cell r="R238" t="str">
            <v xml:space="preserve">La IE cuenta con el calendario escolar, el cual cumple con la  intensidad horaria mínima definida en la normatividad vigente y fue validado por el ELIV. </v>
          </cell>
          <cell r="S238" t="str">
            <v xml:space="preserve">Garantizar el cumplimiento de la intensidad horaria prevista en el calendario escolar. </v>
          </cell>
          <cell r="T238" t="str">
            <v>No</v>
          </cell>
          <cell r="U238" t="str">
            <v>Seguimiento al cumplimiento del calendario escolar en la próxima vigencia.</v>
          </cell>
        </row>
        <row r="239">
          <cell r="A239">
            <v>1205</v>
          </cell>
          <cell r="B239"/>
          <cell r="C239" t="str">
            <v>KENNEDY</v>
          </cell>
          <cell r="D239" t="str">
            <v>PRIVADO</v>
          </cell>
          <cell r="E239" t="str">
            <v>EPBM</v>
          </cell>
          <cell r="F239" t="str">
            <v>LICEO_LUTHER_KING</v>
          </cell>
          <cell r="G239" t="str">
            <v>LICEO LUTHER KING</v>
          </cell>
          <cell r="H239" t="str">
            <v>Autoevaluación Institucional y Pruebas SABER 11</v>
          </cell>
          <cell r="I239" t="str">
            <v>EVALUACIÓN_CON_FINES_DE_MEJORAMIENTO.</v>
          </cell>
          <cell r="J239" t="str">
            <v>Verificar el funcionamiento del Gobierno Escolar e instancias de participación con base en la información sobre conformación reportada por la institución educativa.</v>
          </cell>
          <cell r="K239" t="str">
            <v>ADRIANA VENEGAS VALERA</v>
          </cell>
          <cell r="L239" t="str">
            <v>VIVANA PILAR BOHÓRQUEZ DÍAZ</v>
          </cell>
          <cell r="M239">
            <v>45868</v>
          </cell>
          <cell r="N239">
            <v>45868</v>
          </cell>
          <cell r="O239">
            <v>45868</v>
          </cell>
          <cell r="P239" t="str">
            <v>Visitas de evaluación con fines de mejoramiento</v>
          </cell>
          <cell r="Q239" t="str">
            <v>LICEO LUTHER KING.pdf</v>
          </cell>
          <cell r="R239" t="str">
            <v xml:space="preserve">La institución educativa realizo la conformación de las instancias de gobierno escolar y se evidencia la movilización de estos espacios en la toma de decisiones requeridas. </v>
          </cell>
          <cell r="S239" t="str">
            <v xml:space="preserve">Continuar la movilización de las instancias de participación del gobierno escolar. </v>
          </cell>
          <cell r="T239" t="str">
            <v>No</v>
          </cell>
          <cell r="U239" t="str">
            <v xml:space="preserve">Verificar la información registrada en el SAE en la próxima vigencia. </v>
          </cell>
        </row>
        <row r="240">
          <cell r="A240">
            <v>2794</v>
          </cell>
          <cell r="B240"/>
          <cell r="C240" t="str">
            <v>KENNEDY</v>
          </cell>
          <cell r="D240" t="str">
            <v>PRIVADO</v>
          </cell>
          <cell r="E240" t="str">
            <v>EPBM</v>
          </cell>
          <cell r="F240" t="str">
            <v>LICEO_LUTHER_KING</v>
          </cell>
          <cell r="G240" t="str">
            <v>LICEO LUTHER KING</v>
          </cell>
          <cell r="H240" t="str">
            <v>Autoevaluación Institucional y Pruebas SABER 11</v>
          </cell>
          <cell r="I240" t="str">
            <v>EVALUACIÓN_CON_FINES_DE_MEJORAMIENTO.</v>
          </cell>
          <cell r="J240" t="str">
            <v>Verificar las condiciones en cuanto a: la estructura administrativa, condiciones de la planta física y medios educativos adecuados.</v>
          </cell>
          <cell r="K240" t="str">
            <v>ADRIANA VENEGAS VALERA</v>
          </cell>
          <cell r="L240" t="str">
            <v>VIVANA PILAR BOHÓRQUEZ DÍAZ</v>
          </cell>
          <cell r="M240">
            <v>45868</v>
          </cell>
          <cell r="N240">
            <v>45868</v>
          </cell>
          <cell r="O240">
            <v>45868</v>
          </cell>
          <cell r="P240" t="str">
            <v>Visitas de evaluación con fines de mejoramiento</v>
          </cell>
          <cell r="Q240" t="str">
            <v>LICEO LUTHER KING.pdf</v>
          </cell>
          <cell r="R240" t="str">
            <v xml:space="preserve">La IE hace uso permanente del parque zonal cercano, para los momentos de receso escolar y no cuenta con el convenio de ambientes compartidos. </v>
          </cell>
          <cell r="S240" t="str">
            <v xml:space="preserve">Tramitar el convenio de ambientes compartidos, en el marco de la Resolución 1326 de 2023, para garantizar la seguridad de las y los estudiantes.  </v>
          </cell>
          <cell r="T240" t="str">
            <v>Si</v>
          </cell>
          <cell r="U240" t="str">
            <v xml:space="preserve">Seguimiento al cumplimiento de las acciones definidas en el Plan de Mejoramiento. Seguimiento al cumplimiento de las acciones definidas en el Plan de Mejoramiento. Se realiza mesa de seguimiento el día 19 de septiembre 2025. Se validará el cumplimiento total del plan de mejoramiento el 13 de marzo 2025. </v>
          </cell>
        </row>
        <row r="241">
          <cell r="A241">
            <v>1206</v>
          </cell>
          <cell r="B241">
            <v>38</v>
          </cell>
          <cell r="C241" t="str">
            <v>KENNEDY</v>
          </cell>
          <cell r="D241" t="str">
            <v>PRIVADO</v>
          </cell>
          <cell r="E241" t="str">
            <v>EPBM</v>
          </cell>
          <cell r="F241" t="str">
            <v>LICEO_MODERNO_LEON_BAEZ</v>
          </cell>
          <cell r="G241" t="str">
            <v>LICEO MODERNO LEON BAEZ</v>
          </cell>
          <cell r="H241" t="str">
            <v>Autoevaluación Institucional y Pruebas SABER 11</v>
          </cell>
          <cell r="I241" t="str">
            <v>SEGUIMIENTO_Y_SUPERVISIÓN.</v>
          </cell>
          <cell r="J241" t="str">
            <v>Realizar visitas para verificar la información registrada sobre la autoevaluación institucional en el aplicativo EVI, a los establecimientos de educación formal no oficial.</v>
          </cell>
          <cell r="K241" t="str">
            <v>LUCY GONZÁLEZ LERMA</v>
          </cell>
          <cell r="L241" t="str">
            <v xml:space="preserve">DIANA ZULAY HUERTAS ORTÍZ </v>
          </cell>
          <cell r="M241">
            <v>45869</v>
          </cell>
          <cell r="N241">
            <v>45869</v>
          </cell>
          <cell r="O241">
            <v>45869</v>
          </cell>
          <cell r="P241" t="str">
            <v>Visitas de evaluación con fines de mejoramiento</v>
          </cell>
          <cell r="Q241" t="str">
            <v>LICEO MODERNO LEON BAEZ</v>
          </cell>
          <cell r="R241" t="str">
            <v xml:space="preserve">La institución no registra información en el EVI, que dé cuenta de la realidad institucional relacionada con la  biblioteca y ludoteca. </v>
          </cell>
          <cell r="S241" t="str">
            <v>Registrar en el aplicativo EVI, la información que dé cuenta de la realidad institucional.</v>
          </cell>
          <cell r="T241" t="str">
            <v>SI</v>
          </cell>
          <cell r="U241" t="str">
            <v>Verificar la información registrada en el aplicativo en la vigencia 2025.</v>
          </cell>
        </row>
        <row r="242">
          <cell r="A242">
            <v>1207</v>
          </cell>
          <cell r="B242"/>
          <cell r="C242" t="str">
            <v>KENNEDY</v>
          </cell>
          <cell r="D242" t="str">
            <v>PRIVADO</v>
          </cell>
          <cell r="E242" t="str">
            <v>EPBM</v>
          </cell>
          <cell r="F242" t="str">
            <v>LICEO_MODERNO_LEON_BAEZ</v>
          </cell>
          <cell r="G242" t="str">
            <v>LICEO MODERNO LEON BAEZ</v>
          </cell>
          <cell r="H242" t="str">
            <v>Autoevaluación Institucional y Pruebas SABER 11</v>
          </cell>
          <cell r="I242" t="str">
            <v>SEGUIMIENTO_Y_SUPERVISIÓN.</v>
          </cell>
          <cell r="J242" t="str">
            <v>Proponer estrategias en la formulación, verificar su elaboración y realizar seguimiento semestral al desarrollo de  las acciones establecidas en los planes de mejoramiento por pruebas SABER 11 de los establecimientos de educación formal.</v>
          </cell>
          <cell r="K242" t="str">
            <v>LUCY GONZÁLEZ LERMA</v>
          </cell>
          <cell r="L242" t="str">
            <v xml:space="preserve">DIANA ZULAY HUERTAS ORTÍZ </v>
          </cell>
          <cell r="M242">
            <v>45869</v>
          </cell>
          <cell r="N242">
            <v>45869</v>
          </cell>
          <cell r="O242">
            <v>45869</v>
          </cell>
          <cell r="P242" t="str">
            <v>Visitas de evaluación con fines de mejoramiento</v>
          </cell>
          <cell r="Q242" t="str">
            <v>LICEO MODERNO LEON BAEZ</v>
          </cell>
          <cell r="R242" t="str">
            <v>La IE desarrolla estrategias para analizar y realizar seguimiento a los resultados de prueba SABER 11.</v>
          </cell>
          <cell r="S242" t="str">
            <v xml:space="preserve">Continuar desarrollando estrategias en pro del mejoramiento de los resultados de las pruebas SABER. </v>
          </cell>
          <cell r="T242" t="str">
            <v>No</v>
          </cell>
          <cell r="U242" t="str">
            <v>ELIV, verificará el desarrollo de las estrategias planteadas por EE y el análisis de sus resultados.</v>
          </cell>
        </row>
        <row r="243">
          <cell r="A243">
            <v>1208</v>
          </cell>
          <cell r="B243"/>
          <cell r="C243" t="str">
            <v>KENNEDY</v>
          </cell>
          <cell r="D243" t="str">
            <v>PRIVADO</v>
          </cell>
          <cell r="E243" t="str">
            <v>EPBM</v>
          </cell>
          <cell r="F243" t="str">
            <v>LICEO_MODERNO_LEON_BAEZ</v>
          </cell>
          <cell r="G243" t="str">
            <v>LICEO MODERNO LEON BAEZ</v>
          </cell>
          <cell r="H243" t="str">
            <v>Autoevaluación Institucional y Pruebas SABER 11</v>
          </cell>
          <cell r="I243" t="str">
            <v>SEGUIMIENTO_Y_SUPERVISIÓN.</v>
          </cell>
          <cell r="J243" t="str">
            <v xml:space="preserve">Verificar la implementación por parte de los colegios, de acciones realizadas para la prevención y atención de las situaciones de convivencia en el entorno escolar, según lo establecido en la Directiva 01 de 2022 del MEN. </v>
          </cell>
          <cell r="K243" t="str">
            <v>LUCY GONZÁLEZ LERMA</v>
          </cell>
          <cell r="L243" t="str">
            <v xml:space="preserve">DIANA ZULAY HUERTAS ORTÍZ </v>
          </cell>
          <cell r="M243">
            <v>45869</v>
          </cell>
          <cell r="N243">
            <v>45869</v>
          </cell>
          <cell r="O243">
            <v>45869</v>
          </cell>
          <cell r="P243" t="str">
            <v>Visitas de evaluación con fines de mejoramiento</v>
          </cell>
          <cell r="Q243" t="str">
            <v>LICEO MODERNO LEON BAEZ</v>
          </cell>
          <cell r="R243" t="str">
            <v>Se encuentra  documentada la ruta de atención y protocolos de atención en el manual de convivencia. La IE ha  reportado en el sistema  de alertas situaciones tipo II y III. Se han realizado las verificación de inhabilidades por delitos sexuales del personal vinculado.</v>
          </cell>
          <cell r="S243" t="str">
            <v>Continuar con el monitoreo de las situaciones de convivencia en el entorno escolar y con las acciones de prevención. Realizar el reporte en el sistema de alertas en caso de presentarse una situación de tipo II o III</v>
          </cell>
          <cell r="T243" t="str">
            <v>No</v>
          </cell>
          <cell r="U243" t="str">
            <v>En caso de presentarse una situación convivencial verificar la activación de ruta y el reporte en el sistema de alertas</v>
          </cell>
        </row>
        <row r="244">
          <cell r="A244">
            <v>1209</v>
          </cell>
          <cell r="B244"/>
          <cell r="C244" t="str">
            <v>KENNEDY</v>
          </cell>
          <cell r="D244" t="str">
            <v>PRIVADO</v>
          </cell>
          <cell r="E244" t="str">
            <v>EPBM</v>
          </cell>
          <cell r="F244" t="str">
            <v>LICEO_MODERNO_LEON_BAEZ</v>
          </cell>
          <cell r="G244" t="str">
            <v>LICEO MODERNO LEON BAEZ</v>
          </cell>
          <cell r="H244" t="str">
            <v>Autoevaluación Institucional y Pruebas SABER 11</v>
          </cell>
          <cell r="I244" t="str">
            <v>SEGUIMIENTO_Y_SUPERVISIÓN.</v>
          </cell>
          <cell r="J24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44" t="str">
            <v>LUCY GONZÁLEZ LERMA</v>
          </cell>
          <cell r="L244" t="str">
            <v xml:space="preserve">DIANA ZULAY HUERTAS ORTÍZ </v>
          </cell>
          <cell r="M244">
            <v>45869</v>
          </cell>
          <cell r="N244">
            <v>45869</v>
          </cell>
          <cell r="O244">
            <v>45869</v>
          </cell>
          <cell r="P244" t="str">
            <v>Visitas de evaluación con fines de mejoramiento</v>
          </cell>
          <cell r="Q244" t="str">
            <v>LICEO MODERNO LEON BAEZ</v>
          </cell>
          <cell r="R244" t="str">
            <v>La institución educativa cuenta con un carpeta de las niñas y los niños con discapacidad que incluye diagnóstico y recomendaciones médicas, por lo que hace falta la elaboración de los Planes Individuales de Ajustes Razonables de cada uno de los estudiantes en el formato  que permita el seguimiento individual, ya que cuenta con una flexibilización curricular sin evidencia de socialización con los padres de familia.</v>
          </cell>
          <cell r="S244" t="str">
            <v xml:space="preserve">Diseñar, implementar y hacer seguimiento a los Planes Individuales de Ajustes Razonables de las niñas y los niños que lo requieran. </v>
          </cell>
          <cell r="T244" t="str">
            <v>Si</v>
          </cell>
          <cell r="U244" t="str">
            <v>Seguimiento al cumplimiento de las acciones definidas en el Plan de Mejoramiento. Seguimiento al cumplimiento de las acciones definidas en el Plan de Mejoramiento. Se realiza mesa de seguimiento el día 22 de septiembre 2025.</v>
          </cell>
        </row>
        <row r="245">
          <cell r="A245">
            <v>1210</v>
          </cell>
          <cell r="B245"/>
          <cell r="C245" t="str">
            <v>KENNEDY</v>
          </cell>
          <cell r="D245" t="str">
            <v>PRIVADO</v>
          </cell>
          <cell r="E245" t="str">
            <v>EPBM</v>
          </cell>
          <cell r="F245" t="str">
            <v>LICEO_MODERNO_LEON_BAEZ</v>
          </cell>
          <cell r="G245" t="str">
            <v>LICEO MODERNO LEON BAEZ</v>
          </cell>
          <cell r="H245" t="str">
            <v>Autoevaluación Institucional y Pruebas SABER 11</v>
          </cell>
          <cell r="I245" t="str">
            <v>EVALUACIÓN_CON_FINES_DE_MEJORAMIENTO.</v>
          </cell>
          <cell r="J245"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45" t="str">
            <v>LUCY GONZÁLEZ LERMA</v>
          </cell>
          <cell r="L245" t="str">
            <v xml:space="preserve">DIANA ZULAY HUERTAS ORTÍZ </v>
          </cell>
          <cell r="M245">
            <v>45869</v>
          </cell>
          <cell r="N245">
            <v>45869</v>
          </cell>
          <cell r="O245">
            <v>45869</v>
          </cell>
          <cell r="P245" t="str">
            <v>Visitas de evaluación con fines de mejoramiento</v>
          </cell>
          <cell r="Q245" t="str">
            <v>LICEO MODERNO LEON BAEZ</v>
          </cell>
          <cell r="R245" t="str">
            <v>La IE no presenta evidencias de que el manual de convivencia haya sido elaborado y actualizado con la participación de toda la comunidad educativa, de igual manera el manual no presenta una estructura organizada y no incluye los enfoques de derechos humanos, genero, diversidad y enfoque restaurativo.</v>
          </cell>
          <cell r="S245" t="str">
            <v>La IE debe actualizar su manual de convivencia con la participación de toda la comunidad educativa, además incluir los enfoques de derechos humanos, genero, diversidad y enfoque restaurativo.</v>
          </cell>
          <cell r="T245" t="str">
            <v>Si</v>
          </cell>
          <cell r="U245" t="str">
            <v>Seguimiento al cumplimiento del plan de mejoramiento. Se realiza mesa de seguimiento el día 22 de septiembre 2025.</v>
          </cell>
        </row>
        <row r="246">
          <cell r="A246">
            <v>1211</v>
          </cell>
          <cell r="B246"/>
          <cell r="C246" t="str">
            <v>KENNEDY</v>
          </cell>
          <cell r="D246" t="str">
            <v>PRIVADO</v>
          </cell>
          <cell r="E246" t="str">
            <v>EPBM</v>
          </cell>
          <cell r="F246" t="str">
            <v>LICEO_MODERNO_LEON_BAEZ</v>
          </cell>
          <cell r="G246" t="str">
            <v>LICEO MODERNO LEON BAEZ</v>
          </cell>
          <cell r="H246" t="str">
            <v>Autoevaluación Institucional y Pruebas SABER 11</v>
          </cell>
          <cell r="I246" t="str">
            <v>EVALUACIÓN_CON_FINES_DE_MEJORAMIENTO.</v>
          </cell>
          <cell r="J246" t="str">
            <v>Revisar la actualización, socialización e implementación del Sistema Institucional de Evaluación de Estudiantes - SIEE, en articulación con la actualización del PEI y la normatividad vigente.</v>
          </cell>
          <cell r="K246" t="str">
            <v>LUCY GONZÁLEZ LERMA</v>
          </cell>
          <cell r="L246" t="str">
            <v xml:space="preserve">DIANA ZULAY HUERTAS ORTÍZ </v>
          </cell>
          <cell r="M246">
            <v>45869</v>
          </cell>
          <cell r="N246">
            <v>45869</v>
          </cell>
          <cell r="O246">
            <v>45869</v>
          </cell>
          <cell r="P246" t="str">
            <v>Visitas de evaluación con fines de mejoramiento</v>
          </cell>
          <cell r="Q246" t="str">
            <v>LICEO MODERNO LEON BAEZ</v>
          </cell>
          <cell r="R246" t="str">
            <v>El SIEE incorpora los elementos de ley e incluye las estrategias de apoyo para acompañar los procesos de los estudiantes con dificultades académicas</v>
          </cell>
          <cell r="S246" t="str">
            <v>Continuar con la socialización para la comunidad educativa del SIIE  en cada vigencias y cuando se actualice el mismo.</v>
          </cell>
          <cell r="T246" t="str">
            <v>No</v>
          </cell>
          <cell r="U246" t="str">
            <v>Validar las acciones planificadas por la institución educativa en su plan de mejora</v>
          </cell>
        </row>
        <row r="247">
          <cell r="A247">
            <v>1212</v>
          </cell>
          <cell r="B247"/>
          <cell r="C247" t="str">
            <v>KENNEDY</v>
          </cell>
          <cell r="D247" t="str">
            <v>PRIVADO</v>
          </cell>
          <cell r="E247" t="str">
            <v>EPBM</v>
          </cell>
          <cell r="F247" t="str">
            <v>LICEO_MODERNO_LEON_BAEZ</v>
          </cell>
          <cell r="G247" t="str">
            <v>LICEO MODERNO LEON BAEZ</v>
          </cell>
          <cell r="H247" t="str">
            <v>Autoevaluación Institucional y Pruebas SABER 11</v>
          </cell>
          <cell r="I247" t="str">
            <v>EVALUACIÓN_CON_FINES_DE_MEJORAMIENTO.</v>
          </cell>
          <cell r="J247" t="str">
            <v>Revisar el calendario escolar, jornada escolar, la intensidad horaria mínima anual en cada nivel y las modificaciones que se realicen al mismo, de acuerdo con lo previsto en la normatividad vigente.</v>
          </cell>
          <cell r="K247" t="str">
            <v>LUCY GONZÁLEZ LERMA</v>
          </cell>
          <cell r="L247" t="str">
            <v xml:space="preserve">DIANA ZULAY HUERTAS ORTÍZ </v>
          </cell>
          <cell r="M247">
            <v>45869</v>
          </cell>
          <cell r="N247">
            <v>45869</v>
          </cell>
          <cell r="O247">
            <v>45869</v>
          </cell>
          <cell r="P247" t="str">
            <v>Visitas de evaluación con fines de mejoramiento</v>
          </cell>
          <cell r="Q247" t="str">
            <v>LICEO MODERNO LEON BAEZ</v>
          </cell>
          <cell r="R247" t="str">
            <v>La IE cuenta con calendario escolar que da cuenta de su jornada escolar la intensidad horaria mínima anual en cada nivel , de acuerdo con lo previsto en la normatividad vigente.</v>
          </cell>
          <cell r="S247" t="str">
            <v>La IE garantiza el cumplimiento de la intensidad horaria mínima anual para cada uno de los niveles que ofrece</v>
          </cell>
          <cell r="T247" t="str">
            <v>No</v>
          </cell>
          <cell r="U247" t="str">
            <v>Seguimiento al cumplimiento del calendario escolar en la próxima vigencia.</v>
          </cell>
        </row>
        <row r="248">
          <cell r="A248">
            <v>1213</v>
          </cell>
          <cell r="B248"/>
          <cell r="C248" t="str">
            <v>KENNEDY</v>
          </cell>
          <cell r="D248" t="str">
            <v>PRIVADO</v>
          </cell>
          <cell r="E248" t="str">
            <v>EPBM</v>
          </cell>
          <cell r="F248" t="str">
            <v>LICEO_MODERNO_LEON_BAEZ</v>
          </cell>
          <cell r="G248" t="str">
            <v>LICEO MODERNO LEON BAEZ</v>
          </cell>
          <cell r="H248" t="str">
            <v>Autoevaluación Institucional y Pruebas SABER 11</v>
          </cell>
          <cell r="I248" t="str">
            <v>EVALUACIÓN_CON_FINES_DE_MEJORAMIENTO.</v>
          </cell>
          <cell r="J248" t="str">
            <v>Verificar el funcionamiento del Gobierno Escolar e instancias de participación con base en la información sobre conformación reportada por la institución educativa.</v>
          </cell>
          <cell r="K248" t="str">
            <v>LUCY GONZÁLEZ LERMA</v>
          </cell>
          <cell r="L248" t="str">
            <v xml:space="preserve">DIANA ZULAY HUERTAS ORTÍZ </v>
          </cell>
          <cell r="M248">
            <v>45869</v>
          </cell>
          <cell r="N248">
            <v>45869</v>
          </cell>
          <cell r="O248">
            <v>45869</v>
          </cell>
          <cell r="P248" t="str">
            <v>Visitas de evaluación con fines de mejoramiento</v>
          </cell>
          <cell r="Q248" t="str">
            <v>LICEO MODERNO LEON BAEZ</v>
          </cell>
          <cell r="R248" t="str">
            <v>La EE, cumple con la conformación y funcionamiento del gobierno escolar y las instancias de participación.</v>
          </cell>
          <cell r="S248" t="str">
            <v>La EE, debe seguir cumpliendo con la  conformación y funcionamiento del gobierno escolar y las instancias de participación.  Debe reunir el consejo directivo de acuerdo a la normatividad vigente.</v>
          </cell>
          <cell r="T248" t="str">
            <v>No</v>
          </cell>
          <cell r="U248" t="str">
            <v xml:space="preserve">El ELIV verificará la operatividad del gobierno escolar. </v>
          </cell>
        </row>
        <row r="249">
          <cell r="A249">
            <v>2795</v>
          </cell>
          <cell r="B249"/>
          <cell r="C249" t="str">
            <v>KENNEDY</v>
          </cell>
          <cell r="D249" t="str">
            <v>PRIVADO</v>
          </cell>
          <cell r="E249" t="str">
            <v>EPBM</v>
          </cell>
          <cell r="F249" t="str">
            <v>LICEO_MODERNO_LEON_BAEZ</v>
          </cell>
          <cell r="G249" t="str">
            <v>LICEO MODERNO LEON BAEZ</v>
          </cell>
          <cell r="H249" t="str">
            <v>Autoevaluación Institucional y Pruebas SABER 11</v>
          </cell>
          <cell r="I249" t="str">
            <v>EVALUACIÓN_CON_FINES_DE_MEJORAMIENTO.</v>
          </cell>
          <cell r="J249" t="str">
            <v>Verificar las condiciones en cuanto a: la estructura administrativa, condiciones de la planta física y medios educativos adecuados.</v>
          </cell>
          <cell r="K249" t="str">
            <v>LUCY GONZÁLEZ LERMA</v>
          </cell>
          <cell r="L249" t="str">
            <v xml:space="preserve">DIANA ZULAY HUERTAS ORTÍZ </v>
          </cell>
          <cell r="M249">
            <v>45869</v>
          </cell>
          <cell r="N249">
            <v>45869</v>
          </cell>
          <cell r="O249">
            <v>45869</v>
          </cell>
          <cell r="P249" t="str">
            <v>Visitas de evaluación con fines de mejoramiento</v>
          </cell>
          <cell r="Q249" t="str">
            <v>LICEO MODERNO LEON BAEZ</v>
          </cell>
          <cell r="R249" t="str">
            <v>Algunos elementos del mobiliario (pupitres) se encuentran deteriorados, tomas que requieren cambio y se requiere  mantenimiento de la planta física.</v>
          </cell>
          <cell r="S249" t="str">
            <v>La IE debe proyectar a mediano plazo un plan para reposición de mobiliario y mantenimiento general.</v>
          </cell>
          <cell r="T249" t="str">
            <v>Si</v>
          </cell>
          <cell r="U249" t="str">
            <v>Seguimiento al cumplimiento del plan de mejoramiento. Se realiza mesa de seguimiento el día 22 de septiembre 2025.</v>
          </cell>
        </row>
        <row r="250">
          <cell r="A250">
            <v>1214</v>
          </cell>
          <cell r="B250">
            <v>39</v>
          </cell>
          <cell r="C250" t="str">
            <v>KENNEDY</v>
          </cell>
          <cell r="D250" t="str">
            <v>PRIVADO</v>
          </cell>
          <cell r="E250" t="str">
            <v>EPBM</v>
          </cell>
          <cell r="F250" t="str">
            <v>LICEO_NUEVA_BRITALIA</v>
          </cell>
          <cell r="G250" t="str">
            <v>LICEO NUEVA BRITALIA</v>
          </cell>
          <cell r="H250" t="str">
            <v>Autoevaluación Institucional y Pruebas SABER 11</v>
          </cell>
          <cell r="I250" t="str">
            <v>SEGUIMIENTO_Y_SUPERVISIÓN.</v>
          </cell>
          <cell r="J250" t="str">
            <v>Realizar visitas para verificar la información registrada sobre la autoevaluación institucional en el aplicativo EVI, a los establecimientos de educación formal no oficial.</v>
          </cell>
          <cell r="K250" t="str">
            <v>INGRID VIVIANA DÁVILA ÁVILA</v>
          </cell>
          <cell r="L250" t="str">
            <v>LUIS FERNANDO CÁRDENAS URAN</v>
          </cell>
          <cell r="M250">
            <v>45874</v>
          </cell>
          <cell r="N250">
            <v>45884</v>
          </cell>
          <cell r="O250">
            <v>45884</v>
          </cell>
          <cell r="P250" t="str">
            <v>Visitas de evaluación con fines de mejoramiento</v>
          </cell>
          <cell r="Q250" t="str">
            <v>LICEO NUEVA BRITALIA.pdf</v>
          </cell>
          <cell r="R250" t="str">
            <v>Se encontró que la información reportada en la autoevaluación institucional guarda relación con la realidad del colegio</v>
          </cell>
          <cell r="S250" t="str">
            <v>Continuar registrado la información en la autoevaluación institucional acorde a las capacidades y realidades de la institución</v>
          </cell>
          <cell r="T250" t="str">
            <v>No</v>
          </cell>
          <cell r="U250" t="str">
            <v>Validar las acciones planificadas por la institución educativa en su plan de mejora</v>
          </cell>
        </row>
        <row r="251">
          <cell r="A251">
            <v>1215</v>
          </cell>
          <cell r="B251"/>
          <cell r="C251" t="str">
            <v>KENNEDY</v>
          </cell>
          <cell r="D251" t="str">
            <v>PRIVADO</v>
          </cell>
          <cell r="E251" t="str">
            <v>EPBM</v>
          </cell>
          <cell r="F251" t="str">
            <v>LICEO_NUEVA_BRITALIA</v>
          </cell>
          <cell r="G251" t="str">
            <v>LICEO NUEVA BRITALIA</v>
          </cell>
          <cell r="H251" t="str">
            <v>Autoevaluación Institucional y Pruebas SABER 11</v>
          </cell>
          <cell r="I251" t="str">
            <v>SEGUIMIENTO_Y_SUPERVISIÓN.</v>
          </cell>
          <cell r="J251" t="str">
            <v>Proponer estrategias en la formulación, verificar su elaboración y realizar seguimiento semestral al desarrollo de  las acciones establecidas en los planes de mejoramiento por pruebas SABER 11 de los establecimientos de educación formal.</v>
          </cell>
          <cell r="K251" t="str">
            <v>INGRID VIVIANA DÁVILA ÁVILA</v>
          </cell>
          <cell r="L251" t="str">
            <v>LUIS FERNANDO CÁRDENAS URAN</v>
          </cell>
          <cell r="M251">
            <v>45874</v>
          </cell>
          <cell r="N251">
            <v>45884</v>
          </cell>
          <cell r="O251">
            <v>45884</v>
          </cell>
          <cell r="P251" t="str">
            <v>Visitas de evaluación con fines de mejoramiento</v>
          </cell>
          <cell r="Q251" t="str">
            <v>LICEO NUEVA BRITALIA.pdf</v>
          </cell>
          <cell r="R251" t="str">
            <v>No se encontraron los soportes que permitan validar que se realizó un ejercicio de análisis para establecer estrategias de mejora en los resultados de las pruebas Saber 11</v>
          </cell>
          <cell r="S251" t="str">
            <v>Realizar análisis, formulación y plan de mejora en las pruebas saber 11,  las cuales deben estar avaladas por consejo directivo y académico</v>
          </cell>
          <cell r="T251" t="str">
            <v>Si</v>
          </cell>
          <cell r="U251" t="str">
            <v>Validar las acciones planificadas por la institución educativa en su plan de mejora.  Se realiza mesa de seguimiento el día 22 de septiembre 2025. El 27 de febrero se validará el cumplimiento total del plan de mejoramiento.</v>
          </cell>
        </row>
        <row r="252">
          <cell r="A252">
            <v>1216</v>
          </cell>
          <cell r="B252"/>
          <cell r="C252" t="str">
            <v>KENNEDY</v>
          </cell>
          <cell r="D252" t="str">
            <v>PRIVADO</v>
          </cell>
          <cell r="E252" t="str">
            <v>EPBM</v>
          </cell>
          <cell r="F252" t="str">
            <v>LICEO_NUEVA_BRITALIA</v>
          </cell>
          <cell r="G252" t="str">
            <v>LICEO NUEVA BRITALIA</v>
          </cell>
          <cell r="H252" t="str">
            <v>Autoevaluación Institucional y Pruebas SABER 11</v>
          </cell>
          <cell r="I252" t="str">
            <v>SEGUIMIENTO_Y_SUPERVISIÓN.</v>
          </cell>
          <cell r="J252" t="str">
            <v xml:space="preserve">Verificar la implementación por parte de los colegios, de acciones realizadas para la prevención y atención de las situaciones de convivencia en el entorno escolar, según lo establecido en la Directiva 01 de 2022 del MEN. </v>
          </cell>
          <cell r="K252" t="str">
            <v>INGRID VIVIANA DÁVILA ÁVILA</v>
          </cell>
          <cell r="L252" t="str">
            <v>LUIS FERNANDO CÁRDENAS URAN</v>
          </cell>
          <cell r="M252">
            <v>45874</v>
          </cell>
          <cell r="N252">
            <v>45884</v>
          </cell>
          <cell r="O252">
            <v>45884</v>
          </cell>
          <cell r="P252" t="str">
            <v>Visitas de evaluación con fines de mejoramiento</v>
          </cell>
          <cell r="Q252" t="str">
            <v>LICEO NUEVA BRITALIA.pdf</v>
          </cell>
          <cell r="R252" t="str">
            <v>En las actas presentadas por el colegio no se evidencia las acciones de promoción y prevención para los casos más recurrentes en convivencia escolar</v>
          </cell>
          <cell r="S252" t="str">
            <v xml:space="preserve">Garantizar que desde el  Comité de convivencia escolar  se propongan acciones tendientes a mejorar la convivencia escolar </v>
          </cell>
          <cell r="T252" t="str">
            <v>Si</v>
          </cell>
          <cell r="U252" t="str">
            <v>Validar las acciones planificadas por la institución educativa en su plan de mejora. Se realiza mesa de seguimiento el día 22 de septiembre 2025. El 27 de febrero se validará el cumplimiento total del plan de mejoramiento.</v>
          </cell>
        </row>
        <row r="253">
          <cell r="A253">
            <v>1217</v>
          </cell>
          <cell r="B253"/>
          <cell r="C253" t="str">
            <v>KENNEDY</v>
          </cell>
          <cell r="D253" t="str">
            <v>PRIVADO</v>
          </cell>
          <cell r="E253" t="str">
            <v>EPBM</v>
          </cell>
          <cell r="F253" t="str">
            <v>LICEO_NUEVA_BRITALIA</v>
          </cell>
          <cell r="G253" t="str">
            <v>LICEO NUEVA BRITALIA</v>
          </cell>
          <cell r="H253" t="str">
            <v>Autoevaluación Institucional y Pruebas SABER 11</v>
          </cell>
          <cell r="I253" t="str">
            <v>SEGUIMIENTO_Y_SUPERVISIÓN.</v>
          </cell>
          <cell r="J253"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53" t="str">
            <v>INGRID VIVIANA DÁVILA ÁVILA</v>
          </cell>
          <cell r="L253" t="str">
            <v>LUIS FERNANDO CÁRDENAS URAN</v>
          </cell>
          <cell r="M253">
            <v>45874</v>
          </cell>
          <cell r="N253">
            <v>45884</v>
          </cell>
          <cell r="O253">
            <v>45884</v>
          </cell>
          <cell r="P253" t="str">
            <v>Visitas de evaluación con fines de mejoramiento</v>
          </cell>
          <cell r="Q253" t="str">
            <v>LICEO NUEVA BRITALIA.pdf</v>
          </cell>
          <cell r="R253" t="str">
            <v>En el  formato que contiene el PIAR, en los objetivos se realiza la descripción de los contenidos de las asignaturas</v>
          </cell>
          <cell r="S253" t="str">
            <v>Organizar los ajustes razonables de los estudiantes que lo requieran</v>
          </cell>
          <cell r="T253" t="str">
            <v>Si</v>
          </cell>
          <cell r="U253" t="str">
            <v>Validar las acciones planificadas por la institución educativa en su plan de mejora. Se realiza mesa de seguimiento el día 22 de septiembre 2025. El 27 de febrero se validará el cumplimiento total del plan de mejoramiento.</v>
          </cell>
        </row>
        <row r="254">
          <cell r="A254">
            <v>1218</v>
          </cell>
          <cell r="B254"/>
          <cell r="C254" t="str">
            <v>KENNEDY</v>
          </cell>
          <cell r="D254" t="str">
            <v>PRIVADO</v>
          </cell>
          <cell r="E254" t="str">
            <v>EPBM</v>
          </cell>
          <cell r="F254" t="str">
            <v>LICEO_NUEVA_BRITALIA</v>
          </cell>
          <cell r="G254" t="str">
            <v>LICEO NUEVA BRITALIA</v>
          </cell>
          <cell r="H254" t="str">
            <v>Autoevaluación Institucional y Pruebas SABER 11</v>
          </cell>
          <cell r="I254" t="str">
            <v>EVALUACIÓN_CON_FINES_DE_MEJORAMIENTO.</v>
          </cell>
          <cell r="J25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54" t="str">
            <v>INGRID VIVIANA DÁVILA ÁVILA</v>
          </cell>
          <cell r="L254" t="str">
            <v>LUIS FERNANDO CÁRDENAS URAN</v>
          </cell>
          <cell r="M254">
            <v>45874</v>
          </cell>
          <cell r="N254">
            <v>45884</v>
          </cell>
          <cell r="O254">
            <v>45884</v>
          </cell>
          <cell r="P254" t="str">
            <v>Visitas de evaluación con fines de mejoramiento</v>
          </cell>
          <cell r="Q254" t="str">
            <v>LICEO NUEVA BRITALIA.pdf</v>
          </cell>
          <cell r="R254" t="str">
            <v>El manual de convivencia dentro de su contenido no contiene los elementos de inclusión, justicia restaurativa y debido proceso</v>
          </cell>
          <cell r="S254" t="str">
            <v>Incluir en el manual de convivencia inclusión, enfoque restaurativo y debido proceso</v>
          </cell>
          <cell r="T254" t="str">
            <v>Si</v>
          </cell>
          <cell r="U254" t="str">
            <v>Validar las acciones planificadas por la institución educativa en su plan de mejora.  Se realiza mesa de seguimiento el día 22 de septiembre 2025. El 27 de febrero se validará el cumplimiento total del plan de mejoramiento.</v>
          </cell>
        </row>
        <row r="255">
          <cell r="A255">
            <v>1219</v>
          </cell>
          <cell r="B255"/>
          <cell r="C255" t="str">
            <v>KENNEDY</v>
          </cell>
          <cell r="D255" t="str">
            <v>PRIVADO</v>
          </cell>
          <cell r="E255" t="str">
            <v>EPBM</v>
          </cell>
          <cell r="F255" t="str">
            <v>LICEO_NUEVA_BRITALIA</v>
          </cell>
          <cell r="G255" t="str">
            <v>LICEO NUEVA BRITALIA</v>
          </cell>
          <cell r="H255" t="str">
            <v>Autoevaluación Institucional y Pruebas SABER 11</v>
          </cell>
          <cell r="I255" t="str">
            <v>EVALUACIÓN_CON_FINES_DE_MEJORAMIENTO.</v>
          </cell>
          <cell r="J255" t="str">
            <v>Revisar la actualización, socialización e implementación del Sistema Institucional de Evaluación de Estudiantes - SIEE, en articulación con la actualización del PEI y la normatividad vigente.</v>
          </cell>
          <cell r="K255" t="str">
            <v>INGRID VIVIANA DÁVILA ÁVILA</v>
          </cell>
          <cell r="L255" t="str">
            <v>LUIS FERNANDO CÁRDENAS URAN</v>
          </cell>
          <cell r="M255">
            <v>45874</v>
          </cell>
          <cell r="N255">
            <v>45884</v>
          </cell>
          <cell r="O255">
            <v>45884</v>
          </cell>
          <cell r="P255" t="str">
            <v>Visitas de evaluación con fines de mejoramiento</v>
          </cell>
          <cell r="Q255" t="str">
            <v>LICEO NUEVA BRITALIA.pdf</v>
          </cell>
          <cell r="R255" t="str">
            <v>Se encontró que la información reportada en la autoevaluación institucional guarda relación con la realidad institucional.</v>
          </cell>
          <cell r="S255" t="str">
            <v>Continuar registrado la información en la autoevaluación institucional acorde a las capacidades y realidades de la institución</v>
          </cell>
          <cell r="T255" t="str">
            <v>No</v>
          </cell>
          <cell r="U255" t="str">
            <v>Validar las acciones planificadas por la institución educativa en su plan de mejora</v>
          </cell>
        </row>
        <row r="256">
          <cell r="A256">
            <v>1220</v>
          </cell>
          <cell r="B256"/>
          <cell r="C256" t="str">
            <v>KENNEDY</v>
          </cell>
          <cell r="D256" t="str">
            <v>PRIVADO</v>
          </cell>
          <cell r="E256" t="str">
            <v>EPBM</v>
          </cell>
          <cell r="F256" t="str">
            <v>LICEO_NUEVA_BRITALIA</v>
          </cell>
          <cell r="G256" t="str">
            <v>LICEO NUEVA BRITALIA</v>
          </cell>
          <cell r="H256" t="str">
            <v>Autoevaluación Institucional y Pruebas SABER 11</v>
          </cell>
          <cell r="I256" t="str">
            <v>EVALUACIÓN_CON_FINES_DE_MEJORAMIENTO.</v>
          </cell>
          <cell r="J256" t="str">
            <v>Revisar el calendario escolar, jornada escolar, la intensidad horaria mínima anual en cada nivel y las modificaciones que se realicen al mismo, de acuerdo con lo previsto en la normatividad vigente.</v>
          </cell>
          <cell r="K256" t="str">
            <v>INGRID VIVIANA DÁVILA ÁVILA</v>
          </cell>
          <cell r="L256" t="str">
            <v>LUIS FERNANDO CÁRDENAS URAN</v>
          </cell>
          <cell r="M256">
            <v>45874</v>
          </cell>
          <cell r="N256">
            <v>45884</v>
          </cell>
          <cell r="O256">
            <v>45884</v>
          </cell>
          <cell r="P256" t="str">
            <v>Visitas de evaluación con fines de mejoramiento</v>
          </cell>
          <cell r="Q256" t="str">
            <v>LICEO NUEVA BRITALIA.pdf</v>
          </cell>
          <cell r="R256" t="str">
            <v>La IE aporto documento que permita verificar el cumplimiento de la intensidad horaria de su calendario escolar</v>
          </cell>
          <cell r="S256" t="str">
            <v>Presentar calendario escolar para la próxima vigencia  en la Dirección Local de Educación</v>
          </cell>
          <cell r="T256" t="str">
            <v>No</v>
          </cell>
          <cell r="U256" t="str">
            <v xml:space="preserve">Realizar seguimiento al calendario escolar en la próxima vigencia según requerimiento </v>
          </cell>
        </row>
        <row r="257">
          <cell r="A257">
            <v>1221</v>
          </cell>
          <cell r="B257"/>
          <cell r="C257" t="str">
            <v>KENNEDY</v>
          </cell>
          <cell r="D257" t="str">
            <v>PRIVADO</v>
          </cell>
          <cell r="E257" t="str">
            <v>EPBM</v>
          </cell>
          <cell r="F257" t="str">
            <v>LICEO_NUEVA_BRITALIA</v>
          </cell>
          <cell r="G257" t="str">
            <v>LICEO NUEVA BRITALIA</v>
          </cell>
          <cell r="H257" t="str">
            <v>Autoevaluación Institucional y Pruebas SABER 11</v>
          </cell>
          <cell r="I257" t="str">
            <v>EVALUACIÓN_CON_FINES_DE_MEJORAMIENTO.</v>
          </cell>
          <cell r="J257" t="str">
            <v>Verificar el funcionamiento del Gobierno Escolar e instancias de participación con base en la información sobre conformación reportada por la institución educativa.</v>
          </cell>
          <cell r="K257" t="str">
            <v>INGRID VIVIANA DÁVILA ÁVILA</v>
          </cell>
          <cell r="L257" t="str">
            <v>LUIS FERNANDO CÁRDENAS URAN</v>
          </cell>
          <cell r="M257">
            <v>45874</v>
          </cell>
          <cell r="N257">
            <v>45884</v>
          </cell>
          <cell r="O257">
            <v>45884</v>
          </cell>
          <cell r="P257" t="str">
            <v>Visitas de evaluación con fines de mejoramiento</v>
          </cell>
          <cell r="Q257" t="str">
            <v>LICEO NUEVA BRITALIA.pdf</v>
          </cell>
          <cell r="R257" t="str">
            <v>El colegio realizo la conformación de su gobierno escolar y la información se encuentra registrada en el SAE</v>
          </cell>
          <cell r="S257" t="str">
            <v>Garantizar la operatividad del Gobierno Escolar</v>
          </cell>
          <cell r="T257" t="str">
            <v>No</v>
          </cell>
          <cell r="U257" t="str">
            <v>Validar la conformación del gobierno escolar para la próxima vigencia</v>
          </cell>
        </row>
        <row r="258">
          <cell r="A258">
            <v>2796</v>
          </cell>
          <cell r="B258"/>
          <cell r="C258" t="str">
            <v>KENNEDY</v>
          </cell>
          <cell r="D258" t="str">
            <v>PRIVADO</v>
          </cell>
          <cell r="E258" t="str">
            <v>EPBM</v>
          </cell>
          <cell r="F258" t="str">
            <v>LICEO_NUEVA_BRITALIA</v>
          </cell>
          <cell r="G258" t="str">
            <v>LICEO NUEVA BRITALIA</v>
          </cell>
          <cell r="H258" t="str">
            <v>Autoevaluación Institucional y Pruebas SABER 11</v>
          </cell>
          <cell r="I258" t="str">
            <v>EVALUACIÓN_CON_FINES_DE_MEJORAMIENTO.</v>
          </cell>
          <cell r="J258" t="str">
            <v>Verificar las condiciones en cuanto a: la estructura administrativa, condiciones de la planta física y medios educativos adecuados.</v>
          </cell>
          <cell r="K258" t="str">
            <v>INGRID VIVIANA DÁVILA ÁVILA</v>
          </cell>
          <cell r="L258" t="str">
            <v>LUIS FERNANDO CÁRDENAS URAN</v>
          </cell>
          <cell r="M258">
            <v>45874</v>
          </cell>
          <cell r="N258">
            <v>45884</v>
          </cell>
          <cell r="O258">
            <v>45884</v>
          </cell>
          <cell r="P258" t="str">
            <v>Visitas de evaluación con fines de mejoramiento</v>
          </cell>
          <cell r="Q258" t="str">
            <v>LICEO NUEVA BRITALIA.pdf</v>
          </cell>
          <cell r="R258" t="str">
            <v>La IE cuenta con licencia de funcionamiento de hace mas de 40 años por lo tanto no cuenta con los estándares de la normatividad vigente</v>
          </cell>
          <cell r="S258" t="str">
            <v>Es necesario que la IE contemple un plan de mantenimiento para la infraestructura educativa</v>
          </cell>
          <cell r="T258" t="str">
            <v>Si</v>
          </cell>
          <cell r="U258" t="str">
            <v>Validar las acciones planificadas por la institución educativa en su plan de mejora. Se realiza mesa de seguimiento el día 22 de septiembre 2025. El 27 de febrero se validará el cumplimiento total del plan de mejoramiento.</v>
          </cell>
        </row>
        <row r="259">
          <cell r="A259">
            <v>1222</v>
          </cell>
          <cell r="B259">
            <v>40</v>
          </cell>
          <cell r="C259" t="str">
            <v>KENNEDY</v>
          </cell>
          <cell r="D259" t="str">
            <v>PRIVADO</v>
          </cell>
          <cell r="E259" t="str">
            <v>EPBM</v>
          </cell>
          <cell r="F259" t="str">
            <v>LICEO_PIÑEROS_CORTES</v>
          </cell>
          <cell r="G259" t="str">
            <v>LICEO PIÑEROS CORTES</v>
          </cell>
          <cell r="H259" t="str">
            <v>Autoevaluación Institucional y Pruebas SABER 11</v>
          </cell>
          <cell r="I259" t="str">
            <v>SEGUIMIENTO_Y_SUPERVISIÓN.</v>
          </cell>
          <cell r="J259" t="str">
            <v>Realizar visitas para verificar la información registrada sobre la autoevaluación institucional en el aplicativo EVI, a los establecimientos de educación formal no oficial.</v>
          </cell>
          <cell r="K259" t="str">
            <v>LUCY GONZÁLEZ LERMA</v>
          </cell>
          <cell r="L259" t="str">
            <v>VIVANA PILAR BOHÓRQUEZ DÍAZ</v>
          </cell>
          <cell r="M259">
            <v>45881</v>
          </cell>
          <cell r="N259">
            <v>45881</v>
          </cell>
          <cell r="O259">
            <v>45881</v>
          </cell>
          <cell r="P259" t="str">
            <v>Visitas de evaluación con fines de mejoramiento</v>
          </cell>
          <cell r="Q259" t="str">
            <v>LICEO PIÑEROS CORTES.pdf</v>
          </cell>
          <cell r="R259" t="str">
            <v>La información diligenciada en el EVI es coherente con la realidad institucional</v>
          </cell>
          <cell r="S259" t="str">
            <v>Mantener adecuados niveles de  indicadores y procedimientos  que permita generar buenos resultados en la autoevaluación para la presente vigencia.</v>
          </cell>
          <cell r="T259" t="str">
            <v>No</v>
          </cell>
          <cell r="U259" t="str">
            <v>Verificar que se mantenga la coherencia entre la autoevaluación institucional y la realidad institucional.</v>
          </cell>
        </row>
        <row r="260">
          <cell r="A260">
            <v>1223</v>
          </cell>
          <cell r="B260"/>
          <cell r="C260" t="str">
            <v>KENNEDY</v>
          </cell>
          <cell r="D260" t="str">
            <v>PRIVADO</v>
          </cell>
          <cell r="E260" t="str">
            <v>EPBM</v>
          </cell>
          <cell r="F260" t="str">
            <v>LICEO_PIÑEROS_CORTES</v>
          </cell>
          <cell r="G260" t="str">
            <v>LICEO PIÑEROS CORTES</v>
          </cell>
          <cell r="H260" t="str">
            <v>Autoevaluación Institucional y Pruebas SABER 11</v>
          </cell>
          <cell r="I260" t="str">
            <v>SEGUIMIENTO_Y_SUPERVISIÓN.</v>
          </cell>
          <cell r="J260" t="str">
            <v>Proponer estrategias en la formulación, verificar su elaboración y realizar seguimiento semestral al desarrollo de  las acciones establecidas en los planes de mejoramiento por pruebas SABER 11 de los establecimientos de educación formal.</v>
          </cell>
          <cell r="K260" t="str">
            <v>LUCY GONZÁLEZ LERMA</v>
          </cell>
          <cell r="L260" t="str">
            <v>VIVANA PILAR BOHÓRQUEZ DÍAZ</v>
          </cell>
          <cell r="M260">
            <v>45881</v>
          </cell>
          <cell r="N260">
            <v>45881</v>
          </cell>
          <cell r="O260">
            <v>45881</v>
          </cell>
          <cell r="P260" t="str">
            <v>Visitas de evaluación con fines de mejoramiento</v>
          </cell>
          <cell r="Q260" t="str">
            <v>LICEO PIÑEROS CORTES.pdf</v>
          </cell>
          <cell r="R260" t="str">
            <v>No se han implementado acciones para mejorar las áreas de estudio con bajo desempeño de las pruebas SABER 11</v>
          </cell>
          <cell r="S260" t="str">
            <v>Implementar acciones para mejorar los aprendizajes de los estudiantes en las áreas del plan de estudio con más bajo desempeño en las pruebas SABER 11</v>
          </cell>
          <cell r="T260" t="str">
            <v>Si</v>
          </cell>
          <cell r="U260" t="str">
            <v>Hacer seguimiento a plan de mejoramiento frente a las acciones de mejora. Se realiza mesa de seguimiento el día 22 de septiembre 2025. El cinco de diciembre se validará el cumplimiento total del plan de mejoramiento.</v>
          </cell>
        </row>
        <row r="261">
          <cell r="A261">
            <v>1224</v>
          </cell>
          <cell r="B261"/>
          <cell r="C261" t="str">
            <v>KENNEDY</v>
          </cell>
          <cell r="D261" t="str">
            <v>PRIVADO</v>
          </cell>
          <cell r="E261" t="str">
            <v>EPBM</v>
          </cell>
          <cell r="F261" t="str">
            <v>LICEO_PIÑEROS_CORTES</v>
          </cell>
          <cell r="G261" t="str">
            <v>LICEO PIÑEROS CORTES</v>
          </cell>
          <cell r="H261" t="str">
            <v>Autoevaluación Institucional y Pruebas SABER 11</v>
          </cell>
          <cell r="I261" t="str">
            <v>SEGUIMIENTO_Y_SUPERVISIÓN.</v>
          </cell>
          <cell r="J261" t="str">
            <v xml:space="preserve">Verificar la implementación por parte de los colegios, de acciones realizadas para la prevención y atención de las situaciones de convivencia en el entorno escolar, según lo establecido en la Directiva 01 de 2022 del MEN. </v>
          </cell>
          <cell r="K261" t="str">
            <v>LUCY GONZÁLEZ LERMA</v>
          </cell>
          <cell r="L261" t="str">
            <v>VIVANA PILAR BOHÓRQUEZ DÍAZ</v>
          </cell>
          <cell r="M261">
            <v>45881</v>
          </cell>
          <cell r="N261">
            <v>45881</v>
          </cell>
          <cell r="O261">
            <v>45881</v>
          </cell>
          <cell r="P261" t="str">
            <v>Visitas de evaluación con fines de mejoramiento</v>
          </cell>
          <cell r="Q261" t="str">
            <v>LICEO PIÑEROS CORTES.pdf</v>
          </cell>
          <cell r="R261" t="str">
            <v>El manual de convivencia incluye algunos de los protocolos establecidos por parte de la SED, sin embargo es necesario revisarlos y ajustarlos de acuerdo con la realidad institucional.</v>
          </cell>
          <cell r="S261" t="str">
            <v>Actualizar el manual de convivencia que permita el ajuste acorde a la realidad institucional.</v>
          </cell>
          <cell r="T261" t="str">
            <v>Si</v>
          </cell>
          <cell r="U261" t="str">
            <v>Hacer seguimiento a plan de mejoramiento.  Se realiza mesa de seguimiento el día 22 de septiembre 2025. El cinco de diciembre se validará el cumplimiento total del plan de mejoramiento.</v>
          </cell>
        </row>
        <row r="262">
          <cell r="A262">
            <v>1225</v>
          </cell>
          <cell r="B262"/>
          <cell r="C262" t="str">
            <v>KENNEDY</v>
          </cell>
          <cell r="D262" t="str">
            <v>PRIVADO</v>
          </cell>
          <cell r="E262" t="str">
            <v>EPBM</v>
          </cell>
          <cell r="F262" t="str">
            <v>LICEO_PIÑEROS_CORTES</v>
          </cell>
          <cell r="G262" t="str">
            <v>LICEO PIÑEROS CORTES</v>
          </cell>
          <cell r="H262" t="str">
            <v>Autoevaluación Institucional y Pruebas SABER 11</v>
          </cell>
          <cell r="I262" t="str">
            <v>SEGUIMIENTO_Y_SUPERVISIÓN.</v>
          </cell>
          <cell r="J262"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62" t="str">
            <v>LUCY GONZÁLEZ LERMA</v>
          </cell>
          <cell r="L262" t="str">
            <v>VIVANA PILAR BOHÓRQUEZ DÍAZ</v>
          </cell>
          <cell r="M262">
            <v>45881</v>
          </cell>
          <cell r="N262">
            <v>45881</v>
          </cell>
          <cell r="O262">
            <v>45881</v>
          </cell>
          <cell r="P262" t="str">
            <v>Visitas de evaluación con fines de mejoramiento</v>
          </cell>
          <cell r="Q262" t="str">
            <v>LICEO PIÑEROS CORTES.pdf</v>
          </cell>
          <cell r="R262" t="str">
            <v>En la actualidad no tienen estudiantes con discapacidad que requieran el PIAR</v>
          </cell>
          <cell r="S262" t="str">
            <v>En caso de tener estudiantes con discapacidad, diseñar el correspondiente PIAR</v>
          </cell>
          <cell r="T262" t="str">
            <v>No</v>
          </cell>
          <cell r="U262" t="str">
            <v>Validar pertinencia de la aplicación, cuando se presente la necesidad.</v>
          </cell>
        </row>
        <row r="263">
          <cell r="A263">
            <v>1226</v>
          </cell>
          <cell r="B263"/>
          <cell r="C263" t="str">
            <v>KENNEDY</v>
          </cell>
          <cell r="D263" t="str">
            <v>PRIVADO</v>
          </cell>
          <cell r="E263" t="str">
            <v>EPBM</v>
          </cell>
          <cell r="F263" t="str">
            <v>LICEO_PIÑEROS_CORTES</v>
          </cell>
          <cell r="G263" t="str">
            <v>LICEO PIÑEROS CORTES</v>
          </cell>
          <cell r="H263" t="str">
            <v>Autoevaluación Institucional y Pruebas SABER 11</v>
          </cell>
          <cell r="I263" t="str">
            <v>EVALUACIÓN_CON_FINES_DE_MEJORAMIENTO.</v>
          </cell>
          <cell r="J263"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63" t="str">
            <v>LUCY GONZÁLEZ LERMA</v>
          </cell>
          <cell r="L263" t="str">
            <v>VIVANA PILAR BOHÓRQUEZ DÍAZ</v>
          </cell>
          <cell r="M263">
            <v>45881</v>
          </cell>
          <cell r="N263">
            <v>45881</v>
          </cell>
          <cell r="O263">
            <v>45881</v>
          </cell>
          <cell r="P263" t="str">
            <v>Visitas de evaluación con fines de mejoramiento</v>
          </cell>
          <cell r="Q263" t="str">
            <v>LICEO PIÑEROS CORTES.pdf</v>
          </cell>
          <cell r="R263" t="str">
            <v>El manual no fue actualizado, por tanto no se evidenció su construcción de forma participativa.</v>
          </cell>
          <cell r="S263" t="str">
            <v>Convocar al Gobierno Escolar e Instancias de Participación para la actualización del manual de convivencia.</v>
          </cell>
          <cell r="T263" t="str">
            <v>Si</v>
          </cell>
          <cell r="U263" t="str">
            <v>Revisará la actualización  del manual para la vigencia 2026.   Se realiza mesa de seguimiento el día 22 de septiembre 2025. El cinco de diciembre se validará el cumplimiento total del plan de mejoramiento.</v>
          </cell>
        </row>
        <row r="264">
          <cell r="A264">
            <v>1227</v>
          </cell>
          <cell r="B264"/>
          <cell r="C264" t="str">
            <v>KENNEDY</v>
          </cell>
          <cell r="D264" t="str">
            <v>PRIVADO</v>
          </cell>
          <cell r="E264" t="str">
            <v>EPBM</v>
          </cell>
          <cell r="F264" t="str">
            <v>LICEO_PIÑEROS_CORTES</v>
          </cell>
          <cell r="G264" t="str">
            <v>LICEO PIÑEROS CORTES</v>
          </cell>
          <cell r="H264" t="str">
            <v>Autoevaluación Institucional y Pruebas SABER 11</v>
          </cell>
          <cell r="I264" t="str">
            <v>EVALUACIÓN_CON_FINES_DE_MEJORAMIENTO.</v>
          </cell>
          <cell r="J264" t="str">
            <v>Revisar la actualización, socialización e implementación del Sistema Institucional de Evaluación de Estudiantes - SIEE, en articulación con la actualización del PEI y la normatividad vigente.</v>
          </cell>
          <cell r="K264" t="str">
            <v>LUCY GONZÁLEZ LERMA</v>
          </cell>
          <cell r="L264" t="str">
            <v>VIVANA PILAR BOHÓRQUEZ DÍAZ</v>
          </cell>
          <cell r="M264">
            <v>45881</v>
          </cell>
          <cell r="N264">
            <v>45881</v>
          </cell>
          <cell r="O264">
            <v>45881</v>
          </cell>
          <cell r="P264" t="str">
            <v>Visitas de evaluación con fines de mejoramiento</v>
          </cell>
          <cell r="Q264" t="str">
            <v>LICEO PIÑEROS CORTES.pdf</v>
          </cell>
          <cell r="R264" t="str">
            <v>Se evidenció la conformación del SIEE su manejo es por medio   interno en Excel y reporte en la plataforma SAS académico.  La institución se acompaña de un proceso permanente de retroalimentación de cada estudiante. Además cuenta con numerosas estrategias de apoyo para resolver situaciones pedagógicas de los estudiantes. Diseña durante los dos semestres del año jornadas de nivelación. Sin embargo no  hay soportes de las sesiones referente a la ejecución  de la comisión de evaluación y promoción</v>
          </cell>
          <cell r="S264" t="str">
            <v>Documentar la implementación y ejecución de la comisión de evaluación y promoción.</v>
          </cell>
          <cell r="T264" t="str">
            <v>Si</v>
          </cell>
          <cell r="U264" t="str">
            <v>Hacer seguimiento de la actas o  documentación de las sesiones de la comisión de evaluación donde se visualicen los temas abordados.  Se realiza mesa de seguimiento el día 22 de septiembre 2025. El cinco de diciembre se validará el cumplimiento total del plan de mejoramiento.</v>
          </cell>
        </row>
        <row r="265">
          <cell r="A265">
            <v>1228</v>
          </cell>
          <cell r="B265"/>
          <cell r="C265" t="str">
            <v>KENNEDY</v>
          </cell>
          <cell r="D265" t="str">
            <v>PRIVADO</v>
          </cell>
          <cell r="E265" t="str">
            <v>EPBM</v>
          </cell>
          <cell r="F265" t="str">
            <v>LICEO_PIÑEROS_CORTES</v>
          </cell>
          <cell r="G265" t="str">
            <v>LICEO PIÑEROS CORTES</v>
          </cell>
          <cell r="H265" t="str">
            <v>Autoevaluación Institucional y Pruebas SABER 11</v>
          </cell>
          <cell r="I265" t="str">
            <v>EVALUACIÓN_CON_FINES_DE_MEJORAMIENTO.</v>
          </cell>
          <cell r="J265" t="str">
            <v>Revisar el calendario escolar, jornada escolar, la intensidad horaria mínima anual en cada nivel y las modificaciones que se realicen al mismo, de acuerdo con lo previsto en la normatividad vigente.</v>
          </cell>
          <cell r="K265" t="str">
            <v>LUCY GONZÁLEZ LERMA</v>
          </cell>
          <cell r="L265" t="str">
            <v>VIVANA PILAR BOHÓRQUEZ DÍAZ</v>
          </cell>
          <cell r="M265">
            <v>45881</v>
          </cell>
          <cell r="N265">
            <v>45881</v>
          </cell>
          <cell r="O265">
            <v>45881</v>
          </cell>
          <cell r="P265" t="str">
            <v>Visitas de evaluación con fines de mejoramiento</v>
          </cell>
          <cell r="Q265" t="str">
            <v>LICEO PIÑEROS CORTES.pdf</v>
          </cell>
          <cell r="R265" t="str">
            <v>El calendario escolar cumple con lo establecido en la normatividad vigente.</v>
          </cell>
          <cell r="S265" t="str">
            <v>Continuar con el cumplimiento acorde a normatividad vigente.</v>
          </cell>
          <cell r="T265" t="str">
            <v>No</v>
          </cell>
          <cell r="U265" t="str">
            <v>Continuar con monitoreo del cumplimiento.</v>
          </cell>
        </row>
        <row r="266">
          <cell r="A266">
            <v>1229</v>
          </cell>
          <cell r="B266"/>
          <cell r="C266" t="str">
            <v>KENNEDY</v>
          </cell>
          <cell r="D266" t="str">
            <v>PRIVADO</v>
          </cell>
          <cell r="E266" t="str">
            <v>EPBM</v>
          </cell>
          <cell r="F266" t="str">
            <v>LICEO_PIÑEROS_CORTES</v>
          </cell>
          <cell r="G266" t="str">
            <v>LICEO PIÑEROS CORTES</v>
          </cell>
          <cell r="H266" t="str">
            <v>Autoevaluación Institucional y Pruebas SABER 11</v>
          </cell>
          <cell r="I266" t="str">
            <v>EVALUACIÓN_CON_FINES_DE_MEJORAMIENTO.</v>
          </cell>
          <cell r="J266" t="str">
            <v>Verificar el funcionamiento del Gobierno Escolar e instancias de participación con base en la información sobre conformación reportada por la institución educativa.</v>
          </cell>
          <cell r="K266" t="str">
            <v>LUCY GONZÁLEZ LERMA</v>
          </cell>
          <cell r="L266" t="str">
            <v>VIVANA PILAR BOHÓRQUEZ DÍAZ</v>
          </cell>
          <cell r="M266">
            <v>45881</v>
          </cell>
          <cell r="N266">
            <v>45881</v>
          </cell>
          <cell r="O266">
            <v>45881</v>
          </cell>
          <cell r="P266" t="str">
            <v>Visitas de evaluación con fines de mejoramiento</v>
          </cell>
          <cell r="Q266" t="str">
            <v>LICEO PIÑEROS CORTES.pdf</v>
          </cell>
          <cell r="R266" t="str">
            <v>Se encuentra conformado el gobierno escolar y cumple normativamente, sin embargo, falta Movilizar las instancias de gobierno escolar y las instancias de participación de acuerdo con sus funciones</v>
          </cell>
          <cell r="S266" t="str">
            <v>Garantizar la movilización y  operatividad del Gobierno Escolar</v>
          </cell>
          <cell r="T266" t="str">
            <v>Si</v>
          </cell>
          <cell r="U266" t="str">
            <v>Se dará continuidad al seguimiento mediante el plan de mejoramiento.  Se realiza mesa de seguimiento el día 22 de septiembre 2025. El cinco de diciembre se validará el cumplimiento total del plan de mejoramiento.</v>
          </cell>
        </row>
        <row r="267">
          <cell r="A267">
            <v>2797</v>
          </cell>
          <cell r="B267"/>
          <cell r="C267" t="str">
            <v>KENNEDY</v>
          </cell>
          <cell r="D267" t="str">
            <v>PRIVADO</v>
          </cell>
          <cell r="E267" t="str">
            <v>EPBM</v>
          </cell>
          <cell r="F267" t="str">
            <v>LICEO_PIÑEROS_CORTES</v>
          </cell>
          <cell r="G267" t="str">
            <v>LICEO PIÑEROS CORTES</v>
          </cell>
          <cell r="H267" t="str">
            <v>Autoevaluación Institucional y Pruebas SABER 11</v>
          </cell>
          <cell r="I267" t="str">
            <v>EVALUACIÓN_CON_FINES_DE_MEJORAMIENTO.</v>
          </cell>
          <cell r="J267" t="str">
            <v>Verificar las condiciones en cuanto a: la estructura administrativa, condiciones de la planta física y medios educativos adecuados.</v>
          </cell>
          <cell r="K267" t="str">
            <v>LUCY GONZÁLEZ LERMA</v>
          </cell>
          <cell r="L267" t="str">
            <v>VIVANA PILAR BOHÓRQUEZ DÍAZ</v>
          </cell>
          <cell r="M267">
            <v>45881</v>
          </cell>
          <cell r="N267">
            <v>45881</v>
          </cell>
          <cell r="O267">
            <v>45881</v>
          </cell>
          <cell r="P267" t="str">
            <v>Visitas de evaluación con fines de mejoramiento</v>
          </cell>
          <cell r="Q267" t="str">
            <v>LICEO PIÑEROS CORTES.pdf</v>
          </cell>
          <cell r="R267" t="str">
            <v>Cumple en general con las condiciones de estructura administrativa, de la planta física, mobiliario, equipos de cómputo, medios educativos y tecnológicos  adecuadas  condiciones iluminación y ventilación. sin embargo, aun aula de física sujeta a la adecuación y organización, puesto que hay un mueble que representa riesgo para las y los estudiantes. Al frente del colegio cuentan con un parque amplio, sin embargo deben adelantar el tramite de ambientes compartidos de acuerdo con lo establecido en la Resolución 1326 de 2023.</v>
          </cell>
          <cell r="S267" t="str">
            <v>Mantener  adecuadas condiciones de planta física, realizar el mantenimiento locativo y organización aula de física, gestionar el trámite de ambientes compartidos.</v>
          </cell>
          <cell r="T267" t="str">
            <v>Si</v>
          </cell>
          <cell r="U267" t="str">
            <v>Verificar que además de mantener condiciones adecuadas en su planta física, realicen la adecuación del aula de física y adelanten los trámites de ambientes compartidos.  Se realiza mesa de seguimiento el día 22 de septiembre 2025. El cinco de diciembre se validará el cumplimiento total del plan de mejoramiento.</v>
          </cell>
        </row>
        <row r="268">
          <cell r="A268">
            <v>1230</v>
          </cell>
          <cell r="B268">
            <v>41</v>
          </cell>
          <cell r="C268" t="str">
            <v>KENNEDY</v>
          </cell>
          <cell r="D268" t="str">
            <v>PRIVADO</v>
          </cell>
          <cell r="E268" t="str">
            <v>EPBM</v>
          </cell>
          <cell r="F268" t="str">
            <v>LICEO_REYNEL</v>
          </cell>
          <cell r="G268" t="str">
            <v>LICEO REYNEL</v>
          </cell>
          <cell r="H268" t="str">
            <v>Autoevaluación Institucional y Pruebas SABER 11</v>
          </cell>
          <cell r="I268" t="str">
            <v>SEGUIMIENTO_Y_SUPERVISIÓN.</v>
          </cell>
          <cell r="J268" t="str">
            <v>Realizar visitas para verificar la información registrada sobre la autoevaluación institucional en el aplicativo EVI, a los establecimientos de educación formal no oficial.</v>
          </cell>
          <cell r="K268" t="str">
            <v>INGRID VIVIANA DÁVILA ÁVILA</v>
          </cell>
          <cell r="L268" t="str">
            <v xml:space="preserve">DIANA ZULAY HUERTAS ORTÍZ </v>
          </cell>
          <cell r="M268">
            <v>45882</v>
          </cell>
          <cell r="N268">
            <v>45882</v>
          </cell>
          <cell r="O268">
            <v>45882</v>
          </cell>
          <cell r="P268" t="str">
            <v>Visitas de evaluación con fines de mejoramiento</v>
          </cell>
          <cell r="Q268" t="str">
            <v>LICEO REYNEL.pdf</v>
          </cell>
          <cell r="R268" t="str">
            <v>La EE registra información en el aplicativo EVI, que da cuenta de la realidad institucional</v>
          </cell>
          <cell r="S268" t="str">
            <v>Continuar reportando en el aplicativo información que da cuenta de la realidad institucional.</v>
          </cell>
          <cell r="T268" t="str">
            <v>No</v>
          </cell>
          <cell r="U268" t="str">
            <v>El ELIV, verificará en la próxima vigencia que la información registrada en el EVI da cuenta de la realidad institucional.</v>
          </cell>
        </row>
        <row r="269">
          <cell r="A269">
            <v>1231</v>
          </cell>
          <cell r="B269"/>
          <cell r="C269" t="str">
            <v>KENNEDY</v>
          </cell>
          <cell r="D269" t="str">
            <v>PRIVADO</v>
          </cell>
          <cell r="E269" t="str">
            <v>EPBM</v>
          </cell>
          <cell r="F269" t="str">
            <v>LICEO_REYNEL</v>
          </cell>
          <cell r="G269" t="str">
            <v>LICEO REYNEL</v>
          </cell>
          <cell r="H269" t="str">
            <v>Autoevaluación Institucional y Pruebas SABER 11</v>
          </cell>
          <cell r="I269" t="str">
            <v>SEGUIMIENTO_Y_SUPERVISIÓN.</v>
          </cell>
          <cell r="J269" t="str">
            <v>Proponer estrategias en la formulación, verificar su elaboración y realizar seguimiento semestral al desarrollo de  las acciones establecidas en los planes de mejoramiento por pruebas SABER 11 de los establecimientos de educación formal.</v>
          </cell>
          <cell r="K269" t="str">
            <v>INGRID VIVIANA DÁVILA ÁVILA</v>
          </cell>
          <cell r="L269" t="str">
            <v xml:space="preserve">DIANA ZULAY HUERTAS ORTÍZ </v>
          </cell>
          <cell r="M269">
            <v>45882</v>
          </cell>
          <cell r="N269">
            <v>45882</v>
          </cell>
          <cell r="O269">
            <v>45882</v>
          </cell>
          <cell r="P269" t="str">
            <v>Visitas de evaluación con fines de mejoramiento</v>
          </cell>
          <cell r="Q269" t="str">
            <v>LICEO REYNEL.pdf</v>
          </cell>
          <cell r="R269" t="str">
            <v>La IE  ha realizado el análisis de los últimos resultados de pruebas SABER 11. No se han propuesto estrategias de mejoramiento desde el consejo académico.</v>
          </cell>
          <cell r="S269" t="str">
            <v>Realizar el análisis de los últimos resultados de pruebas SABER 11 y establecer estrategias de mejoramiento para superar esos resultados que incluya estrategias en el plan de estudios y el análisis del consejo académico.</v>
          </cell>
          <cell r="T269" t="str">
            <v>Si</v>
          </cell>
          <cell r="U269" t="str">
            <v>Validar las acciones realizadas por la institución educativa con respecto al análisis de los resultados pruebas SABER 11 y estrategias de mejoramiento.  Se realiza mesa de seguimiento el día 22 de septiembre 2025. El 27 de febrero se validará el cumplimiento total del plan de mejoramiento.</v>
          </cell>
        </row>
        <row r="270">
          <cell r="A270">
            <v>1232</v>
          </cell>
          <cell r="B270"/>
          <cell r="C270" t="str">
            <v>KENNEDY</v>
          </cell>
          <cell r="D270" t="str">
            <v>PRIVADO</v>
          </cell>
          <cell r="E270" t="str">
            <v>EPBM</v>
          </cell>
          <cell r="F270" t="str">
            <v>LICEO_REYNEL</v>
          </cell>
          <cell r="G270" t="str">
            <v>LICEO REYNEL</v>
          </cell>
          <cell r="H270" t="str">
            <v>Autoevaluación Institucional y Pruebas SABER 11</v>
          </cell>
          <cell r="I270" t="str">
            <v>SEGUIMIENTO_Y_SUPERVISIÓN.</v>
          </cell>
          <cell r="J270" t="str">
            <v xml:space="preserve">Verificar la implementación por parte de los colegios, de acciones realizadas para la prevención y atención de las situaciones de convivencia en el entorno escolar, según lo establecido en la Directiva 01 de 2022 del MEN. </v>
          </cell>
          <cell r="K270" t="str">
            <v>INGRID VIVIANA DÁVILA ÁVILA</v>
          </cell>
          <cell r="L270" t="str">
            <v xml:space="preserve">DIANA ZULAY HUERTAS ORTÍZ </v>
          </cell>
          <cell r="M270">
            <v>45882</v>
          </cell>
          <cell r="N270">
            <v>45882</v>
          </cell>
          <cell r="O270">
            <v>45882</v>
          </cell>
          <cell r="P270" t="str">
            <v>Visitas de evaluación con fines de mejoramiento</v>
          </cell>
          <cell r="Q270" t="str">
            <v>LICEO REYNEL.pdf</v>
          </cell>
          <cell r="R270" t="str">
            <v xml:space="preserve">La EI cuenta con un plan de promoción y prevención de situaciones que afectan la convivencia. </v>
          </cell>
          <cell r="S270" t="str">
            <v>Planear y ejecutar anualmente un plan de acción que dé cuenta de las acciones de promoción y prevención de situaciones que afectan la convivencia .</v>
          </cell>
          <cell r="T270" t="str">
            <v>No</v>
          </cell>
          <cell r="U270" t="str">
            <v xml:space="preserve">El ELIV, verificará la ejecución y evaluación del plan de acción para la promoción de la convivencia escolar. </v>
          </cell>
        </row>
        <row r="271">
          <cell r="A271">
            <v>1233</v>
          </cell>
          <cell r="B271"/>
          <cell r="C271" t="str">
            <v>KENNEDY</v>
          </cell>
          <cell r="D271" t="str">
            <v>PRIVADO</v>
          </cell>
          <cell r="E271" t="str">
            <v>EPBM</v>
          </cell>
          <cell r="F271" t="str">
            <v>LICEO_REYNEL</v>
          </cell>
          <cell r="G271" t="str">
            <v>LICEO REYNEL</v>
          </cell>
          <cell r="H271" t="str">
            <v>Autoevaluación Institucional y Pruebas SABER 11</v>
          </cell>
          <cell r="I271" t="str">
            <v>SEGUIMIENTO_Y_SUPERVISIÓN.</v>
          </cell>
          <cell r="J27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71" t="str">
            <v>INGRID VIVIANA DÁVILA ÁVILA</v>
          </cell>
          <cell r="L271" t="str">
            <v xml:space="preserve">DIANA ZULAY HUERTAS ORTÍZ </v>
          </cell>
          <cell r="M271">
            <v>45882</v>
          </cell>
          <cell r="N271">
            <v>45882</v>
          </cell>
          <cell r="O271">
            <v>45882</v>
          </cell>
          <cell r="P271" t="str">
            <v>Visitas de evaluación con fines de mejoramiento</v>
          </cell>
          <cell r="Q271" t="str">
            <v>LICEO REYNEL.pdf</v>
          </cell>
          <cell r="R271" t="str">
            <v xml:space="preserve">La institución educativa tiene estudiantes con discapacidad y no tiene soportes del Plan Individual de Ajustes Razonables -PIAR y su respectivo seguimiento. </v>
          </cell>
          <cell r="S271" t="str">
            <v xml:space="preserve">Elaborar los Planes Individuales de Ajustes Razonables -PIAR de cada uno de los estudiantes caracterizados y realizar el respectivo seguimiento. </v>
          </cell>
          <cell r="T271" t="str">
            <v>Si</v>
          </cell>
          <cell r="U271" t="str">
            <v>Verificar que el cumplimiento de los  PIAR.  Se realiza mesa de seguimiento el día 22 de septiembre 2025. El 27 de febrero se validará el cumplimiento total del plan de mejoramiento.</v>
          </cell>
        </row>
        <row r="272">
          <cell r="A272">
            <v>1234</v>
          </cell>
          <cell r="B272"/>
          <cell r="C272" t="str">
            <v>KENNEDY</v>
          </cell>
          <cell r="D272" t="str">
            <v>PRIVADO</v>
          </cell>
          <cell r="E272" t="str">
            <v>EPBM</v>
          </cell>
          <cell r="F272" t="str">
            <v>LICEO_REYNEL</v>
          </cell>
          <cell r="G272" t="str">
            <v>LICEO REYNEL</v>
          </cell>
          <cell r="H272" t="str">
            <v>Autoevaluación Institucional y Pruebas SABER 11</v>
          </cell>
          <cell r="I272" t="str">
            <v>EVALUACIÓN_CON_FINES_DE_MEJORAMIENTO.</v>
          </cell>
          <cell r="J27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2" t="str">
            <v>INGRID VIVIANA DÁVILA ÁVILA</v>
          </cell>
          <cell r="L272" t="str">
            <v xml:space="preserve">DIANA ZULAY HUERTAS ORTÍZ </v>
          </cell>
          <cell r="M272">
            <v>45882</v>
          </cell>
          <cell r="N272">
            <v>45882</v>
          </cell>
          <cell r="O272">
            <v>45882</v>
          </cell>
          <cell r="P272" t="str">
            <v>Visitas de evaluación con fines de mejoramiento</v>
          </cell>
          <cell r="Q272" t="str">
            <v>LICEO REYNEL.pdf</v>
          </cell>
          <cell r="R272" t="str">
            <v>La IE debe actualizar el manual de convivencia de acuerdo  con la normatividad vigente.</v>
          </cell>
          <cell r="S272" t="str">
            <v xml:space="preserve"> Actualizar de manera participativa el manual de convivencia de la institución teniendo los enfoques, la tipificación de situaciones y las faltas de acuerdo a la ley 1620 y decreto 1965.</v>
          </cell>
          <cell r="T272" t="str">
            <v>Si</v>
          </cell>
          <cell r="U272" t="str">
            <v>El ELIV verificará la actualización del manual de convivencia.  Se realiza mesa de seguimiento el día 22 de septiembre 2025. El 27 de febrero se validará el cumplimiento total del plan de mejoramiento.</v>
          </cell>
        </row>
        <row r="273">
          <cell r="A273">
            <v>1235</v>
          </cell>
          <cell r="B273"/>
          <cell r="C273" t="str">
            <v>KENNEDY</v>
          </cell>
          <cell r="D273" t="str">
            <v>PRIVADO</v>
          </cell>
          <cell r="E273" t="str">
            <v>EPBM</v>
          </cell>
          <cell r="F273" t="str">
            <v>LICEO_REYNEL</v>
          </cell>
          <cell r="G273" t="str">
            <v>LICEO REYNEL</v>
          </cell>
          <cell r="H273" t="str">
            <v>Autoevaluación Institucional y Pruebas SABER 11</v>
          </cell>
          <cell r="I273" t="str">
            <v>EVALUACIÓN_CON_FINES_DE_MEJORAMIENTO.</v>
          </cell>
          <cell r="J273" t="str">
            <v>Revisar la actualización, socialización e implementación del Sistema Institucional de Evaluación de Estudiantes - SIEE, en articulación con la actualización del PEI y la normatividad vigente.</v>
          </cell>
          <cell r="K273" t="str">
            <v>INGRID VIVIANA DÁVILA ÁVILA</v>
          </cell>
          <cell r="L273" t="str">
            <v xml:space="preserve">DIANA ZULAY HUERTAS ORTÍZ </v>
          </cell>
          <cell r="M273">
            <v>45882</v>
          </cell>
          <cell r="N273">
            <v>45882</v>
          </cell>
          <cell r="O273">
            <v>45882</v>
          </cell>
          <cell r="P273" t="str">
            <v>Visitas de evaluación con fines de mejoramiento</v>
          </cell>
          <cell r="Q273" t="str">
            <v>LICEO REYNEL.pdf</v>
          </cell>
          <cell r="R273" t="str">
            <v>El SIEE de la IE no desarrolla un proceso de valoración y seguimiento del aprendizaje de los estudiantes del nivel de preescolar.</v>
          </cell>
          <cell r="S273" t="str">
            <v>La IE debe incluir en el SIEE proceso de valoración y seguimiento del aprendizaje de los estudiantes del nivel de preescolar.</v>
          </cell>
          <cell r="T273" t="str">
            <v>Si</v>
          </cell>
          <cell r="U273" t="str">
            <v>Seguimiento al cumplimiento de las acciones de mejoramiento.  Se realiza mesa de seguimiento el día 22 de septiembre 2025. El 27 de febrero se validará el cumplimiento total del plan de mejoramiento.</v>
          </cell>
        </row>
        <row r="274">
          <cell r="A274">
            <v>1236</v>
          </cell>
          <cell r="B274"/>
          <cell r="C274" t="str">
            <v>KENNEDY</v>
          </cell>
          <cell r="D274" t="str">
            <v>PRIVADO</v>
          </cell>
          <cell r="E274" t="str">
            <v>EPBM</v>
          </cell>
          <cell r="F274" t="str">
            <v>LICEO_REYNEL</v>
          </cell>
          <cell r="G274" t="str">
            <v>LICEO REYNEL</v>
          </cell>
          <cell r="H274" t="str">
            <v>Autoevaluación Institucional y Pruebas SABER 11</v>
          </cell>
          <cell r="I274" t="str">
            <v>EVALUACIÓN_CON_FINES_DE_MEJORAMIENTO.</v>
          </cell>
          <cell r="J274" t="str">
            <v>Revisar el calendario escolar, jornada escolar, la intensidad horaria mínima anual en cada nivel y las modificaciones que se realicen al mismo, de acuerdo con lo previsto en la normatividad vigente.</v>
          </cell>
          <cell r="K274" t="str">
            <v>INGRID VIVIANA DÁVILA ÁVILA</v>
          </cell>
          <cell r="L274" t="str">
            <v xml:space="preserve">DIANA ZULAY HUERTAS ORTÍZ </v>
          </cell>
          <cell r="M274">
            <v>45882</v>
          </cell>
          <cell r="N274">
            <v>45882</v>
          </cell>
          <cell r="O274">
            <v>45882</v>
          </cell>
          <cell r="P274" t="str">
            <v>Visitas de evaluación con fines de mejoramiento</v>
          </cell>
          <cell r="Q274" t="str">
            <v>LICEO REYNEL.pdf</v>
          </cell>
          <cell r="R274" t="str">
            <v>Se evidenció que  la IE cumple con la intensidad mínima anual en cada nivel, de acuerdo con lo previsto en la normatividad vigente.</v>
          </cell>
          <cell r="S274" t="str">
            <v xml:space="preserve">Continuar cumpliendo con la normatividad vigente, sobre la intensidad horaria mínima anual. </v>
          </cell>
          <cell r="T274" t="str">
            <v>No</v>
          </cell>
          <cell r="U274" t="str">
            <v xml:space="preserve">El ELIV, verificará el cumplimiento del calendario escolar. </v>
          </cell>
        </row>
        <row r="275">
          <cell r="A275">
            <v>1237</v>
          </cell>
          <cell r="B275"/>
          <cell r="C275" t="str">
            <v>KENNEDY</v>
          </cell>
          <cell r="D275" t="str">
            <v>PRIVADO</v>
          </cell>
          <cell r="E275" t="str">
            <v>EPBM</v>
          </cell>
          <cell r="F275" t="str">
            <v>LICEO_REYNEL</v>
          </cell>
          <cell r="G275" t="str">
            <v>LICEO REYNEL</v>
          </cell>
          <cell r="H275" t="str">
            <v>Autoevaluación Institucional y Pruebas SABER 11</v>
          </cell>
          <cell r="I275" t="str">
            <v>EVALUACIÓN_CON_FINES_DE_MEJORAMIENTO.</v>
          </cell>
          <cell r="J275" t="str">
            <v>Verificar el funcionamiento del Gobierno Escolar e instancias de participación con base en la información sobre conformación reportada por la institución educativa.</v>
          </cell>
          <cell r="K275" t="str">
            <v>INGRID VIVIANA DÁVILA ÁVILA</v>
          </cell>
          <cell r="L275" t="str">
            <v xml:space="preserve">DIANA ZULAY HUERTAS ORTÍZ </v>
          </cell>
          <cell r="M275">
            <v>45882</v>
          </cell>
          <cell r="N275">
            <v>45882</v>
          </cell>
          <cell r="O275">
            <v>45882</v>
          </cell>
          <cell r="P275" t="str">
            <v>Visitas de evaluación con fines de mejoramiento</v>
          </cell>
          <cell r="Q275" t="str">
            <v>LICEO REYNEL.pdf</v>
          </cell>
          <cell r="R275" t="str">
            <v>La IE cumple con la conformación y funcionamiento del gobierno escolar y las instancias de participación.</v>
          </cell>
          <cell r="S275" t="str">
            <v>La EE, debe seguir cumpliendo con la  conformación y funcionamiento del gobierno escolar y las instancias de participación.  Debe reunir el consejo directivo de acuerdo a la normatividad vigente.</v>
          </cell>
          <cell r="T275" t="str">
            <v>No</v>
          </cell>
          <cell r="U275" t="str">
            <v xml:space="preserve">El ELIV verificará la operatividad del gobierno escolar. </v>
          </cell>
        </row>
        <row r="276">
          <cell r="A276">
            <v>2798</v>
          </cell>
          <cell r="B276"/>
          <cell r="C276" t="str">
            <v>KENNEDY</v>
          </cell>
          <cell r="D276" t="str">
            <v>PRIVADO</v>
          </cell>
          <cell r="E276" t="str">
            <v>EPBM</v>
          </cell>
          <cell r="F276" t="str">
            <v>LICEO_REYNEL</v>
          </cell>
          <cell r="G276" t="str">
            <v>LICEO REYNEL</v>
          </cell>
          <cell r="H276" t="str">
            <v>Autoevaluación Institucional y Pruebas SABER 11</v>
          </cell>
          <cell r="I276" t="str">
            <v>EVALUACIÓN_CON_FINES_DE_MEJORAMIENTO.</v>
          </cell>
          <cell r="J276" t="str">
            <v>Verificar las condiciones en cuanto a: la estructura administrativa, condiciones de la planta física y medios educativos adecuados.</v>
          </cell>
          <cell r="K276" t="str">
            <v>INGRID VIVIANA DÁVILA ÁVILA</v>
          </cell>
          <cell r="L276" t="str">
            <v xml:space="preserve">DIANA ZULAY HUERTAS ORTÍZ </v>
          </cell>
          <cell r="M276">
            <v>45882</v>
          </cell>
          <cell r="N276">
            <v>45882</v>
          </cell>
          <cell r="O276">
            <v>45882</v>
          </cell>
          <cell r="P276" t="str">
            <v>Visitas de evaluación con fines de mejoramiento</v>
          </cell>
          <cell r="Q276" t="str">
            <v>LICEO REYNEL.pdf</v>
          </cell>
          <cell r="R276" t="str">
            <v>La IE cumple con las condiciones de estructura administrativa, condiciones de la planta física y medios educativos adecuados, ya que cuenta con espacios en condiciones adecuados de iluminación y ventilación.</v>
          </cell>
          <cell r="S276" t="str">
            <v xml:space="preserve">La EE debe mantener las condiciones de prestación del servicio, en cuanto estructura administrativa, planta física y medios educativos. </v>
          </cell>
          <cell r="T276" t="str">
            <v>No</v>
          </cell>
          <cell r="U276" t="str">
            <v xml:space="preserve">El ELIV verificará que se mantengan las condiciones de prestación del servicio. </v>
          </cell>
        </row>
        <row r="277">
          <cell r="A277">
            <v>1238</v>
          </cell>
          <cell r="B277">
            <v>42</v>
          </cell>
          <cell r="C277" t="str">
            <v>KENNEDY</v>
          </cell>
          <cell r="D277" t="str">
            <v>PRIVADO</v>
          </cell>
          <cell r="E277" t="str">
            <v>EPBM</v>
          </cell>
          <cell r="F277" t="str">
            <v>UNIDAD_EDUCATIVA_EL_FUTURO_DEL_MAÑANA</v>
          </cell>
          <cell r="G277" t="str">
            <v>UNIDAD EDUCATIVA EL FUTURO DEL MAÑANA</v>
          </cell>
          <cell r="H277" t="str">
            <v>Autoevaluación Institucional y Pruebas SABER 11</v>
          </cell>
          <cell r="I277" t="str">
            <v>SEGUIMIENTO_Y_SUPERVISIÓN.</v>
          </cell>
          <cell r="J277" t="str">
            <v>Realizar visitas para verificar la información registrada sobre la autoevaluación institucional en el aplicativo EVI, a los establecimientos de educación formal no oficial.</v>
          </cell>
          <cell r="K277" t="str">
            <v xml:space="preserve">DIANA ZULAY HUERTAS ORTÍZ </v>
          </cell>
          <cell r="L277" t="str">
            <v>GERMÁN EDUARDO TORO ROSERO</v>
          </cell>
          <cell r="M277">
            <v>45883</v>
          </cell>
          <cell r="N277">
            <v>45745</v>
          </cell>
          <cell r="O277">
            <v>45745</v>
          </cell>
          <cell r="P277" t="str">
            <v>Visitas de evaluación con fines de mejoramiento</v>
          </cell>
          <cell r="Q277" t="str">
            <v>U_E_FUTURO_DEL_MAÑANA</v>
          </cell>
          <cell r="R277" t="str">
            <v>La institución reporta la información que da cuenta de su realidad institucional.</v>
          </cell>
          <cell r="S277" t="str">
            <v>Seguir reportando la realidad institucional en el EVI</v>
          </cell>
          <cell r="T277" t="str">
            <v>No</v>
          </cell>
          <cell r="U277" t="str">
            <v>Verificar el la próxima vigencia la información reportada en el EVI.</v>
          </cell>
        </row>
        <row r="278">
          <cell r="A278">
            <v>1239</v>
          </cell>
          <cell r="B278"/>
          <cell r="C278" t="str">
            <v>KENNEDY</v>
          </cell>
          <cell r="D278" t="str">
            <v>PRIVADO</v>
          </cell>
          <cell r="E278" t="str">
            <v>EPBM</v>
          </cell>
          <cell r="F278" t="str">
            <v>UNIDAD_EDUCATIVA_EL_FUTURO_DEL_MAÑANA</v>
          </cell>
          <cell r="G278" t="str">
            <v>UNIDAD EDUCATIVA EL FUTURO DEL MAÑANA</v>
          </cell>
          <cell r="H278" t="str">
            <v>Autoevaluación Institucional y Pruebas SABER 11</v>
          </cell>
          <cell r="I278" t="str">
            <v>SEGUIMIENTO_Y_SUPERVISIÓN.</v>
          </cell>
          <cell r="J278" t="str">
            <v>Proponer estrategias en la formulación, verificar su elaboración y realizar seguimiento semestral al desarrollo de  las acciones establecidas en los planes de mejoramiento por pruebas SABER 11 de los establecimientos de educación formal.</v>
          </cell>
          <cell r="K278" t="str">
            <v xml:space="preserve">DIANA ZULAY HUERTAS ORTÍZ </v>
          </cell>
          <cell r="L278" t="str">
            <v>GERMÁN EDUARDO TORO ROSERO</v>
          </cell>
          <cell r="M278">
            <v>45883</v>
          </cell>
          <cell r="N278">
            <v>45745</v>
          </cell>
          <cell r="O278">
            <v>45745</v>
          </cell>
          <cell r="P278" t="str">
            <v>Visitas de evaluación con fines de mejoramiento</v>
          </cell>
          <cell r="Q278" t="str">
            <v>ACTA DE VISITA UNIDAD FUTURO DEL MAÑANA</v>
          </cell>
          <cell r="R278" t="str">
            <v>Se evidenció que la institución carece de un plan de mejoramiento sobre sus resultados de pruebas saber.</v>
          </cell>
          <cell r="S278" t="str">
            <v xml:space="preserve">EE debe adelantar un análisis detallado de los resultados de las pruebas saber 11, lo que les permitirá definir las estrategias pedagógicas para subir la clasificación. </v>
          </cell>
          <cell r="T278" t="str">
            <v>Si</v>
          </cell>
          <cell r="U278" t="str">
            <v xml:space="preserve">Revisión de las acciones ejecutadas por la institución educativa con respecto al análisis realizado de las pruebas saber  Se realiza mesa de seguimiento el día 18 de septiembre 2025. </v>
          </cell>
        </row>
        <row r="279">
          <cell r="A279">
            <v>1240</v>
          </cell>
          <cell r="B279"/>
          <cell r="C279" t="str">
            <v>KENNEDY</v>
          </cell>
          <cell r="D279" t="str">
            <v>PRIVADO</v>
          </cell>
          <cell r="E279" t="str">
            <v>EPBM</v>
          </cell>
          <cell r="F279" t="str">
            <v>UNIDAD_EDUCATIVA_EL_FUTURO_DEL_MAÑANA</v>
          </cell>
          <cell r="G279" t="str">
            <v>UNIDAD EDUCATIVA EL FUTURO DEL MAÑANA</v>
          </cell>
          <cell r="H279" t="str">
            <v>Autoevaluación Institucional y Pruebas SABER 11</v>
          </cell>
          <cell r="I279" t="str">
            <v>EVALUACIÓN_CON_FINES_DE_MEJORAMIENTO.</v>
          </cell>
          <cell r="J27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79" t="str">
            <v xml:space="preserve">DIANA ZULAY HUERTAS ORTÍZ </v>
          </cell>
          <cell r="L279" t="str">
            <v>GERMÁN EDUARDO TORO ROSERO</v>
          </cell>
          <cell r="M279">
            <v>45883</v>
          </cell>
          <cell r="N279">
            <v>45745</v>
          </cell>
          <cell r="O279">
            <v>45745</v>
          </cell>
          <cell r="P279" t="str">
            <v>Visitas de evaluación con fines de mejoramiento</v>
          </cell>
          <cell r="Q279" t="str">
            <v>ACTA DE VISITA UNIDAD FUTURO DEL MAÑANA</v>
          </cell>
          <cell r="R279" t="str">
            <v xml:space="preserve">La EE carece de evidencias en la actualización, socialización e implementación del manual de convivencia. </v>
          </cell>
          <cell r="S279" t="str">
            <v xml:space="preserve">EE Actualizar, socializar e implementar el manual de convivencia, dejando evidencia de una construcción participativa con la comunidad educativa. </v>
          </cell>
          <cell r="T279" t="str">
            <v>Si</v>
          </cell>
          <cell r="U279" t="str">
            <v xml:space="preserve">ELIV hará seguimiento a la actualización del manual de convivencia, teniendo en cuenta la normatividad vigente. Se realiza mesa de seguimiento el día 18 de septiembre 2025. </v>
          </cell>
        </row>
        <row r="280">
          <cell r="A280">
            <v>1241</v>
          </cell>
          <cell r="B280"/>
          <cell r="C280" t="str">
            <v>KENNEDY</v>
          </cell>
          <cell r="D280" t="str">
            <v>PRIVADO</v>
          </cell>
          <cell r="E280" t="str">
            <v>EPBM</v>
          </cell>
          <cell r="F280" t="str">
            <v>UNIDAD_EDUCATIVA_EL_FUTURO_DEL_MAÑANA</v>
          </cell>
          <cell r="G280" t="str">
            <v>UNIDAD EDUCATIVA EL FUTURO DEL MAÑANA</v>
          </cell>
          <cell r="H280" t="str">
            <v>Autoevaluación Institucional y Pruebas SABER 11</v>
          </cell>
          <cell r="I280" t="str">
            <v>EVALUACIÓN_CON_FINES_DE_MEJORAMIENTO.</v>
          </cell>
          <cell r="J280" t="str">
            <v>Revisar el calendario escolar, jornada escolar, la intensidad horaria mínima anual en cada nivel y las modificaciones que se realicen al mismo, de acuerdo con lo previsto en la normatividad vigente.</v>
          </cell>
          <cell r="K280" t="str">
            <v xml:space="preserve">DIANA ZULAY HUERTAS ORTÍZ </v>
          </cell>
          <cell r="L280" t="str">
            <v>GERMÁN EDUARDO TORO ROSERO</v>
          </cell>
          <cell r="M280">
            <v>45883</v>
          </cell>
          <cell r="N280">
            <v>45745</v>
          </cell>
          <cell r="O280">
            <v>45745</v>
          </cell>
          <cell r="P280" t="str">
            <v>Visitas de evaluación con fines de mejoramiento</v>
          </cell>
          <cell r="Q280" t="str">
            <v>ACTA DE VISITA UNIDAD FUTURO DEL MAÑANA</v>
          </cell>
          <cell r="R280" t="str">
            <v>El calendario académico no cumple con la normatividad vigente.</v>
          </cell>
          <cell r="S280" t="str">
            <v>La EE debe ajustar el calendario académico para cumplir con la normatividad vigente.</v>
          </cell>
          <cell r="T280" t="str">
            <v>Si</v>
          </cell>
          <cell r="U280" t="str">
            <v xml:space="preserve">Revisión del ajuste al calendario académico o modificación de la licencia de funcionamiento en modalidad semipresencial. Se realiza mesa de seguimiento el día 18 de septiembre 2025. </v>
          </cell>
        </row>
        <row r="281">
          <cell r="A281">
            <v>1242</v>
          </cell>
          <cell r="B281"/>
          <cell r="C281" t="str">
            <v>KENNEDY</v>
          </cell>
          <cell r="D281" t="str">
            <v>PRIVADO</v>
          </cell>
          <cell r="E281" t="str">
            <v>EPBM</v>
          </cell>
          <cell r="F281" t="str">
            <v>UNIDAD_EDUCATIVA_EL_FUTURO_DEL_MAÑANA</v>
          </cell>
          <cell r="G281" t="str">
            <v>UNIDAD EDUCATIVA EL FUTURO DEL MAÑANA</v>
          </cell>
          <cell r="H281" t="str">
            <v>Autoevaluación Institucional y Pruebas SABER 11</v>
          </cell>
          <cell r="I281" t="str">
            <v>EVALUACIÓN_CON_FINES_DE_MEJORAMIENTO.</v>
          </cell>
          <cell r="J281" t="str">
            <v>Verificar las condiciones en cuanto a: la estructura administrativa, condiciones de la planta física y medios educativos adecuados.</v>
          </cell>
          <cell r="K281" t="str">
            <v xml:space="preserve">DIANA ZULAY HUERTAS ORTÍZ </v>
          </cell>
          <cell r="L281" t="str">
            <v>GERMÁN EDUARDO TORO ROSERO</v>
          </cell>
          <cell r="M281">
            <v>45883</v>
          </cell>
          <cell r="N281">
            <v>45745</v>
          </cell>
          <cell r="O281">
            <v>45745</v>
          </cell>
          <cell r="P281" t="str">
            <v>Visitas de evaluación con fines de mejoramiento</v>
          </cell>
          <cell r="Q281" t="str">
            <v>ACTA DE VISITA UNIDAD FUTURO DEL MAÑANA</v>
          </cell>
          <cell r="R281" t="str">
            <v>Se evidenció que EE no cuenta con laboratorios de ciencias naturales.</v>
          </cell>
          <cell r="S281" t="str">
            <v>La EE debe acondicionar espacios para laboratorio con su respectiva dotación o gestionar convenios con otras entidades.</v>
          </cell>
          <cell r="T281" t="str">
            <v>Si</v>
          </cell>
          <cell r="U281" t="str">
            <v xml:space="preserve">ELIV realizará seguimiento al cumplimiento de este compromiso. Se realiza mesa de seguimiento el día 18 de septiembre 2025. </v>
          </cell>
        </row>
        <row r="282">
          <cell r="A282">
            <v>1243</v>
          </cell>
          <cell r="B282">
            <v>43</v>
          </cell>
          <cell r="C282" t="str">
            <v>KENNEDY</v>
          </cell>
          <cell r="D282" t="str">
            <v>PRIVADO</v>
          </cell>
          <cell r="E282" t="str">
            <v>EPBM</v>
          </cell>
          <cell r="F282" t="str">
            <v>UNIDAD_EDUCATIVA_JEAN_PIAGET</v>
          </cell>
          <cell r="G282" t="str">
            <v>UNIDAD EDUCATIVA JEAN PIAGET</v>
          </cell>
          <cell r="H282" t="str">
            <v>Autoevaluación Institucional y Pruebas SABER 11</v>
          </cell>
          <cell r="I282" t="str">
            <v>SEGUIMIENTO_Y_SUPERVISIÓN.</v>
          </cell>
          <cell r="J282" t="str">
            <v>Realizar visitas para verificar la información registrada sobre la autoevaluación institucional en el aplicativo EVI, a los establecimientos de educación formal no oficial.</v>
          </cell>
          <cell r="K282" t="str">
            <v>ADRIANA VENEGAS VALERA</v>
          </cell>
          <cell r="L282" t="str">
            <v>VIVANA PILAR BOHÓRQUEZ DÍAZ</v>
          </cell>
          <cell r="M282">
            <v>45889</v>
          </cell>
          <cell r="N282">
            <v>45882</v>
          </cell>
          <cell r="O282">
            <v>45882</v>
          </cell>
          <cell r="P282" t="str">
            <v>Visitas de evaluación con fines de mejoramiento</v>
          </cell>
          <cell r="Q282" t="str">
            <v>UNIDAD EDUCATIVA JEAN PIAGET.pdf</v>
          </cell>
          <cell r="R282" t="str">
            <v>La información reportada en el EVI es coherente con la realidad institucional.</v>
          </cell>
          <cell r="S282" t="str">
            <v>Continuar reportando la información en las condiciones que se realizaron en la vigencia anterior.</v>
          </cell>
          <cell r="T282" t="str">
            <v>No</v>
          </cell>
          <cell r="U282" t="str">
            <v xml:space="preserve">Verificar en la próxima vigencia la información reportada en el EVI. </v>
          </cell>
        </row>
        <row r="283">
          <cell r="A283">
            <v>1244</v>
          </cell>
          <cell r="B283"/>
          <cell r="C283" t="str">
            <v>KENNEDY</v>
          </cell>
          <cell r="D283" t="str">
            <v>PRIVADO</v>
          </cell>
          <cell r="E283" t="str">
            <v>EPBM</v>
          </cell>
          <cell r="F283" t="str">
            <v>UNIDAD_EDUCATIVA_JEAN_PIAGET</v>
          </cell>
          <cell r="G283" t="str">
            <v>UNIDAD EDUCATIVA JEAN PIAGET</v>
          </cell>
          <cell r="H283" t="str">
            <v>Autoevaluación Institucional y Pruebas SABER 11</v>
          </cell>
          <cell r="I283" t="str">
            <v>SEGUIMIENTO_Y_SUPERVISIÓN.</v>
          </cell>
          <cell r="J283" t="str">
            <v>Proponer estrategias en la formulación, verificar su elaboración y realizar seguimiento semestral al desarrollo de  las acciones establecidas en los planes de mejoramiento por pruebas SABER 11 de los establecimientos de educación formal.</v>
          </cell>
          <cell r="K283" t="str">
            <v>ADRIANA VENEGAS VALERA</v>
          </cell>
          <cell r="L283" t="str">
            <v>VIVANA PILAR BOHÓRQUEZ DÍAZ</v>
          </cell>
          <cell r="M283">
            <v>45889</v>
          </cell>
          <cell r="N283">
            <v>45882</v>
          </cell>
          <cell r="O283">
            <v>45882</v>
          </cell>
          <cell r="P283" t="str">
            <v>Visitas de evaluación con fines de mejoramiento</v>
          </cell>
          <cell r="Q283" t="str">
            <v>UNIDAD EDUCATIVA JEAN PIAGET.pdf</v>
          </cell>
          <cell r="R283" t="str">
            <v>La institución educativa cuenta con un plan de mejora para avanzar en los resultados de la pruebas SABER 11; sin embargo, este no ha sido avalado por el Consejo Académico.</v>
          </cell>
          <cell r="S283" t="str">
            <v xml:space="preserve">Contemplar el ajuste del currículo y el plan de estudios de acuerdo a los resultados de las pruebas SABER 11 y movilizarlo en el Consejo Académico. </v>
          </cell>
          <cell r="T283" t="str">
            <v>Si</v>
          </cell>
          <cell r="U283" t="str">
            <v>Seguimiento a las acciones avaladas por el Consejo Académico en relación con las pruebas SABER 11. Se realiza mesa de seguimiento el día 22 de septiembre 2025. El 5 de diciembre se validará el cumplimiento total del plan de mejoramiento.</v>
          </cell>
        </row>
        <row r="284">
          <cell r="A284">
            <v>1246</v>
          </cell>
          <cell r="B284"/>
          <cell r="C284" t="str">
            <v>KENNEDY</v>
          </cell>
          <cell r="D284" t="str">
            <v>PRIVADO</v>
          </cell>
          <cell r="E284" t="str">
            <v>EPBM</v>
          </cell>
          <cell r="F284" t="str">
            <v>UNIDAD_EDUCATIVA_JEAN_PIAGET</v>
          </cell>
          <cell r="G284" t="str">
            <v>UNIDAD EDUCATIVA JEAN PIAGET</v>
          </cell>
          <cell r="H284" t="str">
            <v>Autoevaluación Institucional y Pruebas SABER 11</v>
          </cell>
          <cell r="I284" t="str">
            <v>SEGUIMIENTO_Y_SUPERVISIÓN.</v>
          </cell>
          <cell r="J284"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284" t="str">
            <v>ADRIANA VENEGAS VALERA</v>
          </cell>
          <cell r="L284" t="str">
            <v>VIVANA PILAR BOHÓRQUEZ DÍAZ</v>
          </cell>
          <cell r="M284">
            <v>45889</v>
          </cell>
          <cell r="N284">
            <v>45882</v>
          </cell>
          <cell r="O284">
            <v>45882</v>
          </cell>
          <cell r="P284" t="str">
            <v>Visitas de evaluación con fines de mejoramiento</v>
          </cell>
          <cell r="Q284" t="str">
            <v>UNIDAD EDUCATIVA JEAN PIAGET.pdf</v>
          </cell>
          <cell r="R284" t="str">
            <v xml:space="preserve">La IE cuenta con los Planes Individuales de Ajustes Razonables de los estudiantes caracterizados; sin embargo, no se encuentran firmados por los padres de familia y no se ha realizado el seguimiento pertinente. </v>
          </cell>
          <cell r="S284" t="str">
            <v xml:space="preserve">Los PIAR deben ser socializados con las familias y adelantar el respectivo seguimiento. </v>
          </cell>
          <cell r="T284" t="str">
            <v>Si</v>
          </cell>
          <cell r="U284" t="str">
            <v>Seguimiento al cumplimiento de las acciones definidas en el plan de mejoramiento.   Se realiza mesa de seguimiento el día 22 de septiembre 2025. El 5 de diciembre se validará el cumplimiento total del plan de mejoramiento.</v>
          </cell>
        </row>
        <row r="285">
          <cell r="A285"/>
          <cell r="B285"/>
          <cell r="C285" t="str">
            <v>KENNEDY</v>
          </cell>
          <cell r="D285" t="str">
            <v>PRIVADO</v>
          </cell>
          <cell r="E285" t="str">
            <v>EPBM</v>
          </cell>
          <cell r="F285" t="str">
            <v>UNIDAD_EDUCATIVA_JEAN_PIAGET</v>
          </cell>
          <cell r="G285" t="str">
            <v>UNIDAD EDUCATIVA JEAN PIAGET</v>
          </cell>
          <cell r="H285" t="str">
            <v>Autoevaluación Institucional y Pruebas SABER 11</v>
          </cell>
          <cell r="I285" t="str">
            <v>SEGUIMIENTO_Y_SUPERVISIÓN.</v>
          </cell>
          <cell r="J285" t="str">
            <v xml:space="preserve">Verificar la implementación por parte de los colegios, de acciones realizadas para la prevención y atención de las situaciones de convivencia en el entorno escolar, según lo establecido en la Directiva 01 de 2022 del MEN. </v>
          </cell>
          <cell r="K285" t="str">
            <v>ADRIANA VENEGAS VALERA</v>
          </cell>
          <cell r="L285" t="str">
            <v>VIVANA PILAR BOHÓRQUEZ DÍAZ</v>
          </cell>
          <cell r="M285">
            <v>45889</v>
          </cell>
          <cell r="N285">
            <v>45882</v>
          </cell>
          <cell r="O285">
            <v>45882</v>
          </cell>
          <cell r="P285" t="str">
            <v>Visitas de evaluación con fines de mejoramiento</v>
          </cell>
          <cell r="Q285" t="str">
            <v>UNIDAD EDUCATIVA JEAN PIAGET.pdf</v>
          </cell>
          <cell r="R285" t="str">
            <v xml:space="preserve"> Se han realizado las verificación de inhabilidades por delitos sexuales del personal vinculado.</v>
          </cell>
          <cell r="S285" t="str">
            <v xml:space="preserve">Verificar la inhabilidad por delitos sexuales cada 4 meses. </v>
          </cell>
          <cell r="T285" t="str">
            <v>No</v>
          </cell>
          <cell r="U285" t="str">
            <v>En caso de presentarse una situación convivencial verificar la activación de ruta y el reporte en el sistema de alertas</v>
          </cell>
        </row>
        <row r="286">
          <cell r="A286">
            <v>1247</v>
          </cell>
          <cell r="B286"/>
          <cell r="C286" t="str">
            <v>KENNEDY</v>
          </cell>
          <cell r="D286" t="str">
            <v>PRIVADO</v>
          </cell>
          <cell r="E286" t="str">
            <v>EPBM</v>
          </cell>
          <cell r="F286" t="str">
            <v>UNIDAD_EDUCATIVA_JEAN_PIAGET</v>
          </cell>
          <cell r="G286" t="str">
            <v>UNIDAD EDUCATIVA JEAN PIAGET</v>
          </cell>
          <cell r="H286" t="str">
            <v>Autoevaluación Institucional y Pruebas SABER 11</v>
          </cell>
          <cell r="I286" t="str">
            <v>EVALUACIÓN_CON_FINES_DE_MEJORAMIENTO.</v>
          </cell>
          <cell r="J286"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286" t="str">
            <v>ADRIANA VENEGAS VALERA</v>
          </cell>
          <cell r="L286" t="str">
            <v>VIVANA PILAR BOHÓRQUEZ DÍAZ</v>
          </cell>
          <cell r="M286">
            <v>45889</v>
          </cell>
          <cell r="N286">
            <v>45882</v>
          </cell>
          <cell r="O286">
            <v>45882</v>
          </cell>
          <cell r="P286" t="str">
            <v>Visitas de evaluación con fines de mejoramiento</v>
          </cell>
          <cell r="Q286" t="str">
            <v>UNIDAD EDUCATIVA JEAN PIAGET.pdf</v>
          </cell>
          <cell r="R286" t="str">
            <v xml:space="preserve">La institución educativa cuenta con un manual de convivencia robusto.  Es necesario avanzar en la comprensión de la tipología de las faltas, debido proceso, así como los enfoques de inclusión y justicia restaurativa escolar. </v>
          </cell>
          <cell r="S286" t="str">
            <v xml:space="preserve">Actualizar el manual de convivencia incorporando la tipología de las faltas, el debido proceso, así como los enfoques de inclusión y justicia restaurativa escolar. </v>
          </cell>
          <cell r="T286" t="str">
            <v>Si</v>
          </cell>
          <cell r="U286" t="str">
            <v>Seguimiento al cumplimiento de las acciones definidas en el plan de mejoramiento.  Se realiza mesa de seguimiento el día 22 de septiembre 2025. El 5 de diciembre se validará el cumplimiento total del plan de mejoramiento.</v>
          </cell>
        </row>
        <row r="287">
          <cell r="A287">
            <v>1248</v>
          </cell>
          <cell r="B287"/>
          <cell r="C287" t="str">
            <v>KENNEDY</v>
          </cell>
          <cell r="D287" t="str">
            <v>PRIVADO</v>
          </cell>
          <cell r="E287" t="str">
            <v>EPBM</v>
          </cell>
          <cell r="F287" t="str">
            <v>UNIDAD_EDUCATIVA_JEAN_PIAGET</v>
          </cell>
          <cell r="G287" t="str">
            <v>UNIDAD EDUCATIVA JEAN PIAGET</v>
          </cell>
          <cell r="H287" t="str">
            <v>Autoevaluación Institucional y Pruebas SABER 11</v>
          </cell>
          <cell r="I287" t="str">
            <v>EVALUACIÓN_CON_FINES_DE_MEJORAMIENTO.</v>
          </cell>
          <cell r="J287" t="str">
            <v>Revisar la actualización, socialización e implementación del Sistema Institucional de Evaluación de Estudiantes - SIEE, en articulación con la actualización del PEI y la normatividad vigente.</v>
          </cell>
          <cell r="K287" t="str">
            <v>ADRIANA VENEGAS VALERA</v>
          </cell>
          <cell r="L287" t="str">
            <v>VIVANA PILAR BOHÓRQUEZ DÍAZ</v>
          </cell>
          <cell r="M287">
            <v>45889</v>
          </cell>
          <cell r="N287">
            <v>45882</v>
          </cell>
          <cell r="O287">
            <v>45882</v>
          </cell>
          <cell r="P287" t="str">
            <v>Visitas de evaluación con fines de mejoramiento</v>
          </cell>
          <cell r="Q287" t="str">
            <v>UNIDAD EDUCATIVA JEAN PIAGET.pdf</v>
          </cell>
          <cell r="R287" t="str">
            <v>El SIEE de la IE no desarrolla un proceso de valoración y seguimiento del aprendizaje de los estudiantes de educación preescolar.</v>
          </cell>
          <cell r="S287" t="str">
            <v>La IE debe incluir en el SIEE proceso de valoración y seguimiento del aprendizaje de los estudiantes de educación preescolar.</v>
          </cell>
          <cell r="T287" t="str">
            <v>Si</v>
          </cell>
          <cell r="U287" t="str">
            <v>Seguimiento al cumplimiento de las acciones de mejoramiento.  Se realiza mesa de seguimiento el día 22 de septiembre 2025. El 5 de diciembre se validará el cumplimiento total del plan de mejoramiento.</v>
          </cell>
        </row>
        <row r="288">
          <cell r="A288">
            <v>1249</v>
          </cell>
          <cell r="B288"/>
          <cell r="C288" t="str">
            <v>KENNEDY</v>
          </cell>
          <cell r="D288" t="str">
            <v>PRIVADO</v>
          </cell>
          <cell r="E288" t="str">
            <v>EPBM</v>
          </cell>
          <cell r="F288" t="str">
            <v>UNIDAD_EDUCATIVA_JEAN_PIAGET</v>
          </cell>
          <cell r="G288" t="str">
            <v>UNIDAD EDUCATIVA JEAN PIAGET</v>
          </cell>
          <cell r="H288" t="str">
            <v>Autoevaluación Institucional y Pruebas SABER 11</v>
          </cell>
          <cell r="I288" t="str">
            <v>EVALUACIÓN_CON_FINES_DE_MEJORAMIENTO.</v>
          </cell>
          <cell r="J288" t="str">
            <v>Revisar el calendario escolar, jornada escolar, la intensidad horaria mínima anual en cada nivel y las modificaciones que se realicen al mismo, de acuerdo con lo previsto en la normatividad vigente.</v>
          </cell>
          <cell r="K288" t="str">
            <v>ADRIANA VENEGAS VALERA</v>
          </cell>
          <cell r="L288" t="str">
            <v>VIVANA PILAR BOHÓRQUEZ DÍAZ</v>
          </cell>
          <cell r="M288">
            <v>45889</v>
          </cell>
          <cell r="N288">
            <v>45882</v>
          </cell>
          <cell r="O288">
            <v>45882</v>
          </cell>
          <cell r="P288" t="str">
            <v>Visitas de evaluación con fines de mejoramiento</v>
          </cell>
          <cell r="Q288" t="str">
            <v>UNIDAD EDUCATIVA JEAN PIAGET.pdf</v>
          </cell>
          <cell r="R288" t="str">
            <v xml:space="preserve">El calendario escolar cumple con lo establecido en la normatividad vigente y fue validado por la Dirección Local de Educación. </v>
          </cell>
          <cell r="S288" t="str">
            <v>Continuar con el cumplimiento del calendario académico de acuerdo a lo programado.</v>
          </cell>
          <cell r="T288" t="str">
            <v>No</v>
          </cell>
          <cell r="U288" t="str">
            <v>Revisión del calendario académico de la siguiente vigencia en los tiempos definidos.  Se realiza mesa de seguimiento el día 22 de septiembre 2025. El 5 de diciembre se validará el cumplimiento total del plan de mejoramiento.</v>
          </cell>
        </row>
        <row r="289">
          <cell r="A289">
            <v>1250</v>
          </cell>
          <cell r="B289"/>
          <cell r="C289" t="str">
            <v>KENNEDY</v>
          </cell>
          <cell r="D289" t="str">
            <v>PRIVADO</v>
          </cell>
          <cell r="E289" t="str">
            <v>EPBM</v>
          </cell>
          <cell r="F289" t="str">
            <v>UNIDAD_EDUCATIVA_JEAN_PIAGET</v>
          </cell>
          <cell r="G289" t="str">
            <v>UNIDAD EDUCATIVA JEAN PIAGET</v>
          </cell>
          <cell r="H289" t="str">
            <v>Autoevaluación Institucional y Pruebas SABER 11</v>
          </cell>
          <cell r="I289" t="str">
            <v>EVALUACIÓN_CON_FINES_DE_MEJORAMIENTO.</v>
          </cell>
          <cell r="J289" t="str">
            <v>Verificar el funcionamiento del Gobierno Escolar e instancias de participación con base en la información sobre conformación reportada por la institución educativa.</v>
          </cell>
          <cell r="K289" t="str">
            <v>ADRIANA VENEGAS VALERA</v>
          </cell>
          <cell r="L289" t="str">
            <v>VIVANA PILAR BOHÓRQUEZ DÍAZ</v>
          </cell>
          <cell r="M289">
            <v>45889</v>
          </cell>
          <cell r="N289">
            <v>45882</v>
          </cell>
          <cell r="O289">
            <v>45882</v>
          </cell>
          <cell r="P289" t="str">
            <v>Visitas de evaluación con fines de mejoramiento</v>
          </cell>
          <cell r="Q289" t="str">
            <v>UNIDAD EDUCATIVA JEAN PIAGET.pdf</v>
          </cell>
          <cell r="R289" t="str">
            <v>La IE cumple con la conformación y funcionamiento del gobierno escolar y las instancias de participación.</v>
          </cell>
          <cell r="S289" t="str">
            <v>La IE debe continuar movilizando el gobierno escolar y  las instancias de participación del gobierno escolar de acuerdo con los reglamentos internos y la normatividad vigente.</v>
          </cell>
          <cell r="T289" t="str">
            <v>No</v>
          </cell>
          <cell r="U289" t="str">
            <v xml:space="preserve">El ELIV verificará la operatividad del gobierno escolar. </v>
          </cell>
        </row>
        <row r="290">
          <cell r="A290">
            <v>1251</v>
          </cell>
          <cell r="B290"/>
          <cell r="C290" t="str">
            <v>KENNEDY</v>
          </cell>
          <cell r="D290" t="str">
            <v>PRIVADO</v>
          </cell>
          <cell r="E290" t="str">
            <v>EPBM</v>
          </cell>
          <cell r="F290" t="str">
            <v>UNIDAD_EDUCATIVA_JEAN_PIAGET</v>
          </cell>
          <cell r="G290" t="str">
            <v>UNIDAD EDUCATIVA JEAN PIAGET</v>
          </cell>
          <cell r="H290" t="str">
            <v>Autoevaluación Institucional y Pruebas SABER 11</v>
          </cell>
          <cell r="I290" t="str">
            <v>EVALUACIÓN_CON_FINES_DE_MEJORAMIENTO.</v>
          </cell>
          <cell r="J290" t="str">
            <v>Verificar las condiciones en cuanto a: la estructura administrativa, condiciones de la planta física y medios educativos adecuados.</v>
          </cell>
          <cell r="K290" t="str">
            <v>ADRIANA VENEGAS VALERA</v>
          </cell>
          <cell r="L290" t="str">
            <v>VIVANA PILAR BOHÓRQUEZ DÍAZ</v>
          </cell>
          <cell r="M290">
            <v>45889</v>
          </cell>
          <cell r="N290">
            <v>45882</v>
          </cell>
          <cell r="O290">
            <v>45882</v>
          </cell>
          <cell r="P290" t="str">
            <v>Visitas de evaluación con fines de mejoramiento</v>
          </cell>
          <cell r="Q290" t="str">
            <v>UNIDAD EDUCATIVA JEAN PIAGET.pdf</v>
          </cell>
          <cell r="R290" t="str">
            <v>La IE cumple con las condiciones de estructura administrativa, condiciones de la planta física y medios educativos adecuados, sin embargo es necesario adelantar algunos ajustes razonables de infraestructura para la inclusión de las personas con discapacidad.</v>
          </cell>
          <cell r="S290" t="str">
            <v xml:space="preserve">La IE debe mantener las condiciones de prestación del servicio, en cuanto estructura administrativa, planta física y medios educativos y plantear los ajustes razonables que se pueden iniciar en la infraestructura. </v>
          </cell>
          <cell r="T290" t="str">
            <v>Si</v>
          </cell>
          <cell r="U290" t="str">
            <v>Seguimiento al cumplimiento de las acciones definidas en el plan de mejoramiento.  Se realiza mesa de seguimiento el día 22 de septiembre 2025. El 5 de diciembre se validará el cumplimiento total del plan de mejoramiento.</v>
          </cell>
        </row>
        <row r="291">
          <cell r="A291"/>
          <cell r="B291"/>
          <cell r="C291"/>
          <cell r="D291"/>
          <cell r="E291"/>
          <cell r="F291"/>
          <cell r="G291"/>
          <cell r="H291"/>
          <cell r="I291"/>
          <cell r="J291"/>
          <cell r="K291"/>
          <cell r="L291"/>
          <cell r="M291"/>
          <cell r="N291"/>
          <cell r="O291"/>
          <cell r="P291"/>
          <cell r="Q291"/>
          <cell r="R291"/>
          <cell r="S291"/>
          <cell r="T291"/>
          <cell r="U291"/>
        </row>
        <row r="292">
          <cell r="A292"/>
          <cell r="B292"/>
          <cell r="C292"/>
          <cell r="D292"/>
          <cell r="E292"/>
          <cell r="F292"/>
          <cell r="G292"/>
          <cell r="H292"/>
          <cell r="I292"/>
          <cell r="J292"/>
          <cell r="K292"/>
          <cell r="L292"/>
          <cell r="M292"/>
          <cell r="N292"/>
          <cell r="O292"/>
          <cell r="P292"/>
          <cell r="Q292"/>
          <cell r="R292"/>
          <cell r="S292"/>
          <cell r="T292"/>
          <cell r="U292"/>
        </row>
        <row r="293">
          <cell r="A293"/>
          <cell r="B293"/>
          <cell r="C293"/>
          <cell r="D293"/>
          <cell r="E293"/>
          <cell r="F293"/>
          <cell r="G293"/>
          <cell r="H293"/>
          <cell r="I293"/>
          <cell r="J293"/>
          <cell r="K293"/>
          <cell r="L293"/>
          <cell r="M293"/>
          <cell r="N293"/>
          <cell r="O293"/>
          <cell r="P293"/>
          <cell r="Q293"/>
          <cell r="R293"/>
          <cell r="S293"/>
          <cell r="T293"/>
          <cell r="U293"/>
        </row>
        <row r="294">
          <cell r="A294"/>
          <cell r="B294"/>
          <cell r="C294"/>
          <cell r="D294"/>
          <cell r="E294"/>
          <cell r="F294"/>
          <cell r="G294"/>
          <cell r="H294"/>
          <cell r="I294"/>
          <cell r="J294"/>
          <cell r="K294"/>
          <cell r="L294"/>
          <cell r="M294"/>
          <cell r="N294"/>
          <cell r="O294"/>
          <cell r="P294"/>
          <cell r="Q294"/>
          <cell r="R294"/>
          <cell r="S294"/>
          <cell r="T294"/>
          <cell r="U294"/>
        </row>
        <row r="295">
          <cell r="A295"/>
          <cell r="B295"/>
          <cell r="C295"/>
          <cell r="D295"/>
          <cell r="E295"/>
          <cell r="F295"/>
          <cell r="G295"/>
          <cell r="H295"/>
          <cell r="I295"/>
          <cell r="J295"/>
          <cell r="K295"/>
          <cell r="L295"/>
          <cell r="M295"/>
          <cell r="N295"/>
          <cell r="O295"/>
          <cell r="P295"/>
          <cell r="Q295"/>
          <cell r="R295"/>
          <cell r="S295"/>
          <cell r="T295"/>
          <cell r="U295"/>
        </row>
        <row r="296">
          <cell r="A296"/>
          <cell r="B296"/>
          <cell r="C296"/>
          <cell r="D296"/>
          <cell r="E296"/>
          <cell r="F296"/>
          <cell r="G296"/>
          <cell r="H296"/>
          <cell r="I296"/>
          <cell r="J296"/>
          <cell r="K296"/>
          <cell r="L296"/>
          <cell r="M296"/>
          <cell r="N296"/>
          <cell r="O296"/>
          <cell r="P296"/>
          <cell r="Q296"/>
          <cell r="R296"/>
          <cell r="S296"/>
          <cell r="T296"/>
          <cell r="U296"/>
        </row>
        <row r="297">
          <cell r="A297"/>
          <cell r="B297"/>
          <cell r="C297"/>
          <cell r="D297"/>
          <cell r="E297"/>
          <cell r="F297"/>
          <cell r="G297"/>
          <cell r="H297"/>
          <cell r="I297"/>
          <cell r="J297"/>
          <cell r="K297"/>
          <cell r="L297"/>
          <cell r="M297"/>
          <cell r="N297"/>
          <cell r="O297"/>
          <cell r="P297"/>
          <cell r="Q297"/>
          <cell r="R297"/>
          <cell r="S297"/>
          <cell r="T297"/>
          <cell r="U297"/>
        </row>
        <row r="298">
          <cell r="A298"/>
          <cell r="B298"/>
          <cell r="C298"/>
          <cell r="D298"/>
          <cell r="E298"/>
          <cell r="F298"/>
          <cell r="G298"/>
          <cell r="H298"/>
          <cell r="I298"/>
          <cell r="J298"/>
          <cell r="K298"/>
          <cell r="L298"/>
          <cell r="M298"/>
          <cell r="N298"/>
          <cell r="O298"/>
          <cell r="P298"/>
          <cell r="Q298"/>
          <cell r="R298"/>
          <cell r="S298"/>
          <cell r="T298"/>
          <cell r="U298"/>
        </row>
        <row r="299">
          <cell r="A299"/>
          <cell r="B299"/>
          <cell r="C299"/>
          <cell r="D299"/>
          <cell r="E299"/>
          <cell r="F299"/>
          <cell r="G299"/>
          <cell r="H299"/>
          <cell r="I299"/>
          <cell r="J299"/>
          <cell r="K299"/>
          <cell r="L299"/>
          <cell r="M299"/>
          <cell r="N299"/>
          <cell r="O299"/>
          <cell r="P299"/>
          <cell r="Q299"/>
          <cell r="R299"/>
          <cell r="S299"/>
          <cell r="T299"/>
          <cell r="U299"/>
        </row>
        <row r="300">
          <cell r="A300"/>
          <cell r="B300"/>
          <cell r="C300"/>
          <cell r="D300"/>
          <cell r="E300"/>
          <cell r="F300"/>
          <cell r="G300"/>
          <cell r="H300"/>
          <cell r="I300"/>
          <cell r="J300"/>
          <cell r="K300"/>
          <cell r="L300"/>
          <cell r="M300"/>
          <cell r="N300"/>
          <cell r="O300"/>
          <cell r="P300"/>
          <cell r="Q300"/>
          <cell r="R300"/>
          <cell r="S300"/>
          <cell r="T300"/>
          <cell r="U300"/>
        </row>
        <row r="301">
          <cell r="A301"/>
          <cell r="B301"/>
          <cell r="C301"/>
          <cell r="D301"/>
          <cell r="E301"/>
          <cell r="F301"/>
          <cell r="G301"/>
          <cell r="H301"/>
          <cell r="I301"/>
          <cell r="J301"/>
          <cell r="K301"/>
          <cell r="L301"/>
          <cell r="M301"/>
          <cell r="N301"/>
          <cell r="O301"/>
          <cell r="P301"/>
          <cell r="Q301"/>
          <cell r="R301"/>
          <cell r="S301"/>
          <cell r="T301"/>
          <cell r="U301"/>
        </row>
        <row r="302">
          <cell r="A302"/>
          <cell r="B302"/>
          <cell r="C302"/>
          <cell r="D302"/>
          <cell r="E302"/>
          <cell r="F302"/>
          <cell r="G302"/>
          <cell r="H302"/>
          <cell r="I302"/>
          <cell r="J302"/>
          <cell r="K302"/>
          <cell r="L302"/>
          <cell r="M302"/>
          <cell r="N302"/>
          <cell r="O302"/>
          <cell r="P302"/>
          <cell r="Q302"/>
          <cell r="R302"/>
          <cell r="S302"/>
          <cell r="T302"/>
          <cell r="U302"/>
        </row>
        <row r="303">
          <cell r="A303"/>
          <cell r="B303"/>
          <cell r="C303"/>
          <cell r="D303"/>
          <cell r="E303"/>
          <cell r="F303"/>
          <cell r="G303"/>
          <cell r="H303"/>
          <cell r="I303"/>
          <cell r="J303"/>
          <cell r="K303"/>
          <cell r="L303"/>
          <cell r="M303"/>
          <cell r="N303"/>
          <cell r="O303"/>
          <cell r="P303"/>
          <cell r="Q303"/>
          <cell r="R303"/>
          <cell r="S303"/>
          <cell r="T303"/>
          <cell r="U303"/>
        </row>
        <row r="304">
          <cell r="A304"/>
          <cell r="B304"/>
          <cell r="C304"/>
          <cell r="D304"/>
          <cell r="E304"/>
          <cell r="F304"/>
          <cell r="G304"/>
          <cell r="H304"/>
          <cell r="I304"/>
          <cell r="J304"/>
          <cell r="K304"/>
          <cell r="L304"/>
          <cell r="M304"/>
          <cell r="N304"/>
          <cell r="O304"/>
          <cell r="P304"/>
          <cell r="Q304"/>
          <cell r="R304"/>
          <cell r="S304"/>
          <cell r="T304"/>
          <cell r="U304"/>
        </row>
        <row r="305">
          <cell r="A305"/>
          <cell r="B305"/>
          <cell r="C305"/>
          <cell r="D305"/>
          <cell r="E305"/>
          <cell r="F305"/>
          <cell r="G305"/>
          <cell r="H305"/>
          <cell r="I305"/>
          <cell r="J305"/>
          <cell r="K305"/>
          <cell r="L305"/>
          <cell r="M305"/>
          <cell r="N305"/>
          <cell r="O305"/>
          <cell r="P305"/>
          <cell r="Q305"/>
          <cell r="R305"/>
          <cell r="S305"/>
          <cell r="T305"/>
          <cell r="U305"/>
        </row>
        <row r="306">
          <cell r="A306"/>
          <cell r="B306"/>
          <cell r="C306"/>
          <cell r="D306"/>
          <cell r="E306"/>
          <cell r="F306"/>
          <cell r="G306"/>
          <cell r="H306"/>
          <cell r="I306"/>
          <cell r="J306"/>
          <cell r="K306"/>
          <cell r="L306"/>
          <cell r="M306"/>
          <cell r="N306"/>
          <cell r="O306"/>
          <cell r="P306"/>
          <cell r="Q306"/>
          <cell r="R306"/>
          <cell r="S306"/>
          <cell r="T306"/>
          <cell r="U306"/>
        </row>
        <row r="307">
          <cell r="A307"/>
          <cell r="B307"/>
          <cell r="C307"/>
          <cell r="D307"/>
          <cell r="E307"/>
          <cell r="F307"/>
          <cell r="G307"/>
          <cell r="H307"/>
          <cell r="I307"/>
          <cell r="J307"/>
          <cell r="K307"/>
          <cell r="L307"/>
          <cell r="M307"/>
          <cell r="N307"/>
          <cell r="O307"/>
          <cell r="P307"/>
          <cell r="Q307"/>
          <cell r="R307"/>
          <cell r="S307"/>
          <cell r="T307"/>
          <cell r="U307"/>
        </row>
        <row r="308">
          <cell r="A308"/>
          <cell r="B308"/>
          <cell r="C308"/>
          <cell r="D308"/>
          <cell r="E308"/>
          <cell r="F308"/>
          <cell r="G308"/>
          <cell r="H308"/>
          <cell r="I308"/>
          <cell r="J308"/>
          <cell r="K308"/>
          <cell r="L308"/>
          <cell r="M308"/>
          <cell r="N308"/>
          <cell r="O308"/>
          <cell r="P308"/>
          <cell r="Q308"/>
          <cell r="R308"/>
          <cell r="S308"/>
          <cell r="T308"/>
          <cell r="U308"/>
        </row>
        <row r="309">
          <cell r="A309"/>
          <cell r="B309"/>
          <cell r="C309"/>
          <cell r="D309"/>
          <cell r="E309"/>
          <cell r="F309"/>
          <cell r="G309"/>
          <cell r="H309"/>
          <cell r="I309"/>
          <cell r="J309"/>
          <cell r="K309"/>
          <cell r="L309"/>
          <cell r="M309"/>
          <cell r="N309"/>
          <cell r="O309"/>
          <cell r="P309"/>
          <cell r="Q309"/>
          <cell r="R309"/>
          <cell r="S309"/>
          <cell r="T309"/>
          <cell r="U309"/>
        </row>
        <row r="310">
          <cell r="A310"/>
          <cell r="B310"/>
          <cell r="C310"/>
          <cell r="D310"/>
          <cell r="E310"/>
          <cell r="F310"/>
          <cell r="G310"/>
          <cell r="H310"/>
          <cell r="I310"/>
          <cell r="J310"/>
          <cell r="K310"/>
          <cell r="L310"/>
          <cell r="M310"/>
          <cell r="N310"/>
          <cell r="O310"/>
          <cell r="P310"/>
          <cell r="Q310"/>
          <cell r="R310"/>
          <cell r="S310"/>
          <cell r="T310"/>
          <cell r="U310"/>
        </row>
        <row r="311">
          <cell r="A311"/>
          <cell r="B311"/>
          <cell r="C311"/>
          <cell r="D311"/>
          <cell r="E311"/>
          <cell r="F311"/>
          <cell r="G311"/>
          <cell r="H311"/>
          <cell r="I311"/>
          <cell r="J311"/>
          <cell r="K311"/>
          <cell r="L311"/>
          <cell r="M311"/>
          <cell r="N311"/>
          <cell r="O311"/>
          <cell r="P311"/>
          <cell r="Q311"/>
          <cell r="R311"/>
          <cell r="S311"/>
          <cell r="T311"/>
          <cell r="U311"/>
        </row>
        <row r="312">
          <cell r="A312"/>
          <cell r="B312"/>
          <cell r="C312"/>
          <cell r="D312"/>
          <cell r="E312"/>
          <cell r="F312"/>
          <cell r="G312"/>
          <cell r="H312"/>
          <cell r="I312"/>
          <cell r="J312"/>
          <cell r="K312"/>
          <cell r="L312"/>
          <cell r="M312"/>
          <cell r="N312"/>
          <cell r="O312"/>
          <cell r="P312"/>
          <cell r="Q312"/>
          <cell r="R312"/>
          <cell r="S312"/>
          <cell r="T312"/>
          <cell r="U312"/>
        </row>
        <row r="313">
          <cell r="A313"/>
          <cell r="B313"/>
          <cell r="C313"/>
          <cell r="D313"/>
          <cell r="E313"/>
          <cell r="F313"/>
          <cell r="G313"/>
          <cell r="H313"/>
          <cell r="I313"/>
          <cell r="J313"/>
          <cell r="K313"/>
          <cell r="L313"/>
          <cell r="M313"/>
          <cell r="N313"/>
          <cell r="O313"/>
          <cell r="P313"/>
          <cell r="Q313"/>
          <cell r="R313"/>
          <cell r="S313"/>
          <cell r="T313"/>
          <cell r="U313"/>
        </row>
        <row r="314">
          <cell r="A314"/>
          <cell r="B314"/>
          <cell r="C314"/>
          <cell r="D314"/>
          <cell r="E314"/>
          <cell r="F314"/>
          <cell r="G314"/>
          <cell r="H314"/>
          <cell r="I314"/>
          <cell r="J314"/>
          <cell r="K314"/>
          <cell r="L314"/>
          <cell r="M314"/>
          <cell r="N314"/>
          <cell r="O314"/>
          <cell r="P314"/>
          <cell r="Q314"/>
          <cell r="R314"/>
          <cell r="S314"/>
          <cell r="T314"/>
          <cell r="U314"/>
        </row>
        <row r="315">
          <cell r="A315"/>
          <cell r="B315"/>
          <cell r="C315"/>
          <cell r="D315"/>
          <cell r="E315"/>
          <cell r="F315"/>
          <cell r="G315"/>
          <cell r="H315"/>
          <cell r="I315"/>
          <cell r="J315"/>
          <cell r="K315"/>
          <cell r="L315"/>
          <cell r="M315"/>
          <cell r="N315"/>
          <cell r="O315"/>
          <cell r="P315"/>
          <cell r="Q315"/>
          <cell r="R315"/>
          <cell r="S315"/>
          <cell r="T315"/>
          <cell r="U315"/>
        </row>
        <row r="316">
          <cell r="A316"/>
          <cell r="B316"/>
          <cell r="C316"/>
          <cell r="D316"/>
          <cell r="E316"/>
          <cell r="F316"/>
          <cell r="G316"/>
          <cell r="H316"/>
          <cell r="I316"/>
          <cell r="J316"/>
          <cell r="K316"/>
          <cell r="L316"/>
          <cell r="M316"/>
          <cell r="N316"/>
          <cell r="O316"/>
          <cell r="P316"/>
          <cell r="Q316"/>
          <cell r="R316"/>
          <cell r="S316"/>
          <cell r="T316"/>
          <cell r="U316"/>
        </row>
        <row r="317">
          <cell r="A317"/>
          <cell r="B317"/>
          <cell r="C317"/>
          <cell r="D317"/>
          <cell r="E317"/>
          <cell r="F317"/>
          <cell r="G317"/>
          <cell r="H317"/>
          <cell r="I317"/>
          <cell r="J317"/>
          <cell r="K317"/>
          <cell r="L317"/>
          <cell r="M317"/>
          <cell r="N317"/>
          <cell r="O317"/>
          <cell r="P317"/>
          <cell r="Q317"/>
          <cell r="R317"/>
          <cell r="S317"/>
          <cell r="T317"/>
          <cell r="U317"/>
        </row>
        <row r="318">
          <cell r="A318"/>
          <cell r="B318"/>
          <cell r="C318"/>
          <cell r="D318"/>
          <cell r="E318"/>
          <cell r="F318"/>
          <cell r="G318"/>
          <cell r="H318"/>
          <cell r="I318"/>
          <cell r="J318"/>
          <cell r="K318"/>
          <cell r="L318"/>
          <cell r="M318"/>
          <cell r="N318"/>
          <cell r="O318"/>
          <cell r="P318"/>
          <cell r="Q318"/>
          <cell r="R318"/>
          <cell r="S318"/>
          <cell r="T318"/>
          <cell r="U318"/>
        </row>
        <row r="319">
          <cell r="A319"/>
          <cell r="B319"/>
          <cell r="C319"/>
          <cell r="D319"/>
          <cell r="E319"/>
          <cell r="F319"/>
          <cell r="G319"/>
          <cell r="H319"/>
          <cell r="I319"/>
          <cell r="J319"/>
          <cell r="K319"/>
          <cell r="L319"/>
          <cell r="M319"/>
          <cell r="N319"/>
          <cell r="O319"/>
          <cell r="P319"/>
          <cell r="Q319"/>
          <cell r="R319"/>
          <cell r="S319"/>
          <cell r="T319"/>
          <cell r="U319"/>
        </row>
        <row r="320">
          <cell r="A320"/>
          <cell r="B320"/>
          <cell r="C320"/>
          <cell r="D320"/>
          <cell r="E320"/>
          <cell r="F320"/>
          <cell r="G320"/>
          <cell r="H320"/>
          <cell r="I320"/>
          <cell r="J320"/>
          <cell r="K320"/>
          <cell r="L320"/>
          <cell r="M320"/>
          <cell r="N320"/>
          <cell r="O320"/>
          <cell r="P320"/>
          <cell r="Q320"/>
          <cell r="R320"/>
          <cell r="S320"/>
          <cell r="T320"/>
          <cell r="U320"/>
        </row>
        <row r="321">
          <cell r="A321"/>
          <cell r="B321"/>
          <cell r="C321"/>
          <cell r="D321"/>
          <cell r="E321"/>
          <cell r="F321"/>
          <cell r="G321"/>
          <cell r="H321"/>
          <cell r="I321"/>
          <cell r="J321"/>
          <cell r="K321"/>
          <cell r="L321"/>
          <cell r="M321"/>
          <cell r="N321"/>
          <cell r="O321"/>
          <cell r="P321"/>
          <cell r="Q321"/>
          <cell r="R321"/>
          <cell r="S321"/>
          <cell r="T321"/>
          <cell r="U321"/>
        </row>
        <row r="322">
          <cell r="A322"/>
          <cell r="B322"/>
          <cell r="C322"/>
          <cell r="D322"/>
          <cell r="E322"/>
          <cell r="F322"/>
          <cell r="G322"/>
          <cell r="H322"/>
          <cell r="I322"/>
          <cell r="J322"/>
          <cell r="K322"/>
          <cell r="L322"/>
          <cell r="M322"/>
          <cell r="N322"/>
          <cell r="O322"/>
          <cell r="P322"/>
          <cell r="Q322"/>
          <cell r="R322"/>
          <cell r="S322"/>
          <cell r="T322"/>
          <cell r="U322"/>
        </row>
        <row r="323">
          <cell r="A323"/>
          <cell r="B323"/>
          <cell r="C323"/>
          <cell r="D323"/>
          <cell r="E323"/>
          <cell r="F323"/>
          <cell r="G323"/>
          <cell r="H323"/>
          <cell r="I323"/>
          <cell r="J323"/>
          <cell r="K323"/>
          <cell r="L323"/>
          <cell r="M323"/>
          <cell r="N323"/>
          <cell r="O323"/>
          <cell r="P323"/>
          <cell r="Q323"/>
          <cell r="R323"/>
          <cell r="S323"/>
          <cell r="T323"/>
          <cell r="U323"/>
        </row>
        <row r="324">
          <cell r="A324"/>
          <cell r="B324"/>
          <cell r="C324"/>
          <cell r="D324"/>
          <cell r="E324"/>
          <cell r="F324"/>
          <cell r="G324"/>
          <cell r="H324"/>
          <cell r="I324"/>
          <cell r="J324"/>
          <cell r="K324"/>
          <cell r="L324"/>
          <cell r="M324"/>
          <cell r="N324"/>
          <cell r="O324"/>
          <cell r="P324"/>
          <cell r="Q324"/>
          <cell r="R324"/>
          <cell r="S324"/>
          <cell r="T324"/>
          <cell r="U324"/>
        </row>
        <row r="325">
          <cell r="A325"/>
          <cell r="B325"/>
          <cell r="C325"/>
          <cell r="D325"/>
          <cell r="E325"/>
          <cell r="F325"/>
          <cell r="G325"/>
          <cell r="H325"/>
          <cell r="I325"/>
          <cell r="J325"/>
          <cell r="K325"/>
          <cell r="L325"/>
          <cell r="M325"/>
          <cell r="N325"/>
          <cell r="O325"/>
          <cell r="P325"/>
          <cell r="Q325"/>
          <cell r="R325"/>
          <cell r="S325"/>
          <cell r="T325"/>
          <cell r="U325"/>
        </row>
        <row r="326">
          <cell r="A326"/>
          <cell r="B326"/>
          <cell r="C326"/>
          <cell r="D326"/>
          <cell r="E326"/>
          <cell r="F326"/>
          <cell r="G326"/>
          <cell r="H326"/>
          <cell r="I326"/>
          <cell r="J326"/>
          <cell r="K326"/>
          <cell r="L326"/>
          <cell r="M326"/>
          <cell r="N326"/>
          <cell r="O326"/>
          <cell r="P326"/>
          <cell r="Q326"/>
          <cell r="R326"/>
          <cell r="S326"/>
          <cell r="T326"/>
          <cell r="U326"/>
        </row>
        <row r="327">
          <cell r="A327"/>
          <cell r="B327"/>
          <cell r="C327"/>
          <cell r="D327"/>
          <cell r="E327"/>
          <cell r="F327"/>
          <cell r="G327"/>
          <cell r="H327"/>
          <cell r="I327"/>
          <cell r="J327"/>
          <cell r="K327"/>
          <cell r="L327"/>
          <cell r="M327"/>
          <cell r="N327"/>
          <cell r="O327"/>
          <cell r="P327"/>
          <cell r="Q327"/>
          <cell r="R327"/>
          <cell r="S327"/>
          <cell r="T327"/>
          <cell r="U327"/>
        </row>
        <row r="328">
          <cell r="A328"/>
          <cell r="B328"/>
          <cell r="C328"/>
          <cell r="D328"/>
          <cell r="E328"/>
          <cell r="F328"/>
          <cell r="G328"/>
          <cell r="H328"/>
          <cell r="I328"/>
          <cell r="J328"/>
          <cell r="K328"/>
          <cell r="L328"/>
          <cell r="M328"/>
          <cell r="N328"/>
          <cell r="O328"/>
          <cell r="P328"/>
          <cell r="Q328"/>
          <cell r="R328"/>
          <cell r="S328"/>
          <cell r="T328"/>
          <cell r="U328"/>
        </row>
        <row r="329">
          <cell r="A329"/>
          <cell r="B329"/>
          <cell r="C329"/>
          <cell r="D329"/>
          <cell r="E329"/>
          <cell r="F329"/>
          <cell r="G329"/>
          <cell r="H329"/>
          <cell r="I329"/>
          <cell r="J329"/>
          <cell r="K329"/>
          <cell r="L329"/>
          <cell r="M329"/>
          <cell r="N329"/>
          <cell r="O329"/>
          <cell r="P329"/>
          <cell r="Q329"/>
          <cell r="R329"/>
          <cell r="S329"/>
          <cell r="T329"/>
          <cell r="U329"/>
        </row>
        <row r="330">
          <cell r="A330"/>
          <cell r="B330"/>
          <cell r="C330"/>
          <cell r="D330"/>
          <cell r="E330"/>
          <cell r="F330"/>
          <cell r="G330"/>
          <cell r="H330"/>
          <cell r="I330"/>
          <cell r="J330"/>
          <cell r="K330"/>
          <cell r="L330"/>
          <cell r="M330"/>
          <cell r="N330"/>
          <cell r="O330"/>
          <cell r="P330"/>
          <cell r="Q330"/>
          <cell r="R330"/>
          <cell r="S330"/>
          <cell r="T330"/>
          <cell r="U330"/>
        </row>
        <row r="331">
          <cell r="A331"/>
          <cell r="B331"/>
          <cell r="C331"/>
          <cell r="D331"/>
          <cell r="E331"/>
          <cell r="F331"/>
          <cell r="G331"/>
          <cell r="H331"/>
          <cell r="I331"/>
          <cell r="J331"/>
          <cell r="K331"/>
          <cell r="L331"/>
          <cell r="M331"/>
          <cell r="N331"/>
          <cell r="O331"/>
          <cell r="P331"/>
          <cell r="Q331"/>
          <cell r="R331"/>
          <cell r="S331"/>
          <cell r="T331"/>
          <cell r="U331"/>
        </row>
        <row r="332">
          <cell r="A332"/>
          <cell r="B332"/>
          <cell r="C332"/>
          <cell r="D332"/>
          <cell r="E332"/>
          <cell r="F332"/>
          <cell r="G332"/>
          <cell r="H332"/>
          <cell r="I332"/>
          <cell r="J332"/>
          <cell r="K332"/>
          <cell r="L332"/>
          <cell r="M332"/>
          <cell r="N332"/>
          <cell r="O332"/>
          <cell r="P332"/>
          <cell r="Q332"/>
          <cell r="R332"/>
          <cell r="S332"/>
          <cell r="T332"/>
          <cell r="U332"/>
        </row>
        <row r="333">
          <cell r="A333"/>
          <cell r="B333"/>
          <cell r="C333"/>
          <cell r="D333"/>
          <cell r="E333"/>
          <cell r="F333"/>
          <cell r="G333"/>
          <cell r="H333"/>
          <cell r="I333"/>
          <cell r="J333"/>
          <cell r="K333"/>
          <cell r="L333"/>
          <cell r="M333"/>
          <cell r="N333"/>
          <cell r="O333"/>
          <cell r="P333"/>
          <cell r="Q333"/>
          <cell r="R333"/>
          <cell r="S333"/>
          <cell r="T333"/>
          <cell r="U333"/>
        </row>
        <row r="334">
          <cell r="A334"/>
          <cell r="B334"/>
          <cell r="C334"/>
          <cell r="D334"/>
          <cell r="E334"/>
          <cell r="F334"/>
          <cell r="G334"/>
          <cell r="H334"/>
          <cell r="I334"/>
          <cell r="J334"/>
          <cell r="K334"/>
          <cell r="L334"/>
          <cell r="M334"/>
          <cell r="N334"/>
          <cell r="O334"/>
          <cell r="P334"/>
          <cell r="Q334"/>
          <cell r="R334"/>
          <cell r="S334"/>
          <cell r="T334"/>
          <cell r="U334"/>
        </row>
        <row r="335">
          <cell r="A335"/>
          <cell r="B335"/>
          <cell r="C335"/>
          <cell r="D335"/>
          <cell r="E335"/>
          <cell r="F335"/>
          <cell r="G335"/>
          <cell r="H335"/>
          <cell r="I335"/>
          <cell r="J335"/>
          <cell r="K335"/>
          <cell r="L335"/>
          <cell r="M335"/>
          <cell r="N335"/>
          <cell r="O335"/>
          <cell r="P335"/>
          <cell r="Q335"/>
          <cell r="R335"/>
          <cell r="S335"/>
          <cell r="T335"/>
          <cell r="U335"/>
        </row>
        <row r="336">
          <cell r="A336"/>
          <cell r="B336"/>
          <cell r="C336"/>
          <cell r="D336"/>
          <cell r="E336"/>
          <cell r="F336"/>
          <cell r="G336"/>
          <cell r="H336"/>
          <cell r="I336"/>
          <cell r="J336"/>
          <cell r="K336"/>
          <cell r="L336"/>
          <cell r="M336"/>
          <cell r="N336"/>
          <cell r="O336"/>
          <cell r="P336"/>
          <cell r="Q336"/>
          <cell r="R336"/>
          <cell r="S336"/>
          <cell r="T336"/>
          <cell r="U336"/>
        </row>
        <row r="337">
          <cell r="A337"/>
          <cell r="B337"/>
          <cell r="C337"/>
          <cell r="D337"/>
          <cell r="E337"/>
          <cell r="F337"/>
          <cell r="G337"/>
          <cell r="H337"/>
          <cell r="I337"/>
          <cell r="J337"/>
          <cell r="K337"/>
          <cell r="L337"/>
          <cell r="M337"/>
          <cell r="N337"/>
          <cell r="O337"/>
          <cell r="P337"/>
          <cell r="Q337"/>
          <cell r="R337"/>
          <cell r="S337"/>
          <cell r="T337"/>
          <cell r="U337"/>
        </row>
        <row r="338">
          <cell r="A338"/>
          <cell r="B338"/>
          <cell r="C338"/>
          <cell r="D338"/>
          <cell r="E338"/>
          <cell r="F338"/>
          <cell r="G338"/>
          <cell r="H338"/>
          <cell r="I338"/>
          <cell r="J338"/>
          <cell r="K338"/>
          <cell r="L338"/>
          <cell r="M338"/>
          <cell r="N338"/>
          <cell r="O338"/>
          <cell r="P338"/>
          <cell r="Q338"/>
          <cell r="R338"/>
          <cell r="S338"/>
          <cell r="T338"/>
          <cell r="U338"/>
        </row>
        <row r="339">
          <cell r="A339"/>
          <cell r="B339"/>
          <cell r="C339"/>
          <cell r="D339"/>
          <cell r="E339"/>
          <cell r="F339"/>
          <cell r="G339"/>
          <cell r="H339"/>
          <cell r="I339"/>
          <cell r="J339"/>
          <cell r="K339"/>
          <cell r="L339"/>
          <cell r="M339"/>
          <cell r="N339"/>
          <cell r="O339"/>
          <cell r="P339"/>
          <cell r="Q339"/>
          <cell r="R339"/>
          <cell r="S339"/>
          <cell r="T339"/>
          <cell r="U339"/>
        </row>
        <row r="340">
          <cell r="A340"/>
          <cell r="B340"/>
          <cell r="C340"/>
          <cell r="D340"/>
          <cell r="E340"/>
          <cell r="F340"/>
          <cell r="G340"/>
          <cell r="H340"/>
          <cell r="I340"/>
          <cell r="J340"/>
          <cell r="K340"/>
          <cell r="L340"/>
          <cell r="M340"/>
          <cell r="N340"/>
          <cell r="O340"/>
          <cell r="P340"/>
          <cell r="Q340"/>
          <cell r="R340"/>
          <cell r="S340"/>
          <cell r="T340"/>
          <cell r="U340"/>
        </row>
        <row r="341">
          <cell r="A341"/>
          <cell r="B341"/>
          <cell r="C341"/>
          <cell r="D341"/>
          <cell r="E341"/>
          <cell r="F341"/>
          <cell r="G341"/>
          <cell r="H341"/>
          <cell r="I341"/>
          <cell r="J341"/>
          <cell r="K341"/>
          <cell r="L341"/>
          <cell r="M341"/>
          <cell r="N341"/>
          <cell r="O341"/>
          <cell r="P341"/>
          <cell r="Q341"/>
          <cell r="R341"/>
          <cell r="S341"/>
          <cell r="T341"/>
          <cell r="U341"/>
        </row>
        <row r="342">
          <cell r="A342"/>
          <cell r="B342"/>
          <cell r="C342"/>
          <cell r="D342"/>
          <cell r="E342"/>
          <cell r="F342"/>
          <cell r="G342"/>
          <cell r="H342"/>
          <cell r="I342"/>
          <cell r="J342"/>
          <cell r="K342"/>
          <cell r="L342"/>
          <cell r="M342"/>
          <cell r="N342"/>
          <cell r="O342"/>
          <cell r="P342"/>
          <cell r="Q342"/>
          <cell r="R342"/>
          <cell r="S342"/>
          <cell r="T342"/>
          <cell r="U342"/>
        </row>
        <row r="343">
          <cell r="A343"/>
          <cell r="B343"/>
          <cell r="C343"/>
          <cell r="D343"/>
          <cell r="E343"/>
          <cell r="F343"/>
          <cell r="G343"/>
          <cell r="H343"/>
          <cell r="I343"/>
          <cell r="J343"/>
          <cell r="K343"/>
          <cell r="L343"/>
          <cell r="M343"/>
          <cell r="N343"/>
          <cell r="O343"/>
          <cell r="P343"/>
          <cell r="Q343"/>
          <cell r="R343"/>
          <cell r="S343"/>
          <cell r="T343"/>
          <cell r="U343"/>
        </row>
        <row r="344">
          <cell r="A344"/>
          <cell r="B344"/>
          <cell r="C344"/>
          <cell r="D344"/>
          <cell r="E344"/>
          <cell r="F344"/>
          <cell r="G344"/>
          <cell r="H344"/>
          <cell r="I344"/>
          <cell r="J344"/>
          <cell r="K344"/>
          <cell r="L344"/>
          <cell r="M344"/>
          <cell r="N344"/>
          <cell r="O344"/>
          <cell r="P344"/>
          <cell r="Q344"/>
          <cell r="R344"/>
          <cell r="S344"/>
          <cell r="T344"/>
          <cell r="U344"/>
        </row>
        <row r="345">
          <cell r="A345"/>
          <cell r="B345"/>
          <cell r="C345"/>
          <cell r="D345"/>
          <cell r="E345"/>
          <cell r="F345"/>
          <cell r="G345"/>
          <cell r="H345"/>
          <cell r="I345"/>
          <cell r="J345"/>
          <cell r="K345"/>
          <cell r="L345"/>
          <cell r="M345"/>
          <cell r="N345"/>
          <cell r="O345"/>
          <cell r="P345"/>
          <cell r="Q345"/>
          <cell r="R345"/>
          <cell r="S345"/>
          <cell r="T345"/>
          <cell r="U345"/>
        </row>
        <row r="346">
          <cell r="A346"/>
          <cell r="B346"/>
          <cell r="C346"/>
          <cell r="D346"/>
          <cell r="E346"/>
          <cell r="F346"/>
          <cell r="G346"/>
          <cell r="H346"/>
          <cell r="I346"/>
          <cell r="J346"/>
          <cell r="K346"/>
          <cell r="L346"/>
          <cell r="M346"/>
          <cell r="N346"/>
          <cell r="O346"/>
          <cell r="P346"/>
          <cell r="Q346"/>
          <cell r="R346"/>
          <cell r="S346"/>
          <cell r="T346"/>
          <cell r="U346"/>
        </row>
        <row r="347">
          <cell r="A347"/>
          <cell r="B347"/>
          <cell r="C347"/>
          <cell r="D347"/>
          <cell r="E347"/>
          <cell r="F347"/>
          <cell r="G347"/>
          <cell r="H347"/>
          <cell r="I347"/>
          <cell r="J347"/>
          <cell r="K347"/>
          <cell r="L347"/>
          <cell r="M347"/>
          <cell r="N347"/>
          <cell r="O347"/>
          <cell r="P347"/>
          <cell r="Q347"/>
          <cell r="R347"/>
          <cell r="S347"/>
          <cell r="T347"/>
          <cell r="U347"/>
        </row>
        <row r="348">
          <cell r="A348"/>
          <cell r="B348"/>
          <cell r="C348"/>
          <cell r="D348"/>
          <cell r="E348"/>
          <cell r="F348"/>
          <cell r="G348"/>
          <cell r="H348"/>
          <cell r="I348"/>
          <cell r="J348"/>
          <cell r="K348"/>
          <cell r="L348"/>
          <cell r="M348"/>
          <cell r="N348"/>
          <cell r="O348"/>
          <cell r="P348"/>
          <cell r="Q348"/>
          <cell r="R348"/>
          <cell r="S348"/>
          <cell r="T348"/>
          <cell r="U348"/>
        </row>
        <row r="349">
          <cell r="A349"/>
          <cell r="B349"/>
          <cell r="C349"/>
          <cell r="D349"/>
          <cell r="E349"/>
          <cell r="F349"/>
          <cell r="G349"/>
          <cell r="H349"/>
          <cell r="I349"/>
          <cell r="J349"/>
          <cell r="K349"/>
          <cell r="L349"/>
          <cell r="M349"/>
          <cell r="N349"/>
          <cell r="O349"/>
          <cell r="P349"/>
          <cell r="Q349"/>
          <cell r="R349"/>
          <cell r="S349"/>
          <cell r="T349"/>
          <cell r="U349"/>
        </row>
        <row r="350">
          <cell r="A350"/>
          <cell r="B350"/>
          <cell r="C350"/>
          <cell r="D350"/>
          <cell r="E350"/>
          <cell r="F350"/>
          <cell r="G350"/>
          <cell r="H350"/>
          <cell r="I350"/>
          <cell r="J350"/>
          <cell r="K350"/>
          <cell r="L350"/>
          <cell r="M350"/>
          <cell r="N350"/>
          <cell r="O350"/>
          <cell r="P350"/>
          <cell r="Q350"/>
          <cell r="R350"/>
          <cell r="S350"/>
          <cell r="T350"/>
          <cell r="U350"/>
        </row>
        <row r="351">
          <cell r="A351"/>
          <cell r="B351"/>
          <cell r="C351"/>
          <cell r="D351"/>
          <cell r="E351"/>
          <cell r="F351"/>
          <cell r="G351"/>
          <cell r="H351"/>
          <cell r="I351"/>
          <cell r="J351"/>
          <cell r="K351"/>
          <cell r="L351"/>
          <cell r="M351"/>
          <cell r="N351"/>
          <cell r="O351"/>
          <cell r="P351"/>
          <cell r="Q351"/>
          <cell r="R351"/>
          <cell r="S351"/>
          <cell r="T351"/>
          <cell r="U351"/>
        </row>
        <row r="352">
          <cell r="A352"/>
          <cell r="B352"/>
          <cell r="C352"/>
          <cell r="D352"/>
          <cell r="E352"/>
          <cell r="F352"/>
          <cell r="G352"/>
          <cell r="H352"/>
          <cell r="I352"/>
          <cell r="J352"/>
          <cell r="K352"/>
          <cell r="L352"/>
          <cell r="M352"/>
          <cell r="N352"/>
          <cell r="O352"/>
          <cell r="P352"/>
          <cell r="Q352"/>
          <cell r="R352"/>
          <cell r="S352"/>
          <cell r="T352"/>
          <cell r="U352"/>
        </row>
        <row r="353">
          <cell r="A353"/>
          <cell r="B353"/>
          <cell r="C353"/>
          <cell r="D353"/>
          <cell r="E353"/>
          <cell r="F353"/>
          <cell r="G353"/>
          <cell r="H353"/>
          <cell r="I353"/>
          <cell r="J353"/>
          <cell r="K353"/>
          <cell r="L353"/>
          <cell r="M353"/>
          <cell r="N353"/>
          <cell r="O353"/>
          <cell r="P353"/>
          <cell r="Q353"/>
          <cell r="R353"/>
          <cell r="S353"/>
          <cell r="T353"/>
          <cell r="U353"/>
        </row>
        <row r="354">
          <cell r="A354"/>
          <cell r="B354"/>
          <cell r="C354"/>
          <cell r="D354"/>
          <cell r="E354"/>
          <cell r="F354"/>
          <cell r="G354"/>
          <cell r="H354"/>
          <cell r="I354"/>
          <cell r="J354"/>
          <cell r="K354"/>
          <cell r="L354"/>
          <cell r="M354"/>
          <cell r="N354"/>
          <cell r="O354"/>
          <cell r="P354"/>
          <cell r="Q354"/>
          <cell r="R354"/>
          <cell r="S354"/>
          <cell r="T354"/>
          <cell r="U354"/>
        </row>
        <row r="355">
          <cell r="A355"/>
          <cell r="B355"/>
          <cell r="C355"/>
          <cell r="D355"/>
          <cell r="E355"/>
          <cell r="F355"/>
          <cell r="G355"/>
          <cell r="H355"/>
          <cell r="I355"/>
          <cell r="J355"/>
          <cell r="K355"/>
          <cell r="L355"/>
          <cell r="M355"/>
          <cell r="N355"/>
          <cell r="O355"/>
          <cell r="P355"/>
          <cell r="Q355"/>
          <cell r="R355"/>
          <cell r="S355"/>
          <cell r="T355"/>
          <cell r="U355"/>
        </row>
        <row r="356">
          <cell r="A356"/>
          <cell r="B356"/>
          <cell r="C356"/>
          <cell r="D356"/>
          <cell r="E356"/>
          <cell r="F356"/>
          <cell r="G356"/>
          <cell r="H356"/>
          <cell r="I356"/>
          <cell r="J356"/>
          <cell r="K356"/>
          <cell r="L356"/>
          <cell r="M356"/>
          <cell r="N356"/>
          <cell r="O356"/>
          <cell r="P356"/>
          <cell r="Q356"/>
          <cell r="R356"/>
          <cell r="S356"/>
          <cell r="T356"/>
          <cell r="U356"/>
        </row>
        <row r="357">
          <cell r="A357"/>
          <cell r="B357"/>
          <cell r="C357"/>
          <cell r="D357"/>
          <cell r="E357"/>
          <cell r="F357"/>
          <cell r="G357"/>
          <cell r="H357"/>
          <cell r="I357"/>
          <cell r="J357"/>
          <cell r="K357"/>
          <cell r="L357"/>
          <cell r="M357"/>
          <cell r="N357"/>
          <cell r="O357"/>
          <cell r="P357"/>
          <cell r="Q357"/>
          <cell r="R357"/>
          <cell r="S357"/>
          <cell r="T357"/>
          <cell r="U357"/>
        </row>
        <row r="358">
          <cell r="A358"/>
          <cell r="B358"/>
          <cell r="C358"/>
          <cell r="D358"/>
          <cell r="E358"/>
          <cell r="F358"/>
          <cell r="G358"/>
          <cell r="H358"/>
          <cell r="I358"/>
          <cell r="J358"/>
          <cell r="K358"/>
          <cell r="L358"/>
          <cell r="M358"/>
          <cell r="N358"/>
          <cell r="O358"/>
          <cell r="P358"/>
          <cell r="Q358"/>
          <cell r="R358"/>
          <cell r="S358"/>
          <cell r="T358"/>
          <cell r="U358"/>
        </row>
        <row r="359">
          <cell r="A359"/>
          <cell r="B359"/>
          <cell r="C359"/>
          <cell r="D359"/>
          <cell r="E359"/>
          <cell r="F359"/>
          <cell r="G359"/>
          <cell r="H359"/>
          <cell r="I359"/>
          <cell r="J359"/>
          <cell r="K359"/>
          <cell r="L359"/>
          <cell r="M359"/>
          <cell r="N359"/>
          <cell r="O359"/>
          <cell r="P359"/>
          <cell r="Q359"/>
          <cell r="R359"/>
          <cell r="S359"/>
          <cell r="T359"/>
          <cell r="U359"/>
        </row>
        <row r="360">
          <cell r="A360"/>
          <cell r="B360"/>
          <cell r="C360"/>
          <cell r="D360"/>
          <cell r="E360"/>
          <cell r="F360"/>
          <cell r="G360"/>
          <cell r="H360"/>
          <cell r="I360"/>
          <cell r="J360"/>
          <cell r="K360"/>
          <cell r="L360"/>
          <cell r="M360"/>
          <cell r="N360"/>
          <cell r="O360"/>
          <cell r="P360"/>
          <cell r="Q360"/>
          <cell r="R360"/>
          <cell r="S360"/>
          <cell r="T360"/>
          <cell r="U360"/>
        </row>
        <row r="361">
          <cell r="A361"/>
          <cell r="B361"/>
          <cell r="C361"/>
          <cell r="D361"/>
          <cell r="E361"/>
          <cell r="F361"/>
          <cell r="G361"/>
          <cell r="H361"/>
          <cell r="I361"/>
          <cell r="J361"/>
          <cell r="K361"/>
          <cell r="L361"/>
          <cell r="M361"/>
          <cell r="N361"/>
          <cell r="O361"/>
          <cell r="P361"/>
          <cell r="Q361"/>
          <cell r="R361"/>
          <cell r="S361"/>
          <cell r="T361"/>
          <cell r="U361"/>
        </row>
        <row r="362">
          <cell r="A362"/>
          <cell r="B362"/>
          <cell r="C362"/>
          <cell r="D362"/>
          <cell r="E362"/>
          <cell r="F362"/>
          <cell r="G362"/>
          <cell r="H362"/>
          <cell r="I362"/>
          <cell r="J362"/>
          <cell r="K362"/>
          <cell r="L362"/>
          <cell r="M362"/>
          <cell r="N362"/>
          <cell r="O362"/>
          <cell r="P362"/>
          <cell r="Q362"/>
          <cell r="R362"/>
          <cell r="S362"/>
          <cell r="T362"/>
          <cell r="U362"/>
        </row>
        <row r="363">
          <cell r="A363"/>
          <cell r="B363"/>
          <cell r="C363"/>
          <cell r="D363"/>
          <cell r="E363"/>
          <cell r="F363"/>
          <cell r="G363"/>
          <cell r="H363"/>
          <cell r="I363"/>
          <cell r="J363"/>
          <cell r="K363"/>
          <cell r="L363"/>
          <cell r="M363"/>
          <cell r="N363"/>
          <cell r="O363"/>
          <cell r="P363"/>
          <cell r="Q363"/>
          <cell r="R363"/>
          <cell r="S363"/>
          <cell r="T363"/>
          <cell r="U363"/>
        </row>
        <row r="364">
          <cell r="A364"/>
          <cell r="B364"/>
          <cell r="C364"/>
          <cell r="D364"/>
          <cell r="E364"/>
          <cell r="F364"/>
          <cell r="G364"/>
          <cell r="H364"/>
          <cell r="I364"/>
          <cell r="J364"/>
          <cell r="K364"/>
          <cell r="L364"/>
          <cell r="M364"/>
          <cell r="N364"/>
          <cell r="O364"/>
          <cell r="P364"/>
          <cell r="Q364"/>
          <cell r="R364"/>
          <cell r="S364"/>
          <cell r="T364"/>
          <cell r="U364"/>
        </row>
        <row r="365">
          <cell r="A365"/>
          <cell r="B365"/>
          <cell r="C365"/>
          <cell r="D365"/>
          <cell r="E365"/>
          <cell r="F365"/>
          <cell r="G365"/>
          <cell r="H365"/>
          <cell r="I365"/>
          <cell r="J365"/>
          <cell r="K365"/>
          <cell r="L365"/>
          <cell r="M365"/>
          <cell r="N365"/>
          <cell r="O365"/>
          <cell r="P365"/>
          <cell r="Q365"/>
          <cell r="R365"/>
          <cell r="S365"/>
          <cell r="T365"/>
          <cell r="U365"/>
        </row>
        <row r="366">
          <cell r="A366"/>
          <cell r="B366"/>
          <cell r="C366"/>
          <cell r="D366"/>
          <cell r="E366"/>
          <cell r="F366"/>
          <cell r="G366"/>
          <cell r="H366"/>
          <cell r="I366"/>
          <cell r="J366"/>
          <cell r="K366"/>
          <cell r="L366"/>
          <cell r="M366"/>
          <cell r="N366"/>
          <cell r="O366"/>
          <cell r="P366"/>
          <cell r="Q366"/>
          <cell r="R366"/>
          <cell r="S366"/>
          <cell r="T366"/>
          <cell r="U366"/>
        </row>
        <row r="367">
          <cell r="A367"/>
          <cell r="B367"/>
          <cell r="C367"/>
          <cell r="D367"/>
          <cell r="E367"/>
          <cell r="F367"/>
          <cell r="G367"/>
          <cell r="H367"/>
          <cell r="I367"/>
          <cell r="J367"/>
          <cell r="K367"/>
          <cell r="L367"/>
          <cell r="M367"/>
          <cell r="N367"/>
          <cell r="O367"/>
          <cell r="P367"/>
          <cell r="Q367"/>
          <cell r="R367"/>
          <cell r="S367"/>
          <cell r="T367"/>
          <cell r="U367"/>
        </row>
        <row r="368">
          <cell r="A368"/>
          <cell r="B368"/>
          <cell r="C368"/>
          <cell r="D368"/>
          <cell r="E368"/>
          <cell r="F368"/>
          <cell r="G368"/>
          <cell r="H368"/>
          <cell r="I368"/>
          <cell r="J368"/>
          <cell r="K368"/>
          <cell r="L368"/>
          <cell r="M368"/>
          <cell r="N368"/>
          <cell r="O368"/>
          <cell r="P368"/>
          <cell r="Q368"/>
          <cell r="R368"/>
          <cell r="S368"/>
          <cell r="T368"/>
          <cell r="U368"/>
        </row>
        <row r="369">
          <cell r="A369"/>
          <cell r="B369"/>
          <cell r="C369"/>
          <cell r="D369"/>
          <cell r="E369"/>
          <cell r="F369"/>
          <cell r="G369"/>
          <cell r="H369"/>
          <cell r="I369"/>
          <cell r="J369"/>
          <cell r="K369"/>
          <cell r="L369"/>
          <cell r="M369"/>
          <cell r="N369"/>
          <cell r="O369"/>
          <cell r="P369"/>
          <cell r="Q369"/>
          <cell r="R369"/>
          <cell r="S369"/>
          <cell r="T369"/>
          <cell r="U369"/>
        </row>
        <row r="370">
          <cell r="A370"/>
          <cell r="B370"/>
          <cell r="C370"/>
          <cell r="D370"/>
          <cell r="E370"/>
          <cell r="F370"/>
          <cell r="G370"/>
          <cell r="H370"/>
          <cell r="I370"/>
          <cell r="J370"/>
          <cell r="K370"/>
          <cell r="L370"/>
          <cell r="M370"/>
          <cell r="N370"/>
          <cell r="O370"/>
          <cell r="P370"/>
          <cell r="Q370"/>
          <cell r="R370"/>
          <cell r="S370"/>
          <cell r="T370"/>
          <cell r="U370"/>
        </row>
        <row r="371">
          <cell r="A371"/>
          <cell r="B371"/>
          <cell r="C371"/>
          <cell r="D371"/>
          <cell r="E371"/>
          <cell r="F371"/>
          <cell r="G371"/>
          <cell r="H371"/>
          <cell r="I371"/>
          <cell r="J371"/>
          <cell r="K371"/>
          <cell r="L371"/>
          <cell r="M371"/>
          <cell r="N371"/>
          <cell r="O371"/>
          <cell r="P371"/>
          <cell r="Q371"/>
          <cell r="R371"/>
          <cell r="S371"/>
          <cell r="T371"/>
          <cell r="U371"/>
        </row>
        <row r="372">
          <cell r="A372"/>
          <cell r="B372"/>
          <cell r="C372"/>
          <cell r="D372"/>
          <cell r="E372"/>
          <cell r="F372"/>
          <cell r="G372"/>
          <cell r="H372"/>
          <cell r="I372"/>
          <cell r="J372"/>
          <cell r="K372"/>
          <cell r="L372"/>
          <cell r="M372"/>
          <cell r="N372"/>
          <cell r="O372"/>
          <cell r="P372"/>
          <cell r="Q372"/>
          <cell r="R372"/>
          <cell r="S372"/>
          <cell r="T372"/>
          <cell r="U372"/>
        </row>
        <row r="373">
          <cell r="A373"/>
          <cell r="B373"/>
          <cell r="C373"/>
          <cell r="D373"/>
          <cell r="E373"/>
          <cell r="F373"/>
          <cell r="G373"/>
          <cell r="H373"/>
          <cell r="I373"/>
          <cell r="J373"/>
          <cell r="K373"/>
          <cell r="L373"/>
          <cell r="M373"/>
          <cell r="N373"/>
          <cell r="O373"/>
          <cell r="P373"/>
          <cell r="Q373"/>
          <cell r="R373"/>
          <cell r="S373"/>
          <cell r="T373"/>
          <cell r="U373"/>
        </row>
        <row r="374">
          <cell r="A374"/>
          <cell r="B374"/>
          <cell r="C374"/>
          <cell r="D374"/>
          <cell r="E374"/>
          <cell r="F374"/>
          <cell r="G374"/>
          <cell r="H374"/>
          <cell r="I374"/>
          <cell r="J374"/>
          <cell r="K374"/>
          <cell r="L374"/>
          <cell r="M374"/>
          <cell r="N374"/>
          <cell r="O374"/>
          <cell r="P374"/>
          <cell r="Q374"/>
          <cell r="R374"/>
          <cell r="S374"/>
          <cell r="T374"/>
          <cell r="U374"/>
        </row>
        <row r="375">
          <cell r="A375"/>
          <cell r="B375"/>
          <cell r="C375"/>
          <cell r="D375"/>
          <cell r="E375"/>
          <cell r="F375"/>
          <cell r="G375"/>
          <cell r="H375"/>
          <cell r="I375"/>
          <cell r="J375"/>
          <cell r="K375"/>
          <cell r="L375"/>
          <cell r="M375"/>
          <cell r="N375"/>
          <cell r="O375"/>
          <cell r="P375"/>
          <cell r="Q375"/>
          <cell r="R375"/>
          <cell r="S375"/>
          <cell r="T375"/>
          <cell r="U375"/>
        </row>
        <row r="376">
          <cell r="A376"/>
          <cell r="B376"/>
          <cell r="C376"/>
          <cell r="D376"/>
          <cell r="E376"/>
          <cell r="F376"/>
          <cell r="G376"/>
          <cell r="H376"/>
          <cell r="I376"/>
          <cell r="J376"/>
          <cell r="K376"/>
          <cell r="L376"/>
          <cell r="M376"/>
          <cell r="N376"/>
          <cell r="O376"/>
          <cell r="P376"/>
          <cell r="Q376"/>
          <cell r="R376"/>
          <cell r="S376"/>
          <cell r="T376"/>
          <cell r="U376"/>
        </row>
        <row r="377">
          <cell r="A377"/>
          <cell r="B377"/>
          <cell r="C377"/>
          <cell r="D377"/>
          <cell r="E377"/>
          <cell r="F377"/>
          <cell r="G377"/>
          <cell r="H377"/>
          <cell r="I377"/>
          <cell r="J377"/>
          <cell r="K377"/>
          <cell r="L377"/>
          <cell r="M377"/>
          <cell r="N377"/>
          <cell r="O377"/>
          <cell r="P377"/>
          <cell r="Q377"/>
          <cell r="R377"/>
          <cell r="S377"/>
          <cell r="T377"/>
          <cell r="U377"/>
        </row>
        <row r="378">
          <cell r="A378"/>
          <cell r="B378"/>
          <cell r="C378"/>
          <cell r="D378"/>
          <cell r="E378"/>
          <cell r="F378"/>
          <cell r="G378"/>
          <cell r="H378"/>
          <cell r="I378"/>
          <cell r="J378"/>
          <cell r="K378"/>
          <cell r="L378"/>
          <cell r="M378"/>
          <cell r="N378"/>
          <cell r="O378"/>
          <cell r="P378"/>
          <cell r="Q378"/>
          <cell r="R378"/>
          <cell r="S378"/>
          <cell r="T378"/>
          <cell r="U378"/>
        </row>
        <row r="379">
          <cell r="A379"/>
          <cell r="B379"/>
          <cell r="C379"/>
          <cell r="D379"/>
          <cell r="E379"/>
          <cell r="F379"/>
          <cell r="G379"/>
          <cell r="H379"/>
          <cell r="I379"/>
          <cell r="J379"/>
          <cell r="K379"/>
          <cell r="L379"/>
          <cell r="M379"/>
          <cell r="N379"/>
          <cell r="O379"/>
          <cell r="P379"/>
          <cell r="Q379"/>
          <cell r="R379"/>
          <cell r="S379"/>
          <cell r="T379"/>
          <cell r="U379"/>
        </row>
        <row r="380">
          <cell r="A380"/>
          <cell r="B380"/>
          <cell r="C380"/>
          <cell r="D380"/>
          <cell r="E380"/>
          <cell r="F380"/>
          <cell r="G380"/>
          <cell r="H380"/>
          <cell r="I380"/>
          <cell r="J380"/>
          <cell r="K380"/>
          <cell r="L380"/>
          <cell r="M380"/>
          <cell r="N380"/>
          <cell r="O380"/>
          <cell r="P380"/>
          <cell r="Q380"/>
          <cell r="R380"/>
          <cell r="S380"/>
          <cell r="T380"/>
          <cell r="U380"/>
        </row>
        <row r="381">
          <cell r="A381"/>
          <cell r="B381"/>
          <cell r="C381"/>
          <cell r="D381"/>
          <cell r="E381"/>
          <cell r="F381"/>
          <cell r="G381"/>
          <cell r="H381"/>
          <cell r="I381"/>
          <cell r="J381"/>
          <cell r="K381"/>
          <cell r="L381"/>
          <cell r="M381"/>
          <cell r="N381"/>
          <cell r="O381"/>
          <cell r="P381"/>
          <cell r="Q381"/>
          <cell r="R381"/>
          <cell r="S381"/>
          <cell r="T381"/>
          <cell r="U381"/>
        </row>
        <row r="382">
          <cell r="A382"/>
          <cell r="B382"/>
          <cell r="C382"/>
          <cell r="D382"/>
          <cell r="E382"/>
          <cell r="F382"/>
          <cell r="G382"/>
          <cell r="H382"/>
          <cell r="I382"/>
          <cell r="J382"/>
          <cell r="K382"/>
          <cell r="L382"/>
          <cell r="M382"/>
          <cell r="N382"/>
          <cell r="O382"/>
          <cell r="P382"/>
          <cell r="Q382"/>
          <cell r="R382"/>
          <cell r="S382"/>
          <cell r="T382"/>
          <cell r="U382"/>
        </row>
        <row r="383">
          <cell r="A383"/>
          <cell r="B383"/>
          <cell r="C383"/>
          <cell r="D383"/>
          <cell r="E383"/>
          <cell r="F383"/>
          <cell r="G383"/>
          <cell r="H383"/>
          <cell r="I383"/>
          <cell r="J383"/>
          <cell r="K383"/>
          <cell r="L383"/>
          <cell r="M383"/>
          <cell r="N383"/>
          <cell r="O383"/>
          <cell r="P383"/>
          <cell r="Q383"/>
          <cell r="R383"/>
          <cell r="S383"/>
          <cell r="T383"/>
          <cell r="U383"/>
        </row>
        <row r="384">
          <cell r="A384"/>
          <cell r="B384"/>
          <cell r="C384"/>
          <cell r="D384"/>
          <cell r="E384"/>
          <cell r="F384"/>
          <cell r="G384"/>
          <cell r="H384"/>
          <cell r="I384"/>
          <cell r="J384"/>
          <cell r="K384"/>
          <cell r="L384"/>
          <cell r="M384"/>
          <cell r="N384"/>
          <cell r="O384"/>
          <cell r="P384"/>
          <cell r="Q384"/>
          <cell r="R384"/>
          <cell r="S384"/>
          <cell r="T384"/>
          <cell r="U384"/>
        </row>
        <row r="385">
          <cell r="A385"/>
          <cell r="B385"/>
          <cell r="C385"/>
          <cell r="D385"/>
          <cell r="E385"/>
          <cell r="F385"/>
          <cell r="G385"/>
          <cell r="H385"/>
          <cell r="I385"/>
          <cell r="J385"/>
          <cell r="K385"/>
          <cell r="L385"/>
          <cell r="M385"/>
          <cell r="N385"/>
          <cell r="O385"/>
          <cell r="P385"/>
          <cell r="Q385"/>
          <cell r="R385"/>
          <cell r="S385"/>
          <cell r="T385"/>
          <cell r="U385"/>
        </row>
        <row r="386">
          <cell r="A386"/>
          <cell r="B386"/>
          <cell r="C386"/>
          <cell r="D386"/>
          <cell r="E386"/>
          <cell r="F386"/>
          <cell r="G386"/>
          <cell r="H386"/>
          <cell r="I386"/>
          <cell r="J386"/>
          <cell r="K386"/>
          <cell r="L386"/>
          <cell r="M386"/>
          <cell r="N386"/>
          <cell r="O386"/>
          <cell r="P386"/>
          <cell r="Q386"/>
          <cell r="R386"/>
          <cell r="S386"/>
          <cell r="T386"/>
          <cell r="U386"/>
        </row>
        <row r="387">
          <cell r="A387"/>
          <cell r="B387"/>
          <cell r="C387"/>
          <cell r="D387"/>
          <cell r="E387"/>
          <cell r="F387"/>
          <cell r="G387"/>
          <cell r="H387"/>
          <cell r="I387"/>
          <cell r="J387"/>
          <cell r="K387"/>
          <cell r="L387"/>
          <cell r="M387"/>
          <cell r="N387"/>
          <cell r="O387"/>
          <cell r="P387"/>
          <cell r="Q387"/>
          <cell r="R387"/>
          <cell r="S387"/>
          <cell r="T387"/>
          <cell r="U387"/>
        </row>
        <row r="388">
          <cell r="A388"/>
          <cell r="B388"/>
          <cell r="C388"/>
          <cell r="D388"/>
          <cell r="E388"/>
          <cell r="F388"/>
          <cell r="G388"/>
          <cell r="H388"/>
          <cell r="I388"/>
          <cell r="J388"/>
          <cell r="K388"/>
          <cell r="L388"/>
          <cell r="M388"/>
          <cell r="N388"/>
          <cell r="O388"/>
          <cell r="P388"/>
          <cell r="Q388"/>
          <cell r="R388"/>
          <cell r="S388"/>
          <cell r="T388"/>
          <cell r="U388"/>
        </row>
        <row r="389">
          <cell r="A389"/>
          <cell r="B389"/>
          <cell r="C389"/>
          <cell r="D389"/>
          <cell r="E389"/>
          <cell r="F389"/>
          <cell r="G389"/>
          <cell r="H389"/>
          <cell r="I389"/>
          <cell r="J389"/>
          <cell r="K389"/>
          <cell r="L389"/>
          <cell r="M389"/>
          <cell r="N389"/>
          <cell r="O389"/>
          <cell r="P389"/>
          <cell r="Q389"/>
          <cell r="R389"/>
          <cell r="S389"/>
          <cell r="T389"/>
          <cell r="U389"/>
        </row>
        <row r="390">
          <cell r="A390"/>
          <cell r="B390"/>
          <cell r="C390"/>
          <cell r="D390"/>
          <cell r="E390"/>
          <cell r="F390"/>
          <cell r="G390"/>
          <cell r="H390"/>
          <cell r="I390"/>
          <cell r="J390"/>
          <cell r="K390"/>
          <cell r="L390"/>
          <cell r="M390"/>
          <cell r="N390"/>
          <cell r="O390"/>
          <cell r="P390"/>
          <cell r="Q390"/>
          <cell r="R390"/>
          <cell r="S390"/>
          <cell r="T390"/>
          <cell r="U390"/>
        </row>
        <row r="391">
          <cell r="A391"/>
          <cell r="B391"/>
          <cell r="C391"/>
          <cell r="D391"/>
          <cell r="E391"/>
          <cell r="F391"/>
          <cell r="G391"/>
          <cell r="H391"/>
          <cell r="I391"/>
          <cell r="J391"/>
          <cell r="K391"/>
          <cell r="L391"/>
          <cell r="M391"/>
          <cell r="N391"/>
          <cell r="O391"/>
          <cell r="P391"/>
          <cell r="Q391"/>
          <cell r="R391"/>
          <cell r="S391"/>
          <cell r="T391"/>
          <cell r="U391"/>
        </row>
        <row r="392">
          <cell r="A392"/>
          <cell r="B392"/>
          <cell r="C392"/>
          <cell r="D392"/>
          <cell r="E392"/>
          <cell r="F392"/>
          <cell r="G392"/>
          <cell r="H392"/>
          <cell r="I392"/>
          <cell r="J392"/>
          <cell r="K392"/>
          <cell r="L392"/>
          <cell r="M392"/>
          <cell r="N392"/>
          <cell r="O392"/>
          <cell r="P392"/>
          <cell r="Q392"/>
          <cell r="R392"/>
          <cell r="S392"/>
          <cell r="T392"/>
          <cell r="U392"/>
        </row>
        <row r="393">
          <cell r="A393"/>
          <cell r="B393"/>
          <cell r="C393"/>
          <cell r="D393"/>
          <cell r="E393"/>
          <cell r="F393"/>
          <cell r="G393"/>
          <cell r="H393"/>
          <cell r="I393"/>
          <cell r="J393"/>
          <cell r="K393"/>
          <cell r="L393"/>
          <cell r="M393"/>
          <cell r="N393"/>
          <cell r="O393"/>
          <cell r="P393"/>
          <cell r="Q393"/>
          <cell r="R393"/>
          <cell r="S393"/>
          <cell r="T393"/>
          <cell r="U393"/>
        </row>
        <row r="394">
          <cell r="A394"/>
          <cell r="B394"/>
          <cell r="C394"/>
          <cell r="D394"/>
          <cell r="E394"/>
          <cell r="F394"/>
          <cell r="G394"/>
          <cell r="H394"/>
          <cell r="I394"/>
          <cell r="J394"/>
          <cell r="K394"/>
          <cell r="L394"/>
          <cell r="M394"/>
          <cell r="N394"/>
          <cell r="O394"/>
          <cell r="P394"/>
          <cell r="Q394"/>
          <cell r="R394"/>
          <cell r="S394"/>
          <cell r="T394"/>
          <cell r="U394"/>
        </row>
        <row r="395">
          <cell r="A395"/>
          <cell r="B395"/>
          <cell r="C395"/>
          <cell r="D395"/>
          <cell r="E395"/>
          <cell r="F395"/>
          <cell r="G395"/>
          <cell r="H395"/>
          <cell r="I395"/>
          <cell r="J395"/>
          <cell r="K395"/>
          <cell r="L395"/>
          <cell r="M395"/>
          <cell r="N395"/>
          <cell r="O395"/>
          <cell r="P395"/>
          <cell r="Q395"/>
          <cell r="R395"/>
          <cell r="S395"/>
          <cell r="T395"/>
          <cell r="U395"/>
        </row>
        <row r="396">
          <cell r="A396"/>
          <cell r="B396"/>
          <cell r="C396"/>
          <cell r="D396"/>
          <cell r="E396"/>
          <cell r="F396"/>
          <cell r="G396"/>
          <cell r="H396"/>
          <cell r="I396"/>
          <cell r="J396"/>
          <cell r="K396"/>
          <cell r="L396"/>
          <cell r="M396"/>
          <cell r="N396"/>
          <cell r="O396"/>
          <cell r="P396"/>
          <cell r="Q396"/>
          <cell r="R396"/>
          <cell r="S396"/>
          <cell r="T396"/>
          <cell r="U396"/>
        </row>
        <row r="397">
          <cell r="A397"/>
          <cell r="B397"/>
          <cell r="C397"/>
          <cell r="D397"/>
          <cell r="E397"/>
          <cell r="F397"/>
          <cell r="G397"/>
          <cell r="H397"/>
          <cell r="I397"/>
          <cell r="J397"/>
          <cell r="K397"/>
          <cell r="L397"/>
          <cell r="M397"/>
          <cell r="N397"/>
          <cell r="O397"/>
          <cell r="P397"/>
          <cell r="Q397"/>
          <cell r="R397"/>
          <cell r="S397"/>
          <cell r="T397"/>
          <cell r="U397"/>
        </row>
        <row r="398">
          <cell r="A398"/>
          <cell r="B398"/>
          <cell r="C398"/>
          <cell r="D398"/>
          <cell r="E398"/>
          <cell r="F398"/>
          <cell r="G398"/>
          <cell r="H398"/>
          <cell r="I398"/>
          <cell r="J398"/>
          <cell r="K398"/>
          <cell r="L398"/>
          <cell r="M398"/>
          <cell r="N398"/>
          <cell r="O398"/>
          <cell r="P398"/>
          <cell r="Q398"/>
          <cell r="R398"/>
          <cell r="S398"/>
          <cell r="T398"/>
          <cell r="U398"/>
        </row>
        <row r="399">
          <cell r="A399"/>
          <cell r="B399"/>
          <cell r="C399"/>
          <cell r="D399"/>
          <cell r="E399"/>
          <cell r="F399"/>
          <cell r="G399"/>
          <cell r="H399"/>
          <cell r="I399"/>
          <cell r="J399"/>
          <cell r="K399"/>
          <cell r="L399"/>
          <cell r="M399"/>
          <cell r="N399"/>
          <cell r="O399"/>
          <cell r="P399"/>
          <cell r="Q399"/>
          <cell r="R399"/>
          <cell r="S399"/>
          <cell r="T399"/>
          <cell r="U399"/>
        </row>
        <row r="400">
          <cell r="A400"/>
          <cell r="B400"/>
          <cell r="C400"/>
          <cell r="D400"/>
          <cell r="E400"/>
          <cell r="F400"/>
          <cell r="G400"/>
          <cell r="H400"/>
          <cell r="I400"/>
          <cell r="J400"/>
          <cell r="K400"/>
          <cell r="L400"/>
          <cell r="M400"/>
          <cell r="N400"/>
          <cell r="O400"/>
          <cell r="P400"/>
          <cell r="Q400"/>
          <cell r="R400"/>
          <cell r="S400"/>
          <cell r="T400"/>
          <cell r="U400"/>
        </row>
        <row r="401">
          <cell r="A401"/>
          <cell r="B401"/>
          <cell r="C401"/>
          <cell r="D401"/>
          <cell r="E401"/>
          <cell r="F401"/>
          <cell r="G401"/>
          <cell r="H401"/>
          <cell r="I401"/>
          <cell r="J401"/>
          <cell r="K401"/>
          <cell r="L401"/>
          <cell r="M401"/>
          <cell r="N401"/>
          <cell r="O401"/>
          <cell r="P401"/>
          <cell r="Q401"/>
          <cell r="R401"/>
          <cell r="S401"/>
          <cell r="T401"/>
          <cell r="U401"/>
        </row>
        <row r="402">
          <cell r="A402"/>
          <cell r="B402"/>
          <cell r="C402"/>
          <cell r="D402"/>
          <cell r="E402"/>
          <cell r="F402"/>
          <cell r="G402"/>
          <cell r="H402"/>
          <cell r="I402"/>
          <cell r="J402"/>
          <cell r="K402"/>
          <cell r="L402"/>
          <cell r="M402"/>
          <cell r="N402"/>
          <cell r="O402"/>
          <cell r="P402"/>
          <cell r="Q402"/>
          <cell r="R402"/>
          <cell r="S402"/>
          <cell r="T402"/>
          <cell r="U402"/>
        </row>
        <row r="403">
          <cell r="A403"/>
          <cell r="B403"/>
          <cell r="C403"/>
          <cell r="D403"/>
          <cell r="E403"/>
          <cell r="F403"/>
          <cell r="G403"/>
          <cell r="H403"/>
          <cell r="I403"/>
          <cell r="J403"/>
          <cell r="K403"/>
          <cell r="L403"/>
          <cell r="M403"/>
          <cell r="N403"/>
          <cell r="O403"/>
          <cell r="P403"/>
          <cell r="Q403"/>
          <cell r="R403"/>
          <cell r="S403"/>
          <cell r="T403"/>
          <cell r="U403"/>
        </row>
        <row r="404">
          <cell r="A404"/>
          <cell r="B404"/>
          <cell r="C404"/>
          <cell r="D404"/>
          <cell r="E404"/>
          <cell r="F404"/>
          <cell r="G404"/>
          <cell r="H404"/>
          <cell r="I404"/>
          <cell r="J404"/>
          <cell r="K404"/>
          <cell r="L404"/>
          <cell r="M404"/>
          <cell r="N404"/>
          <cell r="O404"/>
          <cell r="P404"/>
          <cell r="Q404"/>
          <cell r="R404"/>
          <cell r="S404"/>
          <cell r="T404"/>
          <cell r="U404"/>
        </row>
        <row r="405">
          <cell r="A405"/>
          <cell r="B405"/>
          <cell r="C405"/>
          <cell r="D405"/>
          <cell r="E405"/>
          <cell r="F405"/>
          <cell r="G405"/>
          <cell r="H405"/>
          <cell r="I405"/>
          <cell r="J405"/>
          <cell r="K405"/>
          <cell r="L405"/>
          <cell r="M405"/>
          <cell r="N405"/>
          <cell r="O405"/>
          <cell r="P405"/>
          <cell r="Q405"/>
          <cell r="R405"/>
          <cell r="S405"/>
          <cell r="T405"/>
          <cell r="U405"/>
        </row>
        <row r="406">
          <cell r="A406"/>
          <cell r="B406"/>
          <cell r="C406"/>
          <cell r="D406"/>
          <cell r="E406"/>
          <cell r="F406"/>
          <cell r="G406"/>
          <cell r="H406"/>
          <cell r="I406"/>
          <cell r="J406"/>
          <cell r="K406"/>
          <cell r="L406"/>
          <cell r="M406"/>
          <cell r="N406"/>
          <cell r="O406"/>
          <cell r="P406"/>
          <cell r="Q406"/>
          <cell r="R406"/>
          <cell r="S406"/>
          <cell r="T406"/>
          <cell r="U406"/>
        </row>
        <row r="407">
          <cell r="A407"/>
          <cell r="B407"/>
          <cell r="C407"/>
          <cell r="D407"/>
          <cell r="E407"/>
          <cell r="F407"/>
          <cell r="G407"/>
          <cell r="H407"/>
          <cell r="I407"/>
          <cell r="J407"/>
          <cell r="K407"/>
          <cell r="L407"/>
          <cell r="M407"/>
          <cell r="N407"/>
          <cell r="O407"/>
          <cell r="P407"/>
          <cell r="Q407"/>
          <cell r="R407"/>
          <cell r="S407"/>
          <cell r="T407"/>
          <cell r="U407"/>
        </row>
        <row r="408">
          <cell r="A408"/>
          <cell r="B408"/>
          <cell r="C408"/>
          <cell r="D408"/>
          <cell r="E408"/>
          <cell r="F408"/>
          <cell r="G408"/>
          <cell r="H408"/>
          <cell r="I408"/>
          <cell r="J408"/>
          <cell r="K408"/>
          <cell r="L408"/>
          <cell r="M408"/>
          <cell r="N408"/>
          <cell r="O408"/>
          <cell r="P408"/>
          <cell r="Q408"/>
          <cell r="R408"/>
          <cell r="S408"/>
          <cell r="T408"/>
          <cell r="U408"/>
        </row>
        <row r="409">
          <cell r="A409"/>
          <cell r="B409"/>
          <cell r="C409"/>
          <cell r="D409"/>
          <cell r="E409"/>
          <cell r="F409"/>
          <cell r="G409"/>
          <cell r="H409"/>
          <cell r="I409"/>
          <cell r="J409"/>
          <cell r="K409"/>
          <cell r="L409"/>
          <cell r="M409"/>
          <cell r="N409"/>
          <cell r="O409"/>
          <cell r="P409"/>
          <cell r="Q409"/>
          <cell r="R409"/>
          <cell r="S409"/>
          <cell r="T409"/>
          <cell r="U409"/>
        </row>
        <row r="410">
          <cell r="A410"/>
          <cell r="B410"/>
          <cell r="C410"/>
          <cell r="D410"/>
          <cell r="E410"/>
          <cell r="F410"/>
          <cell r="G410"/>
          <cell r="H410"/>
          <cell r="I410"/>
          <cell r="J410"/>
          <cell r="K410"/>
          <cell r="L410"/>
          <cell r="M410"/>
          <cell r="N410"/>
          <cell r="O410"/>
          <cell r="P410"/>
          <cell r="Q410"/>
          <cell r="R410"/>
          <cell r="S410"/>
          <cell r="T410"/>
          <cell r="U410"/>
        </row>
        <row r="411">
          <cell r="A411"/>
          <cell r="B411"/>
          <cell r="C411"/>
          <cell r="D411"/>
          <cell r="E411"/>
          <cell r="F411"/>
          <cell r="G411"/>
          <cell r="H411"/>
          <cell r="I411"/>
          <cell r="J411"/>
          <cell r="K411"/>
          <cell r="L411"/>
          <cell r="M411"/>
          <cell r="N411"/>
          <cell r="O411"/>
          <cell r="P411"/>
          <cell r="Q411"/>
          <cell r="R411"/>
          <cell r="S411"/>
          <cell r="T411"/>
          <cell r="U411"/>
        </row>
        <row r="412">
          <cell r="A412"/>
          <cell r="B412"/>
          <cell r="C412"/>
          <cell r="D412"/>
          <cell r="E412"/>
          <cell r="F412"/>
          <cell r="G412"/>
          <cell r="H412"/>
          <cell r="I412"/>
          <cell r="J412"/>
          <cell r="K412"/>
          <cell r="L412"/>
          <cell r="M412"/>
          <cell r="N412"/>
          <cell r="O412"/>
          <cell r="P412"/>
          <cell r="Q412"/>
          <cell r="R412"/>
          <cell r="S412"/>
          <cell r="T412"/>
          <cell r="U412"/>
        </row>
        <row r="413">
          <cell r="A413"/>
          <cell r="B413"/>
          <cell r="C413"/>
          <cell r="D413"/>
          <cell r="E413"/>
          <cell r="F413"/>
          <cell r="G413"/>
          <cell r="H413"/>
          <cell r="I413"/>
          <cell r="J413"/>
          <cell r="K413"/>
          <cell r="L413"/>
          <cell r="M413"/>
          <cell r="N413"/>
          <cell r="O413"/>
          <cell r="P413"/>
          <cell r="Q413"/>
          <cell r="R413"/>
          <cell r="S413"/>
          <cell r="T413"/>
          <cell r="U413"/>
        </row>
        <row r="414">
          <cell r="A414"/>
          <cell r="B414"/>
          <cell r="C414"/>
          <cell r="D414"/>
          <cell r="E414"/>
          <cell r="F414"/>
          <cell r="G414"/>
          <cell r="H414"/>
          <cell r="I414"/>
          <cell r="J414"/>
          <cell r="K414"/>
          <cell r="L414"/>
          <cell r="M414"/>
          <cell r="N414"/>
          <cell r="O414"/>
          <cell r="P414"/>
          <cell r="Q414"/>
          <cell r="R414"/>
          <cell r="S414"/>
          <cell r="T414"/>
          <cell r="U414"/>
        </row>
        <row r="415">
          <cell r="A415"/>
          <cell r="B415"/>
          <cell r="C415"/>
          <cell r="D415"/>
          <cell r="E415"/>
          <cell r="F415"/>
          <cell r="G415"/>
          <cell r="H415"/>
          <cell r="I415"/>
          <cell r="J415"/>
          <cell r="K415"/>
          <cell r="L415"/>
          <cell r="M415"/>
          <cell r="N415"/>
          <cell r="O415"/>
          <cell r="P415"/>
          <cell r="Q415"/>
          <cell r="R415"/>
          <cell r="S415"/>
          <cell r="T415"/>
          <cell r="U415"/>
        </row>
        <row r="416">
          <cell r="A416"/>
          <cell r="B416"/>
          <cell r="C416"/>
          <cell r="D416"/>
          <cell r="E416"/>
          <cell r="F416"/>
          <cell r="G416"/>
          <cell r="H416"/>
          <cell r="I416"/>
          <cell r="J416"/>
          <cell r="K416"/>
          <cell r="L416"/>
          <cell r="M416"/>
          <cell r="N416"/>
          <cell r="O416"/>
          <cell r="P416"/>
          <cell r="Q416"/>
          <cell r="R416"/>
          <cell r="S416"/>
          <cell r="T416"/>
          <cell r="U416"/>
        </row>
        <row r="417">
          <cell r="A417"/>
          <cell r="B417"/>
          <cell r="C417"/>
          <cell r="D417"/>
          <cell r="E417"/>
          <cell r="F417"/>
          <cell r="G417"/>
          <cell r="H417"/>
          <cell r="I417"/>
          <cell r="J417"/>
          <cell r="K417"/>
          <cell r="L417"/>
          <cell r="M417"/>
          <cell r="N417"/>
          <cell r="O417"/>
          <cell r="P417"/>
          <cell r="Q417"/>
          <cell r="R417"/>
          <cell r="S417"/>
          <cell r="T417"/>
          <cell r="U417"/>
        </row>
        <row r="418">
          <cell r="A418"/>
          <cell r="B418"/>
          <cell r="C418"/>
          <cell r="D418"/>
          <cell r="E418"/>
          <cell r="F418"/>
          <cell r="G418"/>
          <cell r="H418"/>
          <cell r="I418"/>
          <cell r="J418"/>
          <cell r="K418"/>
          <cell r="L418"/>
          <cell r="M418"/>
          <cell r="N418"/>
          <cell r="O418"/>
          <cell r="P418"/>
          <cell r="Q418"/>
          <cell r="R418"/>
          <cell r="S418"/>
          <cell r="T418"/>
          <cell r="U418"/>
        </row>
        <row r="419">
          <cell r="A419"/>
          <cell r="B419"/>
          <cell r="C419"/>
          <cell r="D419"/>
          <cell r="E419"/>
          <cell r="F419"/>
          <cell r="G419"/>
          <cell r="H419"/>
          <cell r="I419"/>
          <cell r="J419"/>
          <cell r="K419"/>
          <cell r="L419"/>
          <cell r="M419"/>
          <cell r="N419"/>
          <cell r="O419"/>
          <cell r="P419"/>
          <cell r="Q419"/>
          <cell r="R419"/>
          <cell r="S419"/>
          <cell r="T419"/>
          <cell r="U419"/>
        </row>
        <row r="420">
          <cell r="A420"/>
          <cell r="B420"/>
          <cell r="C420"/>
          <cell r="D420"/>
          <cell r="E420"/>
          <cell r="F420"/>
          <cell r="G420"/>
          <cell r="H420"/>
          <cell r="I420"/>
          <cell r="J420"/>
          <cell r="K420"/>
          <cell r="L420"/>
          <cell r="M420"/>
          <cell r="N420"/>
          <cell r="O420"/>
          <cell r="P420"/>
          <cell r="Q420"/>
          <cell r="R420"/>
          <cell r="S420"/>
          <cell r="T420"/>
          <cell r="U420"/>
        </row>
        <row r="421">
          <cell r="A421"/>
          <cell r="B421"/>
          <cell r="C421"/>
          <cell r="D421"/>
          <cell r="E421"/>
          <cell r="F421"/>
          <cell r="G421"/>
          <cell r="H421"/>
          <cell r="I421"/>
          <cell r="J421"/>
          <cell r="K421"/>
          <cell r="L421"/>
          <cell r="M421"/>
          <cell r="N421"/>
          <cell r="O421"/>
          <cell r="P421"/>
          <cell r="Q421"/>
          <cell r="R421"/>
          <cell r="S421"/>
          <cell r="T421"/>
          <cell r="U421"/>
        </row>
        <row r="422">
          <cell r="A422"/>
          <cell r="B422"/>
          <cell r="C422"/>
          <cell r="D422"/>
          <cell r="E422"/>
          <cell r="F422"/>
          <cell r="G422"/>
          <cell r="H422"/>
          <cell r="I422"/>
          <cell r="J422"/>
          <cell r="K422"/>
          <cell r="L422"/>
          <cell r="M422"/>
          <cell r="N422"/>
          <cell r="O422"/>
          <cell r="P422"/>
          <cell r="Q422"/>
          <cell r="R422"/>
          <cell r="S422"/>
          <cell r="T422"/>
          <cell r="U422"/>
        </row>
        <row r="423">
          <cell r="A423"/>
          <cell r="B423"/>
          <cell r="C423"/>
          <cell r="D423"/>
          <cell r="E423"/>
          <cell r="F423"/>
          <cell r="G423"/>
          <cell r="H423"/>
          <cell r="I423"/>
          <cell r="J423"/>
          <cell r="K423"/>
          <cell r="L423"/>
          <cell r="M423"/>
          <cell r="N423"/>
          <cell r="O423"/>
          <cell r="P423"/>
          <cell r="Q423"/>
          <cell r="R423"/>
          <cell r="S423"/>
          <cell r="T423"/>
          <cell r="U423"/>
        </row>
        <row r="424">
          <cell r="A424"/>
          <cell r="B424"/>
          <cell r="C424"/>
          <cell r="D424"/>
          <cell r="E424"/>
          <cell r="F424"/>
          <cell r="G424"/>
          <cell r="H424"/>
          <cell r="I424"/>
          <cell r="J424"/>
          <cell r="K424"/>
          <cell r="L424"/>
          <cell r="M424"/>
          <cell r="N424"/>
          <cell r="O424"/>
          <cell r="P424"/>
          <cell r="Q424"/>
          <cell r="R424"/>
          <cell r="S424"/>
          <cell r="T424"/>
          <cell r="U424"/>
        </row>
        <row r="425">
          <cell r="A425"/>
          <cell r="B425"/>
          <cell r="C425"/>
          <cell r="D425"/>
          <cell r="E425"/>
          <cell r="F425"/>
          <cell r="G425"/>
          <cell r="H425"/>
          <cell r="I425"/>
          <cell r="J425"/>
          <cell r="K425"/>
          <cell r="L425"/>
          <cell r="M425"/>
          <cell r="N425"/>
          <cell r="O425"/>
          <cell r="P425"/>
          <cell r="Q425"/>
          <cell r="R425"/>
          <cell r="S425"/>
          <cell r="T425"/>
          <cell r="U425"/>
        </row>
        <row r="426">
          <cell r="A426"/>
          <cell r="B426"/>
          <cell r="C426"/>
          <cell r="D426"/>
          <cell r="E426"/>
          <cell r="F426"/>
          <cell r="G426"/>
          <cell r="H426"/>
          <cell r="I426"/>
          <cell r="J426"/>
          <cell r="K426"/>
          <cell r="L426"/>
          <cell r="M426"/>
          <cell r="N426"/>
          <cell r="O426"/>
          <cell r="P426"/>
          <cell r="Q426"/>
          <cell r="R426"/>
          <cell r="S426"/>
          <cell r="T426"/>
          <cell r="U426"/>
        </row>
        <row r="427">
          <cell r="A427"/>
          <cell r="B427"/>
          <cell r="C427"/>
          <cell r="D427"/>
          <cell r="E427"/>
          <cell r="F427"/>
          <cell r="G427"/>
          <cell r="H427"/>
          <cell r="I427"/>
          <cell r="J427"/>
          <cell r="K427"/>
          <cell r="L427"/>
          <cell r="M427"/>
          <cell r="N427"/>
          <cell r="O427"/>
          <cell r="P427"/>
          <cell r="Q427"/>
          <cell r="R427"/>
          <cell r="S427"/>
          <cell r="T427"/>
          <cell r="U427"/>
        </row>
        <row r="428">
          <cell r="A428"/>
          <cell r="B428"/>
          <cell r="C428"/>
          <cell r="D428"/>
          <cell r="E428"/>
          <cell r="F428"/>
          <cell r="G428"/>
          <cell r="H428"/>
          <cell r="I428"/>
          <cell r="J428"/>
          <cell r="K428"/>
          <cell r="L428"/>
          <cell r="M428"/>
          <cell r="N428"/>
          <cell r="O428"/>
          <cell r="P428"/>
          <cell r="Q428"/>
          <cell r="R428"/>
          <cell r="S428"/>
          <cell r="T428"/>
          <cell r="U428"/>
        </row>
        <row r="429">
          <cell r="A429"/>
          <cell r="B429"/>
          <cell r="C429"/>
          <cell r="D429"/>
          <cell r="E429"/>
          <cell r="F429"/>
          <cell r="G429"/>
          <cell r="H429"/>
          <cell r="I429"/>
          <cell r="J429"/>
          <cell r="K429"/>
          <cell r="L429"/>
          <cell r="M429"/>
          <cell r="N429"/>
          <cell r="O429"/>
          <cell r="P429"/>
          <cell r="Q429"/>
          <cell r="R429"/>
          <cell r="S429"/>
          <cell r="T429"/>
          <cell r="U429"/>
        </row>
        <row r="430">
          <cell r="A430"/>
          <cell r="B430"/>
          <cell r="C430"/>
          <cell r="D430"/>
          <cell r="E430"/>
          <cell r="F430"/>
          <cell r="G430"/>
          <cell r="H430"/>
          <cell r="I430"/>
          <cell r="J430"/>
          <cell r="K430"/>
          <cell r="L430"/>
          <cell r="M430"/>
          <cell r="N430"/>
          <cell r="O430"/>
          <cell r="P430"/>
          <cell r="Q430"/>
          <cell r="R430"/>
          <cell r="S430"/>
          <cell r="T430"/>
          <cell r="U430"/>
        </row>
        <row r="431">
          <cell r="A431"/>
          <cell r="B431"/>
          <cell r="C431"/>
          <cell r="D431"/>
          <cell r="E431"/>
          <cell r="F431"/>
          <cell r="G431"/>
          <cell r="H431"/>
          <cell r="I431"/>
          <cell r="J431"/>
          <cell r="K431"/>
          <cell r="L431"/>
          <cell r="M431"/>
          <cell r="N431"/>
          <cell r="O431"/>
          <cell r="P431"/>
          <cell r="Q431"/>
          <cell r="R431"/>
          <cell r="S431"/>
          <cell r="T431"/>
          <cell r="U431"/>
        </row>
        <row r="432">
          <cell r="A432"/>
          <cell r="B432"/>
          <cell r="C432"/>
          <cell r="D432"/>
          <cell r="E432"/>
          <cell r="F432"/>
          <cell r="G432"/>
          <cell r="H432"/>
          <cell r="I432"/>
          <cell r="J432"/>
          <cell r="K432"/>
          <cell r="L432"/>
          <cell r="M432"/>
          <cell r="N432"/>
          <cell r="O432"/>
          <cell r="P432"/>
          <cell r="Q432"/>
          <cell r="R432"/>
          <cell r="S432"/>
          <cell r="T432"/>
          <cell r="U432"/>
        </row>
        <row r="433">
          <cell r="A433"/>
          <cell r="B433"/>
          <cell r="C433"/>
          <cell r="D433"/>
          <cell r="E433"/>
          <cell r="F433"/>
          <cell r="G433"/>
          <cell r="H433"/>
          <cell r="I433"/>
          <cell r="J433"/>
          <cell r="K433"/>
          <cell r="L433"/>
          <cell r="M433"/>
          <cell r="N433"/>
          <cell r="O433"/>
          <cell r="P433"/>
          <cell r="Q433"/>
          <cell r="R433"/>
          <cell r="S433"/>
          <cell r="T433"/>
          <cell r="U433"/>
        </row>
        <row r="434">
          <cell r="A434"/>
          <cell r="B434"/>
          <cell r="C434"/>
          <cell r="D434"/>
          <cell r="E434"/>
          <cell r="F434"/>
          <cell r="G434"/>
          <cell r="H434"/>
          <cell r="I434"/>
          <cell r="J434"/>
          <cell r="K434"/>
          <cell r="L434"/>
          <cell r="M434"/>
          <cell r="N434"/>
          <cell r="O434"/>
          <cell r="P434"/>
          <cell r="Q434"/>
          <cell r="R434"/>
          <cell r="S434"/>
          <cell r="T434"/>
          <cell r="U434"/>
        </row>
        <row r="435">
          <cell r="A435"/>
          <cell r="B435"/>
          <cell r="C435"/>
          <cell r="D435"/>
          <cell r="E435"/>
          <cell r="F435"/>
          <cell r="G435"/>
          <cell r="H435"/>
          <cell r="I435"/>
          <cell r="J435"/>
          <cell r="K435"/>
          <cell r="L435"/>
          <cell r="M435"/>
          <cell r="N435"/>
          <cell r="O435"/>
          <cell r="P435"/>
          <cell r="Q435"/>
          <cell r="R435"/>
          <cell r="S435"/>
          <cell r="T435"/>
          <cell r="U435"/>
        </row>
        <row r="436">
          <cell r="A436"/>
          <cell r="B436"/>
          <cell r="C436"/>
          <cell r="D436"/>
          <cell r="E436"/>
          <cell r="F436"/>
          <cell r="G436"/>
          <cell r="H436"/>
          <cell r="I436"/>
          <cell r="J436"/>
          <cell r="K436"/>
          <cell r="L436"/>
          <cell r="M436"/>
          <cell r="N436"/>
          <cell r="O436"/>
          <cell r="P436"/>
          <cell r="Q436"/>
          <cell r="R436"/>
          <cell r="S436"/>
          <cell r="T436"/>
          <cell r="U436"/>
        </row>
        <row r="437">
          <cell r="A437"/>
          <cell r="B437"/>
          <cell r="C437"/>
          <cell r="D437"/>
          <cell r="E437"/>
          <cell r="F437"/>
          <cell r="G437"/>
          <cell r="H437"/>
          <cell r="I437"/>
          <cell r="J437"/>
          <cell r="K437"/>
          <cell r="L437"/>
          <cell r="M437"/>
          <cell r="N437"/>
          <cell r="O437"/>
          <cell r="P437"/>
          <cell r="Q437"/>
          <cell r="R437"/>
          <cell r="S437"/>
          <cell r="T437"/>
          <cell r="U437"/>
        </row>
        <row r="438">
          <cell r="A438"/>
          <cell r="B438"/>
          <cell r="C438"/>
          <cell r="D438"/>
          <cell r="E438"/>
          <cell r="F438"/>
          <cell r="G438"/>
          <cell r="H438"/>
          <cell r="I438"/>
          <cell r="J438"/>
          <cell r="K438"/>
          <cell r="L438"/>
          <cell r="M438"/>
          <cell r="N438"/>
          <cell r="O438"/>
          <cell r="P438"/>
          <cell r="Q438"/>
          <cell r="R438"/>
          <cell r="S438"/>
          <cell r="T438"/>
          <cell r="U438"/>
        </row>
        <row r="439">
          <cell r="A439"/>
          <cell r="B439"/>
          <cell r="C439"/>
          <cell r="D439"/>
          <cell r="E439"/>
          <cell r="F439"/>
          <cell r="G439"/>
          <cell r="H439"/>
          <cell r="I439"/>
          <cell r="J439"/>
          <cell r="K439"/>
          <cell r="L439"/>
          <cell r="M439"/>
          <cell r="N439"/>
          <cell r="O439"/>
          <cell r="P439"/>
          <cell r="Q439"/>
          <cell r="R439"/>
          <cell r="S439"/>
          <cell r="T439"/>
          <cell r="U439"/>
        </row>
        <row r="440">
          <cell r="A440"/>
          <cell r="B440"/>
          <cell r="C440"/>
          <cell r="D440"/>
          <cell r="E440"/>
          <cell r="F440"/>
          <cell r="G440"/>
          <cell r="H440"/>
          <cell r="I440"/>
          <cell r="J440"/>
          <cell r="K440"/>
          <cell r="L440"/>
          <cell r="M440"/>
          <cell r="N440"/>
          <cell r="O440"/>
          <cell r="P440"/>
          <cell r="Q440"/>
          <cell r="R440"/>
          <cell r="S440"/>
          <cell r="T440"/>
          <cell r="U440"/>
        </row>
        <row r="441">
          <cell r="A441"/>
          <cell r="B441"/>
          <cell r="C441"/>
          <cell r="D441"/>
          <cell r="E441"/>
          <cell r="F441"/>
          <cell r="G441"/>
          <cell r="H441"/>
          <cell r="I441"/>
          <cell r="J441"/>
          <cell r="K441"/>
          <cell r="L441"/>
          <cell r="M441"/>
          <cell r="N441"/>
          <cell r="O441"/>
          <cell r="P441"/>
          <cell r="Q441"/>
          <cell r="R441"/>
          <cell r="S441"/>
          <cell r="T441"/>
          <cell r="U441"/>
        </row>
        <row r="442">
          <cell r="A442"/>
          <cell r="B442"/>
          <cell r="C442"/>
          <cell r="D442"/>
          <cell r="E442"/>
          <cell r="F442"/>
          <cell r="G442"/>
          <cell r="H442"/>
          <cell r="I442"/>
          <cell r="J442"/>
          <cell r="K442"/>
          <cell r="L442"/>
          <cell r="M442"/>
          <cell r="N442"/>
          <cell r="O442"/>
          <cell r="P442"/>
          <cell r="Q442"/>
          <cell r="R442"/>
          <cell r="S442"/>
          <cell r="T442"/>
          <cell r="U442"/>
        </row>
        <row r="443">
          <cell r="A443"/>
          <cell r="B443"/>
          <cell r="C443"/>
          <cell r="D443"/>
          <cell r="E443"/>
          <cell r="F443"/>
          <cell r="G443"/>
          <cell r="H443"/>
          <cell r="I443"/>
          <cell r="J443"/>
          <cell r="K443"/>
          <cell r="L443"/>
          <cell r="M443"/>
          <cell r="N443"/>
          <cell r="O443"/>
          <cell r="P443"/>
          <cell r="Q443"/>
          <cell r="R443"/>
          <cell r="S443"/>
          <cell r="T443"/>
          <cell r="U443"/>
        </row>
        <row r="444">
          <cell r="A444"/>
          <cell r="B444"/>
          <cell r="C444"/>
          <cell r="D444"/>
          <cell r="E444"/>
          <cell r="F444"/>
          <cell r="G444"/>
          <cell r="H444"/>
          <cell r="I444"/>
          <cell r="J444"/>
          <cell r="K444"/>
          <cell r="L444"/>
          <cell r="M444"/>
          <cell r="N444"/>
          <cell r="O444"/>
          <cell r="P444"/>
          <cell r="Q444"/>
          <cell r="R444"/>
          <cell r="S444"/>
          <cell r="T444"/>
          <cell r="U444"/>
        </row>
        <row r="445">
          <cell r="A445"/>
          <cell r="B445"/>
          <cell r="C445"/>
          <cell r="D445"/>
          <cell r="E445"/>
          <cell r="F445"/>
          <cell r="G445"/>
          <cell r="H445"/>
          <cell r="I445"/>
          <cell r="J445"/>
          <cell r="K445"/>
          <cell r="L445"/>
          <cell r="M445"/>
          <cell r="N445"/>
          <cell r="O445"/>
          <cell r="P445"/>
          <cell r="Q445"/>
          <cell r="R445"/>
          <cell r="S445"/>
          <cell r="T445"/>
          <cell r="U445"/>
        </row>
        <row r="446">
          <cell r="A446"/>
          <cell r="B446"/>
          <cell r="C446"/>
          <cell r="D446"/>
          <cell r="E446"/>
          <cell r="F446"/>
          <cell r="G446"/>
          <cell r="H446"/>
          <cell r="I446"/>
          <cell r="J446"/>
          <cell r="K446"/>
          <cell r="L446"/>
          <cell r="M446"/>
          <cell r="N446"/>
          <cell r="O446"/>
          <cell r="P446"/>
          <cell r="Q446"/>
          <cell r="R446"/>
          <cell r="S446"/>
          <cell r="T446"/>
          <cell r="U446"/>
        </row>
        <row r="447">
          <cell r="A447"/>
          <cell r="B447"/>
          <cell r="C447"/>
          <cell r="D447"/>
          <cell r="E447"/>
          <cell r="F447"/>
          <cell r="G447"/>
          <cell r="H447"/>
          <cell r="I447"/>
          <cell r="J447"/>
          <cell r="K447"/>
          <cell r="L447"/>
          <cell r="M447"/>
          <cell r="N447"/>
          <cell r="O447"/>
          <cell r="P447"/>
          <cell r="Q447"/>
          <cell r="R447"/>
          <cell r="S447"/>
          <cell r="T447"/>
          <cell r="U447"/>
        </row>
        <row r="448">
          <cell r="A448"/>
          <cell r="B448"/>
          <cell r="C448"/>
          <cell r="D448"/>
          <cell r="E448"/>
          <cell r="F448"/>
          <cell r="G448"/>
          <cell r="H448"/>
          <cell r="I448"/>
          <cell r="J448"/>
          <cell r="K448"/>
          <cell r="L448"/>
          <cell r="M448"/>
          <cell r="N448"/>
          <cell r="O448"/>
          <cell r="P448"/>
          <cell r="Q448"/>
          <cell r="R448"/>
          <cell r="S448"/>
          <cell r="T448"/>
          <cell r="U448"/>
        </row>
        <row r="449">
          <cell r="A449"/>
          <cell r="B449"/>
          <cell r="C449"/>
          <cell r="D449"/>
          <cell r="E449"/>
          <cell r="F449"/>
          <cell r="G449"/>
          <cell r="H449"/>
          <cell r="I449"/>
          <cell r="J449"/>
          <cell r="K449"/>
          <cell r="L449"/>
          <cell r="M449"/>
          <cell r="N449"/>
          <cell r="O449"/>
          <cell r="P449"/>
          <cell r="Q449"/>
          <cell r="R449"/>
          <cell r="S449"/>
          <cell r="T449"/>
          <cell r="U449"/>
        </row>
        <row r="450">
          <cell r="A450"/>
          <cell r="B450"/>
          <cell r="C450"/>
          <cell r="D450"/>
          <cell r="E450"/>
          <cell r="F450"/>
          <cell r="G450"/>
          <cell r="H450"/>
          <cell r="I450"/>
          <cell r="J450"/>
          <cell r="K450"/>
          <cell r="L450"/>
          <cell r="M450"/>
          <cell r="N450"/>
          <cell r="O450"/>
          <cell r="P450"/>
          <cell r="Q450"/>
          <cell r="R450"/>
          <cell r="S450"/>
          <cell r="T450"/>
          <cell r="U450"/>
        </row>
        <row r="451">
          <cell r="A451"/>
          <cell r="B451"/>
          <cell r="C451"/>
          <cell r="D451"/>
          <cell r="E451"/>
          <cell r="F451"/>
          <cell r="G451"/>
          <cell r="H451"/>
          <cell r="I451"/>
          <cell r="J451"/>
          <cell r="K451"/>
          <cell r="L451"/>
          <cell r="M451"/>
          <cell r="N451"/>
          <cell r="O451"/>
          <cell r="P451"/>
          <cell r="Q451"/>
          <cell r="R451"/>
          <cell r="S451"/>
          <cell r="T451"/>
          <cell r="U451"/>
        </row>
        <row r="452">
          <cell r="A452"/>
          <cell r="B452"/>
          <cell r="C452"/>
          <cell r="D452"/>
          <cell r="E452"/>
          <cell r="F452"/>
          <cell r="G452"/>
          <cell r="H452"/>
          <cell r="I452"/>
          <cell r="J452"/>
          <cell r="K452"/>
          <cell r="L452"/>
          <cell r="M452"/>
          <cell r="N452"/>
          <cell r="O452"/>
          <cell r="P452"/>
          <cell r="Q452"/>
          <cell r="R452"/>
          <cell r="S452"/>
          <cell r="T452"/>
          <cell r="U452"/>
        </row>
        <row r="453">
          <cell r="A453"/>
          <cell r="B453"/>
          <cell r="C453"/>
          <cell r="D453"/>
          <cell r="E453"/>
          <cell r="F453"/>
          <cell r="G453"/>
          <cell r="H453"/>
          <cell r="I453"/>
          <cell r="J453"/>
          <cell r="K453"/>
          <cell r="L453"/>
          <cell r="M453"/>
          <cell r="N453"/>
          <cell r="O453"/>
          <cell r="P453"/>
          <cell r="Q453"/>
          <cell r="R453"/>
          <cell r="S453"/>
          <cell r="T453"/>
          <cell r="U453"/>
        </row>
        <row r="454">
          <cell r="A454"/>
          <cell r="B454"/>
          <cell r="C454"/>
          <cell r="D454"/>
          <cell r="E454"/>
          <cell r="F454"/>
          <cell r="G454"/>
          <cell r="H454"/>
          <cell r="I454"/>
          <cell r="J454"/>
          <cell r="K454"/>
          <cell r="L454"/>
          <cell r="M454"/>
          <cell r="N454"/>
          <cell r="O454"/>
          <cell r="P454"/>
          <cell r="Q454"/>
          <cell r="R454"/>
          <cell r="S454"/>
          <cell r="T454"/>
          <cell r="U454"/>
        </row>
        <row r="455">
          <cell r="A455"/>
          <cell r="B455"/>
          <cell r="C455"/>
          <cell r="D455"/>
          <cell r="E455"/>
          <cell r="F455"/>
          <cell r="G455"/>
          <cell r="H455"/>
          <cell r="I455"/>
          <cell r="J455"/>
          <cell r="K455"/>
          <cell r="L455"/>
          <cell r="M455"/>
          <cell r="N455"/>
          <cell r="O455"/>
          <cell r="P455"/>
          <cell r="Q455"/>
          <cell r="R455"/>
          <cell r="S455"/>
          <cell r="T455"/>
          <cell r="U455"/>
        </row>
        <row r="456">
          <cell r="A456"/>
          <cell r="B456"/>
          <cell r="C456"/>
          <cell r="D456"/>
          <cell r="E456"/>
          <cell r="F456"/>
          <cell r="G456"/>
          <cell r="H456"/>
          <cell r="I456"/>
          <cell r="J456"/>
          <cell r="K456"/>
          <cell r="L456"/>
          <cell r="M456"/>
          <cell r="N456"/>
          <cell r="O456"/>
          <cell r="P456"/>
          <cell r="Q456"/>
          <cell r="R456"/>
          <cell r="S456"/>
          <cell r="T456"/>
          <cell r="U456"/>
        </row>
        <row r="457">
          <cell r="A457"/>
          <cell r="B457"/>
          <cell r="C457"/>
          <cell r="D457"/>
          <cell r="E457"/>
          <cell r="F457"/>
          <cell r="G457"/>
          <cell r="H457"/>
          <cell r="I457"/>
          <cell r="J457"/>
          <cell r="K457"/>
          <cell r="L457"/>
          <cell r="M457"/>
          <cell r="N457"/>
          <cell r="O457"/>
          <cell r="P457"/>
          <cell r="Q457"/>
          <cell r="R457"/>
          <cell r="S457"/>
          <cell r="T457"/>
          <cell r="U457"/>
        </row>
        <row r="458">
          <cell r="A458"/>
          <cell r="B458"/>
          <cell r="C458"/>
          <cell r="D458"/>
          <cell r="E458"/>
          <cell r="F458"/>
          <cell r="G458"/>
          <cell r="H458"/>
          <cell r="I458"/>
          <cell r="J458"/>
          <cell r="K458"/>
          <cell r="L458"/>
          <cell r="M458"/>
          <cell r="N458"/>
          <cell r="O458"/>
          <cell r="P458"/>
          <cell r="Q458"/>
          <cell r="R458"/>
          <cell r="S458"/>
          <cell r="T458"/>
          <cell r="U458"/>
        </row>
        <row r="459">
          <cell r="A459"/>
          <cell r="B459"/>
          <cell r="C459"/>
          <cell r="D459"/>
          <cell r="E459"/>
          <cell r="F459"/>
          <cell r="G459"/>
          <cell r="H459"/>
          <cell r="I459"/>
          <cell r="J459"/>
          <cell r="K459"/>
          <cell r="L459"/>
          <cell r="M459"/>
          <cell r="N459"/>
          <cell r="O459"/>
          <cell r="P459"/>
          <cell r="Q459"/>
          <cell r="R459"/>
          <cell r="S459"/>
          <cell r="T459"/>
          <cell r="U459"/>
        </row>
        <row r="460">
          <cell r="A460"/>
          <cell r="B460"/>
          <cell r="C460"/>
          <cell r="D460"/>
          <cell r="E460"/>
          <cell r="F460"/>
          <cell r="G460"/>
          <cell r="H460"/>
          <cell r="I460"/>
          <cell r="J460"/>
          <cell r="K460"/>
          <cell r="L460"/>
          <cell r="M460"/>
          <cell r="N460"/>
          <cell r="O460"/>
          <cell r="P460"/>
          <cell r="Q460"/>
          <cell r="R460"/>
          <cell r="S460"/>
          <cell r="T460"/>
          <cell r="U460"/>
        </row>
        <row r="461">
          <cell r="A461"/>
          <cell r="B461"/>
          <cell r="C461"/>
          <cell r="D461"/>
          <cell r="E461"/>
          <cell r="F461"/>
          <cell r="G461"/>
          <cell r="H461"/>
          <cell r="I461"/>
          <cell r="J461"/>
          <cell r="K461"/>
          <cell r="L461"/>
          <cell r="M461"/>
          <cell r="N461"/>
          <cell r="O461"/>
          <cell r="P461"/>
          <cell r="Q461"/>
          <cell r="R461"/>
          <cell r="S461"/>
          <cell r="T461"/>
          <cell r="U461"/>
        </row>
        <row r="462">
          <cell r="A462"/>
          <cell r="B462"/>
          <cell r="C462"/>
          <cell r="D462"/>
          <cell r="E462"/>
          <cell r="F462"/>
          <cell r="G462"/>
          <cell r="H462"/>
          <cell r="I462"/>
          <cell r="J462"/>
          <cell r="K462"/>
          <cell r="L462"/>
          <cell r="M462"/>
          <cell r="N462"/>
          <cell r="O462"/>
          <cell r="P462"/>
          <cell r="Q462"/>
          <cell r="R462"/>
          <cell r="S462"/>
          <cell r="T462"/>
          <cell r="U462"/>
        </row>
        <row r="463">
          <cell r="A463"/>
          <cell r="B463"/>
          <cell r="C463"/>
          <cell r="D463"/>
          <cell r="E463"/>
          <cell r="F463"/>
          <cell r="G463"/>
          <cell r="H463"/>
          <cell r="I463"/>
          <cell r="J463"/>
          <cell r="K463"/>
          <cell r="L463"/>
          <cell r="M463"/>
          <cell r="N463"/>
          <cell r="O463"/>
          <cell r="P463"/>
          <cell r="Q463"/>
          <cell r="R463"/>
          <cell r="S463"/>
          <cell r="T463"/>
          <cell r="U463"/>
        </row>
        <row r="464">
          <cell r="A464"/>
          <cell r="B464"/>
          <cell r="C464"/>
          <cell r="D464"/>
          <cell r="E464"/>
          <cell r="F464"/>
          <cell r="G464"/>
          <cell r="H464"/>
          <cell r="I464"/>
          <cell r="J464"/>
          <cell r="K464"/>
          <cell r="L464"/>
          <cell r="M464"/>
          <cell r="N464"/>
          <cell r="O464"/>
          <cell r="P464"/>
          <cell r="Q464"/>
          <cell r="R464"/>
          <cell r="S464"/>
          <cell r="T464"/>
          <cell r="U464"/>
        </row>
        <row r="465">
          <cell r="A465"/>
          <cell r="B465"/>
          <cell r="C465"/>
          <cell r="D465"/>
          <cell r="E465"/>
          <cell r="F465"/>
          <cell r="G465"/>
          <cell r="H465"/>
          <cell r="I465"/>
          <cell r="J465"/>
          <cell r="K465"/>
          <cell r="L465"/>
          <cell r="M465"/>
          <cell r="N465"/>
          <cell r="O465"/>
          <cell r="P465"/>
          <cell r="Q465"/>
          <cell r="R465"/>
          <cell r="S465"/>
          <cell r="T465"/>
          <cell r="U465"/>
        </row>
        <row r="466">
          <cell r="A466"/>
          <cell r="B466"/>
          <cell r="C466"/>
          <cell r="D466"/>
          <cell r="E466"/>
          <cell r="F466"/>
          <cell r="G466"/>
          <cell r="H466"/>
          <cell r="I466"/>
          <cell r="J466"/>
          <cell r="K466"/>
          <cell r="L466"/>
          <cell r="M466"/>
          <cell r="N466"/>
          <cell r="O466"/>
          <cell r="P466"/>
          <cell r="Q466"/>
          <cell r="R466"/>
          <cell r="S466"/>
          <cell r="T466"/>
          <cell r="U466"/>
        </row>
        <row r="467">
          <cell r="A467"/>
          <cell r="B467"/>
          <cell r="C467"/>
          <cell r="D467"/>
          <cell r="E467"/>
          <cell r="F467"/>
          <cell r="G467"/>
          <cell r="H467"/>
          <cell r="I467"/>
          <cell r="J467"/>
          <cell r="K467"/>
          <cell r="L467"/>
          <cell r="M467"/>
          <cell r="N467"/>
          <cell r="O467"/>
          <cell r="P467"/>
          <cell r="Q467"/>
          <cell r="R467"/>
          <cell r="S467"/>
          <cell r="T467"/>
          <cell r="U467"/>
        </row>
        <row r="468">
          <cell r="A468"/>
          <cell r="B468"/>
          <cell r="C468"/>
          <cell r="D468"/>
          <cell r="E468"/>
          <cell r="F468"/>
          <cell r="G468"/>
          <cell r="H468"/>
          <cell r="I468"/>
          <cell r="J468"/>
          <cell r="K468"/>
          <cell r="L468"/>
          <cell r="M468"/>
          <cell r="N468"/>
          <cell r="O468"/>
          <cell r="P468"/>
          <cell r="Q468"/>
          <cell r="R468"/>
          <cell r="S468"/>
          <cell r="T468"/>
          <cell r="U468"/>
        </row>
        <row r="469">
          <cell r="A469"/>
          <cell r="B469"/>
          <cell r="C469"/>
          <cell r="D469"/>
          <cell r="E469"/>
          <cell r="F469"/>
          <cell r="G469"/>
          <cell r="H469"/>
          <cell r="I469"/>
          <cell r="J469"/>
          <cell r="K469"/>
          <cell r="L469"/>
          <cell r="M469"/>
          <cell r="N469"/>
          <cell r="O469"/>
          <cell r="P469"/>
          <cell r="Q469"/>
          <cell r="R469"/>
          <cell r="S469"/>
          <cell r="T469"/>
          <cell r="U469"/>
        </row>
        <row r="470">
          <cell r="A470"/>
          <cell r="B470"/>
          <cell r="C470"/>
          <cell r="D470"/>
          <cell r="E470"/>
          <cell r="F470"/>
          <cell r="G470"/>
          <cell r="H470"/>
          <cell r="I470"/>
          <cell r="J470"/>
          <cell r="K470"/>
          <cell r="L470"/>
          <cell r="M470"/>
          <cell r="N470"/>
          <cell r="O470"/>
          <cell r="P470"/>
          <cell r="Q470"/>
          <cell r="R470"/>
          <cell r="S470"/>
          <cell r="T470"/>
          <cell r="U470"/>
        </row>
        <row r="471">
          <cell r="A471"/>
          <cell r="B471"/>
          <cell r="C471"/>
          <cell r="D471"/>
          <cell r="E471"/>
          <cell r="F471"/>
          <cell r="G471"/>
          <cell r="H471"/>
          <cell r="I471"/>
          <cell r="J471"/>
          <cell r="K471"/>
          <cell r="L471"/>
          <cell r="M471"/>
          <cell r="N471"/>
          <cell r="O471"/>
          <cell r="P471"/>
          <cell r="Q471"/>
          <cell r="R471"/>
          <cell r="S471"/>
          <cell r="T471"/>
          <cell r="U471"/>
        </row>
        <row r="472">
          <cell r="A472"/>
          <cell r="B472"/>
          <cell r="C472"/>
          <cell r="D472"/>
          <cell r="E472"/>
          <cell r="F472"/>
          <cell r="G472"/>
          <cell r="H472"/>
          <cell r="I472"/>
          <cell r="J472"/>
          <cell r="K472"/>
          <cell r="L472"/>
          <cell r="M472"/>
          <cell r="N472"/>
          <cell r="O472"/>
          <cell r="P472"/>
          <cell r="Q472"/>
          <cell r="R472"/>
          <cell r="S472"/>
          <cell r="T472"/>
          <cell r="U472"/>
        </row>
        <row r="473">
          <cell r="A473"/>
          <cell r="B473"/>
          <cell r="C473"/>
          <cell r="D473"/>
          <cell r="E473"/>
          <cell r="F473"/>
          <cell r="G473"/>
          <cell r="H473"/>
          <cell r="I473"/>
          <cell r="J473"/>
          <cell r="K473"/>
          <cell r="L473"/>
          <cell r="M473"/>
          <cell r="N473"/>
          <cell r="O473"/>
          <cell r="P473"/>
          <cell r="Q473"/>
          <cell r="R473"/>
          <cell r="S473"/>
          <cell r="T473"/>
          <cell r="U473"/>
        </row>
        <row r="474">
          <cell r="A474"/>
          <cell r="B474"/>
          <cell r="C474"/>
          <cell r="D474"/>
          <cell r="E474"/>
          <cell r="F474"/>
          <cell r="G474"/>
          <cell r="H474"/>
          <cell r="I474"/>
          <cell r="J474"/>
          <cell r="K474"/>
          <cell r="L474"/>
          <cell r="M474"/>
          <cell r="N474"/>
          <cell r="O474"/>
          <cell r="P474"/>
          <cell r="Q474"/>
          <cell r="R474"/>
          <cell r="S474"/>
          <cell r="T474"/>
          <cell r="U474"/>
        </row>
        <row r="475">
          <cell r="A475"/>
          <cell r="B475"/>
          <cell r="C475"/>
          <cell r="D475"/>
          <cell r="E475"/>
          <cell r="F475"/>
          <cell r="G475"/>
          <cell r="H475"/>
          <cell r="I475"/>
          <cell r="J475"/>
          <cell r="K475"/>
          <cell r="L475"/>
          <cell r="M475"/>
          <cell r="N475"/>
          <cell r="O475"/>
          <cell r="P475"/>
          <cell r="Q475"/>
          <cell r="R475"/>
          <cell r="S475"/>
          <cell r="T475"/>
          <cell r="U475"/>
        </row>
        <row r="476">
          <cell r="A476"/>
          <cell r="B476"/>
          <cell r="C476"/>
          <cell r="D476"/>
          <cell r="E476"/>
          <cell r="F476"/>
          <cell r="G476"/>
          <cell r="H476"/>
          <cell r="I476"/>
          <cell r="J476"/>
          <cell r="K476"/>
          <cell r="L476"/>
          <cell r="M476"/>
          <cell r="N476"/>
          <cell r="O476"/>
          <cell r="P476"/>
          <cell r="Q476"/>
          <cell r="R476"/>
          <cell r="S476"/>
          <cell r="T476"/>
          <cell r="U476"/>
        </row>
        <row r="477">
          <cell r="A477"/>
          <cell r="B477"/>
          <cell r="C477"/>
          <cell r="D477"/>
          <cell r="E477"/>
          <cell r="F477"/>
          <cell r="G477"/>
          <cell r="H477"/>
          <cell r="I477"/>
          <cell r="J477"/>
          <cell r="K477"/>
          <cell r="L477"/>
          <cell r="M477"/>
          <cell r="N477"/>
          <cell r="O477"/>
          <cell r="P477"/>
          <cell r="Q477"/>
          <cell r="R477"/>
          <cell r="S477"/>
          <cell r="T477"/>
          <cell r="U477"/>
        </row>
        <row r="478">
          <cell r="A478"/>
          <cell r="B478"/>
          <cell r="C478"/>
          <cell r="D478"/>
          <cell r="E478"/>
          <cell r="F478"/>
          <cell r="G478"/>
          <cell r="H478"/>
          <cell r="I478"/>
          <cell r="J478"/>
          <cell r="K478"/>
          <cell r="L478"/>
          <cell r="M478"/>
          <cell r="N478"/>
          <cell r="O478"/>
          <cell r="P478"/>
          <cell r="Q478"/>
          <cell r="R478"/>
          <cell r="S478"/>
          <cell r="T478"/>
          <cell r="U478"/>
        </row>
        <row r="479">
          <cell r="A479"/>
          <cell r="B479"/>
          <cell r="C479"/>
          <cell r="D479"/>
          <cell r="E479"/>
          <cell r="F479"/>
          <cell r="G479"/>
          <cell r="H479"/>
          <cell r="I479"/>
          <cell r="J479"/>
          <cell r="K479"/>
          <cell r="L479"/>
          <cell r="M479"/>
          <cell r="N479"/>
          <cell r="O479"/>
          <cell r="P479"/>
          <cell r="Q479"/>
          <cell r="R479"/>
          <cell r="S479"/>
          <cell r="T479"/>
          <cell r="U479"/>
        </row>
        <row r="480">
          <cell r="A480"/>
          <cell r="B480"/>
          <cell r="C480"/>
          <cell r="D480"/>
          <cell r="E480"/>
          <cell r="F480"/>
          <cell r="G480"/>
          <cell r="H480"/>
          <cell r="I480"/>
          <cell r="J480"/>
          <cell r="K480"/>
          <cell r="L480"/>
          <cell r="M480"/>
          <cell r="N480"/>
          <cell r="O480"/>
          <cell r="P480"/>
          <cell r="Q480"/>
          <cell r="R480"/>
          <cell r="S480"/>
          <cell r="T480"/>
          <cell r="U480"/>
        </row>
        <row r="481">
          <cell r="A481"/>
          <cell r="B481"/>
          <cell r="C481"/>
          <cell r="D481"/>
          <cell r="E481"/>
          <cell r="F481"/>
          <cell r="G481"/>
          <cell r="H481"/>
          <cell r="I481"/>
          <cell r="J481"/>
          <cell r="K481"/>
          <cell r="L481"/>
          <cell r="M481"/>
          <cell r="N481"/>
          <cell r="O481"/>
          <cell r="P481"/>
          <cell r="Q481"/>
          <cell r="R481"/>
          <cell r="S481"/>
          <cell r="T481"/>
          <cell r="U481"/>
        </row>
        <row r="482">
          <cell r="A482"/>
          <cell r="B482"/>
          <cell r="C482"/>
          <cell r="D482"/>
          <cell r="E482"/>
          <cell r="F482"/>
          <cell r="G482"/>
          <cell r="H482"/>
          <cell r="I482"/>
          <cell r="J482"/>
          <cell r="K482"/>
          <cell r="L482"/>
          <cell r="M482"/>
          <cell r="N482"/>
          <cell r="O482"/>
          <cell r="P482"/>
          <cell r="Q482"/>
          <cell r="R482"/>
          <cell r="S482"/>
          <cell r="T482"/>
          <cell r="U482"/>
        </row>
        <row r="483">
          <cell r="A483"/>
          <cell r="B483"/>
          <cell r="C483"/>
          <cell r="D483"/>
          <cell r="E483"/>
          <cell r="F483"/>
          <cell r="G483"/>
          <cell r="H483"/>
          <cell r="I483"/>
          <cell r="J483"/>
          <cell r="K483"/>
          <cell r="L483"/>
          <cell r="M483"/>
          <cell r="N483"/>
          <cell r="O483"/>
          <cell r="P483"/>
          <cell r="Q483"/>
          <cell r="R483"/>
          <cell r="S483"/>
          <cell r="T483"/>
          <cell r="U483"/>
        </row>
        <row r="484">
          <cell r="A484"/>
          <cell r="B484"/>
          <cell r="C484"/>
          <cell r="D484"/>
          <cell r="E484"/>
          <cell r="F484"/>
          <cell r="G484"/>
          <cell r="H484"/>
          <cell r="I484"/>
          <cell r="J484"/>
          <cell r="K484"/>
          <cell r="L484"/>
          <cell r="M484"/>
          <cell r="N484"/>
          <cell r="O484"/>
          <cell r="P484"/>
          <cell r="Q484"/>
          <cell r="R484"/>
          <cell r="S484"/>
          <cell r="T484"/>
          <cell r="U484"/>
        </row>
        <row r="485">
          <cell r="A485"/>
          <cell r="B485"/>
          <cell r="C485"/>
          <cell r="D485"/>
          <cell r="E485"/>
          <cell r="F485"/>
          <cell r="G485"/>
          <cell r="H485"/>
          <cell r="I485"/>
          <cell r="J485"/>
          <cell r="K485"/>
          <cell r="L485"/>
          <cell r="M485"/>
          <cell r="N485"/>
          <cell r="O485"/>
          <cell r="P485"/>
          <cell r="Q485"/>
          <cell r="R485"/>
          <cell r="S485"/>
          <cell r="T485"/>
          <cell r="U485"/>
        </row>
        <row r="486">
          <cell r="A486"/>
          <cell r="B486"/>
          <cell r="C486"/>
          <cell r="D486"/>
          <cell r="E486"/>
          <cell r="F486"/>
          <cell r="G486"/>
          <cell r="H486"/>
          <cell r="I486"/>
          <cell r="J486"/>
          <cell r="K486"/>
          <cell r="L486"/>
          <cell r="M486"/>
          <cell r="N486"/>
          <cell r="O486"/>
          <cell r="P486"/>
          <cell r="Q486"/>
          <cell r="R486"/>
          <cell r="S486"/>
          <cell r="T486"/>
          <cell r="U486"/>
        </row>
        <row r="487">
          <cell r="A487"/>
          <cell r="B487"/>
          <cell r="C487"/>
          <cell r="D487"/>
          <cell r="E487"/>
          <cell r="F487"/>
          <cell r="G487"/>
          <cell r="H487"/>
          <cell r="I487"/>
          <cell r="J487"/>
          <cell r="K487"/>
          <cell r="L487"/>
          <cell r="M487"/>
          <cell r="N487"/>
          <cell r="O487"/>
          <cell r="P487"/>
          <cell r="Q487"/>
          <cell r="R487"/>
          <cell r="S487"/>
          <cell r="T487"/>
          <cell r="U487"/>
        </row>
        <row r="488">
          <cell r="A488"/>
          <cell r="B488"/>
          <cell r="C488"/>
          <cell r="D488"/>
          <cell r="E488"/>
          <cell r="F488"/>
          <cell r="G488"/>
          <cell r="H488"/>
          <cell r="I488"/>
          <cell r="J488"/>
          <cell r="K488"/>
          <cell r="L488"/>
          <cell r="M488"/>
          <cell r="N488"/>
          <cell r="O488"/>
          <cell r="P488"/>
          <cell r="Q488"/>
          <cell r="R488"/>
          <cell r="S488"/>
          <cell r="T488"/>
          <cell r="U488"/>
        </row>
        <row r="489">
          <cell r="A489"/>
          <cell r="B489"/>
          <cell r="C489"/>
          <cell r="D489"/>
          <cell r="E489"/>
          <cell r="F489"/>
          <cell r="G489"/>
          <cell r="H489"/>
          <cell r="I489"/>
          <cell r="J489"/>
          <cell r="K489"/>
          <cell r="L489"/>
          <cell r="M489"/>
          <cell r="N489"/>
          <cell r="O489"/>
          <cell r="P489"/>
          <cell r="Q489"/>
          <cell r="R489"/>
          <cell r="S489"/>
          <cell r="T489"/>
          <cell r="U489"/>
        </row>
        <row r="490">
          <cell r="A490"/>
          <cell r="B490"/>
          <cell r="C490"/>
          <cell r="D490"/>
          <cell r="E490"/>
          <cell r="F490"/>
          <cell r="G490"/>
          <cell r="H490"/>
          <cell r="I490"/>
          <cell r="J490"/>
          <cell r="K490"/>
          <cell r="L490"/>
          <cell r="M490"/>
          <cell r="N490"/>
          <cell r="O490"/>
          <cell r="P490"/>
          <cell r="Q490"/>
          <cell r="R490"/>
          <cell r="S490"/>
          <cell r="T490"/>
          <cell r="U490"/>
        </row>
        <row r="491">
          <cell r="A491"/>
          <cell r="B491"/>
          <cell r="C491"/>
          <cell r="D491"/>
          <cell r="E491"/>
          <cell r="F491"/>
          <cell r="G491"/>
          <cell r="H491"/>
          <cell r="I491"/>
          <cell r="J491"/>
          <cell r="K491"/>
          <cell r="L491"/>
          <cell r="M491"/>
          <cell r="N491"/>
          <cell r="O491"/>
          <cell r="P491"/>
          <cell r="Q491"/>
          <cell r="R491"/>
          <cell r="S491"/>
          <cell r="T491"/>
          <cell r="U491"/>
        </row>
        <row r="492">
          <cell r="A492"/>
          <cell r="B492"/>
          <cell r="C492"/>
          <cell r="D492"/>
          <cell r="E492"/>
          <cell r="F492"/>
          <cell r="G492"/>
          <cell r="H492"/>
          <cell r="I492"/>
          <cell r="J492"/>
          <cell r="K492"/>
          <cell r="L492"/>
          <cell r="M492"/>
          <cell r="N492"/>
          <cell r="O492"/>
          <cell r="P492"/>
          <cell r="Q492"/>
          <cell r="R492"/>
          <cell r="S492"/>
          <cell r="T492"/>
          <cell r="U492"/>
        </row>
        <row r="493">
          <cell r="A493"/>
          <cell r="B493"/>
          <cell r="C493"/>
          <cell r="D493"/>
          <cell r="E493"/>
          <cell r="F493"/>
          <cell r="G493"/>
          <cell r="H493"/>
          <cell r="I493"/>
          <cell r="J493"/>
          <cell r="K493"/>
          <cell r="L493"/>
          <cell r="M493"/>
          <cell r="N493"/>
          <cell r="O493"/>
          <cell r="P493"/>
          <cell r="Q493"/>
          <cell r="R493"/>
          <cell r="S493"/>
          <cell r="T493"/>
          <cell r="U493"/>
        </row>
        <row r="494">
          <cell r="A494"/>
          <cell r="B494"/>
          <cell r="C494"/>
          <cell r="D494"/>
          <cell r="E494"/>
          <cell r="F494"/>
          <cell r="G494"/>
          <cell r="H494"/>
          <cell r="I494"/>
          <cell r="J494"/>
          <cell r="K494"/>
          <cell r="L494"/>
          <cell r="M494"/>
          <cell r="N494"/>
          <cell r="O494"/>
          <cell r="P494"/>
          <cell r="Q494"/>
          <cell r="R494"/>
          <cell r="S494"/>
          <cell r="T494"/>
          <cell r="U494"/>
        </row>
        <row r="495">
          <cell r="A495"/>
          <cell r="B495"/>
          <cell r="C495"/>
          <cell r="D495"/>
          <cell r="E495"/>
          <cell r="F495"/>
          <cell r="G495"/>
          <cell r="H495"/>
          <cell r="I495"/>
          <cell r="J495"/>
          <cell r="K495"/>
          <cell r="L495"/>
          <cell r="M495"/>
          <cell r="N495"/>
          <cell r="O495"/>
          <cell r="P495"/>
          <cell r="Q495"/>
          <cell r="R495"/>
          <cell r="S495"/>
          <cell r="T495"/>
          <cell r="U495"/>
        </row>
        <row r="496">
          <cell r="A496"/>
          <cell r="B496"/>
          <cell r="C496"/>
          <cell r="D496"/>
          <cell r="E496"/>
          <cell r="F496"/>
          <cell r="G496"/>
          <cell r="H496"/>
          <cell r="I496"/>
          <cell r="J496"/>
          <cell r="K496"/>
          <cell r="L496"/>
          <cell r="M496"/>
          <cell r="N496"/>
          <cell r="O496"/>
          <cell r="P496"/>
          <cell r="Q496"/>
          <cell r="R496"/>
          <cell r="S496"/>
          <cell r="T496"/>
          <cell r="U496"/>
        </row>
        <row r="497">
          <cell r="A497"/>
          <cell r="B497"/>
          <cell r="C497"/>
          <cell r="D497"/>
          <cell r="E497"/>
          <cell r="F497"/>
          <cell r="G497"/>
          <cell r="H497"/>
          <cell r="I497"/>
          <cell r="J497"/>
          <cell r="K497"/>
          <cell r="L497"/>
          <cell r="M497"/>
          <cell r="N497"/>
          <cell r="O497"/>
          <cell r="P497"/>
          <cell r="Q497"/>
          <cell r="R497"/>
          <cell r="S497"/>
          <cell r="T497"/>
          <cell r="U497"/>
        </row>
        <row r="498">
          <cell r="A498"/>
          <cell r="B498"/>
          <cell r="C498"/>
          <cell r="D498"/>
          <cell r="E498"/>
          <cell r="F498"/>
          <cell r="G498"/>
          <cell r="H498"/>
          <cell r="I498"/>
          <cell r="J498"/>
          <cell r="K498"/>
          <cell r="L498"/>
          <cell r="M498"/>
          <cell r="N498"/>
          <cell r="O498"/>
          <cell r="P498"/>
          <cell r="Q498"/>
          <cell r="R498"/>
          <cell r="S498"/>
          <cell r="T498"/>
          <cell r="U498"/>
        </row>
        <row r="499">
          <cell r="A499"/>
          <cell r="B499"/>
          <cell r="C499"/>
          <cell r="D499"/>
          <cell r="E499"/>
          <cell r="F499"/>
          <cell r="G499"/>
          <cell r="H499"/>
          <cell r="I499"/>
          <cell r="J499"/>
          <cell r="K499"/>
          <cell r="L499"/>
          <cell r="M499"/>
          <cell r="N499"/>
          <cell r="O499"/>
          <cell r="P499"/>
          <cell r="Q499"/>
          <cell r="R499"/>
          <cell r="S499"/>
          <cell r="T499"/>
          <cell r="U499"/>
        </row>
        <row r="500">
          <cell r="A500"/>
          <cell r="B500"/>
          <cell r="C500"/>
          <cell r="D500"/>
          <cell r="E500"/>
          <cell r="F500"/>
          <cell r="G500"/>
          <cell r="H500"/>
          <cell r="I500"/>
          <cell r="J500"/>
          <cell r="K500"/>
          <cell r="L500"/>
          <cell r="M500"/>
          <cell r="N500"/>
          <cell r="O500"/>
          <cell r="P500"/>
          <cell r="Q500"/>
          <cell r="R500"/>
          <cell r="S500"/>
          <cell r="T500"/>
          <cell r="U500"/>
        </row>
        <row r="501">
          <cell r="A501"/>
          <cell r="B501"/>
          <cell r="C501"/>
          <cell r="D501"/>
          <cell r="E501"/>
          <cell r="F501"/>
          <cell r="G501"/>
          <cell r="H501"/>
          <cell r="I501"/>
          <cell r="J501"/>
          <cell r="K501"/>
          <cell r="L501"/>
          <cell r="M501"/>
          <cell r="N501"/>
          <cell r="O501"/>
          <cell r="P501"/>
          <cell r="Q501"/>
          <cell r="R501"/>
          <cell r="S501"/>
          <cell r="T501"/>
          <cell r="U501"/>
        </row>
        <row r="502">
          <cell r="A502"/>
          <cell r="B502"/>
          <cell r="C502"/>
          <cell r="D502"/>
          <cell r="E502"/>
          <cell r="F502"/>
          <cell r="G502"/>
          <cell r="H502"/>
          <cell r="I502"/>
          <cell r="J502"/>
          <cell r="K502"/>
          <cell r="L502"/>
          <cell r="M502"/>
          <cell r="N502"/>
          <cell r="O502"/>
          <cell r="P502"/>
          <cell r="Q502"/>
          <cell r="R502"/>
          <cell r="S502"/>
          <cell r="T502"/>
          <cell r="U502"/>
        </row>
        <row r="503">
          <cell r="A503"/>
          <cell r="B503"/>
          <cell r="C503"/>
          <cell r="D503"/>
          <cell r="E503"/>
          <cell r="F503"/>
          <cell r="G503"/>
          <cell r="H503"/>
          <cell r="I503"/>
          <cell r="J503"/>
          <cell r="K503"/>
          <cell r="L503"/>
          <cell r="M503"/>
          <cell r="N503"/>
          <cell r="O503"/>
          <cell r="P503"/>
          <cell r="Q503"/>
          <cell r="R503"/>
          <cell r="S503"/>
          <cell r="T503"/>
          <cell r="U503"/>
        </row>
        <row r="504">
          <cell r="A504"/>
          <cell r="B504"/>
          <cell r="C504"/>
          <cell r="D504"/>
          <cell r="E504"/>
          <cell r="F504"/>
          <cell r="G504"/>
          <cell r="H504"/>
          <cell r="I504"/>
          <cell r="J504"/>
          <cell r="K504"/>
          <cell r="L504"/>
          <cell r="M504"/>
          <cell r="N504"/>
          <cell r="O504"/>
          <cell r="P504"/>
          <cell r="Q504"/>
          <cell r="R504"/>
          <cell r="S504"/>
          <cell r="T504"/>
          <cell r="U504"/>
        </row>
        <row r="505">
          <cell r="A505"/>
          <cell r="B505"/>
          <cell r="C505"/>
          <cell r="D505"/>
          <cell r="E505"/>
          <cell r="F505"/>
          <cell r="G505"/>
          <cell r="H505"/>
          <cell r="I505"/>
          <cell r="J505"/>
          <cell r="K505"/>
          <cell r="L505"/>
          <cell r="M505"/>
          <cell r="N505"/>
          <cell r="O505"/>
          <cell r="P505"/>
          <cell r="Q505"/>
          <cell r="R505"/>
          <cell r="S505"/>
          <cell r="T505"/>
          <cell r="U505"/>
        </row>
        <row r="506">
          <cell r="A506"/>
          <cell r="B506"/>
          <cell r="C506"/>
          <cell r="D506"/>
          <cell r="E506"/>
          <cell r="F506"/>
          <cell r="G506"/>
          <cell r="H506"/>
          <cell r="I506"/>
          <cell r="J506"/>
          <cell r="K506"/>
          <cell r="L506"/>
          <cell r="M506"/>
          <cell r="N506"/>
          <cell r="O506"/>
          <cell r="P506"/>
          <cell r="Q506"/>
          <cell r="R506"/>
          <cell r="S506"/>
          <cell r="T506"/>
          <cell r="U506"/>
        </row>
        <row r="507">
          <cell r="A507"/>
          <cell r="B507"/>
          <cell r="C507"/>
          <cell r="D507"/>
          <cell r="E507"/>
          <cell r="F507"/>
          <cell r="G507"/>
          <cell r="H507"/>
          <cell r="I507"/>
          <cell r="J507"/>
          <cell r="K507"/>
          <cell r="L507"/>
          <cell r="M507"/>
          <cell r="N507"/>
          <cell r="O507"/>
          <cell r="P507"/>
          <cell r="Q507"/>
          <cell r="R507"/>
          <cell r="S507"/>
          <cell r="T507"/>
          <cell r="U507"/>
        </row>
        <row r="508">
          <cell r="A508"/>
          <cell r="B508"/>
          <cell r="C508"/>
          <cell r="D508"/>
          <cell r="E508"/>
          <cell r="F508"/>
          <cell r="G508"/>
          <cell r="H508"/>
          <cell r="I508"/>
          <cell r="J508"/>
          <cell r="K508"/>
          <cell r="L508"/>
          <cell r="M508"/>
          <cell r="N508"/>
          <cell r="O508"/>
          <cell r="P508"/>
          <cell r="Q508"/>
          <cell r="R508"/>
          <cell r="S508"/>
          <cell r="T508"/>
          <cell r="U508"/>
        </row>
        <row r="509">
          <cell r="A509"/>
          <cell r="B509"/>
          <cell r="C509"/>
          <cell r="D509"/>
          <cell r="E509"/>
          <cell r="F509"/>
          <cell r="G509"/>
          <cell r="H509"/>
          <cell r="I509"/>
          <cell r="J509"/>
          <cell r="K509"/>
          <cell r="L509"/>
          <cell r="M509"/>
          <cell r="N509"/>
          <cell r="O509"/>
          <cell r="P509"/>
          <cell r="Q509"/>
          <cell r="R509"/>
          <cell r="S509"/>
          <cell r="T509"/>
          <cell r="U509"/>
        </row>
        <row r="510">
          <cell r="A510"/>
          <cell r="B510"/>
          <cell r="C510"/>
          <cell r="D510"/>
          <cell r="E510"/>
          <cell r="F510"/>
          <cell r="G510"/>
          <cell r="H510"/>
          <cell r="I510"/>
          <cell r="J510"/>
          <cell r="K510"/>
          <cell r="L510"/>
          <cell r="M510"/>
          <cell r="N510"/>
          <cell r="O510"/>
          <cell r="P510"/>
          <cell r="Q510"/>
          <cell r="R510"/>
          <cell r="S510"/>
          <cell r="T510"/>
          <cell r="U510"/>
        </row>
        <row r="511">
          <cell r="A511"/>
          <cell r="B511"/>
          <cell r="C511"/>
          <cell r="D511"/>
          <cell r="E511"/>
          <cell r="F511"/>
          <cell r="G511"/>
          <cell r="H511"/>
          <cell r="I511"/>
          <cell r="J511"/>
          <cell r="K511"/>
          <cell r="L511"/>
          <cell r="M511"/>
          <cell r="N511"/>
          <cell r="O511"/>
          <cell r="P511"/>
          <cell r="Q511"/>
          <cell r="R511"/>
          <cell r="S511"/>
          <cell r="T511"/>
          <cell r="U511"/>
        </row>
        <row r="512">
          <cell r="A512"/>
          <cell r="B512"/>
          <cell r="C512"/>
          <cell r="D512"/>
          <cell r="E512"/>
          <cell r="F512"/>
          <cell r="G512"/>
          <cell r="H512"/>
          <cell r="I512"/>
          <cell r="J512"/>
          <cell r="K512"/>
          <cell r="L512"/>
          <cell r="M512"/>
          <cell r="N512"/>
          <cell r="O512"/>
          <cell r="P512"/>
          <cell r="Q512"/>
          <cell r="R512"/>
          <cell r="S512"/>
          <cell r="T512"/>
          <cell r="U512"/>
        </row>
        <row r="513">
          <cell r="A513"/>
          <cell r="B513"/>
          <cell r="C513"/>
          <cell r="D513"/>
          <cell r="E513"/>
          <cell r="F513"/>
          <cell r="G513"/>
          <cell r="H513"/>
          <cell r="I513"/>
          <cell r="J513"/>
          <cell r="K513"/>
          <cell r="L513"/>
          <cell r="M513"/>
          <cell r="N513"/>
          <cell r="O513"/>
          <cell r="P513"/>
          <cell r="Q513"/>
          <cell r="R513"/>
          <cell r="S513"/>
          <cell r="T513"/>
          <cell r="U513"/>
        </row>
        <row r="514">
          <cell r="A514"/>
          <cell r="B514"/>
          <cell r="C514"/>
          <cell r="D514"/>
          <cell r="E514"/>
          <cell r="F514"/>
          <cell r="G514"/>
          <cell r="H514"/>
          <cell r="I514"/>
          <cell r="J514"/>
          <cell r="K514"/>
          <cell r="L514"/>
          <cell r="M514"/>
          <cell r="N514"/>
          <cell r="O514"/>
          <cell r="P514"/>
          <cell r="Q514"/>
          <cell r="R514"/>
          <cell r="S514"/>
          <cell r="T514"/>
          <cell r="U514"/>
        </row>
        <row r="515">
          <cell r="A515"/>
          <cell r="B515"/>
          <cell r="C515"/>
          <cell r="D515"/>
          <cell r="E515"/>
          <cell r="F515"/>
          <cell r="G515"/>
          <cell r="H515"/>
          <cell r="I515"/>
          <cell r="J515"/>
          <cell r="K515"/>
          <cell r="L515"/>
          <cell r="M515"/>
          <cell r="N515"/>
          <cell r="O515"/>
          <cell r="P515"/>
          <cell r="Q515"/>
          <cell r="R515"/>
          <cell r="S515"/>
          <cell r="T515"/>
          <cell r="U515"/>
        </row>
        <row r="516">
          <cell r="A516"/>
          <cell r="B516"/>
          <cell r="C516"/>
          <cell r="D516"/>
          <cell r="E516"/>
          <cell r="F516"/>
          <cell r="G516"/>
          <cell r="H516"/>
          <cell r="I516"/>
          <cell r="J516"/>
          <cell r="K516"/>
          <cell r="L516"/>
          <cell r="M516"/>
          <cell r="N516"/>
          <cell r="O516"/>
          <cell r="P516"/>
          <cell r="Q516"/>
          <cell r="R516"/>
          <cell r="S516"/>
          <cell r="T516"/>
          <cell r="U516"/>
        </row>
        <row r="517">
          <cell r="A517"/>
          <cell r="B517"/>
          <cell r="C517"/>
          <cell r="D517"/>
          <cell r="E517"/>
          <cell r="F517"/>
          <cell r="G517"/>
          <cell r="H517"/>
          <cell r="I517"/>
          <cell r="J517"/>
          <cell r="K517"/>
          <cell r="L517"/>
          <cell r="M517"/>
          <cell r="N517"/>
          <cell r="O517"/>
          <cell r="P517"/>
          <cell r="Q517"/>
          <cell r="R517"/>
          <cell r="S517"/>
          <cell r="T517"/>
          <cell r="U517"/>
        </row>
        <row r="518">
          <cell r="A518"/>
          <cell r="B518"/>
          <cell r="C518"/>
          <cell r="D518"/>
          <cell r="E518"/>
          <cell r="F518"/>
          <cell r="G518"/>
          <cell r="H518"/>
          <cell r="I518"/>
          <cell r="J518"/>
          <cell r="K518"/>
          <cell r="L518"/>
          <cell r="M518"/>
          <cell r="N518"/>
          <cell r="O518"/>
          <cell r="P518"/>
          <cell r="Q518"/>
          <cell r="R518"/>
          <cell r="S518"/>
          <cell r="T518"/>
          <cell r="U518"/>
        </row>
        <row r="519">
          <cell r="A519"/>
          <cell r="B519"/>
          <cell r="C519"/>
          <cell r="D519"/>
          <cell r="E519"/>
          <cell r="F519"/>
          <cell r="G519"/>
          <cell r="H519"/>
          <cell r="I519"/>
          <cell r="J519"/>
          <cell r="K519"/>
          <cell r="L519"/>
          <cell r="M519"/>
          <cell r="N519"/>
          <cell r="O519"/>
          <cell r="P519"/>
          <cell r="Q519"/>
          <cell r="R519"/>
          <cell r="S519"/>
          <cell r="T519"/>
          <cell r="U519"/>
        </row>
        <row r="520">
          <cell r="A520"/>
          <cell r="B520"/>
          <cell r="C520"/>
          <cell r="D520"/>
          <cell r="E520"/>
          <cell r="F520"/>
          <cell r="G520"/>
          <cell r="H520"/>
          <cell r="I520"/>
          <cell r="J520"/>
          <cell r="K520"/>
          <cell r="L520"/>
          <cell r="M520"/>
          <cell r="N520"/>
          <cell r="O520"/>
          <cell r="P520"/>
          <cell r="Q520"/>
          <cell r="R520"/>
          <cell r="S520"/>
          <cell r="T520"/>
          <cell r="U520"/>
        </row>
        <row r="521">
          <cell r="A521"/>
          <cell r="B521"/>
          <cell r="C521"/>
          <cell r="D521"/>
          <cell r="E521"/>
          <cell r="F521"/>
          <cell r="G521"/>
          <cell r="H521"/>
          <cell r="I521"/>
          <cell r="J521"/>
          <cell r="K521"/>
          <cell r="L521"/>
          <cell r="M521"/>
          <cell r="N521"/>
          <cell r="O521"/>
          <cell r="P521"/>
          <cell r="Q521"/>
          <cell r="R521"/>
          <cell r="S521"/>
          <cell r="T521"/>
          <cell r="U521"/>
        </row>
        <row r="522">
          <cell r="A522"/>
          <cell r="B522"/>
          <cell r="C522"/>
          <cell r="D522"/>
          <cell r="E522"/>
          <cell r="F522"/>
          <cell r="G522"/>
          <cell r="H522"/>
          <cell r="I522"/>
          <cell r="J522"/>
          <cell r="K522"/>
          <cell r="L522"/>
          <cell r="M522"/>
          <cell r="N522"/>
          <cell r="O522"/>
          <cell r="P522"/>
          <cell r="Q522"/>
          <cell r="R522"/>
          <cell r="S522"/>
          <cell r="T522"/>
          <cell r="U522"/>
        </row>
        <row r="523">
          <cell r="A523"/>
          <cell r="B523"/>
          <cell r="C523"/>
          <cell r="D523"/>
          <cell r="E523"/>
          <cell r="F523"/>
          <cell r="G523"/>
          <cell r="H523"/>
          <cell r="I523"/>
          <cell r="J523"/>
          <cell r="K523"/>
          <cell r="L523"/>
          <cell r="M523"/>
          <cell r="N523"/>
          <cell r="O523"/>
          <cell r="P523"/>
          <cell r="Q523"/>
          <cell r="R523"/>
          <cell r="S523"/>
          <cell r="T523"/>
          <cell r="U523"/>
        </row>
        <row r="524">
          <cell r="A524"/>
          <cell r="B524"/>
          <cell r="C524"/>
          <cell r="D524"/>
          <cell r="E524"/>
          <cell r="F524"/>
          <cell r="G524"/>
          <cell r="H524"/>
          <cell r="I524"/>
          <cell r="J524"/>
          <cell r="K524"/>
          <cell r="L524"/>
          <cell r="M524"/>
          <cell r="N524"/>
          <cell r="O524"/>
          <cell r="P524"/>
          <cell r="Q524"/>
          <cell r="R524"/>
          <cell r="S524"/>
          <cell r="T524"/>
          <cell r="U524"/>
        </row>
        <row r="525">
          <cell r="A525"/>
          <cell r="B525"/>
          <cell r="C525"/>
          <cell r="D525"/>
          <cell r="E525"/>
          <cell r="F525"/>
          <cell r="G525"/>
          <cell r="H525"/>
          <cell r="I525"/>
          <cell r="J525"/>
          <cell r="K525"/>
          <cell r="L525"/>
          <cell r="M525"/>
          <cell r="N525"/>
          <cell r="O525"/>
          <cell r="P525"/>
          <cell r="Q525"/>
          <cell r="R525"/>
          <cell r="S525"/>
          <cell r="T525"/>
          <cell r="U525"/>
        </row>
        <row r="526">
          <cell r="A526"/>
          <cell r="B526"/>
          <cell r="C526"/>
          <cell r="D526"/>
          <cell r="E526"/>
          <cell r="F526"/>
          <cell r="G526"/>
          <cell r="H526"/>
          <cell r="I526"/>
          <cell r="J526"/>
          <cell r="K526"/>
          <cell r="L526"/>
          <cell r="M526"/>
          <cell r="N526"/>
          <cell r="O526"/>
          <cell r="P526"/>
          <cell r="Q526"/>
          <cell r="R526"/>
          <cell r="S526"/>
          <cell r="T526"/>
          <cell r="U526"/>
        </row>
        <row r="527">
          <cell r="A527"/>
          <cell r="B527"/>
          <cell r="C527"/>
          <cell r="D527"/>
          <cell r="E527"/>
          <cell r="F527"/>
          <cell r="G527"/>
          <cell r="H527"/>
          <cell r="I527"/>
          <cell r="J527"/>
          <cell r="K527"/>
          <cell r="L527"/>
          <cell r="M527"/>
          <cell r="N527"/>
          <cell r="O527"/>
          <cell r="P527"/>
          <cell r="Q527"/>
          <cell r="R527"/>
          <cell r="S527"/>
          <cell r="T527"/>
          <cell r="U527"/>
        </row>
        <row r="528">
          <cell r="A528"/>
          <cell r="B528"/>
          <cell r="C528"/>
          <cell r="D528"/>
          <cell r="E528"/>
          <cell r="F528"/>
          <cell r="G528"/>
          <cell r="H528"/>
          <cell r="I528"/>
          <cell r="J528"/>
          <cell r="K528"/>
          <cell r="L528"/>
          <cell r="M528"/>
          <cell r="N528"/>
          <cell r="O528"/>
          <cell r="P528"/>
          <cell r="Q528"/>
          <cell r="R528"/>
          <cell r="S528"/>
          <cell r="T528"/>
          <cell r="U528"/>
        </row>
        <row r="529">
          <cell r="A529"/>
          <cell r="B529"/>
          <cell r="C529"/>
          <cell r="D529"/>
          <cell r="E529"/>
          <cell r="F529"/>
          <cell r="G529"/>
          <cell r="H529"/>
          <cell r="I529"/>
          <cell r="J529"/>
          <cell r="K529"/>
          <cell r="L529"/>
          <cell r="M529"/>
          <cell r="N529"/>
          <cell r="O529"/>
          <cell r="P529"/>
          <cell r="Q529"/>
          <cell r="R529"/>
          <cell r="S529"/>
          <cell r="T529"/>
          <cell r="U529"/>
        </row>
        <row r="530">
          <cell r="A530"/>
          <cell r="B530"/>
          <cell r="C530"/>
          <cell r="D530"/>
          <cell r="E530"/>
          <cell r="F530"/>
          <cell r="G530"/>
          <cell r="H530"/>
          <cell r="I530"/>
          <cell r="J530"/>
          <cell r="K530"/>
          <cell r="L530"/>
          <cell r="M530"/>
          <cell r="N530"/>
          <cell r="O530"/>
          <cell r="P530"/>
          <cell r="Q530"/>
          <cell r="R530"/>
          <cell r="S530"/>
          <cell r="T530"/>
          <cell r="U530"/>
        </row>
        <row r="531">
          <cell r="A531"/>
          <cell r="B531"/>
          <cell r="C531"/>
          <cell r="D531"/>
          <cell r="E531"/>
          <cell r="F531"/>
          <cell r="G531"/>
          <cell r="H531"/>
          <cell r="I531"/>
          <cell r="J531"/>
          <cell r="K531"/>
          <cell r="L531"/>
          <cell r="M531"/>
          <cell r="N531"/>
          <cell r="O531"/>
          <cell r="P531"/>
          <cell r="Q531"/>
          <cell r="R531"/>
          <cell r="S531"/>
          <cell r="T531"/>
          <cell r="U531"/>
        </row>
        <row r="532">
          <cell r="A532"/>
          <cell r="B532"/>
          <cell r="C532"/>
          <cell r="D532"/>
          <cell r="E532"/>
          <cell r="F532"/>
          <cell r="G532"/>
          <cell r="H532"/>
          <cell r="I532"/>
          <cell r="J532"/>
          <cell r="K532"/>
          <cell r="L532"/>
          <cell r="M532"/>
          <cell r="N532"/>
          <cell r="O532"/>
          <cell r="P532"/>
          <cell r="Q532"/>
          <cell r="R532"/>
          <cell r="S532"/>
          <cell r="T532"/>
          <cell r="U532"/>
        </row>
        <row r="533">
          <cell r="A533"/>
          <cell r="B533"/>
          <cell r="C533"/>
          <cell r="D533"/>
          <cell r="E533"/>
          <cell r="F533"/>
          <cell r="G533"/>
          <cell r="H533"/>
          <cell r="I533"/>
          <cell r="J533"/>
          <cell r="K533"/>
          <cell r="L533"/>
          <cell r="M533"/>
          <cell r="N533"/>
          <cell r="O533"/>
          <cell r="P533"/>
          <cell r="Q533"/>
          <cell r="R533"/>
          <cell r="S533"/>
          <cell r="T533"/>
          <cell r="U533"/>
        </row>
        <row r="534">
          <cell r="A534"/>
          <cell r="B534"/>
          <cell r="C534"/>
          <cell r="D534"/>
          <cell r="E534"/>
          <cell r="F534"/>
          <cell r="G534"/>
          <cell r="H534"/>
          <cell r="I534"/>
          <cell r="J534"/>
          <cell r="K534"/>
          <cell r="L534"/>
          <cell r="M534"/>
          <cell r="N534"/>
          <cell r="O534"/>
          <cell r="P534"/>
          <cell r="Q534"/>
          <cell r="R534"/>
          <cell r="S534"/>
          <cell r="T534"/>
          <cell r="U534"/>
        </row>
        <row r="535">
          <cell r="A535"/>
          <cell r="B535"/>
          <cell r="C535"/>
          <cell r="D535"/>
          <cell r="E535"/>
          <cell r="F535"/>
          <cell r="G535"/>
          <cell r="H535"/>
          <cell r="I535"/>
          <cell r="J535"/>
          <cell r="K535"/>
          <cell r="L535"/>
          <cell r="M535"/>
          <cell r="N535"/>
          <cell r="O535"/>
          <cell r="P535"/>
          <cell r="Q535"/>
          <cell r="R535"/>
          <cell r="S535"/>
          <cell r="T535"/>
          <cell r="U535"/>
        </row>
        <row r="536">
          <cell r="A536"/>
          <cell r="B536"/>
          <cell r="C536"/>
          <cell r="D536"/>
          <cell r="E536"/>
          <cell r="F536"/>
          <cell r="G536"/>
          <cell r="H536"/>
          <cell r="I536"/>
          <cell r="J536"/>
          <cell r="K536"/>
          <cell r="L536"/>
          <cell r="M536"/>
          <cell r="N536"/>
          <cell r="O536"/>
          <cell r="P536"/>
          <cell r="Q536"/>
          <cell r="R536"/>
          <cell r="S536"/>
          <cell r="T536"/>
          <cell r="U536"/>
        </row>
        <row r="537">
          <cell r="A537"/>
          <cell r="B537"/>
          <cell r="C537"/>
          <cell r="D537"/>
          <cell r="E537"/>
          <cell r="F537"/>
          <cell r="G537"/>
          <cell r="H537"/>
          <cell r="I537"/>
          <cell r="J537"/>
          <cell r="K537"/>
          <cell r="L537"/>
          <cell r="M537"/>
          <cell r="N537"/>
          <cell r="O537"/>
          <cell r="P537"/>
          <cell r="Q537"/>
          <cell r="R537"/>
          <cell r="S537"/>
          <cell r="T537"/>
          <cell r="U537"/>
        </row>
        <row r="538">
          <cell r="A538"/>
          <cell r="B538"/>
          <cell r="C538"/>
          <cell r="D538"/>
          <cell r="E538"/>
          <cell r="F538"/>
          <cell r="G538"/>
          <cell r="H538"/>
          <cell r="I538"/>
          <cell r="J538"/>
          <cell r="K538"/>
          <cell r="L538"/>
          <cell r="M538"/>
          <cell r="N538"/>
          <cell r="O538"/>
          <cell r="P538"/>
          <cell r="Q538"/>
          <cell r="R538"/>
          <cell r="S538"/>
          <cell r="T538"/>
          <cell r="U538"/>
        </row>
        <row r="539">
          <cell r="A539"/>
          <cell r="B539"/>
          <cell r="C539"/>
          <cell r="D539"/>
          <cell r="E539"/>
          <cell r="F539"/>
          <cell r="G539"/>
          <cell r="H539"/>
          <cell r="I539"/>
          <cell r="J539"/>
          <cell r="K539"/>
          <cell r="L539"/>
          <cell r="M539"/>
          <cell r="N539"/>
          <cell r="O539"/>
          <cell r="P539"/>
          <cell r="Q539"/>
          <cell r="R539"/>
          <cell r="S539"/>
          <cell r="T539"/>
          <cell r="U539"/>
        </row>
        <row r="540">
          <cell r="A540"/>
          <cell r="B540"/>
          <cell r="C540"/>
          <cell r="D540"/>
          <cell r="E540"/>
          <cell r="F540"/>
          <cell r="G540"/>
          <cell r="H540"/>
          <cell r="I540"/>
          <cell r="J540"/>
          <cell r="K540"/>
          <cell r="L540"/>
          <cell r="M540"/>
          <cell r="N540"/>
          <cell r="O540"/>
          <cell r="P540"/>
          <cell r="Q540"/>
          <cell r="R540"/>
          <cell r="S540"/>
          <cell r="T540"/>
          <cell r="U540"/>
        </row>
        <row r="541">
          <cell r="A541"/>
          <cell r="B541"/>
          <cell r="C541"/>
          <cell r="D541"/>
          <cell r="E541"/>
          <cell r="F541"/>
          <cell r="G541"/>
          <cell r="H541"/>
          <cell r="I541"/>
          <cell r="J541"/>
          <cell r="K541"/>
          <cell r="L541"/>
          <cell r="M541"/>
          <cell r="N541"/>
          <cell r="O541"/>
          <cell r="P541"/>
          <cell r="Q541"/>
          <cell r="R541"/>
          <cell r="S541"/>
          <cell r="T541"/>
          <cell r="U541"/>
        </row>
        <row r="542">
          <cell r="A542"/>
          <cell r="B542"/>
          <cell r="C542"/>
          <cell r="D542"/>
          <cell r="E542"/>
          <cell r="F542"/>
          <cell r="G542"/>
          <cell r="H542"/>
          <cell r="I542"/>
          <cell r="J542"/>
          <cell r="K542"/>
          <cell r="L542"/>
          <cell r="M542"/>
          <cell r="N542"/>
          <cell r="O542"/>
          <cell r="P542"/>
          <cell r="Q542"/>
          <cell r="R542"/>
          <cell r="S542"/>
          <cell r="T542"/>
          <cell r="U542"/>
        </row>
        <row r="543">
          <cell r="A543"/>
          <cell r="B543"/>
          <cell r="C543"/>
          <cell r="D543"/>
          <cell r="E543"/>
          <cell r="F543"/>
          <cell r="G543"/>
          <cell r="H543"/>
          <cell r="I543"/>
          <cell r="J543"/>
          <cell r="K543"/>
          <cell r="L543"/>
          <cell r="M543"/>
          <cell r="N543"/>
          <cell r="O543"/>
          <cell r="P543"/>
          <cell r="Q543"/>
          <cell r="R543"/>
          <cell r="S543"/>
          <cell r="T543"/>
          <cell r="U543"/>
        </row>
        <row r="544">
          <cell r="A544"/>
          <cell r="B544"/>
          <cell r="C544"/>
          <cell r="D544"/>
          <cell r="E544"/>
          <cell r="F544"/>
          <cell r="G544"/>
          <cell r="H544"/>
          <cell r="I544"/>
          <cell r="J544"/>
          <cell r="K544"/>
          <cell r="L544"/>
          <cell r="M544"/>
          <cell r="N544"/>
          <cell r="O544"/>
          <cell r="P544"/>
          <cell r="Q544"/>
          <cell r="R544"/>
          <cell r="S544"/>
          <cell r="T544"/>
          <cell r="U544"/>
        </row>
        <row r="545">
          <cell r="A545"/>
          <cell r="B545"/>
          <cell r="C545"/>
          <cell r="D545"/>
          <cell r="E545"/>
          <cell r="F545"/>
          <cell r="G545"/>
          <cell r="H545"/>
          <cell r="I545"/>
          <cell r="J545"/>
          <cell r="K545"/>
          <cell r="L545"/>
          <cell r="M545"/>
          <cell r="N545"/>
          <cell r="O545"/>
          <cell r="P545"/>
          <cell r="Q545"/>
          <cell r="R545"/>
          <cell r="S545"/>
          <cell r="T545"/>
          <cell r="U545"/>
        </row>
        <row r="546">
          <cell r="A546"/>
          <cell r="B546"/>
          <cell r="C546"/>
          <cell r="D546"/>
          <cell r="E546"/>
          <cell r="F546"/>
          <cell r="G546"/>
          <cell r="H546"/>
          <cell r="I546"/>
          <cell r="J546"/>
          <cell r="K546"/>
          <cell r="L546"/>
          <cell r="M546"/>
          <cell r="N546"/>
          <cell r="O546"/>
          <cell r="P546"/>
          <cell r="Q546"/>
          <cell r="R546"/>
          <cell r="S546"/>
          <cell r="T546"/>
          <cell r="U546"/>
        </row>
        <row r="547">
          <cell r="A547"/>
          <cell r="B547"/>
          <cell r="C547"/>
          <cell r="D547"/>
          <cell r="E547"/>
          <cell r="F547"/>
          <cell r="G547"/>
          <cell r="H547"/>
          <cell r="I547"/>
          <cell r="J547"/>
          <cell r="K547"/>
          <cell r="L547"/>
          <cell r="M547"/>
          <cell r="N547"/>
          <cell r="O547"/>
          <cell r="P547"/>
          <cell r="Q547"/>
          <cell r="R547"/>
          <cell r="S547"/>
          <cell r="T547"/>
          <cell r="U547"/>
        </row>
        <row r="548">
          <cell r="A548"/>
          <cell r="B548"/>
          <cell r="C548"/>
          <cell r="D548"/>
          <cell r="E548"/>
          <cell r="F548"/>
          <cell r="G548"/>
          <cell r="H548"/>
          <cell r="I548"/>
          <cell r="J548"/>
          <cell r="K548"/>
          <cell r="L548"/>
          <cell r="M548"/>
          <cell r="N548"/>
          <cell r="O548"/>
          <cell r="P548"/>
          <cell r="Q548"/>
          <cell r="R548"/>
          <cell r="S548"/>
          <cell r="T548"/>
          <cell r="U548"/>
        </row>
        <row r="549">
          <cell r="A549"/>
          <cell r="B549"/>
          <cell r="C549"/>
          <cell r="D549"/>
          <cell r="E549"/>
          <cell r="F549"/>
          <cell r="G549"/>
          <cell r="H549"/>
          <cell r="I549"/>
          <cell r="J549"/>
          <cell r="K549"/>
          <cell r="L549"/>
          <cell r="M549"/>
          <cell r="N549"/>
          <cell r="O549"/>
          <cell r="P549"/>
          <cell r="Q549"/>
          <cell r="R549"/>
          <cell r="S549"/>
          <cell r="T549"/>
          <cell r="U549"/>
        </row>
        <row r="550">
          <cell r="A550"/>
          <cell r="B550"/>
          <cell r="C550"/>
          <cell r="D550"/>
          <cell r="E550"/>
          <cell r="F550"/>
          <cell r="G550"/>
          <cell r="H550"/>
          <cell r="I550"/>
          <cell r="J550"/>
          <cell r="K550"/>
          <cell r="L550"/>
          <cell r="M550"/>
          <cell r="N550"/>
          <cell r="O550"/>
          <cell r="P550"/>
          <cell r="Q550"/>
          <cell r="R550"/>
          <cell r="S550"/>
          <cell r="T550"/>
          <cell r="U550"/>
        </row>
        <row r="551">
          <cell r="A551"/>
          <cell r="B551"/>
          <cell r="C551"/>
          <cell r="D551"/>
          <cell r="E551"/>
          <cell r="F551"/>
          <cell r="G551"/>
          <cell r="H551"/>
          <cell r="I551"/>
          <cell r="J551"/>
          <cell r="K551"/>
          <cell r="L551"/>
          <cell r="M551"/>
          <cell r="N551"/>
          <cell r="O551"/>
          <cell r="P551"/>
          <cell r="Q551"/>
          <cell r="R551"/>
          <cell r="S551"/>
          <cell r="T551"/>
          <cell r="U551"/>
        </row>
        <row r="552">
          <cell r="A552"/>
          <cell r="B552"/>
          <cell r="C552"/>
          <cell r="D552"/>
          <cell r="E552"/>
          <cell r="F552"/>
          <cell r="G552"/>
          <cell r="H552"/>
          <cell r="I552"/>
          <cell r="J552"/>
          <cell r="K552"/>
          <cell r="L552"/>
          <cell r="M552"/>
          <cell r="N552"/>
          <cell r="O552"/>
          <cell r="P552"/>
          <cell r="Q552"/>
          <cell r="R552"/>
          <cell r="S552"/>
          <cell r="T552"/>
          <cell r="U552"/>
        </row>
        <row r="553">
          <cell r="A553"/>
          <cell r="B553"/>
          <cell r="C553"/>
          <cell r="D553"/>
          <cell r="E553"/>
          <cell r="F553"/>
          <cell r="G553"/>
          <cell r="H553"/>
          <cell r="I553"/>
          <cell r="J553"/>
          <cell r="K553"/>
          <cell r="L553"/>
          <cell r="M553"/>
          <cell r="N553"/>
          <cell r="O553"/>
          <cell r="P553"/>
          <cell r="Q553"/>
          <cell r="R553"/>
          <cell r="S553"/>
          <cell r="T553"/>
          <cell r="U553"/>
        </row>
        <row r="554">
          <cell r="A554"/>
          <cell r="B554"/>
          <cell r="C554"/>
          <cell r="D554"/>
          <cell r="E554"/>
          <cell r="F554"/>
          <cell r="G554"/>
          <cell r="H554"/>
          <cell r="I554"/>
          <cell r="J554"/>
          <cell r="K554"/>
          <cell r="L554"/>
          <cell r="M554"/>
          <cell r="N554"/>
          <cell r="O554"/>
          <cell r="P554"/>
          <cell r="Q554"/>
          <cell r="R554"/>
          <cell r="S554"/>
          <cell r="T554"/>
          <cell r="U554"/>
        </row>
        <row r="555">
          <cell r="A555"/>
          <cell r="B555"/>
          <cell r="C555"/>
          <cell r="D555"/>
          <cell r="E555"/>
          <cell r="F555"/>
          <cell r="G555"/>
          <cell r="H555"/>
          <cell r="I555"/>
          <cell r="J555"/>
          <cell r="K555"/>
          <cell r="L555"/>
          <cell r="M555"/>
          <cell r="N555"/>
          <cell r="O555"/>
          <cell r="P555"/>
          <cell r="Q555"/>
          <cell r="R555"/>
          <cell r="S555"/>
          <cell r="T555"/>
          <cell r="U555"/>
        </row>
        <row r="556">
          <cell r="A556"/>
          <cell r="B556"/>
          <cell r="C556"/>
          <cell r="D556"/>
          <cell r="E556"/>
          <cell r="F556"/>
          <cell r="G556"/>
          <cell r="H556"/>
          <cell r="I556"/>
          <cell r="J556"/>
          <cell r="K556"/>
          <cell r="L556"/>
          <cell r="M556"/>
          <cell r="N556"/>
          <cell r="O556"/>
          <cell r="P556"/>
          <cell r="Q556"/>
          <cell r="R556"/>
          <cell r="S556"/>
          <cell r="T556"/>
          <cell r="U556"/>
        </row>
        <row r="557">
          <cell r="A557"/>
          <cell r="B557"/>
          <cell r="C557"/>
          <cell r="D557"/>
          <cell r="E557"/>
          <cell r="F557"/>
          <cell r="G557"/>
          <cell r="H557"/>
          <cell r="I557"/>
          <cell r="J557"/>
          <cell r="K557"/>
          <cell r="L557"/>
          <cell r="M557"/>
          <cell r="N557"/>
          <cell r="O557"/>
          <cell r="P557"/>
          <cell r="Q557"/>
          <cell r="R557"/>
          <cell r="S557"/>
          <cell r="T557"/>
          <cell r="U557"/>
        </row>
        <row r="558">
          <cell r="A558"/>
          <cell r="B558"/>
          <cell r="C558"/>
          <cell r="D558"/>
          <cell r="E558"/>
          <cell r="F558"/>
          <cell r="G558"/>
          <cell r="H558"/>
          <cell r="I558"/>
          <cell r="J558"/>
          <cell r="K558"/>
          <cell r="L558"/>
          <cell r="M558"/>
          <cell r="N558"/>
          <cell r="O558"/>
          <cell r="P558"/>
          <cell r="Q558"/>
          <cell r="R558"/>
          <cell r="S558"/>
          <cell r="T558"/>
          <cell r="U558"/>
        </row>
        <row r="559">
          <cell r="A559"/>
          <cell r="B559"/>
          <cell r="C559"/>
          <cell r="D559"/>
          <cell r="E559"/>
          <cell r="F559"/>
          <cell r="G559"/>
          <cell r="H559"/>
          <cell r="I559"/>
          <cell r="J559"/>
          <cell r="K559"/>
          <cell r="L559"/>
          <cell r="M559"/>
          <cell r="N559"/>
          <cell r="O559"/>
          <cell r="P559"/>
          <cell r="Q559"/>
          <cell r="R559"/>
          <cell r="S559"/>
          <cell r="T559"/>
          <cell r="U559"/>
        </row>
        <row r="560">
          <cell r="A560"/>
          <cell r="B560"/>
          <cell r="C560"/>
          <cell r="D560"/>
          <cell r="E560"/>
          <cell r="F560"/>
          <cell r="G560"/>
          <cell r="H560"/>
          <cell r="I560"/>
          <cell r="J560"/>
          <cell r="K560"/>
          <cell r="L560"/>
          <cell r="M560"/>
          <cell r="N560"/>
          <cell r="O560"/>
          <cell r="P560"/>
          <cell r="Q560"/>
          <cell r="R560"/>
          <cell r="S560"/>
          <cell r="T560"/>
          <cell r="U560"/>
        </row>
        <row r="561">
          <cell r="A561"/>
          <cell r="B561"/>
          <cell r="C561"/>
          <cell r="D561"/>
          <cell r="E561"/>
          <cell r="F561"/>
          <cell r="G561"/>
          <cell r="H561"/>
          <cell r="I561"/>
          <cell r="J561"/>
          <cell r="K561"/>
          <cell r="L561"/>
          <cell r="M561"/>
          <cell r="N561"/>
          <cell r="O561"/>
          <cell r="P561"/>
          <cell r="Q561"/>
          <cell r="R561"/>
          <cell r="S561"/>
          <cell r="T561"/>
          <cell r="U561"/>
        </row>
        <row r="562">
          <cell r="A562"/>
          <cell r="B562"/>
          <cell r="C562"/>
          <cell r="D562"/>
          <cell r="E562"/>
          <cell r="F562"/>
          <cell r="G562"/>
          <cell r="H562"/>
          <cell r="I562"/>
          <cell r="J562"/>
          <cell r="K562"/>
          <cell r="L562"/>
          <cell r="M562"/>
          <cell r="N562"/>
          <cell r="O562"/>
          <cell r="P562"/>
          <cell r="Q562"/>
          <cell r="R562"/>
          <cell r="S562"/>
          <cell r="T562"/>
          <cell r="U562"/>
        </row>
        <row r="563">
          <cell r="A563"/>
          <cell r="B563"/>
          <cell r="C563"/>
          <cell r="D563"/>
          <cell r="E563"/>
          <cell r="F563"/>
          <cell r="G563"/>
          <cell r="H563"/>
          <cell r="I563"/>
          <cell r="J563"/>
          <cell r="K563"/>
          <cell r="L563"/>
          <cell r="M563"/>
          <cell r="N563"/>
          <cell r="O563"/>
          <cell r="P563"/>
          <cell r="Q563"/>
          <cell r="R563"/>
          <cell r="S563"/>
          <cell r="T563"/>
          <cell r="U563"/>
        </row>
        <row r="564">
          <cell r="A564"/>
          <cell r="B564"/>
          <cell r="C564"/>
          <cell r="D564"/>
          <cell r="E564"/>
          <cell r="F564"/>
          <cell r="G564"/>
          <cell r="H564"/>
          <cell r="I564"/>
          <cell r="J564"/>
          <cell r="K564"/>
          <cell r="L564"/>
          <cell r="M564"/>
          <cell r="N564"/>
          <cell r="O564"/>
          <cell r="P564"/>
          <cell r="Q564"/>
          <cell r="R564"/>
          <cell r="S564"/>
          <cell r="T564"/>
          <cell r="U564"/>
        </row>
        <row r="565">
          <cell r="A565"/>
          <cell r="B565"/>
          <cell r="C565"/>
          <cell r="D565"/>
          <cell r="E565"/>
          <cell r="F565"/>
          <cell r="G565"/>
          <cell r="H565"/>
          <cell r="I565"/>
          <cell r="J565"/>
          <cell r="K565"/>
          <cell r="L565"/>
          <cell r="M565"/>
          <cell r="N565"/>
          <cell r="O565"/>
          <cell r="P565"/>
          <cell r="Q565"/>
          <cell r="R565"/>
          <cell r="S565"/>
          <cell r="T565"/>
          <cell r="U565"/>
        </row>
        <row r="566">
          <cell r="A566"/>
          <cell r="B566"/>
          <cell r="C566"/>
          <cell r="D566"/>
          <cell r="E566"/>
          <cell r="F566"/>
          <cell r="G566"/>
          <cell r="H566"/>
          <cell r="I566"/>
          <cell r="J566"/>
          <cell r="K566"/>
          <cell r="L566"/>
          <cell r="M566"/>
          <cell r="N566"/>
          <cell r="O566"/>
          <cell r="P566"/>
          <cell r="Q566"/>
          <cell r="R566"/>
          <cell r="S566"/>
          <cell r="T566"/>
          <cell r="U566"/>
        </row>
        <row r="567">
          <cell r="A567"/>
          <cell r="B567"/>
          <cell r="C567"/>
          <cell r="D567"/>
          <cell r="E567"/>
          <cell r="F567"/>
          <cell r="G567"/>
          <cell r="H567"/>
          <cell r="I567"/>
          <cell r="J567"/>
          <cell r="K567"/>
          <cell r="L567"/>
          <cell r="M567"/>
          <cell r="N567"/>
          <cell r="O567"/>
          <cell r="P567"/>
          <cell r="Q567"/>
          <cell r="R567"/>
          <cell r="S567"/>
          <cell r="T567"/>
          <cell r="U567"/>
        </row>
        <row r="568">
          <cell r="A568"/>
          <cell r="B568"/>
          <cell r="C568"/>
          <cell r="D568"/>
          <cell r="E568"/>
          <cell r="F568"/>
          <cell r="G568"/>
          <cell r="H568"/>
          <cell r="I568"/>
          <cell r="J568"/>
          <cell r="K568"/>
          <cell r="L568"/>
          <cell r="M568"/>
          <cell r="N568"/>
          <cell r="O568"/>
          <cell r="P568"/>
          <cell r="Q568"/>
          <cell r="R568"/>
          <cell r="S568"/>
          <cell r="T568"/>
          <cell r="U568"/>
        </row>
        <row r="569">
          <cell r="A569"/>
          <cell r="B569"/>
          <cell r="C569"/>
          <cell r="D569"/>
          <cell r="E569"/>
          <cell r="F569"/>
          <cell r="G569"/>
          <cell r="H569"/>
          <cell r="I569"/>
          <cell r="J569"/>
          <cell r="K569"/>
          <cell r="L569"/>
          <cell r="M569"/>
          <cell r="N569"/>
          <cell r="O569"/>
          <cell r="P569"/>
          <cell r="Q569"/>
          <cell r="R569"/>
          <cell r="S569"/>
          <cell r="T569"/>
          <cell r="U569"/>
        </row>
        <row r="570">
          <cell r="A570"/>
          <cell r="B570"/>
          <cell r="C570"/>
          <cell r="D570"/>
          <cell r="E570"/>
          <cell r="F570"/>
          <cell r="G570"/>
          <cell r="H570"/>
          <cell r="I570"/>
          <cell r="J570"/>
          <cell r="K570"/>
          <cell r="L570"/>
          <cell r="M570"/>
          <cell r="N570"/>
          <cell r="O570"/>
          <cell r="P570"/>
          <cell r="Q570"/>
          <cell r="R570"/>
          <cell r="S570"/>
          <cell r="T570"/>
          <cell r="U570"/>
        </row>
        <row r="571">
          <cell r="A571"/>
          <cell r="B571"/>
          <cell r="C571"/>
          <cell r="D571"/>
          <cell r="E571"/>
          <cell r="F571"/>
          <cell r="G571"/>
          <cell r="H571"/>
          <cell r="I571"/>
          <cell r="J571"/>
          <cell r="K571"/>
          <cell r="L571"/>
          <cell r="M571"/>
          <cell r="N571"/>
          <cell r="O571"/>
          <cell r="P571"/>
          <cell r="Q571"/>
          <cell r="R571"/>
          <cell r="S571"/>
          <cell r="T571"/>
          <cell r="U571"/>
        </row>
        <row r="572">
          <cell r="A572"/>
          <cell r="B572"/>
          <cell r="C572"/>
          <cell r="D572"/>
          <cell r="E572"/>
          <cell r="F572"/>
          <cell r="G572"/>
          <cell r="H572"/>
          <cell r="I572"/>
          <cell r="J572"/>
          <cell r="K572"/>
          <cell r="L572"/>
          <cell r="M572"/>
          <cell r="N572"/>
          <cell r="O572"/>
          <cell r="P572"/>
          <cell r="Q572"/>
          <cell r="R572"/>
          <cell r="S572"/>
          <cell r="T572"/>
          <cell r="U572"/>
        </row>
        <row r="573">
          <cell r="A573"/>
          <cell r="B573"/>
          <cell r="C573"/>
          <cell r="D573"/>
          <cell r="E573"/>
          <cell r="F573"/>
          <cell r="G573"/>
          <cell r="H573"/>
          <cell r="I573"/>
          <cell r="J573"/>
          <cell r="K573"/>
          <cell r="L573"/>
          <cell r="M573"/>
          <cell r="N573"/>
          <cell r="O573"/>
          <cell r="P573"/>
          <cell r="Q573"/>
          <cell r="R573"/>
          <cell r="S573"/>
          <cell r="T573"/>
          <cell r="U573"/>
        </row>
        <row r="574">
          <cell r="A574"/>
          <cell r="B574"/>
          <cell r="C574"/>
          <cell r="D574"/>
          <cell r="E574"/>
          <cell r="F574"/>
          <cell r="G574"/>
          <cell r="H574"/>
          <cell r="I574"/>
          <cell r="J574"/>
          <cell r="K574"/>
          <cell r="L574"/>
          <cell r="M574"/>
          <cell r="N574"/>
          <cell r="O574"/>
          <cell r="P574"/>
          <cell r="Q574"/>
          <cell r="R574"/>
          <cell r="S574"/>
          <cell r="T574"/>
          <cell r="U574"/>
        </row>
        <row r="575">
          <cell r="A575"/>
          <cell r="B575"/>
          <cell r="C575"/>
          <cell r="D575"/>
          <cell r="E575"/>
          <cell r="F575"/>
          <cell r="G575"/>
          <cell r="H575"/>
          <cell r="I575"/>
          <cell r="J575"/>
          <cell r="K575"/>
          <cell r="L575"/>
          <cell r="M575"/>
          <cell r="N575"/>
          <cell r="O575"/>
          <cell r="P575"/>
          <cell r="Q575"/>
          <cell r="R575"/>
          <cell r="S575"/>
          <cell r="T575"/>
          <cell r="U575"/>
        </row>
        <row r="576">
          <cell r="A576"/>
          <cell r="B576"/>
          <cell r="C576"/>
          <cell r="D576"/>
          <cell r="E576"/>
          <cell r="F576"/>
          <cell r="G576"/>
          <cell r="H576"/>
          <cell r="I576"/>
          <cell r="J576"/>
          <cell r="K576"/>
          <cell r="L576"/>
          <cell r="M576"/>
          <cell r="N576"/>
          <cell r="O576"/>
          <cell r="P576"/>
          <cell r="Q576"/>
          <cell r="R576"/>
          <cell r="S576"/>
          <cell r="T576"/>
          <cell r="U576"/>
        </row>
        <row r="577">
          <cell r="A577"/>
          <cell r="B577"/>
          <cell r="C577"/>
          <cell r="D577"/>
          <cell r="E577"/>
          <cell r="F577"/>
          <cell r="G577"/>
          <cell r="H577"/>
          <cell r="I577"/>
          <cell r="J577"/>
          <cell r="K577"/>
          <cell r="L577"/>
          <cell r="M577"/>
          <cell r="N577"/>
          <cell r="O577"/>
          <cell r="P577"/>
          <cell r="Q577"/>
          <cell r="R577"/>
          <cell r="S577"/>
          <cell r="T577"/>
          <cell r="U577"/>
        </row>
        <row r="578">
          <cell r="A578"/>
          <cell r="B578"/>
          <cell r="C578"/>
          <cell r="D578"/>
          <cell r="E578"/>
          <cell r="F578"/>
          <cell r="G578"/>
          <cell r="H578"/>
          <cell r="I578"/>
          <cell r="J578"/>
          <cell r="K578"/>
          <cell r="L578"/>
          <cell r="M578"/>
          <cell r="N578"/>
          <cell r="O578"/>
          <cell r="P578"/>
          <cell r="Q578"/>
          <cell r="R578"/>
          <cell r="S578"/>
          <cell r="T578"/>
          <cell r="U578"/>
        </row>
        <row r="579">
          <cell r="A579"/>
          <cell r="B579"/>
          <cell r="C579"/>
          <cell r="D579"/>
          <cell r="E579"/>
          <cell r="F579"/>
          <cell r="G579"/>
          <cell r="H579"/>
          <cell r="I579"/>
          <cell r="J579"/>
          <cell r="K579"/>
          <cell r="L579"/>
          <cell r="M579"/>
          <cell r="N579"/>
          <cell r="O579"/>
          <cell r="P579"/>
          <cell r="Q579"/>
          <cell r="R579"/>
          <cell r="S579"/>
          <cell r="T579"/>
          <cell r="U579"/>
        </row>
        <row r="580">
          <cell r="A580"/>
          <cell r="B580"/>
          <cell r="C580"/>
          <cell r="D580"/>
          <cell r="E580"/>
          <cell r="F580"/>
          <cell r="G580"/>
          <cell r="H580"/>
          <cell r="I580"/>
          <cell r="J580"/>
          <cell r="K580"/>
          <cell r="L580"/>
          <cell r="M580"/>
          <cell r="N580"/>
          <cell r="O580"/>
          <cell r="P580"/>
          <cell r="Q580"/>
          <cell r="R580"/>
          <cell r="S580"/>
          <cell r="T580"/>
          <cell r="U580"/>
        </row>
        <row r="581">
          <cell r="A581"/>
          <cell r="B581"/>
          <cell r="C581"/>
          <cell r="D581"/>
          <cell r="E581"/>
          <cell r="F581"/>
          <cell r="G581"/>
          <cell r="H581"/>
          <cell r="I581"/>
          <cell r="J581"/>
          <cell r="K581"/>
          <cell r="L581"/>
          <cell r="M581"/>
          <cell r="N581"/>
          <cell r="O581"/>
          <cell r="P581"/>
          <cell r="Q581"/>
          <cell r="R581"/>
          <cell r="S581"/>
          <cell r="T581"/>
          <cell r="U581"/>
        </row>
        <row r="582">
          <cell r="A582"/>
          <cell r="B582"/>
          <cell r="C582"/>
          <cell r="D582"/>
          <cell r="E582"/>
          <cell r="F582"/>
          <cell r="G582"/>
          <cell r="H582"/>
          <cell r="I582"/>
          <cell r="J582"/>
          <cell r="K582"/>
          <cell r="L582"/>
          <cell r="M582"/>
          <cell r="N582"/>
          <cell r="O582"/>
          <cell r="P582"/>
          <cell r="Q582"/>
          <cell r="R582"/>
          <cell r="S582"/>
          <cell r="T582"/>
          <cell r="U582"/>
        </row>
        <row r="583">
          <cell r="A583"/>
          <cell r="B583"/>
          <cell r="C583"/>
          <cell r="D583"/>
          <cell r="E583"/>
          <cell r="F583"/>
          <cell r="G583"/>
          <cell r="H583"/>
          <cell r="I583"/>
          <cell r="J583"/>
          <cell r="K583"/>
          <cell r="L583"/>
          <cell r="M583"/>
          <cell r="N583"/>
          <cell r="O583"/>
          <cell r="P583"/>
          <cell r="Q583"/>
          <cell r="R583"/>
          <cell r="S583"/>
          <cell r="T583"/>
          <cell r="U583"/>
        </row>
        <row r="584">
          <cell r="A584"/>
          <cell r="B584"/>
          <cell r="C584"/>
          <cell r="D584"/>
          <cell r="E584"/>
          <cell r="F584"/>
          <cell r="G584"/>
          <cell r="H584"/>
          <cell r="I584"/>
          <cell r="J584"/>
          <cell r="K584"/>
          <cell r="L584"/>
          <cell r="M584"/>
          <cell r="N584"/>
          <cell r="O584"/>
          <cell r="P584"/>
          <cell r="Q584"/>
          <cell r="R584"/>
          <cell r="S584"/>
          <cell r="T584"/>
          <cell r="U584"/>
        </row>
        <row r="585">
          <cell r="A585"/>
          <cell r="B585"/>
          <cell r="C585"/>
          <cell r="D585"/>
          <cell r="E585"/>
          <cell r="F585"/>
          <cell r="G585"/>
          <cell r="H585"/>
          <cell r="I585"/>
          <cell r="J585"/>
          <cell r="K585"/>
          <cell r="L585"/>
          <cell r="M585"/>
          <cell r="N585"/>
          <cell r="O585"/>
          <cell r="P585"/>
          <cell r="Q585"/>
          <cell r="R585"/>
          <cell r="S585"/>
          <cell r="T585"/>
          <cell r="U585"/>
        </row>
        <row r="586">
          <cell r="A586"/>
          <cell r="B586"/>
          <cell r="C586"/>
          <cell r="D586"/>
          <cell r="E586"/>
          <cell r="F586"/>
          <cell r="G586"/>
          <cell r="H586"/>
          <cell r="I586"/>
          <cell r="J586"/>
          <cell r="K586"/>
          <cell r="L586"/>
          <cell r="M586"/>
          <cell r="N586"/>
          <cell r="O586"/>
          <cell r="P586"/>
          <cell r="Q586"/>
          <cell r="R586"/>
          <cell r="S586"/>
          <cell r="T586"/>
          <cell r="U586"/>
        </row>
        <row r="587">
          <cell r="A587"/>
          <cell r="B587"/>
          <cell r="C587"/>
          <cell r="D587"/>
          <cell r="E587"/>
          <cell r="F587"/>
          <cell r="G587"/>
          <cell r="H587"/>
          <cell r="I587"/>
          <cell r="J587"/>
          <cell r="K587"/>
          <cell r="L587"/>
          <cell r="M587"/>
          <cell r="N587"/>
          <cell r="O587"/>
          <cell r="P587"/>
          <cell r="Q587"/>
          <cell r="R587"/>
          <cell r="S587"/>
          <cell r="T587"/>
          <cell r="U587"/>
        </row>
        <row r="588">
          <cell r="A588"/>
          <cell r="B588"/>
          <cell r="C588"/>
          <cell r="D588"/>
          <cell r="E588"/>
          <cell r="F588"/>
          <cell r="G588"/>
          <cell r="H588"/>
          <cell r="I588"/>
          <cell r="J588"/>
          <cell r="K588"/>
          <cell r="L588"/>
          <cell r="M588"/>
          <cell r="N588"/>
          <cell r="O588"/>
          <cell r="P588"/>
          <cell r="Q588"/>
          <cell r="R588"/>
          <cell r="S588"/>
          <cell r="T588"/>
          <cell r="U588"/>
        </row>
        <row r="589">
          <cell r="A589"/>
          <cell r="B589"/>
          <cell r="C589"/>
          <cell r="D589"/>
          <cell r="E589"/>
          <cell r="F589"/>
          <cell r="G589"/>
          <cell r="H589"/>
          <cell r="I589"/>
          <cell r="J589"/>
          <cell r="K589"/>
          <cell r="L589"/>
          <cell r="M589"/>
          <cell r="N589"/>
          <cell r="O589"/>
          <cell r="P589"/>
          <cell r="Q589"/>
          <cell r="R589"/>
          <cell r="S589"/>
          <cell r="T589"/>
          <cell r="U589"/>
        </row>
        <row r="590">
          <cell r="A590"/>
          <cell r="B590"/>
          <cell r="C590"/>
          <cell r="D590"/>
          <cell r="E590"/>
          <cell r="F590"/>
          <cell r="G590"/>
          <cell r="H590"/>
          <cell r="I590"/>
          <cell r="J590"/>
          <cell r="K590"/>
          <cell r="L590"/>
          <cell r="M590"/>
          <cell r="N590"/>
          <cell r="O590"/>
          <cell r="P590"/>
          <cell r="Q590"/>
          <cell r="R590"/>
          <cell r="S590"/>
          <cell r="T590"/>
          <cell r="U590"/>
        </row>
        <row r="591">
          <cell r="A591"/>
          <cell r="B591"/>
          <cell r="C591"/>
          <cell r="D591"/>
          <cell r="E591"/>
          <cell r="F591"/>
          <cell r="G591"/>
          <cell r="H591"/>
          <cell r="I591"/>
          <cell r="J591"/>
          <cell r="K591"/>
          <cell r="L591"/>
          <cell r="M591"/>
          <cell r="N591"/>
          <cell r="O591"/>
          <cell r="P591"/>
          <cell r="Q591"/>
          <cell r="R591"/>
          <cell r="S591"/>
          <cell r="T591"/>
          <cell r="U591"/>
        </row>
        <row r="592">
          <cell r="A592"/>
          <cell r="B592"/>
          <cell r="C592"/>
          <cell r="D592"/>
          <cell r="E592"/>
          <cell r="F592"/>
          <cell r="G592"/>
          <cell r="H592"/>
          <cell r="I592"/>
          <cell r="J592"/>
          <cell r="K592"/>
          <cell r="L592"/>
          <cell r="M592"/>
          <cell r="N592"/>
          <cell r="O592"/>
          <cell r="P592"/>
          <cell r="Q592"/>
          <cell r="R592"/>
          <cell r="S592"/>
          <cell r="T592"/>
          <cell r="U592"/>
        </row>
        <row r="593">
          <cell r="A593"/>
          <cell r="B593"/>
          <cell r="C593"/>
          <cell r="D593"/>
          <cell r="E593"/>
          <cell r="F593"/>
          <cell r="G593"/>
          <cell r="H593"/>
          <cell r="I593"/>
          <cell r="J593"/>
          <cell r="K593"/>
          <cell r="L593"/>
          <cell r="M593"/>
          <cell r="N593"/>
          <cell r="O593"/>
          <cell r="P593"/>
          <cell r="Q593"/>
          <cell r="R593"/>
          <cell r="S593"/>
          <cell r="T593"/>
          <cell r="U593"/>
        </row>
        <row r="594">
          <cell r="A594"/>
          <cell r="B594"/>
          <cell r="C594"/>
          <cell r="D594"/>
          <cell r="E594"/>
          <cell r="F594"/>
          <cell r="G594"/>
          <cell r="H594"/>
          <cell r="I594"/>
          <cell r="J594"/>
          <cell r="K594"/>
          <cell r="L594"/>
          <cell r="M594"/>
          <cell r="N594"/>
          <cell r="O594"/>
          <cell r="P594"/>
          <cell r="Q594"/>
          <cell r="R594"/>
          <cell r="S594"/>
          <cell r="T594"/>
          <cell r="U594"/>
        </row>
        <row r="595">
          <cell r="A595"/>
          <cell r="B595"/>
          <cell r="C595"/>
          <cell r="D595"/>
          <cell r="E595"/>
          <cell r="F595"/>
          <cell r="G595"/>
          <cell r="H595"/>
          <cell r="I595"/>
          <cell r="J595"/>
          <cell r="K595"/>
          <cell r="L595"/>
          <cell r="M595"/>
          <cell r="N595"/>
          <cell r="O595"/>
          <cell r="P595"/>
          <cell r="Q595"/>
          <cell r="R595"/>
          <cell r="S595"/>
          <cell r="T595"/>
          <cell r="U595"/>
        </row>
        <row r="596">
          <cell r="A596"/>
          <cell r="B596"/>
          <cell r="C596"/>
          <cell r="D596"/>
          <cell r="E596"/>
          <cell r="F596"/>
          <cell r="G596"/>
          <cell r="H596"/>
          <cell r="I596"/>
          <cell r="J596"/>
          <cell r="K596"/>
          <cell r="L596"/>
          <cell r="M596"/>
          <cell r="N596"/>
          <cell r="O596"/>
          <cell r="P596"/>
          <cell r="Q596"/>
          <cell r="R596"/>
          <cell r="S596"/>
          <cell r="T596"/>
          <cell r="U596"/>
        </row>
        <row r="597">
          <cell r="A597"/>
          <cell r="B597"/>
          <cell r="C597"/>
          <cell r="D597"/>
          <cell r="E597"/>
          <cell r="F597"/>
          <cell r="G597"/>
          <cell r="H597"/>
          <cell r="I597"/>
          <cell r="J597"/>
          <cell r="K597"/>
          <cell r="L597"/>
          <cell r="M597"/>
          <cell r="N597"/>
          <cell r="O597"/>
          <cell r="P597"/>
          <cell r="Q597"/>
          <cell r="R597"/>
          <cell r="S597"/>
          <cell r="T597"/>
          <cell r="U597"/>
        </row>
        <row r="598">
          <cell r="A598"/>
          <cell r="B598"/>
          <cell r="C598"/>
          <cell r="D598"/>
          <cell r="E598"/>
          <cell r="F598"/>
          <cell r="G598"/>
          <cell r="H598"/>
          <cell r="I598"/>
          <cell r="J598"/>
          <cell r="K598"/>
          <cell r="L598"/>
          <cell r="M598"/>
          <cell r="N598"/>
          <cell r="O598"/>
          <cell r="P598"/>
          <cell r="Q598"/>
          <cell r="R598"/>
          <cell r="S598"/>
          <cell r="T598"/>
          <cell r="U598"/>
        </row>
        <row r="599">
          <cell r="A599"/>
          <cell r="B599"/>
          <cell r="C599"/>
          <cell r="D599"/>
          <cell r="E599"/>
          <cell r="F599"/>
          <cell r="G599"/>
          <cell r="H599"/>
          <cell r="I599"/>
          <cell r="J599"/>
          <cell r="K599"/>
          <cell r="L599"/>
          <cell r="M599"/>
          <cell r="N599"/>
          <cell r="O599"/>
          <cell r="P599"/>
          <cell r="Q599"/>
          <cell r="R599"/>
          <cell r="S599"/>
          <cell r="T599"/>
          <cell r="U599"/>
        </row>
        <row r="600">
          <cell r="A600"/>
          <cell r="B600"/>
          <cell r="C600"/>
          <cell r="D600"/>
          <cell r="E600"/>
          <cell r="F600"/>
          <cell r="G600"/>
          <cell r="H600"/>
          <cell r="I600"/>
          <cell r="J600"/>
          <cell r="K600"/>
          <cell r="L600"/>
          <cell r="M600"/>
          <cell r="N600"/>
          <cell r="O600"/>
          <cell r="P600"/>
          <cell r="Q600"/>
          <cell r="R600"/>
          <cell r="S600"/>
          <cell r="T600"/>
          <cell r="U600"/>
        </row>
        <row r="601">
          <cell r="A601"/>
          <cell r="B601"/>
          <cell r="C601"/>
          <cell r="D601"/>
          <cell r="E601"/>
          <cell r="F601"/>
          <cell r="G601"/>
          <cell r="H601"/>
          <cell r="I601"/>
          <cell r="J601"/>
          <cell r="K601"/>
          <cell r="L601"/>
          <cell r="M601"/>
          <cell r="N601"/>
          <cell r="O601"/>
          <cell r="P601"/>
          <cell r="Q601"/>
          <cell r="R601"/>
          <cell r="S601"/>
          <cell r="T601"/>
          <cell r="U601"/>
        </row>
        <row r="602">
          <cell r="A602"/>
          <cell r="B602"/>
          <cell r="C602"/>
          <cell r="D602"/>
          <cell r="E602"/>
          <cell r="F602"/>
          <cell r="G602"/>
          <cell r="H602"/>
          <cell r="I602"/>
          <cell r="J602"/>
          <cell r="K602"/>
          <cell r="L602"/>
          <cell r="M602"/>
          <cell r="N602"/>
          <cell r="O602"/>
          <cell r="P602"/>
          <cell r="Q602"/>
          <cell r="R602"/>
          <cell r="S602"/>
          <cell r="T602"/>
          <cell r="U602"/>
        </row>
        <row r="603">
          <cell r="A603"/>
          <cell r="B603"/>
          <cell r="C603"/>
          <cell r="D603"/>
          <cell r="E603"/>
          <cell r="F603"/>
          <cell r="G603"/>
          <cell r="H603"/>
          <cell r="I603"/>
          <cell r="J603"/>
          <cell r="K603"/>
          <cell r="L603"/>
          <cell r="M603"/>
          <cell r="N603"/>
          <cell r="O603"/>
          <cell r="P603"/>
          <cell r="Q603"/>
          <cell r="R603"/>
          <cell r="S603"/>
          <cell r="T603"/>
          <cell r="U603"/>
        </row>
        <row r="604">
          <cell r="A604"/>
          <cell r="B604"/>
          <cell r="C604"/>
          <cell r="D604"/>
          <cell r="E604"/>
          <cell r="F604"/>
          <cell r="G604"/>
          <cell r="H604"/>
          <cell r="I604"/>
          <cell r="J604"/>
          <cell r="K604"/>
          <cell r="L604"/>
          <cell r="M604"/>
          <cell r="N604"/>
          <cell r="O604"/>
          <cell r="P604"/>
          <cell r="Q604"/>
          <cell r="R604"/>
          <cell r="S604"/>
          <cell r="T604"/>
          <cell r="U604"/>
        </row>
        <row r="605">
          <cell r="A605"/>
          <cell r="B605"/>
          <cell r="C605"/>
          <cell r="D605"/>
          <cell r="E605"/>
          <cell r="F605"/>
          <cell r="G605"/>
          <cell r="H605"/>
          <cell r="I605"/>
          <cell r="J605"/>
          <cell r="K605"/>
          <cell r="L605"/>
          <cell r="M605"/>
          <cell r="N605"/>
          <cell r="O605"/>
          <cell r="P605"/>
          <cell r="Q605"/>
          <cell r="R605"/>
          <cell r="S605"/>
          <cell r="T605"/>
          <cell r="U605"/>
        </row>
        <row r="606">
          <cell r="A606"/>
          <cell r="B606"/>
          <cell r="C606"/>
          <cell r="D606"/>
          <cell r="E606"/>
          <cell r="F606"/>
          <cell r="G606"/>
          <cell r="H606"/>
          <cell r="I606"/>
          <cell r="J606"/>
          <cell r="K606"/>
          <cell r="L606"/>
          <cell r="M606"/>
          <cell r="N606"/>
          <cell r="O606"/>
          <cell r="P606"/>
          <cell r="Q606"/>
          <cell r="R606"/>
          <cell r="S606"/>
          <cell r="T606"/>
          <cell r="U606"/>
        </row>
        <row r="607">
          <cell r="A607"/>
          <cell r="B607"/>
          <cell r="C607"/>
          <cell r="D607"/>
          <cell r="E607"/>
          <cell r="F607"/>
          <cell r="G607"/>
          <cell r="H607"/>
          <cell r="I607"/>
          <cell r="J607"/>
          <cell r="K607"/>
          <cell r="L607"/>
          <cell r="M607"/>
          <cell r="N607"/>
          <cell r="O607"/>
          <cell r="P607"/>
          <cell r="Q607"/>
          <cell r="R607"/>
          <cell r="S607"/>
          <cell r="T607"/>
          <cell r="U607"/>
        </row>
        <row r="608">
          <cell r="A608"/>
          <cell r="B608"/>
          <cell r="C608"/>
          <cell r="D608"/>
          <cell r="E608"/>
          <cell r="F608"/>
          <cell r="G608"/>
          <cell r="H608"/>
          <cell r="I608"/>
          <cell r="J608"/>
          <cell r="K608"/>
          <cell r="L608"/>
          <cell r="M608"/>
          <cell r="N608"/>
          <cell r="O608"/>
          <cell r="P608"/>
          <cell r="Q608"/>
          <cell r="R608"/>
          <cell r="S608"/>
          <cell r="T608"/>
          <cell r="U608"/>
        </row>
        <row r="609">
          <cell r="A609"/>
          <cell r="B609"/>
          <cell r="C609"/>
          <cell r="D609"/>
          <cell r="E609"/>
          <cell r="F609"/>
          <cell r="G609"/>
          <cell r="H609"/>
          <cell r="I609"/>
          <cell r="J609"/>
          <cell r="K609"/>
          <cell r="L609"/>
          <cell r="M609"/>
          <cell r="N609"/>
          <cell r="O609"/>
          <cell r="P609"/>
          <cell r="Q609"/>
          <cell r="R609"/>
          <cell r="S609"/>
          <cell r="T609"/>
          <cell r="U609"/>
        </row>
        <row r="610">
          <cell r="A610"/>
          <cell r="B610"/>
          <cell r="C610"/>
          <cell r="D610"/>
          <cell r="E610"/>
          <cell r="F610"/>
          <cell r="G610"/>
          <cell r="H610"/>
          <cell r="I610"/>
          <cell r="J610"/>
          <cell r="K610"/>
          <cell r="L610"/>
          <cell r="M610"/>
          <cell r="N610"/>
          <cell r="O610"/>
          <cell r="P610"/>
          <cell r="Q610"/>
          <cell r="R610"/>
          <cell r="S610"/>
          <cell r="T610"/>
          <cell r="U610"/>
        </row>
        <row r="611">
          <cell r="A611"/>
          <cell r="B611"/>
          <cell r="C611"/>
          <cell r="D611"/>
          <cell r="E611"/>
          <cell r="F611"/>
          <cell r="G611"/>
          <cell r="H611"/>
          <cell r="I611"/>
          <cell r="J611"/>
          <cell r="K611"/>
          <cell r="L611"/>
          <cell r="M611"/>
          <cell r="N611"/>
          <cell r="O611"/>
          <cell r="P611"/>
          <cell r="Q611"/>
          <cell r="R611"/>
          <cell r="S611"/>
          <cell r="T611"/>
          <cell r="U611"/>
        </row>
        <row r="612">
          <cell r="A612"/>
          <cell r="B612"/>
          <cell r="C612"/>
          <cell r="D612"/>
          <cell r="E612"/>
          <cell r="F612"/>
          <cell r="G612"/>
          <cell r="H612"/>
          <cell r="I612"/>
          <cell r="J612"/>
          <cell r="K612"/>
          <cell r="L612"/>
          <cell r="M612"/>
          <cell r="N612"/>
          <cell r="O612"/>
          <cell r="P612"/>
          <cell r="Q612"/>
          <cell r="R612"/>
          <cell r="S612"/>
          <cell r="T612"/>
          <cell r="U612"/>
        </row>
      </sheetData>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C88WNXwGp06_yc4Ahtc_YWTzFSioH0hDnPNpxXAwHXF8GDZw1qVYQqag58kQiq8b" itemId="01NDHQIDMOEVYGHA3TPNEYKLO2CAALAR6S">
      <xxl21:absoluteUrl r:id="rId3"/>
      <xxl21:relativeUrl r:id="rId4"/>
    </xxl21:alternateUrls>
    <sheetNames>
      <sheetName val="PRIORIZADOS"/>
      <sheetName val="DEMANDA"/>
      <sheetName val="MESAS DIRECTIVOS IE"/>
      <sheetName val="MANUALES DE CONVIVENCIA IED"/>
      <sheetName val="OPERACIONES-ACTIVIDADES"/>
      <sheetName val="COLEGIOS"/>
      <sheetName val="LISTAS"/>
      <sheetName val="ACTIVIDADES  "/>
      <sheetName val="SEGUIMIENTO CORRESPONDENCIA"/>
      <sheetName val="PEGRCC Y GOBIERNOS ESCOLARES"/>
      <sheetName val="Sheet1"/>
    </sheetNames>
    <sheetDataSet>
      <sheetData sheetId="0">
        <row r="1">
          <cell r="B1"/>
          <cell r="C1"/>
          <cell r="D1"/>
          <cell r="E1">
            <v>0</v>
          </cell>
          <cell r="F1"/>
          <cell r="G1"/>
          <cell r="H1"/>
          <cell r="I1"/>
          <cell r="J1"/>
          <cell r="K1"/>
          <cell r="L1"/>
          <cell r="M1"/>
          <cell r="N1"/>
          <cell r="O1"/>
          <cell r="P1"/>
          <cell r="Q1"/>
          <cell r="R1"/>
          <cell r="S1"/>
          <cell r="T1"/>
          <cell r="U1"/>
        </row>
        <row r="2">
          <cell r="B2"/>
          <cell r="C2"/>
          <cell r="D2"/>
          <cell r="E2"/>
          <cell r="F2"/>
          <cell r="G2"/>
          <cell r="H2"/>
          <cell r="I2"/>
          <cell r="J2"/>
          <cell r="K2"/>
          <cell r="L2"/>
          <cell r="M2"/>
          <cell r="N2"/>
          <cell r="O2"/>
          <cell r="P2"/>
          <cell r="Q2"/>
          <cell r="R2"/>
          <cell r="S2"/>
          <cell r="T2"/>
          <cell r="U2"/>
        </row>
        <row r="3">
          <cell r="B3"/>
          <cell r="C3"/>
          <cell r="D3"/>
          <cell r="E3" t="str">
            <v>PLAN OPERATIVO ANUAL DE INSPECCIÓN Y VIGILANCIA 2025</v>
          </cell>
          <cell r="F3"/>
          <cell r="G3"/>
          <cell r="H3"/>
          <cell r="I3"/>
          <cell r="J3"/>
          <cell r="K3"/>
          <cell r="L3"/>
          <cell r="M3"/>
          <cell r="N3"/>
          <cell r="O3"/>
          <cell r="P3"/>
          <cell r="Q3"/>
          <cell r="R3"/>
          <cell r="S3"/>
          <cell r="T3"/>
          <cell r="U3"/>
        </row>
        <row r="4">
          <cell r="B4"/>
          <cell r="C4"/>
          <cell r="D4"/>
          <cell r="E4" t="str">
            <v>MATRIZ DE FORMULACIÓN Y SEGUIMIENTO A LA EJECUCIÓN DEL POAIV</v>
          </cell>
          <cell r="F4"/>
          <cell r="G4"/>
          <cell r="H4"/>
          <cell r="I4"/>
          <cell r="J4"/>
          <cell r="K4"/>
          <cell r="L4"/>
          <cell r="M4"/>
          <cell r="N4"/>
          <cell r="O4"/>
          <cell r="P4"/>
          <cell r="Q4"/>
          <cell r="R4"/>
          <cell r="S4"/>
          <cell r="T4"/>
          <cell r="U4"/>
        </row>
        <row r="5">
          <cell r="B5"/>
          <cell r="C5"/>
          <cell r="D5"/>
          <cell r="E5" t="str">
            <v>EQUIPO LOCAL DE:</v>
          </cell>
          <cell r="F5" t="str">
            <v>14. LOS MÁRTIRES</v>
          </cell>
          <cell r="G5"/>
          <cell r="H5"/>
          <cell r="I5"/>
          <cell r="J5"/>
          <cell r="K5"/>
          <cell r="L5"/>
          <cell r="M5"/>
          <cell r="N5"/>
          <cell r="O5"/>
          <cell r="P5"/>
          <cell r="Q5"/>
          <cell r="R5"/>
          <cell r="S5"/>
          <cell r="T5"/>
          <cell r="U5"/>
        </row>
        <row r="6">
          <cell r="B6" t="str">
            <v>COMPONENTE DE FORMULACIÓN (PLANEACIÓN DE VISITAS, ACTUACIONES O INTERVENCIONES A LOS ESTABLECIMIENTOS EDUCATIVOS)</v>
          </cell>
          <cell r="C6"/>
          <cell r="D6"/>
          <cell r="E6"/>
          <cell r="F6"/>
          <cell r="G6"/>
          <cell r="H6"/>
          <cell r="I6"/>
          <cell r="J6"/>
          <cell r="K6"/>
          <cell r="L6"/>
          <cell r="M6"/>
          <cell r="N6" t="str">
            <v>COMPONENTE DE SEGUIMIENTO RESULTADOS DE LAS ACTUACIONES REALIZADAS - INFORMES DE EJECUCIÓN</v>
          </cell>
          <cell r="O6"/>
          <cell r="P6"/>
          <cell r="Q6"/>
          <cell r="R6"/>
          <cell r="S6"/>
          <cell r="T6"/>
          <cell r="U6"/>
        </row>
        <row r="7">
          <cell r="A7" t="str">
            <v>Codigo unico</v>
          </cell>
          <cell r="B7" t="str">
            <v>NÚMERO DE EE
(Enumere los EE que serán visitados en el período)</v>
          </cell>
          <cell r="C7" t="str">
            <v>LOCALIDAD</v>
          </cell>
          <cell r="D7" t="str">
            <v xml:space="preserve">SECTOR DEL ESTABLECIMIENTO
(Indicar si es EE es Oficial o Privado)  </v>
          </cell>
          <cell r="E7" t="str">
            <v xml:space="preserve">TIPO DE ESTABLECIMIENTO EDUCATIVO
(Indique si el EE objeto de la intervención es: EPBM, IETDH, Educación Inicial o Educación de Jóvenes y Adultos) </v>
          </cell>
          <cell r="F7" t="str">
            <v>NOMBRE DEL ESTABLECIMIENTO EDUCATIVO
(Indique el nombre del EE, como aparece en la licencia de funcionamiento priorizado para realizar la visita o ejecutar otro tipo de actuaciones según los criterios definidos)</v>
          </cell>
          <cell r="G7" t="str">
            <v xml:space="preserve">SEDE ATENDIDA  (Indique el nombre de la sede del EE en donde se ejecutará la visita y/o actuación) </v>
          </cell>
          <cell r="H7" t="str">
            <v>CRITERIO DE PRIORIZACIÓN
(Seleccione el criterio por el cual fue priorizado el EE, para realizar esta intervención, según la lista desplegable)</v>
          </cell>
          <cell r="I7" t="str">
            <v>OPERACIÓN 
(Seleccione la operación de la cual hacen parte las actividades a desarrollar en el EE priorizado)</v>
          </cell>
          <cell r="J7" t="str">
            <v xml:space="preserve">ACTIVIDAD (ES) A DESARROLLAR
(Indique la actividad a desarrollar según la operación)
</v>
          </cell>
          <cell r="K7" t="str">
            <v xml:space="preserve">FUNCIONARIO RESPONSABLE
(Nombre y apellido del responsable de ejecutar la actividad) </v>
          </cell>
          <cell r="L7" t="str">
            <v xml:space="preserve">FUNCIONARIO 
CORRESPONSABLE
(Nombre y apellido del coresponsable de ejecutar la actividad, conceptos plurales) </v>
          </cell>
          <cell r="M7" t="str">
            <v>FECHA PROGRAMADA
(Fecha en la que se programa realizar la visita u otra actuación, indicar DD/MM/AA)</v>
          </cell>
          <cell r="N7" t="str">
            <v xml:space="preserve">FECHA REAL DE INICIO DE LA ACTUACIÓN
(Fecha en la que se llevó a cabo la visita o actuación DD/MM/AA) </v>
          </cell>
          <cell r="O7" t="str">
            <v xml:space="preserve">FECHA REAL FIN DE LA ACTUACIÓN
(Fecha en la que se llevó a cabo la visita o actuación DD/MM/AA) </v>
          </cell>
          <cell r="P7" t="str">
            <v xml:space="preserve"> ACTUACIÓN REALIZADA
(Indique el tipo de actuación que se realizó en el EE, artículo 24 de la Resolución 1983 de 2023)</v>
          </cell>
          <cell r="Q7" t="str">
            <v>UBICACIÓN EVIDENCIA DOCUMENTAL 
(Colocar el link de ubicación directa de la evidencia correspondiente)</v>
          </cell>
          <cell r="R7" t="str">
            <v>SITUACIÓN ENCONTRADA
(Con base en lo consignado en la evidencia documental que corresponda, resuma la situación tratada o encontrada en la actuación realizada, particularizando los hechos relevantes observados en el EE)</v>
          </cell>
          <cell r="S7" t="str">
            <v xml:space="preserve">CONCLUSIONES Y/O COMPROMISOS ADQUIRIDOS (Relacione las acciones de mejora, medidas a implementar, estrategias y/o compromisos adquiridos por el EE, tendientes a resolver la situación encontrada) </v>
          </cell>
          <cell r="T7" t="str">
            <v xml:space="preserve">PMI (Requiere la elaboración, aprobación y ejecución de un Plan de Mejoramiento Institucional que permita subsanar la situación encontrada y mejore la prestación del servicio educativo) </v>
          </cell>
          <cell r="U7" t="str">
            <v>ACCIONES DE SEGUIMIENTO Y/O VERIFICACIÓN
(Señale la acción de el seguimiento y/o verificación realizada o por realizar sobre los compromisos o PMI acordados)</v>
          </cell>
        </row>
        <row r="8">
          <cell r="A8" t="str">
            <v>itu</v>
          </cell>
          <cell r="B8">
            <v>1</v>
          </cell>
          <cell r="C8" t="str">
            <v>LOS MÁRTIRES</v>
          </cell>
          <cell r="D8" t="str">
            <v>PRIVADO</v>
          </cell>
          <cell r="E8" t="str">
            <v>EPBM</v>
          </cell>
          <cell r="F8" t="str">
            <v>COLEGIO_BILINGÜE_INTEGRAL</v>
          </cell>
          <cell r="G8" t="str">
            <v>COLEGIO BILINGÜE INTEGRAL</v>
          </cell>
          <cell r="H8" t="str">
            <v>Colegios Nuevos (creados en los últimos 2 años) / Seguimiento a los PMI acordados en 2024</v>
          </cell>
          <cell r="I8" t="str">
            <v>SEGUIMIENTO_Y_SUPERVISIÓN.</v>
          </cell>
          <cell r="J8" t="str">
            <v>Realizar visitas para verificar la información registrada sobre la autoevaluación institucional en el aplicativo EVI, a los establecimientos de educación formal no oficial.</v>
          </cell>
          <cell r="K8" t="str">
            <v>CARLOS EDUARDO VARGAS LÓPEZ</v>
          </cell>
          <cell r="L8" t="str">
            <v>LUIS ALEJANDRO MARTÍNEZ PALACIOS</v>
          </cell>
          <cell r="M8">
            <v>45722</v>
          </cell>
          <cell r="N8">
            <v>45722</v>
          </cell>
          <cell r="O8">
            <v>45723</v>
          </cell>
          <cell r="P8" t="str">
            <v>Visitas de evaluación con fines de seguimiento</v>
          </cell>
          <cell r="Q8" t="str">
            <v>20250306_ActaVisita_Colegio_Bilingue_Integral.pdf</v>
          </cell>
          <cell r="R8" t="str">
            <v xml:space="preserve">Se evidencio que tres (3) docentes cuentan con certificado de B2 o superior C1,no se completa el 50% de docentes del total en la IE </v>
          </cell>
          <cell r="S8" t="str">
            <v xml:space="preserve">Dar cumplimiento a la normatividad vigente,  se debe contar con un 50% de docentes vinculados certificado mínimo nivel B2 de otro idioma. Para la siguiente vigencia 2026 e incorporal el el PMI. </v>
          </cell>
          <cell r="T8" t="str">
            <v>Si</v>
          </cell>
          <cell r="U8" t="str">
            <v>Se realizará requerimiento documental en el mes de agosto 2025 para verificar la estrategia para el cumplimiento del porcentaje requerido de docentes vinculados que cuenten con certificado mínimo de B2 en un segundo idioma.</v>
          </cell>
        </row>
        <row r="9">
          <cell r="A9">
            <v>1253</v>
          </cell>
          <cell r="B9">
            <v>1</v>
          </cell>
          <cell r="C9" t="str">
            <v>LOS MÁRTIRES</v>
          </cell>
          <cell r="D9" t="str">
            <v>PRIVADO</v>
          </cell>
          <cell r="E9" t="str">
            <v>EPBM</v>
          </cell>
          <cell r="F9" t="str">
            <v>COLEGIO_BILINGÜE_INTEGRAL</v>
          </cell>
          <cell r="G9" t="str">
            <v>COLEGIO BILINGÜE INTEGRAL</v>
          </cell>
          <cell r="H9" t="str">
            <v>Colegios Nuevos (creados en los últimos 2 años) / Seguimiento a los PMI acordados en 2024</v>
          </cell>
          <cell r="I9" t="str">
            <v>SEGUIMIENTO_Y_SUPERVISIÓN.</v>
          </cell>
          <cell r="J9" t="str">
            <v xml:space="preserve">Verificar la implementación por parte de los colegios, de acciones realizadas para la prevención y atención de las situaciones de convivencia en el entorno escolar, según lo establecido en la Directiva 01 de 2022 del MEN. </v>
          </cell>
          <cell r="K9" t="str">
            <v>CARLOS EDUARDO VARGAS LÓPEZ</v>
          </cell>
          <cell r="L9" t="str">
            <v>LUIS ALEJANDRO MARTÍNEZ PALACIOS</v>
          </cell>
          <cell r="M9">
            <v>45722</v>
          </cell>
          <cell r="N9">
            <v>45722</v>
          </cell>
          <cell r="O9">
            <v>45723</v>
          </cell>
          <cell r="P9" t="str">
            <v>Visitas de evaluación con fines de seguimiento</v>
          </cell>
          <cell r="Q9" t="str">
            <v>20250306_ActaVisita_Colegio_Bilingue_Integral.pdf</v>
          </cell>
          <cell r="R9" t="str">
            <v>Se revisa las hojas de vida de 30 docentes  y un administrativo en la cual se aporta la verificación de inhabilidades por delitos sexuales cada 4 meses.</v>
          </cell>
          <cell r="S9" t="str">
            <v>Continuar realizando la verificación de antecedentes cada 4 meses.</v>
          </cell>
          <cell r="T9" t="str">
            <v>No</v>
          </cell>
          <cell r="U9" t="str">
            <v>Se realizará solicitud documental en el mes de agosto 2025, en la cual la Institución Educativa de cuenta de la frecuencia establecida en la norma de revisión de antecedentes</v>
          </cell>
        </row>
        <row r="10">
          <cell r="A10">
            <v>1254</v>
          </cell>
          <cell r="B10">
            <v>1</v>
          </cell>
          <cell r="C10" t="str">
            <v>LOS MÁRTIRES</v>
          </cell>
          <cell r="D10" t="str">
            <v>PRIVADO</v>
          </cell>
          <cell r="E10" t="str">
            <v>EPBM</v>
          </cell>
          <cell r="F10" t="str">
            <v>COLEGIO_BILINGÜE_INTEGRAL</v>
          </cell>
          <cell r="G10" t="str">
            <v>COLEGIO BILINGÜE INTEGRAL</v>
          </cell>
          <cell r="H10" t="str">
            <v>Colegios Nuevos (creados en los últimos 2 años) / Seguimiento a los PMI acordados en 2024</v>
          </cell>
          <cell r="I10" t="str">
            <v>SEGUIMIENTO_Y_SUPERVISIÓN.</v>
          </cell>
          <cell r="J10"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0" t="str">
            <v>CARLOS EDUARDO VARGAS LÓPEZ</v>
          </cell>
          <cell r="L10" t="str">
            <v>LUIS ALEJANDRO MARTÍNEZ PALACIOS</v>
          </cell>
          <cell r="M10">
            <v>45722</v>
          </cell>
          <cell r="N10">
            <v>45722</v>
          </cell>
          <cell r="O10">
            <v>45723</v>
          </cell>
          <cell r="P10" t="str">
            <v>Visitas de evaluación con fines de seguimiento</v>
          </cell>
          <cell r="Q10" t="str">
            <v>20250306_ActaVisita_Colegio_Bilingue_Integral.pdf</v>
          </cell>
          <cell r="R10" t="str">
            <v>Se verifica contra el reporte de SIMAT los PIAR de los estudiantes identificados. Se evidencia  8 estudiantes  con documentos PIAR sin acuerdos, firmas de los padres ni diagnostico medico.</v>
          </cell>
          <cell r="S10" t="str">
            <v>Realizar retroalimentación con padres de familia para establecer los acuerdos en el proceso académico de los estudiantes y aporte de los diagnósticos médicos.</v>
          </cell>
          <cell r="T10" t="str">
            <v>No</v>
          </cell>
          <cell r="U10" t="str">
            <v>Se realizará solicitud documental para verificar la elaboración de PIAR de los estudiantes y que sean de conocimiento de la familia, en el mes de septimbre.
. Se realizó nueva visita de seguimientoen el mes de septiembre encontrando que se habían formalizado los documentos PIAR.</v>
          </cell>
        </row>
        <row r="11">
          <cell r="A11">
            <v>1255</v>
          </cell>
          <cell r="B11">
            <v>1</v>
          </cell>
          <cell r="C11" t="str">
            <v>LOS MÁRTIRES</v>
          </cell>
          <cell r="D11" t="str">
            <v>PRIVADO</v>
          </cell>
          <cell r="E11" t="str">
            <v>EPBM</v>
          </cell>
          <cell r="F11" t="str">
            <v>COLEGIO_BILINGÜE_INTEGRAL</v>
          </cell>
          <cell r="G11" t="str">
            <v>COLEGIO BILINGÜE INTEGRAL</v>
          </cell>
          <cell r="H11" t="str">
            <v>Colegios Nuevos (creados en los últimos 2 años) / Seguimiento a los PMI acordados en 2024</v>
          </cell>
          <cell r="I11" t="str">
            <v>EVALUACIÓN_CON_FINES_DE_MEJORAMIENTO.</v>
          </cell>
          <cell r="J11"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1" t="str">
            <v>CARLOS EDUARDO VARGAS LÓPEZ</v>
          </cell>
          <cell r="L11" t="str">
            <v>LUIS ALEJANDRO MARTÍNEZ PALACIOS</v>
          </cell>
          <cell r="M11">
            <v>45722</v>
          </cell>
          <cell r="N11">
            <v>45722</v>
          </cell>
          <cell r="O11">
            <v>45723</v>
          </cell>
          <cell r="P11" t="str">
            <v>Visitas de evaluación con fines de mejoramiento</v>
          </cell>
          <cell r="Q11" t="str">
            <v>20250306_ActaVisita_Colegio_Bilingue_Integral.pdf</v>
          </cell>
          <cell r="R11" t="str">
            <v xml:space="preserve">Se verificó la existencia del Manual de Convivencia, sin embargo, con base a la evaluación realizada 2024 hay componentes de normas que no se encuentran desarrollados </v>
          </cell>
          <cell r="S11" t="str">
            <v>Revisar su Manual y actualizarlo con la participación de los órganos e instancias correspondientes y presentarlo para su evaluación.</v>
          </cell>
          <cell r="T11" t="str">
            <v>Si</v>
          </cell>
          <cell r="U11" t="str">
            <v>Realizar evaluación del Manual de Convivencia 2025 y comunicar el resultado a la IE, en febrero de 2026.</v>
          </cell>
        </row>
        <row r="12">
          <cell r="A12">
            <v>1256</v>
          </cell>
          <cell r="B12">
            <v>1</v>
          </cell>
          <cell r="C12" t="str">
            <v>LOS MÁRTIRES</v>
          </cell>
          <cell r="D12" t="str">
            <v>PRIVADO</v>
          </cell>
          <cell r="E12" t="str">
            <v>EPBM</v>
          </cell>
          <cell r="F12" t="str">
            <v>COLEGIO_BILINGÜE_INTEGRAL</v>
          </cell>
          <cell r="G12" t="str">
            <v>COLEGIO BILINGÜE INTEGRAL</v>
          </cell>
          <cell r="H12" t="str">
            <v>Colegios Nuevos (creados en los últimos 2 años) / Seguimiento a los PMI acordados en 2024</v>
          </cell>
          <cell r="I12" t="str">
            <v>EVALUACIÓN_CON_FINES_DE_MEJORAMIENTO.</v>
          </cell>
          <cell r="J12" t="str">
            <v>Revisar la actualización, socialización e implementación del Sistema Institucional de Evaluación de Estudiantes - SIEE, en articulación con la actualización del PEI y la normatividad vigente.</v>
          </cell>
          <cell r="K12" t="str">
            <v>CARLOS EDUARDO VARGAS LÓPEZ</v>
          </cell>
          <cell r="L12" t="str">
            <v>LUIS ALEJANDRO MARTÍNEZ PALACIOS</v>
          </cell>
          <cell r="M12">
            <v>45722</v>
          </cell>
          <cell r="N12">
            <v>45722</v>
          </cell>
          <cell r="O12">
            <v>45723</v>
          </cell>
          <cell r="P12" t="str">
            <v>Visitas de evaluación con fines de seguimiento</v>
          </cell>
          <cell r="Q12" t="str">
            <v>20250306_ActaVisita_Colegio_Bilingue_Integral.pdf</v>
          </cell>
          <cell r="R12" t="str">
            <v xml:space="preserve">Se verificó la existencia del SIEE, sin embargo, con base a la evaluación realizada 2024 se requiere que se defina los procesos evaluativos, aprendizajes y de valoración promoción de los estudiantes del ciclo II de la educación inicial. </v>
          </cell>
          <cell r="S12" t="str">
            <v>Revisar el SIEE y actualizarlo con la participación de los órganos e instancias correspondientes y presentarlo para su evaluación.</v>
          </cell>
          <cell r="T12" t="str">
            <v>No</v>
          </cell>
          <cell r="U12" t="str">
            <v>Realizar evaluación del SIEE actualizado en febrero de 2026.</v>
          </cell>
        </row>
        <row r="13">
          <cell r="A13">
            <v>1257</v>
          </cell>
          <cell r="B13">
            <v>1</v>
          </cell>
          <cell r="C13" t="str">
            <v>LOS MÁRTIRES</v>
          </cell>
          <cell r="D13" t="str">
            <v>PRIVADO</v>
          </cell>
          <cell r="E13" t="str">
            <v>EPBM</v>
          </cell>
          <cell r="F13" t="str">
            <v>COLEGIO_BILINGÜE_INTEGRAL</v>
          </cell>
          <cell r="G13" t="str">
            <v>COLEGIO BILINGÜE INTEGRAL</v>
          </cell>
          <cell r="H13" t="str">
            <v>Colegios Nuevos (creados en los últimos 2 años) / Seguimiento a los PMI acordados en 2024</v>
          </cell>
          <cell r="I13" t="str">
            <v>EVALUACIÓN_CON_FINES_DE_MEJORAMIENTO.</v>
          </cell>
          <cell r="J13" t="str">
            <v>Verificar el funcionamiento del Gobierno Escolar e instancias de participación con base en la información sobre conformación reportada por la institución educativa.</v>
          </cell>
          <cell r="K13" t="str">
            <v>CARLOS EDUARDO VARGAS LÓPEZ</v>
          </cell>
          <cell r="L13" t="str">
            <v>LUIS ALEJANDRO MARTÍNEZ PALACIOS</v>
          </cell>
          <cell r="M13">
            <v>45722</v>
          </cell>
          <cell r="N13">
            <v>45722</v>
          </cell>
          <cell r="O13">
            <v>45723</v>
          </cell>
          <cell r="P13" t="str">
            <v>Visitas de evaluación con fines de seguimiento</v>
          </cell>
          <cell r="Q13" t="str">
            <v>20250306_ActaVisita_Colegio_Bilingue_Integral.pdf</v>
          </cell>
          <cell r="R13" t="str">
            <v>Se evidenció actas de gobiernos escolares y alguna instancias de la vigencia 2024</v>
          </cell>
          <cell r="S13" t="str">
            <v>Operativizar los gobiernos e instancias para la presente vigencia acorde a sus funciones.</v>
          </cell>
          <cell r="T13" t="str">
            <v>No</v>
          </cell>
          <cell r="U13" t="str">
            <v>Se verificará para la siguiente vigencia.</v>
          </cell>
        </row>
        <row r="14">
          <cell r="A14">
            <v>1258</v>
          </cell>
          <cell r="B14">
            <v>1</v>
          </cell>
          <cell r="C14" t="str">
            <v>LOS MÁRTIRES</v>
          </cell>
          <cell r="D14" t="str">
            <v>PRIVADO</v>
          </cell>
          <cell r="E14" t="str">
            <v>EPBM</v>
          </cell>
          <cell r="F14" t="str">
            <v>COLEGIO_BILINGÜE_INTEGRAL</v>
          </cell>
          <cell r="G14" t="str">
            <v>COLEGIO BILINGÜE INTEGRAL</v>
          </cell>
          <cell r="H14" t="str">
            <v>Colegios Nuevos (creados en los últimos 2 años) / Seguimiento a los PMI acordados en 2024</v>
          </cell>
          <cell r="I14" t="str">
            <v>EVALUACIÓN_CON_FINES_DE_MEJORAMIENTO.</v>
          </cell>
          <cell r="J14" t="str">
            <v>Revisar el calendario escolar, jornada escolar, la intensidad horaria mínima anual en cada nivel y las modificaciones que se realicen al mismo, de acuerdo con lo previsto en la normatividad vigente.</v>
          </cell>
          <cell r="K14" t="str">
            <v>CARLOS EDUARDO VARGAS LÓPEZ</v>
          </cell>
          <cell r="L14" t="str">
            <v>LUIS ALEJANDRO MARTÍNEZ PALACIOS</v>
          </cell>
          <cell r="M14">
            <v>45722</v>
          </cell>
          <cell r="N14">
            <v>45722</v>
          </cell>
          <cell r="O14">
            <v>45723</v>
          </cell>
          <cell r="P14" t="str">
            <v>Visitas de evaluación con fines de seguimiento</v>
          </cell>
          <cell r="Q14" t="str">
            <v>20250306_ActaVisita_Colegio_Bilingue_Integral.pdf</v>
          </cell>
          <cell r="R14" t="str">
            <v>Se verificó el cumplimiento del mínimo de horas anuales lectivas para los niveles de preescolar, básica y media</v>
          </cell>
          <cell r="S14" t="str">
            <v>Continuar con el desarrollo del calendario garantizando las 1200 horas anuales en los grados y niveles ofrecidos</v>
          </cell>
          <cell r="T14" t="str">
            <v>No</v>
          </cell>
          <cell r="U14" t="str">
            <v>Verificación para la próxima vigencia del Calendario establecido o en caso particular si se presenta queja relacionada.</v>
          </cell>
        </row>
        <row r="15">
          <cell r="A15">
            <v>1259</v>
          </cell>
          <cell r="B15">
            <v>1</v>
          </cell>
          <cell r="C15" t="str">
            <v>LOS MÁRTIRES</v>
          </cell>
          <cell r="D15" t="str">
            <v>PRIVADO</v>
          </cell>
          <cell r="E15" t="str">
            <v>EPBM</v>
          </cell>
          <cell r="F15" t="str">
            <v>COLEGIO_BILINGÜE_INTEGRAL</v>
          </cell>
          <cell r="G15" t="str">
            <v>COLEGIO BILINGÜE INTEGRAL</v>
          </cell>
          <cell r="H15" t="str">
            <v>Colegios Nuevos (creados en los últimos 2 años) / Seguimiento a los PMI acordados en 2024</v>
          </cell>
          <cell r="I15" t="str">
            <v>EVALUACIÓN_CON_FINES_DE_MEJORAMIENTO.</v>
          </cell>
          <cell r="J15" t="str">
            <v>Verificar las condiciones en cuanto a: la estructura administrativa, condiciones de la planta física y medios educativos adecuados.</v>
          </cell>
          <cell r="K15" t="str">
            <v>CARLOS EDUARDO VARGAS LÓPEZ</v>
          </cell>
          <cell r="L15" t="str">
            <v>LUIS ALEJANDRO MARTÍNEZ PALACIOS</v>
          </cell>
          <cell r="M15">
            <v>45722</v>
          </cell>
          <cell r="N15">
            <v>45722</v>
          </cell>
          <cell r="O15">
            <v>45723</v>
          </cell>
          <cell r="P15" t="str">
            <v>Visitas de evaluación con fines de seguimiento</v>
          </cell>
          <cell r="Q15" t="str">
            <v>20250306_ActaVisita_Colegio_Bilingue_Integral.pdf</v>
          </cell>
          <cell r="R15" t="str">
            <v>Se observó una planta física y medios educativos acordes con PEI. Se verificaron las tres plantas físicas de la institución educativa.</v>
          </cell>
          <cell r="S15" t="str">
            <v xml:space="preserve">Lo reportado en EVI corresponde, a la realidad institucional respecto la planta física, no requiere convenio de ambientes compartidos.
</v>
          </cell>
          <cell r="T15" t="str">
            <v>No</v>
          </cell>
          <cell r="U15" t="str">
            <v>A demanda de acuerdo con las peticiones de la ciudadanía o de los entes de control</v>
          </cell>
        </row>
        <row r="16">
          <cell r="A16">
            <v>1260</v>
          </cell>
          <cell r="B16">
            <v>2</v>
          </cell>
          <cell r="C16" t="str">
            <v>LOS MÁRTIRES</v>
          </cell>
          <cell r="D16" t="str">
            <v>OFICIAL</v>
          </cell>
          <cell r="E16" t="str">
            <v>EPBM</v>
          </cell>
          <cell r="F16" t="str">
            <v>COLEGIO_REPUBLICA_BOLIVARIANA_DE_VENEZUELA_IED</v>
          </cell>
          <cell r="G16" t="str">
            <v>REPUBLICA BOLIVARIANA DE VENEZUELA</v>
          </cell>
          <cell r="H16" t="str">
            <v>Autoevaluación Institucional y Pruebas SABER 11</v>
          </cell>
          <cell r="I16" t="str">
            <v>SEGUIMIENTO_Y_SUPERVISIÓN.</v>
          </cell>
          <cell r="J16" t="str">
            <v xml:space="preserve">Verificar la implementación por parte de los colegios, de acciones realizadas para la prevención y atención de las situaciones de convivencia en el entorno escolar, según lo establecido en la Directiva 01 de 2022 del MEN. </v>
          </cell>
          <cell r="K16" t="str">
            <v>CARLOS EDUARDO VARGAS LÓPEZ</v>
          </cell>
          <cell r="L16" t="str">
            <v>LUIS ALEJANDRO MARTÍNEZ PALACIOS</v>
          </cell>
          <cell r="M16">
            <v>45735</v>
          </cell>
          <cell r="N16">
            <v>45735</v>
          </cell>
          <cell r="O16">
            <v>45736</v>
          </cell>
          <cell r="P16" t="str">
            <v>Visitas de evaluación con fines de seguimiento</v>
          </cell>
          <cell r="Q16" t="str">
            <v>V.3 Formato visita COL_REP BOL VZLA I.E.D..pdf</v>
          </cell>
          <cell r="R16" t="str">
            <v>En la entrevista con el rector y la coordinadora, resaltan los procesos convivenciales y restaurativos que se desarrollan al interior de la institución educativa.
Se desarrolla en el Manual de Convivencia</v>
          </cell>
          <cell r="S16" t="str">
            <v>Dar aplicación a la ruta de atención integral y para las situaciones tipo II yIII a los protocolos definidos por el Comité Distrital de Convivencia Escolar que actualmente estan en su versión 5.0</v>
          </cell>
          <cell r="T16" t="str">
            <v>No</v>
          </cell>
          <cell r="U16" t="str">
            <v>A demanda de acuerdo con las peticiones de la ciudadanía o de los entes de control</v>
          </cell>
        </row>
        <row r="17">
          <cell r="A17">
            <v>1261</v>
          </cell>
          <cell r="B17">
            <v>2</v>
          </cell>
          <cell r="C17" t="str">
            <v>LOS MÁRTIRES</v>
          </cell>
          <cell r="D17" t="str">
            <v>OFICIAL</v>
          </cell>
          <cell r="E17" t="str">
            <v>EPBM</v>
          </cell>
          <cell r="F17" t="str">
            <v>COLEGIO_REPUBLICA_BOLIVARIANA_DE_VENEZUELA_IED</v>
          </cell>
          <cell r="G17" t="str">
            <v>REPUBLICA BOLIVARIANA DE VENEZUELA</v>
          </cell>
          <cell r="H17" t="str">
            <v>Autoevaluación Institucional y Pruebas SABER 11</v>
          </cell>
          <cell r="I17" t="str">
            <v>SEGUIMIENTO_Y_SUPERVISIÓN.</v>
          </cell>
          <cell r="J1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17" t="str">
            <v>CARLOS EDUARDO VARGAS LÓPEZ</v>
          </cell>
          <cell r="L17" t="str">
            <v>LUIS ALEJANDRO MARTÍNEZ PALACIOS</v>
          </cell>
          <cell r="M17">
            <v>45735</v>
          </cell>
          <cell r="N17">
            <v>45735</v>
          </cell>
          <cell r="O17">
            <v>45736</v>
          </cell>
          <cell r="P17" t="str">
            <v>Visitas de evaluación con fines de seguimiento</v>
          </cell>
          <cell r="Q17" t="str">
            <v>V.3 Formato visita COL_REP BOL VZLA I.E.D..pdf</v>
          </cell>
          <cell r="R17" t="str">
            <v>Se verificó la existencia de los PIAR para 132 estudiantes caracterizados en el SIMAT. Se llevan de manera digital.</v>
          </cell>
          <cell r="S17" t="str">
            <v>La institución requiere que el manejo del "Drive" se haga desde una cuenta institucional, actualmente se lleva en una cuenta personal de Google drive.
Realizar seguimiento a los PIAR y los ajuste que se requieran</v>
          </cell>
          <cell r="T17" t="str">
            <v>No</v>
          </cell>
          <cell r="U17" t="str">
            <v>A demanda de acuerdo con las peticiones de la ciudadanía o de los entes de control</v>
          </cell>
        </row>
        <row r="18">
          <cell r="A18">
            <v>1262</v>
          </cell>
          <cell r="B18">
            <v>2</v>
          </cell>
          <cell r="C18" t="str">
            <v>LOS MÁRTIRES</v>
          </cell>
          <cell r="D18" t="str">
            <v>OFICIAL</v>
          </cell>
          <cell r="E18" t="str">
            <v>EPBM</v>
          </cell>
          <cell r="F18" t="str">
            <v>COLEGIO_REPUBLICA_BOLIVARIANA_DE_VENEZUELA_IED</v>
          </cell>
          <cell r="G18" t="str">
            <v>REPUBLICA BOLIVARIANA DE VENEZUELA</v>
          </cell>
          <cell r="H18" t="str">
            <v>Autoevaluación Institucional y Pruebas SABER 11</v>
          </cell>
          <cell r="I18" t="str">
            <v>SEGUIMIENTO_Y_SUPERVISIÓN.</v>
          </cell>
          <cell r="J18" t="str">
            <v>Proponer estrategias en la formulación, verificar su elaboración y realizar seguimiento semestral al desarrollo de  las acciones establecidas en los planes de mejoramiento por pruebas SABER 11 de los establecimientos de educación formal.</v>
          </cell>
          <cell r="K18" t="str">
            <v>CARLOS EDUARDO VARGAS LÓPEZ</v>
          </cell>
          <cell r="L18" t="str">
            <v>LUIS ALEJANDRO MARTÍNEZ PALACIOS</v>
          </cell>
          <cell r="M18">
            <v>45735</v>
          </cell>
          <cell r="N18">
            <v>45735</v>
          </cell>
          <cell r="O18">
            <v>45736</v>
          </cell>
          <cell r="P18" t="str">
            <v>Visitas de evaluación con fines de seguimiento</v>
          </cell>
          <cell r="Q18" t="str">
            <v>V.3 Formato visita COL_REP BOL VZLA I.E.D..pdf</v>
          </cell>
          <cell r="R18" t="str">
            <v>Según los resultados de pruebas saber 11 de los últimos cinco años (2020-2024), la institución educativa se ha clasificado en la categoría C</v>
          </cell>
          <cell r="S18" t="str">
            <v>Aunque para la IED, no es una prioridad los resultados de las pruebas Saber 11, se les solicita generar un informe de análisis interno y el plan de mejoramiento</v>
          </cell>
          <cell r="T18" t="str">
            <v>Si</v>
          </cell>
          <cell r="U18" t="str">
            <v>Verificación en próxima visita administrativa y seguimiento a la presentación del informe de análisis de las pruebas saber 11 y seguimiento al plan de mejoramiento para la siguiente vigencia.</v>
          </cell>
        </row>
        <row r="19">
          <cell r="A19">
            <v>1263</v>
          </cell>
          <cell r="B19">
            <v>2</v>
          </cell>
          <cell r="C19" t="str">
            <v>LOS MÁRTIRES</v>
          </cell>
          <cell r="D19" t="str">
            <v>OFICIAL</v>
          </cell>
          <cell r="E19" t="str">
            <v>EPBM</v>
          </cell>
          <cell r="F19" t="str">
            <v>COLEGIO_REPUBLICA_BOLIVARIANA_DE_VENEZUELA_IED</v>
          </cell>
          <cell r="G19" t="str">
            <v>REPUBLICA BOLIVARIANA DE VENEZUELA</v>
          </cell>
          <cell r="H19" t="str">
            <v>Autoevaluación Institucional y Pruebas SABER 11</v>
          </cell>
          <cell r="I19" t="str">
            <v>EVALUACIÓN_CON_FINES_DE_MEJORAMIENTO.</v>
          </cell>
          <cell r="J1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19" t="str">
            <v>CARLOS EDUARDO VARGAS LÓPEZ</v>
          </cell>
          <cell r="L19" t="str">
            <v>LUIS ALEJANDRO MARTÍNEZ PALACIOS</v>
          </cell>
          <cell r="M19">
            <v>45735</v>
          </cell>
          <cell r="N19">
            <v>45735</v>
          </cell>
          <cell r="O19">
            <v>45736</v>
          </cell>
          <cell r="P19" t="str">
            <v>Visitas de evaluación con fines de seguimiento</v>
          </cell>
          <cell r="Q19" t="str">
            <v>V.3 Formato visita COL_REP BOL VZLA I.E.D..pdf</v>
          </cell>
          <cell r="R19" t="str">
            <v>Se realiza revisión general del Manual de Convivencia. Informan que están en proceso de actualización</v>
          </cell>
          <cell r="S19" t="str">
            <v>Entregar copia del Manual de Convivencia actualizado</v>
          </cell>
          <cell r="T19" t="str">
            <v>No</v>
          </cell>
          <cell r="U19" t="str">
            <v>Se realizó visita el 12 de septiembre. La rectora informó que estan en proceso de actualización del PEI, del Manual de Convivencia y del SIEE, ya que están en proceso de actualización de RCO.</v>
          </cell>
        </row>
        <row r="20">
          <cell r="A20">
            <v>1264</v>
          </cell>
          <cell r="B20">
            <v>2</v>
          </cell>
          <cell r="C20" t="str">
            <v>LOS MÁRTIRES</v>
          </cell>
          <cell r="D20" t="str">
            <v>OFICIAL</v>
          </cell>
          <cell r="E20" t="str">
            <v>EPBM</v>
          </cell>
          <cell r="F20" t="str">
            <v>COLEGIO_REPUBLICA_BOLIVARIANA_DE_VENEZUELA_IED</v>
          </cell>
          <cell r="G20" t="str">
            <v>REPUBLICA BOLIVARIANA DE VENEZUELA</v>
          </cell>
          <cell r="H20" t="str">
            <v>Autoevaluación Institucional y Pruebas SABER 11</v>
          </cell>
          <cell r="I20" t="str">
            <v>EVALUACIÓN_CON_FINES_DE_MEJORAMIENTO.</v>
          </cell>
          <cell r="J20" t="str">
            <v>Revisar la actualización, socialización e implementación del Sistema Institucional de Evaluación de Estudiantes - SIEE, en articulación con la actualización del PEI y la normatividad vigente.</v>
          </cell>
          <cell r="K20" t="str">
            <v>CARLOS EDUARDO VARGAS LÓPEZ</v>
          </cell>
          <cell r="L20" t="str">
            <v>LUIS ALEJANDRO MARTÍNEZ PALACIOS</v>
          </cell>
          <cell r="M20">
            <v>45735</v>
          </cell>
          <cell r="N20">
            <v>45735</v>
          </cell>
          <cell r="O20">
            <v>45736</v>
          </cell>
          <cell r="P20" t="str">
            <v>Visitas de evaluación con fines de seguimiento</v>
          </cell>
          <cell r="Q20" t="str">
            <v>V.3 Formato visita COL_REP BOL VZLA I.E.D..pdf</v>
          </cell>
          <cell r="R20" t="str">
            <v>El SIEE se encuentra incluido en el Manual de Convivencia donde se evidencia la necesidad de incluir los procesos de primera infancia.</v>
          </cell>
          <cell r="S20" t="str">
            <v>Se solicita a la institución educativa generar un apartado específico de evaluación para los procesos de primera infancia de acuerdo a la normatividad vigente.</v>
          </cell>
          <cell r="T20" t="str">
            <v>Si</v>
          </cell>
          <cell r="U20" t="str">
            <v>Se realizó visita el 12 de septiembre. La rectora informó que estan en proceso de actualización del PEI, del Manual de Convivencia y del SIEE, ya que están en proceso de actualización de RCO</v>
          </cell>
        </row>
        <row r="21">
          <cell r="A21">
            <v>1265</v>
          </cell>
          <cell r="B21">
            <v>2</v>
          </cell>
          <cell r="C21" t="str">
            <v>LOS MÁRTIRES</v>
          </cell>
          <cell r="D21" t="str">
            <v>OFICIAL</v>
          </cell>
          <cell r="E21" t="str">
            <v>EPBM</v>
          </cell>
          <cell r="F21" t="str">
            <v>COLEGIO_REPUBLICA_BOLIVARIANA_DE_VENEZUELA_IED</v>
          </cell>
          <cell r="G21" t="str">
            <v>REPUBLICA BOLIVARIANA DE VENEZUELA</v>
          </cell>
          <cell r="H21" t="str">
            <v>Autoevaluación Institucional y Pruebas SABER 11</v>
          </cell>
          <cell r="I21" t="str">
            <v>EVALUACIÓN_CON_FINES_DE_MEJORAMIENTO.</v>
          </cell>
          <cell r="J21" t="str">
            <v>Verificar el funcionamiento del Gobierno Escolar e instancias de participación con base en la información sobre conformación reportada por la institución educativa.</v>
          </cell>
          <cell r="K21" t="str">
            <v>CARLOS EDUARDO VARGAS LÓPEZ</v>
          </cell>
          <cell r="L21" t="str">
            <v>LUIS ALEJANDRO MARTÍNEZ PALACIOS</v>
          </cell>
          <cell r="M21">
            <v>45735</v>
          </cell>
          <cell r="N21">
            <v>45735</v>
          </cell>
          <cell r="O21">
            <v>45736</v>
          </cell>
          <cell r="P21" t="str">
            <v>Visitas de evaluación con fines de seguimiento</v>
          </cell>
          <cell r="Q21" t="str">
            <v>V.3 Formato visita COL_REP BOL VZLA I.E.D..pdf</v>
          </cell>
          <cell r="R21" t="str">
            <v>Se revisan actas del año lectivo 2024 de los diferentes espacios de gobierno escolar y de otras instancias de participación</v>
          </cell>
          <cell r="S21" t="str">
            <v>Se observa la operatividad del gobierno escolar</v>
          </cell>
          <cell r="T21" t="str">
            <v>No</v>
          </cell>
          <cell r="U21" t="str">
            <v>Verificación de la conformación del gobierno escolar 2026, según calendario establecido por la normatividad vigente</v>
          </cell>
        </row>
        <row r="22">
          <cell r="A22">
            <v>1266</v>
          </cell>
          <cell r="B22">
            <v>2</v>
          </cell>
          <cell r="C22" t="str">
            <v>LOS MÁRTIRES</v>
          </cell>
          <cell r="D22" t="str">
            <v>OFICIAL</v>
          </cell>
          <cell r="E22" t="str">
            <v>EPBM</v>
          </cell>
          <cell r="F22" t="str">
            <v>COLEGIO_REPUBLICA_BOLIVARIANA_DE_VENEZUELA_IED</v>
          </cell>
          <cell r="G22" t="str">
            <v>REPUBLICA BOLIVARIANA DE VENEZUELA</v>
          </cell>
          <cell r="H22" t="str">
            <v>Autoevaluación Institucional y Pruebas SABER 11</v>
          </cell>
          <cell r="I22" t="str">
            <v>EVALUACIÓN_CON_FINES_DE_MEJORAMIENTO.</v>
          </cell>
          <cell r="J22" t="str">
            <v>Verificar las condiciones en cuanto a: la estructura administrativa, condiciones de la planta física y medios educativos adecuados.</v>
          </cell>
          <cell r="K22" t="str">
            <v>CARLOS EDUARDO VARGAS LÓPEZ</v>
          </cell>
          <cell r="L22" t="str">
            <v>LUIS ALEJANDRO MARTÍNEZ PALACIOS</v>
          </cell>
          <cell r="M22">
            <v>45735</v>
          </cell>
          <cell r="N22">
            <v>45735</v>
          </cell>
          <cell r="O22">
            <v>45736</v>
          </cell>
          <cell r="P22" t="str">
            <v>Visitas de evaluación con fines de seguimiento</v>
          </cell>
          <cell r="Q22" t="str">
            <v>V.3 Formato visita COL_REP BOL VZLA I.E.D..pdf</v>
          </cell>
          <cell r="R22" t="str">
            <v>Se determina el cumplimiento de ítems como iluminación, ventilación cruzada, distancias reglamentarias entre puestos de trabajo del personal docente, directivo docente y el correspondiente a aulas y laboratorios estudiantiles.</v>
          </cell>
          <cell r="S22" t="str">
            <v>Se advierte el cumplimiento  de condiciones de la planta física, medios educativos adecuados, estructura administrativa y docente.</v>
          </cell>
          <cell r="T22" t="str">
            <v>No</v>
          </cell>
          <cell r="U22" t="str">
            <v>A demanda de acuerdo con las peticiones de la ciudadanía o de los entes de control</v>
          </cell>
        </row>
        <row r="23">
          <cell r="A23">
            <v>1267</v>
          </cell>
          <cell r="B23">
            <v>3</v>
          </cell>
          <cell r="C23" t="str">
            <v>LOS MÁRTIRES</v>
          </cell>
          <cell r="D23" t="str">
            <v>PRIVADO_IETDH</v>
          </cell>
          <cell r="E23" t="str">
            <v>IETDH</v>
          </cell>
          <cell r="F23" t="str">
            <v>CENTRO_DE_ENSEÑANZA_AUTOMOVILISTICA_W._CAR</v>
          </cell>
          <cell r="G23" t="str">
            <v>CENTRO DE ENSEÑANZA AUTOMOVILISTICA W. CAR</v>
          </cell>
          <cell r="H23" t="str">
            <v>IETDH priorizadas por cada ELIV (seguimiento a PMI, que no se hayan visitado en los últimos 3 años)</v>
          </cell>
          <cell r="I23" t="str">
            <v>SEGUIMIENTO_Y_SUPERVISIÓN.</v>
          </cell>
          <cell r="J2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23" t="str">
            <v>LUIS ALEJANDRO MARTÍNEZ PALACIOS</v>
          </cell>
          <cell r="L23" t="str">
            <v>CARLOS EDUARDO VARGAS LÓPEZ</v>
          </cell>
          <cell r="M23">
            <v>45750</v>
          </cell>
          <cell r="N23">
            <v>45904</v>
          </cell>
          <cell r="O23">
            <v>45904</v>
          </cell>
          <cell r="P23" t="str">
            <v>Visitas de evaluación con fines de seguimiento</v>
          </cell>
          <cell r="Q23" t="str">
            <v>Visita_CEA_WCAR.pdf</v>
          </cell>
          <cell r="R23" t="str">
            <v>Se verifica los matriculados y certificados en la plataforma SIET. Se verifica que los costos de los cursos se encuentran dentro de los rangos autorizados por la normatividad vigente</v>
          </cell>
          <cell r="S23" t="str">
            <v>Continuar con el reporte en SIET de la información sobre el desarrollo de los programas.</v>
          </cell>
          <cell r="T23" t="str">
            <v>No</v>
          </cell>
          <cell r="U23" t="str">
            <v>Verificación en próxima visita administrativa según programación POAIV del 2026 o en para la renovación de los programas</v>
          </cell>
        </row>
        <row r="24">
          <cell r="A24">
            <v>1268</v>
          </cell>
          <cell r="B24">
            <v>3</v>
          </cell>
          <cell r="C24" t="str">
            <v>LOS MÁRTIRES</v>
          </cell>
          <cell r="D24" t="str">
            <v>PRIVADO_IETDH</v>
          </cell>
          <cell r="E24" t="str">
            <v>IETDH</v>
          </cell>
          <cell r="F24" t="str">
            <v>CENTRO_DE_ENSEÑANZA_AUTOMOVILISTICA_W._CAR</v>
          </cell>
          <cell r="G24" t="str">
            <v>CENTRO DE ENSEÑANZA AUTOMOVILISTICA W. CAR</v>
          </cell>
          <cell r="H24" t="str">
            <v>IETDH priorizadas por cada ELIV (seguimiento a PMI, que no se hayan visitado en los últimos 3 años)</v>
          </cell>
          <cell r="I24" t="str">
            <v>SEGUIMIENTO_Y_SUPERVISIÓN.</v>
          </cell>
          <cell r="J24" t="str">
            <v>Adelantar visitas para verificar que el desarrollo de los programas de ETDH, esté de acuerdo con lo autorizado y la normatividad vigente, para propender por su pertinencia, legalidad y actualización constante.</v>
          </cell>
          <cell r="K24" t="str">
            <v>LUIS ALEJANDRO MARTÍNEZ PALACIOS</v>
          </cell>
          <cell r="L24" t="str">
            <v>CARLOS EDUARDO VARGAS LÓPEZ</v>
          </cell>
          <cell r="M24">
            <v>45750</v>
          </cell>
          <cell r="N24">
            <v>45904</v>
          </cell>
          <cell r="O24">
            <v>45904</v>
          </cell>
          <cell r="P24" t="str">
            <v>Visitas de evaluación con fines de seguimiento</v>
          </cell>
          <cell r="Q24" t="str">
            <v>Visita_CEA_WCAR.pdf</v>
          </cell>
          <cell r="R24" t="str">
            <v>Presentan PEl el cual se actualizó para la renovación de los programas en el año 2022. Los programas están de acuerdo con Resolución 20223040009425 del 22 de febrero de 2022. Anexo 1. Contenidos curriculares para los cursos de formación de conductores e instructores que imparten los Centros de Enseñanza Automovilística</v>
          </cell>
          <cell r="S24" t="str">
            <v>Continuar con el desarrollo de los programas conforme la actualización realizada</v>
          </cell>
          <cell r="T24" t="str">
            <v>No</v>
          </cell>
          <cell r="U24" t="str">
            <v>Verificación en próxima visita administrativa según programación POAIV del 2026 o para la renovación de los programas</v>
          </cell>
        </row>
        <row r="25">
          <cell r="A25">
            <v>1269</v>
          </cell>
          <cell r="B25">
            <v>3</v>
          </cell>
          <cell r="C25" t="str">
            <v>LOS MÁRTIRES</v>
          </cell>
          <cell r="D25" t="str">
            <v>PRIVADO_IETDH</v>
          </cell>
          <cell r="E25" t="str">
            <v>IETDH</v>
          </cell>
          <cell r="F25" t="str">
            <v>CENTRO_DE_ENSEÑANZA_AUTOMOVILISTICA_W._CAR</v>
          </cell>
          <cell r="G25" t="str">
            <v>CENTRO DE ENSEÑANZA AUTOMOVILISTICA W. CAR</v>
          </cell>
          <cell r="H25" t="str">
            <v>IETDH priorizadas por cada ELIV (seguimiento a PMI, que no se hayan visitado en los últimos 3 años)</v>
          </cell>
          <cell r="I25" t="str">
            <v>EVALUACIÓN_CON_FINES_DE_MEJORAMIENTO.</v>
          </cell>
          <cell r="J25" t="str">
            <v>Verificar las condiciones en cuanto a: la estructura administrativa, condiciones de la planta física y medios educativos adecuados.</v>
          </cell>
          <cell r="K25" t="str">
            <v>LUIS ALEJANDRO MARTÍNEZ PALACIOS</v>
          </cell>
          <cell r="L25" t="str">
            <v>CARLOS EDUARDO VARGAS LÓPEZ</v>
          </cell>
          <cell r="M25">
            <v>45750</v>
          </cell>
          <cell r="N25">
            <v>45904</v>
          </cell>
          <cell r="O25">
            <v>45904</v>
          </cell>
          <cell r="P25" t="str">
            <v>Visitas de evaluación con fines de seguimiento</v>
          </cell>
          <cell r="Q25" t="str">
            <v>Visita_CEA_WCAR.pdf</v>
          </cell>
          <cell r="R25" t="str">
            <v>Se cuenta con las condiciones favorables de: estructura administrativa y de personal.
Se cuenta con condiciones de la planta física y medios educativos adecuados.</v>
          </cell>
          <cell r="S25" t="str">
            <v>Continuar con el mantenimieto de la infraestructura y dotación para la adecuada prestación del servicio educativo</v>
          </cell>
          <cell r="T25" t="str">
            <v>No</v>
          </cell>
          <cell r="U25" t="str">
            <v>Verificación en próxima visita administrativa según programación POAIV del 2026 o en para la renovación de los programas</v>
          </cell>
        </row>
        <row r="26">
          <cell r="A26">
            <v>1270</v>
          </cell>
          <cell r="B26">
            <v>4</v>
          </cell>
          <cell r="C26" t="str">
            <v>LOS MÁRTIRES</v>
          </cell>
          <cell r="D26" t="str">
            <v>PRIVADO_IETDH</v>
          </cell>
          <cell r="E26" t="str">
            <v>IETDH</v>
          </cell>
          <cell r="F26" t="str">
            <v>CENTRO_DE_CAPACITACIÓN_EN_ESTÉTICA_FACIAL_Y_CORPORAL_CORPOESTHETIC</v>
          </cell>
          <cell r="G26" t="str">
            <v>CENTRO DE CAPACITACIÓN EN ESTÉTICA FACIAL Y CORPORAL CORPOESTHETIC</v>
          </cell>
          <cell r="H26" t="str">
            <v>IETDH priorizadas por cada ELIV (seguimiento a PMI, que no se hayan visitado en los últimos 3 años)</v>
          </cell>
          <cell r="I26" t="str">
            <v>SEGUIMIENTO_Y_SUPERVISIÓN.</v>
          </cell>
          <cell r="J26"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26" t="str">
            <v>LUIS ALEJANDRO MARTÍNEZ PALACIOS</v>
          </cell>
          <cell r="L26" t="str">
            <v>CARLOS EDUARDO VARGAS LÓPEZ</v>
          </cell>
          <cell r="M26">
            <v>45758</v>
          </cell>
          <cell r="N26">
            <v>45758</v>
          </cell>
          <cell r="O26">
            <v>45758</v>
          </cell>
          <cell r="P26" t="str">
            <v>Visitas de evaluación con fines de seguimiento</v>
          </cell>
          <cell r="Q26" t="str">
            <v>20250411 IETDH_Corphoesthetic.pdf</v>
          </cell>
          <cell r="R26" t="str">
            <v>Cumplen con la información requerida por el SIET en referencia a matriculados y certificados. El incremento realizado en 2025 esta ajustado a la normatividad anual</v>
          </cell>
          <cell r="S26" t="str">
            <v>Mantener actualizado el SIET respecto de inscritos, matriculados y certificados</v>
          </cell>
          <cell r="T26" t="str">
            <v>No</v>
          </cell>
          <cell r="U26" t="str">
            <v>A demanda y de acuerdo con los requerimientos que se reciban de la ciudadanía u organos de control</v>
          </cell>
        </row>
        <row r="27">
          <cell r="A27">
            <v>1271</v>
          </cell>
          <cell r="B27">
            <v>4</v>
          </cell>
          <cell r="C27" t="str">
            <v>LOS MÁRTIRES</v>
          </cell>
          <cell r="D27" t="str">
            <v>PRIVADO_IETDH</v>
          </cell>
          <cell r="E27" t="str">
            <v>IETDH</v>
          </cell>
          <cell r="F27" t="str">
            <v>CENTRO_DE_CAPACITACIÓN_EN_ESTÉTICA_FACIAL_Y_CORPORAL_CORPOESTHETIC</v>
          </cell>
          <cell r="G27" t="str">
            <v>CENTRO DE CAPACITACIÓN EN ESTÉTICA FACIAL Y CORPORAL CORPOESTHETIC</v>
          </cell>
          <cell r="H27" t="str">
            <v>IETDH priorizadas por cada ELIV (seguimiento a PMI, que no se hayan visitado en los últimos 3 años)</v>
          </cell>
          <cell r="I27" t="str">
            <v>SEGUIMIENTO_Y_SUPERVISIÓN.</v>
          </cell>
          <cell r="J27" t="str">
            <v>Adelantar visitas para verificar que el desarrollo de los programas de ETDH, esté de acuerdo con lo autorizado y la normatividad vigente, para propender por su pertinencia, legalidad y actualización constante.</v>
          </cell>
          <cell r="K27" t="str">
            <v>LUIS ALEJANDRO MARTÍNEZ PALACIOS</v>
          </cell>
          <cell r="L27" t="str">
            <v>CARLOS EDUARDO VARGAS LÓPEZ</v>
          </cell>
          <cell r="M27">
            <v>45758</v>
          </cell>
          <cell r="N27">
            <v>45758</v>
          </cell>
          <cell r="O27">
            <v>45758</v>
          </cell>
          <cell r="P27" t="str">
            <v>Visitas de evaluación con fines de seguimiento</v>
          </cell>
          <cell r="Q27" t="str">
            <v>20250411 IETDH_Corphoesthetic.pdf</v>
          </cell>
          <cell r="R27" t="str">
            <v>La IETDH tiene un programa técnico laboral que se desarrolla de acuerdo con lo aprobado. Cuenta con los espacios adecuados y se desarrolla el programa acorde con las competencias laborales aprobadas</v>
          </cell>
          <cell r="S27" t="str">
            <v>Continuar el desarrollo del programa bajo estas condiciones</v>
          </cell>
          <cell r="T27" t="str">
            <v>No</v>
          </cell>
          <cell r="U27" t="str">
            <v>A demanda y de acuerdo con los requerimientos que se reciban de la ciudadanía u organos de control</v>
          </cell>
        </row>
        <row r="28">
          <cell r="A28">
            <v>1272</v>
          </cell>
          <cell r="B28">
            <v>4</v>
          </cell>
          <cell r="C28" t="str">
            <v>LOS MÁRTIRES</v>
          </cell>
          <cell r="D28" t="str">
            <v>PRIVADO_IETDH</v>
          </cell>
          <cell r="E28" t="str">
            <v>IETDH</v>
          </cell>
          <cell r="F28" t="str">
            <v>CENTRO_DE_CAPACITACIÓN_EN_ESTÉTICA_FACIAL_Y_CORPORAL_CORPOESTHETIC</v>
          </cell>
          <cell r="G28" t="str">
            <v>CENTRO DE CAPACITACIÓN EN ESTÉTICA FACIAL Y CORPORAL CORPOESTHETIC</v>
          </cell>
          <cell r="H28" t="str">
            <v>IETDH priorizadas por cada ELIV (seguimiento a PMI, que no se hayan visitado en los últimos 3 años)</v>
          </cell>
          <cell r="I28" t="str">
            <v>EVALUACIÓN_CON_FINES_DE_MEJORAMIENTO.</v>
          </cell>
          <cell r="J28" t="str">
            <v>Verificar las condiciones en cuanto a: la estructura administrativa, condiciones de la planta física y medios educativos adecuados.</v>
          </cell>
          <cell r="K28" t="str">
            <v>LUIS ALEJANDRO MARTÍNEZ PALACIOS</v>
          </cell>
          <cell r="L28" t="str">
            <v>CARLOS EDUARDO VARGAS LÓPEZ</v>
          </cell>
          <cell r="M28">
            <v>45758</v>
          </cell>
          <cell r="N28">
            <v>45758</v>
          </cell>
          <cell r="O28">
            <v>45758</v>
          </cell>
          <cell r="P28" t="str">
            <v>Visitas de evaluación con fines de seguimiento</v>
          </cell>
          <cell r="Q28" t="str">
            <v>20250411 IETDH_Corphoesthetic.pdf</v>
          </cell>
          <cell r="R28" t="str">
            <v>Se cuenta con condiciones favorables de:
estructura administrativa y de personal, condiciones de la planta física y medios educativos adecuados. No obstante, se encuentra que el PGRC  esta desactualizado,no cuentan con reglamento estudiantil ajustado al debido proceso, no esta formalizada la autoevaluacion institucional</v>
          </cell>
          <cell r="S28" t="str">
            <v>La IETDH debe formalizar y fortalecer los procesos de autoevaluación institucional</v>
          </cell>
          <cell r="T28" t="str">
            <v>Si</v>
          </cell>
          <cell r="U28" t="str">
            <v>Se realizó visita de seguimiento el 15 de septiembre y se verificó avance de los procesos propuestos en el plan de mejoramiento</v>
          </cell>
        </row>
        <row r="29">
          <cell r="A29">
            <v>1273</v>
          </cell>
          <cell r="B29">
            <v>5</v>
          </cell>
          <cell r="C29" t="str">
            <v>LOS MÁRTIRES</v>
          </cell>
          <cell r="D29" t="str">
            <v>PRIVADO</v>
          </cell>
          <cell r="E29" t="str">
            <v>EPBM</v>
          </cell>
          <cell r="F29" t="str">
            <v>COLEGIO_SAN_JOSE</v>
          </cell>
          <cell r="G29" t="str">
            <v>COLEGIO SAN JOSE</v>
          </cell>
          <cell r="H29" t="str">
            <v>Autoevaluación Institucional y Pruebas SABER 11</v>
          </cell>
          <cell r="I29" t="str">
            <v>SEGUIMIENTO_Y_SUPERVISIÓN.</v>
          </cell>
          <cell r="J29" t="str">
            <v>Realizar visitas para verificar la información registrada sobre la autoevaluación institucional en el aplicativo EVI, a los establecimientos de educación formal no oficial.</v>
          </cell>
          <cell r="K29" t="str">
            <v>LUIS ALEJANDRO MARTÍNEZ PALACIOS</v>
          </cell>
          <cell r="L29" t="str">
            <v>CARLOS EDUARDO VARGAS LÓPEZ</v>
          </cell>
          <cell r="M29">
            <v>45797</v>
          </cell>
          <cell r="N29">
            <v>45798</v>
          </cell>
          <cell r="O29">
            <v>45798</v>
          </cell>
          <cell r="P29" t="str">
            <v>Visitas de evaluación con fines de seguimiento</v>
          </cell>
          <cell r="Q29" t="str">
            <v>20250521_Acta_Visita_Colegio_San_Jose.pdf</v>
          </cell>
          <cell r="R29" t="str">
            <v>Se revisa reporte PDF de la autoevaluación institucional 2024, en contrando en términos generales correspondencia entre el reporte y lo evidenciado en la visita</v>
          </cell>
          <cell r="S29" t="str">
            <v>Revisar el reporte en cuanto a la intensificación de segunda lengua, ya que no se cumple con las horas mínimas establecidas por la guia 4 del MEN, para su caracterización</v>
          </cell>
          <cell r="T29" t="str">
            <v>No</v>
          </cell>
          <cell r="U29" t="str">
            <v>Se realizará revisión de la autoevaluación 2025 en el mes de octubre-noviembre, para la autorización de tarifas 2026</v>
          </cell>
        </row>
        <row r="30">
          <cell r="A30">
            <v>1274</v>
          </cell>
          <cell r="B30">
            <v>5</v>
          </cell>
          <cell r="C30" t="str">
            <v>LOS MÁRTIRES</v>
          </cell>
          <cell r="D30" t="str">
            <v>PRIVADO</v>
          </cell>
          <cell r="E30" t="str">
            <v>EPBM</v>
          </cell>
          <cell r="F30" t="str">
            <v>COLEGIO_SAN_JOSE</v>
          </cell>
          <cell r="G30" t="str">
            <v>COLEGIO SAN JOSE</v>
          </cell>
          <cell r="H30" t="str">
            <v>Autoevaluación Institucional y Pruebas SABER 11</v>
          </cell>
          <cell r="I30" t="str">
            <v>SEGUIMIENTO_Y_SUPERVISIÓN.</v>
          </cell>
          <cell r="J30" t="str">
            <v xml:space="preserve">Verificar la implementación por parte de los colegios, de acciones realizadas para la prevención y atención de las situaciones de convivencia en el entorno escolar, según lo establecido en la Directiva 01 de 2022 del MEN. </v>
          </cell>
          <cell r="K30" t="str">
            <v>LUIS ALEJANDRO MARTÍNEZ PALACIOS</v>
          </cell>
          <cell r="L30" t="str">
            <v>CARLOS EDUARDO VARGAS LÓPEZ</v>
          </cell>
          <cell r="M30">
            <v>45797</v>
          </cell>
          <cell r="N30">
            <v>45798</v>
          </cell>
          <cell r="O30">
            <v>45798</v>
          </cell>
          <cell r="P30" t="str">
            <v>Visitas de evaluación con fines de seguimiento</v>
          </cell>
          <cell r="Q30" t="str">
            <v>20250521_Acta_Visita_Colegio_San_Jose.pdf</v>
          </cell>
          <cell r="R30" t="str">
            <v>Se revisa las hojas de vida de los docentes en la cual se aporta la verificación de inhabilidades por delitos sexuales</v>
          </cell>
          <cell r="S30" t="str">
            <v>Continuar realizando la consulta de inhablilidades conforme con la periodicidad establecida en la Directiva 01</v>
          </cell>
          <cell r="T30" t="str">
            <v>No</v>
          </cell>
          <cell r="U30" t="str">
            <v>A demanda de acuerdo con las peticiones de la ciudadanía o de los entes de control</v>
          </cell>
        </row>
        <row r="31">
          <cell r="A31">
            <v>1275</v>
          </cell>
          <cell r="B31">
            <v>5</v>
          </cell>
          <cell r="C31" t="str">
            <v>LOS MÁRTIRES</v>
          </cell>
          <cell r="D31" t="str">
            <v>PRIVADO</v>
          </cell>
          <cell r="E31" t="str">
            <v>EPBM</v>
          </cell>
          <cell r="F31" t="str">
            <v>COLEGIO_SAN_JOSE</v>
          </cell>
          <cell r="G31" t="str">
            <v>COLEGIO SAN JOSE</v>
          </cell>
          <cell r="H31" t="str">
            <v>Autoevaluación Institucional y Pruebas SABER 11</v>
          </cell>
          <cell r="I31" t="str">
            <v>SEGUIMIENTO_Y_SUPERVISIÓN.</v>
          </cell>
          <cell r="J31"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1" t="str">
            <v>LUIS ALEJANDRO MARTÍNEZ PALACIOS</v>
          </cell>
          <cell r="L31" t="str">
            <v>CARLOS EDUARDO VARGAS LÓPEZ</v>
          </cell>
          <cell r="M31">
            <v>45797</v>
          </cell>
          <cell r="N31">
            <v>45798</v>
          </cell>
          <cell r="O31">
            <v>45798</v>
          </cell>
          <cell r="P31" t="str">
            <v>Visitas de evaluación con fines de seguimiento</v>
          </cell>
          <cell r="Q31" t="str">
            <v>20250521_Acta_Visita_Colegio_San_Jose.pdf</v>
          </cell>
          <cell r="R31" t="str">
            <v>Presentan nueve formatos de PIAR para estudiantes diágnosticados. En SIMAT se tienen 5 estudiantes caracterizados</v>
          </cell>
          <cell r="S31" t="str">
            <v>Actualizar el SIMAT, para que todos los estudiantes con diágnostico queden debidamente caracterizados</v>
          </cell>
          <cell r="T31" t="str">
            <v>Si</v>
          </cell>
          <cell r="U31" t="str">
            <v>Se hará revisión del SIMAT en el segundo semestre de 2025, para consultar el reporte de la institución educativa</v>
          </cell>
        </row>
        <row r="32">
          <cell r="A32">
            <v>1276</v>
          </cell>
          <cell r="B32">
            <v>5</v>
          </cell>
          <cell r="C32" t="str">
            <v>LOS MÁRTIRES</v>
          </cell>
          <cell r="D32" t="str">
            <v>PRIVADO</v>
          </cell>
          <cell r="E32" t="str">
            <v>EPBM</v>
          </cell>
          <cell r="F32" t="str">
            <v>COLEGIO_SAN_JOSE</v>
          </cell>
          <cell r="G32" t="str">
            <v>COLEGIO SAN JOSE</v>
          </cell>
          <cell r="H32" t="str">
            <v>Autoevaluación Institucional y Pruebas SABER 11</v>
          </cell>
          <cell r="I32" t="str">
            <v>EVALUACIÓN_CON_FINES_DE_MEJORAMIENTO.</v>
          </cell>
          <cell r="J32"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32" t="str">
            <v>LUIS ALEJANDRO MARTÍNEZ PALACIOS</v>
          </cell>
          <cell r="L32" t="str">
            <v>CARLOS EDUARDO VARGAS LÓPEZ</v>
          </cell>
          <cell r="M32">
            <v>45797</v>
          </cell>
          <cell r="N32">
            <v>45798</v>
          </cell>
          <cell r="O32">
            <v>45798</v>
          </cell>
          <cell r="P32" t="str">
            <v>Visitas de evaluación con fines de seguimiento</v>
          </cell>
          <cell r="Q32" t="str">
            <v>20250521_Acta_Visita_Colegio_San_Jose.pdf</v>
          </cell>
          <cell r="R32" t="str">
            <v>Durante la visita administrativa se revisaron algunos puntos generales del Manual de Convivencia como, horizonte institucional, orientación escolar, protocolos de atención integral</v>
          </cell>
          <cell r="S32" t="str">
            <v>Actualizar el Manual de Convivencia con la partipación de la comunidad educativa en lo concerniente al horizonte institucional y las demás acciones que se consideren</v>
          </cell>
          <cell r="T32" t="str">
            <v>Si</v>
          </cell>
          <cell r="U32" t="str">
            <v>Se hará la revisión del manual de convivencia, según programación POAIV 2026</v>
          </cell>
        </row>
        <row r="33">
          <cell r="A33">
            <v>1277</v>
          </cell>
          <cell r="B33">
            <v>5</v>
          </cell>
          <cell r="C33" t="str">
            <v>LOS MÁRTIRES</v>
          </cell>
          <cell r="D33" t="str">
            <v>PRIVADO</v>
          </cell>
          <cell r="E33" t="str">
            <v>EPBM</v>
          </cell>
          <cell r="F33" t="str">
            <v>COLEGIO_SAN_JOSE</v>
          </cell>
          <cell r="G33" t="str">
            <v>COLEGIO SAN JOSE</v>
          </cell>
          <cell r="H33" t="str">
            <v>Autoevaluación Institucional y Pruebas SABER 11</v>
          </cell>
          <cell r="I33" t="str">
            <v>EVALUACIÓN_CON_FINES_DE_MEJORAMIENTO.</v>
          </cell>
          <cell r="J33" t="str">
            <v>Revisar la actualización, socialización e implementación del Sistema Institucional de Evaluación de Estudiantes - SIEE, en articulación con la actualización del PEI y la normatividad vigente.</v>
          </cell>
          <cell r="K33" t="str">
            <v>LUIS ALEJANDRO MARTÍNEZ PALACIOS</v>
          </cell>
          <cell r="L33" t="str">
            <v>CARLOS EDUARDO VARGAS LÓPEZ</v>
          </cell>
          <cell r="M33">
            <v>45797</v>
          </cell>
          <cell r="N33">
            <v>45798</v>
          </cell>
          <cell r="O33">
            <v>45798</v>
          </cell>
          <cell r="P33" t="str">
            <v>Visitas de evaluación con fines de seguimiento</v>
          </cell>
          <cell r="Q33" t="str">
            <v>20250521_Acta_Visita_Colegio_San_Jose.pdf</v>
          </cell>
          <cell r="R33" t="str">
            <v xml:space="preserve">Durante la visita administrativa se revisaron algunos puntos generales del Sistema Institucional de Evaluación </v>
          </cell>
          <cell r="S33" t="str">
            <v>Actualizar el Sistema Institucional de Evaluación de Estudiantes con la partición de la comunidad educativa. 
Entre las acciones a realizar, eliminar de los informes periódicos y finales de los estudiantes las valoraciones de convivencia o disciplina</v>
          </cell>
          <cell r="T33" t="str">
            <v>Si</v>
          </cell>
          <cell r="U33" t="str">
            <v>Se hará la revisión del sistema institucional de evaluación, según programación POAIV 2026</v>
          </cell>
        </row>
        <row r="34">
          <cell r="A34">
            <v>1278</v>
          </cell>
          <cell r="B34">
            <v>5</v>
          </cell>
          <cell r="C34" t="str">
            <v>LOS MÁRTIRES</v>
          </cell>
          <cell r="D34" t="str">
            <v>PRIVADO</v>
          </cell>
          <cell r="E34" t="str">
            <v>EPBM</v>
          </cell>
          <cell r="F34" t="str">
            <v>COLEGIO_SAN_JOSE</v>
          </cell>
          <cell r="G34" t="str">
            <v>COLEGIO SAN JOSE</v>
          </cell>
          <cell r="H34" t="str">
            <v>Autoevaluación Institucional y Pruebas SABER 11</v>
          </cell>
          <cell r="I34" t="str">
            <v>EVALUACIÓN_CON_FINES_DE_MEJORAMIENTO.</v>
          </cell>
          <cell r="J34" t="str">
            <v>Revisar el calendario escolar, jornada escolar, la intensidad horaria mínima anual en cada nivel y las modificaciones que se realicen al mismo, de acuerdo con lo previsto en la normatividad vigente.</v>
          </cell>
          <cell r="K34" t="str">
            <v>LUIS ALEJANDRO MARTÍNEZ PALACIOS</v>
          </cell>
          <cell r="L34" t="str">
            <v>CARLOS EDUARDO VARGAS LÓPEZ</v>
          </cell>
          <cell r="M34">
            <v>45797</v>
          </cell>
          <cell r="N34">
            <v>45798</v>
          </cell>
          <cell r="O34">
            <v>45798</v>
          </cell>
          <cell r="P34" t="str">
            <v>Visitas de evaluación con fines de seguimiento</v>
          </cell>
          <cell r="Q34" t="str">
            <v>20250521_Acta_Visita_Colegio_San_Jose.pdf</v>
          </cell>
          <cell r="R34" t="str">
            <v>Se revisa el calculo de horas anuales y la institución educativa presenta un número mayor de horas a los mínimos establecidos por normatividad. La institución educativa informó sobre solicitud por parte de padres de familia para aumentar una semana de vacaciones, esto siempre que se cumplan los desarrollos académicos es de autonomía institucional.</v>
          </cell>
          <cell r="S34" t="str">
            <v xml:space="preserve">
Se indicó que, por normatividad pueden desarrollar menos de 40 semanas, siempre que se de cumplimiento al mínimo establecido por niveles</v>
          </cell>
          <cell r="T34" t="str">
            <v>NO</v>
          </cell>
          <cell r="U34" t="str">
            <v>Se verificará calendario académico 2026, para observar cumplimiento de la normatividad vigente</v>
          </cell>
        </row>
        <row r="35">
          <cell r="A35">
            <v>1279</v>
          </cell>
          <cell r="B35">
            <v>5</v>
          </cell>
          <cell r="C35" t="str">
            <v>LOS MÁRTIRES</v>
          </cell>
          <cell r="D35" t="str">
            <v>PRIVADO</v>
          </cell>
          <cell r="E35" t="str">
            <v>EPBM</v>
          </cell>
          <cell r="F35" t="str">
            <v>COLEGIO_SAN_JOSE</v>
          </cell>
          <cell r="G35" t="str">
            <v>COLEGIO SAN JOSE</v>
          </cell>
          <cell r="H35" t="str">
            <v>Autoevaluación Institucional y Pruebas SABER 11</v>
          </cell>
          <cell r="I35" t="str">
            <v>EVALUACIÓN_CON_FINES_DE_MEJORAMIENTO.</v>
          </cell>
          <cell r="J35" t="str">
            <v>Verificar el funcionamiento del Gobierno Escolar e instancias de participación con base en la información sobre conformación reportada por la institución educativa.</v>
          </cell>
          <cell r="K35" t="str">
            <v>LUIS ALEJANDRO MARTÍNEZ PALACIOS</v>
          </cell>
          <cell r="L35" t="str">
            <v>CARLOS EDUARDO VARGAS LÓPEZ</v>
          </cell>
          <cell r="M35">
            <v>45797</v>
          </cell>
          <cell r="N35">
            <v>45798</v>
          </cell>
          <cell r="O35">
            <v>45798</v>
          </cell>
          <cell r="P35" t="str">
            <v>Visitas de evaluación con fines de seguimiento</v>
          </cell>
          <cell r="Q35" t="str">
            <v>20250521_Acta_Visita_Colegio_San_Jose.pdf</v>
          </cell>
          <cell r="R35" t="str">
            <v xml:space="preserve">La institución educativa, cumplió con el reporte de conformación de gobierno escolar y en la visita se verificó su funcionamiento </v>
          </cell>
          <cell r="S35" t="str">
            <v>Cumplir con las sesiones programadas o determinadas por norma para los espacios de gobierno escolar y las otras instancias de participación</v>
          </cell>
          <cell r="T35" t="str">
            <v>NO</v>
          </cell>
          <cell r="U35" t="str">
            <v>Según programación del Plan Operativo Anual del equipo local de inspección y vigilancia para el 2026</v>
          </cell>
        </row>
        <row r="36">
          <cell r="A36">
            <v>1280</v>
          </cell>
          <cell r="B36">
            <v>5</v>
          </cell>
          <cell r="C36" t="str">
            <v>LOS MÁRTIRES</v>
          </cell>
          <cell r="D36" t="str">
            <v>PRIVADO</v>
          </cell>
          <cell r="E36" t="str">
            <v>EPBM</v>
          </cell>
          <cell r="F36" t="str">
            <v>COLEGIO_SAN_JOSE</v>
          </cell>
          <cell r="G36" t="str">
            <v>COLEGIO SAN JOSE</v>
          </cell>
          <cell r="H36" t="str">
            <v>Autoevaluación Institucional y Pruebas SABER 11</v>
          </cell>
          <cell r="I36" t="str">
            <v>EVALUACIÓN_CON_FINES_DE_MEJORAMIENTO.</v>
          </cell>
          <cell r="J36" t="str">
            <v>Verificar las condiciones en cuanto a: la estructura administrativa, condiciones de la planta física y medios educativos adecuados.</v>
          </cell>
          <cell r="K36" t="str">
            <v>LUIS ALEJANDRO MARTÍNEZ PALACIOS</v>
          </cell>
          <cell r="L36" t="str">
            <v>CARLOS EDUARDO VARGAS LÓPEZ</v>
          </cell>
          <cell r="M36">
            <v>45797</v>
          </cell>
          <cell r="N36">
            <v>45798</v>
          </cell>
          <cell r="O36">
            <v>45798</v>
          </cell>
          <cell r="P36" t="str">
            <v>Visitas de evaluación con fines de seguimiento</v>
          </cell>
          <cell r="Q36" t="str">
            <v>20250521_Acta_Visita_Colegio_San_Jose.pdf</v>
          </cell>
          <cell r="R36" t="str">
            <v xml:space="preserve">La institución educativa cuenta con una planta física y medios educativos acordes con el PEI y que da cuenta del cumplimiento de la normatividad vigente para la prestación de un servicio educativo con calidad </v>
          </cell>
          <cell r="S36" t="str">
            <v xml:space="preserve">Lo reportado en EVI corresponde a la realidad institucional respecto la planta física. No requiere convenio de ambientes compartidos.
</v>
          </cell>
          <cell r="T36" t="str">
            <v>No</v>
          </cell>
          <cell r="U36" t="str">
            <v>Según programación del Plan Operativo Anual del equipo local de inspección y vigilancia para el 2026</v>
          </cell>
        </row>
        <row r="37">
          <cell r="A37">
            <v>1281</v>
          </cell>
          <cell r="B37">
            <v>6</v>
          </cell>
          <cell r="C37" t="str">
            <v>LOS MÁRTIRES</v>
          </cell>
          <cell r="D37" t="str">
            <v>PRIVADO</v>
          </cell>
          <cell r="E37" t="str">
            <v>EPBM</v>
          </cell>
          <cell r="F37" t="str">
            <v>COLEGIO_NUESTRA_SEÑORA_DE_LA_PAZ</v>
          </cell>
          <cell r="G37" t="str">
            <v>COLEGIO NUESTRA SEÑORA DE LA PAZ</v>
          </cell>
          <cell r="H37" t="str">
            <v>Autoevaluación Institucional y Pruebas SABER 11</v>
          </cell>
          <cell r="I37" t="str">
            <v>SEGUIMIENTO_Y_SUPERVISIÓN.</v>
          </cell>
          <cell r="J37" t="str">
            <v>Realizar visitas para verificar la información registrada sobre la autoevaluación institucional en el aplicativo EVI, a los establecimientos de educación formal no oficial.</v>
          </cell>
          <cell r="K37" t="str">
            <v>LUIS ALEJANDRO MARTÍNEZ PALACIOS</v>
          </cell>
          <cell r="L37" t="str">
            <v>CARLOS EDUARDO VARGAS LÓPEZ</v>
          </cell>
          <cell r="M37">
            <v>45804</v>
          </cell>
          <cell r="N37">
            <v>45804</v>
          </cell>
          <cell r="O37">
            <v>45804</v>
          </cell>
          <cell r="P37" t="str">
            <v>Visitas de evaluación con fines de seguimiento</v>
          </cell>
          <cell r="Q37" t="str">
            <v>20250527 Acta Visita Col_Ntr_Sra_de_la_Paz</v>
          </cell>
          <cell r="R37" t="str">
            <v>Se revisa la autoevaluación EVI 2024 de manera que lo consignado allí sea coherente con la revisión documental in situ sobre la gestión institucional y financiera, se pregunta al colegio por sus fortalezas y áreas de mejora para 2025. El plantel cumple.
La institución educativa informó solicitud por parte de padres de familia para aumentar una semana de vacaciones</v>
          </cell>
          <cell r="S37" t="str">
            <v>Mantener los procesos y realizar la autoevaluación 2025</v>
          </cell>
          <cell r="T37" t="str">
            <v>No</v>
          </cell>
          <cell r="U37" t="str">
            <v>Según programación del Plan Operativo Anual del equipo local de inspección y vigilancia para lo restante de 2025 y para el 2026</v>
          </cell>
        </row>
        <row r="38">
          <cell r="A38">
            <v>1282</v>
          </cell>
          <cell r="B38">
            <v>6</v>
          </cell>
          <cell r="C38" t="str">
            <v>LOS MÁRTIRES</v>
          </cell>
          <cell r="D38" t="str">
            <v>PRIVADO</v>
          </cell>
          <cell r="E38" t="str">
            <v>EPBM</v>
          </cell>
          <cell r="F38" t="str">
            <v>COLEGIO_NUESTRA_SEÑORA_DE_LA_PAZ</v>
          </cell>
          <cell r="G38" t="str">
            <v>COLEGIO NUESTRA SEÑORA DE LA PAZ</v>
          </cell>
          <cell r="H38" t="str">
            <v>Autoevaluación Institucional y Pruebas SABER 11</v>
          </cell>
          <cell r="I38" t="str">
            <v>SEGUIMIENTO_Y_SUPERVISIÓN.</v>
          </cell>
          <cell r="J38" t="str">
            <v xml:space="preserve">Verificar la implementación por parte de los colegios, de acciones realizadas para la prevención y atención de las situaciones de convivencia en el entorno escolar, según lo establecido en la Directiva 01 de 2022 del MEN. </v>
          </cell>
          <cell r="K38" t="str">
            <v>LUIS ALEJANDRO MARTÍNEZ PALACIOS</v>
          </cell>
          <cell r="L38" t="str">
            <v>CARLOS EDUARDO VARGAS LÓPEZ</v>
          </cell>
          <cell r="M38">
            <v>45804</v>
          </cell>
          <cell r="N38">
            <v>45804</v>
          </cell>
          <cell r="O38">
            <v>45804</v>
          </cell>
          <cell r="P38" t="str">
            <v>Visitas de evaluación con fines de seguimiento</v>
          </cell>
          <cell r="Q38" t="str">
            <v>20250527 Acta Visita Col_Ntr_Sra_de_la_Paz</v>
          </cell>
          <cell r="R38" t="str">
            <v xml:space="preserve">Se establece mediante revisión documental las acciones de la IE sobre prevención de la violencia sexual, la actuación del Comité de Convivencia Escolar,  lineamientos para la selección, nombramiento y contratación de personal, los registros de inhabilidades por delitos sexuales contra niños, niñas y adolescentes para la prevención de la violencia sexual, </v>
          </cell>
          <cell r="S38" t="str">
            <v>Se establece la implementación de rutas de atención integral así como por mecanismos adelantados para la promoción de la sana convivencia y el respeto a los derechos humanos.</v>
          </cell>
          <cell r="T38" t="str">
            <v>No</v>
          </cell>
          <cell r="U38" t="str">
            <v>Según programación del Plan Operativo Anual del equipo local de inspección y vigilancia para lo restante de 2025 y para el 2026</v>
          </cell>
        </row>
        <row r="39">
          <cell r="A39">
            <v>1283</v>
          </cell>
          <cell r="B39">
            <v>6</v>
          </cell>
          <cell r="C39" t="str">
            <v>LOS MÁRTIRES</v>
          </cell>
          <cell r="D39" t="str">
            <v>PRIVADO</v>
          </cell>
          <cell r="E39" t="str">
            <v>EPBM</v>
          </cell>
          <cell r="F39" t="str">
            <v>COLEGIO_NUESTRA_SEÑORA_DE_LA_PAZ</v>
          </cell>
          <cell r="G39" t="str">
            <v>COLEGIO NUESTRA SEÑORA DE LA PAZ</v>
          </cell>
          <cell r="H39" t="str">
            <v>Autoevaluación Institucional y Pruebas SABER 11</v>
          </cell>
          <cell r="I39" t="str">
            <v>SEGUIMIENTO_Y_SUPERVISIÓN.</v>
          </cell>
          <cell r="J3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39" t="str">
            <v>LUIS ALEJANDRO MARTÍNEZ PALACIOS</v>
          </cell>
          <cell r="L39" t="str">
            <v>CARLOS EDUARDO VARGAS LÓPEZ</v>
          </cell>
          <cell r="M39">
            <v>45804</v>
          </cell>
          <cell r="N39">
            <v>45804</v>
          </cell>
          <cell r="O39">
            <v>45804</v>
          </cell>
          <cell r="P39" t="str">
            <v>Visitas de evaluación con fines de seguimiento</v>
          </cell>
          <cell r="Q39" t="str">
            <v>20250527 Acta Visita Col_Ntr_Sra_de_la_Paz</v>
          </cell>
          <cell r="R39" t="str">
            <v xml:space="preserve">Se realiza la observación de la caracterización pedagógica y social para garantizar los procesos de enseñanza y aprendizaje de los estudiantes con discapacidad mediante los Planes Individuales de acuerdo con los ajustes razonables (PIAR), se propone que figure en el PEI la forma de  garantizar el aprendizaje, la participación, permanencia y promoción de estudiantes.
</v>
          </cell>
          <cell r="S39" t="str">
            <v>Continuar fortaleciendo las acciones y ajuste en los PIAR de cada estudiante</v>
          </cell>
          <cell r="T39" t="str">
            <v>No</v>
          </cell>
          <cell r="U39" t="str">
            <v>Según programación del Plan Operativo Anual del equipo local de inspección y vigilancia para lo restante de 2025 y para el 2026</v>
          </cell>
        </row>
        <row r="40">
          <cell r="A40">
            <v>1284</v>
          </cell>
          <cell r="B40">
            <v>6</v>
          </cell>
          <cell r="C40" t="str">
            <v>LOS MÁRTIRES</v>
          </cell>
          <cell r="D40" t="str">
            <v>PRIVADO</v>
          </cell>
          <cell r="E40" t="str">
            <v>EPBM</v>
          </cell>
          <cell r="F40" t="str">
            <v>COLEGIO_NUESTRA_SEÑORA_DE_LA_PAZ</v>
          </cell>
          <cell r="G40" t="str">
            <v>COLEGIO NUESTRA SEÑORA DE LA PAZ</v>
          </cell>
          <cell r="H40" t="str">
            <v>Autoevaluación Institucional y Pruebas SABER 11</v>
          </cell>
          <cell r="I40" t="str">
            <v>EVALUACIÓN_CON_FINES_DE_MEJORAMIENTO.</v>
          </cell>
          <cell r="J4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0" t="str">
            <v>LUIS ALEJANDRO MARTÍNEZ PALACIOS</v>
          </cell>
          <cell r="L40" t="str">
            <v>CARLOS EDUARDO VARGAS LÓPEZ</v>
          </cell>
          <cell r="M40">
            <v>45804</v>
          </cell>
          <cell r="N40">
            <v>45804</v>
          </cell>
          <cell r="O40">
            <v>45804</v>
          </cell>
          <cell r="P40" t="str">
            <v>Visitas de evaluación con fines de seguimiento</v>
          </cell>
          <cell r="Q40" t="str">
            <v>20250527 Acta Visita Col_Ntr_Sra_de_la_Paz</v>
          </cell>
          <cell r="R40" t="str">
            <v>Se requiere la actualización de los manuales de convivencia escolar, mediante la incorporación del enfoque de género, enfoque diferencial por orientación sexual e identidad de género y enfoque restaurativo, para fortalecer la convivencia escolar al interior de las institución educativa del sector privado.</v>
          </cell>
          <cell r="S40" t="str">
            <v>Propiciar que el manual de convivencia sea más preciso en la promoción de entornos escolares seguros, respetuosos y propicios para el aprendizaje y el desarrollo integral de los estudiantes.</v>
          </cell>
          <cell r="T40" t="str">
            <v>Si</v>
          </cell>
          <cell r="U40" t="str">
            <v>Según programación del Plan Operativo Anual del equipo local de inspección y vigilancia para lo restante de 2025 y para el 2026</v>
          </cell>
        </row>
        <row r="41">
          <cell r="A41">
            <v>1285</v>
          </cell>
          <cell r="B41">
            <v>6</v>
          </cell>
          <cell r="C41" t="str">
            <v>LOS MÁRTIRES</v>
          </cell>
          <cell r="D41" t="str">
            <v>PRIVADO</v>
          </cell>
          <cell r="E41" t="str">
            <v>EPBM</v>
          </cell>
          <cell r="F41" t="str">
            <v>COLEGIO_NUESTRA_SEÑORA_DE_LA_PAZ</v>
          </cell>
          <cell r="G41" t="str">
            <v>COLEGIO NUESTRA SEÑORA DE LA PAZ</v>
          </cell>
          <cell r="H41" t="str">
            <v>Autoevaluación Institucional y Pruebas SABER 11</v>
          </cell>
          <cell r="I41" t="str">
            <v>EVALUACIÓN_CON_FINES_DE_MEJORAMIENTO.</v>
          </cell>
          <cell r="J41" t="str">
            <v>Revisar la actualización, socialización e implementación del Sistema Institucional de Evaluación de Estudiantes - SIEE, en articulación con la actualización del PEI y la normatividad vigente.</v>
          </cell>
          <cell r="K41" t="str">
            <v>LUIS ALEJANDRO MARTÍNEZ PALACIOS</v>
          </cell>
          <cell r="L41" t="str">
            <v>CARLOS EDUARDO VARGAS LÓPEZ</v>
          </cell>
          <cell r="M41">
            <v>45804</v>
          </cell>
          <cell r="N41">
            <v>45804</v>
          </cell>
          <cell r="O41">
            <v>45804</v>
          </cell>
          <cell r="P41" t="str">
            <v>Visitas de evaluación con fines de seguimiento</v>
          </cell>
          <cell r="Q41" t="str">
            <v>20250527 Acta Visita Col_Ntr_Sra_de_la_Paz</v>
          </cell>
          <cell r="R41" t="str">
            <v>Se revisa el cómo se evalúan los aprendizajes, cómo se promueven a los estudiantes al grado superior y cómo se nivelan los educandos que presentan dificultades. Se analizó su integración con el Proyecto Educativo Institucional (PEI) y la coherencia entre la propuesta pedagógica y el sistema de evaluación institucional.</v>
          </cell>
          <cell r="S41" t="str">
            <v xml:space="preserve"> Ampliar estrategias para ayudar a los estudiantes que necesitan apoyo adicional para alcanzar los objetivos de aprendizaje.</v>
          </cell>
          <cell r="T41" t="str">
            <v>Si</v>
          </cell>
          <cell r="U41" t="str">
            <v>Según programación del Plan Operativo Anual del equipo local de inspección y vigilancia para lo restante de 2025 y para el 2026</v>
          </cell>
        </row>
        <row r="42">
          <cell r="A42">
            <v>1286</v>
          </cell>
          <cell r="B42">
            <v>6</v>
          </cell>
          <cell r="C42" t="str">
            <v>LOS MÁRTIRES</v>
          </cell>
          <cell r="D42" t="str">
            <v>PRIVADO</v>
          </cell>
          <cell r="E42" t="str">
            <v>EPBM</v>
          </cell>
          <cell r="F42" t="str">
            <v>COLEGIO_NUESTRA_SEÑORA_DE_LA_PAZ</v>
          </cell>
          <cell r="G42" t="str">
            <v>COLEGIO NUESTRA SEÑORA DE LA PAZ</v>
          </cell>
          <cell r="H42" t="str">
            <v>Autoevaluación Institucional y Pruebas SABER 11</v>
          </cell>
          <cell r="I42" t="str">
            <v>EVALUACIÓN_CON_FINES_DE_MEJORAMIENTO.</v>
          </cell>
          <cell r="J42" t="str">
            <v>Revisar el calendario escolar, jornada escolar, la intensidad horaria mínima anual en cada nivel y las modificaciones que se realicen al mismo, de acuerdo con lo previsto en la normatividad vigente.</v>
          </cell>
          <cell r="K42" t="str">
            <v>LUIS ALEJANDRO MARTÍNEZ PALACIOS</v>
          </cell>
          <cell r="L42" t="str">
            <v>CARLOS EDUARDO VARGAS LÓPEZ</v>
          </cell>
          <cell r="M42">
            <v>45804</v>
          </cell>
          <cell r="N42">
            <v>45804</v>
          </cell>
          <cell r="O42">
            <v>45804</v>
          </cell>
          <cell r="P42" t="str">
            <v>Visitas de evaluación con fines de seguimiento</v>
          </cell>
          <cell r="Q42" t="str">
            <v>20250527 Acta Visita Col_Ntr_Sra_de_la_Paz</v>
          </cell>
          <cell r="R42" t="str">
            <v>Se verificó que el calendario escolar se ajusta a los dos periodos semestrales cumpliendo con la normatividad nacional. Se observa que el primer semestre va del 3 de febrero al 13 de junio, y el segundo, del 7 de julio al 28 de  noviembre. Adicionalmente, se establece la existencia de las semanas de receso, como la de Semana Santa (14 al 18 de abril), la de mitad de año  y una en octubre (6 al 10).</v>
          </cell>
          <cell r="S42" t="str">
            <v>Continuar la implementación del cronograma establecido en el calendarios escolar 2025</v>
          </cell>
          <cell r="T42" t="str">
            <v>No</v>
          </cell>
          <cell r="U42" t="str">
            <v>Para la vigencia 2026 se hará revisión en caso de requerirse</v>
          </cell>
        </row>
        <row r="43">
          <cell r="A43">
            <v>1287</v>
          </cell>
          <cell r="B43">
            <v>6</v>
          </cell>
          <cell r="C43" t="str">
            <v>LOS MÁRTIRES</v>
          </cell>
          <cell r="D43" t="str">
            <v>PRIVADO</v>
          </cell>
          <cell r="E43" t="str">
            <v>EPBM</v>
          </cell>
          <cell r="F43" t="str">
            <v>COLEGIO_NUESTRA_SEÑORA_DE_LA_PAZ</v>
          </cell>
          <cell r="G43" t="str">
            <v>COLEGIO NUESTRA SEÑORA DE LA PAZ</v>
          </cell>
          <cell r="H43" t="str">
            <v>Autoevaluación Institucional y Pruebas SABER 11</v>
          </cell>
          <cell r="I43" t="str">
            <v>EVALUACIÓN_CON_FINES_DE_MEJORAMIENTO.</v>
          </cell>
          <cell r="J43" t="str">
            <v>Verificar el funcionamiento del Gobierno Escolar e instancias de participación con base en la información sobre conformación reportada por la institución educativa.</v>
          </cell>
          <cell r="K43" t="str">
            <v>LUIS ALEJANDRO MARTÍNEZ PALACIOS</v>
          </cell>
          <cell r="L43" t="str">
            <v>CARLOS EDUARDO VARGAS LÓPEZ</v>
          </cell>
          <cell r="M43">
            <v>45804</v>
          </cell>
          <cell r="N43">
            <v>45804</v>
          </cell>
          <cell r="O43">
            <v>45804</v>
          </cell>
          <cell r="P43" t="str">
            <v>Visitas de evaluación con fines de seguimiento</v>
          </cell>
          <cell r="Q43" t="str">
            <v>20250527 Acta Visita Col_Ntr_Sra_de_la_Paz</v>
          </cell>
          <cell r="R43" t="str">
            <v>Se evidencia que el plantel de calendario A, cumplió antes de la fecha límite (7 de marzo de 2025) y llevó a cabo las elecciones y reportó en el Sistema de Apoyo Escolar (SAE) la conformación de los cargos de representación estudiantil.</v>
          </cell>
          <cell r="S43" t="str">
            <v>Que los gobiernos escolares e instancias sesionen conforme lo establecido normativamente</v>
          </cell>
          <cell r="T43" t="str">
            <v>No</v>
          </cell>
          <cell r="U43" t="str">
            <v>Se verificará la conformación de gobiernos escolares e instancias para la vigencia 2026</v>
          </cell>
        </row>
        <row r="44">
          <cell r="A44">
            <v>1288</v>
          </cell>
          <cell r="B44">
            <v>6</v>
          </cell>
          <cell r="C44" t="str">
            <v>LOS MÁRTIRES</v>
          </cell>
          <cell r="D44" t="str">
            <v>PRIVADO</v>
          </cell>
          <cell r="E44" t="str">
            <v>EPBM</v>
          </cell>
          <cell r="F44" t="str">
            <v>COLEGIO_NUESTRA_SEÑORA_DE_LA_PAZ</v>
          </cell>
          <cell r="G44" t="str">
            <v>COLEGIO NUESTRA SEÑORA DE LA PAZ</v>
          </cell>
          <cell r="H44" t="str">
            <v>Autoevaluación Institucional y Pruebas SABER 11</v>
          </cell>
          <cell r="I44" t="str">
            <v>EVALUACIÓN_CON_FINES_DE_MEJORAMIENTO.</v>
          </cell>
          <cell r="J44" t="str">
            <v>Verificar las condiciones en cuanto a: la estructura administrativa, condiciones de la planta física y medios educativos adecuados.</v>
          </cell>
          <cell r="K44" t="str">
            <v>LUIS ALEJANDRO MARTÍNEZ PALACIOS</v>
          </cell>
          <cell r="L44" t="str">
            <v>CARLOS EDUARDO VARGAS LÓPEZ</v>
          </cell>
          <cell r="M44">
            <v>45804</v>
          </cell>
          <cell r="N44">
            <v>45804</v>
          </cell>
          <cell r="O44">
            <v>45804</v>
          </cell>
          <cell r="P44" t="str">
            <v>Visitas de evaluación con fines de seguimiento</v>
          </cell>
          <cell r="Q44" t="str">
            <v>20250527 Acta Visita Col_Ntr_Sra_de_la_Paz</v>
          </cell>
          <cell r="R44" t="str">
            <v>Se evaluaron las aulas, talleres, laboratorios, áreas administrativas, servicios sanitarios, áreas deportivas, y otras instalaciones en términos de sus características físicas, mobiliario, equipamiento, accesibilidad y conectividad. Se determina que cumplen con la normativa.</v>
          </cell>
          <cell r="S44" t="str">
            <v>Mantener las condiciones de la infraestructura para una prestación adecuada del servicio educativo</v>
          </cell>
          <cell r="T44" t="str">
            <v>No</v>
          </cell>
          <cell r="U44" t="str">
            <v>Verificar para la vigencia 2026 en caso de ser necesario.</v>
          </cell>
        </row>
        <row r="45">
          <cell r="A45">
            <v>1289</v>
          </cell>
          <cell r="B45">
            <v>7</v>
          </cell>
          <cell r="C45" t="str">
            <v>LOS MÁRTIRES</v>
          </cell>
          <cell r="D45" t="str">
            <v>PRIVADO</v>
          </cell>
          <cell r="E45" t="str">
            <v>EPBM</v>
          </cell>
          <cell r="F45" t="str">
            <v>COLEGIO_DE_NUESTRA_SEÑORA_DE_LA_PRESENTACION_CENTRO</v>
          </cell>
          <cell r="G45" t="str">
            <v>COLEGIO DE NUESTRA SEÑORA DE LA PRESENTACION CENTRO</v>
          </cell>
          <cell r="H45" t="str">
            <v>Convivencia escolar</v>
          </cell>
          <cell r="I45" t="str">
            <v>SEGUIMIENTO_Y_SUPERVISIÓN.</v>
          </cell>
          <cell r="J45" t="str">
            <v>Realizar visitas para verificar la información registrada sobre la autoevaluación institucional en el aplicativo EVI, a los establecimientos de educación formal no oficial.</v>
          </cell>
          <cell r="K45" t="str">
            <v>CARLOS EDUARDO VARGAS LÓPEZ</v>
          </cell>
          <cell r="L45" t="str">
            <v>LUIS ALEJANDRO MARTÍNEZ PALACIOS</v>
          </cell>
          <cell r="M45">
            <v>45825</v>
          </cell>
          <cell r="N45">
            <v>45855</v>
          </cell>
          <cell r="O45">
            <v>45855</v>
          </cell>
          <cell r="P45" t="str">
            <v>Visitas de evaluación con fines de seguimiento</v>
          </cell>
          <cell r="Q45" t="str">
            <v>20250717 Visita COL_NTRA_SRA_DE_LA_PRESENTACION_CENTRO.pdf</v>
          </cell>
          <cell r="R45" t="str">
            <v>Se reviso reporte PDF de la autoevaluación institucional 2024. El Colegio cuenta con certificación de calidad por lo cual no diligencian el formulario 1A, que evalúa procesos y recursos, el tema de docentes, calendario y planta física se ajusta a lo reportado en el EVI.</v>
          </cell>
          <cell r="S45" t="str">
            <v>Diligenciar y presentar anexos para la autoevaluación 2025</v>
          </cell>
          <cell r="T45" t="str">
            <v>No</v>
          </cell>
          <cell r="U45" t="str">
            <v>Se realizará revisión de la autoevaluación 2025 en el mes de octubre-noviembre, para la autorización de tarifas 2026</v>
          </cell>
        </row>
        <row r="46">
          <cell r="A46">
            <v>1290</v>
          </cell>
          <cell r="B46">
            <v>7</v>
          </cell>
          <cell r="C46" t="str">
            <v>LOS MÁRTIRES</v>
          </cell>
          <cell r="D46" t="str">
            <v>PRIVADO</v>
          </cell>
          <cell r="E46" t="str">
            <v>EPBM</v>
          </cell>
          <cell r="F46" t="str">
            <v>COLEGIO_DE_NUESTRA_SEÑORA_DE_LA_PRESENTACION_CENTRO</v>
          </cell>
          <cell r="G46" t="str">
            <v>COLEGIO DE NUESTRA SEÑORA DE LA PRESENTACION CENTRO</v>
          </cell>
          <cell r="H46" t="str">
            <v>Convivencia escolar</v>
          </cell>
          <cell r="I46" t="str">
            <v>SEGUIMIENTO_Y_SUPERVISIÓN.</v>
          </cell>
          <cell r="J46" t="str">
            <v xml:space="preserve">Verificar la implementación por parte de los colegios, de acciones realizadas para la prevención y atención de las situaciones de convivencia en el entorno escolar, según lo establecido en la Directiva 01 de 2022 del MEN. </v>
          </cell>
          <cell r="K46" t="str">
            <v>CARLOS EDUARDO VARGAS LÓPEZ</v>
          </cell>
          <cell r="L46" t="str">
            <v>LUIS ALEJANDRO MARTÍNEZ PALACIOS</v>
          </cell>
          <cell r="M46">
            <v>45825</v>
          </cell>
          <cell r="N46">
            <v>45855</v>
          </cell>
          <cell r="O46">
            <v>45855</v>
          </cell>
          <cell r="P46" t="str">
            <v>Visitas de evaluación con fines de seguimiento</v>
          </cell>
          <cell r="Q46" t="str">
            <v>20250717 Visita COL_NTRA_SRA_DE_LA_PRESENTACION_CENTRO.pdf</v>
          </cell>
          <cell r="R46" t="str">
            <v>Se revisaron las hojas de vida de los docentes en las cuales se aporta la verificación de inhabilidades por delitos sexuales.</v>
          </cell>
          <cell r="S46" t="str">
            <v>Continuar realizando la consulta de inhabilidades conforme con la periodicidad establecida en la Directiva.</v>
          </cell>
          <cell r="T46" t="str">
            <v>No</v>
          </cell>
          <cell r="U46" t="str">
            <v>A demanda de acuerdo con las peticiones de la ciudadanía o de los entes de control</v>
          </cell>
        </row>
        <row r="47">
          <cell r="A47">
            <v>1291</v>
          </cell>
          <cell r="B47">
            <v>7</v>
          </cell>
          <cell r="C47" t="str">
            <v>LOS MÁRTIRES</v>
          </cell>
          <cell r="D47" t="str">
            <v>PRIVADO</v>
          </cell>
          <cell r="E47" t="str">
            <v>EPBM</v>
          </cell>
          <cell r="F47" t="str">
            <v>COLEGIO_DE_NUESTRA_SEÑORA_DE_LA_PRESENTACION_CENTRO</v>
          </cell>
          <cell r="G47" t="str">
            <v>COLEGIO DE NUESTRA SEÑORA DE LA PRESENTACION CENTRO</v>
          </cell>
          <cell r="H47" t="str">
            <v>Convivencia escolar</v>
          </cell>
          <cell r="I47" t="str">
            <v>SEGUIMIENTO_Y_SUPERVISIÓN.</v>
          </cell>
          <cell r="J47"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47" t="str">
            <v>CARLOS EDUARDO VARGAS LÓPEZ</v>
          </cell>
          <cell r="L47" t="str">
            <v>LUIS ALEJANDRO MARTÍNEZ PALACIOS</v>
          </cell>
          <cell r="M47">
            <v>45825</v>
          </cell>
          <cell r="N47">
            <v>45855</v>
          </cell>
          <cell r="O47">
            <v>45855</v>
          </cell>
          <cell r="P47" t="str">
            <v>Visitas de evaluación con fines de seguimiento</v>
          </cell>
          <cell r="Q47" t="str">
            <v>20250717 Visita COL_NTRA_SRA_DE_LA_PRESENTACION_CENTRO.pdf</v>
          </cell>
          <cell r="R47" t="str">
            <v>La institución educativa informa no tener ningún estudiante con diagnóstico médico que aplique en la caracterización de SIMAT. Según el reporte consultado se encuentra un estudiante reportado en SIMAT.</v>
          </cell>
          <cell r="S47" t="str">
            <v>Revisar y si es necesario actualizar el SIMAT, respecto de la población con diagnóstico.</v>
          </cell>
          <cell r="T47" t="str">
            <v>No</v>
          </cell>
          <cell r="U47" t="str">
            <v>Se  hará revisión del SIMAT para consultar estudiantes caracterizados por educación inclusiva.</v>
          </cell>
        </row>
        <row r="48">
          <cell r="A48">
            <v>1292</v>
          </cell>
          <cell r="B48">
            <v>7</v>
          </cell>
          <cell r="C48" t="str">
            <v>LOS MÁRTIRES</v>
          </cell>
          <cell r="D48" t="str">
            <v>PRIVADO</v>
          </cell>
          <cell r="E48" t="str">
            <v>EPBM</v>
          </cell>
          <cell r="F48" t="str">
            <v>COLEGIO_DE_NUESTRA_SEÑORA_DE_LA_PRESENTACION_CENTRO</v>
          </cell>
          <cell r="G48" t="str">
            <v>COLEGIO DE NUESTRA SEÑORA DE LA PRESENTACION CENTRO</v>
          </cell>
          <cell r="H48" t="str">
            <v>Convivencia escolar</v>
          </cell>
          <cell r="I48" t="str">
            <v>EVALUACIÓN_CON_FINES_DE_MEJORAMIENTO.</v>
          </cell>
          <cell r="J48"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48" t="str">
            <v>CARLOS EDUARDO VARGAS LÓPEZ</v>
          </cell>
          <cell r="L48" t="str">
            <v>LUIS ALEJANDRO MARTÍNEZ PALACIOS</v>
          </cell>
          <cell r="M48">
            <v>45825</v>
          </cell>
          <cell r="N48">
            <v>45855</v>
          </cell>
          <cell r="O48">
            <v>45855</v>
          </cell>
          <cell r="P48" t="str">
            <v>Visitas de evaluación con fines de seguimiento</v>
          </cell>
          <cell r="Q48" t="str">
            <v>20250717 Visita COL_NTRA_SRA_DE_LA_PRESENTACION_CENTRO.pdf</v>
          </cell>
          <cell r="R48" t="str">
            <v>Durante la visita administrativa se revisaron algunos puntos generales del Manual de Convivencia:  horizonte institucional, orientación escolar, protocolos de atención integral.</v>
          </cell>
          <cell r="S48" t="str">
            <v>Actualizar el Manual de Convivencia con la participación de la comunidad educativa.</v>
          </cell>
          <cell r="T48" t="str">
            <v>NO</v>
          </cell>
          <cell r="U48" t="str">
            <v>Se hará la revisión y evaluación del manual de convivencia, según programación POAIV 2026.</v>
          </cell>
        </row>
        <row r="49">
          <cell r="A49">
            <v>1293</v>
          </cell>
          <cell r="B49">
            <v>7</v>
          </cell>
          <cell r="C49" t="str">
            <v>LOS MÁRTIRES</v>
          </cell>
          <cell r="D49" t="str">
            <v>PRIVADO</v>
          </cell>
          <cell r="E49" t="str">
            <v>EPBM</v>
          </cell>
          <cell r="F49" t="str">
            <v>COLEGIO_DE_NUESTRA_SEÑORA_DE_LA_PRESENTACION_CENTRO</v>
          </cell>
          <cell r="G49" t="str">
            <v>COLEGIO DE NUESTRA SEÑORA DE LA PRESENTACION CENTRO</v>
          </cell>
          <cell r="H49" t="str">
            <v>Convivencia escolar</v>
          </cell>
          <cell r="I49" t="str">
            <v>EVALUACIÓN_CON_FINES_DE_MEJORAMIENTO.</v>
          </cell>
          <cell r="J49" t="str">
            <v>Revisar la actualización, socialización e implementación del Sistema Institucional de Evaluación de Estudiantes - SIEE, en articulación con la actualización del PEI y la normatividad vigente.</v>
          </cell>
          <cell r="K49" t="str">
            <v>CARLOS EDUARDO VARGAS LÓPEZ</v>
          </cell>
          <cell r="L49" t="str">
            <v>LUIS ALEJANDRO MARTÍNEZ PALACIOS</v>
          </cell>
          <cell r="M49">
            <v>45825</v>
          </cell>
          <cell r="N49">
            <v>45855</v>
          </cell>
          <cell r="O49">
            <v>45855</v>
          </cell>
          <cell r="P49" t="str">
            <v>Visitas de evaluación con fines de seguimiento</v>
          </cell>
          <cell r="Q49" t="str">
            <v>20250717 Visita COL_NTRA_SRA_DE_LA_PRESENTACION_CENTRO.pdf</v>
          </cell>
          <cell r="R49" t="str">
            <v xml:space="preserve">Durante la visita administrativa se revisaron algunos puntos generales del Sistema Institucional de Evaluación </v>
          </cell>
          <cell r="S49" t="str">
            <v xml:space="preserve">Actualizar el Sistema Institucional de Evaluación de Estudiantes con la participación de la comunidad educativa. 
</v>
          </cell>
          <cell r="T49" t="str">
            <v>NO</v>
          </cell>
          <cell r="U49" t="str">
            <v>Se hará la revisión del sistema institucional de evaluación, según programación POAIV 2026</v>
          </cell>
        </row>
        <row r="50">
          <cell r="A50">
            <v>1294</v>
          </cell>
          <cell r="B50">
            <v>7</v>
          </cell>
          <cell r="C50" t="str">
            <v>LOS MÁRTIRES</v>
          </cell>
          <cell r="D50" t="str">
            <v>PRIVADO</v>
          </cell>
          <cell r="E50" t="str">
            <v>EPBM</v>
          </cell>
          <cell r="F50" t="str">
            <v>COLEGIO_DE_NUESTRA_SEÑORA_DE_LA_PRESENTACION_CENTRO</v>
          </cell>
          <cell r="G50" t="str">
            <v>COLEGIO DE NUESTRA SEÑORA DE LA PRESENTACION CENTRO</v>
          </cell>
          <cell r="H50" t="str">
            <v>Convivencia escolar</v>
          </cell>
          <cell r="I50" t="str">
            <v>EVALUACIÓN_CON_FINES_DE_MEJORAMIENTO.</v>
          </cell>
          <cell r="J50" t="str">
            <v>Revisar el calendario escolar, jornada escolar, la intensidad horaria mínima anual en cada nivel y las modificaciones que se realicen al mismo, de acuerdo con lo previsto en la normatividad vigente.</v>
          </cell>
          <cell r="K50" t="str">
            <v>CARLOS EDUARDO VARGAS LÓPEZ</v>
          </cell>
          <cell r="L50" t="str">
            <v>LUIS ALEJANDRO MARTÍNEZ PALACIOS</v>
          </cell>
          <cell r="M50">
            <v>45825</v>
          </cell>
          <cell r="N50">
            <v>45855</v>
          </cell>
          <cell r="O50">
            <v>45855</v>
          </cell>
          <cell r="P50" t="str">
            <v>Visitas de evaluación con fines de seguimiento</v>
          </cell>
          <cell r="Q50" t="str">
            <v>20250717 Visita COL_NTRA_SRA_DE_LA_PRESENTACION_CENTRO.pdf</v>
          </cell>
          <cell r="R50" t="str">
            <v>Se revisa el calculo de horas anuales y la institución educativa presenta un número mayor de horas a los mínimos establecidos por normatividad según reporte de autoevaluación institucional 2024</v>
          </cell>
          <cell r="S50" t="str">
            <v>Dar cumplimiento a la normatividad vigente, respecto de horas mínimas para los niveles de la educación formal.</v>
          </cell>
          <cell r="T50" t="str">
            <v>No</v>
          </cell>
          <cell r="U50" t="str">
            <v>Se verificará calendario académico 2026, para observar cumplimiento de la normatividad vigente</v>
          </cell>
        </row>
        <row r="51">
          <cell r="A51">
            <v>1295</v>
          </cell>
          <cell r="B51">
            <v>7</v>
          </cell>
          <cell r="C51" t="str">
            <v>LOS MÁRTIRES</v>
          </cell>
          <cell r="D51" t="str">
            <v>PRIVADO</v>
          </cell>
          <cell r="E51" t="str">
            <v>EPBM</v>
          </cell>
          <cell r="F51" t="str">
            <v>COLEGIO_DE_NUESTRA_SEÑORA_DE_LA_PRESENTACION_CENTRO</v>
          </cell>
          <cell r="G51" t="str">
            <v>COLEGIO DE NUESTRA SEÑORA DE LA PRESENTACION CENTRO</v>
          </cell>
          <cell r="H51" t="str">
            <v>Convivencia escolar</v>
          </cell>
          <cell r="I51" t="str">
            <v>EVALUACIÓN_CON_FINES_DE_MEJORAMIENTO.</v>
          </cell>
          <cell r="J51" t="str">
            <v>Verificar el funcionamiento del Gobierno Escolar e instancias de participación con base en la información sobre conformación reportada por la institución educativa.</v>
          </cell>
          <cell r="K51" t="str">
            <v>CARLOS EDUARDO VARGAS LÓPEZ</v>
          </cell>
          <cell r="L51" t="str">
            <v>LUIS ALEJANDRO MARTÍNEZ PALACIOS</v>
          </cell>
          <cell r="M51">
            <v>45825</v>
          </cell>
          <cell r="N51">
            <v>45855</v>
          </cell>
          <cell r="O51">
            <v>45855</v>
          </cell>
          <cell r="P51" t="str">
            <v>Visitas de evaluación con fines de seguimiento</v>
          </cell>
          <cell r="Q51" t="str">
            <v>20250717 Visita COL_NTRA_SRA_DE_LA_PRESENTACION_CENTRO.pdf</v>
          </cell>
          <cell r="R51" t="str">
            <v xml:space="preserve">La institución educativa, cumplió con el reporte de conformación de gobierno escolar y en la visita se verificó su funcionamiento </v>
          </cell>
          <cell r="S51" t="str">
            <v>Cumplir con las sesiones programadas o determinadas por norma para los espacios de gobierno escolar y las otras instancias de participación</v>
          </cell>
          <cell r="T51" t="str">
            <v>No</v>
          </cell>
          <cell r="U51" t="str">
            <v>Según programación del Plan Operativo Anual del equipo local de inspección y vigilancia para el 2026</v>
          </cell>
        </row>
        <row r="52">
          <cell r="A52">
            <v>1296</v>
          </cell>
          <cell r="B52">
            <v>7</v>
          </cell>
          <cell r="C52" t="str">
            <v>LOS MÁRTIRES</v>
          </cell>
          <cell r="D52" t="str">
            <v>PRIVADO</v>
          </cell>
          <cell r="E52" t="str">
            <v>EPBM</v>
          </cell>
          <cell r="F52" t="str">
            <v>COLEGIO_DE_NUESTRA_SEÑORA_DE_LA_PRESENTACION_CENTRO</v>
          </cell>
          <cell r="G52" t="str">
            <v>COLEGIO DE NUESTRA SEÑORA DE LA PRESENTACION CENTRO</v>
          </cell>
          <cell r="H52" t="str">
            <v>Convivencia escolar</v>
          </cell>
          <cell r="I52" t="str">
            <v>EVALUACIÓN_CON_FINES_DE_MEJORAMIENTO.</v>
          </cell>
          <cell r="J52" t="str">
            <v>Verificar las condiciones en cuanto a: la estructura administrativa, condiciones de la planta física y medios educativos adecuados.</v>
          </cell>
          <cell r="K52" t="str">
            <v>CARLOS EDUARDO VARGAS LÓPEZ</v>
          </cell>
          <cell r="L52" t="str">
            <v>LUIS ALEJANDRO MARTÍNEZ PALACIOS</v>
          </cell>
          <cell r="M52">
            <v>45825</v>
          </cell>
          <cell r="N52">
            <v>45855</v>
          </cell>
          <cell r="O52">
            <v>45855</v>
          </cell>
          <cell r="P52" t="str">
            <v>Visitas de evaluación con fines de seguimiento</v>
          </cell>
          <cell r="Q52" t="str">
            <v>20250717 Visita COL_NTRA_SRA_DE_LA_PRESENTACION_CENTRO.pdf</v>
          </cell>
          <cell r="R52" t="str">
            <v xml:space="preserve">La institución educativa cuenta con una planta física y medios educativos acordes con el PEI y que da cuenta del cumplimiento de la normatividad vigente para la prestación de un servicio educativo con calidad </v>
          </cell>
          <cell r="S52" t="str">
            <v xml:space="preserve"> Lo reportado en EVI corresponde, a la realidad institucional respecto la planta física. No requiere convenio de ambientes compartidos.
</v>
          </cell>
          <cell r="T52" t="str">
            <v>No</v>
          </cell>
          <cell r="U52" t="str">
            <v>Según programación del Plan Operativo Anual del equipo local de inspección y vigilancia para el 2026</v>
          </cell>
        </row>
        <row r="53">
          <cell r="A53">
            <v>1297</v>
          </cell>
          <cell r="B53">
            <v>8</v>
          </cell>
          <cell r="C53" t="str">
            <v>LOS MÁRTIRES</v>
          </cell>
          <cell r="D53" t="str">
            <v>PRIVADO_IETDH</v>
          </cell>
          <cell r="E53" t="str">
            <v>IETDH</v>
          </cell>
          <cell r="F53" t="str">
            <v>INSTITUTO_TRIANGULO_PALOQUEMAO</v>
          </cell>
          <cell r="G53" t="str">
            <v>INSTITUTO TRIANGULO PALOQUEMAO</v>
          </cell>
          <cell r="H53" t="str">
            <v>IETDH priorizadas por cada ELIV (seguimiento a PMI, que no se hayan visitado en los últimos 3 años)</v>
          </cell>
          <cell r="I53" t="str">
            <v>SEGUIMIENTO_Y_SUPERVISIÓN.</v>
          </cell>
          <cell r="J53"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53" t="str">
            <v>LUIS ALEJANDRO MARTÍNEZ PALACIOS</v>
          </cell>
          <cell r="L53" t="str">
            <v>CARLOS EDUARDO VARGAS LÓPEZ</v>
          </cell>
          <cell r="M53">
            <v>45856</v>
          </cell>
          <cell r="N53">
            <v>45891</v>
          </cell>
          <cell r="O53">
            <v>45891</v>
          </cell>
          <cell r="P53" t="str">
            <v>Visitas de evaluación con fines de seguimiento</v>
          </cell>
          <cell r="Q53" t="str">
            <v xml:space="preserve">20250822 ETDH_TRIANGULO
</v>
          </cell>
          <cell r="R53" t="str">
            <v>Se verificó el cargue de las matriculas en el SIET,  estudiantes matriculados y certificados</v>
          </cell>
          <cell r="S53" t="str">
            <v>Diligenciar el SIET, en cuanto al rubro de Matriculados y Certificados.
Revisar y actualizar qué programas de formación laboral no tienen estudiantes matriculados</v>
          </cell>
          <cell r="T53" t="str">
            <v>Si</v>
          </cell>
          <cell r="U53" t="str">
            <v>Revisión de plan de mejoramiento que entregue la IETDH en el mes de octubre</v>
          </cell>
        </row>
        <row r="54">
          <cell r="A54">
            <v>1298</v>
          </cell>
          <cell r="B54">
            <v>8</v>
          </cell>
          <cell r="C54" t="str">
            <v>LOS MÁRTIRES</v>
          </cell>
          <cell r="D54" t="str">
            <v>PRIVADO_IETDH</v>
          </cell>
          <cell r="E54" t="str">
            <v>IETDH</v>
          </cell>
          <cell r="F54" t="str">
            <v>INSTITUTO_TRIANGULO_PALOQUEMAO</v>
          </cell>
          <cell r="G54" t="str">
            <v>INSTITUTO TRIANGULO PALOQUEMAO</v>
          </cell>
          <cell r="H54" t="str">
            <v>IETDH priorizadas por cada ELIV (seguimiento a PMI, que no se hayan visitado en los últimos 3 años)</v>
          </cell>
          <cell r="I54" t="str">
            <v>SEGUIMIENTO_Y_SUPERVISIÓN.</v>
          </cell>
          <cell r="J54" t="str">
            <v>Adelantar visitas para verificar que el desarrollo de los programas de ETDH, esté de acuerdo con lo autorizado y la normatividad vigente, para propender por su pertinencia, legalidad y actualización constante.</v>
          </cell>
          <cell r="K54" t="str">
            <v>LUIS ALEJANDRO MARTÍNEZ PALACIOS</v>
          </cell>
          <cell r="L54" t="str">
            <v>CARLOS EDUARDO VARGAS LÓPEZ</v>
          </cell>
          <cell r="M54">
            <v>45856</v>
          </cell>
          <cell r="N54">
            <v>45891</v>
          </cell>
          <cell r="O54">
            <v>45891</v>
          </cell>
          <cell r="P54" t="str">
            <v>Visitas de evaluación con fines de seguimiento</v>
          </cell>
          <cell r="Q54" t="str">
            <v>20250822 ETDH_TRIANGULO</v>
          </cell>
          <cell r="R54" t="str">
            <v>La IETDH cuenta con un sistema de información académico, y mediante verificación por docente se efectuó análisis comparativo entre objetivos, planes, desarrollo y logro de los estudiantes</v>
          </cell>
          <cell r="S54" t="str">
            <v>La IETDH de aplicar la normatividad sobre los programas de formación laboral, Decreto 923 de 2024 y el Decreto 654 de 2021, que reglamentan la ETDH y adopta la Clasificación Única de Ocupaciones para Colombia</v>
          </cell>
          <cell r="T54" t="str">
            <v>No</v>
          </cell>
          <cell r="U54" t="str">
            <v>Revisión de plan de mejoramiento que entregue la IETDH en el mes de octubre y de acuerdo con los tiempos de renovación de los programas</v>
          </cell>
        </row>
        <row r="55">
          <cell r="A55">
            <v>1299</v>
          </cell>
          <cell r="B55">
            <v>8</v>
          </cell>
          <cell r="C55" t="str">
            <v>LOS MÁRTIRES</v>
          </cell>
          <cell r="D55" t="str">
            <v>PRIVADO_IETDH</v>
          </cell>
          <cell r="E55" t="str">
            <v>IETDH</v>
          </cell>
          <cell r="F55" t="str">
            <v>INSTITUTO_TRIANGULO_PALOQUEMAO</v>
          </cell>
          <cell r="G55" t="str">
            <v>INSTITUTO TRIANGULO PALOQUEMAO</v>
          </cell>
          <cell r="H55" t="str">
            <v>IETDH priorizadas por cada ELIV (seguimiento a PMI, que no se hayan visitado en los últimos 3 años)</v>
          </cell>
          <cell r="I55" t="str">
            <v>EVALUACIÓN_CON_FINES_DE_MEJORAMIENTO.</v>
          </cell>
          <cell r="J55" t="str">
            <v>Verificar las condiciones en cuanto a: la estructura administrativa, condiciones de la planta física y medios educativos adecuados.</v>
          </cell>
          <cell r="K55" t="str">
            <v>LUIS ALEJANDRO MARTÍNEZ PALACIOS</v>
          </cell>
          <cell r="L55" t="str">
            <v>CARLOS EDUARDO VARGAS LÓPEZ</v>
          </cell>
          <cell r="M55">
            <v>45856</v>
          </cell>
          <cell r="N55">
            <v>45891</v>
          </cell>
          <cell r="O55">
            <v>45891</v>
          </cell>
          <cell r="P55" t="str">
            <v>Visitas de evaluación con fines de seguimiento</v>
          </cell>
          <cell r="Q55" t="str">
            <v>20250822 ETDH_TRIANGULO</v>
          </cell>
          <cell r="R55" t="str">
            <v>La IETDH cuenta con instalaciones suficientes y adecuadas para la prestación del servicio educativo</v>
          </cell>
          <cell r="S55" t="str">
            <v>Mantener las condiciones de la infraestructura para la prestación del servicio educativo</v>
          </cell>
          <cell r="T55" t="str">
            <v>No</v>
          </cell>
          <cell r="U55" t="str">
            <v>Verificación en próxima visita administrativa. Según programación del Plan Operativo Anual del equipo local de inspección y vigilancia para el 2026</v>
          </cell>
        </row>
        <row r="56">
          <cell r="A56">
            <v>1300</v>
          </cell>
          <cell r="B56">
            <v>9</v>
          </cell>
          <cell r="C56" t="str">
            <v>LOS MÁRTIRES</v>
          </cell>
          <cell r="D56" t="str">
            <v>PRIVADO</v>
          </cell>
          <cell r="E56" t="str">
            <v>Educación de Jóvenes y Adultos</v>
          </cell>
          <cell r="F56" t="str">
            <v>COLEGIO_TRIANGULO_PALOQUEMAO</v>
          </cell>
          <cell r="G56" t="str">
            <v>COLEGIO TRIANGULO PALOQUEMAO</v>
          </cell>
          <cell r="H56" t="str">
            <v>Autoevaluación Institucional y Pruebas SABER 11</v>
          </cell>
          <cell r="I56" t="str">
            <v>SEGUIMIENTO_Y_SUPERVISIÓN.</v>
          </cell>
          <cell r="J56" t="str">
            <v>Realizar visitas para verificar la información registrada sobre la autoevaluación institucional en el aplicativo EVI, a los establecimientos de educación formal no oficial.</v>
          </cell>
          <cell r="K56" t="str">
            <v>LUIS ALEJANDRO MARTÍNEZ PALACIOS</v>
          </cell>
          <cell r="L56" t="str">
            <v>CARLOS EDUARDO VARGAS LÓPEZ</v>
          </cell>
          <cell r="M56">
            <v>45861</v>
          </cell>
          <cell r="N56">
            <v>45891</v>
          </cell>
          <cell r="O56">
            <v>45891</v>
          </cell>
          <cell r="P56" t="str">
            <v>Visitas de evaluación con fines de seguimiento</v>
          </cell>
          <cell r="Q56" t="str">
            <v>Visita_Col_Triangulo.pdf</v>
          </cell>
          <cell r="R56" t="str">
            <v>Se revisa reporte PDF de la autoevaluación institucional 2024, encontrando en términos generales correspondencia entre el reporte y lo evidenciado en la visita</v>
          </cell>
          <cell r="S56" t="str">
            <v xml:space="preserve">Reportar en la autovaluación 2025 todos los espacios que contiene la planta física autorizada. </v>
          </cell>
          <cell r="T56" t="str">
            <v>No</v>
          </cell>
          <cell r="U56" t="str">
            <v>Revisar la autoevalución institucional 2025 para las tarifas educativas 2026</v>
          </cell>
        </row>
        <row r="57">
          <cell r="A57">
            <v>1301</v>
          </cell>
          <cell r="B57">
            <v>9</v>
          </cell>
          <cell r="C57" t="str">
            <v>LOS MÁRTIRES</v>
          </cell>
          <cell r="D57" t="str">
            <v>PRIVADO</v>
          </cell>
          <cell r="E57" t="str">
            <v>Educación de Jóvenes y Adultos</v>
          </cell>
          <cell r="F57" t="str">
            <v>COLEGIO_TRIANGULO_PALOQUEMAO</v>
          </cell>
          <cell r="G57" t="str">
            <v>COLEGIO TRIANGULO PALOQUEMAO</v>
          </cell>
          <cell r="H57" t="str">
            <v>Autoevaluación Institucional y Pruebas SABER 11</v>
          </cell>
          <cell r="I57" t="str">
            <v>SEGUIMIENTO_Y_SUPERVISIÓN.</v>
          </cell>
          <cell r="J57" t="str">
            <v>Proponer estrategias en la formulación, verificar su elaboración y realizar seguimiento semestral al desarrollo de  las acciones establecidas en los planes de mejoramiento por pruebas SABER 11 de los establecimientos de educación formal.</v>
          </cell>
          <cell r="K57" t="str">
            <v>LUIS ALEJANDRO MARTÍNEZ PALACIOS</v>
          </cell>
          <cell r="L57" t="str">
            <v>CARLOS EDUARDO VARGAS LÓPEZ</v>
          </cell>
          <cell r="M57">
            <v>45861</v>
          </cell>
          <cell r="N57">
            <v>45891</v>
          </cell>
          <cell r="O57">
            <v>45891</v>
          </cell>
          <cell r="P57" t="str">
            <v>Visitas de evaluación con fines de seguimiento</v>
          </cell>
          <cell r="Q57" t="str">
            <v>Visita_Col_Triangulo.pdf</v>
          </cell>
          <cell r="R57" t="str">
            <v>De acuerdo con la oferta educativa de adultos, se presentan diferencias significativas en los resultados de pruebas Saber. Aunque por parte del ICFES, no se cuenta con datos consolidados, la instituición educativa realiza un análisis individual y ha desarrollado una propuesta pedagógica virtual denominada "Ponte A Prueba".</v>
          </cell>
          <cell r="S57" t="str">
            <v>Realizar el análisis cada año de los resultados de SABER 11 para fortalecer la estrategia implementada o establecer otras.</v>
          </cell>
          <cell r="T57" t="str">
            <v>NO</v>
          </cell>
          <cell r="U57" t="str">
            <v xml:space="preserve">Verificación en próxima visita administrativa según programación POAIV del 2026.
</v>
          </cell>
        </row>
        <row r="58">
          <cell r="A58">
            <v>1302</v>
          </cell>
          <cell r="B58">
            <v>9</v>
          </cell>
          <cell r="C58" t="str">
            <v>LOS MÁRTIRES</v>
          </cell>
          <cell r="D58" t="str">
            <v>PRIVADO</v>
          </cell>
          <cell r="E58" t="str">
            <v>Educación de Jóvenes y Adultos</v>
          </cell>
          <cell r="F58" t="str">
            <v>COLEGIO_TRIANGULO_PALOQUEMAO</v>
          </cell>
          <cell r="G58" t="str">
            <v>COLEGIO TRIANGULO PALOQUEMAO</v>
          </cell>
          <cell r="H58" t="str">
            <v>Autoevaluación Institucional y Pruebas SABER 11</v>
          </cell>
          <cell r="I58" t="str">
            <v>SEGUIMIENTO_Y_SUPERVISIÓN.</v>
          </cell>
          <cell r="J58" t="str">
            <v xml:space="preserve">Verificar la implementación por parte de los colegios, de acciones realizadas para la prevención y atención de las situaciones de convivencia en el entorno escolar, según lo establecido en la Directiva 01 de 2022 del MEN. </v>
          </cell>
          <cell r="K58" t="str">
            <v>LUIS ALEJANDRO MARTÍNEZ PALACIOS</v>
          </cell>
          <cell r="L58" t="str">
            <v>CARLOS EDUARDO VARGAS LÓPEZ</v>
          </cell>
          <cell r="M58">
            <v>45861</v>
          </cell>
          <cell r="N58">
            <v>45891</v>
          </cell>
          <cell r="O58">
            <v>45891</v>
          </cell>
          <cell r="P58" t="str">
            <v>Visitas de evaluación con fines de seguimiento</v>
          </cell>
          <cell r="Q58" t="str">
            <v>Visita_Col_Triangulo.pdf</v>
          </cell>
          <cell r="R58" t="str">
            <v>Se revisaron las hojas de vida de los docentes encontrando que se aporta la verificación de inhabilidades por delitos sexuales</v>
          </cell>
          <cell r="S58" t="str">
            <v>Continuar realizando la consulta de inhabilidades conforme con la periodicidad establecida en la Directiva.</v>
          </cell>
          <cell r="T58" t="str">
            <v>No</v>
          </cell>
          <cell r="U58" t="str">
            <v>A demanda de acuerdo con las peticiones de la ciudadanía o de los entes de control</v>
          </cell>
        </row>
        <row r="59">
          <cell r="A59">
            <v>1303</v>
          </cell>
          <cell r="B59">
            <v>9</v>
          </cell>
          <cell r="C59" t="str">
            <v>LOS MÁRTIRES</v>
          </cell>
          <cell r="D59" t="str">
            <v>PRIVADO</v>
          </cell>
          <cell r="E59" t="str">
            <v>Educación de Jóvenes y Adultos</v>
          </cell>
          <cell r="F59" t="str">
            <v>COLEGIO_TRIANGULO_PALOQUEMAO</v>
          </cell>
          <cell r="G59" t="str">
            <v>COLEGIO TRIANGULO PALOQUEMAO</v>
          </cell>
          <cell r="H59" t="str">
            <v>Autoevaluación Institucional y Pruebas SABER 11</v>
          </cell>
          <cell r="I59" t="str">
            <v>SEGUIMIENTO_Y_SUPERVISIÓN.</v>
          </cell>
          <cell r="J5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59" t="str">
            <v>LUIS ALEJANDRO MARTÍNEZ PALACIOS</v>
          </cell>
          <cell r="L59" t="str">
            <v>CARLOS EDUARDO VARGAS LÓPEZ</v>
          </cell>
          <cell r="M59">
            <v>45861</v>
          </cell>
          <cell r="N59">
            <v>45891</v>
          </cell>
          <cell r="O59">
            <v>45891</v>
          </cell>
          <cell r="P59" t="str">
            <v>Visitas de evaluación con fines de seguimiento</v>
          </cell>
          <cell r="Q59" t="str">
            <v>Visita_Col_Triangulo.pdf</v>
          </cell>
          <cell r="R59" t="str">
            <v>Según la información registrada en SIMAT y lo indicado por las directivas, la institución no cuenta con población estudiantil con diagnóstico reportado.</v>
          </cell>
          <cell r="S59" t="str">
            <v>Mantener actualizado el SIMAT</v>
          </cell>
          <cell r="T59" t="str">
            <v>NO</v>
          </cell>
          <cell r="U59" t="str">
            <v>A demanda de acuerdo con las peticiones de la ciudadanía o de los entes de control</v>
          </cell>
        </row>
        <row r="60">
          <cell r="A60">
            <v>1304</v>
          </cell>
          <cell r="B60">
            <v>9</v>
          </cell>
          <cell r="C60" t="str">
            <v>LOS MÁRTIRES</v>
          </cell>
          <cell r="D60" t="str">
            <v>PRIVADO</v>
          </cell>
          <cell r="E60" t="str">
            <v>Educación de Jóvenes y Adultos</v>
          </cell>
          <cell r="F60" t="str">
            <v>COLEGIO_TRIANGULO_PALOQUEMAO</v>
          </cell>
          <cell r="G60" t="str">
            <v>COLEGIO TRIANGULO PALOQUEMAO</v>
          </cell>
          <cell r="H60" t="str">
            <v>Autoevaluación Institucional y Pruebas SABER 11</v>
          </cell>
          <cell r="I60" t="str">
            <v>EVALUACIÓN_CON_FINES_DE_MEJORAMIENTO.</v>
          </cell>
          <cell r="J6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0" t="str">
            <v>LUIS ALEJANDRO MARTÍNEZ PALACIOS</v>
          </cell>
          <cell r="L60" t="str">
            <v>CARLOS EDUARDO VARGAS LÓPEZ</v>
          </cell>
          <cell r="M60">
            <v>45861</v>
          </cell>
          <cell r="N60">
            <v>45891</v>
          </cell>
          <cell r="O60">
            <v>45891</v>
          </cell>
          <cell r="P60" t="str">
            <v>Visitas de evaluación con fines de seguimiento</v>
          </cell>
          <cell r="Q60" t="str">
            <v>Visita_Col_Triangulo.pdf</v>
          </cell>
          <cell r="R60" t="str">
            <v>Se verificó la existencia del Manual de Convivencia, en documento presentado en 114 páginas; sin embargo, no se evidenció el desarrollo de enfoques como el de justicia escolar restaurativa</v>
          </cell>
          <cell r="S60" t="str">
            <v>Revisar su Manual y actualizarlo con la participación de los órganos e instancias correspondientes y presentarlo para su evaluación.</v>
          </cell>
          <cell r="T60" t="str">
            <v>Si</v>
          </cell>
          <cell r="U60" t="str">
            <v>Evaluación del Manual de Convivencia actualizado en febrero de 2026</v>
          </cell>
        </row>
        <row r="61">
          <cell r="A61">
            <v>1305</v>
          </cell>
          <cell r="B61">
            <v>9</v>
          </cell>
          <cell r="C61" t="str">
            <v>LOS MÁRTIRES</v>
          </cell>
          <cell r="D61" t="str">
            <v>PRIVADO</v>
          </cell>
          <cell r="E61" t="str">
            <v>Educación de Jóvenes y Adultos</v>
          </cell>
          <cell r="F61" t="str">
            <v>COLEGIO_TRIANGULO_PALOQUEMAO</v>
          </cell>
          <cell r="G61" t="str">
            <v>COLEGIO TRIANGULO PALOQUEMAO</v>
          </cell>
          <cell r="H61" t="str">
            <v>Autoevaluación Institucional y Pruebas SABER 11</v>
          </cell>
          <cell r="I61" t="str">
            <v>EVALUACIÓN_CON_FINES_DE_MEJORAMIENTO.</v>
          </cell>
          <cell r="J61" t="str">
            <v>Revisar la actualización, socialización e implementación del Sistema Institucional de Evaluación de Estudiantes - SIEE, en articulación con la actualización del PEI y la normatividad vigente.</v>
          </cell>
          <cell r="K61" t="str">
            <v>LUIS ALEJANDRO MARTÍNEZ PALACIOS</v>
          </cell>
          <cell r="L61" t="str">
            <v>CARLOS EDUARDO VARGAS LÓPEZ</v>
          </cell>
          <cell r="M61">
            <v>45861</v>
          </cell>
          <cell r="N61">
            <v>45891</v>
          </cell>
          <cell r="O61">
            <v>45891</v>
          </cell>
          <cell r="P61" t="str">
            <v>Visitas de evaluación con fines de seguimiento</v>
          </cell>
          <cell r="Q61" t="str">
            <v>Visita_Col_Triangulo.pdf</v>
          </cell>
          <cell r="R61" t="str">
            <v>El SIEE se encuentra incluido en el Manual de Convivencia el cual da cuenta de la normatividad vigente</v>
          </cell>
          <cell r="S61" t="str">
            <v>Revisar su SIEE y actualizarlo con la participación de los órganos e instancias correspondientes y presentarlo para su evaluación.</v>
          </cell>
          <cell r="T61" t="str">
            <v>Si</v>
          </cell>
          <cell r="U61" t="str">
            <v>Evaluación del SIEE actualizado en febrero de 2026</v>
          </cell>
        </row>
        <row r="62">
          <cell r="A62">
            <v>1306</v>
          </cell>
          <cell r="B62">
            <v>9</v>
          </cell>
          <cell r="C62" t="str">
            <v>LOS MÁRTIRES</v>
          </cell>
          <cell r="D62" t="str">
            <v>PRIVADO</v>
          </cell>
          <cell r="E62" t="str">
            <v>Educación de Jóvenes y Adultos</v>
          </cell>
          <cell r="F62" t="str">
            <v>COLEGIO_TRIANGULO_PALOQUEMAO</v>
          </cell>
          <cell r="G62" t="str">
            <v>COLEGIO TRIANGULO PALOQUEMAO</v>
          </cell>
          <cell r="H62" t="str">
            <v>Autoevaluación Institucional y Pruebas SABER 11</v>
          </cell>
          <cell r="I62" t="str">
            <v>EVALUACIÓN_CON_FINES_DE_MEJORAMIENTO.</v>
          </cell>
          <cell r="J62" t="str">
            <v>Revisar el calendario escolar, jornada escolar, la intensidad horaria mínima anual en cada nivel y las modificaciones que se realicen al mismo, de acuerdo con lo previsto en la normatividad vigente.</v>
          </cell>
          <cell r="K62" t="str">
            <v>LUIS ALEJANDRO MARTÍNEZ PALACIOS</v>
          </cell>
          <cell r="L62" t="str">
            <v>CARLOS EDUARDO VARGAS LÓPEZ</v>
          </cell>
          <cell r="M62">
            <v>45861</v>
          </cell>
          <cell r="N62">
            <v>45891</v>
          </cell>
          <cell r="O62">
            <v>45891</v>
          </cell>
          <cell r="P62" t="str">
            <v>Visitas de evaluación con fines de seguimiento</v>
          </cell>
          <cell r="Q62" t="str">
            <v>Visita_Col_Triangulo.pdf</v>
          </cell>
          <cell r="R62" t="str">
            <v>Se verificó el cumplimiento del mínimo de horas anuales lectivas para la eduación de adultos, acorde con lo establecido en el articulo 2.3.3.5.3.4.4. del Decreto 1075 de 2015</v>
          </cell>
          <cell r="S62" t="str">
            <v>Dar cumplimiento a la normatividad vigente, respecto de horas mínimas para los niveles de la educación formal.</v>
          </cell>
          <cell r="T62" t="str">
            <v>No</v>
          </cell>
          <cell r="U62" t="str">
            <v>Verificación para la próxima vigencia del Calendario establecido o en caso particular si se presenta queja relacionada.</v>
          </cell>
        </row>
        <row r="63">
          <cell r="A63">
            <v>1307</v>
          </cell>
          <cell r="B63">
            <v>9</v>
          </cell>
          <cell r="C63" t="str">
            <v>LOS MÁRTIRES</v>
          </cell>
          <cell r="D63" t="str">
            <v>PRIVADO</v>
          </cell>
          <cell r="E63" t="str">
            <v>Educación de Jóvenes y Adultos</v>
          </cell>
          <cell r="F63" t="str">
            <v>COLEGIO_TRIANGULO_PALOQUEMAO</v>
          </cell>
          <cell r="G63" t="str">
            <v>COLEGIO TRIANGULO PALOQUEMAO</v>
          </cell>
          <cell r="H63" t="str">
            <v>Autoevaluación Institucional y Pruebas SABER 11</v>
          </cell>
          <cell r="I63" t="str">
            <v>EVALUACIÓN_CON_FINES_DE_MEJORAMIENTO.</v>
          </cell>
          <cell r="J63" t="str">
            <v>Verificar el funcionamiento del Gobierno Escolar e instancias de participación con base en la información sobre conformación reportada por la institución educativa.</v>
          </cell>
          <cell r="K63" t="str">
            <v>LUIS ALEJANDRO MARTÍNEZ PALACIOS</v>
          </cell>
          <cell r="L63" t="str">
            <v>CARLOS EDUARDO VARGAS LÓPEZ</v>
          </cell>
          <cell r="M63">
            <v>45861</v>
          </cell>
          <cell r="N63">
            <v>45891</v>
          </cell>
          <cell r="O63">
            <v>45891</v>
          </cell>
          <cell r="P63" t="str">
            <v>Visitas de evaluación con fines de seguimiento</v>
          </cell>
          <cell r="Q63" t="str">
            <v>Visita_Col_Triangulo.pdf</v>
          </cell>
          <cell r="R63" t="str">
            <v>Se revisan actas del año lectivo 2024 de los diferentes espacios de gobierno escolar y de otras instancias de participación. Se observa la operatividad del gobierno escolar, sin embargo, no se cuenta con el Consejo de Padres de Familia, por lo cual es necesario realizar el proceso para su conformación.</v>
          </cell>
          <cell r="S63" t="str">
            <v>Realizar las sesiones de gobiernos escolares e instancias segun sus funciones y en la periodicida establecida en la normatividad vigente</v>
          </cell>
          <cell r="T63" t="str">
            <v>SI</v>
          </cell>
          <cell r="U63" t="str">
            <v xml:space="preserve">Verificación en próxima visita administrativa según programación POAIV del 2026.
</v>
          </cell>
        </row>
        <row r="64">
          <cell r="A64">
            <v>1308</v>
          </cell>
          <cell r="B64">
            <v>9</v>
          </cell>
          <cell r="C64" t="str">
            <v>LOS MÁRTIRES</v>
          </cell>
          <cell r="D64" t="str">
            <v>PRIVADO</v>
          </cell>
          <cell r="E64" t="str">
            <v>Educación de Jóvenes y Adultos</v>
          </cell>
          <cell r="F64" t="str">
            <v>COLEGIO_TRIANGULO_PALOQUEMAO</v>
          </cell>
          <cell r="G64" t="str">
            <v>COLEGIO TRIANGULO PALOQUEMAO</v>
          </cell>
          <cell r="H64" t="str">
            <v>Autoevaluación Institucional y Pruebas SABER 11</v>
          </cell>
          <cell r="I64" t="str">
            <v>EVALUACIÓN_CON_FINES_DE_MEJORAMIENTO.</v>
          </cell>
          <cell r="J64" t="str">
            <v>Verificar las condiciones en cuanto a: la estructura administrativa, condiciones de la planta física y medios educativos adecuados.</v>
          </cell>
          <cell r="K64" t="str">
            <v>LUIS ALEJANDRO MARTÍNEZ PALACIOS</v>
          </cell>
          <cell r="L64" t="str">
            <v>CARLOS EDUARDO VARGAS LÓPEZ</v>
          </cell>
          <cell r="M64">
            <v>45861</v>
          </cell>
          <cell r="N64">
            <v>45891</v>
          </cell>
          <cell r="O64">
            <v>45891</v>
          </cell>
          <cell r="P64" t="str">
            <v>Visitas de evaluación con fines de seguimiento</v>
          </cell>
          <cell r="Q64" t="str">
            <v>Visita_Col_Triangulo.pdf</v>
          </cell>
          <cell r="R64" t="str">
            <v>Se realizó la evaluación de las aulas, talleres, laboratorios, áreas administrativas, servicios sanitarios, zonas deportivas y demás instalaciones, considerando sus características físicas, mobiliario, equipamiento, accesibilidad y conectividad. Como resultado, se determinó que dichas instalaciones cumplen con la normativa vigente.</v>
          </cell>
          <cell r="S64" t="str">
            <v>Mantener las condiciones para la prestación del servicio educativo</v>
          </cell>
          <cell r="T64" t="str">
            <v>No</v>
          </cell>
          <cell r="U64" t="str">
            <v>Según programación del Plan Operativo Anual del equipo local de inspección y vigilancia para lo restante de 2025 y para el 2026</v>
          </cell>
        </row>
        <row r="65">
          <cell r="A65">
            <v>1309</v>
          </cell>
          <cell r="B65">
            <v>10</v>
          </cell>
          <cell r="C65" t="str">
            <v>LOS MÁRTIRES</v>
          </cell>
          <cell r="D65" t="str">
            <v>PRIVADO_IETDH</v>
          </cell>
          <cell r="E65" t="str">
            <v>IETDH</v>
          </cell>
          <cell r="F65" t="str">
            <v>ESCUELA_DE_FORMACIÓN_TÉCNICA_AUTOMOTRÍZ</v>
          </cell>
          <cell r="G65" t="str">
            <v>ESCUELA DE FORMACIÓN TÉCNICA AUTOMOTRÍZ</v>
          </cell>
          <cell r="H65" t="str">
            <v>IETDH priorizadas por cada ELIV (seguimiento a PMI, que no se hayan visitado en los últimos 3 años)</v>
          </cell>
          <cell r="I65" t="str">
            <v>SEGUIMIENTO_Y_SUPERVISIÓN.</v>
          </cell>
          <cell r="J65" t="str">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ell>
          <cell r="K65" t="str">
            <v>LUIS ALEJANDRO MARTÍNEZ PALACIOS</v>
          </cell>
          <cell r="L65" t="str">
            <v>CARLOS EDUARDO VARGAS LÓPEZ</v>
          </cell>
          <cell r="M65">
            <v>45867</v>
          </cell>
          <cell r="N65">
            <v>45889</v>
          </cell>
          <cell r="O65">
            <v>45889</v>
          </cell>
          <cell r="P65" t="str">
            <v>Visitas de evaluación con fines de seguimiento</v>
          </cell>
          <cell r="Q65" t="str">
            <v>Vis_ESC_ENS_AUTOMOTRIZ.pdf</v>
          </cell>
          <cell r="R65" t="str">
            <v>Verificado el SIET, se evidencia que no hay registro de  matrícula, certificados ni costos de los programas para la vigenccia 2025.</v>
          </cell>
          <cell r="S65" t="str">
            <v>Comunicación a los propietarios para cerificar las condiciones de la prestación del servicio educativo.</v>
          </cell>
          <cell r="T65" t="str">
            <v>NO</v>
          </cell>
          <cell r="U65" t="str">
            <v>En el mes de octubre se programará nueva visita para verificar funcionamiento. La IE quedará priorizada para la vigencia 2026.</v>
          </cell>
        </row>
        <row r="66">
          <cell r="A66">
            <v>1310</v>
          </cell>
          <cell r="B66">
            <v>10</v>
          </cell>
          <cell r="C66" t="str">
            <v>LOS MÁRTIRES</v>
          </cell>
          <cell r="D66" t="str">
            <v>PRIVADO_IETDH</v>
          </cell>
          <cell r="E66" t="str">
            <v>IETDH</v>
          </cell>
          <cell r="F66" t="str">
            <v>ESCUELA_DE_FORMACIÓN_TÉCNICA_AUTOMOTRÍZ</v>
          </cell>
          <cell r="G66" t="str">
            <v>ESCUELA DE FORMACIÓN TÉCNICA AUTOMOTRÍZ</v>
          </cell>
          <cell r="H66" t="str">
            <v>IETDH priorizadas por cada ELIV (seguimiento a PMI, que no se hayan visitado en los últimos 3 años)</v>
          </cell>
          <cell r="I66" t="str">
            <v>SEGUIMIENTO_Y_SUPERVISIÓN.</v>
          </cell>
          <cell r="J66" t="str">
            <v>Adelantar visitas para verificar que el desarrollo de los programas de ETDH, esté de acuerdo con lo autorizado y la normatividad vigente, para propender por su pertinencia, legalidad y actualización constante.</v>
          </cell>
          <cell r="K66" t="str">
            <v>LUIS ALEJANDRO MARTÍNEZ PALACIOS</v>
          </cell>
          <cell r="L66" t="str">
            <v>CARLOS EDUARDO VARGAS LÓPEZ</v>
          </cell>
          <cell r="M66">
            <v>45867</v>
          </cell>
          <cell r="N66">
            <v>45889</v>
          </cell>
          <cell r="O66">
            <v>45889</v>
          </cell>
          <cell r="P66" t="str">
            <v>Visitas de evaluación con fines de seguimiento</v>
          </cell>
          <cell r="Q66" t="str">
            <v>Vis_ESC_ENS_AUTOMOTRIZ.pdf</v>
          </cell>
          <cell r="R66" t="str">
            <v>No fue posible evidenciar la prestación del servicio educativo en la sede. Además, no se observó ningún tipo de publicidad institucional de la IETDH; por el contrario, se encontró un aviso de arriendo en el inmueble.</v>
          </cell>
          <cell r="S66" t="str">
            <v>Comunicación a los propietarios para cerificar las condiciones de la prestación del servicio educativo.</v>
          </cell>
          <cell r="T66" t="str">
            <v>NO</v>
          </cell>
          <cell r="U66" t="str">
            <v>En el mes de octubre se programará nueva visita para verificar funcionamiento. La IE quedará priorizada para la vigencia 2026.</v>
          </cell>
        </row>
        <row r="67">
          <cell r="A67">
            <v>1311</v>
          </cell>
          <cell r="B67">
            <v>10</v>
          </cell>
          <cell r="C67" t="str">
            <v>LOS MÁRTIRES</v>
          </cell>
          <cell r="D67" t="str">
            <v>PRIVADO_IETDH</v>
          </cell>
          <cell r="E67" t="str">
            <v>IETDH</v>
          </cell>
          <cell r="F67" t="str">
            <v>ESCUELA_DE_FORMACIÓN_TÉCNICA_AUTOMOTRÍZ</v>
          </cell>
          <cell r="G67" t="str">
            <v>ESCUELA DE FORMACIÓN TÉCNICA AUTOMOTRÍZ</v>
          </cell>
          <cell r="H67" t="str">
            <v>IETDH priorizadas por cada ELIV (seguimiento a PMI, que no se hayan visitado en los últimos 3 años)</v>
          </cell>
          <cell r="I67" t="str">
            <v>EVALUACIÓN_CON_FINES_DE_MEJORAMIENTO.</v>
          </cell>
          <cell r="J67" t="str">
            <v>Verificar las condiciones en cuanto a: la estructura administrativa, condiciones de la planta física y medios educativos adecuados.</v>
          </cell>
          <cell r="K67" t="str">
            <v>LUIS ALEJANDRO MARTÍNEZ PALACIOS</v>
          </cell>
          <cell r="L67" t="str">
            <v>CARLOS EDUARDO VARGAS LÓPEZ</v>
          </cell>
          <cell r="M67">
            <v>45867</v>
          </cell>
          <cell r="N67">
            <v>45889</v>
          </cell>
          <cell r="O67">
            <v>45889</v>
          </cell>
          <cell r="P67" t="str">
            <v>Visitas de evaluación con fines de seguimiento</v>
          </cell>
          <cell r="Q67" t="str">
            <v>Vis_ESC_ENS_AUTOMOTRIZ.pdf</v>
          </cell>
          <cell r="R67" t="str">
            <v>No fue posible evidenciar la prestación del servicio educativo en la sede. Además, no se observó ningún tipo de publicidad institucional de la IETDH; por el contrario, se encontró un aviso de arriendo en el inmueble.</v>
          </cell>
          <cell r="S67" t="str">
            <v>Comunicación a los propietarios para cerificar las condiciones de la prestación del servicio educativo.</v>
          </cell>
          <cell r="T67" t="str">
            <v>NO</v>
          </cell>
          <cell r="U67" t="str">
            <v>En el mes de octubre se programará nueva visita para verificar funcionamiento. La IE quedará priorizada para la vigencia 2026.</v>
          </cell>
        </row>
        <row r="68">
          <cell r="A68">
            <v>1313</v>
          </cell>
          <cell r="B68">
            <v>11</v>
          </cell>
          <cell r="C68" t="str">
            <v>LOS MÁRTIRES</v>
          </cell>
          <cell r="D68" t="str">
            <v>OFICIAL</v>
          </cell>
          <cell r="E68" t="str">
            <v>EPBM</v>
          </cell>
          <cell r="F68" t="str">
            <v>COLEGIO_PANAMERICANO_IED</v>
          </cell>
          <cell r="G68" t="str">
            <v>COLEGIO_PANAMERICANO_IED</v>
          </cell>
          <cell r="H68" t="str">
            <v>Colegios Nuevos (creados en los últimos 2 años) / Seguimiento a los PMI acordados en 2024</v>
          </cell>
          <cell r="I68" t="str">
            <v>SEGUIMIENTO_Y_SUPERVISIÓN.</v>
          </cell>
          <cell r="J68" t="str">
            <v xml:space="preserve">Verificar la implementación por parte de los colegios, de acciones realizadas para la prevención y atención de las situaciones de convivencia en el entorno escolar, según lo establecido en la Directiva 01 de 2022 del MEN. </v>
          </cell>
          <cell r="K68" t="str">
            <v>LUIS ALEJANDRO MARTÍNEZ PALACIOS</v>
          </cell>
          <cell r="L68" t="str">
            <v>CARLOS EDUARDO VARGAS LÓPEZ</v>
          </cell>
          <cell r="M68">
            <v>45873</v>
          </cell>
          <cell r="N68">
            <v>45874</v>
          </cell>
          <cell r="O68">
            <v>45874</v>
          </cell>
          <cell r="P68" t="str">
            <v>Visitas de evaluación con fines de seguimiento</v>
          </cell>
          <cell r="Q68" t="str">
            <v>Visita_Col_Panamericano_IED.pdf</v>
          </cell>
          <cell r="R68" t="str">
            <v xml:space="preserve">No se evidencia el desarrollo de los componentes de promoción y prevención. Desde el orientación escolar se presentan estadísticas de las situaciones que más afectan la convivencia escolar </v>
          </cell>
          <cell r="S68" t="str">
            <v>Generar plan de convivencia de convivencia escolar con las estrategias de promoción y prevención</v>
          </cell>
          <cell r="T68" t="str">
            <v>Si</v>
          </cell>
          <cell r="U68" t="str">
            <v>Se realizará visita de seguimiento en el mes de octubre y seguimiento en la vigencia 2026.</v>
          </cell>
        </row>
        <row r="69">
          <cell r="A69">
            <v>1314</v>
          </cell>
          <cell r="B69">
            <v>11</v>
          </cell>
          <cell r="C69" t="str">
            <v>LOS MÁRTIRES</v>
          </cell>
          <cell r="D69" t="str">
            <v>OFICIAL</v>
          </cell>
          <cell r="E69" t="str">
            <v>EPBM</v>
          </cell>
          <cell r="F69" t="str">
            <v>COLEGIO_PANAMERICANO_IED</v>
          </cell>
          <cell r="G69" t="str">
            <v>COLEGIO_PANAMERICANO_IED</v>
          </cell>
          <cell r="H69" t="str">
            <v>Colegios Nuevos (creados en los últimos 2 años) / Seguimiento a los PMI acordados en 2024</v>
          </cell>
          <cell r="I69" t="str">
            <v>EVALUACIÓN_CON_FINES_DE_MEJORAMIENTO.</v>
          </cell>
          <cell r="J69"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69" t="str">
            <v>LUIS ALEJANDRO MARTÍNEZ PALACIOS</v>
          </cell>
          <cell r="L69" t="str">
            <v>CARLOS EDUARDO VARGAS LÓPEZ</v>
          </cell>
          <cell r="M69">
            <v>45873</v>
          </cell>
          <cell r="N69">
            <v>45874</v>
          </cell>
          <cell r="O69">
            <v>45874</v>
          </cell>
          <cell r="P69" t="str">
            <v>Visitas de evaluación con fines de seguimiento</v>
          </cell>
          <cell r="Q69" t="str">
            <v>Visita_Col_Panamericano_IED.pdf</v>
          </cell>
          <cell r="R69" t="str">
            <v>Se realiza revisión general del Manual de Convivencia, no soportan la actualización del manual de convivencia con la participación de la comunidad educativa. Se debe realizar su actualización.</v>
          </cell>
          <cell r="S69" t="str">
            <v>Actualizar el Manual de Convivencia con la participación de la comunidad educativa incorporando todos los elementos de ley y enfoques diferenciales.</v>
          </cell>
          <cell r="T69" t="str">
            <v>Si</v>
          </cell>
          <cell r="U69" t="str">
            <v>Se hará la revisión y evaluación del manual de convivencia actualizado en 2026.</v>
          </cell>
        </row>
        <row r="70">
          <cell r="A70">
            <v>1315</v>
          </cell>
          <cell r="B70">
            <v>11</v>
          </cell>
          <cell r="C70" t="str">
            <v>LOS MÁRTIRES</v>
          </cell>
          <cell r="D70" t="str">
            <v>OFICIAL</v>
          </cell>
          <cell r="E70" t="str">
            <v>EPBM</v>
          </cell>
          <cell r="F70" t="str">
            <v>COLEGIO_PANAMERICANO_IED</v>
          </cell>
          <cell r="G70" t="str">
            <v>COLEGIO_PANAMERICANO_IED</v>
          </cell>
          <cell r="H70" t="str">
            <v>Colegios Nuevos (creados en los últimos 2 años) / Seguimiento a los PMI acordados en 2024</v>
          </cell>
          <cell r="I70" t="str">
            <v>EVALUACIÓN_CON_FINES_DE_MEJORAMIENTO.</v>
          </cell>
          <cell r="J70" t="str">
            <v>Revisar la actualización, socialización e implementación del Sistema Institucional de Evaluación de Estudiantes - SIEE, en articulación con la actualización del PEI y la normatividad vigente.</v>
          </cell>
          <cell r="K70" t="str">
            <v>LUIS ALEJANDRO MARTÍNEZ PALACIOS</v>
          </cell>
          <cell r="L70" t="str">
            <v>CARLOS EDUARDO VARGAS LÓPEZ</v>
          </cell>
          <cell r="M70">
            <v>45873</v>
          </cell>
          <cell r="N70">
            <v>45874</v>
          </cell>
          <cell r="O70">
            <v>45874</v>
          </cell>
          <cell r="P70" t="str">
            <v>Visitas de evaluación con fines de seguimiento</v>
          </cell>
          <cell r="Q70" t="str">
            <v>Visita_Col_Panamericano_IED.pdf</v>
          </cell>
          <cell r="R70" t="str">
            <v>Se realizar revisión general del SIEE. Se debe realizar actualización.
No soportan la participación de la comunidad educativa en la formulación y evaluación del SIEE</v>
          </cell>
          <cell r="S70" t="str">
            <v>Actualizar el SIEE con la participación de la comunidad educativa.</v>
          </cell>
          <cell r="T70" t="str">
            <v>SI</v>
          </cell>
          <cell r="U70" t="str">
            <v>Se hará la revisión y evaluación del Sistema Institucional de Evaluación de Estudiantes en 2026</v>
          </cell>
        </row>
        <row r="71">
          <cell r="A71">
            <v>1316</v>
          </cell>
          <cell r="B71">
            <v>11</v>
          </cell>
          <cell r="C71" t="str">
            <v>LOS MÁRTIRES</v>
          </cell>
          <cell r="D71" t="str">
            <v>OFICIAL</v>
          </cell>
          <cell r="E71" t="str">
            <v>EPBM</v>
          </cell>
          <cell r="F71" t="str">
            <v>COLEGIO_PANAMERICANO_IED</v>
          </cell>
          <cell r="G71" t="str">
            <v>COLEGIO_PANAMERICANO_IED</v>
          </cell>
          <cell r="H71" t="str">
            <v>Colegios Nuevos (creados en los últimos 2 años) / Seguimiento a los PMI acordados en 2024</v>
          </cell>
          <cell r="I71" t="str">
            <v>EVALUACIÓN_CON_FINES_DE_MEJORAMIENTO.</v>
          </cell>
          <cell r="J71" t="str">
            <v>Revisar el calendario escolar, jornada escolar, la intensidad horaria mínima anual en cada nivel y las modificaciones que se realicen al mismo, de acuerdo con lo previsto en la normatividad vigente.</v>
          </cell>
          <cell r="K71" t="str">
            <v>LUIS ALEJANDRO MARTÍNEZ PALACIOS</v>
          </cell>
          <cell r="L71" t="str">
            <v>CARLOS EDUARDO VARGAS LÓPEZ</v>
          </cell>
          <cell r="M71">
            <v>45873</v>
          </cell>
          <cell r="N71">
            <v>45874</v>
          </cell>
          <cell r="O71">
            <v>45874</v>
          </cell>
          <cell r="P71" t="str">
            <v>Visitas de evaluación con fines de seguimiento</v>
          </cell>
          <cell r="Q71" t="str">
            <v>Visita_Col_Panamericano_IED.pdf</v>
          </cell>
          <cell r="R71" t="str">
            <v>Se da cumplimiento a la Resolución de Calendario Académico de la SED y en el Manual de Convivencia se establece el horario diario que da el cumplimiento de las horas</v>
          </cell>
          <cell r="S71" t="str">
            <v>Se tiene establecido en el Manual de Convivencia.</v>
          </cell>
          <cell r="T71" t="str">
            <v>No</v>
          </cell>
          <cell r="U71" t="str">
            <v>A demanda de acuerdo con las peticiones de la ciudadanía o de los entes de control</v>
          </cell>
        </row>
        <row r="72">
          <cell r="A72">
            <v>1317</v>
          </cell>
          <cell r="B72">
            <v>12</v>
          </cell>
          <cell r="C72" t="str">
            <v>LOS MÁRTIRES</v>
          </cell>
          <cell r="D72" t="str">
            <v>OFICIAL</v>
          </cell>
          <cell r="E72" t="str">
            <v>EPBM</v>
          </cell>
          <cell r="F72" t="str">
            <v>COLEGIO_LICEO_NACIONAL_AGUSTIN_NIETO_CABALLERO_IED</v>
          </cell>
          <cell r="G72" t="str">
            <v>COLEGIO_LICEO_NACIONAL_AGUSTIN_NIETO_CABALLERO_IED</v>
          </cell>
          <cell r="H72" t="str">
            <v>Autoevaluación Institucional y Pruebas SABER 11</v>
          </cell>
          <cell r="I72" t="str">
            <v>SEGUIMIENTO_Y_SUPERVISIÓN.</v>
          </cell>
          <cell r="J72" t="str">
            <v>Proponer estrategias en la formulación, verificar su elaboración y realizar seguimiento semestral al desarrollo de  las acciones establecidas en los planes de mejoramiento por pruebas SABER 11 de los establecimientos de educación formal.</v>
          </cell>
          <cell r="K72" t="str">
            <v>LUIS ALEJANDRO MARTÍNEZ PALACIOS</v>
          </cell>
          <cell r="L72" t="str">
            <v>CARLOS EDUARDO VARGAS LÓPEZ</v>
          </cell>
          <cell r="M72">
            <v>45895</v>
          </cell>
          <cell r="N72">
            <v>45896</v>
          </cell>
          <cell r="O72">
            <v>45896</v>
          </cell>
          <cell r="P72" t="str">
            <v>Visitas de evaluación con fines de seguimiento</v>
          </cell>
          <cell r="Q72" t="str">
            <v>20250827 Visista_Admin_LN_Agustin_Nieto_C.pdf</v>
          </cell>
          <cell r="R72" t="str">
            <v>Se evidencia en los planes de área y en los planes de mejoramiento de aula, los cuales se desarrollan por área y grado</v>
          </cell>
          <cell r="S72" t="str">
            <v>Continuar cada año con el análisis de las pruebas externas y su impacto en el currículo</v>
          </cell>
          <cell r="T72" t="str">
            <v>No</v>
          </cell>
          <cell r="U72" t="str">
            <v>A demanda de acuerdo con las peticiones de la ciudadanía o de los entes de control</v>
          </cell>
        </row>
        <row r="73">
          <cell r="A73">
            <v>1318</v>
          </cell>
          <cell r="B73">
            <v>12</v>
          </cell>
          <cell r="C73" t="str">
            <v>LOS MÁRTIRES</v>
          </cell>
          <cell r="D73" t="str">
            <v>OFICIAL</v>
          </cell>
          <cell r="E73" t="str">
            <v>EPBM</v>
          </cell>
          <cell r="F73" t="str">
            <v>COLEGIO_LICEO_NACIONAL_AGUSTIN_NIETO_CABALLERO_IED</v>
          </cell>
          <cell r="G73" t="str">
            <v>COLEGIO_LICEO_NACIONAL_AGUSTIN_NIETO_CABALLERO_IED</v>
          </cell>
          <cell r="H73" t="str">
            <v>Autoevaluación Institucional y Pruebas SABER 11</v>
          </cell>
          <cell r="I73" t="str">
            <v>SEGUIMIENTO_Y_SUPERVISIÓN.</v>
          </cell>
          <cell r="J73" t="str">
            <v xml:space="preserve">Verificar la implementación por parte de los colegios, de acciones realizadas para la prevención y atención de las situaciones de convivencia en el entorno escolar, según lo establecido en la Directiva 01 de 2022 del MEN. </v>
          </cell>
          <cell r="K73" t="str">
            <v>LUIS ALEJANDRO MARTÍNEZ PALACIOS</v>
          </cell>
          <cell r="L73" t="str">
            <v>CARLOS EDUARDO VARGAS LÓPEZ</v>
          </cell>
          <cell r="M73">
            <v>45895</v>
          </cell>
          <cell r="N73">
            <v>45896</v>
          </cell>
          <cell r="O73">
            <v>45896</v>
          </cell>
          <cell r="P73" t="str">
            <v>Visitas de evaluación con fines de seguimiento</v>
          </cell>
          <cell r="Q73" t="str">
            <v>20250827 Visista_Admin_LN_Agustin_Nieto_C.pdf</v>
          </cell>
          <cell r="R73" t="str">
            <v>En la entrevista con la rectora y la coordinadora,soportan los procesos de atención para atender los procesos de convivencia. Se presenta cronograma de actividades desde orientación escolar</v>
          </cell>
          <cell r="S73" t="str">
            <v>Continuar con la  aplicación a la ruta de atención integral y para las situaciones tipo II y III a los protocolos definidos por el Comité Distrital de Convivencia Escolar que actualmente estan en su versión 5.0</v>
          </cell>
          <cell r="T73" t="str">
            <v>No</v>
          </cell>
          <cell r="U73" t="str">
            <v>A demanda de acuerdo con las peticiones de la ciudadanía o de los entes de control</v>
          </cell>
        </row>
        <row r="74">
          <cell r="A74">
            <v>1319</v>
          </cell>
          <cell r="B74">
            <v>12</v>
          </cell>
          <cell r="C74" t="str">
            <v>LOS MÁRTIRES</v>
          </cell>
          <cell r="D74" t="str">
            <v>OFICIAL</v>
          </cell>
          <cell r="E74" t="str">
            <v>EPBM</v>
          </cell>
          <cell r="F74" t="str">
            <v>COLEGIO_LICEO_NACIONAL_AGUSTIN_NIETO_CABALLERO_IED</v>
          </cell>
          <cell r="G74" t="str">
            <v>COLEGIO_LICEO_NACIONAL_AGUSTIN_NIETO_CABALLERO_IED</v>
          </cell>
          <cell r="H74" t="str">
            <v>Autoevaluación Institucional y Pruebas SABER 11</v>
          </cell>
          <cell r="I74" t="str">
            <v>EVALUACIÓN_CON_FINES_DE_MEJORAMIENTO.</v>
          </cell>
          <cell r="J74"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74" t="str">
            <v>LUIS ALEJANDRO MARTÍNEZ PALACIOS</v>
          </cell>
          <cell r="L74" t="str">
            <v>CARLOS EDUARDO VARGAS LÓPEZ</v>
          </cell>
          <cell r="M74">
            <v>45895</v>
          </cell>
          <cell r="N74">
            <v>45896</v>
          </cell>
          <cell r="O74">
            <v>45896</v>
          </cell>
          <cell r="P74" t="str">
            <v>Visitas de evaluación con fines de seguimiento</v>
          </cell>
          <cell r="Q74" t="str">
            <v>20250827 Visista_Admin_LN_Agustin_Nieto_C.pdf</v>
          </cell>
          <cell r="R74" t="str">
            <v>Presentan documento del Manual de Convivencia del cual se realiza revisión general</v>
          </cell>
          <cell r="S74" t="str">
            <v>Actualizar el Manual de Convivencia con la partición de la comunidad educativa en lo concerniente al horizonte institucional y las demás acciones que se consideren</v>
          </cell>
          <cell r="T74" t="str">
            <v>Si</v>
          </cell>
          <cell r="U74" t="str">
            <v>Se hará la revisión y evaluación del manual de convivencia actualizado en 2026</v>
          </cell>
        </row>
        <row r="75">
          <cell r="A75">
            <v>1320</v>
          </cell>
          <cell r="B75">
            <v>12</v>
          </cell>
          <cell r="C75" t="str">
            <v>LOS MÁRTIRES</v>
          </cell>
          <cell r="D75" t="str">
            <v>OFICIAL</v>
          </cell>
          <cell r="E75" t="str">
            <v>EPBM</v>
          </cell>
          <cell r="F75" t="str">
            <v>COLEGIO_LICEO_NACIONAL_AGUSTIN_NIETO_CABALLERO_IED</v>
          </cell>
          <cell r="G75" t="str">
            <v>COLEGIO_LICEO_NACIONAL_AGUSTIN_NIETO_CABALLERO_IED</v>
          </cell>
          <cell r="H75" t="str">
            <v>Autoevaluación Institucional y Pruebas SABER 11</v>
          </cell>
          <cell r="I75" t="str">
            <v>EVALUACIÓN_CON_FINES_DE_MEJORAMIENTO.</v>
          </cell>
          <cell r="J75" t="str">
            <v>Revisar la actualización, socialización e implementación del Sistema Institucional de Evaluación de Estudiantes - SIEE, en articulación con la actualización del PEI y la normatividad vigente.</v>
          </cell>
          <cell r="K75" t="str">
            <v>LUIS ALEJANDRO MARTÍNEZ PALACIOS</v>
          </cell>
          <cell r="L75" t="str">
            <v>CARLOS EDUARDO VARGAS LÓPEZ</v>
          </cell>
          <cell r="M75">
            <v>45895</v>
          </cell>
          <cell r="N75">
            <v>45896</v>
          </cell>
          <cell r="O75">
            <v>45896</v>
          </cell>
          <cell r="P75" t="str">
            <v>Visitas de evaluación con fines de seguimiento</v>
          </cell>
          <cell r="Q75" t="str">
            <v>20250827 Visista_Admin_LN_Agustin_Nieto_C.pdf</v>
          </cell>
          <cell r="R75" t="str">
            <v xml:space="preserve">Se verificó la formulación del SIEE y se realizó revisión general, el cual esta incluido en el manual de convivencia </v>
          </cell>
          <cell r="S75" t="str">
            <v>Revisar el SIEE y actualizarlo con la participación de los órganos e instancias correspondientes y presentarlo para su evaluación.</v>
          </cell>
          <cell r="T75" t="str">
            <v>Si</v>
          </cell>
          <cell r="U75" t="str">
            <v>Se hará la revisión y evaluación del SIEE actualizado en 2026.</v>
          </cell>
        </row>
        <row r="76">
          <cell r="A76">
            <v>1321</v>
          </cell>
          <cell r="B76">
            <v>12</v>
          </cell>
          <cell r="C76" t="str">
            <v>LOS MÁRTIRES</v>
          </cell>
          <cell r="D76" t="str">
            <v>OFICIAL</v>
          </cell>
          <cell r="E76" t="str">
            <v>EPBM</v>
          </cell>
          <cell r="F76" t="str">
            <v>COLEGIO_LICEO_NACIONAL_AGUSTIN_NIETO_CABALLERO_IED</v>
          </cell>
          <cell r="G76" t="str">
            <v>COLEGIO_LICEO_NACIONAL_AGUSTIN_NIETO_CABALLERO_IED</v>
          </cell>
          <cell r="H76" t="str">
            <v>Autoevaluación Institucional y Pruebas SABER 11</v>
          </cell>
          <cell r="I76" t="str">
            <v>EVALUACIÓN_CON_FINES_DE_MEJORAMIENTO.</v>
          </cell>
          <cell r="J76" t="str">
            <v>Verificar el funcionamiento del Gobierno Escolar e instancias de participación con base en la información sobre conformación reportada por la institución educativa.</v>
          </cell>
          <cell r="K76" t="str">
            <v>LUIS ALEJANDRO MARTÍNEZ PALACIOS</v>
          </cell>
          <cell r="L76" t="str">
            <v>CARLOS EDUARDO VARGAS LÓPEZ</v>
          </cell>
          <cell r="M76">
            <v>45895</v>
          </cell>
          <cell r="N76">
            <v>45896</v>
          </cell>
          <cell r="O76">
            <v>45896</v>
          </cell>
          <cell r="P76" t="str">
            <v>Visitas de evaluación con fines de seguimiento</v>
          </cell>
          <cell r="Q76" t="str">
            <v>20250827 Visista_Admin_LN_Agustin_Nieto_C.pdf</v>
          </cell>
          <cell r="R76" t="str">
            <v>Se verificó actas de funcionamiento de gobierno escolar, entre ellas de Consejo Directivo, Consejo Académico, Comité escolar de convivencia y Comisiones de evaluación</v>
          </cell>
          <cell r="S76" t="str">
            <v>Allegar copia de las actas de reunión de Consejo de Estudiantes y Consejo de Padres al correo de supervisión</v>
          </cell>
          <cell r="T76" t="str">
            <v>SI</v>
          </cell>
          <cell r="U76" t="str">
            <v>De acuerdo con el compromiso de entrega del plan de mejoramiento.Se acordó entrega para el 26 de septiembre</v>
          </cell>
        </row>
        <row r="77">
          <cell r="A77">
            <v>1322</v>
          </cell>
          <cell r="B77">
            <v>12</v>
          </cell>
          <cell r="C77" t="str">
            <v>LOS MÁRTIRES</v>
          </cell>
          <cell r="D77" t="str">
            <v>OFICIAL</v>
          </cell>
          <cell r="E77" t="str">
            <v>EPBM</v>
          </cell>
          <cell r="F77" t="str">
            <v>COLEGIO_LICEO_NACIONAL_AGUSTIN_NIETO_CABALLERO_IED</v>
          </cell>
          <cell r="G77" t="str">
            <v>COLEGIO_LICEO_NACIONAL_AGUSTIN_NIETO_CABALLERO_IED</v>
          </cell>
          <cell r="H77" t="str">
            <v>Autoevaluación Institucional y Pruebas SABER 11</v>
          </cell>
          <cell r="I77" t="str">
            <v>EVALUACIÓN_CON_FINES_DE_MEJORAMIENTO.</v>
          </cell>
          <cell r="J77" t="str">
            <v>Verificar las condiciones en cuanto a: la estructura administrativa, condiciones de la planta física y medios educativos adecuados.</v>
          </cell>
          <cell r="K77" t="str">
            <v>LUIS ALEJANDRO MARTÍNEZ PALACIOS</v>
          </cell>
          <cell r="L77" t="str">
            <v>CARLOS EDUARDO VARGAS LÓPEZ</v>
          </cell>
          <cell r="M77">
            <v>45895</v>
          </cell>
          <cell r="N77">
            <v>45896</v>
          </cell>
          <cell r="O77">
            <v>45896</v>
          </cell>
          <cell r="P77" t="str">
            <v>Visitas de evaluación con fines de seguimiento</v>
          </cell>
          <cell r="Q77" t="str">
            <v>20250827 Visista_Admin_LN_Agustin_Nieto_C.pdf</v>
          </cell>
          <cell r="R77" t="str">
            <v>Actualmente, la IED opera en una sede arrendada de manera temporal, en tanto se llevan a cabo las adecuaciones necesarias en la sede propia.</v>
          </cell>
          <cell r="S77" t="str">
            <v xml:space="preserve">La sede alterna cumple con las condiciones necesarias para la prestación del servicio educativo. No obstante, se han identificado algunas situaciones que requieren atención, como la falta de conectividad a internet y la ausencia de accesos adecuados para personas con discapacidad, debido a que no cuenta con rampas ni ascensores. </v>
          </cell>
          <cell r="T77" t="str">
            <v>NO</v>
          </cell>
          <cell r="U77" t="str">
            <v>A demanda de acuerdo con las peticiones de la ciudadanía o de los entes de control</v>
          </cell>
        </row>
        <row r="78">
          <cell r="A78">
            <v>1323</v>
          </cell>
          <cell r="B78">
            <v>13</v>
          </cell>
          <cell r="C78" t="str">
            <v>LOS MÁRTIRES</v>
          </cell>
          <cell r="D78" t="str">
            <v>PRIVADO</v>
          </cell>
          <cell r="E78" t="str">
            <v>EPBM</v>
          </cell>
          <cell r="F78" t="str">
            <v>COLEGIO_BILINGÜE_CEDAM</v>
          </cell>
          <cell r="G78" t="str">
            <v>COLEGIO BILINGÜE CEDAM</v>
          </cell>
          <cell r="H78" t="str">
            <v>Autoevaluación Institucional y Pruebas SABER 11</v>
          </cell>
          <cell r="I78" t="str">
            <v>SEGUIMIENTO_Y_SUPERVISIÓN.</v>
          </cell>
          <cell r="J78" t="str">
            <v xml:space="preserve">Verificar la implementación por parte de los colegios, de acciones realizadas para la prevención y atención de las situaciones de convivencia en el entorno escolar, según lo establecido en la Directiva 01 de 2022 del MEN. </v>
          </cell>
          <cell r="K78" t="str">
            <v>LUIS ALEJANDRO MARTÍNEZ PALACIOS</v>
          </cell>
          <cell r="L78" t="str">
            <v>CARLOS EDUARDO VARGAS LÓPEZ</v>
          </cell>
          <cell r="M78">
            <v>45911</v>
          </cell>
          <cell r="N78">
            <v>45911</v>
          </cell>
          <cell r="O78">
            <v>45911</v>
          </cell>
          <cell r="P78" t="str">
            <v>Visitas de evaluación con fines de seguimiento</v>
          </cell>
          <cell r="Q78" t="str">
            <v>20250911 Acta_COL_BILG_CEDAM.pdf</v>
          </cell>
          <cell r="R78" t="str">
            <v>Se evidencia la verificación de inhabilidades por delitos sexuales del personal contratado por la institución educativa con fecha de 27-08-2025.
Se realizan acciones a través de los proyectos transversales de: Cultura ciudadana, DDHH, Educación Sexual y de bitácora de atención y seguimiento a situaciones de convivencia escolar</v>
          </cell>
          <cell r="S78" t="str">
            <v>Continuar con la  aplicación a la ruta de atención integral y para las situaciones tipo II y III a los protocolos definidos por el Comité Distrital de Convivencia Escolar que actualmente estan en su versión 5.0,  así mismo con las acciones de promoción y prevención en los proyectos pedagógicos y transversales y la consulta de inhabilidades según lo determina la normatividad vigente</v>
          </cell>
          <cell r="T78" t="str">
            <v>No</v>
          </cell>
          <cell r="U78" t="str">
            <v>A demanda de acuerdo con las solicitudes o peticiones que se reciban Informar a la DLE sobre esta situación para la gestión correspondiente.</v>
          </cell>
        </row>
        <row r="79">
          <cell r="A79">
            <v>1324</v>
          </cell>
          <cell r="B79">
            <v>13</v>
          </cell>
          <cell r="C79" t="str">
            <v>LOS MÁRTIRES</v>
          </cell>
          <cell r="D79" t="str">
            <v>PRIVADO</v>
          </cell>
          <cell r="E79" t="str">
            <v>EPBM</v>
          </cell>
          <cell r="F79" t="str">
            <v>COLEGIO_BILINGÜE_CEDAM</v>
          </cell>
          <cell r="G79" t="str">
            <v>COLEGIO BILINGÜE CEDAM</v>
          </cell>
          <cell r="H79" t="str">
            <v>Autoevaluación Institucional y Pruebas SABER 11</v>
          </cell>
          <cell r="I79" t="str">
            <v>SEGUIMIENTO_Y_SUPERVISIÓN.</v>
          </cell>
          <cell r="J79"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79" t="str">
            <v>LUIS ALEJANDRO MARTÍNEZ PALACIOS</v>
          </cell>
          <cell r="L79" t="str">
            <v>CARLOS EDUARDO VARGAS LÓPEZ</v>
          </cell>
          <cell r="M79">
            <v>45911</v>
          </cell>
          <cell r="N79">
            <v>45911</v>
          </cell>
          <cell r="O79">
            <v>45911</v>
          </cell>
          <cell r="P79" t="str">
            <v>Visitas de evaluación con fines de seguimiento</v>
          </cell>
          <cell r="Q79" t="str">
            <v>20250911 Acta_COL_BILG_CEDAM.pdf</v>
          </cell>
          <cell r="R79" t="str">
            <v>Se verifica contra el reporte de SIMAT los PIAR de los estudiantes identificados. Se evidencia  7 estudiantes  con documentos PIAR.</v>
          </cell>
          <cell r="S79" t="str">
            <v>Continuar con los procesos de acompañamiento a los estudiantes con diagnóstico de discapacidad en el SIMAT</v>
          </cell>
          <cell r="T79" t="str">
            <v>No</v>
          </cell>
          <cell r="U79" t="str">
            <v>A demanda de acuerdo con las solicitudes o peticiones que se reciban</v>
          </cell>
        </row>
        <row r="80">
          <cell r="A80">
            <v>1325</v>
          </cell>
          <cell r="B80">
            <v>13</v>
          </cell>
          <cell r="C80" t="str">
            <v>LOS MÁRTIRES</v>
          </cell>
          <cell r="D80" t="str">
            <v>PRIVADO</v>
          </cell>
          <cell r="E80" t="str">
            <v>EPBM</v>
          </cell>
          <cell r="F80" t="str">
            <v>COLEGIO_BILINGÜE_CEDAM</v>
          </cell>
          <cell r="G80" t="str">
            <v>COLEGIO BILINGÜE CEDAM</v>
          </cell>
          <cell r="H80" t="str">
            <v>Autoevaluación Institucional y Pruebas SABER 11</v>
          </cell>
          <cell r="I80" t="str">
            <v>EVALUACIÓN_CON_FINES_DE_MEJORAMIENTO.</v>
          </cell>
          <cell r="J80"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0" t="str">
            <v>LUIS ALEJANDRO MARTÍNEZ PALACIOS</v>
          </cell>
          <cell r="L80" t="str">
            <v>CARLOS EDUARDO VARGAS LÓPEZ</v>
          </cell>
          <cell r="M80">
            <v>45911</v>
          </cell>
          <cell r="N80">
            <v>45911</v>
          </cell>
          <cell r="O80">
            <v>45911</v>
          </cell>
          <cell r="P80" t="str">
            <v>Visitas de evaluación con fines de seguimiento</v>
          </cell>
          <cell r="Q80" t="str">
            <v>20250911 Acta_COL_BILG_CEDAM.pdf</v>
          </cell>
          <cell r="R80" t="str">
            <v>Se recibe documento de 95 páginas del Manual de convivencia. Se presentan actas que dan cuenta de la participación de la comunidad educativa en su actulización. De forma general se evidencian los elementos de ley que debe contener el Manual de Convivencia</v>
          </cell>
          <cell r="S80" t="str">
            <v>Mantener los procesos de actualización con la participación de la comunidad educativa</v>
          </cell>
          <cell r="T80" t="str">
            <v>No</v>
          </cell>
          <cell r="U80" t="str">
            <v>Verificación y evaluación del Manual de Convivencia a demanda o por solicitud de la institución educativa</v>
          </cell>
        </row>
        <row r="81">
          <cell r="A81">
            <v>1326</v>
          </cell>
          <cell r="B81">
            <v>13</v>
          </cell>
          <cell r="C81" t="str">
            <v>LOS MÁRTIRES</v>
          </cell>
          <cell r="D81" t="str">
            <v>PRIVADO</v>
          </cell>
          <cell r="E81" t="str">
            <v>EPBM</v>
          </cell>
          <cell r="F81" t="str">
            <v>COLEGIO_BILINGÜE_CEDAM</v>
          </cell>
          <cell r="G81" t="str">
            <v>COLEGIO BILINGÜE CEDAM</v>
          </cell>
          <cell r="H81" t="str">
            <v>Autoevaluación Institucional y Pruebas SABER 11</v>
          </cell>
          <cell r="I81" t="str">
            <v>EVALUACIÓN_CON_FINES_DE_MEJORAMIENTO.</v>
          </cell>
          <cell r="J81" t="str">
            <v>Revisar la actualización, socialización e implementación del Sistema Institucional de Evaluación de Estudiantes - SIEE, en articulación con la actualización del PEI y la normatividad vigente.</v>
          </cell>
          <cell r="K81" t="str">
            <v>LUIS ALEJANDRO MARTÍNEZ PALACIOS</v>
          </cell>
          <cell r="L81" t="str">
            <v>CARLOS EDUARDO VARGAS LÓPEZ</v>
          </cell>
          <cell r="M81">
            <v>45911</v>
          </cell>
          <cell r="N81">
            <v>45911</v>
          </cell>
          <cell r="O81">
            <v>45911</v>
          </cell>
          <cell r="P81" t="str">
            <v>Visitas de evaluación con fines de seguimiento</v>
          </cell>
          <cell r="Q81" t="str">
            <v>20250911 Acta_COL_BILG_CEDAM.pdf</v>
          </cell>
          <cell r="R81" t="str">
            <v>Se evidencia la existencia del SIEE el cual se presenta como parte del Manual de Convivencia. No se presenta soporte de la participación de la comunidad educativa en su actualización. Se cuenta con plataforma institucional, se revisan boletines periódicos de diferentes niveles</v>
          </cell>
          <cell r="S81" t="str">
            <v>Presentar los soportes documentales que den cuenta de la participación de la comunidad educativa en la actualización del SIEE</v>
          </cell>
          <cell r="T81" t="str">
            <v>Si</v>
          </cell>
          <cell r="U81" t="str">
            <v>Se verificará los documentos soporte de la participación de la comunidad</v>
          </cell>
        </row>
        <row r="82">
          <cell r="A82">
            <v>1327</v>
          </cell>
          <cell r="B82">
            <v>13</v>
          </cell>
          <cell r="C82" t="str">
            <v>LOS MÁRTIRES</v>
          </cell>
          <cell r="D82" t="str">
            <v>PRIVADO</v>
          </cell>
          <cell r="E82" t="str">
            <v>EPBM</v>
          </cell>
          <cell r="F82" t="str">
            <v>COLEGIO_BILINGÜE_CEDAM</v>
          </cell>
          <cell r="G82" t="str">
            <v>COLEGIO BILINGÜE CEDAM</v>
          </cell>
          <cell r="H82" t="str">
            <v>Autoevaluación Institucional y Pruebas SABER 11</v>
          </cell>
          <cell r="I82" t="str">
            <v>EVALUACIÓN_CON_FINES_DE_MEJORAMIENTO.</v>
          </cell>
          <cell r="J82" t="str">
            <v>Revisar el calendario escolar, jornada escolar, la intensidad horaria mínima anual en cada nivel y las modificaciones que se realicen al mismo, de acuerdo con lo previsto en la normatividad vigente.</v>
          </cell>
          <cell r="K82" t="str">
            <v>LUIS ALEJANDRO MARTÍNEZ PALACIOS</v>
          </cell>
          <cell r="L82" t="str">
            <v>CARLOS EDUARDO VARGAS LÓPEZ</v>
          </cell>
          <cell r="M82">
            <v>45911</v>
          </cell>
          <cell r="N82">
            <v>45911</v>
          </cell>
          <cell r="O82">
            <v>45911</v>
          </cell>
          <cell r="P82" t="str">
            <v>Visitas de evaluación con fines de seguimiento</v>
          </cell>
          <cell r="Q82" t="str">
            <v>20250911 Acta_COL_BILG_CEDAM.pdf</v>
          </cell>
          <cell r="R82" t="str">
            <v>Se evidencia el cumplimiento de las horas mínimas anuales para los diferentes niveles de la educación formal, según normatividad vigente</v>
          </cell>
          <cell r="S82" t="str">
            <v>Mantener el cumplimiento de las horas mínimas anuales según los niveles de la educación formal</v>
          </cell>
          <cell r="T82" t="str">
            <v>No</v>
          </cell>
          <cell r="U82" t="str">
            <v>Según calendario académico para el 2026</v>
          </cell>
        </row>
        <row r="83">
          <cell r="A83">
            <v>1328</v>
          </cell>
          <cell r="B83">
            <v>13</v>
          </cell>
          <cell r="C83" t="str">
            <v>LOS MÁRTIRES</v>
          </cell>
          <cell r="D83" t="str">
            <v>PRIVADO</v>
          </cell>
          <cell r="E83" t="str">
            <v>EPBM</v>
          </cell>
          <cell r="F83" t="str">
            <v>COLEGIO_BILINGÜE_CEDAM</v>
          </cell>
          <cell r="G83" t="str">
            <v>COLEGIO BILINGÜE CEDAM</v>
          </cell>
          <cell r="H83" t="str">
            <v>Autoevaluación Institucional y Pruebas SABER 11</v>
          </cell>
          <cell r="I83" t="str">
            <v>EVALUACIÓN_CON_FINES_DE_MEJORAMIENTO.</v>
          </cell>
          <cell r="J83" t="str">
            <v>Verificar el funcionamiento del Gobierno Escolar e instancias de participación con base en la información sobre conformación reportada por la institución educativa.</v>
          </cell>
          <cell r="K83" t="str">
            <v>LUIS ALEJANDRO MARTÍNEZ PALACIOS</v>
          </cell>
          <cell r="L83" t="str">
            <v>CARLOS EDUARDO VARGAS LÓPEZ</v>
          </cell>
          <cell r="M83">
            <v>45911</v>
          </cell>
          <cell r="N83">
            <v>45911</v>
          </cell>
          <cell r="O83">
            <v>45911</v>
          </cell>
          <cell r="P83" t="str">
            <v>Visitas de evaluación con fines de seguimiento</v>
          </cell>
          <cell r="Q83" t="str">
            <v>20250911 Acta_COL_BILG_CEDAM.pdf</v>
          </cell>
          <cell r="R83" t="str">
            <v>Mediante la revisión de actas, se evidencia la conformación y funcionamiento del gobierno escolar</v>
          </cell>
          <cell r="S83" t="str">
            <v>Continuar con las reuniones periodicas del gobierno escolar</v>
          </cell>
          <cell r="T83" t="str">
            <v>No</v>
          </cell>
          <cell r="U83" t="str">
            <v>A demanda de acuerdo con las peticiones de la ciudadanía o de los entes de control</v>
          </cell>
        </row>
        <row r="84">
          <cell r="A84">
            <v>1329</v>
          </cell>
          <cell r="B84">
            <v>13</v>
          </cell>
          <cell r="C84" t="str">
            <v>LOS MÁRTIRES</v>
          </cell>
          <cell r="D84" t="str">
            <v>PRIVADO</v>
          </cell>
          <cell r="E84" t="str">
            <v>EPBM</v>
          </cell>
          <cell r="F84" t="str">
            <v>COLEGIO_BILINGÜE_CEDAM</v>
          </cell>
          <cell r="G84" t="str">
            <v>COLEGIO BILINGÜE CEDAM</v>
          </cell>
          <cell r="H84" t="str">
            <v>Autoevaluación Institucional y Pruebas SABER 11</v>
          </cell>
          <cell r="I84" t="str">
            <v>EVALUACIÓN_CON_FINES_DE_MEJORAMIENTO.</v>
          </cell>
          <cell r="J84" t="str">
            <v>Verificar las condiciones en cuanto a: la estructura administrativa, condiciones de la planta física y medios educativos adecuados.</v>
          </cell>
          <cell r="K84" t="str">
            <v>LUIS ALEJANDRO MARTÍNEZ PALACIOS</v>
          </cell>
          <cell r="L84" t="str">
            <v>CARLOS EDUARDO VARGAS LÓPEZ</v>
          </cell>
          <cell r="M84">
            <v>45911</v>
          </cell>
          <cell r="N84">
            <v>45911</v>
          </cell>
          <cell r="O84">
            <v>45911</v>
          </cell>
          <cell r="P84" t="str">
            <v>Visitas de evaluación con fines de seguimiento</v>
          </cell>
          <cell r="Q84" t="str">
            <v>20250911 Acta_COL_BILG_CEDAM.pdf</v>
          </cell>
          <cell r="R84" t="str">
            <v>Si bien la planta física es moderna y cuenta con espacios limpios, iluminados, se observa sobre cupo de estudiantes en algunos salones tomando como refencia "La Resolución 1326 de 2023, de la SED, que reglamenta los Estándares de Calidad Espacial para los equipamientos educativos en el marco del Plan de Ordenamiento Territorial (POT)" teniendo en cuenta un estadar de 1,3 m2 por estudiante, para establecimientos existentes</v>
          </cell>
          <cell r="S84" t="str">
            <v>Generar un plan progresivo para ajustarse a la normatividad vigente.</v>
          </cell>
          <cell r="T84" t="str">
            <v>Si</v>
          </cell>
          <cell r="U84" t="str">
            <v>Se generará seguimiento al plan de mejoramiento que presente la institución educativa al 31 de octubre y de ser necesario se programará visita en el 2026</v>
          </cell>
        </row>
        <row r="85">
          <cell r="A85">
            <v>1330</v>
          </cell>
          <cell r="B85">
            <v>14</v>
          </cell>
          <cell r="C85" t="str">
            <v>LOS MÁRTIRES</v>
          </cell>
          <cell r="D85" t="str">
            <v>OFICIAL</v>
          </cell>
          <cell r="E85" t="str">
            <v>EPBM</v>
          </cell>
          <cell r="F85" t="str">
            <v>COLEGIO_RICAURTE_IED</v>
          </cell>
          <cell r="G85" t="str">
            <v>RICAURTE</v>
          </cell>
          <cell r="H85" t="str">
            <v>Autoevaluación Institucional y Pruebas SABER 11</v>
          </cell>
          <cell r="I85" t="str">
            <v>SEGUIMIENTO_Y_SUPERVISIÓN.</v>
          </cell>
          <cell r="J85" t="str">
            <v xml:space="preserve">Verificar la implementación por parte de los colegios, de acciones realizadas para la prevención y atención de las situaciones de convivencia en el entorno escolar, según lo establecido en la Directiva 01 de 2022 del MEN. </v>
          </cell>
          <cell r="K85" t="str">
            <v>LUIS ALEJANDRO MARTÍNEZ PALACIOS</v>
          </cell>
          <cell r="L85" t="str">
            <v>CARLOS EDUARDO VARGAS LÓPEZ</v>
          </cell>
          <cell r="M85">
            <v>45923</v>
          </cell>
          <cell r="N85">
            <v>45923</v>
          </cell>
          <cell r="O85">
            <v>45923</v>
          </cell>
          <cell r="P85" t="str">
            <v>Visitas de evaluación con fines de seguimiento</v>
          </cell>
          <cell r="Q85" t="str">
            <v>20250923 Col_Ricaurte IED</v>
          </cell>
          <cell r="R85" t="str">
            <v>Se soporta la realización de talleres de Promoción y prevención en:
prevención del acoso escolar y consumo, acompañamiento a estudiantes en riesgo por bajo rendimiento académico, clima escolar.
Se evidencia formatos de atención y reporte en sistema de alertas.</v>
          </cell>
          <cell r="S85" t="str">
            <v>Continuar con las acciones de promoción y prevención, así como con la atención de los casos que se presenten</v>
          </cell>
          <cell r="T85" t="str">
            <v>No</v>
          </cell>
          <cell r="U85" t="str">
            <v>A demanda de acuerdo con las peticiones de la ciudadanía o de los entes de control</v>
          </cell>
        </row>
        <row r="86">
          <cell r="A86">
            <v>1331</v>
          </cell>
          <cell r="B86">
            <v>14</v>
          </cell>
          <cell r="C86" t="str">
            <v>LOS MÁRTIRES</v>
          </cell>
          <cell r="D86" t="str">
            <v>OFICIAL</v>
          </cell>
          <cell r="E86" t="str">
            <v>EPBM</v>
          </cell>
          <cell r="F86" t="str">
            <v>COLEGIO_RICAURTE_IED</v>
          </cell>
          <cell r="G86" t="str">
            <v>RICAURTE</v>
          </cell>
          <cell r="H86" t="str">
            <v>Autoevaluación Institucional y Pruebas SABER 11</v>
          </cell>
          <cell r="I86" t="str">
            <v>SEGUIMIENTO_Y_SUPERVISIÓN.</v>
          </cell>
          <cell r="J86" t="str">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ell>
          <cell r="K86" t="str">
            <v>LUIS ALEJANDRO MARTÍNEZ PALACIOS</v>
          </cell>
          <cell r="L86" t="str">
            <v>CARLOS EDUARDO VARGAS LÓPEZ</v>
          </cell>
          <cell r="M86">
            <v>45923</v>
          </cell>
          <cell r="N86">
            <v>45923</v>
          </cell>
          <cell r="O86">
            <v>45923</v>
          </cell>
          <cell r="P86" t="str">
            <v>Visitas de evaluación con fines de seguimiento</v>
          </cell>
          <cell r="Q86" t="str">
            <v>20250923 Col_Ricaurte IED</v>
          </cell>
          <cell r="R86" t="str">
            <v>Se evidenciaron documentos en físico y digital de soporte de PIAR, para los estudiantes caracterizados con diágnostico en el SIMAT. Se evidencio firma de directivo docente, docentes y familia</v>
          </cell>
          <cell r="S86" t="str">
            <v>Continuar con los procesos de acompañamiento a los estudiantes con diagnóstico de discapacidad en el SIMAT</v>
          </cell>
          <cell r="T86" t="str">
            <v>No</v>
          </cell>
          <cell r="U86" t="str">
            <v>A demanda de acuerdo con las peticiones de la ciudadanía o de los entes de control</v>
          </cell>
        </row>
        <row r="87">
          <cell r="A87">
            <v>1332</v>
          </cell>
          <cell r="B87">
            <v>14</v>
          </cell>
          <cell r="C87" t="str">
            <v>LOS MÁRTIRES</v>
          </cell>
          <cell r="D87" t="str">
            <v>OFICIAL</v>
          </cell>
          <cell r="E87" t="str">
            <v>EPBM</v>
          </cell>
          <cell r="F87" t="str">
            <v>COLEGIO_RICAURTE_IED</v>
          </cell>
          <cell r="G87" t="str">
            <v>RICAURTE</v>
          </cell>
          <cell r="H87" t="str">
            <v>Autoevaluación Institucional y Pruebas SABER 11</v>
          </cell>
          <cell r="I87" t="str">
            <v>EVALUACIÓN_CON_FINES_DE_MEJORAMIENTO.</v>
          </cell>
          <cell r="J87" t="str">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ell>
          <cell r="K87" t="str">
            <v>LUIS ALEJANDRO MARTÍNEZ PALACIOS</v>
          </cell>
          <cell r="L87" t="str">
            <v>CARLOS EDUARDO VARGAS LÓPEZ</v>
          </cell>
          <cell r="M87">
            <v>45923</v>
          </cell>
          <cell r="N87">
            <v>45923</v>
          </cell>
          <cell r="O87">
            <v>45923</v>
          </cell>
          <cell r="P87" t="str">
            <v>Visitas de evaluación con fines de seguimiento</v>
          </cell>
          <cell r="Q87" t="str">
            <v>20250923 Col_Ricaurte IED</v>
          </cell>
          <cell r="R87" t="str">
            <v>Se presenta Manual de convivencia 2025. Se evidencia cumplimiento de normatividad y de la participación de la comunidad educativa en la actualización</v>
          </cell>
          <cell r="S87" t="str">
            <v>Presentar Manual de convivencia 2026 actualizado para retroalimentación</v>
          </cell>
          <cell r="T87" t="str">
            <v>No</v>
          </cell>
          <cell r="U87" t="str">
            <v>Verificación y evaluación del Manual de Convivencia a demanda o por solicitud de la institución educativa</v>
          </cell>
        </row>
        <row r="88">
          <cell r="A88">
            <v>1333</v>
          </cell>
          <cell r="B88">
            <v>14</v>
          </cell>
          <cell r="C88" t="str">
            <v>LOS MÁRTIRES</v>
          </cell>
          <cell r="D88" t="str">
            <v>OFICIAL</v>
          </cell>
          <cell r="E88" t="str">
            <v>EPBM</v>
          </cell>
          <cell r="F88" t="str">
            <v>COLEGIO_RICAURTE_IED</v>
          </cell>
          <cell r="G88" t="str">
            <v>RICAURTE</v>
          </cell>
          <cell r="H88" t="str">
            <v>Autoevaluación Institucional y Pruebas SABER 11</v>
          </cell>
          <cell r="I88" t="str">
            <v>EVALUACIÓN_CON_FINES_DE_MEJORAMIENTO.</v>
          </cell>
          <cell r="J88" t="str">
            <v>Revisar la actualización, socialización e implementación del Sistema Institucional de Evaluación de Estudiantes - SIEE, en articulación con la actualización del PEI y la normatividad vigente.</v>
          </cell>
          <cell r="K88" t="str">
            <v>LUIS ALEJANDRO MARTÍNEZ PALACIOS</v>
          </cell>
          <cell r="L88" t="str">
            <v>CARLOS EDUARDO VARGAS LÓPEZ</v>
          </cell>
          <cell r="M88">
            <v>45923</v>
          </cell>
          <cell r="N88">
            <v>45923</v>
          </cell>
          <cell r="O88">
            <v>45923</v>
          </cell>
          <cell r="P88" t="str">
            <v>Visitas de evaluación con fines de seguimiento</v>
          </cell>
          <cell r="Q88" t="str">
            <v>20250923 Col_Ricaurte IED</v>
          </cell>
          <cell r="R88" t="str">
            <v>Se presenta SIEE 2025. Se evidencia cumplimiento de normatividad y de la participación de la comunidad educativa en la actualización</v>
          </cell>
          <cell r="S88" t="str">
            <v>Presentar copia del SIEE 2026 actualizado  para retroalimentación</v>
          </cell>
          <cell r="T88" t="str">
            <v>No</v>
          </cell>
          <cell r="U88" t="str">
            <v>Verificación y evaluación del SIEE a demanda o por solicitud de la institución educativa</v>
          </cell>
        </row>
        <row r="89">
          <cell r="A89">
            <v>1334</v>
          </cell>
          <cell r="B89">
            <v>14</v>
          </cell>
          <cell r="C89" t="str">
            <v>LOS MÁRTIRES</v>
          </cell>
          <cell r="D89" t="str">
            <v>OFICIAL</v>
          </cell>
          <cell r="E89" t="str">
            <v>EPBM</v>
          </cell>
          <cell r="F89" t="str">
            <v>COLEGIO_RICAURTE_IED</v>
          </cell>
          <cell r="G89" t="str">
            <v>RICAURTE</v>
          </cell>
          <cell r="H89" t="str">
            <v>Autoevaluación Institucional y Pruebas SABER 11</v>
          </cell>
          <cell r="I89" t="str">
            <v>EVALUACIÓN_CON_FINES_DE_MEJORAMIENTO.</v>
          </cell>
          <cell r="J89" t="str">
            <v>Verificar el funcionamiento del Gobierno Escolar e instancias de participación con base en la información sobre conformación reportada por la institución educativa.</v>
          </cell>
          <cell r="K89" t="str">
            <v>LUIS ALEJANDRO MARTÍNEZ PALACIOS</v>
          </cell>
          <cell r="L89" t="str">
            <v>CARLOS EDUARDO VARGAS LÓPEZ</v>
          </cell>
          <cell r="M89">
            <v>45923</v>
          </cell>
          <cell r="N89">
            <v>45923</v>
          </cell>
          <cell r="O89">
            <v>45923</v>
          </cell>
          <cell r="P89" t="str">
            <v>Visitas de evaluación con fines de seguimiento</v>
          </cell>
          <cell r="Q89" t="str">
            <v>20250923 Col_Ricaurte IED</v>
          </cell>
          <cell r="R89" t="str">
            <v>Se evidenciaron actas que dan cuenta del funcionamiento del gobierno escolar, las demás instancias de participación y las comisiones de evaluación</v>
          </cell>
          <cell r="S89" t="str">
            <v>Mantener los procesos democráticos y de participación de la comunidad educativa</v>
          </cell>
          <cell r="T89" t="str">
            <v>No</v>
          </cell>
          <cell r="U89" t="str">
            <v>A demanda de acuerdo con las peticiones de la ciudadanía o de los entes de control</v>
          </cell>
        </row>
        <row r="90">
          <cell r="A90">
            <v>1335</v>
          </cell>
          <cell r="B90">
            <v>14</v>
          </cell>
          <cell r="C90" t="str">
            <v>LOS MÁRTIRES</v>
          </cell>
          <cell r="D90" t="str">
            <v>OFICIAL</v>
          </cell>
          <cell r="E90" t="str">
            <v>EPBM</v>
          </cell>
          <cell r="F90" t="str">
            <v>COLEGIO_RICAURTE_IED</v>
          </cell>
          <cell r="G90" t="str">
            <v>RICAURTE</v>
          </cell>
          <cell r="H90" t="str">
            <v>Autoevaluación Institucional y Pruebas SABER 11</v>
          </cell>
          <cell r="I90" t="str">
            <v>EVALUACIÓN_CON_FINES_DE_MEJORAMIENTO.</v>
          </cell>
          <cell r="J90" t="str">
            <v>Verificar las condiciones en cuanto a: la estructura administrativa, condiciones de la planta física y medios educativos adecuados.</v>
          </cell>
          <cell r="K90" t="str">
            <v>LUIS ALEJANDRO MARTÍNEZ PALACIOS</v>
          </cell>
          <cell r="L90" t="str">
            <v>CARLOS EDUARDO VARGAS LÓPEZ</v>
          </cell>
          <cell r="M90">
            <v>45923</v>
          </cell>
          <cell r="N90">
            <v>45923</v>
          </cell>
          <cell r="O90">
            <v>45923</v>
          </cell>
          <cell r="P90" t="str">
            <v>Visitas de evaluación con fines de seguimiento</v>
          </cell>
          <cell r="Q90" t="str">
            <v>20250923 Col_Ricaurte IED</v>
          </cell>
          <cell r="R90" t="str">
            <v>Se cuenta con una planta física en buen estado y con buenas condiciones. No se cuenta con rampas o asensores que apoyen la movilidad de personas con discapacidad física.</v>
          </cell>
          <cell r="S90" t="str">
            <v>Mantener el buen funcionamiento de la planta física existente</v>
          </cell>
          <cell r="T90" t="str">
            <v>No</v>
          </cell>
          <cell r="U90" t="str">
            <v>A demanda de acuerdo con las peticiones de la ciudadanía o de los entes de control</v>
          </cell>
        </row>
        <row r="91">
          <cell r="Q91"/>
          <cell r="T91"/>
        </row>
        <row r="92">
          <cell r="Q92"/>
          <cell r="T92"/>
        </row>
        <row r="93">
          <cell r="Q93"/>
          <cell r="T93"/>
        </row>
        <row r="94">
          <cell r="Q94"/>
          <cell r="T94"/>
        </row>
        <row r="95">
          <cell r="Q95"/>
          <cell r="T95"/>
        </row>
        <row r="96">
          <cell r="Q96"/>
          <cell r="T96"/>
        </row>
        <row r="97">
          <cell r="Q97"/>
          <cell r="T97"/>
        </row>
        <row r="98">
          <cell r="Q98"/>
        </row>
        <row r="99">
          <cell r="Q99"/>
        </row>
        <row r="100">
          <cell r="Q100"/>
        </row>
        <row r="101">
          <cell r="Q101"/>
        </row>
        <row r="102">
          <cell r="Q102"/>
        </row>
        <row r="103">
          <cell r="Q103"/>
        </row>
        <row r="104">
          <cell r="Q104"/>
        </row>
        <row r="105">
          <cell r="Q105"/>
        </row>
        <row r="106">
          <cell r="Q106"/>
        </row>
      </sheetData>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70" Type="http://schemas.openxmlformats.org/officeDocument/2006/relationships/hyperlink" Target="https://shre.ink/evAg" TargetMode="External"/><Relationship Id="rId268" Type="http://schemas.openxmlformats.org/officeDocument/2006/relationships/hyperlink" Target="../../../../../../../:b:/r/personal/comunicacionesdiveliv_educacionbogota_gov_co/Documents/DIRECCION%20DE%20INSPECCION%20Y%20VIGILANCIA/DIV%20POAIV/POAIV%202025/ELIV%20CHAPINERO/PRIORIZADOS/TRIM%20II/FUND%20COLEGIO%20NUEVA%20GRANADA/ACTA%20FINAL%20FUND%20NUEVA%20GRANADA.pdf?csf=1&amp;web=1&amp;e=kF2juS" TargetMode="External"/><Relationship Id="rId475"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682" Type="http://schemas.openxmlformats.org/officeDocument/2006/relationships/hyperlink" Target="../../../../../../../:b:/r/personal/comunicacionesdiveliv_educacionbogota_gov_co/Documents/DIRECCION%20DE%20INSPECCION%20Y%20VIGILANCIA/DIV%20POAIV/POAIV%202025/ELIV%20KENNEDY/PRIORIZADOS/TRIM%20II/ACTA%20DE%20VISITA%20COLEGIO%20TRIANGULO.pdf?csf=1&amp;web=1&amp;e=z5dGWo" TargetMode="External"/><Relationship Id="rId128" Type="http://schemas.openxmlformats.org/officeDocument/2006/relationships/hyperlink" Target="https://shre.ink/Mn5W" TargetMode="External"/><Relationship Id="rId335"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42"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987"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172"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2016" Type="http://schemas.openxmlformats.org/officeDocument/2006/relationships/hyperlink" Target="https://educacionbogota-my.sharepoint.com/:b:/g/personal/comunicacionesdiveliv_educacionbogota_gov_co/IQD3Mqgz3QvJQ70CPYiuQRX9AfNYQ9FpHgrzyC5T_7Fhxpo?e=Pml7cl" TargetMode="External"/><Relationship Id="rId402"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847"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032"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477"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1684"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1891"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707" Type="http://schemas.openxmlformats.org/officeDocument/2006/relationships/hyperlink" Target="../../../../../../../:b:/r/personal/comunicacionesdiveliv_educacionbogota_gov_co/Documents/DIRECCION%20DE%20INSPECCION%20Y%20VIGILANCIA/DIV%20POAIV/POAIV%202025/ELIV%20KENNEDY/PRIORIZADOS/TRIM%20III/LICEO%20EMANUEL%20MARLUI.pdf?csf=1&amp;web=1&amp;e=BqIwVk" TargetMode="External"/><Relationship Id="rId914" Type="http://schemas.openxmlformats.org/officeDocument/2006/relationships/hyperlink" Target="../../../../../../../:b:/r/personal/comunicacionesdiveliv_educacionbogota_gov_co/Documents/DIRECCION%20DE%20INSPECCION%20Y%20VIGILANCIA/DIV%20POAIV/POAIV%202025/ELIV%20SAN%20CRIST%C3%93BAL/PRIORIZADOS/TRIM%20II/0508%20Acta%20visita%20administrativa%20Centro%20de%20Capacitaci%C3%B3n%20Laboral%20Miquelina.pdf?csf=1&amp;web=1&amp;e=IOmSP9" TargetMode="External"/><Relationship Id="rId1337" Type="http://schemas.openxmlformats.org/officeDocument/2006/relationships/hyperlink" Target="../../../../../../../:b:/g/personal/comunicacionesdiveliv_educacionbogota_gov_co/EecCk4zFb4xPtleMLk22xdYBqn9dGakDd5QQ53y47hOrbg?e=DOsDlF" TargetMode="External"/><Relationship Id="rId1544" Type="http://schemas.openxmlformats.org/officeDocument/2006/relationships/hyperlink" Target="https://educacionbogota-my.sharepoint.com/:b:/g/personal/comunicacionesdiveliv_educacionbogota_gov_co/EQ2DMzh0MnpKoCJRssnZC5MBVnmpWf5qGDTie_W3LZIycw?e=XoXAOg" TargetMode="External"/><Relationship Id="rId1751" Type="http://schemas.openxmlformats.org/officeDocument/2006/relationships/hyperlink" Target="../../../../../../../:b:/g/personal/comunicacionesdiveliv_educacionbogota_gov_co/EYXGYZZLrKtDsZmoXUoWpP8BKmEOE7yadec7nep9AvAofw?e=xBs3yL" TargetMode="External"/><Relationship Id="rId1989"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V%2FINSTITUTO%20BILING%C3%9CE%20DEL%20SUR%2FActa%20Visita%20Bilingue%20del%20Sur%2003102025%2Epdf&amp;parent=%2Fpersonal%2Fcomunicacionesdiveliv%5Feducacionbogota%5Fgov%5Fco%2FDocuments%2FDIRECCION%20DE%20INSPECCION%20Y%20VIGILANCIA%2FDIV%20POAIV%2FPOAIV%202025%2FELIV%20TUNJUELITO%2FPRIORIZADOS%2FTRIM%20IV%2FINSTITUTO%20BILING%C3%9CE%20DEL%20SUR&amp;ct=1769196861454&amp;or=OWA%2DNT%2DMail&amp;cid=0dca69bf%2D648c%2Db929%2D26d7%2D476b4088d1a9&amp;ga=1" TargetMode="External"/><Relationship Id="rId43"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404"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611" Type="http://schemas.openxmlformats.org/officeDocument/2006/relationships/hyperlink" Target="../../../../../../../:b:/g/personal/comunicacionesdiveliv_educacionbogota_gov_co/EbuTU9tbcTxFs94RYLyR-3QBmd9zlhyBKgtY73RkkG3uEw?e=nZXF7Y" TargetMode="External"/><Relationship Id="rId1849" Type="http://schemas.openxmlformats.org/officeDocument/2006/relationships/hyperlink" Target="https://educacionbogota-my.sharepoint.com/:b:/g/personal/comunicacionesdiveliv_educacionbogota_gov_co/ERGUmCDAdu9IjL6DXKnHgAgB0G1ajjZCDTJYYbd6vehsOQ?e=bkMpH6" TargetMode="External"/><Relationship Id="rId192" Type="http://schemas.openxmlformats.org/officeDocument/2006/relationships/hyperlink" Target="https://shre.ink/evCM" TargetMode="External"/><Relationship Id="rId1709" Type="http://schemas.openxmlformats.org/officeDocument/2006/relationships/hyperlink" Target="../../../../../../../:b:/r/personal/comunicacionesdiveliv_educacionbogota_gov_co/Documents/DIRECCION%20DE%20INSPECCION%20Y%20VIGILANCIA/DIV%20POAIV/POAIV%202025/ELIV%20SUBA/PRIORIZADOS/TRIM%20III/acta%20visita%20col%20CENCOSISTEMAS.pdf?csf=1&amp;web=1&amp;e=KKGIsx" TargetMode="External"/><Relationship Id="rId1916"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497"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357"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1194" Type="http://schemas.openxmlformats.org/officeDocument/2006/relationships/hyperlink" Target="../../../../../../../:f:/r/personal/comunicacionesdiveliv_educacionbogota_gov_co/Documents/DIRECCION%20DE%20INSPECCION%20Y%20VIGILANCIA/DIV%20POAIV/POAIV%202025/ELIV%20CHAPINERO/PRIORIZADOS/TRIM%20III/ACADEMIA%20DANZA%20DESARROLLO%20CON%20PROPOSITO%20ADDA?csf=1&amp;web=1&amp;e=xy6aZR" TargetMode="External"/><Relationship Id="rId2038" Type="http://schemas.openxmlformats.org/officeDocument/2006/relationships/hyperlink" Target="../../../../../../../:b:/g/personal/comunicacionesdiveliv_educacionbogota_gov_co/IQCfu4lxOg5QS5ZA-eZFmsW_Ae4Lztd5ucxjKNX5wj6n1_I?e=fWSy0V" TargetMode="External"/><Relationship Id="rId217" Type="http://schemas.openxmlformats.org/officeDocument/2006/relationships/hyperlink" Target="https://shre.ink/eK5b" TargetMode="External"/><Relationship Id="rId564" Type="http://schemas.openxmlformats.org/officeDocument/2006/relationships/hyperlink" Target="../../../../../../../:b:/r/personal/comunicacionesdiveliv_educacionbogota_gov_co/Documents/DIRECCION%20DE%20INSPECCION%20Y%20VIGILANCIA/DIV%20POAIV/POAIV%202025/ELIV%20ANTONIO%20NARI%C3%91O/PRIORIZADOS/TRIM%20II/16.%20Acta%20Col%20Francisco%20de%20Paula%20Santander%20(IED)_signed.pdf?csf=1&amp;web=1&amp;e=W9nNCW" TargetMode="External"/><Relationship Id="rId771"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869"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499"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424"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1" Type="http://schemas.openxmlformats.org/officeDocument/2006/relationships/hyperlink" Target="../../../../../../../:b:/r/personal/comunicacionesdiveliv_educacionbogota_gov_co/Documents/DIRECCION%20DE%20INSPECCION%20Y%20VIGILANCIA/DIV%20POAIV/POAIV%202025/ELIV%20KENNEDY/PRIORIZADOS/TRIM%20II/ACTA%20DE%20VISITA%20COLEGIO%20LAZARILLO%20DE%20TORMES.pdf?csf=1&amp;web=1&amp;e=xTKGSa" TargetMode="External"/><Relationship Id="rId729"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1054"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1" Type="http://schemas.openxmlformats.org/officeDocument/2006/relationships/hyperlink" Target="../../../../../../../:b:/g/personal/comunicacionesdiveliv_educacionbogota_gov_co/EXDXIFqd2cBPtccsXnwqrd8B5J5VCEZ8JHp09WYo2_NAig?e=NP8Xje" TargetMode="External"/><Relationship Id="rId1359"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936"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121" Type="http://schemas.openxmlformats.org/officeDocument/2006/relationships/hyperlink" Target="https://educacionbogota-my.sharepoint.com/:b:/r/personal/comunicacionesdiveliv_educacionbogota_gov_co/Documents/DIRECCION%20DE%20INSPECCION%20Y%20VIGILANCIA/DIV%20POAIV/POAIV%202025/ELIV%20SANTAFE%20Y%20LA%20CANDELARIA/PRIORIZADOS/TRIM%20III/2025%2008%2005%20Colegio%20La%20Candelaria%20Acta%20de%20visita.pdf?csf=1&amp;web=1&amp;e=KpwBI1" TargetMode="External"/><Relationship Id="rId1219" Type="http://schemas.openxmlformats.org/officeDocument/2006/relationships/hyperlink" Target="../../../../../../../:b:/g/personal/comunicacionesdiveliv_educacionbogota_gov_co/EVq-ADkpISBAv6vIxGTHjGkBTNkhNixPD_4fn0wl9zbg9A?e=Gf9xda" TargetMode="External"/><Relationship Id="rId1566"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773" Type="http://schemas.openxmlformats.org/officeDocument/2006/relationships/hyperlink" Target="../../../../../../../:b:/g/personal/comunicacionesdiveliv_educacionbogota_gov_co/ETOHp7ZTshJGt6fi0SC2_BQB1CSeny_sXhtolLIqnd63hw?e=ad9eMb" TargetMode="External"/><Relationship Id="rId1980" Type="http://schemas.openxmlformats.org/officeDocument/2006/relationships/hyperlink" Target="https://educacionbogota-my.sharepoint.com/:b:/g/personal/comunicacionesdiveliv_educacionbogota_gov_co/IQDj1_5H6p1VQbklRk9ZD77zAU-8qUGytk6brT56bhwfSSo?e=GW5BYA" TargetMode="External"/><Relationship Id="rId65"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426" Type="http://schemas.openxmlformats.org/officeDocument/2006/relationships/hyperlink" Target="../../../../../../../:b:/r/personal/comunicacionesdiveliv_educacionbogota_gov_co/Documents/DIRECCION%20DE%20INSPECCION%20Y%20VIGILANCIA/DIV%20POAIV/POAIV%202025/ELIV%20KENNEDY/PRIORIZADOS/TRIM%20III/COLEGIO%20ALEXANDER%20FLEMING.pdf?csf=1&amp;web=1&amp;e=qSpeNq" TargetMode="External"/><Relationship Id="rId1633" Type="http://schemas.openxmlformats.org/officeDocument/2006/relationships/hyperlink" Target="../../../../../../../:b:/r/personal/comunicacionesdiveliv_educacionbogota_gov_co/Documents/DIRECCION%20DE%20INSPECCION%20Y%20VIGILANCIA/DIV%20POAIV/POAIV%202025/ELIV%20SUBA/PRIORIZADOS/TRIM%20II/01042025%20colegio%20reina%20de%20gales.pdf?csf=1&amp;web=1&amp;e=QIMIcy" TargetMode="External"/><Relationship Id="rId1840" Type="http://schemas.openxmlformats.org/officeDocument/2006/relationships/hyperlink" Target="../../../../../../../:b:/r/personal/comunicacionesdiveliv_educacionbogota_gov_co/Documents/DIRECCION%20DE%20INSPECCION%20Y%20VIGILANCIA/DIV%20POAIV/POAIV%202025/ELIV%20TEUSAQUILLO/PRIORIZADOS/TRIM%20II/00_A.A_GUERRERO_VISITA_FinesMejoramiento_POAIV2025_07052025_FirmadaSoportes.pdf?csf=1&amp;web=1&amp;e=iUZEXQ" TargetMode="External"/><Relationship Id="rId1700"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38" Type="http://schemas.openxmlformats.org/officeDocument/2006/relationships/hyperlink" Target="https://educacionbogota-my.sharepoint.com/:b:/g/personal/comunicacionesdiveliv_educacionbogota_gov_co/EX53YwG28gtEtW6nefbDovMBnq7016BBK-h1o87zvHkLOg?e=FHRQVb" TargetMode="External"/><Relationship Id="rId281"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141" Type="http://schemas.openxmlformats.org/officeDocument/2006/relationships/hyperlink" Target="https://shre.ink/Mnjr" TargetMode="External"/><Relationship Id="rId379"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6" Type="http://schemas.openxmlformats.org/officeDocument/2006/relationships/hyperlink" Target="../../../../../../../:b:/r/personal/comunicacionesdiveliv_educacionbogota_gov_co/Documents/DIRECCION%20DE%20INSPECCION%20Y%20VIGILANCIA/DIV%20POAIV/POAIV%202025/ELIV%20KENNEDY/PRIORIZADOS/TRIM%20II/ACTA%20VISITA%20COLEGIO%20BRITANICO.pdf?csf=1&amp;web=1&amp;e=SsIZ94" TargetMode="External"/><Relationship Id="rId793" Type="http://schemas.openxmlformats.org/officeDocument/2006/relationships/hyperlink" Target="../../../../../../../:b:/r/personal/comunicacionesdiveliv_educacionbogota_gov_co/Documents/DIRECCION%20DE%20INSPECCION%20Y%20VIGILANCIA/DIV%20POAIV/POAIV%202025/ELIV%20SAN%20CRIST%C3%93BAL/PRIORIZADOS/TRIM%20II/0523%20Visita%20Colegio%20SANTA%20CATALINA%20DEL%20SUR%20ORIENTE.pdf?csf=1&amp;web=1&amp;e=JyH7st" TargetMode="External"/><Relationship Id="rId7"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9" Type="http://schemas.openxmlformats.org/officeDocument/2006/relationships/hyperlink" Target="https://shre.ink/e52M" TargetMode="External"/><Relationship Id="rId446"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653"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1076"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1283" Type="http://schemas.openxmlformats.org/officeDocument/2006/relationships/hyperlink" Target="../../../../../../../:b:/g/personal/comunicacionesdiveliv_educacionbogota_gov_co/EaZPEDJ50xtBqoOooUxJG_QBIR_-aq2_909hXU7uo605Tg?e=czGv1f" TargetMode="External"/><Relationship Id="rId1490"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306" Type="http://schemas.openxmlformats.org/officeDocument/2006/relationships/hyperlink" Target="../../../../../../../:b:/r/personal/comunicacionesdiveliv_educacionbogota_gov_co/Documents/DIRECCION%20DE%20INSPECCION%20Y%20VIGILANCIA/DIV%20POAIV/POAIV%202025/ELIV%20CHAPINERO/PRIORIZADOS/TRIM%20II/ACADEMIA%20DE%20IDIOMAS%20SMART/ACTA%20DE%20VISITA%20CON%20FINES%20DE%20MEJORAMIENTO%20SMART.pdf?csf=1&amp;web=1&amp;e=sUApBX" TargetMode="External"/><Relationship Id="rId860"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958"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143" Type="http://schemas.openxmlformats.org/officeDocument/2006/relationships/hyperlink" Target="https://educacionbogota-my.sharepoint.com/:b:/g/personal/comunicacionesdiveliv_educacionbogota_gov_co/Eb-UniLmS69Hl4UD82s7xUwBCuh_o4-APb2BjCOXcEtG7Q?e=4AOR0A" TargetMode="External"/><Relationship Id="rId1588"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1795" Type="http://schemas.openxmlformats.org/officeDocument/2006/relationships/hyperlink" Target="../../../../../../../:b:/g/personal/comunicacionesdiveliv_educacionbogota_gov_co/Ef7_QnClfQhImGpKaz8qy2EBLZOz8tOaQud_TfNMqzdZzg?e=PdJsHA" TargetMode="External"/><Relationship Id="rId87"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513"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720" Type="http://schemas.openxmlformats.org/officeDocument/2006/relationships/hyperlink" Target="../../../../../../../:b:/r/personal/comunicacionesdiveliv_educacionbogota_gov_co/Documents/DIRECCION%20DE%20INSPECCION%20Y%20VIGILANCIA/DIV%20POAIV/POAIV%202025/ELIV%20PUENTE%20ARANDA/PRIORIZADOS/TRIM%20II/20250429_Visita%20fines%20mejoramiento%20Liceo%20Coquibacoa/20250429_F%20visitas%20mejoramiento_LC%20v2.pdf?csf=1&amp;web=1&amp;e=M9i4d9" TargetMode="External"/><Relationship Id="rId818" Type="http://schemas.openxmlformats.org/officeDocument/2006/relationships/hyperlink" Target="../../../../../../../:b:/r/personal/comunicacionesdiveliv_educacionbogota_gov_co/Documents/DIRECCION%20DE%20INSPECCION%20Y%20VIGILANCIA/DIV%20POAIV/POAIV%202025/ELIV%20SAN%20CRIST%C3%93BAL/PRIORIZADOS/TRIM%20I/ACTA%20VISITA%20ADMINISTRATIVA%20COLEGIO%20INTEGRAL%20AVANCEMOS.pdf?csf=1&amp;web=1&amp;e=Dg8EFe" TargetMode="External"/><Relationship Id="rId1350" Type="http://schemas.openxmlformats.org/officeDocument/2006/relationships/hyperlink" Target="../../../../../../../:b:/g/personal/comunicacionesdiveliv_educacionbogota_gov_co/EUwXYE3zRUdHmUmCMjP9SMsBxRjqVyiXhd3Mm_oW-xdMiA?e=0ppQr2" TargetMode="External"/><Relationship Id="rId1448" Type="http://schemas.openxmlformats.org/officeDocument/2006/relationships/hyperlink" Target="../../../../../../../:b:/r/personal/comunicacionesdiveliv_educacionbogota_gov_co/Documents/DIRECCION%20DE%20INSPECCION%20Y%20VIGILANCIA/DIV%20POAIV/POAIV%202025/ELIV%20KENNEDY/PRIORIZADOS/TRIM%20III/LICEO%20NUEVA%20BRITALIA.pdf?csf=1&amp;web=1&amp;e=bFUyTe" TargetMode="External"/><Relationship Id="rId1655"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003"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210" Type="http://schemas.openxmlformats.org/officeDocument/2006/relationships/hyperlink" Target="../../../../../../../:b:/g/personal/comunicacionesdiveliv_educacionbogota_gov_co/Ed7YHKLS-yJIseYK8QcWBegBJZQ3Z4w3kQPANktP0Hq_kw?e=0AEuSm" TargetMode="External"/><Relationship Id="rId1308" Type="http://schemas.openxmlformats.org/officeDocument/2006/relationships/hyperlink" Target="../../../../../../../:b:/g/personal/comunicacionesdiveliv_educacionbogota_gov_co/EXguH2JtjgZKvmo2nrFnZmABm7iDNKSoKdbLDBu4sw4CSw?e=hZEzKK" TargetMode="External"/><Relationship Id="rId1862" Type="http://schemas.openxmlformats.org/officeDocument/2006/relationships/hyperlink" Target="https://educacionbogota-my.sharepoint.com/:f:/r/personal/comunicacionesdiveliv_educacionbogota_gov_co/Documents/DIRECCION%20DE%20INSPECCION%20Y%20VIGILANCIA/DIV%20POAIV/POAIV%202025/ELIV%20TUNJUELITO/MANUALES%20DE%20CONVIVENCIA/TRIM%20III/POLITECNICA%20COLOMBIANA?csf=1&amp;web=1&amp;e=xbYbx4" TargetMode="External"/><Relationship Id="rId1515" Type="http://schemas.openxmlformats.org/officeDocument/2006/relationships/hyperlink" Target="https://educacionbogota-my.sharepoint.com/:b:/g/personal/comunicacionesdiveliv_educacionbogota_gov_co/Ebz1I6zHlgZBnXEMIDjbaVsBudWt52T4pCeXpkeYcZQOmw?e=HLODCO" TargetMode="External"/><Relationship Id="rId1722"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4"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63" Type="http://schemas.openxmlformats.org/officeDocument/2006/relationships/hyperlink" Target="https://shre.ink/evUD" TargetMode="External"/><Relationship Id="rId370"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2051" Type="http://schemas.openxmlformats.org/officeDocument/2006/relationships/hyperlink" Target="https://educacionbogota-my.sharepoint.com/:b:/g/personal/comunicacionesdiveliv_educacionbogota_gov_co/IQC0csq_OZdlT5Qv-06sUVZLAZ99LxHD5zoTg2VlUCEp3L4?e=EdJ811" TargetMode="External"/><Relationship Id="rId230" Type="http://schemas.openxmlformats.org/officeDocument/2006/relationships/hyperlink" Target="https://acortar.link/WDQjzH" TargetMode="External"/><Relationship Id="rId468"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675"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882"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98"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328"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5"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42"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1165" Type="http://schemas.openxmlformats.org/officeDocument/2006/relationships/hyperlink" Target="https://educacionbogota-my.sharepoint.com/:b:/g/personal/comunicacionesdiveliv_educacionbogota_gov_co/ETnvQK47NwtMtRFdwpiCr7IBco4oRR5RfouD5ZlCG4aRjg?e=NenYUl" TargetMode="External"/><Relationship Id="rId1372" Type="http://schemas.openxmlformats.org/officeDocument/2006/relationships/hyperlink" Target="https://educacionbogota-my.sharepoint.com/:b:/g/personal/comunicacionesdiveliv_educacionbogota_gov_co/EaU6Gqyt-8VAl23h3KDLXNMBWVdXnUr02-BF8oG4ffVPaA?e=XkExgg" TargetMode="External"/><Relationship Id="rId2009" Type="http://schemas.openxmlformats.org/officeDocument/2006/relationships/hyperlink" Target="https://educacionbogota-my.sharepoint.com/:b:/g/personal/comunicacionesdiveliv_educacionbogota_gov_co/IQBFwzwbOLe_SYEbTDkbJvshAXeM7hfHg6Yc5-ZsiRz7kbQ?e=joWfMb" TargetMode="External"/><Relationship Id="rId602"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1025"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232" Type="http://schemas.openxmlformats.org/officeDocument/2006/relationships/hyperlink" Target="../../../../../../../:b:/g/personal/comunicacionesdiveliv_educacionbogota_gov_co/ERzMaCAxKL1NqszoLwR48UwBoQP72q40f-ul--HtX_xaYA?e=8Me0ll" TargetMode="External"/><Relationship Id="rId1677"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4"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907" Type="http://schemas.openxmlformats.org/officeDocument/2006/relationships/hyperlink" Target="../../../../../../../:b:/r/personal/comunicacionesdiveliv_educacionbogota_gov_co/Documents/DIRECCION%20DE%20INSPECCION%20Y%20VIGILANCIA/DIV%20POAIV/POAIV%202025/ELIV%20SAN%20CRIST%C3%93BAL/PRIORIZADOS/TRIM%20I/ACTA%20VISITA%20ADMINISTRATIVA%20IETDH%20FRANCIS%20COLLINS.pdf?csf=1&amp;web=1&amp;e=wXhWlU" TargetMode="External"/><Relationship Id="rId1537" Type="http://schemas.openxmlformats.org/officeDocument/2006/relationships/hyperlink" Target="https://educacionbogota-my.sharepoint.com/:b:/r/personal/comunicacionesdiveliv_educacionbogota_gov_co/Documents/DIRECCION%20DE%20INSPECCION%20Y%20VIGILANCIA/DIV%20POAIV/POAIV%202025/ELIV%20PUENTE%20ARANDA/PRIORIZADOS/TRIM%20III/25%2008%2019%20visita%20CEA%20V%C3%ADa%20Libre/VISITA%20ADMINISTRATIVA-CEA-VIA-LIBRE-19-08-2025.pdf?csf=1&amp;web=1&amp;e=uPMrl5" TargetMode="External"/><Relationship Id="rId1744" Type="http://schemas.openxmlformats.org/officeDocument/2006/relationships/hyperlink" Target="../../../../../../../:b:/g/personal/comunicacionesdiveliv_educacionbogota_gov_co/EfsHq-TeCL5MmzboQbKJWGIB_3ZH0TBzZrs6QRfSJW8o9A?e=mC6Fl5" TargetMode="External"/><Relationship Id="rId1951" Type="http://schemas.openxmlformats.org/officeDocument/2006/relationships/hyperlink" Target="https://educacionbogota-my.sharepoint.com/:b:/g/personal/comunicacionesdiveliv_educacionbogota_gov_co/EQjxR5oU1jVMgDWnLe7uKoQBJ832CoboTPG5jfATMEtEFg?e=QnDgtN" TargetMode="External"/><Relationship Id="rId36"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604" Type="http://schemas.openxmlformats.org/officeDocument/2006/relationships/hyperlink" Target="https://educacionbogota-my.sharepoint.com/:b:/g/personal/comunicacionesdiveliv_educacionbogota_gov_co/IQATZ2_Dq0PTTJnPGjb9EDecAWeGyY5bvOemKYQkjDm3ZN4?e=7psNTe" TargetMode="External"/><Relationship Id="rId185" Type="http://schemas.openxmlformats.org/officeDocument/2006/relationships/hyperlink" Target="https://shre.ink/evhA" TargetMode="External"/><Relationship Id="rId1811"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909" Type="http://schemas.openxmlformats.org/officeDocument/2006/relationships/hyperlink" Target="../../../../../../../:b:/r/personal/comunicacionesdiveliv_educacionbogota_gov_co/Documents/DIRECCION%20DE%20INSPECCION%20Y%20VIGILANCIA/DIV%20POAIV/POAIV%202025/ELIV%20USME/PRIORIZADOS/TRIMI/02ActaVisitaAdministrativaColegioJuanRulfo12032025.pdf?csf=1&amp;web=1&amp;e=TWkjag" TargetMode="External"/><Relationship Id="rId392"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697"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252" Type="http://schemas.openxmlformats.org/officeDocument/2006/relationships/hyperlink" Target="https://shre.ink/ebhv" TargetMode="External"/><Relationship Id="rId1187" Type="http://schemas.openxmlformats.org/officeDocument/2006/relationships/hyperlink" Target="https://shre.ink/x7Bw" TargetMode="External"/><Relationship Id="rId112" Type="http://schemas.openxmlformats.org/officeDocument/2006/relationships/hyperlink" Target="https://acortar.link/yAlpUW" TargetMode="External"/><Relationship Id="rId557"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764"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971"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394"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1699"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2000" Type="http://schemas.openxmlformats.org/officeDocument/2006/relationships/hyperlink" Target="https://educacionbogota-my.sharepoint.com/personal/comunicacionesdiveliv_educacionbogota_gov_co/_layouts/15/onedrive.aspx?e=5%3A1c9f74dd5f1a490b86e5735e757f5e24&amp;sharingv2=true&amp;fromShare=true&amp;at=9&amp;CT=1769198013255&amp;OR=OWA%2DNT%2DMail&amp;CID=eb50b35c%2D1f63%2D86e2%2Db109%2D3d90336eb20a&amp;id=%2Fpersonal%2Fcomunicacionesdiveliv%5Feducacionbogota%5Fgov%5Fco%2FDocuments%2FDIRECCION%20DE%20INSPECCION%20Y%20VIGILANCIA%2FDIV%20POAIV%2FPOAIV%202025%2FELIV%20CHAPINERO%2FPRIORIZADOS%2FTRIM%20IV%2FESCUELA%20DE%20AUXILIARES%20EN%20ENFERMERIA%20HOSPITAL%20MILITAR%20CENTRAL&amp;FolderCTID=0x0120003F990D12781BB346B8D0705E8416ECF6&amp;view=0" TargetMode="External"/><Relationship Id="rId417"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24" Type="http://schemas.openxmlformats.org/officeDocument/2006/relationships/hyperlink" Target="../../../../../../../:b:/r/personal/comunicacionesdiveliv_educacionbogota_gov_co/Documents/DIRECCION%20DE%20INSPECCION%20Y%20VIGILANCIA/DIV%20POAIV/POAIV%202025/ELIV%20KENNEDY/PRIORIZADOS/TRIM%20II/ACTA%20DE%20VISITA%20COLEGIO%20JAIME%20QUIJANO.pdf?csf=1&amp;web=1&amp;e=tljaP9" TargetMode="External"/><Relationship Id="rId831"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047"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4" Type="http://schemas.openxmlformats.org/officeDocument/2006/relationships/hyperlink" Target="../../../../../../../:b:/g/personal/comunicacionesdiveliv_educacionbogota_gov_co/Ea03xamXMppMmFZSPVOIccsBlXMhONdBrVnUZDNUHIPmjQ?e=zhH7iR" TargetMode="External"/><Relationship Id="rId1461" Type="http://schemas.openxmlformats.org/officeDocument/2006/relationships/hyperlink" Target="../../../../../../../:b:/r/personal/comunicacionesdiveliv_educacionbogota_gov_co/Documents/DIRECCION%20DE%20INSPECCION%20Y%20VIGILANCIA/DIV%20POAIV/POAIV%202025/ELIV%20KENNEDY/PRIORIZADOS/TRIM%20III/UNIDAD%20EDUCATIVA%20JEAN%20PIAGET.pdf?csf=1&amp;web=1&amp;e=TMsOGJ" TargetMode="External"/><Relationship Id="rId929"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114"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321" Type="http://schemas.openxmlformats.org/officeDocument/2006/relationships/hyperlink" Target="../../../../../../../:b:/r/personal/comunicacionesdiveliv_educacionbogota_gov_co/Documents/DIRECCION%20DE%20INSPECCION%20Y%20VIGILANCIA/DIV%20POAIV/POAIV%202025/ELIV%20ENGATIV%C3%81/PRIORIZADOS/TRIM%20II/COLEGIO%20REAL%20DE%20COLOMBIA.pdf?csf=1&amp;web=1&amp;e=I772Z7" TargetMode="External"/><Relationship Id="rId1559" Type="http://schemas.openxmlformats.org/officeDocument/2006/relationships/hyperlink" Target="https://educacionbogota-my.sharepoint.com/:b:/g/personal/comunicacionesdiveliv_educacionbogota_gov_co/EWvvyghjp8BIqEdMZzfGJH0BwJEThgP4UrK0L_sGRmNhzA?e=m2OaTp" TargetMode="External"/><Relationship Id="rId1766" Type="http://schemas.openxmlformats.org/officeDocument/2006/relationships/hyperlink" Target="../../../../../../../:b:/g/personal/comunicacionesdiveliv_educacionbogota_gov_co/EYDzPp7kUl1GtSpcbcbj9XkByOx0lTdfxy2ScYRvrF5Ppw?e=GRw5IO" TargetMode="External"/><Relationship Id="rId1973" Type="http://schemas.openxmlformats.org/officeDocument/2006/relationships/hyperlink" Target="https://educacionbogota-my.sharepoint.com/:b:/g/personal/comunicacionesdiveliv_educacionbogota_gov_co/EVUeggJPUO5Foh4h5IjMFUQBEG1zuGb6eBJmxTyua9djgg?e=eztXo2" TargetMode="External"/><Relationship Id="rId58"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419"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626"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3"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900"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274"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1"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134" Type="http://schemas.openxmlformats.org/officeDocument/2006/relationships/hyperlink" Target="https://shre.ink/Mn7g" TargetMode="External"/><Relationship Id="rId579"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786"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3"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341"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439"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46"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1069"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1276" Type="http://schemas.openxmlformats.org/officeDocument/2006/relationships/hyperlink" Target="../../../../../../../:b:/g/personal/comunicacionesdiveliv_educacionbogota_gov_co/EYC-_IGI59ZJkaQGDNJiRVQB-RjSIIB-kuO2MF7Oc1cNuA?e=ewGYim" TargetMode="External"/><Relationship Id="rId1483"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2022" Type="http://schemas.openxmlformats.org/officeDocument/2006/relationships/hyperlink" Target="https://educacionbogota-my.sharepoint.com/:b:/g/personal/comunicacionesdiveliv_educacionbogota_gov_co/IQD3Mqgz3QvJQ70CPYiuQRX9AfNYQ9FpHgrzyC5T_7Fhxpo?e=Pml7cl" TargetMode="External"/><Relationship Id="rId201" Type="http://schemas.openxmlformats.org/officeDocument/2006/relationships/hyperlink" Target="https://shre.ink/eKSY" TargetMode="External"/><Relationship Id="rId506"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853"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1136" Type="http://schemas.openxmlformats.org/officeDocument/2006/relationships/hyperlink" Target="https://educacionbogota-my.sharepoint.com/:b:/g/personal/comunicacionesdiveliv_educacionbogota_gov_co/EYO98_Q415ZLn_AiLoFPYfQBxqtJLIEyHvpDcf-ccGBqfQ?e=GmEuys" TargetMode="External"/><Relationship Id="rId1690"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1788" Type="http://schemas.openxmlformats.org/officeDocument/2006/relationships/hyperlink" Target="../../../../../../../:b:/g/personal/comunicacionesdiveliv_educacionbogota_gov_co/EVkMcSlOP0pIsRabjefZYvwBk3QQywObb5P4sj2ZQDCjEg?e=SIzul9" TargetMode="External"/><Relationship Id="rId1995"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CIUDAD%20BOL%C3%8DVAR%2FPRIORIZADOS%2FTRIM%20II%2F20250422ActaVisitaAdministrativaInsSantaAnaLuzdelCarmen%20%281%29%2Epdf&amp;parent=%2Fpersonal%2Fcomunicacionesdiveliv%5Feducacionbogota%5Fgov%5Fco%2FDocuments%2FDIRECCION%20DE%20INSPECCION%20Y%20VIGILANCIA%2FDIV%20POAIV%2FPOAIV%202025%2FELIV%20CIUDAD%20BOL%C3%8DVAR%2FPRIORIZADOS%2FTRIM%20II&amp;ga=1" TargetMode="External"/><Relationship Id="rId713" Type="http://schemas.openxmlformats.org/officeDocument/2006/relationships/hyperlink" Target="../../../../../../../:b:/r/personal/comunicacionesdiveliv_educacionbogota_gov_co/Documents/DIRECCION%20DE%20INSPECCION%20Y%20VIGILANCIA/DIV%20POAIV/POAIV%202025/ELIV%20PUENTE%20ARANDA/PRIORIZADOS/TRIM%20I/25%2003%2026%20acta%20Luis%20Concha%20Cordoba.pdf?csf=1&amp;web=1&amp;e=H3PtWv" TargetMode="External"/><Relationship Id="rId920"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343"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1550" Type="http://schemas.openxmlformats.org/officeDocument/2006/relationships/hyperlink" Target="https://educacionbogota-my.sharepoint.com/:b:/g/personal/comunicacionesdiveliv_educacionbogota_gov_co/EQ2DMzh0MnpKoCJRssnZC5MBVnmpWf5qGDTie_W3LZIycw?e=XoXAOg" TargetMode="External"/><Relationship Id="rId1648" Type="http://schemas.openxmlformats.org/officeDocument/2006/relationships/hyperlink" Target="../../../../../../../:b:/r/personal/comunicacionesdiveliv_educacionbogota_gov_co/Documents/DIRECCION%20DE%20INSPECCION%20Y%20VIGILANCIA/DIV%20POAIV/POAIV%202025/ELIV%20SUBA/PRIORIZADOS/TRIM%20II/ACTA%20DE%20VISITA%20COLEGIO%20VAN%20LEEUWENHOEK.pdf?csf=1&amp;web=1&amp;e=FJuiAI" TargetMode="External"/><Relationship Id="rId1203" Type="http://schemas.openxmlformats.org/officeDocument/2006/relationships/hyperlink" Target="../../../../../../../:f:/g/personal/comunicacionesdiveliv_educacionbogota_gov_co/EhaPlKZXOxZPnJSkDFS7Xi8BkvkQYs8UygTz5NDbEt5vMw?e=beSMIQ" TargetMode="External"/><Relationship Id="rId1410" Type="http://schemas.openxmlformats.org/officeDocument/2006/relationships/hyperlink" Target="https://educacionbogota-my.sharepoint.com/:b:/g/personal/comunicacionesdiveliv_educacionbogota_gov_co/EZRxFJ-Rd89Pu7EGFSmHYpABAO6tmyKg5lFyrScuIcKqCg?e=He1SZj" TargetMode="External"/><Relationship Id="rId1508" Type="http://schemas.openxmlformats.org/officeDocument/2006/relationships/hyperlink" Target="https://educacionbogota-my.sharepoint.com/:b:/g/personal/comunicacionesdiveliv_educacionbogota_gov_co/Ebz1I6zHlgZBnXEMIDjbaVsBudWt52T4pCeXpkeYcZQOmw?e=HLODCO" TargetMode="External"/><Relationship Id="rId1855"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715" Type="http://schemas.openxmlformats.org/officeDocument/2006/relationships/hyperlink" Target="../../../../../../../:b:/r/personal/comunicacionesdiveliv_educacionbogota_gov_co/Documents/DIRECCION%20DE%20INSPECCION%20Y%20VIGILANCIA/DIV%20POAIV/POAIV%202025/ELIV%20SUBA/PRIORIZADOS/TRIM%20III/ACTA%20DE%20VISITA%20INSTITUCIONAL%20CENTRO%20DE%20ESTUDIOS%20PROPYMES.pdf?csf=1&amp;web=1&amp;e=fcDdYr" TargetMode="External"/><Relationship Id="rId1922"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96"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156" Type="http://schemas.openxmlformats.org/officeDocument/2006/relationships/hyperlink" Target="https://shre.ink/evUD" TargetMode="External"/><Relationship Id="rId363"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570"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2044"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EUSAQUILLO%2FPRIORIZADOS%2FTRIM%20II%2F15052025%5FActa%5FVisitacon%20fines%20de%20mejormaiento%5FCentro%20de%20Asesorias%20Integrales%2Epdf&amp;parent=%2Fpersonal%2Fcomunicacionesdiveliv%5Feducacionbogota%5Fgov%5Fco%2FDocuments%2FDIRECCION%20DE%20INSPECCION%20Y%20VIGILANCIA%2FDIV%20POAIV%2FPOAIV%202025%2FELIV%20TEUSAQUILLO%2FPRIORIZADOS%2FTRIM%20II&amp;wdLOR=c47E6D484%2D5217%2D47F5%2DA044%2D6ADEB79986C5&amp;ga=1" TargetMode="External"/><Relationship Id="rId223" Type="http://schemas.openxmlformats.org/officeDocument/2006/relationships/hyperlink" Target="https://shre.ink/eKLw" TargetMode="External"/><Relationship Id="rId430"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668" Type="http://schemas.openxmlformats.org/officeDocument/2006/relationships/hyperlink" Target="../../../../../../../:b:/r/personal/comunicacionesdiveliv_educacionbogota_gov_co/Documents/DIRECCION%20DE%20INSPECCION%20Y%20VIGILANCIA/DIV%20POAIV/POAIV%202025/ELIV%20KENNEDY/PRIORIZADOS/TRIM%20II/ACTA%20DE%20VISITA_COLEGIO%20SAN%20ANGEL.pdf?csf=1&amp;web=1&amp;e=moyaWZ" TargetMode="External"/><Relationship Id="rId875"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1060"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98"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528"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735"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942"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158" Type="http://schemas.openxmlformats.org/officeDocument/2006/relationships/hyperlink" Target="https://educacionbogota-my.sharepoint.com/:b:/g/personal/comunicacionesdiveliv_educacionbogota_gov_co/ETnvQK47NwtMtRFdwpiCr7IBco4oRR5RfouD5ZlCG4aRjg?e=NenYUl" TargetMode="External"/><Relationship Id="rId1365"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1572"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018"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225" Type="http://schemas.openxmlformats.org/officeDocument/2006/relationships/hyperlink" Target="../../../../../../../:b:/g/personal/comunicacionesdiveliv_educacionbogota_gov_co/ERzMaCAxKL1NqszoLwR48UwBoQP72q40f-ul--HtX_xaYA?e=8Me0ll" TargetMode="External"/><Relationship Id="rId1432" Type="http://schemas.openxmlformats.org/officeDocument/2006/relationships/hyperlink" Target="https://educacionbogota-my.sharepoint.com/personal/comunicacionesdiveliv_educacionbogota_gov_co/Documents/DIRECCION%20DE%20INSPECCION%20Y%20VIGILANCIA/DIV%20POAIV/POAIV%202025/ELIV%20KENNEDY/PRIORIZADOS/TRIM%20III/INSTITUTO%20CULTURAL%20CIUDAD%20DE%20KENNEDY.pdf" TargetMode="External"/><Relationship Id="rId1877"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71"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2"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737"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44" Type="http://schemas.openxmlformats.org/officeDocument/2006/relationships/hyperlink" Target="https://educacionbogota-my.sharepoint.com/:b:/g/personal/comunicacionesdiveliv_educacionbogota_gov_co/EZ_ecOLB1x5LgNBP9kRFxzcBhyhv0Y4LEE3zmUcPK81hew?e=gk5r7c" TargetMode="External"/><Relationship Id="rId29"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78" Type="http://schemas.openxmlformats.org/officeDocument/2006/relationships/hyperlink" Target="https://shre.ink/evjR" TargetMode="External"/><Relationship Id="rId1804" Type="http://schemas.openxmlformats.org/officeDocument/2006/relationships/hyperlink" Target="../../../../../../../:b:/g/personal/comunicacionesdiveliv_educacionbogota_gov_co/EcVLXnYZGmZMuxmrTQBVJQoBQd0FuaD9SJAcoHYXJz32og?e=IZAmfU" TargetMode="External"/><Relationship Id="rId385"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2" Type="http://schemas.openxmlformats.org/officeDocument/2006/relationships/hyperlink" Target="../../../../../../../:b:/r/personal/comunicacionesdiveliv_educacionbogota_gov_co/Documents/DIRECCION%20DE%20INSPECCION%20Y%20VIGILANCIA/DIV%20POAIV/POAIV%202025/ELIV%20KENNEDY/PRIORIZADOS/TRIM%20II/ACTA%20VISITA%20COLEGIO_CHARLES_BABAGGE.pdf?csf=1&amp;web=1&amp;e=Qhnwfp" TargetMode="External"/><Relationship Id="rId245" Type="http://schemas.openxmlformats.org/officeDocument/2006/relationships/hyperlink" Target="https://shre.ink/e52M" TargetMode="External"/><Relationship Id="rId452"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897"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082"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05" Type="http://schemas.openxmlformats.org/officeDocument/2006/relationships/hyperlink" Target="../../../../../../../:b:/r/personal/comunicacionesdiveliv_educacionbogota_gov_co/Documents/DIRECCION%20DE%20INSPECCION%20Y%20VIGILANCIA/DIV%20POAIV/POAIV%202025/ELIV%20SANTAFE%20Y%20LA%20CANDELARIA/PRIORIZADOS/TRIM%20II/2025%2005%2030%20CENCABO%20Acta%20de%20visita.pdf?csf=1&amp;web=1&amp;e=eoejtx" TargetMode="External"/><Relationship Id="rId312" Type="http://schemas.openxmlformats.org/officeDocument/2006/relationships/hyperlink" Target="../../../../../../../:f:/r/personal/comunicacionesdiveliv_educacionbogota_gov_co/Documents/DIRECCION%20DE%20INSPECCION%20Y%20VIGILANCIA/DIV%20POAIV/POAIV%202025/ELIV%20CHAPINERO/PRIORIZADOS/TRIM%20II/CENTRO%20DE%20IDIOMAS%20UNIVERSAL?csf=1&amp;web=1&amp;e=z3Fajv" TargetMode="External"/><Relationship Id="rId757"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64"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387" Type="http://schemas.openxmlformats.org/officeDocument/2006/relationships/hyperlink" Target="https://educacionbogota-my.sharepoint.com/:b:/g/personal/comunicacionesdiveliv_educacionbogota_gov_co/ERAM9qLwpB9Hnq0uH4vIkWoBry_yCDPWLSu8VpjD2eaVeQ?e=az8UHu" TargetMode="External"/><Relationship Id="rId1594" Type="http://schemas.openxmlformats.org/officeDocument/2006/relationships/hyperlink" Target="https://educacionbogota-my.sharepoint.com/:b:/g/personal/comunicacionesdiveliv_educacionbogota_gov_co/EaPXq-mJXzBLnMUpxKlaRkUBK4cqB1iCcpaFNyDk1A7KFg?e=rm03Il" TargetMode="External"/><Relationship Id="rId93"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617"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824"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247" Type="http://schemas.openxmlformats.org/officeDocument/2006/relationships/hyperlink" Target="../../../../../../../:f:/g/personal/comunicacionesdiveliv_educacionbogota_gov_co/EsL0s_TwFCRBqGH53lVjIa4ByYG8skIyJveV9lFSw9fVqQ?e=YlafKe" TargetMode="External"/><Relationship Id="rId1454" Type="http://schemas.openxmlformats.org/officeDocument/2006/relationships/hyperlink" Target="../../../../../../../:b:/r/personal/comunicacionesdiveliv_educacionbogota_gov_co/Documents/DIRECCION%20DE%20INSPECCION%20Y%20VIGILANCIA/DIV%20POAIV/POAIV%202025/ELIV%20KENNEDY/PRIORIZADOS/TRIM%20III/LICEO%20REYNEL.pdf?csf=1&amp;web=1&amp;e=XVXcz0" TargetMode="External"/><Relationship Id="rId1661" Type="http://schemas.openxmlformats.org/officeDocument/2006/relationships/hyperlink" Target="../../../../../../../:b:/r/personal/comunicacionesdiveliv_educacionbogota_gov_co/Documents/DIRECCION%20DE%20INSPECCION%20Y%20VIGILANCIA/DIV%20POAIV/POAIV%202025/ELIV%20SUBA/PRIORIZADOS/TRIM%20II/ACTA%20VISITA%20INTEGRAL%20INST%20TEC%20COM%20CERROS%20DE%20SUBRA%20Jun10_2025.pdf?csf=1&amp;web=1&amp;e=oDw1MS" TargetMode="External"/><Relationship Id="rId1899"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1107"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14" Type="http://schemas.openxmlformats.org/officeDocument/2006/relationships/hyperlink" Target="../../../../../../../:b:/g/personal/comunicacionesdiveliv_educacionbogota_gov_co/EX50lx968y9GrquDjOwdiocBRlOHdbt1HVUni9Xd0AOfyQ?e=eNDjsk" TargetMode="External"/><Relationship Id="rId1521" Type="http://schemas.openxmlformats.org/officeDocument/2006/relationships/hyperlink" Target="https://educacionbogota-my.sharepoint.com/:b:/g/personal/comunicacionesdiveliv_educacionbogota_gov_co/EWF7bhdFvndNn9rxopJnRSkBTQ7jCTHittv2bSBBSaVQOw?e=rIAkBV" TargetMode="External"/><Relationship Id="rId1759" Type="http://schemas.openxmlformats.org/officeDocument/2006/relationships/hyperlink" Target="../../../../../../../:b:/g/personal/comunicacionesdiveliv_educacionbogota_gov_co/EYXGYZZLrKtDsZmoXUoWpP8BKmEOE7yadec7nep9AvAofw?e=xBs3yL" TargetMode="External"/><Relationship Id="rId1966" Type="http://schemas.openxmlformats.org/officeDocument/2006/relationships/hyperlink" Target="https://educacionbogota-my.sharepoint.com/:b:/g/personal/comunicacionesdiveliv_educacionbogota_gov_co/ET2QxUqFxKtJkaDKcikNMnwB-Lrfw9_zcHJHhmJDmOegWg?e=bS3r0p" TargetMode="External"/><Relationship Id="rId1619" Type="http://schemas.openxmlformats.org/officeDocument/2006/relationships/hyperlink" Target="../../../../../../../:b:/r/personal/comunicacionesdiveliv_educacionbogota_gov_co/Documents/DIRECCION%20DE%20INSPECCION%20Y%20VIGILANCIA/DIV%20POAIV/POAIV%202025/ELIV%20SUBA/PRIORIZADOS/TRIMI/28032025%20Instituto%20Central%20de%20estudios.pdf?csf=1&amp;web=1&amp;e=yZI4nr" TargetMode="External"/><Relationship Id="rId1826"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20"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267" Type="http://schemas.openxmlformats.org/officeDocument/2006/relationships/hyperlink" Target="../../../../../../../:b:/r/personal/comunicacionesdiveliv_educacionbogota_gov_co/Documents/DIRECCION%20DE%20INSPECCION%20Y%20VIGILANCIA/DIV%20POAIV/POAIV%202025/ELIV%20CHAPINERO/PRIORIZADOS/TRIM%20II/COLEGIO%20JORD%C3%81N%20DE%20SAJONIA/Acta%20de%20visita%20administrativa.pdf?csf=1&amp;web=1&amp;e=dGYvUw" TargetMode="External"/><Relationship Id="rId474"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127" Type="http://schemas.openxmlformats.org/officeDocument/2006/relationships/hyperlink" Target="https://shre.ink/Mn5W" TargetMode="External"/><Relationship Id="rId681" Type="http://schemas.openxmlformats.org/officeDocument/2006/relationships/hyperlink" Target="../../../../../../../:b:/r/personal/comunicacionesdiveliv_educacionbogota_gov_co/Documents/DIRECCION%20DE%20INSPECCION%20Y%20VIGILANCIA/DIV%20POAIV/POAIV%202025/ELIV%20KENNEDY/PRIORIZADOS/TRIM%20II/ACTA%20DE%20VISITA%20COLEGIO%20TRIANGULO.pdf?csf=1&amp;web=1&amp;e=z5dGWo" TargetMode="External"/><Relationship Id="rId779" Type="http://schemas.openxmlformats.org/officeDocument/2006/relationships/hyperlink" Target="../../../../../../../:b:/r/personal/comunicacionesdiveliv_educacionbogota_gov_co/Documents/DIRECCION%20DE%20INSPECCION%20Y%20VIGILANCIA/DIV%20POAIV/POAIV%202025/SAN%20CRIST%C3%93BAL/PRIORIZADOS/TRIM%20II/0430%20Acta%20visita%20Liceo%20San%20Jos%C3%A9%20Oriental.pdf?csf=1&amp;web=1&amp;e=ycTSDg" TargetMode="External"/><Relationship Id="rId986"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334"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41"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639" Type="http://schemas.openxmlformats.org/officeDocument/2006/relationships/hyperlink" Target="../../../../../../../:b:/r/personal/comunicacionesdiveliv_educacionbogota_gov_co/Documents/DIRECCION%20DE%20INSPECCION%20Y%20VIGILANCIA/DIV%20POAIV/POAIV%202025/ELIV%20KENNEDY/PRIORIZADOS/TRIM%20II/ACTA%20VISITA%20GIMNASIO%20MODERNO%20EL%20TINTAL.pdf?csf=1&amp;web=1&amp;e=RiLl0l" TargetMode="External"/><Relationship Id="rId1171"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1269" Type="http://schemas.openxmlformats.org/officeDocument/2006/relationships/hyperlink" Target="../../../../../../../:b:/g/personal/comunicacionesdiveliv_educacionbogota_gov_co/ETCCq3jsgp5Gv70s2DAc-koB7YIDHcwspWiEfppjxOvOow?e=n7rNdj" TargetMode="External"/><Relationship Id="rId1476"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2015" Type="http://schemas.openxmlformats.org/officeDocument/2006/relationships/hyperlink" Target="https://educacionbogota-my.sharepoint.com/:b:/g/personal/comunicacionesdiveliv_educacionbogota_gov_co/IQD3Mqgz3QvJQ70CPYiuQRX9AfNYQ9FpHgrzyC5T_7Fhxpo?e=Pml7cl" TargetMode="External"/><Relationship Id="rId401"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846"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031"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129" Type="http://schemas.openxmlformats.org/officeDocument/2006/relationships/hyperlink" Target="https://educacionbogota-my.sharepoint.com/:b:/g/personal/comunicacionesdiveliv_educacionbogota_gov_co/EeK6oyECBGFCld1489Pv2ScBWXREa1mjizxx2knejVCfcA?e=5Pnbm5" TargetMode="External"/><Relationship Id="rId1683"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1890"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1988"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INSTITUTO%20TECNICO%20INDUSTRIAL%20PILOTO%2FVisita%20ITIP%2029072025%5F250803%5F19023203082025%2Epdf&amp;parent=%2Fpersonal%2Fcomunicacionesdiveliv%5Feducacionbogota%5Fgov%5Fco%2FDocuments%2FDIRECCION%20DE%20INSPECCION%20Y%20VIGILANCIA%2FDIV%20POAIV%2FPOAIV%202025%2FELIV%20TUNJUELITO%2FPRIORIZADOS%2FTRIM%20III%2FINSTITUTO%20TECNICO%20INDUSTRIAL%20PILOTO&amp;ct=1769196766231&amp;or=OWA%2DNT%2DMail&amp;cid=b2b27dac%2Df13c%2Df5c4%2D6059%2De7261a040607&amp;ga=1" TargetMode="External"/><Relationship Id="rId706" Type="http://schemas.openxmlformats.org/officeDocument/2006/relationships/hyperlink" Target="../../../../../../../:b:/r/personal/comunicacionesdiveliv_educacionbogota_gov_co/Documents/DIRECCION%20DE%20INSPECCION%20Y%20VIGILANCIA/DIV%20POAIV/POAIV%202025/ELIV%20KENNEDY/PRIORIZADOS/TRIM%20III/ACTA%20DE%20VISITA%20INSTITUTO%20YOLKIN.pdf?csf=1&amp;web=1&amp;e=2KP3s5" TargetMode="External"/><Relationship Id="rId913" Type="http://schemas.openxmlformats.org/officeDocument/2006/relationships/hyperlink" Target="../../../../../../../:b:/r/personal/comunicacionesdiveliv_educacionbogota_gov_co/Documents/DIRECCION%20DE%20INSPECCION%20Y%20VIGILANCIA/DIV%20POAIV/POAIV%202025/ELIV%20SAN%20CRIST%C3%93BAL/PRIORIZADOS/TRIM%20II/0508%20Acta%20visita%20administrativa%20Centro%20de%20Capacitaci%C3%B3n%20Laboral%20Miquelina.pdf?csf=1&amp;web=1&amp;e=IOmSP9" TargetMode="External"/><Relationship Id="rId1336" Type="http://schemas.openxmlformats.org/officeDocument/2006/relationships/hyperlink" Target="../../../../../../../:b:/g/personal/comunicacionesdiveliv_educacionbogota_gov_co/EecCk4zFb4xPtleMLk22xdYBqn9dGakDd5QQ53y47hOrbg?e=DOsDlF" TargetMode="External"/><Relationship Id="rId1543" Type="http://schemas.openxmlformats.org/officeDocument/2006/relationships/hyperlink" Target="https://educacionbogota-my.sharepoint.com/:b:/g/personal/comunicacionesdiveliv_educacionbogota_gov_co/EQ2DMzh0MnpKoCJRssnZC5MBVnmpWf5qGDTie_W3LZIycw?e=XoXAOg" TargetMode="External"/><Relationship Id="rId1750" Type="http://schemas.openxmlformats.org/officeDocument/2006/relationships/hyperlink" Target="../../../../../../../:b:/g/personal/comunicacionesdiveliv_educacionbogota_gov_co/EYXGYZZLrKtDsZmoXUoWpP8BKmEOE7yadec7nep9AvAofw?e=xBs3yL" TargetMode="External"/><Relationship Id="rId42"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403"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610" Type="http://schemas.openxmlformats.org/officeDocument/2006/relationships/hyperlink" Target="../../../../../../../:b:/g/personal/comunicacionesdiveliv_educacionbogota_gov_co/EbuTU9tbcTxFs94RYLyR-3QBmd9zlhyBKgtY73RkkG3uEw?e=nZXF7Y" TargetMode="External"/><Relationship Id="rId1848" Type="http://schemas.openxmlformats.org/officeDocument/2006/relationships/hyperlink" Target="https://educacionbogota-my.sharepoint.com/:b:/g/personal/comunicacionesdiveliv_educacionbogota_gov_co/ERGUmCDAdu9IjL6DXKnHgAgB0G1ajjZCDTJYYbd6vehsOQ?e=bkMpH6" TargetMode="External"/><Relationship Id="rId191" Type="http://schemas.openxmlformats.org/officeDocument/2006/relationships/hyperlink" Target="https://shre.ink/evhA" TargetMode="External"/><Relationship Id="rId1708"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15"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89"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496"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149" Type="http://schemas.openxmlformats.org/officeDocument/2006/relationships/hyperlink" Target="https://shre.ink/eCE6" TargetMode="External"/><Relationship Id="rId356"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63" Type="http://schemas.openxmlformats.org/officeDocument/2006/relationships/hyperlink" Target="../../../../../../../:b:/r/personal/comunicacionesdiveliv_educacionbogota_gov_co/Documents/DIRECCION%20DE%20INSPECCION%20Y%20VIGILANCIA/DIV%20POAIV/POAIV%202025/ELIV%20ANTONIO%20NARI%C3%91O/PRIORIZADOS/TRIM%20II/16.%20Acta%20Col%20Francisco%20de%20Paula%20Santander%20(IED)_signed.pdf?csf=1&amp;web=1&amp;e=W9nNCW" TargetMode="External"/><Relationship Id="rId770"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1193" Type="http://schemas.openxmlformats.org/officeDocument/2006/relationships/hyperlink" Target="../../../../../../../:f:/r/personal/comunicacionesdiveliv_educacionbogota_gov_co/Documents/DIRECCION%20DE%20INSPECCION%20Y%20VIGILANCIA/DIV%20POAIV/POAIV%202025/ELIV%20CHAPINERO/PRIORIZADOS/TRIM%20III/ACADEMIA%20DANZA%20DESARROLLO%20CON%20PROPOSITO%20ADDA?csf=1&amp;web=1&amp;e=xy6aZR" TargetMode="External"/><Relationship Id="rId2037" Type="http://schemas.openxmlformats.org/officeDocument/2006/relationships/hyperlink" Target="../../../../../../../:b:/g/personal/comunicacionesdiveliv_educacionbogota_gov_co/IQCfu4lxOg5QS5ZA-eZFmsW_Ae4Lztd5ucxjKNX5wj6n1_I?e=fWSy0V" TargetMode="External"/><Relationship Id="rId216" Type="http://schemas.openxmlformats.org/officeDocument/2006/relationships/hyperlink" Target="https://shre.ink/eK5b" TargetMode="External"/><Relationship Id="rId423"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868"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053"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0" Type="http://schemas.openxmlformats.org/officeDocument/2006/relationships/hyperlink" Target="../../../../../../../:b:/g/personal/comunicacionesdiveliv_educacionbogota_gov_co/EXDXIFqd2cBPtccsXnwqrd8B5J5VCEZ8JHp09WYo2_NAig?e=NP8Xje" TargetMode="External"/><Relationship Id="rId1498"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630" Type="http://schemas.openxmlformats.org/officeDocument/2006/relationships/hyperlink" Target="../../../../../../../:b:/r/personal/comunicacionesdiveliv_educacionbogota_gov_co/Documents/DIRECCION%20DE%20INSPECCION%20Y%20VIGILANCIA/DIV%20POAIV/POAIV%202025/ELIV%20KENNEDY/PRIORIZADOS/TRIM%20II/ACTA%20DE%20VISITA%20COLEGIO%20LAZARILLO%20DE%20TORMES.pdf?csf=1&amp;web=1&amp;e=xTKGSa" TargetMode="External"/><Relationship Id="rId728" Type="http://schemas.openxmlformats.org/officeDocument/2006/relationships/hyperlink" Target="../../../../../../../:b:/r/personal/comunicacionesdiveliv_educacionbogota_gov_co/Documents/DIRECCION%20DE%20INSPECCION%20Y%20VIGILANCIA/DIV%20POAIV/POAIV%202025/ELIV%20PUENTE%20ARANDA/PRIORIZADOS/TRIM%20I/ACTA%20DE%20VISITA%20ADMINISTRATIVA%20COLEGIO%20PARROQUIAL%20DE%20LA%20DOTRINA%20CRISTIANA.pdf?csf=1&amp;web=1&amp;e=QrSX3U" TargetMode="External"/><Relationship Id="rId935"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358"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565"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1772" Type="http://schemas.openxmlformats.org/officeDocument/2006/relationships/hyperlink" Target="../../../../../../../:b:/g/personal/comunicacionesdiveliv_educacionbogota_gov_co/ETiorX7HsxVLiyniM70pNQEBY6vl1Krz9d4GXvD8HF_feQ?e=YTEDDg" TargetMode="External"/><Relationship Id="rId64"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120" Type="http://schemas.openxmlformats.org/officeDocument/2006/relationships/hyperlink" Target="../../../../../../../:b:/r/personal/comunicacionesdiveliv_educacionbogota_gov_co/Documents/DIRECCION%20DE%20INSPECCION%20Y%20VIGILANCIA/DIV%20POAIV/POAIV%202025/ELIV%20CHAPINERO/PRIORIZADOS/TRIM%20III/INCAP/Acta%20IETDH%20INCAP.pdf?csf=1&amp;web=1&amp;e=PMTeWY" TargetMode="External"/><Relationship Id="rId1218" Type="http://schemas.openxmlformats.org/officeDocument/2006/relationships/hyperlink" Target="../../../../../../../:b:/g/personal/comunicacionesdiveliv_educacionbogota_gov_co/EVq-ADkpISBAv6vIxGTHjGkBTNkhNixPD_4fn0wl9zbg9A?e=Gf9xda" TargetMode="External"/><Relationship Id="rId1425" Type="http://schemas.openxmlformats.org/officeDocument/2006/relationships/hyperlink" Target="../../../../../../../:b:/r/personal/comunicacionesdiveliv_educacionbogota_gov_co/Documents/DIRECCION%20DE%20INSPECCION%20Y%20VIGILANCIA/DIV%20POAIV/POAIV%202025/ELIV%20KENNEDY/PRIORIZADOS/TRIM%20III/COLEGIO%20ALEXANDER%20FLEMING.pdf?csf=1&amp;web=1&amp;e=qSpeNq" TargetMode="External"/><Relationship Id="rId1632" Type="http://schemas.openxmlformats.org/officeDocument/2006/relationships/hyperlink" Target="../../../../../../../:b:/r/personal/comunicacionesdiveliv_educacionbogota_gov_co/Documents/DIRECCION%20DE%20INSPECCION%20Y%20VIGILANCIA/DIV%20POAIV/POAIV%202025/ELIV%20SUBA/PRIORIZADOS/TRIM%20II/01042025%20colegio%20reina%20de%20gales.pdf?csf=1&amp;web=1&amp;e=QIMIcy" TargetMode="External"/><Relationship Id="rId1937" Type="http://schemas.openxmlformats.org/officeDocument/2006/relationships/hyperlink" Target="https://educacionbogota-my.sharepoint.com/:b:/g/personal/comunicacionesdiveliv_educacionbogota_gov_co/EX53YwG28gtEtW6nefbDovMBnq7016BBK-h1o87zvHkLOg?e=FHRQVb" TargetMode="External"/><Relationship Id="rId280" Type="http://schemas.openxmlformats.org/officeDocument/2006/relationships/hyperlink" Target="../../../../../../../:f:/r/personal/comunicacionesdiveliv_educacionbogota_gov_co/Documents/DIRECCION%20DE%20INSPECCION%20Y%20VIGILANCIA/DIV%20POAIV/POAIV%202025/ELIV%20CHAPINERO/PRIORIZADOS/TRIM%20II/COLEGIO%20KUEPA?csf=1&amp;web=1&amp;e=Hw7QSn" TargetMode="External"/><Relationship Id="rId140" Type="http://schemas.openxmlformats.org/officeDocument/2006/relationships/hyperlink" Target="https://shre.ink/Mnjr" TargetMode="External"/><Relationship Id="rId378"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5" Type="http://schemas.openxmlformats.org/officeDocument/2006/relationships/hyperlink" Target="../../../../../../../:b:/r/personal/comunicacionesdiveliv_educacionbogota_gov_co/Documents/DIRECCION%20DE%20INSPECCION%20Y%20VIGILANCIA/DIV%20POAIV/POAIV%202025/ELIV%20KENNEDY/PRIORIZADOS/TRIM%20II/ACTA%20VISITA%20COLEGIO%20BRITANICO.pdf?csf=1&amp;web=1&amp;e=SsIZ94" TargetMode="External"/><Relationship Id="rId792"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6"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8" Type="http://schemas.openxmlformats.org/officeDocument/2006/relationships/hyperlink" Target="https://shre.ink/e52M" TargetMode="External"/><Relationship Id="rId445"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52"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1075"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1282" Type="http://schemas.openxmlformats.org/officeDocument/2006/relationships/hyperlink" Target="../../../../../../../:b:/g/personal/comunicacionesdiveliv_educacionbogota_gov_co/EaZPEDJ50xtBqoOooUxJG_QBIR_-aq2_909hXU7uo605Tg?e=czGv1f" TargetMode="External"/><Relationship Id="rId305" Type="http://schemas.openxmlformats.org/officeDocument/2006/relationships/hyperlink" Target="../../../../../../../:b:/r/personal/comunicacionesdiveliv_educacionbogota_gov_co/Documents/DIRECCION%20DE%20INSPECCION%20Y%20VIGILANCIA/DIV%20POAIV/POAIV%202025/ELIV%20CHAPINERO/PRIORIZADOS/TRIM%20II/ACADEMIA%20DE%20IDIOMAS%20SMART/ACTA%20DE%20VISITA%20CON%20FINES%20DE%20MEJORAMIENTO%20SMART.pdf?csf=1&amp;web=1&amp;e=sUApBX" TargetMode="External"/><Relationship Id="rId512"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957"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142" Type="http://schemas.openxmlformats.org/officeDocument/2006/relationships/hyperlink" Target="https://educacionbogota-my.sharepoint.com/:b:/g/personal/comunicacionesdiveliv_educacionbogota_gov_co/Eb-UniLmS69Hl4UD82s7xUwBCuh_o4-APb2BjCOXcEtG7Q?e=4AOR0A" TargetMode="External"/><Relationship Id="rId1587"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1794" Type="http://schemas.openxmlformats.org/officeDocument/2006/relationships/hyperlink" Target="../../../../../../../:b:/g/personal/comunicacionesdiveliv_educacionbogota_gov_co/EVkMcSlOP0pIsRabjefZYvwBk3QQywObb5P4sj2ZQDCjEg?e=SIzul9" TargetMode="External"/><Relationship Id="rId86"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817" Type="http://schemas.openxmlformats.org/officeDocument/2006/relationships/hyperlink" Target="../../../../../../../:b:/r/personal/comunicacionesdiveliv_educacionbogota_gov_co/Documents/DIRECCION%20DE%20INSPECCION%20Y%20VIGILANCIA/DIV%20POAIV/POAIV%202025/ELIV%20SAN%20CRIST%C3%93BAL/PRIORIZADOS/TRIM%20I/ACTA%20VISITA%20ADMINISTRATIVA%20COLEGIO%20INTEGRAL%20AVANCEMOS.pdf?csf=1&amp;web=1&amp;e=Dg8EFe" TargetMode="External"/><Relationship Id="rId1002"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447" Type="http://schemas.openxmlformats.org/officeDocument/2006/relationships/hyperlink" Target="../../../../../../../:b:/r/personal/comunicacionesdiveliv_educacionbogota_gov_co/Documents/DIRECCION%20DE%20INSPECCION%20Y%20VIGILANCIA/DIV%20POAIV/POAIV%202025/ELIV%20KENNEDY/PRIORIZADOS/TRIM%20III/LICEO%20NUEVA%20BRITALIA.pdf?csf=1&amp;web=1&amp;e=bFUyTe" TargetMode="External"/><Relationship Id="rId1654"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61"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307" Type="http://schemas.openxmlformats.org/officeDocument/2006/relationships/hyperlink" Target="../../../../../../../:b:/g/personal/comunicacionesdiveliv_educacionbogota_gov_co/EXguH2JtjgZKvmo2nrFnZmABm7iDNKSoKdbLDBu4sw4CSw?e=hZEzKK" TargetMode="External"/><Relationship Id="rId1514" Type="http://schemas.openxmlformats.org/officeDocument/2006/relationships/hyperlink" Target="https://educacionbogota-my.sharepoint.com/:b:/g/personal/comunicacionesdiveliv_educacionbogota_gov_co/Ebz1I6zHlgZBnXEMIDjbaVsBudWt52T4pCeXpkeYcZQOmw?e=HLODCO" TargetMode="External"/><Relationship Id="rId1721"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59" Type="http://schemas.openxmlformats.org/officeDocument/2006/relationships/hyperlink" Target="https://educacionbogota-my.sharepoint.com/:b:/g/personal/comunicacionesdiveliv_educacionbogota_gov_co/EYiEZ0FBYepJvQBKX7SE93gBmteXUc1gGvoGbuAXs5s-VA?e=Ou7NPA" TargetMode="External"/><Relationship Id="rId13"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819"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62" Type="http://schemas.openxmlformats.org/officeDocument/2006/relationships/hyperlink" Target="https://shre.ink/evUD" TargetMode="External"/><Relationship Id="rId467"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1097"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2050" Type="http://schemas.openxmlformats.org/officeDocument/2006/relationships/hyperlink" Target="https://educacionbogota-my.sharepoint.com/:b:/g/personal/comunicacionesdiveliv_educacionbogota_gov_co/IQC0csq_OZdlT5Qv-06sUVZLAZ99LxHD5zoTg2VlUCEp3L4?e=EdJ811" TargetMode="External"/><Relationship Id="rId674"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881"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979"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327"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4"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41"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839"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164" Type="http://schemas.openxmlformats.org/officeDocument/2006/relationships/hyperlink" Target="https://educacionbogota-my.sharepoint.com/:b:/g/personal/comunicacionesdiveliv_educacionbogota_gov_co/ETnvQK47NwtMtRFdwpiCr7IBco4oRR5RfouD5ZlCG4aRjg?e=NenYUl" TargetMode="External"/><Relationship Id="rId1371" Type="http://schemas.openxmlformats.org/officeDocument/2006/relationships/hyperlink" Target="https://educacionbogota-my.sharepoint.com/:b:/g/personal/comunicacionesdiveliv_educacionbogota_gov_co/EVCrrnR55OtJjTAt8U8kZ2EBXmWn7_CbeO5YjhNfbK4pTA?e=M1ynMl" TargetMode="External"/><Relationship Id="rId1469"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2008" Type="http://schemas.openxmlformats.org/officeDocument/2006/relationships/hyperlink" Target="https://educacionbogota-my.sharepoint.com/:b:/g/personal/comunicacionesdiveliv_educacionbogota_gov_co/IQBFwzwbOLe_SYEbTDkbJvshAXeM7hfHg6Yc5-ZsiRz7kbQ?e=joWfMb" TargetMode="External"/><Relationship Id="rId601"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1024"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231" Type="http://schemas.openxmlformats.org/officeDocument/2006/relationships/hyperlink" Target="../../../../../../../:b:/g/personal/comunicacionesdiveliv_educacionbogota_gov_co/ERzMaCAxKL1NqszoLwR48UwBoQP72q40f-ul--HtX_xaYA?e=8Me0ll" TargetMode="External"/><Relationship Id="rId1676"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3"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906" Type="http://schemas.openxmlformats.org/officeDocument/2006/relationships/hyperlink" Target="../../../../../../../:b:/r/personal/comunicacionesdiveliv_educacionbogota_gov_co/Documents/DIRECCION%20DE%20INSPECCION%20Y%20VIGILANCIA/DIV%20POAIV/POAIV%202025/ELIV%20SAN%20CRIST%C3%93BAL/PRIORIZADOS/TRIM%20I/ACTA%20VISITA%20ADMINISTRATIVA%20IETDH%20FRANCIS%20COLLINS.pdf?csf=1&amp;web=1&amp;e=wXhWlU" TargetMode="External"/><Relationship Id="rId1329"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6" Type="http://schemas.openxmlformats.org/officeDocument/2006/relationships/hyperlink" Target="https://educacionbogota-my.sharepoint.com/:f:/r/personal/comunicacionesdiveliv_educacionbogota_gov_co/Documents/DIRECCION%20DE%20INSPECCION%20Y%20VIGILANCIA/DIV%20POAIV/POAIV%202025/ELIV%20PUENTE%20ARANDA/PRIORIZADOS/TRIM%20III/20250827_Visita%20fines%20mejoramiento%20Liceo%20Nuevo%20Chile?csf=1&amp;web=1&amp;e=uGyXdx" TargetMode="External"/><Relationship Id="rId1743" Type="http://schemas.openxmlformats.org/officeDocument/2006/relationships/hyperlink" Target="../../../../../../../:b:/g/personal/comunicacionesdiveliv_educacionbogota_gov_co/EfsHq-TeCL5MmzboQbKJWGIB_3ZH0TBzZrs6QRfSJW8o9A?e=mC6Fl5" TargetMode="External"/><Relationship Id="rId1950" Type="http://schemas.openxmlformats.org/officeDocument/2006/relationships/hyperlink" Target="https://educacionbogota-my.sharepoint.com/:b:/g/personal/comunicacionesdiveliv_educacionbogota_gov_co/EQjxR5oU1jVMgDWnLe7uKoQBJ832CoboTPG5jfATMEtEFg?e=QnDgtN" TargetMode="External"/><Relationship Id="rId35" Type="http://schemas.openxmlformats.org/officeDocument/2006/relationships/hyperlink" Target="../../../../../../../:b:/r/personal/comunicacionesdiveliv_educacionbogota_gov_co/Documents/DIRECCION%20DE%20INSPECCION%20Y%20VIGILANCIA/DIV%20POAIV/POAIV%202025/ELIV%20BARRIOS%20UNIDOS/PRIORIZADOS/TRIM%20II/Acta_Visita_Integral_Centro_de_Promoci%C3%B3n_San_Jos%C3%A9.pdf?csf=1&amp;web=1&amp;e=w1ti5m" TargetMode="External"/><Relationship Id="rId1603"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810"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84" Type="http://schemas.openxmlformats.org/officeDocument/2006/relationships/hyperlink" Target="https://shre.ink/evhA" TargetMode="External"/><Relationship Id="rId391"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1908" Type="http://schemas.openxmlformats.org/officeDocument/2006/relationships/hyperlink" Target="../../../../../../../:b:/r/personal/comunicacionesdiveliv_educacionbogota_gov_co/Documents/DIRECCION%20DE%20INSPECCION%20Y%20VIGILANCIA/DIV%20POAIV/POAIV%202025/ELIV%20USME/PRIORIZADOS/TRIMI/01ActaVisitaAdministrativaColegioSanGregorioHernandez28022025.pdf?csf=1&amp;web=1&amp;e=DHCdSV" TargetMode="External"/><Relationship Id="rId251" Type="http://schemas.openxmlformats.org/officeDocument/2006/relationships/hyperlink" Target="https://shre.ink/ebhv" TargetMode="External"/><Relationship Id="rId489"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696"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349"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56"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763"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1186" Type="http://schemas.openxmlformats.org/officeDocument/2006/relationships/hyperlink" Target="https://shre.ink/SNnF" TargetMode="External"/><Relationship Id="rId1393" Type="http://schemas.openxmlformats.org/officeDocument/2006/relationships/hyperlink" Target="https://educacionbogota-my.sharepoint.com/:b:/g/personal/comunicacionesdiveliv_educacionbogota_gov_co/ERAM9qLwpB9Hnq0uH4vIkWoBry_yCDPWLSu8VpjD2eaVeQ?e=az8UHu" TargetMode="External"/><Relationship Id="rId111" Type="http://schemas.openxmlformats.org/officeDocument/2006/relationships/hyperlink" Target="https://acortar.link/yAlpUW" TargetMode="External"/><Relationship Id="rId209" Type="http://schemas.openxmlformats.org/officeDocument/2006/relationships/hyperlink" Target="https://shre.ink/eKSY" TargetMode="External"/><Relationship Id="rId416"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970"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046"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3" Type="http://schemas.openxmlformats.org/officeDocument/2006/relationships/hyperlink" Target="../../../../../../../:b:/g/personal/comunicacionesdiveliv_educacionbogota_gov_co/Ea03xamXMppMmFZSPVOIccsBlXMhONdBrVnUZDNUHIPmjQ?e=zhH7iR" TargetMode="External"/><Relationship Id="rId1698"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623" Type="http://schemas.openxmlformats.org/officeDocument/2006/relationships/hyperlink" Target="../../../../../../../:b:/r/personal/comunicacionesdiveliv_educacionbogota_gov_co/Documents/DIRECCION%20DE%20INSPECCION%20Y%20VIGILANCIA/DIV%20POAIV/POAIV%202025/ELIV%20KENNEDY/PRIORIZADOS/TRIM%20II/ACTA%20DE%20VISITA%20COLEGIO%20JAIME%20QUIJANO.pdf?csf=1&amp;web=1&amp;e=tljaP9" TargetMode="External"/><Relationship Id="rId830"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928"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460" Type="http://schemas.openxmlformats.org/officeDocument/2006/relationships/hyperlink" Target="../../../../../../../:b:/r/personal/comunicacionesdiveliv_educacionbogota_gov_co/Documents/DIRECCION%20DE%20INSPECCION%20Y%20VIGILANCIA/DIV%20POAIV/POAIV%202025/ELIV%20KENNEDY/PRIORIZADOS/TRIM%20III/UNIDAD%20EDUCATIVA%20JEAN%20PIAGET.pdf?csf=1&amp;web=1&amp;e=TMsOGJ" TargetMode="External"/><Relationship Id="rId1558" Type="http://schemas.openxmlformats.org/officeDocument/2006/relationships/hyperlink" Target="https://educacionbogota-my.sharepoint.com/:b:/g/personal/comunicacionesdiveliv_educacionbogota_gov_co/EWvvyghjp8BIqEdMZzfGJH0BwJEThgP4UrK0L_sGRmNhzA?e=m2OaTp" TargetMode="External"/><Relationship Id="rId1765" Type="http://schemas.openxmlformats.org/officeDocument/2006/relationships/hyperlink" Target="../../../../../../../:b:/g/personal/comunicacionesdiveliv_educacionbogota_gov_co/EYDzPp7kUl1GtSpcbcbj9XkByOx0lTdfxy2ScYRvrF5Ppw?e=GRw5IO" TargetMode="External"/><Relationship Id="rId57"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113"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320" Type="http://schemas.openxmlformats.org/officeDocument/2006/relationships/hyperlink" Target="../../../../../../../:b:/g/personal/comunicacionesdiveliv_educacionbogota_gov_co/EdBmDxmfSEFBiNdbtPUDk9cBlMAEPiFX1owd6wdfYxNiGQ?e=NEYJJg" TargetMode="External"/><Relationship Id="rId1418"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972" Type="http://schemas.openxmlformats.org/officeDocument/2006/relationships/hyperlink" Target="https://educacionbogota-my.sharepoint.com/:b:/g/personal/comunicacionesdiveliv_educacionbogota_gov_co/EVUeggJPUO5Foh4h5IjMFUQBEG1zuGb6eBJmxTyua9djgg?e=eztXo2" TargetMode="External"/><Relationship Id="rId1625"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2"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273"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0"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133" Type="http://schemas.openxmlformats.org/officeDocument/2006/relationships/hyperlink" Target="https://shre.ink/Mn7g" TargetMode="External"/><Relationship Id="rId340"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578"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785"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2"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2021" Type="http://schemas.openxmlformats.org/officeDocument/2006/relationships/hyperlink" Target="https://educacionbogota-my.sharepoint.com/:b:/g/personal/comunicacionesdiveliv_educacionbogota_gov_co/IQD3Mqgz3QvJQ70CPYiuQRX9AfNYQ9FpHgrzyC5T_7Fhxpo?e=Pml7cl" TargetMode="External"/><Relationship Id="rId200" Type="http://schemas.openxmlformats.org/officeDocument/2006/relationships/hyperlink" Target="https://shre.ink/evCM" TargetMode="External"/><Relationship Id="rId438"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45" Type="http://schemas.openxmlformats.org/officeDocument/2006/relationships/hyperlink" Target="../../../../../../../:b:/r/personal/comunicacionesdiveliv_educacionbogota_gov_co/Documents/DIRECCION%20DE%20INSPECCION%20Y%20VIGILANCIA/DIV%20POAIV/POAIV%202025/ELIV%20KENNEDY/PRIORIZADOS/TRIM%20II/ACTA%20DE%20VISITA%20COLEGIO%20MI%20PATRIA.pdf?csf=1&amp;web=1&amp;e=0fTK6k" TargetMode="External"/><Relationship Id="rId852"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1068"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75" Type="http://schemas.openxmlformats.org/officeDocument/2006/relationships/hyperlink" Target="../../../../../../../:b:/g/personal/comunicacionesdiveliv_educacionbogota_gov_co/EYC-_IGI59ZJkaQGDNJiRVQB-RjSIIB-kuO2MF7Oc1cNuA?e=ewGYim" TargetMode="External"/><Relationship Id="rId1482"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505"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712" Type="http://schemas.openxmlformats.org/officeDocument/2006/relationships/hyperlink" Target="../../../../../../../:b:/r/personal/comunicacionesdiveliv_educacionbogota_gov_co/Documents/DIRECCION%20DE%20INSPECCION%20Y%20VIGILANCIA/DIV%20POAIV/POAIV%202025/ELIV%20PUENTE%20ARANDA/PRIORIZADOS/TRIM%20I/25%2003%2026%20acta%20Luis%20Concha%20Cordoba.pdf?csf=1&amp;web=1&amp;e=H3PtWv" TargetMode="External"/><Relationship Id="rId1135" Type="http://schemas.openxmlformats.org/officeDocument/2006/relationships/hyperlink" Target="https://educacionbogota-my.sharepoint.com/:b:/g/personal/comunicacionesdiveliv_educacionbogota_gov_co/EYO98_Q415ZLn_AiLoFPYfQBxqtJLIEyHvpDcf-ccGBqfQ?e=GmEuys" TargetMode="External"/><Relationship Id="rId1342" Type="http://schemas.openxmlformats.org/officeDocument/2006/relationships/hyperlink" Target="../../../../../../../:b:/g/personal/comunicacionesdiveliv_educacionbogota_gov_co/EecCk4zFb4xPtleMLk22xdYBqn9dGakDd5QQ53y47hOrbg?e=DOsDlF" TargetMode="External"/><Relationship Id="rId1787" Type="http://schemas.openxmlformats.org/officeDocument/2006/relationships/hyperlink" Target="../../../../../../../:b:/g/personal/comunicacionesdiveliv_educacionbogota_gov_co/EVkMcSlOP0pIsRabjefZYvwBk3QQywObb5P4sj2ZQDCjEg?e=SIzul9" TargetMode="External"/><Relationship Id="rId1994"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CIUDAD%20BOL%C3%8DVAR%2FPRIORIZADOS%2FTRIM%20III%2F20250729%5FCOLEGIO%5FPOPULAR%5FBOLIVARIANO&amp;ga=1" TargetMode="External"/><Relationship Id="rId79"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1202" Type="http://schemas.openxmlformats.org/officeDocument/2006/relationships/hyperlink" Target="../../../../../../../:f:/g/personal/comunicacionesdiveliv_educacionbogota_gov_co/EhaPlKZXOxZPnJSkDFS7Xi8BkvkQYs8UygTz5NDbEt5vMw?e=beSMIQ" TargetMode="External"/><Relationship Id="rId1647" Type="http://schemas.openxmlformats.org/officeDocument/2006/relationships/hyperlink" Target="../../../../../../../:b:/r/personal/comunicacionesdiveliv_educacionbogota_gov_co/Documents/DIRECCION%20DE%20INSPECCION%20Y%20VIGILANCIA/DIV%20POAIV/POAIV%202025/ELIV%20SUBA/PRIORIZADOS/TRIM%20II/ACTA%20DE%20VISITA%20COLEGIO%20VAN%20LEEUWENHOEK.pdf?csf=1&amp;web=1&amp;e=FJuiAI" TargetMode="External"/><Relationship Id="rId1854" Type="http://schemas.openxmlformats.org/officeDocument/2006/relationships/hyperlink" Target="../../../../../../../:f:/r/personal/comunicacionesdiveliv_educacionbogota_gov_co/Documents/DIRECCION%20DE%20INSPECCION%20Y%20VIGILANCIA/DIV%20POAIV/POAIV%202025/ELIV%20TUNJUELITO/PRIORIZADOS/TRIM%20I/GIMNASIO_COMERCIAL_LOS_ANDES?csf=1&amp;web=1&amp;e=CyjAGX" TargetMode="External"/><Relationship Id="rId1507" Type="http://schemas.openxmlformats.org/officeDocument/2006/relationships/hyperlink" Target="https://educacionbogota-my.sharepoint.com/:b:/g/personal/comunicacionesdiveliv_educacionbogota_gov_co/Ebz1I6zHlgZBnXEMIDjbaVsBudWt52T4pCeXpkeYcZQOmw?e=HLODCO" TargetMode="External"/><Relationship Id="rId1714" Type="http://schemas.openxmlformats.org/officeDocument/2006/relationships/hyperlink" Target="../../../../../../../:b:/r/personal/comunicacionesdiveliv_educacionbogota_gov_co/Documents/DIRECCION%20DE%20INSPECCION%20Y%20VIGILANCIA/DIV%20POAIV/POAIV%202025/ELIV%20SUBA/PRIORIZADOS/TRIM%20III/ACTA%20DE%20VISITA%20INSTITUCIONAL%20CENTRO%20DE%20ESTUDIOS%20PROPYMES.pdf?csf=1&amp;web=1&amp;e=fcDdYr" TargetMode="External"/><Relationship Id="rId295"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1921" Type="http://schemas.openxmlformats.org/officeDocument/2006/relationships/hyperlink" Target="../../../../../../../:b:/r/personal/comunicacionesdiveliv_educacionbogota_gov_co/Documents/DIRECCION%20DE%20INSPECCION%20Y%20VIGILANCIA/DIV%20POAIV/POAIV%202025/ELIV%20USME/PRIORIZADOS/TRIMI/01ActaVisitaAdministrativaColegioSanGregorioHernandez28022025.pdf?csf=1&amp;web=1&amp;e=DHCdSV" TargetMode="External"/><Relationship Id="rId155" Type="http://schemas.openxmlformats.org/officeDocument/2006/relationships/hyperlink" Target="https://shre.ink/eCE6" TargetMode="External"/><Relationship Id="rId362"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1297" Type="http://schemas.openxmlformats.org/officeDocument/2006/relationships/hyperlink" Target="../../../../../../../:b:/r/personal/comunicacionesdiveliv_educacionbogota_gov_co/Documents/DIRECCION%20DE%20INSPECCION%20Y%20VIGILANCIA/DIV%20POAIV/POAIV%202025/ELIV%20ENGATIV%C3%81/PRIORIZADOS/TRIM%20III/ACTAS%20J.J.%20VARGAS.pdf?csf=1&amp;web=1&amp;e=l7G4js" TargetMode="External"/><Relationship Id="rId2043"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EUSAQUILLO%2FPRIORIZADOS%2FTRIM%20II%2Facta%20Charles%202%20%283%29%2Epdf&amp;parent=%2Fpersonal%2Fcomunicacionesdiveliv%5Feducacionbogota%5Fgov%5Fco%2FDocuments%2FDIRECCION%20DE%20INSPECCION%20Y%20VIGILANCIA%2FDIV%20POAIV%2FPOAIV%202025%2FELIV%20TEUSAQUILLO%2FPRIORIZADOS%2FTRIM%20II&amp;wdLOR=c7FCE3E7E%2D4F86%2D4708%2D9120%2DF3F9B983DB26&amp;ga=1" TargetMode="External"/><Relationship Id="rId222" Type="http://schemas.openxmlformats.org/officeDocument/2006/relationships/hyperlink" Target="https://shre.ink/eKLw" TargetMode="External"/><Relationship Id="rId667" Type="http://schemas.openxmlformats.org/officeDocument/2006/relationships/hyperlink" Target="../../../../../../../:b:/r/personal/comunicacionesdiveliv_educacionbogota_gov_co/Documents/DIRECCION%20DE%20INSPECCION%20Y%20VIGILANCIA/DIV%20POAIV/POAIV%202025/ELIV%20KENNEDY/PRIORIZADOS/TRIM%20II/ACTA%20DE%20VISITA_COLEGIO%20SAN%20ANGEL.pdf?csf=1&amp;web=1&amp;e=moyaWZ" TargetMode="External"/><Relationship Id="rId874"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527"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734"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941"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157" Type="http://schemas.openxmlformats.org/officeDocument/2006/relationships/hyperlink" Target="https://educacionbogota-my.sharepoint.com/:b:/g/personal/comunicacionesdiveliv_educacionbogota_gov_co/EXKnREsSVEtGqHjKbn9fduwBlny6BCei4ltKgDnU8dyyyg?e=koY4f8" TargetMode="External"/><Relationship Id="rId1364"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1571"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5%20y%2017%20Julio%202025%20Principio%20Sabidur%C3%ADa.pdf?csf=1&amp;web=1&amp;e=jBLVDm" TargetMode="External"/><Relationship Id="rId70"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1"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017"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224" Type="http://schemas.openxmlformats.org/officeDocument/2006/relationships/hyperlink" Target="../../../../../../../:b:/g/personal/comunicacionesdiveliv_educacionbogota_gov_co/EVq-ADkpISBAv6vIxGTHjGkBTNkhNixPD_4fn0wl9zbg9A?e=Gf9xda" TargetMode="External"/><Relationship Id="rId1431" Type="http://schemas.openxmlformats.org/officeDocument/2006/relationships/hyperlink" Target="https://educacionbogota-my.sharepoint.com/personal/comunicacionesdiveliv_educacionbogota_gov_co/Documents/DIRECCION%20DE%20INSPECCION%20Y%20VIGILANCIA/DIV%20POAIV/POAIV%202025/ELIV%20KENNEDY/PRIORIZADOS/TRIM%20II/ACTA%20DE%20VISITA%20COLEGIO%20TALENTOS.pdf" TargetMode="External"/><Relationship Id="rId1669"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6"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1529" Type="http://schemas.openxmlformats.org/officeDocument/2006/relationships/hyperlink" Target="https://educacionbogota-my.sharepoint.com/:b:/g/personal/comunicacionesdiveliv_educacionbogota_gov_co/EZE-vVmDPAlOqGAOAoGBk08BsTm1Mc3wlXA1_-cQkdO9Wg?e=qgUvMm" TargetMode="External"/><Relationship Id="rId1736"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43" Type="http://schemas.openxmlformats.org/officeDocument/2006/relationships/hyperlink" Target="https://educacionbogota-my.sharepoint.com/:b:/g/personal/comunicacionesdiveliv_educacionbogota_gov_co/EZ_ecOLB1x5LgNBP9kRFxzcBhyhv0Y4LEE3zmUcPK81hew?e=gk5r7c" TargetMode="External"/><Relationship Id="rId28"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803" Type="http://schemas.openxmlformats.org/officeDocument/2006/relationships/hyperlink" Target="../../../../../../../:b:/g/personal/comunicacionesdiveliv_educacionbogota_gov_co/Ef7_QnClfQhImGpKaz8qy2EBLZOz8tOaQud_TfNMqzdZzg?e=PdJsHA" TargetMode="External"/><Relationship Id="rId177" Type="http://schemas.openxmlformats.org/officeDocument/2006/relationships/hyperlink" Target="https://shre.ink/evjR" TargetMode="External"/><Relationship Id="rId384"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1" Type="http://schemas.openxmlformats.org/officeDocument/2006/relationships/hyperlink" Target="../../../../../../../:b:/r/personal/comunicacionesdiveliv_educacionbogota_gov_co/Documents/DIRECCION%20DE%20INSPECCION%20Y%20VIGILANCIA/DIV%20POAIV/POAIV%202025/ELIV%20KENNEDY/PRIORIZADOS/TRIM%20II/ACTA%20VISITA%20COLEGIO%20CENTRO%20DE%20INSTRUCCION%20SISTEMATIZADA%20CEIS.pdf?csf=1&amp;web=1&amp;e=Xzzhws" TargetMode="External"/><Relationship Id="rId244" Type="http://schemas.openxmlformats.org/officeDocument/2006/relationships/hyperlink" Target="https://shre.ink/e52M" TargetMode="External"/><Relationship Id="rId689"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896"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1081"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451"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549"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756"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1179" Type="http://schemas.openxmlformats.org/officeDocument/2006/relationships/hyperlink" Target="../../../../../../../:b:/r/personal/comunicacionesdiveliv_educacionbogota_gov_co/Documents/DIRECCION%20DE%20INSPECCION%20Y%20VIGILANCIA/DIV%20POAIV/POAIV%202025/ELIV%20ANTONIO%20NARI%C3%91O/PRIORIZADOS/TRIM%20II/07.%20Acta%20de%20visita%20Integral%20-%20ETDH%20CENCOSISTEMAS.pdf?csf=1&amp;web=1&amp;e=agxH19" TargetMode="External"/><Relationship Id="rId1386" Type="http://schemas.openxmlformats.org/officeDocument/2006/relationships/hyperlink" Target="https://educacionbogota-my.sharepoint.com/:b:/g/personal/comunicacionesdiveliv_educacionbogota_gov_co/ERAM9qLwpB9Hnq0uH4vIkWoBry_yCDPWLSu8VpjD2eaVeQ?e=az8UHu" TargetMode="External"/><Relationship Id="rId1593" Type="http://schemas.openxmlformats.org/officeDocument/2006/relationships/hyperlink" Target="https://educacionbogota-my.sharepoint.com/:b:/g/personal/comunicacionesdiveliv_educacionbogota_gov_co/EaPXq-mJXzBLnMUpxKlaRkUBK4cqB1iCcpaFNyDk1A7KFg?e=rm03Il" TargetMode="External"/><Relationship Id="rId104" Type="http://schemas.openxmlformats.org/officeDocument/2006/relationships/hyperlink" Target="../../../../../../../:b:/r/personal/comunicacionesdiveliv_educacionbogota_gov_co/Documents/DIRECCION%20DE%20INSPECCION%20Y%20VIGILANCIA/DIV%20POAIV/POAIV%202025/ELIV%20SANTAFE%20Y%20LA%20CANDELARIA/PRIORIZADOS/TRIM%20II/2025%2005%2030%20CENCABO%20Acta%20de%20visita.pdf?csf=1&amp;web=1&amp;e=eoejtx" TargetMode="External"/><Relationship Id="rId311" Type="http://schemas.openxmlformats.org/officeDocument/2006/relationships/hyperlink" Target="../../../../../../../:f:/r/personal/comunicacionesdiveliv_educacionbogota_gov_co/Documents/DIRECCION%20DE%20INSPECCION%20Y%20VIGILANCIA/DIV%20POAIV/POAIV%202025/ELIV%20CHAPINERO/PRIORIZADOS/TRIM%20II/CENTRO%20DE%20IDIOMAS%20UNIVERSAL?csf=1&amp;web=1&amp;e=z3Fajv" TargetMode="External"/><Relationship Id="rId409"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963"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039" Type="http://schemas.openxmlformats.org/officeDocument/2006/relationships/hyperlink" Target="../../../../../../../:b:/r/personal/comunicacionesdiveliv_educacionbogota_gov_co/Documents/DIRECCION%20DE%20INSPECCION%20Y%20VIGILANCIA/DIV%20POAIV/POAIV%202025/ELIV%20FONTIB%C3%93N/PRIORIZADOS/TRIM%20III/UNIDAD%20EDUCATIVA%20BAHIA%20SOLANO/FORMATO%20UNIDAD%20EDUCATIVA%20BAHIA%20SOLANO.pdf?csf=1&amp;web=1&amp;e=tWRSAh" TargetMode="External"/><Relationship Id="rId1246" Type="http://schemas.openxmlformats.org/officeDocument/2006/relationships/hyperlink" Target="../../../../../../../:f:/g/personal/comunicacionesdiveliv_educacionbogota_gov_co/EsL0s_TwFCRBqGH53lVjIa4ByYG8skIyJveV9lFSw9fVqQ?e=YlafKe" TargetMode="External"/><Relationship Id="rId1898"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92"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616"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823"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453" Type="http://schemas.openxmlformats.org/officeDocument/2006/relationships/hyperlink" Target="../../../../../../../:b:/r/personal/comunicacionesdiveliv_educacionbogota_gov_co/Documents/DIRECCION%20DE%20INSPECCION%20Y%20VIGILANCIA/DIV%20POAIV/POAIV%202025/ELIV%20KENNEDY/PRIORIZADOS/TRIM%20III/LICEO%20REYNEL.pdf?csf=1&amp;web=1&amp;e=XVXcz0" TargetMode="External"/><Relationship Id="rId1660" Type="http://schemas.openxmlformats.org/officeDocument/2006/relationships/hyperlink" Target="../../../../../../../:b:/r/personal/comunicacionesdiveliv_educacionbogota_gov_co/Documents/DIRECCION%20DE%20INSPECCION%20Y%20VIGILANCIA/DIV%20POAIV/POAIV%202025/ELIV%20SUBA/PRIORIZADOS/TRIM%20II/ACTA%20VISITA%20INTEGRAL%20INST%20TEC%20COM%20CERROS%20DE%20SUBRA%20Jun10_2025.pdf?csf=1&amp;web=1&amp;e=oDw1MS" TargetMode="External"/><Relationship Id="rId1758" Type="http://schemas.openxmlformats.org/officeDocument/2006/relationships/hyperlink" Target="../../../../../../../:b:/g/personal/comunicacionesdiveliv_educacionbogota_gov_co/EYXGYZZLrKtDsZmoXUoWpP8BKmEOE7yadec7nep9AvAofw?e=xBs3yL" TargetMode="External"/><Relationship Id="rId1106"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13" Type="http://schemas.openxmlformats.org/officeDocument/2006/relationships/hyperlink" Target="../../../../../../../:b:/g/personal/comunicacionesdiveliv_educacionbogota_gov_co/EX50lx968y9GrquDjOwdiocBRlOHdbt1HVUni9Xd0AOfyQ?e=eNDjsk" TargetMode="External"/><Relationship Id="rId1520" Type="http://schemas.openxmlformats.org/officeDocument/2006/relationships/hyperlink" Target="https://educacionbogota-my.sharepoint.com/:b:/g/personal/comunicacionesdiveliv_educacionbogota_gov_co/EWF7bhdFvndNn9rxopJnRSkBTQ7jCTHittv2bSBBSaVQOw?e=rIAkBV" TargetMode="External"/><Relationship Id="rId1965" Type="http://schemas.openxmlformats.org/officeDocument/2006/relationships/hyperlink" Target="https://educacionbogota-my.sharepoint.com/:b:/g/personal/comunicacionesdiveliv_educacionbogota_gov_co/ET2QxUqFxKtJkaDKcikNMnwB-Lrfw9_zcHJHhmJDmOegWg?e=bS3r0p" TargetMode="External"/><Relationship Id="rId1618" Type="http://schemas.openxmlformats.org/officeDocument/2006/relationships/hyperlink" Target="../../../../../../../:b:/r/personal/comunicacionesdiveliv_educacionbogota_gov_co/Documents/DIRECCION%20DE%20INSPECCION%20Y%20VIGILANCIA/DIV%20POAIV/POAIV%202025/ELIV%20SUBA/PRIORIZADOS/TRIMI/28032025%20Instituto%20Central%20de%20estudios.pdf?csf=1&amp;web=1&amp;e=yZI4nr" TargetMode="External"/><Relationship Id="rId1825"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9" Type="http://schemas.openxmlformats.org/officeDocument/2006/relationships/hyperlink" Target="https://shre.ink/evCM" TargetMode="External"/><Relationship Id="rId266" Type="http://schemas.openxmlformats.org/officeDocument/2006/relationships/hyperlink" Target="../../../../../../../:b:/r/personal/comunicacionesdiveliv_educacionbogota_gov_co/Documents/DIRECCION%20DE%20INSPECCION%20Y%20VIGILANCIA/DIV%20POAIV/POAIV%202025/ELIV%20CHAPINERO/PRIORIZADOS/TRIM%20II/COLEGIO%20JORD%C3%81N%20DE%20SAJONIA/Acta%20de%20visita%20administrativa.pdf?csf=1&amp;web=1&amp;e=dGYvUw" TargetMode="External"/><Relationship Id="rId473"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680" Type="http://schemas.openxmlformats.org/officeDocument/2006/relationships/hyperlink" Target="../../../../../../../:b:/r/personal/comunicacionesdiveliv_educacionbogota_gov_co/Documents/DIRECCION%20DE%20INSPECCION%20Y%20VIGILANCIA/DIV%20POAIV/POAIV%202025/ELIV%20KENNEDY/PRIORIZADOS/TRIM%20II/ACTA%20DE%20VISITA%20COLEGIO%20TRIANGULO%20KENNEDY_29_05_2025.pdf?csf=1&amp;web=1&amp;e=bnL5gY" TargetMode="External"/><Relationship Id="rId126" Type="http://schemas.openxmlformats.org/officeDocument/2006/relationships/hyperlink" Target="https://shre.ink/Mn5W" TargetMode="External"/><Relationship Id="rId333"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40"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78" Type="http://schemas.openxmlformats.org/officeDocument/2006/relationships/hyperlink" Target="../../../../../../../:b:/r/personal/comunicacionesdiveliv_educacionbogota_gov_co/Documents/DIRECCION%20DE%20INSPECCION%20Y%20VIGILANCIA/DIV%20POAIV/POAIV%202025/SAN%20CRIST%C3%93BAL/PRIORIZADOS/TRIM%20II/0411%20Acta%20de%20visita%20administrativa%20Isaac%20Newton.pdf?csf=1&amp;web=1&amp;e=GY4TjW" TargetMode="External"/><Relationship Id="rId985"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170"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2014" Type="http://schemas.openxmlformats.org/officeDocument/2006/relationships/hyperlink" Target="https://educacionbogota-my.sharepoint.com/:b:/g/personal/comunicacionesdiveliv_educacionbogota_gov_co/IQD3Mqgz3QvJQ70CPYiuQRX9AfNYQ9FpHgrzyC5T_7Fhxpo?e=Pml7cl" TargetMode="External"/><Relationship Id="rId638" Type="http://schemas.openxmlformats.org/officeDocument/2006/relationships/hyperlink" Target="../../../../../../../:b:/r/personal/comunicacionesdiveliv_educacionbogota_gov_co/Documents/DIRECCION%20DE%20INSPECCION%20Y%20VIGILANCIA/DIV%20POAIV/POAIV%202025/ELIV%20KENNEDY/PRIORIZADOS/TRIM%20II/ACTA%20VISITA%20GIMNASIO%20MODERNO%20EL%20TINTAL.pdf?csf=1&amp;web=1&amp;e=RiLl0l" TargetMode="External"/><Relationship Id="rId845"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030"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268"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1475"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1682"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400"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705" Type="http://schemas.openxmlformats.org/officeDocument/2006/relationships/hyperlink" Target="../../../../../../../:b:/r/personal/comunicacionesdiveliv_educacionbogota_gov_co/Documents/DIRECCION%20DE%20INSPECCION%20Y%20VIGILANCIA/DIV%20POAIV/POAIV%202025/ELIV%20KENNEDY/PRIORIZADOS/TRIM%20III/ACTA%20DE%20VISITA%20INSTITUTO%20YOLKIN.pdf?csf=1&amp;web=1&amp;e=2KP3s5" TargetMode="External"/><Relationship Id="rId1128" Type="http://schemas.openxmlformats.org/officeDocument/2006/relationships/hyperlink" Target="https://educacionbogota-my.sharepoint.com/:b:/g/personal/comunicacionesdiveliv_educacionbogota_gov_co/EeK6oyECBGFCld1489Pv2ScBWXREa1mjizxx2knejVCfcA?e=5Pnbm5" TargetMode="External"/><Relationship Id="rId1335"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1542" Type="http://schemas.openxmlformats.org/officeDocument/2006/relationships/hyperlink" Target="https://educacionbogota-my.sharepoint.com/:f:/g/personal/comunicacionesdiveliv_educacionbogota_gov_co/EmLFXES6l_FDpeps_63sluwBfH73s4gpclzGji4f8Xd1cQ?e=WhWmcG" TargetMode="External"/><Relationship Id="rId1987"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INSTITUTO%20TECNICO%20INDUSTRIAL%20PILOTO%2FVisita%20ITIP%2029072025%5F250803%5F19023203082025%2Epdf&amp;parent=%2Fpersonal%2Fcomunicacionesdiveliv%5Feducacionbogota%5Fgov%5Fco%2FDocuments%2FDIRECCION%20DE%20INSPECCION%20Y%20VIGILANCIA%2FDIV%20POAIV%2FPOAIV%202025%2FELIV%20TUNJUELITO%2FPRIORIZADOS%2FTRIM%20III%2FINSTITUTO%20TECNICO%20INDUSTRIAL%20PILOTO&amp;ct=1769196766231&amp;or=OWA%2DNT%2DMail&amp;cid=b2b27dac%2Df13c%2Df5c4%2D6059%2De7261a040607&amp;ga=1" TargetMode="External"/><Relationship Id="rId912" Type="http://schemas.openxmlformats.org/officeDocument/2006/relationships/hyperlink" Target="../../../../../../../:b:/r/personal/comunicacionesdiveliv_educacionbogota_gov_co/Documents/DIRECCION%20DE%20INSPECCION%20Y%20VIGILANCIA/DIV%20POAIV/POAIV%202025/ELIV%20SAN%20CRIST%C3%93BAL/PRIORIZADOS/TRIM%20II/0403%20Acta%20de%20Visita%20Autodominio%20final.pdf?csf=1&amp;web=1&amp;e=T4LQsq" TargetMode="External"/><Relationship Id="rId1847" Type="http://schemas.openxmlformats.org/officeDocument/2006/relationships/hyperlink" Target="../../../../../../../:b:/r/personal/comunicacionesdiveliv_educacionbogota_gov_co/Documents/DIRECCION%20DE%20INSPECCION%20Y%20VIGILANCIA/DIV%20POAIV/POAIV%202025/ELIV%20TEUSAQUILLO/PRIORIZADOS/TRIM%20II/05212025Visita_confinesde%20mejormaiento_DIGITALLAB..pdf?csf=1&amp;web=1&amp;e=bVgXsy" TargetMode="External"/><Relationship Id="rId41"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402"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707"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0" Type="http://schemas.openxmlformats.org/officeDocument/2006/relationships/hyperlink" Target="https://shre.ink/evhA" TargetMode="External"/><Relationship Id="rId288"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1914"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495"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148" Type="http://schemas.openxmlformats.org/officeDocument/2006/relationships/hyperlink" Target="https://shre.ink/eCE6" TargetMode="External"/><Relationship Id="rId355"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62" Type="http://schemas.openxmlformats.org/officeDocument/2006/relationships/hyperlink" Target="../../../../../../../:b:/r/personal/comunicacionesdiveliv_educacionbogota_gov_co/Documents/DIRECCION%20DE%20INSPECCION%20Y%20VIGILANCIA/DIV%20POAIV/POAIV%202025/ELIV%20ANTONIO%20NARI%C3%91O/PRIORIZADOS/TRIM%20II/12.%20Acta%20Centro%20Educativo%20CE%20Ntra%20Sra%20de%20la%20Paz.pdf?csf=1&amp;web=1&amp;e=jfyGbn" TargetMode="External"/><Relationship Id="rId1192" Type="http://schemas.openxmlformats.org/officeDocument/2006/relationships/hyperlink" Target="../../../../../../../:f:/r/personal/comunicacionesdiveliv_educacionbogota_gov_co/Documents/DIRECCION%20DE%20INSPECCION%20Y%20VIGILANCIA/DIV%20POAIV/POAIV%202025/ELIV%20CHAPINERO/PRIORIZADOS/TRIM%20II/COLEGIO%20SAN%20MARTIN%20DE%20PORRES%20(IED)?csf=1&amp;web=1&amp;e=pAQbKH" TargetMode="External"/><Relationship Id="rId2036" Type="http://schemas.openxmlformats.org/officeDocument/2006/relationships/hyperlink" Target="../../../../../../../:b:/g/personal/comunicacionesdiveliv_educacionbogota_gov_co/IQCfu4lxOg5QS5ZA-eZFmsW_Ae4Lztd5ucxjKNX5wj6n1_I?e=fWSy0V" TargetMode="External"/><Relationship Id="rId215" Type="http://schemas.openxmlformats.org/officeDocument/2006/relationships/hyperlink" Target="https://shre.ink/eK5b" TargetMode="External"/><Relationship Id="rId422"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867"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052"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497"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727" Type="http://schemas.openxmlformats.org/officeDocument/2006/relationships/hyperlink" Target="../../../../../../../:b:/r/personal/comunicacionesdiveliv_educacionbogota_gov_co/Documents/DIRECCION%20DE%20INSPECCION%20Y%20VIGILANCIA/DIV%20POAIV/POAIV%202025/ELIV%20PUENTE%20ARANDA/PRIORIZADOS/TRIM%20I/ACTA%20DE%20VISITA%20ADMINISTRATIVA%20COLEGIO%20PARROQUIAL%20DE%20LA%20DOTRINA%20CRISTIANA.pdf?csf=1&amp;web=1&amp;e=QrSX3U" TargetMode="External"/><Relationship Id="rId934"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357"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564"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771" Type="http://schemas.openxmlformats.org/officeDocument/2006/relationships/hyperlink" Target="../../../../../../../:b:/g/personal/comunicacionesdiveliv_educacionbogota_gov_co/ETiorX7HsxVLiyniM70pNQEBY6vl1Krz9d4GXvD8HF_feQ?e=YTEDDg" TargetMode="External"/><Relationship Id="rId63"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217" Type="http://schemas.openxmlformats.org/officeDocument/2006/relationships/hyperlink" Target="../../../../../../../:b:/g/personal/comunicacionesdiveliv_educacionbogota_gov_co/EVq-ADkpISBAv6vIxGTHjGkBTNkhNixPD_4fn0wl9zbg9A?e=Gf9xda" TargetMode="External"/><Relationship Id="rId1424"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1631" Type="http://schemas.openxmlformats.org/officeDocument/2006/relationships/hyperlink" Target="../../../../../../../:b:/r/personal/comunicacionesdiveliv_educacionbogota_gov_co/Documents/DIRECCION%20DE%20INSPECCION%20Y%20VIGILANCIA/DIV%20POAIV/POAIV%202025/ELIV%20SUBA/PRIORIZADOS/TRIM%20II/Acta%20de%20Visita%20Integral%20LICEO%20HOMERICO.pdf?csf=1&amp;web=1&amp;e=fqb0rJ" TargetMode="External"/><Relationship Id="rId1869"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729"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6" Type="http://schemas.openxmlformats.org/officeDocument/2006/relationships/hyperlink" Target="https://educacionbogota-my.sharepoint.com/:b:/g/personal/comunicacionesdiveliv_educacionbogota_gov_co/EX53YwG28gtEtW6nefbDovMBnq7016BBK-h1o87zvHkLOg?e=FHRQVb" TargetMode="External"/><Relationship Id="rId377"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4" Type="http://schemas.openxmlformats.org/officeDocument/2006/relationships/hyperlink" Target="../../../../../../../:b:/r/personal/comunicacionesdiveliv_educacionbogota_gov_co/Documents/DIRECCION%20DE%20INSPECCION%20Y%20VIGILANCIA/DIV%20POAIV/POAIV%202025/ELIV%20KENNEDY/PRIORIZADOS/TRIM%20II/ACTA%20VISITA%20COLEGIO%20BRITANICO.pdf?csf=1&amp;web=1&amp;e=SsIZ94" TargetMode="External"/><Relationship Id="rId5"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7" Type="http://schemas.openxmlformats.org/officeDocument/2006/relationships/hyperlink" Target="https://shre.ink/e52M" TargetMode="External"/><Relationship Id="rId791"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889"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74"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444"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51"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749" Type="http://schemas.openxmlformats.org/officeDocument/2006/relationships/hyperlink" Target="../../../../../../../:b:/r/personal/comunicacionesdiveliv_educacionbogota_gov_co/Documents/DIRECCION%20DE%20INSPECCION%20Y%20VIGILANCIA/DIV%20POAIV/POAIV%202025/ELIV%20PUENTE%20ARANDA/PRIORIZADOS/TRIM%20II/VIISITA%20CON%20FINES%20DE%20MEJORAMIENTO%20LICEO%20ROMULO%20GALLEGOS/20250527visitaAdministrativaRomuloGallegos.pdf?csf=1&amp;web=1&amp;e=hZJ8Kd" TargetMode="External"/><Relationship Id="rId1281" Type="http://schemas.openxmlformats.org/officeDocument/2006/relationships/hyperlink" Target="../../../../../../../:b:/g/personal/comunicacionesdiveliv_educacionbogota_gov_co/EXnfpp-xu7FBivCCJpl9SncBY93iy-iaupNLdEBepqoTLA?e=2Bkrsx" TargetMode="External"/><Relationship Id="rId1379"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586"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304" Type="http://schemas.openxmlformats.org/officeDocument/2006/relationships/hyperlink" Target="../../../../../../../:f:/r/personal/comunicacionesdiveliv_educacionbogota_gov_co/Documents/DIRECCION%20DE%20INSPECCION%20Y%20VIGILANCIA/DIV%20POAIV/POAIV%202025/ELIV%20CHAPINERO/PRIORIZADOS/TRIM%20II/COLEGIO%20SAN%20MARTIN%20DE%20PORRES%20(IED)?csf=1&amp;web=1&amp;e=pAQbKH" TargetMode="External"/><Relationship Id="rId511"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609"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956"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141" Type="http://schemas.openxmlformats.org/officeDocument/2006/relationships/hyperlink" Target="https://educacionbogota-my.sharepoint.com/:b:/g/personal/comunicacionesdiveliv_educacionbogota_gov_co/Eb-UniLmS69Hl4UD82s7xUwBCuh_o4-APb2BjCOXcEtG7Q?e=4AOR0A" TargetMode="External"/><Relationship Id="rId1239" Type="http://schemas.openxmlformats.org/officeDocument/2006/relationships/hyperlink" Target="../../../../../../../:b:/g/personal/comunicacionesdiveliv_educacionbogota_gov_co/ERVcYNQPojxEn7bveI3Gp84B89VykYD-xj-f_Jbn0e4nLA?e=tB6t24" TargetMode="External"/><Relationship Id="rId1793" Type="http://schemas.openxmlformats.org/officeDocument/2006/relationships/hyperlink" Target="../../../../../../../:b:/g/personal/comunicacionesdiveliv_educacionbogota_gov_co/EVkMcSlOP0pIsRabjefZYvwBk3QQywObb5P4sj2ZQDCjEg?e=SIzul9" TargetMode="External"/><Relationship Id="rId85"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816" Type="http://schemas.openxmlformats.org/officeDocument/2006/relationships/hyperlink" Target="../../../../../../../:b:/r/personal/comunicacionesdiveliv_educacionbogota_gov_co/Documents/DIRECCION%20DE%20INSPECCION%20Y%20VIGILANCIA/DIV%20POAIV/POAIV%202025/ELIV%20SAN%20CRIST%C3%93BAL/PRIORIZADOS/TRIM%20I/ACTA%20VISITA%20ADMINISTRATIVA%20COLEGIO%20INTEGRAL%20AVANCEMOS.pdf?csf=1&amp;web=1&amp;e=Dg8EFe" TargetMode="External"/><Relationship Id="rId1001"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446" Type="http://schemas.openxmlformats.org/officeDocument/2006/relationships/hyperlink" Target="../../../../../../../:b:/r/personal/comunicacionesdiveliv_educacionbogota_gov_co/Documents/DIRECCION%20DE%20INSPECCION%20Y%20VIGILANCIA/DIV%20POAIV/POAIV%202025/ELIV%20KENNEDY/PRIORIZADOS/TRIM%20III/LICEO%20MODERNO%20LEON%20BAEZ.pdf?csf=1&amp;web=1&amp;e=9B1J8k" TargetMode="External"/><Relationship Id="rId1653"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60"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306" Type="http://schemas.openxmlformats.org/officeDocument/2006/relationships/hyperlink" Target="../../../../../../../:b:/g/personal/comunicacionesdiveliv_educacionbogota_gov_co/EXguH2JtjgZKvmo2nrFnZmABm7iDNKSoKdbLDBu4sw4CSw?e=hZEzKK" TargetMode="External"/><Relationship Id="rId1513" Type="http://schemas.openxmlformats.org/officeDocument/2006/relationships/hyperlink" Target="https://educacionbogota-my.sharepoint.com/:b:/g/personal/comunicacionesdiveliv_educacionbogota_gov_co/Ebz1I6zHlgZBnXEMIDjbaVsBudWt52T4pCeXpkeYcZQOmw?e=HLODCO" TargetMode="External"/><Relationship Id="rId1720" Type="http://schemas.openxmlformats.org/officeDocument/2006/relationships/hyperlink" Target="../../../../../../../:b:/r/personal/comunicacionesdiveliv_educacionbogota_gov_co/Documents/DIRECCION%20DE%20INSPECCION%20Y%20VIGILANCIA/DIV%20POAIV/POAIV%202025/ELIV%20SUBA/PRIORIZADOS/TRIM%20III/GIMANSIO%20LA%20CIMA.pdf?csf=1&amp;web=1&amp;e=ToUbYB" TargetMode="External"/><Relationship Id="rId1958" Type="http://schemas.openxmlformats.org/officeDocument/2006/relationships/hyperlink" Target="https://educacionbogota-my.sharepoint.com/:b:/g/personal/comunicacionesdiveliv_educacionbogota_gov_co/EYiEZ0FBYepJvQBKX7SE93gBmteXUc1gGvoGbuAXs5s-VA?e=Ou7NPA" TargetMode="External"/><Relationship Id="rId12"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818"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61" Type="http://schemas.openxmlformats.org/officeDocument/2006/relationships/hyperlink" Target="https://shre.ink/evUD" TargetMode="External"/><Relationship Id="rId399"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259" Type="http://schemas.openxmlformats.org/officeDocument/2006/relationships/hyperlink" Target="../../../../../../../:b:/r/personal/comunicacionesdiveliv_educacionbogota_gov_co/Documents/DIRECCION%20DE%20INSPECCION%20Y%20VIGILANCIA/DIV%20POAIV/POAIV%202025/ELIV%20CHAPINERO/PRIORIZADOS/TRIM%20II/POLITECNICO%20UNIVERSAL%20UNICAP/V.5%20%20FORMATO%20VISITAS%20CON%20FINES%20DE%20MEJORAMIENTO%20%20POLITECNICO%20UNICAP.pdf?csf=1&amp;web=1&amp;e=99BQkx" TargetMode="External"/><Relationship Id="rId466"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673"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880"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1096"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119" Type="http://schemas.openxmlformats.org/officeDocument/2006/relationships/hyperlink" Target="https://acortar.link/yAlpUW" TargetMode="External"/><Relationship Id="rId326"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3"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978"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163" Type="http://schemas.openxmlformats.org/officeDocument/2006/relationships/hyperlink" Target="https://educacionbogota-my.sharepoint.com/:b:/g/personal/comunicacionesdiveliv_educacionbogota_gov_co/ETnvQK47NwtMtRFdwpiCr7IBco4oRR5RfouD5ZlCG4aRjg?e=NenYUl" TargetMode="External"/><Relationship Id="rId1370" Type="http://schemas.openxmlformats.org/officeDocument/2006/relationships/hyperlink" Target="https://educacionbogota-my.sharepoint.com/:b:/g/personal/comunicacionesdiveliv_educacionbogota_gov_co/EVCrrnR55OtJjTAt8U8kZ2EBXmWn7_CbeO5YjhNfbK4pTA?e=M1ynMl" TargetMode="External"/><Relationship Id="rId2007" Type="http://schemas.openxmlformats.org/officeDocument/2006/relationships/hyperlink" Target="https://educacionbogota-my.sharepoint.com/:b:/g/personal/comunicacionesdiveliv_educacionbogota_gov_co/IQBFwzwbOLe_SYEbTDkbJvshAXeM7hfHg6Yc5-ZsiRz7kbQ?e=joWfMb" TargetMode="External"/><Relationship Id="rId740"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838"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023"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468"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1675"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2"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600"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1230" Type="http://schemas.openxmlformats.org/officeDocument/2006/relationships/hyperlink" Target="../../../../../../../:b:/g/personal/comunicacionesdiveliv_educacionbogota_gov_co/ERzMaCAxKL1NqszoLwR48UwBoQP72q40f-ul--HtX_xaYA?e=8Me0ll" TargetMode="External"/><Relationship Id="rId1328"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5" Type="http://schemas.openxmlformats.org/officeDocument/2006/relationships/hyperlink" Target="https://educacionbogota-my.sharepoint.com/:f:/r/personal/comunicacionesdiveliv_educacionbogota_gov_co/Documents/DIRECCION%20DE%20INSPECCION%20Y%20VIGILANCIA/DIV%20POAIV/POAIV%202025/ELIV%20PUENTE%20ARANDA/PRIORIZADOS/TRIM%20III/20250827_Visita%20fines%20mejoramiento%20Liceo%20Nuevo%20Chile?csf=1&amp;web=1&amp;e=uGyXdx" TargetMode="External"/><Relationship Id="rId905" Type="http://schemas.openxmlformats.org/officeDocument/2006/relationships/hyperlink" Target="../../../../../../../:b:/r/personal/comunicacionesdiveliv_educacionbogota_gov_co/Documents/DIRECCION%20DE%20INSPECCION%20Y%20VIGILANCIA/DIV%20POAIV/POAIV%202025/ELIV%20SAN%20CRIST%C3%93BAL/PRIORIZADOS/TRIM%20I/ACTA%20VISITA%20ADMINISTRATIVA%20IETDH%20FRANCIS%20COLLINS.pdf?csf=1&amp;web=1&amp;e=wXhWlU" TargetMode="External"/><Relationship Id="rId1742" Type="http://schemas.openxmlformats.org/officeDocument/2006/relationships/hyperlink" Target="../../../../../../../:b:/g/personal/comunicacionesdiveliv_educacionbogota_gov_co/EfsHq-TeCL5MmzboQbKJWGIB_3ZH0TBzZrs6QRfSJW8o9A?e=mC6Fl5" TargetMode="External"/><Relationship Id="rId34"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602"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183" Type="http://schemas.openxmlformats.org/officeDocument/2006/relationships/hyperlink" Target="https://shre.ink/evhA" TargetMode="External"/><Relationship Id="rId390"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1907" Type="http://schemas.openxmlformats.org/officeDocument/2006/relationships/hyperlink" Target="../../../../../../../:b:/r/personal/comunicacionesdiveliv_educacionbogota_gov_co/Documents/DIRECCION%20DE%20INSPECCION%20Y%20VIGILANCIA/DIV%20POAIV/POAIV%202025/ELIV%20USME/PRIORIZADOS/TRIMI/02ActaVisitaAdministrativaColegioJuanRulfo12032025.pdf?csf=1&amp;web=1&amp;e=TWkjag" TargetMode="External"/><Relationship Id="rId250" Type="http://schemas.openxmlformats.org/officeDocument/2006/relationships/hyperlink" Target="https://shre.ink/ebhv" TargetMode="External"/><Relationship Id="rId488"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695"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110"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SANTAFE%20Y%20LA%20CANDELARIA%2FPRIORIZADOS%2FTRIM%20I%2FCOLEGIO%20JORGE%20SOTO%20DEL%20CORRAL%2FACTA%20PRIORIZADA%20JORGE%20SOTO%20DEL%20CORRAL%2Epdf&amp;parent=%2Fpersonal%2Fcomunicacionesdiveliv%5Feducacionbogota%5Fgov%5Fco%2FDocuments%2FDIRECCION%20DE%20INSPECCION%20Y%20VIGILANCIA%2FDIV%20POAIV%2FPOAIV%202025%2FELIV%20SANTAFE%20Y%20LA%20CANDELARIA%2FPRIORIZADOS%2FTRIM%20I%2FCOLEGIO%20JORGE%20SOTO%20DEL%20CORRAL&amp;ga=1" TargetMode="External"/><Relationship Id="rId348"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55"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762"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1185" Type="http://schemas.openxmlformats.org/officeDocument/2006/relationships/hyperlink" Target="https://shre.ink/x7Bw" TargetMode="External"/><Relationship Id="rId1392" Type="http://schemas.openxmlformats.org/officeDocument/2006/relationships/hyperlink" Target="https://educacionbogota-my.sharepoint.com/:b:/g/personal/comunicacionesdiveliv_educacionbogota_gov_co/ERAM9qLwpB9Hnq0uH4vIkWoBry_yCDPWLSu8VpjD2eaVeQ?e=az8UHu" TargetMode="External"/><Relationship Id="rId2029" Type="http://schemas.openxmlformats.org/officeDocument/2006/relationships/hyperlink" Target="https://educacionbogota-my.sharepoint.com/:b:/g/personal/comunicacionesdiveliv_educacionbogota_gov_co/IQDBZFKe66-XQ5oSJfVfCN12ATMFTUzUCN4nOIbiliGpOx0?e=ytY7LO" TargetMode="External"/><Relationship Id="rId208" Type="http://schemas.openxmlformats.org/officeDocument/2006/relationships/hyperlink" Target="https://shre.ink/eKSY" TargetMode="External"/><Relationship Id="rId415"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22" Type="http://schemas.openxmlformats.org/officeDocument/2006/relationships/hyperlink" Target="../../../../../../../:b:/r/personal/comunicacionesdiveliv_educacionbogota_gov_co/Documents/DIRECCION%20DE%20INSPECCION%20Y%20VIGILANCIA/DIV%20POAIV/POAIV%202025/ELIV%20KENNEDY/PRIORIZADOS/TRIM%20II/ACTA%20DE%20VISITA%20COLEGIO%20JAIME%20QUIJANO.pdf?csf=1&amp;web=1&amp;e=tljaP9" TargetMode="External"/><Relationship Id="rId1045"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2" Type="http://schemas.openxmlformats.org/officeDocument/2006/relationships/hyperlink" Target="../../../../../../../:b:/g/personal/comunicacionesdiveliv_educacionbogota_gov_co/Ea03xamXMppMmFZSPVOIccsBlXMhONdBrVnUZDNUHIPmjQ?e=zhH7iR" TargetMode="External"/><Relationship Id="rId1697"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927" Type="http://schemas.openxmlformats.org/officeDocument/2006/relationships/hyperlink" Target="../../../../../../../:b:/r/personal/comunicacionesdiveliv_educacionbogota_gov_co/Documents/DIRECCION%20DE%20INSPECCION%20Y%20VIGILANCIA/DIV%20POAIV/POAIV%202025/ELIV%20TUNJUELITO/PRIORIZADOS/TRIM%20II/COLEGIO%20COOPERATIVO%20VENECIA/ACTA%20VISITA%20COL%20COOPERATIVO%20VENECIA%2016062025.pdf?csf=1&amp;web=1&amp;e=xmzePO" TargetMode="External"/><Relationship Id="rId1112"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557" Type="http://schemas.openxmlformats.org/officeDocument/2006/relationships/hyperlink" Target="https://educacionbogota-my.sharepoint.com/:b:/g/personal/comunicacionesdiveliv_educacionbogota_gov_co/EWvvyghjp8BIqEdMZzfGJH0BwJEThgP4UrK0L_sGRmNhzA?e=m2OaTp" TargetMode="External"/><Relationship Id="rId1764" Type="http://schemas.openxmlformats.org/officeDocument/2006/relationships/hyperlink" Target="../../../../../../../:b:/g/personal/comunicacionesdiveliv_educacionbogota_gov_co/EYDzPp7kUl1GtSpcbcbj9XkByOx0lTdfxy2ScYRvrF5Ppw?e=GRw5IO" TargetMode="External"/><Relationship Id="rId1971" Type="http://schemas.openxmlformats.org/officeDocument/2006/relationships/hyperlink" Target="https://educacionbogota-my.sharepoint.com/:b:/g/personal/comunicacionesdiveliv_educacionbogota_gov_co/EVUeggJPUO5Foh4h5IjMFUQBEG1zuGb6eBJmxTyua9djgg?e=eztXo2" TargetMode="External"/><Relationship Id="rId56"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417"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624"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1"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929"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72"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577"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132" Type="http://schemas.openxmlformats.org/officeDocument/2006/relationships/hyperlink" Target="https://shre.ink/Mn7g" TargetMode="External"/><Relationship Id="rId784"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1"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1067"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2020" Type="http://schemas.openxmlformats.org/officeDocument/2006/relationships/hyperlink" Target="https://educacionbogota-my.sharepoint.com/:b:/g/personal/comunicacionesdiveliv_educacionbogota_gov_co/IQD3Mqgz3QvJQ70CPYiuQRX9AfNYQ9FpHgrzyC5T_7Fhxpo?e=Pml7cl" TargetMode="External"/><Relationship Id="rId437"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644" Type="http://schemas.openxmlformats.org/officeDocument/2006/relationships/hyperlink" Target="../../../../../../../:b:/r/personal/comunicacionesdiveliv_educacionbogota_gov_co/Documents/DIRECCION%20DE%20INSPECCION%20Y%20VIGILANCIA/DIV%20POAIV/POAIV%202025/ELIV%20KENNEDY/PRIORIZADOS/TRIM%20II/ACTA%20DE%20VISITA%20COLEGIO%20MI%20PATRIA.pdf?csf=1&amp;web=1&amp;e=0fTK6k" TargetMode="External"/><Relationship Id="rId851"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1274" Type="http://schemas.openxmlformats.org/officeDocument/2006/relationships/hyperlink" Target="../../../../../../../:b:/g/personal/comunicacionesdiveliv_educacionbogota_gov_co/EYC-_IGI59ZJkaQGDNJiRVQB-RjSIIB-kuO2MF7Oc1cNuA?e=ewGYim" TargetMode="External"/><Relationship Id="rId1481"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1579"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504"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711" Type="http://schemas.openxmlformats.org/officeDocument/2006/relationships/hyperlink" Target="../../../../../../../:b:/r/personal/comunicacionesdiveliv_educacionbogota_gov_co/Documents/DIRECCION%20DE%20INSPECCION%20Y%20VIGILANCIA/DIV%20POAIV/POAIV%202025/ELIV%20PUENTE%20ARANDA/PRIORIZADOS/TRIM%20I/ACTA%20DE%20VISITA%20ADMINISTRATIVA%20COLEGIO%20PARROQUIAL%20DE%20LA%20DOTRINA%20CRISTIANA.pdf?csf=1&amp;web=1&amp;e=QrSX3U" TargetMode="External"/><Relationship Id="rId949"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34" Type="http://schemas.openxmlformats.org/officeDocument/2006/relationships/hyperlink" Target="https://educacionbogota-my.sharepoint.com/:b:/g/personal/comunicacionesdiveliv_educacionbogota_gov_co/EYO98_Q415ZLn_AiLoFPYfQBxqtJLIEyHvpDcf-ccGBqfQ?e=GmEuys" TargetMode="External"/><Relationship Id="rId1341" Type="http://schemas.openxmlformats.org/officeDocument/2006/relationships/hyperlink" Target="../../../../../../../:b:/g/personal/comunicacionesdiveliv_educacionbogota_gov_co/EecCk4zFb4xPtleMLk22xdYBqn9dGakDd5QQ53y47hOrbg?e=DOsDlF" TargetMode="External"/><Relationship Id="rId1786" Type="http://schemas.openxmlformats.org/officeDocument/2006/relationships/hyperlink" Target="../../../../../../../:b:/g/personal/comunicacionesdiveliv_educacionbogota_gov_co/EVkMcSlOP0pIsRabjefZYvwBk3QQywObb5P4sj2ZQDCjEg?e=SIzul9" TargetMode="External"/><Relationship Id="rId1993"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CIUDAD%20BOL%C3%8DVAR%2FPRIORIZADOS%2FTRIM%20III%2F20250729%5FCOLEGIO%5FPOPULAR%5FBOLIVARIANO&amp;ga=1" TargetMode="External"/><Relationship Id="rId78"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809"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201" Type="http://schemas.openxmlformats.org/officeDocument/2006/relationships/hyperlink" Target="../../../../../../../:f:/g/personal/comunicacionesdiveliv_educacionbogota_gov_co/EhaPlKZXOxZPnJSkDFS7Xi8BkvkQYs8UygTz5NDbEt5vMw?e=beSMIQ" TargetMode="External"/><Relationship Id="rId1439" Type="http://schemas.openxmlformats.org/officeDocument/2006/relationships/hyperlink" Target="../../../../../../../:b:/r/personal/comunicacionesdiveliv_educacionbogota_gov_co/Documents/DIRECCION%20DE%20INSPECCION%20Y%20VIGILANCIA/DIV%20POAIV/POAIV%202025/ELIV%20KENNEDY/PRIORIZADOS/TRIM%20III/INSTITUTO%20TENERIFE.pdf?csf=1&amp;web=1&amp;e=WKoXv9" TargetMode="External"/><Relationship Id="rId1646" Type="http://schemas.openxmlformats.org/officeDocument/2006/relationships/hyperlink" Target="../../../../../../../:b:/r/personal/comunicacionesdiveliv_educacionbogota_gov_co/Documents/DIRECCION%20DE%20INSPECCION%20Y%20VIGILANCIA/DIV%20POAIV/POAIV%202025/ELIV%20SUBA/PRIORIZADOS/TRIM%20II/ACTA%20DE%20VISITA%20COLEGIO%20VAN%20LEEUWENHOEK.pdf?csf=1&amp;web=1&amp;e=FJuiAI" TargetMode="External"/><Relationship Id="rId1853" Type="http://schemas.openxmlformats.org/officeDocument/2006/relationships/hyperlink" Target="../../../../../../../:f:/r/personal/comunicacionesdiveliv_educacionbogota_gov_co/Documents/DIRECCION%20DE%20INSPECCION%20Y%20VIGILANCIA/DIV%20POAIV/POAIV%202025/ELIV%20TUNJUELITO/PRIORIZADOS/TRIM%20I/GIMNASIO_COMERCIAL_LOS_ANDES?csf=1&amp;web=1&amp;e=CyjAGX" TargetMode="External"/><Relationship Id="rId1506" Type="http://schemas.openxmlformats.org/officeDocument/2006/relationships/hyperlink" Target="https://educacionbogota-my.sharepoint.com/:b:/g/personal/comunicacionesdiveliv_educacionbogota_gov_co/ESsP8wJeyYtPh5X3K_DhLIcBBAfMYEZmgsiJaW8hxq-q1w?e=Gjjcse" TargetMode="External"/><Relationship Id="rId1713" Type="http://schemas.openxmlformats.org/officeDocument/2006/relationships/hyperlink" Target="../../../../../../../:b:/r/personal/comunicacionesdiveliv_educacionbogota_gov_co/Documents/DIRECCION%20DE%20INSPECCION%20Y%20VIGILANCIA/DIV%20POAIV/POAIV%202025/ELIV%20SUBA/PRIORIZADOS/TRIM%20III/ACTA%20DE%20VISITA%20INST%20INTEGRADO%20DE%20SUBA.pdf?csf=1&amp;web=1&amp;e=OznwHT" TargetMode="External"/><Relationship Id="rId1920"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94" Type="http://schemas.openxmlformats.org/officeDocument/2006/relationships/hyperlink" Target="../../../../../../../:x:/r/personal/comunicacionesdiveliv_educacionbogota_gov_co/Documents/DIRECCION%20DE%20INSPECCION%20Y%20VIGILANCIA/DIV%20POAIV/POAIV%202025/ELIV%20CHAPINERO/PRIORIZADOS/TRIM%20II/SIMON%20RODRIGUEZ%20IED/20240913_FV_Manuales_Convivencia%20simon%20rodriguez.xlsx?d=w1e65fded146a41408f4950f952ba1d9a&amp;csf=1&amp;web=1&amp;e=6N5jSg" TargetMode="External"/><Relationship Id="rId154" Type="http://schemas.openxmlformats.org/officeDocument/2006/relationships/hyperlink" Target="https://shre.ink/eCE6" TargetMode="External"/><Relationship Id="rId361"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599"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2042"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EUSAQUILLO%2FPRIORIZADOS%2FTRIM%20II%2Facta%20Charles%202%20%283%29%2Epdf&amp;parent=%2Fpersonal%2Fcomunicacionesdiveliv%5Feducacionbogota%5Fgov%5Fco%2FDocuments%2FDIRECCION%20DE%20INSPECCION%20Y%20VIGILANCIA%2FDIV%20POAIV%2FPOAIV%202025%2FELIV%20TEUSAQUILLO%2FPRIORIZADOS%2FTRIM%20II&amp;wdLOR=c7FCE3E7E%2D4F86%2D4708%2D9120%2DF3F9B983DB26&amp;ga=1" TargetMode="External"/><Relationship Id="rId459"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66" Type="http://schemas.openxmlformats.org/officeDocument/2006/relationships/hyperlink" Target="../../../../../../../:b:/r/personal/comunicacionesdiveliv_educacionbogota_gov_co/Documents/DIRECCION%20DE%20INSPECCION%20Y%20VIGILANCIA/DIV%20POAIV/POAIV%202025/ELIV%20KENNEDY/PRIORIZADOS/TRIM%20II/ACTA%20DE%20VISITA%20COLEGIO%20SAGRADO%20CORAZON.pdf?csf=1&amp;web=1&amp;e=VDW5fC" TargetMode="External"/><Relationship Id="rId873"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089"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296" Type="http://schemas.openxmlformats.org/officeDocument/2006/relationships/hyperlink" Target="../../../../../../../:b:/r/personal/comunicacionesdiveliv_educacionbogota_gov_co/Documents/DIRECCION%20DE%20INSPECCION%20Y%20VIGILANCIA/DIV%20POAIV/POAIV%202025/ELIV%20ENGATIV%C3%81/PRIORIZADOS/TRIM%20III/ACTAS%20J.J.%20VARGAS.pdf?csf=1&amp;web=1&amp;e=l7G4js" TargetMode="External"/><Relationship Id="rId221" Type="http://schemas.openxmlformats.org/officeDocument/2006/relationships/hyperlink" Target="https://shre.ink/eKLw" TargetMode="External"/><Relationship Id="rId319" Type="http://schemas.openxmlformats.org/officeDocument/2006/relationships/hyperlink" Target="../../../../../../../:b:/r/personal/comunicacionesdiveliv_educacionbogota_gov_co/Documents/DIRECCION%20DE%20INSPECCION%20Y%20VIGILANCIA/DIV%20POAIV/POAIV%202025/ELIV%20CIUDAD%20BOL%C3%8DVAR/PRIORIZADOS/TRIM%20II/20250407_Visita%20administrativa%20Colegio%20Nuevo%20Milenio.pdf?csf=1&amp;web=1&amp;e=8cJ69x" TargetMode="External"/><Relationship Id="rId526"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1156" Type="http://schemas.openxmlformats.org/officeDocument/2006/relationships/hyperlink" Target="https://educacionbogota-my.sharepoint.com/:b:/g/personal/comunicacionesdiveliv_educacionbogota_gov_co/EXKnREsSVEtGqHjKbn9fduwBlny6BCei4ltKgDnU8dyyyg?e=koY4f8" TargetMode="External"/><Relationship Id="rId1363"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733"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940"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016"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570"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5%20y%2017%20Julio%202025%20Principio%20Sabidur%C3%ADa.pdf?csf=1&amp;web=1&amp;e=jBLVDm" TargetMode="External"/><Relationship Id="rId1668"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5"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800"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223" Type="http://schemas.openxmlformats.org/officeDocument/2006/relationships/hyperlink" Target="../../../../../../../:b:/g/personal/comunicacionesdiveliv_educacionbogota_gov_co/EVq-ADkpISBAv6vIxGTHjGkBTNkhNixPD_4fn0wl9zbg9A?e=Gf9xda" TargetMode="External"/><Relationship Id="rId1430" Type="http://schemas.openxmlformats.org/officeDocument/2006/relationships/hyperlink" Target="https://educacionbogota-my.sharepoint.com/personal/comunicacionesdiveliv_educacionbogota_gov_co/Documents/DIRECCION%20DE%20INSPECCION%20Y%20VIGILANCIA/DIV%20POAIV/POAIV%202025/ELIV%20KENNEDY/PRIORIZADOS/TRIM%20II/ACTA%20DE%20VISITA%20COLEGIO%20TALENTOS.pdf" TargetMode="External"/><Relationship Id="rId1528" Type="http://schemas.openxmlformats.org/officeDocument/2006/relationships/hyperlink" Target="https://educacionbogota-my.sharepoint.com/:b:/g/personal/comunicacionesdiveliv_educacionbogota_gov_co/EZE-vVmDPAlOqGAOAoGBk08BsTm1Mc3wlXA1_-cQkdO9Wg?e=qgUvMm" TargetMode="External"/><Relationship Id="rId1735"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42" Type="http://schemas.openxmlformats.org/officeDocument/2006/relationships/hyperlink" Target="https://educacionbogota-my.sharepoint.com/:b:/g/personal/comunicacionesdiveliv_educacionbogota_gov_co/EZ_ecOLB1x5LgNBP9kRFxzcBhyhv0Y4LEE3zmUcPK81hew?e=gk5r7c" TargetMode="External"/><Relationship Id="rId27"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802" Type="http://schemas.openxmlformats.org/officeDocument/2006/relationships/hyperlink" Target="../../../../../../../:b:/g/personal/comunicacionesdiveliv_educacionbogota_gov_co/Ef7_QnClfQhImGpKaz8qy2EBLZOz8tOaQud_TfNMqzdZzg?e=PdJsHA" TargetMode="External"/><Relationship Id="rId176" Type="http://schemas.openxmlformats.org/officeDocument/2006/relationships/hyperlink" Target="https://shre.ink/evjR" TargetMode="External"/><Relationship Id="rId383"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0" Type="http://schemas.openxmlformats.org/officeDocument/2006/relationships/hyperlink" Target="../../../../../../../:b:/r/personal/comunicacionesdiveliv_educacionbogota_gov_co/Documents/DIRECCION%20DE%20INSPECCION%20Y%20VIGILANCIA/DIV%20POAIV/POAIV%202025/ELIV%20KENNEDY/PRIORIZADOS/TRIM%20II/ACTA%20VISITA%20COLEGIO%20CENTRO%20DE%20INSTRUCCION%20SISTEMATIZADA%20CEIS.pdf?csf=1&amp;web=1&amp;e=Xzzhws" TargetMode="External"/><Relationship Id="rId243" Type="http://schemas.openxmlformats.org/officeDocument/2006/relationships/hyperlink" Target="https://shre.ink/e52M" TargetMode="External"/><Relationship Id="rId450"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688"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895"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1080"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03"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310" Type="http://schemas.openxmlformats.org/officeDocument/2006/relationships/hyperlink" Target="../../../../../../../:b:/r/personal/comunicacionesdiveliv_educacionbogota_gov_co/Documents/DIRECCION%20DE%20INSPECCION%20Y%20VIGILANCIA/DIV%20POAIV/POAIV%202025/ELIV%20CHAPINERO/PRIORIZADOS/TRIM%20III/INSTITUTO%20%20BERLITZ/ACTA%20BERLITZ.pdf?csf=1&amp;web=1&amp;e=7ha7j0" TargetMode="External"/><Relationship Id="rId548"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755"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62"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178"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1385"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592"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91"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408"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615"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822" Type="http://schemas.openxmlformats.org/officeDocument/2006/relationships/hyperlink" Target="../../../../../../../:b:/r/personal/comunicacionesdiveliv_educacionbogota_gov_co/Documents/DIRECCION%20DE%20INSPECCION%20Y%20VIGILANCIA/DIV%20POAIV/POAIV%202025/SAN%20CRIST%C3%93BAL/PRIORIZADOS/TRIM%20I/ACTA%20VISITA%20ADMINISTRATIVA%20COLEGIO%20INTEGRAL%20AVANCEMOS.pdf?csf=1&amp;web=1&amp;e=DbivjX" TargetMode="External"/><Relationship Id="rId1038" Type="http://schemas.openxmlformats.org/officeDocument/2006/relationships/hyperlink" Target="../../../../../../../:b:/r/personal/comunicacionesdiveliv_educacionbogota_gov_co/Documents/DIRECCION%20DE%20INSPECCION%20Y%20VIGILANCIA/DIV%20POAIV/POAIV%202025/ELIV%20FONTIB%C3%93N/PRIORIZADOS/TRIM%20III/UNIDAD%20EDUCATIVA%20BAHIA%20SOLANO/FORMATO%20UNIDAD%20EDUCATIVA%20BAHIA%20SOLANO.pdf?csf=1&amp;web=1&amp;e=tWRSAh" TargetMode="External"/><Relationship Id="rId1245" Type="http://schemas.openxmlformats.org/officeDocument/2006/relationships/hyperlink" Target="../../../../../../../:b:/g/personal/comunicacionesdiveliv_educacionbogota_gov_co/ERVcYNQPojxEn7bveI3Gp84B89VykYD-xj-f_Jbn0e4nLA?e=tB6t24" TargetMode="External"/><Relationship Id="rId1452" Type="http://schemas.openxmlformats.org/officeDocument/2006/relationships/hyperlink" Target="../../../../../../../:b:/r/personal/comunicacionesdiveliv_educacionbogota_gov_co/Documents/DIRECCION%20DE%20INSPECCION%20Y%20VIGILANCIA/DIV%20POAIV/POAIV%202025/ELIV%20KENNEDY/PRIORIZADOS/TRIM%20III/LICEO%20REYNEL.pdf?csf=1&amp;web=1&amp;e=XVXcz0" TargetMode="External"/><Relationship Id="rId1897"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1105"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12" Type="http://schemas.openxmlformats.org/officeDocument/2006/relationships/hyperlink" Target="../../../../../../../:b:/g/personal/comunicacionesdiveliv_educacionbogota_gov_co/EX50lx968y9GrquDjOwdiocBRlOHdbt1HVUni9Xd0AOfyQ?e=eNDjsk" TargetMode="External"/><Relationship Id="rId1757" Type="http://schemas.openxmlformats.org/officeDocument/2006/relationships/hyperlink" Target="../../../../../../../:b:/g/personal/comunicacionesdiveliv_educacionbogota_gov_co/EYXGYZZLrKtDsZmoXUoWpP8BKmEOE7yadec7nep9AvAofw?e=xBs3yL" TargetMode="External"/><Relationship Id="rId1964" Type="http://schemas.openxmlformats.org/officeDocument/2006/relationships/hyperlink" Target="https://educacionbogota-my.sharepoint.com/:b:/g/personal/comunicacionesdiveliv_educacionbogota_gov_co/ET2QxUqFxKtJkaDKcikNMnwB-Lrfw9_zcHJHhmJDmOegWg?e=bS3r0p" TargetMode="External"/><Relationship Id="rId49"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617" Type="http://schemas.openxmlformats.org/officeDocument/2006/relationships/hyperlink" Target="../../../../../../../:b:/g/personal/comunicacionesdiveliv_educacionbogota_gov_co/EbuTU9tbcTxFs94RYLyR-3QBmd9zlhyBKgtY73RkkG3uEw?e=nZXF7Y" TargetMode="External"/><Relationship Id="rId1824"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8" Type="http://schemas.openxmlformats.org/officeDocument/2006/relationships/hyperlink" Target="https://shre.ink/evCM" TargetMode="External"/><Relationship Id="rId265" Type="http://schemas.openxmlformats.org/officeDocument/2006/relationships/hyperlink" Target="../../../../../../../:b:/r/personal/comunicacionesdiveliv_educacionbogota_gov_co/Documents/DIRECCION%20DE%20INSPECCION%20Y%20VIGILANCIA/DIV%20POAIV/POAIV%202025/ELIV%20CHAPINERO/PRIORIZADOS/TRIM%20II/UNILATINA/acta%20visita%20Colegio%20Unilatina.pdf?csf=1&amp;web=1&amp;e=XU2S26" TargetMode="External"/><Relationship Id="rId472"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125" Type="http://schemas.openxmlformats.org/officeDocument/2006/relationships/hyperlink" Target="https://shre.ink/Mn5W" TargetMode="External"/><Relationship Id="rId332"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777" Type="http://schemas.openxmlformats.org/officeDocument/2006/relationships/hyperlink" Target="../../../../../../../:b:/r/personal/comunicacionesdiveliv_educacionbogota_gov_co/Documents/DIRECCION%20DE%20INSPECCION%20Y%20VIGILANCIA/DIV%20POAIV/POAIV%202025/SAN%20CRIST%C3%93BAL/PRIORIZADOS/TRIM%20II/0411%20Acta%20de%20visita%20administrativa%20Isaac%20Newton.pdf?csf=1&amp;web=1&amp;e=GY4TjW" TargetMode="External"/><Relationship Id="rId984"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2013" Type="http://schemas.openxmlformats.org/officeDocument/2006/relationships/hyperlink" Target="https://educacionbogota-my.sharepoint.com/:b:/g/personal/comunicacionesdiveliv_educacionbogota_gov_co/IQBFwzwbOLe_SYEbTDkbJvshAXeM7hfHg6Yc5-ZsiRz7kbQ?e=joWfMb" TargetMode="External"/><Relationship Id="rId637" Type="http://schemas.openxmlformats.org/officeDocument/2006/relationships/hyperlink" Target="../../../../../../../:b:/r/personal/comunicacionesdiveliv_educacionbogota_gov_co/Documents/DIRECCION%20DE%20INSPECCION%20Y%20VIGILANCIA/DIV%20POAIV/POAIV%202025/ELIV%20KENNEDY/PRIORIZADOS/TRIM%20II/ACTA%20VISITA%20COLEGIO%20MANDALAY.pdf?csf=1&amp;web=1&amp;e=Fig97B" TargetMode="External"/><Relationship Id="rId844"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267"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1474"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1681"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704" Type="http://schemas.openxmlformats.org/officeDocument/2006/relationships/hyperlink" Target="../../../../../../../:b:/r/personal/comunicacionesdiveliv_educacionbogota_gov_co/Documents/DIRECCION%20DE%20INSPECCION%20Y%20VIGILANCIA/DIV%20POAIV/POAIV%202025/ELIV%20KENNEDY/PRIORIZADOS/TRIM%20III/INSTITUTO%20SAN%20RICARDO%20PAMPURI.pdf?csf=1&amp;web=1&amp;e=U8aivu" TargetMode="External"/><Relationship Id="rId911" Type="http://schemas.openxmlformats.org/officeDocument/2006/relationships/hyperlink" Target="../../../../../../../:b:/r/personal/comunicacionesdiveliv_educacionbogota_gov_co/Documents/DIRECCION%20DE%20INSPECCION%20Y%20VIGILANCIA/DIV%20POAIV/POAIV%202025/ELIV%20SAN%20CRIST%C3%93BAL/PRIORIZADOS/TRIM%20II/0403%20Acta%20de%20Visita%20Autodominio%20final.pdf?csf=1&amp;web=1&amp;e=T4LQsq" TargetMode="External"/><Relationship Id="rId1127" Type="http://schemas.openxmlformats.org/officeDocument/2006/relationships/hyperlink" Target="https://educacionbogota-my.sharepoint.com/:b:/g/personal/comunicacionesdiveliv_educacionbogota_gov_co/EeK6oyECBGFCld1489Pv2ScBWXREa1mjizxx2knejVCfcA?e=5Pnbm5" TargetMode="External"/><Relationship Id="rId1334" Type="http://schemas.openxmlformats.org/officeDocument/2006/relationships/hyperlink" Target="../../../../../../../:b:/g/personal/comunicacionesdiveliv_educacionbogota_gov_co/EdQmwaJvIkxIv3b266GboOsBMPIFcKVxKAAN4AY7P8na_g?e=2Wzrl6" TargetMode="External"/><Relationship Id="rId1541" Type="http://schemas.openxmlformats.org/officeDocument/2006/relationships/hyperlink" Target="https://educacionbogota-my.sharepoint.com/:f:/g/personal/comunicacionesdiveliv_educacionbogota_gov_co/EmLFXES6l_FDpeps_63sluwBfH73s4gpclzGji4f8Xd1cQ?e=WhWmcG" TargetMode="External"/><Relationship Id="rId1779" Type="http://schemas.openxmlformats.org/officeDocument/2006/relationships/hyperlink" Target="../../../../../../../:b:/g/personal/comunicacionesdiveliv_educacionbogota_gov_co/EW7PR1mGHbdOnApLj5Nvs8QBGJOXtBzseSKa8TVdtQ_8fg?e=oJhOWc" TargetMode="External"/><Relationship Id="rId1986"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INSTITUTO%20BRITANICO%2FInstituto%20Britanico%2009072025%5F250714%5F14304914072025%2Epdf&amp;parent=%2Fpersonal%2Fcomunicacionesdiveliv%5Feducacionbogota%5Fgov%5Fco%2FDocuments%2FDIRECCION%20DE%20INSPECCION%20Y%20VIGILANCIA%2FDIV%20POAIV%2FPOAIV%202025%2FELIV%20TUNJUELITO%2FPRIORIZADOS%2FTRIM%20III%2FINSTITUTO%20BRITANICO&amp;ct=1769196665879&amp;or=OWA%2DNT%2DMail&amp;cid=cdde9d1f%2Daad5%2D3fef%2De526%2D3e78e8610e72&amp;ga=1" TargetMode="External"/><Relationship Id="rId40"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401"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1639" Type="http://schemas.openxmlformats.org/officeDocument/2006/relationships/hyperlink" Target="../../../../../../../:b:/r/personal/comunicacionesdiveliv_educacionbogota_gov_co/Documents/DIRECCION%20DE%20INSPECCION%20Y%20VIGILANCIA/DIV%20POAIV/POAIV%202025/ELIV%20SUBA/PRIORIZADOS/TRIM%20II/13052025%20Acta%20de%20visita%20administrativa%20Liceo%20Riobamba.pdf?csf=1&amp;web=1&amp;e=ZHPqdn" TargetMode="External"/><Relationship Id="rId1846" Type="http://schemas.openxmlformats.org/officeDocument/2006/relationships/hyperlink" Target="../../../../../../../:b:/r/personal/comunicacionesdiveliv_educacionbogota_gov_co/Documents/DIRECCION%20DE%20INSPECCION%20Y%20VIGILANCIA/DIV%20POAIV/POAIV%202025/ELIV%20TEUSAQUILLO/PRIORIZADOS/TRIM%20II/05212025Visita_confinesde%20mejormaiento_DIGITALLAB..pdf?csf=1&amp;web=1&amp;e=bVgXsy" TargetMode="External"/><Relationship Id="rId1706"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13"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87"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494"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147" Type="http://schemas.openxmlformats.org/officeDocument/2006/relationships/hyperlink" Target="https://shre.ink/eCE6" TargetMode="External"/><Relationship Id="rId354"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799"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191" Type="http://schemas.openxmlformats.org/officeDocument/2006/relationships/hyperlink" Target="../../../../../../../:b:/g/personal/comunicacionesdiveliv_educacionbogota_gov_co/EbQ4xhq8GOtKr8OA9kLz8AoB2yKxssBGnabUr_qO3O5K2Q?e=BAwrtJ" TargetMode="External"/><Relationship Id="rId2035" Type="http://schemas.openxmlformats.org/officeDocument/2006/relationships/hyperlink" Target="../../../../../../../:b:/g/personal/comunicacionesdiveliv_educacionbogota_gov_co/IQCfu4lxOg5QS5ZA-eZFmsW_Ae4Lztd5ucxjKNX5wj6n1_I?e=fWSy0V" TargetMode="External"/><Relationship Id="rId561" Type="http://schemas.openxmlformats.org/officeDocument/2006/relationships/hyperlink" Target="../../../../../../../:b:/r/personal/comunicacionesdiveliv_educacionbogota_gov_co/Documents/DIRECCION%20DE%20INSPECCION%20Y%20VIGILANCIA/DIV%20POAIV/POAIV%202025/ELIV%20ANTONIO%20NARI%C3%91O/PRIORIZADOS/TRIM%20II/12.%20Acta%20Centro%20Educativo%20CE%20Ntra%20Sra%20de%20la%20Paz.pdf?csf=1&amp;web=1&amp;e=jfyGbn" TargetMode="External"/><Relationship Id="rId659" Type="http://schemas.openxmlformats.org/officeDocument/2006/relationships/hyperlink" Target="../../../../../../../:b:/r/personal/comunicacionesdiveliv_educacionbogota_gov_co/Documents/DIRECCION%20DE%20INSPECCION%20Y%20VIGILANCIA/DIV%20POAIV/POAIV%202025/ELIV%20KENNEDY/PRIORIZADOS/TRIM%20II/ACTA%20VISITA%20COLEGIO%20RAFAEL%20GOBERNA.pdf?csf=1&amp;web=1&amp;e=6KxOWT" TargetMode="External"/><Relationship Id="rId866"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289"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496"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214" Type="http://schemas.openxmlformats.org/officeDocument/2006/relationships/hyperlink" Target="https://shre.ink/eK5b" TargetMode="External"/><Relationship Id="rId421"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519"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1051"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149" Type="http://schemas.openxmlformats.org/officeDocument/2006/relationships/hyperlink" Target="https://educacionbogota-my.sharepoint.com/:b:/g/personal/comunicacionesdiveliv_educacionbogota_gov_co/EXKnREsSVEtGqHjKbn9fduwBlny6BCei4ltKgDnU8dyyyg?e=koY4f8" TargetMode="External"/><Relationship Id="rId1356"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726" Type="http://schemas.openxmlformats.org/officeDocument/2006/relationships/hyperlink" Target="../../../../../../../:b:/r/personal/comunicacionesdiveliv_educacionbogota_gov_co/Documents/DIRECCION%20DE%20INSPECCION%20Y%20VIGILANCIA/DIV%20POAIV/POAIV%202025/ELIV%20PUENTE%20ARANDA/PRIORIZADOS/TRIM%20II/20250409%20visita%20Colegio%20Emilio%20Brigard/25%2004%2009%20acta%20visita%20Emilio%20Brigard.pdf?csf=1&amp;web=1&amp;e=pjprRc" TargetMode="External"/><Relationship Id="rId933"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009"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563" Type="http://schemas.openxmlformats.org/officeDocument/2006/relationships/hyperlink" Target="https://educacionbogota-my.sharepoint.com/:b:/g/personal/comunicacionesdiveliv_educacionbogota_gov_co/EWvvyghjp8BIqEdMZzfGJH0BwJEThgP4UrK0L_sGRmNhzA?e=m2OaTp" TargetMode="External"/><Relationship Id="rId1770" Type="http://schemas.openxmlformats.org/officeDocument/2006/relationships/hyperlink" Target="../../../../../../../:b:/g/personal/comunicacionesdiveliv_educacionbogota_gov_co/ETiorX7HsxVLiyniM70pNQEBY6vl1Krz9d4GXvD8HF_feQ?e=YTEDDg" TargetMode="External"/><Relationship Id="rId1868" Type="http://schemas.openxmlformats.org/officeDocument/2006/relationships/hyperlink" Target="../../../../../../../:f:/r/personal/comunicacionesdiveliv_educacionbogota_gov_co/Documents/DIRECCION%20DE%20INSPECCION%20Y%20VIGILANCIA/DIV%20POAIV/POAIV%202025/ELIV%20TUNJUELITO/PRIORIZADOS/TRIM%20I/ACADEMIA%20LATINOAMERICANA%20DE%20BELLEZA?csf=1&amp;web=1&amp;e=kYVPPu" TargetMode="External"/><Relationship Id="rId62"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216" Type="http://schemas.openxmlformats.org/officeDocument/2006/relationships/hyperlink" Target="../../../../../../../:b:/g/personal/comunicacionesdiveliv_educacionbogota_gov_co/EVq-ADkpISBAv6vIxGTHjGkBTNkhNixPD_4fn0wl9zbg9A?e=Gf9xda" TargetMode="External"/><Relationship Id="rId1423"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630" Type="http://schemas.openxmlformats.org/officeDocument/2006/relationships/hyperlink" Target="../../../../../../../:b:/r/personal/comunicacionesdiveliv_educacionbogota_gov_co/Documents/DIRECCION%20DE%20INSPECCION%20Y%20VIGILANCIA/DIV%20POAIV/POAIV%202025/ELIV%20SUBA/PRIORIZADOS/TRIM%20II/Acta%20de%20Visita%20Integral%20LICEO%20HOMERICO.pdf?csf=1&amp;web=1&amp;e=fqb0rJ" TargetMode="External"/><Relationship Id="rId1728"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5" Type="http://schemas.openxmlformats.org/officeDocument/2006/relationships/hyperlink" Target="https://educacionbogota-my.sharepoint.com/:b:/g/personal/comunicacionesdiveliv_educacionbogota_gov_co/EX53YwG28gtEtW6nefbDovMBnq7016BBK-h1o87zvHkLOg?e=FHRQVb" TargetMode="External"/><Relationship Id="rId169" Type="http://schemas.openxmlformats.org/officeDocument/2006/relationships/hyperlink" Target="https://shre.ink/evAg" TargetMode="External"/><Relationship Id="rId376"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3" Type="http://schemas.openxmlformats.org/officeDocument/2006/relationships/hyperlink" Target="../../../../../../../:b:/r/personal/comunicacionesdiveliv_educacionbogota_gov_co/Documents/DIRECCION%20DE%20INSPECCION%20Y%20VIGILANCIA/DIV%20POAIV/POAIV%202025/ELIV%20KENNEDY/PRIORIZADOS/TRIM%20I/ACTA%20VISITA%20COLEGIO_ATENIENSE.pdf?csf=1&amp;web=1&amp;e=N8Ck5b" TargetMode="External"/><Relationship Id="rId790"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4"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6" Type="http://schemas.openxmlformats.org/officeDocument/2006/relationships/hyperlink" Target="https://acortar.link/WDQjzH" TargetMode="External"/><Relationship Id="rId443"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50"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888"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73"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1280"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303" Type="http://schemas.openxmlformats.org/officeDocument/2006/relationships/hyperlink" Target="../../../../../../../:f:/r/personal/comunicacionesdiveliv_educacionbogota_gov_co/Documents/DIRECCION%20DE%20INSPECCION%20Y%20VIGILANCIA/DIV%20POAIV/POAIV%202025/ELIV%20CHAPINERO/PRIORIZADOS/TRIM%20II/COLEGIO%20SAN%20MARTIN%20DE%20PORRES%20(IED)?csf=1&amp;web=1&amp;e=pAQbKH" TargetMode="External"/><Relationship Id="rId748" Type="http://schemas.openxmlformats.org/officeDocument/2006/relationships/hyperlink" Target="../../../../../../../:b:/r/personal/comunicacionesdiveliv_educacionbogota_gov_co/Documents/DIRECCION%20DE%20INSPECCION%20Y%20VIGILANCIA/DIV%20POAIV/POAIV%202025/ELIV%20PUENTE%20ARANDA/PRIORIZADOS/TRIM%20II/VIISITA%20CON%20FINES%20DE%20MEJORAMIENTO%20LICEO%20ROMULO%20GALLEGOS/20250527visitaAdministrativaRomuloGallegos.pdf?csf=1&amp;web=1&amp;e=hZJ8Kd" TargetMode="External"/><Relationship Id="rId955"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140" Type="http://schemas.openxmlformats.org/officeDocument/2006/relationships/hyperlink" Target="https://educacionbogota-my.sharepoint.com/:b:/g/personal/comunicacionesdiveliv_educacionbogota_gov_co/Eb-UniLmS69Hl4UD82s7xUwBCuh_o4-APb2BjCOXcEtG7Q?e=4AOR0A" TargetMode="External"/><Relationship Id="rId1378"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585"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1792" Type="http://schemas.openxmlformats.org/officeDocument/2006/relationships/hyperlink" Target="../../../../../../../:b:/g/personal/comunicacionesdiveliv_educacionbogota_gov_co/EVkMcSlOP0pIsRabjefZYvwBk3QQywObb5P4sj2ZQDCjEg?e=SIzul9" TargetMode="External"/><Relationship Id="rId84"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510"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608"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5" Type="http://schemas.openxmlformats.org/officeDocument/2006/relationships/hyperlink" Target="../../../../../../../:b:/r/personal/comunicacionesdiveliv_educacionbogota_gov_co/Documents/DIRECCION%20DE%20INSPECCION%20Y%20VIGILANCIA/DIV%20POAIV/POAIV%202025/ELIV%20SAN%20CRIST%C3%93BAL/PRIORIZADOS/TRIM%20I/ACTA%20VISITA%20ADMINISTRATIVA%20COLEGIO%20INTEGRAL%20AVANCEMOS.pdf?csf=1&amp;web=1&amp;e=Dg8EFe" TargetMode="External"/><Relationship Id="rId1238" Type="http://schemas.openxmlformats.org/officeDocument/2006/relationships/hyperlink" Target="../../../../../../../:b:/g/personal/comunicacionesdiveliv_educacionbogota_gov_co/ERVcYNQPojxEn7bveI3Gp84B89VykYD-xj-f_Jbn0e4nLA?e=tB6t24" TargetMode="External"/><Relationship Id="rId1445" Type="http://schemas.openxmlformats.org/officeDocument/2006/relationships/hyperlink" Target="../../../../../../../:b:/r/personal/comunicacionesdiveliv_educacionbogota_gov_co/Documents/DIRECCION%20DE%20INSPECCION%20Y%20VIGILANCIA/DIV%20POAIV/POAIV%202025/ELIV%20KENNEDY/PRIORIZADOS/TRIM%20III/LICEO%20MODERNO%20LEON%20BAEZ.pdf?csf=1&amp;web=1&amp;e=9B1J8k" TargetMode="External"/><Relationship Id="rId1652"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000"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305" Type="http://schemas.openxmlformats.org/officeDocument/2006/relationships/hyperlink" Target="../../../../../../../:b:/g/personal/comunicacionesdiveliv_educacionbogota_gov_co/EXguH2JtjgZKvmo2nrFnZmABm7iDNKSoKdbLDBu4sw4CSw?e=hZEzKK" TargetMode="External"/><Relationship Id="rId1957" Type="http://schemas.openxmlformats.org/officeDocument/2006/relationships/hyperlink" Target="https://educacionbogota-my.sharepoint.com/:b:/g/personal/comunicacionesdiveliv_educacionbogota_gov_co/EYiEZ0FBYepJvQBKX7SE93gBmteXUc1gGvoGbuAXs5s-VA?e=Ou7NPA" TargetMode="External"/><Relationship Id="rId1512" Type="http://schemas.openxmlformats.org/officeDocument/2006/relationships/hyperlink" Target="https://educacionbogota-my.sharepoint.com/:b:/g/personal/comunicacionesdiveliv_educacionbogota_gov_co/Ebz1I6zHlgZBnXEMIDjbaVsBudWt52T4pCeXpkeYcZQOmw?e=HLODCO" TargetMode="External"/><Relationship Id="rId1817"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1"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398"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160" Type="http://schemas.openxmlformats.org/officeDocument/2006/relationships/hyperlink" Target="https://shre.ink/evUD" TargetMode="External"/><Relationship Id="rId258" Type="http://schemas.openxmlformats.org/officeDocument/2006/relationships/hyperlink" Target="../../../../../../../:b:/r/personal/comunicacionesdiveliv_educacionbogota_gov_co/Documents/DIRECCION%20DE%20INSPECCION%20Y%20VIGILANCIA/DIV%20POAIV/POAIV%202025/ELIV%20CHAPINERO/PRIORIZADOS/TRIM%20II/POLITECNICO%20UNIVERSAL%20UNICAP/V.5%20%20FORMATO%20VISITAS%20CON%20FINES%20DE%20MEJORAMIENTO%20%20POLITECNICO%20UNICAP.pdf?csf=1&amp;web=1&amp;e=99BQkx" TargetMode="External"/><Relationship Id="rId465"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672"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1095"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18" Type="http://schemas.openxmlformats.org/officeDocument/2006/relationships/hyperlink" Target="https://acortar.link/yAlpUW" TargetMode="External"/><Relationship Id="rId325"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2"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977"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162" Type="http://schemas.openxmlformats.org/officeDocument/2006/relationships/hyperlink" Target="https://educacionbogota-my.sharepoint.com/:b:/g/personal/comunicacionesdiveliv_educacionbogota_gov_co/ETnvQK47NwtMtRFdwpiCr7IBco4oRR5RfouD5ZlCG4aRjg?e=NenYUl" TargetMode="External"/><Relationship Id="rId2006" Type="http://schemas.openxmlformats.org/officeDocument/2006/relationships/hyperlink" Target="https://educacionbogota-my.sharepoint.com/:b:/g/personal/comunicacionesdiveliv_educacionbogota_gov_co/IQBFwzwbOLe_SYEbTDkbJvshAXeM7hfHg6Yc5-ZsiRz7kbQ?e=joWfMb" TargetMode="External"/><Relationship Id="rId837"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022"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467" Type="http://schemas.openxmlformats.org/officeDocument/2006/relationships/hyperlink" Target="../../../../../../../:b:/r/personal/comunicacionesdiveliv_educacionbogota_gov_co/Documents/DIRECCION%20DE%20INSPECCION%20Y%20VIGILANCIA/DIV%20POAIV/POAIV%202025/ELIV%20LOS%20M%C3%81RTIRES/PRIORIZADOS/TRIM%20II/20250411%20IETDH_Corphoesthetic.pdf?csf=1&amp;web=1&amp;e=t7BKqJ" TargetMode="External"/><Relationship Id="rId1674"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1"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904"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327"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4" Type="http://schemas.openxmlformats.org/officeDocument/2006/relationships/hyperlink" Target="https://educacionbogota-my.sharepoint.com/:f:/r/personal/comunicacionesdiveliv_educacionbogota_gov_co/Documents/DIRECCION%20DE%20INSPECCION%20Y%20VIGILANCIA/DIV%20POAIV/POAIV%202025/ELIV%20PUENTE%20ARANDA/PRIORIZADOS/TRIM%20III/20250827_Visita%20fines%20mejoramiento%20Liceo%20Nuevo%20Chile?csf=1&amp;web=1&amp;e=uGyXdx" TargetMode="External"/><Relationship Id="rId1741" Type="http://schemas.openxmlformats.org/officeDocument/2006/relationships/hyperlink" Target="../../../../../../../:b:/g/personal/comunicacionesdiveliv_educacionbogota_gov_co/EfsHq-TeCL5MmzboQbKJWGIB_3ZH0TBzZrs6QRfSJW8o9A?e=mC6Fl5" TargetMode="External"/><Relationship Id="rId1979" Type="http://schemas.openxmlformats.org/officeDocument/2006/relationships/hyperlink" Target="https://educacionbogota-my.sharepoint.com/:b:/g/personal/comunicacionesdiveliv_educacionbogota_gov_co/IQDj1_5H6p1VQbklRk9ZD77zAU-8qUGytk6brT56bhwfSSo?e=GW5BYA" TargetMode="External"/><Relationship Id="rId33"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601"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1839" Type="http://schemas.openxmlformats.org/officeDocument/2006/relationships/hyperlink" Target="../../../../../../../:b:/r/personal/comunicacionesdiveliv_educacionbogota_gov_co/Documents/DIRECCION%20DE%20INSPECCION%20Y%20VIGILANCIA/DIV%20POAIV/POAIV%202025/ELIV%20TEUSAQUILLO/PRIORIZADOS/TRIM%20II/00_A.A_GUERRERO_VISITA_FinesMejoramiento_POAIV2025_07052025_FirmadaSoportes.pdf?csf=1&amp;web=1&amp;e=iUZEXQ" TargetMode="External"/><Relationship Id="rId182" Type="http://schemas.openxmlformats.org/officeDocument/2006/relationships/hyperlink" Target="https://shre.ink/evjR" TargetMode="External"/><Relationship Id="rId1906" Type="http://schemas.openxmlformats.org/officeDocument/2006/relationships/hyperlink" Target="../../../../../../../:b:/r/personal/comunicacionesdiveliv_educacionbogota_gov_co/Documents/DIRECCION%20DE%20INSPECCION%20Y%20VIGILANCIA/DIV%20POAIV/POAIV%202025/ELIV%20USME/PRIORIZADOS/TRIMI/02ActaVisitaAdministrativaColegioJuanRulfo12032025.pdf?csf=1&amp;web=1&amp;e=TWkjag" TargetMode="External"/><Relationship Id="rId487"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694"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347"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999"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184" Type="http://schemas.openxmlformats.org/officeDocument/2006/relationships/hyperlink" Target="https://shre.ink/x7Bw" TargetMode="External"/><Relationship Id="rId2028" Type="http://schemas.openxmlformats.org/officeDocument/2006/relationships/hyperlink" Target="https://educacionbogota-my.sharepoint.com/:b:/g/personal/comunicacionesdiveliv_educacionbogota_gov_co/IQDBZFKe66-XQ5oSJfVfCN12ATMFTUzUCN4nOIbiliGpOx0?e=ytY7LO" TargetMode="External"/><Relationship Id="rId554"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761"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859"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391" Type="http://schemas.openxmlformats.org/officeDocument/2006/relationships/hyperlink" Target="https://educacionbogota-my.sharepoint.com/:b:/g/personal/comunicacionesdiveliv_educacionbogota_gov_co/ERAM9qLwpB9Hnq0uH4vIkWoBry_yCDPWLSu8VpjD2eaVeQ?e=az8UHu" TargetMode="External"/><Relationship Id="rId1489"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696"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207" Type="http://schemas.openxmlformats.org/officeDocument/2006/relationships/hyperlink" Target="https://shre.ink/eKSY" TargetMode="External"/><Relationship Id="rId414"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21" Type="http://schemas.openxmlformats.org/officeDocument/2006/relationships/hyperlink" Target="../../../../../../../:b:/r/personal/comunicacionesdiveliv_educacionbogota_gov_co/Documents/DIRECCION%20DE%20INSPECCION%20Y%20VIGILANCIA/DIV%20POAIV/POAIV%202025/ELIV%20KENNEDY/PRIORIZADOS/TRIM%20II/ACTA%20DE%20VISITA%20COLEGIO%20JAIME%20QUIJANO.pdf?csf=1&amp;web=1&amp;e=tljaP9" TargetMode="External"/><Relationship Id="rId1044"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1" Type="http://schemas.openxmlformats.org/officeDocument/2006/relationships/hyperlink" Target="../../../../../../../:b:/g/personal/comunicacionesdiveliv_educacionbogota_gov_co/Ea03xamXMppMmFZSPVOIccsBlXMhONdBrVnUZDNUHIPmjQ?e=zhH7iR" TargetMode="External"/><Relationship Id="rId1349" Type="http://schemas.openxmlformats.org/officeDocument/2006/relationships/hyperlink" Target="../../../../../../../:b:/g/personal/comunicacionesdiveliv_educacionbogota_gov_co/EUwXYE3zRUdHmUmCMjP9SMsBxRjqVyiXhd3Mm_oW-xdMiA?e=0ppQr2" TargetMode="External"/><Relationship Id="rId719" Type="http://schemas.openxmlformats.org/officeDocument/2006/relationships/hyperlink" Target="../../../../../../../:b:/r/personal/comunicacionesdiveliv_educacionbogota_gov_co/Documents/DIRECCION%20DE%20INSPECCION%20Y%20VIGILANCIA/DIV%20POAIV/POAIV%202025/ELIV%20PUENTE%20ARANDA/PRIORIZADOS/TRIM%20II/20250430_Visita%20fines%20mejoramiento%20LPNSS/S-2025-118820%20Visita%20administrativa%20LPNSS.pdf?csf=1&amp;web=1&amp;e=bUXWbL" TargetMode="External"/><Relationship Id="rId926" Type="http://schemas.openxmlformats.org/officeDocument/2006/relationships/hyperlink" Target="../../../../../../../:b:/r/personal/comunicacionesdiveliv_educacionbogota_gov_co/Documents/DIRECCION%20DE%20INSPECCION%20Y%20VIGILANCIA/DIV%20POAIV/POAIV%202025/ELIV%20TUNJUELITO/PRIORIZADOS/TRIM%20II/COLEGIO%20COOPERATIVO%20VENECIA/ACTA%20VISITA%20COL%20COOPERATIVO%20VENECIA%2016062025.pdf?csf=1&amp;web=1&amp;e=xmzePO" TargetMode="External"/><Relationship Id="rId1111"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556" Type="http://schemas.openxmlformats.org/officeDocument/2006/relationships/hyperlink" Target="https://educacionbogota-my.sharepoint.com/:b:/g/personal/comunicacionesdiveliv_educacionbogota_gov_co/EWvvyghjp8BIqEdMZzfGJH0BwJEThgP4UrK0L_sGRmNhzA?e=m2OaTp" TargetMode="External"/><Relationship Id="rId1763" Type="http://schemas.openxmlformats.org/officeDocument/2006/relationships/hyperlink" Target="../../../../../../../:b:/g/personal/comunicacionesdiveliv_educacionbogota_gov_co/EYDzPp7kUl1GtSpcbcbj9XkByOx0lTdfxy2ScYRvrF5Ppw?e=GRw5IO" TargetMode="External"/><Relationship Id="rId1970" Type="http://schemas.openxmlformats.org/officeDocument/2006/relationships/hyperlink" Target="https://educacionbogota-my.sharepoint.com/:b:/g/personal/comunicacionesdiveliv_educacionbogota_gov_co/EVUeggJPUO5Foh4h5IjMFUQBEG1zuGb6eBJmxTyua9djgg?e=eztXo2" TargetMode="External"/><Relationship Id="rId55"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209" Type="http://schemas.openxmlformats.org/officeDocument/2006/relationships/hyperlink" Target="../../../../../../../:b:/g/personal/comunicacionesdiveliv_educacionbogota_gov_co/Ed7YHKLS-yJIseYK8QcWBegBJZQ3Z4w3kQPANktP0Hq_kw?e=0AEuSm" TargetMode="External"/><Relationship Id="rId1416" Type="http://schemas.openxmlformats.org/officeDocument/2006/relationships/hyperlink" Target="https://educacionbogota-my.sharepoint.com/:b:/g/personal/comunicacionesdiveliv_educacionbogota_gov_co/EZRxFJ-Rd89Pu7EGFSmHYpABAO6tmyKg5lFyrScuIcKqCg?e=He1SZj" TargetMode="External"/><Relationship Id="rId1623"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0"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928"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71" Type="http://schemas.openxmlformats.org/officeDocument/2006/relationships/hyperlink" Target="../../../../../../../:b:/r/personal/comunicacionesdiveliv_educacionbogota_gov_co/Documents/DIRECCION%20DE%20INSPECCION%20Y%20VIGILANCIA/DIV%20POAIV/POAIV%202025/ELIV%20CHAPINERO/PRIORIZADOS/TRIM%20II/FUND%20COLEGIO%20NUEVA%20GRANADA/ACTA%20FINAL%20FUND%20NUEVA%20GRANADA.pdf?csf=1&amp;web=1&amp;e=kF2juS" TargetMode="External"/><Relationship Id="rId131" Type="http://schemas.openxmlformats.org/officeDocument/2006/relationships/hyperlink" Target="https://shre.ink/Mn7g" TargetMode="External"/><Relationship Id="rId369"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576"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783"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0"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229" Type="http://schemas.openxmlformats.org/officeDocument/2006/relationships/hyperlink" Target="https://acortar.link/WDQjzH" TargetMode="External"/><Relationship Id="rId436"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643" Type="http://schemas.openxmlformats.org/officeDocument/2006/relationships/hyperlink" Target="../../../../../../../:b:/r/personal/comunicacionesdiveliv_educacionbogota_gov_co/Documents/DIRECCION%20DE%20INSPECCION%20Y%20VIGILANCIA/DIV%20POAIV/POAIV%202025/ELIV%20KENNEDY/PRIORIZADOS/TRIM%20II/ACTA%20DE%20VISITA%20COLEGIO%20MI%20PATRIA.pdf?csf=1&amp;web=1&amp;e=0fTK6k" TargetMode="External"/><Relationship Id="rId1066"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73" Type="http://schemas.openxmlformats.org/officeDocument/2006/relationships/hyperlink" Target="../../../../../../../:b:/g/personal/comunicacionesdiveliv_educacionbogota_gov_co/EYC-_IGI59ZJkaQGDNJiRVQB-RjSIIB-kuO2MF7Oc1cNuA?e=ewGYim" TargetMode="External"/><Relationship Id="rId1480"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850"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948"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33" Type="http://schemas.openxmlformats.org/officeDocument/2006/relationships/hyperlink" Target="https://educacionbogota-my.sharepoint.com/:b:/g/personal/comunicacionesdiveliv_educacionbogota_gov_co/EYO98_Q415ZLn_AiLoFPYfQBxqtJLIEyHvpDcf-ccGBqfQ?e=GmEuys" TargetMode="External"/><Relationship Id="rId1578"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785" Type="http://schemas.openxmlformats.org/officeDocument/2006/relationships/hyperlink" Target="../../../../../../../:b:/g/personal/comunicacionesdiveliv_educacionbogota_gov_co/ERb5Dd2rYhxAgR8qkc_tfB0Bi1uAcePgZyCOMAQKOTkK4w?e=2Ldr08" TargetMode="External"/><Relationship Id="rId1992"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V%2FINSTITUTO%20BILING%C3%9CE%20DEL%20SUR%2FActa%20Visita%20Bilingue%20del%20Sur%2003102025%2Epdf&amp;parent=%2Fpersonal%2Fcomunicacionesdiveliv%5Feducacionbogota%5Fgov%5Fco%2FDocuments%2FDIRECCION%20DE%20INSPECCION%20Y%20VIGILANCIA%2FDIV%20POAIV%2FPOAIV%202025%2FELIV%20TUNJUELITO%2FPRIORIZADOS%2FTRIM%20IV%2FINSTITUTO%20BILING%C3%9CE%20DEL%20SUR&amp;ct=1769196861454&amp;or=OWA%2DNT%2DMail&amp;cid=0dca69bf%2D648c%2Db929%2D26d7%2D476b4088d1a9&amp;ga=1" TargetMode="External"/><Relationship Id="rId77"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503"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710" Type="http://schemas.openxmlformats.org/officeDocument/2006/relationships/hyperlink" Target="../../../../../../../:b:/r/personal/comunicacionesdiveliv_educacionbogota_gov_co/Documents/DIRECCION%20DE%20INSPECCION%20Y%20VIGILANCIA/DIV%20POAIV/POAIV%202025/ELIV%20PUENTE%20ARANDA/PRIORIZADOS/TRIM%20I/ACTA%20DE%20VISITA%20ADMINISTRATIVA%20COLEGIO%20PARROQUIAL%20DE%20LA%20DOTRINA%20CRISTIANA.pdf?csf=1&amp;web=1&amp;e=QrSX3U" TargetMode="External"/><Relationship Id="rId808"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340" Type="http://schemas.openxmlformats.org/officeDocument/2006/relationships/hyperlink" Target="../../../../../../../:b:/g/personal/comunicacionesdiveliv_educacionbogota_gov_co/EecCk4zFb4xPtleMLk22xdYBqn9dGakDd5QQ53y47hOrbg?e=DOsDlF" TargetMode="External"/><Relationship Id="rId1438" Type="http://schemas.openxmlformats.org/officeDocument/2006/relationships/hyperlink" Target="../../../../../../../:b:/r/personal/comunicacionesdiveliv_educacionbogota_gov_co/Documents/DIRECCION%20DE%20INSPECCION%20Y%20VIGILANCIA/DIV%20POAIV/POAIV%202025/ELIV%20KENNEDY/PRIORIZADOS/TRIM%20III/INSTITUTO%20TENERIFE.pdf?csf=1&amp;web=1&amp;e=WKoXv9" TargetMode="External"/><Relationship Id="rId1645" Type="http://schemas.openxmlformats.org/officeDocument/2006/relationships/hyperlink" Target="../../../../../../../:b:/r/personal/comunicacionesdiveliv_educacionbogota_gov_co/Documents/DIRECCION%20DE%20INSPECCION%20Y%20VIGILANCIA/DIV%20POAIV/POAIV%202025/ELIV%20SUBA/PRIORIZADOS/TRIM%20II/ACTA%20DE%20VISITA%20COLEGIO%20VAN%20LEEUWENHOEK.pdf?csf=1&amp;web=1&amp;e=FJuiAI" TargetMode="External"/><Relationship Id="rId1200" Type="http://schemas.openxmlformats.org/officeDocument/2006/relationships/hyperlink" Target="../../../../../../../:f:/g/personal/comunicacionesdiveliv_educacionbogota_gov_co/EhaPlKZXOxZPnJSkDFS7Xi8BkvkQYs8UygTz5NDbEt5vMw?e=beSMIQ" TargetMode="External"/><Relationship Id="rId1852" Type="http://schemas.openxmlformats.org/officeDocument/2006/relationships/hyperlink" Target="../../../../../../../:b:/r/personal/comunicacionesdiveliv_educacionbogota_gov_co/Documents/DIRECCION%20DE%20INSPECCION%20Y%20VIGILANCIA/DIV%20POAIV/POAIV%202025/ELIV%20TUNJUELITO/PRIORIZADOS/TRIM%20II/COL.%20NTRA%20SE%C3%91ORA%20DE%20LAS%20VICTORIAS/Visitita%20Col.%20Ntra%20Se%C3%B1ora%20de%20las%20Victorias.pdf?csf=1&amp;web=1&amp;e=vrlN9v" TargetMode="External"/><Relationship Id="rId1505" Type="http://schemas.openxmlformats.org/officeDocument/2006/relationships/hyperlink" Target="https://educacionbogota-my.sharepoint.com/:b:/g/personal/comunicacionesdiveliv_educacionbogota_gov_co/ESsP8wJeyYtPh5X3K_DhLIcBBAfMYEZmgsiJaW8hxq-q1w?e=Gjjcse" TargetMode="External"/><Relationship Id="rId1712" Type="http://schemas.openxmlformats.org/officeDocument/2006/relationships/hyperlink" Target="../../../../../../../:b:/r/personal/comunicacionesdiveliv_educacionbogota_gov_co/Documents/DIRECCION%20DE%20INSPECCION%20Y%20VIGILANCIA/DIV%20POAIV/POAIV%202025/ELIV%20SUBA/PRIORIZADOS/TRIM%20III/ACTA%20DE%20VISITA%20INST%20INTEGRADO%20DE%20SUBA.pdf?csf=1&amp;web=1&amp;e=OznwHT" TargetMode="External"/><Relationship Id="rId293"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153" Type="http://schemas.openxmlformats.org/officeDocument/2006/relationships/hyperlink" Target="https://shre.ink/eCE6" TargetMode="External"/><Relationship Id="rId360"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598"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2041" Type="http://schemas.openxmlformats.org/officeDocument/2006/relationships/hyperlink" Target="../../../../../../../:b:/g/personal/comunicacionesdiveliv_educacionbogota_gov_co/IQCfu4lxOg5QS5ZA-eZFmsW_Ae4Lztd5ucxjKNX5wj6n1_I?e=fWSy0V" TargetMode="External"/><Relationship Id="rId220" Type="http://schemas.openxmlformats.org/officeDocument/2006/relationships/hyperlink" Target="https://shre.ink/eKLw" TargetMode="External"/><Relationship Id="rId458"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65" Type="http://schemas.openxmlformats.org/officeDocument/2006/relationships/hyperlink" Target="../../../../../../../:b:/r/personal/comunicacionesdiveliv_educacionbogota_gov_co/Documents/DIRECCION%20DE%20INSPECCION%20Y%20VIGILANCIA/DIV%20POAIV/POAIV%202025/ELIV%20KENNEDY/PRIORIZADOS/TRIM%20II/ACTA%20DE%20VISITA%20COLEGIO%20SAGRADO%20CORAZON.pdf?csf=1&amp;web=1&amp;e=VDW5fC" TargetMode="External"/><Relationship Id="rId872"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088"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295"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318" Type="http://schemas.openxmlformats.org/officeDocument/2006/relationships/hyperlink" Target="../../../../../../../:b:/r/personal/comunicacionesdiveliv_educacionbogota_gov_co/Documents/DIRECCION%20DE%20INSPECCION%20Y%20VIGILANCIA/DIV%20POAIV/POAIV%202025/ELIV%20CIUDAD%20BOL%C3%8DVAR/PRIORIZADOS/TRIM%20II/20250407_Visita%20administrativa%20Colegio%20Nuevo%20Milenio.pdf?csf=1&amp;web=1&amp;e=8cJ69x" TargetMode="External"/><Relationship Id="rId525"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732"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1155" Type="http://schemas.openxmlformats.org/officeDocument/2006/relationships/hyperlink" Target="https://educacionbogota-my.sharepoint.com/:b:/g/personal/comunicacionesdiveliv_educacionbogota_gov_co/EXKnREsSVEtGqHjKbn9fduwBlny6BCei4ltKgDnU8dyyyg?e=koY4f8" TargetMode="External"/><Relationship Id="rId1362"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99"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1015"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222" Type="http://schemas.openxmlformats.org/officeDocument/2006/relationships/hyperlink" Target="../../../../../../../:b:/g/personal/comunicacionesdiveliv_educacionbogota_gov_co/EVq-ADkpISBAv6vIxGTHjGkBTNkhNixPD_4fn0wl9zbg9A?e=Gf9xda" TargetMode="External"/><Relationship Id="rId1667"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4"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527" Type="http://schemas.openxmlformats.org/officeDocument/2006/relationships/hyperlink" Target="https://educacionbogota-my.sharepoint.com/:b:/g/personal/comunicacionesdiveliv_educacionbogota_gov_co/EZE-vVmDPAlOqGAOAoGBk08BsTm1Mc3wlXA1_-cQkdO9Wg?e=qgUvMm" TargetMode="External"/><Relationship Id="rId1734"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41" Type="http://schemas.openxmlformats.org/officeDocument/2006/relationships/hyperlink" Target="https://educacionbogota-my.sharepoint.com/:b:/g/personal/comunicacionesdiveliv_educacionbogota_gov_co/EeLUCCSAtYtAiwcZa0YcDJ0BNk8pTyUoq2DI7ZYBJeUegw?e=W5d7gy" TargetMode="External"/><Relationship Id="rId26"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75" Type="http://schemas.openxmlformats.org/officeDocument/2006/relationships/hyperlink" Target="https://shre.ink/evjR" TargetMode="External"/><Relationship Id="rId1801" Type="http://schemas.openxmlformats.org/officeDocument/2006/relationships/hyperlink" Target="../../../../../../../:b:/g/personal/comunicacionesdiveliv_educacionbogota_gov_co/Ef7_QnClfQhImGpKaz8qy2EBLZOz8tOaQud_TfNMqzdZzg?e=PdJsHA" TargetMode="External"/><Relationship Id="rId382"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687"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242" Type="http://schemas.openxmlformats.org/officeDocument/2006/relationships/hyperlink" Target="https://shre.ink/e52M" TargetMode="External"/><Relationship Id="rId894"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1177" Type="http://schemas.openxmlformats.org/officeDocument/2006/relationships/hyperlink" Target="../../../../../../../:b:/r/personal/comunicacionesdiveliv_educacionbogota_gov_co/Documents/DIRECCION%20DE%20INSPECCION%20Y%20VIGILANCIA/DIV%20POAIV/POAIV%202025/ELIV%20ANTONIO%20NARI%C3%91O/PRIORIZADOS/TRIM%20II/14.%20Acta%20de%20visita%20Integral%20-%20COLEGIO%20ENSDM%20Montessori%20IED.pdf?csf=1&amp;web=1&amp;e=RczWEm" TargetMode="External"/><Relationship Id="rId102"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547"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754"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61"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384"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591"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5%20y%2011%20agosto%20Lic%20Parroq%20San%20Jose.pdf?csf=1&amp;web=1&amp;e=vgeEfl" TargetMode="External"/><Relationship Id="rId1689"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90"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407"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614" Type="http://schemas.openxmlformats.org/officeDocument/2006/relationships/hyperlink" Target="../../../../../../../:b:/r/personal/comunicacionesdiveliv_educacionbogota_gov_co/Documents/DIRECCION%20DE%20INSPECCION%20Y%20VIGILANCIA/DIV%20POAIV/POAIV%202025/ELIV%20KENNEDY/PRIORIZADOS/TRIM%20II/ACTA%20DE%20VISITA%20CIUDAD%20DE%20PATIO%20BONITO.pdf?csf=1&amp;web=1&amp;e=OsFFGq" TargetMode="External"/><Relationship Id="rId821" Type="http://schemas.openxmlformats.org/officeDocument/2006/relationships/hyperlink" Target="../../../../../../../:b:/r/personal/comunicacionesdiveliv_educacionbogota_gov_co/Documents/DIRECCION%20DE%20INSPECCION%20Y%20VIGILANCIA/DIV%20POAIV/POAIV%202025/SAN%20CRIST%C3%93BAL/PRIORIZADOS/TRIM%20I/ACTA%20VISITA%20ADMINISTRATIVA%20COLEGIO%20INTEGRAL%20AVANCEMOS.pdf?csf=1&amp;web=1&amp;e=DbivjX" TargetMode="External"/><Relationship Id="rId1037" Type="http://schemas.openxmlformats.org/officeDocument/2006/relationships/hyperlink" Target="../../../../../../../:b:/r/personal/comunicacionesdiveliv_educacionbogota_gov_co/Documents/DIRECCION%20DE%20INSPECCION%20Y%20VIGILANCIA/DIV%20POAIV/POAIV%202025/ELIV%20FONTIB%C3%93N/PRIORIZADOS/TRIM%20III/UNIDAD%20EDUCATIVA%20BAHIA%20SOLANO/FORMATO%20UNIDAD%20EDUCATIVA%20BAHIA%20SOLANO.pdf?csf=1&amp;web=1&amp;e=tWRSAh" TargetMode="External"/><Relationship Id="rId1244" Type="http://schemas.openxmlformats.org/officeDocument/2006/relationships/hyperlink" Target="../../../../../../../:b:/g/personal/comunicacionesdiveliv_educacionbogota_gov_co/ERVcYNQPojxEn7bveI3Gp84B89VykYD-xj-f_Jbn0e4nLA?e=tB6t24" TargetMode="External"/><Relationship Id="rId1451" Type="http://schemas.openxmlformats.org/officeDocument/2006/relationships/hyperlink" Target="../../../../../../../:b:/r/personal/comunicacionesdiveliv_educacionbogota_gov_co/Documents/DIRECCION%20DE%20INSPECCION%20Y%20VIGILANCIA/DIV%20POAIV/POAIV%202025/ELIV%20KENNEDY/PRIORIZADOS/TRIM%20III/LICEO%20PI%C3%91EROS%20CORTES.pdf?csf=1&amp;web=1&amp;e=nEPDqa" TargetMode="External"/><Relationship Id="rId1896" Type="http://schemas.openxmlformats.org/officeDocument/2006/relationships/hyperlink" Target="../../../../../../../:b:/r/personal/comunicacionesdiveliv_educacionbogota_gov_co/Documents/DIRECCION%20DE%20INSPECCION%20Y%20VIGILANCIA/DIV%20POAIV/POAIV%202025/ELIV%20TUNJUELITO/PRIORIZADOS/TRIM%20II/COLEGIO%20INEM%20SANTIAGO%20PEREZ%20IED/CamScanner%2010-06-2025%2007.50.pdf?csf=1&amp;web=1&amp;e=jliEYG" TargetMode="External"/><Relationship Id="rId919"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104"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11" Type="http://schemas.openxmlformats.org/officeDocument/2006/relationships/hyperlink" Target="../../../../../../../:b:/g/personal/comunicacionesdiveliv_educacionbogota_gov_co/EX50lx968y9GrquDjOwdiocBRlOHdbt1HVUni9Xd0AOfyQ?e=eNDjsk" TargetMode="External"/><Relationship Id="rId1549" Type="http://schemas.openxmlformats.org/officeDocument/2006/relationships/hyperlink" Target="https://educacionbogota-my.sharepoint.com/:b:/g/personal/comunicacionesdiveliv_educacionbogota_gov_co/EQ2DMzh0MnpKoCJRssnZC5MBVnmpWf5qGDTie_W3LZIycw?e=XoXAOg" TargetMode="External"/><Relationship Id="rId1756" Type="http://schemas.openxmlformats.org/officeDocument/2006/relationships/hyperlink" Target="../../../../../../../:b:/g/personal/comunicacionesdiveliv_educacionbogota_gov_co/EYXGYZZLrKtDsZmoXUoWpP8BKmEOE7yadec7nep9AvAofw?e=xBs3yL" TargetMode="External"/><Relationship Id="rId1963" Type="http://schemas.openxmlformats.org/officeDocument/2006/relationships/hyperlink" Target="https://educacionbogota-my.sharepoint.com/:b:/g/personal/comunicacionesdiveliv_educacionbogota_gov_co/ET2QxUqFxKtJkaDKcikNMnwB-Lrfw9_zcHJHhmJDmOegWg?e=bS3r0p" TargetMode="External"/><Relationship Id="rId48"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409"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616" Type="http://schemas.openxmlformats.org/officeDocument/2006/relationships/hyperlink" Target="../../../../../../../:b:/g/personal/comunicacionesdiveliv_educacionbogota_gov_co/EbuTU9tbcTxFs94RYLyR-3QBmd9zlhyBKgtY73RkkG3uEw?e=nZXF7Y" TargetMode="External"/><Relationship Id="rId1823"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7" Type="http://schemas.openxmlformats.org/officeDocument/2006/relationships/hyperlink" Target="https://shre.ink/evCM" TargetMode="External"/><Relationship Id="rId264" Type="http://schemas.openxmlformats.org/officeDocument/2006/relationships/hyperlink" Target="../../../../../../../:b:/r/personal/comunicacionesdiveliv_educacionbogota_gov_co/Documents/DIRECCION%20DE%20INSPECCION%20Y%20VIGILANCIA/DIV%20POAIV/POAIV%202025/ELIV%20CHAPINERO/PRIORIZADOS/TRIM%20II/UNILATINA/acta%20visita%20Colegio%20Unilatina.pdf?csf=1&amp;web=1&amp;e=XU2S26" TargetMode="External"/><Relationship Id="rId471"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124" Type="http://schemas.openxmlformats.org/officeDocument/2006/relationships/hyperlink" Target="https://shre.ink/Mn5W" TargetMode="External"/><Relationship Id="rId569" Type="http://schemas.openxmlformats.org/officeDocument/2006/relationships/hyperlink" Target="../../../../../../../:b:/r/personal/comunicacionesdiveliv_educacionbogota_gov_co/Documents/DIRECCION%20DE%20INSPECCION%20Y%20VIGILANCIA/DIV%20POAIV/POAIV%202025/ELIV%20ANTONIO%20NARI%C3%91O/PRIORIZADOS/TRIM%20II/14.%20Acta%20de%20visita%20Integral%20-%20COLEGIO%20ENSDM%20Montessori%20IED.pdf?csf=1&amp;web=1&amp;e=RczWEm" TargetMode="External"/><Relationship Id="rId776" Type="http://schemas.openxmlformats.org/officeDocument/2006/relationships/hyperlink" Target="../../../../../../../:b:/r/personal/comunicacionesdiveliv_educacionbogota_gov_co/Documents/DIRECCION%20DE%20INSPECCION%20Y%20VIGILANCIA/DIV%20POAIV/POAIV%202025/SAN%20CRIST%C3%93BAL/PRIORIZADOS/TRIM%20II/0403%20Acta%20visita%20administrativa%20Fundesco%20ETDH.pdf?csf=1&amp;web=1&amp;e=Pa12B7" TargetMode="External"/><Relationship Id="rId983"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199" Type="http://schemas.openxmlformats.org/officeDocument/2006/relationships/hyperlink" Target="../../../../../../../:f:/g/personal/comunicacionesdiveliv_educacionbogota_gov_co/EhaPlKZXOxZPnJSkDFS7Xi8BkvkQYs8UygTz5NDbEt5vMw?e=beSMIQ" TargetMode="External"/><Relationship Id="rId331"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429"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6" Type="http://schemas.openxmlformats.org/officeDocument/2006/relationships/hyperlink" Target="../../../../../../../:b:/r/personal/comunicacionesdiveliv_educacionbogota_gov_co/Documents/DIRECCION%20DE%20INSPECCION%20Y%20VIGILANCIA/DIV%20POAIV/POAIV%202025/ELIV%20KENNEDY/PRIORIZADOS/TRIM%20II/ACTA%20VISITA%20COLEGIO%20MANDALAY.pdf?csf=1&amp;web=1&amp;e=Fig97B" TargetMode="External"/><Relationship Id="rId1059"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6"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1473"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2012" Type="http://schemas.openxmlformats.org/officeDocument/2006/relationships/hyperlink" Target="https://educacionbogota-my.sharepoint.com/:b:/g/personal/comunicacionesdiveliv_educacionbogota_gov_co/IQBFwzwbOLe_SYEbTDkbJvshAXeM7hfHg6Yc5-ZsiRz7kbQ?e=joWfMb" TargetMode="External"/><Relationship Id="rId843"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126" Type="http://schemas.openxmlformats.org/officeDocument/2006/relationships/hyperlink" Target="https://educacionbogota-my.sharepoint.com/:b:/g/personal/comunicacionesdiveliv_educacionbogota_gov_co/EeK6oyECBGFCld1489Pv2ScBWXREa1mjizxx2knejVCfcA?e=5Pnbm5" TargetMode="External"/><Relationship Id="rId1680"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778" Type="http://schemas.openxmlformats.org/officeDocument/2006/relationships/hyperlink" Target="../../../../../../../:b:/g/personal/comunicacionesdiveliv_educacionbogota_gov_co/EW7PR1mGHbdOnApLj5Nvs8QBGJOXtBzseSKa8TVdtQ_8fg?e=oJhOWc" TargetMode="External"/><Relationship Id="rId1985"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INSTITUTO%20BRITANICO%2FInstituto%20Britanico%2009072025%5F250714%5F14304914072025%2Epdf&amp;parent=%2Fpersonal%2Fcomunicacionesdiveliv%5Feducacionbogota%5Fgov%5Fco%2FDocuments%2FDIRECCION%20DE%20INSPECCION%20Y%20VIGILANCIA%2FDIV%20POAIV%2FPOAIV%202025%2FELIV%20TUNJUELITO%2FPRIORIZADOS%2FTRIM%20III%2FINSTITUTO%20BRITANICO&amp;ct=1769196665879&amp;or=OWA%2DNT%2DMail&amp;cid=cdde9d1f%2Daad5%2D3fef%2De526%2D3e78e8610e72&amp;ga=1" TargetMode="External"/><Relationship Id="rId703" Type="http://schemas.openxmlformats.org/officeDocument/2006/relationships/hyperlink" Target="../../../../../../../:b:/r/personal/comunicacionesdiveliv_educacionbogota_gov_co/Documents/DIRECCION%20DE%20INSPECCION%20Y%20VIGILANCIA/DIV%20POAIV/POAIV%202025/ELIV%20KENNEDY/PRIORIZADOS/TRIM%20III/INSTITUTO%20LEONARD%20EULER.pdf?csf=1&amp;web=1&amp;e=NqZgS7" TargetMode="External"/><Relationship Id="rId910" Type="http://schemas.openxmlformats.org/officeDocument/2006/relationships/hyperlink" Target="../../../../../../../:b:/r/personal/comunicacionesdiveliv_educacionbogota_gov_co/Documents/DIRECCION%20DE%20INSPECCION%20Y%20VIGILANCIA/DIV%20POAIV/POAIV%202025/ELIV%20SAN%20CRIST%C3%93BAL/PRIORIZADOS/TRIM%20II/0403%20Acta%20de%20Visita%20Autodominio%20final.pdf?csf=1&amp;web=1&amp;e=T4LQsq" TargetMode="External"/><Relationship Id="rId1333" Type="http://schemas.openxmlformats.org/officeDocument/2006/relationships/hyperlink" Target="../../../../../../../:b:/g/personal/comunicacionesdiveliv_educacionbogota_gov_co/EdQmwaJvIkxIv3b266GboOsBMPIFcKVxKAAN4AY7P8na_g?e=2Wzrl6" TargetMode="External"/><Relationship Id="rId1540" Type="http://schemas.openxmlformats.org/officeDocument/2006/relationships/hyperlink" Target="https://educacionbogota-my.sharepoint.com/:f:/g/personal/comunicacionesdiveliv_educacionbogota_gov_co/EmLFXES6l_FDpeps_63sluwBfH73s4gpclzGji4f8Xd1cQ?e=WhWmcG" TargetMode="External"/><Relationship Id="rId1638" Type="http://schemas.openxmlformats.org/officeDocument/2006/relationships/hyperlink" Target="../../../../../../../:b:/r/personal/comunicacionesdiveliv_educacionbogota_gov_co/Documents/DIRECCION%20DE%20INSPECCION%20Y%20VIGILANCIA/DIV%20POAIV/POAIV%202025/ELIV%20SUBA/PRIORIZADOS/TRIM%20II/23042025%20acta%20visita%20Gimnasio%20Franciscano%20de%20Suba.pdf?csf=1&amp;web=1&amp;e=DZnptm" TargetMode="External"/><Relationship Id="rId1400"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1845" Type="http://schemas.openxmlformats.org/officeDocument/2006/relationships/hyperlink" Target="../../../../../../../:b:/r/personal/comunicacionesdiveliv_educacionbogota_gov_co/Documents/DIRECCION%20DE%20INSPECCION%20Y%20VIGILANCIA/DIV%20POAIV/POAIV%202025/ELIV%20TEUSAQUILLO/PRIORIZADOS/TRIM%20II/05212025Visita_confinesde%20mejormaiento_DIGITALLAB..pdf?csf=1&amp;web=1&amp;e=bVgXsy" TargetMode="External"/><Relationship Id="rId1705"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12"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86"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493"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146" Type="http://schemas.openxmlformats.org/officeDocument/2006/relationships/hyperlink" Target="https://shre.ink/Mnjr" TargetMode="External"/><Relationship Id="rId353"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60" Type="http://schemas.openxmlformats.org/officeDocument/2006/relationships/hyperlink" Target="../../../../../../../:b:/r/personal/comunicacionesdiveliv_educacionbogota_gov_co/Documents/DIRECCION%20DE%20INSPECCION%20Y%20VIGILANCIA/DIV%20POAIV/POAIV%202025/ELIV%20ANTONIO%20NARI%C3%91O/PRIORIZADOS/TRIM%20II/12.%20Acta%20Centro%20Educativo%20CE%20Ntra%20Sra%20de%20la%20Paz.pdf?csf=1&amp;web=1&amp;e=jfyGbn" TargetMode="External"/><Relationship Id="rId798" Type="http://schemas.openxmlformats.org/officeDocument/2006/relationships/hyperlink" Target="../../../../../../../:b:/r/personal/comunicacionesdiveliv_educacionbogota_gov_co/Documents/DIRECCION%20DE%20INSPECCION%20Y%20VIGILANCIA/DIV%20POAIV/POAIV%202025/ELIV%20SAN%20CRIST%C3%93BAL/PRIORIZADOS/TRIM%20II/6-06%20VISITAS%20CON%20FINES%20DE%20MEJORAMIENTO%20COL.%20PRINCIPE%20DE%20PAZ.pdf?csf=1&amp;web=1&amp;e=5xWrnx" TargetMode="External"/><Relationship Id="rId1190" Type="http://schemas.openxmlformats.org/officeDocument/2006/relationships/hyperlink" Target="../../../../../../../:b:/g/personal/comunicacionesdiveliv_educacionbogota_gov_co/EbQ4xhq8GOtKr8OA9kLz8AoB2yKxssBGnabUr_qO3O5K2Q?e=BAwrtJ" TargetMode="External"/><Relationship Id="rId2034" Type="http://schemas.openxmlformats.org/officeDocument/2006/relationships/hyperlink" Target="../../../../../../../:b:/g/personal/comunicacionesdiveliv_educacionbogota_gov_co/IQCfu4lxOg5QS5ZA-eZFmsW_Ae4Lztd5ucxjKNX5wj6n1_I?e=fWSy0V" TargetMode="External"/><Relationship Id="rId213" Type="http://schemas.openxmlformats.org/officeDocument/2006/relationships/hyperlink" Target="https://shre.ink/eK5b" TargetMode="External"/><Relationship Id="rId420"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58"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865"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050"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88"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495" Type="http://schemas.openxmlformats.org/officeDocument/2006/relationships/hyperlink" Target="../../../../../../../:b:/r/personal/comunicacionesdiveliv_educacionbogota_gov_co/Documents/DIRECCION%20DE%20INSPECCION%20Y%20VIGILANCIA/DIV%20POAIV/POAIV%202025/ELIV%20LOS%20M%C3%81RTIRES/PRIORIZADOS/TRIM%20III/20250805%20Formato_Visita%20COL_Panamericano_IED.pdf?csf=1&amp;web=1&amp;e=h2jbK5" TargetMode="External"/><Relationship Id="rId518"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725" Type="http://schemas.openxmlformats.org/officeDocument/2006/relationships/hyperlink" Target="../../../../../../../:b:/r/personal/comunicacionesdiveliv_educacionbogota_gov_co/Documents/DIRECCION%20DE%20INSPECCION%20Y%20VIGILANCIA/DIV%20POAIV/POAIV%202025/ELIV%20PUENTE%20ARANDA/PRIORIZADOS/TRIM%20II/20250409%20visita%20Colegio%20Emilio%20Brigard/25%2004%2009%20acta%20visita%20Emilio%20Brigard.pdf?csf=1&amp;web=1&amp;e=pjprRc" TargetMode="External"/><Relationship Id="rId932"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148" Type="http://schemas.openxmlformats.org/officeDocument/2006/relationships/hyperlink" Target="https://educacionbogota-my.sharepoint.com/:b:/g/personal/comunicacionesdiveliv_educacionbogota_gov_co/Eb-UniLmS69Hl4UD82s7xUwBCuh_o4-APb2BjCOXcEtG7Q?e=4AOR0A" TargetMode="External"/><Relationship Id="rId1355"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562" Type="http://schemas.openxmlformats.org/officeDocument/2006/relationships/hyperlink" Target="https://educacionbogota-my.sharepoint.com/:b:/g/personal/comunicacionesdiveliv_educacionbogota_gov_co/EWvvyghjp8BIqEdMZzfGJH0BwJEThgP4UrK0L_sGRmNhzA?e=m2OaTp" TargetMode="External"/><Relationship Id="rId1008"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215" Type="http://schemas.openxmlformats.org/officeDocument/2006/relationships/hyperlink" Target="../../../../../../../:b:/g/personal/comunicacionesdiveliv_educacionbogota_gov_co/Ed7YHKLS-yJIseYK8QcWBegBJZQ3Z4w3kQPANktP0Hq_kw?e=0AEuSm" TargetMode="External"/><Relationship Id="rId1422"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867" Type="http://schemas.openxmlformats.org/officeDocument/2006/relationships/hyperlink" Target="../../../../../../../:f:/r/personal/comunicacionesdiveliv_educacionbogota_gov_co/Documents/DIRECCION%20DE%20INSPECCION%20Y%20VIGILANCIA/DIV%20POAIV/POAIV%202025/ELIV%20TUNJUELITO/PRIORIZADOS/TRIM%20I/ACADEMIA%20LATINOAMERICANA%20DE%20BELLEZA?csf=1&amp;web=1&amp;e=kYVPPu" TargetMode="External"/><Relationship Id="rId61"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727"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4" Type="http://schemas.openxmlformats.org/officeDocument/2006/relationships/hyperlink" Target="https://educacionbogota-my.sharepoint.com/:b:/g/personal/comunicacionesdiveliv_educacionbogota_gov_co/EX53YwG28gtEtW6nefbDovMBnq7016BBK-h1o87zvHkLOg?e=FHRQVb" TargetMode="External"/><Relationship Id="rId19"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68" Type="http://schemas.openxmlformats.org/officeDocument/2006/relationships/hyperlink" Target="https://shre.ink/evAg" TargetMode="External"/><Relationship Id="rId375"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2" Type="http://schemas.openxmlformats.org/officeDocument/2006/relationships/hyperlink" Target="../../../../../../../:b:/r/personal/comunicacionesdiveliv_educacionbogota_gov_co/Documents/DIRECCION%20DE%20INSPECCION%20Y%20VIGILANCIA/DIV%20POAIV/POAIV%202025/ELIV%20KENNEDY/PRIORIZADOS/TRIM%20I/ACTA%20VISITA%20COLEGIO_ATENIENSE.pdf?csf=1&amp;web=1&amp;e=N8Ck5b" TargetMode="External"/><Relationship Id="rId3"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5" Type="http://schemas.openxmlformats.org/officeDocument/2006/relationships/hyperlink" Target="https://acortar.link/WDQjzH" TargetMode="External"/><Relationship Id="rId442"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887"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72"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302" Type="http://schemas.openxmlformats.org/officeDocument/2006/relationships/hyperlink" Target="../../../../../../../:f:/r/personal/comunicacionesdiveliv_educacionbogota_gov_co/Documents/DIRECCION%20DE%20INSPECCION%20Y%20VIGILANCIA/DIV%20POAIV/POAIV%202025/ELIV%20CHAPINERO/PRIORIZADOS/TRIM%20II/COLEGIO%20SAN%20MARTIN%20DE%20PORRES%20(IED)?csf=1&amp;web=1&amp;e=pAQbKH" TargetMode="External"/><Relationship Id="rId747" Type="http://schemas.openxmlformats.org/officeDocument/2006/relationships/hyperlink" Target="../../../../../../../:b:/r/personal/comunicacionesdiveliv_educacionbogota_gov_co/Documents/DIRECCION%20DE%20INSPECCION%20Y%20VIGILANCIA/DIV%20POAIV/POAIV%202025/ELIV%20PUENTE%20ARANDA/PRIORIZADOS/TRIM%20II/20250409%20visita%20Colegio%20Emilio%20Brigard/25%2004%2009%20acta%20visita%20Emilio%20Brigard.pdf?csf=1&amp;web=1&amp;e=pjprRc" TargetMode="External"/><Relationship Id="rId954"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377" Type="http://schemas.openxmlformats.org/officeDocument/2006/relationships/hyperlink" Target="https://educacionbogota-my.sharepoint.com/:b:/g/personal/comunicacionesdiveliv_educacionbogota_gov_co/EaU6Gqyt-8VAl23h3KDLXNMBWVdXnUr02-BF8oG4ffVPaA?e=XkExgg" TargetMode="External"/><Relationship Id="rId1584"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1791" Type="http://schemas.openxmlformats.org/officeDocument/2006/relationships/hyperlink" Target="../../../../../../../:b:/g/personal/comunicacionesdiveliv_educacionbogota_gov_co/EVkMcSlOP0pIsRabjefZYvwBk3QQywObb5P4sj2ZQDCjEg?e=SIzul9" TargetMode="External"/><Relationship Id="rId83"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607"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4"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237" Type="http://schemas.openxmlformats.org/officeDocument/2006/relationships/hyperlink" Target="../../../../../../../:b:/g/personal/comunicacionesdiveliv_educacionbogota_gov_co/ERVcYNQPojxEn7bveI3Gp84B89VykYD-xj-f_Jbn0e4nLA?e=tB6t24" TargetMode="External"/><Relationship Id="rId1444" Type="http://schemas.openxmlformats.org/officeDocument/2006/relationships/hyperlink" Target="../../../../../../../:b:/r/personal/comunicacionesdiveliv_educacionbogota_gov_co/Documents/DIRECCION%20DE%20INSPECCION%20Y%20VIGILANCIA/DIV%20POAIV/POAIV%202025/ELIV%20KENNEDY/PRIORIZADOS/TRIM%20III/LICEO%20LUTHER%20KING.pdf?csf=1&amp;web=1&amp;e=N2lWdl" TargetMode="External"/><Relationship Id="rId1651"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89"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1304" Type="http://schemas.openxmlformats.org/officeDocument/2006/relationships/hyperlink" Target="../../../../../../../:b:/g/personal/comunicacionesdiveliv_educacionbogota_gov_co/EXguH2JtjgZKvmo2nrFnZmABm7iDNKSoKdbLDBu4sw4CSw?e=hZEzKK" TargetMode="External"/><Relationship Id="rId1511" Type="http://schemas.openxmlformats.org/officeDocument/2006/relationships/hyperlink" Target="https://educacionbogota-my.sharepoint.com/:b:/g/personal/comunicacionesdiveliv_educacionbogota_gov_co/Ebz1I6zHlgZBnXEMIDjbaVsBudWt52T4pCeXpkeYcZQOmw?e=HLODCO" TargetMode="External"/><Relationship Id="rId1749" Type="http://schemas.openxmlformats.org/officeDocument/2006/relationships/hyperlink" Target="../../../../../../../:b:/g/personal/comunicacionesdiveliv_educacionbogota_gov_co/EZq-uUd2kLhDrGHGM0F9dTsB_ciJcYDCCMPa1eHkrqJPOw?e=nqxASJ" TargetMode="External"/><Relationship Id="rId1956" Type="http://schemas.openxmlformats.org/officeDocument/2006/relationships/hyperlink" Target="https://educacionbogota-my.sharepoint.com/:b:/g/personal/comunicacionesdiveliv_educacionbogota_gov_co/EYiEZ0FBYepJvQBKX7SE93gBmteXUc1gGvoGbuAXs5s-VA?e=Ou7NPA" TargetMode="External"/><Relationship Id="rId1609" Type="http://schemas.openxmlformats.org/officeDocument/2006/relationships/hyperlink" Target="../../../../../../../:b:/g/personal/comunicacionesdiveliv_educacionbogota_gov_co/EbuTU9tbcTxFs94RYLyR-3QBmd9zlhyBKgtY73RkkG3uEw?e=nZXF7Y" TargetMode="External"/><Relationship Id="rId1816"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0"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397"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257" Type="http://schemas.openxmlformats.org/officeDocument/2006/relationships/hyperlink" Target="../../../../../../../:b:/r/personal/comunicacionesdiveliv_educacionbogota_gov_co/Documents/DIRECCION%20DE%20INSPECCION%20Y%20VIGILANCIA/DIV%20POAIV/POAIV%202025/ELIV%20CHAPINERO/PRIORIZADOS/TRIM%20II/POLITECNICO%20UNIVERSAL%20UNICAP/V.5%20%20FORMATO%20VISITAS%20CON%20FINES%20DE%20MEJORAMIENTO%20%20POLITECNICO%20UNICAP.pdf?csf=1&amp;web=1&amp;e=99BQkx" TargetMode="External"/><Relationship Id="rId464"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1094"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17" Type="http://schemas.openxmlformats.org/officeDocument/2006/relationships/hyperlink" Target="https://acortar.link/yAlpUW" TargetMode="External"/><Relationship Id="rId671" Type="http://schemas.openxmlformats.org/officeDocument/2006/relationships/hyperlink" Target="../../../../../../../:b:/r/personal/comunicacionesdiveliv_educacionbogota_gov_co/Documents/DIRECCION%20DE%20INSPECCION%20Y%20VIGILANCIA/DIV%20POAIV/POAIV%202025/ELIV%20KENNEDY/PRIORIZADOS/TRIM%20II/ACTA%20DE%20VISITA_COLEGIO%20SAN%20ANGEL.pdf?csf=1&amp;web=1&amp;e=moyaWZ" TargetMode="External"/><Relationship Id="rId769" Type="http://schemas.openxmlformats.org/officeDocument/2006/relationships/hyperlink" Target="../../../../../../../:b:/r/personal/comunicacionesdiveliv_educacionbogota_gov_co/Documents/DIRECCION%20DE%20INSPECCION%20Y%20VIGILANCIA/DIV%20POAIV/POAIV%202025/ELIV%20PUENTE%20ARANDA/PRIORIZADOS/TRIM%20III/25%2007%2023%20Palomitos%20traviesos/25%2007%2023%20acta%20visita%20PalomitosTraviesos.pdf?csf=1&amp;web=1&amp;e=XaUDWi" TargetMode="External"/><Relationship Id="rId976"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399"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324"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1"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629" Type="http://schemas.openxmlformats.org/officeDocument/2006/relationships/hyperlink" Target="../../../../../../../:b:/r/personal/comunicacionesdiveliv_educacionbogota_gov_co/Documents/DIRECCION%20DE%20INSPECCION%20Y%20VIGILANCIA/DIV%20POAIV/POAIV%202025/ELIV%20KENNEDY/PRIORIZADOS/TRIM%20II/ACTA%20DE%20VISITA%20COLEGIO%20LAZARILLO%20DE%20TORMES.pdf?csf=1&amp;web=1&amp;e=xTKGSa" TargetMode="External"/><Relationship Id="rId1161" Type="http://schemas.openxmlformats.org/officeDocument/2006/relationships/hyperlink" Target="https://educacionbogota-my.sharepoint.com/:b:/g/personal/comunicacionesdiveliv_educacionbogota_gov_co/ETnvQK47NwtMtRFdwpiCr7IBco4oRR5RfouD5ZlCG4aRjg?e=NenYUl" TargetMode="External"/><Relationship Id="rId1259" Type="http://schemas.openxmlformats.org/officeDocument/2006/relationships/hyperlink" Target="../../../../../../../:b:/g/personal/comunicacionesdiveliv_educacionbogota_gov_co/EXDXIFqd2cBPtccsXnwqrd8B5J5VCEZ8JHp09WYo2_NAig?e=NP8Xje" TargetMode="External"/><Relationship Id="rId1466" Type="http://schemas.openxmlformats.org/officeDocument/2006/relationships/hyperlink" Target="../../../../../../../:b:/r/personal/comunicacionesdiveliv_educacionbogota_gov_co/Documents/DIRECCION%20DE%20INSPECCION%20Y%20VIGILANCIA/DIV%20POAIV/POAIV%202025/ELIV%20LOS%20M%C3%81RTIRES/PRIORIZADOS/TRIM%20II/20250411%20IETDH_Corphoesthetic.pdf?csf=1&amp;web=1&amp;e=t7BKqJ" TargetMode="External"/><Relationship Id="rId2005" Type="http://schemas.openxmlformats.org/officeDocument/2006/relationships/hyperlink" Target="https://educacionbogota-my.sharepoint.com/:b:/g/personal/comunicacionesdiveliv_educacionbogota_gov_co/IQBFwzwbOLe_SYEbTDkbJvshAXeM7hfHg6Yc5-ZsiRz7kbQ?e=joWfMb" TargetMode="External"/><Relationship Id="rId836"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021"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119" Type="http://schemas.openxmlformats.org/officeDocument/2006/relationships/hyperlink" Target="../../../../../../../:b:/r/personal/comunicacionesdiveliv_educacionbogota_gov_co/Documents/DIRECCION%20DE%20INSPECCION%20Y%20VIGILANCIA/DIV%20POAIV/POAIV%202025/ELIV%20CHAPINERO/PRIORIZADOS/TRIM%20III/INCAP/Acta%20IETDH%20INCAP.pdf?csf=1&amp;web=1&amp;e=PMTeWY" TargetMode="External"/><Relationship Id="rId1673"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0"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1978" Type="http://schemas.openxmlformats.org/officeDocument/2006/relationships/hyperlink" Target="https://educacionbogota-my.sharepoint.com/:b:/g/personal/comunicacionesdiveliv_educacionbogota_gov_co/EVUeggJPUO5Foh4h5IjMFUQBEG1zuGb6eBJmxTyua9djgg?e=eztXo2" TargetMode="External"/><Relationship Id="rId903"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326"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3" Type="http://schemas.openxmlformats.org/officeDocument/2006/relationships/hyperlink" Target="https://educacionbogota-my.sharepoint.com/:b:/g/personal/comunicacionesdiveliv_educacionbogota_gov_co/EZE-vVmDPAlOqGAOAoGBk08BsTm1Mc3wlXA1_-cQkdO9Wg?e=qgUvMm" TargetMode="External"/><Relationship Id="rId1740" Type="http://schemas.openxmlformats.org/officeDocument/2006/relationships/hyperlink" Target="../../../../../../../:b:/g/personal/comunicacionesdiveliv_educacionbogota_gov_co/EfsHq-TeCL5MmzboQbKJWGIB_3ZH0TBzZrs6QRfSJW8o9A?e=mC6Fl5" TargetMode="External"/><Relationship Id="rId32"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600"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1838" Type="http://schemas.openxmlformats.org/officeDocument/2006/relationships/hyperlink" Target="../../../../../../../:b:/r/personal/comunicacionesdiveliv_educacionbogota_gov_co/Documents/DIRECCION%20DE%20INSPECCION%20Y%20VIGILANCIA/DIV%20POAIV/POAIV%202025/ELIV%20TEUSAQUILLO/PRIORIZADOS/TRIM%20II/00_CODEMA_VISITA_FinesMejoramiento_POAIV2025_16052025_FirmadaSoportes.pdf?csf=1&amp;web=1&amp;e=xho0ag" TargetMode="External"/><Relationship Id="rId181" Type="http://schemas.openxmlformats.org/officeDocument/2006/relationships/hyperlink" Target="https://shre.ink/evjR" TargetMode="External"/><Relationship Id="rId1905"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279"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6"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693"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139" Type="http://schemas.openxmlformats.org/officeDocument/2006/relationships/hyperlink" Target="https://shre.ink/Mnjr" TargetMode="External"/><Relationship Id="rId346"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553"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760"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98"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183" Type="http://schemas.openxmlformats.org/officeDocument/2006/relationships/hyperlink" Target="../../../../../../../:b:/r/personal/comunicacionesdiveliv_educacionbogota_gov_co/Documents/DIRECCION%20DE%20INSPECCION%20Y%20VIGILANCIA/DIV%20POAIV/POAIV%202025/ELIV%20ANTONIO%20NARI%C3%91O/PRIORIZADOS/TRIM%20II/05.%20Acta%20de%20Visita%20Ctro%20de%20Idiomas%20ULA.pdf?csf=1&amp;web=1&amp;e=ObILuj" TargetMode="External"/><Relationship Id="rId1390" Type="http://schemas.openxmlformats.org/officeDocument/2006/relationships/hyperlink" Target="https://educacionbogota-my.sharepoint.com/:b:/g/personal/comunicacionesdiveliv_educacionbogota_gov_co/ERAM9qLwpB9Hnq0uH4vIkWoBry_yCDPWLSu8VpjD2eaVeQ?e=az8UHu" TargetMode="External"/><Relationship Id="rId2027" Type="http://schemas.openxmlformats.org/officeDocument/2006/relationships/hyperlink" Target="https://educacionbogota-my.sharepoint.com/:b:/g/personal/comunicacionesdiveliv_educacionbogota_gov_co/IQDBZFKe66-XQ5oSJfVfCN12ATMFTUzUCN4nOIbiliGpOx0?e=ytY7LO" TargetMode="External"/><Relationship Id="rId206" Type="http://schemas.openxmlformats.org/officeDocument/2006/relationships/hyperlink" Target="https://shre.ink/eKSY" TargetMode="External"/><Relationship Id="rId413"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858"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043"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488"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695"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620"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718" Type="http://schemas.openxmlformats.org/officeDocument/2006/relationships/hyperlink" Target="../../../../../../../:f:/r/personal/comunicacionesdiveliv_educacionbogota_gov_co/Documents/DIRECCION%20DE%20INSPECCION%20Y%20VIGILANCIA/DIV%20POAIV/POAIV%202025/ELIV%20PUENTE%20ARANDA/PRIORIZADOS/TRIM%20II/VISITA%20CON%20FINES%20DE%20MEJORAMIENTO%20COLEGIO%20SANTA%20TERESITA?csf=1&amp;web=1&amp;e=kOkShk" TargetMode="External"/><Relationship Id="rId925" Type="http://schemas.openxmlformats.org/officeDocument/2006/relationships/hyperlink" Target="../../../../../../../:b:/r/personal/comunicacionesdiveliv_educacionbogota_gov_co/Documents/DIRECCION%20DE%20INSPECCION%20Y%20VIGILANCIA/DIV%20POAIV/POAIV%202025/ELIV%20TUNJUELITO/PRIORIZADOS/TRIM%20II/CENTRO%20EDUCATIVO%20SURAMERICANO/C.E.%20SURAMERICANO%2016-5-2025_250527_08125527052025.pdf?csf=1&amp;web=1&amp;e=jpKfIY" TargetMode="External"/><Relationship Id="rId1250" Type="http://schemas.openxmlformats.org/officeDocument/2006/relationships/hyperlink" Target="../../../../../../../:b:/g/personal/comunicacionesdiveliv_educacionbogota_gov_co/Ea03xamXMppMmFZSPVOIccsBlXMhONdBrVnUZDNUHIPmjQ?e=zhH7iR" TargetMode="External"/><Relationship Id="rId1348" Type="http://schemas.openxmlformats.org/officeDocument/2006/relationships/hyperlink" Target="../../../../../../../:b:/g/personal/comunicacionesdiveliv_educacionbogota_gov_co/EUwXYE3zRUdHmUmCMjP9SMsBxRjqVyiXhd3Mm_oW-xdMiA?e=0ppQr2" TargetMode="External"/><Relationship Id="rId1555" Type="http://schemas.openxmlformats.org/officeDocument/2006/relationships/hyperlink" Target="https://educacionbogota-my.sharepoint.com/:b:/g/personal/comunicacionesdiveliv_educacionbogota_gov_co/EWvvyghjp8BIqEdMZzfGJH0BwJEThgP4UrK0L_sGRmNhzA?e=m2OaTp" TargetMode="External"/><Relationship Id="rId1762" Type="http://schemas.openxmlformats.org/officeDocument/2006/relationships/hyperlink" Target="../../../../../../../:b:/g/personal/comunicacionesdiveliv_educacionbogota_gov_co/EYDzPp7kUl1GtSpcbcbj9XkByOx0lTdfxy2ScYRvrF5Ppw?e=GRw5IO" TargetMode="External"/><Relationship Id="rId1110"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208" Type="http://schemas.openxmlformats.org/officeDocument/2006/relationships/hyperlink" Target="../../../../../../../:b:/g/personal/comunicacionesdiveliv_educacionbogota_gov_co/Ed7YHKLS-yJIseYK8QcWBegBJZQ3Z4w3kQPANktP0Hq_kw?e=0AEuSm" TargetMode="External"/><Relationship Id="rId1415" Type="http://schemas.openxmlformats.org/officeDocument/2006/relationships/hyperlink" Target="https://educacionbogota-my.sharepoint.com/:b:/g/personal/comunicacionesdiveliv_educacionbogota_gov_co/EZRxFJ-Rd89Pu7EGFSmHYpABAO6tmyKg5lFyrScuIcKqCg?e=He1SZj" TargetMode="External"/><Relationship Id="rId54"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622" Type="http://schemas.openxmlformats.org/officeDocument/2006/relationships/hyperlink" Target="../../../../../../../:b:/r/personal/comunicacionesdiveliv_educacionbogota_gov_co/Documents/DIRECCION%20DE%20INSPECCION%20Y%20VIGILANCIA/DIV%20POAIV/POAIV%202025/ELIV%20SUBA/PRIORIZADOS/TRIM%20II/29042025%20Visita%20Gim%20moderno%20futuro.pdf?csf=1&amp;web=1&amp;e=ACE8m4" TargetMode="External"/><Relationship Id="rId1927"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70" Type="http://schemas.openxmlformats.org/officeDocument/2006/relationships/hyperlink" Target="../../../../../../../:b:/r/personal/comunicacionesdiveliv_educacionbogota_gov_co/Documents/DIRECCION%20DE%20INSPECCION%20Y%20VIGILANCIA/DIV%20POAIV/POAIV%202025/ELIV%20CHAPINERO/PRIORIZADOS/TRIM%20II/FUND%20COLEGIO%20NUEVA%20GRANADA/ACTA%20FINAL%20FUND%20NUEVA%20GRANADA.pdf?csf=1&amp;web=1&amp;e=kF2juS" TargetMode="External"/><Relationship Id="rId130" Type="http://schemas.openxmlformats.org/officeDocument/2006/relationships/hyperlink" Target="https://shre.ink/Mn7g" TargetMode="External"/><Relationship Id="rId368"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575" Type="http://schemas.openxmlformats.org/officeDocument/2006/relationships/hyperlink" Target="../../../../../../../:b:/r/personal/comunicacionesdiveliv_educacionbogota_gov_co/Documents/DIRECCION%20DE%20INSPECCION%20Y%20VIGILANCIA/DIV%20POAIV/POAIV%202025/ELIV%20KENNEDY/PRIORIZADOS/TRIM%20II/ACTA%20DE%20VISITA%20COLEGIO%20ROBERT%20HOOKE.pdf?csf=1&amp;web=1&amp;e=HJMilf" TargetMode="External"/><Relationship Id="rId782"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2049" Type="http://schemas.openxmlformats.org/officeDocument/2006/relationships/hyperlink" Target="https://educacionbogota-my.sharepoint.com/:b:/g/personal/comunicacionesdiveliv_educacionbogota_gov_co/IQC0csq_OZdlT5Qv-06sUVZLAZ99LxHD5zoTg2VlUCEp3L4?e=EdJ811" TargetMode="External"/><Relationship Id="rId228" Type="http://schemas.openxmlformats.org/officeDocument/2006/relationships/hyperlink" Target="https://acortar.link/WDQjzH" TargetMode="External"/><Relationship Id="rId435"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642" Type="http://schemas.openxmlformats.org/officeDocument/2006/relationships/hyperlink" Target="../../../../../../../:b:/r/personal/comunicacionesdiveliv_educacionbogota_gov_co/Documents/DIRECCION%20DE%20INSPECCION%20Y%20VIGILANCIA/DIV%20POAIV/POAIV%202025/ELIV%20KENNEDY/PRIORIZADOS/TRIM%20II/ACTA%20DE%20VISITA%20COLEGIO%20MI%20PATRIA.pdf?csf=1&amp;web=1&amp;e=0fTK6k" TargetMode="External"/><Relationship Id="rId1065"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72" Type="http://schemas.openxmlformats.org/officeDocument/2006/relationships/hyperlink" Target="../../../../../../../:b:/g/personal/comunicacionesdiveliv_educacionbogota_gov_co/EYC-_IGI59ZJkaQGDNJiRVQB-RjSIIB-kuO2MF7Oc1cNuA?e=ewGYim" TargetMode="External"/><Relationship Id="rId502"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947"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32" Type="http://schemas.openxmlformats.org/officeDocument/2006/relationships/hyperlink" Target="https://educacionbogota-my.sharepoint.com/:b:/g/personal/comunicacionesdiveliv_educacionbogota_gov_co/EYO98_Q415ZLn_AiLoFPYfQBxqtJLIEyHvpDcf-ccGBqfQ?e=GmEuys" TargetMode="External"/><Relationship Id="rId1577"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784" Type="http://schemas.openxmlformats.org/officeDocument/2006/relationships/hyperlink" Target="../../../../../../../:b:/g/personal/comunicacionesdiveliv_educacionbogota_gov_co/ERb5Dd2rYhxAgR8qkc_tfB0Bi1uAcePgZyCOMAQKOTkK4w?e=2Ldr08" TargetMode="External"/><Relationship Id="rId1991"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V%2FINSTITUTO%20BILING%C3%9CE%20DEL%20SUR%2FActa%20Visita%20Bilingue%20del%20Sur%2003102025%2Epdf&amp;parent=%2Fpersonal%2Fcomunicacionesdiveliv%5Feducacionbogota%5Fgov%5Fco%2FDocuments%2FDIRECCION%20DE%20INSPECCION%20Y%20VIGILANCIA%2FDIV%20POAIV%2FPOAIV%202025%2FELIV%20TUNJUELITO%2FPRIORIZADOS%2FTRIM%20IV%2FINSTITUTO%20BILING%C3%9CE%20DEL%20SUR&amp;ct=1769196861454&amp;or=OWA%2DNT%2DMail&amp;cid=0dca69bf%2D648c%2Db929%2D26d7%2D476b4088d1a9&amp;ga=1" TargetMode="External"/><Relationship Id="rId76"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7"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437" Type="http://schemas.openxmlformats.org/officeDocument/2006/relationships/hyperlink" Target="../../../../../../../:b:/r/personal/comunicacionesdiveliv_educacionbogota_gov_co/Documents/DIRECCION%20DE%20INSPECCION%20Y%20VIGILANCIA/DIV%20POAIV/POAIV%202025/ELIV%20KENNEDY/PRIORIZADOS/TRIM%20III/INSTITUTO%20LEONARD%20EULER.pdf?csf=1&amp;web=1&amp;e=NqZgS7" TargetMode="External"/><Relationship Id="rId1644" Type="http://schemas.openxmlformats.org/officeDocument/2006/relationships/hyperlink" Target="../../../../../../../:b:/r/personal/comunicacionesdiveliv_educacionbogota_gov_co/Documents/DIRECCION%20DE%20INSPECCION%20Y%20VIGILANCIA/DIV%20POAIV/POAIV%202025/ELIV%20SUBA/PRIORIZADOS/TRIM%20II/ACTA%20DE%20VISITA%20COLEGIO%20%C3%81LVARO%20G%C3%93MEZ%20HURTADO.pdf?csf=1&amp;web=1&amp;e=JUqTbx" TargetMode="External"/><Relationship Id="rId1851"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504" Type="http://schemas.openxmlformats.org/officeDocument/2006/relationships/hyperlink" Target="https://educacionbogota-my.sharepoint.com/:b:/g/personal/comunicacionesdiveliv_educacionbogota_gov_co/ESsP8wJeyYtPh5X3K_DhLIcBBAfMYEZmgsiJaW8hxq-q1w?e=Gjjcse" TargetMode="External"/><Relationship Id="rId1711" Type="http://schemas.openxmlformats.org/officeDocument/2006/relationships/hyperlink" Target="../../../../../../../:b:/r/personal/comunicacionesdiveliv_educacionbogota_gov_co/Documents/DIRECCION%20DE%20INSPECCION%20Y%20VIGILANCIA/DIV%20POAIV/POAIV%202025/ELIV%20SUBA/PRIORIZADOS/TRIM%20III/acta%20visita%20col%20CENCOSISTEMAS.pdf?csf=1&amp;web=1&amp;e=KKGIsx" TargetMode="External"/><Relationship Id="rId1949" Type="http://schemas.openxmlformats.org/officeDocument/2006/relationships/hyperlink" Target="https://educacionbogota-my.sharepoint.com/:b:/g/personal/comunicacionesdiveliv_educacionbogota_gov_co/EXJsYwHiq-tFkLZ19Z7sHEAB3YLMJEh6WsvxFfDy8Eat8w?e=iI3eAK" TargetMode="External"/><Relationship Id="rId292"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1809"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597" Type="http://schemas.openxmlformats.org/officeDocument/2006/relationships/hyperlink" Target="../../../../../../../:b:/r/personal/comunicacionesdiveliv_educacionbogota_gov_co/Documents/DIRECCION%20DE%20INSPECCION%20Y%20VIGILANCIA/DIV%20POAIV/POAIV%202025/ELIV%20KENNEDY/PRIORIZADOS/TRIM%20II/ACTA%20VISITA%20CIUDAD%20DE%20CALI.pdf?csf=1&amp;web=1&amp;e=tPsLKr" TargetMode="External"/><Relationship Id="rId152" Type="http://schemas.openxmlformats.org/officeDocument/2006/relationships/hyperlink" Target="https://shre.ink/eCE6" TargetMode="External"/><Relationship Id="rId457"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1087"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294"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2040" Type="http://schemas.openxmlformats.org/officeDocument/2006/relationships/hyperlink" Target="../../../../../../../:b:/g/personal/comunicacionesdiveliv_educacionbogota_gov_co/IQCfu4lxOg5QS5ZA-eZFmsW_Ae4Lztd5ucxjKNX5wj6n1_I?e=fWSy0V" TargetMode="External"/><Relationship Id="rId664" Type="http://schemas.openxmlformats.org/officeDocument/2006/relationships/hyperlink" Target="../../../../../../../:b:/r/personal/comunicacionesdiveliv_educacionbogota_gov_co/Documents/DIRECCION%20DE%20INSPECCION%20Y%20VIGILANCIA/DIV%20POAIV/POAIV%202025/ELIV%20KENNEDY/PRIORIZADOS/TRIM%20II/ACTA%20DE%20VISITA%20COLEGIO%20SAGRADO%20CORAZON.pdf?csf=1&amp;web=1&amp;e=VDW5fC" TargetMode="External"/><Relationship Id="rId871"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969"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599"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317"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CIUDAD%20BOL%C3%8DVAR%2FPRIORIZADOS%2FTRIM%20II%2F20250422ActaVisitaAdministrativaInsSantaAnaLuzdelCarmen%20%281%29%2Epdf&amp;parent=%2Fpersonal%2Fcomunicacionesdiveliv%5Feducacionbogota%5Fgov%5Fco%2FDocuments%2FDIRECCION%20DE%20INSPECCION%20Y%20VIGILANCIA%2FDIV%20POAIV%2FPOAIV%202025%2FELIV%20CIUDAD%20BOL%C3%8DVAR%2FPRIORIZADOS%2FTRIM%20II&amp;ga=1" TargetMode="External"/><Relationship Id="rId524"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731"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1154" Type="http://schemas.openxmlformats.org/officeDocument/2006/relationships/hyperlink" Target="https://educacionbogota-my.sharepoint.com/:b:/g/personal/comunicacionesdiveliv_educacionbogota_gov_co/EXKnREsSVEtGqHjKbn9fduwBlny6BCei4ltKgDnU8dyyyg?e=koY4f8" TargetMode="External"/><Relationship Id="rId1361"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459" Type="http://schemas.openxmlformats.org/officeDocument/2006/relationships/hyperlink" Target="../../../../../../../:b:/r/personal/comunicacionesdiveliv_educacionbogota_gov_co/Documents/DIRECCION%20DE%20INSPECCION%20Y%20VIGILANCIA/DIV%20POAIV/POAIV%202025/ELIV%20KENNEDY/PRIORIZADOS/TRIM%20III/UNIDAD%20EDUCATIVA%20JEAN%20PIAGET.pdf?csf=1&amp;web=1&amp;e=TMsOGJ" TargetMode="External"/><Relationship Id="rId98"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829"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014"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221" Type="http://schemas.openxmlformats.org/officeDocument/2006/relationships/hyperlink" Target="../../../../../../../:b:/g/personal/comunicacionesdiveliv_educacionbogota_gov_co/EVq-ADkpISBAv6vIxGTHjGkBTNkhNixPD_4fn0wl9zbg9A?e=Gf9xda" TargetMode="External"/><Relationship Id="rId1666"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3"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319"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1526" Type="http://schemas.openxmlformats.org/officeDocument/2006/relationships/hyperlink" Target="https://educacionbogota-my.sharepoint.com/:b:/g/personal/comunicacionesdiveliv_educacionbogota_gov_co/ESB67dLFNX9LrEWsobPWLT8B3dvXjEUIKtBTBZspWw2z6A?e=OAA4Oe" TargetMode="External"/><Relationship Id="rId1733"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40" Type="http://schemas.openxmlformats.org/officeDocument/2006/relationships/hyperlink" Target="https://educacionbogota-my.sharepoint.com/:b:/g/personal/comunicacionesdiveliv_educacionbogota_gov_co/EeLUCCSAtYtAiwcZa0YcDJ0BNk8pTyUoq2DI7ZYBJeUegw?e=W5d7gy" TargetMode="External"/><Relationship Id="rId25"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800" Type="http://schemas.openxmlformats.org/officeDocument/2006/relationships/hyperlink" Target="../../../../../../../:b:/g/personal/comunicacionesdiveliv_educacionbogota_gov_co/Ef7_QnClfQhImGpKaz8qy2EBLZOz8tOaQud_TfNMqzdZzg?e=PdJsHA" TargetMode="External"/><Relationship Id="rId174" Type="http://schemas.openxmlformats.org/officeDocument/2006/relationships/hyperlink" Target="https://shre.ink/evjR" TargetMode="External"/><Relationship Id="rId381"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241" Type="http://schemas.openxmlformats.org/officeDocument/2006/relationships/hyperlink" Target="https://shre.ink/e52M" TargetMode="External"/><Relationship Id="rId479"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686"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893"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339" Type="http://schemas.openxmlformats.org/officeDocument/2006/relationships/hyperlink" Target="../../../../../../../:b:/r/personal/comunicacionesdiveliv_educacionbogota_gov_co/Documents/DIRECCION%20DE%20INSPECCION%20Y%20VIGILANCIA/DIV%20POAIV/POAIV%202025/ELIV%20CIUDAD%20BOL%C3%8DVAR/PRIORIZADOS/TRIM%20II/20250612%20ActaVisitaInstitutoCerrosSur.pdf?csf=1&amp;web=1&amp;e=dhMUIp" TargetMode="External"/><Relationship Id="rId546"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753"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1176" Type="http://schemas.openxmlformats.org/officeDocument/2006/relationships/hyperlink" Target="../../../../../../../:b:/r/personal/comunicacionesdiveliv_educacionbogota_gov_co/Documents/DIRECCION%20DE%20INSPECCION%20Y%20VIGILANCIA/DIV%20POAIV/POAIV%202025/ELIV%20ANTONIO%20NARI%C3%91O/PRIORIZADOS/TRIM%20II/15.%20Acta%20Col.%20Guillermo%20Le%C3%B3n%20Valencia%20IED.pdf?csf=1&amp;web=1&amp;e=VMKPfa" TargetMode="External"/><Relationship Id="rId1383"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01"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406"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960"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036"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243" Type="http://schemas.openxmlformats.org/officeDocument/2006/relationships/hyperlink" Target="../../../../../../../:b:/g/personal/comunicacionesdiveliv_educacionbogota_gov_co/ERVcYNQPojxEn7bveI3Gp84B89VykYD-xj-f_Jbn0e4nLA?e=tB6t24" TargetMode="External"/><Relationship Id="rId1590"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5%20y%2011%20agosto%20Lic%20Parroq%20San%20Jose.pdf?csf=1&amp;web=1&amp;e=vgeEfl" TargetMode="External"/><Relationship Id="rId1688"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1895" Type="http://schemas.openxmlformats.org/officeDocument/2006/relationships/hyperlink" Target="https://educacionbogota-my.sharepoint.com/:f:/g/personal/comunicacionesdiveliv_educacionbogota_gov_co/Eu7iVSVQ5xpOj_AZJf9A1dkBMX5Qs8hBfa_gmiFlIF4g_g?e=NLcUNB" TargetMode="External"/><Relationship Id="rId613" Type="http://schemas.openxmlformats.org/officeDocument/2006/relationships/hyperlink" Target="../../../../../../../:b:/r/personal/comunicacionesdiveliv_educacionbogota_gov_co/Documents/DIRECCION%20DE%20INSPECCION%20Y%20VIGILANCIA/DIV%20POAIV/POAIV%202025/ELIV%20KENNEDY/PRIORIZADOS/TRIM%20II/ACTA%20DE%20VISITA%20CIUDAD%20DE%20PATIO%20BONITO.pdf?csf=1&amp;web=1&amp;e=OsFFGq" TargetMode="External"/><Relationship Id="rId820" Type="http://schemas.openxmlformats.org/officeDocument/2006/relationships/hyperlink" Target="../../../../../../../:b:/r/personal/comunicacionesdiveliv_educacionbogota_gov_co/Documents/DIRECCION%20DE%20INSPECCION%20Y%20VIGILANCIA/DIV%20POAIV/POAIV%202025/SAN%20CRIST%C3%93BAL/PRIORIZADOS/TRIM%20I/ACTA%20VISITA%20ADMINISTRATIVA%20COLEGIO%20INTEGRAL%20AVANCEMOS.pdf?csf=1&amp;web=1&amp;e=DbivjX" TargetMode="External"/><Relationship Id="rId918"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450" Type="http://schemas.openxmlformats.org/officeDocument/2006/relationships/hyperlink" Target="../../../../../../../:b:/r/personal/comunicacionesdiveliv_educacionbogota_gov_co/Documents/DIRECCION%20DE%20INSPECCION%20Y%20VIGILANCIA/DIV%20POAIV/POAIV%202025/ELIV%20KENNEDY/PRIORIZADOS/TRIM%20III/LICEO%20PI%C3%91EROS%20CORTES.pdf?csf=1&amp;web=1&amp;e=nEPDqa" TargetMode="External"/><Relationship Id="rId1548" Type="http://schemas.openxmlformats.org/officeDocument/2006/relationships/hyperlink" Target="https://educacionbogota-my.sharepoint.com/:b:/g/personal/comunicacionesdiveliv_educacionbogota_gov_co/EQ2DMzh0MnpKoCJRssnZC5MBVnmpWf5qGDTie_W3LZIycw?e=XoXAOg" TargetMode="External"/><Relationship Id="rId1755" Type="http://schemas.openxmlformats.org/officeDocument/2006/relationships/hyperlink" Target="../../../../../../../:b:/g/personal/comunicacionesdiveliv_educacionbogota_gov_co/EYXGYZZLrKtDsZmoXUoWpP8BKmEOE7yadec7nep9AvAofw?e=xBs3yL" TargetMode="External"/><Relationship Id="rId1103"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1310" Type="http://schemas.openxmlformats.org/officeDocument/2006/relationships/hyperlink" Target="../../../../../../../:b:/g/personal/comunicacionesdiveliv_educacionbogota_gov_co/EX50lx968y9GrquDjOwdiocBRlOHdbt1HVUni9Xd0AOfyQ?e=eNDjsk" TargetMode="External"/><Relationship Id="rId1408"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962" Type="http://schemas.openxmlformats.org/officeDocument/2006/relationships/hyperlink" Target="https://educacionbogota-my.sharepoint.com/:b:/g/personal/comunicacionesdiveliv_educacionbogota_gov_co/ET2QxUqFxKtJkaDKcikNMnwB-Lrfw9_zcHJHhmJDmOegWg?e=bS3r0p" TargetMode="External"/><Relationship Id="rId47"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615" Type="http://schemas.openxmlformats.org/officeDocument/2006/relationships/hyperlink" Target="../../../../../../../:b:/g/personal/comunicacionesdiveliv_educacionbogota_gov_co/EbuTU9tbcTxFs94RYLyR-3QBmd9zlhyBKgtY73RkkG3uEw?e=nZXF7Y" TargetMode="External"/><Relationship Id="rId1822"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6" Type="http://schemas.openxmlformats.org/officeDocument/2006/relationships/hyperlink" Target="https://shre.ink/evCM" TargetMode="External"/><Relationship Id="rId263" Type="http://schemas.openxmlformats.org/officeDocument/2006/relationships/hyperlink" Target="../../../../../../../:b:/r/personal/comunicacionesdiveliv_educacionbogota_gov_co/Documents/DIRECCION%20DE%20INSPECCION%20Y%20VIGILANCIA/DIV%20POAIV/POAIV%202025/ELIV%20CHAPINERO/PRIORIZADOS/TRIM%20II/UNILATINA/acta%20visita%20Colegio%20Unilatina.pdf?csf=1&amp;web=1&amp;e=XU2S26" TargetMode="External"/><Relationship Id="rId470"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123" Type="http://schemas.openxmlformats.org/officeDocument/2006/relationships/hyperlink" Target="https://shre.ink/Mn5W" TargetMode="External"/><Relationship Id="rId330"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68" Type="http://schemas.openxmlformats.org/officeDocument/2006/relationships/hyperlink" Target="../../../../../../../:b:/r/personal/comunicacionesdiveliv_educacionbogota_gov_co/Documents/DIRECCION%20DE%20INSPECCION%20Y%20VIGILANCIA/DIV%20POAIV/POAIV%202025/ELIV%20ANTONIO%20NARI%C3%91O/PRIORIZADOS/TRIM%20II/15.%20Acta%20Col.%20Guillermo%20Le%C3%B3n%20Valencia%20IED.pdf?csf=1&amp;web=1&amp;e=VMKPfa" TargetMode="External"/><Relationship Id="rId775" Type="http://schemas.openxmlformats.org/officeDocument/2006/relationships/hyperlink" Target="../../../../../../../:x:/r/personal/comunicacionesdiveliv_educacionbogota_gov_co/Documents/DIRECCION%20DE%20INSPECCION%20Y%20VIGILANCIA/DIV%20POAIV/POAIV%202025/SAN%20CRIST%C3%93BAL/PRIORIZADOS/TRIM%20I/Revisi%C3%B3n%20calendario%20acad%C3%A9mico%202025.xlsx?d=w35e8840f795d40bf8fbb8afda88987ca&amp;csf=1&amp;web=1&amp;e=h2cHDf" TargetMode="External"/><Relationship Id="rId982"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198" Type="http://schemas.openxmlformats.org/officeDocument/2006/relationships/hyperlink" Target="../../../../../../../:f:/g/personal/comunicacionesdiveliv_educacionbogota_gov_co/EhaPlKZXOxZPnJSkDFS7Xi8BkvkQYs8UygTz5NDbEt5vMw?e=beSMIQ" TargetMode="External"/><Relationship Id="rId2011" Type="http://schemas.openxmlformats.org/officeDocument/2006/relationships/hyperlink" Target="https://educacionbogota-my.sharepoint.com/:b:/g/personal/comunicacionesdiveliv_educacionbogota_gov_co/IQBFwzwbOLe_SYEbTDkbJvshAXeM7hfHg6Yc5-ZsiRz7kbQ?e=joWfMb" TargetMode="External"/><Relationship Id="rId428"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5" Type="http://schemas.openxmlformats.org/officeDocument/2006/relationships/hyperlink" Target="../../../../../../../:b:/r/personal/comunicacionesdiveliv_educacionbogota_gov_co/Documents/DIRECCION%20DE%20INSPECCION%20Y%20VIGILANCIA/DIV%20POAIV/POAIV%202025/ELIV%20KENNEDY/PRIORIZADOS/TRIM%20II/ACTA%20VISITA%20COLEGIO%20MANDALAY.pdf?csf=1&amp;web=1&amp;e=Fig97B" TargetMode="External"/><Relationship Id="rId842"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058"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5"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1472"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702" Type="http://schemas.openxmlformats.org/officeDocument/2006/relationships/hyperlink" Target="../../../../../../../:b:/r/personal/comunicacionesdiveliv_educacionbogota_gov_co/Documents/DIRECCION%20DE%20INSPECCION%20Y%20VIGILANCIA/DIV%20POAIV/POAIV%202025/ELIV%20KENNEDY/PRIORIZADOS/TRIM%20II/ACTA%20DE%20VISITA_INSTITUTO%20DE%20EDUCACION%20EMAUS_22_05_25.pdf?csf=1&amp;web=1&amp;e=964GAv" TargetMode="External"/><Relationship Id="rId1125" Type="http://schemas.openxmlformats.org/officeDocument/2006/relationships/hyperlink" Target="https://educacionbogota-my.sharepoint.com/:b:/g/personal/comunicacionesdiveliv_educacionbogota_gov_co/EeK6oyECBGFCld1489Pv2ScBWXREa1mjizxx2knejVCfcA?e=5Pnbm5" TargetMode="External"/><Relationship Id="rId1332"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1777" Type="http://schemas.openxmlformats.org/officeDocument/2006/relationships/hyperlink" Target="../../../../../../../:b:/g/personal/comunicacionesdiveliv_educacionbogota_gov_co/EXsH9uY3gmlLlwMz3Yu7GbUBhco9lko55MqTQ77-a0xomg?e=A0mEZw" TargetMode="External"/><Relationship Id="rId1984"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COLEGIO%20COOPERATIVO%20NUEVO%20MUZU%2FVisita%20Cooperativo%20Nuevo%20Muzu%2025072025%5F250803%5F19012403082025%2Epdf&amp;parent=%2Fpersonal%2Fcomunicacionesdiveliv%5Feducacionbogota%5Fgov%5Fco%2FDocuments%2FDIRECCION%20DE%20INSPECCION%20Y%20VIGILANCIA%2FDIV%20POAIV%2FPOAIV%202025%2FELIV%20TUNJUELITO%2FPRIORIZADOS%2FTRIM%20III%2FCOLEGIO%20COOPERATIVO%20NUEVO%20MUZU&amp;ct=1769196465783&amp;or=OWA%2DNT%2DMail&amp;cid=3073f0a4%2D6b7c%2D40cf%2D2fe1%2D15304ff48b94&amp;ga=1" TargetMode="External"/><Relationship Id="rId69"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1637" Type="http://schemas.openxmlformats.org/officeDocument/2006/relationships/hyperlink" Target="../../../../../../../:b:/r/personal/comunicacionesdiveliv_educacionbogota_gov_co/Documents/DIRECCION%20DE%20INSPECCION%20Y%20VIGILANCIA/DIV%20POAIV/POAIV%202025/ELIV%20SUBA/PRIORIZADOS/TRIM%20II/29042025%20Acta%20gim%20campestre%20de%20guilford.pdf?csf=1&amp;web=1&amp;e=NiWHHu" TargetMode="External"/><Relationship Id="rId1844" Type="http://schemas.openxmlformats.org/officeDocument/2006/relationships/hyperlink" Target="../../../../../../../:b:/r/personal/comunicacionesdiveliv_educacionbogota_gov_co/Documents/DIRECCION%20DE%20INSPECCION%20Y%20VIGILANCIA/DIV%20POAIV/POAIV%202025/ELIV%20TEUSAQUILLO/PRIORIZADOS/TRIM%20II/00_ROSALITO_ActaAVISITA_FinesMejoramiento_POAIV2025_04062025_FirmadaSoportes.pdf?csf=1&amp;web=1&amp;e=bHiuLn" TargetMode="External"/><Relationship Id="rId1704"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285" Type="http://schemas.openxmlformats.org/officeDocument/2006/relationships/hyperlink" Target="../../../../../../../:x:/r/personal/comunicacionesdiveliv_educacionbogota_gov_co/Documents/DIRECCION%20DE%20INSPECCION%20Y%20VIGILANCIA/DIV%20POAIV/POAIV%202025/ELIV%20CHAPINERO/PRIORIZADOS/TRIM%20II/COLEGIO%20FILADELFIA/MATRIZ%20MANUAL%20DE%20CONVIVENCIA%20colegio%20filadelfia.xlsx?d=wb534f456017146c5b8faa12ed33040e7&amp;csf=1&amp;web=1&amp;e=5CNZWd" TargetMode="External"/><Relationship Id="rId1911" Type="http://schemas.openxmlformats.org/officeDocument/2006/relationships/hyperlink" Target="../../../../../../../:b:/r/personal/comunicacionesdiveliv_educacionbogota_gov_co/Documents/DIRECCION%20DE%20INSPECCION%20Y%20VIGILANCIA/DIV%20POAIV/POAIV%202025/ELIV%20USME/PRIORIZADOS/TRIM%20II/02ActaVisitaAdministrativaColegioSanMarino23052025.pdf?csf=1&amp;web=1&amp;e=qdKCGy" TargetMode="External"/><Relationship Id="rId492" Type="http://schemas.openxmlformats.org/officeDocument/2006/relationships/hyperlink" Target="../../../../../../../:b:/r/personal/comunicacionesdiveliv_educacionbogota_gov_co/Documents/DIRECCION%20DE%20INSPECCION%20Y%20VIGILANCIA/DIV%20POAIV/POAIV%202025/ELIV%20ENGATIV%C3%81/PRIORIZADOS/TRIM%20II/20250401%20Acta%20visita%20Col%20la%20Palestina.pdf?csf=1&amp;web=1&amp;e=jzteDF" TargetMode="External"/><Relationship Id="rId797" Type="http://schemas.openxmlformats.org/officeDocument/2006/relationships/hyperlink" Target="../../../../../../../:b:/r/personal/comunicacionesdiveliv_educacionbogota_gov_co/Documents/DIRECCION%20DE%20INSPECCION%20Y%20VIGILANCIA/DIV%20POAIV/POAIV%202025/ELIV%20SAN%20CRIST%C3%93BAL/PRIORIZADOS/TRIM%20II/6-06%20VISITAS%20CON%20FINES%20DE%20MEJORAMIENTO%20COL.%20PRINCIPE%20DE%20PAZ.pdf?csf=1&amp;web=1&amp;e=5xWrnx" TargetMode="External"/><Relationship Id="rId145" Type="http://schemas.openxmlformats.org/officeDocument/2006/relationships/hyperlink" Target="https://shre.ink/Mnjr" TargetMode="External"/><Relationship Id="rId352"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1287"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2033" Type="http://schemas.openxmlformats.org/officeDocument/2006/relationships/hyperlink" Target="../../../../../../../:b:/g/personal/comunicacionesdiveliv_educacionbogota_gov_co/IQCfu4lxOg5QS5ZA-eZFmsW_Ae4Lztd5ucxjKNX5wj6n1_I?e=I7UZlR" TargetMode="External"/><Relationship Id="rId212" Type="http://schemas.openxmlformats.org/officeDocument/2006/relationships/hyperlink" Target="https://shre.ink/eK5b" TargetMode="External"/><Relationship Id="rId657"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864"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494" Type="http://schemas.openxmlformats.org/officeDocument/2006/relationships/hyperlink" Target="../../../../../../../:b:/r/personal/comunicacionesdiveliv_educacionbogota_gov_co/Documents/DIRECCION%20DE%20INSPECCION%20Y%20VIGILANCIA/DIV%20POAIV/POAIV%202025/ELIV%20LOS%20M%C3%81RTIRES/PRIORIZADOS/TRIM%20III/20250805%20Formato_Visita%20COL_Panamericano_IED.pdf?csf=1&amp;web=1&amp;e=h2jbK5" TargetMode="External"/><Relationship Id="rId1799" Type="http://schemas.openxmlformats.org/officeDocument/2006/relationships/hyperlink" Target="../../../../../../../:b:/g/personal/comunicacionesdiveliv_educacionbogota_gov_co/Ef7_QnClfQhImGpKaz8qy2EBLZOz8tOaQud_TfNMqzdZzg?e=PdJsHA" TargetMode="External"/><Relationship Id="rId517"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724" Type="http://schemas.openxmlformats.org/officeDocument/2006/relationships/hyperlink" Target="../../../../../../../:b:/r/personal/comunicacionesdiveliv_educacionbogota_gov_co/Documents/DIRECCION%20DE%20INSPECCION%20Y%20VIGILANCIA/DIV%20POAIV/POAIV%202025/ELIV%20PUENTE%20ARANDA/PRIORIZADOS/TRIM%20II/20250409%20visita%20Colegio%20Emilio%20Brigard/25%2004%2009%20acta%20visita%20Emilio%20Brigard.pdf?csf=1&amp;web=1&amp;e=pjprRc" TargetMode="External"/><Relationship Id="rId931"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147" Type="http://schemas.openxmlformats.org/officeDocument/2006/relationships/hyperlink" Target="https://educacionbogota-my.sharepoint.com/:b:/g/personal/comunicacionesdiveliv_educacionbogota_gov_co/Eb-UniLmS69Hl4UD82s7xUwBCuh_o4-APb2BjCOXcEtG7Q?e=4AOR0A" TargetMode="External"/><Relationship Id="rId1354"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561" Type="http://schemas.openxmlformats.org/officeDocument/2006/relationships/hyperlink" Target="https://educacionbogota-my.sharepoint.com/:b:/g/personal/comunicacionesdiveliv_educacionbogota_gov_co/EWvvyghjp8BIqEdMZzfGJH0BwJEThgP4UrK0L_sGRmNhzA?e=m2OaTp" TargetMode="External"/><Relationship Id="rId60"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007"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214" Type="http://schemas.openxmlformats.org/officeDocument/2006/relationships/hyperlink" Target="../../../../../../../:b:/r/personal/comunicacionesdiveliv_educacionbogota_gov_co/Documents/DIRECCION%20DE%20INSPECCION%20Y%20VIGILANCIA/DIV%20POAIV/POAIV%202025/ELIV%20CIUDAD%20BOL%C3%8DVAR/PRIORIZADOS/TRIM%20II/20250408ActaVisitaInstInstPsicopedTesoroVerdad%20(2)%20(1).pdf?csf=1&amp;web=1&amp;e=WBrwFi" TargetMode="External"/><Relationship Id="rId1421"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659" Type="http://schemas.openxmlformats.org/officeDocument/2006/relationships/hyperlink" Target="../../../../../../../:b:/r/personal/comunicacionesdiveliv_educacionbogota_gov_co/Documents/DIRECCION%20DE%20INSPECCION%20Y%20VIGILANCIA/DIV%20POAIV/POAIV%202025/ELIV%20SUBA/PRIORIZADOS/TRIM%20II/30062025%20acta%20visita%20col%20eduardo%20caballero%20calderon.pdf?csf=1&amp;web=1&amp;e=F8ylYd" TargetMode="External"/><Relationship Id="rId1866" Type="http://schemas.openxmlformats.org/officeDocument/2006/relationships/hyperlink" Target="../../../../../../../:f:/r/personal/comunicacionesdiveliv_educacionbogota_gov_co/Documents/DIRECCION%20DE%20INSPECCION%20Y%20VIGILANCIA/DIV%20POAIV/POAIV%202025/ELIV%20TUNJUELITO/PRIORIZADOS/TRIM%20I/ACADEMIA%20LATINOAMERICANA%20DE%20BELLEZA?csf=1&amp;web=1&amp;e=kYVPPu" TargetMode="External"/><Relationship Id="rId1519" Type="http://schemas.openxmlformats.org/officeDocument/2006/relationships/hyperlink" Target="https://educacionbogota-my.sharepoint.com/:b:/g/personal/comunicacionesdiveliv_educacionbogota_gov_co/EWF7bhdFvndNn9rxopJnRSkBTQ7jCTHittv2bSBBSaVQOw?e=rIAkBV" TargetMode="External"/><Relationship Id="rId1726"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3" Type="http://schemas.openxmlformats.org/officeDocument/2006/relationships/hyperlink" Target="https://educacionbogota-my.sharepoint.com/:b:/g/personal/comunicacionesdiveliv_educacionbogota_gov_co/EX53YwG28gtEtW6nefbDovMBnq7016BBK-h1o87zvHkLOg?e=FHRQVb" TargetMode="External"/><Relationship Id="rId18"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67" Type="http://schemas.openxmlformats.org/officeDocument/2006/relationships/hyperlink" Target="https://shre.ink/evAg" TargetMode="External"/><Relationship Id="rId374"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1" Type="http://schemas.openxmlformats.org/officeDocument/2006/relationships/hyperlink" Target="../../../../../../../:b:/r/personal/comunicacionesdiveliv_educacionbogota_gov_co/Documents/DIRECCION%20DE%20INSPECCION%20Y%20VIGILANCIA/DIV%20POAIV/POAIV%202025/ELIV%20KENNEDY/PRIORIZADOS/TRIM%20I/ACTA%20VISITA%20COLEGIO_ATENIENSE.pdf?csf=1&amp;web=1&amp;e=N8Ck5b" TargetMode="External"/><Relationship Id="rId234" Type="http://schemas.openxmlformats.org/officeDocument/2006/relationships/hyperlink" Target="https://acortar.link/WDQjzH" TargetMode="External"/><Relationship Id="rId679" Type="http://schemas.openxmlformats.org/officeDocument/2006/relationships/hyperlink" Target="../../../../../../../:b:/r/personal/comunicacionesdiveliv_educacionbogota_gov_co/Documents/DIRECCION%20DE%20INSPECCION%20Y%20VIGILANCIA/DIV%20POAIV/POAIV%202025/ELIV%20KENNEDY/PRIORIZADOS/TRIM%20II/ACTA%20DE%20VISITA%20COLEGIO%20TECNISISTEMAS.pdf?csf=1&amp;web=1&amp;e=DolaAx" TargetMode="External"/><Relationship Id="rId886"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2"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441"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539"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46" Type="http://schemas.openxmlformats.org/officeDocument/2006/relationships/hyperlink" Target="../../../../../../../:b:/r/personal/comunicacionesdiveliv_educacionbogota_gov_co/Documents/DIRECCION%20DE%20INSPECCION%20Y%20VIGILANCIA/DIV%20POAIV/POAIV%202025/ELIV%20PUENTE%20ARANDA/PRIORIZADOS/TRIM%20II/20250430_Visita%20fines%20mejoramiento%20LPNSS/S-2025-118820%20Visita%20administrativa%20LPNSS.pdf?csf=1&amp;web=1&amp;e=bUXWbL" TargetMode="External"/><Relationship Id="rId1071"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1169"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1376" Type="http://schemas.openxmlformats.org/officeDocument/2006/relationships/hyperlink" Target="https://educacionbogota-my.sharepoint.com/:b:/g/personal/comunicacionesdiveliv_educacionbogota_gov_co/EaU6Gqyt-8VAl23h3KDLXNMBWVdXnUr02-BF8oG4ffVPaA?e=XkExgg" TargetMode="External"/><Relationship Id="rId1583"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301" Type="http://schemas.openxmlformats.org/officeDocument/2006/relationships/hyperlink" Target="../../../../../../../:b:/r/personal/comunicacionesdiveliv_educacionbogota_gov_co/Documents/DIRECCION%20DE%20INSPECCION%20Y%20VIGILANCIA/DIV%20POAIV/POAIV%202025/ELIV%20CHAPINERO/MANUALES%20DE%20CONVIVENCIA%20IED/TRIM%20II/INFORME%20VERIFICACI%C3%93N%20Y%20EVALUACI%C3%93N%20%20MANUAL%20DE%20CONVIVENCIA%20%20COLEGIO%20SAN%20MART%C3%8DN%20DE%20PORRES%20IED.pdf?csf=1&amp;web=1&amp;e=hamOSH" TargetMode="External"/><Relationship Id="rId953"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029"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236" Type="http://schemas.openxmlformats.org/officeDocument/2006/relationships/hyperlink" Target="../../../../../../../:b:/r/personal/comunicacionesdiveliv_educacionbogota_gov_co/Documents/DIRECCION%20DE%20INSPECCION%20Y%20VIGILANCIA/DIV%20POAIV/POAIV%202025/ELIV%20CIUDAD%20BOL%C3%8DVAR/PRIORIZADOS/TRIM%20III/20250812_Col%20Cofraternidad%20de%20San%20Fernando.pdf?csf=1&amp;web=1&amp;e=sLnUew" TargetMode="External"/><Relationship Id="rId1790" Type="http://schemas.openxmlformats.org/officeDocument/2006/relationships/hyperlink" Target="../../../../../../../:b:/g/personal/comunicacionesdiveliv_educacionbogota_gov_co/EVkMcSlOP0pIsRabjefZYvwBk3QQywObb5P4sj2ZQDCjEg?e=SIzul9" TargetMode="External"/><Relationship Id="rId1888"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82"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606"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3"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443" Type="http://schemas.openxmlformats.org/officeDocument/2006/relationships/hyperlink" Target="../../../../../../../:b:/r/personal/comunicacionesdiveliv_educacionbogota_gov_co/Documents/DIRECCION%20DE%20INSPECCION%20Y%20VIGILANCIA/DIV%20POAIV/POAIV%202025/ELIV%20KENNEDY/PRIORIZADOS/TRIM%20III/LICEO%20LUTHER%20KING.pdf?csf=1&amp;web=1&amp;e=N2lWdl" TargetMode="External"/><Relationship Id="rId1650"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748" Type="http://schemas.openxmlformats.org/officeDocument/2006/relationships/hyperlink" Target="../../../../../../../:b:/g/personal/comunicacionesdiveliv_educacionbogota_gov_co/EZq-uUd2kLhDrGHGM0F9dTsB_ciJcYDCCMPa1eHkrqJPOw?e=nqxASJ" TargetMode="External"/><Relationship Id="rId1303" Type="http://schemas.openxmlformats.org/officeDocument/2006/relationships/hyperlink" Target="../../../../../../../:b:/g/personal/comunicacionesdiveliv_educacionbogota_gov_co/EXguH2JtjgZKvmo2nrFnZmABm7iDNKSoKdbLDBu4sw4CSw?e=hZEzKK" TargetMode="External"/><Relationship Id="rId1510" Type="http://schemas.openxmlformats.org/officeDocument/2006/relationships/hyperlink" Target="https://educacionbogota-my.sharepoint.com/:b:/g/personal/comunicacionesdiveliv_educacionbogota_gov_co/Ebz1I6zHlgZBnXEMIDjbaVsBudWt52T4pCeXpkeYcZQOmw?e=HLODCO" TargetMode="External"/><Relationship Id="rId1955" Type="http://schemas.openxmlformats.org/officeDocument/2006/relationships/hyperlink" Target="https://educacionbogota-my.sharepoint.com/:b:/g/personal/comunicacionesdiveliv_educacionbogota_gov_co/EYiEZ0FBYepJvQBKX7SE93gBmteXUc1gGvoGbuAXs5s-VA?e=Ou7NPA" TargetMode="External"/><Relationship Id="rId1608" Type="http://schemas.openxmlformats.org/officeDocument/2006/relationships/hyperlink" Target="https://educacionbogota-my.sharepoint.com/:b:/g/personal/comunicacionesdiveliv_educacionbogota_gov_co/IQAOK6PeyL_GSIsL_G4VKiBvARDE0Juu4FjJ4e4Cb-rOcrU?e=LSKeGV" TargetMode="External"/><Relationship Id="rId1815"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89" Type="http://schemas.openxmlformats.org/officeDocument/2006/relationships/hyperlink" Target="https://shre.ink/evhA" TargetMode="External"/><Relationship Id="rId396"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256" Type="http://schemas.openxmlformats.org/officeDocument/2006/relationships/hyperlink" Target="../../../../../../../:b:/r/personal/comunicacionesdiveliv_educacionbogota_gov_co/Documents/DIRECCION%20DE%20INSPECCION%20Y%20VIGILANCIA/DIV%20POAIV/POAIV%202025/ELIV%20CHAPINERO/PRIORIZADOS/TRIM%20II/POLITECNICO%20UNIVERSAL%20UNICAP/V.5%20%20FORMATO%20VISITAS%20CON%20FINES%20DE%20MEJORAMIENTO%20%20POLITECNICO%20UNICAP.pdf?csf=1&amp;web=1&amp;e=99BQkx" TargetMode="External"/><Relationship Id="rId463"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670" Type="http://schemas.openxmlformats.org/officeDocument/2006/relationships/hyperlink" Target="../../../../../../../:b:/r/personal/comunicacionesdiveliv_educacionbogota_gov_co/Documents/DIRECCION%20DE%20INSPECCION%20Y%20VIGILANCIA/DIV%20POAIV/POAIV%202025/ELIV%20KENNEDY/PRIORIZADOS/TRIM%20II/ACTA%20DE%20VISITA_COLEGIO%20SAN%20ANGEL.pdf?csf=1&amp;web=1&amp;e=moyaWZ" TargetMode="External"/><Relationship Id="rId1093"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16" Type="http://schemas.openxmlformats.org/officeDocument/2006/relationships/hyperlink" Target="https://acortar.link/yAlpUW" TargetMode="External"/><Relationship Id="rId323"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530"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768" Type="http://schemas.openxmlformats.org/officeDocument/2006/relationships/hyperlink" Target="../../../../../../../:b:/r/personal/comunicacionesdiveliv_educacionbogota_gov_co/Documents/DIRECCION%20DE%20INSPECCION%20Y%20VIGILANCIA/DIV%20POAIV/POAIV%202025/ELIV%20PUENTE%20ARANDA/PRIORIZADOS/TRIM%20III/25%2007%2023%20Palomitos%20traviesos/25%2007%2023%20acta%20visita%20PalomitosTraviesos.pdf?csf=1&amp;web=1&amp;e=XaUDWi" TargetMode="External"/><Relationship Id="rId975"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160" Type="http://schemas.openxmlformats.org/officeDocument/2006/relationships/hyperlink" Target="https://educacionbogota-my.sharepoint.com/:b:/g/personal/comunicacionesdiveliv_educacionbogota_gov_co/ETnvQK47NwtMtRFdwpiCr7IBco4oRR5RfouD5ZlCG4aRjg?e=NenYUl" TargetMode="External"/><Relationship Id="rId1398"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2004" Type="http://schemas.openxmlformats.org/officeDocument/2006/relationships/hyperlink" Target="https://educacionbogota-my.sharepoint.com/:b:/g/personal/comunicacionesdiveliv_educacionbogota_gov_co/IQA3Y0aDCPtrQ5VA6nkjifSLAVLmE_mmuF-CmZFUAobUj6w?e=WTMO02" TargetMode="External"/><Relationship Id="rId628" Type="http://schemas.openxmlformats.org/officeDocument/2006/relationships/hyperlink" Target="../../../../../../../:b:/r/personal/comunicacionesdiveliv_educacionbogota_gov_co/Documents/DIRECCION%20DE%20INSPECCION%20Y%20VIGILANCIA/DIV%20POAIV/POAIV%202025/ELIV%20KENNEDY/PRIORIZADOS/TRIM%20II/ACTA%20DE%20VISITA%20COLEGIO%20JAZMIN%20OCCIDENTAL.pdf?csf=1&amp;web=1&amp;e=QuUYDS" TargetMode="External"/><Relationship Id="rId835"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258" Type="http://schemas.openxmlformats.org/officeDocument/2006/relationships/hyperlink" Target="../../../../../../../:b:/g/personal/comunicacionesdiveliv_educacionbogota_gov_co/EXDXIFqd2cBPtccsXnwqrd8B5J5VCEZ8JHp09WYo2_NAig?e=NP8Xje" TargetMode="External"/><Relationship Id="rId1465" Type="http://schemas.openxmlformats.org/officeDocument/2006/relationships/hyperlink" Target="../../../../../../../:b:/r/personal/comunicacionesdiveliv_educacionbogota_gov_co/Documents/DIRECCION%20DE%20INSPECCION%20Y%20VIGILANCIA/DIV%20POAIV/POAIV%202025/ELIV%20LOS%20M%C3%81RTIRES/PRIORIZADOS/TRIM%20II/20250411%20IETDH_Corphoesthetic.pdf?csf=1&amp;web=1&amp;e=t7BKqJ" TargetMode="External"/><Relationship Id="rId1672"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020"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118" Type="http://schemas.openxmlformats.org/officeDocument/2006/relationships/hyperlink" Target="../../../../../../../:b:/r/personal/comunicacionesdiveliv_educacionbogota_gov_co/Documents/DIRECCION%20DE%20INSPECCION%20Y%20VIGILANCIA/DIV%20POAIV/POAIV%202025/ELIV%20CHAPINERO/PRIORIZADOS/TRIM%20III/INCAP/Acta%20IETDH%20INCAP.pdf?csf=1&amp;web=1&amp;e=PMTeWY" TargetMode="External"/><Relationship Id="rId1325"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2" Type="http://schemas.openxmlformats.org/officeDocument/2006/relationships/hyperlink" Target="https://educacionbogota-my.sharepoint.com/:b:/g/personal/comunicacionesdiveliv_educacionbogota_gov_co/EZE-vVmDPAlOqGAOAoGBk08BsTm1Mc3wlXA1_-cQkdO9Wg?e=qgUvMm" TargetMode="External"/><Relationship Id="rId1977" Type="http://schemas.openxmlformats.org/officeDocument/2006/relationships/hyperlink" Target="https://educacionbogota-my.sharepoint.com/:b:/g/personal/comunicacionesdiveliv_educacionbogota_gov_co/EVUeggJPUO5Foh4h5IjMFUQBEG1zuGb6eBJmxTyua9djgg?e=eztXo2" TargetMode="External"/><Relationship Id="rId902"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837" Type="http://schemas.openxmlformats.org/officeDocument/2006/relationships/hyperlink" Target="../../../../../../../:b:/r/personal/comunicacionesdiveliv_educacionbogota_gov_co/Documents/DIRECCION%20DE%20INSPECCION%20Y%20VIGILANCIA/DIV%20POAIV/POAIV%202025/ELIV%20TEUSAQUILLO/PRIORIZADOS/TRIM%20II/00_CODEMA_VISITA_FinesMejoramiento_POAIV2025_16052025_FirmadaSoportes.pdf?csf=1&amp;web=1&amp;e=xho0ag" TargetMode="External"/><Relationship Id="rId31"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80" Type="http://schemas.openxmlformats.org/officeDocument/2006/relationships/hyperlink" Target="https://shre.ink/evjR" TargetMode="External"/><Relationship Id="rId278" Type="http://schemas.openxmlformats.org/officeDocument/2006/relationships/hyperlink" Target="../../../../../../../:x:/r/personal/comunicacionesdiveliv_educacionbogota_gov_co/Documents/DIRECCION%20DE%20INSPECCION%20Y%20VIGILANCIA/DIV%20POAIV/POAIV%202025/ELIV%20CHAPINERO/PRIORIZADOS/TRIM%20II/LICEO%20FRANCES%20LOUIS%20PASTEUR/20240913_FV_Manuales_Convivencia%20LICEO%20FRANCES.xlsx?d=w9dae86f660d64ff3ab07d70b092285f9&amp;csf=1&amp;web=1&amp;e=rVrC32" TargetMode="External"/><Relationship Id="rId1904"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Instituto_Colombo_Sueco.pdf?csf=1&amp;web=1&amp;e=RfMkLg" TargetMode="External"/><Relationship Id="rId485"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692"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138" Type="http://schemas.openxmlformats.org/officeDocument/2006/relationships/hyperlink" Target="https://shre.ink/Mnjr" TargetMode="External"/><Relationship Id="rId345"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552"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997"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182" Type="http://schemas.openxmlformats.org/officeDocument/2006/relationships/hyperlink" Target="../../../../../../../:b:/r/personal/comunicacionesdiveliv_educacionbogota_gov_co/Documents/DIRECCION%20DE%20INSPECCION%20Y%20VIGILANCIA/DIV%20POAIV/POAIV%202025/ELIV%20ANTONIO%20NARI%C3%91O/PRIORIZADOS/TRIM%20II/05.%20Acta%20de%20Visita%20Ctro%20de%20Idiomas%20ULA.pdf?csf=1&amp;web=1&amp;e=ObILuj" TargetMode="External"/><Relationship Id="rId2026" Type="http://schemas.openxmlformats.org/officeDocument/2006/relationships/hyperlink" Target="https://educacionbogota-my.sharepoint.com/:b:/g/personal/comunicacionesdiveliv_educacionbogota_gov_co/IQDBZFKe66-XQ5oSJfVfCN12ATMFTUzUCN4nOIbiliGpOx0?e=ytY7LO" TargetMode="External"/><Relationship Id="rId205" Type="http://schemas.openxmlformats.org/officeDocument/2006/relationships/hyperlink" Target="https://shre.ink/eKSY" TargetMode="External"/><Relationship Id="rId412"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857"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042"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487"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694"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717" Type="http://schemas.openxmlformats.org/officeDocument/2006/relationships/hyperlink" Target="../../../../../../../:f:/r/personal/comunicacionesdiveliv_educacionbogota_gov_co/Documents/DIRECCION%20DE%20INSPECCION%20Y%20VIGILANCIA/DIV%20POAIV/POAIV%202025/ELIV%20PUENTE%20ARANDA/PRIORIZADOS/TRIM%20II/VISITA%20CON%20FINES%20DE%20MEJORAMIENTO%20COLEGIO%20SANTA%20TERESITA?csf=1&amp;web=1&amp;e=kOkShk" TargetMode="External"/><Relationship Id="rId924" Type="http://schemas.openxmlformats.org/officeDocument/2006/relationships/hyperlink" Target="../../../../../../../:b:/r/personal/comunicacionesdiveliv_educacionbogota_gov_co/Documents/DIRECCION%20DE%20INSPECCION%20Y%20VIGILANCIA/DIV%20POAIV/POAIV%202025/ELIV%20TUNJUELITO/PRIORIZADOS/TRIM%20II/CENTRO%20EDUCATIVO%20SURAMERICANO/C.E.%20SURAMERICANO%2016-5-2025_250527_08125527052025.pdf?csf=1&amp;web=1&amp;e=jpKfIY" TargetMode="External"/><Relationship Id="rId1347" Type="http://schemas.openxmlformats.org/officeDocument/2006/relationships/hyperlink" Target="../../../../../../../:b:/g/personal/comunicacionesdiveliv_educacionbogota_gov_co/EUwXYE3zRUdHmUmCMjP9SMsBxRjqVyiXhd3Mm_oW-xdMiA?e=0ppQr2" TargetMode="External"/><Relationship Id="rId1554"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761" Type="http://schemas.openxmlformats.org/officeDocument/2006/relationships/hyperlink" Target="../../../../../../../:b:/g/personal/comunicacionesdiveliv_educacionbogota_gov_co/EYDzPp7kUl1GtSpcbcbj9XkByOx0lTdfxy2ScYRvrF5Ppw?e=GRw5IO" TargetMode="External"/><Relationship Id="rId1999" Type="http://schemas.openxmlformats.org/officeDocument/2006/relationships/hyperlink" Target="https://educacionbogota-my.sharepoint.com/personal/comunicacionesdiveliv_educacionbogota_gov_co/_layouts/15/onedrive.aspx?e=5%3A1c9f74dd5f1a490b86e5735e757f5e24&amp;sharingv2=true&amp;fromShare=true&amp;at=9&amp;CT=1769198013255&amp;OR=OWA%2DNT%2DMail&amp;CID=eb50b35c%2D1f63%2D86e2%2Db109%2D3d90336eb20a&amp;id=%2Fpersonal%2Fcomunicacionesdiveliv%5Feducacionbogota%5Fgov%5Fco%2FDocuments%2FDIRECCION%20DE%20INSPECCION%20Y%20VIGILANCIA%2FDIV%20POAIV%2FPOAIV%202025%2FELIV%20CHAPINERO%2FPRIORIZADOS%2FTRIM%20IV%2FESCUELA%20DE%20AUXILIARES%20EN%20ENFERMERIA%20HOSPITAL%20MILITAR%20CENTRAL&amp;FolderCTID=0x0120003F990D12781BB346B8D0705E8416ECF6&amp;view=0" TargetMode="External"/><Relationship Id="rId53"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207" Type="http://schemas.openxmlformats.org/officeDocument/2006/relationships/hyperlink" Target="../../../../../../../:b:/g/personal/comunicacionesdiveliv_educacionbogota_gov_co/Ed7YHKLS-yJIseYK8QcWBegBJZQ3Z4w3kQPANktP0Hq_kw?e=0AEuSm" TargetMode="External"/><Relationship Id="rId1414" Type="http://schemas.openxmlformats.org/officeDocument/2006/relationships/hyperlink" Target="https://educacionbogota-my.sharepoint.com/:b:/g/personal/comunicacionesdiveliv_educacionbogota_gov_co/EZRxFJ-Rd89Pu7EGFSmHYpABAO6tmyKg5lFyrScuIcKqCg?e=He1SZj" TargetMode="External"/><Relationship Id="rId1621" Type="http://schemas.openxmlformats.org/officeDocument/2006/relationships/hyperlink" Target="../../../../../../../:b:/r/personal/comunicacionesdiveliv_educacionbogota_gov_co/Documents/DIRECCION%20DE%20INSPECCION%20Y%20VIGILANCIA/DIV%20POAIV/POAIV%202025/ELIV%20SUBA/PRIORIZADOS/TRIM%20II/29042025%20Visita%20Gim%20moderno%20futuro.pdf?csf=1&amp;web=1&amp;e=ACE8m4" TargetMode="External"/><Relationship Id="rId1859"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719" Type="http://schemas.openxmlformats.org/officeDocument/2006/relationships/hyperlink" Target="../../../../../../../:b:/r/personal/comunicacionesdiveliv_educacionbogota_gov_co/Documents/DIRECCION%20DE%20INSPECCION%20Y%20VIGILANCIA/DIV%20POAIV/POAIV%202025/ELIV%20SUBA/PRIORIZADOS/TRIM%20III/GIMANSIO%20LA%20CIMA.pdf?csf=1&amp;web=1&amp;e=ToUbYB" TargetMode="External"/><Relationship Id="rId1926"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367"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574"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2048" Type="http://schemas.openxmlformats.org/officeDocument/2006/relationships/hyperlink" Target="https://educacionbogota-my.sharepoint.com/:b:/g/personal/comunicacionesdiveliv_educacionbogota_gov_co/IQC0csq_OZdlT5Qv-06sUVZLAZ99LxHD5zoTg2VlUCEp3L4?e=EdJ811" TargetMode="External"/><Relationship Id="rId227" Type="http://schemas.openxmlformats.org/officeDocument/2006/relationships/hyperlink" Target="https://shre.ink/eKLw" TargetMode="External"/><Relationship Id="rId781" Type="http://schemas.openxmlformats.org/officeDocument/2006/relationships/hyperlink" Target="../../../../../../../:b:/r/personal/comunicacionesdiveliv_educacionbogota_gov_co/Documents/DIRECCION%20DE%20INSPECCION%20Y%20VIGILANCIA/DIV%20POAIV/POAIV%202025/SAN%20CRIST%C3%93BAL/PRIORIZADOS/TRIM%20II/0411%20Acta%20visita%20Liceo%20Sendero%20del%20Saber%20%2011042025.pdf?csf=1&amp;web=1&amp;e=3bnIPU" TargetMode="External"/><Relationship Id="rId879"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434"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641" Type="http://schemas.openxmlformats.org/officeDocument/2006/relationships/hyperlink" Target="../../../../../../../:b:/r/personal/comunicacionesdiveliv_educacionbogota_gov_co/Documents/DIRECCION%20DE%20INSPECCION%20Y%20VIGILANCIA/DIV%20POAIV/POAIV%202025/ELIV%20KENNEDY/PRIORIZADOS/TRIM%20II/ACTA%20VISITA%20GIMNASIO%20MODERNO%20EL%20TINTAL.pdf?csf=1&amp;web=1&amp;e=RiLl0l" TargetMode="External"/><Relationship Id="rId739"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1064"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71" Type="http://schemas.openxmlformats.org/officeDocument/2006/relationships/hyperlink" Target="../../../../../../../:b:/g/personal/comunicacionesdiveliv_educacionbogota_gov_co/EYC-_IGI59ZJkaQGDNJiRVQB-RjSIIB-kuO2MF7Oc1cNuA?e=ewGYim" TargetMode="External"/><Relationship Id="rId1369"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1576"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501"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946"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31" Type="http://schemas.openxmlformats.org/officeDocument/2006/relationships/hyperlink" Target="https://educacionbogota-my.sharepoint.com/:b:/g/personal/comunicacionesdiveliv_educacionbogota_gov_co/EYO98_Q415ZLn_AiLoFPYfQBxqtJLIEyHvpDcf-ccGBqfQ?e=GmEuys" TargetMode="External"/><Relationship Id="rId1229" Type="http://schemas.openxmlformats.org/officeDocument/2006/relationships/hyperlink" Target="../../../../../../../:b:/g/personal/comunicacionesdiveliv_educacionbogota_gov_co/ERzMaCAxKL1NqszoLwR48UwBoQP72q40f-ul--HtX_xaYA?e=8Me0ll" TargetMode="External"/><Relationship Id="rId1783" Type="http://schemas.openxmlformats.org/officeDocument/2006/relationships/hyperlink" Target="../../../../../../../:b:/g/personal/comunicacionesdiveliv_educacionbogota_gov_co/ERb5Dd2rYhxAgR8qkc_tfB0Bi1uAcePgZyCOMAQKOTkK4w?e=2Ldr08" TargetMode="External"/><Relationship Id="rId1990"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V%2FINSTITUTO%20BILING%C3%9CE%20DEL%20SUR%2FActa%20Visita%20Bilingue%20del%20Sur%2003102025%2Epdf&amp;parent=%2Fpersonal%2Fcomunicacionesdiveliv%5Feducacionbogota%5Fgov%5Fco%2FDocuments%2FDIRECCION%20DE%20INSPECCION%20Y%20VIGILANCIA%2FDIV%20POAIV%2FPOAIV%202025%2FELIV%20TUNJUELITO%2FPRIORIZADOS%2FTRIM%20IV%2FINSTITUTO%20BILING%C3%9CE%20DEL%20SUR&amp;ct=1769196861454&amp;or=OWA%2DNT%2DMail&amp;cid=0dca69bf%2D648c%2Db929%2D26d7%2D476b4088d1a9&amp;ga=1" TargetMode="External"/><Relationship Id="rId75"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6"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436" Type="http://schemas.openxmlformats.org/officeDocument/2006/relationships/hyperlink" Target="../../../../../../../:b:/r/personal/comunicacionesdiveliv_educacionbogota_gov_co/Documents/DIRECCION%20DE%20INSPECCION%20Y%20VIGILANCIA/DIV%20POAIV/POAIV%202025/ELIV%20KENNEDY/PRIORIZADOS/TRIM%20II/ACTA%20DE%20VISITA_INSTITUTO%20DE%20EDUCACION%20EMAUS_22_05_25.pdf?csf=1&amp;web=1&amp;e=964GAv" TargetMode="External"/><Relationship Id="rId1643" Type="http://schemas.openxmlformats.org/officeDocument/2006/relationships/hyperlink" Target="../../../../../../../:b:/r/personal/comunicacionesdiveliv_educacionbogota_gov_co/Documents/DIRECCION%20DE%20INSPECCION%20Y%20VIGILANCIA/DIV%20POAIV/POAIV%202025/ELIV%20SUBA/PRIORIZADOS/TRIM%20II/ACTA%20DE%20VISITA%20COLEGIO%20%C3%81LVARO%20G%C3%93MEZ%20HURTADO.pdf?csf=1&amp;web=1&amp;e=JUqTbx" TargetMode="External"/><Relationship Id="rId1850" Type="http://schemas.openxmlformats.org/officeDocument/2006/relationships/hyperlink" Target="../../../../../../../:b:/r/personal/comunicacionesdiveliv_educacionbogota_gov_co/Documents/DIRECCION%20DE%20INSPECCION%20Y%20VIGILANCIA/DIV%20POAIV/POAIV%202025/ELIV%20TUNJUELITO/PRIORIZADOS/TRIM%20II/COLEGIO%20COOPERATIVO%20VENECIA/ACTA%20VISITA%20COL%20COOPERATIVO%20VENECIA%2016062025.pdf?csf=1&amp;web=1&amp;e=xmzePO" TargetMode="External"/><Relationship Id="rId1503"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1710" Type="http://schemas.openxmlformats.org/officeDocument/2006/relationships/hyperlink" Target="../../../../../../../:b:/r/personal/comunicacionesdiveliv_educacionbogota_gov_co/Documents/DIRECCION%20DE%20INSPECCION%20Y%20VIGILANCIA/DIV%20POAIV/POAIV%202025/ELIV%20SUBA/PRIORIZADOS/TRIM%20III/acta%20visita%20col%20CENCOSISTEMAS.pdf?csf=1&amp;web=1&amp;e=KKGIsx" TargetMode="External"/><Relationship Id="rId1948" Type="http://schemas.openxmlformats.org/officeDocument/2006/relationships/hyperlink" Target="https://educacionbogota-my.sharepoint.com/:b:/g/personal/comunicacionesdiveliv_educacionbogota_gov_co/EXJsYwHiq-tFkLZ19Z7sHEAB3YLMJEh6WsvxFfDy8Eat8w?e=iI3eAK" TargetMode="External"/><Relationship Id="rId291"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1808"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51" Type="http://schemas.openxmlformats.org/officeDocument/2006/relationships/hyperlink" Target="https://shre.ink/eCE6" TargetMode="External"/><Relationship Id="rId389"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6" Type="http://schemas.openxmlformats.org/officeDocument/2006/relationships/hyperlink" Target="../../../../../../../:b:/r/personal/comunicacionesdiveliv_educacionbogota_gov_co/Documents/DIRECCION%20DE%20INSPECCION%20Y%20VIGILANCIA/DIV%20POAIV/POAIV%202025/ELIV%20KENNEDY/PRIORIZADOS/TRIM%20II/ACTA%20VISITA%20COLEGIO_CHARLES_BABAGGE.pdf?csf=1&amp;web=1&amp;e=Qhnwfp" TargetMode="External"/><Relationship Id="rId249" Type="http://schemas.openxmlformats.org/officeDocument/2006/relationships/hyperlink" Target="https://shre.ink/ebhv" TargetMode="External"/><Relationship Id="rId456"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63" Type="http://schemas.openxmlformats.org/officeDocument/2006/relationships/hyperlink" Target="../../../../../../../:b:/r/personal/comunicacionesdiveliv_educacionbogota_gov_co/Documents/DIRECCION%20DE%20INSPECCION%20Y%20VIGILANCIA/DIV%20POAIV/POAIV%202025/ELIV%20KENNEDY/PRIORIZADOS/TRIM%20II/ACTA%20DE%20VISITA%20COLEGIO%20SAGRADO%20CORAZON.pdf?csf=1&amp;web=1&amp;e=VDW5fC" TargetMode="External"/><Relationship Id="rId870"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adultos.pdf?csf=1&amp;web=1&amp;e=xv7Sfs" TargetMode="External"/><Relationship Id="rId1086"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293"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109"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316" Type="http://schemas.openxmlformats.org/officeDocument/2006/relationships/hyperlink" Target="../../../../../../../:b:/r/personal/comunicacionesdiveliv_educacionbogota_gov_co/Documents/DIRECCION%20DE%20INSPECCION%20Y%20VIGILANCIA/DIV%20POAIV/POAIV%202025/ELIV%20CIUDAD%20BOL%C3%8DVAR/PRIORIZADOS/TRIM%20II/20250408ActaVisitaInstInstPsicopedTesoroVerdad%20(2)%20(1).pdf?csf=1&amp;web=1&amp;e=WBrwFi" TargetMode="External"/><Relationship Id="rId523"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968"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153" Type="http://schemas.openxmlformats.org/officeDocument/2006/relationships/hyperlink" Target="https://educacionbogota-my.sharepoint.com/:b:/g/personal/comunicacionesdiveliv_educacionbogota_gov_co/EXKnREsSVEtGqHjKbn9fduwBlny6BCei4ltKgDnU8dyyyg?e=koY4f8" TargetMode="External"/><Relationship Id="rId1598"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97"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730"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828"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013"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360" Type="http://schemas.openxmlformats.org/officeDocument/2006/relationships/hyperlink" Target="../../../../../../../:b:/r/personal/comunicacionesdiveliv_educacionbogota_gov_co/Documents/DIRECCION%20DE%20INSPECCION%20Y%20VIGILANCIA/DIV%20POAIV/POAIV%202025/ELIV%20FONTIB%C3%93N/PRIORIZADOS/TRIM%20II/COLEGIO%20NUEVO%20MONTESSORIANO/VISITA%20CON%20FINES%20DE%20MEJORAMIENTO%20COLEGIO%20NUEVO%20MONTESSORIANO.pdf?csf=1&amp;web=1&amp;e=xkMQM8" TargetMode="External"/><Relationship Id="rId1458" Type="http://schemas.openxmlformats.org/officeDocument/2006/relationships/hyperlink" Target="../../../../../../../:b:/g/personal/comunicacionesdiveliv_educacionbogota_gov_co/EWJMZc_A7pZNuxhkCuS_b0IBkKmTe47NeUARn_DnurVj2w?e=EC9gtW" TargetMode="External"/><Relationship Id="rId1665"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2"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220" Type="http://schemas.openxmlformats.org/officeDocument/2006/relationships/hyperlink" Target="../../../../../../../:b:/g/personal/comunicacionesdiveliv_educacionbogota_gov_co/EVq-ADkpISBAv6vIxGTHjGkBTNkhNixPD_4fn0wl9zbg9A?e=Gf9xda" TargetMode="External"/><Relationship Id="rId1318" Type="http://schemas.openxmlformats.org/officeDocument/2006/relationships/hyperlink" Target="../../../../../../../:b:/g/personal/comunicacionesdiveliv_educacionbogota_gov_co/EX50lx968y9GrquDjOwdiocBRlOHdbt1HVUni9Xd0AOfyQ?e=eNDjsk" TargetMode="External"/><Relationship Id="rId1525" Type="http://schemas.openxmlformats.org/officeDocument/2006/relationships/hyperlink" Target="https://educacionbogota-my.sharepoint.com/:b:/g/personal/comunicacionesdiveliv_educacionbogota_gov_co/ESB67dLFNX9LrEWsobPWLT8B3dvXjEUIKtBTBZspWw2z6A?e=OAA4Oe" TargetMode="External"/><Relationship Id="rId1732"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24"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73" Type="http://schemas.openxmlformats.org/officeDocument/2006/relationships/hyperlink" Target="https://shre.ink/evAg" TargetMode="External"/><Relationship Id="rId380"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240" Type="http://schemas.openxmlformats.org/officeDocument/2006/relationships/hyperlink" Target="https://shre.ink/e52M" TargetMode="External"/><Relationship Id="rId478"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685" Type="http://schemas.openxmlformats.org/officeDocument/2006/relationships/hyperlink" Target="../../../../../../../:b:/r/personal/comunicacionesdiveliv_educacionbogota_gov_co/Documents/DIRECCION%20DE%20INSPECCION%20Y%20VIGILANCIA/DIV%20POAIV/POAIV%202025/ELIV%20KENNEDY/PRIORIZADOS/TRIM%20II/ACTA%20DE%20VISITA%20COLEGIO%20TRIANGULO.pdf?csf=1&amp;web=1&amp;e=z5dGWo" TargetMode="External"/><Relationship Id="rId892"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100"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338" Type="http://schemas.openxmlformats.org/officeDocument/2006/relationships/hyperlink" Target="../../../../../../../:b:/r/personal/comunicacionesdiveliv_educacionbogota_gov_co/Documents/DIRECCION%20DE%20INSPECCION%20Y%20VIGILANCIA/DIV%20POAIV/POAIV%202025/ELIV%20CIUDAD%20BOL%C3%8DVAR/PRIORIZADOS/TRIM%20II/20250612%20ActaVisitaInstitutoCerrosSur.pdf?csf=1&amp;web=1&amp;e=dhMUIp" TargetMode="External"/><Relationship Id="rId545"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752" Type="http://schemas.openxmlformats.org/officeDocument/2006/relationships/hyperlink" Target="../../../../../../../:f:/r/personal/comunicacionesdiveliv_educacionbogota_gov_co/Documents/DIRECCION%20DE%20INSPECCION%20Y%20VIGILANCIA/DIV%20POAIV/POAIV%202025/ELIV%20PUENTE%20ARANDA/PRIORIZADOS/TRIM%20I?csf=1&amp;web=1&amp;e=9IPxQ1" TargetMode="External"/><Relationship Id="rId1175" Type="http://schemas.openxmlformats.org/officeDocument/2006/relationships/hyperlink" Target="../../../../../../../:b:/r/personal/comunicacionesdiveliv_educacionbogota_gov_co/Documents/DIRECCION%20DE%20INSPECCION%20Y%20VIGILANCIA/DIV%20POAIV/POAIV%202025/ELIV%20ANTONIO%20NARI%C3%91O/PRIORIZADOS/TRIM%20II/16.%20Acta%20Col%20Francisco%20de%20Paula%20Santander%20(IED)_signed.pdf?csf=1&amp;web=1&amp;e=W9nNCW" TargetMode="External"/><Relationship Id="rId1382"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2019" Type="http://schemas.openxmlformats.org/officeDocument/2006/relationships/hyperlink" Target="https://educacionbogota-my.sharepoint.com/:b:/g/personal/comunicacionesdiveliv_educacionbogota_gov_co/IQD3Mqgz3QvJQ70CPYiuQRX9AfNYQ9FpHgrzyC5T_7Fhxpo?e=Pml7cl" TargetMode="External"/><Relationship Id="rId405"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612" Type="http://schemas.openxmlformats.org/officeDocument/2006/relationships/hyperlink" Target="../../../../../../../:b:/r/personal/comunicacionesdiveliv_educacionbogota_gov_co/Documents/DIRECCION%20DE%20INSPECCION%20Y%20VIGILANCIA/DIV%20POAIV/POAIV%202025/ELIV%20KENNEDY/PRIORIZADOS/TRIM%20II/ACTA%20DE%20VISITA%20CIUDAD%20DE%20PATIO%20BONITO.pdf?csf=1&amp;web=1&amp;e=OsFFGq" TargetMode="External"/><Relationship Id="rId1035"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242" Type="http://schemas.openxmlformats.org/officeDocument/2006/relationships/hyperlink" Target="../../../../../../../:b:/g/personal/comunicacionesdiveliv_educacionbogota_gov_co/ERVcYNQPojxEn7bveI3Gp84B89VykYD-xj-f_Jbn0e4nLA?e=tB6t24" TargetMode="External"/><Relationship Id="rId1687"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1894" Type="http://schemas.openxmlformats.org/officeDocument/2006/relationships/hyperlink" Target="https://educacionbogota-my.sharepoint.com/:f:/g/personal/comunicacionesdiveliv_educacionbogota_gov_co/Eu7iVSVQ5xpOj_AZJf9A1dkBMX5Qs8hBfa_gmiFlIF4g_g?e=NLcUNB" TargetMode="External"/><Relationship Id="rId917"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102"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1547" Type="http://schemas.openxmlformats.org/officeDocument/2006/relationships/hyperlink" Target="https://educacionbogota-my.sharepoint.com/:b:/g/personal/comunicacionesdiveliv_educacionbogota_gov_co/EQ2DMzh0MnpKoCJRssnZC5MBVnmpWf5qGDTie_W3LZIycw?e=XoXAOg" TargetMode="External"/><Relationship Id="rId1754" Type="http://schemas.openxmlformats.org/officeDocument/2006/relationships/hyperlink" Target="../../../../../../../:b:/g/personal/comunicacionesdiveliv_educacionbogota_gov_co/EYXGYZZLrKtDsZmoXUoWpP8BKmEOE7yadec7nep9AvAofw?e=xBs3yL" TargetMode="External"/><Relationship Id="rId1961" Type="http://schemas.openxmlformats.org/officeDocument/2006/relationships/hyperlink" Target="https://educacionbogota-my.sharepoint.com/:b:/g/personal/comunicacionesdiveliv_educacionbogota_gov_co/ET2QxUqFxKtJkaDKcikNMnwB-Lrfw9_zcHJHhmJDmOegWg?e=bS3r0p" TargetMode="External"/><Relationship Id="rId46"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407"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614" Type="http://schemas.openxmlformats.org/officeDocument/2006/relationships/hyperlink" Target="../../../../../../../:b:/g/personal/comunicacionesdiveliv_educacionbogota_gov_co/EbuTU9tbcTxFs94RYLyR-3QBmd9zlhyBKgtY73RkkG3uEw?e=nZXF7Y" TargetMode="External"/><Relationship Id="rId1821"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5" Type="http://schemas.openxmlformats.org/officeDocument/2006/relationships/hyperlink" Target="https://shre.ink/evCM" TargetMode="External"/><Relationship Id="rId1919"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62" Type="http://schemas.openxmlformats.org/officeDocument/2006/relationships/hyperlink" Target="../../../../../../../:b:/r/personal/comunicacionesdiveliv_educacionbogota_gov_co/Documents/DIRECCION%20DE%20INSPECCION%20Y%20VIGILANCIA/DIV%20POAIV/POAIV%202025/ELIV%20CHAPINERO/PRIORIZADOS/TRIM%20II/UNILATINA/acta%20visita%20Colegio%20Unilatina.pdf?csf=1&amp;web=1&amp;e=XU2S26" TargetMode="External"/><Relationship Id="rId567" Type="http://schemas.openxmlformats.org/officeDocument/2006/relationships/hyperlink" Target="../../../../../../../:b:/r/personal/comunicacionesdiveliv_educacionbogota_gov_co/Documents/DIRECCION%20DE%20INSPECCION%20Y%20VIGILANCIA/DIV%20POAIV/POAIV%202025/ELIV%20ANTONIO%20NARI%C3%91O/PRIORIZADOS/TRIM%20II/15.%20Acta%20Col.%20Guillermo%20Le%C3%B3n%20Valencia%20IED.pdf?csf=1&amp;web=1&amp;e=VMKPfa" TargetMode="External"/><Relationship Id="rId1197" Type="http://schemas.openxmlformats.org/officeDocument/2006/relationships/hyperlink" Target="../../../../../../../:f:/g/personal/comunicacionesdiveliv_educacionbogota_gov_co/EhaPlKZXOxZPnJSkDFS7Xi8BkvkQYs8UygTz5NDbEt5vMw?e=beSMIQ" TargetMode="External"/><Relationship Id="rId122" Type="http://schemas.openxmlformats.org/officeDocument/2006/relationships/hyperlink" Target="https://shre.ink/Mn5W" TargetMode="External"/><Relationship Id="rId774" Type="http://schemas.openxmlformats.org/officeDocument/2006/relationships/hyperlink" Target="../../../../../../../:b:/r/personal/comunicacionesdiveliv_educacionbogota_gov_co/Documents/DIRECCION%20DE%20INSPECCION%20Y%20VIGILANCIA/DIV%20POAIV/POAIV%202025/SAN%20CRIST%C3%93BAL/PRIORIZADOS/TRIM%20I/ACTA%20VISITA%20ADMINISTRATIVA%20COLEGIO%20INTEGRAL%20AVANCEMOS.pdf?csf=1&amp;web=1&amp;e=DbivjX" TargetMode="External"/><Relationship Id="rId981"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057"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2010" Type="http://schemas.openxmlformats.org/officeDocument/2006/relationships/hyperlink" Target="https://educacionbogota-my.sharepoint.com/:b:/g/personal/comunicacionesdiveliv_educacionbogota_gov_co/IQBFwzwbOLe_SYEbTDkbJvshAXeM7hfHg6Yc5-ZsiRz7kbQ?e=joWfMb" TargetMode="External"/><Relationship Id="rId427"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4" Type="http://schemas.openxmlformats.org/officeDocument/2006/relationships/hyperlink" Target="../../../../../../../:b:/r/personal/comunicacionesdiveliv_educacionbogota_gov_co/Documents/DIRECCION%20DE%20INSPECCION%20Y%20VIGILANCIA/DIV%20POAIV/POAIV%202025/ELIV%20KENNEDY/PRIORIZADOS/TRIM%20II/ACTA%20VISITA%20COLEGIO%20MANDALAY.pdf?csf=1&amp;web=1&amp;e=Fig97B" TargetMode="External"/><Relationship Id="rId841"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1264" Type="http://schemas.openxmlformats.org/officeDocument/2006/relationships/hyperlink" Target="../../../../../../../:b:/g/personal/comunicacionesdiveliv_educacionbogota_gov_co/EXDXIFqd2cBPtccsXnwqrd8B5J5VCEZ8JHp09WYo2_NAig?e=NP8Xje" TargetMode="External"/><Relationship Id="rId1471"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1569"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701" Type="http://schemas.openxmlformats.org/officeDocument/2006/relationships/hyperlink" Target="../../../../../../../:b:/r/personal/comunicacionesdiveliv_educacionbogota_gov_co/Documents/DIRECCION%20DE%20INSPECCION%20Y%20VIGILANCIA/DIV%20POAIV/POAIV%202025/ELIV%20KENNEDY/PRIORIZADOS/TRIM%20II/ACTA%20DE%20VISITA_INSTITUTO%20DE%20EDUCACION%20EMAUS_22_05_25.pdf?csf=1&amp;web=1&amp;e=964GAv" TargetMode="External"/><Relationship Id="rId939"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124" Type="http://schemas.openxmlformats.org/officeDocument/2006/relationships/hyperlink" Target="https://educacionbogota-my.sharepoint.com/:b:/g/personal/comunicacionesdiveliv_educacionbogota_gov_co/EeK6oyECBGFCld1489Pv2ScBWXREa1mjizxx2knejVCfcA?e=5Pnbm5" TargetMode="External"/><Relationship Id="rId1331"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776" Type="http://schemas.openxmlformats.org/officeDocument/2006/relationships/hyperlink" Target="../../../../../../../:b:/g/personal/comunicacionesdiveliv_educacionbogota_gov_co/EXsH9uY3gmlLlwMz3Yu7GbUBhco9lko55MqTQ77-a0xomg?e=A0mEZw" TargetMode="External"/><Relationship Id="rId1983"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UNJUELITO%2FPRIORIZADOS%2FTRIM%20III%2FCOLEGIO%20COOPERATIVO%20NUEVO%20MUZU%2FVisita%20Cooperativo%20Nuevo%20Muzu%2025072025%5F250803%5F19012403082025%2Epdf&amp;parent=%2Fpersonal%2Fcomunicacionesdiveliv%5Feducacionbogota%5Fgov%5Fco%2FDocuments%2FDIRECCION%20DE%20INSPECCION%20Y%20VIGILANCIA%2FDIV%20POAIV%2FPOAIV%202025%2FELIV%20TUNJUELITO%2FPRIORIZADOS%2FTRIM%20III%2FCOLEGIO%20COOPERATIVO%20NUEVO%20MUZU&amp;ct=1769196465783&amp;or=OWA%2DNT%2DMail&amp;cid=3073f0a4%2D6b7c%2D40cf%2D2fe1%2D15304ff48b94&amp;ga=1" TargetMode="External"/><Relationship Id="rId68"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429" Type="http://schemas.openxmlformats.org/officeDocument/2006/relationships/hyperlink" Target="../../../../../../../:b:/r/personal/comunicacionesdiveliv_educacionbogota_gov_co/Documents/DIRECCION%20DE%20INSPECCION%20Y%20VIGILANCIA/DIV%20POAIV/POAIV%202025/ELIV%20KENNEDY/PRIORIZADOS/TRIM%20II/ACTA%20DE%20VISITA%20COLEGIO%20TECNISISTEMAS.pdf?csf=1&amp;web=1&amp;e=DolaAx" TargetMode="External"/><Relationship Id="rId1636" Type="http://schemas.openxmlformats.org/officeDocument/2006/relationships/hyperlink" Target="../../../../../../../:b:/r/personal/comunicacionesdiveliv_educacionbogota_gov_co/Documents/DIRECCION%20DE%20INSPECCION%20Y%20VIGILANCIA/DIV%20POAIV/POAIV%202025/ELIV%20SUBA/PRIORIZADOS/TRIM%20II/29042025%20Acta%20gim%20campestre%20de%20guilford.pdf?csf=1&amp;web=1&amp;e=NiWHHu" TargetMode="External"/><Relationship Id="rId1843" Type="http://schemas.openxmlformats.org/officeDocument/2006/relationships/hyperlink" Target="../../../../../../../:b:/r/personal/comunicacionesdiveliv_educacionbogota_gov_co/Documents/DIRECCION%20DE%20INSPECCION%20Y%20VIGILANCIA/DIV%20POAIV/POAIV%202025/ELIV%20TEUSAQUILLO/PRIORIZADOS/TRIM%20II/00_ROSALITO_ActaAVISITA_FinesMejoramiento_POAIV2025_04062025_FirmadaSoportes.pdf?csf=1&amp;web=1&amp;e=bHiuLn" TargetMode="External"/><Relationship Id="rId1703"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1910" Type="http://schemas.openxmlformats.org/officeDocument/2006/relationships/hyperlink" Target="../../../../../../../:b:/r/personal/comunicacionesdiveliv_educacionbogota_gov_co/Documents/DIRECCION%20DE%20INSPECCION%20Y%20VIGILANCIA/DIV%20POAIV/POAIV%202025/ELIV%20USME/PRIORIZADOS/TRIM%20II/02ActaVisitaAdministrativaColegioSanMarino23052025.pdf?csf=1&amp;web=1&amp;e=qdKCGy" TargetMode="External"/><Relationship Id="rId284"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491"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144" Type="http://schemas.openxmlformats.org/officeDocument/2006/relationships/hyperlink" Target="https://shre.ink/Mnjr" TargetMode="External"/><Relationship Id="rId589" Type="http://schemas.openxmlformats.org/officeDocument/2006/relationships/hyperlink" Target="../../../../../../../:b:/r/personal/comunicacionesdiveliv_educacionbogota_gov_co/Documents/DIRECCION%20DE%20INSPECCION%20Y%20VIGILANCIA/DIV%20POAIV/POAIV%202025/ELIV%20KENNEDY/PRIORIZADOS/TRIM%20II/ACTA%20VISITA%20COLEGIO%20CENTRO%20DE%20INSTRUCCION%20SISTEMATIZADA%20CEIS.pdf?csf=1&amp;web=1&amp;e=Xzzhws" TargetMode="External"/><Relationship Id="rId796" Type="http://schemas.openxmlformats.org/officeDocument/2006/relationships/hyperlink" Target="../../../../../../../:b:/r/personal/comunicacionesdiveliv_educacionbogota_gov_co/Documents/DIRECCION%20DE%20INSPECCION%20Y%20VIGILANCIA/DIV%20POAIV/POAIV%202025/ELIV%20SAN%20CRIST%C3%93BAL/PRIORIZADOS/TRIM%20II/0509%20Acta%20visita%20Liceo%20el%20Encanto.pdf?csf=1&amp;web=1&amp;e=70Z0cq" TargetMode="External"/><Relationship Id="rId351"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449"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656"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863"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079"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286"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493" Type="http://schemas.openxmlformats.org/officeDocument/2006/relationships/hyperlink" Target="../../../../../../../:b:/r/personal/comunicacionesdiveliv_educacionbogota_gov_co/Documents/DIRECCION%20DE%20INSPECCION%20Y%20VIGILANCIA/DIV%20POAIV/POAIV%202025/ELIV%20LOS%20M%C3%81RTIRES/PRIORIZADOS/TRIM%20III/20250805%20Formato_Visita%20COL_Panamericano_IED.pdf?csf=1&amp;web=1&amp;e=h2jbK5" TargetMode="External"/><Relationship Id="rId2032" Type="http://schemas.openxmlformats.org/officeDocument/2006/relationships/hyperlink" Target="../../../../../../../:b:/g/personal/comunicacionesdiveliv_educacionbogota_gov_co/IQDGOU2PwYn2R7UkmejMYcAaAW3pxD0XlK9My2B4RACpRTk?e=mIMJEQ" TargetMode="External"/><Relationship Id="rId211" Type="http://schemas.openxmlformats.org/officeDocument/2006/relationships/hyperlink" Target="https://shre.ink/eK5b" TargetMode="External"/><Relationship Id="rId309" Type="http://schemas.openxmlformats.org/officeDocument/2006/relationships/hyperlink" Target="../../../../../../../:b:/r/personal/comunicacionesdiveliv_educacionbogota_gov_co/Documents/DIRECCION%20DE%20INSPECCION%20Y%20VIGILANCIA/DIV%20POAIV/POAIV%202025/ELIV%20CHAPINERO/PRIORIZADOS/TRIM%20III/INSTITUTO%20%20BERLITZ/ACTA%20BERLITZ.pdf?csf=1&amp;web=1&amp;e=7ha7j0" TargetMode="External"/><Relationship Id="rId516"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1146" Type="http://schemas.openxmlformats.org/officeDocument/2006/relationships/hyperlink" Target="https://educacionbogota-my.sharepoint.com/:b:/g/personal/comunicacionesdiveliv_educacionbogota_gov_co/Eb-UniLmS69Hl4UD82s7xUwBCuh_o4-APb2BjCOXcEtG7Q?e=4AOR0A" TargetMode="External"/><Relationship Id="rId1798" Type="http://schemas.openxmlformats.org/officeDocument/2006/relationships/hyperlink" Target="../../../../../../../:b:/g/personal/comunicacionesdiveliv_educacionbogota_gov_co/Ef7_QnClfQhImGpKaz8qy2EBLZOz8tOaQud_TfNMqzdZzg?e=PdJsHA" TargetMode="External"/><Relationship Id="rId723" Type="http://schemas.openxmlformats.org/officeDocument/2006/relationships/hyperlink" Target="../../../../../../../:b:/r/personal/comunicacionesdiveliv_educacionbogota_gov_co/Documents/DIRECCION%20DE%20INSPECCION%20Y%20VIGILANCIA/DIV%20POAIV/POAIV%202025/ELIV%20PUENTE%20ARANDA/PRIORIZADOS/TRIM%20II/20250429_Visita%20fines%20mejoramiento%20Liceo%20Coquibacoa/20250429_F%20visitas%20mejoramiento_LC%20v2.pdf?csf=1&amp;web=1&amp;e=M9i4d9" TargetMode="External"/><Relationship Id="rId930" Type="http://schemas.openxmlformats.org/officeDocument/2006/relationships/hyperlink" Target="../../../../../../../:b:/r/personal/comunicacionesdiveliv_educacionbogota_gov_co/Documents/DIRECCION%20DE%20INSPECCION%20Y%20VIGILANCIA/DIV%20POAIV/POAIV%202025/ELIV%20TUNJUELITO/PRIORIZADOS/TRIM%20II/COLEGIO%20BRITANICO/COLEGIO%20BRITANICO%2013-6-2025_250617_07543317062025.pdf?csf=1&amp;web=1&amp;e=HESoos" TargetMode="External"/><Relationship Id="rId1006"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353"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560" Type="http://schemas.openxmlformats.org/officeDocument/2006/relationships/hyperlink" Target="https://educacionbogota-my.sharepoint.com/:b:/g/personal/comunicacionesdiveliv_educacionbogota_gov_co/EWvvyghjp8BIqEdMZzfGJH0BwJEThgP4UrK0L_sGRmNhzA?e=m2OaTp" TargetMode="External"/><Relationship Id="rId1658" Type="http://schemas.openxmlformats.org/officeDocument/2006/relationships/hyperlink" Target="../../../../../../../:b:/r/personal/comunicacionesdiveliv_educacionbogota_gov_co/Documents/DIRECCION%20DE%20INSPECCION%20Y%20VIGILANCIA/DIV%20POAIV/POAIV%202025/ELIV%20SUBA/PRIORIZADOS/TRIM%20II/30062025%20acta%20visita%20col%20eduardo%20caballero%20calderon.pdf?csf=1&amp;web=1&amp;e=F8ylYd" TargetMode="External"/><Relationship Id="rId1865" Type="http://schemas.openxmlformats.org/officeDocument/2006/relationships/hyperlink" Target="https://educacionbogota-my.sharepoint.com/:f:/g/personal/comunicacionesdiveliv_educacionbogota_gov_co/Es-T1YVJLGNAg6MJTEExCF4B4BykbPLDpRoo8X3a34-ggA?e=4eQzOW" TargetMode="External"/><Relationship Id="rId1213" Type="http://schemas.openxmlformats.org/officeDocument/2006/relationships/hyperlink" Target="../../../../../../../:b:/g/personal/comunicacionesdiveliv_educacionbogota_gov_co/Ed7YHKLS-yJIseYK8QcWBegBJZQ3Z4w3kQPANktP0Hq_kw?e=0AEuSm" TargetMode="External"/><Relationship Id="rId1420" Type="http://schemas.openxmlformats.org/officeDocument/2006/relationships/hyperlink" Target="../../../../../../../:b:/r/personal/comunicacionesdiveliv_educacionbogota_gov_co/Documents/DIRECCION%20DE%20INSPECCION%20Y%20VIGILANCIA/DIV%20POAIV/POAIV%202025/ELIV%20FONTIB%C3%93N/PRIORIZADOS/TRIM%20II/COLEGIO%20LIDERES%20DEL%20MA%C3%91ANA%20(Criterio%20de%20Priorizaci%C3%B3n%20COLEGIO%20NUEVO)/3.%20Acta%20de%20Visita%20CON%20FINES%20DE%20MEJORAMIENTO%2031032025%20V.5%20%20-%20COLEGIO%20LIDERES%20DEL%20MA%C3%91ANA%202025%2004%2025.pdf?csf=1&amp;web=1&amp;e=3TQUkH" TargetMode="External"/><Relationship Id="rId1518" Type="http://schemas.openxmlformats.org/officeDocument/2006/relationships/hyperlink" Target="https://educacionbogota-my.sharepoint.com/:b:/g/personal/comunicacionesdiveliv_educacionbogota_gov_co/EfMj3YW7sBhPrScmxPMBGm4BoqwsidWk2oAU5uCS3dKvYQ?e=sWBWo1" TargetMode="External"/><Relationship Id="rId1725"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2" Type="http://schemas.openxmlformats.org/officeDocument/2006/relationships/hyperlink" Target="https://educacionbogota-my.sharepoint.com/:b:/g/personal/comunicacionesdiveliv_educacionbogota_gov_co/EX53YwG28gtEtW6nefbDovMBnq7016BBK-h1o87zvHkLOg?e=FHRQVb" TargetMode="External"/><Relationship Id="rId17"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66" Type="http://schemas.openxmlformats.org/officeDocument/2006/relationships/hyperlink" Target="https://shre.ink/evAg" TargetMode="External"/><Relationship Id="rId373" Type="http://schemas.openxmlformats.org/officeDocument/2006/relationships/hyperlink" Target="../../../../../../../:b:/r/personal/comunicacionesdiveliv_educacionbogota_gov_co/Documents/DIRECCION%20DE%20INSPECCION%20Y%20VIGILANCIA/DIV%20POAIV/POAIV%202025/ELIV%20ENGATIV%C3%81/PRIORIZADOS/TRIMI/ACTA%20DE%20VISITA%20CENTRO%20DE%20EDUCACION%20LABORAL%2027MAR2025%20FIRMADA.pdf?csf=1&amp;web=1&amp;e=B3FW8W" TargetMode="External"/><Relationship Id="rId580" Type="http://schemas.openxmlformats.org/officeDocument/2006/relationships/hyperlink" Target="../../../../../../../:b:/r/personal/comunicacionesdiveliv_educacionbogota_gov_co/Documents/DIRECCION%20DE%20INSPECCION%20Y%20VIGILANCIA/DIV%20POAIV/POAIV%202025/ELIV%20KENNEDY/PRIORIZADOS/TRIM%20I/ACTA%20VISITA%20COLEGIO_ATENIENSE.pdf?csf=1&amp;web=1&amp;e=N8Ck5b" TargetMode="External"/><Relationship Id="rId2054" Type="http://schemas.openxmlformats.org/officeDocument/2006/relationships/hyperlink" Target="https://educacionbogota-my.sharepoint.com/:b:/g/personal/comunicacionesdiveliv_educacionbogota_gov_co/IQDs1_abauWTQZ3gTrs7SMeCAT3BMtYh4QImQGXQEQSC_ms?e=GH9edr" TargetMode="External"/><Relationship Id="rId1"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233" Type="http://schemas.openxmlformats.org/officeDocument/2006/relationships/hyperlink" Target="https://acortar.link/WDQjzH" TargetMode="External"/><Relationship Id="rId440" Type="http://schemas.openxmlformats.org/officeDocument/2006/relationships/hyperlink" Target="../../../../../../../:b:/r/personal/comunicacionesdiveliv_educacionbogota_gov_co/Documents/DIRECCION%20DE%20INSPECCION%20Y%20VIGILANCIA/DIV%20POAIV/POAIV%202025/ELIV%20ENGATIV%C3%81/PRIORIZADOS/TRIM%20II/ActaLicCelestinFrei.pdf?csf=1&amp;web=1&amp;e=o4O95s" TargetMode="External"/><Relationship Id="rId678"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885"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70"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300"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538"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45" Type="http://schemas.openxmlformats.org/officeDocument/2006/relationships/hyperlink" Target="../../../../../../../:b:/r/personal/comunicacionesdiveliv_educacionbogota_gov_co/Documents/DIRECCION%20DE%20INSPECCION%20Y%20VIGILANCIA/DIV%20POAIV/POAIV%202025/ELIV%20PUENTE%20ARANDA/PRIORIZADOS/TRIM%20II/20250529_Visita%20fines%20mejoramiento%20Instituto%20Camargo%20Le%C3%B3n/20250611_F%20visitas%20mejoramiento_ICL%20v2.pdf?csf=1&amp;web=1&amp;e=nD8C4W" TargetMode="External"/><Relationship Id="rId952"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68"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1375" Type="http://schemas.openxmlformats.org/officeDocument/2006/relationships/hyperlink" Target="https://educacionbogota-my.sharepoint.com/:b:/g/personal/comunicacionesdiveliv_educacionbogota_gov_co/EaU6Gqyt-8VAl23h3KDLXNMBWVdXnUr02-BF8oG4ffVPaA?e=XkExgg" TargetMode="External"/><Relationship Id="rId1582"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81"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605"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2"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028"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235" Type="http://schemas.openxmlformats.org/officeDocument/2006/relationships/hyperlink" Target="../../../../../../../:b:/r/personal/comunicacionesdiveliv_educacionbogota_gov_co/Documents/DIRECCION%20DE%20INSPECCION%20Y%20VIGILANCIA/DIV%20POAIV/POAIV%202025/ELIV%20CIUDAD%20BOL%C3%8DVAR/PRIORIZADOS/TRIM%20III/20250812_Col%20Cofraternidad%20de%20San%20Fernando.pdf?csf=1&amp;web=1&amp;e=sLnUew" TargetMode="External"/><Relationship Id="rId1442" Type="http://schemas.openxmlformats.org/officeDocument/2006/relationships/hyperlink" Target="../../../../../../../:b:/r/personal/comunicacionesdiveliv_educacionbogota_gov_co/Documents/DIRECCION%20DE%20INSPECCION%20Y%20VIGILANCIA/DIV%20POAIV/POAIV%202025/ELIV%20KENNEDY/PRIORIZADOS/TRIM%20III/LICEO%20EMANUEL%20MARLUI.pdf?csf=1&amp;web=1&amp;e=BqIwVk" TargetMode="External"/><Relationship Id="rId1887"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1302" Type="http://schemas.openxmlformats.org/officeDocument/2006/relationships/hyperlink" Target="../../../../../../../:b:/g/personal/comunicacionesdiveliv_educacionbogota_gov_co/EXguH2JtjgZKvmo2nrFnZmABm7iDNKSoKdbLDBu4sw4CSw?e=hZEzKK" TargetMode="External"/><Relationship Id="rId1747" Type="http://schemas.openxmlformats.org/officeDocument/2006/relationships/hyperlink" Target="../../../../../../../:b:/g/personal/comunicacionesdiveliv_educacionbogota_gov_co/EfsHq-TeCL5MmzboQbKJWGIB_3ZH0TBzZrs6QRfSJW8o9A?e=mC6Fl5" TargetMode="External"/><Relationship Id="rId1954" Type="http://schemas.openxmlformats.org/officeDocument/2006/relationships/hyperlink" Target="https://educacionbogota-my.sharepoint.com/:b:/g/personal/comunicacionesdiveliv_educacionbogota_gov_co/EYiEZ0FBYepJvQBKX7SE93gBmteXUc1gGvoGbuAXs5s-VA?e=Ou7NPA" TargetMode="External"/><Relationship Id="rId39"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607" Type="http://schemas.openxmlformats.org/officeDocument/2006/relationships/hyperlink" Target="https://educacionbogota-my.sharepoint.com/:b:/g/personal/comunicacionesdiveliv_educacionbogota_gov_co/IQAOK6PeyL_GSIsL_G4VKiBvARDE0Juu4FjJ4e4Cb-rOcrU?e=LSKeGV" TargetMode="External"/><Relationship Id="rId1814"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88" Type="http://schemas.openxmlformats.org/officeDocument/2006/relationships/hyperlink" Target="https://shre.ink/evhA" TargetMode="External"/><Relationship Id="rId395"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255" Type="http://schemas.openxmlformats.org/officeDocument/2006/relationships/hyperlink" Target="../../../../../../../:b:/r/personal/comunicacionesdiveliv_educacionbogota_gov_co/Documents/DIRECCION%20DE%20INSPECCION%20Y%20VIGILANCIA/DIV%20POAIV/POAIV%202025/ELIV%20CHAPINERO/PRIORIZADOS/TRIM%20I/LICEO%20CERVANTES%20EL%20RETIRO/ACTA%20DE%20VISITA%20BILINGUISMO%20LICEO%20CERVANTES%20CON%20ANEXOS.pdf?csf=1&amp;web=1&amp;e=7hnGBP" TargetMode="External"/><Relationship Id="rId462"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1092"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97"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115" Type="http://schemas.openxmlformats.org/officeDocument/2006/relationships/hyperlink" Target="https://acortar.link/yAlpUW" TargetMode="External"/><Relationship Id="rId322"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767" Type="http://schemas.openxmlformats.org/officeDocument/2006/relationships/hyperlink" Target="../../../../../../../:b:/r/personal/comunicacionesdiveliv_educacionbogota_gov_co/Documents/DIRECCION%20DE%20INSPECCION%20Y%20VIGILANCIA/DIV%20POAIV/POAIV%202025/ELIV%20PUENTE%20ARANDA/PRIORIZADOS/TRIM%20III/25%2007%2023%20Palomitos%20traviesos/25%2007%2023%20acta%20visita%20PalomitosTraviesos.pdf?csf=1&amp;web=1&amp;e=XaUDWi" TargetMode="External"/><Relationship Id="rId974"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2003" Type="http://schemas.openxmlformats.org/officeDocument/2006/relationships/hyperlink" Target="https://educacionbogota-my.sharepoint.com/:b:/g/personal/comunicacionesdiveliv_educacionbogota_gov_co/IQA3Y0aDCPtrQ5VA6nkjifSLAVLmE_mmuF-CmZFUAobUj6w?e=WTMO02" TargetMode="External"/><Relationship Id="rId627" Type="http://schemas.openxmlformats.org/officeDocument/2006/relationships/hyperlink" Target="../../../../../../../:b:/r/personal/comunicacionesdiveliv_educacionbogota_gov_co/Documents/DIRECCION%20DE%20INSPECCION%20Y%20VIGILANCIA/DIV%20POAIV/POAIV%202025/ELIV%20KENNEDY/PRIORIZADOS/TRIM%20II/ACTA%20DE%20VISITA%20COLEGIO%20JAZMIN%20OCCIDENTAL.pdf?csf=1&amp;web=1&amp;e=QuUYDS" TargetMode="External"/><Relationship Id="rId834"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257" Type="http://schemas.openxmlformats.org/officeDocument/2006/relationships/hyperlink" Target="../../../../../../../:b:/g/personal/comunicacionesdiveliv_educacionbogota_gov_co/EXDXIFqd2cBPtccsXnwqrd8B5J5VCEZ8JHp09WYo2_NAig?e=NP8Xje" TargetMode="External"/><Relationship Id="rId1464" Type="http://schemas.openxmlformats.org/officeDocument/2006/relationships/hyperlink" Target="../../../../../../../:b:/r/personal/comunicacionesdiveliv_educacionbogota_gov_co/Documents/DIRECCION%20DE%20INSPECCION%20Y%20VIGILANCIA/DIV%20POAIV/POAIV%202025/ELIV%20LOS%20M%C3%81RTIRES/PRIORIZADOS/TRIMI/V.3%20Formato%20visita%20COL_REP%20BOL%20VZLA%20I.E.D..pdf?csf=1&amp;web=1&amp;e=Hx1WTh" TargetMode="External"/><Relationship Id="rId1671"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901"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117"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324"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1" Type="http://schemas.openxmlformats.org/officeDocument/2006/relationships/hyperlink" Target="https://educacionbogota-my.sharepoint.com/:b:/g/personal/comunicacionesdiveliv_educacionbogota_gov_co/EZE-vVmDPAlOqGAOAoGBk08BsTm1Mc3wlXA1_-cQkdO9Wg?e=qgUvMm" TargetMode="External"/><Relationship Id="rId1769" Type="http://schemas.openxmlformats.org/officeDocument/2006/relationships/hyperlink" Target="../../../../../../../:b:/r/personal/comunicacionesdiveliv_educacionbogota_gov_co/Documents/DIRECCION%20DE%20INSPECCION%20Y%20VIGILANCIA/DIV%20POAIV/POAIV%202025/ELIV%20SUBA/PRIORIZADOS/TRIMI/26032025%20Col%20santo%20Toribo%20de%20Mongrovejo.pdf?csf=1&amp;web=1&amp;e=jMZorD" TargetMode="External"/><Relationship Id="rId1976" Type="http://schemas.openxmlformats.org/officeDocument/2006/relationships/hyperlink" Target="https://educacionbogota-my.sharepoint.com/:b:/g/personal/comunicacionesdiveliv_educacionbogota_gov_co/EVUeggJPUO5Foh4h5IjMFUQBEG1zuGb6eBJmxTyua9djgg?e=eztXo2" TargetMode="External"/><Relationship Id="rId30" Type="http://schemas.openxmlformats.org/officeDocument/2006/relationships/hyperlink" Target="../../../../../../../:b:/r/personal/comunicacionesdiveliv_educacionbogota_gov_co/Documents/DIRECCION%20DE%20INSPECCION%20Y%20VIGILANCIA/DIV%20POAIV/POAIV%202025/ELIV%20BARRIOS%20UNIDOS/PRIORIZADOS/TRIM%20II/Acta_Visita_Integral_Gimnasio_Americano.pdf?csf=1&amp;web=1&amp;e=ha3aQe" TargetMode="External"/><Relationship Id="rId1629"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6" Type="http://schemas.openxmlformats.org/officeDocument/2006/relationships/hyperlink" Target="../../../../../../../:b:/r/personal/comunicacionesdiveliv_educacionbogota_gov_co/Documents/DIRECCION%20DE%20INSPECCION%20Y%20VIGILANCIA/DIV%20POAIV/POAIV%202025/ELIV%20TEUSAQUILLO/PRIORIZADOS/TRIM%20II/00_CODEMA_VISITA_FinesMejoramiento_POAIV2025_16052025_FirmadaSoportes.pdf?csf=1&amp;web=1&amp;e=xho0ag" TargetMode="External"/><Relationship Id="rId1903"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Instituto_Colombo_Sueco.pdf?csf=1&amp;web=1&amp;e=RfMkLg" TargetMode="External"/><Relationship Id="rId277"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4"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137" Type="http://schemas.openxmlformats.org/officeDocument/2006/relationships/hyperlink" Target="https://shre.ink/Mn7g" TargetMode="External"/><Relationship Id="rId344"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691"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789"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6"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2025" Type="http://schemas.openxmlformats.org/officeDocument/2006/relationships/hyperlink" Target="https://educacionbogota-my.sharepoint.com/:b:/g/personal/comunicacionesdiveliv_educacionbogota_gov_co/IQDBZFKe66-XQ5oSJfVfCN12ATMFTUzUCN4nOIbiliGpOx0?e=ytY7LO" TargetMode="External"/><Relationship Id="rId551"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649"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856"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181"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1279" Type="http://schemas.openxmlformats.org/officeDocument/2006/relationships/hyperlink" Target="../../../../../../../:b:/g/personal/comunicacionesdiveliv_educacionbogota_gov_co/EYC-_IGI59ZJkaQGDNJiRVQB-RjSIIB-kuO2MF7Oc1cNuA?e=ewGYim" TargetMode="External"/><Relationship Id="rId1486"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204" Type="http://schemas.openxmlformats.org/officeDocument/2006/relationships/hyperlink" Target="https://shre.ink/eKSY" TargetMode="External"/><Relationship Id="rId411"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509"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1041" Type="http://schemas.openxmlformats.org/officeDocument/2006/relationships/hyperlink" Target="../../../../../../../:b:/r/personal/comunicacionesdiveliv_educacionbogota_gov_co/Documents/DIRECCION%20DE%20INSPECCION%20Y%20VIGILANCIA/DIV%20POAIV/POAIV%202025/ELIV%20FONTIB%C3%93N/PRIORIZADOS/TRIM%20III/UNIDAD%20EDUCATIVA%20BAHIA%20SOLANO/FORMATO%20UNIDAD%20EDUCATIVA%20BAHIA%20SOLANO.pdf?csf=1&amp;web=1&amp;e=tWRSAh" TargetMode="External"/><Relationship Id="rId1139" Type="http://schemas.openxmlformats.org/officeDocument/2006/relationships/hyperlink" Target="https://educacionbogota-my.sharepoint.com/:b:/g/personal/comunicacionesdiveliv_educacionbogota_gov_co/EYO98_Q415ZLn_AiLoFPYfQBxqtJLIEyHvpDcf-ccGBqfQ?e=GmEuys" TargetMode="External"/><Relationship Id="rId1346" Type="http://schemas.openxmlformats.org/officeDocument/2006/relationships/hyperlink" Target="../../../../../../../:b:/g/personal/comunicacionesdiveliv_educacionbogota_gov_co/EUwXYE3zRUdHmUmCMjP9SMsBxRjqVyiXhd3Mm_oW-xdMiA?e=0ppQr2" TargetMode="External"/><Relationship Id="rId1693"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1998" Type="http://schemas.openxmlformats.org/officeDocument/2006/relationships/hyperlink" Target="../../../../../../../:f:/r/personal/comunicacionesdiveliv_educacionbogota_gov_co/Documents/DIRECCION%20DE%20INSPECCION%20Y%20VIGILANCIA/DIV%20POAIV/POAIV%202025/ELIV%20CHAPINERO/PRIORIZADOS/TRIM%20II/COLEGIO%20KUEPA?csf=1&amp;web=1&amp;e=Hw7QSn" TargetMode="External"/><Relationship Id="rId716" Type="http://schemas.openxmlformats.org/officeDocument/2006/relationships/hyperlink" Target="../../../../../../../:f:/r/personal/comunicacionesdiveliv_educacionbogota_gov_co/Documents/DIRECCION%20DE%20INSPECCION%20Y%20VIGILANCIA/DIV%20POAIV/POAIV%202025/ELIV%20PUENTE%20ARANDA/PRIORIZADOS/TRIM%20II/VISITA%20CON%20FINES%20DE%20MEJORAMIENTO%20COLEGIO%20SANTA%20TERESITA?csf=1&amp;web=1&amp;e=kOkShk" TargetMode="External"/><Relationship Id="rId923" Type="http://schemas.openxmlformats.org/officeDocument/2006/relationships/hyperlink" Target="../../../../../../../:b:/r/personal/comunicacionesdiveliv_educacionbogota_gov_co/Documents/DIRECCION%20DE%20INSPECCION%20Y%20VIGILANCIA/DIV%20POAIV/POAIV%202025/ELIV%20TUNJUELITO/PRIORIZADOS/TRIM%20II/COL.%20NTRA%20SE%C3%91ORA%20DE%20LAS%20VICTORIAS/Visitita%20Col.%20Ntra%20Se%C3%B1ora%20de%20las%20Victorias.pdf?csf=1&amp;web=1&amp;e=vrlN9v" TargetMode="External"/><Relationship Id="rId1553"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760" Type="http://schemas.openxmlformats.org/officeDocument/2006/relationships/hyperlink" Target="../../../../../../../:b:/g/personal/comunicacionesdiveliv_educacionbogota_gov_co/EYDzPp7kUl1GtSpcbcbj9XkByOx0lTdfxy2ScYRvrF5Ppw?e=GRw5IO" TargetMode="External"/><Relationship Id="rId1858"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52"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206" Type="http://schemas.openxmlformats.org/officeDocument/2006/relationships/hyperlink" Target="../../../../../../../:b:/g/personal/comunicacionesdiveliv_educacionbogota_gov_co/Ed7YHKLS-yJIseYK8QcWBegBJZQ3Z4w3kQPANktP0Hq_kw?e=0AEuSm" TargetMode="External"/><Relationship Id="rId1413" Type="http://schemas.openxmlformats.org/officeDocument/2006/relationships/hyperlink" Target="https://educacionbogota-my.sharepoint.com/:b:/g/personal/comunicacionesdiveliv_educacionbogota_gov_co/EZRxFJ-Rd89Pu7EGFSmHYpABAO6tmyKg5lFyrScuIcKqCg?e=He1SZj" TargetMode="External"/><Relationship Id="rId1620" Type="http://schemas.openxmlformats.org/officeDocument/2006/relationships/hyperlink" Target="../../../../../../../:b:/r/personal/comunicacionesdiveliv_educacionbogota_gov_co/Documents/DIRECCION%20DE%20INSPECCION%20Y%20VIGILANCIA/DIV%20POAIV/POAIV%202025/ELIV%20SUBA/PRIORIZADOS/TRIMI/26032025%20Col%20santo%20Toribo%20de%20Mongrovejo.pdf?csf=1&amp;web=1&amp;e=jMZorD" TargetMode="External"/><Relationship Id="rId1718" Type="http://schemas.openxmlformats.org/officeDocument/2006/relationships/hyperlink" Target="../../../../../../../:b:/r/personal/comunicacionesdiveliv_educacionbogota_gov_co/Documents/DIRECCION%20DE%20INSPECCION%20Y%20VIGILANCIA/DIV%20POAIV/POAIV%202025/ELIV%20SUBA/PRIORIZADOS/TRIM%20III/acta%20visita%20col%20bosques%20del%20nogal.pdf?csf=1&amp;web=1&amp;e=E3vJXw" TargetMode="External"/><Relationship Id="rId1925"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99"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159" Type="http://schemas.openxmlformats.org/officeDocument/2006/relationships/hyperlink" Target="https://shre.ink/evUD" TargetMode="External"/><Relationship Id="rId366"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573"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780" Type="http://schemas.openxmlformats.org/officeDocument/2006/relationships/hyperlink" Target="../../../../../../../:b:/r/personal/comunicacionesdiveliv_educacionbogota_gov_co/Documents/DIRECCION%20DE%20INSPECCION%20Y%20VIGILANCIA/DIV%20POAIV/POAIV%202025/SAN%20CRIST%C3%93BAL/PRIORIZADOS/TRIM%20II/0411%20Acta%20visita%20Liceo%20Sendero%20del%20Saber%20%2011042025.pdf?csf=1&amp;web=1&amp;e=3bnIPU" TargetMode="External"/><Relationship Id="rId2047" Type="http://schemas.openxmlformats.org/officeDocument/2006/relationships/hyperlink" Target="https://educacionbogota-my.sharepoint.com/:b:/g/personal/comunicacionesdiveliv_educacionbogota_gov_co/IQC0csq_OZdlT5Qv-06sUVZLAZ99LxHD5zoTg2VlUCEp3L4?e=EdJ811" TargetMode="External"/><Relationship Id="rId226" Type="http://schemas.openxmlformats.org/officeDocument/2006/relationships/hyperlink" Target="https://shre.ink/eKLw" TargetMode="External"/><Relationship Id="rId433"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878"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1063"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270" Type="http://schemas.openxmlformats.org/officeDocument/2006/relationships/hyperlink" Target="../../../../../../../:b:/g/personal/comunicacionesdiveliv_educacionbogota_gov_co/ETCCq3jsgp5Gv70s2DAc-koB7YIDHcwspWiEfppjxOvOow?e=n7rNdj" TargetMode="External"/><Relationship Id="rId640" Type="http://schemas.openxmlformats.org/officeDocument/2006/relationships/hyperlink" Target="../../../../../../../:b:/r/personal/comunicacionesdiveliv_educacionbogota_gov_co/Documents/DIRECCION%20DE%20INSPECCION%20Y%20VIGILANCIA/DIV%20POAIV/POAIV%202025/ELIV%20KENNEDY/PRIORIZADOS/TRIM%20II/ACTA%20VISITA%20GIMNASIO%20MODERNO%20EL%20TINTAL.pdf?csf=1&amp;web=1&amp;e=RiLl0l" TargetMode="External"/><Relationship Id="rId738"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945"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368"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1575"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782" Type="http://schemas.openxmlformats.org/officeDocument/2006/relationships/hyperlink" Target="../../../../../../../:b:/g/personal/comunicacionesdiveliv_educacionbogota_gov_co/ERb5Dd2rYhxAgR8qkc_tfB0Bi1uAcePgZyCOMAQKOTkK4w?e=2Ldr08" TargetMode="External"/><Relationship Id="rId74"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500"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805"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130" Type="http://schemas.openxmlformats.org/officeDocument/2006/relationships/hyperlink" Target="https://educacionbogota-my.sharepoint.com/:b:/g/personal/comunicacionesdiveliv_educacionbogota_gov_co/EeK6oyECBGFCld1489Pv2ScBWXREa1mjizxx2knejVCfcA?e=5Pnbm5" TargetMode="External"/><Relationship Id="rId1228" Type="http://schemas.openxmlformats.org/officeDocument/2006/relationships/hyperlink" Target="../../../../../../../:b:/g/personal/comunicacionesdiveliv_educacionbogota_gov_co/ERzMaCAxKL1NqszoLwR48UwBoQP72q40f-ul--HtX_xaYA?e=8Me0ll" TargetMode="External"/><Relationship Id="rId1435" Type="http://schemas.openxmlformats.org/officeDocument/2006/relationships/hyperlink" Target="../../../../../../../:b:/r/personal/comunicacionesdiveliv_educacionbogota_gov_co/Documents/DIRECCION%20DE%20INSPECCION%20Y%20VIGILANCIA/DIV%20POAIV/POAIV%202025/ELIV%20KENNEDY/PRIORIZADOS/TRIM%20II/ACTA%20DE%20VISITA_INSTITUTO%20DE%20EDUCACION%20EMAUS_22_05_25.pdf?csf=1&amp;web=1&amp;e=964GAv" TargetMode="External"/><Relationship Id="rId1642"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947" Type="http://schemas.openxmlformats.org/officeDocument/2006/relationships/hyperlink" Target="https://educacionbogota-my.sharepoint.com/:b:/g/personal/comunicacionesdiveliv_educacionbogota_gov_co/EcVoZ5cw_rtFrQkKs_EoPOABbNBKQfQrlnwUnzK9-6j-Fw?e=xBWHya" TargetMode="External"/><Relationship Id="rId1502"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1807" Type="http://schemas.openxmlformats.org/officeDocument/2006/relationships/hyperlink" Target="../../../../../../../:b:/g/personal/comunicacionesdiveliv_educacionbogota_gov_co/EcVLXnYZGmZMuxmrTQBVJQoBQd0FuaD9SJAcoHYXJz32og?e=IZAmfU" TargetMode="External"/><Relationship Id="rId290" Type="http://schemas.openxmlformats.org/officeDocument/2006/relationships/hyperlink" Target="../../../../../../../:b:/r/personal/comunicacionesdiveliv_educacionbogota_gov_co/Documents/DIRECCION%20DE%20INSPECCION%20Y%20VIGILANCIA/DIV%20POAIV/POAIV%202025/ELIV%20CHAPINERO/PRIORIZADOS/TRIM%20II/SIMON%20RODRIGUEZ%20IED/ACTA%20DE%20VISITA%20FRIMADA.pdf?csf=1&amp;web=1&amp;e=o2gVpw" TargetMode="External"/><Relationship Id="rId388"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150" Type="http://schemas.openxmlformats.org/officeDocument/2006/relationships/hyperlink" Target="https://shre.ink/eCE6" TargetMode="External"/><Relationship Id="rId595" Type="http://schemas.openxmlformats.org/officeDocument/2006/relationships/hyperlink" Target="../../../../../../../:b:/r/personal/comunicacionesdiveliv_educacionbogota_gov_co/Documents/DIRECCION%20DE%20INSPECCION%20Y%20VIGILANCIA/DIV%20POAIV/POAIV%202025/ELIV%20KENNEDY/PRIORIZADOS/TRIM%20II/ACTA%20VISITA%20COLEGIO_CHARLES_BABAGGE.pdf?csf=1&amp;web=1&amp;e=Qhnwfp" TargetMode="External"/><Relationship Id="rId248" Type="http://schemas.openxmlformats.org/officeDocument/2006/relationships/hyperlink" Target="https://shre.ink/ebhv" TargetMode="External"/><Relationship Id="rId455"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62" Type="http://schemas.openxmlformats.org/officeDocument/2006/relationships/hyperlink" Target="../../../../../../../:b:/r/personal/comunicacionesdiveliv_educacionbogota_gov_co/Documents/DIRECCION%20DE%20INSPECCION%20Y%20VIGILANCIA/DIV%20POAIV/POAIV%202025/ELIV%20KENNEDY/PRIORIZADOS/TRIM%20II/ACTA%20VISITA%20COLEGIO%20RAFAEL%20GOBERNA.pdf?csf=1&amp;web=1&amp;e=6KxOWT" TargetMode="External"/><Relationship Id="rId1085"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292"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108" Type="http://schemas.openxmlformats.org/officeDocument/2006/relationships/hyperlink" Target="../../../../../../../:b:/r/personal/comunicacionesdiveliv_educacionbogota_gov_co/Documents/DIRECCION%20DE%20INSPECCION%20Y%20VIGILANCIA/DIV%20POAIV/POAIV%202025/ELIV%20SANTAFE%20Y%20LA%20CANDELARIA/PRIORIZADOS/TRIM%20II/2025%2006%2009%20Liceo%20Mater%20Dei.pdf?csf=1&amp;web=1&amp;e=lGCoJc" TargetMode="External"/><Relationship Id="rId315" Type="http://schemas.openxmlformats.org/officeDocument/2006/relationships/hyperlink" Target="../../../../../../../:b:/r/personal/comunicacionesdiveliv_educacionbogota_gov_co/Documents/DIRECCION%20DE%20INSPECCION%20Y%20VIGILANCIA/DIV%20POAIV/POAIV%202025/ELIV%20CHAPINERO/PRIORIZADOS/TRIM%20II/CENTRO%20DE%20ALTOS%20ESTUDIOS%20INMOBILIARIOS/ACTA_VISITA_CENTRO_ALTOS_ESTUDIOS_INMOBILIARIA.pdf?csf=1&amp;web=1&amp;e=RPOeTZ" TargetMode="External"/><Relationship Id="rId522"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967"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152" Type="http://schemas.openxmlformats.org/officeDocument/2006/relationships/hyperlink" Target="https://educacionbogota-my.sharepoint.com/:b:/g/personal/comunicacionesdiveliv_educacionbogota_gov_co/EXKnREsSVEtGqHjKbn9fduwBlny6BCei4ltKgDnU8dyyyg?e=koY4f8" TargetMode="External"/><Relationship Id="rId1597"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96"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827"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012"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457" Type="http://schemas.openxmlformats.org/officeDocument/2006/relationships/hyperlink" Target="../../../../../../../:b:/g/personal/comunicacionesdiveliv_educacionbogota_gov_co/EWJMZc_A7pZNuxhkCuS_b0IBkKmTe47NeUARn_DnurVj2w?e=EC9gtW" TargetMode="External"/><Relationship Id="rId1664"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1"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317" Type="http://schemas.openxmlformats.org/officeDocument/2006/relationships/hyperlink" Target="../../../../../../../:b:/g/personal/comunicacionesdiveliv_educacionbogota_gov_co/EX50lx968y9GrquDjOwdiocBRlOHdbt1HVUni9Xd0AOfyQ?e=eNDjsk" TargetMode="External"/><Relationship Id="rId1524" Type="http://schemas.openxmlformats.org/officeDocument/2006/relationships/hyperlink" Target="https://educacionbogota-my.sharepoint.com/:b:/g/personal/comunicacionesdiveliv_educacionbogota_gov_co/EWF7bhdFvndNn9rxopJnRSkBTQ7jCTHittv2bSBBSaVQOw?e=rIAkBV" TargetMode="External"/><Relationship Id="rId1731"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969" Type="http://schemas.openxmlformats.org/officeDocument/2006/relationships/hyperlink" Target="https://educacionbogota-my.sharepoint.com/:b:/g/personal/comunicacionesdiveliv_educacionbogota_gov_co/ET2QxUqFxKtJkaDKcikNMnwB-Lrfw9_zcHJHhmJDmOegWg?e=bS3r0p" TargetMode="External"/><Relationship Id="rId23"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829"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72" Type="http://schemas.openxmlformats.org/officeDocument/2006/relationships/hyperlink" Target="https://shre.ink/evAg" TargetMode="External"/><Relationship Id="rId477"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684" Type="http://schemas.openxmlformats.org/officeDocument/2006/relationships/hyperlink" Target="../../../../../../../:b:/r/personal/comunicacionesdiveliv_educacionbogota_gov_co/Documents/DIRECCION%20DE%20INSPECCION%20Y%20VIGILANCIA/DIV%20POAIV/POAIV%202025/ELIV%20KENNEDY/PRIORIZADOS/TRIM%20II/ACTA%20DE%20VISITA%20COLEGIO%20TRIANGULO.pdf?csf=1&amp;web=1&amp;e=z5dGWo" TargetMode="External"/><Relationship Id="rId337"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891"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989"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2018" Type="http://schemas.openxmlformats.org/officeDocument/2006/relationships/hyperlink" Target="https://educacionbogota-my.sharepoint.com/:b:/g/personal/comunicacionesdiveliv_educacionbogota_gov_co/IQD3Mqgz3QvJQ70CPYiuQRX9AfNYQ9FpHgrzyC5T_7Fhxpo?e=Pml7cl" TargetMode="External"/><Relationship Id="rId544"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751" Type="http://schemas.openxmlformats.org/officeDocument/2006/relationships/hyperlink" Target="../../../../../../../:f:/r/personal/comunicacionesdiveliv_educacionbogota_gov_co/Documents/DIRECCION%20DE%20INSPECCION%20Y%20VIGILANCIA/DIV%20POAIV/POAIV%202025/ELIV%20PUENTE%20ARANDA/PRIORIZADOS/TRIM%20I/Actas%20Gobierno%20Escolare%20Luis%20Concha%20Cordoba?csf=1&amp;web=1&amp;e=tH0mYd" TargetMode="External"/><Relationship Id="rId849"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1174" Type="http://schemas.openxmlformats.org/officeDocument/2006/relationships/hyperlink" Target="../../../../../../../:b:/r/personal/comunicacionesdiveliv_educacionbogota_gov_co/Documents/DIRECCION%20DE%20INSPECCION%20Y%20VIGILANCIA/DIV%20POAIV/POAIV%202025/ELIV%20ANTONIO%20NARI%C3%91O/PRIORIZADOS/TRIM%20II/12.%20Acta%20Centro%20Educativo%20CE%20Ntra%20Sra%20de%20la%20Paz.pdf?csf=1&amp;web=1&amp;e=jfyGbn" TargetMode="External"/><Relationship Id="rId1381"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1479"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1686"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404"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611" Type="http://schemas.openxmlformats.org/officeDocument/2006/relationships/hyperlink" Target="../../../../../../../:b:/r/personal/comunicacionesdiveliv_educacionbogota_gov_co/Documents/DIRECCION%20DE%20INSPECCION%20Y%20VIGILANCIA/DIV%20POAIV/POAIV%202025/ELIV%20KENNEDY/PRIORIZADOS/TRIM%20II/ACTA%20DE%20VISITA%20CIUDAD%20DE%20PATIO%20BONITO.pdf?csf=1&amp;web=1&amp;e=OsFFGq" TargetMode="External"/><Relationship Id="rId1034"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241" Type="http://schemas.openxmlformats.org/officeDocument/2006/relationships/hyperlink" Target="../../../../../../../:b:/g/personal/comunicacionesdiveliv_educacionbogota_gov_co/ERVcYNQPojxEn7bveI3Gp84B89VykYD-xj-f_Jbn0e4nLA?e=tB6t24" TargetMode="External"/><Relationship Id="rId1339" Type="http://schemas.openxmlformats.org/officeDocument/2006/relationships/hyperlink" Target="../../../../../../../:b:/g/personal/comunicacionesdiveliv_educacionbogota_gov_co/EecCk4zFb4xPtleMLk22xdYBqn9dGakDd5QQ53y47hOrbg?e=DOsDlF" TargetMode="External"/><Relationship Id="rId1893" Type="http://schemas.openxmlformats.org/officeDocument/2006/relationships/hyperlink" Target="../../../../../../../:b:/r/personal/comunicacionesdiveliv_educacionbogota_gov_co/Documents/DIRECCION%20DE%20INSPECCION%20Y%20VIGILANCIA/DIV%20POAIV/POAIV%202025/ELIV%20TUNJUELITO/PRIORIZADOS/TRIM%20II/COLEGIO%20INEM%20SANTIAGO%20PEREZ%20IED/CamScanner%2010-06-2025%2007.50.pdf?csf=1&amp;web=1&amp;e=jliEYG" TargetMode="External"/><Relationship Id="rId709" Type="http://schemas.openxmlformats.org/officeDocument/2006/relationships/hyperlink" Target="../../../../../../../:b:/r/personal/comunicacionesdiveliv_educacionbogota_gov_co/Documents/DIRECCION%20DE%20INSPECCION%20Y%20VIGILANCIA/DIV%20POAIV/POAIV%202025/ELIV%20PUENTE%20ARANDA/PRIORIZADOS/TRIM%20I/ACTA%20DE%20VISITA%20ADMINISTRATIVA%20COLEGIO%20PARROQUIAL%20DE%20LA%20DOTRINA%20CRISTIANA.pdf?csf=1&amp;web=1&amp;e=QrSX3U" TargetMode="External"/><Relationship Id="rId916" Type="http://schemas.openxmlformats.org/officeDocument/2006/relationships/hyperlink" Target="../../../../../../../:f:/r/personal/comunicacionesdiveliv_educacionbogota_gov_co/Documents/DIRECCION%20DE%20INSPECCION%20Y%20VIGILANCIA/DIV%20POAIV/POAIV%202025/ELIV%20TUNJUELITO/PRIORIZADOS/TRIM%20I/GIMNASIO_COMERCIAL_LOS_ANDES?csf=1&amp;web=1&amp;e=CyjAGX" TargetMode="External"/><Relationship Id="rId1101"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1546" Type="http://schemas.openxmlformats.org/officeDocument/2006/relationships/hyperlink" Target="https://educacionbogota-my.sharepoint.com/:b:/g/personal/comunicacionesdiveliv_educacionbogota_gov_co/EQ2DMzh0MnpKoCJRssnZC5MBVnmpWf5qGDTie_W3LZIycw?e=XoXAOg" TargetMode="External"/><Relationship Id="rId1753" Type="http://schemas.openxmlformats.org/officeDocument/2006/relationships/hyperlink" Target="../../../../../../../:b:/g/personal/comunicacionesdiveliv_educacionbogota_gov_co/EYXGYZZLrKtDsZmoXUoWpP8BKmEOE7yadec7nep9AvAofw?e=xBs3yL" TargetMode="External"/><Relationship Id="rId1960" Type="http://schemas.openxmlformats.org/officeDocument/2006/relationships/hyperlink" Target="https://educacionbogota-my.sharepoint.com/:b:/g/personal/comunicacionesdiveliv_educacionbogota_gov_co/EYiEZ0FBYepJvQBKX7SE93gBmteXUc1gGvoGbuAXs5s-VA?e=Ou7NPA" TargetMode="External"/><Relationship Id="rId45"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406"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613" Type="http://schemas.openxmlformats.org/officeDocument/2006/relationships/hyperlink" Target="../../../../../../../:b:/g/personal/comunicacionesdiveliv_educacionbogota_gov_co/EbuTU9tbcTxFs94RYLyR-3QBmd9zlhyBKgtY73RkkG3uEw?e=nZXF7Y" TargetMode="External"/><Relationship Id="rId1820" Type="http://schemas.openxmlformats.org/officeDocument/2006/relationships/hyperlink" Target="../../../../../../../:b:/r/personal/comunicacionesdiveliv_educacionbogota_gov_co/Documents/DIRECCION%20DE%20INSPECCION%20Y%20VIGILANCIA/DIV%20POAIV/POAIV%202025/ELIV%20TEUSAQUILLO/PRIORIZADOS/TRIM%20II/00_COL_BOSTON_%20VISITA_FinesMejoramiento_AutoEva2025_02042025.pdf?csf=1&amp;web=1&amp;e=CYMxpk" TargetMode="External"/><Relationship Id="rId194" Type="http://schemas.openxmlformats.org/officeDocument/2006/relationships/hyperlink" Target="https://shre.ink/evCM" TargetMode="External"/><Relationship Id="rId1918"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261" Type="http://schemas.openxmlformats.org/officeDocument/2006/relationships/hyperlink" Target="../../../../../../../:b:/r/personal/comunicacionesdiveliv_educacionbogota_gov_co/Documents/DIRECCION%20DE%20INSPECCION%20Y%20VIGILANCIA/DIV%20POAIV/POAIV%202025/ELIV%20CHAPINERO/PRIORIZADOS/TRIM%20II/UNILATINA/acta%20visita%20Colegio%20Unilatina.pdf?csf=1&amp;web=1&amp;e=XU2S26" TargetMode="External"/><Relationship Id="rId499"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359"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566" Type="http://schemas.openxmlformats.org/officeDocument/2006/relationships/hyperlink" Target="../../../../../../../:b:/r/personal/comunicacionesdiveliv_educacionbogota_gov_co/Documents/DIRECCION%20DE%20INSPECCION%20Y%20VIGILANCIA/DIV%20POAIV/POAIV%202025/ELIV%20ANTONIO%20NARI%C3%91O/PRIORIZADOS/TRIM%20II/16.%20Acta%20Col%20Francisco%20de%20Paula%20Santander%20(IED)_signed.pdf?csf=1&amp;web=1&amp;e=W9nNCW" TargetMode="External"/><Relationship Id="rId773" Type="http://schemas.openxmlformats.org/officeDocument/2006/relationships/hyperlink" Target="../../../../../../../:b:/r/personal/comunicacionesdiveliv_educacionbogota_gov_co/Documents/DIRECCION%20DE%20INSPECCION%20Y%20VIGILANCIA/DIV%20POAIV/POAIV%202025/ELIV%20PUENTE%20ARANDA/PRIORIZADOS/TRIM%20III/25%2008%2001%20visita%20CEA%20Bogota%20Vial%201/20250801_Acta%20Visita%20CEA%20Bgta%20Vial.pdf?csf=1&amp;web=1&amp;e=gcC9VF" TargetMode="External"/><Relationship Id="rId1196" Type="http://schemas.openxmlformats.org/officeDocument/2006/relationships/hyperlink" Target="../../../../../../../:f:/g/personal/comunicacionesdiveliv_educacionbogota_gov_co/EhaPlKZXOxZPnJSkDFS7Xi8BkvkQYs8UygTz5NDbEt5vMw?e=beSMIQ" TargetMode="External"/><Relationship Id="rId121" Type="http://schemas.openxmlformats.org/officeDocument/2006/relationships/hyperlink" Target="https://shre.ink/Mn5W" TargetMode="External"/><Relationship Id="rId219" Type="http://schemas.openxmlformats.org/officeDocument/2006/relationships/hyperlink" Target="https://shre.ink/eKLw" TargetMode="External"/><Relationship Id="rId426"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3" Type="http://schemas.openxmlformats.org/officeDocument/2006/relationships/hyperlink" Target="../../../../../../../:b:/r/personal/comunicacionesdiveliv_educacionbogota_gov_co/Documents/DIRECCION%20DE%20INSPECCION%20Y%20VIGILANCIA/DIV%20POAIV/POAIV%202025/ELIV%20KENNEDY/PRIORIZADOS/TRIM%20II/ACTA%20DE%20VISITA%20COLEGIO%20LAZARILLO%20DE%20TORMES.pdf?csf=1&amp;web=1&amp;e=xTKGSa" TargetMode="External"/><Relationship Id="rId980" Type="http://schemas.openxmlformats.org/officeDocument/2006/relationships/hyperlink" Target="../../../../../../../:b:/r/personal/comunicacionesdiveliv_educacionbogota_gov_co/Documents/DIRECCION%20DE%20INSPECCION%20Y%20VIGILANCIA/DIV%20POAIV/POAIV%202025/ELIV%20RAFAEL%20URIBE%20URIBE/PRIORIZADOS/TRIM%20II/9-05-2025%20Liceo%20Juan%20Miguel.pdf?csf=1&amp;web=1&amp;e=ePfKvd" TargetMode="External"/><Relationship Id="rId1056"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3" Type="http://schemas.openxmlformats.org/officeDocument/2006/relationships/hyperlink" Target="../../../../../../../:b:/g/personal/comunicacionesdiveliv_educacionbogota_gov_co/EXDXIFqd2cBPtccsXnwqrd8B5J5VCEZ8JHp09WYo2_NAig?e=NP8Xje" TargetMode="External"/><Relationship Id="rId840" Type="http://schemas.openxmlformats.org/officeDocument/2006/relationships/hyperlink" Target="../../../../../../../:b:/r/personal/comunicacionesdiveliv_educacionbogota_gov_co/Documents/DIRECCION%20DE%20INSPECCION%20Y%20VIGILANCIA/DIV%20POAIV/POAIV%202025/ELIV%20SAN%20CRIST%C3%93BAL/PRIORIZADOS/TRIM%20II/0523%20Acta%20de%20visita%20administrativa%20Col.%20Madre%20Paula%20Montal.pdf?csf=1&amp;web=1&amp;e=Wl38g7" TargetMode="External"/><Relationship Id="rId938"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470" Type="http://schemas.openxmlformats.org/officeDocument/2006/relationships/hyperlink" Target="../../../../../../../:b:/r/personal/comunicacionesdiveliv_educacionbogota_gov_co/Documents/DIRECCION%20DE%20INSPECCION%20Y%20VIGILANCIA/DIV%20POAIV/POAIV%202025/ELIV%20LOS%20M%C3%81RTIRES/PRIORIZADOS/TRIMI/20250306_ActaVisita_Colegio_Bilingue_Integral.pdf?csf=1&amp;web=1&amp;e=Fy3Bjk" TargetMode="External"/><Relationship Id="rId1568"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17%20y%2024%20junio%202025%20Liceo%20Mayor%20Palermo.pdf?csf=1&amp;web=1&amp;e=DImVDi" TargetMode="External"/><Relationship Id="rId1775" Type="http://schemas.openxmlformats.org/officeDocument/2006/relationships/hyperlink" Target="../../../../../../../:b:/g/personal/comunicacionesdiveliv_educacionbogota_gov_co/EZq-uUd2kLhDrGHGM0F9dTsB_ciJcYDCCMPa1eHkrqJPOw?e=nqxASJ" TargetMode="External"/><Relationship Id="rId67"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700"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1123" Type="http://schemas.openxmlformats.org/officeDocument/2006/relationships/hyperlink" Target="https://educacionbogota-my.sharepoint.com/:b:/r/personal/comunicacionesdiveliv_educacionbogota_gov_co/Documents/DIRECCION%20DE%20INSPECCION%20Y%20VIGILANCIA/DIV%20POAIV/POAIV%202025/ELIV%20SANTAFE%20Y%20LA%20CANDELARIA/PRIORIZADOS/TRIM%20III/2025%2008%2005%20Colegio%20La%20Candelaria%20Acta%20de%20visita.pdf?csf=1&amp;web=1&amp;e=KpwBI1" TargetMode="External"/><Relationship Id="rId1330"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428" Type="http://schemas.openxmlformats.org/officeDocument/2006/relationships/hyperlink" Target="../../../../../../../:b:/r/personal/comunicacionesdiveliv_educacionbogota_gov_co/Documents/DIRECCION%20DE%20INSPECCION%20Y%20VIGILANCIA/DIV%20POAIV/POAIV%202025/ELIV%20KENNEDY/PRIORIZADOS/TRIM%20III/COLEGIO%20ANTARES.pdf?csf=1&amp;web=1&amp;e=CP2zkl" TargetMode="External"/><Relationship Id="rId1635" Type="http://schemas.openxmlformats.org/officeDocument/2006/relationships/hyperlink" Target="../../../../../../../:b:/r/personal/comunicacionesdiveliv_educacionbogota_gov_co/Documents/DIRECCION%20DE%20INSPECCION%20Y%20VIGILANCIA/DIV%20POAIV/POAIV%202025/ELIV%20SUBA/PRIORIZADOS/TRIM%20II/03042025%20GIMNASIO%20ESPECIALIZADO%20DEL%20NORTE.pdf?csf=1&amp;web=1&amp;e=QbJdmb" TargetMode="External"/><Relationship Id="rId1982" Type="http://schemas.openxmlformats.org/officeDocument/2006/relationships/hyperlink" Target="../../../../../../../:b:/r/personal/comunicacionesdiveliv_educacionbogota_gov_co/Documents/DIRECCION%20DE%20INSPECCION%20Y%20VIGILANCIA/DIV%20POAIV/POAIV%202025/ELIV%20USME/PRIORIZADOS/TRIM%20II/01ActaVisitaAdministrativaGimnasioDeToledo15052025.pdf?csf=1&amp;web=1&amp;e=ZXB5Y5" TargetMode="External"/><Relationship Id="rId1842" Type="http://schemas.openxmlformats.org/officeDocument/2006/relationships/hyperlink" Target="../../../../../../../:b:/r/personal/comunicacionesdiveliv_educacionbogota_gov_co/Documents/DIRECCION%20DE%20INSPECCION%20Y%20VIGILANCIA/DIV%20POAIV/POAIV%202025/ELIV%20TEUSAQUILLO/PRIORIZADOS/TRIM%20II/00_ROSALITO_ActaAVISITA_FinesMejoramiento_POAIV2025_04062025_FirmadaSoportes.pdf?csf=1&amp;web=1&amp;e=bHiuLn" TargetMode="External"/><Relationship Id="rId1702"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283"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490" Type="http://schemas.openxmlformats.org/officeDocument/2006/relationships/hyperlink" Target="../../../../../../../:b:/r/personal/comunicacionesdiveliv_educacionbogota_gov_co/Documents/DIRECCION%20DE%20INSPECCION%20Y%20VIGILANCIA/DIV%20POAIV/POAIV%202025/ELIV%20ENGATIV%C3%81/PRIORIZADOS/TRIM%20II/Acta%20visita%20Tom%C3%A1s%20Moro.pdf?csf=1&amp;web=1&amp;e=wxSqUX" TargetMode="External"/><Relationship Id="rId143" Type="http://schemas.openxmlformats.org/officeDocument/2006/relationships/hyperlink" Target="https://shre.ink/Mnjr" TargetMode="External"/><Relationship Id="rId350" Type="http://schemas.openxmlformats.org/officeDocument/2006/relationships/hyperlink" Target="../../../../../../../:b:/r/personal/comunicacionesdiveliv_educacionbogota_gov_co/Documents/DIRECCION%20DE%20INSPECCION%20Y%20VIGILANCIA/DIV%20POAIV/POAIV%202025/ELIV%20ENGATIV%C3%81/PRIORIZADOS/TRIM%20II/06_06_2025_INSTITUTO%20IP%20EDUCANDO%20LA%20JUVENTUD%20FUTURO%20DE%20COLOMBIa.pdf?csf=1&amp;web=1&amp;e=yFNEGL" TargetMode="External"/><Relationship Id="rId588" Type="http://schemas.openxmlformats.org/officeDocument/2006/relationships/hyperlink" Target="../../../../../../../:b:/r/personal/comunicacionesdiveliv_educacionbogota_gov_co/Documents/DIRECCION%20DE%20INSPECCION%20Y%20VIGILANCIA/DIV%20POAIV/POAIV%202025/ELIV%20KENNEDY/PRIORIZADOS/TRIM%20II/ACTA%20VISITA%20COLEGIO%20CENTRO%20DE%20INSTRUCCION%20SISTEMATIZADA%20CEIS.pdf?csf=1&amp;web=1&amp;e=Xzzhws" TargetMode="External"/><Relationship Id="rId795" Type="http://schemas.openxmlformats.org/officeDocument/2006/relationships/hyperlink" Target="../../../../../../../:b:/r/personal/comunicacionesdiveliv_educacionbogota_gov_co/Documents/DIRECCION%20DE%20INSPECCION%20Y%20VIGILANCIA/DIV%20POAIV/POAIV%202025/ELIV%20SAN%20CRIST%C3%93BAL/PRIORIZADOS/TRIM%20II/0509%20Acta%20visita%20Liceo%20el%20Encanto.pdf?csf=1&amp;web=1&amp;e=70Z0cq" TargetMode="External"/><Relationship Id="rId2031" Type="http://schemas.openxmlformats.org/officeDocument/2006/relationships/hyperlink" Target="../../../../../../../:b:/g/personal/comunicacionesdiveliv_educacionbogota_gov_co/IQDGOU2PwYn2R7UkmejMYcAaAW3pxD0XlK9My2B4RACpRTk?e=mIMJEQ" TargetMode="External"/><Relationship Id="rId9"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210" Type="http://schemas.openxmlformats.org/officeDocument/2006/relationships/hyperlink" Target="https://shre.ink/eK5b" TargetMode="External"/><Relationship Id="rId448"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655"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862"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078"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285"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492" Type="http://schemas.openxmlformats.org/officeDocument/2006/relationships/hyperlink" Target="../../../../../../../:b:/r/personal/comunicacionesdiveliv_educacionbogota_gov_co/Documents/DIRECCION%20DE%20INSPECCION%20Y%20VIGILANCIA/DIV%20POAIV/POAIV%202025/ELIV%20LOS%20M%C3%81RTIRES/PRIORIZADOS/TRIM%20III/20250805%20Formato_Visita%20COL_Panamericano_IED.pdf?csf=1&amp;web=1&amp;e=h2jbK5" TargetMode="External"/><Relationship Id="rId308" Type="http://schemas.openxmlformats.org/officeDocument/2006/relationships/hyperlink" Target="../../../../../../../:b:/r/personal/comunicacionesdiveliv_educacionbogota_gov_co/Documents/DIRECCION%20DE%20INSPECCION%20Y%20VIGILANCIA/DIV%20POAIV/POAIV%202025/ELIV%20CHAPINERO/PRIORIZADOS/TRIM%20III/INSTITUTO%20%20BERLITZ/ACTA%20BERLITZ.pdf?csf=1&amp;web=1&amp;e=7ha7j0" TargetMode="External"/><Relationship Id="rId515" Type="http://schemas.openxmlformats.org/officeDocument/2006/relationships/hyperlink" Target="../../../../../../../:b:/r/personal/comunicacionesdiveliv_educacionbogota_gov_co/Documents/DIRECCION%20DE%20INSPECCION%20Y%20VIGILANCIA/DIV%20POAIV/POAIV%202025/ELIV%20ANTONIO%20NARI%C3%91O/PRIORIZADOS/TRIM%20I/02.%20Acta%20de%20visita%20Integral%20-%20Liceo%20Moderno%20Walt%20Withman.pdf?csf=1&amp;web=1&amp;e=DqvCkU" TargetMode="External"/><Relationship Id="rId722" Type="http://schemas.openxmlformats.org/officeDocument/2006/relationships/hyperlink" Target="../../../../../../../:b:/r/personal/comunicacionesdiveliv_educacionbogota_gov_co/Documents/DIRECCION%20DE%20INSPECCION%20Y%20VIGILANCIA/DIV%20POAIV/POAIV%202025/ELIV%20PUENTE%20ARANDA/PRIORIZADOS/TRIM%20II/20250429_Visita%20fines%20mejoramiento%20Liceo%20Coquibacoa/20250429_F%20visitas%20mejoramiento_LC%20v2.pdf?csf=1&amp;web=1&amp;e=M9i4d9" TargetMode="External"/><Relationship Id="rId1145" Type="http://schemas.openxmlformats.org/officeDocument/2006/relationships/hyperlink" Target="https://educacionbogota-my.sharepoint.com/:b:/g/personal/comunicacionesdiveliv_educacionbogota_gov_co/Eb-UniLmS69Hl4UD82s7xUwBCuh_o4-APb2BjCOXcEtG7Q?e=4AOR0A" TargetMode="External"/><Relationship Id="rId1352" Type="http://schemas.openxmlformats.org/officeDocument/2006/relationships/hyperlink" Target="../../../../../../../:b:/r/personal/comunicacionesdiveliv_educacionbogota_gov_co/Documents/DIRECCION%20DE%20INSPECCION%20Y%20VIGILANCIA/DIV%20POAIV/POAIV%202025/ELIV%20ENGATIV%C3%81/PRIORIZADOS/TRIM%20III/ACTA%20VISITA%20SIDEP%20SAS%20IETDH%2012JUL2025.pdf?csf=1&amp;web=1&amp;e=DT9N4R" TargetMode="External"/><Relationship Id="rId1797" Type="http://schemas.openxmlformats.org/officeDocument/2006/relationships/hyperlink" Target="../../../../../../../:b:/g/personal/comunicacionesdiveliv_educacionbogota_gov_co/Ef7_QnClfQhImGpKaz8qy2EBLZOz8tOaQud_TfNMqzdZzg?e=PdJsHA" TargetMode="External"/><Relationship Id="rId89"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1005"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212" Type="http://schemas.openxmlformats.org/officeDocument/2006/relationships/hyperlink" Target="../../../../../../../:b:/g/personal/comunicacionesdiveliv_educacionbogota_gov_co/Ed7YHKLS-yJIseYK8QcWBegBJZQ3Z4w3kQPANktP0Hq_kw?e=0AEuSm" TargetMode="External"/><Relationship Id="rId1657"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64" Type="http://schemas.openxmlformats.org/officeDocument/2006/relationships/hyperlink" Target="https://educacionbogota-my.sharepoint.com/:f:/g/personal/comunicacionesdiveliv_educacionbogota_gov_co/Es-T1YVJLGNAg6MJTEExCF4B4BykbPLDpRoo8X3a34-ggA?e=4eQzOW" TargetMode="External"/><Relationship Id="rId1517" Type="http://schemas.openxmlformats.org/officeDocument/2006/relationships/hyperlink" Target="https://educacionbogota-my.sharepoint.com/:b:/g/personal/comunicacionesdiveliv_educacionbogota_gov_co/EfMj3YW7sBhPrScmxPMBGm4BoqwsidWk2oAU5uCS3dKvYQ?e=sWBWo1" TargetMode="External"/><Relationship Id="rId1724"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6"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931" Type="http://schemas.openxmlformats.org/officeDocument/2006/relationships/hyperlink" Target="https://educacionbogota-my.sharepoint.com/:b:/g/personal/comunicacionesdiveliv_educacionbogota_gov_co/EX53YwG28gtEtW6nefbDovMBnq7016BBK-h1o87zvHkLOg?e=tsgzPa" TargetMode="External"/><Relationship Id="rId165" Type="http://schemas.openxmlformats.org/officeDocument/2006/relationships/hyperlink" Target="https://shre.ink/evAg" TargetMode="External"/><Relationship Id="rId372"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677"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2053" Type="http://schemas.openxmlformats.org/officeDocument/2006/relationships/hyperlink" Target="https://educacionbogota-my.sharepoint.com/:b:/g/personal/comunicacionesdiveliv_educacionbogota_gov_co/IQDs1_abauWTQZ3gTrs7SMeCAT3BMtYh4QImQGXQEQSC_ms?e=GH9edr" TargetMode="External"/><Relationship Id="rId232" Type="http://schemas.openxmlformats.org/officeDocument/2006/relationships/hyperlink" Target="https://acortar.link/WDQjzH" TargetMode="External"/><Relationship Id="rId884"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537"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744" Type="http://schemas.openxmlformats.org/officeDocument/2006/relationships/hyperlink" Target="../../../../../../../:b:/r/personal/comunicacionesdiveliv_educacionbogota_gov_co/Documents/DIRECCION%20DE%20INSPECCION%20Y%20VIGILANCIA/DIV%20POAIV/POAIV%202025/ELIV%20PUENTE%20ARANDA/PRIORIZADOS/TRIM%20II/20250529_Visita%20fines%20mejoramiento%20Instituto%20Camargo%20Le%C3%B3n/20250611_F%20visitas%20mejoramiento_ICL%20v2.pdf?csf=1&amp;web=1&amp;e=nD8C4W" TargetMode="External"/><Relationship Id="rId951"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167"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374" Type="http://schemas.openxmlformats.org/officeDocument/2006/relationships/hyperlink" Target="https://educacionbogota-my.sharepoint.com/:b:/g/personal/comunicacionesdiveliv_educacionbogota_gov_co/EaU6Gqyt-8VAl23h3KDLXNMBWVdXnUr02-BF8oG4ffVPaA?e=XkExgg" TargetMode="External"/><Relationship Id="rId1581"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1679"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80" Type="http://schemas.openxmlformats.org/officeDocument/2006/relationships/hyperlink" Target="../../../../../../../:b:/r/personal/comunicacionesdiveliv_educacionbogota_gov_co/Documents/DIRECCION%20DE%20INSPECCION%20Y%20VIGILANCIA/DIV%20POAIV/POAIV%202025/ELIV%20SANTAFE%20Y%20LA%20CANDELARIA/PRIORIZADOS/TRIM%20II/2025%2004%2011%20%20%20COl%20Benposta%20%20%20Acta%20de%20visita.pdf?csf=1&amp;web=1&amp;e=u10X3Z" TargetMode="External"/><Relationship Id="rId604"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1"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1027"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234" Type="http://schemas.openxmlformats.org/officeDocument/2006/relationships/hyperlink" Target="../../../../../../../:b:/r/personal/comunicacionesdiveliv_educacionbogota_gov_co/Documents/DIRECCION%20DE%20INSPECCION%20Y%20VIGILANCIA/DIV%20POAIV/POAIV%202025/ELIV%20CIUDAD%20BOL%C3%8DVAR/PRIORIZADOS/TRIM%20III/20250812_Col%20Cofraternidad%20de%20San%20Fernando.pdf?csf=1&amp;web=1&amp;e=sLnUew" TargetMode="External"/><Relationship Id="rId1441" Type="http://schemas.openxmlformats.org/officeDocument/2006/relationships/hyperlink" Target="../../../../../../../:b:/r/personal/comunicacionesdiveliv_educacionbogota_gov_co/Documents/DIRECCION%20DE%20INSPECCION%20Y%20VIGILANCIA/DIV%20POAIV/POAIV%202025/ELIV%20KENNEDY/PRIORIZADOS/TRIM%20III/ACTA%20DE%20VISITA%20INSTITUTO%20YOLKIN.pdf?csf=1&amp;web=1&amp;e=2KP3s5" TargetMode="External"/><Relationship Id="rId1886"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909"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ETDH.pdf?csf=1&amp;web=1&amp;e=44Y5UO" TargetMode="External"/><Relationship Id="rId1301" Type="http://schemas.openxmlformats.org/officeDocument/2006/relationships/hyperlink" Target="../../../../../../../:b:/g/personal/comunicacionesdiveliv_educacionbogota_gov_co/EXguH2JtjgZKvmo2nrFnZmABm7iDNKSoKdbLDBu4sw4CSw?e=hZEzKK" TargetMode="External"/><Relationship Id="rId1539" Type="http://schemas.openxmlformats.org/officeDocument/2006/relationships/hyperlink" Target="https://educacionbogota-my.sharepoint.com/:b:/r/personal/comunicacionesdiveliv_educacionbogota_gov_co/Documents/DIRECCION%20DE%20INSPECCION%20Y%20VIGILANCIA/DIV%20POAIV/POAIV%202025/ELIV%20PUENTE%20ARANDA/PRIORIZADOS/TRIM%20III/25%2008%2019%20visita%20CEA%20V%C3%ADa%20Libre/VISITA%20ADMINISTRATIVA-CEA-VIA-LIBRE-19-08-2025.pdf?csf=1&amp;web=1&amp;e=uPMrl5" TargetMode="External"/><Relationship Id="rId1746" Type="http://schemas.openxmlformats.org/officeDocument/2006/relationships/hyperlink" Target="../../../../../../../:b:/g/personal/comunicacionesdiveliv_educacionbogota_gov_co/EfsHq-TeCL5MmzboQbKJWGIB_3ZH0TBzZrs6QRfSJW8o9A?e=mC6Fl5" TargetMode="External"/><Relationship Id="rId1953" Type="http://schemas.openxmlformats.org/officeDocument/2006/relationships/hyperlink" Target="https://educacionbogota-my.sharepoint.com/:b:/g/personal/comunicacionesdiveliv_educacionbogota_gov_co/EYiEZ0FBYepJvQBKX7SE93gBmteXUc1gGvoGbuAXs5s-VA?e=Ou7NPA" TargetMode="External"/><Relationship Id="rId38"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606" Type="http://schemas.openxmlformats.org/officeDocument/2006/relationships/hyperlink" Target="https://educacionbogota-my.sharepoint.com/:b:/g/personal/comunicacionesdiveliv_educacionbogota_gov_co/IQATZ2_Dq0PTTJnPGjb9EDecAWeGyY5bvOemKYQkjDm3ZN4?e=7psNTe" TargetMode="External"/><Relationship Id="rId1813"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87" Type="http://schemas.openxmlformats.org/officeDocument/2006/relationships/hyperlink" Target="https://shre.ink/evhA" TargetMode="External"/><Relationship Id="rId394"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254" Type="http://schemas.openxmlformats.org/officeDocument/2006/relationships/hyperlink" Target="https://shre.ink/ebhv" TargetMode="External"/><Relationship Id="rId699"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1091"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14" Type="http://schemas.openxmlformats.org/officeDocument/2006/relationships/hyperlink" Target="https://acortar.link/yAlpUW" TargetMode="External"/><Relationship Id="rId461"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559"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766"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1189" Type="http://schemas.openxmlformats.org/officeDocument/2006/relationships/hyperlink" Target="../../../../../../../:b:/g/personal/comunicacionesdiveliv_educacionbogota_gov_co/EbQ4xhq8GOtKr8OA9kLz8AoB2yKxssBGnabUr_qO3O5K2Q?e=BAwrtJ" TargetMode="External"/><Relationship Id="rId1396"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321" Type="http://schemas.openxmlformats.org/officeDocument/2006/relationships/hyperlink" Target="../../../../../../../:b:/r/personal/comunicacionesdiveliv_educacionbogota_gov_co/Documents/DIRECCION%20DE%20INSPECCION%20Y%20VIGILANCIA/DIV%20POAIV/POAIV%202025/ELIV%20CIUDAD%20BOL%C3%8DVAR/PRIORIZADOS/TRIM%20II/20250422ActaVisitaAdministrativaInsCoopIsmaelPerdomo.pdf?csf=1&amp;web=1&amp;e=Xnli3z" TargetMode="External"/><Relationship Id="rId419"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26" Type="http://schemas.openxmlformats.org/officeDocument/2006/relationships/hyperlink" Target="../../../../../../../:b:/r/personal/comunicacionesdiveliv_educacionbogota_gov_co/Documents/DIRECCION%20DE%20INSPECCION%20Y%20VIGILANCIA/DIV%20POAIV/POAIV%202025/ELIV%20KENNEDY/PRIORIZADOS/TRIM%20II/ACTA%20DE%20VISITA%20COLEGIO%20JAZMIN%20OCCIDENTAL.pdf?csf=1&amp;web=1&amp;e=QuUYDS" TargetMode="External"/><Relationship Id="rId973"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049"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6" Type="http://schemas.openxmlformats.org/officeDocument/2006/relationships/hyperlink" Target="../../../../../../../:b:/g/personal/comunicacionesdiveliv_educacionbogota_gov_co/Ea03xamXMppMmFZSPVOIccsBlXMhONdBrVnUZDNUHIPmjQ?e=zhH7iR" TargetMode="External"/><Relationship Id="rId2002" Type="http://schemas.openxmlformats.org/officeDocument/2006/relationships/hyperlink" Target="https://educacionbogota-my.sharepoint.com/personal/comunicacionesdiveliv_educacionbogota_gov_co/_layouts/15/onedrive.aspx?e=5%3Aeec12c584b264627b43f2ab231c8eb4f&amp;sharingv2=true&amp;fromShare=true&amp;at=9&amp;CT=1769198233503&amp;OR=OWA%2DNT%2DMail&amp;CID=5adaa369%2Dd188%2Da0c1%2D8234%2Dcd86fa71abbd&amp;id=%2Fpersonal%2Fcomunicacionesdiveliv%5Feducacionbogota%5Fgov%5Fco%2FDocuments%2FDIRECCION%20DE%20INSPECCION%20Y%20VIGILANCIA%2FDIV%20POAIV%2FPOAIV%202025%2FELIV%20CHAPINERO%2FPRIORIZADOS%2FTRIM%20I%2FESCUELA%20AERONAUTICA%20DE%20COLOMBIA&amp;FolderCTID=0x0120003F990D12781BB346B8D0705E8416ECF6&amp;view=0" TargetMode="External"/><Relationship Id="rId833"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116"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463" Type="http://schemas.openxmlformats.org/officeDocument/2006/relationships/hyperlink" Target="../../../../../../../:b:/r/personal/comunicacionesdiveliv_educacionbogota_gov_co/Documents/DIRECCION%20DE%20INSPECCION%20Y%20VIGILANCIA/DIV%20POAIV/POAIV%202025/ELIV%20LOS%20M%C3%81RTIRES/PRIORIZADOS/TRIMI/V.3%20Formato%20visita%20COL_REP%20BOL%20VZLA%20I.E.D..pdf?csf=1&amp;web=1&amp;e=Hx1WTh" TargetMode="External"/><Relationship Id="rId1670"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768" Type="http://schemas.openxmlformats.org/officeDocument/2006/relationships/hyperlink" Target="../../../../../../../:b:/g/personal/comunicacionesdiveliv_educacionbogota_gov_co/EYDzPp7kUl1GtSpcbcbj9XkByOx0lTdfxy2ScYRvrF5Ppw?e=GRw5IO" TargetMode="External"/><Relationship Id="rId900"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323" Type="http://schemas.openxmlformats.org/officeDocument/2006/relationships/hyperlink" Target="../../../../../../../:b:/r/personal/comunicacionesdiveliv_educacionbogota_gov_co/Documents/DIRECCION%20DE%20INSPECCION%20Y%20VIGILANCIA/DIV%20POAIV/POAIV%202025/ELIV%20ENGATIV%C3%81/PRIORIZADOS/TRIM%20III/ACTA%20LICEO%20NORMANDIA.pdf?csf=1&amp;web=1&amp;e=8cJ8Es" TargetMode="External"/><Relationship Id="rId1530" Type="http://schemas.openxmlformats.org/officeDocument/2006/relationships/hyperlink" Target="https://educacionbogota-my.sharepoint.com/:b:/g/personal/comunicacionesdiveliv_educacionbogota_gov_co/EZE-vVmDPAlOqGAOAoGBk08BsTm1Mc3wlXA1_-cQkdO9Wg?e=qgUvMm" TargetMode="External"/><Relationship Id="rId1628"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975" Type="http://schemas.openxmlformats.org/officeDocument/2006/relationships/hyperlink" Target="https://educacionbogota-my.sharepoint.com/:b:/g/personal/comunicacionesdiveliv_educacionbogota_gov_co/EVUeggJPUO5Foh4h5IjMFUQBEG1zuGb6eBJmxTyua9djgg?e=eztXo2" TargetMode="External"/><Relationship Id="rId1835"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902"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276"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3"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690" Type="http://schemas.openxmlformats.org/officeDocument/2006/relationships/hyperlink" Target="../../../../../../../:b:/r/personal/comunicacionesdiveliv_educacionbogota_gov_co/Documents/DIRECCION%20DE%20INSPECCION%20Y%20VIGILANCIA/DIV%20POAIV/POAIV%202025/ELIV%20KENNEDY/PRIORIZADOS/TRIM%20II/ACTA%20VISITA%20COLEGIO%20GIMNASIO%20IGNACIA%20CAMACHO%20DE%20CIPHUENTES.pdf?csf=1&amp;web=1&amp;e=aQglW2" TargetMode="External"/><Relationship Id="rId136" Type="http://schemas.openxmlformats.org/officeDocument/2006/relationships/hyperlink" Target="https://shre.ink/Mn7g" TargetMode="External"/><Relationship Id="rId343"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550" Type="http://schemas.openxmlformats.org/officeDocument/2006/relationships/hyperlink" Target="../../../../../../../:b:/r/personal/comunicacionesdiveliv_educacionbogota_gov_co/Documents/DIRECCION%20DE%20INSPECCION%20Y%20VIGILANCIA/DIV%20POAIV/POAIV%202025/ELIV%20ANTONIO%20NARI%C3%91O/PRIORIZADOS/TRIM%20II/09.%20Acta%20de%20visita%20Integral%20-%20INSTITUTO%20BOGOTA.pdf?csf=1&amp;web=1&amp;e=hCLehH" TargetMode="External"/><Relationship Id="rId788"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5"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1180" Type="http://schemas.openxmlformats.org/officeDocument/2006/relationships/hyperlink" Target="../../../../../../../:b:/r/personal/comunicacionesdiveliv_educacionbogota_gov_co/Documents/DIRECCION%20DE%20INSPECCION%20Y%20VIGILANCIA/DIV%20POAIV/POAIV%202025/ELIV%20ANTONIO%20NARI%C3%91O/PRIORIZADOS/TRIM%20II/18.%20Acta%20de%20Visita%20Integral%20-%20CEA%20PORCHE.pdf?csf=1&amp;web=1&amp;e=Y0MNiO" TargetMode="External"/><Relationship Id="rId2024" Type="http://schemas.openxmlformats.org/officeDocument/2006/relationships/hyperlink" Target="https://educacionbogota-my.sharepoint.com/:b:/g/personal/comunicacionesdiveliv_educacionbogota_gov_co/IQDBZFKe66-XQ5oSJfVfCN12ATMFTUzUCN4nOIbiliGpOx0?e=ytY7LO" TargetMode="External"/><Relationship Id="rId203" Type="http://schemas.openxmlformats.org/officeDocument/2006/relationships/hyperlink" Target="https://shre.ink/eKSY" TargetMode="External"/><Relationship Id="rId648"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855"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040" Type="http://schemas.openxmlformats.org/officeDocument/2006/relationships/hyperlink" Target="../../../../../../../:b:/r/personal/comunicacionesdiveliv_educacionbogota_gov_co/Documents/DIRECCION%20DE%20INSPECCION%20Y%20VIGILANCIA/DIV%20POAIV/POAIV%202025/ELIV%20FONTIB%C3%93N/PRIORIZADOS/TRIM%20III/UNIDAD%20EDUCATIVA%20BAHIA%20SOLANO/FORMATO%20UNIDAD%20EDUCATIVA%20BAHIA%20SOLANO.pdf?csf=1&amp;web=1&amp;e=tWRSAh" TargetMode="External"/><Relationship Id="rId1278" Type="http://schemas.openxmlformats.org/officeDocument/2006/relationships/hyperlink" Target="../../../../../../../:b:/g/personal/comunicacionesdiveliv_educacionbogota_gov_co/EYC-_IGI59ZJkaQGDNJiRVQB-RjSIIB-kuO2MF7Oc1cNuA?e=ewGYim" TargetMode="External"/><Relationship Id="rId1485"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692"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410" Type="http://schemas.openxmlformats.org/officeDocument/2006/relationships/hyperlink" Target="../../../../../../../:b:/r/personal/comunicacionesdiveliv_educacionbogota_gov_co/Documents/DIRECCION%20DE%20INSPECCION%20Y%20VIGILANCIA/DIV%20POAIV/POAIV%202025/ELIV%20ENGATIV%C3%81/PRIORIZADOS/TRIM%20II/ACTACOLARTESABER.pdf?csf=1&amp;web=1&amp;e=uASpsd" TargetMode="External"/><Relationship Id="rId508"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715" Type="http://schemas.openxmlformats.org/officeDocument/2006/relationships/hyperlink" Target="../../../../../../../:f:/r/personal/comunicacionesdiveliv_educacionbogota_gov_co/Documents/DIRECCION%20DE%20INSPECCION%20Y%20VIGILANCIA/DIV%20POAIV/POAIV%202025/ELIV%20PUENTE%20ARANDA/PRIORIZADOS/TRIM%20II/VISITA%20CON%20FINES%20DE%20MEJORAMIENTO%20COLEGIO%20SANTA%20TERESITA?csf=1&amp;web=1&amp;e=kOkShk" TargetMode="External"/><Relationship Id="rId922"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138" Type="http://schemas.openxmlformats.org/officeDocument/2006/relationships/hyperlink" Target="https://educacionbogota-my.sharepoint.com/:b:/g/personal/comunicacionesdiveliv_educacionbogota_gov_co/EYO98_Q415ZLn_AiLoFPYfQBxqtJLIEyHvpDcf-ccGBqfQ?e=GmEuys" TargetMode="External"/><Relationship Id="rId1345" Type="http://schemas.openxmlformats.org/officeDocument/2006/relationships/hyperlink" Target="../../../../../../../:b:/g/personal/comunicacionesdiveliv_educacionbogota_gov_co/EUwXYE3zRUdHmUmCMjP9SMsBxRjqVyiXhd3Mm_oW-xdMiA?e=0ppQr2" TargetMode="External"/><Relationship Id="rId1552"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997"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SANTAFE%20Y%20LA%20CANDELARIA%2FPRIORIZADOS%2FTRIM%20I%2FCOLEGIO%20SANTISIMO%20ROSARIO%2FVisita%20priorizada%20colegio%20del%20santisimo%20rosario%2001042025%2Epdf&amp;parent=%2Fpersonal%2Fcomunicacionesdiveliv%5Feducacionbogota%5Fgov%5Fco%2FDocuments%2FDIRECCION%20DE%20INSPECCION%20Y%20VIGILANCIA%2FDIV%20POAIV%2FPOAIV%202025%2FELIV%20SANTAFE%20Y%20LA%20CANDELARIA%2FPRIORIZADOS%2FTRIM%20I%2FCOLEGIO%20SANTISIMO%20ROSARIO&amp;ga=1" TargetMode="External"/><Relationship Id="rId1205" Type="http://schemas.openxmlformats.org/officeDocument/2006/relationships/hyperlink" Target="../../../../../../../:b:/r/personal/comunicacionesdiveliv_educacionbogota_gov_co/Documents/DIRECCION%20DE%20INSPECCION%20Y%20VIGILANCIA/DIV%20POAIV/POAIV%202025/ELIV%20CIUDAD%20BOL%C3%8DVAR/PRIORIZADOS/TRIM%20II/20250407_Visita%20administrativa%20Colegio%20Nuevo%20Milenio.pdf?csf=1&amp;web=1&amp;e=8cJ69x" TargetMode="External"/><Relationship Id="rId1857"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51"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SANTAFE%20Y%20LA%20CANDELARIA%2FPRIORIZADOS%2FTRIM%20I%2FCOLEGIO%20SANTISIMO%20ROSARIO%2FVisita%20priorizada%20colegio%20del%20santisimo%20rosario%2001042025%2Epdf&amp;parent=%2Fpersonal%2Fcomunicacionesdiveliv%5Feducacionbogota%5Fgov%5Fco%2FDocuments%2FDIRECCION%20DE%20INSPECCION%20Y%20VIGILANCIA%2FDIV%20POAIV%2FPOAIV%202025%2FELIV%20SANTAFE%20Y%20LA%20CANDELARIA%2FPRIORIZADOS%2FTRIM%20I%2FCOLEGIO%20SANTISIMO%20ROSARIO&amp;ga=1" TargetMode="External"/><Relationship Id="rId1412" Type="http://schemas.openxmlformats.org/officeDocument/2006/relationships/hyperlink" Target="https://educacionbogota-my.sharepoint.com/:b:/g/personal/comunicacionesdiveliv_educacionbogota_gov_co/EZRxFJ-Rd89Pu7EGFSmHYpABAO6tmyKg5lFyrScuIcKqCg?e=He1SZj" TargetMode="External"/><Relationship Id="rId1717" Type="http://schemas.openxmlformats.org/officeDocument/2006/relationships/hyperlink" Target="../../../../../../../:b:/r/personal/comunicacionesdiveliv_educacionbogota_gov_co/Documents/DIRECCION%20DE%20INSPECCION%20Y%20VIGILANCIA/DIV%20POAIV/POAIV%202025/ELIV%20SUBA/PRIORIZADOS/TRIM%20III/acta%20visita%20col%20bosques%20del%20nogal.pdf?csf=1&amp;web=1&amp;e=E3vJXw" TargetMode="External"/><Relationship Id="rId1924"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98"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158" Type="http://schemas.openxmlformats.org/officeDocument/2006/relationships/hyperlink" Target="https://shre.ink/evUD" TargetMode="External"/><Relationship Id="rId365"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572"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2046" Type="http://schemas.openxmlformats.org/officeDocument/2006/relationships/hyperlink" Target="https://educacionbogota-my.sharepoint.com/:b:/g/personal/comunicacionesdiveliv_educacionbogota_gov_co/IQC0csq_OZdlT5Qv-06sUVZLAZ99LxHD5zoTg2VlUCEp3L4?e=EdJ811" TargetMode="External"/><Relationship Id="rId225" Type="http://schemas.openxmlformats.org/officeDocument/2006/relationships/hyperlink" Target="https://shre.ink/eKLw" TargetMode="External"/><Relationship Id="rId432"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877"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1062"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737"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944"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367"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1574"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781" Type="http://schemas.openxmlformats.org/officeDocument/2006/relationships/hyperlink" Target="../../../../../../../:b:/g/personal/comunicacionesdiveliv_educacionbogota_gov_co/EW7PR1mGHbdOnApLj5Nvs8QBGJOXtBzseSKa8TVdtQ_8fg?e=oJhOWc" TargetMode="External"/><Relationship Id="rId73"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4"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227" Type="http://schemas.openxmlformats.org/officeDocument/2006/relationships/hyperlink" Target="../../../../../../../:b:/g/personal/comunicacionesdiveliv_educacionbogota_gov_co/ERzMaCAxKL1NqszoLwR48UwBoQP72q40f-ul--HtX_xaYA?e=8Me0ll" TargetMode="External"/><Relationship Id="rId1434" Type="http://schemas.openxmlformats.org/officeDocument/2006/relationships/hyperlink" Target="../../../../../../../:b:/r/personal/comunicacionesdiveliv_educacionbogota_gov_co/Documents/DIRECCION%20DE%20INSPECCION%20Y%20VIGILANCIA/DIV%20POAIV/POAIV%202025/ELIV%20KENNEDY/PRIORIZADOS/TRIM%20II/ACTA%20DE%20VISITA_INSTITUTO%20DE%20EDUCACION%20EMAUS_22_05_25.pdf?csf=1&amp;web=1&amp;e=964GAv" TargetMode="External"/><Relationship Id="rId1641" Type="http://schemas.openxmlformats.org/officeDocument/2006/relationships/hyperlink" Target="../../../../../../../:b:/r/personal/comunicacionesdiveliv_educacionbogota_gov_co/Documents/DIRECCION%20DE%20INSPECCION%20Y%20VIGILANCIA/DIV%20POAIV/POAIV%202025/ELIV%20SUBA/PRIORIZADOS/TRIM%20II/23052025%20Acta%20de%20visita%20Colegio%20Instituto%20Santiago%20de%20Compostela.pdf?csf=1&amp;web=1&amp;e=x0epHo" TargetMode="External"/><Relationship Id="rId1879"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1501"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1739" Type="http://schemas.openxmlformats.org/officeDocument/2006/relationships/hyperlink" Target="../../../../../../../:b:/g/personal/comunicacionesdiveliv_educacionbogota_gov_co/EfsHq-TeCL5MmzboQbKJWGIB_3ZH0TBzZrs6QRfSJW8o9A?e=mC6Fl5" TargetMode="External"/><Relationship Id="rId1946" Type="http://schemas.openxmlformats.org/officeDocument/2006/relationships/hyperlink" Target="https://educacionbogota-my.sharepoint.com/:b:/g/personal/comunicacionesdiveliv_educacionbogota_gov_co/EcVoZ5cw_rtFrQkKs_EoPOABbNBKQfQrlnwUnzK9-6j-Fw?e=xBWHya" TargetMode="External"/><Relationship Id="rId1806" Type="http://schemas.openxmlformats.org/officeDocument/2006/relationships/hyperlink" Target="../../../../../../../:b:/g/personal/comunicacionesdiveliv_educacionbogota_gov_co/EcVLXnYZGmZMuxmrTQBVJQoBQd0FuaD9SJAcoHYXJz32og?e=IZAmfU" TargetMode="External"/><Relationship Id="rId387"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4" Type="http://schemas.openxmlformats.org/officeDocument/2006/relationships/hyperlink" Target="../../../../../../../:b:/r/personal/comunicacionesdiveliv_educacionbogota_gov_co/Documents/DIRECCION%20DE%20INSPECCION%20Y%20VIGILANCIA/DIV%20POAIV/POAIV%202025/ELIV%20KENNEDY/PRIORIZADOS/TRIM%20II/ACTA%20VISITA%20COLEGIO_CHARLES_BABAGGE.pdf?csf=1&amp;web=1&amp;e=Qhnwfp" TargetMode="External"/><Relationship Id="rId247" Type="http://schemas.openxmlformats.org/officeDocument/2006/relationships/hyperlink" Target="https://shre.ink/ebhv" TargetMode="External"/><Relationship Id="rId899"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084"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07" Type="http://schemas.openxmlformats.org/officeDocument/2006/relationships/hyperlink" Target="../../../../../../../:b:/r/personal/comunicacionesdiveliv_educacionbogota_gov_co/Documents/DIRECCION%20DE%20INSPECCION%20Y%20VIGILANCIA/DIV%20POAIV/POAIV%202025/ELIV%20SANTAFE%20Y%20LA%20CANDELARIA/PRIORIZADOS/TRIM%20II/2025%2006%2017%20Liceo%20Julio%20Cesar%20Garc%C3%ADa%20Acta%20de%20visita.pdf?csf=1&amp;web=1&amp;e=y2S2dg" TargetMode="External"/><Relationship Id="rId454"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61" Type="http://schemas.openxmlformats.org/officeDocument/2006/relationships/hyperlink" Target="../../../../../../../:b:/r/personal/comunicacionesdiveliv_educacionbogota_gov_co/Documents/DIRECCION%20DE%20INSPECCION%20Y%20VIGILANCIA/DIV%20POAIV/POAIV%202025/ELIV%20KENNEDY/PRIORIZADOS/TRIM%20II/ACTA%20VISITA%20COLEGIO%20RAFAEL%20GOBERNA.pdf?csf=1&amp;web=1&amp;e=6KxOWT" TargetMode="External"/><Relationship Id="rId759"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66"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291"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389" Type="http://schemas.openxmlformats.org/officeDocument/2006/relationships/hyperlink" Target="https://educacionbogota-my.sharepoint.com/:b:/g/personal/comunicacionesdiveliv_educacionbogota_gov_co/ERAM9qLwpB9Hnq0uH4vIkWoBry_yCDPWLSu8VpjD2eaVeQ?e=az8UHu" TargetMode="External"/><Relationship Id="rId1596"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314" Type="http://schemas.openxmlformats.org/officeDocument/2006/relationships/hyperlink" Target="../../../../../../../:b:/r/personal/comunicacionesdiveliv_educacionbogota_gov_co/Documents/DIRECCION%20DE%20INSPECCION%20Y%20VIGILANCIA/DIV%20POAIV/POAIV%202025/ELIV%20CHAPINERO/PRIORIZADOS/TRIM%20II/CENTRO%20DE%20ALTOS%20ESTUDIOS%20INMOBILIARIOS/ACTA_VISITA_CENTRO_ALTOS_ESTUDIOS_INMOBILIARIA.pdf?csf=1&amp;web=1&amp;e=RPOeTZ" TargetMode="External"/><Relationship Id="rId521"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619"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1151" Type="http://schemas.openxmlformats.org/officeDocument/2006/relationships/hyperlink" Target="https://educacionbogota-my.sharepoint.com/:b:/g/personal/comunicacionesdiveliv_educacionbogota_gov_co/EXKnREsSVEtGqHjKbn9fduwBlny6BCei4ltKgDnU8dyyyg?e=koY4f8" TargetMode="External"/><Relationship Id="rId1249" Type="http://schemas.openxmlformats.org/officeDocument/2006/relationships/hyperlink" Target="../../../../../../../:b:/g/personal/comunicacionesdiveliv_educacionbogota_gov_co/Ea03xamXMppMmFZSPVOIccsBlXMhONdBrVnUZDNUHIPmjQ?e=zhH7iR" TargetMode="External"/><Relationship Id="rId95"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826"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011"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109"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456" Type="http://schemas.openxmlformats.org/officeDocument/2006/relationships/hyperlink" Target="../../../../../../../:f:/r/personal/comunicacionesdiveliv_educacionbogota_gov_co/Documents/DIRECCION%20DE%20INSPECCION%20Y%20VIGILANCIA/DIV%20POAIV/POAIV%202025/ELIV%20KENNEDY/PRIORIZADOS/U_E_FUTURO_DEL_MA%C3%91ANA?csf=1&amp;web=1&amp;e=kqRNYv" TargetMode="External"/><Relationship Id="rId1663" Type="http://schemas.openxmlformats.org/officeDocument/2006/relationships/hyperlink" Target="../../../../../../../:b:/r/personal/comunicacionesdiveliv_educacionbogota_gov_co/Documents/DIRECCION%20DE%20INSPECCION%20Y%20VIGILANCIA/DIV%20POAIV/POAIV%202025/ELIV%20SUBA/PRIORIZADOS/TRIM%20II/11052025%20LASIT%20Acta%20de%20visita.pdf?csf=1&amp;web=1&amp;e=zZLEfg" TargetMode="External"/><Relationship Id="rId1870"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1968" Type="http://schemas.openxmlformats.org/officeDocument/2006/relationships/hyperlink" Target="https://educacionbogota-my.sharepoint.com/:b:/g/personal/comunicacionesdiveliv_educacionbogota_gov_co/ET2QxUqFxKtJkaDKcikNMnwB-Lrfw9_zcHJHhmJDmOegWg?e=bS3r0p" TargetMode="External"/><Relationship Id="rId1316" Type="http://schemas.openxmlformats.org/officeDocument/2006/relationships/hyperlink" Target="../../../../../../../:b:/g/personal/comunicacionesdiveliv_educacionbogota_gov_co/EX50lx968y9GrquDjOwdiocBRlOHdbt1HVUni9Xd0AOfyQ?e=eNDjsk" TargetMode="External"/><Relationship Id="rId1523" Type="http://schemas.openxmlformats.org/officeDocument/2006/relationships/hyperlink" Target="https://educacionbogota-my.sharepoint.com/:b:/g/personal/comunicacionesdiveliv_educacionbogota_gov_co/EWF7bhdFvndNn9rxopJnRSkBTQ7jCTHittv2bSBBSaVQOw?e=rIAkBV" TargetMode="External"/><Relationship Id="rId1730"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22"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 Id="rId1828"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71" Type="http://schemas.openxmlformats.org/officeDocument/2006/relationships/hyperlink" Target="https://shre.ink/evAg" TargetMode="External"/><Relationship Id="rId269" Type="http://schemas.openxmlformats.org/officeDocument/2006/relationships/hyperlink" Target="../../../../../../../:b:/r/personal/comunicacionesdiveliv_educacionbogota_gov_co/Documents/DIRECCION%20DE%20INSPECCION%20Y%20VIGILANCIA/DIV%20POAIV/POAIV%202025/ELIV%20CHAPINERO/PRIORIZADOS/TRIM%20II/FUND%20COLEGIO%20NUEVA%20GRANADA/ACTA%20FINAL%20FUND%20NUEVA%20GRANADA.pdf?csf=1&amp;web=1&amp;e=kF2juS" TargetMode="External"/><Relationship Id="rId476" Type="http://schemas.openxmlformats.org/officeDocument/2006/relationships/hyperlink" Target="../../../../../../../:b:/r/personal/comunicacionesdiveliv_educacionbogota_gov_co/Documents/DIRECCION%20DE%20INSPECCION%20Y%20VIGILANCIA/DIV%20POAIV/POAIV%202025/ELIV%20ENGATIV%C3%81/PRIORIZADOS/TRIM%20II/ACTA%20VISITA%20COOP%20ALAMOS%2011JUN2025.pdf?csf=1&amp;web=1&amp;e=4d0Mll" TargetMode="External"/><Relationship Id="rId683" Type="http://schemas.openxmlformats.org/officeDocument/2006/relationships/hyperlink" Target="../../../../../../../:b:/r/personal/comunicacionesdiveliv_educacionbogota_gov_co/Documents/DIRECCION%20DE%20INSPECCION%20Y%20VIGILANCIA/DIV%20POAIV/POAIV%202025/ELIV%20KENNEDY/PRIORIZADOS/TRIM%20II/ACTA%20DE%20VISITA%20COLEGIO%20TRIANGULO.pdf?csf=1&amp;web=1&amp;e=z5dGWo" TargetMode="External"/><Relationship Id="rId890" Type="http://schemas.openxmlformats.org/officeDocument/2006/relationships/hyperlink" Target="../../../../../../../:b:/r/personal/comunicacionesdiveliv_educacionbogota_gov_co/Documents/DIRECCION%20DE%20INSPECCION%20Y%20VIGILANCIA/DIV%20POAIV/POAIV%202025/ELIV%20SAN%20CRIST%C3%93BAL/PRIORIZADOS/TRIM%20II/0411%20Acta%20visita%20Liceo%20Sendero%20del%20Saber%20%2011042025.pdf?csf=1&amp;web=1&amp;e=blIhcv" TargetMode="External"/><Relationship Id="rId129" Type="http://schemas.openxmlformats.org/officeDocument/2006/relationships/hyperlink" Target="https://shre.ink/Mn7g" TargetMode="External"/><Relationship Id="rId336"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43" Type="http://schemas.openxmlformats.org/officeDocument/2006/relationships/hyperlink" Target="../../../../../../../:b:/r/personal/comunicacionesdiveliv_educacionbogota_gov_co/Documents/DIRECCION%20DE%20INSPECCION%20Y%20VIGILANCIA/DIV%20POAIV/POAIV%202025/ELIV%20ANTONIO%20NARI%C3%91O/PRIORIZADOS/TRIM%20II/08.%20Acta%20de%20visita%20Integral%20-%20COLEGIO%20EDUARDO.pdf?csf=1&amp;web=1&amp;e=rxyaIx" TargetMode="External"/><Relationship Id="rId988"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1173" Type="http://schemas.openxmlformats.org/officeDocument/2006/relationships/hyperlink" Target="../../../../../../../:b:/r/personal/comunicacionesdiveliv_educacionbogota_gov_co/Documents/DIRECCION%20DE%20INSPECCION%20Y%20VIGILANCIA/DIV%20POAIV/POAIV%202025/ELIV%20ANTONIO%20NARI%C3%91O/PRIORIZADOS/TRIM%20II/12.%20Acta%20Centro%20Educativo%20CE%20Ntra%20Sra%20de%20la%20Paz.pdf?csf=1&amp;web=1&amp;e=jfyGbn" TargetMode="External"/><Relationship Id="rId1380"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PRADOS%20DE%20ALAMEDA/ACTA%20FIRMADA%20PRADOS%20DE%20ALAMEDA.pdf?csf=1&amp;web=1&amp;e=Ow5uBM" TargetMode="External"/><Relationship Id="rId2017" Type="http://schemas.openxmlformats.org/officeDocument/2006/relationships/hyperlink" Target="https://educacionbogota-my.sharepoint.com/:b:/g/personal/comunicacionesdiveliv_educacionbogota_gov_co/IQD3Mqgz3QvJQ70CPYiuQRX9AfNYQ9FpHgrzyC5T_7Fhxpo?e=Pml7cl" TargetMode="External"/><Relationship Id="rId403" Type="http://schemas.openxmlformats.org/officeDocument/2006/relationships/hyperlink" Target="../../../../../../../:b:/r/personal/comunicacionesdiveliv_educacionbogota_gov_co/Documents/DIRECCION%20DE%20INSPECCION%20Y%20VIGILANCIA/DIV%20POAIV/POAIV%202025/ELIV%20ENGATIV%C3%81/PRIORIZADOS/TRIM%20III/ACTA%20JOSE%20MARTINEZ%20RUIZ.pdf?csf=1&amp;web=1&amp;e=RVjFQX" TargetMode="External"/><Relationship Id="rId750" Type="http://schemas.openxmlformats.org/officeDocument/2006/relationships/hyperlink" Target="../../../../../../../:b:/r/personal/comunicacionesdiveliv_educacionbogota_gov_co/Documents/DIRECCION%20DE%20INSPECCION%20Y%20VIGILANCIA/DIV%20POAIV/POAIV%202025/ELIV%20PUENTE%20ARANDA/PRIORIZADOS/TRIM%20I/25%2003%2026%20acta%20Luis%20Concha%20Cordoba.pdf?csf=1&amp;web=1&amp;e=H3PtWv" TargetMode="External"/><Relationship Id="rId848" Type="http://schemas.openxmlformats.org/officeDocument/2006/relationships/hyperlink" Target="../../../../../../../:b:/r/personal/comunicacionesdiveliv_educacionbogota_gov_co/Documents/DIRECCION%20DE%20INSPECCION%20Y%20VIGILANCIA/DIV%20POAIV/POAIV%202025/ELIV%20SAN%20CRIST%C3%93BAL/PRIORIZADOS/TRIM%20II/0519%20Acta%20de%20Visita%20Colegio%20Monse%C3%B1or%20Bernardo%20S%C3%A1nchez%20final.pdf?csf=1&amp;web=1&amp;e=woxYap" TargetMode="External"/><Relationship Id="rId1033" Type="http://schemas.openxmlformats.org/officeDocument/2006/relationships/hyperlink" Target="../../../../../../../:b:/r/personal/comunicacionesdiveliv_educacionbogota_gov_co/Documents/DIRECCION%20DE%20INSPECCION%20Y%20VIGILANCIA/DIV%20POAIV/POAIV%202025/ELIV%20FONTIB%C3%93N/PRIORIZADOS/TRIM%20II/COLEGIO%20TECNISISTEMAS/acta%20visita%20firmada.pdf?csf=1&amp;web=1&amp;e=ZWF8fi" TargetMode="External"/><Relationship Id="rId1478" Type="http://schemas.openxmlformats.org/officeDocument/2006/relationships/hyperlink" Target="../../../../../../../:b:/r/personal/comunicacionesdiveliv_educacionbogota_gov_co/Documents/DIRECCION%20DE%20INSPECCION%20Y%20VIGILANCIA/DIV%20POAIV/POAIV%202025/ELIV%20LOS%20M%C3%81RTIRES/PRIORIZADOS/TRIM%20II/20250527%20Acta%20Visita%20Col_Ntr_Sra_de_la_Paz.pdf?csf=1&amp;web=1&amp;e=soJGJq" TargetMode="External"/><Relationship Id="rId1685" Type="http://schemas.openxmlformats.org/officeDocument/2006/relationships/hyperlink" Target="../../../../../../../:b:/r/personal/comunicacionesdiveliv_educacionbogota_gov_co/Documents/DIRECCION%20DE%20INSPECCION%20Y%20VIGILANCIA/DIV%20POAIV/POAIV%202025/ELIV%20SUBA/PRIORIZADOS/TRIM%20II/ACTA%20DE%20VISITA%20GIMNASIO%20SANTANDER.pdf?csf=1&amp;web=1&amp;e=jL4e8v" TargetMode="External"/><Relationship Id="rId1892" Type="http://schemas.openxmlformats.org/officeDocument/2006/relationships/hyperlink" Target="../../../../../../../:b:/r/personal/comunicacionesdiveliv_educacionbogota_gov_co/Documents/DIRECCION%20DE%20INSPECCION%20Y%20VIGILANCIA/DIV%20POAIV/POAIV%202025/ELIV%20TUNJUELITO/PRIORIZADOS/TRIM%20II/CENTRO%20EDUCATIVO%20INTEGRAL%20LATINOAMERICANO%20CEIL/ceil%2017%20de%20mayo_250523_09504323052025.pdf?csf=1&amp;web=1&amp;e=VKysBm" TargetMode="External"/><Relationship Id="rId610"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708" Type="http://schemas.openxmlformats.org/officeDocument/2006/relationships/hyperlink" Target="../../../../../../../:b:/r/personal/comunicacionesdiveliv_educacionbogota_gov_co/Documents/DIRECCION%20DE%20INSPECCION%20Y%20VIGILANCIA/DIV%20POAIV/POAIV%202025/ELIV%20KENNEDY/PRIORIZADOS/TRIM%20III/LICEO%20LUTHER%20KING.pdf?csf=1&amp;web=1&amp;e=N2lWdl" TargetMode="External"/><Relationship Id="rId915" Type="http://schemas.openxmlformats.org/officeDocument/2006/relationships/hyperlink" Target="../../../../../../../:b:/r/personal/comunicacionesdiveliv_educacionbogota_gov_co/Documents/DIRECCION%20DE%20INSPECCION%20Y%20VIGILANCIA/DIV%20POAIV/POAIV%202025/ELIV%20SAN%20CRIST%C3%93BAL/PRIORIZADOS/TRIM%20II/0508%20Acta%20visita%20administrativa%20Centro%20de%20Capacitaci%C3%B3n%20Laboral%20Miquelina.pdf?csf=1&amp;web=1&amp;e=IOmSP9" TargetMode="External"/><Relationship Id="rId1240" Type="http://schemas.openxmlformats.org/officeDocument/2006/relationships/hyperlink" Target="../../../../../../../:b:/g/personal/comunicacionesdiveliv_educacionbogota_gov_co/ERVcYNQPojxEn7bveI3Gp84B89VykYD-xj-f_Jbn0e4nLA?e=tB6t24" TargetMode="External"/><Relationship Id="rId1338" Type="http://schemas.openxmlformats.org/officeDocument/2006/relationships/hyperlink" Target="../../../../../../../:b:/g/personal/comunicacionesdiveliv_educacionbogota_gov_co/EecCk4zFb4xPtleMLk22xdYBqn9dGakDd5QQ53y47hOrbg?e=DOsDlF" TargetMode="External"/><Relationship Id="rId1545" Type="http://schemas.openxmlformats.org/officeDocument/2006/relationships/hyperlink" Target="https://educacionbogota-my.sharepoint.com/:b:/g/personal/comunicacionesdiveliv_educacionbogota_gov_co/EQ2DMzh0MnpKoCJRssnZC5MBVnmpWf5qGDTie_W3LZIycw?e=XoXAOg" TargetMode="External"/><Relationship Id="rId1100"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1405" Type="http://schemas.openxmlformats.org/officeDocument/2006/relationships/hyperlink" Target="https://educacionbogota-my.sharepoint.com/:b:/r/personal/comunicacionesdiveliv_educacionbogota_gov_co/Documents/DIRECCION%20DE%20INSPECCION%20Y%20VIGILANCIA/DIV%20POAIV/POAIV%202025/ELIV%20FONTIB%C3%93N/PRIORIZADOS/TRIM%20II/COLEGIO%20MADRE%20MATILDE/VISITA%20CON%20FINES%20DE%20MEJORA%20COLEGIO%20MADRE%20MATILDE.pdf?csf=1&amp;web=1&amp;e=iGphdF" TargetMode="External"/><Relationship Id="rId1752" Type="http://schemas.openxmlformats.org/officeDocument/2006/relationships/hyperlink" Target="../../../../../../../:b:/g/personal/comunicacionesdiveliv_educacionbogota_gov_co/EYXGYZZLrKtDsZmoXUoWpP8BKmEOE7yadec7nep9AvAofw?e=xBs3yL" TargetMode="External"/><Relationship Id="rId44"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612" Type="http://schemas.openxmlformats.org/officeDocument/2006/relationships/hyperlink" Target="../../../../../../../:b:/g/personal/comunicacionesdiveliv_educacionbogota_gov_co/EbuTU9tbcTxFs94RYLyR-3QBmd9zlhyBKgtY73RkkG3uEw?e=nZXF7Y" TargetMode="External"/><Relationship Id="rId1917" Type="http://schemas.openxmlformats.org/officeDocument/2006/relationships/hyperlink" Target="../../../../../../../:b:/r/personal/comunicacionesdiveliv_educacionbogota_gov_co/Documents/DIRECCION%20DE%20INSPECCION%20Y%20VIGILANCIA/DIV%20POAIV/POAIV%202025/ELIV%20USME/PRIORIZADOS/TRIM%20II/04ActaVisitaAdministrativaInstitutoSusanaWesley05062025.pdf?csf=1&amp;web=1&amp;e=GJ6Z0B" TargetMode="External"/><Relationship Id="rId193" Type="http://schemas.openxmlformats.org/officeDocument/2006/relationships/hyperlink" Target="https://shre.ink/evCM" TargetMode="External"/><Relationship Id="rId498" Type="http://schemas.openxmlformats.org/officeDocument/2006/relationships/hyperlink" Target="../../../../../../../:b:/r/personal/comunicacionesdiveliv_educacionbogota_gov_co/Documents/DIRECCION%20DE%20INSPECCION%20Y%20VIGILANCIA/DIV%20POAIV/POAIV%202025/ELIV%20ANTONIO%20NARI%C3%91O/PRIORIZADOS/TRIM%20II/06.%20Acta%20de%20visita%20Integral%20-%20Col.%20CENCOSISTEMAS.pdf?csf=1&amp;web=1&amp;e=DHNbRD" TargetMode="External"/><Relationship Id="rId260" Type="http://schemas.openxmlformats.org/officeDocument/2006/relationships/hyperlink" Target="../../../../../../../:b:/r/personal/comunicacionesdiveliv_educacionbogota_gov_co/Documents/DIRECCION%20DE%20INSPECCION%20Y%20VIGILANCIA/DIV%20POAIV/POAIV%202025/ELIV%20CHAPINERO/PRIORIZADOS/TRIM%20II/POLITECNICO%20UNIVERSAL%20UNICAP/V.5%20%20FORMATO%20VISITAS%20CON%20FINES%20DE%20MEJORAMIENTO%20%20POLITECNICO%20UNICAP.pdf?csf=1&amp;web=1&amp;e=99BQkx" TargetMode="External"/><Relationship Id="rId120" Type="http://schemas.openxmlformats.org/officeDocument/2006/relationships/hyperlink" Target="https://shre.ink/Mn5W" TargetMode="External"/><Relationship Id="rId358"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565" Type="http://schemas.openxmlformats.org/officeDocument/2006/relationships/hyperlink" Target="../../../../../../../:b:/r/personal/comunicacionesdiveliv_educacionbogota_gov_co/Documents/DIRECCION%20DE%20INSPECCION%20Y%20VIGILANCIA/DIV%20POAIV/POAIV%202025/ELIV%20ANTONIO%20NARI%C3%91O/PRIORIZADOS/TRIM%20II/16.%20Acta%20Col%20Francisco%20de%20Paula%20Santander%20(IED)_signed.pdf?csf=1&amp;web=1&amp;e=W9nNCW" TargetMode="External"/><Relationship Id="rId772" Type="http://schemas.openxmlformats.org/officeDocument/2006/relationships/hyperlink" Target="../../../../../../../:b:/r/personal/comunicacionesdiveliv_educacionbogota_gov_co/Documents/DIRECCION%20DE%20INSPECCION%20Y%20VIGILANCIA/DIV%20POAIV/POAIV%202025/ELIV%20PUENTE%20ARANDA/PRIORIZADOS/TRIM%20III/25%2008%2001%20visita%20CEA%20Bogota%20Vial%201/20250801_Acta%20Visita%20CEA%20Bgta%20Vial.pdf?csf=1&amp;web=1&amp;e=gcC9VF" TargetMode="External"/><Relationship Id="rId1195" Type="http://schemas.openxmlformats.org/officeDocument/2006/relationships/hyperlink" Target="../../../../../../../:f:/r/personal/comunicacionesdiveliv_educacionbogota_gov_co/Documents/DIRECCION%20DE%20INSPECCION%20Y%20VIGILANCIA/DIV%20POAIV/POAIV%202025/ELIV%20CHAPINERO/PRIORIZADOS/TRIM%20III/ACADEMIA%20DANZA%20DESARROLLO%20CON%20PROPOSITO%20ADDA?csf=1&amp;web=1&amp;e=xy6aZR" TargetMode="External"/><Relationship Id="rId2039" Type="http://schemas.openxmlformats.org/officeDocument/2006/relationships/hyperlink" Target="../../../../../../../:b:/g/personal/comunicacionesdiveliv_educacionbogota_gov_co/IQCfu4lxOg5QS5ZA-eZFmsW_Ae4Lztd5ucxjKNX5wj6n1_I?e=fWSy0V" TargetMode="External"/><Relationship Id="rId218" Type="http://schemas.openxmlformats.org/officeDocument/2006/relationships/hyperlink" Target="https://shre.ink/eK5b" TargetMode="External"/><Relationship Id="rId425"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632" Type="http://schemas.openxmlformats.org/officeDocument/2006/relationships/hyperlink" Target="../../../../../../../:b:/r/personal/comunicacionesdiveliv_educacionbogota_gov_co/Documents/DIRECCION%20DE%20INSPECCION%20Y%20VIGILANCIA/DIV%20POAIV/POAIV%202025/ELIV%20KENNEDY/PRIORIZADOS/TRIM%20II/ACTA%20DE%20VISITA%20COLEGIO%20LAZARILLO%20DE%20TORMES.pdf?csf=1&amp;web=1&amp;e=xTKGSa" TargetMode="External"/><Relationship Id="rId1055" Type="http://schemas.openxmlformats.org/officeDocument/2006/relationships/hyperlink" Target="../../../../../../../:b:/r/personal/comunicacionesdiveliv_educacionbogota_gov_co/Documents/DIRECCION%20DE%20INSPECCION%20Y%20VIGILANCIA/DIV%20POAIV/POAIV%202025/ELIV%20USAQU%C3%89N/PRIORIZADOS/TRIM%20II/Acta_visita_Gimnasio_Cultural_Libertad.pdf?csf=1&amp;web=1&amp;e=2ofgLu" TargetMode="External"/><Relationship Id="rId1262" Type="http://schemas.openxmlformats.org/officeDocument/2006/relationships/hyperlink" Target="../../../../../../../:b:/g/personal/comunicacionesdiveliv_educacionbogota_gov_co/EXDXIFqd2cBPtccsXnwqrd8B5J5VCEZ8JHp09WYo2_NAig?e=NP8Xje" TargetMode="External"/><Relationship Id="rId937" Type="http://schemas.openxmlformats.org/officeDocument/2006/relationships/hyperlink" Target="../../../../../../../:b:/r/personal/comunicacionesdiveliv_educacionbogota_gov_co/Documents/DIRECCION%20DE%20INSPECCION%20Y%20VIGILANCIA/DIV%20POAIV/POAIV%202025/ELIV%20TUNJUELITO/PRIORIZADOS/TRIM%20II/COLEGIO%20COOPERATIVO%20VENECIA/ACTA%20VISITA%20COL%20COOPERATIVO%20VENECIA%2016062025.pdf?csf=1&amp;web=1&amp;e=xmzePO" TargetMode="External"/><Relationship Id="rId1122" Type="http://schemas.openxmlformats.org/officeDocument/2006/relationships/hyperlink" Target="https://educacionbogota-my.sharepoint.com/:b:/r/personal/comunicacionesdiveliv_educacionbogota_gov_co/Documents/DIRECCION%20DE%20INSPECCION%20Y%20VIGILANCIA/DIV%20POAIV/POAIV%202025/ELIV%20SANTAFE%20Y%20LA%20CANDELARIA/PRIORIZADOS/TRIM%20III/2025%2008%2005%20Colegio%20La%20Candelaria%20Acta%20de%20visita.pdf?csf=1&amp;web=1&amp;e=KpwBI1" TargetMode="External"/><Relationship Id="rId1567"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17%20y%2024%20junio%202025%20Liceo%20Mayor%20Palermo.pdf?csf=1&amp;web=1&amp;e=DImVDi" TargetMode="External"/><Relationship Id="rId1774" Type="http://schemas.openxmlformats.org/officeDocument/2006/relationships/hyperlink" Target="../../../../../../../:b:/g/personal/comunicacionesdiveliv_educacionbogota_gov_co/ETOHp7ZTshJGt6fi0SC2_BQB1CSeny_sXhtolLIqnd63hw?e=ad9eMb" TargetMode="External"/><Relationship Id="rId1981" Type="http://schemas.openxmlformats.org/officeDocument/2006/relationships/hyperlink" Target="../../../../../../../:b:/r/personal/comunicacionesdiveliv_educacionbogota_gov_co/Documents/DIRECCION%20DE%20INSPECCION%20Y%20VIGILANCIA/DIV%20POAIV/POAIV%202025/ELIV%20USME/PRIORIZADOS/TRIM%20II/01ActaVisitaAdministrativaGimnasioDeToledo15052025.pdf?csf=1&amp;web=1&amp;e=ZXB5Y5" TargetMode="External"/><Relationship Id="rId66" Type="http://schemas.openxmlformats.org/officeDocument/2006/relationships/hyperlink" Target="../../../../../../../:b:/r/personal/comunicacionesdiveliv_educacionbogota_gov_co/Documents/DIRECCION%20DE%20INSPECCION%20Y%20VIGILANCIA/DIV%20POAIV/POAIV%202025/ELIV%20SANTAFE%20Y%20LA%20CANDELARIA/PRIORIZADOS/TRIM%20II/2025%2005%2020%20Centro%20Educativo%20Libertad%20CEL%20Acta%20de%20visita.pdf?csf=1&amp;web=1&amp;e=TvrsZj" TargetMode="External"/><Relationship Id="rId1427" Type="http://schemas.openxmlformats.org/officeDocument/2006/relationships/hyperlink" Target="../../../../../../../:b:/r/personal/comunicacionesdiveliv_educacionbogota_gov_co/Documents/DIRECCION%20DE%20INSPECCION%20Y%20VIGILANCIA/DIV%20POAIV/POAIV%202025/ELIV%20KENNEDY/PRIORIZADOS/TRIM%20III/COLEGIO%20ANTARES.pdf?csf=1&amp;web=1&amp;e=CP2zkl" TargetMode="External"/><Relationship Id="rId1634" Type="http://schemas.openxmlformats.org/officeDocument/2006/relationships/hyperlink" Target="../../../../../../../:b:/r/personal/comunicacionesdiveliv_educacionbogota_gov_co/Documents/DIRECCION%20DE%20INSPECCION%20Y%20VIGILANCIA/DIV%20POAIV/POAIV%202025/ELIV%20SUBA/PRIORIZADOS/TRIM%20II/03042025%20GIMNASIO%20ESPECIALIZADO%20DEL%20NORTE.pdf?csf=1&amp;web=1&amp;e=QbJdmb" TargetMode="External"/><Relationship Id="rId1841" Type="http://schemas.openxmlformats.org/officeDocument/2006/relationships/hyperlink" Target="../../../../../../../:b:/r/personal/comunicacionesdiveliv_educacionbogota_gov_co/Documents/DIRECCION%20DE%20INSPECCION%20Y%20VIGILANCIA/DIV%20POAIV/POAIV%202025/ELIV%20TEUSAQUILLO/PRIORIZADOS/TRIM%20II/00_A.A_GUERRERO_VISITA_FinesMejoramiento_POAIV2025_07052025_FirmadaSoportes.pdf?csf=1&amp;web=1&amp;e=iUZEXQ" TargetMode="External"/><Relationship Id="rId1939" Type="http://schemas.openxmlformats.org/officeDocument/2006/relationships/hyperlink" Target="https://educacionbogota-my.sharepoint.com/:b:/g/personal/comunicacionesdiveliv_educacionbogota_gov_co/EX53YwG28gtEtW6nefbDovMBnq7016BBK-h1o87zvHkLOg?e=FHRQVb" TargetMode="External"/><Relationship Id="rId1701" Type="http://schemas.openxmlformats.org/officeDocument/2006/relationships/hyperlink" Target="../../../../../../../:b:/r/personal/comunicacionesdiveliv_educacionbogota_gov_co/Documents/DIRECCION%20DE%20INSPECCION%20Y%20VIGILANCIA/DIV%20POAIV/POAIV%202025/ELIV%20SUBA/PRIORIZADOS/TRIM%20III/VISITA%20CON%20FINES%20DE%20MEJORAMIENTO%20LICEO%20BRIT%C3%81NICO%20SUPERIOR.pdf?csf=1&amp;web=1&amp;e=ibx43b" TargetMode="External"/><Relationship Id="rId282" Type="http://schemas.openxmlformats.org/officeDocument/2006/relationships/hyperlink" Target="../../../../../../../:b:/r/personal/comunicacionesdiveliv_educacionbogota_gov_co/Documents/DIRECCION%20DE%20INSPECCION%20Y%20VIGILANCIA/DIV%20POAIV/POAIV%202025/ELIV%20CHAPINERO/PRIORIZADOS/TRIM%20II/COLEGIO%20FILADELFIA/V.5%20%20FORMATO%20VISITAS%20CON%20FINES%20DE%20MEJORAMIENTO%20COLEGIO%20FILADELFIA.pdf?csf=1&amp;web=1&amp;e=RAVV4P" TargetMode="External"/><Relationship Id="rId587" Type="http://schemas.openxmlformats.org/officeDocument/2006/relationships/hyperlink" Target="../../../../../../../:b:/r/personal/comunicacionesdiveliv_educacionbogota_gov_co/Documents/DIRECCION%20DE%20INSPECCION%20Y%20VIGILANCIA/DIV%20POAIV/POAIV%202025/ELIV%20KENNEDY/PRIORIZADOS/TRIM%20II/ACTA%20VISITA%20COLEGIO%20BRITANICO.pdf?csf=1&amp;web=1&amp;e=SsIZ94" TargetMode="External"/><Relationship Id="rId8" Type="http://schemas.openxmlformats.org/officeDocument/2006/relationships/hyperlink" Target="../../../../../../../:b:/r/personal/comunicacionesdiveliv_educacionbogota_gov_co/Documents/DIRECCION%20DE%20INSPECCION%20Y%20VIGILANCIA/DIV%20POAIV/POAIV%202025/ELIV%20BARRIOS%20UNIDOS/PRIORIZADOS/TRIM%20III/Acta_visita_integral_LiceoFormaci%C3%B3n_20250708.pdf?csf=1&amp;web=1&amp;e=diZS3y" TargetMode="External"/><Relationship Id="rId142" Type="http://schemas.openxmlformats.org/officeDocument/2006/relationships/hyperlink" Target="https://shre.ink/Mnjr" TargetMode="External"/><Relationship Id="rId447"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794" Type="http://schemas.openxmlformats.org/officeDocument/2006/relationships/hyperlink" Target="../../../../../../../:b:/r/personal/comunicacionesdiveliv_educacionbogota_gov_co/Documents/DIRECCION%20DE%20INSPECCION%20Y%20VIGILANCIA/DIV%20POAIV/POAIV%202025/ELIV%20SAN%20CRIST%C3%93BAL/PRIORIZADOS/TRIM%20II/0523%20Visita%20Colegio%20SANTA%20CATALINA%20DEL%20SUR%20ORIENTE.pdf?csf=1&amp;web=1&amp;e=JyH7st" TargetMode="External"/><Relationship Id="rId1077" Type="http://schemas.openxmlformats.org/officeDocument/2006/relationships/hyperlink" Target="../../../../../../../:b:/r/personal/comunicacionesdiveliv_educacionbogota_gov_co/Documents/DIRECCION%20DE%20INSPECCION%20Y%20VIGILANCIA/DIV%20POAIV/POAIV%202025/ELIV%20USAQU%C3%89N/PRIORIZADOS/TRIM%20II/Acta_Visita_Colegio_Giovanni_Pascoli.pdf?csf=1&amp;web=1&amp;e=nYdJ0X" TargetMode="External"/><Relationship Id="rId2030" Type="http://schemas.openxmlformats.org/officeDocument/2006/relationships/hyperlink" Target="https://educacionbogota-my.sharepoint.com/:b:/g/personal/comunicacionesdiveliv_educacionbogota_gov_co/IQDBZFKe66-XQ5oSJfVfCN12ATMFTUzUCN4nOIbiliGpOx0?e=ytY7LO" TargetMode="External"/><Relationship Id="rId654" Type="http://schemas.openxmlformats.org/officeDocument/2006/relationships/hyperlink" Target="../../../../../../../:b:/r/personal/comunicacionesdiveliv_educacionbogota_gov_co/Documents/DIRECCION%20DE%20INSPECCION%20Y%20VIGILANCIA/DIV%20POAIV/POAIV%202025/ELIV%20KENNEDY/PRIORIZADOS/TRIM%20II/ACTA%20DE%20VISITA%20COLEGIO%20COOPERATIVO%20MILITAR%20JUSTINIANO%20QUI%C3%91ONEZ%20ANGULO.pdf?csf=1&amp;web=1&amp;e=KkLyIg" TargetMode="External"/><Relationship Id="rId861"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959" Type="http://schemas.openxmlformats.org/officeDocument/2006/relationships/hyperlink" Target="../../../../../../../:b:/r/personal/comunicacionesdiveliv_educacionbogota_gov_co/Documents/DIRECCION%20DE%20INSPECCION%20Y%20VIGILANCIA/DIV%20POAIV/POAIV%202025/ELIV%20RAFAEL%20URIBE%20URIBE/PRIORIZADOS/TRIMI/27-03-2025%20Robert%20Owen.pdf?csf=1&amp;web=1&amp;e=hydKF7" TargetMode="External"/><Relationship Id="rId1284" Type="http://schemas.openxmlformats.org/officeDocument/2006/relationships/hyperlink" Target="../../../../../../../:b:/g/personal/comunicacionesdiveliv_educacionbogota_gov_co/EaZPEDJ50xtBqoOooUxJG_QBIR_-aq2_909hXU7uo605Tg?e=czGv1f" TargetMode="External"/><Relationship Id="rId1491"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589"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0y%204%20de%20agosto%202025%20Gimnasio%20San%20Jos%C3%A9.pdf?csf=1&amp;web=1&amp;e=8X2GBb" TargetMode="External"/><Relationship Id="rId307" Type="http://schemas.openxmlformats.org/officeDocument/2006/relationships/hyperlink" Target="../../../../../../../:b:/r/personal/comunicacionesdiveliv_educacionbogota_gov_co/Documents/DIRECCION%20DE%20INSPECCION%20Y%20VIGILANCIA/DIV%20POAIV/POAIV%202025/ELIV%20CHAPINERO/PRIORIZADOS/TRIM%20II/ACADEMIA%20DE%20IDIOMAS%20SMART/ACTA%20DE%20VISITA%20CON%20FINES%20DE%20MEJORAMIENTO%20SMART.pdf?csf=1&amp;web=1&amp;e=sUApBX" TargetMode="External"/><Relationship Id="rId514"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721" Type="http://schemas.openxmlformats.org/officeDocument/2006/relationships/hyperlink" Target="../../../../../../../:b:/r/personal/comunicacionesdiveliv_educacionbogota_gov_co/Documents/DIRECCION%20DE%20INSPECCION%20Y%20VIGILANCIA/DIV%20POAIV/POAIV%202025/ELIV%20PUENTE%20ARANDA/PRIORIZADOS/TRIM%20II/20250429_Visita%20fines%20mejoramiento%20Liceo%20Coquibacoa/20250429_F%20visitas%20mejoramiento_LC%20v2.pdf?csf=1&amp;web=1&amp;e=M9i4d9" TargetMode="External"/><Relationship Id="rId1144" Type="http://schemas.openxmlformats.org/officeDocument/2006/relationships/hyperlink" Target="https://educacionbogota-my.sharepoint.com/:b:/g/personal/comunicacionesdiveliv_educacionbogota_gov_co/Eb-UniLmS69Hl4UD82s7xUwBCuh_o4-APb2BjCOXcEtG7Q?e=4AOR0A" TargetMode="External"/><Relationship Id="rId1351" Type="http://schemas.openxmlformats.org/officeDocument/2006/relationships/hyperlink" Target="../../../../../../../:b:/r/personal/comunicacionesdiveliv_educacionbogota_gov_co/Documents/DIRECCION%20DE%20INSPECCION%20Y%20VIGILANCIA/DIV%20POAIV/POAIV%202025/ELIV%20ENGATIV%C3%81/PRIORIZADOS/TRIM%20III/ACTA%20VISITA%20SIDEP%20SAS%20IETDH%2012JUL2025.pdf?csf=1&amp;web=1&amp;e=DT9N4R" TargetMode="External"/><Relationship Id="rId1449" Type="http://schemas.openxmlformats.org/officeDocument/2006/relationships/hyperlink" Target="../../../../../../../:b:/r/personal/comunicacionesdiveliv_educacionbogota_gov_co/Documents/DIRECCION%20DE%20INSPECCION%20Y%20VIGILANCIA/DIV%20POAIV/POAIV%202025/ELIV%20KENNEDY/PRIORIZADOS/TRIM%20III/LICEO%20PI%C3%91EROS%20CORTES.pdf?csf=1&amp;web=1&amp;e=nEPDqa" TargetMode="External"/><Relationship Id="rId1796" Type="http://schemas.openxmlformats.org/officeDocument/2006/relationships/hyperlink" Target="../../../../../../../:b:/g/personal/comunicacionesdiveliv_educacionbogota_gov_co/Ef7_QnClfQhImGpKaz8qy2EBLZOz8tOaQud_TfNMqzdZzg?e=PdJsHA" TargetMode="External"/><Relationship Id="rId88"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819" Type="http://schemas.openxmlformats.org/officeDocument/2006/relationships/hyperlink" Target="../../../../../../../:x:/r/personal/comunicacionesdiveliv_educacionbogota_gov_co/Documents/DIRECCION%20DE%20INSPECCION%20Y%20VIGILANCIA/DIV%20POAIV/POAIV%202025/SAN%20CRIST%C3%93BAL/PRIORIZADOS/TRIM%20I/Revisi%C3%B3n%20calendario%20acad%C3%A9mico%202025.xlsx?d=w35e8840f795d40bf8fbb8afda88987ca&amp;csf=1&amp;web=1&amp;e=h2cHDf" TargetMode="External"/><Relationship Id="rId1004" Type="http://schemas.openxmlformats.org/officeDocument/2006/relationships/hyperlink" Target="../../../../../../../:b:/r/personal/comunicacionesdiveliv_educacionbogota_gov_co/Documents/DIRECCION%20DE%20INSPECCION%20Y%20VIGILANCIA/DIV%20POAIV/POAIV%202025/ELIV%20RAFAEL%20URIBE%20URIBE/PRIORIZADOS/TRIM%20II/21%20y%2026%20Mayo%202025%20Gimnasio%20Nuestra%20Se%C3%B1ora%20Esperanza.pdf?csf=1&amp;web=1&amp;e=OcIpJK" TargetMode="External"/><Relationship Id="rId1211" Type="http://schemas.openxmlformats.org/officeDocument/2006/relationships/hyperlink" Target="../../../../../../../:b:/g/personal/comunicacionesdiveliv_educacionbogota_gov_co/Ed7YHKLS-yJIseYK8QcWBegBJZQ3Z4w3kQPANktP0Hq_kw?e=0AEuSm" TargetMode="External"/><Relationship Id="rId1656"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63"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309"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1516" Type="http://schemas.openxmlformats.org/officeDocument/2006/relationships/hyperlink" Target="https://educacionbogota-my.sharepoint.com/:b:/g/personal/comunicacionesdiveliv_educacionbogota_gov_co/EfMj3YW7sBhPrScmxPMBGm4BoqwsidWk2oAU5uCS3dKvYQ?e=sWBWo1" TargetMode="External"/><Relationship Id="rId1723" Type="http://schemas.openxmlformats.org/officeDocument/2006/relationships/hyperlink" Target="../../../../../../../:b:/r/personal/comunicacionesdiveliv_educacionbogota_gov_co/Documents/DIRECCION%20DE%20INSPECCION%20Y%20VIGILANCIA/DIV%20POAIV/POAIV%202025/ELIV%20SUBA/PRIORIZADOS/TRIM%20III/VISITA%20NEOGRANADINO.pdf?csf=1&amp;web=1&amp;e=zSyd5Y" TargetMode="External"/><Relationship Id="rId1930"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15" Type="http://schemas.openxmlformats.org/officeDocument/2006/relationships/hyperlink" Target="../../../../../../../:b:/r/personal/comunicacionesdiveliv_educacionbogota_gov_co/Documents/DIRECCION%20DE%20INSPECCION%20Y%20VIGILANCIA/DIV%20POAIV/POAIV%202025/ELIV%20BARRIOS%20UNIDOS/PRIORIZADOS/TRIM%20II/Acta_Visita_Integral_Cap2000_Chapinero.pdf?csf=1&amp;web=1&amp;e=gaqCiW" TargetMode="External"/><Relationship Id="rId164" Type="http://schemas.openxmlformats.org/officeDocument/2006/relationships/hyperlink" Target="https://shre.ink/evUD" TargetMode="External"/><Relationship Id="rId371" Type="http://schemas.openxmlformats.org/officeDocument/2006/relationships/hyperlink" Target="../../../../../../../:b:/r/personal/comunicacionesdiveliv_educacionbogota_gov_co/Documents/DIRECCION%20DE%20INSPECCION%20Y%20VIGILANCIA/DIV%20POAIV/POAIV%202025/ELIV%20ENGATIV%C3%81/PRIORIZADOS/TRIM%20II/Acta%20visita%20Centro%20Panamericano05-04-2025.pdf?csf=1&amp;web=1&amp;e=bjQ8Rz" TargetMode="External"/><Relationship Id="rId2052" Type="http://schemas.openxmlformats.org/officeDocument/2006/relationships/hyperlink" Target="https://educacionbogota-my.sharepoint.com/:b:/g/personal/comunicacionesdiveliv_educacionbogota_gov_co/IQDs1_abauWTQZ3gTrs7SMeCAT3BMtYh4QImQGXQEQSC_ms?e=GH9edr" TargetMode="External"/><Relationship Id="rId469" Type="http://schemas.openxmlformats.org/officeDocument/2006/relationships/hyperlink" Target="../../../../../../../:b:/r/personal/comunicacionesdiveliv_educacionbogota_gov_co/Documents/DIRECCION%20DE%20INSPECCION%20Y%20VIGILANCIA/DIV%20POAIV/POAIV%202025/ELIV%20ENGATIV%C3%81/PRIORIZADOS/TRIM%20II/VISITA%20MARIA%20AUXILIADORA.pdf?csf=1&amp;web=1&amp;e=RZnE9u" TargetMode="External"/><Relationship Id="rId676" Type="http://schemas.openxmlformats.org/officeDocument/2006/relationships/hyperlink" Target="../../../../../../../:b:/r/personal/comunicacionesdiveliv_educacionbogota_gov_co/Documents/DIRECCION%20DE%20INSPECCION%20Y%20VIGILANCIA/DIV%20POAIV/POAIV%202025/ELIV%20KENNEDY/PRIORIZADOS/TRIM%20II/ACTA%20VISITA%20COLEGIO%20SUPERIOR%20DE%20OCCIDENTE.pdf?csf=1&amp;web=1&amp;e=0FE7E7" TargetMode="External"/><Relationship Id="rId883" Type="http://schemas.openxmlformats.org/officeDocument/2006/relationships/hyperlink" Target="../../../../../../../:b:/r/personal/comunicacionesdiveliv_educacionbogota_gov_co/Documents/DIRECCION%20DE%20INSPECCION%20Y%20VIGILANCIA/DIV%20POAIV/POAIV%202025/ELIV%20SAN%20CRIST%C3%93BAL/PRIORIZADOS/TRIM%20II/0430%20Acta%20visita%20Liceo%20San%20Jos%C3%A9%20Oriental.pdf?csf=1&amp;web=1&amp;e=icSsrC" TargetMode="External"/><Relationship Id="rId1099" Type="http://schemas.openxmlformats.org/officeDocument/2006/relationships/hyperlink" Target="../../../../../../../:b:/r/personal/comunicacionesdiveliv_educacionbogota_gov_co/Documents/DIRECCION%20DE%20INSPECCION%20Y%20VIGILANCIA/DIV%20POAIV/POAIV%202025/ELIV%20USAQU%C3%89N/PRIORIZADOS/TRIM%20II/Acta_visita_Ana_Restrepo_del_Corral.pdf?csf=1&amp;web=1&amp;e=m9fJhh" TargetMode="External"/><Relationship Id="rId231" Type="http://schemas.openxmlformats.org/officeDocument/2006/relationships/hyperlink" Target="https://acortar.link/WDQjzH" TargetMode="External"/><Relationship Id="rId329" Type="http://schemas.openxmlformats.org/officeDocument/2006/relationships/hyperlink" Target="../../../../../../../:b:/r/personal/comunicacionesdiveliv_educacionbogota_gov_co/Documents/DIRECCION%20DE%20INSPECCION%20Y%20VIGILANCIA/DIV%20POAIV/POAIV%202025/ELIV%20CIUDAD%20BOL%C3%8DVAR/PRIORIZADOS/TRIM%20II/20250515ActaVisitaInstJerusalen.pdf?csf=1&amp;web=1&amp;e=zu1WGZ" TargetMode="External"/><Relationship Id="rId536" Type="http://schemas.openxmlformats.org/officeDocument/2006/relationships/hyperlink" Target="../../../../../../../:b:/r/personal/comunicacionesdiveliv_educacionbogota_gov_co/Documents/DIRECCION%20DE%20INSPECCION%20Y%20VIGILANCIA/DIV%20POAIV/POAIV%202025/ELIV%20ANTONIO%20NARI%C3%91O/PRIORIZADOS/TRIM%20II/13.%20Acta%20Col%20Cristo%20Rey%20del%20Sur.pdf?csf=1&amp;web=1&amp;e=8N5yyZ" TargetMode="External"/><Relationship Id="rId1166" Type="http://schemas.openxmlformats.org/officeDocument/2006/relationships/hyperlink" Target="https://educacionbogota-my.sharepoint.com/:b:/g/personal/comunicacionesdiveliv_educacionbogota_gov_co/ETnvQK47NwtMtRFdwpiCr7IBco4oRR5RfouD5ZlCG4aRjg?e=NenYUl" TargetMode="External"/><Relationship Id="rId1373" Type="http://schemas.openxmlformats.org/officeDocument/2006/relationships/hyperlink" Target="https://educacionbogota-my.sharepoint.com/:b:/g/personal/comunicacionesdiveliv_educacionbogota_gov_co/EaU6Gqyt-8VAl23h3KDLXNMBWVdXnUr02-BF8oG4ffVPaA?e=XkExgg" TargetMode="External"/><Relationship Id="rId743" Type="http://schemas.openxmlformats.org/officeDocument/2006/relationships/hyperlink" Target="../../../../../../../:b:/r/personal/comunicacionesdiveliv_educacionbogota_gov_co/Documents/DIRECCION%20DE%20INSPECCION%20Y%20VIGILANCIA/DIV%20POAIV/POAIV%202025/ELIV%20PUENTE%20ARANDA/PRIORIZADOS/TRIM%20II/20250530%20J%20I%20Angelitos%20Traviesos/Acta%20Final%20Visita%20AngelesTraviesos.pdf?csf=1&amp;web=1&amp;e=FPUP27" TargetMode="External"/><Relationship Id="rId950" Type="http://schemas.openxmlformats.org/officeDocument/2006/relationships/hyperlink" Target="../../../../../../../:b:/r/personal/comunicacionesdiveliv_educacionbogota_gov_co/Documents/DIRECCION%20DE%20INSPECCION%20Y%20VIGILANCIA/DIV%20POAIV/POAIV%202025/ELIV%20RAFAEL%20URIBE%20URIBE/PRIORIZADOS/TRIMI/19-03-2025%20Robert%20Hooke.pdf?csf=1&amp;web=1&amp;e=Ddzxfl" TargetMode="External"/><Relationship Id="rId1026" Type="http://schemas.openxmlformats.org/officeDocument/2006/relationships/hyperlink" Target="../../../../../../../:b:/r/personal/comunicacionesdiveliv_educacionbogota_gov_co/Documents/DIRECCION%20DE%20INSPECCION%20Y%20VIGILANCIA/DIV%20POAIV/POAIV%202025/ELIV%20FONTIB%C3%93N/PRIORIZADOS/TRIM%20II/POLITECNICO%20MAYOR%20ANDINO/POLITECNICO%20MAYOR%20ANDINO.pdf?csf=1&amp;web=1&amp;e=pyqYBg" TargetMode="External"/><Relationship Id="rId1580"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678" Type="http://schemas.openxmlformats.org/officeDocument/2006/relationships/hyperlink" Target="../../../../../../../:b:/r/personal/comunicacionesdiveliv_educacionbogota_gov_co/Documents/DIRECCION%20DE%20INSPECCION%20Y%20VIGILANCIA/DIV%20POAIV/POAIV%202025/ELIV%20SUBA/PRIORIZADOS/TRIM%20II/30042025%20Acta%20de%20visita%20Nuevo%20Instituto%20San%20miguel.pdf?csf=1&amp;web=1&amp;e=O5HgE8" TargetMode="External"/><Relationship Id="rId1885" Type="http://schemas.openxmlformats.org/officeDocument/2006/relationships/hyperlink" Target="../../../../../../../:b:/r/personal/comunicacionesdiveliv_educacionbogota_gov_co/Documents/DIRECCION%20DE%20INSPECCION%20Y%20VIGILANCIA/DIV%20POAIV/POAIV%202025/ELIV%20TUNJUELITO/PRIORIZADOS/TRIM%20II/LICEO%20INTEGRAL%20SAN%20CARLOS/Liceo%20Int.%20San%20Carlos%20Visita%2030-05-2025.pdf?csf=1&amp;web=1&amp;e=k2sjPs" TargetMode="External"/><Relationship Id="rId603" Type="http://schemas.openxmlformats.org/officeDocument/2006/relationships/hyperlink" Target="../../../../../../../:b:/r/personal/comunicacionesdiveliv_educacionbogota_gov_co/Documents/DIRECCION%20DE%20INSPECCION%20Y%20VIGILANCIA/DIV%20POAIV/POAIV%202025/ELIV%20KENNEDY/PRIORIZADOS/TRIM%20II/ACTA%20VISITA%20COLEGIO%20CIUDAD%20DE%20FOMEQUE.pdf?csf=1&amp;web=1&amp;e=3xCjqy" TargetMode="External"/><Relationship Id="rId810" Type="http://schemas.openxmlformats.org/officeDocument/2006/relationships/hyperlink" Target="../../../../../../../:b:/r/personal/comunicacionesdiveliv_educacionbogota_gov_co/Documents/DIRECCION%20DE%20INSPECCION%20Y%20VIGILANCIA/DIV%20POAIV/POAIV%202025/ELIV%20SAN%20CRIST%C3%93BAL/PRIORIZADOS/TRIM%20II/0613%20Acta%20de%20visita%20administrativa%20Instituto%20Ccial.%20Eduardo%20Torres%20Quintero.pdf?csf=1&amp;web=1&amp;e=LBi1wp" TargetMode="External"/><Relationship Id="rId908" Type="http://schemas.openxmlformats.org/officeDocument/2006/relationships/hyperlink" Target="../../../../../../../:b:/r/personal/comunicacionesdiveliv_educacionbogota_gov_co/Documents/DIRECCION%20DE%20INSPECCION%20Y%20VIGILANCIA/DIV%20POAIV/POAIV%202025/ELIV%20SAN%20CRIST%C3%93BAL/PRIORIZADOS/TRIM%20II/0403%20Acta%20visita%20administrativa%20Fundesco%20ETDH.pdf?csf=1&amp;web=1&amp;e=44Y5UO" TargetMode="External"/><Relationship Id="rId1233" Type="http://schemas.openxmlformats.org/officeDocument/2006/relationships/hyperlink" Target="../../../../../../../:b:/g/personal/comunicacionesdiveliv_educacionbogota_gov_co/ERzMaCAxKL1NqszoLwR48UwBoQP72q40f-ul--HtX_xaYA?e=8Me0ll" TargetMode="External"/><Relationship Id="rId1440" Type="http://schemas.openxmlformats.org/officeDocument/2006/relationships/hyperlink" Target="../../../../../../../:b:/r/personal/comunicacionesdiveliv_educacionbogota_gov_co/Documents/DIRECCION%20DE%20INSPECCION%20Y%20VIGILANCIA/DIV%20POAIV/POAIV%202025/ELIV%20KENNEDY/PRIORIZADOS/TRIM%20III/ACTA%20DE%20VISITA%20INSTITUTO%20YOLKIN.pdf?csf=1&amp;web=1&amp;e=2KP3s5" TargetMode="External"/><Relationship Id="rId1538" Type="http://schemas.openxmlformats.org/officeDocument/2006/relationships/hyperlink" Target="https://educacionbogota-my.sharepoint.com/:b:/r/personal/comunicacionesdiveliv_educacionbogota_gov_co/Documents/DIRECCION%20DE%20INSPECCION%20Y%20VIGILANCIA/DIV%20POAIV/POAIV%202025/ELIV%20PUENTE%20ARANDA/PRIORIZADOS/TRIM%20III/25%2008%2019%20visita%20CEA%20V%C3%ADa%20Libre/VISITA%20ADMINISTRATIVA-CEA-VIA-LIBRE-19-08-2025.pdf?csf=1&amp;web=1&amp;e=uPMrl5" TargetMode="External"/><Relationship Id="rId1300" Type="http://schemas.openxmlformats.org/officeDocument/2006/relationships/hyperlink" Target="../../../../../../../:b:/g/personal/comunicacionesdiveliv_educacionbogota_gov_co/EXguH2JtjgZKvmo2nrFnZmABm7iDNKSoKdbLDBu4sw4CSw?e=hZEzKK" TargetMode="External"/><Relationship Id="rId1745" Type="http://schemas.openxmlformats.org/officeDocument/2006/relationships/hyperlink" Target="../../../../../../../:b:/g/personal/comunicacionesdiveliv_educacionbogota_gov_co/EfsHq-TeCL5MmzboQbKJWGIB_3ZH0TBzZrs6QRfSJW8o9A?e=mC6Fl5" TargetMode="External"/><Relationship Id="rId1952" Type="http://schemas.openxmlformats.org/officeDocument/2006/relationships/hyperlink" Target="https://educacionbogota-my.sharepoint.com/:b:/g/personal/comunicacionesdiveliv_educacionbogota_gov_co/EYiEZ0FBYepJvQBKX7SE93gBmteXUc1gGvoGbuAXs5s-VA?e=Ou7NPA" TargetMode="External"/><Relationship Id="rId37" Type="http://schemas.openxmlformats.org/officeDocument/2006/relationships/hyperlink" Target="../../../../../../../:b:/r/personal/comunicacionesdiveliv_educacionbogota_gov_co/Documents/DIRECCION%20DE%20INSPECCION%20Y%20VIGILANCIA/DIV%20POAIV/POAIV%202025/ELIV%20BARRIOS%20UNIDOS/PRIORIZADOS/TRIM%20II/Acta_Visita_Integral_Colegio_Santa_Rosa_de_Lima.pdf?csf=1&amp;web=1&amp;e=2vEVZp" TargetMode="External"/><Relationship Id="rId1605" Type="http://schemas.openxmlformats.org/officeDocument/2006/relationships/hyperlink" Target="https://educacionbogota-my.sharepoint.com/:b:/g/personal/comunicacionesdiveliv_educacionbogota_gov_co/IQATZ2_Dq0PTTJnPGjb9EDecAWeGyY5bvOemKYQkjDm3ZN4?e=7psNTe" TargetMode="External"/><Relationship Id="rId1812" Type="http://schemas.openxmlformats.org/officeDocument/2006/relationships/hyperlink" Target="../../../../../../../:b:/r/personal/comunicacionesdiveliv_educacionbogota_gov_co/Documents/DIRECCION%20DE%20INSPECCION%20Y%20VIGILANCIA/DIV%20POAIV/POAIV%202025/ELIV%20TEUSAQUILLO/PRIORIZADOS/TRIMI/2803%20Acta%20visita%20COLEGIO%20FORMARTE.pdf?csf=1&amp;web=1&amp;e=IwB5L5" TargetMode="External"/><Relationship Id="rId186" Type="http://schemas.openxmlformats.org/officeDocument/2006/relationships/hyperlink" Target="https://shre.ink/evhA" TargetMode="External"/><Relationship Id="rId393" Type="http://schemas.openxmlformats.org/officeDocument/2006/relationships/hyperlink" Target="../../../../../../../:b:/r/personal/comunicacionesdiveliv_educacionbogota_gov_co/Documents/DIRECCION%20DE%20INSPECCION%20Y%20VIGILANCIA/DIV%20POAIV/POAIV%202025/ELIV%20ENGATIV%C3%81/PRIORIZADOS/TRIMI/20250326ActavisitaLicModLeeuwenhoek.pdf?csf=1&amp;web=1&amp;e=XZuPD8" TargetMode="External"/><Relationship Id="rId253" Type="http://schemas.openxmlformats.org/officeDocument/2006/relationships/hyperlink" Target="https://shre.ink/ebhv" TargetMode="External"/><Relationship Id="rId460" Type="http://schemas.openxmlformats.org/officeDocument/2006/relationships/hyperlink" Target="../../../../../../../:b:/r/personal/comunicacionesdiveliv_educacionbogota_gov_co/Documents/DIRECCION%20DE%20INSPECCION%20Y%20VIGILANCIA/DIV%20POAIV/POAIV%202025/ELIV%20ENGATIV%C3%81/PRIORIZADOS/TRIM%20II/ActavisitaLiccialAmericas.pdf?csf=1&amp;web=1&amp;e=KttGfY" TargetMode="External"/><Relationship Id="rId698" Type="http://schemas.openxmlformats.org/officeDocument/2006/relationships/hyperlink" Target="../../../../../../../:b:/r/personal/comunicacionesdiveliv_educacionbogota_gov_co/Documents/DIRECCION%20DE%20INSPECCION%20Y%20VIGILANCIA/DIV%20POAIV/POAIV%202025/ELIV%20KENNEDY/PRIORIZADOS/TRIM%20II/ACTA%20LORETO%20SEDE%20B.pdf?csf=1&amp;web=1&amp;e=TZOdNW" TargetMode="External"/><Relationship Id="rId1090"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13" Type="http://schemas.openxmlformats.org/officeDocument/2006/relationships/hyperlink" Target="https://acortar.link/yAlpUW" TargetMode="External"/><Relationship Id="rId320" Type="http://schemas.openxmlformats.org/officeDocument/2006/relationships/hyperlink" Target="../../../../../../../:b:/r/personal/comunicacionesdiveliv_educacionbogota_gov_co/Documents/DIRECCION%20DE%20INSPECCION%20Y%20VIGILANCIA/DIV%20POAIV/POAIV%202025/ELIV%20CIUDAD%20BOL%C3%8DVAR/PRIORIZADOS/TRIM%20II/20250407_Visita%20administrativa%20Colegio%20Nuevo%20Milenio.pdf?csf=1&amp;web=1&amp;e=8cJ69x" TargetMode="External"/><Relationship Id="rId558" Type="http://schemas.openxmlformats.org/officeDocument/2006/relationships/hyperlink" Target="../../../../../../../:b:/r/personal/comunicacionesdiveliv_educacionbogota_gov_co/Documents/DIRECCION%20DE%20INSPECCION%20Y%20VIGILANCIA/DIV%20POAIV/POAIV%202025/ELIV%20ANTONIO%20NARI%C3%91O/PRIORIZADOS/TRIM%20II/10.%20Acta%20Inst.%20Julio%20Maria%20Matovelle.pdf?csf=1&amp;web=1&amp;e=moXQ26" TargetMode="External"/><Relationship Id="rId765" Type="http://schemas.openxmlformats.org/officeDocument/2006/relationships/hyperlink" Target="../../../../../../../:b:/r/personal/comunicacionesdiveliv_educacionbogota_gov_co/Documents/DIRECCION%20DE%20INSPECCION%20Y%20VIGILANCIA/DIV%20POAIV/POAIV%202025/ELIV%20PUENTE%20ARANDA/PRIORIZADOS/TRIM%20III/VISITA%20CON%20FINES%20DE%20MEJORAMIENTO%20COLEGIO%20ESPA%C3%91A%20IED/V.5.Acta%20de%20visita%20con%20fines%20de%20mejoramiento%20Colegio%20Espa%C3%B1a..pdf?csf=1&amp;web=1&amp;e=QcAb7M" TargetMode="External"/><Relationship Id="rId972" Type="http://schemas.openxmlformats.org/officeDocument/2006/relationships/hyperlink" Target="../../../../../../../:b:/r/personal/comunicacionesdiveliv_educacionbogota_gov_co/Documents/DIRECCION%20DE%20INSPECCION%20Y%20VIGILANCIA/DIV%20POAIV/POAIV%202025/ELIV%20RAFAEL%20URIBE%20URIBE/PRIORIZADOS/TRIM%20II/29-04-2025%20Lic%20Psicop%20San%20Pablo.pdf?csf=1&amp;web=1&amp;e=btaknD" TargetMode="External"/><Relationship Id="rId1188" Type="http://schemas.openxmlformats.org/officeDocument/2006/relationships/hyperlink" Target="https://shre.ink/x7Bw" TargetMode="External"/><Relationship Id="rId1395" Type="http://schemas.openxmlformats.org/officeDocument/2006/relationships/hyperlink" Target="../../../../../../../:b:/r/personal/comunicacionesdiveliv_educacionbogota_gov_co/Documents/DIRECCION%20DE%20INSPECCION%20Y%20VIGILANCIA/DIV%20POAIV/POAIV%202025/ELIV%20FONTIB%C3%93N/PRIORIZADOS/TRIM%20II/COLEGIO%20PARROQUIAL%20SAN%20JOSE%20DE%20FONTIB%C3%93N/VISITA%20CON%20FINES%20DE%20MEJORAMIENTO%20COLEGIO%20PARROQUIAL%20%20SAN%20JOSE%20DE%20FONTIBON.pdf?csf=1&amp;web=1&amp;e=MAFiyq" TargetMode="External"/><Relationship Id="rId2001" Type="http://schemas.openxmlformats.org/officeDocument/2006/relationships/hyperlink" Target="https://educacionbogota-my.sharepoint.com/personal/comunicacionesdiveliv_educacionbogota_gov_co/_layouts/15/onedrive.aspx?e=5%3Aeec12c584b264627b43f2ab231c8eb4f&amp;sharingv2=true&amp;fromShare=true&amp;at=9&amp;CT=1769198233503&amp;OR=OWA%2DNT%2DMail&amp;CID=5adaa369%2Dd188%2Da0c1%2D8234%2Dcd86fa71abbd&amp;id=%2Fpersonal%2Fcomunicacionesdiveliv%5Feducacionbogota%5Fgov%5Fco%2FDocuments%2FDIRECCION%20DE%20INSPECCION%20Y%20VIGILANCIA%2FDIV%20POAIV%2FPOAIV%202025%2FELIV%20CHAPINERO%2FPRIORIZADOS%2FTRIM%20I%2FESCUELA%20AERONAUTICA%20DE%20COLOMBIA&amp;FolderCTID=0x0120003F990D12781BB346B8D0705E8416ECF6&amp;view=0" TargetMode="External"/><Relationship Id="rId418" Type="http://schemas.openxmlformats.org/officeDocument/2006/relationships/hyperlink" Target="../../../../../../../:b:/r/personal/comunicacionesdiveliv_educacionbogota_gov_co/Documents/DIRECCION%20DE%20INSPECCION%20Y%20VIGILANCIA/DIV%20POAIV/POAIV%202025/ELIV%20ENGATIV%C3%81/PRIORIZADOS/TRIM%20II/20250605ColmayEngat.pdf?csf=1&amp;web=1&amp;e=zDiIgS" TargetMode="External"/><Relationship Id="rId625" Type="http://schemas.openxmlformats.org/officeDocument/2006/relationships/hyperlink" Target="../../../../../../../:b:/r/personal/comunicacionesdiveliv_educacionbogota_gov_co/Documents/DIRECCION%20DE%20INSPECCION%20Y%20VIGILANCIA/DIV%20POAIV/POAIV%202025/ELIV%20KENNEDY/PRIORIZADOS/TRIM%20II/ACTA%20DE%20VISITA%20COLEGIO%20JAZMIN%20OCCIDENTAL.pdf?csf=1&amp;web=1&amp;e=QuUYDS" TargetMode="External"/><Relationship Id="rId832" Type="http://schemas.openxmlformats.org/officeDocument/2006/relationships/hyperlink" Target="../../../../../../../:b:/r/personal/comunicacionesdiveliv_educacionbogota_gov_co/Documents/DIRECCION%20DE%20INSPECCION%20Y%20VIGILANCIA/DIV%20POAIV/POAIV%202025/ELIV%20SAN%20CRIST%C3%93BAL/PRIORIZADOS/TRIM%20II/0530%20Visita%20Administrativa%20Colegio%20Lorenzo%20de%20Alcantuz%20.pdf?csf=1&amp;web=1&amp;e=5rSePG" TargetMode="External"/><Relationship Id="rId1048" Type="http://schemas.openxmlformats.org/officeDocument/2006/relationships/hyperlink" Target="../../../../../../../:b:/r/personal/comunicacionesdiveliv_educacionbogota_gov_co/Documents/DIRECCION%20DE%20INSPECCION%20Y%20VIGILANCIA/DIV%20POAIV/POAIV%202025/ELIV%20USAQU%C3%89N/PRIORIZADOS/TRIM%20II/Acta_Visita_Alfred_Marshall.pdf?csf=1&amp;web=1&amp;e=RqQHAK" TargetMode="External"/><Relationship Id="rId1255" Type="http://schemas.openxmlformats.org/officeDocument/2006/relationships/hyperlink" Target="../../../../../../../:b:/g/personal/comunicacionesdiveliv_educacionbogota_gov_co/Ea03xamXMppMmFZSPVOIccsBlXMhONdBrVnUZDNUHIPmjQ?e=zhH7iR" TargetMode="External"/><Relationship Id="rId1462" Type="http://schemas.openxmlformats.org/officeDocument/2006/relationships/hyperlink" Target="../../../../../../../:b:/r/personal/comunicacionesdiveliv_educacionbogota_gov_co/Documents/DIRECCION%20DE%20INSPECCION%20Y%20VIGILANCIA/DIV%20POAIV/POAIV%202025/ELIV%20KENNEDY/PRIORIZADOS/TRIM%20III/UNIDAD%20EDUCATIVA%20JEAN%20PIAGET.pdf?csf=1&amp;web=1&amp;e=TMsOGJ" TargetMode="External"/><Relationship Id="rId1115" Type="http://schemas.openxmlformats.org/officeDocument/2006/relationships/hyperlink" Target="../../../../../../../:b:/r/personal/comunicacionesdiveliv_educacionbogota_gov_co/Documents/DIRECCION%20DE%20INSPECCION%20Y%20VIGILANCIA/DIV%20POAIV/POAIV%202025/ELIV%20USAQU%C3%89N/PRIORIZADOS/TRIMI/Acta%20definitiva%20Visita%20Integral%20Colegio%20la%20Estrellita.pdf?csf=1&amp;web=1&amp;e=uCJggp" TargetMode="External"/><Relationship Id="rId1322" Type="http://schemas.openxmlformats.org/officeDocument/2006/relationships/hyperlink" Target="../../../../../../../:b:/g/personal/comunicacionesdiveliv_educacionbogota_gov_co/EdBmDxmfSEFBiNdbtPUDk9cBlMAEPiFX1owd6wdfYxNiGQ?e=NEYJJg" TargetMode="External"/><Relationship Id="rId1767" Type="http://schemas.openxmlformats.org/officeDocument/2006/relationships/hyperlink" Target="../../../../../../../:b:/g/personal/comunicacionesdiveliv_educacionbogota_gov_co/EYDzPp7kUl1GtSpcbcbj9XkByOx0lTdfxy2ScYRvrF5Ppw?e=GRw5IO" TargetMode="External"/><Relationship Id="rId1974" Type="http://schemas.openxmlformats.org/officeDocument/2006/relationships/hyperlink" Target="https://educacionbogota-my.sharepoint.com/:b:/g/personal/comunicacionesdiveliv_educacionbogota_gov_co/EVUeggJPUO5Foh4h5IjMFUQBEG1zuGb6eBJmxTyua9djgg?e=eztXo2" TargetMode="External"/><Relationship Id="rId59" Type="http://schemas.openxmlformats.org/officeDocument/2006/relationships/hyperlink" Target="../../../../../../../:b:/r/personal/comunicacionesdiveliv_educacionbogota_gov_co/Documents/DIRECCION%20DE%20INSPECCION%20Y%20VIGILANCIA/DIV%20POAIV/POAIV%202025/ELIV%20SANTAFE%20Y%20LA%20CANDELARIA/PRIORIZADOS/TRIM%20II/2025%2005%2006%20Acta%20visita%20Colegio%20Los%20Angeles.pdf?csf=1&amp;web=1&amp;e=Phy4AX" TargetMode="External"/><Relationship Id="rId1627" Type="http://schemas.openxmlformats.org/officeDocument/2006/relationships/hyperlink" Target="../../../../../../../:b:/r/personal/comunicacionesdiveliv_educacionbogota_gov_co/Documents/DIRECCION%20DE%20INSPECCION%20Y%20VIGILANCIA/DIV%20POAIV/POAIV%202025/ELIV%20SUBA/PRIORIZADOS/TRIM%20II/ACTA%20DE%20VISITA%20COLEGIO%20HUNZA.pdf?csf=1&amp;web=1&amp;e=AaCD2u" TargetMode="External"/><Relationship Id="rId1834" Type="http://schemas.openxmlformats.org/officeDocument/2006/relationships/hyperlink" Target="../../../../../../../:b:/r/personal/comunicacionesdiveliv_educacionbogota_gov_co/Documents/DIRECCION%20DE%20INSPECCION%20Y%20VIGILANCIA/DIV%20POAIV/POAIV%202025/ELIV%20TEUSAQUILLO/PRIORIZADOS/TRIM%20II/00_GW-MACKINLEY_VISITA_FinesMejoramiento_POAIV2025_10042025.pdf?csf=1&amp;web=1&amp;e=68YatW" TargetMode="External"/><Relationship Id="rId1901" Type="http://schemas.openxmlformats.org/officeDocument/2006/relationships/hyperlink" Target="https://educacionbogota-my.sharepoint.com/:b:/r/personal/comunicacionesdiveliv_educacionbogota_gov_co/Documents/DIRECCION%20DE%20INSPECCION%20Y%20VIGILANCIA/DIV%20POAIV/POAIV%202025/ELIV%20USAQU%C3%89N/PRIORIZADOS/TRIM%20III/Acta_visita_Escuela_Pedagogica_Experimental.pdf?csf=1&amp;web=1&amp;e=irbHIc" TargetMode="External"/><Relationship Id="rId275" Type="http://schemas.openxmlformats.org/officeDocument/2006/relationships/hyperlink" Target="../../../../../../../:b:/r/personal/comunicacionesdiveliv_educacionbogota_gov_co/Documents/DIRECCION%20DE%20INSPECCION%20Y%20VIGILANCIA/DIV%20POAIV/POAIV%202025/ELIV%20CHAPINERO/PRIORIZADOS/TRIM%20II/LICEO%20FRANCES%20LOUIS%20PASTEUR/ACTA%20DE%20VISITA%20LICEO%20FRANCES.pdf?csf=1&amp;web=1&amp;e=g0Z0uT" TargetMode="External"/><Relationship Id="rId482" Type="http://schemas.openxmlformats.org/officeDocument/2006/relationships/hyperlink" Target="../../../../../../../:b:/r/personal/comunicacionesdiveliv_educacionbogota_gov_co/Documents/DIRECCION%20DE%20INSPECCION%20Y%20VIGILANCIA/DIV%20POAIV/POAIV%202025/ELIV%20ENGATIV%C3%81/PRIORIZADOS/TRIM%20III/ACTA%20VISITA%20GENERAL%20SANTANDER.pdf?csf=1&amp;web=1&amp;e=hPfejy" TargetMode="External"/><Relationship Id="rId135" Type="http://schemas.openxmlformats.org/officeDocument/2006/relationships/hyperlink" Target="https://shre.ink/Mn7g" TargetMode="External"/><Relationship Id="rId342" Type="http://schemas.openxmlformats.org/officeDocument/2006/relationships/hyperlink" Target="../../../../../../../:b:/r/personal/comunicacionesdiveliv_educacionbogota_gov_co/Documents/DIRECCION%20DE%20INSPECCION%20Y%20VIGILANCIA/DIV%20POAIV/POAIV%202025/ELIV%20ENGATIV%C3%81/PRIORIZADOS/TRIMI/20250329Acta%20visita%20corpoempresarial.pdf?csf=1&amp;web=1&amp;e=keV1Rv" TargetMode="External"/><Relationship Id="rId787" Type="http://schemas.openxmlformats.org/officeDocument/2006/relationships/hyperlink" Target="../../../../../../../:b:/r/personal/comunicacionesdiveliv_educacionbogota_gov_co/Documents/DIRECCION%20DE%20INSPECCION%20Y%20VIGILANCIA/DIV%20POAIV/POAIV%202025/ELIV%20SAN%20CRIST%C3%93BAL/PRIORIZADOS/TRIM%20II/0605%20Acta%20de%20visita%20administrativa%20Centro%20Ccial.%20Madre%20Elisa%20Roncallo.pdf?csf=1&amp;web=1&amp;e=n0jYh9" TargetMode="External"/><Relationship Id="rId994" Type="http://schemas.openxmlformats.org/officeDocument/2006/relationships/hyperlink" Target="../../../../../../../:b:/r/personal/comunicacionesdiveliv_educacionbogota_gov_co/Documents/DIRECCION%20DE%20INSPECCION%20Y%20VIGILANCIA/DIV%20POAIV/POAIV%202025/ELIV%20RAFAEL%20URIBE%20URIBE/PRIORIZADOS/TRIM%20II/14%20y%2020%20Mayo%202025%20Cristiano%20de%20Colombia.pdf?csf=1&amp;web=1&amp;e=UjPSLs" TargetMode="External"/><Relationship Id="rId2023" Type="http://schemas.openxmlformats.org/officeDocument/2006/relationships/hyperlink" Target="https://educacionbogota-my.sharepoint.com/:b:/g/personal/comunicacionesdiveliv_educacionbogota_gov_co/IQDBZFKe66-XQ5oSJfVfCN12ATMFTUzUCN4nOIbiliGpOx0?e=ytY7LO" TargetMode="External"/><Relationship Id="rId202" Type="http://schemas.openxmlformats.org/officeDocument/2006/relationships/hyperlink" Target="https://shre.ink/eKSY" TargetMode="External"/><Relationship Id="rId647" Type="http://schemas.openxmlformats.org/officeDocument/2006/relationships/hyperlink" Target="../../../../../../../:b:/r/personal/comunicacionesdiveliv_educacionbogota_gov_co/Documents/DIRECCION%20DE%20INSPECCION%20Y%20VIGILANCIA/DIV%20POAIV/POAIV%202025/ELIV%20KENNEDY/PRIORIZADOS/TRIM%20II/ACTA%20DE%20VISITA%20COLEGIO%20MILITAR%20ANTONIA%20SANTOS.pdf?csf=1&amp;web=1&amp;e=nepqlI" TargetMode="External"/><Relationship Id="rId854" Type="http://schemas.openxmlformats.org/officeDocument/2006/relationships/hyperlink" Target="../../../../../../../:b:/r/personal/comunicacionesdiveliv_educacionbogota_gov_co/Documents/DIRECCION%20DE%20INSPECCION%20Y%20VIGILANCIA/DIV%20POAIV/POAIV%202025/ELIV%20SAN%20CRIST%C3%93BAL/PRIORIZADOS/TRIM%20II/3004%20Visita%20Administrativa%20Col%20Nueva%20Generacion%20Altamira.pdf?csf=1&amp;web=1&amp;e=p1cSk6" TargetMode="External"/><Relationship Id="rId1277" Type="http://schemas.openxmlformats.org/officeDocument/2006/relationships/hyperlink" Target="../../../../../../../:b:/g/personal/comunicacionesdiveliv_educacionbogota_gov_co/EYC-_IGI59ZJkaQGDNJiRVQB-RjSIIB-kuO2MF7Oc1cNuA?e=ewGYim" TargetMode="External"/><Relationship Id="rId1484" Type="http://schemas.openxmlformats.org/officeDocument/2006/relationships/hyperlink" Target="../../../../../../../:b:/r/personal/comunicacionesdiveliv_educacionbogota_gov_co/Documents/DIRECCION%20DE%20INSPECCION%20Y%20VIGILANCIA/DIV%20POAIV/POAIV%202025/ELIV%20LOS%20M%C3%81RTIRES/PRIORIZADOS/TRIM%20II/20250521%20ActaVisita_Colegio_San_Jose.pdf?csf=1&amp;web=1&amp;e=M0wmtQ" TargetMode="External"/><Relationship Id="rId1691" Type="http://schemas.openxmlformats.org/officeDocument/2006/relationships/hyperlink" Target="../../../../../../../:b:/r/personal/comunicacionesdiveliv_educacionbogota_gov_co/Documents/DIRECCION%20DE%20INSPECCION%20Y%20VIGILANCIA/DIV%20POAIV/POAIV%202025/ELIV%20SUBA/PRIORIZADOS/TRIM%20III/VISITA%20CON%20FINES%20DE%20MEJORAMIENTO%20LICEO%20GLOBERTH%20MIXTO.pdf?csf=1&amp;web=1&amp;e=Tj4RS6" TargetMode="External"/><Relationship Id="rId507" Type="http://schemas.openxmlformats.org/officeDocument/2006/relationships/hyperlink" Target="../../../../../../../:b:/r/personal/comunicacionesdiveliv_educacionbogota_gov_co/Documents/DIRECCION%20DE%20INSPECCION%20Y%20VIGILANCIA/DIV%20POAIV/POAIV%202025/ELIV%20ANTONIO%20NARI%C3%91O/PRIORIZADOS/TRIM%20II/04.%20Acta%20de%20visita%20Integral%20-%20Col.%20Ctro%20Panamericano%20de%20Capacitaci%C3%B3n.pdf?csf=1&amp;web=1&amp;e=Obbz7H" TargetMode="External"/><Relationship Id="rId714" Type="http://schemas.openxmlformats.org/officeDocument/2006/relationships/hyperlink" Target="../../../../../../../:f:/r/personal/comunicacionesdiveliv_educacionbogota_gov_co/Documents/DIRECCION%20DE%20INSPECCION%20Y%20VIGILANCIA/DIV%20POAIV/POAIV%202025/ELIV%20PUENTE%20ARANDA/PRIORIZADOS/TRIM%20II/VISITA%20CON%20FINES%20DE%20MEJORAMIENTO%20COLEGIO%20SANTA%20TERESITA?csf=1&amp;web=1&amp;e=kOkShk" TargetMode="External"/><Relationship Id="rId921" Type="http://schemas.openxmlformats.org/officeDocument/2006/relationships/hyperlink" Target="../../../../../../../:b:/r/personal/comunicacionesdiveliv_educacionbogota_gov_co/Documents/DIRECCION%20DE%20INSPECCION%20Y%20VIGILANCIA/DIV%20POAIV/POAIV%202025/ELIV%20TUNJUELITO/PRIORIZADOS/TRIM%20II/COLEGIO%20INCADE/ACTA%20VISITA%20COLEGIO%20INCADE%2025042025.pdf?csf=1&amp;web=1&amp;e=lbQzbO" TargetMode="External"/><Relationship Id="rId1137" Type="http://schemas.openxmlformats.org/officeDocument/2006/relationships/hyperlink" Target="https://educacionbogota-my.sharepoint.com/:b:/g/personal/comunicacionesdiveliv_educacionbogota_gov_co/EYO98_Q415ZLn_AiLoFPYfQBxqtJLIEyHvpDcf-ccGBqfQ?e=GmEuys" TargetMode="External"/><Relationship Id="rId1344" Type="http://schemas.openxmlformats.org/officeDocument/2006/relationships/hyperlink" Target="../../../../../../../:b:/g/personal/comunicacionesdiveliv_educacionbogota_gov_co/EUwXYE3zRUdHmUmCMjP9SMsBxRjqVyiXhd3Mm_oW-xdMiA?e=0ppQr2" TargetMode="External"/><Relationship Id="rId1551" Type="http://schemas.openxmlformats.org/officeDocument/2006/relationships/hyperlink" Target="https://educacionbogota-my.sharepoint.com/:b:/g/personal/comunicacionesdiveliv_educacionbogota_gov_co/EQ2DMzh0MnpKoCJRssnZC5MBVnmpWf5qGDTie_W3LZIycw?e=XoXAOg" TargetMode="External"/><Relationship Id="rId1789" Type="http://schemas.openxmlformats.org/officeDocument/2006/relationships/hyperlink" Target="../../../../../../../:b:/g/personal/comunicacionesdiveliv_educacionbogota_gov_co/EVkMcSlOP0pIsRabjefZYvwBk3QQywObb5P4sj2ZQDCjEg?e=SIzul9" TargetMode="External"/><Relationship Id="rId1996"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SANTAFE%20Y%20LA%20CANDELARIA%2FPRIORIZADOS%2FTRIM%20I%2FCOLEGIO%20JORGE%20SOTO%20DEL%20CORRAL%2FACTA%20PRIORIZADA%20JORGE%20SOTO%20DEL%20CORRAL%2Epdf&amp;parent=%2Fpersonal%2Fcomunicacionesdiveliv%5Feducacionbogota%5Fgov%5Fco%2FDocuments%2FDIRECCION%20DE%20INSPECCION%20Y%20VIGILANCIA%2FDIV%20POAIV%2FPOAIV%202025%2FELIV%20SANTAFE%20Y%20LA%20CANDELARIA%2FPRIORIZADOS%2FTRIM%20I%2FCOLEGIO%20JORGE%20SOTO%20DEL%20CORRAL&amp;ga=1" TargetMode="External"/><Relationship Id="rId50" Type="http://schemas.openxmlformats.org/officeDocument/2006/relationships/hyperlink" Target="../../../../../../../:b:/r/personal/comunicacionesdiveliv_educacionbogota_gov_co/Documents/DIRECCION%20DE%20INSPECCION%20Y%20VIGILANCIA/DIV%20POAIV/POAIV%202025/ELIV%20BARRIOS%20UNIDOS/PRIORIZADOS/TRIM%20II/Acta_visita_Integral_Col_Rep%C3%BAblica_de_Panama.pdf?csf=1&amp;web=1&amp;e=oJwYj3" TargetMode="External"/><Relationship Id="rId1204" Type="http://schemas.openxmlformats.org/officeDocument/2006/relationships/hyperlink" Target="../../../../../../../:f:/g/personal/comunicacionesdiveliv_educacionbogota_gov_co/EhaPlKZXOxZPnJSkDFS7Xi8BkvkQYs8UygTz5NDbEt5vMw?e=beSMIQ" TargetMode="External"/><Relationship Id="rId1411" Type="http://schemas.openxmlformats.org/officeDocument/2006/relationships/hyperlink" Target="https://educacionbogota-my.sharepoint.com/:b:/g/personal/comunicacionesdiveliv_educacionbogota_gov_co/EZRxFJ-Rd89Pu7EGFSmHYpABAO6tmyKg5lFyrScuIcKqCg?e=He1SZj" TargetMode="External"/><Relationship Id="rId1649" Type="http://schemas.openxmlformats.org/officeDocument/2006/relationships/hyperlink" Target="../../../../../../../:b:/r/personal/comunicacionesdiveliv_educacionbogota_gov_co/Documents/DIRECCION%20DE%20INSPECCION%20Y%20VIGILANCIA/DIV%20POAIV/POAIV%202025/ELIV%20SUBA/PRIORIZADOS/TRIM%20II/VISITA%20INTEGRAL%20BET%20EL.pdf?csf=1&amp;web=1&amp;e=87KfKp" TargetMode="External"/><Relationship Id="rId1856" Type="http://schemas.openxmlformats.org/officeDocument/2006/relationships/hyperlink" Target="../../../../../../../:f:/r/personal/comunicacionesdiveliv_educacionbogota_gov_co/Documents/DIRECCION%20DE%20INSPECCION%20Y%20VIGILANCIA/DIV%20POAIV/POAIV%202025/ELIV%20TUNJUELITO/PRIORIZADOS/TRIM%20I/POLITECNICA%20COLOMBIA?csf=1&amp;web=1&amp;e=lETbLB" TargetMode="External"/><Relationship Id="rId1509" Type="http://schemas.openxmlformats.org/officeDocument/2006/relationships/hyperlink" Target="https://educacionbogota-my.sharepoint.com/:b:/g/personal/comunicacionesdiveliv_educacionbogota_gov_co/Ebz1I6zHlgZBnXEMIDjbaVsBudWt52T4pCeXpkeYcZQOmw?e=HLODCO" TargetMode="External"/><Relationship Id="rId1716" Type="http://schemas.openxmlformats.org/officeDocument/2006/relationships/hyperlink" Target="../../../../../../../:b:/r/personal/comunicacionesdiveliv_educacionbogota_gov_co/Documents/DIRECCION%20DE%20INSPECCION%20Y%20VIGILANCIA/DIV%20POAIV/POAIV%202025/ELIV%20SUBA/PRIORIZADOS/TRIM%20III/acta%20visita%20col%20bosques%20del%20nogal.pdf?csf=1&amp;web=1&amp;e=E3vJXw" TargetMode="External"/><Relationship Id="rId1923" Type="http://schemas.openxmlformats.org/officeDocument/2006/relationships/hyperlink" Target="../../../../../../../:b:/r/personal/comunicacionesdiveliv_educacionbogota_gov_co/Documents/DIRECCION%20DE%20INSPECCION%20Y%20VIGILANCIA/DIV%20POAIV/POAIV%202025/ELIV%20USME/PRIORIZADOS/TRIM%20II/05ActaVisitaAdministrativaLiceoMaxPlanck10062025.pdf?csf=1&amp;web=1&amp;e=MTK3UE" TargetMode="External"/><Relationship Id="rId297" Type="http://schemas.openxmlformats.org/officeDocument/2006/relationships/hyperlink" Target="../../../../../../../:b:/r/personal/comunicacionesdiveliv_educacionbogota_gov_co/Documents/DIRECCION%20DE%20INSPECCION%20Y%20VIGILANCIA/DIV%20POAIV/POAIV%202025/ELIV%20CHAPINERO/PRIORIZADOS/TRIM%20II/COLEGIO%20MONTE%20VERDE/Acta%20Visita%20Campestre%20Monte%20Verde_2025.pdf?csf=1&amp;web=1&amp;e=djO6LF" TargetMode="External"/><Relationship Id="rId157" Type="http://schemas.openxmlformats.org/officeDocument/2006/relationships/hyperlink" Target="https://shre.ink/evUD" TargetMode="External"/><Relationship Id="rId364" Type="http://schemas.openxmlformats.org/officeDocument/2006/relationships/hyperlink" Target="../../../../../../../:b:/r/personal/comunicacionesdiveliv_educacionbogota_gov_co/Documents/DIRECCION%20DE%20INSPECCION%20Y%20VIGILANCIA/DIV%20POAIV/POAIV%202025/ELIV%20ENGATIV%C3%81/PRIORIZADOS/TRIM%20II/GIM%20MADRE%20TRINIDAD%20DE%20CALCUTA.pdf?csf=1&amp;web=1&amp;e=DkQnuy" TargetMode="External"/><Relationship Id="rId2045" Type="http://schemas.openxmlformats.org/officeDocument/2006/relationships/hyperlink" Target="https://educacionbogota-my.sharepoint.com/personal/comunicacionesdiveliv_educacionbogota_gov_co/_layouts/15/onedrive.aspx?id=%2Fpersonal%2Fcomunicacionesdiveliv%5Feducacionbogota%5Fgov%5Fco%2FDocuments%2FDIRECCION%20DE%20INSPECCION%20Y%20VIGILANCIA%2FDIV%20POAIV%2FPOAIV%202025%2FELIV%20TEUSAQUILLO%2FPRIORIZADOS%2FTRIM%20II%2F15052025%5FActa%5FVisitacon%20fines%20de%20mejormaiento%5FCentro%20de%20Asesorias%20Integrales%2Epdf&amp;parent=%2Fpersonal%2Fcomunicacionesdiveliv%5Feducacionbogota%5Fgov%5Fco%2FDocuments%2FDIRECCION%20DE%20INSPECCION%20Y%20VIGILANCIA%2FDIV%20POAIV%2FPOAIV%202025%2FELIV%20TEUSAQUILLO%2FPRIORIZADOS%2FTRIM%20II&amp;wdLOR=c47E6D484%2D5217%2D47F5%2DA044%2D6ADEB79986C5&amp;ga=1" TargetMode="External"/><Relationship Id="rId571" Type="http://schemas.openxmlformats.org/officeDocument/2006/relationships/hyperlink" Target="../../../../../../../:b:/r/personal/comunicacionesdiveliv_educacionbogota_gov_co/Documents/DIRECCION%20DE%20INSPECCION%20Y%20VIGILANCIA/DIV%20POAIV/POAIV%202025/ELIV%20ANTONIO%20NARI%C3%91O/PRIORIZADOS/TRIM%20I/01.%20Acta%20de%20visita%20Integral%20-%20Colegio%20Integral%20San%20Jorge%20Central.pdf?csf=1&amp;web=1&amp;e=kiC5Wq" TargetMode="External"/><Relationship Id="rId669" Type="http://schemas.openxmlformats.org/officeDocument/2006/relationships/hyperlink" Target="../../../../../../../:b:/r/personal/comunicacionesdiveliv_educacionbogota_gov_co/Documents/DIRECCION%20DE%20INSPECCION%20Y%20VIGILANCIA/DIV%20POAIV/POAIV%202025/ELIV%20KENNEDY/PRIORIZADOS/TRIM%20II/ACTA%20DE%20VISITA_COLEGIO%20SAN%20ANGEL.pdf?csf=1&amp;web=1&amp;e=moyaWZ" TargetMode="External"/><Relationship Id="rId876" Type="http://schemas.openxmlformats.org/officeDocument/2006/relationships/hyperlink" Target="../../../../../../../:b:/r/personal/comunicacionesdiveliv_educacionbogota_gov_co/Documents/DIRECCION%20DE%20INSPECCION%20Y%20VIGILANCIA/DIV%20POAIV/POAIV%202025/ELIV%20SAN%20CRIST%C3%93BAL/PRIORIZADOS/TRIM%20I/ACTA%20VISITA%20ADMINISTRATIVA%20INSTITUTO%20DE%20EDUCACION%20FORMAL%20DE%20ADULTOS%20EL%20PENSAMIENTO%20DE%20PITAGORAS.pdf?csf=1&amp;web=1&amp;e=PL44My" TargetMode="External"/><Relationship Id="rId1299" Type="http://schemas.openxmlformats.org/officeDocument/2006/relationships/hyperlink" Target="../../../../../../../:b:/r/personal/comunicacionesdiveliv_educacionbogota_gov_co/Documents/DIRECCION%20DE%20INSPECCION%20Y%20VIGILANCIA/DIV%20POAIV/POAIV%202025/ELIV%20ENGATIV%C3%81/PRIORIZADOS/TRIM%20III/20250725VisitaInstHenaoyArrubla.pdf?csf=1&amp;web=1&amp;e=u5PP9b" TargetMode="External"/><Relationship Id="rId224" Type="http://schemas.openxmlformats.org/officeDocument/2006/relationships/hyperlink" Target="https://shre.ink/eKLw" TargetMode="External"/><Relationship Id="rId431" Type="http://schemas.openxmlformats.org/officeDocument/2006/relationships/hyperlink" Target="../../../../../../../:b:/r/personal/comunicacionesdiveliv_educacionbogota_gov_co/Documents/DIRECCION%20DE%20INSPECCION%20Y%20VIGILANCIA/DIV%20POAIV/POAIV%202025/ELIV%20ENGATIV%C3%81/PRIORIZADOS/TRIMI/ACTA%20DE%20VISITA%20PRIORIZADOS%202025%20ATENEO%20JUAN%20EUDES%2028-03-2025.pdf?csf=1&amp;web=1&amp;e=TjoIMc" TargetMode="External"/><Relationship Id="rId529" Type="http://schemas.openxmlformats.org/officeDocument/2006/relationships/hyperlink" Target="../../../../../../../:b:/r/personal/comunicacionesdiveliv_educacionbogota_gov_co/Documents/DIRECCION%20DE%20INSPECCION%20Y%20VIGILANCIA/DIV%20POAIV/POAIV%202025/ELIV%20ANTONIO%20NARI%C3%91O/PRIORIZADOS/TRIM%20II/11.%20Acta%20de%20visita%20Integral%20-%20Col.%20Parroquial%20Ntra%20Sra%20de%20la%20Valvanera.pdf?csf=1&amp;web=1&amp;e=o8ce2I" TargetMode="External"/><Relationship Id="rId736" Type="http://schemas.openxmlformats.org/officeDocument/2006/relationships/hyperlink" Target="../../../../../../../:b:/r/personal/comunicacionesdiveliv_educacionbogota_gov_co/Documents/DIRECCION%20DE%20INSPECCION%20Y%20VIGILANCIA/DIV%20POAIV/POAIV%202025/ELIV%20PUENTE%20ARANDA/PRIORIZADOS/TRIM%20II/20250512_Visita%20fines%20mejoramiento%20La%20Merced/20250519_F%20visitas%20mejoramiento_La%20Merced.pdf?csf=1&amp;web=1&amp;e=eqsfPI" TargetMode="External"/><Relationship Id="rId1061" Type="http://schemas.openxmlformats.org/officeDocument/2006/relationships/hyperlink" Target="../../../../../../../:b:/r/personal/comunicacionesdiveliv_educacionbogota_gov_co/Documents/DIRECCION%20DE%20INSPECCION%20Y%20VIGILANCIA/DIV%20POAIV/POAIV%202025/ELIV%20USAQU%C3%89N/PRIORIZADOS/TRIM%20II/Acta_Visita_Instituto_el_roble.pdf?csf=1&amp;web=1&amp;e=xXvcJT" TargetMode="External"/><Relationship Id="rId1159" Type="http://schemas.openxmlformats.org/officeDocument/2006/relationships/hyperlink" Target="https://educacionbogota-my.sharepoint.com/:b:/g/personal/comunicacionesdiveliv_educacionbogota_gov_co/ETnvQK47NwtMtRFdwpiCr7IBco4oRR5RfouD5ZlCG4aRjg?e=NenYUl" TargetMode="External"/><Relationship Id="rId1366" Type="http://schemas.openxmlformats.org/officeDocument/2006/relationships/hyperlink" Target="../../../../../../../:b:/r/personal/comunicacionesdiveliv_educacionbogota_gov_co/Documents/DIRECCION%20DE%20INSPECCION%20Y%20VIGILANCIA/DIV%20POAIV/POAIV%202025/ELIV%20FONTIB%C3%93N/PRIORIZADOS/TRIM%20II/INSTITUTO%20NAZARENO%20DE%20MODELIA/VISITA%20CON%20FINES%20DE%20MEJORAMIENTO%20INSTITUTO%20NAZARENO%20DE%20MODELIA.pdf?csf=1&amp;web=1&amp;e=CZXdrk" TargetMode="External"/><Relationship Id="rId943" Type="http://schemas.openxmlformats.org/officeDocument/2006/relationships/hyperlink" Target="../../../../../../../:b:/r/personal/comunicacionesdiveliv_educacionbogota_gov_co/Documents/DIRECCION%20DE%20INSPECCION%20Y%20VIGILANCIA/DIV%20POAIV/POAIV%202025/ELIV%20RAFAEL%20URIBE%20URIBE/PRIORIZADOS/TRIM%20II/1-04-2025%20Nuevo%20Liceo%20Santa%20Clara.pdf?csf=1&amp;web=1&amp;e=T8rv4D" TargetMode="External"/><Relationship Id="rId1019" Type="http://schemas.openxmlformats.org/officeDocument/2006/relationships/hyperlink" Target="../../../../../../../:b:/r/personal/comunicacionesdiveliv_educacionbogota_gov_co/Documents/DIRECCION%20DE%20INSPECCION%20Y%20VIGILANCIA/DIV%20POAIV/POAIV%202025/ELIV%20RAFAEL%20URIBE%20URIBE/PRIORIZADOS/TRIM%20II/11%20y%2016%20junio%202025%20Danilo%20Cifuentes.pdf?csf=1&amp;web=1&amp;e=ZGfenX" TargetMode="External"/><Relationship Id="rId1573"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25-04-2025%20Col%20Rafael%20Maria%20Carrasquilla.pdf?csf=1&amp;web=1&amp;e=takCet" TargetMode="External"/><Relationship Id="rId1780" Type="http://schemas.openxmlformats.org/officeDocument/2006/relationships/hyperlink" Target="../../../../../../../:b:/g/personal/comunicacionesdiveliv_educacionbogota_gov_co/EW7PR1mGHbdOnApLj5Nvs8QBGJOXtBzseSKa8TVdtQ_8fg?e=oJhOWc" TargetMode="External"/><Relationship Id="rId1878" Type="http://schemas.openxmlformats.org/officeDocument/2006/relationships/hyperlink" Target="../../../../../../../:f:/r/personal/comunicacionesdiveliv_educacionbogota_gov_co/Documents/DIRECCION%20DE%20INSPECCION%20Y%20VIGILANCIA/DIV%20POAIV/POAIV%202025/ELIV%20TUNJUELITO/PRIORIZADOS/TRIM%20II/COLEGIO%20SAN%20CARLOS%20IED?csf=1&amp;web=1&amp;e=FT2jaB" TargetMode="External"/><Relationship Id="rId72" Type="http://schemas.openxmlformats.org/officeDocument/2006/relationships/hyperlink" Target="../../../../../../../:b:/r/personal/comunicacionesdiveliv_educacionbogota_gov_co/Documents/DIRECCION%20DE%20INSPECCION%20Y%20VIGILANCIA/DIV%20POAIV/POAIV%202025/ELIV%20SANTAFE%20Y%20LA%20CANDELARIA/PRIORIZADOS/TRIM%20II/2025%2004%2022%20%20%20Colegio%20Tirso%20de%20Molina%20%20%20Acta%20de%20visita.pdf?csf=1&amp;web=1&amp;e=3WGtFk" TargetMode="External"/><Relationship Id="rId803" Type="http://schemas.openxmlformats.org/officeDocument/2006/relationships/hyperlink" Target="../../../../../../../:b:/r/personal/comunicacionesdiveliv_educacionbogota_gov_co/Documents/DIRECCION%20DE%20INSPECCION%20Y%20VIGILANCIA/DIV%20POAIV/POAIV%202025/ELIV%20SAN%20CRIST%C3%93BAL/PRIORIZADOS/TRIM%20II/0613%20Acta%20de%20Visita%20Colegio%20Sur%20Oriental%20Panamericano.pdf?csf=1&amp;web=1&amp;e=B995c1" TargetMode="External"/><Relationship Id="rId1226" Type="http://schemas.openxmlformats.org/officeDocument/2006/relationships/hyperlink" Target="../../../../../../../:b:/g/personal/comunicacionesdiveliv_educacionbogota_gov_co/ERzMaCAxKL1NqszoLwR48UwBoQP72q40f-ul--HtX_xaYA?e=8Me0ll" TargetMode="External"/><Relationship Id="rId1433" Type="http://schemas.openxmlformats.org/officeDocument/2006/relationships/hyperlink" Target="https://educacionbogota-my.sharepoint.com/personal/comunicacionesdiveliv_educacionbogota_gov_co/Documents/DIRECCION%20DE%20INSPECCION%20Y%20VIGILANCIA/DIV%20POAIV/POAIV%202025/ELIV%20KENNEDY/PRIORIZADOS/TRIM%20III/INSTITUTO%20CULTURAL%20CIUDAD%20DE%20KENNEDY.pdf" TargetMode="External"/><Relationship Id="rId1640" Type="http://schemas.openxmlformats.org/officeDocument/2006/relationships/hyperlink" Target="../../../../../../../:b:/r/personal/comunicacionesdiveliv_educacionbogota_gov_co/Documents/DIRECCION%20DE%20INSPECCION%20Y%20VIGILANCIA/DIV%20POAIV/POAIV%202025/ELIV%20SUBA/PRIORIZADOS/TRIM%20II/13052025%20Acta%20de%20visita%20administrativa%20Liceo%20Riobamba.pdf?csf=1&amp;web=1&amp;e=ZHPqdn" TargetMode="External"/><Relationship Id="rId1738" Type="http://schemas.openxmlformats.org/officeDocument/2006/relationships/hyperlink" Target="../../../../../../../:b:/r/personal/comunicacionesdiveliv_educacionbogota_gov_co/Documents/DIRECCION%20DE%20INSPECCION%20Y%20VIGILANCIA/DIV%20POAIV/POAIV%202025/ELIV%20SUBA/PRIORIZADOS/TRIM%20III/VISITA%20TECNISISTEMAS.pdf?csf=1&amp;web=1&amp;e=rGDr93" TargetMode="External"/><Relationship Id="rId1500" Type="http://schemas.openxmlformats.org/officeDocument/2006/relationships/hyperlink" Target="https://educacionbogota-my.sharepoint.com/:b:/r/personal/comunicacionesdiveliv_educacionbogota_gov_co/Documents/DIRECCION%20DE%20INSPECCION%20Y%20VIGILANCIA/DIV%20POAIV/POAIV%202025/ELIV%20LOS%20M%C3%81RTIRES/PRIORIZADOS/TRIM%20III/20250717%20Visita%20COL_NTRA_SRA_DE_LA_PRESENTACION_CENTRO.pdf?csf=1&amp;web=1&amp;e=frYfXf" TargetMode="External"/><Relationship Id="rId1945" Type="http://schemas.openxmlformats.org/officeDocument/2006/relationships/hyperlink" Target="https://educacionbogota-my.sharepoint.com/:b:/g/personal/comunicacionesdiveliv_educacionbogota_gov_co/EcVoZ5cw_rtFrQkKs_EoPOABbNBKQfQrlnwUnzK9-6j-Fw?e=xBWHya" TargetMode="External"/><Relationship Id="rId1805" Type="http://schemas.openxmlformats.org/officeDocument/2006/relationships/hyperlink" Target="../../../../../../../:b:/g/personal/comunicacionesdiveliv_educacionbogota_gov_co/EcVLXnYZGmZMuxmrTQBVJQoBQd0FuaD9SJAcoHYXJz32og?e=IZAmfU" TargetMode="External"/><Relationship Id="rId179" Type="http://schemas.openxmlformats.org/officeDocument/2006/relationships/hyperlink" Target="https://shre.ink/evjR" TargetMode="External"/><Relationship Id="rId386" Type="http://schemas.openxmlformats.org/officeDocument/2006/relationships/hyperlink" Target="../../../../../../../:b:/r/personal/comunicacionesdiveliv_educacionbogota_gov_co/Documents/DIRECCION%20DE%20INSPECCION%20Y%20VIGILANCIA/DIV%20POAIV/POAIV%202025/ELIV%20ENGATIV%C3%81/PRIORIZADOS/TRIM%20II/30_05_2025_LICEO%20SAN%20LEON%20MAGNO.pdf?csf=1&amp;web=1&amp;e=6Si3iV" TargetMode="External"/><Relationship Id="rId593" Type="http://schemas.openxmlformats.org/officeDocument/2006/relationships/hyperlink" Target="../../../../../../../:b:/r/personal/comunicacionesdiveliv_educacionbogota_gov_co/Documents/DIRECCION%20DE%20INSPECCION%20Y%20VIGILANCIA/DIV%20POAIV/POAIV%202025/ELIV%20KENNEDY/PRIORIZADOS/TRIM%20II/ACTA%20VISITA%20COLEGIO_CHARLES_BABAGGE.pdf?csf=1&amp;web=1&amp;e=Qhnwfp" TargetMode="External"/><Relationship Id="rId246" Type="http://schemas.openxmlformats.org/officeDocument/2006/relationships/hyperlink" Target="https://shre.ink/ebhv" TargetMode="External"/><Relationship Id="rId453" Type="http://schemas.openxmlformats.org/officeDocument/2006/relationships/hyperlink" Target="../../../../../../../:b:/r/personal/comunicacionesdiveliv_educacionbogota_gov_co/Documents/DIRECCION%20DE%20INSPECCION%20Y%20VIGILANCIA/DIV%20POAIV/POAIV%202025/ELIV%20ENGATIV%C3%81/PRIORIZADOS/TRIM%20II/ACTA%20DE%20VISITA%20COLEGIO%20HENRY%20WALLON%2025%20ABRIL%20DE%202025.pdf?csf=1&amp;web=1&amp;e=UvqLdo" TargetMode="External"/><Relationship Id="rId660" Type="http://schemas.openxmlformats.org/officeDocument/2006/relationships/hyperlink" Target="../../../../../../../:b:/r/personal/comunicacionesdiveliv_educacionbogota_gov_co/Documents/DIRECCION%20DE%20INSPECCION%20Y%20VIGILANCIA/DIV%20POAIV/POAIV%202025/ELIV%20KENNEDY/PRIORIZADOS/TRIM%20II/ACTA%20VISITA%20COLEGIO%20RAFAEL%20GOBERNA.pdf?csf=1&amp;web=1&amp;e=6KxOWT" TargetMode="External"/><Relationship Id="rId898" Type="http://schemas.openxmlformats.org/officeDocument/2006/relationships/hyperlink" Target="../../../../../../../:b:/r/personal/comunicacionesdiveliv_educacionbogota_gov_co/Documents/DIRECCION%20DE%20INSPECCION%20Y%20VIGILANCIA/DIV%20POAIV/POAIV%202025/ELIV%20SAN%20CRIST%C3%93BAL/PRIORIZADOS/TRIM%20II/0509%20Acta%20Visita%20Liceo%20Infantil%20Nuevos%20Fundadores.pdf?csf=1&amp;web=1&amp;e=S4m0g9" TargetMode="External"/><Relationship Id="rId1083" Type="http://schemas.openxmlformats.org/officeDocument/2006/relationships/hyperlink" Target="../../../../../../../:b:/r/personal/comunicacionesdiveliv_educacionbogota_gov_co/Documents/DIRECCION%20DE%20INSPECCION%20Y%20VIGILANCIA/DIV%20POAIV/POAIV%202025/ELIV%20USAQU%C3%89N/PRIORIZADOS/TRIM%20II/Acta_Visita_Psicopegagogico_Tibabita.pdf?csf=1&amp;web=1&amp;e=4zsNvX" TargetMode="External"/><Relationship Id="rId1290" Type="http://schemas.openxmlformats.org/officeDocument/2006/relationships/hyperlink" Target="../../../../../../../:b:/r/personal/comunicacionesdiveliv_educacionbogota_gov_co/Documents/DIRECCION%20DE%20INSPECCION%20Y%20VIGILANCIA/DIV%20POAIV/POAIV%202025/ELIV%20ENGATIV%C3%81/PRIORIZADOS/TRIM%20III/ACTA%20RAFAEL%20DE%20ALICANTE.pdf?csf=1&amp;web=1&amp;e=Cmz8wo" TargetMode="External"/><Relationship Id="rId106" Type="http://schemas.openxmlformats.org/officeDocument/2006/relationships/hyperlink" Target="../../../../../../../:b:/r/personal/comunicacionesdiveliv_educacionbogota_gov_co/Documents/DIRECCION%20DE%20INSPECCION%20Y%20VIGILANCIA/DIV%20POAIV/POAIV%202025/ELIV%20SANTAFE%20Y%20LA%20CANDELARIA/PRIORIZADOS/TRIM%20II/2025%2006%2017%20Liceo%20Julio%20Cesar%20Garc%C3%ADa%20Acta%20de%20visita.pdf?csf=1&amp;web=1&amp;e=y2S2dg" TargetMode="External"/><Relationship Id="rId313" Type="http://schemas.openxmlformats.org/officeDocument/2006/relationships/hyperlink" Target="../../../../../../../:f:/r/personal/comunicacionesdiveliv_educacionbogota_gov_co/Documents/DIRECCION%20DE%20INSPECCION%20Y%20VIGILANCIA/DIV%20POAIV/POAIV%202025/ELIV%20CHAPINERO/PRIORIZADOS/TRIM%20II/CENTRO%20DE%20IDIOMAS%20UNIVERSAL?csf=1&amp;web=1&amp;e=z3Fajv" TargetMode="External"/><Relationship Id="rId758" Type="http://schemas.openxmlformats.org/officeDocument/2006/relationships/hyperlink" Target="../../../../../../../:b:/r/personal/comunicacionesdiveliv_educacionbogota_gov_co/Documents/DIRECCION%20DE%20INSPECCION%20Y%20VIGILANCIA/DIV%20POAIV/POAIV%202025/ELIV%20PUENTE%20ARANDA/PRIORIZADOS/TRIM%20II/20250611%20Colegio%20Silveria%20Espinosa%20de%20Rendon/25%2006%2011%20acta%20visita%20Silveria.pdf?csf=1&amp;web=1&amp;e=dNW6ZH" TargetMode="External"/><Relationship Id="rId965" Type="http://schemas.openxmlformats.org/officeDocument/2006/relationships/hyperlink" Target="../../../../../../../:b:/r/personal/comunicacionesdiveliv_educacionbogota_gov_co/Documents/DIRECCION%20DE%20INSPECCION%20Y%20VIGILANCIA/DIV%20POAIV/POAIV%202025/ELIV%20RAFAEL%20URIBE%20URIBE/PRIORIZADOS/TRIM%20II/11-04-2025%20Alexander%20Fleming.pdf?csf=1&amp;web=1&amp;e=VWrsYo" TargetMode="External"/><Relationship Id="rId1150" Type="http://schemas.openxmlformats.org/officeDocument/2006/relationships/hyperlink" Target="https://educacionbogota-my.sharepoint.com/:b:/g/personal/comunicacionesdiveliv_educacionbogota_gov_co/EXKnREsSVEtGqHjKbn9fduwBlny6BCei4ltKgDnU8dyyyg?e=koY4f8" TargetMode="External"/><Relationship Id="rId1388" Type="http://schemas.openxmlformats.org/officeDocument/2006/relationships/hyperlink" Target="https://educacionbogota-my.sharepoint.com/:b:/g/personal/comunicacionesdiveliv_educacionbogota_gov_co/ERAM9qLwpB9Hnq0uH4vIkWoBry_yCDPWLSu8VpjD2eaVeQ?e=az8UHu" TargetMode="External"/><Relationship Id="rId1595" Type="http://schemas.openxmlformats.org/officeDocument/2006/relationships/hyperlink" Target="https://educacionbogota-my.sharepoint.com/:b:/r/personal/comunicacionesdiveliv_educacionbogota_gov_co/Documents/DIRECCION%20DE%20INSPECCION%20Y%20VIGILANCIA/DIV%20POAIV/POAIV%202025/ELIV%20RAFAEL%20URIBE%20URIBE/PRIORIZADOS/TRIM%20III/12%20y%2015%20agosto%20Col%20Jose%20Marti%20IED.pdf?csf=1&amp;web=1&amp;e=Tdtfc7" TargetMode="External"/><Relationship Id="rId94" Type="http://schemas.openxmlformats.org/officeDocument/2006/relationships/hyperlink" Target="../../../../../../../:b:/r/personal/comunicacionesdiveliv_educacionbogota_gov_co/Documents/DIRECCION%20DE%20INSPECCION%20Y%20VIGILANCIA/DIV%20POAIV/POAIV%202025/ELIV%20SANTAFE%20Y%20LA%20CANDELARIA/PRIORIZADOS/TRIM%20II/2025%2005%2002%20Colegio%20de%20Salerno.pdf?csf=1&amp;web=1&amp;e=wjHOmo" TargetMode="External"/><Relationship Id="rId520" Type="http://schemas.openxmlformats.org/officeDocument/2006/relationships/hyperlink" Target="../../../../../../../:b:/r/personal/comunicacionesdiveliv_educacionbogota_gov_co/Documents/DIRECCION%20DE%20INSPECCION%20Y%20VIGILANCIA/DIV%20POAIV/POAIV%202025/ELIV%20ANTONIO%20NARI%C3%91O/PRIORIZADOS/TRIM%20II/03.%20Acta%20de%20visita%20Integral%20-%20COL.%20COOP%20MAGISTERIO%20DE%20CMARCA.pdf?csf=1&amp;web=1&amp;e=0gYYWb" TargetMode="External"/><Relationship Id="rId618" Type="http://schemas.openxmlformats.org/officeDocument/2006/relationships/hyperlink" Target="../../../../../../../:b:/r/personal/comunicacionesdiveliv_educacionbogota_gov_co/Documents/DIRECCION%20DE%20INSPECCION%20Y%20VIGILANCIA/DIV%20POAIV/POAIV%202025/ELIV%20KENNEDY/PRIORIZADOS/TRIM%20II/ACTA%20VISITA%20COLEGIO%20INCADE%20KENNEDY.pdf?csf=1&amp;web=1&amp;e=T14S6b" TargetMode="External"/><Relationship Id="rId825" Type="http://schemas.openxmlformats.org/officeDocument/2006/relationships/hyperlink" Target="../../../../../../../:b:/r/personal/comunicacionesdiveliv_educacionbogota_gov_co/Documents/DIRECCION%20DE%20INSPECCION%20Y%20VIGILANCIA/DIV%20POAIV/POAIV%202025/ELIV%20SAN%20CRIST%C3%93BAL/PRIORIZADOS/TRIM%20II/0411%20Acta%20de%20visita%20administrativa%20Isaac%20Newton.pdf?csf=1&amp;web=1&amp;e=DFE6DM" TargetMode="External"/><Relationship Id="rId1248" Type="http://schemas.openxmlformats.org/officeDocument/2006/relationships/hyperlink" Target="../../../../../../../:b:/g/personal/comunicacionesdiveliv_educacionbogota_gov_co/Ea03xamXMppMmFZSPVOIccsBlXMhONdBrVnUZDNUHIPmjQ?e=zhH7iR" TargetMode="External"/><Relationship Id="rId1455" Type="http://schemas.openxmlformats.org/officeDocument/2006/relationships/hyperlink" Target="../../../../../../../:b:/r/personal/comunicacionesdiveliv_educacionbogota_gov_co/Documents/DIRECCION%20DE%20INSPECCION%20Y%20VIGILANCIA/DIV%20POAIV/POAIV%202025/ELIV%20KENNEDY/PRIORIZADOS/TRIM%20III/LICEO%20REYNEL.pdf?csf=1&amp;web=1&amp;e=XVXcz0" TargetMode="External"/><Relationship Id="rId1662" Type="http://schemas.openxmlformats.org/officeDocument/2006/relationships/hyperlink" Target="../../../../../../../:b:/r/personal/comunicacionesdiveliv_educacionbogota_gov_co/Documents/DIRECCION%20DE%20INSPECCION%20Y%20VIGILANCIA/DIV%20POAIV/POAIV%202025/ELIV%20SUBA/PRIORIZADOS/TRIM%20II/ACTA%20VISITA%20INTEGRAL%20INST%20TEC%20COM%20CERROS%20DE%20SUBRA%20Jun10_2025.pdf?csf=1&amp;web=1&amp;e=oDw1MS" TargetMode="External"/><Relationship Id="rId1010" Type="http://schemas.openxmlformats.org/officeDocument/2006/relationships/hyperlink" Target="../../../../../../../:b:/r/personal/comunicacionesdiveliv_educacionbogota_gov_co/Documents/DIRECCION%20DE%20INSPECCION%20Y%20VIGILANCIA/DIV%20POAIV/POAIV%202025/ELIV%20RAFAEL%20URIBE%20URIBE/PRIORIZADOS/TRIM%20II/6%20y%2011%20junio%202025%20Feyser%20Gordillo.pdf?csf=1&amp;web=1&amp;e=w3Ybix" TargetMode="External"/><Relationship Id="rId1108" Type="http://schemas.openxmlformats.org/officeDocument/2006/relationships/hyperlink" Target="../../../../../../../:b:/r/personal/comunicacionesdiveliv_educacionbogota_gov_co/Documents/DIRECCION%20DE%20INSPECCION%20Y%20VIGILANCIA/DIV%20POAIV/POAIV%202025/ELIV%20USAQU%C3%89N/PRIORIZADOS/TRIM%20II/Acta%20Visita_Colegio_Monterosales_Ciclos.pdf?csf=1&amp;web=1&amp;e=dbZ1g8" TargetMode="External"/><Relationship Id="rId1315" Type="http://schemas.openxmlformats.org/officeDocument/2006/relationships/hyperlink" Target="../../../../../../../:b:/g/personal/comunicacionesdiveliv_educacionbogota_gov_co/EX50lx968y9GrquDjOwdiocBRlOHdbt1HVUni9Xd0AOfyQ?e=eNDjsk" TargetMode="External"/><Relationship Id="rId1967" Type="http://schemas.openxmlformats.org/officeDocument/2006/relationships/hyperlink" Target="https://educacionbogota-my.sharepoint.com/:b:/g/personal/comunicacionesdiveliv_educacionbogota_gov_co/ET2QxUqFxKtJkaDKcikNMnwB-Lrfw9_zcHJHhmJDmOegWg?e=bS3r0p" TargetMode="External"/><Relationship Id="rId1522" Type="http://schemas.openxmlformats.org/officeDocument/2006/relationships/hyperlink" Target="https://educacionbogota-my.sharepoint.com/:b:/g/personal/comunicacionesdiveliv_educacionbogota_gov_co/EWF7bhdFvndNn9rxopJnRSkBTQ7jCTHittv2bSBBSaVQOw?e=rIAkBV" TargetMode="External"/><Relationship Id="rId21" Type="http://schemas.openxmlformats.org/officeDocument/2006/relationships/hyperlink" Target="../../../../../../../:b:/r/personal/comunicacionesdiveliv_educacionbogota_gov_co/Documents/DIRECCION%20DE%20INSPECCION%20Y%20VIGILANCIA/DIV%20POAIV/POAIV%202025/ELIV%20BARRIOS%20UNIDOS/PRIORIZADOS/TRIM%20II/Acta_Visita_Integral_Colegio_Tri%C3%A1ngulo_Chapinero.pdf?csf=1&amp;web=1&amp;e=ZqGki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2796"/>
  <sheetViews>
    <sheetView tabSelected="1" workbookViewId="0">
      <pane ySplit="6" topLeftCell="A7" activePane="bottomLeft" state="frozen"/>
      <selection pane="bottomLeft" activeCell="I9" sqref="I9"/>
    </sheetView>
  </sheetViews>
  <sheetFormatPr defaultColWidth="9.140625" defaultRowHeight="12.75"/>
  <cols>
    <col min="1" max="1" width="7.28515625" style="62" customWidth="1"/>
    <col min="2" max="2" width="9.140625" style="82" customWidth="1"/>
    <col min="3" max="3" width="20.7109375" style="68" customWidth="1"/>
    <col min="4" max="4" width="18.42578125" style="62" customWidth="1"/>
    <col min="5" max="5" width="42.5703125" style="62" customWidth="1"/>
    <col min="6" max="6" width="23.7109375" style="68" customWidth="1"/>
    <col min="7" max="7" width="37.42578125" style="62" customWidth="1"/>
    <col min="8" max="9" width="23.7109375" style="68" customWidth="1"/>
    <col min="10" max="10" width="47.85546875" style="68" customWidth="1"/>
    <col min="11" max="12" width="23.7109375" style="68" customWidth="1"/>
    <col min="13" max="13" width="23.7109375" style="83" customWidth="1"/>
    <col min="14" max="15" width="23.7109375" style="84" customWidth="1"/>
    <col min="16" max="16" width="23.7109375" style="68" customWidth="1"/>
    <col min="17" max="17" width="39.42578125" style="85" customWidth="1"/>
    <col min="18" max="19" width="36.5703125" style="68" customWidth="1"/>
    <col min="20" max="20" width="11.85546875" style="86" customWidth="1"/>
    <col min="21" max="21" width="77.140625" style="68" customWidth="1"/>
    <col min="22" max="16384" width="9.140625" style="62"/>
  </cols>
  <sheetData>
    <row r="1" spans="1:21">
      <c r="A1" s="272" t="s">
        <v>0</v>
      </c>
      <c r="B1" s="273"/>
      <c r="C1" s="273"/>
      <c r="D1" s="273"/>
      <c r="E1" s="273"/>
      <c r="F1" s="273"/>
      <c r="G1" s="273"/>
      <c r="H1" s="273"/>
      <c r="I1" s="274"/>
      <c r="J1" s="273"/>
      <c r="K1" s="273"/>
      <c r="L1" s="273"/>
      <c r="M1" s="273"/>
      <c r="N1" s="273"/>
      <c r="O1" s="273"/>
      <c r="P1" s="273"/>
      <c r="Q1" s="273"/>
    </row>
    <row r="2" spans="1:21">
      <c r="A2" s="275"/>
      <c r="B2" s="276"/>
      <c r="C2" s="276"/>
      <c r="D2" s="276"/>
      <c r="E2" s="276"/>
      <c r="F2" s="276"/>
      <c r="G2" s="276"/>
      <c r="H2" s="276"/>
      <c r="I2" s="276"/>
      <c r="J2" s="276"/>
      <c r="K2" s="276"/>
      <c r="L2" s="276"/>
      <c r="M2" s="276"/>
      <c r="N2" s="276"/>
      <c r="O2" s="276"/>
      <c r="P2" s="276"/>
      <c r="Q2" s="276"/>
    </row>
    <row r="3" spans="1:21" ht="15">
      <c r="A3" s="277" t="s">
        <v>1</v>
      </c>
      <c r="B3" s="278"/>
      <c r="C3" s="278"/>
      <c r="D3" s="278"/>
      <c r="E3" s="278"/>
      <c r="F3" s="278"/>
      <c r="G3" s="278"/>
      <c r="H3" s="278"/>
      <c r="I3" s="278"/>
      <c r="J3" s="278"/>
      <c r="K3" s="278"/>
      <c r="L3" s="278"/>
      <c r="M3" s="278"/>
      <c r="N3" s="278"/>
      <c r="O3" s="278"/>
      <c r="P3" s="278"/>
      <c r="Q3" s="278"/>
    </row>
    <row r="4" spans="1:21" ht="15">
      <c r="A4" s="277" t="s">
        <v>2</v>
      </c>
      <c r="B4" s="278"/>
      <c r="C4" s="278"/>
      <c r="D4" s="278"/>
      <c r="E4" s="278"/>
      <c r="F4" s="278"/>
      <c r="G4" s="278"/>
      <c r="H4" s="278"/>
      <c r="I4" s="278"/>
      <c r="J4" s="278"/>
      <c r="K4" s="278"/>
      <c r="L4" s="278"/>
      <c r="M4" s="278"/>
      <c r="N4" s="278"/>
      <c r="O4" s="278"/>
      <c r="P4" s="278"/>
      <c r="Q4" s="278"/>
    </row>
    <row r="5" spans="1:21" ht="29.25" customHeight="1">
      <c r="A5" s="270" t="s">
        <v>3</v>
      </c>
      <c r="B5" s="270"/>
      <c r="C5" s="270"/>
      <c r="D5" s="270"/>
      <c r="E5" s="270"/>
      <c r="F5" s="270"/>
      <c r="G5" s="270"/>
      <c r="H5" s="270"/>
      <c r="I5" s="270"/>
      <c r="J5" s="270"/>
      <c r="K5" s="270"/>
      <c r="L5" s="270"/>
      <c r="M5" s="271"/>
      <c r="N5" s="265" t="s">
        <v>4</v>
      </c>
      <c r="O5" s="265"/>
      <c r="P5" s="266"/>
      <c r="Q5" s="267"/>
      <c r="R5" s="268"/>
      <c r="S5" s="269"/>
      <c r="T5" s="265"/>
      <c r="U5" s="269"/>
    </row>
    <row r="6" spans="1:21" s="68" customFormat="1" ht="36">
      <c r="A6" s="63" t="s">
        <v>5</v>
      </c>
      <c r="B6" s="64" t="s">
        <v>6</v>
      </c>
      <c r="C6" s="64" t="s">
        <v>7</v>
      </c>
      <c r="D6" s="64" t="s">
        <v>8</v>
      </c>
      <c r="E6" s="64" t="s">
        <v>9</v>
      </c>
      <c r="F6" s="64" t="s">
        <v>10</v>
      </c>
      <c r="G6" s="64" t="s">
        <v>11</v>
      </c>
      <c r="H6" s="64" t="s">
        <v>12</v>
      </c>
      <c r="I6" s="64" t="s">
        <v>13</v>
      </c>
      <c r="J6" s="64" t="s">
        <v>14</v>
      </c>
      <c r="K6" s="64" t="s">
        <v>15</v>
      </c>
      <c r="L6" s="64" t="s">
        <v>16</v>
      </c>
      <c r="M6" s="64" t="s">
        <v>17</v>
      </c>
      <c r="N6" s="64" t="s">
        <v>18</v>
      </c>
      <c r="O6" s="64" t="s">
        <v>19</v>
      </c>
      <c r="P6" s="65" t="s">
        <v>20</v>
      </c>
      <c r="Q6" s="66" t="s">
        <v>21</v>
      </c>
      <c r="R6" s="67" t="s">
        <v>22</v>
      </c>
      <c r="S6" s="64" t="s">
        <v>23</v>
      </c>
      <c r="T6" s="64" t="s">
        <v>24</v>
      </c>
      <c r="U6" s="64" t="s">
        <v>25</v>
      </c>
    </row>
    <row r="7" spans="1:21" s="1" customFormat="1" ht="96">
      <c r="A7" s="69">
        <f>IF([1]PRIORIZADOS!A8="","",[1]PRIORIZADOS!A8)</f>
        <v>1</v>
      </c>
      <c r="B7" s="87">
        <f>IFERROR(IF(VLOOKUP(A7,[1]PRIORIZADOS!$A:$B,2,FALSE)="","",VLOOKUP(A7,[1]PRIORIZADOS!$A:$B,2,FALSE)),"")</f>
        <v>1</v>
      </c>
      <c r="C7" s="11" t="str">
        <f>IFERROR(IF(VLOOKUP(A7,[1]PRIORIZADOS!$A:$C,3,FALSE)="","",VLOOKUP(A7,[1]PRIORIZADOS!$A:$C,3,FALSE)),"")</f>
        <v>ANTONIO NARIÑO</v>
      </c>
      <c r="D7" s="69" t="str">
        <f>IFERROR(IF(VLOOKUP(A7,[1]PRIORIZADOS!$A:$D,4,FALSE)="","",VLOOKUP(A7,[1]PRIORIZADOS!$A:$D,4,FALSE)),"")</f>
        <v>PRIVADO</v>
      </c>
      <c r="E7" s="69" t="str">
        <f>IFERROR(IF(VLOOKUP(A7,[1]PRIORIZADOS!$A:$E,5,FALSE)="","",VLOOKUP(A7,[1]PRIORIZADOS!$A:$E,5,FALSE)),"")</f>
        <v>Educación de Jóvenes y Adultos</v>
      </c>
      <c r="F7" s="11" t="str">
        <f>IFERROR(IF(VLOOKUP(A7,[1]PRIORIZADOS!$A:$F,6,FALSE)="","",VLOOKUP(A7,[1]PRIORIZADOS!$A:$F,6,FALSE)),"")</f>
        <v>COLEGIO_CENCOSISTEMAS</v>
      </c>
      <c r="G7" s="69" t="str">
        <f>IFERROR(IF(VLOOKUP(A7,[1]PRIORIZADOS!$A:$G,7,FALSE)="","",VLOOKUP(A7,[1]PRIORIZADOS!$A:$G,7,FALSE)),"")</f>
        <v>COLEGIO CENCOSISTEMAS</v>
      </c>
      <c r="H7" s="11" t="str">
        <f>IFERROR(IF(VLOOKUP(A7,[1]PRIORIZADOS!$A:$H,8,FALSE)="","",VLOOKUP(A7,[1]PRIORIZADOS!$A:$H,8,FALSE)),"")</f>
        <v>Autoevaluación Institucional y Pruebas SABER 11</v>
      </c>
      <c r="I7" s="11" t="str">
        <f>IFERROR(IF(VLOOKUP(A7,[1]PRIORIZADOS!$A:$I,9,FALSE)="","",VLOOKUP(A7,[1]PRIORIZADOS!$A:$I,9,FALSE)),"")</f>
        <v>SEGUIMIENTO_Y_SUPERVISIÓN.</v>
      </c>
      <c r="J7" s="11" t="str">
        <f>IFERROR(IF(VLOOKUP(A7,[1]PRIORIZADOS!$A:$J,10,FALSE)="","",VLOOKUP(A7,[1]PRIORIZADOS!$A:$J,10,FALSE)),"")</f>
        <v>Realizar visitas para verificar la información registrada sobre la autoevaluación institucional en el aplicativo EVI, a los establecimientos de educación formal no oficial.</v>
      </c>
      <c r="K7" s="11" t="str">
        <f>IFERROR(IF(VLOOKUP(A7,[1]PRIORIZADOS!$A:$K,11,FALSE)="","",VLOOKUP(A7,[1]PRIORIZADOS!$A:$K,11,FALSE)),"")</f>
        <v>JOHN JAIRO BOBADILLA BERMEO</v>
      </c>
      <c r="L7" s="11" t="str">
        <f>IFERROR(IF(VLOOKUP(A7,[1]PRIORIZADOS!$A:$L,12,FALSE)="","",VLOOKUP(A7,[1]PRIORIZADOS!$A:$L,12,FALSE)),"")</f>
        <v>ORLANDO SUÁREZ SOTO
JOSÉ RODRIGO QUILAGUY BERNAL
JOHN JAIRO BOBADILLA BERMEO</v>
      </c>
      <c r="M7" s="88">
        <f>IFERROR(IF(VLOOKUP(A7,[1]PRIORIZADOS!$A:$M,13,FALSE)="","",VLOOKUP(A7,[1]PRIORIZADOS!$A:$M,13,FALSE)),"")</f>
        <v>45860</v>
      </c>
      <c r="N7" s="88">
        <f>IFERROR(IF(VLOOKUP(A7,[1]PRIORIZADOS!$A:$N,14,FALSE)="","",VLOOKUP(A7,[1]PRIORIZADOS!$A:$N,14,FALSE)),"")</f>
        <v>45790</v>
      </c>
      <c r="O7" s="88">
        <f>IFERROR(IF(VLOOKUP(A7,[1]PRIORIZADOS!$A:$O,15,FALSE)="","",VLOOKUP(A7,[1]PRIORIZADOS!$A:$O,15,FALSE)),"")</f>
        <v>45790</v>
      </c>
      <c r="P7" s="16" t="str">
        <f>IFERROR(IF(VLOOKUP(A7,[1]PRIORIZADOS!$A:$P,16,FALSE)="","",VLOOKUP(A7,[1]PRIORIZADOS!$A:$P,16,FALSE)),"")</f>
        <v>Visitas de evaluación con fines de seguimiento</v>
      </c>
      <c r="Q7" s="89" t="s">
        <v>26</v>
      </c>
      <c r="R7" s="90" t="str">
        <f>IFERROR(IF(VLOOKUP(A7,[1]PRIORIZADOS!$A:$R,18,FALSE)="","",VLOOKUP(A7,[1]PRIORIZADOS!$A:$R,18,FALSE)),"")</f>
        <v>La información registrada en la autoevaluación institucional, en el EVI, corresponde con lo autorizado en su resolución de tarifas educativas y en el contrato de prestación de servicios; sin embargo, frente al pago se seguridad social se evidencian planillas de aportes independiente.</v>
      </c>
      <c r="S7" s="11" t="str">
        <f>IFERROR(IF(VLOOKUP(A7,[1]PRIORIZADOS!$A:$S,19,FALSE)="","",VLOOKUP(A7,[1]PRIORIZADOS!$A:$S,19,FALSE)),"")</f>
        <v xml:space="preserve">Vincular al personal mediante contrato laboral  que permita el cumplimiento de la instensidad horaria, y garantizar el pago de los aportes a seguridad social. </v>
      </c>
      <c r="T7" s="70" t="str">
        <f>IFERROR(IF(VLOOKUP(A7,[1]PRIORIZADOS!$A:$T,20,FALSE)="","",VLOOKUP(A7,[1]PRIORIZADOS!$A:$T,20,FALSE)),"")</f>
        <v>Si</v>
      </c>
      <c r="U7" s="11" t="str">
        <f>IFERROR(IF(VLOOKUP(A7,[1]PRIORIZADOS!$A:$U,21,FALSE)="","",VLOOKUP(A7,[1]PRIORIZADOS!$A:$U,21,FALSE)),"")</f>
        <v>Verificar las acciones definidas en el plan de mejoramiento una vez sea presentado 06.06.2025
Se realiza seguimiento del PMI, evidenciándose avance, conforme a lo orientado. (16/09/2025) Ver Carpeta POAIV - TRIM III</v>
      </c>
    </row>
    <row r="8" spans="1:21" s="1" customFormat="1" ht="60">
      <c r="A8" s="69">
        <f>IF([1]PRIORIZADOS!A9="","",[1]PRIORIZADOS!A9)</f>
        <v>2</v>
      </c>
      <c r="B8" s="87">
        <v>1</v>
      </c>
      <c r="C8" s="11" t="str">
        <f>IFERROR(IF(VLOOKUP(A8,[1]PRIORIZADOS!$A:$C,3,FALSE)="","",VLOOKUP(A8,[1]PRIORIZADOS!$A:$C,3,FALSE)),"")</f>
        <v>ANTONIO NARIÑO</v>
      </c>
      <c r="D8" s="69" t="str">
        <f>IFERROR(IF(VLOOKUP(A8,[1]PRIORIZADOS!$A:$D,4,FALSE)="","",VLOOKUP(A8,[1]PRIORIZADOS!$A:$D,4,FALSE)),"")</f>
        <v>PRIVADO</v>
      </c>
      <c r="E8" s="69" t="str">
        <f>IFERROR(IF(VLOOKUP(A8,[1]PRIORIZADOS!$A:$E,5,FALSE)="","",VLOOKUP(A8,[1]PRIORIZADOS!$A:$E,5,FALSE)),"")</f>
        <v>Educación de Jóvenes y Adultos</v>
      </c>
      <c r="F8" s="11" t="str">
        <f>IFERROR(IF(VLOOKUP(A8,[1]PRIORIZADOS!$A:$F,6,FALSE)="","",VLOOKUP(A8,[1]PRIORIZADOS!$A:$F,6,FALSE)),"")</f>
        <v>COLEGIO_CENCOSISTEMAS</v>
      </c>
      <c r="G8" s="69" t="str">
        <f>IFERROR(IF(VLOOKUP(A8,[1]PRIORIZADOS!$A:$G,7,FALSE)="","",VLOOKUP(A8,[1]PRIORIZADOS!$A:$G,7,FALSE)),"")</f>
        <v>COLEGIO CENCOSISTEMAS</v>
      </c>
      <c r="H8" s="11" t="str">
        <f>IFERROR(IF(VLOOKUP(A8,[1]PRIORIZADOS!$A:$H,8,FALSE)="","",VLOOKUP(A8,[1]PRIORIZADOS!$A:$H,8,FALSE)),"")</f>
        <v>Autoevaluación Institucional y Pruebas SABER 11</v>
      </c>
      <c r="I8" s="11" t="str">
        <f>IFERROR(IF(VLOOKUP(A8,[1]PRIORIZADOS!$A:$I,9,FALSE)="","",VLOOKUP(A8,[1]PRIORIZADOS!$A:$I,9,FALSE)),"")</f>
        <v>SEGUIMIENTO_Y_SUPERVISIÓN.</v>
      </c>
      <c r="J8" s="11" t="str">
        <f>IFERROR(IF(VLOOKUP(A8,[1]PRIORIZADOS!$A:$J,10,FALSE)="","",VLOOKUP(A8,[1]PRIORIZADOS!$A:$J,10,FALSE)),"")</f>
        <v>Proponer estrategias en la formulación, verificar su elaboración y realizar seguimiento semestral al desarrollo de  las acciones establecidas en los planes de mejoramiento por pruebas SABER 11 de los establecimientos de educación formal.</v>
      </c>
      <c r="K8" s="11" t="str">
        <f>IFERROR(IF(VLOOKUP(A8,[1]PRIORIZADOS!$A:$K,11,FALSE)="","",VLOOKUP(A8,[1]PRIORIZADOS!$A:$K,11,FALSE)),"")</f>
        <v>JOHN JAIRO BOBADILLA BERMEO</v>
      </c>
      <c r="L8" s="11" t="str">
        <f>IFERROR(IF(VLOOKUP(A8,[1]PRIORIZADOS!$A:$L,12,FALSE)="","",VLOOKUP(A8,[1]PRIORIZADOS!$A:$L,12,FALSE)),"")</f>
        <v>ORLANDO SUÁREZ SOTO
JOSÉ RODRIGO QUILAGUY BERNAL
JOHN JAIRO BOBADILLA BERMEO</v>
      </c>
      <c r="M8" s="88">
        <f>IFERROR(IF(VLOOKUP(A8,[1]PRIORIZADOS!$A:$M,13,FALSE)="","",VLOOKUP(A8,[1]PRIORIZADOS!$A:$M,13,FALSE)),"")</f>
        <v>45860</v>
      </c>
      <c r="N8" s="88">
        <f>IFERROR(IF(VLOOKUP(A8,[1]PRIORIZADOS!$A:$N,14,FALSE)="","",VLOOKUP(A8,[1]PRIORIZADOS!$A:$N,14,FALSE)),"")</f>
        <v>45790</v>
      </c>
      <c r="O8" s="88">
        <f>IFERROR(IF(VLOOKUP(A8,[1]PRIORIZADOS!$A:$O,15,FALSE)="","",VLOOKUP(A8,[1]PRIORIZADOS!$A:$O,15,FALSE)),"")</f>
        <v>45790</v>
      </c>
      <c r="P8" s="16" t="str">
        <f>IFERROR(IF(VLOOKUP(A8,[1]PRIORIZADOS!$A:$P,16,FALSE)="","",VLOOKUP(A8,[1]PRIORIZADOS!$A:$P,16,FALSE)),"")</f>
        <v>Visitas de evaluación con fines de seguimiento</v>
      </c>
      <c r="Q8" s="89" t="s">
        <v>26</v>
      </c>
      <c r="R8" s="90" t="str">
        <f>IFERROR(IF(VLOOKUP(A8,[1]PRIORIZADOS!$A:$R,18,FALSE)="","",VLOOKUP(A8,[1]PRIORIZADOS!$A:$R,18,FALSE)),"")</f>
        <v>La IE ha revisado los resultados de pruebas Saber 11 pero, no ha realizado un análisis que permita establecer acciones de mejoramiento de sus procesos académico administrativos.</v>
      </c>
      <c r="S8" s="11" t="str">
        <f>IFERROR(IF(VLOOKUP(A8,[1]PRIORIZADOS!$A:$S,19,FALSE)="","",VLOOKUP(A8,[1]PRIORIZADOS!$A:$S,19,FALSE)),"")</f>
        <v xml:space="preserve">Realizar el análisis de resultados de pruebas Saber 11 y establecer actualización de sus mallas curriculares, planes de estudios y planes de aula </v>
      </c>
      <c r="T8" s="70" t="str">
        <f>IFERROR(IF(VLOOKUP(A8,[1]PRIORIZADOS!$A:$T,20,FALSE)="","",VLOOKUP(A8,[1]PRIORIZADOS!$A:$T,20,FALSE)),"")</f>
        <v>Si</v>
      </c>
      <c r="U8" s="11" t="str">
        <f>IFERROR(IF(VLOOKUP(A8,[1]PRIORIZADOS!$A:$U,21,FALSE)="","",VLOOKUP(A8,[1]PRIORIZADOS!$A:$U,21,FALSE)),"")</f>
        <v>Verificar las acciones definidas en el plan de mejoramiento una vez sea presentado 06.06.2025</v>
      </c>
    </row>
    <row r="9" spans="1:21" s="1" customFormat="1" ht="84">
      <c r="A9" s="69">
        <f>IF([1]PRIORIZADOS!A10="","",[1]PRIORIZADOS!A10)</f>
        <v>3</v>
      </c>
      <c r="B9" s="87">
        <v>1</v>
      </c>
      <c r="C9" s="11" t="str">
        <f>IFERROR(IF(VLOOKUP(A9,[1]PRIORIZADOS!$A:$C,3,FALSE)="","",VLOOKUP(A9,[1]PRIORIZADOS!$A:$C,3,FALSE)),"")</f>
        <v>ANTONIO NARIÑO</v>
      </c>
      <c r="D9" s="69" t="str">
        <f>IFERROR(IF(VLOOKUP(A9,[1]PRIORIZADOS!$A:$D,4,FALSE)="","",VLOOKUP(A9,[1]PRIORIZADOS!$A:$D,4,FALSE)),"")</f>
        <v>PRIVADO</v>
      </c>
      <c r="E9" s="69" t="str">
        <f>IFERROR(IF(VLOOKUP(A9,[1]PRIORIZADOS!$A:$E,5,FALSE)="","",VLOOKUP(A9,[1]PRIORIZADOS!$A:$E,5,FALSE)),"")</f>
        <v>Educación de Jóvenes y Adultos</v>
      </c>
      <c r="F9" s="11" t="str">
        <f>IFERROR(IF(VLOOKUP(A9,[1]PRIORIZADOS!$A:$F,6,FALSE)="","",VLOOKUP(A9,[1]PRIORIZADOS!$A:$F,6,FALSE)),"")</f>
        <v>COLEGIO_CENCOSISTEMAS</v>
      </c>
      <c r="G9" s="69" t="str">
        <f>IFERROR(IF(VLOOKUP(A9,[1]PRIORIZADOS!$A:$G,7,FALSE)="","",VLOOKUP(A9,[1]PRIORIZADOS!$A:$G,7,FALSE)),"")</f>
        <v>COLEGIO CENCOSISTEMAS</v>
      </c>
      <c r="H9" s="11" t="str">
        <f>IFERROR(IF(VLOOKUP(A9,[1]PRIORIZADOS!$A:$H,8,FALSE)="","",VLOOKUP(A9,[1]PRIORIZADOS!$A:$H,8,FALSE)),"")</f>
        <v>Autoevaluación Institucional y Pruebas SABER 11</v>
      </c>
      <c r="I9" s="11" t="str">
        <f>IFERROR(IF(VLOOKUP(A9,[1]PRIORIZADOS!$A:$I,9,FALSE)="","",VLOOKUP(A9,[1]PRIORIZADOS!$A:$I,9,FALSE)),"")</f>
        <v>SEGUIMIENTO_Y_SUPERVISIÓN.</v>
      </c>
      <c r="J9" s="11" t="str">
        <f>IFERROR(IF(VLOOKUP(A9,[1]PRIORIZADOS!$A:$J,10,FALSE)="","",VLOOKUP(A9,[1]PRIORIZADOS!$A:$J,10,FALSE)),"")</f>
        <v xml:space="preserve">Verificar la implementación por parte de los colegios, de acciones realizadas para la prevención y atención de las situaciones de convivencia en el entorno escolar, según lo establecido en la Directiva 01 de 2022 del MEN. </v>
      </c>
      <c r="K9" s="11" t="str">
        <f>IFERROR(IF(VLOOKUP(A9,[1]PRIORIZADOS!$A:$K,11,FALSE)="","",VLOOKUP(A9,[1]PRIORIZADOS!$A:$K,11,FALSE)),"")</f>
        <v>JOHN JAIRO BOBADILLA BERMEO</v>
      </c>
      <c r="L9" s="11" t="str">
        <f>IFERROR(IF(VLOOKUP(A9,[1]PRIORIZADOS!$A:$L,12,FALSE)="","",VLOOKUP(A9,[1]PRIORIZADOS!$A:$L,12,FALSE)),"")</f>
        <v>ORLANDO SUÁREZ SOTO
JOSÉ RODRIGO QUILAGUY BERNAL
JOHN JAIRO BOBADILLA BERMEO</v>
      </c>
      <c r="M9" s="88">
        <f>IFERROR(IF(VLOOKUP(A9,[1]PRIORIZADOS!$A:$M,13,FALSE)="","",VLOOKUP(A9,[1]PRIORIZADOS!$A:$M,13,FALSE)),"")</f>
        <v>45860</v>
      </c>
      <c r="N9" s="88">
        <f>IFERROR(IF(VLOOKUP(A9,[1]PRIORIZADOS!$A:$N,14,FALSE)="","",VLOOKUP(A9,[1]PRIORIZADOS!$A:$N,14,FALSE)),"")</f>
        <v>45790</v>
      </c>
      <c r="O9" s="88">
        <f>IFERROR(IF(VLOOKUP(A9,[1]PRIORIZADOS!$A:$O,15,FALSE)="","",VLOOKUP(A9,[1]PRIORIZADOS!$A:$O,15,FALSE)),"")</f>
        <v>45790</v>
      </c>
      <c r="P9" s="16" t="str">
        <f>IFERROR(IF(VLOOKUP(A9,[1]PRIORIZADOS!$A:$P,16,FALSE)="","",VLOOKUP(A9,[1]PRIORIZADOS!$A:$P,16,FALSE)),"")</f>
        <v>Visitas de evaluación con fines de seguimiento</v>
      </c>
      <c r="Q9" s="89" t="s">
        <v>26</v>
      </c>
      <c r="R9" s="90" t="str">
        <f>IFERROR(IF(VLOOKUP(A9,[1]PRIORIZADOS!$A:$R,18,FALSE)="","",VLOOKUP(A9,[1]PRIORIZADOS!$A:$R,18,FALSE)),"")</f>
        <v>Se evidencio que  realizan consulta  de antecedentes de delitos sexuales del personal docente y administrativo; no obstante, no se encuentra evidencia de la operatividad del Comité de Convivencia Escolar.</v>
      </c>
      <c r="S9" s="11" t="str">
        <f>IFERROR(IF(VLOOKUP(A9,[1]PRIORIZADOS!$A:$S,19,FALSE)="","",VLOOKUP(A9,[1]PRIORIZADOS!$A:$S,19,FALSE)),"")</f>
        <v xml:space="preserve">Continuar haciendo la consulta de antecedentes con la periodicidad establecida (cada 4 meses). Poner en funcionamiento el Comite de Convivencia para la implementación de acciones de prevención y atención de situaciones de convivencia en el entorno escolar. </v>
      </c>
      <c r="T9" s="70" t="str">
        <f>IFERROR(IF(VLOOKUP(A9,[1]PRIORIZADOS!$A:$T,20,FALSE)="","",VLOOKUP(A9,[1]PRIORIZADOS!$A:$T,20,FALSE)),"")</f>
        <v>Si</v>
      </c>
      <c r="U9" s="11" t="str">
        <f>IFERROR(IF(VLOOKUP(A9,[1]PRIORIZADOS!$A:$U,21,FALSE)="","",VLOOKUP(A9,[1]PRIORIZADOS!$A:$U,21,FALSE)),"")</f>
        <v>Verificar las acciones definidas en el plan de mejoramiento una vez sea presentado 06.06.2025
Se realiza seguimiento del PMI, evidenciándose avance, conforme a lo orientado. (16/09/2025) Ver Carpeta POAIV - TRIM III</v>
      </c>
    </row>
    <row r="10" spans="1:21" s="1" customFormat="1" ht="72">
      <c r="A10" s="69">
        <f>IF([1]PRIORIZADOS!A11="","",[1]PRIORIZADOS!A11)</f>
        <v>4</v>
      </c>
      <c r="B10" s="87">
        <v>1</v>
      </c>
      <c r="C10" s="11" t="str">
        <f>IFERROR(IF(VLOOKUP(A10,[1]PRIORIZADOS!$A:$C,3,FALSE)="","",VLOOKUP(A10,[1]PRIORIZADOS!$A:$C,3,FALSE)),"")</f>
        <v>ANTONIO NARIÑO</v>
      </c>
      <c r="D10" s="69" t="str">
        <f>IFERROR(IF(VLOOKUP(A10,[1]PRIORIZADOS!$A:$D,4,FALSE)="","",VLOOKUP(A10,[1]PRIORIZADOS!$A:$D,4,FALSE)),"")</f>
        <v>PRIVADO</v>
      </c>
      <c r="E10" s="69" t="str">
        <f>IFERROR(IF(VLOOKUP(A10,[1]PRIORIZADOS!$A:$E,5,FALSE)="","",VLOOKUP(A10,[1]PRIORIZADOS!$A:$E,5,FALSE)),"")</f>
        <v>Educación de Jóvenes y Adultos</v>
      </c>
      <c r="F10" s="11" t="str">
        <f>IFERROR(IF(VLOOKUP(A10,[1]PRIORIZADOS!$A:$F,6,FALSE)="","",VLOOKUP(A10,[1]PRIORIZADOS!$A:$F,6,FALSE)),"")</f>
        <v>COLEGIO_CENCOSISTEMAS</v>
      </c>
      <c r="G10" s="69" t="str">
        <f>IFERROR(IF(VLOOKUP(A10,[1]PRIORIZADOS!$A:$G,7,FALSE)="","",VLOOKUP(A10,[1]PRIORIZADOS!$A:$G,7,FALSE)),"")</f>
        <v>COLEGIO CENCOSISTEMAS</v>
      </c>
      <c r="H10" s="11" t="str">
        <f>IFERROR(IF(VLOOKUP(A10,[1]PRIORIZADOS!$A:$H,8,FALSE)="","",VLOOKUP(A10,[1]PRIORIZADOS!$A:$H,8,FALSE)),"")</f>
        <v>Autoevaluación Institucional y Pruebas SABER 11</v>
      </c>
      <c r="I10" s="11" t="str">
        <f>IFERROR(IF(VLOOKUP(A10,[1]PRIORIZADOS!$A:$I,9,FALSE)="","",VLOOKUP(A10,[1]PRIORIZADOS!$A:$I,9,FALSE)),"")</f>
        <v>SEGUIMIENTO_Y_SUPERVISIÓN.</v>
      </c>
      <c r="J10" s="11" t="str">
        <f>IFERROR(IF(VLOOKUP(A10,[1]PRIORIZADOS!$A:$J,10,FALSE)="","",VLOOKUP(A10,[1]PRIORIZADOS!$A:$J,10,FALSE)),"")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 s="11" t="str">
        <f>IFERROR(IF(VLOOKUP(A10,[1]PRIORIZADOS!$A:$K,11,FALSE)="","",VLOOKUP(A10,[1]PRIORIZADOS!$A:$K,11,FALSE)),"")</f>
        <v>JOHN JAIRO BOBADILLA BERMEO</v>
      </c>
      <c r="L10" s="11" t="str">
        <f>IFERROR(IF(VLOOKUP(A10,[1]PRIORIZADOS!$A:$L,12,FALSE)="","",VLOOKUP(A10,[1]PRIORIZADOS!$A:$L,12,FALSE)),"")</f>
        <v>ORLANDO SUÁREZ SOTO
JOSÉ RODRIGO QUILAGUY BERNAL
JOHN JAIRO BOBADILLA BERMEO</v>
      </c>
      <c r="M10" s="88">
        <f>IFERROR(IF(VLOOKUP(A10,[1]PRIORIZADOS!$A:$M,13,FALSE)="","",VLOOKUP(A10,[1]PRIORIZADOS!$A:$M,13,FALSE)),"")</f>
        <v>45860</v>
      </c>
      <c r="N10" s="88">
        <f>IFERROR(IF(VLOOKUP(A10,[1]PRIORIZADOS!$A:$N,14,FALSE)="","",VLOOKUP(A10,[1]PRIORIZADOS!$A:$N,14,FALSE)),"")</f>
        <v>45790</v>
      </c>
      <c r="O10" s="88">
        <f>IFERROR(IF(VLOOKUP(A10,[1]PRIORIZADOS!$A:$O,15,FALSE)="","",VLOOKUP(A10,[1]PRIORIZADOS!$A:$O,15,FALSE)),"")</f>
        <v>45790</v>
      </c>
      <c r="P10" s="16" t="str">
        <f>IFERROR(IF(VLOOKUP(A10,[1]PRIORIZADOS!$A:$P,16,FALSE)="","",VLOOKUP(A10,[1]PRIORIZADOS!$A:$P,16,FALSE)),"")</f>
        <v>Visitas de evaluación con fines de seguimiento</v>
      </c>
      <c r="Q10" s="89" t="s">
        <v>26</v>
      </c>
      <c r="R10" s="90" t="str">
        <f>IFERROR(IF(VLOOKUP(A10,[1]PRIORIZADOS!$A:$R,18,FALSE)="","",VLOOKUP(A10,[1]PRIORIZADOS!$A:$R,18,FALSE)),"")</f>
        <v xml:space="preserve">La IE no cuenta con la caracterización de estudiantes de inclusión y la implementación de Planes Individuales de Ajustes Razonables PIAR. </v>
      </c>
      <c r="S10" s="11" t="str">
        <f>IFERROR(IF(VLOOKUP(A10,[1]PRIORIZADOS!$A:$S,19,FALSE)="","",VLOOKUP(A10,[1]PRIORIZADOS!$A:$S,19,FALSE)),"")</f>
        <v>Realizar la caracterización de estudiantes de inclusión e implementar los respectivos Planes Individuales de Ajustes Razonables PIAR.</v>
      </c>
      <c r="T10" s="70" t="str">
        <f>IFERROR(IF(VLOOKUP(A10,[1]PRIORIZADOS!$A:$T,20,FALSE)="","",VLOOKUP(A10,[1]PRIORIZADOS!$A:$T,20,FALSE)),"")</f>
        <v>Si</v>
      </c>
      <c r="U10" s="11" t="str">
        <f>IFERROR(IF(VLOOKUP(A10,[1]PRIORIZADOS!$A:$U,21,FALSE)="","",VLOOKUP(A10,[1]PRIORIZADOS!$A:$U,21,FALSE)),"")</f>
        <v>Verificar las acciones definidas en el plan de mejoramiento una vez sea presentado 06.06.2025
Se realiza seguimiento del PMI, evidenciándose avance, conforme a lo orientado. (16/09/2025) Ver Carpeta POAIV - TRIM III</v>
      </c>
    </row>
    <row r="11" spans="1:21" s="1" customFormat="1" ht="84">
      <c r="A11" s="69">
        <f>IF([1]PRIORIZADOS!A12="","",[1]PRIORIZADOS!A12)</f>
        <v>5</v>
      </c>
      <c r="B11" s="87">
        <v>1</v>
      </c>
      <c r="C11" s="11" t="str">
        <f>IFERROR(IF(VLOOKUP(A11,[1]PRIORIZADOS!$A:$C,3,FALSE)="","",VLOOKUP(A11,[1]PRIORIZADOS!$A:$C,3,FALSE)),"")</f>
        <v>ANTONIO NARIÑO</v>
      </c>
      <c r="D11" s="69" t="str">
        <f>IFERROR(IF(VLOOKUP(A11,[1]PRIORIZADOS!$A:$D,4,FALSE)="","",VLOOKUP(A11,[1]PRIORIZADOS!$A:$D,4,FALSE)),"")</f>
        <v>PRIVADO</v>
      </c>
      <c r="E11" s="69" t="str">
        <f>IFERROR(IF(VLOOKUP(A11,[1]PRIORIZADOS!$A:$E,5,FALSE)="","",VLOOKUP(A11,[1]PRIORIZADOS!$A:$E,5,FALSE)),"")</f>
        <v>Educación de Jóvenes y Adultos</v>
      </c>
      <c r="F11" s="11" t="str">
        <f>IFERROR(IF(VLOOKUP(A11,[1]PRIORIZADOS!$A:$F,6,FALSE)="","",VLOOKUP(A11,[1]PRIORIZADOS!$A:$F,6,FALSE)),"")</f>
        <v>COLEGIO_CENCOSISTEMAS</v>
      </c>
      <c r="G11" s="69" t="str">
        <f>IFERROR(IF(VLOOKUP(A11,[1]PRIORIZADOS!$A:$G,7,FALSE)="","",VLOOKUP(A11,[1]PRIORIZADOS!$A:$G,7,FALSE)),"")</f>
        <v>COLEGIO CENCOSISTEMAS</v>
      </c>
      <c r="H11" s="11" t="str">
        <f>IFERROR(IF(VLOOKUP(A11,[1]PRIORIZADOS!$A:$H,8,FALSE)="","",VLOOKUP(A11,[1]PRIORIZADOS!$A:$H,8,FALSE)),"")</f>
        <v>Autoevaluación Institucional y Pruebas SABER 11</v>
      </c>
      <c r="I11" s="11" t="str">
        <f>IFERROR(IF(VLOOKUP(A11,[1]PRIORIZADOS!$A:$I,9,FALSE)="","",VLOOKUP(A11,[1]PRIORIZADOS!$A:$I,9,FALSE)),"")</f>
        <v>EVALUACIÓN_CON_FINES_DE_MEJORAMIENTO.</v>
      </c>
      <c r="J11" s="11" t="str">
        <f>IFERROR(IF(VLOOKUP(A11,[1]PRIORIZADOS!$A:$J,10,FALSE)="","",VLOOKUP(A11,[1]PRIORIZADOS!$A:$J,10,FALSE)),"")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 s="11" t="str">
        <f>IFERROR(IF(VLOOKUP(A11,[1]PRIORIZADOS!$A:$K,11,FALSE)="","",VLOOKUP(A11,[1]PRIORIZADOS!$A:$K,11,FALSE)),"")</f>
        <v>JOHN JAIRO BOBADILLA BERMEO</v>
      </c>
      <c r="L11" s="11" t="str">
        <f>IFERROR(IF(VLOOKUP(A11,[1]PRIORIZADOS!$A:$L,12,FALSE)="","",VLOOKUP(A11,[1]PRIORIZADOS!$A:$L,12,FALSE)),"")</f>
        <v>ORLANDO SUÁREZ SOTO
JOSÉ RODRIGO QUILAGUY BERNAL
JOHN JAIRO BOBADILLA BERMEO</v>
      </c>
      <c r="M11" s="88">
        <f>IFERROR(IF(VLOOKUP(A11,[1]PRIORIZADOS!$A:$M,13,FALSE)="","",VLOOKUP(A11,[1]PRIORIZADOS!$A:$M,13,FALSE)),"")</f>
        <v>45860</v>
      </c>
      <c r="N11" s="88">
        <f>IFERROR(IF(VLOOKUP(A11,[1]PRIORIZADOS!$A:$N,14,FALSE)="","",VLOOKUP(A11,[1]PRIORIZADOS!$A:$N,14,FALSE)),"")</f>
        <v>45790</v>
      </c>
      <c r="O11" s="88">
        <f>IFERROR(IF(VLOOKUP(A11,[1]PRIORIZADOS!$A:$O,15,FALSE)="","",VLOOKUP(A11,[1]PRIORIZADOS!$A:$O,15,FALSE)),"")</f>
        <v>45790</v>
      </c>
      <c r="P11" s="16" t="str">
        <f>IFERROR(IF(VLOOKUP(A11,[1]PRIORIZADOS!$A:$P,16,FALSE)="","",VLOOKUP(A11,[1]PRIORIZADOS!$A:$P,16,FALSE)),"")</f>
        <v>Visitas de evaluación con fines de mejoramiento</v>
      </c>
      <c r="Q11" s="89" t="s">
        <v>26</v>
      </c>
      <c r="R11" s="90" t="str">
        <f>IFERROR(IF(VLOOKUP(A11,[1]PRIORIZADOS!$A:$R,18,FALSE)="","",VLOOKUP(A11,[1]PRIORIZADOS!$A:$R,18,FALSE)),"")</f>
        <v>El Manual de Convivencia no se encuentra actualizado, se requiere realizar ajustes en cuanto a los componentes  normativos y enfoques (restaurativo  de diversidad y   de derechos).</v>
      </c>
      <c r="S11" s="11" t="str">
        <f>IFERROR(IF(VLOOKUP(A11,[1]PRIORIZADOS!$A:$S,19,FALSE)="","",VLOOKUP(A11,[1]PRIORIZADOS!$A:$S,19,FALSE)),"")</f>
        <v xml:space="preserve">Realizar la actualización anual del Manual de Convivencia con la participación de la Comunidad Educativa, teniendo en cuenta  los  componentes normativos,  los enfoques restaurativo  de diversidad y  de derechos. </v>
      </c>
      <c r="T11" s="70" t="str">
        <f>IFERROR(IF(VLOOKUP(A11,[1]PRIORIZADOS!$A:$T,20,FALSE)="","",VLOOKUP(A11,[1]PRIORIZADOS!$A:$T,20,FALSE)),"")</f>
        <v>Si</v>
      </c>
      <c r="U11" s="11" t="str">
        <f>IFERROR(IF(VLOOKUP(A11,[1]PRIORIZADOS!$A:$U,21,FALSE)="","",VLOOKUP(A11,[1]PRIORIZADOS!$A:$U,21,FALSE)),"")</f>
        <v>Verificar las acciones definidas en el plan de mejoramiento una vez sea presentado 06.06.2025 
Se realiza seguimiento del PMI, evidenciándose avance, conforme a lo orientado. (16/09/2025) Ver Carpeta POAIV - TRIM III</v>
      </c>
    </row>
    <row r="12" spans="1:21" s="1" customFormat="1" ht="84">
      <c r="A12" s="69">
        <f>IF([1]PRIORIZADOS!A13="","",[1]PRIORIZADOS!A13)</f>
        <v>6</v>
      </c>
      <c r="B12" s="87">
        <v>1</v>
      </c>
      <c r="C12" s="11" t="str">
        <f>IFERROR(IF(VLOOKUP(A12,[1]PRIORIZADOS!$A:$C,3,FALSE)="","",VLOOKUP(A12,[1]PRIORIZADOS!$A:$C,3,FALSE)),"")</f>
        <v>ANTONIO NARIÑO</v>
      </c>
      <c r="D12" s="69" t="str">
        <f>IFERROR(IF(VLOOKUP(A12,[1]PRIORIZADOS!$A:$D,4,FALSE)="","",VLOOKUP(A12,[1]PRIORIZADOS!$A:$D,4,FALSE)),"")</f>
        <v>PRIVADO</v>
      </c>
      <c r="E12" s="69" t="str">
        <f>IFERROR(IF(VLOOKUP(A12,[1]PRIORIZADOS!$A:$E,5,FALSE)="","",VLOOKUP(A12,[1]PRIORIZADOS!$A:$E,5,FALSE)),"")</f>
        <v>Educación de Jóvenes y Adultos</v>
      </c>
      <c r="F12" s="11" t="str">
        <f>IFERROR(IF(VLOOKUP(A12,[1]PRIORIZADOS!$A:$F,6,FALSE)="","",VLOOKUP(A12,[1]PRIORIZADOS!$A:$F,6,FALSE)),"")</f>
        <v>COLEGIO_CENCOSISTEMAS</v>
      </c>
      <c r="G12" s="69" t="str">
        <f>IFERROR(IF(VLOOKUP(A12,[1]PRIORIZADOS!$A:$G,7,FALSE)="","",VLOOKUP(A12,[1]PRIORIZADOS!$A:$G,7,FALSE)),"")</f>
        <v>COLEGIO CENCOSISTEMAS</v>
      </c>
      <c r="H12" s="11" t="str">
        <f>IFERROR(IF(VLOOKUP(A12,[1]PRIORIZADOS!$A:$H,8,FALSE)="","",VLOOKUP(A12,[1]PRIORIZADOS!$A:$H,8,FALSE)),"")</f>
        <v>Autoevaluación Institucional y Pruebas SABER 11</v>
      </c>
      <c r="I12" s="11" t="str">
        <f>IFERROR(IF(VLOOKUP(A12,[1]PRIORIZADOS!$A:$I,9,FALSE)="","",VLOOKUP(A12,[1]PRIORIZADOS!$A:$I,9,FALSE)),"")</f>
        <v>EVALUACIÓN_CON_FINES_DE_MEJORAMIENTO.</v>
      </c>
      <c r="J12" s="11" t="str">
        <f>IFERROR(IF(VLOOKUP(A12,[1]PRIORIZADOS!$A:$J,10,FALSE)="","",VLOOKUP(A12,[1]PRIORIZADOS!$A:$J,10,FALSE)),"")</f>
        <v>Revisar la actualización, socialización e implementación del Sistema Institucional de Evaluación de Estudiantes - SIEE, en articulación con la actualización del PEI y la normatividad vigente.</v>
      </c>
      <c r="K12" s="11" t="str">
        <f>IFERROR(IF(VLOOKUP(A12,[1]PRIORIZADOS!$A:$K,11,FALSE)="","",VLOOKUP(A12,[1]PRIORIZADOS!$A:$K,11,FALSE)),"")</f>
        <v>JOHN JAIRO BOBADILLA BERMEO</v>
      </c>
      <c r="L12" s="11" t="str">
        <f>IFERROR(IF(VLOOKUP(A12,[1]PRIORIZADOS!$A:$L,12,FALSE)="","",VLOOKUP(A12,[1]PRIORIZADOS!$A:$L,12,FALSE)),"")</f>
        <v>ORLANDO SUÁREZ SOTO
JOSÉ RODRIGO QUILAGUY BERNAL
JOHN JAIRO BOBADILLA BERMEO</v>
      </c>
      <c r="M12" s="88">
        <f>IFERROR(IF(VLOOKUP(A12,[1]PRIORIZADOS!$A:$M,13,FALSE)="","",VLOOKUP(A12,[1]PRIORIZADOS!$A:$M,13,FALSE)),"")</f>
        <v>45860</v>
      </c>
      <c r="N12" s="88">
        <f>IFERROR(IF(VLOOKUP(A12,[1]PRIORIZADOS!$A:$N,14,FALSE)="","",VLOOKUP(A12,[1]PRIORIZADOS!$A:$N,14,FALSE)),"")</f>
        <v>45790</v>
      </c>
      <c r="O12" s="88">
        <f>IFERROR(IF(VLOOKUP(A12,[1]PRIORIZADOS!$A:$O,15,FALSE)="","",VLOOKUP(A12,[1]PRIORIZADOS!$A:$O,15,FALSE)),"")</f>
        <v>45790</v>
      </c>
      <c r="P12" s="16" t="str">
        <f>IFERROR(IF(VLOOKUP(A12,[1]PRIORIZADOS!$A:$P,16,FALSE)="","",VLOOKUP(A12,[1]PRIORIZADOS!$A:$P,16,FALSE)),"")</f>
        <v>Visitas de evaluación con fines de mejoramiento</v>
      </c>
      <c r="Q12" s="89" t="s">
        <v>26</v>
      </c>
      <c r="R12" s="90" t="str">
        <f>IFERROR(IF(VLOOKUP(A12,[1]PRIORIZADOS!$A:$R,18,FALSE)="","",VLOOKUP(A12,[1]PRIORIZADOS!$A:$R,18,FALSE)),"")</f>
        <v>El SIEE no cuenta con el protocolo para que los estudiantes y padres familia puedan presentar un reclamo sobre una nota. Decreto 1075 de 2015. El boletín de notas no debe contener la valoración de los proyectos transversales, sólo asignaturas y áreas.</v>
      </c>
      <c r="S12" s="11" t="str">
        <f>IFERROR(IF(VLOOKUP(A12,[1]PRIORIZADOS!$A:$S,19,FALSE)="","",VLOOKUP(A12,[1]PRIORIZADOS!$A:$S,19,FALSE)),"")</f>
        <v>Verificar cada uno de los componentes del SIEE indicados en el Decreto 1075 de 2015 y ajustar el Boletin de notas a la normatividad vigente.</v>
      </c>
      <c r="T12" s="70" t="str">
        <f>IFERROR(IF(VLOOKUP(A12,[1]PRIORIZADOS!$A:$T,20,FALSE)="","",VLOOKUP(A12,[1]PRIORIZADOS!$A:$T,20,FALSE)),"")</f>
        <v>Si</v>
      </c>
      <c r="U12" s="11" t="str">
        <f>IFERROR(IF(VLOOKUP(A12,[1]PRIORIZADOS!$A:$U,21,FALSE)="","",VLOOKUP(A12,[1]PRIORIZADOS!$A:$U,21,FALSE)),"")</f>
        <v>Verificar las acciones definidas en el plan de mejoramiento una vez sea presentado 06.06.2025, en particular el ajuste al boletin de calificaciones. 
Se realiza seguimiento del PMI, evidenciándose avance, conforme a lo orientado. (16/09/2025) Ver Carpeta POAIV - TRIM III</v>
      </c>
    </row>
    <row r="13" spans="1:21" s="1" customFormat="1" ht="60">
      <c r="A13" s="69">
        <f>IF([1]PRIORIZADOS!A14="","",[1]PRIORIZADOS!A14)</f>
        <v>7</v>
      </c>
      <c r="B13" s="87">
        <v>1</v>
      </c>
      <c r="C13" s="11" t="str">
        <f>IFERROR(IF(VLOOKUP(A13,[1]PRIORIZADOS!$A:$C,3,FALSE)="","",VLOOKUP(A13,[1]PRIORIZADOS!$A:$C,3,FALSE)),"")</f>
        <v>ANTONIO NARIÑO</v>
      </c>
      <c r="D13" s="69" t="str">
        <f>IFERROR(IF(VLOOKUP(A13,[1]PRIORIZADOS!$A:$D,4,FALSE)="","",VLOOKUP(A13,[1]PRIORIZADOS!$A:$D,4,FALSE)),"")</f>
        <v>PRIVADO</v>
      </c>
      <c r="E13" s="69" t="str">
        <f>IFERROR(IF(VLOOKUP(A13,[1]PRIORIZADOS!$A:$E,5,FALSE)="","",VLOOKUP(A13,[1]PRIORIZADOS!$A:$E,5,FALSE)),"")</f>
        <v>Educación de Jóvenes y Adultos</v>
      </c>
      <c r="F13" s="11" t="str">
        <f>IFERROR(IF(VLOOKUP(A13,[1]PRIORIZADOS!$A:$F,6,FALSE)="","",VLOOKUP(A13,[1]PRIORIZADOS!$A:$F,6,FALSE)),"")</f>
        <v>COLEGIO_CENCOSISTEMAS</v>
      </c>
      <c r="G13" s="69" t="str">
        <f>IFERROR(IF(VLOOKUP(A13,[1]PRIORIZADOS!$A:$G,7,FALSE)="","",VLOOKUP(A13,[1]PRIORIZADOS!$A:$G,7,FALSE)),"")</f>
        <v>COLEGIO CENCOSISTEMAS</v>
      </c>
      <c r="H13" s="11" t="str">
        <f>IFERROR(IF(VLOOKUP(A13,[1]PRIORIZADOS!$A:$H,8,FALSE)="","",VLOOKUP(A13,[1]PRIORIZADOS!$A:$H,8,FALSE)),"")</f>
        <v>Autoevaluación Institucional y Pruebas SABER 11</v>
      </c>
      <c r="I13" s="11" t="str">
        <f>IFERROR(IF(VLOOKUP(A13,[1]PRIORIZADOS!$A:$I,9,FALSE)="","",VLOOKUP(A13,[1]PRIORIZADOS!$A:$I,9,FALSE)),"")</f>
        <v>EVALUACIÓN_CON_FINES_DE_MEJORAMIENTO.</v>
      </c>
      <c r="J13" s="11" t="str">
        <f>IFERROR(IF(VLOOKUP(A13,[1]PRIORIZADOS!$A:$J,10,FALSE)="","",VLOOKUP(A13,[1]PRIORIZADOS!$A:$J,10,FALSE)),"")</f>
        <v>Revisar el calendario escolar, jornada escolar, la intensidad horaria mínima anual en cada nivel y las modificaciones que se realicen al mismo, de acuerdo con lo previsto en la normatividad vigente.</v>
      </c>
      <c r="K13" s="11" t="str">
        <f>IFERROR(IF(VLOOKUP(A13,[1]PRIORIZADOS!$A:$K,11,FALSE)="","",VLOOKUP(A13,[1]PRIORIZADOS!$A:$K,11,FALSE)),"")</f>
        <v>JOHN JAIRO BOBADILLA BERMEO</v>
      </c>
      <c r="L13" s="11" t="str">
        <f>IFERROR(IF(VLOOKUP(A13,[1]PRIORIZADOS!$A:$L,12,FALSE)="","",VLOOKUP(A13,[1]PRIORIZADOS!$A:$L,12,FALSE)),"")</f>
        <v>ORLANDO SUÁREZ SOTO
JOSÉ RODRIGO QUILAGUY BERNAL
JOHN JAIRO BOBADILLA BERMEO</v>
      </c>
      <c r="M13" s="88">
        <f>IFERROR(IF(VLOOKUP(A13,[1]PRIORIZADOS!$A:$M,13,FALSE)="","",VLOOKUP(A13,[1]PRIORIZADOS!$A:$M,13,FALSE)),"")</f>
        <v>45860</v>
      </c>
      <c r="N13" s="88">
        <f>IFERROR(IF(VLOOKUP(A13,[1]PRIORIZADOS!$A:$N,14,FALSE)="","",VLOOKUP(A13,[1]PRIORIZADOS!$A:$N,14,FALSE)),"")</f>
        <v>45790</v>
      </c>
      <c r="O13" s="88">
        <f>IFERROR(IF(VLOOKUP(A13,[1]PRIORIZADOS!$A:$O,15,FALSE)="","",VLOOKUP(A13,[1]PRIORIZADOS!$A:$O,15,FALSE)),"")</f>
        <v>45790</v>
      </c>
      <c r="P13" s="16" t="str">
        <f>IFERROR(IF(VLOOKUP(A13,[1]PRIORIZADOS!$A:$P,16,FALSE)="","",VLOOKUP(A13,[1]PRIORIZADOS!$A:$P,16,FALSE)),"")</f>
        <v>Visitas de evaluación con fines de mejoramiento</v>
      </c>
      <c r="Q13" s="89" t="s">
        <v>26</v>
      </c>
      <c r="R13" s="90" t="str">
        <f>IFERROR(IF(VLOOKUP(A13,[1]PRIORIZADOS!$A:$R,18,FALSE)="","",VLOOKUP(A13,[1]PRIORIZADOS!$A:$R,18,FALSE)),"")</f>
        <v>La IE cuenta con una intensidad horaria inferior a la indicada por la normatividad vigente que corresponde a 800 horas. Actualmente se cuenta con 764 horas.</v>
      </c>
      <c r="S13" s="11" t="str">
        <f>IFERROR(IF(VLOOKUP(A13,[1]PRIORIZADOS!$A:$S,19,FALSE)="","",VLOOKUP(A13,[1]PRIORIZADOS!$A:$S,19,FALSE)),"")</f>
        <v>Ajustar, socializar e implemetar el  calendario académico de manera que  cumpla con la intensidad horaria indicada en  la normatividad vigente.</v>
      </c>
      <c r="T13" s="70" t="str">
        <f>IFERROR(IF(VLOOKUP(A13,[1]PRIORIZADOS!$A:$T,20,FALSE)="","",VLOOKUP(A13,[1]PRIORIZADOS!$A:$T,20,FALSE)),"")</f>
        <v>Si</v>
      </c>
      <c r="U13" s="11" t="str">
        <f>IFERROR(IF(VLOOKUP(A13,[1]PRIORIZADOS!$A:$U,21,FALSE)="","",VLOOKUP(A13,[1]PRIORIZADOS!$A:$U,21,FALSE)),"")</f>
        <v>Verificar las acciones definidas en el plan de mejoramiento una vez sea presentado 06.06.2025</v>
      </c>
    </row>
    <row r="14" spans="1:21" s="1" customFormat="1" ht="72">
      <c r="A14" s="69">
        <f>IF([1]PRIORIZADOS!A15="","",[1]PRIORIZADOS!A15)</f>
        <v>8</v>
      </c>
      <c r="B14" s="87">
        <v>1</v>
      </c>
      <c r="C14" s="11" t="str">
        <f>IFERROR(IF(VLOOKUP(A14,[1]PRIORIZADOS!$A:$C,3,FALSE)="","",VLOOKUP(A14,[1]PRIORIZADOS!$A:$C,3,FALSE)),"")</f>
        <v>ANTONIO NARIÑO</v>
      </c>
      <c r="D14" s="69" t="str">
        <f>IFERROR(IF(VLOOKUP(A14,[1]PRIORIZADOS!$A:$D,4,FALSE)="","",VLOOKUP(A14,[1]PRIORIZADOS!$A:$D,4,FALSE)),"")</f>
        <v>PRIVADO</v>
      </c>
      <c r="E14" s="69" t="str">
        <f>IFERROR(IF(VLOOKUP(A14,[1]PRIORIZADOS!$A:$E,5,FALSE)="","",VLOOKUP(A14,[1]PRIORIZADOS!$A:$E,5,FALSE)),"")</f>
        <v>Educación de Jóvenes y Adultos</v>
      </c>
      <c r="F14" s="11" t="str">
        <f>IFERROR(IF(VLOOKUP(A14,[1]PRIORIZADOS!$A:$F,6,FALSE)="","",VLOOKUP(A14,[1]PRIORIZADOS!$A:$F,6,FALSE)),"")</f>
        <v>COLEGIO_CENCOSISTEMAS</v>
      </c>
      <c r="G14" s="69" t="str">
        <f>IFERROR(IF(VLOOKUP(A14,[1]PRIORIZADOS!$A:$G,7,FALSE)="","",VLOOKUP(A14,[1]PRIORIZADOS!$A:$G,7,FALSE)),"")</f>
        <v>COLEGIO CENCOSISTEMAS</v>
      </c>
      <c r="H14" s="11" t="str">
        <f>IFERROR(IF(VLOOKUP(A14,[1]PRIORIZADOS!$A:$H,8,FALSE)="","",VLOOKUP(A14,[1]PRIORIZADOS!$A:$H,8,FALSE)),"")</f>
        <v>Autoevaluación Institucional y Pruebas SABER 11</v>
      </c>
      <c r="I14" s="11" t="str">
        <f>IFERROR(IF(VLOOKUP(A14,[1]PRIORIZADOS!$A:$I,9,FALSE)="","",VLOOKUP(A14,[1]PRIORIZADOS!$A:$I,9,FALSE)),"")</f>
        <v>EVALUACIÓN_CON_FINES_DE_MEJORAMIENTO.</v>
      </c>
      <c r="J14" s="11" t="str">
        <f>IFERROR(IF(VLOOKUP(A14,[1]PRIORIZADOS!$A:$J,10,FALSE)="","",VLOOKUP(A14,[1]PRIORIZADOS!$A:$J,10,FALSE)),"")</f>
        <v>Verificar el funcionamiento del Gobierno Escolar e instancias de participación con base en la información sobre conformación reportada por la institución educativa.</v>
      </c>
      <c r="K14" s="11" t="str">
        <f>IFERROR(IF(VLOOKUP(A14,[1]PRIORIZADOS!$A:$K,11,FALSE)="","",VLOOKUP(A14,[1]PRIORIZADOS!$A:$K,11,FALSE)),"")</f>
        <v>JOHN JAIRO BOBADILLA BERMEO</v>
      </c>
      <c r="L14" s="11" t="str">
        <f>IFERROR(IF(VLOOKUP(A14,[1]PRIORIZADOS!$A:$L,12,FALSE)="","",VLOOKUP(A14,[1]PRIORIZADOS!$A:$L,12,FALSE)),"")</f>
        <v>ORLANDO SUÁREZ SOTO
JOSÉ RODRIGO QUILAGUY BERNAL
JOHN JAIRO BOBADILLA BERMEO</v>
      </c>
      <c r="M14" s="88">
        <f>IFERROR(IF(VLOOKUP(A14,[1]PRIORIZADOS!$A:$M,13,FALSE)="","",VLOOKUP(A14,[1]PRIORIZADOS!$A:$M,13,FALSE)),"")</f>
        <v>45860</v>
      </c>
      <c r="N14" s="88">
        <f>IFERROR(IF(VLOOKUP(A14,[1]PRIORIZADOS!$A:$N,14,FALSE)="","",VLOOKUP(A14,[1]PRIORIZADOS!$A:$N,14,FALSE)),"")</f>
        <v>45790</v>
      </c>
      <c r="O14" s="88">
        <f>IFERROR(IF(VLOOKUP(A14,[1]PRIORIZADOS!$A:$O,15,FALSE)="","",VLOOKUP(A14,[1]PRIORIZADOS!$A:$O,15,FALSE)),"")</f>
        <v>45790</v>
      </c>
      <c r="P14" s="16" t="str">
        <f>IFERROR(IF(VLOOKUP(A14,[1]PRIORIZADOS!$A:$P,16,FALSE)="","",VLOOKUP(A14,[1]PRIORIZADOS!$A:$P,16,FALSE)),"")</f>
        <v>Visitas de evaluación con fines de mejoramiento</v>
      </c>
      <c r="Q14" s="89" t="s">
        <v>26</v>
      </c>
      <c r="R14" s="90" t="str">
        <f>IFERROR(IF(VLOOKUP(A14,[1]PRIORIZADOS!$A:$R,18,FALSE)="","",VLOOKUP(A14,[1]PRIORIZADOS!$A:$R,18,FALSE)),"")</f>
        <v>No se evidencia conformación ni operatividad del Gobierno Escolar  ni de las instancias de participación de la comunidad educativa.</v>
      </c>
      <c r="S14" s="11" t="str">
        <f>IFERROR(IF(VLOOKUP(A14,[1]PRIORIZADOS!$A:$S,19,FALSE)="","",VLOOKUP(A14,[1]PRIORIZADOS!$A:$S,19,FALSE)),"")</f>
        <v>Se requiere adelantar las acciones pertinentes para activar la particiación del Gobierno Escolar y las instancias de participación de la comunidad educativa, dejando evidencia en actas de cada instancia.</v>
      </c>
      <c r="T14" s="70" t="str">
        <f>IFERROR(IF(VLOOKUP(A14,[1]PRIORIZADOS!$A:$T,20,FALSE)="","",VLOOKUP(A14,[1]PRIORIZADOS!$A:$T,20,FALSE)),"")</f>
        <v>Si</v>
      </c>
      <c r="U14" s="11" t="str">
        <f>IFERROR(IF(VLOOKUP(A14,[1]PRIORIZADOS!$A:$U,21,FALSE)="","",VLOOKUP(A14,[1]PRIORIZADOS!$A:$U,21,FALSE)),"")</f>
        <v xml:space="preserve">Verificar las acciones definidas en el plan de mejoramiento una vez sea presentado 06.06.2025. Remitir las actas que dan cuenta del funcionamiento del Gobierno Escolar </v>
      </c>
    </row>
    <row r="15" spans="1:21" s="1" customFormat="1" ht="60">
      <c r="A15" s="69">
        <f>IF([1]PRIORIZADOS!A16="","",[1]PRIORIZADOS!A16)</f>
        <v>9</v>
      </c>
      <c r="B15" s="87">
        <v>1</v>
      </c>
      <c r="C15" s="11" t="str">
        <f>IFERROR(IF(VLOOKUP(A15,[1]PRIORIZADOS!$A:$C,3,FALSE)="","",VLOOKUP(A15,[1]PRIORIZADOS!$A:$C,3,FALSE)),"")</f>
        <v>ANTONIO NARIÑO</v>
      </c>
      <c r="D15" s="69" t="str">
        <f>IFERROR(IF(VLOOKUP(A15,[1]PRIORIZADOS!$A:$D,4,FALSE)="","",VLOOKUP(A15,[1]PRIORIZADOS!$A:$D,4,FALSE)),"")</f>
        <v>PRIVADO</v>
      </c>
      <c r="E15" s="69" t="str">
        <f>IFERROR(IF(VLOOKUP(A15,[1]PRIORIZADOS!$A:$E,5,FALSE)="","",VLOOKUP(A15,[1]PRIORIZADOS!$A:$E,5,FALSE)),"")</f>
        <v>Educación de Jóvenes y Adultos</v>
      </c>
      <c r="F15" s="11" t="str">
        <f>IFERROR(IF(VLOOKUP(A15,[1]PRIORIZADOS!$A:$F,6,FALSE)="","",VLOOKUP(A15,[1]PRIORIZADOS!$A:$F,6,FALSE)),"")</f>
        <v>COLEGIO_CENCOSISTEMAS</v>
      </c>
      <c r="G15" s="69" t="str">
        <f>IFERROR(IF(VLOOKUP(A15,[1]PRIORIZADOS!$A:$G,7,FALSE)="","",VLOOKUP(A15,[1]PRIORIZADOS!$A:$G,7,FALSE)),"")</f>
        <v>COLEGIO CENCOSISTEMAS</v>
      </c>
      <c r="H15" s="11" t="str">
        <f>IFERROR(IF(VLOOKUP(A15,[1]PRIORIZADOS!$A:$H,8,FALSE)="","",VLOOKUP(A15,[1]PRIORIZADOS!$A:$H,8,FALSE)),"")</f>
        <v>Autoevaluación Institucional y Pruebas SABER 11</v>
      </c>
      <c r="I15" s="11" t="str">
        <f>IFERROR(IF(VLOOKUP(A15,[1]PRIORIZADOS!$A:$I,9,FALSE)="","",VLOOKUP(A15,[1]PRIORIZADOS!$A:$I,9,FALSE)),"")</f>
        <v>EVALUACIÓN_CON_FINES_DE_MEJORAMIENTO.</v>
      </c>
      <c r="J15" s="11" t="str">
        <f>IFERROR(IF(VLOOKUP(A15,[1]PRIORIZADOS!$A:$J,10,FALSE)="","",VLOOKUP(A15,[1]PRIORIZADOS!$A:$J,10,FALSE)),"")</f>
        <v>Verificar las condiciones en cuanto a: la estructura administrativa, condiciones de la planta física y medios educativos adecuados.</v>
      </c>
      <c r="K15" s="11" t="str">
        <f>IFERROR(IF(VLOOKUP(A15,[1]PRIORIZADOS!$A:$K,11,FALSE)="","",VLOOKUP(A15,[1]PRIORIZADOS!$A:$K,11,FALSE)),"")</f>
        <v>JOHN JAIRO BOBADILLA BERMEO</v>
      </c>
      <c r="L15" s="11" t="str">
        <f>IFERROR(IF(VLOOKUP(A15,[1]PRIORIZADOS!$A:$L,12,FALSE)="","",VLOOKUP(A15,[1]PRIORIZADOS!$A:$L,12,FALSE)),"")</f>
        <v>ORLANDO SUÁREZ SOTO
JOSÉ RODRIGO QUILAGUY BERNAL
JOHN JAIRO BOBADILLA BERMEO</v>
      </c>
      <c r="M15" s="88">
        <f>IFERROR(IF(VLOOKUP(A15,[1]PRIORIZADOS!$A:$M,13,FALSE)="","",VLOOKUP(A15,[1]PRIORIZADOS!$A:$M,13,FALSE)),"")</f>
        <v>45860</v>
      </c>
      <c r="N15" s="88">
        <f>IFERROR(IF(VLOOKUP(A15,[1]PRIORIZADOS!$A:$N,14,FALSE)="","",VLOOKUP(A15,[1]PRIORIZADOS!$A:$N,14,FALSE)),"")</f>
        <v>45790</v>
      </c>
      <c r="O15" s="88">
        <f>IFERROR(IF(VLOOKUP(A15,[1]PRIORIZADOS!$A:$O,15,FALSE)="","",VLOOKUP(A15,[1]PRIORIZADOS!$A:$O,15,FALSE)),"")</f>
        <v>45790</v>
      </c>
      <c r="P15" s="16" t="str">
        <f>IFERROR(IF(VLOOKUP(A15,[1]PRIORIZADOS!$A:$P,16,FALSE)="","",VLOOKUP(A15,[1]PRIORIZADOS!$A:$P,16,FALSE)),"")</f>
        <v>Visitas de evaluación con fines de mejoramiento</v>
      </c>
      <c r="Q15" s="89" t="s">
        <v>26</v>
      </c>
      <c r="R15" s="90" t="str">
        <f>IFERROR(IF(VLOOKUP(A15,[1]PRIORIZADOS!$A:$R,18,FALSE)="","",VLOOKUP(A15,[1]PRIORIZADOS!$A:$R,18,FALSE)),"")</f>
        <v xml:space="preserve">La dotacion en los ambientes de aprendizaje no es suficiente y no tiene en cuenta a la población con discapacidad. </v>
      </c>
      <c r="S15" s="11" t="str">
        <f>IFERROR(IF(VLOOKUP(A15,[1]PRIORIZADOS!$A:$S,19,FALSE)="","",VLOOKUP(A15,[1]PRIORIZADOS!$A:$S,19,FALSE)),"")</f>
        <v>Adelantar acciones en el ajuste de infraestructura  que permitan el acceso y la participación activa de estudiantes de inclusión en los distintos ambientes escolares.</v>
      </c>
      <c r="T15" s="70" t="str">
        <f>IFERROR(IF(VLOOKUP(A15,[1]PRIORIZADOS!$A:$T,20,FALSE)="","",VLOOKUP(A15,[1]PRIORIZADOS!$A:$T,20,FALSE)),"")</f>
        <v>Si</v>
      </c>
      <c r="U15" s="11" t="str">
        <f>IFERROR(IF(VLOOKUP(A15,[1]PRIORIZADOS!$A:$U,21,FALSE)="","",VLOOKUP(A15,[1]PRIORIZADOS!$A:$U,21,FALSE)),"")</f>
        <v>Verificar las acciones definidas en el plan de mejoramiento una vez sea presentado 06.06.2025</v>
      </c>
    </row>
    <row r="16" spans="1:21" s="1" customFormat="1" ht="72">
      <c r="A16" s="69">
        <f>IF([1]PRIORIZADOS!A17="","",[1]PRIORIZADOS!A17)</f>
        <v>10</v>
      </c>
      <c r="B16" s="87">
        <f>IFERROR(IF(VLOOKUP(A16,[1]PRIORIZADOS!$A:$B,2,FALSE)="","",VLOOKUP(A16,[1]PRIORIZADOS!$A:$B,2,FALSE)),"")</f>
        <v>2</v>
      </c>
      <c r="C16" s="11" t="str">
        <f>IFERROR(IF(VLOOKUP(A16,[1]PRIORIZADOS!$A:$C,3,FALSE)="","",VLOOKUP(A16,[1]PRIORIZADOS!$A:$C,3,FALSE)),"")</f>
        <v>ANTONIO NARIÑO</v>
      </c>
      <c r="D16" s="69" t="str">
        <f>IFERROR(IF(VLOOKUP(A16,[1]PRIORIZADOS!$A:$D,4,FALSE)="","",VLOOKUP(A16,[1]PRIORIZADOS!$A:$D,4,FALSE)),"")</f>
        <v>PRIVADO</v>
      </c>
      <c r="E16" s="69" t="str">
        <f>IFERROR(IF(VLOOKUP(A16,[1]PRIORIZADOS!$A:$E,5,FALSE)="","",VLOOKUP(A16,[1]PRIORIZADOS!$A:$E,5,FALSE)),"")</f>
        <v>Educación de Jóvenes y Adultos</v>
      </c>
      <c r="F16" s="11" t="str">
        <f>IFERROR(IF(VLOOKUP(A16,[1]PRIORIZADOS!$A:$F,6,FALSE)="","",VLOOKUP(A16,[1]PRIORIZADOS!$A:$F,6,FALSE)),"")</f>
        <v>CENTRO_PANAMERICANO_DE_CAPACITACION</v>
      </c>
      <c r="G16" s="69" t="str">
        <f>IFERROR(IF(VLOOKUP(A16,[1]PRIORIZADOS!$A:$G,7,FALSE)="","",VLOOKUP(A16,[1]PRIORIZADOS!$A:$G,7,FALSE)),"")</f>
        <v>CENTRO PANAMERICANO DE CAPACITACION</v>
      </c>
      <c r="H16" s="11" t="str">
        <f>IFERROR(IF(VLOOKUP(A16,[1]PRIORIZADOS!$A:$H,8,FALSE)="","",VLOOKUP(A16,[1]PRIORIZADOS!$A:$H,8,FALSE)),"")</f>
        <v>Autoevaluación Institucional y Pruebas SABER 11</v>
      </c>
      <c r="I16" s="11" t="str">
        <f>IFERROR(IF(VLOOKUP(A16,[1]PRIORIZADOS!$A:$I,9,FALSE)="","",VLOOKUP(A16,[1]PRIORIZADOS!$A:$I,9,FALSE)),"")</f>
        <v>SEGUIMIENTO_Y_SUPERVISIÓN.</v>
      </c>
      <c r="J16" s="11" t="str">
        <f>IFERROR(IF(VLOOKUP(A16,[1]PRIORIZADOS!$A:$J,10,FALSE)="","",VLOOKUP(A16,[1]PRIORIZADOS!$A:$J,10,FALSE)),"")</f>
        <v>Realizar visitas para verificar la información registrada sobre la autoevaluación institucional en el aplicativo EVI, a los establecimientos de educación formal no oficial.</v>
      </c>
      <c r="K16" s="11" t="str">
        <f>IFERROR(IF(VLOOKUP(A16,[1]PRIORIZADOS!$A:$K,11,FALSE)="","",VLOOKUP(A16,[1]PRIORIZADOS!$A:$K,11,FALSE)),"")</f>
        <v>JOSÉ RODRIGO QUILAGUY BERNAL</v>
      </c>
      <c r="L16" s="11" t="str">
        <f>IFERROR(IF(VLOOKUP(A16,[1]PRIORIZADOS!$A:$L,12,FALSE)="","",VLOOKUP(A16,[1]PRIORIZADOS!$A:$L,12,FALSE)),"")</f>
        <v>ORLANDO SUÁREZ SOTO
JOSÉ RODRIGO QUILAGUY BERNAL
JOHN JAIRO BOBADILLA BERMEO</v>
      </c>
      <c r="M16" s="88">
        <f>IFERROR(IF(VLOOKUP(A16,[1]PRIORIZADOS!$A:$M,13,FALSE)="","",VLOOKUP(A16,[1]PRIORIZADOS!$A:$M,13,FALSE)),"")</f>
        <v>45755</v>
      </c>
      <c r="N16" s="88">
        <f>IFERROR(IF(VLOOKUP(A16,[1]PRIORIZADOS!$A:$N,14,FALSE)="","",VLOOKUP(A16,[1]PRIORIZADOS!$A:$N,14,FALSE)),"")</f>
        <v>45755</v>
      </c>
      <c r="O16" s="88">
        <f>IFERROR(IF(VLOOKUP(A16,[1]PRIORIZADOS!$A:$O,15,FALSE)="","",VLOOKUP(A16,[1]PRIORIZADOS!$A:$O,15,FALSE)),"")</f>
        <v>45755</v>
      </c>
      <c r="P16" s="16" t="str">
        <f>IFERROR(IF(VLOOKUP(A16,[1]PRIORIZADOS!$A:$P,16,FALSE)="","",VLOOKUP(A16,[1]PRIORIZADOS!$A:$P,16,FALSE)),"")</f>
        <v>Visitas de evaluación con fines de seguimiento</v>
      </c>
      <c r="Q16" s="91" t="s">
        <v>27</v>
      </c>
      <c r="R16" s="90" t="str">
        <f>IFERROR(IF(VLOOKUP(A16,[1]PRIORIZADOS!$A:$R,18,FALSE)="","",VLOOKUP(A16,[1]PRIORIZADOS!$A:$R,18,FALSE)),"")</f>
        <v>IE presenta falta de documentación de procesos, lo que imposibilita una autoevaluación institucional integral y la formulación de un PMI.</v>
      </c>
      <c r="S16" s="11" t="str">
        <f>IFERROR(IF(VLOOKUP(A16,[1]PRIORIZADOS!$A:$S,19,FALSE)="","",VLOOKUP(A16,[1]PRIORIZADOS!$A:$S,19,FALSE)),"")</f>
        <v>La falta de documentación de procesos en la IE impide la autoevaluación integral y el PMI. Es crucial implementar mecanismos para ambos, asegurando la mejora continua y la alineación con el contexto y la inclusión.</v>
      </c>
      <c r="T16" s="70" t="str">
        <f>IFERROR(IF(VLOOKUP(A16,[1]PRIORIZADOS!$A:$T,20,FALSE)="","",VLOOKUP(A16,[1]PRIORIZADOS!$A:$T,20,FALSE)),"")</f>
        <v>Si</v>
      </c>
      <c r="U16" s="11" t="str">
        <f>IFERROR(IF(VLOOKUP(A16,[1]PRIORIZADOS!$A:$U,21,FALSE)="","",VLOOKUP(A16,[1]PRIORIZADOS!$A:$U,21,FALSE)),"")</f>
        <v>Verificar las acciones definidas en el plan de mejoramiento una vez sea presentado 02.05.2025
Se realiza seguimiento del PMI, se realizan observaciones y retroalimentación frente a la documentación presentada, conforme a lo orientado. (30/09/2025) Ver Carpeta POAIV - TRIM III</v>
      </c>
    </row>
    <row r="17" spans="1:21" s="1" customFormat="1" ht="96">
      <c r="A17" s="69">
        <f>IF([1]PRIORIZADOS!A18="","",[1]PRIORIZADOS!A18)</f>
        <v>11</v>
      </c>
      <c r="B17" s="87">
        <v>2</v>
      </c>
      <c r="C17" s="11" t="str">
        <f>IFERROR(IF(VLOOKUP(A17,[1]PRIORIZADOS!$A:$C,3,FALSE)="","",VLOOKUP(A17,[1]PRIORIZADOS!$A:$C,3,FALSE)),"")</f>
        <v>ANTONIO NARIÑO</v>
      </c>
      <c r="D17" s="69" t="str">
        <f>IFERROR(IF(VLOOKUP(A17,[1]PRIORIZADOS!$A:$D,4,FALSE)="","",VLOOKUP(A17,[1]PRIORIZADOS!$A:$D,4,FALSE)),"")</f>
        <v>PRIVADO</v>
      </c>
      <c r="E17" s="69" t="str">
        <f>IFERROR(IF(VLOOKUP(A17,[1]PRIORIZADOS!$A:$E,5,FALSE)="","",VLOOKUP(A17,[1]PRIORIZADOS!$A:$E,5,FALSE)),"")</f>
        <v>Educación de Jóvenes y Adultos</v>
      </c>
      <c r="F17" s="11" t="str">
        <f>IFERROR(IF(VLOOKUP(A17,[1]PRIORIZADOS!$A:$F,6,FALSE)="","",VLOOKUP(A17,[1]PRIORIZADOS!$A:$F,6,FALSE)),"")</f>
        <v>CENTRO_PANAMERICANO_DE_CAPACITACION</v>
      </c>
      <c r="G17" s="69" t="str">
        <f>IFERROR(IF(VLOOKUP(A17,[1]PRIORIZADOS!$A:$G,7,FALSE)="","",VLOOKUP(A17,[1]PRIORIZADOS!$A:$G,7,FALSE)),"")</f>
        <v>CENTRO PANAMERICANO DE CAPACITACION</v>
      </c>
      <c r="H17" s="11" t="str">
        <f>IFERROR(IF(VLOOKUP(A17,[1]PRIORIZADOS!$A:$H,8,FALSE)="","",VLOOKUP(A17,[1]PRIORIZADOS!$A:$H,8,FALSE)),"")</f>
        <v>Autoevaluación Institucional y Pruebas SABER 11</v>
      </c>
      <c r="I17" s="11" t="str">
        <f>IFERROR(IF(VLOOKUP(A17,[1]PRIORIZADOS!$A:$I,9,FALSE)="","",VLOOKUP(A17,[1]PRIORIZADOS!$A:$I,9,FALSE)),"")</f>
        <v>SEGUIMIENTO_Y_SUPERVISIÓN.</v>
      </c>
      <c r="J17" s="11" t="str">
        <f>IFERROR(IF(VLOOKUP(A17,[1]PRIORIZADOS!$A:$J,10,FALSE)="","",VLOOKUP(A17,[1]PRIORIZADOS!$A:$J,10,FALSE)),"")</f>
        <v>Proponer estrategias en la formulación, verificar su elaboración y realizar seguimiento semestral al desarrollo de  las acciones establecidas en los planes de mejoramiento por pruebas SABER 11 de los establecimientos de educación formal.</v>
      </c>
      <c r="K17" s="11" t="str">
        <f>IFERROR(IF(VLOOKUP(A17,[1]PRIORIZADOS!$A:$K,11,FALSE)="","",VLOOKUP(A17,[1]PRIORIZADOS!$A:$K,11,FALSE)),"")</f>
        <v>JOSÉ RODRIGO QUILAGUY BERNAL</v>
      </c>
      <c r="L17" s="11" t="str">
        <f>IFERROR(IF(VLOOKUP(A17,[1]PRIORIZADOS!$A:$L,12,FALSE)="","",VLOOKUP(A17,[1]PRIORIZADOS!$A:$L,12,FALSE)),"")</f>
        <v>ORLANDO SUÁREZ SOTO
JOSÉ RODRIGO QUILAGUY BERNAL
JOHN JAIRO BOBADILLA BERMEO</v>
      </c>
      <c r="M17" s="88">
        <f>IFERROR(IF(VLOOKUP(A17,[1]PRIORIZADOS!$A:$M,13,FALSE)="","",VLOOKUP(A17,[1]PRIORIZADOS!$A:$M,13,FALSE)),"")</f>
        <v>45755</v>
      </c>
      <c r="N17" s="88">
        <f>IFERROR(IF(VLOOKUP(A17,[1]PRIORIZADOS!$A:$N,14,FALSE)="","",VLOOKUP(A17,[1]PRIORIZADOS!$A:$N,14,FALSE)),"")</f>
        <v>45755</v>
      </c>
      <c r="O17" s="88">
        <f>IFERROR(IF(VLOOKUP(A17,[1]PRIORIZADOS!$A:$O,15,FALSE)="","",VLOOKUP(A17,[1]PRIORIZADOS!$A:$O,15,FALSE)),"")</f>
        <v>45755</v>
      </c>
      <c r="P17" s="16" t="str">
        <f>IFERROR(IF(VLOOKUP(A17,[1]PRIORIZADOS!$A:$P,16,FALSE)="","",VLOOKUP(A17,[1]PRIORIZADOS!$A:$P,16,FALSE)),"")</f>
        <v>Visitas de evaluación con fines de seguimiento</v>
      </c>
      <c r="Q17" s="91" t="s">
        <v>27</v>
      </c>
      <c r="R17" s="90" t="str">
        <f>IFERROR(IF(VLOOKUP(A17,[1]PRIORIZADOS!$A:$R,18,FALSE)="","",VLOOKUP(A17,[1]PRIORIZADOS!$A:$R,18,FALSE)),"")</f>
        <v>La IE no ha realizado un análisis integral de los resultados recientes de las pruebas SABER 11. Se requiere que la IE documente los procesos necesarios para el análisis de esta información y la elaboración de Planes de Mejoramiento Institucional (PMI) basados en dichos análisis.</v>
      </c>
      <c r="S17" s="11" t="str">
        <f>IFERROR(IF(VLOOKUP(A17,[1]PRIORIZADOS!$A:$S,19,FALSE)="","",VLOOKUP(A17,[1]PRIORIZADOS!$A:$S,19,FALSE)),"")</f>
        <v>La IE se compromete a documentar los procesos para el análisis integral de los resultados de las pruebas SABER 11 y a utilizar esta información para la formulación de Planes de Mejoramiento Institucional (PMI) efectivos.</v>
      </c>
      <c r="T17" s="70" t="str">
        <f>IFERROR(IF(VLOOKUP(A17,[1]PRIORIZADOS!$A:$T,20,FALSE)="","",VLOOKUP(A17,[1]PRIORIZADOS!$A:$T,20,FALSE)),"")</f>
        <v>Si</v>
      </c>
      <c r="U17" s="11" t="str">
        <f>IFERROR(IF(VLOOKUP(A17,[1]PRIORIZADOS!$A:$U,21,FALSE)="","",VLOOKUP(A17,[1]PRIORIZADOS!$A:$U,21,FALSE)),"")</f>
        <v>Verificar las acciones definidas en el plan de mejoramiento una vez sea presentado 02.05.2025
Se realiza seguimiento del PMI, se realizan observaciones y retroalimentación frente a la documentación presentada, conforme a lo orientado. (30/09/2025) Ver Carpeta POAIV - TRIM III</v>
      </c>
    </row>
    <row r="18" spans="1:21" s="1" customFormat="1" ht="72">
      <c r="A18" s="69">
        <f>IF([1]PRIORIZADOS!A19="","",[1]PRIORIZADOS!A19)</f>
        <v>12</v>
      </c>
      <c r="B18" s="87">
        <v>2</v>
      </c>
      <c r="C18" s="11" t="str">
        <f>IFERROR(IF(VLOOKUP(A18,[1]PRIORIZADOS!$A:$C,3,FALSE)="","",VLOOKUP(A18,[1]PRIORIZADOS!$A:$C,3,FALSE)),"")</f>
        <v>ANTONIO NARIÑO</v>
      </c>
      <c r="D18" s="69" t="str">
        <f>IFERROR(IF(VLOOKUP(A18,[1]PRIORIZADOS!$A:$D,4,FALSE)="","",VLOOKUP(A18,[1]PRIORIZADOS!$A:$D,4,FALSE)),"")</f>
        <v>PRIVADO</v>
      </c>
      <c r="E18" s="69" t="str">
        <f>IFERROR(IF(VLOOKUP(A18,[1]PRIORIZADOS!$A:$E,5,FALSE)="","",VLOOKUP(A18,[1]PRIORIZADOS!$A:$E,5,FALSE)),"")</f>
        <v>Educación de Jóvenes y Adultos</v>
      </c>
      <c r="F18" s="11" t="str">
        <f>IFERROR(IF(VLOOKUP(A18,[1]PRIORIZADOS!$A:$F,6,FALSE)="","",VLOOKUP(A18,[1]PRIORIZADOS!$A:$F,6,FALSE)),"")</f>
        <v>CENTRO_PANAMERICANO_DE_CAPACITACION</v>
      </c>
      <c r="G18" s="69" t="str">
        <f>IFERROR(IF(VLOOKUP(A18,[1]PRIORIZADOS!$A:$G,7,FALSE)="","",VLOOKUP(A18,[1]PRIORIZADOS!$A:$G,7,FALSE)),"")</f>
        <v>CENTRO PANAMERICANO DE CAPACITACION</v>
      </c>
      <c r="H18" s="11" t="str">
        <f>IFERROR(IF(VLOOKUP(A18,[1]PRIORIZADOS!$A:$H,8,FALSE)="","",VLOOKUP(A18,[1]PRIORIZADOS!$A:$H,8,FALSE)),"")</f>
        <v>Autoevaluación Institucional y Pruebas SABER 11</v>
      </c>
      <c r="I18" s="11" t="str">
        <f>IFERROR(IF(VLOOKUP(A18,[1]PRIORIZADOS!$A:$I,9,FALSE)="","",VLOOKUP(A18,[1]PRIORIZADOS!$A:$I,9,FALSE)),"")</f>
        <v>SEGUIMIENTO_Y_SUPERVISIÓN.</v>
      </c>
      <c r="J18" s="11" t="str">
        <f>IFERROR(IF(VLOOKUP(A18,[1]PRIORIZADOS!$A:$J,10,FALSE)="","",VLOOKUP(A18,[1]PRIORIZADOS!$A:$J,10,FALSE)),"")</f>
        <v xml:space="preserve">Verificar la implementación por parte de los colegios, de acciones realizadas para la prevención y atención de las situaciones de convivencia en el entorno escolar, según lo establecido en la Directiva 01 de 2022 del MEN. </v>
      </c>
      <c r="K18" s="11" t="str">
        <f>IFERROR(IF(VLOOKUP(A18,[1]PRIORIZADOS!$A:$K,11,FALSE)="","",VLOOKUP(A18,[1]PRIORIZADOS!$A:$K,11,FALSE)),"")</f>
        <v>JOSÉ RODRIGO QUILAGUY BERNAL</v>
      </c>
      <c r="L18" s="11" t="str">
        <f>IFERROR(IF(VLOOKUP(A18,[1]PRIORIZADOS!$A:$L,12,FALSE)="","",VLOOKUP(A18,[1]PRIORIZADOS!$A:$L,12,FALSE)),"")</f>
        <v>ORLANDO SUÁREZ SOTO
JOSÉ RODRIGO QUILAGUY BERNAL
JOHN JAIRO BOBADILLA BERMEO</v>
      </c>
      <c r="M18" s="88">
        <f>IFERROR(IF(VLOOKUP(A18,[1]PRIORIZADOS!$A:$M,13,FALSE)="","",VLOOKUP(A18,[1]PRIORIZADOS!$A:$M,13,FALSE)),"")</f>
        <v>45755</v>
      </c>
      <c r="N18" s="88">
        <f>IFERROR(IF(VLOOKUP(A18,[1]PRIORIZADOS!$A:$N,14,FALSE)="","",VLOOKUP(A18,[1]PRIORIZADOS!$A:$N,14,FALSE)),"")</f>
        <v>45755</v>
      </c>
      <c r="O18" s="88">
        <f>IFERROR(IF(VLOOKUP(A18,[1]PRIORIZADOS!$A:$O,15,FALSE)="","",VLOOKUP(A18,[1]PRIORIZADOS!$A:$O,15,FALSE)),"")</f>
        <v>45755</v>
      </c>
      <c r="P18" s="16" t="str">
        <f>IFERROR(IF(VLOOKUP(A18,[1]PRIORIZADOS!$A:$P,16,FALSE)="","",VLOOKUP(A18,[1]PRIORIZADOS!$A:$P,16,FALSE)),"")</f>
        <v>Visitas de evaluación con fines de seguimiento</v>
      </c>
      <c r="Q18" s="91" t="s">
        <v>27</v>
      </c>
      <c r="R18" s="90" t="str">
        <f>IFERROR(IF(VLOOKUP(A18,[1]PRIORIZADOS!$A:$R,18,FALSE)="","",VLOOKUP(A18,[1]PRIORIZADOS!$A:$R,18,FALSE)),"")</f>
        <v>Se verifica que la IE realiza consultas cuatrimestrales de inhabilidades por delitos sexuales del personal en la página de la Policía Nacional, con soporte documental en las hojas de vida, conforme a la Directiva 01 MEN 2022.</v>
      </c>
      <c r="S18" s="11" t="str">
        <f>IFERROR(IF(VLOOKUP(A18,[1]PRIORIZADOS!$A:$S,19,FALSE)="","",VLOOKUP(A18,[1]PRIORIZADOS!$A:$S,19,FALSE)),"")</f>
        <v>La IE cumple con la Directiva 01 MEN 2022 al realizar la consulta de inhabilidades por delitos sexuales del personal con la periodicidad requerida y mantener la documentación de estas verificaciones.</v>
      </c>
      <c r="T18" s="70" t="str">
        <f>IFERROR(IF(VLOOKUP(A18,[1]PRIORIZADOS!$A:$T,20,FALSE)="","",VLOOKUP(A18,[1]PRIORIZADOS!$A:$T,20,FALSE)),"")</f>
        <v>No</v>
      </c>
      <c r="U18" s="11" t="str">
        <f>IFERROR(IF(VLOOKUP(A18,[1]PRIORIZADOS!$A:$U,21,FALSE)="","",VLOOKUP(A18,[1]PRIORIZADOS!$A:$U,21,FALSE)),"")</f>
        <v>Se realizará nueva verificación en caso de requerirse o por queja.</v>
      </c>
    </row>
    <row r="19" spans="1:21" s="1" customFormat="1" ht="72">
      <c r="A19" s="69">
        <f>IF([1]PRIORIZADOS!A20="","",[1]PRIORIZADOS!A20)</f>
        <v>13</v>
      </c>
      <c r="B19" s="87">
        <v>2</v>
      </c>
      <c r="C19" s="11" t="str">
        <f>IFERROR(IF(VLOOKUP(A19,[1]PRIORIZADOS!$A:$C,3,FALSE)="","",VLOOKUP(A19,[1]PRIORIZADOS!$A:$C,3,FALSE)),"")</f>
        <v>ANTONIO NARIÑO</v>
      </c>
      <c r="D19" s="69" t="str">
        <f>IFERROR(IF(VLOOKUP(A19,[1]PRIORIZADOS!$A:$D,4,FALSE)="","",VLOOKUP(A19,[1]PRIORIZADOS!$A:$D,4,FALSE)),"")</f>
        <v>PRIVADO</v>
      </c>
      <c r="E19" s="69" t="str">
        <f>IFERROR(IF(VLOOKUP(A19,[1]PRIORIZADOS!$A:$E,5,FALSE)="","",VLOOKUP(A19,[1]PRIORIZADOS!$A:$E,5,FALSE)),"")</f>
        <v>Educación de Jóvenes y Adultos</v>
      </c>
      <c r="F19" s="11" t="str">
        <f>IFERROR(IF(VLOOKUP(A19,[1]PRIORIZADOS!$A:$F,6,FALSE)="","",VLOOKUP(A19,[1]PRIORIZADOS!$A:$F,6,FALSE)),"")</f>
        <v>CENTRO_PANAMERICANO_DE_CAPACITACION</v>
      </c>
      <c r="G19" s="69" t="str">
        <f>IFERROR(IF(VLOOKUP(A19,[1]PRIORIZADOS!$A:$G,7,FALSE)="","",VLOOKUP(A19,[1]PRIORIZADOS!$A:$G,7,FALSE)),"")</f>
        <v>CENTRO PANAMERICANO DE CAPACITACION</v>
      </c>
      <c r="H19" s="11" t="str">
        <f>IFERROR(IF(VLOOKUP(A19,[1]PRIORIZADOS!$A:$H,8,FALSE)="","",VLOOKUP(A19,[1]PRIORIZADOS!$A:$H,8,FALSE)),"")</f>
        <v>Autoevaluación Institucional y Pruebas SABER 11</v>
      </c>
      <c r="I19" s="11" t="str">
        <f>IFERROR(IF(VLOOKUP(A19,[1]PRIORIZADOS!$A:$I,9,FALSE)="","",VLOOKUP(A19,[1]PRIORIZADOS!$A:$I,9,FALSE)),"")</f>
        <v>SEGUIMIENTO_Y_SUPERVISIÓN.</v>
      </c>
      <c r="J19" s="11" t="str">
        <f>IFERROR(IF(VLOOKUP(A19,[1]PRIORIZADOS!$A:$J,10,FALSE)="","",VLOOKUP(A19,[1]PRIORIZADOS!$A:$J,10,FALSE)),"")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 s="11" t="str">
        <f>IFERROR(IF(VLOOKUP(A19,[1]PRIORIZADOS!$A:$K,11,FALSE)="","",VLOOKUP(A19,[1]PRIORIZADOS!$A:$K,11,FALSE)),"")</f>
        <v>JOSÉ RODRIGO QUILAGUY BERNAL</v>
      </c>
      <c r="L19" s="11" t="str">
        <f>IFERROR(IF(VLOOKUP(A19,[1]PRIORIZADOS!$A:$L,12,FALSE)="","",VLOOKUP(A19,[1]PRIORIZADOS!$A:$L,12,FALSE)),"")</f>
        <v>ORLANDO SUÁREZ SOTO
JOSÉ RODRIGO QUILAGUY BERNAL
JOHN JAIRO BOBADILLA BERMEO</v>
      </c>
      <c r="M19" s="88">
        <f>IFERROR(IF(VLOOKUP(A19,[1]PRIORIZADOS!$A:$M,13,FALSE)="","",VLOOKUP(A19,[1]PRIORIZADOS!$A:$M,13,FALSE)),"")</f>
        <v>45755</v>
      </c>
      <c r="N19" s="88">
        <f>IFERROR(IF(VLOOKUP(A19,[1]PRIORIZADOS!$A:$N,14,FALSE)="","",VLOOKUP(A19,[1]PRIORIZADOS!$A:$N,14,FALSE)),"")</f>
        <v>45755</v>
      </c>
      <c r="O19" s="88">
        <f>IFERROR(IF(VLOOKUP(A19,[1]PRIORIZADOS!$A:$O,15,FALSE)="","",VLOOKUP(A19,[1]PRIORIZADOS!$A:$O,15,FALSE)),"")</f>
        <v>45755</v>
      </c>
      <c r="P19" s="16" t="str">
        <f>IFERROR(IF(VLOOKUP(A19,[1]PRIORIZADOS!$A:$P,16,FALSE)="","",VLOOKUP(A19,[1]PRIORIZADOS!$A:$P,16,FALSE)),"")</f>
        <v>Visitas de evaluación con fines de seguimiento</v>
      </c>
      <c r="Q19" s="91" t="s">
        <v>27</v>
      </c>
      <c r="R19" s="90" t="str">
        <f>IFERROR(IF(VLOOKUP(A19,[1]PRIORIZADOS!$A:$R,18,FALSE)="","",VLOOKUP(A19,[1]PRIORIZADOS!$A:$R,18,FALSE)),"")</f>
        <v>No se encontraron Planes Individuales de Ajustes Razonables (PIAR) para estudiantes con discapacidad en la documentación. En su lugar, se hallaron planeaciones por asignatura.</v>
      </c>
      <c r="S19" s="11" t="str">
        <f>IFERROR(IF(VLOOKUP(A19,[1]PRIORIZADOS!$A:$S,19,FALSE)="","",VLOOKUP(A19,[1]PRIORIZADOS!$A:$S,19,FALSE)),"")</f>
        <v>La IE se compromete a elaborar e implementar los Planes Individuales de Ajustes Razonables (PIAR) para los estudiantes con discapacidad, diferenciándolos de las planeaciones de asignatura.</v>
      </c>
      <c r="T19" s="70" t="str">
        <f>IFERROR(IF(VLOOKUP(A19,[1]PRIORIZADOS!$A:$T,20,FALSE)="","",VLOOKUP(A19,[1]PRIORIZADOS!$A:$T,20,FALSE)),"")</f>
        <v>Si</v>
      </c>
      <c r="U19" s="11" t="str">
        <f>IFERROR(IF(VLOOKUP(A19,[1]PRIORIZADOS!$A:$U,21,FALSE)="","",VLOOKUP(A19,[1]PRIORIZADOS!$A:$U,21,FALSE)),"")</f>
        <v>Verificar las acciones definidas en el plan de mejoramiento una vez sea presentado 02.05.2025
Se realiza seguimiento del PMI, se realizan observaciones y retroalimentación frente a la documentación presentada, conforme a lo orientado. (30/09/2025) Ver Carpeta POAIV - TRIM III</v>
      </c>
    </row>
    <row r="20" spans="1:21" s="3" customFormat="1" ht="96">
      <c r="A20" s="92">
        <f>IF([1]PRIORIZADOS!A21="","",[1]PRIORIZADOS!A21)</f>
        <v>14</v>
      </c>
      <c r="B20" s="93">
        <v>2</v>
      </c>
      <c r="C20" s="12" t="str">
        <f>IFERROR(IF(VLOOKUP(A20,[1]PRIORIZADOS!$A:$C,3,FALSE)="","",VLOOKUP(A20,[1]PRIORIZADOS!$A:$C,3,FALSE)),"")</f>
        <v>ANTONIO NARIÑO</v>
      </c>
      <c r="D20" s="92" t="str">
        <f>IFERROR(IF(VLOOKUP(A20,[1]PRIORIZADOS!$A:$D,4,FALSE)="","",VLOOKUP(A20,[1]PRIORIZADOS!$A:$D,4,FALSE)),"")</f>
        <v>PRIVADO</v>
      </c>
      <c r="E20" s="92" t="str">
        <f>IFERROR(IF(VLOOKUP(A20,[1]PRIORIZADOS!$A:$E,5,FALSE)="","",VLOOKUP(A20,[1]PRIORIZADOS!$A:$E,5,FALSE)),"")</f>
        <v>Educación de Jóvenes y Adultos</v>
      </c>
      <c r="F20" s="12" t="str">
        <f>IFERROR(IF(VLOOKUP(A20,[1]PRIORIZADOS!$A:$F,6,FALSE)="","",VLOOKUP(A20,[1]PRIORIZADOS!$A:$F,6,FALSE)),"")</f>
        <v>CENTRO_PANAMERICANO_DE_CAPACITACION</v>
      </c>
      <c r="G20" s="92" t="str">
        <f>IFERROR(IF(VLOOKUP(A20,[1]PRIORIZADOS!$A:$G,7,FALSE)="","",VLOOKUP(A20,[1]PRIORIZADOS!$A:$G,7,FALSE)),"")</f>
        <v>CENTRO PANAMERICANO DE CAPACITACION</v>
      </c>
      <c r="H20" s="12" t="str">
        <f>IFERROR(IF(VLOOKUP(A20,[1]PRIORIZADOS!$A:$H,8,FALSE)="","",VLOOKUP(A20,[1]PRIORIZADOS!$A:$H,8,FALSE)),"")</f>
        <v>Autoevaluación Institucional y Pruebas SABER 11</v>
      </c>
      <c r="I20" s="12" t="str">
        <f>IFERROR(IF(VLOOKUP(A20,[1]PRIORIZADOS!$A:$I,9,FALSE)="","",VLOOKUP(A20,[1]PRIORIZADOS!$A:$I,9,FALSE)),"")</f>
        <v>EVALUACIÓN_CON_FINES_DE_MEJORAMIENTO.</v>
      </c>
      <c r="J20" s="12" t="str">
        <f>IFERROR(IF(VLOOKUP(A20,[1]PRIORIZADOS!$A:$J,10,FALSE)="","",VLOOKUP(A20,[1]PRIORIZADOS!$A:$J,10,FALSE)),"")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 s="12" t="str">
        <f>IFERROR(IF(VLOOKUP(A20,[1]PRIORIZADOS!$A:$K,11,FALSE)="","",VLOOKUP(A20,[1]PRIORIZADOS!$A:$K,11,FALSE)),"")</f>
        <v>JOSÉ RODRIGO QUILAGUY BERNAL</v>
      </c>
      <c r="L20" s="12" t="str">
        <f>IFERROR(IF(VLOOKUP(A20,[1]PRIORIZADOS!$A:$L,12,FALSE)="","",VLOOKUP(A20,[1]PRIORIZADOS!$A:$L,12,FALSE)),"")</f>
        <v>ORLANDO SUÁREZ SOTO
JOSÉ RODRIGO QUILAGUY BERNAL
JOHN JAIRO BOBADILLA BERMEO</v>
      </c>
      <c r="M20" s="94">
        <f>IFERROR(IF(VLOOKUP(A20,[1]PRIORIZADOS!$A:$M,13,FALSE)="","",VLOOKUP(A20,[1]PRIORIZADOS!$A:$M,13,FALSE)),"")</f>
        <v>45755</v>
      </c>
      <c r="N20" s="94">
        <f>IFERROR(IF(VLOOKUP(A20,[1]PRIORIZADOS!$A:$N,14,FALSE)="","",VLOOKUP(A20,[1]PRIORIZADOS!$A:$N,14,FALSE)),"")</f>
        <v>45755</v>
      </c>
      <c r="O20" s="94">
        <f>IFERROR(IF(VLOOKUP(A20,[1]PRIORIZADOS!$A:$O,15,FALSE)="","",VLOOKUP(A20,[1]PRIORIZADOS!$A:$O,15,FALSE)),"")</f>
        <v>45755</v>
      </c>
      <c r="P20" s="95" t="str">
        <f>IFERROR(IF(VLOOKUP(A20,[1]PRIORIZADOS!$A:$P,16,FALSE)="","",VLOOKUP(A20,[1]PRIORIZADOS!$A:$P,16,FALSE)),"")</f>
        <v>Visitas de evaluación con fines de mejoramiento</v>
      </c>
      <c r="Q20" s="96" t="s">
        <v>27</v>
      </c>
      <c r="R20" s="97" t="str">
        <f>IFERROR(IF(VLOOKUP(A20,[1]PRIORIZADOS!$A:$R,18,FALSE)="","",VLOOKUP(A20,[1]PRIORIZADOS!$A:$R,18,FALSE)),"")</f>
        <v>El Manual de Convivencia (MC) de la IE muestra participación en su construcción y describe el respeto y enfoque restaurativo, socializados en reuniones. Sin embargo, no se actualiza desde 2021, incumpliendo su revisión anual. Se requiere actualizar el MC, registrando avances, ajustes y su socialización</v>
      </c>
      <c r="S20" s="12" t="str">
        <f>IFERROR(IF(VLOOKUP(A20,[1]PRIORIZADOS!$A:$S,19,FALSE)="","",VLOOKUP(A20,[1]PRIORIZADOS!$A:$S,19,FALSE)),"")</f>
        <v>La IE se compromete a actualizar el Manual de Convivencia, registrando los avances y ajustes pertinentes, y a garantizar su adecuada socialización a la comunidad educativa, subsanando la falta de actualización desde 2021.</v>
      </c>
      <c r="T20" s="98" t="str">
        <f>IFERROR(IF(VLOOKUP(A20,[1]PRIORIZADOS!$A:$T,20,FALSE)="","",VLOOKUP(A20,[1]PRIORIZADOS!$A:$T,20,FALSE)),"")</f>
        <v>Si</v>
      </c>
      <c r="U20" s="12" t="str">
        <f>IFERROR(IF(VLOOKUP(A20,[1]PRIORIZADOS!$A:$U,21,FALSE)="","",VLOOKUP(A20,[1]PRIORIZADOS!$A:$U,21,FALSE)),"")</f>
        <v>Verificar las acciones definidas en el plan de mejoramiento una vez sea presentado 02.05.2025
Se realiza seguimiento del PMI, se realizan observaciones y retroalimentación frente a la documentación presentada, conforme a lo orientado. (30/09/2025) Ver Carpeta POAIV - TRIM III</v>
      </c>
    </row>
    <row r="21" spans="1:21" s="3" customFormat="1" ht="72">
      <c r="A21" s="92">
        <f>IF([1]PRIORIZADOS!A22="","",[1]PRIORIZADOS!A22)</f>
        <v>15</v>
      </c>
      <c r="B21" s="93">
        <v>2</v>
      </c>
      <c r="C21" s="12" t="str">
        <f>IFERROR(IF(VLOOKUP(A21,[1]PRIORIZADOS!$A:$C,3,FALSE)="","",VLOOKUP(A21,[1]PRIORIZADOS!$A:$C,3,FALSE)),"")</f>
        <v>ANTONIO NARIÑO</v>
      </c>
      <c r="D21" s="92" t="str">
        <f>IFERROR(IF(VLOOKUP(A21,[1]PRIORIZADOS!$A:$D,4,FALSE)="","",VLOOKUP(A21,[1]PRIORIZADOS!$A:$D,4,FALSE)),"")</f>
        <v>PRIVADO</v>
      </c>
      <c r="E21" s="92" t="str">
        <f>IFERROR(IF(VLOOKUP(A21,[1]PRIORIZADOS!$A:$E,5,FALSE)="","",VLOOKUP(A21,[1]PRIORIZADOS!$A:$E,5,FALSE)),"")</f>
        <v>Educación de Jóvenes y Adultos</v>
      </c>
      <c r="F21" s="12" t="str">
        <f>IFERROR(IF(VLOOKUP(A21,[1]PRIORIZADOS!$A:$F,6,FALSE)="","",VLOOKUP(A21,[1]PRIORIZADOS!$A:$F,6,FALSE)),"")</f>
        <v>CENTRO_PANAMERICANO_DE_CAPACITACION</v>
      </c>
      <c r="G21" s="92" t="str">
        <f>IFERROR(IF(VLOOKUP(A21,[1]PRIORIZADOS!$A:$G,7,FALSE)="","",VLOOKUP(A21,[1]PRIORIZADOS!$A:$G,7,FALSE)),"")</f>
        <v>CENTRO PANAMERICANO DE CAPACITACION</v>
      </c>
      <c r="H21" s="12" t="str">
        <f>IFERROR(IF(VLOOKUP(A21,[1]PRIORIZADOS!$A:$H,8,FALSE)="","",VLOOKUP(A21,[1]PRIORIZADOS!$A:$H,8,FALSE)),"")</f>
        <v>Autoevaluación Institucional y Pruebas SABER 11</v>
      </c>
      <c r="I21" s="12" t="str">
        <f>IFERROR(IF(VLOOKUP(A21,[1]PRIORIZADOS!$A:$I,9,FALSE)="","",VLOOKUP(A21,[1]PRIORIZADOS!$A:$I,9,FALSE)),"")</f>
        <v>EVALUACIÓN_CON_FINES_DE_MEJORAMIENTO.</v>
      </c>
      <c r="J21" s="12" t="str">
        <f>IFERROR(IF(VLOOKUP(A21,[1]PRIORIZADOS!$A:$J,10,FALSE)="","",VLOOKUP(A21,[1]PRIORIZADOS!$A:$J,10,FALSE)),"")</f>
        <v>Revisar la actualización, socialización e implementación del Sistema Institucional de Evaluación de Estudiantes - SIEE, en articulación con la actualización del PEI y la normatividad vigente.</v>
      </c>
      <c r="K21" s="12" t="str">
        <f>IFERROR(IF(VLOOKUP(A21,[1]PRIORIZADOS!$A:$K,11,FALSE)="","",VLOOKUP(A21,[1]PRIORIZADOS!$A:$K,11,FALSE)),"")</f>
        <v>JOSÉ RODRIGO QUILAGUY BERNAL</v>
      </c>
      <c r="L21" s="12" t="str">
        <f>IFERROR(IF(VLOOKUP(A21,[1]PRIORIZADOS!$A:$L,12,FALSE)="","",VLOOKUP(A21,[1]PRIORIZADOS!$A:$L,12,FALSE)),"")</f>
        <v>ORLANDO SUÁREZ SOTO
JOSÉ RODRIGO QUILAGUY BERNAL
JOHN JAIRO BOBADILLA BERMEO</v>
      </c>
      <c r="M21" s="94">
        <f>IFERROR(IF(VLOOKUP(A21,[1]PRIORIZADOS!$A:$M,13,FALSE)="","",VLOOKUP(A21,[1]PRIORIZADOS!$A:$M,13,FALSE)),"")</f>
        <v>45755</v>
      </c>
      <c r="N21" s="94">
        <f>IFERROR(IF(VLOOKUP(A21,[1]PRIORIZADOS!$A:$N,14,FALSE)="","",VLOOKUP(A21,[1]PRIORIZADOS!$A:$N,14,FALSE)),"")</f>
        <v>45755</v>
      </c>
      <c r="O21" s="94">
        <f>IFERROR(IF(VLOOKUP(A21,[1]PRIORIZADOS!$A:$O,15,FALSE)="","",VLOOKUP(A21,[1]PRIORIZADOS!$A:$O,15,FALSE)),"")</f>
        <v>45755</v>
      </c>
      <c r="P21" s="95" t="str">
        <f>IFERROR(IF(VLOOKUP(A21,[1]PRIORIZADOS!$A:$P,16,FALSE)="","",VLOOKUP(A21,[1]PRIORIZADOS!$A:$P,16,FALSE)),"")</f>
        <v>Visitas de evaluación con fines de mejoramiento</v>
      </c>
      <c r="Q21" s="96" t="s">
        <v>27</v>
      </c>
      <c r="R21" s="97" t="str">
        <f>IFERROR(IF(VLOOKUP(A21,[1]PRIORIZADOS!$A:$R,18,FALSE)="","",VLOOKUP(A21,[1]PRIORIZADOS!$A:$R,18,FALSE)),"")</f>
        <v>Se evidencia la ejecución y registro de información del SIEE (seguimiento, ponderación, recuperación). Se constatan estrategias de apoyo pedagógico y estrategias de nivelación y mejoramiento de aprendizajes implementadas en la IE.</v>
      </c>
      <c r="S21" s="12" t="str">
        <f>IFERROR(IF(VLOOKUP(A21,[1]PRIORIZADOS!$A:$S,19,FALSE)="","",VLOOKUP(A21,[1]PRIORIZADOS!$A:$S,19,FALSE)),"")</f>
        <v>La IE demuestra la ejecución y el registro de información del SIEE, así como la implementación de estrategias de apoyo pedagógico y de nivelación para los estudiantes.</v>
      </c>
      <c r="T21" s="98" t="str">
        <f>IFERROR(IF(VLOOKUP(A21,[1]PRIORIZADOS!$A:$T,20,FALSE)="","",VLOOKUP(A21,[1]PRIORIZADOS!$A:$T,20,FALSE)),"")</f>
        <v>No</v>
      </c>
      <c r="U21" s="12" t="str">
        <f>IFERROR(IF(VLOOKUP(A21,[1]PRIORIZADOS!$A:$U,21,FALSE)="","",VLOOKUP(A21,[1]PRIORIZADOS!$A:$U,21,FALSE)),"")</f>
        <v>Se realizará nueva verificación en caso de requerirse o por queja.</v>
      </c>
    </row>
    <row r="22" spans="1:21" s="3" customFormat="1" ht="60">
      <c r="A22" s="92">
        <f>IF([1]PRIORIZADOS!A23="","",[1]PRIORIZADOS!A23)</f>
        <v>16</v>
      </c>
      <c r="B22" s="93">
        <v>2</v>
      </c>
      <c r="C22" s="12" t="str">
        <f>IFERROR(IF(VLOOKUP(A22,[1]PRIORIZADOS!$A:$C,3,FALSE)="","",VLOOKUP(A22,[1]PRIORIZADOS!$A:$C,3,FALSE)),"")</f>
        <v>ANTONIO NARIÑO</v>
      </c>
      <c r="D22" s="92" t="str">
        <f>IFERROR(IF(VLOOKUP(A22,[1]PRIORIZADOS!$A:$D,4,FALSE)="","",VLOOKUP(A22,[1]PRIORIZADOS!$A:$D,4,FALSE)),"")</f>
        <v>PRIVADO</v>
      </c>
      <c r="E22" s="92" t="str">
        <f>IFERROR(IF(VLOOKUP(A22,[1]PRIORIZADOS!$A:$E,5,FALSE)="","",VLOOKUP(A22,[1]PRIORIZADOS!$A:$E,5,FALSE)),"")</f>
        <v>Educación de Jóvenes y Adultos</v>
      </c>
      <c r="F22" s="12" t="str">
        <f>IFERROR(IF(VLOOKUP(A22,[1]PRIORIZADOS!$A:$F,6,FALSE)="","",VLOOKUP(A22,[1]PRIORIZADOS!$A:$F,6,FALSE)),"")</f>
        <v>CENTRO_PANAMERICANO_DE_CAPACITACION</v>
      </c>
      <c r="G22" s="92" t="str">
        <f>IFERROR(IF(VLOOKUP(A22,[1]PRIORIZADOS!$A:$G,7,FALSE)="","",VLOOKUP(A22,[1]PRIORIZADOS!$A:$G,7,FALSE)),"")</f>
        <v>CENTRO PANAMERICANO DE CAPACITACION</v>
      </c>
      <c r="H22" s="12" t="str">
        <f>IFERROR(IF(VLOOKUP(A22,[1]PRIORIZADOS!$A:$H,8,FALSE)="","",VLOOKUP(A22,[1]PRIORIZADOS!$A:$H,8,FALSE)),"")</f>
        <v>Autoevaluación Institucional y Pruebas SABER 11</v>
      </c>
      <c r="I22" s="12" t="str">
        <f>IFERROR(IF(VLOOKUP(A22,[1]PRIORIZADOS!$A:$I,9,FALSE)="","",VLOOKUP(A22,[1]PRIORIZADOS!$A:$I,9,FALSE)),"")</f>
        <v>EVALUACIÓN_CON_FINES_DE_MEJORAMIENTO.</v>
      </c>
      <c r="J22" s="12" t="str">
        <f>IFERROR(IF(VLOOKUP(A22,[1]PRIORIZADOS!$A:$J,10,FALSE)="","",VLOOKUP(A22,[1]PRIORIZADOS!$A:$J,10,FALSE)),"")</f>
        <v>Revisar el calendario escolar, jornada escolar, la intensidad horaria mínima anual en cada nivel y las modificaciones que se realicen al mismo, de acuerdo con lo previsto en la normatividad vigente.</v>
      </c>
      <c r="K22" s="12" t="str">
        <f>IFERROR(IF(VLOOKUP(A22,[1]PRIORIZADOS!$A:$K,11,FALSE)="","",VLOOKUP(A22,[1]PRIORIZADOS!$A:$K,11,FALSE)),"")</f>
        <v>JOSÉ RODRIGO QUILAGUY BERNAL</v>
      </c>
      <c r="L22" s="12" t="str">
        <f>IFERROR(IF(VLOOKUP(A22,[1]PRIORIZADOS!$A:$L,12,FALSE)="","",VLOOKUP(A22,[1]PRIORIZADOS!$A:$L,12,FALSE)),"")</f>
        <v>ORLANDO SUÁREZ SOTO
JOSÉ RODRIGO QUILAGUY BERNAL
JOHN JAIRO BOBADILLA BERMEO</v>
      </c>
      <c r="M22" s="94">
        <f>IFERROR(IF(VLOOKUP(A22,[1]PRIORIZADOS!$A:$M,13,FALSE)="","",VLOOKUP(A22,[1]PRIORIZADOS!$A:$M,13,FALSE)),"")</f>
        <v>45755</v>
      </c>
      <c r="N22" s="94">
        <f>IFERROR(IF(VLOOKUP(A22,[1]PRIORIZADOS!$A:$N,14,FALSE)="","",VLOOKUP(A22,[1]PRIORIZADOS!$A:$N,14,FALSE)),"")</f>
        <v>45755</v>
      </c>
      <c r="O22" s="94">
        <f>IFERROR(IF(VLOOKUP(A22,[1]PRIORIZADOS!$A:$O,15,FALSE)="","",VLOOKUP(A22,[1]PRIORIZADOS!$A:$O,15,FALSE)),"")</f>
        <v>45755</v>
      </c>
      <c r="P22" s="95" t="str">
        <f>IFERROR(IF(VLOOKUP(A22,[1]PRIORIZADOS!$A:$P,16,FALSE)="","",VLOOKUP(A22,[1]PRIORIZADOS!$A:$P,16,FALSE)),"")</f>
        <v>Visitas de evaluación con fines de mejoramiento</v>
      </c>
      <c r="Q22" s="96" t="s">
        <v>27</v>
      </c>
      <c r="R22" s="97" t="str">
        <f>IFERROR(IF(VLOOKUP(A22,[1]PRIORIZADOS!$A:$R,18,FALSE)="","",VLOOKUP(A22,[1]PRIORIZADOS!$A:$R,18,FALSE)),"")</f>
        <v>Se constata que la Institución Educativa garantiza el cumplimiento de la intensidad horaria mínima anual para todos los niveles educativos que ofrece.</v>
      </c>
      <c r="S22" s="12" t="str">
        <f>IFERROR(IF(VLOOKUP(A22,[1]PRIORIZADOS!$A:$S,19,FALSE)="","",VLOOKUP(A22,[1]PRIORIZADOS!$A:$S,19,FALSE)),"")</f>
        <v>La IE asegura el cumplimiento de la intensidad horaria mínima anual establecida para cada uno de sus niveles educativos.</v>
      </c>
      <c r="T22" s="98" t="str">
        <f>IFERROR(IF(VLOOKUP(A22,[1]PRIORIZADOS!$A:$T,20,FALSE)="","",VLOOKUP(A22,[1]PRIORIZADOS!$A:$T,20,FALSE)),"")</f>
        <v>No</v>
      </c>
      <c r="U22" s="12" t="str">
        <f>IFERROR(IF(VLOOKUP(A22,[1]PRIORIZADOS!$A:$U,21,FALSE)="","",VLOOKUP(A22,[1]PRIORIZADOS!$A:$U,21,FALSE)),"")</f>
        <v>Se realizará nueva verificación en caso de requerirse o por queja.</v>
      </c>
    </row>
    <row r="23" spans="1:21" s="3" customFormat="1" ht="118.5">
      <c r="A23" s="92">
        <f>IF([1]PRIORIZADOS!A24="","",[1]PRIORIZADOS!A24)</f>
        <v>17</v>
      </c>
      <c r="B23" s="93">
        <v>2</v>
      </c>
      <c r="C23" s="12" t="str">
        <f>IFERROR(IF(VLOOKUP(A23,[1]PRIORIZADOS!$A:$C,3,FALSE)="","",VLOOKUP(A23,[1]PRIORIZADOS!$A:$C,3,FALSE)),"")</f>
        <v>ANTONIO NARIÑO</v>
      </c>
      <c r="D23" s="92" t="str">
        <f>IFERROR(IF(VLOOKUP(A23,[1]PRIORIZADOS!$A:$D,4,FALSE)="","",VLOOKUP(A23,[1]PRIORIZADOS!$A:$D,4,FALSE)),"")</f>
        <v>PRIVADO</v>
      </c>
      <c r="E23" s="92" t="str">
        <f>IFERROR(IF(VLOOKUP(A23,[1]PRIORIZADOS!$A:$E,5,FALSE)="","",VLOOKUP(A23,[1]PRIORIZADOS!$A:$E,5,FALSE)),"")</f>
        <v>Educación de Jóvenes y Adultos</v>
      </c>
      <c r="F23" s="12" t="str">
        <f>IFERROR(IF(VLOOKUP(A23,[1]PRIORIZADOS!$A:$F,6,FALSE)="","",VLOOKUP(A23,[1]PRIORIZADOS!$A:$F,6,FALSE)),"")</f>
        <v>CENTRO_PANAMERICANO_DE_CAPACITACION</v>
      </c>
      <c r="G23" s="92" t="str">
        <f>IFERROR(IF(VLOOKUP(A23,[1]PRIORIZADOS!$A:$G,7,FALSE)="","",VLOOKUP(A23,[1]PRIORIZADOS!$A:$G,7,FALSE)),"")</f>
        <v>CENTRO PANAMERICANO DE CAPACITACION</v>
      </c>
      <c r="H23" s="12" t="str">
        <f>IFERROR(IF(VLOOKUP(A23,[1]PRIORIZADOS!$A:$H,8,FALSE)="","",VLOOKUP(A23,[1]PRIORIZADOS!$A:$H,8,FALSE)),"")</f>
        <v>Autoevaluación Institucional y Pruebas SABER 11</v>
      </c>
      <c r="I23" s="12" t="str">
        <f>IFERROR(IF(VLOOKUP(A23,[1]PRIORIZADOS!$A:$I,9,FALSE)="","",VLOOKUP(A23,[1]PRIORIZADOS!$A:$I,9,FALSE)),"")</f>
        <v>EVALUACIÓN_CON_FINES_DE_MEJORAMIENTO.</v>
      </c>
      <c r="J23" s="12" t="str">
        <f>IFERROR(IF(VLOOKUP(A23,[1]PRIORIZADOS!$A:$J,10,FALSE)="","",VLOOKUP(A23,[1]PRIORIZADOS!$A:$J,10,FALSE)),"")</f>
        <v>Verificar el funcionamiento del Gobierno Escolar e instancias de participación con base en la información sobre conformación reportada por la institución educativa.</v>
      </c>
      <c r="K23" s="12" t="str">
        <f>IFERROR(IF(VLOOKUP(A23,[1]PRIORIZADOS!$A:$K,11,FALSE)="","",VLOOKUP(A23,[1]PRIORIZADOS!$A:$K,11,FALSE)),"")</f>
        <v>JOSÉ RODRIGO QUILAGUY BERNAL</v>
      </c>
      <c r="L23" s="12" t="str">
        <f>IFERROR(IF(VLOOKUP(A23,[1]PRIORIZADOS!$A:$L,12,FALSE)="","",VLOOKUP(A23,[1]PRIORIZADOS!$A:$L,12,FALSE)),"")</f>
        <v>ORLANDO SUÁREZ SOTO
JOSÉ RODRIGO QUILAGUY BERNAL
JOHN JAIRO BOBADILLA BERMEO</v>
      </c>
      <c r="M23" s="94">
        <f>IFERROR(IF(VLOOKUP(A23,[1]PRIORIZADOS!$A:$M,13,FALSE)="","",VLOOKUP(A23,[1]PRIORIZADOS!$A:$M,13,FALSE)),"")</f>
        <v>45755</v>
      </c>
      <c r="N23" s="94">
        <f>IFERROR(IF(VLOOKUP(A23,[1]PRIORIZADOS!$A:$N,14,FALSE)="","",VLOOKUP(A23,[1]PRIORIZADOS!$A:$N,14,FALSE)),"")</f>
        <v>45755</v>
      </c>
      <c r="O23" s="94">
        <f>IFERROR(IF(VLOOKUP(A23,[1]PRIORIZADOS!$A:$O,15,FALSE)="","",VLOOKUP(A23,[1]PRIORIZADOS!$A:$O,15,FALSE)),"")</f>
        <v>45755</v>
      </c>
      <c r="P23" s="95" t="str">
        <f>IFERROR(IF(VLOOKUP(A23,[1]PRIORIZADOS!$A:$P,16,FALSE)="","",VLOOKUP(A23,[1]PRIORIZADOS!$A:$P,16,FALSE)),"")</f>
        <v>Visitas de evaluación con fines de mejoramiento</v>
      </c>
      <c r="Q23" s="96" t="s">
        <v>27</v>
      </c>
      <c r="R23" s="97" t="str">
        <f>IFERROR(IF(VLOOKUP(A23,[1]PRIORIZADOS!$A:$R,18,FALSE)="","",VLOOKUP(A23,[1]PRIORIZADOS!$A:$R,18,FALSE)),"")</f>
        <v>La IE conformó el gobierno escolar (Consejo Directivo y Académico) y existen actas de operatividad en 2024 (2 actas c/u). También conformó instancias de participación con reglamento interno (Consejo Estudiantil y Comité de Convivencia con 1 acta c/u en 2024). Se sugiere aumentar la periodicidad de las reuniones según las necesidades de la IE y el PEI.</v>
      </c>
      <c r="S23" s="12" t="str">
        <f>IFERROR(IF(VLOOKUP(A23,[1]PRIORIZADOS!$A:$S,19,FALSE)="","",VLOOKUP(A23,[1]PRIORIZADOS!$A:$S,19,FALSE)),"")</f>
        <v>La IE tomará en consideración la sugerencia de incrementar la periodicidad de las reuniones del gobierno escolar y de las instancias de participación, asegurando que estas se realicen conforme a las necesidades institucionales y lo establecido en el Proyecto Educativo Institucional (PEI).</v>
      </c>
      <c r="T23" s="98" t="str">
        <f>IFERROR(IF(VLOOKUP(A23,[1]PRIORIZADOS!$A:$T,20,FALSE)="","",VLOOKUP(A23,[1]PRIORIZADOS!$A:$T,20,FALSE)),"")</f>
        <v>No</v>
      </c>
      <c r="U23" s="12" t="str">
        <f>IFERROR(IF(VLOOKUP(A23,[1]PRIORIZADOS!$A:$U,21,FALSE)="","",VLOOKUP(A23,[1]PRIORIZADOS!$A:$U,21,FALSE)),"")</f>
        <v>Se realizará nueva verificación en caso de requerirse o por queja.</v>
      </c>
    </row>
    <row r="24" spans="1:21" s="3" customFormat="1" ht="84">
      <c r="A24" s="92">
        <f>IF([1]PRIORIZADOS!A25="","",[1]PRIORIZADOS!A25)</f>
        <v>18</v>
      </c>
      <c r="B24" s="93">
        <v>2</v>
      </c>
      <c r="C24" s="12" t="str">
        <f>IFERROR(IF(VLOOKUP(A24,[1]PRIORIZADOS!$A:$C,3,FALSE)="","",VLOOKUP(A24,[1]PRIORIZADOS!$A:$C,3,FALSE)),"")</f>
        <v>ANTONIO NARIÑO</v>
      </c>
      <c r="D24" s="92" t="str">
        <f>IFERROR(IF(VLOOKUP(A24,[1]PRIORIZADOS!$A:$D,4,FALSE)="","",VLOOKUP(A24,[1]PRIORIZADOS!$A:$D,4,FALSE)),"")</f>
        <v>PRIVADO</v>
      </c>
      <c r="E24" s="92" t="str">
        <f>IFERROR(IF(VLOOKUP(A24,[1]PRIORIZADOS!$A:$E,5,FALSE)="","",VLOOKUP(A24,[1]PRIORIZADOS!$A:$E,5,FALSE)),"")</f>
        <v>Educación de Jóvenes y Adultos</v>
      </c>
      <c r="F24" s="12" t="str">
        <f>IFERROR(IF(VLOOKUP(A24,[1]PRIORIZADOS!$A:$F,6,FALSE)="","",VLOOKUP(A24,[1]PRIORIZADOS!$A:$F,6,FALSE)),"")</f>
        <v>CENTRO_PANAMERICANO_DE_CAPACITACION</v>
      </c>
      <c r="G24" s="92" t="str">
        <f>IFERROR(IF(VLOOKUP(A24,[1]PRIORIZADOS!$A:$G,7,FALSE)="","",VLOOKUP(A24,[1]PRIORIZADOS!$A:$G,7,FALSE)),"")</f>
        <v>CENTRO PANAMERICANO DE CAPACITACION</v>
      </c>
      <c r="H24" s="12" t="str">
        <f>IFERROR(IF(VLOOKUP(A24,[1]PRIORIZADOS!$A:$H,8,FALSE)="","",VLOOKUP(A24,[1]PRIORIZADOS!$A:$H,8,FALSE)),"")</f>
        <v>Autoevaluación Institucional y Pruebas SABER 11</v>
      </c>
      <c r="I24" s="12" t="str">
        <f>IFERROR(IF(VLOOKUP(A24,[1]PRIORIZADOS!$A:$I,9,FALSE)="","",VLOOKUP(A24,[1]PRIORIZADOS!$A:$I,9,FALSE)),"")</f>
        <v>EVALUACIÓN_CON_FINES_DE_MEJORAMIENTO.</v>
      </c>
      <c r="J24" s="12" t="str">
        <f>IFERROR(IF(VLOOKUP(A24,[1]PRIORIZADOS!$A:$J,10,FALSE)="","",VLOOKUP(A24,[1]PRIORIZADOS!$A:$J,10,FALSE)),"")</f>
        <v>Verificar las condiciones en cuanto a: la estructura administrativa, condiciones de la planta física y medios educativos adecuados.</v>
      </c>
      <c r="K24" s="12" t="str">
        <f>IFERROR(IF(VLOOKUP(A24,[1]PRIORIZADOS!$A:$K,11,FALSE)="","",VLOOKUP(A24,[1]PRIORIZADOS!$A:$K,11,FALSE)),"")</f>
        <v>JOSÉ RODRIGO QUILAGUY BERNAL</v>
      </c>
      <c r="L24" s="12" t="str">
        <f>IFERROR(IF(VLOOKUP(A24,[1]PRIORIZADOS!$A:$L,12,FALSE)="","",VLOOKUP(A24,[1]PRIORIZADOS!$A:$L,12,FALSE)),"")</f>
        <v>ORLANDO SUÁREZ SOTO
JOSÉ RODRIGO QUILAGUY BERNAL
JOHN JAIRO BOBADILLA BERMEO</v>
      </c>
      <c r="M24" s="94">
        <f>IFERROR(IF(VLOOKUP(A24,[1]PRIORIZADOS!$A:$M,13,FALSE)="","",VLOOKUP(A24,[1]PRIORIZADOS!$A:$M,13,FALSE)),"")</f>
        <v>45755</v>
      </c>
      <c r="N24" s="94">
        <f>IFERROR(IF(VLOOKUP(A24,[1]PRIORIZADOS!$A:$N,14,FALSE)="","",VLOOKUP(A24,[1]PRIORIZADOS!$A:$N,14,FALSE)),"")</f>
        <v>45755</v>
      </c>
      <c r="O24" s="94">
        <f>IFERROR(IF(VLOOKUP(A24,[1]PRIORIZADOS!$A:$O,15,FALSE)="","",VLOOKUP(A24,[1]PRIORIZADOS!$A:$O,15,FALSE)),"")</f>
        <v>45755</v>
      </c>
      <c r="P24" s="95" t="str">
        <f>IFERROR(IF(VLOOKUP(A24,[1]PRIORIZADOS!$A:$P,16,FALSE)="","",VLOOKUP(A24,[1]PRIORIZADOS!$A:$P,16,FALSE)),"")</f>
        <v>Visitas de evaluación con fines de mejoramiento</v>
      </c>
      <c r="Q24" s="96" t="s">
        <v>27</v>
      </c>
      <c r="R24" s="97" t="str">
        <f>IFERROR(IF(VLOOKUP(A24,[1]PRIORIZADOS!$A:$R,18,FALSE)="","",VLOOKUP(A24,[1]PRIORIZADOS!$A:$R,18,FALSE)),"")</f>
        <v>La IE no cuenta con biblioteca ni laboratorios, por lo que la dotación general no es suficiente para el número de estudiantes. El mobiliario, aunque operativo, presenta desgaste. Los espacios administrativos sí evidencian mantenimiento y buen estado</v>
      </c>
      <c r="S24" s="12" t="str">
        <f>IFERROR(IF(VLOOKUP(A24,[1]PRIORIZADOS!$A:$S,19,FALSE)="","",VLOOKUP(A24,[1]PRIORIZADOS!$A:$S,19,FALSE)),"")</f>
        <v xml:space="preserve">La IE revisará la suficiencia y dotación de sus recursos, especialmente ante la falta de biblioteca y laboratorios. </v>
      </c>
      <c r="T24" s="98" t="str">
        <f>IFERROR(IF(VLOOKUP(A24,[1]PRIORIZADOS!$A:$T,20,FALSE)="","",VLOOKUP(A24,[1]PRIORIZADOS!$A:$T,20,FALSE)),"")</f>
        <v>Si</v>
      </c>
      <c r="U24" s="12" t="str">
        <f>IFERROR(IF(VLOOKUP(A24,[1]PRIORIZADOS!$A:$U,21,FALSE)="","",VLOOKUP(A24,[1]PRIORIZADOS!$A:$U,21,FALSE)),"")</f>
        <v>Verificar las acciones definidas en el plan de mejoramiento una vez sea presentado 02.05.2025
Se realiza seguimiento del PMI, se realizan observaciones y retroalimentación frente a la documentación presentada, conforme a lo orientado. (30/09/2025) Ver Carpeta POAIV - TRIM III</v>
      </c>
    </row>
    <row r="25" spans="1:21" s="1" customFormat="1" ht="96">
      <c r="A25" s="69">
        <f>IF([1]PRIORIZADOS!A26="","",[1]PRIORIZADOS!A26)</f>
        <v>19</v>
      </c>
      <c r="B25" s="87">
        <f>IFERROR(IF(VLOOKUP(A25,[1]PRIORIZADOS!$A:$B,2,FALSE)="","",VLOOKUP(A25,[1]PRIORIZADOS!$A:$B,2,FALSE)),"")</f>
        <v>3</v>
      </c>
      <c r="C25" s="11" t="str">
        <f>IFERROR(IF(VLOOKUP(A25,[1]PRIORIZADOS!$A:$C,3,FALSE)="","",VLOOKUP(A25,[1]PRIORIZADOS!$A:$C,3,FALSE)),"")</f>
        <v>ANTONIO NARIÑO</v>
      </c>
      <c r="D25" s="69" t="str">
        <f>IFERROR(IF(VLOOKUP(A25,[1]PRIORIZADOS!$A:$D,4,FALSE)="","",VLOOKUP(A25,[1]PRIORIZADOS!$A:$D,4,FALSE)),"")</f>
        <v>PRIVADO</v>
      </c>
      <c r="E25" s="69" t="str">
        <f>IFERROR(IF(VLOOKUP(A25,[1]PRIORIZADOS!$A:$E,5,FALSE)="","",VLOOKUP(A25,[1]PRIORIZADOS!$A:$E,5,FALSE)),"")</f>
        <v>EPBM</v>
      </c>
      <c r="F25" s="11" t="str">
        <f>IFERROR(IF(VLOOKUP(A25,[1]PRIORIZADOS!$A:$F,6,FALSE)="","",VLOOKUP(A25,[1]PRIORIZADOS!$A:$F,6,FALSE)),"")</f>
        <v>LICEO_MODERNO_WALT_WHITMAN</v>
      </c>
      <c r="G25" s="69" t="str">
        <f>IFERROR(IF(VLOOKUP(A25,[1]PRIORIZADOS!$A:$G,7,FALSE)="","",VLOOKUP(A25,[1]PRIORIZADOS!$A:$G,7,FALSE)),"")</f>
        <v>LICEO MODERNO WALT WHITMAN</v>
      </c>
      <c r="H25" s="11" t="str">
        <f>IFERROR(IF(VLOOKUP(A25,[1]PRIORIZADOS!$A:$H,8,FALSE)="","",VLOOKUP(A25,[1]PRIORIZADOS!$A:$H,8,FALSE)),"")</f>
        <v>Autoevaluación Institucional y Pruebas SABER 11</v>
      </c>
      <c r="I25" s="11" t="str">
        <f>IFERROR(IF(VLOOKUP(A25,[1]PRIORIZADOS!$A:$I,9,FALSE)="","",VLOOKUP(A25,[1]PRIORIZADOS!$A:$I,9,FALSE)),"")</f>
        <v>SEGUIMIENTO_Y_SUPERVISIÓN.</v>
      </c>
      <c r="J25" s="11" t="str">
        <f>IFERROR(IF(VLOOKUP(A25,[1]PRIORIZADOS!$A:$J,10,FALSE)="","",VLOOKUP(A25,[1]PRIORIZADOS!$A:$J,10,FALSE)),"")</f>
        <v>Realizar visitas para verificar la información registrada sobre la autoevaluación institucional en el aplicativo EVI, a los establecimientos de educación formal no oficial.</v>
      </c>
      <c r="K25" s="11" t="str">
        <f>IFERROR(IF(VLOOKUP(A25,[1]PRIORIZADOS!$A:$K,11,FALSE)="","",VLOOKUP(A25,[1]PRIORIZADOS!$A:$K,11,FALSE)),"")</f>
        <v>ORLANDO SUÁREZ SOTO</v>
      </c>
      <c r="L25" s="11" t="str">
        <f>IFERROR(IF(VLOOKUP(A25,[1]PRIORIZADOS!$A:$L,12,FALSE)="","",VLOOKUP(A25,[1]PRIORIZADOS!$A:$L,12,FALSE)),"")</f>
        <v>ORLANDO SUÁREZ SOTO
JOSÉ RODRIGO QUILAGUY BERNAL
JOHN JAIRO BOBADILLA BERMEO</v>
      </c>
      <c r="M25" s="88">
        <f>IFERROR(IF(VLOOKUP(A25,[1]PRIORIZADOS!$A:$M,13,FALSE)="","",VLOOKUP(A25,[1]PRIORIZADOS!$A:$M,13,FALSE)),"")</f>
        <v>45736</v>
      </c>
      <c r="N25" s="88">
        <f>IFERROR(IF(VLOOKUP(A25,[1]PRIORIZADOS!$A:$N,14,FALSE)="","",VLOOKUP(A25,[1]PRIORIZADOS!$A:$N,14,FALSE)),"")</f>
        <v>45736</v>
      </c>
      <c r="O25" s="88">
        <f>IFERROR(IF(VLOOKUP(A25,[1]PRIORIZADOS!$A:$O,15,FALSE)="","",VLOOKUP(A25,[1]PRIORIZADOS!$A:$O,15,FALSE)),"")</f>
        <v>45736</v>
      </c>
      <c r="P25" s="16" t="str">
        <f>IFERROR(IF(VLOOKUP(A25,[1]PRIORIZADOS!$A:$P,16,FALSE)="","",VLOOKUP(A25,[1]PRIORIZADOS!$A:$P,16,FALSE)),"")</f>
        <v>Visitas de evaluación con fines de seguimiento</v>
      </c>
      <c r="Q25" s="89" t="s">
        <v>28</v>
      </c>
      <c r="R25" s="90" t="str">
        <f>IFERROR(IF(VLOOKUP(A25,[1]PRIORIZADOS!$A:$R,18,FALSE)="","",VLOOKUP(A25,[1]PRIORIZADOS!$A:$R,18,FALSE)),"")</f>
        <v>La matricula  no guarda correspondencia entre lo reportado en el EVI y la oferta educativa, dado que se evidencia que existen grupos, reportados por las directivas, en sedes no autorizadas.</v>
      </c>
      <c r="S25" s="11" t="str">
        <f>IFERROR(IF(VLOOKUP(A25,[1]PRIORIZADOS!$A:$S,19,FALSE)="","",VLOOKUP(A25,[1]PRIORIZADOS!$A:$S,19,FALSE)),"")</f>
        <v>La Intitucion Educativa, se compromete en trámitar el proceso para la legalizacion de las sedes aun no autorizadas</v>
      </c>
      <c r="T25" s="70" t="str">
        <f>IFERROR(IF(VLOOKUP(A25,[1]PRIORIZADOS!$A:$T,20,FALSE)="","",VLOOKUP(A25,[1]PRIORIZADOS!$A:$T,20,FALSE)),"")</f>
        <v>Si</v>
      </c>
      <c r="U25" s="11" t="str">
        <f>IFERROR(IF(VLOOKUP(A25,[1]PRIORIZADOS!$A:$U,21,FALSE)="","",VLOOKUP(A25,[1]PRIORIZADOS!$A:$U,21,FALSE)),"")</f>
        <v>Verificar las acciones definidas en el plan de mejoramiento una vez sea presentado. (04/04/2025)
Realizar seguimiento a traves de mesa técnica; Posterior a ello,se verificará de la documentación presentada por el EE  para la legalizacion de las sedes, a traves de la solcitud de modificacion de la licencia de funcionamiento. 
Se realiza seguimento del PMI, evidenciandose avance, conforme a lo orientado. (12/09/2025) Ver Carpeta POAIV - TRIM III</v>
      </c>
    </row>
    <row r="26" spans="1:21" s="1" customFormat="1" ht="96">
      <c r="A26" s="69">
        <f>IF([1]PRIORIZADOS!A27="","",[1]PRIORIZADOS!A27)</f>
        <v>20</v>
      </c>
      <c r="B26" s="87">
        <v>3</v>
      </c>
      <c r="C26" s="11" t="str">
        <f>IFERROR(IF(VLOOKUP(A26,[1]PRIORIZADOS!$A:$C,3,FALSE)="","",VLOOKUP(A26,[1]PRIORIZADOS!$A:$C,3,FALSE)),"")</f>
        <v>ANTONIO NARIÑO</v>
      </c>
      <c r="D26" s="69" t="str">
        <f>IFERROR(IF(VLOOKUP(A26,[1]PRIORIZADOS!$A:$D,4,FALSE)="","",VLOOKUP(A26,[1]PRIORIZADOS!$A:$D,4,FALSE)),"")</f>
        <v>PRIVADO</v>
      </c>
      <c r="E26" s="69" t="str">
        <f>IFERROR(IF(VLOOKUP(A26,[1]PRIORIZADOS!$A:$E,5,FALSE)="","",VLOOKUP(A26,[1]PRIORIZADOS!$A:$E,5,FALSE)),"")</f>
        <v>EPBM</v>
      </c>
      <c r="F26" s="11" t="str">
        <f>IFERROR(IF(VLOOKUP(A26,[1]PRIORIZADOS!$A:$F,6,FALSE)="","",VLOOKUP(A26,[1]PRIORIZADOS!$A:$F,6,FALSE)),"")</f>
        <v>LICEO_MODERNO_WALT_WHITMAN</v>
      </c>
      <c r="G26" s="69" t="str">
        <f>IFERROR(IF(VLOOKUP(A26,[1]PRIORIZADOS!$A:$G,7,FALSE)="","",VLOOKUP(A26,[1]PRIORIZADOS!$A:$G,7,FALSE)),"")</f>
        <v>LICEO MODERNO WALT WHITMAN</v>
      </c>
      <c r="H26" s="11" t="str">
        <f>IFERROR(IF(VLOOKUP(A26,[1]PRIORIZADOS!$A:$H,8,FALSE)="","",VLOOKUP(A26,[1]PRIORIZADOS!$A:$H,8,FALSE)),"")</f>
        <v>Autoevaluación Institucional y Pruebas SABER 11</v>
      </c>
      <c r="I26" s="11" t="str">
        <f>IFERROR(IF(VLOOKUP(A26,[1]PRIORIZADOS!$A:$I,9,FALSE)="","",VLOOKUP(A26,[1]PRIORIZADOS!$A:$I,9,FALSE)),"")</f>
        <v>SEGUIMIENTO_Y_SUPERVISIÓN.</v>
      </c>
      <c r="J26" s="11" t="str">
        <f>IFERROR(IF(VLOOKUP(A26,[1]PRIORIZADOS!$A:$J,10,FALSE)="","",VLOOKUP(A26,[1]PRIORIZADOS!$A:$J,10,FALSE)),"")</f>
        <v>Proponer estrategias en la formulación, verificar su elaboración y realizar seguimiento semestral al desarrollo de  las acciones establecidas en los planes de mejoramiento por pruebas SABER 11 de los establecimientos de educación formal.</v>
      </c>
      <c r="K26" s="11" t="str">
        <f>IFERROR(IF(VLOOKUP(A26,[1]PRIORIZADOS!$A:$K,11,FALSE)="","",VLOOKUP(A26,[1]PRIORIZADOS!$A:$K,11,FALSE)),"")</f>
        <v>ORLANDO SUÁREZ SOTO</v>
      </c>
      <c r="L26" s="11" t="str">
        <f>IFERROR(IF(VLOOKUP(A26,[1]PRIORIZADOS!$A:$L,12,FALSE)="","",VLOOKUP(A26,[1]PRIORIZADOS!$A:$L,12,FALSE)),"")</f>
        <v>ORLANDO SUÁREZ SOTO
JOSÉ RODRIGO QUILAGUY BERNAL
JOHN JAIRO BOBADILLA BERMEO</v>
      </c>
      <c r="M26" s="88">
        <f>IFERROR(IF(VLOOKUP(A26,[1]PRIORIZADOS!$A:$M,13,FALSE)="","",VLOOKUP(A26,[1]PRIORIZADOS!$A:$M,13,FALSE)),"")</f>
        <v>45736</v>
      </c>
      <c r="N26" s="88">
        <f>IFERROR(IF(VLOOKUP(A26,[1]PRIORIZADOS!$A:$N,14,FALSE)="","",VLOOKUP(A26,[1]PRIORIZADOS!$A:$N,14,FALSE)),"")</f>
        <v>45736</v>
      </c>
      <c r="O26" s="88">
        <f>IFERROR(IF(VLOOKUP(A26,[1]PRIORIZADOS!$A:$O,15,FALSE)="","",VLOOKUP(A26,[1]PRIORIZADOS!$A:$O,15,FALSE)),"")</f>
        <v>45736</v>
      </c>
      <c r="P26" s="16" t="str">
        <f>IFERROR(IF(VLOOKUP(A26,[1]PRIORIZADOS!$A:$P,16,FALSE)="","",VLOOKUP(A26,[1]PRIORIZADOS!$A:$P,16,FALSE)),"")</f>
        <v>Visitas de evaluación con fines de seguimiento</v>
      </c>
      <c r="Q26" s="99" t="s">
        <v>28</v>
      </c>
      <c r="R26" s="90" t="str">
        <f>IFERROR(IF(VLOOKUP(A26,[1]PRIORIZADOS!$A:$R,18,FALSE)="","",VLOOKUP(A26,[1]PRIORIZADOS!$A:$R,18,FALSE)),"")</f>
        <v>La IE está clasificada como A+ en las pruebas Saber 11 y presenta estrategias para mejorar sus estándares de calidad mediante socializaciones, capacitaciones y análisis de resultados. Sin embargo, se evidencia falta de documentación del proceso y ausencia de inclusión de estudiantes con discapacidad.</v>
      </c>
      <c r="S26" s="11" t="str">
        <f>IFERROR(IF(VLOOKUP(A26,[1]PRIORIZADOS!$A:$S,19,FALSE)="","",VLOOKUP(A26,[1]PRIORIZADOS!$A:$S,19,FALSE)),"")</f>
        <v>La IE reforzará la inclusion de sus estrategias de calidad educativa, a tráves de la documentación de sus procesos y el manejo para el trabajo con estudiantes con Discapacidad.</v>
      </c>
      <c r="T26" s="70" t="str">
        <f>IFERROR(IF(VLOOKUP(A26,[1]PRIORIZADOS!$A:$T,20,FALSE)="","",VLOOKUP(A26,[1]PRIORIZADOS!$A:$T,20,FALSE)),"")</f>
        <v>Si</v>
      </c>
      <c r="U26" s="11" t="str">
        <f>IFERROR(IF(VLOOKUP(A26,[1]PRIORIZADOS!$A:$U,21,FALSE)="","",VLOOKUP(A26,[1]PRIORIZADOS!$A:$U,21,FALSE)),"")</f>
        <v>Verificar las acciones definidas en el plan de mejoramiento una vez sea presentado y a traves de los analisis compartivos insitucionales (04/04/2025)
Se realiza seguimento del PMI, evidenciandose avance, conforme a lo orientado. (12/09/2025) Ver Carpeta POAIV - TRIM III</v>
      </c>
    </row>
    <row r="27" spans="1:21" s="1" customFormat="1" ht="84">
      <c r="A27" s="69">
        <f>IF([1]PRIORIZADOS!A28="","",[1]PRIORIZADOS!A28)</f>
        <v>21</v>
      </c>
      <c r="B27" s="87">
        <v>3</v>
      </c>
      <c r="C27" s="11" t="str">
        <f>IFERROR(IF(VLOOKUP(A27,[1]PRIORIZADOS!$A:$C,3,FALSE)="","",VLOOKUP(A27,[1]PRIORIZADOS!$A:$C,3,FALSE)),"")</f>
        <v>ANTONIO NARIÑO</v>
      </c>
      <c r="D27" s="69" t="str">
        <f>IFERROR(IF(VLOOKUP(A27,[1]PRIORIZADOS!$A:$D,4,FALSE)="","",VLOOKUP(A27,[1]PRIORIZADOS!$A:$D,4,FALSE)),"")</f>
        <v>PRIVADO</v>
      </c>
      <c r="E27" s="69" t="str">
        <f>IFERROR(IF(VLOOKUP(A27,[1]PRIORIZADOS!$A:$E,5,FALSE)="","",VLOOKUP(A27,[1]PRIORIZADOS!$A:$E,5,FALSE)),"")</f>
        <v>EPBM</v>
      </c>
      <c r="F27" s="11" t="str">
        <f>IFERROR(IF(VLOOKUP(A27,[1]PRIORIZADOS!$A:$F,6,FALSE)="","",VLOOKUP(A27,[1]PRIORIZADOS!$A:$F,6,FALSE)),"")</f>
        <v>LICEO_MODERNO_WALT_WHITMAN</v>
      </c>
      <c r="G27" s="69" t="str">
        <f>IFERROR(IF(VLOOKUP(A27,[1]PRIORIZADOS!$A:$G,7,FALSE)="","",VLOOKUP(A27,[1]PRIORIZADOS!$A:$G,7,FALSE)),"")</f>
        <v>LICEO MODERNO WALT WHITMAN</v>
      </c>
      <c r="H27" s="11" t="str">
        <f>IFERROR(IF(VLOOKUP(A27,[1]PRIORIZADOS!$A:$H,8,FALSE)="","",VLOOKUP(A27,[1]PRIORIZADOS!$A:$H,8,FALSE)),"")</f>
        <v>Autoevaluación Institucional y Pruebas SABER 11</v>
      </c>
      <c r="I27" s="11" t="str">
        <f>IFERROR(IF(VLOOKUP(A27,[1]PRIORIZADOS!$A:$I,9,FALSE)="","",VLOOKUP(A27,[1]PRIORIZADOS!$A:$I,9,FALSE)),"")</f>
        <v>SEGUIMIENTO_Y_SUPERVISIÓN.</v>
      </c>
      <c r="J27" s="11" t="str">
        <f>IFERROR(IF(VLOOKUP(A27,[1]PRIORIZADOS!$A:$J,10,FALSE)="","",VLOOKUP(A27,[1]PRIORIZADOS!$A:$J,10,FALSE)),"")</f>
        <v xml:space="preserve">Verificar la implementación por parte de los colegios, de acciones realizadas para la prevención y atención de las situaciones de convivencia en el entorno escolar, según lo establecido en la Directiva 01 de 2022 del MEN. </v>
      </c>
      <c r="K27" s="11" t="str">
        <f>IFERROR(IF(VLOOKUP(A27,[1]PRIORIZADOS!$A:$K,11,FALSE)="","",VLOOKUP(A27,[1]PRIORIZADOS!$A:$K,11,FALSE)),"")</f>
        <v>ORLANDO SUÁREZ SOTO</v>
      </c>
      <c r="L27" s="11" t="str">
        <f>IFERROR(IF(VLOOKUP(A27,[1]PRIORIZADOS!$A:$L,12,FALSE)="","",VLOOKUP(A27,[1]PRIORIZADOS!$A:$L,12,FALSE)),"")</f>
        <v>ORLANDO SUÁREZ SOTO
JOSÉ RODRIGO QUILAGUY BERNAL
JOHN JAIRO BOBADILLA BERMEO</v>
      </c>
      <c r="M27" s="88">
        <f>IFERROR(IF(VLOOKUP(A27,[1]PRIORIZADOS!$A:$M,13,FALSE)="","",VLOOKUP(A27,[1]PRIORIZADOS!$A:$M,13,FALSE)),"")</f>
        <v>45736</v>
      </c>
      <c r="N27" s="88">
        <f>IFERROR(IF(VLOOKUP(A27,[1]PRIORIZADOS!$A:$N,14,FALSE)="","",VLOOKUP(A27,[1]PRIORIZADOS!$A:$N,14,FALSE)),"")</f>
        <v>45736</v>
      </c>
      <c r="O27" s="88">
        <f>IFERROR(IF(VLOOKUP(A27,[1]PRIORIZADOS!$A:$O,15,FALSE)="","",VLOOKUP(A27,[1]PRIORIZADOS!$A:$O,15,FALSE)),"")</f>
        <v>45736</v>
      </c>
      <c r="P27" s="16" t="str">
        <f>IFERROR(IF(VLOOKUP(A27,[1]PRIORIZADOS!$A:$P,16,FALSE)="","",VLOOKUP(A27,[1]PRIORIZADOS!$A:$P,16,FALSE)),"")</f>
        <v>Visitas de evaluación con fines de seguimiento</v>
      </c>
      <c r="Q27" s="99" t="s">
        <v>28</v>
      </c>
      <c r="R27" s="90" t="str">
        <f>IFERROR(IF(VLOOKUP(A27,[1]PRIORIZADOS!$A:$R,18,FALSE)="","",VLOOKUP(A27,[1]PRIORIZADOS!$A:$R,18,FALSE)),"")</f>
        <v>Se evidencio que  realizan consulta  de antecedentes de delitos sexuales del personal docente y administrativo  y se encuentra evidencia de la operatividad del Comité de Convivencia Escolar.</v>
      </c>
      <c r="S27" s="11" t="str">
        <f>IFERROR(IF(VLOOKUP(A27,[1]PRIORIZADOS!$A:$S,19,FALSE)="","",VLOOKUP(A27,[1]PRIORIZADOS!$A:$S,19,FALSE)),"")</f>
        <v xml:space="preserve">Continuar haciendo la consulta de antecedentes con la periodicidad establecida (cada 4 meses). Poner en funcionamiento el Comite de Convivencia para la implementación de acciones de prevención y atención de situaciones de convivencia en el entorno escolar. </v>
      </c>
      <c r="T27" s="70" t="str">
        <f>IFERROR(IF(VLOOKUP(A27,[1]PRIORIZADOS!$A:$T,20,FALSE)="","",VLOOKUP(A27,[1]PRIORIZADOS!$A:$T,20,FALSE)),"")</f>
        <v>No</v>
      </c>
      <c r="U27" s="11" t="str">
        <f>IFERROR(IF(VLOOKUP(A27,[1]PRIORIZADOS!$A:$U,21,FALSE)="","",VLOOKUP(A27,[1]PRIORIZADOS!$A:$U,21,FALSE)),"")</f>
        <v>Se realizará seguimiento a la conformación de los gobiernos e instancias de participación, según cronograma establecido por la SED, para la vigencia 2026.</v>
      </c>
    </row>
    <row r="28" spans="1:21" s="1" customFormat="1" ht="72">
      <c r="A28" s="69">
        <f>IF([1]PRIORIZADOS!A29="","",[1]PRIORIZADOS!A29)</f>
        <v>22</v>
      </c>
      <c r="B28" s="87">
        <v>3</v>
      </c>
      <c r="C28" s="11" t="str">
        <f>IFERROR(IF(VLOOKUP(A28,[1]PRIORIZADOS!$A:$C,3,FALSE)="","",VLOOKUP(A28,[1]PRIORIZADOS!$A:$C,3,FALSE)),"")</f>
        <v>ANTONIO NARIÑO</v>
      </c>
      <c r="D28" s="69" t="str">
        <f>IFERROR(IF(VLOOKUP(A28,[1]PRIORIZADOS!$A:$D,4,FALSE)="","",VLOOKUP(A28,[1]PRIORIZADOS!$A:$D,4,FALSE)),"")</f>
        <v>PRIVADO</v>
      </c>
      <c r="E28" s="69" t="str">
        <f>IFERROR(IF(VLOOKUP(A28,[1]PRIORIZADOS!$A:$E,5,FALSE)="","",VLOOKUP(A28,[1]PRIORIZADOS!$A:$E,5,FALSE)),"")</f>
        <v>EPBM</v>
      </c>
      <c r="F28" s="11" t="str">
        <f>IFERROR(IF(VLOOKUP(A28,[1]PRIORIZADOS!$A:$F,6,FALSE)="","",VLOOKUP(A28,[1]PRIORIZADOS!$A:$F,6,FALSE)),"")</f>
        <v>LICEO_MODERNO_WALT_WHITMAN</v>
      </c>
      <c r="G28" s="69" t="str">
        <f>IFERROR(IF(VLOOKUP(A28,[1]PRIORIZADOS!$A:$G,7,FALSE)="","",VLOOKUP(A28,[1]PRIORIZADOS!$A:$G,7,FALSE)),"")</f>
        <v>LICEO MODERNO WALT WHITMAN</v>
      </c>
      <c r="H28" s="11" t="str">
        <f>IFERROR(IF(VLOOKUP(A28,[1]PRIORIZADOS!$A:$H,8,FALSE)="","",VLOOKUP(A28,[1]PRIORIZADOS!$A:$H,8,FALSE)),"")</f>
        <v>Autoevaluación Institucional y Pruebas SABER 11</v>
      </c>
      <c r="I28" s="11" t="str">
        <f>IFERROR(IF(VLOOKUP(A28,[1]PRIORIZADOS!$A:$I,9,FALSE)="","",VLOOKUP(A28,[1]PRIORIZADOS!$A:$I,9,FALSE)),"")</f>
        <v>SEGUIMIENTO_Y_SUPERVISIÓN.</v>
      </c>
      <c r="J28" s="11" t="str">
        <f>IFERROR(IF(VLOOKUP(A28,[1]PRIORIZADOS!$A:$J,10,FALSE)="","",VLOOKUP(A28,[1]PRIORIZADOS!$A:$J,10,FALSE)),"")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8" s="11" t="str">
        <f>IFERROR(IF(VLOOKUP(A28,[1]PRIORIZADOS!$A:$K,11,FALSE)="","",VLOOKUP(A28,[1]PRIORIZADOS!$A:$K,11,FALSE)),"")</f>
        <v>ORLANDO SUÁREZ SOTO</v>
      </c>
      <c r="L28" s="11" t="str">
        <f>IFERROR(IF(VLOOKUP(A28,[1]PRIORIZADOS!$A:$L,12,FALSE)="","",VLOOKUP(A28,[1]PRIORIZADOS!$A:$L,12,FALSE)),"")</f>
        <v>ORLANDO SUÁREZ SOTO
JOSÉ RODRIGO QUILAGUY BERNAL
JOHN JAIRO BOBADILLA BERMEO</v>
      </c>
      <c r="M28" s="88">
        <f>IFERROR(IF(VLOOKUP(A28,[1]PRIORIZADOS!$A:$M,13,FALSE)="","",VLOOKUP(A28,[1]PRIORIZADOS!$A:$M,13,FALSE)),"")</f>
        <v>45736</v>
      </c>
      <c r="N28" s="88">
        <f>IFERROR(IF(VLOOKUP(A28,[1]PRIORIZADOS!$A:$N,14,FALSE)="","",VLOOKUP(A28,[1]PRIORIZADOS!$A:$N,14,FALSE)),"")</f>
        <v>45736</v>
      </c>
      <c r="O28" s="88">
        <f>IFERROR(IF(VLOOKUP(A28,[1]PRIORIZADOS!$A:$O,15,FALSE)="","",VLOOKUP(A28,[1]PRIORIZADOS!$A:$O,15,FALSE)),"")</f>
        <v>45736</v>
      </c>
      <c r="P28" s="16" t="str">
        <f>IFERROR(IF(VLOOKUP(A28,[1]PRIORIZADOS!$A:$P,16,FALSE)="","",VLOOKUP(A28,[1]PRIORIZADOS!$A:$P,16,FALSE)),"")</f>
        <v>Visitas de evaluación con fines de seguimiento</v>
      </c>
      <c r="Q28" s="99" t="s">
        <v>28</v>
      </c>
      <c r="R28" s="90" t="str">
        <f>IFERROR(IF(VLOOKUP(A28,[1]PRIORIZADOS!$A:$R,18,FALSE)="","",VLOOKUP(A28,[1]PRIORIZADOS!$A:$R,18,FALSE)),"")</f>
        <v>Se evidencia que junto con el SIEE y el plan de estudios, existen lineamientos para el manejo y seguimiento de los PIAR, conforme al decreto 1421.</v>
      </c>
      <c r="S28" s="11" t="str">
        <f>IFERROR(IF(VLOOKUP(A28,[1]PRIORIZADOS!$A:$S,19,FALSE)="","",VLOOKUP(A28,[1]PRIORIZADOS!$A:$S,19,FALSE)),"")</f>
        <v>Continuar con el establecimiento y seguimiento de los PIAR y su articulacion, valoracion de desempeño, evaluacion y promocion de los estudiantes, a partir de las acciones por parte de los docentes.</v>
      </c>
      <c r="T28" s="70" t="str">
        <f>IFERROR(IF(VLOOKUP(A28,[1]PRIORIZADOS!$A:$T,20,FALSE)="","",VLOOKUP(A28,[1]PRIORIZADOS!$A:$T,20,FALSE)),"")</f>
        <v>No</v>
      </c>
      <c r="U28" s="11" t="str">
        <f>IFERROR(IF(VLOOKUP(A28,[1]PRIORIZADOS!$A:$U,21,FALSE)="","",VLOOKUP(A28,[1]PRIORIZADOS!$A:$U,21,FALSE)),"")</f>
        <v>Se verificará el proceso en caso de presentarse queja.</v>
      </c>
    </row>
    <row r="29" spans="1:21" s="1" customFormat="1" ht="96">
      <c r="A29" s="69">
        <f>IF([1]PRIORIZADOS!A30="","",[1]PRIORIZADOS!A30)</f>
        <v>23</v>
      </c>
      <c r="B29" s="87">
        <v>3</v>
      </c>
      <c r="C29" s="11" t="str">
        <f>IFERROR(IF(VLOOKUP(A29,[1]PRIORIZADOS!$A:$C,3,FALSE)="","",VLOOKUP(A29,[1]PRIORIZADOS!$A:$C,3,FALSE)),"")</f>
        <v>ANTONIO NARIÑO</v>
      </c>
      <c r="D29" s="69" t="str">
        <f>IFERROR(IF(VLOOKUP(A29,[1]PRIORIZADOS!$A:$D,4,FALSE)="","",VLOOKUP(A29,[1]PRIORIZADOS!$A:$D,4,FALSE)),"")</f>
        <v>PRIVADO</v>
      </c>
      <c r="E29" s="69" t="str">
        <f>IFERROR(IF(VLOOKUP(A29,[1]PRIORIZADOS!$A:$E,5,FALSE)="","",VLOOKUP(A29,[1]PRIORIZADOS!$A:$E,5,FALSE)),"")</f>
        <v>EPBM</v>
      </c>
      <c r="F29" s="11" t="str">
        <f>IFERROR(IF(VLOOKUP(A29,[1]PRIORIZADOS!$A:$F,6,FALSE)="","",VLOOKUP(A29,[1]PRIORIZADOS!$A:$F,6,FALSE)),"")</f>
        <v>LICEO_MODERNO_WALT_WHITMAN</v>
      </c>
      <c r="G29" s="69" t="str">
        <f>IFERROR(IF(VLOOKUP(A29,[1]PRIORIZADOS!$A:$G,7,FALSE)="","",VLOOKUP(A29,[1]PRIORIZADOS!$A:$G,7,FALSE)),"")</f>
        <v>LICEO MODERNO WALT WHITMAN</v>
      </c>
      <c r="H29" s="11" t="str">
        <f>IFERROR(IF(VLOOKUP(A29,[1]PRIORIZADOS!$A:$H,8,FALSE)="","",VLOOKUP(A29,[1]PRIORIZADOS!$A:$H,8,FALSE)),"")</f>
        <v>Autoevaluación Institucional y Pruebas SABER 11</v>
      </c>
      <c r="I29" s="11" t="str">
        <f>IFERROR(IF(VLOOKUP(A29,[1]PRIORIZADOS!$A:$I,9,FALSE)="","",VLOOKUP(A29,[1]PRIORIZADOS!$A:$I,9,FALSE)),"")</f>
        <v>EVALUACIÓN_CON_FINES_DE_MEJORAMIENTO.</v>
      </c>
      <c r="J29" s="11" t="str">
        <f>IFERROR(IF(VLOOKUP(A29,[1]PRIORIZADOS!$A:$J,10,FALSE)="","",VLOOKUP(A29,[1]PRIORIZADOS!$A:$J,10,FALSE)),"")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9" s="11" t="str">
        <f>IFERROR(IF(VLOOKUP(A29,[1]PRIORIZADOS!$A:$K,11,FALSE)="","",VLOOKUP(A29,[1]PRIORIZADOS!$A:$K,11,FALSE)),"")</f>
        <v>ORLANDO SUÁREZ SOTO</v>
      </c>
      <c r="L29" s="11" t="str">
        <f>IFERROR(IF(VLOOKUP(A29,[1]PRIORIZADOS!$A:$L,12,FALSE)="","",VLOOKUP(A29,[1]PRIORIZADOS!$A:$L,12,FALSE)),"")</f>
        <v>ORLANDO SUÁREZ SOTO
JOSÉ RODRIGO QUILAGUY BERNAL
JOHN JAIRO BOBADILLA BERMEO</v>
      </c>
      <c r="M29" s="88">
        <f>IFERROR(IF(VLOOKUP(A29,[1]PRIORIZADOS!$A:$M,13,FALSE)="","",VLOOKUP(A29,[1]PRIORIZADOS!$A:$M,13,FALSE)),"")</f>
        <v>45736</v>
      </c>
      <c r="N29" s="88">
        <f>IFERROR(IF(VLOOKUP(A29,[1]PRIORIZADOS!$A:$N,14,FALSE)="","",VLOOKUP(A29,[1]PRIORIZADOS!$A:$N,14,FALSE)),"")</f>
        <v>45736</v>
      </c>
      <c r="O29" s="88">
        <f>IFERROR(IF(VLOOKUP(A29,[1]PRIORIZADOS!$A:$O,15,FALSE)="","",VLOOKUP(A29,[1]PRIORIZADOS!$A:$O,15,FALSE)),"")</f>
        <v>45736</v>
      </c>
      <c r="P29" s="16" t="str">
        <f>IFERROR(IF(VLOOKUP(A29,[1]PRIORIZADOS!$A:$P,16,FALSE)="","",VLOOKUP(A29,[1]PRIORIZADOS!$A:$P,16,FALSE)),"")</f>
        <v>Visitas de evaluación con fines de mejoramiento</v>
      </c>
      <c r="Q29" s="99" t="s">
        <v>28</v>
      </c>
      <c r="R29" s="90" t="str">
        <f>IFERROR(IF(VLOOKUP(A29,[1]PRIORIZADOS!$A:$R,18,FALSE)="","",VLOOKUP(A29,[1]PRIORIZADOS!$A:$R,18,FALSE)),"")</f>
        <v>El EE cuenta con las evidencias de participación. Además, existen evidencias (actas) de la construcción del manual de convivencia por parte de toda la comunidad educativa, no obstante, el proceso de seguimiento a la implementación del reglamento interno debe realizarse.</v>
      </c>
      <c r="S29" s="11" t="str">
        <f>IFERROR(IF(VLOOKUP(A29,[1]PRIORIZADOS!$A:$S,19,FALSE)="","",VLOOKUP(A29,[1]PRIORIZADOS!$A:$S,19,FALSE)),"")</f>
        <v>Realizar la revisión y ajustes del Manual de Convivencia y con la construcción participativa de este documento orientado institucinal</v>
      </c>
      <c r="T29" s="70" t="str">
        <f>IFERROR(IF(VLOOKUP(A29,[1]PRIORIZADOS!$A:$T,20,FALSE)="","",VLOOKUP(A29,[1]PRIORIZADOS!$A:$T,20,FALSE)),"")</f>
        <v>Si</v>
      </c>
      <c r="U29" s="11" t="str">
        <f>IFERROR(IF(VLOOKUP(A29,[1]PRIORIZADOS!$A:$U,21,FALSE)="","",VLOOKUP(A29,[1]PRIORIZADOS!$A:$U,21,FALSE)),"")</f>
        <v>Verificar las acciones definidas en el plan de mejoramiento una vez sea presentado.(04/04/2025)
Se realiza seguimento del PMI, evidenciandose avance, conforme a lo orientado. (12/09/2025) Ver Carpeta POAIV - TRIM III</v>
      </c>
    </row>
    <row r="30" spans="1:21" s="1" customFormat="1" ht="60">
      <c r="A30" s="69">
        <f>IF([1]PRIORIZADOS!A31="","",[1]PRIORIZADOS!A31)</f>
        <v>24</v>
      </c>
      <c r="B30" s="87">
        <v>3</v>
      </c>
      <c r="C30" s="11" t="str">
        <f>IFERROR(IF(VLOOKUP(A30,[1]PRIORIZADOS!$A:$C,3,FALSE)="","",VLOOKUP(A30,[1]PRIORIZADOS!$A:$C,3,FALSE)),"")</f>
        <v>ANTONIO NARIÑO</v>
      </c>
      <c r="D30" s="69" t="str">
        <f>IFERROR(IF(VLOOKUP(A30,[1]PRIORIZADOS!$A:$D,4,FALSE)="","",VLOOKUP(A30,[1]PRIORIZADOS!$A:$D,4,FALSE)),"")</f>
        <v>PRIVADO</v>
      </c>
      <c r="E30" s="69" t="str">
        <f>IFERROR(IF(VLOOKUP(A30,[1]PRIORIZADOS!$A:$E,5,FALSE)="","",VLOOKUP(A30,[1]PRIORIZADOS!$A:$E,5,FALSE)),"")</f>
        <v>EPBM</v>
      </c>
      <c r="F30" s="11" t="str">
        <f>IFERROR(IF(VLOOKUP(A30,[1]PRIORIZADOS!$A:$F,6,FALSE)="","",VLOOKUP(A30,[1]PRIORIZADOS!$A:$F,6,FALSE)),"")</f>
        <v>LICEO_MODERNO_WALT_WHITMAN</v>
      </c>
      <c r="G30" s="69" t="str">
        <f>IFERROR(IF(VLOOKUP(A30,[1]PRIORIZADOS!$A:$G,7,FALSE)="","",VLOOKUP(A30,[1]PRIORIZADOS!$A:$G,7,FALSE)),"")</f>
        <v>LICEO MODERNO WALT WHITMAN</v>
      </c>
      <c r="H30" s="11" t="str">
        <f>IFERROR(IF(VLOOKUP(A30,[1]PRIORIZADOS!$A:$H,8,FALSE)="","",VLOOKUP(A30,[1]PRIORIZADOS!$A:$H,8,FALSE)),"")</f>
        <v>Autoevaluación Institucional y Pruebas SABER 11</v>
      </c>
      <c r="I30" s="11" t="str">
        <f>IFERROR(IF(VLOOKUP(A30,[1]PRIORIZADOS!$A:$I,9,FALSE)="","",VLOOKUP(A30,[1]PRIORIZADOS!$A:$I,9,FALSE)),"")</f>
        <v>EVALUACIÓN_CON_FINES_DE_MEJORAMIENTO.</v>
      </c>
      <c r="J30" s="11" t="str">
        <f>IFERROR(IF(VLOOKUP(A30,[1]PRIORIZADOS!$A:$J,10,FALSE)="","",VLOOKUP(A30,[1]PRIORIZADOS!$A:$J,10,FALSE)),"")</f>
        <v>Revisar la actualización, socialización e implementación del Sistema Institucional de Evaluación de Estudiantes - SIEE, en articulación con la actualización del PEI y la normatividad vigente.</v>
      </c>
      <c r="K30" s="11" t="str">
        <f>IFERROR(IF(VLOOKUP(A30,[1]PRIORIZADOS!$A:$K,11,FALSE)="","",VLOOKUP(A30,[1]PRIORIZADOS!$A:$K,11,FALSE)),"")</f>
        <v>ORLANDO SUÁREZ SOTO</v>
      </c>
      <c r="L30" s="11" t="str">
        <f>IFERROR(IF(VLOOKUP(A30,[1]PRIORIZADOS!$A:$L,12,FALSE)="","",VLOOKUP(A30,[1]PRIORIZADOS!$A:$L,12,FALSE)),"")</f>
        <v>ORLANDO SUÁREZ SOTO
JOSÉ RODRIGO QUILAGUY BERNAL
JOHN JAIRO BOBADILLA BERMEO</v>
      </c>
      <c r="M30" s="88">
        <f>IFERROR(IF(VLOOKUP(A30,[1]PRIORIZADOS!$A:$M,13,FALSE)="","",VLOOKUP(A30,[1]PRIORIZADOS!$A:$M,13,FALSE)),"")</f>
        <v>45736</v>
      </c>
      <c r="N30" s="88">
        <f>IFERROR(IF(VLOOKUP(A30,[1]PRIORIZADOS!$A:$N,14,FALSE)="","",VLOOKUP(A30,[1]PRIORIZADOS!$A:$N,14,FALSE)),"")</f>
        <v>45736</v>
      </c>
      <c r="O30" s="88">
        <f>IFERROR(IF(VLOOKUP(A30,[1]PRIORIZADOS!$A:$O,15,FALSE)="","",VLOOKUP(A30,[1]PRIORIZADOS!$A:$O,15,FALSE)),"")</f>
        <v>45736</v>
      </c>
      <c r="P30" s="16" t="str">
        <f>IFERROR(IF(VLOOKUP(A30,[1]PRIORIZADOS!$A:$P,16,FALSE)="","",VLOOKUP(A30,[1]PRIORIZADOS!$A:$P,16,FALSE)),"")</f>
        <v>Visitas de evaluación con fines de mejoramiento</v>
      </c>
      <c r="Q30" s="99" t="s">
        <v>28</v>
      </c>
      <c r="R30" s="90" t="str">
        <f>IFERROR(IF(VLOOKUP(A30,[1]PRIORIZADOS!$A:$R,18,FALSE)="","",VLOOKUP(A30,[1]PRIORIZADOS!$A:$R,18,FALSE)),"")</f>
        <v>Se evidencia que el documento SIEE esta construido participativamente, ademas esta socializada  y articulado con la normatividad vigente.</v>
      </c>
      <c r="S30" s="11" t="str">
        <f>IFERROR(IF(VLOOKUP(A30,[1]PRIORIZADOS!$A:$S,19,FALSE)="","",VLOOKUP(A30,[1]PRIORIZADOS!$A:$S,19,FALSE)),"")</f>
        <v>Continuar con la actualizacion constante del  Sistema institucional de evaluación de los estudiantes- SIEE a tráves de su evaluación y registro de la información</v>
      </c>
      <c r="T30" s="70" t="str">
        <f>IFERROR(IF(VLOOKUP(A30,[1]PRIORIZADOS!$A:$T,20,FALSE)="","",VLOOKUP(A30,[1]PRIORIZADOS!$A:$T,20,FALSE)),"")</f>
        <v>No</v>
      </c>
      <c r="U30" s="11" t="str">
        <f>IFERROR(IF(VLOOKUP(A30,[1]PRIORIZADOS!$A:$U,21,FALSE)="","",VLOOKUP(A30,[1]PRIORIZADOS!$A:$U,21,FALSE)),"")</f>
        <v>Verificar en caso de requerimiento o queja</v>
      </c>
    </row>
    <row r="31" spans="1:21" s="1" customFormat="1" ht="60">
      <c r="A31" s="69">
        <f>IF([1]PRIORIZADOS!A32="","",[1]PRIORIZADOS!A32)</f>
        <v>25</v>
      </c>
      <c r="B31" s="87">
        <v>3</v>
      </c>
      <c r="C31" s="11" t="str">
        <f>IFERROR(IF(VLOOKUP(A31,[1]PRIORIZADOS!$A:$C,3,FALSE)="","",VLOOKUP(A31,[1]PRIORIZADOS!$A:$C,3,FALSE)),"")</f>
        <v>ANTONIO NARIÑO</v>
      </c>
      <c r="D31" s="69" t="str">
        <f>IFERROR(IF(VLOOKUP(A31,[1]PRIORIZADOS!$A:$D,4,FALSE)="","",VLOOKUP(A31,[1]PRIORIZADOS!$A:$D,4,FALSE)),"")</f>
        <v>PRIVADO</v>
      </c>
      <c r="E31" s="69" t="str">
        <f>IFERROR(IF(VLOOKUP(A31,[1]PRIORIZADOS!$A:$E,5,FALSE)="","",VLOOKUP(A31,[1]PRIORIZADOS!$A:$E,5,FALSE)),"")</f>
        <v>EPBM</v>
      </c>
      <c r="F31" s="11" t="str">
        <f>IFERROR(IF(VLOOKUP(A31,[1]PRIORIZADOS!$A:$F,6,FALSE)="","",VLOOKUP(A31,[1]PRIORIZADOS!$A:$F,6,FALSE)),"")</f>
        <v>LICEO_MODERNO_WALT_WHITMAN</v>
      </c>
      <c r="G31" s="69" t="str">
        <f>IFERROR(IF(VLOOKUP(A31,[1]PRIORIZADOS!$A:$G,7,FALSE)="","",VLOOKUP(A31,[1]PRIORIZADOS!$A:$G,7,FALSE)),"")</f>
        <v>LICEO MODERNO WALT WHITMAN</v>
      </c>
      <c r="H31" s="11" t="str">
        <f>IFERROR(IF(VLOOKUP(A31,[1]PRIORIZADOS!$A:$H,8,FALSE)="","",VLOOKUP(A31,[1]PRIORIZADOS!$A:$H,8,FALSE)),"")</f>
        <v>Autoevaluación Institucional y Pruebas SABER 11</v>
      </c>
      <c r="I31" s="11" t="str">
        <f>IFERROR(IF(VLOOKUP(A31,[1]PRIORIZADOS!$A:$I,9,FALSE)="","",VLOOKUP(A31,[1]PRIORIZADOS!$A:$I,9,FALSE)),"")</f>
        <v>EVALUACIÓN_CON_FINES_DE_MEJORAMIENTO.</v>
      </c>
      <c r="J31" s="11" t="str">
        <f>IFERROR(IF(VLOOKUP(A31,[1]PRIORIZADOS!$A:$J,10,FALSE)="","",VLOOKUP(A31,[1]PRIORIZADOS!$A:$J,10,FALSE)),"")</f>
        <v>Revisar el calendario escolar, jornada escolar, la intensidad horaria mínima anual en cada nivel y las modificaciones que se realicen al mismo, de acuerdo con lo previsto en la normatividad vigente.</v>
      </c>
      <c r="K31" s="11" t="str">
        <f>IFERROR(IF(VLOOKUP(A31,[1]PRIORIZADOS!$A:$K,11,FALSE)="","",VLOOKUP(A31,[1]PRIORIZADOS!$A:$K,11,FALSE)),"")</f>
        <v>ORLANDO SUÁREZ SOTO</v>
      </c>
      <c r="L31" s="11" t="str">
        <f>IFERROR(IF(VLOOKUP(A31,[1]PRIORIZADOS!$A:$L,12,FALSE)="","",VLOOKUP(A31,[1]PRIORIZADOS!$A:$L,12,FALSE)),"")</f>
        <v>ORLANDO SUÁREZ SOTO
JOSÉ RODRIGO QUILAGUY BERNAL
JOHN JAIRO BOBADILLA BERMEO</v>
      </c>
      <c r="M31" s="88">
        <f>IFERROR(IF(VLOOKUP(A31,[1]PRIORIZADOS!$A:$M,13,FALSE)="","",VLOOKUP(A31,[1]PRIORIZADOS!$A:$M,13,FALSE)),"")</f>
        <v>45736</v>
      </c>
      <c r="N31" s="88">
        <f>IFERROR(IF(VLOOKUP(A31,[1]PRIORIZADOS!$A:$N,14,FALSE)="","",VLOOKUP(A31,[1]PRIORIZADOS!$A:$N,14,FALSE)),"")</f>
        <v>45736</v>
      </c>
      <c r="O31" s="88">
        <f>IFERROR(IF(VLOOKUP(A31,[1]PRIORIZADOS!$A:$O,15,FALSE)="","",VLOOKUP(A31,[1]PRIORIZADOS!$A:$O,15,FALSE)),"")</f>
        <v>45736</v>
      </c>
      <c r="P31" s="16" t="str">
        <f>IFERROR(IF(VLOOKUP(A31,[1]PRIORIZADOS!$A:$P,16,FALSE)="","",VLOOKUP(A31,[1]PRIORIZADOS!$A:$P,16,FALSE)),"")</f>
        <v>Visitas de evaluación con fines de mejoramiento</v>
      </c>
      <c r="Q31" s="99" t="s">
        <v>28</v>
      </c>
      <c r="R31" s="90" t="str">
        <f>IFERROR(IF(VLOOKUP(A31,[1]PRIORIZADOS!$A:$R,18,FALSE)="","",VLOOKUP(A31,[1]PRIORIZADOS!$A:$R,18,FALSE)),"")</f>
        <v>Se constata que la Institución Educativa garantiza el cumplimiento de la intensidad horaria mínima anual para todos los niveles educativos que ofrece.</v>
      </c>
      <c r="S31" s="11" t="str">
        <f>IFERROR(IF(VLOOKUP(A31,[1]PRIORIZADOS!$A:$S,19,FALSE)="","",VLOOKUP(A31,[1]PRIORIZADOS!$A:$S,19,FALSE)),"")</f>
        <v>La IE asegura el cumplimiento de la intensidad horaria mínima anual establecida para cada uno de sus niveles educativos.</v>
      </c>
      <c r="T31" s="70" t="str">
        <f>IFERROR(IF(VLOOKUP(A31,[1]PRIORIZADOS!$A:$T,20,FALSE)="","",VLOOKUP(A31,[1]PRIORIZADOS!$A:$T,20,FALSE)),"")</f>
        <v>No</v>
      </c>
      <c r="U31" s="11" t="str">
        <f>IFERROR(IF(VLOOKUP(A31,[1]PRIORIZADOS!$A:$U,21,FALSE)="","",VLOOKUP(A31,[1]PRIORIZADOS!$A:$U,21,FALSE)),"")</f>
        <v>Verificar en caso de requerimiento o queja</v>
      </c>
    </row>
    <row r="32" spans="1:21" s="1" customFormat="1" ht="60">
      <c r="A32" s="69">
        <f>IF([1]PRIORIZADOS!A33="","",[1]PRIORIZADOS!A33)</f>
        <v>26</v>
      </c>
      <c r="B32" s="87">
        <v>3</v>
      </c>
      <c r="C32" s="11" t="str">
        <f>IFERROR(IF(VLOOKUP(A32,[1]PRIORIZADOS!$A:$C,3,FALSE)="","",VLOOKUP(A32,[1]PRIORIZADOS!$A:$C,3,FALSE)),"")</f>
        <v>ANTONIO NARIÑO</v>
      </c>
      <c r="D32" s="69" t="str">
        <f>IFERROR(IF(VLOOKUP(A32,[1]PRIORIZADOS!$A:$D,4,FALSE)="","",VLOOKUP(A32,[1]PRIORIZADOS!$A:$D,4,FALSE)),"")</f>
        <v>PRIVADO</v>
      </c>
      <c r="E32" s="69" t="str">
        <f>IFERROR(IF(VLOOKUP(A32,[1]PRIORIZADOS!$A:$E,5,FALSE)="","",VLOOKUP(A32,[1]PRIORIZADOS!$A:$E,5,FALSE)),"")</f>
        <v>EPBM</v>
      </c>
      <c r="F32" s="11" t="str">
        <f>IFERROR(IF(VLOOKUP(A32,[1]PRIORIZADOS!$A:$F,6,FALSE)="","",VLOOKUP(A32,[1]PRIORIZADOS!$A:$F,6,FALSE)),"")</f>
        <v>LICEO_MODERNO_WALT_WHITMAN</v>
      </c>
      <c r="G32" s="69" t="str">
        <f>IFERROR(IF(VLOOKUP(A32,[1]PRIORIZADOS!$A:$G,7,FALSE)="","",VLOOKUP(A32,[1]PRIORIZADOS!$A:$G,7,FALSE)),"")</f>
        <v>LICEO MODERNO WALT WHITMAN</v>
      </c>
      <c r="H32" s="11" t="str">
        <f>IFERROR(IF(VLOOKUP(A32,[1]PRIORIZADOS!$A:$H,8,FALSE)="","",VLOOKUP(A32,[1]PRIORIZADOS!$A:$H,8,FALSE)),"")</f>
        <v>Autoevaluación Institucional y Pruebas SABER 11</v>
      </c>
      <c r="I32" s="11" t="str">
        <f>IFERROR(IF(VLOOKUP(A32,[1]PRIORIZADOS!$A:$I,9,FALSE)="","",VLOOKUP(A32,[1]PRIORIZADOS!$A:$I,9,FALSE)),"")</f>
        <v>EVALUACIÓN_CON_FINES_DE_MEJORAMIENTO.</v>
      </c>
      <c r="J32" s="11" t="str">
        <f>IFERROR(IF(VLOOKUP(A32,[1]PRIORIZADOS!$A:$J,10,FALSE)="","",VLOOKUP(A32,[1]PRIORIZADOS!$A:$J,10,FALSE)),"")</f>
        <v>Verificar el funcionamiento del Gobierno Escolar e instancias de participación con base en la información sobre conformación reportada por la institución educativa.</v>
      </c>
      <c r="K32" s="11" t="str">
        <f>IFERROR(IF(VLOOKUP(A32,[1]PRIORIZADOS!$A:$K,11,FALSE)="","",VLOOKUP(A32,[1]PRIORIZADOS!$A:$K,11,FALSE)),"")</f>
        <v>ORLANDO SUÁREZ SOTO</v>
      </c>
      <c r="L32" s="11" t="str">
        <f>IFERROR(IF(VLOOKUP(A32,[1]PRIORIZADOS!$A:$L,12,FALSE)="","",VLOOKUP(A32,[1]PRIORIZADOS!$A:$L,12,FALSE)),"")</f>
        <v>ORLANDO SUÁREZ SOTO
JOSÉ RODRIGO QUILAGUY BERNAL
JOHN JAIRO BOBADILLA BERMEO</v>
      </c>
      <c r="M32" s="88">
        <f>IFERROR(IF(VLOOKUP(A32,[1]PRIORIZADOS!$A:$M,13,FALSE)="","",VLOOKUP(A32,[1]PRIORIZADOS!$A:$M,13,FALSE)),"")</f>
        <v>45736</v>
      </c>
      <c r="N32" s="88">
        <f>IFERROR(IF(VLOOKUP(A32,[1]PRIORIZADOS!$A:$N,14,FALSE)="","",VLOOKUP(A32,[1]PRIORIZADOS!$A:$N,14,FALSE)),"")</f>
        <v>45736</v>
      </c>
      <c r="O32" s="88">
        <f>IFERROR(IF(VLOOKUP(A32,[1]PRIORIZADOS!$A:$O,15,FALSE)="","",VLOOKUP(A32,[1]PRIORIZADOS!$A:$O,15,FALSE)),"")</f>
        <v>45736</v>
      </c>
      <c r="P32" s="16" t="str">
        <f>IFERROR(IF(VLOOKUP(A32,[1]PRIORIZADOS!$A:$P,16,FALSE)="","",VLOOKUP(A32,[1]PRIORIZADOS!$A:$P,16,FALSE)),"")</f>
        <v>Visitas de evaluación con fines de mejoramiento</v>
      </c>
      <c r="Q32" s="99" t="s">
        <v>28</v>
      </c>
      <c r="R32" s="90" t="str">
        <f>IFERROR(IF(VLOOKUP(A32,[1]PRIORIZADOS!$A:$R,18,FALSE)="","",VLOOKUP(A32,[1]PRIORIZADOS!$A:$R,18,FALSE)),"")</f>
        <v>La IE ha realizado la conformacion del gobierno escolar y  su dinamica se desarrolla con la debida frecuencia en cada ente escolar.</v>
      </c>
      <c r="S32" s="11" t="str">
        <f>IFERROR(IF(VLOOKUP(A32,[1]PRIORIZADOS!$A:$S,19,FALSE)="","",VLOOKUP(A32,[1]PRIORIZADOS!$A:$S,19,FALSE)),"")</f>
        <v>Realizar  reuniones periodicas conforme a lo reglamentado para cada estamento institucional, garantizando el funcionamiento y operatividad del Gobierno Escolar</v>
      </c>
      <c r="T32" s="70" t="str">
        <f>IFERROR(IF(VLOOKUP(A32,[1]PRIORIZADOS!$A:$T,20,FALSE)="","",VLOOKUP(A32,[1]PRIORIZADOS!$A:$T,20,FALSE)),"")</f>
        <v>No</v>
      </c>
      <c r="U32" s="11" t="str">
        <f>IFERROR(IF(VLOOKUP(A32,[1]PRIORIZADOS!$A:$U,21,FALSE)="","",VLOOKUP(A32,[1]PRIORIZADOS!$A:$U,21,FALSE)),"")</f>
        <v>Verificar la conformación del gobierno escolar para la vigencia 2026.</v>
      </c>
    </row>
    <row r="33" spans="1:21" s="1" customFormat="1" ht="84">
      <c r="A33" s="69">
        <f>IF([1]PRIORIZADOS!A34="","",[1]PRIORIZADOS!A34)</f>
        <v>27</v>
      </c>
      <c r="B33" s="87">
        <v>3</v>
      </c>
      <c r="C33" s="11" t="str">
        <f>IFERROR(IF(VLOOKUP(A33,[1]PRIORIZADOS!$A:$C,3,FALSE)="","",VLOOKUP(A33,[1]PRIORIZADOS!$A:$C,3,FALSE)),"")</f>
        <v>ANTONIO NARIÑO</v>
      </c>
      <c r="D33" s="69" t="str">
        <f>IFERROR(IF(VLOOKUP(A33,[1]PRIORIZADOS!$A:$D,4,FALSE)="","",VLOOKUP(A33,[1]PRIORIZADOS!$A:$D,4,FALSE)),"")</f>
        <v>PRIVADO</v>
      </c>
      <c r="E33" s="69" t="str">
        <f>IFERROR(IF(VLOOKUP(A33,[1]PRIORIZADOS!$A:$E,5,FALSE)="","",VLOOKUP(A33,[1]PRIORIZADOS!$A:$E,5,FALSE)),"")</f>
        <v>EPBM</v>
      </c>
      <c r="F33" s="11" t="str">
        <f>IFERROR(IF(VLOOKUP(A33,[1]PRIORIZADOS!$A:$F,6,FALSE)="","",VLOOKUP(A33,[1]PRIORIZADOS!$A:$F,6,FALSE)),"")</f>
        <v>LICEO_MODERNO_WALT_WHITMAN</v>
      </c>
      <c r="G33" s="69" t="str">
        <f>IFERROR(IF(VLOOKUP(A33,[1]PRIORIZADOS!$A:$G,7,FALSE)="","",VLOOKUP(A33,[1]PRIORIZADOS!$A:$G,7,FALSE)),"")</f>
        <v>LICEO MODERNO WALT WHITMAN</v>
      </c>
      <c r="H33" s="11" t="str">
        <f>IFERROR(IF(VLOOKUP(A33,[1]PRIORIZADOS!$A:$H,8,FALSE)="","",VLOOKUP(A33,[1]PRIORIZADOS!$A:$H,8,FALSE)),"")</f>
        <v>Autoevaluación Institucional y Pruebas SABER 11</v>
      </c>
      <c r="I33" s="11" t="str">
        <f>IFERROR(IF(VLOOKUP(A33,[1]PRIORIZADOS!$A:$I,9,FALSE)="","",VLOOKUP(A33,[1]PRIORIZADOS!$A:$I,9,FALSE)),"")</f>
        <v>EVALUACIÓN_CON_FINES_DE_MEJORAMIENTO.</v>
      </c>
      <c r="J33" s="11" t="str">
        <f>IFERROR(IF(VLOOKUP(A33,[1]PRIORIZADOS!$A:$J,10,FALSE)="","",VLOOKUP(A33,[1]PRIORIZADOS!$A:$J,10,FALSE)),"")</f>
        <v>Verificar las condiciones en cuanto a: la estructura administrativa, condiciones de la planta física y medios educativos adecuados.</v>
      </c>
      <c r="K33" s="11" t="str">
        <f>IFERROR(IF(VLOOKUP(A33,[1]PRIORIZADOS!$A:$K,11,FALSE)="","",VLOOKUP(A33,[1]PRIORIZADOS!$A:$K,11,FALSE)),"")</f>
        <v>ORLANDO SUÁREZ SOTO</v>
      </c>
      <c r="L33" s="11" t="str">
        <f>IFERROR(IF(VLOOKUP(A33,[1]PRIORIZADOS!$A:$L,12,FALSE)="","",VLOOKUP(A33,[1]PRIORIZADOS!$A:$L,12,FALSE)),"")</f>
        <v>ORLANDO SUÁREZ SOTO
JOSÉ RODRIGO QUILAGUY BERNAL
JOHN JAIRO BOBADILLA BERMEO</v>
      </c>
      <c r="M33" s="88">
        <f>IFERROR(IF(VLOOKUP(A33,[1]PRIORIZADOS!$A:$M,13,FALSE)="","",VLOOKUP(A33,[1]PRIORIZADOS!$A:$M,13,FALSE)),"")</f>
        <v>45736</v>
      </c>
      <c r="N33" s="88">
        <f>IFERROR(IF(VLOOKUP(A33,[1]PRIORIZADOS!$A:$N,14,FALSE)="","",VLOOKUP(A33,[1]PRIORIZADOS!$A:$N,14,FALSE)),"")</f>
        <v>45736</v>
      </c>
      <c r="O33" s="88">
        <f>IFERROR(IF(VLOOKUP(A33,[1]PRIORIZADOS!$A:$O,15,FALSE)="","",VLOOKUP(A33,[1]PRIORIZADOS!$A:$O,15,FALSE)),"")</f>
        <v>45736</v>
      </c>
      <c r="P33" s="16" t="str">
        <f>IFERROR(IF(VLOOKUP(A33,[1]PRIORIZADOS!$A:$P,16,FALSE)="","",VLOOKUP(A33,[1]PRIORIZADOS!$A:$P,16,FALSE)),"")</f>
        <v>Visitas de evaluación con fines de mejoramiento</v>
      </c>
      <c r="Q33" s="99" t="s">
        <v>28</v>
      </c>
      <c r="R33" s="90" t="str">
        <f>IFERROR(IF(VLOOKUP(A33,[1]PRIORIZADOS!$A:$R,18,FALSE)="","",VLOOKUP(A33,[1]PRIORIZADOS!$A:$R,18,FALSE)),"")</f>
        <v>Falta desarrollar el organigrama institucional y los perfiles profesionales de ingreso de los docentes; Se debe mejorar el procedimiento de asignacion de cupo y matriculas y el procedimietno para la atencion de peticiones, quejas y reclamos de la comunidad educativa</v>
      </c>
      <c r="S33" s="11" t="str">
        <f>IFERROR(IF(VLOOKUP(A33,[1]PRIORIZADOS!$A:$S,19,FALSE)="","",VLOOKUP(A33,[1]PRIORIZADOS!$A:$S,19,FALSE)),"")</f>
        <v>Relacionar en los documentos Institucionales, las mejoras en los proceso administrativos y de gestión.</v>
      </c>
      <c r="T33" s="70" t="str">
        <f>IFERROR(IF(VLOOKUP(A33,[1]PRIORIZADOS!$A:$T,20,FALSE)="","",VLOOKUP(A33,[1]PRIORIZADOS!$A:$T,20,FALSE)),"")</f>
        <v>Si</v>
      </c>
      <c r="U33" s="11" t="str">
        <f>IFERROR(IF(VLOOKUP(A33,[1]PRIORIZADOS!$A:$U,21,FALSE)="","",VLOOKUP(A33,[1]PRIORIZADOS!$A:$U,21,FALSE)),"")</f>
        <v>Verificar las acciones definidas en el plan de mejoramiento una vez sea presentado. (04/04/2025)
Se realiza seguimento del PMI, evidenciandose avance, conforme a lo orientado. (12/09/2025) Ver Carpeta POAIV - TRIM III</v>
      </c>
    </row>
    <row r="34" spans="1:21" s="1" customFormat="1" ht="72">
      <c r="A34" s="69">
        <f>IF([1]PRIORIZADOS!A35="","",[1]PRIORIZADOS!A35)</f>
        <v>28</v>
      </c>
      <c r="B34" s="87">
        <v>4</v>
      </c>
      <c r="C34" s="11" t="str">
        <f>IFERROR(IF(VLOOKUP(A34,[1]PRIORIZADOS!$A:$C,3,FALSE)="","",VLOOKUP(A34,[1]PRIORIZADOS!$A:$C,3,FALSE)),"")</f>
        <v>ANTONIO NARIÑO</v>
      </c>
      <c r="D34" s="69" t="str">
        <f>IFERROR(IF(VLOOKUP(A34,[1]PRIORIZADOS!$A:$D,4,FALSE)="","",VLOOKUP(A34,[1]PRIORIZADOS!$A:$D,4,FALSE)),"")</f>
        <v>PRIVADO</v>
      </c>
      <c r="E34" s="69" t="str">
        <f>IFERROR(IF(VLOOKUP(A34,[1]PRIORIZADOS!$A:$E,5,FALSE)="","",VLOOKUP(A34,[1]PRIORIZADOS!$A:$E,5,FALSE)),"")</f>
        <v>EPBM</v>
      </c>
      <c r="F34" s="11" t="str">
        <f>IFERROR(IF(VLOOKUP(A34,[1]PRIORIZADOS!$A:$F,6,FALSE)="","",VLOOKUP(A34,[1]PRIORIZADOS!$A:$F,6,FALSE)),"")</f>
        <v>COLEGIO_COOPERATIVO_DEL_MAGISTERIO_DE_CUNDINAMARCA</v>
      </c>
      <c r="G34" s="69" t="str">
        <f>IFERROR(IF(VLOOKUP(A34,[1]PRIORIZADOS!$A:$G,7,FALSE)="","",VLOOKUP(A34,[1]PRIORIZADOS!$A:$G,7,FALSE)),"")</f>
        <v>COLEGIO COOPERATIVO DEL MAGISTERIO DE CUNDINAMARCA</v>
      </c>
      <c r="H34" s="11" t="str">
        <f>IFERROR(IF(VLOOKUP(A34,[1]PRIORIZADOS!$A:$H,8,FALSE)="","",VLOOKUP(A34,[1]PRIORIZADOS!$A:$H,8,FALSE)),"")</f>
        <v>Autoevaluación Institucional y Pruebas SABER 11</v>
      </c>
      <c r="I34" s="11" t="str">
        <f>IFERROR(IF(VLOOKUP(A34,[1]PRIORIZADOS!$A:$I,9,FALSE)="","",VLOOKUP(A34,[1]PRIORIZADOS!$A:$I,9,FALSE)),"")</f>
        <v>SEGUIMIENTO_Y_SUPERVISIÓN.</v>
      </c>
      <c r="J34" s="11" t="str">
        <f>IFERROR(IF(VLOOKUP(A34,[1]PRIORIZADOS!$A:$J,10,FALSE)="","",VLOOKUP(A34,[1]PRIORIZADOS!$A:$J,10,FALSE)),"")</f>
        <v>Realizar visitas para verificar la información registrada sobre la autoevaluación institucional en el aplicativo EVI, a los establecimientos de educación formal no oficial.</v>
      </c>
      <c r="K34" s="11" t="str">
        <f>IFERROR(IF(VLOOKUP(A34,[1]PRIORIZADOS!$A:$K,11,FALSE)="","",VLOOKUP(A34,[1]PRIORIZADOS!$A:$K,11,FALSE)),"")</f>
        <v>JOHN JAIRO BOBADILLA BERMEO</v>
      </c>
      <c r="L34" s="11" t="str">
        <f>IFERROR(IF(VLOOKUP(A34,[1]PRIORIZADOS!$A:$L,12,FALSE)="","",VLOOKUP(A34,[1]PRIORIZADOS!$A:$L,12,FALSE)),"")</f>
        <v>ORLANDO SUÁREZ SOTO
JOSÉ RODRIGO QUILAGUY BERNAL
JOHN JAIRO BOBADILLA BERMEO</v>
      </c>
      <c r="M34" s="88">
        <f>IFERROR(IF(VLOOKUP(A34,[1]PRIORIZADOS!$A:$M,13,FALSE)="","",VLOOKUP(A34,[1]PRIORIZADOS!$A:$M,13,FALSE)),"")</f>
        <v>45771</v>
      </c>
      <c r="N34" s="88">
        <f>IFERROR(IF(VLOOKUP(A34,[1]PRIORIZADOS!$A:$N,14,FALSE)="","",VLOOKUP(A34,[1]PRIORIZADOS!$A:$N,14,FALSE)),"")</f>
        <v>45751</v>
      </c>
      <c r="O34" s="88">
        <f>IFERROR(IF(VLOOKUP(A34,[1]PRIORIZADOS!$A:$O,15,FALSE)="","",VLOOKUP(A34,[1]PRIORIZADOS!$A:$O,15,FALSE)),"")</f>
        <v>45751</v>
      </c>
      <c r="P34" s="16" t="str">
        <f>IFERROR(IF(VLOOKUP(A34,[1]PRIORIZADOS!$A:$P,16,FALSE)="","",VLOOKUP(A34,[1]PRIORIZADOS!$A:$P,16,FALSE)),"")</f>
        <v>Visitas de evaluación con fines de seguimiento</v>
      </c>
      <c r="Q34" s="89" t="s">
        <v>29</v>
      </c>
      <c r="R34" s="90" t="str">
        <f>IFERROR(IF(VLOOKUP(A34,[1]PRIORIZADOS!$A:$R,18,FALSE)="","",VLOOKUP(A34,[1]PRIORIZADOS!$A:$R,18,FALSE)),"")</f>
        <v>La información registrada en la autoevaluación institucional en el aplicativo, EVI, corresponde con lo autorizado en su resolución de tarifas educativas y en el contrato de prestación de servicios de los docentes</v>
      </c>
      <c r="S34" s="11" t="str">
        <f>IFERROR(IF(VLOOKUP(A34,[1]PRIORIZADOS!$A:$S,19,FALSE)="","",VLOOKUP(A34,[1]PRIORIZADOS!$A:$S,19,FALSE)),"")</f>
        <v>Realitizar la autoevaluación  institucional en el aplicativo EVI, para las tarifas  vigencia 2026.</v>
      </c>
      <c r="T34" s="70" t="str">
        <f>IFERROR(IF(VLOOKUP(A34,[1]PRIORIZADOS!$A:$T,20,FALSE)="","",VLOOKUP(A34,[1]PRIORIZADOS!$A:$T,20,FALSE)),"")</f>
        <v>No</v>
      </c>
      <c r="U34" s="11" t="str">
        <f>IFERROR(IF(VLOOKUP(A34,[1]PRIORIZADOS!$A:$U,21,FALSE)="","",VLOOKUP(A34,[1]PRIORIZADOS!$A:$U,21,FALSE)),"")</f>
        <v>Emitir concepto para tarifas educativas 2026</v>
      </c>
    </row>
    <row r="35" spans="1:21" s="1" customFormat="1" ht="96">
      <c r="A35" s="69">
        <f>IF([1]PRIORIZADOS!A36="","",[1]PRIORIZADOS!A36)</f>
        <v>29</v>
      </c>
      <c r="B35" s="87">
        <v>4</v>
      </c>
      <c r="C35" s="11" t="str">
        <f>IFERROR(IF(VLOOKUP(A35,[1]PRIORIZADOS!$A:$C,3,FALSE)="","",VLOOKUP(A35,[1]PRIORIZADOS!$A:$C,3,FALSE)),"")</f>
        <v>ANTONIO NARIÑO</v>
      </c>
      <c r="D35" s="69" t="str">
        <f>IFERROR(IF(VLOOKUP(A35,[1]PRIORIZADOS!$A:$D,4,FALSE)="","",VLOOKUP(A35,[1]PRIORIZADOS!$A:$D,4,FALSE)),"")</f>
        <v>PRIVADO</v>
      </c>
      <c r="E35" s="69" t="str">
        <f>IFERROR(IF(VLOOKUP(A35,[1]PRIORIZADOS!$A:$E,5,FALSE)="","",VLOOKUP(A35,[1]PRIORIZADOS!$A:$E,5,FALSE)),"")</f>
        <v>EPBM</v>
      </c>
      <c r="F35" s="11" t="str">
        <f>IFERROR(IF(VLOOKUP(A35,[1]PRIORIZADOS!$A:$F,6,FALSE)="","",VLOOKUP(A35,[1]PRIORIZADOS!$A:$F,6,FALSE)),"")</f>
        <v>COLEGIO_COOPERATIVO_DEL_MAGISTERIO_DE_CUNDINAMARCA</v>
      </c>
      <c r="G35" s="69" t="str">
        <f>IFERROR(IF(VLOOKUP(A35,[1]PRIORIZADOS!$A:$G,7,FALSE)="","",VLOOKUP(A35,[1]PRIORIZADOS!$A:$G,7,FALSE)),"")</f>
        <v>COLEGIO COOPERATIVO DEL MAGISTERIO DE CUNDINAMARCA</v>
      </c>
      <c r="H35" s="11" t="str">
        <f>IFERROR(IF(VLOOKUP(A35,[1]PRIORIZADOS!$A:$H,8,FALSE)="","",VLOOKUP(A35,[1]PRIORIZADOS!$A:$H,8,FALSE)),"")</f>
        <v>Autoevaluación Institucional y Pruebas SABER 11</v>
      </c>
      <c r="I35" s="11" t="str">
        <f>IFERROR(IF(VLOOKUP(A35,[1]PRIORIZADOS!$A:$I,9,FALSE)="","",VLOOKUP(A35,[1]PRIORIZADOS!$A:$I,9,FALSE)),"")</f>
        <v>SEGUIMIENTO_Y_SUPERVISIÓN.</v>
      </c>
      <c r="J35" s="11" t="str">
        <f>IFERROR(IF(VLOOKUP(A35,[1]PRIORIZADOS!$A:$J,10,FALSE)="","",VLOOKUP(A35,[1]PRIORIZADOS!$A:$J,10,FALSE)),"")</f>
        <v>Proponer estrategias en la formulación, verificar su elaboración y realizar seguimiento semestral al desarrollo de  las acciones establecidas en los planes de mejoramiento por pruebas SABER 11 de los establecimientos de educación formal.</v>
      </c>
      <c r="K35" s="11" t="str">
        <f>IFERROR(IF(VLOOKUP(A35,[1]PRIORIZADOS!$A:$K,11,FALSE)="","",VLOOKUP(A35,[1]PRIORIZADOS!$A:$K,11,FALSE)),"")</f>
        <v>JOHN JAIRO BOBADILLA BERMEO</v>
      </c>
      <c r="L35" s="11" t="str">
        <f>IFERROR(IF(VLOOKUP(A35,[1]PRIORIZADOS!$A:$L,12,FALSE)="","",VLOOKUP(A35,[1]PRIORIZADOS!$A:$L,12,FALSE)),"")</f>
        <v>ORLANDO SUÁREZ SOTO
JOSÉ RODRIGO QUILAGUY BERNAL
JOHN JAIRO BOBADILLA BERMEO</v>
      </c>
      <c r="M35" s="88">
        <f>IFERROR(IF(VLOOKUP(A35,[1]PRIORIZADOS!$A:$M,13,FALSE)="","",VLOOKUP(A35,[1]PRIORIZADOS!$A:$M,13,FALSE)),"")</f>
        <v>45771</v>
      </c>
      <c r="N35" s="88">
        <f>IFERROR(IF(VLOOKUP(A35,[1]PRIORIZADOS!$A:$N,14,FALSE)="","",VLOOKUP(A35,[1]PRIORIZADOS!$A:$N,14,FALSE)),"")</f>
        <v>45751</v>
      </c>
      <c r="O35" s="88">
        <f>IFERROR(IF(VLOOKUP(A35,[1]PRIORIZADOS!$A:$O,15,FALSE)="","",VLOOKUP(A35,[1]PRIORIZADOS!$A:$O,15,FALSE)),"")</f>
        <v>45751</v>
      </c>
      <c r="P35" s="16" t="str">
        <f>IFERROR(IF(VLOOKUP(A35,[1]PRIORIZADOS!$A:$P,16,FALSE)="","",VLOOKUP(A35,[1]PRIORIZADOS!$A:$P,16,FALSE)),"")</f>
        <v>Visitas de evaluación con fines de seguimiento</v>
      </c>
      <c r="Q35" s="89" t="s">
        <v>29</v>
      </c>
      <c r="R35" s="90" t="str">
        <f>IFERROR(IF(VLOOKUP(A35,[1]PRIORIZADOS!$A:$R,18,FALSE)="","",VLOOKUP(A35,[1]PRIORIZADOS!$A:$R,18,FALSE)),"")</f>
        <v>La IE ha formulado el PMI que contempla acciones específicas basadas en los resultados de las pruebas Saber, los cuales incluya a la población con discapacidad. Así mismo, se realiza evaluación por gestiones y se toman decisiones a partir de la opciones de mejora</v>
      </c>
      <c r="S35" s="11" t="str">
        <f>IFERROR(IF(VLOOKUP(A35,[1]PRIORIZADOS!$A:$S,19,FALSE)="","",VLOOKUP(A35,[1]PRIORIZADOS!$A:$S,19,FALSE)),"")</f>
        <v>Formular e implementar el plan de mejoramiento desde el Consejo Académico para mejorar los resultados de las Pruebas Saber e incorporar las necesidades de la población con discapacidad. Fecha: (15.08.2025)</v>
      </c>
      <c r="T35" s="70" t="str">
        <f>IFERROR(IF(VLOOKUP(A35,[1]PRIORIZADOS!$A:$T,20,FALSE)="","",VLOOKUP(A35,[1]PRIORIZADOS!$A:$T,20,FALSE)),"")</f>
        <v>Si</v>
      </c>
      <c r="U35" s="11" t="str">
        <f>IFERROR(IF(VLOOKUP(A35,[1]PRIORIZADOS!$A:$U,21,FALSE)="","",VLOOKUP(A35,[1]PRIORIZADOS!$A:$U,21,FALSE)),"")</f>
        <v>Realizar seguimiento a la ejecución del PMI. Relacionado con las Prueba Saber Fecha: (15.08.2025)
Se realiza seguimiento del PMI, evidenciándose avance, conforme a lo orientado. (15/09/2025) Ver Carpeta POAIV - TRIM III</v>
      </c>
    </row>
    <row r="36" spans="1:21" s="1" customFormat="1" ht="96">
      <c r="A36" s="69">
        <f>IF([1]PRIORIZADOS!A37="","",[1]PRIORIZADOS!A37)</f>
        <v>30</v>
      </c>
      <c r="B36" s="87">
        <v>4</v>
      </c>
      <c r="C36" s="11" t="str">
        <f>IFERROR(IF(VLOOKUP(A36,[1]PRIORIZADOS!$A:$C,3,FALSE)="","",VLOOKUP(A36,[1]PRIORIZADOS!$A:$C,3,FALSE)),"")</f>
        <v>ANTONIO NARIÑO</v>
      </c>
      <c r="D36" s="69" t="str">
        <f>IFERROR(IF(VLOOKUP(A36,[1]PRIORIZADOS!$A:$D,4,FALSE)="","",VLOOKUP(A36,[1]PRIORIZADOS!$A:$D,4,FALSE)),"")</f>
        <v>PRIVADO</v>
      </c>
      <c r="E36" s="69" t="str">
        <f>IFERROR(IF(VLOOKUP(A36,[1]PRIORIZADOS!$A:$E,5,FALSE)="","",VLOOKUP(A36,[1]PRIORIZADOS!$A:$E,5,FALSE)),"")</f>
        <v>EPBM</v>
      </c>
      <c r="F36" s="11" t="str">
        <f>IFERROR(IF(VLOOKUP(A36,[1]PRIORIZADOS!$A:$F,6,FALSE)="","",VLOOKUP(A36,[1]PRIORIZADOS!$A:$F,6,FALSE)),"")</f>
        <v>COLEGIO_COOPERATIVO_DEL_MAGISTERIO_DE_CUNDINAMARCA</v>
      </c>
      <c r="G36" s="69" t="str">
        <f>IFERROR(IF(VLOOKUP(A36,[1]PRIORIZADOS!$A:$G,7,FALSE)="","",VLOOKUP(A36,[1]PRIORIZADOS!$A:$G,7,FALSE)),"")</f>
        <v>COLEGIO COOPERATIVO DEL MAGISTERIO DE CUNDINAMARCA</v>
      </c>
      <c r="H36" s="11" t="str">
        <f>IFERROR(IF(VLOOKUP(A36,[1]PRIORIZADOS!$A:$H,8,FALSE)="","",VLOOKUP(A36,[1]PRIORIZADOS!$A:$H,8,FALSE)),"")</f>
        <v>Autoevaluación Institucional y Pruebas SABER 11</v>
      </c>
      <c r="I36" s="11" t="str">
        <f>IFERROR(IF(VLOOKUP(A36,[1]PRIORIZADOS!$A:$I,9,FALSE)="","",VLOOKUP(A36,[1]PRIORIZADOS!$A:$I,9,FALSE)),"")</f>
        <v>SEGUIMIENTO_Y_SUPERVISIÓN.</v>
      </c>
      <c r="J36" s="11" t="str">
        <f>IFERROR(IF(VLOOKUP(A36,[1]PRIORIZADOS!$A:$J,10,FALSE)="","",VLOOKUP(A36,[1]PRIORIZADOS!$A:$J,10,FALSE)),"")</f>
        <v xml:space="preserve">Verificar la implementación por parte de los colegios, de acciones realizadas para la prevención y atención de las situaciones de convivencia en el entorno escolar, según lo establecido en la Directiva 01 de 2022 del MEN. </v>
      </c>
      <c r="K36" s="11" t="str">
        <f>IFERROR(IF(VLOOKUP(A36,[1]PRIORIZADOS!$A:$K,11,FALSE)="","",VLOOKUP(A36,[1]PRIORIZADOS!$A:$K,11,FALSE)),"")</f>
        <v>JOHN JAIRO BOBADILLA BERMEO</v>
      </c>
      <c r="L36" s="11" t="str">
        <f>IFERROR(IF(VLOOKUP(A36,[1]PRIORIZADOS!$A:$L,12,FALSE)="","",VLOOKUP(A36,[1]PRIORIZADOS!$A:$L,12,FALSE)),"")</f>
        <v>ORLANDO SUÁREZ SOTO
JOSÉ RODRIGO QUILAGUY BERNAL
JOHN JAIRO BOBADILLA BERMEO</v>
      </c>
      <c r="M36" s="88">
        <f>IFERROR(IF(VLOOKUP(A36,[1]PRIORIZADOS!$A:$M,13,FALSE)="","",VLOOKUP(A36,[1]PRIORIZADOS!$A:$M,13,FALSE)),"")</f>
        <v>45771</v>
      </c>
      <c r="N36" s="88">
        <f>IFERROR(IF(VLOOKUP(A36,[1]PRIORIZADOS!$A:$N,14,FALSE)="","",VLOOKUP(A36,[1]PRIORIZADOS!$A:$N,14,FALSE)),"")</f>
        <v>45751</v>
      </c>
      <c r="O36" s="88">
        <f>IFERROR(IF(VLOOKUP(A36,[1]PRIORIZADOS!$A:$O,15,FALSE)="","",VLOOKUP(A36,[1]PRIORIZADOS!$A:$O,15,FALSE)),"")</f>
        <v>45751</v>
      </c>
      <c r="P36" s="16" t="str">
        <f>IFERROR(IF(VLOOKUP(A36,[1]PRIORIZADOS!$A:$P,16,FALSE)="","",VLOOKUP(A36,[1]PRIORIZADOS!$A:$P,16,FALSE)),"")</f>
        <v>Visitas de evaluación con fines de seguimiento</v>
      </c>
      <c r="Q36" s="89" t="s">
        <v>29</v>
      </c>
      <c r="R36" s="90" t="str">
        <f>IFERROR(IF(VLOOKUP(A36,[1]PRIORIZADOS!$A:$R,18,FALSE)="","",VLOOKUP(A36,[1]PRIORIZADOS!$A:$R,18,FALSE)),"")</f>
        <v>Se evidencia que la IE realiza periódicamente verificación del registro de inhabilidades y el Comité de Convivencia Escolar adelanta acciones de prevención de violencia sexual.</v>
      </c>
      <c r="S36" s="11" t="str">
        <f>IFERROR(IF(VLOOKUP(A36,[1]PRIORIZADOS!$A:$S,19,FALSE)="","",VLOOKUP(A36,[1]PRIORIZADOS!$A:$S,19,FALSE)),"")</f>
        <v>Ejecutar las acciones propuestas por el Comité de Convivencia Escolar en relación con acción de promoción, prevención, atención y mitigación de violencia sexual.
Continúar realizando ejercicios de verificación  de inhabilidades por delitos de violencia sexual
Fecha: (15.08.2025)</v>
      </c>
      <c r="T36" s="70" t="str">
        <f>IFERROR(IF(VLOOKUP(A36,[1]PRIORIZADOS!$A:$T,20,FALSE)="","",VLOOKUP(A36,[1]PRIORIZADOS!$A:$T,20,FALSE)),"")</f>
        <v>No</v>
      </c>
      <c r="U36" s="11" t="str">
        <f>IFERROR(IF(VLOOKUP(A36,[1]PRIORIZADOS!$A:$U,21,FALSE)="","",VLOOKUP(A36,[1]PRIORIZADOS!$A:$U,21,FALSE)),"")</f>
        <v>Verificar en caso de requerirse o si hubiese queja.</v>
      </c>
    </row>
    <row r="37" spans="1:21" s="1" customFormat="1" ht="72">
      <c r="A37" s="69">
        <f>IF([1]PRIORIZADOS!A38="","",[1]PRIORIZADOS!A38)</f>
        <v>31</v>
      </c>
      <c r="B37" s="87">
        <v>4</v>
      </c>
      <c r="C37" s="11" t="str">
        <f>IFERROR(IF(VLOOKUP(A37,[1]PRIORIZADOS!$A:$C,3,FALSE)="","",VLOOKUP(A37,[1]PRIORIZADOS!$A:$C,3,FALSE)),"")</f>
        <v>ANTONIO NARIÑO</v>
      </c>
      <c r="D37" s="69" t="str">
        <f>IFERROR(IF(VLOOKUP(A37,[1]PRIORIZADOS!$A:$D,4,FALSE)="","",VLOOKUP(A37,[1]PRIORIZADOS!$A:$D,4,FALSE)),"")</f>
        <v>PRIVADO</v>
      </c>
      <c r="E37" s="69" t="str">
        <f>IFERROR(IF(VLOOKUP(A37,[1]PRIORIZADOS!$A:$E,5,FALSE)="","",VLOOKUP(A37,[1]PRIORIZADOS!$A:$E,5,FALSE)),"")</f>
        <v>EPBM</v>
      </c>
      <c r="F37" s="11" t="str">
        <f>IFERROR(IF(VLOOKUP(A37,[1]PRIORIZADOS!$A:$F,6,FALSE)="","",VLOOKUP(A37,[1]PRIORIZADOS!$A:$F,6,FALSE)),"")</f>
        <v>COLEGIO_COOPERATIVO_DEL_MAGISTERIO_DE_CUNDINAMARCA</v>
      </c>
      <c r="G37" s="69" t="str">
        <f>IFERROR(IF(VLOOKUP(A37,[1]PRIORIZADOS!$A:$G,7,FALSE)="","",VLOOKUP(A37,[1]PRIORIZADOS!$A:$G,7,FALSE)),"")</f>
        <v>COLEGIO COOPERATIVO DEL MAGISTERIO DE CUNDINAMARCA</v>
      </c>
      <c r="H37" s="11" t="str">
        <f>IFERROR(IF(VLOOKUP(A37,[1]PRIORIZADOS!$A:$H,8,FALSE)="","",VLOOKUP(A37,[1]PRIORIZADOS!$A:$H,8,FALSE)),"")</f>
        <v>Autoevaluación Institucional y Pruebas SABER 11</v>
      </c>
      <c r="I37" s="11" t="str">
        <f>IFERROR(IF(VLOOKUP(A37,[1]PRIORIZADOS!$A:$I,9,FALSE)="","",VLOOKUP(A37,[1]PRIORIZADOS!$A:$I,9,FALSE)),"")</f>
        <v>SEGUIMIENTO_Y_SUPERVISIÓN.</v>
      </c>
      <c r="J37" s="11" t="str">
        <f>IFERROR(IF(VLOOKUP(A37,[1]PRIORIZADOS!$A:$J,10,FALSE)="","",VLOOKUP(A37,[1]PRIORIZADOS!$A:$J,10,FALSE)),"")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7" s="11" t="str">
        <f>IFERROR(IF(VLOOKUP(A37,[1]PRIORIZADOS!$A:$K,11,FALSE)="","",VLOOKUP(A37,[1]PRIORIZADOS!$A:$K,11,FALSE)),"")</f>
        <v>JOHN JAIRO BOBADILLA BERMEO</v>
      </c>
      <c r="L37" s="11" t="str">
        <f>IFERROR(IF(VLOOKUP(A37,[1]PRIORIZADOS!$A:$L,12,FALSE)="","",VLOOKUP(A37,[1]PRIORIZADOS!$A:$L,12,FALSE)),"")</f>
        <v>ORLANDO SUÁREZ SOTO
JOSÉ RODRIGO QUILAGUY BERNAL
JOHN JAIRO BOBADILLA BERMEO</v>
      </c>
      <c r="M37" s="88">
        <f>IFERROR(IF(VLOOKUP(A37,[1]PRIORIZADOS!$A:$M,13,FALSE)="","",VLOOKUP(A37,[1]PRIORIZADOS!$A:$M,13,FALSE)),"")</f>
        <v>45771</v>
      </c>
      <c r="N37" s="88">
        <f>IFERROR(IF(VLOOKUP(A37,[1]PRIORIZADOS!$A:$N,14,FALSE)="","",VLOOKUP(A37,[1]PRIORIZADOS!$A:$N,14,FALSE)),"")</f>
        <v>45751</v>
      </c>
      <c r="O37" s="88">
        <f>IFERROR(IF(VLOOKUP(A37,[1]PRIORIZADOS!$A:$O,15,FALSE)="","",VLOOKUP(A37,[1]PRIORIZADOS!$A:$O,15,FALSE)),"")</f>
        <v>45751</v>
      </c>
      <c r="P37" s="16" t="str">
        <f>IFERROR(IF(VLOOKUP(A37,[1]PRIORIZADOS!$A:$P,16,FALSE)="","",VLOOKUP(A37,[1]PRIORIZADOS!$A:$P,16,FALSE)),"")</f>
        <v>Visitas de evaluación con fines de seguimiento</v>
      </c>
      <c r="Q37" s="89" t="s">
        <v>29</v>
      </c>
      <c r="R37" s="90" t="str">
        <f>IFERROR(IF(VLOOKUP(A37,[1]PRIORIZADOS!$A:$R,18,FALSE)="","",VLOOKUP(A37,[1]PRIORIZADOS!$A:$R,18,FALSE)),"")</f>
        <v>La IE tiene caracterizados 8 estudiantes con trastornos de aprendizaje y talentos excepcionales y  ha implementado estrategias para su atención.</v>
      </c>
      <c r="S37" s="11" t="str">
        <f>IFERROR(IF(VLOOKUP(A37,[1]PRIORIZADOS!$A:$S,19,FALSE)="","",VLOOKUP(A37,[1]PRIORIZADOS!$A:$S,19,FALSE)),"")</f>
        <v>Realizar seguimiento continuo a estudiantes caracterizados o diagnosticados con trastornos de aprendizaje y/o talentos excepcionales. 
Fecha: (15.08.2025)</v>
      </c>
      <c r="T37" s="70" t="str">
        <f>IFERROR(IF(VLOOKUP(A37,[1]PRIORIZADOS!$A:$T,20,FALSE)="","",VLOOKUP(A37,[1]PRIORIZADOS!$A:$T,20,FALSE)),"")</f>
        <v>No</v>
      </c>
      <c r="U37" s="11" t="str">
        <f>IFERROR(IF(VLOOKUP(A37,[1]PRIORIZADOS!$A:$U,21,FALSE)="","",VLOOKUP(A37,[1]PRIORIZADOS!$A:$U,21,FALSE)),"")</f>
        <v>Realizar verificación en caso de requerirse.</v>
      </c>
    </row>
    <row r="38" spans="1:21" s="1" customFormat="1" ht="84">
      <c r="A38" s="69">
        <f>IF([1]PRIORIZADOS!A39="","",[1]PRIORIZADOS!A39)</f>
        <v>32</v>
      </c>
      <c r="B38" s="87">
        <v>4</v>
      </c>
      <c r="C38" s="11" t="str">
        <f>IFERROR(IF(VLOOKUP(A38,[1]PRIORIZADOS!$A:$C,3,FALSE)="","",VLOOKUP(A38,[1]PRIORIZADOS!$A:$C,3,FALSE)),"")</f>
        <v>ANTONIO NARIÑO</v>
      </c>
      <c r="D38" s="69" t="str">
        <f>IFERROR(IF(VLOOKUP(A38,[1]PRIORIZADOS!$A:$D,4,FALSE)="","",VLOOKUP(A38,[1]PRIORIZADOS!$A:$D,4,FALSE)),"")</f>
        <v>PRIVADO</v>
      </c>
      <c r="E38" s="69" t="str">
        <f>IFERROR(IF(VLOOKUP(A38,[1]PRIORIZADOS!$A:$E,5,FALSE)="","",VLOOKUP(A38,[1]PRIORIZADOS!$A:$E,5,FALSE)),"")</f>
        <v>EPBM</v>
      </c>
      <c r="F38" s="11" t="str">
        <f>IFERROR(IF(VLOOKUP(A38,[1]PRIORIZADOS!$A:$F,6,FALSE)="","",VLOOKUP(A38,[1]PRIORIZADOS!$A:$F,6,FALSE)),"")</f>
        <v>COLEGIO_COOPERATIVO_DEL_MAGISTERIO_DE_CUNDINAMARCA</v>
      </c>
      <c r="G38" s="69" t="str">
        <f>IFERROR(IF(VLOOKUP(A38,[1]PRIORIZADOS!$A:$G,7,FALSE)="","",VLOOKUP(A38,[1]PRIORIZADOS!$A:$G,7,FALSE)),"")</f>
        <v>COLEGIO COOPERATIVO DEL MAGISTERIO DE CUNDINAMARCA</v>
      </c>
      <c r="H38" s="11" t="str">
        <f>IFERROR(IF(VLOOKUP(A38,[1]PRIORIZADOS!$A:$H,8,FALSE)="","",VLOOKUP(A38,[1]PRIORIZADOS!$A:$H,8,FALSE)),"")</f>
        <v>Autoevaluación Institucional y Pruebas SABER 11</v>
      </c>
      <c r="I38" s="11" t="str">
        <f>IFERROR(IF(VLOOKUP(A38,[1]PRIORIZADOS!$A:$I,9,FALSE)="","",VLOOKUP(A38,[1]PRIORIZADOS!$A:$I,9,FALSE)),"")</f>
        <v>EVALUACIÓN_CON_FINES_DE_MEJORAMIENTO.</v>
      </c>
      <c r="J38" s="11" t="str">
        <f>IFERROR(IF(VLOOKUP(A38,[1]PRIORIZADOS!$A:$J,10,FALSE)="","",VLOOKUP(A38,[1]PRIORIZADOS!$A:$J,10,FALSE)),"")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8" s="11" t="str">
        <f>IFERROR(IF(VLOOKUP(A38,[1]PRIORIZADOS!$A:$K,11,FALSE)="","",VLOOKUP(A38,[1]PRIORIZADOS!$A:$K,11,FALSE)),"")</f>
        <v>JOHN JAIRO BOBADILLA BERMEO</v>
      </c>
      <c r="L38" s="11" t="str">
        <f>IFERROR(IF(VLOOKUP(A38,[1]PRIORIZADOS!$A:$L,12,FALSE)="","",VLOOKUP(A38,[1]PRIORIZADOS!$A:$L,12,FALSE)),"")</f>
        <v>ORLANDO SUÁREZ SOTO
JOSÉ RODRIGO QUILAGUY BERNAL
JOHN JAIRO BOBADILLA BERMEO</v>
      </c>
      <c r="M38" s="88">
        <f>IFERROR(IF(VLOOKUP(A38,[1]PRIORIZADOS!$A:$M,13,FALSE)="","",VLOOKUP(A38,[1]PRIORIZADOS!$A:$M,13,FALSE)),"")</f>
        <v>45771</v>
      </c>
      <c r="N38" s="88">
        <f>IFERROR(IF(VLOOKUP(A38,[1]PRIORIZADOS!$A:$N,14,FALSE)="","",VLOOKUP(A38,[1]PRIORIZADOS!$A:$N,14,FALSE)),"")</f>
        <v>45751</v>
      </c>
      <c r="O38" s="88">
        <f>IFERROR(IF(VLOOKUP(A38,[1]PRIORIZADOS!$A:$O,15,FALSE)="","",VLOOKUP(A38,[1]PRIORIZADOS!$A:$O,15,FALSE)),"")</f>
        <v>45751</v>
      </c>
      <c r="P38" s="16" t="str">
        <f>IFERROR(IF(VLOOKUP(A38,[1]PRIORIZADOS!$A:$P,16,FALSE)="","",VLOOKUP(A38,[1]PRIORIZADOS!$A:$P,16,FALSE)),"")</f>
        <v>Visitas de evaluación con fines de mejoramiento</v>
      </c>
      <c r="Q38" s="89" t="s">
        <v>29</v>
      </c>
      <c r="R38" s="90" t="str">
        <f>IFERROR(IF(VLOOKUP(A38,[1]PRIORIZADOS!$A:$R,18,FALSE)="","",VLOOKUP(A38,[1]PRIORIZADOS!$A:$R,18,FALSE)),"")</f>
        <v>En relación con el Manual de Convivencia se requiere fortalecer el enfoque restaurativo partir de los reportes realizados en el sistema a alertas.</v>
      </c>
      <c r="S38" s="11" t="str">
        <f>IFERROR(IF(VLOOKUP(A38,[1]PRIORIZADOS!$A:$S,19,FALSE)="","",VLOOKUP(A38,[1]PRIORIZADOS!$A:$S,19,FALSE)),"")</f>
        <v>Promover acciones por parte del Comité de Convivencia atendiendo los casos más recurrentes reportado en sistema de alertas. Fecha: (15.08.2025)</v>
      </c>
      <c r="T38" s="70" t="str">
        <f>IFERROR(IF(VLOOKUP(A38,[1]PRIORIZADOS!$A:$T,20,FALSE)="","",VLOOKUP(A38,[1]PRIORIZADOS!$A:$T,20,FALSE)),"")</f>
        <v>Si</v>
      </c>
      <c r="U38" s="11" t="str">
        <f>IFERROR(IF(VLOOKUP(A38,[1]PRIORIZADOS!$A:$U,21,FALSE)="","",VLOOKUP(A38,[1]PRIORIZADOS!$A:$U,21,FALSE)),"")</f>
        <v>Realizar seguimiento a las situaciones tipo II y III reportadas en el sistema alertas con más recurrencia Fecha: (15.08.2025)</v>
      </c>
    </row>
    <row r="39" spans="1:21" s="1" customFormat="1" ht="72">
      <c r="A39" s="69">
        <f>IF([1]PRIORIZADOS!A40="","",[1]PRIORIZADOS!A40)</f>
        <v>33</v>
      </c>
      <c r="B39" s="87">
        <v>4</v>
      </c>
      <c r="C39" s="11" t="str">
        <f>IFERROR(IF(VLOOKUP(A39,[1]PRIORIZADOS!$A:$C,3,FALSE)="","",VLOOKUP(A39,[1]PRIORIZADOS!$A:$C,3,FALSE)),"")</f>
        <v>ANTONIO NARIÑO</v>
      </c>
      <c r="D39" s="69" t="str">
        <f>IFERROR(IF(VLOOKUP(A39,[1]PRIORIZADOS!$A:$D,4,FALSE)="","",VLOOKUP(A39,[1]PRIORIZADOS!$A:$D,4,FALSE)),"")</f>
        <v>PRIVADO</v>
      </c>
      <c r="E39" s="69" t="str">
        <f>IFERROR(IF(VLOOKUP(A39,[1]PRIORIZADOS!$A:$E,5,FALSE)="","",VLOOKUP(A39,[1]PRIORIZADOS!$A:$E,5,FALSE)),"")</f>
        <v>EPBM</v>
      </c>
      <c r="F39" s="11" t="str">
        <f>IFERROR(IF(VLOOKUP(A39,[1]PRIORIZADOS!$A:$F,6,FALSE)="","",VLOOKUP(A39,[1]PRIORIZADOS!$A:$F,6,FALSE)),"")</f>
        <v>COLEGIO_COOPERATIVO_DEL_MAGISTERIO_DE_CUNDINAMARCA</v>
      </c>
      <c r="G39" s="69" t="str">
        <f>IFERROR(IF(VLOOKUP(A39,[1]PRIORIZADOS!$A:$G,7,FALSE)="","",VLOOKUP(A39,[1]PRIORIZADOS!$A:$G,7,FALSE)),"")</f>
        <v>COLEGIO COOPERATIVO DEL MAGISTERIO DE CUNDINAMARCA</v>
      </c>
      <c r="H39" s="11" t="str">
        <f>IFERROR(IF(VLOOKUP(A39,[1]PRIORIZADOS!$A:$H,8,FALSE)="","",VLOOKUP(A39,[1]PRIORIZADOS!$A:$H,8,FALSE)),"")</f>
        <v>Autoevaluación Institucional y Pruebas SABER 11</v>
      </c>
      <c r="I39" s="11" t="str">
        <f>IFERROR(IF(VLOOKUP(A39,[1]PRIORIZADOS!$A:$I,9,FALSE)="","",VLOOKUP(A39,[1]PRIORIZADOS!$A:$I,9,FALSE)),"")</f>
        <v>EVALUACIÓN_CON_FINES_DE_MEJORAMIENTO.</v>
      </c>
      <c r="J39" s="11" t="str">
        <f>IFERROR(IF(VLOOKUP(A39,[1]PRIORIZADOS!$A:$J,10,FALSE)="","",VLOOKUP(A39,[1]PRIORIZADOS!$A:$J,10,FALSE)),"")</f>
        <v>Revisar la actualización, socialización e implementación del Sistema Institucional de Evaluación de Estudiantes - SIEE, en articulación con la actualización del PEI y la normatividad vigente.</v>
      </c>
      <c r="K39" s="11" t="str">
        <f>IFERROR(IF(VLOOKUP(A39,[1]PRIORIZADOS!$A:$K,11,FALSE)="","",VLOOKUP(A39,[1]PRIORIZADOS!$A:$K,11,FALSE)),"")</f>
        <v>JOHN JAIRO BOBADILLA BERMEO</v>
      </c>
      <c r="L39" s="11" t="str">
        <f>IFERROR(IF(VLOOKUP(A39,[1]PRIORIZADOS!$A:$L,12,FALSE)="","",VLOOKUP(A39,[1]PRIORIZADOS!$A:$L,12,FALSE)),"")</f>
        <v>ORLANDO SUÁREZ SOTO
JOSÉ RODRIGO QUILAGUY BERNAL
JOHN JAIRO BOBADILLA BERMEO</v>
      </c>
      <c r="M39" s="88">
        <f>IFERROR(IF(VLOOKUP(A39,[1]PRIORIZADOS!$A:$M,13,FALSE)="","",VLOOKUP(A39,[1]PRIORIZADOS!$A:$M,13,FALSE)),"")</f>
        <v>45771</v>
      </c>
      <c r="N39" s="88">
        <f>IFERROR(IF(VLOOKUP(A39,[1]PRIORIZADOS!$A:$N,14,FALSE)="","",VLOOKUP(A39,[1]PRIORIZADOS!$A:$N,14,FALSE)),"")</f>
        <v>45751</v>
      </c>
      <c r="O39" s="88">
        <f>IFERROR(IF(VLOOKUP(A39,[1]PRIORIZADOS!$A:$O,15,FALSE)="","",VLOOKUP(A39,[1]PRIORIZADOS!$A:$O,15,FALSE)),"")</f>
        <v>45751</v>
      </c>
      <c r="P39" s="16" t="str">
        <f>IFERROR(IF(VLOOKUP(A39,[1]PRIORIZADOS!$A:$P,16,FALSE)="","",VLOOKUP(A39,[1]PRIORIZADOS!$A:$P,16,FALSE)),"")</f>
        <v>Visitas de evaluación con fines de mejoramiento</v>
      </c>
      <c r="Q39" s="89" t="s">
        <v>29</v>
      </c>
      <c r="R39" s="90" t="str">
        <f>IFERROR(IF(VLOOKUP(A39,[1]PRIORIZADOS!$A:$R,18,FALSE)="","",VLOOKUP(A39,[1]PRIORIZADOS!$A:$R,18,FALSE)),"")</f>
        <v>En relación con el SIEE la I.E. cuenta con: registro de la información, estrategias de apoyo para resolver situaciones pedagógicas de estudiantes en el aula, estrategias pedagógicas de nivelación y mejoramiento de aprendizajes.</v>
      </c>
      <c r="S39" s="11" t="str">
        <f>IFERROR(IF(VLOOKUP(A39,[1]PRIORIZADOS!$A:$S,19,FALSE)="","",VLOOKUP(A39,[1]PRIORIZADOS!$A:$S,19,FALSE)),"")</f>
        <v>Realizar la revisión continua del SIEE con los miembros de la comunidad educativa y realizar los ajustes que resulten pertinentes fruto de la autoevaluación. Fecha: (15.08.2025)</v>
      </c>
      <c r="T39" s="70" t="str">
        <f>IFERROR(IF(VLOOKUP(A39,[1]PRIORIZADOS!$A:$T,20,FALSE)="","",VLOOKUP(A39,[1]PRIORIZADOS!$A:$T,20,FALSE)),"")</f>
        <v>No</v>
      </c>
      <c r="U39" s="11" t="str">
        <f>IFERROR(IF(VLOOKUP(A39,[1]PRIORIZADOS!$A:$U,21,FALSE)="","",VLOOKUP(A39,[1]PRIORIZADOS!$A:$U,21,FALSE)),"")</f>
        <v>Verificar en caso de requerirse o si hubiese queja.</v>
      </c>
    </row>
    <row r="40" spans="1:21" s="1" customFormat="1" ht="72">
      <c r="A40" s="69">
        <f>IF([1]PRIORIZADOS!A41="","",[1]PRIORIZADOS!A41)</f>
        <v>34</v>
      </c>
      <c r="B40" s="87">
        <v>4</v>
      </c>
      <c r="C40" s="11" t="str">
        <f>IFERROR(IF(VLOOKUP(A40,[1]PRIORIZADOS!$A:$C,3,FALSE)="","",VLOOKUP(A40,[1]PRIORIZADOS!$A:$C,3,FALSE)),"")</f>
        <v>ANTONIO NARIÑO</v>
      </c>
      <c r="D40" s="69" t="str">
        <f>IFERROR(IF(VLOOKUP(A40,[1]PRIORIZADOS!$A:$D,4,FALSE)="","",VLOOKUP(A40,[1]PRIORIZADOS!$A:$D,4,FALSE)),"")</f>
        <v>PRIVADO</v>
      </c>
      <c r="E40" s="69" t="str">
        <f>IFERROR(IF(VLOOKUP(A40,[1]PRIORIZADOS!$A:$E,5,FALSE)="","",VLOOKUP(A40,[1]PRIORIZADOS!$A:$E,5,FALSE)),"")</f>
        <v>EPBM</v>
      </c>
      <c r="F40" s="11" t="str">
        <f>IFERROR(IF(VLOOKUP(A40,[1]PRIORIZADOS!$A:$F,6,FALSE)="","",VLOOKUP(A40,[1]PRIORIZADOS!$A:$F,6,FALSE)),"")</f>
        <v>COLEGIO_COOPERATIVO_DEL_MAGISTERIO_DE_CUNDINAMARCA</v>
      </c>
      <c r="G40" s="69" t="str">
        <f>IFERROR(IF(VLOOKUP(A40,[1]PRIORIZADOS!$A:$G,7,FALSE)="","",VLOOKUP(A40,[1]PRIORIZADOS!$A:$G,7,FALSE)),"")</f>
        <v>COLEGIO COOPERATIVO DEL MAGISTERIO DE CUNDINAMARCA</v>
      </c>
      <c r="H40" s="11" t="str">
        <f>IFERROR(IF(VLOOKUP(A40,[1]PRIORIZADOS!$A:$H,8,FALSE)="","",VLOOKUP(A40,[1]PRIORIZADOS!$A:$H,8,FALSE)),"")</f>
        <v>Autoevaluación Institucional y Pruebas SABER 11</v>
      </c>
      <c r="I40" s="11" t="str">
        <f>IFERROR(IF(VLOOKUP(A40,[1]PRIORIZADOS!$A:$I,9,FALSE)="","",VLOOKUP(A40,[1]PRIORIZADOS!$A:$I,9,FALSE)),"")</f>
        <v>EVALUACIÓN_CON_FINES_DE_MEJORAMIENTO.</v>
      </c>
      <c r="J40" s="11" t="str">
        <f>IFERROR(IF(VLOOKUP(A40,[1]PRIORIZADOS!$A:$J,10,FALSE)="","",VLOOKUP(A40,[1]PRIORIZADOS!$A:$J,10,FALSE)),"")</f>
        <v>Revisar el calendario escolar, jornada escolar, la intensidad horaria mínima anual en cada nivel y las modificaciones que se realicen al mismo, de acuerdo con lo previsto en la normatividad vigente.</v>
      </c>
      <c r="K40" s="11" t="str">
        <f>IFERROR(IF(VLOOKUP(A40,[1]PRIORIZADOS!$A:$K,11,FALSE)="","",VLOOKUP(A40,[1]PRIORIZADOS!$A:$K,11,FALSE)),"")</f>
        <v>JOHN JAIRO BOBADILLA BERMEO</v>
      </c>
      <c r="L40" s="11" t="str">
        <f>IFERROR(IF(VLOOKUP(A40,[1]PRIORIZADOS!$A:$L,12,FALSE)="","",VLOOKUP(A40,[1]PRIORIZADOS!$A:$L,12,FALSE)),"")</f>
        <v>ORLANDO SUÁREZ SOTO
JOSÉ RODRIGO QUILAGUY BERNAL
JOHN JAIRO BOBADILLA BERMEO</v>
      </c>
      <c r="M40" s="88">
        <f>IFERROR(IF(VLOOKUP(A40,[1]PRIORIZADOS!$A:$M,13,FALSE)="","",VLOOKUP(A40,[1]PRIORIZADOS!$A:$M,13,FALSE)),"")</f>
        <v>45771</v>
      </c>
      <c r="N40" s="88">
        <f>IFERROR(IF(VLOOKUP(A40,[1]PRIORIZADOS!$A:$N,14,FALSE)="","",VLOOKUP(A40,[1]PRIORIZADOS!$A:$N,14,FALSE)),"")</f>
        <v>45751</v>
      </c>
      <c r="O40" s="88">
        <f>IFERROR(IF(VLOOKUP(A40,[1]PRIORIZADOS!$A:$O,15,FALSE)="","",VLOOKUP(A40,[1]PRIORIZADOS!$A:$O,15,FALSE)),"")</f>
        <v>45751</v>
      </c>
      <c r="P40" s="16" t="str">
        <f>IFERROR(IF(VLOOKUP(A40,[1]PRIORIZADOS!$A:$P,16,FALSE)="","",VLOOKUP(A40,[1]PRIORIZADOS!$A:$P,16,FALSE)),"")</f>
        <v>Visitas de evaluación con fines de mejoramiento</v>
      </c>
      <c r="Q40" s="89" t="s">
        <v>29</v>
      </c>
      <c r="R40" s="90" t="str">
        <f>IFERROR(IF(VLOOKUP(A40,[1]PRIORIZADOS!$A:$R,18,FALSE)="","",VLOOKUP(A40,[1]PRIORIZADOS!$A:$R,18,FALSE)),"")</f>
        <v>Se evidencia que sólo existe una docente para los dos grados de preescolar con toda la asignación académica para estos grados. Los estudiantes de prejardín, jardín y transición se encuentran en el mismo salón y como un solo grupo.</v>
      </c>
      <c r="S40" s="11" t="str">
        <f>IFERROR(IF(VLOOKUP(A40,[1]PRIORIZADOS!$A:$S,19,FALSE)="","",VLOOKUP(A40,[1]PRIORIZADOS!$A:$S,19,FALSE)),"")</f>
        <v>Establecer las acciones que le permita a los estudiantes de los niveles de preescolar contar con un espacio pedagógico independiente y la docente en cada grupo. Fecha: (15.08.2025)</v>
      </c>
      <c r="T40" s="70" t="str">
        <f>IFERROR(IF(VLOOKUP(A40,[1]PRIORIZADOS!$A:$T,20,FALSE)="","",VLOOKUP(A40,[1]PRIORIZADOS!$A:$T,20,FALSE)),"")</f>
        <v>Si</v>
      </c>
      <c r="U40" s="11" t="str">
        <f>IFERROR(IF(VLOOKUP(A40,[1]PRIORIZADOS!$A:$U,21,FALSE)="","",VLOOKUP(A40,[1]PRIORIZADOS!$A:$U,21,FALSE)),"")</f>
        <v>Realizar seguimiento a la implementación del calendario académico y los espacios pedagógicos del nivel de preescolar. Fecha: (15.08.2025)
Se realiza seguimiento del PMI, evidenciándose avance, conforme a lo orientado. (15/09/2025) Ver Carpeta POAIV - TRIM III</v>
      </c>
    </row>
    <row r="41" spans="1:21" s="1" customFormat="1" ht="60">
      <c r="A41" s="69">
        <f>IF([1]PRIORIZADOS!A42="","",[1]PRIORIZADOS!A42)</f>
        <v>35</v>
      </c>
      <c r="B41" s="87">
        <v>4</v>
      </c>
      <c r="C41" s="11" t="str">
        <f>IFERROR(IF(VLOOKUP(A41,[1]PRIORIZADOS!$A:$C,3,FALSE)="","",VLOOKUP(A41,[1]PRIORIZADOS!$A:$C,3,FALSE)),"")</f>
        <v>ANTONIO NARIÑO</v>
      </c>
      <c r="D41" s="69" t="str">
        <f>IFERROR(IF(VLOOKUP(A41,[1]PRIORIZADOS!$A:$D,4,FALSE)="","",VLOOKUP(A41,[1]PRIORIZADOS!$A:$D,4,FALSE)),"")</f>
        <v>PRIVADO</v>
      </c>
      <c r="E41" s="69" t="str">
        <f>IFERROR(IF(VLOOKUP(A41,[1]PRIORIZADOS!$A:$E,5,FALSE)="","",VLOOKUP(A41,[1]PRIORIZADOS!$A:$E,5,FALSE)),"")</f>
        <v>EPBM</v>
      </c>
      <c r="F41" s="11" t="str">
        <f>IFERROR(IF(VLOOKUP(A41,[1]PRIORIZADOS!$A:$F,6,FALSE)="","",VLOOKUP(A41,[1]PRIORIZADOS!$A:$F,6,FALSE)),"")</f>
        <v>COLEGIO_COOPERATIVO_DEL_MAGISTERIO_DE_CUNDINAMARCA</v>
      </c>
      <c r="G41" s="69" t="str">
        <f>IFERROR(IF(VLOOKUP(A41,[1]PRIORIZADOS!$A:$G,7,FALSE)="","",VLOOKUP(A41,[1]PRIORIZADOS!$A:$G,7,FALSE)),"")</f>
        <v>COLEGIO COOPERATIVO DEL MAGISTERIO DE CUNDINAMARCA</v>
      </c>
      <c r="H41" s="11" t="str">
        <f>IFERROR(IF(VLOOKUP(A41,[1]PRIORIZADOS!$A:$H,8,FALSE)="","",VLOOKUP(A41,[1]PRIORIZADOS!$A:$H,8,FALSE)),"")</f>
        <v>Autoevaluación Institucional y Pruebas SABER 11</v>
      </c>
      <c r="I41" s="11" t="str">
        <f>IFERROR(IF(VLOOKUP(A41,[1]PRIORIZADOS!$A:$I,9,FALSE)="","",VLOOKUP(A41,[1]PRIORIZADOS!$A:$I,9,FALSE)),"")</f>
        <v>EVALUACIÓN_CON_FINES_DE_MEJORAMIENTO.</v>
      </c>
      <c r="J41" s="11" t="str">
        <f>IFERROR(IF(VLOOKUP(A41,[1]PRIORIZADOS!$A:$J,10,FALSE)="","",VLOOKUP(A41,[1]PRIORIZADOS!$A:$J,10,FALSE)),"")</f>
        <v>Verificar el funcionamiento del Gobierno Escolar e instancias de participación con base en la información sobre conformación reportada por la institución educativa.</v>
      </c>
      <c r="K41" s="11" t="str">
        <f>IFERROR(IF(VLOOKUP(A41,[1]PRIORIZADOS!$A:$K,11,FALSE)="","",VLOOKUP(A41,[1]PRIORIZADOS!$A:$K,11,FALSE)),"")</f>
        <v>JOHN JAIRO BOBADILLA BERMEO</v>
      </c>
      <c r="L41" s="11" t="str">
        <f>IFERROR(IF(VLOOKUP(A41,[1]PRIORIZADOS!$A:$L,12,FALSE)="","",VLOOKUP(A41,[1]PRIORIZADOS!$A:$L,12,FALSE)),"")</f>
        <v>ORLANDO SUÁREZ SOTO
JOSÉ RODRIGO QUILAGUY BERNAL
JOHN JAIRO BOBADILLA BERMEO</v>
      </c>
      <c r="M41" s="88">
        <f>IFERROR(IF(VLOOKUP(A41,[1]PRIORIZADOS!$A:$M,13,FALSE)="","",VLOOKUP(A41,[1]PRIORIZADOS!$A:$M,13,FALSE)),"")</f>
        <v>45771</v>
      </c>
      <c r="N41" s="88">
        <f>IFERROR(IF(VLOOKUP(A41,[1]PRIORIZADOS!$A:$N,14,FALSE)="","",VLOOKUP(A41,[1]PRIORIZADOS!$A:$N,14,FALSE)),"")</f>
        <v>45751</v>
      </c>
      <c r="O41" s="88">
        <f>IFERROR(IF(VLOOKUP(A41,[1]PRIORIZADOS!$A:$O,15,FALSE)="","",VLOOKUP(A41,[1]PRIORIZADOS!$A:$O,15,FALSE)),"")</f>
        <v>45751</v>
      </c>
      <c r="P41" s="16" t="str">
        <f>IFERROR(IF(VLOOKUP(A41,[1]PRIORIZADOS!$A:$P,16,FALSE)="","",VLOOKUP(A41,[1]PRIORIZADOS!$A:$P,16,FALSE)),"")</f>
        <v>Visitas de evaluación con fines de mejoramiento</v>
      </c>
      <c r="Q41" s="89" t="s">
        <v>29</v>
      </c>
      <c r="R41" s="90" t="str">
        <f>IFERROR(IF(VLOOKUP(A41,[1]PRIORIZADOS!$A:$R,18,FALSE)="","",VLOOKUP(A41,[1]PRIORIZADOS!$A:$R,18,FALSE)),"")</f>
        <v>La conformación y operatividad del Gobierno Escolar  y las instancias de participación se realiza teniendo en cuenta sus funciones.</v>
      </c>
      <c r="S41" s="11" t="str">
        <f>IFERROR(IF(VLOOKUP(A41,[1]PRIORIZADOS!$A:$S,19,FALSE)="","",VLOOKUP(A41,[1]PRIORIZADOS!$A:$S,19,FALSE)),"")</f>
        <v>Generar especios de participación del Gobierno Escolar y las instancias de participación acorde con sus roles. Fecha: (15.08.2025)</v>
      </c>
      <c r="T41" s="70" t="str">
        <f>IFERROR(IF(VLOOKUP(A41,[1]PRIORIZADOS!$A:$T,20,FALSE)="","",VLOOKUP(A41,[1]PRIORIZADOS!$A:$T,20,FALSE)),"")</f>
        <v>No</v>
      </c>
      <c r="U41" s="11" t="str">
        <f>IFERROR(IF(VLOOKUP(A41,[1]PRIORIZADOS!$A:$U,21,FALSE)="","",VLOOKUP(A41,[1]PRIORIZADOS!$A:$U,21,FALSE)),"")</f>
        <v>Realizar verificación en caso de requerirse.</v>
      </c>
    </row>
    <row r="42" spans="1:21" s="1" customFormat="1" ht="60">
      <c r="A42" s="69">
        <f>IF([1]PRIORIZADOS!A43="","",[1]PRIORIZADOS!A43)</f>
        <v>36</v>
      </c>
      <c r="B42" s="87">
        <v>4</v>
      </c>
      <c r="C42" s="11" t="str">
        <f>IFERROR(IF(VLOOKUP(A42,[1]PRIORIZADOS!$A:$C,3,FALSE)="","",VLOOKUP(A42,[1]PRIORIZADOS!$A:$C,3,FALSE)),"")</f>
        <v>ANTONIO NARIÑO</v>
      </c>
      <c r="D42" s="69" t="str">
        <f>IFERROR(IF(VLOOKUP(A42,[1]PRIORIZADOS!$A:$D,4,FALSE)="","",VLOOKUP(A42,[1]PRIORIZADOS!$A:$D,4,FALSE)),"")</f>
        <v>PRIVADO</v>
      </c>
      <c r="E42" s="69" t="str">
        <f>IFERROR(IF(VLOOKUP(A42,[1]PRIORIZADOS!$A:$E,5,FALSE)="","",VLOOKUP(A42,[1]PRIORIZADOS!$A:$E,5,FALSE)),"")</f>
        <v>EPBM</v>
      </c>
      <c r="F42" s="11" t="str">
        <f>IFERROR(IF(VLOOKUP(A42,[1]PRIORIZADOS!$A:$F,6,FALSE)="","",VLOOKUP(A42,[1]PRIORIZADOS!$A:$F,6,FALSE)),"")</f>
        <v>COLEGIO_COOPERATIVO_DEL_MAGISTERIO_DE_CUNDINAMARCA</v>
      </c>
      <c r="G42" s="69" t="str">
        <f>IFERROR(IF(VLOOKUP(A42,[1]PRIORIZADOS!$A:$G,7,FALSE)="","",VLOOKUP(A42,[1]PRIORIZADOS!$A:$G,7,FALSE)),"")</f>
        <v>COLEGIO COOPERATIVO DEL MAGISTERIO DE CUNDINAMARCA</v>
      </c>
      <c r="H42" s="11" t="str">
        <f>IFERROR(IF(VLOOKUP(A42,[1]PRIORIZADOS!$A:$H,8,FALSE)="","",VLOOKUP(A42,[1]PRIORIZADOS!$A:$H,8,FALSE)),"")</f>
        <v>Autoevaluación Institucional y Pruebas SABER 11</v>
      </c>
      <c r="I42" s="11" t="str">
        <f>IFERROR(IF(VLOOKUP(A42,[1]PRIORIZADOS!$A:$I,9,FALSE)="","",VLOOKUP(A42,[1]PRIORIZADOS!$A:$I,9,FALSE)),"")</f>
        <v>EVALUACIÓN_CON_FINES_DE_MEJORAMIENTO.</v>
      </c>
      <c r="J42" s="11" t="str">
        <f>IFERROR(IF(VLOOKUP(A42,[1]PRIORIZADOS!$A:$J,10,FALSE)="","",VLOOKUP(A42,[1]PRIORIZADOS!$A:$J,10,FALSE)),"")</f>
        <v>Verificar las condiciones en cuanto a: la estructura administrativa, condiciones de la planta física y medios educativos adecuados.</v>
      </c>
      <c r="K42" s="11" t="str">
        <f>IFERROR(IF(VLOOKUP(A42,[1]PRIORIZADOS!$A:$K,11,FALSE)="","",VLOOKUP(A42,[1]PRIORIZADOS!$A:$K,11,FALSE)),"")</f>
        <v>JOHN JAIRO BOBADILLA BERMEO</v>
      </c>
      <c r="L42" s="11" t="str">
        <f>IFERROR(IF(VLOOKUP(A42,[1]PRIORIZADOS!$A:$L,12,FALSE)="","",VLOOKUP(A42,[1]PRIORIZADOS!$A:$L,12,FALSE)),"")</f>
        <v>ORLANDO SUÁREZ SOTO
JOSÉ RODRIGO QUILAGUY BERNAL
JOHN JAIRO BOBADILLA BERMEO</v>
      </c>
      <c r="M42" s="88">
        <f>IFERROR(IF(VLOOKUP(A42,[1]PRIORIZADOS!$A:$M,13,FALSE)="","",VLOOKUP(A42,[1]PRIORIZADOS!$A:$M,13,FALSE)),"")</f>
        <v>45771</v>
      </c>
      <c r="N42" s="88">
        <f>IFERROR(IF(VLOOKUP(A42,[1]PRIORIZADOS!$A:$N,14,FALSE)="","",VLOOKUP(A42,[1]PRIORIZADOS!$A:$N,14,FALSE)),"")</f>
        <v>45751</v>
      </c>
      <c r="O42" s="88">
        <f>IFERROR(IF(VLOOKUP(A42,[1]PRIORIZADOS!$A:$O,15,FALSE)="","",VLOOKUP(A42,[1]PRIORIZADOS!$A:$O,15,FALSE)),"")</f>
        <v>45751</v>
      </c>
      <c r="P42" s="16" t="str">
        <f>IFERROR(IF(VLOOKUP(A42,[1]PRIORIZADOS!$A:$P,16,FALSE)="","",VLOOKUP(A42,[1]PRIORIZADOS!$A:$P,16,FALSE)),"")</f>
        <v>Visitas de evaluación con fines de mejoramiento</v>
      </c>
      <c r="Q42" s="89" t="s">
        <v>29</v>
      </c>
      <c r="R42" s="90" t="str">
        <f>IFERROR(IF(VLOOKUP(A42,[1]PRIORIZADOS!$A:$R,18,FALSE)="","",VLOOKUP(A42,[1]PRIORIZADOS!$A:$R,18,FALSE)),"")</f>
        <v>La institución educativa cuenta con los espacios pedagógicos, deportivos y artísticos suficientes para la prestación del servicio educativo, no obstante, deberá colocar en funcionamiento la bibliteca</v>
      </c>
      <c r="S42" s="11" t="str">
        <f>IFERROR(IF(VLOOKUP(A42,[1]PRIORIZADOS!$A:$S,19,FALSE)="","",VLOOKUP(A42,[1]PRIORIZADOS!$A:$S,19,FALSE)),"")</f>
        <v>Promover el uso y  mantenimiento continuo de los espacios pedagógicos para mantenernos actualizados, dinámicos y estáticos.Fecha: (15.08.2025)</v>
      </c>
      <c r="T42" s="70" t="str">
        <f>IFERROR(IF(VLOOKUP(A42,[1]PRIORIZADOS!$A:$T,20,FALSE)="","",VLOOKUP(A42,[1]PRIORIZADOS!$A:$T,20,FALSE)),"")</f>
        <v>Si</v>
      </c>
      <c r="U42" s="11" t="str">
        <f>IFERROR(IF(VLOOKUP(A42,[1]PRIORIZADOS!$A:$U,21,FALSE)="","",VLOOKUP(A42,[1]PRIORIZADOS!$A:$U,21,FALSE)),"")</f>
        <v>Realizar seguimiento al mantenimiento de la infraestructura. Fecha: (15.08.2025)
Se realiza seguimiento del PMI, evidenciándose avance, conforme a lo orientado. (15/09/2025) Ver Carpeta POAIV - TRIM III</v>
      </c>
    </row>
    <row r="43" spans="1:21" s="1" customFormat="1" ht="60">
      <c r="A43" s="69">
        <f>IF([1]PRIORIZADOS!A44="","",[1]PRIORIZADOS!A44)</f>
        <v>37</v>
      </c>
      <c r="B43" s="87">
        <f>IFERROR(IF(VLOOKUP(A43,[1]PRIORIZADOS!$A:$B,2,FALSE)="","",VLOOKUP(A43,[1]PRIORIZADOS!$A:$B,2,FALSE)),"")</f>
        <v>5</v>
      </c>
      <c r="C43" s="11" t="str">
        <f>IFERROR(IF(VLOOKUP(A43,[1]PRIORIZADOS!$A:$C,3,FALSE)="","",VLOOKUP(A43,[1]PRIORIZADOS!$A:$C,3,FALSE)),"")</f>
        <v>ANTONIO NARIÑO</v>
      </c>
      <c r="D43" s="69" t="str">
        <f>IFERROR(IF(VLOOKUP(A43,[1]PRIORIZADOS!$A:$D,4,FALSE)="","",VLOOKUP(A43,[1]PRIORIZADOS!$A:$D,4,FALSE)),"")</f>
        <v>PRIVADO</v>
      </c>
      <c r="E43" s="69" t="str">
        <f>IFERROR(IF(VLOOKUP(A43,[1]PRIORIZADOS!$A:$E,5,FALSE)="","",VLOOKUP(A43,[1]PRIORIZADOS!$A:$E,5,FALSE)),"")</f>
        <v>EPBM</v>
      </c>
      <c r="F43" s="11" t="str">
        <f>IFERROR(IF(VLOOKUP(A43,[1]PRIORIZADOS!$A:$F,6,FALSE)="","",VLOOKUP(A43,[1]PRIORIZADOS!$A:$F,6,FALSE)),"")</f>
        <v>COLEGIO_PARROQUIAL_NUESTRA_SEÑORA_DE_LA_VALVANERA</v>
      </c>
      <c r="G43" s="69" t="str">
        <f>IFERROR(IF(VLOOKUP(A43,[1]PRIORIZADOS!$A:$G,7,FALSE)="","",VLOOKUP(A43,[1]PRIORIZADOS!$A:$G,7,FALSE)),"")</f>
        <v>COLEGIO PARROQUIAL NUESTRA SEÑORA DE LA VALVANERA</v>
      </c>
      <c r="H43" s="11" t="str">
        <f>IFERROR(IF(VLOOKUP(A43,[1]PRIORIZADOS!$A:$H,8,FALSE)="","",VLOOKUP(A43,[1]PRIORIZADOS!$A:$H,8,FALSE)),"")</f>
        <v>Autoevaluación Institucional y Pruebas SABER 11</v>
      </c>
      <c r="I43" s="11" t="str">
        <f>IFERROR(IF(VLOOKUP(A43,[1]PRIORIZADOS!$A:$I,9,FALSE)="","",VLOOKUP(A43,[1]PRIORIZADOS!$A:$I,9,FALSE)),"")</f>
        <v>SEGUIMIENTO_Y_SUPERVISIÓN.</v>
      </c>
      <c r="J43" s="11" t="str">
        <f>IFERROR(IF(VLOOKUP(A43,[1]PRIORIZADOS!$A:$J,10,FALSE)="","",VLOOKUP(A43,[1]PRIORIZADOS!$A:$J,10,FALSE)),"")</f>
        <v>Realizar visitas para verificar la información registrada sobre la autoevaluación institucional en el aplicativo EVI, a los establecimientos de educación formal no oficial.</v>
      </c>
      <c r="K43" s="11" t="str">
        <f>IFERROR(IF(VLOOKUP(A43,[1]PRIORIZADOS!$A:$K,11,FALSE)="","",VLOOKUP(A43,[1]PRIORIZADOS!$A:$K,11,FALSE)),"")</f>
        <v>ORLANDO SUÁREZ SOTO</v>
      </c>
      <c r="L43" s="11" t="str">
        <f>IFERROR(IF(VLOOKUP(A43,[1]PRIORIZADOS!$A:$L,12,FALSE)="","",VLOOKUP(A43,[1]PRIORIZADOS!$A:$L,12,FALSE)),"")</f>
        <v>JOSÉ RODRIGO QUILAGUY BERNAL</v>
      </c>
      <c r="M43" s="88">
        <f>IFERROR(IF(VLOOKUP(A43,[1]PRIORIZADOS!$A:$M,13,FALSE)="","",VLOOKUP(A43,[1]PRIORIZADOS!$A:$M,13,FALSE)),"")</f>
        <v>45790</v>
      </c>
      <c r="N43" s="88">
        <f>IFERROR(IF(VLOOKUP(A43,[1]PRIORIZADOS!$A:$N,14,FALSE)="","",VLOOKUP(A43,[1]PRIORIZADOS!$A:$N,14,FALSE)),"")</f>
        <v>45796</v>
      </c>
      <c r="O43" s="88">
        <f>IFERROR(IF(VLOOKUP(A43,[1]PRIORIZADOS!$A:$O,15,FALSE)="","",VLOOKUP(A43,[1]PRIORIZADOS!$A:$O,15,FALSE)),"")</f>
        <v>45796</v>
      </c>
      <c r="P43" s="16" t="str">
        <f>IFERROR(IF(VLOOKUP(A43,[1]PRIORIZADOS!$A:$P,16,FALSE)="","",VLOOKUP(A43,[1]PRIORIZADOS!$A:$P,16,FALSE)),"")</f>
        <v>Visitas de evaluación con fines de seguimiento</v>
      </c>
      <c r="Q43" s="89" t="s">
        <v>30</v>
      </c>
      <c r="R43" s="90" t="str">
        <f>IFERROR(IF(VLOOKUP(A43,[1]PRIORIZADOS!$A:$R,18,FALSE)="","",VLOOKUP(A43,[1]PRIORIZADOS!$A:$R,18,FALSE)),"")</f>
        <v>La información registrada sobre la autoevaluación institucional en el aplicativo EVI se encuentra acorde con los items y valoraciones encontradas en visita administrativa</v>
      </c>
      <c r="S43" s="11" t="str">
        <f>IFERROR(IF(VLOOKUP(A43,[1]PRIORIZADOS!$A:$S,19,FALSE)="","",VLOOKUP(A43,[1]PRIORIZADOS!$A:$S,19,FALSE)),"")</f>
        <v>Preservación y fidelidad en el cargue de información en el sistema EVI</v>
      </c>
      <c r="T43" s="70" t="str">
        <f>IFERROR(IF(VLOOKUP(A43,[1]PRIORIZADOS!$A:$T,20,FALSE)="","",VLOOKUP(A43,[1]PRIORIZADOS!$A:$T,20,FALSE)),"")</f>
        <v>No</v>
      </c>
      <c r="U43" s="11" t="str">
        <f>IFERROR(IF(VLOOKUP(A43,[1]PRIORIZADOS!$A:$U,21,FALSE)="","",VLOOKUP(A43,[1]PRIORIZADOS!$A:$U,21,FALSE)),"")</f>
        <v>Emitir concepto para tarifas educativas 2026</v>
      </c>
    </row>
    <row r="44" spans="1:21" s="1" customFormat="1" ht="60">
      <c r="A44" s="69">
        <f>IF([1]PRIORIZADOS!A45="","",[1]PRIORIZADOS!A45)</f>
        <v>38</v>
      </c>
      <c r="B44" s="87">
        <v>5</v>
      </c>
      <c r="C44" s="11" t="str">
        <f>IFERROR(IF(VLOOKUP(A44,[1]PRIORIZADOS!$A:$C,3,FALSE)="","",VLOOKUP(A44,[1]PRIORIZADOS!$A:$C,3,FALSE)),"")</f>
        <v>ANTONIO NARIÑO</v>
      </c>
      <c r="D44" s="69" t="str">
        <f>IFERROR(IF(VLOOKUP(A44,[1]PRIORIZADOS!$A:$D,4,FALSE)="","",VLOOKUP(A44,[1]PRIORIZADOS!$A:$D,4,FALSE)),"")</f>
        <v>PRIVADO</v>
      </c>
      <c r="E44" s="69" t="str">
        <f>IFERROR(IF(VLOOKUP(A44,[1]PRIORIZADOS!$A:$E,5,FALSE)="","",VLOOKUP(A44,[1]PRIORIZADOS!$A:$E,5,FALSE)),"")</f>
        <v>EPBM</v>
      </c>
      <c r="F44" s="11" t="str">
        <f>IFERROR(IF(VLOOKUP(A44,[1]PRIORIZADOS!$A:$F,6,FALSE)="","",VLOOKUP(A44,[1]PRIORIZADOS!$A:$F,6,FALSE)),"")</f>
        <v>COLEGIO_PARROQUIAL_NUESTRA_SEÑORA_DE_LA_VALVANERA</v>
      </c>
      <c r="G44" s="69" t="str">
        <f>IFERROR(IF(VLOOKUP(A44,[1]PRIORIZADOS!$A:$G,7,FALSE)="","",VLOOKUP(A44,[1]PRIORIZADOS!$A:$G,7,FALSE)),"")</f>
        <v>COLEGIO PARROQUIAL NUESTRA SEÑORA DE LA VALVANERA</v>
      </c>
      <c r="H44" s="11" t="str">
        <f>IFERROR(IF(VLOOKUP(A44,[1]PRIORIZADOS!$A:$H,8,FALSE)="","",VLOOKUP(A44,[1]PRIORIZADOS!$A:$H,8,FALSE)),"")</f>
        <v>Autoevaluación Institucional y Pruebas SABER 11</v>
      </c>
      <c r="I44" s="11" t="str">
        <f>IFERROR(IF(VLOOKUP(A44,[1]PRIORIZADOS!$A:$I,9,FALSE)="","",VLOOKUP(A44,[1]PRIORIZADOS!$A:$I,9,FALSE)),"")</f>
        <v>SEGUIMIENTO_Y_SUPERVISIÓN.</v>
      </c>
      <c r="J44" s="11" t="str">
        <f>IFERROR(IF(VLOOKUP(A44,[1]PRIORIZADOS!$A:$J,10,FALSE)="","",VLOOKUP(A44,[1]PRIORIZADOS!$A:$J,10,FALSE)),"")</f>
        <v>Proponer estrategias en la formulación, verificar su elaboración y realizar seguimiento semestral al desarrollo de  las acciones establecidas en los planes de mejoramiento por pruebas SABER 11 de los establecimientos de educación formal.</v>
      </c>
      <c r="K44" s="11" t="str">
        <f>IFERROR(IF(VLOOKUP(A44,[1]PRIORIZADOS!$A:$K,11,FALSE)="","",VLOOKUP(A44,[1]PRIORIZADOS!$A:$K,11,FALSE)),"")</f>
        <v>ORLANDO SUÁREZ SOTO</v>
      </c>
      <c r="L44" s="11" t="str">
        <f>IFERROR(IF(VLOOKUP(A44,[1]PRIORIZADOS!$A:$L,12,FALSE)="","",VLOOKUP(A44,[1]PRIORIZADOS!$A:$L,12,FALSE)),"")</f>
        <v>JOSÉ RODRIGO QUILAGUY BERNAL</v>
      </c>
      <c r="M44" s="88">
        <f>IFERROR(IF(VLOOKUP(A44,[1]PRIORIZADOS!$A:$M,13,FALSE)="","",VLOOKUP(A44,[1]PRIORIZADOS!$A:$M,13,FALSE)),"")</f>
        <v>45790</v>
      </c>
      <c r="N44" s="88">
        <f>IFERROR(IF(VLOOKUP(A44,[1]PRIORIZADOS!$A:$N,14,FALSE)="","",VLOOKUP(A44,[1]PRIORIZADOS!$A:$N,14,FALSE)),"")</f>
        <v>45796</v>
      </c>
      <c r="O44" s="88">
        <f>IFERROR(IF(VLOOKUP(A44,[1]PRIORIZADOS!$A:$O,15,FALSE)="","",VLOOKUP(A44,[1]PRIORIZADOS!$A:$O,15,FALSE)),"")</f>
        <v>45796</v>
      </c>
      <c r="P44" s="16" t="str">
        <f>IFERROR(IF(VLOOKUP(A44,[1]PRIORIZADOS!$A:$P,16,FALSE)="","",VLOOKUP(A44,[1]PRIORIZADOS!$A:$P,16,FALSE)),"")</f>
        <v>Visitas de evaluación con fines de seguimiento</v>
      </c>
      <c r="Q44" s="89" t="s">
        <v>30</v>
      </c>
      <c r="R44" s="90" t="str">
        <f>IFERROR(IF(VLOOKUP(A44,[1]PRIORIZADOS!$A:$R,18,FALSE)="","",VLOOKUP(A44,[1]PRIORIZADOS!$A:$R,18,FALSE)),"")</f>
        <v>Existen estrategias para la formulación de mejoras en referencia al análisis de resultados de las pruebas Saber 11</v>
      </c>
      <c r="S44" s="11" t="str">
        <f>IFERROR(IF(VLOOKUP(A44,[1]PRIORIZADOS!$A:$S,19,FALSE)="","",VLOOKUP(A44,[1]PRIORIZADOS!$A:$S,19,FALSE)),"")</f>
        <v>Implementar herramientas (matriz de control) que le permitan a la IE estrategias de mejora y de inclusion escolar, en lo referente a las pruebas Saber 11</v>
      </c>
      <c r="T44" s="70" t="str">
        <f>IFERROR(IF(VLOOKUP(A44,[1]PRIORIZADOS!$A:$T,20,FALSE)="","",VLOOKUP(A44,[1]PRIORIZADOS!$A:$T,20,FALSE)),"")</f>
        <v>Si</v>
      </c>
      <c r="U44" s="11" t="str">
        <f>IFERROR(IF(VLOOKUP(A44,[1]PRIORIZADOS!$A:$U,21,FALSE)="","",VLOOKUP(A44,[1]PRIORIZADOS!$A:$U,21,FALSE)),"")</f>
        <v>La IE revisará y hará la propuesta al ELIV sobre el plan de mejoramiento institucional y lo reportara dentro de los siguiente 15 dias para su revision y seguimiento
Se realiza seguimento del PMI, evidenciandose avance, conforme a lo orientado. (12/09/2025) Ver Carpeta POAIV - TRIM III</v>
      </c>
    </row>
    <row r="45" spans="1:21" s="1" customFormat="1" ht="60">
      <c r="A45" s="69">
        <f>IF([1]PRIORIZADOS!A46="","",[1]PRIORIZADOS!A46)</f>
        <v>39</v>
      </c>
      <c r="B45" s="87">
        <v>5</v>
      </c>
      <c r="C45" s="11" t="str">
        <f>IFERROR(IF(VLOOKUP(A45,[1]PRIORIZADOS!$A:$C,3,FALSE)="","",VLOOKUP(A45,[1]PRIORIZADOS!$A:$C,3,FALSE)),"")</f>
        <v>ANTONIO NARIÑO</v>
      </c>
      <c r="D45" s="69" t="str">
        <f>IFERROR(IF(VLOOKUP(A45,[1]PRIORIZADOS!$A:$D,4,FALSE)="","",VLOOKUP(A45,[1]PRIORIZADOS!$A:$D,4,FALSE)),"")</f>
        <v>PRIVADO</v>
      </c>
      <c r="E45" s="69" t="str">
        <f>IFERROR(IF(VLOOKUP(A45,[1]PRIORIZADOS!$A:$E,5,FALSE)="","",VLOOKUP(A45,[1]PRIORIZADOS!$A:$E,5,FALSE)),"")</f>
        <v>EPBM</v>
      </c>
      <c r="F45" s="11" t="str">
        <f>IFERROR(IF(VLOOKUP(A45,[1]PRIORIZADOS!$A:$F,6,FALSE)="","",VLOOKUP(A45,[1]PRIORIZADOS!$A:$F,6,FALSE)),"")</f>
        <v>COLEGIO_PARROQUIAL_NUESTRA_SEÑORA_DE_LA_VALVANERA</v>
      </c>
      <c r="G45" s="69" t="str">
        <f>IFERROR(IF(VLOOKUP(A45,[1]PRIORIZADOS!$A:$G,7,FALSE)="","",VLOOKUP(A45,[1]PRIORIZADOS!$A:$G,7,FALSE)),"")</f>
        <v>COLEGIO PARROQUIAL NUESTRA SEÑORA DE LA VALVANERA</v>
      </c>
      <c r="H45" s="11" t="str">
        <f>IFERROR(IF(VLOOKUP(A45,[1]PRIORIZADOS!$A:$H,8,FALSE)="","",VLOOKUP(A45,[1]PRIORIZADOS!$A:$H,8,FALSE)),"")</f>
        <v>Autoevaluación Institucional y Pruebas SABER 11</v>
      </c>
      <c r="I45" s="11" t="str">
        <f>IFERROR(IF(VLOOKUP(A45,[1]PRIORIZADOS!$A:$I,9,FALSE)="","",VLOOKUP(A45,[1]PRIORIZADOS!$A:$I,9,FALSE)),"")</f>
        <v>SEGUIMIENTO_Y_SUPERVISIÓN.</v>
      </c>
      <c r="J45" s="11" t="str">
        <f>IFERROR(IF(VLOOKUP(A45,[1]PRIORIZADOS!$A:$J,10,FALSE)="","",VLOOKUP(A45,[1]PRIORIZADOS!$A:$J,10,FALSE)),"")</f>
        <v xml:space="preserve">Verificar la implementación por parte de los colegios, de acciones realizadas para la prevención y atención de las situaciones de convivencia en el entorno escolar, según lo establecido en la Directiva 01 de 2022 del MEN. </v>
      </c>
      <c r="K45" s="11" t="str">
        <f>IFERROR(IF(VLOOKUP(A45,[1]PRIORIZADOS!$A:$K,11,FALSE)="","",VLOOKUP(A45,[1]PRIORIZADOS!$A:$K,11,FALSE)),"")</f>
        <v>ORLANDO SUÁREZ SOTO</v>
      </c>
      <c r="L45" s="11" t="str">
        <f>IFERROR(IF(VLOOKUP(A45,[1]PRIORIZADOS!$A:$L,12,FALSE)="","",VLOOKUP(A45,[1]PRIORIZADOS!$A:$L,12,FALSE)),"")</f>
        <v>JOSÉ RODRIGO QUILAGUY BERNAL</v>
      </c>
      <c r="M45" s="88">
        <f>IFERROR(IF(VLOOKUP(A45,[1]PRIORIZADOS!$A:$M,13,FALSE)="","",VLOOKUP(A45,[1]PRIORIZADOS!$A:$M,13,FALSE)),"")</f>
        <v>45790</v>
      </c>
      <c r="N45" s="88">
        <f>IFERROR(IF(VLOOKUP(A45,[1]PRIORIZADOS!$A:$N,14,FALSE)="","",VLOOKUP(A45,[1]PRIORIZADOS!$A:$N,14,FALSE)),"")</f>
        <v>45796</v>
      </c>
      <c r="O45" s="88">
        <f>IFERROR(IF(VLOOKUP(A45,[1]PRIORIZADOS!$A:$O,15,FALSE)="","",VLOOKUP(A45,[1]PRIORIZADOS!$A:$O,15,FALSE)),"")</f>
        <v>45796</v>
      </c>
      <c r="P45" s="16" t="str">
        <f>IFERROR(IF(VLOOKUP(A45,[1]PRIORIZADOS!$A:$P,16,FALSE)="","",VLOOKUP(A45,[1]PRIORIZADOS!$A:$P,16,FALSE)),"")</f>
        <v>Visitas de evaluación con fines de seguimiento</v>
      </c>
      <c r="Q45" s="89" t="s">
        <v>30</v>
      </c>
      <c r="R45" s="90" t="str">
        <f>IFERROR(IF(VLOOKUP(A45,[1]PRIORIZADOS!$A:$R,18,FALSE)="","",VLOOKUP(A45,[1]PRIORIZADOS!$A:$R,18,FALSE)),"")</f>
        <v>Se evidenciaron  soportes documental que dan a  las verificacion de antecedentes del personal en las carpetas de hojas de vida. Ademas, de otras medidas de consulta y verificacion.</v>
      </c>
      <c r="S45" s="11" t="str">
        <f>IFERROR(IF(VLOOKUP(A45,[1]PRIORIZADOS!$A:$S,19,FALSE)="","",VLOOKUP(A45,[1]PRIORIZADOS!$A:$S,19,FALSE)),"")</f>
        <v>Revisón periodica de antecedentes, conforme a la normatividad vigente</v>
      </c>
      <c r="T45" s="70" t="str">
        <f>IFERROR(IF(VLOOKUP(A45,[1]PRIORIZADOS!$A:$T,20,FALSE)="","",VLOOKUP(A45,[1]PRIORIZADOS!$A:$T,20,FALSE)),"")</f>
        <v>No</v>
      </c>
      <c r="U45" s="11" t="str">
        <f>IFERROR(IF(VLOOKUP(A45,[1]PRIORIZADOS!$A:$U,21,FALSE)="","",VLOOKUP(A45,[1]PRIORIZADOS!$A:$U,21,FALSE)),"")</f>
        <v>Verificar en caso de requerirse o de presentarse queja</v>
      </c>
    </row>
    <row r="46" spans="1:21" s="1" customFormat="1" ht="107.25">
      <c r="A46" s="69">
        <f>IF([1]PRIORIZADOS!A47="","",[1]PRIORIZADOS!A47)</f>
        <v>40</v>
      </c>
      <c r="B46" s="87">
        <v>5</v>
      </c>
      <c r="C46" s="11" t="str">
        <f>IFERROR(IF(VLOOKUP(A46,[1]PRIORIZADOS!$A:$C,3,FALSE)="","",VLOOKUP(A46,[1]PRIORIZADOS!$A:$C,3,FALSE)),"")</f>
        <v>ANTONIO NARIÑO</v>
      </c>
      <c r="D46" s="69" t="str">
        <f>IFERROR(IF(VLOOKUP(A46,[1]PRIORIZADOS!$A:$D,4,FALSE)="","",VLOOKUP(A46,[1]PRIORIZADOS!$A:$D,4,FALSE)),"")</f>
        <v>PRIVADO</v>
      </c>
      <c r="E46" s="69" t="str">
        <f>IFERROR(IF(VLOOKUP(A46,[1]PRIORIZADOS!$A:$E,5,FALSE)="","",VLOOKUP(A46,[1]PRIORIZADOS!$A:$E,5,FALSE)),"")</f>
        <v>EPBM</v>
      </c>
      <c r="F46" s="11" t="str">
        <f>IFERROR(IF(VLOOKUP(A46,[1]PRIORIZADOS!$A:$F,6,FALSE)="","",VLOOKUP(A46,[1]PRIORIZADOS!$A:$F,6,FALSE)),"")</f>
        <v>COLEGIO_PARROQUIAL_NUESTRA_SEÑORA_DE_LA_VALVANERA</v>
      </c>
      <c r="G46" s="69" t="str">
        <f>IFERROR(IF(VLOOKUP(A46,[1]PRIORIZADOS!$A:$G,7,FALSE)="","",VLOOKUP(A46,[1]PRIORIZADOS!$A:$G,7,FALSE)),"")</f>
        <v>COLEGIO PARROQUIAL NUESTRA SEÑORA DE LA VALVANERA</v>
      </c>
      <c r="H46" s="11" t="str">
        <f>IFERROR(IF(VLOOKUP(A46,[1]PRIORIZADOS!$A:$H,8,FALSE)="","",VLOOKUP(A46,[1]PRIORIZADOS!$A:$H,8,FALSE)),"")</f>
        <v>Autoevaluación Institucional y Pruebas SABER 11</v>
      </c>
      <c r="I46" s="11" t="str">
        <f>IFERROR(IF(VLOOKUP(A46,[1]PRIORIZADOS!$A:$I,9,FALSE)="","",VLOOKUP(A46,[1]PRIORIZADOS!$A:$I,9,FALSE)),"")</f>
        <v>SEGUIMIENTO_Y_SUPERVISIÓN.</v>
      </c>
      <c r="J46" s="11" t="str">
        <f>IFERROR(IF(VLOOKUP(A46,[1]PRIORIZADOS!$A:$J,10,FALSE)="","",VLOOKUP(A46,[1]PRIORIZADOS!$A:$J,10,FALSE)),"")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6" s="11" t="str">
        <f>IFERROR(IF(VLOOKUP(A46,[1]PRIORIZADOS!$A:$K,11,FALSE)="","",VLOOKUP(A46,[1]PRIORIZADOS!$A:$K,11,FALSE)),"")</f>
        <v>ORLANDO SUÁREZ SOTO</v>
      </c>
      <c r="L46" s="11" t="str">
        <f>IFERROR(IF(VLOOKUP(A46,[1]PRIORIZADOS!$A:$L,12,FALSE)="","",VLOOKUP(A46,[1]PRIORIZADOS!$A:$L,12,FALSE)),"")</f>
        <v>JOSÉ RODRIGO QUILAGUY BERNAL</v>
      </c>
      <c r="M46" s="88">
        <f>IFERROR(IF(VLOOKUP(A46,[1]PRIORIZADOS!$A:$M,13,FALSE)="","",VLOOKUP(A46,[1]PRIORIZADOS!$A:$M,13,FALSE)),"")</f>
        <v>45790</v>
      </c>
      <c r="N46" s="88">
        <f>IFERROR(IF(VLOOKUP(A46,[1]PRIORIZADOS!$A:$N,14,FALSE)="","",VLOOKUP(A46,[1]PRIORIZADOS!$A:$N,14,FALSE)),"")</f>
        <v>45796</v>
      </c>
      <c r="O46" s="88">
        <f>IFERROR(IF(VLOOKUP(A46,[1]PRIORIZADOS!$A:$O,15,FALSE)="","",VLOOKUP(A46,[1]PRIORIZADOS!$A:$O,15,FALSE)),"")</f>
        <v>45796</v>
      </c>
      <c r="P46" s="16" t="str">
        <f>IFERROR(IF(VLOOKUP(A46,[1]PRIORIZADOS!$A:$P,16,FALSE)="","",VLOOKUP(A46,[1]PRIORIZADOS!$A:$P,16,FALSE)),"")</f>
        <v>Visitas de evaluación con fines de seguimiento</v>
      </c>
      <c r="Q46" s="89" t="s">
        <v>30</v>
      </c>
      <c r="R46" s="90" t="str">
        <f>IFERROR(IF(VLOOKUP(A46,[1]PRIORIZADOS!$A:$R,18,FALSE)="","",VLOOKUP(A46,[1]PRIORIZADOS!$A:$R,18,FALSE)),"")</f>
        <v>La IE tiene caracterizados los estudiantes con trastornos de aprendizaje y talentos excepcionales, y se evidencia que ha implementado estrategias para su atención. Existe evidencia de implementación en el PEI del Diseño Universal de Aprendizaje (DUA) y estrategias diferenciadas para atender las necesidades especiales de los estudiantes.</v>
      </c>
      <c r="S46" s="11" t="str">
        <f>IFERROR(IF(VLOOKUP(A46,[1]PRIORIZADOS!$A:$S,19,FALSE)="","",VLOOKUP(A46,[1]PRIORIZADOS!$A:$S,19,FALSE)),"")</f>
        <v>Se recominda la verificación del reporte de matrícula en SIMAT</v>
      </c>
      <c r="T46" s="70" t="str">
        <f>IFERROR(IF(VLOOKUP(A46,[1]PRIORIZADOS!$A:$T,20,FALSE)="","",VLOOKUP(A46,[1]PRIORIZADOS!$A:$T,20,FALSE)),"")</f>
        <v>No</v>
      </c>
      <c r="U46" s="11" t="str">
        <f>IFERROR(IF(VLOOKUP(A46,[1]PRIORIZADOS!$A:$U,21,FALSE)="","",VLOOKUP(A46,[1]PRIORIZADOS!$A:$U,21,FALSE)),"")</f>
        <v>Verificar en caso de requerirse o de presentarse queja</v>
      </c>
    </row>
    <row r="47" spans="1:21" s="1" customFormat="1" ht="84">
      <c r="A47" s="69">
        <f>IF([1]PRIORIZADOS!A48="","",[1]PRIORIZADOS!A48)</f>
        <v>41</v>
      </c>
      <c r="B47" s="87">
        <v>5</v>
      </c>
      <c r="C47" s="11" t="str">
        <f>IFERROR(IF(VLOOKUP(A47,[1]PRIORIZADOS!$A:$C,3,FALSE)="","",VLOOKUP(A47,[1]PRIORIZADOS!$A:$C,3,FALSE)),"")</f>
        <v>ANTONIO NARIÑO</v>
      </c>
      <c r="D47" s="69" t="str">
        <f>IFERROR(IF(VLOOKUP(A47,[1]PRIORIZADOS!$A:$D,4,FALSE)="","",VLOOKUP(A47,[1]PRIORIZADOS!$A:$D,4,FALSE)),"")</f>
        <v>PRIVADO</v>
      </c>
      <c r="E47" s="69" t="str">
        <f>IFERROR(IF(VLOOKUP(A47,[1]PRIORIZADOS!$A:$E,5,FALSE)="","",VLOOKUP(A47,[1]PRIORIZADOS!$A:$E,5,FALSE)),"")</f>
        <v>EPBM</v>
      </c>
      <c r="F47" s="11" t="str">
        <f>IFERROR(IF(VLOOKUP(A47,[1]PRIORIZADOS!$A:$F,6,FALSE)="","",VLOOKUP(A47,[1]PRIORIZADOS!$A:$F,6,FALSE)),"")</f>
        <v>COLEGIO_PARROQUIAL_NUESTRA_SEÑORA_DE_LA_VALVANERA</v>
      </c>
      <c r="G47" s="69" t="str">
        <f>IFERROR(IF(VLOOKUP(A47,[1]PRIORIZADOS!$A:$G,7,FALSE)="","",VLOOKUP(A47,[1]PRIORIZADOS!$A:$G,7,FALSE)),"")</f>
        <v>COLEGIO PARROQUIAL NUESTRA SEÑORA DE LA VALVANERA</v>
      </c>
      <c r="H47" s="11" t="str">
        <f>IFERROR(IF(VLOOKUP(A47,[1]PRIORIZADOS!$A:$H,8,FALSE)="","",VLOOKUP(A47,[1]PRIORIZADOS!$A:$H,8,FALSE)),"")</f>
        <v>Autoevaluación Institucional y Pruebas SABER 11</v>
      </c>
      <c r="I47" s="11" t="str">
        <f>IFERROR(IF(VLOOKUP(A47,[1]PRIORIZADOS!$A:$I,9,FALSE)="","",VLOOKUP(A47,[1]PRIORIZADOS!$A:$I,9,FALSE)),"")</f>
        <v>EVALUACIÓN_CON_FINES_DE_MEJORAMIENTO.</v>
      </c>
      <c r="J47" s="11" t="str">
        <f>IFERROR(IF(VLOOKUP(A47,[1]PRIORIZADOS!$A:$J,10,FALSE)="","",VLOOKUP(A47,[1]PRIORIZADOS!$A:$J,10,FALSE)),"")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7" s="11" t="str">
        <f>IFERROR(IF(VLOOKUP(A47,[1]PRIORIZADOS!$A:$K,11,FALSE)="","",VLOOKUP(A47,[1]PRIORIZADOS!$A:$K,11,FALSE)),"")</f>
        <v>ORLANDO SUÁREZ SOTO</v>
      </c>
      <c r="L47" s="11" t="str">
        <f>IFERROR(IF(VLOOKUP(A47,[1]PRIORIZADOS!$A:$L,12,FALSE)="","",VLOOKUP(A47,[1]PRIORIZADOS!$A:$L,12,FALSE)),"")</f>
        <v>JOSÉ RODRIGO QUILAGUY BERNAL</v>
      </c>
      <c r="M47" s="88">
        <f>IFERROR(IF(VLOOKUP(A47,[1]PRIORIZADOS!$A:$M,13,FALSE)="","",VLOOKUP(A47,[1]PRIORIZADOS!$A:$M,13,FALSE)),"")</f>
        <v>45790</v>
      </c>
      <c r="N47" s="88">
        <f>IFERROR(IF(VLOOKUP(A47,[1]PRIORIZADOS!$A:$N,14,FALSE)="","",VLOOKUP(A47,[1]PRIORIZADOS!$A:$N,14,FALSE)),"")</f>
        <v>45796</v>
      </c>
      <c r="O47" s="88">
        <f>IFERROR(IF(VLOOKUP(A47,[1]PRIORIZADOS!$A:$O,15,FALSE)="","",VLOOKUP(A47,[1]PRIORIZADOS!$A:$O,15,FALSE)),"")</f>
        <v>45796</v>
      </c>
      <c r="P47" s="16" t="str">
        <f>IFERROR(IF(VLOOKUP(A47,[1]PRIORIZADOS!$A:$P,16,FALSE)="","",VLOOKUP(A47,[1]PRIORIZADOS!$A:$P,16,FALSE)),"")</f>
        <v>Visitas de evaluación con fines de mejoramiento</v>
      </c>
      <c r="Q47" s="89" t="s">
        <v>30</v>
      </c>
      <c r="R47" s="90" t="str">
        <f>IFERROR(IF(VLOOKUP(A47,[1]PRIORIZADOS!$A:$R,18,FALSE)="","",VLOOKUP(A47,[1]PRIORIZADOS!$A:$R,18,FALSE)),"")</f>
        <v>Se evidencia participación y cumplimiento de los requisitos legales y sociales. Existe participación de la comunidad educativa en la construcción, incluye bases legales, y contempla socialización y actualización</v>
      </c>
      <c r="S47" s="11" t="str">
        <f>IFERROR(IF(VLOOKUP(A47,[1]PRIORIZADOS!$A:$S,19,FALSE)="","",VLOOKUP(A47,[1]PRIORIZADOS!$A:$S,19,FALSE)),"")</f>
        <v>Continuar los procesos participativos y de socialización con la comunidad educativa.</v>
      </c>
      <c r="T47" s="70" t="str">
        <f>IFERROR(IF(VLOOKUP(A47,[1]PRIORIZADOS!$A:$T,20,FALSE)="","",VLOOKUP(A47,[1]PRIORIZADOS!$A:$T,20,FALSE)),"")</f>
        <v>No</v>
      </c>
      <c r="U47" s="11" t="str">
        <f>IFERROR(IF(VLOOKUP(A47,[1]PRIORIZADOS!$A:$U,21,FALSE)="","",VLOOKUP(A47,[1]PRIORIZADOS!$A:$U,21,FALSE)),"")</f>
        <v>Verificar en caso de requerirse o de presentarse queja</v>
      </c>
    </row>
    <row r="48" spans="1:21" s="1" customFormat="1" ht="48">
      <c r="A48" s="69">
        <f>IF([1]PRIORIZADOS!A49="","",[1]PRIORIZADOS!A49)</f>
        <v>42</v>
      </c>
      <c r="B48" s="87">
        <v>5</v>
      </c>
      <c r="C48" s="11" t="str">
        <f>IFERROR(IF(VLOOKUP(A48,[1]PRIORIZADOS!$A:$C,3,FALSE)="","",VLOOKUP(A48,[1]PRIORIZADOS!$A:$C,3,FALSE)),"")</f>
        <v>ANTONIO NARIÑO</v>
      </c>
      <c r="D48" s="69" t="str">
        <f>IFERROR(IF(VLOOKUP(A48,[1]PRIORIZADOS!$A:$D,4,FALSE)="","",VLOOKUP(A48,[1]PRIORIZADOS!$A:$D,4,FALSE)),"")</f>
        <v>PRIVADO</v>
      </c>
      <c r="E48" s="69" t="str">
        <f>IFERROR(IF(VLOOKUP(A48,[1]PRIORIZADOS!$A:$E,5,FALSE)="","",VLOOKUP(A48,[1]PRIORIZADOS!$A:$E,5,FALSE)),"")</f>
        <v>EPBM</v>
      </c>
      <c r="F48" s="11" t="str">
        <f>IFERROR(IF(VLOOKUP(A48,[1]PRIORIZADOS!$A:$F,6,FALSE)="","",VLOOKUP(A48,[1]PRIORIZADOS!$A:$F,6,FALSE)),"")</f>
        <v>COLEGIO_PARROQUIAL_NUESTRA_SEÑORA_DE_LA_VALVANERA</v>
      </c>
      <c r="G48" s="69" t="str">
        <f>IFERROR(IF(VLOOKUP(A48,[1]PRIORIZADOS!$A:$G,7,FALSE)="","",VLOOKUP(A48,[1]PRIORIZADOS!$A:$G,7,FALSE)),"")</f>
        <v>COLEGIO PARROQUIAL NUESTRA SEÑORA DE LA VALVANERA</v>
      </c>
      <c r="H48" s="11" t="str">
        <f>IFERROR(IF(VLOOKUP(A48,[1]PRIORIZADOS!$A:$H,8,FALSE)="","",VLOOKUP(A48,[1]PRIORIZADOS!$A:$H,8,FALSE)),"")</f>
        <v>Autoevaluación Institucional y Pruebas SABER 11</v>
      </c>
      <c r="I48" s="11" t="str">
        <f>IFERROR(IF(VLOOKUP(A48,[1]PRIORIZADOS!$A:$I,9,FALSE)="","",VLOOKUP(A48,[1]PRIORIZADOS!$A:$I,9,FALSE)),"")</f>
        <v>EVALUACIÓN_CON_FINES_DE_MEJORAMIENTO.</v>
      </c>
      <c r="J48" s="11" t="str">
        <f>IFERROR(IF(VLOOKUP(A48,[1]PRIORIZADOS!$A:$J,10,FALSE)="","",VLOOKUP(A48,[1]PRIORIZADOS!$A:$J,10,FALSE)),"")</f>
        <v>Revisar la actualización, socialización e implementación del Sistema Institucional de Evaluación de Estudiantes - SIEE, en articulación con la actualización del PEI y la normatividad vigente.</v>
      </c>
      <c r="K48" s="11" t="str">
        <f>IFERROR(IF(VLOOKUP(A48,[1]PRIORIZADOS!$A:$K,11,FALSE)="","",VLOOKUP(A48,[1]PRIORIZADOS!$A:$K,11,FALSE)),"")</f>
        <v>ORLANDO SUÁREZ SOTO</v>
      </c>
      <c r="L48" s="11" t="str">
        <f>IFERROR(IF(VLOOKUP(A48,[1]PRIORIZADOS!$A:$L,12,FALSE)="","",VLOOKUP(A48,[1]PRIORIZADOS!$A:$L,12,FALSE)),"")</f>
        <v>JOSÉ RODRIGO QUILAGUY BERNAL</v>
      </c>
      <c r="M48" s="88">
        <f>IFERROR(IF(VLOOKUP(A48,[1]PRIORIZADOS!$A:$M,13,FALSE)="","",VLOOKUP(A48,[1]PRIORIZADOS!$A:$M,13,FALSE)),"")</f>
        <v>45790</v>
      </c>
      <c r="N48" s="88">
        <f>IFERROR(IF(VLOOKUP(A48,[1]PRIORIZADOS!$A:$N,14,FALSE)="","",VLOOKUP(A48,[1]PRIORIZADOS!$A:$N,14,FALSE)),"")</f>
        <v>45796</v>
      </c>
      <c r="O48" s="88">
        <f>IFERROR(IF(VLOOKUP(A48,[1]PRIORIZADOS!$A:$O,15,FALSE)="","",VLOOKUP(A48,[1]PRIORIZADOS!$A:$O,15,FALSE)),"")</f>
        <v>45796</v>
      </c>
      <c r="P48" s="16" t="str">
        <f>IFERROR(IF(VLOOKUP(A48,[1]PRIORIZADOS!$A:$P,16,FALSE)="","",VLOOKUP(A48,[1]PRIORIZADOS!$A:$P,16,FALSE)),"")</f>
        <v>Visitas de evaluación con fines de mejoramiento</v>
      </c>
      <c r="Q48" s="89" t="s">
        <v>30</v>
      </c>
      <c r="R48" s="90" t="str">
        <f>IFERROR(IF(VLOOKUP(A48,[1]PRIORIZADOS!$A:$R,18,FALSE)="","",VLOOKUP(A48,[1]PRIORIZADOS!$A:$R,18,FALSE)),"")</f>
        <v>Se evidencia ejecución y registro de la información del SIIE, además que este esta basado en la normatividad vigente</v>
      </c>
      <c r="S48" s="11" t="str">
        <f>IFERROR(IF(VLOOKUP(A48,[1]PRIORIZADOS!$A:$S,19,FALSE)="","",VLOOKUP(A48,[1]PRIORIZADOS!$A:$S,19,FALSE)),"")</f>
        <v>Continuar los procesos participativos y de socialización con la comunidad educativa.</v>
      </c>
      <c r="T48" s="70" t="str">
        <f>IFERROR(IF(VLOOKUP(A48,[1]PRIORIZADOS!$A:$T,20,FALSE)="","",VLOOKUP(A48,[1]PRIORIZADOS!$A:$T,20,FALSE)),"")</f>
        <v>No</v>
      </c>
      <c r="U48" s="11" t="str">
        <f>IFERROR(IF(VLOOKUP(A48,[1]PRIORIZADOS!$A:$U,21,FALSE)="","",VLOOKUP(A48,[1]PRIORIZADOS!$A:$U,21,FALSE)),"")</f>
        <v>Verificar en caso de requerirse o de presentarse queja</v>
      </c>
    </row>
    <row r="49" spans="1:21" s="1" customFormat="1" ht="48">
      <c r="A49" s="69">
        <f>IF([1]PRIORIZADOS!A50="","",[1]PRIORIZADOS!A50)</f>
        <v>43</v>
      </c>
      <c r="B49" s="87">
        <v>5</v>
      </c>
      <c r="C49" s="11" t="str">
        <f>IFERROR(IF(VLOOKUP(A49,[1]PRIORIZADOS!$A:$C,3,FALSE)="","",VLOOKUP(A49,[1]PRIORIZADOS!$A:$C,3,FALSE)),"")</f>
        <v>ANTONIO NARIÑO</v>
      </c>
      <c r="D49" s="69" t="str">
        <f>IFERROR(IF(VLOOKUP(A49,[1]PRIORIZADOS!$A:$D,4,FALSE)="","",VLOOKUP(A49,[1]PRIORIZADOS!$A:$D,4,FALSE)),"")</f>
        <v>PRIVADO</v>
      </c>
      <c r="E49" s="69" t="str">
        <f>IFERROR(IF(VLOOKUP(A49,[1]PRIORIZADOS!$A:$E,5,FALSE)="","",VLOOKUP(A49,[1]PRIORIZADOS!$A:$E,5,FALSE)),"")</f>
        <v>EPBM</v>
      </c>
      <c r="F49" s="11" t="str">
        <f>IFERROR(IF(VLOOKUP(A49,[1]PRIORIZADOS!$A:$F,6,FALSE)="","",VLOOKUP(A49,[1]PRIORIZADOS!$A:$F,6,FALSE)),"")</f>
        <v>COLEGIO_PARROQUIAL_NUESTRA_SEÑORA_DE_LA_VALVANERA</v>
      </c>
      <c r="G49" s="69" t="str">
        <f>IFERROR(IF(VLOOKUP(A49,[1]PRIORIZADOS!$A:$G,7,FALSE)="","",VLOOKUP(A49,[1]PRIORIZADOS!$A:$G,7,FALSE)),"")</f>
        <v>COLEGIO PARROQUIAL NUESTRA SEÑORA DE LA VALVANERA</v>
      </c>
      <c r="H49" s="11" t="str">
        <f>IFERROR(IF(VLOOKUP(A49,[1]PRIORIZADOS!$A:$H,8,FALSE)="","",VLOOKUP(A49,[1]PRIORIZADOS!$A:$H,8,FALSE)),"")</f>
        <v>Autoevaluación Institucional y Pruebas SABER 11</v>
      </c>
      <c r="I49" s="11" t="str">
        <f>IFERROR(IF(VLOOKUP(A49,[1]PRIORIZADOS!$A:$I,9,FALSE)="","",VLOOKUP(A49,[1]PRIORIZADOS!$A:$I,9,FALSE)),"")</f>
        <v>EVALUACIÓN_CON_FINES_DE_MEJORAMIENTO.</v>
      </c>
      <c r="J49" s="11" t="str">
        <f>IFERROR(IF(VLOOKUP(A49,[1]PRIORIZADOS!$A:$J,10,FALSE)="","",VLOOKUP(A49,[1]PRIORIZADOS!$A:$J,10,FALSE)),"")</f>
        <v>Revisar el calendario escolar, jornada escolar, la intensidad horaria mínima anual en cada nivel y las modificaciones que se realicen al mismo, de acuerdo con lo previsto en la normatividad vigente.</v>
      </c>
      <c r="K49" s="11" t="str">
        <f>IFERROR(IF(VLOOKUP(A49,[1]PRIORIZADOS!$A:$K,11,FALSE)="","",VLOOKUP(A49,[1]PRIORIZADOS!$A:$K,11,FALSE)),"")</f>
        <v>ORLANDO SUÁREZ SOTO</v>
      </c>
      <c r="L49" s="11" t="str">
        <f>IFERROR(IF(VLOOKUP(A49,[1]PRIORIZADOS!$A:$L,12,FALSE)="","",VLOOKUP(A49,[1]PRIORIZADOS!$A:$L,12,FALSE)),"")</f>
        <v>JOSÉ RODRIGO QUILAGUY BERNAL</v>
      </c>
      <c r="M49" s="88">
        <f>IFERROR(IF(VLOOKUP(A49,[1]PRIORIZADOS!$A:$M,13,FALSE)="","",VLOOKUP(A49,[1]PRIORIZADOS!$A:$M,13,FALSE)),"")</f>
        <v>45790</v>
      </c>
      <c r="N49" s="88">
        <f>IFERROR(IF(VLOOKUP(A49,[1]PRIORIZADOS!$A:$N,14,FALSE)="","",VLOOKUP(A49,[1]PRIORIZADOS!$A:$N,14,FALSE)),"")</f>
        <v>45796</v>
      </c>
      <c r="O49" s="88">
        <f>IFERROR(IF(VLOOKUP(A49,[1]PRIORIZADOS!$A:$O,15,FALSE)="","",VLOOKUP(A49,[1]PRIORIZADOS!$A:$O,15,FALSE)),"")</f>
        <v>45796</v>
      </c>
      <c r="P49" s="16" t="str">
        <f>IFERROR(IF(VLOOKUP(A49,[1]PRIORIZADOS!$A:$P,16,FALSE)="","",VLOOKUP(A49,[1]PRIORIZADOS!$A:$P,16,FALSE)),"")</f>
        <v>Visitas de evaluación con fines de mejoramiento</v>
      </c>
      <c r="Q49" s="89" t="s">
        <v>30</v>
      </c>
      <c r="R49" s="90" t="str">
        <f>IFERROR(IF(VLOOKUP(A49,[1]PRIORIZADOS!$A:$R,18,FALSE)="","",VLOOKUP(A49,[1]PRIORIZADOS!$A:$R,18,FALSE)),"")</f>
        <v>Calendario escolar, jornada escolar, intensidad horaria mínima anual en cada nivel, se encuentran de acuerdo con lo previsto en la normatividad vigente.</v>
      </c>
      <c r="S49" s="11" t="str">
        <f>IFERROR(IF(VLOOKUP(A49,[1]PRIORIZADOS!$A:$S,19,FALSE)="","",VLOOKUP(A49,[1]PRIORIZADOS!$A:$S,19,FALSE)),"")</f>
        <v>Garantizar los minimos de ley  para la prestacion del servicio educativo, de acuerdo a la planeacion institucional presentada a la DLE</v>
      </c>
      <c r="T49" s="70" t="str">
        <f>IFERROR(IF(VLOOKUP(A49,[1]PRIORIZADOS!$A:$T,20,FALSE)="","",VLOOKUP(A49,[1]PRIORIZADOS!$A:$T,20,FALSE)),"")</f>
        <v>No</v>
      </c>
      <c r="U49" s="11" t="str">
        <f>IFERROR(IF(VLOOKUP(A49,[1]PRIORIZADOS!$A:$U,21,FALSE)="","",VLOOKUP(A49,[1]PRIORIZADOS!$A:$U,21,FALSE)),"")</f>
        <v>Verificar en caso de requerirse o de presentarse queja</v>
      </c>
    </row>
    <row r="50" spans="1:21" s="1" customFormat="1" ht="48">
      <c r="A50" s="69">
        <f>IF([1]PRIORIZADOS!A51="","",[1]PRIORIZADOS!A51)</f>
        <v>44</v>
      </c>
      <c r="B50" s="87">
        <v>5</v>
      </c>
      <c r="C50" s="11" t="str">
        <f>IFERROR(IF(VLOOKUP(A50,[1]PRIORIZADOS!$A:$C,3,FALSE)="","",VLOOKUP(A50,[1]PRIORIZADOS!$A:$C,3,FALSE)),"")</f>
        <v>ANTONIO NARIÑO</v>
      </c>
      <c r="D50" s="69" t="str">
        <f>IFERROR(IF(VLOOKUP(A50,[1]PRIORIZADOS!$A:$D,4,FALSE)="","",VLOOKUP(A50,[1]PRIORIZADOS!$A:$D,4,FALSE)),"")</f>
        <v>PRIVADO</v>
      </c>
      <c r="E50" s="69" t="str">
        <f>IFERROR(IF(VLOOKUP(A50,[1]PRIORIZADOS!$A:$E,5,FALSE)="","",VLOOKUP(A50,[1]PRIORIZADOS!$A:$E,5,FALSE)),"")</f>
        <v>EPBM</v>
      </c>
      <c r="F50" s="11" t="str">
        <f>IFERROR(IF(VLOOKUP(A50,[1]PRIORIZADOS!$A:$F,6,FALSE)="","",VLOOKUP(A50,[1]PRIORIZADOS!$A:$F,6,FALSE)),"")</f>
        <v>COLEGIO_PARROQUIAL_NUESTRA_SEÑORA_DE_LA_VALVANERA</v>
      </c>
      <c r="G50" s="69" t="str">
        <f>IFERROR(IF(VLOOKUP(A50,[1]PRIORIZADOS!$A:$G,7,FALSE)="","",VLOOKUP(A50,[1]PRIORIZADOS!$A:$G,7,FALSE)),"")</f>
        <v>COLEGIO PARROQUIAL NUESTRA SEÑORA DE LA VALVANERA</v>
      </c>
      <c r="H50" s="11" t="str">
        <f>IFERROR(IF(VLOOKUP(A50,[1]PRIORIZADOS!$A:$H,8,FALSE)="","",VLOOKUP(A50,[1]PRIORIZADOS!$A:$H,8,FALSE)),"")</f>
        <v>Autoevaluación Institucional y Pruebas SABER 11</v>
      </c>
      <c r="I50" s="11" t="str">
        <f>IFERROR(IF(VLOOKUP(A50,[1]PRIORIZADOS!$A:$I,9,FALSE)="","",VLOOKUP(A50,[1]PRIORIZADOS!$A:$I,9,FALSE)),"")</f>
        <v>EVALUACIÓN_CON_FINES_DE_MEJORAMIENTO.</v>
      </c>
      <c r="J50" s="11" t="str">
        <f>IFERROR(IF(VLOOKUP(A50,[1]PRIORIZADOS!$A:$J,10,FALSE)="","",VLOOKUP(A50,[1]PRIORIZADOS!$A:$J,10,FALSE)),"")</f>
        <v>Verificar el funcionamiento del Gobierno Escolar e instancias de participación con base en la información sobre conformación reportada por la institución educativa.</v>
      </c>
      <c r="K50" s="11" t="str">
        <f>IFERROR(IF(VLOOKUP(A50,[1]PRIORIZADOS!$A:$K,11,FALSE)="","",VLOOKUP(A50,[1]PRIORIZADOS!$A:$K,11,FALSE)),"")</f>
        <v>ORLANDO SUÁREZ SOTO</v>
      </c>
      <c r="L50" s="11" t="str">
        <f>IFERROR(IF(VLOOKUP(A50,[1]PRIORIZADOS!$A:$L,12,FALSE)="","",VLOOKUP(A50,[1]PRIORIZADOS!$A:$L,12,FALSE)),"")</f>
        <v>JOSÉ RODRIGO QUILAGUY BERNAL</v>
      </c>
      <c r="M50" s="88">
        <f>IFERROR(IF(VLOOKUP(A50,[1]PRIORIZADOS!$A:$M,13,FALSE)="","",VLOOKUP(A50,[1]PRIORIZADOS!$A:$M,13,FALSE)),"")</f>
        <v>45790</v>
      </c>
      <c r="N50" s="88">
        <f>IFERROR(IF(VLOOKUP(A50,[1]PRIORIZADOS!$A:$N,14,FALSE)="","",VLOOKUP(A50,[1]PRIORIZADOS!$A:$N,14,FALSE)),"")</f>
        <v>45796</v>
      </c>
      <c r="O50" s="88">
        <f>IFERROR(IF(VLOOKUP(A50,[1]PRIORIZADOS!$A:$O,15,FALSE)="","",VLOOKUP(A50,[1]PRIORIZADOS!$A:$O,15,FALSE)),"")</f>
        <v>45796</v>
      </c>
      <c r="P50" s="16" t="str">
        <f>IFERROR(IF(VLOOKUP(A50,[1]PRIORIZADOS!$A:$P,16,FALSE)="","",VLOOKUP(A50,[1]PRIORIZADOS!$A:$P,16,FALSE)),"")</f>
        <v>Visitas de evaluación con fines de mejoramiento</v>
      </c>
      <c r="Q50" s="89" t="s">
        <v>30</v>
      </c>
      <c r="R50" s="90" t="str">
        <f>IFERROR(IF(VLOOKUP(A50,[1]PRIORIZADOS!$A:$R,18,FALSE)="","",VLOOKUP(A50,[1]PRIORIZADOS!$A:$R,18,FALSE)),"")</f>
        <v>Se verificó el funcionamiento del Gobierno escolar</v>
      </c>
      <c r="S50" s="11" t="str">
        <f>IFERROR(IF(VLOOKUP(A50,[1]PRIORIZADOS!$A:$S,19,FALSE)="","",VLOOKUP(A50,[1]PRIORIZADOS!$A:$S,19,FALSE)),"")</f>
        <v>Se recomienda realizar  reuniones periodicas conforme a lo reglamentado para cada estamento institucional</v>
      </c>
      <c r="T50" s="70" t="str">
        <f>IFERROR(IF(VLOOKUP(A50,[1]PRIORIZADOS!$A:$T,20,FALSE)="","",VLOOKUP(A50,[1]PRIORIZADOS!$A:$T,20,FALSE)),"")</f>
        <v>No</v>
      </c>
      <c r="U50" s="11" t="str">
        <f>IFERROR(IF(VLOOKUP(A50,[1]PRIORIZADOS!$A:$U,21,FALSE)="","",VLOOKUP(A50,[1]PRIORIZADOS!$A:$U,21,FALSE)),"")</f>
        <v>Verificar en caso de requerirse o de presentarse queja</v>
      </c>
    </row>
    <row r="51" spans="1:21" s="1" customFormat="1" ht="48">
      <c r="A51" s="69">
        <f>IF([1]PRIORIZADOS!A52="","",[1]PRIORIZADOS!A52)</f>
        <v>45</v>
      </c>
      <c r="B51" s="87">
        <v>5</v>
      </c>
      <c r="C51" s="11" t="str">
        <f>IFERROR(IF(VLOOKUP(A51,[1]PRIORIZADOS!$A:$C,3,FALSE)="","",VLOOKUP(A51,[1]PRIORIZADOS!$A:$C,3,FALSE)),"")</f>
        <v>ANTONIO NARIÑO</v>
      </c>
      <c r="D51" s="69" t="str">
        <f>IFERROR(IF(VLOOKUP(A51,[1]PRIORIZADOS!$A:$D,4,FALSE)="","",VLOOKUP(A51,[1]PRIORIZADOS!$A:$D,4,FALSE)),"")</f>
        <v>PRIVADO</v>
      </c>
      <c r="E51" s="69" t="str">
        <f>IFERROR(IF(VLOOKUP(A51,[1]PRIORIZADOS!$A:$E,5,FALSE)="","",VLOOKUP(A51,[1]PRIORIZADOS!$A:$E,5,FALSE)),"")</f>
        <v>EPBM</v>
      </c>
      <c r="F51" s="11" t="str">
        <f>IFERROR(IF(VLOOKUP(A51,[1]PRIORIZADOS!$A:$F,6,FALSE)="","",VLOOKUP(A51,[1]PRIORIZADOS!$A:$F,6,FALSE)),"")</f>
        <v>COLEGIO_PARROQUIAL_NUESTRA_SEÑORA_DE_LA_VALVANERA</v>
      </c>
      <c r="G51" s="69" t="str">
        <f>IFERROR(IF(VLOOKUP(A51,[1]PRIORIZADOS!$A:$G,7,FALSE)="","",VLOOKUP(A51,[1]PRIORIZADOS!$A:$G,7,FALSE)),"")</f>
        <v>COLEGIO PARROQUIAL NUESTRA SEÑORA DE LA VALVANERA</v>
      </c>
      <c r="H51" s="11" t="str">
        <f>IFERROR(IF(VLOOKUP(A51,[1]PRIORIZADOS!$A:$H,8,FALSE)="","",VLOOKUP(A51,[1]PRIORIZADOS!$A:$H,8,FALSE)),"")</f>
        <v>Autoevaluación Institucional y Pruebas SABER 11</v>
      </c>
      <c r="I51" s="11" t="str">
        <f>IFERROR(IF(VLOOKUP(A51,[1]PRIORIZADOS!$A:$I,9,FALSE)="","",VLOOKUP(A51,[1]PRIORIZADOS!$A:$I,9,FALSE)),"")</f>
        <v>EVALUACIÓN_CON_FINES_DE_MEJORAMIENTO.</v>
      </c>
      <c r="J51" s="11" t="str">
        <f>IFERROR(IF(VLOOKUP(A51,[1]PRIORIZADOS!$A:$J,10,FALSE)="","",VLOOKUP(A51,[1]PRIORIZADOS!$A:$J,10,FALSE)),"")</f>
        <v>Verificar las condiciones en cuanto a: la estructura administrativa, condiciones de la planta física y medios educativos adecuados.</v>
      </c>
      <c r="K51" s="11" t="str">
        <f>IFERROR(IF(VLOOKUP(A51,[1]PRIORIZADOS!$A:$K,11,FALSE)="","",VLOOKUP(A51,[1]PRIORIZADOS!$A:$K,11,FALSE)),"")</f>
        <v>ORLANDO SUÁREZ SOTO</v>
      </c>
      <c r="L51" s="11" t="str">
        <f>IFERROR(IF(VLOOKUP(A51,[1]PRIORIZADOS!$A:$L,12,FALSE)="","",VLOOKUP(A51,[1]PRIORIZADOS!$A:$L,12,FALSE)),"")</f>
        <v>JOSÉ RODRIGO QUILAGUY BERNAL</v>
      </c>
      <c r="M51" s="88">
        <f>IFERROR(IF(VLOOKUP(A51,[1]PRIORIZADOS!$A:$M,13,FALSE)="","",VLOOKUP(A51,[1]PRIORIZADOS!$A:$M,13,FALSE)),"")</f>
        <v>45790</v>
      </c>
      <c r="N51" s="88">
        <f>IFERROR(IF(VLOOKUP(A51,[1]PRIORIZADOS!$A:$N,14,FALSE)="","",VLOOKUP(A51,[1]PRIORIZADOS!$A:$N,14,FALSE)),"")</f>
        <v>45796</v>
      </c>
      <c r="O51" s="88">
        <f>IFERROR(IF(VLOOKUP(A51,[1]PRIORIZADOS!$A:$O,15,FALSE)="","",VLOOKUP(A51,[1]PRIORIZADOS!$A:$O,15,FALSE)),"")</f>
        <v>45796</v>
      </c>
      <c r="P51" s="16" t="str">
        <f>IFERROR(IF(VLOOKUP(A51,[1]PRIORIZADOS!$A:$P,16,FALSE)="","",VLOOKUP(A51,[1]PRIORIZADOS!$A:$P,16,FALSE)),"")</f>
        <v>Visitas de evaluación con fines de mejoramiento</v>
      </c>
      <c r="Q51" s="89" t="s">
        <v>30</v>
      </c>
      <c r="R51" s="90" t="str">
        <f>IFERROR(IF(VLOOKUP(A51,[1]PRIORIZADOS!$A:$R,18,FALSE)="","",VLOOKUP(A51,[1]PRIORIZADOS!$A:$R,18,FALSE)),"")</f>
        <v>Los espacios administrativos, ambientes de aprendizaje, espacios ludicos, recreativos y culturales  son suficientes y cuentan con la dotación pertinente.</v>
      </c>
      <c r="S51" s="11" t="str">
        <f>IFERROR(IF(VLOOKUP(A51,[1]PRIORIZADOS!$A:$S,19,FALSE)="","",VLOOKUP(A51,[1]PRIORIZADOS!$A:$S,19,FALSE)),"")</f>
        <v xml:space="preserve">Continuar con la revision, ajuste y seguimietno para la conservacion de la planta y recursos de la IE. </v>
      </c>
      <c r="T51" s="70" t="str">
        <f>IFERROR(IF(VLOOKUP(A51,[1]PRIORIZADOS!$A:$T,20,FALSE)="","",VLOOKUP(A51,[1]PRIORIZADOS!$A:$T,20,FALSE)),"")</f>
        <v>No</v>
      </c>
      <c r="U51" s="11" t="str">
        <f>IFERROR(IF(VLOOKUP(A51,[1]PRIORIZADOS!$A:$U,21,FALSE)="","",VLOOKUP(A51,[1]PRIORIZADOS!$A:$U,21,FALSE)),"")</f>
        <v>Se realizará nueva visita en caso de ser necesario o presentarse queja</v>
      </c>
    </row>
    <row r="52" spans="1:21" s="1" customFormat="1" ht="60">
      <c r="A52" s="69">
        <f>IF([1]PRIORIZADOS!A53="","",[1]PRIORIZADOS!A53)</f>
        <v>46</v>
      </c>
      <c r="B52" s="87">
        <f>IFERROR(IF(VLOOKUP(A52,[1]PRIORIZADOS!$A:$B,2,FALSE)="","",VLOOKUP(A52,[1]PRIORIZADOS!$A:$B,2,FALSE)),"")</f>
        <v>6</v>
      </c>
      <c r="C52" s="11" t="str">
        <f>IFERROR(IF(VLOOKUP(A52,[1]PRIORIZADOS!$A:$C,3,FALSE)="","",VLOOKUP(A52,[1]PRIORIZADOS!$A:$C,3,FALSE)),"")</f>
        <v>ANTONIO NARIÑO</v>
      </c>
      <c r="D52" s="69" t="str">
        <f>IFERROR(IF(VLOOKUP(A52,[1]PRIORIZADOS!$A:$D,4,FALSE)="","",VLOOKUP(A52,[1]PRIORIZADOS!$A:$D,4,FALSE)),"")</f>
        <v>PRIVADO</v>
      </c>
      <c r="E52" s="69" t="str">
        <f>IFERROR(IF(VLOOKUP(A52,[1]PRIORIZADOS!$A:$E,5,FALSE)="","",VLOOKUP(A52,[1]PRIORIZADOS!$A:$E,5,FALSE)),"")</f>
        <v>EPBM</v>
      </c>
      <c r="F52" s="11" t="str">
        <f>IFERROR(IF(VLOOKUP(A52,[1]PRIORIZADOS!$A:$F,6,FALSE)="","",VLOOKUP(A52,[1]PRIORIZADOS!$A:$F,6,FALSE)),"")</f>
        <v>COLEGIO_CRISTO_REY_DEL_SUR</v>
      </c>
      <c r="G52" s="69" t="str">
        <f>IFERROR(IF(VLOOKUP(A52,[1]PRIORIZADOS!$A:$G,7,FALSE)="","",VLOOKUP(A52,[1]PRIORIZADOS!$A:$G,7,FALSE)),"")</f>
        <v>COLEGIO CRISTO REY DEL SUR</v>
      </c>
      <c r="H52" s="11" t="str">
        <f>IFERROR(IF(VLOOKUP(A52,[1]PRIORIZADOS!$A:$H,8,FALSE)="","",VLOOKUP(A52,[1]PRIORIZADOS!$A:$H,8,FALSE)),"")</f>
        <v>Autoevaluación Institucional y Pruebas SABER 11</v>
      </c>
      <c r="I52" s="11" t="str">
        <f>IFERROR(IF(VLOOKUP(A52,[1]PRIORIZADOS!$A:$I,9,FALSE)="","",VLOOKUP(A52,[1]PRIORIZADOS!$A:$I,9,FALSE)),"")</f>
        <v>SEGUIMIENTO_Y_SUPERVISIÓN.</v>
      </c>
      <c r="J52" s="11" t="str">
        <f>IFERROR(IF(VLOOKUP(A52,[1]PRIORIZADOS!$A:$J,10,FALSE)="","",VLOOKUP(A52,[1]PRIORIZADOS!$A:$J,10,FALSE)),"")</f>
        <v>Realizar visitas para verificar la información registrada sobre la autoevaluación institucional en el aplicativo EVI, a los establecimientos de educación formal no oficial.</v>
      </c>
      <c r="K52" s="11" t="str">
        <f>IFERROR(IF(VLOOKUP(A52,[1]PRIORIZADOS!$A:$K,11,FALSE)="","",VLOOKUP(A52,[1]PRIORIZADOS!$A:$K,11,FALSE)),"")</f>
        <v>JOSÉ RODRIGO QUILAGUY BERNAL</v>
      </c>
      <c r="L52" s="11" t="str">
        <f>IFERROR(IF(VLOOKUP(A52,[1]PRIORIZADOS!$A:$L,12,FALSE)="","",VLOOKUP(A52,[1]PRIORIZADOS!$A:$L,12,FALSE)),"")</f>
        <v>ORLANDO SUÁREZ SOTO</v>
      </c>
      <c r="M52" s="88">
        <f>IFERROR(IF(VLOOKUP(A52,[1]PRIORIZADOS!$A:$M,13,FALSE)="","",VLOOKUP(A52,[1]PRIORIZADOS!$A:$M,13,FALSE)),"")</f>
        <v>45799</v>
      </c>
      <c r="N52" s="88">
        <f>IFERROR(IF(VLOOKUP(A52,[1]PRIORIZADOS!$A:$N,14,FALSE)="","",VLOOKUP(A52,[1]PRIORIZADOS!$A:$N,14,FALSE)),"")</f>
        <v>45800</v>
      </c>
      <c r="O52" s="88">
        <f>IFERROR(IF(VLOOKUP(A52,[1]PRIORIZADOS!$A:$O,15,FALSE)="","",VLOOKUP(A52,[1]PRIORIZADOS!$A:$O,15,FALSE)),"")</f>
        <v>45800</v>
      </c>
      <c r="P52" s="16" t="str">
        <f>IFERROR(IF(VLOOKUP(A52,[1]PRIORIZADOS!$A:$P,16,FALSE)="","",VLOOKUP(A52,[1]PRIORIZADOS!$A:$P,16,FALSE)),"")</f>
        <v>Visitas de evaluación con fines de seguimiento</v>
      </c>
      <c r="Q52" s="89" t="s">
        <v>31</v>
      </c>
      <c r="R52" s="90" t="str">
        <f>IFERROR(IF(VLOOKUP(A52,[1]PRIORIZADOS!$A:$R,18,FALSE)="","",VLOOKUP(A52,[1]PRIORIZADOS!$A:$R,18,FALSE)),"")</f>
        <v>La información reportada y la realidad constatada durante la actuación realizada conservan una coherencia general, en términos amplios,  respaldan la situación observada.</v>
      </c>
      <c r="S52" s="11" t="str">
        <f>IFERROR(IF(VLOOKUP(A52,[1]PRIORIZADOS!$A:$S,19,FALSE)="","",VLOOKUP(A52,[1]PRIORIZADOS!$A:$S,19,FALSE)),"")</f>
        <v>Se considera generalmente coherente con la realidad observada en la visita. Esto sugiere un proceso de autoevaluación interno con un nivel aceptable de fiabilidad y veracidad.</v>
      </c>
      <c r="T52" s="70" t="str">
        <f>IFERROR(IF(VLOOKUP(A52,[1]PRIORIZADOS!$A:$T,20,FALSE)="","",VLOOKUP(A52,[1]PRIORIZADOS!$A:$T,20,FALSE)),"")</f>
        <v>No</v>
      </c>
      <c r="U52" s="11" t="str">
        <f>IFERROR(IF(VLOOKUP(A52,[1]PRIORIZADOS!$A:$U,21,FALSE)="","",VLOOKUP(A52,[1]PRIORIZADOS!$A:$U,21,FALSE)),"")</f>
        <v>Emitir concepto para tarifas educativas 2026</v>
      </c>
    </row>
    <row r="53" spans="1:21" s="1" customFormat="1" ht="84">
      <c r="A53" s="69">
        <f>IF([1]PRIORIZADOS!A54="","",[1]PRIORIZADOS!A54)</f>
        <v>48</v>
      </c>
      <c r="B53" s="87">
        <v>6</v>
      </c>
      <c r="C53" s="11" t="str">
        <f>IFERROR(IF(VLOOKUP(A53,[1]PRIORIZADOS!$A:$C,3,FALSE)="","",VLOOKUP(A53,[1]PRIORIZADOS!$A:$C,3,FALSE)),"")</f>
        <v>ANTONIO NARIÑO</v>
      </c>
      <c r="D53" s="69" t="str">
        <f>IFERROR(IF(VLOOKUP(A53,[1]PRIORIZADOS!$A:$D,4,FALSE)="","",VLOOKUP(A53,[1]PRIORIZADOS!$A:$D,4,FALSE)),"")</f>
        <v>PRIVADO</v>
      </c>
      <c r="E53" s="69" t="str">
        <f>IFERROR(IF(VLOOKUP(A53,[1]PRIORIZADOS!$A:$E,5,FALSE)="","",VLOOKUP(A53,[1]PRIORIZADOS!$A:$E,5,FALSE)),"")</f>
        <v>EPBM</v>
      </c>
      <c r="F53" s="11" t="str">
        <f>IFERROR(IF(VLOOKUP(A53,[1]PRIORIZADOS!$A:$F,6,FALSE)="","",VLOOKUP(A53,[1]PRIORIZADOS!$A:$F,6,FALSE)),"")</f>
        <v>COLEGIO_CRISTO_REY_DEL_SUR</v>
      </c>
      <c r="G53" s="69" t="str">
        <f>IFERROR(IF(VLOOKUP(A53,[1]PRIORIZADOS!$A:$G,7,FALSE)="","",VLOOKUP(A53,[1]PRIORIZADOS!$A:$G,7,FALSE)),"")</f>
        <v>COLEGIO CRISTO REY DEL SUR</v>
      </c>
      <c r="H53" s="11" t="str">
        <f>IFERROR(IF(VLOOKUP(A53,[1]PRIORIZADOS!$A:$H,8,FALSE)="","",VLOOKUP(A53,[1]PRIORIZADOS!$A:$H,8,FALSE)),"")</f>
        <v>Autoevaluación Institucional y Pruebas SABER 11</v>
      </c>
      <c r="I53" s="11" t="str">
        <f>IFERROR(IF(VLOOKUP(A53,[1]PRIORIZADOS!$A:$I,9,FALSE)="","",VLOOKUP(A53,[1]PRIORIZADOS!$A:$I,9,FALSE)),"")</f>
        <v>SEGUIMIENTO_Y_SUPERVISIÓN.</v>
      </c>
      <c r="J53" s="11" t="str">
        <f>IFERROR(IF(VLOOKUP(A53,[1]PRIORIZADOS!$A:$J,10,FALSE)="","",VLOOKUP(A53,[1]PRIORIZADOS!$A:$J,10,FALSE)),"")</f>
        <v xml:space="preserve">Verificar la implementación por parte de los colegios, de acciones realizadas para la prevención y atención de las situaciones de convivencia en el entorno escolar, según lo establecido en la Directiva 01 de 2022 del MEN. </v>
      </c>
      <c r="K53" s="11" t="str">
        <f>IFERROR(IF(VLOOKUP(A53,[1]PRIORIZADOS!$A:$K,11,FALSE)="","",VLOOKUP(A53,[1]PRIORIZADOS!$A:$K,11,FALSE)),"")</f>
        <v>JOSÉ RODRIGO QUILAGUY BERNAL</v>
      </c>
      <c r="L53" s="11" t="str">
        <f>IFERROR(IF(VLOOKUP(A53,[1]PRIORIZADOS!$A:$L,12,FALSE)="","",VLOOKUP(A53,[1]PRIORIZADOS!$A:$L,12,FALSE)),"")</f>
        <v>ORLANDO SUÁREZ SOTO</v>
      </c>
      <c r="M53" s="88">
        <f>IFERROR(IF(VLOOKUP(A53,[1]PRIORIZADOS!$A:$M,13,FALSE)="","",VLOOKUP(A53,[1]PRIORIZADOS!$A:$M,13,FALSE)),"")</f>
        <v>45799</v>
      </c>
      <c r="N53" s="88">
        <f>IFERROR(IF(VLOOKUP(A53,[1]PRIORIZADOS!$A:$N,14,FALSE)="","",VLOOKUP(A53,[1]PRIORIZADOS!$A:$N,14,FALSE)),"")</f>
        <v>45800</v>
      </c>
      <c r="O53" s="88">
        <f>IFERROR(IF(VLOOKUP(A53,[1]PRIORIZADOS!$A:$O,15,FALSE)="","",VLOOKUP(A53,[1]PRIORIZADOS!$A:$O,15,FALSE)),"")</f>
        <v>45800</v>
      </c>
      <c r="P53" s="16" t="str">
        <f>IFERROR(IF(VLOOKUP(A53,[1]PRIORIZADOS!$A:$P,16,FALSE)="","",VLOOKUP(A53,[1]PRIORIZADOS!$A:$P,16,FALSE)),"")</f>
        <v>Visitas de evaluación con fines de seguimiento</v>
      </c>
      <c r="Q53" s="89" t="s">
        <v>31</v>
      </c>
      <c r="R53" s="90" t="str">
        <f>IFERROR(IF(VLOOKUP(A53,[1]PRIORIZADOS!$A:$R,18,FALSE)="","",VLOOKUP(A53,[1]PRIORIZADOS!$A:$R,18,FALSE)),"")</f>
        <v>Se verificó que la Institución Educativa cumple cabalmente con lo estipulado en la Directiva 01 de 2022 del Ministerio de Educación Nacional, al realizar con una periodicidad cuatrimestral la consulta de inhabilidades por delitos sexuales del personal vinculado.</v>
      </c>
      <c r="S53" s="11" t="str">
        <f>IFERROR(IF(VLOOKUP(A53,[1]PRIORIZADOS!$A:$S,19,FALSE)="","",VLOOKUP(A53,[1]PRIORIZADOS!$A:$S,19,FALSE)),"")</f>
        <v>El establecimiento educativo está dando pleno cumplimiento a lo establecido en la Directiva 01 de 2022 del Ministerio de Educación Nacional en lo referente a la prevención de riesgos y la garantía de un entorno escolar seguro.</v>
      </c>
      <c r="T53" s="70" t="str">
        <f>IFERROR(IF(VLOOKUP(A53,[1]PRIORIZADOS!$A:$T,20,FALSE)="","",VLOOKUP(A53,[1]PRIORIZADOS!$A:$T,20,FALSE)),"")</f>
        <v>No</v>
      </c>
      <c r="U53" s="11" t="str">
        <f>IFERROR(IF(VLOOKUP(A53,[1]PRIORIZADOS!$A:$U,21,FALSE)="","",VLOOKUP(A53,[1]PRIORIZADOS!$A:$U,21,FALSE)),"")</f>
        <v>Se realizará nueva visita en caso de ser necesario o presentarse queja</v>
      </c>
    </row>
    <row r="54" spans="1:21" s="1" customFormat="1" ht="84">
      <c r="A54" s="69">
        <f>IF([1]PRIORIZADOS!A55="","",[1]PRIORIZADOS!A55)</f>
        <v>49</v>
      </c>
      <c r="B54" s="87">
        <v>6</v>
      </c>
      <c r="C54" s="11" t="str">
        <f>IFERROR(IF(VLOOKUP(A54,[1]PRIORIZADOS!$A:$C,3,FALSE)="","",VLOOKUP(A54,[1]PRIORIZADOS!$A:$C,3,FALSE)),"")</f>
        <v>ANTONIO NARIÑO</v>
      </c>
      <c r="D54" s="69" t="str">
        <f>IFERROR(IF(VLOOKUP(A54,[1]PRIORIZADOS!$A:$D,4,FALSE)="","",VLOOKUP(A54,[1]PRIORIZADOS!$A:$D,4,FALSE)),"")</f>
        <v>PRIVADO</v>
      </c>
      <c r="E54" s="69" t="str">
        <f>IFERROR(IF(VLOOKUP(A54,[1]PRIORIZADOS!$A:$E,5,FALSE)="","",VLOOKUP(A54,[1]PRIORIZADOS!$A:$E,5,FALSE)),"")</f>
        <v>EPBM</v>
      </c>
      <c r="F54" s="11" t="str">
        <f>IFERROR(IF(VLOOKUP(A54,[1]PRIORIZADOS!$A:$F,6,FALSE)="","",VLOOKUP(A54,[1]PRIORIZADOS!$A:$F,6,FALSE)),"")</f>
        <v>COLEGIO_CRISTO_REY_DEL_SUR</v>
      </c>
      <c r="G54" s="69" t="str">
        <f>IFERROR(IF(VLOOKUP(A54,[1]PRIORIZADOS!$A:$G,7,FALSE)="","",VLOOKUP(A54,[1]PRIORIZADOS!$A:$G,7,FALSE)),"")</f>
        <v>COLEGIO CRISTO REY DEL SUR</v>
      </c>
      <c r="H54" s="11" t="str">
        <f>IFERROR(IF(VLOOKUP(A54,[1]PRIORIZADOS!$A:$H,8,FALSE)="","",VLOOKUP(A54,[1]PRIORIZADOS!$A:$H,8,FALSE)),"")</f>
        <v>Autoevaluación Institucional y Pruebas SABER 11</v>
      </c>
      <c r="I54" s="11" t="str">
        <f>IFERROR(IF(VLOOKUP(A54,[1]PRIORIZADOS!$A:$I,9,FALSE)="","",VLOOKUP(A54,[1]PRIORIZADOS!$A:$I,9,FALSE)),"")</f>
        <v>SEGUIMIENTO_Y_SUPERVISIÓN.</v>
      </c>
      <c r="J54" s="11" t="str">
        <f>IFERROR(IF(VLOOKUP(A54,[1]PRIORIZADOS!$A:$J,10,FALSE)="","",VLOOKUP(A54,[1]PRIORIZADOS!$A:$J,10,FALSE)),"")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4" s="11" t="str">
        <f>IFERROR(IF(VLOOKUP(A54,[1]PRIORIZADOS!$A:$K,11,FALSE)="","",VLOOKUP(A54,[1]PRIORIZADOS!$A:$K,11,FALSE)),"")</f>
        <v>JOSÉ RODRIGO QUILAGUY BERNAL</v>
      </c>
      <c r="L54" s="11" t="str">
        <f>IFERROR(IF(VLOOKUP(A54,[1]PRIORIZADOS!$A:$L,12,FALSE)="","",VLOOKUP(A54,[1]PRIORIZADOS!$A:$L,12,FALSE)),"")</f>
        <v>ORLANDO SUÁREZ SOTO</v>
      </c>
      <c r="M54" s="88">
        <f>IFERROR(IF(VLOOKUP(A54,[1]PRIORIZADOS!$A:$M,13,FALSE)="","",VLOOKUP(A54,[1]PRIORIZADOS!$A:$M,13,FALSE)),"")</f>
        <v>45799</v>
      </c>
      <c r="N54" s="88">
        <f>IFERROR(IF(VLOOKUP(A54,[1]PRIORIZADOS!$A:$N,14,FALSE)="","",VLOOKUP(A54,[1]PRIORIZADOS!$A:$N,14,FALSE)),"")</f>
        <v>45800</v>
      </c>
      <c r="O54" s="88">
        <f>IFERROR(IF(VLOOKUP(A54,[1]PRIORIZADOS!$A:$O,15,FALSE)="","",VLOOKUP(A54,[1]PRIORIZADOS!$A:$O,15,FALSE)),"")</f>
        <v>45800</v>
      </c>
      <c r="P54" s="16" t="str">
        <f>IFERROR(IF(VLOOKUP(A54,[1]PRIORIZADOS!$A:$P,16,FALSE)="","",VLOOKUP(A54,[1]PRIORIZADOS!$A:$P,16,FALSE)),"")</f>
        <v>Visitas de evaluación con fines de seguimiento</v>
      </c>
      <c r="Q54" s="89" t="s">
        <v>31</v>
      </c>
      <c r="R54" s="90" t="str">
        <f>IFERROR(IF(VLOOKUP(A54,[1]PRIORIZADOS!$A:$R,18,FALSE)="","",VLOOKUP(A54,[1]PRIORIZADOS!$A:$R,18,FALSE)),"")</f>
        <v>Elaboración y actualización trimestral con familia, docentes, orientador. Contienen necesidades y ajustes (curricular/infraestructura). Requiere fortalecer autonomía pedagógica en caracterización, reduciendo dependencia de orientación. Falta formalidad en firmas.</v>
      </c>
      <c r="S54" s="11" t="str">
        <f>IFERROR(IF(VLOOKUP(A54,[1]PRIORIZADOS!$A:$S,19,FALSE)="","",VLOOKUP(A54,[1]PRIORIZADOS!$A:$S,19,FALSE)),"")</f>
        <v>Que el establecimiento formalice mediante firmas de todos los integrantes de la comunidad educativa involucrados en los PIAR, asegurando así la validez y el compromiso documental de los ajustes establecidos</v>
      </c>
      <c r="T54" s="70" t="str">
        <f>IFERROR(IF(VLOOKUP(A54,[1]PRIORIZADOS!$A:$T,20,FALSE)="","",VLOOKUP(A54,[1]PRIORIZADOS!$A:$T,20,FALSE)),"")</f>
        <v>Si</v>
      </c>
      <c r="U54" s="11" t="str">
        <f>IFERROR(IF(VLOOKUP(A54,[1]PRIORIZADOS!$A:$U,21,FALSE)="","",VLOOKUP(A54,[1]PRIORIZADOS!$A:$U,21,FALSE)),"")</f>
        <v>Verificar las acciones definidas en el plan de mejoramiento una vez sea presentado 17.06.2025.
Se realiza seguimiento del PMI, se realizan observaciones y retroalimentación frente a la documentación presentada, conforme a lo orientado. (23/09/2025) Ver Carpeta POAIV - TRIM III</v>
      </c>
    </row>
    <row r="55" spans="1:21" s="1" customFormat="1" ht="107.25">
      <c r="A55" s="69">
        <f>IF([1]PRIORIZADOS!A56="","",[1]PRIORIZADOS!A56)</f>
        <v>50</v>
      </c>
      <c r="B55" s="87">
        <v>6</v>
      </c>
      <c r="C55" s="11" t="str">
        <f>IFERROR(IF(VLOOKUP(A55,[1]PRIORIZADOS!$A:$C,3,FALSE)="","",VLOOKUP(A55,[1]PRIORIZADOS!$A:$C,3,FALSE)),"")</f>
        <v>ANTONIO NARIÑO</v>
      </c>
      <c r="D55" s="69" t="str">
        <f>IFERROR(IF(VLOOKUP(A55,[1]PRIORIZADOS!$A:$D,4,FALSE)="","",VLOOKUP(A55,[1]PRIORIZADOS!$A:$D,4,FALSE)),"")</f>
        <v>PRIVADO</v>
      </c>
      <c r="E55" s="69" t="str">
        <f>IFERROR(IF(VLOOKUP(A55,[1]PRIORIZADOS!$A:$E,5,FALSE)="","",VLOOKUP(A55,[1]PRIORIZADOS!$A:$E,5,FALSE)),"")</f>
        <v>EPBM</v>
      </c>
      <c r="F55" s="11" t="str">
        <f>IFERROR(IF(VLOOKUP(A55,[1]PRIORIZADOS!$A:$F,6,FALSE)="","",VLOOKUP(A55,[1]PRIORIZADOS!$A:$F,6,FALSE)),"")</f>
        <v>COLEGIO_CRISTO_REY_DEL_SUR</v>
      </c>
      <c r="G55" s="69" t="str">
        <f>IFERROR(IF(VLOOKUP(A55,[1]PRIORIZADOS!$A:$G,7,FALSE)="","",VLOOKUP(A55,[1]PRIORIZADOS!$A:$G,7,FALSE)),"")</f>
        <v>COLEGIO CRISTO REY DEL SUR</v>
      </c>
      <c r="H55" s="11" t="str">
        <f>IFERROR(IF(VLOOKUP(A55,[1]PRIORIZADOS!$A:$H,8,FALSE)="","",VLOOKUP(A55,[1]PRIORIZADOS!$A:$H,8,FALSE)),"")</f>
        <v>Autoevaluación Institucional y Pruebas SABER 11</v>
      </c>
      <c r="I55" s="11" t="str">
        <f>IFERROR(IF(VLOOKUP(A55,[1]PRIORIZADOS!$A:$I,9,FALSE)="","",VLOOKUP(A55,[1]PRIORIZADOS!$A:$I,9,FALSE)),"")</f>
        <v>EVALUACIÓN_CON_FINES_DE_MEJORAMIENTO.</v>
      </c>
      <c r="J55" s="11" t="str">
        <f>IFERROR(IF(VLOOKUP(A55,[1]PRIORIZADOS!$A:$J,10,FALSE)="","",VLOOKUP(A55,[1]PRIORIZADOS!$A:$J,10,FALSE)),"")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5" s="11" t="str">
        <f>IFERROR(IF(VLOOKUP(A55,[1]PRIORIZADOS!$A:$K,11,FALSE)="","",VLOOKUP(A55,[1]PRIORIZADOS!$A:$K,11,FALSE)),"")</f>
        <v>JOSÉ RODRIGO QUILAGUY BERNAL</v>
      </c>
      <c r="L55" s="11" t="str">
        <f>IFERROR(IF(VLOOKUP(A55,[1]PRIORIZADOS!$A:$L,12,FALSE)="","",VLOOKUP(A55,[1]PRIORIZADOS!$A:$L,12,FALSE)),"")</f>
        <v>ORLANDO SUÁREZ SOTO</v>
      </c>
      <c r="M55" s="88">
        <f>IFERROR(IF(VLOOKUP(A55,[1]PRIORIZADOS!$A:$M,13,FALSE)="","",VLOOKUP(A55,[1]PRIORIZADOS!$A:$M,13,FALSE)),"")</f>
        <v>45799</v>
      </c>
      <c r="N55" s="88">
        <f>IFERROR(IF(VLOOKUP(A55,[1]PRIORIZADOS!$A:$N,14,FALSE)="","",VLOOKUP(A55,[1]PRIORIZADOS!$A:$N,14,FALSE)),"")</f>
        <v>45800</v>
      </c>
      <c r="O55" s="88">
        <f>IFERROR(IF(VLOOKUP(A55,[1]PRIORIZADOS!$A:$O,15,FALSE)="","",VLOOKUP(A55,[1]PRIORIZADOS!$A:$O,15,FALSE)),"")</f>
        <v>45800</v>
      </c>
      <c r="P55" s="16" t="str">
        <f>IFERROR(IF(VLOOKUP(A55,[1]PRIORIZADOS!$A:$P,16,FALSE)="","",VLOOKUP(A55,[1]PRIORIZADOS!$A:$P,16,FALSE)),"")</f>
        <v>Visitas de evaluación con fines de mejoramiento</v>
      </c>
      <c r="Q55" s="89" t="s">
        <v>31</v>
      </c>
      <c r="R55" s="90" t="str">
        <f>IFERROR(IF(VLOOKUP(A55,[1]PRIORIZADOS!$A:$R,18,FALSE)="","",VLOOKUP(A55,[1]PRIORIZADOS!$A:$R,18,FALSE)),"")</f>
        <v xml:space="preserve">Manual de Convivencia elaborado participativamente y actualizado (Res. Rectoral 001/2023), incluye elementos legales y enfoques de diversidad para 2024. Se recomienda protocolizar su actualización 2025 y que ajustes sean adoptados por acto administrativo rectoral. El CCE opera bimensualmente. </v>
      </c>
      <c r="S55" s="11" t="str">
        <f>IFERROR(IF(VLOOKUP(A55,[1]PRIORIZADOS!$A:$S,19,FALSE)="","",VLOOKUP(A55,[1]PRIORIZADOS!$A:$S,19,FALSE)),"")</f>
        <v>Se compromete a la Institución Educativa a protocolizar formalmente la actualización del Manual para la vigencia 2025, mediante acto administrativo rectoral, y a asegurar la plena implementación del plan de convivencia escolar y su reglamento interno, manteniendo la periodicidad normativa en el funcionamiento del Comité de Convivencia Escolar.</v>
      </c>
      <c r="T55" s="70" t="str">
        <f>IFERROR(IF(VLOOKUP(A55,[1]PRIORIZADOS!$A:$T,20,FALSE)="","",VLOOKUP(A55,[1]PRIORIZADOS!$A:$T,20,FALSE)),"")</f>
        <v>Si</v>
      </c>
      <c r="U55" s="11" t="str">
        <f>IFERROR(IF(VLOOKUP(A55,[1]PRIORIZADOS!$A:$U,21,FALSE)="","",VLOOKUP(A55,[1]PRIORIZADOS!$A:$U,21,FALSE)),"")</f>
        <v>Verificar las acciones definidas en el plan de mejoramiento una vez sea presentado 17.06.2025.
Se realiza seguimiento del PMI, se subsana con la documentación presentada, conforme a lo orientado. (23/09/2025) Ver Carpeta POAIV - TRIM III</v>
      </c>
    </row>
    <row r="56" spans="1:21" s="1" customFormat="1" ht="84">
      <c r="A56" s="69">
        <f>IF([1]PRIORIZADOS!A57="","",[1]PRIORIZADOS!A57)</f>
        <v>51</v>
      </c>
      <c r="B56" s="87">
        <v>6</v>
      </c>
      <c r="C56" s="11" t="str">
        <f>IFERROR(IF(VLOOKUP(A56,[1]PRIORIZADOS!$A:$C,3,FALSE)="","",VLOOKUP(A56,[1]PRIORIZADOS!$A:$C,3,FALSE)),"")</f>
        <v>ANTONIO NARIÑO</v>
      </c>
      <c r="D56" s="69" t="str">
        <f>IFERROR(IF(VLOOKUP(A56,[1]PRIORIZADOS!$A:$D,4,FALSE)="","",VLOOKUP(A56,[1]PRIORIZADOS!$A:$D,4,FALSE)),"")</f>
        <v>PRIVADO</v>
      </c>
      <c r="E56" s="69" t="str">
        <f>IFERROR(IF(VLOOKUP(A56,[1]PRIORIZADOS!$A:$E,5,FALSE)="","",VLOOKUP(A56,[1]PRIORIZADOS!$A:$E,5,FALSE)),"")</f>
        <v>EPBM</v>
      </c>
      <c r="F56" s="11" t="str">
        <f>IFERROR(IF(VLOOKUP(A56,[1]PRIORIZADOS!$A:$F,6,FALSE)="","",VLOOKUP(A56,[1]PRIORIZADOS!$A:$F,6,FALSE)),"")</f>
        <v>COLEGIO_CRISTO_REY_DEL_SUR</v>
      </c>
      <c r="G56" s="69" t="str">
        <f>IFERROR(IF(VLOOKUP(A56,[1]PRIORIZADOS!$A:$G,7,FALSE)="","",VLOOKUP(A56,[1]PRIORIZADOS!$A:$G,7,FALSE)),"")</f>
        <v>COLEGIO CRISTO REY DEL SUR</v>
      </c>
      <c r="H56" s="11" t="str">
        <f>IFERROR(IF(VLOOKUP(A56,[1]PRIORIZADOS!$A:$H,8,FALSE)="","",VLOOKUP(A56,[1]PRIORIZADOS!$A:$H,8,FALSE)),"")</f>
        <v>Autoevaluación Institucional y Pruebas SABER 11</v>
      </c>
      <c r="I56" s="11" t="str">
        <f>IFERROR(IF(VLOOKUP(A56,[1]PRIORIZADOS!$A:$I,9,FALSE)="","",VLOOKUP(A56,[1]PRIORIZADOS!$A:$I,9,FALSE)),"")</f>
        <v>EVALUACIÓN_CON_FINES_DE_MEJORAMIENTO.</v>
      </c>
      <c r="J56" s="11" t="str">
        <f>IFERROR(IF(VLOOKUP(A56,[1]PRIORIZADOS!$A:$J,10,FALSE)="","",VLOOKUP(A56,[1]PRIORIZADOS!$A:$J,10,FALSE)),"")</f>
        <v>Revisar la actualización, socialización e implementación del Sistema Institucional de Evaluación de Estudiantes - SIEE, en articulación con la actualización del PEI y la normatividad vigente.</v>
      </c>
      <c r="K56" s="11" t="str">
        <f>IFERROR(IF(VLOOKUP(A56,[1]PRIORIZADOS!$A:$K,11,FALSE)="","",VLOOKUP(A56,[1]PRIORIZADOS!$A:$K,11,FALSE)),"")</f>
        <v>JOSÉ RODRIGO QUILAGUY BERNAL</v>
      </c>
      <c r="L56" s="11" t="str">
        <f>IFERROR(IF(VLOOKUP(A56,[1]PRIORIZADOS!$A:$L,12,FALSE)="","",VLOOKUP(A56,[1]PRIORIZADOS!$A:$L,12,FALSE)),"")</f>
        <v>ORLANDO SUÁREZ SOTO</v>
      </c>
      <c r="M56" s="88">
        <f>IFERROR(IF(VLOOKUP(A56,[1]PRIORIZADOS!$A:$M,13,FALSE)="","",VLOOKUP(A56,[1]PRIORIZADOS!$A:$M,13,FALSE)),"")</f>
        <v>45799</v>
      </c>
      <c r="N56" s="88">
        <f>IFERROR(IF(VLOOKUP(A56,[1]PRIORIZADOS!$A:$N,14,FALSE)="","",VLOOKUP(A56,[1]PRIORIZADOS!$A:$N,14,FALSE)),"")</f>
        <v>45800</v>
      </c>
      <c r="O56" s="88">
        <f>IFERROR(IF(VLOOKUP(A56,[1]PRIORIZADOS!$A:$O,15,FALSE)="","",VLOOKUP(A56,[1]PRIORIZADOS!$A:$O,15,FALSE)),"")</f>
        <v>45800</v>
      </c>
      <c r="P56" s="16" t="str">
        <f>IFERROR(IF(VLOOKUP(A56,[1]PRIORIZADOS!$A:$P,16,FALSE)="","",VLOOKUP(A56,[1]PRIORIZADOS!$A:$P,16,FALSE)),"")</f>
        <v>Visitas de evaluación con fines de mejoramiento</v>
      </c>
      <c r="Q56" s="89" t="s">
        <v>31</v>
      </c>
      <c r="R56" s="90" t="str">
        <f>IFERROR(IF(VLOOKUP(A56,[1]PRIORIZADOS!$A:$R,18,FALSE)="","",VLOOKUP(A56,[1]PRIORIZADOS!$A:$R,18,FALSE)),"")</f>
        <v>La institución implementa estrategias coordinadas de seguimiento académico (agenda, formato estandarizado, observador). Se identifican estrategias de refuerzo (intra-periodo, contrajornada, excepcional con padres) que no están debidamente documentadas.</v>
      </c>
      <c r="S56" s="11" t="str">
        <f>IFERROR(IF(VLOOKUP(A56,[1]PRIORIZADOS!$A:$S,19,FALSE)="","",VLOOKUP(A56,[1]PRIORIZADOS!$A:$S,19,FALSE)),"")</f>
        <v>Existe una clara oportunidad de mejora en la formalización y documentación de sus estrategias de refuerzo académico y otras buenas prácticas, las cuales, al ser incorporadas explícitamente en los documentos institucionales.</v>
      </c>
      <c r="T56" s="70" t="str">
        <f>IFERROR(IF(VLOOKUP(A56,[1]PRIORIZADOS!$A:$T,20,FALSE)="","",VLOOKUP(A56,[1]PRIORIZADOS!$A:$T,20,FALSE)),"")</f>
        <v>Si</v>
      </c>
      <c r="U56" s="11" t="str">
        <f>IFERROR(IF(VLOOKUP(A56,[1]PRIORIZADOS!$A:$U,21,FALSE)="","",VLOOKUP(A56,[1]PRIORIZADOS!$A:$U,21,FALSE)),"")</f>
        <v>Verificar las acciones definidas en el plan de mejoramiento una vez sea presentado 17.06.2025.
Se realiza seguimiento del PMI, se realizan observaciones y retroalimentación frente a la documentación presentada, conforme a lo orientado. (23/09/2025) Ver Carpeta POAIV - TRIM III</v>
      </c>
    </row>
    <row r="57" spans="1:21" s="1" customFormat="1" ht="60">
      <c r="A57" s="69">
        <f>IF([1]PRIORIZADOS!A58="","",[1]PRIORIZADOS!A58)</f>
        <v>52</v>
      </c>
      <c r="B57" s="87">
        <v>6</v>
      </c>
      <c r="C57" s="11" t="str">
        <f>IFERROR(IF(VLOOKUP(A57,[1]PRIORIZADOS!$A:$C,3,FALSE)="","",VLOOKUP(A57,[1]PRIORIZADOS!$A:$C,3,FALSE)),"")</f>
        <v>ANTONIO NARIÑO</v>
      </c>
      <c r="D57" s="69" t="str">
        <f>IFERROR(IF(VLOOKUP(A57,[1]PRIORIZADOS!$A:$D,4,FALSE)="","",VLOOKUP(A57,[1]PRIORIZADOS!$A:$D,4,FALSE)),"")</f>
        <v>PRIVADO</v>
      </c>
      <c r="E57" s="69" t="str">
        <f>IFERROR(IF(VLOOKUP(A57,[1]PRIORIZADOS!$A:$E,5,FALSE)="","",VLOOKUP(A57,[1]PRIORIZADOS!$A:$E,5,FALSE)),"")</f>
        <v>EPBM</v>
      </c>
      <c r="F57" s="11" t="str">
        <f>IFERROR(IF(VLOOKUP(A57,[1]PRIORIZADOS!$A:$F,6,FALSE)="","",VLOOKUP(A57,[1]PRIORIZADOS!$A:$F,6,FALSE)),"")</f>
        <v>COLEGIO_CRISTO_REY_DEL_SUR</v>
      </c>
      <c r="G57" s="69" t="str">
        <f>IFERROR(IF(VLOOKUP(A57,[1]PRIORIZADOS!$A:$G,7,FALSE)="","",VLOOKUP(A57,[1]PRIORIZADOS!$A:$G,7,FALSE)),"")</f>
        <v>COLEGIO CRISTO REY DEL SUR</v>
      </c>
      <c r="H57" s="11" t="str">
        <f>IFERROR(IF(VLOOKUP(A57,[1]PRIORIZADOS!$A:$H,8,FALSE)="","",VLOOKUP(A57,[1]PRIORIZADOS!$A:$H,8,FALSE)),"")</f>
        <v>Autoevaluación Institucional y Pruebas SABER 11</v>
      </c>
      <c r="I57" s="11" t="str">
        <f>IFERROR(IF(VLOOKUP(A57,[1]PRIORIZADOS!$A:$I,9,FALSE)="","",VLOOKUP(A57,[1]PRIORIZADOS!$A:$I,9,FALSE)),"")</f>
        <v>EVALUACIÓN_CON_FINES_DE_MEJORAMIENTO.</v>
      </c>
      <c r="J57" s="11" t="str">
        <f>IFERROR(IF(VLOOKUP(A57,[1]PRIORIZADOS!$A:$J,10,FALSE)="","",VLOOKUP(A57,[1]PRIORIZADOS!$A:$J,10,FALSE)),"")</f>
        <v>Revisar el calendario escolar, jornada escolar, la intensidad horaria mínima anual en cada nivel y las modificaciones que se realicen al mismo, de acuerdo con lo previsto en la normatividad vigente.</v>
      </c>
      <c r="K57" s="11" t="str">
        <f>IFERROR(IF(VLOOKUP(A57,[1]PRIORIZADOS!$A:$K,11,FALSE)="","",VLOOKUP(A57,[1]PRIORIZADOS!$A:$K,11,FALSE)),"")</f>
        <v>JOSÉ RODRIGO QUILAGUY BERNAL</v>
      </c>
      <c r="L57" s="11" t="str">
        <f>IFERROR(IF(VLOOKUP(A57,[1]PRIORIZADOS!$A:$L,12,FALSE)="","",VLOOKUP(A57,[1]PRIORIZADOS!$A:$L,12,FALSE)),"")</f>
        <v>ORLANDO SUÁREZ SOTO</v>
      </c>
      <c r="M57" s="88">
        <f>IFERROR(IF(VLOOKUP(A57,[1]PRIORIZADOS!$A:$M,13,FALSE)="","",VLOOKUP(A57,[1]PRIORIZADOS!$A:$M,13,FALSE)),"")</f>
        <v>45799</v>
      </c>
      <c r="N57" s="88">
        <f>IFERROR(IF(VLOOKUP(A57,[1]PRIORIZADOS!$A:$N,14,FALSE)="","",VLOOKUP(A57,[1]PRIORIZADOS!$A:$N,14,FALSE)),"")</f>
        <v>45800</v>
      </c>
      <c r="O57" s="88">
        <f>IFERROR(IF(VLOOKUP(A57,[1]PRIORIZADOS!$A:$O,15,FALSE)="","",VLOOKUP(A57,[1]PRIORIZADOS!$A:$O,15,FALSE)),"")</f>
        <v>45800</v>
      </c>
      <c r="P57" s="16" t="str">
        <f>IFERROR(IF(VLOOKUP(A57,[1]PRIORIZADOS!$A:$P,16,FALSE)="","",VLOOKUP(A57,[1]PRIORIZADOS!$A:$P,16,FALSE)),"")</f>
        <v>Visitas de evaluación con fines de mejoramiento</v>
      </c>
      <c r="Q57" s="89" t="s">
        <v>31</v>
      </c>
      <c r="R57" s="90" t="str">
        <f>IFERROR(IF(VLOOKUP(A57,[1]PRIORIZADOS!$A:$R,18,FALSE)="","",VLOOKUP(A57,[1]PRIORIZADOS!$A:$R,18,FALSE)),"")</f>
        <v>Se constata que la Institución Educativa garantiza el cumplimiento de la intensidad horaria mínima anual establecida para cada el nivel educativo que ofrece.</v>
      </c>
      <c r="S57" s="11" t="str">
        <f>IFERROR(IF(VLOOKUP(A57,[1]PRIORIZADOS!$A:$S,19,FALSE)="","",VLOOKUP(A57,[1]PRIORIZADOS!$A:$S,19,FALSE)),"")</f>
        <v>Se concluye que el establecimiento educativo está dando pleno cumplimiento a la normativa vigente en cuanto a la organización del calendario y la jornada escolar</v>
      </c>
      <c r="T57" s="70" t="str">
        <f>IFERROR(IF(VLOOKUP(A57,[1]PRIORIZADOS!$A:$T,20,FALSE)="","",VLOOKUP(A57,[1]PRIORIZADOS!$A:$T,20,FALSE)),"")</f>
        <v>No</v>
      </c>
      <c r="U57" s="11" t="str">
        <f>IFERROR(IF(VLOOKUP(A57,[1]PRIORIZADOS!$A:$U,21,FALSE)="","",VLOOKUP(A57,[1]PRIORIZADOS!$A:$U,21,FALSE)),"")</f>
        <v>Se hará nueva verificación en caso de requerirse.</v>
      </c>
    </row>
    <row r="58" spans="1:21" s="1" customFormat="1" ht="72">
      <c r="A58" s="69">
        <f>IF([1]PRIORIZADOS!A59="","",[1]PRIORIZADOS!A59)</f>
        <v>53</v>
      </c>
      <c r="B58" s="87">
        <v>6</v>
      </c>
      <c r="C58" s="11" t="str">
        <f>IFERROR(IF(VLOOKUP(A58,[1]PRIORIZADOS!$A:$C,3,FALSE)="","",VLOOKUP(A58,[1]PRIORIZADOS!$A:$C,3,FALSE)),"")</f>
        <v>ANTONIO NARIÑO</v>
      </c>
      <c r="D58" s="69" t="str">
        <f>IFERROR(IF(VLOOKUP(A58,[1]PRIORIZADOS!$A:$D,4,FALSE)="","",VLOOKUP(A58,[1]PRIORIZADOS!$A:$D,4,FALSE)),"")</f>
        <v>PRIVADO</v>
      </c>
      <c r="E58" s="69" t="str">
        <f>IFERROR(IF(VLOOKUP(A58,[1]PRIORIZADOS!$A:$E,5,FALSE)="","",VLOOKUP(A58,[1]PRIORIZADOS!$A:$E,5,FALSE)),"")</f>
        <v>EPBM</v>
      </c>
      <c r="F58" s="11" t="str">
        <f>IFERROR(IF(VLOOKUP(A58,[1]PRIORIZADOS!$A:$F,6,FALSE)="","",VLOOKUP(A58,[1]PRIORIZADOS!$A:$F,6,FALSE)),"")</f>
        <v>COLEGIO_CRISTO_REY_DEL_SUR</v>
      </c>
      <c r="G58" s="69" t="str">
        <f>IFERROR(IF(VLOOKUP(A58,[1]PRIORIZADOS!$A:$G,7,FALSE)="","",VLOOKUP(A58,[1]PRIORIZADOS!$A:$G,7,FALSE)),"")</f>
        <v>COLEGIO CRISTO REY DEL SUR</v>
      </c>
      <c r="H58" s="11" t="str">
        <f>IFERROR(IF(VLOOKUP(A58,[1]PRIORIZADOS!$A:$H,8,FALSE)="","",VLOOKUP(A58,[1]PRIORIZADOS!$A:$H,8,FALSE)),"")</f>
        <v>Autoevaluación Institucional y Pruebas SABER 11</v>
      </c>
      <c r="I58" s="11" t="str">
        <f>IFERROR(IF(VLOOKUP(A58,[1]PRIORIZADOS!$A:$I,9,FALSE)="","",VLOOKUP(A58,[1]PRIORIZADOS!$A:$I,9,FALSE)),"")</f>
        <v>EVALUACIÓN_CON_FINES_DE_MEJORAMIENTO.</v>
      </c>
      <c r="J58" s="11" t="str">
        <f>IFERROR(IF(VLOOKUP(A58,[1]PRIORIZADOS!$A:$J,10,FALSE)="","",VLOOKUP(A58,[1]PRIORIZADOS!$A:$J,10,FALSE)),"")</f>
        <v>Verificar el funcionamiento del Gobierno Escolar e instancias de participación con base en la información sobre conformación reportada por la institución educativa.</v>
      </c>
      <c r="K58" s="11" t="str">
        <f>IFERROR(IF(VLOOKUP(A58,[1]PRIORIZADOS!$A:$K,11,FALSE)="","",VLOOKUP(A58,[1]PRIORIZADOS!$A:$K,11,FALSE)),"")</f>
        <v>JOSÉ RODRIGO QUILAGUY BERNAL</v>
      </c>
      <c r="L58" s="11" t="str">
        <f>IFERROR(IF(VLOOKUP(A58,[1]PRIORIZADOS!$A:$L,12,FALSE)="","",VLOOKUP(A58,[1]PRIORIZADOS!$A:$L,12,FALSE)),"")</f>
        <v>ORLANDO SUÁREZ SOTO</v>
      </c>
      <c r="M58" s="88">
        <f>IFERROR(IF(VLOOKUP(A58,[1]PRIORIZADOS!$A:$M,13,FALSE)="","",VLOOKUP(A58,[1]PRIORIZADOS!$A:$M,13,FALSE)),"")</f>
        <v>45799</v>
      </c>
      <c r="N58" s="88">
        <f>IFERROR(IF(VLOOKUP(A58,[1]PRIORIZADOS!$A:$N,14,FALSE)="","",VLOOKUP(A58,[1]PRIORIZADOS!$A:$N,14,FALSE)),"")</f>
        <v>45800</v>
      </c>
      <c r="O58" s="88">
        <f>IFERROR(IF(VLOOKUP(A58,[1]PRIORIZADOS!$A:$O,15,FALSE)="","",VLOOKUP(A58,[1]PRIORIZADOS!$A:$O,15,FALSE)),"")</f>
        <v>45800</v>
      </c>
      <c r="P58" s="16" t="str">
        <f>IFERROR(IF(VLOOKUP(A58,[1]PRIORIZADOS!$A:$P,16,FALSE)="","",VLOOKUP(A58,[1]PRIORIZADOS!$A:$P,16,FALSE)),"")</f>
        <v>Visitas de evaluación con fines de mejoramiento</v>
      </c>
      <c r="Q58" s="89" t="s">
        <v>31</v>
      </c>
      <c r="R58" s="90" t="str">
        <f>IFERROR(IF(VLOOKUP(A58,[1]PRIORIZADOS!$A:$R,18,FALSE)="","",VLOOKUP(A58,[1]PRIORIZADOS!$A:$R,18,FALSE)),"")</f>
        <v>La Institución Educativa realizó la conformación del Gobierno Escolar (Consejo Directivo y Consejo Académico), y sus actas de comités demuestran operatividad y cumplimiento de funciones en 2024 (2 actas para cada consejo).</v>
      </c>
      <c r="S58" s="11" t="str">
        <f>IFERROR(IF(VLOOKUP(A58,[1]PRIORIZADOS!$A:$S,19,FALSE)="","",VLOOKUP(A58,[1]PRIORIZADOS!$A:$S,19,FALSE)),"")</f>
        <v>Se recomienda tener en cuenta la periodicidad de las reuniones de estas instancias</v>
      </c>
      <c r="T58" s="70" t="str">
        <f>IFERROR(IF(VLOOKUP(A58,[1]PRIORIZADOS!$A:$T,20,FALSE)="","",VLOOKUP(A58,[1]PRIORIZADOS!$A:$T,20,FALSE)),"")</f>
        <v>No</v>
      </c>
      <c r="U58" s="11" t="str">
        <f>IFERROR(IF(VLOOKUP(A58,[1]PRIORIZADOS!$A:$U,21,FALSE)="","",VLOOKUP(A58,[1]PRIORIZADOS!$A:$U,21,FALSE)),"")</f>
        <v>Se verificará la conformación de los gobiernos escolares e instancias para la vigencia 2026.</v>
      </c>
    </row>
    <row r="59" spans="1:21" s="1" customFormat="1" ht="72">
      <c r="A59" s="69">
        <f>IF([1]PRIORIZADOS!A60="","",[1]PRIORIZADOS!A60)</f>
        <v>54</v>
      </c>
      <c r="B59" s="87">
        <v>6</v>
      </c>
      <c r="C59" s="11" t="str">
        <f>IFERROR(IF(VLOOKUP(A59,[1]PRIORIZADOS!$A:$C,3,FALSE)="","",VLOOKUP(A59,[1]PRIORIZADOS!$A:$C,3,FALSE)),"")</f>
        <v>ANTONIO NARIÑO</v>
      </c>
      <c r="D59" s="69" t="str">
        <f>IFERROR(IF(VLOOKUP(A59,[1]PRIORIZADOS!$A:$D,4,FALSE)="","",VLOOKUP(A59,[1]PRIORIZADOS!$A:$D,4,FALSE)),"")</f>
        <v>PRIVADO</v>
      </c>
      <c r="E59" s="69" t="str">
        <f>IFERROR(IF(VLOOKUP(A59,[1]PRIORIZADOS!$A:$E,5,FALSE)="","",VLOOKUP(A59,[1]PRIORIZADOS!$A:$E,5,FALSE)),"")</f>
        <v>EPBM</v>
      </c>
      <c r="F59" s="11" t="str">
        <f>IFERROR(IF(VLOOKUP(A59,[1]PRIORIZADOS!$A:$F,6,FALSE)="","",VLOOKUP(A59,[1]PRIORIZADOS!$A:$F,6,FALSE)),"")</f>
        <v>COLEGIO_CRISTO_REY_DEL_SUR</v>
      </c>
      <c r="G59" s="69" t="str">
        <f>IFERROR(IF(VLOOKUP(A59,[1]PRIORIZADOS!$A:$G,7,FALSE)="","",VLOOKUP(A59,[1]PRIORIZADOS!$A:$G,7,FALSE)),"")</f>
        <v>COLEGIO CRISTO REY DEL SUR</v>
      </c>
      <c r="H59" s="11" t="str">
        <f>IFERROR(IF(VLOOKUP(A59,[1]PRIORIZADOS!$A:$H,8,FALSE)="","",VLOOKUP(A59,[1]PRIORIZADOS!$A:$H,8,FALSE)),"")</f>
        <v>Autoevaluación Institucional y Pruebas SABER 11</v>
      </c>
      <c r="I59" s="11" t="str">
        <f>IFERROR(IF(VLOOKUP(A59,[1]PRIORIZADOS!$A:$I,9,FALSE)="","",VLOOKUP(A59,[1]PRIORIZADOS!$A:$I,9,FALSE)),"")</f>
        <v>EVALUACIÓN_CON_FINES_DE_MEJORAMIENTO.</v>
      </c>
      <c r="J59" s="11" t="str">
        <f>IFERROR(IF(VLOOKUP(A59,[1]PRIORIZADOS!$A:$J,10,FALSE)="","",VLOOKUP(A59,[1]PRIORIZADOS!$A:$J,10,FALSE)),"")</f>
        <v>Verificar las condiciones en cuanto a: la estructura administrativa, condiciones de la planta física y medios educativos adecuados.</v>
      </c>
      <c r="K59" s="11" t="str">
        <f>IFERROR(IF(VLOOKUP(A59,[1]PRIORIZADOS!$A:$K,11,FALSE)="","",VLOOKUP(A59,[1]PRIORIZADOS!$A:$K,11,FALSE)),"")</f>
        <v>JOSÉ RODRIGO QUILAGUY BERNAL</v>
      </c>
      <c r="L59" s="11" t="str">
        <f>IFERROR(IF(VLOOKUP(A59,[1]PRIORIZADOS!$A:$L,12,FALSE)="","",VLOOKUP(A59,[1]PRIORIZADOS!$A:$L,12,FALSE)),"")</f>
        <v>ORLANDO SUÁREZ SOTO</v>
      </c>
      <c r="M59" s="88">
        <f>IFERROR(IF(VLOOKUP(A59,[1]PRIORIZADOS!$A:$M,13,FALSE)="","",VLOOKUP(A59,[1]PRIORIZADOS!$A:$M,13,FALSE)),"")</f>
        <v>45799</v>
      </c>
      <c r="N59" s="88">
        <f>IFERROR(IF(VLOOKUP(A59,[1]PRIORIZADOS!$A:$N,14,FALSE)="","",VLOOKUP(A59,[1]PRIORIZADOS!$A:$N,14,FALSE)),"")</f>
        <v>45800</v>
      </c>
      <c r="O59" s="88">
        <f>IFERROR(IF(VLOOKUP(A59,[1]PRIORIZADOS!$A:$O,15,FALSE)="","",VLOOKUP(A59,[1]PRIORIZADOS!$A:$O,15,FALSE)),"")</f>
        <v>45800</v>
      </c>
      <c r="P59" s="16" t="str">
        <f>IFERROR(IF(VLOOKUP(A59,[1]PRIORIZADOS!$A:$P,16,FALSE)="","",VLOOKUP(A59,[1]PRIORIZADOS!$A:$P,16,FALSE)),"")</f>
        <v>Visitas de evaluación con fines de mejoramiento</v>
      </c>
      <c r="Q59" s="89" t="s">
        <v>31</v>
      </c>
      <c r="R59" s="90" t="str">
        <f>IFERROR(IF(VLOOKUP(A59,[1]PRIORIZADOS!$A:$R,18,FALSE)="","",VLOOKUP(A59,[1]PRIORIZADOS!$A:$R,18,FALSE)),"")</f>
        <v xml:space="preserve">IE opera con estructura funcional, sin organigrama explícito en PEI. Roles directivos detallados, pero se recomienda referenciar perfiles mínimos. Ambientes y medios educativos, y espacios (adm., lúdicos) suficientes y dotados. </v>
      </c>
      <c r="S59" s="11" t="str">
        <f>IFERROR(IF(VLOOKUP(A59,[1]PRIORIZADOS!$A:$S,19,FALSE)="","",VLOOKUP(A59,[1]PRIORIZADOS!$A:$S,19,FALSE)),"")</f>
        <v>IE cumple en infraestructura y recursos; debe mejorar formalidad administrativa y perfiles de cargo.</v>
      </c>
      <c r="T59" s="70" t="str">
        <f>IFERROR(IF(VLOOKUP(A59,[1]PRIORIZADOS!$A:$T,20,FALSE)="","",VLOOKUP(A59,[1]PRIORIZADOS!$A:$T,20,FALSE)),"")</f>
        <v>No</v>
      </c>
      <c r="U59" s="11" t="str">
        <f>IFERROR(IF(VLOOKUP(A59,[1]PRIORIZADOS!$A:$U,21,FALSE)="","",VLOOKUP(A59,[1]PRIORIZADOS!$A:$U,21,FALSE)),"")</f>
        <v>Se hará nueva verificación en caso de requerirse.</v>
      </c>
    </row>
    <row r="60" spans="1:21" s="1" customFormat="1" ht="60">
      <c r="A60" s="69">
        <f>IF([1]PRIORIZADOS!A61="","",[1]PRIORIZADOS!A61)</f>
        <v>55</v>
      </c>
      <c r="B60" s="87">
        <f>IFERROR(IF(VLOOKUP(A60,[1]PRIORIZADOS!$A:$B,2,FALSE)="","",VLOOKUP(A60,[1]PRIORIZADOS!$A:$B,2,FALSE)),"")</f>
        <v>7</v>
      </c>
      <c r="C60" s="11" t="str">
        <f>IFERROR(IF(VLOOKUP(A60,[1]PRIORIZADOS!$A:$C,3,FALSE)="","",VLOOKUP(A60,[1]PRIORIZADOS!$A:$C,3,FALSE)),"")</f>
        <v>ANTONIO NARIÑO</v>
      </c>
      <c r="D60" s="69" t="str">
        <f>IFERROR(IF(VLOOKUP(A60,[1]PRIORIZADOS!$A:$D,4,FALSE)="","",VLOOKUP(A60,[1]PRIORIZADOS!$A:$D,4,FALSE)),"")</f>
        <v>PRIVADO</v>
      </c>
      <c r="E60" s="69" t="str">
        <f>IFERROR(IF(VLOOKUP(A60,[1]PRIORIZADOS!$A:$E,5,FALSE)="","",VLOOKUP(A60,[1]PRIORIZADOS!$A:$E,5,FALSE)),"")</f>
        <v>EPBM</v>
      </c>
      <c r="F60" s="11" t="str">
        <f>IFERROR(IF(VLOOKUP(A60,[1]PRIORIZADOS!$A:$F,6,FALSE)="","",VLOOKUP(A60,[1]PRIORIZADOS!$A:$F,6,FALSE)),"")</f>
        <v>COLEGIO_EDUARDO_FREI</v>
      </c>
      <c r="G60" s="69" t="str">
        <f>IFERROR(IF(VLOOKUP(A60,[1]PRIORIZADOS!$A:$G,7,FALSE)="","",VLOOKUP(A60,[1]PRIORIZADOS!$A:$G,7,FALSE)),"")</f>
        <v>COLEGIO EDUARDO FREI</v>
      </c>
      <c r="H60" s="11" t="str">
        <f>IFERROR(IF(VLOOKUP(A60,[1]PRIORIZADOS!$A:$H,8,FALSE)="","",VLOOKUP(A60,[1]PRIORIZADOS!$A:$H,8,FALSE)),"")</f>
        <v>Autoevaluación Institucional y Pruebas SABER 11</v>
      </c>
      <c r="I60" s="11" t="str">
        <f>IFERROR(IF(VLOOKUP(A60,[1]PRIORIZADOS!$A:$I,9,FALSE)="","",VLOOKUP(A60,[1]PRIORIZADOS!$A:$I,9,FALSE)),"")</f>
        <v>SEGUIMIENTO_Y_SUPERVISIÓN.</v>
      </c>
      <c r="J60" s="11" t="str">
        <f>IFERROR(IF(VLOOKUP(A60,[1]PRIORIZADOS!$A:$J,10,FALSE)="","",VLOOKUP(A60,[1]PRIORIZADOS!$A:$J,10,FALSE)),"")</f>
        <v>Realizar visitas para verificar la información registrada sobre la autoevaluación institucional en el aplicativo EVI, a los establecimientos de educación formal no oficial.</v>
      </c>
      <c r="K60" s="11" t="str">
        <f>IFERROR(IF(VLOOKUP(A60,[1]PRIORIZADOS!$A:$K,11,FALSE)="","",VLOOKUP(A60,[1]PRIORIZADOS!$A:$K,11,FALSE)),"")</f>
        <v>JOHN JAIRO BOBADILLA BERMEO</v>
      </c>
      <c r="L60" s="11" t="str">
        <f>IFERROR(IF(VLOOKUP(A60,[1]PRIORIZADOS!$A:$L,12,FALSE)="","",VLOOKUP(A60,[1]PRIORIZADOS!$A:$L,12,FALSE)),"")</f>
        <v>ORLANDO SUÁREZ SOTO
JOSÉ RODRIGO QUILAGUY BERNAL
JOHN JAIRO BOBADILLA BERMEO</v>
      </c>
      <c r="M60" s="88">
        <f>IFERROR(IF(VLOOKUP(A60,[1]PRIORIZADOS!$A:$M,13,FALSE)="","",VLOOKUP(A60,[1]PRIORIZADOS!$A:$M,13,FALSE)),"")</f>
        <v>45811</v>
      </c>
      <c r="N60" s="88">
        <f>IFERROR(IF(VLOOKUP(A60,[1]PRIORIZADOS!$A:$N,14,FALSE)="","",VLOOKUP(A60,[1]PRIORIZADOS!$A:$N,14,FALSE)),"")</f>
        <v>45791</v>
      </c>
      <c r="O60" s="88">
        <f>IFERROR(IF(VLOOKUP(A60,[1]PRIORIZADOS!$A:$O,15,FALSE)="","",VLOOKUP(A60,[1]PRIORIZADOS!$A:$O,15,FALSE)),"")</f>
        <v>45791</v>
      </c>
      <c r="P60" s="16" t="str">
        <f>IFERROR(IF(VLOOKUP(A60,[1]PRIORIZADOS!$A:$P,16,FALSE)="","",VLOOKUP(A60,[1]PRIORIZADOS!$A:$P,16,FALSE)),"")</f>
        <v>Visitas de evaluación con fines de seguimiento</v>
      </c>
      <c r="Q60" s="89" t="s">
        <v>32</v>
      </c>
      <c r="R60" s="90" t="str">
        <f>IFERROR(IF(VLOOKUP(A60,[1]PRIORIZADOS!$A:$R,18,FALSE)="","",VLOOKUP(A60,[1]PRIORIZADOS!$A:$R,18,FALSE)),"")</f>
        <v>Se evidencia la cohoerencia entre lo registrado en el EVI y la realidad institucional frente a recursos y procesos.</v>
      </c>
      <c r="S60" s="11" t="str">
        <f>IFERROR(IF(VLOOKUP(A60,[1]PRIORIZADOS!$A:$S,19,FALSE)="","",VLOOKUP(A60,[1]PRIORIZADOS!$A:$S,19,FALSE)),"")</f>
        <v>Realizar la auevaluación anual conforme las condicones, procesos y recursos de la IE,</v>
      </c>
      <c r="T60" s="70" t="str">
        <f>IFERROR(IF(VLOOKUP(A60,[1]PRIORIZADOS!$A:$T,20,FALSE)="","",VLOOKUP(A60,[1]PRIORIZADOS!$A:$T,20,FALSE)),"")</f>
        <v>No</v>
      </c>
      <c r="U60" s="11" t="str">
        <f>IFERROR(IF(VLOOKUP(A60,[1]PRIORIZADOS!$A:$U,21,FALSE)="","",VLOOKUP(A60,[1]PRIORIZADOS!$A:$U,21,FALSE)),"")</f>
        <v>Emitir concepto para las tarifas 2026.</v>
      </c>
    </row>
    <row r="61" spans="1:21" s="1" customFormat="1" ht="96">
      <c r="A61" s="69">
        <f>IF([1]PRIORIZADOS!A62="","",[1]PRIORIZADOS!A62)</f>
        <v>57</v>
      </c>
      <c r="B61" s="87">
        <v>7</v>
      </c>
      <c r="C61" s="11" t="str">
        <f>IFERROR(IF(VLOOKUP(A61,[1]PRIORIZADOS!$A:$C,3,FALSE)="","",VLOOKUP(A61,[1]PRIORIZADOS!$A:$C,3,FALSE)),"")</f>
        <v>ANTONIO NARIÑO</v>
      </c>
      <c r="D61" s="69" t="str">
        <f>IFERROR(IF(VLOOKUP(A61,[1]PRIORIZADOS!$A:$D,4,FALSE)="","",VLOOKUP(A61,[1]PRIORIZADOS!$A:$D,4,FALSE)),"")</f>
        <v>PRIVADO</v>
      </c>
      <c r="E61" s="69" t="str">
        <f>IFERROR(IF(VLOOKUP(A61,[1]PRIORIZADOS!$A:$E,5,FALSE)="","",VLOOKUP(A61,[1]PRIORIZADOS!$A:$E,5,FALSE)),"")</f>
        <v>EPBM</v>
      </c>
      <c r="F61" s="11" t="str">
        <f>IFERROR(IF(VLOOKUP(A61,[1]PRIORIZADOS!$A:$F,6,FALSE)="","",VLOOKUP(A61,[1]PRIORIZADOS!$A:$F,6,FALSE)),"")</f>
        <v>COLEGIO_EDUARDO_FREI</v>
      </c>
      <c r="G61" s="69" t="str">
        <f>IFERROR(IF(VLOOKUP(A61,[1]PRIORIZADOS!$A:$G,7,FALSE)="","",VLOOKUP(A61,[1]PRIORIZADOS!$A:$G,7,FALSE)),"")</f>
        <v>COLEGIO EDUARDO FREI</v>
      </c>
      <c r="H61" s="11" t="str">
        <f>IFERROR(IF(VLOOKUP(A61,[1]PRIORIZADOS!$A:$H,8,FALSE)="","",VLOOKUP(A61,[1]PRIORIZADOS!$A:$H,8,FALSE)),"")</f>
        <v>Autoevaluación Institucional y Pruebas SABER 11</v>
      </c>
      <c r="I61" s="11" t="str">
        <f>IFERROR(IF(VLOOKUP(A61,[1]PRIORIZADOS!$A:$I,9,FALSE)="","",VLOOKUP(A61,[1]PRIORIZADOS!$A:$I,9,FALSE)),"")</f>
        <v>SEGUIMIENTO_Y_SUPERVISIÓN.</v>
      </c>
      <c r="J61" s="11" t="str">
        <f>IFERROR(IF(VLOOKUP(A61,[1]PRIORIZADOS!$A:$J,10,FALSE)="","",VLOOKUP(A61,[1]PRIORIZADOS!$A:$J,10,FALSE)),"")</f>
        <v xml:space="preserve">Verificar la implementación por parte de los colegios, de acciones realizadas para la prevención y atención de las situaciones de convivencia en el entorno escolar, según lo establecido en la Directiva 01 de 2022 del MEN. </v>
      </c>
      <c r="K61" s="11" t="str">
        <f>IFERROR(IF(VLOOKUP(A61,[1]PRIORIZADOS!$A:$K,11,FALSE)="","",VLOOKUP(A61,[1]PRIORIZADOS!$A:$K,11,FALSE)),"")</f>
        <v>JOHN JAIRO BOBADILLA BERMEO</v>
      </c>
      <c r="L61" s="11" t="str">
        <f>IFERROR(IF(VLOOKUP(A61,[1]PRIORIZADOS!$A:$L,12,FALSE)="","",VLOOKUP(A61,[1]PRIORIZADOS!$A:$L,12,FALSE)),"")</f>
        <v>ORLANDO SUÁREZ SOTO
JOSÉ RODRIGO QUILAGUY BERNAL
JOHN JAIRO BOBADILLA BERMEO</v>
      </c>
      <c r="M61" s="88">
        <f>IFERROR(IF(VLOOKUP(A61,[1]PRIORIZADOS!$A:$M,13,FALSE)="","",VLOOKUP(A61,[1]PRIORIZADOS!$A:$M,13,FALSE)),"")</f>
        <v>45811</v>
      </c>
      <c r="N61" s="88">
        <f>IFERROR(IF(VLOOKUP(A61,[1]PRIORIZADOS!$A:$N,14,FALSE)="","",VLOOKUP(A61,[1]PRIORIZADOS!$A:$N,14,FALSE)),"")</f>
        <v>45791</v>
      </c>
      <c r="O61" s="88">
        <f>IFERROR(IF(VLOOKUP(A61,[1]PRIORIZADOS!$A:$O,15,FALSE)="","",VLOOKUP(A61,[1]PRIORIZADOS!$A:$O,15,FALSE)),"")</f>
        <v>45791</v>
      </c>
      <c r="P61" s="16" t="str">
        <f>IFERROR(IF(VLOOKUP(A61,[1]PRIORIZADOS!$A:$P,16,FALSE)="","",VLOOKUP(A61,[1]PRIORIZADOS!$A:$P,16,FALSE)),"")</f>
        <v>Visitas de evaluación con fines de seguimiento</v>
      </c>
      <c r="Q61" s="89" t="s">
        <v>32</v>
      </c>
      <c r="R61" s="90" t="str">
        <f>IFERROR(IF(VLOOKUP(A61,[1]PRIORIZADOS!$A:$R,18,FALSE)="","",VLOOKUP(A61,[1]PRIORIZADOS!$A:$R,18,FALSE)),"")</f>
        <v>Se observó baja articulación entre el manual de convivencia y la directiva 01 de 2022.</v>
      </c>
      <c r="S61" s="11" t="str">
        <f>IFERROR(IF(VLOOKUP(A61,[1]PRIORIZADOS!$A:$S,19,FALSE)="","",VLOOKUP(A61,[1]PRIORIZADOS!$A:$S,19,FALSE)),"")</f>
        <v>El establecimiento debe adelantar acciones de promoción, prevención, atención, teniendo en cuenta el reporte del sistema de alertas del distrito, ademas del aumento de la concurrencia con la que se reune el Comite de convivencia y demas estamentos de participacion desde lo convivencial.</v>
      </c>
      <c r="T61" s="70" t="str">
        <f>IFERROR(IF(VLOOKUP(A61,[1]PRIORIZADOS!$A:$T,20,FALSE)="","",VLOOKUP(A61,[1]PRIORIZADOS!$A:$T,20,FALSE)),"")</f>
        <v>Si</v>
      </c>
      <c r="U61" s="11" t="str">
        <f>IFERROR(IF(VLOOKUP(A61,[1]PRIORIZADOS!$A:$U,21,FALSE)="","",VLOOKUP(A61,[1]PRIORIZADOS!$A:$U,21,FALSE)),"")</f>
        <v>El EE se comprometió a actualizar su protocolo de convivencia con base en la directiva del MEN. Se realizarán jornadas de capacitación a toda la comunidad educativa sobre las rutas de atención.
Se realiza seguimiento del PMI, evidenciándose avance, conforme a lo orientado. (17/09/2025) Ver Carpeta POAIV - TRIM III</v>
      </c>
    </row>
    <row r="62" spans="1:21" s="1" customFormat="1" ht="84">
      <c r="A62" s="69">
        <f>IF([1]PRIORIZADOS!A63="","",[1]PRIORIZADOS!A63)</f>
        <v>58</v>
      </c>
      <c r="B62" s="87">
        <v>7</v>
      </c>
      <c r="C62" s="11" t="str">
        <f>IFERROR(IF(VLOOKUP(A62,[1]PRIORIZADOS!$A:$C,3,FALSE)="","",VLOOKUP(A62,[1]PRIORIZADOS!$A:$C,3,FALSE)),"")</f>
        <v>ANTONIO NARIÑO</v>
      </c>
      <c r="D62" s="69" t="str">
        <f>IFERROR(IF(VLOOKUP(A62,[1]PRIORIZADOS!$A:$D,4,FALSE)="","",VLOOKUP(A62,[1]PRIORIZADOS!$A:$D,4,FALSE)),"")</f>
        <v>PRIVADO</v>
      </c>
      <c r="E62" s="69" t="str">
        <f>IFERROR(IF(VLOOKUP(A62,[1]PRIORIZADOS!$A:$E,5,FALSE)="","",VLOOKUP(A62,[1]PRIORIZADOS!$A:$E,5,FALSE)),"")</f>
        <v>EPBM</v>
      </c>
      <c r="F62" s="11" t="str">
        <f>IFERROR(IF(VLOOKUP(A62,[1]PRIORIZADOS!$A:$F,6,FALSE)="","",VLOOKUP(A62,[1]PRIORIZADOS!$A:$F,6,FALSE)),"")</f>
        <v>COLEGIO_EDUARDO_FREI</v>
      </c>
      <c r="G62" s="69" t="str">
        <f>IFERROR(IF(VLOOKUP(A62,[1]PRIORIZADOS!$A:$G,7,FALSE)="","",VLOOKUP(A62,[1]PRIORIZADOS!$A:$G,7,FALSE)),"")</f>
        <v>COLEGIO EDUARDO FREI</v>
      </c>
      <c r="H62" s="11" t="str">
        <f>IFERROR(IF(VLOOKUP(A62,[1]PRIORIZADOS!$A:$H,8,FALSE)="","",VLOOKUP(A62,[1]PRIORIZADOS!$A:$H,8,FALSE)),"")</f>
        <v>Autoevaluación Institucional y Pruebas SABER 11</v>
      </c>
      <c r="I62" s="11" t="str">
        <f>IFERROR(IF(VLOOKUP(A62,[1]PRIORIZADOS!$A:$I,9,FALSE)="","",VLOOKUP(A62,[1]PRIORIZADOS!$A:$I,9,FALSE)),"")</f>
        <v>SEGUIMIENTO_Y_SUPERVISIÓN.</v>
      </c>
      <c r="J62" s="11" t="str">
        <f>IFERROR(IF(VLOOKUP(A62,[1]PRIORIZADOS!$A:$J,10,FALSE)="","",VLOOKUP(A62,[1]PRIORIZADOS!$A:$J,10,FALSE)),"")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2" s="11" t="str">
        <f>IFERROR(IF(VLOOKUP(A62,[1]PRIORIZADOS!$A:$K,11,FALSE)="","",VLOOKUP(A62,[1]PRIORIZADOS!$A:$K,11,FALSE)),"")</f>
        <v>JOHN JAIRO BOBADILLA BERMEO</v>
      </c>
      <c r="L62" s="11" t="str">
        <f>IFERROR(IF(VLOOKUP(A62,[1]PRIORIZADOS!$A:$L,12,FALSE)="","",VLOOKUP(A62,[1]PRIORIZADOS!$A:$L,12,FALSE)),"")</f>
        <v>ORLANDO SUÁREZ SOTO
JOSÉ RODRIGO QUILAGUY BERNAL
JOHN JAIRO BOBADILLA BERMEO</v>
      </c>
      <c r="M62" s="88">
        <f>IFERROR(IF(VLOOKUP(A62,[1]PRIORIZADOS!$A:$M,13,FALSE)="","",VLOOKUP(A62,[1]PRIORIZADOS!$A:$M,13,FALSE)),"")</f>
        <v>45811</v>
      </c>
      <c r="N62" s="88">
        <f>IFERROR(IF(VLOOKUP(A62,[1]PRIORIZADOS!$A:$N,14,FALSE)="","",VLOOKUP(A62,[1]PRIORIZADOS!$A:$N,14,FALSE)),"")</f>
        <v>45791</v>
      </c>
      <c r="O62" s="88">
        <f>IFERROR(IF(VLOOKUP(A62,[1]PRIORIZADOS!$A:$O,15,FALSE)="","",VLOOKUP(A62,[1]PRIORIZADOS!$A:$O,15,FALSE)),"")</f>
        <v>45791</v>
      </c>
      <c r="P62" s="16" t="str">
        <f>IFERROR(IF(VLOOKUP(A62,[1]PRIORIZADOS!$A:$P,16,FALSE)="","",VLOOKUP(A62,[1]PRIORIZADOS!$A:$P,16,FALSE)),"")</f>
        <v>Visitas de evaluación con fines de seguimiento</v>
      </c>
      <c r="Q62" s="89" t="s">
        <v>32</v>
      </c>
      <c r="R62" s="90" t="str">
        <f>IFERROR(IF(VLOOKUP(A62,[1]PRIORIZADOS!$A:$R,18,FALSE)="","",VLOOKUP(A62,[1]PRIORIZADOS!$A:$R,18,FALSE)),"")</f>
        <v>Se evidencia que la IE tiene caracterizados los estudiantes con trastornos de aprendizaje y talentos excepcionales y ha implementado estrategias para su atención. Sin embargo, no se evidencia la implementación del decreto 1421 de 2017 con el Proyecto de inclusión en el PEI.</v>
      </c>
      <c r="S62" s="11" t="str">
        <f>IFERROR(IF(VLOOKUP(A62,[1]PRIORIZADOS!$A:$S,19,FALSE)="","",VLOOKUP(A62,[1]PRIORIZADOS!$A:$S,19,FALSE)),"")</f>
        <v>Se establecerán metas medibles en términos de cobertura y calidad.</v>
      </c>
      <c r="T62" s="70" t="str">
        <f>IFERROR(IF(VLOOKUP(A62,[1]PRIORIZADOS!$A:$T,20,FALSE)="","",VLOOKUP(A62,[1]PRIORIZADOS!$A:$T,20,FALSE)),"")</f>
        <v>Si</v>
      </c>
      <c r="U62" s="11" t="str">
        <f>IFERROR(IF(VLOOKUP(A62,[1]PRIORIZADOS!$A:$U,21,FALSE)="","",VLOOKUP(A62,[1]PRIORIZADOS!$A:$U,21,FALSE)),"")</f>
        <v>Se realizará seguimiento documental a los PIAR construidos o actualizados. Se verificará la existencia de actas de concertación con familias y docentes. Se revisará la implementación de adaptaciones curriculares en el aula.
Se realiza seguimiento del PMI, evidenciándose avance, conforme a lo orientado. (17/09/2025) Ver Carpeta POAIV - TRIM III</v>
      </c>
    </row>
    <row r="63" spans="1:21" s="1" customFormat="1" ht="107.25">
      <c r="A63" s="69">
        <f>IF([1]PRIORIZADOS!A64="","",[1]PRIORIZADOS!A64)</f>
        <v>59</v>
      </c>
      <c r="B63" s="87">
        <v>7</v>
      </c>
      <c r="C63" s="11" t="str">
        <f>IFERROR(IF(VLOOKUP(A63,[1]PRIORIZADOS!$A:$C,3,FALSE)="","",VLOOKUP(A63,[1]PRIORIZADOS!$A:$C,3,FALSE)),"")</f>
        <v>ANTONIO NARIÑO</v>
      </c>
      <c r="D63" s="69" t="str">
        <f>IFERROR(IF(VLOOKUP(A63,[1]PRIORIZADOS!$A:$D,4,FALSE)="","",VLOOKUP(A63,[1]PRIORIZADOS!$A:$D,4,FALSE)),"")</f>
        <v>PRIVADO</v>
      </c>
      <c r="E63" s="69" t="str">
        <f>IFERROR(IF(VLOOKUP(A63,[1]PRIORIZADOS!$A:$E,5,FALSE)="","",VLOOKUP(A63,[1]PRIORIZADOS!$A:$E,5,FALSE)),"")</f>
        <v>EPBM</v>
      </c>
      <c r="F63" s="11" t="str">
        <f>IFERROR(IF(VLOOKUP(A63,[1]PRIORIZADOS!$A:$F,6,FALSE)="","",VLOOKUP(A63,[1]PRIORIZADOS!$A:$F,6,FALSE)),"")</f>
        <v>COLEGIO_EDUARDO_FREI</v>
      </c>
      <c r="G63" s="69" t="str">
        <f>IFERROR(IF(VLOOKUP(A63,[1]PRIORIZADOS!$A:$G,7,FALSE)="","",VLOOKUP(A63,[1]PRIORIZADOS!$A:$G,7,FALSE)),"")</f>
        <v>COLEGIO EDUARDO FREI</v>
      </c>
      <c r="H63" s="11" t="str">
        <f>IFERROR(IF(VLOOKUP(A63,[1]PRIORIZADOS!$A:$H,8,FALSE)="","",VLOOKUP(A63,[1]PRIORIZADOS!$A:$H,8,FALSE)),"")</f>
        <v>Autoevaluación Institucional y Pruebas SABER 11</v>
      </c>
      <c r="I63" s="11" t="str">
        <f>IFERROR(IF(VLOOKUP(A63,[1]PRIORIZADOS!$A:$I,9,FALSE)="","",VLOOKUP(A63,[1]PRIORIZADOS!$A:$I,9,FALSE)),"")</f>
        <v>EVALUACIÓN_CON_FINES_DE_MEJORAMIENTO.</v>
      </c>
      <c r="J63" s="11" t="str">
        <f>IFERROR(IF(VLOOKUP(A63,[1]PRIORIZADOS!$A:$J,10,FALSE)="","",VLOOKUP(A63,[1]PRIORIZADOS!$A:$J,10,FALSE)),"")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3" s="11" t="str">
        <f>IFERROR(IF(VLOOKUP(A63,[1]PRIORIZADOS!$A:$K,11,FALSE)="","",VLOOKUP(A63,[1]PRIORIZADOS!$A:$K,11,FALSE)),"")</f>
        <v>JOHN JAIRO BOBADILLA BERMEO</v>
      </c>
      <c r="L63" s="11" t="str">
        <f>IFERROR(IF(VLOOKUP(A63,[1]PRIORIZADOS!$A:$L,12,FALSE)="","",VLOOKUP(A63,[1]PRIORIZADOS!$A:$L,12,FALSE)),"")</f>
        <v>ORLANDO SUÁREZ SOTO
JOSÉ RODRIGO QUILAGUY BERNAL
JOHN JAIRO BOBADILLA BERMEO</v>
      </c>
      <c r="M63" s="88">
        <f>IFERROR(IF(VLOOKUP(A63,[1]PRIORIZADOS!$A:$M,13,FALSE)="","",VLOOKUP(A63,[1]PRIORIZADOS!$A:$M,13,FALSE)),"")</f>
        <v>45811</v>
      </c>
      <c r="N63" s="88">
        <f>IFERROR(IF(VLOOKUP(A63,[1]PRIORIZADOS!$A:$N,14,FALSE)="","",VLOOKUP(A63,[1]PRIORIZADOS!$A:$N,14,FALSE)),"")</f>
        <v>45791</v>
      </c>
      <c r="O63" s="88">
        <f>IFERROR(IF(VLOOKUP(A63,[1]PRIORIZADOS!$A:$O,15,FALSE)="","",VLOOKUP(A63,[1]PRIORIZADOS!$A:$O,15,FALSE)),"")</f>
        <v>45791</v>
      </c>
      <c r="P63" s="16" t="str">
        <f>IFERROR(IF(VLOOKUP(A63,[1]PRIORIZADOS!$A:$P,16,FALSE)="","",VLOOKUP(A63,[1]PRIORIZADOS!$A:$P,16,FALSE)),"")</f>
        <v>Visitas de evaluación con fines de mejoramiento</v>
      </c>
      <c r="Q63" s="89" t="s">
        <v>32</v>
      </c>
      <c r="R63" s="90" t="str">
        <f>IFERROR(IF(VLOOKUP(A63,[1]PRIORIZADOS!$A:$R,18,FALSE)="","",VLOOKUP(A63,[1]PRIORIZADOS!$A:$R,18,FALSE)),"")</f>
        <v>Se evidenció que el Manual de Convivencia está incluido en el PEI y presenta una fecha reciente de actualización (febrero de 2025). Sin embargo, se identificaron observaciones sobre la separación y claridad de la misión y visión institucional.</v>
      </c>
      <c r="S63" s="11" t="str">
        <f>IFERROR(IF(VLOOKUP(A63,[1]PRIORIZADOS!$A:$S,19,FALSE)="","",VLOOKUP(A63,[1]PRIORIZADOS!$A:$S,19,FALSE)),"")</f>
        <v>Se adquirió el compromiso de ajustar la redacción y estructura de la misión y visión en el PEI. Se implementarán estrategias para mejorar la difusión y socialización del Manual de Convivencia con toda la comunidad educativa. Se fortalecerá el conocimiento normativo del personal directivo para garantizar el cumplimiento de las leyes aplicables.</v>
      </c>
      <c r="T63" s="70" t="str">
        <f>IFERROR(IF(VLOOKUP(A63,[1]PRIORIZADOS!$A:$T,20,FALSE)="","",VLOOKUP(A63,[1]PRIORIZADOS!$A:$T,20,FALSE)),"")</f>
        <v>Si</v>
      </c>
      <c r="U63" s="11" t="str">
        <f>IFERROR(IF(VLOOKUP(A63,[1]PRIORIZADOS!$A:$U,21,FALSE)="","",VLOOKUP(A63,[1]PRIORIZADOS!$A:$U,21,FALSE)),"")</f>
        <v>Se solicitará evidencia documental de la socialización con estudiantes, docentes y padres. También se revisará la articulación del Manual con las rutas de atención integral y protocolos de convivencia escolar.
Se realiza seguimiento del PMI, evidenciándose avance, conforme a lo orientado. (17/09/2025) Ver Carpeta POAIV - TRIM III</v>
      </c>
    </row>
    <row r="64" spans="1:21" s="1" customFormat="1" ht="96">
      <c r="A64" s="69">
        <f>IF([1]PRIORIZADOS!A65="","",[1]PRIORIZADOS!A65)</f>
        <v>60</v>
      </c>
      <c r="B64" s="87">
        <v>7</v>
      </c>
      <c r="C64" s="11" t="str">
        <f>IFERROR(IF(VLOOKUP(A64,[1]PRIORIZADOS!$A:$C,3,FALSE)="","",VLOOKUP(A64,[1]PRIORIZADOS!$A:$C,3,FALSE)),"")</f>
        <v>ANTONIO NARIÑO</v>
      </c>
      <c r="D64" s="69" t="str">
        <f>IFERROR(IF(VLOOKUP(A64,[1]PRIORIZADOS!$A:$D,4,FALSE)="","",VLOOKUP(A64,[1]PRIORIZADOS!$A:$D,4,FALSE)),"")</f>
        <v>PRIVADO</v>
      </c>
      <c r="E64" s="69" t="str">
        <f>IFERROR(IF(VLOOKUP(A64,[1]PRIORIZADOS!$A:$E,5,FALSE)="","",VLOOKUP(A64,[1]PRIORIZADOS!$A:$E,5,FALSE)),"")</f>
        <v>EPBM</v>
      </c>
      <c r="F64" s="11" t="str">
        <f>IFERROR(IF(VLOOKUP(A64,[1]PRIORIZADOS!$A:$F,6,FALSE)="","",VLOOKUP(A64,[1]PRIORIZADOS!$A:$F,6,FALSE)),"")</f>
        <v>COLEGIO_EDUARDO_FREI</v>
      </c>
      <c r="G64" s="69" t="str">
        <f>IFERROR(IF(VLOOKUP(A64,[1]PRIORIZADOS!$A:$G,7,FALSE)="","",VLOOKUP(A64,[1]PRIORIZADOS!$A:$G,7,FALSE)),"")</f>
        <v>COLEGIO EDUARDO FREI</v>
      </c>
      <c r="H64" s="11" t="str">
        <f>IFERROR(IF(VLOOKUP(A64,[1]PRIORIZADOS!$A:$H,8,FALSE)="","",VLOOKUP(A64,[1]PRIORIZADOS!$A:$H,8,FALSE)),"")</f>
        <v>Autoevaluación Institucional y Pruebas SABER 11</v>
      </c>
      <c r="I64" s="11" t="str">
        <f>IFERROR(IF(VLOOKUP(A64,[1]PRIORIZADOS!$A:$I,9,FALSE)="","",VLOOKUP(A64,[1]PRIORIZADOS!$A:$I,9,FALSE)),"")</f>
        <v>EVALUACIÓN_CON_FINES_DE_MEJORAMIENTO.</v>
      </c>
      <c r="J64" s="11" t="str">
        <f>IFERROR(IF(VLOOKUP(A64,[1]PRIORIZADOS!$A:$J,10,FALSE)="","",VLOOKUP(A64,[1]PRIORIZADOS!$A:$J,10,FALSE)),"")</f>
        <v>Revisar la actualización, socialización e implementación del Sistema Institucional de Evaluación de Estudiantes - SIEE, en articulación con la actualización del PEI y la normatividad vigente.</v>
      </c>
      <c r="K64" s="11" t="str">
        <f>IFERROR(IF(VLOOKUP(A64,[1]PRIORIZADOS!$A:$K,11,FALSE)="","",VLOOKUP(A64,[1]PRIORIZADOS!$A:$K,11,FALSE)),"")</f>
        <v>JOHN JAIRO BOBADILLA BERMEO</v>
      </c>
      <c r="L64" s="11" t="str">
        <f>IFERROR(IF(VLOOKUP(A64,[1]PRIORIZADOS!$A:$L,12,FALSE)="","",VLOOKUP(A64,[1]PRIORIZADOS!$A:$L,12,FALSE)),"")</f>
        <v>ORLANDO SUÁREZ SOTO
JOSÉ RODRIGO QUILAGUY BERNAL
JOHN JAIRO BOBADILLA BERMEO</v>
      </c>
      <c r="M64" s="88">
        <f>IFERROR(IF(VLOOKUP(A64,[1]PRIORIZADOS!$A:$M,13,FALSE)="","",VLOOKUP(A64,[1]PRIORIZADOS!$A:$M,13,FALSE)),"")</f>
        <v>45811</v>
      </c>
      <c r="N64" s="88">
        <f>IFERROR(IF(VLOOKUP(A64,[1]PRIORIZADOS!$A:$N,14,FALSE)="","",VLOOKUP(A64,[1]PRIORIZADOS!$A:$N,14,FALSE)),"")</f>
        <v>45791</v>
      </c>
      <c r="O64" s="88">
        <f>IFERROR(IF(VLOOKUP(A64,[1]PRIORIZADOS!$A:$O,15,FALSE)="","",VLOOKUP(A64,[1]PRIORIZADOS!$A:$O,15,FALSE)),"")</f>
        <v>45791</v>
      </c>
      <c r="P64" s="16" t="str">
        <f>IFERROR(IF(VLOOKUP(A64,[1]PRIORIZADOS!$A:$P,16,FALSE)="","",VLOOKUP(A64,[1]PRIORIZADOS!$A:$P,16,FALSE)),"")</f>
        <v>Visitas de evaluación con fines de mejoramiento</v>
      </c>
      <c r="Q64" s="89" t="s">
        <v>32</v>
      </c>
      <c r="R64" s="90" t="str">
        <f>IFERROR(IF(VLOOKUP(A64,[1]PRIORIZADOS!$A:$R,18,FALSE)="","",VLOOKUP(A64,[1]PRIORIZADOS!$A:$R,18,FALSE)),"")</f>
        <v>Se evidenció que el SIEE está formulado y cuenta con registros de actividades, pero carece de estrategias claras de nivelación y apoyo para mitigar casos especiales.</v>
      </c>
      <c r="S64" s="11" t="str">
        <f>IFERROR(IF(VLOOKUP(A64,[1]PRIORIZADOS!$A:$S,19,FALSE)="","",VLOOKUP(A64,[1]PRIORIZADOS!$A:$S,19,FALSE)),"")</f>
        <v>El EE se comprometió a revisar y actualizar el SIEE para articularlo de forma coherente con el PEI. Se definirá un plan de socialización del SIEE con todos los actores escolares. Además, se establecerán estrategias pedagógicas específicas para nivelación y resolución de casos especiales.</v>
      </c>
      <c r="T64" s="70" t="str">
        <f>IFERROR(IF(VLOOKUP(A64,[1]PRIORIZADOS!$A:$T,20,FALSE)="","",VLOOKUP(A64,[1]PRIORIZADOS!$A:$T,20,FALSE)),"")</f>
        <v>Si</v>
      </c>
      <c r="U64" s="11" t="str">
        <f>IFERROR(IF(VLOOKUP(A64,[1]PRIORIZADOS!$A:$U,21,FALSE)="","",VLOOKUP(A64,[1]PRIORIZADOS!$A:$U,21,FALSE)),"")</f>
        <v>Se hará seguimiento mediante revisión documental del nuevo SIEE y su implementación. Se solicitarán actas de socialización con docentes, estudiantes y padres. Además, se evaluará la eficacia de las estrategias implementadas para mitigar dificultades académicas.
Se realiza seguimiento del PMI, evidenciándose avance, conforme a lo orientado. (17/09/2025) Ver Carpeta POAIV - TRIM III</v>
      </c>
    </row>
    <row r="65" spans="1:21" s="1" customFormat="1" ht="60">
      <c r="A65" s="69">
        <f>IF([1]PRIORIZADOS!A66="","",[1]PRIORIZADOS!A66)</f>
        <v>61</v>
      </c>
      <c r="B65" s="87">
        <v>7</v>
      </c>
      <c r="C65" s="11" t="str">
        <f>IFERROR(IF(VLOOKUP(A65,[1]PRIORIZADOS!$A:$C,3,FALSE)="","",VLOOKUP(A65,[1]PRIORIZADOS!$A:$C,3,FALSE)),"")</f>
        <v>ANTONIO NARIÑO</v>
      </c>
      <c r="D65" s="69" t="str">
        <f>IFERROR(IF(VLOOKUP(A65,[1]PRIORIZADOS!$A:$D,4,FALSE)="","",VLOOKUP(A65,[1]PRIORIZADOS!$A:$D,4,FALSE)),"")</f>
        <v>PRIVADO</v>
      </c>
      <c r="E65" s="69" t="str">
        <f>IFERROR(IF(VLOOKUP(A65,[1]PRIORIZADOS!$A:$E,5,FALSE)="","",VLOOKUP(A65,[1]PRIORIZADOS!$A:$E,5,FALSE)),"")</f>
        <v>EPBM</v>
      </c>
      <c r="F65" s="11" t="str">
        <f>IFERROR(IF(VLOOKUP(A65,[1]PRIORIZADOS!$A:$F,6,FALSE)="","",VLOOKUP(A65,[1]PRIORIZADOS!$A:$F,6,FALSE)),"")</f>
        <v>COLEGIO_EDUARDO_FREI</v>
      </c>
      <c r="G65" s="69" t="str">
        <f>IFERROR(IF(VLOOKUP(A65,[1]PRIORIZADOS!$A:$G,7,FALSE)="","",VLOOKUP(A65,[1]PRIORIZADOS!$A:$G,7,FALSE)),"")</f>
        <v>COLEGIO EDUARDO FREI</v>
      </c>
      <c r="H65" s="11" t="str">
        <f>IFERROR(IF(VLOOKUP(A65,[1]PRIORIZADOS!$A:$H,8,FALSE)="","",VLOOKUP(A65,[1]PRIORIZADOS!$A:$H,8,FALSE)),"")</f>
        <v>Autoevaluación Institucional y Pruebas SABER 11</v>
      </c>
      <c r="I65" s="11" t="str">
        <f>IFERROR(IF(VLOOKUP(A65,[1]PRIORIZADOS!$A:$I,9,FALSE)="","",VLOOKUP(A65,[1]PRIORIZADOS!$A:$I,9,FALSE)),"")</f>
        <v>EVALUACIÓN_CON_FINES_DE_MEJORAMIENTO.</v>
      </c>
      <c r="J65" s="11" t="str">
        <f>IFERROR(IF(VLOOKUP(A65,[1]PRIORIZADOS!$A:$J,10,FALSE)="","",VLOOKUP(A65,[1]PRIORIZADOS!$A:$J,10,FALSE)),"")</f>
        <v>Revisar el calendario escolar, jornada escolar, la intensidad horaria mínima anual en cada nivel y las modificaciones que se realicen al mismo, de acuerdo con lo previsto en la normatividad vigente.</v>
      </c>
      <c r="K65" s="11" t="str">
        <f>IFERROR(IF(VLOOKUP(A65,[1]PRIORIZADOS!$A:$K,11,FALSE)="","",VLOOKUP(A65,[1]PRIORIZADOS!$A:$K,11,FALSE)),"")</f>
        <v>JOHN JAIRO BOBADILLA BERMEO</v>
      </c>
      <c r="L65" s="11" t="str">
        <f>IFERROR(IF(VLOOKUP(A65,[1]PRIORIZADOS!$A:$L,12,FALSE)="","",VLOOKUP(A65,[1]PRIORIZADOS!$A:$L,12,FALSE)),"")</f>
        <v>ORLANDO SUÁREZ SOTO
JOSÉ RODRIGO QUILAGUY BERNAL
JOHN JAIRO BOBADILLA BERMEO</v>
      </c>
      <c r="M65" s="88">
        <f>IFERROR(IF(VLOOKUP(A65,[1]PRIORIZADOS!$A:$M,13,FALSE)="","",VLOOKUP(A65,[1]PRIORIZADOS!$A:$M,13,FALSE)),"")</f>
        <v>45811</v>
      </c>
      <c r="N65" s="88">
        <f>IFERROR(IF(VLOOKUP(A65,[1]PRIORIZADOS!$A:$N,14,FALSE)="","",VLOOKUP(A65,[1]PRIORIZADOS!$A:$N,14,FALSE)),"")</f>
        <v>45791</v>
      </c>
      <c r="O65" s="88">
        <f>IFERROR(IF(VLOOKUP(A65,[1]PRIORIZADOS!$A:$O,15,FALSE)="","",VLOOKUP(A65,[1]PRIORIZADOS!$A:$O,15,FALSE)),"")</f>
        <v>45791</v>
      </c>
      <c r="P65" s="16" t="str">
        <f>IFERROR(IF(VLOOKUP(A65,[1]PRIORIZADOS!$A:$P,16,FALSE)="","",VLOOKUP(A65,[1]PRIORIZADOS!$A:$P,16,FALSE)),"")</f>
        <v>Visitas de evaluación con fines de mejoramiento</v>
      </c>
      <c r="Q65" s="89" t="s">
        <v>32</v>
      </c>
      <c r="R65" s="90" t="str">
        <f>IFERROR(IF(VLOOKUP(A65,[1]PRIORIZADOS!$A:$R,18,FALSE)="","",VLOOKUP(A65,[1]PRIORIZADOS!$A:$R,18,FALSE)),"")</f>
        <v>Se verificó que la institución educativa cumple con la intensidad horaria mínima anual establecida para cada nivel educativo.</v>
      </c>
      <c r="S65" s="11" t="str">
        <f>IFERROR(IF(VLOOKUP(A65,[1]PRIORIZADOS!$A:$S,19,FALSE)="","",VLOOKUP(A65,[1]PRIORIZADOS!$A:$S,19,FALSE)),"")</f>
        <v xml:space="preserve">Realizar la remsión anual del Calendario Académico para revisión,  y socializarlo con la comunidad educativa. </v>
      </c>
      <c r="T65" s="70" t="str">
        <f>IFERROR(IF(VLOOKUP(A65,[1]PRIORIZADOS!$A:$T,20,FALSE)="","",VLOOKUP(A65,[1]PRIORIZADOS!$A:$T,20,FALSE)),"")</f>
        <v>No</v>
      </c>
      <c r="U65" s="11" t="str">
        <f>IFERROR(IF(VLOOKUP(A65,[1]PRIORIZADOS!$A:$U,21,FALSE)="","",VLOOKUP(A65,[1]PRIORIZADOS!$A:$U,21,FALSE)),"")</f>
        <v>Se revisará para la siguente vigencia el calendario escolar presentado.</v>
      </c>
    </row>
    <row r="66" spans="1:21" s="1" customFormat="1" ht="72">
      <c r="A66" s="69">
        <f>IF([1]PRIORIZADOS!A67="","",[1]PRIORIZADOS!A67)</f>
        <v>62</v>
      </c>
      <c r="B66" s="87">
        <v>7</v>
      </c>
      <c r="C66" s="11" t="str">
        <f>IFERROR(IF(VLOOKUP(A66,[1]PRIORIZADOS!$A:$C,3,FALSE)="","",VLOOKUP(A66,[1]PRIORIZADOS!$A:$C,3,FALSE)),"")</f>
        <v>ANTONIO NARIÑO</v>
      </c>
      <c r="D66" s="69" t="str">
        <f>IFERROR(IF(VLOOKUP(A66,[1]PRIORIZADOS!$A:$D,4,FALSE)="","",VLOOKUP(A66,[1]PRIORIZADOS!$A:$D,4,FALSE)),"")</f>
        <v>PRIVADO</v>
      </c>
      <c r="E66" s="69" t="str">
        <f>IFERROR(IF(VLOOKUP(A66,[1]PRIORIZADOS!$A:$E,5,FALSE)="","",VLOOKUP(A66,[1]PRIORIZADOS!$A:$E,5,FALSE)),"")</f>
        <v>EPBM</v>
      </c>
      <c r="F66" s="11" t="str">
        <f>IFERROR(IF(VLOOKUP(A66,[1]PRIORIZADOS!$A:$F,6,FALSE)="","",VLOOKUP(A66,[1]PRIORIZADOS!$A:$F,6,FALSE)),"")</f>
        <v>COLEGIO_EDUARDO_FREI</v>
      </c>
      <c r="G66" s="69" t="str">
        <f>IFERROR(IF(VLOOKUP(A66,[1]PRIORIZADOS!$A:$G,7,FALSE)="","",VLOOKUP(A66,[1]PRIORIZADOS!$A:$G,7,FALSE)),"")</f>
        <v>COLEGIO EDUARDO FREI</v>
      </c>
      <c r="H66" s="11" t="str">
        <f>IFERROR(IF(VLOOKUP(A66,[1]PRIORIZADOS!$A:$H,8,FALSE)="","",VLOOKUP(A66,[1]PRIORIZADOS!$A:$H,8,FALSE)),"")</f>
        <v>Autoevaluación Institucional y Pruebas SABER 11</v>
      </c>
      <c r="I66" s="11" t="str">
        <f>IFERROR(IF(VLOOKUP(A66,[1]PRIORIZADOS!$A:$I,9,FALSE)="","",VLOOKUP(A66,[1]PRIORIZADOS!$A:$I,9,FALSE)),"")</f>
        <v>EVALUACIÓN_CON_FINES_DE_MEJORAMIENTO.</v>
      </c>
      <c r="J66" s="11" t="str">
        <f>IFERROR(IF(VLOOKUP(A66,[1]PRIORIZADOS!$A:$J,10,FALSE)="","",VLOOKUP(A66,[1]PRIORIZADOS!$A:$J,10,FALSE)),"")</f>
        <v>Verificar el funcionamiento del Gobierno Escolar e instancias de participación con base en la información sobre conformación reportada por la institución educativa.</v>
      </c>
      <c r="K66" s="11" t="str">
        <f>IFERROR(IF(VLOOKUP(A66,[1]PRIORIZADOS!$A:$K,11,FALSE)="","",VLOOKUP(A66,[1]PRIORIZADOS!$A:$K,11,FALSE)),"")</f>
        <v>JOHN JAIRO BOBADILLA BERMEO</v>
      </c>
      <c r="L66" s="11" t="str">
        <f>IFERROR(IF(VLOOKUP(A66,[1]PRIORIZADOS!$A:$L,12,FALSE)="","",VLOOKUP(A66,[1]PRIORIZADOS!$A:$L,12,FALSE)),"")</f>
        <v>ORLANDO SUÁREZ SOTO
JOSÉ RODRIGO QUILAGUY BERNAL
JOHN JAIRO BOBADILLA BERMEO</v>
      </c>
      <c r="M66" s="88">
        <f>IFERROR(IF(VLOOKUP(A66,[1]PRIORIZADOS!$A:$M,13,FALSE)="","",VLOOKUP(A66,[1]PRIORIZADOS!$A:$M,13,FALSE)),"")</f>
        <v>45811</v>
      </c>
      <c r="N66" s="88">
        <f>IFERROR(IF(VLOOKUP(A66,[1]PRIORIZADOS!$A:$N,14,FALSE)="","",VLOOKUP(A66,[1]PRIORIZADOS!$A:$N,14,FALSE)),"")</f>
        <v>45791</v>
      </c>
      <c r="O66" s="88">
        <f>IFERROR(IF(VLOOKUP(A66,[1]PRIORIZADOS!$A:$O,15,FALSE)="","",VLOOKUP(A66,[1]PRIORIZADOS!$A:$O,15,FALSE)),"")</f>
        <v>45791</v>
      </c>
      <c r="P66" s="16" t="str">
        <f>IFERROR(IF(VLOOKUP(A66,[1]PRIORIZADOS!$A:$P,16,FALSE)="","",VLOOKUP(A66,[1]PRIORIZADOS!$A:$P,16,FALSE)),"")</f>
        <v>Visitas de evaluación con fines de mejoramiento</v>
      </c>
      <c r="Q66" s="89" t="s">
        <v>32</v>
      </c>
      <c r="R66" s="90" t="str">
        <f>IFERROR(IF(VLOOKUP(A66,[1]PRIORIZADOS!$A:$R,18,FALSE)="","",VLOOKUP(A66,[1]PRIORIZADOS!$A:$R,18,FALSE)),"")</f>
        <v>Se evidenció la conformación formal del Consejo Académico  con participación activa. También se confirmó la existencia de estamentos de participación como el Consejo Directivo y demás órganos del Gobierno Escolar.</v>
      </c>
      <c r="S66" s="11" t="str">
        <f>IFERROR(IF(VLOOKUP(A66,[1]PRIORIZADOS!$A:$S,19,FALSE)="","",VLOOKUP(A66,[1]PRIORIZADOS!$A:$S,19,FALSE)),"")</f>
        <v>El EE se compromete en continuar mejorando la documentación de los procesos del Gobierno Escolar, y la socialización de sus funciones.</v>
      </c>
      <c r="T66" s="70" t="str">
        <f>IFERROR(IF(VLOOKUP(A66,[1]PRIORIZADOS!$A:$T,20,FALSE)="","",VLOOKUP(A66,[1]PRIORIZADOS!$A:$T,20,FALSE)),"")</f>
        <v>No</v>
      </c>
      <c r="U66" s="11" t="str">
        <f>IFERROR(IF(VLOOKUP(A66,[1]PRIORIZADOS!$A:$U,21,FALSE)="","",VLOOKUP(A66,[1]PRIORIZADOS!$A:$U,21,FALSE)),"")</f>
        <v>Se realiza la verificación de la conformacion del gobierno escolar para la siguiente vigencia</v>
      </c>
    </row>
    <row r="67" spans="1:21" s="1" customFormat="1" ht="118.5">
      <c r="A67" s="69">
        <f>IF([1]PRIORIZADOS!A68="","",[1]PRIORIZADOS!A68)</f>
        <v>63</v>
      </c>
      <c r="B67" s="87">
        <v>7</v>
      </c>
      <c r="C67" s="11" t="str">
        <f>IFERROR(IF(VLOOKUP(A67,[1]PRIORIZADOS!$A:$C,3,FALSE)="","",VLOOKUP(A67,[1]PRIORIZADOS!$A:$C,3,FALSE)),"")</f>
        <v>ANTONIO NARIÑO</v>
      </c>
      <c r="D67" s="69" t="str">
        <f>IFERROR(IF(VLOOKUP(A67,[1]PRIORIZADOS!$A:$D,4,FALSE)="","",VLOOKUP(A67,[1]PRIORIZADOS!$A:$D,4,FALSE)),"")</f>
        <v>PRIVADO</v>
      </c>
      <c r="E67" s="69" t="str">
        <f>IFERROR(IF(VLOOKUP(A67,[1]PRIORIZADOS!$A:$E,5,FALSE)="","",VLOOKUP(A67,[1]PRIORIZADOS!$A:$E,5,FALSE)),"")</f>
        <v>EPBM</v>
      </c>
      <c r="F67" s="11" t="str">
        <f>IFERROR(IF(VLOOKUP(A67,[1]PRIORIZADOS!$A:$F,6,FALSE)="","",VLOOKUP(A67,[1]PRIORIZADOS!$A:$F,6,FALSE)),"")</f>
        <v>COLEGIO_EDUARDO_FREI</v>
      </c>
      <c r="G67" s="69" t="str">
        <f>IFERROR(IF(VLOOKUP(A67,[1]PRIORIZADOS!$A:$G,7,FALSE)="","",VLOOKUP(A67,[1]PRIORIZADOS!$A:$G,7,FALSE)),"")</f>
        <v>COLEGIO EDUARDO FREI</v>
      </c>
      <c r="H67" s="11" t="str">
        <f>IFERROR(IF(VLOOKUP(A67,[1]PRIORIZADOS!$A:$H,8,FALSE)="","",VLOOKUP(A67,[1]PRIORIZADOS!$A:$H,8,FALSE)),"")</f>
        <v>Autoevaluación Institucional y Pruebas SABER 11</v>
      </c>
      <c r="I67" s="11" t="str">
        <f>IFERROR(IF(VLOOKUP(A67,[1]PRIORIZADOS!$A:$I,9,FALSE)="","",VLOOKUP(A67,[1]PRIORIZADOS!$A:$I,9,FALSE)),"")</f>
        <v>EVALUACIÓN_CON_FINES_DE_MEJORAMIENTO.</v>
      </c>
      <c r="J67" s="11" t="str">
        <f>IFERROR(IF(VLOOKUP(A67,[1]PRIORIZADOS!$A:$J,10,FALSE)="","",VLOOKUP(A67,[1]PRIORIZADOS!$A:$J,10,FALSE)),"")</f>
        <v>Verificar las condiciones en cuanto a: la estructura administrativa, condiciones de la planta física y medios educativos adecuados.</v>
      </c>
      <c r="K67" s="11" t="str">
        <f>IFERROR(IF(VLOOKUP(A67,[1]PRIORIZADOS!$A:$K,11,FALSE)="","",VLOOKUP(A67,[1]PRIORIZADOS!$A:$K,11,FALSE)),"")</f>
        <v>JOHN JAIRO BOBADILLA BERMEO</v>
      </c>
      <c r="L67" s="11" t="str">
        <f>IFERROR(IF(VLOOKUP(A67,[1]PRIORIZADOS!$A:$L,12,FALSE)="","",VLOOKUP(A67,[1]PRIORIZADOS!$A:$L,12,FALSE)),"")</f>
        <v>ORLANDO SUÁREZ SOTO
JOSÉ RODRIGO QUILAGUY BERNAL
JOHN JAIRO BOBADILLA BERMEO</v>
      </c>
      <c r="M67" s="88">
        <f>IFERROR(IF(VLOOKUP(A67,[1]PRIORIZADOS!$A:$M,13,FALSE)="","",VLOOKUP(A67,[1]PRIORIZADOS!$A:$M,13,FALSE)),"")</f>
        <v>45811</v>
      </c>
      <c r="N67" s="88">
        <f>IFERROR(IF(VLOOKUP(A67,[1]PRIORIZADOS!$A:$N,14,FALSE)="","",VLOOKUP(A67,[1]PRIORIZADOS!$A:$N,14,FALSE)),"")</f>
        <v>45791</v>
      </c>
      <c r="O67" s="88">
        <f>IFERROR(IF(VLOOKUP(A67,[1]PRIORIZADOS!$A:$O,15,FALSE)="","",VLOOKUP(A67,[1]PRIORIZADOS!$A:$O,15,FALSE)),"")</f>
        <v>45791</v>
      </c>
      <c r="P67" s="16" t="str">
        <f>IFERROR(IF(VLOOKUP(A67,[1]PRIORIZADOS!$A:$P,16,FALSE)="","",VLOOKUP(A67,[1]PRIORIZADOS!$A:$P,16,FALSE)),"")</f>
        <v>Visitas de evaluación con fines de mejoramiento</v>
      </c>
      <c r="Q67" s="89" t="s">
        <v>32</v>
      </c>
      <c r="R67" s="90" t="str">
        <f>IFERROR(IF(VLOOKUP(A67,[1]PRIORIZADOS!$A:$R,18,FALSE)="","",VLOOKUP(A67,[1]PRIORIZADOS!$A:$R,18,FALSE)),"")</f>
        <v>Se constató que los ambientes de aprendizaje y medios educativos son suficientes y están bien dotados. La infraestructura contempla adecuaciones para población con discapacidad y el mobiliario presenta mantenimiento adecuado. Los espacios administrativos también son suficientes, bien organizados y funcionales para las labores institucionales.</v>
      </c>
      <c r="S67" s="11" t="str">
        <f>IFERROR(IF(VLOOKUP(A67,[1]PRIORIZADOS!$A:$S,19,FALSE)="","",VLOOKUP(A67,[1]PRIORIZADOS!$A:$S,19,FALSE)),"")</f>
        <v>Mantener programas permanentes de mantenimiento preventivo, y la dotación con recursos tecnológicos y pedagógicos actualizados.</v>
      </c>
      <c r="T67" s="70" t="str">
        <f>IFERROR(IF(VLOOKUP(A67,[1]PRIORIZADOS!$A:$T,20,FALSE)="","",VLOOKUP(A67,[1]PRIORIZADOS!$A:$T,20,FALSE)),"")</f>
        <v>No</v>
      </c>
      <c r="U67" s="11" t="str">
        <f>IFERROR(IF(VLOOKUP(A67,[1]PRIORIZADOS!$A:$U,21,FALSE)="","",VLOOKUP(A67,[1]PRIORIZADOS!$A:$U,21,FALSE)),"")</f>
        <v>Se verificará mediante visita en caso de presentarse queja</v>
      </c>
    </row>
    <row r="68" spans="1:21" s="1" customFormat="1" ht="36">
      <c r="A68" s="69">
        <f>IF([1]PRIORIZADOS!A69="","",[1]PRIORIZADOS!A69)</f>
        <v>64</v>
      </c>
      <c r="B68" s="87">
        <f>IFERROR(IF(VLOOKUP(A68,[1]PRIORIZADOS!$A:$B,2,FALSE)="","",VLOOKUP(A68,[1]PRIORIZADOS!$A:$B,2,FALSE)),"")</f>
        <v>8</v>
      </c>
      <c r="C68" s="11" t="str">
        <f>IFERROR(IF(VLOOKUP(A68,[1]PRIORIZADOS!$A:$C,3,FALSE)="","",VLOOKUP(A68,[1]PRIORIZADOS!$A:$C,3,FALSE)),"")</f>
        <v>ANTONIO NARIÑO</v>
      </c>
      <c r="D68" s="69" t="str">
        <f>IFERROR(IF(VLOOKUP(A68,[1]PRIORIZADOS!$A:$D,4,FALSE)="","",VLOOKUP(A68,[1]PRIORIZADOS!$A:$D,4,FALSE)),"")</f>
        <v>PRIVADO</v>
      </c>
      <c r="E68" s="69" t="str">
        <f>IFERROR(IF(VLOOKUP(A68,[1]PRIORIZADOS!$A:$E,5,FALSE)="","",VLOOKUP(A68,[1]PRIORIZADOS!$A:$E,5,FALSE)),"")</f>
        <v>EPBM</v>
      </c>
      <c r="F68" s="11" t="str">
        <f>IFERROR(IF(VLOOKUP(A68,[1]PRIORIZADOS!$A:$F,6,FALSE)="","",VLOOKUP(A68,[1]PRIORIZADOS!$A:$F,6,FALSE)),"")</f>
        <v>INSTITUTO_BOGOTA</v>
      </c>
      <c r="G68" s="69" t="str">
        <f>IFERROR(IF(VLOOKUP(A68,[1]PRIORIZADOS!$A:$G,7,FALSE)="","",VLOOKUP(A68,[1]PRIORIZADOS!$A:$G,7,FALSE)),"")</f>
        <v>INSTITUTO BOGOTA</v>
      </c>
      <c r="H68" s="11" t="str">
        <f>IFERROR(IF(VLOOKUP(A68,[1]PRIORIZADOS!$A:$H,8,FALSE)="","",VLOOKUP(A68,[1]PRIORIZADOS!$A:$H,8,FALSE)),"")</f>
        <v>Autoevaluación Institucional y Pruebas SABER 11</v>
      </c>
      <c r="I68" s="11" t="str">
        <f>IFERROR(IF(VLOOKUP(A68,[1]PRIORIZADOS!$A:$I,9,FALSE)="","",VLOOKUP(A68,[1]PRIORIZADOS!$A:$I,9,FALSE)),"")</f>
        <v>SEGUIMIENTO_Y_SUPERVISIÓN.</v>
      </c>
      <c r="J68" s="11" t="str">
        <f>IFERROR(IF(VLOOKUP(A68,[1]PRIORIZADOS!$A:$J,10,FALSE)="","",VLOOKUP(A68,[1]PRIORIZADOS!$A:$J,10,FALSE)),"")</f>
        <v>Realizar visitas para verificar la información registrada sobre la autoevaluación institucional en el aplicativo EVI, a los establecimientos de educación formal no oficial.</v>
      </c>
      <c r="K68" s="11" t="str">
        <f>IFERROR(IF(VLOOKUP(A68,[1]PRIORIZADOS!$A:$K,11,FALSE)="","",VLOOKUP(A68,[1]PRIORIZADOS!$A:$K,11,FALSE)),"")</f>
        <v>ORLANDO SUÁREZ SOTO</v>
      </c>
      <c r="L68" s="11" t="str">
        <f>IFERROR(IF(VLOOKUP(A68,[1]PRIORIZADOS!$A:$L,12,FALSE)="","",VLOOKUP(A68,[1]PRIORIZADOS!$A:$L,12,FALSE)),"")</f>
        <v>JOSÉ RODRIGO QUILAGUY BERNAL</v>
      </c>
      <c r="M68" s="88">
        <f>IFERROR(IF(VLOOKUP(A68,[1]PRIORIZADOS!$A:$M,13,FALSE)="","",VLOOKUP(A68,[1]PRIORIZADOS!$A:$M,13,FALSE)),"")</f>
        <v>45820</v>
      </c>
      <c r="N68" s="88">
        <f>IFERROR(IF(VLOOKUP(A68,[1]PRIORIZADOS!$A:$N,14,FALSE)="","",VLOOKUP(A68,[1]PRIORIZADOS!$A:$N,14,FALSE)),"")</f>
        <v>45792</v>
      </c>
      <c r="O68" s="88">
        <f>IFERROR(IF(VLOOKUP(A68,[1]PRIORIZADOS!$A:$O,15,FALSE)="","",VLOOKUP(A68,[1]PRIORIZADOS!$A:$O,15,FALSE)),"")</f>
        <v>45792</v>
      </c>
      <c r="P68" s="16" t="str">
        <f>IFERROR(IF(VLOOKUP(A68,[1]PRIORIZADOS!$A:$P,16,FALSE)="","",VLOOKUP(A68,[1]PRIORIZADOS!$A:$P,16,FALSE)),"")</f>
        <v>Visitas de evaluación con fines de seguimiento</v>
      </c>
      <c r="Q68" s="89" t="s">
        <v>33</v>
      </c>
      <c r="R68" s="90" t="str">
        <f>IFERROR(IF(VLOOKUP(A68,[1]PRIORIZADOS!$A:$R,18,FALSE)="","",VLOOKUP(A68,[1]PRIORIZADOS!$A:$R,18,FALSE)),"")</f>
        <v>Se evidencia la coherencia entre lo registrado en el EVI y la realidad institucional frente recursos y procesos.</v>
      </c>
      <c r="S68" s="11" t="str">
        <f>IFERROR(IF(VLOOKUP(A68,[1]PRIORIZADOS!$A:$S,19,FALSE)="","",VLOOKUP(A68,[1]PRIORIZADOS!$A:$S,19,FALSE)),"")</f>
        <v>Continuar con la autoevaluación anual en   en aplicativo  EVI con oportunidad y completitud</v>
      </c>
      <c r="T68" s="70" t="str">
        <f>IFERROR(IF(VLOOKUP(A68,[1]PRIORIZADOS!$A:$T,20,FALSE)="","",VLOOKUP(A68,[1]PRIORIZADOS!$A:$T,20,FALSE)),"")</f>
        <v>No</v>
      </c>
      <c r="U68" s="11" t="str">
        <f>IFERROR(IF(VLOOKUP(A68,[1]PRIORIZADOS!$A:$U,21,FALSE)="","",VLOOKUP(A68,[1]PRIORIZADOS!$A:$U,21,FALSE)),"")</f>
        <v>Emitir concepto para las tarifas 2026.</v>
      </c>
    </row>
    <row r="69" spans="1:21" s="1" customFormat="1" ht="60">
      <c r="A69" s="69">
        <f>IF([1]PRIORIZADOS!A70="","",[1]PRIORIZADOS!A70)</f>
        <v>66</v>
      </c>
      <c r="B69" s="87">
        <v>8</v>
      </c>
      <c r="C69" s="11" t="str">
        <f>IFERROR(IF(VLOOKUP(A69,[1]PRIORIZADOS!$A:$C,3,FALSE)="","",VLOOKUP(A69,[1]PRIORIZADOS!$A:$C,3,FALSE)),"")</f>
        <v>ANTONIO NARIÑO</v>
      </c>
      <c r="D69" s="69" t="str">
        <f>IFERROR(IF(VLOOKUP(A69,[1]PRIORIZADOS!$A:$D,4,FALSE)="","",VLOOKUP(A69,[1]PRIORIZADOS!$A:$D,4,FALSE)),"")</f>
        <v>PRIVADO</v>
      </c>
      <c r="E69" s="69" t="str">
        <f>IFERROR(IF(VLOOKUP(A69,[1]PRIORIZADOS!$A:$E,5,FALSE)="","",VLOOKUP(A69,[1]PRIORIZADOS!$A:$E,5,FALSE)),"")</f>
        <v>EPBM</v>
      </c>
      <c r="F69" s="11" t="str">
        <f>IFERROR(IF(VLOOKUP(A69,[1]PRIORIZADOS!$A:$F,6,FALSE)="","",VLOOKUP(A69,[1]PRIORIZADOS!$A:$F,6,FALSE)),"")</f>
        <v>INSTITUTO_BOGOTA</v>
      </c>
      <c r="G69" s="69" t="str">
        <f>IFERROR(IF(VLOOKUP(A69,[1]PRIORIZADOS!$A:$G,7,FALSE)="","",VLOOKUP(A69,[1]PRIORIZADOS!$A:$G,7,FALSE)),"")</f>
        <v>INSTITUTO BOGOTA</v>
      </c>
      <c r="H69" s="11" t="str">
        <f>IFERROR(IF(VLOOKUP(A69,[1]PRIORIZADOS!$A:$H,8,FALSE)="","",VLOOKUP(A69,[1]PRIORIZADOS!$A:$H,8,FALSE)),"")</f>
        <v>Autoevaluación Institucional y Pruebas SABER 11</v>
      </c>
      <c r="I69" s="11" t="str">
        <f>IFERROR(IF(VLOOKUP(A69,[1]PRIORIZADOS!$A:$I,9,FALSE)="","",VLOOKUP(A69,[1]PRIORIZADOS!$A:$I,9,FALSE)),"")</f>
        <v>SEGUIMIENTO_Y_SUPERVISIÓN.</v>
      </c>
      <c r="J69" s="11" t="str">
        <f>IFERROR(IF(VLOOKUP(A69,[1]PRIORIZADOS!$A:$J,10,FALSE)="","",VLOOKUP(A69,[1]PRIORIZADOS!$A:$J,10,FALSE)),"")</f>
        <v xml:space="preserve">Verificar la implementación por parte de los colegios, de acciones realizadas para la prevención y atención de las situaciones de convivencia en el entorno escolar, según lo establecido en la Directiva 01 de 2022 del MEN. </v>
      </c>
      <c r="K69" s="11" t="str">
        <f>IFERROR(IF(VLOOKUP(A69,[1]PRIORIZADOS!$A:$K,11,FALSE)="","",VLOOKUP(A69,[1]PRIORIZADOS!$A:$K,11,FALSE)),"")</f>
        <v>ORLANDO SUÁREZ SOTO</v>
      </c>
      <c r="L69" s="11" t="str">
        <f>IFERROR(IF(VLOOKUP(A69,[1]PRIORIZADOS!$A:$L,12,FALSE)="","",VLOOKUP(A69,[1]PRIORIZADOS!$A:$L,12,FALSE)),"")</f>
        <v>JOSÉ RODRIGO QUILAGUY BERNAL</v>
      </c>
      <c r="M69" s="88">
        <f>IFERROR(IF(VLOOKUP(A69,[1]PRIORIZADOS!$A:$M,13,FALSE)="","",VLOOKUP(A69,[1]PRIORIZADOS!$A:$M,13,FALSE)),"")</f>
        <v>45820</v>
      </c>
      <c r="N69" s="88">
        <f>IFERROR(IF(VLOOKUP(A69,[1]PRIORIZADOS!$A:$N,14,FALSE)="","",VLOOKUP(A69,[1]PRIORIZADOS!$A:$N,14,FALSE)),"")</f>
        <v>45792</v>
      </c>
      <c r="O69" s="88">
        <f>IFERROR(IF(VLOOKUP(A69,[1]PRIORIZADOS!$A:$O,15,FALSE)="","",VLOOKUP(A69,[1]PRIORIZADOS!$A:$O,15,FALSE)),"")</f>
        <v>45792</v>
      </c>
      <c r="P69" s="16" t="str">
        <f>IFERROR(IF(VLOOKUP(A69,[1]PRIORIZADOS!$A:$P,16,FALSE)="","",VLOOKUP(A69,[1]PRIORIZADOS!$A:$P,16,FALSE)),"")</f>
        <v>Visitas de evaluación con fines de seguimiento</v>
      </c>
      <c r="Q69" s="89" t="s">
        <v>33</v>
      </c>
      <c r="R69" s="90" t="str">
        <f>IFERROR(IF(VLOOKUP(A69,[1]PRIORIZADOS!$A:$R,18,FALSE)="","",VLOOKUP(A69,[1]PRIORIZADOS!$A:$R,18,FALSE)),"")</f>
        <v>Se evidencia que el PEI contempla acciones orientadas a la prevención de conflictos y promoción de la sana convivencia.</v>
      </c>
      <c r="S69" s="11" t="str">
        <f>IFERROR(IF(VLOOKUP(A69,[1]PRIORIZADOS!$A:$S,19,FALSE)="","",VLOOKUP(A69,[1]PRIORIZADOS!$A:$S,19,FALSE)),"")</f>
        <v>Reforzar la implementación de estrategias del PEI relacionadas con la convivencia. Se deben formalizar los protocolos de atención, capacitar al personal y sistematizar el seguimiento de los casos.</v>
      </c>
      <c r="T69" s="70" t="str">
        <f>IFERROR(IF(VLOOKUP(A69,[1]PRIORIZADOS!$A:$T,20,FALSE)="","",VLOOKUP(A69,[1]PRIORIZADOS!$A:$T,20,FALSE)),"")</f>
        <v>Si</v>
      </c>
      <c r="U69" s="11" t="str">
        <f>IFERROR(IF(VLOOKUP(A69,[1]PRIORIZADOS!$A:$U,21,FALSE)="","",VLOOKUP(A69,[1]PRIORIZADOS!$A:$U,21,FALSE)),"")</f>
        <v>La IE Mejorara los mecanismos de atención y prevención de conflictos escolares, reforzara los canales de denuncia y generar cultura de paz.
Se realiza seguimento del PMI, evidenciandose avance, conforme a lo orientado. (12/09/2025) Ver Carpeta POAIV - TRIM III</v>
      </c>
    </row>
    <row r="70" spans="1:21" s="1" customFormat="1" ht="72">
      <c r="A70" s="69">
        <f>IF([1]PRIORIZADOS!A71="","",[1]PRIORIZADOS!A71)</f>
        <v>67</v>
      </c>
      <c r="B70" s="87">
        <v>8</v>
      </c>
      <c r="C70" s="11" t="str">
        <f>IFERROR(IF(VLOOKUP(A70,[1]PRIORIZADOS!$A:$C,3,FALSE)="","",VLOOKUP(A70,[1]PRIORIZADOS!$A:$C,3,FALSE)),"")</f>
        <v>ANTONIO NARIÑO</v>
      </c>
      <c r="D70" s="69" t="str">
        <f>IFERROR(IF(VLOOKUP(A70,[1]PRIORIZADOS!$A:$D,4,FALSE)="","",VLOOKUP(A70,[1]PRIORIZADOS!$A:$D,4,FALSE)),"")</f>
        <v>PRIVADO</v>
      </c>
      <c r="E70" s="69" t="str">
        <f>IFERROR(IF(VLOOKUP(A70,[1]PRIORIZADOS!$A:$E,5,FALSE)="","",VLOOKUP(A70,[1]PRIORIZADOS!$A:$E,5,FALSE)),"")</f>
        <v>EPBM</v>
      </c>
      <c r="F70" s="11" t="str">
        <f>IFERROR(IF(VLOOKUP(A70,[1]PRIORIZADOS!$A:$F,6,FALSE)="","",VLOOKUP(A70,[1]PRIORIZADOS!$A:$F,6,FALSE)),"")</f>
        <v>INSTITUTO_BOGOTA</v>
      </c>
      <c r="G70" s="69" t="str">
        <f>IFERROR(IF(VLOOKUP(A70,[1]PRIORIZADOS!$A:$G,7,FALSE)="","",VLOOKUP(A70,[1]PRIORIZADOS!$A:$G,7,FALSE)),"")</f>
        <v>INSTITUTO BOGOTA</v>
      </c>
      <c r="H70" s="11" t="str">
        <f>IFERROR(IF(VLOOKUP(A70,[1]PRIORIZADOS!$A:$H,8,FALSE)="","",VLOOKUP(A70,[1]PRIORIZADOS!$A:$H,8,FALSE)),"")</f>
        <v>Autoevaluación Institucional y Pruebas SABER 11</v>
      </c>
      <c r="I70" s="11" t="str">
        <f>IFERROR(IF(VLOOKUP(A70,[1]PRIORIZADOS!$A:$I,9,FALSE)="","",VLOOKUP(A70,[1]PRIORIZADOS!$A:$I,9,FALSE)),"")</f>
        <v>SEGUIMIENTO_Y_SUPERVISIÓN.</v>
      </c>
      <c r="J70" s="11" t="str">
        <f>IFERROR(IF(VLOOKUP(A70,[1]PRIORIZADOS!$A:$J,10,FALSE)="","",VLOOKUP(A70,[1]PRIORIZADOS!$A:$J,10,FALSE)),"")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0" s="11" t="str">
        <f>IFERROR(IF(VLOOKUP(A70,[1]PRIORIZADOS!$A:$K,11,FALSE)="","",VLOOKUP(A70,[1]PRIORIZADOS!$A:$K,11,FALSE)),"")</f>
        <v>ORLANDO SUÁREZ SOTO</v>
      </c>
      <c r="L70" s="11" t="str">
        <f>IFERROR(IF(VLOOKUP(A70,[1]PRIORIZADOS!$A:$L,12,FALSE)="","",VLOOKUP(A70,[1]PRIORIZADOS!$A:$L,12,FALSE)),"")</f>
        <v>JOSÉ RODRIGO QUILAGUY BERNAL</v>
      </c>
      <c r="M70" s="88">
        <f>IFERROR(IF(VLOOKUP(A70,[1]PRIORIZADOS!$A:$M,13,FALSE)="","",VLOOKUP(A70,[1]PRIORIZADOS!$A:$M,13,FALSE)),"")</f>
        <v>45820</v>
      </c>
      <c r="N70" s="88">
        <f>IFERROR(IF(VLOOKUP(A70,[1]PRIORIZADOS!$A:$N,14,FALSE)="","",VLOOKUP(A70,[1]PRIORIZADOS!$A:$N,14,FALSE)),"")</f>
        <v>45792</v>
      </c>
      <c r="O70" s="88">
        <f>IFERROR(IF(VLOOKUP(A70,[1]PRIORIZADOS!$A:$O,15,FALSE)="","",VLOOKUP(A70,[1]PRIORIZADOS!$A:$O,15,FALSE)),"")</f>
        <v>45792</v>
      </c>
      <c r="P70" s="16" t="str">
        <f>IFERROR(IF(VLOOKUP(A70,[1]PRIORIZADOS!$A:$P,16,FALSE)="","",VLOOKUP(A70,[1]PRIORIZADOS!$A:$P,16,FALSE)),"")</f>
        <v>Visitas de evaluación con fines de seguimiento</v>
      </c>
      <c r="Q70" s="89" t="s">
        <v>33</v>
      </c>
      <c r="R70" s="90" t="str">
        <f>IFERROR(IF(VLOOKUP(A70,[1]PRIORIZADOS!$A:$R,18,FALSE)="","",VLOOKUP(A70,[1]PRIORIZADOS!$A:$R,18,FALSE)),"")</f>
        <v>La institución educativa cuenta con caracterización de estudiantes con discapacidad y talentos excepcionales. Se evidencian PIAR elaborados, actualizados y organizados por estudiante, con soporte documental.</v>
      </c>
      <c r="S70" s="11" t="str">
        <f>IFERROR(IF(VLOOKUP(A70,[1]PRIORIZADOS!$A:$S,19,FALSE)="","",VLOOKUP(A70,[1]PRIORIZADOS!$A:$S,19,FALSE)),"")</f>
        <v>Se consolidará el seguimiento individual a la implementación de los PIAR, con énfasis en la articulación con el PEI y el manual de convivencia. También se fortalecerá la formación docente en inclusión.</v>
      </c>
      <c r="T70" s="70" t="str">
        <f>IFERROR(IF(VLOOKUP(A70,[1]PRIORIZADOS!$A:$T,20,FALSE)="","",VLOOKUP(A70,[1]PRIORIZADOS!$A:$T,20,FALSE)),"")</f>
        <v>No</v>
      </c>
      <c r="U70" s="11" t="str">
        <f>IFERROR(IF(VLOOKUP(A70,[1]PRIORIZADOS!$A:$U,21,FALSE)="","",VLOOKUP(A70,[1]PRIORIZADOS!$A:$U,21,FALSE)),"")</f>
        <v>Verificar en caso de presentarse queja durante la prestación del servicio educativo.</v>
      </c>
    </row>
    <row r="71" spans="1:21" s="1" customFormat="1" ht="84">
      <c r="A71" s="69">
        <f>IF([1]PRIORIZADOS!A72="","",[1]PRIORIZADOS!A72)</f>
        <v>68</v>
      </c>
      <c r="B71" s="87">
        <v>8</v>
      </c>
      <c r="C71" s="11" t="str">
        <f>IFERROR(IF(VLOOKUP(A71,[1]PRIORIZADOS!$A:$C,3,FALSE)="","",VLOOKUP(A71,[1]PRIORIZADOS!$A:$C,3,FALSE)),"")</f>
        <v>ANTONIO NARIÑO</v>
      </c>
      <c r="D71" s="69" t="str">
        <f>IFERROR(IF(VLOOKUP(A71,[1]PRIORIZADOS!$A:$D,4,FALSE)="","",VLOOKUP(A71,[1]PRIORIZADOS!$A:$D,4,FALSE)),"")</f>
        <v>PRIVADO</v>
      </c>
      <c r="E71" s="69" t="str">
        <f>IFERROR(IF(VLOOKUP(A71,[1]PRIORIZADOS!$A:$E,5,FALSE)="","",VLOOKUP(A71,[1]PRIORIZADOS!$A:$E,5,FALSE)),"")</f>
        <v>EPBM</v>
      </c>
      <c r="F71" s="11" t="str">
        <f>IFERROR(IF(VLOOKUP(A71,[1]PRIORIZADOS!$A:$F,6,FALSE)="","",VLOOKUP(A71,[1]PRIORIZADOS!$A:$F,6,FALSE)),"")</f>
        <v>INSTITUTO_BOGOTA</v>
      </c>
      <c r="G71" s="69" t="str">
        <f>IFERROR(IF(VLOOKUP(A71,[1]PRIORIZADOS!$A:$G,7,FALSE)="","",VLOOKUP(A71,[1]PRIORIZADOS!$A:$G,7,FALSE)),"")</f>
        <v>INSTITUTO BOGOTA</v>
      </c>
      <c r="H71" s="11" t="str">
        <f>IFERROR(IF(VLOOKUP(A71,[1]PRIORIZADOS!$A:$H,8,FALSE)="","",VLOOKUP(A71,[1]PRIORIZADOS!$A:$H,8,FALSE)),"")</f>
        <v>Autoevaluación Institucional y Pruebas SABER 11</v>
      </c>
      <c r="I71" s="11" t="str">
        <f>IFERROR(IF(VLOOKUP(A71,[1]PRIORIZADOS!$A:$I,9,FALSE)="","",VLOOKUP(A71,[1]PRIORIZADOS!$A:$I,9,FALSE)),"")</f>
        <v>EVALUACIÓN_CON_FINES_DE_MEJORAMIENTO.</v>
      </c>
      <c r="J71" s="11" t="str">
        <f>IFERROR(IF(VLOOKUP(A71,[1]PRIORIZADOS!$A:$J,10,FALSE)="","",VLOOKUP(A71,[1]PRIORIZADOS!$A:$J,10,FALSE)),"")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1" s="11" t="str">
        <f>IFERROR(IF(VLOOKUP(A71,[1]PRIORIZADOS!$A:$K,11,FALSE)="","",VLOOKUP(A71,[1]PRIORIZADOS!$A:$K,11,FALSE)),"")</f>
        <v>ORLANDO SUÁREZ SOTO</v>
      </c>
      <c r="L71" s="11" t="str">
        <f>IFERROR(IF(VLOOKUP(A71,[1]PRIORIZADOS!$A:$L,12,FALSE)="","",VLOOKUP(A71,[1]PRIORIZADOS!$A:$L,12,FALSE)),"")</f>
        <v>JOSÉ RODRIGO QUILAGUY BERNAL</v>
      </c>
      <c r="M71" s="88">
        <f>IFERROR(IF(VLOOKUP(A71,[1]PRIORIZADOS!$A:$M,13,FALSE)="","",VLOOKUP(A71,[1]PRIORIZADOS!$A:$M,13,FALSE)),"")</f>
        <v>45820</v>
      </c>
      <c r="N71" s="88">
        <f>IFERROR(IF(VLOOKUP(A71,[1]PRIORIZADOS!$A:$N,14,FALSE)="","",VLOOKUP(A71,[1]PRIORIZADOS!$A:$N,14,FALSE)),"")</f>
        <v>45792</v>
      </c>
      <c r="O71" s="88">
        <f>IFERROR(IF(VLOOKUP(A71,[1]PRIORIZADOS!$A:$O,15,FALSE)="","",VLOOKUP(A71,[1]PRIORIZADOS!$A:$O,15,FALSE)),"")</f>
        <v>45792</v>
      </c>
      <c r="P71" s="16" t="str">
        <f>IFERROR(IF(VLOOKUP(A71,[1]PRIORIZADOS!$A:$P,16,FALSE)="","",VLOOKUP(A71,[1]PRIORIZADOS!$A:$P,16,FALSE)),"")</f>
        <v>Visitas de evaluación con fines de mejoramiento</v>
      </c>
      <c r="Q71" s="89" t="s">
        <v>33</v>
      </c>
      <c r="R71" s="90" t="str">
        <f>IFERROR(IF(VLOOKUP(A71,[1]PRIORIZADOS!$A:$R,18,FALSE)="","",VLOOKUP(A71,[1]PRIORIZADOS!$A:$R,18,FALSE)),"")</f>
        <v>El Manual de Convivencia se encuentra elaborado y actualizado. Existe articulación con el PEI y contiene principios institucionales claros.</v>
      </c>
      <c r="S71" s="11" t="str">
        <f>IFERROR(IF(VLOOKUP(A71,[1]PRIORIZADOS!$A:$S,19,FALSE)="","",VLOOKUP(A71,[1]PRIORIZADOS!$A:$S,19,FALSE)),"")</f>
        <v>La institución se compromete a reforzar los espacios de socialización del Manual de Convivencia, actualizar sus contenidos con base en la normativa vigente, y fomentar la apropiación de sus principios por parte de la comunidad educativa.</v>
      </c>
      <c r="T71" s="70" t="str">
        <f>IFERROR(IF(VLOOKUP(A71,[1]PRIORIZADOS!$A:$T,20,FALSE)="","",VLOOKUP(A71,[1]PRIORIZADOS!$A:$T,20,FALSE)),"")</f>
        <v>Si</v>
      </c>
      <c r="U71" s="11" t="str">
        <f>IFERROR(IF(VLOOKUP(A71,[1]PRIORIZADOS!$A:$U,21,FALSE)="","",VLOOKUP(A71,[1]PRIORIZADOS!$A:$U,21,FALSE)),"")</f>
        <v>La IE fortalecera la implementación del Manual, evaluara su impacto, y promovera estrategias pedagógicas para su apropiación.
Se realiza seguimento del PMI, evidenciandose avance, conforme a lo orientado. (12/09/2025) Ver Carpeta POAIV - TRIM III</v>
      </c>
    </row>
    <row r="72" spans="1:21" s="1" customFormat="1" ht="60">
      <c r="A72" s="69">
        <f>IF([1]PRIORIZADOS!A73="","",[1]PRIORIZADOS!A73)</f>
        <v>69</v>
      </c>
      <c r="B72" s="87">
        <v>8</v>
      </c>
      <c r="C72" s="11" t="str">
        <f>IFERROR(IF(VLOOKUP(A72,[1]PRIORIZADOS!$A:$C,3,FALSE)="","",VLOOKUP(A72,[1]PRIORIZADOS!$A:$C,3,FALSE)),"")</f>
        <v>ANTONIO NARIÑO</v>
      </c>
      <c r="D72" s="69" t="str">
        <f>IFERROR(IF(VLOOKUP(A72,[1]PRIORIZADOS!$A:$D,4,FALSE)="","",VLOOKUP(A72,[1]PRIORIZADOS!$A:$D,4,FALSE)),"")</f>
        <v>PRIVADO</v>
      </c>
      <c r="E72" s="69" t="str">
        <f>IFERROR(IF(VLOOKUP(A72,[1]PRIORIZADOS!$A:$E,5,FALSE)="","",VLOOKUP(A72,[1]PRIORIZADOS!$A:$E,5,FALSE)),"")</f>
        <v>EPBM</v>
      </c>
      <c r="F72" s="11" t="str">
        <f>IFERROR(IF(VLOOKUP(A72,[1]PRIORIZADOS!$A:$F,6,FALSE)="","",VLOOKUP(A72,[1]PRIORIZADOS!$A:$F,6,FALSE)),"")</f>
        <v>INSTITUTO_BOGOTA</v>
      </c>
      <c r="G72" s="69" t="str">
        <f>IFERROR(IF(VLOOKUP(A72,[1]PRIORIZADOS!$A:$G,7,FALSE)="","",VLOOKUP(A72,[1]PRIORIZADOS!$A:$G,7,FALSE)),"")</f>
        <v>INSTITUTO BOGOTA</v>
      </c>
      <c r="H72" s="11" t="str">
        <f>IFERROR(IF(VLOOKUP(A72,[1]PRIORIZADOS!$A:$H,8,FALSE)="","",VLOOKUP(A72,[1]PRIORIZADOS!$A:$H,8,FALSE)),"")</f>
        <v>Autoevaluación Institucional y Pruebas SABER 11</v>
      </c>
      <c r="I72" s="11" t="str">
        <f>IFERROR(IF(VLOOKUP(A72,[1]PRIORIZADOS!$A:$I,9,FALSE)="","",VLOOKUP(A72,[1]PRIORIZADOS!$A:$I,9,FALSE)),"")</f>
        <v>EVALUACIÓN_CON_FINES_DE_MEJORAMIENTO.</v>
      </c>
      <c r="J72" s="11" t="str">
        <f>IFERROR(IF(VLOOKUP(A72,[1]PRIORIZADOS!$A:$J,10,FALSE)="","",VLOOKUP(A72,[1]PRIORIZADOS!$A:$J,10,FALSE)),"")</f>
        <v>Revisar la actualización, socialización e implementación del Sistema Institucional de Evaluación de Estudiantes - SIEE, en articulación con la actualización del PEI y la normatividad vigente.</v>
      </c>
      <c r="K72" s="11" t="str">
        <f>IFERROR(IF(VLOOKUP(A72,[1]PRIORIZADOS!$A:$K,11,FALSE)="","",VLOOKUP(A72,[1]PRIORIZADOS!$A:$K,11,FALSE)),"")</f>
        <v>ORLANDO SUÁREZ SOTO</v>
      </c>
      <c r="L72" s="11" t="str">
        <f>IFERROR(IF(VLOOKUP(A72,[1]PRIORIZADOS!$A:$L,12,FALSE)="","",VLOOKUP(A72,[1]PRIORIZADOS!$A:$L,12,FALSE)),"")</f>
        <v>JOSÉ RODRIGO QUILAGUY BERNAL</v>
      </c>
      <c r="M72" s="88">
        <f>IFERROR(IF(VLOOKUP(A72,[1]PRIORIZADOS!$A:$M,13,FALSE)="","",VLOOKUP(A72,[1]PRIORIZADOS!$A:$M,13,FALSE)),"")</f>
        <v>45820</v>
      </c>
      <c r="N72" s="88">
        <f>IFERROR(IF(VLOOKUP(A72,[1]PRIORIZADOS!$A:$N,14,FALSE)="","",VLOOKUP(A72,[1]PRIORIZADOS!$A:$N,14,FALSE)),"")</f>
        <v>45792</v>
      </c>
      <c r="O72" s="88">
        <f>IFERROR(IF(VLOOKUP(A72,[1]PRIORIZADOS!$A:$O,15,FALSE)="","",VLOOKUP(A72,[1]PRIORIZADOS!$A:$O,15,FALSE)),"")</f>
        <v>45792</v>
      </c>
      <c r="P72" s="16" t="str">
        <f>IFERROR(IF(VLOOKUP(A72,[1]PRIORIZADOS!$A:$P,16,FALSE)="","",VLOOKUP(A72,[1]PRIORIZADOS!$A:$P,16,FALSE)),"")</f>
        <v>Visitas de evaluación con fines de mejoramiento</v>
      </c>
      <c r="Q72" s="89" t="s">
        <v>33</v>
      </c>
      <c r="R72" s="90" t="str">
        <f>IFERROR(IF(VLOOKUP(A72,[1]PRIORIZADOS!$A:$R,18,FALSE)="","",VLOOKUP(A72,[1]PRIORIZADOS!$A:$R,18,FALSE)),"")</f>
        <v>Se evidencia la ejecución sistemática y registros documentados, también se describe la implementación del SIEE, reuniones de evaluación por período, uso de observadores y formatos</v>
      </c>
      <c r="S72" s="11" t="str">
        <f>IFERROR(IF(VLOOKUP(A72,[1]PRIORIZADOS!$A:$S,19,FALSE)="","",VLOOKUP(A72,[1]PRIORIZADOS!$A:$S,19,FALSE)),"")</f>
        <v>La institución se compromete a actualizar el SIEE con base en las orientaciones actuales del MEN y a desarrollar estrategias de socialización dirigidas a docentes, estudiantes y padres de familia.</v>
      </c>
      <c r="T72" s="70" t="str">
        <f>IFERROR(IF(VLOOKUP(A72,[1]PRIORIZADOS!$A:$T,20,FALSE)="","",VLOOKUP(A72,[1]PRIORIZADOS!$A:$T,20,FALSE)),"")</f>
        <v>Si</v>
      </c>
      <c r="U72" s="11" t="str">
        <f>IFERROR(IF(VLOOKUP(A72,[1]PRIORIZADOS!$A:$U,21,FALSE)="","",VLOOKUP(A72,[1]PRIORIZADOS!$A:$U,21,FALSE)),"")</f>
        <v>La IE hará revisión documental, aplicación de encuestas de socialización y evaluación de coherencia entre prácticas pedagógicas y lineamientos del SIEE.
Se realiza seguimento del PMI, evidenciandose avance, conforme a lo orientado. (12/09/2025) Ver Carpeta POAIV - TRIM III</v>
      </c>
    </row>
    <row r="73" spans="1:21" s="1" customFormat="1" ht="48">
      <c r="A73" s="69">
        <f>IF([1]PRIORIZADOS!A74="","",[1]PRIORIZADOS!A74)</f>
        <v>70</v>
      </c>
      <c r="B73" s="87">
        <v>8</v>
      </c>
      <c r="C73" s="11" t="str">
        <f>IFERROR(IF(VLOOKUP(A73,[1]PRIORIZADOS!$A:$C,3,FALSE)="","",VLOOKUP(A73,[1]PRIORIZADOS!$A:$C,3,FALSE)),"")</f>
        <v>ANTONIO NARIÑO</v>
      </c>
      <c r="D73" s="69" t="str">
        <f>IFERROR(IF(VLOOKUP(A73,[1]PRIORIZADOS!$A:$D,4,FALSE)="","",VLOOKUP(A73,[1]PRIORIZADOS!$A:$D,4,FALSE)),"")</f>
        <v>PRIVADO</v>
      </c>
      <c r="E73" s="69" t="str">
        <f>IFERROR(IF(VLOOKUP(A73,[1]PRIORIZADOS!$A:$E,5,FALSE)="","",VLOOKUP(A73,[1]PRIORIZADOS!$A:$E,5,FALSE)),"")</f>
        <v>EPBM</v>
      </c>
      <c r="F73" s="11" t="str">
        <f>IFERROR(IF(VLOOKUP(A73,[1]PRIORIZADOS!$A:$F,6,FALSE)="","",VLOOKUP(A73,[1]PRIORIZADOS!$A:$F,6,FALSE)),"")</f>
        <v>INSTITUTO_BOGOTA</v>
      </c>
      <c r="G73" s="69" t="str">
        <f>IFERROR(IF(VLOOKUP(A73,[1]PRIORIZADOS!$A:$G,7,FALSE)="","",VLOOKUP(A73,[1]PRIORIZADOS!$A:$G,7,FALSE)),"")</f>
        <v>INSTITUTO BOGOTA</v>
      </c>
      <c r="H73" s="11" t="str">
        <f>IFERROR(IF(VLOOKUP(A73,[1]PRIORIZADOS!$A:$H,8,FALSE)="","",VLOOKUP(A73,[1]PRIORIZADOS!$A:$H,8,FALSE)),"")</f>
        <v>Autoevaluación Institucional y Pruebas SABER 11</v>
      </c>
      <c r="I73" s="11" t="str">
        <f>IFERROR(IF(VLOOKUP(A73,[1]PRIORIZADOS!$A:$I,9,FALSE)="","",VLOOKUP(A73,[1]PRIORIZADOS!$A:$I,9,FALSE)),"")</f>
        <v>EVALUACIÓN_CON_FINES_DE_MEJORAMIENTO.</v>
      </c>
      <c r="J73" s="11" t="str">
        <f>IFERROR(IF(VLOOKUP(A73,[1]PRIORIZADOS!$A:$J,10,FALSE)="","",VLOOKUP(A73,[1]PRIORIZADOS!$A:$J,10,FALSE)),"")</f>
        <v>Revisar el calendario escolar, jornada escolar, la intensidad horaria mínima anual en cada nivel y las modificaciones que se realicen al mismo, de acuerdo con lo previsto en la normatividad vigente.</v>
      </c>
      <c r="K73" s="11" t="str">
        <f>IFERROR(IF(VLOOKUP(A73,[1]PRIORIZADOS!$A:$K,11,FALSE)="","",VLOOKUP(A73,[1]PRIORIZADOS!$A:$K,11,FALSE)),"")</f>
        <v>ORLANDO SUÁREZ SOTO</v>
      </c>
      <c r="L73" s="11" t="str">
        <f>IFERROR(IF(VLOOKUP(A73,[1]PRIORIZADOS!$A:$L,12,FALSE)="","",VLOOKUP(A73,[1]PRIORIZADOS!$A:$L,12,FALSE)),"")</f>
        <v>JOSÉ RODRIGO QUILAGUY BERNAL</v>
      </c>
      <c r="M73" s="88">
        <f>IFERROR(IF(VLOOKUP(A73,[1]PRIORIZADOS!$A:$M,13,FALSE)="","",VLOOKUP(A73,[1]PRIORIZADOS!$A:$M,13,FALSE)),"")</f>
        <v>45820</v>
      </c>
      <c r="N73" s="88">
        <f>IFERROR(IF(VLOOKUP(A73,[1]PRIORIZADOS!$A:$N,14,FALSE)="","",VLOOKUP(A73,[1]PRIORIZADOS!$A:$N,14,FALSE)),"")</f>
        <v>45792</v>
      </c>
      <c r="O73" s="88">
        <f>IFERROR(IF(VLOOKUP(A73,[1]PRIORIZADOS!$A:$O,15,FALSE)="","",VLOOKUP(A73,[1]PRIORIZADOS!$A:$O,15,FALSE)),"")</f>
        <v>45792</v>
      </c>
      <c r="P73" s="16" t="str">
        <f>IFERROR(IF(VLOOKUP(A73,[1]PRIORIZADOS!$A:$P,16,FALSE)="","",VLOOKUP(A73,[1]PRIORIZADOS!$A:$P,16,FALSE)),"")</f>
        <v>Visitas de evaluación con fines de mejoramiento</v>
      </c>
      <c r="Q73" s="89" t="s">
        <v>33</v>
      </c>
      <c r="R73" s="90" t="str">
        <f>IFERROR(IF(VLOOKUP(A73,[1]PRIORIZADOS!$A:$R,18,FALSE)="","",VLOOKUP(A73,[1]PRIORIZADOS!$A:$R,18,FALSE)),"")</f>
        <v>Se verificó que la institución educativa cumple con la intensidad horaria mínima anual establecida para cada nivel educativo.</v>
      </c>
      <c r="S73" s="11" t="str">
        <f>IFERROR(IF(VLOOKUP(A73,[1]PRIORIZADOS!$A:$S,19,FALSE)="","",VLOOKUP(A73,[1]PRIORIZADOS!$A:$S,19,FALSE)),"")</f>
        <v>Mantener el seguimiento a la implementación del calendario escolar.</v>
      </c>
      <c r="T73" s="70" t="str">
        <f>IFERROR(IF(VLOOKUP(A73,[1]PRIORIZADOS!$A:$T,20,FALSE)="","",VLOOKUP(A73,[1]PRIORIZADOS!$A:$T,20,FALSE)),"")</f>
        <v>No</v>
      </c>
      <c r="U73" s="11" t="str">
        <f>IFERROR(IF(VLOOKUP(A73,[1]PRIORIZADOS!$A:$U,21,FALSE)="","",VLOOKUP(A73,[1]PRIORIZADOS!$A:$U,21,FALSE)),"")</f>
        <v>Verificar nuevamente en caso de requerirse.</v>
      </c>
    </row>
    <row r="74" spans="1:21" s="1" customFormat="1" ht="72">
      <c r="A74" s="69">
        <f>IF([1]PRIORIZADOS!A75="","",[1]PRIORIZADOS!A75)</f>
        <v>71</v>
      </c>
      <c r="B74" s="87">
        <v>8</v>
      </c>
      <c r="C74" s="11" t="str">
        <f>IFERROR(IF(VLOOKUP(A74,[1]PRIORIZADOS!$A:$C,3,FALSE)="","",VLOOKUP(A74,[1]PRIORIZADOS!$A:$C,3,FALSE)),"")</f>
        <v>ANTONIO NARIÑO</v>
      </c>
      <c r="D74" s="69" t="str">
        <f>IFERROR(IF(VLOOKUP(A74,[1]PRIORIZADOS!$A:$D,4,FALSE)="","",VLOOKUP(A74,[1]PRIORIZADOS!$A:$D,4,FALSE)),"")</f>
        <v>PRIVADO</v>
      </c>
      <c r="E74" s="69" t="str">
        <f>IFERROR(IF(VLOOKUP(A74,[1]PRIORIZADOS!$A:$E,5,FALSE)="","",VLOOKUP(A74,[1]PRIORIZADOS!$A:$E,5,FALSE)),"")</f>
        <v>EPBM</v>
      </c>
      <c r="F74" s="11" t="str">
        <f>IFERROR(IF(VLOOKUP(A74,[1]PRIORIZADOS!$A:$F,6,FALSE)="","",VLOOKUP(A74,[1]PRIORIZADOS!$A:$F,6,FALSE)),"")</f>
        <v>INSTITUTO_BOGOTA</v>
      </c>
      <c r="G74" s="69" t="str">
        <f>IFERROR(IF(VLOOKUP(A74,[1]PRIORIZADOS!$A:$G,7,FALSE)="","",VLOOKUP(A74,[1]PRIORIZADOS!$A:$G,7,FALSE)),"")</f>
        <v>INSTITUTO BOGOTA</v>
      </c>
      <c r="H74" s="11" t="str">
        <f>IFERROR(IF(VLOOKUP(A74,[1]PRIORIZADOS!$A:$H,8,FALSE)="","",VLOOKUP(A74,[1]PRIORIZADOS!$A:$H,8,FALSE)),"")</f>
        <v>Autoevaluación Institucional y Pruebas SABER 11</v>
      </c>
      <c r="I74" s="11" t="str">
        <f>IFERROR(IF(VLOOKUP(A74,[1]PRIORIZADOS!$A:$I,9,FALSE)="","",VLOOKUP(A74,[1]PRIORIZADOS!$A:$I,9,FALSE)),"")</f>
        <v>EVALUACIÓN_CON_FINES_DE_MEJORAMIENTO.</v>
      </c>
      <c r="J74" s="11" t="str">
        <f>IFERROR(IF(VLOOKUP(A74,[1]PRIORIZADOS!$A:$J,10,FALSE)="","",VLOOKUP(A74,[1]PRIORIZADOS!$A:$J,10,FALSE)),"")</f>
        <v>Verificar el funcionamiento del Gobierno Escolar e instancias de participación con base en la información sobre conformación reportada por la institución educativa.</v>
      </c>
      <c r="K74" s="11" t="str">
        <f>IFERROR(IF(VLOOKUP(A74,[1]PRIORIZADOS!$A:$K,11,FALSE)="","",VLOOKUP(A74,[1]PRIORIZADOS!$A:$K,11,FALSE)),"")</f>
        <v>ORLANDO SUÁREZ SOTO</v>
      </c>
      <c r="L74" s="11" t="str">
        <f>IFERROR(IF(VLOOKUP(A74,[1]PRIORIZADOS!$A:$L,12,FALSE)="","",VLOOKUP(A74,[1]PRIORIZADOS!$A:$L,12,FALSE)),"")</f>
        <v>JOSÉ RODRIGO QUILAGUY BERNAL</v>
      </c>
      <c r="M74" s="88">
        <f>IFERROR(IF(VLOOKUP(A74,[1]PRIORIZADOS!$A:$M,13,FALSE)="","",VLOOKUP(A74,[1]PRIORIZADOS!$A:$M,13,FALSE)),"")</f>
        <v>45820</v>
      </c>
      <c r="N74" s="88">
        <f>IFERROR(IF(VLOOKUP(A74,[1]PRIORIZADOS!$A:$N,14,FALSE)="","",VLOOKUP(A74,[1]PRIORIZADOS!$A:$N,14,FALSE)),"")</f>
        <v>45792</v>
      </c>
      <c r="O74" s="88">
        <f>IFERROR(IF(VLOOKUP(A74,[1]PRIORIZADOS!$A:$O,15,FALSE)="","",VLOOKUP(A74,[1]PRIORIZADOS!$A:$O,15,FALSE)),"")</f>
        <v>45792</v>
      </c>
      <c r="P74" s="16" t="str">
        <f>IFERROR(IF(VLOOKUP(A74,[1]PRIORIZADOS!$A:$P,16,FALSE)="","",VLOOKUP(A74,[1]PRIORIZADOS!$A:$P,16,FALSE)),"")</f>
        <v>Visitas de evaluación con fines de mejoramiento</v>
      </c>
      <c r="Q74" s="89" t="s">
        <v>33</v>
      </c>
      <c r="R74" s="90" t="str">
        <f>IFERROR(IF(VLOOKUP(A74,[1]PRIORIZADOS!$A:$R,18,FALSE)="","",VLOOKUP(A74,[1]PRIORIZADOS!$A:$R,18,FALSE)),"")</f>
        <v>La institución educativa reporta la conformación de las instancias del Gobierno Escolar, incluyendo el Consejo Académico y otras instancias de participación. Se cuenta con actas de reuniones y registros de participación</v>
      </c>
      <c r="S74" s="11" t="str">
        <f>IFERROR(IF(VLOOKUP(A74,[1]PRIORIZADOS!$A:$S,19,FALSE)="","",VLOOKUP(A74,[1]PRIORIZADOS!$A:$S,19,FALSE)),"")</f>
        <v>Se acordó fortalecer la divulgación y operatividad de las instancias del Gobierno Escolar, garantizando la participación activa de los estamentos y el seguimiento a sus decisiones.</v>
      </c>
      <c r="T74" s="70" t="str">
        <f>IFERROR(IF(VLOOKUP(A74,[1]PRIORIZADOS!$A:$T,20,FALSE)="","",VLOOKUP(A74,[1]PRIORIZADOS!$A:$T,20,FALSE)),"")</f>
        <v>No</v>
      </c>
      <c r="U74" s="11" t="str">
        <f>IFERROR(IF(VLOOKUP(A74,[1]PRIORIZADOS!$A:$U,21,FALSE)="","",VLOOKUP(A74,[1]PRIORIZADOS!$A:$U,21,FALSE)),"")</f>
        <v xml:space="preserve">Se verificará la conformación de los gobiernos escolares e instancias para la vigencia 2026. </v>
      </c>
    </row>
    <row r="75" spans="1:21" s="1" customFormat="1" ht="72">
      <c r="A75" s="69">
        <f>IF([1]PRIORIZADOS!A76="","",[1]PRIORIZADOS!A76)</f>
        <v>72</v>
      </c>
      <c r="B75" s="87">
        <v>8</v>
      </c>
      <c r="C75" s="11" t="str">
        <f>IFERROR(IF(VLOOKUP(A75,[1]PRIORIZADOS!$A:$C,3,FALSE)="","",VLOOKUP(A75,[1]PRIORIZADOS!$A:$C,3,FALSE)),"")</f>
        <v>ANTONIO NARIÑO</v>
      </c>
      <c r="D75" s="69" t="str">
        <f>IFERROR(IF(VLOOKUP(A75,[1]PRIORIZADOS!$A:$D,4,FALSE)="","",VLOOKUP(A75,[1]PRIORIZADOS!$A:$D,4,FALSE)),"")</f>
        <v>PRIVADO</v>
      </c>
      <c r="E75" s="69" t="str">
        <f>IFERROR(IF(VLOOKUP(A75,[1]PRIORIZADOS!$A:$E,5,FALSE)="","",VLOOKUP(A75,[1]PRIORIZADOS!$A:$E,5,FALSE)),"")</f>
        <v>EPBM</v>
      </c>
      <c r="F75" s="11" t="str">
        <f>IFERROR(IF(VLOOKUP(A75,[1]PRIORIZADOS!$A:$F,6,FALSE)="","",VLOOKUP(A75,[1]PRIORIZADOS!$A:$F,6,FALSE)),"")</f>
        <v>INSTITUTO_BOGOTA</v>
      </c>
      <c r="G75" s="69" t="str">
        <f>IFERROR(IF(VLOOKUP(A75,[1]PRIORIZADOS!$A:$G,7,FALSE)="","",VLOOKUP(A75,[1]PRIORIZADOS!$A:$G,7,FALSE)),"")</f>
        <v>INSTITUTO BOGOTA</v>
      </c>
      <c r="H75" s="11" t="str">
        <f>IFERROR(IF(VLOOKUP(A75,[1]PRIORIZADOS!$A:$H,8,FALSE)="","",VLOOKUP(A75,[1]PRIORIZADOS!$A:$H,8,FALSE)),"")</f>
        <v>Autoevaluación Institucional y Pruebas SABER 11</v>
      </c>
      <c r="I75" s="11" t="str">
        <f>IFERROR(IF(VLOOKUP(A75,[1]PRIORIZADOS!$A:$I,9,FALSE)="","",VLOOKUP(A75,[1]PRIORIZADOS!$A:$I,9,FALSE)),"")</f>
        <v>EVALUACIÓN_CON_FINES_DE_MEJORAMIENTO.</v>
      </c>
      <c r="J75" s="11" t="str">
        <f>IFERROR(IF(VLOOKUP(A75,[1]PRIORIZADOS!$A:$J,10,FALSE)="","",VLOOKUP(A75,[1]PRIORIZADOS!$A:$J,10,FALSE)),"")</f>
        <v>Verificar las condiciones en cuanto a: la estructura administrativa, condiciones de la planta física y medios educativos adecuados.</v>
      </c>
      <c r="K75" s="11" t="str">
        <f>IFERROR(IF(VLOOKUP(A75,[1]PRIORIZADOS!$A:$K,11,FALSE)="","",VLOOKUP(A75,[1]PRIORIZADOS!$A:$K,11,FALSE)),"")</f>
        <v>ORLANDO SUÁREZ SOTO</v>
      </c>
      <c r="L75" s="11" t="str">
        <f>IFERROR(IF(VLOOKUP(A75,[1]PRIORIZADOS!$A:$L,12,FALSE)="","",VLOOKUP(A75,[1]PRIORIZADOS!$A:$L,12,FALSE)),"")</f>
        <v>JOSÉ RODRIGO QUILAGUY BERNAL</v>
      </c>
      <c r="M75" s="88">
        <f>IFERROR(IF(VLOOKUP(A75,[1]PRIORIZADOS!$A:$M,13,FALSE)="","",VLOOKUP(A75,[1]PRIORIZADOS!$A:$M,13,FALSE)),"")</f>
        <v>45820</v>
      </c>
      <c r="N75" s="88">
        <f>IFERROR(IF(VLOOKUP(A75,[1]PRIORIZADOS!$A:$N,14,FALSE)="","",VLOOKUP(A75,[1]PRIORIZADOS!$A:$N,14,FALSE)),"")</f>
        <v>45792</v>
      </c>
      <c r="O75" s="88">
        <f>IFERROR(IF(VLOOKUP(A75,[1]PRIORIZADOS!$A:$O,15,FALSE)="","",VLOOKUP(A75,[1]PRIORIZADOS!$A:$O,15,FALSE)),"")</f>
        <v>45792</v>
      </c>
      <c r="P75" s="16" t="str">
        <f>IFERROR(IF(VLOOKUP(A75,[1]PRIORIZADOS!$A:$P,16,FALSE)="","",VLOOKUP(A75,[1]PRIORIZADOS!$A:$P,16,FALSE)),"")</f>
        <v>Visitas de evaluación con fines de mejoramiento</v>
      </c>
      <c r="Q75" s="89" t="s">
        <v>33</v>
      </c>
      <c r="R75" s="97" t="str">
        <f>IFERROR(IF(VLOOKUP(A75,[1]PRIORIZADOS!$A:$R,18,FALSE)="","",VLOOKUP(A75,[1]PRIORIZADOS!$A:$R,18,FALSE)),"")</f>
        <v>La institución cuenta con espacios adecuados en cantidad y dotación para las actividades académicas, administrativas y recreativas. Se observa inclusión de población con discapacidad en la infraestructura.</v>
      </c>
      <c r="S75" s="11" t="str">
        <f>IFERROR(IF(VLOOKUP(A75,[1]PRIORIZADOS!$A:$S,19,FALSE)="","",VLOOKUP(A75,[1]PRIORIZADOS!$A:$S,19,FALSE)),"")</f>
        <v>Se continuará fortaleciendo la dotación tecnológica, adecuación de espacios inclusivos y el mantenimiento periódico de la infraestructura física.</v>
      </c>
      <c r="T75" s="70" t="str">
        <f>IFERROR(IF(VLOOKUP(A75,[1]PRIORIZADOS!$A:$T,20,FALSE)="","",VLOOKUP(A75,[1]PRIORIZADOS!$A:$T,20,FALSE)),"")</f>
        <v>No</v>
      </c>
      <c r="U75" s="11" t="str">
        <f>IFERROR(IF(VLOOKUP(A75,[1]PRIORIZADOS!$A:$U,21,FALSE)="","",VLOOKUP(A75,[1]PRIORIZADOS!$A:$U,21,FALSE)),"")</f>
        <v>Verificar nuevamente en caso de requerirse.</v>
      </c>
    </row>
    <row r="76" spans="1:21" s="1" customFormat="1" ht="107.25">
      <c r="A76" s="69">
        <f>IF([1]PRIORIZADOS!A77="","",[1]PRIORIZADOS!A77)</f>
        <v>73</v>
      </c>
      <c r="B76" s="87">
        <v>9</v>
      </c>
      <c r="C76" s="11" t="str">
        <f>IFERROR(IF(VLOOKUP(A76,[1]PRIORIZADOS!$A:$C,3,FALSE)="","",VLOOKUP(A76,[1]PRIORIZADOS!$A:$C,3,FALSE)),"")</f>
        <v>ANTONIO NARIÑO</v>
      </c>
      <c r="D76" s="69" t="str">
        <f>IFERROR(IF(VLOOKUP(A76,[1]PRIORIZADOS!$A:$D,4,FALSE)="","",VLOOKUP(A76,[1]PRIORIZADOS!$A:$D,4,FALSE)),"")</f>
        <v>PRIVADO</v>
      </c>
      <c r="E76" s="69" t="str">
        <f>IFERROR(IF(VLOOKUP(A76,[1]PRIORIZADOS!$A:$E,5,FALSE)="","",VLOOKUP(A76,[1]PRIORIZADOS!$A:$E,5,FALSE)),"")</f>
        <v>Educación Inicial</v>
      </c>
      <c r="F76" s="11" t="str">
        <f>IFERROR(IF(VLOOKUP(A76,[1]PRIORIZADOS!$A:$F,6,FALSE)="","",VLOOKUP(A76,[1]PRIORIZADOS!$A:$F,6,FALSE)),"")</f>
        <v>INSTITUTO_JULIO_MARIA_MATOVELLE</v>
      </c>
      <c r="G76" s="69" t="str">
        <f>IFERROR(IF(VLOOKUP(A76,[1]PRIORIZADOS!$A:$G,7,FALSE)="","",VLOOKUP(A76,[1]PRIORIZADOS!$A:$G,7,FALSE)),"")</f>
        <v>INSTITUTO JULIO MARIA MATOVELLE</v>
      </c>
      <c r="H76" s="11" t="str">
        <f>IFERROR(IF(VLOOKUP(A76,[1]PRIORIZADOS!$A:$H,8,FALSE)="","",VLOOKUP(A76,[1]PRIORIZADOS!$A:$H,8,FALSE)),"")</f>
        <v>Autoevaluación Institucional y Pruebas SABER 11</v>
      </c>
      <c r="I76" s="11" t="str">
        <f>IFERROR(IF(VLOOKUP(A76,[1]PRIORIZADOS!$A:$I,9,FALSE)="","",VLOOKUP(A76,[1]PRIORIZADOS!$A:$I,9,FALSE)),"")</f>
        <v>SEGUIMIENTO_Y_SUPERVISIÓN.</v>
      </c>
      <c r="J76" s="11" t="str">
        <f>IFERROR(IF(VLOOKUP(A76,[1]PRIORIZADOS!$A:$J,10,FALSE)="","",VLOOKUP(A76,[1]PRIORIZADOS!$A:$J,10,FALSE)),"")</f>
        <v>Realizar visitas para verificar la información registrada sobre la autoevaluación institucional en el aplicativo EVI, a los establecimientos de educación formal no oficial.</v>
      </c>
      <c r="K76" s="11" t="str">
        <f>IFERROR(IF(VLOOKUP(A76,[1]PRIORIZADOS!$A:$K,11,FALSE)="","",VLOOKUP(A76,[1]PRIORIZADOS!$A:$K,11,FALSE)),"")</f>
        <v>JOSÉ RODRIGO QUILAGUY BERNAL</v>
      </c>
      <c r="L76" s="11" t="str">
        <f>IFERROR(IF(VLOOKUP(A76,[1]PRIORIZADOS!$A:$L,12,FALSE)="","",VLOOKUP(A76,[1]PRIORIZADOS!$A:$L,12,FALSE)),"")</f>
        <v>ORLANDO SUÁREZ SOTO</v>
      </c>
      <c r="M76" s="88">
        <f>IFERROR(IF(VLOOKUP(A76,[1]PRIORIZADOS!$A:$M,13,FALSE)="","",VLOOKUP(A76,[1]PRIORIZADOS!$A:$M,13,FALSE)),"")</f>
        <v>45855</v>
      </c>
      <c r="N76" s="88">
        <f>IFERROR(IF(VLOOKUP(A76,[1]PRIORIZADOS!$A:$N,14,FALSE)="","",VLOOKUP(A76,[1]PRIORIZADOS!$A:$N,14,FALSE)),"")</f>
        <v>45793</v>
      </c>
      <c r="O76" s="88">
        <f>IFERROR(IF(VLOOKUP(A76,[1]PRIORIZADOS!$A:$O,15,FALSE)="","",VLOOKUP(A76,[1]PRIORIZADOS!$A:$O,15,FALSE)),"")</f>
        <v>45793</v>
      </c>
      <c r="P76" s="16" t="str">
        <f>IFERROR(IF(VLOOKUP(A76,[1]PRIORIZADOS!$A:$P,16,FALSE)="","",VLOOKUP(A76,[1]PRIORIZADOS!$A:$P,16,FALSE)),"")</f>
        <v>Visitas de evaluación con fines de seguimiento</v>
      </c>
      <c r="Q76" s="89" t="s">
        <v>34</v>
      </c>
      <c r="R76" s="90" t="str">
        <f>IFERROR(IF(VLOOKUP(A76,[1]PRIORIZADOS!$A:$R,18,FALSE)="","",VLOOKUP(A76,[1]PRIORIZADOS!$A:$R,18,FALSE)),"")</f>
        <v>La institución fundamenta su filosofía y valores en el humanismo cristiano, y metodológicamente aplica las Inteligencias Múltiples de Gardner y el Aprendizaje Significativo. No obstante, se identifica la necesidad de fortalecer la articulación de estos elementos con el uso de la literatura infantil, declarada como énfasis institucional</v>
      </c>
      <c r="S76" s="11" t="str">
        <f>IFERROR(IF(VLOOKUP(A76,[1]PRIORIZADOS!$A:$S,19,FALSE)="","",VLOOKUP(A76,[1]PRIORIZADOS!$A:$S,19,FALSE)),"")</f>
        <v>Se concluye que la Filosofía y metodologías son claras, pero se sugiere articularlas mejor con el énfasis en literatura infantil.</v>
      </c>
      <c r="T76" s="70" t="str">
        <f>IFERROR(IF(VLOOKUP(A76,[1]PRIORIZADOS!$A:$T,20,FALSE)="","",VLOOKUP(A76,[1]PRIORIZADOS!$A:$T,20,FALSE)),"")</f>
        <v>No</v>
      </c>
      <c r="U76" s="11" t="str">
        <f>IFERROR(IF(VLOOKUP(A76,[1]PRIORIZADOS!$A:$U,21,FALSE)="","",VLOOKUP(A76,[1]PRIORIZADOS!$A:$U,21,FALSE)),"")</f>
        <v>Verificar nuevamente en caso de requerirse.</v>
      </c>
    </row>
    <row r="77" spans="1:21" s="1" customFormat="1" ht="72">
      <c r="A77" s="69">
        <f>IF([1]PRIORIZADOS!A78="","",[1]PRIORIZADOS!A78)</f>
        <v>75</v>
      </c>
      <c r="B77" s="87">
        <v>9</v>
      </c>
      <c r="C77" s="11" t="str">
        <f>IFERROR(IF(VLOOKUP(A77,[1]PRIORIZADOS!$A:$C,3,FALSE)="","",VLOOKUP(A77,[1]PRIORIZADOS!$A:$C,3,FALSE)),"")</f>
        <v>ANTONIO NARIÑO</v>
      </c>
      <c r="D77" s="69" t="str">
        <f>IFERROR(IF(VLOOKUP(A77,[1]PRIORIZADOS!$A:$D,4,FALSE)="","",VLOOKUP(A77,[1]PRIORIZADOS!$A:$D,4,FALSE)),"")</f>
        <v>PRIVADO</v>
      </c>
      <c r="E77" s="69" t="str">
        <f>IFERROR(IF(VLOOKUP(A77,[1]PRIORIZADOS!$A:$E,5,FALSE)="","",VLOOKUP(A77,[1]PRIORIZADOS!$A:$E,5,FALSE)),"")</f>
        <v>Educación Inicial</v>
      </c>
      <c r="F77" s="11" t="str">
        <f>IFERROR(IF(VLOOKUP(A77,[1]PRIORIZADOS!$A:$F,6,FALSE)="","",VLOOKUP(A77,[1]PRIORIZADOS!$A:$F,6,FALSE)),"")</f>
        <v>INSTITUTO_JULIO_MARIA_MATOVELLE</v>
      </c>
      <c r="G77" s="69" t="str">
        <f>IFERROR(IF(VLOOKUP(A77,[1]PRIORIZADOS!$A:$G,7,FALSE)="","",VLOOKUP(A77,[1]PRIORIZADOS!$A:$G,7,FALSE)),"")</f>
        <v>INSTITUTO JULIO MARIA MATOVELLE</v>
      </c>
      <c r="H77" s="11" t="str">
        <f>IFERROR(IF(VLOOKUP(A77,[1]PRIORIZADOS!$A:$H,8,FALSE)="","",VLOOKUP(A77,[1]PRIORIZADOS!$A:$H,8,FALSE)),"")</f>
        <v>Autoevaluación Institucional y Pruebas SABER 11</v>
      </c>
      <c r="I77" s="11" t="str">
        <f>IFERROR(IF(VLOOKUP(A77,[1]PRIORIZADOS!$A:$I,9,FALSE)="","",VLOOKUP(A77,[1]PRIORIZADOS!$A:$I,9,FALSE)),"")</f>
        <v>SEGUIMIENTO_Y_SUPERVISIÓN.</v>
      </c>
      <c r="J77" s="11" t="str">
        <f>IFERROR(IF(VLOOKUP(A77,[1]PRIORIZADOS!$A:$J,10,FALSE)="","",VLOOKUP(A77,[1]PRIORIZADOS!$A:$J,10,FALSE)),"")</f>
        <v xml:space="preserve">Verificar la implementación por parte de los colegios, de acciones realizadas para la prevención y atención de las situaciones de convivencia en el entorno escolar, según lo establecido en la Directiva 01 de 2022 del MEN. </v>
      </c>
      <c r="K77" s="11" t="str">
        <f>IFERROR(IF(VLOOKUP(A77,[1]PRIORIZADOS!$A:$K,11,FALSE)="","",VLOOKUP(A77,[1]PRIORIZADOS!$A:$K,11,FALSE)),"")</f>
        <v>JOSÉ RODRIGO QUILAGUY BERNAL</v>
      </c>
      <c r="L77" s="11" t="str">
        <f>IFERROR(IF(VLOOKUP(A77,[1]PRIORIZADOS!$A:$L,12,FALSE)="","",VLOOKUP(A77,[1]PRIORIZADOS!$A:$L,12,FALSE)),"")</f>
        <v>ORLANDO SUÁREZ SOTO</v>
      </c>
      <c r="M77" s="88">
        <f>IFERROR(IF(VLOOKUP(A77,[1]PRIORIZADOS!$A:$M,13,FALSE)="","",VLOOKUP(A77,[1]PRIORIZADOS!$A:$M,13,FALSE)),"")</f>
        <v>45855</v>
      </c>
      <c r="N77" s="88">
        <f>IFERROR(IF(VLOOKUP(A77,[1]PRIORIZADOS!$A:$N,14,FALSE)="","",VLOOKUP(A77,[1]PRIORIZADOS!$A:$N,14,FALSE)),"")</f>
        <v>45793</v>
      </c>
      <c r="O77" s="88">
        <f>IFERROR(IF(VLOOKUP(A77,[1]PRIORIZADOS!$A:$O,15,FALSE)="","",VLOOKUP(A77,[1]PRIORIZADOS!$A:$O,15,FALSE)),"")</f>
        <v>45793</v>
      </c>
      <c r="P77" s="16" t="str">
        <f>IFERROR(IF(VLOOKUP(A77,[1]PRIORIZADOS!$A:$P,16,FALSE)="","",VLOOKUP(A77,[1]PRIORIZADOS!$A:$P,16,FALSE)),"")</f>
        <v>Visitas de evaluación con fines de seguimiento</v>
      </c>
      <c r="Q77" s="89" t="s">
        <v>34</v>
      </c>
      <c r="R77" s="90" t="str">
        <f>IFERROR(IF(VLOOKUP(A77,[1]PRIORIZADOS!$A:$R,18,FALSE)="","",VLOOKUP(A77,[1]PRIORIZADOS!$A:$R,18,FALSE)),"")</f>
        <v>la Institución Educativa cumple con la Directiva 01 MEN 2022 al consultar cuatrimestralmente las inhabilidades por delitos sexuales del personal en la Policía Nacional, con soporte documental en las hojas de vida.</v>
      </c>
      <c r="S77" s="11" t="str">
        <f>IFERROR(IF(VLOOKUP(A77,[1]PRIORIZADOS!$A:$S,19,FALSE)="","",VLOOKUP(A77,[1]PRIORIZADOS!$A:$S,19,FALSE)),"")</f>
        <v>La IE cumple con la Directiva 01 MEN 2022 al verificar inhabilidades, garantizando seguridad escolar.</v>
      </c>
      <c r="T77" s="70" t="str">
        <f>IFERROR(IF(VLOOKUP(A77,[1]PRIORIZADOS!$A:$T,20,FALSE)="","",VLOOKUP(A77,[1]PRIORIZADOS!$A:$T,20,FALSE)),"")</f>
        <v>No</v>
      </c>
      <c r="U77" s="11" t="str">
        <f>IFERROR(IF(VLOOKUP(A77,[1]PRIORIZADOS!$A:$U,21,FALSE)="","",VLOOKUP(A77,[1]PRIORIZADOS!$A:$U,21,FALSE)),"")</f>
        <v>Verificar nuevamente en caso de requerirse.</v>
      </c>
    </row>
    <row r="78" spans="1:21" s="1" customFormat="1" ht="72">
      <c r="A78" s="69">
        <f>IF([1]PRIORIZADOS!A79="","",[1]PRIORIZADOS!A79)</f>
        <v>76</v>
      </c>
      <c r="B78" s="87">
        <v>9</v>
      </c>
      <c r="C78" s="11" t="str">
        <f>IFERROR(IF(VLOOKUP(A78,[1]PRIORIZADOS!$A:$C,3,FALSE)="","",VLOOKUP(A78,[1]PRIORIZADOS!$A:$C,3,FALSE)),"")</f>
        <v>ANTONIO NARIÑO</v>
      </c>
      <c r="D78" s="69" t="str">
        <f>IFERROR(IF(VLOOKUP(A78,[1]PRIORIZADOS!$A:$D,4,FALSE)="","",VLOOKUP(A78,[1]PRIORIZADOS!$A:$D,4,FALSE)),"")</f>
        <v>PRIVADO</v>
      </c>
      <c r="E78" s="69" t="str">
        <f>IFERROR(IF(VLOOKUP(A78,[1]PRIORIZADOS!$A:$E,5,FALSE)="","",VLOOKUP(A78,[1]PRIORIZADOS!$A:$E,5,FALSE)),"")</f>
        <v>Educación Inicial</v>
      </c>
      <c r="F78" s="11" t="str">
        <f>IFERROR(IF(VLOOKUP(A78,[1]PRIORIZADOS!$A:$F,6,FALSE)="","",VLOOKUP(A78,[1]PRIORIZADOS!$A:$F,6,FALSE)),"")</f>
        <v>INSTITUTO_JULIO_MARIA_MATOVELLE</v>
      </c>
      <c r="G78" s="69" t="str">
        <f>IFERROR(IF(VLOOKUP(A78,[1]PRIORIZADOS!$A:$G,7,FALSE)="","",VLOOKUP(A78,[1]PRIORIZADOS!$A:$G,7,FALSE)),"")</f>
        <v>INSTITUTO JULIO MARIA MATOVELLE</v>
      </c>
      <c r="H78" s="11" t="str">
        <f>IFERROR(IF(VLOOKUP(A78,[1]PRIORIZADOS!$A:$H,8,FALSE)="","",VLOOKUP(A78,[1]PRIORIZADOS!$A:$H,8,FALSE)),"")</f>
        <v>Autoevaluación Institucional y Pruebas SABER 11</v>
      </c>
      <c r="I78" s="11" t="str">
        <f>IFERROR(IF(VLOOKUP(A78,[1]PRIORIZADOS!$A:$I,9,FALSE)="","",VLOOKUP(A78,[1]PRIORIZADOS!$A:$I,9,FALSE)),"")</f>
        <v>SEGUIMIENTO_Y_SUPERVISIÓN.</v>
      </c>
      <c r="J78" s="11" t="str">
        <f>IFERROR(IF(VLOOKUP(A78,[1]PRIORIZADOS!$A:$J,10,FALSE)="","",VLOOKUP(A78,[1]PRIORIZADOS!$A:$J,10,FALSE)),"")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8" s="11" t="str">
        <f>IFERROR(IF(VLOOKUP(A78,[1]PRIORIZADOS!$A:$K,11,FALSE)="","",VLOOKUP(A78,[1]PRIORIZADOS!$A:$K,11,FALSE)),"")</f>
        <v>JOSÉ RODRIGO QUILAGUY BERNAL</v>
      </c>
      <c r="L78" s="11" t="str">
        <f>IFERROR(IF(VLOOKUP(A78,[1]PRIORIZADOS!$A:$L,12,FALSE)="","",VLOOKUP(A78,[1]PRIORIZADOS!$A:$L,12,FALSE)),"")</f>
        <v>ORLANDO SUÁREZ SOTO</v>
      </c>
      <c r="M78" s="88">
        <f>IFERROR(IF(VLOOKUP(A78,[1]PRIORIZADOS!$A:$M,13,FALSE)="","",VLOOKUP(A78,[1]PRIORIZADOS!$A:$M,13,FALSE)),"")</f>
        <v>45855</v>
      </c>
      <c r="N78" s="88">
        <f>IFERROR(IF(VLOOKUP(A78,[1]PRIORIZADOS!$A:$N,14,FALSE)="","",VLOOKUP(A78,[1]PRIORIZADOS!$A:$N,14,FALSE)),"")</f>
        <v>45793</v>
      </c>
      <c r="O78" s="88">
        <f>IFERROR(IF(VLOOKUP(A78,[1]PRIORIZADOS!$A:$O,15,FALSE)="","",VLOOKUP(A78,[1]PRIORIZADOS!$A:$O,15,FALSE)),"")</f>
        <v>45793</v>
      </c>
      <c r="P78" s="16" t="str">
        <f>IFERROR(IF(VLOOKUP(A78,[1]PRIORIZADOS!$A:$P,16,FALSE)="","",VLOOKUP(A78,[1]PRIORIZADOS!$A:$P,16,FALSE)),"")</f>
        <v>Visitas de evaluación con fines de seguimiento</v>
      </c>
      <c r="Q78" s="89" t="s">
        <v>34</v>
      </c>
      <c r="R78" s="90" t="str">
        <f>IFERROR(IF(VLOOKUP(A78,[1]PRIORIZADOS!$A:$R,18,FALSE)="","",VLOOKUP(A78,[1]PRIORIZADOS!$A:$R,18,FALSE)),"")</f>
        <v>Se identifica que la institución ha iniciado de manera oportuna la formulación de los Planes Individuales de Ajustes Razonables (PIAR) para aquellos estudiantes con un diagnóstico oficial ya consolidado.</v>
      </c>
      <c r="S78" s="11" t="str">
        <f>IFERROR(IF(VLOOKUP(A78,[1]PRIORIZADOS!$A:$S,19,FALSE)="","",VLOOKUP(A78,[1]PRIORIZADOS!$A:$S,19,FALSE)),"")</f>
        <v>PIARs iniciados con diagnósticos; su plena operatividad depende de finalizar y validar más diagnósticos pendientes.</v>
      </c>
      <c r="T78" s="70" t="str">
        <f>IFERROR(IF(VLOOKUP(A78,[1]PRIORIZADOS!$A:$T,20,FALSE)="","",VLOOKUP(A78,[1]PRIORIZADOS!$A:$T,20,FALSE)),"")</f>
        <v>No</v>
      </c>
      <c r="U78" s="11" t="str">
        <f>IFERROR(IF(VLOOKUP(A78,[1]PRIORIZADOS!$A:$U,21,FALSE)="","",VLOOKUP(A78,[1]PRIORIZADOS!$A:$U,21,FALSE)),"")</f>
        <v>Verificar nuevamente en caso de requerirse.</v>
      </c>
    </row>
    <row r="79" spans="1:21" s="1" customFormat="1" ht="84">
      <c r="A79" s="69">
        <f>IF([1]PRIORIZADOS!A80="","",[1]PRIORIZADOS!A80)</f>
        <v>77</v>
      </c>
      <c r="B79" s="87">
        <v>9</v>
      </c>
      <c r="C79" s="11" t="str">
        <f>IFERROR(IF(VLOOKUP(A79,[1]PRIORIZADOS!$A:$C,3,FALSE)="","",VLOOKUP(A79,[1]PRIORIZADOS!$A:$C,3,FALSE)),"")</f>
        <v>ANTONIO NARIÑO</v>
      </c>
      <c r="D79" s="69" t="str">
        <f>IFERROR(IF(VLOOKUP(A79,[1]PRIORIZADOS!$A:$D,4,FALSE)="","",VLOOKUP(A79,[1]PRIORIZADOS!$A:$D,4,FALSE)),"")</f>
        <v>PRIVADO</v>
      </c>
      <c r="E79" s="69" t="str">
        <f>IFERROR(IF(VLOOKUP(A79,[1]PRIORIZADOS!$A:$E,5,FALSE)="","",VLOOKUP(A79,[1]PRIORIZADOS!$A:$E,5,FALSE)),"")</f>
        <v>Educación Inicial</v>
      </c>
      <c r="F79" s="11" t="str">
        <f>IFERROR(IF(VLOOKUP(A79,[1]PRIORIZADOS!$A:$F,6,FALSE)="","",VLOOKUP(A79,[1]PRIORIZADOS!$A:$F,6,FALSE)),"")</f>
        <v>INSTITUTO_JULIO_MARIA_MATOVELLE</v>
      </c>
      <c r="G79" s="69" t="str">
        <f>IFERROR(IF(VLOOKUP(A79,[1]PRIORIZADOS!$A:$G,7,FALSE)="","",VLOOKUP(A79,[1]PRIORIZADOS!$A:$G,7,FALSE)),"")</f>
        <v>INSTITUTO JULIO MARIA MATOVELLE</v>
      </c>
      <c r="H79" s="11" t="str">
        <f>IFERROR(IF(VLOOKUP(A79,[1]PRIORIZADOS!$A:$H,8,FALSE)="","",VLOOKUP(A79,[1]PRIORIZADOS!$A:$H,8,FALSE)),"")</f>
        <v>Autoevaluación Institucional y Pruebas SABER 11</v>
      </c>
      <c r="I79" s="11" t="str">
        <f>IFERROR(IF(VLOOKUP(A79,[1]PRIORIZADOS!$A:$I,9,FALSE)="","",VLOOKUP(A79,[1]PRIORIZADOS!$A:$I,9,FALSE)),"")</f>
        <v>EVALUACIÓN_CON_FINES_DE_MEJORAMIENTO.</v>
      </c>
      <c r="J79" s="11" t="str">
        <f>IFERROR(IF(VLOOKUP(A79,[1]PRIORIZADOS!$A:$J,10,FALSE)="","",VLOOKUP(A79,[1]PRIORIZADOS!$A:$J,10,FALSE)),"")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9" s="11" t="str">
        <f>IFERROR(IF(VLOOKUP(A79,[1]PRIORIZADOS!$A:$K,11,FALSE)="","",VLOOKUP(A79,[1]PRIORIZADOS!$A:$K,11,FALSE)),"")</f>
        <v>JOSÉ RODRIGO QUILAGUY BERNAL</v>
      </c>
      <c r="L79" s="11" t="str">
        <f>IFERROR(IF(VLOOKUP(A79,[1]PRIORIZADOS!$A:$L,12,FALSE)="","",VLOOKUP(A79,[1]PRIORIZADOS!$A:$L,12,FALSE)),"")</f>
        <v>ORLANDO SUÁREZ SOTO</v>
      </c>
      <c r="M79" s="88">
        <f>IFERROR(IF(VLOOKUP(A79,[1]PRIORIZADOS!$A:$M,13,FALSE)="","",VLOOKUP(A79,[1]PRIORIZADOS!$A:$M,13,FALSE)),"")</f>
        <v>45855</v>
      </c>
      <c r="N79" s="88">
        <f>IFERROR(IF(VLOOKUP(A79,[1]PRIORIZADOS!$A:$N,14,FALSE)="","",VLOOKUP(A79,[1]PRIORIZADOS!$A:$N,14,FALSE)),"")</f>
        <v>45793</v>
      </c>
      <c r="O79" s="88">
        <f>IFERROR(IF(VLOOKUP(A79,[1]PRIORIZADOS!$A:$O,15,FALSE)="","",VLOOKUP(A79,[1]PRIORIZADOS!$A:$O,15,FALSE)),"")</f>
        <v>45793</v>
      </c>
      <c r="P79" s="16" t="str">
        <f>IFERROR(IF(VLOOKUP(A79,[1]PRIORIZADOS!$A:$P,16,FALSE)="","",VLOOKUP(A79,[1]PRIORIZADOS!$A:$P,16,FALSE)),"")</f>
        <v>Visitas de evaluación con fines de mejoramiento</v>
      </c>
      <c r="Q79" s="89" t="s">
        <v>34</v>
      </c>
      <c r="R79" s="90" t="str">
        <f>IFERROR(IF(VLOOKUP(A79,[1]PRIORIZADOS!$A:$R,18,FALSE)="","",VLOOKUP(A79,[1]PRIORIZADOS!$A:$R,18,FALSE)),"")</f>
        <v>El PEI muestra coherencia, aunque los principios se inclinan a la norma. Urge un proceso curricular participativo, formalizado por Resolución Rectoral. El MC cumple la ley, pero necesita mayor contextualización.</v>
      </c>
      <c r="S79" s="11" t="str">
        <f>IFERROR(IF(VLOOKUP(A79,[1]PRIORIZADOS!$A:$S,19,FALSE)="","",VLOOKUP(A79,[1]PRIORIZADOS!$A:$S,19,FALSE)),"")</f>
        <v>PEI y MC cumplen, pero el currículo y principios deben ser más contextualizados y formalizados con participación.</v>
      </c>
      <c r="T79" s="70" t="str">
        <f>IFERROR(IF(VLOOKUP(A79,[1]PRIORIZADOS!$A:$T,20,FALSE)="","",VLOOKUP(A79,[1]PRIORIZADOS!$A:$T,20,FALSE)),"")</f>
        <v>No</v>
      </c>
      <c r="U79" s="11" t="str">
        <f>IFERROR(IF(VLOOKUP(A79,[1]PRIORIZADOS!$A:$U,21,FALSE)="","",VLOOKUP(A79,[1]PRIORIZADOS!$A:$U,21,FALSE)),"")</f>
        <v>Verificar nuevamente en caso de requerirse.</v>
      </c>
    </row>
    <row r="80" spans="1:21" s="1" customFormat="1" ht="84">
      <c r="A80" s="69">
        <f>IF([1]PRIORIZADOS!A81="","",[1]PRIORIZADOS!A81)</f>
        <v>78</v>
      </c>
      <c r="B80" s="87">
        <v>9</v>
      </c>
      <c r="C80" s="11" t="str">
        <f>IFERROR(IF(VLOOKUP(A80,[1]PRIORIZADOS!$A:$C,3,FALSE)="","",VLOOKUP(A80,[1]PRIORIZADOS!$A:$C,3,FALSE)),"")</f>
        <v>ANTONIO NARIÑO</v>
      </c>
      <c r="D80" s="69" t="str">
        <f>IFERROR(IF(VLOOKUP(A80,[1]PRIORIZADOS!$A:$D,4,FALSE)="","",VLOOKUP(A80,[1]PRIORIZADOS!$A:$D,4,FALSE)),"")</f>
        <v>PRIVADO</v>
      </c>
      <c r="E80" s="69" t="str">
        <f>IFERROR(IF(VLOOKUP(A80,[1]PRIORIZADOS!$A:$E,5,FALSE)="","",VLOOKUP(A80,[1]PRIORIZADOS!$A:$E,5,FALSE)),"")</f>
        <v>Educación Inicial</v>
      </c>
      <c r="F80" s="11" t="str">
        <f>IFERROR(IF(VLOOKUP(A80,[1]PRIORIZADOS!$A:$F,6,FALSE)="","",VLOOKUP(A80,[1]PRIORIZADOS!$A:$F,6,FALSE)),"")</f>
        <v>INSTITUTO_JULIO_MARIA_MATOVELLE</v>
      </c>
      <c r="G80" s="69" t="str">
        <f>IFERROR(IF(VLOOKUP(A80,[1]PRIORIZADOS!$A:$G,7,FALSE)="","",VLOOKUP(A80,[1]PRIORIZADOS!$A:$G,7,FALSE)),"")</f>
        <v>INSTITUTO JULIO MARIA MATOVELLE</v>
      </c>
      <c r="H80" s="11" t="str">
        <f>IFERROR(IF(VLOOKUP(A80,[1]PRIORIZADOS!$A:$H,8,FALSE)="","",VLOOKUP(A80,[1]PRIORIZADOS!$A:$H,8,FALSE)),"")</f>
        <v>Autoevaluación Institucional y Pruebas SABER 11</v>
      </c>
      <c r="I80" s="11" t="str">
        <f>IFERROR(IF(VLOOKUP(A80,[1]PRIORIZADOS!$A:$I,9,FALSE)="","",VLOOKUP(A80,[1]PRIORIZADOS!$A:$I,9,FALSE)),"")</f>
        <v>EVALUACIÓN_CON_FINES_DE_MEJORAMIENTO.</v>
      </c>
      <c r="J80" s="11" t="str">
        <f>IFERROR(IF(VLOOKUP(A80,[1]PRIORIZADOS!$A:$J,10,FALSE)="","",VLOOKUP(A80,[1]PRIORIZADOS!$A:$J,10,FALSE)),"")</f>
        <v>Revisar la actualización, socialización e implementación del Sistema Institucional de Evaluación de Estudiantes - SIEE, en articulación con la actualización del PEI y la normatividad vigente.</v>
      </c>
      <c r="K80" s="11" t="str">
        <f>IFERROR(IF(VLOOKUP(A80,[1]PRIORIZADOS!$A:$K,11,FALSE)="","",VLOOKUP(A80,[1]PRIORIZADOS!$A:$K,11,FALSE)),"")</f>
        <v>JOSÉ RODRIGO QUILAGUY BERNAL</v>
      </c>
      <c r="L80" s="11" t="str">
        <f>IFERROR(IF(VLOOKUP(A80,[1]PRIORIZADOS!$A:$L,12,FALSE)="","",VLOOKUP(A80,[1]PRIORIZADOS!$A:$L,12,FALSE)),"")</f>
        <v>ORLANDO SUÁREZ SOTO</v>
      </c>
      <c r="M80" s="88">
        <f>IFERROR(IF(VLOOKUP(A80,[1]PRIORIZADOS!$A:$M,13,FALSE)="","",VLOOKUP(A80,[1]PRIORIZADOS!$A:$M,13,FALSE)),"")</f>
        <v>45855</v>
      </c>
      <c r="N80" s="88">
        <f>IFERROR(IF(VLOOKUP(A80,[1]PRIORIZADOS!$A:$N,14,FALSE)="","",VLOOKUP(A80,[1]PRIORIZADOS!$A:$N,14,FALSE)),"")</f>
        <v>45793</v>
      </c>
      <c r="O80" s="88">
        <f>IFERROR(IF(VLOOKUP(A80,[1]PRIORIZADOS!$A:$O,15,FALSE)="","",VLOOKUP(A80,[1]PRIORIZADOS!$A:$O,15,FALSE)),"")</f>
        <v>45793</v>
      </c>
      <c r="P80" s="16" t="str">
        <f>IFERROR(IF(VLOOKUP(A80,[1]PRIORIZADOS!$A:$P,16,FALSE)="","",VLOOKUP(A80,[1]PRIORIZADOS!$A:$P,16,FALSE)),"")</f>
        <v>Visitas de evaluación con fines de mejoramiento</v>
      </c>
      <c r="Q80" s="89" t="s">
        <v>34</v>
      </c>
      <c r="R80" s="90" t="str">
        <f>IFERROR(IF(VLOOKUP(A80,[1]PRIORIZADOS!$A:$R,18,FALSE)="","",VLOOKUP(A80,[1]PRIORIZADOS!$A:$R,18,FALSE)),"")</f>
        <v>Evidencian la trazabilidad y el registro de actividades académicas y procesos de seguimiento. La institución cuenta con un manual que contempla diversas estrategias pedagógicas y de apoyo (evaluación formativa, nivelación, apoyo psicosocial, ajustes curriculares y seguimiento)</v>
      </c>
      <c r="S80" s="11" t="str">
        <f>IFERROR(IF(VLOOKUP(A80,[1]PRIORIZADOS!$A:$S,19,FALSE)="","",VLOOKUP(A80,[1]PRIORIZADOS!$A:$S,19,FALSE)),"")</f>
        <v>La IE demuestra buena gestión académica y apoyo con estrategias documentadas y diversas para las necesidades estudiantiles</v>
      </c>
      <c r="T80" s="70" t="str">
        <f>IFERROR(IF(VLOOKUP(A80,[1]PRIORIZADOS!$A:$T,20,FALSE)="","",VLOOKUP(A80,[1]PRIORIZADOS!$A:$T,20,FALSE)),"")</f>
        <v>No</v>
      </c>
      <c r="U80" s="11" t="str">
        <f>IFERROR(IF(VLOOKUP(A80,[1]PRIORIZADOS!$A:$U,21,FALSE)="","",VLOOKUP(A80,[1]PRIORIZADOS!$A:$U,21,FALSE)),"")</f>
        <v>Verificar nuevamente en caso de requerirse.</v>
      </c>
    </row>
    <row r="81" spans="1:21" s="1" customFormat="1" ht="60">
      <c r="A81" s="69">
        <f>IF([1]PRIORIZADOS!A82="","",[1]PRIORIZADOS!A82)</f>
        <v>79</v>
      </c>
      <c r="B81" s="87">
        <v>9</v>
      </c>
      <c r="C81" s="11" t="str">
        <f>IFERROR(IF(VLOOKUP(A81,[1]PRIORIZADOS!$A:$C,3,FALSE)="","",VLOOKUP(A81,[1]PRIORIZADOS!$A:$C,3,FALSE)),"")</f>
        <v>ANTONIO NARIÑO</v>
      </c>
      <c r="D81" s="69" t="str">
        <f>IFERROR(IF(VLOOKUP(A81,[1]PRIORIZADOS!$A:$D,4,FALSE)="","",VLOOKUP(A81,[1]PRIORIZADOS!$A:$D,4,FALSE)),"")</f>
        <v>PRIVADO</v>
      </c>
      <c r="E81" s="69" t="str">
        <f>IFERROR(IF(VLOOKUP(A81,[1]PRIORIZADOS!$A:$E,5,FALSE)="","",VLOOKUP(A81,[1]PRIORIZADOS!$A:$E,5,FALSE)),"")</f>
        <v>Educación Inicial</v>
      </c>
      <c r="F81" s="11" t="str">
        <f>IFERROR(IF(VLOOKUP(A81,[1]PRIORIZADOS!$A:$F,6,FALSE)="","",VLOOKUP(A81,[1]PRIORIZADOS!$A:$F,6,FALSE)),"")</f>
        <v>INSTITUTO_JULIO_MARIA_MATOVELLE</v>
      </c>
      <c r="G81" s="69" t="str">
        <f>IFERROR(IF(VLOOKUP(A81,[1]PRIORIZADOS!$A:$G,7,FALSE)="","",VLOOKUP(A81,[1]PRIORIZADOS!$A:$G,7,FALSE)),"")</f>
        <v>INSTITUTO JULIO MARIA MATOVELLE</v>
      </c>
      <c r="H81" s="11" t="str">
        <f>IFERROR(IF(VLOOKUP(A81,[1]PRIORIZADOS!$A:$H,8,FALSE)="","",VLOOKUP(A81,[1]PRIORIZADOS!$A:$H,8,FALSE)),"")</f>
        <v>Autoevaluación Institucional y Pruebas SABER 11</v>
      </c>
      <c r="I81" s="11" t="str">
        <f>IFERROR(IF(VLOOKUP(A81,[1]PRIORIZADOS!$A:$I,9,FALSE)="","",VLOOKUP(A81,[1]PRIORIZADOS!$A:$I,9,FALSE)),"")</f>
        <v>EVALUACIÓN_CON_FINES_DE_MEJORAMIENTO.</v>
      </c>
      <c r="J81" s="11" t="str">
        <f>IFERROR(IF(VLOOKUP(A81,[1]PRIORIZADOS!$A:$J,10,FALSE)="","",VLOOKUP(A81,[1]PRIORIZADOS!$A:$J,10,FALSE)),"")</f>
        <v>Revisar el calendario escolar, jornada escolar, la intensidad horaria mínima anual en cada nivel y las modificaciones que se realicen al mismo, de acuerdo con lo previsto en la normatividad vigente.</v>
      </c>
      <c r="K81" s="11" t="str">
        <f>IFERROR(IF(VLOOKUP(A81,[1]PRIORIZADOS!$A:$K,11,FALSE)="","",VLOOKUP(A81,[1]PRIORIZADOS!$A:$K,11,FALSE)),"")</f>
        <v>JOSÉ RODRIGO QUILAGUY BERNAL</v>
      </c>
      <c r="L81" s="11" t="str">
        <f>IFERROR(IF(VLOOKUP(A81,[1]PRIORIZADOS!$A:$L,12,FALSE)="","",VLOOKUP(A81,[1]PRIORIZADOS!$A:$L,12,FALSE)),"")</f>
        <v>ORLANDO SUÁREZ SOTO</v>
      </c>
      <c r="M81" s="88">
        <f>IFERROR(IF(VLOOKUP(A81,[1]PRIORIZADOS!$A:$M,13,FALSE)="","",VLOOKUP(A81,[1]PRIORIZADOS!$A:$M,13,FALSE)),"")</f>
        <v>45855</v>
      </c>
      <c r="N81" s="88">
        <f>IFERROR(IF(VLOOKUP(A81,[1]PRIORIZADOS!$A:$N,14,FALSE)="","",VLOOKUP(A81,[1]PRIORIZADOS!$A:$N,14,FALSE)),"")</f>
        <v>45793</v>
      </c>
      <c r="O81" s="88">
        <f>IFERROR(IF(VLOOKUP(A81,[1]PRIORIZADOS!$A:$O,15,FALSE)="","",VLOOKUP(A81,[1]PRIORIZADOS!$A:$O,15,FALSE)),"")</f>
        <v>45793</v>
      </c>
      <c r="P81" s="16" t="str">
        <f>IFERROR(IF(VLOOKUP(A81,[1]PRIORIZADOS!$A:$P,16,FALSE)="","",VLOOKUP(A81,[1]PRIORIZADOS!$A:$P,16,FALSE)),"")</f>
        <v>Visitas de evaluación con fines de mejoramiento</v>
      </c>
      <c r="Q81" s="89" t="s">
        <v>34</v>
      </c>
      <c r="R81" s="90" t="str">
        <f>IFERROR(IF(VLOOKUP(A81,[1]PRIORIZADOS!$A:$R,18,FALSE)="","",VLOOKUP(A81,[1]PRIORIZADOS!$A:$R,18,FALSE)),"")</f>
        <v>Se constata que la Institución Educativa garantiza el cumplimiento de la intensidad horaria mínima anual establecida para cada el nivel educativo que ofrece.</v>
      </c>
      <c r="S81" s="11" t="str">
        <f>IFERROR(IF(VLOOKUP(A81,[1]PRIORIZADOS!$A:$S,19,FALSE)="","",VLOOKUP(A81,[1]PRIORIZADOS!$A:$S,19,FALSE)),"")</f>
        <v>Se concluye que el establecimiento educativo está dando pleno cumplimiento a la normativa vigente en cuanto a la organización del calendario y la jornada escolar</v>
      </c>
      <c r="T81" s="70" t="str">
        <f>IFERROR(IF(VLOOKUP(A81,[1]PRIORIZADOS!$A:$T,20,FALSE)="","",VLOOKUP(A81,[1]PRIORIZADOS!$A:$T,20,FALSE)),"")</f>
        <v>No</v>
      </c>
      <c r="U81" s="11" t="str">
        <f>IFERROR(IF(VLOOKUP(A81,[1]PRIORIZADOS!$A:$U,21,FALSE)="","",VLOOKUP(A81,[1]PRIORIZADOS!$A:$U,21,FALSE)),"")</f>
        <v>Verificar nuevamente en caso de requerirse.</v>
      </c>
    </row>
    <row r="82" spans="1:21" s="1" customFormat="1" ht="48">
      <c r="A82" s="69">
        <f>IF([1]PRIORIZADOS!A83="","",[1]PRIORIZADOS!A83)</f>
        <v>80</v>
      </c>
      <c r="B82" s="87">
        <v>9</v>
      </c>
      <c r="C82" s="11" t="str">
        <f>IFERROR(IF(VLOOKUP(A82,[1]PRIORIZADOS!$A:$C,3,FALSE)="","",VLOOKUP(A82,[1]PRIORIZADOS!$A:$C,3,FALSE)),"")</f>
        <v>ANTONIO NARIÑO</v>
      </c>
      <c r="D82" s="69" t="str">
        <f>IFERROR(IF(VLOOKUP(A82,[1]PRIORIZADOS!$A:$D,4,FALSE)="","",VLOOKUP(A82,[1]PRIORIZADOS!$A:$D,4,FALSE)),"")</f>
        <v>PRIVADO</v>
      </c>
      <c r="E82" s="69" t="str">
        <f>IFERROR(IF(VLOOKUP(A82,[1]PRIORIZADOS!$A:$E,5,FALSE)="","",VLOOKUP(A82,[1]PRIORIZADOS!$A:$E,5,FALSE)),"")</f>
        <v>Educación Inicial</v>
      </c>
      <c r="F82" s="11" t="str">
        <f>IFERROR(IF(VLOOKUP(A82,[1]PRIORIZADOS!$A:$F,6,FALSE)="","",VLOOKUP(A82,[1]PRIORIZADOS!$A:$F,6,FALSE)),"")</f>
        <v>INSTITUTO_JULIO_MARIA_MATOVELLE</v>
      </c>
      <c r="G82" s="69" t="str">
        <f>IFERROR(IF(VLOOKUP(A82,[1]PRIORIZADOS!$A:$G,7,FALSE)="","",VLOOKUP(A82,[1]PRIORIZADOS!$A:$G,7,FALSE)),"")</f>
        <v>INSTITUTO JULIO MARIA MATOVELLE</v>
      </c>
      <c r="H82" s="11" t="str">
        <f>IFERROR(IF(VLOOKUP(A82,[1]PRIORIZADOS!$A:$H,8,FALSE)="","",VLOOKUP(A82,[1]PRIORIZADOS!$A:$H,8,FALSE)),"")</f>
        <v>Autoevaluación Institucional y Pruebas SABER 11</v>
      </c>
      <c r="I82" s="11" t="str">
        <f>IFERROR(IF(VLOOKUP(A82,[1]PRIORIZADOS!$A:$I,9,FALSE)="","",VLOOKUP(A82,[1]PRIORIZADOS!$A:$I,9,FALSE)),"")</f>
        <v>EVALUACIÓN_CON_FINES_DE_MEJORAMIENTO.</v>
      </c>
      <c r="J82" s="11" t="str">
        <f>IFERROR(IF(VLOOKUP(A82,[1]PRIORIZADOS!$A:$J,10,FALSE)="","",VLOOKUP(A82,[1]PRIORIZADOS!$A:$J,10,FALSE)),"")</f>
        <v>Verificar el funcionamiento del Gobierno Escolar e instancias de participación con base en la información sobre conformación reportada por la institución educativa.</v>
      </c>
      <c r="K82" s="11" t="str">
        <f>IFERROR(IF(VLOOKUP(A82,[1]PRIORIZADOS!$A:$K,11,FALSE)="","",VLOOKUP(A82,[1]PRIORIZADOS!$A:$K,11,FALSE)),"")</f>
        <v>JOSÉ RODRIGO QUILAGUY BERNAL</v>
      </c>
      <c r="L82" s="11" t="str">
        <f>IFERROR(IF(VLOOKUP(A82,[1]PRIORIZADOS!$A:$L,12,FALSE)="","",VLOOKUP(A82,[1]PRIORIZADOS!$A:$L,12,FALSE)),"")</f>
        <v>ORLANDO SUÁREZ SOTO</v>
      </c>
      <c r="M82" s="88">
        <f>IFERROR(IF(VLOOKUP(A82,[1]PRIORIZADOS!$A:$M,13,FALSE)="","",VLOOKUP(A82,[1]PRIORIZADOS!$A:$M,13,FALSE)),"")</f>
        <v>45855</v>
      </c>
      <c r="N82" s="88">
        <f>IFERROR(IF(VLOOKUP(A82,[1]PRIORIZADOS!$A:$N,14,FALSE)="","",VLOOKUP(A82,[1]PRIORIZADOS!$A:$N,14,FALSE)),"")</f>
        <v>45793</v>
      </c>
      <c r="O82" s="88">
        <f>IFERROR(IF(VLOOKUP(A82,[1]PRIORIZADOS!$A:$O,15,FALSE)="","",VLOOKUP(A82,[1]PRIORIZADOS!$A:$O,15,FALSE)),"")</f>
        <v>45793</v>
      </c>
      <c r="P82" s="16" t="str">
        <f>IFERROR(IF(VLOOKUP(A82,[1]PRIORIZADOS!$A:$P,16,FALSE)="","",VLOOKUP(A82,[1]PRIORIZADOS!$A:$P,16,FALSE)),"")</f>
        <v>Visitas de evaluación con fines de mejoramiento</v>
      </c>
      <c r="Q82" s="89" t="s">
        <v>34</v>
      </c>
      <c r="R82" s="90" t="str">
        <f>IFERROR(IF(VLOOKUP(A82,[1]PRIORIZADOS!$A:$R,18,FALSE)="","",VLOOKUP(A82,[1]PRIORIZADOS!$A:$R,18,FALSE)),"")</f>
        <v>Gobierno Escolar y Comisión de Evaluación operan con funciones claras y registro en actas. Buen seguimiento académico.</v>
      </c>
      <c r="S82" s="11" t="str">
        <f>IFERROR(IF(VLOOKUP(A82,[1]PRIORIZADOS!$A:$S,19,FALSE)="","",VLOOKUP(A82,[1]PRIORIZADOS!$A:$S,19,FALSE)),"")</f>
        <v>IE demuestra operatividad del Gobierno Escolar y Comisión de Evaluación, con seguimiento académico efectivo.</v>
      </c>
      <c r="T82" s="70" t="str">
        <f>IFERROR(IF(VLOOKUP(A82,[1]PRIORIZADOS!$A:$T,20,FALSE)="","",VLOOKUP(A82,[1]PRIORIZADOS!$A:$T,20,FALSE)),"")</f>
        <v>No</v>
      </c>
      <c r="U82" s="11" t="str">
        <f>IFERROR(IF(VLOOKUP(A82,[1]PRIORIZADOS!$A:$U,21,FALSE)="","",VLOOKUP(A82,[1]PRIORIZADOS!$A:$U,21,FALSE)),"")</f>
        <v>Verificar nuevamente en caso de requerirse.</v>
      </c>
    </row>
    <row r="83" spans="1:21" s="1" customFormat="1" ht="48">
      <c r="A83" s="69">
        <f>IF([1]PRIORIZADOS!A84="","",[1]PRIORIZADOS!A84)</f>
        <v>81</v>
      </c>
      <c r="B83" s="87">
        <v>9</v>
      </c>
      <c r="C83" s="11" t="str">
        <f>IFERROR(IF(VLOOKUP(A83,[1]PRIORIZADOS!$A:$C,3,FALSE)="","",VLOOKUP(A83,[1]PRIORIZADOS!$A:$C,3,FALSE)),"")</f>
        <v>ANTONIO NARIÑO</v>
      </c>
      <c r="D83" s="69" t="str">
        <f>IFERROR(IF(VLOOKUP(A83,[1]PRIORIZADOS!$A:$D,4,FALSE)="","",VLOOKUP(A83,[1]PRIORIZADOS!$A:$D,4,FALSE)),"")</f>
        <v>PRIVADO</v>
      </c>
      <c r="E83" s="69" t="str">
        <f>IFERROR(IF(VLOOKUP(A83,[1]PRIORIZADOS!$A:$E,5,FALSE)="","",VLOOKUP(A83,[1]PRIORIZADOS!$A:$E,5,FALSE)),"")</f>
        <v>Educación Inicial</v>
      </c>
      <c r="F83" s="11" t="str">
        <f>IFERROR(IF(VLOOKUP(A83,[1]PRIORIZADOS!$A:$F,6,FALSE)="","",VLOOKUP(A83,[1]PRIORIZADOS!$A:$F,6,FALSE)),"")</f>
        <v>INSTITUTO_JULIO_MARIA_MATOVELLE</v>
      </c>
      <c r="G83" s="69" t="str">
        <f>IFERROR(IF(VLOOKUP(A83,[1]PRIORIZADOS!$A:$G,7,FALSE)="","",VLOOKUP(A83,[1]PRIORIZADOS!$A:$G,7,FALSE)),"")</f>
        <v>INSTITUTO JULIO MARIA MATOVELLE</v>
      </c>
      <c r="H83" s="11" t="str">
        <f>IFERROR(IF(VLOOKUP(A83,[1]PRIORIZADOS!$A:$H,8,FALSE)="","",VLOOKUP(A83,[1]PRIORIZADOS!$A:$H,8,FALSE)),"")</f>
        <v>Autoevaluación Institucional y Pruebas SABER 11</v>
      </c>
      <c r="I83" s="11" t="str">
        <f>IFERROR(IF(VLOOKUP(A83,[1]PRIORIZADOS!$A:$I,9,FALSE)="","",VLOOKUP(A83,[1]PRIORIZADOS!$A:$I,9,FALSE)),"")</f>
        <v>EVALUACIÓN_CON_FINES_DE_MEJORAMIENTO.</v>
      </c>
      <c r="J83" s="11" t="str">
        <f>IFERROR(IF(VLOOKUP(A83,[1]PRIORIZADOS!$A:$J,10,FALSE)="","",VLOOKUP(A83,[1]PRIORIZADOS!$A:$J,10,FALSE)),"")</f>
        <v>Verificar las condiciones en cuanto a: la estructura administrativa, condiciones de la planta física y medios educativos adecuados.</v>
      </c>
      <c r="K83" s="11" t="str">
        <f>IFERROR(IF(VLOOKUP(A83,[1]PRIORIZADOS!$A:$K,11,FALSE)="","",VLOOKUP(A83,[1]PRIORIZADOS!$A:$K,11,FALSE)),"")</f>
        <v>JOSÉ RODRIGO QUILAGUY BERNAL</v>
      </c>
      <c r="L83" s="11" t="str">
        <f>IFERROR(IF(VLOOKUP(A83,[1]PRIORIZADOS!$A:$L,12,FALSE)="","",VLOOKUP(A83,[1]PRIORIZADOS!$A:$L,12,FALSE)),"")</f>
        <v>ORLANDO SUÁREZ SOTO</v>
      </c>
      <c r="M83" s="88">
        <f>IFERROR(IF(VLOOKUP(A83,[1]PRIORIZADOS!$A:$M,13,FALSE)="","",VLOOKUP(A83,[1]PRIORIZADOS!$A:$M,13,FALSE)),"")</f>
        <v>45855</v>
      </c>
      <c r="N83" s="88">
        <f>IFERROR(IF(VLOOKUP(A83,[1]PRIORIZADOS!$A:$N,14,FALSE)="","",VLOOKUP(A83,[1]PRIORIZADOS!$A:$N,14,FALSE)),"")</f>
        <v>45793</v>
      </c>
      <c r="O83" s="88">
        <f>IFERROR(IF(VLOOKUP(A83,[1]PRIORIZADOS!$A:$O,15,FALSE)="","",VLOOKUP(A83,[1]PRIORIZADOS!$A:$O,15,FALSE)),"")</f>
        <v>45793</v>
      </c>
      <c r="P83" s="16" t="str">
        <f>IFERROR(IF(VLOOKUP(A83,[1]PRIORIZADOS!$A:$P,16,FALSE)="","",VLOOKUP(A83,[1]PRIORIZADOS!$A:$P,16,FALSE)),"")</f>
        <v>Visitas de evaluación con fines de mejoramiento</v>
      </c>
      <c r="Q83" s="89" t="s">
        <v>34</v>
      </c>
      <c r="R83" s="90" t="str">
        <f>IFERROR(IF(VLOOKUP(A83,[1]PRIORIZADOS!$A:$R,18,FALSE)="","",VLOOKUP(A83,[1]PRIORIZADOS!$A:$R,18,FALSE)),"")</f>
        <v>Ambientes y medios educativos adecuados, salvo infraestructura para discapacidad física. Espacios óptimos y mantenidos.</v>
      </c>
      <c r="S83" s="11" t="str">
        <f>IFERROR(IF(VLOOKUP(A83,[1]PRIORIZADOS!$A:$S,19,FALSE)="","",VLOOKUP(A83,[1]PRIORIZADOS!$A:$S,19,FALSE)),"")</f>
        <v>La Infraestructura y recursos son adecuados.</v>
      </c>
      <c r="T83" s="70" t="str">
        <f>IFERROR(IF(VLOOKUP(A83,[1]PRIORIZADOS!$A:$T,20,FALSE)="","",VLOOKUP(A83,[1]PRIORIZADOS!$A:$T,20,FALSE)),"")</f>
        <v>No</v>
      </c>
      <c r="U83" s="11" t="str">
        <f>IFERROR(IF(VLOOKUP(A83,[1]PRIORIZADOS!$A:$U,21,FALSE)="","",VLOOKUP(A83,[1]PRIORIZADOS!$A:$U,21,FALSE)),"")</f>
        <v>Verificar nuevamente en caso de requerirse.</v>
      </c>
    </row>
    <row r="84" spans="1:21" s="1" customFormat="1" ht="60">
      <c r="A84" s="69">
        <f>IF([1]PRIORIZADOS!A85="","",[1]PRIORIZADOS!A85)</f>
        <v>82</v>
      </c>
      <c r="B84" s="87">
        <f>IFERROR(IF(VLOOKUP(A84,[1]PRIORIZADOS!$A:$B,2,FALSE)="","",VLOOKUP(A84,[1]PRIORIZADOS!$A:$B,2,FALSE)),"")</f>
        <v>10</v>
      </c>
      <c r="C84" s="11" t="str">
        <f>IFERROR(IF(VLOOKUP(A84,[1]PRIORIZADOS!$A:$C,3,FALSE)="","",VLOOKUP(A84,[1]PRIORIZADOS!$A:$C,3,FALSE)),"")</f>
        <v>ANTONIO NARIÑO</v>
      </c>
      <c r="D84" s="69" t="str">
        <f>IFERROR(IF(VLOOKUP(A84,[1]PRIORIZADOS!$A:$D,4,FALSE)="","",VLOOKUP(A84,[1]PRIORIZADOS!$A:$D,4,FALSE)),"")</f>
        <v>PRIVADO</v>
      </c>
      <c r="E84" s="69" t="str">
        <f>IFERROR(IF(VLOOKUP(A84,[1]PRIORIZADOS!$A:$E,5,FALSE)="","",VLOOKUP(A84,[1]PRIORIZADOS!$A:$E,5,FALSE)),"")</f>
        <v>EPBM</v>
      </c>
      <c r="F84" s="11" t="str">
        <f>IFERROR(IF(VLOOKUP(A84,[1]PRIORIZADOS!$A:$F,6,FALSE)="","",VLOOKUP(A84,[1]PRIORIZADOS!$A:$F,6,FALSE)),"")</f>
        <v>CENTRO_EDUCATIVO_DE_NUESTRA_SEÑORA_DE_LA_PAZ</v>
      </c>
      <c r="G84" s="69" t="str">
        <f>IFERROR(IF(VLOOKUP(A84,[1]PRIORIZADOS!$A:$G,7,FALSE)="","",VLOOKUP(A84,[1]PRIORIZADOS!$A:$G,7,FALSE)),"")</f>
        <v>CENTRO EDUCATIVO DE NUESTRA SEÑORA DE LA PAZ</v>
      </c>
      <c r="H84" s="11" t="str">
        <f>IFERROR(IF(VLOOKUP(A84,[1]PRIORIZADOS!$A:$H,8,FALSE)="","",VLOOKUP(A84,[1]PRIORIZADOS!$A:$H,8,FALSE)),"")</f>
        <v>Convivencia escolar</v>
      </c>
      <c r="I84" s="11" t="str">
        <f>IFERROR(IF(VLOOKUP(A84,[1]PRIORIZADOS!$A:$I,9,FALSE)="","",VLOOKUP(A84,[1]PRIORIZADOS!$A:$I,9,FALSE)),"")</f>
        <v>SEGUIMIENTO_Y_SUPERVISIÓN.</v>
      </c>
      <c r="J84" s="11" t="str">
        <f>IFERROR(IF(VLOOKUP(A84,[1]PRIORIZADOS!$A:$J,10,FALSE)="","",VLOOKUP(A84,[1]PRIORIZADOS!$A:$J,10,FALSE)),"")</f>
        <v xml:space="preserve">Verificar la implementación por parte de los colegios, de acciones realizadas para la prevención y atención de las situaciones de convivencia en el entorno escolar, según lo establecido en la Directiva 01 de 2022 del MEN. </v>
      </c>
      <c r="K84" s="11" t="str">
        <f>IFERROR(IF(VLOOKUP(A84,[1]PRIORIZADOS!$A:$K,11,FALSE)="","",VLOOKUP(A84,[1]PRIORIZADOS!$A:$K,11,FALSE)),"")</f>
        <v>JOSÉ RODRIGO QUILAGUY BERNAL</v>
      </c>
      <c r="L84" s="11" t="str">
        <f>IFERROR(IF(VLOOKUP(A84,[1]PRIORIZADOS!$A:$L,12,FALSE)="","",VLOOKUP(A84,[1]PRIORIZADOS!$A:$L,12,FALSE)),"")</f>
        <v>ORLANDO SUÁREZ SOTO</v>
      </c>
      <c r="M84" s="88">
        <f>IFERROR(IF(VLOOKUP(A84,[1]PRIORIZADOS!$A:$M,13,FALSE)="","",VLOOKUP(A84,[1]PRIORIZADOS!$A:$M,13,FALSE)),"")</f>
        <v>45881</v>
      </c>
      <c r="N84" s="88">
        <f>IFERROR(IF(VLOOKUP(A84,[1]PRIORIZADOS!$A:$N,14,FALSE)="","",VLOOKUP(A84,[1]PRIORIZADOS!$A:$N,14,FALSE)),"")</f>
        <v>45797</v>
      </c>
      <c r="O84" s="88">
        <f>IFERROR(IF(VLOOKUP(A84,[1]PRIORIZADOS!$A:$O,15,FALSE)="","",VLOOKUP(A84,[1]PRIORIZADOS!$A:$O,15,FALSE)),"")</f>
        <v>45797</v>
      </c>
      <c r="P84" s="16" t="str">
        <f>IFERROR(IF(VLOOKUP(A84,[1]PRIORIZADOS!$A:$P,16,FALSE)="","",VLOOKUP(A84,[1]PRIORIZADOS!$A:$P,16,FALSE)),"")</f>
        <v>Visitas de evaluación con fines de seguimiento</v>
      </c>
      <c r="Q84" s="89" t="s">
        <v>35</v>
      </c>
      <c r="R84" s="90" t="str">
        <f>IFERROR(IF(VLOOKUP(A84,[1]PRIORIZADOS!$A:$R,18,FALSE)="","",VLOOKUP(A84,[1]PRIORIZADOS!$A:$R,18,FALSE)),"")</f>
        <v>Se constata la consulta cuatrimestral de inhabilidades por delitos sexuales del personal en la Policía Nacional, conforme Directiva 01 MEN 2022. Soportes documentales en hojas de vida.</v>
      </c>
      <c r="S84" s="11" t="str">
        <f>IFERROR(IF(VLOOKUP(A84,[1]PRIORIZADOS!$A:$S,19,FALSE)="","",VLOOKUP(A84,[1]PRIORIZADOS!$A:$S,19,FALSE)),"")</f>
        <v>IE cumple la Directiva 01 MEN 2022 al verificar inhabilidades.</v>
      </c>
      <c r="T84" s="70" t="str">
        <f>IFERROR(IF(VLOOKUP(A84,[1]PRIORIZADOS!$A:$T,20,FALSE)="","",VLOOKUP(A84,[1]PRIORIZADOS!$A:$T,20,FALSE)),"")</f>
        <v>No</v>
      </c>
      <c r="U84" s="11" t="str">
        <f>IFERROR(IF(VLOOKUP(A84,[1]PRIORIZADOS!$A:$U,21,FALSE)="","",VLOOKUP(A84,[1]PRIORIZADOS!$A:$U,21,FALSE)),"")</f>
        <v>Verificar nuevamente en caso de requerirse.</v>
      </c>
    </row>
    <row r="85" spans="1:21" s="1" customFormat="1" ht="72">
      <c r="A85" s="69">
        <f>IF([1]PRIORIZADOS!A86="","",[1]PRIORIZADOS!A86)</f>
        <v>83</v>
      </c>
      <c r="B85" s="87">
        <v>10</v>
      </c>
      <c r="C85" s="11" t="str">
        <f>IFERROR(IF(VLOOKUP(A85,[1]PRIORIZADOS!$A:$C,3,FALSE)="","",VLOOKUP(A85,[1]PRIORIZADOS!$A:$C,3,FALSE)),"")</f>
        <v>ANTONIO NARIÑO</v>
      </c>
      <c r="D85" s="69" t="str">
        <f>IFERROR(IF(VLOOKUP(A85,[1]PRIORIZADOS!$A:$D,4,FALSE)="","",VLOOKUP(A85,[1]PRIORIZADOS!$A:$D,4,FALSE)),"")</f>
        <v>PRIVADO</v>
      </c>
      <c r="E85" s="69" t="str">
        <f>IFERROR(IF(VLOOKUP(A85,[1]PRIORIZADOS!$A:$E,5,FALSE)="","",VLOOKUP(A85,[1]PRIORIZADOS!$A:$E,5,FALSE)),"")</f>
        <v>EPBM</v>
      </c>
      <c r="F85" s="11" t="str">
        <f>IFERROR(IF(VLOOKUP(A85,[1]PRIORIZADOS!$A:$F,6,FALSE)="","",VLOOKUP(A85,[1]PRIORIZADOS!$A:$F,6,FALSE)),"")</f>
        <v>CENTRO_EDUCATIVO_DE_NUESTRA_SEÑORA_DE_LA_PAZ</v>
      </c>
      <c r="G85" s="69" t="str">
        <f>IFERROR(IF(VLOOKUP(A85,[1]PRIORIZADOS!$A:$G,7,FALSE)="","",VLOOKUP(A85,[1]PRIORIZADOS!$A:$G,7,FALSE)),"")</f>
        <v>CENTRO EDUCATIVO DE NUESTRA SEÑORA DE LA PAZ</v>
      </c>
      <c r="H85" s="11" t="str">
        <f>IFERROR(IF(VLOOKUP(A85,[1]PRIORIZADOS!$A:$H,8,FALSE)="","",VLOOKUP(A85,[1]PRIORIZADOS!$A:$H,8,FALSE)),"")</f>
        <v>Convivencia escolar</v>
      </c>
      <c r="I85" s="11" t="str">
        <f>IFERROR(IF(VLOOKUP(A85,[1]PRIORIZADOS!$A:$I,9,FALSE)="","",VLOOKUP(A85,[1]PRIORIZADOS!$A:$I,9,FALSE)),"")</f>
        <v>SEGUIMIENTO_Y_SUPERVISIÓN.</v>
      </c>
      <c r="J85" s="11" t="str">
        <f>IFERROR(IF(VLOOKUP(A85,[1]PRIORIZADOS!$A:$J,10,FALSE)="","",VLOOKUP(A85,[1]PRIORIZADOS!$A:$J,10,FALSE)),"")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5" s="11" t="str">
        <f>IFERROR(IF(VLOOKUP(A85,[1]PRIORIZADOS!$A:$K,11,FALSE)="","",VLOOKUP(A85,[1]PRIORIZADOS!$A:$K,11,FALSE)),"")</f>
        <v>JOSÉ RODRIGO QUILAGUY BERNAL</v>
      </c>
      <c r="L85" s="11" t="str">
        <f>IFERROR(IF(VLOOKUP(A85,[1]PRIORIZADOS!$A:$L,12,FALSE)="","",VLOOKUP(A85,[1]PRIORIZADOS!$A:$L,12,FALSE)),"")</f>
        <v>ORLANDO SUÁREZ SOTO</v>
      </c>
      <c r="M85" s="88">
        <f>IFERROR(IF(VLOOKUP(A85,[1]PRIORIZADOS!$A:$M,13,FALSE)="","",VLOOKUP(A85,[1]PRIORIZADOS!$A:$M,13,FALSE)),"")</f>
        <v>45881</v>
      </c>
      <c r="N85" s="88">
        <f>IFERROR(IF(VLOOKUP(A85,[1]PRIORIZADOS!$A:$N,14,FALSE)="","",VLOOKUP(A85,[1]PRIORIZADOS!$A:$N,14,FALSE)),"")</f>
        <v>45797</v>
      </c>
      <c r="O85" s="88">
        <f>IFERROR(IF(VLOOKUP(A85,[1]PRIORIZADOS!$A:$O,15,FALSE)="","",VLOOKUP(A85,[1]PRIORIZADOS!$A:$O,15,FALSE)),"")</f>
        <v>45797</v>
      </c>
      <c r="P85" s="16" t="str">
        <f>IFERROR(IF(VLOOKUP(A85,[1]PRIORIZADOS!$A:$P,16,FALSE)="","",VLOOKUP(A85,[1]PRIORIZADOS!$A:$P,16,FALSE)),"")</f>
        <v>Visitas de evaluación con fines de seguimiento</v>
      </c>
      <c r="Q85" s="89" t="s">
        <v>35</v>
      </c>
      <c r="R85" s="90" t="str">
        <f>IFERROR(IF(VLOOKUP(A85,[1]PRIORIZADOS!$A:$R,18,FALSE)="","",VLOOKUP(A85,[1]PRIORIZADOS!$A:$R,18,FALSE)),"")</f>
        <v>IE cuenta con PIAR para discapacidad, implementados con familia y apoyo fonoaudiológico colaborativo.</v>
      </c>
      <c r="S85" s="11" t="str">
        <f>IFERROR(IF(VLOOKUP(A85,[1]PRIORIZADOS!$A:$S,19,FALSE)="","",VLOOKUP(A85,[1]PRIORIZADOS!$A:$S,19,FALSE)),"")</f>
        <v>IE implementa PIARs  para discapacidad, con apoyo familiar y fonoaudiológico colaborativo.</v>
      </c>
      <c r="T85" s="70" t="str">
        <f>IFERROR(IF(VLOOKUP(A85,[1]PRIORIZADOS!$A:$T,20,FALSE)="","",VLOOKUP(A85,[1]PRIORIZADOS!$A:$T,20,FALSE)),"")</f>
        <v>No</v>
      </c>
      <c r="U85" s="11" t="str">
        <f>IFERROR(IF(VLOOKUP(A85,[1]PRIORIZADOS!$A:$U,21,FALSE)="","",VLOOKUP(A85,[1]PRIORIZADOS!$A:$U,21,FALSE)),"")</f>
        <v>Verificar nuevamente en caso de requerirse.</v>
      </c>
    </row>
    <row r="86" spans="1:21" s="1" customFormat="1" ht="84">
      <c r="A86" s="69">
        <f>IF([1]PRIORIZADOS!A87="","",[1]PRIORIZADOS!A87)</f>
        <v>84</v>
      </c>
      <c r="B86" s="87">
        <v>10</v>
      </c>
      <c r="C86" s="11" t="str">
        <f>IFERROR(IF(VLOOKUP(A86,[1]PRIORIZADOS!$A:$C,3,FALSE)="","",VLOOKUP(A86,[1]PRIORIZADOS!$A:$C,3,FALSE)),"")</f>
        <v>ANTONIO NARIÑO</v>
      </c>
      <c r="D86" s="69" t="str">
        <f>IFERROR(IF(VLOOKUP(A86,[1]PRIORIZADOS!$A:$D,4,FALSE)="","",VLOOKUP(A86,[1]PRIORIZADOS!$A:$D,4,FALSE)),"")</f>
        <v>PRIVADO</v>
      </c>
      <c r="E86" s="69" t="str">
        <f>IFERROR(IF(VLOOKUP(A86,[1]PRIORIZADOS!$A:$E,5,FALSE)="","",VLOOKUP(A86,[1]PRIORIZADOS!$A:$E,5,FALSE)),"")</f>
        <v>EPBM</v>
      </c>
      <c r="F86" s="11" t="str">
        <f>IFERROR(IF(VLOOKUP(A86,[1]PRIORIZADOS!$A:$F,6,FALSE)="","",VLOOKUP(A86,[1]PRIORIZADOS!$A:$F,6,FALSE)),"")</f>
        <v>CENTRO_EDUCATIVO_DE_NUESTRA_SEÑORA_DE_LA_PAZ</v>
      </c>
      <c r="G86" s="69" t="str">
        <f>IFERROR(IF(VLOOKUP(A86,[1]PRIORIZADOS!$A:$G,7,FALSE)="","",VLOOKUP(A86,[1]PRIORIZADOS!$A:$G,7,FALSE)),"")</f>
        <v>CENTRO EDUCATIVO DE NUESTRA SEÑORA DE LA PAZ</v>
      </c>
      <c r="H86" s="11" t="str">
        <f>IFERROR(IF(VLOOKUP(A86,[1]PRIORIZADOS!$A:$H,8,FALSE)="","",VLOOKUP(A86,[1]PRIORIZADOS!$A:$H,8,FALSE)),"")</f>
        <v>Convivencia escolar</v>
      </c>
      <c r="I86" s="11" t="str">
        <f>IFERROR(IF(VLOOKUP(A86,[1]PRIORIZADOS!$A:$I,9,FALSE)="","",VLOOKUP(A86,[1]PRIORIZADOS!$A:$I,9,FALSE)),"")</f>
        <v>EVALUACIÓN_CON_FINES_DE_MEJORAMIENTO.</v>
      </c>
      <c r="J86" s="11" t="str">
        <f>IFERROR(IF(VLOOKUP(A86,[1]PRIORIZADOS!$A:$J,10,FALSE)="","",VLOOKUP(A86,[1]PRIORIZADOS!$A:$J,10,FALSE)),"")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6" s="11" t="str">
        <f>IFERROR(IF(VLOOKUP(A86,[1]PRIORIZADOS!$A:$K,11,FALSE)="","",VLOOKUP(A86,[1]PRIORIZADOS!$A:$K,11,FALSE)),"")</f>
        <v>JOSÉ RODRIGO QUILAGUY BERNAL</v>
      </c>
      <c r="L86" s="11" t="str">
        <f>IFERROR(IF(VLOOKUP(A86,[1]PRIORIZADOS!$A:$L,12,FALSE)="","",VLOOKUP(A86,[1]PRIORIZADOS!$A:$L,12,FALSE)),"")</f>
        <v>ORLANDO SUÁREZ SOTO</v>
      </c>
      <c r="M86" s="88">
        <f>IFERROR(IF(VLOOKUP(A86,[1]PRIORIZADOS!$A:$M,13,FALSE)="","",VLOOKUP(A86,[1]PRIORIZADOS!$A:$M,13,FALSE)),"")</f>
        <v>45881</v>
      </c>
      <c r="N86" s="88">
        <f>IFERROR(IF(VLOOKUP(A86,[1]PRIORIZADOS!$A:$N,14,FALSE)="","",VLOOKUP(A86,[1]PRIORIZADOS!$A:$N,14,FALSE)),"")</f>
        <v>45797</v>
      </c>
      <c r="O86" s="88">
        <f>IFERROR(IF(VLOOKUP(A86,[1]PRIORIZADOS!$A:$O,15,FALSE)="","",VLOOKUP(A86,[1]PRIORIZADOS!$A:$O,15,FALSE)),"")</f>
        <v>45797</v>
      </c>
      <c r="P86" s="16" t="str">
        <f>IFERROR(IF(VLOOKUP(A86,[1]PRIORIZADOS!$A:$P,16,FALSE)="","",VLOOKUP(A86,[1]PRIORIZADOS!$A:$P,16,FALSE)),"")</f>
        <v>Visitas de evaluación con fines de mejoramiento</v>
      </c>
      <c r="Q86" s="89" t="s">
        <v>35</v>
      </c>
      <c r="R86" s="90" t="str">
        <f>IFERROR(IF(VLOOKUP(A86,[1]PRIORIZADOS!$A:$R,18,FALSE)="","",VLOOKUP(A86,[1]PRIORIZADOS!$A:$R,18,FALSE)),"")</f>
        <v>El MC es participativo y normativo. Se recomienda que la Resolución que lo aprueba derogue versiones previas explícitamente.</v>
      </c>
      <c r="S86" s="11" t="str">
        <f>IFERROR(IF(VLOOKUP(A86,[1]PRIORIZADOS!$A:$S,19,FALSE)="","",VLOOKUP(A86,[1]PRIORIZADOS!$A:$S,19,FALSE)),"")</f>
        <v>El MC cumple y es participativo; se requiere formalizar la derogación de versiones previas para claridad normativa.</v>
      </c>
      <c r="T86" s="70" t="str">
        <f>IFERROR(IF(VLOOKUP(A86,[1]PRIORIZADOS!$A:$T,20,FALSE)="","",VLOOKUP(A86,[1]PRIORIZADOS!$A:$T,20,FALSE)),"")</f>
        <v>No</v>
      </c>
      <c r="U86" s="11" t="str">
        <f>IFERROR(IF(VLOOKUP(A86,[1]PRIORIZADOS!$A:$U,21,FALSE)="","",VLOOKUP(A86,[1]PRIORIZADOS!$A:$U,21,FALSE)),"")</f>
        <v>Verificar nuevamente en caso de requerirse.</v>
      </c>
    </row>
    <row r="87" spans="1:21" s="1" customFormat="1" ht="48">
      <c r="A87" s="69">
        <f>IF([1]PRIORIZADOS!A88="","",[1]PRIORIZADOS!A88)</f>
        <v>85</v>
      </c>
      <c r="B87" s="87">
        <v>10</v>
      </c>
      <c r="C87" s="11" t="str">
        <f>IFERROR(IF(VLOOKUP(A87,[1]PRIORIZADOS!$A:$C,3,FALSE)="","",VLOOKUP(A87,[1]PRIORIZADOS!$A:$C,3,FALSE)),"")</f>
        <v>ANTONIO NARIÑO</v>
      </c>
      <c r="D87" s="69" t="str">
        <f>IFERROR(IF(VLOOKUP(A87,[1]PRIORIZADOS!$A:$D,4,FALSE)="","",VLOOKUP(A87,[1]PRIORIZADOS!$A:$D,4,FALSE)),"")</f>
        <v>PRIVADO</v>
      </c>
      <c r="E87" s="69" t="str">
        <f>IFERROR(IF(VLOOKUP(A87,[1]PRIORIZADOS!$A:$E,5,FALSE)="","",VLOOKUP(A87,[1]PRIORIZADOS!$A:$E,5,FALSE)),"")</f>
        <v>EPBM</v>
      </c>
      <c r="F87" s="11" t="str">
        <f>IFERROR(IF(VLOOKUP(A87,[1]PRIORIZADOS!$A:$F,6,FALSE)="","",VLOOKUP(A87,[1]PRIORIZADOS!$A:$F,6,FALSE)),"")</f>
        <v>CENTRO_EDUCATIVO_DE_NUESTRA_SEÑORA_DE_LA_PAZ</v>
      </c>
      <c r="G87" s="69" t="str">
        <f>IFERROR(IF(VLOOKUP(A87,[1]PRIORIZADOS!$A:$G,7,FALSE)="","",VLOOKUP(A87,[1]PRIORIZADOS!$A:$G,7,FALSE)),"")</f>
        <v>CENTRO EDUCATIVO DE NUESTRA SEÑORA DE LA PAZ</v>
      </c>
      <c r="H87" s="11" t="str">
        <f>IFERROR(IF(VLOOKUP(A87,[1]PRIORIZADOS!$A:$H,8,FALSE)="","",VLOOKUP(A87,[1]PRIORIZADOS!$A:$H,8,FALSE)),"")</f>
        <v>Convivencia escolar</v>
      </c>
      <c r="I87" s="11" t="str">
        <f>IFERROR(IF(VLOOKUP(A87,[1]PRIORIZADOS!$A:$I,9,FALSE)="","",VLOOKUP(A87,[1]PRIORIZADOS!$A:$I,9,FALSE)),"")</f>
        <v>EVALUACIÓN_CON_FINES_DE_MEJORAMIENTO.</v>
      </c>
      <c r="J87" s="11" t="str">
        <f>IFERROR(IF(VLOOKUP(A87,[1]PRIORIZADOS!$A:$J,10,FALSE)="","",VLOOKUP(A87,[1]PRIORIZADOS!$A:$J,10,FALSE)),"")</f>
        <v>Revisar la actualización, socialización e implementación del Sistema Institucional de Evaluación de Estudiantes - SIEE, en articulación con la actualización del PEI y la normatividad vigente.</v>
      </c>
      <c r="K87" s="11" t="str">
        <f>IFERROR(IF(VLOOKUP(A87,[1]PRIORIZADOS!$A:$K,11,FALSE)="","",VLOOKUP(A87,[1]PRIORIZADOS!$A:$K,11,FALSE)),"")</f>
        <v>JOSÉ RODRIGO QUILAGUY BERNAL</v>
      </c>
      <c r="L87" s="11" t="str">
        <f>IFERROR(IF(VLOOKUP(A87,[1]PRIORIZADOS!$A:$L,12,FALSE)="","",VLOOKUP(A87,[1]PRIORIZADOS!$A:$L,12,FALSE)),"")</f>
        <v>ORLANDO SUÁREZ SOTO</v>
      </c>
      <c r="M87" s="88">
        <f>IFERROR(IF(VLOOKUP(A87,[1]PRIORIZADOS!$A:$M,13,FALSE)="","",VLOOKUP(A87,[1]PRIORIZADOS!$A:$M,13,FALSE)),"")</f>
        <v>45881</v>
      </c>
      <c r="N87" s="88">
        <f>IFERROR(IF(VLOOKUP(A87,[1]PRIORIZADOS!$A:$N,14,FALSE)="","",VLOOKUP(A87,[1]PRIORIZADOS!$A:$N,14,FALSE)),"")</f>
        <v>45797</v>
      </c>
      <c r="O87" s="88">
        <f>IFERROR(IF(VLOOKUP(A87,[1]PRIORIZADOS!$A:$O,15,FALSE)="","",VLOOKUP(A87,[1]PRIORIZADOS!$A:$O,15,FALSE)),"")</f>
        <v>45797</v>
      </c>
      <c r="P87" s="16" t="str">
        <f>IFERROR(IF(VLOOKUP(A87,[1]PRIORIZADOS!$A:$P,16,FALSE)="","",VLOOKUP(A87,[1]PRIORIZADOS!$A:$P,16,FALSE)),"")</f>
        <v>Visitas de evaluación con fines de mejoramiento</v>
      </c>
      <c r="Q87" s="89" t="s">
        <v>35</v>
      </c>
      <c r="R87" s="90" t="str">
        <f>IFERROR(IF(VLOOKUP(A87,[1]PRIORIZADOS!$A:$R,18,FALSE)="","",VLOOKUP(A87,[1]PRIORIZADOS!$A:$R,18,FALSE)),"")</f>
        <v>SIEE con insumos y evaluación formativa. Comunicación fluida, orientación y recuperación. Se evidencia seguimiento académico.</v>
      </c>
      <c r="S87" s="11" t="str">
        <f>IFERROR(IF(VLOOKUP(A87,[1]PRIORIZADOS!$A:$S,19,FALSE)="","",VLOOKUP(A87,[1]PRIORIZADOS!$A:$S,19,FALSE)),"")</f>
        <v>El El SIEE es  funcional, con evaluación formativa, comunicación y apoyo integral al estudiante.</v>
      </c>
      <c r="T87" s="70" t="str">
        <f>IFERROR(IF(VLOOKUP(A87,[1]PRIORIZADOS!$A:$T,20,FALSE)="","",VLOOKUP(A87,[1]PRIORIZADOS!$A:$T,20,FALSE)),"")</f>
        <v>No</v>
      </c>
      <c r="U87" s="11" t="str">
        <f>IFERROR(IF(VLOOKUP(A87,[1]PRIORIZADOS!$A:$U,21,FALSE)="","",VLOOKUP(A87,[1]PRIORIZADOS!$A:$U,21,FALSE)),"")</f>
        <v>Verificar nuevamente en caso de requerirse.</v>
      </c>
    </row>
    <row r="88" spans="1:21" s="1" customFormat="1" ht="60">
      <c r="A88" s="69">
        <f>IF([1]PRIORIZADOS!A89="","",[1]PRIORIZADOS!A89)</f>
        <v>86</v>
      </c>
      <c r="B88" s="87">
        <v>10</v>
      </c>
      <c r="C88" s="11" t="str">
        <f>IFERROR(IF(VLOOKUP(A88,[1]PRIORIZADOS!$A:$C,3,FALSE)="","",VLOOKUP(A88,[1]PRIORIZADOS!$A:$C,3,FALSE)),"")</f>
        <v>ANTONIO NARIÑO</v>
      </c>
      <c r="D88" s="69" t="str">
        <f>IFERROR(IF(VLOOKUP(A88,[1]PRIORIZADOS!$A:$D,4,FALSE)="","",VLOOKUP(A88,[1]PRIORIZADOS!$A:$D,4,FALSE)),"")</f>
        <v>PRIVADO</v>
      </c>
      <c r="E88" s="69" t="str">
        <f>IFERROR(IF(VLOOKUP(A88,[1]PRIORIZADOS!$A:$E,5,FALSE)="","",VLOOKUP(A88,[1]PRIORIZADOS!$A:$E,5,FALSE)),"")</f>
        <v>EPBM</v>
      </c>
      <c r="F88" s="11" t="str">
        <f>IFERROR(IF(VLOOKUP(A88,[1]PRIORIZADOS!$A:$F,6,FALSE)="","",VLOOKUP(A88,[1]PRIORIZADOS!$A:$F,6,FALSE)),"")</f>
        <v>CENTRO_EDUCATIVO_DE_NUESTRA_SEÑORA_DE_LA_PAZ</v>
      </c>
      <c r="G88" s="69" t="str">
        <f>IFERROR(IF(VLOOKUP(A88,[1]PRIORIZADOS!$A:$G,7,FALSE)="","",VLOOKUP(A88,[1]PRIORIZADOS!$A:$G,7,FALSE)),"")</f>
        <v>CENTRO EDUCATIVO DE NUESTRA SEÑORA DE LA PAZ</v>
      </c>
      <c r="H88" s="11" t="str">
        <f>IFERROR(IF(VLOOKUP(A88,[1]PRIORIZADOS!$A:$H,8,FALSE)="","",VLOOKUP(A88,[1]PRIORIZADOS!$A:$H,8,FALSE)),"")</f>
        <v>Convivencia escolar</v>
      </c>
      <c r="I88" s="11" t="str">
        <f>IFERROR(IF(VLOOKUP(A88,[1]PRIORIZADOS!$A:$I,9,FALSE)="","",VLOOKUP(A88,[1]PRIORIZADOS!$A:$I,9,FALSE)),"")</f>
        <v>EVALUACIÓN_CON_FINES_DE_MEJORAMIENTO.</v>
      </c>
      <c r="J88" s="11" t="str">
        <f>IFERROR(IF(VLOOKUP(A88,[1]PRIORIZADOS!$A:$J,10,FALSE)="","",VLOOKUP(A88,[1]PRIORIZADOS!$A:$J,10,FALSE)),"")</f>
        <v>Revisar el calendario escolar, jornada escolar, la intensidad horaria mínima anual en cada nivel y las modificaciones que se realicen al mismo, de acuerdo con lo previsto en la normatividad vigente.</v>
      </c>
      <c r="K88" s="11" t="str">
        <f>IFERROR(IF(VLOOKUP(A88,[1]PRIORIZADOS!$A:$K,11,FALSE)="","",VLOOKUP(A88,[1]PRIORIZADOS!$A:$K,11,FALSE)),"")</f>
        <v>JOSÉ RODRIGO QUILAGUY BERNAL</v>
      </c>
      <c r="L88" s="11" t="str">
        <f>IFERROR(IF(VLOOKUP(A88,[1]PRIORIZADOS!$A:$L,12,FALSE)="","",VLOOKUP(A88,[1]PRIORIZADOS!$A:$L,12,FALSE)),"")</f>
        <v>ORLANDO SUÁREZ SOTO</v>
      </c>
      <c r="M88" s="88">
        <f>IFERROR(IF(VLOOKUP(A88,[1]PRIORIZADOS!$A:$M,13,FALSE)="","",VLOOKUP(A88,[1]PRIORIZADOS!$A:$M,13,FALSE)),"")</f>
        <v>45881</v>
      </c>
      <c r="N88" s="88">
        <f>IFERROR(IF(VLOOKUP(A88,[1]PRIORIZADOS!$A:$N,14,FALSE)="","",VLOOKUP(A88,[1]PRIORIZADOS!$A:$N,14,FALSE)),"")</f>
        <v>45797</v>
      </c>
      <c r="O88" s="88">
        <f>IFERROR(IF(VLOOKUP(A88,[1]PRIORIZADOS!$A:$O,15,FALSE)="","",VLOOKUP(A88,[1]PRIORIZADOS!$A:$O,15,FALSE)),"")</f>
        <v>45797</v>
      </c>
      <c r="P88" s="16" t="str">
        <f>IFERROR(IF(VLOOKUP(A88,[1]PRIORIZADOS!$A:$P,16,FALSE)="","",VLOOKUP(A88,[1]PRIORIZADOS!$A:$P,16,FALSE)),"")</f>
        <v>Visitas de evaluación con fines de mejoramiento</v>
      </c>
      <c r="Q88" s="89" t="s">
        <v>35</v>
      </c>
      <c r="R88" s="90" t="str">
        <f>IFERROR(IF(VLOOKUP(A88,[1]PRIORIZADOS!$A:$R,18,FALSE)="","",VLOOKUP(A88,[1]PRIORIZADOS!$A:$R,18,FALSE)),"")</f>
        <v>Se constata que la Institución Educativa garantiza el cumplimiento de la intensidad horaria mínima anual establecida para cada el nivel educativo que ofrece.</v>
      </c>
      <c r="S88" s="11" t="str">
        <f>IFERROR(IF(VLOOKUP(A88,[1]PRIORIZADOS!$A:$S,19,FALSE)="","",VLOOKUP(A88,[1]PRIORIZADOS!$A:$S,19,FALSE)),"")</f>
        <v>Se concluye que el establecimiento educativo está dando pleno cumplimiento a la normativa vigente en cuanto a la organización del calendario y la jornada escolar</v>
      </c>
      <c r="T88" s="70" t="str">
        <f>IFERROR(IF(VLOOKUP(A88,[1]PRIORIZADOS!$A:$T,20,FALSE)="","",VLOOKUP(A88,[1]PRIORIZADOS!$A:$T,20,FALSE)),"")</f>
        <v>No</v>
      </c>
      <c r="U88" s="11" t="str">
        <f>IFERROR(IF(VLOOKUP(A88,[1]PRIORIZADOS!$A:$U,21,FALSE)="","",VLOOKUP(A88,[1]PRIORIZADOS!$A:$U,21,FALSE)),"")</f>
        <v>Verificar nuevamente en caso de requerirse.</v>
      </c>
    </row>
    <row r="89" spans="1:21" s="1" customFormat="1" ht="96">
      <c r="A89" s="100">
        <f>IF([1]PRIORIZADOS!A90="","",[1]PRIORIZADOS!A90)</f>
        <v>87</v>
      </c>
      <c r="B89" s="101">
        <v>10</v>
      </c>
      <c r="C89" s="72" t="str">
        <f>IFERROR(IF(VLOOKUP(A89,[1]PRIORIZADOS!$A:$C,3,FALSE)="","",VLOOKUP(A89,[1]PRIORIZADOS!$A:$C,3,FALSE)),"")</f>
        <v>ANTONIO NARIÑO</v>
      </c>
      <c r="D89" s="100" t="str">
        <f>IFERROR(IF(VLOOKUP(A89,[1]PRIORIZADOS!$A:$D,4,FALSE)="","",VLOOKUP(A89,[1]PRIORIZADOS!$A:$D,4,FALSE)),"")</f>
        <v>PRIVADO</v>
      </c>
      <c r="E89" s="100" t="str">
        <f>IFERROR(IF(VLOOKUP(A89,[1]PRIORIZADOS!$A:$E,5,FALSE)="","",VLOOKUP(A89,[1]PRIORIZADOS!$A:$E,5,FALSE)),"")</f>
        <v>EPBM</v>
      </c>
      <c r="F89" s="72" t="str">
        <f>IFERROR(IF(VLOOKUP(A89,[1]PRIORIZADOS!$A:$F,6,FALSE)="","",VLOOKUP(A89,[1]PRIORIZADOS!$A:$F,6,FALSE)),"")</f>
        <v>CENTRO_EDUCATIVO_DE_NUESTRA_SEÑORA_DE_LA_PAZ</v>
      </c>
      <c r="G89" s="100" t="str">
        <f>IFERROR(IF(VLOOKUP(A89,[1]PRIORIZADOS!$A:$G,7,FALSE)="","",VLOOKUP(A89,[1]PRIORIZADOS!$A:$G,7,FALSE)),"")</f>
        <v>CENTRO EDUCATIVO DE NUESTRA SEÑORA DE LA PAZ</v>
      </c>
      <c r="H89" s="72" t="str">
        <f>IFERROR(IF(VLOOKUP(A89,[1]PRIORIZADOS!$A:$H,8,FALSE)="","",VLOOKUP(A89,[1]PRIORIZADOS!$A:$H,8,FALSE)),"")</f>
        <v>Convivencia escolar</v>
      </c>
      <c r="I89" s="72" t="str">
        <f>IFERROR(IF(VLOOKUP(A89,[1]PRIORIZADOS!$A:$I,9,FALSE)="","",VLOOKUP(A89,[1]PRIORIZADOS!$A:$I,9,FALSE)),"")</f>
        <v>EVALUACIÓN_CON_FINES_DE_MEJORAMIENTO.</v>
      </c>
      <c r="J89" s="72" t="str">
        <f>IFERROR(IF(VLOOKUP(A89,[1]PRIORIZADOS!$A:$J,10,FALSE)="","",VLOOKUP(A89,[1]PRIORIZADOS!$A:$J,10,FALSE)),"")</f>
        <v>Verificar el funcionamiento del Gobierno Escolar e instancias de participación con base en la información sobre conformación reportada por la institución educativa.</v>
      </c>
      <c r="K89" s="72" t="str">
        <f>IFERROR(IF(VLOOKUP(A89,[1]PRIORIZADOS!$A:$K,11,FALSE)="","",VLOOKUP(A89,[1]PRIORIZADOS!$A:$K,11,FALSE)),"")</f>
        <v>JOSÉ RODRIGO QUILAGUY BERNAL</v>
      </c>
      <c r="L89" s="72" t="str">
        <f>IFERROR(IF(VLOOKUP(A89,[1]PRIORIZADOS!$A:$L,12,FALSE)="","",VLOOKUP(A89,[1]PRIORIZADOS!$A:$L,12,FALSE)),"")</f>
        <v>ORLANDO SUÁREZ SOTO</v>
      </c>
      <c r="M89" s="102">
        <f>IFERROR(IF(VLOOKUP(A89,[1]PRIORIZADOS!$A:$M,13,FALSE)="","",VLOOKUP(A89,[1]PRIORIZADOS!$A:$M,13,FALSE)),"")</f>
        <v>45881</v>
      </c>
      <c r="N89" s="102">
        <f>IFERROR(IF(VLOOKUP(A89,[1]PRIORIZADOS!$A:$N,14,FALSE)="","",VLOOKUP(A89,[1]PRIORIZADOS!$A:$N,14,FALSE)),"")</f>
        <v>45797</v>
      </c>
      <c r="O89" s="102">
        <f>IFERROR(IF(VLOOKUP(A89,[1]PRIORIZADOS!$A:$O,15,FALSE)="","",VLOOKUP(A89,[1]PRIORIZADOS!$A:$O,15,FALSE)),"")</f>
        <v>45797</v>
      </c>
      <c r="P89" s="103" t="str">
        <f>IFERROR(IF(VLOOKUP(A89,[1]PRIORIZADOS!$A:$P,16,FALSE)="","",VLOOKUP(A89,[1]PRIORIZADOS!$A:$P,16,FALSE)),"")</f>
        <v>Visitas de evaluación con fines de mejoramiento</v>
      </c>
      <c r="Q89" s="104" t="s">
        <v>35</v>
      </c>
      <c r="R89" s="105" t="str">
        <f>IFERROR(IF(VLOOKUP(A89,[1]PRIORIZADOS!$A:$R,18,FALSE)="","",VLOOKUP(A89,[1]PRIORIZADOS!$A:$R,18,FALSE)),"")</f>
        <v>La conformación y operatividad del Gobierno Escolar (Consejo Directivo y Consejo Académico) y del sistema SAE (Sistema de Atención al Estudiante), se encuentran acordes con los requerimientos y el ELIV, evidenciado en la carpeta de trazabilidad que documenta su proceso de conformación.</v>
      </c>
      <c r="S89" s="72" t="str">
        <f>IFERROR(IF(VLOOKUP(A89,[1]PRIORIZADOS!$A:$S,19,FALSE)="","",VLOOKUP(A89,[1]PRIORIZADOS!$A:$S,19,FALSE)),"")</f>
        <v>Gobierno Escolar y SAE cumplen requisitos; su conformación y operatividad están bien documentadas.</v>
      </c>
      <c r="T89" s="106" t="str">
        <f>IFERROR(IF(VLOOKUP(A89,[1]PRIORIZADOS!$A:$T,20,FALSE)="","",VLOOKUP(A89,[1]PRIORIZADOS!$A:$T,20,FALSE)),"")</f>
        <v>No</v>
      </c>
      <c r="U89" s="72" t="str">
        <f>IFERROR(IF(VLOOKUP(A89,[1]PRIORIZADOS!$A:$U,21,FALSE)="","",VLOOKUP(A89,[1]PRIORIZADOS!$A:$U,21,FALSE)),"")</f>
        <v>Revisar la conformación de gobiernos escolares e instancias para la siguiente vigencia</v>
      </c>
    </row>
    <row r="90" spans="1:21" s="1" customFormat="1" ht="36">
      <c r="A90" s="69">
        <f>IF([1]PRIORIZADOS!A91="","",[1]PRIORIZADOS!A91)</f>
        <v>88</v>
      </c>
      <c r="B90" s="87">
        <v>10</v>
      </c>
      <c r="C90" s="11" t="str">
        <f>IFERROR(IF(VLOOKUP(A90,[1]PRIORIZADOS!$A:$C,3,FALSE)="","",VLOOKUP(A90,[1]PRIORIZADOS!$A:$C,3,FALSE)),"")</f>
        <v>ANTONIO NARIÑO</v>
      </c>
      <c r="D90" s="69" t="str">
        <f>IFERROR(IF(VLOOKUP(A90,[1]PRIORIZADOS!$A:$D,4,FALSE)="","",VLOOKUP(A90,[1]PRIORIZADOS!$A:$D,4,FALSE)),"")</f>
        <v>PRIVADO</v>
      </c>
      <c r="E90" s="69" t="str">
        <f>IFERROR(IF(VLOOKUP(A90,[1]PRIORIZADOS!$A:$E,5,FALSE)="","",VLOOKUP(A90,[1]PRIORIZADOS!$A:$E,5,FALSE)),"")</f>
        <v>EPBM</v>
      </c>
      <c r="F90" s="11" t="str">
        <f>IFERROR(IF(VLOOKUP(A90,[1]PRIORIZADOS!$A:$F,6,FALSE)="","",VLOOKUP(A90,[1]PRIORIZADOS!$A:$F,6,FALSE)),"")</f>
        <v>CENTRO_EDUCATIVO_DE_NUESTRA_SEÑORA_DE_LA_PAZ</v>
      </c>
      <c r="G90" s="69" t="str">
        <f>IFERROR(IF(VLOOKUP(A90,[1]PRIORIZADOS!$A:$G,7,FALSE)="","",VLOOKUP(A90,[1]PRIORIZADOS!$A:$G,7,FALSE)),"")</f>
        <v>CENTRO EDUCATIVO DE NUESTRA SEÑORA DE LA PAZ</v>
      </c>
      <c r="H90" s="11" t="str">
        <f>IFERROR(IF(VLOOKUP(A90,[1]PRIORIZADOS!$A:$H,8,FALSE)="","",VLOOKUP(A90,[1]PRIORIZADOS!$A:$H,8,FALSE)),"")</f>
        <v>Convivencia escolar</v>
      </c>
      <c r="I90" s="11" t="str">
        <f>IFERROR(IF(VLOOKUP(A90,[1]PRIORIZADOS!$A:$I,9,FALSE)="","",VLOOKUP(A90,[1]PRIORIZADOS!$A:$I,9,FALSE)),"")</f>
        <v>EVALUACIÓN_CON_FINES_DE_MEJORAMIENTO.</v>
      </c>
      <c r="J90" s="11" t="str">
        <f>IFERROR(IF(VLOOKUP(A90,[1]PRIORIZADOS!$A:$J,10,FALSE)="","",VLOOKUP(A90,[1]PRIORIZADOS!$A:$J,10,FALSE)),"")</f>
        <v>Verificar las condiciones en cuanto a: la estructura administrativa, condiciones de la planta física y medios educativos adecuados.</v>
      </c>
      <c r="K90" s="11" t="str">
        <f>IFERROR(IF(VLOOKUP(A90,[1]PRIORIZADOS!$A:$K,11,FALSE)="","",VLOOKUP(A90,[1]PRIORIZADOS!$A:$K,11,FALSE)),"")</f>
        <v>JOSÉ RODRIGO QUILAGUY BERNAL</v>
      </c>
      <c r="L90" s="11" t="str">
        <f>IFERROR(IF(VLOOKUP(A90,[1]PRIORIZADOS!$A:$L,12,FALSE)="","",VLOOKUP(A90,[1]PRIORIZADOS!$A:$L,12,FALSE)),"")</f>
        <v>ORLANDO SUÁREZ SOTO</v>
      </c>
      <c r="M90" s="88">
        <f>IFERROR(IF(VLOOKUP(A90,[1]PRIORIZADOS!$A:$M,13,FALSE)="","",VLOOKUP(A90,[1]PRIORIZADOS!$A:$M,13,FALSE)),"")</f>
        <v>45881</v>
      </c>
      <c r="N90" s="88">
        <f>IFERROR(IF(VLOOKUP(A90,[1]PRIORIZADOS!$A:$N,14,FALSE)="","",VLOOKUP(A90,[1]PRIORIZADOS!$A:$N,14,FALSE)),"")</f>
        <v>45797</v>
      </c>
      <c r="O90" s="88">
        <f>IFERROR(IF(VLOOKUP(A90,[1]PRIORIZADOS!$A:$O,15,FALSE)="","",VLOOKUP(A90,[1]PRIORIZADOS!$A:$O,15,FALSE)),"")</f>
        <v>45797</v>
      </c>
      <c r="P90" s="11" t="str">
        <f>IFERROR(IF(VLOOKUP(A90,[1]PRIORIZADOS!$A:$P,16,FALSE)="","",VLOOKUP(A90,[1]PRIORIZADOS!$A:$P,16,FALSE)),"")</f>
        <v>Visitas de evaluación con fines de mejoramiento</v>
      </c>
      <c r="Q90" s="107" t="s">
        <v>35</v>
      </c>
      <c r="R90" s="11" t="str">
        <f>IFERROR(IF(VLOOKUP(A90,[1]PRIORIZADOS!$A:$R,18,FALSE)="","",VLOOKUP(A90,[1]PRIORIZADOS!$A:$R,18,FALSE)),"")</f>
        <v>Espacios educativos, administrativos y lúdicos son suficientes, dotados y con buen mantenimiento general.</v>
      </c>
      <c r="S90" s="11" t="str">
        <f>IFERROR(IF(VLOOKUP(A90,[1]PRIORIZADOS!$A:$S,19,FALSE)="","",VLOOKUP(A90,[1]PRIORIZADOS!$A:$S,19,FALSE)),"")</f>
        <v>La institución cuenta con espacios y dotación adecuados y bien mantenidos en todas sus áreas.</v>
      </c>
      <c r="T90" s="70" t="str">
        <f>IFERROR(IF(VLOOKUP(A90,[1]PRIORIZADOS!$A:$T,20,FALSE)="","",VLOOKUP(A90,[1]PRIORIZADOS!$A:$T,20,FALSE)),"")</f>
        <v>No</v>
      </c>
      <c r="U90" s="11" t="str">
        <f>IFERROR(IF(VLOOKUP(A90,[1]PRIORIZADOS!$A:$U,21,FALSE)="","",VLOOKUP(A90,[1]PRIORIZADOS!$A:$U,21,FALSE)),"")</f>
        <v>Realizar nueva visita y verificación en caso de requerirse.</v>
      </c>
    </row>
    <row r="91" spans="1:21" s="1" customFormat="1" ht="60">
      <c r="A91" s="69">
        <f>IF([1]PRIORIZADOS!A92="","",[1]PRIORIZADOS!A92)</f>
        <v>89</v>
      </c>
      <c r="B91" s="87">
        <v>11</v>
      </c>
      <c r="C91" s="11" t="str">
        <f>IFERROR(IF(VLOOKUP(A91,[1]PRIORIZADOS!$A:$C,3,FALSE)="","",VLOOKUP(A91,[1]PRIORIZADOS!$A:$C,3,FALSE)),"")</f>
        <v>ANTONIO NARIÑO</v>
      </c>
      <c r="D91" s="69" t="str">
        <f>IFERROR(IF(VLOOKUP(A91,[1]PRIORIZADOS!$A:$D,4,FALSE)="","",VLOOKUP(A91,[1]PRIORIZADOS!$A:$D,4,FALSE)),"")</f>
        <v>OFICIAL.</v>
      </c>
      <c r="E91" s="69" t="str">
        <f>IFERROR(IF(VLOOKUP(A91,[1]PRIORIZADOS!$A:$E,5,FALSE)="","",VLOOKUP(A91,[1]PRIORIZADOS!$A:$E,5,FALSE)),"")</f>
        <v>EPBM</v>
      </c>
      <c r="F91" s="11" t="str">
        <f>IFERROR(IF(VLOOKUP(A91,[1]PRIORIZADOS!$A:$F,6,FALSE)="","",VLOOKUP(A91,[1]PRIORIZADOS!$A:$F,6,FALSE)),"")</f>
        <v>COLEGIO_FRANCISCO_DE_PAULA_SANTANDER_IED</v>
      </c>
      <c r="G91" s="69" t="str">
        <f>IFERROR(IF(VLOOKUP(A91,[1]PRIORIZADOS!$A:$G,7,FALSE)="","",VLOOKUP(A91,[1]PRIORIZADOS!$A:$G,7,FALSE)),"")</f>
        <v>FRANCISCO DE PAULA SANTANDER</v>
      </c>
      <c r="H91" s="11" t="str">
        <f>IFERROR(IF(VLOOKUP(A91,[1]PRIORIZADOS!$A:$H,8,FALSE)="","",VLOOKUP(A91,[1]PRIORIZADOS!$A:$H,8,FALSE)),"")</f>
        <v>Convivencia escolar</v>
      </c>
      <c r="I91" s="11" t="str">
        <f>IFERROR(IF(VLOOKUP(A91,[1]PRIORIZADOS!$A:$I,9,FALSE)="","",VLOOKUP(A91,[1]PRIORIZADOS!$A:$I,9,FALSE)),"")</f>
        <v>SEGUIMIENTO_Y_SUPERVISIÓN.</v>
      </c>
      <c r="J91" s="11" t="str">
        <f>IFERROR(IF(VLOOKUP(A91,[1]PRIORIZADOS!$A:$J,10,FALSE)="","",VLOOKUP(A91,[1]PRIORIZADOS!$A:$J,10,FALSE)),"")</f>
        <v xml:space="preserve">Verificar la implementación por parte de los colegios, de acciones realizadas para la prevención y atención de las situaciones de convivencia en el entorno escolar, según lo establecido en la Directiva 01 de 2022 del MEN. </v>
      </c>
      <c r="K91" s="11" t="str">
        <f>IFERROR(IF(VLOOKUP(A91,[1]PRIORIZADOS!$A:$K,11,FALSE)="","",VLOOKUP(A91,[1]PRIORIZADOS!$A:$K,11,FALSE)),"")</f>
        <v>JOHN JAIRO BOBADILLA BERMEO</v>
      </c>
      <c r="L91" s="11" t="str">
        <f>IFERROR(IF(VLOOKUP(A91,[1]PRIORIZADOS!$A:$L,12,FALSE)="","",VLOOKUP(A91,[1]PRIORIZADOS!$A:$L,12,FALSE)),"")</f>
        <v>ORLANDO SUÁREZ SOTO
JOSÉ RODRIGO QUILAGUY BERNAL
JOHN JAIRO BOBADILLA BERMEO</v>
      </c>
      <c r="M91" s="88">
        <f>IFERROR(IF(VLOOKUP(A91,[1]PRIORIZADOS!$A:$M,13,FALSE)="","",VLOOKUP(A91,[1]PRIORIZADOS!$A:$M,13,FALSE)),"")</f>
        <v>45890</v>
      </c>
      <c r="N91" s="88">
        <f>IFERROR(IF(VLOOKUP(A91,[1]PRIORIZADOS!$A:$N,14,FALSE)="","",VLOOKUP(A91,[1]PRIORIZADOS!$A:$N,14,FALSE)),"")</f>
        <v>45811</v>
      </c>
      <c r="O91" s="88">
        <f>IFERROR(IF(VLOOKUP(A91,[1]PRIORIZADOS!$A:$O,15,FALSE)="","",VLOOKUP(A91,[1]PRIORIZADOS!$A:$O,15,FALSE)),"")</f>
        <v>45811</v>
      </c>
      <c r="P91" s="11" t="str">
        <f>IFERROR(IF(VLOOKUP(A91,[1]PRIORIZADOS!$A:$P,16,FALSE)="","",VLOOKUP(A91,[1]PRIORIZADOS!$A:$P,16,FALSE)),"")</f>
        <v>Visitas de evaluación con fines de seguimiento</v>
      </c>
      <c r="Q91" s="107" t="s">
        <v>36</v>
      </c>
      <c r="R91" s="11" t="str">
        <f>IFERROR(IF(VLOOKUP(A91,[1]PRIORIZADOS!$A:$R,18,FALSE)="","",VLOOKUP(A91,[1]PRIORIZADOS!$A:$R,18,FALSE)),"")</f>
        <v>Se ha realizado la implementación de acciones para la prevención y atención de situaciones de convivencia en el entorno escolar, de acuerdo a lo establecido en la Directiva 01 de 2022 del MEN</v>
      </c>
      <c r="S91" s="11" t="str">
        <f>IFERROR(IF(VLOOKUP(A91,[1]PRIORIZADOS!$A:$S,19,FALSE)="","",VLOOKUP(A91,[1]PRIORIZADOS!$A:$S,19,FALSE)),"")</f>
        <v>Realizar seguimiento a la implementación de acciones para la prevención y atención de situaciones de convivencia en el entorno escolar.</v>
      </c>
      <c r="T91" s="70" t="str">
        <f>IFERROR(IF(VLOOKUP(A91,[1]PRIORIZADOS!$A:$T,20,FALSE)="","",VLOOKUP(A91,[1]PRIORIZADOS!$A:$T,20,FALSE)),"")</f>
        <v>No</v>
      </c>
      <c r="U91" s="11" t="str">
        <f>IFERROR(IF(VLOOKUP(A91,[1]PRIORIZADOS!$A:$U,21,FALSE)="","",VLOOKUP(A91,[1]PRIORIZADOS!$A:$U,21,FALSE)),"")</f>
        <v>Realizar nueva verificación de la actividad en caso de presentarse queja</v>
      </c>
    </row>
    <row r="92" spans="1:21" s="1" customFormat="1" ht="72">
      <c r="A92" s="69">
        <f>IF([1]PRIORIZADOS!A93="","",[1]PRIORIZADOS!A93)</f>
        <v>90</v>
      </c>
      <c r="B92" s="87">
        <v>11</v>
      </c>
      <c r="C92" s="11" t="str">
        <f>IFERROR(IF(VLOOKUP(A92,[1]PRIORIZADOS!$A:$C,3,FALSE)="","",VLOOKUP(A92,[1]PRIORIZADOS!$A:$C,3,FALSE)),"")</f>
        <v>ANTONIO NARIÑO</v>
      </c>
      <c r="D92" s="69" t="str">
        <f>IFERROR(IF(VLOOKUP(A92,[1]PRIORIZADOS!$A:$D,4,FALSE)="","",VLOOKUP(A92,[1]PRIORIZADOS!$A:$D,4,FALSE)),"")</f>
        <v>OFICIAL.</v>
      </c>
      <c r="E92" s="69" t="str">
        <f>IFERROR(IF(VLOOKUP(A92,[1]PRIORIZADOS!$A:$E,5,FALSE)="","",VLOOKUP(A92,[1]PRIORIZADOS!$A:$E,5,FALSE)),"")</f>
        <v>EPBM</v>
      </c>
      <c r="F92" s="11" t="str">
        <f>IFERROR(IF(VLOOKUP(A92,[1]PRIORIZADOS!$A:$F,6,FALSE)="","",VLOOKUP(A92,[1]PRIORIZADOS!$A:$F,6,FALSE)),"")</f>
        <v>COLEGIO_FRANCISCO_DE_PAULA_SANTANDER_IED</v>
      </c>
      <c r="G92" s="69" t="str">
        <f>IFERROR(IF(VLOOKUP(A92,[1]PRIORIZADOS!$A:$G,7,FALSE)="","",VLOOKUP(A92,[1]PRIORIZADOS!$A:$G,7,FALSE)),"")</f>
        <v>FRANCISCO DE PAULA SANTANDER</v>
      </c>
      <c r="H92" s="11" t="str">
        <f>IFERROR(IF(VLOOKUP(A92,[1]PRIORIZADOS!$A:$H,8,FALSE)="","",VLOOKUP(A92,[1]PRIORIZADOS!$A:$H,8,FALSE)),"")</f>
        <v>Convivencia escolar</v>
      </c>
      <c r="I92" s="11" t="str">
        <f>IFERROR(IF(VLOOKUP(A92,[1]PRIORIZADOS!$A:$I,9,FALSE)="","",VLOOKUP(A92,[1]PRIORIZADOS!$A:$I,9,FALSE)),"")</f>
        <v>SEGUIMIENTO_Y_SUPERVISIÓN.</v>
      </c>
      <c r="J92" s="11" t="str">
        <f>IFERROR(IF(VLOOKUP(A92,[1]PRIORIZADOS!$A:$J,10,FALSE)="","",VLOOKUP(A92,[1]PRIORIZADOS!$A:$J,10,FALSE)),"")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2" s="11" t="str">
        <f>IFERROR(IF(VLOOKUP(A92,[1]PRIORIZADOS!$A:$K,11,FALSE)="","",VLOOKUP(A92,[1]PRIORIZADOS!$A:$K,11,FALSE)),"")</f>
        <v>JOHN JAIRO BOBADILLA BERMEO</v>
      </c>
      <c r="L92" s="11" t="str">
        <f>IFERROR(IF(VLOOKUP(A92,[1]PRIORIZADOS!$A:$L,12,FALSE)="","",VLOOKUP(A92,[1]PRIORIZADOS!$A:$L,12,FALSE)),"")</f>
        <v>ORLANDO SUÁREZ SOTO
JOSÉ RODRIGO QUILAGUY BERNAL
JOHN JAIRO BOBADILLA BERMEO</v>
      </c>
      <c r="M92" s="88">
        <f>IFERROR(IF(VLOOKUP(A92,[1]PRIORIZADOS!$A:$M,13,FALSE)="","",VLOOKUP(A92,[1]PRIORIZADOS!$A:$M,13,FALSE)),"")</f>
        <v>45890</v>
      </c>
      <c r="N92" s="88">
        <f>IFERROR(IF(VLOOKUP(A92,[1]PRIORIZADOS!$A:$N,14,FALSE)="","",VLOOKUP(A92,[1]PRIORIZADOS!$A:$N,14,FALSE)),"")</f>
        <v>45811</v>
      </c>
      <c r="O92" s="88">
        <f>IFERROR(IF(VLOOKUP(A92,[1]PRIORIZADOS!$A:$O,15,FALSE)="","",VLOOKUP(A92,[1]PRIORIZADOS!$A:$O,15,FALSE)),"")</f>
        <v>45811</v>
      </c>
      <c r="P92" s="11" t="str">
        <f>IFERROR(IF(VLOOKUP(A92,[1]PRIORIZADOS!$A:$P,16,FALSE)="","",VLOOKUP(A92,[1]PRIORIZADOS!$A:$P,16,FALSE)),"")</f>
        <v>Visitas de evaluación con fines de seguimiento</v>
      </c>
      <c r="Q92" s="107" t="s">
        <v>36</v>
      </c>
      <c r="R92" s="11" t="str">
        <f>IFERROR(IF(VLOOKUP(A92,[1]PRIORIZADOS!$A:$R,18,FALSE)="","",VLOOKUP(A92,[1]PRIORIZADOS!$A:$R,18,FALSE)),"")</f>
        <v xml:space="preserve">La IE cuenta con la caracterización de 14 estudiantes de inclusión y la implementación y seguimiento a  Planes Individuales de Ajustes Razonables PIAR. </v>
      </c>
      <c r="S92" s="11" t="str">
        <f>IFERROR(IF(VLOOKUP(A92,[1]PRIORIZADOS!$A:$S,19,FALSE)="","",VLOOKUP(A92,[1]PRIORIZADOS!$A:$S,19,FALSE)),"")</f>
        <v>Realizar seguimiento continuo a estudiantes de inclusión implementando Planes Individuales de Ajustes Razonables PIAR adaptados a cada uno de las necesidades.</v>
      </c>
      <c r="T92" s="70" t="str">
        <f>IFERROR(IF(VLOOKUP(A92,[1]PRIORIZADOS!$A:$T,20,FALSE)="","",VLOOKUP(A92,[1]PRIORIZADOS!$A:$T,20,FALSE)),"")</f>
        <v>No</v>
      </c>
      <c r="U92" s="11" t="str">
        <f>IFERROR(IF(VLOOKUP(A92,[1]PRIORIZADOS!$A:$U,21,FALSE)="","",VLOOKUP(A92,[1]PRIORIZADOS!$A:$U,21,FALSE)),"")</f>
        <v>Realizar nueva verificación de la actividad en caso de presentarse queja</v>
      </c>
    </row>
    <row r="93" spans="1:21" s="1" customFormat="1" ht="72">
      <c r="A93" s="108">
        <f>IF([1]PRIORIZADOS!A94="","",[1]PRIORIZADOS!A94)</f>
        <v>91</v>
      </c>
      <c r="B93" s="109">
        <v>11</v>
      </c>
      <c r="C93" s="110" t="str">
        <f>IFERROR(IF(VLOOKUP(A93,[1]PRIORIZADOS!$A:$C,3,FALSE)="","",VLOOKUP(A93,[1]PRIORIZADOS!$A:$C,3,FALSE)),"")</f>
        <v>ANTONIO NARIÑO</v>
      </c>
      <c r="D93" s="108" t="str">
        <f>IFERROR(IF(VLOOKUP(A93,[1]PRIORIZADOS!$A:$D,4,FALSE)="","",VLOOKUP(A93,[1]PRIORIZADOS!$A:$D,4,FALSE)),"")</f>
        <v>OFICIAL.</v>
      </c>
      <c r="E93" s="108" t="str">
        <f>IFERROR(IF(VLOOKUP(A93,[1]PRIORIZADOS!$A:$E,5,FALSE)="","",VLOOKUP(A93,[1]PRIORIZADOS!$A:$E,5,FALSE)),"")</f>
        <v>EPBM</v>
      </c>
      <c r="F93" s="110" t="str">
        <f>IFERROR(IF(VLOOKUP(A93,[1]PRIORIZADOS!$A:$F,6,FALSE)="","",VLOOKUP(A93,[1]PRIORIZADOS!$A:$F,6,FALSE)),"")</f>
        <v>COLEGIO_FRANCISCO_DE_PAULA_SANTANDER_IED</v>
      </c>
      <c r="G93" s="108" t="str">
        <f>IFERROR(IF(VLOOKUP(A93,[1]PRIORIZADOS!$A:$G,7,FALSE)="","",VLOOKUP(A93,[1]PRIORIZADOS!$A:$G,7,FALSE)),"")</f>
        <v>FRANCISCO DE PAULA SANTANDER</v>
      </c>
      <c r="H93" s="110" t="str">
        <f>IFERROR(IF(VLOOKUP(A93,[1]PRIORIZADOS!$A:$H,8,FALSE)="","",VLOOKUP(A93,[1]PRIORIZADOS!$A:$H,8,FALSE)),"")</f>
        <v>Convivencia escolar</v>
      </c>
      <c r="I93" s="110" t="str">
        <f>IFERROR(IF(VLOOKUP(A93,[1]PRIORIZADOS!$A:$I,9,FALSE)="","",VLOOKUP(A93,[1]PRIORIZADOS!$A:$I,9,FALSE)),"")</f>
        <v>EVALUACIÓN_CON_FINES_DE_MEJORAMIENTO.</v>
      </c>
      <c r="J93" s="110" t="str">
        <f>IFERROR(IF(VLOOKUP(A93,[1]PRIORIZADOS!$A:$J,10,FALSE)="","",VLOOKUP(A93,[1]PRIORIZADOS!$A:$J,10,FALSE)),"")</f>
        <v>Revisar la actualización, socialización e implementación del Sistema Institucional de Evaluación de Estudiantes - SIEE, en articulación con la actualización del PEI y la normatividad vigente.</v>
      </c>
      <c r="K93" s="110" t="str">
        <f>IFERROR(IF(VLOOKUP(A93,[1]PRIORIZADOS!$A:$K,11,FALSE)="","",VLOOKUP(A93,[1]PRIORIZADOS!$A:$K,11,FALSE)),"")</f>
        <v>JOHN JAIRO BOBADILLA BERMEO</v>
      </c>
      <c r="L93" s="110" t="str">
        <f>IFERROR(IF(VLOOKUP(A93,[1]PRIORIZADOS!$A:$L,12,FALSE)="","",VLOOKUP(A93,[1]PRIORIZADOS!$A:$L,12,FALSE)),"")</f>
        <v>ORLANDO SUÁREZ SOTO
JOSÉ RODRIGO QUILAGUY BERNAL
JOHN JAIRO BOBADILLA BERMEO</v>
      </c>
      <c r="M93" s="111">
        <f>IFERROR(IF(VLOOKUP(A93,[1]PRIORIZADOS!$A:$M,13,FALSE)="","",VLOOKUP(A93,[1]PRIORIZADOS!$A:$M,13,FALSE)),"")</f>
        <v>45890</v>
      </c>
      <c r="N93" s="111">
        <f>IFERROR(IF(VLOOKUP(A93,[1]PRIORIZADOS!$A:$N,14,FALSE)="","",VLOOKUP(A93,[1]PRIORIZADOS!$A:$N,14,FALSE)),"")</f>
        <v>45811</v>
      </c>
      <c r="O93" s="111">
        <f>IFERROR(IF(VLOOKUP(A93,[1]PRIORIZADOS!$A:$O,15,FALSE)="","",VLOOKUP(A93,[1]PRIORIZADOS!$A:$O,15,FALSE)),"")</f>
        <v>45811</v>
      </c>
      <c r="P93" s="112" t="str">
        <f>IFERROR(IF(VLOOKUP(A93,[1]PRIORIZADOS!$A:$P,16,FALSE)="","",VLOOKUP(A93,[1]PRIORIZADOS!$A:$P,16,FALSE)),"")</f>
        <v>Visitas de evaluación con fines de seguimiento</v>
      </c>
      <c r="Q93" s="113" t="s">
        <v>36</v>
      </c>
      <c r="R93" s="19" t="str">
        <f>IFERROR(IF(VLOOKUP(A93,[1]PRIORIZADOS!$A:$R,18,FALSE)="","",VLOOKUP(A93,[1]PRIORIZADOS!$A:$R,18,FALSE)),"")</f>
        <v xml:space="preserve">No se evidencian estrategias de apoyo, metodología de evaluación y promoción para estudiantes de inclusión en SIEE. </v>
      </c>
      <c r="S93" s="110" t="str">
        <f>IFERROR(IF(VLOOKUP(A93,[1]PRIORIZADOS!$A:$S,19,FALSE)="","",VLOOKUP(A93,[1]PRIORIZADOS!$A:$S,19,FALSE)),"")</f>
        <v>Implementar estrategias de apoyo, metodología, de evaluación y promoción de estudiantes  de inclusión en el SIEE</v>
      </c>
      <c r="T93" s="114" t="str">
        <f>IFERROR(IF(VLOOKUP(A93,[1]PRIORIZADOS!$A:$T,20,FALSE)="","",VLOOKUP(A93,[1]PRIORIZADOS!$A:$T,20,FALSE)),"")</f>
        <v>Si</v>
      </c>
      <c r="U93" s="110" t="str">
        <f>IFERROR(IF(VLOOKUP(A93,[1]PRIORIZADOS!$A:$U,21,FALSE)="","",VLOOKUP(A93,[1]PRIORIZADOS!$A:$U,21,FALSE)),"")</f>
        <v>Verificar la implementación de estrategias de apoyo, metodología, de evaluación y promoción de estudiantes de inclusión en el SIEE.
Se realiza seguimiento del PMI, se realizan observaciones y retroalimentación frente a la documentación presentada, conforme a lo orientado. (19/09/2025) Ver Carpeta POAIV - TRIM III</v>
      </c>
    </row>
    <row r="94" spans="1:21" s="1" customFormat="1" ht="60">
      <c r="A94" s="69">
        <f>IF([1]PRIORIZADOS!A95="","",[1]PRIORIZADOS!A95)</f>
        <v>92</v>
      </c>
      <c r="B94" s="87">
        <v>11</v>
      </c>
      <c r="C94" s="11" t="str">
        <f>IFERROR(IF(VLOOKUP(A94,[1]PRIORIZADOS!$A:$C,3,FALSE)="","",VLOOKUP(A94,[1]PRIORIZADOS!$A:$C,3,FALSE)),"")</f>
        <v>ANTONIO NARIÑO</v>
      </c>
      <c r="D94" s="69" t="str">
        <f>IFERROR(IF(VLOOKUP(A94,[1]PRIORIZADOS!$A:$D,4,FALSE)="","",VLOOKUP(A94,[1]PRIORIZADOS!$A:$D,4,FALSE)),"")</f>
        <v>OFICIAL.</v>
      </c>
      <c r="E94" s="69" t="str">
        <f>IFERROR(IF(VLOOKUP(A94,[1]PRIORIZADOS!$A:$E,5,FALSE)="","",VLOOKUP(A94,[1]PRIORIZADOS!$A:$E,5,FALSE)),"")</f>
        <v>EPBM</v>
      </c>
      <c r="F94" s="11" t="str">
        <f>IFERROR(IF(VLOOKUP(A94,[1]PRIORIZADOS!$A:$F,6,FALSE)="","",VLOOKUP(A94,[1]PRIORIZADOS!$A:$F,6,FALSE)),"")</f>
        <v>COLEGIO_FRANCISCO_DE_PAULA_SANTANDER_IED</v>
      </c>
      <c r="G94" s="69" t="str">
        <f>IFERROR(IF(VLOOKUP(A94,[1]PRIORIZADOS!$A:$G,7,FALSE)="","",VLOOKUP(A94,[1]PRIORIZADOS!$A:$G,7,FALSE)),"")</f>
        <v>FRANCISCO DE PAULA SANTANDER</v>
      </c>
      <c r="H94" s="11" t="str">
        <f>IFERROR(IF(VLOOKUP(A94,[1]PRIORIZADOS!$A:$H,8,FALSE)="","",VLOOKUP(A94,[1]PRIORIZADOS!$A:$H,8,FALSE)),"")</f>
        <v>Convivencia escolar</v>
      </c>
      <c r="I94" s="11" t="str">
        <f>IFERROR(IF(VLOOKUP(A94,[1]PRIORIZADOS!$A:$I,9,FALSE)="","",VLOOKUP(A94,[1]PRIORIZADOS!$A:$I,9,FALSE)),"")</f>
        <v>EVALUACIÓN_CON_FINES_DE_MEJORAMIENTO.</v>
      </c>
      <c r="J94" s="11" t="str">
        <f>IFERROR(IF(VLOOKUP(A94,[1]PRIORIZADOS!$A:$J,10,FALSE)="","",VLOOKUP(A94,[1]PRIORIZADOS!$A:$J,10,FALSE)),"")</f>
        <v>Revisar el calendario escolar, jornada escolar, la intensidad horaria mínima anual en cada nivel y las modificaciones que se realicen al mismo, de acuerdo con lo previsto en la normatividad vigente.</v>
      </c>
      <c r="K94" s="11" t="str">
        <f>IFERROR(IF(VLOOKUP(A94,[1]PRIORIZADOS!$A:$K,11,FALSE)="","",VLOOKUP(A94,[1]PRIORIZADOS!$A:$K,11,FALSE)),"")</f>
        <v>JOHN JAIRO BOBADILLA BERMEO</v>
      </c>
      <c r="L94" s="11" t="str">
        <f>IFERROR(IF(VLOOKUP(A94,[1]PRIORIZADOS!$A:$L,12,FALSE)="","",VLOOKUP(A94,[1]PRIORIZADOS!$A:$L,12,FALSE)),"")</f>
        <v>ORLANDO SUÁREZ SOTO
JOSÉ RODRIGO QUILAGUY BERNAL
JOHN JAIRO BOBADILLA BERMEO</v>
      </c>
      <c r="M94" s="88">
        <f>IFERROR(IF(VLOOKUP(A94,[1]PRIORIZADOS!$A:$M,13,FALSE)="","",VLOOKUP(A94,[1]PRIORIZADOS!$A:$M,13,FALSE)),"")</f>
        <v>45890</v>
      </c>
      <c r="N94" s="88">
        <f>IFERROR(IF(VLOOKUP(A94,[1]PRIORIZADOS!$A:$N,14,FALSE)="","",VLOOKUP(A94,[1]PRIORIZADOS!$A:$N,14,FALSE)),"")</f>
        <v>45811</v>
      </c>
      <c r="O94" s="88">
        <f>IFERROR(IF(VLOOKUP(A94,[1]PRIORIZADOS!$A:$O,15,FALSE)="","",VLOOKUP(A94,[1]PRIORIZADOS!$A:$O,15,FALSE)),"")</f>
        <v>45811</v>
      </c>
      <c r="P94" s="16" t="str">
        <f>IFERROR(IF(VLOOKUP(A94,[1]PRIORIZADOS!$A:$P,16,FALSE)="","",VLOOKUP(A94,[1]PRIORIZADOS!$A:$P,16,FALSE)),"")</f>
        <v>Visitas de evaluación con fines de mejoramiento</v>
      </c>
      <c r="Q94" s="89" t="s">
        <v>36</v>
      </c>
      <c r="R94" s="90" t="str">
        <f>IFERROR(IF(VLOOKUP(A94,[1]PRIORIZADOS!$A:$R,18,FALSE)="","",VLOOKUP(A94,[1]PRIORIZADOS!$A:$R,18,FALSE)),"")</f>
        <v>Se constata que la Institución Educativa garantiza el cumplimiento de la intensidad horaria mínima anual establecida para cada el nivel educativo que ofrece.</v>
      </c>
      <c r="S94" s="11" t="str">
        <f>IFERROR(IF(VLOOKUP(A94,[1]PRIORIZADOS!$A:$S,19,FALSE)="","",VLOOKUP(A94,[1]PRIORIZADOS!$A:$S,19,FALSE)),"")</f>
        <v>Se concluye que el establecimiento educativo está dando pleno cumplimiento a la normativa vigente en cuanto a la organización del calendario y la jornada escolar</v>
      </c>
      <c r="T94" s="70" t="str">
        <f>IFERROR(IF(VLOOKUP(A94,[1]PRIORIZADOS!$A:$T,20,FALSE)="","",VLOOKUP(A94,[1]PRIORIZADOS!$A:$T,20,FALSE)),"")</f>
        <v>No</v>
      </c>
      <c r="U94" s="11" t="str">
        <f>IFERROR(IF(VLOOKUP(A94,[1]PRIORIZADOS!$A:$U,21,FALSE)="","",VLOOKUP(A94,[1]PRIORIZADOS!$A:$U,21,FALSE)),"")</f>
        <v>Verificar nuevamente en caso de requerirse.</v>
      </c>
    </row>
    <row r="95" spans="1:21" s="1" customFormat="1" ht="72">
      <c r="A95" s="69">
        <f>IF([1]PRIORIZADOS!A96="","",[1]PRIORIZADOS!A96)</f>
        <v>93</v>
      </c>
      <c r="B95" s="87">
        <v>11</v>
      </c>
      <c r="C95" s="11" t="str">
        <f>IFERROR(IF(VLOOKUP(A95,[1]PRIORIZADOS!$A:$C,3,FALSE)="","",VLOOKUP(A95,[1]PRIORIZADOS!$A:$C,3,FALSE)),"")</f>
        <v>ANTONIO NARIÑO</v>
      </c>
      <c r="D95" s="69" t="str">
        <f>IFERROR(IF(VLOOKUP(A95,[1]PRIORIZADOS!$A:$D,4,FALSE)="","",VLOOKUP(A95,[1]PRIORIZADOS!$A:$D,4,FALSE)),"")</f>
        <v>OFICIAL.</v>
      </c>
      <c r="E95" s="69" t="str">
        <f>IFERROR(IF(VLOOKUP(A95,[1]PRIORIZADOS!$A:$E,5,FALSE)="","",VLOOKUP(A95,[1]PRIORIZADOS!$A:$E,5,FALSE)),"")</f>
        <v>EPBM</v>
      </c>
      <c r="F95" s="11" t="str">
        <f>IFERROR(IF(VLOOKUP(A95,[1]PRIORIZADOS!$A:$F,6,FALSE)="","",VLOOKUP(A95,[1]PRIORIZADOS!$A:$F,6,FALSE)),"")</f>
        <v>COLEGIO_FRANCISCO_DE_PAULA_SANTANDER_IED</v>
      </c>
      <c r="G95" s="69" t="str">
        <f>IFERROR(IF(VLOOKUP(A95,[1]PRIORIZADOS!$A:$G,7,FALSE)="","",VLOOKUP(A95,[1]PRIORIZADOS!$A:$G,7,FALSE)),"")</f>
        <v>FRANCISCO DE PAULA SANTANDER</v>
      </c>
      <c r="H95" s="11" t="str">
        <f>IFERROR(IF(VLOOKUP(A95,[1]PRIORIZADOS!$A:$H,8,FALSE)="","",VLOOKUP(A95,[1]PRIORIZADOS!$A:$H,8,FALSE)),"")</f>
        <v>Convivencia escolar</v>
      </c>
      <c r="I95" s="11" t="str">
        <f>IFERROR(IF(VLOOKUP(A95,[1]PRIORIZADOS!$A:$I,9,FALSE)="","",VLOOKUP(A95,[1]PRIORIZADOS!$A:$I,9,FALSE)),"")</f>
        <v>EVALUACIÓN_CON_FINES_DE_MEJORAMIENTO.</v>
      </c>
      <c r="J95" s="11" t="str">
        <f>IFERROR(IF(VLOOKUP(A95,[1]PRIORIZADOS!$A:$J,10,FALSE)="","",VLOOKUP(A95,[1]PRIORIZADOS!$A:$J,10,FALSE)),"")</f>
        <v>Verificar el funcionamiento del Gobierno Escolar e instancias de participación con base en la información sobre conformación reportada por la institución educativa.</v>
      </c>
      <c r="K95" s="11" t="str">
        <f>IFERROR(IF(VLOOKUP(A95,[1]PRIORIZADOS!$A:$K,11,FALSE)="","",VLOOKUP(A95,[1]PRIORIZADOS!$A:$K,11,FALSE)),"")</f>
        <v>JOHN JAIRO BOBADILLA BERMEO</v>
      </c>
      <c r="L95" s="11" t="str">
        <f>IFERROR(IF(VLOOKUP(A95,[1]PRIORIZADOS!$A:$L,12,FALSE)="","",VLOOKUP(A95,[1]PRIORIZADOS!$A:$L,12,FALSE)),"")</f>
        <v>ORLANDO SUÁREZ SOTO
JOSÉ RODRIGO QUILAGUY BERNAL
JOHN JAIRO BOBADILLA BERMEO</v>
      </c>
      <c r="M95" s="88">
        <f>IFERROR(IF(VLOOKUP(A95,[1]PRIORIZADOS!$A:$M,13,FALSE)="","",VLOOKUP(A95,[1]PRIORIZADOS!$A:$M,13,FALSE)),"")</f>
        <v>45890</v>
      </c>
      <c r="N95" s="88">
        <f>IFERROR(IF(VLOOKUP(A95,[1]PRIORIZADOS!$A:$N,14,FALSE)="","",VLOOKUP(A95,[1]PRIORIZADOS!$A:$N,14,FALSE)),"")</f>
        <v>45811</v>
      </c>
      <c r="O95" s="88">
        <f>IFERROR(IF(VLOOKUP(A95,[1]PRIORIZADOS!$A:$O,15,FALSE)="","",VLOOKUP(A95,[1]PRIORIZADOS!$A:$O,15,FALSE)),"")</f>
        <v>45811</v>
      </c>
      <c r="P95" s="16" t="str">
        <f>IFERROR(IF(VLOOKUP(A95,[1]PRIORIZADOS!$A:$P,16,FALSE)="","",VLOOKUP(A95,[1]PRIORIZADOS!$A:$P,16,FALSE)),"")</f>
        <v>Visitas de evaluación con fines de mejoramiento</v>
      </c>
      <c r="Q95" s="89" t="s">
        <v>36</v>
      </c>
      <c r="R95" s="90" t="str">
        <f>IFERROR(IF(VLOOKUP(A95,[1]PRIORIZADOS!$A:$R,18,FALSE)="","",VLOOKUP(A95,[1]PRIORIZADOS!$A:$R,18,FALSE)),"")</f>
        <v>La institución educativa reporta la conformación de las instancias del Gobierno Escolar, incluyendo el Consejo Académico y otras instancias de participación. Se cuenta con actas de reuniones y registros de participación</v>
      </c>
      <c r="S95" s="11" t="str">
        <f>IFERROR(IF(VLOOKUP(A95,[1]PRIORIZADOS!$A:$S,19,FALSE)="","",VLOOKUP(A95,[1]PRIORIZADOS!$A:$S,19,FALSE)),"")</f>
        <v>Se recomienda tener en cuenta la periodicidad de las reuniones de estas instancias</v>
      </c>
      <c r="T95" s="70" t="str">
        <f>IFERROR(IF(VLOOKUP(A95,[1]PRIORIZADOS!$A:$T,20,FALSE)="","",VLOOKUP(A95,[1]PRIORIZADOS!$A:$T,20,FALSE)),"")</f>
        <v>No</v>
      </c>
      <c r="U95" s="11" t="str">
        <f>IFERROR(IF(VLOOKUP(A95,[1]PRIORIZADOS!$A:$U,21,FALSE)="","",VLOOKUP(A95,[1]PRIORIZADOS!$A:$U,21,FALSE)),"")</f>
        <v xml:space="preserve">Se verificará la conformación de los gobiernos escolares e instancias para la vigencia 2026. </v>
      </c>
    </row>
    <row r="96" spans="1:21" s="1" customFormat="1" ht="84">
      <c r="A96" s="69">
        <f>IF([1]PRIORIZADOS!A97="","",[1]PRIORIZADOS!A97)</f>
        <v>94</v>
      </c>
      <c r="B96" s="87">
        <v>11</v>
      </c>
      <c r="C96" s="11" t="str">
        <f>IFERROR(IF(VLOOKUP(A96,[1]PRIORIZADOS!$A:$C,3,FALSE)="","",VLOOKUP(A96,[1]PRIORIZADOS!$A:$C,3,FALSE)),"")</f>
        <v>ANTONIO NARIÑO</v>
      </c>
      <c r="D96" s="69" t="str">
        <f>IFERROR(IF(VLOOKUP(A96,[1]PRIORIZADOS!$A:$D,4,FALSE)="","",VLOOKUP(A96,[1]PRIORIZADOS!$A:$D,4,FALSE)),"")</f>
        <v>OFICIAL.</v>
      </c>
      <c r="E96" s="69" t="str">
        <f>IFERROR(IF(VLOOKUP(A96,[1]PRIORIZADOS!$A:$E,5,FALSE)="","",VLOOKUP(A96,[1]PRIORIZADOS!$A:$E,5,FALSE)),"")</f>
        <v>EPBM</v>
      </c>
      <c r="F96" s="11" t="str">
        <f>IFERROR(IF(VLOOKUP(A96,[1]PRIORIZADOS!$A:$F,6,FALSE)="","",VLOOKUP(A96,[1]PRIORIZADOS!$A:$F,6,FALSE)),"")</f>
        <v>COLEGIO_FRANCISCO_DE_PAULA_SANTANDER_IED</v>
      </c>
      <c r="G96" s="69" t="str">
        <f>IFERROR(IF(VLOOKUP(A96,[1]PRIORIZADOS!$A:$G,7,FALSE)="","",VLOOKUP(A96,[1]PRIORIZADOS!$A:$G,7,FALSE)),"")</f>
        <v>FRANCISCO DE PAULA SANTANDER</v>
      </c>
      <c r="H96" s="11" t="str">
        <f>IFERROR(IF(VLOOKUP(A96,[1]PRIORIZADOS!$A:$H,8,FALSE)="","",VLOOKUP(A96,[1]PRIORIZADOS!$A:$H,8,FALSE)),"")</f>
        <v>Convivencia escolar</v>
      </c>
      <c r="I96" s="11" t="str">
        <f>IFERROR(IF(VLOOKUP(A96,[1]PRIORIZADOS!$A:$I,9,FALSE)="","",VLOOKUP(A96,[1]PRIORIZADOS!$A:$I,9,FALSE)),"")</f>
        <v>EVALUACIÓN_CON_FINES_DE_MEJORAMIENTO.</v>
      </c>
      <c r="J96" s="11" t="str">
        <f>IFERROR(IF(VLOOKUP(A96,[1]PRIORIZADOS!$A:$J,10,FALSE)="","",VLOOKUP(A96,[1]PRIORIZADOS!$A:$J,10,FALSE)),"")</f>
        <v>Verificar las condiciones en cuanto a: la estructura administrativa, condiciones de la planta física y medios educativos adecuados.</v>
      </c>
      <c r="K96" s="11" t="str">
        <f>IFERROR(IF(VLOOKUP(A96,[1]PRIORIZADOS!$A:$K,11,FALSE)="","",VLOOKUP(A96,[1]PRIORIZADOS!$A:$K,11,FALSE)),"")</f>
        <v>JOHN JAIRO BOBADILLA BERMEO</v>
      </c>
      <c r="L96" s="11" t="str">
        <f>IFERROR(IF(VLOOKUP(A96,[1]PRIORIZADOS!$A:$L,12,FALSE)="","",VLOOKUP(A96,[1]PRIORIZADOS!$A:$L,12,FALSE)),"")</f>
        <v>ORLANDO SUÁREZ SOTO
JOSÉ RODRIGO QUILAGUY BERNAL
JOHN JAIRO BOBADILLA BERMEO</v>
      </c>
      <c r="M96" s="88">
        <f>IFERROR(IF(VLOOKUP(A96,[1]PRIORIZADOS!$A:$M,13,FALSE)="","",VLOOKUP(A96,[1]PRIORIZADOS!$A:$M,13,FALSE)),"")</f>
        <v>45890</v>
      </c>
      <c r="N96" s="88">
        <f>IFERROR(IF(VLOOKUP(A96,[1]PRIORIZADOS!$A:$N,14,FALSE)="","",VLOOKUP(A96,[1]PRIORIZADOS!$A:$N,14,FALSE)),"")</f>
        <v>45811</v>
      </c>
      <c r="O96" s="88">
        <f>IFERROR(IF(VLOOKUP(A96,[1]PRIORIZADOS!$A:$O,15,FALSE)="","",VLOOKUP(A96,[1]PRIORIZADOS!$A:$O,15,FALSE)),"")</f>
        <v>45811</v>
      </c>
      <c r="P96" s="16" t="str">
        <f>IFERROR(IF(VLOOKUP(A96,[1]PRIORIZADOS!$A:$P,16,FALSE)="","",VLOOKUP(A96,[1]PRIORIZADOS!$A:$P,16,FALSE)),"")</f>
        <v>Visitas de evaluación con fines de mejoramiento</v>
      </c>
      <c r="Q96" s="89" t="s">
        <v>36</v>
      </c>
      <c r="R96" s="90" t="str">
        <f>IFERROR(IF(VLOOKUP(A96,[1]PRIORIZADOS!$A:$R,18,FALSE)="","",VLOOKUP(A96,[1]PRIORIZADOS!$A:$R,18,FALSE)),"")</f>
        <v>La estructura administrativa, condiciones de la planta física y medios educativos, son suficientes para atender a la población escolar. Sin embargo,
Se presentan barreras arquitectónicas para estudiantes de inclusión con movilidad reducida.</v>
      </c>
      <c r="S96" s="11" t="str">
        <f>IFERROR(IF(VLOOKUP(A96,[1]PRIORIZADOS!$A:$S,19,FALSE)="","",VLOOKUP(A96,[1]PRIORIZADOS!$A:$S,19,FALSE)),"")</f>
        <v>La IE gestionará las acciones que permita mitigar las barreras de acceso a los estudiantes de inclusión con movilidad reducida, en la medida que la SED autorice y d´{e solución en referencia a la infraestructura escolar, dentro de su competencia.</v>
      </c>
      <c r="T96" s="70" t="str">
        <f>IFERROR(IF(VLOOKUP(A96,[1]PRIORIZADOS!$A:$T,20,FALSE)="","",VLOOKUP(A96,[1]PRIORIZADOS!$A:$T,20,FALSE)),"")</f>
        <v>Si</v>
      </c>
      <c r="U96" s="11" t="str">
        <f>IFERROR(IF(VLOOKUP(A96,[1]PRIORIZADOS!$A:$U,21,FALSE)="","",VLOOKUP(A96,[1]PRIORIZADOS!$A:$U,21,FALSE)),"")</f>
        <v>Verificar las condiciones de la planta fisicas  y medios educativos adecuados pertinentes para estudiantes.
Se realiza seguimiento del PMI, se realizan observaciones y retroalimentación frente a la documentación presentada, conforme a lo orientado. (19/09/2025) Ver Carpeta POAIV - TRIM III</v>
      </c>
    </row>
    <row r="97" spans="1:21" s="1" customFormat="1" ht="72">
      <c r="A97" s="69">
        <f>IF([1]PRIORIZADOS!A98="","",[1]PRIORIZADOS!A98)</f>
        <v>95</v>
      </c>
      <c r="B97" s="87">
        <v>11</v>
      </c>
      <c r="C97" s="11" t="str">
        <f>IFERROR(IF(VLOOKUP(A97,[1]PRIORIZADOS!$A:$C,3,FALSE)="","",VLOOKUP(A97,[1]PRIORIZADOS!$A:$C,3,FALSE)),"")</f>
        <v>ANTONIO NARIÑO</v>
      </c>
      <c r="D97" s="69" t="str">
        <f>IFERROR(IF(VLOOKUP(A97,[1]PRIORIZADOS!$A:$D,4,FALSE)="","",VLOOKUP(A97,[1]PRIORIZADOS!$A:$D,4,FALSE)),"")</f>
        <v>OFICIAL.</v>
      </c>
      <c r="E97" s="69" t="str">
        <f>IFERROR(IF(VLOOKUP(A97,[1]PRIORIZADOS!$A:$E,5,FALSE)="","",VLOOKUP(A97,[1]PRIORIZADOS!$A:$E,5,FALSE)),"")</f>
        <v>EPBM</v>
      </c>
      <c r="F97" s="11" t="str">
        <f>IFERROR(IF(VLOOKUP(A97,[1]PRIORIZADOS!$A:$F,6,FALSE)="","",VLOOKUP(A97,[1]PRIORIZADOS!$A:$F,6,FALSE)),"")</f>
        <v>COLEGIO_FRANCISCO_DE_PAULA_SANTANDER_IED</v>
      </c>
      <c r="G97" s="69" t="str">
        <f>IFERROR(IF(VLOOKUP(A97,[1]PRIORIZADOS!$A:$G,7,FALSE)="","",VLOOKUP(A97,[1]PRIORIZADOS!$A:$G,7,FALSE)),"")</f>
        <v>FRANCISCO DE PAULA SANTANDER</v>
      </c>
      <c r="H97" s="11" t="str">
        <f>IFERROR(IF(VLOOKUP(A97,[1]PRIORIZADOS!$A:$H,8,FALSE)="","",VLOOKUP(A97,[1]PRIORIZADOS!$A:$H,8,FALSE)),"")</f>
        <v>Convivencia escolar</v>
      </c>
      <c r="I97" s="11" t="str">
        <f>IFERROR(IF(VLOOKUP(A97,[1]PRIORIZADOS!$A:$I,9,FALSE)="","",VLOOKUP(A97,[1]PRIORIZADOS!$A:$I,9,FALSE)),"")</f>
        <v>EVALUACIÓN_CON_FINES_DE_MEJORAMIENTO.</v>
      </c>
      <c r="J97" s="11" t="str">
        <f>IFERROR(IF(VLOOKUP(A97,[1]PRIORIZADOS!$A:$J,10,FALSE)="","",VLOOKUP(A97,[1]PRIORIZADOS!$A:$J,10,FALSE)),"")</f>
        <v>Verificar el funcionamiento del Gobierno Escolar e instancias de participación con base en la información sobre conformación reportada por la institución educativa.</v>
      </c>
      <c r="K97" s="11" t="str">
        <f>IFERROR(IF(VLOOKUP(A97,[1]PRIORIZADOS!$A:$K,11,FALSE)="","",VLOOKUP(A97,[1]PRIORIZADOS!$A:$K,11,FALSE)),"")</f>
        <v>JOHN JAIRO BOBADILLA BERMEO</v>
      </c>
      <c r="L97" s="11" t="str">
        <f>IFERROR(IF(VLOOKUP(A97,[1]PRIORIZADOS!$A:$L,12,FALSE)="","",VLOOKUP(A97,[1]PRIORIZADOS!$A:$L,12,FALSE)),"")</f>
        <v>ORLANDO SUÁREZ SOTO
JOSÉ RODRIGO QUILAGUY BERNAL
JOHN JAIRO BOBADILLA BERMEO</v>
      </c>
      <c r="M97" s="88">
        <f>IFERROR(IF(VLOOKUP(A97,[1]PRIORIZADOS!$A:$M,13,FALSE)="","",VLOOKUP(A97,[1]PRIORIZADOS!$A:$M,13,FALSE)),"")</f>
        <v>45890</v>
      </c>
      <c r="N97" s="88">
        <f>IFERROR(IF(VLOOKUP(A97,[1]PRIORIZADOS!$A:$N,14,FALSE)="","",VLOOKUP(A97,[1]PRIORIZADOS!$A:$N,14,FALSE)),"")</f>
        <v>45811</v>
      </c>
      <c r="O97" s="88">
        <f>IFERROR(IF(VLOOKUP(A97,[1]PRIORIZADOS!$A:$O,15,FALSE)="","",VLOOKUP(A97,[1]PRIORIZADOS!$A:$O,15,FALSE)),"")</f>
        <v>45811</v>
      </c>
      <c r="P97" s="16" t="str">
        <f>IFERROR(IF(VLOOKUP(A97,[1]PRIORIZADOS!$A:$P,16,FALSE)="","",VLOOKUP(A97,[1]PRIORIZADOS!$A:$P,16,FALSE)),"")</f>
        <v>Visitas de evaluación con fines de mejoramiento</v>
      </c>
      <c r="Q97" s="89" t="s">
        <v>36</v>
      </c>
      <c r="R97" s="90" t="str">
        <f>IFERROR(IF(VLOOKUP(A97,[1]PRIORIZADOS!$A:$R,18,FALSE)="","",VLOOKUP(A97,[1]PRIORIZADOS!$A:$R,18,FALSE)),"")</f>
        <v>La institución educativa reporta la conformación de las instancias del Gobierno Escolar, incluyendo el Consejo Académico y otras instancias de participación. Se cuenta con actas de reuniones y registros de participación</v>
      </c>
      <c r="S97" s="11" t="str">
        <f>IFERROR(IF(VLOOKUP(A97,[1]PRIORIZADOS!$A:$S,19,FALSE)="","",VLOOKUP(A97,[1]PRIORIZADOS!$A:$S,19,FALSE)),"")</f>
        <v>Se recomienda tener en cuenta la periodicidad de las reuniones de estas instancias</v>
      </c>
      <c r="T97" s="70" t="str">
        <f>IFERROR(IF(VLOOKUP(A97,[1]PRIORIZADOS!$A:$T,20,FALSE)="","",VLOOKUP(A97,[1]PRIORIZADOS!$A:$T,20,FALSE)),"")</f>
        <v>No</v>
      </c>
      <c r="U97" s="11" t="str">
        <f>IFERROR(IF(VLOOKUP(A97,[1]PRIORIZADOS!$A:$U,21,FALSE)="","",VLOOKUP(A97,[1]PRIORIZADOS!$A:$U,21,FALSE)),"")</f>
        <v xml:space="preserve">Se verificará la conformación de los gobiernos escolares e instancias para la vigencia 2026. </v>
      </c>
    </row>
    <row r="98" spans="1:21" s="1" customFormat="1" ht="84">
      <c r="A98" s="69">
        <f>IF([1]PRIORIZADOS!A99="","",[1]PRIORIZADOS!A99)</f>
        <v>96</v>
      </c>
      <c r="B98" s="87">
        <v>11</v>
      </c>
      <c r="C98" s="11" t="str">
        <f>IFERROR(IF(VLOOKUP(A98,[1]PRIORIZADOS!$A:$C,3,FALSE)="","",VLOOKUP(A98,[1]PRIORIZADOS!$A:$C,3,FALSE)),"")</f>
        <v>ANTONIO NARIÑO</v>
      </c>
      <c r="D98" s="69" t="str">
        <f>IFERROR(IF(VLOOKUP(A98,[1]PRIORIZADOS!$A:$D,4,FALSE)="","",VLOOKUP(A98,[1]PRIORIZADOS!$A:$D,4,FALSE)),"")</f>
        <v>OFICIAL.</v>
      </c>
      <c r="E98" s="69" t="str">
        <f>IFERROR(IF(VLOOKUP(A98,[1]PRIORIZADOS!$A:$E,5,FALSE)="","",VLOOKUP(A98,[1]PRIORIZADOS!$A:$E,5,FALSE)),"")</f>
        <v>EPBM</v>
      </c>
      <c r="F98" s="11" t="str">
        <f>IFERROR(IF(VLOOKUP(A98,[1]PRIORIZADOS!$A:$F,6,FALSE)="","",VLOOKUP(A98,[1]PRIORIZADOS!$A:$F,6,FALSE)),"")</f>
        <v>COLEGIO_FRANCISCO_DE_PAULA_SANTANDER_IED</v>
      </c>
      <c r="G98" s="69" t="str">
        <f>IFERROR(IF(VLOOKUP(A98,[1]PRIORIZADOS!$A:$G,7,FALSE)="","",VLOOKUP(A98,[1]PRIORIZADOS!$A:$G,7,FALSE)),"")</f>
        <v>FRANCISCO DE PAULA SANTANDER</v>
      </c>
      <c r="H98" s="11" t="str">
        <f>IFERROR(IF(VLOOKUP(A98,[1]PRIORIZADOS!$A:$H,8,FALSE)="","",VLOOKUP(A98,[1]PRIORIZADOS!$A:$H,8,FALSE)),"")</f>
        <v>Convivencia escolar</v>
      </c>
      <c r="I98" s="11" t="str">
        <f>IFERROR(IF(VLOOKUP(A98,[1]PRIORIZADOS!$A:$I,9,FALSE)="","",VLOOKUP(A98,[1]PRIORIZADOS!$A:$I,9,FALSE)),"")</f>
        <v>EVALUACIÓN_CON_FINES_DE_MEJORAMIENTO.</v>
      </c>
      <c r="J98" s="11" t="str">
        <f>IFERROR(IF(VLOOKUP(A98,[1]PRIORIZADOS!$A:$J,10,FALSE)="","",VLOOKUP(A98,[1]PRIORIZADOS!$A:$J,10,FALSE)),"")</f>
        <v>Verificar las condiciones en cuanto a: la estructura administrativa, condiciones de la planta física y medios educativos adecuados.</v>
      </c>
      <c r="K98" s="11" t="str">
        <f>IFERROR(IF(VLOOKUP(A98,[1]PRIORIZADOS!$A:$K,11,FALSE)="","",VLOOKUP(A98,[1]PRIORIZADOS!$A:$K,11,FALSE)),"")</f>
        <v>JOHN JAIRO BOBADILLA BERMEO</v>
      </c>
      <c r="L98" s="11" t="str">
        <f>IFERROR(IF(VLOOKUP(A98,[1]PRIORIZADOS!$A:$L,12,FALSE)="","",VLOOKUP(A98,[1]PRIORIZADOS!$A:$L,12,FALSE)),"")</f>
        <v>ORLANDO SUÁREZ SOTO
JOSÉ RODRIGO QUILAGUY BERNAL
JOHN JAIRO BOBADILLA BERMEO</v>
      </c>
      <c r="M98" s="88">
        <f>IFERROR(IF(VLOOKUP(A98,[1]PRIORIZADOS!$A:$M,13,FALSE)="","",VLOOKUP(A98,[1]PRIORIZADOS!$A:$M,13,FALSE)),"")</f>
        <v>45890</v>
      </c>
      <c r="N98" s="88">
        <f>IFERROR(IF(VLOOKUP(A98,[1]PRIORIZADOS!$A:$N,14,FALSE)="","",VLOOKUP(A98,[1]PRIORIZADOS!$A:$N,14,FALSE)),"")</f>
        <v>45811</v>
      </c>
      <c r="O98" s="88">
        <f>IFERROR(IF(VLOOKUP(A98,[1]PRIORIZADOS!$A:$O,15,FALSE)="","",VLOOKUP(A98,[1]PRIORIZADOS!$A:$O,15,FALSE)),"")</f>
        <v>45811</v>
      </c>
      <c r="P98" s="16" t="str">
        <f>IFERROR(IF(VLOOKUP(A98,[1]PRIORIZADOS!$A:$P,16,FALSE)="","",VLOOKUP(A98,[1]PRIORIZADOS!$A:$P,16,FALSE)),"")</f>
        <v>Visitas de evaluación con fines de mejoramiento</v>
      </c>
      <c r="Q98" s="89" t="s">
        <v>36</v>
      </c>
      <c r="R98" s="90" t="str">
        <f>IFERROR(IF(VLOOKUP(A98,[1]PRIORIZADOS!$A:$R,18,FALSE)="","",VLOOKUP(A98,[1]PRIORIZADOS!$A:$R,18,FALSE)),"")</f>
        <v>La estructura administrativa, condiciones de la planta física y medios educativos, son suficientes para atender a la población escolar. Sin embargo,
Se presentan barreras arquitectónicas para estudiantes de inclusión con movilidad reducida.</v>
      </c>
      <c r="S98" s="11" t="str">
        <f>IFERROR(IF(VLOOKUP(A98,[1]PRIORIZADOS!$A:$S,19,FALSE)="","",VLOOKUP(A98,[1]PRIORIZADOS!$A:$S,19,FALSE)),"")</f>
        <v>La IE gestionará las acciones que permita mitigar las barreras de acceso a los estudiantes de inclusión con movilidad reducida, en la medida que la SED autorice y d´{e solución en referencia a la infraestructura escolar, dentro de su competencia.</v>
      </c>
      <c r="T98" s="70" t="str">
        <f>IFERROR(IF(VLOOKUP(A98,[1]PRIORIZADOS!$A:$T,20,FALSE)="","",VLOOKUP(A98,[1]PRIORIZADOS!$A:$T,20,FALSE)),"")</f>
        <v>Si</v>
      </c>
      <c r="U98" s="11" t="str">
        <f>IFERROR(IF(VLOOKUP(A98,[1]PRIORIZADOS!$A:$U,21,FALSE)="","",VLOOKUP(A98,[1]PRIORIZADOS!$A:$U,21,FALSE)),"")</f>
        <v>Verificar las condiciones de la planta fisicas  y medios educativos adecuados pertinentes para estudiantes.
Se realiza seguimiento del PMI, se realizan observaciones y retroalimentación frente a la documentación presentada, conforme a lo orientado. (19/09/2025) Ver Carpeta POAIV - TRIM III</v>
      </c>
    </row>
    <row r="99" spans="1:21" s="1" customFormat="1" ht="130.5">
      <c r="A99" s="69">
        <f>IF([1]PRIORIZADOS!A100="","",[1]PRIORIZADOS!A100)</f>
        <v>97</v>
      </c>
      <c r="B99" s="87">
        <f>IFERROR(IF(VLOOKUP(A99,[1]PRIORIZADOS!$A:$B,2,FALSE)="","",VLOOKUP(A99,[1]PRIORIZADOS!$A:$B,2,FALSE)),"")</f>
        <v>12</v>
      </c>
      <c r="C99" s="11" t="str">
        <f>IFERROR(IF(VLOOKUP(A99,[1]PRIORIZADOS!$A:$C,3,FALSE)="","",VLOOKUP(A99,[1]PRIORIZADOS!$A:$C,3,FALSE)),"")</f>
        <v>ANTONIO NARIÑO</v>
      </c>
      <c r="D99" s="69" t="str">
        <f>IFERROR(IF(VLOOKUP(A99,[1]PRIORIZADOS!$A:$D,4,FALSE)="","",VLOOKUP(A99,[1]PRIORIZADOS!$A:$D,4,FALSE)),"")</f>
        <v>OFICIAL.</v>
      </c>
      <c r="E99" s="69" t="str">
        <f>IFERROR(IF(VLOOKUP(A99,[1]PRIORIZADOS!$A:$E,5,FALSE)="","",VLOOKUP(A99,[1]PRIORIZADOS!$A:$E,5,FALSE)),"")</f>
        <v>EPBM</v>
      </c>
      <c r="F99" s="11" t="str">
        <f>IFERROR(IF(VLOOKUP(A99,[1]PRIORIZADOS!$A:$F,6,FALSE)="","",VLOOKUP(A99,[1]PRIORIZADOS!$A:$F,6,FALSE)),"")</f>
        <v>COLEGIO_GUILLERMO_LEON_VALENCIA_IED</v>
      </c>
      <c r="G99" s="69" t="str">
        <f>IFERROR(IF(VLOOKUP(A99,[1]PRIORIZADOS!$A:$G,7,FALSE)="","",VLOOKUP(A99,[1]PRIORIZADOS!$A:$G,7,FALSE)),"")</f>
        <v>GUILLERMO LEON VALENCIA</v>
      </c>
      <c r="H99" s="11" t="str">
        <f>IFERROR(IF(VLOOKUP(A99,[1]PRIORIZADOS!$A:$H,8,FALSE)="","",VLOOKUP(A99,[1]PRIORIZADOS!$A:$H,8,FALSE)),"")</f>
        <v>Convivencia escolar</v>
      </c>
      <c r="I99" s="11" t="str">
        <f>IFERROR(IF(VLOOKUP(A99,[1]PRIORIZADOS!$A:$I,9,FALSE)="","",VLOOKUP(A99,[1]PRIORIZADOS!$A:$I,9,FALSE)),"")</f>
        <v>SEGUIMIENTO_Y_SUPERVISIÓN.</v>
      </c>
      <c r="J99" s="11" t="str">
        <f>IFERROR(IF(VLOOKUP(A99,[1]PRIORIZADOS!$A:$J,10,FALSE)="","",VLOOKUP(A99,[1]PRIORIZADOS!$A:$J,10,FALSE)),"")</f>
        <v xml:space="preserve">Verificar la implementación por parte de los colegios, de acciones realizadas para la prevención y atención de las situaciones de convivencia en el entorno escolar, según lo establecido en la Directiva 01 de 2022 del MEN. </v>
      </c>
      <c r="K99" s="11" t="str">
        <f>IFERROR(IF(VLOOKUP(A99,[1]PRIORIZADOS!$A:$K,11,FALSE)="","",VLOOKUP(A99,[1]PRIORIZADOS!$A:$K,11,FALSE)),"")</f>
        <v>JOSÉ RODRIGO QUILAGUY BERNAL</v>
      </c>
      <c r="L99" s="11" t="str">
        <f>IFERROR(IF(VLOOKUP(A99,[1]PRIORIZADOS!$A:$L,12,FALSE)="","",VLOOKUP(A99,[1]PRIORIZADOS!$A:$L,12,FALSE)),"")</f>
        <v>ORLANDO SUÁREZ SOTO
JOSÉ RODRIGO QUILAGUY BERNAL
JOHN JAIRO BOBADILLA BERMEO</v>
      </c>
      <c r="M99" s="88">
        <f>IFERROR(IF(VLOOKUP(A99,[1]PRIORIZADOS!$A:$M,13,FALSE)="","",VLOOKUP(A99,[1]PRIORIZADOS!$A:$M,13,FALSE)),"")</f>
        <v>45918</v>
      </c>
      <c r="N99" s="88">
        <f>IFERROR(IF(VLOOKUP(A99,[1]PRIORIZADOS!$A:$N,14,FALSE)="","",VLOOKUP(A99,[1]PRIORIZADOS!$A:$N,14,FALSE)),"")</f>
        <v>45804</v>
      </c>
      <c r="O99" s="88">
        <f>IFERROR(IF(VLOOKUP(A99,[1]PRIORIZADOS!$A:$O,15,FALSE)="","",VLOOKUP(A99,[1]PRIORIZADOS!$A:$O,15,FALSE)),"")</f>
        <v>45804</v>
      </c>
      <c r="P99" s="16" t="str">
        <f>IFERROR(IF(VLOOKUP(A99,[1]PRIORIZADOS!$A:$P,16,FALSE)="","",VLOOKUP(A99,[1]PRIORIZADOS!$A:$P,16,FALSE)),"")</f>
        <v>Visitas de evaluación con fines de seguimiento</v>
      </c>
      <c r="Q99" s="89" t="s">
        <v>37</v>
      </c>
      <c r="R99" s="90" t="str">
        <f>IFERROR(IF(VLOOKUP(A99,[1]PRIORIZADOS!$A:$R,18,FALSE)="","",VLOOKUP(A99,[1]PRIORIZADOS!$A:$R,18,FALSE)),"")</f>
        <v>La institución aplica la Ruta de Atención Integral y protocolos de convivencia conforme a la Ley 1620 de 2013, con reportes al sistema de alertas. Sin embargo, se requiere un plan de convivencia específico para el establecimiento, analizar los resultados del sistema de alertas para el plan del Comité de Convivencia, y documentar las etapas del debido proceso en el Manual de Convivencia.</v>
      </c>
      <c r="S99" s="11" t="str">
        <f>IFERROR(IF(VLOOKUP(A99,[1]PRIORIZADOS!$A:$S,19,FALSE)="","",VLOOKUP(A99,[1]PRIORIZADOS!$A:$S,19,FALSE)),"")</f>
        <v>La institución se requiere implementar un plan de convivencia específico para el establecimiento, que permita analizar los resultados del sistema de alertas para el plan del Comité de Convivencia, y documentar las etapas del debido proceso en el Manual de Convivencia.</v>
      </c>
      <c r="T99" s="70" t="str">
        <f>IFERROR(IF(VLOOKUP(A99,[1]PRIORIZADOS!$A:$T,20,FALSE)="","",VLOOKUP(A99,[1]PRIORIZADOS!$A:$T,20,FALSE)),"")</f>
        <v>Si</v>
      </c>
      <c r="U99" s="11" t="str">
        <f>IFERROR(IF(VLOOKUP(A99,[1]PRIORIZADOS!$A:$U,21,FALSE)="","",VLOOKUP(A99,[1]PRIORIZADOS!$A:$U,21,FALSE)),"")</f>
        <v>Verificar las acciones definidas en el plan de mejoramiento una vez sea presentado 17.06.2025.
Se realiza seguimiento del PMI, se realizan observaciones y retroalimentación frente a la documentación presentada, conforme a lo orientado. (23/09/2025) Ver Carpeta POAIV - TRIM III</v>
      </c>
    </row>
    <row r="100" spans="1:21" s="1" customFormat="1" ht="72">
      <c r="A100" s="69">
        <f>IF([1]PRIORIZADOS!A101="","",[1]PRIORIZADOS!A101)</f>
        <v>98</v>
      </c>
      <c r="B100" s="87">
        <v>12</v>
      </c>
      <c r="C100" s="11" t="str">
        <f>IFERROR(IF(VLOOKUP(A100,[1]PRIORIZADOS!$A:$C,3,FALSE)="","",VLOOKUP(A100,[1]PRIORIZADOS!$A:$C,3,FALSE)),"")</f>
        <v>ANTONIO NARIÑO</v>
      </c>
      <c r="D100" s="69" t="str">
        <f>IFERROR(IF(VLOOKUP(A100,[1]PRIORIZADOS!$A:$D,4,FALSE)="","",VLOOKUP(A100,[1]PRIORIZADOS!$A:$D,4,FALSE)),"")</f>
        <v>OFICIAL.</v>
      </c>
      <c r="E100" s="69" t="str">
        <f>IFERROR(IF(VLOOKUP(A100,[1]PRIORIZADOS!$A:$E,5,FALSE)="","",VLOOKUP(A100,[1]PRIORIZADOS!$A:$E,5,FALSE)),"")</f>
        <v>EPBM</v>
      </c>
      <c r="F100" s="11" t="str">
        <f>IFERROR(IF(VLOOKUP(A100,[1]PRIORIZADOS!$A:$F,6,FALSE)="","",VLOOKUP(A100,[1]PRIORIZADOS!$A:$F,6,FALSE)),"")</f>
        <v>COLEGIO_GUILLERMO_LEON_VALENCIA_IED</v>
      </c>
      <c r="G100" s="69" t="str">
        <f>IFERROR(IF(VLOOKUP(A100,[1]PRIORIZADOS!$A:$G,7,FALSE)="","",VLOOKUP(A100,[1]PRIORIZADOS!$A:$G,7,FALSE)),"")</f>
        <v>GUILLERMO LEON VALENCIA</v>
      </c>
      <c r="H100" s="11" t="str">
        <f>IFERROR(IF(VLOOKUP(A100,[1]PRIORIZADOS!$A:$H,8,FALSE)="","",VLOOKUP(A100,[1]PRIORIZADOS!$A:$H,8,FALSE)),"")</f>
        <v>Convivencia escolar</v>
      </c>
      <c r="I100" s="11" t="str">
        <f>IFERROR(IF(VLOOKUP(A100,[1]PRIORIZADOS!$A:$I,9,FALSE)="","",VLOOKUP(A100,[1]PRIORIZADOS!$A:$I,9,FALSE)),"")</f>
        <v>SEGUIMIENTO_Y_SUPERVISIÓN.</v>
      </c>
      <c r="J100" s="11" t="str">
        <f>IFERROR(IF(VLOOKUP(A100,[1]PRIORIZADOS!$A:$J,10,FALSE)="","",VLOOKUP(A100,[1]PRIORIZADOS!$A:$J,10,FALSE)),"")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0" s="11" t="str">
        <f>IFERROR(IF(VLOOKUP(A100,[1]PRIORIZADOS!$A:$K,11,FALSE)="","",VLOOKUP(A100,[1]PRIORIZADOS!$A:$K,11,FALSE)),"")</f>
        <v>JOSÉ RODRIGO QUILAGUY BERNAL</v>
      </c>
      <c r="L100" s="11" t="str">
        <f>IFERROR(IF(VLOOKUP(A100,[1]PRIORIZADOS!$A:$L,12,FALSE)="","",VLOOKUP(A100,[1]PRIORIZADOS!$A:$L,12,FALSE)),"")</f>
        <v>ORLANDO SUÁREZ SOTO
JOSÉ RODRIGO QUILAGUY BERNAL
JOHN JAIRO BOBADILLA BERMEO</v>
      </c>
      <c r="M100" s="88">
        <f>IFERROR(IF(VLOOKUP(A100,[1]PRIORIZADOS!$A:$M,13,FALSE)="","",VLOOKUP(A100,[1]PRIORIZADOS!$A:$M,13,FALSE)),"")</f>
        <v>45918</v>
      </c>
      <c r="N100" s="88">
        <f>IFERROR(IF(VLOOKUP(A100,[1]PRIORIZADOS!$A:$N,14,FALSE)="","",VLOOKUP(A100,[1]PRIORIZADOS!$A:$N,14,FALSE)),"")</f>
        <v>45804</v>
      </c>
      <c r="O100" s="88">
        <f>IFERROR(IF(VLOOKUP(A100,[1]PRIORIZADOS!$A:$O,15,FALSE)="","",VLOOKUP(A100,[1]PRIORIZADOS!$A:$O,15,FALSE)),"")</f>
        <v>45804</v>
      </c>
      <c r="P100" s="16" t="str">
        <f>IFERROR(IF(VLOOKUP(A100,[1]PRIORIZADOS!$A:$P,16,FALSE)="","",VLOOKUP(A100,[1]PRIORIZADOS!$A:$P,16,FALSE)),"")</f>
        <v>Visitas de evaluación con fines de seguimiento</v>
      </c>
      <c r="Q100" s="89" t="s">
        <v>37</v>
      </c>
      <c r="R100" s="90" t="str">
        <f>IFERROR(IF(VLOOKUP(A100,[1]PRIORIZADOS!$A:$R,18,FALSE)="","",VLOOKUP(A100,[1]PRIORIZADOS!$A:$R,18,FALSE)),"")</f>
        <v>No se reflejan totalmente en PEI /MC avances inclusivos. Sin embargo, el PIAR y estrategias para diversidad estan implementadas.</v>
      </c>
      <c r="S100" s="11" t="str">
        <f>IFERROR(IF(VLOOKUP(A100,[1]PRIORIZADOS!$A:$S,19,FALSE)="","",VLOOKUP(A100,[1]PRIORIZADOS!$A:$S,19,FALSE)),"")</f>
        <v>Continuar con la actualización del PEI y el Manual de Convivencia para reflejar plenamente los avances en inclusión y el perfil de los estudiantes, asegurando su coherencia normativa.</v>
      </c>
      <c r="T100" s="70" t="str">
        <f>IFERROR(IF(VLOOKUP(A100,[1]PRIORIZADOS!$A:$T,20,FALSE)="","",VLOOKUP(A100,[1]PRIORIZADOS!$A:$T,20,FALSE)),"")</f>
        <v>Si</v>
      </c>
      <c r="U100" s="11" t="str">
        <f>IFERROR(IF(VLOOKUP(A100,[1]PRIORIZADOS!$A:$U,21,FALSE)="","",VLOOKUP(A100,[1]PRIORIZADOS!$A:$U,21,FALSE)),"")</f>
        <v>Verificar las acciones definidas en el plan de mejoramiento una vez sea presentado 17.06.2025.
Se realiza seguimiento del PMI, se realizan observaciones y retroalimentación frente a la documentación presentada, conforme a lo orientado. (23/09/2025) Ver Carpeta POAIV - TRIM III</v>
      </c>
    </row>
    <row r="101" spans="1:21" s="1" customFormat="1" ht="72">
      <c r="A101" s="69">
        <f>IF([1]PRIORIZADOS!A102="","",[1]PRIORIZADOS!A102)</f>
        <v>99</v>
      </c>
      <c r="B101" s="87">
        <v>12</v>
      </c>
      <c r="C101" s="11" t="str">
        <f>IFERROR(IF(VLOOKUP(A101,[1]PRIORIZADOS!$A:$C,3,FALSE)="","",VLOOKUP(A101,[1]PRIORIZADOS!$A:$C,3,FALSE)),"")</f>
        <v>ANTONIO NARIÑO</v>
      </c>
      <c r="D101" s="69" t="str">
        <f>IFERROR(IF(VLOOKUP(A101,[1]PRIORIZADOS!$A:$D,4,FALSE)="","",VLOOKUP(A101,[1]PRIORIZADOS!$A:$D,4,FALSE)),"")</f>
        <v>OFICIAL.</v>
      </c>
      <c r="E101" s="69" t="str">
        <f>IFERROR(IF(VLOOKUP(A101,[1]PRIORIZADOS!$A:$E,5,FALSE)="","",VLOOKUP(A101,[1]PRIORIZADOS!$A:$E,5,FALSE)),"")</f>
        <v>EPBM</v>
      </c>
      <c r="F101" s="11" t="str">
        <f>IFERROR(IF(VLOOKUP(A101,[1]PRIORIZADOS!$A:$F,6,FALSE)="","",VLOOKUP(A101,[1]PRIORIZADOS!$A:$F,6,FALSE)),"")</f>
        <v>COLEGIO_GUILLERMO_LEON_VALENCIA_IED</v>
      </c>
      <c r="G101" s="69" t="str">
        <f>IFERROR(IF(VLOOKUP(A101,[1]PRIORIZADOS!$A:$G,7,FALSE)="","",VLOOKUP(A101,[1]PRIORIZADOS!$A:$G,7,FALSE)),"")</f>
        <v>GUILLERMO LEON VALENCIA</v>
      </c>
      <c r="H101" s="11" t="str">
        <f>IFERROR(IF(VLOOKUP(A101,[1]PRIORIZADOS!$A:$H,8,FALSE)="","",VLOOKUP(A101,[1]PRIORIZADOS!$A:$H,8,FALSE)),"")</f>
        <v>Convivencia escolar</v>
      </c>
      <c r="I101" s="11" t="str">
        <f>IFERROR(IF(VLOOKUP(A101,[1]PRIORIZADOS!$A:$I,9,FALSE)="","",VLOOKUP(A101,[1]PRIORIZADOS!$A:$I,9,FALSE)),"")</f>
        <v>EVALUACIÓN_CON_FINES_DE_MEJORAMIENTO.</v>
      </c>
      <c r="J101" s="11" t="str">
        <f>IFERROR(IF(VLOOKUP(A101,[1]PRIORIZADOS!$A:$J,10,FALSE)="","",VLOOKUP(A101,[1]PRIORIZADOS!$A:$J,10,FALSE)),"")</f>
        <v>Revisar la actualización, socialización e implementación del Sistema Institucional de Evaluación de Estudiantes - SIEE, en articulación con la actualización del PEI y la normatividad vigente.</v>
      </c>
      <c r="K101" s="11" t="str">
        <f>IFERROR(IF(VLOOKUP(A101,[1]PRIORIZADOS!$A:$K,11,FALSE)="","",VLOOKUP(A101,[1]PRIORIZADOS!$A:$K,11,FALSE)),"")</f>
        <v>JOSÉ RODRIGO QUILAGUY BERNAL</v>
      </c>
      <c r="L101" s="11" t="str">
        <f>IFERROR(IF(VLOOKUP(A101,[1]PRIORIZADOS!$A:$L,12,FALSE)="","",VLOOKUP(A101,[1]PRIORIZADOS!$A:$L,12,FALSE)),"")</f>
        <v>ORLANDO SUÁREZ SOTO
JOSÉ RODRIGO QUILAGUY BERNAL
JOHN JAIRO BOBADILLA BERMEO</v>
      </c>
      <c r="M101" s="88">
        <f>IFERROR(IF(VLOOKUP(A101,[1]PRIORIZADOS!$A:$M,13,FALSE)="","",VLOOKUP(A101,[1]PRIORIZADOS!$A:$M,13,FALSE)),"")</f>
        <v>45918</v>
      </c>
      <c r="N101" s="88">
        <f>IFERROR(IF(VLOOKUP(A101,[1]PRIORIZADOS!$A:$N,14,FALSE)="","",VLOOKUP(A101,[1]PRIORIZADOS!$A:$N,14,FALSE)),"")</f>
        <v>45804</v>
      </c>
      <c r="O101" s="88">
        <f>IFERROR(IF(VLOOKUP(A101,[1]PRIORIZADOS!$A:$O,15,FALSE)="","",VLOOKUP(A101,[1]PRIORIZADOS!$A:$O,15,FALSE)),"")</f>
        <v>45804</v>
      </c>
      <c r="P101" s="16" t="str">
        <f>IFERROR(IF(VLOOKUP(A101,[1]PRIORIZADOS!$A:$P,16,FALSE)="","",VLOOKUP(A101,[1]PRIORIZADOS!$A:$P,16,FALSE)),"")</f>
        <v>Visitas de evaluación con fines de seguimiento</v>
      </c>
      <c r="Q101" s="89" t="s">
        <v>37</v>
      </c>
      <c r="R101" s="90" t="str">
        <f>IFERROR(IF(VLOOKUP(A101,[1]PRIORIZADOS!$A:$R,18,FALSE)="","",VLOOKUP(A101,[1]PRIORIZADOS!$A:$R,18,FALSE)),"")</f>
        <v>Se implementan de forma estructurada las Acciones de Mejoramiento Pedagógico (A.M.P.) y semanas de apoyo pedagógico semestrales, junto con semanas de superación que incluyen el acompañamiento de acudientes.</v>
      </c>
      <c r="S101" s="12" t="str">
        <f>IFERROR(IF(VLOOKUP(A101,[1]PRIORIZADOS!$A:$S,19,FALSE)="","",VLOOKUP(A101,[1]PRIORIZADOS!$A:$S,19,FALSE)),"")</f>
        <v>La IE implementa opciones académicas y apoyo pedagógico organizado y registrado para la mejora estudiantil</v>
      </c>
      <c r="T101" s="70" t="str">
        <f>IFERROR(IF(VLOOKUP(A101,[1]PRIORIZADOS!$A:$T,20,FALSE)="","",VLOOKUP(A101,[1]PRIORIZADOS!$A:$T,20,FALSE)),"")</f>
        <v>No</v>
      </c>
      <c r="U101" s="11" t="str">
        <f>IFERROR(IF(VLOOKUP(A101,[1]PRIORIZADOS!$A:$U,21,FALSE)="","",VLOOKUP(A101,[1]PRIORIZADOS!$A:$U,21,FALSE)),"")</f>
        <v>Verificar nuevamente en caso de requerirse.</v>
      </c>
    </row>
    <row r="102" spans="1:21" s="1" customFormat="1" ht="60">
      <c r="A102" s="69">
        <f>IF([1]PRIORIZADOS!A103="","",[1]PRIORIZADOS!A103)</f>
        <v>100</v>
      </c>
      <c r="B102" s="87">
        <v>12</v>
      </c>
      <c r="C102" s="11" t="str">
        <f>IFERROR(IF(VLOOKUP(A102,[1]PRIORIZADOS!$A:$C,3,FALSE)="","",VLOOKUP(A102,[1]PRIORIZADOS!$A:$C,3,FALSE)),"")</f>
        <v>ANTONIO NARIÑO</v>
      </c>
      <c r="D102" s="69" t="str">
        <f>IFERROR(IF(VLOOKUP(A102,[1]PRIORIZADOS!$A:$D,4,FALSE)="","",VLOOKUP(A102,[1]PRIORIZADOS!$A:$D,4,FALSE)),"")</f>
        <v>OFICIAL.</v>
      </c>
      <c r="E102" s="69" t="str">
        <f>IFERROR(IF(VLOOKUP(A102,[1]PRIORIZADOS!$A:$E,5,FALSE)="","",VLOOKUP(A102,[1]PRIORIZADOS!$A:$E,5,FALSE)),"")</f>
        <v>EPBM</v>
      </c>
      <c r="F102" s="11" t="str">
        <f>IFERROR(IF(VLOOKUP(A102,[1]PRIORIZADOS!$A:$F,6,FALSE)="","",VLOOKUP(A102,[1]PRIORIZADOS!$A:$F,6,FALSE)),"")</f>
        <v>COLEGIO_GUILLERMO_LEON_VALENCIA_IED</v>
      </c>
      <c r="G102" s="69" t="str">
        <f>IFERROR(IF(VLOOKUP(A102,[1]PRIORIZADOS!$A:$G,7,FALSE)="","",VLOOKUP(A102,[1]PRIORIZADOS!$A:$G,7,FALSE)),"")</f>
        <v>GUILLERMO LEON VALENCIA</v>
      </c>
      <c r="H102" s="11" t="str">
        <f>IFERROR(IF(VLOOKUP(A102,[1]PRIORIZADOS!$A:$H,8,FALSE)="","",VLOOKUP(A102,[1]PRIORIZADOS!$A:$H,8,FALSE)),"")</f>
        <v>Convivencia escolar</v>
      </c>
      <c r="I102" s="11" t="str">
        <f>IFERROR(IF(VLOOKUP(A102,[1]PRIORIZADOS!$A:$I,9,FALSE)="","",VLOOKUP(A102,[1]PRIORIZADOS!$A:$I,9,FALSE)),"")</f>
        <v>EVALUACIÓN_CON_FINES_DE_MEJORAMIENTO.</v>
      </c>
      <c r="J102" s="11" t="str">
        <f>IFERROR(IF(VLOOKUP(A102,[1]PRIORIZADOS!$A:$J,10,FALSE)="","",VLOOKUP(A102,[1]PRIORIZADOS!$A:$J,10,FALSE)),"")</f>
        <v>Revisar el calendario escolar, jornada escolar, la intensidad horaria mínima anual en cada nivel y las modificaciones que se realicen al mismo, de acuerdo con lo previsto en la normatividad vigente.</v>
      </c>
      <c r="K102" s="11" t="str">
        <f>IFERROR(IF(VLOOKUP(A102,[1]PRIORIZADOS!$A:$K,11,FALSE)="","",VLOOKUP(A102,[1]PRIORIZADOS!$A:$K,11,FALSE)),"")</f>
        <v>JOSÉ RODRIGO QUILAGUY BERNAL</v>
      </c>
      <c r="L102" s="11" t="str">
        <f>IFERROR(IF(VLOOKUP(A102,[1]PRIORIZADOS!$A:$L,12,FALSE)="","",VLOOKUP(A102,[1]PRIORIZADOS!$A:$L,12,FALSE)),"")</f>
        <v>ORLANDO SUÁREZ SOTO
JOSÉ RODRIGO QUILAGUY BERNAL
JOHN JAIRO BOBADILLA BERMEO</v>
      </c>
      <c r="M102" s="88">
        <f>IFERROR(IF(VLOOKUP(A102,[1]PRIORIZADOS!$A:$M,13,FALSE)="","",VLOOKUP(A102,[1]PRIORIZADOS!$A:$M,13,FALSE)),"")</f>
        <v>45918</v>
      </c>
      <c r="N102" s="88">
        <f>IFERROR(IF(VLOOKUP(A102,[1]PRIORIZADOS!$A:$N,14,FALSE)="","",VLOOKUP(A102,[1]PRIORIZADOS!$A:$N,14,FALSE)),"")</f>
        <v>45804</v>
      </c>
      <c r="O102" s="88">
        <f>IFERROR(IF(VLOOKUP(A102,[1]PRIORIZADOS!$A:$O,15,FALSE)="","",VLOOKUP(A102,[1]PRIORIZADOS!$A:$O,15,FALSE)),"")</f>
        <v>45804</v>
      </c>
      <c r="P102" s="16" t="str">
        <f>IFERROR(IF(VLOOKUP(A102,[1]PRIORIZADOS!$A:$P,16,FALSE)="","",VLOOKUP(A102,[1]PRIORIZADOS!$A:$P,16,FALSE)),"")</f>
        <v>Visitas de evaluación con fines de mejoramiento</v>
      </c>
      <c r="Q102" s="89" t="s">
        <v>37</v>
      </c>
      <c r="R102" s="90" t="str">
        <f>IFERROR(IF(VLOOKUP(A102,[1]PRIORIZADOS!$A:$R,18,FALSE)="","",VLOOKUP(A102,[1]PRIORIZADOS!$A:$R,18,FALSE)),"")</f>
        <v>Se constata que la Institución Educativa garantiza el cumplimiento de la intensidad horaria mínima anual establecida para cada el nivel educativo que ofrece.</v>
      </c>
      <c r="S102" s="11" t="str">
        <f>IFERROR(IF(VLOOKUP(A102,[1]PRIORIZADOS!$A:$S,19,FALSE)="","",VLOOKUP(A102,[1]PRIORIZADOS!$A:$S,19,FALSE)),"")</f>
        <v>Se concluye que el establecimiento educativo está dando pleno cumplimiento a la normativa vigente en cuanto a la organización del calendario y la jornada escolar</v>
      </c>
      <c r="T102" s="70" t="str">
        <f>IFERROR(IF(VLOOKUP(A102,[1]PRIORIZADOS!$A:$T,20,FALSE)="","",VLOOKUP(A102,[1]PRIORIZADOS!$A:$T,20,FALSE)),"")</f>
        <v>No</v>
      </c>
      <c r="U102" s="11" t="str">
        <f>IFERROR(IF(VLOOKUP(A102,[1]PRIORIZADOS!$A:$U,21,FALSE)="","",VLOOKUP(A102,[1]PRIORIZADOS!$A:$U,21,FALSE)),"")</f>
        <v>Verificar nuevamente en caso de requerirse.</v>
      </c>
    </row>
    <row r="103" spans="1:21" s="1" customFormat="1" ht="72">
      <c r="A103" s="69">
        <f>IF([1]PRIORIZADOS!A104="","",[1]PRIORIZADOS!A104)</f>
        <v>101</v>
      </c>
      <c r="B103" s="87">
        <v>12</v>
      </c>
      <c r="C103" s="11" t="str">
        <f>IFERROR(IF(VLOOKUP(A103,[1]PRIORIZADOS!$A:$C,3,FALSE)="","",VLOOKUP(A103,[1]PRIORIZADOS!$A:$C,3,FALSE)),"")</f>
        <v>ANTONIO NARIÑO</v>
      </c>
      <c r="D103" s="69" t="str">
        <f>IFERROR(IF(VLOOKUP(A103,[1]PRIORIZADOS!$A:$D,4,FALSE)="","",VLOOKUP(A103,[1]PRIORIZADOS!$A:$D,4,FALSE)),"")</f>
        <v>OFICIAL.</v>
      </c>
      <c r="E103" s="69" t="str">
        <f>IFERROR(IF(VLOOKUP(A103,[1]PRIORIZADOS!$A:$E,5,FALSE)="","",VLOOKUP(A103,[1]PRIORIZADOS!$A:$E,5,FALSE)),"")</f>
        <v>EPBM</v>
      </c>
      <c r="F103" s="11" t="str">
        <f>IFERROR(IF(VLOOKUP(A103,[1]PRIORIZADOS!$A:$F,6,FALSE)="","",VLOOKUP(A103,[1]PRIORIZADOS!$A:$F,6,FALSE)),"")</f>
        <v>COLEGIO_GUILLERMO_LEON_VALENCIA_IED</v>
      </c>
      <c r="G103" s="69" t="str">
        <f>IFERROR(IF(VLOOKUP(A103,[1]PRIORIZADOS!$A:$G,7,FALSE)="","",VLOOKUP(A103,[1]PRIORIZADOS!$A:$G,7,FALSE)),"")</f>
        <v>GUILLERMO LEON VALENCIA</v>
      </c>
      <c r="H103" s="11" t="str">
        <f>IFERROR(IF(VLOOKUP(A103,[1]PRIORIZADOS!$A:$H,8,FALSE)="","",VLOOKUP(A103,[1]PRIORIZADOS!$A:$H,8,FALSE)),"")</f>
        <v>Convivencia escolar</v>
      </c>
      <c r="I103" s="11" t="str">
        <f>IFERROR(IF(VLOOKUP(A103,[1]PRIORIZADOS!$A:$I,9,FALSE)="","",VLOOKUP(A103,[1]PRIORIZADOS!$A:$I,9,FALSE)),"")</f>
        <v>EVALUACIÓN_CON_FINES_DE_MEJORAMIENTO.</v>
      </c>
      <c r="J103" s="11" t="str">
        <f>IFERROR(IF(VLOOKUP(A103,[1]PRIORIZADOS!$A:$J,10,FALSE)="","",VLOOKUP(A103,[1]PRIORIZADOS!$A:$J,10,FALSE)),"")</f>
        <v>Verificar el funcionamiento del Gobierno Escolar e instancias de participación con base en la información sobre conformación reportada por la institución educativa.</v>
      </c>
      <c r="K103" s="11" t="str">
        <f>IFERROR(IF(VLOOKUP(A103,[1]PRIORIZADOS!$A:$K,11,FALSE)="","",VLOOKUP(A103,[1]PRIORIZADOS!$A:$K,11,FALSE)),"")</f>
        <v>JOSÉ RODRIGO QUILAGUY BERNAL</v>
      </c>
      <c r="L103" s="11" t="str">
        <f>IFERROR(IF(VLOOKUP(A103,[1]PRIORIZADOS!$A:$L,12,FALSE)="","",VLOOKUP(A103,[1]PRIORIZADOS!$A:$L,12,FALSE)),"")</f>
        <v>ORLANDO SUÁREZ SOTO
JOSÉ RODRIGO QUILAGUY BERNAL
JOHN JAIRO BOBADILLA BERMEO</v>
      </c>
      <c r="M103" s="88">
        <f>IFERROR(IF(VLOOKUP(A103,[1]PRIORIZADOS!$A:$M,13,FALSE)="","",VLOOKUP(A103,[1]PRIORIZADOS!$A:$M,13,FALSE)),"")</f>
        <v>45918</v>
      </c>
      <c r="N103" s="88">
        <f>IFERROR(IF(VLOOKUP(A103,[1]PRIORIZADOS!$A:$N,14,FALSE)="","",VLOOKUP(A103,[1]PRIORIZADOS!$A:$N,14,FALSE)),"")</f>
        <v>45804</v>
      </c>
      <c r="O103" s="88">
        <f>IFERROR(IF(VLOOKUP(A103,[1]PRIORIZADOS!$A:$O,15,FALSE)="","",VLOOKUP(A103,[1]PRIORIZADOS!$A:$O,15,FALSE)),"")</f>
        <v>45804</v>
      </c>
      <c r="P103" s="16" t="str">
        <f>IFERROR(IF(VLOOKUP(A103,[1]PRIORIZADOS!$A:$P,16,FALSE)="","",VLOOKUP(A103,[1]PRIORIZADOS!$A:$P,16,FALSE)),"")</f>
        <v>Visitas de evaluación con fines de mejoramiento</v>
      </c>
      <c r="Q103" s="89" t="s">
        <v>37</v>
      </c>
      <c r="R103" s="90" t="str">
        <f>IFERROR(IF(VLOOKUP(A103,[1]PRIORIZADOS!$A:$R,18,FALSE)="","",VLOOKUP(A103,[1]PRIORIZADOS!$A:$R,18,FALSE)),"")</f>
        <v>La institución educativa reporta la conformación de las instancias del Gobierno Escolar, incluyendo el Consejo Académico y otras instancias de participación. Se cuenta con actas de reuniones y registros de participación</v>
      </c>
      <c r="S103" s="11" t="str">
        <f>IFERROR(IF(VLOOKUP(A103,[1]PRIORIZADOS!$A:$S,19,FALSE)="","",VLOOKUP(A103,[1]PRIORIZADOS!$A:$S,19,FALSE)),"")</f>
        <v>Se recomienda tener en cuenta la periodicidad de las reuniones de estas instancias</v>
      </c>
      <c r="T103" s="70" t="str">
        <f>IFERROR(IF(VLOOKUP(A103,[1]PRIORIZADOS!$A:$T,20,FALSE)="","",VLOOKUP(A103,[1]PRIORIZADOS!$A:$T,20,FALSE)),"")</f>
        <v>No</v>
      </c>
      <c r="U103" s="11" t="str">
        <f>IFERROR(IF(VLOOKUP(A103,[1]PRIORIZADOS!$A:$U,21,FALSE)="","",VLOOKUP(A103,[1]PRIORIZADOS!$A:$U,21,FALSE)),"")</f>
        <v xml:space="preserve">Se verificará la conformación de los gobiernos escolares e instancias para la vigencia 2026. </v>
      </c>
    </row>
    <row r="104" spans="1:21" s="1" customFormat="1" ht="60">
      <c r="A104" s="69">
        <f>IF([1]PRIORIZADOS!A105="","",[1]PRIORIZADOS!A105)</f>
        <v>102</v>
      </c>
      <c r="B104" s="87">
        <v>12</v>
      </c>
      <c r="C104" s="11" t="str">
        <f>IFERROR(IF(VLOOKUP(A104,[1]PRIORIZADOS!$A:$C,3,FALSE)="","",VLOOKUP(A104,[1]PRIORIZADOS!$A:$C,3,FALSE)),"")</f>
        <v>ANTONIO NARIÑO</v>
      </c>
      <c r="D104" s="69" t="str">
        <f>IFERROR(IF(VLOOKUP(A104,[1]PRIORIZADOS!$A:$D,4,FALSE)="","",VLOOKUP(A104,[1]PRIORIZADOS!$A:$D,4,FALSE)),"")</f>
        <v>OFICIAL.</v>
      </c>
      <c r="E104" s="69" t="str">
        <f>IFERROR(IF(VLOOKUP(A104,[1]PRIORIZADOS!$A:$E,5,FALSE)="","",VLOOKUP(A104,[1]PRIORIZADOS!$A:$E,5,FALSE)),"")</f>
        <v>EPBM</v>
      </c>
      <c r="F104" s="11" t="str">
        <f>IFERROR(IF(VLOOKUP(A104,[1]PRIORIZADOS!$A:$F,6,FALSE)="","",VLOOKUP(A104,[1]PRIORIZADOS!$A:$F,6,FALSE)),"")</f>
        <v>COLEGIO_GUILLERMO_LEON_VALENCIA_IED</v>
      </c>
      <c r="G104" s="69" t="str">
        <f>IFERROR(IF(VLOOKUP(A104,[1]PRIORIZADOS!$A:$G,7,FALSE)="","",VLOOKUP(A104,[1]PRIORIZADOS!$A:$G,7,FALSE)),"")</f>
        <v>GUILLERMO LEON VALENCIA</v>
      </c>
      <c r="H104" s="11" t="str">
        <f>IFERROR(IF(VLOOKUP(A104,[1]PRIORIZADOS!$A:$H,8,FALSE)="","",VLOOKUP(A104,[1]PRIORIZADOS!$A:$H,8,FALSE)),"")</f>
        <v>Convivencia escolar</v>
      </c>
      <c r="I104" s="11" t="str">
        <f>IFERROR(IF(VLOOKUP(A104,[1]PRIORIZADOS!$A:$I,9,FALSE)="","",VLOOKUP(A104,[1]PRIORIZADOS!$A:$I,9,FALSE)),"")</f>
        <v>EVALUACIÓN_CON_FINES_DE_MEJORAMIENTO.</v>
      </c>
      <c r="J104" s="11" t="str">
        <f>IFERROR(IF(VLOOKUP(A104,[1]PRIORIZADOS!$A:$J,10,FALSE)="","",VLOOKUP(A104,[1]PRIORIZADOS!$A:$J,10,FALSE)),"")</f>
        <v>Verificar las condiciones en cuanto a: la estructura administrativa, condiciones de la planta física y medios educativos adecuados.</v>
      </c>
      <c r="K104" s="11" t="str">
        <f>IFERROR(IF(VLOOKUP(A104,[1]PRIORIZADOS!$A:$K,11,FALSE)="","",VLOOKUP(A104,[1]PRIORIZADOS!$A:$K,11,FALSE)),"")</f>
        <v>JOSÉ RODRIGO QUILAGUY BERNAL</v>
      </c>
      <c r="L104" s="11" t="str">
        <f>IFERROR(IF(VLOOKUP(A104,[1]PRIORIZADOS!$A:$L,12,FALSE)="","",VLOOKUP(A104,[1]PRIORIZADOS!$A:$L,12,FALSE)),"")</f>
        <v>ORLANDO SUÁREZ SOTO
JOSÉ RODRIGO QUILAGUY BERNAL
JOHN JAIRO BOBADILLA BERMEO</v>
      </c>
      <c r="M104" s="88">
        <f>IFERROR(IF(VLOOKUP(A104,[1]PRIORIZADOS!$A:$M,13,FALSE)="","",VLOOKUP(A104,[1]PRIORIZADOS!$A:$M,13,FALSE)),"")</f>
        <v>45918</v>
      </c>
      <c r="N104" s="88">
        <f>IFERROR(IF(VLOOKUP(A104,[1]PRIORIZADOS!$A:$N,14,FALSE)="","",VLOOKUP(A104,[1]PRIORIZADOS!$A:$N,14,FALSE)),"")</f>
        <v>45804</v>
      </c>
      <c r="O104" s="88">
        <f>IFERROR(IF(VLOOKUP(A104,[1]PRIORIZADOS!$A:$O,15,FALSE)="","",VLOOKUP(A104,[1]PRIORIZADOS!$A:$O,15,FALSE)),"")</f>
        <v>45804</v>
      </c>
      <c r="P104" s="16" t="str">
        <f>IFERROR(IF(VLOOKUP(A104,[1]PRIORIZADOS!$A:$P,16,FALSE)="","",VLOOKUP(A104,[1]PRIORIZADOS!$A:$P,16,FALSE)),"")</f>
        <v>Visitas de evaluación con fines de mejoramiento</v>
      </c>
      <c r="Q104" s="89" t="s">
        <v>37</v>
      </c>
      <c r="R104" s="90" t="str">
        <f>IFERROR(IF(VLOOKUP(A104,[1]PRIORIZADOS!$A:$R,18,FALSE)="","",VLOOKUP(A104,[1]PRIORIZADOS!$A:$R,18,FALSE)),"")</f>
        <v>Espacios educativos, administrativos y lúdicos son suficientes, dotados y con buen mantenimiento general.</v>
      </c>
      <c r="S104" s="11" t="str">
        <f>IFERROR(IF(VLOOKUP(A104,[1]PRIORIZADOS!$A:$S,19,FALSE)="","",VLOOKUP(A104,[1]PRIORIZADOS!$A:$S,19,FALSE)),"")</f>
        <v>La institución cuenta con espacios y dotación adecuados y bien mantenidos en todas sus áreas.</v>
      </c>
      <c r="T104" s="70" t="str">
        <f>IFERROR(IF(VLOOKUP(A104,[1]PRIORIZADOS!$A:$T,20,FALSE)="","",VLOOKUP(A104,[1]PRIORIZADOS!$A:$T,20,FALSE)),"")</f>
        <v>No</v>
      </c>
      <c r="U104" s="11" t="str">
        <f>IFERROR(IF(VLOOKUP(A104,[1]PRIORIZADOS!$A:$U,21,FALSE)="","",VLOOKUP(A104,[1]PRIORIZADOS!$A:$U,21,FALSE)),"")</f>
        <v>Realizar nueva visita y verificación en caso de requerirse.</v>
      </c>
    </row>
    <row r="105" spans="1:21" s="1" customFormat="1" ht="142.5">
      <c r="A105" s="69">
        <f>IF([1]PRIORIZADOS!A106="","",[1]PRIORIZADOS!A106)</f>
        <v>105</v>
      </c>
      <c r="B105" s="87">
        <v>13</v>
      </c>
      <c r="C105" s="11" t="str">
        <f>IFERROR(IF(VLOOKUP(A105,[1]PRIORIZADOS!$A:$C,3,FALSE)="","",VLOOKUP(A105,[1]PRIORIZADOS!$A:$C,3,FALSE)),"")</f>
        <v>ANTONIO NARIÑO</v>
      </c>
      <c r="D105" s="69" t="str">
        <f>IFERROR(IF(VLOOKUP(A105,[1]PRIORIZADOS!$A:$D,4,FALSE)="","",VLOOKUP(A105,[1]PRIORIZADOS!$A:$D,4,FALSE)),"")</f>
        <v>OFICIAL.</v>
      </c>
      <c r="E105" s="69" t="str">
        <f>IFERROR(IF(VLOOKUP(A105,[1]PRIORIZADOS!$A:$E,5,FALSE)="","",VLOOKUP(A105,[1]PRIORIZADOS!$A:$E,5,FALSE)),"")</f>
        <v>EPBM</v>
      </c>
      <c r="F105" s="11" t="str">
        <f>IFERROR(IF(VLOOKUP(A105,[1]PRIORIZADOS!$A:$F,6,FALSE)="","",VLOOKUP(A105,[1]PRIORIZADOS!$A:$F,6,FALSE)),"")</f>
        <v>COLEGIO_ESCUELA_NORMAL_SUPERIOR_DISTRITAL_MARIA_MONTESSORI_IED</v>
      </c>
      <c r="G105" s="69" t="str">
        <f>IFERROR(IF(VLOOKUP(A105,[1]PRIORIZADOS!$A:$G,7,FALSE)="","",VLOOKUP(A105,[1]PRIORIZADOS!$A:$G,7,FALSE)),"")</f>
        <v>NORMAL SUPERIOR DISTRITAL MARIA MONTESSORI</v>
      </c>
      <c r="H105" s="11" t="str">
        <f>IFERROR(IF(VLOOKUP(A105,[1]PRIORIZADOS!$A:$H,8,FALSE)="","",VLOOKUP(A105,[1]PRIORIZADOS!$A:$H,8,FALSE)),"")</f>
        <v>Convivencia escolar</v>
      </c>
      <c r="I105" s="11" t="str">
        <f>IFERROR(IF(VLOOKUP(A105,[1]PRIORIZADOS!$A:$I,9,FALSE)="","",VLOOKUP(A105,[1]PRIORIZADOS!$A:$I,9,FALSE)),"")</f>
        <v>SEGUIMIENTO_Y_SUPERVISIÓN.</v>
      </c>
      <c r="J105" s="11" t="str">
        <f>IFERROR(IF(VLOOKUP(A105,[1]PRIORIZADOS!$A:$J,10,FALSE)="","",VLOOKUP(A105,[1]PRIORIZADOS!$A:$J,10,FALSE)),"")</f>
        <v xml:space="preserve">Verificar la implementación por parte de los colegios, de acciones realizadas para la prevención y atención de las situaciones de convivencia en el entorno escolar, según lo establecido en la Directiva 01 de 2022 del MEN. </v>
      </c>
      <c r="K105" s="11" t="str">
        <f>IFERROR(IF(VLOOKUP(A105,[1]PRIORIZADOS!$A:$K,11,FALSE)="","",VLOOKUP(A105,[1]PRIORIZADOS!$A:$K,11,FALSE)),"")</f>
        <v>ORLANDO SUÁREZ SOTO</v>
      </c>
      <c r="L105" s="11" t="str">
        <f>IFERROR(IF(VLOOKUP(A105,[1]PRIORIZADOS!$A:$L,12,FALSE)="","",VLOOKUP(A105,[1]PRIORIZADOS!$A:$L,12,FALSE)),"")</f>
        <v>ORLANDO SUÁREZ SOTO
JOSÉ RODRIGO QUILAGUY BERNAL
JOHN JAIRO BOBADILLA BERMEO</v>
      </c>
      <c r="M105" s="88">
        <f>IFERROR(IF(VLOOKUP(A105,[1]PRIORIZADOS!$A:$M,13,FALSE)="","",VLOOKUP(A105,[1]PRIORIZADOS!$A:$M,13,FALSE)),"")</f>
        <v>45909</v>
      </c>
      <c r="N105" s="88">
        <f>IFERROR(IF(VLOOKUP(A105,[1]PRIORIZADOS!$A:$N,14,FALSE)="","",VLOOKUP(A105,[1]PRIORIZADOS!$A:$N,14,FALSE)),"")</f>
        <v>45803</v>
      </c>
      <c r="O105" s="88">
        <f>IFERROR(IF(VLOOKUP(A105,[1]PRIORIZADOS!$A:$O,15,FALSE)="","",VLOOKUP(A105,[1]PRIORIZADOS!$A:$O,15,FALSE)),"")</f>
        <v>45803</v>
      </c>
      <c r="P105" s="16" t="str">
        <f>IFERROR(IF(VLOOKUP(A105,[1]PRIORIZADOS!$A:$P,16,FALSE)="","",VLOOKUP(A105,[1]PRIORIZADOS!$A:$P,16,FALSE)),"")</f>
        <v>Visitas de evaluación con fines de seguimiento</v>
      </c>
      <c r="Q105" s="89" t="s">
        <v>38</v>
      </c>
      <c r="R105" s="97" t="str">
        <f>IFERROR(IF(VLOOKUP(A105,[1]PRIORIZADOS!$A:$R,18,FALSE)="","",VLOOKUP(A105,[1]PRIORIZADOS!$A:$R,18,FALSE)),"")</f>
        <v>El EE cuenta con un Manual de Convivencia con enfoque participativo e inclusivo. El Comité de Convivencia Escolar opera de manera activa y cumple con sus funciones. Se evidencian protocolos detallados para la atención de situaciones de convivencia, conforme a la Directiva 01 de 2022. El registro en el Sistema de Alertas del Distrito es adecuado. Los principios de debido proceso y proporcionalidad están claramente contemplados en el Manual.</v>
      </c>
      <c r="S105" s="11" t="str">
        <f>IFERROR(IF(VLOOKUP(A105,[1]PRIORIZADOS!$A:$S,19,FALSE)="","",VLOOKUP(A105,[1]PRIORIZADOS!$A:$S,19,FALSE)),"")</f>
        <v xml:space="preserve">El EE se compromete a mantener actualizados los protocolos y el Manual de Convivencia y la capacitación continua para los integrantes del Comité de Convivencia. </v>
      </c>
      <c r="T105" s="70" t="str">
        <f>IFERROR(IF(VLOOKUP(A105,[1]PRIORIZADOS!$A:$T,20,FALSE)="","",VLOOKUP(A105,[1]PRIORIZADOS!$A:$T,20,FALSE)),"")</f>
        <v>No</v>
      </c>
      <c r="U105" s="11" t="str">
        <f>IFERROR(IF(VLOOKUP(A105,[1]PRIORIZADOS!$A:$U,21,FALSE)="","",VLOOKUP(A105,[1]PRIORIZADOS!$A:$U,21,FALSE)),"")</f>
        <v>Realizar nueva verificación de la actividad en caso de presentarse queja</v>
      </c>
    </row>
    <row r="106" spans="1:21" s="1" customFormat="1" ht="84">
      <c r="A106" s="69">
        <f>IF([1]PRIORIZADOS!A107="","",[1]PRIORIZADOS!A107)</f>
        <v>106</v>
      </c>
      <c r="B106" s="87">
        <v>13</v>
      </c>
      <c r="C106" s="11" t="str">
        <f>IFERROR(IF(VLOOKUP(A106,[1]PRIORIZADOS!$A:$C,3,FALSE)="","",VLOOKUP(A106,[1]PRIORIZADOS!$A:$C,3,FALSE)),"")</f>
        <v>ANTONIO NARIÑO</v>
      </c>
      <c r="D106" s="69" t="str">
        <f>IFERROR(IF(VLOOKUP(A106,[1]PRIORIZADOS!$A:$D,4,FALSE)="","",VLOOKUP(A106,[1]PRIORIZADOS!$A:$D,4,FALSE)),"")</f>
        <v>OFICIAL.</v>
      </c>
      <c r="E106" s="69" t="str">
        <f>IFERROR(IF(VLOOKUP(A106,[1]PRIORIZADOS!$A:$E,5,FALSE)="","",VLOOKUP(A106,[1]PRIORIZADOS!$A:$E,5,FALSE)),"")</f>
        <v>EPBM</v>
      </c>
      <c r="F106" s="11" t="str">
        <f>IFERROR(IF(VLOOKUP(A106,[1]PRIORIZADOS!$A:$F,6,FALSE)="","",VLOOKUP(A106,[1]PRIORIZADOS!$A:$F,6,FALSE)),"")</f>
        <v>COLEGIO_ESCUELA_NORMAL_SUPERIOR_DISTRITAL_MARIA_MONTESSORI_IED</v>
      </c>
      <c r="G106" s="69" t="str">
        <f>IFERROR(IF(VLOOKUP(A106,[1]PRIORIZADOS!$A:$G,7,FALSE)="","",VLOOKUP(A106,[1]PRIORIZADOS!$A:$G,7,FALSE)),"")</f>
        <v>NORMAL SUPERIOR DISTRITAL MARIA MONTESSORI</v>
      </c>
      <c r="H106" s="11" t="str">
        <f>IFERROR(IF(VLOOKUP(A106,[1]PRIORIZADOS!$A:$H,8,FALSE)="","",VLOOKUP(A106,[1]PRIORIZADOS!$A:$H,8,FALSE)),"")</f>
        <v>Convivencia escolar</v>
      </c>
      <c r="I106" s="11" t="str">
        <f>IFERROR(IF(VLOOKUP(A106,[1]PRIORIZADOS!$A:$I,9,FALSE)="","",VLOOKUP(A106,[1]PRIORIZADOS!$A:$I,9,FALSE)),"")</f>
        <v>SEGUIMIENTO_Y_SUPERVISIÓN.</v>
      </c>
      <c r="J106" s="11" t="str">
        <f>IFERROR(IF(VLOOKUP(A106,[1]PRIORIZADOS!$A:$J,10,FALSE)="","",VLOOKUP(A106,[1]PRIORIZADOS!$A:$J,10,FALSE)),"")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6" s="11" t="str">
        <f>IFERROR(IF(VLOOKUP(A106,[1]PRIORIZADOS!$A:$K,11,FALSE)="","",VLOOKUP(A106,[1]PRIORIZADOS!$A:$K,11,FALSE)),"")</f>
        <v>ORLANDO SUÁREZ SOTO</v>
      </c>
      <c r="L106" s="11" t="str">
        <f>IFERROR(IF(VLOOKUP(A106,[1]PRIORIZADOS!$A:$L,12,FALSE)="","",VLOOKUP(A106,[1]PRIORIZADOS!$A:$L,12,FALSE)),"")</f>
        <v>ORLANDO SUÁREZ SOTO
JOSÉ RODRIGO QUILAGUY BERNAL
JOHN JAIRO BOBADILLA BERMEO</v>
      </c>
      <c r="M106" s="88">
        <f>IFERROR(IF(VLOOKUP(A106,[1]PRIORIZADOS!$A:$M,13,FALSE)="","",VLOOKUP(A106,[1]PRIORIZADOS!$A:$M,13,FALSE)),"")</f>
        <v>45909</v>
      </c>
      <c r="N106" s="88">
        <f>IFERROR(IF(VLOOKUP(A106,[1]PRIORIZADOS!$A:$N,14,FALSE)="","",VLOOKUP(A106,[1]PRIORIZADOS!$A:$N,14,FALSE)),"")</f>
        <v>45803</v>
      </c>
      <c r="O106" s="88">
        <f>IFERROR(IF(VLOOKUP(A106,[1]PRIORIZADOS!$A:$O,15,FALSE)="","",VLOOKUP(A106,[1]PRIORIZADOS!$A:$O,15,FALSE)),"")</f>
        <v>45803</v>
      </c>
      <c r="P106" s="16" t="str">
        <f>IFERROR(IF(VLOOKUP(A106,[1]PRIORIZADOS!$A:$P,16,FALSE)="","",VLOOKUP(A106,[1]PRIORIZADOS!$A:$P,16,FALSE)),"")</f>
        <v>Visitas de evaluación con fines de seguimiento</v>
      </c>
      <c r="Q106" s="89" t="s">
        <v>38</v>
      </c>
      <c r="R106" s="90" t="str">
        <f>IFERROR(IF(VLOOKUP(A106,[1]PRIORIZADOS!$A:$R,18,FALSE)="","",VLOOKUP(A106,[1]PRIORIZADOS!$A:$R,18,FALSE)),"")</f>
        <v>El EE ha caracterizado a estudiantes con discapacidad, trastornos del aprendizaje y talentos excepcionales. Se cuenta con PIAR articulados al PEI y al Manual de Convivencia, con seguimiento interdisciplinario e implementación inclusiva.</v>
      </c>
      <c r="S106" s="11" t="str">
        <f>IFERROR(IF(VLOOKUP(A106,[1]PRIORIZADOS!$A:$S,19,FALSE)="","",VLOOKUP(A106,[1]PRIORIZADOS!$A:$S,19,FALSE)),"")</f>
        <v>El EE promoverá el fortalecimiento del diseño y actualización de los PIAR y la capacitación permanente del equipo interdisciplinario institucional</v>
      </c>
      <c r="T106" s="70" t="str">
        <f>IFERROR(IF(VLOOKUP(A106,[1]PRIORIZADOS!$A:$T,20,FALSE)="","",VLOOKUP(A106,[1]PRIORIZADOS!$A:$T,20,FALSE)),"")</f>
        <v>No</v>
      </c>
      <c r="U106" s="11" t="str">
        <f>IFERROR(IF(VLOOKUP(A106,[1]PRIORIZADOS!$A:$U,21,FALSE)="","",VLOOKUP(A106,[1]PRIORIZADOS!$A:$U,21,FALSE)),"")</f>
        <v>Verificar nuevamente en caso de requerirse.</v>
      </c>
    </row>
    <row r="107" spans="1:21" s="1" customFormat="1" ht="84">
      <c r="A107" s="69">
        <f>IF([1]PRIORIZADOS!A108="","",[1]PRIORIZADOS!A108)</f>
        <v>107</v>
      </c>
      <c r="B107" s="87">
        <v>13</v>
      </c>
      <c r="C107" s="11" t="str">
        <f>IFERROR(IF(VLOOKUP(A107,[1]PRIORIZADOS!$A:$C,3,FALSE)="","",VLOOKUP(A107,[1]PRIORIZADOS!$A:$C,3,FALSE)),"")</f>
        <v>ANTONIO NARIÑO</v>
      </c>
      <c r="D107" s="69" t="str">
        <f>IFERROR(IF(VLOOKUP(A107,[1]PRIORIZADOS!$A:$D,4,FALSE)="","",VLOOKUP(A107,[1]PRIORIZADOS!$A:$D,4,FALSE)),"")</f>
        <v>OFICIAL.</v>
      </c>
      <c r="E107" s="69" t="str">
        <f>IFERROR(IF(VLOOKUP(A107,[1]PRIORIZADOS!$A:$E,5,FALSE)="","",VLOOKUP(A107,[1]PRIORIZADOS!$A:$E,5,FALSE)),"")</f>
        <v>EPBM</v>
      </c>
      <c r="F107" s="11" t="str">
        <f>IFERROR(IF(VLOOKUP(A107,[1]PRIORIZADOS!$A:$F,6,FALSE)="","",VLOOKUP(A107,[1]PRIORIZADOS!$A:$F,6,FALSE)),"")</f>
        <v>COLEGIO_ESCUELA_NORMAL_SUPERIOR_DISTRITAL_MARIA_MONTESSORI_IED</v>
      </c>
      <c r="G107" s="69" t="str">
        <f>IFERROR(IF(VLOOKUP(A107,[1]PRIORIZADOS!$A:$G,7,FALSE)="","",VLOOKUP(A107,[1]PRIORIZADOS!$A:$G,7,FALSE)),"")</f>
        <v>NORMAL SUPERIOR DISTRITAL MARIA MONTESSORI</v>
      </c>
      <c r="H107" s="11" t="str">
        <f>IFERROR(IF(VLOOKUP(A107,[1]PRIORIZADOS!$A:$H,8,FALSE)="","",VLOOKUP(A107,[1]PRIORIZADOS!$A:$H,8,FALSE)),"")</f>
        <v>Convivencia escolar</v>
      </c>
      <c r="I107" s="11" t="str">
        <f>IFERROR(IF(VLOOKUP(A107,[1]PRIORIZADOS!$A:$I,9,FALSE)="","",VLOOKUP(A107,[1]PRIORIZADOS!$A:$I,9,FALSE)),"")</f>
        <v>EVALUACIÓN_CON_FINES_DE_MEJORAMIENTO.</v>
      </c>
      <c r="J107" s="11" t="str">
        <f>IFERROR(IF(VLOOKUP(A107,[1]PRIORIZADOS!$A:$J,10,FALSE)="","",VLOOKUP(A107,[1]PRIORIZADOS!$A:$J,10,FALSE)),"")</f>
        <v>Revisar la actualización, socialización e implementación del Sistema Institucional de Evaluación de Estudiantes - SIEE, en articulación con la actualización del PEI y la normatividad vigente.</v>
      </c>
      <c r="K107" s="11" t="str">
        <f>IFERROR(IF(VLOOKUP(A107,[1]PRIORIZADOS!$A:$K,11,FALSE)="","",VLOOKUP(A107,[1]PRIORIZADOS!$A:$K,11,FALSE)),"")</f>
        <v>ORLANDO SUÁREZ SOTO</v>
      </c>
      <c r="L107" s="11" t="str">
        <f>IFERROR(IF(VLOOKUP(A107,[1]PRIORIZADOS!$A:$L,12,FALSE)="","",VLOOKUP(A107,[1]PRIORIZADOS!$A:$L,12,FALSE)),"")</f>
        <v>ORLANDO SUÁREZ SOTO
JOSÉ RODRIGO QUILAGUY BERNAL
JOHN JAIRO BOBADILLA BERMEO</v>
      </c>
      <c r="M107" s="88">
        <f>IFERROR(IF(VLOOKUP(A107,[1]PRIORIZADOS!$A:$M,13,FALSE)="","",VLOOKUP(A107,[1]PRIORIZADOS!$A:$M,13,FALSE)),"")</f>
        <v>45909</v>
      </c>
      <c r="N107" s="88">
        <f>IFERROR(IF(VLOOKUP(A107,[1]PRIORIZADOS!$A:$N,14,FALSE)="","",VLOOKUP(A107,[1]PRIORIZADOS!$A:$N,14,FALSE)),"")</f>
        <v>45803</v>
      </c>
      <c r="O107" s="88">
        <f>IFERROR(IF(VLOOKUP(A107,[1]PRIORIZADOS!$A:$O,15,FALSE)="","",VLOOKUP(A107,[1]PRIORIZADOS!$A:$O,15,FALSE)),"")</f>
        <v>45803</v>
      </c>
      <c r="P107" s="16" t="str">
        <f>IFERROR(IF(VLOOKUP(A107,[1]PRIORIZADOS!$A:$P,16,FALSE)="","",VLOOKUP(A107,[1]PRIORIZADOS!$A:$P,16,FALSE)),"")</f>
        <v>Visitas de evaluación con fines de seguimiento</v>
      </c>
      <c r="Q107" s="89" t="s">
        <v>38</v>
      </c>
      <c r="R107" s="90" t="str">
        <f>IFERROR(IF(VLOOKUP(A107,[1]PRIORIZADOS!$A:$R,18,FALSE)="","",VLOOKUP(A107,[1]PRIORIZADOS!$A:$R,18,FALSE)),"")</f>
        <v>El SIEE está actualizado y articulado con el PEI. Participaron los consejos académico y directivo en su formulación. Fue socializado con la comunidad educativa y cuenta con registros de seguimiento. Las prácticas evaluativas reflejan lo establecido.</v>
      </c>
      <c r="S107" s="11" t="str">
        <f>IFERROR(IF(VLOOKUP(A107,[1]PRIORIZADOS!$A:$S,19,FALSE)="","",VLOOKUP(A107,[1]PRIORIZADOS!$A:$S,19,FALSE)),"")</f>
        <v>La IE demuestra buena gestión académica y apoyo con estrategias documentadas y diversas para las necesidades estudiantiles</v>
      </c>
      <c r="T107" s="70" t="str">
        <f>IFERROR(IF(VLOOKUP(A107,[1]PRIORIZADOS!$A:$T,20,FALSE)="","",VLOOKUP(A107,[1]PRIORIZADOS!$A:$T,20,FALSE)),"")</f>
        <v>No</v>
      </c>
      <c r="U107" s="11" t="str">
        <f>IFERROR(IF(VLOOKUP(A107,[1]PRIORIZADOS!$A:$U,21,FALSE)="","",VLOOKUP(A107,[1]PRIORIZADOS!$A:$U,21,FALSE)),"")</f>
        <v>Verificar nuevamente en caso de requerirse.</v>
      </c>
    </row>
    <row r="108" spans="1:21" s="1" customFormat="1" ht="60">
      <c r="A108" s="69">
        <f>IF([1]PRIORIZADOS!A109="","",[1]PRIORIZADOS!A109)</f>
        <v>108</v>
      </c>
      <c r="B108" s="87">
        <v>13</v>
      </c>
      <c r="C108" s="11" t="str">
        <f>IFERROR(IF(VLOOKUP(A108,[1]PRIORIZADOS!$A:$C,3,FALSE)="","",VLOOKUP(A108,[1]PRIORIZADOS!$A:$C,3,FALSE)),"")</f>
        <v>ANTONIO NARIÑO</v>
      </c>
      <c r="D108" s="69" t="str">
        <f>IFERROR(IF(VLOOKUP(A108,[1]PRIORIZADOS!$A:$D,4,FALSE)="","",VLOOKUP(A108,[1]PRIORIZADOS!$A:$D,4,FALSE)),"")</f>
        <v>OFICIAL.</v>
      </c>
      <c r="E108" s="69" t="str">
        <f>IFERROR(IF(VLOOKUP(A108,[1]PRIORIZADOS!$A:$E,5,FALSE)="","",VLOOKUP(A108,[1]PRIORIZADOS!$A:$E,5,FALSE)),"")</f>
        <v>EPBM</v>
      </c>
      <c r="F108" s="11" t="str">
        <f>IFERROR(IF(VLOOKUP(A108,[1]PRIORIZADOS!$A:$F,6,FALSE)="","",VLOOKUP(A108,[1]PRIORIZADOS!$A:$F,6,FALSE)),"")</f>
        <v>COLEGIO_ESCUELA_NORMAL_SUPERIOR_DISTRITAL_MARIA_MONTESSORI_IED</v>
      </c>
      <c r="G108" s="69" t="str">
        <f>IFERROR(IF(VLOOKUP(A108,[1]PRIORIZADOS!$A:$G,7,FALSE)="","",VLOOKUP(A108,[1]PRIORIZADOS!$A:$G,7,FALSE)),"")</f>
        <v>NORMAL SUPERIOR DISTRITAL MARIA MONTESSORI</v>
      </c>
      <c r="H108" s="11" t="str">
        <f>IFERROR(IF(VLOOKUP(A108,[1]PRIORIZADOS!$A:$H,8,FALSE)="","",VLOOKUP(A108,[1]PRIORIZADOS!$A:$H,8,FALSE)),"")</f>
        <v>Convivencia escolar</v>
      </c>
      <c r="I108" s="11" t="str">
        <f>IFERROR(IF(VLOOKUP(A108,[1]PRIORIZADOS!$A:$I,9,FALSE)="","",VLOOKUP(A108,[1]PRIORIZADOS!$A:$I,9,FALSE)),"")</f>
        <v>EVALUACIÓN_CON_FINES_DE_MEJORAMIENTO.</v>
      </c>
      <c r="J108" s="11" t="str">
        <f>IFERROR(IF(VLOOKUP(A108,[1]PRIORIZADOS!$A:$J,10,FALSE)="","",VLOOKUP(A108,[1]PRIORIZADOS!$A:$J,10,FALSE)),"")</f>
        <v>Revisar el calendario escolar, jornada escolar, la intensidad horaria mínima anual en cada nivel y las modificaciones que se realicen al mismo, de acuerdo con lo previsto en la normatividad vigente.</v>
      </c>
      <c r="K108" s="11" t="str">
        <f>IFERROR(IF(VLOOKUP(A108,[1]PRIORIZADOS!$A:$K,11,FALSE)="","",VLOOKUP(A108,[1]PRIORIZADOS!$A:$K,11,FALSE)),"")</f>
        <v>ORLANDO SUÁREZ SOTO</v>
      </c>
      <c r="L108" s="11" t="str">
        <f>IFERROR(IF(VLOOKUP(A108,[1]PRIORIZADOS!$A:$L,12,FALSE)="","",VLOOKUP(A108,[1]PRIORIZADOS!$A:$L,12,FALSE)),"")</f>
        <v>ORLANDO SUÁREZ SOTO
JOSÉ RODRIGO QUILAGUY BERNAL
JOHN JAIRO BOBADILLA BERMEO</v>
      </c>
      <c r="M108" s="88">
        <f>IFERROR(IF(VLOOKUP(A108,[1]PRIORIZADOS!$A:$M,13,FALSE)="","",VLOOKUP(A108,[1]PRIORIZADOS!$A:$M,13,FALSE)),"")</f>
        <v>45909</v>
      </c>
      <c r="N108" s="88">
        <f>IFERROR(IF(VLOOKUP(A108,[1]PRIORIZADOS!$A:$N,14,FALSE)="","",VLOOKUP(A108,[1]PRIORIZADOS!$A:$N,14,FALSE)),"")</f>
        <v>45803</v>
      </c>
      <c r="O108" s="88">
        <f>IFERROR(IF(VLOOKUP(A108,[1]PRIORIZADOS!$A:$O,15,FALSE)="","",VLOOKUP(A108,[1]PRIORIZADOS!$A:$O,15,FALSE)),"")</f>
        <v>45803</v>
      </c>
      <c r="P108" s="16" t="str">
        <f>IFERROR(IF(VLOOKUP(A108,[1]PRIORIZADOS!$A:$P,16,FALSE)="","",VLOOKUP(A108,[1]PRIORIZADOS!$A:$P,16,FALSE)),"")</f>
        <v>Visitas de evaluación con fines de seguimiento</v>
      </c>
      <c r="Q108" s="89" t="s">
        <v>38</v>
      </c>
      <c r="R108" s="90" t="str">
        <f>IFERROR(IF(VLOOKUP(A108,[1]PRIORIZADOS!$A:$R,18,FALSE)="","",VLOOKUP(A108,[1]PRIORIZADOS!$A:$R,18,FALSE)),"")</f>
        <v>Se constata que la Institución Educativa garantiza el cumplimiento de la intensidad horaria mínima anual establecida para cada el nivel educativo que ofrece.</v>
      </c>
      <c r="S108" s="11" t="str">
        <f>IFERROR(IF(VLOOKUP(A108,[1]PRIORIZADOS!$A:$S,19,FALSE)="","",VLOOKUP(A108,[1]PRIORIZADOS!$A:$S,19,FALSE)),"")</f>
        <v>Se concluye que el establecimiento educativo está dando pleno cumplimiento a la normativa vigente en cuanto a la organización del calendario y la jornada escolar</v>
      </c>
      <c r="T108" s="70" t="str">
        <f>IFERROR(IF(VLOOKUP(A108,[1]PRIORIZADOS!$A:$T,20,FALSE)="","",VLOOKUP(A108,[1]PRIORIZADOS!$A:$T,20,FALSE)),"")</f>
        <v>No</v>
      </c>
      <c r="U108" s="11" t="str">
        <f>IFERROR(IF(VLOOKUP(A108,[1]PRIORIZADOS!$A:$U,21,FALSE)="","",VLOOKUP(A108,[1]PRIORIZADOS!$A:$U,21,FALSE)),"")</f>
        <v>Verificar nuevamente en caso de requerirse.</v>
      </c>
    </row>
    <row r="109" spans="1:21" s="1" customFormat="1" ht="72">
      <c r="A109" s="69">
        <f>IF([1]PRIORIZADOS!A110="","",[1]PRIORIZADOS!A110)</f>
        <v>109</v>
      </c>
      <c r="B109" s="87">
        <v>13</v>
      </c>
      <c r="C109" s="11" t="str">
        <f>IFERROR(IF(VLOOKUP(A109,[1]PRIORIZADOS!$A:$C,3,FALSE)="","",VLOOKUP(A109,[1]PRIORIZADOS!$A:$C,3,FALSE)),"")</f>
        <v>ANTONIO NARIÑO</v>
      </c>
      <c r="D109" s="69" t="str">
        <f>IFERROR(IF(VLOOKUP(A109,[1]PRIORIZADOS!$A:$D,4,FALSE)="","",VLOOKUP(A109,[1]PRIORIZADOS!$A:$D,4,FALSE)),"")</f>
        <v>OFICIAL.</v>
      </c>
      <c r="E109" s="69" t="str">
        <f>IFERROR(IF(VLOOKUP(A109,[1]PRIORIZADOS!$A:$E,5,FALSE)="","",VLOOKUP(A109,[1]PRIORIZADOS!$A:$E,5,FALSE)),"")</f>
        <v>EPBM</v>
      </c>
      <c r="F109" s="11" t="str">
        <f>IFERROR(IF(VLOOKUP(A109,[1]PRIORIZADOS!$A:$F,6,FALSE)="","",VLOOKUP(A109,[1]PRIORIZADOS!$A:$F,6,FALSE)),"")</f>
        <v>COLEGIO_ESCUELA_NORMAL_SUPERIOR_DISTRITAL_MARIA_MONTESSORI_IED</v>
      </c>
      <c r="G109" s="69" t="str">
        <f>IFERROR(IF(VLOOKUP(A109,[1]PRIORIZADOS!$A:$G,7,FALSE)="","",VLOOKUP(A109,[1]PRIORIZADOS!$A:$G,7,FALSE)),"")</f>
        <v>NORMAL SUPERIOR DISTRITAL MARIA MONTESSORI</v>
      </c>
      <c r="H109" s="11" t="str">
        <f>IFERROR(IF(VLOOKUP(A109,[1]PRIORIZADOS!$A:$H,8,FALSE)="","",VLOOKUP(A109,[1]PRIORIZADOS!$A:$H,8,FALSE)),"")</f>
        <v>Convivencia escolar</v>
      </c>
      <c r="I109" s="11" t="str">
        <f>IFERROR(IF(VLOOKUP(A109,[1]PRIORIZADOS!$A:$I,9,FALSE)="","",VLOOKUP(A109,[1]PRIORIZADOS!$A:$I,9,FALSE)),"")</f>
        <v>EVALUACIÓN_CON_FINES_DE_MEJORAMIENTO.</v>
      </c>
      <c r="J109" s="11" t="str">
        <f>IFERROR(IF(VLOOKUP(A109,[1]PRIORIZADOS!$A:$J,10,FALSE)="","",VLOOKUP(A109,[1]PRIORIZADOS!$A:$J,10,FALSE)),"")</f>
        <v>Verificar el funcionamiento del Gobierno Escolar e instancias de participación con base en la información sobre conformación reportada por la institución educativa.</v>
      </c>
      <c r="K109" s="11" t="str">
        <f>IFERROR(IF(VLOOKUP(A109,[1]PRIORIZADOS!$A:$K,11,FALSE)="","",VLOOKUP(A109,[1]PRIORIZADOS!$A:$K,11,FALSE)),"")</f>
        <v>ORLANDO SUÁREZ SOTO</v>
      </c>
      <c r="L109" s="11" t="str">
        <f>IFERROR(IF(VLOOKUP(A109,[1]PRIORIZADOS!$A:$L,12,FALSE)="","",VLOOKUP(A109,[1]PRIORIZADOS!$A:$L,12,FALSE)),"")</f>
        <v>ORLANDO SUÁREZ SOTO
JOSÉ RODRIGO QUILAGUY BERNAL
JOHN JAIRO BOBADILLA BERMEO</v>
      </c>
      <c r="M109" s="88">
        <f>IFERROR(IF(VLOOKUP(A109,[1]PRIORIZADOS!$A:$M,13,FALSE)="","",VLOOKUP(A109,[1]PRIORIZADOS!$A:$M,13,FALSE)),"")</f>
        <v>45909</v>
      </c>
      <c r="N109" s="88">
        <f>IFERROR(IF(VLOOKUP(A109,[1]PRIORIZADOS!$A:$N,14,FALSE)="","",VLOOKUP(A109,[1]PRIORIZADOS!$A:$N,14,FALSE)),"")</f>
        <v>45803</v>
      </c>
      <c r="O109" s="88">
        <f>IFERROR(IF(VLOOKUP(A109,[1]PRIORIZADOS!$A:$O,15,FALSE)="","",VLOOKUP(A109,[1]PRIORIZADOS!$A:$O,15,FALSE)),"")</f>
        <v>45803</v>
      </c>
      <c r="P109" s="16" t="str">
        <f>IFERROR(IF(VLOOKUP(A109,[1]PRIORIZADOS!$A:$P,16,FALSE)="","",VLOOKUP(A109,[1]PRIORIZADOS!$A:$P,16,FALSE)),"")</f>
        <v>Visitas de evaluación con fines de mejoramiento</v>
      </c>
      <c r="Q109" s="89" t="s">
        <v>38</v>
      </c>
      <c r="R109" s="90" t="str">
        <f>IFERROR(IF(VLOOKUP(A109,[1]PRIORIZADOS!$A:$R,18,FALSE)="","",VLOOKUP(A109,[1]PRIORIZADOS!$A:$R,18,FALSE)),"")</f>
        <v>La institución educativa reporta la conformación de las instancias del Gobierno Escolar, incluyendo el Consejo Académico y otras instancias de participación. Se cuenta con actas de reuniones y registros de participación</v>
      </c>
      <c r="S109" s="11" t="str">
        <f>IFERROR(IF(VLOOKUP(A109,[1]PRIORIZADOS!$A:$S,19,FALSE)="","",VLOOKUP(A109,[1]PRIORIZADOS!$A:$S,19,FALSE)),"")</f>
        <v>Se recomienda tener en cuenta la periodicidad de las reuniones de estas instancias</v>
      </c>
      <c r="T109" s="70" t="str">
        <f>IFERROR(IF(VLOOKUP(A109,[1]PRIORIZADOS!$A:$T,20,FALSE)="","",VLOOKUP(A109,[1]PRIORIZADOS!$A:$T,20,FALSE)),"")</f>
        <v>No</v>
      </c>
      <c r="U109" s="11" t="str">
        <f>IFERROR(IF(VLOOKUP(A109,[1]PRIORIZADOS!$A:$U,21,FALSE)="","",VLOOKUP(A109,[1]PRIORIZADOS!$A:$U,21,FALSE)),"")</f>
        <v xml:space="preserve">Se verificará la conformación de los gobiernos escolares e instancias para la vigencia 2026. </v>
      </c>
    </row>
    <row r="110" spans="1:21" s="1" customFormat="1" ht="60">
      <c r="A110" s="69">
        <f>IF([1]PRIORIZADOS!A111="","",[1]PRIORIZADOS!A111)</f>
        <v>110</v>
      </c>
      <c r="B110" s="87">
        <v>13</v>
      </c>
      <c r="C110" s="11" t="str">
        <f>IFERROR(IF(VLOOKUP(A110,[1]PRIORIZADOS!$A:$C,3,FALSE)="","",VLOOKUP(A110,[1]PRIORIZADOS!$A:$C,3,FALSE)),"")</f>
        <v>ANTONIO NARIÑO</v>
      </c>
      <c r="D110" s="69" t="str">
        <f>IFERROR(IF(VLOOKUP(A110,[1]PRIORIZADOS!$A:$D,4,FALSE)="","",VLOOKUP(A110,[1]PRIORIZADOS!$A:$D,4,FALSE)),"")</f>
        <v>OFICIAL.</v>
      </c>
      <c r="E110" s="69" t="str">
        <f>IFERROR(IF(VLOOKUP(A110,[1]PRIORIZADOS!$A:$E,5,FALSE)="","",VLOOKUP(A110,[1]PRIORIZADOS!$A:$E,5,FALSE)),"")</f>
        <v>EPBM</v>
      </c>
      <c r="F110" s="11" t="str">
        <f>IFERROR(IF(VLOOKUP(A110,[1]PRIORIZADOS!$A:$F,6,FALSE)="","",VLOOKUP(A110,[1]PRIORIZADOS!$A:$F,6,FALSE)),"")</f>
        <v>COLEGIO_ESCUELA_NORMAL_SUPERIOR_DISTRITAL_MARIA_MONTESSORI_IED</v>
      </c>
      <c r="G110" s="69" t="str">
        <f>IFERROR(IF(VLOOKUP(A110,[1]PRIORIZADOS!$A:$G,7,FALSE)="","",VLOOKUP(A110,[1]PRIORIZADOS!$A:$G,7,FALSE)),"")</f>
        <v>NORMAL SUPERIOR DISTRITAL MARIA MONTESSORI</v>
      </c>
      <c r="H110" s="11" t="str">
        <f>IFERROR(IF(VLOOKUP(A110,[1]PRIORIZADOS!$A:$H,8,FALSE)="","",VLOOKUP(A110,[1]PRIORIZADOS!$A:$H,8,FALSE)),"")</f>
        <v>Convivencia escolar</v>
      </c>
      <c r="I110" s="11" t="str">
        <f>IFERROR(IF(VLOOKUP(A110,[1]PRIORIZADOS!$A:$I,9,FALSE)="","",VLOOKUP(A110,[1]PRIORIZADOS!$A:$I,9,FALSE)),"")</f>
        <v>EVALUACIÓN_CON_FINES_DE_MEJORAMIENTO.</v>
      </c>
      <c r="J110" s="11" t="str">
        <f>IFERROR(IF(VLOOKUP(A110,[1]PRIORIZADOS!$A:$J,10,FALSE)="","",VLOOKUP(A110,[1]PRIORIZADOS!$A:$J,10,FALSE)),"")</f>
        <v>Verificar las condiciones en cuanto a: la estructura administrativa, condiciones de la planta física y medios educativos adecuados.</v>
      </c>
      <c r="K110" s="11" t="str">
        <f>IFERROR(IF(VLOOKUP(A110,[1]PRIORIZADOS!$A:$K,11,FALSE)="","",VLOOKUP(A110,[1]PRIORIZADOS!$A:$K,11,FALSE)),"")</f>
        <v>ORLANDO SUÁREZ SOTO</v>
      </c>
      <c r="L110" s="11" t="str">
        <f>IFERROR(IF(VLOOKUP(A110,[1]PRIORIZADOS!$A:$L,12,FALSE)="","",VLOOKUP(A110,[1]PRIORIZADOS!$A:$L,12,FALSE)),"")</f>
        <v>ORLANDO SUÁREZ SOTO
JOSÉ RODRIGO QUILAGUY BERNAL
JOHN JAIRO BOBADILLA BERMEO</v>
      </c>
      <c r="M110" s="88">
        <f>IFERROR(IF(VLOOKUP(A110,[1]PRIORIZADOS!$A:$M,13,FALSE)="","",VLOOKUP(A110,[1]PRIORIZADOS!$A:$M,13,FALSE)),"")</f>
        <v>45909</v>
      </c>
      <c r="N110" s="88">
        <f>IFERROR(IF(VLOOKUP(A110,[1]PRIORIZADOS!$A:$N,14,FALSE)="","",VLOOKUP(A110,[1]PRIORIZADOS!$A:$N,14,FALSE)),"")</f>
        <v>45803</v>
      </c>
      <c r="O110" s="88">
        <f>IFERROR(IF(VLOOKUP(A110,[1]PRIORIZADOS!$A:$O,15,FALSE)="","",VLOOKUP(A110,[1]PRIORIZADOS!$A:$O,15,FALSE)),"")</f>
        <v>45803</v>
      </c>
      <c r="P110" s="16" t="str">
        <f>IFERROR(IF(VLOOKUP(A110,[1]PRIORIZADOS!$A:$P,16,FALSE)="","",VLOOKUP(A110,[1]PRIORIZADOS!$A:$P,16,FALSE)),"")</f>
        <v>Visitas de evaluación con fines de mejoramiento</v>
      </c>
      <c r="Q110" s="99" t="s">
        <v>38</v>
      </c>
      <c r="R110" s="90" t="str">
        <f>IFERROR(IF(VLOOKUP(A110,[1]PRIORIZADOS!$A:$R,18,FALSE)="","",VLOOKUP(A110,[1]PRIORIZADOS!$A:$R,18,FALSE)),"")</f>
        <v>Espacios educativos, administrativos y lúdicos son suficientes, dotados y con buen mantenimiento general.</v>
      </c>
      <c r="S110" s="11" t="str">
        <f>IFERROR(IF(VLOOKUP(A110,[1]PRIORIZADOS!$A:$S,19,FALSE)="","",VLOOKUP(A110,[1]PRIORIZADOS!$A:$S,19,FALSE)),"")</f>
        <v>La institución cuenta con espacios y dotación adecuados y bien mantenidos en todas sus áreas.</v>
      </c>
      <c r="T110" s="70" t="str">
        <f>IFERROR(IF(VLOOKUP(A110,[1]PRIORIZADOS!$A:$T,20,FALSE)="","",VLOOKUP(A110,[1]PRIORIZADOS!$A:$T,20,FALSE)),"")</f>
        <v>No</v>
      </c>
      <c r="U110" s="11" t="str">
        <f>IFERROR(IF(VLOOKUP(A110,[1]PRIORIZADOS!$A:$U,21,FALSE)="","",VLOOKUP(A110,[1]PRIORIZADOS!$A:$U,21,FALSE)),"")</f>
        <v>Realizar nueva visita y verificación en caso de requerirse.</v>
      </c>
    </row>
    <row r="111" spans="1:21" s="1" customFormat="1" ht="72">
      <c r="A111" s="69">
        <f>IF([1]PRIORIZADOS!A112="","",[1]PRIORIZADOS!A112)</f>
        <v>113</v>
      </c>
      <c r="B111" s="87">
        <f>IFERROR(IF(VLOOKUP(A111,[1]PRIORIZADOS!$A:$B,2,FALSE)="","",VLOOKUP(A111,[1]PRIORIZADOS!$A:$B,2,FALSE)),"")</f>
        <v>14</v>
      </c>
      <c r="C111" s="11" t="str">
        <f>IFERROR(IF(VLOOKUP(A111,[1]PRIORIZADOS!$A:$C,3,FALSE)="","",VLOOKUP(A111,[1]PRIORIZADOS!$A:$C,3,FALSE)),"")</f>
        <v>ANTONIO NARIÑO</v>
      </c>
      <c r="D111" s="69" t="str">
        <f>IFERROR(IF(VLOOKUP(A111,[1]PRIORIZADOS!$A:$D,4,FALSE)="","",VLOOKUP(A111,[1]PRIORIZADOS!$A:$D,4,FALSE)),"")</f>
        <v>PRIVADO</v>
      </c>
      <c r="E111" s="69" t="str">
        <f>IFERROR(IF(VLOOKUP(A111,[1]PRIORIZADOS!$A:$E,5,FALSE)="","",VLOOKUP(A111,[1]PRIORIZADOS!$A:$E,5,FALSE)),"")</f>
        <v>Educación Inicial</v>
      </c>
      <c r="F111" s="11" t="str">
        <f>IFERROR(IF(VLOOKUP(A111,[1]PRIORIZADOS!$A:$F,6,FALSE)="","",VLOOKUP(A111,[1]PRIORIZADOS!$A:$F,6,FALSE)),"")</f>
        <v>COLEGIO_INTEGRAL_SAN_JORGE_CENTRAL</v>
      </c>
      <c r="G111" s="69" t="str">
        <f>IFERROR(IF(VLOOKUP(A111,[1]PRIORIZADOS!$A:$G,7,FALSE)="","",VLOOKUP(A111,[1]PRIORIZADOS!$A:$G,7,FALSE)),"")</f>
        <v>COLEGIO INTEGRAL SAN JORGE CENTRAL</v>
      </c>
      <c r="H111" s="11" t="str">
        <f>IFERROR(IF(VLOOKUP(A111,[1]PRIORIZADOS!$A:$H,8,FALSE)="","",VLOOKUP(A111,[1]PRIORIZADOS!$A:$H,8,FALSE)),"")</f>
        <v>Autoevaluación Institucional y Pruebas SABER 11</v>
      </c>
      <c r="I111" s="11" t="str">
        <f>IFERROR(IF(VLOOKUP(A111,[1]PRIORIZADOS!$A:$I,9,FALSE)="","",VLOOKUP(A111,[1]PRIORIZADOS!$A:$I,9,FALSE)),"")</f>
        <v>SEGUIMIENTO_Y_SUPERVISIÓN.</v>
      </c>
      <c r="J111" s="11" t="str">
        <f>IFERROR(IF(VLOOKUP(A111,[1]PRIORIZADOS!$A:$J,10,FALSE)="","",VLOOKUP(A111,[1]PRIORIZADOS!$A:$J,10,FALSE)),"")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11" s="11" t="str">
        <f>IFERROR(IF(VLOOKUP(A111,[1]PRIORIZADOS!$A:$K,11,FALSE)="","",VLOOKUP(A111,[1]PRIORIZADOS!$A:$K,11,FALSE)),"")</f>
        <v>JOHN JAIRO BOBADILLA BERMEO</v>
      </c>
      <c r="L111" s="11" t="str">
        <f>IFERROR(IF(VLOOKUP(A111,[1]PRIORIZADOS!$A:$L,12,FALSE)="","",VLOOKUP(A111,[1]PRIORIZADOS!$A:$L,12,FALSE)),"")</f>
        <v>ORLANDO SUÁREZ SOTO
JOSÉ RODRIGO QUILAGUY BERNAL
JOHN JAIRO BOBADILLA BERMEO</v>
      </c>
      <c r="M111" s="88">
        <f>IFERROR(IF(VLOOKUP(A111,[1]PRIORIZADOS!$A:$M,13,FALSE)="","",VLOOKUP(A111,[1]PRIORIZADOS!$A:$M,13,FALSE)),"")</f>
        <v>45727</v>
      </c>
      <c r="N111" s="88">
        <f>IFERROR(IF(VLOOKUP(A111,[1]PRIORIZADOS!$A:$N,14,FALSE)="","",VLOOKUP(A111,[1]PRIORIZADOS!$A:$N,14,FALSE)),"")</f>
        <v>45727</v>
      </c>
      <c r="O111" s="88">
        <f>IFERROR(IF(VLOOKUP(A111,[1]PRIORIZADOS!$A:$O,15,FALSE)="","",VLOOKUP(A111,[1]PRIORIZADOS!$A:$O,15,FALSE)),"")</f>
        <v>45727</v>
      </c>
      <c r="P111" s="16" t="str">
        <f>IFERROR(IF(VLOOKUP(A111,[1]PRIORIZADOS!$A:$P,16,FALSE)="","",VLOOKUP(A111,[1]PRIORIZADOS!$A:$P,16,FALSE)),"")</f>
        <v>Visitas de evaluación con fines de seguimiento</v>
      </c>
      <c r="Q111" s="89" t="s">
        <v>39</v>
      </c>
      <c r="R111" s="90" t="str">
        <f>IFERROR(IF(VLOOKUP(A111,[1]PRIORIZADOS!$A:$R,18,FALSE)="","",VLOOKUP(A111,[1]PRIORIZADOS!$A:$R,18,FALSE)),"")</f>
        <v xml:space="preserve">El establecimiento se encuentra en régimen controlado por no pago de para fiscales, aún no ha subsanado la causal. No ha implementado el plan de mejoramiento cargado en el EVI. </v>
      </c>
      <c r="S111" s="11" t="str">
        <f>IFERROR(IF(VLOOKUP(A111,[1]PRIORIZADOS!$A:$S,19,FALSE)="","",VLOOKUP(A111,[1]PRIORIZADOS!$A:$S,19,FALSE)),"")</f>
        <v>Realizar el pago de parafiscales de cada uno de los empleados contratados por la I.E., a partir del mes de abril, con el propósito de superar la causal que lo tiene clasificado en  régimen controlado.</v>
      </c>
      <c r="T111" s="70" t="str">
        <f>IFERROR(IF(VLOOKUP(A111,[1]PRIORIZADOS!$A:$T,20,FALSE)="","",VLOOKUP(A111,[1]PRIORIZADOS!$A:$T,20,FALSE)),"")</f>
        <v>Si</v>
      </c>
      <c r="U111" s="11" t="str">
        <f>IFERROR(IF(VLOOKUP(A111,[1]PRIORIZADOS!$A:$U,21,FALSE)="","",VLOOKUP(A111,[1]PRIORIZADOS!$A:$U,21,FALSE)),"")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(23/09/2025) Ver Carpeta POAIV - TRIM III</v>
      </c>
    </row>
    <row r="112" spans="1:21" s="1" customFormat="1" ht="72">
      <c r="A112" s="69">
        <f>IF([1]PRIORIZADOS!A113="","",[1]PRIORIZADOS!A113)</f>
        <v>114</v>
      </c>
      <c r="B112" s="87">
        <v>14</v>
      </c>
      <c r="C112" s="11" t="str">
        <f>IFERROR(IF(VLOOKUP(A112,[1]PRIORIZADOS!$A:$C,3,FALSE)="","",VLOOKUP(A112,[1]PRIORIZADOS!$A:$C,3,FALSE)),"")</f>
        <v>ANTONIO NARIÑO</v>
      </c>
      <c r="D112" s="69" t="str">
        <f>IFERROR(IF(VLOOKUP(A112,[1]PRIORIZADOS!$A:$D,4,FALSE)="","",VLOOKUP(A112,[1]PRIORIZADOS!$A:$D,4,FALSE)),"")</f>
        <v>PRIVADO</v>
      </c>
      <c r="E112" s="69" t="str">
        <f>IFERROR(IF(VLOOKUP(A112,[1]PRIORIZADOS!$A:$E,5,FALSE)="","",VLOOKUP(A112,[1]PRIORIZADOS!$A:$E,5,FALSE)),"")</f>
        <v>Educación Inicial</v>
      </c>
      <c r="F112" s="11" t="str">
        <f>IFERROR(IF(VLOOKUP(A112,[1]PRIORIZADOS!$A:$F,6,FALSE)="","",VLOOKUP(A112,[1]PRIORIZADOS!$A:$F,6,FALSE)),"")</f>
        <v>COLEGIO_INTEGRAL_SAN_JORGE_CENTRAL</v>
      </c>
      <c r="G112" s="69" t="str">
        <f>IFERROR(IF(VLOOKUP(A112,[1]PRIORIZADOS!$A:$G,7,FALSE)="","",VLOOKUP(A112,[1]PRIORIZADOS!$A:$G,7,FALSE)),"")</f>
        <v>COLEGIO INTEGRAL SAN JORGE CENTRAL</v>
      </c>
      <c r="H112" s="11" t="str">
        <f>IFERROR(IF(VLOOKUP(A112,[1]PRIORIZADOS!$A:$H,8,FALSE)="","",VLOOKUP(A112,[1]PRIORIZADOS!$A:$H,8,FALSE)),"")</f>
        <v>Autoevaluación Institucional y Pruebas SABER 11</v>
      </c>
      <c r="I112" s="11" t="str">
        <f>IFERROR(IF(VLOOKUP(A112,[1]PRIORIZADOS!$A:$I,9,FALSE)="","",VLOOKUP(A112,[1]PRIORIZADOS!$A:$I,9,FALSE)),"")</f>
        <v>SEGUIMIENTO_Y_SUPERVISIÓN.</v>
      </c>
      <c r="J112" s="11" t="str">
        <f>IFERROR(IF(VLOOKUP(A112,[1]PRIORIZADOS!$A:$J,10,FALSE)="","",VLOOKUP(A112,[1]PRIORIZADOS!$A:$J,10,FALSE)),"")</f>
        <v>Realizar visitas para verificar la información registrada sobre la autoevaluación institucional en el aplicativo EVI, a los establecimientos de educación formal no oficial.</v>
      </c>
      <c r="K112" s="11" t="str">
        <f>IFERROR(IF(VLOOKUP(A112,[1]PRIORIZADOS!$A:$K,11,FALSE)="","",VLOOKUP(A112,[1]PRIORIZADOS!$A:$K,11,FALSE)),"")</f>
        <v>JOHN JAIRO BOBADILLA BERMEO</v>
      </c>
      <c r="L112" s="11" t="str">
        <f>IFERROR(IF(VLOOKUP(A112,[1]PRIORIZADOS!$A:$L,12,FALSE)="","",VLOOKUP(A112,[1]PRIORIZADOS!$A:$L,12,FALSE)),"")</f>
        <v>ORLANDO SUÁREZ SOTO
JOSÉ RODRIGO QUILAGUY BERNAL
JOHN JAIRO BOBADILLA BERMEO</v>
      </c>
      <c r="M112" s="88">
        <f>IFERROR(IF(VLOOKUP(A112,[1]PRIORIZADOS!$A:$M,13,FALSE)="","",VLOOKUP(A112,[1]PRIORIZADOS!$A:$M,13,FALSE)),"")</f>
        <v>45727</v>
      </c>
      <c r="N112" s="88">
        <f>IFERROR(IF(VLOOKUP(A112,[1]PRIORIZADOS!$A:$N,14,FALSE)="","",VLOOKUP(A112,[1]PRIORIZADOS!$A:$N,14,FALSE)),"")</f>
        <v>45727</v>
      </c>
      <c r="O112" s="88">
        <f>IFERROR(IF(VLOOKUP(A112,[1]PRIORIZADOS!$A:$O,15,FALSE)="","",VLOOKUP(A112,[1]PRIORIZADOS!$A:$O,15,FALSE)),"")</f>
        <v>45727</v>
      </c>
      <c r="P112" s="16" t="str">
        <f>IFERROR(IF(VLOOKUP(A112,[1]PRIORIZADOS!$A:$P,16,FALSE)="","",VLOOKUP(A112,[1]PRIORIZADOS!$A:$P,16,FALSE)),"")</f>
        <v>Visitas de evaluación con fines de seguimiento</v>
      </c>
      <c r="Q112" s="89" t="s">
        <v>39</v>
      </c>
      <c r="R112" s="90" t="str">
        <f>IFERROR(IF(VLOOKUP(A112,[1]PRIORIZADOS!$A:$R,18,FALSE)="","",VLOOKUP(A112,[1]PRIORIZADOS!$A:$R,18,FALSE)),"")</f>
        <v>El establecimiento no cuenta con un sistema contable, ni con registros de contratos de matrícula, lo cual no permite evidenciar la correspondencia con información registrada en la aplicativo EVI</v>
      </c>
      <c r="S112" s="11" t="str">
        <f>IFERROR(IF(VLOOKUP(A112,[1]PRIORIZADOS!$A:$S,19,FALSE)="","",VLOOKUP(A112,[1]PRIORIZADOS!$A:$S,19,FALSE)),"")</f>
        <v>Adelantar las acciones que le permitan a la I.E. el desarrollo de un sistema de control y gestión contable que permita evidenciar la realidad institucional en cuanto a indicadores financieros</v>
      </c>
      <c r="T112" s="70" t="str">
        <f>IFERROR(IF(VLOOKUP(A112,[1]PRIORIZADOS!$A:$T,20,FALSE)="","",VLOOKUP(A112,[1]PRIORIZADOS!$A:$T,20,FALSE)),"")</f>
        <v>Si</v>
      </c>
      <c r="U112" s="11" t="str">
        <f>IFERROR(IF(VLOOKUP(A112,[1]PRIORIZADOS!$A:$U,21,FALSE)="","",VLOOKUP(A112,[1]PRIORIZADOS!$A:$U,21,FALSE)),"")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3" spans="1:21" s="1" customFormat="1" ht="72">
      <c r="A113" s="69">
        <f>IF([1]PRIORIZADOS!A114="","",[1]PRIORIZADOS!A114)</f>
        <v>115</v>
      </c>
      <c r="B113" s="87">
        <v>14</v>
      </c>
      <c r="C113" s="11" t="str">
        <f>IFERROR(IF(VLOOKUP(A113,[1]PRIORIZADOS!$A:$C,3,FALSE)="","",VLOOKUP(A113,[1]PRIORIZADOS!$A:$C,3,FALSE)),"")</f>
        <v>ANTONIO NARIÑO</v>
      </c>
      <c r="D113" s="69" t="str">
        <f>IFERROR(IF(VLOOKUP(A113,[1]PRIORIZADOS!$A:$D,4,FALSE)="","",VLOOKUP(A113,[1]PRIORIZADOS!$A:$D,4,FALSE)),"")</f>
        <v>PRIVADO</v>
      </c>
      <c r="E113" s="69" t="str">
        <f>IFERROR(IF(VLOOKUP(A113,[1]PRIORIZADOS!$A:$E,5,FALSE)="","",VLOOKUP(A113,[1]PRIORIZADOS!$A:$E,5,FALSE)),"")</f>
        <v>Educación Inicial</v>
      </c>
      <c r="F113" s="11" t="str">
        <f>IFERROR(IF(VLOOKUP(A113,[1]PRIORIZADOS!$A:$F,6,FALSE)="","",VLOOKUP(A113,[1]PRIORIZADOS!$A:$F,6,FALSE)),"")</f>
        <v>COLEGIO_INTEGRAL_SAN_JORGE_CENTRAL</v>
      </c>
      <c r="G113" s="69" t="str">
        <f>IFERROR(IF(VLOOKUP(A113,[1]PRIORIZADOS!$A:$G,7,FALSE)="","",VLOOKUP(A113,[1]PRIORIZADOS!$A:$G,7,FALSE)),"")</f>
        <v>COLEGIO INTEGRAL SAN JORGE CENTRAL</v>
      </c>
      <c r="H113" s="11" t="str">
        <f>IFERROR(IF(VLOOKUP(A113,[1]PRIORIZADOS!$A:$H,8,FALSE)="","",VLOOKUP(A113,[1]PRIORIZADOS!$A:$H,8,FALSE)),"")</f>
        <v>Autoevaluación Institucional y Pruebas SABER 11</v>
      </c>
      <c r="I113" s="11" t="str">
        <f>IFERROR(IF(VLOOKUP(A113,[1]PRIORIZADOS!$A:$I,9,FALSE)="","",VLOOKUP(A113,[1]PRIORIZADOS!$A:$I,9,FALSE)),"")</f>
        <v>SEGUIMIENTO_Y_SUPERVISIÓN.</v>
      </c>
      <c r="J113" s="11" t="str">
        <f>IFERROR(IF(VLOOKUP(A113,[1]PRIORIZADOS!$A:$J,10,FALSE)="","",VLOOKUP(A113,[1]PRIORIZADOS!$A:$J,10,FALSE)),"")</f>
        <v xml:space="preserve">Verificar la implementación por parte de los colegios, de acciones realizadas para la prevención y atención de las situaciones de convivencia en el entorno escolar, según lo establecido en la Directiva 01 de 2022 del MEN. </v>
      </c>
      <c r="K113" s="11" t="str">
        <f>IFERROR(IF(VLOOKUP(A113,[1]PRIORIZADOS!$A:$K,11,FALSE)="","",VLOOKUP(A113,[1]PRIORIZADOS!$A:$K,11,FALSE)),"")</f>
        <v>JOHN JAIRO BOBADILLA BERMEO</v>
      </c>
      <c r="L113" s="11" t="str">
        <f>IFERROR(IF(VLOOKUP(A113,[1]PRIORIZADOS!$A:$L,12,FALSE)="","",VLOOKUP(A113,[1]PRIORIZADOS!$A:$L,12,FALSE)),"")</f>
        <v>ORLANDO SUÁREZ SOTO
JOSÉ RODRIGO QUILAGUY BERNAL
JOHN JAIRO BOBADILLA BERMEO</v>
      </c>
      <c r="M113" s="88">
        <f>IFERROR(IF(VLOOKUP(A113,[1]PRIORIZADOS!$A:$M,13,FALSE)="","",VLOOKUP(A113,[1]PRIORIZADOS!$A:$M,13,FALSE)),"")</f>
        <v>45727</v>
      </c>
      <c r="N113" s="88">
        <f>IFERROR(IF(VLOOKUP(A113,[1]PRIORIZADOS!$A:$N,14,FALSE)="","",VLOOKUP(A113,[1]PRIORIZADOS!$A:$N,14,FALSE)),"")</f>
        <v>45727</v>
      </c>
      <c r="O113" s="88">
        <f>IFERROR(IF(VLOOKUP(A113,[1]PRIORIZADOS!$A:$O,15,FALSE)="","",VLOOKUP(A113,[1]PRIORIZADOS!$A:$O,15,FALSE)),"")</f>
        <v>45727</v>
      </c>
      <c r="P113" s="16" t="str">
        <f>IFERROR(IF(VLOOKUP(A113,[1]PRIORIZADOS!$A:$P,16,FALSE)="","",VLOOKUP(A113,[1]PRIORIZADOS!$A:$P,16,FALSE)),"")</f>
        <v>Visitas de evaluación con fines de seguimiento</v>
      </c>
      <c r="Q113" s="89" t="s">
        <v>39</v>
      </c>
      <c r="R113" s="90" t="str">
        <f>IFERROR(IF(VLOOKUP(A113,[1]PRIORIZADOS!$A:$R,18,FALSE)="","",VLOOKUP(A113,[1]PRIORIZADOS!$A:$R,18,FALSE)),"")</f>
        <v>No se evidencia la verificación de antedentes al personal de la IE. Asimismo, no evidencia suficientes acciones desarrolladas por el  comité de Convivencia Escolar.</v>
      </c>
      <c r="S113" s="11" t="str">
        <f>IFERROR(IF(VLOOKUP(A113,[1]PRIORIZADOS!$A:$S,19,FALSE)="","",VLOOKUP(A113,[1]PRIORIZADOS!$A:$S,19,FALSE)),"")</f>
        <v>La IE requiere fortalecer las acciones que debe desarrollarr el  comité de Convivencia Escolar e implementar todos los componentes de la Directiva 01.</v>
      </c>
      <c r="T113" s="70" t="str">
        <f>IFERROR(IF(VLOOKUP(A113,[1]PRIORIZADOS!$A:$T,20,FALSE)="","",VLOOKUP(A113,[1]PRIORIZADOS!$A:$T,20,FALSE)),"")</f>
        <v>Si</v>
      </c>
      <c r="U113" s="11" t="str">
        <f>IFERROR(IF(VLOOKUP(A113,[1]PRIORIZADOS!$A:$U,21,FALSE)="","",VLOOKUP(A113,[1]PRIORIZADOS!$A:$U,21,FALSE)),"")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4" spans="1:21" s="1" customFormat="1" ht="72">
      <c r="A114" s="69">
        <f>IF([1]PRIORIZADOS!A115="","",[1]PRIORIZADOS!A115)</f>
        <v>116</v>
      </c>
      <c r="B114" s="87">
        <v>14</v>
      </c>
      <c r="C114" s="11" t="str">
        <f>IFERROR(IF(VLOOKUP(A114,[1]PRIORIZADOS!$A:$C,3,FALSE)="","",VLOOKUP(A114,[1]PRIORIZADOS!$A:$C,3,FALSE)),"")</f>
        <v>ANTONIO NARIÑO</v>
      </c>
      <c r="D114" s="69" t="str">
        <f>IFERROR(IF(VLOOKUP(A114,[1]PRIORIZADOS!$A:$D,4,FALSE)="","",VLOOKUP(A114,[1]PRIORIZADOS!$A:$D,4,FALSE)),"")</f>
        <v>PRIVADO</v>
      </c>
      <c r="E114" s="69" t="str">
        <f>IFERROR(IF(VLOOKUP(A114,[1]PRIORIZADOS!$A:$E,5,FALSE)="","",VLOOKUP(A114,[1]PRIORIZADOS!$A:$E,5,FALSE)),"")</f>
        <v>Educación Inicial</v>
      </c>
      <c r="F114" s="11" t="str">
        <f>IFERROR(IF(VLOOKUP(A114,[1]PRIORIZADOS!$A:$F,6,FALSE)="","",VLOOKUP(A114,[1]PRIORIZADOS!$A:$F,6,FALSE)),"")</f>
        <v>COLEGIO_INTEGRAL_SAN_JORGE_CENTRAL</v>
      </c>
      <c r="G114" s="69" t="str">
        <f>IFERROR(IF(VLOOKUP(A114,[1]PRIORIZADOS!$A:$G,7,FALSE)="","",VLOOKUP(A114,[1]PRIORIZADOS!$A:$G,7,FALSE)),"")</f>
        <v>COLEGIO INTEGRAL SAN JORGE CENTRAL</v>
      </c>
      <c r="H114" s="11" t="str">
        <f>IFERROR(IF(VLOOKUP(A114,[1]PRIORIZADOS!$A:$H,8,FALSE)="","",VLOOKUP(A114,[1]PRIORIZADOS!$A:$H,8,FALSE)),"")</f>
        <v>Autoevaluación Institucional y Pruebas SABER 11</v>
      </c>
      <c r="I114" s="11" t="str">
        <f>IFERROR(IF(VLOOKUP(A114,[1]PRIORIZADOS!$A:$I,9,FALSE)="","",VLOOKUP(A114,[1]PRIORIZADOS!$A:$I,9,FALSE)),"")</f>
        <v>SEGUIMIENTO_Y_SUPERVISIÓN.</v>
      </c>
      <c r="J114" s="11" t="str">
        <f>IFERROR(IF(VLOOKUP(A114,[1]PRIORIZADOS!$A:$J,10,FALSE)="","",VLOOKUP(A114,[1]PRIORIZADOS!$A:$J,10,FALSE)),"")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4" s="11" t="str">
        <f>IFERROR(IF(VLOOKUP(A114,[1]PRIORIZADOS!$A:$K,11,FALSE)="","",VLOOKUP(A114,[1]PRIORIZADOS!$A:$K,11,FALSE)),"")</f>
        <v>JOHN JAIRO BOBADILLA BERMEO</v>
      </c>
      <c r="L114" s="11" t="str">
        <f>IFERROR(IF(VLOOKUP(A114,[1]PRIORIZADOS!$A:$L,12,FALSE)="","",VLOOKUP(A114,[1]PRIORIZADOS!$A:$L,12,FALSE)),"")</f>
        <v>ORLANDO SUÁREZ SOTO
JOSÉ RODRIGO QUILAGUY BERNAL
JOHN JAIRO BOBADILLA BERMEO</v>
      </c>
      <c r="M114" s="88">
        <f>IFERROR(IF(VLOOKUP(A114,[1]PRIORIZADOS!$A:$M,13,FALSE)="","",VLOOKUP(A114,[1]PRIORIZADOS!$A:$M,13,FALSE)),"")</f>
        <v>45727</v>
      </c>
      <c r="N114" s="88">
        <f>IFERROR(IF(VLOOKUP(A114,[1]PRIORIZADOS!$A:$N,14,FALSE)="","",VLOOKUP(A114,[1]PRIORIZADOS!$A:$N,14,FALSE)),"")</f>
        <v>45727</v>
      </c>
      <c r="O114" s="88">
        <f>IFERROR(IF(VLOOKUP(A114,[1]PRIORIZADOS!$A:$O,15,FALSE)="","",VLOOKUP(A114,[1]PRIORIZADOS!$A:$O,15,FALSE)),"")</f>
        <v>45727</v>
      </c>
      <c r="P114" s="16" t="str">
        <f>IFERROR(IF(VLOOKUP(A114,[1]PRIORIZADOS!$A:$P,16,FALSE)="","",VLOOKUP(A114,[1]PRIORIZADOS!$A:$P,16,FALSE)),"")</f>
        <v>Visitas de evaluación con fines de seguimiento</v>
      </c>
      <c r="Q114" s="89" t="s">
        <v>39</v>
      </c>
      <c r="R114" s="90" t="str">
        <f>IFERROR(IF(VLOOKUP(A114,[1]PRIORIZADOS!$A:$R,18,FALSE)="","",VLOOKUP(A114,[1]PRIORIZADOS!$A:$R,18,FALSE)),"")</f>
        <v>El establecimiento educativo no cuenta con estudiantes de inclusión a la fecha.</v>
      </c>
      <c r="S114" s="11" t="str">
        <f>IFERROR(IF(VLOOKUP(A114,[1]PRIORIZADOS!$A:$S,19,FALSE)="","",VLOOKUP(A114,[1]PRIORIZADOS!$A:$S,19,FALSE)),"")</f>
        <v>La IE desarrollara en el PEI el Proyecto de inclusió conforme al Decreto 1421 de 2017</v>
      </c>
      <c r="T114" s="70" t="str">
        <f>IFERROR(IF(VLOOKUP(A114,[1]PRIORIZADOS!$A:$T,20,FALSE)="","",VLOOKUP(A114,[1]PRIORIZADOS!$A:$T,20,FALSE)),"")</f>
        <v>Si</v>
      </c>
      <c r="U114" s="11" t="str">
        <f>IFERROR(IF(VLOOKUP(A114,[1]PRIORIZADOS!$A:$U,21,FALSE)="","",VLOOKUP(A114,[1]PRIORIZADOS!$A:$U,21,FALSE)),"")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5" spans="1:21" s="1" customFormat="1" ht="84">
      <c r="A115" s="69">
        <f>IF([1]PRIORIZADOS!A116="","",[1]PRIORIZADOS!A116)</f>
        <v>117</v>
      </c>
      <c r="B115" s="87">
        <v>14</v>
      </c>
      <c r="C115" s="11" t="str">
        <f>IFERROR(IF(VLOOKUP(A115,[1]PRIORIZADOS!$A:$C,3,FALSE)="","",VLOOKUP(A115,[1]PRIORIZADOS!$A:$C,3,FALSE)),"")</f>
        <v>ANTONIO NARIÑO</v>
      </c>
      <c r="D115" s="69" t="str">
        <f>IFERROR(IF(VLOOKUP(A115,[1]PRIORIZADOS!$A:$D,4,FALSE)="","",VLOOKUP(A115,[1]PRIORIZADOS!$A:$D,4,FALSE)),"")</f>
        <v>PRIVADO</v>
      </c>
      <c r="E115" s="69" t="str">
        <f>IFERROR(IF(VLOOKUP(A115,[1]PRIORIZADOS!$A:$E,5,FALSE)="","",VLOOKUP(A115,[1]PRIORIZADOS!$A:$E,5,FALSE)),"")</f>
        <v>Educación Inicial</v>
      </c>
      <c r="F115" s="11" t="str">
        <f>IFERROR(IF(VLOOKUP(A115,[1]PRIORIZADOS!$A:$F,6,FALSE)="","",VLOOKUP(A115,[1]PRIORIZADOS!$A:$F,6,FALSE)),"")</f>
        <v>COLEGIO_INTEGRAL_SAN_JORGE_CENTRAL</v>
      </c>
      <c r="G115" s="69" t="str">
        <f>IFERROR(IF(VLOOKUP(A115,[1]PRIORIZADOS!$A:$G,7,FALSE)="","",VLOOKUP(A115,[1]PRIORIZADOS!$A:$G,7,FALSE)),"")</f>
        <v>COLEGIO INTEGRAL SAN JORGE CENTRAL</v>
      </c>
      <c r="H115" s="11" t="str">
        <f>IFERROR(IF(VLOOKUP(A115,[1]PRIORIZADOS!$A:$H,8,FALSE)="","",VLOOKUP(A115,[1]PRIORIZADOS!$A:$H,8,FALSE)),"")</f>
        <v>Autoevaluación Institucional y Pruebas SABER 11</v>
      </c>
      <c r="I115" s="11" t="str">
        <f>IFERROR(IF(VLOOKUP(A115,[1]PRIORIZADOS!$A:$I,9,FALSE)="","",VLOOKUP(A115,[1]PRIORIZADOS!$A:$I,9,FALSE)),"")</f>
        <v>EVALUACIÓN_CON_FINES_DE_MEJORAMIENTO.</v>
      </c>
      <c r="J115" s="11" t="str">
        <f>IFERROR(IF(VLOOKUP(A115,[1]PRIORIZADOS!$A:$J,10,FALSE)="","",VLOOKUP(A115,[1]PRIORIZADOS!$A:$J,10,FALSE)),"")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5" s="11" t="str">
        <f>IFERROR(IF(VLOOKUP(A115,[1]PRIORIZADOS!$A:$K,11,FALSE)="","",VLOOKUP(A115,[1]PRIORIZADOS!$A:$K,11,FALSE)),"")</f>
        <v>JOHN JAIRO BOBADILLA BERMEO</v>
      </c>
      <c r="L115" s="11" t="str">
        <f>IFERROR(IF(VLOOKUP(A115,[1]PRIORIZADOS!$A:$L,12,FALSE)="","",VLOOKUP(A115,[1]PRIORIZADOS!$A:$L,12,FALSE)),"")</f>
        <v>ORLANDO SUÁREZ SOTO
JOSÉ RODRIGO QUILAGUY BERNAL
JOHN JAIRO BOBADILLA BERMEO</v>
      </c>
      <c r="M115" s="88">
        <f>IFERROR(IF(VLOOKUP(A115,[1]PRIORIZADOS!$A:$M,13,FALSE)="","",VLOOKUP(A115,[1]PRIORIZADOS!$A:$M,13,FALSE)),"")</f>
        <v>45727</v>
      </c>
      <c r="N115" s="88">
        <f>IFERROR(IF(VLOOKUP(A115,[1]PRIORIZADOS!$A:$N,14,FALSE)="","",VLOOKUP(A115,[1]PRIORIZADOS!$A:$N,14,FALSE)),"")</f>
        <v>45727</v>
      </c>
      <c r="O115" s="88">
        <f>IFERROR(IF(VLOOKUP(A115,[1]PRIORIZADOS!$A:$O,15,FALSE)="","",VLOOKUP(A115,[1]PRIORIZADOS!$A:$O,15,FALSE)),"")</f>
        <v>45727</v>
      </c>
      <c r="P115" s="16" t="str">
        <f>IFERROR(IF(VLOOKUP(A115,[1]PRIORIZADOS!$A:$P,16,FALSE)="","",VLOOKUP(A115,[1]PRIORIZADOS!$A:$P,16,FALSE)),"")</f>
        <v>Visitas de evaluación con fines de mejoramiento</v>
      </c>
      <c r="Q115" s="89" t="s">
        <v>39</v>
      </c>
      <c r="R115" s="90" t="str">
        <f>IFERROR(IF(VLOOKUP(A115,[1]PRIORIZADOS!$A:$R,18,FALSE)="","",VLOOKUP(A115,[1]PRIORIZADOS!$A:$R,18,FALSE)),"")</f>
        <v>El Manual de convivencia contiene algunos elementos de ley, se encuentra ajustado para el servicio de preescolar. 
Requiere hacer ajustes relacionados enfoques diferenciales.</v>
      </c>
      <c r="S115" s="11" t="str">
        <f>IFERROR(IF(VLOOKUP(A115,[1]PRIORIZADOS!$A:$S,19,FALSE)="","",VLOOKUP(A115,[1]PRIORIZADOS!$A:$S,19,FALSE)),"")</f>
        <v xml:space="preserve">Actualizar el Manual de Convivencia de manera participativa y socializarlo con la comunidad. </v>
      </c>
      <c r="T115" s="70" t="str">
        <f>IFERROR(IF(VLOOKUP(A115,[1]PRIORIZADOS!$A:$T,20,FALSE)="","",VLOOKUP(A115,[1]PRIORIZADOS!$A:$T,20,FALSE)),"")</f>
        <v>Si</v>
      </c>
      <c r="U115" s="11" t="str">
        <f>IFERROR(IF(VLOOKUP(A115,[1]PRIORIZADOS!$A:$U,21,FALSE)="","",VLOOKUP(A115,[1]PRIORIZADOS!$A:$U,21,FALSE)),"")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6" spans="1:21" s="1" customFormat="1" ht="72">
      <c r="A116" s="69">
        <f>IF([1]PRIORIZADOS!A117="","",[1]PRIORIZADOS!A117)</f>
        <v>118</v>
      </c>
      <c r="B116" s="87">
        <v>14</v>
      </c>
      <c r="C116" s="11" t="str">
        <f>IFERROR(IF(VLOOKUP(A116,[1]PRIORIZADOS!$A:$C,3,FALSE)="","",VLOOKUP(A116,[1]PRIORIZADOS!$A:$C,3,FALSE)),"")</f>
        <v>ANTONIO NARIÑO</v>
      </c>
      <c r="D116" s="69" t="str">
        <f>IFERROR(IF(VLOOKUP(A116,[1]PRIORIZADOS!$A:$D,4,FALSE)="","",VLOOKUP(A116,[1]PRIORIZADOS!$A:$D,4,FALSE)),"")</f>
        <v>PRIVADO</v>
      </c>
      <c r="E116" s="69" t="str">
        <f>IFERROR(IF(VLOOKUP(A116,[1]PRIORIZADOS!$A:$E,5,FALSE)="","",VLOOKUP(A116,[1]PRIORIZADOS!$A:$E,5,FALSE)),"")</f>
        <v>Educación Inicial</v>
      </c>
      <c r="F116" s="11" t="str">
        <f>IFERROR(IF(VLOOKUP(A116,[1]PRIORIZADOS!$A:$F,6,FALSE)="","",VLOOKUP(A116,[1]PRIORIZADOS!$A:$F,6,FALSE)),"")</f>
        <v>COLEGIO_INTEGRAL_SAN_JORGE_CENTRAL</v>
      </c>
      <c r="G116" s="69" t="str">
        <f>IFERROR(IF(VLOOKUP(A116,[1]PRIORIZADOS!$A:$G,7,FALSE)="","",VLOOKUP(A116,[1]PRIORIZADOS!$A:$G,7,FALSE)),"")</f>
        <v>COLEGIO INTEGRAL SAN JORGE CENTRAL</v>
      </c>
      <c r="H116" s="11" t="str">
        <f>IFERROR(IF(VLOOKUP(A116,[1]PRIORIZADOS!$A:$H,8,FALSE)="","",VLOOKUP(A116,[1]PRIORIZADOS!$A:$H,8,FALSE)),"")</f>
        <v>Autoevaluación Institucional y Pruebas SABER 11</v>
      </c>
      <c r="I116" s="11" t="str">
        <f>IFERROR(IF(VLOOKUP(A116,[1]PRIORIZADOS!$A:$I,9,FALSE)="","",VLOOKUP(A116,[1]PRIORIZADOS!$A:$I,9,FALSE)),"")</f>
        <v>EVALUACIÓN_CON_FINES_DE_MEJORAMIENTO.</v>
      </c>
      <c r="J116" s="11" t="str">
        <f>IFERROR(IF(VLOOKUP(A116,[1]PRIORIZADOS!$A:$J,10,FALSE)="","",VLOOKUP(A116,[1]PRIORIZADOS!$A:$J,10,FALSE)),"")</f>
        <v>Revisar la actualización, socialización e implementación del Sistema Institucional de Evaluación de Estudiantes - SIEE, en articulación con la actualización del PEI y la normatividad vigente.</v>
      </c>
      <c r="K116" s="11" t="str">
        <f>IFERROR(IF(VLOOKUP(A116,[1]PRIORIZADOS!$A:$K,11,FALSE)="","",VLOOKUP(A116,[1]PRIORIZADOS!$A:$K,11,FALSE)),"")</f>
        <v>JOHN JAIRO BOBADILLA BERMEO</v>
      </c>
      <c r="L116" s="11" t="str">
        <f>IFERROR(IF(VLOOKUP(A116,[1]PRIORIZADOS!$A:$L,12,FALSE)="","",VLOOKUP(A116,[1]PRIORIZADOS!$A:$L,12,FALSE)),"")</f>
        <v>ORLANDO SUÁREZ SOTO
JOSÉ RODRIGO QUILAGUY BERNAL
JOHN JAIRO BOBADILLA BERMEO</v>
      </c>
      <c r="M116" s="88">
        <f>IFERROR(IF(VLOOKUP(A116,[1]PRIORIZADOS!$A:$M,13,FALSE)="","",VLOOKUP(A116,[1]PRIORIZADOS!$A:$M,13,FALSE)),"")</f>
        <v>45727</v>
      </c>
      <c r="N116" s="88">
        <f>IFERROR(IF(VLOOKUP(A116,[1]PRIORIZADOS!$A:$N,14,FALSE)="","",VLOOKUP(A116,[1]PRIORIZADOS!$A:$N,14,FALSE)),"")</f>
        <v>45727</v>
      </c>
      <c r="O116" s="88">
        <f>IFERROR(IF(VLOOKUP(A116,[1]PRIORIZADOS!$A:$O,15,FALSE)="","",VLOOKUP(A116,[1]PRIORIZADOS!$A:$O,15,FALSE)),"")</f>
        <v>45727</v>
      </c>
      <c r="P116" s="16" t="str">
        <f>IFERROR(IF(VLOOKUP(A116,[1]PRIORIZADOS!$A:$P,16,FALSE)="","",VLOOKUP(A116,[1]PRIORIZADOS!$A:$P,16,FALSE)),"")</f>
        <v>Visitas de evaluación con fines de mejoramiento</v>
      </c>
      <c r="Q116" s="89" t="s">
        <v>39</v>
      </c>
      <c r="R116" s="90" t="str">
        <f>IFERROR(IF(VLOOKUP(A116,[1]PRIORIZADOS!$A:$R,18,FALSE)="","",VLOOKUP(A116,[1]PRIORIZADOS!$A:$R,18,FALSE)),"")</f>
        <v xml:space="preserve">Cuenta con SIEE el cual requiere incluir procedimientos, mecanismos e instancias para la resolución de reclamaciones frente a la evaluación y promoción.  </v>
      </c>
      <c r="S116" s="11" t="str">
        <f>IFERROR(IF(VLOOKUP(A116,[1]PRIORIZADOS!$A:$S,19,FALSE)="","",VLOOKUP(A116,[1]PRIORIZADOS!$A:$S,19,FALSE)),"")</f>
        <v>La IE actualizará el SIEE de acuerdo con la normatividad vigente, y conforme a lo proyectado dentro de sus acciones de mejora en el PMI</v>
      </c>
      <c r="T116" s="70" t="str">
        <f>IFERROR(IF(VLOOKUP(A116,[1]PRIORIZADOS!$A:$T,20,FALSE)="","",VLOOKUP(A116,[1]PRIORIZADOS!$A:$T,20,FALSE)),"")</f>
        <v>Si</v>
      </c>
      <c r="U116" s="11" t="str">
        <f>IFERROR(IF(VLOOKUP(A116,[1]PRIORIZADOS!$A:$U,21,FALSE)="","",VLOOKUP(A116,[1]PRIORIZADOS!$A:$U,21,FALSE)),"")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7" spans="1:21" s="1" customFormat="1" ht="72">
      <c r="A117" s="69">
        <f>IF([1]PRIORIZADOS!A118="","",[1]PRIORIZADOS!A118)</f>
        <v>119</v>
      </c>
      <c r="B117" s="87">
        <v>14</v>
      </c>
      <c r="C117" s="11" t="str">
        <f>IFERROR(IF(VLOOKUP(A117,[1]PRIORIZADOS!$A:$C,3,FALSE)="","",VLOOKUP(A117,[1]PRIORIZADOS!$A:$C,3,FALSE)),"")</f>
        <v>ANTONIO NARIÑO</v>
      </c>
      <c r="D117" s="69" t="str">
        <f>IFERROR(IF(VLOOKUP(A117,[1]PRIORIZADOS!$A:$D,4,FALSE)="","",VLOOKUP(A117,[1]PRIORIZADOS!$A:$D,4,FALSE)),"")</f>
        <v>PRIVADO</v>
      </c>
      <c r="E117" s="69" t="str">
        <f>IFERROR(IF(VLOOKUP(A117,[1]PRIORIZADOS!$A:$E,5,FALSE)="","",VLOOKUP(A117,[1]PRIORIZADOS!$A:$E,5,FALSE)),"")</f>
        <v>Educación Inicial</v>
      </c>
      <c r="F117" s="11" t="str">
        <f>IFERROR(IF(VLOOKUP(A117,[1]PRIORIZADOS!$A:$F,6,FALSE)="","",VLOOKUP(A117,[1]PRIORIZADOS!$A:$F,6,FALSE)),"")</f>
        <v>COLEGIO_INTEGRAL_SAN_JORGE_CENTRAL</v>
      </c>
      <c r="G117" s="69" t="str">
        <f>IFERROR(IF(VLOOKUP(A117,[1]PRIORIZADOS!$A:$G,7,FALSE)="","",VLOOKUP(A117,[1]PRIORIZADOS!$A:$G,7,FALSE)),"")</f>
        <v>COLEGIO INTEGRAL SAN JORGE CENTRAL</v>
      </c>
      <c r="H117" s="11" t="str">
        <f>IFERROR(IF(VLOOKUP(A117,[1]PRIORIZADOS!$A:$H,8,FALSE)="","",VLOOKUP(A117,[1]PRIORIZADOS!$A:$H,8,FALSE)),"")</f>
        <v>Autoevaluación Institucional y Pruebas SABER 11</v>
      </c>
      <c r="I117" s="11" t="str">
        <f>IFERROR(IF(VLOOKUP(A117,[1]PRIORIZADOS!$A:$I,9,FALSE)="","",VLOOKUP(A117,[1]PRIORIZADOS!$A:$I,9,FALSE)),"")</f>
        <v>EVALUACIÓN_CON_FINES_DE_MEJORAMIENTO.</v>
      </c>
      <c r="J117" s="11" t="str">
        <f>IFERROR(IF(VLOOKUP(A117,[1]PRIORIZADOS!$A:$J,10,FALSE)="","",VLOOKUP(A117,[1]PRIORIZADOS!$A:$J,10,FALSE)),"")</f>
        <v>Revisar el calendario escolar, jornada escolar, la intensidad horaria mínima anual en cada nivel y las modificaciones que se realicen al mismo, de acuerdo con lo previsto en la normatividad vigente.</v>
      </c>
      <c r="K117" s="11" t="str">
        <f>IFERROR(IF(VLOOKUP(A117,[1]PRIORIZADOS!$A:$K,11,FALSE)="","",VLOOKUP(A117,[1]PRIORIZADOS!$A:$K,11,FALSE)),"")</f>
        <v>JOHN JAIRO BOBADILLA BERMEO</v>
      </c>
      <c r="L117" s="11" t="str">
        <f>IFERROR(IF(VLOOKUP(A117,[1]PRIORIZADOS!$A:$L,12,FALSE)="","",VLOOKUP(A117,[1]PRIORIZADOS!$A:$L,12,FALSE)),"")</f>
        <v>ORLANDO SUÁREZ SOTO
JOSÉ RODRIGO QUILAGUY BERNAL
JOHN JAIRO BOBADILLA BERMEO</v>
      </c>
      <c r="M117" s="88">
        <f>IFERROR(IF(VLOOKUP(A117,[1]PRIORIZADOS!$A:$M,13,FALSE)="","",VLOOKUP(A117,[1]PRIORIZADOS!$A:$M,13,FALSE)),"")</f>
        <v>45727</v>
      </c>
      <c r="N117" s="88">
        <f>IFERROR(IF(VLOOKUP(A117,[1]PRIORIZADOS!$A:$N,14,FALSE)="","",VLOOKUP(A117,[1]PRIORIZADOS!$A:$N,14,FALSE)),"")</f>
        <v>45727</v>
      </c>
      <c r="O117" s="88">
        <f>IFERROR(IF(VLOOKUP(A117,[1]PRIORIZADOS!$A:$O,15,FALSE)="","",VLOOKUP(A117,[1]PRIORIZADOS!$A:$O,15,FALSE)),"")</f>
        <v>45727</v>
      </c>
      <c r="P117" s="16" t="str">
        <f>IFERROR(IF(VLOOKUP(A117,[1]PRIORIZADOS!$A:$P,16,FALSE)="","",VLOOKUP(A117,[1]PRIORIZADOS!$A:$P,16,FALSE)),"")</f>
        <v>Visitas de evaluación con fines de mejoramiento</v>
      </c>
      <c r="Q117" s="89" t="s">
        <v>39</v>
      </c>
      <c r="R117" s="90" t="str">
        <f>IFERROR(IF(VLOOKUP(A117,[1]PRIORIZADOS!$A:$R,18,FALSE)="","",VLOOKUP(A117,[1]PRIORIZADOS!$A:$R,18,FALSE)),"")</f>
        <v>La IE presenta diferencia en la horas efectivas ofertadas, lo presentado a la DLE y a lo normado para el nivel en el que ofrece el servicio educativo.</v>
      </c>
      <c r="S117" s="11" t="str">
        <f>IFERROR(IF(VLOOKUP(A117,[1]PRIORIZADOS!$A:$S,19,FALSE)="","",VLOOKUP(A117,[1]PRIORIZADOS!$A:$S,19,FALSE)),"")</f>
        <v xml:space="preserve">La IE realizará el ajuste al horario de salida  garantizando el cumplimiento de las horas que establece la norma para preescolar. </v>
      </c>
      <c r="T117" s="70" t="str">
        <f>IFERROR(IF(VLOOKUP(A117,[1]PRIORIZADOS!$A:$T,20,FALSE)="","",VLOOKUP(A117,[1]PRIORIZADOS!$A:$T,20,FALSE)),"")</f>
        <v>Si</v>
      </c>
      <c r="U117" s="11" t="str">
        <f>IFERROR(IF(VLOOKUP(A117,[1]PRIORIZADOS!$A:$U,21,FALSE)="","",VLOOKUP(A117,[1]PRIORIZADOS!$A:$U,21,FALSE)),"")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8" spans="1:21" s="1" customFormat="1" ht="96">
      <c r="A118" s="69">
        <f>IF([1]PRIORIZADOS!A119="","",[1]PRIORIZADOS!A119)</f>
        <v>120</v>
      </c>
      <c r="B118" s="87">
        <v>14</v>
      </c>
      <c r="C118" s="11" t="str">
        <f>IFERROR(IF(VLOOKUP(A118,[1]PRIORIZADOS!$A:$C,3,FALSE)="","",VLOOKUP(A118,[1]PRIORIZADOS!$A:$C,3,FALSE)),"")</f>
        <v>ANTONIO NARIÑO</v>
      </c>
      <c r="D118" s="69" t="str">
        <f>IFERROR(IF(VLOOKUP(A118,[1]PRIORIZADOS!$A:$D,4,FALSE)="","",VLOOKUP(A118,[1]PRIORIZADOS!$A:$D,4,FALSE)),"")</f>
        <v>PRIVADO</v>
      </c>
      <c r="E118" s="69" t="str">
        <f>IFERROR(IF(VLOOKUP(A118,[1]PRIORIZADOS!$A:$E,5,FALSE)="","",VLOOKUP(A118,[1]PRIORIZADOS!$A:$E,5,FALSE)),"")</f>
        <v>Educación Inicial</v>
      </c>
      <c r="F118" s="11" t="str">
        <f>IFERROR(IF(VLOOKUP(A118,[1]PRIORIZADOS!$A:$F,6,FALSE)="","",VLOOKUP(A118,[1]PRIORIZADOS!$A:$F,6,FALSE)),"")</f>
        <v>COLEGIO_INTEGRAL_SAN_JORGE_CENTRAL</v>
      </c>
      <c r="G118" s="69" t="str">
        <f>IFERROR(IF(VLOOKUP(A118,[1]PRIORIZADOS!$A:$G,7,FALSE)="","",VLOOKUP(A118,[1]PRIORIZADOS!$A:$G,7,FALSE)),"")</f>
        <v>COLEGIO INTEGRAL SAN JORGE CENTRAL</v>
      </c>
      <c r="H118" s="11" t="str">
        <f>IFERROR(IF(VLOOKUP(A118,[1]PRIORIZADOS!$A:$H,8,FALSE)="","",VLOOKUP(A118,[1]PRIORIZADOS!$A:$H,8,FALSE)),"")</f>
        <v>Autoevaluación Institucional y Pruebas SABER 11</v>
      </c>
      <c r="I118" s="11" t="str">
        <f>IFERROR(IF(VLOOKUP(A118,[1]PRIORIZADOS!$A:$I,9,FALSE)="","",VLOOKUP(A118,[1]PRIORIZADOS!$A:$I,9,FALSE)),"")</f>
        <v>EVALUACIÓN_CON_FINES_DE_MEJORAMIENTO.</v>
      </c>
      <c r="J118" s="11" t="str">
        <f>IFERROR(IF(VLOOKUP(A118,[1]PRIORIZADOS!$A:$J,10,FALSE)="","",VLOOKUP(A118,[1]PRIORIZADOS!$A:$J,10,FALSE)),"")</f>
        <v>Verificar el funcionamiento del Gobierno Escolar e instancias de participación con base en la información sobre conformación reportada por la institución educativa.</v>
      </c>
      <c r="K118" s="11" t="str">
        <f>IFERROR(IF(VLOOKUP(A118,[1]PRIORIZADOS!$A:$K,11,FALSE)="","",VLOOKUP(A118,[1]PRIORIZADOS!$A:$K,11,FALSE)),"")</f>
        <v>JOHN JAIRO BOBADILLA BERMEO</v>
      </c>
      <c r="L118" s="11" t="str">
        <f>IFERROR(IF(VLOOKUP(A118,[1]PRIORIZADOS!$A:$L,12,FALSE)="","",VLOOKUP(A118,[1]PRIORIZADOS!$A:$L,12,FALSE)),"")</f>
        <v>ORLANDO SUÁREZ SOTO
JOSÉ RODRIGO QUILAGUY BERNAL
JOHN JAIRO BOBADILLA BERMEO</v>
      </c>
      <c r="M118" s="88">
        <f>IFERROR(IF(VLOOKUP(A118,[1]PRIORIZADOS!$A:$M,13,FALSE)="","",VLOOKUP(A118,[1]PRIORIZADOS!$A:$M,13,FALSE)),"")</f>
        <v>45727</v>
      </c>
      <c r="N118" s="88">
        <f>IFERROR(IF(VLOOKUP(A118,[1]PRIORIZADOS!$A:$N,14,FALSE)="","",VLOOKUP(A118,[1]PRIORIZADOS!$A:$N,14,FALSE)),"")</f>
        <v>45727</v>
      </c>
      <c r="O118" s="88">
        <f>IFERROR(IF(VLOOKUP(A118,[1]PRIORIZADOS!$A:$O,15,FALSE)="","",VLOOKUP(A118,[1]PRIORIZADOS!$A:$O,15,FALSE)),"")</f>
        <v>45727</v>
      </c>
      <c r="P118" s="16" t="str">
        <f>IFERROR(IF(VLOOKUP(A118,[1]PRIORIZADOS!$A:$P,16,FALSE)="","",VLOOKUP(A118,[1]PRIORIZADOS!$A:$P,16,FALSE)),"")</f>
        <v>Visitas de evaluación con fines de mejoramiento</v>
      </c>
      <c r="Q118" s="89" t="s">
        <v>39</v>
      </c>
      <c r="R118" s="90" t="str">
        <f>IFERROR(IF(VLOOKUP(A118,[1]PRIORIZADOS!$A:$R,18,FALSE)="","",VLOOKUP(A118,[1]PRIORIZADOS!$A:$R,18,FALSE)),"")</f>
        <v xml:space="preserve">No tiene conformado su Gobierno Escolar y no se evidencia su operatividad en la vigencia anterior </v>
      </c>
      <c r="S118" s="11" t="str">
        <f>IFERROR(IF(VLOOKUP(A118,[1]PRIORIZADOS!$A:$S,19,FALSE)="","",VLOOKUP(A118,[1]PRIORIZADOS!$A:$S,19,FALSE)),"")</f>
        <v xml:space="preserve">Se recomienda abrir los espacios y garantizar el esgablecimiento de los organos de participación del Gobierno Escolar y los Mecanismos de Participación y documentarlos. Fecha: (01.04.2025)
</v>
      </c>
      <c r="T118" s="70" t="str">
        <f>IFERROR(IF(VLOOKUP(A118,[1]PRIORIZADOS!$A:$T,20,FALSE)="","",VLOOKUP(A118,[1]PRIORIZADOS!$A:$T,20,FALSE)),"")</f>
        <v>Si</v>
      </c>
      <c r="U118" s="11" t="str">
        <f>IFERROR(IF(VLOOKUP(A118,[1]PRIORIZADOS!$A:$U,21,FALSE)="","",VLOOKUP(A118,[1]PRIORIZADOS!$A:$U,21,FALSE)),"")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19" spans="1:21" s="1" customFormat="1" ht="96">
      <c r="A119" s="69">
        <f>IF([1]PRIORIZADOS!A120="","",[1]PRIORIZADOS!A120)</f>
        <v>121</v>
      </c>
      <c r="B119" s="87">
        <v>14</v>
      </c>
      <c r="C119" s="11" t="str">
        <f>IFERROR(IF(VLOOKUP(A119,[1]PRIORIZADOS!$A:$C,3,FALSE)="","",VLOOKUP(A119,[1]PRIORIZADOS!$A:$C,3,FALSE)),"")</f>
        <v>ANTONIO NARIÑO</v>
      </c>
      <c r="D119" s="69" t="str">
        <f>IFERROR(IF(VLOOKUP(A119,[1]PRIORIZADOS!$A:$D,4,FALSE)="","",VLOOKUP(A119,[1]PRIORIZADOS!$A:$D,4,FALSE)),"")</f>
        <v>PRIVADO</v>
      </c>
      <c r="E119" s="69" t="str">
        <f>IFERROR(IF(VLOOKUP(A119,[1]PRIORIZADOS!$A:$E,5,FALSE)="","",VLOOKUP(A119,[1]PRIORIZADOS!$A:$E,5,FALSE)),"")</f>
        <v>Educación Inicial</v>
      </c>
      <c r="F119" s="11" t="str">
        <f>IFERROR(IF(VLOOKUP(A119,[1]PRIORIZADOS!$A:$F,6,FALSE)="","",VLOOKUP(A119,[1]PRIORIZADOS!$A:$F,6,FALSE)),"")</f>
        <v>COLEGIO_INTEGRAL_SAN_JORGE_CENTRAL</v>
      </c>
      <c r="G119" s="69" t="str">
        <f>IFERROR(IF(VLOOKUP(A119,[1]PRIORIZADOS!$A:$G,7,FALSE)="","",VLOOKUP(A119,[1]PRIORIZADOS!$A:$G,7,FALSE)),"")</f>
        <v>COLEGIO INTEGRAL SAN JORGE CENTRAL</v>
      </c>
      <c r="H119" s="11" t="str">
        <f>IFERROR(IF(VLOOKUP(A119,[1]PRIORIZADOS!$A:$H,8,FALSE)="","",VLOOKUP(A119,[1]PRIORIZADOS!$A:$H,8,FALSE)),"")</f>
        <v>Autoevaluación Institucional y Pruebas SABER 11</v>
      </c>
      <c r="I119" s="11" t="str">
        <f>IFERROR(IF(VLOOKUP(A119,[1]PRIORIZADOS!$A:$I,9,FALSE)="","",VLOOKUP(A119,[1]PRIORIZADOS!$A:$I,9,FALSE)),"")</f>
        <v>EVALUACIÓN_CON_FINES_DE_MEJORAMIENTO.</v>
      </c>
      <c r="J119" s="11" t="str">
        <f>IFERROR(IF(VLOOKUP(A119,[1]PRIORIZADOS!$A:$J,10,FALSE)="","",VLOOKUP(A119,[1]PRIORIZADOS!$A:$J,10,FALSE)),"")</f>
        <v>Verificar las condiciones en cuanto a: la estructura administrativa, condiciones de la planta física y medios educativos adecuados.</v>
      </c>
      <c r="K119" s="11" t="str">
        <f>IFERROR(IF(VLOOKUP(A119,[1]PRIORIZADOS!$A:$K,11,FALSE)="","",VLOOKUP(A119,[1]PRIORIZADOS!$A:$K,11,FALSE)),"")</f>
        <v>JOHN JAIRO BOBADILLA BERMEO</v>
      </c>
      <c r="L119" s="11" t="str">
        <f>IFERROR(IF(VLOOKUP(A119,[1]PRIORIZADOS!$A:$L,12,FALSE)="","",VLOOKUP(A119,[1]PRIORIZADOS!$A:$L,12,FALSE)),"")</f>
        <v>ORLANDO SUÁREZ SOTO
JOSÉ RODRIGO QUILAGUY BERNAL
JOHN JAIRO BOBADILLA BERMEO</v>
      </c>
      <c r="M119" s="88">
        <f>IFERROR(IF(VLOOKUP(A119,[1]PRIORIZADOS!$A:$M,13,FALSE)="","",VLOOKUP(A119,[1]PRIORIZADOS!$A:$M,13,FALSE)),"")</f>
        <v>45727</v>
      </c>
      <c r="N119" s="88">
        <f>IFERROR(IF(VLOOKUP(A119,[1]PRIORIZADOS!$A:$N,14,FALSE)="","",VLOOKUP(A119,[1]PRIORIZADOS!$A:$N,14,FALSE)),"")</f>
        <v>45727</v>
      </c>
      <c r="O119" s="88">
        <f>IFERROR(IF(VLOOKUP(A119,[1]PRIORIZADOS!$A:$O,15,FALSE)="","",VLOOKUP(A119,[1]PRIORIZADOS!$A:$O,15,FALSE)),"")</f>
        <v>45727</v>
      </c>
      <c r="P119" s="16" t="str">
        <f>IFERROR(IF(VLOOKUP(A119,[1]PRIORIZADOS!$A:$P,16,FALSE)="","",VLOOKUP(A119,[1]PRIORIZADOS!$A:$P,16,FALSE)),"")</f>
        <v>Visitas de evaluación con fines de mejoramiento</v>
      </c>
      <c r="Q119" s="89" t="s">
        <v>39</v>
      </c>
      <c r="R119" s="90" t="str">
        <f>IFERROR(IF(VLOOKUP(A119,[1]PRIORIZADOS!$A:$R,18,FALSE)="","",VLOOKUP(A119,[1]PRIORIZADOS!$A:$R,18,FALSE)),"")</f>
        <v xml:space="preserve">La estructura administrativa básica, las condiciones de la planta física y los recursos educativos son suficientes para la prestación del servicio educativo, sin embargo,  no son incluyentes, cómodos  ni adecuados para la atención a la primera infancia. </v>
      </c>
      <c r="S119" s="11" t="str">
        <f>IFERROR(IF(VLOOKUP(A119,[1]PRIORIZADOS!$A:$S,19,FALSE)="","",VLOOKUP(A119,[1]PRIORIZADOS!$A:$S,19,FALSE)),"")</f>
        <v xml:space="preserve">La IE realizará mejoras del área administrativa y la planta física de la IE,  garantizando que estas sean mas comodas y confortables para la prestación del servicio educativo, demostrables dentro de lo proyectado en el PMI
</v>
      </c>
      <c r="T119" s="70" t="str">
        <f>IFERROR(IF(VLOOKUP(A119,[1]PRIORIZADOS!$A:$T,20,FALSE)="","",VLOOKUP(A119,[1]PRIORIZADOS!$A:$T,20,FALSE)),"")</f>
        <v>Si</v>
      </c>
      <c r="U119" s="11" t="str">
        <f>IFERROR(IF(VLOOKUP(A119,[1]PRIORIZADOS!$A:$U,21,FALSE)="","",VLOOKUP(A119,[1]PRIORIZADOS!$A:$U,21,FALSE)),"")</f>
        <v>Se hará revisión y seguimiento al plan de mejoramiento que  presentará el establecimiento educativo, a partir de  (01.08.2025)
Se realiza seguimiento del PMI, se realizan observaciones y retroalimentación frente a la documentación presentada, conforme a lo orientado. (22/09/2025) Ver Carpeta POAIV - TRIM III</v>
      </c>
    </row>
    <row r="120" spans="1:21" s="1" customFormat="1" ht="96">
      <c r="A120" s="69">
        <f>IF([1]PRIORIZADOS!A121="","",[1]PRIORIZADOS!A121)</f>
        <v>122</v>
      </c>
      <c r="B120" s="87">
        <f>IFERROR(IF(VLOOKUP(A120,[1]PRIORIZADOS!$A:$B,2,FALSE)="","",VLOOKUP(A120,[1]PRIORIZADOS!$A:$B,2,FALSE)),"")</f>
        <v>15</v>
      </c>
      <c r="C120" s="11" t="str">
        <f>IFERROR(IF(VLOOKUP(A120,[1]PRIORIZADOS!$A:$C,3,FALSE)="","",VLOOKUP(A120,[1]PRIORIZADOS!$A:$C,3,FALSE)),"")</f>
        <v>ANTONIO NARIÑO</v>
      </c>
      <c r="D120" s="69" t="str">
        <f>IFERROR(IF(VLOOKUP(A120,[1]PRIORIZADOS!$A:$D,4,FALSE)="","",VLOOKUP(A120,[1]PRIORIZADOS!$A:$D,4,FALSE)),"")</f>
        <v>PRIVADO_IETDH</v>
      </c>
      <c r="E120" s="69" t="str">
        <f>IFERROR(IF(VLOOKUP(A120,[1]PRIORIZADOS!$A:$E,5,FALSE)="","",VLOOKUP(A120,[1]PRIORIZADOS!$A:$E,5,FALSE)),"")</f>
        <v>IETDH</v>
      </c>
      <c r="F120" s="11" t="str">
        <f>IFERROR(IF(VLOOKUP(A120,[1]PRIORIZADOS!$A:$F,6,FALSE)="","",VLOOKUP(A120,[1]PRIORIZADOS!$A:$F,6,FALSE)),"")</f>
        <v>CENTRO_DE_CONTABILIDAD_Y_SISTEMAS_CENCOSISTEMAS_</v>
      </c>
      <c r="G120" s="69" t="str">
        <f>IFERROR(IF(VLOOKUP(A120,[1]PRIORIZADOS!$A:$G,7,FALSE)="","",VLOOKUP(A120,[1]PRIORIZADOS!$A:$G,7,FALSE)),"")</f>
        <v xml:space="preserve">CENTRO DE CONTABILIDAD Y SISTEMAS "CENCOSISTEMAS" </v>
      </c>
      <c r="H120" s="11" t="str">
        <f>IFERROR(IF(VLOOKUP(A120,[1]PRIORIZADOS!$A:$H,8,FALSE)="","",VLOOKUP(A120,[1]PRIORIZADOS!$A:$H,8,FALSE)),"")</f>
        <v>IETDH priorizadas por cada ELIV (seguimiento a PMI, que no se hayan visitado en los últimos 3 años)</v>
      </c>
      <c r="I120" s="11" t="str">
        <f>IFERROR(IF(VLOOKUP(A120,[1]PRIORIZADOS!$A:$I,9,FALSE)="","",VLOOKUP(A120,[1]PRIORIZADOS!$A:$I,9,FALSE)),"")</f>
        <v>SEGUIMIENTO_Y_SUPERVISIÓN.</v>
      </c>
      <c r="J120" s="11" t="str">
        <f>IFERROR(IF(VLOOKUP(A120,[1]PRIORIZADOS!$A:$J,10,FALSE)="","",VLOOKUP(A120,[1]PRIORIZADOS!$A:$J,10,FALSE)),"")</f>
        <v>Adelantar visitas para verificar que el desarrollo de los programas de ETDH, esté de acuerdo con lo autorizado y la normatividad vigente, para propender por su pertinencia, legalidad y actualización constante.</v>
      </c>
      <c r="K120" s="11" t="str">
        <f>IFERROR(IF(VLOOKUP(A120,[1]PRIORIZADOS!$A:$K,11,FALSE)="","",VLOOKUP(A120,[1]PRIORIZADOS!$A:$K,11,FALSE)),"")</f>
        <v>ORLANDO SUÁREZ SOTO</v>
      </c>
      <c r="L120" s="11" t="str">
        <f>IFERROR(IF(VLOOKUP(A120,[1]PRIORIZADOS!$A:$L,12,FALSE)="","",VLOOKUP(A120,[1]PRIORIZADOS!$A:$L,12,FALSE)),"")</f>
        <v>ORLANDO SUÁREZ SOTO
JOSÉ RODRIGO QUILAGUY BERNAL
JOHN JAIRO BOBADILLA BERMEO</v>
      </c>
      <c r="M120" s="88">
        <f>IFERROR(IF(VLOOKUP(A120,[1]PRIORIZADOS!$A:$M,13,FALSE)="","",VLOOKUP(A120,[1]PRIORIZADOS!$A:$M,13,FALSE)),"")</f>
        <v>45860</v>
      </c>
      <c r="N120" s="88">
        <f>IFERROR(IF(VLOOKUP(A120,[1]PRIORIZADOS!$A:$N,14,FALSE)="","",VLOOKUP(A120,[1]PRIORIZADOS!$A:$N,14,FALSE)),"")</f>
        <v>45790</v>
      </c>
      <c r="O120" s="88">
        <f>IFERROR(IF(VLOOKUP(A120,[1]PRIORIZADOS!$A:$O,15,FALSE)="","",VLOOKUP(A120,[1]PRIORIZADOS!$A:$O,15,FALSE)),"")</f>
        <v>45790</v>
      </c>
      <c r="P120" s="16" t="str">
        <f>IFERROR(IF(VLOOKUP(A120,[1]PRIORIZADOS!$A:$P,16,FALSE)="","",VLOOKUP(A120,[1]PRIORIZADOS!$A:$P,16,FALSE)),"")</f>
        <v>Visitas de evaluación con fines de seguimiento</v>
      </c>
      <c r="Q120" s="91" t="s">
        <v>40</v>
      </c>
      <c r="R120" s="90" t="str">
        <f>IFERROR(IF(VLOOKUP(A120,[1]PRIORIZADOS!$A:$R,18,FALSE)="","",VLOOKUP(A120,[1]PRIORIZADOS!$A:$R,18,FALSE)),"")</f>
        <v>El EE cuenta con un diseño curricular alineado a la normativa vigente. Se identifican convenios activos y cumplimiento de intensidad horaria. Hay registros de autoevaluación y planeación. Sin embargo, se observa que hay programas descritos no autorizados y falta documentación en algunos convenios.</v>
      </c>
      <c r="S120" s="11" t="str">
        <f>IFERROR(IF(VLOOKUP(A120,[1]PRIORIZADOS!$A:$S,19,FALSE)="","",VLOOKUP(A120,[1]PRIORIZADOS!$A:$S,19,FALSE)),"")</f>
        <v>La IE se compromete a la verificación y actualización curricular. Se plantea fortalecer convenios y consolidar la documentación soporte. También se promoverán más reuniones de formación para programas ETDH.</v>
      </c>
      <c r="T120" s="70" t="str">
        <f>IFERROR(IF(VLOOKUP(A120,[1]PRIORIZADOS!$A:$T,20,FALSE)="","",VLOOKUP(A120,[1]PRIORIZADOS!$A:$T,20,FALSE)),"")</f>
        <v>Si</v>
      </c>
      <c r="U120" s="11" t="str">
        <f>IFERROR(IF(VLOOKUP(A120,[1]PRIORIZADOS!$A:$U,21,FALSE)="","",VLOOKUP(A120,[1]PRIORIZADOS!$A:$U,21,FALSE)),"")</f>
        <v>Se realizará seguimiento a través de autoevaluaciones institucionales, revisión documental periódica del PEI y verificación de convenios activos.
Se realiza seguimento del PMI, evidenciandose avance, conforme a lo orientado. (12/09/2025) Ver Carpeta POAIV - TRIM III</v>
      </c>
    </row>
    <row r="121" spans="1:21" s="1" customFormat="1" ht="84">
      <c r="A121" s="69">
        <f>IF([1]PRIORIZADOS!A122="","",[1]PRIORIZADOS!A122)</f>
        <v>123</v>
      </c>
      <c r="B121" s="87">
        <v>15</v>
      </c>
      <c r="C121" s="11" t="str">
        <f>IFERROR(IF(VLOOKUP(A121,[1]PRIORIZADOS!$A:$C,3,FALSE)="","",VLOOKUP(A121,[1]PRIORIZADOS!$A:$C,3,FALSE)),"")</f>
        <v>ANTONIO NARIÑO</v>
      </c>
      <c r="D121" s="69" t="str">
        <f>IFERROR(IF(VLOOKUP(A121,[1]PRIORIZADOS!$A:$D,4,FALSE)="","",VLOOKUP(A121,[1]PRIORIZADOS!$A:$D,4,FALSE)),"")</f>
        <v>PRIVADO_IETDH</v>
      </c>
      <c r="E121" s="69" t="str">
        <f>IFERROR(IF(VLOOKUP(A121,[1]PRIORIZADOS!$A:$E,5,FALSE)="","",VLOOKUP(A121,[1]PRIORIZADOS!$A:$E,5,FALSE)),"")</f>
        <v>IETDH</v>
      </c>
      <c r="F121" s="11" t="str">
        <f>IFERROR(IF(VLOOKUP(A121,[1]PRIORIZADOS!$A:$F,6,FALSE)="","",VLOOKUP(A121,[1]PRIORIZADOS!$A:$F,6,FALSE)),"")</f>
        <v>CENTRO_DE_CONTABILIDAD_Y_SISTEMAS_CENCOSISTEMAS_</v>
      </c>
      <c r="G121" s="69" t="str">
        <f>IFERROR(IF(VLOOKUP(A121,[1]PRIORIZADOS!$A:$G,7,FALSE)="","",VLOOKUP(A121,[1]PRIORIZADOS!$A:$G,7,FALSE)),"")</f>
        <v xml:space="preserve">CENTRO DE CONTABILIDAD Y SISTEMAS "CENCOSISTEMAS" </v>
      </c>
      <c r="H121" s="11" t="str">
        <f>IFERROR(IF(VLOOKUP(A121,[1]PRIORIZADOS!$A:$H,8,FALSE)="","",VLOOKUP(A121,[1]PRIORIZADOS!$A:$H,8,FALSE)),"")</f>
        <v>IETDH priorizadas por cada ELIV (seguimiento a PMI, que no se hayan visitado en los últimos 3 años)</v>
      </c>
      <c r="I121" s="11" t="str">
        <f>IFERROR(IF(VLOOKUP(A121,[1]PRIORIZADOS!$A:$I,9,FALSE)="","",VLOOKUP(A121,[1]PRIORIZADOS!$A:$I,9,FALSE)),"")</f>
        <v>SEGUIMIENTO_Y_SUPERVISIÓN.</v>
      </c>
      <c r="J121" s="11" t="str">
        <f>IFERROR(IF(VLOOKUP(A121,[1]PRIORIZADOS!$A:$J,10,FALSE)="","",VLOOKUP(A121,[1]PRIORIZADOS!$A:$J,10,FALSE)),"")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21" s="11" t="str">
        <f>IFERROR(IF(VLOOKUP(A121,[1]PRIORIZADOS!$A:$K,11,FALSE)="","",VLOOKUP(A121,[1]PRIORIZADOS!$A:$K,11,FALSE)),"")</f>
        <v>ORLANDO SUÁREZ SOTO</v>
      </c>
      <c r="L121" s="11" t="str">
        <f>IFERROR(IF(VLOOKUP(A121,[1]PRIORIZADOS!$A:$L,12,FALSE)="","",VLOOKUP(A121,[1]PRIORIZADOS!$A:$L,12,FALSE)),"")</f>
        <v>ORLANDO SUÁREZ SOTO
JOSÉ RODRIGO QUILAGUY BERNAL
JOHN JAIRO BOBADILLA BERMEO</v>
      </c>
      <c r="M121" s="88">
        <f>IFERROR(IF(VLOOKUP(A121,[1]PRIORIZADOS!$A:$M,13,FALSE)="","",VLOOKUP(A121,[1]PRIORIZADOS!$A:$M,13,FALSE)),"")</f>
        <v>45860</v>
      </c>
      <c r="N121" s="88">
        <f>IFERROR(IF(VLOOKUP(A121,[1]PRIORIZADOS!$A:$N,14,FALSE)="","",VLOOKUP(A121,[1]PRIORIZADOS!$A:$N,14,FALSE)),"")</f>
        <v>45790</v>
      </c>
      <c r="O121" s="88">
        <f>IFERROR(IF(VLOOKUP(A121,[1]PRIORIZADOS!$A:$O,15,FALSE)="","",VLOOKUP(A121,[1]PRIORIZADOS!$A:$O,15,FALSE)),"")</f>
        <v>45790</v>
      </c>
      <c r="P121" s="16" t="str">
        <f>IFERROR(IF(VLOOKUP(A121,[1]PRIORIZADOS!$A:$P,16,FALSE)="","",VLOOKUP(A121,[1]PRIORIZADOS!$A:$P,16,FALSE)),"")</f>
        <v>Visitas de evaluación con fines de seguimiento</v>
      </c>
      <c r="Q121" s="91" t="s">
        <v>40</v>
      </c>
      <c r="R121" s="90" t="str">
        <f>IFERROR(IF(VLOOKUP(A121,[1]PRIORIZADOS!$A:$R,18,FALSE)="","",VLOOKUP(A121,[1]PRIORIZADOS!$A:$R,18,FALSE)),"")</f>
        <v xml:space="preserve">La IE cuenta con procedimientos documentados para ingreso y seguimiento de matrícula. Se evidencian registros en el Manual de Convivencia. Los costos de matrícula están consignados en los contratos. El ajuste anual se basa en el índice de inflación. </v>
      </c>
      <c r="S121" s="11" t="str">
        <f>IFERROR(IF(VLOOKUP(A121,[1]PRIORIZADOS!$A:$S,19,FALSE)="","",VLOOKUP(A121,[1]PRIORIZADOS!$A:$S,19,FALSE)),"")</f>
        <v>La IE fortalecerá el control de novedades de matrícula y certificados emitidos. Asimismo, actualizará el contrato de matrícula para dejar constancia clara de estos criterios.</v>
      </c>
      <c r="T121" s="70" t="str">
        <f>IFERROR(IF(VLOOKUP(A121,[1]PRIORIZADOS!$A:$T,20,FALSE)="","",VLOOKUP(A121,[1]PRIORIZADOS!$A:$T,20,FALSE)),"")</f>
        <v>No</v>
      </c>
      <c r="U121" s="11" t="str">
        <f>IFERROR(IF(VLOOKUP(A121,[1]PRIORIZADOS!$A:$U,21,FALSE)="","",VLOOKUP(A121,[1]PRIORIZADOS!$A:$U,21,FALSE)),"")</f>
        <v>Verificar nuevamente en caso de requerirse.</v>
      </c>
    </row>
    <row r="122" spans="1:21" s="1" customFormat="1" ht="107.25">
      <c r="A122" s="69">
        <f>IF([1]PRIORIZADOS!A123="","",[1]PRIORIZADOS!A123)</f>
        <v>124</v>
      </c>
      <c r="B122" s="87">
        <f>IFERROR(IF(VLOOKUP(A122,[1]PRIORIZADOS!$A:$B,2,FALSE)="","",VLOOKUP(A122,[1]PRIORIZADOS!$A:$B,2,FALSE)),"")</f>
        <v>16</v>
      </c>
      <c r="C122" s="11" t="str">
        <f>IFERROR(IF(VLOOKUP(A122,[1]PRIORIZADOS!$A:$C,3,FALSE)="","",VLOOKUP(A122,[1]PRIORIZADOS!$A:$C,3,FALSE)),"")</f>
        <v>ANTONIO NARIÑO</v>
      </c>
      <c r="D122" s="69" t="str">
        <f>IFERROR(IF(VLOOKUP(A122,[1]PRIORIZADOS!$A:$D,4,FALSE)="","",VLOOKUP(A122,[1]PRIORIZADOS!$A:$D,4,FALSE)),"")</f>
        <v>PRIVADO_IETDH</v>
      </c>
      <c r="E122" s="69" t="str">
        <f>IFERROR(IF(VLOOKUP(A122,[1]PRIORIZADOS!$A:$E,5,FALSE)="","",VLOOKUP(A122,[1]PRIORIZADOS!$A:$E,5,FALSE)),"")</f>
        <v>IETDH</v>
      </c>
      <c r="F122" s="11" t="str">
        <f>IFERROR(IF(VLOOKUP(A122,[1]PRIORIZADOS!$A:$F,6,FALSE)="","",VLOOKUP(A122,[1]PRIORIZADOS!$A:$F,6,FALSE)),"")</f>
        <v>CENTRO_DE_ENSEÑANZA_AUTOMOVILISTICA_PORSCHE</v>
      </c>
      <c r="G122" s="69" t="str">
        <f>IFERROR(IF(VLOOKUP(A122,[1]PRIORIZADOS!$A:$G,7,FALSE)="","",VLOOKUP(A122,[1]PRIORIZADOS!$A:$G,7,FALSE)),"")</f>
        <v>CENTRO DE ENSEÑANZA AUTOMOVILISTICA PORSCHE</v>
      </c>
      <c r="H122" s="11" t="str">
        <f>IFERROR(IF(VLOOKUP(A122,[1]PRIORIZADOS!$A:$H,8,FALSE)="","",VLOOKUP(A122,[1]PRIORIZADOS!$A:$H,8,FALSE)),"")</f>
        <v>IETDH priorizadas por cada ELIV (seguimiento a PMI, que no se hayan visitado en los últimos 3 años)</v>
      </c>
      <c r="I122" s="11" t="str">
        <f>IFERROR(IF(VLOOKUP(A122,[1]PRIORIZADOS!$A:$I,9,FALSE)="","",VLOOKUP(A122,[1]PRIORIZADOS!$A:$I,9,FALSE)),"")</f>
        <v>SEGUIMIENTO_Y_SUPERVISIÓN.</v>
      </c>
      <c r="J122" s="11" t="str">
        <f>IFERROR(IF(VLOOKUP(A122,[1]PRIORIZADOS!$A:$J,10,FALSE)="","",VLOOKUP(A122,[1]PRIORIZADOS!$A:$J,10,FALSE)),"")</f>
        <v>Adelantar visitas para verificar que el desarrollo de los programas de ETDH, esté de acuerdo con lo autorizado y la normatividad vigente, para propender por su pertinencia, legalidad y actualización constante.</v>
      </c>
      <c r="K122" s="11" t="str">
        <f>IFERROR(IF(VLOOKUP(A122,[1]PRIORIZADOS!$A:$K,11,FALSE)="","",VLOOKUP(A122,[1]PRIORIZADOS!$A:$K,11,FALSE)),"")</f>
        <v>ORLANDO SUÁREZ SOTO</v>
      </c>
      <c r="L122" s="11" t="str">
        <f>IFERROR(IF(VLOOKUP(A122,[1]PRIORIZADOS!$A:$L,12,FALSE)="","",VLOOKUP(A122,[1]PRIORIZADOS!$A:$L,12,FALSE)),"")</f>
        <v>JOSÉ RODRIGO QUILAGUY BERNAL</v>
      </c>
      <c r="M122" s="88">
        <f>IFERROR(IF(VLOOKUP(A122,[1]PRIORIZADOS!$A:$M,13,FALSE)="","",VLOOKUP(A122,[1]PRIORIZADOS!$A:$M,13,FALSE)),"")</f>
        <v>45953</v>
      </c>
      <c r="N122" s="88">
        <f>IFERROR(IF(VLOOKUP(A122,[1]PRIORIZADOS!$A:$N,14,FALSE)="","",VLOOKUP(A122,[1]PRIORIZADOS!$A:$N,14,FALSE)),"")</f>
        <v>45819</v>
      </c>
      <c r="O122" s="88">
        <f>IFERROR(IF(VLOOKUP(A122,[1]PRIORIZADOS!$A:$O,15,FALSE)="","",VLOOKUP(A122,[1]PRIORIZADOS!$A:$O,15,FALSE)),"")</f>
        <v>45819</v>
      </c>
      <c r="P122" s="16" t="str">
        <f>IFERROR(IF(VLOOKUP(A122,[1]PRIORIZADOS!$A:$P,16,FALSE)="","",VLOOKUP(A122,[1]PRIORIZADOS!$A:$P,16,FALSE)),"")</f>
        <v>Visitas de evaluación con fines de seguimiento</v>
      </c>
      <c r="Q122" s="91" t="s">
        <v>41</v>
      </c>
      <c r="R122" s="90" t="str">
        <f>IFERROR(IF(VLOOKUP(A122,[1]PRIORIZADOS!$A:$R,18,FALSE)="","",VLOOKUP(A122,[1]PRIORIZADOS!$A:$R,18,FALSE)),"")</f>
        <v>La institución no reportó tarifas a la Dirección Local y la verificación fue solo en sitio, sin soporte documental. No hay evidencia de jornadas pedagógicas ni autoevaluación formal. La infraestructura del PEI no refleja mejoras y las socializaciones son limitadas. Aspectos normativos y actualización de programas no se evidencian en la práctica.</v>
      </c>
      <c r="S122" s="11" t="str">
        <f>IFERROR(IF(VLOOKUP(A122,[1]PRIORIZADOS!$A:$S,19,FALSE)="","",VLOOKUP(A122,[1]PRIORIZADOS!$A:$S,19,FALSE)),"")</f>
        <v>La institución se compromete a reportar tarifas oportunamente, documentar jornadas pedagógicas y formalizar procesos de autoevaluación. Implementará mejoras en infraestructura basadas en evaluaciones, socializará resultados de manera participativa y priorizará la actualización continua de programas.</v>
      </c>
      <c r="T122" s="70" t="str">
        <f>IFERROR(IF(VLOOKUP(A122,[1]PRIORIZADOS!$A:$T,20,FALSE)="","",VLOOKUP(A122,[1]PRIORIZADOS!$A:$T,20,FALSE)),"")</f>
        <v>Si</v>
      </c>
      <c r="U122" s="11" t="str">
        <f>IFERROR(IF(VLOOKUP(A122,[1]PRIORIZADOS!$A:$U,21,FALSE)="","",VLOOKUP(A122,[1]PRIORIZADOS!$A:$U,21,FALSE)),"")</f>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(07/10/2025) Ver Carpeta POAIV - TRIM III</v>
      </c>
    </row>
    <row r="123" spans="1:21" s="1" customFormat="1" ht="130.5">
      <c r="A123" s="69">
        <f>IF([1]PRIORIZADOS!A124="","",[1]PRIORIZADOS!A124)</f>
        <v>125</v>
      </c>
      <c r="B123" s="87">
        <v>16</v>
      </c>
      <c r="C123" s="11" t="str">
        <f>IFERROR(IF(VLOOKUP(A123,[1]PRIORIZADOS!$A:$C,3,FALSE)="","",VLOOKUP(A123,[1]PRIORIZADOS!$A:$C,3,FALSE)),"")</f>
        <v>ANTONIO NARIÑO</v>
      </c>
      <c r="D123" s="69" t="str">
        <f>IFERROR(IF(VLOOKUP(A123,[1]PRIORIZADOS!$A:$D,4,FALSE)="","",VLOOKUP(A123,[1]PRIORIZADOS!$A:$D,4,FALSE)),"")</f>
        <v>PRIVADO_IETDH</v>
      </c>
      <c r="E123" s="69" t="str">
        <f>IFERROR(IF(VLOOKUP(A123,[1]PRIORIZADOS!$A:$E,5,FALSE)="","",VLOOKUP(A123,[1]PRIORIZADOS!$A:$E,5,FALSE)),"")</f>
        <v>IETDH</v>
      </c>
      <c r="F123" s="11" t="str">
        <f>IFERROR(IF(VLOOKUP(A123,[1]PRIORIZADOS!$A:$F,6,FALSE)="","",VLOOKUP(A123,[1]PRIORIZADOS!$A:$F,6,FALSE)),"")</f>
        <v>CENTRO_DE_ENSEÑANZA_AUTOMOVILISTICA_PORSCHE</v>
      </c>
      <c r="G123" s="69" t="str">
        <f>IFERROR(IF(VLOOKUP(A123,[1]PRIORIZADOS!$A:$G,7,FALSE)="","",VLOOKUP(A123,[1]PRIORIZADOS!$A:$G,7,FALSE)),"")</f>
        <v>CENTRO DE ENSEÑANZA AUTOMOVILISTICA PORSCHE</v>
      </c>
      <c r="H123" s="11" t="str">
        <f>IFERROR(IF(VLOOKUP(A123,[1]PRIORIZADOS!$A:$H,8,FALSE)="","",VLOOKUP(A123,[1]PRIORIZADOS!$A:$H,8,FALSE)),"")</f>
        <v>IETDH priorizadas por cada ELIV (seguimiento a PMI, que no se hayan visitado en los últimos 3 años)</v>
      </c>
      <c r="I123" s="11" t="str">
        <f>IFERROR(IF(VLOOKUP(A123,[1]PRIORIZADOS!$A:$I,9,FALSE)="","",VLOOKUP(A123,[1]PRIORIZADOS!$A:$I,9,FALSE)),"")</f>
        <v>SEGUIMIENTO_Y_SUPERVISIÓN.</v>
      </c>
      <c r="J123" s="11" t="str">
        <f>IFERROR(IF(VLOOKUP(A123,[1]PRIORIZADOS!$A:$J,10,FALSE)="","",VLOOKUP(A123,[1]PRIORIZADOS!$A:$J,10,FALSE)),"")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23" s="11" t="str">
        <f>IFERROR(IF(VLOOKUP(A123,[1]PRIORIZADOS!$A:$K,11,FALSE)="","",VLOOKUP(A123,[1]PRIORIZADOS!$A:$K,11,FALSE)),"")</f>
        <v>ORLANDO SUÁREZ SOTO</v>
      </c>
      <c r="L123" s="11" t="str">
        <f>IFERROR(IF(VLOOKUP(A123,[1]PRIORIZADOS!$A:$L,12,FALSE)="","",VLOOKUP(A123,[1]PRIORIZADOS!$A:$L,12,FALSE)),"")</f>
        <v>JOSÉ RODRIGO QUILAGUY BERNAL</v>
      </c>
      <c r="M123" s="88">
        <f>IFERROR(IF(VLOOKUP(A123,[1]PRIORIZADOS!$A:$M,13,FALSE)="","",VLOOKUP(A123,[1]PRIORIZADOS!$A:$M,13,FALSE)),"")</f>
        <v>45953</v>
      </c>
      <c r="N123" s="88">
        <f>IFERROR(IF(VLOOKUP(A123,[1]PRIORIZADOS!$A:$N,14,FALSE)="","",VLOOKUP(A123,[1]PRIORIZADOS!$A:$N,14,FALSE)),"")</f>
        <v>45819</v>
      </c>
      <c r="O123" s="88">
        <f>IFERROR(IF(VLOOKUP(A123,[1]PRIORIZADOS!$A:$O,15,FALSE)="","",VLOOKUP(A123,[1]PRIORIZADOS!$A:$O,15,FALSE)),"")</f>
        <v>45819</v>
      </c>
      <c r="P123" s="16" t="str">
        <f>IFERROR(IF(VLOOKUP(A123,[1]PRIORIZADOS!$A:$P,16,FALSE)="","",VLOOKUP(A123,[1]PRIORIZADOS!$A:$P,16,FALSE)),"")</f>
        <v>Visitas de evaluación con fines de seguimiento</v>
      </c>
      <c r="Q123" s="91" t="s">
        <v>41</v>
      </c>
      <c r="R123" s="90" t="str">
        <f>IFERROR(IF(VLOOKUP(A123,[1]PRIORIZADOS!$A:$R,18,FALSE)="","",VLOOKUP(A123,[1]PRIORIZADOS!$A:$R,18,FALSE)),"")</f>
        <v>La institución no presenta evidencia suficiente sobre el registro actualizado de matrículas, certificados y costos de programas. Los contratos no reflejan claramente las variaciones ni ajustes por inflación, y la información interna carece de respaldo documental. No se evidencia control formal ni seguimiento de costos conforme a la normativa, lo que afecta la trazabilidad y transparencia de los registros.</v>
      </c>
      <c r="S123" s="11" t="str">
        <f>IFERROR(IF(VLOOKUP(A123,[1]PRIORIZADOS!$A:$S,19,FALSE)="","",VLOOKUP(A123,[1]PRIORIZADOS!$A:$S,19,FALSE)),"")</f>
        <v>La institución se compromete a actualizar y documentar oportunamente los registros de matrícula, certificados y novedades, conforme a la normativa vigente. Se acordó incluir en los contratos los ajustes anuales de costos según el índice de inflación, e implementar controles estandarizados que aseguren trazabilidad y cumplimiento legal.</v>
      </c>
      <c r="T123" s="70" t="str">
        <f>IFERROR(IF(VLOOKUP(A123,[1]PRIORIZADOS!$A:$T,20,FALSE)="","",VLOOKUP(A123,[1]PRIORIZADOS!$A:$T,20,FALSE)),"")</f>
        <v>Si</v>
      </c>
      <c r="U123" s="11" t="str">
        <f>IFERROR(IF(VLOOKUP(A123,[1]PRIORIZADOS!$A:$U,21,FALSE)="","",VLOOKUP(A123,[1]PRIORIZADOS!$A:$U,21,FALSE)),"")</f>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(07/10/2025) Ver Carpeta POAIV - TRIM III</v>
      </c>
    </row>
    <row r="124" spans="1:21" s="1" customFormat="1" ht="72">
      <c r="A124" s="69">
        <f>IF([1]PRIORIZADOS!A125="","",[1]PRIORIZADOS!A125)</f>
        <v>126</v>
      </c>
      <c r="B124" s="87">
        <f>IFERROR(IF(VLOOKUP(A124,[1]PRIORIZADOS!$A:$B,2,FALSE)="","",VLOOKUP(A124,[1]PRIORIZADOS!$A:$B,2,FALSE)),"")</f>
        <v>17</v>
      </c>
      <c r="C124" s="11" t="str">
        <f>IFERROR(IF(VLOOKUP(A124,[1]PRIORIZADOS!$A:$C,3,FALSE)="","",VLOOKUP(A124,[1]PRIORIZADOS!$A:$C,3,FALSE)),"")</f>
        <v>ANTONIO NARIÑO</v>
      </c>
      <c r="D124" s="69" t="str">
        <f>IFERROR(IF(VLOOKUP(A124,[1]PRIORIZADOS!$A:$D,4,FALSE)="","",VLOOKUP(A124,[1]PRIORIZADOS!$A:$D,4,FALSE)),"")</f>
        <v>PRIVADO_IETDH</v>
      </c>
      <c r="E124" s="69" t="str">
        <f>IFERROR(IF(VLOOKUP(A124,[1]PRIORIZADOS!$A:$E,5,FALSE)="","",VLOOKUP(A124,[1]PRIORIZADOS!$A:$E,5,FALSE)),"")</f>
        <v>IETDH</v>
      </c>
      <c r="F124" s="11" t="str">
        <f>IFERROR(IF(VLOOKUP(A124,[1]PRIORIZADOS!$A:$F,6,FALSE)="","",VLOOKUP(A124,[1]PRIORIZADOS!$A:$F,6,FALSE)),"")</f>
        <v>CENTRO_DE_ENSEÑANZA_AUTOMOVILÍSTICA_CEA_LA_GRAN_VÍA</v>
      </c>
      <c r="G124" s="69" t="str">
        <f>IFERROR(IF(VLOOKUP(A124,[1]PRIORIZADOS!$A:$G,7,FALSE)="","",VLOOKUP(A124,[1]PRIORIZADOS!$A:$G,7,FALSE)),"")</f>
        <v>CENTRO DE ENSEÑANZA AUTOMOVILÍSTICA "CEA LA GRAN VÍA"</v>
      </c>
      <c r="H124" s="11" t="str">
        <f>IFERROR(IF(VLOOKUP(A124,[1]PRIORIZADOS!$A:$H,8,FALSE)="","",VLOOKUP(A124,[1]PRIORIZADOS!$A:$H,8,FALSE)),"")</f>
        <v>IETDH priorizadas por cada ELIV (seguimiento a PMI, que no se hayan visitado en los últimos 3 años)</v>
      </c>
      <c r="I124" s="11" t="str">
        <f>IFERROR(IF(VLOOKUP(A124,[1]PRIORIZADOS!$A:$I,9,FALSE)="","",VLOOKUP(A124,[1]PRIORIZADOS!$A:$I,9,FALSE)),"")</f>
        <v>SEGUIMIENTO_Y_SUPERVISIÓN.</v>
      </c>
      <c r="J124" s="11" t="str">
        <f>IFERROR(IF(VLOOKUP(A124,[1]PRIORIZADOS!$A:$J,10,FALSE)="","",VLOOKUP(A124,[1]PRIORIZADOS!$A:$J,10,FALSE)),"")</f>
        <v>Adelantar visitas para verificar que el desarrollo de los programas de ETDH, esté de acuerdo con lo autorizado y la normatividad vigente, para propender por su pertinencia, legalidad y actualización constante.</v>
      </c>
      <c r="K124" s="11" t="str">
        <f>IFERROR(IF(VLOOKUP(A124,[1]PRIORIZADOS!$A:$K,11,FALSE)="","",VLOOKUP(A124,[1]PRIORIZADOS!$A:$K,11,FALSE)),"")</f>
        <v>JOSÉ RODRIGO QUILAGUY BERNAL</v>
      </c>
      <c r="L124" s="11" t="str">
        <f>IFERROR(IF(VLOOKUP(A124,[1]PRIORIZADOS!$A:$L,12,FALSE)="","",VLOOKUP(A124,[1]PRIORIZADOS!$A:$L,12,FALSE)),"")</f>
        <v>ORLANDO SUÁREZ SOTO</v>
      </c>
      <c r="M124" s="88">
        <f>IFERROR(IF(VLOOKUP(A124,[1]PRIORIZADOS!$A:$M,13,FALSE)="","",VLOOKUP(A124,[1]PRIORIZADOS!$A:$M,13,FALSE)),"")</f>
        <v>45944</v>
      </c>
      <c r="N124" s="88">
        <f>IFERROR(IF(VLOOKUP(A124,[1]PRIORIZADOS!$A:$N,14,FALSE)="","",VLOOKUP(A124,[1]PRIORIZADOS!$A:$N,14,FALSE)),"")</f>
        <v>45819</v>
      </c>
      <c r="O124" s="88">
        <f>IFERROR(IF(VLOOKUP(A124,[1]PRIORIZADOS!$A:$O,15,FALSE)="","",VLOOKUP(A124,[1]PRIORIZADOS!$A:$O,15,FALSE)),"")</f>
        <v>45819</v>
      </c>
      <c r="P124" s="16" t="str">
        <f>IFERROR(IF(VLOOKUP(A124,[1]PRIORIZADOS!$A:$P,16,FALSE)="","",VLOOKUP(A124,[1]PRIORIZADOS!$A:$P,16,FALSE)),"")</f>
        <v>Visitas de evaluación con fines de seguimiento</v>
      </c>
      <c r="Q124" s="115" t="s">
        <v>42</v>
      </c>
      <c r="R124" s="90" t="str">
        <f>IFERROR(IF(VLOOKUP(A124,[1]PRIORIZADOS!$A:$R,18,FALSE)="","",VLOOKUP(A124,[1]PRIORIZADOS!$A:$R,18,FALSE)),"")</f>
        <v>Existe coherencia entre lo autorizado y lo encontrado. Son embargo, falta documentar el Plan de Emergencias y reportarlo en el sistema SURE</v>
      </c>
      <c r="S124" s="11" t="str">
        <f>IFERROR(IF(VLOOKUP(A124,[1]PRIORIZADOS!$A:$S,19,FALSE)="","",VLOOKUP(A124,[1]PRIORIZADOS!$A:$S,19,FALSE)),"")</f>
        <v>La IE se compromete a documentar el Plan de Emergencias y reportarlo en el sistema SURE, para entregarlo como acciones de mejora en su PMI</v>
      </c>
      <c r="T124" s="70" t="str">
        <f>IFERROR(IF(VLOOKUP(A124,[1]PRIORIZADOS!$A:$T,20,FALSE)="","",VLOOKUP(A124,[1]PRIORIZADOS!$A:$T,20,FALSE)),"")</f>
        <v>Si</v>
      </c>
      <c r="U124" s="11" t="str">
        <f>IFERROR(IF(VLOOKUP(A124,[1]PRIORIZADOS!$A:$U,21,FALSE)="","",VLOOKUP(A124,[1]PRIORIZADOS!$A:$U,21,FALSE)),"")</f>
        <v>Se determina que la institución requiere elaborar y aprobar un PMI que subsane las deficiencias detectadas. Se verificará la implementación del PMI y el cumplimiento de los compromisos asumidos por la institución una vez sea presentado 02.07.2025
Se realiza seguimento del PMI, evidenciandose avance, conforme a lo orientado. (18/09/2025) Ver Carpeta POAIV - TRIM III</v>
      </c>
    </row>
    <row r="125" spans="1:21" s="1" customFormat="1" ht="84">
      <c r="A125" s="69">
        <f>IF([1]PRIORIZADOS!A126="","",[1]PRIORIZADOS!A126)</f>
        <v>127</v>
      </c>
      <c r="B125" s="87">
        <v>17</v>
      </c>
      <c r="C125" s="11" t="str">
        <f>IFERROR(IF(VLOOKUP(A125,[1]PRIORIZADOS!$A:$C,3,FALSE)="","",VLOOKUP(A125,[1]PRIORIZADOS!$A:$C,3,FALSE)),"")</f>
        <v>ANTONIO NARIÑO</v>
      </c>
      <c r="D125" s="69" t="str">
        <f>IFERROR(IF(VLOOKUP(A125,[1]PRIORIZADOS!$A:$D,4,FALSE)="","",VLOOKUP(A125,[1]PRIORIZADOS!$A:$D,4,FALSE)),"")</f>
        <v>PRIVADO_IETDH</v>
      </c>
      <c r="E125" s="69" t="str">
        <f>IFERROR(IF(VLOOKUP(A125,[1]PRIORIZADOS!$A:$E,5,FALSE)="","",VLOOKUP(A125,[1]PRIORIZADOS!$A:$E,5,FALSE)),"")</f>
        <v>IETDH</v>
      </c>
      <c r="F125" s="11" t="str">
        <f>IFERROR(IF(VLOOKUP(A125,[1]PRIORIZADOS!$A:$F,6,FALSE)="","",VLOOKUP(A125,[1]PRIORIZADOS!$A:$F,6,FALSE)),"")</f>
        <v>CENTRO_DE_ENSEÑANZA_AUTOMOVILÍSTICA_CEA_LA_GRAN_VÍA</v>
      </c>
      <c r="G125" s="69" t="str">
        <f>IFERROR(IF(VLOOKUP(A125,[1]PRIORIZADOS!$A:$G,7,FALSE)="","",VLOOKUP(A125,[1]PRIORIZADOS!$A:$G,7,FALSE)),"")</f>
        <v>CENTRO DE ENSEÑANZA AUTOMOVILÍSTICA "CEA LA GRAN VÍA"</v>
      </c>
      <c r="H125" s="11" t="str">
        <f>IFERROR(IF(VLOOKUP(A125,[1]PRIORIZADOS!$A:$H,8,FALSE)="","",VLOOKUP(A125,[1]PRIORIZADOS!$A:$H,8,FALSE)),"")</f>
        <v>IETDH priorizadas por cada ELIV (seguimiento a PMI, que no se hayan visitado en los últimos 3 años)</v>
      </c>
      <c r="I125" s="11" t="str">
        <f>IFERROR(IF(VLOOKUP(A125,[1]PRIORIZADOS!$A:$I,9,FALSE)="","",VLOOKUP(A125,[1]PRIORIZADOS!$A:$I,9,FALSE)),"")</f>
        <v>SEGUIMIENTO_Y_SUPERVISIÓN.</v>
      </c>
      <c r="J125" s="11" t="str">
        <f>IFERROR(IF(VLOOKUP(A125,[1]PRIORIZADOS!$A:$J,10,FALSE)="","",VLOOKUP(A125,[1]PRIORIZADOS!$A:$J,10,FALSE)),"")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25" s="11" t="str">
        <f>IFERROR(IF(VLOOKUP(A125,[1]PRIORIZADOS!$A:$K,11,FALSE)="","",VLOOKUP(A125,[1]PRIORIZADOS!$A:$K,11,FALSE)),"")</f>
        <v>JOSÉ RODRIGO QUILAGUY BERNAL</v>
      </c>
      <c r="L125" s="11" t="str">
        <f>IFERROR(IF(VLOOKUP(A125,[1]PRIORIZADOS!$A:$L,12,FALSE)="","",VLOOKUP(A125,[1]PRIORIZADOS!$A:$L,12,FALSE)),"")</f>
        <v>ORLANDO SUÁREZ SOTO</v>
      </c>
      <c r="M125" s="88">
        <f>IFERROR(IF(VLOOKUP(A125,[1]PRIORIZADOS!$A:$M,13,FALSE)="","",VLOOKUP(A125,[1]PRIORIZADOS!$A:$M,13,FALSE)),"")</f>
        <v>45944</v>
      </c>
      <c r="N125" s="88">
        <f>IFERROR(IF(VLOOKUP(A125,[1]PRIORIZADOS!$A:$N,14,FALSE)="","",VLOOKUP(A125,[1]PRIORIZADOS!$A:$N,14,FALSE)),"")</f>
        <v>45819</v>
      </c>
      <c r="O125" s="88">
        <f>IFERROR(IF(VLOOKUP(A125,[1]PRIORIZADOS!$A:$O,15,FALSE)="","",VLOOKUP(A125,[1]PRIORIZADOS!$A:$O,15,FALSE)),"")</f>
        <v>45819</v>
      </c>
      <c r="P125" s="16" t="str">
        <f>IFERROR(IF(VLOOKUP(A125,[1]PRIORIZADOS!$A:$P,16,FALSE)="","",VLOOKUP(A125,[1]PRIORIZADOS!$A:$P,16,FALSE)),"")</f>
        <v>Visitas de evaluación con fines de seguimiento</v>
      </c>
      <c r="Q125" s="115" t="s">
        <v>42</v>
      </c>
      <c r="R125" s="90" t="str">
        <f>IFERROR(IF(VLOOKUP(A125,[1]PRIORIZADOS!$A:$R,18,FALSE)="","",VLOOKUP(A125,[1]PRIORIZADOS!$A:$R,18,FALSE)),"")</f>
        <v>La matrícula y los costos son coherentes con lo regulado por el MinTransporte, ademas se evidencian  publicos y de facíl acceso para los usuarios del CEA.</v>
      </c>
      <c r="S125" s="11" t="str">
        <f>IFERROR(IF(VLOOKUP(A125,[1]PRIORIZADOS!$A:$S,19,FALSE)="","",VLOOKUP(A125,[1]PRIORIZADOS!$A:$S,19,FALSE)),"")</f>
        <v xml:space="preserve">La IE contunuara dando publicidad y reporte de las tarifas educativa, como de la actualizacion normativa de los contratos de matricula </v>
      </c>
      <c r="T125" s="70" t="str">
        <f>IFERROR(IF(VLOOKUP(A125,[1]PRIORIZADOS!$A:$T,20,FALSE)="","",VLOOKUP(A125,[1]PRIORIZADOS!$A:$T,20,FALSE)),"")</f>
        <v>No</v>
      </c>
      <c r="U125" s="11" t="str">
        <f>IFERROR(IF(VLOOKUP(A125,[1]PRIORIZADOS!$A:$U,21,FALSE)="","",VLOOKUP(A125,[1]PRIORIZADOS!$A:$U,21,FALSE)),"")</f>
        <v>Verificar nuevamente en caso de requerirse.</v>
      </c>
    </row>
    <row r="126" spans="1:21" s="1" customFormat="1" ht="130.5">
      <c r="A126" s="69">
        <f>IF([1]PRIORIZADOS!A127="","",[1]PRIORIZADOS!A127)</f>
        <v>128</v>
      </c>
      <c r="B126" s="87">
        <f>IFERROR(IF(VLOOKUP(A126,[1]PRIORIZADOS!$A:$B,2,FALSE)="","",VLOOKUP(A126,[1]PRIORIZADOS!$A:$B,2,FALSE)),"")</f>
        <v>18</v>
      </c>
      <c r="C126" s="11" t="str">
        <f>IFERROR(IF(VLOOKUP(A126,[1]PRIORIZADOS!$A:$C,3,FALSE)="","",VLOOKUP(A126,[1]PRIORIZADOS!$A:$C,3,FALSE)),"")</f>
        <v>ANTONIO NARIÑO</v>
      </c>
      <c r="D126" s="69" t="str">
        <f>IFERROR(IF(VLOOKUP(A126,[1]PRIORIZADOS!$A:$D,4,FALSE)="","",VLOOKUP(A126,[1]PRIORIZADOS!$A:$D,4,FALSE)),"")</f>
        <v>PRIVADO_IETDH</v>
      </c>
      <c r="E126" s="69" t="str">
        <f>IFERROR(IF(VLOOKUP(A126,[1]PRIORIZADOS!$A:$E,5,FALSE)="","",VLOOKUP(A126,[1]PRIORIZADOS!$A:$E,5,FALSE)),"")</f>
        <v>IETDH</v>
      </c>
      <c r="F126" s="11" t="str">
        <f>IFERROR(IF(VLOOKUP(A126,[1]PRIORIZADOS!$A:$F,6,FALSE)="","",VLOOKUP(A126,[1]PRIORIZADOS!$A:$F,6,FALSE)),"")</f>
        <v>CENTRO_DE_IDIOMAS_ULA_RESTREPO</v>
      </c>
      <c r="G126" s="69" t="str">
        <f>IFERROR(IF(VLOOKUP(A126,[1]PRIORIZADOS!$A:$G,7,FALSE)="","",VLOOKUP(A126,[1]PRIORIZADOS!$A:$G,7,FALSE)),"")</f>
        <v>CENTRO DE IDIOMAS ULA RESTREPO</v>
      </c>
      <c r="H126" s="11" t="str">
        <f>IFERROR(IF(VLOOKUP(A126,[1]PRIORIZADOS!$A:$H,8,FALSE)="","",VLOOKUP(A126,[1]PRIORIZADOS!$A:$H,8,FALSE)),"")</f>
        <v>IETDH priorizadas por cada ELIV (seguimiento a PMI, que no se hayan visitado en los últimos 3 años)</v>
      </c>
      <c r="I126" s="11" t="str">
        <f>IFERROR(IF(VLOOKUP(A126,[1]PRIORIZADOS!$A:$I,9,FALSE)="","",VLOOKUP(A126,[1]PRIORIZADOS!$A:$I,9,FALSE)),"")</f>
        <v>SEGUIMIENTO_Y_SUPERVISIÓN.</v>
      </c>
      <c r="J126" s="11" t="str">
        <f>IFERROR(IF(VLOOKUP(A126,[1]PRIORIZADOS!$A:$J,10,FALSE)="","",VLOOKUP(A126,[1]PRIORIZADOS!$A:$J,10,FALSE)),"")</f>
        <v>Adelantar visitas para verificar que el desarrollo de los programas de ETDH, esté de acuerdo con lo autorizado y la normatividad vigente, para propender por su pertinencia, legalidad y actualización constante.</v>
      </c>
      <c r="K126" s="11" t="str">
        <f>IFERROR(IF(VLOOKUP(A126,[1]PRIORIZADOS!$A:$K,11,FALSE)="","",VLOOKUP(A126,[1]PRIORIZADOS!$A:$K,11,FALSE)),"")</f>
        <v>JOSÉ RODRIGO QUILAGUY BERNAL</v>
      </c>
      <c r="L126" s="11" t="str">
        <f>IFERROR(IF(VLOOKUP(A126,[1]PRIORIZADOS!$A:$L,12,FALSE)="","",VLOOKUP(A126,[1]PRIORIZADOS!$A:$L,12,FALSE)),"")</f>
        <v>ORLANDO SUÁREZ SOTO
JOSÉ RODRIGO QUILAGUY BERNAL
JOHN JAIRO BOBADILLA BERMEO</v>
      </c>
      <c r="M126" s="88">
        <f>IFERROR(IF(VLOOKUP(A126,[1]PRIORIZADOS!$A:$M,13,FALSE)="","",VLOOKUP(A126,[1]PRIORIZADOS!$A:$M,13,FALSE)),"")</f>
        <v>45972</v>
      </c>
      <c r="N126" s="88">
        <f>IFERROR(IF(VLOOKUP(A126,[1]PRIORIZADOS!$A:$N,14,FALSE)="","",VLOOKUP(A126,[1]PRIORIZADOS!$A:$N,14,FALSE)),"")</f>
        <v>45786</v>
      </c>
      <c r="O126" s="88">
        <f>IFERROR(IF(VLOOKUP(A126,[1]PRIORIZADOS!$A:$O,15,FALSE)="","",VLOOKUP(A126,[1]PRIORIZADOS!$A:$O,15,FALSE)),"")</f>
        <v>45786</v>
      </c>
      <c r="P126" s="16" t="str">
        <f>IFERROR(IF(VLOOKUP(A126,[1]PRIORIZADOS!$A:$P,16,FALSE)="","",VLOOKUP(A126,[1]PRIORIZADOS!$A:$P,16,FALSE)),"")</f>
        <v>Visitas de evaluación con fines de seguimiento</v>
      </c>
      <c r="Q126" s="116" t="s">
        <v>43</v>
      </c>
      <c r="R126" s="90" t="str">
        <f>IFERROR(IF(VLOOKUP(A126,[1]PRIORIZADOS!$A:$R,18,FALSE)="","",VLOOKUP(A126,[1]PRIORIZADOS!$A:$R,18,FALSE)),"")</f>
        <v>La estructura institucional se basa en un modelo de gestión coherente con el PEI y normativas (NTC 5555, 5580), pero falta una descripción clara del modelo pedagógico y sus enfoques didácticos. La sede Restrepo debe elaborar un PEI y Manual de Convivencia propios para su metodología presencial, evitando incluir otras sedes. Además, se requiere revisar los fundamentos teleológicos del Manual de Convivencia.</v>
      </c>
      <c r="S126" s="11" t="str">
        <f>IFERROR(IF(VLOOKUP(A126,[1]PRIORIZADOS!$A:$S,19,FALSE)="","",VLOOKUP(A126,[1]PRIORIZADOS!$A:$S,19,FALSE)),"")</f>
        <v>La institución se compromete a detallar su modelo pedagógico y elaborar PEI/MC exclusivos para sede Restrepo.</v>
      </c>
      <c r="T126" s="70" t="str">
        <f>IFERROR(IF(VLOOKUP(A126,[1]PRIORIZADOS!$A:$T,20,FALSE)="","",VLOOKUP(A126,[1]PRIORIZADOS!$A:$T,20,FALSE)),"")</f>
        <v>Si</v>
      </c>
      <c r="U126" s="11" t="str">
        <f>IFERROR(IF(VLOOKUP(A126,[1]PRIORIZADOS!$A:$U,21,FALSE)="","",VLOOKUP(A126,[1]PRIORIZADOS!$A:$U,21,FALSE)),"")</f>
        <v>Verificar las acciones definidas en el plan de mejoramiento una vez sea presentado 16.06.2025.
Se realiza seguimiento del PMI, se realizan observaciones y retroalimentación frente a la documentación presentada, conforme a lo orientado. (23/09/2025) Ver Carpeta POAIV - TRIM III</v>
      </c>
    </row>
    <row r="127" spans="1:21" s="1" customFormat="1" ht="84">
      <c r="A127" s="69">
        <f>IF([1]PRIORIZADOS!A128="","",[1]PRIORIZADOS!A128)</f>
        <v>129</v>
      </c>
      <c r="B127" s="87">
        <v>18</v>
      </c>
      <c r="C127" s="11" t="str">
        <f>IFERROR(IF(VLOOKUP(A127,[1]PRIORIZADOS!$A:$C,3,FALSE)="","",VLOOKUP(A127,[1]PRIORIZADOS!$A:$C,3,FALSE)),"")</f>
        <v>ANTONIO NARIÑO</v>
      </c>
      <c r="D127" s="69" t="str">
        <f>IFERROR(IF(VLOOKUP(A127,[1]PRIORIZADOS!$A:$D,4,FALSE)="","",VLOOKUP(A127,[1]PRIORIZADOS!$A:$D,4,FALSE)),"")</f>
        <v>PRIVADO_IETDH</v>
      </c>
      <c r="E127" s="69" t="str">
        <f>IFERROR(IF(VLOOKUP(A127,[1]PRIORIZADOS!$A:$E,5,FALSE)="","",VLOOKUP(A127,[1]PRIORIZADOS!$A:$E,5,FALSE)),"")</f>
        <v>IETDH</v>
      </c>
      <c r="F127" s="11" t="str">
        <f>IFERROR(IF(VLOOKUP(A127,[1]PRIORIZADOS!$A:$F,6,FALSE)="","",VLOOKUP(A127,[1]PRIORIZADOS!$A:$F,6,FALSE)),"")</f>
        <v>CENTRO_DE_IDIOMAS_ULA_RESTREPO</v>
      </c>
      <c r="G127" s="69" t="str">
        <f>IFERROR(IF(VLOOKUP(A127,[1]PRIORIZADOS!$A:$G,7,FALSE)="","",VLOOKUP(A127,[1]PRIORIZADOS!$A:$G,7,FALSE)),"")</f>
        <v>CENTRO DE IDIOMAS ULA RESTREPO</v>
      </c>
      <c r="H127" s="11" t="str">
        <f>IFERROR(IF(VLOOKUP(A127,[1]PRIORIZADOS!$A:$H,8,FALSE)="","",VLOOKUP(A127,[1]PRIORIZADOS!$A:$H,8,FALSE)),"")</f>
        <v>IETDH priorizadas por cada ELIV (seguimiento a PMI, que no se hayan visitado en los últimos 3 años)</v>
      </c>
      <c r="I127" s="11" t="str">
        <f>IFERROR(IF(VLOOKUP(A127,[1]PRIORIZADOS!$A:$I,9,FALSE)="","",VLOOKUP(A127,[1]PRIORIZADOS!$A:$I,9,FALSE)),"")</f>
        <v>SEGUIMIENTO_Y_SUPERVISIÓN.</v>
      </c>
      <c r="J127" s="11" t="str">
        <f>IFERROR(IF(VLOOKUP(A127,[1]PRIORIZADOS!$A:$J,10,FALSE)="","",VLOOKUP(A127,[1]PRIORIZADOS!$A:$J,10,FALSE)),"")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27" s="11" t="str">
        <f>IFERROR(IF(VLOOKUP(A127,[1]PRIORIZADOS!$A:$K,11,FALSE)="","",VLOOKUP(A127,[1]PRIORIZADOS!$A:$K,11,FALSE)),"")</f>
        <v>JOSÉ RODRIGO QUILAGUY BERNAL</v>
      </c>
      <c r="L127" s="11" t="str">
        <f>IFERROR(IF(VLOOKUP(A127,[1]PRIORIZADOS!$A:$L,12,FALSE)="","",VLOOKUP(A127,[1]PRIORIZADOS!$A:$L,12,FALSE)),"")</f>
        <v>ORLANDO SUÁREZ SOTO
JOSÉ RODRIGO QUILAGUY BERNAL
JOHN JAIRO BOBADILLA BERMEO</v>
      </c>
      <c r="M127" s="88">
        <f>IFERROR(IF(VLOOKUP(A127,[1]PRIORIZADOS!$A:$M,13,FALSE)="","",VLOOKUP(A127,[1]PRIORIZADOS!$A:$M,13,FALSE)),"")</f>
        <v>45972</v>
      </c>
      <c r="N127" s="88">
        <f>IFERROR(IF(VLOOKUP(A127,[1]PRIORIZADOS!$A:$N,14,FALSE)="","",VLOOKUP(A127,[1]PRIORIZADOS!$A:$N,14,FALSE)),"")</f>
        <v>45786</v>
      </c>
      <c r="O127" s="88">
        <f>IFERROR(IF(VLOOKUP(A127,[1]PRIORIZADOS!$A:$O,15,FALSE)="","",VLOOKUP(A127,[1]PRIORIZADOS!$A:$O,15,FALSE)),"")</f>
        <v>45786</v>
      </c>
      <c r="P127" s="16" t="str">
        <f>IFERROR(IF(VLOOKUP(A127,[1]PRIORIZADOS!$A:$P,16,FALSE)="","",VLOOKUP(A127,[1]PRIORIZADOS!$A:$P,16,FALSE)),"")</f>
        <v>Visitas de evaluación con fines de seguimiento</v>
      </c>
      <c r="Q127" s="117" t="s">
        <v>43</v>
      </c>
      <c r="R127" s="90" t="str">
        <f>IFERROR(IF(VLOOKUP(A127,[1]PRIORIZADOS!$A:$R,18,FALSE)="","",VLOOKUP(A127,[1]PRIORIZADOS!$A:$R,18,FALSE)),"")</f>
        <v>db</v>
      </c>
      <c r="S127" s="11" t="str">
        <f>IFERROR(IF(VLOOKUP(A127,[1]PRIORIZADOS!$A:$S,19,FALSE)="","",VLOOKUP(A127,[1]PRIORIZADOS!$A:$S,19,FALSE)),"")</f>
        <v>La ETDH se compromete a gestionar acceso a SIET delegando personal a DILE para regularizar su registro.</v>
      </c>
      <c r="T127" s="70" t="str">
        <f>IFERROR(IF(VLOOKUP(A127,[1]PRIORIZADOS!$A:$T,20,FALSE)="","",VLOOKUP(A127,[1]PRIORIZADOS!$A:$T,20,FALSE)),"")</f>
        <v>Si</v>
      </c>
      <c r="U127" s="11" t="str">
        <f>IFERROR(IF(VLOOKUP(A127,[1]PRIORIZADOS!$A:$U,21,FALSE)="","",VLOOKUP(A127,[1]PRIORIZADOS!$A:$U,21,FALSE)),"")</f>
        <v>Verificar las acciones definidas en el plan de mejoramiento una vez sea presentado 16.06.2025.
Se realiza seguimiento del PMI, se realizan observaciones y retroalimentación frente a la documentación presentada, conforme a lo orientado. (23/09/2025) Ver Carpeta POAIV - TRIM III</v>
      </c>
    </row>
    <row r="128" spans="1:21" s="1" customFormat="1" ht="60">
      <c r="A128" s="69">
        <f>IF([2]PRIORIZADOS!A8="","",[2]PRIORIZADOS!A8)</f>
        <v>130</v>
      </c>
      <c r="B128" s="87">
        <f>IFERROR(IF(VLOOKUP(A128,[2]PRIORIZADOS!$A:$B,2,FALSE)="","",VLOOKUP(A128,[2]PRIORIZADOS!$A:$B,2,FALSE)),"")</f>
        <v>1</v>
      </c>
      <c r="C128" s="11" t="str">
        <f>IFERROR(IF(VLOOKUP(A128,[2]PRIORIZADOS!$A:$C,3,FALSE)="","",VLOOKUP(A128,[2]PRIORIZADOS!$A:$C,3,FALSE)),"")</f>
        <v xml:space="preserve">BARRIOS UNIDOS </v>
      </c>
      <c r="D128" s="69" t="str">
        <f>IFERROR(IF(VLOOKUP(A128,[2]PRIORIZADOS!$A:$D,4,FALSE)="","",VLOOKUP(A128,[2]PRIORIZADOS!$A:$D,4,FALSE)),"")</f>
        <v>PRIVADO</v>
      </c>
      <c r="E128" s="69" t="str">
        <f>IFERROR(IF(VLOOKUP(A128,[2]PRIORIZADOS!$A:$E,5,FALSE)="","",VLOOKUP(A128,[2]PRIORIZADOS!$A:$E,5,FALSE)),"")</f>
        <v>EPBM</v>
      </c>
      <c r="F128" s="11" t="str">
        <f>IFERROR(IF(VLOOKUP(A128,[2]PRIORIZADOS!$A:$F,6,FALSE)="","",VLOOKUP(A128,[2]PRIORIZADOS!$A:$F,6,FALSE)),"")</f>
        <v>LICEO_DE_FORMACIÓN_PERSONALIZADA</v>
      </c>
      <c r="G128" s="11" t="str">
        <f>IFERROR(IF(VLOOKUP(A128,[2]PRIORIZADOS!$A:$G,7,FALSE)="","",VLOOKUP(A128,[2]PRIORIZADOS!$A:$G,7,FALSE)),"")</f>
        <v>LICEO_DE_FORMACIÓN_PERSONALIZADA</v>
      </c>
      <c r="H128" s="11" t="str">
        <f>IFERROR(IF(VLOOKUP(A128,[2]PRIORIZADOS!$A:$H,8,FALSE)="","",VLOOKUP(A128,[2]PRIORIZADOS!$A:$H,8,FALSE)),"")</f>
        <v>Autoevaluación Institucional y Pruebas SABER 11</v>
      </c>
      <c r="I128" s="11" t="str">
        <f>IFERROR(IF(VLOOKUP(A128,[2]PRIORIZADOS!$A:$I,9,FALSE)="","",VLOOKUP(A128,[2]PRIORIZADOS!$A:$I,9,FALSE)),"")</f>
        <v>SEGUIMIENTO_Y_SUPERVISIÓN.</v>
      </c>
      <c r="J128" s="11" t="str">
        <f>IFERROR(IF(VLOOKUP(A128,[2]PRIORIZADOS!$A:$J,10,FALSE)="","",VLOOKUP(A128,[2]PRIORIZADOS!$A:$J,10,FALSE)),"")</f>
        <v>Realizar visitas para verificar la información registrada sobre la autoevaluación institucional en el aplicativo EVI, a los establecimientos de educación formal no oficial.</v>
      </c>
      <c r="K128" s="11" t="str">
        <f>IFERROR(IF(VLOOKUP(A128,[2]PRIORIZADOS!$A:$K,11,FALSE)="","",VLOOKUP(A128,[2]PRIORIZADOS!$A:$K,11,FALSE)),"")</f>
        <v>DORIS YOLANDA LÓPEZ ARÉVALO</v>
      </c>
      <c r="L128" s="11" t="str">
        <f>IFERROR(IF(VLOOKUP(A128,[2]PRIORIZADOS!$A:$L,12,FALSE)="","",VLOOKUP(A128,[2]PRIORIZADOS!$A:$L,12,FALSE)),"")</f>
        <v xml:space="preserve">ALBERTO MIGUEL PEÑA </v>
      </c>
      <c r="M128" s="88">
        <f>IFERROR(IF(VLOOKUP(A128,[2]PRIORIZADOS!$A:$M,13,FALSE)="","",VLOOKUP(A128,[2]PRIORIZADOS!$A:$M,13,FALSE)),"")</f>
        <v>45846</v>
      </c>
      <c r="N128" s="71">
        <f>IFERROR(IF(VLOOKUP(A128,[2]PRIORIZADOS!$A:$N,14,FALSE)="","",VLOOKUP(A128,[2]PRIORIZADOS!$A:$N,14,FALSE)),"")</f>
        <v>45846</v>
      </c>
      <c r="O128" s="71">
        <f>IFERROR(IF(VLOOKUP(A128,[2]PRIORIZADOS!$A:$O,15,FALSE)="","",VLOOKUP(A128,[2]PRIORIZADOS!$A:$O,15,FALSE)),"")</f>
        <v>45846</v>
      </c>
      <c r="P128" s="11" t="str">
        <f>IFERROR(IF(VLOOKUP(A128,[2]PRIORIZADOS!$A:$P,16,FALSE)="","",VLOOKUP(A128,[2]PRIORIZADOS!$A:$P,16,FALSE)),"")</f>
        <v>Visitas de evaluación con fines de seguimiento</v>
      </c>
      <c r="Q128" s="118" t="s">
        <v>44</v>
      </c>
      <c r="R128" s="11" t="str">
        <f>IFERROR(IF(VLOOKUP(A128,[2]PRIORIZADOS!$A:$R,18,FALSE)="","",VLOOKUP(A128,[2]PRIORIZADOS!$A:$R,18,FALSE)),"")</f>
        <v>Se verificaron los espacios, la planta docente y los estudiantes según SIMAT, conforme a lo establecido en el EVI. Se solicitó el retiro de los avisos referentes al COVID-19.</v>
      </c>
      <c r="S128" s="11" t="str">
        <f>IFERROR(IF(VLOOKUP(A128,[2]PRIORIZADOS!$A:$S,19,FALSE)="","",VLOOKUP(A128,[2]PRIORIZADOS!$A:$S,19,FALSE)),"")</f>
        <v>Se deben realizar algunas adecuaciones, como la instalación segura de extintores, el retiro de señalética innecesaria y el ajuste de medidas de seguridad en las puertas de las aulas.</v>
      </c>
      <c r="T128" s="70" t="str">
        <f>IFERROR(IF(VLOOKUP(A128,[2]PRIORIZADOS!$A:$T,20,FALSE)="","",VLOOKUP(A128,[2]PRIORIZADOS!$A:$T,20,FALSE)),"")</f>
        <v>No</v>
      </c>
      <c r="U128" s="11" t="str">
        <f>IFERROR(IF(VLOOKUP(A128,[2]PRIORIZADOS!$A:$U,21,FALSE)="","",VLOOKUP(A128,[2]PRIORIZADOS!$A:$U,21,FALSE)),"")</f>
        <v>Se debe dar continuidad al mantenimiento de las áreas, así como diligenciar el formulario con la descripción correspondiente cuando se requiera.</v>
      </c>
    </row>
    <row r="129" spans="1:21" s="1" customFormat="1" ht="72">
      <c r="A129" s="69">
        <f>IF([2]PRIORIZADOS!A9="","",[2]PRIORIZADOS!A9)</f>
        <v>132</v>
      </c>
      <c r="B129" s="87">
        <f>IFERROR(IF(VLOOKUP(A129,[2]PRIORIZADOS!$A:$B,2,FALSE)="","",VLOOKUP(A129,[2]PRIORIZADOS!$A:$B,2,FALSE)),"")</f>
        <v>1</v>
      </c>
      <c r="C129" s="11" t="str">
        <f>IFERROR(IF(VLOOKUP(A129,[2]PRIORIZADOS!$A:$C,3,FALSE)="","",VLOOKUP(A129,[2]PRIORIZADOS!$A:$C,3,FALSE)),"")</f>
        <v xml:space="preserve">BARRIOS UNIDOS </v>
      </c>
      <c r="D129" s="69" t="str">
        <f>IFERROR(IF(VLOOKUP(A129,[2]PRIORIZADOS!$A:$D,4,FALSE)="","",VLOOKUP(A129,[2]PRIORIZADOS!$A:$D,4,FALSE)),"")</f>
        <v>PRIVADO</v>
      </c>
      <c r="E129" s="69" t="str">
        <f>IFERROR(IF(VLOOKUP(A129,[2]PRIORIZADOS!$A:$E,5,FALSE)="","",VLOOKUP(A129,[2]PRIORIZADOS!$A:$E,5,FALSE)),"")</f>
        <v>EPBM</v>
      </c>
      <c r="F129" s="11" t="str">
        <f>IFERROR(IF(VLOOKUP(A129,[2]PRIORIZADOS!$A:$F,6,FALSE)="","",VLOOKUP(A129,[2]PRIORIZADOS!$A:$F,6,FALSE)),"")</f>
        <v>LICEO_DE_FORMACIÓN_PERSONALIZADA</v>
      </c>
      <c r="G129" s="11" t="str">
        <f>IFERROR(IF(VLOOKUP(A129,[2]PRIORIZADOS!$A:$G,7,FALSE)="","",VLOOKUP(A129,[2]PRIORIZADOS!$A:$G,7,FALSE)),"")</f>
        <v>LICEO_DE_FORMACIÓN_PERSONALIZADA</v>
      </c>
      <c r="H129" s="11" t="str">
        <f>IFERROR(IF(VLOOKUP(A129,[2]PRIORIZADOS!$A:$H,8,FALSE)="","",VLOOKUP(A129,[2]PRIORIZADOS!$A:$H,8,FALSE)),"")</f>
        <v>Autoevaluación Institucional y Pruebas SABER 11</v>
      </c>
      <c r="I129" s="11" t="str">
        <f>IFERROR(IF(VLOOKUP(A129,[2]PRIORIZADOS!$A:$I,9,FALSE)="","",VLOOKUP(A129,[2]PRIORIZADOS!$A:$I,9,FALSE)),"")</f>
        <v>SEGUIMIENTO_Y_SUPERVISIÓN.</v>
      </c>
      <c r="J129" s="11" t="str">
        <f>IFERROR(IF(VLOOKUP(A129,[2]PRIORIZADOS!$A:$J,10,FALSE)="","",VLOOKUP(A129,[2]PRIORIZADOS!$A:$J,10,FALSE)),"")</f>
        <v xml:space="preserve">Verificar la implementación por parte de los colegios, de acciones realizadas para la prevención y atención de las situaciones de convivencia en el entorno escolar, según lo establecido en la Directiva 01 de 2022 del MEN. </v>
      </c>
      <c r="K129" s="11" t="str">
        <f>IFERROR(IF(VLOOKUP(A129,[2]PRIORIZADOS!$A:$K,11,FALSE)="","",VLOOKUP(A129,[2]PRIORIZADOS!$A:$K,11,FALSE)),"")</f>
        <v>DORIS YOLANDA LÓPEZ ARÉVALO</v>
      </c>
      <c r="L129" s="11" t="str">
        <f>IFERROR(IF(VLOOKUP(A129,[2]PRIORIZADOS!$A:$L,12,FALSE)="","",VLOOKUP(A129,[2]PRIORIZADOS!$A:$L,12,FALSE)),"")</f>
        <v xml:space="preserve">ALBERTO MIGUEL PEÑA </v>
      </c>
      <c r="M129" s="88">
        <f>IFERROR(IF(VLOOKUP(A129,[2]PRIORIZADOS!$A:$M,13,FALSE)="","",VLOOKUP(A129,[2]PRIORIZADOS!$A:$M,13,FALSE)),"")</f>
        <v>45846</v>
      </c>
      <c r="N129" s="71">
        <f>IFERROR(IF(VLOOKUP(A129,[2]PRIORIZADOS!$A:$N,14,FALSE)="","",VLOOKUP(A129,[2]PRIORIZADOS!$A:$N,14,FALSE)),"")</f>
        <v>45846</v>
      </c>
      <c r="O129" s="71">
        <f>IFERROR(IF(VLOOKUP(A129,[2]PRIORIZADOS!$A:$O,15,FALSE)="","",VLOOKUP(A129,[2]PRIORIZADOS!$A:$O,15,FALSE)),"")</f>
        <v>45846</v>
      </c>
      <c r="P129" s="11" t="str">
        <f>IFERROR(IF(VLOOKUP(A129,[2]PRIORIZADOS!$A:$P,16,FALSE)="","",VLOOKUP(A129,[2]PRIORIZADOS!$A:$P,16,FALSE)),"")</f>
        <v>Visitas de evaluación con fines de mejoramiento</v>
      </c>
      <c r="Q129" s="119" t="s">
        <v>44</v>
      </c>
      <c r="R129" s="11" t="str">
        <f>IFERROR(IF(VLOOKUP(A129,[2]PRIORIZADOS!$A:$R,18,FALSE)="","",VLOOKUP(A129,[2]PRIORIZADOS!$A:$R,18,FALSE)),"")</f>
        <v>Se revisaron las hojas de vida de todo el personal y no se encontró la verificación de antecedentes. Sin embargo, los demás documentos estaban completos y se corroboraron las capacitaciones a los docentes.</v>
      </c>
      <c r="S129" s="11" t="str">
        <f>IFERROR(IF(VLOOKUP(A129,[2]PRIORIZADOS!$A:$S,19,FALSE)="","",VLOOKUP(A129,[2]PRIORIZADOS!$A:$S,19,FALSE)),"")</f>
        <v>Se requiere realizar la verificación de antecedentes, conforme a lo establecido en la Directiva 001 de 2022.</v>
      </c>
      <c r="T129" s="70" t="str">
        <f>IFERROR(IF(VLOOKUP(A129,[2]PRIORIZADOS!$A:$T,20,FALSE)="","",VLOOKUP(A129,[2]PRIORIZADOS!$A:$T,20,FALSE)),"")</f>
        <v>Si</v>
      </c>
      <c r="U129" s="11" t="str">
        <f>IFERROR(IF(VLOOKUP(A129,[2]PRIORIZADOS!$A:$U,21,FALSE)="","",VLOOKUP(A129,[2]PRIORIZADOS!$A:$U,21,FALSE)),"")</f>
        <v>Se revisará la propuesta en el Plan de Mejoramiento.</v>
      </c>
    </row>
    <row r="130" spans="1:21" s="1" customFormat="1" ht="107.25">
      <c r="A130" s="69">
        <f>IF([2]PRIORIZADOS!A10="","",[2]PRIORIZADOS!A10)</f>
        <v>133</v>
      </c>
      <c r="B130" s="87">
        <f>IFERROR(IF(VLOOKUP(A130,[2]PRIORIZADOS!$A:$B,2,FALSE)="","",VLOOKUP(A130,[2]PRIORIZADOS!$A:$B,2,FALSE)),"")</f>
        <v>1</v>
      </c>
      <c r="C130" s="11" t="str">
        <f>IFERROR(IF(VLOOKUP(A130,[2]PRIORIZADOS!$A:$C,3,FALSE)="","",VLOOKUP(A130,[2]PRIORIZADOS!$A:$C,3,FALSE)),"")</f>
        <v xml:space="preserve">BARRIOS UNIDOS </v>
      </c>
      <c r="D130" s="69" t="str">
        <f>IFERROR(IF(VLOOKUP(A130,[2]PRIORIZADOS!$A:$D,4,FALSE)="","",VLOOKUP(A130,[2]PRIORIZADOS!$A:$D,4,FALSE)),"")</f>
        <v>PRIVADO</v>
      </c>
      <c r="E130" s="69" t="str">
        <f>IFERROR(IF(VLOOKUP(A130,[2]PRIORIZADOS!$A:$E,5,FALSE)="","",VLOOKUP(A130,[2]PRIORIZADOS!$A:$E,5,FALSE)),"")</f>
        <v>EPBM</v>
      </c>
      <c r="F130" s="11" t="str">
        <f>IFERROR(IF(VLOOKUP(A130,[2]PRIORIZADOS!$A:$F,6,FALSE)="","",VLOOKUP(A130,[2]PRIORIZADOS!$A:$F,6,FALSE)),"")</f>
        <v>LICEO_DE_FORMACIÓN_PERSONALIZADA</v>
      </c>
      <c r="G130" s="11" t="str">
        <f>IFERROR(IF(VLOOKUP(A130,[2]PRIORIZADOS!$A:$G,7,FALSE)="","",VLOOKUP(A130,[2]PRIORIZADOS!$A:$G,7,FALSE)),"")</f>
        <v>LICEO_DE_FORMACIÓN_PERSONALIZADA</v>
      </c>
      <c r="H130" s="11" t="str">
        <f>IFERROR(IF(VLOOKUP(A130,[2]PRIORIZADOS!$A:$H,8,FALSE)="","",VLOOKUP(A130,[2]PRIORIZADOS!$A:$H,8,FALSE)),"")</f>
        <v>Autoevaluación Institucional y Pruebas SABER 11</v>
      </c>
      <c r="I130" s="11" t="str">
        <f>IFERROR(IF(VLOOKUP(A130,[2]PRIORIZADOS!$A:$I,9,FALSE)="","",VLOOKUP(A130,[2]PRIORIZADOS!$A:$I,9,FALSE)),"")</f>
        <v>SEGUIMIENTO_Y_SUPERVISIÓN.</v>
      </c>
      <c r="J130" s="11" t="str">
        <f>IFERROR(IF(VLOOKUP(A130,[2]PRIORIZADOS!$A:$J,10,FALSE)="","",VLOOKUP(A130,[2]PRIORIZADOS!$A:$J,10,FALSE)),"")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0" s="11" t="str">
        <f>IFERROR(IF(VLOOKUP(A130,[2]PRIORIZADOS!$A:$K,11,FALSE)="","",VLOOKUP(A130,[2]PRIORIZADOS!$A:$K,11,FALSE)),"")</f>
        <v>DORIS YOLANDA LÓPEZ ARÉVALO</v>
      </c>
      <c r="L130" s="11" t="str">
        <f>IFERROR(IF(VLOOKUP(A130,[2]PRIORIZADOS!$A:$L,12,FALSE)="","",VLOOKUP(A130,[2]PRIORIZADOS!$A:$L,12,FALSE)),"")</f>
        <v xml:space="preserve">ALBERTO MIGUEL PEÑA </v>
      </c>
      <c r="M130" s="88">
        <f>IFERROR(IF(VLOOKUP(A130,[2]PRIORIZADOS!$A:$M,13,FALSE)="","",VLOOKUP(A130,[2]PRIORIZADOS!$A:$M,13,FALSE)),"")</f>
        <v>45846</v>
      </c>
      <c r="N130" s="71">
        <f>IFERROR(IF(VLOOKUP(A130,[2]PRIORIZADOS!$A:$N,14,FALSE)="","",VLOOKUP(A130,[2]PRIORIZADOS!$A:$N,14,FALSE)),"")</f>
        <v>45846</v>
      </c>
      <c r="O130" s="71">
        <f>IFERROR(IF(VLOOKUP(A130,[2]PRIORIZADOS!$A:$O,15,FALSE)="","",VLOOKUP(A130,[2]PRIORIZADOS!$A:$O,15,FALSE)),"")</f>
        <v>45846</v>
      </c>
      <c r="P130" s="11" t="str">
        <f>IFERROR(IF(VLOOKUP(A130,[2]PRIORIZADOS!$A:$P,16,FALSE)="","",VLOOKUP(A130,[2]PRIORIZADOS!$A:$P,16,FALSE)),"")</f>
        <v>Visitas de evaluación con fines de mejoramiento</v>
      </c>
      <c r="Q130" s="119" t="s">
        <v>44</v>
      </c>
      <c r="R130" s="11" t="str">
        <f>IFERROR(IF(VLOOKUP(A130,[2]PRIORIZADOS!$A:$R,18,FALSE)="","",VLOOKUP(A130,[2]PRIORIZADOS!$A:$R,18,FALSE)),"")</f>
        <v>Se revisaron al azar algunos documentos PIAR de inclusión con los que cuenta la institución. La marcación en SIMAT fue verificada y se encuentra acorde con los diagnósticos de los estudiantes. Sin embargo, se identificaron casos en los que se aplican PIAR sin diagnóstico formal, debido a situaciones de tipo socioemocional.</v>
      </c>
      <c r="S130" s="11" t="str">
        <f>IFERROR(IF(VLOOKUP(A130,[2]PRIORIZADOS!$A:$S,19,FALSE)="","",VLOOKUP(A130,[2]PRIORIZADOS!$A:$S,19,FALSE)),"")</f>
        <v>Debe mantenerse la gestión y organización observadas durante la visita.</v>
      </c>
      <c r="T130" s="70" t="str">
        <f>IFERROR(IF(VLOOKUP(A130,[2]PRIORIZADOS!$A:$T,20,FALSE)="","",VLOOKUP(A130,[2]PRIORIZADOS!$A:$T,20,FALSE)),"")</f>
        <v>Si</v>
      </c>
      <c r="U130" s="11" t="str">
        <f>IFERROR(IF(VLOOKUP(A130,[2]PRIORIZADOS!$A:$U,21,FALSE)="","",VLOOKUP(A130,[2]PRIORIZADOS!$A:$U,21,FALSE)),"")</f>
        <v>En caso de presentarse una queja relacionada con algún estudiante de inclusión, se procederá a revisar la situación.</v>
      </c>
    </row>
    <row r="131" spans="1:21" s="1" customFormat="1" ht="84">
      <c r="A131" s="69">
        <f>IF([2]PRIORIZADOS!A11="","",[2]PRIORIZADOS!A11)</f>
        <v>134</v>
      </c>
      <c r="B131" s="87">
        <f>IFERROR(IF(VLOOKUP(A131,[2]PRIORIZADOS!$A:$B,2,FALSE)="","",VLOOKUP(A131,[2]PRIORIZADOS!$A:$B,2,FALSE)),"")</f>
        <v>1</v>
      </c>
      <c r="C131" s="11" t="str">
        <f>IFERROR(IF(VLOOKUP(A131,[2]PRIORIZADOS!$A:$C,3,FALSE)="","",VLOOKUP(A131,[2]PRIORIZADOS!$A:$C,3,FALSE)),"")</f>
        <v xml:space="preserve">BARRIOS UNIDOS </v>
      </c>
      <c r="D131" s="69" t="str">
        <f>IFERROR(IF(VLOOKUP(A131,[2]PRIORIZADOS!$A:$D,4,FALSE)="","",VLOOKUP(A131,[2]PRIORIZADOS!$A:$D,4,FALSE)),"")</f>
        <v>PRIVADO</v>
      </c>
      <c r="E131" s="69" t="str">
        <f>IFERROR(IF(VLOOKUP(A131,[2]PRIORIZADOS!$A:$E,5,FALSE)="","",VLOOKUP(A131,[2]PRIORIZADOS!$A:$E,5,FALSE)),"")</f>
        <v>EPBM</v>
      </c>
      <c r="F131" s="11" t="str">
        <f>IFERROR(IF(VLOOKUP(A131,[2]PRIORIZADOS!$A:$F,6,FALSE)="","",VLOOKUP(A131,[2]PRIORIZADOS!$A:$F,6,FALSE)),"")</f>
        <v>LICEO_DE_FORMACIÓN_PERSONALIZADA</v>
      </c>
      <c r="G131" s="11" t="str">
        <f>IFERROR(IF(VLOOKUP(A131,[2]PRIORIZADOS!$A:$G,7,FALSE)="","",VLOOKUP(A131,[2]PRIORIZADOS!$A:$G,7,FALSE)),"")</f>
        <v>LICEO_DE_FORMACIÓN_PERSONALIZADA</v>
      </c>
      <c r="H131" s="11" t="str">
        <f>IFERROR(IF(VLOOKUP(A131,[2]PRIORIZADOS!$A:$H,8,FALSE)="","",VLOOKUP(A131,[2]PRIORIZADOS!$A:$H,8,FALSE)),"")</f>
        <v>Autoevaluación Institucional y Pruebas SABER 11</v>
      </c>
      <c r="I131" s="11" t="str">
        <f>IFERROR(IF(VLOOKUP(A131,[2]PRIORIZADOS!$A:$I,9,FALSE)="","",VLOOKUP(A131,[2]PRIORIZADOS!$A:$I,9,FALSE)),"")</f>
        <v>EVALUACIÓN_CON_FINES_DE_MEJORAMIENTO.</v>
      </c>
      <c r="J131" s="11" t="str">
        <f>IFERROR(IF(VLOOKUP(A131,[2]PRIORIZADOS!$A:$J,10,FALSE)="","",VLOOKUP(A131,[2]PRIORIZADOS!$A:$J,10,FALSE)),"")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1" s="11" t="str">
        <f>IFERROR(IF(VLOOKUP(A131,[2]PRIORIZADOS!$A:$K,11,FALSE)="","",VLOOKUP(A131,[2]PRIORIZADOS!$A:$K,11,FALSE)),"")</f>
        <v>DORIS YOLANDA LÓPEZ ARÉVALO</v>
      </c>
      <c r="L131" s="11" t="str">
        <f>IFERROR(IF(VLOOKUP(A131,[2]PRIORIZADOS!$A:$L,12,FALSE)="","",VLOOKUP(A131,[2]PRIORIZADOS!$A:$L,12,FALSE)),"")</f>
        <v xml:space="preserve">ALBERTO MIGUEL PEÑA </v>
      </c>
      <c r="M131" s="88">
        <f>IFERROR(IF(VLOOKUP(A131,[2]PRIORIZADOS!$A:$M,13,FALSE)="","",VLOOKUP(A131,[2]PRIORIZADOS!$A:$M,13,FALSE)),"")</f>
        <v>45846</v>
      </c>
      <c r="N131" s="71">
        <f>IFERROR(IF(VLOOKUP(A131,[2]PRIORIZADOS!$A:$N,14,FALSE)="","",VLOOKUP(A131,[2]PRIORIZADOS!$A:$N,14,FALSE)),"")</f>
        <v>45846</v>
      </c>
      <c r="O131" s="71">
        <f>IFERROR(IF(VLOOKUP(A131,[2]PRIORIZADOS!$A:$O,15,FALSE)="","",VLOOKUP(A131,[2]PRIORIZADOS!$A:$O,15,FALSE)),"")</f>
        <v>45846</v>
      </c>
      <c r="P131" s="11" t="str">
        <f>IFERROR(IF(VLOOKUP(A131,[2]PRIORIZADOS!$A:$P,16,FALSE)="","",VLOOKUP(A131,[2]PRIORIZADOS!$A:$P,16,FALSE)),"")</f>
        <v>Visitas de evaluación con fines de mejoramiento</v>
      </c>
      <c r="Q131" s="119" t="s">
        <v>44</v>
      </c>
      <c r="R131" s="11" t="str">
        <f>IFERROR(IF(VLOOKUP(A131,[2]PRIORIZADOS!$A:$R,18,FALSE)="","",VLOOKUP(A131,[2]PRIORIZADOS!$A:$R,18,FALSE)),"")</f>
        <v>Se revisó el Manual actualizado para la presente vigencia, el cual contenía las estrategias y mecanismos para la resolución de conflictos. Se realizaron algunas observaciones para tener en cuenta en una próxima actualización.</v>
      </c>
      <c r="S131" s="11" t="str">
        <f>IFERROR(IF(VLOOKUP(A131,[2]PRIORIZADOS!$A:$S,19,FALSE)="","",VLOOKUP(A131,[2]PRIORIZADOS!$A:$S,19,FALSE)),"")</f>
        <v>Se revisó el Manual actualizado para la presente vigencia, el cual incluye las estrategias y mecanismos para la resolución de conflictos. Se realizaron algunas observaciones que deberán considerarse en su próxima actualización.</v>
      </c>
      <c r="T131" s="70" t="str">
        <f>IFERROR(IF(VLOOKUP(A131,[2]PRIORIZADOS!$A:$T,20,FALSE)="","",VLOOKUP(A131,[2]PRIORIZADOS!$A:$T,20,FALSE)),"")</f>
        <v>No</v>
      </c>
      <c r="U131" s="11" t="str">
        <f>IFERROR(IF(VLOOKUP(A131,[2]PRIORIZADOS!$A:$U,21,FALSE)="","",VLOOKUP(A131,[2]PRIORIZADOS!$A:$U,21,FALSE)),"")</f>
        <v>En caso de presentarse una queja, se procederá a revisar la situación.</v>
      </c>
    </row>
    <row r="132" spans="1:21" s="1" customFormat="1" ht="48">
      <c r="A132" s="69">
        <f>IF([2]PRIORIZADOS!A12="","",[2]PRIORIZADOS!A12)</f>
        <v>135</v>
      </c>
      <c r="B132" s="87">
        <f>IFERROR(IF(VLOOKUP(A132,[2]PRIORIZADOS!$A:$B,2,FALSE)="","",VLOOKUP(A132,[2]PRIORIZADOS!$A:$B,2,FALSE)),"")</f>
        <v>1</v>
      </c>
      <c r="C132" s="11" t="str">
        <f>IFERROR(IF(VLOOKUP(A132,[2]PRIORIZADOS!$A:$C,3,FALSE)="","",VLOOKUP(A132,[2]PRIORIZADOS!$A:$C,3,FALSE)),"")</f>
        <v xml:space="preserve">BARRIOS UNIDOS </v>
      </c>
      <c r="D132" s="69" t="str">
        <f>IFERROR(IF(VLOOKUP(A132,[2]PRIORIZADOS!$A:$D,4,FALSE)="","",VLOOKUP(A132,[2]PRIORIZADOS!$A:$D,4,FALSE)),"")</f>
        <v>PRIVADO</v>
      </c>
      <c r="E132" s="69" t="str">
        <f>IFERROR(IF(VLOOKUP(A132,[2]PRIORIZADOS!$A:$E,5,FALSE)="","",VLOOKUP(A132,[2]PRIORIZADOS!$A:$E,5,FALSE)),"")</f>
        <v>EPBM</v>
      </c>
      <c r="F132" s="11" t="str">
        <f>IFERROR(IF(VLOOKUP(A132,[2]PRIORIZADOS!$A:$F,6,FALSE)="","",VLOOKUP(A132,[2]PRIORIZADOS!$A:$F,6,FALSE)),"")</f>
        <v>LICEO_DE_FORMACIÓN_PERSONALIZADA</v>
      </c>
      <c r="G132" s="11" t="str">
        <f>IFERROR(IF(VLOOKUP(A132,[2]PRIORIZADOS!$A:$G,7,FALSE)="","",VLOOKUP(A132,[2]PRIORIZADOS!$A:$G,7,FALSE)),"")</f>
        <v>LICEO_DE_FORMACIÓN_PERSONALIZADA</v>
      </c>
      <c r="H132" s="11" t="str">
        <f>IFERROR(IF(VLOOKUP(A132,[2]PRIORIZADOS!$A:$H,8,FALSE)="","",VLOOKUP(A132,[2]PRIORIZADOS!$A:$H,8,FALSE)),"")</f>
        <v>Autoevaluación Institucional y Pruebas SABER 11</v>
      </c>
      <c r="I132" s="11" t="str">
        <f>IFERROR(IF(VLOOKUP(A132,[2]PRIORIZADOS!$A:$I,9,FALSE)="","",VLOOKUP(A132,[2]PRIORIZADOS!$A:$I,9,FALSE)),"")</f>
        <v>EVALUACIÓN_CON_FINES_DE_MEJORAMIENTO.</v>
      </c>
      <c r="J132" s="11" t="str">
        <f>IFERROR(IF(VLOOKUP(A132,[2]PRIORIZADOS!$A:$J,10,FALSE)="","",VLOOKUP(A132,[2]PRIORIZADOS!$A:$J,10,FALSE)),"")</f>
        <v>Revisar la actualización, socialización e implementación del Sistema Institucional de Evaluación de Estudiantes - SIEE, en articulación con la actualización del PEI y la normatividad vigente.</v>
      </c>
      <c r="K132" s="11" t="str">
        <f>IFERROR(IF(VLOOKUP(A132,[2]PRIORIZADOS!$A:$K,11,FALSE)="","",VLOOKUP(A132,[2]PRIORIZADOS!$A:$K,11,FALSE)),"")</f>
        <v>DORIS YOLANDA LÓPEZ ARÉVALO</v>
      </c>
      <c r="L132" s="11" t="str">
        <f>IFERROR(IF(VLOOKUP(A132,[2]PRIORIZADOS!$A:$L,12,FALSE)="","",VLOOKUP(A132,[2]PRIORIZADOS!$A:$L,12,FALSE)),"")</f>
        <v xml:space="preserve">ALBERTO MIGUEL PEÑA </v>
      </c>
      <c r="M132" s="88">
        <f>IFERROR(IF(VLOOKUP(A132,[2]PRIORIZADOS!$A:$M,13,FALSE)="","",VLOOKUP(A132,[2]PRIORIZADOS!$A:$M,13,FALSE)),"")</f>
        <v>45846</v>
      </c>
      <c r="N132" s="71">
        <f>IFERROR(IF(VLOOKUP(A132,[2]PRIORIZADOS!$A:$N,14,FALSE)="","",VLOOKUP(A132,[2]PRIORIZADOS!$A:$N,14,FALSE)),"")</f>
        <v>45846</v>
      </c>
      <c r="O132" s="71">
        <f>IFERROR(IF(VLOOKUP(A132,[2]PRIORIZADOS!$A:$O,15,FALSE)="","",VLOOKUP(A132,[2]PRIORIZADOS!$A:$O,15,FALSE)),"")</f>
        <v>45846</v>
      </c>
      <c r="P132" s="11" t="str">
        <f>IFERROR(IF(VLOOKUP(A132,[2]PRIORIZADOS!$A:$P,16,FALSE)="","",VLOOKUP(A132,[2]PRIORIZADOS!$A:$P,16,FALSE)),"")</f>
        <v>Visitas de evaluación con fines de mejoramiento</v>
      </c>
      <c r="Q132" s="119" t="s">
        <v>44</v>
      </c>
      <c r="R132" s="11" t="str">
        <f>IFERROR(IF(VLOOKUP(A132,[2]PRIORIZADOS!$A:$R,18,FALSE)="","",VLOOKUP(A132,[2]PRIORIZADOS!$A:$R,18,FALSE)),"")</f>
        <v>Se evidenció que el SIEE contiene estrategias de apoyo para las diferentes situaciones relacionadas con la gestión pedagógica de los estudiantes.</v>
      </c>
      <c r="S132" s="11" t="str">
        <f>IFERROR(IF(VLOOKUP(A132,[2]PRIORIZADOS!$A:$S,19,FALSE)="","",VLOOKUP(A132,[2]PRIORIZADOS!$A:$S,19,FALSE)),"")</f>
        <v>Continuar con la implementación de SIEE y se recomienda que la institución actualice su SIEE según las situaciones presentadas.</v>
      </c>
      <c r="T132" s="70" t="str">
        <f>IFERROR(IF(VLOOKUP(A132,[2]PRIORIZADOS!$A:$T,20,FALSE)="","",VLOOKUP(A132,[2]PRIORIZADOS!$A:$T,20,FALSE)),"")</f>
        <v>No</v>
      </c>
      <c r="U132" s="11" t="str">
        <f>IFERROR(IF(VLOOKUP(A132,[2]PRIORIZADOS!$A:$U,21,FALSE)="","",VLOOKUP(A132,[2]PRIORIZADOS!$A:$U,21,FALSE)),"")</f>
        <v>En caso de presentarse una queja, se procederá a revisar la situación.</v>
      </c>
    </row>
    <row r="133" spans="1:21" s="1" customFormat="1" ht="48">
      <c r="A133" s="69">
        <f>IF([2]PRIORIZADOS!A13="","",[2]PRIORIZADOS!A13)</f>
        <v>136</v>
      </c>
      <c r="B133" s="87">
        <f>IFERROR(IF(VLOOKUP(A133,[2]PRIORIZADOS!$A:$B,2,FALSE)="","",VLOOKUP(A133,[2]PRIORIZADOS!$A:$B,2,FALSE)),"")</f>
        <v>1</v>
      </c>
      <c r="C133" s="11" t="str">
        <f>IFERROR(IF(VLOOKUP(A133,[2]PRIORIZADOS!$A:$C,3,FALSE)="","",VLOOKUP(A133,[2]PRIORIZADOS!$A:$C,3,FALSE)),"")</f>
        <v xml:space="preserve">BARRIOS UNIDOS </v>
      </c>
      <c r="D133" s="69" t="str">
        <f>IFERROR(IF(VLOOKUP(A133,[2]PRIORIZADOS!$A:$D,4,FALSE)="","",VLOOKUP(A133,[2]PRIORIZADOS!$A:$D,4,FALSE)),"")</f>
        <v>PRIVADO</v>
      </c>
      <c r="E133" s="69" t="str">
        <f>IFERROR(IF(VLOOKUP(A133,[2]PRIORIZADOS!$A:$E,5,FALSE)="","",VLOOKUP(A133,[2]PRIORIZADOS!$A:$E,5,FALSE)),"")</f>
        <v>EPBM</v>
      </c>
      <c r="F133" s="11" t="str">
        <f>IFERROR(IF(VLOOKUP(A133,[2]PRIORIZADOS!$A:$F,6,FALSE)="","",VLOOKUP(A133,[2]PRIORIZADOS!$A:$F,6,FALSE)),"")</f>
        <v>LICEO_DE_FORMACIÓN_PERSONALIZADA</v>
      </c>
      <c r="G133" s="11" t="str">
        <f>IFERROR(IF(VLOOKUP(A133,[2]PRIORIZADOS!$A:$G,7,FALSE)="","",VLOOKUP(A133,[2]PRIORIZADOS!$A:$G,7,FALSE)),"")</f>
        <v>LICEO_DE_FORMACIÓN_PERSONALIZADA</v>
      </c>
      <c r="H133" s="11" t="str">
        <f>IFERROR(IF(VLOOKUP(A133,[2]PRIORIZADOS!$A:$H,8,FALSE)="","",VLOOKUP(A133,[2]PRIORIZADOS!$A:$H,8,FALSE)),"")</f>
        <v>Autoevaluación Institucional y Pruebas SABER 11</v>
      </c>
      <c r="I133" s="11" t="str">
        <f>IFERROR(IF(VLOOKUP(A133,[2]PRIORIZADOS!$A:$I,9,FALSE)="","",VLOOKUP(A133,[2]PRIORIZADOS!$A:$I,9,FALSE)),"")</f>
        <v>EVALUACIÓN_CON_FINES_DE_MEJORAMIENTO.</v>
      </c>
      <c r="J133" s="11" t="str">
        <f>IFERROR(IF(VLOOKUP(A133,[2]PRIORIZADOS!$A:$J,10,FALSE)="","",VLOOKUP(A133,[2]PRIORIZADOS!$A:$J,10,FALSE)),"")</f>
        <v>Revisar el calendario escolar, jornada escolar, la intensidad horaria mínima anual en cada nivel y las modificaciones que se realicen al mismo, de acuerdo con lo previsto en la normatividad vigente.</v>
      </c>
      <c r="K133" s="11" t="str">
        <f>IFERROR(IF(VLOOKUP(A133,[2]PRIORIZADOS!$A:$K,11,FALSE)="","",VLOOKUP(A133,[2]PRIORIZADOS!$A:$K,11,FALSE)),"")</f>
        <v>DORIS YOLANDA LÓPEZ ARÉVALO</v>
      </c>
      <c r="L133" s="11" t="str">
        <f>IFERROR(IF(VLOOKUP(A133,[2]PRIORIZADOS!$A:$L,12,FALSE)="","",VLOOKUP(A133,[2]PRIORIZADOS!$A:$L,12,FALSE)),"")</f>
        <v xml:space="preserve">ALBERTO MIGUEL PEÑA </v>
      </c>
      <c r="M133" s="88">
        <f>IFERROR(IF(VLOOKUP(A133,[2]PRIORIZADOS!$A:$M,13,FALSE)="","",VLOOKUP(A133,[2]PRIORIZADOS!$A:$M,13,FALSE)),"")</f>
        <v>45846</v>
      </c>
      <c r="N133" s="71">
        <f>IFERROR(IF(VLOOKUP(A133,[2]PRIORIZADOS!$A:$N,14,FALSE)="","",VLOOKUP(A133,[2]PRIORIZADOS!$A:$N,14,FALSE)),"")</f>
        <v>45846</v>
      </c>
      <c r="O133" s="71">
        <f>IFERROR(IF(VLOOKUP(A133,[2]PRIORIZADOS!$A:$O,15,FALSE)="","",VLOOKUP(A133,[2]PRIORIZADOS!$A:$O,15,FALSE)),"")</f>
        <v>45846</v>
      </c>
      <c r="P133" s="11" t="str">
        <f>IFERROR(IF(VLOOKUP(A133,[2]PRIORIZADOS!$A:$P,16,FALSE)="","",VLOOKUP(A133,[2]PRIORIZADOS!$A:$P,16,FALSE)),"")</f>
        <v>Visitas de evaluación con fines de mejoramiento</v>
      </c>
      <c r="Q133" s="119" t="s">
        <v>44</v>
      </c>
      <c r="R133" s="11" t="str">
        <f>IFERROR(IF(VLOOKUP(A133,[2]PRIORIZADOS!$A:$R,18,FALSE)="","",VLOOKUP(A133,[2]PRIORIZADOS!$A:$R,18,FALSE)),"")</f>
        <v>Se evidenció el calendario académico 2025 cumpliendo con la intensidad horaria normada para los grados de básica secundaria y media.</v>
      </c>
      <c r="S133" s="11" t="str">
        <f>IFERROR(IF(VLOOKUP(A133,[2]PRIORIZADOS!$A:$S,19,FALSE)="","",VLOOKUP(A133,[2]PRIORIZADOS!$A:$S,19,FALSE)),"")</f>
        <v>Continuar con la implementación de calendario escolar de acuerdo con las intensidades y las semanas de desarrollo académico.</v>
      </c>
      <c r="T133" s="70" t="str">
        <f>IFERROR(IF(VLOOKUP(A133,[2]PRIORIZADOS!$A:$T,20,FALSE)="","",VLOOKUP(A133,[2]PRIORIZADOS!$A:$T,20,FALSE)),"")</f>
        <v>No</v>
      </c>
      <c r="U133" s="11" t="str">
        <f>IFERROR(IF(VLOOKUP(A133,[2]PRIORIZADOS!$A:$U,21,FALSE)="","",VLOOKUP(A133,[2]PRIORIZADOS!$A:$U,21,FALSE)),"")</f>
        <v>En caso de presentarse una queja, se procederá a revisar la situación.</v>
      </c>
    </row>
    <row r="134" spans="1:21" s="1" customFormat="1" ht="60">
      <c r="A134" s="69">
        <f>IF([2]PRIORIZADOS!A14="","",[2]PRIORIZADOS!A14)</f>
        <v>137</v>
      </c>
      <c r="B134" s="87">
        <f>IFERROR(IF(VLOOKUP(A134,[2]PRIORIZADOS!$A:$B,2,FALSE)="","",VLOOKUP(A134,[2]PRIORIZADOS!$A:$B,2,FALSE)),"")</f>
        <v>1</v>
      </c>
      <c r="C134" s="11" t="str">
        <f>IFERROR(IF(VLOOKUP(A134,[2]PRIORIZADOS!$A:$C,3,FALSE)="","",VLOOKUP(A134,[2]PRIORIZADOS!$A:$C,3,FALSE)),"")</f>
        <v xml:space="preserve">BARRIOS UNIDOS </v>
      </c>
      <c r="D134" s="69" t="str">
        <f>IFERROR(IF(VLOOKUP(A134,[2]PRIORIZADOS!$A:$D,4,FALSE)="","",VLOOKUP(A134,[2]PRIORIZADOS!$A:$D,4,FALSE)),"")</f>
        <v>PRIVADO</v>
      </c>
      <c r="E134" s="69" t="str">
        <f>IFERROR(IF(VLOOKUP(A134,[2]PRIORIZADOS!$A:$E,5,FALSE)="","",VLOOKUP(A134,[2]PRIORIZADOS!$A:$E,5,FALSE)),"")</f>
        <v>EPBM</v>
      </c>
      <c r="F134" s="11" t="str">
        <f>IFERROR(IF(VLOOKUP(A134,[2]PRIORIZADOS!$A:$F,6,FALSE)="","",VLOOKUP(A134,[2]PRIORIZADOS!$A:$F,6,FALSE)),"")</f>
        <v>LICEO_DE_FORMACIÓN_PERSONALIZADA</v>
      </c>
      <c r="G134" s="11" t="str">
        <f>IFERROR(IF(VLOOKUP(A134,[2]PRIORIZADOS!$A:$G,7,FALSE)="","",VLOOKUP(A134,[2]PRIORIZADOS!$A:$G,7,FALSE)),"")</f>
        <v>LICEO_DE_FORMACIÓN_PERSONALIZADA</v>
      </c>
      <c r="H134" s="11" t="str">
        <f>IFERROR(IF(VLOOKUP(A134,[2]PRIORIZADOS!$A:$H,8,FALSE)="","",VLOOKUP(A134,[2]PRIORIZADOS!$A:$H,8,FALSE)),"")</f>
        <v>Autoevaluación Institucional y Pruebas SABER 11</v>
      </c>
      <c r="I134" s="11" t="str">
        <f>IFERROR(IF(VLOOKUP(A134,[2]PRIORIZADOS!$A:$I,9,FALSE)="","",VLOOKUP(A134,[2]PRIORIZADOS!$A:$I,9,FALSE)),"")</f>
        <v>EVALUACIÓN_CON_FINES_DE_MEJORAMIENTO.</v>
      </c>
      <c r="J134" s="11" t="str">
        <f>IFERROR(IF(VLOOKUP(A134,[2]PRIORIZADOS!$A:$J,10,FALSE)="","",VLOOKUP(A134,[2]PRIORIZADOS!$A:$J,10,FALSE)),"")</f>
        <v>Verificar el funcionamiento del Gobierno Escolar e instancias de participación con base en la información sobre conformación reportada por la institución educativa.</v>
      </c>
      <c r="K134" s="11" t="str">
        <f>IFERROR(IF(VLOOKUP(A134,[2]PRIORIZADOS!$A:$K,11,FALSE)="","",VLOOKUP(A134,[2]PRIORIZADOS!$A:$K,11,FALSE)),"")</f>
        <v>DORIS YOLANDA LÓPEZ ARÉVALO</v>
      </c>
      <c r="L134" s="11" t="str">
        <f>IFERROR(IF(VLOOKUP(A134,[2]PRIORIZADOS!$A:$L,12,FALSE)="","",VLOOKUP(A134,[2]PRIORIZADOS!$A:$L,12,FALSE)),"")</f>
        <v xml:space="preserve">ALBERTO MIGUEL PEÑA </v>
      </c>
      <c r="M134" s="88">
        <f>IFERROR(IF(VLOOKUP(A134,[2]PRIORIZADOS!$A:$M,13,FALSE)="","",VLOOKUP(A134,[2]PRIORIZADOS!$A:$M,13,FALSE)),"")</f>
        <v>45846</v>
      </c>
      <c r="N134" s="71">
        <f>IFERROR(IF(VLOOKUP(A134,[2]PRIORIZADOS!$A:$N,14,FALSE)="","",VLOOKUP(A134,[2]PRIORIZADOS!$A:$N,14,FALSE)),"")</f>
        <v>45846</v>
      </c>
      <c r="O134" s="71">
        <f>IFERROR(IF(VLOOKUP(A134,[2]PRIORIZADOS!$A:$O,15,FALSE)="","",VLOOKUP(A134,[2]PRIORIZADOS!$A:$O,15,FALSE)),"")</f>
        <v>45846</v>
      </c>
      <c r="P134" s="11" t="str">
        <f>IFERROR(IF(VLOOKUP(A134,[2]PRIORIZADOS!$A:$P,16,FALSE)="","",VLOOKUP(A134,[2]PRIORIZADOS!$A:$P,16,FALSE)),"")</f>
        <v>Visitas de evaluación con fines de mejoramiento</v>
      </c>
      <c r="Q134" s="119" t="s">
        <v>44</v>
      </c>
      <c r="R134" s="11" t="str">
        <f>IFERROR(IF(VLOOKUP(A134,[2]PRIORIZADOS!$A:$R,18,FALSE)="","",VLOOKUP(A134,[2]PRIORIZADOS!$A:$R,18,FALSE)),"")</f>
        <v>Se evidenciaron las actas de conformación, así como las actas de gestión 2025, correspondientes a los diferentes estamentos del Gobierno Escolar.</v>
      </c>
      <c r="S134" s="11" t="str">
        <f>IFERROR(IF(VLOOKUP(A134,[2]PRIORIZADOS!$A:$S,19,FALSE)="","",VLOOKUP(A134,[2]PRIORIZADOS!$A:$S,19,FALSE)),"")</f>
        <v>Se les insta a continuar con las reuniones y levantamientos de actas en pro de seguir distinguiéndose y permitir el actuar de toda la comunidad educativa.</v>
      </c>
      <c r="T134" s="70" t="str">
        <f>IFERROR(IF(VLOOKUP(A134,[2]PRIORIZADOS!$A:$T,20,FALSE)="","",VLOOKUP(A134,[2]PRIORIZADOS!$A:$T,20,FALSE)),"")</f>
        <v>No</v>
      </c>
      <c r="U134" s="11" t="str">
        <f>IFERROR(IF(VLOOKUP(A134,[2]PRIORIZADOS!$A:$U,21,FALSE)="","",VLOOKUP(A134,[2]PRIORIZADOS!$A:$U,21,FALSE)),"")</f>
        <v>En caso de presentarse una queja, se procederá a revisar la situación.</v>
      </c>
    </row>
    <row r="135" spans="1:21" s="1" customFormat="1" ht="48">
      <c r="A135" s="69">
        <f>IF([2]PRIORIZADOS!A15="","",[2]PRIORIZADOS!A15)</f>
        <v>138</v>
      </c>
      <c r="B135" s="87">
        <f>IFERROR(IF(VLOOKUP(A135,[2]PRIORIZADOS!$A:$B,2,FALSE)="","",VLOOKUP(A135,[2]PRIORIZADOS!$A:$B,2,FALSE)),"")</f>
        <v>1</v>
      </c>
      <c r="C135" s="11" t="str">
        <f>IFERROR(IF(VLOOKUP(A135,[2]PRIORIZADOS!$A:$C,3,FALSE)="","",VLOOKUP(A135,[2]PRIORIZADOS!$A:$C,3,FALSE)),"")</f>
        <v xml:space="preserve">BARRIOS UNIDOS </v>
      </c>
      <c r="D135" s="69" t="str">
        <f>IFERROR(IF(VLOOKUP(A135,[2]PRIORIZADOS!$A:$D,4,FALSE)="","",VLOOKUP(A135,[2]PRIORIZADOS!$A:$D,4,FALSE)),"")</f>
        <v>PRIVADO</v>
      </c>
      <c r="E135" s="69" t="str">
        <f>IFERROR(IF(VLOOKUP(A135,[2]PRIORIZADOS!$A:$E,5,FALSE)="","",VLOOKUP(A135,[2]PRIORIZADOS!$A:$E,5,FALSE)),"")</f>
        <v>EPBM</v>
      </c>
      <c r="F135" s="11" t="str">
        <f>IFERROR(IF(VLOOKUP(A135,[2]PRIORIZADOS!$A:$F,6,FALSE)="","",VLOOKUP(A135,[2]PRIORIZADOS!$A:$F,6,FALSE)),"")</f>
        <v>LICEO_DE_FORMACIÓN_PERSONALIZADA</v>
      </c>
      <c r="G135" s="11" t="str">
        <f>IFERROR(IF(VLOOKUP(A135,[2]PRIORIZADOS!$A:$G,7,FALSE)="","",VLOOKUP(A135,[2]PRIORIZADOS!$A:$G,7,FALSE)),"")</f>
        <v>LICEO_DE_FORMACIÓN_PERSONALIZADA</v>
      </c>
      <c r="H135" s="11" t="str">
        <f>IFERROR(IF(VLOOKUP(A135,[2]PRIORIZADOS!$A:$H,8,FALSE)="","",VLOOKUP(A135,[2]PRIORIZADOS!$A:$H,8,FALSE)),"")</f>
        <v>Autoevaluación Institucional y Pruebas SABER 11</v>
      </c>
      <c r="I135" s="11" t="str">
        <f>IFERROR(IF(VLOOKUP(A135,[2]PRIORIZADOS!$A:$I,9,FALSE)="","",VLOOKUP(A135,[2]PRIORIZADOS!$A:$I,9,FALSE)),"")</f>
        <v>EVALUACIÓN_CON_FINES_DE_MEJORAMIENTO.</v>
      </c>
      <c r="J135" s="11" t="str">
        <f>IFERROR(IF(VLOOKUP(A135,[2]PRIORIZADOS!$A:$J,10,FALSE)="","",VLOOKUP(A135,[2]PRIORIZADOS!$A:$J,10,FALSE)),"")</f>
        <v>Verificar las condiciones en cuanto a: la estructura administrativa, condiciones de la planta física y medios educativos adecuados.</v>
      </c>
      <c r="K135" s="11" t="str">
        <f>IFERROR(IF(VLOOKUP(A135,[2]PRIORIZADOS!$A:$K,11,FALSE)="","",VLOOKUP(A135,[2]PRIORIZADOS!$A:$K,11,FALSE)),"")</f>
        <v>DORIS YOLANDA LÓPEZ ARÉVALO</v>
      </c>
      <c r="L135" s="11" t="str">
        <f>IFERROR(IF(VLOOKUP(A135,[2]PRIORIZADOS!$A:$L,12,FALSE)="","",VLOOKUP(A135,[2]PRIORIZADOS!$A:$L,12,FALSE)),"")</f>
        <v xml:space="preserve">ALBERTO MIGUEL PEÑA </v>
      </c>
      <c r="M135" s="88">
        <f>IFERROR(IF(VLOOKUP(A135,[2]PRIORIZADOS!$A:$M,13,FALSE)="","",VLOOKUP(A135,[2]PRIORIZADOS!$A:$M,13,FALSE)),"")</f>
        <v>45846</v>
      </c>
      <c r="N135" s="71">
        <f>IFERROR(IF(VLOOKUP(A135,[2]PRIORIZADOS!$A:$N,14,FALSE)="","",VLOOKUP(A135,[2]PRIORIZADOS!$A:$N,14,FALSE)),"")</f>
        <v>45846</v>
      </c>
      <c r="O135" s="71">
        <f>IFERROR(IF(VLOOKUP(A135,[2]PRIORIZADOS!$A:$O,15,FALSE)="","",VLOOKUP(A135,[2]PRIORIZADOS!$A:$O,15,FALSE)),"")</f>
        <v>45846</v>
      </c>
      <c r="P135" s="11" t="str">
        <f>IFERROR(IF(VLOOKUP(A135,[2]PRIORIZADOS!$A:$P,16,FALSE)="","",VLOOKUP(A135,[2]PRIORIZADOS!$A:$P,16,FALSE)),"")</f>
        <v>Visitas de evaluación con fines de mejoramiento</v>
      </c>
      <c r="Q135" s="119" t="s">
        <v>44</v>
      </c>
      <c r="R135" s="11" t="str">
        <f>IFERROR(IF(VLOOKUP(A135,[2]PRIORIZADOS!$A:$R,18,FALSE)="","",VLOOKUP(A135,[2]PRIORIZADOS!$A:$R,18,FALSE)),"")</f>
        <v>Se realizó recorrido por unificación de sedes, se habla acerca de la acomodación de puestos, no hacinamiento, se revisan accesos de estudiantes a diferentes áreas.</v>
      </c>
      <c r="S135" s="11" t="str">
        <f>IFERROR(IF(VLOOKUP(A135,[2]PRIORIZADOS!$A:$S,19,FALSE)="","",VLOOKUP(A135,[2]PRIORIZADOS!$A:$S,19,FALSE)),"")</f>
        <v>Si bien se hacen algunas recomendaciones se deja a voluntad de la IE, por la seguridad de los estudiantes, no se hacen requerimientos de fondo.</v>
      </c>
      <c r="T135" s="70" t="str">
        <f>IFERROR(IF(VLOOKUP(A135,[2]PRIORIZADOS!$A:$T,20,FALSE)="","",VLOOKUP(A135,[2]PRIORIZADOS!$A:$T,20,FALSE)),"")</f>
        <v>No</v>
      </c>
      <c r="U135" s="11" t="str">
        <f>IFERROR(IF(VLOOKUP(A135,[2]PRIORIZADOS!$A:$U,21,FALSE)="","",VLOOKUP(A135,[2]PRIORIZADOS!$A:$U,21,FALSE)),"")</f>
        <v>Cuando se realice la visita de seguimiento, se verificara los aspectos requeridos.</v>
      </c>
    </row>
    <row r="136" spans="1:21" s="1" customFormat="1" ht="72">
      <c r="A136" s="69">
        <f>IF([2]PRIORIZADOS!A16="","",[2]PRIORIZADOS!A16)</f>
        <v>139</v>
      </c>
      <c r="B136" s="87">
        <f>IFERROR(IF(VLOOKUP(A136,[2]PRIORIZADOS!$A:$B,2,FALSE)="","",VLOOKUP(A136,[2]PRIORIZADOS!$A:$B,2,FALSE)),"")</f>
        <v>2</v>
      </c>
      <c r="C136" s="11" t="str">
        <f>IFERROR(IF(VLOOKUP(A136,[2]PRIORIZADOS!$A:$C,3,FALSE)="","",VLOOKUP(A136,[2]PRIORIZADOS!$A:$C,3,FALSE)),"")</f>
        <v xml:space="preserve">BARRIOS UNIDOS </v>
      </c>
      <c r="D136" s="69" t="str">
        <f>IFERROR(IF(VLOOKUP(A136,[2]PRIORIZADOS!$A:$D,4,FALSE)="","",VLOOKUP(A136,[2]PRIORIZADOS!$A:$D,4,FALSE)),"")</f>
        <v>PRIVADO</v>
      </c>
      <c r="E136" s="69" t="str">
        <f>IFERROR(IF(VLOOKUP(A136,[2]PRIORIZADOS!$A:$E,5,FALSE)="","",VLOOKUP(A136,[2]PRIORIZADOS!$A:$E,5,FALSE)),"")</f>
        <v>Educación de Jóvenes y Adultos</v>
      </c>
      <c r="F136" s="11" t="str">
        <f>IFERROR(IF(VLOOKUP(A136,[2]PRIORIZADOS!$A:$F,6,FALSE)="","",VLOOKUP(A136,[2]PRIORIZADOS!$A:$F,6,FALSE)),"")</f>
        <v>COLEGIO_CAPACITACION_2000_CHAPINERO</v>
      </c>
      <c r="G136" s="11" t="str">
        <f>IFERROR(IF(VLOOKUP(A136,[2]PRIORIZADOS!$A:$G,7,FALSE)="","",VLOOKUP(A136,[2]PRIORIZADOS!$A:$G,7,FALSE)),"")</f>
        <v>COLEGIO_CAPACITACION_2000_CHAPINERO</v>
      </c>
      <c r="H136" s="11" t="str">
        <f>IFERROR(IF(VLOOKUP(A136,[2]PRIORIZADOS!$A:$H,8,FALSE)="","",VLOOKUP(A136,[2]PRIORIZADOS!$A:$H,8,FALSE)),"")</f>
        <v>Autoevaluación Institucional y Pruebas SABER 11</v>
      </c>
      <c r="I136" s="11" t="str">
        <f>IFERROR(IF(VLOOKUP(A136,[2]PRIORIZADOS!$A:$I,9,FALSE)="","",VLOOKUP(A136,[2]PRIORIZADOS!$A:$I,9,FALSE)),"")</f>
        <v>SEGUIMIENTO_Y_SUPERVISIÓN.</v>
      </c>
      <c r="J136" s="11" t="str">
        <f>IFERROR(IF(VLOOKUP(A136,[2]PRIORIZADOS!$A:$J,10,FALSE)="","",VLOOKUP(A136,[2]PRIORIZADOS!$A:$J,10,FALSE)),"")</f>
        <v>Realizar visitas para verificar la información registrada sobre la autoevaluación institucional en el aplicativo EVI, a los establecimientos de educación formal no oficial.</v>
      </c>
      <c r="K136" s="11" t="str">
        <f>IFERROR(IF(VLOOKUP(A136,[2]PRIORIZADOS!$A:$K,11,FALSE)="","",VLOOKUP(A136,[2]PRIORIZADOS!$A:$K,11,FALSE)),"")</f>
        <v xml:space="preserve">ALBERTO MIGUEL PEÑA </v>
      </c>
      <c r="L136" s="11" t="str">
        <f>IFERROR(IF(VLOOKUP(A136,[2]PRIORIZADOS!$A:$L,12,FALSE)="","",VLOOKUP(A136,[2]PRIORIZADOS!$A:$L,12,FALSE)),"")</f>
        <v>DORIS YOLANDA LÓPEZ ARÉVALO</v>
      </c>
      <c r="M136" s="88">
        <f>IFERROR(IF(VLOOKUP(A136,[2]PRIORIZADOS!$A:$M,13,FALSE)="","",VLOOKUP(A136,[2]PRIORIZADOS!$A:$M,13,FALSE)),"")</f>
        <v>45768</v>
      </c>
      <c r="N136" s="71">
        <f>IFERROR(IF(VLOOKUP(A136,[2]PRIORIZADOS!$A:$N,14,FALSE)="","",VLOOKUP(A136,[2]PRIORIZADOS!$A:$N,14,FALSE)),"")</f>
        <v>45768</v>
      </c>
      <c r="O136" s="71">
        <f>IFERROR(IF(VLOOKUP(A136,[2]PRIORIZADOS!$A:$O,15,FALSE)="","",VLOOKUP(A136,[2]PRIORIZADOS!$A:$O,15,FALSE)),"")</f>
        <v>45768</v>
      </c>
      <c r="P136" s="11" t="str">
        <f>IFERROR(IF(VLOOKUP(A136,[2]PRIORIZADOS!$A:$P,16,FALSE)="","",VLOOKUP(A136,[2]PRIORIZADOS!$A:$P,16,FALSE)),"")</f>
        <v>Visitas de evaluación con fines de mejoramiento</v>
      </c>
      <c r="Q136" s="119" t="s">
        <v>45</v>
      </c>
      <c r="R136" s="11" t="str">
        <f>IFERROR(IF(VLOOKUP(A136,[2]PRIORIZADOS!$A:$R,18,FALSE)="","",VLOOKUP(A136,[2]PRIORIZADOS!$A:$R,18,FALSE)),"")</f>
        <v>Se encontró una diferencia respecto al certificado del SIMAT de 56 estudiantes en total. De igual forma se evidenció un reporte en SIMAT de 9 estudiantes de inclusión y  al momento de la visita eran 10 en la institución.</v>
      </c>
      <c r="S136" s="11" t="str">
        <f>IFERROR(IF(VLOOKUP(A136,[2]PRIORIZADOS!$A:$S,19,FALSE)="","",VLOOKUP(A136,[2]PRIORIZADOS!$A:$S,19,FALSE)),"")</f>
        <v>La IE debe ajustar y actualizar los estudiantes en la plataforma SIMAT</v>
      </c>
      <c r="T136" s="70" t="str">
        <f>IFERROR(IF(VLOOKUP(A136,[2]PRIORIZADOS!$A:$T,20,FALSE)="","",VLOOKUP(A136,[2]PRIORIZADOS!$A:$T,20,FALSE)),"")</f>
        <v>No</v>
      </c>
      <c r="U136" s="11" t="str">
        <f>IFERROR(IF(VLOOKUP(A136,[2]PRIORIZADOS!$A:$U,21,FALSE)="","",VLOOKUP(A136,[2]PRIORIZADOS!$A:$U,21,FALSE)),"")</f>
        <v xml:space="preserve">Se revisará la actualización en  SIMAT </v>
      </c>
    </row>
    <row r="137" spans="1:21" s="1" customFormat="1" ht="60">
      <c r="A137" s="69">
        <f>IF([2]PRIORIZADOS!A17="","",[2]PRIORIZADOS!A17)</f>
        <v>140</v>
      </c>
      <c r="B137" s="87">
        <f>IFERROR(IF(VLOOKUP(A137,[2]PRIORIZADOS!$A:$B,2,FALSE)="","",VLOOKUP(A137,[2]PRIORIZADOS!$A:$B,2,FALSE)),"")</f>
        <v>2</v>
      </c>
      <c r="C137" s="11" t="str">
        <f>IFERROR(IF(VLOOKUP(A137,[2]PRIORIZADOS!$A:$C,3,FALSE)="","",VLOOKUP(A137,[2]PRIORIZADOS!$A:$C,3,FALSE)),"")</f>
        <v xml:space="preserve">BARRIOS UNIDOS </v>
      </c>
      <c r="D137" s="69" t="str">
        <f>IFERROR(IF(VLOOKUP(A137,[2]PRIORIZADOS!$A:$D,4,FALSE)="","",VLOOKUP(A137,[2]PRIORIZADOS!$A:$D,4,FALSE)),"")</f>
        <v>PRIVADO</v>
      </c>
      <c r="E137" s="69" t="str">
        <f>IFERROR(IF(VLOOKUP(A137,[2]PRIORIZADOS!$A:$E,5,FALSE)="","",VLOOKUP(A137,[2]PRIORIZADOS!$A:$E,5,FALSE)),"")</f>
        <v>Educación de Jóvenes y Adultos</v>
      </c>
      <c r="F137" s="11" t="str">
        <f>IFERROR(IF(VLOOKUP(A137,[2]PRIORIZADOS!$A:$F,6,FALSE)="","",VLOOKUP(A137,[2]PRIORIZADOS!$A:$F,6,FALSE)),"")</f>
        <v>COLEGIO_CAPACITACION_2000_CHAPINERO</v>
      </c>
      <c r="G137" s="11" t="str">
        <f>IFERROR(IF(VLOOKUP(A137,[2]PRIORIZADOS!$A:$G,7,FALSE)="","",VLOOKUP(A137,[2]PRIORIZADOS!$A:$G,7,FALSE)),"")</f>
        <v>COLEGIO_CAPACITACION_2000_CHAPINERO</v>
      </c>
      <c r="H137" s="11" t="str">
        <f>IFERROR(IF(VLOOKUP(A137,[2]PRIORIZADOS!$A:$H,8,FALSE)="","",VLOOKUP(A137,[2]PRIORIZADOS!$A:$H,8,FALSE)),"")</f>
        <v>Autoevaluación Institucional y Pruebas SABER 11</v>
      </c>
      <c r="I137" s="11" t="str">
        <f>IFERROR(IF(VLOOKUP(A137,[2]PRIORIZADOS!$A:$I,9,FALSE)="","",VLOOKUP(A137,[2]PRIORIZADOS!$A:$I,9,FALSE)),"")</f>
        <v>SEGUIMIENTO_Y_SUPERVISIÓN.</v>
      </c>
      <c r="J137" s="11" t="str">
        <f>IFERROR(IF(VLOOKUP(A137,[2]PRIORIZADOS!$A:$J,10,FALSE)="","",VLOOKUP(A137,[2]PRIORIZADOS!$A:$J,10,FALSE)),"")</f>
        <v>Proponer estrategias en la formulación, verificar su elaboración y realizar seguimiento semestral al desarrollo de  las acciones establecidas en los planes de mejoramiento por pruebas SABER 11 de los establecimientos de educación formal.</v>
      </c>
      <c r="K137" s="11" t="str">
        <f>IFERROR(IF(VLOOKUP(A137,[2]PRIORIZADOS!$A:$K,11,FALSE)="","",VLOOKUP(A137,[2]PRIORIZADOS!$A:$K,11,FALSE)),"")</f>
        <v xml:space="preserve">ALBERTO MIGUEL PEÑA </v>
      </c>
      <c r="L137" s="11" t="str">
        <f>IFERROR(IF(VLOOKUP(A137,[2]PRIORIZADOS!$A:$L,12,FALSE)="","",VLOOKUP(A137,[2]PRIORIZADOS!$A:$L,12,FALSE)),"")</f>
        <v>DORIS YOLANDA LÓPEZ ARÉVALO</v>
      </c>
      <c r="M137" s="88">
        <f>IFERROR(IF(VLOOKUP(A137,[2]PRIORIZADOS!$A:$M,13,FALSE)="","",VLOOKUP(A137,[2]PRIORIZADOS!$A:$M,13,FALSE)),"")</f>
        <v>45768</v>
      </c>
      <c r="N137" s="71">
        <f>IFERROR(IF(VLOOKUP(A137,[2]PRIORIZADOS!$A:$N,14,FALSE)="","",VLOOKUP(A137,[2]PRIORIZADOS!$A:$N,14,FALSE)),"")</f>
        <v>45768</v>
      </c>
      <c r="O137" s="71">
        <f>IFERROR(IF(VLOOKUP(A137,[2]PRIORIZADOS!$A:$O,15,FALSE)="","",VLOOKUP(A137,[2]PRIORIZADOS!$A:$O,15,FALSE)),"")</f>
        <v>45768</v>
      </c>
      <c r="P137" s="11" t="str">
        <f>IFERROR(IF(VLOOKUP(A137,[2]PRIORIZADOS!$A:$P,16,FALSE)="","",VLOOKUP(A137,[2]PRIORIZADOS!$A:$P,16,FALSE)),"")</f>
        <v>Visitas de evaluación con fines de mejoramiento</v>
      </c>
      <c r="Q137" s="119" t="s">
        <v>45</v>
      </c>
      <c r="R137" s="11" t="str">
        <f>IFERROR(IF(VLOOKUP(A137,[2]PRIORIZADOS!$A:$R,18,FALSE)="","",VLOOKUP(A137,[2]PRIORIZADOS!$A:$R,18,FALSE)),"")</f>
        <v>Se evidenció que no se cuenta con un plan o programa que permita intensificar y profundizar la preparación para Saber 11.</v>
      </c>
      <c r="S137" s="11" t="str">
        <f>IFERROR(IF(VLOOKUP(A137,[2]PRIORIZADOS!$A:$S,19,FALSE)="","",VLOOKUP(A137,[2]PRIORIZADOS!$A:$S,19,FALSE)),"")</f>
        <v>Se solicita elaborar un plan de mejoramiento que incluya una estrategia para mejorar el desempeño de los estudiantes en las pruebas Saber 11 del año 2025.</v>
      </c>
      <c r="T137" s="70" t="str">
        <f>IFERROR(IF(VLOOKUP(A137,[2]PRIORIZADOS!$A:$T,20,FALSE)="","",VLOOKUP(A137,[2]PRIORIZADOS!$A:$T,20,FALSE)),"")</f>
        <v>Si</v>
      </c>
      <c r="U137" s="11" t="str">
        <f>IFERROR(IF(VLOOKUP(A137,[2]PRIORIZADOS!$A:$U,21,FALSE)="","",VLOOKUP(A137,[2]PRIORIZADOS!$A:$U,21,FALSE)),"")</f>
        <v>La institución educativa remitirá el Plan de Mejoramiento, incluyendo una estrategia, antes del 13 de junio de 2025.</v>
      </c>
    </row>
    <row r="138" spans="1:21" s="1" customFormat="1" ht="96">
      <c r="A138" s="69">
        <f>IF([2]PRIORIZADOS!A18="","",[2]PRIORIZADOS!A18)</f>
        <v>141</v>
      </c>
      <c r="B138" s="87">
        <f>IFERROR(IF(VLOOKUP(A138,[2]PRIORIZADOS!$A:$B,2,FALSE)="","",VLOOKUP(A138,[2]PRIORIZADOS!$A:$B,2,FALSE)),"")</f>
        <v>2</v>
      </c>
      <c r="C138" s="11" t="str">
        <f>IFERROR(IF(VLOOKUP(A138,[2]PRIORIZADOS!$A:$C,3,FALSE)="","",VLOOKUP(A138,[2]PRIORIZADOS!$A:$C,3,FALSE)),"")</f>
        <v xml:space="preserve">BARRIOS UNIDOS </v>
      </c>
      <c r="D138" s="69" t="str">
        <f>IFERROR(IF(VLOOKUP(A138,[2]PRIORIZADOS!$A:$D,4,FALSE)="","",VLOOKUP(A138,[2]PRIORIZADOS!$A:$D,4,FALSE)),"")</f>
        <v>PRIVADO</v>
      </c>
      <c r="E138" s="69" t="str">
        <f>IFERROR(IF(VLOOKUP(A138,[2]PRIORIZADOS!$A:$E,5,FALSE)="","",VLOOKUP(A138,[2]PRIORIZADOS!$A:$E,5,FALSE)),"")</f>
        <v>Educación de Jóvenes y Adultos</v>
      </c>
      <c r="F138" s="11" t="str">
        <f>IFERROR(IF(VLOOKUP(A138,[2]PRIORIZADOS!$A:$F,6,FALSE)="","",VLOOKUP(A138,[2]PRIORIZADOS!$A:$F,6,FALSE)),"")</f>
        <v>COLEGIO_CAPACITACION_2000_CHAPINERO</v>
      </c>
      <c r="G138" s="11" t="str">
        <f>IFERROR(IF(VLOOKUP(A138,[2]PRIORIZADOS!$A:$G,7,FALSE)="","",VLOOKUP(A138,[2]PRIORIZADOS!$A:$G,7,FALSE)),"")</f>
        <v>COLEGIO_CAPACITACION_2000_CHAPINERO</v>
      </c>
      <c r="H138" s="11" t="str">
        <f>IFERROR(IF(VLOOKUP(A138,[2]PRIORIZADOS!$A:$H,8,FALSE)="","",VLOOKUP(A138,[2]PRIORIZADOS!$A:$H,8,FALSE)),"")</f>
        <v>Autoevaluación Institucional y Pruebas SABER 11</v>
      </c>
      <c r="I138" s="11" t="str">
        <f>IFERROR(IF(VLOOKUP(A138,[2]PRIORIZADOS!$A:$I,9,FALSE)="","",VLOOKUP(A138,[2]PRIORIZADOS!$A:$I,9,FALSE)),"")</f>
        <v>SEGUIMIENTO_Y_SUPERVISIÓN.</v>
      </c>
      <c r="J138" s="11" t="str">
        <f>IFERROR(IF(VLOOKUP(A138,[2]PRIORIZADOS!$A:$J,10,FALSE)="","",VLOOKUP(A138,[2]PRIORIZADOS!$A:$J,10,FALSE)),"")</f>
        <v xml:space="preserve">Verificar la implementación por parte de los colegios, de acciones realizadas para la prevención y atención de las situaciones de convivencia en el entorno escolar, según lo establecido en la Directiva 01 de 2022 del MEN. </v>
      </c>
      <c r="K138" s="11" t="str">
        <f>IFERROR(IF(VLOOKUP(A138,[2]PRIORIZADOS!$A:$K,11,FALSE)="","",VLOOKUP(A138,[2]PRIORIZADOS!$A:$K,11,FALSE)),"")</f>
        <v xml:space="preserve">ALBERTO MIGUEL PEÑA </v>
      </c>
      <c r="L138" s="11" t="str">
        <f>IFERROR(IF(VLOOKUP(A138,[2]PRIORIZADOS!$A:$L,12,FALSE)="","",VLOOKUP(A138,[2]PRIORIZADOS!$A:$L,12,FALSE)),"")</f>
        <v>DORIS YOLANDA LÓPEZ ARÉVALO</v>
      </c>
      <c r="M138" s="88">
        <f>IFERROR(IF(VLOOKUP(A138,[2]PRIORIZADOS!$A:$M,13,FALSE)="","",VLOOKUP(A138,[2]PRIORIZADOS!$A:$M,13,FALSE)),"")</f>
        <v>45768</v>
      </c>
      <c r="N138" s="71">
        <f>IFERROR(IF(VLOOKUP(A138,[2]PRIORIZADOS!$A:$N,14,FALSE)="","",VLOOKUP(A138,[2]PRIORIZADOS!$A:$N,14,FALSE)),"")</f>
        <v>45768</v>
      </c>
      <c r="O138" s="71">
        <f>IFERROR(IF(VLOOKUP(A138,[2]PRIORIZADOS!$A:$O,15,FALSE)="","",VLOOKUP(A138,[2]PRIORIZADOS!$A:$O,15,FALSE)),"")</f>
        <v>45768</v>
      </c>
      <c r="P138" s="11" t="str">
        <f>IFERROR(IF(VLOOKUP(A138,[2]PRIORIZADOS!$A:$P,16,FALSE)="","",VLOOKUP(A138,[2]PRIORIZADOS!$A:$P,16,FALSE)),"")</f>
        <v>Visitas de evaluación con fines de mejoramiento</v>
      </c>
      <c r="Q138" s="119" t="s">
        <v>45</v>
      </c>
      <c r="R138" s="11" t="str">
        <f>IFERROR(IF(VLOOKUP(A138,[2]PRIORIZADOS!$A:$R,18,FALSE)="","",VLOOKUP(A138,[2]PRIORIZADOS!$A:$R,18,FALSE)),"")</f>
        <v>Se revisaron las hojas de vida de tres docentes, un administrativo y un coordinador docente. No reposan otras hojas de vida de docentes, debido a que están vinculados a la institución propietaria. Se evidenció que no se realiza la verificación de antecedentes cada cuatro meses.</v>
      </c>
      <c r="S138" s="11" t="str">
        <f>IFERROR(IF(VLOOKUP(A138,[2]PRIORIZADOS!$A:$S,19,FALSE)="","",VLOOKUP(A138,[2]PRIORIZADOS!$A:$S,19,FALSE)),"")</f>
        <v>Se solicita contar con las hojas de vida de todos los docentes de la institución. Además, se requiere cumplir con la Directiva 001 de 2022 del MEN respecto a la verificación de antecedentes.</v>
      </c>
      <c r="T138" s="70" t="str">
        <f>IFERROR(IF(VLOOKUP(A138,[2]PRIORIZADOS!$A:$T,20,FALSE)="","",VLOOKUP(A138,[2]PRIORIZADOS!$A:$T,20,FALSE)),"")</f>
        <v>Si</v>
      </c>
      <c r="U138" s="11" t="str">
        <f>IFERROR(IF(VLOOKUP(A138,[2]PRIORIZADOS!$A:$U,21,FALSE)="","",VLOOKUP(A138,[2]PRIORIZADOS!$A:$U,21,FALSE)),"")</f>
        <v>La institución educativa remitirá el Plan de Mejoramiento antes del 13 de junio de 2025.</v>
      </c>
    </row>
    <row r="139" spans="1:21" s="1" customFormat="1" ht="72">
      <c r="A139" s="69">
        <f>IF([2]PRIORIZADOS!A19="","",[2]PRIORIZADOS!A19)</f>
        <v>142</v>
      </c>
      <c r="B139" s="87">
        <f>IFERROR(IF(VLOOKUP(A139,[2]PRIORIZADOS!$A:$B,2,FALSE)="","",VLOOKUP(A139,[2]PRIORIZADOS!$A:$B,2,FALSE)),"")</f>
        <v>2</v>
      </c>
      <c r="C139" s="11" t="str">
        <f>IFERROR(IF(VLOOKUP(A139,[2]PRIORIZADOS!$A:$C,3,FALSE)="","",VLOOKUP(A139,[2]PRIORIZADOS!$A:$C,3,FALSE)),"")</f>
        <v xml:space="preserve">BARRIOS UNIDOS </v>
      </c>
      <c r="D139" s="69" t="str">
        <f>IFERROR(IF(VLOOKUP(A139,[2]PRIORIZADOS!$A:$D,4,FALSE)="","",VLOOKUP(A139,[2]PRIORIZADOS!$A:$D,4,FALSE)),"")</f>
        <v>PRIVADO</v>
      </c>
      <c r="E139" s="69" t="str">
        <f>IFERROR(IF(VLOOKUP(A139,[2]PRIORIZADOS!$A:$E,5,FALSE)="","",VLOOKUP(A139,[2]PRIORIZADOS!$A:$E,5,FALSE)),"")</f>
        <v>Educación de Jóvenes y Adultos</v>
      </c>
      <c r="F139" s="11" t="str">
        <f>IFERROR(IF(VLOOKUP(A139,[2]PRIORIZADOS!$A:$F,6,FALSE)="","",VLOOKUP(A139,[2]PRIORIZADOS!$A:$F,6,FALSE)),"")</f>
        <v>COLEGIO_CAPACITACION_2000_CHAPINERO</v>
      </c>
      <c r="G139" s="11" t="str">
        <f>IFERROR(IF(VLOOKUP(A139,[2]PRIORIZADOS!$A:$G,7,FALSE)="","",VLOOKUP(A139,[2]PRIORIZADOS!$A:$G,7,FALSE)),"")</f>
        <v>COLEGIO_CAPACITACION_2000_CHAPINERO</v>
      </c>
      <c r="H139" s="11" t="str">
        <f>IFERROR(IF(VLOOKUP(A139,[2]PRIORIZADOS!$A:$H,8,FALSE)="","",VLOOKUP(A139,[2]PRIORIZADOS!$A:$H,8,FALSE)),"")</f>
        <v>Autoevaluación Institucional y Pruebas SABER 11</v>
      </c>
      <c r="I139" s="11" t="str">
        <f>IFERROR(IF(VLOOKUP(A139,[2]PRIORIZADOS!$A:$I,9,FALSE)="","",VLOOKUP(A139,[2]PRIORIZADOS!$A:$I,9,FALSE)),"")</f>
        <v>SEGUIMIENTO_Y_SUPERVISIÓN.</v>
      </c>
      <c r="J139" s="11" t="str">
        <f>IFERROR(IF(VLOOKUP(A139,[2]PRIORIZADOS!$A:$J,10,FALSE)="","",VLOOKUP(A139,[2]PRIORIZADOS!$A:$J,10,FALSE)),"")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9" s="11" t="str">
        <f>IFERROR(IF(VLOOKUP(A139,[2]PRIORIZADOS!$A:$K,11,FALSE)="","",VLOOKUP(A139,[2]PRIORIZADOS!$A:$K,11,FALSE)),"")</f>
        <v xml:space="preserve">ALBERTO MIGUEL PEÑA </v>
      </c>
      <c r="L139" s="11" t="str">
        <f>IFERROR(IF(VLOOKUP(A139,[2]PRIORIZADOS!$A:$L,12,FALSE)="","",VLOOKUP(A139,[2]PRIORIZADOS!$A:$L,12,FALSE)),"")</f>
        <v>DORIS YOLANDA LÓPEZ ARÉVALO</v>
      </c>
      <c r="M139" s="88">
        <f>IFERROR(IF(VLOOKUP(A139,[2]PRIORIZADOS!$A:$M,13,FALSE)="","",VLOOKUP(A139,[2]PRIORIZADOS!$A:$M,13,FALSE)),"")</f>
        <v>45768</v>
      </c>
      <c r="N139" s="71">
        <f>IFERROR(IF(VLOOKUP(A139,[2]PRIORIZADOS!$A:$N,14,FALSE)="","",VLOOKUP(A139,[2]PRIORIZADOS!$A:$N,14,FALSE)),"")</f>
        <v>45768</v>
      </c>
      <c r="O139" s="71">
        <f>IFERROR(IF(VLOOKUP(A139,[2]PRIORIZADOS!$A:$O,15,FALSE)="","",VLOOKUP(A139,[2]PRIORIZADOS!$A:$O,15,FALSE)),"")</f>
        <v>45768</v>
      </c>
      <c r="P139" s="11" t="str">
        <f>IFERROR(IF(VLOOKUP(A139,[2]PRIORIZADOS!$A:$P,16,FALSE)="","",VLOOKUP(A139,[2]PRIORIZADOS!$A:$P,16,FALSE)),"")</f>
        <v>Visitas de evaluación con fines de mejoramiento</v>
      </c>
      <c r="Q139" s="119" t="s">
        <v>45</v>
      </c>
      <c r="R139" s="11" t="str">
        <f>IFERROR(IF(VLOOKUP(A139,[2]PRIORIZADOS!$A:$R,18,FALSE)="","",VLOOKUP(A139,[2]PRIORIZADOS!$A:$R,18,FALSE)),"")</f>
        <v>Se identificó que 10 estudiantes tienen PIAR, y se constató que los documentos institucionales incluyen disposiciones para atender a esta población.</v>
      </c>
      <c r="S139" s="11" t="str">
        <f>IFERROR(IF(VLOOKUP(A139,[2]PRIORIZADOS!$A:$S,19,FALSE)="","",VLOOKUP(A139,[2]PRIORIZADOS!$A:$S,19,FALSE)),"")</f>
        <v>Se insta a mantener la gestión que ha sido llevada a cabo.</v>
      </c>
      <c r="T139" s="70" t="str">
        <f>IFERROR(IF(VLOOKUP(A139,[2]PRIORIZADOS!$A:$T,20,FALSE)="","",VLOOKUP(A139,[2]PRIORIZADOS!$A:$T,20,FALSE)),"")</f>
        <v>No</v>
      </c>
      <c r="U139" s="11" t="str">
        <f>IFERROR(IF(VLOOKUP(A139,[2]PRIORIZADOS!$A:$U,21,FALSE)="","",VLOOKUP(A139,[2]PRIORIZADOS!$A:$U,21,FALSE)),"")</f>
        <v>De presentarse una queja con alguno de los estudiantes de inclusión se entrará a revisar la situación.</v>
      </c>
    </row>
    <row r="140" spans="1:21" s="1" customFormat="1" ht="84">
      <c r="A140" s="69">
        <f>IF([2]PRIORIZADOS!A20="","",[2]PRIORIZADOS!A20)</f>
        <v>143</v>
      </c>
      <c r="B140" s="87">
        <f>IFERROR(IF(VLOOKUP(A140,[2]PRIORIZADOS!$A:$B,2,FALSE)="","",VLOOKUP(A140,[2]PRIORIZADOS!$A:$B,2,FALSE)),"")</f>
        <v>2</v>
      </c>
      <c r="C140" s="11" t="str">
        <f>IFERROR(IF(VLOOKUP(A140,[2]PRIORIZADOS!$A:$C,3,FALSE)="","",VLOOKUP(A140,[2]PRIORIZADOS!$A:$C,3,FALSE)),"")</f>
        <v xml:space="preserve">BARRIOS UNIDOS </v>
      </c>
      <c r="D140" s="69" t="str">
        <f>IFERROR(IF(VLOOKUP(A140,[2]PRIORIZADOS!$A:$D,4,FALSE)="","",VLOOKUP(A140,[2]PRIORIZADOS!$A:$D,4,FALSE)),"")</f>
        <v>PRIVADO</v>
      </c>
      <c r="E140" s="69" t="str">
        <f>IFERROR(IF(VLOOKUP(A140,[2]PRIORIZADOS!$A:$E,5,FALSE)="","",VLOOKUP(A140,[2]PRIORIZADOS!$A:$E,5,FALSE)),"")</f>
        <v>Educación de Jóvenes y Adultos</v>
      </c>
      <c r="F140" s="11" t="str">
        <f>IFERROR(IF(VLOOKUP(A140,[2]PRIORIZADOS!$A:$F,6,FALSE)="","",VLOOKUP(A140,[2]PRIORIZADOS!$A:$F,6,FALSE)),"")</f>
        <v>COLEGIO_CAPACITACION_2000_CHAPINERO</v>
      </c>
      <c r="G140" s="11" t="str">
        <f>IFERROR(IF(VLOOKUP(A140,[2]PRIORIZADOS!$A:$G,7,FALSE)="","",VLOOKUP(A140,[2]PRIORIZADOS!$A:$G,7,FALSE)),"")</f>
        <v>COLEGIO_CAPACITACION_2000_CHAPINERO</v>
      </c>
      <c r="H140" s="11" t="str">
        <f>IFERROR(IF(VLOOKUP(A140,[2]PRIORIZADOS!$A:$H,8,FALSE)="","",VLOOKUP(A140,[2]PRIORIZADOS!$A:$H,8,FALSE)),"")</f>
        <v>Autoevaluación Institucional y Pruebas SABER 11</v>
      </c>
      <c r="I140" s="11" t="str">
        <f>IFERROR(IF(VLOOKUP(A140,[2]PRIORIZADOS!$A:$I,9,FALSE)="","",VLOOKUP(A140,[2]PRIORIZADOS!$A:$I,9,FALSE)),"")</f>
        <v>EVALUACIÓN_CON_FINES_DE_MEJORAMIENTO.</v>
      </c>
      <c r="J140" s="11" t="str">
        <f>IFERROR(IF(VLOOKUP(A140,[2]PRIORIZADOS!$A:$J,10,FALSE)="","",VLOOKUP(A140,[2]PRIORIZADOS!$A:$J,10,FALSE)),"")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0" s="11" t="str">
        <f>IFERROR(IF(VLOOKUP(A140,[2]PRIORIZADOS!$A:$K,11,FALSE)="","",VLOOKUP(A140,[2]PRIORIZADOS!$A:$K,11,FALSE)),"")</f>
        <v xml:space="preserve">ALBERTO MIGUEL PEÑA </v>
      </c>
      <c r="L140" s="11" t="str">
        <f>IFERROR(IF(VLOOKUP(A140,[2]PRIORIZADOS!$A:$L,12,FALSE)="","",VLOOKUP(A140,[2]PRIORIZADOS!$A:$L,12,FALSE)),"")</f>
        <v>DORIS YOLANDA LÓPEZ ARÉVALO</v>
      </c>
      <c r="M140" s="88">
        <f>IFERROR(IF(VLOOKUP(A140,[2]PRIORIZADOS!$A:$M,13,FALSE)="","",VLOOKUP(A140,[2]PRIORIZADOS!$A:$M,13,FALSE)),"")</f>
        <v>45768</v>
      </c>
      <c r="N140" s="71">
        <f>IFERROR(IF(VLOOKUP(A140,[2]PRIORIZADOS!$A:$N,14,FALSE)="","",VLOOKUP(A140,[2]PRIORIZADOS!$A:$N,14,FALSE)),"")</f>
        <v>45768</v>
      </c>
      <c r="O140" s="71">
        <f>IFERROR(IF(VLOOKUP(A140,[2]PRIORIZADOS!$A:$O,15,FALSE)="","",VLOOKUP(A140,[2]PRIORIZADOS!$A:$O,15,FALSE)),"")</f>
        <v>45768</v>
      </c>
      <c r="P140" s="11" t="str">
        <f>IFERROR(IF(VLOOKUP(A140,[2]PRIORIZADOS!$A:$P,16,FALSE)="","",VLOOKUP(A140,[2]PRIORIZADOS!$A:$P,16,FALSE)),"")</f>
        <v>Visitas de evaluación con fines de mejoramiento</v>
      </c>
      <c r="Q140" s="119" t="s">
        <v>45</v>
      </c>
      <c r="R140" s="11" t="str">
        <f>IFERROR(IF(VLOOKUP(A140,[2]PRIORIZADOS!$A:$R,18,FALSE)="","",VLOOKUP(A140,[2]PRIORIZADOS!$A:$R,18,FALSE)),"")</f>
        <v>Se revisó el Manual actualizado para la presente vigencia y contenía las estrategias y mecanismo para la resolución de conflictos.</v>
      </c>
      <c r="S140" s="11" t="str">
        <f>IFERROR(IF(VLOOKUP(A140,[2]PRIORIZADOS!$A:$S,19,FALSE)="","",VLOOKUP(A140,[2]PRIORIZADOS!$A:$S,19,FALSE)),"")</f>
        <v>Continuar con la implementación del Manual de Convivencia en el entorno escolar y su comunidad educativa. Se recomienda que la institución educativa actualice su Manual conforme a las situaciones de convivencia presentadas.</v>
      </c>
      <c r="T140" s="70" t="str">
        <f>IFERROR(IF(VLOOKUP(A140,[2]PRIORIZADOS!$A:$T,20,FALSE)="","",VLOOKUP(A140,[2]PRIORIZADOS!$A:$T,20,FALSE)),"")</f>
        <v>No</v>
      </c>
      <c r="U140" s="11" t="str">
        <f>IFERROR(IF(VLOOKUP(A140,[2]PRIORIZADOS!$A:$U,21,FALSE)="","",VLOOKUP(A140,[2]PRIORIZADOS!$A:$U,21,FALSE)),"")</f>
        <v>De presentarse una queja se entra a revisar.</v>
      </c>
    </row>
    <row r="141" spans="1:21" s="1" customFormat="1" ht="48">
      <c r="A141" s="69">
        <f>IF([2]PRIORIZADOS!A21="","",[2]PRIORIZADOS!A21)</f>
        <v>144</v>
      </c>
      <c r="B141" s="87">
        <f>IFERROR(IF(VLOOKUP(A141,[2]PRIORIZADOS!$A:$B,2,FALSE)="","",VLOOKUP(A141,[2]PRIORIZADOS!$A:$B,2,FALSE)),"")</f>
        <v>2</v>
      </c>
      <c r="C141" s="11" t="str">
        <f>IFERROR(IF(VLOOKUP(A141,[2]PRIORIZADOS!$A:$C,3,FALSE)="","",VLOOKUP(A141,[2]PRIORIZADOS!$A:$C,3,FALSE)),"")</f>
        <v xml:space="preserve">BARRIOS UNIDOS </v>
      </c>
      <c r="D141" s="69" t="str">
        <f>IFERROR(IF(VLOOKUP(A141,[2]PRIORIZADOS!$A:$D,4,FALSE)="","",VLOOKUP(A141,[2]PRIORIZADOS!$A:$D,4,FALSE)),"")</f>
        <v>PRIVADO</v>
      </c>
      <c r="E141" s="69" t="str">
        <f>IFERROR(IF(VLOOKUP(A141,[2]PRIORIZADOS!$A:$E,5,FALSE)="","",VLOOKUP(A141,[2]PRIORIZADOS!$A:$E,5,FALSE)),"")</f>
        <v>Educación de Jóvenes y Adultos</v>
      </c>
      <c r="F141" s="11" t="str">
        <f>IFERROR(IF(VLOOKUP(A141,[2]PRIORIZADOS!$A:$F,6,FALSE)="","",VLOOKUP(A141,[2]PRIORIZADOS!$A:$F,6,FALSE)),"")</f>
        <v>COLEGIO_CAPACITACION_2000_CHAPINERO</v>
      </c>
      <c r="G141" s="11" t="str">
        <f>IFERROR(IF(VLOOKUP(A141,[2]PRIORIZADOS!$A:$G,7,FALSE)="","",VLOOKUP(A141,[2]PRIORIZADOS!$A:$G,7,FALSE)),"")</f>
        <v>COLEGIO_CAPACITACION_2000_CHAPINERO</v>
      </c>
      <c r="H141" s="11" t="str">
        <f>IFERROR(IF(VLOOKUP(A141,[2]PRIORIZADOS!$A:$H,8,FALSE)="","",VLOOKUP(A141,[2]PRIORIZADOS!$A:$H,8,FALSE)),"")</f>
        <v>Autoevaluación Institucional y Pruebas SABER 11</v>
      </c>
      <c r="I141" s="11" t="str">
        <f>IFERROR(IF(VLOOKUP(A141,[2]PRIORIZADOS!$A:$I,9,FALSE)="","",VLOOKUP(A141,[2]PRIORIZADOS!$A:$I,9,FALSE)),"")</f>
        <v>EVALUACIÓN_CON_FINES_DE_MEJORAMIENTO.</v>
      </c>
      <c r="J141" s="11" t="str">
        <f>IFERROR(IF(VLOOKUP(A141,[2]PRIORIZADOS!$A:$J,10,FALSE)="","",VLOOKUP(A141,[2]PRIORIZADOS!$A:$J,10,FALSE)),"")</f>
        <v>Revisar la actualización, socialización e implementación del Sistema Institucional de Evaluación de Estudiantes - SIEE, en articulación con la actualización del PEI y la normatividad vigente.</v>
      </c>
      <c r="K141" s="11" t="str">
        <f>IFERROR(IF(VLOOKUP(A141,[2]PRIORIZADOS!$A:$K,11,FALSE)="","",VLOOKUP(A141,[2]PRIORIZADOS!$A:$K,11,FALSE)),"")</f>
        <v xml:space="preserve">ALBERTO MIGUEL PEÑA </v>
      </c>
      <c r="L141" s="11" t="str">
        <f>IFERROR(IF(VLOOKUP(A141,[2]PRIORIZADOS!$A:$L,12,FALSE)="","",VLOOKUP(A141,[2]PRIORIZADOS!$A:$L,12,FALSE)),"")</f>
        <v>DORIS YOLANDA LÓPEZ ARÉVALO</v>
      </c>
      <c r="M141" s="88">
        <f>IFERROR(IF(VLOOKUP(A141,[2]PRIORIZADOS!$A:$M,13,FALSE)="","",VLOOKUP(A141,[2]PRIORIZADOS!$A:$M,13,FALSE)),"")</f>
        <v>45768</v>
      </c>
      <c r="N141" s="71">
        <f>IFERROR(IF(VLOOKUP(A141,[2]PRIORIZADOS!$A:$N,14,FALSE)="","",VLOOKUP(A141,[2]PRIORIZADOS!$A:$N,14,FALSE)),"")</f>
        <v>45768</v>
      </c>
      <c r="O141" s="71">
        <f>IFERROR(IF(VLOOKUP(A141,[2]PRIORIZADOS!$A:$O,15,FALSE)="","",VLOOKUP(A141,[2]PRIORIZADOS!$A:$O,15,FALSE)),"")</f>
        <v>45768</v>
      </c>
      <c r="P141" s="11" t="str">
        <f>IFERROR(IF(VLOOKUP(A141,[2]PRIORIZADOS!$A:$P,16,FALSE)="","",VLOOKUP(A141,[2]PRIORIZADOS!$A:$P,16,FALSE)),"")</f>
        <v>Visitas de evaluación con fines de mejoramiento</v>
      </c>
      <c r="Q141" s="119" t="s">
        <v>45</v>
      </c>
      <c r="R141" s="11" t="str">
        <f>IFERROR(IF(VLOOKUP(A141,[2]PRIORIZADOS!$A:$R,18,FALSE)="","",VLOOKUP(A141,[2]PRIORIZADOS!$A:$R,18,FALSE)),"")</f>
        <v>Se evidenció que el SIEE contiene estrategias de apoyo para diversas situaciones en la gestión pedagógica de los estudiantes.</v>
      </c>
      <c r="S141" s="11" t="str">
        <f>IFERROR(IF(VLOOKUP(A141,[2]PRIORIZADOS!$A:$S,19,FALSE)="","",VLOOKUP(A141,[2]PRIORIZADOS!$A:$S,19,FALSE)),"")</f>
        <v>Continuar con la implementación del SIEE y se recomienda que la institución educativa actualice su SIEE conforme a las situaciones presentadas.</v>
      </c>
      <c r="T141" s="70" t="str">
        <f>IFERROR(IF(VLOOKUP(A141,[2]PRIORIZADOS!$A:$T,20,FALSE)="","",VLOOKUP(A141,[2]PRIORIZADOS!$A:$T,20,FALSE)),"")</f>
        <v>No</v>
      </c>
      <c r="U141" s="11" t="str">
        <f>IFERROR(IF(VLOOKUP(A141,[2]PRIORIZADOS!$A:$U,21,FALSE)="","",VLOOKUP(A141,[2]PRIORIZADOS!$A:$U,21,FALSE)),"")</f>
        <v>De presentarse una queja se entra a revisar.</v>
      </c>
    </row>
    <row r="142" spans="1:21" s="1" customFormat="1" ht="48">
      <c r="A142" s="69">
        <f>IF([2]PRIORIZADOS!A22="","",[2]PRIORIZADOS!A22)</f>
        <v>145</v>
      </c>
      <c r="B142" s="87">
        <f>IFERROR(IF(VLOOKUP(A142,[2]PRIORIZADOS!$A:$B,2,FALSE)="","",VLOOKUP(A142,[2]PRIORIZADOS!$A:$B,2,FALSE)),"")</f>
        <v>2</v>
      </c>
      <c r="C142" s="11" t="str">
        <f>IFERROR(IF(VLOOKUP(A142,[2]PRIORIZADOS!$A:$C,3,FALSE)="","",VLOOKUP(A142,[2]PRIORIZADOS!$A:$C,3,FALSE)),"")</f>
        <v xml:space="preserve">BARRIOS UNIDOS </v>
      </c>
      <c r="D142" s="69" t="str">
        <f>IFERROR(IF(VLOOKUP(A142,[2]PRIORIZADOS!$A:$D,4,FALSE)="","",VLOOKUP(A142,[2]PRIORIZADOS!$A:$D,4,FALSE)),"")</f>
        <v>PRIVADO</v>
      </c>
      <c r="E142" s="69" t="str">
        <f>IFERROR(IF(VLOOKUP(A142,[2]PRIORIZADOS!$A:$E,5,FALSE)="","",VLOOKUP(A142,[2]PRIORIZADOS!$A:$E,5,FALSE)),"")</f>
        <v>Educación de Jóvenes y Adultos</v>
      </c>
      <c r="F142" s="11" t="str">
        <f>IFERROR(IF(VLOOKUP(A142,[2]PRIORIZADOS!$A:$F,6,FALSE)="","",VLOOKUP(A142,[2]PRIORIZADOS!$A:$F,6,FALSE)),"")</f>
        <v>COLEGIO_CAPACITACION_2000_CHAPINERO</v>
      </c>
      <c r="G142" s="11" t="str">
        <f>IFERROR(IF(VLOOKUP(A142,[2]PRIORIZADOS!$A:$G,7,FALSE)="","",VLOOKUP(A142,[2]PRIORIZADOS!$A:$G,7,FALSE)),"")</f>
        <v>COLEGIO_CAPACITACION_2000_CHAPINERO</v>
      </c>
      <c r="H142" s="11" t="str">
        <f>IFERROR(IF(VLOOKUP(A142,[2]PRIORIZADOS!$A:$H,8,FALSE)="","",VLOOKUP(A142,[2]PRIORIZADOS!$A:$H,8,FALSE)),"")</f>
        <v>Autoevaluación Institucional y Pruebas SABER 11</v>
      </c>
      <c r="I142" s="11" t="str">
        <f>IFERROR(IF(VLOOKUP(A142,[2]PRIORIZADOS!$A:$I,9,FALSE)="","",VLOOKUP(A142,[2]PRIORIZADOS!$A:$I,9,FALSE)),"")</f>
        <v>EVALUACIÓN_CON_FINES_DE_MEJORAMIENTO.</v>
      </c>
      <c r="J142" s="11" t="str">
        <f>IFERROR(IF(VLOOKUP(A142,[2]PRIORIZADOS!$A:$J,10,FALSE)="","",VLOOKUP(A142,[2]PRIORIZADOS!$A:$J,10,FALSE)),"")</f>
        <v>Revisar el calendario escolar, jornada escolar, la intensidad horaria mínima anual en cada nivel y las modificaciones que se realicen al mismo, de acuerdo con lo previsto en la normatividad vigente.</v>
      </c>
      <c r="K142" s="11" t="str">
        <f>IFERROR(IF(VLOOKUP(A142,[2]PRIORIZADOS!$A:$K,11,FALSE)="","",VLOOKUP(A142,[2]PRIORIZADOS!$A:$K,11,FALSE)),"")</f>
        <v xml:space="preserve">ALBERTO MIGUEL PEÑA </v>
      </c>
      <c r="L142" s="11" t="str">
        <f>IFERROR(IF(VLOOKUP(A142,[2]PRIORIZADOS!$A:$L,12,FALSE)="","",VLOOKUP(A142,[2]PRIORIZADOS!$A:$L,12,FALSE)),"")</f>
        <v>DORIS YOLANDA LÓPEZ ARÉVALO</v>
      </c>
      <c r="M142" s="88">
        <f>IFERROR(IF(VLOOKUP(A142,[2]PRIORIZADOS!$A:$M,13,FALSE)="","",VLOOKUP(A142,[2]PRIORIZADOS!$A:$M,13,FALSE)),"")</f>
        <v>45768</v>
      </c>
      <c r="N142" s="71">
        <f>IFERROR(IF(VLOOKUP(A142,[2]PRIORIZADOS!$A:$N,14,FALSE)="","",VLOOKUP(A142,[2]PRIORIZADOS!$A:$N,14,FALSE)),"")</f>
        <v>45768</v>
      </c>
      <c r="O142" s="71">
        <f>IFERROR(IF(VLOOKUP(A142,[2]PRIORIZADOS!$A:$O,15,FALSE)="","",VLOOKUP(A142,[2]PRIORIZADOS!$A:$O,15,FALSE)),"")</f>
        <v>45768</v>
      </c>
      <c r="P142" s="11" t="str">
        <f>IFERROR(IF(VLOOKUP(A142,[2]PRIORIZADOS!$A:$P,16,FALSE)="","",VLOOKUP(A142,[2]PRIORIZADOS!$A:$P,16,FALSE)),"")</f>
        <v>Visitas de evaluación con fines de mejoramiento</v>
      </c>
      <c r="Q142" s="119" t="s">
        <v>45</v>
      </c>
      <c r="R142" s="11" t="str">
        <f>IFERROR(IF(VLOOKUP(A142,[2]PRIORIZADOS!$A:$R,18,FALSE)="","",VLOOKUP(A142,[2]PRIORIZADOS!$A:$R,18,FALSE)),"")</f>
        <v xml:space="preserve">Se evidenció el calendario académico 2025 cumpliendo con la intensidad horaria normada para los CLEI I al VI </v>
      </c>
      <c r="S142" s="11" t="str">
        <f>IFERROR(IF(VLOOKUP(A142,[2]PRIORIZADOS!$A:$S,19,FALSE)="","",VLOOKUP(A142,[2]PRIORIZADOS!$A:$S,19,FALSE)),"")</f>
        <v>Continuar con la implementación de calendario escolar de acuerdo con las intensidades y las semanas de desarrollo académico.</v>
      </c>
      <c r="T142" s="70" t="str">
        <f>IFERROR(IF(VLOOKUP(A142,[2]PRIORIZADOS!$A:$T,20,FALSE)="","",VLOOKUP(A142,[2]PRIORIZADOS!$A:$T,20,FALSE)),"")</f>
        <v>No</v>
      </c>
      <c r="U142" s="11" t="str">
        <f>IFERROR(IF(VLOOKUP(A142,[2]PRIORIZADOS!$A:$U,21,FALSE)="","",VLOOKUP(A142,[2]PRIORIZADOS!$A:$U,21,FALSE)),"")</f>
        <v>De presentarse una queja se entra a revisar.</v>
      </c>
    </row>
    <row r="143" spans="1:21" s="1" customFormat="1" ht="48">
      <c r="A143" s="69">
        <f>IF([2]PRIORIZADOS!A23="","",[2]PRIORIZADOS!A23)</f>
        <v>146</v>
      </c>
      <c r="B143" s="87">
        <f>IFERROR(IF(VLOOKUP(A143,[2]PRIORIZADOS!$A:$B,2,FALSE)="","",VLOOKUP(A143,[2]PRIORIZADOS!$A:$B,2,FALSE)),"")</f>
        <v>2</v>
      </c>
      <c r="C143" s="11" t="str">
        <f>IFERROR(IF(VLOOKUP(A143,[2]PRIORIZADOS!$A:$C,3,FALSE)="","",VLOOKUP(A143,[2]PRIORIZADOS!$A:$C,3,FALSE)),"")</f>
        <v xml:space="preserve">BARRIOS UNIDOS </v>
      </c>
      <c r="D143" s="69" t="str">
        <f>IFERROR(IF(VLOOKUP(A143,[2]PRIORIZADOS!$A:$D,4,FALSE)="","",VLOOKUP(A143,[2]PRIORIZADOS!$A:$D,4,FALSE)),"")</f>
        <v>PRIVADO</v>
      </c>
      <c r="E143" s="69" t="str">
        <f>IFERROR(IF(VLOOKUP(A143,[2]PRIORIZADOS!$A:$E,5,FALSE)="","",VLOOKUP(A143,[2]PRIORIZADOS!$A:$E,5,FALSE)),"")</f>
        <v>Educación de Jóvenes y Adultos</v>
      </c>
      <c r="F143" s="11" t="str">
        <f>IFERROR(IF(VLOOKUP(A143,[2]PRIORIZADOS!$A:$F,6,FALSE)="","",VLOOKUP(A143,[2]PRIORIZADOS!$A:$F,6,FALSE)),"")</f>
        <v>COLEGIO_CAPACITACION_2000_CHAPINERO</v>
      </c>
      <c r="G143" s="11" t="str">
        <f>IFERROR(IF(VLOOKUP(A143,[2]PRIORIZADOS!$A:$G,7,FALSE)="","",VLOOKUP(A143,[2]PRIORIZADOS!$A:$G,7,FALSE)),"")</f>
        <v>COLEGIO_CAPACITACION_2000_CHAPINERO</v>
      </c>
      <c r="H143" s="11" t="str">
        <f>IFERROR(IF(VLOOKUP(A143,[2]PRIORIZADOS!$A:$H,8,FALSE)="","",VLOOKUP(A143,[2]PRIORIZADOS!$A:$H,8,FALSE)),"")</f>
        <v>Autoevaluación Institucional y Pruebas SABER 11</v>
      </c>
      <c r="I143" s="11" t="str">
        <f>IFERROR(IF(VLOOKUP(A143,[2]PRIORIZADOS!$A:$I,9,FALSE)="","",VLOOKUP(A143,[2]PRIORIZADOS!$A:$I,9,FALSE)),"")</f>
        <v>EVALUACIÓN_CON_FINES_DE_MEJORAMIENTO.</v>
      </c>
      <c r="J143" s="11" t="str">
        <f>IFERROR(IF(VLOOKUP(A143,[2]PRIORIZADOS!$A:$J,10,FALSE)="","",VLOOKUP(A143,[2]PRIORIZADOS!$A:$J,10,FALSE)),"")</f>
        <v>Verificar el funcionamiento del Gobierno Escolar e instancias de participación con base en la información sobre conformación reportada por la institución educativa.</v>
      </c>
      <c r="K143" s="11" t="str">
        <f>IFERROR(IF(VLOOKUP(A143,[2]PRIORIZADOS!$A:$K,11,FALSE)="","",VLOOKUP(A143,[2]PRIORIZADOS!$A:$K,11,FALSE)),"")</f>
        <v xml:space="preserve">ALBERTO MIGUEL PEÑA </v>
      </c>
      <c r="L143" s="11" t="str">
        <f>IFERROR(IF(VLOOKUP(A143,[2]PRIORIZADOS!$A:$L,12,FALSE)="","",VLOOKUP(A143,[2]PRIORIZADOS!$A:$L,12,FALSE)),"")</f>
        <v>DORIS YOLANDA LÓPEZ ARÉVALO</v>
      </c>
      <c r="M143" s="88">
        <f>IFERROR(IF(VLOOKUP(A143,[2]PRIORIZADOS!$A:$M,13,FALSE)="","",VLOOKUP(A143,[2]PRIORIZADOS!$A:$M,13,FALSE)),"")</f>
        <v>45768</v>
      </c>
      <c r="N143" s="71">
        <f>IFERROR(IF(VLOOKUP(A143,[2]PRIORIZADOS!$A:$N,14,FALSE)="","",VLOOKUP(A143,[2]PRIORIZADOS!$A:$N,14,FALSE)),"")</f>
        <v>45768</v>
      </c>
      <c r="O143" s="71">
        <f>IFERROR(IF(VLOOKUP(A143,[2]PRIORIZADOS!$A:$O,15,FALSE)="","",VLOOKUP(A143,[2]PRIORIZADOS!$A:$O,15,FALSE)),"")</f>
        <v>45768</v>
      </c>
      <c r="P143" s="11" t="str">
        <f>IFERROR(IF(VLOOKUP(A143,[2]PRIORIZADOS!$A:$P,16,FALSE)="","",VLOOKUP(A143,[2]PRIORIZADOS!$A:$P,16,FALSE)),"")</f>
        <v>Visitas de evaluación con fines de mejoramiento</v>
      </c>
      <c r="Q143" s="119" t="s">
        <v>45</v>
      </c>
      <c r="R143" s="11" t="str">
        <f>IFERROR(IF(VLOOKUP(A143,[2]PRIORIZADOS!$A:$R,18,FALSE)="","",VLOOKUP(A143,[2]PRIORIZADOS!$A:$R,18,FALSE)),"")</f>
        <v>Se evidenció soportes de la conformación y funcionamiento del gobierno escolar.</v>
      </c>
      <c r="S143" s="11" t="str">
        <f>IFERROR(IF(VLOOKUP(A143,[2]PRIORIZADOS!$A:$S,19,FALSE)="","",VLOOKUP(A143,[2]PRIORIZADOS!$A:$S,19,FALSE)),"")</f>
        <v>Continuar con la implementación de calendario escolar de acuerdo con las intensidades y las semanas de desarrollo académico.</v>
      </c>
      <c r="T143" s="70" t="str">
        <f>IFERROR(IF(VLOOKUP(A143,[2]PRIORIZADOS!$A:$T,20,FALSE)="","",VLOOKUP(A143,[2]PRIORIZADOS!$A:$T,20,FALSE)),"")</f>
        <v>No</v>
      </c>
      <c r="U143" s="11" t="str">
        <f>IFERROR(IF(VLOOKUP(A143,[2]PRIORIZADOS!$A:$U,21,FALSE)="","",VLOOKUP(A143,[2]PRIORIZADOS!$A:$U,21,FALSE)),"")</f>
        <v>De presentarse una queja se entra a revisar.</v>
      </c>
    </row>
    <row r="144" spans="1:21" s="1" customFormat="1" ht="84">
      <c r="A144" s="69">
        <f>IF([2]PRIORIZADOS!A24="","",[2]PRIORIZADOS!A24)</f>
        <v>147</v>
      </c>
      <c r="B144" s="87">
        <f>IFERROR(IF(VLOOKUP(A144,[2]PRIORIZADOS!$A:$B,2,FALSE)="","",VLOOKUP(A144,[2]PRIORIZADOS!$A:$B,2,FALSE)),"")</f>
        <v>2</v>
      </c>
      <c r="C144" s="11" t="str">
        <f>IFERROR(IF(VLOOKUP(A144,[2]PRIORIZADOS!$A:$C,3,FALSE)="","",VLOOKUP(A144,[2]PRIORIZADOS!$A:$C,3,FALSE)),"")</f>
        <v xml:space="preserve">BARRIOS UNIDOS </v>
      </c>
      <c r="D144" s="69" t="str">
        <f>IFERROR(IF(VLOOKUP(A144,[2]PRIORIZADOS!$A:$D,4,FALSE)="","",VLOOKUP(A144,[2]PRIORIZADOS!$A:$D,4,FALSE)),"")</f>
        <v>PRIVADO</v>
      </c>
      <c r="E144" s="69" t="str">
        <f>IFERROR(IF(VLOOKUP(A144,[2]PRIORIZADOS!$A:$E,5,FALSE)="","",VLOOKUP(A144,[2]PRIORIZADOS!$A:$E,5,FALSE)),"")</f>
        <v>Educación de Jóvenes y Adultos</v>
      </c>
      <c r="F144" s="11" t="str">
        <f>IFERROR(IF(VLOOKUP(A144,[2]PRIORIZADOS!$A:$F,6,FALSE)="","",VLOOKUP(A144,[2]PRIORIZADOS!$A:$F,6,FALSE)),"")</f>
        <v>COLEGIO_CAPACITACION_2000_CHAPINERO</v>
      </c>
      <c r="G144" s="11" t="str">
        <f>IFERROR(IF(VLOOKUP(A144,[2]PRIORIZADOS!$A:$G,7,FALSE)="","",VLOOKUP(A144,[2]PRIORIZADOS!$A:$G,7,FALSE)),"")</f>
        <v>COLEGIO_CAPACITACION_2000_CHAPINERO</v>
      </c>
      <c r="H144" s="11" t="str">
        <f>IFERROR(IF(VLOOKUP(A144,[2]PRIORIZADOS!$A:$H,8,FALSE)="","",VLOOKUP(A144,[2]PRIORIZADOS!$A:$H,8,FALSE)),"")</f>
        <v>Autoevaluación Institucional y Pruebas SABER 11</v>
      </c>
      <c r="I144" s="11" t="str">
        <f>IFERROR(IF(VLOOKUP(A144,[2]PRIORIZADOS!$A:$I,9,FALSE)="","",VLOOKUP(A144,[2]PRIORIZADOS!$A:$I,9,FALSE)),"")</f>
        <v>EVALUACIÓN_CON_FINES_DE_MEJORAMIENTO.</v>
      </c>
      <c r="J144" s="11" t="str">
        <f>IFERROR(IF(VLOOKUP(A144,[2]PRIORIZADOS!$A:$J,10,FALSE)="","",VLOOKUP(A144,[2]PRIORIZADOS!$A:$J,10,FALSE)),"")</f>
        <v>Verificar las condiciones en cuanto a: la estructura administrativa, condiciones de la planta física y medios educativos adecuados.</v>
      </c>
      <c r="K144" s="11" t="str">
        <f>IFERROR(IF(VLOOKUP(A144,[2]PRIORIZADOS!$A:$K,11,FALSE)="","",VLOOKUP(A144,[2]PRIORIZADOS!$A:$K,11,FALSE)),"")</f>
        <v xml:space="preserve">ALBERTO MIGUEL PEÑA </v>
      </c>
      <c r="L144" s="11" t="str">
        <f>IFERROR(IF(VLOOKUP(A144,[2]PRIORIZADOS!$A:$L,12,FALSE)="","",VLOOKUP(A144,[2]PRIORIZADOS!$A:$L,12,FALSE)),"")</f>
        <v>DORIS YOLANDA LÓPEZ ARÉVALO</v>
      </c>
      <c r="M144" s="88">
        <f>IFERROR(IF(VLOOKUP(A144,[2]PRIORIZADOS!$A:$M,13,FALSE)="","",VLOOKUP(A144,[2]PRIORIZADOS!$A:$M,13,FALSE)),"")</f>
        <v>45768</v>
      </c>
      <c r="N144" s="71">
        <f>IFERROR(IF(VLOOKUP(A144,[2]PRIORIZADOS!$A:$N,14,FALSE)="","",VLOOKUP(A144,[2]PRIORIZADOS!$A:$N,14,FALSE)),"")</f>
        <v>45768</v>
      </c>
      <c r="O144" s="71">
        <f>IFERROR(IF(VLOOKUP(A144,[2]PRIORIZADOS!$A:$O,15,FALSE)="","",VLOOKUP(A144,[2]PRIORIZADOS!$A:$O,15,FALSE)),"")</f>
        <v>45768</v>
      </c>
      <c r="P144" s="11" t="str">
        <f>IFERROR(IF(VLOOKUP(A144,[2]PRIORIZADOS!$A:$P,16,FALSE)="","",VLOOKUP(A144,[2]PRIORIZADOS!$A:$P,16,FALSE)),"")</f>
        <v>Visitas de evaluación con fines de mejoramiento</v>
      </c>
      <c r="Q144" s="119" t="s">
        <v>45</v>
      </c>
      <c r="R144" s="11" t="str">
        <f>IFERROR(IF(VLOOKUP(A144,[2]PRIORIZADOS!$A:$R,18,FALSE)="","",VLOOKUP(A144,[2]PRIORIZADOS!$A:$R,18,FALSE)),"")</f>
        <v>Se evidenció que los espacios son suficientes y adecuadas para la prestación del servicio sin embargo no se cuenta con espacios para población discapacidad; adicional se evidenció que los equipos de cómputo no cuentan con software actualizado.</v>
      </c>
      <c r="S144" s="11" t="str">
        <f>IFERROR(IF(VLOOKUP(A144,[2]PRIORIZADOS!$A:$S,19,FALSE)="","",VLOOKUP(A144,[2]PRIORIZADOS!$A:$S,19,FALSE)),"")</f>
        <v xml:space="preserve">Se solicita evaluar la posibilidad de mejorar el recorrido de escaleras para incluir a la población con movilidad reducida.
Se solicita evaluar los equipos de cómputo y mejorar sus requerimientos de hardware y software.
</v>
      </c>
      <c r="T144" s="70" t="str">
        <f>IFERROR(IF(VLOOKUP(A144,[2]PRIORIZADOS!$A:$T,20,FALSE)="","",VLOOKUP(A144,[2]PRIORIZADOS!$A:$T,20,FALSE)),"")</f>
        <v>Si</v>
      </c>
      <c r="U144" s="11" t="str">
        <f>IFERROR(IF(VLOOKUP(A144,[2]PRIORIZADOS!$A:$U,21,FALSE)="","",VLOOKUP(A144,[2]PRIORIZADOS!$A:$U,21,FALSE)),"")</f>
        <v xml:space="preserve">Cuando se realice la visita de seguimiento, se verificara los aspectos requeridos </v>
      </c>
    </row>
    <row r="145" spans="1:21" s="1" customFormat="1" ht="84">
      <c r="A145" s="69">
        <f>IF([2]PRIORIZADOS!A25="","",[2]PRIORIZADOS!A25)</f>
        <v>148</v>
      </c>
      <c r="B145" s="87">
        <f>IFERROR(IF(VLOOKUP(A145,[2]PRIORIZADOS!$A:$B,2,FALSE)="","",VLOOKUP(A145,[2]PRIORIZADOS!$A:$B,2,FALSE)),"")</f>
        <v>3</v>
      </c>
      <c r="C145" s="11" t="str">
        <f>IFERROR(IF(VLOOKUP(A145,[2]PRIORIZADOS!$A:$C,3,FALSE)="","",VLOOKUP(A145,[2]PRIORIZADOS!$A:$C,3,FALSE)),"")</f>
        <v xml:space="preserve">BARRIOS UNIDOS </v>
      </c>
      <c r="D145" s="69" t="str">
        <f>IFERROR(IF(VLOOKUP(A145,[2]PRIORIZADOS!$A:$D,4,FALSE)="","",VLOOKUP(A145,[2]PRIORIZADOS!$A:$D,4,FALSE)),"")</f>
        <v>PRIVADO</v>
      </c>
      <c r="E145" s="69" t="str">
        <f>IFERROR(IF(VLOOKUP(A145,[2]PRIORIZADOS!$A:$E,5,FALSE)="","",VLOOKUP(A145,[2]PRIORIZADOS!$A:$E,5,FALSE)),"")</f>
        <v>Educación de Jóvenes y Adultos</v>
      </c>
      <c r="F145" s="11" t="str">
        <f>IFERROR(IF(VLOOKUP(A145,[2]PRIORIZADOS!$A:$F,6,FALSE)="","",VLOOKUP(A145,[2]PRIORIZADOS!$A:$F,6,FALSE)),"")</f>
        <v>COLEGIO_TRIANGULO_CHAPINERO</v>
      </c>
      <c r="G145" s="11" t="str">
        <f>IFERROR(IF(VLOOKUP(A145,[2]PRIORIZADOS!$A:$G,7,FALSE)="","",VLOOKUP(A145,[2]PRIORIZADOS!$A:$G,7,FALSE)),"")</f>
        <v>COLEGIO_TRIANGULO_CHAPINERO</v>
      </c>
      <c r="H145" s="11" t="str">
        <f>IFERROR(IF(VLOOKUP(A145,[2]PRIORIZADOS!$A:$H,8,FALSE)="","",VLOOKUP(A145,[2]PRIORIZADOS!$A:$H,8,FALSE)),"")</f>
        <v>Autoevaluación Institucional y Pruebas SABER 11</v>
      </c>
      <c r="I145" s="11" t="str">
        <f>IFERROR(IF(VLOOKUP(A145,[2]PRIORIZADOS!$A:$I,9,FALSE)="","",VLOOKUP(A145,[2]PRIORIZADOS!$A:$I,9,FALSE)),"")</f>
        <v>SEGUIMIENTO_Y_SUPERVISIÓN.</v>
      </c>
      <c r="J145" s="11" t="str">
        <f>IFERROR(IF(VLOOKUP(A145,[2]PRIORIZADOS!$A:$J,10,FALSE)="","",VLOOKUP(A145,[2]PRIORIZADOS!$A:$J,10,FALSE)),"")</f>
        <v>Realizar visitas para verificar la información registrada sobre la autoevaluación institucional en el aplicativo EVI, a los establecimientos de educación formal no oficial.</v>
      </c>
      <c r="K145" s="11" t="str">
        <f>IFERROR(IF(VLOOKUP(A145,[2]PRIORIZADOS!$A:$K,11,FALSE)="","",VLOOKUP(A145,[2]PRIORIZADOS!$A:$K,11,FALSE)),"")</f>
        <v xml:space="preserve">ALBERTO MIGUEL PEÑA </v>
      </c>
      <c r="L145" s="11" t="str">
        <f>IFERROR(IF(VLOOKUP(A145,[2]PRIORIZADOS!$A:$L,12,FALSE)="","",VLOOKUP(A145,[2]PRIORIZADOS!$A:$L,12,FALSE)),"")</f>
        <v>DORIS YOLANDA LÓPEZ ARÉVALO</v>
      </c>
      <c r="M145" s="88">
        <f>IFERROR(IF(VLOOKUP(A145,[2]PRIORIZADOS!$A:$M,13,FALSE)="","",VLOOKUP(A145,[2]PRIORIZADOS!$A:$M,13,FALSE)),"")</f>
        <v>45769</v>
      </c>
      <c r="N145" s="71">
        <f>IFERROR(IF(VLOOKUP(A145,[2]PRIORIZADOS!$A:$N,14,FALSE)="","",VLOOKUP(A145,[2]PRIORIZADOS!$A:$N,14,FALSE)),"")</f>
        <v>45813</v>
      </c>
      <c r="O145" s="71">
        <f>IFERROR(IF(VLOOKUP(A145,[2]PRIORIZADOS!$A:$O,15,FALSE)="","",VLOOKUP(A145,[2]PRIORIZADOS!$A:$O,15,FALSE)),"")</f>
        <v>45813</v>
      </c>
      <c r="P145" s="11" t="str">
        <f>IFERROR(IF(VLOOKUP(A145,[2]PRIORIZADOS!$A:$P,16,FALSE)="","",VLOOKUP(A145,[2]PRIORIZADOS!$A:$P,16,FALSE)),"")</f>
        <v>Visitas de evaluación con fines de mejoramiento</v>
      </c>
      <c r="Q145" s="119" t="s">
        <v>46</v>
      </c>
      <c r="R145" s="11" t="str">
        <f>IFERROR(IF(VLOOKUP(A145,[2]PRIORIZADOS!$A:$R,18,FALSE)="","",VLOOKUP(A145,[2]PRIORIZADOS!$A:$R,18,FALSE)),"")</f>
        <v>Se encontró una diferencia respecto al certificado del SIMAT de 25 estudiantes en total, sin embargo en varios grados hay diferencias. Se debe ajustar. De igual forma se evidencia un reporte en SIMAT de 8 estudiantes de inclusión y  a la fecha solo hay 1 en la institución</v>
      </c>
      <c r="S145" s="11" t="str">
        <f>IFERROR(IF(VLOOKUP(A145,[2]PRIORIZADOS!$A:$S,19,FALSE)="","",VLOOKUP(A145,[2]PRIORIZADOS!$A:$S,19,FALSE)),"")</f>
        <v>La IE deberá ajustar y actualizar los estudiantes en la plataforma SIMAT</v>
      </c>
      <c r="T145" s="70" t="str">
        <f>IFERROR(IF(VLOOKUP(A145,[2]PRIORIZADOS!$A:$T,20,FALSE)="","",VLOOKUP(A145,[2]PRIORIZADOS!$A:$T,20,FALSE)),"")</f>
        <v>No</v>
      </c>
      <c r="U145" s="11" t="str">
        <f>IFERROR(IF(VLOOKUP(A145,[2]PRIORIZADOS!$A:$U,21,FALSE)="","",VLOOKUP(A145,[2]PRIORIZADOS!$A:$U,21,FALSE)),"")</f>
        <v xml:space="preserve">Se revisará la actualización SIMAT </v>
      </c>
    </row>
    <row r="146" spans="1:21" s="1" customFormat="1" ht="60">
      <c r="A146" s="69">
        <f>IF([2]PRIORIZADOS!A26="","",[2]PRIORIZADOS!A26)</f>
        <v>149</v>
      </c>
      <c r="B146" s="87">
        <f>IFERROR(IF(VLOOKUP(A146,[2]PRIORIZADOS!$A:$B,2,FALSE)="","",VLOOKUP(A146,[2]PRIORIZADOS!$A:$B,2,FALSE)),"")</f>
        <v>3</v>
      </c>
      <c r="C146" s="11" t="str">
        <f>IFERROR(IF(VLOOKUP(A146,[2]PRIORIZADOS!$A:$C,3,FALSE)="","",VLOOKUP(A146,[2]PRIORIZADOS!$A:$C,3,FALSE)),"")</f>
        <v xml:space="preserve">BARRIOS UNIDOS </v>
      </c>
      <c r="D146" s="69" t="str">
        <f>IFERROR(IF(VLOOKUP(A146,[2]PRIORIZADOS!$A:$D,4,FALSE)="","",VLOOKUP(A146,[2]PRIORIZADOS!$A:$D,4,FALSE)),"")</f>
        <v>PRIVADO</v>
      </c>
      <c r="E146" s="69" t="str">
        <f>IFERROR(IF(VLOOKUP(A146,[2]PRIORIZADOS!$A:$E,5,FALSE)="","",VLOOKUP(A146,[2]PRIORIZADOS!$A:$E,5,FALSE)),"")</f>
        <v>Educación de Jóvenes y Adultos</v>
      </c>
      <c r="F146" s="11" t="str">
        <f>IFERROR(IF(VLOOKUP(A146,[2]PRIORIZADOS!$A:$F,6,FALSE)="","",VLOOKUP(A146,[2]PRIORIZADOS!$A:$F,6,FALSE)),"")</f>
        <v>COLEGIO_TRIANGULO_CHAPINERO</v>
      </c>
      <c r="G146" s="11" t="str">
        <f>IFERROR(IF(VLOOKUP(A146,[2]PRIORIZADOS!$A:$G,7,FALSE)="","",VLOOKUP(A146,[2]PRIORIZADOS!$A:$G,7,FALSE)),"")</f>
        <v>COLEGIO_TRIANGULO_CHAPINERO</v>
      </c>
      <c r="H146" s="11" t="str">
        <f>IFERROR(IF(VLOOKUP(A146,[2]PRIORIZADOS!$A:$H,8,FALSE)="","",VLOOKUP(A146,[2]PRIORIZADOS!$A:$H,8,FALSE)),"")</f>
        <v>Autoevaluación Institucional y Pruebas SABER 11</v>
      </c>
      <c r="I146" s="11" t="str">
        <f>IFERROR(IF(VLOOKUP(A146,[2]PRIORIZADOS!$A:$I,9,FALSE)="","",VLOOKUP(A146,[2]PRIORIZADOS!$A:$I,9,FALSE)),"")</f>
        <v>SEGUIMIENTO_Y_SUPERVISIÓN.</v>
      </c>
      <c r="J146" s="11" t="str">
        <f>IFERROR(IF(VLOOKUP(A146,[2]PRIORIZADOS!$A:$J,10,FALSE)="","",VLOOKUP(A146,[2]PRIORIZADOS!$A:$J,10,FALSE)),"")</f>
        <v>Proponer estrategias en la formulación, verificar su elaboración y realizar seguimiento semestral al desarrollo de  las acciones establecidas en los planes de mejoramiento por pruebas SABER 11 de los establecimientos de educación formal.</v>
      </c>
      <c r="K146" s="11" t="str">
        <f>IFERROR(IF(VLOOKUP(A146,[2]PRIORIZADOS!$A:$K,11,FALSE)="","",VLOOKUP(A146,[2]PRIORIZADOS!$A:$K,11,FALSE)),"")</f>
        <v xml:space="preserve">ALBERTO MIGUEL PEÑA </v>
      </c>
      <c r="L146" s="11" t="str">
        <f>IFERROR(IF(VLOOKUP(A146,[2]PRIORIZADOS!$A:$L,12,FALSE)="","",VLOOKUP(A146,[2]PRIORIZADOS!$A:$L,12,FALSE)),"")</f>
        <v>DORIS YOLANDA LÓPEZ ARÉVALO</v>
      </c>
      <c r="M146" s="88">
        <f>IFERROR(IF(VLOOKUP(A146,[2]PRIORIZADOS!$A:$M,13,FALSE)="","",VLOOKUP(A146,[2]PRIORIZADOS!$A:$M,13,FALSE)),"")</f>
        <v>45769</v>
      </c>
      <c r="N146" s="71">
        <f>IFERROR(IF(VLOOKUP(A146,[2]PRIORIZADOS!$A:$N,14,FALSE)="","",VLOOKUP(A146,[2]PRIORIZADOS!$A:$N,14,FALSE)),"")</f>
        <v>45813</v>
      </c>
      <c r="O146" s="71">
        <f>IFERROR(IF(VLOOKUP(A146,[2]PRIORIZADOS!$A:$O,15,FALSE)="","",VLOOKUP(A146,[2]PRIORIZADOS!$A:$O,15,FALSE)),"")</f>
        <v>45813</v>
      </c>
      <c r="P146" s="11" t="str">
        <f>IFERROR(IF(VLOOKUP(A146,[2]PRIORIZADOS!$A:$P,16,FALSE)="","",VLOOKUP(A146,[2]PRIORIZADOS!$A:$P,16,FALSE)),"")</f>
        <v>Visitas de evaluación con fines de mejoramiento</v>
      </c>
      <c r="Q146" s="119" t="s">
        <v>46</v>
      </c>
      <c r="R146" s="11" t="str">
        <f>IFERROR(IF(VLOOKUP(A146,[2]PRIORIZADOS!$A:$R,18,FALSE)="","",VLOOKUP(A146,[2]PRIORIZADOS!$A:$R,18,FALSE)),"")</f>
        <v>Se evidenció que el índice  de acuerdo con los resultados de las Pruebas Saber los clasificó en nivel C, pese a que se evidencia estrategia de acción implementada.</v>
      </c>
      <c r="S146" s="11" t="str">
        <f>IFERROR(IF(VLOOKUP(A146,[2]PRIORIZADOS!$A:$S,19,FALSE)="","",VLOOKUP(A146,[2]PRIORIZADOS!$A:$S,19,FALSE)),"")</f>
        <v>Se solicita incluir en el plan de mejoramiento la estrategia PONTE A PRUEBA que busca intensificar y profundizar la preparación para Saber11</v>
      </c>
      <c r="T146" s="70" t="str">
        <f>IFERROR(IF(VLOOKUP(A146,[2]PRIORIZADOS!$A:$T,20,FALSE)="","",VLOOKUP(A146,[2]PRIORIZADOS!$A:$T,20,FALSE)),"")</f>
        <v>Si</v>
      </c>
      <c r="U146" s="11" t="str">
        <f>IFERROR(IF(VLOOKUP(A146,[2]PRIORIZADOS!$A:$U,21,FALSE)="","",VLOOKUP(A146,[2]PRIORIZADOS!$A:$U,21,FALSE)),"")</f>
        <v xml:space="preserve"> IE remitirá el Plan de Mejoramiento incluyendo la estrategia PONTE A PRUEBA de acuerdo a requerimiento realizado</v>
      </c>
    </row>
    <row r="147" spans="1:21" s="1" customFormat="1" ht="60">
      <c r="A147" s="69">
        <f>IF([2]PRIORIZADOS!A27="","",[2]PRIORIZADOS!A27)</f>
        <v>150</v>
      </c>
      <c r="B147" s="87">
        <f>IFERROR(IF(VLOOKUP(A147,[2]PRIORIZADOS!$A:$B,2,FALSE)="","",VLOOKUP(A147,[2]PRIORIZADOS!$A:$B,2,FALSE)),"")</f>
        <v>3</v>
      </c>
      <c r="C147" s="11" t="str">
        <f>IFERROR(IF(VLOOKUP(A147,[2]PRIORIZADOS!$A:$C,3,FALSE)="","",VLOOKUP(A147,[2]PRIORIZADOS!$A:$C,3,FALSE)),"")</f>
        <v xml:space="preserve">BARRIOS UNIDOS </v>
      </c>
      <c r="D147" s="69" t="str">
        <f>IFERROR(IF(VLOOKUP(A147,[2]PRIORIZADOS!$A:$D,4,FALSE)="","",VLOOKUP(A147,[2]PRIORIZADOS!$A:$D,4,FALSE)),"")</f>
        <v>PRIVADO</v>
      </c>
      <c r="E147" s="69" t="str">
        <f>IFERROR(IF(VLOOKUP(A147,[2]PRIORIZADOS!$A:$E,5,FALSE)="","",VLOOKUP(A147,[2]PRIORIZADOS!$A:$E,5,FALSE)),"")</f>
        <v>Educación de Jóvenes y Adultos</v>
      </c>
      <c r="F147" s="11" t="str">
        <f>IFERROR(IF(VLOOKUP(A147,[2]PRIORIZADOS!$A:$F,6,FALSE)="","",VLOOKUP(A147,[2]PRIORIZADOS!$A:$F,6,FALSE)),"")</f>
        <v>COLEGIO_TRIANGULO_CHAPINERO</v>
      </c>
      <c r="G147" s="11" t="str">
        <f>IFERROR(IF(VLOOKUP(A147,[2]PRIORIZADOS!$A:$G,7,FALSE)="","",VLOOKUP(A147,[2]PRIORIZADOS!$A:$G,7,FALSE)),"")</f>
        <v>COLEGIO_TRIANGULO_CHAPINERO</v>
      </c>
      <c r="H147" s="11" t="str">
        <f>IFERROR(IF(VLOOKUP(A147,[2]PRIORIZADOS!$A:$H,8,FALSE)="","",VLOOKUP(A147,[2]PRIORIZADOS!$A:$H,8,FALSE)),"")</f>
        <v>Autoevaluación Institucional y Pruebas SABER 11</v>
      </c>
      <c r="I147" s="11" t="str">
        <f>IFERROR(IF(VLOOKUP(A147,[2]PRIORIZADOS!$A:$I,9,FALSE)="","",VLOOKUP(A147,[2]PRIORIZADOS!$A:$I,9,FALSE)),"")</f>
        <v>SEGUIMIENTO_Y_SUPERVISIÓN.</v>
      </c>
      <c r="J147" s="11" t="str">
        <f>IFERROR(IF(VLOOKUP(A147,[2]PRIORIZADOS!$A:$J,10,FALSE)="","",VLOOKUP(A147,[2]PRIORIZADOS!$A:$J,10,FALSE)),"")</f>
        <v xml:space="preserve">Verificar la implementación por parte de los colegios, de acciones realizadas para la prevención y atención de las situaciones de convivencia en el entorno escolar, según lo establecido en la Directiva 01 de 2022 del MEN. </v>
      </c>
      <c r="K147" s="11" t="str">
        <f>IFERROR(IF(VLOOKUP(A147,[2]PRIORIZADOS!$A:$K,11,FALSE)="","",VLOOKUP(A147,[2]PRIORIZADOS!$A:$K,11,FALSE)),"")</f>
        <v xml:space="preserve">ALBERTO MIGUEL PEÑA </v>
      </c>
      <c r="L147" s="11" t="str">
        <f>IFERROR(IF(VLOOKUP(A147,[2]PRIORIZADOS!$A:$L,12,FALSE)="","",VLOOKUP(A147,[2]PRIORIZADOS!$A:$L,12,FALSE)),"")</f>
        <v>DORIS YOLANDA LÓPEZ ARÉVALO</v>
      </c>
      <c r="M147" s="88">
        <f>IFERROR(IF(VLOOKUP(A147,[2]PRIORIZADOS!$A:$M,13,FALSE)="","",VLOOKUP(A147,[2]PRIORIZADOS!$A:$M,13,FALSE)),"")</f>
        <v>45769</v>
      </c>
      <c r="N147" s="71">
        <f>IFERROR(IF(VLOOKUP(A147,[2]PRIORIZADOS!$A:$N,14,FALSE)="","",VLOOKUP(A147,[2]PRIORIZADOS!$A:$N,14,FALSE)),"")</f>
        <v>45813</v>
      </c>
      <c r="O147" s="71">
        <f>IFERROR(IF(VLOOKUP(A147,[2]PRIORIZADOS!$A:$O,15,FALSE)="","",VLOOKUP(A147,[2]PRIORIZADOS!$A:$O,15,FALSE)),"")</f>
        <v>45813</v>
      </c>
      <c r="P147" s="11" t="str">
        <f>IFERROR(IF(VLOOKUP(A147,[2]PRIORIZADOS!$A:$P,16,FALSE)="","",VLOOKUP(A147,[2]PRIORIZADOS!$A:$P,16,FALSE)),"")</f>
        <v>Visitas de evaluación con fines de mejoramiento</v>
      </c>
      <c r="Q147" s="119" t="s">
        <v>46</v>
      </c>
      <c r="R147" s="11" t="str">
        <f>IFERROR(IF(VLOOKUP(A147,[2]PRIORIZADOS!$A:$R,18,FALSE)="","",VLOOKUP(A147,[2]PRIORIZADOS!$A:$R,18,FALSE)),"")</f>
        <v>Se revisaron las hojas de vidas de docentes (6), administrativos (2) y rector (1)  y se evidenció que se está realizando la verificación de antecedentes cada 4 meses.</v>
      </c>
      <c r="S147" s="11" t="str">
        <f>IFERROR(IF(VLOOKUP(A147,[2]PRIORIZADOS!$A:$S,19,FALSE)="","",VLOOKUP(A147,[2]PRIORIZADOS!$A:$S,19,FALSE)),"")</f>
        <v>Se les indica que continúen con el proceso de revisión.</v>
      </c>
      <c r="T147" s="70" t="str">
        <f>IFERROR(IF(VLOOKUP(A147,[2]PRIORIZADOS!$A:$T,20,FALSE)="","",VLOOKUP(A147,[2]PRIORIZADOS!$A:$T,20,FALSE)),"")</f>
        <v>No</v>
      </c>
      <c r="U147" s="11" t="str">
        <f>IFERROR(IF(VLOOKUP(A147,[2]PRIORIZADOS!$A:$U,21,FALSE)="","",VLOOKUP(A147,[2]PRIORIZADOS!$A:$U,21,FALSE)),"")</f>
        <v>En caso de presentarse una queja por situación de convivencia escolar se verificará nuevamente.</v>
      </c>
    </row>
    <row r="148" spans="1:21" s="1" customFormat="1" ht="72">
      <c r="A148" s="69">
        <f>IF([2]PRIORIZADOS!A28="","",[2]PRIORIZADOS!A28)</f>
        <v>151</v>
      </c>
      <c r="B148" s="87">
        <f>IFERROR(IF(VLOOKUP(A148,[2]PRIORIZADOS!$A:$B,2,FALSE)="","",VLOOKUP(A148,[2]PRIORIZADOS!$A:$B,2,FALSE)),"")</f>
        <v>3</v>
      </c>
      <c r="C148" s="11" t="str">
        <f>IFERROR(IF(VLOOKUP(A148,[2]PRIORIZADOS!$A:$C,3,FALSE)="","",VLOOKUP(A148,[2]PRIORIZADOS!$A:$C,3,FALSE)),"")</f>
        <v xml:space="preserve">BARRIOS UNIDOS </v>
      </c>
      <c r="D148" s="69" t="str">
        <f>IFERROR(IF(VLOOKUP(A148,[2]PRIORIZADOS!$A:$D,4,FALSE)="","",VLOOKUP(A148,[2]PRIORIZADOS!$A:$D,4,FALSE)),"")</f>
        <v>PRIVADO</v>
      </c>
      <c r="E148" s="69" t="str">
        <f>IFERROR(IF(VLOOKUP(A148,[2]PRIORIZADOS!$A:$E,5,FALSE)="","",VLOOKUP(A148,[2]PRIORIZADOS!$A:$E,5,FALSE)),"")</f>
        <v>Educación de Jóvenes y Adultos</v>
      </c>
      <c r="F148" s="11" t="str">
        <f>IFERROR(IF(VLOOKUP(A148,[2]PRIORIZADOS!$A:$F,6,FALSE)="","",VLOOKUP(A148,[2]PRIORIZADOS!$A:$F,6,FALSE)),"")</f>
        <v>COLEGIO_TRIANGULO_CHAPINERO</v>
      </c>
      <c r="G148" s="11" t="str">
        <f>IFERROR(IF(VLOOKUP(A148,[2]PRIORIZADOS!$A:$G,7,FALSE)="","",VLOOKUP(A148,[2]PRIORIZADOS!$A:$G,7,FALSE)),"")</f>
        <v>COLEGIO_TRIANGULO_CHAPINERO</v>
      </c>
      <c r="H148" s="11" t="str">
        <f>IFERROR(IF(VLOOKUP(A148,[2]PRIORIZADOS!$A:$H,8,FALSE)="","",VLOOKUP(A148,[2]PRIORIZADOS!$A:$H,8,FALSE)),"")</f>
        <v>Autoevaluación Institucional y Pruebas SABER 11</v>
      </c>
      <c r="I148" s="11" t="str">
        <f>IFERROR(IF(VLOOKUP(A148,[2]PRIORIZADOS!$A:$I,9,FALSE)="","",VLOOKUP(A148,[2]PRIORIZADOS!$A:$I,9,FALSE)),"")</f>
        <v>SEGUIMIENTO_Y_SUPERVISIÓN.</v>
      </c>
      <c r="J148" s="11" t="str">
        <f>IFERROR(IF(VLOOKUP(A148,[2]PRIORIZADOS!$A:$J,10,FALSE)="","",VLOOKUP(A148,[2]PRIORIZADOS!$A:$J,10,FALSE)),"")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8" s="11" t="str">
        <f>IFERROR(IF(VLOOKUP(A148,[2]PRIORIZADOS!$A:$K,11,FALSE)="","",VLOOKUP(A148,[2]PRIORIZADOS!$A:$K,11,FALSE)),"")</f>
        <v xml:space="preserve">ALBERTO MIGUEL PEÑA </v>
      </c>
      <c r="L148" s="11" t="str">
        <f>IFERROR(IF(VLOOKUP(A148,[2]PRIORIZADOS!$A:$L,12,FALSE)="","",VLOOKUP(A148,[2]PRIORIZADOS!$A:$L,12,FALSE)),"")</f>
        <v>DORIS YOLANDA LÓPEZ ARÉVALO</v>
      </c>
      <c r="M148" s="88">
        <f>IFERROR(IF(VLOOKUP(A148,[2]PRIORIZADOS!$A:$M,13,FALSE)="","",VLOOKUP(A148,[2]PRIORIZADOS!$A:$M,13,FALSE)),"")</f>
        <v>45769</v>
      </c>
      <c r="N148" s="71">
        <f>IFERROR(IF(VLOOKUP(A148,[2]PRIORIZADOS!$A:$N,14,FALSE)="","",VLOOKUP(A148,[2]PRIORIZADOS!$A:$N,14,FALSE)),"")</f>
        <v>45813</v>
      </c>
      <c r="O148" s="71">
        <f>IFERROR(IF(VLOOKUP(A148,[2]PRIORIZADOS!$A:$O,15,FALSE)="","",VLOOKUP(A148,[2]PRIORIZADOS!$A:$O,15,FALSE)),"")</f>
        <v>45813</v>
      </c>
      <c r="P148" s="11" t="str">
        <f>IFERROR(IF(VLOOKUP(A148,[2]PRIORIZADOS!$A:$P,16,FALSE)="","",VLOOKUP(A148,[2]PRIORIZADOS!$A:$P,16,FALSE)),"")</f>
        <v>Visitas de evaluación con fines de mejoramiento</v>
      </c>
      <c r="Q148" s="119" t="s">
        <v>46</v>
      </c>
      <c r="R148" s="11" t="str">
        <f>IFERROR(IF(VLOOKUP(A148,[2]PRIORIZADOS!$A:$R,18,FALSE)="","",VLOOKUP(A148,[2]PRIORIZADOS!$A:$R,18,FALSE)),"")</f>
        <v>Se evidenció que solo un estudiante con discapacidad, el cual no cuenta con PIAR elaborado.</v>
      </c>
      <c r="S148" s="11" t="str">
        <f>IFERROR(IF(VLOOKUP(A148,[2]PRIORIZADOS!$A:$S,19,FALSE)="","",VLOOKUP(A148,[2]PRIORIZADOS!$A:$S,19,FALSE)),"")</f>
        <v xml:space="preserve"> La IE deberá realizar el PIAR del estudiante y solicitar el diagnostico medico a los padres de familia.</v>
      </c>
      <c r="T148" s="70" t="str">
        <f>IFERROR(IF(VLOOKUP(A148,[2]PRIORIZADOS!$A:$T,20,FALSE)="","",VLOOKUP(A148,[2]PRIORIZADOS!$A:$T,20,FALSE)),"")</f>
        <v>No</v>
      </c>
      <c r="U148" s="11" t="str">
        <f>IFERROR(IF(VLOOKUP(A148,[2]PRIORIZADOS!$A:$U,21,FALSE)="","",VLOOKUP(A148,[2]PRIORIZADOS!$A:$U,21,FALSE)),"")</f>
        <v>Durante la visita de seguimiento, se revisara la implementación de ajustes al estudiante de inclusión</v>
      </c>
    </row>
    <row r="149" spans="1:21" s="1" customFormat="1" ht="84">
      <c r="A149" s="69">
        <f>IF([2]PRIORIZADOS!A29="","",[2]PRIORIZADOS!A29)</f>
        <v>152</v>
      </c>
      <c r="B149" s="87">
        <f>IFERROR(IF(VLOOKUP(A149,[2]PRIORIZADOS!$A:$B,2,FALSE)="","",VLOOKUP(A149,[2]PRIORIZADOS!$A:$B,2,FALSE)),"")</f>
        <v>3</v>
      </c>
      <c r="C149" s="11" t="str">
        <f>IFERROR(IF(VLOOKUP(A149,[2]PRIORIZADOS!$A:$C,3,FALSE)="","",VLOOKUP(A149,[2]PRIORIZADOS!$A:$C,3,FALSE)),"")</f>
        <v xml:space="preserve">BARRIOS UNIDOS </v>
      </c>
      <c r="D149" s="69" t="str">
        <f>IFERROR(IF(VLOOKUP(A149,[2]PRIORIZADOS!$A:$D,4,FALSE)="","",VLOOKUP(A149,[2]PRIORIZADOS!$A:$D,4,FALSE)),"")</f>
        <v>PRIVADO</v>
      </c>
      <c r="E149" s="69" t="str">
        <f>IFERROR(IF(VLOOKUP(A149,[2]PRIORIZADOS!$A:$E,5,FALSE)="","",VLOOKUP(A149,[2]PRIORIZADOS!$A:$E,5,FALSE)),"")</f>
        <v>Educación de Jóvenes y Adultos</v>
      </c>
      <c r="F149" s="11" t="str">
        <f>IFERROR(IF(VLOOKUP(A149,[2]PRIORIZADOS!$A:$F,6,FALSE)="","",VLOOKUP(A149,[2]PRIORIZADOS!$A:$F,6,FALSE)),"")</f>
        <v>COLEGIO_TRIANGULO_CHAPINERO</v>
      </c>
      <c r="G149" s="11" t="str">
        <f>IFERROR(IF(VLOOKUP(A149,[2]PRIORIZADOS!$A:$G,7,FALSE)="","",VLOOKUP(A149,[2]PRIORIZADOS!$A:$G,7,FALSE)),"")</f>
        <v>COLEGIO_TRIANGULO_CHAPINERO</v>
      </c>
      <c r="H149" s="11" t="str">
        <f>IFERROR(IF(VLOOKUP(A149,[2]PRIORIZADOS!$A:$H,8,FALSE)="","",VLOOKUP(A149,[2]PRIORIZADOS!$A:$H,8,FALSE)),"")</f>
        <v>Autoevaluación Institucional y Pruebas SABER 11</v>
      </c>
      <c r="I149" s="11" t="str">
        <f>IFERROR(IF(VLOOKUP(A149,[2]PRIORIZADOS!$A:$I,9,FALSE)="","",VLOOKUP(A149,[2]PRIORIZADOS!$A:$I,9,FALSE)),"")</f>
        <v>EVALUACIÓN_CON_FINES_DE_MEJORAMIENTO.</v>
      </c>
      <c r="J149" s="11" t="str">
        <f>IFERROR(IF(VLOOKUP(A149,[2]PRIORIZADOS!$A:$J,10,FALSE)="","",VLOOKUP(A149,[2]PRIORIZADOS!$A:$J,10,FALSE)),"")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9" s="11" t="str">
        <f>IFERROR(IF(VLOOKUP(A149,[2]PRIORIZADOS!$A:$K,11,FALSE)="","",VLOOKUP(A149,[2]PRIORIZADOS!$A:$K,11,FALSE)),"")</f>
        <v xml:space="preserve">ALBERTO MIGUEL PEÑA </v>
      </c>
      <c r="L149" s="11" t="str">
        <f>IFERROR(IF(VLOOKUP(A149,[2]PRIORIZADOS!$A:$L,12,FALSE)="","",VLOOKUP(A149,[2]PRIORIZADOS!$A:$L,12,FALSE)),"")</f>
        <v>DORIS YOLANDA LÓPEZ ARÉVALO</v>
      </c>
      <c r="M149" s="88">
        <f>IFERROR(IF(VLOOKUP(A149,[2]PRIORIZADOS!$A:$M,13,FALSE)="","",VLOOKUP(A149,[2]PRIORIZADOS!$A:$M,13,FALSE)),"")</f>
        <v>45769</v>
      </c>
      <c r="N149" s="71">
        <f>IFERROR(IF(VLOOKUP(A149,[2]PRIORIZADOS!$A:$N,14,FALSE)="","",VLOOKUP(A149,[2]PRIORIZADOS!$A:$N,14,FALSE)),"")</f>
        <v>45813</v>
      </c>
      <c r="O149" s="71">
        <f>IFERROR(IF(VLOOKUP(A149,[2]PRIORIZADOS!$A:$O,15,FALSE)="","",VLOOKUP(A149,[2]PRIORIZADOS!$A:$O,15,FALSE)),"")</f>
        <v>45813</v>
      </c>
      <c r="P149" s="11" t="str">
        <f>IFERROR(IF(VLOOKUP(A149,[2]PRIORIZADOS!$A:$P,16,FALSE)="","",VLOOKUP(A149,[2]PRIORIZADOS!$A:$P,16,FALSE)),"")</f>
        <v>Visitas de evaluación con fines de mejoramiento</v>
      </c>
      <c r="Q149" s="119" t="s">
        <v>46</v>
      </c>
      <c r="R149" s="11" t="str">
        <f>IFERROR(IF(VLOOKUP(A149,[2]PRIORIZADOS!$A:$R,18,FALSE)="","",VLOOKUP(A149,[2]PRIORIZADOS!$A:$R,18,FALSE)),"")</f>
        <v>Se revisó y se encontró Manual actualizado para la presente vigencia y contiene las estrategias y mecanismo para la resolución de conflictos.</v>
      </c>
      <c r="S149" s="11" t="str">
        <f>IFERROR(IF(VLOOKUP(A149,[2]PRIORIZADOS!$A:$S,19,FALSE)="","",VLOOKUP(A149,[2]PRIORIZADOS!$A:$S,19,FALSE)),"")</f>
        <v>Continuar con la implementación de manual de convivencia en el entorno escolar y su comunidad educativa. Sé recomienda que la ID actualice su Manual según las situaciones de convivencia presentadas.</v>
      </c>
      <c r="T149" s="70" t="str">
        <f>IFERROR(IF(VLOOKUP(A149,[2]PRIORIZADOS!$A:$T,20,FALSE)="","",VLOOKUP(A149,[2]PRIORIZADOS!$A:$T,20,FALSE)),"")</f>
        <v>No</v>
      </c>
      <c r="U149" s="11" t="str">
        <f>IFERROR(IF(VLOOKUP(A149,[2]PRIORIZADOS!$A:$U,21,FALSE)="","",VLOOKUP(A149,[2]PRIORIZADOS!$A:$U,21,FALSE)),"")</f>
        <v>Si se presenta queja por situación de convivencia se deberá ajustar el Manual</v>
      </c>
    </row>
    <row r="150" spans="1:21" s="1" customFormat="1" ht="48">
      <c r="A150" s="69">
        <f>IF([2]PRIORIZADOS!A30="","",[2]PRIORIZADOS!A30)</f>
        <v>153</v>
      </c>
      <c r="B150" s="87">
        <f>IFERROR(IF(VLOOKUP(A150,[2]PRIORIZADOS!$A:$B,2,FALSE)="","",VLOOKUP(A150,[2]PRIORIZADOS!$A:$B,2,FALSE)),"")</f>
        <v>3</v>
      </c>
      <c r="C150" s="11" t="str">
        <f>IFERROR(IF(VLOOKUP(A150,[2]PRIORIZADOS!$A:$C,3,FALSE)="","",VLOOKUP(A150,[2]PRIORIZADOS!$A:$C,3,FALSE)),"")</f>
        <v xml:space="preserve">BARRIOS UNIDOS </v>
      </c>
      <c r="D150" s="69" t="str">
        <f>IFERROR(IF(VLOOKUP(A150,[2]PRIORIZADOS!$A:$D,4,FALSE)="","",VLOOKUP(A150,[2]PRIORIZADOS!$A:$D,4,FALSE)),"")</f>
        <v>PRIVADO</v>
      </c>
      <c r="E150" s="69" t="str">
        <f>IFERROR(IF(VLOOKUP(A150,[2]PRIORIZADOS!$A:$E,5,FALSE)="","",VLOOKUP(A150,[2]PRIORIZADOS!$A:$E,5,FALSE)),"")</f>
        <v>Educación de Jóvenes y Adultos</v>
      </c>
      <c r="F150" s="11" t="str">
        <f>IFERROR(IF(VLOOKUP(A150,[2]PRIORIZADOS!$A:$F,6,FALSE)="","",VLOOKUP(A150,[2]PRIORIZADOS!$A:$F,6,FALSE)),"")</f>
        <v>COLEGIO_TRIANGULO_CHAPINERO</v>
      </c>
      <c r="G150" s="11" t="str">
        <f>IFERROR(IF(VLOOKUP(A150,[2]PRIORIZADOS!$A:$G,7,FALSE)="","",VLOOKUP(A150,[2]PRIORIZADOS!$A:$G,7,FALSE)),"")</f>
        <v>COLEGIO_TRIANGULO_CHAPINERO</v>
      </c>
      <c r="H150" s="11" t="str">
        <f>IFERROR(IF(VLOOKUP(A150,[2]PRIORIZADOS!$A:$H,8,FALSE)="","",VLOOKUP(A150,[2]PRIORIZADOS!$A:$H,8,FALSE)),"")</f>
        <v>Autoevaluación Institucional y Pruebas SABER 11</v>
      </c>
      <c r="I150" s="11" t="str">
        <f>IFERROR(IF(VLOOKUP(A150,[2]PRIORIZADOS!$A:$I,9,FALSE)="","",VLOOKUP(A150,[2]PRIORIZADOS!$A:$I,9,FALSE)),"")</f>
        <v>EVALUACIÓN_CON_FINES_DE_MEJORAMIENTO.</v>
      </c>
      <c r="J150" s="11" t="str">
        <f>IFERROR(IF(VLOOKUP(A150,[2]PRIORIZADOS!$A:$J,10,FALSE)="","",VLOOKUP(A150,[2]PRIORIZADOS!$A:$J,10,FALSE)),"")</f>
        <v>Revisar la actualización, socialización e implementación del Sistema Institucional de Evaluación de Estudiantes - SIEE, en articulación con la actualización del PEI y la normatividad vigente.</v>
      </c>
      <c r="K150" s="11" t="str">
        <f>IFERROR(IF(VLOOKUP(A150,[2]PRIORIZADOS!$A:$K,11,FALSE)="","",VLOOKUP(A150,[2]PRIORIZADOS!$A:$K,11,FALSE)),"")</f>
        <v xml:space="preserve">ALBERTO MIGUEL PEÑA </v>
      </c>
      <c r="L150" s="11" t="str">
        <f>IFERROR(IF(VLOOKUP(A150,[2]PRIORIZADOS!$A:$L,12,FALSE)="","",VLOOKUP(A150,[2]PRIORIZADOS!$A:$L,12,FALSE)),"")</f>
        <v>DORIS YOLANDA LÓPEZ ARÉVALO</v>
      </c>
      <c r="M150" s="88">
        <f>IFERROR(IF(VLOOKUP(A150,[2]PRIORIZADOS!$A:$M,13,FALSE)="","",VLOOKUP(A150,[2]PRIORIZADOS!$A:$M,13,FALSE)),"")</f>
        <v>45769</v>
      </c>
      <c r="N150" s="71">
        <f>IFERROR(IF(VLOOKUP(A150,[2]PRIORIZADOS!$A:$N,14,FALSE)="","",VLOOKUP(A150,[2]PRIORIZADOS!$A:$N,14,FALSE)),"")</f>
        <v>45813</v>
      </c>
      <c r="O150" s="71">
        <f>IFERROR(IF(VLOOKUP(A150,[2]PRIORIZADOS!$A:$O,15,FALSE)="","",VLOOKUP(A150,[2]PRIORIZADOS!$A:$O,15,FALSE)),"")</f>
        <v>45813</v>
      </c>
      <c r="P150" s="11" t="str">
        <f>IFERROR(IF(VLOOKUP(A150,[2]PRIORIZADOS!$A:$P,16,FALSE)="","",VLOOKUP(A150,[2]PRIORIZADOS!$A:$P,16,FALSE)),"")</f>
        <v>Visitas de evaluación con fines de mejoramiento</v>
      </c>
      <c r="Q150" s="119" t="s">
        <v>46</v>
      </c>
      <c r="R150" s="11" t="str">
        <f>IFERROR(IF(VLOOKUP(A150,[2]PRIORIZADOS!$A:$R,18,FALSE)="","",VLOOKUP(A150,[2]PRIORIZADOS!$A:$R,18,FALSE)),"")</f>
        <v>Se evidenció que el SIEE contiene las estrategias de apoyo para las diferentes situaciones de la gestión pedagógica de los estudiantes.</v>
      </c>
      <c r="S150" s="11" t="str">
        <f>IFERROR(IF(VLOOKUP(A150,[2]PRIORIZADOS!$A:$S,19,FALSE)="","",VLOOKUP(A150,[2]PRIORIZADOS!$A:$S,19,FALSE)),"")</f>
        <v>Continuar con la implementación de SIEE y se recomienda que la ID actualice su SIEE según las situaciones presentadas.</v>
      </c>
      <c r="T150" s="70" t="str">
        <f>IFERROR(IF(VLOOKUP(A150,[2]PRIORIZADOS!$A:$T,20,FALSE)="","",VLOOKUP(A150,[2]PRIORIZADOS!$A:$T,20,FALSE)),"")</f>
        <v>No</v>
      </c>
      <c r="U150" s="11" t="str">
        <f>IFERROR(IF(VLOOKUP(A150,[2]PRIORIZADOS!$A:$U,21,FALSE)="","",VLOOKUP(A150,[2]PRIORIZADOS!$A:$U,21,FALSE)),"")</f>
        <v>De presentarse una nueva situación deberá ser reportada.</v>
      </c>
    </row>
    <row r="151" spans="1:21" s="1" customFormat="1" ht="48">
      <c r="A151" s="69">
        <f>IF([2]PRIORIZADOS!A31="","",[2]PRIORIZADOS!A31)</f>
        <v>154</v>
      </c>
      <c r="B151" s="87">
        <f>IFERROR(IF(VLOOKUP(A151,[2]PRIORIZADOS!$A:$B,2,FALSE)="","",VLOOKUP(A151,[2]PRIORIZADOS!$A:$B,2,FALSE)),"")</f>
        <v>3</v>
      </c>
      <c r="C151" s="11" t="str">
        <f>IFERROR(IF(VLOOKUP(A151,[2]PRIORIZADOS!$A:$C,3,FALSE)="","",VLOOKUP(A151,[2]PRIORIZADOS!$A:$C,3,FALSE)),"")</f>
        <v xml:space="preserve">BARRIOS UNIDOS </v>
      </c>
      <c r="D151" s="69" t="str">
        <f>IFERROR(IF(VLOOKUP(A151,[2]PRIORIZADOS!$A:$D,4,FALSE)="","",VLOOKUP(A151,[2]PRIORIZADOS!$A:$D,4,FALSE)),"")</f>
        <v>PRIVADO</v>
      </c>
      <c r="E151" s="69" t="str">
        <f>IFERROR(IF(VLOOKUP(A151,[2]PRIORIZADOS!$A:$E,5,FALSE)="","",VLOOKUP(A151,[2]PRIORIZADOS!$A:$E,5,FALSE)),"")</f>
        <v>Educación de Jóvenes y Adultos</v>
      </c>
      <c r="F151" s="11" t="str">
        <f>IFERROR(IF(VLOOKUP(A151,[2]PRIORIZADOS!$A:$F,6,FALSE)="","",VLOOKUP(A151,[2]PRIORIZADOS!$A:$F,6,FALSE)),"")</f>
        <v>COLEGIO_TRIANGULO_CHAPINERO</v>
      </c>
      <c r="G151" s="11" t="str">
        <f>IFERROR(IF(VLOOKUP(A151,[2]PRIORIZADOS!$A:$G,7,FALSE)="","",VLOOKUP(A151,[2]PRIORIZADOS!$A:$G,7,FALSE)),"")</f>
        <v>COLEGIO_TRIANGULO_CHAPINERO</v>
      </c>
      <c r="H151" s="11" t="str">
        <f>IFERROR(IF(VLOOKUP(A151,[2]PRIORIZADOS!$A:$H,8,FALSE)="","",VLOOKUP(A151,[2]PRIORIZADOS!$A:$H,8,FALSE)),"")</f>
        <v>Autoevaluación Institucional y Pruebas SABER 11</v>
      </c>
      <c r="I151" s="11" t="str">
        <f>IFERROR(IF(VLOOKUP(A151,[2]PRIORIZADOS!$A:$I,9,FALSE)="","",VLOOKUP(A151,[2]PRIORIZADOS!$A:$I,9,FALSE)),"")</f>
        <v>EVALUACIÓN_CON_FINES_DE_MEJORAMIENTO.</v>
      </c>
      <c r="J151" s="11" t="str">
        <f>IFERROR(IF(VLOOKUP(A151,[2]PRIORIZADOS!$A:$J,10,FALSE)="","",VLOOKUP(A151,[2]PRIORIZADOS!$A:$J,10,FALSE)),"")</f>
        <v>Revisar el calendario escolar, jornada escolar, la intensidad horaria mínima anual en cada nivel y las modificaciones que se realicen al mismo, de acuerdo con lo previsto en la normatividad vigente.</v>
      </c>
      <c r="K151" s="11" t="str">
        <f>IFERROR(IF(VLOOKUP(A151,[2]PRIORIZADOS!$A:$K,11,FALSE)="","",VLOOKUP(A151,[2]PRIORIZADOS!$A:$K,11,FALSE)),"")</f>
        <v xml:space="preserve">ALBERTO MIGUEL PEÑA </v>
      </c>
      <c r="L151" s="11" t="str">
        <f>IFERROR(IF(VLOOKUP(A151,[2]PRIORIZADOS!$A:$L,12,FALSE)="","",VLOOKUP(A151,[2]PRIORIZADOS!$A:$L,12,FALSE)),"")</f>
        <v>DORIS YOLANDA LÓPEZ ARÉVALO</v>
      </c>
      <c r="M151" s="88">
        <f>IFERROR(IF(VLOOKUP(A151,[2]PRIORIZADOS!$A:$M,13,FALSE)="","",VLOOKUP(A151,[2]PRIORIZADOS!$A:$M,13,FALSE)),"")</f>
        <v>45769</v>
      </c>
      <c r="N151" s="71">
        <f>IFERROR(IF(VLOOKUP(A151,[2]PRIORIZADOS!$A:$N,14,FALSE)="","",VLOOKUP(A151,[2]PRIORIZADOS!$A:$N,14,FALSE)),"")</f>
        <v>45813</v>
      </c>
      <c r="O151" s="71">
        <f>IFERROR(IF(VLOOKUP(A151,[2]PRIORIZADOS!$A:$O,15,FALSE)="","",VLOOKUP(A151,[2]PRIORIZADOS!$A:$O,15,FALSE)),"")</f>
        <v>45813</v>
      </c>
      <c r="P151" s="11" t="str">
        <f>IFERROR(IF(VLOOKUP(A151,[2]PRIORIZADOS!$A:$P,16,FALSE)="","",VLOOKUP(A151,[2]PRIORIZADOS!$A:$P,16,FALSE)),"")</f>
        <v>Visitas de evaluación con fines de mejoramiento</v>
      </c>
      <c r="Q151" s="119" t="s">
        <v>46</v>
      </c>
      <c r="R151" s="11" t="str">
        <f>IFERROR(IF(VLOOKUP(A151,[2]PRIORIZADOS!$A:$R,18,FALSE)="","",VLOOKUP(A151,[2]PRIORIZADOS!$A:$R,18,FALSE)),"")</f>
        <v xml:space="preserve">Se revisó el calendario académico 2025 cumpliendo con la intensidad horaria normada para los CLEI I al VI </v>
      </c>
      <c r="S151" s="11" t="str">
        <f>IFERROR(IF(VLOOKUP(A151,[2]PRIORIZADOS!$A:$S,19,FALSE)="","",VLOOKUP(A151,[2]PRIORIZADOS!$A:$S,19,FALSE)),"")</f>
        <v>Continuar con la implementación de calendario escolar de acuerdo con las intensidades y las semanas de desarrollo académico.</v>
      </c>
      <c r="T151" s="70" t="str">
        <f>IFERROR(IF(VLOOKUP(A151,[2]PRIORIZADOS!$A:$T,20,FALSE)="","",VLOOKUP(A151,[2]PRIORIZADOS!$A:$T,20,FALSE)),"")</f>
        <v>No</v>
      </c>
      <c r="U151" s="11" t="str">
        <f>IFERROR(IF(VLOOKUP(A151,[2]PRIORIZADOS!$A:$U,21,FALSE)="","",VLOOKUP(A151,[2]PRIORIZADOS!$A:$U,21,FALSE)),"")</f>
        <v>De presentarse una queja se deberá actualizar .</v>
      </c>
    </row>
    <row r="152" spans="1:21" s="1" customFormat="1" ht="48">
      <c r="A152" s="69">
        <f>IF([2]PRIORIZADOS!A32="","",[2]PRIORIZADOS!A32)</f>
        <v>155</v>
      </c>
      <c r="B152" s="87">
        <f>IFERROR(IF(VLOOKUP(A152,[2]PRIORIZADOS!$A:$B,2,FALSE)="","",VLOOKUP(A152,[2]PRIORIZADOS!$A:$B,2,FALSE)),"")</f>
        <v>3</v>
      </c>
      <c r="C152" s="11" t="str">
        <f>IFERROR(IF(VLOOKUP(A152,[2]PRIORIZADOS!$A:$C,3,FALSE)="","",VLOOKUP(A152,[2]PRIORIZADOS!$A:$C,3,FALSE)),"")</f>
        <v xml:space="preserve">BARRIOS UNIDOS </v>
      </c>
      <c r="D152" s="69" t="str">
        <f>IFERROR(IF(VLOOKUP(A152,[2]PRIORIZADOS!$A:$D,4,FALSE)="","",VLOOKUP(A152,[2]PRIORIZADOS!$A:$D,4,FALSE)),"")</f>
        <v>PRIVADO</v>
      </c>
      <c r="E152" s="69" t="str">
        <f>IFERROR(IF(VLOOKUP(A152,[2]PRIORIZADOS!$A:$E,5,FALSE)="","",VLOOKUP(A152,[2]PRIORIZADOS!$A:$E,5,FALSE)),"")</f>
        <v>Educación de Jóvenes y Adultos</v>
      </c>
      <c r="F152" s="11" t="str">
        <f>IFERROR(IF(VLOOKUP(A152,[2]PRIORIZADOS!$A:$F,6,FALSE)="","",VLOOKUP(A152,[2]PRIORIZADOS!$A:$F,6,FALSE)),"")</f>
        <v>COLEGIO_TRIANGULO_CHAPINERO</v>
      </c>
      <c r="G152" s="11" t="str">
        <f>IFERROR(IF(VLOOKUP(A152,[2]PRIORIZADOS!$A:$G,7,FALSE)="","",VLOOKUP(A152,[2]PRIORIZADOS!$A:$G,7,FALSE)),"")</f>
        <v>COLEGIO_TRIANGULO_CHAPINERO</v>
      </c>
      <c r="H152" s="11" t="str">
        <f>IFERROR(IF(VLOOKUP(A152,[2]PRIORIZADOS!$A:$H,8,FALSE)="","",VLOOKUP(A152,[2]PRIORIZADOS!$A:$H,8,FALSE)),"")</f>
        <v>Autoevaluación Institucional y Pruebas SABER 11</v>
      </c>
      <c r="I152" s="11" t="str">
        <f>IFERROR(IF(VLOOKUP(A152,[2]PRIORIZADOS!$A:$I,9,FALSE)="","",VLOOKUP(A152,[2]PRIORIZADOS!$A:$I,9,FALSE)),"")</f>
        <v>EVALUACIÓN_CON_FINES_DE_MEJORAMIENTO.</v>
      </c>
      <c r="J152" s="11" t="str">
        <f>IFERROR(IF(VLOOKUP(A152,[2]PRIORIZADOS!$A:$J,10,FALSE)="","",VLOOKUP(A152,[2]PRIORIZADOS!$A:$J,10,FALSE)),"")</f>
        <v>Verificar el funcionamiento del Gobierno Escolar e instancias de participación con base en la información sobre conformación reportada por la institución educativa.</v>
      </c>
      <c r="K152" s="11" t="str">
        <f>IFERROR(IF(VLOOKUP(A152,[2]PRIORIZADOS!$A:$K,11,FALSE)="","",VLOOKUP(A152,[2]PRIORIZADOS!$A:$K,11,FALSE)),"")</f>
        <v xml:space="preserve">ALBERTO MIGUEL PEÑA </v>
      </c>
      <c r="L152" s="11" t="str">
        <f>IFERROR(IF(VLOOKUP(A152,[2]PRIORIZADOS!$A:$L,12,FALSE)="","",VLOOKUP(A152,[2]PRIORIZADOS!$A:$L,12,FALSE)),"")</f>
        <v>DORIS YOLANDA LÓPEZ ARÉVALO</v>
      </c>
      <c r="M152" s="88">
        <f>IFERROR(IF(VLOOKUP(A152,[2]PRIORIZADOS!$A:$M,13,FALSE)="","",VLOOKUP(A152,[2]PRIORIZADOS!$A:$M,13,FALSE)),"")</f>
        <v>45769</v>
      </c>
      <c r="N152" s="71">
        <f>IFERROR(IF(VLOOKUP(A152,[2]PRIORIZADOS!$A:$N,14,FALSE)="","",VLOOKUP(A152,[2]PRIORIZADOS!$A:$N,14,FALSE)),"")</f>
        <v>45813</v>
      </c>
      <c r="O152" s="71">
        <f>IFERROR(IF(VLOOKUP(A152,[2]PRIORIZADOS!$A:$O,15,FALSE)="","",VLOOKUP(A152,[2]PRIORIZADOS!$A:$O,15,FALSE)),"")</f>
        <v>45813</v>
      </c>
      <c r="P152" s="11" t="str">
        <f>IFERROR(IF(VLOOKUP(A152,[2]PRIORIZADOS!$A:$P,16,FALSE)="","",VLOOKUP(A152,[2]PRIORIZADOS!$A:$P,16,FALSE)),"")</f>
        <v>Visitas de evaluación con fines de mejoramiento</v>
      </c>
      <c r="Q152" s="119" t="s">
        <v>46</v>
      </c>
      <c r="R152" s="11" t="str">
        <f>IFERROR(IF(VLOOKUP(A152,[2]PRIORIZADOS!$A:$R,18,FALSE)="","",VLOOKUP(A152,[2]PRIORIZADOS!$A:$R,18,FALSE)),"")</f>
        <v>Se evidenció soportes de la conformación y funcionamiento del gobierno escolar.</v>
      </c>
      <c r="S152" s="11" t="str">
        <f>IFERROR(IF(VLOOKUP(A152,[2]PRIORIZADOS!$A:$S,19,FALSE)="","",VLOOKUP(A152,[2]PRIORIZADOS!$A:$S,19,FALSE)),"")</f>
        <v>Continuar con la sesiones periódicas del Gobierno Escolar y órganos de participación como lo establece la norma y el marco de sus funciones.</v>
      </c>
      <c r="T152" s="70" t="str">
        <f>IFERROR(IF(VLOOKUP(A152,[2]PRIORIZADOS!$A:$T,20,FALSE)="","",VLOOKUP(A152,[2]PRIORIZADOS!$A:$T,20,FALSE)),"")</f>
        <v>No</v>
      </c>
      <c r="U152" s="11" t="str">
        <f>IFERROR(IF(VLOOKUP(A152,[2]PRIORIZADOS!$A:$U,21,FALSE)="","",VLOOKUP(A152,[2]PRIORIZADOS!$A:$U,21,FALSE)),"")</f>
        <v>Se hará seguimiento mediante la verificación de la conformación del Gobierno Escolar y estancia de participación en la siguiente vigencia</v>
      </c>
    </row>
    <row r="153" spans="1:21" s="1" customFormat="1" ht="72">
      <c r="A153" s="69">
        <f>IF([2]PRIORIZADOS!A33="","",[2]PRIORIZADOS!A33)</f>
        <v>156</v>
      </c>
      <c r="B153" s="87">
        <f>IFERROR(IF(VLOOKUP(A153,[2]PRIORIZADOS!$A:$B,2,FALSE)="","",VLOOKUP(A153,[2]PRIORIZADOS!$A:$B,2,FALSE)),"")</f>
        <v>3</v>
      </c>
      <c r="C153" s="11" t="str">
        <f>IFERROR(IF(VLOOKUP(A153,[2]PRIORIZADOS!$A:$C,3,FALSE)="","",VLOOKUP(A153,[2]PRIORIZADOS!$A:$C,3,FALSE)),"")</f>
        <v xml:space="preserve">BARRIOS UNIDOS </v>
      </c>
      <c r="D153" s="69" t="str">
        <f>IFERROR(IF(VLOOKUP(A153,[2]PRIORIZADOS!$A:$D,4,FALSE)="","",VLOOKUP(A153,[2]PRIORIZADOS!$A:$D,4,FALSE)),"")</f>
        <v>PRIVADO</v>
      </c>
      <c r="E153" s="69" t="str">
        <f>IFERROR(IF(VLOOKUP(A153,[2]PRIORIZADOS!$A:$E,5,FALSE)="","",VLOOKUP(A153,[2]PRIORIZADOS!$A:$E,5,FALSE)),"")</f>
        <v>Educación de Jóvenes y Adultos</v>
      </c>
      <c r="F153" s="11" t="str">
        <f>IFERROR(IF(VLOOKUP(A153,[2]PRIORIZADOS!$A:$F,6,FALSE)="","",VLOOKUP(A153,[2]PRIORIZADOS!$A:$F,6,FALSE)),"")</f>
        <v>COLEGIO_TRIANGULO_CHAPINERO</v>
      </c>
      <c r="G153" s="11" t="str">
        <f>IFERROR(IF(VLOOKUP(A153,[2]PRIORIZADOS!$A:$G,7,FALSE)="","",VLOOKUP(A153,[2]PRIORIZADOS!$A:$G,7,FALSE)),"")</f>
        <v>COLEGIO_TRIANGULO_CHAPINERO</v>
      </c>
      <c r="H153" s="11" t="str">
        <f>IFERROR(IF(VLOOKUP(A153,[2]PRIORIZADOS!$A:$H,8,FALSE)="","",VLOOKUP(A153,[2]PRIORIZADOS!$A:$H,8,FALSE)),"")</f>
        <v>Autoevaluación Institucional y Pruebas SABER 11</v>
      </c>
      <c r="I153" s="11" t="str">
        <f>IFERROR(IF(VLOOKUP(A153,[2]PRIORIZADOS!$A:$I,9,FALSE)="","",VLOOKUP(A153,[2]PRIORIZADOS!$A:$I,9,FALSE)),"")</f>
        <v>EVALUACIÓN_CON_FINES_DE_MEJORAMIENTO.</v>
      </c>
      <c r="J153" s="11" t="str">
        <f>IFERROR(IF(VLOOKUP(A153,[2]PRIORIZADOS!$A:$J,10,FALSE)="","",VLOOKUP(A153,[2]PRIORIZADOS!$A:$J,10,FALSE)),"")</f>
        <v>Verificar las condiciones en cuanto a: la estructura administrativa, condiciones de la planta física y medios educativos adecuados.</v>
      </c>
      <c r="K153" s="11" t="str">
        <f>IFERROR(IF(VLOOKUP(A153,[2]PRIORIZADOS!$A:$K,11,FALSE)="","",VLOOKUP(A153,[2]PRIORIZADOS!$A:$K,11,FALSE)),"")</f>
        <v xml:space="preserve">ALBERTO MIGUEL PEÑA </v>
      </c>
      <c r="L153" s="11" t="str">
        <f>IFERROR(IF(VLOOKUP(A153,[2]PRIORIZADOS!$A:$L,12,FALSE)="","",VLOOKUP(A153,[2]PRIORIZADOS!$A:$L,12,FALSE)),"")</f>
        <v>DORIS YOLANDA LÓPEZ ARÉVALO</v>
      </c>
      <c r="M153" s="88">
        <f>IFERROR(IF(VLOOKUP(A153,[2]PRIORIZADOS!$A:$M,13,FALSE)="","",VLOOKUP(A153,[2]PRIORIZADOS!$A:$M,13,FALSE)),"")</f>
        <v>45769</v>
      </c>
      <c r="N153" s="71">
        <f>IFERROR(IF(VLOOKUP(A153,[2]PRIORIZADOS!$A:$N,14,FALSE)="","",VLOOKUP(A153,[2]PRIORIZADOS!$A:$N,14,FALSE)),"")</f>
        <v>45813</v>
      </c>
      <c r="O153" s="71">
        <f>IFERROR(IF(VLOOKUP(A153,[2]PRIORIZADOS!$A:$O,15,FALSE)="","",VLOOKUP(A153,[2]PRIORIZADOS!$A:$O,15,FALSE)),"")</f>
        <v>45813</v>
      </c>
      <c r="P153" s="11" t="str">
        <f>IFERROR(IF(VLOOKUP(A153,[2]PRIORIZADOS!$A:$P,16,FALSE)="","",VLOOKUP(A153,[2]PRIORIZADOS!$A:$P,16,FALSE)),"")</f>
        <v>Visitas de evaluación con fines de mejoramiento</v>
      </c>
      <c r="Q153" s="119" t="s">
        <v>46</v>
      </c>
      <c r="R153" s="11" t="str">
        <f>IFERROR(IF(VLOOKUP(A153,[2]PRIORIZADOS!$A:$R,18,FALSE)="","",VLOOKUP(A153,[2]PRIORIZADOS!$A:$R,18,FALSE)),"")</f>
        <v>Se evidenció que los espacios son suficientes y adecuadas para la prestación del servicio sin embargo no se cuenta con espacios para población discapacidad, se evidencio que los equipos de cómputo no cuentan con software actualizado.</v>
      </c>
      <c r="S153" s="11" t="str">
        <f>IFERROR(IF(VLOOKUP(A153,[2]PRIORIZADOS!$A:$S,19,FALSE)="","",VLOOKUP(A153,[2]PRIORIZADOS!$A:$S,19,FALSE)),"")</f>
        <v xml:space="preserve">Se solicita adecuaciones del baño para el uso de personas con discapacidad y actualización del software de los equipos de cómputo </v>
      </c>
      <c r="T153" s="70" t="str">
        <f>IFERROR(IF(VLOOKUP(A153,[2]PRIORIZADOS!$A:$T,20,FALSE)="","",VLOOKUP(A153,[2]PRIORIZADOS!$A:$T,20,FALSE)),"")</f>
        <v>Si</v>
      </c>
      <c r="U153" s="11" t="str">
        <f>IFERROR(IF(VLOOKUP(A153,[2]PRIORIZADOS!$A:$U,21,FALSE)="","",VLOOKUP(A153,[2]PRIORIZADOS!$A:$U,21,FALSE)),"")</f>
        <v xml:space="preserve">Cuando se realice la visita de seguimiento, se verificara los aspectos requeridos </v>
      </c>
    </row>
    <row r="154" spans="1:21" s="1" customFormat="1" ht="48">
      <c r="A154" s="69">
        <f>IF([2]PRIORIZADOS!A34="","",[2]PRIORIZADOS!A34)</f>
        <v>157</v>
      </c>
      <c r="B154" s="87">
        <f>IFERROR(IF(VLOOKUP(A154,[2]PRIORIZADOS!$A:$B,2,FALSE)="","",VLOOKUP(A154,[2]PRIORIZADOS!$A:$B,2,FALSE)),"")</f>
        <v>4</v>
      </c>
      <c r="C154" s="11" t="str">
        <f>IFERROR(IF(VLOOKUP(A154,[2]PRIORIZADOS!$A:$C,3,FALSE)="","",VLOOKUP(A154,[2]PRIORIZADOS!$A:$C,3,FALSE)),"")</f>
        <v xml:space="preserve">BARRIOS UNIDOS </v>
      </c>
      <c r="D154" s="69" t="str">
        <f>IFERROR(IF(VLOOKUP(A154,[2]PRIORIZADOS!$A:$D,4,FALSE)="","",VLOOKUP(A154,[2]PRIORIZADOS!$A:$D,4,FALSE)),"")</f>
        <v>PRIVADO</v>
      </c>
      <c r="E154" s="69" t="str">
        <f>IFERROR(IF(VLOOKUP(A154,[2]PRIORIZADOS!$A:$E,5,FALSE)="","",VLOOKUP(A154,[2]PRIORIZADOS!$A:$E,5,FALSE)),"")</f>
        <v>Educación de Jóvenes y Adultos</v>
      </c>
      <c r="F154" s="11" t="str">
        <f>IFERROR(IF(VLOOKUP(A154,[2]PRIORIZADOS!$A:$F,6,FALSE)="","",VLOOKUP(A154,[2]PRIORIZADOS!$A:$F,6,FALSE)),"")</f>
        <v>COLEGIO_GIMNASIO_AMERICANO</v>
      </c>
      <c r="G154" s="11" t="str">
        <f>IFERROR(IF(VLOOKUP(A154,[2]PRIORIZADOS!$A:$G,7,FALSE)="","",VLOOKUP(A154,[2]PRIORIZADOS!$A:$G,7,FALSE)),"")</f>
        <v>COLEGIO_GIMNASIO_AMERICANO</v>
      </c>
      <c r="H154" s="11" t="str">
        <f>IFERROR(IF(VLOOKUP(A154,[2]PRIORIZADOS!$A:$H,8,FALSE)="","",VLOOKUP(A154,[2]PRIORIZADOS!$A:$H,8,FALSE)),"")</f>
        <v>Autoevaluación Institucional y Pruebas SABER 11</v>
      </c>
      <c r="I154" s="11" t="str">
        <f>IFERROR(IF(VLOOKUP(A154,[2]PRIORIZADOS!$A:$I,9,FALSE)="","",VLOOKUP(A154,[2]PRIORIZADOS!$A:$I,9,FALSE)),"")</f>
        <v>SEGUIMIENTO_Y_SUPERVISIÓN.</v>
      </c>
      <c r="J154" s="11" t="str">
        <f>IFERROR(IF(VLOOKUP(A154,[2]PRIORIZADOS!$A:$J,10,FALSE)="","",VLOOKUP(A154,[2]PRIORIZADOS!$A:$J,10,FALSE)),"")</f>
        <v>Realizar visitas para verificar la información registrada sobre la autoevaluación institucional en el aplicativo EVI, a los establecimientos de educación formal no oficial.</v>
      </c>
      <c r="K154" s="11" t="str">
        <f>IFERROR(IF(VLOOKUP(A154,[2]PRIORIZADOS!$A:$K,11,FALSE)="","",VLOOKUP(A154,[2]PRIORIZADOS!$A:$K,11,FALSE)),"")</f>
        <v>DORIS YOLANDA LÓPEZ ARÉVALO</v>
      </c>
      <c r="L154" s="11" t="str">
        <f>IFERROR(IF(VLOOKUP(A154,[2]PRIORIZADOS!$A:$L,12,FALSE)="","",VLOOKUP(A154,[2]PRIORIZADOS!$A:$L,12,FALSE)),"")</f>
        <v xml:space="preserve">ALBERTO MIGUEL PEÑA </v>
      </c>
      <c r="M154" s="88">
        <f>IFERROR(IF(VLOOKUP(A154,[2]PRIORIZADOS!$A:$M,13,FALSE)="","",VLOOKUP(A154,[2]PRIORIZADOS!$A:$M,13,FALSE)),"")</f>
        <v>45769</v>
      </c>
      <c r="N154" s="71">
        <f>IFERROR(IF(VLOOKUP(A154,[2]PRIORIZADOS!$A:$N,14,FALSE)="","",VLOOKUP(A154,[2]PRIORIZADOS!$A:$N,14,FALSE)),"")</f>
        <v>45769</v>
      </c>
      <c r="O154" s="71">
        <f>IFERROR(IF(VLOOKUP(A154,[2]PRIORIZADOS!$A:$O,15,FALSE)="","",VLOOKUP(A154,[2]PRIORIZADOS!$A:$O,15,FALSE)),"")</f>
        <v>45769</v>
      </c>
      <c r="P154" s="11" t="str">
        <f>IFERROR(IF(VLOOKUP(A154,[2]PRIORIZADOS!$A:$P,16,FALSE)="","",VLOOKUP(A154,[2]PRIORIZADOS!$A:$P,16,FALSE)),"")</f>
        <v>Visitas de evaluación con fines de mejoramiento</v>
      </c>
      <c r="Q154" s="119" t="s">
        <v>47</v>
      </c>
      <c r="R154" s="11" t="str">
        <f>IFERROR(IF(VLOOKUP(A154,[2]PRIORIZADOS!$A:$R,18,FALSE)="","",VLOOKUP(A154,[2]PRIORIZADOS!$A:$R,18,FALSE)),"")</f>
        <v>Se revisa la población estudiantil que deben ajustar en SIMAT, no tienen la Resolución publicada y se revisa ejecución de calendario escolar.</v>
      </c>
      <c r="S154" s="11" t="str">
        <f>IFERROR(IF(VLOOKUP(A154,[2]PRIORIZADOS!$A:$S,19,FALSE)="","",VLOOKUP(A154,[2]PRIORIZADOS!$A:$S,19,FALSE)),"")</f>
        <v>La IE debe ajustar y actualizar los estudiantes en la plataforma SIMAT y deben publicar Resolución en lugar visible.</v>
      </c>
      <c r="T154" s="70" t="str">
        <f>IFERROR(IF(VLOOKUP(A154,[2]PRIORIZADOS!$A:$T,20,FALSE)="","",VLOOKUP(A154,[2]PRIORIZADOS!$A:$T,20,FALSE)),"")</f>
        <v>No</v>
      </c>
      <c r="U154" s="11" t="str">
        <f>IFERROR(IF(VLOOKUP(A154,[2]PRIORIZADOS!$A:$U,21,FALSE)="","",VLOOKUP(A154,[2]PRIORIZADOS!$A:$U,21,FALSE)),"")</f>
        <v>Se revisará la actualización en  SIMAT y para el cierre del proceso de visita se revisará la publicación de la Resolución.</v>
      </c>
    </row>
    <row r="155" spans="1:21" s="1" customFormat="1" ht="60">
      <c r="A155" s="69">
        <f>IF([2]PRIORIZADOS!A35="","",[2]PRIORIZADOS!A35)</f>
        <v>158</v>
      </c>
      <c r="B155" s="87">
        <f>IFERROR(IF(VLOOKUP(A155,[2]PRIORIZADOS!$A:$B,2,FALSE)="","",VLOOKUP(A155,[2]PRIORIZADOS!$A:$B,2,FALSE)),"")</f>
        <v>4</v>
      </c>
      <c r="C155" s="11" t="str">
        <f>IFERROR(IF(VLOOKUP(A155,[2]PRIORIZADOS!$A:$C,3,FALSE)="","",VLOOKUP(A155,[2]PRIORIZADOS!$A:$C,3,FALSE)),"")</f>
        <v xml:space="preserve">BARRIOS UNIDOS </v>
      </c>
      <c r="D155" s="69" t="str">
        <f>IFERROR(IF(VLOOKUP(A155,[2]PRIORIZADOS!$A:$D,4,FALSE)="","",VLOOKUP(A155,[2]PRIORIZADOS!$A:$D,4,FALSE)),"")</f>
        <v>PRIVADO</v>
      </c>
      <c r="E155" s="69" t="str">
        <f>IFERROR(IF(VLOOKUP(A155,[2]PRIORIZADOS!$A:$E,5,FALSE)="","",VLOOKUP(A155,[2]PRIORIZADOS!$A:$E,5,FALSE)),"")</f>
        <v>Educación de Jóvenes y Adultos</v>
      </c>
      <c r="F155" s="11" t="str">
        <f>IFERROR(IF(VLOOKUP(A155,[2]PRIORIZADOS!$A:$F,6,FALSE)="","",VLOOKUP(A155,[2]PRIORIZADOS!$A:$F,6,FALSE)),"")</f>
        <v>COLEGIO_GIMNASIO_AMERICANO</v>
      </c>
      <c r="G155" s="11" t="str">
        <f>IFERROR(IF(VLOOKUP(A155,[2]PRIORIZADOS!$A:$G,7,FALSE)="","",VLOOKUP(A155,[2]PRIORIZADOS!$A:$G,7,FALSE)),"")</f>
        <v>COLEGIO_GIMNASIO_AMERICANO</v>
      </c>
      <c r="H155" s="11" t="str">
        <f>IFERROR(IF(VLOOKUP(A155,[2]PRIORIZADOS!$A:$H,8,FALSE)="","",VLOOKUP(A155,[2]PRIORIZADOS!$A:$H,8,FALSE)),"")</f>
        <v>Autoevaluación Institucional y Pruebas SABER 11</v>
      </c>
      <c r="I155" s="11" t="str">
        <f>IFERROR(IF(VLOOKUP(A155,[2]PRIORIZADOS!$A:$I,9,FALSE)="","",VLOOKUP(A155,[2]PRIORIZADOS!$A:$I,9,FALSE)),"")</f>
        <v>SEGUIMIENTO_Y_SUPERVISIÓN.</v>
      </c>
      <c r="J155" s="11" t="str">
        <f>IFERROR(IF(VLOOKUP(A155,[2]PRIORIZADOS!$A:$J,10,FALSE)="","",VLOOKUP(A155,[2]PRIORIZADOS!$A:$J,10,FALSE)),"")</f>
        <v>Proponer estrategias en la formulación, verificar su elaboración y realizar seguimiento semestral al desarrollo de  las acciones establecidas en los planes de mejoramiento por pruebas SABER 11 de los establecimientos de educación formal.</v>
      </c>
      <c r="K155" s="11" t="str">
        <f>IFERROR(IF(VLOOKUP(A155,[2]PRIORIZADOS!$A:$K,11,FALSE)="","",VLOOKUP(A155,[2]PRIORIZADOS!$A:$K,11,FALSE)),"")</f>
        <v>DORIS YOLANDA LÓPEZ ARÉVALO</v>
      </c>
      <c r="L155" s="11" t="str">
        <f>IFERROR(IF(VLOOKUP(A155,[2]PRIORIZADOS!$A:$L,12,FALSE)="","",VLOOKUP(A155,[2]PRIORIZADOS!$A:$L,12,FALSE)),"")</f>
        <v xml:space="preserve">ALBERTO MIGUEL PEÑA </v>
      </c>
      <c r="M155" s="88">
        <f>IFERROR(IF(VLOOKUP(A155,[2]PRIORIZADOS!$A:$M,13,FALSE)="","",VLOOKUP(A155,[2]PRIORIZADOS!$A:$M,13,FALSE)),"")</f>
        <v>45769</v>
      </c>
      <c r="N155" s="71">
        <f>IFERROR(IF(VLOOKUP(A155,[2]PRIORIZADOS!$A:$N,14,FALSE)="","",VLOOKUP(A155,[2]PRIORIZADOS!$A:$N,14,FALSE)),"")</f>
        <v>45769</v>
      </c>
      <c r="O155" s="71">
        <f>IFERROR(IF(VLOOKUP(A155,[2]PRIORIZADOS!$A:$O,15,FALSE)="","",VLOOKUP(A155,[2]PRIORIZADOS!$A:$O,15,FALSE)),"")</f>
        <v>45769</v>
      </c>
      <c r="P155" s="11" t="str">
        <f>IFERROR(IF(VLOOKUP(A155,[2]PRIORIZADOS!$A:$P,16,FALSE)="","",VLOOKUP(A155,[2]PRIORIZADOS!$A:$P,16,FALSE)),"")</f>
        <v>Visitas de evaluación con fines de mejoramiento</v>
      </c>
      <c r="Q155" s="119" t="s">
        <v>47</v>
      </c>
      <c r="R155" s="11" t="str">
        <f>IFERROR(IF(VLOOKUP(A155,[2]PRIORIZADOS!$A:$R,18,FALSE)="","",VLOOKUP(A155,[2]PRIORIZADOS!$A:$R,18,FALSE)),"")</f>
        <v>Se indagó acerca de estrategias que permitan elevar la categoría del colegio por los resultados Pruebas Saber 11</v>
      </c>
      <c r="S155" s="11" t="str">
        <f>IFERROR(IF(VLOOKUP(A155,[2]PRIORIZADOS!$A:$S,19,FALSE)="","",VLOOKUP(A155,[2]PRIORIZADOS!$A:$S,19,FALSE)),"")</f>
        <v>Se revisan guías que demuestran un trabajo del cuerpo docente, así como la invitación a presentar pruebas buenas pese a ser adultos.</v>
      </c>
      <c r="T155" s="70" t="str">
        <f>IFERROR(IF(VLOOKUP(A155,[2]PRIORIZADOS!$A:$T,20,FALSE)="","",VLOOKUP(A155,[2]PRIORIZADOS!$A:$T,20,FALSE)),"")</f>
        <v>Si</v>
      </c>
      <c r="U155" s="11" t="str">
        <f>IFERROR(IF(VLOOKUP(A155,[2]PRIORIZADOS!$A:$U,21,FALSE)="","",VLOOKUP(A155,[2]PRIORIZADOS!$A:$U,21,FALSE)),"")</f>
        <v>IE remitirá el Plan de Mejoramiento mostrando acciones que permitan subir de categoría.</v>
      </c>
    </row>
    <row r="156" spans="1:21" s="1" customFormat="1" ht="48">
      <c r="A156" s="69">
        <f>IF([2]PRIORIZADOS!A36="","",[2]PRIORIZADOS!A36)</f>
        <v>159</v>
      </c>
      <c r="B156" s="87">
        <f>IFERROR(IF(VLOOKUP(A156,[2]PRIORIZADOS!$A:$B,2,FALSE)="","",VLOOKUP(A156,[2]PRIORIZADOS!$A:$B,2,FALSE)),"")</f>
        <v>4</v>
      </c>
      <c r="C156" s="11" t="str">
        <f>IFERROR(IF(VLOOKUP(A156,[2]PRIORIZADOS!$A:$C,3,FALSE)="","",VLOOKUP(A156,[2]PRIORIZADOS!$A:$C,3,FALSE)),"")</f>
        <v xml:space="preserve">BARRIOS UNIDOS </v>
      </c>
      <c r="D156" s="69" t="str">
        <f>IFERROR(IF(VLOOKUP(A156,[2]PRIORIZADOS!$A:$D,4,FALSE)="","",VLOOKUP(A156,[2]PRIORIZADOS!$A:$D,4,FALSE)),"")</f>
        <v>PRIVADO</v>
      </c>
      <c r="E156" s="69" t="str">
        <f>IFERROR(IF(VLOOKUP(A156,[2]PRIORIZADOS!$A:$E,5,FALSE)="","",VLOOKUP(A156,[2]PRIORIZADOS!$A:$E,5,FALSE)),"")</f>
        <v>Educación de Jóvenes y Adultos</v>
      </c>
      <c r="F156" s="11" t="str">
        <f>IFERROR(IF(VLOOKUP(A156,[2]PRIORIZADOS!$A:$F,6,FALSE)="","",VLOOKUP(A156,[2]PRIORIZADOS!$A:$F,6,FALSE)),"")</f>
        <v>COLEGIO_GIMNASIO_AMERICANO</v>
      </c>
      <c r="G156" s="11" t="str">
        <f>IFERROR(IF(VLOOKUP(A156,[2]PRIORIZADOS!$A:$G,7,FALSE)="","",VLOOKUP(A156,[2]PRIORIZADOS!$A:$G,7,FALSE)),"")</f>
        <v>COLEGIO_GIMNASIO_AMERICANO</v>
      </c>
      <c r="H156" s="11" t="str">
        <f>IFERROR(IF(VLOOKUP(A156,[2]PRIORIZADOS!$A:$H,8,FALSE)="","",VLOOKUP(A156,[2]PRIORIZADOS!$A:$H,8,FALSE)),"")</f>
        <v>Autoevaluación Institucional y Pruebas SABER 11</v>
      </c>
      <c r="I156" s="11" t="str">
        <f>IFERROR(IF(VLOOKUP(A156,[2]PRIORIZADOS!$A:$I,9,FALSE)="","",VLOOKUP(A156,[2]PRIORIZADOS!$A:$I,9,FALSE)),"")</f>
        <v>SEGUIMIENTO_Y_SUPERVISIÓN.</v>
      </c>
      <c r="J156" s="11" t="str">
        <f>IFERROR(IF(VLOOKUP(A156,[2]PRIORIZADOS!$A:$J,10,FALSE)="","",VLOOKUP(A156,[2]PRIORIZADOS!$A:$J,10,FALSE)),"")</f>
        <v xml:space="preserve">Verificar la implementación por parte de los colegios, de acciones realizadas para la prevención y atención de las situaciones de convivencia en el entorno escolar, según lo establecido en la Directiva 01 de 2022 del MEN. </v>
      </c>
      <c r="K156" s="11" t="str">
        <f>IFERROR(IF(VLOOKUP(A156,[2]PRIORIZADOS!$A:$K,11,FALSE)="","",VLOOKUP(A156,[2]PRIORIZADOS!$A:$K,11,FALSE)),"")</f>
        <v>DORIS YOLANDA LÓPEZ ARÉVALO</v>
      </c>
      <c r="L156" s="11" t="str">
        <f>IFERROR(IF(VLOOKUP(A156,[2]PRIORIZADOS!$A:$L,12,FALSE)="","",VLOOKUP(A156,[2]PRIORIZADOS!$A:$L,12,FALSE)),"")</f>
        <v xml:space="preserve">ALBERTO MIGUEL PEÑA </v>
      </c>
      <c r="M156" s="88">
        <f>IFERROR(IF(VLOOKUP(A156,[2]PRIORIZADOS!$A:$M,13,FALSE)="","",VLOOKUP(A156,[2]PRIORIZADOS!$A:$M,13,FALSE)),"")</f>
        <v>45769</v>
      </c>
      <c r="N156" s="71">
        <f>IFERROR(IF(VLOOKUP(A156,[2]PRIORIZADOS!$A:$N,14,FALSE)="","",VLOOKUP(A156,[2]PRIORIZADOS!$A:$N,14,FALSE)),"")</f>
        <v>45769</v>
      </c>
      <c r="O156" s="71">
        <f>IFERROR(IF(VLOOKUP(A156,[2]PRIORIZADOS!$A:$O,15,FALSE)="","",VLOOKUP(A156,[2]PRIORIZADOS!$A:$O,15,FALSE)),"")</f>
        <v>45769</v>
      </c>
      <c r="P156" s="11" t="str">
        <f>IFERROR(IF(VLOOKUP(A156,[2]PRIORIZADOS!$A:$P,16,FALSE)="","",VLOOKUP(A156,[2]PRIORIZADOS!$A:$P,16,FALSE)),"")</f>
        <v>Visitas de evaluación con fines de mejoramiento</v>
      </c>
      <c r="Q156" s="119" t="s">
        <v>47</v>
      </c>
      <c r="R156" s="11" t="str">
        <f>IFERROR(IF(VLOOKUP(A156,[2]PRIORIZADOS!$A:$R,18,FALSE)="","",VLOOKUP(A156,[2]PRIORIZADOS!$A:$R,18,FALSE)),"")</f>
        <v>Se revisó cada una de las hojas de vida de los docentes y se encontró el formato de revisión de antecedentes y con la frecuencia de tres veces al año.</v>
      </c>
      <c r="S156" s="11" t="str">
        <f>IFERROR(IF(VLOOKUP(A156,[2]PRIORIZADOS!$A:$S,19,FALSE)="","",VLOOKUP(A156,[2]PRIORIZADOS!$A:$S,19,FALSE)),"")</f>
        <v>Se les indica que continúen con el proceso de revisión.</v>
      </c>
      <c r="T156" s="70" t="str">
        <f>IFERROR(IF(VLOOKUP(A156,[2]PRIORIZADOS!$A:$T,20,FALSE)="","",VLOOKUP(A156,[2]PRIORIZADOS!$A:$T,20,FALSE)),"")</f>
        <v>No</v>
      </c>
      <c r="U156" s="11" t="str">
        <f>IFERROR(IF(VLOOKUP(A156,[2]PRIORIZADOS!$A:$U,21,FALSE)="","",VLOOKUP(A156,[2]PRIORIZADOS!$A:$U,21,FALSE)),"")</f>
        <v>En caso de presentarse una queja por situación de convivencia escolar se verificará nuevamente.</v>
      </c>
    </row>
    <row r="157" spans="1:21" s="1" customFormat="1" ht="72">
      <c r="A157" s="69">
        <f>IF([2]PRIORIZADOS!A37="","",[2]PRIORIZADOS!A37)</f>
        <v>160</v>
      </c>
      <c r="B157" s="87">
        <f>IFERROR(IF(VLOOKUP(A157,[2]PRIORIZADOS!$A:$B,2,FALSE)="","",VLOOKUP(A157,[2]PRIORIZADOS!$A:$B,2,FALSE)),"")</f>
        <v>4</v>
      </c>
      <c r="C157" s="11" t="str">
        <f>IFERROR(IF(VLOOKUP(A157,[2]PRIORIZADOS!$A:$C,3,FALSE)="","",VLOOKUP(A157,[2]PRIORIZADOS!$A:$C,3,FALSE)),"")</f>
        <v xml:space="preserve">BARRIOS UNIDOS </v>
      </c>
      <c r="D157" s="69" t="str">
        <f>IFERROR(IF(VLOOKUP(A157,[2]PRIORIZADOS!$A:$D,4,FALSE)="","",VLOOKUP(A157,[2]PRIORIZADOS!$A:$D,4,FALSE)),"")</f>
        <v>PRIVADO</v>
      </c>
      <c r="E157" s="69" t="str">
        <f>IFERROR(IF(VLOOKUP(A157,[2]PRIORIZADOS!$A:$E,5,FALSE)="","",VLOOKUP(A157,[2]PRIORIZADOS!$A:$E,5,FALSE)),"")</f>
        <v>Educación de Jóvenes y Adultos</v>
      </c>
      <c r="F157" s="11" t="str">
        <f>IFERROR(IF(VLOOKUP(A157,[2]PRIORIZADOS!$A:$F,6,FALSE)="","",VLOOKUP(A157,[2]PRIORIZADOS!$A:$F,6,FALSE)),"")</f>
        <v>COLEGIO_GIMNASIO_AMERICANO</v>
      </c>
      <c r="G157" s="11" t="str">
        <f>IFERROR(IF(VLOOKUP(A157,[2]PRIORIZADOS!$A:$G,7,FALSE)="","",VLOOKUP(A157,[2]PRIORIZADOS!$A:$G,7,FALSE)),"")</f>
        <v>COLEGIO_GIMNASIO_AMERICANO</v>
      </c>
      <c r="H157" s="11" t="str">
        <f>IFERROR(IF(VLOOKUP(A157,[2]PRIORIZADOS!$A:$H,8,FALSE)="","",VLOOKUP(A157,[2]PRIORIZADOS!$A:$H,8,FALSE)),"")</f>
        <v>Autoevaluación Institucional y Pruebas SABER 11</v>
      </c>
      <c r="I157" s="11" t="str">
        <f>IFERROR(IF(VLOOKUP(A157,[2]PRIORIZADOS!$A:$I,9,FALSE)="","",VLOOKUP(A157,[2]PRIORIZADOS!$A:$I,9,FALSE)),"")</f>
        <v>SEGUIMIENTO_Y_SUPERVISIÓN.</v>
      </c>
      <c r="J157" s="11" t="str">
        <f>IFERROR(IF(VLOOKUP(A157,[2]PRIORIZADOS!$A:$J,10,FALSE)="","",VLOOKUP(A157,[2]PRIORIZADOS!$A:$J,10,FALSE)),"")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7" s="11" t="str">
        <f>IFERROR(IF(VLOOKUP(A157,[2]PRIORIZADOS!$A:$K,11,FALSE)="","",VLOOKUP(A157,[2]PRIORIZADOS!$A:$K,11,FALSE)),"")</f>
        <v>DORIS YOLANDA LÓPEZ ARÉVALO</v>
      </c>
      <c r="L157" s="11" t="str">
        <f>IFERROR(IF(VLOOKUP(A157,[2]PRIORIZADOS!$A:$L,12,FALSE)="","",VLOOKUP(A157,[2]PRIORIZADOS!$A:$L,12,FALSE)),"")</f>
        <v xml:space="preserve">ALBERTO MIGUEL PEÑA </v>
      </c>
      <c r="M157" s="88">
        <f>IFERROR(IF(VLOOKUP(A157,[2]PRIORIZADOS!$A:$M,13,FALSE)="","",VLOOKUP(A157,[2]PRIORIZADOS!$A:$M,13,FALSE)),"")</f>
        <v>45769</v>
      </c>
      <c r="N157" s="71">
        <f>IFERROR(IF(VLOOKUP(A157,[2]PRIORIZADOS!$A:$N,14,FALSE)="","",VLOOKUP(A157,[2]PRIORIZADOS!$A:$N,14,FALSE)),"")</f>
        <v>45769</v>
      </c>
      <c r="O157" s="71">
        <f>IFERROR(IF(VLOOKUP(A157,[2]PRIORIZADOS!$A:$O,15,FALSE)="","",VLOOKUP(A157,[2]PRIORIZADOS!$A:$O,15,FALSE)),"")</f>
        <v>45769</v>
      </c>
      <c r="P157" s="11" t="str">
        <f>IFERROR(IF(VLOOKUP(A157,[2]PRIORIZADOS!$A:$P,16,FALSE)="","",VLOOKUP(A157,[2]PRIORIZADOS!$A:$P,16,FALSE)),"")</f>
        <v>Visitas de evaluación con fines de mejoramiento</v>
      </c>
      <c r="Q157" s="119" t="s">
        <v>47</v>
      </c>
      <c r="R157" s="11" t="str">
        <f>IFERROR(IF(VLOOKUP(A157,[2]PRIORIZADOS!$A:$R,18,FALSE)="","",VLOOKUP(A157,[2]PRIORIZADOS!$A:$R,18,FALSE)),"")</f>
        <v>Al momento de la visita la IE no cuenta con estudiantes de inclusión, se tiene en cuenta esta población en los documentos institucionales.</v>
      </c>
      <c r="S157" s="11" t="str">
        <f>IFERROR(IF(VLOOKUP(A157,[2]PRIORIZADOS!$A:$S,19,FALSE)="","",VLOOKUP(A157,[2]PRIORIZADOS!$A:$S,19,FALSE)),"")</f>
        <v>Se evidencia que conocen los procesos de aplicación de ajustes y tienen zonas de acceso para los estudiantes futuros de inclusión.</v>
      </c>
      <c r="T157" s="70" t="str">
        <f>IFERROR(IF(VLOOKUP(A157,[2]PRIORIZADOS!$A:$T,20,FALSE)="","",VLOOKUP(A157,[2]PRIORIZADOS!$A:$T,20,FALSE)),"")</f>
        <v>No</v>
      </c>
      <c r="U157" s="11" t="str">
        <f>IFERROR(IF(VLOOKUP(A157,[2]PRIORIZADOS!$A:$U,21,FALSE)="","",VLOOKUP(A157,[2]PRIORIZADOS!$A:$U,21,FALSE)),"")</f>
        <v>Se verificará proceso cuando tengan estudiantes de inclusión.</v>
      </c>
    </row>
    <row r="158" spans="1:21" s="1" customFormat="1" ht="84">
      <c r="A158" s="69">
        <f>IF([2]PRIORIZADOS!A38="","",[2]PRIORIZADOS!A38)</f>
        <v>161</v>
      </c>
      <c r="B158" s="87">
        <f>IFERROR(IF(VLOOKUP(A158,[2]PRIORIZADOS!$A:$B,2,FALSE)="","",VLOOKUP(A158,[2]PRIORIZADOS!$A:$B,2,FALSE)),"")</f>
        <v>4</v>
      </c>
      <c r="C158" s="11" t="str">
        <f>IFERROR(IF(VLOOKUP(A158,[2]PRIORIZADOS!$A:$C,3,FALSE)="","",VLOOKUP(A158,[2]PRIORIZADOS!$A:$C,3,FALSE)),"")</f>
        <v xml:space="preserve">BARRIOS UNIDOS </v>
      </c>
      <c r="D158" s="69" t="str">
        <f>IFERROR(IF(VLOOKUP(A158,[2]PRIORIZADOS!$A:$D,4,FALSE)="","",VLOOKUP(A158,[2]PRIORIZADOS!$A:$D,4,FALSE)),"")</f>
        <v>PRIVADO</v>
      </c>
      <c r="E158" s="69" t="str">
        <f>IFERROR(IF(VLOOKUP(A158,[2]PRIORIZADOS!$A:$E,5,FALSE)="","",VLOOKUP(A158,[2]PRIORIZADOS!$A:$E,5,FALSE)),"")</f>
        <v>Educación de Jóvenes y Adultos</v>
      </c>
      <c r="F158" s="11" t="str">
        <f>IFERROR(IF(VLOOKUP(A158,[2]PRIORIZADOS!$A:$F,6,FALSE)="","",VLOOKUP(A158,[2]PRIORIZADOS!$A:$F,6,FALSE)),"")</f>
        <v>COLEGIO_GIMNASIO_AMERICANO</v>
      </c>
      <c r="G158" s="11" t="str">
        <f>IFERROR(IF(VLOOKUP(A158,[2]PRIORIZADOS!$A:$G,7,FALSE)="","",VLOOKUP(A158,[2]PRIORIZADOS!$A:$G,7,FALSE)),"")</f>
        <v>COLEGIO_GIMNASIO_AMERICANO</v>
      </c>
      <c r="H158" s="11" t="str">
        <f>IFERROR(IF(VLOOKUP(A158,[2]PRIORIZADOS!$A:$H,8,FALSE)="","",VLOOKUP(A158,[2]PRIORIZADOS!$A:$H,8,FALSE)),"")</f>
        <v>Autoevaluación Institucional y Pruebas SABER 11</v>
      </c>
      <c r="I158" s="11" t="str">
        <f>IFERROR(IF(VLOOKUP(A158,[2]PRIORIZADOS!$A:$I,9,FALSE)="","",VLOOKUP(A158,[2]PRIORIZADOS!$A:$I,9,FALSE)),"")</f>
        <v>EVALUACIÓN_CON_FINES_DE_MEJORAMIENTO.</v>
      </c>
      <c r="J158" s="11" t="str">
        <f>IFERROR(IF(VLOOKUP(A158,[2]PRIORIZADOS!$A:$J,10,FALSE)="","",VLOOKUP(A158,[2]PRIORIZADOS!$A:$J,10,FALSE)),"")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8" s="11" t="str">
        <f>IFERROR(IF(VLOOKUP(A158,[2]PRIORIZADOS!$A:$K,11,FALSE)="","",VLOOKUP(A158,[2]PRIORIZADOS!$A:$K,11,FALSE)),"")</f>
        <v>DORIS YOLANDA LÓPEZ ARÉVALO</v>
      </c>
      <c r="L158" s="11" t="str">
        <f>IFERROR(IF(VLOOKUP(A158,[2]PRIORIZADOS!$A:$L,12,FALSE)="","",VLOOKUP(A158,[2]PRIORIZADOS!$A:$L,12,FALSE)),"")</f>
        <v xml:space="preserve">ALBERTO MIGUEL PEÑA </v>
      </c>
      <c r="M158" s="88">
        <f>IFERROR(IF(VLOOKUP(A158,[2]PRIORIZADOS!$A:$M,13,FALSE)="","",VLOOKUP(A158,[2]PRIORIZADOS!$A:$M,13,FALSE)),"")</f>
        <v>45769</v>
      </c>
      <c r="N158" s="71">
        <f>IFERROR(IF(VLOOKUP(A158,[2]PRIORIZADOS!$A:$N,14,FALSE)="","",VLOOKUP(A158,[2]PRIORIZADOS!$A:$N,14,FALSE)),"")</f>
        <v>45769</v>
      </c>
      <c r="O158" s="71">
        <f>IFERROR(IF(VLOOKUP(A158,[2]PRIORIZADOS!$A:$O,15,FALSE)="","",VLOOKUP(A158,[2]PRIORIZADOS!$A:$O,15,FALSE)),"")</f>
        <v>45769</v>
      </c>
      <c r="P158" s="11" t="str">
        <f>IFERROR(IF(VLOOKUP(A158,[2]PRIORIZADOS!$A:$P,16,FALSE)="","",VLOOKUP(A158,[2]PRIORIZADOS!$A:$P,16,FALSE)),"")</f>
        <v>Visitas de evaluación con fines de mejoramiento</v>
      </c>
      <c r="Q158" s="119" t="s">
        <v>47</v>
      </c>
      <c r="R158" s="11" t="str">
        <f>IFERROR(IF(VLOOKUP(A158,[2]PRIORIZADOS!$A:$R,18,FALSE)="","",VLOOKUP(A158,[2]PRIORIZADOS!$A:$R,18,FALSE)),"")</f>
        <v>Antes de la visita se revisó Manual de Convivencia encontrando razonabilidad y pertinencia en el documento.</v>
      </c>
      <c r="S158" s="11" t="str">
        <f>IFERROR(IF(VLOOKUP(A158,[2]PRIORIZADOS!$A:$S,19,FALSE)="","",VLOOKUP(A158,[2]PRIORIZADOS!$A:$S,19,FALSE)),"")</f>
        <v>Se revisan documentos de participación en el planteamiento del documento y se menciona que dependiendo las situaciones, se hacen ajustes  al mismo.</v>
      </c>
      <c r="T158" s="70" t="str">
        <f>IFERROR(IF(VLOOKUP(A158,[2]PRIORIZADOS!$A:$T,20,FALSE)="","",VLOOKUP(A158,[2]PRIORIZADOS!$A:$T,20,FALSE)),"")</f>
        <v>No</v>
      </c>
      <c r="U158" s="11" t="str">
        <f>IFERROR(IF(VLOOKUP(A158,[2]PRIORIZADOS!$A:$U,21,FALSE)="","",VLOOKUP(A158,[2]PRIORIZADOS!$A:$U,21,FALSE)),"")</f>
        <v>Cuando se presente una situación se verificará su aplicabilidad.</v>
      </c>
    </row>
    <row r="159" spans="1:21" s="1" customFormat="1" ht="48">
      <c r="A159" s="69">
        <f>IF([2]PRIORIZADOS!A39="","",[2]PRIORIZADOS!A39)</f>
        <v>162</v>
      </c>
      <c r="B159" s="87">
        <f>IFERROR(IF(VLOOKUP(A159,[2]PRIORIZADOS!$A:$B,2,FALSE)="","",VLOOKUP(A159,[2]PRIORIZADOS!$A:$B,2,FALSE)),"")</f>
        <v>4</v>
      </c>
      <c r="C159" s="11" t="str">
        <f>IFERROR(IF(VLOOKUP(A159,[2]PRIORIZADOS!$A:$C,3,FALSE)="","",VLOOKUP(A159,[2]PRIORIZADOS!$A:$C,3,FALSE)),"")</f>
        <v xml:space="preserve">BARRIOS UNIDOS </v>
      </c>
      <c r="D159" s="69" t="str">
        <f>IFERROR(IF(VLOOKUP(A159,[2]PRIORIZADOS!$A:$D,4,FALSE)="","",VLOOKUP(A159,[2]PRIORIZADOS!$A:$D,4,FALSE)),"")</f>
        <v>PRIVADO</v>
      </c>
      <c r="E159" s="69" t="str">
        <f>IFERROR(IF(VLOOKUP(A159,[2]PRIORIZADOS!$A:$E,5,FALSE)="","",VLOOKUP(A159,[2]PRIORIZADOS!$A:$E,5,FALSE)),"")</f>
        <v>Educación de Jóvenes y Adultos</v>
      </c>
      <c r="F159" s="11" t="str">
        <f>IFERROR(IF(VLOOKUP(A159,[2]PRIORIZADOS!$A:$F,6,FALSE)="","",VLOOKUP(A159,[2]PRIORIZADOS!$A:$F,6,FALSE)),"")</f>
        <v>COLEGIO_GIMNASIO_AMERICANO</v>
      </c>
      <c r="G159" s="11" t="str">
        <f>IFERROR(IF(VLOOKUP(A159,[2]PRIORIZADOS!$A:$G,7,FALSE)="","",VLOOKUP(A159,[2]PRIORIZADOS!$A:$G,7,FALSE)),"")</f>
        <v>COLEGIO_GIMNASIO_AMERICANO</v>
      </c>
      <c r="H159" s="11" t="str">
        <f>IFERROR(IF(VLOOKUP(A159,[2]PRIORIZADOS!$A:$H,8,FALSE)="","",VLOOKUP(A159,[2]PRIORIZADOS!$A:$H,8,FALSE)),"")</f>
        <v>Autoevaluación Institucional y Pruebas SABER 11</v>
      </c>
      <c r="I159" s="11" t="str">
        <f>IFERROR(IF(VLOOKUP(A159,[2]PRIORIZADOS!$A:$I,9,FALSE)="","",VLOOKUP(A159,[2]PRIORIZADOS!$A:$I,9,FALSE)),"")</f>
        <v>EVALUACIÓN_CON_FINES_DE_MEJORAMIENTO.</v>
      </c>
      <c r="J159" s="11" t="str">
        <f>IFERROR(IF(VLOOKUP(A159,[2]PRIORIZADOS!$A:$J,10,FALSE)="","",VLOOKUP(A159,[2]PRIORIZADOS!$A:$J,10,FALSE)),"")</f>
        <v>Revisar la actualización, socialización e implementación del Sistema Institucional de Evaluación de Estudiantes - SIEE, en articulación con la actualización del PEI y la normatividad vigente.</v>
      </c>
      <c r="K159" s="11" t="str">
        <f>IFERROR(IF(VLOOKUP(A159,[2]PRIORIZADOS!$A:$K,11,FALSE)="","",VLOOKUP(A159,[2]PRIORIZADOS!$A:$K,11,FALSE)),"")</f>
        <v>DORIS YOLANDA LÓPEZ ARÉVALO</v>
      </c>
      <c r="L159" s="11" t="str">
        <f>IFERROR(IF(VLOOKUP(A159,[2]PRIORIZADOS!$A:$L,12,FALSE)="","",VLOOKUP(A159,[2]PRIORIZADOS!$A:$L,12,FALSE)),"")</f>
        <v xml:space="preserve">ALBERTO MIGUEL PEÑA </v>
      </c>
      <c r="M159" s="88">
        <f>IFERROR(IF(VLOOKUP(A159,[2]PRIORIZADOS!$A:$M,13,FALSE)="","",VLOOKUP(A159,[2]PRIORIZADOS!$A:$M,13,FALSE)),"")</f>
        <v>45769</v>
      </c>
      <c r="N159" s="71">
        <f>IFERROR(IF(VLOOKUP(A159,[2]PRIORIZADOS!$A:$N,14,FALSE)="","",VLOOKUP(A159,[2]PRIORIZADOS!$A:$N,14,FALSE)),"")</f>
        <v>45769</v>
      </c>
      <c r="O159" s="71">
        <f>IFERROR(IF(VLOOKUP(A159,[2]PRIORIZADOS!$A:$O,15,FALSE)="","",VLOOKUP(A159,[2]PRIORIZADOS!$A:$O,15,FALSE)),"")</f>
        <v>45769</v>
      </c>
      <c r="P159" s="11" t="str">
        <f>IFERROR(IF(VLOOKUP(A159,[2]PRIORIZADOS!$A:$P,16,FALSE)="","",VLOOKUP(A159,[2]PRIORIZADOS!$A:$P,16,FALSE)),"")</f>
        <v>Visitas de evaluación con fines de mejoramiento</v>
      </c>
      <c r="Q159" s="119" t="s">
        <v>47</v>
      </c>
      <c r="R159" s="11" t="str">
        <f>IFERROR(IF(VLOOKUP(A159,[2]PRIORIZADOS!$A:$R,18,FALSE)="","",VLOOKUP(A159,[2]PRIORIZADOS!$A:$R,18,FALSE)),"")</f>
        <v>Documentos revisados antes de la visita, lo que permitió conocer la institución y la articulación con el documento PEI.</v>
      </c>
      <c r="S159" s="11" t="str">
        <f>IFERROR(IF(VLOOKUP(A159,[2]PRIORIZADOS!$A:$S,19,FALSE)="","",VLOOKUP(A159,[2]PRIORIZADOS!$A:$S,19,FALSE)),"")</f>
        <v>Se encuentra socialización a través de plataformas y durante la jornada de inducción de estudiantes nuevos, así como la recordación al inicio de cada semestre.</v>
      </c>
      <c r="T159" s="70" t="str">
        <f>IFERROR(IF(VLOOKUP(A159,[2]PRIORIZADOS!$A:$T,20,FALSE)="","",VLOOKUP(A159,[2]PRIORIZADOS!$A:$T,20,FALSE)),"")</f>
        <v>No</v>
      </c>
      <c r="U159" s="11" t="str">
        <f>IFERROR(IF(VLOOKUP(A159,[2]PRIORIZADOS!$A:$U,21,FALSE)="","",VLOOKUP(A159,[2]PRIORIZADOS!$A:$U,21,FALSE)),"")</f>
        <v>Cuando se presente una situación se verificará su aplicabilidad.</v>
      </c>
    </row>
    <row r="160" spans="1:21" s="1" customFormat="1" ht="48">
      <c r="A160" s="69">
        <f>IF([2]PRIORIZADOS!A40="","",[2]PRIORIZADOS!A40)</f>
        <v>163</v>
      </c>
      <c r="B160" s="87">
        <f>IFERROR(IF(VLOOKUP(A160,[2]PRIORIZADOS!$A:$B,2,FALSE)="","",VLOOKUP(A160,[2]PRIORIZADOS!$A:$B,2,FALSE)),"")</f>
        <v>4</v>
      </c>
      <c r="C160" s="11" t="str">
        <f>IFERROR(IF(VLOOKUP(A160,[2]PRIORIZADOS!$A:$C,3,FALSE)="","",VLOOKUP(A160,[2]PRIORIZADOS!$A:$C,3,FALSE)),"")</f>
        <v xml:space="preserve">BARRIOS UNIDOS </v>
      </c>
      <c r="D160" s="69" t="str">
        <f>IFERROR(IF(VLOOKUP(A160,[2]PRIORIZADOS!$A:$D,4,FALSE)="","",VLOOKUP(A160,[2]PRIORIZADOS!$A:$D,4,FALSE)),"")</f>
        <v>PRIVADO</v>
      </c>
      <c r="E160" s="69" t="str">
        <f>IFERROR(IF(VLOOKUP(A160,[2]PRIORIZADOS!$A:$E,5,FALSE)="","",VLOOKUP(A160,[2]PRIORIZADOS!$A:$E,5,FALSE)),"")</f>
        <v>Educación de Jóvenes y Adultos</v>
      </c>
      <c r="F160" s="11" t="str">
        <f>IFERROR(IF(VLOOKUP(A160,[2]PRIORIZADOS!$A:$F,6,FALSE)="","",VLOOKUP(A160,[2]PRIORIZADOS!$A:$F,6,FALSE)),"")</f>
        <v>COLEGIO_GIMNASIO_AMERICANO</v>
      </c>
      <c r="G160" s="11" t="str">
        <f>IFERROR(IF(VLOOKUP(A160,[2]PRIORIZADOS!$A:$G,7,FALSE)="","",VLOOKUP(A160,[2]PRIORIZADOS!$A:$G,7,FALSE)),"")</f>
        <v>COLEGIO_GIMNASIO_AMERICANO</v>
      </c>
      <c r="H160" s="11" t="str">
        <f>IFERROR(IF(VLOOKUP(A160,[2]PRIORIZADOS!$A:$H,8,FALSE)="","",VLOOKUP(A160,[2]PRIORIZADOS!$A:$H,8,FALSE)),"")</f>
        <v>Autoevaluación Institucional y Pruebas SABER 11</v>
      </c>
      <c r="I160" s="11" t="str">
        <f>IFERROR(IF(VLOOKUP(A160,[2]PRIORIZADOS!$A:$I,9,FALSE)="","",VLOOKUP(A160,[2]PRIORIZADOS!$A:$I,9,FALSE)),"")</f>
        <v>EVALUACIÓN_CON_FINES_DE_MEJORAMIENTO.</v>
      </c>
      <c r="J160" s="11" t="str">
        <f>IFERROR(IF(VLOOKUP(A160,[2]PRIORIZADOS!$A:$J,10,FALSE)="","",VLOOKUP(A160,[2]PRIORIZADOS!$A:$J,10,FALSE)),"")</f>
        <v>Revisar el calendario escolar, jornada escolar, la intensidad horaria mínima anual en cada nivel y las modificaciones que se realicen al mismo, de acuerdo con lo previsto en la normatividad vigente.</v>
      </c>
      <c r="K160" s="11" t="str">
        <f>IFERROR(IF(VLOOKUP(A160,[2]PRIORIZADOS!$A:$K,11,FALSE)="","",VLOOKUP(A160,[2]PRIORIZADOS!$A:$K,11,FALSE)),"")</f>
        <v>DORIS YOLANDA LÓPEZ ARÉVALO</v>
      </c>
      <c r="L160" s="11" t="str">
        <f>IFERROR(IF(VLOOKUP(A160,[2]PRIORIZADOS!$A:$L,12,FALSE)="","",VLOOKUP(A160,[2]PRIORIZADOS!$A:$L,12,FALSE)),"")</f>
        <v xml:space="preserve">ALBERTO MIGUEL PEÑA </v>
      </c>
      <c r="M160" s="88">
        <f>IFERROR(IF(VLOOKUP(A160,[2]PRIORIZADOS!$A:$M,13,FALSE)="","",VLOOKUP(A160,[2]PRIORIZADOS!$A:$M,13,FALSE)),"")</f>
        <v>45769</v>
      </c>
      <c r="N160" s="71">
        <f>IFERROR(IF(VLOOKUP(A160,[2]PRIORIZADOS!$A:$N,14,FALSE)="","",VLOOKUP(A160,[2]PRIORIZADOS!$A:$N,14,FALSE)),"")</f>
        <v>45769</v>
      </c>
      <c r="O160" s="71">
        <f>IFERROR(IF(VLOOKUP(A160,[2]PRIORIZADOS!$A:$O,15,FALSE)="","",VLOOKUP(A160,[2]PRIORIZADOS!$A:$O,15,FALSE)),"")</f>
        <v>45769</v>
      </c>
      <c r="P160" s="11" t="str">
        <f>IFERROR(IF(VLOOKUP(A160,[2]PRIORIZADOS!$A:$P,16,FALSE)="","",VLOOKUP(A160,[2]PRIORIZADOS!$A:$P,16,FALSE)),"")</f>
        <v>Visitas de evaluación con fines de mejoramiento</v>
      </c>
      <c r="Q160" s="119" t="s">
        <v>47</v>
      </c>
      <c r="R160" s="11" t="str">
        <f>IFERROR(IF(VLOOKUP(A160,[2]PRIORIZADOS!$A:$R,18,FALSE)="","",VLOOKUP(A160,[2]PRIORIZADOS!$A:$R,18,FALSE)),"")</f>
        <v>Se revisó calendario escolar y su planteamiento fue acorde en concordancia con lo normado</v>
      </c>
      <c r="S160" s="11" t="str">
        <f>IFERROR(IF(VLOOKUP(A160,[2]PRIORIZADOS!$A:$S,19,FALSE)="","",VLOOKUP(A160,[2]PRIORIZADOS!$A:$S,19,FALSE)),"")</f>
        <v>Se les habla de la obligatoriedad de cumplir las horas para cada ciclo, entendiendo que su jornadas son ajustadas a las necesidades de los adultos.</v>
      </c>
      <c r="T160" s="70" t="str">
        <f>IFERROR(IF(VLOOKUP(A160,[2]PRIORIZADOS!$A:$T,20,FALSE)="","",VLOOKUP(A160,[2]PRIORIZADOS!$A:$T,20,FALSE)),"")</f>
        <v>No</v>
      </c>
      <c r="U160" s="11" t="str">
        <f>IFERROR(IF(VLOOKUP(A160,[2]PRIORIZADOS!$A:$U,21,FALSE)="","",VLOOKUP(A160,[2]PRIORIZADOS!$A:$U,21,FALSE)),"")</f>
        <v>Durante la visita de seguimiento, se revisará el cumplimiento del Desarrollo Curricular con la completitud de áreas obligatorias.</v>
      </c>
    </row>
    <row r="161" spans="1:21" s="1" customFormat="1" ht="48">
      <c r="A161" s="69">
        <f>IF([2]PRIORIZADOS!A41="","",[2]PRIORIZADOS!A41)</f>
        <v>164</v>
      </c>
      <c r="B161" s="87">
        <f>IFERROR(IF(VLOOKUP(A161,[2]PRIORIZADOS!$A:$B,2,FALSE)="","",VLOOKUP(A161,[2]PRIORIZADOS!$A:$B,2,FALSE)),"")</f>
        <v>4</v>
      </c>
      <c r="C161" s="11" t="str">
        <f>IFERROR(IF(VLOOKUP(A161,[2]PRIORIZADOS!$A:$C,3,FALSE)="","",VLOOKUP(A161,[2]PRIORIZADOS!$A:$C,3,FALSE)),"")</f>
        <v xml:space="preserve">BARRIOS UNIDOS </v>
      </c>
      <c r="D161" s="69" t="str">
        <f>IFERROR(IF(VLOOKUP(A161,[2]PRIORIZADOS!$A:$D,4,FALSE)="","",VLOOKUP(A161,[2]PRIORIZADOS!$A:$D,4,FALSE)),"")</f>
        <v>PRIVADO</v>
      </c>
      <c r="E161" s="69" t="str">
        <f>IFERROR(IF(VLOOKUP(A161,[2]PRIORIZADOS!$A:$E,5,FALSE)="","",VLOOKUP(A161,[2]PRIORIZADOS!$A:$E,5,FALSE)),"")</f>
        <v>Educación de Jóvenes y Adultos</v>
      </c>
      <c r="F161" s="11" t="str">
        <f>IFERROR(IF(VLOOKUP(A161,[2]PRIORIZADOS!$A:$F,6,FALSE)="","",VLOOKUP(A161,[2]PRIORIZADOS!$A:$F,6,FALSE)),"")</f>
        <v>COLEGIO_GIMNASIO_AMERICANO</v>
      </c>
      <c r="G161" s="11" t="str">
        <f>IFERROR(IF(VLOOKUP(A161,[2]PRIORIZADOS!$A:$G,7,FALSE)="","",VLOOKUP(A161,[2]PRIORIZADOS!$A:$G,7,FALSE)),"")</f>
        <v>COLEGIO_GIMNASIO_AMERICANO</v>
      </c>
      <c r="H161" s="11" t="str">
        <f>IFERROR(IF(VLOOKUP(A161,[2]PRIORIZADOS!$A:$H,8,FALSE)="","",VLOOKUP(A161,[2]PRIORIZADOS!$A:$H,8,FALSE)),"")</f>
        <v>Autoevaluación Institucional y Pruebas SABER 11</v>
      </c>
      <c r="I161" s="11" t="str">
        <f>IFERROR(IF(VLOOKUP(A161,[2]PRIORIZADOS!$A:$I,9,FALSE)="","",VLOOKUP(A161,[2]PRIORIZADOS!$A:$I,9,FALSE)),"")</f>
        <v>EVALUACIÓN_CON_FINES_DE_MEJORAMIENTO.</v>
      </c>
      <c r="J161" s="11" t="str">
        <f>IFERROR(IF(VLOOKUP(A161,[2]PRIORIZADOS!$A:$J,10,FALSE)="","",VLOOKUP(A161,[2]PRIORIZADOS!$A:$J,10,FALSE)),"")</f>
        <v>Verificar el funcionamiento del Gobierno Escolar e instancias de participación con base en la información sobre conformación reportada por la institución educativa.</v>
      </c>
      <c r="K161" s="11" t="str">
        <f>IFERROR(IF(VLOOKUP(A161,[2]PRIORIZADOS!$A:$K,11,FALSE)="","",VLOOKUP(A161,[2]PRIORIZADOS!$A:$K,11,FALSE)),"")</f>
        <v>DORIS YOLANDA LÓPEZ ARÉVALO</v>
      </c>
      <c r="L161" s="11" t="str">
        <f>IFERROR(IF(VLOOKUP(A161,[2]PRIORIZADOS!$A:$L,12,FALSE)="","",VLOOKUP(A161,[2]PRIORIZADOS!$A:$L,12,FALSE)),"")</f>
        <v xml:space="preserve">ALBERTO MIGUEL PEÑA </v>
      </c>
      <c r="M161" s="88">
        <f>IFERROR(IF(VLOOKUP(A161,[2]PRIORIZADOS!$A:$M,13,FALSE)="","",VLOOKUP(A161,[2]PRIORIZADOS!$A:$M,13,FALSE)),"")</f>
        <v>45769</v>
      </c>
      <c r="N161" s="71">
        <f>IFERROR(IF(VLOOKUP(A161,[2]PRIORIZADOS!$A:$N,14,FALSE)="","",VLOOKUP(A161,[2]PRIORIZADOS!$A:$N,14,FALSE)),"")</f>
        <v>45769</v>
      </c>
      <c r="O161" s="71">
        <f>IFERROR(IF(VLOOKUP(A161,[2]PRIORIZADOS!$A:$O,15,FALSE)="","",VLOOKUP(A161,[2]PRIORIZADOS!$A:$O,15,FALSE)),"")</f>
        <v>45769</v>
      </c>
      <c r="P161" s="11" t="str">
        <f>IFERROR(IF(VLOOKUP(A161,[2]PRIORIZADOS!$A:$P,16,FALSE)="","",VLOOKUP(A161,[2]PRIORIZADOS!$A:$P,16,FALSE)),"")</f>
        <v>Visitas de evaluación con fines de mejoramiento</v>
      </c>
      <c r="Q161" s="119" t="s">
        <v>47</v>
      </c>
      <c r="R161" s="11" t="str">
        <f>IFERROR(IF(VLOOKUP(A161,[2]PRIORIZADOS!$A:$R,18,FALSE)="","",VLOOKUP(A161,[2]PRIORIZADOS!$A:$R,18,FALSE)),"")</f>
        <v>Las Actas de Gobierno escolar fueron revisadas, encontrando una conformación según lo normado y en concordancia con lo reportado en la plataforma SAE.</v>
      </c>
      <c r="S161" s="11" t="str">
        <f>IFERROR(IF(VLOOKUP(A161,[2]PRIORIZADOS!$A:$S,19,FALSE)="","",VLOOKUP(A161,[2]PRIORIZADOS!$A:$S,19,FALSE)),"")</f>
        <v>Se evidencian carpetas que contienen las actas de reunión, con los datos específicos de cada una de ellas.</v>
      </c>
      <c r="T161" s="70" t="str">
        <f>IFERROR(IF(VLOOKUP(A161,[2]PRIORIZADOS!$A:$T,20,FALSE)="","",VLOOKUP(A161,[2]PRIORIZADOS!$A:$T,20,FALSE)),"")</f>
        <v>No</v>
      </c>
      <c r="U161" s="11" t="str">
        <f>IFERROR(IF(VLOOKUP(A161,[2]PRIORIZADOS!$A:$U,21,FALSE)="","",VLOOKUP(A161,[2]PRIORIZADOS!$A:$U,21,FALSE)),"")</f>
        <v>Se procederá a revisar en caso de que se presente alguna queja.</v>
      </c>
    </row>
    <row r="162" spans="1:21" s="1" customFormat="1" ht="84">
      <c r="A162" s="69">
        <f>IF([2]PRIORIZADOS!A42="","",[2]PRIORIZADOS!A42)</f>
        <v>166</v>
      </c>
      <c r="B162" s="87">
        <f>IFERROR(IF(VLOOKUP(A162,[2]PRIORIZADOS!$A:$B,2,FALSE)="","",VLOOKUP(A162,[2]PRIORIZADOS!$A:$B,2,FALSE)),"")</f>
        <v>5</v>
      </c>
      <c r="C162" s="11" t="str">
        <f>IFERROR(IF(VLOOKUP(A162,[2]PRIORIZADOS!$A:$C,3,FALSE)="","",VLOOKUP(A162,[2]PRIORIZADOS!$A:$C,3,FALSE)),"")</f>
        <v xml:space="preserve">BARRIOS UNIDOS </v>
      </c>
      <c r="D162" s="69" t="str">
        <f>IFERROR(IF(VLOOKUP(A162,[2]PRIORIZADOS!$A:$D,4,FALSE)="","",VLOOKUP(A162,[2]PRIORIZADOS!$A:$D,4,FALSE)),"")</f>
        <v>PRIVADO</v>
      </c>
      <c r="E162" s="69" t="str">
        <f>IFERROR(IF(VLOOKUP(A162,[2]PRIORIZADOS!$A:$E,5,FALSE)="","",VLOOKUP(A162,[2]PRIORIZADOS!$A:$E,5,FALSE)),"")</f>
        <v>Educación de Jóvenes y Adultos</v>
      </c>
      <c r="F162" s="11" t="str">
        <f>IFERROR(IF(VLOOKUP(A162,[2]PRIORIZADOS!$A:$F,6,FALSE)="","",VLOOKUP(A162,[2]PRIORIZADOS!$A:$F,6,FALSE)),"")</f>
        <v>CENTRO_DE_PROMOCION_SAN_JOSE</v>
      </c>
      <c r="G162" s="11" t="str">
        <f>IFERROR(IF(VLOOKUP(A162,[2]PRIORIZADOS!$A:$G,7,FALSE)="","",VLOOKUP(A162,[2]PRIORIZADOS!$A:$G,7,FALSE)),"")</f>
        <v>CENTRO_DE_PROMOCION_SAN_JOSE</v>
      </c>
      <c r="H162" s="11" t="str">
        <f>IFERROR(IF(VLOOKUP(A162,[2]PRIORIZADOS!$A:$H,8,FALSE)="","",VLOOKUP(A162,[2]PRIORIZADOS!$A:$H,8,FALSE)),"")</f>
        <v>Autoevaluación Institucional y Pruebas SABER 11</v>
      </c>
      <c r="I162" s="11" t="str">
        <f>IFERROR(IF(VLOOKUP(A162,[2]PRIORIZADOS!$A:$I,9,FALSE)="","",VLOOKUP(A162,[2]PRIORIZADOS!$A:$I,9,FALSE)),"")</f>
        <v>SEGUIMIENTO_Y_SUPERVISIÓN.</v>
      </c>
      <c r="J162" s="11" t="str">
        <f>IFERROR(IF(VLOOKUP(A162,[2]PRIORIZADOS!$A:$J,10,FALSE)="","",VLOOKUP(A162,[2]PRIORIZADOS!$A:$J,10,FALSE)),"")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62" s="11" t="str">
        <f>IFERROR(IF(VLOOKUP(A162,[2]PRIORIZADOS!$A:$K,11,FALSE)="","",VLOOKUP(A162,[2]PRIORIZADOS!$A:$K,11,FALSE)),"")</f>
        <v>DORIS YOLANDA LÓPEZ ARÉVALO</v>
      </c>
      <c r="L162" s="11" t="str">
        <f>IFERROR(IF(VLOOKUP(A162,[2]PRIORIZADOS!$A:$L,12,FALSE)="","",VLOOKUP(A162,[2]PRIORIZADOS!$A:$L,12,FALSE)),"")</f>
        <v xml:space="preserve">ALBERTO MIGUEL PEÑA </v>
      </c>
      <c r="M162" s="88">
        <f>IFERROR(IF(VLOOKUP(A162,[2]PRIORIZADOS!$A:$M,13,FALSE)="","",VLOOKUP(A162,[2]PRIORIZADOS!$A:$M,13,FALSE)),"")</f>
        <v>45768</v>
      </c>
      <c r="N162" s="71">
        <f>IFERROR(IF(VLOOKUP(A162,[2]PRIORIZADOS!$A:$N,14,FALSE)="","",VLOOKUP(A162,[2]PRIORIZADOS!$A:$N,14,FALSE)),"")</f>
        <v>45768</v>
      </c>
      <c r="O162" s="71">
        <f>IFERROR(IF(VLOOKUP(A162,[2]PRIORIZADOS!$A:$O,15,FALSE)="","",VLOOKUP(A162,[2]PRIORIZADOS!$A:$O,15,FALSE)),"")</f>
        <v>45768</v>
      </c>
      <c r="P162" s="11" t="str">
        <f>IFERROR(IF(VLOOKUP(A162,[2]PRIORIZADOS!$A:$P,16,FALSE)="","",VLOOKUP(A162,[2]PRIORIZADOS!$A:$P,16,FALSE)),"")</f>
        <v>Visitas de evaluación con fines de mejoramiento</v>
      </c>
      <c r="Q162" s="119" t="s">
        <v>48</v>
      </c>
      <c r="R162" s="11" t="str">
        <f>IFERROR(IF(VLOOKUP(A162,[2]PRIORIZADOS!$A:$R,18,FALSE)="","",VLOOKUP(A162,[2]PRIORIZADOS!$A:$R,18,FALSE)),"")</f>
        <v xml:space="preserve">Se revisó el SIMAT con 51 estudiantes y en la IE solo tienen 18, el rector manifiesta que es un error que no se ha podido subsanar, lo cual le genero muchos estudiantes para las instalaciones que tiene, contribuyendo a su clasificación en Controlado </v>
      </c>
      <c r="S162" s="11" t="str">
        <f>IFERROR(IF(VLOOKUP(A162,[2]PRIORIZADOS!$A:$S,19,FALSE)="","",VLOOKUP(A162,[2]PRIORIZADOS!$A:$S,19,FALSE)),"")</f>
        <v>Se comparten datos de profesionales de cobertura para que proceda a realizar el ajuste en la plataforma de acuerdo a la realidad</v>
      </c>
      <c r="T162" s="70" t="str">
        <f>IFERROR(IF(VLOOKUP(A162,[2]PRIORIZADOS!$A:$T,20,FALSE)="","",VLOOKUP(A162,[2]PRIORIZADOS!$A:$T,20,FALSE)),"")</f>
        <v>Si</v>
      </c>
      <c r="U162" s="11" t="str">
        <f>IFERROR(IF(VLOOKUP(A162,[2]PRIORIZADOS!$A:$U,21,FALSE)="","",VLOOKUP(A162,[2]PRIORIZADOS!$A:$U,21,FALSE)),"")</f>
        <v>Es una revisión y ajuste que se realizará antes de la época de Costos 2026.</v>
      </c>
    </row>
    <row r="163" spans="1:21" s="1" customFormat="1" ht="48">
      <c r="A163" s="69">
        <f>IF([2]PRIORIZADOS!A43="","",[2]PRIORIZADOS!A43)</f>
        <v>167</v>
      </c>
      <c r="B163" s="87">
        <f>IFERROR(IF(VLOOKUP(A163,[2]PRIORIZADOS!$A:$B,2,FALSE)="","",VLOOKUP(A163,[2]PRIORIZADOS!$A:$B,2,FALSE)),"")</f>
        <v>5</v>
      </c>
      <c r="C163" s="11" t="str">
        <f>IFERROR(IF(VLOOKUP(A163,[2]PRIORIZADOS!$A:$C,3,FALSE)="","",VLOOKUP(A163,[2]PRIORIZADOS!$A:$C,3,FALSE)),"")</f>
        <v xml:space="preserve">BARRIOS UNIDOS </v>
      </c>
      <c r="D163" s="69" t="str">
        <f>IFERROR(IF(VLOOKUP(A163,[2]PRIORIZADOS!$A:$D,4,FALSE)="","",VLOOKUP(A163,[2]PRIORIZADOS!$A:$D,4,FALSE)),"")</f>
        <v>PRIVADO</v>
      </c>
      <c r="E163" s="69" t="str">
        <f>IFERROR(IF(VLOOKUP(A163,[2]PRIORIZADOS!$A:$E,5,FALSE)="","",VLOOKUP(A163,[2]PRIORIZADOS!$A:$E,5,FALSE)),"")</f>
        <v>Educación de Jóvenes y Adultos</v>
      </c>
      <c r="F163" s="11" t="str">
        <f>IFERROR(IF(VLOOKUP(A163,[2]PRIORIZADOS!$A:$F,6,FALSE)="","",VLOOKUP(A163,[2]PRIORIZADOS!$A:$F,6,FALSE)),"")</f>
        <v>CENTRO_DE_PROMOCION_SAN_JOSE</v>
      </c>
      <c r="G163" s="11" t="str">
        <f>IFERROR(IF(VLOOKUP(A163,[2]PRIORIZADOS!$A:$G,7,FALSE)="","",VLOOKUP(A163,[2]PRIORIZADOS!$A:$G,7,FALSE)),"")</f>
        <v>CENTRO_DE_PROMOCION_SAN_JOSE</v>
      </c>
      <c r="H163" s="11" t="str">
        <f>IFERROR(IF(VLOOKUP(A163,[2]PRIORIZADOS!$A:$H,8,FALSE)="","",VLOOKUP(A163,[2]PRIORIZADOS!$A:$H,8,FALSE)),"")</f>
        <v>Autoevaluación Institucional y Pruebas SABER 11</v>
      </c>
      <c r="I163" s="11" t="str">
        <f>IFERROR(IF(VLOOKUP(A163,[2]PRIORIZADOS!$A:$I,9,FALSE)="","",VLOOKUP(A163,[2]PRIORIZADOS!$A:$I,9,FALSE)),"")</f>
        <v>SEGUIMIENTO_Y_SUPERVISIÓN.</v>
      </c>
      <c r="J163" s="11" t="str">
        <f>IFERROR(IF(VLOOKUP(A163,[2]PRIORIZADOS!$A:$J,10,FALSE)="","",VLOOKUP(A163,[2]PRIORIZADOS!$A:$J,10,FALSE)),"")</f>
        <v>Realizar visitas para verificar la información registrada sobre la autoevaluación institucional en el aplicativo EVI, a los establecimientos de educación formal no oficial.</v>
      </c>
      <c r="K163" s="11" t="str">
        <f>IFERROR(IF(VLOOKUP(A163,[2]PRIORIZADOS!$A:$K,11,FALSE)="","",VLOOKUP(A163,[2]PRIORIZADOS!$A:$K,11,FALSE)),"")</f>
        <v>DORIS YOLANDA LÓPEZ ARÉVALO</v>
      </c>
      <c r="L163" s="11" t="str">
        <f>IFERROR(IF(VLOOKUP(A163,[2]PRIORIZADOS!$A:$L,12,FALSE)="","",VLOOKUP(A163,[2]PRIORIZADOS!$A:$L,12,FALSE)),"")</f>
        <v xml:space="preserve">ALBERTO MIGUEL PEÑA </v>
      </c>
      <c r="M163" s="88">
        <f>IFERROR(IF(VLOOKUP(A163,[2]PRIORIZADOS!$A:$M,13,FALSE)="","",VLOOKUP(A163,[2]PRIORIZADOS!$A:$M,13,FALSE)),"")</f>
        <v>45768</v>
      </c>
      <c r="N163" s="71">
        <f>IFERROR(IF(VLOOKUP(A163,[2]PRIORIZADOS!$A:$N,14,FALSE)="","",VLOOKUP(A163,[2]PRIORIZADOS!$A:$N,14,FALSE)),"")</f>
        <v>45768</v>
      </c>
      <c r="O163" s="71">
        <f>IFERROR(IF(VLOOKUP(A163,[2]PRIORIZADOS!$A:$O,15,FALSE)="","",VLOOKUP(A163,[2]PRIORIZADOS!$A:$O,15,FALSE)),"")</f>
        <v>45768</v>
      </c>
      <c r="P163" s="11" t="str">
        <f>IFERROR(IF(VLOOKUP(A163,[2]PRIORIZADOS!$A:$P,16,FALSE)="","",VLOOKUP(A163,[2]PRIORIZADOS!$A:$P,16,FALSE)),"")</f>
        <v>Visitas de evaluación con fines de mejoramiento</v>
      </c>
      <c r="Q163" s="120" t="s">
        <v>48</v>
      </c>
      <c r="R163" s="11" t="str">
        <f>IFERROR(IF(VLOOKUP(A163,[2]PRIORIZADOS!$A:$R,18,FALSE)="","",VLOOKUP(A163,[2]PRIORIZADOS!$A:$R,18,FALSE)),"")</f>
        <v>Se revisó durante el recorrido las aulas con los medios educativos encontrando el salón de sistemas desactualizado.</v>
      </c>
      <c r="S163" s="11" t="str">
        <f>IFERROR(IF(VLOOKUP(A163,[2]PRIORIZADOS!$A:$S,19,FALSE)="","",VLOOKUP(A163,[2]PRIORIZADOS!$A:$S,19,FALSE)),"")</f>
        <v>se solicita actualización de software y hardware para que los estudiantes tengan acceso de calidad desde el plantel estudiantil.</v>
      </c>
      <c r="T163" s="70" t="str">
        <f>IFERROR(IF(VLOOKUP(A163,[2]PRIORIZADOS!$A:$T,20,FALSE)="","",VLOOKUP(A163,[2]PRIORIZADOS!$A:$T,20,FALSE)),"")</f>
        <v>Si</v>
      </c>
      <c r="U163" s="11" t="str">
        <f>IFERROR(IF(VLOOKUP(A163,[2]PRIORIZADOS!$A:$U,21,FALSE)="","",VLOOKUP(A163,[2]PRIORIZADOS!$A:$U,21,FALSE)),"")</f>
        <v>Durante la visita de seguimiento, se revisara la implementación de ajustes al estudiante de inclusión</v>
      </c>
    </row>
    <row r="164" spans="1:21" s="1" customFormat="1" ht="60">
      <c r="A164" s="69">
        <f>IF([2]PRIORIZADOS!A44="","",[2]PRIORIZADOS!A44)</f>
        <v>168</v>
      </c>
      <c r="B164" s="87">
        <f>IFERROR(IF(VLOOKUP(A164,[2]PRIORIZADOS!$A:$B,2,FALSE)="","",VLOOKUP(A164,[2]PRIORIZADOS!$A:$B,2,FALSE)),"")</f>
        <v>5</v>
      </c>
      <c r="C164" s="11" t="str">
        <f>IFERROR(IF(VLOOKUP(A164,[2]PRIORIZADOS!$A:$C,3,FALSE)="","",VLOOKUP(A164,[2]PRIORIZADOS!$A:$C,3,FALSE)),"")</f>
        <v xml:space="preserve">BARRIOS UNIDOS </v>
      </c>
      <c r="D164" s="69" t="str">
        <f>IFERROR(IF(VLOOKUP(A164,[2]PRIORIZADOS!$A:$D,4,FALSE)="","",VLOOKUP(A164,[2]PRIORIZADOS!$A:$D,4,FALSE)),"")</f>
        <v>PRIVADO</v>
      </c>
      <c r="E164" s="69" t="str">
        <f>IFERROR(IF(VLOOKUP(A164,[2]PRIORIZADOS!$A:$E,5,FALSE)="","",VLOOKUP(A164,[2]PRIORIZADOS!$A:$E,5,FALSE)),"")</f>
        <v>Educación de Jóvenes y Adultos</v>
      </c>
      <c r="F164" s="11" t="str">
        <f>IFERROR(IF(VLOOKUP(A164,[2]PRIORIZADOS!$A:$F,6,FALSE)="","",VLOOKUP(A164,[2]PRIORIZADOS!$A:$F,6,FALSE)),"")</f>
        <v>CENTRO_DE_PROMOCION_SAN_JOSE</v>
      </c>
      <c r="G164" s="11" t="str">
        <f>IFERROR(IF(VLOOKUP(A164,[2]PRIORIZADOS!$A:$G,7,FALSE)="","",VLOOKUP(A164,[2]PRIORIZADOS!$A:$G,7,FALSE)),"")</f>
        <v>CENTRO_DE_PROMOCION_SAN_JOSE</v>
      </c>
      <c r="H164" s="11" t="str">
        <f>IFERROR(IF(VLOOKUP(A164,[2]PRIORIZADOS!$A:$H,8,FALSE)="","",VLOOKUP(A164,[2]PRIORIZADOS!$A:$H,8,FALSE)),"")</f>
        <v>Autoevaluación Institucional y Pruebas SABER 11</v>
      </c>
      <c r="I164" s="11" t="str">
        <f>IFERROR(IF(VLOOKUP(A164,[2]PRIORIZADOS!$A:$I,9,FALSE)="","",VLOOKUP(A164,[2]PRIORIZADOS!$A:$I,9,FALSE)),"")</f>
        <v>SEGUIMIENTO_Y_SUPERVISIÓN.</v>
      </c>
      <c r="J164" s="11" t="str">
        <f>IFERROR(IF(VLOOKUP(A164,[2]PRIORIZADOS!$A:$J,10,FALSE)="","",VLOOKUP(A164,[2]PRIORIZADOS!$A:$J,10,FALSE)),"")</f>
        <v>Proponer estrategias en la formulación, verificar su elaboración y realizar seguimiento semestral al desarrollo de  las acciones establecidas en los planes de mejoramiento por pruebas SABER 11 de los establecimientos de educación formal.</v>
      </c>
      <c r="K164" s="11" t="str">
        <f>IFERROR(IF(VLOOKUP(A164,[2]PRIORIZADOS!$A:$K,11,FALSE)="","",VLOOKUP(A164,[2]PRIORIZADOS!$A:$K,11,FALSE)),"")</f>
        <v>DORIS YOLANDA LÓPEZ ARÉVALO</v>
      </c>
      <c r="L164" s="11" t="str">
        <f>IFERROR(IF(VLOOKUP(A164,[2]PRIORIZADOS!$A:$L,12,FALSE)="","",VLOOKUP(A164,[2]PRIORIZADOS!$A:$L,12,FALSE)),"")</f>
        <v xml:space="preserve">ALBERTO MIGUEL PEÑA </v>
      </c>
      <c r="M164" s="88">
        <f>IFERROR(IF(VLOOKUP(A164,[2]PRIORIZADOS!$A:$M,13,FALSE)="","",VLOOKUP(A164,[2]PRIORIZADOS!$A:$M,13,FALSE)),"")</f>
        <v>45768</v>
      </c>
      <c r="N164" s="71">
        <f>IFERROR(IF(VLOOKUP(A164,[2]PRIORIZADOS!$A:$N,14,FALSE)="","",VLOOKUP(A164,[2]PRIORIZADOS!$A:$N,14,FALSE)),"")</f>
        <v>45768</v>
      </c>
      <c r="O164" s="71">
        <f>IFERROR(IF(VLOOKUP(A164,[2]PRIORIZADOS!$A:$O,15,FALSE)="","",VLOOKUP(A164,[2]PRIORIZADOS!$A:$O,15,FALSE)),"")</f>
        <v>45768</v>
      </c>
      <c r="P164" s="11" t="str">
        <f>IFERROR(IF(VLOOKUP(A164,[2]PRIORIZADOS!$A:$P,16,FALSE)="","",VLOOKUP(A164,[2]PRIORIZADOS!$A:$P,16,FALSE)),"")</f>
        <v>Visitas de evaluación con fines de mejoramiento</v>
      </c>
      <c r="Q164" s="120" t="s">
        <v>48</v>
      </c>
      <c r="R164" s="11" t="str">
        <f>IFERROR(IF(VLOOKUP(A164,[2]PRIORIZADOS!$A:$R,18,FALSE)="","",VLOOKUP(A164,[2]PRIORIZADOS!$A:$R,18,FALSE)),"")</f>
        <v>Es el establecimiento con las notas más bajas de la localidad, sin embargo los estudiantes no ven la importancia del examen, su meta es el diploma</v>
      </c>
      <c r="S164" s="11" t="str">
        <f>IFERROR(IF(VLOOKUP(A164,[2]PRIORIZADOS!$A:$S,19,FALSE)="","",VLOOKUP(A164,[2]PRIORIZADOS!$A:$S,19,FALSE)),"")</f>
        <v>Se solicita que busquen maneras de incentivar y comprometer a los estudiantes con los resultados en las Pruebas Saber.</v>
      </c>
      <c r="T164" s="70" t="str">
        <f>IFERROR(IF(VLOOKUP(A164,[2]PRIORIZADOS!$A:$T,20,FALSE)="","",VLOOKUP(A164,[2]PRIORIZADOS!$A:$T,20,FALSE)),"")</f>
        <v>Si</v>
      </c>
      <c r="U164" s="11" t="str">
        <f>IFERROR(IF(VLOOKUP(A164,[2]PRIORIZADOS!$A:$U,21,FALSE)="","",VLOOKUP(A164,[2]PRIORIZADOS!$A:$U,21,FALSE)),"")</f>
        <v>Se recibirá plan de mejoramiento institucional con las estrategias de acción al respecto.</v>
      </c>
    </row>
    <row r="165" spans="1:21" s="1" customFormat="1" ht="60">
      <c r="A165" s="69">
        <f>IF([2]PRIORIZADOS!A45="","",[2]PRIORIZADOS!A45)</f>
        <v>169</v>
      </c>
      <c r="B165" s="87">
        <f>IFERROR(IF(VLOOKUP(A165,[2]PRIORIZADOS!$A:$B,2,FALSE)="","",VLOOKUP(A165,[2]PRIORIZADOS!$A:$B,2,FALSE)),"")</f>
        <v>5</v>
      </c>
      <c r="C165" s="11" t="str">
        <f>IFERROR(IF(VLOOKUP(A165,[2]PRIORIZADOS!$A:$C,3,FALSE)="","",VLOOKUP(A165,[2]PRIORIZADOS!$A:$C,3,FALSE)),"")</f>
        <v xml:space="preserve">BARRIOS UNIDOS </v>
      </c>
      <c r="D165" s="69" t="str">
        <f>IFERROR(IF(VLOOKUP(A165,[2]PRIORIZADOS!$A:$D,4,FALSE)="","",VLOOKUP(A165,[2]PRIORIZADOS!$A:$D,4,FALSE)),"")</f>
        <v>PRIVADO</v>
      </c>
      <c r="E165" s="69" t="str">
        <f>IFERROR(IF(VLOOKUP(A165,[2]PRIORIZADOS!$A:$E,5,FALSE)="","",VLOOKUP(A165,[2]PRIORIZADOS!$A:$E,5,FALSE)),"")</f>
        <v>Educación de Jóvenes y Adultos</v>
      </c>
      <c r="F165" s="11" t="str">
        <f>IFERROR(IF(VLOOKUP(A165,[2]PRIORIZADOS!$A:$F,6,FALSE)="","",VLOOKUP(A165,[2]PRIORIZADOS!$A:$F,6,FALSE)),"")</f>
        <v>CENTRO_DE_PROMOCION_SAN_JOSE</v>
      </c>
      <c r="G165" s="11" t="str">
        <f>IFERROR(IF(VLOOKUP(A165,[2]PRIORIZADOS!$A:$G,7,FALSE)="","",VLOOKUP(A165,[2]PRIORIZADOS!$A:$G,7,FALSE)),"")</f>
        <v>CENTRO_DE_PROMOCION_SAN_JOSE</v>
      </c>
      <c r="H165" s="11" t="str">
        <f>IFERROR(IF(VLOOKUP(A165,[2]PRIORIZADOS!$A:$H,8,FALSE)="","",VLOOKUP(A165,[2]PRIORIZADOS!$A:$H,8,FALSE)),"")</f>
        <v>Autoevaluación Institucional y Pruebas SABER 11</v>
      </c>
      <c r="I165" s="11" t="str">
        <f>IFERROR(IF(VLOOKUP(A165,[2]PRIORIZADOS!$A:$I,9,FALSE)="","",VLOOKUP(A165,[2]PRIORIZADOS!$A:$I,9,FALSE)),"")</f>
        <v>SEGUIMIENTO_Y_SUPERVISIÓN.</v>
      </c>
      <c r="J165" s="11" t="str">
        <f>IFERROR(IF(VLOOKUP(A165,[2]PRIORIZADOS!$A:$J,10,FALSE)="","",VLOOKUP(A165,[2]PRIORIZADOS!$A:$J,10,FALSE)),"")</f>
        <v xml:space="preserve">Verificar la implementación por parte de los colegios, de acciones realizadas para la prevención y atención de las situaciones de convivencia en el entorno escolar, según lo establecido en la Directiva 01 de 2022 del MEN. </v>
      </c>
      <c r="K165" s="11" t="str">
        <f>IFERROR(IF(VLOOKUP(A165,[2]PRIORIZADOS!$A:$K,11,FALSE)="","",VLOOKUP(A165,[2]PRIORIZADOS!$A:$K,11,FALSE)),"")</f>
        <v>DORIS YOLANDA LÓPEZ ARÉVALO</v>
      </c>
      <c r="L165" s="11" t="str">
        <f>IFERROR(IF(VLOOKUP(A165,[2]PRIORIZADOS!$A:$L,12,FALSE)="","",VLOOKUP(A165,[2]PRIORIZADOS!$A:$L,12,FALSE)),"")</f>
        <v xml:space="preserve">ALBERTO MIGUEL PEÑA </v>
      </c>
      <c r="M165" s="88">
        <f>IFERROR(IF(VLOOKUP(A165,[2]PRIORIZADOS!$A:$M,13,FALSE)="","",VLOOKUP(A165,[2]PRIORIZADOS!$A:$M,13,FALSE)),"")</f>
        <v>45768</v>
      </c>
      <c r="N165" s="71">
        <f>IFERROR(IF(VLOOKUP(A165,[2]PRIORIZADOS!$A:$N,14,FALSE)="","",VLOOKUP(A165,[2]PRIORIZADOS!$A:$N,14,FALSE)),"")</f>
        <v>45768</v>
      </c>
      <c r="O165" s="71">
        <f>IFERROR(IF(VLOOKUP(A165,[2]PRIORIZADOS!$A:$O,15,FALSE)="","",VLOOKUP(A165,[2]PRIORIZADOS!$A:$O,15,FALSE)),"")</f>
        <v>45768</v>
      </c>
      <c r="P165" s="11" t="str">
        <f>IFERROR(IF(VLOOKUP(A165,[2]PRIORIZADOS!$A:$P,16,FALSE)="","",VLOOKUP(A165,[2]PRIORIZADOS!$A:$P,16,FALSE)),"")</f>
        <v>Visitas de evaluación con fines de mejoramiento</v>
      </c>
      <c r="Q165" s="120" t="s">
        <v>48</v>
      </c>
      <c r="R165" s="11" t="str">
        <f>IFERROR(IF(VLOOKUP(A165,[2]PRIORIZADOS!$A:$R,18,FALSE)="","",VLOOKUP(A165,[2]PRIORIZADOS!$A:$R,18,FALSE)),"")</f>
        <v>Se revisa cada una de las hojas de vida de los docentes que conforman la institución y se encuentra que no realizan revisión de antecedentes sexuales, en concordancia con la Directiva MEN.</v>
      </c>
      <c r="S165" s="11" t="str">
        <f>IFERROR(IF(VLOOKUP(A165,[2]PRIORIZADOS!$A:$S,19,FALSE)="","",VLOOKUP(A165,[2]PRIORIZADOS!$A:$S,19,FALSE)),"")</f>
        <v>Se le comparte link de acceso y Directiva para que nuevamente la lea y la aplique, entendiendo que es obligatoria su aplicación.</v>
      </c>
      <c r="T165" s="70" t="str">
        <f>IFERROR(IF(VLOOKUP(A165,[2]PRIORIZADOS!$A:$T,20,FALSE)="","",VLOOKUP(A165,[2]PRIORIZADOS!$A:$T,20,FALSE)),"")</f>
        <v>Si</v>
      </c>
      <c r="U165" s="11" t="str">
        <f>IFERROR(IF(VLOOKUP(A165,[2]PRIORIZADOS!$A:$U,21,FALSE)="","",VLOOKUP(A165,[2]PRIORIZADOS!$A:$U,21,FALSE)),"")</f>
        <v>Se deberá plasmar en el Plan de Mejoramiento Institucional de manera inmediata la revisión propuesta, en aras de garantizar el bienestar de los estudiantes y la comunidad en general.</v>
      </c>
    </row>
    <row r="166" spans="1:21" s="1" customFormat="1" ht="72">
      <c r="A166" s="69">
        <f>IF([2]PRIORIZADOS!A46="","",[2]PRIORIZADOS!A46)</f>
        <v>170</v>
      </c>
      <c r="B166" s="87">
        <f>IFERROR(IF(VLOOKUP(A166,[2]PRIORIZADOS!$A:$B,2,FALSE)="","",VLOOKUP(A166,[2]PRIORIZADOS!$A:$B,2,FALSE)),"")</f>
        <v>5</v>
      </c>
      <c r="C166" s="11" t="str">
        <f>IFERROR(IF(VLOOKUP(A166,[2]PRIORIZADOS!$A:$C,3,FALSE)="","",VLOOKUP(A166,[2]PRIORIZADOS!$A:$C,3,FALSE)),"")</f>
        <v xml:space="preserve">BARRIOS UNIDOS </v>
      </c>
      <c r="D166" s="69" t="str">
        <f>IFERROR(IF(VLOOKUP(A166,[2]PRIORIZADOS!$A:$D,4,FALSE)="","",VLOOKUP(A166,[2]PRIORIZADOS!$A:$D,4,FALSE)),"")</f>
        <v>PRIVADO</v>
      </c>
      <c r="E166" s="69" t="str">
        <f>IFERROR(IF(VLOOKUP(A166,[2]PRIORIZADOS!$A:$E,5,FALSE)="","",VLOOKUP(A166,[2]PRIORIZADOS!$A:$E,5,FALSE)),"")</f>
        <v>Educación de Jóvenes y Adultos</v>
      </c>
      <c r="F166" s="11" t="str">
        <f>IFERROR(IF(VLOOKUP(A166,[2]PRIORIZADOS!$A:$F,6,FALSE)="","",VLOOKUP(A166,[2]PRIORIZADOS!$A:$F,6,FALSE)),"")</f>
        <v>CENTRO_DE_PROMOCION_SAN_JOSE</v>
      </c>
      <c r="G166" s="11" t="str">
        <f>IFERROR(IF(VLOOKUP(A166,[2]PRIORIZADOS!$A:$G,7,FALSE)="","",VLOOKUP(A166,[2]PRIORIZADOS!$A:$G,7,FALSE)),"")</f>
        <v>CENTRO_DE_PROMOCION_SAN_JOSE</v>
      </c>
      <c r="H166" s="11" t="str">
        <f>IFERROR(IF(VLOOKUP(A166,[2]PRIORIZADOS!$A:$H,8,FALSE)="","",VLOOKUP(A166,[2]PRIORIZADOS!$A:$H,8,FALSE)),"")</f>
        <v>Autoevaluación Institucional y Pruebas SABER 11</v>
      </c>
      <c r="I166" s="11" t="str">
        <f>IFERROR(IF(VLOOKUP(A166,[2]PRIORIZADOS!$A:$I,9,FALSE)="","",VLOOKUP(A166,[2]PRIORIZADOS!$A:$I,9,FALSE)),"")</f>
        <v>SEGUIMIENTO_Y_SUPERVISIÓN.</v>
      </c>
      <c r="J166" s="11" t="str">
        <f>IFERROR(IF(VLOOKUP(A166,[2]PRIORIZADOS!$A:$J,10,FALSE)="","",VLOOKUP(A166,[2]PRIORIZADOS!$A:$J,10,FALSE)),"")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6" s="11" t="str">
        <f>IFERROR(IF(VLOOKUP(A166,[2]PRIORIZADOS!$A:$K,11,FALSE)="","",VLOOKUP(A166,[2]PRIORIZADOS!$A:$K,11,FALSE)),"")</f>
        <v>DORIS YOLANDA LÓPEZ ARÉVALO</v>
      </c>
      <c r="L166" s="11" t="str">
        <f>IFERROR(IF(VLOOKUP(A166,[2]PRIORIZADOS!$A:$L,12,FALSE)="","",VLOOKUP(A166,[2]PRIORIZADOS!$A:$L,12,FALSE)),"")</f>
        <v xml:space="preserve">ALBERTO MIGUEL PEÑA </v>
      </c>
      <c r="M166" s="88">
        <f>IFERROR(IF(VLOOKUP(A166,[2]PRIORIZADOS!$A:$M,13,FALSE)="","",VLOOKUP(A166,[2]PRIORIZADOS!$A:$M,13,FALSE)),"")</f>
        <v>45768</v>
      </c>
      <c r="N166" s="71">
        <f>IFERROR(IF(VLOOKUP(A166,[2]PRIORIZADOS!$A:$N,14,FALSE)="","",VLOOKUP(A166,[2]PRIORIZADOS!$A:$N,14,FALSE)),"")</f>
        <v>45768</v>
      </c>
      <c r="O166" s="71">
        <f>IFERROR(IF(VLOOKUP(A166,[2]PRIORIZADOS!$A:$O,15,FALSE)="","",VLOOKUP(A166,[2]PRIORIZADOS!$A:$O,15,FALSE)),"")</f>
        <v>45768</v>
      </c>
      <c r="P166" s="11" t="str">
        <f>IFERROR(IF(VLOOKUP(A166,[2]PRIORIZADOS!$A:$P,16,FALSE)="","",VLOOKUP(A166,[2]PRIORIZADOS!$A:$P,16,FALSE)),"")</f>
        <v>Visitas de evaluación con fines de mejoramiento</v>
      </c>
      <c r="Q166" s="120" t="s">
        <v>48</v>
      </c>
      <c r="R166" s="11" t="str">
        <f>IFERROR(IF(VLOOKUP(A166,[2]PRIORIZADOS!$A:$R,18,FALSE)="","",VLOOKUP(A166,[2]PRIORIZADOS!$A:$R,18,FALSE)),"")</f>
        <v>Pese a que en SIMAT hay estudiantes de inclusión, no se cuenta con estudiantes de inclusión vigentes matriculados.</v>
      </c>
      <c r="S166" s="11" t="str">
        <f>IFERROR(IF(VLOOKUP(A166,[2]PRIORIZADOS!$A:$S,19,FALSE)="","",VLOOKUP(A166,[2]PRIORIZADOS!$A:$S,19,FALSE)),"")</f>
        <v>Se comparten datos de profesionales de cobertura para que proceda a realizar el ajuste en la plataforma de acuerdo a la realidad</v>
      </c>
      <c r="T166" s="70" t="str">
        <f>IFERROR(IF(VLOOKUP(A166,[2]PRIORIZADOS!$A:$T,20,FALSE)="","",VLOOKUP(A166,[2]PRIORIZADOS!$A:$T,20,FALSE)),"")</f>
        <v>Si</v>
      </c>
      <c r="U166" s="11" t="str">
        <f>IFERROR(IF(VLOOKUP(A166,[2]PRIORIZADOS!$A:$U,21,FALSE)="","",VLOOKUP(A166,[2]PRIORIZADOS!$A:$U,21,FALSE)),"")</f>
        <v>Se verificará el ajuste en el SIMAT, antes del mes de octubre de 2025.</v>
      </c>
    </row>
    <row r="167" spans="1:21" s="1" customFormat="1" ht="84">
      <c r="A167" s="69">
        <f>IF([2]PRIORIZADOS!A47="","",[2]PRIORIZADOS!A47)</f>
        <v>171</v>
      </c>
      <c r="B167" s="87">
        <f>IFERROR(IF(VLOOKUP(A167,[2]PRIORIZADOS!$A:$B,2,FALSE)="","",VLOOKUP(A167,[2]PRIORIZADOS!$A:$B,2,FALSE)),"")</f>
        <v>5</v>
      </c>
      <c r="C167" s="11" t="str">
        <f>IFERROR(IF(VLOOKUP(A167,[2]PRIORIZADOS!$A:$C,3,FALSE)="","",VLOOKUP(A167,[2]PRIORIZADOS!$A:$C,3,FALSE)),"")</f>
        <v xml:space="preserve">BARRIOS UNIDOS </v>
      </c>
      <c r="D167" s="69" t="str">
        <f>IFERROR(IF(VLOOKUP(A167,[2]PRIORIZADOS!$A:$D,4,FALSE)="","",VLOOKUP(A167,[2]PRIORIZADOS!$A:$D,4,FALSE)),"")</f>
        <v>PRIVADO</v>
      </c>
      <c r="E167" s="69" t="str">
        <f>IFERROR(IF(VLOOKUP(A167,[2]PRIORIZADOS!$A:$E,5,FALSE)="","",VLOOKUP(A167,[2]PRIORIZADOS!$A:$E,5,FALSE)),"")</f>
        <v>Educación de Jóvenes y Adultos</v>
      </c>
      <c r="F167" s="11" t="str">
        <f>IFERROR(IF(VLOOKUP(A167,[2]PRIORIZADOS!$A:$F,6,FALSE)="","",VLOOKUP(A167,[2]PRIORIZADOS!$A:$F,6,FALSE)),"")</f>
        <v>CENTRO_DE_PROMOCION_SAN_JOSE</v>
      </c>
      <c r="G167" s="11" t="str">
        <f>IFERROR(IF(VLOOKUP(A167,[2]PRIORIZADOS!$A:$G,7,FALSE)="","",VLOOKUP(A167,[2]PRIORIZADOS!$A:$G,7,FALSE)),"")</f>
        <v>CENTRO_DE_PROMOCION_SAN_JOSE</v>
      </c>
      <c r="H167" s="11" t="str">
        <f>IFERROR(IF(VLOOKUP(A167,[2]PRIORIZADOS!$A:$H,8,FALSE)="","",VLOOKUP(A167,[2]PRIORIZADOS!$A:$H,8,FALSE)),"")</f>
        <v>Autoevaluación Institucional y Pruebas SABER 11</v>
      </c>
      <c r="I167" s="11" t="str">
        <f>IFERROR(IF(VLOOKUP(A167,[2]PRIORIZADOS!$A:$I,9,FALSE)="","",VLOOKUP(A167,[2]PRIORIZADOS!$A:$I,9,FALSE)),"")</f>
        <v>EVALUACIÓN_CON_FINES_DE_MEJORAMIENTO.</v>
      </c>
      <c r="J167" s="11" t="str">
        <f>IFERROR(IF(VLOOKUP(A167,[2]PRIORIZADOS!$A:$J,10,FALSE)="","",VLOOKUP(A167,[2]PRIORIZADOS!$A:$J,10,FALSE)),"")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7" s="11" t="str">
        <f>IFERROR(IF(VLOOKUP(A167,[2]PRIORIZADOS!$A:$K,11,FALSE)="","",VLOOKUP(A167,[2]PRIORIZADOS!$A:$K,11,FALSE)),"")</f>
        <v>DORIS YOLANDA LÓPEZ ARÉVALO</v>
      </c>
      <c r="L167" s="11" t="str">
        <f>IFERROR(IF(VLOOKUP(A167,[2]PRIORIZADOS!$A:$L,12,FALSE)="","",VLOOKUP(A167,[2]PRIORIZADOS!$A:$L,12,FALSE)),"")</f>
        <v xml:space="preserve">ALBERTO MIGUEL PEÑA </v>
      </c>
      <c r="M167" s="88">
        <f>IFERROR(IF(VLOOKUP(A167,[2]PRIORIZADOS!$A:$M,13,FALSE)="","",VLOOKUP(A167,[2]PRIORIZADOS!$A:$M,13,FALSE)),"")</f>
        <v>45768</v>
      </c>
      <c r="N167" s="71">
        <f>IFERROR(IF(VLOOKUP(A167,[2]PRIORIZADOS!$A:$N,14,FALSE)="","",VLOOKUP(A167,[2]PRIORIZADOS!$A:$N,14,FALSE)),"")</f>
        <v>45768</v>
      </c>
      <c r="O167" s="71">
        <f>IFERROR(IF(VLOOKUP(A167,[2]PRIORIZADOS!$A:$O,15,FALSE)="","",VLOOKUP(A167,[2]PRIORIZADOS!$A:$O,15,FALSE)),"")</f>
        <v>45768</v>
      </c>
      <c r="P167" s="11" t="str">
        <f>IFERROR(IF(VLOOKUP(A167,[2]PRIORIZADOS!$A:$P,16,FALSE)="","",VLOOKUP(A167,[2]PRIORIZADOS!$A:$P,16,FALSE)),"")</f>
        <v>Visitas de evaluación con fines de mejoramiento</v>
      </c>
      <c r="Q167" s="120" t="s">
        <v>48</v>
      </c>
      <c r="R167" s="11" t="str">
        <f>IFERROR(IF(VLOOKUP(A167,[2]PRIORIZADOS!$A:$R,18,FALSE)="","",VLOOKUP(A167,[2]PRIORIZADOS!$A:$R,18,FALSE)),"")</f>
        <v>Revisado el Manual de convivencia se encuentra un documento ajustado a la norma, con inclusión de enfoques y aplicación de justicia escolar restaurativa.</v>
      </c>
      <c r="S167" s="11" t="str">
        <f>IFERROR(IF(VLOOKUP(A167,[2]PRIORIZADOS!$A:$S,19,FALSE)="","",VLOOKUP(A167,[2]PRIORIZADOS!$A:$S,19,FALSE)),"")</f>
        <v>Se revisan documentos de participación en el planteamiento del documento y se menciona que dependiendo las situaciones, se hacen ajustes  al mismo.</v>
      </c>
      <c r="T167" s="70" t="str">
        <f>IFERROR(IF(VLOOKUP(A167,[2]PRIORIZADOS!$A:$T,20,FALSE)="","",VLOOKUP(A167,[2]PRIORIZADOS!$A:$T,20,FALSE)),"")</f>
        <v>No</v>
      </c>
      <c r="U167" s="11" t="str">
        <f>IFERROR(IF(VLOOKUP(A167,[2]PRIORIZADOS!$A:$U,21,FALSE)="","",VLOOKUP(A167,[2]PRIORIZADOS!$A:$U,21,FALSE)),"")</f>
        <v>Cuando se presente una situación se verificará su aplicabilidad.</v>
      </c>
    </row>
    <row r="168" spans="1:21" s="1" customFormat="1" ht="48">
      <c r="A168" s="69">
        <f>IF([2]PRIORIZADOS!A48="","",[2]PRIORIZADOS!A48)</f>
        <v>172</v>
      </c>
      <c r="B168" s="87">
        <f>IFERROR(IF(VLOOKUP(A168,[2]PRIORIZADOS!$A:$B,2,FALSE)="","",VLOOKUP(A168,[2]PRIORIZADOS!$A:$B,2,FALSE)),"")</f>
        <v>5</v>
      </c>
      <c r="C168" s="11" t="str">
        <f>IFERROR(IF(VLOOKUP(A168,[2]PRIORIZADOS!$A:$C,3,FALSE)="","",VLOOKUP(A168,[2]PRIORIZADOS!$A:$C,3,FALSE)),"")</f>
        <v xml:space="preserve">BARRIOS UNIDOS </v>
      </c>
      <c r="D168" s="69" t="str">
        <f>IFERROR(IF(VLOOKUP(A168,[2]PRIORIZADOS!$A:$D,4,FALSE)="","",VLOOKUP(A168,[2]PRIORIZADOS!$A:$D,4,FALSE)),"")</f>
        <v>PRIVADO</v>
      </c>
      <c r="E168" s="69" t="str">
        <f>IFERROR(IF(VLOOKUP(A168,[2]PRIORIZADOS!$A:$E,5,FALSE)="","",VLOOKUP(A168,[2]PRIORIZADOS!$A:$E,5,FALSE)),"")</f>
        <v>Educación de Jóvenes y Adultos</v>
      </c>
      <c r="F168" s="11" t="str">
        <f>IFERROR(IF(VLOOKUP(A168,[2]PRIORIZADOS!$A:$F,6,FALSE)="","",VLOOKUP(A168,[2]PRIORIZADOS!$A:$F,6,FALSE)),"")</f>
        <v>CENTRO_DE_PROMOCION_SAN_JOSE</v>
      </c>
      <c r="G168" s="11" t="str">
        <f>IFERROR(IF(VLOOKUP(A168,[2]PRIORIZADOS!$A:$G,7,FALSE)="","",VLOOKUP(A168,[2]PRIORIZADOS!$A:$G,7,FALSE)),"")</f>
        <v>CENTRO_DE_PROMOCION_SAN_JOSE</v>
      </c>
      <c r="H168" s="11" t="str">
        <f>IFERROR(IF(VLOOKUP(A168,[2]PRIORIZADOS!$A:$H,8,FALSE)="","",VLOOKUP(A168,[2]PRIORIZADOS!$A:$H,8,FALSE)),"")</f>
        <v>Autoevaluación Institucional y Pruebas SABER 11</v>
      </c>
      <c r="I168" s="11" t="str">
        <f>IFERROR(IF(VLOOKUP(A168,[2]PRIORIZADOS!$A:$I,9,FALSE)="","",VLOOKUP(A168,[2]PRIORIZADOS!$A:$I,9,FALSE)),"")</f>
        <v>EVALUACIÓN_CON_FINES_DE_MEJORAMIENTO.</v>
      </c>
      <c r="J168" s="11" t="str">
        <f>IFERROR(IF(VLOOKUP(A168,[2]PRIORIZADOS!$A:$J,10,FALSE)="","",VLOOKUP(A168,[2]PRIORIZADOS!$A:$J,10,FALSE)),"")</f>
        <v>Revisar la actualización, socialización e implementación del Sistema Institucional de Evaluación de Estudiantes - SIEE, en articulación con la actualización del PEI y la normatividad vigente.</v>
      </c>
      <c r="K168" s="11" t="str">
        <f>IFERROR(IF(VLOOKUP(A168,[2]PRIORIZADOS!$A:$K,11,FALSE)="","",VLOOKUP(A168,[2]PRIORIZADOS!$A:$K,11,FALSE)),"")</f>
        <v>DORIS YOLANDA LÓPEZ ARÉVALO</v>
      </c>
      <c r="L168" s="11" t="str">
        <f>IFERROR(IF(VLOOKUP(A168,[2]PRIORIZADOS!$A:$L,12,FALSE)="","",VLOOKUP(A168,[2]PRIORIZADOS!$A:$L,12,FALSE)),"")</f>
        <v xml:space="preserve">ALBERTO MIGUEL PEÑA </v>
      </c>
      <c r="M168" s="88">
        <f>IFERROR(IF(VLOOKUP(A168,[2]PRIORIZADOS!$A:$M,13,FALSE)="","",VLOOKUP(A168,[2]PRIORIZADOS!$A:$M,13,FALSE)),"")</f>
        <v>45768</v>
      </c>
      <c r="N168" s="71">
        <f>IFERROR(IF(VLOOKUP(A168,[2]PRIORIZADOS!$A:$N,14,FALSE)="","",VLOOKUP(A168,[2]PRIORIZADOS!$A:$N,14,FALSE)),"")</f>
        <v>45768</v>
      </c>
      <c r="O168" s="71">
        <f>IFERROR(IF(VLOOKUP(A168,[2]PRIORIZADOS!$A:$O,15,FALSE)="","",VLOOKUP(A168,[2]PRIORIZADOS!$A:$O,15,FALSE)),"")</f>
        <v>45768</v>
      </c>
      <c r="P168" s="11" t="str">
        <f>IFERROR(IF(VLOOKUP(A168,[2]PRIORIZADOS!$A:$P,16,FALSE)="","",VLOOKUP(A168,[2]PRIORIZADOS!$A:$P,16,FALSE)),"")</f>
        <v>Visitas de evaluación con fines de mejoramiento</v>
      </c>
      <c r="Q168" s="120" t="s">
        <v>48</v>
      </c>
      <c r="R168" s="11" t="str">
        <f>IFERROR(IF(VLOOKUP(A168,[2]PRIORIZADOS!$A:$R,18,FALSE)="","",VLOOKUP(A168,[2]PRIORIZADOS!$A:$R,18,FALSE)),"")</f>
        <v>Documentos revisados antes de la visita, lo que permitió conocer la institución y la articulación con el documento PEI.</v>
      </c>
      <c r="S168" s="11" t="str">
        <f>IFERROR(IF(VLOOKUP(A168,[2]PRIORIZADOS!$A:$S,19,FALSE)="","",VLOOKUP(A168,[2]PRIORIZADOS!$A:$S,19,FALSE)),"")</f>
        <v>Se encuentra socialización a través de las jornadas de inducción de estudiantes nuevos, así como la recordación al inicio de cada semestre.</v>
      </c>
      <c r="T168" s="70" t="str">
        <f>IFERROR(IF(VLOOKUP(A168,[2]PRIORIZADOS!$A:$T,20,FALSE)="","",VLOOKUP(A168,[2]PRIORIZADOS!$A:$T,20,FALSE)),"")</f>
        <v>No</v>
      </c>
      <c r="U168" s="11" t="str">
        <f>IFERROR(IF(VLOOKUP(A168,[2]PRIORIZADOS!$A:$U,21,FALSE)="","",VLOOKUP(A168,[2]PRIORIZADOS!$A:$U,21,FALSE)),"")</f>
        <v>Cuando se presente una situación se verificará su aplicabilidad.</v>
      </c>
    </row>
    <row r="169" spans="1:21" s="1" customFormat="1" ht="48">
      <c r="A169" s="69">
        <f>IF([2]PRIORIZADOS!A49="","",[2]PRIORIZADOS!A49)</f>
        <v>173</v>
      </c>
      <c r="B169" s="87">
        <f>IFERROR(IF(VLOOKUP(A169,[2]PRIORIZADOS!$A:$B,2,FALSE)="","",VLOOKUP(A169,[2]PRIORIZADOS!$A:$B,2,FALSE)),"")</f>
        <v>5</v>
      </c>
      <c r="C169" s="11" t="str">
        <f>IFERROR(IF(VLOOKUP(A169,[2]PRIORIZADOS!$A:$C,3,FALSE)="","",VLOOKUP(A169,[2]PRIORIZADOS!$A:$C,3,FALSE)),"")</f>
        <v xml:space="preserve">BARRIOS UNIDOS </v>
      </c>
      <c r="D169" s="69" t="str">
        <f>IFERROR(IF(VLOOKUP(A169,[2]PRIORIZADOS!$A:$D,4,FALSE)="","",VLOOKUP(A169,[2]PRIORIZADOS!$A:$D,4,FALSE)),"")</f>
        <v>PRIVADO</v>
      </c>
      <c r="E169" s="69" t="str">
        <f>IFERROR(IF(VLOOKUP(A169,[2]PRIORIZADOS!$A:$E,5,FALSE)="","",VLOOKUP(A169,[2]PRIORIZADOS!$A:$E,5,FALSE)),"")</f>
        <v>Educación de Jóvenes y Adultos</v>
      </c>
      <c r="F169" s="11" t="str">
        <f>IFERROR(IF(VLOOKUP(A169,[2]PRIORIZADOS!$A:$F,6,FALSE)="","",VLOOKUP(A169,[2]PRIORIZADOS!$A:$F,6,FALSE)),"")</f>
        <v>CENTRO_DE_PROMOCION_SAN_JOSE</v>
      </c>
      <c r="G169" s="11" t="str">
        <f>IFERROR(IF(VLOOKUP(A169,[2]PRIORIZADOS!$A:$G,7,FALSE)="","",VLOOKUP(A169,[2]PRIORIZADOS!$A:$G,7,FALSE)),"")</f>
        <v>CENTRO_DE_PROMOCION_SAN_JOSE</v>
      </c>
      <c r="H169" s="11" t="str">
        <f>IFERROR(IF(VLOOKUP(A169,[2]PRIORIZADOS!$A:$H,8,FALSE)="","",VLOOKUP(A169,[2]PRIORIZADOS!$A:$H,8,FALSE)),"")</f>
        <v>Autoevaluación Institucional y Pruebas SABER 11</v>
      </c>
      <c r="I169" s="11" t="str">
        <f>IFERROR(IF(VLOOKUP(A169,[2]PRIORIZADOS!$A:$I,9,FALSE)="","",VLOOKUP(A169,[2]PRIORIZADOS!$A:$I,9,FALSE)),"")</f>
        <v>EVALUACIÓN_CON_FINES_DE_MEJORAMIENTO.</v>
      </c>
      <c r="J169" s="11" t="str">
        <f>IFERROR(IF(VLOOKUP(A169,[2]PRIORIZADOS!$A:$J,10,FALSE)="","",VLOOKUP(A169,[2]PRIORIZADOS!$A:$J,10,FALSE)),"")</f>
        <v>Revisar el calendario escolar, jornada escolar, la intensidad horaria mínima anual en cada nivel y las modificaciones que se realicen al mismo, de acuerdo con lo previsto en la normatividad vigente.</v>
      </c>
      <c r="K169" s="11" t="str">
        <f>IFERROR(IF(VLOOKUP(A169,[2]PRIORIZADOS!$A:$K,11,FALSE)="","",VLOOKUP(A169,[2]PRIORIZADOS!$A:$K,11,FALSE)),"")</f>
        <v>DORIS YOLANDA LÓPEZ ARÉVALO</v>
      </c>
      <c r="L169" s="11" t="str">
        <f>IFERROR(IF(VLOOKUP(A169,[2]PRIORIZADOS!$A:$L,12,FALSE)="","",VLOOKUP(A169,[2]PRIORIZADOS!$A:$L,12,FALSE)),"")</f>
        <v xml:space="preserve">ALBERTO MIGUEL PEÑA </v>
      </c>
      <c r="M169" s="88">
        <f>IFERROR(IF(VLOOKUP(A169,[2]PRIORIZADOS!$A:$M,13,FALSE)="","",VLOOKUP(A169,[2]PRIORIZADOS!$A:$M,13,FALSE)),"")</f>
        <v>45768</v>
      </c>
      <c r="N169" s="71">
        <f>IFERROR(IF(VLOOKUP(A169,[2]PRIORIZADOS!$A:$N,14,FALSE)="","",VLOOKUP(A169,[2]PRIORIZADOS!$A:$N,14,FALSE)),"")</f>
        <v>45768</v>
      </c>
      <c r="O169" s="71">
        <f>IFERROR(IF(VLOOKUP(A169,[2]PRIORIZADOS!$A:$O,15,FALSE)="","",VLOOKUP(A169,[2]PRIORIZADOS!$A:$O,15,FALSE)),"")</f>
        <v>45768</v>
      </c>
      <c r="P169" s="11" t="str">
        <f>IFERROR(IF(VLOOKUP(A169,[2]PRIORIZADOS!$A:$P,16,FALSE)="","",VLOOKUP(A169,[2]PRIORIZADOS!$A:$P,16,FALSE)),"")</f>
        <v>Visitas de evaluación con fines de mejoramiento</v>
      </c>
      <c r="Q169" s="120" t="s">
        <v>48</v>
      </c>
      <c r="R169" s="11" t="str">
        <f>IFERROR(IF(VLOOKUP(A169,[2]PRIORIZADOS!$A:$R,18,FALSE)="","",VLOOKUP(A169,[2]PRIORIZADOS!$A:$R,18,FALSE)),"")</f>
        <v>Se revisó calendario escolar y su planteamiento fue acorde en concordancia con lo normado</v>
      </c>
      <c r="S169" s="11" t="str">
        <f>IFERROR(IF(VLOOKUP(A169,[2]PRIORIZADOS!$A:$S,19,FALSE)="","",VLOOKUP(A169,[2]PRIORIZADOS!$A:$S,19,FALSE)),"")</f>
        <v>Se les habla de la obligatoriedad de cumplir las horas para cada ciclo, entendiendo que su jornadas son ajustadas a las necesidades de los adultos.</v>
      </c>
      <c r="T169" s="70" t="str">
        <f>IFERROR(IF(VLOOKUP(A169,[2]PRIORIZADOS!$A:$T,20,FALSE)="","",VLOOKUP(A169,[2]PRIORIZADOS!$A:$T,20,FALSE)),"")</f>
        <v>No</v>
      </c>
      <c r="U169" s="11" t="str">
        <f>IFERROR(IF(VLOOKUP(A169,[2]PRIORIZADOS!$A:$U,21,FALSE)="","",VLOOKUP(A169,[2]PRIORIZADOS!$A:$U,21,FALSE)),"")</f>
        <v>Durante la visita de seguimiento, se revisará el cumplimiento del Desarrollo Curricular con la completitud de áreas obligatorias.</v>
      </c>
    </row>
    <row r="170" spans="1:21" s="1" customFormat="1" ht="48">
      <c r="A170" s="69">
        <f>IF([2]PRIORIZADOS!A50="","",[2]PRIORIZADOS!A50)</f>
        <v>174</v>
      </c>
      <c r="B170" s="87">
        <f>IFERROR(IF(VLOOKUP(A170,[2]PRIORIZADOS!$A:$B,2,FALSE)="","",VLOOKUP(A170,[2]PRIORIZADOS!$A:$B,2,FALSE)),"")</f>
        <v>5</v>
      </c>
      <c r="C170" s="11" t="str">
        <f>IFERROR(IF(VLOOKUP(A170,[2]PRIORIZADOS!$A:$C,3,FALSE)="","",VLOOKUP(A170,[2]PRIORIZADOS!$A:$C,3,FALSE)),"")</f>
        <v xml:space="preserve">BARRIOS UNIDOS </v>
      </c>
      <c r="D170" s="69" t="str">
        <f>IFERROR(IF(VLOOKUP(A170,[2]PRIORIZADOS!$A:$D,4,FALSE)="","",VLOOKUP(A170,[2]PRIORIZADOS!$A:$D,4,FALSE)),"")</f>
        <v>PRIVADO</v>
      </c>
      <c r="E170" s="69" t="str">
        <f>IFERROR(IF(VLOOKUP(A170,[2]PRIORIZADOS!$A:$E,5,FALSE)="","",VLOOKUP(A170,[2]PRIORIZADOS!$A:$E,5,FALSE)),"")</f>
        <v>Educación de Jóvenes y Adultos</v>
      </c>
      <c r="F170" s="11" t="str">
        <f>IFERROR(IF(VLOOKUP(A170,[2]PRIORIZADOS!$A:$F,6,FALSE)="","",VLOOKUP(A170,[2]PRIORIZADOS!$A:$F,6,FALSE)),"")</f>
        <v>CENTRO_DE_PROMOCION_SAN_JOSE</v>
      </c>
      <c r="G170" s="11" t="str">
        <f>IFERROR(IF(VLOOKUP(A170,[2]PRIORIZADOS!$A:$G,7,FALSE)="","",VLOOKUP(A170,[2]PRIORIZADOS!$A:$G,7,FALSE)),"")</f>
        <v>CENTRO_DE_PROMOCION_SAN_JOSE</v>
      </c>
      <c r="H170" s="11" t="str">
        <f>IFERROR(IF(VLOOKUP(A170,[2]PRIORIZADOS!$A:$H,8,FALSE)="","",VLOOKUP(A170,[2]PRIORIZADOS!$A:$H,8,FALSE)),"")</f>
        <v>Autoevaluación Institucional y Pruebas SABER 11</v>
      </c>
      <c r="I170" s="11" t="str">
        <f>IFERROR(IF(VLOOKUP(A170,[2]PRIORIZADOS!$A:$I,9,FALSE)="","",VLOOKUP(A170,[2]PRIORIZADOS!$A:$I,9,FALSE)),"")</f>
        <v>EVALUACIÓN_CON_FINES_DE_MEJORAMIENTO.</v>
      </c>
      <c r="J170" s="11" t="str">
        <f>IFERROR(IF(VLOOKUP(A170,[2]PRIORIZADOS!$A:$J,10,FALSE)="","",VLOOKUP(A170,[2]PRIORIZADOS!$A:$J,10,FALSE)),"")</f>
        <v>Verificar el funcionamiento del Gobierno Escolar e instancias de participación con base en la información sobre conformación reportada por la institución educativa.</v>
      </c>
      <c r="K170" s="11" t="str">
        <f>IFERROR(IF(VLOOKUP(A170,[2]PRIORIZADOS!$A:$K,11,FALSE)="","",VLOOKUP(A170,[2]PRIORIZADOS!$A:$K,11,FALSE)),"")</f>
        <v>DORIS YOLANDA LÓPEZ ARÉVALO</v>
      </c>
      <c r="L170" s="11" t="str">
        <f>IFERROR(IF(VLOOKUP(A170,[2]PRIORIZADOS!$A:$L,12,FALSE)="","",VLOOKUP(A170,[2]PRIORIZADOS!$A:$L,12,FALSE)),"")</f>
        <v xml:space="preserve">ALBERTO MIGUEL PEÑA </v>
      </c>
      <c r="M170" s="88">
        <f>IFERROR(IF(VLOOKUP(A170,[2]PRIORIZADOS!$A:$M,13,FALSE)="","",VLOOKUP(A170,[2]PRIORIZADOS!$A:$M,13,FALSE)),"")</f>
        <v>45768</v>
      </c>
      <c r="N170" s="71">
        <f>IFERROR(IF(VLOOKUP(A170,[2]PRIORIZADOS!$A:$N,14,FALSE)="","",VLOOKUP(A170,[2]PRIORIZADOS!$A:$N,14,FALSE)),"")</f>
        <v>45768</v>
      </c>
      <c r="O170" s="71">
        <f>IFERROR(IF(VLOOKUP(A170,[2]PRIORIZADOS!$A:$O,15,FALSE)="","",VLOOKUP(A170,[2]PRIORIZADOS!$A:$O,15,FALSE)),"")</f>
        <v>45768</v>
      </c>
      <c r="P170" s="11" t="str">
        <f>IFERROR(IF(VLOOKUP(A170,[2]PRIORIZADOS!$A:$P,16,FALSE)="","",VLOOKUP(A170,[2]PRIORIZADOS!$A:$P,16,FALSE)),"")</f>
        <v>Visitas de evaluación con fines de mejoramiento</v>
      </c>
      <c r="Q170" s="120" t="s">
        <v>48</v>
      </c>
      <c r="R170" s="11" t="str">
        <f>IFERROR(IF(VLOOKUP(A170,[2]PRIORIZADOS!$A:$R,18,FALSE)="","",VLOOKUP(A170,[2]PRIORIZADOS!$A:$R,18,FALSE)),"")</f>
        <v>Las Actas de Gobierno escolar fueron revisadas, encontrando una conformación según lo normado sin embargo no se han cargado en la plataforma SAE.</v>
      </c>
      <c r="S170" s="11" t="str">
        <f>IFERROR(IF(VLOOKUP(A170,[2]PRIORIZADOS!$A:$S,19,FALSE)="","",VLOOKUP(A170,[2]PRIORIZADOS!$A:$S,19,FALSE)),"")</f>
        <v>Se solicita que deben cargar la información de conformación en la plataforma que está designada para tal fin.</v>
      </c>
      <c r="T170" s="70" t="str">
        <f>IFERROR(IF(VLOOKUP(A170,[2]PRIORIZADOS!$A:$T,20,FALSE)="","",VLOOKUP(A170,[2]PRIORIZADOS!$A:$T,20,FALSE)),"")</f>
        <v>Si</v>
      </c>
      <c r="U170" s="11" t="str">
        <f>IFERROR(IF(VLOOKUP(A170,[2]PRIORIZADOS!$A:$U,21,FALSE)="","",VLOOKUP(A170,[2]PRIORIZADOS!$A:$U,21,FALSE)),"")</f>
        <v>De manera inmediata se solicita el cargue al SAE so pena de incurrir en falta administrativa.</v>
      </c>
    </row>
    <row r="171" spans="1:21" s="1" customFormat="1" ht="36">
      <c r="A171" s="69">
        <f>IF([2]PRIORIZADOS!A51="","",[2]PRIORIZADOS!A51)</f>
        <v>175</v>
      </c>
      <c r="B171" s="87">
        <f>IFERROR(IF(VLOOKUP(A171,[2]PRIORIZADOS!$A:$B,2,FALSE)="","",VLOOKUP(A171,[2]PRIORIZADOS!$A:$B,2,FALSE)),"")</f>
        <v>5</v>
      </c>
      <c r="C171" s="11" t="str">
        <f>IFERROR(IF(VLOOKUP(A171,[2]PRIORIZADOS!$A:$C,3,FALSE)="","",VLOOKUP(A171,[2]PRIORIZADOS!$A:$C,3,FALSE)),"")</f>
        <v xml:space="preserve">BARRIOS UNIDOS </v>
      </c>
      <c r="D171" s="69" t="str">
        <f>IFERROR(IF(VLOOKUP(A171,[2]PRIORIZADOS!$A:$D,4,FALSE)="","",VLOOKUP(A171,[2]PRIORIZADOS!$A:$D,4,FALSE)),"")</f>
        <v>PRIVADO</v>
      </c>
      <c r="E171" s="69" t="str">
        <f>IFERROR(IF(VLOOKUP(A171,[2]PRIORIZADOS!$A:$E,5,FALSE)="","",VLOOKUP(A171,[2]PRIORIZADOS!$A:$E,5,FALSE)),"")</f>
        <v>Educación de Jóvenes y Adultos</v>
      </c>
      <c r="F171" s="11" t="str">
        <f>IFERROR(IF(VLOOKUP(A171,[2]PRIORIZADOS!$A:$F,6,FALSE)="","",VLOOKUP(A171,[2]PRIORIZADOS!$A:$F,6,FALSE)),"")</f>
        <v>CENTRO_DE_PROMOCION_SAN_JOSE</v>
      </c>
      <c r="G171" s="11" t="str">
        <f>IFERROR(IF(VLOOKUP(A171,[2]PRIORIZADOS!$A:$G,7,FALSE)="","",VLOOKUP(A171,[2]PRIORIZADOS!$A:$G,7,FALSE)),"")</f>
        <v>CENTRO_DE_PROMOCION_SAN_JOSE</v>
      </c>
      <c r="H171" s="11" t="str">
        <f>IFERROR(IF(VLOOKUP(A171,[2]PRIORIZADOS!$A:$H,8,FALSE)="","",VLOOKUP(A171,[2]PRIORIZADOS!$A:$H,8,FALSE)),"")</f>
        <v>Autoevaluación Institucional y Pruebas SABER 11</v>
      </c>
      <c r="I171" s="11" t="str">
        <f>IFERROR(IF(VLOOKUP(A171,[2]PRIORIZADOS!$A:$I,9,FALSE)="","",VLOOKUP(A171,[2]PRIORIZADOS!$A:$I,9,FALSE)),"")</f>
        <v>EVALUACIÓN_CON_FINES_DE_MEJORAMIENTO.</v>
      </c>
      <c r="J171" s="11" t="str">
        <f>IFERROR(IF(VLOOKUP(A171,[2]PRIORIZADOS!$A:$J,10,FALSE)="","",VLOOKUP(A171,[2]PRIORIZADOS!$A:$J,10,FALSE)),"")</f>
        <v>Verificar las condiciones en cuanto a: la estructura administrativa, condiciones de la planta física y medios educativos adecuados.</v>
      </c>
      <c r="K171" s="11" t="str">
        <f>IFERROR(IF(VLOOKUP(A171,[2]PRIORIZADOS!$A:$K,11,FALSE)="","",VLOOKUP(A171,[2]PRIORIZADOS!$A:$K,11,FALSE)),"")</f>
        <v>DORIS YOLANDA LÓPEZ ARÉVALO</v>
      </c>
      <c r="L171" s="11" t="str">
        <f>IFERROR(IF(VLOOKUP(A171,[2]PRIORIZADOS!$A:$L,12,FALSE)="","",VLOOKUP(A171,[2]PRIORIZADOS!$A:$L,12,FALSE)),"")</f>
        <v xml:space="preserve">ALBERTO MIGUEL PEÑA </v>
      </c>
      <c r="M171" s="88">
        <f>IFERROR(IF(VLOOKUP(A171,[2]PRIORIZADOS!$A:$M,13,FALSE)="","",VLOOKUP(A171,[2]PRIORIZADOS!$A:$M,13,FALSE)),"")</f>
        <v>45768</v>
      </c>
      <c r="N171" s="71">
        <f>IFERROR(IF(VLOOKUP(A171,[2]PRIORIZADOS!$A:$N,14,FALSE)="","",VLOOKUP(A171,[2]PRIORIZADOS!$A:$N,14,FALSE)),"")</f>
        <v>45768</v>
      </c>
      <c r="O171" s="71">
        <f>IFERROR(IF(VLOOKUP(A171,[2]PRIORIZADOS!$A:$O,15,FALSE)="","",VLOOKUP(A171,[2]PRIORIZADOS!$A:$O,15,FALSE)),"")</f>
        <v>45768</v>
      </c>
      <c r="P171" s="11" t="str">
        <f>IFERROR(IF(VLOOKUP(A171,[2]PRIORIZADOS!$A:$P,16,FALSE)="","",VLOOKUP(A171,[2]PRIORIZADOS!$A:$P,16,FALSE)),"")</f>
        <v>Visitas de evaluación con fines de mejoramiento</v>
      </c>
      <c r="Q171" s="120" t="s">
        <v>48</v>
      </c>
      <c r="R171" s="11" t="str">
        <f>IFERROR(IF(VLOOKUP(A171,[2]PRIORIZADOS!$A:$R,18,FALSE)="","",VLOOKUP(A171,[2]PRIORIZADOS!$A:$R,18,FALSE)),"")</f>
        <v>Las Actas de Gobierno escolar fueron revisadas, encontrando una conformación según lo normado.</v>
      </c>
      <c r="S171" s="11" t="str">
        <f>IFERROR(IF(VLOOKUP(A171,[2]PRIORIZADOS!$A:$S,19,FALSE)="","",VLOOKUP(A171,[2]PRIORIZADOS!$A:$S,19,FALSE)),"")</f>
        <v>Se evidencian carpetas que contienen las actas de reunión, con los datos específicos de cada una de ellas.</v>
      </c>
      <c r="T171" s="70" t="str">
        <f>IFERROR(IF(VLOOKUP(A171,[2]PRIORIZADOS!$A:$T,20,FALSE)="","",VLOOKUP(A171,[2]PRIORIZADOS!$A:$T,20,FALSE)),"")</f>
        <v>No</v>
      </c>
      <c r="U171" s="11" t="str">
        <f>IFERROR(IF(VLOOKUP(A171,[2]PRIORIZADOS!$A:$U,21,FALSE)="","",VLOOKUP(A171,[2]PRIORIZADOS!$A:$U,21,FALSE)),"")</f>
        <v>Se procederá a revisar en caso de que se presente alguna queja.</v>
      </c>
    </row>
    <row r="172" spans="1:21" s="1" customFormat="1" ht="36">
      <c r="A172" s="69">
        <f>IF([2]PRIORIZADOS!A52="","",[2]PRIORIZADOS!A52)</f>
        <v>176</v>
      </c>
      <c r="B172" s="87">
        <f>IFERROR(IF(VLOOKUP(A172,[2]PRIORIZADOS!$A:$B,2,FALSE)="","",VLOOKUP(A172,[2]PRIORIZADOS!$A:$B,2,FALSE)),"")</f>
        <v>6</v>
      </c>
      <c r="C172" s="11" t="str">
        <f>IFERROR(IF(VLOOKUP(A172,[2]PRIORIZADOS!$A:$C,3,FALSE)="","",VLOOKUP(A172,[2]PRIORIZADOS!$A:$C,3,FALSE)),"")</f>
        <v xml:space="preserve">BARRIOS UNIDOS </v>
      </c>
      <c r="D172" s="69" t="str">
        <f>IFERROR(IF(VLOOKUP(A172,[2]PRIORIZADOS!$A:$D,4,FALSE)="","",VLOOKUP(A172,[2]PRIORIZADOS!$A:$D,4,FALSE)),"")</f>
        <v>PRIVADO</v>
      </c>
      <c r="E172" s="69" t="str">
        <f>IFERROR(IF(VLOOKUP(A172,[2]PRIORIZADOS!$A:$E,5,FALSE)="","",VLOOKUP(A172,[2]PRIORIZADOS!$A:$E,5,FALSE)),"")</f>
        <v>EPBM</v>
      </c>
      <c r="F172" s="11" t="str">
        <f>IFERROR(IF(VLOOKUP(A172,[2]PRIORIZADOS!$A:$F,6,FALSE)="","",VLOOKUP(A172,[2]PRIORIZADOS!$A:$F,6,FALSE)),"")</f>
        <v>COLEGIO_SANTA_ROSA_DE_LIMA</v>
      </c>
      <c r="G172" s="11" t="str">
        <f>IFERROR(IF(VLOOKUP(A172,[2]PRIORIZADOS!$A:$G,7,FALSE)="","",VLOOKUP(A172,[2]PRIORIZADOS!$A:$G,7,FALSE)),"")</f>
        <v>COLEGIO_SANTA_ROSA_DE_LIMA</v>
      </c>
      <c r="H172" s="11" t="str">
        <f>IFERROR(IF(VLOOKUP(A172,[2]PRIORIZADOS!$A:$H,8,FALSE)="","",VLOOKUP(A172,[2]PRIORIZADOS!$A:$H,8,FALSE)),"")</f>
        <v>Autoevaluación Institucional y Pruebas SABER 11</v>
      </c>
      <c r="I172" s="11" t="str">
        <f>IFERROR(IF(VLOOKUP(A172,[2]PRIORIZADOS!$A:$I,9,FALSE)="","",VLOOKUP(A172,[2]PRIORIZADOS!$A:$I,9,FALSE)),"")</f>
        <v>SEGUIMIENTO_Y_SUPERVISIÓN.</v>
      </c>
      <c r="J172" s="11" t="str">
        <f>IFERROR(IF(VLOOKUP(A172,[2]PRIORIZADOS!$A:$J,10,FALSE)="","",VLOOKUP(A172,[2]PRIORIZADOS!$A:$J,10,FALSE)),"")</f>
        <v>Realizar visitas para verificar la información registrada sobre la autoevaluación institucional en el aplicativo EVI, a los establecimientos de educación formal no oficial.</v>
      </c>
      <c r="K172" s="11" t="str">
        <f>IFERROR(IF(VLOOKUP(A172,[2]PRIORIZADOS!$A:$K,11,FALSE)="","",VLOOKUP(A172,[2]PRIORIZADOS!$A:$K,11,FALSE)),"")</f>
        <v xml:space="preserve">ALBERTO MIGUEL PEÑA </v>
      </c>
      <c r="L172" s="11" t="str">
        <f>IFERROR(IF(VLOOKUP(A172,[2]PRIORIZADOS!$A:$L,12,FALSE)="","",VLOOKUP(A172,[2]PRIORIZADOS!$A:$L,12,FALSE)),"")</f>
        <v>DORIS YOLANDA LÓPEZ ARÉVALO</v>
      </c>
      <c r="M172" s="88">
        <f>IFERROR(IF(VLOOKUP(A172,[2]PRIORIZADOS!$A:$M,13,FALSE)="","",VLOOKUP(A172,[2]PRIORIZADOS!$A:$M,13,FALSE)),"")</f>
        <v>45756</v>
      </c>
      <c r="N172" s="71" t="str">
        <f>IFERROR(IF(VLOOKUP(A172,[2]PRIORIZADOS!$A:$N,14,FALSE)="","",VLOOKUP(A172,[2]PRIORIZADOS!$A:$N,14,FALSE)),"")</f>
        <v>29/04/2025</v>
      </c>
      <c r="O172" s="71" t="str">
        <f>IFERROR(IF(VLOOKUP(A172,[2]PRIORIZADOS!$A:$O,15,FALSE)="","",VLOOKUP(A172,[2]PRIORIZADOS!$A:$O,15,FALSE)),"")</f>
        <v>29/04/2025</v>
      </c>
      <c r="P172" s="11" t="str">
        <f>IFERROR(IF(VLOOKUP(A172,[2]PRIORIZADOS!$A:$P,16,FALSE)="","",VLOOKUP(A172,[2]PRIORIZADOS!$A:$P,16,FALSE)),"")</f>
        <v>Visitas de evaluación con fines de mejoramiento</v>
      </c>
      <c r="Q172" s="119" t="s">
        <v>49</v>
      </c>
      <c r="R172" s="11" t="str">
        <f>IFERROR(IF(VLOOKUP(A172,[2]PRIORIZADOS!$A:$R,18,FALSE)="","",VLOOKUP(A172,[2]PRIORIZADOS!$A:$R,18,FALSE)),"")</f>
        <v xml:space="preserve">Se encontró una diferencia respecto al certificado del SIMAT de 2 estudiantes en total. </v>
      </c>
      <c r="S172" s="11" t="str">
        <f>IFERROR(IF(VLOOKUP(A172,[2]PRIORIZADOS!$A:$S,19,FALSE)="","",VLOOKUP(A172,[2]PRIORIZADOS!$A:$S,19,FALSE)),"")</f>
        <v>La IE debe ajustar y actualizar los estudiantes en la plataforma SIMAT</v>
      </c>
      <c r="T172" s="70" t="str">
        <f>IFERROR(IF(VLOOKUP(A172,[2]PRIORIZADOS!$A:$T,20,FALSE)="","",VLOOKUP(A172,[2]PRIORIZADOS!$A:$T,20,FALSE)),"")</f>
        <v>No</v>
      </c>
      <c r="U172" s="11" t="str">
        <f>IFERROR(IF(VLOOKUP(A172,[2]PRIORIZADOS!$A:$U,21,FALSE)="","",VLOOKUP(A172,[2]PRIORIZADOS!$A:$U,21,FALSE)),"")</f>
        <v xml:space="preserve">Se revisará la actualización en  SIMAT </v>
      </c>
    </row>
    <row r="173" spans="1:21" s="1" customFormat="1" ht="60">
      <c r="A173" s="69">
        <f>IF([2]PRIORIZADOS!A53="","",[2]PRIORIZADOS!A53)</f>
        <v>177</v>
      </c>
      <c r="B173" s="87">
        <f>IFERROR(IF(VLOOKUP(A173,[2]PRIORIZADOS!$A:$B,2,FALSE)="","",VLOOKUP(A173,[2]PRIORIZADOS!$A:$B,2,FALSE)),"")</f>
        <v>6</v>
      </c>
      <c r="C173" s="11" t="str">
        <f>IFERROR(IF(VLOOKUP(A173,[2]PRIORIZADOS!$A:$C,3,FALSE)="","",VLOOKUP(A173,[2]PRIORIZADOS!$A:$C,3,FALSE)),"")</f>
        <v xml:space="preserve">BARRIOS UNIDOS </v>
      </c>
      <c r="D173" s="69" t="str">
        <f>IFERROR(IF(VLOOKUP(A173,[2]PRIORIZADOS!$A:$D,4,FALSE)="","",VLOOKUP(A173,[2]PRIORIZADOS!$A:$D,4,FALSE)),"")</f>
        <v>PRIVADO</v>
      </c>
      <c r="E173" s="69" t="str">
        <f>IFERROR(IF(VLOOKUP(A173,[2]PRIORIZADOS!$A:$E,5,FALSE)="","",VLOOKUP(A173,[2]PRIORIZADOS!$A:$E,5,FALSE)),"")</f>
        <v>EPBM</v>
      </c>
      <c r="F173" s="11" t="str">
        <f>IFERROR(IF(VLOOKUP(A173,[2]PRIORIZADOS!$A:$F,6,FALSE)="","",VLOOKUP(A173,[2]PRIORIZADOS!$A:$F,6,FALSE)),"")</f>
        <v>COLEGIO_SANTA_ROSA_DE_LIMA</v>
      </c>
      <c r="G173" s="11" t="str">
        <f>IFERROR(IF(VLOOKUP(A173,[2]PRIORIZADOS!$A:$G,7,FALSE)="","",VLOOKUP(A173,[2]PRIORIZADOS!$A:$G,7,FALSE)),"")</f>
        <v>COLEGIO_SANTA_ROSA_DE_LIMA</v>
      </c>
      <c r="H173" s="11" t="str">
        <f>IFERROR(IF(VLOOKUP(A173,[2]PRIORIZADOS!$A:$H,8,FALSE)="","",VLOOKUP(A173,[2]PRIORIZADOS!$A:$H,8,FALSE)),"")</f>
        <v>Autoevaluación Institucional y Pruebas SABER 11</v>
      </c>
      <c r="I173" s="11" t="str">
        <f>IFERROR(IF(VLOOKUP(A173,[2]PRIORIZADOS!$A:$I,9,FALSE)="","",VLOOKUP(A173,[2]PRIORIZADOS!$A:$I,9,FALSE)),"")</f>
        <v>SEGUIMIENTO_Y_SUPERVISIÓN.</v>
      </c>
      <c r="J173" s="11" t="str">
        <f>IFERROR(IF(VLOOKUP(A173,[2]PRIORIZADOS!$A:$J,10,FALSE)="","",VLOOKUP(A173,[2]PRIORIZADOS!$A:$J,10,FALSE)),"")</f>
        <v>Proponer estrategias en la formulación, verificar su elaboración y realizar seguimiento semestral al desarrollo de  las acciones establecidas en los planes de mejoramiento por pruebas SABER 11 de los establecimientos de educación formal.</v>
      </c>
      <c r="K173" s="11" t="str">
        <f>IFERROR(IF(VLOOKUP(A173,[2]PRIORIZADOS!$A:$K,11,FALSE)="","",VLOOKUP(A173,[2]PRIORIZADOS!$A:$K,11,FALSE)),"")</f>
        <v xml:space="preserve">ALBERTO MIGUEL PEÑA </v>
      </c>
      <c r="L173" s="11" t="str">
        <f>IFERROR(IF(VLOOKUP(A173,[2]PRIORIZADOS!$A:$L,12,FALSE)="","",VLOOKUP(A173,[2]PRIORIZADOS!$A:$L,12,FALSE)),"")</f>
        <v>DORIS YOLANDA LÓPEZ ARÉVALO</v>
      </c>
      <c r="M173" s="88">
        <f>IFERROR(IF(VLOOKUP(A173,[2]PRIORIZADOS!$A:$M,13,FALSE)="","",VLOOKUP(A173,[2]PRIORIZADOS!$A:$M,13,FALSE)),"")</f>
        <v>45756</v>
      </c>
      <c r="N173" s="71" t="str">
        <f>IFERROR(IF(VLOOKUP(A173,[2]PRIORIZADOS!$A:$N,14,FALSE)="","",VLOOKUP(A173,[2]PRIORIZADOS!$A:$N,14,FALSE)),"")</f>
        <v>29/04/2025</v>
      </c>
      <c r="O173" s="71" t="str">
        <f>IFERROR(IF(VLOOKUP(A173,[2]PRIORIZADOS!$A:$O,15,FALSE)="","",VLOOKUP(A173,[2]PRIORIZADOS!$A:$O,15,FALSE)),"")</f>
        <v>29/04/2025</v>
      </c>
      <c r="P173" s="11" t="str">
        <f>IFERROR(IF(VLOOKUP(A173,[2]PRIORIZADOS!$A:$P,16,FALSE)="","",VLOOKUP(A173,[2]PRIORIZADOS!$A:$P,16,FALSE)),"")</f>
        <v>Visita con fines de Inspección y Vigilancia</v>
      </c>
      <c r="Q173" s="119" t="s">
        <v>49</v>
      </c>
      <c r="R173" s="11" t="str">
        <f>IFERROR(IF(VLOOKUP(A173,[2]PRIORIZADOS!$A:$R,18,FALSE)="","",VLOOKUP(A173,[2]PRIORIZADOS!$A:$R,18,FALSE)),"")</f>
        <v>Se revisaron los resultados de los 5 componentes de las pruebas saber 11 obtenidos por la institución. La institución se encuentra en categoría A+ por los resultados de las pruebas saber 2024 .</v>
      </c>
      <c r="S173" s="11" t="str">
        <f>IFERROR(IF(VLOOKUP(A173,[2]PRIORIZADOS!$A:$S,19,FALSE)="","",VLOOKUP(A173,[2]PRIORIZADOS!$A:$S,19,FALSE)),"")</f>
        <v>Se les indica que continúen con las estrategias de trabajo para el desarrollo de los componentes de las pruebas saber 11</v>
      </c>
      <c r="T173" s="70" t="str">
        <f>IFERROR(IF(VLOOKUP(A173,[2]PRIORIZADOS!$A:$T,20,FALSE)="","",VLOOKUP(A173,[2]PRIORIZADOS!$A:$T,20,FALSE)),"")</f>
        <v>No</v>
      </c>
      <c r="U173" s="11" t="str">
        <f>IFERROR(IF(VLOOKUP(A173,[2]PRIORIZADOS!$A:$U,21,FALSE)="","",VLOOKUP(A173,[2]PRIORIZADOS!$A:$U,21,FALSE)),"")</f>
        <v>Se revisará resultados pruebas saber 11 del año 2025</v>
      </c>
    </row>
    <row r="174" spans="1:21" s="1" customFormat="1" ht="72">
      <c r="A174" s="69">
        <f>IF([2]PRIORIZADOS!A54="","",[2]PRIORIZADOS!A54)</f>
        <v>178</v>
      </c>
      <c r="B174" s="87">
        <f>IFERROR(IF(VLOOKUP(A174,[2]PRIORIZADOS!$A:$B,2,FALSE)="","",VLOOKUP(A174,[2]PRIORIZADOS!$A:$B,2,FALSE)),"")</f>
        <v>6</v>
      </c>
      <c r="C174" s="11" t="str">
        <f>IFERROR(IF(VLOOKUP(A174,[2]PRIORIZADOS!$A:$C,3,FALSE)="","",VLOOKUP(A174,[2]PRIORIZADOS!$A:$C,3,FALSE)),"")</f>
        <v xml:space="preserve">BARRIOS UNIDOS </v>
      </c>
      <c r="D174" s="69" t="str">
        <f>IFERROR(IF(VLOOKUP(A174,[2]PRIORIZADOS!$A:$D,4,FALSE)="","",VLOOKUP(A174,[2]PRIORIZADOS!$A:$D,4,FALSE)),"")</f>
        <v>PRIVADO</v>
      </c>
      <c r="E174" s="69" t="str">
        <f>IFERROR(IF(VLOOKUP(A174,[2]PRIORIZADOS!$A:$E,5,FALSE)="","",VLOOKUP(A174,[2]PRIORIZADOS!$A:$E,5,FALSE)),"")</f>
        <v>EPBM</v>
      </c>
      <c r="F174" s="11" t="str">
        <f>IFERROR(IF(VLOOKUP(A174,[2]PRIORIZADOS!$A:$F,6,FALSE)="","",VLOOKUP(A174,[2]PRIORIZADOS!$A:$F,6,FALSE)),"")</f>
        <v>COLEGIO_SANTA_ROSA_DE_LIMA</v>
      </c>
      <c r="G174" s="11" t="str">
        <f>IFERROR(IF(VLOOKUP(A174,[2]PRIORIZADOS!$A:$G,7,FALSE)="","",VLOOKUP(A174,[2]PRIORIZADOS!$A:$G,7,FALSE)),"")</f>
        <v>COLEGIO_SANTA_ROSA_DE_LIMA</v>
      </c>
      <c r="H174" s="11" t="str">
        <f>IFERROR(IF(VLOOKUP(A174,[2]PRIORIZADOS!$A:$H,8,FALSE)="","",VLOOKUP(A174,[2]PRIORIZADOS!$A:$H,8,FALSE)),"")</f>
        <v>Autoevaluación Institucional y Pruebas SABER 11</v>
      </c>
      <c r="I174" s="11" t="str">
        <f>IFERROR(IF(VLOOKUP(A174,[2]PRIORIZADOS!$A:$I,9,FALSE)="","",VLOOKUP(A174,[2]PRIORIZADOS!$A:$I,9,FALSE)),"")</f>
        <v>SEGUIMIENTO_Y_SUPERVISIÓN.</v>
      </c>
      <c r="J174" s="11" t="str">
        <f>IFERROR(IF(VLOOKUP(A174,[2]PRIORIZADOS!$A:$J,10,FALSE)="","",VLOOKUP(A174,[2]PRIORIZADOS!$A:$J,10,FALSE)),"")</f>
        <v xml:space="preserve">Verificar la implementación por parte de los colegios, de acciones realizadas para la prevención y atención de las situaciones de convivencia en el entorno escolar, según lo establecido en la Directiva 01 de 2022 del MEN. </v>
      </c>
      <c r="K174" s="11" t="str">
        <f>IFERROR(IF(VLOOKUP(A174,[2]PRIORIZADOS!$A:$K,11,FALSE)="","",VLOOKUP(A174,[2]PRIORIZADOS!$A:$K,11,FALSE)),"")</f>
        <v xml:space="preserve">ALBERTO MIGUEL PEÑA </v>
      </c>
      <c r="L174" s="11" t="str">
        <f>IFERROR(IF(VLOOKUP(A174,[2]PRIORIZADOS!$A:$L,12,FALSE)="","",VLOOKUP(A174,[2]PRIORIZADOS!$A:$L,12,FALSE)),"")</f>
        <v>DORIS YOLANDA LÓPEZ ARÉVALO</v>
      </c>
      <c r="M174" s="88">
        <f>IFERROR(IF(VLOOKUP(A174,[2]PRIORIZADOS!$A:$M,13,FALSE)="","",VLOOKUP(A174,[2]PRIORIZADOS!$A:$M,13,FALSE)),"")</f>
        <v>45756</v>
      </c>
      <c r="N174" s="71" t="str">
        <f>IFERROR(IF(VLOOKUP(A174,[2]PRIORIZADOS!$A:$N,14,FALSE)="","",VLOOKUP(A174,[2]PRIORIZADOS!$A:$N,14,FALSE)),"")</f>
        <v>29/04/2025</v>
      </c>
      <c r="O174" s="71" t="str">
        <f>IFERROR(IF(VLOOKUP(A174,[2]PRIORIZADOS!$A:$O,15,FALSE)="","",VLOOKUP(A174,[2]PRIORIZADOS!$A:$O,15,FALSE)),"")</f>
        <v>29/04/2025</v>
      </c>
      <c r="P174" s="11" t="str">
        <f>IFERROR(IF(VLOOKUP(A174,[2]PRIORIZADOS!$A:$P,16,FALSE)="","",VLOOKUP(A174,[2]PRIORIZADOS!$A:$P,16,FALSE)),"")</f>
        <v>Visita con fines de Inspección y Vigilancia</v>
      </c>
      <c r="Q174" s="119" t="s">
        <v>49</v>
      </c>
      <c r="R174" s="11" t="str">
        <f>IFERROR(IF(VLOOKUP(A174,[2]PRIORIZADOS!$A:$R,18,FALSE)="","",VLOOKUP(A174,[2]PRIORIZADOS!$A:$R,18,FALSE)),"")</f>
        <v>Se recibieron y revisaron las hojas de vida de los docentes que hacen parte de la institución educativa y no se encuentra la revisión de antecedentes sexuales del personal que conforma el establecimiento educativo.</v>
      </c>
      <c r="S174" s="11" t="str">
        <f>IFERROR(IF(VLOOKUP(A174,[2]PRIORIZADOS!$A:$S,19,FALSE)="","",VLOOKUP(A174,[2]PRIORIZADOS!$A:$S,19,FALSE)),"")</f>
        <v>Se solicita revisar los antecedentes de conformidad con la Directiva 001 de 2022</v>
      </c>
      <c r="T174" s="70" t="str">
        <f>IFERROR(IF(VLOOKUP(A174,[2]PRIORIZADOS!$A:$T,20,FALSE)="","",VLOOKUP(A174,[2]PRIORIZADOS!$A:$T,20,FALSE)),"")</f>
        <v>Si</v>
      </c>
      <c r="U174" s="11" t="str">
        <f>IFERROR(IF(VLOOKUP(A174,[2]PRIORIZADOS!$A:$U,21,FALSE)="","",VLOOKUP(A174,[2]PRIORIZADOS!$A:$U,21,FALSE)),"")</f>
        <v>IE remitirá el Plan de Mejoramiento para el próximo 13 de junio 2025.</v>
      </c>
    </row>
    <row r="175" spans="1:21" s="1" customFormat="1" ht="72">
      <c r="A175" s="69">
        <f>IF([2]PRIORIZADOS!A55="","",[2]PRIORIZADOS!A55)</f>
        <v>179</v>
      </c>
      <c r="B175" s="87">
        <f>IFERROR(IF(VLOOKUP(A175,[2]PRIORIZADOS!$A:$B,2,FALSE)="","",VLOOKUP(A175,[2]PRIORIZADOS!$A:$B,2,FALSE)),"")</f>
        <v>6</v>
      </c>
      <c r="C175" s="11" t="str">
        <f>IFERROR(IF(VLOOKUP(A175,[2]PRIORIZADOS!$A:$C,3,FALSE)="","",VLOOKUP(A175,[2]PRIORIZADOS!$A:$C,3,FALSE)),"")</f>
        <v xml:space="preserve">BARRIOS UNIDOS </v>
      </c>
      <c r="D175" s="69" t="str">
        <f>IFERROR(IF(VLOOKUP(A175,[2]PRIORIZADOS!$A:$D,4,FALSE)="","",VLOOKUP(A175,[2]PRIORIZADOS!$A:$D,4,FALSE)),"")</f>
        <v>PRIVADO</v>
      </c>
      <c r="E175" s="69" t="str">
        <f>IFERROR(IF(VLOOKUP(A175,[2]PRIORIZADOS!$A:$E,5,FALSE)="","",VLOOKUP(A175,[2]PRIORIZADOS!$A:$E,5,FALSE)),"")</f>
        <v>EPBM</v>
      </c>
      <c r="F175" s="11" t="str">
        <f>IFERROR(IF(VLOOKUP(A175,[2]PRIORIZADOS!$A:$F,6,FALSE)="","",VLOOKUP(A175,[2]PRIORIZADOS!$A:$F,6,FALSE)),"")</f>
        <v>COLEGIO_SANTA_ROSA_DE_LIMA</v>
      </c>
      <c r="G175" s="11" t="str">
        <f>IFERROR(IF(VLOOKUP(A175,[2]PRIORIZADOS!$A:$G,7,FALSE)="","",VLOOKUP(A175,[2]PRIORIZADOS!$A:$G,7,FALSE)),"")</f>
        <v>COLEGIO_SANTA_ROSA_DE_LIMA</v>
      </c>
      <c r="H175" s="11" t="str">
        <f>IFERROR(IF(VLOOKUP(A175,[2]PRIORIZADOS!$A:$H,8,FALSE)="","",VLOOKUP(A175,[2]PRIORIZADOS!$A:$H,8,FALSE)),"")</f>
        <v>Autoevaluación Institucional y Pruebas SABER 11</v>
      </c>
      <c r="I175" s="11" t="str">
        <f>IFERROR(IF(VLOOKUP(A175,[2]PRIORIZADOS!$A:$I,9,FALSE)="","",VLOOKUP(A175,[2]PRIORIZADOS!$A:$I,9,FALSE)),"")</f>
        <v>SEGUIMIENTO_Y_SUPERVISIÓN.</v>
      </c>
      <c r="J175" s="11" t="str">
        <f>IFERROR(IF(VLOOKUP(A175,[2]PRIORIZADOS!$A:$J,10,FALSE)="","",VLOOKUP(A175,[2]PRIORIZADOS!$A:$J,10,FALSE)),"")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5" s="11" t="str">
        <f>IFERROR(IF(VLOOKUP(A175,[2]PRIORIZADOS!$A:$K,11,FALSE)="","",VLOOKUP(A175,[2]PRIORIZADOS!$A:$K,11,FALSE)),"")</f>
        <v xml:space="preserve">ALBERTO MIGUEL PEÑA </v>
      </c>
      <c r="L175" s="11" t="str">
        <f>IFERROR(IF(VLOOKUP(A175,[2]PRIORIZADOS!$A:$L,12,FALSE)="","",VLOOKUP(A175,[2]PRIORIZADOS!$A:$L,12,FALSE)),"")</f>
        <v>DORIS YOLANDA LÓPEZ ARÉVALO</v>
      </c>
      <c r="M175" s="88">
        <f>IFERROR(IF(VLOOKUP(A175,[2]PRIORIZADOS!$A:$M,13,FALSE)="","",VLOOKUP(A175,[2]PRIORIZADOS!$A:$M,13,FALSE)),"")</f>
        <v>45756</v>
      </c>
      <c r="N175" s="71" t="str">
        <f>IFERROR(IF(VLOOKUP(A175,[2]PRIORIZADOS!$A:$N,14,FALSE)="","",VLOOKUP(A175,[2]PRIORIZADOS!$A:$N,14,FALSE)),"")</f>
        <v>29/04/2025</v>
      </c>
      <c r="O175" s="71" t="str">
        <f>IFERROR(IF(VLOOKUP(A175,[2]PRIORIZADOS!$A:$O,15,FALSE)="","",VLOOKUP(A175,[2]PRIORIZADOS!$A:$O,15,FALSE)),"")</f>
        <v>29/04/2025</v>
      </c>
      <c r="P175" s="11" t="str">
        <f>IFERROR(IF(VLOOKUP(A175,[2]PRIORIZADOS!$A:$P,16,FALSE)="","",VLOOKUP(A175,[2]PRIORIZADOS!$A:$P,16,FALSE)),"")</f>
        <v>Visita con fines de Inspección y Vigilancia</v>
      </c>
      <c r="Q175" s="119" t="s">
        <v>49</v>
      </c>
      <c r="R175" s="11" t="str">
        <f>IFERROR(IF(VLOOKUP(A175,[2]PRIORIZADOS!$A:$R,18,FALSE)="","",VLOOKUP(A175,[2]PRIORIZADOS!$A:$R,18,FALSE)),"")</f>
        <v>Se revisaron los documentos PIAR de los 12 estudiantes de inclusión  que tiene la institución. Se revisa la marcación en SIMAT y está acorde a los diagnósticos de los estudiantes.</v>
      </c>
      <c r="S175" s="11" t="str">
        <f>IFERROR(IF(VLOOKUP(A175,[2]PRIORIZADOS!$A:$S,19,FALSE)="","",VLOOKUP(A175,[2]PRIORIZADOS!$A:$S,19,FALSE)),"")</f>
        <v xml:space="preserve"> Continuar con la gestión realizada.</v>
      </c>
      <c r="T175" s="70" t="str">
        <f>IFERROR(IF(VLOOKUP(A175,[2]PRIORIZADOS!$A:$T,20,FALSE)="","",VLOOKUP(A175,[2]PRIORIZADOS!$A:$T,20,FALSE)),"")</f>
        <v>Si</v>
      </c>
      <c r="U175" s="11" t="str">
        <f>IFERROR(IF(VLOOKUP(A175,[2]PRIORIZADOS!$A:$U,21,FALSE)="","",VLOOKUP(A175,[2]PRIORIZADOS!$A:$U,21,FALSE)),"")</f>
        <v>De presentarse una queja con alguno de los estudiantes de inclusión se entrará a revisar la situación.</v>
      </c>
    </row>
    <row r="176" spans="1:21" s="1" customFormat="1" ht="84">
      <c r="A176" s="69">
        <f>IF([2]PRIORIZADOS!A56="","",[2]PRIORIZADOS!A56)</f>
        <v>180</v>
      </c>
      <c r="B176" s="87">
        <f>IFERROR(IF(VLOOKUP(A176,[2]PRIORIZADOS!$A:$B,2,FALSE)="","",VLOOKUP(A176,[2]PRIORIZADOS!$A:$B,2,FALSE)),"")</f>
        <v>6</v>
      </c>
      <c r="C176" s="11" t="str">
        <f>IFERROR(IF(VLOOKUP(A176,[2]PRIORIZADOS!$A:$C,3,FALSE)="","",VLOOKUP(A176,[2]PRIORIZADOS!$A:$C,3,FALSE)),"")</f>
        <v xml:space="preserve">BARRIOS UNIDOS </v>
      </c>
      <c r="D176" s="69" t="str">
        <f>IFERROR(IF(VLOOKUP(A176,[2]PRIORIZADOS!$A:$D,4,FALSE)="","",VLOOKUP(A176,[2]PRIORIZADOS!$A:$D,4,FALSE)),"")</f>
        <v>PRIVADO</v>
      </c>
      <c r="E176" s="69" t="str">
        <f>IFERROR(IF(VLOOKUP(A176,[2]PRIORIZADOS!$A:$E,5,FALSE)="","",VLOOKUP(A176,[2]PRIORIZADOS!$A:$E,5,FALSE)),"")</f>
        <v>EPBM</v>
      </c>
      <c r="F176" s="11" t="str">
        <f>IFERROR(IF(VLOOKUP(A176,[2]PRIORIZADOS!$A:$F,6,FALSE)="","",VLOOKUP(A176,[2]PRIORIZADOS!$A:$F,6,FALSE)),"")</f>
        <v>COLEGIO_SANTA_ROSA_DE_LIMA</v>
      </c>
      <c r="G176" s="11" t="str">
        <f>IFERROR(IF(VLOOKUP(A176,[2]PRIORIZADOS!$A:$G,7,FALSE)="","",VLOOKUP(A176,[2]PRIORIZADOS!$A:$G,7,FALSE)),"")</f>
        <v>COLEGIO_SANTA_ROSA_DE_LIMA</v>
      </c>
      <c r="H176" s="11" t="str">
        <f>IFERROR(IF(VLOOKUP(A176,[2]PRIORIZADOS!$A:$H,8,FALSE)="","",VLOOKUP(A176,[2]PRIORIZADOS!$A:$H,8,FALSE)),"")</f>
        <v>Autoevaluación Institucional y Pruebas SABER 11</v>
      </c>
      <c r="I176" s="11" t="str">
        <f>IFERROR(IF(VLOOKUP(A176,[2]PRIORIZADOS!$A:$I,9,FALSE)="","",VLOOKUP(A176,[2]PRIORIZADOS!$A:$I,9,FALSE)),"")</f>
        <v>EVALUACIÓN_CON_FINES_DE_MEJORAMIENTO.</v>
      </c>
      <c r="J176" s="11" t="str">
        <f>IFERROR(IF(VLOOKUP(A176,[2]PRIORIZADOS!$A:$J,10,FALSE)="","",VLOOKUP(A176,[2]PRIORIZADOS!$A:$J,10,FALSE)),"")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6" s="11" t="str">
        <f>IFERROR(IF(VLOOKUP(A176,[2]PRIORIZADOS!$A:$K,11,FALSE)="","",VLOOKUP(A176,[2]PRIORIZADOS!$A:$K,11,FALSE)),"")</f>
        <v xml:space="preserve">ALBERTO MIGUEL PEÑA </v>
      </c>
      <c r="L176" s="11" t="str">
        <f>IFERROR(IF(VLOOKUP(A176,[2]PRIORIZADOS!$A:$L,12,FALSE)="","",VLOOKUP(A176,[2]PRIORIZADOS!$A:$L,12,FALSE)),"")</f>
        <v>DORIS YOLANDA LÓPEZ ARÉVALO</v>
      </c>
      <c r="M176" s="88">
        <f>IFERROR(IF(VLOOKUP(A176,[2]PRIORIZADOS!$A:$M,13,FALSE)="","",VLOOKUP(A176,[2]PRIORIZADOS!$A:$M,13,FALSE)),"")</f>
        <v>45756</v>
      </c>
      <c r="N176" s="71" t="str">
        <f>IFERROR(IF(VLOOKUP(A176,[2]PRIORIZADOS!$A:$N,14,FALSE)="","",VLOOKUP(A176,[2]PRIORIZADOS!$A:$N,14,FALSE)),"")</f>
        <v>29/04/2025</v>
      </c>
      <c r="O176" s="71" t="str">
        <f>IFERROR(IF(VLOOKUP(A176,[2]PRIORIZADOS!$A:$O,15,FALSE)="","",VLOOKUP(A176,[2]PRIORIZADOS!$A:$O,15,FALSE)),"")</f>
        <v>29/04/2025</v>
      </c>
      <c r="P176" s="11" t="str">
        <f>IFERROR(IF(VLOOKUP(A176,[2]PRIORIZADOS!$A:$P,16,FALSE)="","",VLOOKUP(A176,[2]PRIORIZADOS!$A:$P,16,FALSE)),"")</f>
        <v>Visita con fines de Inspección y Vigilancia</v>
      </c>
      <c r="Q176" s="119" t="s">
        <v>49</v>
      </c>
      <c r="R176" s="11" t="str">
        <f>IFERROR(IF(VLOOKUP(A176,[2]PRIORIZADOS!$A:$R,18,FALSE)="","",VLOOKUP(A176,[2]PRIORIZADOS!$A:$R,18,FALSE)),"")</f>
        <v>Se revisó el Manual actualizado para la presente vigencia y contenía las estrategias y mecanismo para la resolución de conflictos.</v>
      </c>
      <c r="S176" s="11" t="str">
        <f>IFERROR(IF(VLOOKUP(A176,[2]PRIORIZADOS!$A:$S,19,FALSE)="","",VLOOKUP(A176,[2]PRIORIZADOS!$A:$S,19,FALSE)),"")</f>
        <v>Continuar con la implementación de manual de convivencia en el entorno escolar y su comunidad educativa. Se recomienda que la ID actualice su Manual según las situaciones de convivencia presentadas.</v>
      </c>
      <c r="T176" s="70" t="str">
        <f>IFERROR(IF(VLOOKUP(A176,[2]PRIORIZADOS!$A:$T,20,FALSE)="","",VLOOKUP(A176,[2]PRIORIZADOS!$A:$T,20,FALSE)),"")</f>
        <v>No</v>
      </c>
      <c r="U176" s="11" t="str">
        <f>IFERROR(IF(VLOOKUP(A176,[2]PRIORIZADOS!$A:$U,21,FALSE)="","",VLOOKUP(A176,[2]PRIORIZADOS!$A:$U,21,FALSE)),"")</f>
        <v>De presentarse una queja se entra a revisar.</v>
      </c>
    </row>
    <row r="177" spans="1:21" s="1" customFormat="1" ht="48">
      <c r="A177" s="69">
        <f>IF([2]PRIORIZADOS!A57="","",[2]PRIORIZADOS!A57)</f>
        <v>181</v>
      </c>
      <c r="B177" s="87">
        <f>IFERROR(IF(VLOOKUP(A177,[2]PRIORIZADOS!$A:$B,2,FALSE)="","",VLOOKUP(A177,[2]PRIORIZADOS!$A:$B,2,FALSE)),"")</f>
        <v>6</v>
      </c>
      <c r="C177" s="11" t="str">
        <f>IFERROR(IF(VLOOKUP(A177,[2]PRIORIZADOS!$A:$C,3,FALSE)="","",VLOOKUP(A177,[2]PRIORIZADOS!$A:$C,3,FALSE)),"")</f>
        <v xml:space="preserve">BARRIOS UNIDOS </v>
      </c>
      <c r="D177" s="69" t="str">
        <f>IFERROR(IF(VLOOKUP(A177,[2]PRIORIZADOS!$A:$D,4,FALSE)="","",VLOOKUP(A177,[2]PRIORIZADOS!$A:$D,4,FALSE)),"")</f>
        <v>PRIVADO</v>
      </c>
      <c r="E177" s="69" t="str">
        <f>IFERROR(IF(VLOOKUP(A177,[2]PRIORIZADOS!$A:$E,5,FALSE)="","",VLOOKUP(A177,[2]PRIORIZADOS!$A:$E,5,FALSE)),"")</f>
        <v>EPBM</v>
      </c>
      <c r="F177" s="11" t="str">
        <f>IFERROR(IF(VLOOKUP(A177,[2]PRIORIZADOS!$A:$F,6,FALSE)="","",VLOOKUP(A177,[2]PRIORIZADOS!$A:$F,6,FALSE)),"")</f>
        <v>COLEGIO_SANTA_ROSA_DE_LIMA</v>
      </c>
      <c r="G177" s="11" t="str">
        <f>IFERROR(IF(VLOOKUP(A177,[2]PRIORIZADOS!$A:$G,7,FALSE)="","",VLOOKUP(A177,[2]PRIORIZADOS!$A:$G,7,FALSE)),"")</f>
        <v>COLEGIO_SANTA_ROSA_DE_LIMA</v>
      </c>
      <c r="H177" s="11" t="str">
        <f>IFERROR(IF(VLOOKUP(A177,[2]PRIORIZADOS!$A:$H,8,FALSE)="","",VLOOKUP(A177,[2]PRIORIZADOS!$A:$H,8,FALSE)),"")</f>
        <v>Autoevaluación Institucional y Pruebas SABER 11</v>
      </c>
      <c r="I177" s="11" t="str">
        <f>IFERROR(IF(VLOOKUP(A177,[2]PRIORIZADOS!$A:$I,9,FALSE)="","",VLOOKUP(A177,[2]PRIORIZADOS!$A:$I,9,FALSE)),"")</f>
        <v>EVALUACIÓN_CON_FINES_DE_MEJORAMIENTO.</v>
      </c>
      <c r="J177" s="11" t="str">
        <f>IFERROR(IF(VLOOKUP(A177,[2]PRIORIZADOS!$A:$J,10,FALSE)="","",VLOOKUP(A177,[2]PRIORIZADOS!$A:$J,10,FALSE)),"")</f>
        <v>Revisar la actualización, socialización e implementación del Sistema Institucional de Evaluación de Estudiantes - SIEE, en articulación con la actualización del PEI y la normatividad vigente.</v>
      </c>
      <c r="K177" s="11" t="str">
        <f>IFERROR(IF(VLOOKUP(A177,[2]PRIORIZADOS!$A:$K,11,FALSE)="","",VLOOKUP(A177,[2]PRIORIZADOS!$A:$K,11,FALSE)),"")</f>
        <v xml:space="preserve">ALBERTO MIGUEL PEÑA </v>
      </c>
      <c r="L177" s="11" t="str">
        <f>IFERROR(IF(VLOOKUP(A177,[2]PRIORIZADOS!$A:$L,12,FALSE)="","",VLOOKUP(A177,[2]PRIORIZADOS!$A:$L,12,FALSE)),"")</f>
        <v>DORIS YOLANDA LÓPEZ ARÉVALO</v>
      </c>
      <c r="M177" s="88">
        <f>IFERROR(IF(VLOOKUP(A177,[2]PRIORIZADOS!$A:$M,13,FALSE)="","",VLOOKUP(A177,[2]PRIORIZADOS!$A:$M,13,FALSE)),"")</f>
        <v>45756</v>
      </c>
      <c r="N177" s="71" t="str">
        <f>IFERROR(IF(VLOOKUP(A177,[2]PRIORIZADOS!$A:$N,14,FALSE)="","",VLOOKUP(A177,[2]PRIORIZADOS!$A:$N,14,FALSE)),"")</f>
        <v>29/04/2025</v>
      </c>
      <c r="O177" s="71" t="str">
        <f>IFERROR(IF(VLOOKUP(A177,[2]PRIORIZADOS!$A:$O,15,FALSE)="","",VLOOKUP(A177,[2]PRIORIZADOS!$A:$O,15,FALSE)),"")</f>
        <v>29/04/2025</v>
      </c>
      <c r="P177" s="11" t="str">
        <f>IFERROR(IF(VLOOKUP(A177,[2]PRIORIZADOS!$A:$P,16,FALSE)="","",VLOOKUP(A177,[2]PRIORIZADOS!$A:$P,16,FALSE)),"")</f>
        <v>Visita con fines de Inspección y Vigilancia</v>
      </c>
      <c r="Q177" s="119" t="s">
        <v>49</v>
      </c>
      <c r="R177" s="11" t="str">
        <f>IFERROR(IF(VLOOKUP(A177,[2]PRIORIZADOS!$A:$R,18,FALSE)="","",VLOOKUP(A177,[2]PRIORIZADOS!$A:$R,18,FALSE)),"")</f>
        <v>Se evidenció que SIEE contiene las estrategias de apoyo para las diferentes situaciones de la gestión pedagógica de los estudiantes.</v>
      </c>
      <c r="S177" s="11" t="str">
        <f>IFERROR(IF(VLOOKUP(A177,[2]PRIORIZADOS!$A:$S,19,FALSE)="","",VLOOKUP(A177,[2]PRIORIZADOS!$A:$S,19,FALSE)),"")</f>
        <v>Continuar con la implementación de SIEE y se recomienda que la institución actualice su SIEE según las situaciones presentadas.</v>
      </c>
      <c r="T177" s="70" t="str">
        <f>IFERROR(IF(VLOOKUP(A177,[2]PRIORIZADOS!$A:$T,20,FALSE)="","",VLOOKUP(A177,[2]PRIORIZADOS!$A:$T,20,FALSE)),"")</f>
        <v>No</v>
      </c>
      <c r="U177" s="11" t="str">
        <f>IFERROR(IF(VLOOKUP(A177,[2]PRIORIZADOS!$A:$U,21,FALSE)="","",VLOOKUP(A177,[2]PRIORIZADOS!$A:$U,21,FALSE)),"")</f>
        <v>De presentarse una queja se entra a revisar.</v>
      </c>
    </row>
    <row r="178" spans="1:21" s="1" customFormat="1" ht="48">
      <c r="A178" s="69">
        <f>IF([2]PRIORIZADOS!A58="","",[2]PRIORIZADOS!A58)</f>
        <v>182</v>
      </c>
      <c r="B178" s="87">
        <f>IFERROR(IF(VLOOKUP(A178,[2]PRIORIZADOS!$A:$B,2,FALSE)="","",VLOOKUP(A178,[2]PRIORIZADOS!$A:$B,2,FALSE)),"")</f>
        <v>6</v>
      </c>
      <c r="C178" s="11" t="str">
        <f>IFERROR(IF(VLOOKUP(A178,[2]PRIORIZADOS!$A:$C,3,FALSE)="","",VLOOKUP(A178,[2]PRIORIZADOS!$A:$C,3,FALSE)),"")</f>
        <v xml:space="preserve">BARRIOS UNIDOS </v>
      </c>
      <c r="D178" s="69" t="str">
        <f>IFERROR(IF(VLOOKUP(A178,[2]PRIORIZADOS!$A:$D,4,FALSE)="","",VLOOKUP(A178,[2]PRIORIZADOS!$A:$D,4,FALSE)),"")</f>
        <v>PRIVADO</v>
      </c>
      <c r="E178" s="69" t="str">
        <f>IFERROR(IF(VLOOKUP(A178,[2]PRIORIZADOS!$A:$E,5,FALSE)="","",VLOOKUP(A178,[2]PRIORIZADOS!$A:$E,5,FALSE)),"")</f>
        <v>EPBM</v>
      </c>
      <c r="F178" s="11" t="str">
        <f>IFERROR(IF(VLOOKUP(A178,[2]PRIORIZADOS!$A:$F,6,FALSE)="","",VLOOKUP(A178,[2]PRIORIZADOS!$A:$F,6,FALSE)),"")</f>
        <v>COLEGIO_SANTA_ROSA_DE_LIMA</v>
      </c>
      <c r="G178" s="11" t="str">
        <f>IFERROR(IF(VLOOKUP(A178,[2]PRIORIZADOS!$A:$G,7,FALSE)="","",VLOOKUP(A178,[2]PRIORIZADOS!$A:$G,7,FALSE)),"")</f>
        <v>COLEGIO_SANTA_ROSA_DE_LIMA</v>
      </c>
      <c r="H178" s="11" t="str">
        <f>IFERROR(IF(VLOOKUP(A178,[2]PRIORIZADOS!$A:$H,8,FALSE)="","",VLOOKUP(A178,[2]PRIORIZADOS!$A:$H,8,FALSE)),"")</f>
        <v>Autoevaluación Institucional y Pruebas SABER 11</v>
      </c>
      <c r="I178" s="11" t="str">
        <f>IFERROR(IF(VLOOKUP(A178,[2]PRIORIZADOS!$A:$I,9,FALSE)="","",VLOOKUP(A178,[2]PRIORIZADOS!$A:$I,9,FALSE)),"")</f>
        <v>EVALUACIÓN_CON_FINES_DE_MEJORAMIENTO.</v>
      </c>
      <c r="J178" s="11" t="str">
        <f>IFERROR(IF(VLOOKUP(A178,[2]PRIORIZADOS!$A:$J,10,FALSE)="","",VLOOKUP(A178,[2]PRIORIZADOS!$A:$J,10,FALSE)),"")</f>
        <v>Revisar el calendario escolar, jornada escolar, la intensidad horaria mínima anual en cada nivel y las modificaciones que se realicen al mismo, de acuerdo con lo previsto en la normatividad vigente.</v>
      </c>
      <c r="K178" s="11" t="str">
        <f>IFERROR(IF(VLOOKUP(A178,[2]PRIORIZADOS!$A:$K,11,FALSE)="","",VLOOKUP(A178,[2]PRIORIZADOS!$A:$K,11,FALSE)),"")</f>
        <v xml:space="preserve">ALBERTO MIGUEL PEÑA </v>
      </c>
      <c r="L178" s="11" t="str">
        <f>IFERROR(IF(VLOOKUP(A178,[2]PRIORIZADOS!$A:$L,12,FALSE)="","",VLOOKUP(A178,[2]PRIORIZADOS!$A:$L,12,FALSE)),"")</f>
        <v>DORIS YOLANDA LÓPEZ ARÉVALO</v>
      </c>
      <c r="M178" s="88">
        <f>IFERROR(IF(VLOOKUP(A178,[2]PRIORIZADOS!$A:$M,13,FALSE)="","",VLOOKUP(A178,[2]PRIORIZADOS!$A:$M,13,FALSE)),"")</f>
        <v>45756</v>
      </c>
      <c r="N178" s="71" t="str">
        <f>IFERROR(IF(VLOOKUP(A178,[2]PRIORIZADOS!$A:$N,14,FALSE)="","",VLOOKUP(A178,[2]PRIORIZADOS!$A:$N,14,FALSE)),"")</f>
        <v>29/04/2025</v>
      </c>
      <c r="O178" s="71" t="str">
        <f>IFERROR(IF(VLOOKUP(A178,[2]PRIORIZADOS!$A:$O,15,FALSE)="","",VLOOKUP(A178,[2]PRIORIZADOS!$A:$O,15,FALSE)),"")</f>
        <v>29/04/2025</v>
      </c>
      <c r="P178" s="11" t="str">
        <f>IFERROR(IF(VLOOKUP(A178,[2]PRIORIZADOS!$A:$P,16,FALSE)="","",VLOOKUP(A178,[2]PRIORIZADOS!$A:$P,16,FALSE)),"")</f>
        <v>Visita con fines de Inspección y Vigilancia</v>
      </c>
      <c r="Q178" s="119" t="s">
        <v>49</v>
      </c>
      <c r="R178" s="11" t="str">
        <f>IFERROR(IF(VLOOKUP(A178,[2]PRIORIZADOS!$A:$R,18,FALSE)="","",VLOOKUP(A178,[2]PRIORIZADOS!$A:$R,18,FALSE)),"")</f>
        <v xml:space="preserve">Se evidenció el calendario académico 2025 cumpliendo con la intensidad horaria normada para los CLEI I al VI </v>
      </c>
      <c r="S178" s="11" t="str">
        <f>IFERROR(IF(VLOOKUP(A178,[2]PRIORIZADOS!$A:$S,19,FALSE)="","",VLOOKUP(A178,[2]PRIORIZADOS!$A:$S,19,FALSE)),"")</f>
        <v>Continuar con la implementación de calendario escolar de acuerdo con las intensidades y las semanas de desarrollo académico.</v>
      </c>
      <c r="T178" s="70" t="str">
        <f>IFERROR(IF(VLOOKUP(A178,[2]PRIORIZADOS!$A:$T,20,FALSE)="","",VLOOKUP(A178,[2]PRIORIZADOS!$A:$T,20,FALSE)),"")</f>
        <v>No</v>
      </c>
      <c r="U178" s="11" t="str">
        <f>IFERROR(IF(VLOOKUP(A178,[2]PRIORIZADOS!$A:$U,21,FALSE)="","",VLOOKUP(A178,[2]PRIORIZADOS!$A:$U,21,FALSE)),"")</f>
        <v>De presentarse una queja se entra a revisar.</v>
      </c>
    </row>
    <row r="179" spans="1:21" s="1" customFormat="1" ht="48">
      <c r="A179" s="69">
        <f>IF([2]PRIORIZADOS!A59="","",[2]PRIORIZADOS!A59)</f>
        <v>183</v>
      </c>
      <c r="B179" s="87">
        <f>IFERROR(IF(VLOOKUP(A179,[2]PRIORIZADOS!$A:$B,2,FALSE)="","",VLOOKUP(A179,[2]PRIORIZADOS!$A:$B,2,FALSE)),"")</f>
        <v>6</v>
      </c>
      <c r="C179" s="11" t="str">
        <f>IFERROR(IF(VLOOKUP(A179,[2]PRIORIZADOS!$A:$C,3,FALSE)="","",VLOOKUP(A179,[2]PRIORIZADOS!$A:$C,3,FALSE)),"")</f>
        <v xml:space="preserve">BARRIOS UNIDOS </v>
      </c>
      <c r="D179" s="69" t="str">
        <f>IFERROR(IF(VLOOKUP(A179,[2]PRIORIZADOS!$A:$D,4,FALSE)="","",VLOOKUP(A179,[2]PRIORIZADOS!$A:$D,4,FALSE)),"")</f>
        <v>PRIVADO</v>
      </c>
      <c r="E179" s="69" t="str">
        <f>IFERROR(IF(VLOOKUP(A179,[2]PRIORIZADOS!$A:$E,5,FALSE)="","",VLOOKUP(A179,[2]PRIORIZADOS!$A:$E,5,FALSE)),"")</f>
        <v>EPBM</v>
      </c>
      <c r="F179" s="11" t="str">
        <f>IFERROR(IF(VLOOKUP(A179,[2]PRIORIZADOS!$A:$F,6,FALSE)="","",VLOOKUP(A179,[2]PRIORIZADOS!$A:$F,6,FALSE)),"")</f>
        <v>COLEGIO_SANTA_ROSA_DE_LIMA</v>
      </c>
      <c r="G179" s="11" t="str">
        <f>IFERROR(IF(VLOOKUP(A179,[2]PRIORIZADOS!$A:$G,7,FALSE)="","",VLOOKUP(A179,[2]PRIORIZADOS!$A:$G,7,FALSE)),"")</f>
        <v>COLEGIO_SANTA_ROSA_DE_LIMA</v>
      </c>
      <c r="H179" s="11" t="str">
        <f>IFERROR(IF(VLOOKUP(A179,[2]PRIORIZADOS!$A:$H,8,FALSE)="","",VLOOKUP(A179,[2]PRIORIZADOS!$A:$H,8,FALSE)),"")</f>
        <v>Autoevaluación Institucional y Pruebas SABER 11</v>
      </c>
      <c r="I179" s="11" t="str">
        <f>IFERROR(IF(VLOOKUP(A179,[2]PRIORIZADOS!$A:$I,9,FALSE)="","",VLOOKUP(A179,[2]PRIORIZADOS!$A:$I,9,FALSE)),"")</f>
        <v>EVALUACIÓN_CON_FINES_DE_MEJORAMIENTO.</v>
      </c>
      <c r="J179" s="11" t="str">
        <f>IFERROR(IF(VLOOKUP(A179,[2]PRIORIZADOS!$A:$J,10,FALSE)="","",VLOOKUP(A179,[2]PRIORIZADOS!$A:$J,10,FALSE)),"")</f>
        <v>Verificar el funcionamiento del Gobierno Escolar e instancias de participación con base en la información sobre conformación reportada por la institución educativa.</v>
      </c>
      <c r="K179" s="11" t="str">
        <f>IFERROR(IF(VLOOKUP(A179,[2]PRIORIZADOS!$A:$K,11,FALSE)="","",VLOOKUP(A179,[2]PRIORIZADOS!$A:$K,11,FALSE)),"")</f>
        <v xml:space="preserve">ALBERTO MIGUEL PEÑA </v>
      </c>
      <c r="L179" s="11" t="str">
        <f>IFERROR(IF(VLOOKUP(A179,[2]PRIORIZADOS!$A:$L,12,FALSE)="","",VLOOKUP(A179,[2]PRIORIZADOS!$A:$L,12,FALSE)),"")</f>
        <v>DORIS YOLANDA LÓPEZ ARÉVALO</v>
      </c>
      <c r="M179" s="88">
        <f>IFERROR(IF(VLOOKUP(A179,[2]PRIORIZADOS!$A:$M,13,FALSE)="","",VLOOKUP(A179,[2]PRIORIZADOS!$A:$M,13,FALSE)),"")</f>
        <v>45756</v>
      </c>
      <c r="N179" s="71" t="str">
        <f>IFERROR(IF(VLOOKUP(A179,[2]PRIORIZADOS!$A:$N,14,FALSE)="","",VLOOKUP(A179,[2]PRIORIZADOS!$A:$N,14,FALSE)),"")</f>
        <v>29/04/2025</v>
      </c>
      <c r="O179" s="71" t="str">
        <f>IFERROR(IF(VLOOKUP(A179,[2]PRIORIZADOS!$A:$O,15,FALSE)="","",VLOOKUP(A179,[2]PRIORIZADOS!$A:$O,15,FALSE)),"")</f>
        <v>29/04/2025</v>
      </c>
      <c r="P179" s="11" t="str">
        <f>IFERROR(IF(VLOOKUP(A179,[2]PRIORIZADOS!$A:$P,16,FALSE)="","",VLOOKUP(A179,[2]PRIORIZADOS!$A:$P,16,FALSE)),"")</f>
        <v>Visita con fines de Inspección y Vigilancia</v>
      </c>
      <c r="Q179" s="119" t="s">
        <v>49</v>
      </c>
      <c r="R179" s="11" t="str">
        <f>IFERROR(IF(VLOOKUP(A179,[2]PRIORIZADOS!$A:$R,18,FALSE)="","",VLOOKUP(A179,[2]PRIORIZADOS!$A:$R,18,FALSE)),"")</f>
        <v>Se evidenció soportes de la conformación y funcionamiento del gobierno escolar.</v>
      </c>
      <c r="S179" s="11" t="str">
        <f>IFERROR(IF(VLOOKUP(A179,[2]PRIORIZADOS!$A:$S,19,FALSE)="","",VLOOKUP(A179,[2]PRIORIZADOS!$A:$S,19,FALSE)),"")</f>
        <v>Continuar con la implementación de calendario escolar de acuerdo con las intensidades y las semanas de desarrollo académico.</v>
      </c>
      <c r="T179" s="70" t="str">
        <f>IFERROR(IF(VLOOKUP(A179,[2]PRIORIZADOS!$A:$T,20,FALSE)="","",VLOOKUP(A179,[2]PRIORIZADOS!$A:$T,20,FALSE)),"")</f>
        <v>No</v>
      </c>
      <c r="U179" s="11" t="str">
        <f>IFERROR(IF(VLOOKUP(A179,[2]PRIORIZADOS!$A:$U,21,FALSE)="","",VLOOKUP(A179,[2]PRIORIZADOS!$A:$U,21,FALSE)),"")</f>
        <v>De presentarse una queja se entra a revisar.</v>
      </c>
    </row>
    <row r="180" spans="1:21" s="1" customFormat="1" ht="178.5">
      <c r="A180" s="69">
        <f>IF([2]PRIORIZADOS!A60="","",[2]PRIORIZADOS!A60)</f>
        <v>184</v>
      </c>
      <c r="B180" s="87">
        <f>IFERROR(IF(VLOOKUP(A180,[2]PRIORIZADOS!$A:$B,2,FALSE)="","",VLOOKUP(A180,[2]PRIORIZADOS!$A:$B,2,FALSE)),"")</f>
        <v>6</v>
      </c>
      <c r="C180" s="11" t="str">
        <f>IFERROR(IF(VLOOKUP(A180,[2]PRIORIZADOS!$A:$C,3,FALSE)="","",VLOOKUP(A180,[2]PRIORIZADOS!$A:$C,3,FALSE)),"")</f>
        <v xml:space="preserve">BARRIOS UNIDOS </v>
      </c>
      <c r="D180" s="69" t="str">
        <f>IFERROR(IF(VLOOKUP(A180,[2]PRIORIZADOS!$A:$D,4,FALSE)="","",VLOOKUP(A180,[2]PRIORIZADOS!$A:$D,4,FALSE)),"")</f>
        <v>PRIVADO</v>
      </c>
      <c r="E180" s="69" t="str">
        <f>IFERROR(IF(VLOOKUP(A180,[2]PRIORIZADOS!$A:$E,5,FALSE)="","",VLOOKUP(A180,[2]PRIORIZADOS!$A:$E,5,FALSE)),"")</f>
        <v>EPBM</v>
      </c>
      <c r="F180" s="11" t="str">
        <f>IFERROR(IF(VLOOKUP(A180,[2]PRIORIZADOS!$A:$F,6,FALSE)="","",VLOOKUP(A180,[2]PRIORIZADOS!$A:$F,6,FALSE)),"")</f>
        <v>COLEGIO_SANTA_ROSA_DE_LIMA</v>
      </c>
      <c r="G180" s="11" t="str">
        <f>IFERROR(IF(VLOOKUP(A180,[2]PRIORIZADOS!$A:$G,7,FALSE)="","",VLOOKUP(A180,[2]PRIORIZADOS!$A:$G,7,FALSE)),"")</f>
        <v>COLEGIO_SANTA_ROSA_DE_LIMA</v>
      </c>
      <c r="H180" s="11" t="str">
        <f>IFERROR(IF(VLOOKUP(A180,[2]PRIORIZADOS!$A:$H,8,FALSE)="","",VLOOKUP(A180,[2]PRIORIZADOS!$A:$H,8,FALSE)),"")</f>
        <v>Autoevaluación Institucional y Pruebas SABER 11</v>
      </c>
      <c r="I180" s="11" t="str">
        <f>IFERROR(IF(VLOOKUP(A180,[2]PRIORIZADOS!$A:$I,9,FALSE)="","",VLOOKUP(A180,[2]PRIORIZADOS!$A:$I,9,FALSE)),"")</f>
        <v>EVALUACIÓN_CON_FINES_DE_MEJORAMIENTO.</v>
      </c>
      <c r="J180" s="11" t="str">
        <f>IFERROR(IF(VLOOKUP(A180,[2]PRIORIZADOS!$A:$J,10,FALSE)="","",VLOOKUP(A180,[2]PRIORIZADOS!$A:$J,10,FALSE)),"")</f>
        <v>Verificar las condiciones en cuanto a: la estructura administrativa, condiciones de la planta física y medios educativos adecuados.</v>
      </c>
      <c r="K180" s="11" t="str">
        <f>IFERROR(IF(VLOOKUP(A180,[2]PRIORIZADOS!$A:$K,11,FALSE)="","",VLOOKUP(A180,[2]PRIORIZADOS!$A:$K,11,FALSE)),"")</f>
        <v xml:space="preserve">ALBERTO MIGUEL PEÑA </v>
      </c>
      <c r="L180" s="11" t="str">
        <f>IFERROR(IF(VLOOKUP(A180,[2]PRIORIZADOS!$A:$L,12,FALSE)="","",VLOOKUP(A180,[2]PRIORIZADOS!$A:$L,12,FALSE)),"")</f>
        <v>DORIS YOLANDA LÓPEZ ARÉVALO</v>
      </c>
      <c r="M180" s="88">
        <f>IFERROR(IF(VLOOKUP(A180,[2]PRIORIZADOS!$A:$M,13,FALSE)="","",VLOOKUP(A180,[2]PRIORIZADOS!$A:$M,13,FALSE)),"")</f>
        <v>45756</v>
      </c>
      <c r="N180" s="71" t="str">
        <f>IFERROR(IF(VLOOKUP(A180,[2]PRIORIZADOS!$A:$N,14,FALSE)="","",VLOOKUP(A180,[2]PRIORIZADOS!$A:$N,14,FALSE)),"")</f>
        <v>29/04/2025</v>
      </c>
      <c r="O180" s="71" t="str">
        <f>IFERROR(IF(VLOOKUP(A180,[2]PRIORIZADOS!$A:$O,15,FALSE)="","",VLOOKUP(A180,[2]PRIORIZADOS!$A:$O,15,FALSE)),"")</f>
        <v>29/04/2025</v>
      </c>
      <c r="P180" s="11" t="str">
        <f>IFERROR(IF(VLOOKUP(A180,[2]PRIORIZADOS!$A:$P,16,FALSE)="","",VLOOKUP(A180,[2]PRIORIZADOS!$A:$P,16,FALSE)),"")</f>
        <v>Visita con fines de Inspección y Vigilancia</v>
      </c>
      <c r="Q180" s="119" t="s">
        <v>49</v>
      </c>
      <c r="R180" s="11" t="str">
        <f>IFERROR(IF(VLOOKUP(A180,[2]PRIORIZADOS!$A:$R,18,FALSE)="","",VLOOKUP(A180,[2]PRIORIZADOS!$A:$R,18,FALSE)),"")</f>
        <v>Se realizó el recorrido y se evidencia que es necesario: Colocar protectores de seguridad en las puertas de aulas y baños del área de preescolar para evitar accidentes, poner avisos de "riesgo eléctrico" en todas las cajas de luz con tacos, retirar los avisos que se encuentran relativos al COVID-19
reubicar plantas y materas que representan riesgos de caídas, que están en soportes inestables o cercanas a accesos o escaleras y colocar sanitario a tamaño en el baño de niñas de preescolar. Se evidenció el acopamiento de un espacio no autorizado.</v>
      </c>
      <c r="S180" s="11" t="str">
        <f>IFERROR(IF(VLOOKUP(A180,[2]PRIORIZADOS!$A:$S,19,FALSE)="","",VLOOKUP(A180,[2]PRIORIZADOS!$A:$S,19,FALSE)),"")</f>
        <v>Se solicita tener en cuenta las observaciones de la planta física y subsanarlas según cronograma que presenten en el plan de mejoramiento</v>
      </c>
      <c r="T180" s="70" t="str">
        <f>IFERROR(IF(VLOOKUP(A180,[2]PRIORIZADOS!$A:$T,20,FALSE)="","",VLOOKUP(A180,[2]PRIORIZADOS!$A:$T,20,FALSE)),"")</f>
        <v>Si</v>
      </c>
      <c r="U180" s="11" t="str">
        <f>IFERROR(IF(VLOOKUP(A180,[2]PRIORIZADOS!$A:$U,21,FALSE)="","",VLOOKUP(A180,[2]PRIORIZADOS!$A:$U,21,FALSE)),"")</f>
        <v>Cuando se realice la visita de seguimiento, se verificara los aspectos requeridos.</v>
      </c>
    </row>
    <row r="181" spans="1:21" s="1" customFormat="1" ht="48">
      <c r="A181" s="69">
        <f>IF([2]PRIORIZADOS!A61="","",[2]PRIORIZADOS!A61)</f>
        <v>185</v>
      </c>
      <c r="B181" s="87">
        <f>IFERROR(IF(VLOOKUP(A181,[2]PRIORIZADOS!$A:$B,2,FALSE)="","",VLOOKUP(A181,[2]PRIORIZADOS!$A:$B,2,FALSE)),"")</f>
        <v>7</v>
      </c>
      <c r="C181" s="11" t="str">
        <f>IFERROR(IF(VLOOKUP(A181,[2]PRIORIZADOS!$A:$C,3,FALSE)="","",VLOOKUP(A181,[2]PRIORIZADOS!$A:$C,3,FALSE)),"")</f>
        <v xml:space="preserve">BARRIOS UNIDOS </v>
      </c>
      <c r="D181" s="69" t="str">
        <f>IFERROR(IF(VLOOKUP(A181,[2]PRIORIZADOS!$A:$D,4,FALSE)="","",VLOOKUP(A181,[2]PRIORIZADOS!$A:$D,4,FALSE)),"")</f>
        <v>PRIVADO</v>
      </c>
      <c r="E181" s="69" t="str">
        <f>IFERROR(IF(VLOOKUP(A181,[2]PRIORIZADOS!$A:$E,5,FALSE)="","",VLOOKUP(A181,[2]PRIORIZADOS!$A:$E,5,FALSE)),"")</f>
        <v>EPBM</v>
      </c>
      <c r="F181" s="11" t="str">
        <f>IFERROR(IF(VLOOKUP(A181,[2]PRIORIZADOS!$A:$F,6,FALSE)="","",VLOOKUP(A181,[2]PRIORIZADOS!$A:$F,6,FALSE)),"")</f>
        <v>COLEGIO_MONSERRATE</v>
      </c>
      <c r="G181" s="11" t="str">
        <f>IFERROR(IF(VLOOKUP(A181,[2]PRIORIZADOS!$A:$G,7,FALSE)="","",VLOOKUP(A181,[2]PRIORIZADOS!$A:$G,7,FALSE)),"")</f>
        <v>COLEGIO_MONSERRATE</v>
      </c>
      <c r="H181" s="11" t="str">
        <f>IFERROR(IF(VLOOKUP(A181,[2]PRIORIZADOS!$A:$H,8,FALSE)="","",VLOOKUP(A181,[2]PRIORIZADOS!$A:$H,8,FALSE)),"")</f>
        <v>Autoevaluación Institucional y Pruebas SABER 11</v>
      </c>
      <c r="I181" s="11" t="str">
        <f>IFERROR(IF(VLOOKUP(A181,[2]PRIORIZADOS!$A:$I,9,FALSE)="","",VLOOKUP(A181,[2]PRIORIZADOS!$A:$I,9,FALSE)),"")</f>
        <v>SEGUIMIENTO_Y_SUPERVISIÓN.</v>
      </c>
      <c r="J181" s="11" t="str">
        <f>IFERROR(IF(VLOOKUP(A181,[2]PRIORIZADOS!$A:$J,10,FALSE)="","",VLOOKUP(A181,[2]PRIORIZADOS!$A:$J,10,FALSE)),"")</f>
        <v>Realizar visitas para verificar la información registrada sobre la autoevaluación institucional en el aplicativo EVI, a los establecimientos de educación formal no oficial.</v>
      </c>
      <c r="K181" s="11" t="str">
        <f>IFERROR(IF(VLOOKUP(A181,[2]PRIORIZADOS!$A:$K,11,FALSE)="","",VLOOKUP(A181,[2]PRIORIZADOS!$A:$K,11,FALSE)),"")</f>
        <v>CAMILO ANDRÉS GALINDO GÓMEZ</v>
      </c>
      <c r="L181" s="11" t="str">
        <f>IFERROR(IF(VLOOKUP(A181,[2]PRIORIZADOS!$A:$L,12,FALSE)="","",VLOOKUP(A181,[2]PRIORIZADOS!$A:$L,12,FALSE)),"")</f>
        <v>DORIS YOLANDA LÓPEZ ARÉVALO</v>
      </c>
      <c r="M181" s="88">
        <f>IFERROR(IF(VLOOKUP(A181,[2]PRIORIZADOS!$A:$M,13,FALSE)="","",VLOOKUP(A181,[2]PRIORIZADOS!$A:$M,13,FALSE)),"")</f>
        <v>45790</v>
      </c>
      <c r="N181" s="71">
        <f>IFERROR(IF(VLOOKUP(A181,[2]PRIORIZADOS!$A:$N,14,FALSE)="","",VLOOKUP(A181,[2]PRIORIZADOS!$A:$N,14,FALSE)),"")</f>
        <v>45790</v>
      </c>
      <c r="O181" s="71">
        <f>IFERROR(IF(VLOOKUP(A181,[2]PRIORIZADOS!$A:$O,15,FALSE)="","",VLOOKUP(A181,[2]PRIORIZADOS!$A:$O,15,FALSE)),"")</f>
        <v>45790</v>
      </c>
      <c r="P181" s="11" t="str">
        <f>IFERROR(IF(VLOOKUP(A181,[2]PRIORIZADOS!$A:$P,16,FALSE)="","",VLOOKUP(A181,[2]PRIORIZADOS!$A:$P,16,FALSE)),"")</f>
        <v>Visita con fines de Inspección y Vigilancia</v>
      </c>
      <c r="Q181" s="120" t="s">
        <v>50</v>
      </c>
      <c r="R181" s="11" t="str">
        <f>IFERROR(IF(VLOOKUP(A181,[2]PRIORIZADOS!$A:$R,18,FALSE)="","",VLOOKUP(A181,[2]PRIORIZADOS!$A:$R,18,FALSE)),"")</f>
        <v>Se revisaron las cargas académicas a los docentes y se encontró que algunos docentes no contaban con la idoneidad y perfil que se requiere.</v>
      </c>
      <c r="S181" s="11" t="str">
        <f>IFERROR(IF(VLOOKUP(A181,[2]PRIORIZADOS!$A:$S,19,FALSE)="","",VLOOKUP(A181,[2]PRIORIZADOS!$A:$S,19,FALSE)),"")</f>
        <v>Se le solicita de manera inmediata hacer el cambio de docentes, según observaciones.</v>
      </c>
      <c r="T181" s="70" t="str">
        <f>IFERROR(IF(VLOOKUP(A181,[2]PRIORIZADOS!$A:$T,20,FALSE)="","",VLOOKUP(A181,[2]PRIORIZADOS!$A:$T,20,FALSE)),"")</f>
        <v>Si</v>
      </c>
      <c r="U181" s="11" t="str">
        <f>IFERROR(IF(VLOOKUP(A181,[2]PRIORIZADOS!$A:$U,21,FALSE)="","",VLOOKUP(A181,[2]PRIORIZADOS!$A:$U,21,FALSE)),"")</f>
        <v>Se otorgaron 10 días hábiles para la presentación del PMI so pena de Proceso Administrativo Sancionatorio</v>
      </c>
    </row>
    <row r="182" spans="1:21" s="1" customFormat="1" ht="60">
      <c r="A182" s="69">
        <f>IF([2]PRIORIZADOS!A62="","",[2]PRIORIZADOS!A62)</f>
        <v>186</v>
      </c>
      <c r="B182" s="87">
        <f>IFERROR(IF(VLOOKUP(A182,[2]PRIORIZADOS!$A:$B,2,FALSE)="","",VLOOKUP(A182,[2]PRIORIZADOS!$A:$B,2,FALSE)),"")</f>
        <v>7</v>
      </c>
      <c r="C182" s="11" t="str">
        <f>IFERROR(IF(VLOOKUP(A182,[2]PRIORIZADOS!$A:$C,3,FALSE)="","",VLOOKUP(A182,[2]PRIORIZADOS!$A:$C,3,FALSE)),"")</f>
        <v xml:space="preserve">BARRIOS UNIDOS </v>
      </c>
      <c r="D182" s="69" t="str">
        <f>IFERROR(IF(VLOOKUP(A182,[2]PRIORIZADOS!$A:$D,4,FALSE)="","",VLOOKUP(A182,[2]PRIORIZADOS!$A:$D,4,FALSE)),"")</f>
        <v>PRIVADO</v>
      </c>
      <c r="E182" s="69" t="str">
        <f>IFERROR(IF(VLOOKUP(A182,[2]PRIORIZADOS!$A:$E,5,FALSE)="","",VLOOKUP(A182,[2]PRIORIZADOS!$A:$E,5,FALSE)),"")</f>
        <v>EPBM</v>
      </c>
      <c r="F182" s="11" t="str">
        <f>IFERROR(IF(VLOOKUP(A182,[2]PRIORIZADOS!$A:$F,6,FALSE)="","",VLOOKUP(A182,[2]PRIORIZADOS!$A:$F,6,FALSE)),"")</f>
        <v>COLEGIO_MONSERRATE</v>
      </c>
      <c r="G182" s="11" t="str">
        <f>IFERROR(IF(VLOOKUP(A182,[2]PRIORIZADOS!$A:$G,7,FALSE)="","",VLOOKUP(A182,[2]PRIORIZADOS!$A:$G,7,FALSE)),"")</f>
        <v>COLEGIO_MONSERRATE</v>
      </c>
      <c r="H182" s="11" t="str">
        <f>IFERROR(IF(VLOOKUP(A182,[2]PRIORIZADOS!$A:$H,8,FALSE)="","",VLOOKUP(A182,[2]PRIORIZADOS!$A:$H,8,FALSE)),"")</f>
        <v>Autoevaluación Institucional y Pruebas SABER 11</v>
      </c>
      <c r="I182" s="11" t="str">
        <f>IFERROR(IF(VLOOKUP(A182,[2]PRIORIZADOS!$A:$I,9,FALSE)="","",VLOOKUP(A182,[2]PRIORIZADOS!$A:$I,9,FALSE)),"")</f>
        <v>SEGUIMIENTO_Y_SUPERVISIÓN.</v>
      </c>
      <c r="J182" s="11" t="str">
        <f>IFERROR(IF(VLOOKUP(A182,[2]PRIORIZADOS!$A:$J,10,FALSE)="","",VLOOKUP(A182,[2]PRIORIZADOS!$A:$J,10,FALSE)),"")</f>
        <v>Proponer estrategias en la formulación, verificar su elaboración y realizar seguimiento semestral al desarrollo de  las acciones establecidas en los planes de mejoramiento por pruebas SABER 11 de los establecimientos de educación formal.</v>
      </c>
      <c r="K182" s="11" t="str">
        <f>IFERROR(IF(VLOOKUP(A182,[2]PRIORIZADOS!$A:$K,11,FALSE)="","",VLOOKUP(A182,[2]PRIORIZADOS!$A:$K,11,FALSE)),"")</f>
        <v>CAMILO ANDRÉS GALINDO GÓMEZ</v>
      </c>
      <c r="L182" s="11" t="str">
        <f>IFERROR(IF(VLOOKUP(A182,[2]PRIORIZADOS!$A:$L,12,FALSE)="","",VLOOKUP(A182,[2]PRIORIZADOS!$A:$L,12,FALSE)),"")</f>
        <v>DORIS YOLANDA LÓPEZ ARÉVALO</v>
      </c>
      <c r="M182" s="88">
        <f>IFERROR(IF(VLOOKUP(A182,[2]PRIORIZADOS!$A:$M,13,FALSE)="","",VLOOKUP(A182,[2]PRIORIZADOS!$A:$M,13,FALSE)),"")</f>
        <v>45790</v>
      </c>
      <c r="N182" s="71">
        <f>IFERROR(IF(VLOOKUP(A182,[2]PRIORIZADOS!$A:$N,14,FALSE)="","",VLOOKUP(A182,[2]PRIORIZADOS!$A:$N,14,FALSE)),"")</f>
        <v>45790</v>
      </c>
      <c r="O182" s="71">
        <f>IFERROR(IF(VLOOKUP(A182,[2]PRIORIZADOS!$A:$O,15,FALSE)="","",VLOOKUP(A182,[2]PRIORIZADOS!$A:$O,15,FALSE)),"")</f>
        <v>45790</v>
      </c>
      <c r="P182" s="11" t="str">
        <f>IFERROR(IF(VLOOKUP(A182,[2]PRIORIZADOS!$A:$P,16,FALSE)="","",VLOOKUP(A182,[2]PRIORIZADOS!$A:$P,16,FALSE)),"")</f>
        <v>Visita con fines de Inspección y Vigilancia</v>
      </c>
      <c r="Q182" s="120" t="s">
        <v>50</v>
      </c>
      <c r="R182" s="11" t="str">
        <f>IFERROR(IF(VLOOKUP(A182,[2]PRIORIZADOS!$A:$R,18,FALSE)="","",VLOOKUP(A182,[2]PRIORIZADOS!$A:$R,18,FALSE)),"")</f>
        <v>Según resultados de las pruebas Saber 11-2024, están clasificados en categoría A</v>
      </c>
      <c r="S182" s="11" t="str">
        <f>IFERROR(IF(VLOOKUP(A182,[2]PRIORIZADOS!$A:$S,19,FALSE)="","",VLOOKUP(A182,[2]PRIORIZADOS!$A:$S,19,FALSE)),"")</f>
        <v>Se les insta continuar con su trabajo de profundización en áreas específicas, buscando mantener el nivel</v>
      </c>
      <c r="T182" s="70" t="str">
        <f>IFERROR(IF(VLOOKUP(A182,[2]PRIORIZADOS!$A:$T,20,FALSE)="","",VLOOKUP(A182,[2]PRIORIZADOS!$A:$T,20,FALSE)),"")</f>
        <v>No</v>
      </c>
      <c r="U182" s="11" t="str">
        <f>IFERROR(IF(VLOOKUP(A182,[2]PRIORIZADOS!$A:$U,21,FALSE)="","",VLOOKUP(A182,[2]PRIORIZADOS!$A:$U,21,FALSE)),"")</f>
        <v>Se revisar resultados pruebas saber 11 del año 2025</v>
      </c>
    </row>
    <row r="183" spans="1:21" s="1" customFormat="1" ht="72">
      <c r="A183" s="69">
        <f>IF([2]PRIORIZADOS!A63="","",[2]PRIORIZADOS!A63)</f>
        <v>188</v>
      </c>
      <c r="B183" s="87">
        <f>IFERROR(IF(VLOOKUP(A183,[2]PRIORIZADOS!$A:$B,2,FALSE)="","",VLOOKUP(A183,[2]PRIORIZADOS!$A:$B,2,FALSE)),"")</f>
        <v>7</v>
      </c>
      <c r="C183" s="11" t="str">
        <f>IFERROR(IF(VLOOKUP(A183,[2]PRIORIZADOS!$A:$C,3,FALSE)="","",VLOOKUP(A183,[2]PRIORIZADOS!$A:$C,3,FALSE)),"")</f>
        <v xml:space="preserve">BARRIOS UNIDOS </v>
      </c>
      <c r="D183" s="69" t="str">
        <f>IFERROR(IF(VLOOKUP(A183,[2]PRIORIZADOS!$A:$D,4,FALSE)="","",VLOOKUP(A183,[2]PRIORIZADOS!$A:$D,4,FALSE)),"")</f>
        <v>PRIVADO</v>
      </c>
      <c r="E183" s="69" t="str">
        <f>IFERROR(IF(VLOOKUP(A183,[2]PRIORIZADOS!$A:$E,5,FALSE)="","",VLOOKUP(A183,[2]PRIORIZADOS!$A:$E,5,FALSE)),"")</f>
        <v>EPBM</v>
      </c>
      <c r="F183" s="11" t="str">
        <f>IFERROR(IF(VLOOKUP(A183,[2]PRIORIZADOS!$A:$F,6,FALSE)="","",VLOOKUP(A183,[2]PRIORIZADOS!$A:$F,6,FALSE)),"")</f>
        <v>COLEGIO_MONSERRATE</v>
      </c>
      <c r="G183" s="11" t="str">
        <f>IFERROR(IF(VLOOKUP(A183,[2]PRIORIZADOS!$A:$G,7,FALSE)="","",VLOOKUP(A183,[2]PRIORIZADOS!$A:$G,7,FALSE)),"")</f>
        <v>COLEGIO_MONSERRATE</v>
      </c>
      <c r="H183" s="11" t="str">
        <f>IFERROR(IF(VLOOKUP(A183,[2]PRIORIZADOS!$A:$H,8,FALSE)="","",VLOOKUP(A183,[2]PRIORIZADOS!$A:$H,8,FALSE)),"")</f>
        <v>Autoevaluación Institucional y Pruebas SABER 11</v>
      </c>
      <c r="I183" s="11" t="str">
        <f>IFERROR(IF(VLOOKUP(A183,[2]PRIORIZADOS!$A:$I,9,FALSE)="","",VLOOKUP(A183,[2]PRIORIZADOS!$A:$I,9,FALSE)),"")</f>
        <v>SEGUIMIENTO_Y_SUPERVISIÓN.</v>
      </c>
      <c r="J183" s="11" t="str">
        <f>IFERROR(IF(VLOOKUP(A183,[2]PRIORIZADOS!$A:$J,10,FALSE)="","",VLOOKUP(A183,[2]PRIORIZADOS!$A:$J,10,FALSE)),"")</f>
        <v xml:space="preserve">Verificar la implementación por parte de los colegios, de acciones realizadas para la prevención y atención de las situaciones de convivencia en el entorno escolar, según lo establecido en la Directiva 01 de 2022 del MEN. </v>
      </c>
      <c r="K183" s="11" t="str">
        <f>IFERROR(IF(VLOOKUP(A183,[2]PRIORIZADOS!$A:$K,11,FALSE)="","",VLOOKUP(A183,[2]PRIORIZADOS!$A:$K,11,FALSE)),"")</f>
        <v>CAMILO ANDRÉS GALINDO GÓMEZ</v>
      </c>
      <c r="L183" s="11" t="str">
        <f>IFERROR(IF(VLOOKUP(A183,[2]PRIORIZADOS!$A:$L,12,FALSE)="","",VLOOKUP(A183,[2]PRIORIZADOS!$A:$L,12,FALSE)),"")</f>
        <v>DORIS YOLANDA LÓPEZ ARÉVALO</v>
      </c>
      <c r="M183" s="88">
        <f>IFERROR(IF(VLOOKUP(A183,[2]PRIORIZADOS!$A:$M,13,FALSE)="","",VLOOKUP(A183,[2]PRIORIZADOS!$A:$M,13,FALSE)),"")</f>
        <v>45790</v>
      </c>
      <c r="N183" s="71">
        <f>IFERROR(IF(VLOOKUP(A183,[2]PRIORIZADOS!$A:$N,14,FALSE)="","",VLOOKUP(A183,[2]PRIORIZADOS!$A:$N,14,FALSE)),"")</f>
        <v>45790</v>
      </c>
      <c r="O183" s="71">
        <f>IFERROR(IF(VLOOKUP(A183,[2]PRIORIZADOS!$A:$O,15,FALSE)="","",VLOOKUP(A183,[2]PRIORIZADOS!$A:$O,15,FALSE)),"")</f>
        <v>45790</v>
      </c>
      <c r="P183" s="11" t="str">
        <f>IFERROR(IF(VLOOKUP(A183,[2]PRIORIZADOS!$A:$P,16,FALSE)="","",VLOOKUP(A183,[2]PRIORIZADOS!$A:$P,16,FALSE)),"")</f>
        <v>Visita con fines de Inspección y Vigilancia</v>
      </c>
      <c r="Q183" s="120" t="s">
        <v>50</v>
      </c>
      <c r="R183" s="11" t="str">
        <f>IFERROR(IF(VLOOKUP(A183,[2]PRIORIZADOS!$A:$R,18,FALSE)="","",VLOOKUP(A183,[2]PRIORIZADOS!$A:$R,18,FALSE)),"")</f>
        <v>Se recibieron y revisaron doce hojas de vida de los docentes que hacen parte de la institución educativa y no se encuentra la revisión de antecedentes sexuales del personal que conforma el establecimiento educativo.</v>
      </c>
      <c r="S183" s="11" t="str">
        <f>IFERROR(IF(VLOOKUP(A183,[2]PRIORIZADOS!$A:$S,19,FALSE)="","",VLOOKUP(A183,[2]PRIORIZADOS!$A:$S,19,FALSE)),"")</f>
        <v>Se solicita revisar los antecedentes de conformidad con la Directiva 001 de 2022</v>
      </c>
      <c r="T183" s="70" t="str">
        <f>IFERROR(IF(VLOOKUP(A183,[2]PRIORIZADOS!$A:$T,20,FALSE)="","",VLOOKUP(A183,[2]PRIORIZADOS!$A:$T,20,FALSE)),"")</f>
        <v>Si</v>
      </c>
      <c r="U183" s="11" t="str">
        <f>IFERROR(IF(VLOOKUP(A183,[2]PRIORIZADOS!$A:$U,21,FALSE)="","",VLOOKUP(A183,[2]PRIORIZADOS!$A:$U,21,FALSE)),"")</f>
        <v>La institución Educativa remitirá el Plan de Mejoramiento Institucional</v>
      </c>
    </row>
    <row r="184" spans="1:21" s="1" customFormat="1" ht="72">
      <c r="A184" s="69">
        <f>IF([2]PRIORIZADOS!A64="","",[2]PRIORIZADOS!A64)</f>
        <v>189</v>
      </c>
      <c r="B184" s="87">
        <f>IFERROR(IF(VLOOKUP(A184,[2]PRIORIZADOS!$A:$B,2,FALSE)="","",VLOOKUP(A184,[2]PRIORIZADOS!$A:$B,2,FALSE)),"")</f>
        <v>7</v>
      </c>
      <c r="C184" s="11" t="str">
        <f>IFERROR(IF(VLOOKUP(A184,[2]PRIORIZADOS!$A:$C,3,FALSE)="","",VLOOKUP(A184,[2]PRIORIZADOS!$A:$C,3,FALSE)),"")</f>
        <v xml:space="preserve">BARRIOS UNIDOS </v>
      </c>
      <c r="D184" s="69" t="str">
        <f>IFERROR(IF(VLOOKUP(A184,[2]PRIORIZADOS!$A:$D,4,FALSE)="","",VLOOKUP(A184,[2]PRIORIZADOS!$A:$D,4,FALSE)),"")</f>
        <v>PRIVADO</v>
      </c>
      <c r="E184" s="69" t="str">
        <f>IFERROR(IF(VLOOKUP(A184,[2]PRIORIZADOS!$A:$E,5,FALSE)="","",VLOOKUP(A184,[2]PRIORIZADOS!$A:$E,5,FALSE)),"")</f>
        <v>EPBM</v>
      </c>
      <c r="F184" s="11" t="str">
        <f>IFERROR(IF(VLOOKUP(A184,[2]PRIORIZADOS!$A:$F,6,FALSE)="","",VLOOKUP(A184,[2]PRIORIZADOS!$A:$F,6,FALSE)),"")</f>
        <v>COLEGIO_MONSERRATE</v>
      </c>
      <c r="G184" s="11" t="str">
        <f>IFERROR(IF(VLOOKUP(A184,[2]PRIORIZADOS!$A:$G,7,FALSE)="","",VLOOKUP(A184,[2]PRIORIZADOS!$A:$G,7,FALSE)),"")</f>
        <v>COLEGIO_MONSERRATE</v>
      </c>
      <c r="H184" s="11" t="str">
        <f>IFERROR(IF(VLOOKUP(A184,[2]PRIORIZADOS!$A:$H,8,FALSE)="","",VLOOKUP(A184,[2]PRIORIZADOS!$A:$H,8,FALSE)),"")</f>
        <v>Autoevaluación Institucional y Pruebas SABER 11</v>
      </c>
      <c r="I184" s="11" t="str">
        <f>IFERROR(IF(VLOOKUP(A184,[2]PRIORIZADOS!$A:$I,9,FALSE)="","",VLOOKUP(A184,[2]PRIORIZADOS!$A:$I,9,FALSE)),"")</f>
        <v>SEGUIMIENTO_Y_SUPERVISIÓN.</v>
      </c>
      <c r="J184" s="11" t="str">
        <f>IFERROR(IF(VLOOKUP(A184,[2]PRIORIZADOS!$A:$J,10,FALSE)="","",VLOOKUP(A184,[2]PRIORIZADOS!$A:$J,10,FALSE)),"")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4" s="11" t="str">
        <f>IFERROR(IF(VLOOKUP(A184,[2]PRIORIZADOS!$A:$K,11,FALSE)="","",VLOOKUP(A184,[2]PRIORIZADOS!$A:$K,11,FALSE)),"")</f>
        <v>CAMILO ANDRÉS GALINDO GÓMEZ</v>
      </c>
      <c r="L184" s="11" t="str">
        <f>IFERROR(IF(VLOOKUP(A184,[2]PRIORIZADOS!$A:$L,12,FALSE)="","",VLOOKUP(A184,[2]PRIORIZADOS!$A:$L,12,FALSE)),"")</f>
        <v>DORIS YOLANDA LÓPEZ ARÉVALO</v>
      </c>
      <c r="M184" s="88">
        <f>IFERROR(IF(VLOOKUP(A184,[2]PRIORIZADOS!$A:$M,13,FALSE)="","",VLOOKUP(A184,[2]PRIORIZADOS!$A:$M,13,FALSE)),"")</f>
        <v>45790</v>
      </c>
      <c r="N184" s="71">
        <f>IFERROR(IF(VLOOKUP(A184,[2]PRIORIZADOS!$A:$N,14,FALSE)="","",VLOOKUP(A184,[2]PRIORIZADOS!$A:$N,14,FALSE)),"")</f>
        <v>45790</v>
      </c>
      <c r="O184" s="71">
        <f>IFERROR(IF(VLOOKUP(A184,[2]PRIORIZADOS!$A:$O,15,FALSE)="","",VLOOKUP(A184,[2]PRIORIZADOS!$A:$O,15,FALSE)),"")</f>
        <v>45790</v>
      </c>
      <c r="P184" s="11" t="str">
        <f>IFERROR(IF(VLOOKUP(A184,[2]PRIORIZADOS!$A:$P,16,FALSE)="","",VLOOKUP(A184,[2]PRIORIZADOS!$A:$P,16,FALSE)),"")</f>
        <v>Visita con fines de Inspección y Vigilancia</v>
      </c>
      <c r="Q184" s="120" t="s">
        <v>50</v>
      </c>
      <c r="R184" s="11" t="str">
        <f>IFERROR(IF(VLOOKUP(A184,[2]PRIORIZADOS!$A:$R,18,FALSE)="","",VLOOKUP(A184,[2]PRIORIZADOS!$A:$R,18,FALSE)),"")</f>
        <v>Se indagó y verifico la prestación del servicio a estudiantes de inclusión y a la fecha no contaban con Plan de Integral de Ajustes razonables en concordancia con el Decreto 1421 de 2017,</v>
      </c>
      <c r="S184" s="11" t="str">
        <f>IFERROR(IF(VLOOKUP(A184,[2]PRIORIZADOS!$A:$S,19,FALSE)="","",VLOOKUP(A184,[2]PRIORIZADOS!$A:$S,19,FALSE)),"")</f>
        <v>Se le reitera al Colegio que el PIAR debe estar establecido para los estudiantes durante el primer periodo, se solicita hacerlo y aplicarlo</v>
      </c>
      <c r="T184" s="70" t="str">
        <f>IFERROR(IF(VLOOKUP(A184,[2]PRIORIZADOS!$A:$T,20,FALSE)="","",VLOOKUP(A184,[2]PRIORIZADOS!$A:$T,20,FALSE)),"")</f>
        <v>Si</v>
      </c>
      <c r="U184" s="11" t="str">
        <f>IFERROR(IF(VLOOKUP(A184,[2]PRIORIZADOS!$A:$U,21,FALSE)="","",VLOOKUP(A184,[2]PRIORIZADOS!$A:$U,21,FALSE)),"")</f>
        <v>Durante la visita de seguimiento, se revisará el cumplimiento del PIAR, de conformidad con la norma.</v>
      </c>
    </row>
    <row r="185" spans="1:21" s="1" customFormat="1" ht="84">
      <c r="A185" s="69">
        <f>IF([2]PRIORIZADOS!A65="","",[2]PRIORIZADOS!A65)</f>
        <v>190</v>
      </c>
      <c r="B185" s="87">
        <f>IFERROR(IF(VLOOKUP(A185,[2]PRIORIZADOS!$A:$B,2,FALSE)="","",VLOOKUP(A185,[2]PRIORIZADOS!$A:$B,2,FALSE)),"")</f>
        <v>7</v>
      </c>
      <c r="C185" s="11" t="str">
        <f>IFERROR(IF(VLOOKUP(A185,[2]PRIORIZADOS!$A:$C,3,FALSE)="","",VLOOKUP(A185,[2]PRIORIZADOS!$A:$C,3,FALSE)),"")</f>
        <v xml:space="preserve">BARRIOS UNIDOS </v>
      </c>
      <c r="D185" s="69" t="str">
        <f>IFERROR(IF(VLOOKUP(A185,[2]PRIORIZADOS!$A:$D,4,FALSE)="","",VLOOKUP(A185,[2]PRIORIZADOS!$A:$D,4,FALSE)),"")</f>
        <v>PRIVADO</v>
      </c>
      <c r="E185" s="69" t="str">
        <f>IFERROR(IF(VLOOKUP(A185,[2]PRIORIZADOS!$A:$E,5,FALSE)="","",VLOOKUP(A185,[2]PRIORIZADOS!$A:$E,5,FALSE)),"")</f>
        <v>EPBM</v>
      </c>
      <c r="F185" s="11" t="str">
        <f>IFERROR(IF(VLOOKUP(A185,[2]PRIORIZADOS!$A:$F,6,FALSE)="","",VLOOKUP(A185,[2]PRIORIZADOS!$A:$F,6,FALSE)),"")</f>
        <v>COLEGIO_MONSERRATE</v>
      </c>
      <c r="G185" s="11" t="str">
        <f>IFERROR(IF(VLOOKUP(A185,[2]PRIORIZADOS!$A:$G,7,FALSE)="","",VLOOKUP(A185,[2]PRIORIZADOS!$A:$G,7,FALSE)),"")</f>
        <v>COLEGIO_MONSERRATE</v>
      </c>
      <c r="H185" s="11" t="str">
        <f>IFERROR(IF(VLOOKUP(A185,[2]PRIORIZADOS!$A:$H,8,FALSE)="","",VLOOKUP(A185,[2]PRIORIZADOS!$A:$H,8,FALSE)),"")</f>
        <v>Autoevaluación Institucional y Pruebas SABER 11</v>
      </c>
      <c r="I185" s="11" t="str">
        <f>IFERROR(IF(VLOOKUP(A185,[2]PRIORIZADOS!$A:$I,9,FALSE)="","",VLOOKUP(A185,[2]PRIORIZADOS!$A:$I,9,FALSE)),"")</f>
        <v>EVALUACIÓN_CON_FINES_DE_MEJORAMIENTO.</v>
      </c>
      <c r="J185" s="11" t="str">
        <f>IFERROR(IF(VLOOKUP(A185,[2]PRIORIZADOS!$A:$J,10,FALSE)="","",VLOOKUP(A185,[2]PRIORIZADOS!$A:$J,10,FALSE)),"")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5" s="11" t="str">
        <f>IFERROR(IF(VLOOKUP(A185,[2]PRIORIZADOS!$A:$K,11,FALSE)="","",VLOOKUP(A185,[2]PRIORIZADOS!$A:$K,11,FALSE)),"")</f>
        <v>CAMILO ANDRÉS GALINDO GÓMEZ</v>
      </c>
      <c r="L185" s="11" t="str">
        <f>IFERROR(IF(VLOOKUP(A185,[2]PRIORIZADOS!$A:$L,12,FALSE)="","",VLOOKUP(A185,[2]PRIORIZADOS!$A:$L,12,FALSE)),"")</f>
        <v>DORIS YOLANDA LÓPEZ ARÉVALO</v>
      </c>
      <c r="M185" s="88">
        <f>IFERROR(IF(VLOOKUP(A185,[2]PRIORIZADOS!$A:$M,13,FALSE)="","",VLOOKUP(A185,[2]PRIORIZADOS!$A:$M,13,FALSE)),"")</f>
        <v>45790</v>
      </c>
      <c r="N185" s="71">
        <f>IFERROR(IF(VLOOKUP(A185,[2]PRIORIZADOS!$A:$N,14,FALSE)="","",VLOOKUP(A185,[2]PRIORIZADOS!$A:$N,14,FALSE)),"")</f>
        <v>45790</v>
      </c>
      <c r="O185" s="71">
        <f>IFERROR(IF(VLOOKUP(A185,[2]PRIORIZADOS!$A:$O,15,FALSE)="","",VLOOKUP(A185,[2]PRIORIZADOS!$A:$O,15,FALSE)),"")</f>
        <v>45790</v>
      </c>
      <c r="P185" s="11" t="str">
        <f>IFERROR(IF(VLOOKUP(A185,[2]PRIORIZADOS!$A:$P,16,FALSE)="","",VLOOKUP(A185,[2]PRIORIZADOS!$A:$P,16,FALSE)),"")</f>
        <v>Visita con fines de Inspección y Vigilancia</v>
      </c>
      <c r="Q185" s="120" t="s">
        <v>50</v>
      </c>
      <c r="R185" s="11" t="str">
        <f>IFERROR(IF(VLOOKUP(A185,[2]PRIORIZADOS!$A:$R,18,FALSE)="","",VLOOKUP(A185,[2]PRIORIZADOS!$A:$R,18,FALSE)),"")</f>
        <v>Se revisó el Manual actualizado para la presente vigencia y contemplaba los enfoques que determina la norma.</v>
      </c>
      <c r="S185" s="11" t="str">
        <f>IFERROR(IF(VLOOKUP(A185,[2]PRIORIZADOS!$A:$S,19,FALSE)="","",VLOOKUP(A185,[2]PRIORIZADOS!$A:$S,19,FALSE)),"")</f>
        <v>Continuar con la implementación de manual de convivencia en el entorno escolar y su comunidad educativa. Se recomienda que la institución actualice su Manual según las situaciones de convivencia presentadas.</v>
      </c>
      <c r="T185" s="70" t="str">
        <f>IFERROR(IF(VLOOKUP(A185,[2]PRIORIZADOS!$A:$T,20,FALSE)="","",VLOOKUP(A185,[2]PRIORIZADOS!$A:$T,20,FALSE)),"")</f>
        <v>No</v>
      </c>
      <c r="U185" s="11" t="str">
        <f>IFERROR(IF(VLOOKUP(A185,[2]PRIORIZADOS!$A:$U,21,FALSE)="","",VLOOKUP(A185,[2]PRIORIZADOS!$A:$U,21,FALSE)),"")</f>
        <v>De presentarse una queja se entra a revisar detalladamente.</v>
      </c>
    </row>
    <row r="186" spans="1:21" s="1" customFormat="1" ht="48">
      <c r="A186" s="69">
        <f>IF([2]PRIORIZADOS!A66="","",[2]PRIORIZADOS!A66)</f>
        <v>191</v>
      </c>
      <c r="B186" s="87">
        <f>IFERROR(IF(VLOOKUP(A186,[2]PRIORIZADOS!$A:$B,2,FALSE)="","",VLOOKUP(A186,[2]PRIORIZADOS!$A:$B,2,FALSE)),"")</f>
        <v>7</v>
      </c>
      <c r="C186" s="11" t="str">
        <f>IFERROR(IF(VLOOKUP(A186,[2]PRIORIZADOS!$A:$C,3,FALSE)="","",VLOOKUP(A186,[2]PRIORIZADOS!$A:$C,3,FALSE)),"")</f>
        <v xml:space="preserve">BARRIOS UNIDOS </v>
      </c>
      <c r="D186" s="69" t="str">
        <f>IFERROR(IF(VLOOKUP(A186,[2]PRIORIZADOS!$A:$D,4,FALSE)="","",VLOOKUP(A186,[2]PRIORIZADOS!$A:$D,4,FALSE)),"")</f>
        <v>PRIVADO</v>
      </c>
      <c r="E186" s="69" t="str">
        <f>IFERROR(IF(VLOOKUP(A186,[2]PRIORIZADOS!$A:$E,5,FALSE)="","",VLOOKUP(A186,[2]PRIORIZADOS!$A:$E,5,FALSE)),"")</f>
        <v>EPBM</v>
      </c>
      <c r="F186" s="11" t="str">
        <f>IFERROR(IF(VLOOKUP(A186,[2]PRIORIZADOS!$A:$F,6,FALSE)="","",VLOOKUP(A186,[2]PRIORIZADOS!$A:$F,6,FALSE)),"")</f>
        <v>COLEGIO_MONSERRATE</v>
      </c>
      <c r="G186" s="11" t="str">
        <f>IFERROR(IF(VLOOKUP(A186,[2]PRIORIZADOS!$A:$G,7,FALSE)="","",VLOOKUP(A186,[2]PRIORIZADOS!$A:$G,7,FALSE)),"")</f>
        <v>COLEGIO_MONSERRATE</v>
      </c>
      <c r="H186" s="11" t="str">
        <f>IFERROR(IF(VLOOKUP(A186,[2]PRIORIZADOS!$A:$H,8,FALSE)="","",VLOOKUP(A186,[2]PRIORIZADOS!$A:$H,8,FALSE)),"")</f>
        <v>Autoevaluación Institucional y Pruebas SABER 11</v>
      </c>
      <c r="I186" s="11" t="str">
        <f>IFERROR(IF(VLOOKUP(A186,[2]PRIORIZADOS!$A:$I,9,FALSE)="","",VLOOKUP(A186,[2]PRIORIZADOS!$A:$I,9,FALSE)),"")</f>
        <v>EVALUACIÓN_CON_FINES_DE_MEJORAMIENTO.</v>
      </c>
      <c r="J186" s="11" t="str">
        <f>IFERROR(IF(VLOOKUP(A186,[2]PRIORIZADOS!$A:$J,10,FALSE)="","",VLOOKUP(A186,[2]PRIORIZADOS!$A:$J,10,FALSE)),"")</f>
        <v>Revisar la actualización, socialización e implementación del Sistema Institucional de Evaluación de Estudiantes - SIEE, en articulación con la actualización del PEI y la normatividad vigente.</v>
      </c>
      <c r="K186" s="11" t="str">
        <f>IFERROR(IF(VLOOKUP(A186,[2]PRIORIZADOS!$A:$K,11,FALSE)="","",VLOOKUP(A186,[2]PRIORIZADOS!$A:$K,11,FALSE)),"")</f>
        <v>CAMILO ANDRÉS GALINDO GÓMEZ</v>
      </c>
      <c r="L186" s="11" t="str">
        <f>IFERROR(IF(VLOOKUP(A186,[2]PRIORIZADOS!$A:$L,12,FALSE)="","",VLOOKUP(A186,[2]PRIORIZADOS!$A:$L,12,FALSE)),"")</f>
        <v>DORIS YOLANDA LÓPEZ ARÉVALO</v>
      </c>
      <c r="M186" s="88">
        <f>IFERROR(IF(VLOOKUP(A186,[2]PRIORIZADOS!$A:$M,13,FALSE)="","",VLOOKUP(A186,[2]PRIORIZADOS!$A:$M,13,FALSE)),"")</f>
        <v>45790</v>
      </c>
      <c r="N186" s="71">
        <f>IFERROR(IF(VLOOKUP(A186,[2]PRIORIZADOS!$A:$N,14,FALSE)="","",VLOOKUP(A186,[2]PRIORIZADOS!$A:$N,14,FALSE)),"")</f>
        <v>45790</v>
      </c>
      <c r="O186" s="71">
        <f>IFERROR(IF(VLOOKUP(A186,[2]PRIORIZADOS!$A:$O,15,FALSE)="","",VLOOKUP(A186,[2]PRIORIZADOS!$A:$O,15,FALSE)),"")</f>
        <v>45790</v>
      </c>
      <c r="P186" s="11" t="str">
        <f>IFERROR(IF(VLOOKUP(A186,[2]PRIORIZADOS!$A:$P,16,FALSE)="","",VLOOKUP(A186,[2]PRIORIZADOS!$A:$P,16,FALSE)),"")</f>
        <v>Visita con fines de Inspección y Vigilancia</v>
      </c>
      <c r="Q186" s="120" t="s">
        <v>50</v>
      </c>
      <c r="R186" s="11" t="str">
        <f>IFERROR(IF(VLOOKUP(A186,[2]PRIORIZADOS!$A:$R,18,FALSE)="","",VLOOKUP(A186,[2]PRIORIZADOS!$A:$R,18,FALSE)),"")</f>
        <v>Se evidenció que SIEE contiene las estrategias de apoyo para las diferentes situaciones de la gestión pedagógica de los estudiantes.</v>
      </c>
      <c r="S186" s="11" t="str">
        <f>IFERROR(IF(VLOOKUP(A186,[2]PRIORIZADOS!$A:$S,19,FALSE)="","",VLOOKUP(A186,[2]PRIORIZADOS!$A:$S,19,FALSE)),"")</f>
        <v>Continuar con la implementación de SIEE y se recomienda que la institución actualice su SIEE según las situaciones presentadas.</v>
      </c>
      <c r="T186" s="70" t="str">
        <f>IFERROR(IF(VLOOKUP(A186,[2]PRIORIZADOS!$A:$T,20,FALSE)="","",VLOOKUP(A186,[2]PRIORIZADOS!$A:$T,20,FALSE)),"")</f>
        <v>No</v>
      </c>
      <c r="U186" s="11" t="str">
        <f>IFERROR(IF(VLOOKUP(A186,[2]PRIORIZADOS!$A:$U,21,FALSE)="","",VLOOKUP(A186,[2]PRIORIZADOS!$A:$U,21,FALSE)),"")</f>
        <v>De presentarse una queja se entra a revisar.</v>
      </c>
    </row>
    <row r="187" spans="1:21" s="1" customFormat="1" ht="48">
      <c r="A187" s="69">
        <f>IF([2]PRIORIZADOS!A67="","",[2]PRIORIZADOS!A67)</f>
        <v>192</v>
      </c>
      <c r="B187" s="87">
        <f>IFERROR(IF(VLOOKUP(A187,[2]PRIORIZADOS!$A:$B,2,FALSE)="","",VLOOKUP(A187,[2]PRIORIZADOS!$A:$B,2,FALSE)),"")</f>
        <v>7</v>
      </c>
      <c r="C187" s="11" t="str">
        <f>IFERROR(IF(VLOOKUP(A187,[2]PRIORIZADOS!$A:$C,3,FALSE)="","",VLOOKUP(A187,[2]PRIORIZADOS!$A:$C,3,FALSE)),"")</f>
        <v xml:space="preserve">BARRIOS UNIDOS </v>
      </c>
      <c r="D187" s="69" t="str">
        <f>IFERROR(IF(VLOOKUP(A187,[2]PRIORIZADOS!$A:$D,4,FALSE)="","",VLOOKUP(A187,[2]PRIORIZADOS!$A:$D,4,FALSE)),"")</f>
        <v>PRIVADO</v>
      </c>
      <c r="E187" s="69" t="str">
        <f>IFERROR(IF(VLOOKUP(A187,[2]PRIORIZADOS!$A:$E,5,FALSE)="","",VLOOKUP(A187,[2]PRIORIZADOS!$A:$E,5,FALSE)),"")</f>
        <v>EPBM</v>
      </c>
      <c r="F187" s="11" t="str">
        <f>IFERROR(IF(VLOOKUP(A187,[2]PRIORIZADOS!$A:$F,6,FALSE)="","",VLOOKUP(A187,[2]PRIORIZADOS!$A:$F,6,FALSE)),"")</f>
        <v>COLEGIO_MONSERRATE</v>
      </c>
      <c r="G187" s="11" t="str">
        <f>IFERROR(IF(VLOOKUP(A187,[2]PRIORIZADOS!$A:$G,7,FALSE)="","",VLOOKUP(A187,[2]PRIORIZADOS!$A:$G,7,FALSE)),"")</f>
        <v>COLEGIO_MONSERRATE</v>
      </c>
      <c r="H187" s="11" t="str">
        <f>IFERROR(IF(VLOOKUP(A187,[2]PRIORIZADOS!$A:$H,8,FALSE)="","",VLOOKUP(A187,[2]PRIORIZADOS!$A:$H,8,FALSE)),"")</f>
        <v>Autoevaluación Institucional y Pruebas SABER 11</v>
      </c>
      <c r="I187" s="11" t="str">
        <f>IFERROR(IF(VLOOKUP(A187,[2]PRIORIZADOS!$A:$I,9,FALSE)="","",VLOOKUP(A187,[2]PRIORIZADOS!$A:$I,9,FALSE)),"")</f>
        <v>EVALUACIÓN_CON_FINES_DE_MEJORAMIENTO.</v>
      </c>
      <c r="J187" s="11" t="str">
        <f>IFERROR(IF(VLOOKUP(A187,[2]PRIORIZADOS!$A:$J,10,FALSE)="","",VLOOKUP(A187,[2]PRIORIZADOS!$A:$J,10,FALSE)),"")</f>
        <v>Revisar el calendario escolar, jornada escolar, la intensidad horaria mínima anual en cada nivel y las modificaciones que se realicen al mismo, de acuerdo con lo previsto en la normatividad vigente.</v>
      </c>
      <c r="K187" s="11" t="str">
        <f>IFERROR(IF(VLOOKUP(A187,[2]PRIORIZADOS!$A:$K,11,FALSE)="","",VLOOKUP(A187,[2]PRIORIZADOS!$A:$K,11,FALSE)),"")</f>
        <v>CAMILO ANDRÉS GALINDO GÓMEZ</v>
      </c>
      <c r="L187" s="11" t="str">
        <f>IFERROR(IF(VLOOKUP(A187,[2]PRIORIZADOS!$A:$L,12,FALSE)="","",VLOOKUP(A187,[2]PRIORIZADOS!$A:$L,12,FALSE)),"")</f>
        <v>DORIS YOLANDA LÓPEZ ARÉVALO</v>
      </c>
      <c r="M187" s="88">
        <f>IFERROR(IF(VLOOKUP(A187,[2]PRIORIZADOS!$A:$M,13,FALSE)="","",VLOOKUP(A187,[2]PRIORIZADOS!$A:$M,13,FALSE)),"")</f>
        <v>45790</v>
      </c>
      <c r="N187" s="71">
        <f>IFERROR(IF(VLOOKUP(A187,[2]PRIORIZADOS!$A:$N,14,FALSE)="","",VLOOKUP(A187,[2]PRIORIZADOS!$A:$N,14,FALSE)),"")</f>
        <v>45790</v>
      </c>
      <c r="O187" s="71">
        <f>IFERROR(IF(VLOOKUP(A187,[2]PRIORIZADOS!$A:$O,15,FALSE)="","",VLOOKUP(A187,[2]PRIORIZADOS!$A:$O,15,FALSE)),"")</f>
        <v>45790</v>
      </c>
      <c r="P187" s="11" t="str">
        <f>IFERROR(IF(VLOOKUP(A187,[2]PRIORIZADOS!$A:$P,16,FALSE)="","",VLOOKUP(A187,[2]PRIORIZADOS!$A:$P,16,FALSE)),"")</f>
        <v>Visita con fines de Inspección y Vigilancia</v>
      </c>
      <c r="Q187" s="120" t="s">
        <v>50</v>
      </c>
      <c r="R187" s="11" t="str">
        <f>IFERROR(IF(VLOOKUP(A187,[2]PRIORIZADOS!$A:$R,18,FALSE)="","",VLOOKUP(A187,[2]PRIORIZADOS!$A:$R,18,FALSE)),"")</f>
        <v xml:space="preserve">Se revisó el calendario académico 2025 cumpliendo con la intensidad horaria y jornada escolar para todos los niveles aprobados. </v>
      </c>
      <c r="S187" s="11" t="str">
        <f>IFERROR(IF(VLOOKUP(A187,[2]PRIORIZADOS!$A:$S,19,FALSE)="","",VLOOKUP(A187,[2]PRIORIZADOS!$A:$S,19,FALSE)),"")</f>
        <v>Continuar con la implementación de calendario escolar de acuerdo con las intensidades y las semanas de desarrollo académico.</v>
      </c>
      <c r="T187" s="70" t="str">
        <f>IFERROR(IF(VLOOKUP(A187,[2]PRIORIZADOS!$A:$T,20,FALSE)="","",VLOOKUP(A187,[2]PRIORIZADOS!$A:$T,20,FALSE)),"")</f>
        <v>No</v>
      </c>
      <c r="U187" s="11" t="str">
        <f>IFERROR(IF(VLOOKUP(A187,[2]PRIORIZADOS!$A:$U,21,FALSE)="","",VLOOKUP(A187,[2]PRIORIZADOS!$A:$U,21,FALSE)),"")</f>
        <v>De presentarse una queja se entra a revisar.</v>
      </c>
    </row>
    <row r="188" spans="1:21" s="1" customFormat="1" ht="48">
      <c r="A188" s="69">
        <f>IF([2]PRIORIZADOS!A68="","",[2]PRIORIZADOS!A68)</f>
        <v>193</v>
      </c>
      <c r="B188" s="87">
        <f>IFERROR(IF(VLOOKUP(A188,[2]PRIORIZADOS!$A:$B,2,FALSE)="","",VLOOKUP(A188,[2]PRIORIZADOS!$A:$B,2,FALSE)),"")</f>
        <v>7</v>
      </c>
      <c r="C188" s="11" t="str">
        <f>IFERROR(IF(VLOOKUP(A188,[2]PRIORIZADOS!$A:$C,3,FALSE)="","",VLOOKUP(A188,[2]PRIORIZADOS!$A:$C,3,FALSE)),"")</f>
        <v xml:space="preserve">BARRIOS UNIDOS </v>
      </c>
      <c r="D188" s="69" t="str">
        <f>IFERROR(IF(VLOOKUP(A188,[2]PRIORIZADOS!$A:$D,4,FALSE)="","",VLOOKUP(A188,[2]PRIORIZADOS!$A:$D,4,FALSE)),"")</f>
        <v>PRIVADO</v>
      </c>
      <c r="E188" s="69" t="str">
        <f>IFERROR(IF(VLOOKUP(A188,[2]PRIORIZADOS!$A:$E,5,FALSE)="","",VLOOKUP(A188,[2]PRIORIZADOS!$A:$E,5,FALSE)),"")</f>
        <v>EPBM</v>
      </c>
      <c r="F188" s="11" t="str">
        <f>IFERROR(IF(VLOOKUP(A188,[2]PRIORIZADOS!$A:$F,6,FALSE)="","",VLOOKUP(A188,[2]PRIORIZADOS!$A:$F,6,FALSE)),"")</f>
        <v>COLEGIO_MONSERRATE</v>
      </c>
      <c r="G188" s="11" t="str">
        <f>IFERROR(IF(VLOOKUP(A188,[2]PRIORIZADOS!$A:$G,7,FALSE)="","",VLOOKUP(A188,[2]PRIORIZADOS!$A:$G,7,FALSE)),"")</f>
        <v>COLEGIO_MONSERRATE</v>
      </c>
      <c r="H188" s="11" t="str">
        <f>IFERROR(IF(VLOOKUP(A188,[2]PRIORIZADOS!$A:$H,8,FALSE)="","",VLOOKUP(A188,[2]PRIORIZADOS!$A:$H,8,FALSE)),"")</f>
        <v>Autoevaluación Institucional y Pruebas SABER 11</v>
      </c>
      <c r="I188" s="11" t="str">
        <f>IFERROR(IF(VLOOKUP(A188,[2]PRIORIZADOS!$A:$I,9,FALSE)="","",VLOOKUP(A188,[2]PRIORIZADOS!$A:$I,9,FALSE)),"")</f>
        <v>EVALUACIÓN_CON_FINES_DE_MEJORAMIENTO.</v>
      </c>
      <c r="J188" s="11" t="str">
        <f>IFERROR(IF(VLOOKUP(A188,[2]PRIORIZADOS!$A:$J,10,FALSE)="","",VLOOKUP(A188,[2]PRIORIZADOS!$A:$J,10,FALSE)),"")</f>
        <v>Verificar el funcionamiento del Gobierno Escolar e instancias de participación con base en la información sobre conformación reportada por la institución educativa.</v>
      </c>
      <c r="K188" s="11" t="str">
        <f>IFERROR(IF(VLOOKUP(A188,[2]PRIORIZADOS!$A:$K,11,FALSE)="","",VLOOKUP(A188,[2]PRIORIZADOS!$A:$K,11,FALSE)),"")</f>
        <v>CAMILO ANDRÉS GALINDO GÓMEZ</v>
      </c>
      <c r="L188" s="11" t="str">
        <f>IFERROR(IF(VLOOKUP(A188,[2]PRIORIZADOS!$A:$L,12,FALSE)="","",VLOOKUP(A188,[2]PRIORIZADOS!$A:$L,12,FALSE)),"")</f>
        <v>DORIS YOLANDA LÓPEZ ARÉVALO</v>
      </c>
      <c r="M188" s="88">
        <f>IFERROR(IF(VLOOKUP(A188,[2]PRIORIZADOS!$A:$M,13,FALSE)="","",VLOOKUP(A188,[2]PRIORIZADOS!$A:$M,13,FALSE)),"")</f>
        <v>45790</v>
      </c>
      <c r="N188" s="71">
        <f>IFERROR(IF(VLOOKUP(A188,[2]PRIORIZADOS!$A:$N,14,FALSE)="","",VLOOKUP(A188,[2]PRIORIZADOS!$A:$N,14,FALSE)),"")</f>
        <v>45790</v>
      </c>
      <c r="O188" s="71">
        <f>IFERROR(IF(VLOOKUP(A188,[2]PRIORIZADOS!$A:$O,15,FALSE)="","",VLOOKUP(A188,[2]PRIORIZADOS!$A:$O,15,FALSE)),"")</f>
        <v>45790</v>
      </c>
      <c r="P188" s="11" t="str">
        <f>IFERROR(IF(VLOOKUP(A188,[2]PRIORIZADOS!$A:$P,16,FALSE)="","",VLOOKUP(A188,[2]PRIORIZADOS!$A:$P,16,FALSE)),"")</f>
        <v>Visita con fines de Inspección y Vigilancia</v>
      </c>
      <c r="Q188" s="120" t="s">
        <v>50</v>
      </c>
      <c r="R188" s="11" t="str">
        <f>IFERROR(IF(VLOOKUP(A188,[2]PRIORIZADOS!$A:$R,18,FALSE)="","",VLOOKUP(A188,[2]PRIORIZADOS!$A:$R,18,FALSE)),"")</f>
        <v>Se evidenciaron las actas de conformación de los diferentes estamentos</v>
      </c>
      <c r="S188" s="11" t="str">
        <f>IFERROR(IF(VLOOKUP(A188,[2]PRIORIZADOS!$A:$S,19,FALSE)="","",VLOOKUP(A188,[2]PRIORIZADOS!$A:$S,19,FALSE)),"")</f>
        <v>se solicita cargar la información en la plataforma del Sistema de Apoyo Escolar - SAE</v>
      </c>
      <c r="T188" s="70" t="str">
        <f>IFERROR(IF(VLOOKUP(A188,[2]PRIORIZADOS!$A:$T,20,FALSE)="","",VLOOKUP(A188,[2]PRIORIZADOS!$A:$T,20,FALSE)),"")</f>
        <v>Si</v>
      </c>
      <c r="U188" s="11" t="str">
        <f>IFERROR(IF(VLOOKUP(A188,[2]PRIORIZADOS!$A:$U,21,FALSE)="","",VLOOKUP(A188,[2]PRIORIZADOS!$A:$U,21,FALSE)),"")</f>
        <v>El ELIV revisará la inclusión de las actas según orientación dada</v>
      </c>
    </row>
    <row r="189" spans="1:21" s="1" customFormat="1" ht="72">
      <c r="A189" s="69">
        <f>IF([2]PRIORIZADOS!A69="","",[2]PRIORIZADOS!A69)</f>
        <v>194</v>
      </c>
      <c r="B189" s="87">
        <f>IFERROR(IF(VLOOKUP(A189,[2]PRIORIZADOS!$A:$B,2,FALSE)="","",VLOOKUP(A189,[2]PRIORIZADOS!$A:$B,2,FALSE)),"")</f>
        <v>7</v>
      </c>
      <c r="C189" s="11" t="str">
        <f>IFERROR(IF(VLOOKUP(A189,[2]PRIORIZADOS!$A:$C,3,FALSE)="","",VLOOKUP(A189,[2]PRIORIZADOS!$A:$C,3,FALSE)),"")</f>
        <v xml:space="preserve">BARRIOS UNIDOS </v>
      </c>
      <c r="D189" s="69" t="str">
        <f>IFERROR(IF(VLOOKUP(A189,[2]PRIORIZADOS!$A:$D,4,FALSE)="","",VLOOKUP(A189,[2]PRIORIZADOS!$A:$D,4,FALSE)),"")</f>
        <v>PRIVADO</v>
      </c>
      <c r="E189" s="69" t="str">
        <f>IFERROR(IF(VLOOKUP(A189,[2]PRIORIZADOS!$A:$E,5,FALSE)="","",VLOOKUP(A189,[2]PRIORIZADOS!$A:$E,5,FALSE)),"")</f>
        <v>EPBM</v>
      </c>
      <c r="F189" s="11" t="str">
        <f>IFERROR(IF(VLOOKUP(A189,[2]PRIORIZADOS!$A:$F,6,FALSE)="","",VLOOKUP(A189,[2]PRIORIZADOS!$A:$F,6,FALSE)),"")</f>
        <v>COLEGIO_MONSERRATE</v>
      </c>
      <c r="G189" s="11" t="str">
        <f>IFERROR(IF(VLOOKUP(A189,[2]PRIORIZADOS!$A:$G,7,FALSE)="","",VLOOKUP(A189,[2]PRIORIZADOS!$A:$G,7,FALSE)),"")</f>
        <v>COLEGIO_MONSERRATE</v>
      </c>
      <c r="H189" s="11" t="str">
        <f>IFERROR(IF(VLOOKUP(A189,[2]PRIORIZADOS!$A:$H,8,FALSE)="","",VLOOKUP(A189,[2]PRIORIZADOS!$A:$H,8,FALSE)),"")</f>
        <v>Autoevaluación Institucional y Pruebas SABER 11</v>
      </c>
      <c r="I189" s="11" t="str">
        <f>IFERROR(IF(VLOOKUP(A189,[2]PRIORIZADOS!$A:$I,9,FALSE)="","",VLOOKUP(A189,[2]PRIORIZADOS!$A:$I,9,FALSE)),"")</f>
        <v>EVALUACIÓN_CON_FINES_DE_MEJORAMIENTO.</v>
      </c>
      <c r="J189" s="11" t="str">
        <f>IFERROR(IF(VLOOKUP(A189,[2]PRIORIZADOS!$A:$J,10,FALSE)="","",VLOOKUP(A189,[2]PRIORIZADOS!$A:$J,10,FALSE)),"")</f>
        <v>Verificar las condiciones en cuanto a: la estructura administrativa, condiciones de la planta física y medios educativos adecuados.</v>
      </c>
      <c r="K189" s="11" t="str">
        <f>IFERROR(IF(VLOOKUP(A189,[2]PRIORIZADOS!$A:$K,11,FALSE)="","",VLOOKUP(A189,[2]PRIORIZADOS!$A:$K,11,FALSE)),"")</f>
        <v>CAMILO ANDRÉS GALINDO GÓMEZ</v>
      </c>
      <c r="L189" s="11" t="str">
        <f>IFERROR(IF(VLOOKUP(A189,[2]PRIORIZADOS!$A:$L,12,FALSE)="","",VLOOKUP(A189,[2]PRIORIZADOS!$A:$L,12,FALSE)),"")</f>
        <v>DORIS YOLANDA LÓPEZ ARÉVALO</v>
      </c>
      <c r="M189" s="88">
        <f>IFERROR(IF(VLOOKUP(A189,[2]PRIORIZADOS!$A:$M,13,FALSE)="","",VLOOKUP(A189,[2]PRIORIZADOS!$A:$M,13,FALSE)),"")</f>
        <v>45790</v>
      </c>
      <c r="N189" s="71">
        <f>IFERROR(IF(VLOOKUP(A189,[2]PRIORIZADOS!$A:$N,14,FALSE)="","",VLOOKUP(A189,[2]PRIORIZADOS!$A:$N,14,FALSE)),"")</f>
        <v>45790</v>
      </c>
      <c r="O189" s="71">
        <f>IFERROR(IF(VLOOKUP(A189,[2]PRIORIZADOS!$A:$O,15,FALSE)="","",VLOOKUP(A189,[2]PRIORIZADOS!$A:$O,15,FALSE)),"")</f>
        <v>45790</v>
      </c>
      <c r="P189" s="11" t="str">
        <f>IFERROR(IF(VLOOKUP(A189,[2]PRIORIZADOS!$A:$P,16,FALSE)="","",VLOOKUP(A189,[2]PRIORIZADOS!$A:$P,16,FALSE)),"")</f>
        <v>Visita con fines de Inspección y Vigilancia</v>
      </c>
      <c r="Q189" s="120" t="s">
        <v>50</v>
      </c>
      <c r="R189" s="11" t="str">
        <f>IFERROR(IF(VLOOKUP(A189,[2]PRIORIZADOS!$A:$R,18,FALSE)="","",VLOOKUP(A189,[2]PRIORIZADOS!$A:$R,18,FALSE)),"")</f>
        <v>Se verificó la prestación de servicios en todos los niveles, sin embargo este se está ofreciendo en inmuebles aledaños no autorizados, no hacen parte de la Licencia de Funcionamiento y allí tienen parte del servicio académico y administrativo.</v>
      </c>
      <c r="S189" s="11" t="str">
        <f>IFERROR(IF(VLOOKUP(A189,[2]PRIORIZADOS!$A:$S,19,FALSE)="","",VLOOKUP(A189,[2]PRIORIZADOS!$A:$S,19,FALSE)),"")</f>
        <v>Se le solicita de manera inmediata ocupar el espacio autorizado y retirar la publicidad exterior en los otros inmuebles.</v>
      </c>
      <c r="T189" s="70" t="str">
        <f>IFERROR(IF(VLOOKUP(A189,[2]PRIORIZADOS!$A:$T,20,FALSE)="","",VLOOKUP(A189,[2]PRIORIZADOS!$A:$T,20,FALSE)),"")</f>
        <v>Si</v>
      </c>
      <c r="U189" s="11" t="str">
        <f>IFERROR(IF(VLOOKUP(A189,[2]PRIORIZADOS!$A:$U,21,FALSE)="","",VLOOKUP(A189,[2]PRIORIZADOS!$A:$U,21,FALSE)),"")</f>
        <v>Se otorgaron 10 días hábiles para la presentación del PMI so pena de Proceso Administrativo Sancionatorio</v>
      </c>
    </row>
    <row r="190" spans="1:21" s="1" customFormat="1" ht="72">
      <c r="A190" s="69">
        <f>IF([2]PRIORIZADOS!A70="","",[2]PRIORIZADOS!A70)</f>
        <v>196</v>
      </c>
      <c r="B190" s="87">
        <f>IFERROR(IF(VLOOKUP(A190,[2]PRIORIZADOS!$A:$B,2,FALSE)="","",VLOOKUP(A190,[2]PRIORIZADOS!$A:$B,2,FALSE)),"")</f>
        <v>8</v>
      </c>
      <c r="C190" s="11" t="str">
        <f>IFERROR(IF(VLOOKUP(A190,[2]PRIORIZADOS!$A:$C,3,FALSE)="","",VLOOKUP(A190,[2]PRIORIZADOS!$A:$C,3,FALSE)),"")</f>
        <v xml:space="preserve">BARRIOS UNIDOS </v>
      </c>
      <c r="D190" s="69" t="str">
        <f>IFERROR(IF(VLOOKUP(A190,[2]PRIORIZADOS!$A:$D,4,FALSE)="","",VLOOKUP(A190,[2]PRIORIZADOS!$A:$D,4,FALSE)),"")</f>
        <v>OFICIAL</v>
      </c>
      <c r="E190" s="69" t="str">
        <f>IFERROR(IF(VLOOKUP(A190,[2]PRIORIZADOS!$A:$E,5,FALSE)="","",VLOOKUP(A190,[2]PRIORIZADOS!$A:$E,5,FALSE)),"")</f>
        <v>EPBM</v>
      </c>
      <c r="F190" s="11" t="str">
        <f>IFERROR(IF(VLOOKUP(A190,[2]PRIORIZADOS!$A:$F,6,FALSE)="","",VLOOKUP(A190,[2]PRIORIZADOS!$A:$F,6,FALSE)),"")</f>
        <v>COLEGIO_REPUBLICA_DE_PANAMA_IED</v>
      </c>
      <c r="G190" s="11" t="str">
        <f>IFERROR(IF(VLOOKUP(A190,[2]PRIORIZADOS!$A:$G,7,FALSE)="","",VLOOKUP(A190,[2]PRIORIZADOS!$A:$G,7,FALSE)),"")</f>
        <v>REPUBLICA_DE_PANAMA</v>
      </c>
      <c r="H190" s="11" t="str">
        <f>IFERROR(IF(VLOOKUP(A190,[2]PRIORIZADOS!$A:$H,8,FALSE)="","",VLOOKUP(A190,[2]PRIORIZADOS!$A:$H,8,FALSE)),"")</f>
        <v>Convivencia escolar</v>
      </c>
      <c r="I190" s="11" t="str">
        <f>IFERROR(IF(VLOOKUP(A190,[2]PRIORIZADOS!$A:$I,9,FALSE)="","",VLOOKUP(A190,[2]PRIORIZADOS!$A:$I,9,FALSE)),"")</f>
        <v>SEGUIMIENTO_Y_SUPERVISIÓN.</v>
      </c>
      <c r="J190" s="11" t="str">
        <f>IFERROR(IF(VLOOKUP(A190,[2]PRIORIZADOS!$A:$J,10,FALSE)="","",VLOOKUP(A190,[2]PRIORIZADOS!$A:$J,10,FALSE)),"")</f>
        <v xml:space="preserve">Verificar la implementación por parte de los colegios, de acciones realizadas para la prevención y atención de las situaciones de convivencia en el entorno escolar, según lo establecido en la Directiva 01 de 2022 del MEN. </v>
      </c>
      <c r="K190" s="11" t="str">
        <f>IFERROR(IF(VLOOKUP(A190,[2]PRIORIZADOS!$A:$K,11,FALSE)="","",VLOOKUP(A190,[2]PRIORIZADOS!$A:$K,11,FALSE)),"")</f>
        <v>CAMILO ANDRÉS GALINDO GÓMEZ</v>
      </c>
      <c r="L190" s="11" t="str">
        <f>IFERROR(IF(VLOOKUP(A190,[2]PRIORIZADOS!$A:$L,12,FALSE)="","",VLOOKUP(A190,[2]PRIORIZADOS!$A:$L,12,FALSE)),"")</f>
        <v>DORIS YOLANDA LÓPEZ ARÉVALO</v>
      </c>
      <c r="M190" s="88">
        <f>IFERROR(IF(VLOOKUP(A190,[2]PRIORIZADOS!$A:$M,13,FALSE)="","",VLOOKUP(A190,[2]PRIORIZADOS!$A:$M,13,FALSE)),"")</f>
        <v>45804</v>
      </c>
      <c r="N190" s="71">
        <f>IFERROR(IF(VLOOKUP(A190,[2]PRIORIZADOS!$A:$N,14,FALSE)="","",VLOOKUP(A190,[2]PRIORIZADOS!$A:$N,14,FALSE)),"")</f>
        <v>45804</v>
      </c>
      <c r="O190" s="71">
        <f>IFERROR(IF(VLOOKUP(A190,[2]PRIORIZADOS!$A:$O,15,FALSE)="","",VLOOKUP(A190,[2]PRIORIZADOS!$A:$O,15,FALSE)),"")</f>
        <v>45804</v>
      </c>
      <c r="P190" s="11" t="str">
        <f>IFERROR(IF(VLOOKUP(A190,[2]PRIORIZADOS!$A:$P,16,FALSE)="","",VLOOKUP(A190,[2]PRIORIZADOS!$A:$P,16,FALSE)),"")</f>
        <v>Visitas de evaluación con fines de seguimiento</v>
      </c>
      <c r="Q190" s="119" t="s">
        <v>51</v>
      </c>
      <c r="R190" s="11" t="str">
        <f>IFERROR(IF(VLOOKUP(A190,[2]PRIORIZADOS!$A:$R,18,FALSE)="","",VLOOKUP(A190,[2]PRIORIZADOS!$A:$R,18,FALSE)),"")</f>
        <v>Se evidenció la conformación del Comité de convivencia, el seguimiento de situaciones en el Sistema de alertas y se conoció el cronograma de actividades de promoción y prevención de violencias sexuales.</v>
      </c>
      <c r="S190" s="11" t="str">
        <f>IFERROR(IF(VLOOKUP(A190,[2]PRIORIZADOS!$A:$S,19,FALSE)="","",VLOOKUP(A190,[2]PRIORIZADOS!$A:$S,19,FALSE)),"")</f>
        <v>Se insta a continuar con acciones de prevención hacia la comunidad educativa en general en un trabajo mancomunado con la Oficina de Convivencia Escolar</v>
      </c>
      <c r="T190" s="70" t="str">
        <f>IFERROR(IF(VLOOKUP(A190,[2]PRIORIZADOS!$A:$T,20,FALSE)="","",VLOOKUP(A190,[2]PRIORIZADOS!$A:$T,20,FALSE)),"")</f>
        <v>No</v>
      </c>
      <c r="U190" s="11" t="str">
        <f>IFERROR(IF(VLOOKUP(A190,[2]PRIORIZADOS!$A:$U,21,FALSE)="","",VLOOKUP(A190,[2]PRIORIZADOS!$A:$U,21,FALSE)),"")</f>
        <v>De presentarse una queja se entra a revisar.</v>
      </c>
    </row>
    <row r="191" spans="1:21" s="1" customFormat="1" ht="72">
      <c r="A191" s="69">
        <f>IF([2]PRIORIZADOS!A71="","",[2]PRIORIZADOS!A71)</f>
        <v>197</v>
      </c>
      <c r="B191" s="87">
        <f>IFERROR(IF(VLOOKUP(A191,[2]PRIORIZADOS!$A:$B,2,FALSE)="","",VLOOKUP(A191,[2]PRIORIZADOS!$A:$B,2,FALSE)),"")</f>
        <v>8</v>
      </c>
      <c r="C191" s="11" t="str">
        <f>IFERROR(IF(VLOOKUP(A191,[2]PRIORIZADOS!$A:$C,3,FALSE)="","",VLOOKUP(A191,[2]PRIORIZADOS!$A:$C,3,FALSE)),"")</f>
        <v xml:space="preserve">BARRIOS UNIDOS </v>
      </c>
      <c r="D191" s="69" t="str">
        <f>IFERROR(IF(VLOOKUP(A191,[2]PRIORIZADOS!$A:$D,4,FALSE)="","",VLOOKUP(A191,[2]PRIORIZADOS!$A:$D,4,FALSE)),"")</f>
        <v>OFICIAL</v>
      </c>
      <c r="E191" s="69" t="str">
        <f>IFERROR(IF(VLOOKUP(A191,[2]PRIORIZADOS!$A:$E,5,FALSE)="","",VLOOKUP(A191,[2]PRIORIZADOS!$A:$E,5,FALSE)),"")</f>
        <v>EPBM</v>
      </c>
      <c r="F191" s="11" t="str">
        <f>IFERROR(IF(VLOOKUP(A191,[2]PRIORIZADOS!$A:$F,6,FALSE)="","",VLOOKUP(A191,[2]PRIORIZADOS!$A:$F,6,FALSE)),"")</f>
        <v>COLEGIO_REPUBLICA_DE_PANAMA_IED</v>
      </c>
      <c r="G191" s="11" t="str">
        <f>IFERROR(IF(VLOOKUP(A191,[2]PRIORIZADOS!$A:$G,7,FALSE)="","",VLOOKUP(A191,[2]PRIORIZADOS!$A:$G,7,FALSE)),"")</f>
        <v>REPUBLICA_DE_PANAMA</v>
      </c>
      <c r="H191" s="11" t="str">
        <f>IFERROR(IF(VLOOKUP(A191,[2]PRIORIZADOS!$A:$H,8,FALSE)="","",VLOOKUP(A191,[2]PRIORIZADOS!$A:$H,8,FALSE)),"")</f>
        <v>Convivencia escolar</v>
      </c>
      <c r="I191" s="11" t="str">
        <f>IFERROR(IF(VLOOKUP(A191,[2]PRIORIZADOS!$A:$I,9,FALSE)="","",VLOOKUP(A191,[2]PRIORIZADOS!$A:$I,9,FALSE)),"")</f>
        <v>SEGUIMIENTO_Y_SUPERVISIÓN.</v>
      </c>
      <c r="J191" s="11" t="str">
        <f>IFERROR(IF(VLOOKUP(A191,[2]PRIORIZADOS!$A:$J,10,FALSE)="","",VLOOKUP(A191,[2]PRIORIZADOS!$A:$J,10,FALSE)),"")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1" s="11" t="str">
        <f>IFERROR(IF(VLOOKUP(A191,[2]PRIORIZADOS!$A:$K,11,FALSE)="","",VLOOKUP(A191,[2]PRIORIZADOS!$A:$K,11,FALSE)),"")</f>
        <v>CAMILO ANDRÉS GALINDO GÓMEZ</v>
      </c>
      <c r="L191" s="11" t="str">
        <f>IFERROR(IF(VLOOKUP(A191,[2]PRIORIZADOS!$A:$L,12,FALSE)="","",VLOOKUP(A191,[2]PRIORIZADOS!$A:$L,12,FALSE)),"")</f>
        <v>DORIS YOLANDA LÓPEZ ARÉVALO</v>
      </c>
      <c r="M191" s="88">
        <f>IFERROR(IF(VLOOKUP(A191,[2]PRIORIZADOS!$A:$M,13,FALSE)="","",VLOOKUP(A191,[2]PRIORIZADOS!$A:$M,13,FALSE)),"")</f>
        <v>45804</v>
      </c>
      <c r="N191" s="71">
        <f>IFERROR(IF(VLOOKUP(A191,[2]PRIORIZADOS!$A:$N,14,FALSE)="","",VLOOKUP(A191,[2]PRIORIZADOS!$A:$N,14,FALSE)),"")</f>
        <v>45804</v>
      </c>
      <c r="O191" s="71">
        <f>IFERROR(IF(VLOOKUP(A191,[2]PRIORIZADOS!$A:$O,15,FALSE)="","",VLOOKUP(A191,[2]PRIORIZADOS!$A:$O,15,FALSE)),"")</f>
        <v>45804</v>
      </c>
      <c r="P191" s="11" t="str">
        <f>IFERROR(IF(VLOOKUP(A191,[2]PRIORIZADOS!$A:$P,16,FALSE)="","",VLOOKUP(A191,[2]PRIORIZADOS!$A:$P,16,FALSE)),"")</f>
        <v>Visitas de evaluación con fines de seguimiento</v>
      </c>
      <c r="Q191" s="119" t="s">
        <v>51</v>
      </c>
      <c r="R191" s="11" t="str">
        <f>IFERROR(IF(VLOOKUP(A191,[2]PRIORIZADOS!$A:$R,18,FALSE)="","",VLOOKUP(A191,[2]PRIORIZADOS!$A:$R,18,FALSE)),"")</f>
        <v>Su misionalidad está dirigida a comunidad sorda, la cual se está atendiendo de manera propicia y cada uno cuenta con su Plan Individual de Ajustes Razonables en trabajo mutuo.</v>
      </c>
      <c r="S191" s="11" t="str">
        <f>IFERROR(IF(VLOOKUP(A191,[2]PRIORIZADOS!$A:$S,19,FALSE)="","",VLOOKUP(A191,[2]PRIORIZADOS!$A:$S,19,FALSE)),"")</f>
        <v>Continuar siendo pioneros en la atención a población inclusiva, cumpliendo con el Decreto 1421 de 2017</v>
      </c>
      <c r="T191" s="70" t="str">
        <f>IFERROR(IF(VLOOKUP(A191,[2]PRIORIZADOS!$A:$T,20,FALSE)="","",VLOOKUP(A191,[2]PRIORIZADOS!$A:$T,20,FALSE)),"")</f>
        <v>No</v>
      </c>
      <c r="U191" s="11" t="str">
        <f>IFERROR(IF(VLOOKUP(A191,[2]PRIORIZADOS!$A:$U,21,FALSE)="","",VLOOKUP(A191,[2]PRIORIZADOS!$A:$U,21,FALSE)),"")</f>
        <v>De presentarse una queja se entra a revisar.</v>
      </c>
    </row>
    <row r="192" spans="1:21" s="1" customFormat="1" ht="84">
      <c r="A192" s="69">
        <f>IF([2]PRIORIZADOS!A72="","",[2]PRIORIZADOS!A72)</f>
        <v>198</v>
      </c>
      <c r="B192" s="87">
        <f>IFERROR(IF(VLOOKUP(A192,[2]PRIORIZADOS!$A:$B,2,FALSE)="","",VLOOKUP(A192,[2]PRIORIZADOS!$A:$B,2,FALSE)),"")</f>
        <v>8</v>
      </c>
      <c r="C192" s="11" t="str">
        <f>IFERROR(IF(VLOOKUP(A192,[2]PRIORIZADOS!$A:$C,3,FALSE)="","",VLOOKUP(A192,[2]PRIORIZADOS!$A:$C,3,FALSE)),"")</f>
        <v xml:space="preserve">BARRIOS UNIDOS </v>
      </c>
      <c r="D192" s="69" t="str">
        <f>IFERROR(IF(VLOOKUP(A192,[2]PRIORIZADOS!$A:$D,4,FALSE)="","",VLOOKUP(A192,[2]PRIORIZADOS!$A:$D,4,FALSE)),"")</f>
        <v>OFICIAL</v>
      </c>
      <c r="E192" s="69" t="str">
        <f>IFERROR(IF(VLOOKUP(A192,[2]PRIORIZADOS!$A:$E,5,FALSE)="","",VLOOKUP(A192,[2]PRIORIZADOS!$A:$E,5,FALSE)),"")</f>
        <v>EPBM</v>
      </c>
      <c r="F192" s="11" t="str">
        <f>IFERROR(IF(VLOOKUP(A192,[2]PRIORIZADOS!$A:$F,6,FALSE)="","",VLOOKUP(A192,[2]PRIORIZADOS!$A:$F,6,FALSE)),"")</f>
        <v>COLEGIO_REPUBLICA_DE_PANAMA_IED</v>
      </c>
      <c r="G192" s="11" t="str">
        <f>IFERROR(IF(VLOOKUP(A192,[2]PRIORIZADOS!$A:$G,7,FALSE)="","",VLOOKUP(A192,[2]PRIORIZADOS!$A:$G,7,FALSE)),"")</f>
        <v>REPUBLICA_DE_PANAMA</v>
      </c>
      <c r="H192" s="11" t="str">
        <f>IFERROR(IF(VLOOKUP(A192,[2]PRIORIZADOS!$A:$H,8,FALSE)="","",VLOOKUP(A192,[2]PRIORIZADOS!$A:$H,8,FALSE)),"")</f>
        <v>Convivencia escolar</v>
      </c>
      <c r="I192" s="11" t="str">
        <f>IFERROR(IF(VLOOKUP(A192,[2]PRIORIZADOS!$A:$I,9,FALSE)="","",VLOOKUP(A192,[2]PRIORIZADOS!$A:$I,9,FALSE)),"")</f>
        <v>EVALUACIÓN_CON_FINES_DE_MEJORAMIENTO.</v>
      </c>
      <c r="J192" s="11" t="str">
        <f>IFERROR(IF(VLOOKUP(A192,[2]PRIORIZADOS!$A:$J,10,FALSE)="","",VLOOKUP(A192,[2]PRIORIZADOS!$A:$J,10,FALSE)),"")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2" s="11" t="str">
        <f>IFERROR(IF(VLOOKUP(A192,[2]PRIORIZADOS!$A:$K,11,FALSE)="","",VLOOKUP(A192,[2]PRIORIZADOS!$A:$K,11,FALSE)),"")</f>
        <v>CAMILO ANDRÉS GALINDO GÓMEZ</v>
      </c>
      <c r="L192" s="11" t="str">
        <f>IFERROR(IF(VLOOKUP(A192,[2]PRIORIZADOS!$A:$L,12,FALSE)="","",VLOOKUP(A192,[2]PRIORIZADOS!$A:$L,12,FALSE)),"")</f>
        <v>DORIS YOLANDA LÓPEZ ARÉVALO</v>
      </c>
      <c r="M192" s="88">
        <f>IFERROR(IF(VLOOKUP(A192,[2]PRIORIZADOS!$A:$M,13,FALSE)="","",VLOOKUP(A192,[2]PRIORIZADOS!$A:$M,13,FALSE)),"")</f>
        <v>45804</v>
      </c>
      <c r="N192" s="71">
        <f>IFERROR(IF(VLOOKUP(A192,[2]PRIORIZADOS!$A:$N,14,FALSE)="","",VLOOKUP(A192,[2]PRIORIZADOS!$A:$N,14,FALSE)),"")</f>
        <v>45804</v>
      </c>
      <c r="O192" s="71">
        <f>IFERROR(IF(VLOOKUP(A192,[2]PRIORIZADOS!$A:$O,15,FALSE)="","",VLOOKUP(A192,[2]PRIORIZADOS!$A:$O,15,FALSE)),"")</f>
        <v>45804</v>
      </c>
      <c r="P192" s="11" t="str">
        <f>IFERROR(IF(VLOOKUP(A192,[2]PRIORIZADOS!$A:$P,16,FALSE)="","",VLOOKUP(A192,[2]PRIORIZADOS!$A:$P,16,FALSE)),"")</f>
        <v>Visitas de evaluación con fines de seguimiento</v>
      </c>
      <c r="Q192" s="119" t="s">
        <v>51</v>
      </c>
      <c r="R192" s="11" t="str">
        <f>IFERROR(IF(VLOOKUP(A192,[2]PRIORIZADOS!$A:$R,18,FALSE)="","",VLOOKUP(A192,[2]PRIORIZADOS!$A:$R,18,FALSE)),"")</f>
        <v>Se evidenció anteproyecto del Proyecto educativo Institucional, el cual redunda con la actualización de los documentos institucionales como el Manual y el Sistema Integral de Evaluación de Estudiantes.</v>
      </c>
      <c r="S192" s="11" t="str">
        <f>IFERROR(IF(VLOOKUP(A192,[2]PRIORIZADOS!$A:$S,19,FALSE)="","",VLOOKUP(A192,[2]PRIORIZADOS!$A:$S,19,FALSE)),"")</f>
        <v>Actualizar la página Web con los documentos institucionales vigentes.</v>
      </c>
      <c r="T192" s="70" t="str">
        <f>IFERROR(IF(VLOOKUP(A192,[2]PRIORIZADOS!$A:$T,20,FALSE)="","",VLOOKUP(A192,[2]PRIORIZADOS!$A:$T,20,FALSE)),"")</f>
        <v>Si</v>
      </c>
      <c r="U192" s="11" t="str">
        <f>IFERROR(IF(VLOOKUP(A192,[2]PRIORIZADOS!$A:$U,21,FALSE)="","",VLOOKUP(A192,[2]PRIORIZADOS!$A:$U,21,FALSE)),"")</f>
        <v>Se verificará en el sistema el cargue de los documentos en concordancia con lo informado por el rector en el Plan de Mejoramiento.</v>
      </c>
    </row>
    <row r="193" spans="1:21" s="1" customFormat="1" ht="48">
      <c r="A193" s="69">
        <f>IF([2]PRIORIZADOS!A73="","",[2]PRIORIZADOS!A73)</f>
        <v>199</v>
      </c>
      <c r="B193" s="87">
        <f>IFERROR(IF(VLOOKUP(A193,[2]PRIORIZADOS!$A:$B,2,FALSE)="","",VLOOKUP(A193,[2]PRIORIZADOS!$A:$B,2,FALSE)),"")</f>
        <v>8</v>
      </c>
      <c r="C193" s="11" t="str">
        <f>IFERROR(IF(VLOOKUP(A193,[2]PRIORIZADOS!$A:$C,3,FALSE)="","",VLOOKUP(A193,[2]PRIORIZADOS!$A:$C,3,FALSE)),"")</f>
        <v xml:space="preserve">BARRIOS UNIDOS </v>
      </c>
      <c r="D193" s="69" t="str">
        <f>IFERROR(IF(VLOOKUP(A193,[2]PRIORIZADOS!$A:$D,4,FALSE)="","",VLOOKUP(A193,[2]PRIORIZADOS!$A:$D,4,FALSE)),"")</f>
        <v>OFICIAL</v>
      </c>
      <c r="E193" s="69" t="str">
        <f>IFERROR(IF(VLOOKUP(A193,[2]PRIORIZADOS!$A:$E,5,FALSE)="","",VLOOKUP(A193,[2]PRIORIZADOS!$A:$E,5,FALSE)),"")</f>
        <v>EPBM</v>
      </c>
      <c r="F193" s="11" t="str">
        <f>IFERROR(IF(VLOOKUP(A193,[2]PRIORIZADOS!$A:$F,6,FALSE)="","",VLOOKUP(A193,[2]PRIORIZADOS!$A:$F,6,FALSE)),"")</f>
        <v>COLEGIO_REPUBLICA_DE_PANAMA_IED</v>
      </c>
      <c r="G193" s="11" t="str">
        <f>IFERROR(IF(VLOOKUP(A193,[2]PRIORIZADOS!$A:$G,7,FALSE)="","",VLOOKUP(A193,[2]PRIORIZADOS!$A:$G,7,FALSE)),"")</f>
        <v>REPUBLICA_DE_PANAMA</v>
      </c>
      <c r="H193" s="11" t="str">
        <f>IFERROR(IF(VLOOKUP(A193,[2]PRIORIZADOS!$A:$H,8,FALSE)="","",VLOOKUP(A193,[2]PRIORIZADOS!$A:$H,8,FALSE)),"")</f>
        <v>Convivencia escolar</v>
      </c>
      <c r="I193" s="11" t="str">
        <f>IFERROR(IF(VLOOKUP(A193,[2]PRIORIZADOS!$A:$I,9,FALSE)="","",VLOOKUP(A193,[2]PRIORIZADOS!$A:$I,9,FALSE)),"")</f>
        <v>EVALUACIÓN_CON_FINES_DE_MEJORAMIENTO.</v>
      </c>
      <c r="J193" s="11" t="str">
        <f>IFERROR(IF(VLOOKUP(A193,[2]PRIORIZADOS!$A:$J,10,FALSE)="","",VLOOKUP(A193,[2]PRIORIZADOS!$A:$J,10,FALSE)),"")</f>
        <v>Revisar la actualización, socialización e implementación del Sistema Institucional de Evaluación de Estudiantes - SIEE, en articulación con la actualización del PEI y la normatividad vigente.</v>
      </c>
      <c r="K193" s="11" t="str">
        <f>IFERROR(IF(VLOOKUP(A193,[2]PRIORIZADOS!$A:$K,11,FALSE)="","",VLOOKUP(A193,[2]PRIORIZADOS!$A:$K,11,FALSE)),"")</f>
        <v>CAMILO ANDRÉS GALINDO GÓMEZ</v>
      </c>
      <c r="L193" s="11" t="str">
        <f>IFERROR(IF(VLOOKUP(A193,[2]PRIORIZADOS!$A:$L,12,FALSE)="","",VLOOKUP(A193,[2]PRIORIZADOS!$A:$L,12,FALSE)),"")</f>
        <v>DORIS YOLANDA LÓPEZ ARÉVALO</v>
      </c>
      <c r="M193" s="88">
        <f>IFERROR(IF(VLOOKUP(A193,[2]PRIORIZADOS!$A:$M,13,FALSE)="","",VLOOKUP(A193,[2]PRIORIZADOS!$A:$M,13,FALSE)),"")</f>
        <v>45804</v>
      </c>
      <c r="N193" s="71">
        <f>IFERROR(IF(VLOOKUP(A193,[2]PRIORIZADOS!$A:$N,14,FALSE)="","",VLOOKUP(A193,[2]PRIORIZADOS!$A:$N,14,FALSE)),"")</f>
        <v>45804</v>
      </c>
      <c r="O193" s="71">
        <f>IFERROR(IF(VLOOKUP(A193,[2]PRIORIZADOS!$A:$O,15,FALSE)="","",VLOOKUP(A193,[2]PRIORIZADOS!$A:$O,15,FALSE)),"")</f>
        <v>45804</v>
      </c>
      <c r="P193" s="11" t="str">
        <f>IFERROR(IF(VLOOKUP(A193,[2]PRIORIZADOS!$A:$P,16,FALSE)="","",VLOOKUP(A193,[2]PRIORIZADOS!$A:$P,16,FALSE)),"")</f>
        <v>Visitas de evaluación con fines de seguimiento</v>
      </c>
      <c r="Q193" s="119" t="s">
        <v>51</v>
      </c>
      <c r="R193" s="11" t="str">
        <f>IFERROR(IF(VLOOKUP(A193,[2]PRIORIZADOS!$A:$R,18,FALSE)="","",VLOOKUP(A193,[2]PRIORIZADOS!$A:$R,18,FALSE)),"")</f>
        <v>Se mostró una actualización del PEI el cual involucraba el cambio del nombre</v>
      </c>
      <c r="S193" s="11" t="str">
        <f>IFERROR(IF(VLOOKUP(A193,[2]PRIORIZADOS!$A:$S,19,FALSE)="","",VLOOKUP(A193,[2]PRIORIZADOS!$A:$S,19,FALSE)),"")</f>
        <v>Dar a conocer el Proyecto final ante la SED, por contemplar el cambio de nombre</v>
      </c>
      <c r="T193" s="70" t="str">
        <f>IFERROR(IF(VLOOKUP(A193,[2]PRIORIZADOS!$A:$T,20,FALSE)="","",VLOOKUP(A193,[2]PRIORIZADOS!$A:$T,20,FALSE)),"")</f>
        <v>Si</v>
      </c>
      <c r="U193" s="11" t="str">
        <f>IFERROR(IF(VLOOKUP(A193,[2]PRIORIZADOS!$A:$U,21,FALSE)="","",VLOOKUP(A193,[2]PRIORIZADOS!$A:$U,21,FALSE)),"")</f>
        <v>Se verificará el PEI cuando en julio se dé a conocer según Plan de Mejoramiento Institucional.</v>
      </c>
    </row>
    <row r="194" spans="1:21" s="1" customFormat="1" ht="48">
      <c r="A194" s="69">
        <f>IF([2]PRIORIZADOS!A74="","",[2]PRIORIZADOS!A74)</f>
        <v>200</v>
      </c>
      <c r="B194" s="87">
        <f>IFERROR(IF(VLOOKUP(A194,[2]PRIORIZADOS!$A:$B,2,FALSE)="","",VLOOKUP(A194,[2]PRIORIZADOS!$A:$B,2,FALSE)),"")</f>
        <v>8</v>
      </c>
      <c r="C194" s="11" t="str">
        <f>IFERROR(IF(VLOOKUP(A194,[2]PRIORIZADOS!$A:$C,3,FALSE)="","",VLOOKUP(A194,[2]PRIORIZADOS!$A:$C,3,FALSE)),"")</f>
        <v xml:space="preserve">BARRIOS UNIDOS </v>
      </c>
      <c r="D194" s="69" t="str">
        <f>IFERROR(IF(VLOOKUP(A194,[2]PRIORIZADOS!$A:$D,4,FALSE)="","",VLOOKUP(A194,[2]PRIORIZADOS!$A:$D,4,FALSE)),"")</f>
        <v>OFICIAL</v>
      </c>
      <c r="E194" s="69" t="str">
        <f>IFERROR(IF(VLOOKUP(A194,[2]PRIORIZADOS!$A:$E,5,FALSE)="","",VLOOKUP(A194,[2]PRIORIZADOS!$A:$E,5,FALSE)),"")</f>
        <v>EPBM</v>
      </c>
      <c r="F194" s="11" t="str">
        <f>IFERROR(IF(VLOOKUP(A194,[2]PRIORIZADOS!$A:$F,6,FALSE)="","",VLOOKUP(A194,[2]PRIORIZADOS!$A:$F,6,FALSE)),"")</f>
        <v>COLEGIO_REPUBLICA_DE_PANAMA_IED</v>
      </c>
      <c r="G194" s="11" t="str">
        <f>IFERROR(IF(VLOOKUP(A194,[2]PRIORIZADOS!$A:$G,7,FALSE)="","",VLOOKUP(A194,[2]PRIORIZADOS!$A:$G,7,FALSE)),"")</f>
        <v>REPUBLICA_DE_PANAMA</v>
      </c>
      <c r="H194" s="11" t="str">
        <f>IFERROR(IF(VLOOKUP(A194,[2]PRIORIZADOS!$A:$H,8,FALSE)="","",VLOOKUP(A194,[2]PRIORIZADOS!$A:$H,8,FALSE)),"")</f>
        <v>Convivencia escolar</v>
      </c>
      <c r="I194" s="11" t="str">
        <f>IFERROR(IF(VLOOKUP(A194,[2]PRIORIZADOS!$A:$I,9,FALSE)="","",VLOOKUP(A194,[2]PRIORIZADOS!$A:$I,9,FALSE)),"")</f>
        <v>EVALUACIÓN_CON_FINES_DE_MEJORAMIENTO.</v>
      </c>
      <c r="J194" s="11" t="str">
        <f>IFERROR(IF(VLOOKUP(A194,[2]PRIORIZADOS!$A:$J,10,FALSE)="","",VLOOKUP(A194,[2]PRIORIZADOS!$A:$J,10,FALSE)),"")</f>
        <v>Revisar el calendario escolar, jornada escolar, la intensidad horaria mínima anual en cada nivel y las modificaciones que se realicen al mismo, de acuerdo con lo previsto en la normatividad vigente.</v>
      </c>
      <c r="K194" s="11" t="str">
        <f>IFERROR(IF(VLOOKUP(A194,[2]PRIORIZADOS!$A:$K,11,FALSE)="","",VLOOKUP(A194,[2]PRIORIZADOS!$A:$K,11,FALSE)),"")</f>
        <v>CAMILO ANDRÉS GALINDO GÓMEZ</v>
      </c>
      <c r="L194" s="11" t="str">
        <f>IFERROR(IF(VLOOKUP(A194,[2]PRIORIZADOS!$A:$L,12,FALSE)="","",VLOOKUP(A194,[2]PRIORIZADOS!$A:$L,12,FALSE)),"")</f>
        <v>DORIS YOLANDA LÓPEZ ARÉVALO</v>
      </c>
      <c r="M194" s="88">
        <f>IFERROR(IF(VLOOKUP(A194,[2]PRIORIZADOS!$A:$M,13,FALSE)="","",VLOOKUP(A194,[2]PRIORIZADOS!$A:$M,13,FALSE)),"")</f>
        <v>45804</v>
      </c>
      <c r="N194" s="71">
        <f>IFERROR(IF(VLOOKUP(A194,[2]PRIORIZADOS!$A:$N,14,FALSE)="","",VLOOKUP(A194,[2]PRIORIZADOS!$A:$N,14,FALSE)),"")</f>
        <v>45804</v>
      </c>
      <c r="O194" s="71">
        <f>IFERROR(IF(VLOOKUP(A194,[2]PRIORIZADOS!$A:$O,15,FALSE)="","",VLOOKUP(A194,[2]PRIORIZADOS!$A:$O,15,FALSE)),"")</f>
        <v>45804</v>
      </c>
      <c r="P194" s="11" t="str">
        <f>IFERROR(IF(VLOOKUP(A194,[2]PRIORIZADOS!$A:$P,16,FALSE)="","",VLOOKUP(A194,[2]PRIORIZADOS!$A:$P,16,FALSE)),"")</f>
        <v>Visitas de evaluación con fines de seguimiento</v>
      </c>
      <c r="Q194" s="119" t="s">
        <v>51</v>
      </c>
      <c r="R194" s="11" t="str">
        <f>IFERROR(IF(VLOOKUP(A194,[2]PRIORIZADOS!$A:$R,18,FALSE)="","",VLOOKUP(A194,[2]PRIORIZADOS!$A:$R,18,FALSE)),"")</f>
        <v>Se evidencia que sus actividades están ajustadas de acuerdo a lo normado en la Resolución 1811-2024</v>
      </c>
      <c r="S194" s="11" t="str">
        <f>IFERROR(IF(VLOOKUP(A194,[2]PRIORIZADOS!$A:$S,19,FALSE)="","",VLOOKUP(A194,[2]PRIORIZADOS!$A:$S,19,FALSE)),"")</f>
        <v>Se recuerda que deben enviar información de las semanas de desarrollo institucional.</v>
      </c>
      <c r="T194" s="70" t="str">
        <f>IFERROR(IF(VLOOKUP(A194,[2]PRIORIZADOS!$A:$T,20,FALSE)="","",VLOOKUP(A194,[2]PRIORIZADOS!$A:$T,20,FALSE)),"")</f>
        <v>No</v>
      </c>
      <c r="U194" s="11" t="str">
        <f>IFERROR(IF(VLOOKUP(A194,[2]PRIORIZADOS!$A:$U,21,FALSE)="","",VLOOKUP(A194,[2]PRIORIZADOS!$A:$U,21,FALSE)),"")</f>
        <v>De presentarse una queja se entra a revisar.</v>
      </c>
    </row>
    <row r="195" spans="1:21" s="1" customFormat="1" ht="48">
      <c r="A195" s="69">
        <f>IF([2]PRIORIZADOS!A75="","",[2]PRIORIZADOS!A75)</f>
        <v>201</v>
      </c>
      <c r="B195" s="87">
        <f>IFERROR(IF(VLOOKUP(A195,[2]PRIORIZADOS!$A:$B,2,FALSE)="","",VLOOKUP(A195,[2]PRIORIZADOS!$A:$B,2,FALSE)),"")</f>
        <v>8</v>
      </c>
      <c r="C195" s="11" t="str">
        <f>IFERROR(IF(VLOOKUP(A195,[2]PRIORIZADOS!$A:$C,3,FALSE)="","",VLOOKUP(A195,[2]PRIORIZADOS!$A:$C,3,FALSE)),"")</f>
        <v xml:space="preserve">BARRIOS UNIDOS </v>
      </c>
      <c r="D195" s="69" t="str">
        <f>IFERROR(IF(VLOOKUP(A195,[2]PRIORIZADOS!$A:$D,4,FALSE)="","",VLOOKUP(A195,[2]PRIORIZADOS!$A:$D,4,FALSE)),"")</f>
        <v>OFICIAL</v>
      </c>
      <c r="E195" s="69" t="str">
        <f>IFERROR(IF(VLOOKUP(A195,[2]PRIORIZADOS!$A:$E,5,FALSE)="","",VLOOKUP(A195,[2]PRIORIZADOS!$A:$E,5,FALSE)),"")</f>
        <v>EPBM</v>
      </c>
      <c r="F195" s="11" t="str">
        <f>IFERROR(IF(VLOOKUP(A195,[2]PRIORIZADOS!$A:$F,6,FALSE)="","",VLOOKUP(A195,[2]PRIORIZADOS!$A:$F,6,FALSE)),"")</f>
        <v>COLEGIO_REPUBLICA_DE_PANAMA_IED</v>
      </c>
      <c r="G195" s="11" t="str">
        <f>IFERROR(IF(VLOOKUP(A195,[2]PRIORIZADOS!$A:$G,7,FALSE)="","",VLOOKUP(A195,[2]PRIORIZADOS!$A:$G,7,FALSE)),"")</f>
        <v>REPUBLICA_DE_PANAMA</v>
      </c>
      <c r="H195" s="11" t="str">
        <f>IFERROR(IF(VLOOKUP(A195,[2]PRIORIZADOS!$A:$H,8,FALSE)="","",VLOOKUP(A195,[2]PRIORIZADOS!$A:$H,8,FALSE)),"")</f>
        <v>Convivencia escolar</v>
      </c>
      <c r="I195" s="11" t="str">
        <f>IFERROR(IF(VLOOKUP(A195,[2]PRIORIZADOS!$A:$I,9,FALSE)="","",VLOOKUP(A195,[2]PRIORIZADOS!$A:$I,9,FALSE)),"")</f>
        <v>EVALUACIÓN_CON_FINES_DE_MEJORAMIENTO.</v>
      </c>
      <c r="J195" s="11" t="str">
        <f>IFERROR(IF(VLOOKUP(A195,[2]PRIORIZADOS!$A:$J,10,FALSE)="","",VLOOKUP(A195,[2]PRIORIZADOS!$A:$J,10,FALSE)),"")</f>
        <v>Verificar el funcionamiento del Gobierno Escolar e instancias de participación con base en la información sobre conformación reportada por la institución educativa.</v>
      </c>
      <c r="K195" s="11" t="str">
        <f>IFERROR(IF(VLOOKUP(A195,[2]PRIORIZADOS!$A:$K,11,FALSE)="","",VLOOKUP(A195,[2]PRIORIZADOS!$A:$K,11,FALSE)),"")</f>
        <v>CAMILO ANDRÉS GALINDO GÓMEZ</v>
      </c>
      <c r="L195" s="11" t="str">
        <f>IFERROR(IF(VLOOKUP(A195,[2]PRIORIZADOS!$A:$L,12,FALSE)="","",VLOOKUP(A195,[2]PRIORIZADOS!$A:$L,12,FALSE)),"")</f>
        <v>DORIS YOLANDA LÓPEZ ARÉVALO</v>
      </c>
      <c r="M195" s="88">
        <f>IFERROR(IF(VLOOKUP(A195,[2]PRIORIZADOS!$A:$M,13,FALSE)="","",VLOOKUP(A195,[2]PRIORIZADOS!$A:$M,13,FALSE)),"")</f>
        <v>45804</v>
      </c>
      <c r="N195" s="71">
        <f>IFERROR(IF(VLOOKUP(A195,[2]PRIORIZADOS!$A:$N,14,FALSE)="","",VLOOKUP(A195,[2]PRIORIZADOS!$A:$N,14,FALSE)),"")</f>
        <v>45804</v>
      </c>
      <c r="O195" s="71">
        <f>IFERROR(IF(VLOOKUP(A195,[2]PRIORIZADOS!$A:$O,15,FALSE)="","",VLOOKUP(A195,[2]PRIORIZADOS!$A:$O,15,FALSE)),"")</f>
        <v>45804</v>
      </c>
      <c r="P195" s="11" t="str">
        <f>IFERROR(IF(VLOOKUP(A195,[2]PRIORIZADOS!$A:$P,16,FALSE)="","",VLOOKUP(A195,[2]PRIORIZADOS!$A:$P,16,FALSE)),"")</f>
        <v>Visitas de evaluación con fines de seguimiento</v>
      </c>
      <c r="Q195" s="119" t="s">
        <v>51</v>
      </c>
      <c r="R195" s="11" t="str">
        <f>IFERROR(IF(VLOOKUP(A195,[2]PRIORIZADOS!$A:$R,18,FALSE)="","",VLOOKUP(A195,[2]PRIORIZADOS!$A:$R,18,FALSE)),"")</f>
        <v>Se recibieron las actas de conformación de cada estamento y se evidenció su cargue en la plataforma del Sistema de Apoyo Escolar - SAE</v>
      </c>
      <c r="S195" s="11" t="str">
        <f>IFERROR(IF(VLOOKUP(A195,[2]PRIORIZADOS!$A:$S,19,FALSE)="","",VLOOKUP(A195,[2]PRIORIZADOS!$A:$S,19,FALSE)),"")</f>
        <v>Se les insta continuar con las reuniones de los diferentes órganos de Gobierno escolar.</v>
      </c>
      <c r="T195" s="70" t="str">
        <f>IFERROR(IF(VLOOKUP(A195,[2]PRIORIZADOS!$A:$T,20,FALSE)="","",VLOOKUP(A195,[2]PRIORIZADOS!$A:$T,20,FALSE)),"")</f>
        <v>No</v>
      </c>
      <c r="U195" s="11" t="str">
        <f>IFERROR(IF(VLOOKUP(A195,[2]PRIORIZADOS!$A:$U,21,FALSE)="","",VLOOKUP(A195,[2]PRIORIZADOS!$A:$U,21,FALSE)),"")</f>
        <v>De presentarse una queja se entra a revisar.</v>
      </c>
    </row>
    <row r="196" spans="1:21" s="1" customFormat="1" ht="48">
      <c r="A196" s="69">
        <f>IF([2]PRIORIZADOS!A76="","",[2]PRIORIZADOS!A76)</f>
        <v>202</v>
      </c>
      <c r="B196" s="87">
        <f>IFERROR(IF(VLOOKUP(A196,[2]PRIORIZADOS!$A:$B,2,FALSE)="","",VLOOKUP(A196,[2]PRIORIZADOS!$A:$B,2,FALSE)),"")</f>
        <v>8</v>
      </c>
      <c r="C196" s="11" t="str">
        <f>IFERROR(IF(VLOOKUP(A196,[2]PRIORIZADOS!$A:$C,3,FALSE)="","",VLOOKUP(A196,[2]PRIORIZADOS!$A:$C,3,FALSE)),"")</f>
        <v xml:space="preserve">BARRIOS UNIDOS </v>
      </c>
      <c r="D196" s="69" t="str">
        <f>IFERROR(IF(VLOOKUP(A196,[2]PRIORIZADOS!$A:$D,4,FALSE)="","",VLOOKUP(A196,[2]PRIORIZADOS!$A:$D,4,FALSE)),"")</f>
        <v>OFICIAL</v>
      </c>
      <c r="E196" s="69" t="str">
        <f>IFERROR(IF(VLOOKUP(A196,[2]PRIORIZADOS!$A:$E,5,FALSE)="","",VLOOKUP(A196,[2]PRIORIZADOS!$A:$E,5,FALSE)),"")</f>
        <v>EPBM</v>
      </c>
      <c r="F196" s="11" t="str">
        <f>IFERROR(IF(VLOOKUP(A196,[2]PRIORIZADOS!$A:$F,6,FALSE)="","",VLOOKUP(A196,[2]PRIORIZADOS!$A:$F,6,FALSE)),"")</f>
        <v>COLEGIO_REPUBLICA_DE_PANAMA_IED</v>
      </c>
      <c r="G196" s="11" t="str">
        <f>IFERROR(IF(VLOOKUP(A196,[2]PRIORIZADOS!$A:$G,7,FALSE)="","",VLOOKUP(A196,[2]PRIORIZADOS!$A:$G,7,FALSE)),"")</f>
        <v>REPUBLICA_DE_PANAMA</v>
      </c>
      <c r="H196" s="11" t="str">
        <f>IFERROR(IF(VLOOKUP(A196,[2]PRIORIZADOS!$A:$H,8,FALSE)="","",VLOOKUP(A196,[2]PRIORIZADOS!$A:$H,8,FALSE)),"")</f>
        <v>Convivencia escolar</v>
      </c>
      <c r="I196" s="11" t="str">
        <f>IFERROR(IF(VLOOKUP(A196,[2]PRIORIZADOS!$A:$I,9,FALSE)="","",VLOOKUP(A196,[2]PRIORIZADOS!$A:$I,9,FALSE)),"")</f>
        <v>EVALUACIÓN_CON_FINES_DE_MEJORAMIENTO.</v>
      </c>
      <c r="J196" s="11" t="str">
        <f>IFERROR(IF(VLOOKUP(A196,[2]PRIORIZADOS!$A:$J,10,FALSE)="","",VLOOKUP(A196,[2]PRIORIZADOS!$A:$J,10,FALSE)),"")</f>
        <v>Verificar las condiciones en cuanto a: la estructura administrativa, condiciones de la planta física y medios educativos adecuados.</v>
      </c>
      <c r="K196" s="11" t="str">
        <f>IFERROR(IF(VLOOKUP(A196,[2]PRIORIZADOS!$A:$K,11,FALSE)="","",VLOOKUP(A196,[2]PRIORIZADOS!$A:$K,11,FALSE)),"")</f>
        <v>CAMILO ANDRÉS GALINDO GÓMEZ</v>
      </c>
      <c r="L196" s="11" t="str">
        <f>IFERROR(IF(VLOOKUP(A196,[2]PRIORIZADOS!$A:$L,12,FALSE)="","",VLOOKUP(A196,[2]PRIORIZADOS!$A:$L,12,FALSE)),"")</f>
        <v>DORIS YOLANDA LÓPEZ ARÉVALO</v>
      </c>
      <c r="M196" s="88">
        <f>IFERROR(IF(VLOOKUP(A196,[2]PRIORIZADOS!$A:$M,13,FALSE)="","",VLOOKUP(A196,[2]PRIORIZADOS!$A:$M,13,FALSE)),"")</f>
        <v>45804</v>
      </c>
      <c r="N196" s="71">
        <f>IFERROR(IF(VLOOKUP(A196,[2]PRIORIZADOS!$A:$N,14,FALSE)="","",VLOOKUP(A196,[2]PRIORIZADOS!$A:$N,14,FALSE)),"")</f>
        <v>45804</v>
      </c>
      <c r="O196" s="71">
        <f>IFERROR(IF(VLOOKUP(A196,[2]PRIORIZADOS!$A:$O,15,FALSE)="","",VLOOKUP(A196,[2]PRIORIZADOS!$A:$O,15,FALSE)),"")</f>
        <v>45804</v>
      </c>
      <c r="P196" s="11" t="str">
        <f>IFERROR(IF(VLOOKUP(A196,[2]PRIORIZADOS!$A:$P,16,FALSE)="","",VLOOKUP(A196,[2]PRIORIZADOS!$A:$P,16,FALSE)),"")</f>
        <v>Visitas de evaluación con fines de seguimiento</v>
      </c>
      <c r="Q196" s="119" t="s">
        <v>51</v>
      </c>
      <c r="R196" s="11" t="str">
        <f>IFERROR(IF(VLOOKUP(A196,[2]PRIORIZADOS!$A:$R,18,FALSE)="","",VLOOKUP(A196,[2]PRIORIZADOS!$A:$R,18,FALSE)),"")</f>
        <v>Se verificaron tres sedes autorizadas, medios educativos y espacios escolares.</v>
      </c>
      <c r="S196" s="11" t="str">
        <f>IFERROR(IF(VLOOKUP(A196,[2]PRIORIZADOS!$A:$S,19,FALSE)="","",VLOOKUP(A196,[2]PRIORIZADOS!$A:$S,19,FALSE)),"")</f>
        <v>Se hacen algunas recomendaciones por oficio para que sean tenidas en cuenta, como la señalización de parqueaderos, seguridad exterior y vecinos.</v>
      </c>
      <c r="T196" s="70" t="str">
        <f>IFERROR(IF(VLOOKUP(A196,[2]PRIORIZADOS!$A:$T,20,FALSE)="","",VLOOKUP(A196,[2]PRIORIZADOS!$A:$T,20,FALSE)),"")</f>
        <v>Si</v>
      </c>
      <c r="U196" s="11" t="str">
        <f>IFERROR(IF(VLOOKUP(A196,[2]PRIORIZADOS!$A:$U,21,FALSE)="","",VLOOKUP(A196,[2]PRIORIZADOS!$A:$U,21,FALSE)),"")</f>
        <v>Se verificará a través de visita de seguimiento</v>
      </c>
    </row>
    <row r="197" spans="1:21" s="1" customFormat="1" ht="60">
      <c r="A197" s="69">
        <f>IF([3]PRIORIZADOS!A8="","",[3]PRIORIZADOS!A8)</f>
        <v>203</v>
      </c>
      <c r="B197" s="70">
        <f>IFERROR(IF(VLOOKUP(A197,[3]PRIORIZADOS!$A:$B,2,FALSE)="","",VLOOKUP(A197,[3]PRIORIZADOS!$A:$B,2,FALSE)),"")</f>
        <v>1</v>
      </c>
      <c r="C197" s="11" t="str">
        <f>IFERROR(IF(VLOOKUP(A197,[3]PRIORIZADOS!$A:$C,3,FALSE)="","",VLOOKUP(A197,[3]PRIORIZADOS!$A:$C,3,FALSE)),"")</f>
        <v>BOSA</v>
      </c>
      <c r="D197" s="11" t="str">
        <f>IFERROR(IF(VLOOKUP(A197,[3]PRIORIZADOS!$A:$D,4,FALSE)="","",VLOOKUP(A197,[3]PRIORIZADOS!$A:$D,4,FALSE)),"")</f>
        <v>PRIVADO</v>
      </c>
      <c r="E197" s="11" t="str">
        <f>IFERROR(IF(VLOOKUP(A197,[3]PRIORIZADOS!$A:$E,5,FALSE)="","",VLOOKUP(A197,[3]PRIORIZADOS!$A:$E,5,FALSE)),"")</f>
        <v>Educación de Jóvenes y Adultos</v>
      </c>
      <c r="F197" s="11" t="str">
        <f>IFERROR(IF(VLOOKUP(A197,[3]PRIORIZADOS!$A:$F,6,FALSE)="","",VLOOKUP(A197,[3]PRIORIZADOS!$A:$F,6,FALSE)),"")</f>
        <v>CENTRO_EDUCATIVO_EXTERNADO_SIMON_BOLIVAR</v>
      </c>
      <c r="G197" s="11" t="str">
        <f>IFERROR(IF(VLOOKUP(A197,[3]PRIORIZADOS!$A:$G,7,FALSE)="","",VLOOKUP(A197,[3]PRIORIZADOS!$A:$G,7,FALSE)),"")</f>
        <v>CENTRO EDUCATIVO EXTERNADO SIMON BOLIVAR</v>
      </c>
      <c r="H197" s="11" t="str">
        <f>IFERROR(IF(VLOOKUP(A197,[3]PRIORIZADOS!$A:$H,8,FALSE)="","",VLOOKUP(A197,[3]PRIORIZADOS!$A:$H,8,FALSE)),"")</f>
        <v>Autoevaluación Institucional y Pruebas SABER 11</v>
      </c>
      <c r="I197" s="11" t="str">
        <f>IFERROR(IF(VLOOKUP(A197,[3]PRIORIZADOS!$A:$I,9,FALSE)="","",VLOOKUP(A197,[3]PRIORIZADOS!$A:$I,9,FALSE)),"")</f>
        <v>SEGUIMIENTO_Y_SUPERVISIÓN.</v>
      </c>
      <c r="J197" s="11" t="str">
        <f>IFERROR(IF(VLOOKUP(A197,[3]PRIORIZADOS!$A:$J,10,FALSE)="","",VLOOKUP(A197,[3]PRIORIZADOS!$A:$J,10,FALSE)),"")</f>
        <v>Realizar visitas para verificar la información registrada sobre la autoevaluación institucional en el aplicativo EVI, a los establecimientos de educación formal no oficial.</v>
      </c>
      <c r="K197" s="11" t="str">
        <f>IFERROR(IF(VLOOKUP(A197,[3]PRIORIZADOS!$A:$K,11,FALSE)="","",VLOOKUP(A197,[3]PRIORIZADOS!$A:$K,11,FALSE)),"")</f>
        <v>ESTEFANY PEÑA GARCIA</v>
      </c>
      <c r="L197" s="11" t="str">
        <f>IFERROR(IF(VLOOKUP(A197,[3]PRIORIZADOS!$A:$L,12,FALSE)="","",VLOOKUP(A197,[3]PRIORIZADOS!$A:$L,12,FALSE)),"")</f>
        <v>ANA ANDREA VARGAS GONZÁLEZ</v>
      </c>
      <c r="M197" s="71">
        <f>IFERROR(IF(VLOOKUP(A197,[3]PRIORIZADOS!$A:$M,13,FALSE)="","",VLOOKUP(A197,[3]PRIORIZADOS!$A:$M,13,FALSE)),"")</f>
        <v>45734</v>
      </c>
      <c r="N197" s="71">
        <f>IFERROR(IF(VLOOKUP(A197,[3]PRIORIZADOS!$A:$N,14,FALSE)="","",VLOOKUP(A197,[3]PRIORIZADOS!$A:$N,14,FALSE)),"")</f>
        <v>45734</v>
      </c>
      <c r="O197" s="71">
        <f>IFERROR(IF(VLOOKUP(A197,[3]PRIORIZADOS!$A:$O,15,FALSE)="","",VLOOKUP(A197,[3]PRIORIZADOS!$A:$O,15,FALSE)),"")</f>
        <v>45734</v>
      </c>
      <c r="P197" s="11" t="str">
        <f>IFERROR(IF(VLOOKUP(A197,[3]PRIORIZADOS!$A:$P,16,FALSE)="","",VLOOKUP(A197,[3]PRIORIZADOS!$A:$P,16,FALSE)),"")</f>
        <v>Visitas de evaluación con fines de mejoramiento</v>
      </c>
      <c r="Q197" s="121" t="s">
        <v>52</v>
      </c>
      <c r="R197" s="11" t="str">
        <f>IFERROR(IF(VLOOKUP(A197,[3]PRIORIZADOS!$A:$R,18,FALSE)="","",VLOOKUP(A197,[3]PRIORIZADOS!$A:$R,18,FALSE)),"")</f>
        <v>La información consignada en la Plataforma EVI relacionada con los indicadores de: planta física, dotación de espacios y calendario académico coincide con lo verificado en campo</v>
      </c>
      <c r="S197" s="11" t="str">
        <f>IFERROR(IF(VLOOKUP(A197,[3]PRIORIZADOS!$A:$S,19,FALSE)="","",VLOOKUP(A197,[3]PRIORIZADOS!$A:$S,19,FALSE)),"")</f>
        <v xml:space="preserve">Se concluye que la IE realizará su autoevalución institucional en el mes octubre.  </v>
      </c>
      <c r="T197" s="70" t="str">
        <f>IFERROR(IF(VLOOKUP(A197,[3]PRIORIZADOS!$A:$T,20,FALSE)="","",VLOOKUP(A197,[3]PRIORIZADOS!$A:$T,20,FALSE)),"")</f>
        <v>No</v>
      </c>
      <c r="U197" s="11" t="str">
        <f>IFERROR(IF(VLOOKUP(A197,[3]PRIORIZADOS!$A:$U,21,FALSE)="","",VLOOKUP(A197,[3]PRIORIZADOS!$A:$U,21,FALSE)),"")</f>
        <v>Se verificará la información cargada por la IE en el aplicativo EVI de la autoevaluación,  para la emisión del concepto de tarifas 2026.</v>
      </c>
    </row>
    <row r="198" spans="1:21" s="1" customFormat="1" ht="84">
      <c r="A198" s="69">
        <f>IF([3]PRIORIZADOS!A9="","",[3]PRIORIZADOS!A9)</f>
        <v>204</v>
      </c>
      <c r="B198" s="70">
        <f>IFERROR(IF(VLOOKUP(A198,[3]PRIORIZADOS!$A:$B,2,FALSE)="","",VLOOKUP(A198,[3]PRIORIZADOS!$A:$B,2,FALSE)),"")</f>
        <v>1</v>
      </c>
      <c r="C198" s="11" t="str">
        <f>IFERROR(IF(VLOOKUP(A198,[3]PRIORIZADOS!$A:$C,3,FALSE)="","",VLOOKUP(A198,[3]PRIORIZADOS!$A:$C,3,FALSE)),"")</f>
        <v>BOSA</v>
      </c>
      <c r="D198" s="11" t="str">
        <f>IFERROR(IF(VLOOKUP(A198,[3]PRIORIZADOS!$A:$D,4,FALSE)="","",VLOOKUP(A198,[3]PRIORIZADOS!$A:$D,4,FALSE)),"")</f>
        <v>PRIVADO</v>
      </c>
      <c r="E198" s="11" t="str">
        <f>IFERROR(IF(VLOOKUP(A198,[3]PRIORIZADOS!$A:$E,5,FALSE)="","",VLOOKUP(A198,[3]PRIORIZADOS!$A:$E,5,FALSE)),"")</f>
        <v>Educación de Jóvenes y Adultos</v>
      </c>
      <c r="F198" s="11" t="str">
        <f>IFERROR(IF(VLOOKUP(A198,[3]PRIORIZADOS!$A:$F,6,FALSE)="","",VLOOKUP(A198,[3]PRIORIZADOS!$A:$F,6,FALSE)),"")</f>
        <v>CENTRO_EDUCATIVO_EXTERNADO_SIMON_BOLIVAR</v>
      </c>
      <c r="G198" s="11" t="str">
        <f>IFERROR(IF(VLOOKUP(A198,[3]PRIORIZADOS!$A:$G,7,FALSE)="","",VLOOKUP(A198,[3]PRIORIZADOS!$A:$G,7,FALSE)),"")</f>
        <v>CENTRO EDUCATIVO EXTERNADO SIMON BOLIVAR</v>
      </c>
      <c r="H198" s="11" t="str">
        <f>IFERROR(IF(VLOOKUP(A198,[3]PRIORIZADOS!$A:$H,8,FALSE)="","",VLOOKUP(A198,[3]PRIORIZADOS!$A:$H,8,FALSE)),"")</f>
        <v>Autoevaluación Institucional y Pruebas SABER 11</v>
      </c>
      <c r="I198" s="11" t="str">
        <f>IFERROR(IF(VLOOKUP(A198,[3]PRIORIZADOS!$A:$I,9,FALSE)="","",VLOOKUP(A198,[3]PRIORIZADOS!$A:$I,9,FALSE)),"")</f>
        <v>SEGUIMIENTO_Y_SUPERVISIÓN.</v>
      </c>
      <c r="J198" s="11" t="str">
        <f>IFERROR(IF(VLOOKUP(A198,[3]PRIORIZADOS!$A:$J,10,FALSE)="","",VLOOKUP(A198,[3]PRIORIZADOS!$A:$J,10,FALSE)),"")</f>
        <v>Proponer estrategias en la formulación, verificar su elaboración y realizar seguimiento semestral al desarrollo de  las acciones establecidas en los planes de mejoramiento por pruebas SABER 11 de los establecimientos de educación formal.</v>
      </c>
      <c r="K198" s="11" t="str">
        <f>IFERROR(IF(VLOOKUP(A198,[3]PRIORIZADOS!$A:$K,11,FALSE)="","",VLOOKUP(A198,[3]PRIORIZADOS!$A:$K,11,FALSE)),"")</f>
        <v>ESTEFANY PEÑA GARCIA</v>
      </c>
      <c r="L198" s="11" t="str">
        <f>IFERROR(IF(VLOOKUP(A198,[3]PRIORIZADOS!$A:$L,12,FALSE)="","",VLOOKUP(A198,[3]PRIORIZADOS!$A:$L,12,FALSE)),"")</f>
        <v>ANA ANDREA VARGAS GONZÁLEZ</v>
      </c>
      <c r="M198" s="71">
        <f>IFERROR(IF(VLOOKUP(A198,[3]PRIORIZADOS!$A:$M,13,FALSE)="","",VLOOKUP(A198,[3]PRIORIZADOS!$A:$M,13,FALSE)),"")</f>
        <v>45734</v>
      </c>
      <c r="N198" s="71">
        <f>IFERROR(IF(VLOOKUP(A198,[3]PRIORIZADOS!$A:$N,14,FALSE)="","",VLOOKUP(A198,[3]PRIORIZADOS!$A:$N,14,FALSE)),"")</f>
        <v>45734</v>
      </c>
      <c r="O198" s="71">
        <f>IFERROR(IF(VLOOKUP(A198,[3]PRIORIZADOS!$A:$O,15,FALSE)="","",VLOOKUP(A198,[3]PRIORIZADOS!$A:$O,15,FALSE)),"")</f>
        <v>45734</v>
      </c>
      <c r="P198" s="11" t="str">
        <f>IFERROR(IF(VLOOKUP(A198,[3]PRIORIZADOS!$A:$P,16,FALSE)="","",VLOOKUP(A198,[3]PRIORIZADOS!$A:$P,16,FALSE)),"")</f>
        <v>Visitas de evaluación con fines de seguimiento</v>
      </c>
      <c r="Q198" s="121" t="s">
        <v>52</v>
      </c>
      <c r="R198" s="11" t="str">
        <f>IFERROR(IF(VLOOKUP(A198,[3]PRIORIZADOS!$A:$R,18,FALSE)="","",VLOOKUP(A198,[3]PRIORIZADOS!$A:$R,18,FALSE)),"")</f>
        <v>La IE se encuentra en Categoría B, realizó la revisión y análisis de los resultados para  actualización del curriculo y el plan de estudios. Se ha adelantado el diagnóstico y la propuesta de Intervención, aplicando pruebas preliminares.</v>
      </c>
      <c r="S198" s="11" t="str">
        <f>IFERROR(IF(VLOOKUP(A198,[3]PRIORIZADOS!$A:$S,19,FALSE)="","",VLOOKUP(A198,[3]PRIORIZADOS!$A:$S,19,FALSE)),"")</f>
        <v>La IE se compromete a diseñar un Plan de Mejoramiento con estrategia actualizada que cuente con cronograma, actividades específicas y proceso de seguimiento y evaluación</v>
      </c>
      <c r="T198" s="70" t="str">
        <f>IFERROR(IF(VLOOKUP(A198,[3]PRIORIZADOS!$A:$T,20,FALSE)="","",VLOOKUP(A198,[3]PRIORIZADOS!$A:$T,20,FALSE)),"")</f>
        <v>Si</v>
      </c>
      <c r="U198" s="11" t="str">
        <f>IFERROR(IF(VLOOKUP(A198,[3]PRIORIZADOS!$A:$U,21,FALSE)="","",VLOOKUP(A198,[3]PRIORIZADOS!$A:$U,21,FALSE)),"")</f>
        <v>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
    </row>
    <row r="199" spans="1:21" s="1" customFormat="1" ht="72">
      <c r="A199" s="69">
        <f>IF([3]PRIORIZADOS!A10="","",[3]PRIORIZADOS!A10)</f>
        <v>205</v>
      </c>
      <c r="B199" s="70">
        <f>IFERROR(IF(VLOOKUP(A199,[3]PRIORIZADOS!$A:$B,2,FALSE)="","",VLOOKUP(A199,[3]PRIORIZADOS!$A:$B,2,FALSE)),"")</f>
        <v>1</v>
      </c>
      <c r="C199" s="11" t="str">
        <f>IFERROR(IF(VLOOKUP(A199,[3]PRIORIZADOS!$A:$C,3,FALSE)="","",VLOOKUP(A199,[3]PRIORIZADOS!$A:$C,3,FALSE)),"")</f>
        <v>BOSA</v>
      </c>
      <c r="D199" s="11" t="str">
        <f>IFERROR(IF(VLOOKUP(A199,[3]PRIORIZADOS!$A:$D,4,FALSE)="","",VLOOKUP(A199,[3]PRIORIZADOS!$A:$D,4,FALSE)),"")</f>
        <v>PRIVADO</v>
      </c>
      <c r="E199" s="11" t="str">
        <f>IFERROR(IF(VLOOKUP(A199,[3]PRIORIZADOS!$A:$E,5,FALSE)="","",VLOOKUP(A199,[3]PRIORIZADOS!$A:$E,5,FALSE)),"")</f>
        <v>Educación de Jóvenes y Adultos</v>
      </c>
      <c r="F199" s="11" t="str">
        <f>IFERROR(IF(VLOOKUP(A199,[3]PRIORIZADOS!$A:$F,6,FALSE)="","",VLOOKUP(A199,[3]PRIORIZADOS!$A:$F,6,FALSE)),"")</f>
        <v>CENTRO_EDUCATIVO_EXTERNADO_SIMON_BOLIVAR</v>
      </c>
      <c r="G199" s="11" t="str">
        <f>IFERROR(IF(VLOOKUP(A199,[3]PRIORIZADOS!$A:$G,7,FALSE)="","",VLOOKUP(A199,[3]PRIORIZADOS!$A:$G,7,FALSE)),"")</f>
        <v>CENTRO EDUCATIVO EXTERNADO SIMON BOLIVAR</v>
      </c>
      <c r="H199" s="11" t="str">
        <f>IFERROR(IF(VLOOKUP(A199,[3]PRIORIZADOS!$A:$H,8,FALSE)="","",VLOOKUP(A199,[3]PRIORIZADOS!$A:$H,8,FALSE)),"")</f>
        <v>Autoevaluación Institucional y Pruebas SABER 11</v>
      </c>
      <c r="I199" s="11" t="str">
        <f>IFERROR(IF(VLOOKUP(A199,[3]PRIORIZADOS!$A:$I,9,FALSE)="","",VLOOKUP(A199,[3]PRIORIZADOS!$A:$I,9,FALSE)),"")</f>
        <v>SEGUIMIENTO_Y_SUPERVISIÓN.</v>
      </c>
      <c r="J199" s="11" t="str">
        <f>IFERROR(IF(VLOOKUP(A199,[3]PRIORIZADOS!$A:$J,10,FALSE)="","",VLOOKUP(A199,[3]PRIORIZADOS!$A:$J,10,FALSE)),"")</f>
        <v xml:space="preserve">Verificar la implementación por parte de los colegios, de acciones realizadas para la prevención y atención de las situaciones de convivencia en el entorno escolar, según lo establecido en la Directiva 01 de 2022 del MEN. </v>
      </c>
      <c r="K199" s="11" t="str">
        <f>IFERROR(IF(VLOOKUP(A199,[3]PRIORIZADOS!$A:$K,11,FALSE)="","",VLOOKUP(A199,[3]PRIORIZADOS!$A:$K,11,FALSE)),"")</f>
        <v>ESTEFANY PEÑA GARCIA</v>
      </c>
      <c r="L199" s="11" t="str">
        <f>IFERROR(IF(VLOOKUP(A199,[3]PRIORIZADOS!$A:$L,12,FALSE)="","",VLOOKUP(A199,[3]PRIORIZADOS!$A:$L,12,FALSE)),"")</f>
        <v>ANA ANDREA VARGAS GONZÁLEZ</v>
      </c>
      <c r="M199" s="71">
        <f>IFERROR(IF(VLOOKUP(A199,[3]PRIORIZADOS!$A:$M,13,FALSE)="","",VLOOKUP(A199,[3]PRIORIZADOS!$A:$M,13,FALSE)),"")</f>
        <v>45734</v>
      </c>
      <c r="N199" s="71">
        <f>IFERROR(IF(VLOOKUP(A199,[3]PRIORIZADOS!$A:$N,14,FALSE)="","",VLOOKUP(A199,[3]PRIORIZADOS!$A:$N,14,FALSE)),"")</f>
        <v>45734</v>
      </c>
      <c r="O199" s="71">
        <f>IFERROR(IF(VLOOKUP(A199,[3]PRIORIZADOS!$A:$O,15,FALSE)="","",VLOOKUP(A199,[3]PRIORIZADOS!$A:$O,15,FALSE)),"")</f>
        <v>45734</v>
      </c>
      <c r="P199" s="11" t="str">
        <f>IFERROR(IF(VLOOKUP(A199,[3]PRIORIZADOS!$A:$P,16,FALSE)="","",VLOOKUP(A199,[3]PRIORIZADOS!$A:$P,16,FALSE)),"")</f>
        <v>Visitas de evaluación con fines de mejoramiento</v>
      </c>
      <c r="Q199" s="107" t="s">
        <v>52</v>
      </c>
      <c r="R199" s="11" t="str">
        <f>IFERROR(IF(VLOOKUP(A199,[3]PRIORIZADOS!$A:$R,18,FALSE)="","",VLOOKUP(A199,[3]PRIORIZADOS!$A:$R,18,FALSE)),"")</f>
        <v>Se verifica la implementación de acciones  realizadas para la prevención como lo es la verificación de inhabilidades por delitos sexuales en el sistema de la Policía Nacional.</v>
      </c>
      <c r="S199" s="11" t="str">
        <f>IFERROR(IF(VLOOKUP(A199,[3]PRIORIZADOS!$A:$S,19,FALSE)="","",VLOOKUP(A199,[3]PRIORIZADOS!$A:$S,19,FALSE)),"")</f>
        <v>Como acción de verificación se solicita implementar  la autorización de directivos, docentes y administrativos para las consultas de antecedentes en los sistemas que se requieran al momento de la vinculación</v>
      </c>
      <c r="T199" s="70" t="str">
        <f>IFERROR(IF(VLOOKUP(A199,[3]PRIORIZADOS!$A:$T,20,FALSE)="","",VLOOKUP(A199,[3]PRIORIZADOS!$A:$T,20,FALSE)),"")</f>
        <v>No</v>
      </c>
      <c r="U199" s="11" t="str">
        <f>IFERROR(IF(VLOOKUP(A199,[3]PRIORIZADOS!$A:$U,21,FALSE)="","",VLOOKUP(A199,[3]PRIORIZADOS!$A:$U,21,FALSE)),"")</f>
        <v>Verificar que la IE cuente con las respectivas autorizaciones para las consultas de antedecentes del personal vinculado.</v>
      </c>
    </row>
    <row r="200" spans="1:21" s="1" customFormat="1" ht="72">
      <c r="A200" s="69">
        <f>IF([3]PRIORIZADOS!A11="","",[3]PRIORIZADOS!A11)</f>
        <v>206</v>
      </c>
      <c r="B200" s="70">
        <f>IFERROR(IF(VLOOKUP(A200,[3]PRIORIZADOS!$A:$B,2,FALSE)="","",VLOOKUP(A200,[3]PRIORIZADOS!$A:$B,2,FALSE)),"")</f>
        <v>1</v>
      </c>
      <c r="C200" s="11" t="str">
        <f>IFERROR(IF(VLOOKUP(A200,[3]PRIORIZADOS!$A:$C,3,FALSE)="","",VLOOKUP(A200,[3]PRIORIZADOS!$A:$C,3,FALSE)),"")</f>
        <v>BOSA</v>
      </c>
      <c r="D200" s="11" t="str">
        <f>IFERROR(IF(VLOOKUP(A200,[3]PRIORIZADOS!$A:$D,4,FALSE)="","",VLOOKUP(A200,[3]PRIORIZADOS!$A:$D,4,FALSE)),"")</f>
        <v>PRIVADO</v>
      </c>
      <c r="E200" s="11" t="str">
        <f>IFERROR(IF(VLOOKUP(A200,[3]PRIORIZADOS!$A:$E,5,FALSE)="","",VLOOKUP(A200,[3]PRIORIZADOS!$A:$E,5,FALSE)),"")</f>
        <v>Educación de Jóvenes y Adultos</v>
      </c>
      <c r="F200" s="11" t="str">
        <f>IFERROR(IF(VLOOKUP(A200,[3]PRIORIZADOS!$A:$F,6,FALSE)="","",VLOOKUP(A200,[3]PRIORIZADOS!$A:$F,6,FALSE)),"")</f>
        <v>CENTRO_EDUCATIVO_EXTERNADO_SIMON_BOLIVAR</v>
      </c>
      <c r="G200" s="11" t="str">
        <f>IFERROR(IF(VLOOKUP(A200,[3]PRIORIZADOS!$A:$G,7,FALSE)="","",VLOOKUP(A200,[3]PRIORIZADOS!$A:$G,7,FALSE)),"")</f>
        <v>CENTRO EDUCATIVO EXTERNADO SIMON BOLIVAR</v>
      </c>
      <c r="H200" s="11" t="str">
        <f>IFERROR(IF(VLOOKUP(A200,[3]PRIORIZADOS!$A:$H,8,FALSE)="","",VLOOKUP(A200,[3]PRIORIZADOS!$A:$H,8,FALSE)),"")</f>
        <v>Autoevaluación Institucional y Pruebas SABER 11</v>
      </c>
      <c r="I200" s="11" t="str">
        <f>IFERROR(IF(VLOOKUP(A200,[3]PRIORIZADOS!$A:$I,9,FALSE)="","",VLOOKUP(A200,[3]PRIORIZADOS!$A:$I,9,FALSE)),"")</f>
        <v>SEGUIMIENTO_Y_SUPERVISIÓN.</v>
      </c>
      <c r="J200" s="11" t="str">
        <f>IFERROR(IF(VLOOKUP(A200,[3]PRIORIZADOS!$A:$J,10,FALSE)="","",VLOOKUP(A200,[3]PRIORIZADOS!$A:$J,10,FALSE)),"")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0" s="11" t="str">
        <f>IFERROR(IF(VLOOKUP(A200,[3]PRIORIZADOS!$A:$K,11,FALSE)="","",VLOOKUP(A200,[3]PRIORIZADOS!$A:$K,11,FALSE)),"")</f>
        <v>ESTEFANY PEÑA GARCIA</v>
      </c>
      <c r="L200" s="11" t="str">
        <f>IFERROR(IF(VLOOKUP(A200,[3]PRIORIZADOS!$A:$L,12,FALSE)="","",VLOOKUP(A200,[3]PRIORIZADOS!$A:$L,12,FALSE)),"")</f>
        <v>ANA ANDREA VARGAS GONZÁLEZ</v>
      </c>
      <c r="M200" s="71">
        <f>IFERROR(IF(VLOOKUP(A200,[3]PRIORIZADOS!$A:$M,13,FALSE)="","",VLOOKUP(A200,[3]PRIORIZADOS!$A:$M,13,FALSE)),"")</f>
        <v>45734</v>
      </c>
      <c r="N200" s="71">
        <f>IFERROR(IF(VLOOKUP(A200,[3]PRIORIZADOS!$A:$N,14,FALSE)="","",VLOOKUP(A200,[3]PRIORIZADOS!$A:$N,14,FALSE)),"")</f>
        <v>45734</v>
      </c>
      <c r="O200" s="71">
        <f>IFERROR(IF(VLOOKUP(A200,[3]PRIORIZADOS!$A:$O,15,FALSE)="","",VLOOKUP(A200,[3]PRIORIZADOS!$A:$O,15,FALSE)),"")</f>
        <v>45734</v>
      </c>
      <c r="P200" s="11" t="str">
        <f>IFERROR(IF(VLOOKUP(A200,[3]PRIORIZADOS!$A:$P,16,FALSE)="","",VLOOKUP(A200,[3]PRIORIZADOS!$A:$P,16,FALSE)),"")</f>
        <v>Visitas de evaluación con fines de mejoramiento</v>
      </c>
      <c r="Q200" s="107" t="s">
        <v>52</v>
      </c>
      <c r="R200" s="11" t="str">
        <f>IFERROR(IF(VLOOKUP(A200,[3]PRIORIZADOS!$A:$R,18,FALSE)="","",VLOOKUP(A200,[3]PRIORIZADOS!$A:$R,18,FALSE)),"")</f>
        <v>Al revisar la Plataforma SIMAT, no hay estudiantes marcados en la Plataforma con discapacidad</v>
      </c>
      <c r="S200" s="11" t="str">
        <f>IFERROR(IF(VLOOKUP(A200,[3]PRIORIZADOS!$A:$S,19,FALSE)="","",VLOOKUP(A200,[3]PRIORIZADOS!$A:$S,19,FALSE)),"")</f>
        <v>La Institución Educativa se compromete a remitir el Documento Institucional del Plan Individual de Ajustes Razonables PIAR</v>
      </c>
      <c r="T200" s="70" t="str">
        <f>IFERROR(IF(VLOOKUP(A200,[3]PRIORIZADOS!$A:$T,20,FALSE)="","",VLOOKUP(A200,[3]PRIORIZADOS!$A:$T,20,FALSE)),"")</f>
        <v>No</v>
      </c>
      <c r="U200" s="11" t="str">
        <f>IFERROR(IF(VLOOKUP(A200,[3]PRIORIZADOS!$A:$U,21,FALSE)="","",VLOOKUP(A200,[3]PRIORIZADOS!$A:$U,21,FALSE)),"")</f>
        <v>Verificar la información en SIMAT</v>
      </c>
    </row>
    <row r="201" spans="1:21" s="1" customFormat="1" ht="84">
      <c r="A201" s="69">
        <f>IF([3]PRIORIZADOS!A12="","",[3]PRIORIZADOS!A12)</f>
        <v>207</v>
      </c>
      <c r="B201" s="70">
        <f>IFERROR(IF(VLOOKUP(A201,[3]PRIORIZADOS!$A:$B,2,FALSE)="","",VLOOKUP(A201,[3]PRIORIZADOS!$A:$B,2,FALSE)),"")</f>
        <v>1</v>
      </c>
      <c r="C201" s="11" t="str">
        <f>IFERROR(IF(VLOOKUP(A201,[3]PRIORIZADOS!$A:$C,3,FALSE)="","",VLOOKUP(A201,[3]PRIORIZADOS!$A:$C,3,FALSE)),"")</f>
        <v>BOSA</v>
      </c>
      <c r="D201" s="11" t="str">
        <f>IFERROR(IF(VLOOKUP(A201,[3]PRIORIZADOS!$A:$D,4,FALSE)="","",VLOOKUP(A201,[3]PRIORIZADOS!$A:$D,4,FALSE)),"")</f>
        <v>PRIVADO</v>
      </c>
      <c r="E201" s="11" t="str">
        <f>IFERROR(IF(VLOOKUP(A201,[3]PRIORIZADOS!$A:$E,5,FALSE)="","",VLOOKUP(A201,[3]PRIORIZADOS!$A:$E,5,FALSE)),"")</f>
        <v>Educación de Jóvenes y Adultos</v>
      </c>
      <c r="F201" s="11" t="str">
        <f>IFERROR(IF(VLOOKUP(A201,[3]PRIORIZADOS!$A:$F,6,FALSE)="","",VLOOKUP(A201,[3]PRIORIZADOS!$A:$F,6,FALSE)),"")</f>
        <v>CENTRO_EDUCATIVO_EXTERNADO_SIMON_BOLIVAR</v>
      </c>
      <c r="G201" s="11" t="str">
        <f>IFERROR(IF(VLOOKUP(A201,[3]PRIORIZADOS!$A:$G,7,FALSE)="","",VLOOKUP(A201,[3]PRIORIZADOS!$A:$G,7,FALSE)),"")</f>
        <v>CENTRO EDUCATIVO EXTERNADO SIMON BOLIVAR</v>
      </c>
      <c r="H201" s="11" t="str">
        <f>IFERROR(IF(VLOOKUP(A201,[3]PRIORIZADOS!$A:$H,8,FALSE)="","",VLOOKUP(A201,[3]PRIORIZADOS!$A:$H,8,FALSE)),"")</f>
        <v>Autoevaluación Institucional y Pruebas SABER 11</v>
      </c>
      <c r="I201" s="11" t="str">
        <f>IFERROR(IF(VLOOKUP(A201,[3]PRIORIZADOS!$A:$I,9,FALSE)="","",VLOOKUP(A201,[3]PRIORIZADOS!$A:$I,9,FALSE)),"")</f>
        <v>EVALUACIÓN_CON_FINES_DE_MEJORAMIENTO.</v>
      </c>
      <c r="J201" s="11" t="str">
        <f>IFERROR(IF(VLOOKUP(A201,[3]PRIORIZADOS!$A:$J,10,FALSE)="","",VLOOKUP(A201,[3]PRIORIZADOS!$A:$J,10,FALSE)),"")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1" s="11" t="str">
        <f>IFERROR(IF(VLOOKUP(A201,[3]PRIORIZADOS!$A:$K,11,FALSE)="","",VLOOKUP(A201,[3]PRIORIZADOS!$A:$K,11,FALSE)),"")</f>
        <v>ESTEFANY PEÑA GARCIA</v>
      </c>
      <c r="L201" s="11" t="str">
        <f>IFERROR(IF(VLOOKUP(A201,[3]PRIORIZADOS!$A:$L,12,FALSE)="","",VLOOKUP(A201,[3]PRIORIZADOS!$A:$L,12,FALSE)),"")</f>
        <v>ANA ANDREA VARGAS GONZÁLEZ</v>
      </c>
      <c r="M201" s="71">
        <f>IFERROR(IF(VLOOKUP(A201,[3]PRIORIZADOS!$A:$M,13,FALSE)="","",VLOOKUP(A201,[3]PRIORIZADOS!$A:$M,13,FALSE)),"")</f>
        <v>45734</v>
      </c>
      <c r="N201" s="71">
        <f>IFERROR(IF(VLOOKUP(A201,[3]PRIORIZADOS!$A:$N,14,FALSE)="","",VLOOKUP(A201,[3]PRIORIZADOS!$A:$N,14,FALSE)),"")</f>
        <v>45734</v>
      </c>
      <c r="O201" s="71">
        <f>IFERROR(IF(VLOOKUP(A201,[3]PRIORIZADOS!$A:$O,15,FALSE)="","",VLOOKUP(A201,[3]PRIORIZADOS!$A:$O,15,FALSE)),"")</f>
        <v>45734</v>
      </c>
      <c r="P201" s="11" t="str">
        <f>IFERROR(IF(VLOOKUP(A201,[3]PRIORIZADOS!$A:$P,16,FALSE)="","",VLOOKUP(A201,[3]PRIORIZADOS!$A:$P,16,FALSE)),"")</f>
        <v>Visitas de evaluación con fines de mejoramiento</v>
      </c>
      <c r="Q201" s="107" t="s">
        <v>52</v>
      </c>
      <c r="R201" s="11" t="str">
        <f>IFERROR(IF(VLOOKUP(A201,[3]PRIORIZADOS!$A:$R,18,FALSE)="","",VLOOKUP(A201,[3]PRIORIZADOS!$A:$R,18,FALSE)),"")</f>
        <v>El Manual de Convivencia fue construido y adoptado de forma participativa e incluye los componentes generales, los diferentes enfoques y se encuentra conforme a lo establecido en el PEI y la normatividad vigente</v>
      </c>
      <c r="S201" s="11" t="str">
        <f>IFERROR(IF(VLOOKUP(A201,[3]PRIORIZADOS!$A:$S,19,FALSE)="","",VLOOKUP(A201,[3]PRIORIZADOS!$A:$S,19,FALSE)),"")</f>
        <v>Como acción de verificación la Institución Educativa se compromete a remitir la versión actualizada del Manual de Convivencia a la vigencia 2024 -2025</v>
      </c>
      <c r="T201" s="70" t="str">
        <f>IFERROR(IF(VLOOKUP(A201,[3]PRIORIZADOS!$A:$T,20,FALSE)="","",VLOOKUP(A201,[3]PRIORIZADOS!$A:$T,20,FALSE)),"")</f>
        <v>No</v>
      </c>
      <c r="U201" s="11" t="str">
        <f>IFERROR(IF(VLOOKUP(A201,[3]PRIORIZADOS!$A:$U,21,FALSE)="","",VLOOKUP(A201,[3]PRIORIZADOS!$A:$U,21,FALSE)),"")</f>
        <v>Verificar nuevamente el documento en el mes de agosto de 2025 y generar espacios de asesoría, conforme lo requiera la IE</v>
      </c>
    </row>
    <row r="202" spans="1:21" s="1" customFormat="1" ht="72">
      <c r="A202" s="69">
        <f>IF([3]PRIORIZADOS!A13="","",[3]PRIORIZADOS!A13)</f>
        <v>208</v>
      </c>
      <c r="B202" s="70">
        <f>IFERROR(IF(VLOOKUP(A202,[3]PRIORIZADOS!$A:$B,2,FALSE)="","",VLOOKUP(A202,[3]PRIORIZADOS!$A:$B,2,FALSE)),"")</f>
        <v>1</v>
      </c>
      <c r="C202" s="11" t="str">
        <f>IFERROR(IF(VLOOKUP(A202,[3]PRIORIZADOS!$A:$C,3,FALSE)="","",VLOOKUP(A202,[3]PRIORIZADOS!$A:$C,3,FALSE)),"")</f>
        <v>BOSA</v>
      </c>
      <c r="D202" s="11" t="str">
        <f>IFERROR(IF(VLOOKUP(A202,[3]PRIORIZADOS!$A:$D,4,FALSE)="","",VLOOKUP(A202,[3]PRIORIZADOS!$A:$D,4,FALSE)),"")</f>
        <v>PRIVADO</v>
      </c>
      <c r="E202" s="11" t="str">
        <f>IFERROR(IF(VLOOKUP(A202,[3]PRIORIZADOS!$A:$E,5,FALSE)="","",VLOOKUP(A202,[3]PRIORIZADOS!$A:$E,5,FALSE)),"")</f>
        <v>Educación de Jóvenes y Adultos</v>
      </c>
      <c r="F202" s="11" t="str">
        <f>IFERROR(IF(VLOOKUP(A202,[3]PRIORIZADOS!$A:$F,6,FALSE)="","",VLOOKUP(A202,[3]PRIORIZADOS!$A:$F,6,FALSE)),"")</f>
        <v>CENTRO_EDUCATIVO_EXTERNADO_SIMON_BOLIVAR</v>
      </c>
      <c r="G202" s="11" t="str">
        <f>IFERROR(IF(VLOOKUP(A202,[3]PRIORIZADOS!$A:$G,7,FALSE)="","",VLOOKUP(A202,[3]PRIORIZADOS!$A:$G,7,FALSE)),"")</f>
        <v>CENTRO EDUCATIVO EXTERNADO SIMON BOLIVAR</v>
      </c>
      <c r="H202" s="11" t="str">
        <f>IFERROR(IF(VLOOKUP(A202,[3]PRIORIZADOS!$A:$H,8,FALSE)="","",VLOOKUP(A202,[3]PRIORIZADOS!$A:$H,8,FALSE)),"")</f>
        <v>Autoevaluación Institucional y Pruebas SABER 11</v>
      </c>
      <c r="I202" s="11" t="str">
        <f>IFERROR(IF(VLOOKUP(A202,[3]PRIORIZADOS!$A:$I,9,FALSE)="","",VLOOKUP(A202,[3]PRIORIZADOS!$A:$I,9,FALSE)),"")</f>
        <v>EVALUACIÓN_CON_FINES_DE_MEJORAMIENTO.</v>
      </c>
      <c r="J202" s="11" t="str">
        <f>IFERROR(IF(VLOOKUP(A202,[3]PRIORIZADOS!$A:$J,10,FALSE)="","",VLOOKUP(A202,[3]PRIORIZADOS!$A:$J,10,FALSE)),"")</f>
        <v>Revisar la actualización, socialización e implementación del Sistema Institucional de Evaluación de Estudiantes - SIEE, en articulación con la actualización del PEI y la normatividad vigente.</v>
      </c>
      <c r="K202" s="11" t="str">
        <f>IFERROR(IF(VLOOKUP(A202,[3]PRIORIZADOS!$A:$K,11,FALSE)="","",VLOOKUP(A202,[3]PRIORIZADOS!$A:$K,11,FALSE)),"")</f>
        <v>ESTEFANY PEÑA GARCIA</v>
      </c>
      <c r="L202" s="11" t="str">
        <f>IFERROR(IF(VLOOKUP(A202,[3]PRIORIZADOS!$A:$L,12,FALSE)="","",VLOOKUP(A202,[3]PRIORIZADOS!$A:$L,12,FALSE)),"")</f>
        <v>ANA ANDREA VARGAS GONZÁLEZ</v>
      </c>
      <c r="M202" s="71">
        <f>IFERROR(IF(VLOOKUP(A202,[3]PRIORIZADOS!$A:$M,13,FALSE)="","",VLOOKUP(A202,[3]PRIORIZADOS!$A:$M,13,FALSE)),"")</f>
        <v>45734</v>
      </c>
      <c r="N202" s="71">
        <f>IFERROR(IF(VLOOKUP(A202,[3]PRIORIZADOS!$A:$N,14,FALSE)="","",VLOOKUP(A202,[3]PRIORIZADOS!$A:$N,14,FALSE)),"")</f>
        <v>45734</v>
      </c>
      <c r="O202" s="71">
        <f>IFERROR(IF(VLOOKUP(A202,[3]PRIORIZADOS!$A:$O,15,FALSE)="","",VLOOKUP(A202,[3]PRIORIZADOS!$A:$O,15,FALSE)),"")</f>
        <v>45734</v>
      </c>
      <c r="P202" s="11" t="str">
        <f>IFERROR(IF(VLOOKUP(A202,[3]PRIORIZADOS!$A:$P,16,FALSE)="","",VLOOKUP(A202,[3]PRIORIZADOS!$A:$P,16,FALSE)),"")</f>
        <v>Visitas de evaluación con fines de mejoramiento</v>
      </c>
      <c r="Q202" s="107" t="s">
        <v>52</v>
      </c>
      <c r="R202" s="11" t="str">
        <f>IFERROR(IF(VLOOKUP(A202,[3]PRIORIZADOS!$A:$R,18,FALSE)="","",VLOOKUP(A202,[3]PRIORIZADOS!$A:$R,18,FALSE)),"")</f>
        <v>Se evidencia el Sistema Institucional de Evaluación de Estudiantes - SIEE, actualizado para la vigencia 2025. Fue construido en articulación con el Consejo Directivo y la comunidad educativa desde el año 2019 y se actualiza cada 2 años</v>
      </c>
      <c r="S202" s="11" t="str">
        <f>IFERROR(IF(VLOOKUP(A202,[3]PRIORIZADOS!$A:$S,19,FALSE)="","",VLOOKUP(A202,[3]PRIORIZADOS!$A:$S,19,FALSE)),"")</f>
        <v>Como acción de verificación la Institución Educativa se compromete a remitir la versión actualizada del  Sistema institucional de evaluación de los estudiantes- SIEE</v>
      </c>
      <c r="T202" s="70" t="str">
        <f>IFERROR(IF(VLOOKUP(A202,[3]PRIORIZADOS!$A:$T,20,FALSE)="","",VLOOKUP(A202,[3]PRIORIZADOS!$A:$T,20,FALSE)),"")</f>
        <v>No</v>
      </c>
      <c r="U202" s="11" t="str">
        <f>IFERROR(IF(VLOOKUP(A202,[3]PRIORIZADOS!$A:$U,21,FALSE)="","",VLOOKUP(A202,[3]PRIORIZADOS!$A:$U,21,FALSE)),"")</f>
        <v>Verificar nuevamente el documento en el mes de agosto de 2025 y generar espacios de asesoría, conforme lo requiera la IE</v>
      </c>
    </row>
    <row r="203" spans="1:21" s="1" customFormat="1" ht="48">
      <c r="A203" s="69">
        <f>IF([3]PRIORIZADOS!A14="","",[3]PRIORIZADOS!A14)</f>
        <v>209</v>
      </c>
      <c r="B203" s="70">
        <f>IFERROR(IF(VLOOKUP(A203,[3]PRIORIZADOS!$A:$B,2,FALSE)="","",VLOOKUP(A203,[3]PRIORIZADOS!$A:$B,2,FALSE)),"")</f>
        <v>1</v>
      </c>
      <c r="C203" s="11" t="str">
        <f>IFERROR(IF(VLOOKUP(A203,[3]PRIORIZADOS!$A:$C,3,FALSE)="","",VLOOKUP(A203,[3]PRIORIZADOS!$A:$C,3,FALSE)),"")</f>
        <v>BOSA</v>
      </c>
      <c r="D203" s="11" t="str">
        <f>IFERROR(IF(VLOOKUP(A203,[3]PRIORIZADOS!$A:$D,4,FALSE)="","",VLOOKUP(A203,[3]PRIORIZADOS!$A:$D,4,FALSE)),"")</f>
        <v>PRIVADO</v>
      </c>
      <c r="E203" s="11" t="str">
        <f>IFERROR(IF(VLOOKUP(A203,[3]PRIORIZADOS!$A:$E,5,FALSE)="","",VLOOKUP(A203,[3]PRIORIZADOS!$A:$E,5,FALSE)),"")</f>
        <v>Educación de Jóvenes y Adultos</v>
      </c>
      <c r="F203" s="11" t="str">
        <f>IFERROR(IF(VLOOKUP(A203,[3]PRIORIZADOS!$A:$F,6,FALSE)="","",VLOOKUP(A203,[3]PRIORIZADOS!$A:$F,6,FALSE)),"")</f>
        <v>CENTRO_EDUCATIVO_EXTERNADO_SIMON_BOLIVAR</v>
      </c>
      <c r="G203" s="11" t="str">
        <f>IFERROR(IF(VLOOKUP(A203,[3]PRIORIZADOS!$A:$G,7,FALSE)="","",VLOOKUP(A203,[3]PRIORIZADOS!$A:$G,7,FALSE)),"")</f>
        <v>CENTRO EDUCATIVO EXTERNADO SIMON BOLIVAR</v>
      </c>
      <c r="H203" s="11" t="str">
        <f>IFERROR(IF(VLOOKUP(A203,[3]PRIORIZADOS!$A:$H,8,FALSE)="","",VLOOKUP(A203,[3]PRIORIZADOS!$A:$H,8,FALSE)),"")</f>
        <v>Autoevaluación Institucional y Pruebas SABER 11</v>
      </c>
      <c r="I203" s="11" t="str">
        <f>IFERROR(IF(VLOOKUP(A203,[3]PRIORIZADOS!$A:$I,9,FALSE)="","",VLOOKUP(A203,[3]PRIORIZADOS!$A:$I,9,FALSE)),"")</f>
        <v>EVALUACIÓN_CON_FINES_DE_MEJORAMIENTO.</v>
      </c>
      <c r="J203" s="11" t="str">
        <f>IFERROR(IF(VLOOKUP(A203,[3]PRIORIZADOS!$A:$J,10,FALSE)="","",VLOOKUP(A203,[3]PRIORIZADOS!$A:$J,10,FALSE)),"")</f>
        <v>Revisar el calendario escolar, jornada escolar, la intensidad horaria mínima anual en cada nivel y las modificaciones que se realicen al mismo, de acuerdo con lo previsto en la normatividad vigente.</v>
      </c>
      <c r="K203" s="11" t="str">
        <f>IFERROR(IF(VLOOKUP(A203,[3]PRIORIZADOS!$A:$K,11,FALSE)="","",VLOOKUP(A203,[3]PRIORIZADOS!$A:$K,11,FALSE)),"")</f>
        <v>ESTEFANY PEÑA GARCIA</v>
      </c>
      <c r="L203" s="11" t="str">
        <f>IFERROR(IF(VLOOKUP(A203,[3]PRIORIZADOS!$A:$L,12,FALSE)="","",VLOOKUP(A203,[3]PRIORIZADOS!$A:$L,12,FALSE)),"")</f>
        <v>ANA ANDREA VARGAS GONZÁLEZ</v>
      </c>
      <c r="M203" s="71">
        <f>IFERROR(IF(VLOOKUP(A203,[3]PRIORIZADOS!$A:$M,13,FALSE)="","",VLOOKUP(A203,[3]PRIORIZADOS!$A:$M,13,FALSE)),"")</f>
        <v>45734</v>
      </c>
      <c r="N203" s="71">
        <f>IFERROR(IF(VLOOKUP(A203,[3]PRIORIZADOS!$A:$N,14,FALSE)="","",VLOOKUP(A203,[3]PRIORIZADOS!$A:$N,14,FALSE)),"")</f>
        <v>45734</v>
      </c>
      <c r="O203" s="71">
        <f>IFERROR(IF(VLOOKUP(A203,[3]PRIORIZADOS!$A:$O,15,FALSE)="","",VLOOKUP(A203,[3]PRIORIZADOS!$A:$O,15,FALSE)),"")</f>
        <v>45734</v>
      </c>
      <c r="P203" s="11" t="str">
        <f>IFERROR(IF(VLOOKUP(A203,[3]PRIORIZADOS!$A:$P,16,FALSE)="","",VLOOKUP(A203,[3]PRIORIZADOS!$A:$P,16,FALSE)),"")</f>
        <v>Visitas de evaluación con fines de mejoramiento</v>
      </c>
      <c r="Q203" s="107" t="s">
        <v>52</v>
      </c>
      <c r="R203" s="11" t="str">
        <f>IFERROR(IF(VLOOKUP(A203,[3]PRIORIZADOS!$A:$R,18,FALSE)="","",VLOOKUP(A203,[3]PRIORIZADOS!$A:$R,18,FALSE)),"")</f>
        <v>El calendario escolar, jornada escolar, la intensidad horaria mínima anual en cada nivel se encuentran conforme lo previsto en la normatividad vigente</v>
      </c>
      <c r="S203" s="11" t="str">
        <f>IFERROR(IF(VLOOKUP(A203,[3]PRIORIZADOS!$A:$S,19,FALSE)="","",VLOOKUP(A203,[3]PRIORIZADOS!$A:$S,19,FALSE)),"")</f>
        <v>Como acción de verificación la Institución Educativa se compromete a remitir la versión actualizada calendario escolar</v>
      </c>
      <c r="T203" s="70" t="str">
        <f>IFERROR(IF(VLOOKUP(A203,[3]PRIORIZADOS!$A:$T,20,FALSE)="","",VLOOKUP(A203,[3]PRIORIZADOS!$A:$T,20,FALSE)),"")</f>
        <v>No</v>
      </c>
      <c r="U203" s="11" t="str">
        <f>IFERROR(IF(VLOOKUP(A203,[3]PRIORIZADOS!$A:$U,21,FALSE)="","",VLOOKUP(A203,[3]PRIORIZADOS!$A:$U,21,FALSE)),"")</f>
        <v>Verificar nuevamente el documento en el mes de agosto de 2025 y generar espacios de asesoría, conforme lo requiera la IE</v>
      </c>
    </row>
    <row r="204" spans="1:21" s="1" customFormat="1" ht="48">
      <c r="A204" s="69">
        <f>IF([3]PRIORIZADOS!A15="","",[3]PRIORIZADOS!A15)</f>
        <v>210</v>
      </c>
      <c r="B204" s="70">
        <f>IFERROR(IF(VLOOKUP(A204,[3]PRIORIZADOS!$A:$B,2,FALSE)="","",VLOOKUP(A204,[3]PRIORIZADOS!$A:$B,2,FALSE)),"")</f>
        <v>1</v>
      </c>
      <c r="C204" s="11" t="str">
        <f>IFERROR(IF(VLOOKUP(A204,[3]PRIORIZADOS!$A:$C,3,FALSE)="","",VLOOKUP(A204,[3]PRIORIZADOS!$A:$C,3,FALSE)),"")</f>
        <v>BOSA</v>
      </c>
      <c r="D204" s="11" t="str">
        <f>IFERROR(IF(VLOOKUP(A204,[3]PRIORIZADOS!$A:$D,4,FALSE)="","",VLOOKUP(A204,[3]PRIORIZADOS!$A:$D,4,FALSE)),"")</f>
        <v>PRIVADO</v>
      </c>
      <c r="E204" s="11" t="str">
        <f>IFERROR(IF(VLOOKUP(A204,[3]PRIORIZADOS!$A:$E,5,FALSE)="","",VLOOKUP(A204,[3]PRIORIZADOS!$A:$E,5,FALSE)),"")</f>
        <v>Educación de Jóvenes y Adultos</v>
      </c>
      <c r="F204" s="11" t="str">
        <f>IFERROR(IF(VLOOKUP(A204,[3]PRIORIZADOS!$A:$F,6,FALSE)="","",VLOOKUP(A204,[3]PRIORIZADOS!$A:$F,6,FALSE)),"")</f>
        <v>CENTRO_EDUCATIVO_EXTERNADO_SIMON_BOLIVAR</v>
      </c>
      <c r="G204" s="11" t="str">
        <f>IFERROR(IF(VLOOKUP(A204,[3]PRIORIZADOS!$A:$G,7,FALSE)="","",VLOOKUP(A204,[3]PRIORIZADOS!$A:$G,7,FALSE)),"")</f>
        <v>CENTRO EDUCATIVO EXTERNADO SIMON BOLIVAR</v>
      </c>
      <c r="H204" s="11" t="str">
        <f>IFERROR(IF(VLOOKUP(A204,[3]PRIORIZADOS!$A:$H,8,FALSE)="","",VLOOKUP(A204,[3]PRIORIZADOS!$A:$H,8,FALSE)),"")</f>
        <v>Autoevaluación Institucional y Pruebas SABER 11</v>
      </c>
      <c r="I204" s="11" t="str">
        <f>IFERROR(IF(VLOOKUP(A204,[3]PRIORIZADOS!$A:$I,9,FALSE)="","",VLOOKUP(A204,[3]PRIORIZADOS!$A:$I,9,FALSE)),"")</f>
        <v>EVALUACIÓN_CON_FINES_DE_MEJORAMIENTO.</v>
      </c>
      <c r="J204" s="11" t="str">
        <f>IFERROR(IF(VLOOKUP(A204,[3]PRIORIZADOS!$A:$J,10,FALSE)="","",VLOOKUP(A204,[3]PRIORIZADOS!$A:$J,10,FALSE)),"")</f>
        <v>Verificar el funcionamiento del Gobierno Escolar e instancias de participación con base en la información sobre conformación reportada por la institución educativa.</v>
      </c>
      <c r="K204" s="11" t="str">
        <f>IFERROR(IF(VLOOKUP(A204,[3]PRIORIZADOS!$A:$K,11,FALSE)="","",VLOOKUP(A204,[3]PRIORIZADOS!$A:$K,11,FALSE)),"")</f>
        <v>ESTEFANY PEÑA GARCIA</v>
      </c>
      <c r="L204" s="11" t="str">
        <f>IFERROR(IF(VLOOKUP(A204,[3]PRIORIZADOS!$A:$L,12,FALSE)="","",VLOOKUP(A204,[3]PRIORIZADOS!$A:$L,12,FALSE)),"")</f>
        <v>ANA ANDREA VARGAS GONZÁLEZ</v>
      </c>
      <c r="M204" s="71">
        <f>IFERROR(IF(VLOOKUP(A204,[3]PRIORIZADOS!$A:$M,13,FALSE)="","",VLOOKUP(A204,[3]PRIORIZADOS!$A:$M,13,FALSE)),"")</f>
        <v>45734</v>
      </c>
      <c r="N204" s="71">
        <f>IFERROR(IF(VLOOKUP(A204,[3]PRIORIZADOS!$A:$N,14,FALSE)="","",VLOOKUP(A204,[3]PRIORIZADOS!$A:$N,14,FALSE)),"")</f>
        <v>45734</v>
      </c>
      <c r="O204" s="71">
        <f>IFERROR(IF(VLOOKUP(A204,[3]PRIORIZADOS!$A:$O,15,FALSE)="","",VLOOKUP(A204,[3]PRIORIZADOS!$A:$O,15,FALSE)),"")</f>
        <v>45734</v>
      </c>
      <c r="P204" s="11" t="str">
        <f>IFERROR(IF(VLOOKUP(A204,[3]PRIORIZADOS!$A:$P,16,FALSE)="","",VLOOKUP(A204,[3]PRIORIZADOS!$A:$P,16,FALSE)),"")</f>
        <v>Visitas de evaluación con fines de mejoramiento</v>
      </c>
      <c r="Q204" s="107" t="s">
        <v>52</v>
      </c>
      <c r="R204" s="11" t="str">
        <f>IFERROR(IF(VLOOKUP(A204,[3]PRIORIZADOS!$A:$R,18,FALSE)="","",VLOOKUP(A204,[3]PRIORIZADOS!$A:$R,18,FALSE)),"")</f>
        <v>La constitución del Gobierno Escolar y sus órganos de participación, se encuentra conforme a la Normativa Vigente</v>
      </c>
      <c r="S204" s="11" t="str">
        <f>IFERROR(IF(VLOOKUP(A204,[3]PRIORIZADOS!$A:$S,19,FALSE)="","",VLOOKUP(A204,[3]PRIORIZADOS!$A:$S,19,FALSE)),"")</f>
        <v>Continuar operando conforme funciones y reglamentos.</v>
      </c>
      <c r="T204" s="70" t="str">
        <f>IFERROR(IF(VLOOKUP(A204,[3]PRIORIZADOS!$A:$T,20,FALSE)="","",VLOOKUP(A204,[3]PRIORIZADOS!$A:$T,20,FALSE)),"")</f>
        <v>No</v>
      </c>
      <c r="U204" s="11" t="str">
        <f>IFERROR(IF(VLOOKUP(A204,[3]PRIORIZADOS!$A:$U,21,FALSE)="","",VLOOKUP(A204,[3]PRIORIZADOS!$A:$U,21,FALSE)),"")</f>
        <v>Verificar la conformación del Gobierno Escolar e instancias para la vigencia 2026 o antes si la IE lo requiere o se presenta solicitud o queja.</v>
      </c>
    </row>
    <row r="205" spans="1:21" s="1" customFormat="1" ht="60">
      <c r="A205" s="69">
        <f>IF([3]PRIORIZADOS!A16="","",[3]PRIORIZADOS!A16)</f>
        <v>211</v>
      </c>
      <c r="B205" s="70">
        <f>IFERROR(IF(VLOOKUP(A205,[3]PRIORIZADOS!$A:$B,2,FALSE)="","",VLOOKUP(A205,[3]PRIORIZADOS!$A:$B,2,FALSE)),"")</f>
        <v>1</v>
      </c>
      <c r="C205" s="11" t="str">
        <f>IFERROR(IF(VLOOKUP(A205,[3]PRIORIZADOS!$A:$C,3,FALSE)="","",VLOOKUP(A205,[3]PRIORIZADOS!$A:$C,3,FALSE)),"")</f>
        <v>BOSA</v>
      </c>
      <c r="D205" s="11" t="str">
        <f>IFERROR(IF(VLOOKUP(A205,[3]PRIORIZADOS!$A:$D,4,FALSE)="","",VLOOKUP(A205,[3]PRIORIZADOS!$A:$D,4,FALSE)),"")</f>
        <v>PRIVADO</v>
      </c>
      <c r="E205" s="11" t="str">
        <f>IFERROR(IF(VLOOKUP(A205,[3]PRIORIZADOS!$A:$E,5,FALSE)="","",VLOOKUP(A205,[3]PRIORIZADOS!$A:$E,5,FALSE)),"")</f>
        <v>Educación de Jóvenes y Adultos</v>
      </c>
      <c r="F205" s="11" t="str">
        <f>IFERROR(IF(VLOOKUP(A205,[3]PRIORIZADOS!$A:$F,6,FALSE)="","",VLOOKUP(A205,[3]PRIORIZADOS!$A:$F,6,FALSE)),"")</f>
        <v>CENTRO_EDUCATIVO_EXTERNADO_SIMON_BOLIVAR</v>
      </c>
      <c r="G205" s="11" t="str">
        <f>IFERROR(IF(VLOOKUP(A205,[3]PRIORIZADOS!$A:$G,7,FALSE)="","",VLOOKUP(A205,[3]PRIORIZADOS!$A:$G,7,FALSE)),"")</f>
        <v>CENTRO EDUCATIVO EXTERNADO SIMON BOLIVAR</v>
      </c>
      <c r="H205" s="11" t="str">
        <f>IFERROR(IF(VLOOKUP(A205,[3]PRIORIZADOS!$A:$H,8,FALSE)="","",VLOOKUP(A205,[3]PRIORIZADOS!$A:$H,8,FALSE)),"")</f>
        <v>Autoevaluación Institucional y Pruebas SABER 11</v>
      </c>
      <c r="I205" s="11" t="str">
        <f>IFERROR(IF(VLOOKUP(A205,[3]PRIORIZADOS!$A:$I,9,FALSE)="","",VLOOKUP(A205,[3]PRIORIZADOS!$A:$I,9,FALSE)),"")</f>
        <v>EVALUACIÓN_CON_FINES_DE_MEJORAMIENTO.</v>
      </c>
      <c r="J205" s="11" t="str">
        <f>IFERROR(IF(VLOOKUP(A205,[3]PRIORIZADOS!$A:$J,10,FALSE)="","",VLOOKUP(A205,[3]PRIORIZADOS!$A:$J,10,FALSE)),"")</f>
        <v>Verificar las condiciones en cuanto a: la estructura administrativa, condiciones de la planta física y medios educativos adecuados.</v>
      </c>
      <c r="K205" s="11" t="str">
        <f>IFERROR(IF(VLOOKUP(A205,[3]PRIORIZADOS!$A:$K,11,FALSE)="","",VLOOKUP(A205,[3]PRIORIZADOS!$A:$K,11,FALSE)),"")</f>
        <v>ESTEFANY PEÑA GARCIA</v>
      </c>
      <c r="L205" s="11" t="str">
        <f>IFERROR(IF(VLOOKUP(A205,[3]PRIORIZADOS!$A:$L,12,FALSE)="","",VLOOKUP(A205,[3]PRIORIZADOS!$A:$L,12,FALSE)),"")</f>
        <v>ANA ANDREA VARGAS GONZÁLEZ</v>
      </c>
      <c r="M205" s="71">
        <f>IFERROR(IF(VLOOKUP(A205,[3]PRIORIZADOS!$A:$M,13,FALSE)="","",VLOOKUP(A205,[3]PRIORIZADOS!$A:$M,13,FALSE)),"")</f>
        <v>45734</v>
      </c>
      <c r="N205" s="71">
        <f>IFERROR(IF(VLOOKUP(A205,[3]PRIORIZADOS!$A:$N,14,FALSE)="","",VLOOKUP(A205,[3]PRIORIZADOS!$A:$N,14,FALSE)),"")</f>
        <v>45734</v>
      </c>
      <c r="O205" s="71">
        <f>IFERROR(IF(VLOOKUP(A205,[3]PRIORIZADOS!$A:$O,15,FALSE)="","",VLOOKUP(A205,[3]PRIORIZADOS!$A:$O,15,FALSE)),"")</f>
        <v>45734</v>
      </c>
      <c r="P205" s="11" t="str">
        <f>IFERROR(IF(VLOOKUP(A205,[3]PRIORIZADOS!$A:$P,16,FALSE)="","",VLOOKUP(A205,[3]PRIORIZADOS!$A:$P,16,FALSE)),"")</f>
        <v>Visitas de evaluación con fines de mejoramiento</v>
      </c>
      <c r="Q205" s="107" t="s">
        <v>52</v>
      </c>
      <c r="R205" s="11" t="str">
        <f>IFERROR(IF(VLOOKUP(A205,[3]PRIORIZADOS!$A:$R,18,FALSE)="","",VLOOKUP(A205,[3]PRIORIZADOS!$A:$R,18,FALSE)),"")</f>
        <v>Se realiza un recorrido en las instalaciones de la IE, verificando las condiciones en cuanto a: la estructura administrativa, condiciones de la planta física y medios educativos adecuados.</v>
      </c>
      <c r="S205" s="11" t="str">
        <f>IFERROR(IF(VLOOKUP(A205,[3]PRIORIZADOS!$A:$S,19,FALSE)="","",VLOOKUP(A205,[3]PRIORIZADOS!$A:$S,19,FALSE)),"")</f>
        <v>Las condiciones de la planta física son adecuadas y se recomienda actualizar el mobiliario más antiguo</v>
      </c>
      <c r="T205" s="70" t="str">
        <f>IFERROR(IF(VLOOKUP(A205,[3]PRIORIZADOS!$A:$T,20,FALSE)="","",VLOOKUP(A205,[3]PRIORIZADOS!$A:$T,20,FALSE)),"")</f>
        <v>No</v>
      </c>
      <c r="U205" s="11" t="str">
        <f>IFERROR(IF(VLOOKUP(A205,[3]PRIORIZADOS!$A:$U,21,FALSE)="","",VLOOKUP(A205,[3]PRIORIZADOS!$A:$U,21,FALSE)),"")</f>
        <v>Las condiciones de la planta física garantizan la adecuada prestación del servicio educativo</v>
      </c>
    </row>
    <row r="206" spans="1:21" s="1" customFormat="1" ht="60">
      <c r="A206" s="69">
        <f>IF([3]PRIORIZADOS!A17="","",[3]PRIORIZADOS!A17)</f>
        <v>212</v>
      </c>
      <c r="B206" s="70">
        <f>IFERROR(IF(VLOOKUP(A206,[3]PRIORIZADOS!$A:$B,2,FALSE)="","",VLOOKUP(A206,[3]PRIORIZADOS!$A:$B,2,FALSE)),"")</f>
        <v>2</v>
      </c>
      <c r="C206" s="11" t="str">
        <f>IFERROR(IF(VLOOKUP(A206,[3]PRIORIZADOS!$A:$C,3,FALSE)="","",VLOOKUP(A206,[3]PRIORIZADOS!$A:$C,3,FALSE)),"")</f>
        <v>BOSA</v>
      </c>
      <c r="D206" s="11" t="str">
        <f>IFERROR(IF(VLOOKUP(A206,[3]PRIORIZADOS!$A:$D,4,FALSE)="","",VLOOKUP(A206,[3]PRIORIZADOS!$A:$D,4,FALSE)),"")</f>
        <v>PRIVADO</v>
      </c>
      <c r="E206" s="11" t="str">
        <f>IFERROR(IF(VLOOKUP(A206,[3]PRIORIZADOS!$A:$E,5,FALSE)="","",VLOOKUP(A206,[3]PRIORIZADOS!$A:$E,5,FALSE)),"")</f>
        <v>Educación de Jóvenes y Adultos</v>
      </c>
      <c r="F206" s="11" t="str">
        <f>IFERROR(IF(VLOOKUP(A206,[3]PRIORIZADOS!$A:$F,6,FALSE)="","",VLOOKUP(A206,[3]PRIORIZADOS!$A:$F,6,FALSE)),"")</f>
        <v>COLEGIO_INETEC</v>
      </c>
      <c r="G206" s="11" t="str">
        <f>IFERROR(IF(VLOOKUP(A206,[3]PRIORIZADOS!$A:$G,7,FALSE)="","",VLOOKUP(A206,[3]PRIORIZADOS!$A:$G,7,FALSE)),"")</f>
        <v>COLEGIO INETEC</v>
      </c>
      <c r="H206" s="11" t="str">
        <f>IFERROR(IF(VLOOKUP(A206,[3]PRIORIZADOS!$A:$H,8,FALSE)="","",VLOOKUP(A206,[3]PRIORIZADOS!$A:$H,8,FALSE)),"")</f>
        <v>Autoevaluación Institucional y Pruebas SABER 11</v>
      </c>
      <c r="I206" s="11" t="str">
        <f>IFERROR(IF(VLOOKUP(A206,[3]PRIORIZADOS!$A:$I,9,FALSE)="","",VLOOKUP(A206,[3]PRIORIZADOS!$A:$I,9,FALSE)),"")</f>
        <v>SEGUIMIENTO_Y_SUPERVISIÓN.</v>
      </c>
      <c r="J206" s="11" t="str">
        <f>IFERROR(IF(VLOOKUP(A206,[3]PRIORIZADOS!$A:$J,10,FALSE)="","",VLOOKUP(A206,[3]PRIORIZADOS!$A:$J,10,FALSE)),"")</f>
        <v>Realizar visitas para verificar la información registrada sobre la autoevaluación institucional en el aplicativo EVI, a los establecimientos de educación formal no oficial.</v>
      </c>
      <c r="K206" s="11" t="str">
        <f>IFERROR(IF(VLOOKUP(A206,[3]PRIORIZADOS!$A:$K,11,FALSE)="","",VLOOKUP(A206,[3]PRIORIZADOS!$A:$K,11,FALSE)),"")</f>
        <v>ANA ANDREA VARGAS GONZÁLEZ</v>
      </c>
      <c r="L206" s="11" t="str">
        <f>IFERROR(IF(VLOOKUP(A206,[3]PRIORIZADOS!$A:$L,12,FALSE)="","",VLOOKUP(A206,[3]PRIORIZADOS!$A:$L,12,FALSE)),"")</f>
        <v>JOSÉ ANTONIO PÁEZ FETECUA</v>
      </c>
      <c r="M206" s="71">
        <f>IFERROR(IF(VLOOKUP(A206,[3]PRIORIZADOS!$A:$M,13,FALSE)="","",VLOOKUP(A206,[3]PRIORIZADOS!$A:$M,13,FALSE)),"")</f>
        <v>45736</v>
      </c>
      <c r="N206" s="71" t="str">
        <f>IFERROR(IF(VLOOKUP(A206,[3]PRIORIZADOS!$A:$N,14,FALSE)="","",VLOOKUP(A206,[3]PRIORIZADOS!$A:$N,14,FALSE)),"")</f>
        <v>20/03/2025</v>
      </c>
      <c r="O206" s="71">
        <f>IFERROR(IF(VLOOKUP(A206,[3]PRIORIZADOS!$A:$O,15,FALSE)="","",VLOOKUP(A206,[3]PRIORIZADOS!$A:$O,15,FALSE)),"")</f>
        <v>45734</v>
      </c>
      <c r="P206" s="11" t="str">
        <f>IFERROR(IF(VLOOKUP(A206,[3]PRIORIZADOS!$A:$P,16,FALSE)="","",VLOOKUP(A206,[3]PRIORIZADOS!$A:$P,16,FALSE)),"")</f>
        <v>Visitas de evaluación con fines de mejoramiento</v>
      </c>
      <c r="Q206" s="122" t="s">
        <v>53</v>
      </c>
      <c r="R206" s="11" t="str">
        <f>IFERROR(IF(VLOOKUP(A206,[3]PRIORIZADOS!$A:$R,18,FALSE)="","",VLOOKUP(A206,[3]PRIORIZADOS!$A:$R,18,FALSE)),"")</f>
        <v>La información consignada en la Plataforma EVI relacionada con los indicadores de: planta física, dotación de espacios y calendario académico coincide con lo verificado en campo</v>
      </c>
      <c r="S206" s="11" t="str">
        <f>IFERROR(IF(VLOOKUP(A206,[3]PRIORIZADOS!$A:$S,19,FALSE)="","",VLOOKUP(A206,[3]PRIORIZADOS!$A:$S,19,FALSE)),"")</f>
        <v xml:space="preserve">Se concluye que la IE realizará su autoevalución institucional en el mes octubre.  </v>
      </c>
      <c r="T206" s="70" t="str">
        <f>IFERROR(IF(VLOOKUP(A206,[3]PRIORIZADOS!$A:$T,20,FALSE)="","",VLOOKUP(A206,[3]PRIORIZADOS!$A:$T,20,FALSE)),"")</f>
        <v>No</v>
      </c>
      <c r="U206" s="11" t="str">
        <f>IFERROR(IF(VLOOKUP(A206,[3]PRIORIZADOS!$A:$U,21,FALSE)="","",VLOOKUP(A206,[3]PRIORIZADOS!$A:$U,21,FALSE)),"")</f>
        <v>Se verificará la información cargada por la IE en el aplicativo EVI de la autoevaluación,  para la emisión del concepto de tarifas 2026.</v>
      </c>
    </row>
    <row r="207" spans="1:21" s="1" customFormat="1" ht="84">
      <c r="A207" s="69">
        <f>IF([3]PRIORIZADOS!A18="","",[3]PRIORIZADOS!A18)</f>
        <v>213</v>
      </c>
      <c r="B207" s="70">
        <f>IFERROR(IF(VLOOKUP(A207,[3]PRIORIZADOS!$A:$B,2,FALSE)="","",VLOOKUP(A207,[3]PRIORIZADOS!$A:$B,2,FALSE)),"")</f>
        <v>2</v>
      </c>
      <c r="C207" s="11" t="str">
        <f>IFERROR(IF(VLOOKUP(A207,[3]PRIORIZADOS!$A:$C,3,FALSE)="","",VLOOKUP(A207,[3]PRIORIZADOS!$A:$C,3,FALSE)),"")</f>
        <v>BOSA</v>
      </c>
      <c r="D207" s="11" t="str">
        <f>IFERROR(IF(VLOOKUP(A207,[3]PRIORIZADOS!$A:$D,4,FALSE)="","",VLOOKUP(A207,[3]PRIORIZADOS!$A:$D,4,FALSE)),"")</f>
        <v>PRIVADO</v>
      </c>
      <c r="E207" s="11" t="str">
        <f>IFERROR(IF(VLOOKUP(A207,[3]PRIORIZADOS!$A:$E,5,FALSE)="","",VLOOKUP(A207,[3]PRIORIZADOS!$A:$E,5,FALSE)),"")</f>
        <v>Educación de Jóvenes y Adultos</v>
      </c>
      <c r="F207" s="11" t="str">
        <f>IFERROR(IF(VLOOKUP(A207,[3]PRIORIZADOS!$A:$F,6,FALSE)="","",VLOOKUP(A207,[3]PRIORIZADOS!$A:$F,6,FALSE)),"")</f>
        <v>COLEGIO_INETEC</v>
      </c>
      <c r="G207" s="11" t="str">
        <f>IFERROR(IF(VLOOKUP(A207,[3]PRIORIZADOS!$A:$G,7,FALSE)="","",VLOOKUP(A207,[3]PRIORIZADOS!$A:$G,7,FALSE)),"")</f>
        <v>COLEGIO INETEC</v>
      </c>
      <c r="H207" s="11" t="str">
        <f>IFERROR(IF(VLOOKUP(A207,[3]PRIORIZADOS!$A:$H,8,FALSE)="","",VLOOKUP(A207,[3]PRIORIZADOS!$A:$H,8,FALSE)),"")</f>
        <v>Autoevaluación Institucional y Pruebas SABER 11</v>
      </c>
      <c r="I207" s="11" t="str">
        <f>IFERROR(IF(VLOOKUP(A207,[3]PRIORIZADOS!$A:$I,9,FALSE)="","",VLOOKUP(A207,[3]PRIORIZADOS!$A:$I,9,FALSE)),"")</f>
        <v>SEGUIMIENTO_Y_SUPERVISIÓN.</v>
      </c>
      <c r="J207" s="11" t="str">
        <f>IFERROR(IF(VLOOKUP(A207,[3]PRIORIZADOS!$A:$J,10,FALSE)="","",VLOOKUP(A207,[3]PRIORIZADOS!$A:$J,10,FALSE)),"")</f>
        <v>Proponer estrategias en la formulación, verificar su elaboración y realizar seguimiento semestral al desarrollo de  las acciones establecidas en los planes de mejoramiento por pruebas SABER 11 de los establecimientos de educación formal.</v>
      </c>
      <c r="K207" s="11" t="str">
        <f>IFERROR(IF(VLOOKUP(A207,[3]PRIORIZADOS!$A:$K,11,FALSE)="","",VLOOKUP(A207,[3]PRIORIZADOS!$A:$K,11,FALSE)),"")</f>
        <v>ANA ANDREA VARGAS GONZÁLEZ</v>
      </c>
      <c r="L207" s="11" t="str">
        <f>IFERROR(IF(VLOOKUP(A207,[3]PRIORIZADOS!$A:$L,12,FALSE)="","",VLOOKUP(A207,[3]PRIORIZADOS!$A:$L,12,FALSE)),"")</f>
        <v>JOSÉ ANTONIO PÁEZ FETECUA</v>
      </c>
      <c r="M207" s="71">
        <f>IFERROR(IF(VLOOKUP(A207,[3]PRIORIZADOS!$A:$M,13,FALSE)="","",VLOOKUP(A207,[3]PRIORIZADOS!$A:$M,13,FALSE)),"")</f>
        <v>45736</v>
      </c>
      <c r="N207" s="71" t="str">
        <f>IFERROR(IF(VLOOKUP(A207,[3]PRIORIZADOS!$A:$N,14,FALSE)="","",VLOOKUP(A207,[3]PRIORIZADOS!$A:$N,14,FALSE)),"")</f>
        <v>20/03/2025</v>
      </c>
      <c r="O207" s="71">
        <f>IFERROR(IF(VLOOKUP(A207,[3]PRIORIZADOS!$A:$O,15,FALSE)="","",VLOOKUP(A207,[3]PRIORIZADOS!$A:$O,15,FALSE)),"")</f>
        <v>45736</v>
      </c>
      <c r="P207" s="11" t="str">
        <f>IFERROR(IF(VLOOKUP(A207,[3]PRIORIZADOS!$A:$P,16,FALSE)="","",VLOOKUP(A207,[3]PRIORIZADOS!$A:$P,16,FALSE)),"")</f>
        <v>Visitas de evaluación con fines de seguimiento</v>
      </c>
      <c r="Q207" s="122" t="s">
        <v>53</v>
      </c>
      <c r="R207" s="11" t="str">
        <f>IFERROR(IF(VLOOKUP(A207,[3]PRIORIZADOS!$A:$R,18,FALSE)="","",VLOOKUP(A207,[3]PRIORIZADOS!$A:$R,18,FALSE)),"")</f>
        <v>La IE se encuentra en Categoría B, realizó la revisión y análisis de los resultados para  actualización del curriculo y el plan de estudios. Se ha adelantado el diagnóstico y la propuesta de Intervención, aplicando pruebas preliminares.</v>
      </c>
      <c r="S207" s="11" t="str">
        <f>IFERROR(IF(VLOOKUP(A207,[3]PRIORIZADOS!$A:$S,19,FALSE)="","",VLOOKUP(A207,[3]PRIORIZADOS!$A:$S,19,FALSE)),"")</f>
        <v>La IE se compromete a diseñar un Plan de Mejoramiento con estrategia actualizada que cuente con cronograma, actividades específicas y proceso de seguimiento y evaluación</v>
      </c>
      <c r="T207" s="70" t="str">
        <f>IFERROR(IF(VLOOKUP(A207,[3]PRIORIZADOS!$A:$T,20,FALSE)="","",VLOOKUP(A207,[3]PRIORIZADOS!$A:$T,20,FALSE)),"")</f>
        <v>Si</v>
      </c>
      <c r="U207" s="11" t="str">
        <f>IFERROR(IF(VLOOKUP(A207,[3]PRIORIZADOS!$A:$U,21,FALSE)="","",VLOOKUP(A207,[3]PRIORIZADOS!$A:$U,21,FALSE)),"")</f>
        <v>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
    </row>
    <row r="208" spans="1:21" s="1" customFormat="1" ht="72">
      <c r="A208" s="69">
        <f>IF([3]PRIORIZADOS!A19="","",[3]PRIORIZADOS!A19)</f>
        <v>214</v>
      </c>
      <c r="B208" s="70">
        <f>IFERROR(IF(VLOOKUP(A208,[3]PRIORIZADOS!$A:$B,2,FALSE)="","",VLOOKUP(A208,[3]PRIORIZADOS!$A:$B,2,FALSE)),"")</f>
        <v>2</v>
      </c>
      <c r="C208" s="11" t="str">
        <f>IFERROR(IF(VLOOKUP(A208,[3]PRIORIZADOS!$A:$C,3,FALSE)="","",VLOOKUP(A208,[3]PRIORIZADOS!$A:$C,3,FALSE)),"")</f>
        <v>BOSA</v>
      </c>
      <c r="D208" s="11" t="str">
        <f>IFERROR(IF(VLOOKUP(A208,[3]PRIORIZADOS!$A:$D,4,FALSE)="","",VLOOKUP(A208,[3]PRIORIZADOS!$A:$D,4,FALSE)),"")</f>
        <v>PRIVADO</v>
      </c>
      <c r="E208" s="11" t="str">
        <f>IFERROR(IF(VLOOKUP(A208,[3]PRIORIZADOS!$A:$E,5,FALSE)="","",VLOOKUP(A208,[3]PRIORIZADOS!$A:$E,5,FALSE)),"")</f>
        <v>Educación de Jóvenes y Adultos</v>
      </c>
      <c r="F208" s="11" t="str">
        <f>IFERROR(IF(VLOOKUP(A208,[3]PRIORIZADOS!$A:$F,6,FALSE)="","",VLOOKUP(A208,[3]PRIORIZADOS!$A:$F,6,FALSE)),"")</f>
        <v>COLEGIO_INETEC</v>
      </c>
      <c r="G208" s="11" t="str">
        <f>IFERROR(IF(VLOOKUP(A208,[3]PRIORIZADOS!$A:$G,7,FALSE)="","",VLOOKUP(A208,[3]PRIORIZADOS!$A:$G,7,FALSE)),"")</f>
        <v>COLEGIO INETEC</v>
      </c>
      <c r="H208" s="11" t="str">
        <f>IFERROR(IF(VLOOKUP(A208,[3]PRIORIZADOS!$A:$H,8,FALSE)="","",VLOOKUP(A208,[3]PRIORIZADOS!$A:$H,8,FALSE)),"")</f>
        <v>Autoevaluación Institucional y Pruebas SABER 11</v>
      </c>
      <c r="I208" s="11" t="str">
        <f>IFERROR(IF(VLOOKUP(A208,[3]PRIORIZADOS!$A:$I,9,FALSE)="","",VLOOKUP(A208,[3]PRIORIZADOS!$A:$I,9,FALSE)),"")</f>
        <v>SEGUIMIENTO_Y_SUPERVISIÓN.</v>
      </c>
      <c r="J208" s="11" t="str">
        <f>IFERROR(IF(VLOOKUP(A208,[3]PRIORIZADOS!$A:$J,10,FALSE)="","",VLOOKUP(A208,[3]PRIORIZADOS!$A:$J,10,FALSE)),"")</f>
        <v xml:space="preserve">Verificar la implementación por parte de los colegios, de acciones realizadas para la prevención y atención de las situaciones de convivencia en el entorno escolar, según lo establecido en la Directiva 01 de 2022 del MEN. </v>
      </c>
      <c r="K208" s="11" t="str">
        <f>IFERROR(IF(VLOOKUP(A208,[3]PRIORIZADOS!$A:$K,11,FALSE)="","",VLOOKUP(A208,[3]PRIORIZADOS!$A:$K,11,FALSE)),"")</f>
        <v>ANA ANDREA VARGAS GONZÁLEZ</v>
      </c>
      <c r="L208" s="11" t="str">
        <f>IFERROR(IF(VLOOKUP(A208,[3]PRIORIZADOS!$A:$L,12,FALSE)="","",VLOOKUP(A208,[3]PRIORIZADOS!$A:$L,12,FALSE)),"")</f>
        <v>JOSÉ ANTONIO PÁEZ FETECUA</v>
      </c>
      <c r="M208" s="71">
        <f>IFERROR(IF(VLOOKUP(A208,[3]PRIORIZADOS!$A:$M,13,FALSE)="","",VLOOKUP(A208,[3]PRIORIZADOS!$A:$M,13,FALSE)),"")</f>
        <v>45736</v>
      </c>
      <c r="N208" s="71" t="str">
        <f>IFERROR(IF(VLOOKUP(A208,[3]PRIORIZADOS!$A:$N,14,FALSE)="","",VLOOKUP(A208,[3]PRIORIZADOS!$A:$N,14,FALSE)),"")</f>
        <v>20/03/2025</v>
      </c>
      <c r="O208" s="71">
        <f>IFERROR(IF(VLOOKUP(A208,[3]PRIORIZADOS!$A:$O,15,FALSE)="","",VLOOKUP(A208,[3]PRIORIZADOS!$A:$O,15,FALSE)),"")</f>
        <v>45736</v>
      </c>
      <c r="P208" s="11" t="str">
        <f>IFERROR(IF(VLOOKUP(A208,[3]PRIORIZADOS!$A:$P,16,FALSE)="","",VLOOKUP(A208,[3]PRIORIZADOS!$A:$P,16,FALSE)),"")</f>
        <v>Visitas de evaluación con fines de mejoramiento</v>
      </c>
      <c r="Q208" s="122" t="s">
        <v>53</v>
      </c>
      <c r="R208" s="11" t="str">
        <f>IFERROR(IF(VLOOKUP(A208,[3]PRIORIZADOS!$A:$R,18,FALSE)="","",VLOOKUP(A208,[3]PRIORIZADOS!$A:$R,18,FALSE)),"")</f>
        <v>Se verifica la implementación de acciones  realizadas para la prevención como lo es la verificación de inhabilidades por delitos sexuales en el sistema de la Policía Nacional.</v>
      </c>
      <c r="S208" s="11" t="str">
        <f>IFERROR(IF(VLOOKUP(A208,[3]PRIORIZADOS!$A:$S,19,FALSE)="","",VLOOKUP(A208,[3]PRIORIZADOS!$A:$S,19,FALSE)),"")</f>
        <v>Como acción de verificación se solicita implementar  la autorización de directivos, docentes y administrativos para las consultas de antecedentes en los sistemas que se requieran al momento de la vinculación</v>
      </c>
      <c r="T208" s="70" t="str">
        <f>IFERROR(IF(VLOOKUP(A208,[3]PRIORIZADOS!$A:$T,20,FALSE)="","",VLOOKUP(A208,[3]PRIORIZADOS!$A:$T,20,FALSE)),"")</f>
        <v>No</v>
      </c>
      <c r="U208" s="11" t="str">
        <f>IFERROR(IF(VLOOKUP(A208,[3]PRIORIZADOS!$A:$U,21,FALSE)="","",VLOOKUP(A208,[3]PRIORIZADOS!$A:$U,21,FALSE)),"")</f>
        <v>Verificar que la IE cuente con las respectivas autorizaciones para las consultas de antedecentes del personal vinculado.</v>
      </c>
    </row>
    <row r="209" spans="1:21" s="1" customFormat="1" ht="72">
      <c r="A209" s="69">
        <f>IF([3]PRIORIZADOS!A20="","",[3]PRIORIZADOS!A20)</f>
        <v>215</v>
      </c>
      <c r="B209" s="70">
        <f>IFERROR(IF(VLOOKUP(A209,[3]PRIORIZADOS!$A:$B,2,FALSE)="","",VLOOKUP(A209,[3]PRIORIZADOS!$A:$B,2,FALSE)),"")</f>
        <v>2</v>
      </c>
      <c r="C209" s="11" t="str">
        <f>IFERROR(IF(VLOOKUP(A209,[3]PRIORIZADOS!$A:$C,3,FALSE)="","",VLOOKUP(A209,[3]PRIORIZADOS!$A:$C,3,FALSE)),"")</f>
        <v>BOSA</v>
      </c>
      <c r="D209" s="11" t="str">
        <f>IFERROR(IF(VLOOKUP(A209,[3]PRIORIZADOS!$A:$D,4,FALSE)="","",VLOOKUP(A209,[3]PRIORIZADOS!$A:$D,4,FALSE)),"")</f>
        <v>PRIVADO</v>
      </c>
      <c r="E209" s="11" t="str">
        <f>IFERROR(IF(VLOOKUP(A209,[3]PRIORIZADOS!$A:$E,5,FALSE)="","",VLOOKUP(A209,[3]PRIORIZADOS!$A:$E,5,FALSE)),"")</f>
        <v>Educación de Jóvenes y Adultos</v>
      </c>
      <c r="F209" s="11" t="str">
        <f>IFERROR(IF(VLOOKUP(A209,[3]PRIORIZADOS!$A:$F,6,FALSE)="","",VLOOKUP(A209,[3]PRIORIZADOS!$A:$F,6,FALSE)),"")</f>
        <v>COLEGIO_INETEC</v>
      </c>
      <c r="G209" s="11" t="str">
        <f>IFERROR(IF(VLOOKUP(A209,[3]PRIORIZADOS!$A:$G,7,FALSE)="","",VLOOKUP(A209,[3]PRIORIZADOS!$A:$G,7,FALSE)),"")</f>
        <v>COLEGIO INETEC</v>
      </c>
      <c r="H209" s="11" t="str">
        <f>IFERROR(IF(VLOOKUP(A209,[3]PRIORIZADOS!$A:$H,8,FALSE)="","",VLOOKUP(A209,[3]PRIORIZADOS!$A:$H,8,FALSE)),"")</f>
        <v>Autoevaluación Institucional y Pruebas SABER 11</v>
      </c>
      <c r="I209" s="11" t="str">
        <f>IFERROR(IF(VLOOKUP(A209,[3]PRIORIZADOS!$A:$I,9,FALSE)="","",VLOOKUP(A209,[3]PRIORIZADOS!$A:$I,9,FALSE)),"")</f>
        <v>SEGUIMIENTO_Y_SUPERVISIÓN.</v>
      </c>
      <c r="J209" s="11" t="str">
        <f>IFERROR(IF(VLOOKUP(A209,[3]PRIORIZADOS!$A:$J,10,FALSE)="","",VLOOKUP(A209,[3]PRIORIZADOS!$A:$J,10,FALSE)),"")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9" s="11" t="str">
        <f>IFERROR(IF(VLOOKUP(A209,[3]PRIORIZADOS!$A:$K,11,FALSE)="","",VLOOKUP(A209,[3]PRIORIZADOS!$A:$K,11,FALSE)),"")</f>
        <v>ANA ANDREA VARGAS GONZÁLEZ</v>
      </c>
      <c r="L209" s="11" t="str">
        <f>IFERROR(IF(VLOOKUP(A209,[3]PRIORIZADOS!$A:$L,12,FALSE)="","",VLOOKUP(A209,[3]PRIORIZADOS!$A:$L,12,FALSE)),"")</f>
        <v>JOSÉ ANTONIO PÁEZ FETECUA</v>
      </c>
      <c r="M209" s="71">
        <f>IFERROR(IF(VLOOKUP(A209,[3]PRIORIZADOS!$A:$M,13,FALSE)="","",VLOOKUP(A209,[3]PRIORIZADOS!$A:$M,13,FALSE)),"")</f>
        <v>45736</v>
      </c>
      <c r="N209" s="71" t="str">
        <f>IFERROR(IF(VLOOKUP(A209,[3]PRIORIZADOS!$A:$N,14,FALSE)="","",VLOOKUP(A209,[3]PRIORIZADOS!$A:$N,14,FALSE)),"")</f>
        <v>20/03/2025</v>
      </c>
      <c r="O209" s="71">
        <f>IFERROR(IF(VLOOKUP(A209,[3]PRIORIZADOS!$A:$O,15,FALSE)="","",VLOOKUP(A209,[3]PRIORIZADOS!$A:$O,15,FALSE)),"")</f>
        <v>45736</v>
      </c>
      <c r="P209" s="11" t="str">
        <f>IFERROR(IF(VLOOKUP(A209,[3]PRIORIZADOS!$A:$P,16,FALSE)="","",VLOOKUP(A209,[3]PRIORIZADOS!$A:$P,16,FALSE)),"")</f>
        <v>Visitas de evaluación con fines de mejoramiento</v>
      </c>
      <c r="Q209" s="122" t="s">
        <v>53</v>
      </c>
      <c r="R209" s="11" t="str">
        <f>IFERROR(IF(VLOOKUP(A209,[3]PRIORIZADOS!$A:$R,18,FALSE)="","",VLOOKUP(A209,[3]PRIORIZADOS!$A:$R,18,FALSE)),"")</f>
        <v>Al revisar la Plataforma SIMAT, no hay estudiantes marcados en la Plataforma con discapacidad</v>
      </c>
      <c r="S209" s="11" t="str">
        <f>IFERROR(IF(VLOOKUP(A209,[3]PRIORIZADOS!$A:$S,19,FALSE)="","",VLOOKUP(A209,[3]PRIORIZADOS!$A:$S,19,FALSE)),"")</f>
        <v>La Institución Educativa se compromete a remitir el Documento Institucional del Plan Individual de Ajustes Razonables PIAR</v>
      </c>
      <c r="T209" s="70" t="str">
        <f>IFERROR(IF(VLOOKUP(A209,[3]PRIORIZADOS!$A:$T,20,FALSE)="","",VLOOKUP(A209,[3]PRIORIZADOS!$A:$T,20,FALSE)),"")</f>
        <v>No</v>
      </c>
      <c r="U209" s="11" t="str">
        <f>IFERROR(IF(VLOOKUP(A209,[3]PRIORIZADOS!$A:$U,21,FALSE)="","",VLOOKUP(A209,[3]PRIORIZADOS!$A:$U,21,FALSE)),"")</f>
        <v>Verificar la información en SIMAT</v>
      </c>
    </row>
    <row r="210" spans="1:21" s="1" customFormat="1" ht="84">
      <c r="A210" s="69">
        <f>IF([3]PRIORIZADOS!A21="","",[3]PRIORIZADOS!A21)</f>
        <v>216</v>
      </c>
      <c r="B210" s="70">
        <f>IFERROR(IF(VLOOKUP(A210,[3]PRIORIZADOS!$A:$B,2,FALSE)="","",VLOOKUP(A210,[3]PRIORIZADOS!$A:$B,2,FALSE)),"")</f>
        <v>2</v>
      </c>
      <c r="C210" s="11" t="str">
        <f>IFERROR(IF(VLOOKUP(A210,[3]PRIORIZADOS!$A:$C,3,FALSE)="","",VLOOKUP(A210,[3]PRIORIZADOS!$A:$C,3,FALSE)),"")</f>
        <v>BOSA</v>
      </c>
      <c r="D210" s="11" t="str">
        <f>IFERROR(IF(VLOOKUP(A210,[3]PRIORIZADOS!$A:$D,4,FALSE)="","",VLOOKUP(A210,[3]PRIORIZADOS!$A:$D,4,FALSE)),"")</f>
        <v>PRIVADO</v>
      </c>
      <c r="E210" s="11" t="str">
        <f>IFERROR(IF(VLOOKUP(A210,[3]PRIORIZADOS!$A:$E,5,FALSE)="","",VLOOKUP(A210,[3]PRIORIZADOS!$A:$E,5,FALSE)),"")</f>
        <v>Educación de Jóvenes y Adultos</v>
      </c>
      <c r="F210" s="11" t="str">
        <f>IFERROR(IF(VLOOKUP(A210,[3]PRIORIZADOS!$A:$F,6,FALSE)="","",VLOOKUP(A210,[3]PRIORIZADOS!$A:$F,6,FALSE)),"")</f>
        <v>COLEGIO_INETEC</v>
      </c>
      <c r="G210" s="11" t="str">
        <f>IFERROR(IF(VLOOKUP(A210,[3]PRIORIZADOS!$A:$G,7,FALSE)="","",VLOOKUP(A210,[3]PRIORIZADOS!$A:$G,7,FALSE)),"")</f>
        <v>COLEGIO INETEC</v>
      </c>
      <c r="H210" s="11" t="str">
        <f>IFERROR(IF(VLOOKUP(A210,[3]PRIORIZADOS!$A:$H,8,FALSE)="","",VLOOKUP(A210,[3]PRIORIZADOS!$A:$H,8,FALSE)),"")</f>
        <v>Autoevaluación Institucional y Pruebas SABER 11</v>
      </c>
      <c r="I210" s="11" t="str">
        <f>IFERROR(IF(VLOOKUP(A210,[3]PRIORIZADOS!$A:$I,9,FALSE)="","",VLOOKUP(A210,[3]PRIORIZADOS!$A:$I,9,FALSE)),"")</f>
        <v>EVALUACIÓN_CON_FINES_DE_MEJORAMIENTO.</v>
      </c>
      <c r="J210" s="11" t="str">
        <f>IFERROR(IF(VLOOKUP(A210,[3]PRIORIZADOS!$A:$J,10,FALSE)="","",VLOOKUP(A210,[3]PRIORIZADOS!$A:$J,10,FALSE)),"")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0" s="11" t="str">
        <f>IFERROR(IF(VLOOKUP(A210,[3]PRIORIZADOS!$A:$K,11,FALSE)="","",VLOOKUP(A210,[3]PRIORIZADOS!$A:$K,11,FALSE)),"")</f>
        <v>ANA ANDREA VARGAS GONZÁLEZ</v>
      </c>
      <c r="L210" s="11" t="str">
        <f>IFERROR(IF(VLOOKUP(A210,[3]PRIORIZADOS!$A:$L,12,FALSE)="","",VLOOKUP(A210,[3]PRIORIZADOS!$A:$L,12,FALSE)),"")</f>
        <v>JOSÉ ANTONIO PÁEZ FETECUA</v>
      </c>
      <c r="M210" s="71">
        <f>IFERROR(IF(VLOOKUP(A210,[3]PRIORIZADOS!$A:$M,13,FALSE)="","",VLOOKUP(A210,[3]PRIORIZADOS!$A:$M,13,FALSE)),"")</f>
        <v>45736</v>
      </c>
      <c r="N210" s="71" t="str">
        <f>IFERROR(IF(VLOOKUP(A210,[3]PRIORIZADOS!$A:$N,14,FALSE)="","",VLOOKUP(A210,[3]PRIORIZADOS!$A:$N,14,FALSE)),"")</f>
        <v>20/03/2025</v>
      </c>
      <c r="O210" s="71">
        <f>IFERROR(IF(VLOOKUP(A210,[3]PRIORIZADOS!$A:$O,15,FALSE)="","",VLOOKUP(A210,[3]PRIORIZADOS!$A:$O,15,FALSE)),"")</f>
        <v>45736</v>
      </c>
      <c r="P210" s="11" t="str">
        <f>IFERROR(IF(VLOOKUP(A210,[3]PRIORIZADOS!$A:$P,16,FALSE)="","",VLOOKUP(A210,[3]PRIORIZADOS!$A:$P,16,FALSE)),"")</f>
        <v>Visitas de evaluación con fines de mejoramiento</v>
      </c>
      <c r="Q210" s="122" t="s">
        <v>53</v>
      </c>
      <c r="R210" s="11" t="str">
        <f>IFERROR(IF(VLOOKUP(A210,[3]PRIORIZADOS!$A:$R,18,FALSE)="","",VLOOKUP(A210,[3]PRIORIZADOS!$A:$R,18,FALSE)),"")</f>
        <v>No evidencia Manual de Convivencia actualizado a la vigencia 2024 -2025, con la participación de la comunidad educativa, el cual requiete algunos ajustes en su contenido.</v>
      </c>
      <c r="S210" s="11" t="str">
        <f>IFERROR(IF(VLOOKUP(A210,[3]PRIORIZADOS!$A:$S,19,FALSE)="","",VLOOKUP(A210,[3]PRIORIZADOS!$A:$S,19,FALSE)),"")</f>
        <v>Remitir la versión actualizada del Manual de Conviviencia,  para diferenciar entre faltas y situaciones convivenciales, y las sanciones</v>
      </c>
      <c r="T210" s="70" t="str">
        <f>IFERROR(IF(VLOOKUP(A210,[3]PRIORIZADOS!$A:$T,20,FALSE)="","",VLOOKUP(A210,[3]PRIORIZADOS!$A:$T,20,FALSE)),"")</f>
        <v>Si</v>
      </c>
      <c r="U210" s="11" t="str">
        <f>IFERROR(IF(VLOOKUP(A210,[3]PRIORIZADOS!$A:$U,21,FALSE)="","",VLOOKUP(A210,[3]PRIORIZADOS!$A:$U,21,FALSE)),"")</f>
        <v>Revisar el manual actualizado en  2025 y retroalimentar a la IE.</v>
      </c>
    </row>
    <row r="211" spans="1:21" s="1" customFormat="1" ht="60">
      <c r="A211" s="69">
        <f>IF([3]PRIORIZADOS!A22="","",[3]PRIORIZADOS!A22)</f>
        <v>217</v>
      </c>
      <c r="B211" s="70">
        <f>IFERROR(IF(VLOOKUP(A211,[3]PRIORIZADOS!$A:$B,2,FALSE)="","",VLOOKUP(A211,[3]PRIORIZADOS!$A:$B,2,FALSE)),"")</f>
        <v>2</v>
      </c>
      <c r="C211" s="11" t="str">
        <f>IFERROR(IF(VLOOKUP(A211,[3]PRIORIZADOS!$A:$C,3,FALSE)="","",VLOOKUP(A211,[3]PRIORIZADOS!$A:$C,3,FALSE)),"")</f>
        <v>BOSA</v>
      </c>
      <c r="D211" s="11" t="str">
        <f>IFERROR(IF(VLOOKUP(A211,[3]PRIORIZADOS!$A:$D,4,FALSE)="","",VLOOKUP(A211,[3]PRIORIZADOS!$A:$D,4,FALSE)),"")</f>
        <v>PRIVADO</v>
      </c>
      <c r="E211" s="11" t="str">
        <f>IFERROR(IF(VLOOKUP(A211,[3]PRIORIZADOS!$A:$E,5,FALSE)="","",VLOOKUP(A211,[3]PRIORIZADOS!$A:$E,5,FALSE)),"")</f>
        <v>Educación de Jóvenes y Adultos</v>
      </c>
      <c r="F211" s="11" t="str">
        <f>IFERROR(IF(VLOOKUP(A211,[3]PRIORIZADOS!$A:$F,6,FALSE)="","",VLOOKUP(A211,[3]PRIORIZADOS!$A:$F,6,FALSE)),"")</f>
        <v>COLEGIO_INETEC</v>
      </c>
      <c r="G211" s="11" t="str">
        <f>IFERROR(IF(VLOOKUP(A211,[3]PRIORIZADOS!$A:$G,7,FALSE)="","",VLOOKUP(A211,[3]PRIORIZADOS!$A:$G,7,FALSE)),"")</f>
        <v>COLEGIO INETEC</v>
      </c>
      <c r="H211" s="11" t="str">
        <f>IFERROR(IF(VLOOKUP(A211,[3]PRIORIZADOS!$A:$H,8,FALSE)="","",VLOOKUP(A211,[3]PRIORIZADOS!$A:$H,8,FALSE)),"")</f>
        <v>Autoevaluación Institucional y Pruebas SABER 11</v>
      </c>
      <c r="I211" s="11" t="str">
        <f>IFERROR(IF(VLOOKUP(A211,[3]PRIORIZADOS!$A:$I,9,FALSE)="","",VLOOKUP(A211,[3]PRIORIZADOS!$A:$I,9,FALSE)),"")</f>
        <v>EVALUACIÓN_CON_FINES_DE_MEJORAMIENTO.</v>
      </c>
      <c r="J211" s="11" t="str">
        <f>IFERROR(IF(VLOOKUP(A211,[3]PRIORIZADOS!$A:$J,10,FALSE)="","",VLOOKUP(A211,[3]PRIORIZADOS!$A:$J,10,FALSE)),"")</f>
        <v>Revisar la actualización, socialización e implementación del Sistema Institucional de Evaluación de Estudiantes - SIEE, en articulación con la actualización del PEI y la normatividad vigente.</v>
      </c>
      <c r="K211" s="11" t="str">
        <f>IFERROR(IF(VLOOKUP(A211,[3]PRIORIZADOS!$A:$K,11,FALSE)="","",VLOOKUP(A211,[3]PRIORIZADOS!$A:$K,11,FALSE)),"")</f>
        <v>ANA ANDREA VARGAS GONZÁLEZ</v>
      </c>
      <c r="L211" s="11" t="str">
        <f>IFERROR(IF(VLOOKUP(A211,[3]PRIORIZADOS!$A:$L,12,FALSE)="","",VLOOKUP(A211,[3]PRIORIZADOS!$A:$L,12,FALSE)),"")</f>
        <v>JOSÉ ANTONIO PÁEZ FETECUA</v>
      </c>
      <c r="M211" s="71">
        <f>IFERROR(IF(VLOOKUP(A211,[3]PRIORIZADOS!$A:$M,13,FALSE)="","",VLOOKUP(A211,[3]PRIORIZADOS!$A:$M,13,FALSE)),"")</f>
        <v>45736</v>
      </c>
      <c r="N211" s="71" t="str">
        <f>IFERROR(IF(VLOOKUP(A211,[3]PRIORIZADOS!$A:$N,14,FALSE)="","",VLOOKUP(A211,[3]PRIORIZADOS!$A:$N,14,FALSE)),"")</f>
        <v>20/03/2025</v>
      </c>
      <c r="O211" s="71">
        <f>IFERROR(IF(VLOOKUP(A211,[3]PRIORIZADOS!$A:$O,15,FALSE)="","",VLOOKUP(A211,[3]PRIORIZADOS!$A:$O,15,FALSE)),"")</f>
        <v>45736</v>
      </c>
      <c r="P211" s="11" t="str">
        <f>IFERROR(IF(VLOOKUP(A211,[3]PRIORIZADOS!$A:$P,16,FALSE)="","",VLOOKUP(A211,[3]PRIORIZADOS!$A:$P,16,FALSE)),"")</f>
        <v>Visitas de evaluación con fines de mejoramiento</v>
      </c>
      <c r="Q211" s="122" t="s">
        <v>53</v>
      </c>
      <c r="R211" s="11" t="str">
        <f>IFERROR(IF(VLOOKUP(A211,[3]PRIORIZADOS!$A:$R,18,FALSE)="","",VLOOKUP(A211,[3]PRIORIZADOS!$A:$R,18,FALSE)),"")</f>
        <v>Se revisa el Sistema Institucional de Evaluación de Estudiantes - SIEE y no se encuentra incorporado en el Manual de Convivencia y requiete algunos ajustes en su contenido.</v>
      </c>
      <c r="S211" s="11" t="str">
        <f>IFERROR(IF(VLOOKUP(A211,[3]PRIORIZADOS!$A:$S,19,FALSE)="","",VLOOKUP(A211,[3]PRIORIZADOS!$A:$S,19,FALSE)),"")</f>
        <v>Remitir la versión actualizada del Sistema Institucional de Evaluación de Estudiantes - SIEE, en articulación con la actualización del PEI y la normatividad vigente.</v>
      </c>
      <c r="T211" s="70" t="str">
        <f>IFERROR(IF(VLOOKUP(A211,[3]PRIORIZADOS!$A:$T,20,FALSE)="","",VLOOKUP(A211,[3]PRIORIZADOS!$A:$T,20,FALSE)),"")</f>
        <v>Si</v>
      </c>
      <c r="U211" s="11" t="str">
        <f>IFERROR(IF(VLOOKUP(A211,[3]PRIORIZADOS!$A:$U,21,FALSE)="","",VLOOKUP(A211,[3]PRIORIZADOS!$A:$U,21,FALSE)),"")</f>
        <v>Revisar el Sistema Institucional de Evaluación de Estudiantes - SIEE actualizado en 2025 y retroalimentar a la IE.</v>
      </c>
    </row>
    <row r="212" spans="1:21" s="1" customFormat="1" ht="48">
      <c r="A212" s="69">
        <f>IF([3]PRIORIZADOS!A23="","",[3]PRIORIZADOS!A23)</f>
        <v>218</v>
      </c>
      <c r="B212" s="70">
        <f>IFERROR(IF(VLOOKUP(A212,[3]PRIORIZADOS!$A:$B,2,FALSE)="","",VLOOKUP(A212,[3]PRIORIZADOS!$A:$B,2,FALSE)),"")</f>
        <v>2</v>
      </c>
      <c r="C212" s="11" t="str">
        <f>IFERROR(IF(VLOOKUP(A212,[3]PRIORIZADOS!$A:$C,3,FALSE)="","",VLOOKUP(A212,[3]PRIORIZADOS!$A:$C,3,FALSE)),"")</f>
        <v>BOSA</v>
      </c>
      <c r="D212" s="11" t="str">
        <f>IFERROR(IF(VLOOKUP(A212,[3]PRIORIZADOS!$A:$D,4,FALSE)="","",VLOOKUP(A212,[3]PRIORIZADOS!$A:$D,4,FALSE)),"")</f>
        <v>PRIVADO</v>
      </c>
      <c r="E212" s="11" t="str">
        <f>IFERROR(IF(VLOOKUP(A212,[3]PRIORIZADOS!$A:$E,5,FALSE)="","",VLOOKUP(A212,[3]PRIORIZADOS!$A:$E,5,FALSE)),"")</f>
        <v>Educación de Jóvenes y Adultos</v>
      </c>
      <c r="F212" s="11" t="str">
        <f>IFERROR(IF(VLOOKUP(A212,[3]PRIORIZADOS!$A:$F,6,FALSE)="","",VLOOKUP(A212,[3]PRIORIZADOS!$A:$F,6,FALSE)),"")</f>
        <v>COLEGIO_INETEC</v>
      </c>
      <c r="G212" s="11" t="str">
        <f>IFERROR(IF(VLOOKUP(A212,[3]PRIORIZADOS!$A:$G,7,FALSE)="","",VLOOKUP(A212,[3]PRIORIZADOS!$A:$G,7,FALSE)),"")</f>
        <v>COLEGIO INETEC</v>
      </c>
      <c r="H212" s="11" t="str">
        <f>IFERROR(IF(VLOOKUP(A212,[3]PRIORIZADOS!$A:$H,8,FALSE)="","",VLOOKUP(A212,[3]PRIORIZADOS!$A:$H,8,FALSE)),"")</f>
        <v>Autoevaluación Institucional y Pruebas SABER 11</v>
      </c>
      <c r="I212" s="11" t="str">
        <f>IFERROR(IF(VLOOKUP(A212,[3]PRIORIZADOS!$A:$I,9,FALSE)="","",VLOOKUP(A212,[3]PRIORIZADOS!$A:$I,9,FALSE)),"")</f>
        <v>EVALUACIÓN_CON_FINES_DE_MEJORAMIENTO.</v>
      </c>
      <c r="J212" s="11" t="str">
        <f>IFERROR(IF(VLOOKUP(A212,[3]PRIORIZADOS!$A:$J,10,FALSE)="","",VLOOKUP(A212,[3]PRIORIZADOS!$A:$J,10,FALSE)),"")</f>
        <v>Revisar el calendario escolar, jornada escolar, la intensidad horaria mínima anual en cada nivel y las modificaciones que se realicen al mismo, de acuerdo con lo previsto en la normatividad vigente.</v>
      </c>
      <c r="K212" s="11" t="str">
        <f>IFERROR(IF(VLOOKUP(A212,[3]PRIORIZADOS!$A:$K,11,FALSE)="","",VLOOKUP(A212,[3]PRIORIZADOS!$A:$K,11,FALSE)),"")</f>
        <v>ANA ANDREA VARGAS GONZÁLEZ</v>
      </c>
      <c r="L212" s="11" t="str">
        <f>IFERROR(IF(VLOOKUP(A212,[3]PRIORIZADOS!$A:$L,12,FALSE)="","",VLOOKUP(A212,[3]PRIORIZADOS!$A:$L,12,FALSE)),"")</f>
        <v>JOSÉ ANTONIO PÁEZ FETECUA</v>
      </c>
      <c r="M212" s="71">
        <f>IFERROR(IF(VLOOKUP(A212,[3]PRIORIZADOS!$A:$M,13,FALSE)="","",VLOOKUP(A212,[3]PRIORIZADOS!$A:$M,13,FALSE)),"")</f>
        <v>45736</v>
      </c>
      <c r="N212" s="71" t="str">
        <f>IFERROR(IF(VLOOKUP(A212,[3]PRIORIZADOS!$A:$N,14,FALSE)="","",VLOOKUP(A212,[3]PRIORIZADOS!$A:$N,14,FALSE)),"")</f>
        <v>20/03/2025</v>
      </c>
      <c r="O212" s="71">
        <f>IFERROR(IF(VLOOKUP(A212,[3]PRIORIZADOS!$A:$O,15,FALSE)="","",VLOOKUP(A212,[3]PRIORIZADOS!$A:$O,15,FALSE)),"")</f>
        <v>45736</v>
      </c>
      <c r="P212" s="11" t="str">
        <f>IFERROR(IF(VLOOKUP(A212,[3]PRIORIZADOS!$A:$P,16,FALSE)="","",VLOOKUP(A212,[3]PRIORIZADOS!$A:$P,16,FALSE)),"")</f>
        <v>Visitas de evaluación con fines de mejoramiento</v>
      </c>
      <c r="Q212" s="122" t="s">
        <v>53</v>
      </c>
      <c r="R212" s="11" t="str">
        <f>IFERROR(IF(VLOOKUP(A212,[3]PRIORIZADOS!$A:$R,18,FALSE)="","",VLOOKUP(A212,[3]PRIORIZADOS!$A:$R,18,FALSE)),"")</f>
        <v>Se revisa el documento de Calendario Escolar y no se encuentra discriminado por semanas y la planeación de las jornadas pedagógicas</v>
      </c>
      <c r="S212" s="11" t="str">
        <f>IFERROR(IF(VLOOKUP(A212,[3]PRIORIZADOS!$A:$S,19,FALSE)="","",VLOOKUP(A212,[3]PRIORIZADOS!$A:$S,19,FALSE)),"")</f>
        <v>Remitir la versión actualizada del Calendario Escolar Vigencia 2025</v>
      </c>
      <c r="T212" s="70" t="str">
        <f>IFERROR(IF(VLOOKUP(A212,[3]PRIORIZADOS!$A:$T,20,FALSE)="","",VLOOKUP(A212,[3]PRIORIZADOS!$A:$T,20,FALSE)),"")</f>
        <v>Si</v>
      </c>
      <c r="U212" s="11" t="str">
        <f>IFERROR(IF(VLOOKUP(A212,[3]PRIORIZADOS!$A:$U,21,FALSE)="","",VLOOKUP(A212,[3]PRIORIZADOS!$A:$U,21,FALSE)),"")</f>
        <v>Revisar el Calendario Escolar Vigencia 2025 actualizado en 2025 y retroalimentar a la IE.</v>
      </c>
    </row>
    <row r="213" spans="1:21" s="1" customFormat="1" ht="60">
      <c r="A213" s="69">
        <f>IF([3]PRIORIZADOS!A24="","",[3]PRIORIZADOS!A24)</f>
        <v>219</v>
      </c>
      <c r="B213" s="70">
        <f>IFERROR(IF(VLOOKUP(A213,[3]PRIORIZADOS!$A:$B,2,FALSE)="","",VLOOKUP(A213,[3]PRIORIZADOS!$A:$B,2,FALSE)),"")</f>
        <v>2</v>
      </c>
      <c r="C213" s="11" t="str">
        <f>IFERROR(IF(VLOOKUP(A213,[3]PRIORIZADOS!$A:$C,3,FALSE)="","",VLOOKUP(A213,[3]PRIORIZADOS!$A:$C,3,FALSE)),"")</f>
        <v>BOSA</v>
      </c>
      <c r="D213" s="11" t="str">
        <f>IFERROR(IF(VLOOKUP(A213,[3]PRIORIZADOS!$A:$D,4,FALSE)="","",VLOOKUP(A213,[3]PRIORIZADOS!$A:$D,4,FALSE)),"")</f>
        <v>PRIVADO</v>
      </c>
      <c r="E213" s="11" t="str">
        <f>IFERROR(IF(VLOOKUP(A213,[3]PRIORIZADOS!$A:$E,5,FALSE)="","",VLOOKUP(A213,[3]PRIORIZADOS!$A:$E,5,FALSE)),"")</f>
        <v>Educación de Jóvenes y Adultos</v>
      </c>
      <c r="F213" s="11" t="str">
        <f>IFERROR(IF(VLOOKUP(A213,[3]PRIORIZADOS!$A:$F,6,FALSE)="","",VLOOKUP(A213,[3]PRIORIZADOS!$A:$F,6,FALSE)),"")</f>
        <v>COLEGIO_INETEC</v>
      </c>
      <c r="G213" s="11" t="str">
        <f>IFERROR(IF(VLOOKUP(A213,[3]PRIORIZADOS!$A:$G,7,FALSE)="","",VLOOKUP(A213,[3]PRIORIZADOS!$A:$G,7,FALSE)),"")</f>
        <v>COLEGIO INETEC</v>
      </c>
      <c r="H213" s="11" t="str">
        <f>IFERROR(IF(VLOOKUP(A213,[3]PRIORIZADOS!$A:$H,8,FALSE)="","",VLOOKUP(A213,[3]PRIORIZADOS!$A:$H,8,FALSE)),"")</f>
        <v>Autoevaluación Institucional y Pruebas SABER 11</v>
      </c>
      <c r="I213" s="11" t="str">
        <f>IFERROR(IF(VLOOKUP(A213,[3]PRIORIZADOS!$A:$I,9,FALSE)="","",VLOOKUP(A213,[3]PRIORIZADOS!$A:$I,9,FALSE)),"")</f>
        <v>EVALUACIÓN_CON_FINES_DE_MEJORAMIENTO.</v>
      </c>
      <c r="J213" s="11" t="str">
        <f>IFERROR(IF(VLOOKUP(A213,[3]PRIORIZADOS!$A:$J,10,FALSE)="","",VLOOKUP(A213,[3]PRIORIZADOS!$A:$J,10,FALSE)),"")</f>
        <v>Verificar el funcionamiento del Gobierno Escolar e instancias de participación con base en la información sobre conformación reportada por la institución educativa.</v>
      </c>
      <c r="K213" s="11" t="str">
        <f>IFERROR(IF(VLOOKUP(A213,[3]PRIORIZADOS!$A:$K,11,FALSE)="","",VLOOKUP(A213,[3]PRIORIZADOS!$A:$K,11,FALSE)),"")</f>
        <v>ANA ANDREA VARGAS GONZÁLEZ</v>
      </c>
      <c r="L213" s="11" t="str">
        <f>IFERROR(IF(VLOOKUP(A213,[3]PRIORIZADOS!$A:$L,12,FALSE)="","",VLOOKUP(A213,[3]PRIORIZADOS!$A:$L,12,FALSE)),"")</f>
        <v>JOSÉ ANTONIO PÁEZ FETECUA</v>
      </c>
      <c r="M213" s="71">
        <f>IFERROR(IF(VLOOKUP(A213,[3]PRIORIZADOS!$A:$M,13,FALSE)="","",VLOOKUP(A213,[3]PRIORIZADOS!$A:$M,13,FALSE)),"")</f>
        <v>45736</v>
      </c>
      <c r="N213" s="71" t="str">
        <f>IFERROR(IF(VLOOKUP(A213,[3]PRIORIZADOS!$A:$N,14,FALSE)="","",VLOOKUP(A213,[3]PRIORIZADOS!$A:$N,14,FALSE)),"")</f>
        <v>20/03/2025</v>
      </c>
      <c r="O213" s="71">
        <f>IFERROR(IF(VLOOKUP(A213,[3]PRIORIZADOS!$A:$O,15,FALSE)="","",VLOOKUP(A213,[3]PRIORIZADOS!$A:$O,15,FALSE)),"")</f>
        <v>45736</v>
      </c>
      <c r="P213" s="11" t="str">
        <f>IFERROR(IF(VLOOKUP(A213,[3]PRIORIZADOS!$A:$P,16,FALSE)="","",VLOOKUP(A213,[3]PRIORIZADOS!$A:$P,16,FALSE)),"")</f>
        <v>Visitas de evaluación con fines de mejoramiento</v>
      </c>
      <c r="Q213" s="122" t="s">
        <v>53</v>
      </c>
      <c r="R213" s="11" t="str">
        <f>IFERROR(IF(VLOOKUP(A213,[3]PRIORIZADOS!$A:$R,18,FALSE)="","",VLOOKUP(A213,[3]PRIORIZADOS!$A:$R,18,FALSE)),"")</f>
        <v>Se revisa la documentación que corresponde a la conformación del Gobierno Escolar y otros órganos de participación y no están ajustados de acuerdo con la normatividad vigente</v>
      </c>
      <c r="S213" s="11" t="str">
        <f>IFERROR(IF(VLOOKUP(A213,[3]PRIORIZADOS!$A:$S,19,FALSE)="","",VLOOKUP(A213,[3]PRIORIZADOS!$A:$S,19,FALSE)),"")</f>
        <v>Remitir la versión actualizada del Gobierno Escolar y otros órganos de participación vigencia 2025</v>
      </c>
      <c r="T213" s="70" t="str">
        <f>IFERROR(IF(VLOOKUP(A213,[3]PRIORIZADOS!$A:$T,20,FALSE)="","",VLOOKUP(A213,[3]PRIORIZADOS!$A:$T,20,FALSE)),"")</f>
        <v>Si</v>
      </c>
      <c r="U213" s="11" t="str">
        <f>IFERROR(IF(VLOOKUP(A213,[3]PRIORIZADOS!$A:$U,21,FALSE)="","",VLOOKUP(A213,[3]PRIORIZADOS!$A:$U,21,FALSE)),"")</f>
        <v>Revisar el Gobierno Escolar y otros órganos de participación actualizado en 2025 y retroalimentar a la IE.</v>
      </c>
    </row>
    <row r="214" spans="1:21" s="1" customFormat="1" ht="48">
      <c r="A214" s="69">
        <f>IF([3]PRIORIZADOS!A25="","",[3]PRIORIZADOS!A25)</f>
        <v>220</v>
      </c>
      <c r="B214" s="70">
        <f>IFERROR(IF(VLOOKUP(A214,[3]PRIORIZADOS!$A:$B,2,FALSE)="","",VLOOKUP(A214,[3]PRIORIZADOS!$A:$B,2,FALSE)),"")</f>
        <v>2</v>
      </c>
      <c r="C214" s="11" t="str">
        <f>IFERROR(IF(VLOOKUP(A214,[3]PRIORIZADOS!$A:$C,3,FALSE)="","",VLOOKUP(A214,[3]PRIORIZADOS!$A:$C,3,FALSE)),"")</f>
        <v>BOSA</v>
      </c>
      <c r="D214" s="11" t="str">
        <f>IFERROR(IF(VLOOKUP(A214,[3]PRIORIZADOS!$A:$D,4,FALSE)="","",VLOOKUP(A214,[3]PRIORIZADOS!$A:$D,4,FALSE)),"")</f>
        <v>PRIVADO</v>
      </c>
      <c r="E214" s="11" t="str">
        <f>IFERROR(IF(VLOOKUP(A214,[3]PRIORIZADOS!$A:$E,5,FALSE)="","",VLOOKUP(A214,[3]PRIORIZADOS!$A:$E,5,FALSE)),"")</f>
        <v>Educación de Jóvenes y Adultos</v>
      </c>
      <c r="F214" s="11" t="str">
        <f>IFERROR(IF(VLOOKUP(A214,[3]PRIORIZADOS!$A:$F,6,FALSE)="","",VLOOKUP(A214,[3]PRIORIZADOS!$A:$F,6,FALSE)),"")</f>
        <v>COLEGIO_INETEC</v>
      </c>
      <c r="G214" s="11" t="str">
        <f>IFERROR(IF(VLOOKUP(A214,[3]PRIORIZADOS!$A:$G,7,FALSE)="","",VLOOKUP(A214,[3]PRIORIZADOS!$A:$G,7,FALSE)),"")</f>
        <v>COLEGIO INETEC</v>
      </c>
      <c r="H214" s="11" t="str">
        <f>IFERROR(IF(VLOOKUP(A214,[3]PRIORIZADOS!$A:$H,8,FALSE)="","",VLOOKUP(A214,[3]PRIORIZADOS!$A:$H,8,FALSE)),"")</f>
        <v>Autoevaluación Institucional y Pruebas SABER 11</v>
      </c>
      <c r="I214" s="11" t="str">
        <f>IFERROR(IF(VLOOKUP(A214,[3]PRIORIZADOS!$A:$I,9,FALSE)="","",VLOOKUP(A214,[3]PRIORIZADOS!$A:$I,9,FALSE)),"")</f>
        <v>EVALUACIÓN_CON_FINES_DE_MEJORAMIENTO.</v>
      </c>
      <c r="J214" s="11" t="str">
        <f>IFERROR(IF(VLOOKUP(A214,[3]PRIORIZADOS!$A:$J,10,FALSE)="","",VLOOKUP(A214,[3]PRIORIZADOS!$A:$J,10,FALSE)),"")</f>
        <v>Verificar las condiciones en cuanto a: la estructura administrativa, condiciones de la planta física y medios educativos adecuados.</v>
      </c>
      <c r="K214" s="11" t="str">
        <f>IFERROR(IF(VLOOKUP(A214,[3]PRIORIZADOS!$A:$K,11,FALSE)="","",VLOOKUP(A214,[3]PRIORIZADOS!$A:$K,11,FALSE)),"")</f>
        <v>ANA ANDREA VARGAS GONZÁLEZ</v>
      </c>
      <c r="L214" s="11" t="str">
        <f>IFERROR(IF(VLOOKUP(A214,[3]PRIORIZADOS!$A:$L,12,FALSE)="","",VLOOKUP(A214,[3]PRIORIZADOS!$A:$L,12,FALSE)),"")</f>
        <v>JOSÉ ANTONIO PÁEZ FETECUA</v>
      </c>
      <c r="M214" s="71">
        <f>IFERROR(IF(VLOOKUP(A214,[3]PRIORIZADOS!$A:$M,13,FALSE)="","",VLOOKUP(A214,[3]PRIORIZADOS!$A:$M,13,FALSE)),"")</f>
        <v>45736</v>
      </c>
      <c r="N214" s="71" t="str">
        <f>IFERROR(IF(VLOOKUP(A214,[3]PRIORIZADOS!$A:$N,14,FALSE)="","",VLOOKUP(A214,[3]PRIORIZADOS!$A:$N,14,FALSE)),"")</f>
        <v>20/03/2025</v>
      </c>
      <c r="O214" s="71">
        <f>IFERROR(IF(VLOOKUP(A214,[3]PRIORIZADOS!$A:$O,15,FALSE)="","",VLOOKUP(A214,[3]PRIORIZADOS!$A:$O,15,FALSE)),"")</f>
        <v>45736</v>
      </c>
      <c r="P214" s="11" t="str">
        <f>IFERROR(IF(VLOOKUP(A214,[3]PRIORIZADOS!$A:$P,16,FALSE)="","",VLOOKUP(A214,[3]PRIORIZADOS!$A:$P,16,FALSE)),"")</f>
        <v>Visitas de evaluación con fines de mejoramiento</v>
      </c>
      <c r="Q214" s="122" t="s">
        <v>53</v>
      </c>
      <c r="R214" s="11" t="str">
        <f>IFERROR(IF(VLOOKUP(A214,[3]PRIORIZADOS!$A:$R,18,FALSE)="","",VLOOKUP(A214,[3]PRIORIZADOS!$A:$R,18,FALSE)),"")</f>
        <v>Se realiza un recorrido en las instalaciones de la IE y se evidencia falta de mantenimiento en las Instalaciones y falta de pintura en las paredes</v>
      </c>
      <c r="S214" s="11" t="str">
        <f>IFERROR(IF(VLOOKUP(A214,[3]PRIORIZADOS!$A:$S,19,FALSE)="","",VLOOKUP(A214,[3]PRIORIZADOS!$A:$S,19,FALSE)),"")</f>
        <v xml:space="preserve">Se recomienda actualizar el mobiliario más antiguo y pintar el interior de las instalaciones </v>
      </c>
      <c r="T214" s="70" t="str">
        <f>IFERROR(IF(VLOOKUP(A214,[3]PRIORIZADOS!$A:$T,20,FALSE)="","",VLOOKUP(A214,[3]PRIORIZADOS!$A:$T,20,FALSE)),"")</f>
        <v>Si</v>
      </c>
      <c r="U214" s="11" t="str">
        <f>IFERROR(IF(VLOOKUP(A214,[3]PRIORIZADOS!$A:$U,21,FALSE)="","",VLOOKUP(A214,[3]PRIORIZADOS!$A:$U,21,FALSE)),"")</f>
        <v>Se adelantará una visita administrativa para verificar la pertinencia de las instalaciones en la garantía de la prestación del servicio educativo</v>
      </c>
    </row>
    <row r="215" spans="1:21" s="1" customFormat="1" ht="60">
      <c r="A215" s="69">
        <f>IF([3]PRIORIZADOS!A26="","",[3]PRIORIZADOS!A26)</f>
        <v>221</v>
      </c>
      <c r="B215" s="70">
        <f>IFERROR(IF(VLOOKUP(A215,[3]PRIORIZADOS!$A:$B,2,FALSE)="","",VLOOKUP(A215,[3]PRIORIZADOS!$A:$B,2,FALSE)),"")</f>
        <v>3</v>
      </c>
      <c r="C215" s="11" t="str">
        <f>IFERROR(IF(VLOOKUP(A215,[3]PRIORIZADOS!$A:$C,3,FALSE)="","",VLOOKUP(A215,[3]PRIORIZADOS!$A:$C,3,FALSE)),"")</f>
        <v>BOSA</v>
      </c>
      <c r="D215" s="11" t="str">
        <f>IFERROR(IF(VLOOKUP(A215,[3]PRIORIZADOS!$A:$D,4,FALSE)="","",VLOOKUP(A215,[3]PRIORIZADOS!$A:$D,4,FALSE)),"")</f>
        <v>PRIVADO</v>
      </c>
      <c r="E215" s="11" t="str">
        <f>IFERROR(IF(VLOOKUP(A215,[3]PRIORIZADOS!$A:$E,5,FALSE)="","",VLOOKUP(A215,[3]PRIORIZADOS!$A:$E,5,FALSE)),"")</f>
        <v>EPBM</v>
      </c>
      <c r="F215" s="11" t="str">
        <f>IFERROR(IF(VLOOKUP(A215,[3]PRIORIZADOS!$A:$F,6,FALSE)="","",VLOOKUP(A215,[3]PRIORIZADOS!$A:$F,6,FALSE)),"")</f>
        <v>COLEGIO_MIXTO_VILLA_CAROLINA_EU</v>
      </c>
      <c r="G215" s="11" t="str">
        <f>IFERROR(IF(VLOOKUP(A215,[3]PRIORIZADOS!$A:$G,7,FALSE)="","",VLOOKUP(A215,[3]PRIORIZADOS!$A:$G,7,FALSE)),"")</f>
        <v>COLEGIO MIXTO VILLA CAROLINA EU</v>
      </c>
      <c r="H215" s="11" t="str">
        <f>IFERROR(IF(VLOOKUP(A215,[3]PRIORIZADOS!$A:$H,8,FALSE)="","",VLOOKUP(A215,[3]PRIORIZADOS!$A:$H,8,FALSE)),"")</f>
        <v>Autoevaluación Institucional y Pruebas SABER 11</v>
      </c>
      <c r="I215" s="11" t="str">
        <f>IFERROR(IF(VLOOKUP(A215,[3]PRIORIZADOS!$A:$I,9,FALSE)="","",VLOOKUP(A215,[3]PRIORIZADOS!$A:$I,9,FALSE)),"")</f>
        <v>SEGUIMIENTO_Y_SUPERVISIÓN.</v>
      </c>
      <c r="J215" s="11" t="str">
        <f>IFERROR(IF(VLOOKUP(A215,[3]PRIORIZADOS!$A:$J,10,FALSE)="","",VLOOKUP(A215,[3]PRIORIZADOS!$A:$J,10,FALSE)),"")</f>
        <v>Realizar visitas para verificar la información registrada sobre la autoevaluación institucional en el aplicativo EVI, a los establecimientos de educación formal no oficial.</v>
      </c>
      <c r="K215" s="11" t="str">
        <f>IFERROR(IF(VLOOKUP(A215,[3]PRIORIZADOS!$A:$K,11,FALSE)="","",VLOOKUP(A215,[3]PRIORIZADOS!$A:$K,11,FALSE)),"")</f>
        <v>JOSÉ ANTONIO PÁEZ FETECUA</v>
      </c>
      <c r="L215" s="11" t="str">
        <f>IFERROR(IF(VLOOKUP(A215,[3]PRIORIZADOS!$A:$L,12,FALSE)="","",VLOOKUP(A215,[3]PRIORIZADOS!$A:$L,12,FALSE)),"")</f>
        <v>ESTEFANY PEÑA GARCIA</v>
      </c>
      <c r="M215" s="71">
        <f>IFERROR(IF(VLOOKUP(A215,[3]PRIORIZADOS!$A:$M,13,FALSE)="","",VLOOKUP(A215,[3]PRIORIZADOS!$A:$M,13,FALSE)),"")</f>
        <v>45741</v>
      </c>
      <c r="N215" s="71" t="str">
        <f>IFERROR(IF(VLOOKUP(A215,[3]PRIORIZADOS!$A:$N,14,FALSE)="","",VLOOKUP(A215,[3]PRIORIZADOS!$A:$N,14,FALSE)),"")</f>
        <v>25/03/2025</v>
      </c>
      <c r="O215" s="71" t="str">
        <f>IFERROR(IF(VLOOKUP(A215,[3]PRIORIZADOS!$A:$O,15,FALSE)="","",VLOOKUP(A215,[3]PRIORIZADOS!$A:$O,15,FALSE)),"")</f>
        <v>25/03/2025</v>
      </c>
      <c r="P215" s="11" t="str">
        <f>IFERROR(IF(VLOOKUP(A215,[3]PRIORIZADOS!$A:$P,16,FALSE)="","",VLOOKUP(A215,[3]PRIORIZADOS!$A:$P,16,FALSE)),"")</f>
        <v>Visitas de evaluación con fines de mejoramiento</v>
      </c>
      <c r="Q215" s="122" t="s">
        <v>54</v>
      </c>
      <c r="R215" s="11" t="str">
        <f>IFERROR(IF(VLOOKUP(A215,[3]PRIORIZADOS!$A:$R,18,FALSE)="","",VLOOKUP(A215,[3]PRIORIZADOS!$A:$R,18,FALSE)),"")</f>
        <v>La información consignada en la Plataforma EVI relacionada con los indicadores de: planta física, dotación de espacios y calendario académico coincide con lo verificado en campo</v>
      </c>
      <c r="S215" s="11" t="str">
        <f>IFERROR(IF(VLOOKUP(A215,[3]PRIORIZADOS!$A:$S,19,FALSE)="","",VLOOKUP(A215,[3]PRIORIZADOS!$A:$S,19,FALSE)),"")</f>
        <v xml:space="preserve">Se concluye que la IE realizará su autoevalución institucional en el mes octubre.  </v>
      </c>
      <c r="T215" s="70" t="str">
        <f>IFERROR(IF(VLOOKUP(A215,[3]PRIORIZADOS!$A:$T,20,FALSE)="","",VLOOKUP(A215,[3]PRIORIZADOS!$A:$T,20,FALSE)),"")</f>
        <v>No</v>
      </c>
      <c r="U215" s="11" t="str">
        <f>IFERROR(IF(VLOOKUP(A215,[3]PRIORIZADOS!$A:$U,21,FALSE)="","",VLOOKUP(A215,[3]PRIORIZADOS!$A:$U,21,FALSE)),"")</f>
        <v>Se verificará la información cargada por la IE en el aplicativo EVI de la autoevaluación,  para la emisión del concepto de tarifas 2026</v>
      </c>
    </row>
    <row r="216" spans="1:21" s="1" customFormat="1" ht="60">
      <c r="A216" s="69">
        <f>IF([3]PRIORIZADOS!A27="","",[3]PRIORIZADOS!A27)</f>
        <v>222</v>
      </c>
      <c r="B216" s="70">
        <f>IFERROR(IF(VLOOKUP(A216,[3]PRIORIZADOS!$A:$B,2,FALSE)="","",VLOOKUP(A216,[3]PRIORIZADOS!$A:$B,2,FALSE)),"")</f>
        <v>3</v>
      </c>
      <c r="C216" s="11" t="str">
        <f>IFERROR(IF(VLOOKUP(A216,[3]PRIORIZADOS!$A:$C,3,FALSE)="","",VLOOKUP(A216,[3]PRIORIZADOS!$A:$C,3,FALSE)),"")</f>
        <v>BOSA</v>
      </c>
      <c r="D216" s="11" t="str">
        <f>IFERROR(IF(VLOOKUP(A216,[3]PRIORIZADOS!$A:$D,4,FALSE)="","",VLOOKUP(A216,[3]PRIORIZADOS!$A:$D,4,FALSE)),"")</f>
        <v>PRIVADO</v>
      </c>
      <c r="E216" s="11" t="str">
        <f>IFERROR(IF(VLOOKUP(A216,[3]PRIORIZADOS!$A:$E,5,FALSE)="","",VLOOKUP(A216,[3]PRIORIZADOS!$A:$E,5,FALSE)),"")</f>
        <v>EPBM</v>
      </c>
      <c r="F216" s="11" t="str">
        <f>IFERROR(IF(VLOOKUP(A216,[3]PRIORIZADOS!$A:$F,6,FALSE)="","",VLOOKUP(A216,[3]PRIORIZADOS!$A:$F,6,FALSE)),"")</f>
        <v>COLEGIO_MIXTO_VILLA_CAROLINA_EU</v>
      </c>
      <c r="G216" s="11" t="str">
        <f>IFERROR(IF(VLOOKUP(A216,[3]PRIORIZADOS!$A:$G,7,FALSE)="","",VLOOKUP(A216,[3]PRIORIZADOS!$A:$G,7,FALSE)),"")</f>
        <v>COLEGIO MIXTO VILLA CAROLINA EU</v>
      </c>
      <c r="H216" s="11" t="str">
        <f>IFERROR(IF(VLOOKUP(A216,[3]PRIORIZADOS!$A:$H,8,FALSE)="","",VLOOKUP(A216,[3]PRIORIZADOS!$A:$H,8,FALSE)),"")</f>
        <v>Autoevaluación Institucional y Pruebas SABER 11</v>
      </c>
      <c r="I216" s="11" t="str">
        <f>IFERROR(IF(VLOOKUP(A216,[3]PRIORIZADOS!$A:$I,9,FALSE)="","",VLOOKUP(A216,[3]PRIORIZADOS!$A:$I,9,FALSE)),"")</f>
        <v>SEGUIMIENTO_Y_SUPERVISIÓN.</v>
      </c>
      <c r="J216" s="11" t="str">
        <f>IFERROR(IF(VLOOKUP(A216,[3]PRIORIZADOS!$A:$J,10,FALSE)="","",VLOOKUP(A216,[3]PRIORIZADOS!$A:$J,10,FALSE)),"")</f>
        <v>Proponer estrategias en la formulación, verificar su elaboración y realizar seguimiento semestral al desarrollo de  las acciones establecidas en los planes de mejoramiento por pruebas SABER 11 de los establecimientos de educación formal.</v>
      </c>
      <c r="K216" s="11" t="str">
        <f>IFERROR(IF(VLOOKUP(A216,[3]PRIORIZADOS!$A:$K,11,FALSE)="","",VLOOKUP(A216,[3]PRIORIZADOS!$A:$K,11,FALSE)),"")</f>
        <v>JOSÉ ANTONIO PÁEZ FETECUA</v>
      </c>
      <c r="L216" s="11" t="str">
        <f>IFERROR(IF(VLOOKUP(A216,[3]PRIORIZADOS!$A:$L,12,FALSE)="","",VLOOKUP(A216,[3]PRIORIZADOS!$A:$L,12,FALSE)),"")</f>
        <v>ESTEFANY PEÑA GARCIA</v>
      </c>
      <c r="M216" s="71">
        <f>IFERROR(IF(VLOOKUP(A216,[3]PRIORIZADOS!$A:$M,13,FALSE)="","",VLOOKUP(A216,[3]PRIORIZADOS!$A:$M,13,FALSE)),"")</f>
        <v>45741</v>
      </c>
      <c r="N216" s="71" t="str">
        <f>IFERROR(IF(VLOOKUP(A216,[3]PRIORIZADOS!$A:$N,14,FALSE)="","",VLOOKUP(A216,[3]PRIORIZADOS!$A:$N,14,FALSE)),"")</f>
        <v>25/03/2025</v>
      </c>
      <c r="O216" s="71">
        <f>IFERROR(IF(VLOOKUP(A216,[3]PRIORIZADOS!$A:$O,15,FALSE)="","",VLOOKUP(A216,[3]PRIORIZADOS!$A:$O,15,FALSE)),"")</f>
        <v>45741</v>
      </c>
      <c r="P216" s="11" t="str">
        <f>IFERROR(IF(VLOOKUP(A216,[3]PRIORIZADOS!$A:$P,16,FALSE)="","",VLOOKUP(A216,[3]PRIORIZADOS!$A:$P,16,FALSE)),"")</f>
        <v>Visitas de evaluación con fines de mejoramiento</v>
      </c>
      <c r="Q216" s="122" t="s">
        <v>54</v>
      </c>
      <c r="R216" s="11" t="str">
        <f>IFERROR(IF(VLOOKUP(A216,[3]PRIORIZADOS!$A:$R,18,FALSE)="","",VLOOKUP(A216,[3]PRIORIZADOS!$A:$R,18,FALSE)),"")</f>
        <v>Se adelanta la revisión de los Resultados de las Pruebas Saber 11, encontrando que la IE se encuentra en Categoría A</v>
      </c>
      <c r="S216" s="11" t="str">
        <f>IFERROR(IF(VLOOKUP(A216,[3]PRIORIZADOS!$A:$S,19,FALSE)="","",VLOOKUP(A216,[3]PRIORIZADOS!$A:$S,19,FALSE)),"")</f>
        <v>Se aporta documento que la Institución educativa que compara diferentes vigencias y la mejora anual hasta llegar a la categoría A  en los resultados 2024</v>
      </c>
      <c r="T216" s="70" t="str">
        <f>IFERROR(IF(VLOOKUP(A216,[3]PRIORIZADOS!$A:$T,20,FALSE)="","",VLOOKUP(A216,[3]PRIORIZADOS!$A:$T,20,FALSE)),"")</f>
        <v>No</v>
      </c>
      <c r="U216" s="11" t="str">
        <f>IFERROR(IF(VLOOKUP(A216,[3]PRIORIZADOS!$A:$U,21,FALSE)="","",VLOOKUP(A216,[3]PRIORIZADOS!$A:$U,21,FALSE)),"")</f>
        <v>Se acordó revisar nuevamente el documento en el mes de agosto de 2025 y generar espacios de asesoría, conforme lo requiera la IE</v>
      </c>
    </row>
    <row r="217" spans="1:21" s="1" customFormat="1" ht="72">
      <c r="A217" s="69">
        <f>IF([3]PRIORIZADOS!A28="","",[3]PRIORIZADOS!A28)</f>
        <v>223</v>
      </c>
      <c r="B217" s="70">
        <f>IFERROR(IF(VLOOKUP(A217,[3]PRIORIZADOS!$A:$B,2,FALSE)="","",VLOOKUP(A217,[3]PRIORIZADOS!$A:$B,2,FALSE)),"")</f>
        <v>3</v>
      </c>
      <c r="C217" s="11" t="str">
        <f>IFERROR(IF(VLOOKUP(A217,[3]PRIORIZADOS!$A:$C,3,FALSE)="","",VLOOKUP(A217,[3]PRIORIZADOS!$A:$C,3,FALSE)),"")</f>
        <v>BOSA</v>
      </c>
      <c r="D217" s="11" t="str">
        <f>IFERROR(IF(VLOOKUP(A217,[3]PRIORIZADOS!$A:$D,4,FALSE)="","",VLOOKUP(A217,[3]PRIORIZADOS!$A:$D,4,FALSE)),"")</f>
        <v>PRIVADO</v>
      </c>
      <c r="E217" s="11" t="str">
        <f>IFERROR(IF(VLOOKUP(A217,[3]PRIORIZADOS!$A:$E,5,FALSE)="","",VLOOKUP(A217,[3]PRIORIZADOS!$A:$E,5,FALSE)),"")</f>
        <v>EPBM</v>
      </c>
      <c r="F217" s="11" t="str">
        <f>IFERROR(IF(VLOOKUP(A217,[3]PRIORIZADOS!$A:$F,6,FALSE)="","",VLOOKUP(A217,[3]PRIORIZADOS!$A:$F,6,FALSE)),"")</f>
        <v>COLEGIO_MIXTO_VILLA_CAROLINA_EU</v>
      </c>
      <c r="G217" s="11" t="str">
        <f>IFERROR(IF(VLOOKUP(A217,[3]PRIORIZADOS!$A:$G,7,FALSE)="","",VLOOKUP(A217,[3]PRIORIZADOS!$A:$G,7,FALSE)),"")</f>
        <v>COLEGIO MIXTO VILLA CAROLINA EU</v>
      </c>
      <c r="H217" s="11" t="str">
        <f>IFERROR(IF(VLOOKUP(A217,[3]PRIORIZADOS!$A:$H,8,FALSE)="","",VLOOKUP(A217,[3]PRIORIZADOS!$A:$H,8,FALSE)),"")</f>
        <v>Autoevaluación Institucional y Pruebas SABER 11</v>
      </c>
      <c r="I217" s="11" t="str">
        <f>IFERROR(IF(VLOOKUP(A217,[3]PRIORIZADOS!$A:$I,9,FALSE)="","",VLOOKUP(A217,[3]PRIORIZADOS!$A:$I,9,FALSE)),"")</f>
        <v>SEGUIMIENTO_Y_SUPERVISIÓN.</v>
      </c>
      <c r="J217" s="11" t="str">
        <f>IFERROR(IF(VLOOKUP(A217,[3]PRIORIZADOS!$A:$J,10,FALSE)="","",VLOOKUP(A217,[3]PRIORIZADOS!$A:$J,10,FALSE)),"")</f>
        <v xml:space="preserve">Verificar la implementación por parte de los colegios, de acciones realizadas para la prevención y atención de las situaciones de convivencia en el entorno escolar, según lo establecido en la Directiva 01 de 2022 del MEN. </v>
      </c>
      <c r="K217" s="11" t="str">
        <f>IFERROR(IF(VLOOKUP(A217,[3]PRIORIZADOS!$A:$K,11,FALSE)="","",VLOOKUP(A217,[3]PRIORIZADOS!$A:$K,11,FALSE)),"")</f>
        <v>JOSÉ ANTONIO PÁEZ FETECUA</v>
      </c>
      <c r="L217" s="11" t="str">
        <f>IFERROR(IF(VLOOKUP(A217,[3]PRIORIZADOS!$A:$L,12,FALSE)="","",VLOOKUP(A217,[3]PRIORIZADOS!$A:$L,12,FALSE)),"")</f>
        <v>ESTEFANY PEÑA GARCIA</v>
      </c>
      <c r="M217" s="71">
        <f>IFERROR(IF(VLOOKUP(A217,[3]PRIORIZADOS!$A:$M,13,FALSE)="","",VLOOKUP(A217,[3]PRIORIZADOS!$A:$M,13,FALSE)),"")</f>
        <v>45741</v>
      </c>
      <c r="N217" s="71" t="str">
        <f>IFERROR(IF(VLOOKUP(A217,[3]PRIORIZADOS!$A:$N,14,FALSE)="","",VLOOKUP(A217,[3]PRIORIZADOS!$A:$N,14,FALSE)),"")</f>
        <v>25/03/2025</v>
      </c>
      <c r="O217" s="71">
        <f>IFERROR(IF(VLOOKUP(A217,[3]PRIORIZADOS!$A:$O,15,FALSE)="","",VLOOKUP(A217,[3]PRIORIZADOS!$A:$O,15,FALSE)),"")</f>
        <v>45741</v>
      </c>
      <c r="P217" s="11" t="str">
        <f>IFERROR(IF(VLOOKUP(A217,[3]PRIORIZADOS!$A:$P,16,FALSE)="","",VLOOKUP(A217,[3]PRIORIZADOS!$A:$P,16,FALSE)),"")</f>
        <v>Visitas de evaluación con fines de mejoramiento</v>
      </c>
      <c r="Q217" s="122" t="s">
        <v>54</v>
      </c>
      <c r="R217" s="11" t="str">
        <f>IFERROR(IF(VLOOKUP(A217,[3]PRIORIZADOS!$A:$R,18,FALSE)="","",VLOOKUP(A217,[3]PRIORIZADOS!$A:$R,18,FALSE)),"")</f>
        <v>Se verifica la implementación de acciones  realizadas para la prevención como lo es la verificación de inhabilidades por delitos sexuales en el sistema de la Policía Nacional.</v>
      </c>
      <c r="S217" s="11" t="str">
        <f>IFERROR(IF(VLOOKUP(A217,[3]PRIORIZADOS!$A:$S,19,FALSE)="","",VLOOKUP(A217,[3]PRIORIZADOS!$A:$S,19,FALSE)),"")</f>
        <v>Como acción de verificación se solicita implementar  la autorización de directivos, docentes y administrativos para las consultas de antecedentes en los sistemas que se requieran al momento de la vinculación</v>
      </c>
      <c r="T217" s="70" t="str">
        <f>IFERROR(IF(VLOOKUP(A217,[3]PRIORIZADOS!$A:$T,20,FALSE)="","",VLOOKUP(A217,[3]PRIORIZADOS!$A:$T,20,FALSE)),"")</f>
        <v>No</v>
      </c>
      <c r="U217" s="11" t="str">
        <f>IFERROR(IF(VLOOKUP(A217,[3]PRIORIZADOS!$A:$U,21,FALSE)="","",VLOOKUP(A217,[3]PRIORIZADOS!$A:$U,21,FALSE)),"")</f>
        <v>Verificar que la IE cuente con las respectivas autorizaciones para las consultas de antedecentes del personal vinculado.</v>
      </c>
    </row>
    <row r="218" spans="1:21" s="1" customFormat="1" ht="72">
      <c r="A218" s="69">
        <f>IF([3]PRIORIZADOS!A29="","",[3]PRIORIZADOS!A29)</f>
        <v>224</v>
      </c>
      <c r="B218" s="70">
        <f>IFERROR(IF(VLOOKUP(A218,[3]PRIORIZADOS!$A:$B,2,FALSE)="","",VLOOKUP(A218,[3]PRIORIZADOS!$A:$B,2,FALSE)),"")</f>
        <v>3</v>
      </c>
      <c r="C218" s="11" t="str">
        <f>IFERROR(IF(VLOOKUP(A218,[3]PRIORIZADOS!$A:$C,3,FALSE)="","",VLOOKUP(A218,[3]PRIORIZADOS!$A:$C,3,FALSE)),"")</f>
        <v>BOSA</v>
      </c>
      <c r="D218" s="11" t="str">
        <f>IFERROR(IF(VLOOKUP(A218,[3]PRIORIZADOS!$A:$D,4,FALSE)="","",VLOOKUP(A218,[3]PRIORIZADOS!$A:$D,4,FALSE)),"")</f>
        <v>PRIVADO</v>
      </c>
      <c r="E218" s="11" t="str">
        <f>IFERROR(IF(VLOOKUP(A218,[3]PRIORIZADOS!$A:$E,5,FALSE)="","",VLOOKUP(A218,[3]PRIORIZADOS!$A:$E,5,FALSE)),"")</f>
        <v>EPBM</v>
      </c>
      <c r="F218" s="11" t="str">
        <f>IFERROR(IF(VLOOKUP(A218,[3]PRIORIZADOS!$A:$F,6,FALSE)="","",VLOOKUP(A218,[3]PRIORIZADOS!$A:$F,6,FALSE)),"")</f>
        <v>COLEGIO_MIXTO_VILLA_CAROLINA_EU</v>
      </c>
      <c r="G218" s="11" t="str">
        <f>IFERROR(IF(VLOOKUP(A218,[3]PRIORIZADOS!$A:$G,7,FALSE)="","",VLOOKUP(A218,[3]PRIORIZADOS!$A:$G,7,FALSE)),"")</f>
        <v>COLEGIO MIXTO VILLA CAROLINA EU</v>
      </c>
      <c r="H218" s="11" t="str">
        <f>IFERROR(IF(VLOOKUP(A218,[3]PRIORIZADOS!$A:$H,8,FALSE)="","",VLOOKUP(A218,[3]PRIORIZADOS!$A:$H,8,FALSE)),"")</f>
        <v>Autoevaluación Institucional y Pruebas SABER 11</v>
      </c>
      <c r="I218" s="11" t="str">
        <f>IFERROR(IF(VLOOKUP(A218,[3]PRIORIZADOS!$A:$I,9,FALSE)="","",VLOOKUP(A218,[3]PRIORIZADOS!$A:$I,9,FALSE)),"")</f>
        <v>SEGUIMIENTO_Y_SUPERVISIÓN.</v>
      </c>
      <c r="J218" s="11" t="str">
        <f>IFERROR(IF(VLOOKUP(A218,[3]PRIORIZADOS!$A:$J,10,FALSE)="","",VLOOKUP(A218,[3]PRIORIZADOS!$A:$J,10,FALSE)),"")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8" s="11" t="str">
        <f>IFERROR(IF(VLOOKUP(A218,[3]PRIORIZADOS!$A:$K,11,FALSE)="","",VLOOKUP(A218,[3]PRIORIZADOS!$A:$K,11,FALSE)),"")</f>
        <v>JOSÉ ANTONIO PÁEZ FETECUA</v>
      </c>
      <c r="L218" s="11" t="str">
        <f>IFERROR(IF(VLOOKUP(A218,[3]PRIORIZADOS!$A:$L,12,FALSE)="","",VLOOKUP(A218,[3]PRIORIZADOS!$A:$L,12,FALSE)),"")</f>
        <v>ESTEFANY PEÑA GARCIA</v>
      </c>
      <c r="M218" s="71">
        <f>IFERROR(IF(VLOOKUP(A218,[3]PRIORIZADOS!$A:$M,13,FALSE)="","",VLOOKUP(A218,[3]PRIORIZADOS!$A:$M,13,FALSE)),"")</f>
        <v>45741</v>
      </c>
      <c r="N218" s="71" t="str">
        <f>IFERROR(IF(VLOOKUP(A218,[3]PRIORIZADOS!$A:$N,14,FALSE)="","",VLOOKUP(A218,[3]PRIORIZADOS!$A:$N,14,FALSE)),"")</f>
        <v>25/03/2025</v>
      </c>
      <c r="O218" s="71">
        <f>IFERROR(IF(VLOOKUP(A218,[3]PRIORIZADOS!$A:$O,15,FALSE)="","",VLOOKUP(A218,[3]PRIORIZADOS!$A:$O,15,FALSE)),"")</f>
        <v>45741</v>
      </c>
      <c r="P218" s="11" t="str">
        <f>IFERROR(IF(VLOOKUP(A218,[3]PRIORIZADOS!$A:$P,16,FALSE)="","",VLOOKUP(A218,[3]PRIORIZADOS!$A:$P,16,FALSE)),"")</f>
        <v>Visitas de evaluación con fines de mejoramiento</v>
      </c>
      <c r="Q218" s="122" t="s">
        <v>54</v>
      </c>
      <c r="R218" s="11" t="str">
        <f>IFERROR(IF(VLOOKUP(A218,[3]PRIORIZADOS!$A:$R,18,FALSE)="","",VLOOKUP(A218,[3]PRIORIZADOS!$A:$R,18,FALSE)),"")</f>
        <v>Al revisar la Plataforma SIMAT, no hay estudiantes marcados en la Plataforma con discapacidad</v>
      </c>
      <c r="S218" s="11" t="str">
        <f>IFERROR(IF(VLOOKUP(A218,[3]PRIORIZADOS!$A:$S,19,FALSE)="","",VLOOKUP(A218,[3]PRIORIZADOS!$A:$S,19,FALSE)),"")</f>
        <v>La Institución Educativa se compromete a remitir el Documento Institucional del Plan Individual de Ajustes Razonables PIAR</v>
      </c>
      <c r="T218" s="70" t="str">
        <f>IFERROR(IF(VLOOKUP(A218,[3]PRIORIZADOS!$A:$T,20,FALSE)="","",VLOOKUP(A218,[3]PRIORIZADOS!$A:$T,20,FALSE)),"")</f>
        <v>No</v>
      </c>
      <c r="U218" s="11" t="str">
        <f>IFERROR(IF(VLOOKUP(A218,[3]PRIORIZADOS!$A:$U,21,FALSE)="","",VLOOKUP(A218,[3]PRIORIZADOS!$A:$U,21,FALSE)),"")</f>
        <v>Verificar la información en SIMAT</v>
      </c>
    </row>
    <row r="219" spans="1:21" s="1" customFormat="1" ht="84">
      <c r="A219" s="69">
        <f>IF([3]PRIORIZADOS!A30="","",[3]PRIORIZADOS!A30)</f>
        <v>225</v>
      </c>
      <c r="B219" s="70">
        <f>IFERROR(IF(VLOOKUP(A219,[3]PRIORIZADOS!$A:$B,2,FALSE)="","",VLOOKUP(A219,[3]PRIORIZADOS!$A:$B,2,FALSE)),"")</f>
        <v>3</v>
      </c>
      <c r="C219" s="11" t="str">
        <f>IFERROR(IF(VLOOKUP(A219,[3]PRIORIZADOS!$A:$C,3,FALSE)="","",VLOOKUP(A219,[3]PRIORIZADOS!$A:$C,3,FALSE)),"")</f>
        <v>BOSA</v>
      </c>
      <c r="D219" s="11" t="str">
        <f>IFERROR(IF(VLOOKUP(A219,[3]PRIORIZADOS!$A:$D,4,FALSE)="","",VLOOKUP(A219,[3]PRIORIZADOS!$A:$D,4,FALSE)),"")</f>
        <v>PRIVADO</v>
      </c>
      <c r="E219" s="11" t="str">
        <f>IFERROR(IF(VLOOKUP(A219,[3]PRIORIZADOS!$A:$E,5,FALSE)="","",VLOOKUP(A219,[3]PRIORIZADOS!$A:$E,5,FALSE)),"")</f>
        <v>EPBM</v>
      </c>
      <c r="F219" s="11" t="str">
        <f>IFERROR(IF(VLOOKUP(A219,[3]PRIORIZADOS!$A:$F,6,FALSE)="","",VLOOKUP(A219,[3]PRIORIZADOS!$A:$F,6,FALSE)),"")</f>
        <v>COLEGIO_MIXTO_VILLA_CAROLINA_EU</v>
      </c>
      <c r="G219" s="11" t="str">
        <f>IFERROR(IF(VLOOKUP(A219,[3]PRIORIZADOS!$A:$G,7,FALSE)="","",VLOOKUP(A219,[3]PRIORIZADOS!$A:$G,7,FALSE)),"")</f>
        <v>COLEGIO MIXTO VILLA CAROLINA EU</v>
      </c>
      <c r="H219" s="11" t="str">
        <f>IFERROR(IF(VLOOKUP(A219,[3]PRIORIZADOS!$A:$H,8,FALSE)="","",VLOOKUP(A219,[3]PRIORIZADOS!$A:$H,8,FALSE)),"")</f>
        <v>Autoevaluación Institucional y Pruebas SABER 11</v>
      </c>
      <c r="I219" s="11" t="str">
        <f>IFERROR(IF(VLOOKUP(A219,[3]PRIORIZADOS!$A:$I,9,FALSE)="","",VLOOKUP(A219,[3]PRIORIZADOS!$A:$I,9,FALSE)),"")</f>
        <v>EVALUACIÓN_CON_FINES_DE_MEJORAMIENTO.</v>
      </c>
      <c r="J219" s="11" t="str">
        <f>IFERROR(IF(VLOOKUP(A219,[3]PRIORIZADOS!$A:$J,10,FALSE)="","",VLOOKUP(A219,[3]PRIORIZADOS!$A:$J,10,FALSE)),"")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9" s="11" t="str">
        <f>IFERROR(IF(VLOOKUP(A219,[3]PRIORIZADOS!$A:$K,11,FALSE)="","",VLOOKUP(A219,[3]PRIORIZADOS!$A:$K,11,FALSE)),"")</f>
        <v>JOSÉ ANTONIO PÁEZ FETECUA</v>
      </c>
      <c r="L219" s="11" t="str">
        <f>IFERROR(IF(VLOOKUP(A219,[3]PRIORIZADOS!$A:$L,12,FALSE)="","",VLOOKUP(A219,[3]PRIORIZADOS!$A:$L,12,FALSE)),"")</f>
        <v>ESTEFANY PEÑA GARCIA</v>
      </c>
      <c r="M219" s="71">
        <f>IFERROR(IF(VLOOKUP(A219,[3]PRIORIZADOS!$A:$M,13,FALSE)="","",VLOOKUP(A219,[3]PRIORIZADOS!$A:$M,13,FALSE)),"")</f>
        <v>45741</v>
      </c>
      <c r="N219" s="71" t="str">
        <f>IFERROR(IF(VLOOKUP(A219,[3]PRIORIZADOS!$A:$N,14,FALSE)="","",VLOOKUP(A219,[3]PRIORIZADOS!$A:$N,14,FALSE)),"")</f>
        <v>25/03/2025</v>
      </c>
      <c r="O219" s="71" t="str">
        <f>IFERROR(IF(VLOOKUP(A219,[3]PRIORIZADOS!$A:$O,15,FALSE)="","",VLOOKUP(A219,[3]PRIORIZADOS!$A:$O,15,FALSE)),"")</f>
        <v>25/03/2025</v>
      </c>
      <c r="P219" s="11" t="str">
        <f>IFERROR(IF(VLOOKUP(A219,[3]PRIORIZADOS!$A:$P,16,FALSE)="","",VLOOKUP(A219,[3]PRIORIZADOS!$A:$P,16,FALSE)),"")</f>
        <v>Visitas de evaluación con fines de mejoramiento</v>
      </c>
      <c r="Q219" s="122" t="s">
        <v>54</v>
      </c>
      <c r="R219" s="11" t="str">
        <f>IFERROR(IF(VLOOKUP(A219,[3]PRIORIZADOS!$A:$R,18,FALSE)="","",VLOOKUP(A219,[3]PRIORIZADOS!$A:$R,18,FALSE)),"")</f>
        <v>El Manual de Convivencia fue construido y adoptado de forma participativa e incluye los componentes generales, los diferentes enfoques y se encuentra conforme a lo establecido en el PEI y la normatividad vigente</v>
      </c>
      <c r="S219" s="11" t="str">
        <f>IFERROR(IF(VLOOKUP(A219,[3]PRIORIZADOS!$A:$S,19,FALSE)="","",VLOOKUP(A219,[3]PRIORIZADOS!$A:$S,19,FALSE)),"")</f>
        <v>Como acción de verificación la Institución Educativa se compromete a remitir la versión actualizada del Manual de Convivencia a la vigencia 2024 -2025</v>
      </c>
      <c r="T219" s="70" t="str">
        <f>IFERROR(IF(VLOOKUP(A219,[3]PRIORIZADOS!$A:$T,20,FALSE)="","",VLOOKUP(A219,[3]PRIORIZADOS!$A:$T,20,FALSE)),"")</f>
        <v>No</v>
      </c>
      <c r="U219" s="11" t="str">
        <f>IFERROR(IF(VLOOKUP(A219,[3]PRIORIZADOS!$A:$U,21,FALSE)="","",VLOOKUP(A219,[3]PRIORIZADOS!$A:$U,21,FALSE)),"")</f>
        <v>Verificar nuevamente el documento en el mes de agosto de 2025 y generar espacios de asesoría, conforme lo requiera la IE</v>
      </c>
    </row>
    <row r="220" spans="1:21" s="1" customFormat="1" ht="72">
      <c r="A220" s="69">
        <f>IF([3]PRIORIZADOS!A31="","",[3]PRIORIZADOS!A31)</f>
        <v>226</v>
      </c>
      <c r="B220" s="70">
        <f>IFERROR(IF(VLOOKUP(A220,[3]PRIORIZADOS!$A:$B,2,FALSE)="","",VLOOKUP(A220,[3]PRIORIZADOS!$A:$B,2,FALSE)),"")</f>
        <v>3</v>
      </c>
      <c r="C220" s="11" t="str">
        <f>IFERROR(IF(VLOOKUP(A220,[3]PRIORIZADOS!$A:$C,3,FALSE)="","",VLOOKUP(A220,[3]PRIORIZADOS!$A:$C,3,FALSE)),"")</f>
        <v>BOSA</v>
      </c>
      <c r="D220" s="11" t="str">
        <f>IFERROR(IF(VLOOKUP(A220,[3]PRIORIZADOS!$A:$D,4,FALSE)="","",VLOOKUP(A220,[3]PRIORIZADOS!$A:$D,4,FALSE)),"")</f>
        <v>PRIVADO</v>
      </c>
      <c r="E220" s="11" t="str">
        <f>IFERROR(IF(VLOOKUP(A220,[3]PRIORIZADOS!$A:$E,5,FALSE)="","",VLOOKUP(A220,[3]PRIORIZADOS!$A:$E,5,FALSE)),"")</f>
        <v>EPBM</v>
      </c>
      <c r="F220" s="11" t="str">
        <f>IFERROR(IF(VLOOKUP(A220,[3]PRIORIZADOS!$A:$F,6,FALSE)="","",VLOOKUP(A220,[3]PRIORIZADOS!$A:$F,6,FALSE)),"")</f>
        <v>COLEGIO_MIXTO_VILLA_CAROLINA_EU</v>
      </c>
      <c r="G220" s="11" t="str">
        <f>IFERROR(IF(VLOOKUP(A220,[3]PRIORIZADOS!$A:$G,7,FALSE)="","",VLOOKUP(A220,[3]PRIORIZADOS!$A:$G,7,FALSE)),"")</f>
        <v>COLEGIO MIXTO VILLA CAROLINA EU</v>
      </c>
      <c r="H220" s="11" t="str">
        <f>IFERROR(IF(VLOOKUP(A220,[3]PRIORIZADOS!$A:$H,8,FALSE)="","",VLOOKUP(A220,[3]PRIORIZADOS!$A:$H,8,FALSE)),"")</f>
        <v>Autoevaluación Institucional y Pruebas SABER 11</v>
      </c>
      <c r="I220" s="11" t="str">
        <f>IFERROR(IF(VLOOKUP(A220,[3]PRIORIZADOS!$A:$I,9,FALSE)="","",VLOOKUP(A220,[3]PRIORIZADOS!$A:$I,9,FALSE)),"")</f>
        <v>EVALUACIÓN_CON_FINES_DE_MEJORAMIENTO.</v>
      </c>
      <c r="J220" s="11" t="str">
        <f>IFERROR(IF(VLOOKUP(A220,[3]PRIORIZADOS!$A:$J,10,FALSE)="","",VLOOKUP(A220,[3]PRIORIZADOS!$A:$J,10,FALSE)),"")</f>
        <v>Revisar la actualización, socialización e implementación del Sistema Institucional de Evaluación de Estudiantes - SIEE, en articulación con la actualización del PEI y la normatividad vigente.</v>
      </c>
      <c r="K220" s="11" t="str">
        <f>IFERROR(IF(VLOOKUP(A220,[3]PRIORIZADOS!$A:$K,11,FALSE)="","",VLOOKUP(A220,[3]PRIORIZADOS!$A:$K,11,FALSE)),"")</f>
        <v>JOSÉ ANTONIO PÁEZ FETECUA</v>
      </c>
      <c r="L220" s="11" t="str">
        <f>IFERROR(IF(VLOOKUP(A220,[3]PRIORIZADOS!$A:$L,12,FALSE)="","",VLOOKUP(A220,[3]PRIORIZADOS!$A:$L,12,FALSE)),"")</f>
        <v>ESTEFANY PEÑA GARCIA</v>
      </c>
      <c r="M220" s="71">
        <f>IFERROR(IF(VLOOKUP(A220,[3]PRIORIZADOS!$A:$M,13,FALSE)="","",VLOOKUP(A220,[3]PRIORIZADOS!$A:$M,13,FALSE)),"")</f>
        <v>45741</v>
      </c>
      <c r="N220" s="71" t="str">
        <f>IFERROR(IF(VLOOKUP(A220,[3]PRIORIZADOS!$A:$N,14,FALSE)="","",VLOOKUP(A220,[3]PRIORIZADOS!$A:$N,14,FALSE)),"")</f>
        <v>25/03/2025</v>
      </c>
      <c r="O220" s="71">
        <f>IFERROR(IF(VLOOKUP(A220,[3]PRIORIZADOS!$A:$O,15,FALSE)="","",VLOOKUP(A220,[3]PRIORIZADOS!$A:$O,15,FALSE)),"")</f>
        <v>45741</v>
      </c>
      <c r="P220" s="11" t="str">
        <f>IFERROR(IF(VLOOKUP(A220,[3]PRIORIZADOS!$A:$P,16,FALSE)="","",VLOOKUP(A220,[3]PRIORIZADOS!$A:$P,16,FALSE)),"")</f>
        <v>Visitas de evaluación con fines de mejoramiento</v>
      </c>
      <c r="Q220" s="122" t="s">
        <v>54</v>
      </c>
      <c r="R220" s="11" t="str">
        <f>IFERROR(IF(VLOOKUP(A220,[3]PRIORIZADOS!$A:$R,18,FALSE)="","",VLOOKUP(A220,[3]PRIORIZADOS!$A:$R,18,FALSE)),"")</f>
        <v>Se evidencia el Sistema Institucional de Evaluación de Estudiantes - SIEE, actualizado para la vigencia 2025. Fue construido en articulación con el Consejo Directivo y la comunidad educativa desde el año 2019 y se actualiza cada 2 años</v>
      </c>
      <c r="S220" s="11" t="str">
        <f>IFERROR(IF(VLOOKUP(A220,[3]PRIORIZADOS!$A:$S,19,FALSE)="","",VLOOKUP(A220,[3]PRIORIZADOS!$A:$S,19,FALSE)),"")</f>
        <v>Como acción de verificación la Institución Educativa se compromete a remitir la versión actualizada del  Sistema institucional de evaluación de los estudiantes- SIEE</v>
      </c>
      <c r="T220" s="70" t="str">
        <f>IFERROR(IF(VLOOKUP(A220,[3]PRIORIZADOS!$A:$T,20,FALSE)="","",VLOOKUP(A220,[3]PRIORIZADOS!$A:$T,20,FALSE)),"")</f>
        <v>No</v>
      </c>
      <c r="U220" s="11" t="str">
        <f>IFERROR(IF(VLOOKUP(A220,[3]PRIORIZADOS!$A:$U,21,FALSE)="","",VLOOKUP(A220,[3]PRIORIZADOS!$A:$U,21,FALSE)),"")</f>
        <v>Verificar nuevamente el documento en el mes de agosto de 2025 y generar espacios de asesoría, conforme lo requiera la IE</v>
      </c>
    </row>
    <row r="221" spans="1:21" s="1" customFormat="1" ht="48">
      <c r="A221" s="69">
        <f>IF([3]PRIORIZADOS!A32="","",[3]PRIORIZADOS!A32)</f>
        <v>227</v>
      </c>
      <c r="B221" s="70">
        <f>IFERROR(IF(VLOOKUP(A221,[3]PRIORIZADOS!$A:$B,2,FALSE)="","",VLOOKUP(A221,[3]PRIORIZADOS!$A:$B,2,FALSE)),"")</f>
        <v>3</v>
      </c>
      <c r="C221" s="11" t="str">
        <f>IFERROR(IF(VLOOKUP(A221,[3]PRIORIZADOS!$A:$C,3,FALSE)="","",VLOOKUP(A221,[3]PRIORIZADOS!$A:$C,3,FALSE)),"")</f>
        <v>BOSA</v>
      </c>
      <c r="D221" s="11" t="str">
        <f>IFERROR(IF(VLOOKUP(A221,[3]PRIORIZADOS!$A:$D,4,FALSE)="","",VLOOKUP(A221,[3]PRIORIZADOS!$A:$D,4,FALSE)),"")</f>
        <v>PRIVADO</v>
      </c>
      <c r="E221" s="11" t="str">
        <f>IFERROR(IF(VLOOKUP(A221,[3]PRIORIZADOS!$A:$E,5,FALSE)="","",VLOOKUP(A221,[3]PRIORIZADOS!$A:$E,5,FALSE)),"")</f>
        <v>EPBM</v>
      </c>
      <c r="F221" s="11" t="str">
        <f>IFERROR(IF(VLOOKUP(A221,[3]PRIORIZADOS!$A:$F,6,FALSE)="","",VLOOKUP(A221,[3]PRIORIZADOS!$A:$F,6,FALSE)),"")</f>
        <v>COLEGIO_MIXTO_VILLA_CAROLINA_EU</v>
      </c>
      <c r="G221" s="11" t="str">
        <f>IFERROR(IF(VLOOKUP(A221,[3]PRIORIZADOS!$A:$G,7,FALSE)="","",VLOOKUP(A221,[3]PRIORIZADOS!$A:$G,7,FALSE)),"")</f>
        <v>COLEGIO MIXTO VILLA CAROLINA EU</v>
      </c>
      <c r="H221" s="11" t="str">
        <f>IFERROR(IF(VLOOKUP(A221,[3]PRIORIZADOS!$A:$H,8,FALSE)="","",VLOOKUP(A221,[3]PRIORIZADOS!$A:$H,8,FALSE)),"")</f>
        <v>Autoevaluación Institucional y Pruebas SABER 11</v>
      </c>
      <c r="I221" s="11" t="str">
        <f>IFERROR(IF(VLOOKUP(A221,[3]PRIORIZADOS!$A:$I,9,FALSE)="","",VLOOKUP(A221,[3]PRIORIZADOS!$A:$I,9,FALSE)),"")</f>
        <v>EVALUACIÓN_CON_FINES_DE_MEJORAMIENTO.</v>
      </c>
      <c r="J221" s="11" t="str">
        <f>IFERROR(IF(VLOOKUP(A221,[3]PRIORIZADOS!$A:$J,10,FALSE)="","",VLOOKUP(A221,[3]PRIORIZADOS!$A:$J,10,FALSE)),"")</f>
        <v>Revisar el calendario escolar, jornada escolar, la intensidad horaria mínima anual en cada nivel y las modificaciones que se realicen al mismo, de acuerdo con lo previsto en la normatividad vigente.</v>
      </c>
      <c r="K221" s="11" t="str">
        <f>IFERROR(IF(VLOOKUP(A221,[3]PRIORIZADOS!$A:$K,11,FALSE)="","",VLOOKUP(A221,[3]PRIORIZADOS!$A:$K,11,FALSE)),"")</f>
        <v>JOSÉ ANTONIO PÁEZ FETECUA</v>
      </c>
      <c r="L221" s="11" t="str">
        <f>IFERROR(IF(VLOOKUP(A221,[3]PRIORIZADOS!$A:$L,12,FALSE)="","",VLOOKUP(A221,[3]PRIORIZADOS!$A:$L,12,FALSE)),"")</f>
        <v>ESTEFANY PEÑA GARCIA</v>
      </c>
      <c r="M221" s="71">
        <f>IFERROR(IF(VLOOKUP(A221,[3]PRIORIZADOS!$A:$M,13,FALSE)="","",VLOOKUP(A221,[3]PRIORIZADOS!$A:$M,13,FALSE)),"")</f>
        <v>45741</v>
      </c>
      <c r="N221" s="71" t="str">
        <f>IFERROR(IF(VLOOKUP(A221,[3]PRIORIZADOS!$A:$N,14,FALSE)="","",VLOOKUP(A221,[3]PRIORIZADOS!$A:$N,14,FALSE)),"")</f>
        <v>25/03/2025</v>
      </c>
      <c r="O221" s="71">
        <f>IFERROR(IF(VLOOKUP(A221,[3]PRIORIZADOS!$A:$O,15,FALSE)="","",VLOOKUP(A221,[3]PRIORIZADOS!$A:$O,15,FALSE)),"")</f>
        <v>45741</v>
      </c>
      <c r="P221" s="11" t="str">
        <f>IFERROR(IF(VLOOKUP(A221,[3]PRIORIZADOS!$A:$P,16,FALSE)="","",VLOOKUP(A221,[3]PRIORIZADOS!$A:$P,16,FALSE)),"")</f>
        <v>Visitas de evaluación con fines de mejoramiento</v>
      </c>
      <c r="Q221" s="122" t="s">
        <v>54</v>
      </c>
      <c r="R221" s="11" t="str">
        <f>IFERROR(IF(VLOOKUP(A221,[3]PRIORIZADOS!$A:$R,18,FALSE)="","",VLOOKUP(A221,[3]PRIORIZADOS!$A:$R,18,FALSE)),"")</f>
        <v>El calendario escolar, jornada escolar, la intensidad horaria mínima anual en cada nivel se encuentran conforme lo previsto en la normatividad vigente</v>
      </c>
      <c r="S221" s="11" t="str">
        <f>IFERROR(IF(VLOOKUP(A221,[3]PRIORIZADOS!$A:$S,19,FALSE)="","",VLOOKUP(A221,[3]PRIORIZADOS!$A:$S,19,FALSE)),"")</f>
        <v>Como acción de verificación la Institución Educativa se compromete a remitir la versión actualizada calendario escolar</v>
      </c>
      <c r="T221" s="70" t="str">
        <f>IFERROR(IF(VLOOKUP(A221,[3]PRIORIZADOS!$A:$T,20,FALSE)="","",VLOOKUP(A221,[3]PRIORIZADOS!$A:$T,20,FALSE)),"")</f>
        <v>No</v>
      </c>
      <c r="U221" s="11" t="str">
        <f>IFERROR(IF(VLOOKUP(A221,[3]PRIORIZADOS!$A:$U,21,FALSE)="","",VLOOKUP(A221,[3]PRIORIZADOS!$A:$U,21,FALSE)),"")</f>
        <v>Verificar nuevamente el documento en el mes de agosto de 2025 y generar espacios de asesoría, conforme lo requiera la IE</v>
      </c>
    </row>
    <row r="222" spans="1:21" s="1" customFormat="1" ht="48">
      <c r="A222" s="69">
        <f>IF([3]PRIORIZADOS!A33="","",[3]PRIORIZADOS!A33)</f>
        <v>228</v>
      </c>
      <c r="B222" s="70">
        <f>IFERROR(IF(VLOOKUP(A222,[3]PRIORIZADOS!$A:$B,2,FALSE)="","",VLOOKUP(A222,[3]PRIORIZADOS!$A:$B,2,FALSE)),"")</f>
        <v>3</v>
      </c>
      <c r="C222" s="11" t="str">
        <f>IFERROR(IF(VLOOKUP(A222,[3]PRIORIZADOS!$A:$C,3,FALSE)="","",VLOOKUP(A222,[3]PRIORIZADOS!$A:$C,3,FALSE)),"")</f>
        <v>BOSA</v>
      </c>
      <c r="D222" s="11" t="str">
        <f>IFERROR(IF(VLOOKUP(A222,[3]PRIORIZADOS!$A:$D,4,FALSE)="","",VLOOKUP(A222,[3]PRIORIZADOS!$A:$D,4,FALSE)),"")</f>
        <v>PRIVADO</v>
      </c>
      <c r="E222" s="11" t="str">
        <f>IFERROR(IF(VLOOKUP(A222,[3]PRIORIZADOS!$A:$E,5,FALSE)="","",VLOOKUP(A222,[3]PRIORIZADOS!$A:$E,5,FALSE)),"")</f>
        <v>EPBM</v>
      </c>
      <c r="F222" s="11" t="str">
        <f>IFERROR(IF(VLOOKUP(A222,[3]PRIORIZADOS!$A:$F,6,FALSE)="","",VLOOKUP(A222,[3]PRIORIZADOS!$A:$F,6,FALSE)),"")</f>
        <v>COLEGIO_MIXTO_VILLA_CAROLINA_EU</v>
      </c>
      <c r="G222" s="11" t="str">
        <f>IFERROR(IF(VLOOKUP(A222,[3]PRIORIZADOS!$A:$G,7,FALSE)="","",VLOOKUP(A222,[3]PRIORIZADOS!$A:$G,7,FALSE)),"")</f>
        <v>COLEGIO MIXTO VILLA CAROLINA EU</v>
      </c>
      <c r="H222" s="11" t="str">
        <f>IFERROR(IF(VLOOKUP(A222,[3]PRIORIZADOS!$A:$H,8,FALSE)="","",VLOOKUP(A222,[3]PRIORIZADOS!$A:$H,8,FALSE)),"")</f>
        <v>Autoevaluación Institucional y Pruebas SABER 11</v>
      </c>
      <c r="I222" s="11" t="str">
        <f>IFERROR(IF(VLOOKUP(A222,[3]PRIORIZADOS!$A:$I,9,FALSE)="","",VLOOKUP(A222,[3]PRIORIZADOS!$A:$I,9,FALSE)),"")</f>
        <v>EVALUACIÓN_CON_FINES_DE_MEJORAMIENTO.</v>
      </c>
      <c r="J222" s="11" t="str">
        <f>IFERROR(IF(VLOOKUP(A222,[3]PRIORIZADOS!$A:$J,10,FALSE)="","",VLOOKUP(A222,[3]PRIORIZADOS!$A:$J,10,FALSE)),"")</f>
        <v>Verificar el funcionamiento del Gobierno Escolar e instancias de participación con base en la información sobre conformación reportada por la institución educativa.</v>
      </c>
      <c r="K222" s="11" t="str">
        <f>IFERROR(IF(VLOOKUP(A222,[3]PRIORIZADOS!$A:$K,11,FALSE)="","",VLOOKUP(A222,[3]PRIORIZADOS!$A:$K,11,FALSE)),"")</f>
        <v>JOSÉ ANTONIO PÁEZ FETECUA</v>
      </c>
      <c r="L222" s="11" t="str">
        <f>IFERROR(IF(VLOOKUP(A222,[3]PRIORIZADOS!$A:$L,12,FALSE)="","",VLOOKUP(A222,[3]PRIORIZADOS!$A:$L,12,FALSE)),"")</f>
        <v>ESTEFANY PEÑA GARCIA</v>
      </c>
      <c r="M222" s="71">
        <f>IFERROR(IF(VLOOKUP(A222,[3]PRIORIZADOS!$A:$M,13,FALSE)="","",VLOOKUP(A222,[3]PRIORIZADOS!$A:$M,13,FALSE)),"")</f>
        <v>45741</v>
      </c>
      <c r="N222" s="71" t="str">
        <f>IFERROR(IF(VLOOKUP(A222,[3]PRIORIZADOS!$A:$N,14,FALSE)="","",VLOOKUP(A222,[3]PRIORIZADOS!$A:$N,14,FALSE)),"")</f>
        <v>25/03/2025</v>
      </c>
      <c r="O222" s="71" t="str">
        <f>IFERROR(IF(VLOOKUP(A222,[3]PRIORIZADOS!$A:$O,15,FALSE)="","",VLOOKUP(A222,[3]PRIORIZADOS!$A:$O,15,FALSE)),"")</f>
        <v>25/03/2025</v>
      </c>
      <c r="P222" s="11" t="str">
        <f>IFERROR(IF(VLOOKUP(A222,[3]PRIORIZADOS!$A:$P,16,FALSE)="","",VLOOKUP(A222,[3]PRIORIZADOS!$A:$P,16,FALSE)),"")</f>
        <v>Visitas de evaluación con fines de mejoramiento</v>
      </c>
      <c r="Q222" s="122" t="s">
        <v>54</v>
      </c>
      <c r="R222" s="11" t="str">
        <f>IFERROR(IF(VLOOKUP(A222,[3]PRIORIZADOS!$A:$R,18,FALSE)="","",VLOOKUP(A222,[3]PRIORIZADOS!$A:$R,18,FALSE)),"")</f>
        <v>La constitución del Gobierno Escolar y sus órganos de participación, se encuentra conforme a la Normativa Vigente</v>
      </c>
      <c r="S222" s="11" t="str">
        <f>IFERROR(IF(VLOOKUP(A222,[3]PRIORIZADOS!$A:$S,19,FALSE)="","",VLOOKUP(A222,[3]PRIORIZADOS!$A:$S,19,FALSE)),"")</f>
        <v>Continuar operando conforme funciones y reglamentos.</v>
      </c>
      <c r="T222" s="70" t="str">
        <f>IFERROR(IF(VLOOKUP(A222,[3]PRIORIZADOS!$A:$T,20,FALSE)="","",VLOOKUP(A222,[3]PRIORIZADOS!$A:$T,20,FALSE)),"")</f>
        <v>No</v>
      </c>
      <c r="U222" s="11" t="str">
        <f>IFERROR(IF(VLOOKUP(A222,[3]PRIORIZADOS!$A:$U,21,FALSE)="","",VLOOKUP(A222,[3]PRIORIZADOS!$A:$U,21,FALSE)),"")</f>
        <v>Verificar la conformación del Gobierno Escolar e instancias para la vigencia 2026 o antes si la IE lo requiere o se presenta solicitud o queja.</v>
      </c>
    </row>
    <row r="223" spans="1:21" s="1" customFormat="1" ht="60">
      <c r="A223" s="69">
        <f>IF([3]PRIORIZADOS!A34="","",[3]PRIORIZADOS!A34)</f>
        <v>229</v>
      </c>
      <c r="B223" s="70">
        <f>IFERROR(IF(VLOOKUP(A223,[3]PRIORIZADOS!$A:$B,2,FALSE)="","",VLOOKUP(A223,[3]PRIORIZADOS!$A:$B,2,FALSE)),"")</f>
        <v>3</v>
      </c>
      <c r="C223" s="11" t="str">
        <f>IFERROR(IF(VLOOKUP(A223,[3]PRIORIZADOS!$A:$C,3,FALSE)="","",VLOOKUP(A223,[3]PRIORIZADOS!$A:$C,3,FALSE)),"")</f>
        <v>BOSA</v>
      </c>
      <c r="D223" s="11" t="str">
        <f>IFERROR(IF(VLOOKUP(A223,[3]PRIORIZADOS!$A:$D,4,FALSE)="","",VLOOKUP(A223,[3]PRIORIZADOS!$A:$D,4,FALSE)),"")</f>
        <v>PRIVADO</v>
      </c>
      <c r="E223" s="11" t="str">
        <f>IFERROR(IF(VLOOKUP(A223,[3]PRIORIZADOS!$A:$E,5,FALSE)="","",VLOOKUP(A223,[3]PRIORIZADOS!$A:$E,5,FALSE)),"")</f>
        <v>EPBM</v>
      </c>
      <c r="F223" s="11" t="str">
        <f>IFERROR(IF(VLOOKUP(A223,[3]PRIORIZADOS!$A:$F,6,FALSE)="","",VLOOKUP(A223,[3]PRIORIZADOS!$A:$F,6,FALSE)),"")</f>
        <v>COLEGIO_MIXTO_VILLA_CAROLINA_EU</v>
      </c>
      <c r="G223" s="11" t="str">
        <f>IFERROR(IF(VLOOKUP(A223,[3]PRIORIZADOS!$A:$G,7,FALSE)="","",VLOOKUP(A223,[3]PRIORIZADOS!$A:$G,7,FALSE)),"")</f>
        <v>COLEGIO MIXTO VILLA CAROLINA EU</v>
      </c>
      <c r="H223" s="11" t="str">
        <f>IFERROR(IF(VLOOKUP(A223,[3]PRIORIZADOS!$A:$H,8,FALSE)="","",VLOOKUP(A223,[3]PRIORIZADOS!$A:$H,8,FALSE)),"")</f>
        <v>Autoevaluación Institucional y Pruebas SABER 11</v>
      </c>
      <c r="I223" s="11" t="str">
        <f>IFERROR(IF(VLOOKUP(A223,[3]PRIORIZADOS!$A:$I,9,FALSE)="","",VLOOKUP(A223,[3]PRIORIZADOS!$A:$I,9,FALSE)),"")</f>
        <v>EVALUACIÓN_CON_FINES_DE_MEJORAMIENTO.</v>
      </c>
      <c r="J223" s="11" t="str">
        <f>IFERROR(IF(VLOOKUP(A223,[3]PRIORIZADOS!$A:$J,10,FALSE)="","",VLOOKUP(A223,[3]PRIORIZADOS!$A:$J,10,FALSE)),"")</f>
        <v>Verificar las condiciones en cuanto a: la estructura administrativa, condiciones de la planta física y medios educativos adecuados.</v>
      </c>
      <c r="K223" s="11" t="str">
        <f>IFERROR(IF(VLOOKUP(A223,[3]PRIORIZADOS!$A:$K,11,FALSE)="","",VLOOKUP(A223,[3]PRIORIZADOS!$A:$K,11,FALSE)),"")</f>
        <v>JOSÉ ANTONIO PÁEZ FETECUA</v>
      </c>
      <c r="L223" s="11" t="str">
        <f>IFERROR(IF(VLOOKUP(A223,[3]PRIORIZADOS!$A:$L,12,FALSE)="","",VLOOKUP(A223,[3]PRIORIZADOS!$A:$L,12,FALSE)),"")</f>
        <v>ESTEFANY PEÑA GARCIA</v>
      </c>
      <c r="M223" s="71">
        <f>IFERROR(IF(VLOOKUP(A223,[3]PRIORIZADOS!$A:$M,13,FALSE)="","",VLOOKUP(A223,[3]PRIORIZADOS!$A:$M,13,FALSE)),"")</f>
        <v>45741</v>
      </c>
      <c r="N223" s="71" t="str">
        <f>IFERROR(IF(VLOOKUP(A223,[3]PRIORIZADOS!$A:$N,14,FALSE)="","",VLOOKUP(A223,[3]PRIORIZADOS!$A:$N,14,FALSE)),"")</f>
        <v>25/03/2025</v>
      </c>
      <c r="O223" s="71" t="str">
        <f>IFERROR(IF(VLOOKUP(A223,[3]PRIORIZADOS!$A:$O,15,FALSE)="","",VLOOKUP(A223,[3]PRIORIZADOS!$A:$O,15,FALSE)),"")</f>
        <v>25/03/2025</v>
      </c>
      <c r="P223" s="11" t="str">
        <f>IFERROR(IF(VLOOKUP(A223,[3]PRIORIZADOS!$A:$P,16,FALSE)="","",VLOOKUP(A223,[3]PRIORIZADOS!$A:$P,16,FALSE)),"")</f>
        <v>Visitas de evaluación con fines de mejoramiento</v>
      </c>
      <c r="Q223" s="122" t="s">
        <v>54</v>
      </c>
      <c r="R223" s="11" t="str">
        <f>IFERROR(IF(VLOOKUP(A223,[3]PRIORIZADOS!$A:$R,18,FALSE)="","",VLOOKUP(A223,[3]PRIORIZADOS!$A:$R,18,FALSE)),"")</f>
        <v>Se realiza un recorrido en las instalaciones de la IE, verificando las condiciones en cuanto a: la estructura administrativa, condiciones de la planta física y medios educativos adecuados.</v>
      </c>
      <c r="S223" s="11" t="str">
        <f>IFERROR(IF(VLOOKUP(A223,[3]PRIORIZADOS!$A:$S,19,FALSE)="","",VLOOKUP(A223,[3]PRIORIZADOS!$A:$S,19,FALSE)),"")</f>
        <v>Las condiciones de la planta física son adecuadas y se recomienda actualizar el mobiliario más antiguo</v>
      </c>
      <c r="T223" s="70" t="str">
        <f>IFERROR(IF(VLOOKUP(A223,[3]PRIORIZADOS!$A:$T,20,FALSE)="","",VLOOKUP(A223,[3]PRIORIZADOS!$A:$T,20,FALSE)),"")</f>
        <v>No</v>
      </c>
      <c r="U223" s="11" t="str">
        <f>IFERROR(IF(VLOOKUP(A223,[3]PRIORIZADOS!$A:$U,21,FALSE)="","",VLOOKUP(A223,[3]PRIORIZADOS!$A:$U,21,FALSE)),"")</f>
        <v>Las condiciones de la planta física garantizan la adecuada prestación del servicio educativo</v>
      </c>
    </row>
    <row r="224" spans="1:21" s="1" customFormat="1" ht="72">
      <c r="A224" s="69">
        <f>IF([3]PRIORIZADOS!A35="","",[3]PRIORIZADOS!A35)</f>
        <v>230</v>
      </c>
      <c r="B224" s="70">
        <f>IFERROR(IF(VLOOKUP(A224,[3]PRIORIZADOS!$A:$B,2,FALSE)="","",VLOOKUP(A224,[3]PRIORIZADOS!$A:$B,2,FALSE)),"")</f>
        <v>4</v>
      </c>
      <c r="C224" s="11" t="str">
        <f>IFERROR(IF(VLOOKUP(A224,[3]PRIORIZADOS!$A:$C,3,FALSE)="","",VLOOKUP(A224,[3]PRIORIZADOS!$A:$C,3,FALSE)),"")</f>
        <v>BOSA</v>
      </c>
      <c r="D224" s="11" t="str">
        <f>IFERROR(IF(VLOOKUP(A224,[3]PRIORIZADOS!$A:$D,4,FALSE)="","",VLOOKUP(A224,[3]PRIORIZADOS!$A:$D,4,FALSE)),"")</f>
        <v>PRIVADO</v>
      </c>
      <c r="E224" s="11" t="str">
        <f>IFERROR(IF(VLOOKUP(A224,[3]PRIORIZADOS!$A:$E,5,FALSE)="","",VLOOKUP(A224,[3]PRIORIZADOS!$A:$E,5,FALSE)),"")</f>
        <v>Educación de Jóvenes y Adultos</v>
      </c>
      <c r="F224" s="11" t="str">
        <f>IFERROR(IF(VLOOKUP(A224,[3]PRIORIZADOS!$A:$F,6,FALSE)="","",VLOOKUP(A224,[3]PRIORIZADOS!$A:$F,6,FALSE)),"")</f>
        <v>FUNDACION_HUMANISTA_ERASMO_DE_ROTTERDAM</v>
      </c>
      <c r="G224" s="11" t="str">
        <f>IFERROR(IF(VLOOKUP(A224,[3]PRIORIZADOS!$A:$G,7,FALSE)="","",VLOOKUP(A224,[3]PRIORIZADOS!$A:$G,7,FALSE)),"")</f>
        <v>FUNDACION HUMANISTA ERASMO DE ROTTERDAM</v>
      </c>
      <c r="H224" s="11" t="str">
        <f>IFERROR(IF(VLOOKUP(A224,[3]PRIORIZADOS!$A:$H,8,FALSE)="","",VLOOKUP(A224,[3]PRIORIZADOS!$A:$H,8,FALSE)),"")</f>
        <v>Autoevaluación Institucional y Pruebas SABER 11</v>
      </c>
      <c r="I224" s="11" t="str">
        <f>IFERROR(IF(VLOOKUP(A224,[3]PRIORIZADOS!$A:$I,9,FALSE)="","",VLOOKUP(A224,[3]PRIORIZADOS!$A:$I,9,FALSE)),"")</f>
        <v>SEGUIMIENTO_Y_SUPERVISIÓN.</v>
      </c>
      <c r="J224" s="11" t="str">
        <f>IFERROR(IF(VLOOKUP(A224,[3]PRIORIZADOS!$A:$J,10,FALSE)="","",VLOOKUP(A224,[3]PRIORIZADOS!$A:$J,10,FALSE)),"")</f>
        <v>Realizar visitas para verificar la información registrada sobre la autoevaluación institucional en el aplicativo EVI, a los establecimientos de educación formal no oficial.</v>
      </c>
      <c r="K224" s="11" t="str">
        <f>IFERROR(IF(VLOOKUP(A224,[3]PRIORIZADOS!$A:$K,11,FALSE)="","",VLOOKUP(A224,[3]PRIORIZADOS!$A:$K,11,FALSE)),"")</f>
        <v>JULIÁN FELIPE BERNAL GARZÓN</v>
      </c>
      <c r="L224" s="11" t="str">
        <f>IFERROR(IF(VLOOKUP(A224,[3]PRIORIZADOS!$A:$L,12,FALSE)="","",VLOOKUP(A224,[3]PRIORIZADOS!$A:$L,12,FALSE)),"")</f>
        <v>ANA ANDREA VARGAS GONZÁLEZ</v>
      </c>
      <c r="M224" s="71">
        <f>IFERROR(IF(VLOOKUP(A224,[3]PRIORIZADOS!$A:$M,13,FALSE)="","",VLOOKUP(A224,[3]PRIORIZADOS!$A:$M,13,FALSE)),"")</f>
        <v>45743</v>
      </c>
      <c r="N224" s="71">
        <f>IFERROR(IF(VLOOKUP(A224,[3]PRIORIZADOS!$A:$N,14,FALSE)="","",VLOOKUP(A224,[3]PRIORIZADOS!$A:$N,14,FALSE)),"")</f>
        <v>45743</v>
      </c>
      <c r="O224" s="71">
        <f>IFERROR(IF(VLOOKUP(A224,[3]PRIORIZADOS!$A:$O,15,FALSE)="","",VLOOKUP(A224,[3]PRIORIZADOS!$A:$O,15,FALSE)),"")</f>
        <v>45743</v>
      </c>
      <c r="P224" s="11" t="str">
        <f>IFERROR(IF(VLOOKUP(A224,[3]PRIORIZADOS!$A:$P,16,FALSE)="","",VLOOKUP(A224,[3]PRIORIZADOS!$A:$P,16,FALSE)),"")</f>
        <v>Visitas de evaluación con fines de mejoramiento</v>
      </c>
      <c r="Q224" s="122" t="s">
        <v>55</v>
      </c>
      <c r="R224" s="11" t="str">
        <f>IFERROR(IF(VLOOKUP(A224,[3]PRIORIZADOS!$A:$R,18,FALSE)="","",VLOOKUP(A224,[3]PRIORIZADOS!$A:$R,18,FALSE)),"")</f>
        <v>La información consignada en la Plataforma EVI coincide con lo verificado en campo. La Institución Educativa se encuentra en Régimen Controlado por las respuestas brindadas en la Autoevaluación en la Pregunta 13</v>
      </c>
      <c r="S224" s="11" t="str">
        <f>IFERROR(IF(VLOOKUP(A224,[3]PRIORIZADOS!$A:$S,19,FALSE)="","",VLOOKUP(A224,[3]PRIORIZADOS!$A:$S,19,FALSE)),"")</f>
        <v>La Institución Educativa se compromete a remitir el Plan de Mejoramiento que subsana el Régimen Controlado para la Vigencia 2025</v>
      </c>
      <c r="T224" s="70" t="str">
        <f>IFERROR(IF(VLOOKUP(A224,[3]PRIORIZADOS!$A:$T,20,FALSE)="","",VLOOKUP(A224,[3]PRIORIZADOS!$A:$T,20,FALSE)),"")</f>
        <v>Si</v>
      </c>
      <c r="U224" s="11" t="str">
        <f>IFERROR(IF(VLOOKUP(A224,[3]PRIORIZADOS!$A:$U,21,FALSE)="","",VLOOKUP(A224,[3]PRIORIZADOS!$A:$U,21,FALSE)),"")</f>
        <v>Verificar en campo el cumplimiento de la información que aportó la Institución Educativa en las respuestas brindadas en la Autoevaluación en la Pregunta 13</v>
      </c>
    </row>
    <row r="225" spans="1:21" s="1" customFormat="1" ht="72">
      <c r="A225" s="69">
        <f>IF([3]PRIORIZADOS!A36="","",[3]PRIORIZADOS!A36)</f>
        <v>231</v>
      </c>
      <c r="B225" s="70">
        <f>IFERROR(IF(VLOOKUP(A225,[3]PRIORIZADOS!$A:$B,2,FALSE)="","",VLOOKUP(A225,[3]PRIORIZADOS!$A:$B,2,FALSE)),"")</f>
        <v>4</v>
      </c>
      <c r="C225" s="11" t="str">
        <f>IFERROR(IF(VLOOKUP(A225,[3]PRIORIZADOS!$A:$C,3,FALSE)="","",VLOOKUP(A225,[3]PRIORIZADOS!$A:$C,3,FALSE)),"")</f>
        <v>BOSA</v>
      </c>
      <c r="D225" s="11" t="str">
        <f>IFERROR(IF(VLOOKUP(A225,[3]PRIORIZADOS!$A:$D,4,FALSE)="","",VLOOKUP(A225,[3]PRIORIZADOS!$A:$D,4,FALSE)),"")</f>
        <v>PRIVADO</v>
      </c>
      <c r="E225" s="11" t="str">
        <f>IFERROR(IF(VLOOKUP(A225,[3]PRIORIZADOS!$A:$E,5,FALSE)="","",VLOOKUP(A225,[3]PRIORIZADOS!$A:$E,5,FALSE)),"")</f>
        <v>Educación de Jóvenes y Adultos</v>
      </c>
      <c r="F225" s="11" t="str">
        <f>IFERROR(IF(VLOOKUP(A225,[3]PRIORIZADOS!$A:$F,6,FALSE)="","",VLOOKUP(A225,[3]PRIORIZADOS!$A:$F,6,FALSE)),"")</f>
        <v>FUNDACION_HUMANISTA_ERASMO_DE_ROTTERDAM</v>
      </c>
      <c r="G225" s="11" t="str">
        <f>IFERROR(IF(VLOOKUP(A225,[3]PRIORIZADOS!$A:$G,7,FALSE)="","",VLOOKUP(A225,[3]PRIORIZADOS!$A:$G,7,FALSE)),"")</f>
        <v>FUNDACION HUMANISTA ERASMO DE ROTTERDAM</v>
      </c>
      <c r="H225" s="11" t="str">
        <f>IFERROR(IF(VLOOKUP(A225,[3]PRIORIZADOS!$A:$H,8,FALSE)="","",VLOOKUP(A225,[3]PRIORIZADOS!$A:$H,8,FALSE)),"")</f>
        <v>Autoevaluación Institucional y Pruebas SABER 11</v>
      </c>
      <c r="I225" s="11" t="str">
        <f>IFERROR(IF(VLOOKUP(A225,[3]PRIORIZADOS!$A:$I,9,FALSE)="","",VLOOKUP(A225,[3]PRIORIZADOS!$A:$I,9,FALSE)),"")</f>
        <v>SEGUIMIENTO_Y_SUPERVISIÓN.</v>
      </c>
      <c r="J225" s="11" t="str">
        <f>IFERROR(IF(VLOOKUP(A225,[3]PRIORIZADOS!$A:$J,10,FALSE)="","",VLOOKUP(A225,[3]PRIORIZADOS!$A:$J,10,FALSE)),"")</f>
        <v>Proponer estrategias en la formulación, verificar su elaboración y realizar seguimiento semestral al desarrollo de  las acciones establecidas en los planes de mejoramiento por pruebas SABER 11 de los establecimientos de educación formal.</v>
      </c>
      <c r="K225" s="11" t="str">
        <f>IFERROR(IF(VLOOKUP(A225,[3]PRIORIZADOS!$A:$K,11,FALSE)="","",VLOOKUP(A225,[3]PRIORIZADOS!$A:$K,11,FALSE)),"")</f>
        <v>JULIÁN FELIPE BERNAL GARZÓN</v>
      </c>
      <c r="L225" s="11" t="str">
        <f>IFERROR(IF(VLOOKUP(A225,[3]PRIORIZADOS!$A:$L,12,FALSE)="","",VLOOKUP(A225,[3]PRIORIZADOS!$A:$L,12,FALSE)),"")</f>
        <v>ANA ANDREA VARGAS GONZÁLEZ</v>
      </c>
      <c r="M225" s="71">
        <f>IFERROR(IF(VLOOKUP(A225,[3]PRIORIZADOS!$A:$M,13,FALSE)="","",VLOOKUP(A225,[3]PRIORIZADOS!$A:$M,13,FALSE)),"")</f>
        <v>45743</v>
      </c>
      <c r="N225" s="71">
        <f>IFERROR(IF(VLOOKUP(A225,[3]PRIORIZADOS!$A:$N,14,FALSE)="","",VLOOKUP(A225,[3]PRIORIZADOS!$A:$N,14,FALSE)),"")</f>
        <v>45743</v>
      </c>
      <c r="O225" s="71">
        <f>IFERROR(IF(VLOOKUP(A225,[3]PRIORIZADOS!$A:$O,15,FALSE)="","",VLOOKUP(A225,[3]PRIORIZADOS!$A:$O,15,FALSE)),"")</f>
        <v>45743</v>
      </c>
      <c r="P225" s="11" t="str">
        <f>IFERROR(IF(VLOOKUP(A225,[3]PRIORIZADOS!$A:$P,16,FALSE)="","",VLOOKUP(A225,[3]PRIORIZADOS!$A:$P,16,FALSE)),"")</f>
        <v>Visitas de evaluación con fines de mejoramiento</v>
      </c>
      <c r="Q225" s="122" t="s">
        <v>55</v>
      </c>
      <c r="R225" s="11" t="str">
        <f>IFERROR(IF(VLOOKUP(A225,[3]PRIORIZADOS!$A:$R,18,FALSE)="","",VLOOKUP(A225,[3]PRIORIZADOS!$A:$R,18,FALSE)),"")</f>
        <v>La IE se encuentra en Categoría B, realizó la revisión y análisis de los resultados para  actualización del curriculo y el plan de estudios. Se ha adelantado el diagnóstico y la propuesta de Intervención, aplicando pruebas preliminares.</v>
      </c>
      <c r="S225" s="11" t="str">
        <f>IFERROR(IF(VLOOKUP(A225,[3]PRIORIZADOS!$A:$S,19,FALSE)="","",VLOOKUP(A225,[3]PRIORIZADOS!$A:$S,19,FALSE)),"")</f>
        <v>La IE se compromete a diseñar un Plan de Mejoramiento con estrategia actualizada que cuente con cronograma, actividades específicas y proceso de seguimiento y evaluación</v>
      </c>
      <c r="T225" s="70" t="str">
        <f>IFERROR(IF(VLOOKUP(A225,[3]PRIORIZADOS!$A:$T,20,FALSE)="","",VLOOKUP(A225,[3]PRIORIZADOS!$A:$T,20,FALSE)),"")</f>
        <v>Si</v>
      </c>
      <c r="U225" s="11" t="str">
        <f>IFERROR(IF(VLOOKUP(A225,[3]PRIORIZADOS!$A:$U,21,FALSE)="","",VLOOKUP(A225,[3]PRIORIZADOS!$A:$U,21,FALSE)),"")</f>
        <v xml:space="preserve">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v>
      </c>
    </row>
    <row r="226" spans="1:21" s="1" customFormat="1" ht="72">
      <c r="A226" s="69">
        <f>IF([3]PRIORIZADOS!A37="","",[3]PRIORIZADOS!A37)</f>
        <v>232</v>
      </c>
      <c r="B226" s="70">
        <f>IFERROR(IF(VLOOKUP(A226,[3]PRIORIZADOS!$A:$B,2,FALSE)="","",VLOOKUP(A226,[3]PRIORIZADOS!$A:$B,2,FALSE)),"")</f>
        <v>4</v>
      </c>
      <c r="C226" s="11" t="str">
        <f>IFERROR(IF(VLOOKUP(A226,[3]PRIORIZADOS!$A:$C,3,FALSE)="","",VLOOKUP(A226,[3]PRIORIZADOS!$A:$C,3,FALSE)),"")</f>
        <v>BOSA</v>
      </c>
      <c r="D226" s="11" t="str">
        <f>IFERROR(IF(VLOOKUP(A226,[3]PRIORIZADOS!$A:$D,4,FALSE)="","",VLOOKUP(A226,[3]PRIORIZADOS!$A:$D,4,FALSE)),"")</f>
        <v>PRIVADO</v>
      </c>
      <c r="E226" s="11" t="str">
        <f>IFERROR(IF(VLOOKUP(A226,[3]PRIORIZADOS!$A:$E,5,FALSE)="","",VLOOKUP(A226,[3]PRIORIZADOS!$A:$E,5,FALSE)),"")</f>
        <v>Educación de Jóvenes y Adultos</v>
      </c>
      <c r="F226" s="11" t="str">
        <f>IFERROR(IF(VLOOKUP(A226,[3]PRIORIZADOS!$A:$F,6,FALSE)="","",VLOOKUP(A226,[3]PRIORIZADOS!$A:$F,6,FALSE)),"")</f>
        <v>FUNDACION_HUMANISTA_ERASMO_DE_ROTTERDAM</v>
      </c>
      <c r="G226" s="11" t="str">
        <f>IFERROR(IF(VLOOKUP(A226,[3]PRIORIZADOS!$A:$G,7,FALSE)="","",VLOOKUP(A226,[3]PRIORIZADOS!$A:$G,7,FALSE)),"")</f>
        <v>FUNDACION HUMANISTA ERASMO DE ROTTERDAM</v>
      </c>
      <c r="H226" s="11" t="str">
        <f>IFERROR(IF(VLOOKUP(A226,[3]PRIORIZADOS!$A:$H,8,FALSE)="","",VLOOKUP(A226,[3]PRIORIZADOS!$A:$H,8,FALSE)),"")</f>
        <v>Autoevaluación Institucional y Pruebas SABER 11</v>
      </c>
      <c r="I226" s="11" t="str">
        <f>IFERROR(IF(VLOOKUP(A226,[3]PRIORIZADOS!$A:$I,9,FALSE)="","",VLOOKUP(A226,[3]PRIORIZADOS!$A:$I,9,FALSE)),"")</f>
        <v>SEGUIMIENTO_Y_SUPERVISIÓN.</v>
      </c>
      <c r="J226" s="11" t="str">
        <f>IFERROR(IF(VLOOKUP(A226,[3]PRIORIZADOS!$A:$J,10,FALSE)="","",VLOOKUP(A226,[3]PRIORIZADOS!$A:$J,10,FALSE)),"")</f>
        <v xml:space="preserve">Verificar la implementación por parte de los colegios, de acciones realizadas para la prevención y atención de las situaciones de convivencia en el entorno escolar, según lo establecido en la Directiva 01 de 2022 del MEN. </v>
      </c>
      <c r="K226" s="11" t="str">
        <f>IFERROR(IF(VLOOKUP(A226,[3]PRIORIZADOS!$A:$K,11,FALSE)="","",VLOOKUP(A226,[3]PRIORIZADOS!$A:$K,11,FALSE)),"")</f>
        <v>JULIÁN FELIPE BERNAL GARZÓN</v>
      </c>
      <c r="L226" s="11" t="str">
        <f>IFERROR(IF(VLOOKUP(A226,[3]PRIORIZADOS!$A:$L,12,FALSE)="","",VLOOKUP(A226,[3]PRIORIZADOS!$A:$L,12,FALSE)),"")</f>
        <v>ANA ANDREA VARGAS GONZÁLEZ</v>
      </c>
      <c r="M226" s="71">
        <f>IFERROR(IF(VLOOKUP(A226,[3]PRIORIZADOS!$A:$M,13,FALSE)="","",VLOOKUP(A226,[3]PRIORIZADOS!$A:$M,13,FALSE)),"")</f>
        <v>45743</v>
      </c>
      <c r="N226" s="71">
        <f>IFERROR(IF(VLOOKUP(A226,[3]PRIORIZADOS!$A:$N,14,FALSE)="","",VLOOKUP(A226,[3]PRIORIZADOS!$A:$N,14,FALSE)),"")</f>
        <v>45743</v>
      </c>
      <c r="O226" s="71">
        <f>IFERROR(IF(VLOOKUP(A226,[3]PRIORIZADOS!$A:$O,15,FALSE)="","",VLOOKUP(A226,[3]PRIORIZADOS!$A:$O,15,FALSE)),"")</f>
        <v>45743</v>
      </c>
      <c r="P226" s="11" t="str">
        <f>IFERROR(IF(VLOOKUP(A226,[3]PRIORIZADOS!$A:$P,16,FALSE)="","",VLOOKUP(A226,[3]PRIORIZADOS!$A:$P,16,FALSE)),"")</f>
        <v>Visitas de evaluación con fines de mejoramiento</v>
      </c>
      <c r="Q226" s="122" t="s">
        <v>55</v>
      </c>
      <c r="R226" s="11" t="str">
        <f>IFERROR(IF(VLOOKUP(A226,[3]PRIORIZADOS!$A:$R,18,FALSE)="","",VLOOKUP(A226,[3]PRIORIZADOS!$A:$R,18,FALSE)),"")</f>
        <v>Se verifica la implementación de acciones  realizadas para la prevención como lo es la verificación de inhabilidades por delitos sexuales en el sistema de la Policía Nacional.</v>
      </c>
      <c r="S226" s="11" t="str">
        <f>IFERROR(IF(VLOOKUP(A226,[3]PRIORIZADOS!$A:$S,19,FALSE)="","",VLOOKUP(A226,[3]PRIORIZADOS!$A:$S,19,FALSE)),"")</f>
        <v>Como acción de verificación se solicita implementar  la autorización de directivos, docentes y administrativos para las consultas de antecedentes en los sistemas que se requieran al momento de la vinculación</v>
      </c>
      <c r="T226" s="70" t="str">
        <f>IFERROR(IF(VLOOKUP(A226,[3]PRIORIZADOS!$A:$T,20,FALSE)="","",VLOOKUP(A226,[3]PRIORIZADOS!$A:$T,20,FALSE)),"")</f>
        <v>No</v>
      </c>
      <c r="U226" s="11" t="str">
        <f>IFERROR(IF(VLOOKUP(A226,[3]PRIORIZADOS!$A:$U,21,FALSE)="","",VLOOKUP(A226,[3]PRIORIZADOS!$A:$U,21,FALSE)),"")</f>
        <v>Verificar que la IE cuente con las respectivas autorizaciones para las consultas de antedecentes del personal vinculado.</v>
      </c>
    </row>
    <row r="227" spans="1:21" s="1" customFormat="1" ht="72">
      <c r="A227" s="69">
        <f>IF([3]PRIORIZADOS!A38="","",[3]PRIORIZADOS!A38)</f>
        <v>233</v>
      </c>
      <c r="B227" s="70">
        <f>IFERROR(IF(VLOOKUP(A227,[3]PRIORIZADOS!$A:$B,2,FALSE)="","",VLOOKUP(A227,[3]PRIORIZADOS!$A:$B,2,FALSE)),"")</f>
        <v>4</v>
      </c>
      <c r="C227" s="11" t="str">
        <f>IFERROR(IF(VLOOKUP(A227,[3]PRIORIZADOS!$A:$C,3,FALSE)="","",VLOOKUP(A227,[3]PRIORIZADOS!$A:$C,3,FALSE)),"")</f>
        <v>BOSA</v>
      </c>
      <c r="D227" s="11" t="str">
        <f>IFERROR(IF(VLOOKUP(A227,[3]PRIORIZADOS!$A:$D,4,FALSE)="","",VLOOKUP(A227,[3]PRIORIZADOS!$A:$D,4,FALSE)),"")</f>
        <v>PRIVADO</v>
      </c>
      <c r="E227" s="11" t="str">
        <f>IFERROR(IF(VLOOKUP(A227,[3]PRIORIZADOS!$A:$E,5,FALSE)="","",VLOOKUP(A227,[3]PRIORIZADOS!$A:$E,5,FALSE)),"")</f>
        <v>Educación de Jóvenes y Adultos</v>
      </c>
      <c r="F227" s="11" t="str">
        <f>IFERROR(IF(VLOOKUP(A227,[3]PRIORIZADOS!$A:$F,6,FALSE)="","",VLOOKUP(A227,[3]PRIORIZADOS!$A:$F,6,FALSE)),"")</f>
        <v>FUNDACION_HUMANISTA_ERASMO_DE_ROTTERDAM</v>
      </c>
      <c r="G227" s="11" t="str">
        <f>IFERROR(IF(VLOOKUP(A227,[3]PRIORIZADOS!$A:$G,7,FALSE)="","",VLOOKUP(A227,[3]PRIORIZADOS!$A:$G,7,FALSE)),"")</f>
        <v>FUNDACION HUMANISTA ERASMO DE ROTTERDAM</v>
      </c>
      <c r="H227" s="11" t="str">
        <f>IFERROR(IF(VLOOKUP(A227,[3]PRIORIZADOS!$A:$H,8,FALSE)="","",VLOOKUP(A227,[3]PRIORIZADOS!$A:$H,8,FALSE)),"")</f>
        <v>Autoevaluación Institucional y Pruebas SABER 11</v>
      </c>
      <c r="I227" s="11" t="str">
        <f>IFERROR(IF(VLOOKUP(A227,[3]PRIORIZADOS!$A:$I,9,FALSE)="","",VLOOKUP(A227,[3]PRIORIZADOS!$A:$I,9,FALSE)),"")</f>
        <v>SEGUIMIENTO_Y_SUPERVISIÓN.</v>
      </c>
      <c r="J227" s="11" t="str">
        <f>IFERROR(IF(VLOOKUP(A227,[3]PRIORIZADOS!$A:$J,10,FALSE)="","",VLOOKUP(A227,[3]PRIORIZADOS!$A:$J,10,FALSE)),"")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7" s="11" t="str">
        <f>IFERROR(IF(VLOOKUP(A227,[3]PRIORIZADOS!$A:$K,11,FALSE)="","",VLOOKUP(A227,[3]PRIORIZADOS!$A:$K,11,FALSE)),"")</f>
        <v>JULIÁN FELIPE BERNAL GARZÓN</v>
      </c>
      <c r="L227" s="11" t="str">
        <f>IFERROR(IF(VLOOKUP(A227,[3]PRIORIZADOS!$A:$L,12,FALSE)="","",VLOOKUP(A227,[3]PRIORIZADOS!$A:$L,12,FALSE)),"")</f>
        <v>ANA ANDREA VARGAS GONZÁLEZ</v>
      </c>
      <c r="M227" s="71">
        <f>IFERROR(IF(VLOOKUP(A227,[3]PRIORIZADOS!$A:$M,13,FALSE)="","",VLOOKUP(A227,[3]PRIORIZADOS!$A:$M,13,FALSE)),"")</f>
        <v>45743</v>
      </c>
      <c r="N227" s="71">
        <f>IFERROR(IF(VLOOKUP(A227,[3]PRIORIZADOS!$A:$N,14,FALSE)="","",VLOOKUP(A227,[3]PRIORIZADOS!$A:$N,14,FALSE)),"")</f>
        <v>45743</v>
      </c>
      <c r="O227" s="71">
        <f>IFERROR(IF(VLOOKUP(A227,[3]PRIORIZADOS!$A:$O,15,FALSE)="","",VLOOKUP(A227,[3]PRIORIZADOS!$A:$O,15,FALSE)),"")</f>
        <v>45743</v>
      </c>
      <c r="P227" s="11" t="str">
        <f>IFERROR(IF(VLOOKUP(A227,[3]PRIORIZADOS!$A:$P,16,FALSE)="","",VLOOKUP(A227,[3]PRIORIZADOS!$A:$P,16,FALSE)),"")</f>
        <v>Visitas de evaluación con fines de mejoramiento</v>
      </c>
      <c r="Q227" s="122" t="s">
        <v>55</v>
      </c>
      <c r="R227" s="11" t="str">
        <f>IFERROR(IF(VLOOKUP(A227,[3]PRIORIZADOS!$A:$R,18,FALSE)="","",VLOOKUP(A227,[3]PRIORIZADOS!$A:$R,18,FALSE)),"")</f>
        <v>Al revisar la Plataforma SIMAT, no hay estudiantes marcados en la Plataforma con discapacidad</v>
      </c>
      <c r="S227" s="11" t="str">
        <f>IFERROR(IF(VLOOKUP(A227,[3]PRIORIZADOS!$A:$S,19,FALSE)="","",VLOOKUP(A227,[3]PRIORIZADOS!$A:$S,19,FALSE)),"")</f>
        <v>La Institución Educativa se compromete a remitir el Documento Institucional del Plan Individual de Ajustes Razonables PIAR</v>
      </c>
      <c r="T227" s="70" t="str">
        <f>IFERROR(IF(VLOOKUP(A227,[3]PRIORIZADOS!$A:$T,20,FALSE)="","",VLOOKUP(A227,[3]PRIORIZADOS!$A:$T,20,FALSE)),"")</f>
        <v>No</v>
      </c>
      <c r="U227" s="11" t="str">
        <f>IFERROR(IF(VLOOKUP(A227,[3]PRIORIZADOS!$A:$U,21,FALSE)="","",VLOOKUP(A227,[3]PRIORIZADOS!$A:$U,21,FALSE)),"")</f>
        <v>Verificar la información en SIMAT</v>
      </c>
    </row>
    <row r="228" spans="1:21" s="1" customFormat="1" ht="84">
      <c r="A228" s="69">
        <f>IF([3]PRIORIZADOS!A39="","",[3]PRIORIZADOS!A39)</f>
        <v>234</v>
      </c>
      <c r="B228" s="70">
        <f>IFERROR(IF(VLOOKUP(A228,[3]PRIORIZADOS!$A:$B,2,FALSE)="","",VLOOKUP(A228,[3]PRIORIZADOS!$A:$B,2,FALSE)),"")</f>
        <v>4</v>
      </c>
      <c r="C228" s="11" t="str">
        <f>IFERROR(IF(VLOOKUP(A228,[3]PRIORIZADOS!$A:$C,3,FALSE)="","",VLOOKUP(A228,[3]PRIORIZADOS!$A:$C,3,FALSE)),"")</f>
        <v>BOSA</v>
      </c>
      <c r="D228" s="11" t="str">
        <f>IFERROR(IF(VLOOKUP(A228,[3]PRIORIZADOS!$A:$D,4,FALSE)="","",VLOOKUP(A228,[3]PRIORIZADOS!$A:$D,4,FALSE)),"")</f>
        <v>PRIVADO</v>
      </c>
      <c r="E228" s="11" t="str">
        <f>IFERROR(IF(VLOOKUP(A228,[3]PRIORIZADOS!$A:$E,5,FALSE)="","",VLOOKUP(A228,[3]PRIORIZADOS!$A:$E,5,FALSE)),"")</f>
        <v>Educación de Jóvenes y Adultos</v>
      </c>
      <c r="F228" s="11" t="str">
        <f>IFERROR(IF(VLOOKUP(A228,[3]PRIORIZADOS!$A:$F,6,FALSE)="","",VLOOKUP(A228,[3]PRIORIZADOS!$A:$F,6,FALSE)),"")</f>
        <v>FUNDACION_HUMANISTA_ERASMO_DE_ROTTERDAM</v>
      </c>
      <c r="G228" s="11" t="str">
        <f>IFERROR(IF(VLOOKUP(A228,[3]PRIORIZADOS!$A:$G,7,FALSE)="","",VLOOKUP(A228,[3]PRIORIZADOS!$A:$G,7,FALSE)),"")</f>
        <v>FUNDACION HUMANISTA ERASMO DE ROTTERDAM</v>
      </c>
      <c r="H228" s="11" t="str">
        <f>IFERROR(IF(VLOOKUP(A228,[3]PRIORIZADOS!$A:$H,8,FALSE)="","",VLOOKUP(A228,[3]PRIORIZADOS!$A:$H,8,FALSE)),"")</f>
        <v>Autoevaluación Institucional y Pruebas SABER 11</v>
      </c>
      <c r="I228" s="11" t="str">
        <f>IFERROR(IF(VLOOKUP(A228,[3]PRIORIZADOS!$A:$I,9,FALSE)="","",VLOOKUP(A228,[3]PRIORIZADOS!$A:$I,9,FALSE)),"")</f>
        <v>EVALUACIÓN_CON_FINES_DE_MEJORAMIENTO.</v>
      </c>
      <c r="J228" s="11" t="str">
        <f>IFERROR(IF(VLOOKUP(A228,[3]PRIORIZADOS!$A:$J,10,FALSE)="","",VLOOKUP(A228,[3]PRIORIZADOS!$A:$J,10,FALSE)),"")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8" s="11" t="str">
        <f>IFERROR(IF(VLOOKUP(A228,[3]PRIORIZADOS!$A:$K,11,FALSE)="","",VLOOKUP(A228,[3]PRIORIZADOS!$A:$K,11,FALSE)),"")</f>
        <v>JULIÁN FELIPE BERNAL GARZÓN</v>
      </c>
      <c r="L228" s="11" t="str">
        <f>IFERROR(IF(VLOOKUP(A228,[3]PRIORIZADOS!$A:$L,12,FALSE)="","",VLOOKUP(A228,[3]PRIORIZADOS!$A:$L,12,FALSE)),"")</f>
        <v>ANA ANDREA VARGAS GONZÁLEZ</v>
      </c>
      <c r="M228" s="71">
        <f>IFERROR(IF(VLOOKUP(A228,[3]PRIORIZADOS!$A:$M,13,FALSE)="","",VLOOKUP(A228,[3]PRIORIZADOS!$A:$M,13,FALSE)),"")</f>
        <v>45743</v>
      </c>
      <c r="N228" s="71">
        <f>IFERROR(IF(VLOOKUP(A228,[3]PRIORIZADOS!$A:$N,14,FALSE)="","",VLOOKUP(A228,[3]PRIORIZADOS!$A:$N,14,FALSE)),"")</f>
        <v>45743</v>
      </c>
      <c r="O228" s="71">
        <f>IFERROR(IF(VLOOKUP(A228,[3]PRIORIZADOS!$A:$O,15,FALSE)="","",VLOOKUP(A228,[3]PRIORIZADOS!$A:$O,15,FALSE)),"")</f>
        <v>45743</v>
      </c>
      <c r="P228" s="11" t="str">
        <f>IFERROR(IF(VLOOKUP(A228,[3]PRIORIZADOS!$A:$P,16,FALSE)="","",VLOOKUP(A228,[3]PRIORIZADOS!$A:$P,16,FALSE)),"")</f>
        <v>Visitas de evaluación con fines de mejoramiento</v>
      </c>
      <c r="Q228" s="122" t="s">
        <v>55</v>
      </c>
      <c r="R228" s="11" t="str">
        <f>IFERROR(IF(VLOOKUP(A228,[3]PRIORIZADOS!$A:$R,18,FALSE)="","",VLOOKUP(A228,[3]PRIORIZADOS!$A:$R,18,FALSE)),"")</f>
        <v>No evidencia Manual de Convivencia actualizado a la vigencia 2024 -2025, con la participación de la comunidad educativa, el cual requiere algunos ajustes en su contenido.</v>
      </c>
      <c r="S228" s="11" t="str">
        <f>IFERROR(IF(VLOOKUP(A228,[3]PRIORIZADOS!$A:$S,19,FALSE)="","",VLOOKUP(A228,[3]PRIORIZADOS!$A:$S,19,FALSE)),"")</f>
        <v>Remitir la versión actualizada del Manual de Conviviencia,  para diferenciar entre faltas y situaciones convivenciales, y las sanciones</v>
      </c>
      <c r="T228" s="70" t="str">
        <f>IFERROR(IF(VLOOKUP(A228,[3]PRIORIZADOS!$A:$T,20,FALSE)="","",VLOOKUP(A228,[3]PRIORIZADOS!$A:$T,20,FALSE)),"")</f>
        <v>Si</v>
      </c>
      <c r="U228" s="11" t="str">
        <f>IFERROR(IF(VLOOKUP(A228,[3]PRIORIZADOS!$A:$U,21,FALSE)="","",VLOOKUP(A228,[3]PRIORIZADOS!$A:$U,21,FALSE)),"")</f>
        <v>Revisar el manual actualizado en  2025 y retroalimentar a la IE.</v>
      </c>
    </row>
    <row r="229" spans="1:21" s="1" customFormat="1" ht="72">
      <c r="A229" s="69">
        <f>IF([3]PRIORIZADOS!A40="","",[3]PRIORIZADOS!A40)</f>
        <v>235</v>
      </c>
      <c r="B229" s="70">
        <f>IFERROR(IF(VLOOKUP(A229,[3]PRIORIZADOS!$A:$B,2,FALSE)="","",VLOOKUP(A229,[3]PRIORIZADOS!$A:$B,2,FALSE)),"")</f>
        <v>4</v>
      </c>
      <c r="C229" s="11" t="str">
        <f>IFERROR(IF(VLOOKUP(A229,[3]PRIORIZADOS!$A:$C,3,FALSE)="","",VLOOKUP(A229,[3]PRIORIZADOS!$A:$C,3,FALSE)),"")</f>
        <v>BOSA</v>
      </c>
      <c r="D229" s="11" t="str">
        <f>IFERROR(IF(VLOOKUP(A229,[3]PRIORIZADOS!$A:$D,4,FALSE)="","",VLOOKUP(A229,[3]PRIORIZADOS!$A:$D,4,FALSE)),"")</f>
        <v>PRIVADO</v>
      </c>
      <c r="E229" s="11" t="str">
        <f>IFERROR(IF(VLOOKUP(A229,[3]PRIORIZADOS!$A:$E,5,FALSE)="","",VLOOKUP(A229,[3]PRIORIZADOS!$A:$E,5,FALSE)),"")</f>
        <v>Educación de Jóvenes y Adultos</v>
      </c>
      <c r="F229" s="11" t="str">
        <f>IFERROR(IF(VLOOKUP(A229,[3]PRIORIZADOS!$A:$F,6,FALSE)="","",VLOOKUP(A229,[3]PRIORIZADOS!$A:$F,6,FALSE)),"")</f>
        <v>FUNDACION_HUMANISTA_ERASMO_DE_ROTTERDAM</v>
      </c>
      <c r="G229" s="11" t="str">
        <f>IFERROR(IF(VLOOKUP(A229,[3]PRIORIZADOS!$A:$G,7,FALSE)="","",VLOOKUP(A229,[3]PRIORIZADOS!$A:$G,7,FALSE)),"")</f>
        <v>FUNDACION HUMANISTA ERASMO DE ROTTERDAM</v>
      </c>
      <c r="H229" s="11" t="str">
        <f>IFERROR(IF(VLOOKUP(A229,[3]PRIORIZADOS!$A:$H,8,FALSE)="","",VLOOKUP(A229,[3]PRIORIZADOS!$A:$H,8,FALSE)),"")</f>
        <v>Autoevaluación Institucional y Pruebas SABER 11</v>
      </c>
      <c r="I229" s="11" t="str">
        <f>IFERROR(IF(VLOOKUP(A229,[3]PRIORIZADOS!$A:$I,9,FALSE)="","",VLOOKUP(A229,[3]PRIORIZADOS!$A:$I,9,FALSE)),"")</f>
        <v>EVALUACIÓN_CON_FINES_DE_MEJORAMIENTO.</v>
      </c>
      <c r="J229" s="11" t="str">
        <f>IFERROR(IF(VLOOKUP(A229,[3]PRIORIZADOS!$A:$J,10,FALSE)="","",VLOOKUP(A229,[3]PRIORIZADOS!$A:$J,10,FALSE)),"")</f>
        <v>Revisar la actualización, socialización e implementación del Sistema Institucional de Evaluación de Estudiantes - SIEE, en articulación con la actualización del PEI y la normatividad vigente.</v>
      </c>
      <c r="K229" s="11" t="str">
        <f>IFERROR(IF(VLOOKUP(A229,[3]PRIORIZADOS!$A:$K,11,FALSE)="","",VLOOKUP(A229,[3]PRIORIZADOS!$A:$K,11,FALSE)),"")</f>
        <v>JULIÁN FELIPE BERNAL GARZÓN</v>
      </c>
      <c r="L229" s="11" t="str">
        <f>IFERROR(IF(VLOOKUP(A229,[3]PRIORIZADOS!$A:$L,12,FALSE)="","",VLOOKUP(A229,[3]PRIORIZADOS!$A:$L,12,FALSE)),"")</f>
        <v>ANA ANDREA VARGAS GONZÁLEZ</v>
      </c>
      <c r="M229" s="71">
        <f>IFERROR(IF(VLOOKUP(A229,[3]PRIORIZADOS!$A:$M,13,FALSE)="","",VLOOKUP(A229,[3]PRIORIZADOS!$A:$M,13,FALSE)),"")</f>
        <v>45743</v>
      </c>
      <c r="N229" s="71">
        <f>IFERROR(IF(VLOOKUP(A229,[3]PRIORIZADOS!$A:$N,14,FALSE)="","",VLOOKUP(A229,[3]PRIORIZADOS!$A:$N,14,FALSE)),"")</f>
        <v>45743</v>
      </c>
      <c r="O229" s="71">
        <f>IFERROR(IF(VLOOKUP(A229,[3]PRIORIZADOS!$A:$O,15,FALSE)="","",VLOOKUP(A229,[3]PRIORIZADOS!$A:$O,15,FALSE)),"")</f>
        <v>45743</v>
      </c>
      <c r="P229" s="11" t="str">
        <f>IFERROR(IF(VLOOKUP(A229,[3]PRIORIZADOS!$A:$P,16,FALSE)="","",VLOOKUP(A229,[3]PRIORIZADOS!$A:$P,16,FALSE)),"")</f>
        <v>Visitas de evaluación con fines de mejoramiento</v>
      </c>
      <c r="Q229" s="122" t="s">
        <v>55</v>
      </c>
      <c r="R229" s="11" t="str">
        <f>IFERROR(IF(VLOOKUP(A229,[3]PRIORIZADOS!$A:$R,18,FALSE)="","",VLOOKUP(A229,[3]PRIORIZADOS!$A:$R,18,FALSE)),"")</f>
        <v>Se evidencia el Sistema Institucional de Evaluación de Estudiantes - SIEE, actualizado para la vigencia 2025. Fue construido en articulación con el Consejo Directivo y la comunidad educativa desde el año 2019 y se actualiza cada 2 años</v>
      </c>
      <c r="S229" s="11" t="str">
        <f>IFERROR(IF(VLOOKUP(A229,[3]PRIORIZADOS!$A:$S,19,FALSE)="","",VLOOKUP(A229,[3]PRIORIZADOS!$A:$S,19,FALSE)),"")</f>
        <v>Como acción de verificación la Institución Educativa se compromete a remitir la versión actualizada del  Sistema institucional de evaluación de los estudiantes- SIEE</v>
      </c>
      <c r="T229" s="70" t="str">
        <f>IFERROR(IF(VLOOKUP(A229,[3]PRIORIZADOS!$A:$T,20,FALSE)="","",VLOOKUP(A229,[3]PRIORIZADOS!$A:$T,20,FALSE)),"")</f>
        <v>No</v>
      </c>
      <c r="U229" s="11" t="str">
        <f>IFERROR(IF(VLOOKUP(A229,[3]PRIORIZADOS!$A:$U,21,FALSE)="","",VLOOKUP(A229,[3]PRIORIZADOS!$A:$U,21,FALSE)),"")</f>
        <v>Verificar nuevamente el documento en el mes de agosto de 2025 y generar espacios de asesoría, conforme lo requiera la IE</v>
      </c>
    </row>
    <row r="230" spans="1:21" s="1" customFormat="1" ht="48">
      <c r="A230" s="69">
        <f>IF([3]PRIORIZADOS!A41="","",[3]PRIORIZADOS!A41)</f>
        <v>236</v>
      </c>
      <c r="B230" s="70">
        <f>IFERROR(IF(VLOOKUP(A230,[3]PRIORIZADOS!$A:$B,2,FALSE)="","",VLOOKUP(A230,[3]PRIORIZADOS!$A:$B,2,FALSE)),"")</f>
        <v>4</v>
      </c>
      <c r="C230" s="11" t="str">
        <f>IFERROR(IF(VLOOKUP(A230,[3]PRIORIZADOS!$A:$C,3,FALSE)="","",VLOOKUP(A230,[3]PRIORIZADOS!$A:$C,3,FALSE)),"")</f>
        <v>BOSA</v>
      </c>
      <c r="D230" s="11" t="str">
        <f>IFERROR(IF(VLOOKUP(A230,[3]PRIORIZADOS!$A:$D,4,FALSE)="","",VLOOKUP(A230,[3]PRIORIZADOS!$A:$D,4,FALSE)),"")</f>
        <v>PRIVADO</v>
      </c>
      <c r="E230" s="11" t="str">
        <f>IFERROR(IF(VLOOKUP(A230,[3]PRIORIZADOS!$A:$E,5,FALSE)="","",VLOOKUP(A230,[3]PRIORIZADOS!$A:$E,5,FALSE)),"")</f>
        <v>Educación de Jóvenes y Adultos</v>
      </c>
      <c r="F230" s="11" t="str">
        <f>IFERROR(IF(VLOOKUP(A230,[3]PRIORIZADOS!$A:$F,6,FALSE)="","",VLOOKUP(A230,[3]PRIORIZADOS!$A:$F,6,FALSE)),"")</f>
        <v>FUNDACION_HUMANISTA_ERASMO_DE_ROTTERDAM</v>
      </c>
      <c r="G230" s="11" t="str">
        <f>IFERROR(IF(VLOOKUP(A230,[3]PRIORIZADOS!$A:$G,7,FALSE)="","",VLOOKUP(A230,[3]PRIORIZADOS!$A:$G,7,FALSE)),"")</f>
        <v>FUNDACION HUMANISTA ERASMO DE ROTTERDAM</v>
      </c>
      <c r="H230" s="11" t="str">
        <f>IFERROR(IF(VLOOKUP(A230,[3]PRIORIZADOS!$A:$H,8,FALSE)="","",VLOOKUP(A230,[3]PRIORIZADOS!$A:$H,8,FALSE)),"")</f>
        <v>Autoevaluación Institucional y Pruebas SABER 11</v>
      </c>
      <c r="I230" s="11" t="str">
        <f>IFERROR(IF(VLOOKUP(A230,[3]PRIORIZADOS!$A:$I,9,FALSE)="","",VLOOKUP(A230,[3]PRIORIZADOS!$A:$I,9,FALSE)),"")</f>
        <v>EVALUACIÓN_CON_FINES_DE_MEJORAMIENTO.</v>
      </c>
      <c r="J230" s="11" t="str">
        <f>IFERROR(IF(VLOOKUP(A230,[3]PRIORIZADOS!$A:$J,10,FALSE)="","",VLOOKUP(A230,[3]PRIORIZADOS!$A:$J,10,FALSE)),"")</f>
        <v>Revisar el calendario escolar, jornada escolar, la intensidad horaria mínima anual en cada nivel y las modificaciones que se realicen al mismo, de acuerdo con lo previsto en la normatividad vigente.</v>
      </c>
      <c r="K230" s="11" t="str">
        <f>IFERROR(IF(VLOOKUP(A230,[3]PRIORIZADOS!$A:$K,11,FALSE)="","",VLOOKUP(A230,[3]PRIORIZADOS!$A:$K,11,FALSE)),"")</f>
        <v>JULIÁN FELIPE BERNAL GARZÓN</v>
      </c>
      <c r="L230" s="11" t="str">
        <f>IFERROR(IF(VLOOKUP(A230,[3]PRIORIZADOS!$A:$L,12,FALSE)="","",VLOOKUP(A230,[3]PRIORIZADOS!$A:$L,12,FALSE)),"")</f>
        <v>ANA ANDREA VARGAS GONZÁLEZ</v>
      </c>
      <c r="M230" s="71">
        <f>IFERROR(IF(VLOOKUP(A230,[3]PRIORIZADOS!$A:$M,13,FALSE)="","",VLOOKUP(A230,[3]PRIORIZADOS!$A:$M,13,FALSE)),"")</f>
        <v>45743</v>
      </c>
      <c r="N230" s="71">
        <f>IFERROR(IF(VLOOKUP(A230,[3]PRIORIZADOS!$A:$N,14,FALSE)="","",VLOOKUP(A230,[3]PRIORIZADOS!$A:$N,14,FALSE)),"")</f>
        <v>45743</v>
      </c>
      <c r="O230" s="71">
        <f>IFERROR(IF(VLOOKUP(A230,[3]PRIORIZADOS!$A:$O,15,FALSE)="","",VLOOKUP(A230,[3]PRIORIZADOS!$A:$O,15,FALSE)),"")</f>
        <v>45743</v>
      </c>
      <c r="P230" s="11" t="str">
        <f>IFERROR(IF(VLOOKUP(A230,[3]PRIORIZADOS!$A:$P,16,FALSE)="","",VLOOKUP(A230,[3]PRIORIZADOS!$A:$P,16,FALSE)),"")</f>
        <v>Visitas de evaluación con fines de mejoramiento</v>
      </c>
      <c r="Q230" s="122" t="s">
        <v>55</v>
      </c>
      <c r="R230" s="11" t="str">
        <f>IFERROR(IF(VLOOKUP(A230,[3]PRIORIZADOS!$A:$R,18,FALSE)="","",VLOOKUP(A230,[3]PRIORIZADOS!$A:$R,18,FALSE)),"")</f>
        <v>El calendario escolar, jornada escolar, la intensidad horaria mínima anual en cada nivel se encuentran conforme lo previsto en la normatividad vigente</v>
      </c>
      <c r="S230" s="11" t="str">
        <f>IFERROR(IF(VLOOKUP(A230,[3]PRIORIZADOS!$A:$S,19,FALSE)="","",VLOOKUP(A230,[3]PRIORIZADOS!$A:$S,19,FALSE)),"")</f>
        <v>Como acción de verificación la Institución Educativa se compromete a remitir la versión actualizada calendario escolar</v>
      </c>
      <c r="T230" s="70" t="str">
        <f>IFERROR(IF(VLOOKUP(A230,[3]PRIORIZADOS!$A:$T,20,FALSE)="","",VLOOKUP(A230,[3]PRIORIZADOS!$A:$T,20,FALSE)),"")</f>
        <v>No</v>
      </c>
      <c r="U230" s="11" t="str">
        <f>IFERROR(IF(VLOOKUP(A230,[3]PRIORIZADOS!$A:$U,21,FALSE)="","",VLOOKUP(A230,[3]PRIORIZADOS!$A:$U,21,FALSE)),"")</f>
        <v>Verificar nuevamente el documento en el mes de agosto de 2025 y generar espacios de asesoría, conforme lo requiera la IE</v>
      </c>
    </row>
    <row r="231" spans="1:21" s="1" customFormat="1" ht="48">
      <c r="A231" s="69">
        <f>IF([3]PRIORIZADOS!A42="","",[3]PRIORIZADOS!A42)</f>
        <v>237</v>
      </c>
      <c r="B231" s="70">
        <f>IFERROR(IF(VLOOKUP(A231,[3]PRIORIZADOS!$A:$B,2,FALSE)="","",VLOOKUP(A231,[3]PRIORIZADOS!$A:$B,2,FALSE)),"")</f>
        <v>4</v>
      </c>
      <c r="C231" s="11" t="str">
        <f>IFERROR(IF(VLOOKUP(A231,[3]PRIORIZADOS!$A:$C,3,FALSE)="","",VLOOKUP(A231,[3]PRIORIZADOS!$A:$C,3,FALSE)),"")</f>
        <v>BOSA</v>
      </c>
      <c r="D231" s="11" t="str">
        <f>IFERROR(IF(VLOOKUP(A231,[3]PRIORIZADOS!$A:$D,4,FALSE)="","",VLOOKUP(A231,[3]PRIORIZADOS!$A:$D,4,FALSE)),"")</f>
        <v>PRIVADO</v>
      </c>
      <c r="E231" s="11" t="str">
        <f>IFERROR(IF(VLOOKUP(A231,[3]PRIORIZADOS!$A:$E,5,FALSE)="","",VLOOKUP(A231,[3]PRIORIZADOS!$A:$E,5,FALSE)),"")</f>
        <v>Educación de Jóvenes y Adultos</v>
      </c>
      <c r="F231" s="11" t="str">
        <f>IFERROR(IF(VLOOKUP(A231,[3]PRIORIZADOS!$A:$F,6,FALSE)="","",VLOOKUP(A231,[3]PRIORIZADOS!$A:$F,6,FALSE)),"")</f>
        <v>FUNDACION_HUMANISTA_ERASMO_DE_ROTTERDAM</v>
      </c>
      <c r="G231" s="11" t="str">
        <f>IFERROR(IF(VLOOKUP(A231,[3]PRIORIZADOS!$A:$G,7,FALSE)="","",VLOOKUP(A231,[3]PRIORIZADOS!$A:$G,7,FALSE)),"")</f>
        <v>FUNDACION HUMANISTA ERASMO DE ROTTERDAM</v>
      </c>
      <c r="H231" s="11" t="str">
        <f>IFERROR(IF(VLOOKUP(A231,[3]PRIORIZADOS!$A:$H,8,FALSE)="","",VLOOKUP(A231,[3]PRIORIZADOS!$A:$H,8,FALSE)),"")</f>
        <v>Autoevaluación Institucional y Pruebas SABER 11</v>
      </c>
      <c r="I231" s="11" t="str">
        <f>IFERROR(IF(VLOOKUP(A231,[3]PRIORIZADOS!$A:$I,9,FALSE)="","",VLOOKUP(A231,[3]PRIORIZADOS!$A:$I,9,FALSE)),"")</f>
        <v>EVALUACIÓN_CON_FINES_DE_MEJORAMIENTO.</v>
      </c>
      <c r="J231" s="11" t="str">
        <f>IFERROR(IF(VLOOKUP(A231,[3]PRIORIZADOS!$A:$J,10,FALSE)="","",VLOOKUP(A231,[3]PRIORIZADOS!$A:$J,10,FALSE)),"")</f>
        <v>Verificar el funcionamiento del Gobierno Escolar e instancias de participación con base en la información sobre conformación reportada por la institución educativa.</v>
      </c>
      <c r="K231" s="11" t="str">
        <f>IFERROR(IF(VLOOKUP(A231,[3]PRIORIZADOS!$A:$K,11,FALSE)="","",VLOOKUP(A231,[3]PRIORIZADOS!$A:$K,11,FALSE)),"")</f>
        <v>JULIÁN FELIPE BERNAL GARZÓN</v>
      </c>
      <c r="L231" s="11" t="str">
        <f>IFERROR(IF(VLOOKUP(A231,[3]PRIORIZADOS!$A:$L,12,FALSE)="","",VLOOKUP(A231,[3]PRIORIZADOS!$A:$L,12,FALSE)),"")</f>
        <v>ANA ANDREA VARGAS GONZÁLEZ</v>
      </c>
      <c r="M231" s="71">
        <f>IFERROR(IF(VLOOKUP(A231,[3]PRIORIZADOS!$A:$M,13,FALSE)="","",VLOOKUP(A231,[3]PRIORIZADOS!$A:$M,13,FALSE)),"")</f>
        <v>45743</v>
      </c>
      <c r="N231" s="71">
        <f>IFERROR(IF(VLOOKUP(A231,[3]PRIORIZADOS!$A:$N,14,FALSE)="","",VLOOKUP(A231,[3]PRIORIZADOS!$A:$N,14,FALSE)),"")</f>
        <v>45743</v>
      </c>
      <c r="O231" s="71">
        <f>IFERROR(IF(VLOOKUP(A231,[3]PRIORIZADOS!$A:$O,15,FALSE)="","",VLOOKUP(A231,[3]PRIORIZADOS!$A:$O,15,FALSE)),"")</f>
        <v>45743</v>
      </c>
      <c r="P231" s="11" t="str">
        <f>IFERROR(IF(VLOOKUP(A231,[3]PRIORIZADOS!$A:$P,16,FALSE)="","",VLOOKUP(A231,[3]PRIORIZADOS!$A:$P,16,FALSE)),"")</f>
        <v>Visitas de evaluación con fines de mejoramiento</v>
      </c>
      <c r="Q231" s="122" t="s">
        <v>55</v>
      </c>
      <c r="R231" s="11" t="str">
        <f>IFERROR(IF(VLOOKUP(A231,[3]PRIORIZADOS!$A:$R,18,FALSE)="","",VLOOKUP(A231,[3]PRIORIZADOS!$A:$R,18,FALSE)),"")</f>
        <v>La constitución del Gobierno Escolar y sus órganos de participación, se encuentra conforme a la Normativa Vigente</v>
      </c>
      <c r="S231" s="11" t="str">
        <f>IFERROR(IF(VLOOKUP(A231,[3]PRIORIZADOS!$A:$S,19,FALSE)="","",VLOOKUP(A231,[3]PRIORIZADOS!$A:$S,19,FALSE)),"")</f>
        <v>Continuar operando conforme funciones y reglamentos.</v>
      </c>
      <c r="T231" s="70" t="str">
        <f>IFERROR(IF(VLOOKUP(A231,[3]PRIORIZADOS!$A:$T,20,FALSE)="","",VLOOKUP(A231,[3]PRIORIZADOS!$A:$T,20,FALSE)),"")</f>
        <v>No</v>
      </c>
      <c r="U231" s="11" t="str">
        <f>IFERROR(IF(VLOOKUP(A231,[3]PRIORIZADOS!$A:$U,21,FALSE)="","",VLOOKUP(A231,[3]PRIORIZADOS!$A:$U,21,FALSE)),"")</f>
        <v>Verificar la conformación del Gobierno Escolar e instancias para la vigencia 2026 o antes si la IE lo requiere o se presenta solicitud o queja.</v>
      </c>
    </row>
    <row r="232" spans="1:21" s="1" customFormat="1" ht="130.5">
      <c r="A232" s="69">
        <f>IF([3]PRIORIZADOS!A43="","",[3]PRIORIZADOS!A43)</f>
        <v>238</v>
      </c>
      <c r="B232" s="70">
        <f>IFERROR(IF(VLOOKUP(A232,[3]PRIORIZADOS!$A:$B,2,FALSE)="","",VLOOKUP(A232,[3]PRIORIZADOS!$A:$B,2,FALSE)),"")</f>
        <v>4</v>
      </c>
      <c r="C232" s="11" t="str">
        <f>IFERROR(IF(VLOOKUP(A232,[3]PRIORIZADOS!$A:$C,3,FALSE)="","",VLOOKUP(A232,[3]PRIORIZADOS!$A:$C,3,FALSE)),"")</f>
        <v>BOSA</v>
      </c>
      <c r="D232" s="11" t="str">
        <f>IFERROR(IF(VLOOKUP(A232,[3]PRIORIZADOS!$A:$D,4,FALSE)="","",VLOOKUP(A232,[3]PRIORIZADOS!$A:$D,4,FALSE)),"")</f>
        <v>PRIVADO</v>
      </c>
      <c r="E232" s="11" t="str">
        <f>IFERROR(IF(VLOOKUP(A232,[3]PRIORIZADOS!$A:$E,5,FALSE)="","",VLOOKUP(A232,[3]PRIORIZADOS!$A:$E,5,FALSE)),"")</f>
        <v>Educación de Jóvenes y Adultos</v>
      </c>
      <c r="F232" s="11" t="str">
        <f>IFERROR(IF(VLOOKUP(A232,[3]PRIORIZADOS!$A:$F,6,FALSE)="","",VLOOKUP(A232,[3]PRIORIZADOS!$A:$F,6,FALSE)),"")</f>
        <v>FUNDACION_HUMANISTA_ERASMO_DE_ROTTERDAM</v>
      </c>
      <c r="G232" s="11" t="str">
        <f>IFERROR(IF(VLOOKUP(A232,[3]PRIORIZADOS!$A:$G,7,FALSE)="","",VLOOKUP(A232,[3]PRIORIZADOS!$A:$G,7,FALSE)),"")</f>
        <v>FUNDACION HUMANISTA ERASMO DE ROTTERDAM</v>
      </c>
      <c r="H232" s="11" t="str">
        <f>IFERROR(IF(VLOOKUP(A232,[3]PRIORIZADOS!$A:$H,8,FALSE)="","",VLOOKUP(A232,[3]PRIORIZADOS!$A:$H,8,FALSE)),"")</f>
        <v>Autoevaluación Institucional y Pruebas SABER 11</v>
      </c>
      <c r="I232" s="11" t="str">
        <f>IFERROR(IF(VLOOKUP(A232,[3]PRIORIZADOS!$A:$I,9,FALSE)="","",VLOOKUP(A232,[3]PRIORIZADOS!$A:$I,9,FALSE)),"")</f>
        <v>EVALUACIÓN_CON_FINES_DE_MEJORAMIENTO.</v>
      </c>
      <c r="J232" s="11" t="str">
        <f>IFERROR(IF(VLOOKUP(A232,[3]PRIORIZADOS!$A:$J,10,FALSE)="","",VLOOKUP(A232,[3]PRIORIZADOS!$A:$J,10,FALSE)),"")</f>
        <v>Verificar las condiciones en cuanto a: la estructura administrativa, condiciones de la planta física y medios educativos adecuados.</v>
      </c>
      <c r="K232" s="11" t="str">
        <f>IFERROR(IF(VLOOKUP(A232,[3]PRIORIZADOS!$A:$K,11,FALSE)="","",VLOOKUP(A232,[3]PRIORIZADOS!$A:$K,11,FALSE)),"")</f>
        <v>JULIÁN FELIPE BERNAL GARZÓN</v>
      </c>
      <c r="L232" s="11" t="str">
        <f>IFERROR(IF(VLOOKUP(A232,[3]PRIORIZADOS!$A:$L,12,FALSE)="","",VLOOKUP(A232,[3]PRIORIZADOS!$A:$L,12,FALSE)),"")</f>
        <v>ANA ANDREA VARGAS GONZÁLEZ</v>
      </c>
      <c r="M232" s="71">
        <f>IFERROR(IF(VLOOKUP(A232,[3]PRIORIZADOS!$A:$M,13,FALSE)="","",VLOOKUP(A232,[3]PRIORIZADOS!$A:$M,13,FALSE)),"")</f>
        <v>45743</v>
      </c>
      <c r="N232" s="71">
        <f>IFERROR(IF(VLOOKUP(A232,[3]PRIORIZADOS!$A:$N,14,FALSE)="","",VLOOKUP(A232,[3]PRIORIZADOS!$A:$N,14,FALSE)),"")</f>
        <v>45743</v>
      </c>
      <c r="O232" s="71">
        <f>IFERROR(IF(VLOOKUP(A232,[3]PRIORIZADOS!$A:$O,15,FALSE)="","",VLOOKUP(A232,[3]PRIORIZADOS!$A:$O,15,FALSE)),"")</f>
        <v>45743</v>
      </c>
      <c r="P232" s="11" t="str">
        <f>IFERROR(IF(VLOOKUP(A232,[3]PRIORIZADOS!$A:$P,16,FALSE)="","",VLOOKUP(A232,[3]PRIORIZADOS!$A:$P,16,FALSE)),"")</f>
        <v>Visitas de evaluación con fines de mejoramiento</v>
      </c>
      <c r="Q232" s="122" t="s">
        <v>55</v>
      </c>
      <c r="R232" s="11" t="str">
        <f>IFERROR(IF(VLOOKUP(A232,[3]PRIORIZADOS!$A:$R,18,FALSE)="","",VLOOKUP(A232,[3]PRIORIZADOS!$A:$R,18,FALSE)),"")</f>
        <v>Se realiza un recorrido en las instalaciones de la IE y se evidencia la información consignada en la Plataforma EVI coincide con lo verificado en campo. La Institución Educativa se encuentra en Régimen Controlado por las respuestas brindadas en la Autoevaluación en la Pregunta 13 y en la Pregunta 14. El Plan de Gestión del Riesgo y Cambio Climático no se encuentra actualizado y se debe subir la información a la plataforma SURE</v>
      </c>
      <c r="S232" s="11" t="str">
        <f>IFERROR(IF(VLOOKUP(A232,[3]PRIORIZADOS!$A:$S,19,FALSE)="","",VLOOKUP(A232,[3]PRIORIZADOS!$A:$S,19,FALSE)),"")</f>
        <v>Se recomienda actualizar el mobiliario más antiguo y verificar la sufifiencia de las instalaciones</v>
      </c>
      <c r="T232" s="70" t="str">
        <f>IFERROR(IF(VLOOKUP(A232,[3]PRIORIZADOS!$A:$T,20,FALSE)="","",VLOOKUP(A232,[3]PRIORIZADOS!$A:$T,20,FALSE)),"")</f>
        <v>Si</v>
      </c>
      <c r="U232" s="11" t="str">
        <f>IFERROR(IF(VLOOKUP(A232,[3]PRIORIZADOS!$A:$U,21,FALSE)="","",VLOOKUP(A232,[3]PRIORIZADOS!$A:$U,21,FALSE)),"")</f>
        <v>Se adelantará una visita administrativa para verificar la pertinencia de las instalaciones en la garantía de la prestación del servicio educativo</v>
      </c>
    </row>
    <row r="233" spans="1:21" s="1" customFormat="1" ht="60">
      <c r="A233" s="69">
        <f>IF([3]PRIORIZADOS!A44="","",[3]PRIORIZADOS!A44)</f>
        <v>239</v>
      </c>
      <c r="B233" s="70">
        <f>IFERROR(IF(VLOOKUP(A233,[3]PRIORIZADOS!$A:$B,2,FALSE)="","",VLOOKUP(A233,[3]PRIORIZADOS!$A:$B,2,FALSE)),"")</f>
        <v>5</v>
      </c>
      <c r="C233" s="11" t="str">
        <f>IFERROR(IF(VLOOKUP(A233,[3]PRIORIZADOS!$A:$C,3,FALSE)="","",VLOOKUP(A233,[3]PRIORIZADOS!$A:$C,3,FALSE)),"")</f>
        <v>BOSA</v>
      </c>
      <c r="D233" s="11" t="str">
        <f>IFERROR(IF(VLOOKUP(A233,[3]PRIORIZADOS!$A:$D,4,FALSE)="","",VLOOKUP(A233,[3]PRIORIZADOS!$A:$D,4,FALSE)),"")</f>
        <v>PRIVADO</v>
      </c>
      <c r="E233" s="11" t="str">
        <f>IFERROR(IF(VLOOKUP(A233,[3]PRIORIZADOS!$A:$E,5,FALSE)="","",VLOOKUP(A233,[3]PRIORIZADOS!$A:$E,5,FALSE)),"")</f>
        <v>EPBM</v>
      </c>
      <c r="F233" s="11" t="str">
        <f>IFERROR(IF(VLOOKUP(A233,[3]PRIORIZADOS!$A:$F,6,FALSE)="","",VLOOKUP(A233,[3]PRIORIZADOS!$A:$F,6,FALSE)),"")</f>
        <v>GIMNASIO_CACERES</v>
      </c>
      <c r="G233" s="11" t="str">
        <f>IFERROR(IF(VLOOKUP(A233,[3]PRIORIZADOS!$A:$G,7,FALSE)="","",VLOOKUP(A233,[3]PRIORIZADOS!$A:$G,7,FALSE)),"")</f>
        <v>GIMNASIO CACERES</v>
      </c>
      <c r="H233" s="11" t="str">
        <f>IFERROR(IF(VLOOKUP(A233,[3]PRIORIZADOS!$A:$H,8,FALSE)="","",VLOOKUP(A233,[3]PRIORIZADOS!$A:$H,8,FALSE)),"")</f>
        <v>Autoevaluación Institucional y Pruebas SABER 11</v>
      </c>
      <c r="I233" s="11" t="str">
        <f>IFERROR(IF(VLOOKUP(A233,[3]PRIORIZADOS!$A:$I,9,FALSE)="","",VLOOKUP(A233,[3]PRIORIZADOS!$A:$I,9,FALSE)),"")</f>
        <v>SEGUIMIENTO_Y_SUPERVISIÓN.</v>
      </c>
      <c r="J233" s="11" t="str">
        <f>IFERROR(IF(VLOOKUP(A233,[3]PRIORIZADOS!$A:$J,10,FALSE)="","",VLOOKUP(A233,[3]PRIORIZADOS!$A:$J,10,FALSE)),"")</f>
        <v>Realizar visitas para verificar la información registrada sobre la autoevaluación institucional en el aplicativo EVI, a los establecimientos de educación formal no oficial.</v>
      </c>
      <c r="K233" s="11" t="str">
        <f>IFERROR(IF(VLOOKUP(A233,[3]PRIORIZADOS!$A:$K,11,FALSE)="","",VLOOKUP(A233,[3]PRIORIZADOS!$A:$K,11,FALSE)),"")</f>
        <v>ESTEFANY PEÑA GARCIA</v>
      </c>
      <c r="L233" s="11" t="str">
        <f>IFERROR(IF(VLOOKUP(A233,[3]PRIORIZADOS!$A:$L,12,FALSE)="","",VLOOKUP(A233,[3]PRIORIZADOS!$A:$L,12,FALSE)),"")</f>
        <v>JULIÁN FELIPE BERNAL GARZÓN</v>
      </c>
      <c r="M233" s="71">
        <f>IFERROR(IF(VLOOKUP(A233,[3]PRIORIZADOS!$A:$M,13,FALSE)="","",VLOOKUP(A233,[3]PRIORIZADOS!$A:$M,13,FALSE)),"")</f>
        <v>45748</v>
      </c>
      <c r="N233" s="71">
        <f>IFERROR(IF(VLOOKUP(A233,[3]PRIORIZADOS!$A:$N,14,FALSE)="","",VLOOKUP(A233,[3]PRIORIZADOS!$A:$N,14,FALSE)),"")</f>
        <v>45748</v>
      </c>
      <c r="O233" s="71">
        <f>IFERROR(IF(VLOOKUP(A233,[3]PRIORIZADOS!$A:$O,15,FALSE)="","",VLOOKUP(A233,[3]PRIORIZADOS!$A:$O,15,FALSE)),"")</f>
        <v>45748</v>
      </c>
      <c r="P233" s="11" t="str">
        <f>IFERROR(IF(VLOOKUP(A233,[3]PRIORIZADOS!$A:$P,16,FALSE)="","",VLOOKUP(A233,[3]PRIORIZADOS!$A:$P,16,FALSE)),"")</f>
        <v>Visitas de evaluación con fines de mejoramiento</v>
      </c>
      <c r="Q233" s="122" t="s">
        <v>56</v>
      </c>
      <c r="R233" s="11" t="str">
        <f>IFERROR(IF(VLOOKUP(A233,[3]PRIORIZADOS!$A:$R,18,FALSE)="","",VLOOKUP(A233,[3]PRIORIZADOS!$A:$R,18,FALSE)),"")</f>
        <v>La información consignada en la Plataforma EVI relacionada con los indicadores de: planta física, dotación de espacios y calendario académico coincide con lo verificado en campo</v>
      </c>
      <c r="S233" s="11" t="str">
        <f>IFERROR(IF(VLOOKUP(A233,[3]PRIORIZADOS!$A:$S,19,FALSE)="","",VLOOKUP(A233,[3]PRIORIZADOS!$A:$S,19,FALSE)),"")</f>
        <v xml:space="preserve">Se concluye que la IE realizará su autoevalución institucional en el mes octubre.  </v>
      </c>
      <c r="T233" s="70" t="str">
        <f>IFERROR(IF(VLOOKUP(A233,[3]PRIORIZADOS!$A:$T,20,FALSE)="","",VLOOKUP(A233,[3]PRIORIZADOS!$A:$T,20,FALSE)),"")</f>
        <v>No</v>
      </c>
      <c r="U233" s="11" t="str">
        <f>IFERROR(IF(VLOOKUP(A233,[3]PRIORIZADOS!$A:$U,21,FALSE)="","",VLOOKUP(A233,[3]PRIORIZADOS!$A:$U,21,FALSE)),"")</f>
        <v>Se verificará la información cargada por la IE en el aplicativo EVI de la autoevaluación,  para la emisión del concepto de tarifas 2026</v>
      </c>
    </row>
    <row r="234" spans="1:21" s="1" customFormat="1" ht="60">
      <c r="A234" s="69">
        <f>IF([3]PRIORIZADOS!A45="","",[3]PRIORIZADOS!A45)</f>
        <v>240</v>
      </c>
      <c r="B234" s="70">
        <f>IFERROR(IF(VLOOKUP(A234,[3]PRIORIZADOS!$A:$B,2,FALSE)="","",VLOOKUP(A234,[3]PRIORIZADOS!$A:$B,2,FALSE)),"")</f>
        <v>5</v>
      </c>
      <c r="C234" s="11" t="str">
        <f>IFERROR(IF(VLOOKUP(A234,[3]PRIORIZADOS!$A:$C,3,FALSE)="","",VLOOKUP(A234,[3]PRIORIZADOS!$A:$C,3,FALSE)),"")</f>
        <v>BOSA</v>
      </c>
      <c r="D234" s="11" t="str">
        <f>IFERROR(IF(VLOOKUP(A234,[3]PRIORIZADOS!$A:$D,4,FALSE)="","",VLOOKUP(A234,[3]PRIORIZADOS!$A:$D,4,FALSE)),"")</f>
        <v>PRIVADO</v>
      </c>
      <c r="E234" s="11" t="str">
        <f>IFERROR(IF(VLOOKUP(A234,[3]PRIORIZADOS!$A:$E,5,FALSE)="","",VLOOKUP(A234,[3]PRIORIZADOS!$A:$E,5,FALSE)),"")</f>
        <v>EPBM</v>
      </c>
      <c r="F234" s="11" t="str">
        <f>IFERROR(IF(VLOOKUP(A234,[3]PRIORIZADOS!$A:$F,6,FALSE)="","",VLOOKUP(A234,[3]PRIORIZADOS!$A:$F,6,FALSE)),"")</f>
        <v>GIMNASIO_CACERES</v>
      </c>
      <c r="G234" s="11" t="str">
        <f>IFERROR(IF(VLOOKUP(A234,[3]PRIORIZADOS!$A:$G,7,FALSE)="","",VLOOKUP(A234,[3]PRIORIZADOS!$A:$G,7,FALSE)),"")</f>
        <v>GIMNASIO CACERES</v>
      </c>
      <c r="H234" s="11" t="str">
        <f>IFERROR(IF(VLOOKUP(A234,[3]PRIORIZADOS!$A:$H,8,FALSE)="","",VLOOKUP(A234,[3]PRIORIZADOS!$A:$H,8,FALSE)),"")</f>
        <v>Autoevaluación Institucional y Pruebas SABER 11</v>
      </c>
      <c r="I234" s="11" t="str">
        <f>IFERROR(IF(VLOOKUP(A234,[3]PRIORIZADOS!$A:$I,9,FALSE)="","",VLOOKUP(A234,[3]PRIORIZADOS!$A:$I,9,FALSE)),"")</f>
        <v>SEGUIMIENTO_Y_SUPERVISIÓN.</v>
      </c>
      <c r="J234" s="11" t="str">
        <f>IFERROR(IF(VLOOKUP(A234,[3]PRIORIZADOS!$A:$J,10,FALSE)="","",VLOOKUP(A234,[3]PRIORIZADOS!$A:$J,10,FALSE)),"")</f>
        <v>Proponer estrategias en la formulación, verificar su elaboración y realizar seguimiento semestral al desarrollo de  las acciones establecidas en los planes de mejoramiento por pruebas SABER 11 de los establecimientos de educación formal.</v>
      </c>
      <c r="K234" s="11" t="str">
        <f>IFERROR(IF(VLOOKUP(A234,[3]PRIORIZADOS!$A:$K,11,FALSE)="","",VLOOKUP(A234,[3]PRIORIZADOS!$A:$K,11,FALSE)),"")</f>
        <v>ANA ANDREA VARGAS GONZÁLEZ</v>
      </c>
      <c r="L234" s="11" t="str">
        <f>IFERROR(IF(VLOOKUP(A234,[3]PRIORIZADOS!$A:$L,12,FALSE)="","",VLOOKUP(A234,[3]PRIORIZADOS!$A:$L,12,FALSE)),"")</f>
        <v>JULIÁN FELIPE BERNAL GARZÓN</v>
      </c>
      <c r="M234" s="71">
        <f>IFERROR(IF(VLOOKUP(A234,[3]PRIORIZADOS!$A:$M,13,FALSE)="","",VLOOKUP(A234,[3]PRIORIZADOS!$A:$M,13,FALSE)),"")</f>
        <v>45748</v>
      </c>
      <c r="N234" s="71">
        <f>IFERROR(IF(VLOOKUP(A234,[3]PRIORIZADOS!$A:$N,14,FALSE)="","",VLOOKUP(A234,[3]PRIORIZADOS!$A:$N,14,FALSE)),"")</f>
        <v>45748</v>
      </c>
      <c r="O234" s="71">
        <f>IFERROR(IF(VLOOKUP(A234,[3]PRIORIZADOS!$A:$O,15,FALSE)="","",VLOOKUP(A234,[3]PRIORIZADOS!$A:$O,15,FALSE)),"")</f>
        <v>45748</v>
      </c>
      <c r="P234" s="11" t="str">
        <f>IFERROR(IF(VLOOKUP(A234,[3]PRIORIZADOS!$A:$P,16,FALSE)="","",VLOOKUP(A234,[3]PRIORIZADOS!$A:$P,16,FALSE)),"")</f>
        <v>Visitas de evaluación con fines de seguimiento</v>
      </c>
      <c r="Q234" s="122" t="s">
        <v>56</v>
      </c>
      <c r="R234" s="11" t="str">
        <f>IFERROR(IF(VLOOKUP(A234,[3]PRIORIZADOS!$A:$R,18,FALSE)="","",VLOOKUP(A234,[3]PRIORIZADOS!$A:$R,18,FALSE)),"")</f>
        <v>Se adelanta la revisión de los Resultados de las Pruebas Saber 11, encontrando que la IE se encuentra en Categoría A</v>
      </c>
      <c r="S234" s="11" t="str">
        <f>IFERROR(IF(VLOOKUP(A234,[3]PRIORIZADOS!$A:$S,19,FALSE)="","",VLOOKUP(A234,[3]PRIORIZADOS!$A:$S,19,FALSE)),"")</f>
        <v>Se aporta documento que la Institución educativa que compara diferentes vigencias y la mejora anual hasta llegar a la categoría A  en los resultados 2024</v>
      </c>
      <c r="T234" s="70" t="str">
        <f>IFERROR(IF(VLOOKUP(A234,[3]PRIORIZADOS!$A:$T,20,FALSE)="","",VLOOKUP(A234,[3]PRIORIZADOS!$A:$T,20,FALSE)),"")</f>
        <v>No</v>
      </c>
      <c r="U234" s="11" t="str">
        <f>IFERROR(IF(VLOOKUP(A234,[3]PRIORIZADOS!$A:$U,21,FALSE)="","",VLOOKUP(A234,[3]PRIORIZADOS!$A:$U,21,FALSE)),"")</f>
        <v>Se acordó revisar nuevamente el documento en el mes de agosto de 2025 y generar espacios de asesoría, conforme lo requiera la IE</v>
      </c>
    </row>
    <row r="235" spans="1:21" s="1" customFormat="1" ht="72">
      <c r="A235" s="69">
        <f>IF([3]PRIORIZADOS!A46="","",[3]PRIORIZADOS!A46)</f>
        <v>241</v>
      </c>
      <c r="B235" s="70">
        <f>IFERROR(IF(VLOOKUP(A235,[3]PRIORIZADOS!$A:$B,2,FALSE)="","",VLOOKUP(A235,[3]PRIORIZADOS!$A:$B,2,FALSE)),"")</f>
        <v>5</v>
      </c>
      <c r="C235" s="11" t="str">
        <f>IFERROR(IF(VLOOKUP(A235,[3]PRIORIZADOS!$A:$C,3,FALSE)="","",VLOOKUP(A235,[3]PRIORIZADOS!$A:$C,3,FALSE)),"")</f>
        <v>BOSA</v>
      </c>
      <c r="D235" s="11" t="str">
        <f>IFERROR(IF(VLOOKUP(A235,[3]PRIORIZADOS!$A:$D,4,FALSE)="","",VLOOKUP(A235,[3]PRIORIZADOS!$A:$D,4,FALSE)),"")</f>
        <v>PRIVADO</v>
      </c>
      <c r="E235" s="11" t="str">
        <f>IFERROR(IF(VLOOKUP(A235,[3]PRIORIZADOS!$A:$E,5,FALSE)="","",VLOOKUP(A235,[3]PRIORIZADOS!$A:$E,5,FALSE)),"")</f>
        <v>EPBM</v>
      </c>
      <c r="F235" s="11" t="str">
        <f>IFERROR(IF(VLOOKUP(A235,[3]PRIORIZADOS!$A:$F,6,FALSE)="","",VLOOKUP(A235,[3]PRIORIZADOS!$A:$F,6,FALSE)),"")</f>
        <v>GIMNASIO_CACERES</v>
      </c>
      <c r="G235" s="11" t="str">
        <f>IFERROR(IF(VLOOKUP(A235,[3]PRIORIZADOS!$A:$G,7,FALSE)="","",VLOOKUP(A235,[3]PRIORIZADOS!$A:$G,7,FALSE)),"")</f>
        <v>GIMNASIO CACERES</v>
      </c>
      <c r="H235" s="11" t="str">
        <f>IFERROR(IF(VLOOKUP(A235,[3]PRIORIZADOS!$A:$H,8,FALSE)="","",VLOOKUP(A235,[3]PRIORIZADOS!$A:$H,8,FALSE)),"")</f>
        <v>Autoevaluación Institucional y Pruebas SABER 11</v>
      </c>
      <c r="I235" s="11" t="str">
        <f>IFERROR(IF(VLOOKUP(A235,[3]PRIORIZADOS!$A:$I,9,FALSE)="","",VLOOKUP(A235,[3]PRIORIZADOS!$A:$I,9,FALSE)),"")</f>
        <v>SEGUIMIENTO_Y_SUPERVISIÓN.</v>
      </c>
      <c r="J235" s="11" t="str">
        <f>IFERROR(IF(VLOOKUP(A235,[3]PRIORIZADOS!$A:$J,10,FALSE)="","",VLOOKUP(A235,[3]PRIORIZADOS!$A:$J,10,FALSE)),"")</f>
        <v xml:space="preserve">Verificar la implementación por parte de los colegios, de acciones realizadas para la prevención y atención de las situaciones de convivencia en el entorno escolar, según lo establecido en la Directiva 01 de 2022 del MEN. </v>
      </c>
      <c r="K235" s="11" t="str">
        <f>IFERROR(IF(VLOOKUP(A235,[3]PRIORIZADOS!$A:$K,11,FALSE)="","",VLOOKUP(A235,[3]PRIORIZADOS!$A:$K,11,FALSE)),"")</f>
        <v>ANA ANDREA VARGAS GONZÁLEZ</v>
      </c>
      <c r="L235" s="11" t="str">
        <f>IFERROR(IF(VLOOKUP(A235,[3]PRIORIZADOS!$A:$L,12,FALSE)="","",VLOOKUP(A235,[3]PRIORIZADOS!$A:$L,12,FALSE)),"")</f>
        <v>JULIÁN FELIPE BERNAL GARZÓN</v>
      </c>
      <c r="M235" s="71">
        <f>IFERROR(IF(VLOOKUP(A235,[3]PRIORIZADOS!$A:$M,13,FALSE)="","",VLOOKUP(A235,[3]PRIORIZADOS!$A:$M,13,FALSE)),"")</f>
        <v>45748</v>
      </c>
      <c r="N235" s="71">
        <f>IFERROR(IF(VLOOKUP(A235,[3]PRIORIZADOS!$A:$N,14,FALSE)="","",VLOOKUP(A235,[3]PRIORIZADOS!$A:$N,14,FALSE)),"")</f>
        <v>45748</v>
      </c>
      <c r="O235" s="71">
        <f>IFERROR(IF(VLOOKUP(A235,[3]PRIORIZADOS!$A:$O,15,FALSE)="","",VLOOKUP(A235,[3]PRIORIZADOS!$A:$O,15,FALSE)),"")</f>
        <v>45748</v>
      </c>
      <c r="P235" s="11" t="str">
        <f>IFERROR(IF(VLOOKUP(A235,[3]PRIORIZADOS!$A:$P,16,FALSE)="","",VLOOKUP(A235,[3]PRIORIZADOS!$A:$P,16,FALSE)),"")</f>
        <v>Visitas de evaluación con fines de mejoramiento</v>
      </c>
      <c r="Q235" s="122" t="s">
        <v>56</v>
      </c>
      <c r="R235" s="11" t="str">
        <f>IFERROR(IF(VLOOKUP(A235,[3]PRIORIZADOS!$A:$R,18,FALSE)="","",VLOOKUP(A235,[3]PRIORIZADOS!$A:$R,18,FALSE)),"")</f>
        <v>Se verifica la implementación de acciones  realizadas para la prevención como lo es la verificación de inhabilidades por delitos sexuales en el sistema de la Policía Nacional.</v>
      </c>
      <c r="S235" s="11" t="str">
        <f>IFERROR(IF(VLOOKUP(A235,[3]PRIORIZADOS!$A:$S,19,FALSE)="","",VLOOKUP(A235,[3]PRIORIZADOS!$A:$S,19,FALSE)),"")</f>
        <v>Como acción de verificación se solicita implementar  la autorización de directivos, docentes y administrativos para las consultas de antecedentes en los sistemas que se requieran al momento de la vinculación</v>
      </c>
      <c r="T235" s="70" t="str">
        <f>IFERROR(IF(VLOOKUP(A235,[3]PRIORIZADOS!$A:$T,20,FALSE)="","",VLOOKUP(A235,[3]PRIORIZADOS!$A:$T,20,FALSE)),"")</f>
        <v>No</v>
      </c>
      <c r="U235" s="11" t="str">
        <f>IFERROR(IF(VLOOKUP(A235,[3]PRIORIZADOS!$A:$U,21,FALSE)="","",VLOOKUP(A235,[3]PRIORIZADOS!$A:$U,21,FALSE)),"")</f>
        <v>Verificar que la IE cuente con las respectivas autorizaciones para las consultas de antedecentes del personal vinculado.</v>
      </c>
    </row>
    <row r="236" spans="1:21" s="1" customFormat="1" ht="72">
      <c r="A236" s="69">
        <f>IF([3]PRIORIZADOS!A47="","",[3]PRIORIZADOS!A47)</f>
        <v>242</v>
      </c>
      <c r="B236" s="70">
        <f>IFERROR(IF(VLOOKUP(A236,[3]PRIORIZADOS!$A:$B,2,FALSE)="","",VLOOKUP(A236,[3]PRIORIZADOS!$A:$B,2,FALSE)),"")</f>
        <v>5</v>
      </c>
      <c r="C236" s="11" t="str">
        <f>IFERROR(IF(VLOOKUP(A236,[3]PRIORIZADOS!$A:$C,3,FALSE)="","",VLOOKUP(A236,[3]PRIORIZADOS!$A:$C,3,FALSE)),"")</f>
        <v>BOSA</v>
      </c>
      <c r="D236" s="11" t="str">
        <f>IFERROR(IF(VLOOKUP(A236,[3]PRIORIZADOS!$A:$D,4,FALSE)="","",VLOOKUP(A236,[3]PRIORIZADOS!$A:$D,4,FALSE)),"")</f>
        <v>PRIVADO</v>
      </c>
      <c r="E236" s="11" t="str">
        <f>IFERROR(IF(VLOOKUP(A236,[3]PRIORIZADOS!$A:$E,5,FALSE)="","",VLOOKUP(A236,[3]PRIORIZADOS!$A:$E,5,FALSE)),"")</f>
        <v>EPBM</v>
      </c>
      <c r="F236" s="11" t="str">
        <f>IFERROR(IF(VLOOKUP(A236,[3]PRIORIZADOS!$A:$F,6,FALSE)="","",VLOOKUP(A236,[3]PRIORIZADOS!$A:$F,6,FALSE)),"")</f>
        <v>GIMNASIO_CACERES</v>
      </c>
      <c r="G236" s="11" t="str">
        <f>IFERROR(IF(VLOOKUP(A236,[3]PRIORIZADOS!$A:$G,7,FALSE)="","",VLOOKUP(A236,[3]PRIORIZADOS!$A:$G,7,FALSE)),"")</f>
        <v>GIMNASIO CACERES</v>
      </c>
      <c r="H236" s="11" t="str">
        <f>IFERROR(IF(VLOOKUP(A236,[3]PRIORIZADOS!$A:$H,8,FALSE)="","",VLOOKUP(A236,[3]PRIORIZADOS!$A:$H,8,FALSE)),"")</f>
        <v>Autoevaluación Institucional y Pruebas SABER 11</v>
      </c>
      <c r="I236" s="11" t="str">
        <f>IFERROR(IF(VLOOKUP(A236,[3]PRIORIZADOS!$A:$I,9,FALSE)="","",VLOOKUP(A236,[3]PRIORIZADOS!$A:$I,9,FALSE)),"")</f>
        <v>SEGUIMIENTO_Y_SUPERVISIÓN.</v>
      </c>
      <c r="J236" s="11" t="str">
        <f>IFERROR(IF(VLOOKUP(A236,[3]PRIORIZADOS!$A:$J,10,FALSE)="","",VLOOKUP(A236,[3]PRIORIZADOS!$A:$J,10,FALSE)),"")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6" s="11" t="str">
        <f>IFERROR(IF(VLOOKUP(A236,[3]PRIORIZADOS!$A:$K,11,FALSE)="","",VLOOKUP(A236,[3]PRIORIZADOS!$A:$K,11,FALSE)),"")</f>
        <v>ANA ANDREA VARGAS GONZÁLEZ</v>
      </c>
      <c r="L236" s="11" t="str">
        <f>IFERROR(IF(VLOOKUP(A236,[3]PRIORIZADOS!$A:$L,12,FALSE)="","",VLOOKUP(A236,[3]PRIORIZADOS!$A:$L,12,FALSE)),"")</f>
        <v>JULIÁN FELIPE BERNAL GARZÓN</v>
      </c>
      <c r="M236" s="71">
        <f>IFERROR(IF(VLOOKUP(A236,[3]PRIORIZADOS!$A:$M,13,FALSE)="","",VLOOKUP(A236,[3]PRIORIZADOS!$A:$M,13,FALSE)),"")</f>
        <v>45748</v>
      </c>
      <c r="N236" s="71">
        <f>IFERROR(IF(VLOOKUP(A236,[3]PRIORIZADOS!$A:$N,14,FALSE)="","",VLOOKUP(A236,[3]PRIORIZADOS!$A:$N,14,FALSE)),"")</f>
        <v>45748</v>
      </c>
      <c r="O236" s="71">
        <f>IFERROR(IF(VLOOKUP(A236,[3]PRIORIZADOS!$A:$O,15,FALSE)="","",VLOOKUP(A236,[3]PRIORIZADOS!$A:$O,15,FALSE)),"")</f>
        <v>45748</v>
      </c>
      <c r="P236" s="11" t="str">
        <f>IFERROR(IF(VLOOKUP(A236,[3]PRIORIZADOS!$A:$P,16,FALSE)="","",VLOOKUP(A236,[3]PRIORIZADOS!$A:$P,16,FALSE)),"")</f>
        <v>Visitas de evaluación con fines de mejoramiento</v>
      </c>
      <c r="Q236" s="122" t="s">
        <v>56</v>
      </c>
      <c r="R236" s="11" t="str">
        <f>IFERROR(IF(VLOOKUP(A236,[3]PRIORIZADOS!$A:$R,18,FALSE)="","",VLOOKUP(A236,[3]PRIORIZADOS!$A:$R,18,FALSE)),"")</f>
        <v>Al revisar la Plataforma SIMAT, no hay estudiantes marcados en la Plataforma con discapacidad</v>
      </c>
      <c r="S236" s="11" t="str">
        <f>IFERROR(IF(VLOOKUP(A236,[3]PRIORIZADOS!$A:$S,19,FALSE)="","",VLOOKUP(A236,[3]PRIORIZADOS!$A:$S,19,FALSE)),"")</f>
        <v>La Institución Educativa se compromete a remitir el Documento Institucional del Plan Individual de Ajustes Razonables PIAR</v>
      </c>
      <c r="T236" s="70" t="str">
        <f>IFERROR(IF(VLOOKUP(A236,[3]PRIORIZADOS!$A:$T,20,FALSE)="","",VLOOKUP(A236,[3]PRIORIZADOS!$A:$T,20,FALSE)),"")</f>
        <v>No</v>
      </c>
      <c r="U236" s="11" t="str">
        <f>IFERROR(IF(VLOOKUP(A236,[3]PRIORIZADOS!$A:$U,21,FALSE)="","",VLOOKUP(A236,[3]PRIORIZADOS!$A:$U,21,FALSE)),"")</f>
        <v>Verificar la información en SIMAT</v>
      </c>
    </row>
    <row r="237" spans="1:21" s="1" customFormat="1" ht="84">
      <c r="A237" s="69">
        <f>IF([3]PRIORIZADOS!A48="","",[3]PRIORIZADOS!A48)</f>
        <v>243</v>
      </c>
      <c r="B237" s="70">
        <f>IFERROR(IF(VLOOKUP(A237,[3]PRIORIZADOS!$A:$B,2,FALSE)="","",VLOOKUP(A237,[3]PRIORIZADOS!$A:$B,2,FALSE)),"")</f>
        <v>5</v>
      </c>
      <c r="C237" s="11" t="str">
        <f>IFERROR(IF(VLOOKUP(A237,[3]PRIORIZADOS!$A:$C,3,FALSE)="","",VLOOKUP(A237,[3]PRIORIZADOS!$A:$C,3,FALSE)),"")</f>
        <v>BOSA</v>
      </c>
      <c r="D237" s="11" t="str">
        <f>IFERROR(IF(VLOOKUP(A237,[3]PRIORIZADOS!$A:$D,4,FALSE)="","",VLOOKUP(A237,[3]PRIORIZADOS!$A:$D,4,FALSE)),"")</f>
        <v>PRIVADO</v>
      </c>
      <c r="E237" s="11" t="str">
        <f>IFERROR(IF(VLOOKUP(A237,[3]PRIORIZADOS!$A:$E,5,FALSE)="","",VLOOKUP(A237,[3]PRIORIZADOS!$A:$E,5,FALSE)),"")</f>
        <v>EPBM</v>
      </c>
      <c r="F237" s="11" t="str">
        <f>IFERROR(IF(VLOOKUP(A237,[3]PRIORIZADOS!$A:$F,6,FALSE)="","",VLOOKUP(A237,[3]PRIORIZADOS!$A:$F,6,FALSE)),"")</f>
        <v>GIMNASIO_CACERES</v>
      </c>
      <c r="G237" s="11" t="str">
        <f>IFERROR(IF(VLOOKUP(A237,[3]PRIORIZADOS!$A:$G,7,FALSE)="","",VLOOKUP(A237,[3]PRIORIZADOS!$A:$G,7,FALSE)),"")</f>
        <v>GIMNASIO CACERES</v>
      </c>
      <c r="H237" s="11" t="str">
        <f>IFERROR(IF(VLOOKUP(A237,[3]PRIORIZADOS!$A:$H,8,FALSE)="","",VLOOKUP(A237,[3]PRIORIZADOS!$A:$H,8,FALSE)),"")</f>
        <v>Autoevaluación Institucional y Pruebas SABER 11</v>
      </c>
      <c r="I237" s="11" t="str">
        <f>IFERROR(IF(VLOOKUP(A237,[3]PRIORIZADOS!$A:$I,9,FALSE)="","",VLOOKUP(A237,[3]PRIORIZADOS!$A:$I,9,FALSE)),"")</f>
        <v>EVALUACIÓN_CON_FINES_DE_MEJORAMIENTO.</v>
      </c>
      <c r="J237" s="11" t="str">
        <f>IFERROR(IF(VLOOKUP(A237,[3]PRIORIZADOS!$A:$J,10,FALSE)="","",VLOOKUP(A237,[3]PRIORIZADOS!$A:$J,10,FALSE)),"")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7" s="11" t="str">
        <f>IFERROR(IF(VLOOKUP(A237,[3]PRIORIZADOS!$A:$K,11,FALSE)="","",VLOOKUP(A237,[3]PRIORIZADOS!$A:$K,11,FALSE)),"")</f>
        <v>ANA ANDREA VARGAS GONZÁLEZ</v>
      </c>
      <c r="L237" s="11" t="str">
        <f>IFERROR(IF(VLOOKUP(A237,[3]PRIORIZADOS!$A:$L,12,FALSE)="","",VLOOKUP(A237,[3]PRIORIZADOS!$A:$L,12,FALSE)),"")</f>
        <v>JULIÁN FELIPE BERNAL GARZÓN</v>
      </c>
      <c r="M237" s="71">
        <f>IFERROR(IF(VLOOKUP(A237,[3]PRIORIZADOS!$A:$M,13,FALSE)="","",VLOOKUP(A237,[3]PRIORIZADOS!$A:$M,13,FALSE)),"")</f>
        <v>45748</v>
      </c>
      <c r="N237" s="71">
        <f>IFERROR(IF(VLOOKUP(A237,[3]PRIORIZADOS!$A:$N,14,FALSE)="","",VLOOKUP(A237,[3]PRIORIZADOS!$A:$N,14,FALSE)),"")</f>
        <v>45748</v>
      </c>
      <c r="O237" s="71">
        <f>IFERROR(IF(VLOOKUP(A237,[3]PRIORIZADOS!$A:$O,15,FALSE)="","",VLOOKUP(A237,[3]PRIORIZADOS!$A:$O,15,FALSE)),"")</f>
        <v>45748</v>
      </c>
      <c r="P237" s="11" t="str">
        <f>IFERROR(IF(VLOOKUP(A237,[3]PRIORIZADOS!$A:$P,16,FALSE)="","",VLOOKUP(A237,[3]PRIORIZADOS!$A:$P,16,FALSE)),"")</f>
        <v>Visitas de evaluación con fines de mejoramiento</v>
      </c>
      <c r="Q237" s="122" t="s">
        <v>56</v>
      </c>
      <c r="R237" s="11" t="str">
        <f>IFERROR(IF(VLOOKUP(A237,[3]PRIORIZADOS!$A:$R,18,FALSE)="","",VLOOKUP(A237,[3]PRIORIZADOS!$A:$R,18,FALSE)),"")</f>
        <v>El Manual de Convivencia fue construido y adoptado de forma participativa e incluye los componentes generales, los diferentes enfoques y se encuentra conforme a lo establecido en el PEI y la normatividad vigente</v>
      </c>
      <c r="S237" s="11" t="str">
        <f>IFERROR(IF(VLOOKUP(A237,[3]PRIORIZADOS!$A:$S,19,FALSE)="","",VLOOKUP(A237,[3]PRIORIZADOS!$A:$S,19,FALSE)),"")</f>
        <v>Como acción de verificación la Institución Educativa se compromete a remitir la versión actualizada del Manual de Convivencia a la vigencia 2024 -2025</v>
      </c>
      <c r="T237" s="70" t="str">
        <f>IFERROR(IF(VLOOKUP(A237,[3]PRIORIZADOS!$A:$T,20,FALSE)="","",VLOOKUP(A237,[3]PRIORIZADOS!$A:$T,20,FALSE)),"")</f>
        <v>No</v>
      </c>
      <c r="U237" s="11" t="str">
        <f>IFERROR(IF(VLOOKUP(A237,[3]PRIORIZADOS!$A:$U,21,FALSE)="","",VLOOKUP(A237,[3]PRIORIZADOS!$A:$U,21,FALSE)),"")</f>
        <v>Verificar nuevamente el documento en el mes de agosto de 2025 y generar espacios de asesoría, conforme lo requiera la IE</v>
      </c>
    </row>
    <row r="238" spans="1:21" s="1" customFormat="1" ht="72">
      <c r="A238" s="69">
        <f>IF([3]PRIORIZADOS!A49="","",[3]PRIORIZADOS!A49)</f>
        <v>244</v>
      </c>
      <c r="B238" s="70">
        <f>IFERROR(IF(VLOOKUP(A238,[3]PRIORIZADOS!$A:$B,2,FALSE)="","",VLOOKUP(A238,[3]PRIORIZADOS!$A:$B,2,FALSE)),"")</f>
        <v>5</v>
      </c>
      <c r="C238" s="11" t="str">
        <f>IFERROR(IF(VLOOKUP(A238,[3]PRIORIZADOS!$A:$C,3,FALSE)="","",VLOOKUP(A238,[3]PRIORIZADOS!$A:$C,3,FALSE)),"")</f>
        <v>BOSA</v>
      </c>
      <c r="D238" s="11" t="str">
        <f>IFERROR(IF(VLOOKUP(A238,[3]PRIORIZADOS!$A:$D,4,FALSE)="","",VLOOKUP(A238,[3]PRIORIZADOS!$A:$D,4,FALSE)),"")</f>
        <v>PRIVADO</v>
      </c>
      <c r="E238" s="11" t="str">
        <f>IFERROR(IF(VLOOKUP(A238,[3]PRIORIZADOS!$A:$E,5,FALSE)="","",VLOOKUP(A238,[3]PRIORIZADOS!$A:$E,5,FALSE)),"")</f>
        <v>EPBM</v>
      </c>
      <c r="F238" s="11" t="str">
        <f>IFERROR(IF(VLOOKUP(A238,[3]PRIORIZADOS!$A:$F,6,FALSE)="","",VLOOKUP(A238,[3]PRIORIZADOS!$A:$F,6,FALSE)),"")</f>
        <v>GIMNASIO_CACERES</v>
      </c>
      <c r="G238" s="11" t="str">
        <f>IFERROR(IF(VLOOKUP(A238,[3]PRIORIZADOS!$A:$G,7,FALSE)="","",VLOOKUP(A238,[3]PRIORIZADOS!$A:$G,7,FALSE)),"")</f>
        <v>GIMNASIO CACERES</v>
      </c>
      <c r="H238" s="11" t="str">
        <f>IFERROR(IF(VLOOKUP(A238,[3]PRIORIZADOS!$A:$H,8,FALSE)="","",VLOOKUP(A238,[3]PRIORIZADOS!$A:$H,8,FALSE)),"")</f>
        <v>Autoevaluación Institucional y Pruebas SABER 11</v>
      </c>
      <c r="I238" s="11" t="str">
        <f>IFERROR(IF(VLOOKUP(A238,[3]PRIORIZADOS!$A:$I,9,FALSE)="","",VLOOKUP(A238,[3]PRIORIZADOS!$A:$I,9,FALSE)),"")</f>
        <v>EVALUACIÓN_CON_FINES_DE_MEJORAMIENTO.</v>
      </c>
      <c r="J238" s="11" t="str">
        <f>IFERROR(IF(VLOOKUP(A238,[3]PRIORIZADOS!$A:$J,10,FALSE)="","",VLOOKUP(A238,[3]PRIORIZADOS!$A:$J,10,FALSE)),"")</f>
        <v>Revisar la actualización, socialización e implementación del Sistema Institucional de Evaluación de Estudiantes - SIEE, en articulación con la actualización del PEI y la normatividad vigente.</v>
      </c>
      <c r="K238" s="11" t="str">
        <f>IFERROR(IF(VLOOKUP(A238,[3]PRIORIZADOS!$A:$K,11,FALSE)="","",VLOOKUP(A238,[3]PRIORIZADOS!$A:$K,11,FALSE)),"")</f>
        <v>ANA ANDREA VARGAS GONZÁLEZ</v>
      </c>
      <c r="L238" s="11" t="str">
        <f>IFERROR(IF(VLOOKUP(A238,[3]PRIORIZADOS!$A:$L,12,FALSE)="","",VLOOKUP(A238,[3]PRIORIZADOS!$A:$L,12,FALSE)),"")</f>
        <v>JULIÁN FELIPE BERNAL GARZÓN</v>
      </c>
      <c r="M238" s="71">
        <f>IFERROR(IF(VLOOKUP(A238,[3]PRIORIZADOS!$A:$M,13,FALSE)="","",VLOOKUP(A238,[3]PRIORIZADOS!$A:$M,13,FALSE)),"")</f>
        <v>45748</v>
      </c>
      <c r="N238" s="71">
        <f>IFERROR(IF(VLOOKUP(A238,[3]PRIORIZADOS!$A:$N,14,FALSE)="","",VLOOKUP(A238,[3]PRIORIZADOS!$A:$N,14,FALSE)),"")</f>
        <v>45748</v>
      </c>
      <c r="O238" s="71">
        <f>IFERROR(IF(VLOOKUP(A238,[3]PRIORIZADOS!$A:$O,15,FALSE)="","",VLOOKUP(A238,[3]PRIORIZADOS!$A:$O,15,FALSE)),"")</f>
        <v>45748</v>
      </c>
      <c r="P238" s="11" t="str">
        <f>IFERROR(IF(VLOOKUP(A238,[3]PRIORIZADOS!$A:$P,16,FALSE)="","",VLOOKUP(A238,[3]PRIORIZADOS!$A:$P,16,FALSE)),"")</f>
        <v>Visitas de evaluación con fines de mejoramiento</v>
      </c>
      <c r="Q238" s="122" t="s">
        <v>56</v>
      </c>
      <c r="R238" s="11" t="str">
        <f>IFERROR(IF(VLOOKUP(A238,[3]PRIORIZADOS!$A:$R,18,FALSE)="","",VLOOKUP(A238,[3]PRIORIZADOS!$A:$R,18,FALSE)),"")</f>
        <v>Se evidencia el Sistema Institucional de Evaluación de Estudiantes - SIEE, actualizado para la vigencia 2025. Fue construido en articulación con el Consejo Directivo y la comunidad educativa desde el año 2019 y se actualiza cada 2 años</v>
      </c>
      <c r="S238" s="11" t="str">
        <f>IFERROR(IF(VLOOKUP(A238,[3]PRIORIZADOS!$A:$S,19,FALSE)="","",VLOOKUP(A238,[3]PRIORIZADOS!$A:$S,19,FALSE)),"")</f>
        <v>Como acción de verificación la Institución Educativa se compromete a remitir la versión actualizada del  Sistema institucional de evaluación de los estudiantes- SIEE</v>
      </c>
      <c r="T238" s="70" t="str">
        <f>IFERROR(IF(VLOOKUP(A238,[3]PRIORIZADOS!$A:$T,20,FALSE)="","",VLOOKUP(A238,[3]PRIORIZADOS!$A:$T,20,FALSE)),"")</f>
        <v>No</v>
      </c>
      <c r="U238" s="11" t="str">
        <f>IFERROR(IF(VLOOKUP(A238,[3]PRIORIZADOS!$A:$U,21,FALSE)="","",VLOOKUP(A238,[3]PRIORIZADOS!$A:$U,21,FALSE)),"")</f>
        <v>Verificar nuevamente el documento en el mes de agosto de 2025 y generar espacios de asesoría, conforme lo requiera la IE</v>
      </c>
    </row>
    <row r="239" spans="1:21" s="1" customFormat="1" ht="48">
      <c r="A239" s="69">
        <f>IF([3]PRIORIZADOS!A50="","",[3]PRIORIZADOS!A50)</f>
        <v>245</v>
      </c>
      <c r="B239" s="70">
        <f>IFERROR(IF(VLOOKUP(A239,[3]PRIORIZADOS!$A:$B,2,FALSE)="","",VLOOKUP(A239,[3]PRIORIZADOS!$A:$B,2,FALSE)),"")</f>
        <v>5</v>
      </c>
      <c r="C239" s="11" t="str">
        <f>IFERROR(IF(VLOOKUP(A239,[3]PRIORIZADOS!$A:$C,3,FALSE)="","",VLOOKUP(A239,[3]PRIORIZADOS!$A:$C,3,FALSE)),"")</f>
        <v>BOSA</v>
      </c>
      <c r="D239" s="11" t="str">
        <f>IFERROR(IF(VLOOKUP(A239,[3]PRIORIZADOS!$A:$D,4,FALSE)="","",VLOOKUP(A239,[3]PRIORIZADOS!$A:$D,4,FALSE)),"")</f>
        <v>PRIVADO</v>
      </c>
      <c r="E239" s="11" t="str">
        <f>IFERROR(IF(VLOOKUP(A239,[3]PRIORIZADOS!$A:$E,5,FALSE)="","",VLOOKUP(A239,[3]PRIORIZADOS!$A:$E,5,FALSE)),"")</f>
        <v>EPBM</v>
      </c>
      <c r="F239" s="11" t="str">
        <f>IFERROR(IF(VLOOKUP(A239,[3]PRIORIZADOS!$A:$F,6,FALSE)="","",VLOOKUP(A239,[3]PRIORIZADOS!$A:$F,6,FALSE)),"")</f>
        <v>GIMNASIO_CACERES</v>
      </c>
      <c r="G239" s="11" t="str">
        <f>IFERROR(IF(VLOOKUP(A239,[3]PRIORIZADOS!$A:$G,7,FALSE)="","",VLOOKUP(A239,[3]PRIORIZADOS!$A:$G,7,FALSE)),"")</f>
        <v>GIMNASIO CACERES</v>
      </c>
      <c r="H239" s="11" t="str">
        <f>IFERROR(IF(VLOOKUP(A239,[3]PRIORIZADOS!$A:$H,8,FALSE)="","",VLOOKUP(A239,[3]PRIORIZADOS!$A:$H,8,FALSE)),"")</f>
        <v>Autoevaluación Institucional y Pruebas SABER 11</v>
      </c>
      <c r="I239" s="11" t="str">
        <f>IFERROR(IF(VLOOKUP(A239,[3]PRIORIZADOS!$A:$I,9,FALSE)="","",VLOOKUP(A239,[3]PRIORIZADOS!$A:$I,9,FALSE)),"")</f>
        <v>EVALUACIÓN_CON_FINES_DE_MEJORAMIENTO.</v>
      </c>
      <c r="J239" s="11" t="str">
        <f>IFERROR(IF(VLOOKUP(A239,[3]PRIORIZADOS!$A:$J,10,FALSE)="","",VLOOKUP(A239,[3]PRIORIZADOS!$A:$J,10,FALSE)),"")</f>
        <v>Revisar el calendario escolar, jornada escolar, la intensidad horaria mínima anual en cada nivel y las modificaciones que se realicen al mismo, de acuerdo con lo previsto en la normatividad vigente.</v>
      </c>
      <c r="K239" s="11" t="str">
        <f>IFERROR(IF(VLOOKUP(A239,[3]PRIORIZADOS!$A:$K,11,FALSE)="","",VLOOKUP(A239,[3]PRIORIZADOS!$A:$K,11,FALSE)),"")</f>
        <v>ANA ANDREA VARGAS GONZÁLEZ</v>
      </c>
      <c r="L239" s="11" t="str">
        <f>IFERROR(IF(VLOOKUP(A239,[3]PRIORIZADOS!$A:$L,12,FALSE)="","",VLOOKUP(A239,[3]PRIORIZADOS!$A:$L,12,FALSE)),"")</f>
        <v>JULIÁN FELIPE BERNAL GARZÓN</v>
      </c>
      <c r="M239" s="71">
        <f>IFERROR(IF(VLOOKUP(A239,[3]PRIORIZADOS!$A:$M,13,FALSE)="","",VLOOKUP(A239,[3]PRIORIZADOS!$A:$M,13,FALSE)),"")</f>
        <v>45748</v>
      </c>
      <c r="N239" s="71">
        <f>IFERROR(IF(VLOOKUP(A239,[3]PRIORIZADOS!$A:$N,14,FALSE)="","",VLOOKUP(A239,[3]PRIORIZADOS!$A:$N,14,FALSE)),"")</f>
        <v>45748</v>
      </c>
      <c r="O239" s="71">
        <f>IFERROR(IF(VLOOKUP(A239,[3]PRIORIZADOS!$A:$O,15,FALSE)="","",VLOOKUP(A239,[3]PRIORIZADOS!$A:$O,15,FALSE)),"")</f>
        <v>45748</v>
      </c>
      <c r="P239" s="11" t="str">
        <f>IFERROR(IF(VLOOKUP(A239,[3]PRIORIZADOS!$A:$P,16,FALSE)="","",VLOOKUP(A239,[3]PRIORIZADOS!$A:$P,16,FALSE)),"")</f>
        <v>Visitas de evaluación con fines de mejoramiento</v>
      </c>
      <c r="Q239" s="122" t="s">
        <v>56</v>
      </c>
      <c r="R239" s="11" t="str">
        <f>IFERROR(IF(VLOOKUP(A239,[3]PRIORIZADOS!$A:$R,18,FALSE)="","",VLOOKUP(A239,[3]PRIORIZADOS!$A:$R,18,FALSE)),"")</f>
        <v>El calendario escolar, jornada escolar, la intensidad horaria mínima anual en cada nivel se encuentran conforme lo previsto en la normatividad vigente</v>
      </c>
      <c r="S239" s="11" t="str">
        <f>IFERROR(IF(VLOOKUP(A239,[3]PRIORIZADOS!$A:$S,19,FALSE)="","",VLOOKUP(A239,[3]PRIORIZADOS!$A:$S,19,FALSE)),"")</f>
        <v>Como acción de verificación la Institución Educativa se compromete a remitir la versión actualizada calendario escolar</v>
      </c>
      <c r="T239" s="70" t="str">
        <f>IFERROR(IF(VLOOKUP(A239,[3]PRIORIZADOS!$A:$T,20,FALSE)="","",VLOOKUP(A239,[3]PRIORIZADOS!$A:$T,20,FALSE)),"")</f>
        <v>No</v>
      </c>
      <c r="U239" s="11" t="str">
        <f>IFERROR(IF(VLOOKUP(A239,[3]PRIORIZADOS!$A:$U,21,FALSE)="","",VLOOKUP(A239,[3]PRIORIZADOS!$A:$U,21,FALSE)),"")</f>
        <v>Verificar nuevamente el documento en el mes de agosto de 2025 y generar espacios de asesoría, conforme lo requiera la IE</v>
      </c>
    </row>
    <row r="240" spans="1:21" s="1" customFormat="1" ht="48">
      <c r="A240" s="69">
        <f>IF([3]PRIORIZADOS!A51="","",[3]PRIORIZADOS!A51)</f>
        <v>246</v>
      </c>
      <c r="B240" s="70">
        <f>IFERROR(IF(VLOOKUP(A240,[3]PRIORIZADOS!$A:$B,2,FALSE)="","",VLOOKUP(A240,[3]PRIORIZADOS!$A:$B,2,FALSE)),"")</f>
        <v>5</v>
      </c>
      <c r="C240" s="11" t="str">
        <f>IFERROR(IF(VLOOKUP(A240,[3]PRIORIZADOS!$A:$C,3,FALSE)="","",VLOOKUP(A240,[3]PRIORIZADOS!$A:$C,3,FALSE)),"")</f>
        <v>BOSA</v>
      </c>
      <c r="D240" s="11" t="str">
        <f>IFERROR(IF(VLOOKUP(A240,[3]PRIORIZADOS!$A:$D,4,FALSE)="","",VLOOKUP(A240,[3]PRIORIZADOS!$A:$D,4,FALSE)),"")</f>
        <v>PRIVADO</v>
      </c>
      <c r="E240" s="11" t="str">
        <f>IFERROR(IF(VLOOKUP(A240,[3]PRIORIZADOS!$A:$E,5,FALSE)="","",VLOOKUP(A240,[3]PRIORIZADOS!$A:$E,5,FALSE)),"")</f>
        <v>EPBM</v>
      </c>
      <c r="F240" s="11" t="str">
        <f>IFERROR(IF(VLOOKUP(A240,[3]PRIORIZADOS!$A:$F,6,FALSE)="","",VLOOKUP(A240,[3]PRIORIZADOS!$A:$F,6,FALSE)),"")</f>
        <v>GIMNASIO_CACERES</v>
      </c>
      <c r="G240" s="11" t="str">
        <f>IFERROR(IF(VLOOKUP(A240,[3]PRIORIZADOS!$A:$G,7,FALSE)="","",VLOOKUP(A240,[3]PRIORIZADOS!$A:$G,7,FALSE)),"")</f>
        <v>GIMNASIO CACERES</v>
      </c>
      <c r="H240" s="11" t="str">
        <f>IFERROR(IF(VLOOKUP(A240,[3]PRIORIZADOS!$A:$H,8,FALSE)="","",VLOOKUP(A240,[3]PRIORIZADOS!$A:$H,8,FALSE)),"")</f>
        <v>Autoevaluación Institucional y Pruebas SABER 11</v>
      </c>
      <c r="I240" s="11" t="str">
        <f>IFERROR(IF(VLOOKUP(A240,[3]PRIORIZADOS!$A:$I,9,FALSE)="","",VLOOKUP(A240,[3]PRIORIZADOS!$A:$I,9,FALSE)),"")</f>
        <v>EVALUACIÓN_CON_FINES_DE_MEJORAMIENTO.</v>
      </c>
      <c r="J240" s="11" t="str">
        <f>IFERROR(IF(VLOOKUP(A240,[3]PRIORIZADOS!$A:$J,10,FALSE)="","",VLOOKUP(A240,[3]PRIORIZADOS!$A:$J,10,FALSE)),"")</f>
        <v>Verificar el funcionamiento del Gobierno Escolar e instancias de participación con base en la información sobre conformación reportada por la institución educativa.</v>
      </c>
      <c r="K240" s="11" t="str">
        <f>IFERROR(IF(VLOOKUP(A240,[3]PRIORIZADOS!$A:$K,11,FALSE)="","",VLOOKUP(A240,[3]PRIORIZADOS!$A:$K,11,FALSE)),"")</f>
        <v>ANA ANDREA VARGAS GONZÁLEZ</v>
      </c>
      <c r="L240" s="11" t="str">
        <f>IFERROR(IF(VLOOKUP(A240,[3]PRIORIZADOS!$A:$L,12,FALSE)="","",VLOOKUP(A240,[3]PRIORIZADOS!$A:$L,12,FALSE)),"")</f>
        <v>JULIÁN FELIPE BERNAL GARZÓN</v>
      </c>
      <c r="M240" s="71">
        <f>IFERROR(IF(VLOOKUP(A240,[3]PRIORIZADOS!$A:$M,13,FALSE)="","",VLOOKUP(A240,[3]PRIORIZADOS!$A:$M,13,FALSE)),"")</f>
        <v>45748</v>
      </c>
      <c r="N240" s="71">
        <f>IFERROR(IF(VLOOKUP(A240,[3]PRIORIZADOS!$A:$N,14,FALSE)="","",VLOOKUP(A240,[3]PRIORIZADOS!$A:$N,14,FALSE)),"")</f>
        <v>45748</v>
      </c>
      <c r="O240" s="71">
        <f>IFERROR(IF(VLOOKUP(A240,[3]PRIORIZADOS!$A:$O,15,FALSE)="","",VLOOKUP(A240,[3]PRIORIZADOS!$A:$O,15,FALSE)),"")</f>
        <v>45748</v>
      </c>
      <c r="P240" s="11" t="str">
        <f>IFERROR(IF(VLOOKUP(A240,[3]PRIORIZADOS!$A:$P,16,FALSE)="","",VLOOKUP(A240,[3]PRIORIZADOS!$A:$P,16,FALSE)),"")</f>
        <v>Visitas de evaluación con fines de mejoramiento</v>
      </c>
      <c r="Q240" s="122" t="s">
        <v>56</v>
      </c>
      <c r="R240" s="11" t="str">
        <f>IFERROR(IF(VLOOKUP(A240,[3]PRIORIZADOS!$A:$R,18,FALSE)="","",VLOOKUP(A240,[3]PRIORIZADOS!$A:$R,18,FALSE)),"")</f>
        <v>La constitución del Gobierno Escolar y sus órganos de participación, se encuentra conforme a la Normativa Vigente</v>
      </c>
      <c r="S240" s="11" t="str">
        <f>IFERROR(IF(VLOOKUP(A240,[3]PRIORIZADOS!$A:$S,19,FALSE)="","",VLOOKUP(A240,[3]PRIORIZADOS!$A:$S,19,FALSE)),"")</f>
        <v>Continuar operando conforme funciones y reglamentos.</v>
      </c>
      <c r="T240" s="70" t="str">
        <f>IFERROR(IF(VLOOKUP(A240,[3]PRIORIZADOS!$A:$T,20,FALSE)="","",VLOOKUP(A240,[3]PRIORIZADOS!$A:$T,20,FALSE)),"")</f>
        <v>No</v>
      </c>
      <c r="U240" s="11" t="str">
        <f>IFERROR(IF(VLOOKUP(A240,[3]PRIORIZADOS!$A:$U,21,FALSE)="","",VLOOKUP(A240,[3]PRIORIZADOS!$A:$U,21,FALSE)),"")</f>
        <v>Verificar la conformación del Gobierno Escolar e instancias para la vigencia 2026 o antes si la IE lo requiere o se presenta solicitud o queja.</v>
      </c>
    </row>
    <row r="241" spans="1:21" s="1" customFormat="1" ht="60">
      <c r="A241" s="69">
        <f>IF([3]PRIORIZADOS!A52="","",[3]PRIORIZADOS!A52)</f>
        <v>247</v>
      </c>
      <c r="B241" s="70">
        <f>IFERROR(IF(VLOOKUP(A241,[3]PRIORIZADOS!$A:$B,2,FALSE)="","",VLOOKUP(A241,[3]PRIORIZADOS!$A:$B,2,FALSE)),"")</f>
        <v>5</v>
      </c>
      <c r="C241" s="11" t="str">
        <f>IFERROR(IF(VLOOKUP(A241,[3]PRIORIZADOS!$A:$C,3,FALSE)="","",VLOOKUP(A241,[3]PRIORIZADOS!$A:$C,3,FALSE)),"")</f>
        <v>BOSA</v>
      </c>
      <c r="D241" s="11" t="str">
        <f>IFERROR(IF(VLOOKUP(A241,[3]PRIORIZADOS!$A:$D,4,FALSE)="","",VLOOKUP(A241,[3]PRIORIZADOS!$A:$D,4,FALSE)),"")</f>
        <v>PRIVADO</v>
      </c>
      <c r="E241" s="11" t="str">
        <f>IFERROR(IF(VLOOKUP(A241,[3]PRIORIZADOS!$A:$E,5,FALSE)="","",VLOOKUP(A241,[3]PRIORIZADOS!$A:$E,5,FALSE)),"")</f>
        <v>EPBM</v>
      </c>
      <c r="F241" s="11" t="str">
        <f>IFERROR(IF(VLOOKUP(A241,[3]PRIORIZADOS!$A:$F,6,FALSE)="","",VLOOKUP(A241,[3]PRIORIZADOS!$A:$F,6,FALSE)),"")</f>
        <v>GIMNASIO_CACERES</v>
      </c>
      <c r="G241" s="11" t="str">
        <f>IFERROR(IF(VLOOKUP(A241,[3]PRIORIZADOS!$A:$G,7,FALSE)="","",VLOOKUP(A241,[3]PRIORIZADOS!$A:$G,7,FALSE)),"")</f>
        <v>GIMNASIO CACERES</v>
      </c>
      <c r="H241" s="11" t="str">
        <f>IFERROR(IF(VLOOKUP(A241,[3]PRIORIZADOS!$A:$H,8,FALSE)="","",VLOOKUP(A241,[3]PRIORIZADOS!$A:$H,8,FALSE)),"")</f>
        <v>Autoevaluación Institucional y Pruebas SABER 11</v>
      </c>
      <c r="I241" s="11" t="str">
        <f>IFERROR(IF(VLOOKUP(A241,[3]PRIORIZADOS!$A:$I,9,FALSE)="","",VLOOKUP(A241,[3]PRIORIZADOS!$A:$I,9,FALSE)),"")</f>
        <v>EVALUACIÓN_CON_FINES_DE_MEJORAMIENTO.</v>
      </c>
      <c r="J241" s="11" t="str">
        <f>IFERROR(IF(VLOOKUP(A241,[3]PRIORIZADOS!$A:$J,10,FALSE)="","",VLOOKUP(A241,[3]PRIORIZADOS!$A:$J,10,FALSE)),"")</f>
        <v>Verificar las condiciones en cuanto a: la estructura administrativa, condiciones de la planta física y medios educativos adecuados.</v>
      </c>
      <c r="K241" s="11" t="str">
        <f>IFERROR(IF(VLOOKUP(A241,[3]PRIORIZADOS!$A:$K,11,FALSE)="","",VLOOKUP(A241,[3]PRIORIZADOS!$A:$K,11,FALSE)),"")</f>
        <v>ANA ANDREA VARGAS GONZÁLEZ</v>
      </c>
      <c r="L241" s="11" t="str">
        <f>IFERROR(IF(VLOOKUP(A241,[3]PRIORIZADOS!$A:$L,12,FALSE)="","",VLOOKUP(A241,[3]PRIORIZADOS!$A:$L,12,FALSE)),"")</f>
        <v>JULIÁN FELIPE BERNAL GARZÓN</v>
      </c>
      <c r="M241" s="71">
        <f>IFERROR(IF(VLOOKUP(A241,[3]PRIORIZADOS!$A:$M,13,FALSE)="","",VLOOKUP(A241,[3]PRIORIZADOS!$A:$M,13,FALSE)),"")</f>
        <v>45748</v>
      </c>
      <c r="N241" s="71">
        <f>IFERROR(IF(VLOOKUP(A241,[3]PRIORIZADOS!$A:$N,14,FALSE)="","",VLOOKUP(A241,[3]PRIORIZADOS!$A:$N,14,FALSE)),"")</f>
        <v>45748</v>
      </c>
      <c r="O241" s="71">
        <f>IFERROR(IF(VLOOKUP(A241,[3]PRIORIZADOS!$A:$O,15,FALSE)="","",VLOOKUP(A241,[3]PRIORIZADOS!$A:$O,15,FALSE)),"")</f>
        <v>45748</v>
      </c>
      <c r="P241" s="11" t="str">
        <f>IFERROR(IF(VLOOKUP(A241,[3]PRIORIZADOS!$A:$P,16,FALSE)="","",VLOOKUP(A241,[3]PRIORIZADOS!$A:$P,16,FALSE)),"")</f>
        <v>Visitas de evaluación con fines de mejoramiento</v>
      </c>
      <c r="Q241" s="122" t="s">
        <v>56</v>
      </c>
      <c r="R241" s="11" t="str">
        <f>IFERROR(IF(VLOOKUP(A241,[3]PRIORIZADOS!$A:$R,18,FALSE)="","",VLOOKUP(A241,[3]PRIORIZADOS!$A:$R,18,FALSE)),"")</f>
        <v>Se realiza un recorrido en las instalaciones de la IE, verificando las condiciones en cuanto a: la estructura administrativa, condiciones de la planta física y medios educativos adecuados.</v>
      </c>
      <c r="S241" s="11" t="str">
        <f>IFERROR(IF(VLOOKUP(A241,[3]PRIORIZADOS!$A:$S,19,FALSE)="","",VLOOKUP(A241,[3]PRIORIZADOS!$A:$S,19,FALSE)),"")</f>
        <v>Las condiciones de la planta física son adecuadas y se recomienda actualizar el mobiliario más antiguo</v>
      </c>
      <c r="T241" s="70" t="str">
        <f>IFERROR(IF(VLOOKUP(A241,[3]PRIORIZADOS!$A:$T,20,FALSE)="","",VLOOKUP(A241,[3]PRIORIZADOS!$A:$T,20,FALSE)),"")</f>
        <v>No</v>
      </c>
      <c r="U241" s="11" t="str">
        <f>IFERROR(IF(VLOOKUP(A241,[3]PRIORIZADOS!$A:$U,21,FALSE)="","",VLOOKUP(A241,[3]PRIORIZADOS!$A:$U,21,FALSE)),"")</f>
        <v>Las condiciones de la planta física garantizan la adecuada prestación del servicio educativo</v>
      </c>
    </row>
    <row r="242" spans="1:21" s="1" customFormat="1" ht="60">
      <c r="A242" s="69">
        <f>IF([3]PRIORIZADOS!A53="","",[3]PRIORIZADOS!A53)</f>
        <v>248</v>
      </c>
      <c r="B242" s="70">
        <f>IFERROR(IF(VLOOKUP(A242,[3]PRIORIZADOS!$A:$B,2,FALSE)="","",VLOOKUP(A242,[3]PRIORIZADOS!$A:$B,2,FALSE)),"")</f>
        <v>6</v>
      </c>
      <c r="C242" s="11" t="str">
        <f>IFERROR(IF(VLOOKUP(A242,[3]PRIORIZADOS!$A:$C,3,FALSE)="","",VLOOKUP(A242,[3]PRIORIZADOS!$A:$C,3,FALSE)),"")</f>
        <v>BOSA</v>
      </c>
      <c r="D242" s="11" t="str">
        <f>IFERROR(IF(VLOOKUP(A242,[3]PRIORIZADOS!$A:$D,4,FALSE)="","",VLOOKUP(A242,[3]PRIORIZADOS!$A:$D,4,FALSE)),"")</f>
        <v>PRIVADO</v>
      </c>
      <c r="E242" s="11" t="str">
        <f>IFERROR(IF(VLOOKUP(A242,[3]PRIORIZADOS!$A:$E,5,FALSE)="","",VLOOKUP(A242,[3]PRIORIZADOS!$A:$E,5,FALSE)),"")</f>
        <v>EPBM</v>
      </c>
      <c r="F242" s="11" t="str">
        <f>IFERROR(IF(VLOOKUP(A242,[3]PRIORIZADOS!$A:$F,6,FALSE)="","",VLOOKUP(A242,[3]PRIORIZADOS!$A:$F,6,FALSE)),"")</f>
        <v>INSTITUTO_ACADEMICO_LA_PORTADA</v>
      </c>
      <c r="G242" s="11" t="str">
        <f>IFERROR(IF(VLOOKUP(A242,[3]PRIORIZADOS!$A:$G,7,FALSE)="","",VLOOKUP(A242,[3]PRIORIZADOS!$A:$G,7,FALSE)),"")</f>
        <v>INSTITUTO ACADEMICO LA PORTADA</v>
      </c>
      <c r="H242" s="11" t="str">
        <f>IFERROR(IF(VLOOKUP(A242,[3]PRIORIZADOS!$A:$H,8,FALSE)="","",VLOOKUP(A242,[3]PRIORIZADOS!$A:$H,8,FALSE)),"")</f>
        <v>Autoevaluación Institucional y Pruebas SABER 11</v>
      </c>
      <c r="I242" s="11" t="str">
        <f>IFERROR(IF(VLOOKUP(A242,[3]PRIORIZADOS!$A:$I,9,FALSE)="","",VLOOKUP(A242,[3]PRIORIZADOS!$A:$I,9,FALSE)),"")</f>
        <v>SEGUIMIENTO_Y_SUPERVISIÓN.</v>
      </c>
      <c r="J242" s="11" t="str">
        <f>IFERROR(IF(VLOOKUP(A242,[3]PRIORIZADOS!$A:$J,10,FALSE)="","",VLOOKUP(A242,[3]PRIORIZADOS!$A:$J,10,FALSE)),"")</f>
        <v>Realizar visitas para verificar la información registrada sobre la autoevaluación institucional en el aplicativo EVI, a los establecimientos de educación formal no oficial.</v>
      </c>
      <c r="K242" s="11" t="str">
        <f>IFERROR(IF(VLOOKUP(A242,[3]PRIORIZADOS!$A:$K,11,FALSE)="","",VLOOKUP(A242,[3]PRIORIZADOS!$A:$K,11,FALSE)),"")</f>
        <v>JOSE YECID PAJOY CASTRO</v>
      </c>
      <c r="L242" s="11" t="str">
        <f>IFERROR(IF(VLOOKUP(A242,[3]PRIORIZADOS!$A:$L,12,FALSE)="","",VLOOKUP(A242,[3]PRIORIZADOS!$A:$L,12,FALSE)),"")</f>
        <v>JOSÉ ANTONIO PÁEZ FETECUA</v>
      </c>
      <c r="M242" s="71">
        <f>IFERROR(IF(VLOOKUP(A242,[3]PRIORIZADOS!$A:$M,13,FALSE)="","",VLOOKUP(A242,[3]PRIORIZADOS!$A:$M,13,FALSE)),"")</f>
        <v>45750</v>
      </c>
      <c r="N242" s="71">
        <f>IFERROR(IF(VLOOKUP(A242,[3]PRIORIZADOS!$A:$N,14,FALSE)="","",VLOOKUP(A242,[3]PRIORIZADOS!$A:$N,14,FALSE)),"")</f>
        <v>45750</v>
      </c>
      <c r="O242" s="71">
        <f>IFERROR(IF(VLOOKUP(A242,[3]PRIORIZADOS!$A:$O,15,FALSE)="","",VLOOKUP(A242,[3]PRIORIZADOS!$A:$O,15,FALSE)),"")</f>
        <v>45750</v>
      </c>
      <c r="P242" s="11" t="str">
        <f>IFERROR(IF(VLOOKUP(A242,[3]PRIORIZADOS!$A:$P,16,FALSE)="","",VLOOKUP(A242,[3]PRIORIZADOS!$A:$P,16,FALSE)),"")</f>
        <v>Visitas de evaluación con fines de mejoramiento</v>
      </c>
      <c r="Q242" s="122" t="s">
        <v>57</v>
      </c>
      <c r="R242" s="11" t="str">
        <f>IFERROR(IF(VLOOKUP(A242,[3]PRIORIZADOS!$A:$R,18,FALSE)="","",VLOOKUP(A242,[3]PRIORIZADOS!$A:$R,18,FALSE)),"")</f>
        <v>La información consignada en la Plataforma EVI relacionada con los indicadores de: planta física, dotación de espacios y calendario académico coincide con lo verificado en campo</v>
      </c>
      <c r="S242" s="11" t="str">
        <f>IFERROR(IF(VLOOKUP(A242,[3]PRIORIZADOS!$A:$S,19,FALSE)="","",VLOOKUP(A242,[3]PRIORIZADOS!$A:$S,19,FALSE)),"")</f>
        <v xml:space="preserve">Se concluye que la IE realizará su autoevalución institucional en el mes octubre.  </v>
      </c>
      <c r="T242" s="70" t="str">
        <f>IFERROR(IF(VLOOKUP(A242,[3]PRIORIZADOS!$A:$T,20,FALSE)="","",VLOOKUP(A242,[3]PRIORIZADOS!$A:$T,20,FALSE)),"")</f>
        <v>No</v>
      </c>
      <c r="U242" s="11" t="str">
        <f>IFERROR(IF(VLOOKUP(A242,[3]PRIORIZADOS!$A:$U,21,FALSE)="","",VLOOKUP(A242,[3]PRIORIZADOS!$A:$U,21,FALSE)),"")</f>
        <v>Se verificará la información cargada por la IE en el aplicativo EVI de la autoevaluación,  para la emisión del concepto de tarifas 2026</v>
      </c>
    </row>
    <row r="243" spans="1:21" s="1" customFormat="1" ht="60">
      <c r="A243" s="69">
        <f>IF([3]PRIORIZADOS!A54="","",[3]PRIORIZADOS!A54)</f>
        <v>249</v>
      </c>
      <c r="B243" s="70">
        <f>IFERROR(IF(VLOOKUP(A243,[3]PRIORIZADOS!$A:$B,2,FALSE)="","",VLOOKUP(A243,[3]PRIORIZADOS!$A:$B,2,FALSE)),"")</f>
        <v>6</v>
      </c>
      <c r="C243" s="11" t="str">
        <f>IFERROR(IF(VLOOKUP(A243,[3]PRIORIZADOS!$A:$C,3,FALSE)="","",VLOOKUP(A243,[3]PRIORIZADOS!$A:$C,3,FALSE)),"")</f>
        <v>BOSA</v>
      </c>
      <c r="D243" s="11" t="str">
        <f>IFERROR(IF(VLOOKUP(A243,[3]PRIORIZADOS!$A:$D,4,FALSE)="","",VLOOKUP(A243,[3]PRIORIZADOS!$A:$D,4,FALSE)),"")</f>
        <v>PRIVADO</v>
      </c>
      <c r="E243" s="11" t="str">
        <f>IFERROR(IF(VLOOKUP(A243,[3]PRIORIZADOS!$A:$E,5,FALSE)="","",VLOOKUP(A243,[3]PRIORIZADOS!$A:$E,5,FALSE)),"")</f>
        <v>EPBM</v>
      </c>
      <c r="F243" s="11" t="str">
        <f>IFERROR(IF(VLOOKUP(A243,[3]PRIORIZADOS!$A:$F,6,FALSE)="","",VLOOKUP(A243,[3]PRIORIZADOS!$A:$F,6,FALSE)),"")</f>
        <v>INSTITUTO_ACADEMICO_LA_PORTADA</v>
      </c>
      <c r="G243" s="11" t="str">
        <f>IFERROR(IF(VLOOKUP(A243,[3]PRIORIZADOS!$A:$G,7,FALSE)="","",VLOOKUP(A243,[3]PRIORIZADOS!$A:$G,7,FALSE)),"")</f>
        <v>INSTITUTO ACADEMICO LA PORTADA</v>
      </c>
      <c r="H243" s="11" t="str">
        <f>IFERROR(IF(VLOOKUP(A243,[3]PRIORIZADOS!$A:$H,8,FALSE)="","",VLOOKUP(A243,[3]PRIORIZADOS!$A:$H,8,FALSE)),"")</f>
        <v>Autoevaluación Institucional y Pruebas SABER 11</v>
      </c>
      <c r="I243" s="11" t="str">
        <f>IFERROR(IF(VLOOKUP(A243,[3]PRIORIZADOS!$A:$I,9,FALSE)="","",VLOOKUP(A243,[3]PRIORIZADOS!$A:$I,9,FALSE)),"")</f>
        <v>SEGUIMIENTO_Y_SUPERVISIÓN.</v>
      </c>
      <c r="J243" s="11" t="str">
        <f>IFERROR(IF(VLOOKUP(A243,[3]PRIORIZADOS!$A:$J,10,FALSE)="","",VLOOKUP(A243,[3]PRIORIZADOS!$A:$J,10,FALSE)),"")</f>
        <v>Proponer estrategias en la formulación, verificar su elaboración y realizar seguimiento semestral al desarrollo de  las acciones establecidas en los planes de mejoramiento por pruebas SABER 11 de los establecimientos de educación formal.</v>
      </c>
      <c r="K243" s="11" t="str">
        <f>IFERROR(IF(VLOOKUP(A243,[3]PRIORIZADOS!$A:$K,11,FALSE)="","",VLOOKUP(A243,[3]PRIORIZADOS!$A:$K,11,FALSE)),"")</f>
        <v>JOSE YECID PAJOY CASTRO</v>
      </c>
      <c r="L243" s="11" t="str">
        <f>IFERROR(IF(VLOOKUP(A243,[3]PRIORIZADOS!$A:$L,12,FALSE)="","",VLOOKUP(A243,[3]PRIORIZADOS!$A:$L,12,FALSE)),"")</f>
        <v>JOSÉ ANTONIO PÁEZ FETECUA</v>
      </c>
      <c r="M243" s="71">
        <f>IFERROR(IF(VLOOKUP(A243,[3]PRIORIZADOS!$A:$M,13,FALSE)="","",VLOOKUP(A243,[3]PRIORIZADOS!$A:$M,13,FALSE)),"")</f>
        <v>45750</v>
      </c>
      <c r="N243" s="71">
        <f>IFERROR(IF(VLOOKUP(A243,[3]PRIORIZADOS!$A:$N,14,FALSE)="","",VLOOKUP(A243,[3]PRIORIZADOS!$A:$N,14,FALSE)),"")</f>
        <v>45750</v>
      </c>
      <c r="O243" s="71">
        <f>IFERROR(IF(VLOOKUP(A243,[3]PRIORIZADOS!$A:$O,15,FALSE)="","",VLOOKUP(A243,[3]PRIORIZADOS!$A:$O,15,FALSE)),"")</f>
        <v>45750</v>
      </c>
      <c r="P243" s="11" t="str">
        <f>IFERROR(IF(VLOOKUP(A243,[3]PRIORIZADOS!$A:$P,16,FALSE)="","",VLOOKUP(A243,[3]PRIORIZADOS!$A:$P,16,FALSE)),"")</f>
        <v>Visitas de evaluación con fines de seguimiento</v>
      </c>
      <c r="Q243" s="122" t="s">
        <v>57</v>
      </c>
      <c r="R243" s="11" t="str">
        <f>IFERROR(IF(VLOOKUP(A243,[3]PRIORIZADOS!$A:$R,18,FALSE)="","",VLOOKUP(A243,[3]PRIORIZADOS!$A:$R,18,FALSE)),"")</f>
        <v>Se adelanta la revisión de los Resultados de las Pruebas Saber 11, encontrando que la IE se encuentra en Categoría B</v>
      </c>
      <c r="S243" s="11" t="str">
        <f>IFERROR(IF(VLOOKUP(A243,[3]PRIORIZADOS!$A:$S,19,FALSE)="","",VLOOKUP(A243,[3]PRIORIZADOS!$A:$S,19,FALSE)),"")</f>
        <v>La Institución Educativa se compromete a incluir en sus próximos análisis, los resultados de las pruebas saber anteriores, asi como una evaluación global de los mismos.</v>
      </c>
      <c r="T243" s="70" t="str">
        <f>IFERROR(IF(VLOOKUP(A243,[3]PRIORIZADOS!$A:$T,20,FALSE)="","",VLOOKUP(A243,[3]PRIORIZADOS!$A:$T,20,FALSE)),"")</f>
        <v>No</v>
      </c>
      <c r="U243" s="11" t="str">
        <f>IFERROR(IF(VLOOKUP(A243,[3]PRIORIZADOS!$A:$U,21,FALSE)="","",VLOOKUP(A243,[3]PRIORIZADOS!$A:$U,21,FALSE)),"")</f>
        <v>Se acordó revisar nuevamente el documento en el mes de agosto de 2025 y generar espacios de asesoría, conforme lo requiera la IE</v>
      </c>
    </row>
    <row r="244" spans="1:21" s="1" customFormat="1" ht="72">
      <c r="A244" s="69">
        <f>IF([3]PRIORIZADOS!A55="","",[3]PRIORIZADOS!A55)</f>
        <v>250</v>
      </c>
      <c r="B244" s="70">
        <f>IFERROR(IF(VLOOKUP(A244,[3]PRIORIZADOS!$A:$B,2,FALSE)="","",VLOOKUP(A244,[3]PRIORIZADOS!$A:$B,2,FALSE)),"")</f>
        <v>6</v>
      </c>
      <c r="C244" s="11" t="str">
        <f>IFERROR(IF(VLOOKUP(A244,[3]PRIORIZADOS!$A:$C,3,FALSE)="","",VLOOKUP(A244,[3]PRIORIZADOS!$A:$C,3,FALSE)),"")</f>
        <v>BOSA</v>
      </c>
      <c r="D244" s="11" t="str">
        <f>IFERROR(IF(VLOOKUP(A244,[3]PRIORIZADOS!$A:$D,4,FALSE)="","",VLOOKUP(A244,[3]PRIORIZADOS!$A:$D,4,FALSE)),"")</f>
        <v>PRIVADO</v>
      </c>
      <c r="E244" s="11" t="str">
        <f>IFERROR(IF(VLOOKUP(A244,[3]PRIORIZADOS!$A:$E,5,FALSE)="","",VLOOKUP(A244,[3]PRIORIZADOS!$A:$E,5,FALSE)),"")</f>
        <v>EPBM</v>
      </c>
      <c r="F244" s="11" t="str">
        <f>IFERROR(IF(VLOOKUP(A244,[3]PRIORIZADOS!$A:$F,6,FALSE)="","",VLOOKUP(A244,[3]PRIORIZADOS!$A:$F,6,FALSE)),"")</f>
        <v>INSTITUTO_ACADEMICO_LA_PORTADA</v>
      </c>
      <c r="G244" s="11" t="str">
        <f>IFERROR(IF(VLOOKUP(A244,[3]PRIORIZADOS!$A:$G,7,FALSE)="","",VLOOKUP(A244,[3]PRIORIZADOS!$A:$G,7,FALSE)),"")</f>
        <v>INSTITUTO ACADEMICO LA PORTADA</v>
      </c>
      <c r="H244" s="11" t="str">
        <f>IFERROR(IF(VLOOKUP(A244,[3]PRIORIZADOS!$A:$H,8,FALSE)="","",VLOOKUP(A244,[3]PRIORIZADOS!$A:$H,8,FALSE)),"")</f>
        <v>Autoevaluación Institucional y Pruebas SABER 11</v>
      </c>
      <c r="I244" s="11" t="str">
        <f>IFERROR(IF(VLOOKUP(A244,[3]PRIORIZADOS!$A:$I,9,FALSE)="","",VLOOKUP(A244,[3]PRIORIZADOS!$A:$I,9,FALSE)),"")</f>
        <v>SEGUIMIENTO_Y_SUPERVISIÓN.</v>
      </c>
      <c r="J244" s="11" t="str">
        <f>IFERROR(IF(VLOOKUP(A244,[3]PRIORIZADOS!$A:$J,10,FALSE)="","",VLOOKUP(A244,[3]PRIORIZADOS!$A:$J,10,FALSE)),"")</f>
        <v xml:space="preserve">Verificar la implementación por parte de los colegios, de acciones realizadas para la prevención y atención de las situaciones de convivencia en el entorno escolar, según lo establecido en la Directiva 01 de 2022 del MEN. </v>
      </c>
      <c r="K244" s="11" t="str">
        <f>IFERROR(IF(VLOOKUP(A244,[3]PRIORIZADOS!$A:$K,11,FALSE)="","",VLOOKUP(A244,[3]PRIORIZADOS!$A:$K,11,FALSE)),"")</f>
        <v>JOSE YECID PAJOY CASTRO</v>
      </c>
      <c r="L244" s="11" t="str">
        <f>IFERROR(IF(VLOOKUP(A244,[3]PRIORIZADOS!$A:$L,12,FALSE)="","",VLOOKUP(A244,[3]PRIORIZADOS!$A:$L,12,FALSE)),"")</f>
        <v>JOSÉ ANTONIO PÁEZ FETECUA</v>
      </c>
      <c r="M244" s="71">
        <f>IFERROR(IF(VLOOKUP(A244,[3]PRIORIZADOS!$A:$M,13,FALSE)="","",VLOOKUP(A244,[3]PRIORIZADOS!$A:$M,13,FALSE)),"")</f>
        <v>45750</v>
      </c>
      <c r="N244" s="71">
        <f>IFERROR(IF(VLOOKUP(A244,[3]PRIORIZADOS!$A:$N,14,FALSE)="","",VLOOKUP(A244,[3]PRIORIZADOS!$A:$N,14,FALSE)),"")</f>
        <v>45750</v>
      </c>
      <c r="O244" s="71">
        <f>IFERROR(IF(VLOOKUP(A244,[3]PRIORIZADOS!$A:$O,15,FALSE)="","",VLOOKUP(A244,[3]PRIORIZADOS!$A:$O,15,FALSE)),"")</f>
        <v>45750</v>
      </c>
      <c r="P244" s="11" t="str">
        <f>IFERROR(IF(VLOOKUP(A244,[3]PRIORIZADOS!$A:$P,16,FALSE)="","",VLOOKUP(A244,[3]PRIORIZADOS!$A:$P,16,FALSE)),"")</f>
        <v>Visitas de evaluación con fines de mejoramiento</v>
      </c>
      <c r="Q244" s="122" t="s">
        <v>57</v>
      </c>
      <c r="R244" s="11" t="str">
        <f>IFERROR(IF(VLOOKUP(A244,[3]PRIORIZADOS!$A:$R,18,FALSE)="","",VLOOKUP(A244,[3]PRIORIZADOS!$A:$R,18,FALSE)),"")</f>
        <v>Se verifica la implementación de acciones  realizadas para la prevención como lo es la verificación de inhabilidades por delitos sexuales en el sistema de la Policía Nacional.</v>
      </c>
      <c r="S244" s="11" t="str">
        <f>IFERROR(IF(VLOOKUP(A244,[3]PRIORIZADOS!$A:$S,19,FALSE)="","",VLOOKUP(A244,[3]PRIORIZADOS!$A:$S,19,FALSE)),"")</f>
        <v>Como acción de verificación se solicita implementar  la autorización de directivos, docentes y administrativos para las consultas de antecedentes en los sistemas que se requieran al momento de la vinculación</v>
      </c>
      <c r="T244" s="70" t="str">
        <f>IFERROR(IF(VLOOKUP(A244,[3]PRIORIZADOS!$A:$T,20,FALSE)="","",VLOOKUP(A244,[3]PRIORIZADOS!$A:$T,20,FALSE)),"")</f>
        <v>No</v>
      </c>
      <c r="U244" s="11" t="str">
        <f>IFERROR(IF(VLOOKUP(A244,[3]PRIORIZADOS!$A:$U,21,FALSE)="","",VLOOKUP(A244,[3]PRIORIZADOS!$A:$U,21,FALSE)),"")</f>
        <v>Verificar que la IE cuente con las respectivas autorizaciones para las consultas de antedecentes del personal vinculado.</v>
      </c>
    </row>
    <row r="245" spans="1:21" s="1" customFormat="1" ht="107.25">
      <c r="A245" s="69">
        <f>IF([3]PRIORIZADOS!A56="","",[3]PRIORIZADOS!A56)</f>
        <v>251</v>
      </c>
      <c r="B245" s="70">
        <f>IFERROR(IF(VLOOKUP(A245,[3]PRIORIZADOS!$A:$B,2,FALSE)="","",VLOOKUP(A245,[3]PRIORIZADOS!$A:$B,2,FALSE)),"")</f>
        <v>6</v>
      </c>
      <c r="C245" s="11" t="str">
        <f>IFERROR(IF(VLOOKUP(A245,[3]PRIORIZADOS!$A:$C,3,FALSE)="","",VLOOKUP(A245,[3]PRIORIZADOS!$A:$C,3,FALSE)),"")</f>
        <v>BOSA</v>
      </c>
      <c r="D245" s="11" t="str">
        <f>IFERROR(IF(VLOOKUP(A245,[3]PRIORIZADOS!$A:$D,4,FALSE)="","",VLOOKUP(A245,[3]PRIORIZADOS!$A:$D,4,FALSE)),"")</f>
        <v>PRIVADO</v>
      </c>
      <c r="E245" s="11" t="str">
        <f>IFERROR(IF(VLOOKUP(A245,[3]PRIORIZADOS!$A:$E,5,FALSE)="","",VLOOKUP(A245,[3]PRIORIZADOS!$A:$E,5,FALSE)),"")</f>
        <v>EPBM</v>
      </c>
      <c r="F245" s="11" t="str">
        <f>IFERROR(IF(VLOOKUP(A245,[3]PRIORIZADOS!$A:$F,6,FALSE)="","",VLOOKUP(A245,[3]PRIORIZADOS!$A:$F,6,FALSE)),"")</f>
        <v>INSTITUTO_ACADEMICO_LA_PORTADA</v>
      </c>
      <c r="G245" s="11" t="str">
        <f>IFERROR(IF(VLOOKUP(A245,[3]PRIORIZADOS!$A:$G,7,FALSE)="","",VLOOKUP(A245,[3]PRIORIZADOS!$A:$G,7,FALSE)),"")</f>
        <v>INSTITUTO ACADEMICO LA PORTADA</v>
      </c>
      <c r="H245" s="11" t="str">
        <f>IFERROR(IF(VLOOKUP(A245,[3]PRIORIZADOS!$A:$H,8,FALSE)="","",VLOOKUP(A245,[3]PRIORIZADOS!$A:$H,8,FALSE)),"")</f>
        <v>Autoevaluación Institucional y Pruebas SABER 11</v>
      </c>
      <c r="I245" s="11" t="str">
        <f>IFERROR(IF(VLOOKUP(A245,[3]PRIORIZADOS!$A:$I,9,FALSE)="","",VLOOKUP(A245,[3]PRIORIZADOS!$A:$I,9,FALSE)),"")</f>
        <v>SEGUIMIENTO_Y_SUPERVISIÓN.</v>
      </c>
      <c r="J245" s="11" t="str">
        <f>IFERROR(IF(VLOOKUP(A245,[3]PRIORIZADOS!$A:$J,10,FALSE)="","",VLOOKUP(A245,[3]PRIORIZADOS!$A:$J,10,FALSE)),"")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5" s="11" t="str">
        <f>IFERROR(IF(VLOOKUP(A245,[3]PRIORIZADOS!$A:$K,11,FALSE)="","",VLOOKUP(A245,[3]PRIORIZADOS!$A:$K,11,FALSE)),"")</f>
        <v>JOSE YECID PAJOY CASTRO</v>
      </c>
      <c r="L245" s="11" t="str">
        <f>IFERROR(IF(VLOOKUP(A245,[3]PRIORIZADOS!$A:$L,12,FALSE)="","",VLOOKUP(A245,[3]PRIORIZADOS!$A:$L,12,FALSE)),"")</f>
        <v>JOSÉ ANTONIO PÁEZ FETECUA</v>
      </c>
      <c r="M245" s="71">
        <f>IFERROR(IF(VLOOKUP(A245,[3]PRIORIZADOS!$A:$M,13,FALSE)="","",VLOOKUP(A245,[3]PRIORIZADOS!$A:$M,13,FALSE)),"")</f>
        <v>45750</v>
      </c>
      <c r="N245" s="71">
        <f>IFERROR(IF(VLOOKUP(A245,[3]PRIORIZADOS!$A:$N,14,FALSE)="","",VLOOKUP(A245,[3]PRIORIZADOS!$A:$N,14,FALSE)),"")</f>
        <v>45750</v>
      </c>
      <c r="O245" s="71">
        <f>IFERROR(IF(VLOOKUP(A245,[3]PRIORIZADOS!$A:$O,15,FALSE)="","",VLOOKUP(A245,[3]PRIORIZADOS!$A:$O,15,FALSE)),"")</f>
        <v>45750</v>
      </c>
      <c r="P245" s="11" t="str">
        <f>IFERROR(IF(VLOOKUP(A245,[3]PRIORIZADOS!$A:$P,16,FALSE)="","",VLOOKUP(A245,[3]PRIORIZADOS!$A:$P,16,FALSE)),"")</f>
        <v>Visitas de evaluación con fines de mejoramiento</v>
      </c>
      <c r="Q245" s="122" t="s">
        <v>57</v>
      </c>
      <c r="R245" s="11" t="str">
        <f>IFERROR(IF(VLOOKUP(A245,[3]PRIORIZADOS!$A:$R,18,FALSE)="","",VLOOKUP(A245,[3]PRIORIZADOS!$A:$R,18,FALSE)),"")</f>
        <v>Al revisar la Plataforma SIMAT, hay 09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45" s="11" t="str">
        <f>IFERROR(IF(VLOOKUP(A245,[3]PRIORIZADOS!$A:$S,19,FALSE)="","",VLOOKUP(A245,[3]PRIORIZADOS!$A:$S,19,FALSE)),"")</f>
        <v>La Institución Educativa se compromete a remitir el Documento Institucional del Plan Individual de Ajustes Razonables PIAR</v>
      </c>
      <c r="T245" s="70" t="str">
        <f>IFERROR(IF(VLOOKUP(A245,[3]PRIORIZADOS!$A:$T,20,FALSE)="","",VLOOKUP(A245,[3]PRIORIZADOS!$A:$T,20,FALSE)),"")</f>
        <v>No</v>
      </c>
      <c r="U245" s="11" t="str">
        <f>IFERROR(IF(VLOOKUP(A245,[3]PRIORIZADOS!$A:$U,21,FALSE)="","",VLOOKUP(A245,[3]PRIORIZADOS!$A:$U,21,FALSE)),"")</f>
        <v>Verificar la información en SIMAT</v>
      </c>
    </row>
    <row r="246" spans="1:21" s="1" customFormat="1" ht="84">
      <c r="A246" s="69">
        <f>IF([3]PRIORIZADOS!A57="","",[3]PRIORIZADOS!A57)</f>
        <v>252</v>
      </c>
      <c r="B246" s="70">
        <f>IFERROR(IF(VLOOKUP(A246,[3]PRIORIZADOS!$A:$B,2,FALSE)="","",VLOOKUP(A246,[3]PRIORIZADOS!$A:$B,2,FALSE)),"")</f>
        <v>6</v>
      </c>
      <c r="C246" s="11" t="str">
        <f>IFERROR(IF(VLOOKUP(A246,[3]PRIORIZADOS!$A:$C,3,FALSE)="","",VLOOKUP(A246,[3]PRIORIZADOS!$A:$C,3,FALSE)),"")</f>
        <v>BOSA</v>
      </c>
      <c r="D246" s="11" t="str">
        <f>IFERROR(IF(VLOOKUP(A246,[3]PRIORIZADOS!$A:$D,4,FALSE)="","",VLOOKUP(A246,[3]PRIORIZADOS!$A:$D,4,FALSE)),"")</f>
        <v>PRIVADO</v>
      </c>
      <c r="E246" s="11" t="str">
        <f>IFERROR(IF(VLOOKUP(A246,[3]PRIORIZADOS!$A:$E,5,FALSE)="","",VLOOKUP(A246,[3]PRIORIZADOS!$A:$E,5,FALSE)),"")</f>
        <v>EPBM</v>
      </c>
      <c r="F246" s="11" t="str">
        <f>IFERROR(IF(VLOOKUP(A246,[3]PRIORIZADOS!$A:$F,6,FALSE)="","",VLOOKUP(A246,[3]PRIORIZADOS!$A:$F,6,FALSE)),"")</f>
        <v>INSTITUTO_ACADEMICO_LA_PORTADA</v>
      </c>
      <c r="G246" s="11" t="str">
        <f>IFERROR(IF(VLOOKUP(A246,[3]PRIORIZADOS!$A:$G,7,FALSE)="","",VLOOKUP(A246,[3]PRIORIZADOS!$A:$G,7,FALSE)),"")</f>
        <v>INSTITUTO ACADEMICO LA PORTADA</v>
      </c>
      <c r="H246" s="11" t="str">
        <f>IFERROR(IF(VLOOKUP(A246,[3]PRIORIZADOS!$A:$H,8,FALSE)="","",VLOOKUP(A246,[3]PRIORIZADOS!$A:$H,8,FALSE)),"")</f>
        <v>Autoevaluación Institucional y Pruebas SABER 11</v>
      </c>
      <c r="I246" s="11" t="str">
        <f>IFERROR(IF(VLOOKUP(A246,[3]PRIORIZADOS!$A:$I,9,FALSE)="","",VLOOKUP(A246,[3]PRIORIZADOS!$A:$I,9,FALSE)),"")</f>
        <v>EVALUACIÓN_CON_FINES_DE_MEJORAMIENTO.</v>
      </c>
      <c r="J246" s="11" t="str">
        <f>IFERROR(IF(VLOOKUP(A246,[3]PRIORIZADOS!$A:$J,10,FALSE)="","",VLOOKUP(A246,[3]PRIORIZADOS!$A:$J,10,FALSE)),"")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6" s="11" t="str">
        <f>IFERROR(IF(VLOOKUP(A246,[3]PRIORIZADOS!$A:$K,11,FALSE)="","",VLOOKUP(A246,[3]PRIORIZADOS!$A:$K,11,FALSE)),"")</f>
        <v>JOSE YECID PAJOY CASTRO</v>
      </c>
      <c r="L246" s="11" t="str">
        <f>IFERROR(IF(VLOOKUP(A246,[3]PRIORIZADOS!$A:$L,12,FALSE)="","",VLOOKUP(A246,[3]PRIORIZADOS!$A:$L,12,FALSE)),"")</f>
        <v>JOSÉ ANTONIO PÁEZ FETECUA</v>
      </c>
      <c r="M246" s="71">
        <f>IFERROR(IF(VLOOKUP(A246,[3]PRIORIZADOS!$A:$M,13,FALSE)="","",VLOOKUP(A246,[3]PRIORIZADOS!$A:$M,13,FALSE)),"")</f>
        <v>45750</v>
      </c>
      <c r="N246" s="71">
        <f>IFERROR(IF(VLOOKUP(A246,[3]PRIORIZADOS!$A:$N,14,FALSE)="","",VLOOKUP(A246,[3]PRIORIZADOS!$A:$N,14,FALSE)),"")</f>
        <v>45750</v>
      </c>
      <c r="O246" s="71">
        <f>IFERROR(IF(VLOOKUP(A246,[3]PRIORIZADOS!$A:$O,15,FALSE)="","",VLOOKUP(A246,[3]PRIORIZADOS!$A:$O,15,FALSE)),"")</f>
        <v>45750</v>
      </c>
      <c r="P246" s="11" t="str">
        <f>IFERROR(IF(VLOOKUP(A246,[3]PRIORIZADOS!$A:$P,16,FALSE)="","",VLOOKUP(A246,[3]PRIORIZADOS!$A:$P,16,FALSE)),"")</f>
        <v>Visitas de evaluación con fines de mejoramiento</v>
      </c>
      <c r="Q246" s="122" t="s">
        <v>57</v>
      </c>
      <c r="R246" s="11" t="str">
        <f>IFERROR(IF(VLOOKUP(A246,[3]PRIORIZADOS!$A:$R,18,FALSE)="","",VLOOKUP(A246,[3]PRIORIZADOS!$A:$R,18,FALSE)),"")</f>
        <v>El Manual de Convivencia fue construido y adoptado de forma participativa e incluye los componentes generales, los diferentes enfoques y se encuentra conforme a lo establecido en el PEI y la normatividad vigente</v>
      </c>
      <c r="S246" s="11" t="str">
        <f>IFERROR(IF(VLOOKUP(A246,[3]PRIORIZADOS!$A:$S,19,FALSE)="","",VLOOKUP(A246,[3]PRIORIZADOS!$A:$S,19,FALSE)),"")</f>
        <v>Como acción de verificación la Institución Educativa se compromete a remitir la versión actualizada del Manual de Convivencia a la vigencia 2024 -2025</v>
      </c>
      <c r="T246" s="70" t="str">
        <f>IFERROR(IF(VLOOKUP(A246,[3]PRIORIZADOS!$A:$T,20,FALSE)="","",VLOOKUP(A246,[3]PRIORIZADOS!$A:$T,20,FALSE)),"")</f>
        <v>No</v>
      </c>
      <c r="U246" s="11" t="str">
        <f>IFERROR(IF(VLOOKUP(A246,[3]PRIORIZADOS!$A:$U,21,FALSE)="","",VLOOKUP(A246,[3]PRIORIZADOS!$A:$U,21,FALSE)),"")</f>
        <v>Verificar nuevamente el documento en el mes de agosto de 2025 y generar espacios de asesoría, conforme lo requiera la IE</v>
      </c>
    </row>
    <row r="247" spans="1:21" s="1" customFormat="1" ht="72">
      <c r="A247" s="69">
        <f>IF([3]PRIORIZADOS!A58="","",[3]PRIORIZADOS!A58)</f>
        <v>253</v>
      </c>
      <c r="B247" s="70">
        <f>IFERROR(IF(VLOOKUP(A247,[3]PRIORIZADOS!$A:$B,2,FALSE)="","",VLOOKUP(A247,[3]PRIORIZADOS!$A:$B,2,FALSE)),"")</f>
        <v>6</v>
      </c>
      <c r="C247" s="11" t="str">
        <f>IFERROR(IF(VLOOKUP(A247,[3]PRIORIZADOS!$A:$C,3,FALSE)="","",VLOOKUP(A247,[3]PRIORIZADOS!$A:$C,3,FALSE)),"")</f>
        <v>BOSA</v>
      </c>
      <c r="D247" s="11" t="str">
        <f>IFERROR(IF(VLOOKUP(A247,[3]PRIORIZADOS!$A:$D,4,FALSE)="","",VLOOKUP(A247,[3]PRIORIZADOS!$A:$D,4,FALSE)),"")</f>
        <v>PRIVADO</v>
      </c>
      <c r="E247" s="11" t="str">
        <f>IFERROR(IF(VLOOKUP(A247,[3]PRIORIZADOS!$A:$E,5,FALSE)="","",VLOOKUP(A247,[3]PRIORIZADOS!$A:$E,5,FALSE)),"")</f>
        <v>EPBM</v>
      </c>
      <c r="F247" s="11" t="str">
        <f>IFERROR(IF(VLOOKUP(A247,[3]PRIORIZADOS!$A:$F,6,FALSE)="","",VLOOKUP(A247,[3]PRIORIZADOS!$A:$F,6,FALSE)),"")</f>
        <v>INSTITUTO_ACADEMICO_LA_PORTADA</v>
      </c>
      <c r="G247" s="11" t="str">
        <f>IFERROR(IF(VLOOKUP(A247,[3]PRIORIZADOS!$A:$G,7,FALSE)="","",VLOOKUP(A247,[3]PRIORIZADOS!$A:$G,7,FALSE)),"")</f>
        <v>INSTITUTO ACADEMICO LA PORTADA</v>
      </c>
      <c r="H247" s="11" t="str">
        <f>IFERROR(IF(VLOOKUP(A247,[3]PRIORIZADOS!$A:$H,8,FALSE)="","",VLOOKUP(A247,[3]PRIORIZADOS!$A:$H,8,FALSE)),"")</f>
        <v>Autoevaluación Institucional y Pruebas SABER 11</v>
      </c>
      <c r="I247" s="11" t="str">
        <f>IFERROR(IF(VLOOKUP(A247,[3]PRIORIZADOS!$A:$I,9,FALSE)="","",VLOOKUP(A247,[3]PRIORIZADOS!$A:$I,9,FALSE)),"")</f>
        <v>EVALUACIÓN_CON_FINES_DE_MEJORAMIENTO.</v>
      </c>
      <c r="J247" s="11" t="str">
        <f>IFERROR(IF(VLOOKUP(A247,[3]PRIORIZADOS!$A:$J,10,FALSE)="","",VLOOKUP(A247,[3]PRIORIZADOS!$A:$J,10,FALSE)),"")</f>
        <v>Revisar la actualización, socialización e implementación del Sistema Institucional de Evaluación de Estudiantes - SIEE, en articulación con la actualización del PEI y la normatividad vigente.</v>
      </c>
      <c r="K247" s="11" t="str">
        <f>IFERROR(IF(VLOOKUP(A247,[3]PRIORIZADOS!$A:$K,11,FALSE)="","",VLOOKUP(A247,[3]PRIORIZADOS!$A:$K,11,FALSE)),"")</f>
        <v>JOSE YECID PAJOY CASTRO</v>
      </c>
      <c r="L247" s="11" t="str">
        <f>IFERROR(IF(VLOOKUP(A247,[3]PRIORIZADOS!$A:$L,12,FALSE)="","",VLOOKUP(A247,[3]PRIORIZADOS!$A:$L,12,FALSE)),"")</f>
        <v>JOSÉ ANTONIO PÁEZ FETECUA</v>
      </c>
      <c r="M247" s="71">
        <f>IFERROR(IF(VLOOKUP(A247,[3]PRIORIZADOS!$A:$M,13,FALSE)="","",VLOOKUP(A247,[3]PRIORIZADOS!$A:$M,13,FALSE)),"")</f>
        <v>45750</v>
      </c>
      <c r="N247" s="71">
        <f>IFERROR(IF(VLOOKUP(A247,[3]PRIORIZADOS!$A:$N,14,FALSE)="","",VLOOKUP(A247,[3]PRIORIZADOS!$A:$N,14,FALSE)),"")</f>
        <v>45750</v>
      </c>
      <c r="O247" s="71">
        <f>IFERROR(IF(VLOOKUP(A247,[3]PRIORIZADOS!$A:$O,15,FALSE)="","",VLOOKUP(A247,[3]PRIORIZADOS!$A:$O,15,FALSE)),"")</f>
        <v>45750</v>
      </c>
      <c r="P247" s="11" t="str">
        <f>IFERROR(IF(VLOOKUP(A247,[3]PRIORIZADOS!$A:$P,16,FALSE)="","",VLOOKUP(A247,[3]PRIORIZADOS!$A:$P,16,FALSE)),"")</f>
        <v>Visitas de evaluación con fines de mejoramiento</v>
      </c>
      <c r="Q247" s="122" t="s">
        <v>57</v>
      </c>
      <c r="R247" s="11" t="str">
        <f>IFERROR(IF(VLOOKUP(A247,[3]PRIORIZADOS!$A:$R,18,FALSE)="","",VLOOKUP(A247,[3]PRIORIZADOS!$A:$R,18,FALSE)),"")</f>
        <v>Se evidencia el Sistema Institucional de Evaluación de Estudiantes - SIEE, actualizado para la vigencia 2025. Fue construido en articulación con el Consejo Directivo y la comunidad educativa desde el año 2019 y se actualiza cada 2 años</v>
      </c>
      <c r="S247" s="11" t="str">
        <f>IFERROR(IF(VLOOKUP(A247,[3]PRIORIZADOS!$A:$S,19,FALSE)="","",VLOOKUP(A247,[3]PRIORIZADOS!$A:$S,19,FALSE)),"")</f>
        <v>Como acción de verificación la Institución Educativa se compromete a remitir la versión actualizada del  Sistema institucional de evaluación de los estudiantes- SIEE</v>
      </c>
      <c r="T247" s="70" t="str">
        <f>IFERROR(IF(VLOOKUP(A247,[3]PRIORIZADOS!$A:$T,20,FALSE)="","",VLOOKUP(A247,[3]PRIORIZADOS!$A:$T,20,FALSE)),"")</f>
        <v>No</v>
      </c>
      <c r="U247" s="11" t="str">
        <f>IFERROR(IF(VLOOKUP(A247,[3]PRIORIZADOS!$A:$U,21,FALSE)="","",VLOOKUP(A247,[3]PRIORIZADOS!$A:$U,21,FALSE)),"")</f>
        <v>Verificar nuevamente el documento en el mes de agosto de 2025 y generar espacios de asesoría, conforme lo requiera la IE</v>
      </c>
    </row>
    <row r="248" spans="1:21" s="1" customFormat="1" ht="48">
      <c r="A248" s="69">
        <f>IF([3]PRIORIZADOS!A59="","",[3]PRIORIZADOS!A59)</f>
        <v>254</v>
      </c>
      <c r="B248" s="70">
        <f>IFERROR(IF(VLOOKUP(A248,[3]PRIORIZADOS!$A:$B,2,FALSE)="","",VLOOKUP(A248,[3]PRIORIZADOS!$A:$B,2,FALSE)),"")</f>
        <v>6</v>
      </c>
      <c r="C248" s="11" t="str">
        <f>IFERROR(IF(VLOOKUP(A248,[3]PRIORIZADOS!$A:$C,3,FALSE)="","",VLOOKUP(A248,[3]PRIORIZADOS!$A:$C,3,FALSE)),"")</f>
        <v>BOSA</v>
      </c>
      <c r="D248" s="11" t="str">
        <f>IFERROR(IF(VLOOKUP(A248,[3]PRIORIZADOS!$A:$D,4,FALSE)="","",VLOOKUP(A248,[3]PRIORIZADOS!$A:$D,4,FALSE)),"")</f>
        <v>PRIVADO</v>
      </c>
      <c r="E248" s="11" t="str">
        <f>IFERROR(IF(VLOOKUP(A248,[3]PRIORIZADOS!$A:$E,5,FALSE)="","",VLOOKUP(A248,[3]PRIORIZADOS!$A:$E,5,FALSE)),"")</f>
        <v>EPBM</v>
      </c>
      <c r="F248" s="11" t="str">
        <f>IFERROR(IF(VLOOKUP(A248,[3]PRIORIZADOS!$A:$F,6,FALSE)="","",VLOOKUP(A248,[3]PRIORIZADOS!$A:$F,6,FALSE)),"")</f>
        <v>INSTITUTO_ACADEMICO_LA_PORTADA</v>
      </c>
      <c r="G248" s="11" t="str">
        <f>IFERROR(IF(VLOOKUP(A248,[3]PRIORIZADOS!$A:$G,7,FALSE)="","",VLOOKUP(A248,[3]PRIORIZADOS!$A:$G,7,FALSE)),"")</f>
        <v>INSTITUTO ACADEMICO LA PORTADA</v>
      </c>
      <c r="H248" s="11" t="str">
        <f>IFERROR(IF(VLOOKUP(A248,[3]PRIORIZADOS!$A:$H,8,FALSE)="","",VLOOKUP(A248,[3]PRIORIZADOS!$A:$H,8,FALSE)),"")</f>
        <v>Autoevaluación Institucional y Pruebas SABER 11</v>
      </c>
      <c r="I248" s="11" t="str">
        <f>IFERROR(IF(VLOOKUP(A248,[3]PRIORIZADOS!$A:$I,9,FALSE)="","",VLOOKUP(A248,[3]PRIORIZADOS!$A:$I,9,FALSE)),"")</f>
        <v>EVALUACIÓN_CON_FINES_DE_MEJORAMIENTO.</v>
      </c>
      <c r="J248" s="11" t="str">
        <f>IFERROR(IF(VLOOKUP(A248,[3]PRIORIZADOS!$A:$J,10,FALSE)="","",VLOOKUP(A248,[3]PRIORIZADOS!$A:$J,10,FALSE)),"")</f>
        <v>Revisar el calendario escolar, jornada escolar, la intensidad horaria mínima anual en cada nivel y las modificaciones que se realicen al mismo, de acuerdo con lo previsto en la normatividad vigente.</v>
      </c>
      <c r="K248" s="11" t="str">
        <f>IFERROR(IF(VLOOKUP(A248,[3]PRIORIZADOS!$A:$K,11,FALSE)="","",VLOOKUP(A248,[3]PRIORIZADOS!$A:$K,11,FALSE)),"")</f>
        <v>JOSE YECID PAJOY CASTRO</v>
      </c>
      <c r="L248" s="11" t="str">
        <f>IFERROR(IF(VLOOKUP(A248,[3]PRIORIZADOS!$A:$L,12,FALSE)="","",VLOOKUP(A248,[3]PRIORIZADOS!$A:$L,12,FALSE)),"")</f>
        <v>JOSÉ ANTONIO PÁEZ FETECUA</v>
      </c>
      <c r="M248" s="71">
        <f>IFERROR(IF(VLOOKUP(A248,[3]PRIORIZADOS!$A:$M,13,FALSE)="","",VLOOKUP(A248,[3]PRIORIZADOS!$A:$M,13,FALSE)),"")</f>
        <v>45750</v>
      </c>
      <c r="N248" s="71">
        <f>IFERROR(IF(VLOOKUP(A248,[3]PRIORIZADOS!$A:$N,14,FALSE)="","",VLOOKUP(A248,[3]PRIORIZADOS!$A:$N,14,FALSE)),"")</f>
        <v>45750</v>
      </c>
      <c r="O248" s="71">
        <f>IFERROR(IF(VLOOKUP(A248,[3]PRIORIZADOS!$A:$O,15,FALSE)="","",VLOOKUP(A248,[3]PRIORIZADOS!$A:$O,15,FALSE)),"")</f>
        <v>45750</v>
      </c>
      <c r="P248" s="11" t="str">
        <f>IFERROR(IF(VLOOKUP(A248,[3]PRIORIZADOS!$A:$P,16,FALSE)="","",VLOOKUP(A248,[3]PRIORIZADOS!$A:$P,16,FALSE)),"")</f>
        <v>Visitas de evaluación con fines de mejoramiento</v>
      </c>
      <c r="Q248" s="122" t="s">
        <v>57</v>
      </c>
      <c r="R248" s="11" t="str">
        <f>IFERROR(IF(VLOOKUP(A248,[3]PRIORIZADOS!$A:$R,18,FALSE)="","",VLOOKUP(A248,[3]PRIORIZADOS!$A:$R,18,FALSE)),"")</f>
        <v>El calendario escolar, jornada escolar, la intensidad horaria mínima anual en cada nivel se encuentran conforme lo previsto en la normatividad vigente</v>
      </c>
      <c r="S248" s="11" t="str">
        <f>IFERROR(IF(VLOOKUP(A248,[3]PRIORIZADOS!$A:$S,19,FALSE)="","",VLOOKUP(A248,[3]PRIORIZADOS!$A:$S,19,FALSE)),"")</f>
        <v>Como acción de verificación la Institución Educativa se compromete a remitir la versión actualizada calendario escolar</v>
      </c>
      <c r="T248" s="70" t="str">
        <f>IFERROR(IF(VLOOKUP(A248,[3]PRIORIZADOS!$A:$T,20,FALSE)="","",VLOOKUP(A248,[3]PRIORIZADOS!$A:$T,20,FALSE)),"")</f>
        <v>No</v>
      </c>
      <c r="U248" s="11" t="str">
        <f>IFERROR(IF(VLOOKUP(A248,[3]PRIORIZADOS!$A:$U,21,FALSE)="","",VLOOKUP(A248,[3]PRIORIZADOS!$A:$U,21,FALSE)),"")</f>
        <v>Verificar nuevamente el documento en el mes de agosto de 2025 y generar espacios de asesoría, conforme lo requiera la IE</v>
      </c>
    </row>
    <row r="249" spans="1:21" s="1" customFormat="1" ht="48">
      <c r="A249" s="69">
        <f>IF([3]PRIORIZADOS!A60="","",[3]PRIORIZADOS!A60)</f>
        <v>255</v>
      </c>
      <c r="B249" s="70">
        <f>IFERROR(IF(VLOOKUP(A249,[3]PRIORIZADOS!$A:$B,2,FALSE)="","",VLOOKUP(A249,[3]PRIORIZADOS!$A:$B,2,FALSE)),"")</f>
        <v>6</v>
      </c>
      <c r="C249" s="11" t="str">
        <f>IFERROR(IF(VLOOKUP(A249,[3]PRIORIZADOS!$A:$C,3,FALSE)="","",VLOOKUP(A249,[3]PRIORIZADOS!$A:$C,3,FALSE)),"")</f>
        <v>BOSA</v>
      </c>
      <c r="D249" s="11" t="str">
        <f>IFERROR(IF(VLOOKUP(A249,[3]PRIORIZADOS!$A:$D,4,FALSE)="","",VLOOKUP(A249,[3]PRIORIZADOS!$A:$D,4,FALSE)),"")</f>
        <v>PRIVADO</v>
      </c>
      <c r="E249" s="11" t="str">
        <f>IFERROR(IF(VLOOKUP(A249,[3]PRIORIZADOS!$A:$E,5,FALSE)="","",VLOOKUP(A249,[3]PRIORIZADOS!$A:$E,5,FALSE)),"")</f>
        <v>EPBM</v>
      </c>
      <c r="F249" s="11" t="str">
        <f>IFERROR(IF(VLOOKUP(A249,[3]PRIORIZADOS!$A:$F,6,FALSE)="","",VLOOKUP(A249,[3]PRIORIZADOS!$A:$F,6,FALSE)),"")</f>
        <v>INSTITUTO_ACADEMICO_LA_PORTADA</v>
      </c>
      <c r="G249" s="11" t="str">
        <f>IFERROR(IF(VLOOKUP(A249,[3]PRIORIZADOS!$A:$G,7,FALSE)="","",VLOOKUP(A249,[3]PRIORIZADOS!$A:$G,7,FALSE)),"")</f>
        <v>INSTITUTO ACADEMICO LA PORTADA</v>
      </c>
      <c r="H249" s="11" t="str">
        <f>IFERROR(IF(VLOOKUP(A249,[3]PRIORIZADOS!$A:$H,8,FALSE)="","",VLOOKUP(A249,[3]PRIORIZADOS!$A:$H,8,FALSE)),"")</f>
        <v>Autoevaluación Institucional y Pruebas SABER 11</v>
      </c>
      <c r="I249" s="11" t="str">
        <f>IFERROR(IF(VLOOKUP(A249,[3]PRIORIZADOS!$A:$I,9,FALSE)="","",VLOOKUP(A249,[3]PRIORIZADOS!$A:$I,9,FALSE)),"")</f>
        <v>EVALUACIÓN_CON_FINES_DE_MEJORAMIENTO.</v>
      </c>
      <c r="J249" s="11" t="str">
        <f>IFERROR(IF(VLOOKUP(A249,[3]PRIORIZADOS!$A:$J,10,FALSE)="","",VLOOKUP(A249,[3]PRIORIZADOS!$A:$J,10,FALSE)),"")</f>
        <v>Verificar el funcionamiento del Gobierno Escolar e instancias de participación con base en la información sobre conformación reportada por la institución educativa.</v>
      </c>
      <c r="K249" s="11" t="str">
        <f>IFERROR(IF(VLOOKUP(A249,[3]PRIORIZADOS!$A:$K,11,FALSE)="","",VLOOKUP(A249,[3]PRIORIZADOS!$A:$K,11,FALSE)),"")</f>
        <v>JOSE YECID PAJOY CASTRO</v>
      </c>
      <c r="L249" s="11" t="str">
        <f>IFERROR(IF(VLOOKUP(A249,[3]PRIORIZADOS!$A:$L,12,FALSE)="","",VLOOKUP(A249,[3]PRIORIZADOS!$A:$L,12,FALSE)),"")</f>
        <v>JOSÉ ANTONIO PÁEZ FETECUA</v>
      </c>
      <c r="M249" s="71">
        <f>IFERROR(IF(VLOOKUP(A249,[3]PRIORIZADOS!$A:$M,13,FALSE)="","",VLOOKUP(A249,[3]PRIORIZADOS!$A:$M,13,FALSE)),"")</f>
        <v>45750</v>
      </c>
      <c r="N249" s="71">
        <f>IFERROR(IF(VLOOKUP(A249,[3]PRIORIZADOS!$A:$N,14,FALSE)="","",VLOOKUP(A249,[3]PRIORIZADOS!$A:$N,14,FALSE)),"")</f>
        <v>45750</v>
      </c>
      <c r="O249" s="71">
        <f>IFERROR(IF(VLOOKUP(A249,[3]PRIORIZADOS!$A:$O,15,FALSE)="","",VLOOKUP(A249,[3]PRIORIZADOS!$A:$O,15,FALSE)),"")</f>
        <v>45750</v>
      </c>
      <c r="P249" s="11" t="str">
        <f>IFERROR(IF(VLOOKUP(A249,[3]PRIORIZADOS!$A:$P,16,FALSE)="","",VLOOKUP(A249,[3]PRIORIZADOS!$A:$P,16,FALSE)),"")</f>
        <v>Visitas de evaluación con fines de mejoramiento</v>
      </c>
      <c r="Q249" s="122" t="s">
        <v>57</v>
      </c>
      <c r="R249" s="11" t="str">
        <f>IFERROR(IF(VLOOKUP(A249,[3]PRIORIZADOS!$A:$R,18,FALSE)="","",VLOOKUP(A249,[3]PRIORIZADOS!$A:$R,18,FALSE)),"")</f>
        <v>La constitución del Gobierno Escolar y sus órganos de participación, se encuentra conforme a la Normativa Vigente</v>
      </c>
      <c r="S249" s="11" t="str">
        <f>IFERROR(IF(VLOOKUP(A249,[3]PRIORIZADOS!$A:$S,19,FALSE)="","",VLOOKUP(A249,[3]PRIORIZADOS!$A:$S,19,FALSE)),"")</f>
        <v>Continuar operando conforme funciones y reglamentos.</v>
      </c>
      <c r="T249" s="70" t="str">
        <f>IFERROR(IF(VLOOKUP(A249,[3]PRIORIZADOS!$A:$T,20,FALSE)="","",VLOOKUP(A249,[3]PRIORIZADOS!$A:$T,20,FALSE)),"")</f>
        <v>No</v>
      </c>
      <c r="U249" s="11" t="str">
        <f>IFERROR(IF(VLOOKUP(A249,[3]PRIORIZADOS!$A:$U,21,FALSE)="","",VLOOKUP(A249,[3]PRIORIZADOS!$A:$U,21,FALSE)),"")</f>
        <v>Verificar la conformación del Gobierno Escolar e instancias para la vigencia 2026 o antes si la IE lo requiere o se presenta solicitud o queja.</v>
      </c>
    </row>
    <row r="250" spans="1:21" s="1" customFormat="1" ht="60">
      <c r="A250" s="69">
        <f>IF([3]PRIORIZADOS!A61="","",[3]PRIORIZADOS!A61)</f>
        <v>256</v>
      </c>
      <c r="B250" s="70">
        <f>IFERROR(IF(VLOOKUP(A250,[3]PRIORIZADOS!$A:$B,2,FALSE)="","",VLOOKUP(A250,[3]PRIORIZADOS!$A:$B,2,FALSE)),"")</f>
        <v>6</v>
      </c>
      <c r="C250" s="11" t="str">
        <f>IFERROR(IF(VLOOKUP(A250,[3]PRIORIZADOS!$A:$C,3,FALSE)="","",VLOOKUP(A250,[3]PRIORIZADOS!$A:$C,3,FALSE)),"")</f>
        <v>BOSA</v>
      </c>
      <c r="D250" s="11" t="str">
        <f>IFERROR(IF(VLOOKUP(A250,[3]PRIORIZADOS!$A:$D,4,FALSE)="","",VLOOKUP(A250,[3]PRIORIZADOS!$A:$D,4,FALSE)),"")</f>
        <v>PRIVADO</v>
      </c>
      <c r="E250" s="11" t="str">
        <f>IFERROR(IF(VLOOKUP(A250,[3]PRIORIZADOS!$A:$E,5,FALSE)="","",VLOOKUP(A250,[3]PRIORIZADOS!$A:$E,5,FALSE)),"")</f>
        <v>EPBM</v>
      </c>
      <c r="F250" s="11" t="str">
        <f>IFERROR(IF(VLOOKUP(A250,[3]PRIORIZADOS!$A:$F,6,FALSE)="","",VLOOKUP(A250,[3]PRIORIZADOS!$A:$F,6,FALSE)),"")</f>
        <v>INSTITUTO_ACADEMICO_LA_PORTADA</v>
      </c>
      <c r="G250" s="11" t="str">
        <f>IFERROR(IF(VLOOKUP(A250,[3]PRIORIZADOS!$A:$G,7,FALSE)="","",VLOOKUP(A250,[3]PRIORIZADOS!$A:$G,7,FALSE)),"")</f>
        <v>INSTITUTO ACADEMICO LA PORTADA</v>
      </c>
      <c r="H250" s="11" t="str">
        <f>IFERROR(IF(VLOOKUP(A250,[3]PRIORIZADOS!$A:$H,8,FALSE)="","",VLOOKUP(A250,[3]PRIORIZADOS!$A:$H,8,FALSE)),"")</f>
        <v>Autoevaluación Institucional y Pruebas SABER 11</v>
      </c>
      <c r="I250" s="11" t="str">
        <f>IFERROR(IF(VLOOKUP(A250,[3]PRIORIZADOS!$A:$I,9,FALSE)="","",VLOOKUP(A250,[3]PRIORIZADOS!$A:$I,9,FALSE)),"")</f>
        <v>EVALUACIÓN_CON_FINES_DE_MEJORAMIENTO.</v>
      </c>
      <c r="J250" s="11" t="str">
        <f>IFERROR(IF(VLOOKUP(A250,[3]PRIORIZADOS!$A:$J,10,FALSE)="","",VLOOKUP(A250,[3]PRIORIZADOS!$A:$J,10,FALSE)),"")</f>
        <v>Verificar las condiciones en cuanto a: la estructura administrativa, condiciones de la planta física y medios educativos adecuados.</v>
      </c>
      <c r="K250" s="11" t="str">
        <f>IFERROR(IF(VLOOKUP(A250,[3]PRIORIZADOS!$A:$K,11,FALSE)="","",VLOOKUP(A250,[3]PRIORIZADOS!$A:$K,11,FALSE)),"")</f>
        <v>JOSE YECID PAJOY CASTRO</v>
      </c>
      <c r="L250" s="11" t="str">
        <f>IFERROR(IF(VLOOKUP(A250,[3]PRIORIZADOS!$A:$L,12,FALSE)="","",VLOOKUP(A250,[3]PRIORIZADOS!$A:$L,12,FALSE)),"")</f>
        <v>JOSÉ ANTONIO PÁEZ FETECUA</v>
      </c>
      <c r="M250" s="71">
        <f>IFERROR(IF(VLOOKUP(A250,[3]PRIORIZADOS!$A:$M,13,FALSE)="","",VLOOKUP(A250,[3]PRIORIZADOS!$A:$M,13,FALSE)),"")</f>
        <v>45750</v>
      </c>
      <c r="N250" s="71">
        <f>IFERROR(IF(VLOOKUP(A250,[3]PRIORIZADOS!$A:$N,14,FALSE)="","",VLOOKUP(A250,[3]PRIORIZADOS!$A:$N,14,FALSE)),"")</f>
        <v>45750</v>
      </c>
      <c r="O250" s="71">
        <f>IFERROR(IF(VLOOKUP(A250,[3]PRIORIZADOS!$A:$O,15,FALSE)="","",VLOOKUP(A250,[3]PRIORIZADOS!$A:$O,15,FALSE)),"")</f>
        <v>45750</v>
      </c>
      <c r="P250" s="11" t="str">
        <f>IFERROR(IF(VLOOKUP(A250,[3]PRIORIZADOS!$A:$P,16,FALSE)="","",VLOOKUP(A250,[3]PRIORIZADOS!$A:$P,16,FALSE)),"")</f>
        <v>Visitas de evaluación con fines de mejoramiento</v>
      </c>
      <c r="Q250" s="122" t="s">
        <v>57</v>
      </c>
      <c r="R250" s="11" t="str">
        <f>IFERROR(IF(VLOOKUP(A250,[3]PRIORIZADOS!$A:$R,18,FALSE)="","",VLOOKUP(A250,[3]PRIORIZADOS!$A:$R,18,FALSE)),"")</f>
        <v>Se realiza un recorrido en las instalaciones de la IE, verificando las condiciones en cuanto a: la estructura administrativa, condiciones de la planta física y medios educativos adecuados.</v>
      </c>
      <c r="S250" s="11" t="str">
        <f>IFERROR(IF(VLOOKUP(A250,[3]PRIORIZADOS!$A:$S,19,FALSE)="","",VLOOKUP(A250,[3]PRIORIZADOS!$A:$S,19,FALSE)),"")</f>
        <v>Las condiciones de la planta física son adecuadas y se recomienda actualizar el mobiliario más antiguo</v>
      </c>
      <c r="T250" s="70" t="str">
        <f>IFERROR(IF(VLOOKUP(A250,[3]PRIORIZADOS!$A:$T,20,FALSE)="","",VLOOKUP(A250,[3]PRIORIZADOS!$A:$T,20,FALSE)),"")</f>
        <v>No</v>
      </c>
      <c r="U250" s="11" t="str">
        <f>IFERROR(IF(VLOOKUP(A250,[3]PRIORIZADOS!$A:$U,21,FALSE)="","",VLOOKUP(A250,[3]PRIORIZADOS!$A:$U,21,FALSE)),"")</f>
        <v>Las condiciones de la planta física garantizan la adecuada prestación del servicio educativo</v>
      </c>
    </row>
    <row r="251" spans="1:21" s="1" customFormat="1" ht="60">
      <c r="A251" s="69">
        <f>IF([3]PRIORIZADOS!A62="","",[3]PRIORIZADOS!A62)</f>
        <v>257</v>
      </c>
      <c r="B251" s="70">
        <f>IFERROR(IF(VLOOKUP(A251,[3]PRIORIZADOS!$A:$B,2,FALSE)="","",VLOOKUP(A251,[3]PRIORIZADOS!$A:$B,2,FALSE)),"")</f>
        <v>7</v>
      </c>
      <c r="C251" s="11" t="str">
        <f>IFERROR(IF(VLOOKUP(A251,[3]PRIORIZADOS!$A:$C,3,FALSE)="","",VLOOKUP(A251,[3]PRIORIZADOS!$A:$C,3,FALSE)),"")</f>
        <v>BOSA</v>
      </c>
      <c r="D251" s="11" t="str">
        <f>IFERROR(IF(VLOOKUP(A251,[3]PRIORIZADOS!$A:$D,4,FALSE)="","",VLOOKUP(A251,[3]PRIORIZADOS!$A:$D,4,FALSE)),"")</f>
        <v>PRIVADO</v>
      </c>
      <c r="E251" s="11" t="str">
        <f>IFERROR(IF(VLOOKUP(A251,[3]PRIORIZADOS!$A:$E,5,FALSE)="","",VLOOKUP(A251,[3]PRIORIZADOS!$A:$E,5,FALSE)),"")</f>
        <v>EPBM</v>
      </c>
      <c r="F251" s="11" t="str">
        <f>IFERROR(IF(VLOOKUP(A251,[3]PRIORIZADOS!$A:$F,6,FALSE)="","",VLOOKUP(A251,[3]PRIORIZADOS!$A:$F,6,FALSE)),"")</f>
        <v>INSTITUTO_ALVARO_MUTIS</v>
      </c>
      <c r="G251" s="11" t="str">
        <f>IFERROR(IF(VLOOKUP(A251,[3]PRIORIZADOS!$A:$G,7,FALSE)="","",VLOOKUP(A251,[3]PRIORIZADOS!$A:$G,7,FALSE)),"")</f>
        <v>INSTITUTO ALVARO MUTIS</v>
      </c>
      <c r="H251" s="11" t="str">
        <f>IFERROR(IF(VLOOKUP(A251,[3]PRIORIZADOS!$A:$H,8,FALSE)="","",VLOOKUP(A251,[3]PRIORIZADOS!$A:$H,8,FALSE)),"")</f>
        <v>Autoevaluación Institucional y Pruebas SABER 11</v>
      </c>
      <c r="I251" s="11" t="str">
        <f>IFERROR(IF(VLOOKUP(A251,[3]PRIORIZADOS!$A:$I,9,FALSE)="","",VLOOKUP(A251,[3]PRIORIZADOS!$A:$I,9,FALSE)),"")</f>
        <v>SEGUIMIENTO_Y_SUPERVISIÓN.</v>
      </c>
      <c r="J251" s="11" t="str">
        <f>IFERROR(IF(VLOOKUP(A251,[3]PRIORIZADOS!$A:$J,10,FALSE)="","",VLOOKUP(A251,[3]PRIORIZADOS!$A:$J,10,FALSE)),"")</f>
        <v>Realizar visitas para verificar la información registrada sobre la autoevaluación institucional en el aplicativo EVI, a los establecimientos de educación formal no oficial.</v>
      </c>
      <c r="K251" s="11" t="str">
        <f>IFERROR(IF(VLOOKUP(A251,[3]PRIORIZADOS!$A:$K,11,FALSE)="","",VLOOKUP(A251,[3]PRIORIZADOS!$A:$K,11,FALSE)),"")</f>
        <v>JOSÉ ANTONIO PÁEZ FETECUA</v>
      </c>
      <c r="L251" s="11" t="str">
        <f>IFERROR(IF(VLOOKUP(A251,[3]PRIORIZADOS!$A:$L,12,FALSE)="","",VLOOKUP(A251,[3]PRIORIZADOS!$A:$L,12,FALSE)),"")</f>
        <v>JULIÁN FELIPE BERNAL GARZÓN</v>
      </c>
      <c r="M251" s="71">
        <f>IFERROR(IF(VLOOKUP(A251,[3]PRIORIZADOS!$A:$M,13,FALSE)="","",VLOOKUP(A251,[3]PRIORIZADOS!$A:$M,13,FALSE)),"")</f>
        <v>45755</v>
      </c>
      <c r="N251" s="71">
        <f>IFERROR(IF(VLOOKUP(A251,[3]PRIORIZADOS!$A:$N,14,FALSE)="","",VLOOKUP(A251,[3]PRIORIZADOS!$A:$N,14,FALSE)),"")</f>
        <v>45755</v>
      </c>
      <c r="O251" s="71">
        <f>IFERROR(IF(VLOOKUP(A251,[3]PRIORIZADOS!$A:$O,15,FALSE)="","",VLOOKUP(A251,[3]PRIORIZADOS!$A:$O,15,FALSE)),"")</f>
        <v>45755</v>
      </c>
      <c r="P251" s="11" t="str">
        <f>IFERROR(IF(VLOOKUP(A251,[3]PRIORIZADOS!$A:$P,16,FALSE)="","",VLOOKUP(A251,[3]PRIORIZADOS!$A:$P,16,FALSE)),"")</f>
        <v>Visitas de evaluación con fines de mejoramiento</v>
      </c>
      <c r="Q251" s="122" t="s">
        <v>58</v>
      </c>
      <c r="R251" s="11" t="str">
        <f>IFERROR(IF(VLOOKUP(A251,[3]PRIORIZADOS!$A:$R,18,FALSE)="","",VLOOKUP(A251,[3]PRIORIZADOS!$A:$R,18,FALSE)),"")</f>
        <v>La información consignada en la Plataforma EVI relacionada con los indicadores de: planta física, dotación de espacios y calendario académico coincide con lo verificado en campo</v>
      </c>
      <c r="S251" s="11" t="str">
        <f>IFERROR(IF(VLOOKUP(A251,[3]PRIORIZADOS!$A:$S,19,FALSE)="","",VLOOKUP(A251,[3]PRIORIZADOS!$A:$S,19,FALSE)),"")</f>
        <v xml:space="preserve">Se concluye que la IE realizará su autoevalución institucional en el mes octubre.  </v>
      </c>
      <c r="T251" s="70" t="str">
        <f>IFERROR(IF(VLOOKUP(A251,[3]PRIORIZADOS!$A:$T,20,FALSE)="","",VLOOKUP(A251,[3]PRIORIZADOS!$A:$T,20,FALSE)),"")</f>
        <v>No</v>
      </c>
      <c r="U251" s="11" t="str">
        <f>IFERROR(IF(VLOOKUP(A251,[3]PRIORIZADOS!$A:$U,21,FALSE)="","",VLOOKUP(A251,[3]PRIORIZADOS!$A:$U,21,FALSE)),"")</f>
        <v>Se verificará la información cargada por la IE en el aplicativo EVI de la autoevaluación,  para la emisión del concepto de tarifas 2026</v>
      </c>
    </row>
    <row r="252" spans="1:21" s="1" customFormat="1" ht="60">
      <c r="A252" s="69">
        <f>IF([3]PRIORIZADOS!A63="","",[3]PRIORIZADOS!A63)</f>
        <v>258</v>
      </c>
      <c r="B252" s="70">
        <f>IFERROR(IF(VLOOKUP(A252,[3]PRIORIZADOS!$A:$B,2,FALSE)="","",VLOOKUP(A252,[3]PRIORIZADOS!$A:$B,2,FALSE)),"")</f>
        <v>7</v>
      </c>
      <c r="C252" s="11" t="str">
        <f>IFERROR(IF(VLOOKUP(A252,[3]PRIORIZADOS!$A:$C,3,FALSE)="","",VLOOKUP(A252,[3]PRIORIZADOS!$A:$C,3,FALSE)),"")</f>
        <v>BOSA</v>
      </c>
      <c r="D252" s="11" t="str">
        <f>IFERROR(IF(VLOOKUP(A252,[3]PRIORIZADOS!$A:$D,4,FALSE)="","",VLOOKUP(A252,[3]PRIORIZADOS!$A:$D,4,FALSE)),"")</f>
        <v>PRIVADO</v>
      </c>
      <c r="E252" s="11" t="str">
        <f>IFERROR(IF(VLOOKUP(A252,[3]PRIORIZADOS!$A:$E,5,FALSE)="","",VLOOKUP(A252,[3]PRIORIZADOS!$A:$E,5,FALSE)),"")</f>
        <v>EPBM</v>
      </c>
      <c r="F252" s="11" t="str">
        <f>IFERROR(IF(VLOOKUP(A252,[3]PRIORIZADOS!$A:$F,6,FALSE)="","",VLOOKUP(A252,[3]PRIORIZADOS!$A:$F,6,FALSE)),"")</f>
        <v>INSTITUTO_ALVARO_MUTIS</v>
      </c>
      <c r="G252" s="11" t="str">
        <f>IFERROR(IF(VLOOKUP(A252,[3]PRIORIZADOS!$A:$G,7,FALSE)="","",VLOOKUP(A252,[3]PRIORIZADOS!$A:$G,7,FALSE)),"")</f>
        <v>INSTITUTO ALVARO MUTIS</v>
      </c>
      <c r="H252" s="11" t="str">
        <f>IFERROR(IF(VLOOKUP(A252,[3]PRIORIZADOS!$A:$H,8,FALSE)="","",VLOOKUP(A252,[3]PRIORIZADOS!$A:$H,8,FALSE)),"")</f>
        <v>Autoevaluación Institucional y Pruebas SABER 11</v>
      </c>
      <c r="I252" s="11" t="str">
        <f>IFERROR(IF(VLOOKUP(A252,[3]PRIORIZADOS!$A:$I,9,FALSE)="","",VLOOKUP(A252,[3]PRIORIZADOS!$A:$I,9,FALSE)),"")</f>
        <v>SEGUIMIENTO_Y_SUPERVISIÓN.</v>
      </c>
      <c r="J252" s="11" t="str">
        <f>IFERROR(IF(VLOOKUP(A252,[3]PRIORIZADOS!$A:$J,10,FALSE)="","",VLOOKUP(A252,[3]PRIORIZADOS!$A:$J,10,FALSE)),"")</f>
        <v>Proponer estrategias en la formulación, verificar su elaboración y realizar seguimiento semestral al desarrollo de  las acciones establecidas en los planes de mejoramiento por pruebas SABER 11 de los establecimientos de educación formal.</v>
      </c>
      <c r="K252" s="11" t="str">
        <f>IFERROR(IF(VLOOKUP(A252,[3]PRIORIZADOS!$A:$K,11,FALSE)="","",VLOOKUP(A252,[3]PRIORIZADOS!$A:$K,11,FALSE)),"")</f>
        <v>JOSÉ ANTONIO PÁEZ FETECUA</v>
      </c>
      <c r="L252" s="11" t="str">
        <f>IFERROR(IF(VLOOKUP(A252,[3]PRIORIZADOS!$A:$L,12,FALSE)="","",VLOOKUP(A252,[3]PRIORIZADOS!$A:$L,12,FALSE)),"")</f>
        <v>JULIÁN FELIPE BERNAL GARZÓN</v>
      </c>
      <c r="M252" s="71">
        <f>IFERROR(IF(VLOOKUP(A252,[3]PRIORIZADOS!$A:$M,13,FALSE)="","",VLOOKUP(A252,[3]PRIORIZADOS!$A:$M,13,FALSE)),"")</f>
        <v>45755</v>
      </c>
      <c r="N252" s="71">
        <f>IFERROR(IF(VLOOKUP(A252,[3]PRIORIZADOS!$A:$N,14,FALSE)="","",VLOOKUP(A252,[3]PRIORIZADOS!$A:$N,14,FALSE)),"")</f>
        <v>45755</v>
      </c>
      <c r="O252" s="71">
        <f>IFERROR(IF(VLOOKUP(A252,[3]PRIORIZADOS!$A:$O,15,FALSE)="","",VLOOKUP(A252,[3]PRIORIZADOS!$A:$O,15,FALSE)),"")</f>
        <v>45755</v>
      </c>
      <c r="P252" s="11" t="str">
        <f>IFERROR(IF(VLOOKUP(A252,[3]PRIORIZADOS!$A:$P,16,FALSE)="","",VLOOKUP(A252,[3]PRIORIZADOS!$A:$P,16,FALSE)),"")</f>
        <v>Visitas de evaluación con fines de seguimiento</v>
      </c>
      <c r="Q252" s="122" t="s">
        <v>58</v>
      </c>
      <c r="R252" s="11" t="str">
        <f>IFERROR(IF(VLOOKUP(A252,[3]PRIORIZADOS!$A:$R,18,FALSE)="","",VLOOKUP(A252,[3]PRIORIZADOS!$A:$R,18,FALSE)),"")</f>
        <v>Se adelanta la revisión de los Resultados de las Pruebas Saber 11, encontrando que la IE se encuentra en Categoría A</v>
      </c>
      <c r="S252" s="11" t="str">
        <f>IFERROR(IF(VLOOKUP(A252,[3]PRIORIZADOS!$A:$S,19,FALSE)="","",VLOOKUP(A252,[3]PRIORIZADOS!$A:$S,19,FALSE)),"")</f>
        <v>Se aporta documento que la Institución educativa que compara diferentes vigencias y la mejora anual hasta llegar a la categoría A  en los resultados 2024</v>
      </c>
      <c r="T252" s="70" t="str">
        <f>IFERROR(IF(VLOOKUP(A252,[3]PRIORIZADOS!$A:$T,20,FALSE)="","",VLOOKUP(A252,[3]PRIORIZADOS!$A:$T,20,FALSE)),"")</f>
        <v>No</v>
      </c>
      <c r="U252" s="11" t="str">
        <f>IFERROR(IF(VLOOKUP(A252,[3]PRIORIZADOS!$A:$U,21,FALSE)="","",VLOOKUP(A252,[3]PRIORIZADOS!$A:$U,21,FALSE)),"")</f>
        <v>Se acordó revisar nuevamente el documento en el mes de agosto de 2025 y generar espacios de asesoría, conforme lo requiera la IE</v>
      </c>
    </row>
    <row r="253" spans="1:21" s="1" customFormat="1" ht="72">
      <c r="A253" s="69">
        <f>IF([3]PRIORIZADOS!A64="","",[3]PRIORIZADOS!A64)</f>
        <v>259</v>
      </c>
      <c r="B253" s="70">
        <f>IFERROR(IF(VLOOKUP(A253,[3]PRIORIZADOS!$A:$B,2,FALSE)="","",VLOOKUP(A253,[3]PRIORIZADOS!$A:$B,2,FALSE)),"")</f>
        <v>7</v>
      </c>
      <c r="C253" s="11" t="str">
        <f>IFERROR(IF(VLOOKUP(A253,[3]PRIORIZADOS!$A:$C,3,FALSE)="","",VLOOKUP(A253,[3]PRIORIZADOS!$A:$C,3,FALSE)),"")</f>
        <v>BOSA</v>
      </c>
      <c r="D253" s="11" t="str">
        <f>IFERROR(IF(VLOOKUP(A253,[3]PRIORIZADOS!$A:$D,4,FALSE)="","",VLOOKUP(A253,[3]PRIORIZADOS!$A:$D,4,FALSE)),"")</f>
        <v>PRIVADO</v>
      </c>
      <c r="E253" s="11" t="str">
        <f>IFERROR(IF(VLOOKUP(A253,[3]PRIORIZADOS!$A:$E,5,FALSE)="","",VLOOKUP(A253,[3]PRIORIZADOS!$A:$E,5,FALSE)),"")</f>
        <v>EPBM</v>
      </c>
      <c r="F253" s="11" t="str">
        <f>IFERROR(IF(VLOOKUP(A253,[3]PRIORIZADOS!$A:$F,6,FALSE)="","",VLOOKUP(A253,[3]PRIORIZADOS!$A:$F,6,FALSE)),"")</f>
        <v>INSTITUTO_ALVARO_MUTIS</v>
      </c>
      <c r="G253" s="11" t="str">
        <f>IFERROR(IF(VLOOKUP(A253,[3]PRIORIZADOS!$A:$G,7,FALSE)="","",VLOOKUP(A253,[3]PRIORIZADOS!$A:$G,7,FALSE)),"")</f>
        <v>INSTITUTO ALVARO MUTIS</v>
      </c>
      <c r="H253" s="11" t="str">
        <f>IFERROR(IF(VLOOKUP(A253,[3]PRIORIZADOS!$A:$H,8,FALSE)="","",VLOOKUP(A253,[3]PRIORIZADOS!$A:$H,8,FALSE)),"")</f>
        <v>Autoevaluación Institucional y Pruebas SABER 11</v>
      </c>
      <c r="I253" s="11" t="str">
        <f>IFERROR(IF(VLOOKUP(A253,[3]PRIORIZADOS!$A:$I,9,FALSE)="","",VLOOKUP(A253,[3]PRIORIZADOS!$A:$I,9,FALSE)),"")</f>
        <v>SEGUIMIENTO_Y_SUPERVISIÓN.</v>
      </c>
      <c r="J253" s="11" t="str">
        <f>IFERROR(IF(VLOOKUP(A253,[3]PRIORIZADOS!$A:$J,10,FALSE)="","",VLOOKUP(A253,[3]PRIORIZADOS!$A:$J,10,FALSE)),"")</f>
        <v xml:space="preserve">Verificar la implementación por parte de los colegios, de acciones realizadas para la prevención y atención de las situaciones de convivencia en el entorno escolar, según lo establecido en la Directiva 01 de 2022 del MEN. </v>
      </c>
      <c r="K253" s="11" t="str">
        <f>IFERROR(IF(VLOOKUP(A253,[3]PRIORIZADOS!$A:$K,11,FALSE)="","",VLOOKUP(A253,[3]PRIORIZADOS!$A:$K,11,FALSE)),"")</f>
        <v>JOSÉ ANTONIO PÁEZ FETECUA</v>
      </c>
      <c r="L253" s="11" t="str">
        <f>IFERROR(IF(VLOOKUP(A253,[3]PRIORIZADOS!$A:$L,12,FALSE)="","",VLOOKUP(A253,[3]PRIORIZADOS!$A:$L,12,FALSE)),"")</f>
        <v>JULIÁN FELIPE BERNAL GARZÓN</v>
      </c>
      <c r="M253" s="71">
        <f>IFERROR(IF(VLOOKUP(A253,[3]PRIORIZADOS!$A:$M,13,FALSE)="","",VLOOKUP(A253,[3]PRIORIZADOS!$A:$M,13,FALSE)),"")</f>
        <v>45755</v>
      </c>
      <c r="N253" s="71">
        <f>IFERROR(IF(VLOOKUP(A253,[3]PRIORIZADOS!$A:$N,14,FALSE)="","",VLOOKUP(A253,[3]PRIORIZADOS!$A:$N,14,FALSE)),"")</f>
        <v>45755</v>
      </c>
      <c r="O253" s="71">
        <f>IFERROR(IF(VLOOKUP(A253,[3]PRIORIZADOS!$A:$O,15,FALSE)="","",VLOOKUP(A253,[3]PRIORIZADOS!$A:$O,15,FALSE)),"")</f>
        <v>45755</v>
      </c>
      <c r="P253" s="11" t="str">
        <f>IFERROR(IF(VLOOKUP(A253,[3]PRIORIZADOS!$A:$P,16,FALSE)="","",VLOOKUP(A253,[3]PRIORIZADOS!$A:$P,16,FALSE)),"")</f>
        <v>Visitas de evaluación con fines de mejoramiento</v>
      </c>
      <c r="Q253" s="107" t="s">
        <v>58</v>
      </c>
      <c r="R253" s="11" t="str">
        <f>IFERROR(IF(VLOOKUP(A253,[3]PRIORIZADOS!$A:$R,18,FALSE)="","",VLOOKUP(A253,[3]PRIORIZADOS!$A:$R,18,FALSE)),"")</f>
        <v>Se verifica la implementación de acciones  realizadas para la prevención como lo es la verificación de inhabilidades por delitos sexuales en el sistema de la Policía Nacional.</v>
      </c>
      <c r="S253" s="11" t="str">
        <f>IFERROR(IF(VLOOKUP(A253,[3]PRIORIZADOS!$A:$S,19,FALSE)="","",VLOOKUP(A253,[3]PRIORIZADOS!$A:$S,19,FALSE)),"")</f>
        <v>Como acción de verificación se solicita implementar  la autorización de directivos, docentes y administrativos para las consultas de antecedentes en los sistemas que se requieran al momento de la vinculación</v>
      </c>
      <c r="T253" s="70" t="str">
        <f>IFERROR(IF(VLOOKUP(A253,[3]PRIORIZADOS!$A:$T,20,FALSE)="","",VLOOKUP(A253,[3]PRIORIZADOS!$A:$T,20,FALSE)),"")</f>
        <v>No</v>
      </c>
      <c r="U253" s="11" t="str">
        <f>IFERROR(IF(VLOOKUP(A253,[3]PRIORIZADOS!$A:$U,21,FALSE)="","",VLOOKUP(A253,[3]PRIORIZADOS!$A:$U,21,FALSE)),"")</f>
        <v>Verificar que la IE cuente con las respectivas autorizaciones para las consultas de antedecentes del personal vinculado.</v>
      </c>
    </row>
    <row r="254" spans="1:21" s="1" customFormat="1" ht="107.25">
      <c r="A254" s="69">
        <f>IF([3]PRIORIZADOS!A65="","",[3]PRIORIZADOS!A65)</f>
        <v>260</v>
      </c>
      <c r="B254" s="70">
        <f>IFERROR(IF(VLOOKUP(A254,[3]PRIORIZADOS!$A:$B,2,FALSE)="","",VLOOKUP(A254,[3]PRIORIZADOS!$A:$B,2,FALSE)),"")</f>
        <v>7</v>
      </c>
      <c r="C254" s="11" t="str">
        <f>IFERROR(IF(VLOOKUP(A254,[3]PRIORIZADOS!$A:$C,3,FALSE)="","",VLOOKUP(A254,[3]PRIORIZADOS!$A:$C,3,FALSE)),"")</f>
        <v>BOSA</v>
      </c>
      <c r="D254" s="11" t="str">
        <f>IFERROR(IF(VLOOKUP(A254,[3]PRIORIZADOS!$A:$D,4,FALSE)="","",VLOOKUP(A254,[3]PRIORIZADOS!$A:$D,4,FALSE)),"")</f>
        <v>PRIVADO</v>
      </c>
      <c r="E254" s="11" t="str">
        <f>IFERROR(IF(VLOOKUP(A254,[3]PRIORIZADOS!$A:$E,5,FALSE)="","",VLOOKUP(A254,[3]PRIORIZADOS!$A:$E,5,FALSE)),"")</f>
        <v>EPBM</v>
      </c>
      <c r="F254" s="11" t="str">
        <f>IFERROR(IF(VLOOKUP(A254,[3]PRIORIZADOS!$A:$F,6,FALSE)="","",VLOOKUP(A254,[3]PRIORIZADOS!$A:$F,6,FALSE)),"")</f>
        <v>INSTITUTO_ALVARO_MUTIS</v>
      </c>
      <c r="G254" s="11" t="str">
        <f>IFERROR(IF(VLOOKUP(A254,[3]PRIORIZADOS!$A:$G,7,FALSE)="","",VLOOKUP(A254,[3]PRIORIZADOS!$A:$G,7,FALSE)),"")</f>
        <v>INSTITUTO ALVARO MUTIS</v>
      </c>
      <c r="H254" s="11" t="str">
        <f>IFERROR(IF(VLOOKUP(A254,[3]PRIORIZADOS!$A:$H,8,FALSE)="","",VLOOKUP(A254,[3]PRIORIZADOS!$A:$H,8,FALSE)),"")</f>
        <v>Autoevaluación Institucional y Pruebas SABER 11</v>
      </c>
      <c r="I254" s="11" t="str">
        <f>IFERROR(IF(VLOOKUP(A254,[3]PRIORIZADOS!$A:$I,9,FALSE)="","",VLOOKUP(A254,[3]PRIORIZADOS!$A:$I,9,FALSE)),"")</f>
        <v>SEGUIMIENTO_Y_SUPERVISIÓN.</v>
      </c>
      <c r="J254" s="11" t="str">
        <f>IFERROR(IF(VLOOKUP(A254,[3]PRIORIZADOS!$A:$J,10,FALSE)="","",VLOOKUP(A254,[3]PRIORIZADOS!$A:$J,10,FALSE)),"")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4" s="11" t="str">
        <f>IFERROR(IF(VLOOKUP(A254,[3]PRIORIZADOS!$A:$K,11,FALSE)="","",VLOOKUP(A254,[3]PRIORIZADOS!$A:$K,11,FALSE)),"")</f>
        <v>JOSÉ ANTONIO PÁEZ FETECUA</v>
      </c>
      <c r="L254" s="11" t="str">
        <f>IFERROR(IF(VLOOKUP(A254,[3]PRIORIZADOS!$A:$L,12,FALSE)="","",VLOOKUP(A254,[3]PRIORIZADOS!$A:$L,12,FALSE)),"")</f>
        <v>JULIÁN FELIPE BERNAL GARZÓN</v>
      </c>
      <c r="M254" s="71">
        <f>IFERROR(IF(VLOOKUP(A254,[3]PRIORIZADOS!$A:$M,13,FALSE)="","",VLOOKUP(A254,[3]PRIORIZADOS!$A:$M,13,FALSE)),"")</f>
        <v>45755</v>
      </c>
      <c r="N254" s="71">
        <f>IFERROR(IF(VLOOKUP(A254,[3]PRIORIZADOS!$A:$N,14,FALSE)="","",VLOOKUP(A254,[3]PRIORIZADOS!$A:$N,14,FALSE)),"")</f>
        <v>45755</v>
      </c>
      <c r="O254" s="71">
        <f>IFERROR(IF(VLOOKUP(A254,[3]PRIORIZADOS!$A:$O,15,FALSE)="","",VLOOKUP(A254,[3]PRIORIZADOS!$A:$O,15,FALSE)),"")</f>
        <v>45755</v>
      </c>
      <c r="P254" s="11" t="str">
        <f>IFERROR(IF(VLOOKUP(A254,[3]PRIORIZADOS!$A:$P,16,FALSE)="","",VLOOKUP(A254,[3]PRIORIZADOS!$A:$P,16,FALSE)),"")</f>
        <v>Visitas de evaluación con fines de mejoramiento</v>
      </c>
      <c r="Q254" s="107" t="s">
        <v>58</v>
      </c>
      <c r="R254" s="11" t="str">
        <f>IFERROR(IF(VLOOKUP(A254,[3]PRIORIZADOS!$A:$R,18,FALSE)="","",VLOOKUP(A254,[3]PRIORIZADOS!$A:$R,18,FALSE)),"")</f>
        <v>Al revisar la Plataforma SIMAT, hay 01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54" s="11" t="str">
        <f>IFERROR(IF(VLOOKUP(A254,[3]PRIORIZADOS!$A:$S,19,FALSE)="","",VLOOKUP(A254,[3]PRIORIZADOS!$A:$S,19,FALSE)),"")</f>
        <v>La Institución Educativa se compromete a remitir el Documento Institucional del Plan Individual de Ajustes Razonables PIAR</v>
      </c>
      <c r="T254" s="70" t="str">
        <f>IFERROR(IF(VLOOKUP(A254,[3]PRIORIZADOS!$A:$T,20,FALSE)="","",VLOOKUP(A254,[3]PRIORIZADOS!$A:$T,20,FALSE)),"")</f>
        <v>No</v>
      </c>
      <c r="U254" s="11" t="str">
        <f>IFERROR(IF(VLOOKUP(A254,[3]PRIORIZADOS!$A:$U,21,FALSE)="","",VLOOKUP(A254,[3]PRIORIZADOS!$A:$U,21,FALSE)),"")</f>
        <v>Verificar la información en SIMAT</v>
      </c>
    </row>
    <row r="255" spans="1:21" s="1" customFormat="1" ht="84">
      <c r="A255" s="69">
        <f>IF([3]PRIORIZADOS!A66="","",[3]PRIORIZADOS!A66)</f>
        <v>261</v>
      </c>
      <c r="B255" s="70">
        <f>IFERROR(IF(VLOOKUP(A255,[3]PRIORIZADOS!$A:$B,2,FALSE)="","",VLOOKUP(A255,[3]PRIORIZADOS!$A:$B,2,FALSE)),"")</f>
        <v>7</v>
      </c>
      <c r="C255" s="11" t="str">
        <f>IFERROR(IF(VLOOKUP(A255,[3]PRIORIZADOS!$A:$C,3,FALSE)="","",VLOOKUP(A255,[3]PRIORIZADOS!$A:$C,3,FALSE)),"")</f>
        <v>BOSA</v>
      </c>
      <c r="D255" s="11" t="str">
        <f>IFERROR(IF(VLOOKUP(A255,[3]PRIORIZADOS!$A:$D,4,FALSE)="","",VLOOKUP(A255,[3]PRIORIZADOS!$A:$D,4,FALSE)),"")</f>
        <v>PRIVADO</v>
      </c>
      <c r="E255" s="11" t="str">
        <f>IFERROR(IF(VLOOKUP(A255,[3]PRIORIZADOS!$A:$E,5,FALSE)="","",VLOOKUP(A255,[3]PRIORIZADOS!$A:$E,5,FALSE)),"")</f>
        <v>EPBM</v>
      </c>
      <c r="F255" s="11" t="str">
        <f>IFERROR(IF(VLOOKUP(A255,[3]PRIORIZADOS!$A:$F,6,FALSE)="","",VLOOKUP(A255,[3]PRIORIZADOS!$A:$F,6,FALSE)),"")</f>
        <v>INSTITUTO_ALVARO_MUTIS</v>
      </c>
      <c r="G255" s="11" t="str">
        <f>IFERROR(IF(VLOOKUP(A255,[3]PRIORIZADOS!$A:$G,7,FALSE)="","",VLOOKUP(A255,[3]PRIORIZADOS!$A:$G,7,FALSE)),"")</f>
        <v>INSTITUTO ALVARO MUTIS</v>
      </c>
      <c r="H255" s="11" t="str">
        <f>IFERROR(IF(VLOOKUP(A255,[3]PRIORIZADOS!$A:$H,8,FALSE)="","",VLOOKUP(A255,[3]PRIORIZADOS!$A:$H,8,FALSE)),"")</f>
        <v>Autoevaluación Institucional y Pruebas SABER 11</v>
      </c>
      <c r="I255" s="11" t="str">
        <f>IFERROR(IF(VLOOKUP(A255,[3]PRIORIZADOS!$A:$I,9,FALSE)="","",VLOOKUP(A255,[3]PRIORIZADOS!$A:$I,9,FALSE)),"")</f>
        <v>EVALUACIÓN_CON_FINES_DE_MEJORAMIENTO.</v>
      </c>
      <c r="J255" s="11" t="str">
        <f>IFERROR(IF(VLOOKUP(A255,[3]PRIORIZADOS!$A:$J,10,FALSE)="","",VLOOKUP(A255,[3]PRIORIZADOS!$A:$J,10,FALSE)),"")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5" s="11" t="str">
        <f>IFERROR(IF(VLOOKUP(A255,[3]PRIORIZADOS!$A:$K,11,FALSE)="","",VLOOKUP(A255,[3]PRIORIZADOS!$A:$K,11,FALSE)),"")</f>
        <v>JOSÉ ANTONIO PÁEZ FETECUA</v>
      </c>
      <c r="L255" s="11" t="str">
        <f>IFERROR(IF(VLOOKUP(A255,[3]PRIORIZADOS!$A:$L,12,FALSE)="","",VLOOKUP(A255,[3]PRIORIZADOS!$A:$L,12,FALSE)),"")</f>
        <v>JULIÁN FELIPE BERNAL GARZÓN</v>
      </c>
      <c r="M255" s="71">
        <f>IFERROR(IF(VLOOKUP(A255,[3]PRIORIZADOS!$A:$M,13,FALSE)="","",VLOOKUP(A255,[3]PRIORIZADOS!$A:$M,13,FALSE)),"")</f>
        <v>45755</v>
      </c>
      <c r="N255" s="71">
        <f>IFERROR(IF(VLOOKUP(A255,[3]PRIORIZADOS!$A:$N,14,FALSE)="","",VLOOKUP(A255,[3]PRIORIZADOS!$A:$N,14,FALSE)),"")</f>
        <v>45755</v>
      </c>
      <c r="O255" s="71">
        <f>IFERROR(IF(VLOOKUP(A255,[3]PRIORIZADOS!$A:$O,15,FALSE)="","",VLOOKUP(A255,[3]PRIORIZADOS!$A:$O,15,FALSE)),"")</f>
        <v>45755</v>
      </c>
      <c r="P255" s="11" t="str">
        <f>IFERROR(IF(VLOOKUP(A255,[3]PRIORIZADOS!$A:$P,16,FALSE)="","",VLOOKUP(A255,[3]PRIORIZADOS!$A:$P,16,FALSE)),"")</f>
        <v>Visitas de evaluación con fines de mejoramiento</v>
      </c>
      <c r="Q255" s="107" t="s">
        <v>58</v>
      </c>
      <c r="R255" s="11" t="str">
        <f>IFERROR(IF(VLOOKUP(A255,[3]PRIORIZADOS!$A:$R,18,FALSE)="","",VLOOKUP(A255,[3]PRIORIZADOS!$A:$R,18,FALSE)),"")</f>
        <v>El Manual de Convivencia fue construido y adoptado de forma participativa e incluye los componentes generales, los diferentes enfoques y se encuentra conforme a lo establecido en el PEI y la normatividad vigente</v>
      </c>
      <c r="S255" s="11" t="str">
        <f>IFERROR(IF(VLOOKUP(A255,[3]PRIORIZADOS!$A:$S,19,FALSE)="","",VLOOKUP(A255,[3]PRIORIZADOS!$A:$S,19,FALSE)),"")</f>
        <v>Como acción de verificación la Institución Educativa se compromete a remitir la versión actualizada del Manual de Convivencia a la vigencia 2024 -2025</v>
      </c>
      <c r="T255" s="70" t="str">
        <f>IFERROR(IF(VLOOKUP(A255,[3]PRIORIZADOS!$A:$T,20,FALSE)="","",VLOOKUP(A255,[3]PRIORIZADOS!$A:$T,20,FALSE)),"")</f>
        <v>No</v>
      </c>
      <c r="U255" s="11" t="str">
        <f>IFERROR(IF(VLOOKUP(A255,[3]PRIORIZADOS!$A:$U,21,FALSE)="","",VLOOKUP(A255,[3]PRIORIZADOS!$A:$U,21,FALSE)),"")</f>
        <v>Verificar nuevamente el documento en el mes de agosto de 2025 y generar espacios de asesoría, conforme lo requiera la IE</v>
      </c>
    </row>
    <row r="256" spans="1:21" s="1" customFormat="1" ht="72">
      <c r="A256" s="69">
        <f>IF([3]PRIORIZADOS!A67="","",[3]PRIORIZADOS!A67)</f>
        <v>262</v>
      </c>
      <c r="B256" s="70">
        <f>IFERROR(IF(VLOOKUP(A256,[3]PRIORIZADOS!$A:$B,2,FALSE)="","",VLOOKUP(A256,[3]PRIORIZADOS!$A:$B,2,FALSE)),"")</f>
        <v>7</v>
      </c>
      <c r="C256" s="11" t="str">
        <f>IFERROR(IF(VLOOKUP(A256,[3]PRIORIZADOS!$A:$C,3,FALSE)="","",VLOOKUP(A256,[3]PRIORIZADOS!$A:$C,3,FALSE)),"")</f>
        <v>BOSA</v>
      </c>
      <c r="D256" s="11" t="str">
        <f>IFERROR(IF(VLOOKUP(A256,[3]PRIORIZADOS!$A:$D,4,FALSE)="","",VLOOKUP(A256,[3]PRIORIZADOS!$A:$D,4,FALSE)),"")</f>
        <v>PRIVADO</v>
      </c>
      <c r="E256" s="11" t="str">
        <f>IFERROR(IF(VLOOKUP(A256,[3]PRIORIZADOS!$A:$E,5,FALSE)="","",VLOOKUP(A256,[3]PRIORIZADOS!$A:$E,5,FALSE)),"")</f>
        <v>EPBM</v>
      </c>
      <c r="F256" s="11" t="str">
        <f>IFERROR(IF(VLOOKUP(A256,[3]PRIORIZADOS!$A:$F,6,FALSE)="","",VLOOKUP(A256,[3]PRIORIZADOS!$A:$F,6,FALSE)),"")</f>
        <v>INSTITUTO_ALVARO_MUTIS</v>
      </c>
      <c r="G256" s="11" t="str">
        <f>IFERROR(IF(VLOOKUP(A256,[3]PRIORIZADOS!$A:$G,7,FALSE)="","",VLOOKUP(A256,[3]PRIORIZADOS!$A:$G,7,FALSE)),"")</f>
        <v>INSTITUTO ALVARO MUTIS</v>
      </c>
      <c r="H256" s="11" t="str">
        <f>IFERROR(IF(VLOOKUP(A256,[3]PRIORIZADOS!$A:$H,8,FALSE)="","",VLOOKUP(A256,[3]PRIORIZADOS!$A:$H,8,FALSE)),"")</f>
        <v>Autoevaluación Institucional y Pruebas SABER 11</v>
      </c>
      <c r="I256" s="11" t="str">
        <f>IFERROR(IF(VLOOKUP(A256,[3]PRIORIZADOS!$A:$I,9,FALSE)="","",VLOOKUP(A256,[3]PRIORIZADOS!$A:$I,9,FALSE)),"")</f>
        <v>EVALUACIÓN_CON_FINES_DE_MEJORAMIENTO.</v>
      </c>
      <c r="J256" s="11" t="str">
        <f>IFERROR(IF(VLOOKUP(A256,[3]PRIORIZADOS!$A:$J,10,FALSE)="","",VLOOKUP(A256,[3]PRIORIZADOS!$A:$J,10,FALSE)),"")</f>
        <v>Revisar la actualización, socialización e implementación del Sistema Institucional de Evaluación de Estudiantes - SIEE, en articulación con la actualización del PEI y la normatividad vigente.</v>
      </c>
      <c r="K256" s="11" t="str">
        <f>IFERROR(IF(VLOOKUP(A256,[3]PRIORIZADOS!$A:$K,11,FALSE)="","",VLOOKUP(A256,[3]PRIORIZADOS!$A:$K,11,FALSE)),"")</f>
        <v>JOSÉ ANTONIO PÁEZ FETECUA</v>
      </c>
      <c r="L256" s="11" t="str">
        <f>IFERROR(IF(VLOOKUP(A256,[3]PRIORIZADOS!$A:$L,12,FALSE)="","",VLOOKUP(A256,[3]PRIORIZADOS!$A:$L,12,FALSE)),"")</f>
        <v>JULIÁN FELIPE BERNAL GARZÓN</v>
      </c>
      <c r="M256" s="71">
        <f>IFERROR(IF(VLOOKUP(A256,[3]PRIORIZADOS!$A:$M,13,FALSE)="","",VLOOKUP(A256,[3]PRIORIZADOS!$A:$M,13,FALSE)),"")</f>
        <v>45755</v>
      </c>
      <c r="N256" s="71">
        <f>IFERROR(IF(VLOOKUP(A256,[3]PRIORIZADOS!$A:$N,14,FALSE)="","",VLOOKUP(A256,[3]PRIORIZADOS!$A:$N,14,FALSE)),"")</f>
        <v>45755</v>
      </c>
      <c r="O256" s="71">
        <f>IFERROR(IF(VLOOKUP(A256,[3]PRIORIZADOS!$A:$O,15,FALSE)="","",VLOOKUP(A256,[3]PRIORIZADOS!$A:$O,15,FALSE)),"")</f>
        <v>45755</v>
      </c>
      <c r="P256" s="11" t="str">
        <f>IFERROR(IF(VLOOKUP(A256,[3]PRIORIZADOS!$A:$P,16,FALSE)="","",VLOOKUP(A256,[3]PRIORIZADOS!$A:$P,16,FALSE)),"")</f>
        <v>Visitas de evaluación con fines de mejoramiento</v>
      </c>
      <c r="Q256" s="107" t="s">
        <v>58</v>
      </c>
      <c r="R256" s="11" t="str">
        <f>IFERROR(IF(VLOOKUP(A256,[3]PRIORIZADOS!$A:$R,18,FALSE)="","",VLOOKUP(A256,[3]PRIORIZADOS!$A:$R,18,FALSE)),"")</f>
        <v>Se evidencia el Sistema Institucional de Evaluación de Estudiantes - SIEE, actualizado para la vigencia 2025. Fue construido en articulación con el Consejo Directivo y la comunidad educativa desde el año 2019 y se actualiza cada 2 años</v>
      </c>
      <c r="S256" s="11" t="str">
        <f>IFERROR(IF(VLOOKUP(A256,[3]PRIORIZADOS!$A:$S,19,FALSE)="","",VLOOKUP(A256,[3]PRIORIZADOS!$A:$S,19,FALSE)),"")</f>
        <v>Como acción de verificación la Institución Educativa se compromete a remitir la versión actualizada del  Sistema institucional de evaluación de los estudiantes- SIEE</v>
      </c>
      <c r="T256" s="70" t="str">
        <f>IFERROR(IF(VLOOKUP(A256,[3]PRIORIZADOS!$A:$T,20,FALSE)="","",VLOOKUP(A256,[3]PRIORIZADOS!$A:$T,20,FALSE)),"")</f>
        <v>No</v>
      </c>
      <c r="U256" s="11" t="str">
        <f>IFERROR(IF(VLOOKUP(A256,[3]PRIORIZADOS!$A:$U,21,FALSE)="","",VLOOKUP(A256,[3]PRIORIZADOS!$A:$U,21,FALSE)),"")</f>
        <v>Verificar nuevamente el documento en el mes de agosto de 2025 y generar espacios de asesoría, conforme lo requiera la IE</v>
      </c>
    </row>
    <row r="257" spans="1:21" s="1" customFormat="1" ht="48">
      <c r="A257" s="69">
        <f>IF([3]PRIORIZADOS!A68="","",[3]PRIORIZADOS!A68)</f>
        <v>263</v>
      </c>
      <c r="B257" s="70">
        <f>IFERROR(IF(VLOOKUP(A257,[3]PRIORIZADOS!$A:$B,2,FALSE)="","",VLOOKUP(A257,[3]PRIORIZADOS!$A:$B,2,FALSE)),"")</f>
        <v>7</v>
      </c>
      <c r="C257" s="11" t="str">
        <f>IFERROR(IF(VLOOKUP(A257,[3]PRIORIZADOS!$A:$C,3,FALSE)="","",VLOOKUP(A257,[3]PRIORIZADOS!$A:$C,3,FALSE)),"")</f>
        <v>BOSA</v>
      </c>
      <c r="D257" s="11" t="str">
        <f>IFERROR(IF(VLOOKUP(A257,[3]PRIORIZADOS!$A:$D,4,FALSE)="","",VLOOKUP(A257,[3]PRIORIZADOS!$A:$D,4,FALSE)),"")</f>
        <v>PRIVADO</v>
      </c>
      <c r="E257" s="11" t="str">
        <f>IFERROR(IF(VLOOKUP(A257,[3]PRIORIZADOS!$A:$E,5,FALSE)="","",VLOOKUP(A257,[3]PRIORIZADOS!$A:$E,5,FALSE)),"")</f>
        <v>EPBM</v>
      </c>
      <c r="F257" s="11" t="str">
        <f>IFERROR(IF(VLOOKUP(A257,[3]PRIORIZADOS!$A:$F,6,FALSE)="","",VLOOKUP(A257,[3]PRIORIZADOS!$A:$F,6,FALSE)),"")</f>
        <v>INSTITUTO_ALVARO_MUTIS</v>
      </c>
      <c r="G257" s="11" t="str">
        <f>IFERROR(IF(VLOOKUP(A257,[3]PRIORIZADOS!$A:$G,7,FALSE)="","",VLOOKUP(A257,[3]PRIORIZADOS!$A:$G,7,FALSE)),"")</f>
        <v>INSTITUTO ALVARO MUTIS</v>
      </c>
      <c r="H257" s="11" t="str">
        <f>IFERROR(IF(VLOOKUP(A257,[3]PRIORIZADOS!$A:$H,8,FALSE)="","",VLOOKUP(A257,[3]PRIORIZADOS!$A:$H,8,FALSE)),"")</f>
        <v>Autoevaluación Institucional y Pruebas SABER 11</v>
      </c>
      <c r="I257" s="11" t="str">
        <f>IFERROR(IF(VLOOKUP(A257,[3]PRIORIZADOS!$A:$I,9,FALSE)="","",VLOOKUP(A257,[3]PRIORIZADOS!$A:$I,9,FALSE)),"")</f>
        <v>EVALUACIÓN_CON_FINES_DE_MEJORAMIENTO.</v>
      </c>
      <c r="J257" s="11" t="str">
        <f>IFERROR(IF(VLOOKUP(A257,[3]PRIORIZADOS!$A:$J,10,FALSE)="","",VLOOKUP(A257,[3]PRIORIZADOS!$A:$J,10,FALSE)),"")</f>
        <v>Revisar el calendario escolar, jornada escolar, la intensidad horaria mínima anual en cada nivel y las modificaciones que se realicen al mismo, de acuerdo con lo previsto en la normatividad vigente.</v>
      </c>
      <c r="K257" s="11" t="str">
        <f>IFERROR(IF(VLOOKUP(A257,[3]PRIORIZADOS!$A:$K,11,FALSE)="","",VLOOKUP(A257,[3]PRIORIZADOS!$A:$K,11,FALSE)),"")</f>
        <v>JOSÉ ANTONIO PÁEZ FETECUA</v>
      </c>
      <c r="L257" s="11" t="str">
        <f>IFERROR(IF(VLOOKUP(A257,[3]PRIORIZADOS!$A:$L,12,FALSE)="","",VLOOKUP(A257,[3]PRIORIZADOS!$A:$L,12,FALSE)),"")</f>
        <v>JULIÁN FELIPE BERNAL GARZÓN</v>
      </c>
      <c r="M257" s="71">
        <f>IFERROR(IF(VLOOKUP(A257,[3]PRIORIZADOS!$A:$M,13,FALSE)="","",VLOOKUP(A257,[3]PRIORIZADOS!$A:$M,13,FALSE)),"")</f>
        <v>45755</v>
      </c>
      <c r="N257" s="71">
        <f>IFERROR(IF(VLOOKUP(A257,[3]PRIORIZADOS!$A:$N,14,FALSE)="","",VLOOKUP(A257,[3]PRIORIZADOS!$A:$N,14,FALSE)),"")</f>
        <v>45755</v>
      </c>
      <c r="O257" s="71">
        <f>IFERROR(IF(VLOOKUP(A257,[3]PRIORIZADOS!$A:$O,15,FALSE)="","",VLOOKUP(A257,[3]PRIORIZADOS!$A:$O,15,FALSE)),"")</f>
        <v>45755</v>
      </c>
      <c r="P257" s="11" t="str">
        <f>IFERROR(IF(VLOOKUP(A257,[3]PRIORIZADOS!$A:$P,16,FALSE)="","",VLOOKUP(A257,[3]PRIORIZADOS!$A:$P,16,FALSE)),"")</f>
        <v>Visitas de evaluación con fines de mejoramiento</v>
      </c>
      <c r="Q257" s="107" t="s">
        <v>58</v>
      </c>
      <c r="R257" s="11" t="str">
        <f>IFERROR(IF(VLOOKUP(A257,[3]PRIORIZADOS!$A:$R,18,FALSE)="","",VLOOKUP(A257,[3]PRIORIZADOS!$A:$R,18,FALSE)),"")</f>
        <v>El calendario escolar, jornada escolar, la intensidad horaria mínima anual en cada nivel se encuentran conforme lo previsto en la normatividad vigente</v>
      </c>
      <c r="S257" s="11" t="str">
        <f>IFERROR(IF(VLOOKUP(A257,[3]PRIORIZADOS!$A:$S,19,FALSE)="","",VLOOKUP(A257,[3]PRIORIZADOS!$A:$S,19,FALSE)),"")</f>
        <v>Como acción de verificación la Institución Educativa se compromete a remitir la versión actualizada calendario escolar</v>
      </c>
      <c r="T257" s="70" t="str">
        <f>IFERROR(IF(VLOOKUP(A257,[3]PRIORIZADOS!$A:$T,20,FALSE)="","",VLOOKUP(A257,[3]PRIORIZADOS!$A:$T,20,FALSE)),"")</f>
        <v>No</v>
      </c>
      <c r="U257" s="11" t="str">
        <f>IFERROR(IF(VLOOKUP(A257,[3]PRIORIZADOS!$A:$U,21,FALSE)="","",VLOOKUP(A257,[3]PRIORIZADOS!$A:$U,21,FALSE)),"")</f>
        <v>Verificar nuevamente el documento en el mes de agosto de 2025 y generar espacios de asesoría, conforme lo requiera la IE</v>
      </c>
    </row>
    <row r="258" spans="1:21" s="1" customFormat="1" ht="48">
      <c r="A258" s="69">
        <f>IF([3]PRIORIZADOS!A69="","",[3]PRIORIZADOS!A69)</f>
        <v>264</v>
      </c>
      <c r="B258" s="70">
        <f>IFERROR(IF(VLOOKUP(A258,[3]PRIORIZADOS!$A:$B,2,FALSE)="","",VLOOKUP(A258,[3]PRIORIZADOS!$A:$B,2,FALSE)),"")</f>
        <v>7</v>
      </c>
      <c r="C258" s="11" t="str">
        <f>IFERROR(IF(VLOOKUP(A258,[3]PRIORIZADOS!$A:$C,3,FALSE)="","",VLOOKUP(A258,[3]PRIORIZADOS!$A:$C,3,FALSE)),"")</f>
        <v>BOSA</v>
      </c>
      <c r="D258" s="11" t="str">
        <f>IFERROR(IF(VLOOKUP(A258,[3]PRIORIZADOS!$A:$D,4,FALSE)="","",VLOOKUP(A258,[3]PRIORIZADOS!$A:$D,4,FALSE)),"")</f>
        <v>PRIVADO</v>
      </c>
      <c r="E258" s="11" t="str">
        <f>IFERROR(IF(VLOOKUP(A258,[3]PRIORIZADOS!$A:$E,5,FALSE)="","",VLOOKUP(A258,[3]PRIORIZADOS!$A:$E,5,FALSE)),"")</f>
        <v>EPBM</v>
      </c>
      <c r="F258" s="11" t="str">
        <f>IFERROR(IF(VLOOKUP(A258,[3]PRIORIZADOS!$A:$F,6,FALSE)="","",VLOOKUP(A258,[3]PRIORIZADOS!$A:$F,6,FALSE)),"")</f>
        <v>INSTITUTO_ALVARO_MUTIS</v>
      </c>
      <c r="G258" s="11" t="str">
        <f>IFERROR(IF(VLOOKUP(A258,[3]PRIORIZADOS!$A:$G,7,FALSE)="","",VLOOKUP(A258,[3]PRIORIZADOS!$A:$G,7,FALSE)),"")</f>
        <v>INSTITUTO ALVARO MUTIS</v>
      </c>
      <c r="H258" s="11" t="str">
        <f>IFERROR(IF(VLOOKUP(A258,[3]PRIORIZADOS!$A:$H,8,FALSE)="","",VLOOKUP(A258,[3]PRIORIZADOS!$A:$H,8,FALSE)),"")</f>
        <v>Autoevaluación Institucional y Pruebas SABER 11</v>
      </c>
      <c r="I258" s="11" t="str">
        <f>IFERROR(IF(VLOOKUP(A258,[3]PRIORIZADOS!$A:$I,9,FALSE)="","",VLOOKUP(A258,[3]PRIORIZADOS!$A:$I,9,FALSE)),"")</f>
        <v>EVALUACIÓN_CON_FINES_DE_MEJORAMIENTO.</v>
      </c>
      <c r="J258" s="11" t="str">
        <f>IFERROR(IF(VLOOKUP(A258,[3]PRIORIZADOS!$A:$J,10,FALSE)="","",VLOOKUP(A258,[3]PRIORIZADOS!$A:$J,10,FALSE)),"")</f>
        <v>Verificar el funcionamiento del Gobierno Escolar e instancias de participación con base en la información sobre conformación reportada por la institución educativa.</v>
      </c>
      <c r="K258" s="11" t="str">
        <f>IFERROR(IF(VLOOKUP(A258,[3]PRIORIZADOS!$A:$K,11,FALSE)="","",VLOOKUP(A258,[3]PRIORIZADOS!$A:$K,11,FALSE)),"")</f>
        <v>JOSÉ ANTONIO PÁEZ FETECUA</v>
      </c>
      <c r="L258" s="11" t="str">
        <f>IFERROR(IF(VLOOKUP(A258,[3]PRIORIZADOS!$A:$L,12,FALSE)="","",VLOOKUP(A258,[3]PRIORIZADOS!$A:$L,12,FALSE)),"")</f>
        <v>JULIÁN FELIPE BERNAL GARZÓN</v>
      </c>
      <c r="M258" s="71">
        <f>IFERROR(IF(VLOOKUP(A258,[3]PRIORIZADOS!$A:$M,13,FALSE)="","",VLOOKUP(A258,[3]PRIORIZADOS!$A:$M,13,FALSE)),"")</f>
        <v>45755</v>
      </c>
      <c r="N258" s="71">
        <f>IFERROR(IF(VLOOKUP(A258,[3]PRIORIZADOS!$A:$N,14,FALSE)="","",VLOOKUP(A258,[3]PRIORIZADOS!$A:$N,14,FALSE)),"")</f>
        <v>45755</v>
      </c>
      <c r="O258" s="71">
        <f>IFERROR(IF(VLOOKUP(A258,[3]PRIORIZADOS!$A:$O,15,FALSE)="","",VLOOKUP(A258,[3]PRIORIZADOS!$A:$O,15,FALSE)),"")</f>
        <v>45755</v>
      </c>
      <c r="P258" s="11" t="str">
        <f>IFERROR(IF(VLOOKUP(A258,[3]PRIORIZADOS!$A:$P,16,FALSE)="","",VLOOKUP(A258,[3]PRIORIZADOS!$A:$P,16,FALSE)),"")</f>
        <v>Visitas de evaluación con fines de mejoramiento</v>
      </c>
      <c r="Q258" s="107" t="s">
        <v>58</v>
      </c>
      <c r="R258" s="11" t="str">
        <f>IFERROR(IF(VLOOKUP(A258,[3]PRIORIZADOS!$A:$R,18,FALSE)="","",VLOOKUP(A258,[3]PRIORIZADOS!$A:$R,18,FALSE)),"")</f>
        <v>La constitución del Gobierno Escolar y sus órganos de participación, se encuentra conforme a la Normativa Vigente</v>
      </c>
      <c r="S258" s="11" t="str">
        <f>IFERROR(IF(VLOOKUP(A258,[3]PRIORIZADOS!$A:$S,19,FALSE)="","",VLOOKUP(A258,[3]PRIORIZADOS!$A:$S,19,FALSE)),"")</f>
        <v>Continuar operando conforme funciones y reglamentos.</v>
      </c>
      <c r="T258" s="70" t="str">
        <f>IFERROR(IF(VLOOKUP(A258,[3]PRIORIZADOS!$A:$T,20,FALSE)="","",VLOOKUP(A258,[3]PRIORIZADOS!$A:$T,20,FALSE)),"")</f>
        <v>No</v>
      </c>
      <c r="U258" s="11" t="str">
        <f>IFERROR(IF(VLOOKUP(A258,[3]PRIORIZADOS!$A:$U,21,FALSE)="","",VLOOKUP(A258,[3]PRIORIZADOS!$A:$U,21,FALSE)),"")</f>
        <v>Verificar la conformación del Gobierno Escolar e instancias para la vigencia 2026 o antes si la IE lo requiere o se presenta solicitud o queja.</v>
      </c>
    </row>
    <row r="259" spans="1:21" s="1" customFormat="1" ht="60">
      <c r="A259" s="69">
        <f>IF([3]PRIORIZADOS!A70="","",[3]PRIORIZADOS!A70)</f>
        <v>265</v>
      </c>
      <c r="B259" s="70">
        <f>IFERROR(IF(VLOOKUP(A259,[3]PRIORIZADOS!$A:$B,2,FALSE)="","",VLOOKUP(A259,[3]PRIORIZADOS!$A:$B,2,FALSE)),"")</f>
        <v>7</v>
      </c>
      <c r="C259" s="11" t="str">
        <f>IFERROR(IF(VLOOKUP(A259,[3]PRIORIZADOS!$A:$C,3,FALSE)="","",VLOOKUP(A259,[3]PRIORIZADOS!$A:$C,3,FALSE)),"")</f>
        <v>BOSA</v>
      </c>
      <c r="D259" s="11" t="str">
        <f>IFERROR(IF(VLOOKUP(A259,[3]PRIORIZADOS!$A:$D,4,FALSE)="","",VLOOKUP(A259,[3]PRIORIZADOS!$A:$D,4,FALSE)),"")</f>
        <v>PRIVADO</v>
      </c>
      <c r="E259" s="11" t="str">
        <f>IFERROR(IF(VLOOKUP(A259,[3]PRIORIZADOS!$A:$E,5,FALSE)="","",VLOOKUP(A259,[3]PRIORIZADOS!$A:$E,5,FALSE)),"")</f>
        <v>EPBM</v>
      </c>
      <c r="F259" s="11" t="str">
        <f>IFERROR(IF(VLOOKUP(A259,[3]PRIORIZADOS!$A:$F,6,FALSE)="","",VLOOKUP(A259,[3]PRIORIZADOS!$A:$F,6,FALSE)),"")</f>
        <v>INSTITUTO_ALVARO_MUTIS</v>
      </c>
      <c r="G259" s="11" t="str">
        <f>IFERROR(IF(VLOOKUP(A259,[3]PRIORIZADOS!$A:$G,7,FALSE)="","",VLOOKUP(A259,[3]PRIORIZADOS!$A:$G,7,FALSE)),"")</f>
        <v>INSTITUTO ALVARO MUTIS</v>
      </c>
      <c r="H259" s="11" t="str">
        <f>IFERROR(IF(VLOOKUP(A259,[3]PRIORIZADOS!$A:$H,8,FALSE)="","",VLOOKUP(A259,[3]PRIORIZADOS!$A:$H,8,FALSE)),"")</f>
        <v>Autoevaluación Institucional y Pruebas SABER 11</v>
      </c>
      <c r="I259" s="11" t="str">
        <f>IFERROR(IF(VLOOKUP(A259,[3]PRIORIZADOS!$A:$I,9,FALSE)="","",VLOOKUP(A259,[3]PRIORIZADOS!$A:$I,9,FALSE)),"")</f>
        <v>EVALUACIÓN_CON_FINES_DE_MEJORAMIENTO.</v>
      </c>
      <c r="J259" s="11" t="str">
        <f>IFERROR(IF(VLOOKUP(A259,[3]PRIORIZADOS!$A:$J,10,FALSE)="","",VLOOKUP(A259,[3]PRIORIZADOS!$A:$J,10,FALSE)),"")</f>
        <v>Verificar las condiciones en cuanto a: la estructura administrativa, condiciones de la planta física y medios educativos adecuados.</v>
      </c>
      <c r="K259" s="11" t="str">
        <f>IFERROR(IF(VLOOKUP(A259,[3]PRIORIZADOS!$A:$K,11,FALSE)="","",VLOOKUP(A259,[3]PRIORIZADOS!$A:$K,11,FALSE)),"")</f>
        <v>JOSÉ ANTONIO PÁEZ FETECUA</v>
      </c>
      <c r="L259" s="11" t="str">
        <f>IFERROR(IF(VLOOKUP(A259,[3]PRIORIZADOS!$A:$L,12,FALSE)="","",VLOOKUP(A259,[3]PRIORIZADOS!$A:$L,12,FALSE)),"")</f>
        <v>JULIÁN FELIPE BERNAL GARZÓN</v>
      </c>
      <c r="M259" s="71">
        <f>IFERROR(IF(VLOOKUP(A259,[3]PRIORIZADOS!$A:$M,13,FALSE)="","",VLOOKUP(A259,[3]PRIORIZADOS!$A:$M,13,FALSE)),"")</f>
        <v>45755</v>
      </c>
      <c r="N259" s="71">
        <f>IFERROR(IF(VLOOKUP(A259,[3]PRIORIZADOS!$A:$N,14,FALSE)="","",VLOOKUP(A259,[3]PRIORIZADOS!$A:$N,14,FALSE)),"")</f>
        <v>45755</v>
      </c>
      <c r="O259" s="71">
        <f>IFERROR(IF(VLOOKUP(A259,[3]PRIORIZADOS!$A:$O,15,FALSE)="","",VLOOKUP(A259,[3]PRIORIZADOS!$A:$O,15,FALSE)),"")</f>
        <v>45755</v>
      </c>
      <c r="P259" s="11" t="str">
        <f>IFERROR(IF(VLOOKUP(A259,[3]PRIORIZADOS!$A:$P,16,FALSE)="","",VLOOKUP(A259,[3]PRIORIZADOS!$A:$P,16,FALSE)),"")</f>
        <v>Visitas de evaluación con fines de mejoramiento</v>
      </c>
      <c r="Q259" s="107" t="s">
        <v>58</v>
      </c>
      <c r="R259" s="11" t="str">
        <f>IFERROR(IF(VLOOKUP(A259,[3]PRIORIZADOS!$A:$R,18,FALSE)="","",VLOOKUP(A259,[3]PRIORIZADOS!$A:$R,18,FALSE)),"")</f>
        <v>Se realiza un recorrido en las instalaciones de la IE, verificando las condiciones en cuanto a: la estructura administrativa, condiciones de la planta física y medios educativos adecuados.</v>
      </c>
      <c r="S259" s="11" t="str">
        <f>IFERROR(IF(VLOOKUP(A259,[3]PRIORIZADOS!$A:$S,19,FALSE)="","",VLOOKUP(A259,[3]PRIORIZADOS!$A:$S,19,FALSE)),"")</f>
        <v>Las condiciones de la planta física son adecuadas y se recomienda actualizar el mobiliario más antiguo</v>
      </c>
      <c r="T259" s="70" t="str">
        <f>IFERROR(IF(VLOOKUP(A259,[3]PRIORIZADOS!$A:$T,20,FALSE)="","",VLOOKUP(A259,[3]PRIORIZADOS!$A:$T,20,FALSE)),"")</f>
        <v>No</v>
      </c>
      <c r="U259" s="11" t="str">
        <f>IFERROR(IF(VLOOKUP(A259,[3]PRIORIZADOS!$A:$U,21,FALSE)="","",VLOOKUP(A259,[3]PRIORIZADOS!$A:$U,21,FALSE)),"")</f>
        <v>Las condiciones de la planta física garantizan la adecuada prestación del servicio educativo</v>
      </c>
    </row>
    <row r="260" spans="1:21" s="1" customFormat="1" ht="60">
      <c r="A260" s="69">
        <f>IF([3]PRIORIZADOS!A71="","",[3]PRIORIZADOS!A71)</f>
        <v>266</v>
      </c>
      <c r="B260" s="70">
        <f>IFERROR(IF(VLOOKUP(A260,[3]PRIORIZADOS!$A:$B,2,FALSE)="","",VLOOKUP(A260,[3]PRIORIZADOS!$A:$B,2,FALSE)),"")</f>
        <v>8</v>
      </c>
      <c r="C260" s="11" t="str">
        <f>IFERROR(IF(VLOOKUP(A260,[3]PRIORIZADOS!$A:$C,3,FALSE)="","",VLOOKUP(A260,[3]PRIORIZADOS!$A:$C,3,FALSE)),"")</f>
        <v>BOSA</v>
      </c>
      <c r="D260" s="11" t="str">
        <f>IFERROR(IF(VLOOKUP(A260,[3]PRIORIZADOS!$A:$D,4,FALSE)="","",VLOOKUP(A260,[3]PRIORIZADOS!$A:$D,4,FALSE)),"")</f>
        <v>PRIVADO</v>
      </c>
      <c r="E260" s="11" t="str">
        <f>IFERROR(IF(VLOOKUP(A260,[3]PRIORIZADOS!$A:$E,5,FALSE)="","",VLOOKUP(A260,[3]PRIORIZADOS!$A:$E,5,FALSE)),"")</f>
        <v>EPBM</v>
      </c>
      <c r="F260" s="11" t="str">
        <f>IFERROR(IF(VLOOKUP(A260,[3]PRIORIZADOS!$A:$F,6,FALSE)="","",VLOOKUP(A260,[3]PRIORIZADOS!$A:$F,6,FALSE)),"")</f>
        <v>INSTITUTO_GUIMARC</v>
      </c>
      <c r="G260" s="11" t="str">
        <f>IFERROR(IF(VLOOKUP(A260,[3]PRIORIZADOS!$A:$G,7,FALSE)="","",VLOOKUP(A260,[3]PRIORIZADOS!$A:$G,7,FALSE)),"")</f>
        <v>INSTITUTO GUIMARC</v>
      </c>
      <c r="H260" s="11" t="str">
        <f>IFERROR(IF(VLOOKUP(A260,[3]PRIORIZADOS!$A:$H,8,FALSE)="","",VLOOKUP(A260,[3]PRIORIZADOS!$A:$H,8,FALSE)),"")</f>
        <v>Autoevaluación Institucional y Pruebas SABER 11</v>
      </c>
      <c r="I260" s="11" t="str">
        <f>IFERROR(IF(VLOOKUP(A260,[3]PRIORIZADOS!$A:$I,9,FALSE)="","",VLOOKUP(A260,[3]PRIORIZADOS!$A:$I,9,FALSE)),"")</f>
        <v>SEGUIMIENTO_Y_SUPERVISIÓN.</v>
      </c>
      <c r="J260" s="11" t="str">
        <f>IFERROR(IF(VLOOKUP(A260,[3]PRIORIZADOS!$A:$J,10,FALSE)="","",VLOOKUP(A260,[3]PRIORIZADOS!$A:$J,10,FALSE)),"")</f>
        <v>Realizar visitas para verificar la información registrada sobre la autoevaluación institucional en el aplicativo EVI, a los establecimientos de educación formal no oficial.</v>
      </c>
      <c r="K260" s="11" t="str">
        <f>IFERROR(IF(VLOOKUP(A260,[3]PRIORIZADOS!$A:$K,11,FALSE)="","",VLOOKUP(A260,[3]PRIORIZADOS!$A:$K,11,FALSE)),"")</f>
        <v>JULIÁN FELIPE BERNAL GARZÓN</v>
      </c>
      <c r="L260" s="11" t="str">
        <f>IFERROR(IF(VLOOKUP(A260,[3]PRIORIZADOS!$A:$L,12,FALSE)="","",VLOOKUP(A260,[3]PRIORIZADOS!$A:$L,12,FALSE)),"")</f>
        <v>JOSÉ ANTONIO PÁEZ FETECUA</v>
      </c>
      <c r="M260" s="71">
        <f>IFERROR(IF(VLOOKUP(A260,[3]PRIORIZADOS!$A:$M,13,FALSE)="","",VLOOKUP(A260,[3]PRIORIZADOS!$A:$M,13,FALSE)),"")</f>
        <v>45769</v>
      </c>
      <c r="N260" s="71">
        <f>IFERROR(IF(VLOOKUP(A260,[3]PRIORIZADOS!$A:$N,14,FALSE)="","",VLOOKUP(A260,[3]PRIORIZADOS!$A:$N,14,FALSE)),"")</f>
        <v>45769</v>
      </c>
      <c r="O260" s="71">
        <f>IFERROR(IF(VLOOKUP(A260,[3]PRIORIZADOS!$A:$O,15,FALSE)="","",VLOOKUP(A260,[3]PRIORIZADOS!$A:$O,15,FALSE)),"")</f>
        <v>45769</v>
      </c>
      <c r="P260" s="11" t="str">
        <f>IFERROR(IF(VLOOKUP(A260,[3]PRIORIZADOS!$A:$P,16,FALSE)="","",VLOOKUP(A260,[3]PRIORIZADOS!$A:$P,16,FALSE)),"")</f>
        <v>Visitas de evaluación con fines de mejoramiento</v>
      </c>
      <c r="Q260" s="107" t="s">
        <v>59</v>
      </c>
      <c r="R260" s="11" t="str">
        <f>IFERROR(IF(VLOOKUP(A260,[3]PRIORIZADOS!$A:$R,18,FALSE)="","",VLOOKUP(A260,[3]PRIORIZADOS!$A:$R,18,FALSE)),"")</f>
        <v>La información consignada en la Plataforma EVI relacionada con los indicadores de: planta física, dotación de espacios y calendario académico coincide con lo verificado en campo</v>
      </c>
      <c r="S260" s="11" t="str">
        <f>IFERROR(IF(VLOOKUP(A260,[3]PRIORIZADOS!$A:$S,19,FALSE)="","",VLOOKUP(A260,[3]PRIORIZADOS!$A:$S,19,FALSE)),"")</f>
        <v xml:space="preserve">Se concluye que la IE realizará su autoevalución institucional en el mes octubre.  </v>
      </c>
      <c r="T260" s="70" t="str">
        <f>IFERROR(IF(VLOOKUP(A260,[3]PRIORIZADOS!$A:$T,20,FALSE)="","",VLOOKUP(A260,[3]PRIORIZADOS!$A:$T,20,FALSE)),"")</f>
        <v>No</v>
      </c>
      <c r="U260" s="11" t="str">
        <f>IFERROR(IF(VLOOKUP(A260,[3]PRIORIZADOS!$A:$U,21,FALSE)="","",VLOOKUP(A260,[3]PRIORIZADOS!$A:$U,21,FALSE)),"")</f>
        <v>Se verificará la información cargada por la IE en el aplicativo EVI de la autoevaluación,  para la emisión del concepto de tarifas 2026</v>
      </c>
    </row>
    <row r="261" spans="1:21" s="1" customFormat="1" ht="60">
      <c r="A261" s="69">
        <f>IF([3]PRIORIZADOS!A72="","",[3]PRIORIZADOS!A72)</f>
        <v>267</v>
      </c>
      <c r="B261" s="70">
        <f>IFERROR(IF(VLOOKUP(A261,[3]PRIORIZADOS!$A:$B,2,FALSE)="","",VLOOKUP(A261,[3]PRIORIZADOS!$A:$B,2,FALSE)),"")</f>
        <v>8</v>
      </c>
      <c r="C261" s="11" t="str">
        <f>IFERROR(IF(VLOOKUP(A261,[3]PRIORIZADOS!$A:$C,3,FALSE)="","",VLOOKUP(A261,[3]PRIORIZADOS!$A:$C,3,FALSE)),"")</f>
        <v>BOSA</v>
      </c>
      <c r="D261" s="11" t="str">
        <f>IFERROR(IF(VLOOKUP(A261,[3]PRIORIZADOS!$A:$D,4,FALSE)="","",VLOOKUP(A261,[3]PRIORIZADOS!$A:$D,4,FALSE)),"")</f>
        <v>PRIVADO</v>
      </c>
      <c r="E261" s="11" t="str">
        <f>IFERROR(IF(VLOOKUP(A261,[3]PRIORIZADOS!$A:$E,5,FALSE)="","",VLOOKUP(A261,[3]PRIORIZADOS!$A:$E,5,FALSE)),"")</f>
        <v>EPBM</v>
      </c>
      <c r="F261" s="11" t="str">
        <f>IFERROR(IF(VLOOKUP(A261,[3]PRIORIZADOS!$A:$F,6,FALSE)="","",VLOOKUP(A261,[3]PRIORIZADOS!$A:$F,6,FALSE)),"")</f>
        <v>INSTITUTO_GUIMARC</v>
      </c>
      <c r="G261" s="11" t="str">
        <f>IFERROR(IF(VLOOKUP(A261,[3]PRIORIZADOS!$A:$G,7,FALSE)="","",VLOOKUP(A261,[3]PRIORIZADOS!$A:$G,7,FALSE)),"")</f>
        <v>INSTITUTO GUIMARC</v>
      </c>
      <c r="H261" s="11" t="str">
        <f>IFERROR(IF(VLOOKUP(A261,[3]PRIORIZADOS!$A:$H,8,FALSE)="","",VLOOKUP(A261,[3]PRIORIZADOS!$A:$H,8,FALSE)),"")</f>
        <v>Autoevaluación Institucional y Pruebas SABER 11</v>
      </c>
      <c r="I261" s="11" t="str">
        <f>IFERROR(IF(VLOOKUP(A261,[3]PRIORIZADOS!$A:$I,9,FALSE)="","",VLOOKUP(A261,[3]PRIORIZADOS!$A:$I,9,FALSE)),"")</f>
        <v>SEGUIMIENTO_Y_SUPERVISIÓN.</v>
      </c>
      <c r="J261" s="11" t="str">
        <f>IFERROR(IF(VLOOKUP(A261,[3]PRIORIZADOS!$A:$J,10,FALSE)="","",VLOOKUP(A261,[3]PRIORIZADOS!$A:$J,10,FALSE)),"")</f>
        <v>Proponer estrategias en la formulación, verificar su elaboración y realizar seguimiento semestral al desarrollo de  las acciones establecidas en los planes de mejoramiento por pruebas SABER 11 de los establecimientos de educación formal.</v>
      </c>
      <c r="K261" s="11" t="str">
        <f>IFERROR(IF(VLOOKUP(A261,[3]PRIORIZADOS!$A:$K,11,FALSE)="","",VLOOKUP(A261,[3]PRIORIZADOS!$A:$K,11,FALSE)),"")</f>
        <v>JULIÁN FELIPE BERNAL GARZÓN</v>
      </c>
      <c r="L261" s="11" t="str">
        <f>IFERROR(IF(VLOOKUP(A261,[3]PRIORIZADOS!$A:$L,12,FALSE)="","",VLOOKUP(A261,[3]PRIORIZADOS!$A:$L,12,FALSE)),"")</f>
        <v>JOSÉ ANTONIO PÁEZ FETECUA</v>
      </c>
      <c r="M261" s="71">
        <f>IFERROR(IF(VLOOKUP(A261,[3]PRIORIZADOS!$A:$M,13,FALSE)="","",VLOOKUP(A261,[3]PRIORIZADOS!$A:$M,13,FALSE)),"")</f>
        <v>45769</v>
      </c>
      <c r="N261" s="71">
        <f>IFERROR(IF(VLOOKUP(A261,[3]PRIORIZADOS!$A:$N,14,FALSE)="","",VLOOKUP(A261,[3]PRIORIZADOS!$A:$N,14,FALSE)),"")</f>
        <v>45769</v>
      </c>
      <c r="O261" s="71">
        <f>IFERROR(IF(VLOOKUP(A261,[3]PRIORIZADOS!$A:$O,15,FALSE)="","",VLOOKUP(A261,[3]PRIORIZADOS!$A:$O,15,FALSE)),"")</f>
        <v>45769</v>
      </c>
      <c r="P261" s="11" t="str">
        <f>IFERROR(IF(VLOOKUP(A261,[3]PRIORIZADOS!$A:$P,16,FALSE)="","",VLOOKUP(A261,[3]PRIORIZADOS!$A:$P,16,FALSE)),"")</f>
        <v>Visitas de evaluación con fines de seguimiento</v>
      </c>
      <c r="Q261" s="107" t="s">
        <v>59</v>
      </c>
      <c r="R261" s="11" t="str">
        <f>IFERROR(IF(VLOOKUP(A261,[3]PRIORIZADOS!$A:$R,18,FALSE)="","",VLOOKUP(A261,[3]PRIORIZADOS!$A:$R,18,FALSE)),"")</f>
        <v>Se adelanta la revisión de los Resultados de las Pruebas Saber 11, encontrando que la IE se encuentra en Categoría A</v>
      </c>
      <c r="S261" s="11" t="str">
        <f>IFERROR(IF(VLOOKUP(A261,[3]PRIORIZADOS!$A:$S,19,FALSE)="","",VLOOKUP(A261,[3]PRIORIZADOS!$A:$S,19,FALSE)),"")</f>
        <v>Se aporta documento que la Institución educativa que compara diferentes vigencias y la mejora anual hasta llegar a la categoría A  en los resultados 2024</v>
      </c>
      <c r="T261" s="70" t="str">
        <f>IFERROR(IF(VLOOKUP(A261,[3]PRIORIZADOS!$A:$T,20,FALSE)="","",VLOOKUP(A261,[3]PRIORIZADOS!$A:$T,20,FALSE)),"")</f>
        <v>No</v>
      </c>
      <c r="U261" s="11" t="str">
        <f>IFERROR(IF(VLOOKUP(A261,[3]PRIORIZADOS!$A:$U,21,FALSE)="","",VLOOKUP(A261,[3]PRIORIZADOS!$A:$U,21,FALSE)),"")</f>
        <v>Se acordó revisar nuevamente el documento en el mes de agosto de 2025 y generar espacios de asesoría, conforme lo requiera la IE</v>
      </c>
    </row>
    <row r="262" spans="1:21" s="1" customFormat="1" ht="72">
      <c r="A262" s="69">
        <f>IF([3]PRIORIZADOS!A73="","",[3]PRIORIZADOS!A73)</f>
        <v>268</v>
      </c>
      <c r="B262" s="70">
        <f>IFERROR(IF(VLOOKUP(A262,[3]PRIORIZADOS!$A:$B,2,FALSE)="","",VLOOKUP(A262,[3]PRIORIZADOS!$A:$B,2,FALSE)),"")</f>
        <v>8</v>
      </c>
      <c r="C262" s="11" t="str">
        <f>IFERROR(IF(VLOOKUP(A262,[3]PRIORIZADOS!$A:$C,3,FALSE)="","",VLOOKUP(A262,[3]PRIORIZADOS!$A:$C,3,FALSE)),"")</f>
        <v>BOSA</v>
      </c>
      <c r="D262" s="11" t="str">
        <f>IFERROR(IF(VLOOKUP(A262,[3]PRIORIZADOS!$A:$D,4,FALSE)="","",VLOOKUP(A262,[3]PRIORIZADOS!$A:$D,4,FALSE)),"")</f>
        <v>PRIVADO</v>
      </c>
      <c r="E262" s="11" t="str">
        <f>IFERROR(IF(VLOOKUP(A262,[3]PRIORIZADOS!$A:$E,5,FALSE)="","",VLOOKUP(A262,[3]PRIORIZADOS!$A:$E,5,FALSE)),"")</f>
        <v>EPBM</v>
      </c>
      <c r="F262" s="11" t="str">
        <f>IFERROR(IF(VLOOKUP(A262,[3]PRIORIZADOS!$A:$F,6,FALSE)="","",VLOOKUP(A262,[3]PRIORIZADOS!$A:$F,6,FALSE)),"")</f>
        <v>INSTITUTO_GUIMARC</v>
      </c>
      <c r="G262" s="11" t="str">
        <f>IFERROR(IF(VLOOKUP(A262,[3]PRIORIZADOS!$A:$G,7,FALSE)="","",VLOOKUP(A262,[3]PRIORIZADOS!$A:$G,7,FALSE)),"")</f>
        <v>INSTITUTO GUIMARC</v>
      </c>
      <c r="H262" s="11" t="str">
        <f>IFERROR(IF(VLOOKUP(A262,[3]PRIORIZADOS!$A:$H,8,FALSE)="","",VLOOKUP(A262,[3]PRIORIZADOS!$A:$H,8,FALSE)),"")</f>
        <v>Autoevaluación Institucional y Pruebas SABER 11</v>
      </c>
      <c r="I262" s="11" t="str">
        <f>IFERROR(IF(VLOOKUP(A262,[3]PRIORIZADOS!$A:$I,9,FALSE)="","",VLOOKUP(A262,[3]PRIORIZADOS!$A:$I,9,FALSE)),"")</f>
        <v>SEGUIMIENTO_Y_SUPERVISIÓN.</v>
      </c>
      <c r="J262" s="11" t="str">
        <f>IFERROR(IF(VLOOKUP(A262,[3]PRIORIZADOS!$A:$J,10,FALSE)="","",VLOOKUP(A262,[3]PRIORIZADOS!$A:$J,10,FALSE)),"")</f>
        <v xml:space="preserve">Verificar la implementación por parte de los colegios, de acciones realizadas para la prevención y atención de las situaciones de convivencia en el entorno escolar, según lo establecido en la Directiva 01 de 2022 del MEN. </v>
      </c>
      <c r="K262" s="11" t="str">
        <f>IFERROR(IF(VLOOKUP(A262,[3]PRIORIZADOS!$A:$K,11,FALSE)="","",VLOOKUP(A262,[3]PRIORIZADOS!$A:$K,11,FALSE)),"")</f>
        <v>JULIÁN FELIPE BERNAL GARZÓN</v>
      </c>
      <c r="L262" s="11" t="str">
        <f>IFERROR(IF(VLOOKUP(A262,[3]PRIORIZADOS!$A:$L,12,FALSE)="","",VLOOKUP(A262,[3]PRIORIZADOS!$A:$L,12,FALSE)),"")</f>
        <v>JOSÉ ANTONIO PÁEZ FETECUA</v>
      </c>
      <c r="M262" s="71">
        <f>IFERROR(IF(VLOOKUP(A262,[3]PRIORIZADOS!$A:$M,13,FALSE)="","",VLOOKUP(A262,[3]PRIORIZADOS!$A:$M,13,FALSE)),"")</f>
        <v>45769</v>
      </c>
      <c r="N262" s="71">
        <f>IFERROR(IF(VLOOKUP(A262,[3]PRIORIZADOS!$A:$N,14,FALSE)="","",VLOOKUP(A262,[3]PRIORIZADOS!$A:$N,14,FALSE)),"")</f>
        <v>45769</v>
      </c>
      <c r="O262" s="71">
        <f>IFERROR(IF(VLOOKUP(A262,[3]PRIORIZADOS!$A:$O,15,FALSE)="","",VLOOKUP(A262,[3]PRIORIZADOS!$A:$O,15,FALSE)),"")</f>
        <v>45769</v>
      </c>
      <c r="P262" s="11" t="str">
        <f>IFERROR(IF(VLOOKUP(A262,[3]PRIORIZADOS!$A:$P,16,FALSE)="","",VLOOKUP(A262,[3]PRIORIZADOS!$A:$P,16,FALSE)),"")</f>
        <v>Visitas de evaluación con fines de mejoramiento</v>
      </c>
      <c r="Q262" s="107" t="s">
        <v>59</v>
      </c>
      <c r="R262" s="11" t="str">
        <f>IFERROR(IF(VLOOKUP(A262,[3]PRIORIZADOS!$A:$R,18,FALSE)="","",VLOOKUP(A262,[3]PRIORIZADOS!$A:$R,18,FALSE)),"")</f>
        <v>Se verifica la implementación de acciones  realizadas para la prevención como lo es la verificación de inhabilidades por delitos sexuales en el sistema de la Policía Nacional.</v>
      </c>
      <c r="S262" s="11" t="str">
        <f>IFERROR(IF(VLOOKUP(A262,[3]PRIORIZADOS!$A:$S,19,FALSE)="","",VLOOKUP(A262,[3]PRIORIZADOS!$A:$S,19,FALSE)),"")</f>
        <v>Como acción de verificación se solicita implementar  la autorización de directivos, docentes y administrativos para las consultas de antecedentes en los sistemas que se requieran al momento de la vinculación</v>
      </c>
      <c r="T262" s="70" t="str">
        <f>IFERROR(IF(VLOOKUP(A262,[3]PRIORIZADOS!$A:$T,20,FALSE)="","",VLOOKUP(A262,[3]PRIORIZADOS!$A:$T,20,FALSE)),"")</f>
        <v>No</v>
      </c>
      <c r="U262" s="11" t="str">
        <f>IFERROR(IF(VLOOKUP(A262,[3]PRIORIZADOS!$A:$U,21,FALSE)="","",VLOOKUP(A262,[3]PRIORIZADOS!$A:$U,21,FALSE)),"")</f>
        <v>Verificar que la IE cuente con las respectivas autorizaciones para las consultas de antedecentes del personal vinculado.</v>
      </c>
    </row>
    <row r="263" spans="1:21" s="1" customFormat="1" ht="107.25">
      <c r="A263" s="69">
        <f>IF([3]PRIORIZADOS!A74="","",[3]PRIORIZADOS!A74)</f>
        <v>269</v>
      </c>
      <c r="B263" s="70">
        <f>IFERROR(IF(VLOOKUP(A263,[3]PRIORIZADOS!$A:$B,2,FALSE)="","",VLOOKUP(A263,[3]PRIORIZADOS!$A:$B,2,FALSE)),"")</f>
        <v>8</v>
      </c>
      <c r="C263" s="11" t="str">
        <f>IFERROR(IF(VLOOKUP(A263,[3]PRIORIZADOS!$A:$C,3,FALSE)="","",VLOOKUP(A263,[3]PRIORIZADOS!$A:$C,3,FALSE)),"")</f>
        <v>BOSA</v>
      </c>
      <c r="D263" s="11" t="str">
        <f>IFERROR(IF(VLOOKUP(A263,[3]PRIORIZADOS!$A:$D,4,FALSE)="","",VLOOKUP(A263,[3]PRIORIZADOS!$A:$D,4,FALSE)),"")</f>
        <v>PRIVADO</v>
      </c>
      <c r="E263" s="11" t="str">
        <f>IFERROR(IF(VLOOKUP(A263,[3]PRIORIZADOS!$A:$E,5,FALSE)="","",VLOOKUP(A263,[3]PRIORIZADOS!$A:$E,5,FALSE)),"")</f>
        <v>EPBM</v>
      </c>
      <c r="F263" s="11" t="str">
        <f>IFERROR(IF(VLOOKUP(A263,[3]PRIORIZADOS!$A:$F,6,FALSE)="","",VLOOKUP(A263,[3]PRIORIZADOS!$A:$F,6,FALSE)),"")</f>
        <v>INSTITUTO_GUIMARC</v>
      </c>
      <c r="G263" s="11" t="str">
        <f>IFERROR(IF(VLOOKUP(A263,[3]PRIORIZADOS!$A:$G,7,FALSE)="","",VLOOKUP(A263,[3]PRIORIZADOS!$A:$G,7,FALSE)),"")</f>
        <v>INSTITUTO GUIMARC</v>
      </c>
      <c r="H263" s="11" t="str">
        <f>IFERROR(IF(VLOOKUP(A263,[3]PRIORIZADOS!$A:$H,8,FALSE)="","",VLOOKUP(A263,[3]PRIORIZADOS!$A:$H,8,FALSE)),"")</f>
        <v>Autoevaluación Institucional y Pruebas SABER 11</v>
      </c>
      <c r="I263" s="11" t="str">
        <f>IFERROR(IF(VLOOKUP(A263,[3]PRIORIZADOS!$A:$I,9,FALSE)="","",VLOOKUP(A263,[3]PRIORIZADOS!$A:$I,9,FALSE)),"")</f>
        <v>SEGUIMIENTO_Y_SUPERVISIÓN.</v>
      </c>
      <c r="J263" s="11" t="str">
        <f>IFERROR(IF(VLOOKUP(A263,[3]PRIORIZADOS!$A:$J,10,FALSE)="","",VLOOKUP(A263,[3]PRIORIZADOS!$A:$J,10,FALSE)),"")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3" s="11" t="str">
        <f>IFERROR(IF(VLOOKUP(A263,[3]PRIORIZADOS!$A:$K,11,FALSE)="","",VLOOKUP(A263,[3]PRIORIZADOS!$A:$K,11,FALSE)),"")</f>
        <v>JULIÁN FELIPE BERNAL GARZÓN</v>
      </c>
      <c r="L263" s="11" t="str">
        <f>IFERROR(IF(VLOOKUP(A263,[3]PRIORIZADOS!$A:$L,12,FALSE)="","",VLOOKUP(A263,[3]PRIORIZADOS!$A:$L,12,FALSE)),"")</f>
        <v>JOSÉ ANTONIO PÁEZ FETECUA</v>
      </c>
      <c r="M263" s="71">
        <f>IFERROR(IF(VLOOKUP(A263,[3]PRIORIZADOS!$A:$M,13,FALSE)="","",VLOOKUP(A263,[3]PRIORIZADOS!$A:$M,13,FALSE)),"")</f>
        <v>45769</v>
      </c>
      <c r="N263" s="71">
        <f>IFERROR(IF(VLOOKUP(A263,[3]PRIORIZADOS!$A:$N,14,FALSE)="","",VLOOKUP(A263,[3]PRIORIZADOS!$A:$N,14,FALSE)),"")</f>
        <v>45769</v>
      </c>
      <c r="O263" s="71">
        <f>IFERROR(IF(VLOOKUP(A263,[3]PRIORIZADOS!$A:$O,15,FALSE)="","",VLOOKUP(A263,[3]PRIORIZADOS!$A:$O,15,FALSE)),"")</f>
        <v>45769</v>
      </c>
      <c r="P263" s="11" t="str">
        <f>IFERROR(IF(VLOOKUP(A263,[3]PRIORIZADOS!$A:$P,16,FALSE)="","",VLOOKUP(A263,[3]PRIORIZADOS!$A:$P,16,FALSE)),"")</f>
        <v>Visitas de evaluación con fines de mejoramiento</v>
      </c>
      <c r="Q263" s="107" t="s">
        <v>59</v>
      </c>
      <c r="R263" s="11" t="str">
        <f>IFERROR(IF(VLOOKUP(A263,[3]PRIORIZADOS!$A:$R,18,FALSE)="","",VLOOKUP(A263,[3]PRIORIZADOS!$A:$R,18,FALSE)),"")</f>
        <v>Al revisar la Plataforma SIMAT, hay 01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63" s="11" t="str">
        <f>IFERROR(IF(VLOOKUP(A263,[3]PRIORIZADOS!$A:$S,19,FALSE)="","",VLOOKUP(A263,[3]PRIORIZADOS!$A:$S,19,FALSE)),"")</f>
        <v>La Institución Educativa se compromete a remitir el Documento Institucional del Plan Individual de Ajustes Razonables PIAR</v>
      </c>
      <c r="T263" s="70" t="str">
        <f>IFERROR(IF(VLOOKUP(A263,[3]PRIORIZADOS!$A:$T,20,FALSE)="","",VLOOKUP(A263,[3]PRIORIZADOS!$A:$T,20,FALSE)),"")</f>
        <v>No</v>
      </c>
      <c r="U263" s="11" t="str">
        <f>IFERROR(IF(VLOOKUP(A263,[3]PRIORIZADOS!$A:$U,21,FALSE)="","",VLOOKUP(A263,[3]PRIORIZADOS!$A:$U,21,FALSE)),"")</f>
        <v>Verificar la información en SIMAT</v>
      </c>
    </row>
    <row r="264" spans="1:21" s="1" customFormat="1" ht="84">
      <c r="A264" s="69">
        <f>IF([3]PRIORIZADOS!A75="","",[3]PRIORIZADOS!A75)</f>
        <v>270</v>
      </c>
      <c r="B264" s="70">
        <f>IFERROR(IF(VLOOKUP(A264,[3]PRIORIZADOS!$A:$B,2,FALSE)="","",VLOOKUP(A264,[3]PRIORIZADOS!$A:$B,2,FALSE)),"")</f>
        <v>8</v>
      </c>
      <c r="C264" s="11" t="str">
        <f>IFERROR(IF(VLOOKUP(A264,[3]PRIORIZADOS!$A:$C,3,FALSE)="","",VLOOKUP(A264,[3]PRIORIZADOS!$A:$C,3,FALSE)),"")</f>
        <v>BOSA</v>
      </c>
      <c r="D264" s="11" t="str">
        <f>IFERROR(IF(VLOOKUP(A264,[3]PRIORIZADOS!$A:$D,4,FALSE)="","",VLOOKUP(A264,[3]PRIORIZADOS!$A:$D,4,FALSE)),"")</f>
        <v>PRIVADO</v>
      </c>
      <c r="E264" s="11" t="str">
        <f>IFERROR(IF(VLOOKUP(A264,[3]PRIORIZADOS!$A:$E,5,FALSE)="","",VLOOKUP(A264,[3]PRIORIZADOS!$A:$E,5,FALSE)),"")</f>
        <v>EPBM</v>
      </c>
      <c r="F264" s="11" t="str">
        <f>IFERROR(IF(VLOOKUP(A264,[3]PRIORIZADOS!$A:$F,6,FALSE)="","",VLOOKUP(A264,[3]PRIORIZADOS!$A:$F,6,FALSE)),"")</f>
        <v>INSTITUTO_GUIMARC</v>
      </c>
      <c r="G264" s="11" t="str">
        <f>IFERROR(IF(VLOOKUP(A264,[3]PRIORIZADOS!$A:$G,7,FALSE)="","",VLOOKUP(A264,[3]PRIORIZADOS!$A:$G,7,FALSE)),"")</f>
        <v>INSTITUTO GUIMARC</v>
      </c>
      <c r="H264" s="11" t="str">
        <f>IFERROR(IF(VLOOKUP(A264,[3]PRIORIZADOS!$A:$H,8,FALSE)="","",VLOOKUP(A264,[3]PRIORIZADOS!$A:$H,8,FALSE)),"")</f>
        <v>Autoevaluación Institucional y Pruebas SABER 11</v>
      </c>
      <c r="I264" s="11" t="str">
        <f>IFERROR(IF(VLOOKUP(A264,[3]PRIORIZADOS!$A:$I,9,FALSE)="","",VLOOKUP(A264,[3]PRIORIZADOS!$A:$I,9,FALSE)),"")</f>
        <v>EVALUACIÓN_CON_FINES_DE_MEJORAMIENTO.</v>
      </c>
      <c r="J264" s="11" t="str">
        <f>IFERROR(IF(VLOOKUP(A264,[3]PRIORIZADOS!$A:$J,10,FALSE)="","",VLOOKUP(A264,[3]PRIORIZADOS!$A:$J,10,FALSE)),"")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4" s="11" t="str">
        <f>IFERROR(IF(VLOOKUP(A264,[3]PRIORIZADOS!$A:$K,11,FALSE)="","",VLOOKUP(A264,[3]PRIORIZADOS!$A:$K,11,FALSE)),"")</f>
        <v>JULIÁN FELIPE BERNAL GARZÓN</v>
      </c>
      <c r="L264" s="11" t="str">
        <f>IFERROR(IF(VLOOKUP(A264,[3]PRIORIZADOS!$A:$L,12,FALSE)="","",VLOOKUP(A264,[3]PRIORIZADOS!$A:$L,12,FALSE)),"")</f>
        <v>JOSÉ ANTONIO PÁEZ FETECUA</v>
      </c>
      <c r="M264" s="71">
        <f>IFERROR(IF(VLOOKUP(A264,[3]PRIORIZADOS!$A:$M,13,FALSE)="","",VLOOKUP(A264,[3]PRIORIZADOS!$A:$M,13,FALSE)),"")</f>
        <v>45769</v>
      </c>
      <c r="N264" s="71">
        <f>IFERROR(IF(VLOOKUP(A264,[3]PRIORIZADOS!$A:$N,14,FALSE)="","",VLOOKUP(A264,[3]PRIORIZADOS!$A:$N,14,FALSE)),"")</f>
        <v>45769</v>
      </c>
      <c r="O264" s="71">
        <f>IFERROR(IF(VLOOKUP(A264,[3]PRIORIZADOS!$A:$O,15,FALSE)="","",VLOOKUP(A264,[3]PRIORIZADOS!$A:$O,15,FALSE)),"")</f>
        <v>45769</v>
      </c>
      <c r="P264" s="11" t="str">
        <f>IFERROR(IF(VLOOKUP(A264,[3]PRIORIZADOS!$A:$P,16,FALSE)="","",VLOOKUP(A264,[3]PRIORIZADOS!$A:$P,16,FALSE)),"")</f>
        <v>Visitas de evaluación con fines de mejoramiento</v>
      </c>
      <c r="Q264" s="107" t="s">
        <v>59</v>
      </c>
      <c r="R264" s="11" t="str">
        <f>IFERROR(IF(VLOOKUP(A264,[3]PRIORIZADOS!$A:$R,18,FALSE)="","",VLOOKUP(A264,[3]PRIORIZADOS!$A:$R,18,FALSE)),"")</f>
        <v>El Manual de Convivencia fue construido y adoptado de forma participativa e incluye los componentes generales, los diferentes enfoques y se encuentra conforme a lo establecido en el PEI y la normatividad vigente</v>
      </c>
      <c r="S264" s="11" t="str">
        <f>IFERROR(IF(VLOOKUP(A264,[3]PRIORIZADOS!$A:$S,19,FALSE)="","",VLOOKUP(A264,[3]PRIORIZADOS!$A:$S,19,FALSE)),"")</f>
        <v>Como acción de verificación la Institución Educativa se compromete a remitir la versión actualizada del Manual de Convivencia a la vigencia 2024 -2025</v>
      </c>
      <c r="T264" s="70" t="str">
        <f>IFERROR(IF(VLOOKUP(A264,[3]PRIORIZADOS!$A:$T,20,FALSE)="","",VLOOKUP(A264,[3]PRIORIZADOS!$A:$T,20,FALSE)),"")</f>
        <v>No</v>
      </c>
      <c r="U264" s="11" t="str">
        <f>IFERROR(IF(VLOOKUP(A264,[3]PRIORIZADOS!$A:$U,21,FALSE)="","",VLOOKUP(A264,[3]PRIORIZADOS!$A:$U,21,FALSE)),"")</f>
        <v>Verificar nuevamente el documento en el mes de agosto de 2025 y generar espacios de asesoría, conforme lo requiera la IE</v>
      </c>
    </row>
    <row r="265" spans="1:21" s="1" customFormat="1" ht="60">
      <c r="A265" s="69">
        <f>IF([3]PRIORIZADOS!A76="","",[3]PRIORIZADOS!A76)</f>
        <v>271</v>
      </c>
      <c r="B265" s="70">
        <f>IFERROR(IF(VLOOKUP(A265,[3]PRIORIZADOS!$A:$B,2,FALSE)="","",VLOOKUP(A265,[3]PRIORIZADOS!$A:$B,2,FALSE)),"")</f>
        <v>8</v>
      </c>
      <c r="C265" s="11" t="str">
        <f>IFERROR(IF(VLOOKUP(A265,[3]PRIORIZADOS!$A:$C,3,FALSE)="","",VLOOKUP(A265,[3]PRIORIZADOS!$A:$C,3,FALSE)),"")</f>
        <v>BOSA</v>
      </c>
      <c r="D265" s="11" t="str">
        <f>IFERROR(IF(VLOOKUP(A265,[3]PRIORIZADOS!$A:$D,4,FALSE)="","",VLOOKUP(A265,[3]PRIORIZADOS!$A:$D,4,FALSE)),"")</f>
        <v>PRIVADO</v>
      </c>
      <c r="E265" s="11" t="str">
        <f>IFERROR(IF(VLOOKUP(A265,[3]PRIORIZADOS!$A:$E,5,FALSE)="","",VLOOKUP(A265,[3]PRIORIZADOS!$A:$E,5,FALSE)),"")</f>
        <v>EPBM</v>
      </c>
      <c r="F265" s="11" t="str">
        <f>IFERROR(IF(VLOOKUP(A265,[3]PRIORIZADOS!$A:$F,6,FALSE)="","",VLOOKUP(A265,[3]PRIORIZADOS!$A:$F,6,FALSE)),"")</f>
        <v>INSTITUTO_GUIMARC</v>
      </c>
      <c r="G265" s="11" t="str">
        <f>IFERROR(IF(VLOOKUP(A265,[3]PRIORIZADOS!$A:$G,7,FALSE)="","",VLOOKUP(A265,[3]PRIORIZADOS!$A:$G,7,FALSE)),"")</f>
        <v>INSTITUTO GUIMARC</v>
      </c>
      <c r="H265" s="11" t="str">
        <f>IFERROR(IF(VLOOKUP(A265,[3]PRIORIZADOS!$A:$H,8,FALSE)="","",VLOOKUP(A265,[3]PRIORIZADOS!$A:$H,8,FALSE)),"")</f>
        <v>Autoevaluación Institucional y Pruebas SABER 11</v>
      </c>
      <c r="I265" s="11" t="str">
        <f>IFERROR(IF(VLOOKUP(A265,[3]PRIORIZADOS!$A:$I,9,FALSE)="","",VLOOKUP(A265,[3]PRIORIZADOS!$A:$I,9,FALSE)),"")</f>
        <v>EVALUACIÓN_CON_FINES_DE_MEJORAMIENTO.</v>
      </c>
      <c r="J265" s="11" t="str">
        <f>IFERROR(IF(VLOOKUP(A265,[3]PRIORIZADOS!$A:$J,10,FALSE)="","",VLOOKUP(A265,[3]PRIORIZADOS!$A:$J,10,FALSE)),"")</f>
        <v>Revisar la actualización, socialización e implementación del Sistema Institucional de Evaluación de Estudiantes - SIEE, en articulación con la actualización del PEI y la normatividad vigente.</v>
      </c>
      <c r="K265" s="11" t="str">
        <f>IFERROR(IF(VLOOKUP(A265,[3]PRIORIZADOS!$A:$K,11,FALSE)="","",VLOOKUP(A265,[3]PRIORIZADOS!$A:$K,11,FALSE)),"")</f>
        <v>JULIÁN FELIPE BERNAL GARZÓN</v>
      </c>
      <c r="L265" s="11" t="str">
        <f>IFERROR(IF(VLOOKUP(A265,[3]PRIORIZADOS!$A:$L,12,FALSE)="","",VLOOKUP(A265,[3]PRIORIZADOS!$A:$L,12,FALSE)),"")</f>
        <v>JOSÉ ANTONIO PÁEZ FETECUA</v>
      </c>
      <c r="M265" s="71">
        <f>IFERROR(IF(VLOOKUP(A265,[3]PRIORIZADOS!$A:$M,13,FALSE)="","",VLOOKUP(A265,[3]PRIORIZADOS!$A:$M,13,FALSE)),"")</f>
        <v>45769</v>
      </c>
      <c r="N265" s="71">
        <f>IFERROR(IF(VLOOKUP(A265,[3]PRIORIZADOS!$A:$N,14,FALSE)="","",VLOOKUP(A265,[3]PRIORIZADOS!$A:$N,14,FALSE)),"")</f>
        <v>45769</v>
      </c>
      <c r="O265" s="71">
        <f>IFERROR(IF(VLOOKUP(A265,[3]PRIORIZADOS!$A:$O,15,FALSE)="","",VLOOKUP(A265,[3]PRIORIZADOS!$A:$O,15,FALSE)),"")</f>
        <v>45769</v>
      </c>
      <c r="P265" s="11" t="str">
        <f>IFERROR(IF(VLOOKUP(A265,[3]PRIORIZADOS!$A:$P,16,FALSE)="","",VLOOKUP(A265,[3]PRIORIZADOS!$A:$P,16,FALSE)),"")</f>
        <v>Visitas de evaluación con fines de mejoramiento</v>
      </c>
      <c r="Q265" s="107" t="s">
        <v>59</v>
      </c>
      <c r="R265" s="11" t="str">
        <f>IFERROR(IF(VLOOKUP(A265,[3]PRIORIZADOS!$A:$R,18,FALSE)="","",VLOOKUP(A265,[3]PRIORIZADOS!$A:$R,18,FALSE)),"")</f>
        <v>Se revisa el Sistema Institucional de Evaluación de Estudiantes - SIEE y no se encuentra incorporado en el Manual de Convivencia y requiete algunos ajustes en su contenido.</v>
      </c>
      <c r="S265" s="11" t="str">
        <f>IFERROR(IF(VLOOKUP(A265,[3]PRIORIZADOS!$A:$S,19,FALSE)="","",VLOOKUP(A265,[3]PRIORIZADOS!$A:$S,19,FALSE)),"")</f>
        <v>Remitir la versión actualizada del Sistema Institucional de Evaluación de Estudiantes - SIEE, en articulación con la actualización del PEI y la normatividad vigente.</v>
      </c>
      <c r="T265" s="70" t="str">
        <f>IFERROR(IF(VLOOKUP(A265,[3]PRIORIZADOS!$A:$T,20,FALSE)="","",VLOOKUP(A265,[3]PRIORIZADOS!$A:$T,20,FALSE)),"")</f>
        <v>Si</v>
      </c>
      <c r="U265" s="11" t="str">
        <f>IFERROR(IF(VLOOKUP(A265,[3]PRIORIZADOS!$A:$U,21,FALSE)="","",VLOOKUP(A265,[3]PRIORIZADOS!$A:$U,21,FALSE)),"")</f>
        <v>Revisar el Sistema Institucional de Evaluación de Estudiantes - SIEE actualizado en 2025 y retroalimentar a la IE.</v>
      </c>
    </row>
    <row r="266" spans="1:21" s="1" customFormat="1" ht="48">
      <c r="A266" s="69">
        <f>IF([3]PRIORIZADOS!A77="","",[3]PRIORIZADOS!A77)</f>
        <v>272</v>
      </c>
      <c r="B266" s="70">
        <f>IFERROR(IF(VLOOKUP(A266,[3]PRIORIZADOS!$A:$B,2,FALSE)="","",VLOOKUP(A266,[3]PRIORIZADOS!$A:$B,2,FALSE)),"")</f>
        <v>8</v>
      </c>
      <c r="C266" s="11" t="str">
        <f>IFERROR(IF(VLOOKUP(A266,[3]PRIORIZADOS!$A:$C,3,FALSE)="","",VLOOKUP(A266,[3]PRIORIZADOS!$A:$C,3,FALSE)),"")</f>
        <v>BOSA</v>
      </c>
      <c r="D266" s="11" t="str">
        <f>IFERROR(IF(VLOOKUP(A266,[3]PRIORIZADOS!$A:$D,4,FALSE)="","",VLOOKUP(A266,[3]PRIORIZADOS!$A:$D,4,FALSE)),"")</f>
        <v>PRIVADO</v>
      </c>
      <c r="E266" s="11" t="str">
        <f>IFERROR(IF(VLOOKUP(A266,[3]PRIORIZADOS!$A:$E,5,FALSE)="","",VLOOKUP(A266,[3]PRIORIZADOS!$A:$E,5,FALSE)),"")</f>
        <v>EPBM</v>
      </c>
      <c r="F266" s="11" t="str">
        <f>IFERROR(IF(VLOOKUP(A266,[3]PRIORIZADOS!$A:$F,6,FALSE)="","",VLOOKUP(A266,[3]PRIORIZADOS!$A:$F,6,FALSE)),"")</f>
        <v>INSTITUTO_GUIMARC</v>
      </c>
      <c r="G266" s="11" t="str">
        <f>IFERROR(IF(VLOOKUP(A266,[3]PRIORIZADOS!$A:$G,7,FALSE)="","",VLOOKUP(A266,[3]PRIORIZADOS!$A:$G,7,FALSE)),"")</f>
        <v>INSTITUTO GUIMARC</v>
      </c>
      <c r="H266" s="11" t="str">
        <f>IFERROR(IF(VLOOKUP(A266,[3]PRIORIZADOS!$A:$H,8,FALSE)="","",VLOOKUP(A266,[3]PRIORIZADOS!$A:$H,8,FALSE)),"")</f>
        <v>Autoevaluación Institucional y Pruebas SABER 11</v>
      </c>
      <c r="I266" s="11" t="str">
        <f>IFERROR(IF(VLOOKUP(A266,[3]PRIORIZADOS!$A:$I,9,FALSE)="","",VLOOKUP(A266,[3]PRIORIZADOS!$A:$I,9,FALSE)),"")</f>
        <v>EVALUACIÓN_CON_FINES_DE_MEJORAMIENTO.</v>
      </c>
      <c r="J266" s="11" t="str">
        <f>IFERROR(IF(VLOOKUP(A266,[3]PRIORIZADOS!$A:$J,10,FALSE)="","",VLOOKUP(A266,[3]PRIORIZADOS!$A:$J,10,FALSE)),"")</f>
        <v>Revisar el calendario escolar, jornada escolar, la intensidad horaria mínima anual en cada nivel y las modificaciones que se realicen al mismo, de acuerdo con lo previsto en la normatividad vigente.</v>
      </c>
      <c r="K266" s="11" t="str">
        <f>IFERROR(IF(VLOOKUP(A266,[3]PRIORIZADOS!$A:$K,11,FALSE)="","",VLOOKUP(A266,[3]PRIORIZADOS!$A:$K,11,FALSE)),"")</f>
        <v>JULIÁN FELIPE BERNAL GARZÓN</v>
      </c>
      <c r="L266" s="11" t="str">
        <f>IFERROR(IF(VLOOKUP(A266,[3]PRIORIZADOS!$A:$L,12,FALSE)="","",VLOOKUP(A266,[3]PRIORIZADOS!$A:$L,12,FALSE)),"")</f>
        <v>JOSÉ ANTONIO PÁEZ FETECUA</v>
      </c>
      <c r="M266" s="71">
        <f>IFERROR(IF(VLOOKUP(A266,[3]PRIORIZADOS!$A:$M,13,FALSE)="","",VLOOKUP(A266,[3]PRIORIZADOS!$A:$M,13,FALSE)),"")</f>
        <v>45769</v>
      </c>
      <c r="N266" s="71">
        <f>IFERROR(IF(VLOOKUP(A266,[3]PRIORIZADOS!$A:$N,14,FALSE)="","",VLOOKUP(A266,[3]PRIORIZADOS!$A:$N,14,FALSE)),"")</f>
        <v>45769</v>
      </c>
      <c r="O266" s="71">
        <f>IFERROR(IF(VLOOKUP(A266,[3]PRIORIZADOS!$A:$O,15,FALSE)="","",VLOOKUP(A266,[3]PRIORIZADOS!$A:$O,15,FALSE)),"")</f>
        <v>45769</v>
      </c>
      <c r="P266" s="11" t="str">
        <f>IFERROR(IF(VLOOKUP(A266,[3]PRIORIZADOS!$A:$P,16,FALSE)="","",VLOOKUP(A266,[3]PRIORIZADOS!$A:$P,16,FALSE)),"")</f>
        <v>Visitas de evaluación con fines de mejoramiento</v>
      </c>
      <c r="Q266" s="107" t="s">
        <v>59</v>
      </c>
      <c r="R266" s="11" t="str">
        <f>IFERROR(IF(VLOOKUP(A266,[3]PRIORIZADOS!$A:$R,18,FALSE)="","",VLOOKUP(A266,[3]PRIORIZADOS!$A:$R,18,FALSE)),"")</f>
        <v>El calendario escolar, jornada escolar, la intensidad horaria mínima anual en cada nivel se encuentran conforme lo previsto en la normatividad vigente</v>
      </c>
      <c r="S266" s="11" t="str">
        <f>IFERROR(IF(VLOOKUP(A266,[3]PRIORIZADOS!$A:$S,19,FALSE)="","",VLOOKUP(A266,[3]PRIORIZADOS!$A:$S,19,FALSE)),"")</f>
        <v>Como acción de verificación la Institución Educativa se compromete a remitir la versión actualizada calendario escolar</v>
      </c>
      <c r="T266" s="70" t="str">
        <f>IFERROR(IF(VLOOKUP(A266,[3]PRIORIZADOS!$A:$T,20,FALSE)="","",VLOOKUP(A266,[3]PRIORIZADOS!$A:$T,20,FALSE)),"")</f>
        <v>No</v>
      </c>
      <c r="U266" s="11" t="str">
        <f>IFERROR(IF(VLOOKUP(A266,[3]PRIORIZADOS!$A:$U,21,FALSE)="","",VLOOKUP(A266,[3]PRIORIZADOS!$A:$U,21,FALSE)),"")</f>
        <v>Verificar nuevamente el documento en el mes de agosto de 2025 y generar espacios de asesoría, conforme lo requiera la IE</v>
      </c>
    </row>
    <row r="267" spans="1:21" s="1" customFormat="1" ht="48">
      <c r="A267" s="69">
        <f>IF([3]PRIORIZADOS!A78="","",[3]PRIORIZADOS!A78)</f>
        <v>273</v>
      </c>
      <c r="B267" s="70">
        <f>IFERROR(IF(VLOOKUP(A267,[3]PRIORIZADOS!$A:$B,2,FALSE)="","",VLOOKUP(A267,[3]PRIORIZADOS!$A:$B,2,FALSE)),"")</f>
        <v>8</v>
      </c>
      <c r="C267" s="11" t="str">
        <f>IFERROR(IF(VLOOKUP(A267,[3]PRIORIZADOS!$A:$C,3,FALSE)="","",VLOOKUP(A267,[3]PRIORIZADOS!$A:$C,3,FALSE)),"")</f>
        <v>BOSA</v>
      </c>
      <c r="D267" s="11" t="str">
        <f>IFERROR(IF(VLOOKUP(A267,[3]PRIORIZADOS!$A:$D,4,FALSE)="","",VLOOKUP(A267,[3]PRIORIZADOS!$A:$D,4,FALSE)),"")</f>
        <v>PRIVADO</v>
      </c>
      <c r="E267" s="11" t="str">
        <f>IFERROR(IF(VLOOKUP(A267,[3]PRIORIZADOS!$A:$E,5,FALSE)="","",VLOOKUP(A267,[3]PRIORIZADOS!$A:$E,5,FALSE)),"")</f>
        <v>EPBM</v>
      </c>
      <c r="F267" s="11" t="str">
        <f>IFERROR(IF(VLOOKUP(A267,[3]PRIORIZADOS!$A:$F,6,FALSE)="","",VLOOKUP(A267,[3]PRIORIZADOS!$A:$F,6,FALSE)),"")</f>
        <v>INSTITUTO_GUIMARC</v>
      </c>
      <c r="G267" s="11" t="str">
        <f>IFERROR(IF(VLOOKUP(A267,[3]PRIORIZADOS!$A:$G,7,FALSE)="","",VLOOKUP(A267,[3]PRIORIZADOS!$A:$G,7,FALSE)),"")</f>
        <v>INSTITUTO GUIMARC</v>
      </c>
      <c r="H267" s="11" t="str">
        <f>IFERROR(IF(VLOOKUP(A267,[3]PRIORIZADOS!$A:$H,8,FALSE)="","",VLOOKUP(A267,[3]PRIORIZADOS!$A:$H,8,FALSE)),"")</f>
        <v>Autoevaluación Institucional y Pruebas SABER 11</v>
      </c>
      <c r="I267" s="11" t="str">
        <f>IFERROR(IF(VLOOKUP(A267,[3]PRIORIZADOS!$A:$I,9,FALSE)="","",VLOOKUP(A267,[3]PRIORIZADOS!$A:$I,9,FALSE)),"")</f>
        <v>EVALUACIÓN_CON_FINES_DE_MEJORAMIENTO.</v>
      </c>
      <c r="J267" s="11" t="str">
        <f>IFERROR(IF(VLOOKUP(A267,[3]PRIORIZADOS!$A:$J,10,FALSE)="","",VLOOKUP(A267,[3]PRIORIZADOS!$A:$J,10,FALSE)),"")</f>
        <v>Verificar el funcionamiento del Gobierno Escolar e instancias de participación con base en la información sobre conformación reportada por la institución educativa.</v>
      </c>
      <c r="K267" s="11" t="str">
        <f>IFERROR(IF(VLOOKUP(A267,[3]PRIORIZADOS!$A:$K,11,FALSE)="","",VLOOKUP(A267,[3]PRIORIZADOS!$A:$K,11,FALSE)),"")</f>
        <v>JULIÁN FELIPE BERNAL GARZÓN</v>
      </c>
      <c r="L267" s="11" t="str">
        <f>IFERROR(IF(VLOOKUP(A267,[3]PRIORIZADOS!$A:$L,12,FALSE)="","",VLOOKUP(A267,[3]PRIORIZADOS!$A:$L,12,FALSE)),"")</f>
        <v>JOSÉ ANTONIO PÁEZ FETECUA</v>
      </c>
      <c r="M267" s="71">
        <f>IFERROR(IF(VLOOKUP(A267,[3]PRIORIZADOS!$A:$M,13,FALSE)="","",VLOOKUP(A267,[3]PRIORIZADOS!$A:$M,13,FALSE)),"")</f>
        <v>45769</v>
      </c>
      <c r="N267" s="71">
        <f>IFERROR(IF(VLOOKUP(A267,[3]PRIORIZADOS!$A:$N,14,FALSE)="","",VLOOKUP(A267,[3]PRIORIZADOS!$A:$N,14,FALSE)),"")</f>
        <v>45769</v>
      </c>
      <c r="O267" s="71">
        <f>IFERROR(IF(VLOOKUP(A267,[3]PRIORIZADOS!$A:$O,15,FALSE)="","",VLOOKUP(A267,[3]PRIORIZADOS!$A:$O,15,FALSE)),"")</f>
        <v>45769</v>
      </c>
      <c r="P267" s="11" t="str">
        <f>IFERROR(IF(VLOOKUP(A267,[3]PRIORIZADOS!$A:$P,16,FALSE)="","",VLOOKUP(A267,[3]PRIORIZADOS!$A:$P,16,FALSE)),"")</f>
        <v>Visitas de evaluación con fines de mejoramiento</v>
      </c>
      <c r="Q267" s="107" t="s">
        <v>59</v>
      </c>
      <c r="R267" s="11" t="str">
        <f>IFERROR(IF(VLOOKUP(A267,[3]PRIORIZADOS!$A:$R,18,FALSE)="","",VLOOKUP(A267,[3]PRIORIZADOS!$A:$R,18,FALSE)),"")</f>
        <v>La constitución del Gobierno Escolar y sus órganos de participación, se encuentra conforme a la Normativa Vigente</v>
      </c>
      <c r="S267" s="11" t="str">
        <f>IFERROR(IF(VLOOKUP(A267,[3]PRIORIZADOS!$A:$S,19,FALSE)="","",VLOOKUP(A267,[3]PRIORIZADOS!$A:$S,19,FALSE)),"")</f>
        <v>Continuar operando conforme funciones y reglamentos.</v>
      </c>
      <c r="T267" s="70" t="str">
        <f>IFERROR(IF(VLOOKUP(A267,[3]PRIORIZADOS!$A:$T,20,FALSE)="","",VLOOKUP(A267,[3]PRIORIZADOS!$A:$T,20,FALSE)),"")</f>
        <v>No</v>
      </c>
      <c r="U267" s="11" t="str">
        <f>IFERROR(IF(VLOOKUP(A267,[3]PRIORIZADOS!$A:$U,21,FALSE)="","",VLOOKUP(A267,[3]PRIORIZADOS!$A:$U,21,FALSE)),"")</f>
        <v>Verificar la conformación del Gobierno Escolar e instancias para la vigencia 2026 o antes si la IE lo requiere o se presenta solicitud o queja.</v>
      </c>
    </row>
    <row r="268" spans="1:21" s="1" customFormat="1" ht="60">
      <c r="A268" s="69">
        <f>IF([3]PRIORIZADOS!A79="","",[3]PRIORIZADOS!A79)</f>
        <v>274</v>
      </c>
      <c r="B268" s="70">
        <f>IFERROR(IF(VLOOKUP(A268,[3]PRIORIZADOS!$A:$B,2,FALSE)="","",VLOOKUP(A268,[3]PRIORIZADOS!$A:$B,2,FALSE)),"")</f>
        <v>8</v>
      </c>
      <c r="C268" s="11" t="str">
        <f>IFERROR(IF(VLOOKUP(A268,[3]PRIORIZADOS!$A:$C,3,FALSE)="","",VLOOKUP(A268,[3]PRIORIZADOS!$A:$C,3,FALSE)),"")</f>
        <v>BOSA</v>
      </c>
      <c r="D268" s="11" t="str">
        <f>IFERROR(IF(VLOOKUP(A268,[3]PRIORIZADOS!$A:$D,4,FALSE)="","",VLOOKUP(A268,[3]PRIORIZADOS!$A:$D,4,FALSE)),"")</f>
        <v>PRIVADO</v>
      </c>
      <c r="E268" s="11" t="str">
        <f>IFERROR(IF(VLOOKUP(A268,[3]PRIORIZADOS!$A:$E,5,FALSE)="","",VLOOKUP(A268,[3]PRIORIZADOS!$A:$E,5,FALSE)),"")</f>
        <v>EPBM</v>
      </c>
      <c r="F268" s="11" t="str">
        <f>IFERROR(IF(VLOOKUP(A268,[3]PRIORIZADOS!$A:$F,6,FALSE)="","",VLOOKUP(A268,[3]PRIORIZADOS!$A:$F,6,FALSE)),"")</f>
        <v>INSTITUTO_GUIMARC</v>
      </c>
      <c r="G268" s="11" t="str">
        <f>IFERROR(IF(VLOOKUP(A268,[3]PRIORIZADOS!$A:$G,7,FALSE)="","",VLOOKUP(A268,[3]PRIORIZADOS!$A:$G,7,FALSE)),"")</f>
        <v>INSTITUTO GUIMARC</v>
      </c>
      <c r="H268" s="11" t="str">
        <f>IFERROR(IF(VLOOKUP(A268,[3]PRIORIZADOS!$A:$H,8,FALSE)="","",VLOOKUP(A268,[3]PRIORIZADOS!$A:$H,8,FALSE)),"")</f>
        <v>Autoevaluación Institucional y Pruebas SABER 11</v>
      </c>
      <c r="I268" s="11" t="str">
        <f>IFERROR(IF(VLOOKUP(A268,[3]PRIORIZADOS!$A:$I,9,FALSE)="","",VLOOKUP(A268,[3]PRIORIZADOS!$A:$I,9,FALSE)),"")</f>
        <v>EVALUACIÓN_CON_FINES_DE_MEJORAMIENTO.</v>
      </c>
      <c r="J268" s="11" t="str">
        <f>IFERROR(IF(VLOOKUP(A268,[3]PRIORIZADOS!$A:$J,10,FALSE)="","",VLOOKUP(A268,[3]PRIORIZADOS!$A:$J,10,FALSE)),"")</f>
        <v>Verificar las condiciones en cuanto a: la estructura administrativa, condiciones de la planta física y medios educativos adecuados.</v>
      </c>
      <c r="K268" s="11" t="str">
        <f>IFERROR(IF(VLOOKUP(A268,[3]PRIORIZADOS!$A:$K,11,FALSE)="","",VLOOKUP(A268,[3]PRIORIZADOS!$A:$K,11,FALSE)),"")</f>
        <v>JULIÁN FELIPE BERNAL GARZÓN</v>
      </c>
      <c r="L268" s="11" t="str">
        <f>IFERROR(IF(VLOOKUP(A268,[3]PRIORIZADOS!$A:$L,12,FALSE)="","",VLOOKUP(A268,[3]PRIORIZADOS!$A:$L,12,FALSE)),"")</f>
        <v>JOSÉ ANTONIO PÁEZ FETECUA</v>
      </c>
      <c r="M268" s="71">
        <f>IFERROR(IF(VLOOKUP(A268,[3]PRIORIZADOS!$A:$M,13,FALSE)="","",VLOOKUP(A268,[3]PRIORIZADOS!$A:$M,13,FALSE)),"")</f>
        <v>45769</v>
      </c>
      <c r="N268" s="71">
        <f>IFERROR(IF(VLOOKUP(A268,[3]PRIORIZADOS!$A:$N,14,FALSE)="","",VLOOKUP(A268,[3]PRIORIZADOS!$A:$N,14,FALSE)),"")</f>
        <v>45769</v>
      </c>
      <c r="O268" s="71">
        <f>IFERROR(IF(VLOOKUP(A268,[3]PRIORIZADOS!$A:$O,15,FALSE)="","",VLOOKUP(A268,[3]PRIORIZADOS!$A:$O,15,FALSE)),"")</f>
        <v>45769</v>
      </c>
      <c r="P268" s="11" t="str">
        <f>IFERROR(IF(VLOOKUP(A268,[3]PRIORIZADOS!$A:$P,16,FALSE)="","",VLOOKUP(A268,[3]PRIORIZADOS!$A:$P,16,FALSE)),"")</f>
        <v>Visitas de evaluación con fines de mejoramiento</v>
      </c>
      <c r="Q268" s="107" t="s">
        <v>59</v>
      </c>
      <c r="R268" s="11" t="str">
        <f>IFERROR(IF(VLOOKUP(A268,[3]PRIORIZADOS!$A:$R,18,FALSE)="","",VLOOKUP(A268,[3]PRIORIZADOS!$A:$R,18,FALSE)),"")</f>
        <v>Se realiza un recorrido en las instalaciones de la IE, verificando las condiciones en cuanto a: la estructura administrativa, condiciones de la planta física y medios educativos adecuados.</v>
      </c>
      <c r="S268" s="11" t="str">
        <f>IFERROR(IF(VLOOKUP(A268,[3]PRIORIZADOS!$A:$S,19,FALSE)="","",VLOOKUP(A268,[3]PRIORIZADOS!$A:$S,19,FALSE)),"")</f>
        <v>Las condiciones de la planta física son adecuadas y se recomienda actualizar el mobiliario más antiguo</v>
      </c>
      <c r="T268" s="70" t="str">
        <f>IFERROR(IF(VLOOKUP(A268,[3]PRIORIZADOS!$A:$T,20,FALSE)="","",VLOOKUP(A268,[3]PRIORIZADOS!$A:$T,20,FALSE)),"")</f>
        <v>No</v>
      </c>
      <c r="U268" s="11" t="str">
        <f>IFERROR(IF(VLOOKUP(A268,[3]PRIORIZADOS!$A:$U,21,FALSE)="","",VLOOKUP(A268,[3]PRIORIZADOS!$A:$U,21,FALSE)),"")</f>
        <v>Las condiciones de la planta física garantizan la adecuada prestación del servicio educativo</v>
      </c>
    </row>
    <row r="269" spans="1:21" s="1" customFormat="1" ht="60">
      <c r="A269" s="69">
        <f>IF([3]PRIORIZADOS!A80="","",[3]PRIORIZADOS!A80)</f>
        <v>275</v>
      </c>
      <c r="B269" s="70">
        <f>IFERROR(IF(VLOOKUP(A269,[3]PRIORIZADOS!$A:$B,2,FALSE)="","",VLOOKUP(A269,[3]PRIORIZADOS!$A:$B,2,FALSE)),"")</f>
        <v>9</v>
      </c>
      <c r="C269" s="11" t="str">
        <f>IFERROR(IF(VLOOKUP(A269,[3]PRIORIZADOS!$A:$C,3,FALSE)="","",VLOOKUP(A269,[3]PRIORIZADOS!$A:$C,3,FALSE)),"")</f>
        <v>BOSA</v>
      </c>
      <c r="D269" s="11" t="str">
        <f>IFERROR(IF(VLOOKUP(A269,[3]PRIORIZADOS!$A:$D,4,FALSE)="","",VLOOKUP(A269,[3]PRIORIZADOS!$A:$D,4,FALSE)),"")</f>
        <v>PRIVADO</v>
      </c>
      <c r="E269" s="11" t="str">
        <f>IFERROR(IF(VLOOKUP(A269,[3]PRIORIZADOS!$A:$E,5,FALSE)="","",VLOOKUP(A269,[3]PRIORIZADOS!$A:$E,5,FALSE)),"")</f>
        <v>EPBM</v>
      </c>
      <c r="F269" s="11" t="str">
        <f>IFERROR(IF(VLOOKUP(A269,[3]PRIORIZADOS!$A:$F,6,FALSE)="","",VLOOKUP(A269,[3]PRIORIZADOS!$A:$F,6,FALSE)),"")</f>
        <v>INSTITUTO_LABERINTO_DE_LA_CULTURA</v>
      </c>
      <c r="G269" s="11" t="str">
        <f>IFERROR(IF(VLOOKUP(A269,[3]PRIORIZADOS!$A:$G,7,FALSE)="","",VLOOKUP(A269,[3]PRIORIZADOS!$A:$G,7,FALSE)),"")</f>
        <v>INSTITUTO LABERINTO DE LA CULTURA</v>
      </c>
      <c r="H269" s="11" t="str">
        <f>IFERROR(IF(VLOOKUP(A269,[3]PRIORIZADOS!$A:$H,8,FALSE)="","",VLOOKUP(A269,[3]PRIORIZADOS!$A:$H,8,FALSE)),"")</f>
        <v>Autoevaluación Institucional y Pruebas SABER 11</v>
      </c>
      <c r="I269" s="11" t="str">
        <f>IFERROR(IF(VLOOKUP(A269,[3]PRIORIZADOS!$A:$I,9,FALSE)="","",VLOOKUP(A269,[3]PRIORIZADOS!$A:$I,9,FALSE)),"")</f>
        <v>SEGUIMIENTO_Y_SUPERVISIÓN.</v>
      </c>
      <c r="J269" s="11" t="str">
        <f>IFERROR(IF(VLOOKUP(A269,[3]PRIORIZADOS!$A:$J,10,FALSE)="","",VLOOKUP(A269,[3]PRIORIZADOS!$A:$J,10,FALSE)),"")</f>
        <v>Realizar visitas para verificar la información registrada sobre la autoevaluación institucional en el aplicativo EVI, a los establecimientos de educación formal no oficial.</v>
      </c>
      <c r="K269" s="11" t="str">
        <f>IFERROR(IF(VLOOKUP(A269,[3]PRIORIZADOS!$A:$K,11,FALSE)="","",VLOOKUP(A269,[3]PRIORIZADOS!$A:$K,11,FALSE)),"")</f>
        <v>ANA ANDREA VARGAS GONZÁLEZ</v>
      </c>
      <c r="L269" s="11" t="str">
        <f>IFERROR(IF(VLOOKUP(A269,[3]PRIORIZADOS!$A:$L,12,FALSE)="","",VLOOKUP(A269,[3]PRIORIZADOS!$A:$L,12,FALSE)),"")</f>
        <v>ESTEFANY PEÑA GARCIA</v>
      </c>
      <c r="M269" s="71">
        <f>IFERROR(IF(VLOOKUP(A269,[3]PRIORIZADOS!$A:$M,13,FALSE)="","",VLOOKUP(A269,[3]PRIORIZADOS!$A:$M,13,FALSE)),"")</f>
        <v>45771</v>
      </c>
      <c r="N269" s="71">
        <f>IFERROR(IF(VLOOKUP(A269,[3]PRIORIZADOS!$A:$N,14,FALSE)="","",VLOOKUP(A269,[3]PRIORIZADOS!$A:$N,14,FALSE)),"")</f>
        <v>45771</v>
      </c>
      <c r="O269" s="71">
        <f>IFERROR(IF(VLOOKUP(A269,[3]PRIORIZADOS!$A:$O,15,FALSE)="","",VLOOKUP(A269,[3]PRIORIZADOS!$A:$O,15,FALSE)),"")</f>
        <v>45771</v>
      </c>
      <c r="P269" s="11" t="str">
        <f>IFERROR(IF(VLOOKUP(A269,[3]PRIORIZADOS!$A:$P,16,FALSE)="","",VLOOKUP(A269,[3]PRIORIZADOS!$A:$P,16,FALSE)),"")</f>
        <v>Visitas de evaluación con fines de mejoramiento</v>
      </c>
      <c r="Q269" s="107" t="s">
        <v>60</v>
      </c>
      <c r="R269" s="11" t="str">
        <f>IFERROR(IF(VLOOKUP(A269,[3]PRIORIZADOS!$A:$R,18,FALSE)="","",VLOOKUP(A269,[3]PRIORIZADOS!$A:$R,18,FALSE)),"")</f>
        <v>La información consignada en la Plataforma EVI relacionada con los indicadores de: planta física, dotación de espacios y calendario académico coincide con lo verificado en campo</v>
      </c>
      <c r="S269" s="11" t="str">
        <f>IFERROR(IF(VLOOKUP(A269,[3]PRIORIZADOS!$A:$S,19,FALSE)="","",VLOOKUP(A269,[3]PRIORIZADOS!$A:$S,19,FALSE)),"")</f>
        <v xml:space="preserve">Se concluye que la IE realizará su autoevalución institucional en el mes octubre.  </v>
      </c>
      <c r="T269" s="70" t="str">
        <f>IFERROR(IF(VLOOKUP(A269,[3]PRIORIZADOS!$A:$T,20,FALSE)="","",VLOOKUP(A269,[3]PRIORIZADOS!$A:$T,20,FALSE)),"")</f>
        <v>No</v>
      </c>
      <c r="U269" s="11" t="str">
        <f>IFERROR(IF(VLOOKUP(A269,[3]PRIORIZADOS!$A:$U,21,FALSE)="","",VLOOKUP(A269,[3]PRIORIZADOS!$A:$U,21,FALSE)),"")</f>
        <v>Se verificará la información cargada por la IE en el aplicativo EVI de la autoevaluación,  para la emisión del concepto de tarifas 2026</v>
      </c>
    </row>
    <row r="270" spans="1:21" s="1" customFormat="1" ht="72">
      <c r="A270" s="69">
        <f>IF([3]PRIORIZADOS!A81="","",[3]PRIORIZADOS!A81)</f>
        <v>276</v>
      </c>
      <c r="B270" s="70">
        <f>IFERROR(IF(VLOOKUP(A270,[3]PRIORIZADOS!$A:$B,2,FALSE)="","",VLOOKUP(A270,[3]PRIORIZADOS!$A:$B,2,FALSE)),"")</f>
        <v>9</v>
      </c>
      <c r="C270" s="11" t="str">
        <f>IFERROR(IF(VLOOKUP(A270,[3]PRIORIZADOS!$A:$C,3,FALSE)="","",VLOOKUP(A270,[3]PRIORIZADOS!$A:$C,3,FALSE)),"")</f>
        <v>BOSA</v>
      </c>
      <c r="D270" s="11" t="str">
        <f>IFERROR(IF(VLOOKUP(A270,[3]PRIORIZADOS!$A:$D,4,FALSE)="","",VLOOKUP(A270,[3]PRIORIZADOS!$A:$D,4,FALSE)),"")</f>
        <v>PRIVADO</v>
      </c>
      <c r="E270" s="11" t="str">
        <f>IFERROR(IF(VLOOKUP(A270,[3]PRIORIZADOS!$A:$E,5,FALSE)="","",VLOOKUP(A270,[3]PRIORIZADOS!$A:$E,5,FALSE)),"")</f>
        <v>EPBM</v>
      </c>
      <c r="F270" s="11" t="str">
        <f>IFERROR(IF(VLOOKUP(A270,[3]PRIORIZADOS!$A:$F,6,FALSE)="","",VLOOKUP(A270,[3]PRIORIZADOS!$A:$F,6,FALSE)),"")</f>
        <v>INSTITUTO_LABERINTO_DE_LA_CULTURA</v>
      </c>
      <c r="G270" s="11" t="str">
        <f>IFERROR(IF(VLOOKUP(A270,[3]PRIORIZADOS!$A:$G,7,FALSE)="","",VLOOKUP(A270,[3]PRIORIZADOS!$A:$G,7,FALSE)),"")</f>
        <v>INSTITUTO LABERINTO DE LA CULTURA</v>
      </c>
      <c r="H270" s="11" t="str">
        <f>IFERROR(IF(VLOOKUP(A270,[3]PRIORIZADOS!$A:$H,8,FALSE)="","",VLOOKUP(A270,[3]PRIORIZADOS!$A:$H,8,FALSE)),"")</f>
        <v>Autoevaluación Institucional y Pruebas SABER 11</v>
      </c>
      <c r="I270" s="11" t="str">
        <f>IFERROR(IF(VLOOKUP(A270,[3]PRIORIZADOS!$A:$I,9,FALSE)="","",VLOOKUP(A270,[3]PRIORIZADOS!$A:$I,9,FALSE)),"")</f>
        <v>SEGUIMIENTO_Y_SUPERVISIÓN.</v>
      </c>
      <c r="J270" s="11" t="str">
        <f>IFERROR(IF(VLOOKUP(A270,[3]PRIORIZADOS!$A:$J,10,FALSE)="","",VLOOKUP(A270,[3]PRIORIZADOS!$A:$J,10,FALSE)),"")</f>
        <v>Proponer estrategias en la formulación, verificar su elaboración y realizar seguimiento semestral al desarrollo de  las acciones establecidas en los planes de mejoramiento por pruebas SABER 11 de los establecimientos de educación formal.</v>
      </c>
      <c r="K270" s="11" t="str">
        <f>IFERROR(IF(VLOOKUP(A270,[3]PRIORIZADOS!$A:$K,11,FALSE)="","",VLOOKUP(A270,[3]PRIORIZADOS!$A:$K,11,FALSE)),"")</f>
        <v>ANA ANDREA VARGAS GONZÁLEZ</v>
      </c>
      <c r="L270" s="11" t="str">
        <f>IFERROR(IF(VLOOKUP(A270,[3]PRIORIZADOS!$A:$L,12,FALSE)="","",VLOOKUP(A270,[3]PRIORIZADOS!$A:$L,12,FALSE)),"")</f>
        <v>ESTEFANY PEÑA GARCIA</v>
      </c>
      <c r="M270" s="71">
        <f>IFERROR(IF(VLOOKUP(A270,[3]PRIORIZADOS!$A:$M,13,FALSE)="","",VLOOKUP(A270,[3]PRIORIZADOS!$A:$M,13,FALSE)),"")</f>
        <v>45771</v>
      </c>
      <c r="N270" s="71">
        <f>IFERROR(IF(VLOOKUP(A270,[3]PRIORIZADOS!$A:$N,14,FALSE)="","",VLOOKUP(A270,[3]PRIORIZADOS!$A:$N,14,FALSE)),"")</f>
        <v>45775</v>
      </c>
      <c r="O270" s="71">
        <f>IFERROR(IF(VLOOKUP(A270,[3]PRIORIZADOS!$A:$O,15,FALSE)="","",VLOOKUP(A270,[3]PRIORIZADOS!$A:$O,15,FALSE)),"")</f>
        <v>45771</v>
      </c>
      <c r="P270" s="11" t="str">
        <f>IFERROR(IF(VLOOKUP(A270,[3]PRIORIZADOS!$A:$P,16,FALSE)="","",VLOOKUP(A270,[3]PRIORIZADOS!$A:$P,16,FALSE)),"")</f>
        <v>Visitas de evaluación con fines de seguimiento</v>
      </c>
      <c r="Q270" s="107" t="s">
        <v>60</v>
      </c>
      <c r="R270" s="11" t="str">
        <f>IFERROR(IF(VLOOKUP(A270,[3]PRIORIZADOS!$A:$R,18,FALSE)="","",VLOOKUP(A270,[3]PRIORIZADOS!$A:$R,18,FALSE)),"")</f>
        <v>La IE se encuentra en Categoría B, realizó la revisión y análisis de los resultados para  actualización del curriculo y el plan de estudios. Se ha adelantado el diagnóstico y la propuesta de Intervención, aplicando pruebas preliminares.</v>
      </c>
      <c r="S270" s="11" t="str">
        <f>IFERROR(IF(VLOOKUP(A270,[3]PRIORIZADOS!$A:$S,19,FALSE)="","",VLOOKUP(A270,[3]PRIORIZADOS!$A:$S,19,FALSE)),"")</f>
        <v>La IE se compromete a diseñar un Plan de Mejoramiento con estrategia actualizada que cuente con cronograma, actividades específicas y proceso de seguimiento y evaluación</v>
      </c>
      <c r="T270" s="70" t="str">
        <f>IFERROR(IF(VLOOKUP(A270,[3]PRIORIZADOS!$A:$T,20,FALSE)="","",VLOOKUP(A270,[3]PRIORIZADOS!$A:$T,20,FALSE)),"")</f>
        <v>Si</v>
      </c>
      <c r="U270" s="11" t="str">
        <f>IFERROR(IF(VLOOKUP(A270,[3]PRIORIZADOS!$A:$U,21,FALSE)="","",VLOOKUP(A270,[3]PRIORIZADOS!$A:$U,21,FALSE)),"")</f>
        <v xml:space="preserve">Se hará seguimiento en Agosto de 2025 por medio de oficio, al plan de mejoramiento, que está relacionado con el diagnóstico y los resultados de las Pruebas Saber 11  Vigencia 2024 y las capacitaciones de docentes y los simulacros de las pruebas con estudiantes, de acuerdo con las acciones descritas. </v>
      </c>
    </row>
    <row r="271" spans="1:21" s="1" customFormat="1" ht="72">
      <c r="A271" s="69">
        <f>IF([3]PRIORIZADOS!A82="","",[3]PRIORIZADOS!A82)</f>
        <v>277</v>
      </c>
      <c r="B271" s="70">
        <f>IFERROR(IF(VLOOKUP(A271,[3]PRIORIZADOS!$A:$B,2,FALSE)="","",VLOOKUP(A271,[3]PRIORIZADOS!$A:$B,2,FALSE)),"")</f>
        <v>9</v>
      </c>
      <c r="C271" s="11" t="str">
        <f>IFERROR(IF(VLOOKUP(A271,[3]PRIORIZADOS!$A:$C,3,FALSE)="","",VLOOKUP(A271,[3]PRIORIZADOS!$A:$C,3,FALSE)),"")</f>
        <v>BOSA</v>
      </c>
      <c r="D271" s="11" t="str">
        <f>IFERROR(IF(VLOOKUP(A271,[3]PRIORIZADOS!$A:$D,4,FALSE)="","",VLOOKUP(A271,[3]PRIORIZADOS!$A:$D,4,FALSE)),"")</f>
        <v>PRIVADO</v>
      </c>
      <c r="E271" s="11" t="str">
        <f>IFERROR(IF(VLOOKUP(A271,[3]PRIORIZADOS!$A:$E,5,FALSE)="","",VLOOKUP(A271,[3]PRIORIZADOS!$A:$E,5,FALSE)),"")</f>
        <v>EPBM</v>
      </c>
      <c r="F271" s="11" t="str">
        <f>IFERROR(IF(VLOOKUP(A271,[3]PRIORIZADOS!$A:$F,6,FALSE)="","",VLOOKUP(A271,[3]PRIORIZADOS!$A:$F,6,FALSE)),"")</f>
        <v>INSTITUTO_LABERINTO_DE_LA_CULTURA</v>
      </c>
      <c r="G271" s="11" t="str">
        <f>IFERROR(IF(VLOOKUP(A271,[3]PRIORIZADOS!$A:$G,7,FALSE)="","",VLOOKUP(A271,[3]PRIORIZADOS!$A:$G,7,FALSE)),"")</f>
        <v>INSTITUTO LABERINTO DE LA CULTURA</v>
      </c>
      <c r="H271" s="11" t="str">
        <f>IFERROR(IF(VLOOKUP(A271,[3]PRIORIZADOS!$A:$H,8,FALSE)="","",VLOOKUP(A271,[3]PRIORIZADOS!$A:$H,8,FALSE)),"")</f>
        <v>Autoevaluación Institucional y Pruebas SABER 11</v>
      </c>
      <c r="I271" s="11" t="str">
        <f>IFERROR(IF(VLOOKUP(A271,[3]PRIORIZADOS!$A:$I,9,FALSE)="","",VLOOKUP(A271,[3]PRIORIZADOS!$A:$I,9,FALSE)),"")</f>
        <v>SEGUIMIENTO_Y_SUPERVISIÓN.</v>
      </c>
      <c r="J271" s="11" t="str">
        <f>IFERROR(IF(VLOOKUP(A271,[3]PRIORIZADOS!$A:$J,10,FALSE)="","",VLOOKUP(A271,[3]PRIORIZADOS!$A:$J,10,FALSE)),"")</f>
        <v xml:space="preserve">Verificar la implementación por parte de los colegios, de acciones realizadas para la prevención y atención de las situaciones de convivencia en el entorno escolar, según lo establecido en la Directiva 01 de 2022 del MEN. </v>
      </c>
      <c r="K271" s="11" t="str">
        <f>IFERROR(IF(VLOOKUP(A271,[3]PRIORIZADOS!$A:$K,11,FALSE)="","",VLOOKUP(A271,[3]PRIORIZADOS!$A:$K,11,FALSE)),"")</f>
        <v>ANA ANDREA VARGAS GONZÁLEZ</v>
      </c>
      <c r="L271" s="11" t="str">
        <f>IFERROR(IF(VLOOKUP(A271,[3]PRIORIZADOS!$A:$L,12,FALSE)="","",VLOOKUP(A271,[3]PRIORIZADOS!$A:$L,12,FALSE)),"")</f>
        <v>ESTEFANY PEÑA GARCIA</v>
      </c>
      <c r="M271" s="71">
        <f>IFERROR(IF(VLOOKUP(A271,[3]PRIORIZADOS!$A:$M,13,FALSE)="","",VLOOKUP(A271,[3]PRIORIZADOS!$A:$M,13,FALSE)),"")</f>
        <v>45771</v>
      </c>
      <c r="N271" s="71">
        <f>IFERROR(IF(VLOOKUP(A271,[3]PRIORIZADOS!$A:$N,14,FALSE)="","",VLOOKUP(A271,[3]PRIORIZADOS!$A:$N,14,FALSE)),"")</f>
        <v>45771</v>
      </c>
      <c r="O271" s="71">
        <f>IFERROR(IF(VLOOKUP(A271,[3]PRIORIZADOS!$A:$O,15,FALSE)="","",VLOOKUP(A271,[3]PRIORIZADOS!$A:$O,15,FALSE)),"")</f>
        <v>45771</v>
      </c>
      <c r="P271" s="11" t="str">
        <f>IFERROR(IF(VLOOKUP(A271,[3]PRIORIZADOS!$A:$P,16,FALSE)="","",VLOOKUP(A271,[3]PRIORIZADOS!$A:$P,16,FALSE)),"")</f>
        <v>Visitas de evaluación con fines de mejoramiento</v>
      </c>
      <c r="Q271" s="107" t="s">
        <v>60</v>
      </c>
      <c r="R271" s="11" t="str">
        <f>IFERROR(IF(VLOOKUP(A271,[3]PRIORIZADOS!$A:$R,18,FALSE)="","",VLOOKUP(A271,[3]PRIORIZADOS!$A:$R,18,FALSE)),"")</f>
        <v>Se verifica la implementación de acciones  realizadas para la prevención como lo es la verificación de inhabilidades por delitos sexuales en el sistema de la Policía Nacional.</v>
      </c>
      <c r="S271" s="11" t="str">
        <f>IFERROR(IF(VLOOKUP(A271,[3]PRIORIZADOS!$A:$S,19,FALSE)="","",VLOOKUP(A271,[3]PRIORIZADOS!$A:$S,19,FALSE)),"")</f>
        <v>Como acción de verificación se solicita implementar  la autorización de directivos, docentes y administrativos para las consultas de antecedentes en los sistemas que se requieran al momento de la vinculación</v>
      </c>
      <c r="T271" s="70" t="str">
        <f>IFERROR(IF(VLOOKUP(A271,[3]PRIORIZADOS!$A:$T,20,FALSE)="","",VLOOKUP(A271,[3]PRIORIZADOS!$A:$T,20,FALSE)),"")</f>
        <v>No</v>
      </c>
      <c r="U271" s="11" t="str">
        <f>IFERROR(IF(VLOOKUP(A271,[3]PRIORIZADOS!$A:$U,21,FALSE)="","",VLOOKUP(A271,[3]PRIORIZADOS!$A:$U,21,FALSE)),"")</f>
        <v>Verificar que la IE cuente con las respectivas autorizaciones para las consultas de antedecentes del personal vinculado.</v>
      </c>
    </row>
    <row r="272" spans="1:21" s="1" customFormat="1" ht="107.25">
      <c r="A272" s="69">
        <f>IF([3]PRIORIZADOS!A83="","",[3]PRIORIZADOS!A83)</f>
        <v>278</v>
      </c>
      <c r="B272" s="70">
        <f>IFERROR(IF(VLOOKUP(A272,[3]PRIORIZADOS!$A:$B,2,FALSE)="","",VLOOKUP(A272,[3]PRIORIZADOS!$A:$B,2,FALSE)),"")</f>
        <v>9</v>
      </c>
      <c r="C272" s="11" t="str">
        <f>IFERROR(IF(VLOOKUP(A272,[3]PRIORIZADOS!$A:$C,3,FALSE)="","",VLOOKUP(A272,[3]PRIORIZADOS!$A:$C,3,FALSE)),"")</f>
        <v>BOSA</v>
      </c>
      <c r="D272" s="11" t="str">
        <f>IFERROR(IF(VLOOKUP(A272,[3]PRIORIZADOS!$A:$D,4,FALSE)="","",VLOOKUP(A272,[3]PRIORIZADOS!$A:$D,4,FALSE)),"")</f>
        <v>PRIVADO</v>
      </c>
      <c r="E272" s="11" t="str">
        <f>IFERROR(IF(VLOOKUP(A272,[3]PRIORIZADOS!$A:$E,5,FALSE)="","",VLOOKUP(A272,[3]PRIORIZADOS!$A:$E,5,FALSE)),"")</f>
        <v>EPBM</v>
      </c>
      <c r="F272" s="11" t="str">
        <f>IFERROR(IF(VLOOKUP(A272,[3]PRIORIZADOS!$A:$F,6,FALSE)="","",VLOOKUP(A272,[3]PRIORIZADOS!$A:$F,6,FALSE)),"")</f>
        <v>INSTITUTO_LABERINTO_DE_LA_CULTURA</v>
      </c>
      <c r="G272" s="11" t="str">
        <f>IFERROR(IF(VLOOKUP(A272,[3]PRIORIZADOS!$A:$G,7,FALSE)="","",VLOOKUP(A272,[3]PRIORIZADOS!$A:$G,7,FALSE)),"")</f>
        <v>INSTITUTO LABERINTO DE LA CULTURA</v>
      </c>
      <c r="H272" s="11" t="str">
        <f>IFERROR(IF(VLOOKUP(A272,[3]PRIORIZADOS!$A:$H,8,FALSE)="","",VLOOKUP(A272,[3]PRIORIZADOS!$A:$H,8,FALSE)),"")</f>
        <v>Autoevaluación Institucional y Pruebas SABER 11</v>
      </c>
      <c r="I272" s="11" t="str">
        <f>IFERROR(IF(VLOOKUP(A272,[3]PRIORIZADOS!$A:$I,9,FALSE)="","",VLOOKUP(A272,[3]PRIORIZADOS!$A:$I,9,FALSE)),"")</f>
        <v>SEGUIMIENTO_Y_SUPERVISIÓN.</v>
      </c>
      <c r="J272" s="11" t="str">
        <f>IFERROR(IF(VLOOKUP(A272,[3]PRIORIZADOS!$A:$J,10,FALSE)="","",VLOOKUP(A272,[3]PRIORIZADOS!$A:$J,10,FALSE)),"")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2" s="11" t="str">
        <f>IFERROR(IF(VLOOKUP(A272,[3]PRIORIZADOS!$A:$K,11,FALSE)="","",VLOOKUP(A272,[3]PRIORIZADOS!$A:$K,11,FALSE)),"")</f>
        <v>ANA ANDREA VARGAS GONZÁLEZ</v>
      </c>
      <c r="L272" s="11" t="str">
        <f>IFERROR(IF(VLOOKUP(A272,[3]PRIORIZADOS!$A:$L,12,FALSE)="","",VLOOKUP(A272,[3]PRIORIZADOS!$A:$L,12,FALSE)),"")</f>
        <v>ESTEFANY PEÑA GARCIA</v>
      </c>
      <c r="M272" s="71">
        <f>IFERROR(IF(VLOOKUP(A272,[3]PRIORIZADOS!$A:$M,13,FALSE)="","",VLOOKUP(A272,[3]PRIORIZADOS!$A:$M,13,FALSE)),"")</f>
        <v>45771</v>
      </c>
      <c r="N272" s="71">
        <f>IFERROR(IF(VLOOKUP(A272,[3]PRIORIZADOS!$A:$N,14,FALSE)="","",VLOOKUP(A272,[3]PRIORIZADOS!$A:$N,14,FALSE)),"")</f>
        <v>45771</v>
      </c>
      <c r="O272" s="71">
        <f>IFERROR(IF(VLOOKUP(A272,[3]PRIORIZADOS!$A:$O,15,FALSE)="","",VLOOKUP(A272,[3]PRIORIZADOS!$A:$O,15,FALSE)),"")</f>
        <v>45771</v>
      </c>
      <c r="P272" s="11" t="str">
        <f>IFERROR(IF(VLOOKUP(A272,[3]PRIORIZADOS!$A:$P,16,FALSE)="","",VLOOKUP(A272,[3]PRIORIZADOS!$A:$P,16,FALSE)),"")</f>
        <v>Visitas de evaluación con fines de mejoramiento</v>
      </c>
      <c r="Q272" s="107" t="s">
        <v>60</v>
      </c>
      <c r="R272" s="11" t="str">
        <f>IFERROR(IF(VLOOKUP(A272,[3]PRIORIZADOS!$A:$R,18,FALSE)="","",VLOOKUP(A272,[3]PRIORIZADOS!$A:$R,18,FALSE)),"")</f>
        <v>Al revisar la Plataforma SIMAT, hay 05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72" s="11" t="str">
        <f>IFERROR(IF(VLOOKUP(A272,[3]PRIORIZADOS!$A:$S,19,FALSE)="","",VLOOKUP(A272,[3]PRIORIZADOS!$A:$S,19,FALSE)),"")</f>
        <v>La Institución Educativa se compromete a remitir el Documento Institucional del Plan Individual de Ajustes Razonables PIAR</v>
      </c>
      <c r="T272" s="70" t="str">
        <f>IFERROR(IF(VLOOKUP(A272,[3]PRIORIZADOS!$A:$T,20,FALSE)="","",VLOOKUP(A272,[3]PRIORIZADOS!$A:$T,20,FALSE)),"")</f>
        <v>No</v>
      </c>
      <c r="U272" s="11" t="str">
        <f>IFERROR(IF(VLOOKUP(A272,[3]PRIORIZADOS!$A:$U,21,FALSE)="","",VLOOKUP(A272,[3]PRIORIZADOS!$A:$U,21,FALSE)),"")</f>
        <v>Verificar la información en SIMAT</v>
      </c>
    </row>
    <row r="273" spans="1:21" s="1" customFormat="1" ht="84">
      <c r="A273" s="69">
        <f>IF([3]PRIORIZADOS!A84="","",[3]PRIORIZADOS!A84)</f>
        <v>279</v>
      </c>
      <c r="B273" s="70">
        <f>IFERROR(IF(VLOOKUP(A273,[3]PRIORIZADOS!$A:$B,2,FALSE)="","",VLOOKUP(A273,[3]PRIORIZADOS!$A:$B,2,FALSE)),"")</f>
        <v>9</v>
      </c>
      <c r="C273" s="11" t="str">
        <f>IFERROR(IF(VLOOKUP(A273,[3]PRIORIZADOS!$A:$C,3,FALSE)="","",VLOOKUP(A273,[3]PRIORIZADOS!$A:$C,3,FALSE)),"")</f>
        <v>BOSA</v>
      </c>
      <c r="D273" s="11" t="str">
        <f>IFERROR(IF(VLOOKUP(A273,[3]PRIORIZADOS!$A:$D,4,FALSE)="","",VLOOKUP(A273,[3]PRIORIZADOS!$A:$D,4,FALSE)),"")</f>
        <v>PRIVADO</v>
      </c>
      <c r="E273" s="11" t="str">
        <f>IFERROR(IF(VLOOKUP(A273,[3]PRIORIZADOS!$A:$E,5,FALSE)="","",VLOOKUP(A273,[3]PRIORIZADOS!$A:$E,5,FALSE)),"")</f>
        <v>EPBM</v>
      </c>
      <c r="F273" s="11" t="str">
        <f>IFERROR(IF(VLOOKUP(A273,[3]PRIORIZADOS!$A:$F,6,FALSE)="","",VLOOKUP(A273,[3]PRIORIZADOS!$A:$F,6,FALSE)),"")</f>
        <v>INSTITUTO_LABERINTO_DE_LA_CULTURA</v>
      </c>
      <c r="G273" s="11" t="str">
        <f>IFERROR(IF(VLOOKUP(A273,[3]PRIORIZADOS!$A:$G,7,FALSE)="","",VLOOKUP(A273,[3]PRIORIZADOS!$A:$G,7,FALSE)),"")</f>
        <v>INSTITUTO LABERINTO DE LA CULTURA</v>
      </c>
      <c r="H273" s="11" t="str">
        <f>IFERROR(IF(VLOOKUP(A273,[3]PRIORIZADOS!$A:$H,8,FALSE)="","",VLOOKUP(A273,[3]PRIORIZADOS!$A:$H,8,FALSE)),"")</f>
        <v>Autoevaluación Institucional y Pruebas SABER 11</v>
      </c>
      <c r="I273" s="11" t="str">
        <f>IFERROR(IF(VLOOKUP(A273,[3]PRIORIZADOS!$A:$I,9,FALSE)="","",VLOOKUP(A273,[3]PRIORIZADOS!$A:$I,9,FALSE)),"")</f>
        <v>EVALUACIÓN_CON_FINES_DE_MEJORAMIENTO.</v>
      </c>
      <c r="J273" s="11" t="str">
        <f>IFERROR(IF(VLOOKUP(A273,[3]PRIORIZADOS!$A:$J,10,FALSE)="","",VLOOKUP(A273,[3]PRIORIZADOS!$A:$J,10,FALSE)),"")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3" s="11" t="str">
        <f>IFERROR(IF(VLOOKUP(A273,[3]PRIORIZADOS!$A:$K,11,FALSE)="","",VLOOKUP(A273,[3]PRIORIZADOS!$A:$K,11,FALSE)),"")</f>
        <v>ANA ANDREA VARGAS GONZÁLEZ</v>
      </c>
      <c r="L273" s="11" t="str">
        <f>IFERROR(IF(VLOOKUP(A273,[3]PRIORIZADOS!$A:$L,12,FALSE)="","",VLOOKUP(A273,[3]PRIORIZADOS!$A:$L,12,FALSE)),"")</f>
        <v>ESTEFANY PEÑA GARCIA</v>
      </c>
      <c r="M273" s="71">
        <f>IFERROR(IF(VLOOKUP(A273,[3]PRIORIZADOS!$A:$M,13,FALSE)="","",VLOOKUP(A273,[3]PRIORIZADOS!$A:$M,13,FALSE)),"")</f>
        <v>45771</v>
      </c>
      <c r="N273" s="71">
        <f>IFERROR(IF(VLOOKUP(A273,[3]PRIORIZADOS!$A:$N,14,FALSE)="","",VLOOKUP(A273,[3]PRIORIZADOS!$A:$N,14,FALSE)),"")</f>
        <v>45771</v>
      </c>
      <c r="O273" s="71">
        <f>IFERROR(IF(VLOOKUP(A273,[3]PRIORIZADOS!$A:$O,15,FALSE)="","",VLOOKUP(A273,[3]PRIORIZADOS!$A:$O,15,FALSE)),"")</f>
        <v>45771</v>
      </c>
      <c r="P273" s="11" t="str">
        <f>IFERROR(IF(VLOOKUP(A273,[3]PRIORIZADOS!$A:$P,16,FALSE)="","",VLOOKUP(A273,[3]PRIORIZADOS!$A:$P,16,FALSE)),"")</f>
        <v>Visitas de evaluación con fines de mejoramiento</v>
      </c>
      <c r="Q273" s="107" t="s">
        <v>60</v>
      </c>
      <c r="R273" s="11" t="str">
        <f>IFERROR(IF(VLOOKUP(A273,[3]PRIORIZADOS!$A:$R,18,FALSE)="","",VLOOKUP(A273,[3]PRIORIZADOS!$A:$R,18,FALSE)),"")</f>
        <v>No evidencia Manual de Convivencia actualizado a la vigencia 2024 -2025, con la participación de la comunidad educativa, el cual requiere algunos ajustes en su contenido.</v>
      </c>
      <c r="S273" s="11" t="str">
        <f>IFERROR(IF(VLOOKUP(A273,[3]PRIORIZADOS!$A:$S,19,FALSE)="","",VLOOKUP(A273,[3]PRIORIZADOS!$A:$S,19,FALSE)),"")</f>
        <v>Remitir la versión actualizada del Manual de Conviviencia,  para diferenciar entre faltas y situaciones convivenciales, y las sanciones</v>
      </c>
      <c r="T273" s="70" t="str">
        <f>IFERROR(IF(VLOOKUP(A273,[3]PRIORIZADOS!$A:$T,20,FALSE)="","",VLOOKUP(A273,[3]PRIORIZADOS!$A:$T,20,FALSE)),"")</f>
        <v>Si</v>
      </c>
      <c r="U273" s="11" t="str">
        <f>IFERROR(IF(VLOOKUP(A273,[3]PRIORIZADOS!$A:$U,21,FALSE)="","",VLOOKUP(A273,[3]PRIORIZADOS!$A:$U,21,FALSE)),"")</f>
        <v>Revisar el manual actualizado en  2025 y retroalimentar a la IE.</v>
      </c>
    </row>
    <row r="274" spans="1:21" s="1" customFormat="1" ht="60">
      <c r="A274" s="69">
        <f>IF([3]PRIORIZADOS!A85="","",[3]PRIORIZADOS!A85)</f>
        <v>280</v>
      </c>
      <c r="B274" s="70">
        <f>IFERROR(IF(VLOOKUP(A274,[3]PRIORIZADOS!$A:$B,2,FALSE)="","",VLOOKUP(A274,[3]PRIORIZADOS!$A:$B,2,FALSE)),"")</f>
        <v>9</v>
      </c>
      <c r="C274" s="11" t="str">
        <f>IFERROR(IF(VLOOKUP(A274,[3]PRIORIZADOS!$A:$C,3,FALSE)="","",VLOOKUP(A274,[3]PRIORIZADOS!$A:$C,3,FALSE)),"")</f>
        <v>BOSA</v>
      </c>
      <c r="D274" s="11" t="str">
        <f>IFERROR(IF(VLOOKUP(A274,[3]PRIORIZADOS!$A:$D,4,FALSE)="","",VLOOKUP(A274,[3]PRIORIZADOS!$A:$D,4,FALSE)),"")</f>
        <v>PRIVADO</v>
      </c>
      <c r="E274" s="11" t="str">
        <f>IFERROR(IF(VLOOKUP(A274,[3]PRIORIZADOS!$A:$E,5,FALSE)="","",VLOOKUP(A274,[3]PRIORIZADOS!$A:$E,5,FALSE)),"")</f>
        <v>EPBM</v>
      </c>
      <c r="F274" s="11" t="str">
        <f>IFERROR(IF(VLOOKUP(A274,[3]PRIORIZADOS!$A:$F,6,FALSE)="","",VLOOKUP(A274,[3]PRIORIZADOS!$A:$F,6,FALSE)),"")</f>
        <v>INSTITUTO_LABERINTO_DE_LA_CULTURA</v>
      </c>
      <c r="G274" s="11" t="str">
        <f>IFERROR(IF(VLOOKUP(A274,[3]PRIORIZADOS!$A:$G,7,FALSE)="","",VLOOKUP(A274,[3]PRIORIZADOS!$A:$G,7,FALSE)),"")</f>
        <v>INSTITUTO LABERINTO DE LA CULTURA</v>
      </c>
      <c r="H274" s="11" t="str">
        <f>IFERROR(IF(VLOOKUP(A274,[3]PRIORIZADOS!$A:$H,8,FALSE)="","",VLOOKUP(A274,[3]PRIORIZADOS!$A:$H,8,FALSE)),"")</f>
        <v>Autoevaluación Institucional y Pruebas SABER 11</v>
      </c>
      <c r="I274" s="11" t="str">
        <f>IFERROR(IF(VLOOKUP(A274,[3]PRIORIZADOS!$A:$I,9,FALSE)="","",VLOOKUP(A274,[3]PRIORIZADOS!$A:$I,9,FALSE)),"")</f>
        <v>EVALUACIÓN_CON_FINES_DE_MEJORAMIENTO.</v>
      </c>
      <c r="J274" s="11" t="str">
        <f>IFERROR(IF(VLOOKUP(A274,[3]PRIORIZADOS!$A:$J,10,FALSE)="","",VLOOKUP(A274,[3]PRIORIZADOS!$A:$J,10,FALSE)),"")</f>
        <v>Revisar la actualización, socialización e implementación del Sistema Institucional de Evaluación de Estudiantes - SIEE, en articulación con la actualización del PEI y la normatividad vigente.</v>
      </c>
      <c r="K274" s="11" t="str">
        <f>IFERROR(IF(VLOOKUP(A274,[3]PRIORIZADOS!$A:$K,11,FALSE)="","",VLOOKUP(A274,[3]PRIORIZADOS!$A:$K,11,FALSE)),"")</f>
        <v>ANA ANDREA VARGAS GONZÁLEZ</v>
      </c>
      <c r="L274" s="11" t="str">
        <f>IFERROR(IF(VLOOKUP(A274,[3]PRIORIZADOS!$A:$L,12,FALSE)="","",VLOOKUP(A274,[3]PRIORIZADOS!$A:$L,12,FALSE)),"")</f>
        <v>ESTEFANY PEÑA GARCIA</v>
      </c>
      <c r="M274" s="71">
        <f>IFERROR(IF(VLOOKUP(A274,[3]PRIORIZADOS!$A:$M,13,FALSE)="","",VLOOKUP(A274,[3]PRIORIZADOS!$A:$M,13,FALSE)),"")</f>
        <v>45771</v>
      </c>
      <c r="N274" s="71">
        <f>IFERROR(IF(VLOOKUP(A274,[3]PRIORIZADOS!$A:$N,14,FALSE)="","",VLOOKUP(A274,[3]PRIORIZADOS!$A:$N,14,FALSE)),"")</f>
        <v>45771</v>
      </c>
      <c r="O274" s="71">
        <f>IFERROR(IF(VLOOKUP(A274,[3]PRIORIZADOS!$A:$O,15,FALSE)="","",VLOOKUP(A274,[3]PRIORIZADOS!$A:$O,15,FALSE)),"")</f>
        <v>45771</v>
      </c>
      <c r="P274" s="11" t="str">
        <f>IFERROR(IF(VLOOKUP(A274,[3]PRIORIZADOS!$A:$P,16,FALSE)="","",VLOOKUP(A274,[3]PRIORIZADOS!$A:$P,16,FALSE)),"")</f>
        <v>Visitas de evaluación con fines de mejoramiento</v>
      </c>
      <c r="Q274" s="107" t="s">
        <v>60</v>
      </c>
      <c r="R274" s="11" t="str">
        <f>IFERROR(IF(VLOOKUP(A274,[3]PRIORIZADOS!$A:$R,18,FALSE)="","",VLOOKUP(A274,[3]PRIORIZADOS!$A:$R,18,FALSE)),"")</f>
        <v>Se revisa el Sistema Institucional de Evaluación de Estudiantes - SIEE y no se encuentra incorporado en el Manual de Convivencia y requiere algunos ajustes en su contenido.</v>
      </c>
      <c r="S274" s="11" t="str">
        <f>IFERROR(IF(VLOOKUP(A274,[3]PRIORIZADOS!$A:$S,19,FALSE)="","",VLOOKUP(A274,[3]PRIORIZADOS!$A:$S,19,FALSE)),"")</f>
        <v>Remitir la versión actualizada del Sistema Institucional de Evaluación de Estudiantes - SIEE, en articulación con la actualización del PEI y la normatividad vigente.</v>
      </c>
      <c r="T274" s="70" t="str">
        <f>IFERROR(IF(VLOOKUP(A274,[3]PRIORIZADOS!$A:$T,20,FALSE)="","",VLOOKUP(A274,[3]PRIORIZADOS!$A:$T,20,FALSE)),"")</f>
        <v>Si</v>
      </c>
      <c r="U274" s="11" t="str">
        <f>IFERROR(IF(VLOOKUP(A274,[3]PRIORIZADOS!$A:$U,21,FALSE)="","",VLOOKUP(A274,[3]PRIORIZADOS!$A:$U,21,FALSE)),"")</f>
        <v>Revisar el Sistema Institucional de Evaluación de Estudiantes - SIEE actualizado en 2025 y retroalimentar a la IE.</v>
      </c>
    </row>
    <row r="275" spans="1:21" s="1" customFormat="1" ht="48">
      <c r="A275" s="69">
        <f>IF([3]PRIORIZADOS!A86="","",[3]PRIORIZADOS!A86)</f>
        <v>281</v>
      </c>
      <c r="B275" s="70">
        <f>IFERROR(IF(VLOOKUP(A275,[3]PRIORIZADOS!$A:$B,2,FALSE)="","",VLOOKUP(A275,[3]PRIORIZADOS!$A:$B,2,FALSE)),"")</f>
        <v>9</v>
      </c>
      <c r="C275" s="11" t="str">
        <f>IFERROR(IF(VLOOKUP(A275,[3]PRIORIZADOS!$A:$C,3,FALSE)="","",VLOOKUP(A275,[3]PRIORIZADOS!$A:$C,3,FALSE)),"")</f>
        <v>BOSA</v>
      </c>
      <c r="D275" s="11" t="str">
        <f>IFERROR(IF(VLOOKUP(A275,[3]PRIORIZADOS!$A:$D,4,FALSE)="","",VLOOKUP(A275,[3]PRIORIZADOS!$A:$D,4,FALSE)),"")</f>
        <v>PRIVADO</v>
      </c>
      <c r="E275" s="11" t="str">
        <f>IFERROR(IF(VLOOKUP(A275,[3]PRIORIZADOS!$A:$E,5,FALSE)="","",VLOOKUP(A275,[3]PRIORIZADOS!$A:$E,5,FALSE)),"")</f>
        <v>EPBM</v>
      </c>
      <c r="F275" s="11" t="str">
        <f>IFERROR(IF(VLOOKUP(A275,[3]PRIORIZADOS!$A:$F,6,FALSE)="","",VLOOKUP(A275,[3]PRIORIZADOS!$A:$F,6,FALSE)),"")</f>
        <v>INSTITUTO_LABERINTO_DE_LA_CULTURA</v>
      </c>
      <c r="G275" s="11" t="str">
        <f>IFERROR(IF(VLOOKUP(A275,[3]PRIORIZADOS!$A:$G,7,FALSE)="","",VLOOKUP(A275,[3]PRIORIZADOS!$A:$G,7,FALSE)),"")</f>
        <v>INSTITUTO LABERINTO DE LA CULTURA</v>
      </c>
      <c r="H275" s="11" t="str">
        <f>IFERROR(IF(VLOOKUP(A275,[3]PRIORIZADOS!$A:$H,8,FALSE)="","",VLOOKUP(A275,[3]PRIORIZADOS!$A:$H,8,FALSE)),"")</f>
        <v>Autoevaluación Institucional y Pruebas SABER 11</v>
      </c>
      <c r="I275" s="11" t="str">
        <f>IFERROR(IF(VLOOKUP(A275,[3]PRIORIZADOS!$A:$I,9,FALSE)="","",VLOOKUP(A275,[3]PRIORIZADOS!$A:$I,9,FALSE)),"")</f>
        <v>EVALUACIÓN_CON_FINES_DE_MEJORAMIENTO.</v>
      </c>
      <c r="J275" s="11" t="str">
        <f>IFERROR(IF(VLOOKUP(A275,[3]PRIORIZADOS!$A:$J,10,FALSE)="","",VLOOKUP(A275,[3]PRIORIZADOS!$A:$J,10,FALSE)),"")</f>
        <v>Revisar el calendario escolar, jornada escolar, la intensidad horaria mínima anual en cada nivel y las modificaciones que se realicen al mismo, de acuerdo con lo previsto en la normatividad vigente.</v>
      </c>
      <c r="K275" s="11" t="str">
        <f>IFERROR(IF(VLOOKUP(A275,[3]PRIORIZADOS!$A:$K,11,FALSE)="","",VLOOKUP(A275,[3]PRIORIZADOS!$A:$K,11,FALSE)),"")</f>
        <v>ANA ANDREA VARGAS GONZÁLEZ</v>
      </c>
      <c r="L275" s="11" t="str">
        <f>IFERROR(IF(VLOOKUP(A275,[3]PRIORIZADOS!$A:$L,12,FALSE)="","",VLOOKUP(A275,[3]PRIORIZADOS!$A:$L,12,FALSE)),"")</f>
        <v>ESTEFANY PEÑA GARCIA</v>
      </c>
      <c r="M275" s="71">
        <f>IFERROR(IF(VLOOKUP(A275,[3]PRIORIZADOS!$A:$M,13,FALSE)="","",VLOOKUP(A275,[3]PRIORIZADOS!$A:$M,13,FALSE)),"")</f>
        <v>45771</v>
      </c>
      <c r="N275" s="71">
        <f>IFERROR(IF(VLOOKUP(A275,[3]PRIORIZADOS!$A:$N,14,FALSE)="","",VLOOKUP(A275,[3]PRIORIZADOS!$A:$N,14,FALSE)),"")</f>
        <v>45771</v>
      </c>
      <c r="O275" s="71">
        <f>IFERROR(IF(VLOOKUP(A275,[3]PRIORIZADOS!$A:$O,15,FALSE)="","",VLOOKUP(A275,[3]PRIORIZADOS!$A:$O,15,FALSE)),"")</f>
        <v>45771</v>
      </c>
      <c r="P275" s="11" t="str">
        <f>IFERROR(IF(VLOOKUP(A275,[3]PRIORIZADOS!$A:$P,16,FALSE)="","",VLOOKUP(A275,[3]PRIORIZADOS!$A:$P,16,FALSE)),"")</f>
        <v>Visitas de evaluación con fines de mejoramiento</v>
      </c>
      <c r="Q275" s="107" t="s">
        <v>60</v>
      </c>
      <c r="R275" s="11" t="str">
        <f>IFERROR(IF(VLOOKUP(A275,[3]PRIORIZADOS!$A:$R,18,FALSE)="","",VLOOKUP(A275,[3]PRIORIZADOS!$A:$R,18,FALSE)),"")</f>
        <v>Se revisa el documento de Calendario Escolar y no se encuentra discriminado por semanas y la planeación de las jornadas pedagógicas</v>
      </c>
      <c r="S275" s="11" t="str">
        <f>IFERROR(IF(VLOOKUP(A275,[3]PRIORIZADOS!$A:$S,19,FALSE)="","",VLOOKUP(A275,[3]PRIORIZADOS!$A:$S,19,FALSE)),"")</f>
        <v>Remitir la versión actualizada del Calendario Escolar Vigencia 2025</v>
      </c>
      <c r="T275" s="70" t="str">
        <f>IFERROR(IF(VLOOKUP(A275,[3]PRIORIZADOS!$A:$T,20,FALSE)="","",VLOOKUP(A275,[3]PRIORIZADOS!$A:$T,20,FALSE)),"")</f>
        <v>Si</v>
      </c>
      <c r="U275" s="11" t="str">
        <f>IFERROR(IF(VLOOKUP(A275,[3]PRIORIZADOS!$A:$U,21,FALSE)="","",VLOOKUP(A275,[3]PRIORIZADOS!$A:$U,21,FALSE)),"")</f>
        <v>Revisar el Calendario Escolar Vigencia 2025 actualizado en 2025 y retroalimentar a la IE.</v>
      </c>
    </row>
    <row r="276" spans="1:21" s="1" customFormat="1" ht="60">
      <c r="A276" s="69">
        <f>IF([3]PRIORIZADOS!A87="","",[3]PRIORIZADOS!A87)</f>
        <v>282</v>
      </c>
      <c r="B276" s="70">
        <f>IFERROR(IF(VLOOKUP(A276,[3]PRIORIZADOS!$A:$B,2,FALSE)="","",VLOOKUP(A276,[3]PRIORIZADOS!$A:$B,2,FALSE)),"")</f>
        <v>9</v>
      </c>
      <c r="C276" s="11" t="str">
        <f>IFERROR(IF(VLOOKUP(A276,[3]PRIORIZADOS!$A:$C,3,FALSE)="","",VLOOKUP(A276,[3]PRIORIZADOS!$A:$C,3,FALSE)),"")</f>
        <v>BOSA</v>
      </c>
      <c r="D276" s="11" t="str">
        <f>IFERROR(IF(VLOOKUP(A276,[3]PRIORIZADOS!$A:$D,4,FALSE)="","",VLOOKUP(A276,[3]PRIORIZADOS!$A:$D,4,FALSE)),"")</f>
        <v>PRIVADO</v>
      </c>
      <c r="E276" s="11" t="str">
        <f>IFERROR(IF(VLOOKUP(A276,[3]PRIORIZADOS!$A:$E,5,FALSE)="","",VLOOKUP(A276,[3]PRIORIZADOS!$A:$E,5,FALSE)),"")</f>
        <v>EPBM</v>
      </c>
      <c r="F276" s="11" t="str">
        <f>IFERROR(IF(VLOOKUP(A276,[3]PRIORIZADOS!$A:$F,6,FALSE)="","",VLOOKUP(A276,[3]PRIORIZADOS!$A:$F,6,FALSE)),"")</f>
        <v>INSTITUTO_LABERINTO_DE_LA_CULTURA</v>
      </c>
      <c r="G276" s="11" t="str">
        <f>IFERROR(IF(VLOOKUP(A276,[3]PRIORIZADOS!$A:$G,7,FALSE)="","",VLOOKUP(A276,[3]PRIORIZADOS!$A:$G,7,FALSE)),"")</f>
        <v>INSTITUTO LABERINTO DE LA CULTURA</v>
      </c>
      <c r="H276" s="11" t="str">
        <f>IFERROR(IF(VLOOKUP(A276,[3]PRIORIZADOS!$A:$H,8,FALSE)="","",VLOOKUP(A276,[3]PRIORIZADOS!$A:$H,8,FALSE)),"")</f>
        <v>Autoevaluación Institucional y Pruebas SABER 11</v>
      </c>
      <c r="I276" s="11" t="str">
        <f>IFERROR(IF(VLOOKUP(A276,[3]PRIORIZADOS!$A:$I,9,FALSE)="","",VLOOKUP(A276,[3]PRIORIZADOS!$A:$I,9,FALSE)),"")</f>
        <v>EVALUACIÓN_CON_FINES_DE_MEJORAMIENTO.</v>
      </c>
      <c r="J276" s="11" t="str">
        <f>IFERROR(IF(VLOOKUP(A276,[3]PRIORIZADOS!$A:$J,10,FALSE)="","",VLOOKUP(A276,[3]PRIORIZADOS!$A:$J,10,FALSE)),"")</f>
        <v>Verificar el funcionamiento del Gobierno Escolar e instancias de participación con base en la información sobre conformación reportada por la institución educativa.</v>
      </c>
      <c r="K276" s="11" t="str">
        <f>IFERROR(IF(VLOOKUP(A276,[3]PRIORIZADOS!$A:$K,11,FALSE)="","",VLOOKUP(A276,[3]PRIORIZADOS!$A:$K,11,FALSE)),"")</f>
        <v>ANA ANDREA VARGAS GONZÁLEZ</v>
      </c>
      <c r="L276" s="11" t="str">
        <f>IFERROR(IF(VLOOKUP(A276,[3]PRIORIZADOS!$A:$L,12,FALSE)="","",VLOOKUP(A276,[3]PRIORIZADOS!$A:$L,12,FALSE)),"")</f>
        <v>ESTEFANY PEÑA GARCIA</v>
      </c>
      <c r="M276" s="71">
        <f>IFERROR(IF(VLOOKUP(A276,[3]PRIORIZADOS!$A:$M,13,FALSE)="","",VLOOKUP(A276,[3]PRIORIZADOS!$A:$M,13,FALSE)),"")</f>
        <v>45771</v>
      </c>
      <c r="N276" s="71">
        <f>IFERROR(IF(VLOOKUP(A276,[3]PRIORIZADOS!$A:$N,14,FALSE)="","",VLOOKUP(A276,[3]PRIORIZADOS!$A:$N,14,FALSE)),"")</f>
        <v>45771</v>
      </c>
      <c r="O276" s="71">
        <f>IFERROR(IF(VLOOKUP(A276,[3]PRIORIZADOS!$A:$O,15,FALSE)="","",VLOOKUP(A276,[3]PRIORIZADOS!$A:$O,15,FALSE)),"")</f>
        <v>45771</v>
      </c>
      <c r="P276" s="11" t="str">
        <f>IFERROR(IF(VLOOKUP(A276,[3]PRIORIZADOS!$A:$P,16,FALSE)="","",VLOOKUP(A276,[3]PRIORIZADOS!$A:$P,16,FALSE)),"")</f>
        <v>Visitas de evaluación con fines de mejoramiento</v>
      </c>
      <c r="Q276" s="107" t="s">
        <v>60</v>
      </c>
      <c r="R276" s="11" t="str">
        <f>IFERROR(IF(VLOOKUP(A276,[3]PRIORIZADOS!$A:$R,18,FALSE)="","",VLOOKUP(A276,[3]PRIORIZADOS!$A:$R,18,FALSE)),"")</f>
        <v>Se revisa la documentación que corresponde a la conformación del Gobierno Escolar y otros órganos de participación y no están ajustados de acuerdo con la normatividad vigente</v>
      </c>
      <c r="S276" s="11" t="str">
        <f>IFERROR(IF(VLOOKUP(A276,[3]PRIORIZADOS!$A:$S,19,FALSE)="","",VLOOKUP(A276,[3]PRIORIZADOS!$A:$S,19,FALSE)),"")</f>
        <v>Remitir la versión actualizada del Gobierno Escolar y otros órganos de participación vigencia 2025</v>
      </c>
      <c r="T276" s="70" t="str">
        <f>IFERROR(IF(VLOOKUP(A276,[3]PRIORIZADOS!$A:$T,20,FALSE)="","",VLOOKUP(A276,[3]PRIORIZADOS!$A:$T,20,FALSE)),"")</f>
        <v>Si</v>
      </c>
      <c r="U276" s="11" t="str">
        <f>IFERROR(IF(VLOOKUP(A276,[3]PRIORIZADOS!$A:$U,21,FALSE)="","",VLOOKUP(A276,[3]PRIORIZADOS!$A:$U,21,FALSE)),"")</f>
        <v>Revisar el Gobierno Escolar y otros órganos de participación actualizado en 2025 y retroalimentar a la IE.</v>
      </c>
    </row>
    <row r="277" spans="1:21" s="1" customFormat="1" ht="60">
      <c r="A277" s="69">
        <f>IF([3]PRIORIZADOS!A88="","",[3]PRIORIZADOS!A88)</f>
        <v>283</v>
      </c>
      <c r="B277" s="70">
        <f>IFERROR(IF(VLOOKUP(A277,[3]PRIORIZADOS!$A:$B,2,FALSE)="","",VLOOKUP(A277,[3]PRIORIZADOS!$A:$B,2,FALSE)),"")</f>
        <v>9</v>
      </c>
      <c r="C277" s="11" t="str">
        <f>IFERROR(IF(VLOOKUP(A277,[3]PRIORIZADOS!$A:$C,3,FALSE)="","",VLOOKUP(A277,[3]PRIORIZADOS!$A:$C,3,FALSE)),"")</f>
        <v>BOSA</v>
      </c>
      <c r="D277" s="11" t="str">
        <f>IFERROR(IF(VLOOKUP(A277,[3]PRIORIZADOS!$A:$D,4,FALSE)="","",VLOOKUP(A277,[3]PRIORIZADOS!$A:$D,4,FALSE)),"")</f>
        <v>PRIVADO</v>
      </c>
      <c r="E277" s="11" t="str">
        <f>IFERROR(IF(VLOOKUP(A277,[3]PRIORIZADOS!$A:$E,5,FALSE)="","",VLOOKUP(A277,[3]PRIORIZADOS!$A:$E,5,FALSE)),"")</f>
        <v>EPBM</v>
      </c>
      <c r="F277" s="11" t="str">
        <f>IFERROR(IF(VLOOKUP(A277,[3]PRIORIZADOS!$A:$F,6,FALSE)="","",VLOOKUP(A277,[3]PRIORIZADOS!$A:$F,6,FALSE)),"")</f>
        <v>INSTITUTO_LABERINTO_DE_LA_CULTURA</v>
      </c>
      <c r="G277" s="11" t="str">
        <f>IFERROR(IF(VLOOKUP(A277,[3]PRIORIZADOS!$A:$G,7,FALSE)="","",VLOOKUP(A277,[3]PRIORIZADOS!$A:$G,7,FALSE)),"")</f>
        <v>INSTITUTO LABERINTO DE LA CULTURA</v>
      </c>
      <c r="H277" s="11" t="str">
        <f>IFERROR(IF(VLOOKUP(A277,[3]PRIORIZADOS!$A:$H,8,FALSE)="","",VLOOKUP(A277,[3]PRIORIZADOS!$A:$H,8,FALSE)),"")</f>
        <v>Autoevaluación Institucional y Pruebas SABER 11</v>
      </c>
      <c r="I277" s="11" t="str">
        <f>IFERROR(IF(VLOOKUP(A277,[3]PRIORIZADOS!$A:$I,9,FALSE)="","",VLOOKUP(A277,[3]PRIORIZADOS!$A:$I,9,FALSE)),"")</f>
        <v>EVALUACIÓN_CON_FINES_DE_MEJORAMIENTO.</v>
      </c>
      <c r="J277" s="11" t="str">
        <f>IFERROR(IF(VLOOKUP(A277,[3]PRIORIZADOS!$A:$J,10,FALSE)="","",VLOOKUP(A277,[3]PRIORIZADOS!$A:$J,10,FALSE)),"")</f>
        <v>Verificar las condiciones en cuanto a: la estructura administrativa, condiciones de la planta física y medios educativos adecuados.</v>
      </c>
      <c r="K277" s="11" t="str">
        <f>IFERROR(IF(VLOOKUP(A277,[3]PRIORIZADOS!$A:$K,11,FALSE)="","",VLOOKUP(A277,[3]PRIORIZADOS!$A:$K,11,FALSE)),"")</f>
        <v>ANA ANDREA VARGAS GONZÁLEZ</v>
      </c>
      <c r="L277" s="11" t="str">
        <f>IFERROR(IF(VLOOKUP(A277,[3]PRIORIZADOS!$A:$L,12,FALSE)="","",VLOOKUP(A277,[3]PRIORIZADOS!$A:$L,12,FALSE)),"")</f>
        <v>ESTEFANY PEÑA GARCIA</v>
      </c>
      <c r="M277" s="71">
        <f>IFERROR(IF(VLOOKUP(A277,[3]PRIORIZADOS!$A:$M,13,FALSE)="","",VLOOKUP(A277,[3]PRIORIZADOS!$A:$M,13,FALSE)),"")</f>
        <v>45771</v>
      </c>
      <c r="N277" s="71">
        <f>IFERROR(IF(VLOOKUP(A277,[3]PRIORIZADOS!$A:$N,14,FALSE)="","",VLOOKUP(A277,[3]PRIORIZADOS!$A:$N,14,FALSE)),"")</f>
        <v>45771</v>
      </c>
      <c r="O277" s="71">
        <f>IFERROR(IF(VLOOKUP(A277,[3]PRIORIZADOS!$A:$O,15,FALSE)="","",VLOOKUP(A277,[3]PRIORIZADOS!$A:$O,15,FALSE)),"")</f>
        <v>45771</v>
      </c>
      <c r="P277" s="11" t="str">
        <f>IFERROR(IF(VLOOKUP(A277,[3]PRIORIZADOS!$A:$P,16,FALSE)="","",VLOOKUP(A277,[3]PRIORIZADOS!$A:$P,16,FALSE)),"")</f>
        <v>Visitas de evaluación con fines de mejoramiento</v>
      </c>
      <c r="Q277" s="107" t="s">
        <v>60</v>
      </c>
      <c r="R277" s="11" t="str">
        <f>IFERROR(IF(VLOOKUP(A277,[3]PRIORIZADOS!$A:$R,18,FALSE)="","",VLOOKUP(A277,[3]PRIORIZADOS!$A:$R,18,FALSE)),"")</f>
        <v>Se realiza un recorrido en las instalaciones de la IE y se evidencia falta de mantenimiento en las Instalaciones y se debe verificar el proceso de ambientes compartidos de la SED</v>
      </c>
      <c r="S277" s="11" t="str">
        <f>IFERROR(IF(VLOOKUP(A277,[3]PRIORIZADOS!$A:$S,19,FALSE)="","",VLOOKUP(A277,[3]PRIORIZADOS!$A:$S,19,FALSE)),"")</f>
        <v>Se recomienda actualizar el mobiliario más antiguo y se debe verificar el proceso de ambientes compartidos de la SED</v>
      </c>
      <c r="T277" s="70" t="str">
        <f>IFERROR(IF(VLOOKUP(A277,[3]PRIORIZADOS!$A:$T,20,FALSE)="","",VLOOKUP(A277,[3]PRIORIZADOS!$A:$T,20,FALSE)),"")</f>
        <v>Si</v>
      </c>
      <c r="U277" s="11" t="str">
        <f>IFERROR(IF(VLOOKUP(A277,[3]PRIORIZADOS!$A:$U,21,FALSE)="","",VLOOKUP(A277,[3]PRIORIZADOS!$A:$U,21,FALSE)),"")</f>
        <v>Se adelantará una visita administrativa para verificar la pertinencia de las instalaciones en la garantía de la prestación del servicio educativo se debe verificar el proceso de ambientes compartidos de la SED</v>
      </c>
    </row>
    <row r="278" spans="1:21" s="1" customFormat="1" ht="60">
      <c r="A278" s="69">
        <f>IF([3]PRIORIZADOS!A89="","",[3]PRIORIZADOS!A89)</f>
        <v>284</v>
      </c>
      <c r="B278" s="70">
        <f>IFERROR(IF(VLOOKUP(A278,[3]PRIORIZADOS!$A:$B,2,FALSE)="","",VLOOKUP(A278,[3]PRIORIZADOS!$A:$B,2,FALSE)),"")</f>
        <v>10</v>
      </c>
      <c r="C278" s="11" t="str">
        <f>IFERROR(IF(VLOOKUP(A278,[3]PRIORIZADOS!$A:$C,3,FALSE)="","",VLOOKUP(A278,[3]PRIORIZADOS!$A:$C,3,FALSE)),"")</f>
        <v>BOSA</v>
      </c>
      <c r="D278" s="11" t="str">
        <f>IFERROR(IF(VLOOKUP(A278,[3]PRIORIZADOS!$A:$D,4,FALSE)="","",VLOOKUP(A278,[3]PRIORIZADOS!$A:$D,4,FALSE)),"")</f>
        <v>PRIVADO</v>
      </c>
      <c r="E278" s="11" t="str">
        <f>IFERROR(IF(VLOOKUP(A278,[3]PRIORIZADOS!$A:$E,5,FALSE)="","",VLOOKUP(A278,[3]PRIORIZADOS!$A:$E,5,FALSE)),"")</f>
        <v>EPBM</v>
      </c>
      <c r="F278" s="11" t="str">
        <f>IFERROR(IF(VLOOKUP(A278,[3]PRIORIZADOS!$A:$F,6,FALSE)="","",VLOOKUP(A278,[3]PRIORIZADOS!$A:$F,6,FALSE)),"")</f>
        <v>LICEO_ALFREDO_NOBEL</v>
      </c>
      <c r="G278" s="11" t="str">
        <f>IFERROR(IF(VLOOKUP(A278,[3]PRIORIZADOS!$A:$G,7,FALSE)="","",VLOOKUP(A278,[3]PRIORIZADOS!$A:$G,7,FALSE)),"")</f>
        <v>LICEO ALFREDO NOBEL</v>
      </c>
      <c r="H278" s="11" t="str">
        <f>IFERROR(IF(VLOOKUP(A278,[3]PRIORIZADOS!$A:$H,8,FALSE)="","",VLOOKUP(A278,[3]PRIORIZADOS!$A:$H,8,FALSE)),"")</f>
        <v>Autoevaluación Institucional y Pruebas SABER 11</v>
      </c>
      <c r="I278" s="11" t="str">
        <f>IFERROR(IF(VLOOKUP(A278,[3]PRIORIZADOS!$A:$I,9,FALSE)="","",VLOOKUP(A278,[3]PRIORIZADOS!$A:$I,9,FALSE)),"")</f>
        <v>SEGUIMIENTO_Y_SUPERVISIÓN.</v>
      </c>
      <c r="J278" s="11" t="str">
        <f>IFERROR(IF(VLOOKUP(A278,[3]PRIORIZADOS!$A:$J,10,FALSE)="","",VLOOKUP(A278,[3]PRIORIZADOS!$A:$J,10,FALSE)),"")</f>
        <v>Realizar visitas para verificar la información registrada sobre la autoevaluación institucional en el aplicativo EVI, a los establecimientos de educación formal no oficial.</v>
      </c>
      <c r="K278" s="11" t="str">
        <f>IFERROR(IF(VLOOKUP(A278,[3]PRIORIZADOS!$A:$K,11,FALSE)="","",VLOOKUP(A278,[3]PRIORIZADOS!$A:$K,11,FALSE)),"")</f>
        <v>ESTEFANY PEÑA GARCIA</v>
      </c>
      <c r="L278" s="11" t="str">
        <f>IFERROR(IF(VLOOKUP(A278,[3]PRIORIZADOS!$A:$L,12,FALSE)="","",VLOOKUP(A278,[3]PRIORIZADOS!$A:$L,12,FALSE)),"")</f>
        <v>ANA ANDREA VARGAS GONZÁLEZ</v>
      </c>
      <c r="M278" s="71">
        <f>IFERROR(IF(VLOOKUP(A278,[3]PRIORIZADOS!$A:$M,13,FALSE)="","",VLOOKUP(A278,[3]PRIORIZADOS!$A:$M,13,FALSE)),"")</f>
        <v>45776</v>
      </c>
      <c r="N278" s="71">
        <f>IFERROR(IF(VLOOKUP(A278,[3]PRIORIZADOS!$A:$N,14,FALSE)="","",VLOOKUP(A278,[3]PRIORIZADOS!$A:$N,14,FALSE)),"")</f>
        <v>45776</v>
      </c>
      <c r="O278" s="71">
        <f>IFERROR(IF(VLOOKUP(A278,[3]PRIORIZADOS!$A:$O,15,FALSE)="","",VLOOKUP(A278,[3]PRIORIZADOS!$A:$O,15,FALSE)),"")</f>
        <v>45776</v>
      </c>
      <c r="P278" s="11" t="str">
        <f>IFERROR(IF(VLOOKUP(A278,[3]PRIORIZADOS!$A:$P,16,FALSE)="","",VLOOKUP(A278,[3]PRIORIZADOS!$A:$P,16,FALSE)),"")</f>
        <v>Visitas de evaluación con fines de mejoramiento</v>
      </c>
      <c r="Q278" s="107" t="s">
        <v>61</v>
      </c>
      <c r="R278" s="11" t="str">
        <f>IFERROR(IF(VLOOKUP(A278,[3]PRIORIZADOS!$A:$R,18,FALSE)="","",VLOOKUP(A278,[3]PRIORIZADOS!$A:$R,18,FALSE)),"")</f>
        <v>La información consignada en la Plataforma EVI relacionada con los indicadores de: planta física, dotación de espacios y calendario académico coincide con lo verificado en campo</v>
      </c>
      <c r="S278" s="11" t="str">
        <f>IFERROR(IF(VLOOKUP(A278,[3]PRIORIZADOS!$A:$S,19,FALSE)="","",VLOOKUP(A278,[3]PRIORIZADOS!$A:$S,19,FALSE)),"")</f>
        <v xml:space="preserve">Se concluye que la IE realizará su autoevalución institucional en el mes octubre.  </v>
      </c>
      <c r="T278" s="70" t="str">
        <f>IFERROR(IF(VLOOKUP(A278,[3]PRIORIZADOS!$A:$T,20,FALSE)="","",VLOOKUP(A278,[3]PRIORIZADOS!$A:$T,20,FALSE)),"")</f>
        <v>No</v>
      </c>
      <c r="U278" s="11" t="str">
        <f>IFERROR(IF(VLOOKUP(A278,[3]PRIORIZADOS!$A:$U,21,FALSE)="","",VLOOKUP(A278,[3]PRIORIZADOS!$A:$U,21,FALSE)),"")</f>
        <v>Se verificará la información cargada por la IE en el aplicativo EVI de la autoevaluación,  para la emisión del concepto de tarifas 2026</v>
      </c>
    </row>
    <row r="279" spans="1:21" s="1" customFormat="1" ht="60">
      <c r="A279" s="69">
        <f>IF([3]PRIORIZADOS!A90="","",[3]PRIORIZADOS!A90)</f>
        <v>285</v>
      </c>
      <c r="B279" s="70">
        <f>IFERROR(IF(VLOOKUP(A279,[3]PRIORIZADOS!$A:$B,2,FALSE)="","",VLOOKUP(A279,[3]PRIORIZADOS!$A:$B,2,FALSE)),"")</f>
        <v>10</v>
      </c>
      <c r="C279" s="11" t="str">
        <f>IFERROR(IF(VLOOKUP(A279,[3]PRIORIZADOS!$A:$C,3,FALSE)="","",VLOOKUP(A279,[3]PRIORIZADOS!$A:$C,3,FALSE)),"")</f>
        <v>BOSA</v>
      </c>
      <c r="D279" s="11" t="str">
        <f>IFERROR(IF(VLOOKUP(A279,[3]PRIORIZADOS!$A:$D,4,FALSE)="","",VLOOKUP(A279,[3]PRIORIZADOS!$A:$D,4,FALSE)),"")</f>
        <v>PRIVADO</v>
      </c>
      <c r="E279" s="11" t="str">
        <f>IFERROR(IF(VLOOKUP(A279,[3]PRIORIZADOS!$A:$E,5,FALSE)="","",VLOOKUP(A279,[3]PRIORIZADOS!$A:$E,5,FALSE)),"")</f>
        <v>EPBM</v>
      </c>
      <c r="F279" s="11" t="str">
        <f>IFERROR(IF(VLOOKUP(A279,[3]PRIORIZADOS!$A:$F,6,FALSE)="","",VLOOKUP(A279,[3]PRIORIZADOS!$A:$F,6,FALSE)),"")</f>
        <v>LICEO_ALFREDO_NOBEL</v>
      </c>
      <c r="G279" s="11" t="str">
        <f>IFERROR(IF(VLOOKUP(A279,[3]PRIORIZADOS!$A:$G,7,FALSE)="","",VLOOKUP(A279,[3]PRIORIZADOS!$A:$G,7,FALSE)),"")</f>
        <v>LICEO ALFREDO NOBEL</v>
      </c>
      <c r="H279" s="11" t="str">
        <f>IFERROR(IF(VLOOKUP(A279,[3]PRIORIZADOS!$A:$H,8,FALSE)="","",VLOOKUP(A279,[3]PRIORIZADOS!$A:$H,8,FALSE)),"")</f>
        <v>Autoevaluación Institucional y Pruebas SABER 11</v>
      </c>
      <c r="I279" s="11" t="str">
        <f>IFERROR(IF(VLOOKUP(A279,[3]PRIORIZADOS!$A:$I,9,FALSE)="","",VLOOKUP(A279,[3]PRIORIZADOS!$A:$I,9,FALSE)),"")</f>
        <v>SEGUIMIENTO_Y_SUPERVISIÓN.</v>
      </c>
      <c r="J279" s="11" t="str">
        <f>IFERROR(IF(VLOOKUP(A279,[3]PRIORIZADOS!$A:$J,10,FALSE)="","",VLOOKUP(A279,[3]PRIORIZADOS!$A:$J,10,FALSE)),"")</f>
        <v>Proponer estrategias en la formulación, verificar su elaboración y realizar seguimiento semestral al desarrollo de  las acciones establecidas en los planes de mejoramiento por pruebas SABER 11 de los establecimientos de educación formal.</v>
      </c>
      <c r="K279" s="11" t="str">
        <f>IFERROR(IF(VLOOKUP(A279,[3]PRIORIZADOS!$A:$K,11,FALSE)="","",VLOOKUP(A279,[3]PRIORIZADOS!$A:$K,11,FALSE)),"")</f>
        <v>ESTEFANY PEÑA GARCIA</v>
      </c>
      <c r="L279" s="11" t="str">
        <f>IFERROR(IF(VLOOKUP(A279,[3]PRIORIZADOS!$A:$L,12,FALSE)="","",VLOOKUP(A279,[3]PRIORIZADOS!$A:$L,12,FALSE)),"")</f>
        <v>ANA ANDREA VARGAS GONZÁLEZ</v>
      </c>
      <c r="M279" s="71">
        <f>IFERROR(IF(VLOOKUP(A279,[3]PRIORIZADOS!$A:$M,13,FALSE)="","",VLOOKUP(A279,[3]PRIORIZADOS!$A:$M,13,FALSE)),"")</f>
        <v>45776</v>
      </c>
      <c r="N279" s="71">
        <f>IFERROR(IF(VLOOKUP(A279,[3]PRIORIZADOS!$A:$N,14,FALSE)="","",VLOOKUP(A279,[3]PRIORIZADOS!$A:$N,14,FALSE)),"")</f>
        <v>45776</v>
      </c>
      <c r="O279" s="71">
        <f>IFERROR(IF(VLOOKUP(A279,[3]PRIORIZADOS!$A:$O,15,FALSE)="","",VLOOKUP(A279,[3]PRIORIZADOS!$A:$O,15,FALSE)),"")</f>
        <v>45776</v>
      </c>
      <c r="P279" s="11" t="str">
        <f>IFERROR(IF(VLOOKUP(A279,[3]PRIORIZADOS!$A:$P,16,FALSE)="","",VLOOKUP(A279,[3]PRIORIZADOS!$A:$P,16,FALSE)),"")</f>
        <v>Visitas de evaluación con fines de seguimiento</v>
      </c>
      <c r="Q279" s="107" t="s">
        <v>61</v>
      </c>
      <c r="R279" s="11" t="str">
        <f>IFERROR(IF(VLOOKUP(A279,[3]PRIORIZADOS!$A:$R,18,FALSE)="","",VLOOKUP(A279,[3]PRIORIZADOS!$A:$R,18,FALSE)),"")</f>
        <v>Se adelanta la revisión de los Resultados de las Pruebas Saber 11, encontrando que la IE se encuentra en Categoría A</v>
      </c>
      <c r="S279" s="11" t="str">
        <f>IFERROR(IF(VLOOKUP(A279,[3]PRIORIZADOS!$A:$S,19,FALSE)="","",VLOOKUP(A279,[3]PRIORIZADOS!$A:$S,19,FALSE)),"")</f>
        <v>Se aporta documento que la Institución educativa que compara diferentes vigencias y la mejora anual hasta llegar a la categoría A  en los resultados 2024</v>
      </c>
      <c r="T279" s="70" t="str">
        <f>IFERROR(IF(VLOOKUP(A279,[3]PRIORIZADOS!$A:$T,20,FALSE)="","",VLOOKUP(A279,[3]PRIORIZADOS!$A:$T,20,FALSE)),"")</f>
        <v>No</v>
      </c>
      <c r="U279" s="11" t="str">
        <f>IFERROR(IF(VLOOKUP(A279,[3]PRIORIZADOS!$A:$U,21,FALSE)="","",VLOOKUP(A279,[3]PRIORIZADOS!$A:$U,21,FALSE)),"")</f>
        <v>Se acordó revisar nuevamente el documento en el mes de agosto de 2025 y generar espacios de asesoría, conforme lo requiera la IE</v>
      </c>
    </row>
    <row r="280" spans="1:21" s="1" customFormat="1" ht="72">
      <c r="A280" s="69">
        <f>IF([3]PRIORIZADOS!A91="","",[3]PRIORIZADOS!A91)</f>
        <v>286</v>
      </c>
      <c r="B280" s="70">
        <f>IFERROR(IF(VLOOKUP(A280,[3]PRIORIZADOS!$A:$B,2,FALSE)="","",VLOOKUP(A280,[3]PRIORIZADOS!$A:$B,2,FALSE)),"")</f>
        <v>10</v>
      </c>
      <c r="C280" s="11" t="str">
        <f>IFERROR(IF(VLOOKUP(A280,[3]PRIORIZADOS!$A:$C,3,FALSE)="","",VLOOKUP(A280,[3]PRIORIZADOS!$A:$C,3,FALSE)),"")</f>
        <v>BOSA</v>
      </c>
      <c r="D280" s="11" t="str">
        <f>IFERROR(IF(VLOOKUP(A280,[3]PRIORIZADOS!$A:$D,4,FALSE)="","",VLOOKUP(A280,[3]PRIORIZADOS!$A:$D,4,FALSE)),"")</f>
        <v>PRIVADO</v>
      </c>
      <c r="E280" s="11" t="str">
        <f>IFERROR(IF(VLOOKUP(A280,[3]PRIORIZADOS!$A:$E,5,FALSE)="","",VLOOKUP(A280,[3]PRIORIZADOS!$A:$E,5,FALSE)),"")</f>
        <v>EPBM</v>
      </c>
      <c r="F280" s="11" t="str">
        <f>IFERROR(IF(VLOOKUP(A280,[3]PRIORIZADOS!$A:$F,6,FALSE)="","",VLOOKUP(A280,[3]PRIORIZADOS!$A:$F,6,FALSE)),"")</f>
        <v>LICEO_ALFREDO_NOBEL</v>
      </c>
      <c r="G280" s="11" t="str">
        <f>IFERROR(IF(VLOOKUP(A280,[3]PRIORIZADOS!$A:$G,7,FALSE)="","",VLOOKUP(A280,[3]PRIORIZADOS!$A:$G,7,FALSE)),"")</f>
        <v>LICEO ALFREDO NOBEL</v>
      </c>
      <c r="H280" s="11" t="str">
        <f>IFERROR(IF(VLOOKUP(A280,[3]PRIORIZADOS!$A:$H,8,FALSE)="","",VLOOKUP(A280,[3]PRIORIZADOS!$A:$H,8,FALSE)),"")</f>
        <v>Autoevaluación Institucional y Pruebas SABER 11</v>
      </c>
      <c r="I280" s="11" t="str">
        <f>IFERROR(IF(VLOOKUP(A280,[3]PRIORIZADOS!$A:$I,9,FALSE)="","",VLOOKUP(A280,[3]PRIORIZADOS!$A:$I,9,FALSE)),"")</f>
        <v>SEGUIMIENTO_Y_SUPERVISIÓN.</v>
      </c>
      <c r="J280" s="11" t="str">
        <f>IFERROR(IF(VLOOKUP(A280,[3]PRIORIZADOS!$A:$J,10,FALSE)="","",VLOOKUP(A280,[3]PRIORIZADOS!$A:$J,10,FALSE)),"")</f>
        <v xml:space="preserve">Verificar la implementación por parte de los colegios, de acciones realizadas para la prevención y atención de las situaciones de convivencia en el entorno escolar, según lo establecido en la Directiva 01 de 2022 del MEN. </v>
      </c>
      <c r="K280" s="11" t="str">
        <f>IFERROR(IF(VLOOKUP(A280,[3]PRIORIZADOS!$A:$K,11,FALSE)="","",VLOOKUP(A280,[3]PRIORIZADOS!$A:$K,11,FALSE)),"")</f>
        <v>ESTEFANY PEÑA GARCIA</v>
      </c>
      <c r="L280" s="11" t="str">
        <f>IFERROR(IF(VLOOKUP(A280,[3]PRIORIZADOS!$A:$L,12,FALSE)="","",VLOOKUP(A280,[3]PRIORIZADOS!$A:$L,12,FALSE)),"")</f>
        <v>ANA ANDREA VARGAS GONZÁLEZ</v>
      </c>
      <c r="M280" s="71">
        <f>IFERROR(IF(VLOOKUP(A280,[3]PRIORIZADOS!$A:$M,13,FALSE)="","",VLOOKUP(A280,[3]PRIORIZADOS!$A:$M,13,FALSE)),"")</f>
        <v>45776</v>
      </c>
      <c r="N280" s="71">
        <f>IFERROR(IF(VLOOKUP(A280,[3]PRIORIZADOS!$A:$N,14,FALSE)="","",VLOOKUP(A280,[3]PRIORIZADOS!$A:$N,14,FALSE)),"")</f>
        <v>45776</v>
      </c>
      <c r="O280" s="71">
        <f>IFERROR(IF(VLOOKUP(A280,[3]PRIORIZADOS!$A:$O,15,FALSE)="","",VLOOKUP(A280,[3]PRIORIZADOS!$A:$O,15,FALSE)),"")</f>
        <v>45776</v>
      </c>
      <c r="P280" s="11" t="str">
        <f>IFERROR(IF(VLOOKUP(A280,[3]PRIORIZADOS!$A:$P,16,FALSE)="","",VLOOKUP(A280,[3]PRIORIZADOS!$A:$P,16,FALSE)),"")</f>
        <v>Visitas de evaluación con fines de mejoramiento</v>
      </c>
      <c r="Q280" s="107" t="s">
        <v>61</v>
      </c>
      <c r="R280" s="11" t="str">
        <f>IFERROR(IF(VLOOKUP(A280,[3]PRIORIZADOS!$A:$R,18,FALSE)="","",VLOOKUP(A280,[3]PRIORIZADOS!$A:$R,18,FALSE)),"")</f>
        <v>Se verifica la implementación de acciones  realizadas para la prevención como lo es la verificación de inhabilidades por delitos sexuales en el sistema de la Policía Nacional.</v>
      </c>
      <c r="S280" s="11" t="str">
        <f>IFERROR(IF(VLOOKUP(A280,[3]PRIORIZADOS!$A:$S,19,FALSE)="","",VLOOKUP(A280,[3]PRIORIZADOS!$A:$S,19,FALSE)),"")</f>
        <v>Como acción de verificación se solicita implementar  la autorización de directivos, docentes y administrativos para las consultas de antecedentes en los sistemas que se requieran al momento de la vinculación</v>
      </c>
      <c r="T280" s="70" t="str">
        <f>IFERROR(IF(VLOOKUP(A280,[3]PRIORIZADOS!$A:$T,20,FALSE)="","",VLOOKUP(A280,[3]PRIORIZADOS!$A:$T,20,FALSE)),"")</f>
        <v>No</v>
      </c>
      <c r="U280" s="11" t="str">
        <f>IFERROR(IF(VLOOKUP(A280,[3]PRIORIZADOS!$A:$U,21,FALSE)="","",VLOOKUP(A280,[3]PRIORIZADOS!$A:$U,21,FALSE)),"")</f>
        <v>Verificar que la IE cuente con las respectivas autorizaciones para las consultas de antedecentes del personal vinculado.</v>
      </c>
    </row>
    <row r="281" spans="1:21" s="1" customFormat="1" ht="107.25">
      <c r="A281" s="69">
        <f>IF([3]PRIORIZADOS!A92="","",[3]PRIORIZADOS!A92)</f>
        <v>287</v>
      </c>
      <c r="B281" s="70">
        <f>IFERROR(IF(VLOOKUP(A281,[3]PRIORIZADOS!$A:$B,2,FALSE)="","",VLOOKUP(A281,[3]PRIORIZADOS!$A:$B,2,FALSE)),"")</f>
        <v>10</v>
      </c>
      <c r="C281" s="11" t="str">
        <f>IFERROR(IF(VLOOKUP(A281,[3]PRIORIZADOS!$A:$C,3,FALSE)="","",VLOOKUP(A281,[3]PRIORIZADOS!$A:$C,3,FALSE)),"")</f>
        <v>BOSA</v>
      </c>
      <c r="D281" s="11" t="str">
        <f>IFERROR(IF(VLOOKUP(A281,[3]PRIORIZADOS!$A:$D,4,FALSE)="","",VLOOKUP(A281,[3]PRIORIZADOS!$A:$D,4,FALSE)),"")</f>
        <v>PRIVADO</v>
      </c>
      <c r="E281" s="11" t="str">
        <f>IFERROR(IF(VLOOKUP(A281,[3]PRIORIZADOS!$A:$E,5,FALSE)="","",VLOOKUP(A281,[3]PRIORIZADOS!$A:$E,5,FALSE)),"")</f>
        <v>EPBM</v>
      </c>
      <c r="F281" s="11" t="str">
        <f>IFERROR(IF(VLOOKUP(A281,[3]PRIORIZADOS!$A:$F,6,FALSE)="","",VLOOKUP(A281,[3]PRIORIZADOS!$A:$F,6,FALSE)),"")</f>
        <v>LICEO_ALFREDO_NOBEL</v>
      </c>
      <c r="G281" s="11" t="str">
        <f>IFERROR(IF(VLOOKUP(A281,[3]PRIORIZADOS!$A:$G,7,FALSE)="","",VLOOKUP(A281,[3]PRIORIZADOS!$A:$G,7,FALSE)),"")</f>
        <v>LICEO ALFREDO NOBEL</v>
      </c>
      <c r="H281" s="11" t="str">
        <f>IFERROR(IF(VLOOKUP(A281,[3]PRIORIZADOS!$A:$H,8,FALSE)="","",VLOOKUP(A281,[3]PRIORIZADOS!$A:$H,8,FALSE)),"")</f>
        <v>Autoevaluación Institucional y Pruebas SABER 11</v>
      </c>
      <c r="I281" s="11" t="str">
        <f>IFERROR(IF(VLOOKUP(A281,[3]PRIORIZADOS!$A:$I,9,FALSE)="","",VLOOKUP(A281,[3]PRIORIZADOS!$A:$I,9,FALSE)),"")</f>
        <v>SEGUIMIENTO_Y_SUPERVISIÓN.</v>
      </c>
      <c r="J281" s="11" t="str">
        <f>IFERROR(IF(VLOOKUP(A281,[3]PRIORIZADOS!$A:$J,10,FALSE)="","",VLOOKUP(A281,[3]PRIORIZADOS!$A:$J,10,FALSE)),"")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81" s="11" t="str">
        <f>IFERROR(IF(VLOOKUP(A281,[3]PRIORIZADOS!$A:$K,11,FALSE)="","",VLOOKUP(A281,[3]PRIORIZADOS!$A:$K,11,FALSE)),"")</f>
        <v>ESTEFANY PEÑA GARCIA</v>
      </c>
      <c r="L281" s="11" t="str">
        <f>IFERROR(IF(VLOOKUP(A281,[3]PRIORIZADOS!$A:$L,12,FALSE)="","",VLOOKUP(A281,[3]PRIORIZADOS!$A:$L,12,FALSE)),"")</f>
        <v>ANA ANDREA VARGAS GONZÁLEZ</v>
      </c>
      <c r="M281" s="71">
        <f>IFERROR(IF(VLOOKUP(A281,[3]PRIORIZADOS!$A:$M,13,FALSE)="","",VLOOKUP(A281,[3]PRIORIZADOS!$A:$M,13,FALSE)),"")</f>
        <v>45776</v>
      </c>
      <c r="N281" s="71">
        <f>IFERROR(IF(VLOOKUP(A281,[3]PRIORIZADOS!$A:$N,14,FALSE)="","",VLOOKUP(A281,[3]PRIORIZADOS!$A:$N,14,FALSE)),"")</f>
        <v>45776</v>
      </c>
      <c r="O281" s="71">
        <f>IFERROR(IF(VLOOKUP(A281,[3]PRIORIZADOS!$A:$O,15,FALSE)="","",VLOOKUP(A281,[3]PRIORIZADOS!$A:$O,15,FALSE)),"")</f>
        <v>45776</v>
      </c>
      <c r="P281" s="11" t="str">
        <f>IFERROR(IF(VLOOKUP(A281,[3]PRIORIZADOS!$A:$P,16,FALSE)="","",VLOOKUP(A281,[3]PRIORIZADOS!$A:$P,16,FALSE)),"")</f>
        <v>Visitas de evaluación con fines de mejoramiento</v>
      </c>
      <c r="Q281" s="107" t="s">
        <v>61</v>
      </c>
      <c r="R281" s="11" t="str">
        <f>IFERROR(IF(VLOOKUP(A281,[3]PRIORIZADOS!$A:$R,18,FALSE)="","",VLOOKUP(A281,[3]PRIORIZADOS!$A:$R,18,FALSE)),"")</f>
        <v>Al revisar la Plataforma SIMAT, hay 04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81" s="11" t="str">
        <f>IFERROR(IF(VLOOKUP(A281,[3]PRIORIZADOS!$A:$S,19,FALSE)="","",VLOOKUP(A281,[3]PRIORIZADOS!$A:$S,19,FALSE)),"")</f>
        <v>La Institución Educativa se compromete a remitir el Documento Institucional del Plan Individual de Ajustes Razonables PIAR</v>
      </c>
      <c r="T281" s="70" t="str">
        <f>IFERROR(IF(VLOOKUP(A281,[3]PRIORIZADOS!$A:$T,20,FALSE)="","",VLOOKUP(A281,[3]PRIORIZADOS!$A:$T,20,FALSE)),"")</f>
        <v>No</v>
      </c>
      <c r="U281" s="11" t="str">
        <f>IFERROR(IF(VLOOKUP(A281,[3]PRIORIZADOS!$A:$U,21,FALSE)="","",VLOOKUP(A281,[3]PRIORIZADOS!$A:$U,21,FALSE)),"")</f>
        <v>Verificar la información en SIMAT</v>
      </c>
    </row>
    <row r="282" spans="1:21" s="1" customFormat="1" ht="84">
      <c r="A282" s="69">
        <f>IF([3]PRIORIZADOS!A93="","",[3]PRIORIZADOS!A93)</f>
        <v>288</v>
      </c>
      <c r="B282" s="70">
        <f>IFERROR(IF(VLOOKUP(A282,[3]PRIORIZADOS!$A:$B,2,FALSE)="","",VLOOKUP(A282,[3]PRIORIZADOS!$A:$B,2,FALSE)),"")</f>
        <v>10</v>
      </c>
      <c r="C282" s="11" t="str">
        <f>IFERROR(IF(VLOOKUP(A282,[3]PRIORIZADOS!$A:$C,3,FALSE)="","",VLOOKUP(A282,[3]PRIORIZADOS!$A:$C,3,FALSE)),"")</f>
        <v>BOSA</v>
      </c>
      <c r="D282" s="11" t="str">
        <f>IFERROR(IF(VLOOKUP(A282,[3]PRIORIZADOS!$A:$D,4,FALSE)="","",VLOOKUP(A282,[3]PRIORIZADOS!$A:$D,4,FALSE)),"")</f>
        <v>PRIVADO</v>
      </c>
      <c r="E282" s="11" t="str">
        <f>IFERROR(IF(VLOOKUP(A282,[3]PRIORIZADOS!$A:$E,5,FALSE)="","",VLOOKUP(A282,[3]PRIORIZADOS!$A:$E,5,FALSE)),"")</f>
        <v>EPBM</v>
      </c>
      <c r="F282" s="11" t="str">
        <f>IFERROR(IF(VLOOKUP(A282,[3]PRIORIZADOS!$A:$F,6,FALSE)="","",VLOOKUP(A282,[3]PRIORIZADOS!$A:$F,6,FALSE)),"")</f>
        <v>LICEO_ALFREDO_NOBEL</v>
      </c>
      <c r="G282" s="11" t="str">
        <f>IFERROR(IF(VLOOKUP(A282,[3]PRIORIZADOS!$A:$G,7,FALSE)="","",VLOOKUP(A282,[3]PRIORIZADOS!$A:$G,7,FALSE)),"")</f>
        <v>LICEO ALFREDO NOBEL</v>
      </c>
      <c r="H282" s="11" t="str">
        <f>IFERROR(IF(VLOOKUP(A282,[3]PRIORIZADOS!$A:$H,8,FALSE)="","",VLOOKUP(A282,[3]PRIORIZADOS!$A:$H,8,FALSE)),"")</f>
        <v>Autoevaluación Institucional y Pruebas SABER 11</v>
      </c>
      <c r="I282" s="11" t="str">
        <f>IFERROR(IF(VLOOKUP(A282,[3]PRIORIZADOS!$A:$I,9,FALSE)="","",VLOOKUP(A282,[3]PRIORIZADOS!$A:$I,9,FALSE)),"")</f>
        <v>EVALUACIÓN_CON_FINES_DE_MEJORAMIENTO.</v>
      </c>
      <c r="J282" s="11" t="str">
        <f>IFERROR(IF(VLOOKUP(A282,[3]PRIORIZADOS!$A:$J,10,FALSE)="","",VLOOKUP(A282,[3]PRIORIZADOS!$A:$J,10,FALSE)),"")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82" s="11" t="str">
        <f>IFERROR(IF(VLOOKUP(A282,[3]PRIORIZADOS!$A:$K,11,FALSE)="","",VLOOKUP(A282,[3]PRIORIZADOS!$A:$K,11,FALSE)),"")</f>
        <v>ESTEFANY PEÑA GARCIA</v>
      </c>
      <c r="L282" s="11" t="str">
        <f>IFERROR(IF(VLOOKUP(A282,[3]PRIORIZADOS!$A:$L,12,FALSE)="","",VLOOKUP(A282,[3]PRIORIZADOS!$A:$L,12,FALSE)),"")</f>
        <v>ANA ANDREA VARGAS GONZÁLEZ</v>
      </c>
      <c r="M282" s="71">
        <f>IFERROR(IF(VLOOKUP(A282,[3]PRIORIZADOS!$A:$M,13,FALSE)="","",VLOOKUP(A282,[3]PRIORIZADOS!$A:$M,13,FALSE)),"")</f>
        <v>45776</v>
      </c>
      <c r="N282" s="71">
        <f>IFERROR(IF(VLOOKUP(A282,[3]PRIORIZADOS!$A:$N,14,FALSE)="","",VLOOKUP(A282,[3]PRIORIZADOS!$A:$N,14,FALSE)),"")</f>
        <v>45776</v>
      </c>
      <c r="O282" s="71">
        <f>IFERROR(IF(VLOOKUP(A282,[3]PRIORIZADOS!$A:$O,15,FALSE)="","",VLOOKUP(A282,[3]PRIORIZADOS!$A:$O,15,FALSE)),"")</f>
        <v>45776</v>
      </c>
      <c r="P282" s="11" t="str">
        <f>IFERROR(IF(VLOOKUP(A282,[3]PRIORIZADOS!$A:$P,16,FALSE)="","",VLOOKUP(A282,[3]PRIORIZADOS!$A:$P,16,FALSE)),"")</f>
        <v>Visitas de evaluación con fines de mejoramiento</v>
      </c>
      <c r="Q282" s="107" t="s">
        <v>61</v>
      </c>
      <c r="R282" s="11" t="str">
        <f>IFERROR(IF(VLOOKUP(A282,[3]PRIORIZADOS!$A:$R,18,FALSE)="","",VLOOKUP(A282,[3]PRIORIZADOS!$A:$R,18,FALSE)),"")</f>
        <v>El Manual de Convivencia fue construido y adoptado de forma participativa e incluye los componentes generales, los diferentes enfoques y se encuentra conforme a lo establecido en el PEI y la normatividad vigente</v>
      </c>
      <c r="S282" s="11" t="str">
        <f>IFERROR(IF(VLOOKUP(A282,[3]PRIORIZADOS!$A:$S,19,FALSE)="","",VLOOKUP(A282,[3]PRIORIZADOS!$A:$S,19,FALSE)),"")</f>
        <v>Como acción de verificación la Institución Educativa se compromete a remitir la versión actualizada del Manual de Convivencia a la vigencia 2024 -2025</v>
      </c>
      <c r="T282" s="70" t="str">
        <f>IFERROR(IF(VLOOKUP(A282,[3]PRIORIZADOS!$A:$T,20,FALSE)="","",VLOOKUP(A282,[3]PRIORIZADOS!$A:$T,20,FALSE)),"")</f>
        <v>No</v>
      </c>
      <c r="U282" s="11" t="str">
        <f>IFERROR(IF(VLOOKUP(A282,[3]PRIORIZADOS!$A:$U,21,FALSE)="","",VLOOKUP(A282,[3]PRIORIZADOS!$A:$U,21,FALSE)),"")</f>
        <v>Verificar nuevamente el documento en el mes de agosto de 2025 y generar espacios de asesoría, conforme lo requiera la IE</v>
      </c>
    </row>
    <row r="283" spans="1:21" s="1" customFormat="1" ht="72">
      <c r="A283" s="69">
        <f>IF([3]PRIORIZADOS!A94="","",[3]PRIORIZADOS!A94)</f>
        <v>289</v>
      </c>
      <c r="B283" s="70">
        <f>IFERROR(IF(VLOOKUP(A283,[3]PRIORIZADOS!$A:$B,2,FALSE)="","",VLOOKUP(A283,[3]PRIORIZADOS!$A:$B,2,FALSE)),"")</f>
        <v>10</v>
      </c>
      <c r="C283" s="11" t="str">
        <f>IFERROR(IF(VLOOKUP(A283,[3]PRIORIZADOS!$A:$C,3,FALSE)="","",VLOOKUP(A283,[3]PRIORIZADOS!$A:$C,3,FALSE)),"")</f>
        <v>BOSA</v>
      </c>
      <c r="D283" s="11" t="str">
        <f>IFERROR(IF(VLOOKUP(A283,[3]PRIORIZADOS!$A:$D,4,FALSE)="","",VLOOKUP(A283,[3]PRIORIZADOS!$A:$D,4,FALSE)),"")</f>
        <v>PRIVADO</v>
      </c>
      <c r="E283" s="11" t="str">
        <f>IFERROR(IF(VLOOKUP(A283,[3]PRIORIZADOS!$A:$E,5,FALSE)="","",VLOOKUP(A283,[3]PRIORIZADOS!$A:$E,5,FALSE)),"")</f>
        <v>EPBM</v>
      </c>
      <c r="F283" s="11" t="str">
        <f>IFERROR(IF(VLOOKUP(A283,[3]PRIORIZADOS!$A:$F,6,FALSE)="","",VLOOKUP(A283,[3]PRIORIZADOS!$A:$F,6,FALSE)),"")</f>
        <v>LICEO_ALFREDO_NOBEL</v>
      </c>
      <c r="G283" s="11" t="str">
        <f>IFERROR(IF(VLOOKUP(A283,[3]PRIORIZADOS!$A:$G,7,FALSE)="","",VLOOKUP(A283,[3]PRIORIZADOS!$A:$G,7,FALSE)),"")</f>
        <v>LICEO ALFREDO NOBEL</v>
      </c>
      <c r="H283" s="11" t="str">
        <f>IFERROR(IF(VLOOKUP(A283,[3]PRIORIZADOS!$A:$H,8,FALSE)="","",VLOOKUP(A283,[3]PRIORIZADOS!$A:$H,8,FALSE)),"")</f>
        <v>Autoevaluación Institucional y Pruebas SABER 11</v>
      </c>
      <c r="I283" s="11" t="str">
        <f>IFERROR(IF(VLOOKUP(A283,[3]PRIORIZADOS!$A:$I,9,FALSE)="","",VLOOKUP(A283,[3]PRIORIZADOS!$A:$I,9,FALSE)),"")</f>
        <v>EVALUACIÓN_CON_FINES_DE_MEJORAMIENTO.</v>
      </c>
      <c r="J283" s="11" t="str">
        <f>IFERROR(IF(VLOOKUP(A283,[3]PRIORIZADOS!$A:$J,10,FALSE)="","",VLOOKUP(A283,[3]PRIORIZADOS!$A:$J,10,FALSE)),"")</f>
        <v>Revisar la actualización, socialización e implementación del Sistema Institucional de Evaluación de Estudiantes - SIEE, en articulación con la actualización del PEI y la normatividad vigente.</v>
      </c>
      <c r="K283" s="11" t="str">
        <f>IFERROR(IF(VLOOKUP(A283,[3]PRIORIZADOS!$A:$K,11,FALSE)="","",VLOOKUP(A283,[3]PRIORIZADOS!$A:$K,11,FALSE)),"")</f>
        <v>ESTEFANY PEÑA GARCIA</v>
      </c>
      <c r="L283" s="11" t="str">
        <f>IFERROR(IF(VLOOKUP(A283,[3]PRIORIZADOS!$A:$L,12,FALSE)="","",VLOOKUP(A283,[3]PRIORIZADOS!$A:$L,12,FALSE)),"")</f>
        <v>ANA ANDREA VARGAS GONZÁLEZ</v>
      </c>
      <c r="M283" s="71">
        <f>IFERROR(IF(VLOOKUP(A283,[3]PRIORIZADOS!$A:$M,13,FALSE)="","",VLOOKUP(A283,[3]PRIORIZADOS!$A:$M,13,FALSE)),"")</f>
        <v>45776</v>
      </c>
      <c r="N283" s="71">
        <f>IFERROR(IF(VLOOKUP(A283,[3]PRIORIZADOS!$A:$N,14,FALSE)="","",VLOOKUP(A283,[3]PRIORIZADOS!$A:$N,14,FALSE)),"")</f>
        <v>45776</v>
      </c>
      <c r="O283" s="71">
        <f>IFERROR(IF(VLOOKUP(A283,[3]PRIORIZADOS!$A:$O,15,FALSE)="","",VLOOKUP(A283,[3]PRIORIZADOS!$A:$O,15,FALSE)),"")</f>
        <v>45776</v>
      </c>
      <c r="P283" s="11" t="str">
        <f>IFERROR(IF(VLOOKUP(A283,[3]PRIORIZADOS!$A:$P,16,FALSE)="","",VLOOKUP(A283,[3]PRIORIZADOS!$A:$P,16,FALSE)),"")</f>
        <v>Visitas de evaluación con fines de mejoramiento</v>
      </c>
      <c r="Q283" s="107" t="s">
        <v>61</v>
      </c>
      <c r="R283" s="11" t="str">
        <f>IFERROR(IF(VLOOKUP(A283,[3]PRIORIZADOS!$A:$R,18,FALSE)="","",VLOOKUP(A283,[3]PRIORIZADOS!$A:$R,18,FALSE)),"")</f>
        <v>Se evidencia el Sistema Institucional de Evaluación de Estudiantes - SIEE, actualizado para la vigencia 2025. Fue construido en articulación con el Consejo Directivo y la comunidad educativa desde el año 2019 y se actualiza cada 2 años</v>
      </c>
      <c r="S283" s="11" t="str">
        <f>IFERROR(IF(VLOOKUP(A283,[3]PRIORIZADOS!$A:$S,19,FALSE)="","",VLOOKUP(A283,[3]PRIORIZADOS!$A:$S,19,FALSE)),"")</f>
        <v>Como acción de verificación la Institución Educativa se compromete a remitir la versión actualizada del  Sistema institucional de evaluación de los estudiantes- SIEE</v>
      </c>
      <c r="T283" s="70" t="str">
        <f>IFERROR(IF(VLOOKUP(A283,[3]PRIORIZADOS!$A:$T,20,FALSE)="","",VLOOKUP(A283,[3]PRIORIZADOS!$A:$T,20,FALSE)),"")</f>
        <v>No</v>
      </c>
      <c r="U283" s="11" t="str">
        <f>IFERROR(IF(VLOOKUP(A283,[3]PRIORIZADOS!$A:$U,21,FALSE)="","",VLOOKUP(A283,[3]PRIORIZADOS!$A:$U,21,FALSE)),"")</f>
        <v>Verificar nuevamente el documento en el mes de agosto de 2025 y generar espacios de asesoría, conforme lo requiera la IE</v>
      </c>
    </row>
    <row r="284" spans="1:21" s="1" customFormat="1" ht="48">
      <c r="A284" s="69">
        <f>IF([3]PRIORIZADOS!A95="","",[3]PRIORIZADOS!A95)</f>
        <v>290</v>
      </c>
      <c r="B284" s="70">
        <f>IFERROR(IF(VLOOKUP(A284,[3]PRIORIZADOS!$A:$B,2,FALSE)="","",VLOOKUP(A284,[3]PRIORIZADOS!$A:$B,2,FALSE)),"")</f>
        <v>10</v>
      </c>
      <c r="C284" s="11" t="str">
        <f>IFERROR(IF(VLOOKUP(A284,[3]PRIORIZADOS!$A:$C,3,FALSE)="","",VLOOKUP(A284,[3]PRIORIZADOS!$A:$C,3,FALSE)),"")</f>
        <v>BOSA</v>
      </c>
      <c r="D284" s="11" t="str">
        <f>IFERROR(IF(VLOOKUP(A284,[3]PRIORIZADOS!$A:$D,4,FALSE)="","",VLOOKUP(A284,[3]PRIORIZADOS!$A:$D,4,FALSE)),"")</f>
        <v>PRIVADO</v>
      </c>
      <c r="E284" s="11" t="str">
        <f>IFERROR(IF(VLOOKUP(A284,[3]PRIORIZADOS!$A:$E,5,FALSE)="","",VLOOKUP(A284,[3]PRIORIZADOS!$A:$E,5,FALSE)),"")</f>
        <v>EPBM</v>
      </c>
      <c r="F284" s="11" t="str">
        <f>IFERROR(IF(VLOOKUP(A284,[3]PRIORIZADOS!$A:$F,6,FALSE)="","",VLOOKUP(A284,[3]PRIORIZADOS!$A:$F,6,FALSE)),"")</f>
        <v>LICEO_ALFREDO_NOBEL</v>
      </c>
      <c r="G284" s="11" t="str">
        <f>IFERROR(IF(VLOOKUP(A284,[3]PRIORIZADOS!$A:$G,7,FALSE)="","",VLOOKUP(A284,[3]PRIORIZADOS!$A:$G,7,FALSE)),"")</f>
        <v>LICEO ALFREDO NOBEL</v>
      </c>
      <c r="H284" s="11" t="str">
        <f>IFERROR(IF(VLOOKUP(A284,[3]PRIORIZADOS!$A:$H,8,FALSE)="","",VLOOKUP(A284,[3]PRIORIZADOS!$A:$H,8,FALSE)),"")</f>
        <v>Autoevaluación Institucional y Pruebas SABER 11</v>
      </c>
      <c r="I284" s="11" t="str">
        <f>IFERROR(IF(VLOOKUP(A284,[3]PRIORIZADOS!$A:$I,9,FALSE)="","",VLOOKUP(A284,[3]PRIORIZADOS!$A:$I,9,FALSE)),"")</f>
        <v>EVALUACIÓN_CON_FINES_DE_MEJORAMIENTO.</v>
      </c>
      <c r="J284" s="11" t="str">
        <f>IFERROR(IF(VLOOKUP(A284,[3]PRIORIZADOS!$A:$J,10,FALSE)="","",VLOOKUP(A284,[3]PRIORIZADOS!$A:$J,10,FALSE)),"")</f>
        <v>Revisar el calendario escolar, jornada escolar, la intensidad horaria mínima anual en cada nivel y las modificaciones que se realicen al mismo, de acuerdo con lo previsto en la normatividad vigente.</v>
      </c>
      <c r="K284" s="11" t="str">
        <f>IFERROR(IF(VLOOKUP(A284,[3]PRIORIZADOS!$A:$K,11,FALSE)="","",VLOOKUP(A284,[3]PRIORIZADOS!$A:$K,11,FALSE)),"")</f>
        <v>ESTEFANY PEÑA GARCIA</v>
      </c>
      <c r="L284" s="11" t="str">
        <f>IFERROR(IF(VLOOKUP(A284,[3]PRIORIZADOS!$A:$L,12,FALSE)="","",VLOOKUP(A284,[3]PRIORIZADOS!$A:$L,12,FALSE)),"")</f>
        <v>ANA ANDREA VARGAS GONZÁLEZ</v>
      </c>
      <c r="M284" s="71">
        <f>IFERROR(IF(VLOOKUP(A284,[3]PRIORIZADOS!$A:$M,13,FALSE)="","",VLOOKUP(A284,[3]PRIORIZADOS!$A:$M,13,FALSE)),"")</f>
        <v>45776</v>
      </c>
      <c r="N284" s="71">
        <f>IFERROR(IF(VLOOKUP(A284,[3]PRIORIZADOS!$A:$N,14,FALSE)="","",VLOOKUP(A284,[3]PRIORIZADOS!$A:$N,14,FALSE)),"")</f>
        <v>45776</v>
      </c>
      <c r="O284" s="71">
        <f>IFERROR(IF(VLOOKUP(A284,[3]PRIORIZADOS!$A:$O,15,FALSE)="","",VLOOKUP(A284,[3]PRIORIZADOS!$A:$O,15,FALSE)),"")</f>
        <v>45776</v>
      </c>
      <c r="P284" s="11" t="str">
        <f>IFERROR(IF(VLOOKUP(A284,[3]PRIORIZADOS!$A:$P,16,FALSE)="","",VLOOKUP(A284,[3]PRIORIZADOS!$A:$P,16,FALSE)),"")</f>
        <v>Visitas de evaluación con fines de mejoramiento</v>
      </c>
      <c r="Q284" s="107" t="s">
        <v>61</v>
      </c>
      <c r="R284" s="11" t="str">
        <f>IFERROR(IF(VLOOKUP(A284,[3]PRIORIZADOS!$A:$R,18,FALSE)="","",VLOOKUP(A284,[3]PRIORIZADOS!$A:$R,18,FALSE)),"")</f>
        <v>El calendario escolar, jornada escolar, la intensidad horaria mínima anual en cada nivel se encuentran conforme lo previsto en la normatividad vigente</v>
      </c>
      <c r="S284" s="11" t="str">
        <f>IFERROR(IF(VLOOKUP(A284,[3]PRIORIZADOS!$A:$S,19,FALSE)="","",VLOOKUP(A284,[3]PRIORIZADOS!$A:$S,19,FALSE)),"")</f>
        <v>Como acción de verificación la Institución Educativa se compromete a remitir la versión actualizada calendario escolar</v>
      </c>
      <c r="T284" s="70" t="str">
        <f>IFERROR(IF(VLOOKUP(A284,[3]PRIORIZADOS!$A:$T,20,FALSE)="","",VLOOKUP(A284,[3]PRIORIZADOS!$A:$T,20,FALSE)),"")</f>
        <v>No</v>
      </c>
      <c r="U284" s="11" t="str">
        <f>IFERROR(IF(VLOOKUP(A284,[3]PRIORIZADOS!$A:$U,21,FALSE)="","",VLOOKUP(A284,[3]PRIORIZADOS!$A:$U,21,FALSE)),"")</f>
        <v>Verificar nuevamente el documento en el mes de agosto de 2025 y generar espacios de asesoría, conforme lo requiera la IE</v>
      </c>
    </row>
    <row r="285" spans="1:21" s="1" customFormat="1" ht="48">
      <c r="A285" s="69">
        <f>IF([3]PRIORIZADOS!A96="","",[3]PRIORIZADOS!A96)</f>
        <v>291</v>
      </c>
      <c r="B285" s="70">
        <f>IFERROR(IF(VLOOKUP(A285,[3]PRIORIZADOS!$A:$B,2,FALSE)="","",VLOOKUP(A285,[3]PRIORIZADOS!$A:$B,2,FALSE)),"")</f>
        <v>10</v>
      </c>
      <c r="C285" s="11" t="str">
        <f>IFERROR(IF(VLOOKUP(A285,[3]PRIORIZADOS!$A:$C,3,FALSE)="","",VLOOKUP(A285,[3]PRIORIZADOS!$A:$C,3,FALSE)),"")</f>
        <v>BOSA</v>
      </c>
      <c r="D285" s="11" t="str">
        <f>IFERROR(IF(VLOOKUP(A285,[3]PRIORIZADOS!$A:$D,4,FALSE)="","",VLOOKUP(A285,[3]PRIORIZADOS!$A:$D,4,FALSE)),"")</f>
        <v>PRIVADO</v>
      </c>
      <c r="E285" s="11" t="str">
        <f>IFERROR(IF(VLOOKUP(A285,[3]PRIORIZADOS!$A:$E,5,FALSE)="","",VLOOKUP(A285,[3]PRIORIZADOS!$A:$E,5,FALSE)),"")</f>
        <v>EPBM</v>
      </c>
      <c r="F285" s="11" t="str">
        <f>IFERROR(IF(VLOOKUP(A285,[3]PRIORIZADOS!$A:$F,6,FALSE)="","",VLOOKUP(A285,[3]PRIORIZADOS!$A:$F,6,FALSE)),"")</f>
        <v>LICEO_ALFREDO_NOBEL</v>
      </c>
      <c r="G285" s="11" t="str">
        <f>IFERROR(IF(VLOOKUP(A285,[3]PRIORIZADOS!$A:$G,7,FALSE)="","",VLOOKUP(A285,[3]PRIORIZADOS!$A:$G,7,FALSE)),"")</f>
        <v>LICEO ALFREDO NOBEL</v>
      </c>
      <c r="H285" s="11" t="str">
        <f>IFERROR(IF(VLOOKUP(A285,[3]PRIORIZADOS!$A:$H,8,FALSE)="","",VLOOKUP(A285,[3]PRIORIZADOS!$A:$H,8,FALSE)),"")</f>
        <v>Autoevaluación Institucional y Pruebas SABER 11</v>
      </c>
      <c r="I285" s="11" t="str">
        <f>IFERROR(IF(VLOOKUP(A285,[3]PRIORIZADOS!$A:$I,9,FALSE)="","",VLOOKUP(A285,[3]PRIORIZADOS!$A:$I,9,FALSE)),"")</f>
        <v>EVALUACIÓN_CON_FINES_DE_MEJORAMIENTO.</v>
      </c>
      <c r="J285" s="11" t="str">
        <f>IFERROR(IF(VLOOKUP(A285,[3]PRIORIZADOS!$A:$J,10,FALSE)="","",VLOOKUP(A285,[3]PRIORIZADOS!$A:$J,10,FALSE)),"")</f>
        <v>Verificar el funcionamiento del Gobierno Escolar e instancias de participación con base en la información sobre conformación reportada por la institución educativa.</v>
      </c>
      <c r="K285" s="11" t="str">
        <f>IFERROR(IF(VLOOKUP(A285,[3]PRIORIZADOS!$A:$K,11,FALSE)="","",VLOOKUP(A285,[3]PRIORIZADOS!$A:$K,11,FALSE)),"")</f>
        <v>ESTEFANY PEÑA GARCIA</v>
      </c>
      <c r="L285" s="11" t="str">
        <f>IFERROR(IF(VLOOKUP(A285,[3]PRIORIZADOS!$A:$L,12,FALSE)="","",VLOOKUP(A285,[3]PRIORIZADOS!$A:$L,12,FALSE)),"")</f>
        <v>ANA ANDREA VARGAS GONZÁLEZ</v>
      </c>
      <c r="M285" s="71">
        <f>IFERROR(IF(VLOOKUP(A285,[3]PRIORIZADOS!$A:$M,13,FALSE)="","",VLOOKUP(A285,[3]PRIORIZADOS!$A:$M,13,FALSE)),"")</f>
        <v>45776</v>
      </c>
      <c r="N285" s="71">
        <f>IFERROR(IF(VLOOKUP(A285,[3]PRIORIZADOS!$A:$N,14,FALSE)="","",VLOOKUP(A285,[3]PRIORIZADOS!$A:$N,14,FALSE)),"")</f>
        <v>45776</v>
      </c>
      <c r="O285" s="71">
        <f>IFERROR(IF(VLOOKUP(A285,[3]PRIORIZADOS!$A:$O,15,FALSE)="","",VLOOKUP(A285,[3]PRIORIZADOS!$A:$O,15,FALSE)),"")</f>
        <v>45776</v>
      </c>
      <c r="P285" s="11" t="str">
        <f>IFERROR(IF(VLOOKUP(A285,[3]PRIORIZADOS!$A:$P,16,FALSE)="","",VLOOKUP(A285,[3]PRIORIZADOS!$A:$P,16,FALSE)),"")</f>
        <v>Visitas de evaluación con fines de mejoramiento</v>
      </c>
      <c r="Q285" s="107" t="s">
        <v>61</v>
      </c>
      <c r="R285" s="11" t="str">
        <f>IFERROR(IF(VLOOKUP(A285,[3]PRIORIZADOS!$A:$R,18,FALSE)="","",VLOOKUP(A285,[3]PRIORIZADOS!$A:$R,18,FALSE)),"")</f>
        <v>La constitución del Gobierno Escolar y sus órganos de participación, se encuentra conforme a la Normativa Vigente</v>
      </c>
      <c r="S285" s="11" t="str">
        <f>IFERROR(IF(VLOOKUP(A285,[3]PRIORIZADOS!$A:$S,19,FALSE)="","",VLOOKUP(A285,[3]PRIORIZADOS!$A:$S,19,FALSE)),"")</f>
        <v>Continuar operando conforme funciones y reglamentos.</v>
      </c>
      <c r="T285" s="70" t="str">
        <f>IFERROR(IF(VLOOKUP(A285,[3]PRIORIZADOS!$A:$T,20,FALSE)="","",VLOOKUP(A285,[3]PRIORIZADOS!$A:$T,20,FALSE)),"")</f>
        <v>No</v>
      </c>
      <c r="U285" s="11" t="str">
        <f>IFERROR(IF(VLOOKUP(A285,[3]PRIORIZADOS!$A:$U,21,FALSE)="","",VLOOKUP(A285,[3]PRIORIZADOS!$A:$U,21,FALSE)),"")</f>
        <v>Verificar la conformación del Gobierno Escolar e instancias para la vigencia 2026 o antes si la IE lo requiere o se presenta solicitud o queja.</v>
      </c>
    </row>
    <row r="286" spans="1:21" s="1" customFormat="1" ht="60">
      <c r="A286" s="69">
        <f>IF([3]PRIORIZADOS!A97="","",[3]PRIORIZADOS!A97)</f>
        <v>292</v>
      </c>
      <c r="B286" s="70">
        <f>IFERROR(IF(VLOOKUP(A286,[3]PRIORIZADOS!$A:$B,2,FALSE)="","",VLOOKUP(A286,[3]PRIORIZADOS!$A:$B,2,FALSE)),"")</f>
        <v>10</v>
      </c>
      <c r="C286" s="11" t="str">
        <f>IFERROR(IF(VLOOKUP(A286,[3]PRIORIZADOS!$A:$C,3,FALSE)="","",VLOOKUP(A286,[3]PRIORIZADOS!$A:$C,3,FALSE)),"")</f>
        <v>BOSA</v>
      </c>
      <c r="D286" s="11" t="str">
        <f>IFERROR(IF(VLOOKUP(A286,[3]PRIORIZADOS!$A:$D,4,FALSE)="","",VLOOKUP(A286,[3]PRIORIZADOS!$A:$D,4,FALSE)),"")</f>
        <v>PRIVADO</v>
      </c>
      <c r="E286" s="11" t="str">
        <f>IFERROR(IF(VLOOKUP(A286,[3]PRIORIZADOS!$A:$E,5,FALSE)="","",VLOOKUP(A286,[3]PRIORIZADOS!$A:$E,5,FALSE)),"")</f>
        <v>EPBM</v>
      </c>
      <c r="F286" s="11" t="str">
        <f>IFERROR(IF(VLOOKUP(A286,[3]PRIORIZADOS!$A:$F,6,FALSE)="","",VLOOKUP(A286,[3]PRIORIZADOS!$A:$F,6,FALSE)),"")</f>
        <v>LICEO_ALFREDO_NOBEL</v>
      </c>
      <c r="G286" s="11" t="str">
        <f>IFERROR(IF(VLOOKUP(A286,[3]PRIORIZADOS!$A:$G,7,FALSE)="","",VLOOKUP(A286,[3]PRIORIZADOS!$A:$G,7,FALSE)),"")</f>
        <v>LICEO ALFREDO NOBEL</v>
      </c>
      <c r="H286" s="11" t="str">
        <f>IFERROR(IF(VLOOKUP(A286,[3]PRIORIZADOS!$A:$H,8,FALSE)="","",VLOOKUP(A286,[3]PRIORIZADOS!$A:$H,8,FALSE)),"")</f>
        <v>Autoevaluación Institucional y Pruebas SABER 11</v>
      </c>
      <c r="I286" s="11" t="str">
        <f>IFERROR(IF(VLOOKUP(A286,[3]PRIORIZADOS!$A:$I,9,FALSE)="","",VLOOKUP(A286,[3]PRIORIZADOS!$A:$I,9,FALSE)),"")</f>
        <v>EVALUACIÓN_CON_FINES_DE_MEJORAMIENTO.</v>
      </c>
      <c r="J286" s="11" t="str">
        <f>IFERROR(IF(VLOOKUP(A286,[3]PRIORIZADOS!$A:$J,10,FALSE)="","",VLOOKUP(A286,[3]PRIORIZADOS!$A:$J,10,FALSE)),"")</f>
        <v>Verificar las condiciones en cuanto a: la estructura administrativa, condiciones de la planta física y medios educativos adecuados.</v>
      </c>
      <c r="K286" s="11" t="str">
        <f>IFERROR(IF(VLOOKUP(A286,[3]PRIORIZADOS!$A:$K,11,FALSE)="","",VLOOKUP(A286,[3]PRIORIZADOS!$A:$K,11,FALSE)),"")</f>
        <v>ESTEFANY PEÑA GARCIA</v>
      </c>
      <c r="L286" s="11" t="str">
        <f>IFERROR(IF(VLOOKUP(A286,[3]PRIORIZADOS!$A:$L,12,FALSE)="","",VLOOKUP(A286,[3]PRIORIZADOS!$A:$L,12,FALSE)),"")</f>
        <v>ANA ANDREA VARGAS GONZÁLEZ</v>
      </c>
      <c r="M286" s="71">
        <f>IFERROR(IF(VLOOKUP(A286,[3]PRIORIZADOS!$A:$M,13,FALSE)="","",VLOOKUP(A286,[3]PRIORIZADOS!$A:$M,13,FALSE)),"")</f>
        <v>45776</v>
      </c>
      <c r="N286" s="71">
        <f>IFERROR(IF(VLOOKUP(A286,[3]PRIORIZADOS!$A:$N,14,FALSE)="","",VLOOKUP(A286,[3]PRIORIZADOS!$A:$N,14,FALSE)),"")</f>
        <v>45776</v>
      </c>
      <c r="O286" s="71">
        <f>IFERROR(IF(VLOOKUP(A286,[3]PRIORIZADOS!$A:$O,15,FALSE)="","",VLOOKUP(A286,[3]PRIORIZADOS!$A:$O,15,FALSE)),"")</f>
        <v>45776</v>
      </c>
      <c r="P286" s="11" t="str">
        <f>IFERROR(IF(VLOOKUP(A286,[3]PRIORIZADOS!$A:$P,16,FALSE)="","",VLOOKUP(A286,[3]PRIORIZADOS!$A:$P,16,FALSE)),"")</f>
        <v>Visitas de evaluación con fines de mejoramiento</v>
      </c>
      <c r="Q286" s="107" t="s">
        <v>61</v>
      </c>
      <c r="R286" s="11" t="str">
        <f>IFERROR(IF(VLOOKUP(A286,[3]PRIORIZADOS!$A:$R,18,FALSE)="","",VLOOKUP(A286,[3]PRIORIZADOS!$A:$R,18,FALSE)),"")</f>
        <v>Se realiza un recorrido en las instalaciones de la IE, verificando las condiciones en cuanto a: la estructura administrativa, condiciones de la planta física y medios educativos adecuados.</v>
      </c>
      <c r="S286" s="11" t="str">
        <f>IFERROR(IF(VLOOKUP(A286,[3]PRIORIZADOS!$A:$S,19,FALSE)="","",VLOOKUP(A286,[3]PRIORIZADOS!$A:$S,19,FALSE)),"")</f>
        <v>Las condiciones de la estructura administrativa, condiciones de la planta física y medios educativos son adecuados y garantizan la prestación del servicio educativo</v>
      </c>
      <c r="T286" s="70" t="str">
        <f>IFERROR(IF(VLOOKUP(A286,[3]PRIORIZADOS!$A:$T,20,FALSE)="","",VLOOKUP(A286,[3]PRIORIZADOS!$A:$T,20,FALSE)),"")</f>
        <v>No</v>
      </c>
      <c r="U286" s="11" t="str">
        <f>IFERROR(IF(VLOOKUP(A286,[3]PRIORIZADOS!$A:$U,21,FALSE)="","",VLOOKUP(A286,[3]PRIORIZADOS!$A:$U,21,FALSE)),"")</f>
        <v>Las condiciones de la planta física garantizan la adecuada prestación del servicio educativo</v>
      </c>
    </row>
    <row r="287" spans="1:21" s="1" customFormat="1" ht="60">
      <c r="A287" s="69">
        <f>IF([3]PRIORIZADOS!A98="","",[3]PRIORIZADOS!A98)</f>
        <v>293</v>
      </c>
      <c r="B287" s="70">
        <f>IFERROR(IF(VLOOKUP(A287,[3]PRIORIZADOS!$A:$B,2,FALSE)="","",VLOOKUP(A287,[3]PRIORIZADOS!$A:$B,2,FALSE)),"")</f>
        <v>11</v>
      </c>
      <c r="C287" s="11" t="str">
        <f>IFERROR(IF(VLOOKUP(A287,[3]PRIORIZADOS!$A:$C,3,FALSE)="","",VLOOKUP(A287,[3]PRIORIZADOS!$A:$C,3,FALSE)),"")</f>
        <v>BOSA</v>
      </c>
      <c r="D287" s="11" t="str">
        <f>IFERROR(IF(VLOOKUP(A287,[3]PRIORIZADOS!$A:$D,4,FALSE)="","",VLOOKUP(A287,[3]PRIORIZADOS!$A:$D,4,FALSE)),"")</f>
        <v>PRIVADO</v>
      </c>
      <c r="E287" s="11" t="str">
        <f>IFERROR(IF(VLOOKUP(A287,[3]PRIORIZADOS!$A:$E,5,FALSE)="","",VLOOKUP(A287,[3]PRIORIZADOS!$A:$E,5,FALSE)),"")</f>
        <v>EPBM</v>
      </c>
      <c r="F287" s="11" t="str">
        <f>IFERROR(IF(VLOOKUP(A287,[3]PRIORIZADOS!$A:$F,6,FALSE)="","",VLOOKUP(A287,[3]PRIORIZADOS!$A:$F,6,FALSE)),"")</f>
        <v>LICEO_BILINGÜE_ROMULO_GALLEGOS</v>
      </c>
      <c r="G287" s="11" t="str">
        <f>IFERROR(IF(VLOOKUP(A287,[3]PRIORIZADOS!$A:$G,7,FALSE)="","",VLOOKUP(A287,[3]PRIORIZADOS!$A:$G,7,FALSE)),"")</f>
        <v>LICEO BILINGÜE ROMULO GALLEGOS</v>
      </c>
      <c r="H287" s="11" t="str">
        <f>IFERROR(IF(VLOOKUP(A287,[3]PRIORIZADOS!$A:$H,8,FALSE)="","",VLOOKUP(A287,[3]PRIORIZADOS!$A:$H,8,FALSE)),"")</f>
        <v>Autoevaluación Institucional y Pruebas SABER 11</v>
      </c>
      <c r="I287" s="11" t="str">
        <f>IFERROR(IF(VLOOKUP(A287,[3]PRIORIZADOS!$A:$I,9,FALSE)="","",VLOOKUP(A287,[3]PRIORIZADOS!$A:$I,9,FALSE)),"")</f>
        <v>SEGUIMIENTO_Y_SUPERVISIÓN.</v>
      </c>
      <c r="J287" s="11" t="str">
        <f>IFERROR(IF(VLOOKUP(A287,[3]PRIORIZADOS!$A:$J,10,FALSE)="","",VLOOKUP(A287,[3]PRIORIZADOS!$A:$J,10,FALSE)),"")</f>
        <v>Realizar visitas para verificar la información registrada sobre la autoevaluación institucional en el aplicativo EVI, a los establecimientos de educación formal no oficial.</v>
      </c>
      <c r="K287" s="11" t="str">
        <f>IFERROR(IF(VLOOKUP(A287,[3]PRIORIZADOS!$A:$K,11,FALSE)="","",VLOOKUP(A287,[3]PRIORIZADOS!$A:$K,11,FALSE)),"")</f>
        <v>JOSÉ ANTONIO PÁEZ FETECUA</v>
      </c>
      <c r="L287" s="11" t="str">
        <f>IFERROR(IF(VLOOKUP(A287,[3]PRIORIZADOS!$A:$L,12,FALSE)="","",VLOOKUP(A287,[3]PRIORIZADOS!$A:$L,12,FALSE)),"")</f>
        <v>JULIÁN FELIPE BERNAL GARZÓN</v>
      </c>
      <c r="M287" s="71">
        <f>IFERROR(IF(VLOOKUP(A287,[3]PRIORIZADOS!$A:$M,13,FALSE)="","",VLOOKUP(A287,[3]PRIORIZADOS!$A:$M,13,FALSE)),"")</f>
        <v>45783</v>
      </c>
      <c r="N287" s="71">
        <f>IFERROR(IF(VLOOKUP(A287,[3]PRIORIZADOS!$A:$N,14,FALSE)="","",VLOOKUP(A287,[3]PRIORIZADOS!$A:$N,14,FALSE)),"")</f>
        <v>45783</v>
      </c>
      <c r="O287" s="71">
        <f>IFERROR(IF(VLOOKUP(A287,[3]PRIORIZADOS!$A:$O,15,FALSE)="","",VLOOKUP(A287,[3]PRIORIZADOS!$A:$O,15,FALSE)),"")</f>
        <v>45783</v>
      </c>
      <c r="P287" s="11" t="str">
        <f>IFERROR(IF(VLOOKUP(A287,[3]PRIORIZADOS!$A:$P,16,FALSE)="","",VLOOKUP(A287,[3]PRIORIZADOS!$A:$P,16,FALSE)),"")</f>
        <v>Visitas de evaluación con fines de mejoramiento</v>
      </c>
      <c r="Q287" s="107" t="s">
        <v>62</v>
      </c>
      <c r="R287" s="11" t="str">
        <f>IFERROR(IF(VLOOKUP(A287,[3]PRIORIZADOS!$A:$R,18,FALSE)="","",VLOOKUP(A287,[3]PRIORIZADOS!$A:$R,18,FALSE)),"")</f>
        <v>La información consignada en la Plataforma EVI relacionada con los indicadores de: planta física, dotación de espacios y calendario académico coincide con lo verificado en campo</v>
      </c>
      <c r="S287" s="11" t="str">
        <f>IFERROR(IF(VLOOKUP(A287,[3]PRIORIZADOS!$A:$S,19,FALSE)="","",VLOOKUP(A287,[3]PRIORIZADOS!$A:$S,19,FALSE)),"")</f>
        <v xml:space="preserve">Se concluye que la IE realizará su autoevalución institucional en el mes octubre.  </v>
      </c>
      <c r="T287" s="70" t="str">
        <f>IFERROR(IF(VLOOKUP(A287,[3]PRIORIZADOS!$A:$T,20,FALSE)="","",VLOOKUP(A287,[3]PRIORIZADOS!$A:$T,20,FALSE)),"")</f>
        <v>No</v>
      </c>
      <c r="U287" s="11" t="str">
        <f>IFERROR(IF(VLOOKUP(A287,[3]PRIORIZADOS!$A:$U,21,FALSE)="","",VLOOKUP(A287,[3]PRIORIZADOS!$A:$U,21,FALSE)),"")</f>
        <v>Se verificará la información cargada por la IE en el aplicativo EVI de la autoevaluación,  para la emisión del concepto de tarifas 2026</v>
      </c>
    </row>
    <row r="288" spans="1:21" s="1" customFormat="1" ht="60">
      <c r="A288" s="69">
        <f>IF([3]PRIORIZADOS!A99="","",[3]PRIORIZADOS!A99)</f>
        <v>294</v>
      </c>
      <c r="B288" s="70">
        <f>IFERROR(IF(VLOOKUP(A288,[3]PRIORIZADOS!$A:$B,2,FALSE)="","",VLOOKUP(A288,[3]PRIORIZADOS!$A:$B,2,FALSE)),"")</f>
        <v>11</v>
      </c>
      <c r="C288" s="11" t="str">
        <f>IFERROR(IF(VLOOKUP(A288,[3]PRIORIZADOS!$A:$C,3,FALSE)="","",VLOOKUP(A288,[3]PRIORIZADOS!$A:$C,3,FALSE)),"")</f>
        <v>BOSA</v>
      </c>
      <c r="D288" s="11" t="str">
        <f>IFERROR(IF(VLOOKUP(A288,[3]PRIORIZADOS!$A:$D,4,FALSE)="","",VLOOKUP(A288,[3]PRIORIZADOS!$A:$D,4,FALSE)),"")</f>
        <v>PRIVADO</v>
      </c>
      <c r="E288" s="11" t="str">
        <f>IFERROR(IF(VLOOKUP(A288,[3]PRIORIZADOS!$A:$E,5,FALSE)="","",VLOOKUP(A288,[3]PRIORIZADOS!$A:$E,5,FALSE)),"")</f>
        <v>EPBM</v>
      </c>
      <c r="F288" s="11" t="str">
        <f>IFERROR(IF(VLOOKUP(A288,[3]PRIORIZADOS!$A:$F,6,FALSE)="","",VLOOKUP(A288,[3]PRIORIZADOS!$A:$F,6,FALSE)),"")</f>
        <v>LICEO_BILINGÜE_ROMULO_GALLEGOS</v>
      </c>
      <c r="G288" s="11" t="str">
        <f>IFERROR(IF(VLOOKUP(A288,[3]PRIORIZADOS!$A:$G,7,FALSE)="","",VLOOKUP(A288,[3]PRIORIZADOS!$A:$G,7,FALSE)),"")</f>
        <v>LICEO BILINGÜE ROMULO GALLEGOS</v>
      </c>
      <c r="H288" s="11" t="str">
        <f>IFERROR(IF(VLOOKUP(A288,[3]PRIORIZADOS!$A:$H,8,FALSE)="","",VLOOKUP(A288,[3]PRIORIZADOS!$A:$H,8,FALSE)),"")</f>
        <v>Autoevaluación Institucional y Pruebas SABER 11</v>
      </c>
      <c r="I288" s="11" t="str">
        <f>IFERROR(IF(VLOOKUP(A288,[3]PRIORIZADOS!$A:$I,9,FALSE)="","",VLOOKUP(A288,[3]PRIORIZADOS!$A:$I,9,FALSE)),"")</f>
        <v>SEGUIMIENTO_Y_SUPERVISIÓN.</v>
      </c>
      <c r="J288" s="11" t="str">
        <f>IFERROR(IF(VLOOKUP(A288,[3]PRIORIZADOS!$A:$J,10,FALSE)="","",VLOOKUP(A288,[3]PRIORIZADOS!$A:$J,10,FALSE)),"")</f>
        <v>Proponer estrategias en la formulación, verificar su elaboración y realizar seguimiento semestral al desarrollo de  las acciones establecidas en los planes de mejoramiento por pruebas SABER 11 de los establecimientos de educación formal.</v>
      </c>
      <c r="K288" s="11" t="str">
        <f>IFERROR(IF(VLOOKUP(A288,[3]PRIORIZADOS!$A:$K,11,FALSE)="","",VLOOKUP(A288,[3]PRIORIZADOS!$A:$K,11,FALSE)),"")</f>
        <v>JOSÉ ANTONIO PÁEZ FETECUA</v>
      </c>
      <c r="L288" s="11" t="str">
        <f>IFERROR(IF(VLOOKUP(A288,[3]PRIORIZADOS!$A:$L,12,FALSE)="","",VLOOKUP(A288,[3]PRIORIZADOS!$A:$L,12,FALSE)),"")</f>
        <v>JULIÁN FELIPE BERNAL GARZÓN</v>
      </c>
      <c r="M288" s="71">
        <f>IFERROR(IF(VLOOKUP(A288,[3]PRIORIZADOS!$A:$M,13,FALSE)="","",VLOOKUP(A288,[3]PRIORIZADOS!$A:$M,13,FALSE)),"")</f>
        <v>45783</v>
      </c>
      <c r="N288" s="71">
        <f>IFERROR(IF(VLOOKUP(A288,[3]PRIORIZADOS!$A:$N,14,FALSE)="","",VLOOKUP(A288,[3]PRIORIZADOS!$A:$N,14,FALSE)),"")</f>
        <v>45783</v>
      </c>
      <c r="O288" s="71">
        <f>IFERROR(IF(VLOOKUP(A288,[3]PRIORIZADOS!$A:$O,15,FALSE)="","",VLOOKUP(A288,[3]PRIORIZADOS!$A:$O,15,FALSE)),"")</f>
        <v>45783</v>
      </c>
      <c r="P288" s="11" t="str">
        <f>IFERROR(IF(VLOOKUP(A288,[3]PRIORIZADOS!$A:$P,16,FALSE)="","",VLOOKUP(A288,[3]PRIORIZADOS!$A:$P,16,FALSE)),"")</f>
        <v>Visitas de evaluación con fines de seguimiento</v>
      </c>
      <c r="Q288" s="5" t="s">
        <v>62</v>
      </c>
      <c r="R288" s="11" t="str">
        <f>IFERROR(IF(VLOOKUP(A288,[3]PRIORIZADOS!$A:$R,18,FALSE)="","",VLOOKUP(A288,[3]PRIORIZADOS!$A:$R,18,FALSE)),"")</f>
        <v>Se adelanta la revisión de los Resultados de las Pruebas Saber 11, encontrando que la IE se encuentra en Categoría A</v>
      </c>
      <c r="S288" s="11" t="str">
        <f>IFERROR(IF(VLOOKUP(A288,[3]PRIORIZADOS!$A:$S,19,FALSE)="","",VLOOKUP(A288,[3]PRIORIZADOS!$A:$S,19,FALSE)),"")</f>
        <v>Se aporta documento que la Institución educativa que compara diferentes vigencias y la mejora anual hasta llegar a la categoría A en los resultados 2024</v>
      </c>
      <c r="T288" s="70" t="str">
        <f>IFERROR(IF(VLOOKUP(A288,[3]PRIORIZADOS!$A:$T,20,FALSE)="","",VLOOKUP(A288,[3]PRIORIZADOS!$A:$T,20,FALSE)),"")</f>
        <v>No</v>
      </c>
      <c r="U288" s="11" t="str">
        <f>IFERROR(IF(VLOOKUP(A288,[3]PRIORIZADOS!$A:$U,21,FALSE)="","",VLOOKUP(A288,[3]PRIORIZADOS!$A:$U,21,FALSE)),"")</f>
        <v>Se acordó revisar nuevamente el documento en el mes de agosto de 2025 y generar espacios de asesoría, conforme lo requiera la IE</v>
      </c>
    </row>
    <row r="289" spans="1:21" s="1" customFormat="1" ht="72">
      <c r="A289" s="69">
        <f>IF([3]PRIORIZADOS!A100="","",[3]PRIORIZADOS!A100)</f>
        <v>295</v>
      </c>
      <c r="B289" s="70">
        <f>IFERROR(IF(VLOOKUP(A289,[3]PRIORIZADOS!$A:$B,2,FALSE)="","",VLOOKUP(A289,[3]PRIORIZADOS!$A:$B,2,FALSE)),"")</f>
        <v>11</v>
      </c>
      <c r="C289" s="11" t="str">
        <f>IFERROR(IF(VLOOKUP(A289,[3]PRIORIZADOS!$A:$C,3,FALSE)="","",VLOOKUP(A289,[3]PRIORIZADOS!$A:$C,3,FALSE)),"")</f>
        <v>BOSA</v>
      </c>
      <c r="D289" s="11" t="str">
        <f>IFERROR(IF(VLOOKUP(A289,[3]PRIORIZADOS!$A:$D,4,FALSE)="","",VLOOKUP(A289,[3]PRIORIZADOS!$A:$D,4,FALSE)),"")</f>
        <v>PRIVADO</v>
      </c>
      <c r="E289" s="11" t="str">
        <f>IFERROR(IF(VLOOKUP(A289,[3]PRIORIZADOS!$A:$E,5,FALSE)="","",VLOOKUP(A289,[3]PRIORIZADOS!$A:$E,5,FALSE)),"")</f>
        <v>EPBM</v>
      </c>
      <c r="F289" s="11" t="str">
        <f>IFERROR(IF(VLOOKUP(A289,[3]PRIORIZADOS!$A:$F,6,FALSE)="","",VLOOKUP(A289,[3]PRIORIZADOS!$A:$F,6,FALSE)),"")</f>
        <v>LICEO_BILINGÜE_ROMULO_GALLEGOS</v>
      </c>
      <c r="G289" s="11" t="str">
        <f>IFERROR(IF(VLOOKUP(A289,[3]PRIORIZADOS!$A:$G,7,FALSE)="","",VLOOKUP(A289,[3]PRIORIZADOS!$A:$G,7,FALSE)),"")</f>
        <v>LICEO BILINGÜE ROMULO GALLEGOS</v>
      </c>
      <c r="H289" s="11" t="str">
        <f>IFERROR(IF(VLOOKUP(A289,[3]PRIORIZADOS!$A:$H,8,FALSE)="","",VLOOKUP(A289,[3]PRIORIZADOS!$A:$H,8,FALSE)),"")</f>
        <v>Autoevaluación Institucional y Pruebas SABER 11</v>
      </c>
      <c r="I289" s="11" t="str">
        <f>IFERROR(IF(VLOOKUP(A289,[3]PRIORIZADOS!$A:$I,9,FALSE)="","",VLOOKUP(A289,[3]PRIORIZADOS!$A:$I,9,FALSE)),"")</f>
        <v>SEGUIMIENTO_Y_SUPERVISIÓN.</v>
      </c>
      <c r="J289" s="11" t="str">
        <f>IFERROR(IF(VLOOKUP(A289,[3]PRIORIZADOS!$A:$J,10,FALSE)="","",VLOOKUP(A289,[3]PRIORIZADOS!$A:$J,10,FALSE)),"")</f>
        <v xml:space="preserve">Verificar la implementación por parte de los colegios, de acciones realizadas para la prevención y atención de las situaciones de convivencia en el entorno escolar, según lo establecido en la Directiva 01 de 2022 del MEN. </v>
      </c>
      <c r="K289" s="11" t="str">
        <f>IFERROR(IF(VLOOKUP(A289,[3]PRIORIZADOS!$A:$K,11,FALSE)="","",VLOOKUP(A289,[3]PRIORIZADOS!$A:$K,11,FALSE)),"")</f>
        <v>JOSÉ ANTONIO PÁEZ FETECUA</v>
      </c>
      <c r="L289" s="11" t="str">
        <f>IFERROR(IF(VLOOKUP(A289,[3]PRIORIZADOS!$A:$L,12,FALSE)="","",VLOOKUP(A289,[3]PRIORIZADOS!$A:$L,12,FALSE)),"")</f>
        <v>JULIÁN FELIPE BERNAL GARZÓN</v>
      </c>
      <c r="M289" s="71">
        <f>IFERROR(IF(VLOOKUP(A289,[3]PRIORIZADOS!$A:$M,13,FALSE)="","",VLOOKUP(A289,[3]PRIORIZADOS!$A:$M,13,FALSE)),"")</f>
        <v>45783</v>
      </c>
      <c r="N289" s="71">
        <f>IFERROR(IF(VLOOKUP(A289,[3]PRIORIZADOS!$A:$N,14,FALSE)="","",VLOOKUP(A289,[3]PRIORIZADOS!$A:$N,14,FALSE)),"")</f>
        <v>45783</v>
      </c>
      <c r="O289" s="71">
        <f>IFERROR(IF(VLOOKUP(A289,[3]PRIORIZADOS!$A:$O,15,FALSE)="","",VLOOKUP(A289,[3]PRIORIZADOS!$A:$O,15,FALSE)),"")</f>
        <v>45783</v>
      </c>
      <c r="P289" s="11" t="str">
        <f>IFERROR(IF(VLOOKUP(A289,[3]PRIORIZADOS!$A:$P,16,FALSE)="","",VLOOKUP(A289,[3]PRIORIZADOS!$A:$P,16,FALSE)),"")</f>
        <v>Visitas de evaluación con fines de mejoramiento</v>
      </c>
      <c r="Q289" s="107" t="s">
        <v>62</v>
      </c>
      <c r="R289" s="11" t="str">
        <f>IFERROR(IF(VLOOKUP(A289,[3]PRIORIZADOS!$A:$R,18,FALSE)="","",VLOOKUP(A289,[3]PRIORIZADOS!$A:$R,18,FALSE)),"")</f>
        <v>Se verifica la implementación de acciones  realizadas para la prevención como lo es la verificación de inhabilidades por delitos sexuales en el sistema de la Policía Nacional.</v>
      </c>
      <c r="S289" s="11" t="str">
        <f>IFERROR(IF(VLOOKUP(A289,[3]PRIORIZADOS!$A:$S,19,FALSE)="","",VLOOKUP(A289,[3]PRIORIZADOS!$A:$S,19,FALSE)),"")</f>
        <v>Como acción de verificación se solicita implementar  la autorización de directivos, docentes y administrativos para las consultas de antecedentes en los sistemas que se requieran al momento de la vinculación</v>
      </c>
      <c r="T289" s="70" t="str">
        <f>IFERROR(IF(VLOOKUP(A289,[3]PRIORIZADOS!$A:$T,20,FALSE)="","",VLOOKUP(A289,[3]PRIORIZADOS!$A:$T,20,FALSE)),"")</f>
        <v>No</v>
      </c>
      <c r="U289" s="11" t="str">
        <f>IFERROR(IF(VLOOKUP(A289,[3]PRIORIZADOS!$A:$U,21,FALSE)="","",VLOOKUP(A289,[3]PRIORIZADOS!$A:$U,21,FALSE)),"")</f>
        <v>Verificar que la IE cuente con las respectivas autorizaciones para las consultas de antedecentes del personal vinculado.</v>
      </c>
    </row>
    <row r="290" spans="1:21" s="1" customFormat="1" ht="72">
      <c r="A290" s="69">
        <f>IF([3]PRIORIZADOS!A101="","",[3]PRIORIZADOS!A101)</f>
        <v>296</v>
      </c>
      <c r="B290" s="70">
        <f>IFERROR(IF(VLOOKUP(A290,[3]PRIORIZADOS!$A:$B,2,FALSE)="","",VLOOKUP(A290,[3]PRIORIZADOS!$A:$B,2,FALSE)),"")</f>
        <v>11</v>
      </c>
      <c r="C290" s="11" t="str">
        <f>IFERROR(IF(VLOOKUP(A290,[3]PRIORIZADOS!$A:$C,3,FALSE)="","",VLOOKUP(A290,[3]PRIORIZADOS!$A:$C,3,FALSE)),"")</f>
        <v>BOSA</v>
      </c>
      <c r="D290" s="11" t="str">
        <f>IFERROR(IF(VLOOKUP(A290,[3]PRIORIZADOS!$A:$D,4,FALSE)="","",VLOOKUP(A290,[3]PRIORIZADOS!$A:$D,4,FALSE)),"")</f>
        <v>PRIVADO</v>
      </c>
      <c r="E290" s="11" t="str">
        <f>IFERROR(IF(VLOOKUP(A290,[3]PRIORIZADOS!$A:$E,5,FALSE)="","",VLOOKUP(A290,[3]PRIORIZADOS!$A:$E,5,FALSE)),"")</f>
        <v>EPBM</v>
      </c>
      <c r="F290" s="11" t="str">
        <f>IFERROR(IF(VLOOKUP(A290,[3]PRIORIZADOS!$A:$F,6,FALSE)="","",VLOOKUP(A290,[3]PRIORIZADOS!$A:$F,6,FALSE)),"")</f>
        <v>LICEO_BILINGÜE_ROMULO_GALLEGOS</v>
      </c>
      <c r="G290" s="11" t="str">
        <f>IFERROR(IF(VLOOKUP(A290,[3]PRIORIZADOS!$A:$G,7,FALSE)="","",VLOOKUP(A290,[3]PRIORIZADOS!$A:$G,7,FALSE)),"")</f>
        <v>LICEO BILINGÜE ROMULO GALLEGOS</v>
      </c>
      <c r="H290" s="11" t="str">
        <f>IFERROR(IF(VLOOKUP(A290,[3]PRIORIZADOS!$A:$H,8,FALSE)="","",VLOOKUP(A290,[3]PRIORIZADOS!$A:$H,8,FALSE)),"")</f>
        <v>Autoevaluación Institucional y Pruebas SABER 11</v>
      </c>
      <c r="I290" s="11" t="str">
        <f>IFERROR(IF(VLOOKUP(A290,[3]PRIORIZADOS!$A:$I,9,FALSE)="","",VLOOKUP(A290,[3]PRIORIZADOS!$A:$I,9,FALSE)),"")</f>
        <v>SEGUIMIENTO_Y_SUPERVISIÓN.</v>
      </c>
      <c r="J290" s="11" t="str">
        <f>IFERROR(IF(VLOOKUP(A290,[3]PRIORIZADOS!$A:$J,10,FALSE)="","",VLOOKUP(A290,[3]PRIORIZADOS!$A:$J,10,FALSE)),"")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90" s="11" t="str">
        <f>IFERROR(IF(VLOOKUP(A290,[3]PRIORIZADOS!$A:$K,11,FALSE)="","",VLOOKUP(A290,[3]PRIORIZADOS!$A:$K,11,FALSE)),"")</f>
        <v>JOSÉ ANTONIO PÁEZ FETECUA</v>
      </c>
      <c r="L290" s="11" t="str">
        <f>IFERROR(IF(VLOOKUP(A290,[3]PRIORIZADOS!$A:$L,12,FALSE)="","",VLOOKUP(A290,[3]PRIORIZADOS!$A:$L,12,FALSE)),"")</f>
        <v>JULIÁN FELIPE BERNAL GARZÓN</v>
      </c>
      <c r="M290" s="71">
        <f>IFERROR(IF(VLOOKUP(A290,[3]PRIORIZADOS!$A:$M,13,FALSE)="","",VLOOKUP(A290,[3]PRIORIZADOS!$A:$M,13,FALSE)),"")</f>
        <v>45783</v>
      </c>
      <c r="N290" s="71">
        <f>IFERROR(IF(VLOOKUP(A290,[3]PRIORIZADOS!$A:$N,14,FALSE)="","",VLOOKUP(A290,[3]PRIORIZADOS!$A:$N,14,FALSE)),"")</f>
        <v>45783</v>
      </c>
      <c r="O290" s="71">
        <f>IFERROR(IF(VLOOKUP(A290,[3]PRIORIZADOS!$A:$O,15,FALSE)="","",VLOOKUP(A290,[3]PRIORIZADOS!$A:$O,15,FALSE)),"")</f>
        <v>45783</v>
      </c>
      <c r="P290" s="11" t="str">
        <f>IFERROR(IF(VLOOKUP(A290,[3]PRIORIZADOS!$A:$P,16,FALSE)="","",VLOOKUP(A290,[3]PRIORIZADOS!$A:$P,16,FALSE)),"")</f>
        <v>Visitas de evaluación con fines de mejoramiento</v>
      </c>
      <c r="Q290" s="107" t="s">
        <v>62</v>
      </c>
      <c r="R290" s="11" t="str">
        <f>IFERROR(IF(VLOOKUP(A290,[3]PRIORIZADOS!$A:$R,18,FALSE)="","",VLOOKUP(A290,[3]PRIORIZADOS!$A:$R,18,FALSE)),"")</f>
        <v>Al revisar la Plataforma SIMAT, no hay estudiantes marcados en la Plataforma con discapacidad</v>
      </c>
      <c r="S290" s="11" t="str">
        <f>IFERROR(IF(VLOOKUP(A290,[3]PRIORIZADOS!$A:$S,19,FALSE)="","",VLOOKUP(A290,[3]PRIORIZADOS!$A:$S,19,FALSE)),"")</f>
        <v>La Institución Educativa se compromete a remitir el Documento Institucional del Plan Individual de Ajustes Razonables PIAR</v>
      </c>
      <c r="T290" s="70" t="str">
        <f>IFERROR(IF(VLOOKUP(A290,[3]PRIORIZADOS!$A:$T,20,FALSE)="","",VLOOKUP(A290,[3]PRIORIZADOS!$A:$T,20,FALSE)),"")</f>
        <v>No</v>
      </c>
      <c r="U290" s="11" t="str">
        <f>IFERROR(IF(VLOOKUP(A290,[3]PRIORIZADOS!$A:$U,21,FALSE)="","",VLOOKUP(A290,[3]PRIORIZADOS!$A:$U,21,FALSE)),"")</f>
        <v>Verificar la información en SIMAT</v>
      </c>
    </row>
    <row r="291" spans="1:21" s="1" customFormat="1" ht="84">
      <c r="A291" s="69">
        <f>IF([3]PRIORIZADOS!A102="","",[3]PRIORIZADOS!A102)</f>
        <v>297</v>
      </c>
      <c r="B291" s="70">
        <f>IFERROR(IF(VLOOKUP(A291,[3]PRIORIZADOS!$A:$B,2,FALSE)="","",VLOOKUP(A291,[3]PRIORIZADOS!$A:$B,2,FALSE)),"")</f>
        <v>11</v>
      </c>
      <c r="C291" s="11" t="str">
        <f>IFERROR(IF(VLOOKUP(A291,[3]PRIORIZADOS!$A:$C,3,FALSE)="","",VLOOKUP(A291,[3]PRIORIZADOS!$A:$C,3,FALSE)),"")</f>
        <v>BOSA</v>
      </c>
      <c r="D291" s="11" t="str">
        <f>IFERROR(IF(VLOOKUP(A291,[3]PRIORIZADOS!$A:$D,4,FALSE)="","",VLOOKUP(A291,[3]PRIORIZADOS!$A:$D,4,FALSE)),"")</f>
        <v>PRIVADO</v>
      </c>
      <c r="E291" s="11" t="str">
        <f>IFERROR(IF(VLOOKUP(A291,[3]PRIORIZADOS!$A:$E,5,FALSE)="","",VLOOKUP(A291,[3]PRIORIZADOS!$A:$E,5,FALSE)),"")</f>
        <v>EPBM</v>
      </c>
      <c r="F291" s="11" t="str">
        <f>IFERROR(IF(VLOOKUP(A291,[3]PRIORIZADOS!$A:$F,6,FALSE)="","",VLOOKUP(A291,[3]PRIORIZADOS!$A:$F,6,FALSE)),"")</f>
        <v>LICEO_BILINGÜE_ROMULO_GALLEGOS</v>
      </c>
      <c r="G291" s="11" t="str">
        <f>IFERROR(IF(VLOOKUP(A291,[3]PRIORIZADOS!$A:$G,7,FALSE)="","",VLOOKUP(A291,[3]PRIORIZADOS!$A:$G,7,FALSE)),"")</f>
        <v>LICEO BILINGÜE ROMULO GALLEGOS</v>
      </c>
      <c r="H291" s="11" t="str">
        <f>IFERROR(IF(VLOOKUP(A291,[3]PRIORIZADOS!$A:$H,8,FALSE)="","",VLOOKUP(A291,[3]PRIORIZADOS!$A:$H,8,FALSE)),"")</f>
        <v>Autoevaluación Institucional y Pruebas SABER 11</v>
      </c>
      <c r="I291" s="11" t="str">
        <f>IFERROR(IF(VLOOKUP(A291,[3]PRIORIZADOS!$A:$I,9,FALSE)="","",VLOOKUP(A291,[3]PRIORIZADOS!$A:$I,9,FALSE)),"")</f>
        <v>EVALUACIÓN_CON_FINES_DE_MEJORAMIENTO.</v>
      </c>
      <c r="J291" s="11" t="str">
        <f>IFERROR(IF(VLOOKUP(A291,[3]PRIORIZADOS!$A:$J,10,FALSE)="","",VLOOKUP(A291,[3]PRIORIZADOS!$A:$J,10,FALSE)),"")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91" s="11" t="str">
        <f>IFERROR(IF(VLOOKUP(A291,[3]PRIORIZADOS!$A:$K,11,FALSE)="","",VLOOKUP(A291,[3]PRIORIZADOS!$A:$K,11,FALSE)),"")</f>
        <v>JOSÉ ANTONIO PÁEZ FETECUA</v>
      </c>
      <c r="L291" s="11" t="str">
        <f>IFERROR(IF(VLOOKUP(A291,[3]PRIORIZADOS!$A:$L,12,FALSE)="","",VLOOKUP(A291,[3]PRIORIZADOS!$A:$L,12,FALSE)),"")</f>
        <v>JULIÁN FELIPE BERNAL GARZÓN</v>
      </c>
      <c r="M291" s="71">
        <f>IFERROR(IF(VLOOKUP(A291,[3]PRIORIZADOS!$A:$M,13,FALSE)="","",VLOOKUP(A291,[3]PRIORIZADOS!$A:$M,13,FALSE)),"")</f>
        <v>45783</v>
      </c>
      <c r="N291" s="71">
        <f>IFERROR(IF(VLOOKUP(A291,[3]PRIORIZADOS!$A:$N,14,FALSE)="","",VLOOKUP(A291,[3]PRIORIZADOS!$A:$N,14,FALSE)),"")</f>
        <v>45783</v>
      </c>
      <c r="O291" s="71">
        <f>IFERROR(IF(VLOOKUP(A291,[3]PRIORIZADOS!$A:$O,15,FALSE)="","",VLOOKUP(A291,[3]PRIORIZADOS!$A:$O,15,FALSE)),"")</f>
        <v>45783</v>
      </c>
      <c r="P291" s="11" t="str">
        <f>IFERROR(IF(VLOOKUP(A291,[3]PRIORIZADOS!$A:$P,16,FALSE)="","",VLOOKUP(A291,[3]PRIORIZADOS!$A:$P,16,FALSE)),"")</f>
        <v>Visitas de evaluación con fines de mejoramiento</v>
      </c>
      <c r="Q291" s="122" t="s">
        <v>62</v>
      </c>
      <c r="R291" s="11" t="str">
        <f>IFERROR(IF(VLOOKUP(A291,[3]PRIORIZADOS!$A:$R,18,FALSE)="","",VLOOKUP(A291,[3]PRIORIZADOS!$A:$R,18,FALSE)),"")</f>
        <v>El Manual de Convivencia fue construido y adoptado de forma participativa e incluye los componentes generales, los diferentes enfoques y se encuentra conforme a lo establecido en el PEI y la normatividad vigente</v>
      </c>
      <c r="S291" s="11" t="str">
        <f>IFERROR(IF(VLOOKUP(A291,[3]PRIORIZADOS!$A:$S,19,FALSE)="","",VLOOKUP(A291,[3]PRIORIZADOS!$A:$S,19,FALSE)),"")</f>
        <v>Como acción de verificación la Institución Educativa se compromete a remitir la versión actualizada del Manual de Convivencia a la vigencia 2024 -2025</v>
      </c>
      <c r="T291" s="70" t="str">
        <f>IFERROR(IF(VLOOKUP(A291,[3]PRIORIZADOS!$A:$T,20,FALSE)="","",VLOOKUP(A291,[3]PRIORIZADOS!$A:$T,20,FALSE)),"")</f>
        <v>No</v>
      </c>
      <c r="U291" s="11" t="str">
        <f>IFERROR(IF(VLOOKUP(A291,[3]PRIORIZADOS!$A:$U,21,FALSE)="","",VLOOKUP(A291,[3]PRIORIZADOS!$A:$U,21,FALSE)),"")</f>
        <v>Verificar nuevamente el documento en el mes de agosto de 2025 y generar espacios de asesoría, conforme lo requiera la IE</v>
      </c>
    </row>
    <row r="292" spans="1:21" s="1" customFormat="1" ht="72">
      <c r="A292" s="69">
        <f>IF([3]PRIORIZADOS!A103="","",[3]PRIORIZADOS!A103)</f>
        <v>298</v>
      </c>
      <c r="B292" s="70">
        <f>IFERROR(IF(VLOOKUP(A292,[3]PRIORIZADOS!$A:$B,2,FALSE)="","",VLOOKUP(A292,[3]PRIORIZADOS!$A:$B,2,FALSE)),"")</f>
        <v>11</v>
      </c>
      <c r="C292" s="11" t="str">
        <f>IFERROR(IF(VLOOKUP(A292,[3]PRIORIZADOS!$A:$C,3,FALSE)="","",VLOOKUP(A292,[3]PRIORIZADOS!$A:$C,3,FALSE)),"")</f>
        <v>BOSA</v>
      </c>
      <c r="D292" s="11" t="str">
        <f>IFERROR(IF(VLOOKUP(A292,[3]PRIORIZADOS!$A:$D,4,FALSE)="","",VLOOKUP(A292,[3]PRIORIZADOS!$A:$D,4,FALSE)),"")</f>
        <v>PRIVADO</v>
      </c>
      <c r="E292" s="11" t="str">
        <f>IFERROR(IF(VLOOKUP(A292,[3]PRIORIZADOS!$A:$E,5,FALSE)="","",VLOOKUP(A292,[3]PRIORIZADOS!$A:$E,5,FALSE)),"")</f>
        <v>EPBM</v>
      </c>
      <c r="F292" s="11" t="str">
        <f>IFERROR(IF(VLOOKUP(A292,[3]PRIORIZADOS!$A:$F,6,FALSE)="","",VLOOKUP(A292,[3]PRIORIZADOS!$A:$F,6,FALSE)),"")</f>
        <v>LICEO_BILINGÜE_ROMULO_GALLEGOS</v>
      </c>
      <c r="G292" s="11" t="str">
        <f>IFERROR(IF(VLOOKUP(A292,[3]PRIORIZADOS!$A:$G,7,FALSE)="","",VLOOKUP(A292,[3]PRIORIZADOS!$A:$G,7,FALSE)),"")</f>
        <v>LICEO BILINGÜE ROMULO GALLEGOS</v>
      </c>
      <c r="H292" s="11" t="str">
        <f>IFERROR(IF(VLOOKUP(A292,[3]PRIORIZADOS!$A:$H,8,FALSE)="","",VLOOKUP(A292,[3]PRIORIZADOS!$A:$H,8,FALSE)),"")</f>
        <v>Autoevaluación Institucional y Pruebas SABER 11</v>
      </c>
      <c r="I292" s="11" t="str">
        <f>IFERROR(IF(VLOOKUP(A292,[3]PRIORIZADOS!$A:$I,9,FALSE)="","",VLOOKUP(A292,[3]PRIORIZADOS!$A:$I,9,FALSE)),"")</f>
        <v>EVALUACIÓN_CON_FINES_DE_MEJORAMIENTO.</v>
      </c>
      <c r="J292" s="11" t="str">
        <f>IFERROR(IF(VLOOKUP(A292,[3]PRIORIZADOS!$A:$J,10,FALSE)="","",VLOOKUP(A292,[3]PRIORIZADOS!$A:$J,10,FALSE)),"")</f>
        <v>Revisar la actualización, socialización e implementación del Sistema Institucional de Evaluación de Estudiantes - SIEE, en articulación con la actualización del PEI y la normatividad vigente.</v>
      </c>
      <c r="K292" s="11" t="str">
        <f>IFERROR(IF(VLOOKUP(A292,[3]PRIORIZADOS!$A:$K,11,FALSE)="","",VLOOKUP(A292,[3]PRIORIZADOS!$A:$K,11,FALSE)),"")</f>
        <v>JOSÉ ANTONIO PÁEZ FETECUA</v>
      </c>
      <c r="L292" s="11" t="str">
        <f>IFERROR(IF(VLOOKUP(A292,[3]PRIORIZADOS!$A:$L,12,FALSE)="","",VLOOKUP(A292,[3]PRIORIZADOS!$A:$L,12,FALSE)),"")</f>
        <v>JULIÁN FELIPE BERNAL GARZÓN</v>
      </c>
      <c r="M292" s="71">
        <f>IFERROR(IF(VLOOKUP(A292,[3]PRIORIZADOS!$A:$M,13,FALSE)="","",VLOOKUP(A292,[3]PRIORIZADOS!$A:$M,13,FALSE)),"")</f>
        <v>45783</v>
      </c>
      <c r="N292" s="71">
        <f>IFERROR(IF(VLOOKUP(A292,[3]PRIORIZADOS!$A:$N,14,FALSE)="","",VLOOKUP(A292,[3]PRIORIZADOS!$A:$N,14,FALSE)),"")</f>
        <v>45783</v>
      </c>
      <c r="O292" s="71">
        <f>IFERROR(IF(VLOOKUP(A292,[3]PRIORIZADOS!$A:$O,15,FALSE)="","",VLOOKUP(A292,[3]PRIORIZADOS!$A:$O,15,FALSE)),"")</f>
        <v>45783</v>
      </c>
      <c r="P292" s="11" t="str">
        <f>IFERROR(IF(VLOOKUP(A292,[3]PRIORIZADOS!$A:$P,16,FALSE)="","",VLOOKUP(A292,[3]PRIORIZADOS!$A:$P,16,FALSE)),"")</f>
        <v>Visitas de evaluación con fines de mejoramiento</v>
      </c>
      <c r="Q292" s="122" t="s">
        <v>62</v>
      </c>
      <c r="R292" s="11" t="str">
        <f>IFERROR(IF(VLOOKUP(A292,[3]PRIORIZADOS!$A:$R,18,FALSE)="","",VLOOKUP(A292,[3]PRIORIZADOS!$A:$R,18,FALSE)),"")</f>
        <v>Se evidencia el Sistema Institucional de Evaluación de Estudiantes - SIEE, actualizado para la vigencia 2025. Fue construido en articulación con el Consejo Directivo y la comunidad educativa desde el año 2019 y se actualiza cada 2 años</v>
      </c>
      <c r="S292" s="11" t="str">
        <f>IFERROR(IF(VLOOKUP(A292,[3]PRIORIZADOS!$A:$S,19,FALSE)="","",VLOOKUP(A292,[3]PRIORIZADOS!$A:$S,19,FALSE)),"")</f>
        <v>Como acción de verificación la Institución Educativa se compromete a remitir la versión actualizada del  Sistema institucional de evaluación de los estudiantes- SIEE</v>
      </c>
      <c r="T292" s="70" t="str">
        <f>IFERROR(IF(VLOOKUP(A292,[3]PRIORIZADOS!$A:$T,20,FALSE)="","",VLOOKUP(A292,[3]PRIORIZADOS!$A:$T,20,FALSE)),"")</f>
        <v>No</v>
      </c>
      <c r="U292" s="11" t="str">
        <f>IFERROR(IF(VLOOKUP(A292,[3]PRIORIZADOS!$A:$U,21,FALSE)="","",VLOOKUP(A292,[3]PRIORIZADOS!$A:$U,21,FALSE)),"")</f>
        <v>Verificar nuevamente el documento en el mes de agosto de 2025 y generar espacios de asesoría, conforme lo requiera la IE</v>
      </c>
    </row>
    <row r="293" spans="1:21" s="1" customFormat="1" ht="48">
      <c r="A293" s="69">
        <f>IF([3]PRIORIZADOS!A104="","",[3]PRIORIZADOS!A104)</f>
        <v>299</v>
      </c>
      <c r="B293" s="70">
        <f>IFERROR(IF(VLOOKUP(A293,[3]PRIORIZADOS!$A:$B,2,FALSE)="","",VLOOKUP(A293,[3]PRIORIZADOS!$A:$B,2,FALSE)),"")</f>
        <v>11</v>
      </c>
      <c r="C293" s="11" t="str">
        <f>IFERROR(IF(VLOOKUP(A293,[3]PRIORIZADOS!$A:$C,3,FALSE)="","",VLOOKUP(A293,[3]PRIORIZADOS!$A:$C,3,FALSE)),"")</f>
        <v>BOSA</v>
      </c>
      <c r="D293" s="11" t="str">
        <f>IFERROR(IF(VLOOKUP(A293,[3]PRIORIZADOS!$A:$D,4,FALSE)="","",VLOOKUP(A293,[3]PRIORIZADOS!$A:$D,4,FALSE)),"")</f>
        <v>PRIVADO</v>
      </c>
      <c r="E293" s="11" t="str">
        <f>IFERROR(IF(VLOOKUP(A293,[3]PRIORIZADOS!$A:$E,5,FALSE)="","",VLOOKUP(A293,[3]PRIORIZADOS!$A:$E,5,FALSE)),"")</f>
        <v>EPBM</v>
      </c>
      <c r="F293" s="11" t="str">
        <f>IFERROR(IF(VLOOKUP(A293,[3]PRIORIZADOS!$A:$F,6,FALSE)="","",VLOOKUP(A293,[3]PRIORIZADOS!$A:$F,6,FALSE)),"")</f>
        <v>LICEO_BILINGÜE_ROMULO_GALLEGOS</v>
      </c>
      <c r="G293" s="11" t="str">
        <f>IFERROR(IF(VLOOKUP(A293,[3]PRIORIZADOS!$A:$G,7,FALSE)="","",VLOOKUP(A293,[3]PRIORIZADOS!$A:$G,7,FALSE)),"")</f>
        <v>LICEO BILINGÜE ROMULO GALLEGOS</v>
      </c>
      <c r="H293" s="11" t="str">
        <f>IFERROR(IF(VLOOKUP(A293,[3]PRIORIZADOS!$A:$H,8,FALSE)="","",VLOOKUP(A293,[3]PRIORIZADOS!$A:$H,8,FALSE)),"")</f>
        <v>Autoevaluación Institucional y Pruebas SABER 11</v>
      </c>
      <c r="I293" s="11" t="str">
        <f>IFERROR(IF(VLOOKUP(A293,[3]PRIORIZADOS!$A:$I,9,FALSE)="","",VLOOKUP(A293,[3]PRIORIZADOS!$A:$I,9,FALSE)),"")</f>
        <v>EVALUACIÓN_CON_FINES_DE_MEJORAMIENTO.</v>
      </c>
      <c r="J293" s="11" t="str">
        <f>IFERROR(IF(VLOOKUP(A293,[3]PRIORIZADOS!$A:$J,10,FALSE)="","",VLOOKUP(A293,[3]PRIORIZADOS!$A:$J,10,FALSE)),"")</f>
        <v>Revisar el calendario escolar, jornada escolar, la intensidad horaria mínima anual en cada nivel y las modificaciones que se realicen al mismo, de acuerdo con lo previsto en la normatividad vigente.</v>
      </c>
      <c r="K293" s="11" t="str">
        <f>IFERROR(IF(VLOOKUP(A293,[3]PRIORIZADOS!$A:$K,11,FALSE)="","",VLOOKUP(A293,[3]PRIORIZADOS!$A:$K,11,FALSE)),"")</f>
        <v>JOSÉ ANTONIO PÁEZ FETECUA</v>
      </c>
      <c r="L293" s="11" t="str">
        <f>IFERROR(IF(VLOOKUP(A293,[3]PRIORIZADOS!$A:$L,12,FALSE)="","",VLOOKUP(A293,[3]PRIORIZADOS!$A:$L,12,FALSE)),"")</f>
        <v>JULIÁN FELIPE BERNAL GARZÓN</v>
      </c>
      <c r="M293" s="71">
        <f>IFERROR(IF(VLOOKUP(A293,[3]PRIORIZADOS!$A:$M,13,FALSE)="","",VLOOKUP(A293,[3]PRIORIZADOS!$A:$M,13,FALSE)),"")</f>
        <v>45783</v>
      </c>
      <c r="N293" s="71">
        <f>IFERROR(IF(VLOOKUP(A293,[3]PRIORIZADOS!$A:$N,14,FALSE)="","",VLOOKUP(A293,[3]PRIORIZADOS!$A:$N,14,FALSE)),"")</f>
        <v>45783</v>
      </c>
      <c r="O293" s="71">
        <f>IFERROR(IF(VLOOKUP(A293,[3]PRIORIZADOS!$A:$O,15,FALSE)="","",VLOOKUP(A293,[3]PRIORIZADOS!$A:$O,15,FALSE)),"")</f>
        <v>45783</v>
      </c>
      <c r="P293" s="11" t="str">
        <f>IFERROR(IF(VLOOKUP(A293,[3]PRIORIZADOS!$A:$P,16,FALSE)="","",VLOOKUP(A293,[3]PRIORIZADOS!$A:$P,16,FALSE)),"")</f>
        <v>Visitas de evaluación con fines de mejoramiento</v>
      </c>
      <c r="Q293" s="122" t="s">
        <v>62</v>
      </c>
      <c r="R293" s="11" t="str">
        <f>IFERROR(IF(VLOOKUP(A293,[3]PRIORIZADOS!$A:$R,18,FALSE)="","",VLOOKUP(A293,[3]PRIORIZADOS!$A:$R,18,FALSE)),"")</f>
        <v>El calendario escolar, jornada escolar, la intensidad horaria mínima anual en cada nivel se encuentran conforme lo previsto en la normatividad vigente</v>
      </c>
      <c r="S293" s="11" t="str">
        <f>IFERROR(IF(VLOOKUP(A293,[3]PRIORIZADOS!$A:$S,19,FALSE)="","",VLOOKUP(A293,[3]PRIORIZADOS!$A:$S,19,FALSE)),"")</f>
        <v>Como acción de verificación la Institución Educativa se compromete a remitir la versión actualizada calendario escolar</v>
      </c>
      <c r="T293" s="70" t="str">
        <f>IFERROR(IF(VLOOKUP(A293,[3]PRIORIZADOS!$A:$T,20,FALSE)="","",VLOOKUP(A293,[3]PRIORIZADOS!$A:$T,20,FALSE)),"")</f>
        <v>No</v>
      </c>
      <c r="U293" s="11" t="str">
        <f>IFERROR(IF(VLOOKUP(A293,[3]PRIORIZADOS!$A:$U,21,FALSE)="","",VLOOKUP(A293,[3]PRIORIZADOS!$A:$U,21,FALSE)),"")</f>
        <v>Verificar nuevamente el documento en el mes de agosto de 2025 y generar espacios de asesoría, conforme lo requiera la IE</v>
      </c>
    </row>
    <row r="294" spans="1:21" s="1" customFormat="1" ht="48">
      <c r="A294" s="69">
        <f>IF([3]PRIORIZADOS!A105="","",[3]PRIORIZADOS!A105)</f>
        <v>300</v>
      </c>
      <c r="B294" s="70">
        <f>IFERROR(IF(VLOOKUP(A294,[3]PRIORIZADOS!$A:$B,2,FALSE)="","",VLOOKUP(A294,[3]PRIORIZADOS!$A:$B,2,FALSE)),"")</f>
        <v>11</v>
      </c>
      <c r="C294" s="11" t="str">
        <f>IFERROR(IF(VLOOKUP(A294,[3]PRIORIZADOS!$A:$C,3,FALSE)="","",VLOOKUP(A294,[3]PRIORIZADOS!$A:$C,3,FALSE)),"")</f>
        <v>BOSA</v>
      </c>
      <c r="D294" s="11" t="str">
        <f>IFERROR(IF(VLOOKUP(A294,[3]PRIORIZADOS!$A:$D,4,FALSE)="","",VLOOKUP(A294,[3]PRIORIZADOS!$A:$D,4,FALSE)),"")</f>
        <v>PRIVADO</v>
      </c>
      <c r="E294" s="11" t="str">
        <f>IFERROR(IF(VLOOKUP(A294,[3]PRIORIZADOS!$A:$E,5,FALSE)="","",VLOOKUP(A294,[3]PRIORIZADOS!$A:$E,5,FALSE)),"")</f>
        <v>EPBM</v>
      </c>
      <c r="F294" s="11" t="str">
        <f>IFERROR(IF(VLOOKUP(A294,[3]PRIORIZADOS!$A:$F,6,FALSE)="","",VLOOKUP(A294,[3]PRIORIZADOS!$A:$F,6,FALSE)),"")</f>
        <v>LICEO_BILINGÜE_ROMULO_GALLEGOS</v>
      </c>
      <c r="G294" s="11" t="str">
        <f>IFERROR(IF(VLOOKUP(A294,[3]PRIORIZADOS!$A:$G,7,FALSE)="","",VLOOKUP(A294,[3]PRIORIZADOS!$A:$G,7,FALSE)),"")</f>
        <v>LICEO BILINGÜE ROMULO GALLEGOS</v>
      </c>
      <c r="H294" s="11" t="str">
        <f>IFERROR(IF(VLOOKUP(A294,[3]PRIORIZADOS!$A:$H,8,FALSE)="","",VLOOKUP(A294,[3]PRIORIZADOS!$A:$H,8,FALSE)),"")</f>
        <v>Autoevaluación Institucional y Pruebas SABER 11</v>
      </c>
      <c r="I294" s="11" t="str">
        <f>IFERROR(IF(VLOOKUP(A294,[3]PRIORIZADOS!$A:$I,9,FALSE)="","",VLOOKUP(A294,[3]PRIORIZADOS!$A:$I,9,FALSE)),"")</f>
        <v>EVALUACIÓN_CON_FINES_DE_MEJORAMIENTO.</v>
      </c>
      <c r="J294" s="11" t="str">
        <f>IFERROR(IF(VLOOKUP(A294,[3]PRIORIZADOS!$A:$J,10,FALSE)="","",VLOOKUP(A294,[3]PRIORIZADOS!$A:$J,10,FALSE)),"")</f>
        <v>Verificar el funcionamiento del Gobierno Escolar e instancias de participación con base en la información sobre conformación reportada por la institución educativa.</v>
      </c>
      <c r="K294" s="11" t="str">
        <f>IFERROR(IF(VLOOKUP(A294,[3]PRIORIZADOS!$A:$K,11,FALSE)="","",VLOOKUP(A294,[3]PRIORIZADOS!$A:$K,11,FALSE)),"")</f>
        <v>JOSÉ ANTONIO PÁEZ FETECUA</v>
      </c>
      <c r="L294" s="11" t="str">
        <f>IFERROR(IF(VLOOKUP(A294,[3]PRIORIZADOS!$A:$L,12,FALSE)="","",VLOOKUP(A294,[3]PRIORIZADOS!$A:$L,12,FALSE)),"")</f>
        <v>JULIÁN FELIPE BERNAL GARZÓN</v>
      </c>
      <c r="M294" s="71">
        <f>IFERROR(IF(VLOOKUP(A294,[3]PRIORIZADOS!$A:$M,13,FALSE)="","",VLOOKUP(A294,[3]PRIORIZADOS!$A:$M,13,FALSE)),"")</f>
        <v>45783</v>
      </c>
      <c r="N294" s="71">
        <f>IFERROR(IF(VLOOKUP(A294,[3]PRIORIZADOS!$A:$N,14,FALSE)="","",VLOOKUP(A294,[3]PRIORIZADOS!$A:$N,14,FALSE)),"")</f>
        <v>45783</v>
      </c>
      <c r="O294" s="71">
        <f>IFERROR(IF(VLOOKUP(A294,[3]PRIORIZADOS!$A:$O,15,FALSE)="","",VLOOKUP(A294,[3]PRIORIZADOS!$A:$O,15,FALSE)),"")</f>
        <v>45783</v>
      </c>
      <c r="P294" s="11" t="str">
        <f>IFERROR(IF(VLOOKUP(A294,[3]PRIORIZADOS!$A:$P,16,FALSE)="","",VLOOKUP(A294,[3]PRIORIZADOS!$A:$P,16,FALSE)),"")</f>
        <v>Visitas de evaluación con fines de mejoramiento</v>
      </c>
      <c r="Q294" s="122" t="s">
        <v>62</v>
      </c>
      <c r="R294" s="11" t="str">
        <f>IFERROR(IF(VLOOKUP(A294,[3]PRIORIZADOS!$A:$R,18,FALSE)="","",VLOOKUP(A294,[3]PRIORIZADOS!$A:$R,18,FALSE)),"")</f>
        <v>La constitución del Gobierno Escolar y sus órganos de participación, se encuentra conforme a la Normativa Vigente</v>
      </c>
      <c r="S294" s="11" t="str">
        <f>IFERROR(IF(VLOOKUP(A294,[3]PRIORIZADOS!$A:$S,19,FALSE)="","",VLOOKUP(A294,[3]PRIORIZADOS!$A:$S,19,FALSE)),"")</f>
        <v>Continuar operando conforme funciones y reglamentos.</v>
      </c>
      <c r="T294" s="70" t="str">
        <f>IFERROR(IF(VLOOKUP(A294,[3]PRIORIZADOS!$A:$T,20,FALSE)="","",VLOOKUP(A294,[3]PRIORIZADOS!$A:$T,20,FALSE)),"")</f>
        <v>No</v>
      </c>
      <c r="U294" s="11" t="str">
        <f>IFERROR(IF(VLOOKUP(A294,[3]PRIORIZADOS!$A:$U,21,FALSE)="","",VLOOKUP(A294,[3]PRIORIZADOS!$A:$U,21,FALSE)),"")</f>
        <v>Verificar la conformación del Gobierno Escolar e instancias para la vigencia 2026 o antes si la IE lo requiere o se presenta solicitud o queja.</v>
      </c>
    </row>
    <row r="295" spans="1:21" s="1" customFormat="1" ht="60">
      <c r="A295" s="69">
        <f>IF([3]PRIORIZADOS!A106="","",[3]PRIORIZADOS!A106)</f>
        <v>301</v>
      </c>
      <c r="B295" s="70">
        <f>IFERROR(IF(VLOOKUP(A295,[3]PRIORIZADOS!$A:$B,2,FALSE)="","",VLOOKUP(A295,[3]PRIORIZADOS!$A:$B,2,FALSE)),"")</f>
        <v>11</v>
      </c>
      <c r="C295" s="11" t="str">
        <f>IFERROR(IF(VLOOKUP(A295,[3]PRIORIZADOS!$A:$C,3,FALSE)="","",VLOOKUP(A295,[3]PRIORIZADOS!$A:$C,3,FALSE)),"")</f>
        <v>BOSA</v>
      </c>
      <c r="D295" s="11" t="str">
        <f>IFERROR(IF(VLOOKUP(A295,[3]PRIORIZADOS!$A:$D,4,FALSE)="","",VLOOKUP(A295,[3]PRIORIZADOS!$A:$D,4,FALSE)),"")</f>
        <v>PRIVADO</v>
      </c>
      <c r="E295" s="11" t="str">
        <f>IFERROR(IF(VLOOKUP(A295,[3]PRIORIZADOS!$A:$E,5,FALSE)="","",VLOOKUP(A295,[3]PRIORIZADOS!$A:$E,5,FALSE)),"")</f>
        <v>EPBM</v>
      </c>
      <c r="F295" s="11" t="str">
        <f>IFERROR(IF(VLOOKUP(A295,[3]PRIORIZADOS!$A:$F,6,FALSE)="","",VLOOKUP(A295,[3]PRIORIZADOS!$A:$F,6,FALSE)),"")</f>
        <v>LICEO_BILINGÜE_ROMULO_GALLEGOS</v>
      </c>
      <c r="G295" s="11" t="str">
        <f>IFERROR(IF(VLOOKUP(A295,[3]PRIORIZADOS!$A:$G,7,FALSE)="","",VLOOKUP(A295,[3]PRIORIZADOS!$A:$G,7,FALSE)),"")</f>
        <v>LICEO BILINGÜE ROMULO GALLEGOS</v>
      </c>
      <c r="H295" s="11" t="str">
        <f>IFERROR(IF(VLOOKUP(A295,[3]PRIORIZADOS!$A:$H,8,FALSE)="","",VLOOKUP(A295,[3]PRIORIZADOS!$A:$H,8,FALSE)),"")</f>
        <v>Autoevaluación Institucional y Pruebas SABER 11</v>
      </c>
      <c r="I295" s="11" t="str">
        <f>IFERROR(IF(VLOOKUP(A295,[3]PRIORIZADOS!$A:$I,9,FALSE)="","",VLOOKUP(A295,[3]PRIORIZADOS!$A:$I,9,FALSE)),"")</f>
        <v>EVALUACIÓN_CON_FINES_DE_MEJORAMIENTO.</v>
      </c>
      <c r="J295" s="11" t="str">
        <f>IFERROR(IF(VLOOKUP(A295,[3]PRIORIZADOS!$A:$J,10,FALSE)="","",VLOOKUP(A295,[3]PRIORIZADOS!$A:$J,10,FALSE)),"")</f>
        <v>Verificar las condiciones en cuanto a: la estructura administrativa, condiciones de la planta física y medios educativos adecuados.</v>
      </c>
      <c r="K295" s="11" t="str">
        <f>IFERROR(IF(VLOOKUP(A295,[3]PRIORIZADOS!$A:$K,11,FALSE)="","",VLOOKUP(A295,[3]PRIORIZADOS!$A:$K,11,FALSE)),"")</f>
        <v>JOSÉ ANTONIO PÁEZ FETECUA</v>
      </c>
      <c r="L295" s="11" t="str">
        <f>IFERROR(IF(VLOOKUP(A295,[3]PRIORIZADOS!$A:$L,12,FALSE)="","",VLOOKUP(A295,[3]PRIORIZADOS!$A:$L,12,FALSE)),"")</f>
        <v>JULIÁN FELIPE BERNAL GARZÓN</v>
      </c>
      <c r="M295" s="71">
        <f>IFERROR(IF(VLOOKUP(A295,[3]PRIORIZADOS!$A:$M,13,FALSE)="","",VLOOKUP(A295,[3]PRIORIZADOS!$A:$M,13,FALSE)),"")</f>
        <v>45783</v>
      </c>
      <c r="N295" s="71">
        <f>IFERROR(IF(VLOOKUP(A295,[3]PRIORIZADOS!$A:$N,14,FALSE)="","",VLOOKUP(A295,[3]PRIORIZADOS!$A:$N,14,FALSE)),"")</f>
        <v>45783</v>
      </c>
      <c r="O295" s="71">
        <f>IFERROR(IF(VLOOKUP(A295,[3]PRIORIZADOS!$A:$O,15,FALSE)="","",VLOOKUP(A295,[3]PRIORIZADOS!$A:$O,15,FALSE)),"")</f>
        <v>45783</v>
      </c>
      <c r="P295" s="11" t="str">
        <f>IFERROR(IF(VLOOKUP(A295,[3]PRIORIZADOS!$A:$P,16,FALSE)="","",VLOOKUP(A295,[3]PRIORIZADOS!$A:$P,16,FALSE)),"")</f>
        <v>Visitas de evaluación con fines de mejoramiento</v>
      </c>
      <c r="Q295" s="122" t="s">
        <v>62</v>
      </c>
      <c r="R295" s="11" t="str">
        <f>IFERROR(IF(VLOOKUP(A295,[3]PRIORIZADOS!$A:$R,18,FALSE)="","",VLOOKUP(A295,[3]PRIORIZADOS!$A:$R,18,FALSE)),"")</f>
        <v>Se realiza un recorrido en las instalaciones de la IE, verificando las condiciones en cuanto a: la estructura administrativa, condiciones de la planta física y medios educativos adecuados.</v>
      </c>
      <c r="S295" s="11" t="str">
        <f>IFERROR(IF(VLOOKUP(A295,[3]PRIORIZADOS!$A:$S,19,FALSE)="","",VLOOKUP(A295,[3]PRIORIZADOS!$A:$S,19,FALSE)),"")</f>
        <v>Las condiciones de la estructura administrativa, condiciones de la planta física y medios educativos son adecuados y garantizan la prestación del servicio educativo</v>
      </c>
      <c r="T295" s="70" t="str">
        <f>IFERROR(IF(VLOOKUP(A295,[3]PRIORIZADOS!$A:$T,20,FALSE)="","",VLOOKUP(A295,[3]PRIORIZADOS!$A:$T,20,FALSE)),"")</f>
        <v>No</v>
      </c>
      <c r="U295" s="11" t="str">
        <f>IFERROR(IF(VLOOKUP(A295,[3]PRIORIZADOS!$A:$U,21,FALSE)="","",VLOOKUP(A295,[3]PRIORIZADOS!$A:$U,21,FALSE)),"")</f>
        <v>Las condiciones de la planta física garantizan la adecuada prestación del servicio educativo</v>
      </c>
    </row>
    <row r="296" spans="1:21" s="1" customFormat="1" ht="60">
      <c r="A296" s="69">
        <f>IF([3]PRIORIZADOS!A107="","",[3]PRIORIZADOS!A107)</f>
        <v>302</v>
      </c>
      <c r="B296" s="70">
        <f>IFERROR(IF(VLOOKUP(A296,[3]PRIORIZADOS!$A:$B,2,FALSE)="","",VLOOKUP(A296,[3]PRIORIZADOS!$A:$B,2,FALSE)),"")</f>
        <v>12</v>
      </c>
      <c r="C296" s="11" t="str">
        <f>IFERROR(IF(VLOOKUP(A296,[3]PRIORIZADOS!$A:$C,3,FALSE)="","",VLOOKUP(A296,[3]PRIORIZADOS!$A:$C,3,FALSE)),"")</f>
        <v>BOSA</v>
      </c>
      <c r="D296" s="11" t="str">
        <f>IFERROR(IF(VLOOKUP(A296,[3]PRIORIZADOS!$A:$D,4,FALSE)="","",VLOOKUP(A296,[3]PRIORIZADOS!$A:$D,4,FALSE)),"")</f>
        <v>PRIVADO</v>
      </c>
      <c r="E296" s="11" t="str">
        <f>IFERROR(IF(VLOOKUP(A296,[3]PRIORIZADOS!$A:$E,5,FALSE)="","",VLOOKUP(A296,[3]PRIORIZADOS!$A:$E,5,FALSE)),"")</f>
        <v>EPBM</v>
      </c>
      <c r="F296" s="11" t="str">
        <f>IFERROR(IF(VLOOKUP(A296,[3]PRIORIZADOS!$A:$F,6,FALSE)="","",VLOOKUP(A296,[3]PRIORIZADOS!$A:$F,6,FALSE)),"")</f>
        <v>LICEO_CENTRAL_AMERICAS</v>
      </c>
      <c r="G296" s="11" t="str">
        <f>IFERROR(IF(VLOOKUP(A296,[3]PRIORIZADOS!$A:$G,7,FALSE)="","",VLOOKUP(A296,[3]PRIORIZADOS!$A:$G,7,FALSE)),"")</f>
        <v>LICEO CENTRAL AMERICAS</v>
      </c>
      <c r="H296" s="11" t="str">
        <f>IFERROR(IF(VLOOKUP(A296,[3]PRIORIZADOS!$A:$H,8,FALSE)="","",VLOOKUP(A296,[3]PRIORIZADOS!$A:$H,8,FALSE)),"")</f>
        <v>Autoevaluación Institucional y Pruebas SABER 11</v>
      </c>
      <c r="I296" s="11" t="str">
        <f>IFERROR(IF(VLOOKUP(A296,[3]PRIORIZADOS!$A:$I,9,FALSE)="","",VLOOKUP(A296,[3]PRIORIZADOS!$A:$I,9,FALSE)),"")</f>
        <v>SEGUIMIENTO_Y_SUPERVISIÓN.</v>
      </c>
      <c r="J296" s="11" t="str">
        <f>IFERROR(IF(VLOOKUP(A296,[3]PRIORIZADOS!$A:$J,10,FALSE)="","",VLOOKUP(A296,[3]PRIORIZADOS!$A:$J,10,FALSE)),"")</f>
        <v>Realizar visitas para verificar la información registrada sobre la autoevaluación institucional en el aplicativo EVI, a los establecimientos de educación formal no oficial.</v>
      </c>
      <c r="K296" s="11" t="str">
        <f>IFERROR(IF(VLOOKUP(A296,[3]PRIORIZADOS!$A:$K,11,FALSE)="","",VLOOKUP(A296,[3]PRIORIZADOS!$A:$K,11,FALSE)),"")</f>
        <v>JOSE YECID PAJOY CASTRO</v>
      </c>
      <c r="L296" s="11" t="str">
        <f>IFERROR(IF(VLOOKUP(A296,[3]PRIORIZADOS!$A:$L,12,FALSE)="","",VLOOKUP(A296,[3]PRIORIZADOS!$A:$L,12,FALSE)),"")</f>
        <v>JULIÁN FELIPE BERNAL GARZÓN</v>
      </c>
      <c r="M296" s="71">
        <f>IFERROR(IF(VLOOKUP(A296,[3]PRIORIZADOS!$A:$M,13,FALSE)="","",VLOOKUP(A296,[3]PRIORIZADOS!$A:$M,13,FALSE)),"")</f>
        <v>45790</v>
      </c>
      <c r="N296" s="71">
        <f>IFERROR(IF(VLOOKUP(A296,[3]PRIORIZADOS!$A:$N,14,FALSE)="","",VLOOKUP(A296,[3]PRIORIZADOS!$A:$N,14,FALSE)),"")</f>
        <v>45790</v>
      </c>
      <c r="O296" s="71">
        <f>IFERROR(IF(VLOOKUP(A296,[3]PRIORIZADOS!$A:$O,15,FALSE)="","",VLOOKUP(A296,[3]PRIORIZADOS!$A:$O,15,FALSE)),"")</f>
        <v>45790</v>
      </c>
      <c r="P296" s="11" t="str">
        <f>IFERROR(IF(VLOOKUP(A296,[3]PRIORIZADOS!$A:$P,16,FALSE)="","",VLOOKUP(A296,[3]PRIORIZADOS!$A:$P,16,FALSE)),"")</f>
        <v>Visitas de evaluación con fines de mejoramiento</v>
      </c>
      <c r="Q296" s="122" t="s">
        <v>63</v>
      </c>
      <c r="R296" s="11" t="str">
        <f>IFERROR(IF(VLOOKUP(A296,[3]PRIORIZADOS!$A:$R,18,FALSE)="","",VLOOKUP(A296,[3]PRIORIZADOS!$A:$R,18,FALSE)),"")</f>
        <v>La información consignada en la Plataforma EVI relacionada con los indicadores de: planta física, dotación de espacios y calendario académico coincide con lo verificado en campo</v>
      </c>
      <c r="S296" s="11" t="str">
        <f>IFERROR(IF(VLOOKUP(A296,[3]PRIORIZADOS!$A:$S,19,FALSE)="","",VLOOKUP(A296,[3]PRIORIZADOS!$A:$S,19,FALSE)),"")</f>
        <v xml:space="preserve">Se concluye que la IE realizará su autoevalución institucional en el mes octubre.  </v>
      </c>
      <c r="T296" s="70" t="str">
        <f>IFERROR(IF(VLOOKUP(A296,[3]PRIORIZADOS!$A:$T,20,FALSE)="","",VLOOKUP(A296,[3]PRIORIZADOS!$A:$T,20,FALSE)),"")</f>
        <v>No</v>
      </c>
      <c r="U296" s="11" t="str">
        <f>IFERROR(IF(VLOOKUP(A296,[3]PRIORIZADOS!$A:$U,21,FALSE)="","",VLOOKUP(A296,[3]PRIORIZADOS!$A:$U,21,FALSE)),"")</f>
        <v>Se verificará la información cargada por la IE en el aplicativo EVI de la autoevaluación,  para la emisión del concepto de tarifas 2026</v>
      </c>
    </row>
    <row r="297" spans="1:21" s="1" customFormat="1" ht="60">
      <c r="A297" s="69">
        <f>IF([3]PRIORIZADOS!A108="","",[3]PRIORIZADOS!A108)</f>
        <v>303</v>
      </c>
      <c r="B297" s="70">
        <f>IFERROR(IF(VLOOKUP(A297,[3]PRIORIZADOS!$A:$B,2,FALSE)="","",VLOOKUP(A297,[3]PRIORIZADOS!$A:$B,2,FALSE)),"")</f>
        <v>12</v>
      </c>
      <c r="C297" s="11" t="str">
        <f>IFERROR(IF(VLOOKUP(A297,[3]PRIORIZADOS!$A:$C,3,FALSE)="","",VLOOKUP(A297,[3]PRIORIZADOS!$A:$C,3,FALSE)),"")</f>
        <v>BOSA</v>
      </c>
      <c r="D297" s="11" t="str">
        <f>IFERROR(IF(VLOOKUP(A297,[3]PRIORIZADOS!$A:$D,4,FALSE)="","",VLOOKUP(A297,[3]PRIORIZADOS!$A:$D,4,FALSE)),"")</f>
        <v>PRIVADO</v>
      </c>
      <c r="E297" s="11" t="str">
        <f>IFERROR(IF(VLOOKUP(A297,[3]PRIORIZADOS!$A:$E,5,FALSE)="","",VLOOKUP(A297,[3]PRIORIZADOS!$A:$E,5,FALSE)),"")</f>
        <v>EPBM</v>
      </c>
      <c r="F297" s="11" t="str">
        <f>IFERROR(IF(VLOOKUP(A297,[3]PRIORIZADOS!$A:$F,6,FALSE)="","",VLOOKUP(A297,[3]PRIORIZADOS!$A:$F,6,FALSE)),"")</f>
        <v>LICEO_CENTRAL_AMERICAS</v>
      </c>
      <c r="G297" s="11" t="str">
        <f>IFERROR(IF(VLOOKUP(A297,[3]PRIORIZADOS!$A:$G,7,FALSE)="","",VLOOKUP(A297,[3]PRIORIZADOS!$A:$G,7,FALSE)),"")</f>
        <v>LICEO CENTRAL AMERICAS</v>
      </c>
      <c r="H297" s="11" t="str">
        <f>IFERROR(IF(VLOOKUP(A297,[3]PRIORIZADOS!$A:$H,8,FALSE)="","",VLOOKUP(A297,[3]PRIORIZADOS!$A:$H,8,FALSE)),"")</f>
        <v>Autoevaluación Institucional y Pruebas SABER 11</v>
      </c>
      <c r="I297" s="11" t="str">
        <f>IFERROR(IF(VLOOKUP(A297,[3]PRIORIZADOS!$A:$I,9,FALSE)="","",VLOOKUP(A297,[3]PRIORIZADOS!$A:$I,9,FALSE)),"")</f>
        <v>SEGUIMIENTO_Y_SUPERVISIÓN.</v>
      </c>
      <c r="J297" s="11" t="str">
        <f>IFERROR(IF(VLOOKUP(A297,[3]PRIORIZADOS!$A:$J,10,FALSE)="","",VLOOKUP(A297,[3]PRIORIZADOS!$A:$J,10,FALSE)),"")</f>
        <v>Proponer estrategias en la formulación, verificar su elaboración y realizar seguimiento semestral al desarrollo de  las acciones establecidas en los planes de mejoramiento por pruebas SABER 11 de los establecimientos de educación formal.</v>
      </c>
      <c r="K297" s="11" t="str">
        <f>IFERROR(IF(VLOOKUP(A297,[3]PRIORIZADOS!$A:$K,11,FALSE)="","",VLOOKUP(A297,[3]PRIORIZADOS!$A:$K,11,FALSE)),"")</f>
        <v>JOSE YECID PAJOY CASTRO</v>
      </c>
      <c r="L297" s="11" t="str">
        <f>IFERROR(IF(VLOOKUP(A297,[3]PRIORIZADOS!$A:$L,12,FALSE)="","",VLOOKUP(A297,[3]PRIORIZADOS!$A:$L,12,FALSE)),"")</f>
        <v>JULIÁN FELIPE BERNAL GARZÓN</v>
      </c>
      <c r="M297" s="71">
        <f>IFERROR(IF(VLOOKUP(A297,[3]PRIORIZADOS!$A:$M,13,FALSE)="","",VLOOKUP(A297,[3]PRIORIZADOS!$A:$M,13,FALSE)),"")</f>
        <v>45790</v>
      </c>
      <c r="N297" s="71">
        <f>IFERROR(IF(VLOOKUP(A297,[3]PRIORIZADOS!$A:$N,14,FALSE)="","",VLOOKUP(A297,[3]PRIORIZADOS!$A:$N,14,FALSE)),"")</f>
        <v>45790</v>
      </c>
      <c r="O297" s="71">
        <f>IFERROR(IF(VLOOKUP(A297,[3]PRIORIZADOS!$A:$O,15,FALSE)="","",VLOOKUP(A297,[3]PRIORIZADOS!$A:$O,15,FALSE)),"")</f>
        <v>45790</v>
      </c>
      <c r="P297" s="11" t="str">
        <f>IFERROR(IF(VLOOKUP(A297,[3]PRIORIZADOS!$A:$P,16,FALSE)="","",VLOOKUP(A297,[3]PRIORIZADOS!$A:$P,16,FALSE)),"")</f>
        <v>Visitas de evaluación con fines de seguimiento</v>
      </c>
      <c r="Q297" s="122" t="s">
        <v>63</v>
      </c>
      <c r="R297" s="11" t="str">
        <f>IFERROR(IF(VLOOKUP(A297,[3]PRIORIZADOS!$A:$R,18,FALSE)="","",VLOOKUP(A297,[3]PRIORIZADOS!$A:$R,18,FALSE)),"")</f>
        <v>Se adelanta la revisión de los Resultados de las Pruebas Saber 11, encontrando que la IE se encuentra en Categoría A</v>
      </c>
      <c r="S297" s="11" t="str">
        <f>IFERROR(IF(VLOOKUP(A297,[3]PRIORIZADOS!$A:$S,19,FALSE)="","",VLOOKUP(A297,[3]PRIORIZADOS!$A:$S,19,FALSE)),"")</f>
        <v>Se aporta documento que la Institución educativa que compara diferentes vigencias y la mejora anual hasta llegar a la categoría A  en los resultados 2024</v>
      </c>
      <c r="T297" s="70" t="str">
        <f>IFERROR(IF(VLOOKUP(A297,[3]PRIORIZADOS!$A:$T,20,FALSE)="","",VLOOKUP(A297,[3]PRIORIZADOS!$A:$T,20,FALSE)),"")</f>
        <v>No</v>
      </c>
      <c r="U297" s="11" t="str">
        <f>IFERROR(IF(VLOOKUP(A297,[3]PRIORIZADOS!$A:$U,21,FALSE)="","",VLOOKUP(A297,[3]PRIORIZADOS!$A:$U,21,FALSE)),"")</f>
        <v>Se acordó revisar nuevamente el documento en el mes de agosto de 2025 y generar espacios de asesoría, conforme lo requiera la IE</v>
      </c>
    </row>
    <row r="298" spans="1:21" s="1" customFormat="1" ht="72">
      <c r="A298" s="69">
        <f>IF([3]PRIORIZADOS!A109="","",[3]PRIORIZADOS!A109)</f>
        <v>304</v>
      </c>
      <c r="B298" s="70">
        <f>IFERROR(IF(VLOOKUP(A298,[3]PRIORIZADOS!$A:$B,2,FALSE)="","",VLOOKUP(A298,[3]PRIORIZADOS!$A:$B,2,FALSE)),"")</f>
        <v>12</v>
      </c>
      <c r="C298" s="11" t="str">
        <f>IFERROR(IF(VLOOKUP(A298,[3]PRIORIZADOS!$A:$C,3,FALSE)="","",VLOOKUP(A298,[3]PRIORIZADOS!$A:$C,3,FALSE)),"")</f>
        <v>BOSA</v>
      </c>
      <c r="D298" s="11" t="str">
        <f>IFERROR(IF(VLOOKUP(A298,[3]PRIORIZADOS!$A:$D,4,FALSE)="","",VLOOKUP(A298,[3]PRIORIZADOS!$A:$D,4,FALSE)),"")</f>
        <v>PRIVADO</v>
      </c>
      <c r="E298" s="11" t="str">
        <f>IFERROR(IF(VLOOKUP(A298,[3]PRIORIZADOS!$A:$E,5,FALSE)="","",VLOOKUP(A298,[3]PRIORIZADOS!$A:$E,5,FALSE)),"")</f>
        <v>EPBM</v>
      </c>
      <c r="F298" s="11" t="str">
        <f>IFERROR(IF(VLOOKUP(A298,[3]PRIORIZADOS!$A:$F,6,FALSE)="","",VLOOKUP(A298,[3]PRIORIZADOS!$A:$F,6,FALSE)),"")</f>
        <v>LICEO_CENTRAL_AMERICAS</v>
      </c>
      <c r="G298" s="11" t="str">
        <f>IFERROR(IF(VLOOKUP(A298,[3]PRIORIZADOS!$A:$G,7,FALSE)="","",VLOOKUP(A298,[3]PRIORIZADOS!$A:$G,7,FALSE)),"")</f>
        <v>LICEO CENTRAL AMERICAS</v>
      </c>
      <c r="H298" s="11" t="str">
        <f>IFERROR(IF(VLOOKUP(A298,[3]PRIORIZADOS!$A:$H,8,FALSE)="","",VLOOKUP(A298,[3]PRIORIZADOS!$A:$H,8,FALSE)),"")</f>
        <v>Autoevaluación Institucional y Pruebas SABER 11</v>
      </c>
      <c r="I298" s="11" t="str">
        <f>IFERROR(IF(VLOOKUP(A298,[3]PRIORIZADOS!$A:$I,9,FALSE)="","",VLOOKUP(A298,[3]PRIORIZADOS!$A:$I,9,FALSE)),"")</f>
        <v>SEGUIMIENTO_Y_SUPERVISIÓN.</v>
      </c>
      <c r="J298" s="11" t="str">
        <f>IFERROR(IF(VLOOKUP(A298,[3]PRIORIZADOS!$A:$J,10,FALSE)="","",VLOOKUP(A298,[3]PRIORIZADOS!$A:$J,10,FALSE)),"")</f>
        <v xml:space="preserve">Verificar la implementación por parte de los colegios, de acciones realizadas para la prevención y atención de las situaciones de convivencia en el entorno escolar, según lo establecido en la Directiva 01 de 2022 del MEN. </v>
      </c>
      <c r="K298" s="11" t="str">
        <f>IFERROR(IF(VLOOKUP(A298,[3]PRIORIZADOS!$A:$K,11,FALSE)="","",VLOOKUP(A298,[3]PRIORIZADOS!$A:$K,11,FALSE)),"")</f>
        <v>JOSE YECID PAJOY CASTRO</v>
      </c>
      <c r="L298" s="11" t="str">
        <f>IFERROR(IF(VLOOKUP(A298,[3]PRIORIZADOS!$A:$L,12,FALSE)="","",VLOOKUP(A298,[3]PRIORIZADOS!$A:$L,12,FALSE)),"")</f>
        <v>JULIÁN FELIPE BERNAL GARZÓN</v>
      </c>
      <c r="M298" s="71">
        <f>IFERROR(IF(VLOOKUP(A298,[3]PRIORIZADOS!$A:$M,13,FALSE)="","",VLOOKUP(A298,[3]PRIORIZADOS!$A:$M,13,FALSE)),"")</f>
        <v>45790</v>
      </c>
      <c r="N298" s="71">
        <f>IFERROR(IF(VLOOKUP(A298,[3]PRIORIZADOS!$A:$N,14,FALSE)="","",VLOOKUP(A298,[3]PRIORIZADOS!$A:$N,14,FALSE)),"")</f>
        <v>45790</v>
      </c>
      <c r="O298" s="71">
        <f>IFERROR(IF(VLOOKUP(A298,[3]PRIORIZADOS!$A:$O,15,FALSE)="","",VLOOKUP(A298,[3]PRIORIZADOS!$A:$O,15,FALSE)),"")</f>
        <v>45790</v>
      </c>
      <c r="P298" s="11" t="str">
        <f>IFERROR(IF(VLOOKUP(A298,[3]PRIORIZADOS!$A:$P,16,FALSE)="","",VLOOKUP(A298,[3]PRIORIZADOS!$A:$P,16,FALSE)),"")</f>
        <v>Visitas de evaluación con fines de mejoramiento</v>
      </c>
      <c r="Q298" s="122" t="s">
        <v>63</v>
      </c>
      <c r="R298" s="11" t="str">
        <f>IFERROR(IF(VLOOKUP(A298,[3]PRIORIZADOS!$A:$R,18,FALSE)="","",VLOOKUP(A298,[3]PRIORIZADOS!$A:$R,18,FALSE)),"")</f>
        <v>Se verifica la implementación de acciones  realizadas para la prevención como lo es la verificación de inhabilidades por delitos sexuales en el sistema de la Policía Nacional.</v>
      </c>
      <c r="S298" s="11" t="str">
        <f>IFERROR(IF(VLOOKUP(A298,[3]PRIORIZADOS!$A:$S,19,FALSE)="","",VLOOKUP(A298,[3]PRIORIZADOS!$A:$S,19,FALSE)),"")</f>
        <v>Como acción de verificación se solicita implementar  la autorización de directivos, docentes y administrativos para las consultas de antecedentes en los sistemas que se requieran al momento de la vinculación</v>
      </c>
      <c r="T298" s="70" t="str">
        <f>IFERROR(IF(VLOOKUP(A298,[3]PRIORIZADOS!$A:$T,20,FALSE)="","",VLOOKUP(A298,[3]PRIORIZADOS!$A:$T,20,FALSE)),"")</f>
        <v>No</v>
      </c>
      <c r="U298" s="11" t="str">
        <f>IFERROR(IF(VLOOKUP(A298,[3]PRIORIZADOS!$A:$U,21,FALSE)="","",VLOOKUP(A298,[3]PRIORIZADOS!$A:$U,21,FALSE)),"")</f>
        <v>Verificar que la IE cuente con las respectivas autorizaciones para las consultas de antedecentes del personal vinculado.</v>
      </c>
    </row>
    <row r="299" spans="1:21" s="1" customFormat="1" ht="107.25">
      <c r="A299" s="69">
        <f>IF([3]PRIORIZADOS!A110="","",[3]PRIORIZADOS!A110)</f>
        <v>305</v>
      </c>
      <c r="B299" s="70">
        <f>IFERROR(IF(VLOOKUP(A299,[3]PRIORIZADOS!$A:$B,2,FALSE)="","",VLOOKUP(A299,[3]PRIORIZADOS!$A:$B,2,FALSE)),"")</f>
        <v>12</v>
      </c>
      <c r="C299" s="11" t="str">
        <f>IFERROR(IF(VLOOKUP(A299,[3]PRIORIZADOS!$A:$C,3,FALSE)="","",VLOOKUP(A299,[3]PRIORIZADOS!$A:$C,3,FALSE)),"")</f>
        <v>BOSA</v>
      </c>
      <c r="D299" s="11" t="str">
        <f>IFERROR(IF(VLOOKUP(A299,[3]PRIORIZADOS!$A:$D,4,FALSE)="","",VLOOKUP(A299,[3]PRIORIZADOS!$A:$D,4,FALSE)),"")</f>
        <v>PRIVADO</v>
      </c>
      <c r="E299" s="11" t="str">
        <f>IFERROR(IF(VLOOKUP(A299,[3]PRIORIZADOS!$A:$E,5,FALSE)="","",VLOOKUP(A299,[3]PRIORIZADOS!$A:$E,5,FALSE)),"")</f>
        <v>EPBM</v>
      </c>
      <c r="F299" s="11" t="str">
        <f>IFERROR(IF(VLOOKUP(A299,[3]PRIORIZADOS!$A:$F,6,FALSE)="","",VLOOKUP(A299,[3]PRIORIZADOS!$A:$F,6,FALSE)),"")</f>
        <v>LICEO_CENTRAL_AMERICAS</v>
      </c>
      <c r="G299" s="11" t="str">
        <f>IFERROR(IF(VLOOKUP(A299,[3]PRIORIZADOS!$A:$G,7,FALSE)="","",VLOOKUP(A299,[3]PRIORIZADOS!$A:$G,7,FALSE)),"")</f>
        <v>LICEO CENTRAL AMERICAS</v>
      </c>
      <c r="H299" s="11" t="str">
        <f>IFERROR(IF(VLOOKUP(A299,[3]PRIORIZADOS!$A:$H,8,FALSE)="","",VLOOKUP(A299,[3]PRIORIZADOS!$A:$H,8,FALSE)),"")</f>
        <v>Autoevaluación Institucional y Pruebas SABER 11</v>
      </c>
      <c r="I299" s="11" t="str">
        <f>IFERROR(IF(VLOOKUP(A299,[3]PRIORIZADOS!$A:$I,9,FALSE)="","",VLOOKUP(A299,[3]PRIORIZADOS!$A:$I,9,FALSE)),"")</f>
        <v>SEGUIMIENTO_Y_SUPERVISIÓN.</v>
      </c>
      <c r="J299" s="11" t="str">
        <f>IFERROR(IF(VLOOKUP(A299,[3]PRIORIZADOS!$A:$J,10,FALSE)="","",VLOOKUP(A299,[3]PRIORIZADOS!$A:$J,10,FALSE)),"")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99" s="11" t="str">
        <f>IFERROR(IF(VLOOKUP(A299,[3]PRIORIZADOS!$A:$K,11,FALSE)="","",VLOOKUP(A299,[3]PRIORIZADOS!$A:$K,11,FALSE)),"")</f>
        <v>JOSE YECID PAJOY CASTRO</v>
      </c>
      <c r="L299" s="11" t="str">
        <f>IFERROR(IF(VLOOKUP(A299,[3]PRIORIZADOS!$A:$L,12,FALSE)="","",VLOOKUP(A299,[3]PRIORIZADOS!$A:$L,12,FALSE)),"")</f>
        <v>JULIÁN FELIPE BERNAL GARZÓN</v>
      </c>
      <c r="M299" s="71">
        <f>IFERROR(IF(VLOOKUP(A299,[3]PRIORIZADOS!$A:$M,13,FALSE)="","",VLOOKUP(A299,[3]PRIORIZADOS!$A:$M,13,FALSE)),"")</f>
        <v>45790</v>
      </c>
      <c r="N299" s="71">
        <f>IFERROR(IF(VLOOKUP(A299,[3]PRIORIZADOS!$A:$N,14,FALSE)="","",VLOOKUP(A299,[3]PRIORIZADOS!$A:$N,14,FALSE)),"")</f>
        <v>45790</v>
      </c>
      <c r="O299" s="71">
        <f>IFERROR(IF(VLOOKUP(A299,[3]PRIORIZADOS!$A:$O,15,FALSE)="","",VLOOKUP(A299,[3]PRIORIZADOS!$A:$O,15,FALSE)),"")</f>
        <v>45790</v>
      </c>
      <c r="P299" s="11" t="str">
        <f>IFERROR(IF(VLOOKUP(A299,[3]PRIORIZADOS!$A:$P,16,FALSE)="","",VLOOKUP(A299,[3]PRIORIZADOS!$A:$P,16,FALSE)),"")</f>
        <v>Visitas de evaluación con fines de mejoramiento</v>
      </c>
      <c r="Q299" s="122" t="s">
        <v>63</v>
      </c>
      <c r="R299" s="11" t="str">
        <f>IFERROR(IF(VLOOKUP(A299,[3]PRIORIZADOS!$A:$R,18,FALSE)="","",VLOOKUP(A299,[3]PRIORIZADOS!$A:$R,18,FALSE)),"")</f>
        <v>Al revisar la Plataforma SIMAT, hay 04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299" s="11" t="str">
        <f>IFERROR(IF(VLOOKUP(A299,[3]PRIORIZADOS!$A:$S,19,FALSE)="","",VLOOKUP(A299,[3]PRIORIZADOS!$A:$S,19,FALSE)),"")</f>
        <v>La Institución Educativa se compromete a remitir el Documento Institucional del Plan Individual de Ajustes Razonables PIAR</v>
      </c>
      <c r="T299" s="70" t="str">
        <f>IFERROR(IF(VLOOKUP(A299,[3]PRIORIZADOS!$A:$T,20,FALSE)="","",VLOOKUP(A299,[3]PRIORIZADOS!$A:$T,20,FALSE)),"")</f>
        <v>No</v>
      </c>
      <c r="U299" s="11" t="str">
        <f>IFERROR(IF(VLOOKUP(A299,[3]PRIORIZADOS!$A:$U,21,FALSE)="","",VLOOKUP(A299,[3]PRIORIZADOS!$A:$U,21,FALSE)),"")</f>
        <v>Verificar la información en SIMAT</v>
      </c>
    </row>
    <row r="300" spans="1:21" s="1" customFormat="1" ht="84">
      <c r="A300" s="69">
        <f>IF([3]PRIORIZADOS!A111="","",[3]PRIORIZADOS!A111)</f>
        <v>306</v>
      </c>
      <c r="B300" s="70">
        <f>IFERROR(IF(VLOOKUP(A300,[3]PRIORIZADOS!$A:$B,2,FALSE)="","",VLOOKUP(A300,[3]PRIORIZADOS!$A:$B,2,FALSE)),"")</f>
        <v>12</v>
      </c>
      <c r="C300" s="11" t="str">
        <f>IFERROR(IF(VLOOKUP(A300,[3]PRIORIZADOS!$A:$C,3,FALSE)="","",VLOOKUP(A300,[3]PRIORIZADOS!$A:$C,3,FALSE)),"")</f>
        <v>BOSA</v>
      </c>
      <c r="D300" s="11" t="str">
        <f>IFERROR(IF(VLOOKUP(A300,[3]PRIORIZADOS!$A:$D,4,FALSE)="","",VLOOKUP(A300,[3]PRIORIZADOS!$A:$D,4,FALSE)),"")</f>
        <v>PRIVADO</v>
      </c>
      <c r="E300" s="11" t="str">
        <f>IFERROR(IF(VLOOKUP(A300,[3]PRIORIZADOS!$A:$E,5,FALSE)="","",VLOOKUP(A300,[3]PRIORIZADOS!$A:$E,5,FALSE)),"")</f>
        <v>EPBM</v>
      </c>
      <c r="F300" s="11" t="str">
        <f>IFERROR(IF(VLOOKUP(A300,[3]PRIORIZADOS!$A:$F,6,FALSE)="","",VLOOKUP(A300,[3]PRIORIZADOS!$A:$F,6,FALSE)),"")</f>
        <v>LICEO_CENTRAL_AMERICAS</v>
      </c>
      <c r="G300" s="11" t="str">
        <f>IFERROR(IF(VLOOKUP(A300,[3]PRIORIZADOS!$A:$G,7,FALSE)="","",VLOOKUP(A300,[3]PRIORIZADOS!$A:$G,7,FALSE)),"")</f>
        <v>LICEO CENTRAL AMERICAS</v>
      </c>
      <c r="H300" s="11" t="str">
        <f>IFERROR(IF(VLOOKUP(A300,[3]PRIORIZADOS!$A:$H,8,FALSE)="","",VLOOKUP(A300,[3]PRIORIZADOS!$A:$H,8,FALSE)),"")</f>
        <v>Autoevaluación Institucional y Pruebas SABER 11</v>
      </c>
      <c r="I300" s="11" t="str">
        <f>IFERROR(IF(VLOOKUP(A300,[3]PRIORIZADOS!$A:$I,9,FALSE)="","",VLOOKUP(A300,[3]PRIORIZADOS!$A:$I,9,FALSE)),"")</f>
        <v>EVALUACIÓN_CON_FINES_DE_MEJORAMIENTO.</v>
      </c>
      <c r="J300" s="11" t="str">
        <f>IFERROR(IF(VLOOKUP(A300,[3]PRIORIZADOS!$A:$J,10,FALSE)="","",VLOOKUP(A300,[3]PRIORIZADOS!$A:$J,10,FALSE)),"")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00" s="11" t="str">
        <f>IFERROR(IF(VLOOKUP(A300,[3]PRIORIZADOS!$A:$K,11,FALSE)="","",VLOOKUP(A300,[3]PRIORIZADOS!$A:$K,11,FALSE)),"")</f>
        <v>JOSE YECID PAJOY CASTRO</v>
      </c>
      <c r="L300" s="11" t="str">
        <f>IFERROR(IF(VLOOKUP(A300,[3]PRIORIZADOS!$A:$L,12,FALSE)="","",VLOOKUP(A300,[3]PRIORIZADOS!$A:$L,12,FALSE)),"")</f>
        <v>JULIÁN FELIPE BERNAL GARZÓN</v>
      </c>
      <c r="M300" s="71">
        <f>IFERROR(IF(VLOOKUP(A300,[3]PRIORIZADOS!$A:$M,13,FALSE)="","",VLOOKUP(A300,[3]PRIORIZADOS!$A:$M,13,FALSE)),"")</f>
        <v>45790</v>
      </c>
      <c r="N300" s="71">
        <f>IFERROR(IF(VLOOKUP(A300,[3]PRIORIZADOS!$A:$N,14,FALSE)="","",VLOOKUP(A300,[3]PRIORIZADOS!$A:$N,14,FALSE)),"")</f>
        <v>45790</v>
      </c>
      <c r="O300" s="71">
        <f>IFERROR(IF(VLOOKUP(A300,[3]PRIORIZADOS!$A:$O,15,FALSE)="","",VLOOKUP(A300,[3]PRIORIZADOS!$A:$O,15,FALSE)),"")</f>
        <v>45790</v>
      </c>
      <c r="P300" s="11" t="str">
        <f>IFERROR(IF(VLOOKUP(A300,[3]PRIORIZADOS!$A:$P,16,FALSE)="","",VLOOKUP(A300,[3]PRIORIZADOS!$A:$P,16,FALSE)),"")</f>
        <v>Visitas de evaluación con fines de mejoramiento</v>
      </c>
      <c r="Q300" s="122" t="s">
        <v>63</v>
      </c>
      <c r="R300" s="11" t="str">
        <f>IFERROR(IF(VLOOKUP(A300,[3]PRIORIZADOS!$A:$R,18,FALSE)="","",VLOOKUP(A300,[3]PRIORIZADOS!$A:$R,18,FALSE)),"")</f>
        <v>El Manual de Convivencia fue construido y adoptado de forma participativa e incluye los componentes generales, los diferentes enfoques y se encuentra conforme a lo establecido en el PEI y la normatividad vigente</v>
      </c>
      <c r="S300" s="11" t="str">
        <f>IFERROR(IF(VLOOKUP(A300,[3]PRIORIZADOS!$A:$S,19,FALSE)="","",VLOOKUP(A300,[3]PRIORIZADOS!$A:$S,19,FALSE)),"")</f>
        <v>Como acción de verificación la Institución Educativa se compromete a remitir la versión actualizada del Manual de Convivencia a la vigencia 2024 -2025</v>
      </c>
      <c r="T300" s="70" t="str">
        <f>IFERROR(IF(VLOOKUP(A300,[3]PRIORIZADOS!$A:$T,20,FALSE)="","",VLOOKUP(A300,[3]PRIORIZADOS!$A:$T,20,FALSE)),"")</f>
        <v>No</v>
      </c>
      <c r="U300" s="11" t="str">
        <f>IFERROR(IF(VLOOKUP(A300,[3]PRIORIZADOS!$A:$U,21,FALSE)="","",VLOOKUP(A300,[3]PRIORIZADOS!$A:$U,21,FALSE)),"")</f>
        <v>Verificar nuevamente el documento en el mes de agosto de 2025 y generar espacios de asesoría, conforme lo requiera la IE</v>
      </c>
    </row>
    <row r="301" spans="1:21" s="1" customFormat="1" ht="60">
      <c r="A301" s="69">
        <f>IF([3]PRIORIZADOS!A112="","",[3]PRIORIZADOS!A112)</f>
        <v>307</v>
      </c>
      <c r="B301" s="70">
        <f>IFERROR(IF(VLOOKUP(A301,[3]PRIORIZADOS!$A:$B,2,FALSE)="","",VLOOKUP(A301,[3]PRIORIZADOS!$A:$B,2,FALSE)),"")</f>
        <v>12</v>
      </c>
      <c r="C301" s="11" t="str">
        <f>IFERROR(IF(VLOOKUP(A301,[3]PRIORIZADOS!$A:$C,3,FALSE)="","",VLOOKUP(A301,[3]PRIORIZADOS!$A:$C,3,FALSE)),"")</f>
        <v>BOSA</v>
      </c>
      <c r="D301" s="11" t="str">
        <f>IFERROR(IF(VLOOKUP(A301,[3]PRIORIZADOS!$A:$D,4,FALSE)="","",VLOOKUP(A301,[3]PRIORIZADOS!$A:$D,4,FALSE)),"")</f>
        <v>PRIVADO</v>
      </c>
      <c r="E301" s="11" t="str">
        <f>IFERROR(IF(VLOOKUP(A301,[3]PRIORIZADOS!$A:$E,5,FALSE)="","",VLOOKUP(A301,[3]PRIORIZADOS!$A:$E,5,FALSE)),"")</f>
        <v>EPBM</v>
      </c>
      <c r="F301" s="11" t="str">
        <f>IFERROR(IF(VLOOKUP(A301,[3]PRIORIZADOS!$A:$F,6,FALSE)="","",VLOOKUP(A301,[3]PRIORIZADOS!$A:$F,6,FALSE)),"")</f>
        <v>LICEO_CENTRAL_AMERICAS</v>
      </c>
      <c r="G301" s="11" t="str">
        <f>IFERROR(IF(VLOOKUP(A301,[3]PRIORIZADOS!$A:$G,7,FALSE)="","",VLOOKUP(A301,[3]PRIORIZADOS!$A:$G,7,FALSE)),"")</f>
        <v>LICEO CENTRAL AMERICAS</v>
      </c>
      <c r="H301" s="11" t="str">
        <f>IFERROR(IF(VLOOKUP(A301,[3]PRIORIZADOS!$A:$H,8,FALSE)="","",VLOOKUP(A301,[3]PRIORIZADOS!$A:$H,8,FALSE)),"")</f>
        <v>Autoevaluación Institucional y Pruebas SABER 11</v>
      </c>
      <c r="I301" s="11" t="str">
        <f>IFERROR(IF(VLOOKUP(A301,[3]PRIORIZADOS!$A:$I,9,FALSE)="","",VLOOKUP(A301,[3]PRIORIZADOS!$A:$I,9,FALSE)),"")</f>
        <v>EVALUACIÓN_CON_FINES_DE_MEJORAMIENTO.</v>
      </c>
      <c r="J301" s="11" t="str">
        <f>IFERROR(IF(VLOOKUP(A301,[3]PRIORIZADOS!$A:$J,10,FALSE)="","",VLOOKUP(A301,[3]PRIORIZADOS!$A:$J,10,FALSE)),"")</f>
        <v>Revisar la actualización, socialización e implementación del Sistema Institucional de Evaluación de Estudiantes - SIEE, en articulación con la actualización del PEI y la normatividad vigente.</v>
      </c>
      <c r="K301" s="11" t="str">
        <f>IFERROR(IF(VLOOKUP(A301,[3]PRIORIZADOS!$A:$K,11,FALSE)="","",VLOOKUP(A301,[3]PRIORIZADOS!$A:$K,11,FALSE)),"")</f>
        <v>JOSE YECID PAJOY CASTRO</v>
      </c>
      <c r="L301" s="11" t="str">
        <f>IFERROR(IF(VLOOKUP(A301,[3]PRIORIZADOS!$A:$L,12,FALSE)="","",VLOOKUP(A301,[3]PRIORIZADOS!$A:$L,12,FALSE)),"")</f>
        <v>JULIÁN FELIPE BERNAL GARZÓN</v>
      </c>
      <c r="M301" s="71">
        <f>IFERROR(IF(VLOOKUP(A301,[3]PRIORIZADOS!$A:$M,13,FALSE)="","",VLOOKUP(A301,[3]PRIORIZADOS!$A:$M,13,FALSE)),"")</f>
        <v>45790</v>
      </c>
      <c r="N301" s="71">
        <f>IFERROR(IF(VLOOKUP(A301,[3]PRIORIZADOS!$A:$N,14,FALSE)="","",VLOOKUP(A301,[3]PRIORIZADOS!$A:$N,14,FALSE)),"")</f>
        <v>45790</v>
      </c>
      <c r="O301" s="71">
        <f>IFERROR(IF(VLOOKUP(A301,[3]PRIORIZADOS!$A:$O,15,FALSE)="","",VLOOKUP(A301,[3]PRIORIZADOS!$A:$O,15,FALSE)),"")</f>
        <v>45790</v>
      </c>
      <c r="P301" s="11" t="str">
        <f>IFERROR(IF(VLOOKUP(A301,[3]PRIORIZADOS!$A:$P,16,FALSE)="","",VLOOKUP(A301,[3]PRIORIZADOS!$A:$P,16,FALSE)),"")</f>
        <v>Visitas de evaluación con fines de mejoramiento</v>
      </c>
      <c r="Q301" s="122" t="s">
        <v>63</v>
      </c>
      <c r="R301" s="11" t="str">
        <f>IFERROR(IF(VLOOKUP(A301,[3]PRIORIZADOS!$A:$R,18,FALSE)="","",VLOOKUP(A301,[3]PRIORIZADOS!$A:$R,18,FALSE)),"")</f>
        <v>Se revisa el Sistema Institucional de Evaluación de Estudiantes - SIEE y no se encuentra incorporado en el Manual de Convivencia y requiete algunos ajustes en su contenido.</v>
      </c>
      <c r="S301" s="11" t="str">
        <f>IFERROR(IF(VLOOKUP(A301,[3]PRIORIZADOS!$A:$S,19,FALSE)="","",VLOOKUP(A301,[3]PRIORIZADOS!$A:$S,19,FALSE)),"")</f>
        <v>Remitir la versión actualizada del Sistema Institucional de Evaluación de Estudiantes - SIEE, en articulación con la actualización del PEI y la normatividad vigente.</v>
      </c>
      <c r="T301" s="70" t="str">
        <f>IFERROR(IF(VLOOKUP(A301,[3]PRIORIZADOS!$A:$T,20,FALSE)="","",VLOOKUP(A301,[3]PRIORIZADOS!$A:$T,20,FALSE)),"")</f>
        <v>Si</v>
      </c>
      <c r="U301" s="11" t="str">
        <f>IFERROR(IF(VLOOKUP(A301,[3]PRIORIZADOS!$A:$U,21,FALSE)="","",VLOOKUP(A301,[3]PRIORIZADOS!$A:$U,21,FALSE)),"")</f>
        <v>Revisar el Sistema Institucional de Evaluación de Estudiantes - SIEE actualizado en 2025 y retroalimentar a la IE.</v>
      </c>
    </row>
    <row r="302" spans="1:21" s="1" customFormat="1" ht="48">
      <c r="A302" s="69">
        <f>IF([3]PRIORIZADOS!A113="","",[3]PRIORIZADOS!A113)</f>
        <v>308</v>
      </c>
      <c r="B302" s="70">
        <f>IFERROR(IF(VLOOKUP(A302,[3]PRIORIZADOS!$A:$B,2,FALSE)="","",VLOOKUP(A302,[3]PRIORIZADOS!$A:$B,2,FALSE)),"")</f>
        <v>12</v>
      </c>
      <c r="C302" s="11" t="str">
        <f>IFERROR(IF(VLOOKUP(A302,[3]PRIORIZADOS!$A:$C,3,FALSE)="","",VLOOKUP(A302,[3]PRIORIZADOS!$A:$C,3,FALSE)),"")</f>
        <v>BOSA</v>
      </c>
      <c r="D302" s="11" t="str">
        <f>IFERROR(IF(VLOOKUP(A302,[3]PRIORIZADOS!$A:$D,4,FALSE)="","",VLOOKUP(A302,[3]PRIORIZADOS!$A:$D,4,FALSE)),"")</f>
        <v>PRIVADO</v>
      </c>
      <c r="E302" s="11" t="str">
        <f>IFERROR(IF(VLOOKUP(A302,[3]PRIORIZADOS!$A:$E,5,FALSE)="","",VLOOKUP(A302,[3]PRIORIZADOS!$A:$E,5,FALSE)),"")</f>
        <v>EPBM</v>
      </c>
      <c r="F302" s="11" t="str">
        <f>IFERROR(IF(VLOOKUP(A302,[3]PRIORIZADOS!$A:$F,6,FALSE)="","",VLOOKUP(A302,[3]PRIORIZADOS!$A:$F,6,FALSE)),"")</f>
        <v>LICEO_CENTRAL_AMERICAS</v>
      </c>
      <c r="G302" s="11" t="str">
        <f>IFERROR(IF(VLOOKUP(A302,[3]PRIORIZADOS!$A:$G,7,FALSE)="","",VLOOKUP(A302,[3]PRIORIZADOS!$A:$G,7,FALSE)),"")</f>
        <v>LICEO CENTRAL AMERICAS</v>
      </c>
      <c r="H302" s="11" t="str">
        <f>IFERROR(IF(VLOOKUP(A302,[3]PRIORIZADOS!$A:$H,8,FALSE)="","",VLOOKUP(A302,[3]PRIORIZADOS!$A:$H,8,FALSE)),"")</f>
        <v>Autoevaluación Institucional y Pruebas SABER 11</v>
      </c>
      <c r="I302" s="11" t="str">
        <f>IFERROR(IF(VLOOKUP(A302,[3]PRIORIZADOS!$A:$I,9,FALSE)="","",VLOOKUP(A302,[3]PRIORIZADOS!$A:$I,9,FALSE)),"")</f>
        <v>EVALUACIÓN_CON_FINES_DE_MEJORAMIENTO.</v>
      </c>
      <c r="J302" s="11" t="str">
        <f>IFERROR(IF(VLOOKUP(A302,[3]PRIORIZADOS!$A:$J,10,FALSE)="","",VLOOKUP(A302,[3]PRIORIZADOS!$A:$J,10,FALSE)),"")</f>
        <v>Revisar el calendario escolar, jornada escolar, la intensidad horaria mínima anual en cada nivel y las modificaciones que se realicen al mismo, de acuerdo con lo previsto en la normatividad vigente.</v>
      </c>
      <c r="K302" s="11" t="str">
        <f>IFERROR(IF(VLOOKUP(A302,[3]PRIORIZADOS!$A:$K,11,FALSE)="","",VLOOKUP(A302,[3]PRIORIZADOS!$A:$K,11,FALSE)),"")</f>
        <v>JOSE YECID PAJOY CASTRO</v>
      </c>
      <c r="L302" s="11" t="str">
        <f>IFERROR(IF(VLOOKUP(A302,[3]PRIORIZADOS!$A:$L,12,FALSE)="","",VLOOKUP(A302,[3]PRIORIZADOS!$A:$L,12,FALSE)),"")</f>
        <v>JULIÁN FELIPE BERNAL GARZÓN</v>
      </c>
      <c r="M302" s="71">
        <f>IFERROR(IF(VLOOKUP(A302,[3]PRIORIZADOS!$A:$M,13,FALSE)="","",VLOOKUP(A302,[3]PRIORIZADOS!$A:$M,13,FALSE)),"")</f>
        <v>45790</v>
      </c>
      <c r="N302" s="71">
        <f>IFERROR(IF(VLOOKUP(A302,[3]PRIORIZADOS!$A:$N,14,FALSE)="","",VLOOKUP(A302,[3]PRIORIZADOS!$A:$N,14,FALSE)),"")</f>
        <v>45790</v>
      </c>
      <c r="O302" s="71">
        <f>IFERROR(IF(VLOOKUP(A302,[3]PRIORIZADOS!$A:$O,15,FALSE)="","",VLOOKUP(A302,[3]PRIORIZADOS!$A:$O,15,FALSE)),"")</f>
        <v>45790</v>
      </c>
      <c r="P302" s="11" t="str">
        <f>IFERROR(IF(VLOOKUP(A302,[3]PRIORIZADOS!$A:$P,16,FALSE)="","",VLOOKUP(A302,[3]PRIORIZADOS!$A:$P,16,FALSE)),"")</f>
        <v>Visitas de evaluación con fines de mejoramiento</v>
      </c>
      <c r="Q302" s="122" t="s">
        <v>63</v>
      </c>
      <c r="R302" s="11" t="str">
        <f>IFERROR(IF(VLOOKUP(A302,[3]PRIORIZADOS!$A:$R,18,FALSE)="","",VLOOKUP(A302,[3]PRIORIZADOS!$A:$R,18,FALSE)),"")</f>
        <v>El calendario escolar, jornada escolar, la intensidad horaria mínima anual en cada nivel se encuentran conforme lo previsto en la normatividad vigente</v>
      </c>
      <c r="S302" s="11" t="str">
        <f>IFERROR(IF(VLOOKUP(A302,[3]PRIORIZADOS!$A:$S,19,FALSE)="","",VLOOKUP(A302,[3]PRIORIZADOS!$A:$S,19,FALSE)),"")</f>
        <v>Como acción de verificación la Institución Educativa se compromete a remitir la versión actualizada calendario escolar</v>
      </c>
      <c r="T302" s="70" t="str">
        <f>IFERROR(IF(VLOOKUP(A302,[3]PRIORIZADOS!$A:$T,20,FALSE)="","",VLOOKUP(A302,[3]PRIORIZADOS!$A:$T,20,FALSE)),"")</f>
        <v>No</v>
      </c>
      <c r="U302" s="11" t="str">
        <f>IFERROR(IF(VLOOKUP(A302,[3]PRIORIZADOS!$A:$U,21,FALSE)="","",VLOOKUP(A302,[3]PRIORIZADOS!$A:$U,21,FALSE)),"")</f>
        <v>Verificar nuevamente el documento en el mes de agosto de 2025 y generar espacios de asesoría, conforme lo requiera la IE</v>
      </c>
    </row>
    <row r="303" spans="1:21" s="1" customFormat="1" ht="48">
      <c r="A303" s="69">
        <f>IF([3]PRIORIZADOS!A114="","",[3]PRIORIZADOS!A114)</f>
        <v>309</v>
      </c>
      <c r="B303" s="70">
        <f>IFERROR(IF(VLOOKUP(A303,[3]PRIORIZADOS!$A:$B,2,FALSE)="","",VLOOKUP(A303,[3]PRIORIZADOS!$A:$B,2,FALSE)),"")</f>
        <v>12</v>
      </c>
      <c r="C303" s="11" t="str">
        <f>IFERROR(IF(VLOOKUP(A303,[3]PRIORIZADOS!$A:$C,3,FALSE)="","",VLOOKUP(A303,[3]PRIORIZADOS!$A:$C,3,FALSE)),"")</f>
        <v>BOSA</v>
      </c>
      <c r="D303" s="11" t="str">
        <f>IFERROR(IF(VLOOKUP(A303,[3]PRIORIZADOS!$A:$D,4,FALSE)="","",VLOOKUP(A303,[3]PRIORIZADOS!$A:$D,4,FALSE)),"")</f>
        <v>PRIVADO</v>
      </c>
      <c r="E303" s="11" t="str">
        <f>IFERROR(IF(VLOOKUP(A303,[3]PRIORIZADOS!$A:$E,5,FALSE)="","",VLOOKUP(A303,[3]PRIORIZADOS!$A:$E,5,FALSE)),"")</f>
        <v>EPBM</v>
      </c>
      <c r="F303" s="11" t="str">
        <f>IFERROR(IF(VLOOKUP(A303,[3]PRIORIZADOS!$A:$F,6,FALSE)="","",VLOOKUP(A303,[3]PRIORIZADOS!$A:$F,6,FALSE)),"")</f>
        <v>LICEO_CENTRAL_AMERICAS</v>
      </c>
      <c r="G303" s="11" t="str">
        <f>IFERROR(IF(VLOOKUP(A303,[3]PRIORIZADOS!$A:$G,7,FALSE)="","",VLOOKUP(A303,[3]PRIORIZADOS!$A:$G,7,FALSE)),"")</f>
        <v>LICEO CENTRAL AMERICAS</v>
      </c>
      <c r="H303" s="11" t="str">
        <f>IFERROR(IF(VLOOKUP(A303,[3]PRIORIZADOS!$A:$H,8,FALSE)="","",VLOOKUP(A303,[3]PRIORIZADOS!$A:$H,8,FALSE)),"")</f>
        <v>Autoevaluación Institucional y Pruebas SABER 11</v>
      </c>
      <c r="I303" s="11" t="str">
        <f>IFERROR(IF(VLOOKUP(A303,[3]PRIORIZADOS!$A:$I,9,FALSE)="","",VLOOKUP(A303,[3]PRIORIZADOS!$A:$I,9,FALSE)),"")</f>
        <v>EVALUACIÓN_CON_FINES_DE_MEJORAMIENTO.</v>
      </c>
      <c r="J303" s="11" t="str">
        <f>IFERROR(IF(VLOOKUP(A303,[3]PRIORIZADOS!$A:$J,10,FALSE)="","",VLOOKUP(A303,[3]PRIORIZADOS!$A:$J,10,FALSE)),"")</f>
        <v>Verificar el funcionamiento del Gobierno Escolar e instancias de participación con base en la información sobre conformación reportada por la institución educativa.</v>
      </c>
      <c r="K303" s="11" t="str">
        <f>IFERROR(IF(VLOOKUP(A303,[3]PRIORIZADOS!$A:$K,11,FALSE)="","",VLOOKUP(A303,[3]PRIORIZADOS!$A:$K,11,FALSE)),"")</f>
        <v>JOSE YECID PAJOY CASTRO</v>
      </c>
      <c r="L303" s="11" t="str">
        <f>IFERROR(IF(VLOOKUP(A303,[3]PRIORIZADOS!$A:$L,12,FALSE)="","",VLOOKUP(A303,[3]PRIORIZADOS!$A:$L,12,FALSE)),"")</f>
        <v>JULIÁN FELIPE BERNAL GARZÓN</v>
      </c>
      <c r="M303" s="71">
        <f>IFERROR(IF(VLOOKUP(A303,[3]PRIORIZADOS!$A:$M,13,FALSE)="","",VLOOKUP(A303,[3]PRIORIZADOS!$A:$M,13,FALSE)),"")</f>
        <v>45790</v>
      </c>
      <c r="N303" s="71">
        <f>IFERROR(IF(VLOOKUP(A303,[3]PRIORIZADOS!$A:$N,14,FALSE)="","",VLOOKUP(A303,[3]PRIORIZADOS!$A:$N,14,FALSE)),"")</f>
        <v>45790</v>
      </c>
      <c r="O303" s="71">
        <f>IFERROR(IF(VLOOKUP(A303,[3]PRIORIZADOS!$A:$O,15,FALSE)="","",VLOOKUP(A303,[3]PRIORIZADOS!$A:$O,15,FALSE)),"")</f>
        <v>45790</v>
      </c>
      <c r="P303" s="11" t="str">
        <f>IFERROR(IF(VLOOKUP(A303,[3]PRIORIZADOS!$A:$P,16,FALSE)="","",VLOOKUP(A303,[3]PRIORIZADOS!$A:$P,16,FALSE)),"")</f>
        <v>Visitas de evaluación con fines de mejoramiento</v>
      </c>
      <c r="Q303" s="122" t="s">
        <v>63</v>
      </c>
      <c r="R303" s="11" t="str">
        <f>IFERROR(IF(VLOOKUP(A303,[3]PRIORIZADOS!$A:$R,18,FALSE)="","",VLOOKUP(A303,[3]PRIORIZADOS!$A:$R,18,FALSE)),"")</f>
        <v>La constitución del Gobierno Escolar y sus órganos de participación, se encuentra conforme a la Normativa Vigente</v>
      </c>
      <c r="S303" s="11" t="str">
        <f>IFERROR(IF(VLOOKUP(A303,[3]PRIORIZADOS!$A:$S,19,FALSE)="","",VLOOKUP(A303,[3]PRIORIZADOS!$A:$S,19,FALSE)),"")</f>
        <v>Continuar operando conforme funciones y reglamentos.</v>
      </c>
      <c r="T303" s="70" t="str">
        <f>IFERROR(IF(VLOOKUP(A303,[3]PRIORIZADOS!$A:$T,20,FALSE)="","",VLOOKUP(A303,[3]PRIORIZADOS!$A:$T,20,FALSE)),"")</f>
        <v>No</v>
      </c>
      <c r="U303" s="11" t="str">
        <f>IFERROR(IF(VLOOKUP(A303,[3]PRIORIZADOS!$A:$U,21,FALSE)="","",VLOOKUP(A303,[3]PRIORIZADOS!$A:$U,21,FALSE)),"")</f>
        <v>Verificar la conformación del Gobierno Escolar e instancias para la vigencia 2026 o antes si la IE lo requiere o se presenta solicitud o queja.</v>
      </c>
    </row>
    <row r="304" spans="1:21" s="1" customFormat="1" ht="60">
      <c r="A304" s="69">
        <f>IF([3]PRIORIZADOS!A115="","",[3]PRIORIZADOS!A115)</f>
        <v>310</v>
      </c>
      <c r="B304" s="70">
        <f>IFERROR(IF(VLOOKUP(A304,[3]PRIORIZADOS!$A:$B,2,FALSE)="","",VLOOKUP(A304,[3]PRIORIZADOS!$A:$B,2,FALSE)),"")</f>
        <v>12</v>
      </c>
      <c r="C304" s="11" t="str">
        <f>IFERROR(IF(VLOOKUP(A304,[3]PRIORIZADOS!$A:$C,3,FALSE)="","",VLOOKUP(A304,[3]PRIORIZADOS!$A:$C,3,FALSE)),"")</f>
        <v>BOSA</v>
      </c>
      <c r="D304" s="11" t="str">
        <f>IFERROR(IF(VLOOKUP(A304,[3]PRIORIZADOS!$A:$D,4,FALSE)="","",VLOOKUP(A304,[3]PRIORIZADOS!$A:$D,4,FALSE)),"")</f>
        <v>PRIVADO</v>
      </c>
      <c r="E304" s="11" t="str">
        <f>IFERROR(IF(VLOOKUP(A304,[3]PRIORIZADOS!$A:$E,5,FALSE)="","",VLOOKUP(A304,[3]PRIORIZADOS!$A:$E,5,FALSE)),"")</f>
        <v>EPBM</v>
      </c>
      <c r="F304" s="11" t="str">
        <f>IFERROR(IF(VLOOKUP(A304,[3]PRIORIZADOS!$A:$F,6,FALSE)="","",VLOOKUP(A304,[3]PRIORIZADOS!$A:$F,6,FALSE)),"")</f>
        <v>LICEO_CENTRAL_AMERICAS</v>
      </c>
      <c r="G304" s="11" t="str">
        <f>IFERROR(IF(VLOOKUP(A304,[3]PRIORIZADOS!$A:$G,7,FALSE)="","",VLOOKUP(A304,[3]PRIORIZADOS!$A:$G,7,FALSE)),"")</f>
        <v>LICEO CENTRAL AMERICAS</v>
      </c>
      <c r="H304" s="11" t="str">
        <f>IFERROR(IF(VLOOKUP(A304,[3]PRIORIZADOS!$A:$H,8,FALSE)="","",VLOOKUP(A304,[3]PRIORIZADOS!$A:$H,8,FALSE)),"")</f>
        <v>Autoevaluación Institucional y Pruebas SABER 11</v>
      </c>
      <c r="I304" s="11" t="str">
        <f>IFERROR(IF(VLOOKUP(A304,[3]PRIORIZADOS!$A:$I,9,FALSE)="","",VLOOKUP(A304,[3]PRIORIZADOS!$A:$I,9,FALSE)),"")</f>
        <v>EVALUACIÓN_CON_FINES_DE_MEJORAMIENTO.</v>
      </c>
      <c r="J304" s="11" t="str">
        <f>IFERROR(IF(VLOOKUP(A304,[3]PRIORIZADOS!$A:$J,10,FALSE)="","",VLOOKUP(A304,[3]PRIORIZADOS!$A:$J,10,FALSE)),"")</f>
        <v>Verificar las condiciones en cuanto a: la estructura administrativa, condiciones de la planta física y medios educativos adecuados.</v>
      </c>
      <c r="K304" s="11" t="str">
        <f>IFERROR(IF(VLOOKUP(A304,[3]PRIORIZADOS!$A:$K,11,FALSE)="","",VLOOKUP(A304,[3]PRIORIZADOS!$A:$K,11,FALSE)),"")</f>
        <v>JOSE YECID PAJOY CASTRO</v>
      </c>
      <c r="L304" s="11" t="str">
        <f>IFERROR(IF(VLOOKUP(A304,[3]PRIORIZADOS!$A:$L,12,FALSE)="","",VLOOKUP(A304,[3]PRIORIZADOS!$A:$L,12,FALSE)),"")</f>
        <v>JULIÁN FELIPE BERNAL GARZÓN</v>
      </c>
      <c r="M304" s="71">
        <f>IFERROR(IF(VLOOKUP(A304,[3]PRIORIZADOS!$A:$M,13,FALSE)="","",VLOOKUP(A304,[3]PRIORIZADOS!$A:$M,13,FALSE)),"")</f>
        <v>45790</v>
      </c>
      <c r="N304" s="71">
        <f>IFERROR(IF(VLOOKUP(A304,[3]PRIORIZADOS!$A:$N,14,FALSE)="","",VLOOKUP(A304,[3]PRIORIZADOS!$A:$N,14,FALSE)),"")</f>
        <v>45790</v>
      </c>
      <c r="O304" s="71">
        <f>IFERROR(IF(VLOOKUP(A304,[3]PRIORIZADOS!$A:$O,15,FALSE)="","",VLOOKUP(A304,[3]PRIORIZADOS!$A:$O,15,FALSE)),"")</f>
        <v>45790</v>
      </c>
      <c r="P304" s="11" t="str">
        <f>IFERROR(IF(VLOOKUP(A304,[3]PRIORIZADOS!$A:$P,16,FALSE)="","",VLOOKUP(A304,[3]PRIORIZADOS!$A:$P,16,FALSE)),"")</f>
        <v>Visitas de evaluación con fines de mejoramiento</v>
      </c>
      <c r="Q304" s="122" t="s">
        <v>63</v>
      </c>
      <c r="R304" s="11" t="str">
        <f>IFERROR(IF(VLOOKUP(A304,[3]PRIORIZADOS!$A:$R,18,FALSE)="","",VLOOKUP(A304,[3]PRIORIZADOS!$A:$R,18,FALSE)),"")</f>
        <v>Se realiza un recorrido en las instalaciones de la IE y se evidencia falta de mantenimiento en las Instalaciones y se debe verificar el proceso de ambientes compartidos de la SED</v>
      </c>
      <c r="S304" s="11" t="str">
        <f>IFERROR(IF(VLOOKUP(A304,[3]PRIORIZADOS!$A:$S,19,FALSE)="","",VLOOKUP(A304,[3]PRIORIZADOS!$A:$S,19,FALSE)),"")</f>
        <v>Se recomienda actualizar el mobiliario más antiguo y se debe verificar el proceso de ambientes compartidos de la SED</v>
      </c>
      <c r="T304" s="70" t="str">
        <f>IFERROR(IF(VLOOKUP(A304,[3]PRIORIZADOS!$A:$T,20,FALSE)="","",VLOOKUP(A304,[3]PRIORIZADOS!$A:$T,20,FALSE)),"")</f>
        <v>No</v>
      </c>
      <c r="U304" s="11" t="str">
        <f>IFERROR(IF(VLOOKUP(A304,[3]PRIORIZADOS!$A:$U,21,FALSE)="","",VLOOKUP(A304,[3]PRIORIZADOS!$A:$U,21,FALSE)),"")</f>
        <v>Las condiciones de la planta física garantizan la adecuada prestación del servicio educativo</v>
      </c>
    </row>
    <row r="305" spans="1:21" s="1" customFormat="1" ht="60">
      <c r="A305" s="69">
        <f>IF([3]PRIORIZADOS!A116="","",[3]PRIORIZADOS!A116)</f>
        <v>311</v>
      </c>
      <c r="B305" s="70">
        <f>IFERROR(IF(VLOOKUP(A305,[3]PRIORIZADOS!$A:$B,2,FALSE)="","",VLOOKUP(A305,[3]PRIORIZADOS!$A:$B,2,FALSE)),"")</f>
        <v>13</v>
      </c>
      <c r="C305" s="11" t="str">
        <f>IFERROR(IF(VLOOKUP(A305,[3]PRIORIZADOS!$A:$C,3,FALSE)="","",VLOOKUP(A305,[3]PRIORIZADOS!$A:$C,3,FALSE)),"")</f>
        <v>BOSA</v>
      </c>
      <c r="D305" s="11" t="str">
        <f>IFERROR(IF(VLOOKUP(A305,[3]PRIORIZADOS!$A:$D,4,FALSE)="","",VLOOKUP(A305,[3]PRIORIZADOS!$A:$D,4,FALSE)),"")</f>
        <v>PRIVADO</v>
      </c>
      <c r="E305" s="11" t="str">
        <f>IFERROR(IF(VLOOKUP(A305,[3]PRIORIZADOS!$A:$E,5,FALSE)="","",VLOOKUP(A305,[3]PRIORIZADOS!$A:$E,5,FALSE)),"")</f>
        <v>EPBM</v>
      </c>
      <c r="F305" s="11" t="str">
        <f>IFERROR(IF(VLOOKUP(A305,[3]PRIORIZADOS!$A:$F,6,FALSE)="","",VLOOKUP(A305,[3]PRIORIZADOS!$A:$F,6,FALSE)),"")</f>
        <v>LICEO_CIUDAD_CAPITAL</v>
      </c>
      <c r="G305" s="11" t="str">
        <f>IFERROR(IF(VLOOKUP(A305,[3]PRIORIZADOS!$A:$G,7,FALSE)="","",VLOOKUP(A305,[3]PRIORIZADOS!$A:$G,7,FALSE)),"")</f>
        <v>LICEO CIUDAD CAPITAL</v>
      </c>
      <c r="H305" s="11" t="str">
        <f>IFERROR(IF(VLOOKUP(A305,[3]PRIORIZADOS!$A:$H,8,FALSE)="","",VLOOKUP(A305,[3]PRIORIZADOS!$A:$H,8,FALSE)),"")</f>
        <v>Autoevaluación Institucional y Pruebas SABER 11</v>
      </c>
      <c r="I305" s="11" t="str">
        <f>IFERROR(IF(VLOOKUP(A305,[3]PRIORIZADOS!$A:$I,9,FALSE)="","",VLOOKUP(A305,[3]PRIORIZADOS!$A:$I,9,FALSE)),"")</f>
        <v>SEGUIMIENTO_Y_SUPERVISIÓN.</v>
      </c>
      <c r="J305" s="11" t="str">
        <f>IFERROR(IF(VLOOKUP(A305,[3]PRIORIZADOS!$A:$J,10,FALSE)="","",VLOOKUP(A305,[3]PRIORIZADOS!$A:$J,10,FALSE)),"")</f>
        <v>Realizar visitas para verificar la información registrada sobre la autoevaluación institucional en el aplicativo EVI, a los establecimientos de educación formal no oficial.</v>
      </c>
      <c r="K305" s="11" t="str">
        <f>IFERROR(IF(VLOOKUP(A305,[3]PRIORIZADOS!$A:$K,11,FALSE)="","",VLOOKUP(A305,[3]PRIORIZADOS!$A:$K,11,FALSE)),"")</f>
        <v>ANA ANDREA VARGAS GONZÁLEZ</v>
      </c>
      <c r="L305" s="11" t="str">
        <f>IFERROR(IF(VLOOKUP(A305,[3]PRIORIZADOS!$A:$L,12,FALSE)="","",VLOOKUP(A305,[3]PRIORIZADOS!$A:$L,12,FALSE)),"")</f>
        <v>JOSÉ ANTONIO PÁEZ FETECUA</v>
      </c>
      <c r="M305" s="71">
        <f>IFERROR(IF(VLOOKUP(A305,[3]PRIORIZADOS!$A:$M,13,FALSE)="","",VLOOKUP(A305,[3]PRIORIZADOS!$A:$M,13,FALSE)),"")</f>
        <v>45792</v>
      </c>
      <c r="N305" s="71">
        <f>IFERROR(IF(VLOOKUP(A305,[3]PRIORIZADOS!$A:$N,14,FALSE)="","",VLOOKUP(A305,[3]PRIORIZADOS!$A:$N,14,FALSE)),"")</f>
        <v>45792</v>
      </c>
      <c r="O305" s="71">
        <f>IFERROR(IF(VLOOKUP(A305,[3]PRIORIZADOS!$A:$O,15,FALSE)="","",VLOOKUP(A305,[3]PRIORIZADOS!$A:$O,15,FALSE)),"")</f>
        <v>45792</v>
      </c>
      <c r="P305" s="11" t="str">
        <f>IFERROR(IF(VLOOKUP(A305,[3]PRIORIZADOS!$A:$P,16,FALSE)="","",VLOOKUP(A305,[3]PRIORIZADOS!$A:$P,16,FALSE)),"")</f>
        <v>Visitas de evaluación con fines de mejoramiento</v>
      </c>
      <c r="Q305" s="122" t="s">
        <v>64</v>
      </c>
      <c r="R305" s="11" t="str">
        <f>IFERROR(IF(VLOOKUP(A305,[3]PRIORIZADOS!$A:$R,18,FALSE)="","",VLOOKUP(A305,[3]PRIORIZADOS!$A:$R,18,FALSE)),"")</f>
        <v>La información consignada en la Plataforma EVI relacionada con los indicadores de: planta física, dotación de espacios y calendario académico coincide con lo verificado en campo</v>
      </c>
      <c r="S305" s="11" t="str">
        <f>IFERROR(IF(VLOOKUP(A305,[3]PRIORIZADOS!$A:$S,19,FALSE)="","",VLOOKUP(A305,[3]PRIORIZADOS!$A:$S,19,FALSE)),"")</f>
        <v xml:space="preserve">Se concluye que la IE realizará su autoevalución institucional en el mes octubre.  </v>
      </c>
      <c r="T305" s="70" t="str">
        <f>IFERROR(IF(VLOOKUP(A305,[3]PRIORIZADOS!$A:$T,20,FALSE)="","",VLOOKUP(A305,[3]PRIORIZADOS!$A:$T,20,FALSE)),"")</f>
        <v>No</v>
      </c>
      <c r="U305" s="11" t="str">
        <f>IFERROR(IF(VLOOKUP(A305,[3]PRIORIZADOS!$A:$U,21,FALSE)="","",VLOOKUP(A305,[3]PRIORIZADOS!$A:$U,21,FALSE)),"")</f>
        <v>Se verificará la información cargada por la IE en el aplicativo EVI de la autoevaluación,  para la emisión del concepto de tarifas 2026</v>
      </c>
    </row>
    <row r="306" spans="1:21" s="1" customFormat="1" ht="60">
      <c r="A306" s="69">
        <f>IF([3]PRIORIZADOS!A117="","",[3]PRIORIZADOS!A117)</f>
        <v>312</v>
      </c>
      <c r="B306" s="70">
        <f>IFERROR(IF(VLOOKUP(A306,[3]PRIORIZADOS!$A:$B,2,FALSE)="","",VLOOKUP(A306,[3]PRIORIZADOS!$A:$B,2,FALSE)),"")</f>
        <v>13</v>
      </c>
      <c r="C306" s="11" t="str">
        <f>IFERROR(IF(VLOOKUP(A306,[3]PRIORIZADOS!$A:$C,3,FALSE)="","",VLOOKUP(A306,[3]PRIORIZADOS!$A:$C,3,FALSE)),"")</f>
        <v>BOSA</v>
      </c>
      <c r="D306" s="11" t="str">
        <f>IFERROR(IF(VLOOKUP(A306,[3]PRIORIZADOS!$A:$D,4,FALSE)="","",VLOOKUP(A306,[3]PRIORIZADOS!$A:$D,4,FALSE)),"")</f>
        <v>PRIVADO</v>
      </c>
      <c r="E306" s="11" t="str">
        <f>IFERROR(IF(VLOOKUP(A306,[3]PRIORIZADOS!$A:$E,5,FALSE)="","",VLOOKUP(A306,[3]PRIORIZADOS!$A:$E,5,FALSE)),"")</f>
        <v>EPBM</v>
      </c>
      <c r="F306" s="11" t="str">
        <f>IFERROR(IF(VLOOKUP(A306,[3]PRIORIZADOS!$A:$F,6,FALSE)="","",VLOOKUP(A306,[3]PRIORIZADOS!$A:$F,6,FALSE)),"")</f>
        <v>LICEO_CIUDAD_CAPITAL</v>
      </c>
      <c r="G306" s="11" t="str">
        <f>IFERROR(IF(VLOOKUP(A306,[3]PRIORIZADOS!$A:$G,7,FALSE)="","",VLOOKUP(A306,[3]PRIORIZADOS!$A:$G,7,FALSE)),"")</f>
        <v>LICEO CIUDAD CAPITAL</v>
      </c>
      <c r="H306" s="11" t="str">
        <f>IFERROR(IF(VLOOKUP(A306,[3]PRIORIZADOS!$A:$H,8,FALSE)="","",VLOOKUP(A306,[3]PRIORIZADOS!$A:$H,8,FALSE)),"")</f>
        <v>Autoevaluación Institucional y Pruebas SABER 11</v>
      </c>
      <c r="I306" s="11" t="str">
        <f>IFERROR(IF(VLOOKUP(A306,[3]PRIORIZADOS!$A:$I,9,FALSE)="","",VLOOKUP(A306,[3]PRIORIZADOS!$A:$I,9,FALSE)),"")</f>
        <v>SEGUIMIENTO_Y_SUPERVISIÓN.</v>
      </c>
      <c r="J306" s="11" t="str">
        <f>IFERROR(IF(VLOOKUP(A306,[3]PRIORIZADOS!$A:$J,10,FALSE)="","",VLOOKUP(A306,[3]PRIORIZADOS!$A:$J,10,FALSE)),"")</f>
        <v>Proponer estrategias en la formulación, verificar su elaboración y realizar seguimiento semestral al desarrollo de  las acciones establecidas en los planes de mejoramiento por pruebas SABER 11 de los establecimientos de educación formal.</v>
      </c>
      <c r="K306" s="11" t="str">
        <f>IFERROR(IF(VLOOKUP(A306,[3]PRIORIZADOS!$A:$K,11,FALSE)="","",VLOOKUP(A306,[3]PRIORIZADOS!$A:$K,11,FALSE)),"")</f>
        <v>ANA ANDREA VARGAS GONZÁLEZ</v>
      </c>
      <c r="L306" s="11" t="str">
        <f>IFERROR(IF(VLOOKUP(A306,[3]PRIORIZADOS!$A:$L,12,FALSE)="","",VLOOKUP(A306,[3]PRIORIZADOS!$A:$L,12,FALSE)),"")</f>
        <v>JOSÉ ANTONIO PÁEZ FETECUA</v>
      </c>
      <c r="M306" s="71">
        <f>IFERROR(IF(VLOOKUP(A306,[3]PRIORIZADOS!$A:$M,13,FALSE)="","",VLOOKUP(A306,[3]PRIORIZADOS!$A:$M,13,FALSE)),"")</f>
        <v>45792</v>
      </c>
      <c r="N306" s="71">
        <f>IFERROR(IF(VLOOKUP(A306,[3]PRIORIZADOS!$A:$N,14,FALSE)="","",VLOOKUP(A306,[3]PRIORIZADOS!$A:$N,14,FALSE)),"")</f>
        <v>45792</v>
      </c>
      <c r="O306" s="71">
        <f>IFERROR(IF(VLOOKUP(A306,[3]PRIORIZADOS!$A:$O,15,FALSE)="","",VLOOKUP(A306,[3]PRIORIZADOS!$A:$O,15,FALSE)),"")</f>
        <v>45792</v>
      </c>
      <c r="P306" s="11" t="str">
        <f>IFERROR(IF(VLOOKUP(A306,[3]PRIORIZADOS!$A:$P,16,FALSE)="","",VLOOKUP(A306,[3]PRIORIZADOS!$A:$P,16,FALSE)),"")</f>
        <v>Visitas de evaluación con fines de seguimiento</v>
      </c>
      <c r="Q306" s="122" t="s">
        <v>64</v>
      </c>
      <c r="R306" s="11" t="str">
        <f>IFERROR(IF(VLOOKUP(A306,[3]PRIORIZADOS!$A:$R,18,FALSE)="","",VLOOKUP(A306,[3]PRIORIZADOS!$A:$R,18,FALSE)),"")</f>
        <v>Se adelanta la revisión de los Resultados de las Pruebas Saber 11, encontrando que la IE se encuentra en Categoría A</v>
      </c>
      <c r="S306" s="11" t="str">
        <f>IFERROR(IF(VLOOKUP(A306,[3]PRIORIZADOS!$A:$S,19,FALSE)="","",VLOOKUP(A306,[3]PRIORIZADOS!$A:$S,19,FALSE)),"")</f>
        <v>Se aporta documento que la Institución educativa que compara diferentes vigencias y la mejora anual hasta llegar a la categoría A en los resultados 2024</v>
      </c>
      <c r="T306" s="70" t="str">
        <f>IFERROR(IF(VLOOKUP(A306,[3]PRIORIZADOS!$A:$T,20,FALSE)="","",VLOOKUP(A306,[3]PRIORIZADOS!$A:$T,20,FALSE)),"")</f>
        <v>No</v>
      </c>
      <c r="U306" s="11" t="str">
        <f>IFERROR(IF(VLOOKUP(A306,[3]PRIORIZADOS!$A:$U,21,FALSE)="","",VLOOKUP(A306,[3]PRIORIZADOS!$A:$U,21,FALSE)),"")</f>
        <v>Se acordó revisar nuevamente el documento en el mes de agosto de 2025 y generar espacios de asesoría, conforme lo requiera la IE</v>
      </c>
    </row>
    <row r="307" spans="1:21" s="1" customFormat="1" ht="72">
      <c r="A307" s="69">
        <f>IF([3]PRIORIZADOS!A118="","",[3]PRIORIZADOS!A118)</f>
        <v>313</v>
      </c>
      <c r="B307" s="70">
        <f>IFERROR(IF(VLOOKUP(A307,[3]PRIORIZADOS!$A:$B,2,FALSE)="","",VLOOKUP(A307,[3]PRIORIZADOS!$A:$B,2,FALSE)),"")</f>
        <v>13</v>
      </c>
      <c r="C307" s="11" t="str">
        <f>IFERROR(IF(VLOOKUP(A307,[3]PRIORIZADOS!$A:$C,3,FALSE)="","",VLOOKUP(A307,[3]PRIORIZADOS!$A:$C,3,FALSE)),"")</f>
        <v>BOSA</v>
      </c>
      <c r="D307" s="11" t="str">
        <f>IFERROR(IF(VLOOKUP(A307,[3]PRIORIZADOS!$A:$D,4,FALSE)="","",VLOOKUP(A307,[3]PRIORIZADOS!$A:$D,4,FALSE)),"")</f>
        <v>PRIVADO</v>
      </c>
      <c r="E307" s="11" t="str">
        <f>IFERROR(IF(VLOOKUP(A307,[3]PRIORIZADOS!$A:$E,5,FALSE)="","",VLOOKUP(A307,[3]PRIORIZADOS!$A:$E,5,FALSE)),"")</f>
        <v>EPBM</v>
      </c>
      <c r="F307" s="11" t="str">
        <f>IFERROR(IF(VLOOKUP(A307,[3]PRIORIZADOS!$A:$F,6,FALSE)="","",VLOOKUP(A307,[3]PRIORIZADOS!$A:$F,6,FALSE)),"")</f>
        <v>LICEO_CIUDAD_CAPITAL</v>
      </c>
      <c r="G307" s="11" t="str">
        <f>IFERROR(IF(VLOOKUP(A307,[3]PRIORIZADOS!$A:$G,7,FALSE)="","",VLOOKUP(A307,[3]PRIORIZADOS!$A:$G,7,FALSE)),"")</f>
        <v>LICEO CIUDAD CAPITAL</v>
      </c>
      <c r="H307" s="11" t="str">
        <f>IFERROR(IF(VLOOKUP(A307,[3]PRIORIZADOS!$A:$H,8,FALSE)="","",VLOOKUP(A307,[3]PRIORIZADOS!$A:$H,8,FALSE)),"")</f>
        <v>Autoevaluación Institucional y Pruebas SABER 11</v>
      </c>
      <c r="I307" s="11" t="str">
        <f>IFERROR(IF(VLOOKUP(A307,[3]PRIORIZADOS!$A:$I,9,FALSE)="","",VLOOKUP(A307,[3]PRIORIZADOS!$A:$I,9,FALSE)),"")</f>
        <v>SEGUIMIENTO_Y_SUPERVISIÓN.</v>
      </c>
      <c r="J307" s="11" t="str">
        <f>IFERROR(IF(VLOOKUP(A307,[3]PRIORIZADOS!$A:$J,10,FALSE)="","",VLOOKUP(A307,[3]PRIORIZADOS!$A:$J,10,FALSE)),"")</f>
        <v xml:space="preserve">Verificar la implementación por parte de los colegios, de acciones realizadas para la prevención y atención de las situaciones de convivencia en el entorno escolar, según lo establecido en la Directiva 01 de 2022 del MEN. </v>
      </c>
      <c r="K307" s="11" t="str">
        <f>IFERROR(IF(VLOOKUP(A307,[3]PRIORIZADOS!$A:$K,11,FALSE)="","",VLOOKUP(A307,[3]PRIORIZADOS!$A:$K,11,FALSE)),"")</f>
        <v>ANA ANDREA VARGAS GONZÁLEZ</v>
      </c>
      <c r="L307" s="11" t="str">
        <f>IFERROR(IF(VLOOKUP(A307,[3]PRIORIZADOS!$A:$L,12,FALSE)="","",VLOOKUP(A307,[3]PRIORIZADOS!$A:$L,12,FALSE)),"")</f>
        <v>JOSÉ ANTONIO PÁEZ FETECUA</v>
      </c>
      <c r="M307" s="71">
        <f>IFERROR(IF(VLOOKUP(A307,[3]PRIORIZADOS!$A:$M,13,FALSE)="","",VLOOKUP(A307,[3]PRIORIZADOS!$A:$M,13,FALSE)),"")</f>
        <v>45792</v>
      </c>
      <c r="N307" s="71">
        <f>IFERROR(IF(VLOOKUP(A307,[3]PRIORIZADOS!$A:$N,14,FALSE)="","",VLOOKUP(A307,[3]PRIORIZADOS!$A:$N,14,FALSE)),"")</f>
        <v>45792</v>
      </c>
      <c r="O307" s="71">
        <f>IFERROR(IF(VLOOKUP(A307,[3]PRIORIZADOS!$A:$O,15,FALSE)="","",VLOOKUP(A307,[3]PRIORIZADOS!$A:$O,15,FALSE)),"")</f>
        <v>45792</v>
      </c>
      <c r="P307" s="11" t="str">
        <f>IFERROR(IF(VLOOKUP(A307,[3]PRIORIZADOS!$A:$P,16,FALSE)="","",VLOOKUP(A307,[3]PRIORIZADOS!$A:$P,16,FALSE)),"")</f>
        <v>Visitas de evaluación con fines de mejoramiento</v>
      </c>
      <c r="Q307" s="122" t="s">
        <v>64</v>
      </c>
      <c r="R307" s="11" t="str">
        <f>IFERROR(IF(VLOOKUP(A307,[3]PRIORIZADOS!$A:$R,18,FALSE)="","",VLOOKUP(A307,[3]PRIORIZADOS!$A:$R,18,FALSE)),"")</f>
        <v>Se verifica la implementación de acciones  realizadas para la prevención como lo es la verificación de inhabilidades por delitos sexuales en el sistema de la Policía Nacional.</v>
      </c>
      <c r="S307" s="11" t="str">
        <f>IFERROR(IF(VLOOKUP(A307,[3]PRIORIZADOS!$A:$S,19,FALSE)="","",VLOOKUP(A307,[3]PRIORIZADOS!$A:$S,19,FALSE)),"")</f>
        <v>Como acción de verificación se solicita implementar  la autorización de directivos, docentes y administrativos para las consultas de antecedentes en los sistemas que se requieran al momento de la vinculación</v>
      </c>
      <c r="T307" s="70" t="str">
        <f>IFERROR(IF(VLOOKUP(A307,[3]PRIORIZADOS!$A:$T,20,FALSE)="","",VLOOKUP(A307,[3]PRIORIZADOS!$A:$T,20,FALSE)),"")</f>
        <v>No</v>
      </c>
      <c r="U307" s="11" t="str">
        <f>IFERROR(IF(VLOOKUP(A307,[3]PRIORIZADOS!$A:$U,21,FALSE)="","",VLOOKUP(A307,[3]PRIORIZADOS!$A:$U,21,FALSE)),"")</f>
        <v>Verificar que la IE cuente con las respectivas autorizaciones para las consultas de antedecentes del personal vinculado.</v>
      </c>
    </row>
    <row r="308" spans="1:21" s="1" customFormat="1" ht="72">
      <c r="A308" s="69">
        <f>IF([3]PRIORIZADOS!A119="","",[3]PRIORIZADOS!A119)</f>
        <v>314</v>
      </c>
      <c r="B308" s="70">
        <f>IFERROR(IF(VLOOKUP(A308,[3]PRIORIZADOS!$A:$B,2,FALSE)="","",VLOOKUP(A308,[3]PRIORIZADOS!$A:$B,2,FALSE)),"")</f>
        <v>13</v>
      </c>
      <c r="C308" s="11" t="str">
        <f>IFERROR(IF(VLOOKUP(A308,[3]PRIORIZADOS!$A:$C,3,FALSE)="","",VLOOKUP(A308,[3]PRIORIZADOS!$A:$C,3,FALSE)),"")</f>
        <v>BOSA</v>
      </c>
      <c r="D308" s="11" t="str">
        <f>IFERROR(IF(VLOOKUP(A308,[3]PRIORIZADOS!$A:$D,4,FALSE)="","",VLOOKUP(A308,[3]PRIORIZADOS!$A:$D,4,FALSE)),"")</f>
        <v>PRIVADO</v>
      </c>
      <c r="E308" s="11" t="str">
        <f>IFERROR(IF(VLOOKUP(A308,[3]PRIORIZADOS!$A:$E,5,FALSE)="","",VLOOKUP(A308,[3]PRIORIZADOS!$A:$E,5,FALSE)),"")</f>
        <v>EPBM</v>
      </c>
      <c r="F308" s="11" t="str">
        <f>IFERROR(IF(VLOOKUP(A308,[3]PRIORIZADOS!$A:$F,6,FALSE)="","",VLOOKUP(A308,[3]PRIORIZADOS!$A:$F,6,FALSE)),"")</f>
        <v>LICEO_CIUDAD_CAPITAL</v>
      </c>
      <c r="G308" s="11" t="str">
        <f>IFERROR(IF(VLOOKUP(A308,[3]PRIORIZADOS!$A:$G,7,FALSE)="","",VLOOKUP(A308,[3]PRIORIZADOS!$A:$G,7,FALSE)),"")</f>
        <v>LICEO CIUDAD CAPITAL</v>
      </c>
      <c r="H308" s="11" t="str">
        <f>IFERROR(IF(VLOOKUP(A308,[3]PRIORIZADOS!$A:$H,8,FALSE)="","",VLOOKUP(A308,[3]PRIORIZADOS!$A:$H,8,FALSE)),"")</f>
        <v>Autoevaluación Institucional y Pruebas SABER 11</v>
      </c>
      <c r="I308" s="11" t="str">
        <f>IFERROR(IF(VLOOKUP(A308,[3]PRIORIZADOS!$A:$I,9,FALSE)="","",VLOOKUP(A308,[3]PRIORIZADOS!$A:$I,9,FALSE)),"")</f>
        <v>SEGUIMIENTO_Y_SUPERVISIÓN.</v>
      </c>
      <c r="J308" s="11" t="str">
        <f>IFERROR(IF(VLOOKUP(A308,[3]PRIORIZADOS!$A:$J,10,FALSE)="","",VLOOKUP(A308,[3]PRIORIZADOS!$A:$J,10,FALSE)),"")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08" s="11" t="str">
        <f>IFERROR(IF(VLOOKUP(A308,[3]PRIORIZADOS!$A:$K,11,FALSE)="","",VLOOKUP(A308,[3]PRIORIZADOS!$A:$K,11,FALSE)),"")</f>
        <v>ANA ANDREA VARGAS GONZÁLEZ</v>
      </c>
      <c r="L308" s="11" t="str">
        <f>IFERROR(IF(VLOOKUP(A308,[3]PRIORIZADOS!$A:$L,12,FALSE)="","",VLOOKUP(A308,[3]PRIORIZADOS!$A:$L,12,FALSE)),"")</f>
        <v>JOSÉ ANTONIO PÁEZ FETECUA</v>
      </c>
      <c r="M308" s="71">
        <f>IFERROR(IF(VLOOKUP(A308,[3]PRIORIZADOS!$A:$M,13,FALSE)="","",VLOOKUP(A308,[3]PRIORIZADOS!$A:$M,13,FALSE)),"")</f>
        <v>45792</v>
      </c>
      <c r="N308" s="71">
        <f>IFERROR(IF(VLOOKUP(A308,[3]PRIORIZADOS!$A:$N,14,FALSE)="","",VLOOKUP(A308,[3]PRIORIZADOS!$A:$N,14,FALSE)),"")</f>
        <v>45792</v>
      </c>
      <c r="O308" s="71">
        <f>IFERROR(IF(VLOOKUP(A308,[3]PRIORIZADOS!$A:$O,15,FALSE)="","",VLOOKUP(A308,[3]PRIORIZADOS!$A:$O,15,FALSE)),"")</f>
        <v>45792</v>
      </c>
      <c r="P308" s="11" t="str">
        <f>IFERROR(IF(VLOOKUP(A308,[3]PRIORIZADOS!$A:$P,16,FALSE)="","",VLOOKUP(A308,[3]PRIORIZADOS!$A:$P,16,FALSE)),"")</f>
        <v>Visitas de evaluación con fines de mejoramiento</v>
      </c>
      <c r="Q308" s="122" t="s">
        <v>64</v>
      </c>
      <c r="R308" s="11" t="str">
        <f>IFERROR(IF(VLOOKUP(A308,[3]PRIORIZADOS!$A:$R,18,FALSE)="","",VLOOKUP(A308,[3]PRIORIZADOS!$A:$R,18,FALSE)),"")</f>
        <v>Al revisar la Plataforma SIMAT, hay 15 estudiantes marcados en la Plataforma con discapacidad</v>
      </c>
      <c r="S308" s="11" t="str">
        <f>IFERROR(IF(VLOOKUP(A308,[3]PRIORIZADOS!$A:$S,19,FALSE)="","",VLOOKUP(A308,[3]PRIORIZADOS!$A:$S,19,FALSE)),"")</f>
        <v>La Institución Educativa se compromete a remitir el Documento Institucional del Plan Individual de Ajustes Razonables PIAR</v>
      </c>
      <c r="T308" s="70" t="str">
        <f>IFERROR(IF(VLOOKUP(A308,[3]PRIORIZADOS!$A:$T,20,FALSE)="","",VLOOKUP(A308,[3]PRIORIZADOS!$A:$T,20,FALSE)),"")</f>
        <v>No</v>
      </c>
      <c r="U308" s="11" t="str">
        <f>IFERROR(IF(VLOOKUP(A308,[3]PRIORIZADOS!$A:$U,21,FALSE)="","",VLOOKUP(A308,[3]PRIORIZADOS!$A:$U,21,FALSE)),"")</f>
        <v>Verificar la información en SIMAT</v>
      </c>
    </row>
    <row r="309" spans="1:21" s="1" customFormat="1" ht="84">
      <c r="A309" s="69">
        <f>IF([3]PRIORIZADOS!A120="","",[3]PRIORIZADOS!A120)</f>
        <v>315</v>
      </c>
      <c r="B309" s="70">
        <f>IFERROR(IF(VLOOKUP(A309,[3]PRIORIZADOS!$A:$B,2,FALSE)="","",VLOOKUP(A309,[3]PRIORIZADOS!$A:$B,2,FALSE)),"")</f>
        <v>13</v>
      </c>
      <c r="C309" s="11" t="str">
        <f>IFERROR(IF(VLOOKUP(A309,[3]PRIORIZADOS!$A:$C,3,FALSE)="","",VLOOKUP(A309,[3]PRIORIZADOS!$A:$C,3,FALSE)),"")</f>
        <v>BOSA</v>
      </c>
      <c r="D309" s="11" t="str">
        <f>IFERROR(IF(VLOOKUP(A309,[3]PRIORIZADOS!$A:$D,4,FALSE)="","",VLOOKUP(A309,[3]PRIORIZADOS!$A:$D,4,FALSE)),"")</f>
        <v>PRIVADO</v>
      </c>
      <c r="E309" s="11" t="str">
        <f>IFERROR(IF(VLOOKUP(A309,[3]PRIORIZADOS!$A:$E,5,FALSE)="","",VLOOKUP(A309,[3]PRIORIZADOS!$A:$E,5,FALSE)),"")</f>
        <v>EPBM</v>
      </c>
      <c r="F309" s="11" t="str">
        <f>IFERROR(IF(VLOOKUP(A309,[3]PRIORIZADOS!$A:$F,6,FALSE)="","",VLOOKUP(A309,[3]PRIORIZADOS!$A:$F,6,FALSE)),"")</f>
        <v>LICEO_CIUDAD_CAPITAL</v>
      </c>
      <c r="G309" s="11" t="str">
        <f>IFERROR(IF(VLOOKUP(A309,[3]PRIORIZADOS!$A:$G,7,FALSE)="","",VLOOKUP(A309,[3]PRIORIZADOS!$A:$G,7,FALSE)),"")</f>
        <v>LICEO CIUDAD CAPITAL</v>
      </c>
      <c r="H309" s="11" t="str">
        <f>IFERROR(IF(VLOOKUP(A309,[3]PRIORIZADOS!$A:$H,8,FALSE)="","",VLOOKUP(A309,[3]PRIORIZADOS!$A:$H,8,FALSE)),"")</f>
        <v>Autoevaluación Institucional y Pruebas SABER 11</v>
      </c>
      <c r="I309" s="11" t="str">
        <f>IFERROR(IF(VLOOKUP(A309,[3]PRIORIZADOS!$A:$I,9,FALSE)="","",VLOOKUP(A309,[3]PRIORIZADOS!$A:$I,9,FALSE)),"")</f>
        <v>EVALUACIÓN_CON_FINES_DE_MEJORAMIENTO.</v>
      </c>
      <c r="J309" s="11" t="str">
        <f>IFERROR(IF(VLOOKUP(A309,[3]PRIORIZADOS!$A:$J,10,FALSE)="","",VLOOKUP(A309,[3]PRIORIZADOS!$A:$J,10,FALSE)),"")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09" s="11" t="str">
        <f>IFERROR(IF(VLOOKUP(A309,[3]PRIORIZADOS!$A:$K,11,FALSE)="","",VLOOKUP(A309,[3]PRIORIZADOS!$A:$K,11,FALSE)),"")</f>
        <v>ANA ANDREA VARGAS GONZÁLEZ</v>
      </c>
      <c r="L309" s="11" t="str">
        <f>IFERROR(IF(VLOOKUP(A309,[3]PRIORIZADOS!$A:$L,12,FALSE)="","",VLOOKUP(A309,[3]PRIORIZADOS!$A:$L,12,FALSE)),"")</f>
        <v>JOSÉ ANTONIO PÁEZ FETECUA</v>
      </c>
      <c r="M309" s="71">
        <f>IFERROR(IF(VLOOKUP(A309,[3]PRIORIZADOS!$A:$M,13,FALSE)="","",VLOOKUP(A309,[3]PRIORIZADOS!$A:$M,13,FALSE)),"")</f>
        <v>45792</v>
      </c>
      <c r="N309" s="71">
        <f>IFERROR(IF(VLOOKUP(A309,[3]PRIORIZADOS!$A:$N,14,FALSE)="","",VLOOKUP(A309,[3]PRIORIZADOS!$A:$N,14,FALSE)),"")</f>
        <v>45792</v>
      </c>
      <c r="O309" s="71">
        <f>IFERROR(IF(VLOOKUP(A309,[3]PRIORIZADOS!$A:$O,15,FALSE)="","",VLOOKUP(A309,[3]PRIORIZADOS!$A:$O,15,FALSE)),"")</f>
        <v>45792</v>
      </c>
      <c r="P309" s="11" t="str">
        <f>IFERROR(IF(VLOOKUP(A309,[3]PRIORIZADOS!$A:$P,16,FALSE)="","",VLOOKUP(A309,[3]PRIORIZADOS!$A:$P,16,FALSE)),"")</f>
        <v>Visitas de evaluación con fines de mejoramiento</v>
      </c>
      <c r="Q309" s="122" t="s">
        <v>64</v>
      </c>
      <c r="R309" s="11" t="str">
        <f>IFERROR(IF(VLOOKUP(A309,[3]PRIORIZADOS!$A:$R,18,FALSE)="","",VLOOKUP(A309,[3]PRIORIZADOS!$A:$R,18,FALSE)),"")</f>
        <v>El Manual de Convivencia fue construido y adoptado de forma participativa e incluye los componentes generales, los diferentes enfoques y se encuentra conforme a lo establecido en el PEI y la normatividad vigente</v>
      </c>
      <c r="S309" s="11" t="str">
        <f>IFERROR(IF(VLOOKUP(A309,[3]PRIORIZADOS!$A:$S,19,FALSE)="","",VLOOKUP(A309,[3]PRIORIZADOS!$A:$S,19,FALSE)),"")</f>
        <v>Como acción de verificación la Institución Educativa se compromete a remitir la versión actualizada del Manual de Convivencia a la vigencia 2024 -2025</v>
      </c>
      <c r="T309" s="70" t="str">
        <f>IFERROR(IF(VLOOKUP(A309,[3]PRIORIZADOS!$A:$T,20,FALSE)="","",VLOOKUP(A309,[3]PRIORIZADOS!$A:$T,20,FALSE)),"")</f>
        <v>No</v>
      </c>
      <c r="U309" s="11" t="str">
        <f>IFERROR(IF(VLOOKUP(A309,[3]PRIORIZADOS!$A:$U,21,FALSE)="","",VLOOKUP(A309,[3]PRIORIZADOS!$A:$U,21,FALSE)),"")</f>
        <v>Verificar nuevamente el documento en el mes de agosto de 2025 y generar espacios de asesoría, conforme lo requiera la IE</v>
      </c>
    </row>
    <row r="310" spans="1:21" s="1" customFormat="1" ht="72">
      <c r="A310" s="69">
        <f>IF([3]PRIORIZADOS!A121="","",[3]PRIORIZADOS!A121)</f>
        <v>316</v>
      </c>
      <c r="B310" s="70">
        <f>IFERROR(IF(VLOOKUP(A310,[3]PRIORIZADOS!$A:$B,2,FALSE)="","",VLOOKUP(A310,[3]PRIORIZADOS!$A:$B,2,FALSE)),"")</f>
        <v>13</v>
      </c>
      <c r="C310" s="11" t="str">
        <f>IFERROR(IF(VLOOKUP(A310,[3]PRIORIZADOS!$A:$C,3,FALSE)="","",VLOOKUP(A310,[3]PRIORIZADOS!$A:$C,3,FALSE)),"")</f>
        <v>BOSA</v>
      </c>
      <c r="D310" s="11" t="str">
        <f>IFERROR(IF(VLOOKUP(A310,[3]PRIORIZADOS!$A:$D,4,FALSE)="","",VLOOKUP(A310,[3]PRIORIZADOS!$A:$D,4,FALSE)),"")</f>
        <v>PRIVADO</v>
      </c>
      <c r="E310" s="11" t="str">
        <f>IFERROR(IF(VLOOKUP(A310,[3]PRIORIZADOS!$A:$E,5,FALSE)="","",VLOOKUP(A310,[3]PRIORIZADOS!$A:$E,5,FALSE)),"")</f>
        <v>EPBM</v>
      </c>
      <c r="F310" s="11" t="str">
        <f>IFERROR(IF(VLOOKUP(A310,[3]PRIORIZADOS!$A:$F,6,FALSE)="","",VLOOKUP(A310,[3]PRIORIZADOS!$A:$F,6,FALSE)),"")</f>
        <v>LICEO_CIUDAD_CAPITAL</v>
      </c>
      <c r="G310" s="11" t="str">
        <f>IFERROR(IF(VLOOKUP(A310,[3]PRIORIZADOS!$A:$G,7,FALSE)="","",VLOOKUP(A310,[3]PRIORIZADOS!$A:$G,7,FALSE)),"")</f>
        <v>LICEO CIUDAD CAPITAL</v>
      </c>
      <c r="H310" s="11" t="str">
        <f>IFERROR(IF(VLOOKUP(A310,[3]PRIORIZADOS!$A:$H,8,FALSE)="","",VLOOKUP(A310,[3]PRIORIZADOS!$A:$H,8,FALSE)),"")</f>
        <v>Autoevaluación Institucional y Pruebas SABER 11</v>
      </c>
      <c r="I310" s="11" t="str">
        <f>IFERROR(IF(VLOOKUP(A310,[3]PRIORIZADOS!$A:$I,9,FALSE)="","",VLOOKUP(A310,[3]PRIORIZADOS!$A:$I,9,FALSE)),"")</f>
        <v>EVALUACIÓN_CON_FINES_DE_MEJORAMIENTO.</v>
      </c>
      <c r="J310" s="11" t="str">
        <f>IFERROR(IF(VLOOKUP(A310,[3]PRIORIZADOS!$A:$J,10,FALSE)="","",VLOOKUP(A310,[3]PRIORIZADOS!$A:$J,10,FALSE)),"")</f>
        <v>Revisar la actualización, socialización e implementación del Sistema Institucional de Evaluación de Estudiantes - SIEE, en articulación con la actualización del PEI y la normatividad vigente.</v>
      </c>
      <c r="K310" s="11" t="str">
        <f>IFERROR(IF(VLOOKUP(A310,[3]PRIORIZADOS!$A:$K,11,FALSE)="","",VLOOKUP(A310,[3]PRIORIZADOS!$A:$K,11,FALSE)),"")</f>
        <v>ANA ANDREA VARGAS GONZÁLEZ</v>
      </c>
      <c r="L310" s="11" t="str">
        <f>IFERROR(IF(VLOOKUP(A310,[3]PRIORIZADOS!$A:$L,12,FALSE)="","",VLOOKUP(A310,[3]PRIORIZADOS!$A:$L,12,FALSE)),"")</f>
        <v>JOSÉ ANTONIO PÁEZ FETECUA</v>
      </c>
      <c r="M310" s="71">
        <f>IFERROR(IF(VLOOKUP(A310,[3]PRIORIZADOS!$A:$M,13,FALSE)="","",VLOOKUP(A310,[3]PRIORIZADOS!$A:$M,13,FALSE)),"")</f>
        <v>45792</v>
      </c>
      <c r="N310" s="71">
        <f>IFERROR(IF(VLOOKUP(A310,[3]PRIORIZADOS!$A:$N,14,FALSE)="","",VLOOKUP(A310,[3]PRIORIZADOS!$A:$N,14,FALSE)),"")</f>
        <v>45792</v>
      </c>
      <c r="O310" s="71">
        <f>IFERROR(IF(VLOOKUP(A310,[3]PRIORIZADOS!$A:$O,15,FALSE)="","",VLOOKUP(A310,[3]PRIORIZADOS!$A:$O,15,FALSE)),"")</f>
        <v>45792</v>
      </c>
      <c r="P310" s="11" t="str">
        <f>IFERROR(IF(VLOOKUP(A310,[3]PRIORIZADOS!$A:$P,16,FALSE)="","",VLOOKUP(A310,[3]PRIORIZADOS!$A:$P,16,FALSE)),"")</f>
        <v>Visitas de evaluación con fines de mejoramiento</v>
      </c>
      <c r="Q310" s="122" t="s">
        <v>64</v>
      </c>
      <c r="R310" s="11" t="str">
        <f>IFERROR(IF(VLOOKUP(A310,[3]PRIORIZADOS!$A:$R,18,FALSE)="","",VLOOKUP(A310,[3]PRIORIZADOS!$A:$R,18,FALSE)),"")</f>
        <v>Se evidencia el Sistema Institucional de Evaluación de Estudiantes - SIEE, actualizado para la vigencia 2025. Fue construido en articulación con el Consejo Directivo y la comunidad educativa desde el año 2019 y se actualiza cada 2 años</v>
      </c>
      <c r="S310" s="11" t="str">
        <f>IFERROR(IF(VLOOKUP(A310,[3]PRIORIZADOS!$A:$S,19,FALSE)="","",VLOOKUP(A310,[3]PRIORIZADOS!$A:$S,19,FALSE)),"")</f>
        <v>Como acción de verificación la Institución Educativa se compromete a remitir la versión actualizada del  Sistema institucional de evaluación de los estudiantes- SIEE</v>
      </c>
      <c r="T310" s="70" t="str">
        <f>IFERROR(IF(VLOOKUP(A310,[3]PRIORIZADOS!$A:$T,20,FALSE)="","",VLOOKUP(A310,[3]PRIORIZADOS!$A:$T,20,FALSE)),"")</f>
        <v>No</v>
      </c>
      <c r="U310" s="11" t="str">
        <f>IFERROR(IF(VLOOKUP(A310,[3]PRIORIZADOS!$A:$U,21,FALSE)="","",VLOOKUP(A310,[3]PRIORIZADOS!$A:$U,21,FALSE)),"")</f>
        <v>Verificar nuevamente el documento en el mes de agosto de 2025 y generar espacios de asesoría, conforme lo requiera la IE</v>
      </c>
    </row>
    <row r="311" spans="1:21" s="1" customFormat="1" ht="48">
      <c r="A311" s="69">
        <f>IF([3]PRIORIZADOS!A122="","",[3]PRIORIZADOS!A122)</f>
        <v>317</v>
      </c>
      <c r="B311" s="70">
        <f>IFERROR(IF(VLOOKUP(A311,[3]PRIORIZADOS!$A:$B,2,FALSE)="","",VLOOKUP(A311,[3]PRIORIZADOS!$A:$B,2,FALSE)),"")</f>
        <v>13</v>
      </c>
      <c r="C311" s="11" t="str">
        <f>IFERROR(IF(VLOOKUP(A311,[3]PRIORIZADOS!$A:$C,3,FALSE)="","",VLOOKUP(A311,[3]PRIORIZADOS!$A:$C,3,FALSE)),"")</f>
        <v>BOSA</v>
      </c>
      <c r="D311" s="11" t="str">
        <f>IFERROR(IF(VLOOKUP(A311,[3]PRIORIZADOS!$A:$D,4,FALSE)="","",VLOOKUP(A311,[3]PRIORIZADOS!$A:$D,4,FALSE)),"")</f>
        <v>PRIVADO</v>
      </c>
      <c r="E311" s="11" t="str">
        <f>IFERROR(IF(VLOOKUP(A311,[3]PRIORIZADOS!$A:$E,5,FALSE)="","",VLOOKUP(A311,[3]PRIORIZADOS!$A:$E,5,FALSE)),"")</f>
        <v>EPBM</v>
      </c>
      <c r="F311" s="11" t="str">
        <f>IFERROR(IF(VLOOKUP(A311,[3]PRIORIZADOS!$A:$F,6,FALSE)="","",VLOOKUP(A311,[3]PRIORIZADOS!$A:$F,6,FALSE)),"")</f>
        <v>LICEO_CIUDAD_CAPITAL</v>
      </c>
      <c r="G311" s="11" t="str">
        <f>IFERROR(IF(VLOOKUP(A311,[3]PRIORIZADOS!$A:$G,7,FALSE)="","",VLOOKUP(A311,[3]PRIORIZADOS!$A:$G,7,FALSE)),"")</f>
        <v>LICEO CIUDAD CAPITAL</v>
      </c>
      <c r="H311" s="11" t="str">
        <f>IFERROR(IF(VLOOKUP(A311,[3]PRIORIZADOS!$A:$H,8,FALSE)="","",VLOOKUP(A311,[3]PRIORIZADOS!$A:$H,8,FALSE)),"")</f>
        <v>Autoevaluación Institucional y Pruebas SABER 11</v>
      </c>
      <c r="I311" s="11" t="str">
        <f>IFERROR(IF(VLOOKUP(A311,[3]PRIORIZADOS!$A:$I,9,FALSE)="","",VLOOKUP(A311,[3]PRIORIZADOS!$A:$I,9,FALSE)),"")</f>
        <v>EVALUACIÓN_CON_FINES_DE_MEJORAMIENTO.</v>
      </c>
      <c r="J311" s="11" t="str">
        <f>IFERROR(IF(VLOOKUP(A311,[3]PRIORIZADOS!$A:$J,10,FALSE)="","",VLOOKUP(A311,[3]PRIORIZADOS!$A:$J,10,FALSE)),"")</f>
        <v>Revisar el calendario escolar, jornada escolar, la intensidad horaria mínima anual en cada nivel y las modificaciones que se realicen al mismo, de acuerdo con lo previsto en la normatividad vigente.</v>
      </c>
      <c r="K311" s="11" t="str">
        <f>IFERROR(IF(VLOOKUP(A311,[3]PRIORIZADOS!$A:$K,11,FALSE)="","",VLOOKUP(A311,[3]PRIORIZADOS!$A:$K,11,FALSE)),"")</f>
        <v>ANA ANDREA VARGAS GONZÁLEZ</v>
      </c>
      <c r="L311" s="11" t="str">
        <f>IFERROR(IF(VLOOKUP(A311,[3]PRIORIZADOS!$A:$L,12,FALSE)="","",VLOOKUP(A311,[3]PRIORIZADOS!$A:$L,12,FALSE)),"")</f>
        <v>JOSÉ ANTONIO PÁEZ FETECUA</v>
      </c>
      <c r="M311" s="71">
        <f>IFERROR(IF(VLOOKUP(A311,[3]PRIORIZADOS!$A:$M,13,FALSE)="","",VLOOKUP(A311,[3]PRIORIZADOS!$A:$M,13,FALSE)),"")</f>
        <v>45792</v>
      </c>
      <c r="N311" s="71">
        <f>IFERROR(IF(VLOOKUP(A311,[3]PRIORIZADOS!$A:$N,14,FALSE)="","",VLOOKUP(A311,[3]PRIORIZADOS!$A:$N,14,FALSE)),"")</f>
        <v>45792</v>
      </c>
      <c r="O311" s="71">
        <f>IFERROR(IF(VLOOKUP(A311,[3]PRIORIZADOS!$A:$O,15,FALSE)="","",VLOOKUP(A311,[3]PRIORIZADOS!$A:$O,15,FALSE)),"")</f>
        <v>45792</v>
      </c>
      <c r="P311" s="11" t="str">
        <f>IFERROR(IF(VLOOKUP(A311,[3]PRIORIZADOS!$A:$P,16,FALSE)="","",VLOOKUP(A311,[3]PRIORIZADOS!$A:$P,16,FALSE)),"")</f>
        <v>Visitas de evaluación con fines de mejoramiento</v>
      </c>
      <c r="Q311" s="122" t="s">
        <v>64</v>
      </c>
      <c r="R311" s="11" t="str">
        <f>IFERROR(IF(VLOOKUP(A311,[3]PRIORIZADOS!$A:$R,18,FALSE)="","",VLOOKUP(A311,[3]PRIORIZADOS!$A:$R,18,FALSE)),"")</f>
        <v>El calendario escolar, jornada escolar, la intensidad horaria mínima anual en cada nivel se encuentran conforme lo previsto en la normatividad vigente</v>
      </c>
      <c r="S311" s="11" t="str">
        <f>IFERROR(IF(VLOOKUP(A311,[3]PRIORIZADOS!$A:$S,19,FALSE)="","",VLOOKUP(A311,[3]PRIORIZADOS!$A:$S,19,FALSE)),"")</f>
        <v>Como acción de verificación la Institución Educativa se compromete a remitir la versión actualizada calendario escolar</v>
      </c>
      <c r="T311" s="70" t="str">
        <f>IFERROR(IF(VLOOKUP(A311,[3]PRIORIZADOS!$A:$T,20,FALSE)="","",VLOOKUP(A311,[3]PRIORIZADOS!$A:$T,20,FALSE)),"")</f>
        <v>No</v>
      </c>
      <c r="U311" s="11" t="str">
        <f>IFERROR(IF(VLOOKUP(A311,[3]PRIORIZADOS!$A:$U,21,FALSE)="","",VLOOKUP(A311,[3]PRIORIZADOS!$A:$U,21,FALSE)),"")</f>
        <v>Verificar nuevamente el documento en el mes de agosto de 2025 y generar espacios de asesoría, conforme lo requiera la IE</v>
      </c>
    </row>
    <row r="312" spans="1:21" s="1" customFormat="1" ht="48">
      <c r="A312" s="69">
        <f>IF([3]PRIORIZADOS!A123="","",[3]PRIORIZADOS!A123)</f>
        <v>318</v>
      </c>
      <c r="B312" s="70">
        <f>IFERROR(IF(VLOOKUP(A312,[3]PRIORIZADOS!$A:$B,2,FALSE)="","",VLOOKUP(A312,[3]PRIORIZADOS!$A:$B,2,FALSE)),"")</f>
        <v>13</v>
      </c>
      <c r="C312" s="11" t="str">
        <f>IFERROR(IF(VLOOKUP(A312,[3]PRIORIZADOS!$A:$C,3,FALSE)="","",VLOOKUP(A312,[3]PRIORIZADOS!$A:$C,3,FALSE)),"")</f>
        <v>BOSA</v>
      </c>
      <c r="D312" s="11" t="str">
        <f>IFERROR(IF(VLOOKUP(A312,[3]PRIORIZADOS!$A:$D,4,FALSE)="","",VLOOKUP(A312,[3]PRIORIZADOS!$A:$D,4,FALSE)),"")</f>
        <v>PRIVADO</v>
      </c>
      <c r="E312" s="11" t="str">
        <f>IFERROR(IF(VLOOKUP(A312,[3]PRIORIZADOS!$A:$E,5,FALSE)="","",VLOOKUP(A312,[3]PRIORIZADOS!$A:$E,5,FALSE)),"")</f>
        <v>EPBM</v>
      </c>
      <c r="F312" s="11" t="str">
        <f>IFERROR(IF(VLOOKUP(A312,[3]PRIORIZADOS!$A:$F,6,FALSE)="","",VLOOKUP(A312,[3]PRIORIZADOS!$A:$F,6,FALSE)),"")</f>
        <v>LICEO_CIUDAD_CAPITAL</v>
      </c>
      <c r="G312" s="11" t="str">
        <f>IFERROR(IF(VLOOKUP(A312,[3]PRIORIZADOS!$A:$G,7,FALSE)="","",VLOOKUP(A312,[3]PRIORIZADOS!$A:$G,7,FALSE)),"")</f>
        <v>LICEO CIUDAD CAPITAL</v>
      </c>
      <c r="H312" s="11" t="str">
        <f>IFERROR(IF(VLOOKUP(A312,[3]PRIORIZADOS!$A:$H,8,FALSE)="","",VLOOKUP(A312,[3]PRIORIZADOS!$A:$H,8,FALSE)),"")</f>
        <v>Autoevaluación Institucional y Pruebas SABER 11</v>
      </c>
      <c r="I312" s="11" t="str">
        <f>IFERROR(IF(VLOOKUP(A312,[3]PRIORIZADOS!$A:$I,9,FALSE)="","",VLOOKUP(A312,[3]PRIORIZADOS!$A:$I,9,FALSE)),"")</f>
        <v>EVALUACIÓN_CON_FINES_DE_MEJORAMIENTO.</v>
      </c>
      <c r="J312" s="11" t="str">
        <f>IFERROR(IF(VLOOKUP(A312,[3]PRIORIZADOS!$A:$J,10,FALSE)="","",VLOOKUP(A312,[3]PRIORIZADOS!$A:$J,10,FALSE)),"")</f>
        <v>Verificar el funcionamiento del Gobierno Escolar e instancias de participación con base en la información sobre conformación reportada por la institución educativa.</v>
      </c>
      <c r="K312" s="11" t="str">
        <f>IFERROR(IF(VLOOKUP(A312,[3]PRIORIZADOS!$A:$K,11,FALSE)="","",VLOOKUP(A312,[3]PRIORIZADOS!$A:$K,11,FALSE)),"")</f>
        <v>ANA ANDREA VARGAS GONZÁLEZ</v>
      </c>
      <c r="L312" s="11" t="str">
        <f>IFERROR(IF(VLOOKUP(A312,[3]PRIORIZADOS!$A:$L,12,FALSE)="","",VLOOKUP(A312,[3]PRIORIZADOS!$A:$L,12,FALSE)),"")</f>
        <v>JOSÉ ANTONIO PÁEZ FETECUA</v>
      </c>
      <c r="M312" s="71">
        <f>IFERROR(IF(VLOOKUP(A312,[3]PRIORIZADOS!$A:$M,13,FALSE)="","",VLOOKUP(A312,[3]PRIORIZADOS!$A:$M,13,FALSE)),"")</f>
        <v>45792</v>
      </c>
      <c r="N312" s="71">
        <f>IFERROR(IF(VLOOKUP(A312,[3]PRIORIZADOS!$A:$N,14,FALSE)="","",VLOOKUP(A312,[3]PRIORIZADOS!$A:$N,14,FALSE)),"")</f>
        <v>45792</v>
      </c>
      <c r="O312" s="71">
        <f>IFERROR(IF(VLOOKUP(A312,[3]PRIORIZADOS!$A:$O,15,FALSE)="","",VLOOKUP(A312,[3]PRIORIZADOS!$A:$O,15,FALSE)),"")</f>
        <v>45792</v>
      </c>
      <c r="P312" s="11" t="str">
        <f>IFERROR(IF(VLOOKUP(A312,[3]PRIORIZADOS!$A:$P,16,FALSE)="","",VLOOKUP(A312,[3]PRIORIZADOS!$A:$P,16,FALSE)),"")</f>
        <v>Visitas de evaluación con fines de mejoramiento</v>
      </c>
      <c r="Q312" s="122" t="s">
        <v>64</v>
      </c>
      <c r="R312" s="11" t="str">
        <f>IFERROR(IF(VLOOKUP(A312,[3]PRIORIZADOS!$A:$R,18,FALSE)="","",VLOOKUP(A312,[3]PRIORIZADOS!$A:$R,18,FALSE)),"")</f>
        <v>La constitución del Gobierno Escolar y sus órganos de participación, se encuentra conforme a la Normativa Vigente</v>
      </c>
      <c r="S312" s="11" t="str">
        <f>IFERROR(IF(VLOOKUP(A312,[3]PRIORIZADOS!$A:$S,19,FALSE)="","",VLOOKUP(A312,[3]PRIORIZADOS!$A:$S,19,FALSE)),"")</f>
        <v>Continuar operando conforme funciones y reglamentos.</v>
      </c>
      <c r="T312" s="70" t="str">
        <f>IFERROR(IF(VLOOKUP(A312,[3]PRIORIZADOS!$A:$T,20,FALSE)="","",VLOOKUP(A312,[3]PRIORIZADOS!$A:$T,20,FALSE)),"")</f>
        <v>No</v>
      </c>
      <c r="U312" s="11" t="str">
        <f>IFERROR(IF(VLOOKUP(A312,[3]PRIORIZADOS!$A:$U,21,FALSE)="","",VLOOKUP(A312,[3]PRIORIZADOS!$A:$U,21,FALSE)),"")</f>
        <v>Verificar la conformación del Gobierno Escolar e instancias para la vigencia 2026 o antes si la IE lo requiere o se presenta solicitud o queja.</v>
      </c>
    </row>
    <row r="313" spans="1:21" s="1" customFormat="1" ht="60">
      <c r="A313" s="69">
        <f>IF([3]PRIORIZADOS!A124="","",[3]PRIORIZADOS!A124)</f>
        <v>319</v>
      </c>
      <c r="B313" s="70">
        <f>IFERROR(IF(VLOOKUP(A313,[3]PRIORIZADOS!$A:$B,2,FALSE)="","",VLOOKUP(A313,[3]PRIORIZADOS!$A:$B,2,FALSE)),"")</f>
        <v>13</v>
      </c>
      <c r="C313" s="11" t="str">
        <f>IFERROR(IF(VLOOKUP(A313,[3]PRIORIZADOS!$A:$C,3,FALSE)="","",VLOOKUP(A313,[3]PRIORIZADOS!$A:$C,3,FALSE)),"")</f>
        <v>BOSA</v>
      </c>
      <c r="D313" s="11" t="str">
        <f>IFERROR(IF(VLOOKUP(A313,[3]PRIORIZADOS!$A:$D,4,FALSE)="","",VLOOKUP(A313,[3]PRIORIZADOS!$A:$D,4,FALSE)),"")</f>
        <v>PRIVADO</v>
      </c>
      <c r="E313" s="11" t="str">
        <f>IFERROR(IF(VLOOKUP(A313,[3]PRIORIZADOS!$A:$E,5,FALSE)="","",VLOOKUP(A313,[3]PRIORIZADOS!$A:$E,5,FALSE)),"")</f>
        <v>EPBM</v>
      </c>
      <c r="F313" s="11" t="str">
        <f>IFERROR(IF(VLOOKUP(A313,[3]PRIORIZADOS!$A:$F,6,FALSE)="","",VLOOKUP(A313,[3]PRIORIZADOS!$A:$F,6,FALSE)),"")</f>
        <v>LICEO_CIUDAD_CAPITAL</v>
      </c>
      <c r="G313" s="11" t="str">
        <f>IFERROR(IF(VLOOKUP(A313,[3]PRIORIZADOS!$A:$G,7,FALSE)="","",VLOOKUP(A313,[3]PRIORIZADOS!$A:$G,7,FALSE)),"")</f>
        <v>LICEO CIUDAD CAPITAL</v>
      </c>
      <c r="H313" s="11" t="str">
        <f>IFERROR(IF(VLOOKUP(A313,[3]PRIORIZADOS!$A:$H,8,FALSE)="","",VLOOKUP(A313,[3]PRIORIZADOS!$A:$H,8,FALSE)),"")</f>
        <v>Autoevaluación Institucional y Pruebas SABER 11</v>
      </c>
      <c r="I313" s="11" t="str">
        <f>IFERROR(IF(VLOOKUP(A313,[3]PRIORIZADOS!$A:$I,9,FALSE)="","",VLOOKUP(A313,[3]PRIORIZADOS!$A:$I,9,FALSE)),"")</f>
        <v>EVALUACIÓN_CON_FINES_DE_MEJORAMIENTO.</v>
      </c>
      <c r="J313" s="11" t="str">
        <f>IFERROR(IF(VLOOKUP(A313,[3]PRIORIZADOS!$A:$J,10,FALSE)="","",VLOOKUP(A313,[3]PRIORIZADOS!$A:$J,10,FALSE)),"")</f>
        <v>Verificar las condiciones en cuanto a: la estructura administrativa, condiciones de la planta física y medios educativos adecuados.</v>
      </c>
      <c r="K313" s="11" t="str">
        <f>IFERROR(IF(VLOOKUP(A313,[3]PRIORIZADOS!$A:$K,11,FALSE)="","",VLOOKUP(A313,[3]PRIORIZADOS!$A:$K,11,FALSE)),"")</f>
        <v>ANA ANDREA VARGAS GONZÁLEZ</v>
      </c>
      <c r="L313" s="11" t="str">
        <f>IFERROR(IF(VLOOKUP(A313,[3]PRIORIZADOS!$A:$L,12,FALSE)="","",VLOOKUP(A313,[3]PRIORIZADOS!$A:$L,12,FALSE)),"")</f>
        <v>JOSÉ ANTONIO PÁEZ FETECUA</v>
      </c>
      <c r="M313" s="71">
        <f>IFERROR(IF(VLOOKUP(A313,[3]PRIORIZADOS!$A:$M,13,FALSE)="","",VLOOKUP(A313,[3]PRIORIZADOS!$A:$M,13,FALSE)),"")</f>
        <v>45792</v>
      </c>
      <c r="N313" s="71">
        <f>IFERROR(IF(VLOOKUP(A313,[3]PRIORIZADOS!$A:$N,14,FALSE)="","",VLOOKUP(A313,[3]PRIORIZADOS!$A:$N,14,FALSE)),"")</f>
        <v>45792</v>
      </c>
      <c r="O313" s="71">
        <f>IFERROR(IF(VLOOKUP(A313,[3]PRIORIZADOS!$A:$O,15,FALSE)="","",VLOOKUP(A313,[3]PRIORIZADOS!$A:$O,15,FALSE)),"")</f>
        <v>45792</v>
      </c>
      <c r="P313" s="11" t="str">
        <f>IFERROR(IF(VLOOKUP(A313,[3]PRIORIZADOS!$A:$P,16,FALSE)="","",VLOOKUP(A313,[3]PRIORIZADOS!$A:$P,16,FALSE)),"")</f>
        <v>Visitas de evaluación con fines de mejoramiento</v>
      </c>
      <c r="Q313" s="122" t="s">
        <v>64</v>
      </c>
      <c r="R313" s="11" t="str">
        <f>IFERROR(IF(VLOOKUP(A313,[3]PRIORIZADOS!$A:$R,18,FALSE)="","",VLOOKUP(A313,[3]PRIORIZADOS!$A:$R,18,FALSE)),"")</f>
        <v>Se realiza un recorrido en las instalaciones de la IE, verificando las condiciones en cuanto a: la estructura administrativa, condiciones de la planta física y medios educativos adecuados.</v>
      </c>
      <c r="S313" s="11" t="str">
        <f>IFERROR(IF(VLOOKUP(A313,[3]PRIORIZADOS!$A:$S,19,FALSE)="","",VLOOKUP(A313,[3]PRIORIZADOS!$A:$S,19,FALSE)),"")</f>
        <v>Las condiciones de la estructura administrativa, condiciones de la planta física y medios educativos son adecuados y garantizan la prestación del servicio educativo</v>
      </c>
      <c r="T313" s="70" t="str">
        <f>IFERROR(IF(VLOOKUP(A313,[3]PRIORIZADOS!$A:$T,20,FALSE)="","",VLOOKUP(A313,[3]PRIORIZADOS!$A:$T,20,FALSE)),"")</f>
        <v>No</v>
      </c>
      <c r="U313" s="11" t="str">
        <f>IFERROR(IF(VLOOKUP(A313,[3]PRIORIZADOS!$A:$U,21,FALSE)="","",VLOOKUP(A313,[3]PRIORIZADOS!$A:$U,21,FALSE)),"")</f>
        <v>Las condiciones de la planta física garantizan la adecuada prestación del servicio educativo</v>
      </c>
    </row>
    <row r="314" spans="1:21" s="1" customFormat="1" ht="60">
      <c r="A314" s="69">
        <f>IF([3]PRIORIZADOS!A125="","",[3]PRIORIZADOS!A125)</f>
        <v>320</v>
      </c>
      <c r="B314" s="70">
        <f>IFERROR(IF(VLOOKUP(A314,[3]PRIORIZADOS!$A:$B,2,FALSE)="","",VLOOKUP(A314,[3]PRIORIZADOS!$A:$B,2,FALSE)),"")</f>
        <v>14</v>
      </c>
      <c r="C314" s="11" t="str">
        <f>IFERROR(IF(VLOOKUP(A314,[3]PRIORIZADOS!$A:$C,3,FALSE)="","",VLOOKUP(A314,[3]PRIORIZADOS!$A:$C,3,FALSE)),"")</f>
        <v>BOSA</v>
      </c>
      <c r="D314" s="11" t="str">
        <f>IFERROR(IF(VLOOKUP(A314,[3]PRIORIZADOS!$A:$D,4,FALSE)="","",VLOOKUP(A314,[3]PRIORIZADOS!$A:$D,4,FALSE)),"")</f>
        <v>PRIVADO</v>
      </c>
      <c r="E314" s="11" t="str">
        <f>IFERROR(IF(VLOOKUP(A314,[3]PRIORIZADOS!$A:$E,5,FALSE)="","",VLOOKUP(A314,[3]PRIORIZADOS!$A:$E,5,FALSE)),"")</f>
        <v>EPBM</v>
      </c>
      <c r="F314" s="11" t="str">
        <f>IFERROR(IF(VLOOKUP(A314,[3]PRIORIZADOS!$A:$F,6,FALSE)="","",VLOOKUP(A314,[3]PRIORIZADOS!$A:$F,6,FALSE)),"")</f>
        <v>LICEO_CULTURAL_LOPEZ_OSORIO</v>
      </c>
      <c r="G314" s="11" t="str">
        <f>IFERROR(IF(VLOOKUP(A314,[3]PRIORIZADOS!$A:$G,7,FALSE)="","",VLOOKUP(A314,[3]PRIORIZADOS!$A:$G,7,FALSE)),"")</f>
        <v>LICEO CULTURAL LOPEZ OSORIO</v>
      </c>
      <c r="H314" s="11" t="str">
        <f>IFERROR(IF(VLOOKUP(A314,[3]PRIORIZADOS!$A:$H,8,FALSE)="","",VLOOKUP(A314,[3]PRIORIZADOS!$A:$H,8,FALSE)),"")</f>
        <v>Autoevaluación Institucional y Pruebas SABER 11</v>
      </c>
      <c r="I314" s="11" t="str">
        <f>IFERROR(IF(VLOOKUP(A314,[3]PRIORIZADOS!$A:$I,9,FALSE)="","",VLOOKUP(A314,[3]PRIORIZADOS!$A:$I,9,FALSE)),"")</f>
        <v>SEGUIMIENTO_Y_SUPERVISIÓN.</v>
      </c>
      <c r="J314" s="11" t="str">
        <f>IFERROR(IF(VLOOKUP(A314,[3]PRIORIZADOS!$A:$J,10,FALSE)="","",VLOOKUP(A314,[3]PRIORIZADOS!$A:$J,10,FALSE)),"")</f>
        <v>Realizar visitas para verificar la información registrada sobre la autoevaluación institucional en el aplicativo EVI, a los establecimientos de educación formal no oficial.</v>
      </c>
      <c r="K314" s="11" t="str">
        <f>IFERROR(IF(VLOOKUP(A314,[3]PRIORIZADOS!$A:$K,11,FALSE)="","",VLOOKUP(A314,[3]PRIORIZADOS!$A:$K,11,FALSE)),"")</f>
        <v>JOSÉ ANTONIO PÁEZ FETECUA</v>
      </c>
      <c r="L314" s="11" t="str">
        <f>IFERROR(IF(VLOOKUP(A314,[3]PRIORIZADOS!$A:$L,12,FALSE)="","",VLOOKUP(A314,[3]PRIORIZADOS!$A:$L,12,FALSE)),"")</f>
        <v>ANA ANDREA VARGAS GONZÁLEZ</v>
      </c>
      <c r="M314" s="71">
        <f>IFERROR(IF(VLOOKUP(A314,[3]PRIORIZADOS!$A:$M,13,FALSE)="","",VLOOKUP(A314,[3]PRIORIZADOS!$A:$M,13,FALSE)),"")</f>
        <v>45797</v>
      </c>
      <c r="N314" s="71">
        <f>IFERROR(IF(VLOOKUP(A314,[3]PRIORIZADOS!$A:$N,14,FALSE)="","",VLOOKUP(A314,[3]PRIORIZADOS!$A:$N,14,FALSE)),"")</f>
        <v>45797</v>
      </c>
      <c r="O314" s="71">
        <f>IFERROR(IF(VLOOKUP(A314,[3]PRIORIZADOS!$A:$O,15,FALSE)="","",VLOOKUP(A314,[3]PRIORIZADOS!$A:$O,15,FALSE)),"")</f>
        <v>45797</v>
      </c>
      <c r="P314" s="11" t="str">
        <f>IFERROR(IF(VLOOKUP(A314,[3]PRIORIZADOS!$A:$P,16,FALSE)="","",VLOOKUP(A314,[3]PRIORIZADOS!$A:$P,16,FALSE)),"")</f>
        <v>Visitas de evaluación con fines de mejoramiento</v>
      </c>
      <c r="Q314" s="122" t="s">
        <v>65</v>
      </c>
      <c r="R314" s="11" t="str">
        <f>IFERROR(IF(VLOOKUP(A314,[3]PRIORIZADOS!$A:$R,18,FALSE)="","",VLOOKUP(A314,[3]PRIORIZADOS!$A:$R,18,FALSE)),"")</f>
        <v>La información consignada en la Plataforma EVI relacionada con los indicadores de: planta física, dotación de espacios y calendario académico coincide con lo verificado en campo</v>
      </c>
      <c r="S314" s="11" t="str">
        <f>IFERROR(IF(VLOOKUP(A314,[3]PRIORIZADOS!$A:$S,19,FALSE)="","",VLOOKUP(A314,[3]PRIORIZADOS!$A:$S,19,FALSE)),"")</f>
        <v xml:space="preserve">Se concluye que la IE realizará su autoevalución institucional en el mes octubre.  </v>
      </c>
      <c r="T314" s="70" t="str">
        <f>IFERROR(IF(VLOOKUP(A314,[3]PRIORIZADOS!$A:$T,20,FALSE)="","",VLOOKUP(A314,[3]PRIORIZADOS!$A:$T,20,FALSE)),"")</f>
        <v>No</v>
      </c>
      <c r="U314" s="11" t="str">
        <f>IFERROR(IF(VLOOKUP(A314,[3]PRIORIZADOS!$A:$U,21,FALSE)="","",VLOOKUP(A314,[3]PRIORIZADOS!$A:$U,21,FALSE)),"")</f>
        <v>Se verificará la información cargada por la IE en el aplicativo EVI de la autoevaluación,  para la emisión del concepto de tarifas 2026</v>
      </c>
    </row>
    <row r="315" spans="1:21" s="1" customFormat="1" ht="60">
      <c r="A315" s="69">
        <f>IF([3]PRIORIZADOS!A126="","",[3]PRIORIZADOS!A126)</f>
        <v>321</v>
      </c>
      <c r="B315" s="70">
        <f>IFERROR(IF(VLOOKUP(A315,[3]PRIORIZADOS!$A:$B,2,FALSE)="","",VLOOKUP(A315,[3]PRIORIZADOS!$A:$B,2,FALSE)),"")</f>
        <v>14</v>
      </c>
      <c r="C315" s="11" t="str">
        <f>IFERROR(IF(VLOOKUP(A315,[3]PRIORIZADOS!$A:$C,3,FALSE)="","",VLOOKUP(A315,[3]PRIORIZADOS!$A:$C,3,FALSE)),"")</f>
        <v>BOSA</v>
      </c>
      <c r="D315" s="11" t="str">
        <f>IFERROR(IF(VLOOKUP(A315,[3]PRIORIZADOS!$A:$D,4,FALSE)="","",VLOOKUP(A315,[3]PRIORIZADOS!$A:$D,4,FALSE)),"")</f>
        <v>PRIVADO</v>
      </c>
      <c r="E315" s="11" t="str">
        <f>IFERROR(IF(VLOOKUP(A315,[3]PRIORIZADOS!$A:$E,5,FALSE)="","",VLOOKUP(A315,[3]PRIORIZADOS!$A:$E,5,FALSE)),"")</f>
        <v>EPBM</v>
      </c>
      <c r="F315" s="11" t="str">
        <f>IFERROR(IF(VLOOKUP(A315,[3]PRIORIZADOS!$A:$F,6,FALSE)="","",VLOOKUP(A315,[3]PRIORIZADOS!$A:$F,6,FALSE)),"")</f>
        <v>LICEO_CULTURAL_LOPEZ_OSORIO</v>
      </c>
      <c r="G315" s="11" t="str">
        <f>IFERROR(IF(VLOOKUP(A315,[3]PRIORIZADOS!$A:$G,7,FALSE)="","",VLOOKUP(A315,[3]PRIORIZADOS!$A:$G,7,FALSE)),"")</f>
        <v>LICEO CULTURAL LOPEZ OSORIO</v>
      </c>
      <c r="H315" s="11" t="str">
        <f>IFERROR(IF(VLOOKUP(A315,[3]PRIORIZADOS!$A:$H,8,FALSE)="","",VLOOKUP(A315,[3]PRIORIZADOS!$A:$H,8,FALSE)),"")</f>
        <v>Autoevaluación Institucional y Pruebas SABER 11</v>
      </c>
      <c r="I315" s="11" t="str">
        <f>IFERROR(IF(VLOOKUP(A315,[3]PRIORIZADOS!$A:$I,9,FALSE)="","",VLOOKUP(A315,[3]PRIORIZADOS!$A:$I,9,FALSE)),"")</f>
        <v>SEGUIMIENTO_Y_SUPERVISIÓN.</v>
      </c>
      <c r="J315" s="11" t="str">
        <f>IFERROR(IF(VLOOKUP(A315,[3]PRIORIZADOS!$A:$J,10,FALSE)="","",VLOOKUP(A315,[3]PRIORIZADOS!$A:$J,10,FALSE)),"")</f>
        <v>Proponer estrategias en la formulación, verificar su elaboración y realizar seguimiento semestral al desarrollo de  las acciones establecidas en los planes de mejoramiento por pruebas SABER 11 de los establecimientos de educación formal.</v>
      </c>
      <c r="K315" s="11" t="str">
        <f>IFERROR(IF(VLOOKUP(A315,[3]PRIORIZADOS!$A:$K,11,FALSE)="","",VLOOKUP(A315,[3]PRIORIZADOS!$A:$K,11,FALSE)),"")</f>
        <v>JOSÉ ANTONIO PÁEZ FETECUA</v>
      </c>
      <c r="L315" s="11" t="str">
        <f>IFERROR(IF(VLOOKUP(A315,[3]PRIORIZADOS!$A:$L,12,FALSE)="","",VLOOKUP(A315,[3]PRIORIZADOS!$A:$L,12,FALSE)),"")</f>
        <v>ANA ANDREA VARGAS GONZÁLEZ</v>
      </c>
      <c r="M315" s="71">
        <f>IFERROR(IF(VLOOKUP(A315,[3]PRIORIZADOS!$A:$M,13,FALSE)="","",VLOOKUP(A315,[3]PRIORIZADOS!$A:$M,13,FALSE)),"")</f>
        <v>45797</v>
      </c>
      <c r="N315" s="71">
        <f>IFERROR(IF(VLOOKUP(A315,[3]PRIORIZADOS!$A:$N,14,FALSE)="","",VLOOKUP(A315,[3]PRIORIZADOS!$A:$N,14,FALSE)),"")</f>
        <v>45797</v>
      </c>
      <c r="O315" s="71">
        <f>IFERROR(IF(VLOOKUP(A315,[3]PRIORIZADOS!$A:$O,15,FALSE)="","",VLOOKUP(A315,[3]PRIORIZADOS!$A:$O,15,FALSE)),"")</f>
        <v>45797</v>
      </c>
      <c r="P315" s="11" t="str">
        <f>IFERROR(IF(VLOOKUP(A315,[3]PRIORIZADOS!$A:$P,16,FALSE)="","",VLOOKUP(A315,[3]PRIORIZADOS!$A:$P,16,FALSE)),"")</f>
        <v>Visitas de evaluación con fines de seguimiento</v>
      </c>
      <c r="Q315" s="122" t="s">
        <v>65</v>
      </c>
      <c r="R315" s="11" t="str">
        <f>IFERROR(IF(VLOOKUP(A315,[3]PRIORIZADOS!$A:$R,18,FALSE)="","",VLOOKUP(A315,[3]PRIORIZADOS!$A:$R,18,FALSE)),"")</f>
        <v>Se adelanta la revisión de los Resultados de las Pruebas Saber 11, encontrando que la IE se encuentra en Categoría B</v>
      </c>
      <c r="S315" s="11" t="str">
        <f>IFERROR(IF(VLOOKUP(A315,[3]PRIORIZADOS!$A:$S,19,FALSE)="","",VLOOKUP(A315,[3]PRIORIZADOS!$A:$S,19,FALSE)),"")</f>
        <v>Se aporta documento que la Institución educativa que compara diferentes vigencias y la mejora anual hasta llegar a la categoría A  en los resultados 2024</v>
      </c>
      <c r="T315" s="70" t="str">
        <f>IFERROR(IF(VLOOKUP(A315,[3]PRIORIZADOS!$A:$T,20,FALSE)="","",VLOOKUP(A315,[3]PRIORIZADOS!$A:$T,20,FALSE)),"")</f>
        <v>No</v>
      </c>
      <c r="U315" s="11" t="str">
        <f>IFERROR(IF(VLOOKUP(A315,[3]PRIORIZADOS!$A:$U,21,FALSE)="","",VLOOKUP(A315,[3]PRIORIZADOS!$A:$U,21,FALSE)),"")</f>
        <v>Se acordó revisar nuevamente el documento en el mes de agosto de 2025 y generar espacios de asesoría, conforme lo requiera la IE</v>
      </c>
    </row>
    <row r="316" spans="1:21" s="1" customFormat="1" ht="72">
      <c r="A316" s="69">
        <f>IF([3]PRIORIZADOS!A127="","",[3]PRIORIZADOS!A127)</f>
        <v>322</v>
      </c>
      <c r="B316" s="70">
        <f>IFERROR(IF(VLOOKUP(A316,[3]PRIORIZADOS!$A:$B,2,FALSE)="","",VLOOKUP(A316,[3]PRIORIZADOS!$A:$B,2,FALSE)),"")</f>
        <v>14</v>
      </c>
      <c r="C316" s="11" t="str">
        <f>IFERROR(IF(VLOOKUP(A316,[3]PRIORIZADOS!$A:$C,3,FALSE)="","",VLOOKUP(A316,[3]PRIORIZADOS!$A:$C,3,FALSE)),"")</f>
        <v>BOSA</v>
      </c>
      <c r="D316" s="11" t="str">
        <f>IFERROR(IF(VLOOKUP(A316,[3]PRIORIZADOS!$A:$D,4,FALSE)="","",VLOOKUP(A316,[3]PRIORIZADOS!$A:$D,4,FALSE)),"")</f>
        <v>PRIVADO</v>
      </c>
      <c r="E316" s="11" t="str">
        <f>IFERROR(IF(VLOOKUP(A316,[3]PRIORIZADOS!$A:$E,5,FALSE)="","",VLOOKUP(A316,[3]PRIORIZADOS!$A:$E,5,FALSE)),"")</f>
        <v>EPBM</v>
      </c>
      <c r="F316" s="11" t="str">
        <f>IFERROR(IF(VLOOKUP(A316,[3]PRIORIZADOS!$A:$F,6,FALSE)="","",VLOOKUP(A316,[3]PRIORIZADOS!$A:$F,6,FALSE)),"")</f>
        <v>LICEO_CULTURAL_LOPEZ_OSORIO</v>
      </c>
      <c r="G316" s="11" t="str">
        <f>IFERROR(IF(VLOOKUP(A316,[3]PRIORIZADOS!$A:$G,7,FALSE)="","",VLOOKUP(A316,[3]PRIORIZADOS!$A:$G,7,FALSE)),"")</f>
        <v>LICEO CULTURAL LOPEZ OSORIO</v>
      </c>
      <c r="H316" s="11" t="str">
        <f>IFERROR(IF(VLOOKUP(A316,[3]PRIORIZADOS!$A:$H,8,FALSE)="","",VLOOKUP(A316,[3]PRIORIZADOS!$A:$H,8,FALSE)),"")</f>
        <v>Autoevaluación Institucional y Pruebas SABER 11</v>
      </c>
      <c r="I316" s="11" t="str">
        <f>IFERROR(IF(VLOOKUP(A316,[3]PRIORIZADOS!$A:$I,9,FALSE)="","",VLOOKUP(A316,[3]PRIORIZADOS!$A:$I,9,FALSE)),"")</f>
        <v>SEGUIMIENTO_Y_SUPERVISIÓN.</v>
      </c>
      <c r="J316" s="11" t="str">
        <f>IFERROR(IF(VLOOKUP(A316,[3]PRIORIZADOS!$A:$J,10,FALSE)="","",VLOOKUP(A316,[3]PRIORIZADOS!$A:$J,10,FALSE)),"")</f>
        <v xml:space="preserve">Verificar la implementación por parte de los colegios, de acciones realizadas para la prevención y atención de las situaciones de convivencia en el entorno escolar, según lo establecido en la Directiva 01 de 2022 del MEN. </v>
      </c>
      <c r="K316" s="11" t="str">
        <f>IFERROR(IF(VLOOKUP(A316,[3]PRIORIZADOS!$A:$K,11,FALSE)="","",VLOOKUP(A316,[3]PRIORIZADOS!$A:$K,11,FALSE)),"")</f>
        <v>JOSÉ ANTONIO PÁEZ FETECUA</v>
      </c>
      <c r="L316" s="11" t="str">
        <f>IFERROR(IF(VLOOKUP(A316,[3]PRIORIZADOS!$A:$L,12,FALSE)="","",VLOOKUP(A316,[3]PRIORIZADOS!$A:$L,12,FALSE)),"")</f>
        <v>ANA ANDREA VARGAS GONZÁLEZ</v>
      </c>
      <c r="M316" s="71">
        <f>IFERROR(IF(VLOOKUP(A316,[3]PRIORIZADOS!$A:$M,13,FALSE)="","",VLOOKUP(A316,[3]PRIORIZADOS!$A:$M,13,FALSE)),"")</f>
        <v>45797</v>
      </c>
      <c r="N316" s="71">
        <f>IFERROR(IF(VLOOKUP(A316,[3]PRIORIZADOS!$A:$N,14,FALSE)="","",VLOOKUP(A316,[3]PRIORIZADOS!$A:$N,14,FALSE)),"")</f>
        <v>45797</v>
      </c>
      <c r="O316" s="71">
        <f>IFERROR(IF(VLOOKUP(A316,[3]PRIORIZADOS!$A:$O,15,FALSE)="","",VLOOKUP(A316,[3]PRIORIZADOS!$A:$O,15,FALSE)),"")</f>
        <v>45797</v>
      </c>
      <c r="P316" s="11" t="str">
        <f>IFERROR(IF(VLOOKUP(A316,[3]PRIORIZADOS!$A:$P,16,FALSE)="","",VLOOKUP(A316,[3]PRIORIZADOS!$A:$P,16,FALSE)),"")</f>
        <v>Visitas de evaluación con fines de mejoramiento</v>
      </c>
      <c r="Q316" s="122" t="s">
        <v>65</v>
      </c>
      <c r="R316" s="11" t="str">
        <f>IFERROR(IF(VLOOKUP(A316,[3]PRIORIZADOS!$A:$R,18,FALSE)="","",VLOOKUP(A316,[3]PRIORIZADOS!$A:$R,18,FALSE)),"")</f>
        <v>Se verifica la implementación de acciones  realizadas para la prevención como lo es la verificación de inhabilidades por delitos sexuales en el sistema de la Policía Nacional.</v>
      </c>
      <c r="S316" s="11" t="str">
        <f>IFERROR(IF(VLOOKUP(A316,[3]PRIORIZADOS!$A:$S,19,FALSE)="","",VLOOKUP(A316,[3]PRIORIZADOS!$A:$S,19,FALSE)),"")</f>
        <v>Como acción de verificación se solicita implementar  la autorización de directivos, docentes y administrativos para las consultas de antecedentes en los sistemas que se requieran al momento de la vinculación</v>
      </c>
      <c r="T316" s="70" t="str">
        <f>IFERROR(IF(VLOOKUP(A316,[3]PRIORIZADOS!$A:$T,20,FALSE)="","",VLOOKUP(A316,[3]PRIORIZADOS!$A:$T,20,FALSE)),"")</f>
        <v>No</v>
      </c>
      <c r="U316" s="11" t="str">
        <f>IFERROR(IF(VLOOKUP(A316,[3]PRIORIZADOS!$A:$U,21,FALSE)="","",VLOOKUP(A316,[3]PRIORIZADOS!$A:$U,21,FALSE)),"")</f>
        <v>Verificar que la IE cuente con las respectivas autorizaciones para las consultas de antedecentes del personal vinculado.</v>
      </c>
    </row>
    <row r="317" spans="1:21" s="1" customFormat="1" ht="107.25">
      <c r="A317" s="69">
        <f>IF([3]PRIORIZADOS!A128="","",[3]PRIORIZADOS!A128)</f>
        <v>323</v>
      </c>
      <c r="B317" s="70">
        <f>IFERROR(IF(VLOOKUP(A317,[3]PRIORIZADOS!$A:$B,2,FALSE)="","",VLOOKUP(A317,[3]PRIORIZADOS!$A:$B,2,FALSE)),"")</f>
        <v>14</v>
      </c>
      <c r="C317" s="11" t="str">
        <f>IFERROR(IF(VLOOKUP(A317,[3]PRIORIZADOS!$A:$C,3,FALSE)="","",VLOOKUP(A317,[3]PRIORIZADOS!$A:$C,3,FALSE)),"")</f>
        <v>BOSA</v>
      </c>
      <c r="D317" s="11" t="str">
        <f>IFERROR(IF(VLOOKUP(A317,[3]PRIORIZADOS!$A:$D,4,FALSE)="","",VLOOKUP(A317,[3]PRIORIZADOS!$A:$D,4,FALSE)),"")</f>
        <v>PRIVADO</v>
      </c>
      <c r="E317" s="11" t="str">
        <f>IFERROR(IF(VLOOKUP(A317,[3]PRIORIZADOS!$A:$E,5,FALSE)="","",VLOOKUP(A317,[3]PRIORIZADOS!$A:$E,5,FALSE)),"")</f>
        <v>EPBM</v>
      </c>
      <c r="F317" s="11" t="str">
        <f>IFERROR(IF(VLOOKUP(A317,[3]PRIORIZADOS!$A:$F,6,FALSE)="","",VLOOKUP(A317,[3]PRIORIZADOS!$A:$F,6,FALSE)),"")</f>
        <v>LICEO_CULTURAL_LOPEZ_OSORIO</v>
      </c>
      <c r="G317" s="11" t="str">
        <f>IFERROR(IF(VLOOKUP(A317,[3]PRIORIZADOS!$A:$G,7,FALSE)="","",VLOOKUP(A317,[3]PRIORIZADOS!$A:$G,7,FALSE)),"")</f>
        <v>LICEO CULTURAL LOPEZ OSORIO</v>
      </c>
      <c r="H317" s="11" t="str">
        <f>IFERROR(IF(VLOOKUP(A317,[3]PRIORIZADOS!$A:$H,8,FALSE)="","",VLOOKUP(A317,[3]PRIORIZADOS!$A:$H,8,FALSE)),"")</f>
        <v>Autoevaluación Institucional y Pruebas SABER 11</v>
      </c>
      <c r="I317" s="11" t="str">
        <f>IFERROR(IF(VLOOKUP(A317,[3]PRIORIZADOS!$A:$I,9,FALSE)="","",VLOOKUP(A317,[3]PRIORIZADOS!$A:$I,9,FALSE)),"")</f>
        <v>SEGUIMIENTO_Y_SUPERVISIÓN.</v>
      </c>
      <c r="J317" s="11" t="str">
        <f>IFERROR(IF(VLOOKUP(A317,[3]PRIORIZADOS!$A:$J,10,FALSE)="","",VLOOKUP(A317,[3]PRIORIZADOS!$A:$J,10,FALSE)),"")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17" s="11" t="str">
        <f>IFERROR(IF(VLOOKUP(A317,[3]PRIORIZADOS!$A:$K,11,FALSE)="","",VLOOKUP(A317,[3]PRIORIZADOS!$A:$K,11,FALSE)),"")</f>
        <v>JOSÉ ANTONIO PÁEZ FETECUA</v>
      </c>
      <c r="L317" s="11" t="str">
        <f>IFERROR(IF(VLOOKUP(A317,[3]PRIORIZADOS!$A:$L,12,FALSE)="","",VLOOKUP(A317,[3]PRIORIZADOS!$A:$L,12,FALSE)),"")</f>
        <v>ANA ANDREA VARGAS GONZÁLEZ</v>
      </c>
      <c r="M317" s="71">
        <f>IFERROR(IF(VLOOKUP(A317,[3]PRIORIZADOS!$A:$M,13,FALSE)="","",VLOOKUP(A317,[3]PRIORIZADOS!$A:$M,13,FALSE)),"")</f>
        <v>45797</v>
      </c>
      <c r="N317" s="71">
        <f>IFERROR(IF(VLOOKUP(A317,[3]PRIORIZADOS!$A:$N,14,FALSE)="","",VLOOKUP(A317,[3]PRIORIZADOS!$A:$N,14,FALSE)),"")</f>
        <v>45797</v>
      </c>
      <c r="O317" s="71">
        <f>IFERROR(IF(VLOOKUP(A317,[3]PRIORIZADOS!$A:$O,15,FALSE)="","",VLOOKUP(A317,[3]PRIORIZADOS!$A:$O,15,FALSE)),"")</f>
        <v>45797</v>
      </c>
      <c r="P317" s="11" t="str">
        <f>IFERROR(IF(VLOOKUP(A317,[3]PRIORIZADOS!$A:$P,16,FALSE)="","",VLOOKUP(A317,[3]PRIORIZADOS!$A:$P,16,FALSE)),"")</f>
        <v>Visitas de evaluación con fines de mejoramiento</v>
      </c>
      <c r="Q317" s="122" t="s">
        <v>65</v>
      </c>
      <c r="R317" s="11" t="str">
        <f>IFERROR(IF(VLOOKUP(A317,[3]PRIORIZADOS!$A:$R,18,FALSE)="","",VLOOKUP(A317,[3]PRIORIZADOS!$A:$R,18,FALSE)),"")</f>
        <v>Al revisar la Plataforma SIMAT, no hay estudiantes marcados en la Plataforma con discapacidad.Existe en la IE un documento institucional para atender casos relacionados con estudiantes en inclusión de conformmidad con el PEI, el Manual de Convivencia y en atención a la Población con discapacidad, trastornos de aprendizaje y talentos excepcionales</v>
      </c>
      <c r="S317" s="11" t="str">
        <f>IFERROR(IF(VLOOKUP(A317,[3]PRIORIZADOS!$A:$S,19,FALSE)="","",VLOOKUP(A317,[3]PRIORIZADOS!$A:$S,19,FALSE)),"")</f>
        <v>La Institución Educativa se compromete a remitir el Documento Institucional del Plan Individual de Ajustes Razonables PIAR</v>
      </c>
      <c r="T317" s="70" t="str">
        <f>IFERROR(IF(VLOOKUP(A317,[3]PRIORIZADOS!$A:$T,20,FALSE)="","",VLOOKUP(A317,[3]PRIORIZADOS!$A:$T,20,FALSE)),"")</f>
        <v>No</v>
      </c>
      <c r="U317" s="11" t="str">
        <f>IFERROR(IF(VLOOKUP(A317,[3]PRIORIZADOS!$A:$U,21,FALSE)="","",VLOOKUP(A317,[3]PRIORIZADOS!$A:$U,21,FALSE)),"")</f>
        <v>Verificar la información en SIMAT</v>
      </c>
    </row>
    <row r="318" spans="1:21" s="1" customFormat="1" ht="84">
      <c r="A318" s="69">
        <f>IF([3]PRIORIZADOS!A129="","",[3]PRIORIZADOS!A129)</f>
        <v>324</v>
      </c>
      <c r="B318" s="70">
        <f>IFERROR(IF(VLOOKUP(A318,[3]PRIORIZADOS!$A:$B,2,FALSE)="","",VLOOKUP(A318,[3]PRIORIZADOS!$A:$B,2,FALSE)),"")</f>
        <v>14</v>
      </c>
      <c r="C318" s="11" t="str">
        <f>IFERROR(IF(VLOOKUP(A318,[3]PRIORIZADOS!$A:$C,3,FALSE)="","",VLOOKUP(A318,[3]PRIORIZADOS!$A:$C,3,FALSE)),"")</f>
        <v>BOSA</v>
      </c>
      <c r="D318" s="11" t="str">
        <f>IFERROR(IF(VLOOKUP(A318,[3]PRIORIZADOS!$A:$D,4,FALSE)="","",VLOOKUP(A318,[3]PRIORIZADOS!$A:$D,4,FALSE)),"")</f>
        <v>PRIVADO</v>
      </c>
      <c r="E318" s="11" t="str">
        <f>IFERROR(IF(VLOOKUP(A318,[3]PRIORIZADOS!$A:$E,5,FALSE)="","",VLOOKUP(A318,[3]PRIORIZADOS!$A:$E,5,FALSE)),"")</f>
        <v>EPBM</v>
      </c>
      <c r="F318" s="11" t="str">
        <f>IFERROR(IF(VLOOKUP(A318,[3]PRIORIZADOS!$A:$F,6,FALSE)="","",VLOOKUP(A318,[3]PRIORIZADOS!$A:$F,6,FALSE)),"")</f>
        <v>LICEO_CULTURAL_LOPEZ_OSORIO</v>
      </c>
      <c r="G318" s="11" t="str">
        <f>IFERROR(IF(VLOOKUP(A318,[3]PRIORIZADOS!$A:$G,7,FALSE)="","",VLOOKUP(A318,[3]PRIORIZADOS!$A:$G,7,FALSE)),"")</f>
        <v>LICEO CULTURAL LOPEZ OSORIO</v>
      </c>
      <c r="H318" s="11" t="str">
        <f>IFERROR(IF(VLOOKUP(A318,[3]PRIORIZADOS!$A:$H,8,FALSE)="","",VLOOKUP(A318,[3]PRIORIZADOS!$A:$H,8,FALSE)),"")</f>
        <v>Autoevaluación Institucional y Pruebas SABER 11</v>
      </c>
      <c r="I318" s="11" t="str">
        <f>IFERROR(IF(VLOOKUP(A318,[3]PRIORIZADOS!$A:$I,9,FALSE)="","",VLOOKUP(A318,[3]PRIORIZADOS!$A:$I,9,FALSE)),"")</f>
        <v>EVALUACIÓN_CON_FINES_DE_MEJORAMIENTO.</v>
      </c>
      <c r="J318" s="11" t="str">
        <f>IFERROR(IF(VLOOKUP(A318,[3]PRIORIZADOS!$A:$J,10,FALSE)="","",VLOOKUP(A318,[3]PRIORIZADOS!$A:$J,10,FALSE)),"")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18" s="11" t="str">
        <f>IFERROR(IF(VLOOKUP(A318,[3]PRIORIZADOS!$A:$K,11,FALSE)="","",VLOOKUP(A318,[3]PRIORIZADOS!$A:$K,11,FALSE)),"")</f>
        <v>JOSÉ ANTONIO PÁEZ FETECUA</v>
      </c>
      <c r="L318" s="11" t="str">
        <f>IFERROR(IF(VLOOKUP(A318,[3]PRIORIZADOS!$A:$L,12,FALSE)="","",VLOOKUP(A318,[3]PRIORIZADOS!$A:$L,12,FALSE)),"")</f>
        <v>ANA ANDREA VARGAS GONZÁLEZ</v>
      </c>
      <c r="M318" s="71">
        <f>IFERROR(IF(VLOOKUP(A318,[3]PRIORIZADOS!$A:$M,13,FALSE)="","",VLOOKUP(A318,[3]PRIORIZADOS!$A:$M,13,FALSE)),"")</f>
        <v>45797</v>
      </c>
      <c r="N318" s="71">
        <f>IFERROR(IF(VLOOKUP(A318,[3]PRIORIZADOS!$A:$N,14,FALSE)="","",VLOOKUP(A318,[3]PRIORIZADOS!$A:$N,14,FALSE)),"")</f>
        <v>45797</v>
      </c>
      <c r="O318" s="71">
        <f>IFERROR(IF(VLOOKUP(A318,[3]PRIORIZADOS!$A:$O,15,FALSE)="","",VLOOKUP(A318,[3]PRIORIZADOS!$A:$O,15,FALSE)),"")</f>
        <v>45797</v>
      </c>
      <c r="P318" s="11" t="str">
        <f>IFERROR(IF(VLOOKUP(A318,[3]PRIORIZADOS!$A:$P,16,FALSE)="","",VLOOKUP(A318,[3]PRIORIZADOS!$A:$P,16,FALSE)),"")</f>
        <v>Visitas de evaluación con fines de mejoramiento</v>
      </c>
      <c r="Q318" s="122" t="s">
        <v>65</v>
      </c>
      <c r="R318" s="11" t="str">
        <f>IFERROR(IF(VLOOKUP(A318,[3]PRIORIZADOS!$A:$R,18,FALSE)="","",VLOOKUP(A318,[3]PRIORIZADOS!$A:$R,18,FALSE)),"")</f>
        <v>El Manual de Convivencia fue construido y adoptado de forma participativa e incluye los componentes generales, los diferentes enfoques y se encuentra conforme a lo establecido en el PEI y la normatividad vigente</v>
      </c>
      <c r="S318" s="11" t="str">
        <f>IFERROR(IF(VLOOKUP(A318,[3]PRIORIZADOS!$A:$S,19,FALSE)="","",VLOOKUP(A318,[3]PRIORIZADOS!$A:$S,19,FALSE)),"")</f>
        <v>Como acción de verificación la Institución Educativa se compromete a remitir la versión actualizada del Manual de Convivencia a la vigencia 2024 -2025</v>
      </c>
      <c r="T318" s="70" t="str">
        <f>IFERROR(IF(VLOOKUP(A318,[3]PRIORIZADOS!$A:$T,20,FALSE)="","",VLOOKUP(A318,[3]PRIORIZADOS!$A:$T,20,FALSE)),"")</f>
        <v>No</v>
      </c>
      <c r="U318" s="11" t="str">
        <f>IFERROR(IF(VLOOKUP(A318,[3]PRIORIZADOS!$A:$U,21,FALSE)="","",VLOOKUP(A318,[3]PRIORIZADOS!$A:$U,21,FALSE)),"")</f>
        <v>Verificar nuevamente el documento en el mes de agosto de 2025 y generar espacios de asesoría, conforme lo requiera la IE</v>
      </c>
    </row>
    <row r="319" spans="1:21" s="1" customFormat="1" ht="72">
      <c r="A319" s="69">
        <f>IF([3]PRIORIZADOS!A130="","",[3]PRIORIZADOS!A130)</f>
        <v>325</v>
      </c>
      <c r="B319" s="70">
        <f>IFERROR(IF(VLOOKUP(A319,[3]PRIORIZADOS!$A:$B,2,FALSE)="","",VLOOKUP(A319,[3]PRIORIZADOS!$A:$B,2,FALSE)),"")</f>
        <v>14</v>
      </c>
      <c r="C319" s="11" t="str">
        <f>IFERROR(IF(VLOOKUP(A319,[3]PRIORIZADOS!$A:$C,3,FALSE)="","",VLOOKUP(A319,[3]PRIORIZADOS!$A:$C,3,FALSE)),"")</f>
        <v>BOSA</v>
      </c>
      <c r="D319" s="11" t="str">
        <f>IFERROR(IF(VLOOKUP(A319,[3]PRIORIZADOS!$A:$D,4,FALSE)="","",VLOOKUP(A319,[3]PRIORIZADOS!$A:$D,4,FALSE)),"")</f>
        <v>PRIVADO</v>
      </c>
      <c r="E319" s="11" t="str">
        <f>IFERROR(IF(VLOOKUP(A319,[3]PRIORIZADOS!$A:$E,5,FALSE)="","",VLOOKUP(A319,[3]PRIORIZADOS!$A:$E,5,FALSE)),"")</f>
        <v>EPBM</v>
      </c>
      <c r="F319" s="11" t="str">
        <f>IFERROR(IF(VLOOKUP(A319,[3]PRIORIZADOS!$A:$F,6,FALSE)="","",VLOOKUP(A319,[3]PRIORIZADOS!$A:$F,6,FALSE)),"")</f>
        <v>LICEO_CULTURAL_LOPEZ_OSORIO</v>
      </c>
      <c r="G319" s="11" t="str">
        <f>IFERROR(IF(VLOOKUP(A319,[3]PRIORIZADOS!$A:$G,7,FALSE)="","",VLOOKUP(A319,[3]PRIORIZADOS!$A:$G,7,FALSE)),"")</f>
        <v>LICEO CULTURAL LOPEZ OSORIO</v>
      </c>
      <c r="H319" s="11" t="str">
        <f>IFERROR(IF(VLOOKUP(A319,[3]PRIORIZADOS!$A:$H,8,FALSE)="","",VLOOKUP(A319,[3]PRIORIZADOS!$A:$H,8,FALSE)),"")</f>
        <v>Autoevaluación Institucional y Pruebas SABER 11</v>
      </c>
      <c r="I319" s="11" t="str">
        <f>IFERROR(IF(VLOOKUP(A319,[3]PRIORIZADOS!$A:$I,9,FALSE)="","",VLOOKUP(A319,[3]PRIORIZADOS!$A:$I,9,FALSE)),"")</f>
        <v>EVALUACIÓN_CON_FINES_DE_MEJORAMIENTO.</v>
      </c>
      <c r="J319" s="11" t="str">
        <f>IFERROR(IF(VLOOKUP(A319,[3]PRIORIZADOS!$A:$J,10,FALSE)="","",VLOOKUP(A319,[3]PRIORIZADOS!$A:$J,10,FALSE)),"")</f>
        <v>Revisar la actualización, socialización e implementación del Sistema Institucional de Evaluación de Estudiantes - SIEE, en articulación con la actualización del PEI y la normatividad vigente.</v>
      </c>
      <c r="K319" s="11" t="str">
        <f>IFERROR(IF(VLOOKUP(A319,[3]PRIORIZADOS!$A:$K,11,FALSE)="","",VLOOKUP(A319,[3]PRIORIZADOS!$A:$K,11,FALSE)),"")</f>
        <v>JOSÉ ANTONIO PÁEZ FETECUA</v>
      </c>
      <c r="L319" s="11" t="str">
        <f>IFERROR(IF(VLOOKUP(A319,[3]PRIORIZADOS!$A:$L,12,FALSE)="","",VLOOKUP(A319,[3]PRIORIZADOS!$A:$L,12,FALSE)),"")</f>
        <v>ANA ANDREA VARGAS GONZÁLEZ</v>
      </c>
      <c r="M319" s="71">
        <f>IFERROR(IF(VLOOKUP(A319,[3]PRIORIZADOS!$A:$M,13,FALSE)="","",VLOOKUP(A319,[3]PRIORIZADOS!$A:$M,13,FALSE)),"")</f>
        <v>45797</v>
      </c>
      <c r="N319" s="71">
        <f>IFERROR(IF(VLOOKUP(A319,[3]PRIORIZADOS!$A:$N,14,FALSE)="","",VLOOKUP(A319,[3]PRIORIZADOS!$A:$N,14,FALSE)),"")</f>
        <v>45797</v>
      </c>
      <c r="O319" s="71">
        <f>IFERROR(IF(VLOOKUP(A319,[3]PRIORIZADOS!$A:$O,15,FALSE)="","",VLOOKUP(A319,[3]PRIORIZADOS!$A:$O,15,FALSE)),"")</f>
        <v>45797</v>
      </c>
      <c r="P319" s="11" t="str">
        <f>IFERROR(IF(VLOOKUP(A319,[3]PRIORIZADOS!$A:$P,16,FALSE)="","",VLOOKUP(A319,[3]PRIORIZADOS!$A:$P,16,FALSE)),"")</f>
        <v>Visitas de evaluación con fines de mejoramiento</v>
      </c>
      <c r="Q319" s="122" t="s">
        <v>65</v>
      </c>
      <c r="R319" s="11" t="str">
        <f>IFERROR(IF(VLOOKUP(A319,[3]PRIORIZADOS!$A:$R,18,FALSE)="","",VLOOKUP(A319,[3]PRIORIZADOS!$A:$R,18,FALSE)),"")</f>
        <v>Se evidencia el Sistema Institucional de Evaluación de Estudiantes - SIEE, actualizado para la vigencia 2025. Fue construido en articulación con el Consejo Directivo y la comunidad educativa desde el año 2019 y se actualiza cada 2 años</v>
      </c>
      <c r="S319" s="11" t="str">
        <f>IFERROR(IF(VLOOKUP(A319,[3]PRIORIZADOS!$A:$S,19,FALSE)="","",VLOOKUP(A319,[3]PRIORIZADOS!$A:$S,19,FALSE)),"")</f>
        <v>Como acción de verificación la Institución Educativa se compromete a remitir la versión actualizada del  Sistema institucional de evaluación de los estudiantes- SIEE</v>
      </c>
      <c r="T319" s="70" t="str">
        <f>IFERROR(IF(VLOOKUP(A319,[3]PRIORIZADOS!$A:$T,20,FALSE)="","",VLOOKUP(A319,[3]PRIORIZADOS!$A:$T,20,FALSE)),"")</f>
        <v>No</v>
      </c>
      <c r="U319" s="11" t="str">
        <f>IFERROR(IF(VLOOKUP(A319,[3]PRIORIZADOS!$A:$U,21,FALSE)="","",VLOOKUP(A319,[3]PRIORIZADOS!$A:$U,21,FALSE)),"")</f>
        <v>Verificar nuevamente el documento en el mes de agosto de 2025 y generar espacios de asesoría, conforme lo requiera la IE</v>
      </c>
    </row>
    <row r="320" spans="1:21" s="1" customFormat="1" ht="48">
      <c r="A320" s="69">
        <f>IF([3]PRIORIZADOS!A131="","",[3]PRIORIZADOS!A131)</f>
        <v>326</v>
      </c>
      <c r="B320" s="70">
        <f>IFERROR(IF(VLOOKUP(A320,[3]PRIORIZADOS!$A:$B,2,FALSE)="","",VLOOKUP(A320,[3]PRIORIZADOS!$A:$B,2,FALSE)),"")</f>
        <v>14</v>
      </c>
      <c r="C320" s="11" t="str">
        <f>IFERROR(IF(VLOOKUP(A320,[3]PRIORIZADOS!$A:$C,3,FALSE)="","",VLOOKUP(A320,[3]PRIORIZADOS!$A:$C,3,FALSE)),"")</f>
        <v>BOSA</v>
      </c>
      <c r="D320" s="11" t="str">
        <f>IFERROR(IF(VLOOKUP(A320,[3]PRIORIZADOS!$A:$D,4,FALSE)="","",VLOOKUP(A320,[3]PRIORIZADOS!$A:$D,4,FALSE)),"")</f>
        <v>PRIVADO</v>
      </c>
      <c r="E320" s="11" t="str">
        <f>IFERROR(IF(VLOOKUP(A320,[3]PRIORIZADOS!$A:$E,5,FALSE)="","",VLOOKUP(A320,[3]PRIORIZADOS!$A:$E,5,FALSE)),"")</f>
        <v>EPBM</v>
      </c>
      <c r="F320" s="11" t="str">
        <f>IFERROR(IF(VLOOKUP(A320,[3]PRIORIZADOS!$A:$F,6,FALSE)="","",VLOOKUP(A320,[3]PRIORIZADOS!$A:$F,6,FALSE)),"")</f>
        <v>LICEO_CULTURAL_LOPEZ_OSORIO</v>
      </c>
      <c r="G320" s="11" t="str">
        <f>IFERROR(IF(VLOOKUP(A320,[3]PRIORIZADOS!$A:$G,7,FALSE)="","",VLOOKUP(A320,[3]PRIORIZADOS!$A:$G,7,FALSE)),"")</f>
        <v>LICEO CULTURAL LOPEZ OSORIO</v>
      </c>
      <c r="H320" s="11" t="str">
        <f>IFERROR(IF(VLOOKUP(A320,[3]PRIORIZADOS!$A:$H,8,FALSE)="","",VLOOKUP(A320,[3]PRIORIZADOS!$A:$H,8,FALSE)),"")</f>
        <v>Autoevaluación Institucional y Pruebas SABER 11</v>
      </c>
      <c r="I320" s="11" t="str">
        <f>IFERROR(IF(VLOOKUP(A320,[3]PRIORIZADOS!$A:$I,9,FALSE)="","",VLOOKUP(A320,[3]PRIORIZADOS!$A:$I,9,FALSE)),"")</f>
        <v>EVALUACIÓN_CON_FINES_DE_MEJORAMIENTO.</v>
      </c>
      <c r="J320" s="11" t="str">
        <f>IFERROR(IF(VLOOKUP(A320,[3]PRIORIZADOS!$A:$J,10,FALSE)="","",VLOOKUP(A320,[3]PRIORIZADOS!$A:$J,10,FALSE)),"")</f>
        <v>Revisar el calendario escolar, jornada escolar, la intensidad horaria mínima anual en cada nivel y las modificaciones que se realicen al mismo, de acuerdo con lo previsto en la normatividad vigente.</v>
      </c>
      <c r="K320" s="11" t="str">
        <f>IFERROR(IF(VLOOKUP(A320,[3]PRIORIZADOS!$A:$K,11,FALSE)="","",VLOOKUP(A320,[3]PRIORIZADOS!$A:$K,11,FALSE)),"")</f>
        <v>JOSÉ ANTONIO PÁEZ FETECUA</v>
      </c>
      <c r="L320" s="11" t="str">
        <f>IFERROR(IF(VLOOKUP(A320,[3]PRIORIZADOS!$A:$L,12,FALSE)="","",VLOOKUP(A320,[3]PRIORIZADOS!$A:$L,12,FALSE)),"")</f>
        <v>ANA ANDREA VARGAS GONZÁLEZ</v>
      </c>
      <c r="M320" s="71">
        <f>IFERROR(IF(VLOOKUP(A320,[3]PRIORIZADOS!$A:$M,13,FALSE)="","",VLOOKUP(A320,[3]PRIORIZADOS!$A:$M,13,FALSE)),"")</f>
        <v>45797</v>
      </c>
      <c r="N320" s="71">
        <f>IFERROR(IF(VLOOKUP(A320,[3]PRIORIZADOS!$A:$N,14,FALSE)="","",VLOOKUP(A320,[3]PRIORIZADOS!$A:$N,14,FALSE)),"")</f>
        <v>45797</v>
      </c>
      <c r="O320" s="71">
        <f>IFERROR(IF(VLOOKUP(A320,[3]PRIORIZADOS!$A:$O,15,FALSE)="","",VLOOKUP(A320,[3]PRIORIZADOS!$A:$O,15,FALSE)),"")</f>
        <v>45797</v>
      </c>
      <c r="P320" s="11" t="str">
        <f>IFERROR(IF(VLOOKUP(A320,[3]PRIORIZADOS!$A:$P,16,FALSE)="","",VLOOKUP(A320,[3]PRIORIZADOS!$A:$P,16,FALSE)),"")</f>
        <v>Visitas de evaluación con fines de mejoramiento</v>
      </c>
      <c r="Q320" s="122" t="s">
        <v>65</v>
      </c>
      <c r="R320" s="11" t="str">
        <f>IFERROR(IF(VLOOKUP(A320,[3]PRIORIZADOS!$A:$R,18,FALSE)="","",VLOOKUP(A320,[3]PRIORIZADOS!$A:$R,18,FALSE)),"")</f>
        <v>El calendario escolar, jornada escolar, la intensidad horaria mínima anual en cada nivel se encuentran conforme lo previsto en la normatividad vigente</v>
      </c>
      <c r="S320" s="11" t="str">
        <f>IFERROR(IF(VLOOKUP(A320,[3]PRIORIZADOS!$A:$S,19,FALSE)="","",VLOOKUP(A320,[3]PRIORIZADOS!$A:$S,19,FALSE)),"")</f>
        <v>Como acción de verificación la Institución Educativa se compromete a remitir la versión actualizada calendario escolar</v>
      </c>
      <c r="T320" s="70" t="str">
        <f>IFERROR(IF(VLOOKUP(A320,[3]PRIORIZADOS!$A:$T,20,FALSE)="","",VLOOKUP(A320,[3]PRIORIZADOS!$A:$T,20,FALSE)),"")</f>
        <v>No</v>
      </c>
      <c r="U320" s="11" t="str">
        <f>IFERROR(IF(VLOOKUP(A320,[3]PRIORIZADOS!$A:$U,21,FALSE)="","",VLOOKUP(A320,[3]PRIORIZADOS!$A:$U,21,FALSE)),"")</f>
        <v>Verificar nuevamente el documento en el mes de agosto de 2025 y generar espacios de asesoría, conforme lo requiera la IE</v>
      </c>
    </row>
    <row r="321" spans="1:21" s="1" customFormat="1" ht="48">
      <c r="A321" s="69">
        <f>IF([3]PRIORIZADOS!A132="","",[3]PRIORIZADOS!A132)</f>
        <v>327</v>
      </c>
      <c r="B321" s="70">
        <f>IFERROR(IF(VLOOKUP(A321,[3]PRIORIZADOS!$A:$B,2,FALSE)="","",VLOOKUP(A321,[3]PRIORIZADOS!$A:$B,2,FALSE)),"")</f>
        <v>14</v>
      </c>
      <c r="C321" s="11" t="str">
        <f>IFERROR(IF(VLOOKUP(A321,[3]PRIORIZADOS!$A:$C,3,FALSE)="","",VLOOKUP(A321,[3]PRIORIZADOS!$A:$C,3,FALSE)),"")</f>
        <v>BOSA</v>
      </c>
      <c r="D321" s="11" t="str">
        <f>IFERROR(IF(VLOOKUP(A321,[3]PRIORIZADOS!$A:$D,4,FALSE)="","",VLOOKUP(A321,[3]PRIORIZADOS!$A:$D,4,FALSE)),"")</f>
        <v>PRIVADO</v>
      </c>
      <c r="E321" s="11" t="str">
        <f>IFERROR(IF(VLOOKUP(A321,[3]PRIORIZADOS!$A:$E,5,FALSE)="","",VLOOKUP(A321,[3]PRIORIZADOS!$A:$E,5,FALSE)),"")</f>
        <v>EPBM</v>
      </c>
      <c r="F321" s="11" t="str">
        <f>IFERROR(IF(VLOOKUP(A321,[3]PRIORIZADOS!$A:$F,6,FALSE)="","",VLOOKUP(A321,[3]PRIORIZADOS!$A:$F,6,FALSE)),"")</f>
        <v>LICEO_CULTURAL_LOPEZ_OSORIO</v>
      </c>
      <c r="G321" s="11" t="str">
        <f>IFERROR(IF(VLOOKUP(A321,[3]PRIORIZADOS!$A:$G,7,FALSE)="","",VLOOKUP(A321,[3]PRIORIZADOS!$A:$G,7,FALSE)),"")</f>
        <v>LICEO CULTURAL LOPEZ OSORIO</v>
      </c>
      <c r="H321" s="11" t="str">
        <f>IFERROR(IF(VLOOKUP(A321,[3]PRIORIZADOS!$A:$H,8,FALSE)="","",VLOOKUP(A321,[3]PRIORIZADOS!$A:$H,8,FALSE)),"")</f>
        <v>Autoevaluación Institucional y Pruebas SABER 11</v>
      </c>
      <c r="I321" s="11" t="str">
        <f>IFERROR(IF(VLOOKUP(A321,[3]PRIORIZADOS!$A:$I,9,FALSE)="","",VLOOKUP(A321,[3]PRIORIZADOS!$A:$I,9,FALSE)),"")</f>
        <v>EVALUACIÓN_CON_FINES_DE_MEJORAMIENTO.</v>
      </c>
      <c r="J321" s="11" t="str">
        <f>IFERROR(IF(VLOOKUP(A321,[3]PRIORIZADOS!$A:$J,10,FALSE)="","",VLOOKUP(A321,[3]PRIORIZADOS!$A:$J,10,FALSE)),"")</f>
        <v>Verificar el funcionamiento del Gobierno Escolar e instancias de participación con base en la información sobre conformación reportada por la institución educativa.</v>
      </c>
      <c r="K321" s="11" t="str">
        <f>IFERROR(IF(VLOOKUP(A321,[3]PRIORIZADOS!$A:$K,11,FALSE)="","",VLOOKUP(A321,[3]PRIORIZADOS!$A:$K,11,FALSE)),"")</f>
        <v>JOSÉ ANTONIO PÁEZ FETECUA</v>
      </c>
      <c r="L321" s="11" t="str">
        <f>IFERROR(IF(VLOOKUP(A321,[3]PRIORIZADOS!$A:$L,12,FALSE)="","",VLOOKUP(A321,[3]PRIORIZADOS!$A:$L,12,FALSE)),"")</f>
        <v>ANA ANDREA VARGAS GONZÁLEZ</v>
      </c>
      <c r="M321" s="71">
        <f>IFERROR(IF(VLOOKUP(A321,[3]PRIORIZADOS!$A:$M,13,FALSE)="","",VLOOKUP(A321,[3]PRIORIZADOS!$A:$M,13,FALSE)),"")</f>
        <v>45797</v>
      </c>
      <c r="N321" s="71">
        <f>IFERROR(IF(VLOOKUP(A321,[3]PRIORIZADOS!$A:$N,14,FALSE)="","",VLOOKUP(A321,[3]PRIORIZADOS!$A:$N,14,FALSE)),"")</f>
        <v>45797</v>
      </c>
      <c r="O321" s="71">
        <f>IFERROR(IF(VLOOKUP(A321,[3]PRIORIZADOS!$A:$O,15,FALSE)="","",VLOOKUP(A321,[3]PRIORIZADOS!$A:$O,15,FALSE)),"")</f>
        <v>45797</v>
      </c>
      <c r="P321" s="11" t="str">
        <f>IFERROR(IF(VLOOKUP(A321,[3]PRIORIZADOS!$A:$P,16,FALSE)="","",VLOOKUP(A321,[3]PRIORIZADOS!$A:$P,16,FALSE)),"")</f>
        <v>Visitas de evaluación con fines de mejoramiento</v>
      </c>
      <c r="Q321" s="122" t="s">
        <v>65</v>
      </c>
      <c r="R321" s="11" t="str">
        <f>IFERROR(IF(VLOOKUP(A321,[3]PRIORIZADOS!$A:$R,18,FALSE)="","",VLOOKUP(A321,[3]PRIORIZADOS!$A:$R,18,FALSE)),"")</f>
        <v>La constitución del Gobierno Escolar y sus órganos de participación, se encuentra conforme a la Normativa Vigente</v>
      </c>
      <c r="S321" s="11" t="str">
        <f>IFERROR(IF(VLOOKUP(A321,[3]PRIORIZADOS!$A:$S,19,FALSE)="","",VLOOKUP(A321,[3]PRIORIZADOS!$A:$S,19,FALSE)),"")</f>
        <v>Continuar operando conforme funciones y reglamentos.</v>
      </c>
      <c r="T321" s="70" t="str">
        <f>IFERROR(IF(VLOOKUP(A321,[3]PRIORIZADOS!$A:$T,20,FALSE)="","",VLOOKUP(A321,[3]PRIORIZADOS!$A:$T,20,FALSE)),"")</f>
        <v>No</v>
      </c>
      <c r="U321" s="11" t="str">
        <f>IFERROR(IF(VLOOKUP(A321,[3]PRIORIZADOS!$A:$U,21,FALSE)="","",VLOOKUP(A321,[3]PRIORIZADOS!$A:$U,21,FALSE)),"")</f>
        <v>Verificar la conformación del Gobierno Escolar e instancias para la vigencia 2026 o antes si la IE lo requiere o se presenta solicitud o queja.</v>
      </c>
    </row>
    <row r="322" spans="1:21" s="1" customFormat="1" ht="60">
      <c r="A322" s="69">
        <f>IF([3]PRIORIZADOS!A133="","",[3]PRIORIZADOS!A133)</f>
        <v>328</v>
      </c>
      <c r="B322" s="70">
        <f>IFERROR(IF(VLOOKUP(A322,[3]PRIORIZADOS!$A:$B,2,FALSE)="","",VLOOKUP(A322,[3]PRIORIZADOS!$A:$B,2,FALSE)),"")</f>
        <v>14</v>
      </c>
      <c r="C322" s="11" t="str">
        <f>IFERROR(IF(VLOOKUP(A322,[3]PRIORIZADOS!$A:$C,3,FALSE)="","",VLOOKUP(A322,[3]PRIORIZADOS!$A:$C,3,FALSE)),"")</f>
        <v>BOSA</v>
      </c>
      <c r="D322" s="11" t="str">
        <f>IFERROR(IF(VLOOKUP(A322,[3]PRIORIZADOS!$A:$D,4,FALSE)="","",VLOOKUP(A322,[3]PRIORIZADOS!$A:$D,4,FALSE)),"")</f>
        <v>PRIVADO</v>
      </c>
      <c r="E322" s="11" t="str">
        <f>IFERROR(IF(VLOOKUP(A322,[3]PRIORIZADOS!$A:$E,5,FALSE)="","",VLOOKUP(A322,[3]PRIORIZADOS!$A:$E,5,FALSE)),"")</f>
        <v>EPBM</v>
      </c>
      <c r="F322" s="11" t="str">
        <f>IFERROR(IF(VLOOKUP(A322,[3]PRIORIZADOS!$A:$F,6,FALSE)="","",VLOOKUP(A322,[3]PRIORIZADOS!$A:$F,6,FALSE)),"")</f>
        <v>LICEO_CULTURAL_LOPEZ_OSORIO</v>
      </c>
      <c r="G322" s="11" t="str">
        <f>IFERROR(IF(VLOOKUP(A322,[3]PRIORIZADOS!$A:$G,7,FALSE)="","",VLOOKUP(A322,[3]PRIORIZADOS!$A:$G,7,FALSE)),"")</f>
        <v>LICEO CULTURAL LOPEZ OSORIO</v>
      </c>
      <c r="H322" s="11" t="str">
        <f>IFERROR(IF(VLOOKUP(A322,[3]PRIORIZADOS!$A:$H,8,FALSE)="","",VLOOKUP(A322,[3]PRIORIZADOS!$A:$H,8,FALSE)),"")</f>
        <v>Autoevaluación Institucional y Pruebas SABER 11</v>
      </c>
      <c r="I322" s="11" t="str">
        <f>IFERROR(IF(VLOOKUP(A322,[3]PRIORIZADOS!$A:$I,9,FALSE)="","",VLOOKUP(A322,[3]PRIORIZADOS!$A:$I,9,FALSE)),"")</f>
        <v>EVALUACIÓN_CON_FINES_DE_MEJORAMIENTO.</v>
      </c>
      <c r="J322" s="11" t="str">
        <f>IFERROR(IF(VLOOKUP(A322,[3]PRIORIZADOS!$A:$J,10,FALSE)="","",VLOOKUP(A322,[3]PRIORIZADOS!$A:$J,10,FALSE)),"")</f>
        <v>Verificar las condiciones en cuanto a: la estructura administrativa, condiciones de la planta física y medios educativos adecuados.</v>
      </c>
      <c r="K322" s="11" t="str">
        <f>IFERROR(IF(VLOOKUP(A322,[3]PRIORIZADOS!$A:$K,11,FALSE)="","",VLOOKUP(A322,[3]PRIORIZADOS!$A:$K,11,FALSE)),"")</f>
        <v>JOSÉ ANTONIO PÁEZ FETECUA</v>
      </c>
      <c r="L322" s="11" t="str">
        <f>IFERROR(IF(VLOOKUP(A322,[3]PRIORIZADOS!$A:$L,12,FALSE)="","",VLOOKUP(A322,[3]PRIORIZADOS!$A:$L,12,FALSE)),"")</f>
        <v>ANA ANDREA VARGAS GONZÁLEZ</v>
      </c>
      <c r="M322" s="71">
        <f>IFERROR(IF(VLOOKUP(A322,[3]PRIORIZADOS!$A:$M,13,FALSE)="","",VLOOKUP(A322,[3]PRIORIZADOS!$A:$M,13,FALSE)),"")</f>
        <v>45797</v>
      </c>
      <c r="N322" s="71">
        <f>IFERROR(IF(VLOOKUP(A322,[3]PRIORIZADOS!$A:$N,14,FALSE)="","",VLOOKUP(A322,[3]PRIORIZADOS!$A:$N,14,FALSE)),"")</f>
        <v>45797</v>
      </c>
      <c r="O322" s="71">
        <f>IFERROR(IF(VLOOKUP(A322,[3]PRIORIZADOS!$A:$O,15,FALSE)="","",VLOOKUP(A322,[3]PRIORIZADOS!$A:$O,15,FALSE)),"")</f>
        <v>45797</v>
      </c>
      <c r="P322" s="11" t="str">
        <f>IFERROR(IF(VLOOKUP(A322,[3]PRIORIZADOS!$A:$P,16,FALSE)="","",VLOOKUP(A322,[3]PRIORIZADOS!$A:$P,16,FALSE)),"")</f>
        <v>Visitas de evaluación con fines de mejoramiento</v>
      </c>
      <c r="Q322" s="122" t="s">
        <v>65</v>
      </c>
      <c r="R322" s="11" t="str">
        <f>IFERROR(IF(VLOOKUP(A322,[3]PRIORIZADOS!$A:$R,18,FALSE)="","",VLOOKUP(A322,[3]PRIORIZADOS!$A:$R,18,FALSE)),"")</f>
        <v>Se realiza un recorrido en las instalaciones de la IE, verificando las condiciones en cuanto a: la estructura administrativa, condiciones de la planta física y medios educativos adecuados.</v>
      </c>
      <c r="S322" s="11" t="str">
        <f>IFERROR(IF(VLOOKUP(A322,[3]PRIORIZADOS!$A:$S,19,FALSE)="","",VLOOKUP(A322,[3]PRIORIZADOS!$A:$S,19,FALSE)),"")</f>
        <v>Las condiciones de la planta física son adecuadas y se recomienda actualizar el mobiliario más antiguo</v>
      </c>
      <c r="T322" s="70" t="str">
        <f>IFERROR(IF(VLOOKUP(A322,[3]PRIORIZADOS!$A:$T,20,FALSE)="","",VLOOKUP(A322,[3]PRIORIZADOS!$A:$T,20,FALSE)),"")</f>
        <v>No</v>
      </c>
      <c r="U322" s="11" t="str">
        <f>IFERROR(IF(VLOOKUP(A322,[3]PRIORIZADOS!$A:$U,21,FALSE)="","",VLOOKUP(A322,[3]PRIORIZADOS!$A:$U,21,FALSE)),"")</f>
        <v>Las condiciones de la planta física garantizan la adecuada prestación del servicio educativo</v>
      </c>
    </row>
    <row r="323" spans="1:21" s="1" customFormat="1" ht="60">
      <c r="A323" s="69">
        <f>IF([3]PRIORIZADOS!A134="","",[3]PRIORIZADOS!A134)</f>
        <v>329</v>
      </c>
      <c r="B323" s="70">
        <f>IFERROR(IF(VLOOKUP(A323,[3]PRIORIZADOS!$A:$B,2,FALSE)="","",VLOOKUP(A323,[3]PRIORIZADOS!$A:$B,2,FALSE)),"")</f>
        <v>15</v>
      </c>
      <c r="C323" s="11" t="str">
        <f>IFERROR(IF(VLOOKUP(A323,[3]PRIORIZADOS!$A:$C,3,FALSE)="","",VLOOKUP(A323,[3]PRIORIZADOS!$A:$C,3,FALSE)),"")</f>
        <v>BOSA</v>
      </c>
      <c r="D323" s="11" t="str">
        <f>IFERROR(IF(VLOOKUP(A323,[3]PRIORIZADOS!$A:$D,4,FALSE)="","",VLOOKUP(A323,[3]PRIORIZADOS!$A:$D,4,FALSE)),"")</f>
        <v>PRIVADO</v>
      </c>
      <c r="E323" s="11" t="str">
        <f>IFERROR(IF(VLOOKUP(A323,[3]PRIORIZADOS!$A:$E,5,FALSE)="","",VLOOKUP(A323,[3]PRIORIZADOS!$A:$E,5,FALSE)),"")</f>
        <v>EPBM</v>
      </c>
      <c r="F323" s="11" t="str">
        <f>IFERROR(IF(VLOOKUP(A323,[3]PRIORIZADOS!$A:$F,6,FALSE)="","",VLOOKUP(A323,[3]PRIORIZADOS!$A:$F,6,FALSE)),"")</f>
        <v>LICEO_CULTURAL_LUIS_ENRIQUE_OSORIO</v>
      </c>
      <c r="G323" s="11" t="str">
        <f>IFERROR(IF(VLOOKUP(A323,[3]PRIORIZADOS!$A:$G,7,FALSE)="","",VLOOKUP(A323,[3]PRIORIZADOS!$A:$G,7,FALSE)),"")</f>
        <v>LICEO CULTURAL LUIS ENRIQUE OSORIO</v>
      </c>
      <c r="H323" s="11" t="str">
        <f>IFERROR(IF(VLOOKUP(A323,[3]PRIORIZADOS!$A:$H,8,FALSE)="","",VLOOKUP(A323,[3]PRIORIZADOS!$A:$H,8,FALSE)),"")</f>
        <v>Autoevaluación Institucional y Pruebas SABER 11</v>
      </c>
      <c r="I323" s="11" t="str">
        <f>IFERROR(IF(VLOOKUP(A323,[3]PRIORIZADOS!$A:$I,9,FALSE)="","",VLOOKUP(A323,[3]PRIORIZADOS!$A:$I,9,FALSE)),"")</f>
        <v>SEGUIMIENTO_Y_SUPERVISIÓN.</v>
      </c>
      <c r="J323" s="11" t="str">
        <f>IFERROR(IF(VLOOKUP(A323,[3]PRIORIZADOS!$A:$J,10,FALSE)="","",VLOOKUP(A323,[3]PRIORIZADOS!$A:$J,10,FALSE)),"")</f>
        <v>Realizar visitas para verificar la información registrada sobre la autoevaluación institucional en el aplicativo EVI, a los establecimientos de educación formal no oficial.</v>
      </c>
      <c r="K323" s="11" t="str">
        <f>IFERROR(IF(VLOOKUP(A323,[3]PRIORIZADOS!$A:$K,11,FALSE)="","",VLOOKUP(A323,[3]PRIORIZADOS!$A:$K,11,FALSE)),"")</f>
        <v>JULIÁN FELIPE BERNAL GARZÓN</v>
      </c>
      <c r="L323" s="11" t="str">
        <f>IFERROR(IF(VLOOKUP(A323,[3]PRIORIZADOS!$A:$L,12,FALSE)="","",VLOOKUP(A323,[3]PRIORIZADOS!$A:$L,12,FALSE)),"")</f>
        <v>ESTEFANY PEÑA GARCIA</v>
      </c>
      <c r="M323" s="71">
        <f>IFERROR(IF(VLOOKUP(A323,[3]PRIORIZADOS!$A:$M,13,FALSE)="","",VLOOKUP(A323,[3]PRIORIZADOS!$A:$M,13,FALSE)),"")</f>
        <v>45799</v>
      </c>
      <c r="N323" s="71">
        <f>IFERROR(IF(VLOOKUP(A323,[3]PRIORIZADOS!$A:$N,14,FALSE)="","",VLOOKUP(A323,[3]PRIORIZADOS!$A:$N,14,FALSE)),"")</f>
        <v>45799</v>
      </c>
      <c r="O323" s="71">
        <f>IFERROR(IF(VLOOKUP(A323,[3]PRIORIZADOS!$A:$O,15,FALSE)="","",VLOOKUP(A323,[3]PRIORIZADOS!$A:$O,15,FALSE)),"")</f>
        <v>45799</v>
      </c>
      <c r="P323" s="11" t="str">
        <f>IFERROR(IF(VLOOKUP(A323,[3]PRIORIZADOS!$A:$P,16,FALSE)="","",VLOOKUP(A323,[3]PRIORIZADOS!$A:$P,16,FALSE)),"")</f>
        <v>Visitas de evaluación con fines de mejoramiento</v>
      </c>
      <c r="Q323" s="122" t="s">
        <v>66</v>
      </c>
      <c r="R323" s="11" t="str">
        <f>IFERROR(IF(VLOOKUP(A323,[3]PRIORIZADOS!$A:$R,18,FALSE)="","",VLOOKUP(A323,[3]PRIORIZADOS!$A:$R,18,FALSE)),"")</f>
        <v>La información consignada en la Plataforma EVI relacionada con los indicadores de: planta física, dotación de espacios y calendario académico coincide con lo verificado en campo</v>
      </c>
      <c r="S323" s="11" t="str">
        <f>IFERROR(IF(VLOOKUP(A323,[3]PRIORIZADOS!$A:$S,19,FALSE)="","",VLOOKUP(A323,[3]PRIORIZADOS!$A:$S,19,FALSE)),"")</f>
        <v xml:space="preserve">Se concluye que la IE realizará su autoevalución institucional en el mes octubre.  </v>
      </c>
      <c r="T323" s="70" t="str">
        <f>IFERROR(IF(VLOOKUP(A323,[3]PRIORIZADOS!$A:$T,20,FALSE)="","",VLOOKUP(A323,[3]PRIORIZADOS!$A:$T,20,FALSE)),"")</f>
        <v>No</v>
      </c>
      <c r="U323" s="11" t="str">
        <f>IFERROR(IF(VLOOKUP(A323,[3]PRIORIZADOS!$A:$U,21,FALSE)="","",VLOOKUP(A323,[3]PRIORIZADOS!$A:$U,21,FALSE)),"")</f>
        <v>Se verificará la información cargada por la IE en el aplicativo EVI de la autoevaluación,  para la emisión del concepto de tarifas 2026</v>
      </c>
    </row>
    <row r="324" spans="1:21" s="1" customFormat="1" ht="60">
      <c r="A324" s="69">
        <f>IF([3]PRIORIZADOS!A135="","",[3]PRIORIZADOS!A135)</f>
        <v>330</v>
      </c>
      <c r="B324" s="70">
        <f>IFERROR(IF(VLOOKUP(A324,[3]PRIORIZADOS!$A:$B,2,FALSE)="","",VLOOKUP(A324,[3]PRIORIZADOS!$A:$B,2,FALSE)),"")</f>
        <v>15</v>
      </c>
      <c r="C324" s="11" t="str">
        <f>IFERROR(IF(VLOOKUP(A324,[3]PRIORIZADOS!$A:$C,3,FALSE)="","",VLOOKUP(A324,[3]PRIORIZADOS!$A:$C,3,FALSE)),"")</f>
        <v>BOSA</v>
      </c>
      <c r="D324" s="11" t="str">
        <f>IFERROR(IF(VLOOKUP(A324,[3]PRIORIZADOS!$A:$D,4,FALSE)="","",VLOOKUP(A324,[3]PRIORIZADOS!$A:$D,4,FALSE)),"")</f>
        <v>PRIVADO</v>
      </c>
      <c r="E324" s="11" t="str">
        <f>IFERROR(IF(VLOOKUP(A324,[3]PRIORIZADOS!$A:$E,5,FALSE)="","",VLOOKUP(A324,[3]PRIORIZADOS!$A:$E,5,FALSE)),"")</f>
        <v>EPBM</v>
      </c>
      <c r="F324" s="11" t="str">
        <f>IFERROR(IF(VLOOKUP(A324,[3]PRIORIZADOS!$A:$F,6,FALSE)="","",VLOOKUP(A324,[3]PRIORIZADOS!$A:$F,6,FALSE)),"")</f>
        <v>LICEO_CULTURAL_LUIS_ENRIQUE_OSORIO</v>
      </c>
      <c r="G324" s="11" t="str">
        <f>IFERROR(IF(VLOOKUP(A324,[3]PRIORIZADOS!$A:$G,7,FALSE)="","",VLOOKUP(A324,[3]PRIORIZADOS!$A:$G,7,FALSE)),"")</f>
        <v>LICEO CULTURAL LUIS ENRIQUE OSORIO</v>
      </c>
      <c r="H324" s="11" t="str">
        <f>IFERROR(IF(VLOOKUP(A324,[3]PRIORIZADOS!$A:$H,8,FALSE)="","",VLOOKUP(A324,[3]PRIORIZADOS!$A:$H,8,FALSE)),"")</f>
        <v>Autoevaluación Institucional y Pruebas SABER 11</v>
      </c>
      <c r="I324" s="11" t="str">
        <f>IFERROR(IF(VLOOKUP(A324,[3]PRIORIZADOS!$A:$I,9,FALSE)="","",VLOOKUP(A324,[3]PRIORIZADOS!$A:$I,9,FALSE)),"")</f>
        <v>SEGUIMIENTO_Y_SUPERVISIÓN.</v>
      </c>
      <c r="J324" s="11" t="str">
        <f>IFERROR(IF(VLOOKUP(A324,[3]PRIORIZADOS!$A:$J,10,FALSE)="","",VLOOKUP(A324,[3]PRIORIZADOS!$A:$J,10,FALSE)),"")</f>
        <v>Proponer estrategias en la formulación, verificar su elaboración y realizar seguimiento semestral al desarrollo de  las acciones establecidas en los planes de mejoramiento por pruebas SABER 11 de los establecimientos de educación formal.</v>
      </c>
      <c r="K324" s="11" t="str">
        <f>IFERROR(IF(VLOOKUP(A324,[3]PRIORIZADOS!$A:$K,11,FALSE)="","",VLOOKUP(A324,[3]PRIORIZADOS!$A:$K,11,FALSE)),"")</f>
        <v>JULIÁN FELIPE BERNAL GARZÓN</v>
      </c>
      <c r="L324" s="11" t="str">
        <f>IFERROR(IF(VLOOKUP(A324,[3]PRIORIZADOS!$A:$L,12,FALSE)="","",VLOOKUP(A324,[3]PRIORIZADOS!$A:$L,12,FALSE)),"")</f>
        <v>ESTEFANY PEÑA GARCIA</v>
      </c>
      <c r="M324" s="71">
        <f>IFERROR(IF(VLOOKUP(A324,[3]PRIORIZADOS!$A:$M,13,FALSE)="","",VLOOKUP(A324,[3]PRIORIZADOS!$A:$M,13,FALSE)),"")</f>
        <v>45799</v>
      </c>
      <c r="N324" s="71">
        <f>IFERROR(IF(VLOOKUP(A324,[3]PRIORIZADOS!$A:$N,14,FALSE)="","",VLOOKUP(A324,[3]PRIORIZADOS!$A:$N,14,FALSE)),"")</f>
        <v>45799</v>
      </c>
      <c r="O324" s="71">
        <f>IFERROR(IF(VLOOKUP(A324,[3]PRIORIZADOS!$A:$O,15,FALSE)="","",VLOOKUP(A324,[3]PRIORIZADOS!$A:$O,15,FALSE)),"")</f>
        <v>45799</v>
      </c>
      <c r="P324" s="11" t="str">
        <f>IFERROR(IF(VLOOKUP(A324,[3]PRIORIZADOS!$A:$P,16,FALSE)="","",VLOOKUP(A324,[3]PRIORIZADOS!$A:$P,16,FALSE)),"")</f>
        <v>Visitas de evaluación con fines de seguimiento</v>
      </c>
      <c r="Q324" s="122" t="s">
        <v>66</v>
      </c>
      <c r="R324" s="11" t="str">
        <f>IFERROR(IF(VLOOKUP(A324,[3]PRIORIZADOS!$A:$R,18,FALSE)="","",VLOOKUP(A324,[3]PRIORIZADOS!$A:$R,18,FALSE)),"")</f>
        <v>Se adelanta la revisión de los Resultados de las Pruebas Saber 11, encontrando que la IE se encuentra en Categoría A</v>
      </c>
      <c r="S324" s="11" t="str">
        <f>IFERROR(IF(VLOOKUP(A324,[3]PRIORIZADOS!$A:$S,19,FALSE)="","",VLOOKUP(A324,[3]PRIORIZADOS!$A:$S,19,FALSE)),"")</f>
        <v>Se aporta documento que la Institución educativa que compara diferentes vigencias y la mejora anual hasta llegar a la categoría A en los resultados 2024</v>
      </c>
      <c r="T324" s="70" t="str">
        <f>IFERROR(IF(VLOOKUP(A324,[3]PRIORIZADOS!$A:$T,20,FALSE)="","",VLOOKUP(A324,[3]PRIORIZADOS!$A:$T,20,FALSE)),"")</f>
        <v>No</v>
      </c>
      <c r="U324" s="11" t="str">
        <f>IFERROR(IF(VLOOKUP(A324,[3]PRIORIZADOS!$A:$U,21,FALSE)="","",VLOOKUP(A324,[3]PRIORIZADOS!$A:$U,21,FALSE)),"")</f>
        <v>Se acordó revisar nuevamente el documento en el mes de agosto de 2025 y generar espacios de asesoría, conforme lo requiera la IE</v>
      </c>
    </row>
    <row r="325" spans="1:21" s="1" customFormat="1" ht="72">
      <c r="A325" s="69">
        <f>IF([3]PRIORIZADOS!A136="","",[3]PRIORIZADOS!A136)</f>
        <v>331</v>
      </c>
      <c r="B325" s="70">
        <f>IFERROR(IF(VLOOKUP(A325,[3]PRIORIZADOS!$A:$B,2,FALSE)="","",VLOOKUP(A325,[3]PRIORIZADOS!$A:$B,2,FALSE)),"")</f>
        <v>15</v>
      </c>
      <c r="C325" s="11" t="str">
        <f>IFERROR(IF(VLOOKUP(A325,[3]PRIORIZADOS!$A:$C,3,FALSE)="","",VLOOKUP(A325,[3]PRIORIZADOS!$A:$C,3,FALSE)),"")</f>
        <v>BOSA</v>
      </c>
      <c r="D325" s="11" t="str">
        <f>IFERROR(IF(VLOOKUP(A325,[3]PRIORIZADOS!$A:$D,4,FALSE)="","",VLOOKUP(A325,[3]PRIORIZADOS!$A:$D,4,FALSE)),"")</f>
        <v>PRIVADO</v>
      </c>
      <c r="E325" s="11" t="str">
        <f>IFERROR(IF(VLOOKUP(A325,[3]PRIORIZADOS!$A:$E,5,FALSE)="","",VLOOKUP(A325,[3]PRIORIZADOS!$A:$E,5,FALSE)),"")</f>
        <v>EPBM</v>
      </c>
      <c r="F325" s="11" t="str">
        <f>IFERROR(IF(VLOOKUP(A325,[3]PRIORIZADOS!$A:$F,6,FALSE)="","",VLOOKUP(A325,[3]PRIORIZADOS!$A:$F,6,FALSE)),"")</f>
        <v>LICEO_CULTURAL_LUIS_ENRIQUE_OSORIO</v>
      </c>
      <c r="G325" s="11" t="str">
        <f>IFERROR(IF(VLOOKUP(A325,[3]PRIORIZADOS!$A:$G,7,FALSE)="","",VLOOKUP(A325,[3]PRIORIZADOS!$A:$G,7,FALSE)),"")</f>
        <v>LICEO CULTURAL LUIS ENRIQUE OSORIO</v>
      </c>
      <c r="H325" s="11" t="str">
        <f>IFERROR(IF(VLOOKUP(A325,[3]PRIORIZADOS!$A:$H,8,FALSE)="","",VLOOKUP(A325,[3]PRIORIZADOS!$A:$H,8,FALSE)),"")</f>
        <v>Autoevaluación Institucional y Pruebas SABER 11</v>
      </c>
      <c r="I325" s="11" t="str">
        <f>IFERROR(IF(VLOOKUP(A325,[3]PRIORIZADOS!$A:$I,9,FALSE)="","",VLOOKUP(A325,[3]PRIORIZADOS!$A:$I,9,FALSE)),"")</f>
        <v>SEGUIMIENTO_Y_SUPERVISIÓN.</v>
      </c>
      <c r="J325" s="11" t="str">
        <f>IFERROR(IF(VLOOKUP(A325,[3]PRIORIZADOS!$A:$J,10,FALSE)="","",VLOOKUP(A325,[3]PRIORIZADOS!$A:$J,10,FALSE)),"")</f>
        <v xml:space="preserve">Verificar la implementación por parte de los colegios, de acciones realizadas para la prevención y atención de las situaciones de convivencia en el entorno escolar, según lo establecido en la Directiva 01 de 2022 del MEN. </v>
      </c>
      <c r="K325" s="11" t="str">
        <f>IFERROR(IF(VLOOKUP(A325,[3]PRIORIZADOS!$A:$K,11,FALSE)="","",VLOOKUP(A325,[3]PRIORIZADOS!$A:$K,11,FALSE)),"")</f>
        <v>JULIÁN FELIPE BERNAL GARZÓN</v>
      </c>
      <c r="L325" s="11" t="str">
        <f>IFERROR(IF(VLOOKUP(A325,[3]PRIORIZADOS!$A:$L,12,FALSE)="","",VLOOKUP(A325,[3]PRIORIZADOS!$A:$L,12,FALSE)),"")</f>
        <v>ESTEFANY PEÑA GARCIA</v>
      </c>
      <c r="M325" s="71">
        <f>IFERROR(IF(VLOOKUP(A325,[3]PRIORIZADOS!$A:$M,13,FALSE)="","",VLOOKUP(A325,[3]PRIORIZADOS!$A:$M,13,FALSE)),"")</f>
        <v>45799</v>
      </c>
      <c r="N325" s="71">
        <f>IFERROR(IF(VLOOKUP(A325,[3]PRIORIZADOS!$A:$N,14,FALSE)="","",VLOOKUP(A325,[3]PRIORIZADOS!$A:$N,14,FALSE)),"")</f>
        <v>45799</v>
      </c>
      <c r="O325" s="71">
        <f>IFERROR(IF(VLOOKUP(A325,[3]PRIORIZADOS!$A:$O,15,FALSE)="","",VLOOKUP(A325,[3]PRIORIZADOS!$A:$O,15,FALSE)),"")</f>
        <v>45799</v>
      </c>
      <c r="P325" s="11" t="str">
        <f>IFERROR(IF(VLOOKUP(A325,[3]PRIORIZADOS!$A:$P,16,FALSE)="","",VLOOKUP(A325,[3]PRIORIZADOS!$A:$P,16,FALSE)),"")</f>
        <v>Visitas de evaluación con fines de mejoramiento</v>
      </c>
      <c r="Q325" s="122" t="s">
        <v>66</v>
      </c>
      <c r="R325" s="11" t="str">
        <f>IFERROR(IF(VLOOKUP(A325,[3]PRIORIZADOS!$A:$R,18,FALSE)="","",VLOOKUP(A325,[3]PRIORIZADOS!$A:$R,18,FALSE)),"")</f>
        <v>Se verifica la implementación de acciones  realizadas para la prevención como lo es la verificación de inhabilidades por delitos sexuales en el sistema de la Policía Nacional.</v>
      </c>
      <c r="S325" s="11" t="str">
        <f>IFERROR(IF(VLOOKUP(A325,[3]PRIORIZADOS!$A:$S,19,FALSE)="","",VLOOKUP(A325,[3]PRIORIZADOS!$A:$S,19,FALSE)),"")</f>
        <v>Como acción de verificación se solicita implementar  la autorización de directivos, docentes y administrativos para las consultas de antecedentes en los sistemas que se requieran al momento de la vinculación</v>
      </c>
      <c r="T325" s="70" t="str">
        <f>IFERROR(IF(VLOOKUP(A325,[3]PRIORIZADOS!$A:$T,20,FALSE)="","",VLOOKUP(A325,[3]PRIORIZADOS!$A:$T,20,FALSE)),"")</f>
        <v>No</v>
      </c>
      <c r="U325" s="11" t="str">
        <f>IFERROR(IF(VLOOKUP(A325,[3]PRIORIZADOS!$A:$U,21,FALSE)="","",VLOOKUP(A325,[3]PRIORIZADOS!$A:$U,21,FALSE)),"")</f>
        <v>Verificar que la IE cuente con las respectivas autorizaciones para las consultas de antedecentes del personal vinculado.</v>
      </c>
    </row>
    <row r="326" spans="1:21" s="1" customFormat="1" ht="72">
      <c r="A326" s="69">
        <f>IF([3]PRIORIZADOS!A137="","",[3]PRIORIZADOS!A137)</f>
        <v>332</v>
      </c>
      <c r="B326" s="70">
        <f>IFERROR(IF(VLOOKUP(A326,[3]PRIORIZADOS!$A:$B,2,FALSE)="","",VLOOKUP(A326,[3]PRIORIZADOS!$A:$B,2,FALSE)),"")</f>
        <v>15</v>
      </c>
      <c r="C326" s="11" t="str">
        <f>IFERROR(IF(VLOOKUP(A326,[3]PRIORIZADOS!$A:$C,3,FALSE)="","",VLOOKUP(A326,[3]PRIORIZADOS!$A:$C,3,FALSE)),"")</f>
        <v>BOSA</v>
      </c>
      <c r="D326" s="11" t="str">
        <f>IFERROR(IF(VLOOKUP(A326,[3]PRIORIZADOS!$A:$D,4,FALSE)="","",VLOOKUP(A326,[3]PRIORIZADOS!$A:$D,4,FALSE)),"")</f>
        <v>PRIVADO</v>
      </c>
      <c r="E326" s="11" t="str">
        <f>IFERROR(IF(VLOOKUP(A326,[3]PRIORIZADOS!$A:$E,5,FALSE)="","",VLOOKUP(A326,[3]PRIORIZADOS!$A:$E,5,FALSE)),"")</f>
        <v>EPBM</v>
      </c>
      <c r="F326" s="11" t="str">
        <f>IFERROR(IF(VLOOKUP(A326,[3]PRIORIZADOS!$A:$F,6,FALSE)="","",VLOOKUP(A326,[3]PRIORIZADOS!$A:$F,6,FALSE)),"")</f>
        <v>LICEO_CULTURAL_LUIS_ENRIQUE_OSORIO</v>
      </c>
      <c r="G326" s="11" t="str">
        <f>IFERROR(IF(VLOOKUP(A326,[3]PRIORIZADOS!$A:$G,7,FALSE)="","",VLOOKUP(A326,[3]PRIORIZADOS!$A:$G,7,FALSE)),"")</f>
        <v>LICEO CULTURAL LUIS ENRIQUE OSORIO</v>
      </c>
      <c r="H326" s="11" t="str">
        <f>IFERROR(IF(VLOOKUP(A326,[3]PRIORIZADOS!$A:$H,8,FALSE)="","",VLOOKUP(A326,[3]PRIORIZADOS!$A:$H,8,FALSE)),"")</f>
        <v>Autoevaluación Institucional y Pruebas SABER 11</v>
      </c>
      <c r="I326" s="11" t="str">
        <f>IFERROR(IF(VLOOKUP(A326,[3]PRIORIZADOS!$A:$I,9,FALSE)="","",VLOOKUP(A326,[3]PRIORIZADOS!$A:$I,9,FALSE)),"")</f>
        <v>SEGUIMIENTO_Y_SUPERVISIÓN.</v>
      </c>
      <c r="J326" s="11" t="str">
        <f>IFERROR(IF(VLOOKUP(A326,[3]PRIORIZADOS!$A:$J,10,FALSE)="","",VLOOKUP(A326,[3]PRIORIZADOS!$A:$J,10,FALSE)),"")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26" s="11" t="str">
        <f>IFERROR(IF(VLOOKUP(A326,[3]PRIORIZADOS!$A:$K,11,FALSE)="","",VLOOKUP(A326,[3]PRIORIZADOS!$A:$K,11,FALSE)),"")</f>
        <v>JULIÁN FELIPE BERNAL GARZÓN</v>
      </c>
      <c r="L326" s="11" t="str">
        <f>IFERROR(IF(VLOOKUP(A326,[3]PRIORIZADOS!$A:$L,12,FALSE)="","",VLOOKUP(A326,[3]PRIORIZADOS!$A:$L,12,FALSE)),"")</f>
        <v>ESTEFANY PEÑA GARCIA</v>
      </c>
      <c r="M326" s="71">
        <f>IFERROR(IF(VLOOKUP(A326,[3]PRIORIZADOS!$A:$M,13,FALSE)="","",VLOOKUP(A326,[3]PRIORIZADOS!$A:$M,13,FALSE)),"")</f>
        <v>45799</v>
      </c>
      <c r="N326" s="71">
        <f>IFERROR(IF(VLOOKUP(A326,[3]PRIORIZADOS!$A:$N,14,FALSE)="","",VLOOKUP(A326,[3]PRIORIZADOS!$A:$N,14,FALSE)),"")</f>
        <v>45799</v>
      </c>
      <c r="O326" s="71">
        <f>IFERROR(IF(VLOOKUP(A326,[3]PRIORIZADOS!$A:$O,15,FALSE)="","",VLOOKUP(A326,[3]PRIORIZADOS!$A:$O,15,FALSE)),"")</f>
        <v>45799</v>
      </c>
      <c r="P326" s="11" t="str">
        <f>IFERROR(IF(VLOOKUP(A326,[3]PRIORIZADOS!$A:$P,16,FALSE)="","",VLOOKUP(A326,[3]PRIORIZADOS!$A:$P,16,FALSE)),"")</f>
        <v>Visitas de evaluación con fines de mejoramiento</v>
      </c>
      <c r="Q326" s="122" t="s">
        <v>66</v>
      </c>
      <c r="R326" s="11" t="str">
        <f>IFERROR(IF(VLOOKUP(A326,[3]PRIORIZADOS!$A:$R,18,FALSE)="","",VLOOKUP(A326,[3]PRIORIZADOS!$A:$R,18,FALSE)),"")</f>
        <v>Al revisar la Plataforma SIMAT, hay 18 estudiantes marcados en la Plataforma con discapacidad</v>
      </c>
      <c r="S326" s="11" t="str">
        <f>IFERROR(IF(VLOOKUP(A326,[3]PRIORIZADOS!$A:$S,19,FALSE)="","",VLOOKUP(A326,[3]PRIORIZADOS!$A:$S,19,FALSE)),"")</f>
        <v>La Institución Educativa se compromete a remitir el Documento Institucional del Plan Individual de Ajustes Razonables PIAR</v>
      </c>
      <c r="T326" s="70" t="str">
        <f>IFERROR(IF(VLOOKUP(A326,[3]PRIORIZADOS!$A:$T,20,FALSE)="","",VLOOKUP(A326,[3]PRIORIZADOS!$A:$T,20,FALSE)),"")</f>
        <v>No</v>
      </c>
      <c r="U326" s="11" t="str">
        <f>IFERROR(IF(VLOOKUP(A326,[3]PRIORIZADOS!$A:$U,21,FALSE)="","",VLOOKUP(A326,[3]PRIORIZADOS!$A:$U,21,FALSE)),"")</f>
        <v>Verificar la información en SIMAT</v>
      </c>
    </row>
    <row r="327" spans="1:21" s="1" customFormat="1" ht="84">
      <c r="A327" s="69">
        <f>IF([3]PRIORIZADOS!A138="","",[3]PRIORIZADOS!A138)</f>
        <v>333</v>
      </c>
      <c r="B327" s="70">
        <f>IFERROR(IF(VLOOKUP(A327,[3]PRIORIZADOS!$A:$B,2,FALSE)="","",VLOOKUP(A327,[3]PRIORIZADOS!$A:$B,2,FALSE)),"")</f>
        <v>15</v>
      </c>
      <c r="C327" s="11" t="str">
        <f>IFERROR(IF(VLOOKUP(A327,[3]PRIORIZADOS!$A:$C,3,FALSE)="","",VLOOKUP(A327,[3]PRIORIZADOS!$A:$C,3,FALSE)),"")</f>
        <v>BOSA</v>
      </c>
      <c r="D327" s="11" t="str">
        <f>IFERROR(IF(VLOOKUP(A327,[3]PRIORIZADOS!$A:$D,4,FALSE)="","",VLOOKUP(A327,[3]PRIORIZADOS!$A:$D,4,FALSE)),"")</f>
        <v>PRIVADO</v>
      </c>
      <c r="E327" s="11" t="str">
        <f>IFERROR(IF(VLOOKUP(A327,[3]PRIORIZADOS!$A:$E,5,FALSE)="","",VLOOKUP(A327,[3]PRIORIZADOS!$A:$E,5,FALSE)),"")</f>
        <v>EPBM</v>
      </c>
      <c r="F327" s="11" t="str">
        <f>IFERROR(IF(VLOOKUP(A327,[3]PRIORIZADOS!$A:$F,6,FALSE)="","",VLOOKUP(A327,[3]PRIORIZADOS!$A:$F,6,FALSE)),"")</f>
        <v>LICEO_CULTURAL_LUIS_ENRIQUE_OSORIO</v>
      </c>
      <c r="G327" s="11" t="str">
        <f>IFERROR(IF(VLOOKUP(A327,[3]PRIORIZADOS!$A:$G,7,FALSE)="","",VLOOKUP(A327,[3]PRIORIZADOS!$A:$G,7,FALSE)),"")</f>
        <v>LICEO CULTURAL LUIS ENRIQUE OSORIO</v>
      </c>
      <c r="H327" s="11" t="str">
        <f>IFERROR(IF(VLOOKUP(A327,[3]PRIORIZADOS!$A:$H,8,FALSE)="","",VLOOKUP(A327,[3]PRIORIZADOS!$A:$H,8,FALSE)),"")</f>
        <v>Autoevaluación Institucional y Pruebas SABER 11</v>
      </c>
      <c r="I327" s="11" t="str">
        <f>IFERROR(IF(VLOOKUP(A327,[3]PRIORIZADOS!$A:$I,9,FALSE)="","",VLOOKUP(A327,[3]PRIORIZADOS!$A:$I,9,FALSE)),"")</f>
        <v>EVALUACIÓN_CON_FINES_DE_MEJORAMIENTO.</v>
      </c>
      <c r="J327" s="11" t="str">
        <f>IFERROR(IF(VLOOKUP(A327,[3]PRIORIZADOS!$A:$J,10,FALSE)="","",VLOOKUP(A327,[3]PRIORIZADOS!$A:$J,10,FALSE)),"")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27" s="11" t="str">
        <f>IFERROR(IF(VLOOKUP(A327,[3]PRIORIZADOS!$A:$K,11,FALSE)="","",VLOOKUP(A327,[3]PRIORIZADOS!$A:$K,11,FALSE)),"")</f>
        <v>JULIÁN FELIPE BERNAL GARZÓN</v>
      </c>
      <c r="L327" s="11" t="str">
        <f>IFERROR(IF(VLOOKUP(A327,[3]PRIORIZADOS!$A:$L,12,FALSE)="","",VLOOKUP(A327,[3]PRIORIZADOS!$A:$L,12,FALSE)),"")</f>
        <v>ESTEFANY PEÑA GARCIA</v>
      </c>
      <c r="M327" s="71">
        <f>IFERROR(IF(VLOOKUP(A327,[3]PRIORIZADOS!$A:$M,13,FALSE)="","",VLOOKUP(A327,[3]PRIORIZADOS!$A:$M,13,FALSE)),"")</f>
        <v>45799</v>
      </c>
      <c r="N327" s="71">
        <f>IFERROR(IF(VLOOKUP(A327,[3]PRIORIZADOS!$A:$N,14,FALSE)="","",VLOOKUP(A327,[3]PRIORIZADOS!$A:$N,14,FALSE)),"")</f>
        <v>45799</v>
      </c>
      <c r="O327" s="71">
        <f>IFERROR(IF(VLOOKUP(A327,[3]PRIORIZADOS!$A:$O,15,FALSE)="","",VLOOKUP(A327,[3]PRIORIZADOS!$A:$O,15,FALSE)),"")</f>
        <v>45799</v>
      </c>
      <c r="P327" s="11" t="str">
        <f>IFERROR(IF(VLOOKUP(A327,[3]PRIORIZADOS!$A:$P,16,FALSE)="","",VLOOKUP(A327,[3]PRIORIZADOS!$A:$P,16,FALSE)),"")</f>
        <v>Visitas de evaluación con fines de mejoramiento</v>
      </c>
      <c r="Q327" s="122" t="s">
        <v>66</v>
      </c>
      <c r="R327" s="11" t="str">
        <f>IFERROR(IF(VLOOKUP(A327,[3]PRIORIZADOS!$A:$R,18,FALSE)="","",VLOOKUP(A327,[3]PRIORIZADOS!$A:$R,18,FALSE)),"")</f>
        <v>El Manual de Convivencia fue construido y adoptado de forma participativa e incluye los componentes generales, los diferentes enfoques y se encuentra conforme a lo establecido en el PEI y la normatividad vigente</v>
      </c>
      <c r="S327" s="11" t="str">
        <f>IFERROR(IF(VLOOKUP(A327,[3]PRIORIZADOS!$A:$S,19,FALSE)="","",VLOOKUP(A327,[3]PRIORIZADOS!$A:$S,19,FALSE)),"")</f>
        <v>Como acción de verificación la Institución Educativa se compromete a remitir la versión actualizada del Manual de Convivencia a la vigencia 2024 -2025</v>
      </c>
      <c r="T327" s="70" t="str">
        <f>IFERROR(IF(VLOOKUP(A327,[3]PRIORIZADOS!$A:$T,20,FALSE)="","",VLOOKUP(A327,[3]PRIORIZADOS!$A:$T,20,FALSE)),"")</f>
        <v>No</v>
      </c>
      <c r="U327" s="11" t="str">
        <f>IFERROR(IF(VLOOKUP(A327,[3]PRIORIZADOS!$A:$U,21,FALSE)="","",VLOOKUP(A327,[3]PRIORIZADOS!$A:$U,21,FALSE)),"")</f>
        <v>Verificar nuevamente el documento en el mes de agosto de 2025 y generar espacios de asesoría, conforme lo requiera la IE</v>
      </c>
    </row>
    <row r="328" spans="1:21" s="1" customFormat="1" ht="72">
      <c r="A328" s="69">
        <f>IF([3]PRIORIZADOS!A139="","",[3]PRIORIZADOS!A139)</f>
        <v>334</v>
      </c>
      <c r="B328" s="70">
        <f>IFERROR(IF(VLOOKUP(A328,[3]PRIORIZADOS!$A:$B,2,FALSE)="","",VLOOKUP(A328,[3]PRIORIZADOS!$A:$B,2,FALSE)),"")</f>
        <v>15</v>
      </c>
      <c r="C328" s="11" t="str">
        <f>IFERROR(IF(VLOOKUP(A328,[3]PRIORIZADOS!$A:$C,3,FALSE)="","",VLOOKUP(A328,[3]PRIORIZADOS!$A:$C,3,FALSE)),"")</f>
        <v>BOSA</v>
      </c>
      <c r="D328" s="11" t="str">
        <f>IFERROR(IF(VLOOKUP(A328,[3]PRIORIZADOS!$A:$D,4,FALSE)="","",VLOOKUP(A328,[3]PRIORIZADOS!$A:$D,4,FALSE)),"")</f>
        <v>PRIVADO</v>
      </c>
      <c r="E328" s="11" t="str">
        <f>IFERROR(IF(VLOOKUP(A328,[3]PRIORIZADOS!$A:$E,5,FALSE)="","",VLOOKUP(A328,[3]PRIORIZADOS!$A:$E,5,FALSE)),"")</f>
        <v>EPBM</v>
      </c>
      <c r="F328" s="11" t="str">
        <f>IFERROR(IF(VLOOKUP(A328,[3]PRIORIZADOS!$A:$F,6,FALSE)="","",VLOOKUP(A328,[3]PRIORIZADOS!$A:$F,6,FALSE)),"")</f>
        <v>LICEO_CULTURAL_LUIS_ENRIQUE_OSORIO</v>
      </c>
      <c r="G328" s="11" t="str">
        <f>IFERROR(IF(VLOOKUP(A328,[3]PRIORIZADOS!$A:$G,7,FALSE)="","",VLOOKUP(A328,[3]PRIORIZADOS!$A:$G,7,FALSE)),"")</f>
        <v>LICEO CULTURAL LUIS ENRIQUE OSORIO</v>
      </c>
      <c r="H328" s="11" t="str">
        <f>IFERROR(IF(VLOOKUP(A328,[3]PRIORIZADOS!$A:$H,8,FALSE)="","",VLOOKUP(A328,[3]PRIORIZADOS!$A:$H,8,FALSE)),"")</f>
        <v>Autoevaluación Institucional y Pruebas SABER 11</v>
      </c>
      <c r="I328" s="11" t="str">
        <f>IFERROR(IF(VLOOKUP(A328,[3]PRIORIZADOS!$A:$I,9,FALSE)="","",VLOOKUP(A328,[3]PRIORIZADOS!$A:$I,9,FALSE)),"")</f>
        <v>EVALUACIÓN_CON_FINES_DE_MEJORAMIENTO.</v>
      </c>
      <c r="J328" s="11" t="str">
        <f>IFERROR(IF(VLOOKUP(A328,[3]PRIORIZADOS!$A:$J,10,FALSE)="","",VLOOKUP(A328,[3]PRIORIZADOS!$A:$J,10,FALSE)),"")</f>
        <v>Revisar la actualización, socialización e implementación del Sistema Institucional de Evaluación de Estudiantes - SIEE, en articulación con la actualización del PEI y la normatividad vigente.</v>
      </c>
      <c r="K328" s="11" t="str">
        <f>IFERROR(IF(VLOOKUP(A328,[3]PRIORIZADOS!$A:$K,11,FALSE)="","",VLOOKUP(A328,[3]PRIORIZADOS!$A:$K,11,FALSE)),"")</f>
        <v>JULIÁN FELIPE BERNAL GARZÓN</v>
      </c>
      <c r="L328" s="11" t="str">
        <f>IFERROR(IF(VLOOKUP(A328,[3]PRIORIZADOS!$A:$L,12,FALSE)="","",VLOOKUP(A328,[3]PRIORIZADOS!$A:$L,12,FALSE)),"")</f>
        <v>ESTEFANY PEÑA GARCIA</v>
      </c>
      <c r="M328" s="71">
        <f>IFERROR(IF(VLOOKUP(A328,[3]PRIORIZADOS!$A:$M,13,FALSE)="","",VLOOKUP(A328,[3]PRIORIZADOS!$A:$M,13,FALSE)),"")</f>
        <v>45799</v>
      </c>
      <c r="N328" s="71">
        <f>IFERROR(IF(VLOOKUP(A328,[3]PRIORIZADOS!$A:$N,14,FALSE)="","",VLOOKUP(A328,[3]PRIORIZADOS!$A:$N,14,FALSE)),"")</f>
        <v>45799</v>
      </c>
      <c r="O328" s="71">
        <f>IFERROR(IF(VLOOKUP(A328,[3]PRIORIZADOS!$A:$O,15,FALSE)="","",VLOOKUP(A328,[3]PRIORIZADOS!$A:$O,15,FALSE)),"")</f>
        <v>45799</v>
      </c>
      <c r="P328" s="11" t="str">
        <f>IFERROR(IF(VLOOKUP(A328,[3]PRIORIZADOS!$A:$P,16,FALSE)="","",VLOOKUP(A328,[3]PRIORIZADOS!$A:$P,16,FALSE)),"")</f>
        <v>Visitas de evaluación con fines de mejoramiento</v>
      </c>
      <c r="Q328" s="122" t="s">
        <v>66</v>
      </c>
      <c r="R328" s="11" t="str">
        <f>IFERROR(IF(VLOOKUP(A328,[3]PRIORIZADOS!$A:$R,18,FALSE)="","",VLOOKUP(A328,[3]PRIORIZADOS!$A:$R,18,FALSE)),"")</f>
        <v>Se evidencia el Sistema Institucional de Evaluación de Estudiantes - SIEE, actualizado para la vigencia 2025. Fue construido en articulación con el Consejo Directivo y la comunidad educativa desde el año 2019 y se actualiza cada 2 años</v>
      </c>
      <c r="S328" s="11" t="str">
        <f>IFERROR(IF(VLOOKUP(A328,[3]PRIORIZADOS!$A:$S,19,FALSE)="","",VLOOKUP(A328,[3]PRIORIZADOS!$A:$S,19,FALSE)),"")</f>
        <v>Como acción de verificación la Institución Educativa se compromete a remitir la versión actualizada del  Sistema institucional de evaluación de los estudiantes- SIEE</v>
      </c>
      <c r="T328" s="70" t="str">
        <f>IFERROR(IF(VLOOKUP(A328,[3]PRIORIZADOS!$A:$T,20,FALSE)="","",VLOOKUP(A328,[3]PRIORIZADOS!$A:$T,20,FALSE)),"")</f>
        <v>No</v>
      </c>
      <c r="U328" s="11" t="str">
        <f>IFERROR(IF(VLOOKUP(A328,[3]PRIORIZADOS!$A:$U,21,FALSE)="","",VLOOKUP(A328,[3]PRIORIZADOS!$A:$U,21,FALSE)),"")</f>
        <v>Verificar nuevamente el documento en el mes de agosto de 2025 y generar espacios de asesoría, conforme lo requiera la IE</v>
      </c>
    </row>
    <row r="329" spans="1:21" s="1" customFormat="1" ht="48">
      <c r="A329" s="69">
        <f>IF([3]PRIORIZADOS!A140="","",[3]PRIORIZADOS!A140)</f>
        <v>335</v>
      </c>
      <c r="B329" s="70">
        <f>IFERROR(IF(VLOOKUP(A329,[3]PRIORIZADOS!$A:$B,2,FALSE)="","",VLOOKUP(A329,[3]PRIORIZADOS!$A:$B,2,FALSE)),"")</f>
        <v>15</v>
      </c>
      <c r="C329" s="11" t="str">
        <f>IFERROR(IF(VLOOKUP(A329,[3]PRIORIZADOS!$A:$C,3,FALSE)="","",VLOOKUP(A329,[3]PRIORIZADOS!$A:$C,3,FALSE)),"")</f>
        <v>BOSA</v>
      </c>
      <c r="D329" s="11" t="str">
        <f>IFERROR(IF(VLOOKUP(A329,[3]PRIORIZADOS!$A:$D,4,FALSE)="","",VLOOKUP(A329,[3]PRIORIZADOS!$A:$D,4,FALSE)),"")</f>
        <v>PRIVADO</v>
      </c>
      <c r="E329" s="11" t="str">
        <f>IFERROR(IF(VLOOKUP(A329,[3]PRIORIZADOS!$A:$E,5,FALSE)="","",VLOOKUP(A329,[3]PRIORIZADOS!$A:$E,5,FALSE)),"")</f>
        <v>EPBM</v>
      </c>
      <c r="F329" s="11" t="str">
        <f>IFERROR(IF(VLOOKUP(A329,[3]PRIORIZADOS!$A:$F,6,FALSE)="","",VLOOKUP(A329,[3]PRIORIZADOS!$A:$F,6,FALSE)),"")</f>
        <v>LICEO_CULTURAL_LUIS_ENRIQUE_OSORIO</v>
      </c>
      <c r="G329" s="11" t="str">
        <f>IFERROR(IF(VLOOKUP(A329,[3]PRIORIZADOS!$A:$G,7,FALSE)="","",VLOOKUP(A329,[3]PRIORIZADOS!$A:$G,7,FALSE)),"")</f>
        <v>LICEO CULTURAL LUIS ENRIQUE OSORIO</v>
      </c>
      <c r="H329" s="11" t="str">
        <f>IFERROR(IF(VLOOKUP(A329,[3]PRIORIZADOS!$A:$H,8,FALSE)="","",VLOOKUP(A329,[3]PRIORIZADOS!$A:$H,8,FALSE)),"")</f>
        <v>Autoevaluación Institucional y Pruebas SABER 11</v>
      </c>
      <c r="I329" s="11" t="str">
        <f>IFERROR(IF(VLOOKUP(A329,[3]PRIORIZADOS!$A:$I,9,FALSE)="","",VLOOKUP(A329,[3]PRIORIZADOS!$A:$I,9,FALSE)),"")</f>
        <v>EVALUACIÓN_CON_FINES_DE_MEJORAMIENTO.</v>
      </c>
      <c r="J329" s="11" t="str">
        <f>IFERROR(IF(VLOOKUP(A329,[3]PRIORIZADOS!$A:$J,10,FALSE)="","",VLOOKUP(A329,[3]PRIORIZADOS!$A:$J,10,FALSE)),"")</f>
        <v>Revisar el calendario escolar, jornada escolar, la intensidad horaria mínima anual en cada nivel y las modificaciones que se realicen al mismo, de acuerdo con lo previsto en la normatividad vigente.</v>
      </c>
      <c r="K329" s="11" t="str">
        <f>IFERROR(IF(VLOOKUP(A329,[3]PRIORIZADOS!$A:$K,11,FALSE)="","",VLOOKUP(A329,[3]PRIORIZADOS!$A:$K,11,FALSE)),"")</f>
        <v>JULIÁN FELIPE BERNAL GARZÓN</v>
      </c>
      <c r="L329" s="11" t="str">
        <f>IFERROR(IF(VLOOKUP(A329,[3]PRIORIZADOS!$A:$L,12,FALSE)="","",VLOOKUP(A329,[3]PRIORIZADOS!$A:$L,12,FALSE)),"")</f>
        <v>ESTEFANY PEÑA GARCIA</v>
      </c>
      <c r="M329" s="71">
        <f>IFERROR(IF(VLOOKUP(A329,[3]PRIORIZADOS!$A:$M,13,FALSE)="","",VLOOKUP(A329,[3]PRIORIZADOS!$A:$M,13,FALSE)),"")</f>
        <v>45799</v>
      </c>
      <c r="N329" s="71">
        <f>IFERROR(IF(VLOOKUP(A329,[3]PRIORIZADOS!$A:$N,14,FALSE)="","",VLOOKUP(A329,[3]PRIORIZADOS!$A:$N,14,FALSE)),"")</f>
        <v>45799</v>
      </c>
      <c r="O329" s="71">
        <f>IFERROR(IF(VLOOKUP(A329,[3]PRIORIZADOS!$A:$O,15,FALSE)="","",VLOOKUP(A329,[3]PRIORIZADOS!$A:$O,15,FALSE)),"")</f>
        <v>45799</v>
      </c>
      <c r="P329" s="11" t="str">
        <f>IFERROR(IF(VLOOKUP(A329,[3]PRIORIZADOS!$A:$P,16,FALSE)="","",VLOOKUP(A329,[3]PRIORIZADOS!$A:$P,16,FALSE)),"")</f>
        <v>Visitas de evaluación con fines de mejoramiento</v>
      </c>
      <c r="Q329" s="122" t="s">
        <v>66</v>
      </c>
      <c r="R329" s="11" t="str">
        <f>IFERROR(IF(VLOOKUP(A329,[3]PRIORIZADOS!$A:$R,18,FALSE)="","",VLOOKUP(A329,[3]PRIORIZADOS!$A:$R,18,FALSE)),"")</f>
        <v>El calendario escolar, jornada escolar, la intensidad horaria mínima anual en cada nivel se encuentran conforme lo previsto en la normatividad vigente</v>
      </c>
      <c r="S329" s="11" t="str">
        <f>IFERROR(IF(VLOOKUP(A329,[3]PRIORIZADOS!$A:$S,19,FALSE)="","",VLOOKUP(A329,[3]PRIORIZADOS!$A:$S,19,FALSE)),"")</f>
        <v>Como acción de verificación la Institución Educativa se compromete a remitir la versión actualizada calendario escolar</v>
      </c>
      <c r="T329" s="70" t="str">
        <f>IFERROR(IF(VLOOKUP(A329,[3]PRIORIZADOS!$A:$T,20,FALSE)="","",VLOOKUP(A329,[3]PRIORIZADOS!$A:$T,20,FALSE)),"")</f>
        <v>No</v>
      </c>
      <c r="U329" s="11" t="str">
        <f>IFERROR(IF(VLOOKUP(A329,[3]PRIORIZADOS!$A:$U,21,FALSE)="","",VLOOKUP(A329,[3]PRIORIZADOS!$A:$U,21,FALSE)),"")</f>
        <v>Verificar nuevamente el documento en el mes de agosto de 2025 y generar espacios de asesoría, conforme lo requiera la IE</v>
      </c>
    </row>
    <row r="330" spans="1:21" s="1" customFormat="1" ht="48">
      <c r="A330" s="69">
        <f>IF([3]PRIORIZADOS!A141="","",[3]PRIORIZADOS!A141)</f>
        <v>336</v>
      </c>
      <c r="B330" s="70">
        <f>IFERROR(IF(VLOOKUP(A330,[3]PRIORIZADOS!$A:$B,2,FALSE)="","",VLOOKUP(A330,[3]PRIORIZADOS!$A:$B,2,FALSE)),"")</f>
        <v>15</v>
      </c>
      <c r="C330" s="11" t="str">
        <f>IFERROR(IF(VLOOKUP(A330,[3]PRIORIZADOS!$A:$C,3,FALSE)="","",VLOOKUP(A330,[3]PRIORIZADOS!$A:$C,3,FALSE)),"")</f>
        <v>BOSA</v>
      </c>
      <c r="D330" s="11" t="str">
        <f>IFERROR(IF(VLOOKUP(A330,[3]PRIORIZADOS!$A:$D,4,FALSE)="","",VLOOKUP(A330,[3]PRIORIZADOS!$A:$D,4,FALSE)),"")</f>
        <v>PRIVADO</v>
      </c>
      <c r="E330" s="11" t="str">
        <f>IFERROR(IF(VLOOKUP(A330,[3]PRIORIZADOS!$A:$E,5,FALSE)="","",VLOOKUP(A330,[3]PRIORIZADOS!$A:$E,5,FALSE)),"")</f>
        <v>EPBM</v>
      </c>
      <c r="F330" s="11" t="str">
        <f>IFERROR(IF(VLOOKUP(A330,[3]PRIORIZADOS!$A:$F,6,FALSE)="","",VLOOKUP(A330,[3]PRIORIZADOS!$A:$F,6,FALSE)),"")</f>
        <v>LICEO_CULTURAL_LUIS_ENRIQUE_OSORIO</v>
      </c>
      <c r="G330" s="11" t="str">
        <f>IFERROR(IF(VLOOKUP(A330,[3]PRIORIZADOS!$A:$G,7,FALSE)="","",VLOOKUP(A330,[3]PRIORIZADOS!$A:$G,7,FALSE)),"")</f>
        <v>LICEO CULTURAL LUIS ENRIQUE OSORIO</v>
      </c>
      <c r="H330" s="11" t="str">
        <f>IFERROR(IF(VLOOKUP(A330,[3]PRIORIZADOS!$A:$H,8,FALSE)="","",VLOOKUP(A330,[3]PRIORIZADOS!$A:$H,8,FALSE)),"")</f>
        <v>Autoevaluación Institucional y Pruebas SABER 11</v>
      </c>
      <c r="I330" s="11" t="str">
        <f>IFERROR(IF(VLOOKUP(A330,[3]PRIORIZADOS!$A:$I,9,FALSE)="","",VLOOKUP(A330,[3]PRIORIZADOS!$A:$I,9,FALSE)),"")</f>
        <v>EVALUACIÓN_CON_FINES_DE_MEJORAMIENTO.</v>
      </c>
      <c r="J330" s="11" t="str">
        <f>IFERROR(IF(VLOOKUP(A330,[3]PRIORIZADOS!$A:$J,10,FALSE)="","",VLOOKUP(A330,[3]PRIORIZADOS!$A:$J,10,FALSE)),"")</f>
        <v>Verificar el funcionamiento del Gobierno Escolar e instancias de participación con base en la información sobre conformación reportada por la institución educativa.</v>
      </c>
      <c r="K330" s="11" t="str">
        <f>IFERROR(IF(VLOOKUP(A330,[3]PRIORIZADOS!$A:$K,11,FALSE)="","",VLOOKUP(A330,[3]PRIORIZADOS!$A:$K,11,FALSE)),"")</f>
        <v>JULIÁN FELIPE BERNAL GARZÓN</v>
      </c>
      <c r="L330" s="11" t="str">
        <f>IFERROR(IF(VLOOKUP(A330,[3]PRIORIZADOS!$A:$L,12,FALSE)="","",VLOOKUP(A330,[3]PRIORIZADOS!$A:$L,12,FALSE)),"")</f>
        <v>ESTEFANY PEÑA GARCIA</v>
      </c>
      <c r="M330" s="71">
        <f>IFERROR(IF(VLOOKUP(A330,[3]PRIORIZADOS!$A:$M,13,FALSE)="","",VLOOKUP(A330,[3]PRIORIZADOS!$A:$M,13,FALSE)),"")</f>
        <v>45799</v>
      </c>
      <c r="N330" s="71">
        <f>IFERROR(IF(VLOOKUP(A330,[3]PRIORIZADOS!$A:$N,14,FALSE)="","",VLOOKUP(A330,[3]PRIORIZADOS!$A:$N,14,FALSE)),"")</f>
        <v>45799</v>
      </c>
      <c r="O330" s="71">
        <f>IFERROR(IF(VLOOKUP(A330,[3]PRIORIZADOS!$A:$O,15,FALSE)="","",VLOOKUP(A330,[3]PRIORIZADOS!$A:$O,15,FALSE)),"")</f>
        <v>45799</v>
      </c>
      <c r="P330" s="11" t="str">
        <f>IFERROR(IF(VLOOKUP(A330,[3]PRIORIZADOS!$A:$P,16,FALSE)="","",VLOOKUP(A330,[3]PRIORIZADOS!$A:$P,16,FALSE)),"")</f>
        <v>Visitas de evaluación con fines de mejoramiento</v>
      </c>
      <c r="Q330" s="122" t="s">
        <v>66</v>
      </c>
      <c r="R330" s="11" t="str">
        <f>IFERROR(IF(VLOOKUP(A330,[3]PRIORIZADOS!$A:$R,18,FALSE)="","",VLOOKUP(A330,[3]PRIORIZADOS!$A:$R,18,FALSE)),"")</f>
        <v>La constitución del Gobierno Escolar y sus órganos de participación, se encuentra conforme a la Normativa Vigente</v>
      </c>
      <c r="S330" s="11" t="str">
        <f>IFERROR(IF(VLOOKUP(A330,[3]PRIORIZADOS!$A:$S,19,FALSE)="","",VLOOKUP(A330,[3]PRIORIZADOS!$A:$S,19,FALSE)),"")</f>
        <v>Continuar operando conforme funciones y reglamentos.</v>
      </c>
      <c r="T330" s="70" t="str">
        <f>IFERROR(IF(VLOOKUP(A330,[3]PRIORIZADOS!$A:$T,20,FALSE)="","",VLOOKUP(A330,[3]PRIORIZADOS!$A:$T,20,FALSE)),"")</f>
        <v>No</v>
      </c>
      <c r="U330" s="11" t="str">
        <f>IFERROR(IF(VLOOKUP(A330,[3]PRIORIZADOS!$A:$U,21,FALSE)="","",VLOOKUP(A330,[3]PRIORIZADOS!$A:$U,21,FALSE)),"")</f>
        <v>Verificar la conformación del Gobierno Escolar e instancias para la vigencia 2026 o antes si la IE lo requiere o se presenta solicitud o queja.</v>
      </c>
    </row>
    <row r="331" spans="1:21" s="1" customFormat="1" ht="60">
      <c r="A331" s="69">
        <f>IF([3]PRIORIZADOS!A142="","",[3]PRIORIZADOS!A142)</f>
        <v>337</v>
      </c>
      <c r="B331" s="70">
        <f>IFERROR(IF(VLOOKUP(A331,[3]PRIORIZADOS!$A:$B,2,FALSE)="","",VLOOKUP(A331,[3]PRIORIZADOS!$A:$B,2,FALSE)),"")</f>
        <v>15</v>
      </c>
      <c r="C331" s="11" t="str">
        <f>IFERROR(IF(VLOOKUP(A331,[3]PRIORIZADOS!$A:$C,3,FALSE)="","",VLOOKUP(A331,[3]PRIORIZADOS!$A:$C,3,FALSE)),"")</f>
        <v>BOSA</v>
      </c>
      <c r="D331" s="11" t="str">
        <f>IFERROR(IF(VLOOKUP(A331,[3]PRIORIZADOS!$A:$D,4,FALSE)="","",VLOOKUP(A331,[3]PRIORIZADOS!$A:$D,4,FALSE)),"")</f>
        <v>PRIVADO</v>
      </c>
      <c r="E331" s="11" t="str">
        <f>IFERROR(IF(VLOOKUP(A331,[3]PRIORIZADOS!$A:$E,5,FALSE)="","",VLOOKUP(A331,[3]PRIORIZADOS!$A:$E,5,FALSE)),"")</f>
        <v>EPBM</v>
      </c>
      <c r="F331" s="11" t="str">
        <f>IFERROR(IF(VLOOKUP(A331,[3]PRIORIZADOS!$A:$F,6,FALSE)="","",VLOOKUP(A331,[3]PRIORIZADOS!$A:$F,6,FALSE)),"")</f>
        <v>LICEO_CULTURAL_LUIS_ENRIQUE_OSORIO</v>
      </c>
      <c r="G331" s="11" t="str">
        <f>IFERROR(IF(VLOOKUP(A331,[3]PRIORIZADOS!$A:$G,7,FALSE)="","",VLOOKUP(A331,[3]PRIORIZADOS!$A:$G,7,FALSE)),"")</f>
        <v>LICEO CULTURAL LUIS ENRIQUE OSORIO</v>
      </c>
      <c r="H331" s="11" t="str">
        <f>IFERROR(IF(VLOOKUP(A331,[3]PRIORIZADOS!$A:$H,8,FALSE)="","",VLOOKUP(A331,[3]PRIORIZADOS!$A:$H,8,FALSE)),"")</f>
        <v>Autoevaluación Institucional y Pruebas SABER 11</v>
      </c>
      <c r="I331" s="11" t="str">
        <f>IFERROR(IF(VLOOKUP(A331,[3]PRIORIZADOS!$A:$I,9,FALSE)="","",VLOOKUP(A331,[3]PRIORIZADOS!$A:$I,9,FALSE)),"")</f>
        <v>EVALUACIÓN_CON_FINES_DE_MEJORAMIENTO.</v>
      </c>
      <c r="J331" s="11" t="str">
        <f>IFERROR(IF(VLOOKUP(A331,[3]PRIORIZADOS!$A:$J,10,FALSE)="","",VLOOKUP(A331,[3]PRIORIZADOS!$A:$J,10,FALSE)),"")</f>
        <v>Verificar las condiciones en cuanto a: la estructura administrativa, condiciones de la planta física y medios educativos adecuados.</v>
      </c>
      <c r="K331" s="11" t="str">
        <f>IFERROR(IF(VLOOKUP(A331,[3]PRIORIZADOS!$A:$K,11,FALSE)="","",VLOOKUP(A331,[3]PRIORIZADOS!$A:$K,11,FALSE)),"")</f>
        <v>JULIÁN FELIPE BERNAL GARZÓN</v>
      </c>
      <c r="L331" s="11" t="str">
        <f>IFERROR(IF(VLOOKUP(A331,[3]PRIORIZADOS!$A:$L,12,FALSE)="","",VLOOKUP(A331,[3]PRIORIZADOS!$A:$L,12,FALSE)),"")</f>
        <v>ESTEFANY PEÑA GARCIA</v>
      </c>
      <c r="M331" s="71">
        <f>IFERROR(IF(VLOOKUP(A331,[3]PRIORIZADOS!$A:$M,13,FALSE)="","",VLOOKUP(A331,[3]PRIORIZADOS!$A:$M,13,FALSE)),"")</f>
        <v>45799</v>
      </c>
      <c r="N331" s="71">
        <f>IFERROR(IF(VLOOKUP(A331,[3]PRIORIZADOS!$A:$N,14,FALSE)="","",VLOOKUP(A331,[3]PRIORIZADOS!$A:$N,14,FALSE)),"")</f>
        <v>45799</v>
      </c>
      <c r="O331" s="71">
        <f>IFERROR(IF(VLOOKUP(A331,[3]PRIORIZADOS!$A:$O,15,FALSE)="","",VLOOKUP(A331,[3]PRIORIZADOS!$A:$O,15,FALSE)),"")</f>
        <v>45799</v>
      </c>
      <c r="P331" s="11" t="str">
        <f>IFERROR(IF(VLOOKUP(A331,[3]PRIORIZADOS!$A:$P,16,FALSE)="","",VLOOKUP(A331,[3]PRIORIZADOS!$A:$P,16,FALSE)),"")</f>
        <v>Visitas de evaluación con fines de mejoramiento</v>
      </c>
      <c r="Q331" s="122" t="s">
        <v>66</v>
      </c>
      <c r="R331" s="11" t="str">
        <f>IFERROR(IF(VLOOKUP(A331,[3]PRIORIZADOS!$A:$R,18,FALSE)="","",VLOOKUP(A331,[3]PRIORIZADOS!$A:$R,18,FALSE)),"")</f>
        <v>Se realiza un recorrido en las instalaciones de la IE, verificando las condiciones en cuanto a: la estructura administrativa, condiciones de la planta física y medios educativos adecuados.</v>
      </c>
      <c r="S331" s="11" t="str">
        <f>IFERROR(IF(VLOOKUP(A331,[3]PRIORIZADOS!$A:$S,19,FALSE)="","",VLOOKUP(A331,[3]PRIORIZADOS!$A:$S,19,FALSE)),"")</f>
        <v>Las condiciones de la estructura administrativa, condiciones de la planta física y medios educativos son adecuados y garantizan la prestación del servicio educativo</v>
      </c>
      <c r="T331" s="70" t="str">
        <f>IFERROR(IF(VLOOKUP(A331,[3]PRIORIZADOS!$A:$T,20,FALSE)="","",VLOOKUP(A331,[3]PRIORIZADOS!$A:$T,20,FALSE)),"")</f>
        <v>No</v>
      </c>
      <c r="U331" s="11" t="str">
        <f>IFERROR(IF(VLOOKUP(A331,[3]PRIORIZADOS!$A:$U,21,FALSE)="","",VLOOKUP(A331,[3]PRIORIZADOS!$A:$U,21,FALSE)),"")</f>
        <v>Las condiciones de la planta física garantizan la adecuada prestación del servicio educativo</v>
      </c>
    </row>
    <row r="332" spans="1:21" s="1" customFormat="1" ht="60">
      <c r="A332" s="69">
        <f>IF([3]PRIORIZADOS!A143="","",[3]PRIORIZADOS!A143)</f>
        <v>338</v>
      </c>
      <c r="B332" s="70">
        <f>IFERROR(IF(VLOOKUP(A332,[3]PRIORIZADOS!$A:$B,2,FALSE)="","",VLOOKUP(A332,[3]PRIORIZADOS!$A:$B,2,FALSE)),"")</f>
        <v>16</v>
      </c>
      <c r="C332" s="11" t="str">
        <f>IFERROR(IF(VLOOKUP(A332,[3]PRIORIZADOS!$A:$C,3,FALSE)="","",VLOOKUP(A332,[3]PRIORIZADOS!$A:$C,3,FALSE)),"")</f>
        <v>BOSA</v>
      </c>
      <c r="D332" s="11" t="str">
        <f>IFERROR(IF(VLOOKUP(A332,[3]PRIORIZADOS!$A:$D,4,FALSE)="","",VLOOKUP(A332,[3]PRIORIZADOS!$A:$D,4,FALSE)),"")</f>
        <v>PRIVADO</v>
      </c>
      <c r="E332" s="11" t="str">
        <f>IFERROR(IF(VLOOKUP(A332,[3]PRIORIZADOS!$A:$E,5,FALSE)="","",VLOOKUP(A332,[3]PRIORIZADOS!$A:$E,5,FALSE)),"")</f>
        <v>EPBM</v>
      </c>
      <c r="F332" s="11" t="str">
        <f>IFERROR(IF(VLOOKUP(A332,[3]PRIORIZADOS!$A:$F,6,FALSE)="","",VLOOKUP(A332,[3]PRIORIZADOS!$A:$F,6,FALSE)),"")</f>
        <v>LICEO_DE_OXFORD</v>
      </c>
      <c r="G332" s="11" t="str">
        <f>IFERROR(IF(VLOOKUP(A332,[3]PRIORIZADOS!$A:$G,7,FALSE)="","",VLOOKUP(A332,[3]PRIORIZADOS!$A:$G,7,FALSE)),"")</f>
        <v>LICEO DE OXFORD</v>
      </c>
      <c r="H332" s="11" t="str">
        <f>IFERROR(IF(VLOOKUP(A332,[3]PRIORIZADOS!$A:$H,8,FALSE)="","",VLOOKUP(A332,[3]PRIORIZADOS!$A:$H,8,FALSE)),"")</f>
        <v>Autoevaluación Institucional y Pruebas SABER 11</v>
      </c>
      <c r="I332" s="11" t="str">
        <f>IFERROR(IF(VLOOKUP(A332,[3]PRIORIZADOS!$A:$I,9,FALSE)="","",VLOOKUP(A332,[3]PRIORIZADOS!$A:$I,9,FALSE)),"")</f>
        <v>SEGUIMIENTO_Y_SUPERVISIÓN.</v>
      </c>
      <c r="J332" s="11" t="str">
        <f>IFERROR(IF(VLOOKUP(A332,[3]PRIORIZADOS!$A:$J,10,FALSE)="","",VLOOKUP(A332,[3]PRIORIZADOS!$A:$J,10,FALSE)),"")</f>
        <v>Realizar visitas para verificar la información registrada sobre la autoevaluación institucional en el aplicativo EVI, a los establecimientos de educación formal no oficial.</v>
      </c>
      <c r="K332" s="11" t="str">
        <f>IFERROR(IF(VLOOKUP(A332,[3]PRIORIZADOS!$A:$K,11,FALSE)="","",VLOOKUP(A332,[3]PRIORIZADOS!$A:$K,11,FALSE)),"")</f>
        <v>JOSE YECID PAJOY CASTRO</v>
      </c>
      <c r="L332" s="11" t="str">
        <f>IFERROR(IF(VLOOKUP(A332,[3]PRIORIZADOS!$A:$L,12,FALSE)="","",VLOOKUP(A332,[3]PRIORIZADOS!$A:$L,12,FALSE)),"")</f>
        <v>JULIÁN FELIPE BERNAL GARZÓN</v>
      </c>
      <c r="M332" s="71">
        <f>IFERROR(IF(VLOOKUP(A332,[3]PRIORIZADOS!$A:$M,13,FALSE)="","",VLOOKUP(A332,[3]PRIORIZADOS!$A:$M,13,FALSE)),"")</f>
        <v>45804</v>
      </c>
      <c r="N332" s="71">
        <f>IFERROR(IF(VLOOKUP(A332,[3]PRIORIZADOS!$A:$N,14,FALSE)="","",VLOOKUP(A332,[3]PRIORIZADOS!$A:$N,14,FALSE)),"")</f>
        <v>45804</v>
      </c>
      <c r="O332" s="71">
        <f>IFERROR(IF(VLOOKUP(A332,[3]PRIORIZADOS!$A:$O,15,FALSE)="","",VLOOKUP(A332,[3]PRIORIZADOS!$A:$O,15,FALSE)),"")</f>
        <v>45804</v>
      </c>
      <c r="P332" s="11" t="str">
        <f>IFERROR(IF(VLOOKUP(A332,[3]PRIORIZADOS!$A:$P,16,FALSE)="","",VLOOKUP(A332,[3]PRIORIZADOS!$A:$P,16,FALSE)),"")</f>
        <v>Visitas de evaluación con fines de mejoramiento</v>
      </c>
      <c r="Q332" s="122" t="s">
        <v>67</v>
      </c>
      <c r="R332" s="11" t="str">
        <f>IFERROR(IF(VLOOKUP(A332,[3]PRIORIZADOS!$A:$R,18,FALSE)="","",VLOOKUP(A332,[3]PRIORIZADOS!$A:$R,18,FALSE)),"")</f>
        <v>La información consignada en la Plataforma EVI relacionada con los indicadores de: planta física, dotación de espacios y calendario académico coincide con lo verificado en campo</v>
      </c>
      <c r="S332" s="11" t="str">
        <f>IFERROR(IF(VLOOKUP(A332,[3]PRIORIZADOS!$A:$S,19,FALSE)="","",VLOOKUP(A332,[3]PRIORIZADOS!$A:$S,19,FALSE)),"")</f>
        <v xml:space="preserve">Se concluye que la IE realizará su autoevalución institucional en el mes octubre.  </v>
      </c>
      <c r="T332" s="70" t="str">
        <f>IFERROR(IF(VLOOKUP(A332,[3]PRIORIZADOS!$A:$T,20,FALSE)="","",VLOOKUP(A332,[3]PRIORIZADOS!$A:$T,20,FALSE)),"")</f>
        <v>No</v>
      </c>
      <c r="U332" s="11" t="str">
        <f>IFERROR(IF(VLOOKUP(A332,[3]PRIORIZADOS!$A:$U,21,FALSE)="","",VLOOKUP(A332,[3]PRIORIZADOS!$A:$U,21,FALSE)),"")</f>
        <v>Se verificará la información cargada por la IE en el aplicativo EVI de la autoevaluación,  para la emisión del concepto de tarifas 2026</v>
      </c>
    </row>
    <row r="333" spans="1:21" s="1" customFormat="1" ht="60">
      <c r="A333" s="69">
        <f>IF([3]PRIORIZADOS!A144="","",[3]PRIORIZADOS!A144)</f>
        <v>339</v>
      </c>
      <c r="B333" s="70">
        <f>IFERROR(IF(VLOOKUP(A333,[3]PRIORIZADOS!$A:$B,2,FALSE)="","",VLOOKUP(A333,[3]PRIORIZADOS!$A:$B,2,FALSE)),"")</f>
        <v>16</v>
      </c>
      <c r="C333" s="11" t="str">
        <f>IFERROR(IF(VLOOKUP(A333,[3]PRIORIZADOS!$A:$C,3,FALSE)="","",VLOOKUP(A333,[3]PRIORIZADOS!$A:$C,3,FALSE)),"")</f>
        <v>BOSA</v>
      </c>
      <c r="D333" s="11" t="str">
        <f>IFERROR(IF(VLOOKUP(A333,[3]PRIORIZADOS!$A:$D,4,FALSE)="","",VLOOKUP(A333,[3]PRIORIZADOS!$A:$D,4,FALSE)),"")</f>
        <v>PRIVADO</v>
      </c>
      <c r="E333" s="11" t="str">
        <f>IFERROR(IF(VLOOKUP(A333,[3]PRIORIZADOS!$A:$E,5,FALSE)="","",VLOOKUP(A333,[3]PRIORIZADOS!$A:$E,5,FALSE)),"")</f>
        <v>EPBM</v>
      </c>
      <c r="F333" s="11" t="str">
        <f>IFERROR(IF(VLOOKUP(A333,[3]PRIORIZADOS!$A:$F,6,FALSE)="","",VLOOKUP(A333,[3]PRIORIZADOS!$A:$F,6,FALSE)),"")</f>
        <v>LICEO_DE_OXFORD</v>
      </c>
      <c r="G333" s="11" t="str">
        <f>IFERROR(IF(VLOOKUP(A333,[3]PRIORIZADOS!$A:$G,7,FALSE)="","",VLOOKUP(A333,[3]PRIORIZADOS!$A:$G,7,FALSE)),"")</f>
        <v>LICEO DE OXFORD</v>
      </c>
      <c r="H333" s="11" t="str">
        <f>IFERROR(IF(VLOOKUP(A333,[3]PRIORIZADOS!$A:$H,8,FALSE)="","",VLOOKUP(A333,[3]PRIORIZADOS!$A:$H,8,FALSE)),"")</f>
        <v>Autoevaluación Institucional y Pruebas SABER 11</v>
      </c>
      <c r="I333" s="11" t="str">
        <f>IFERROR(IF(VLOOKUP(A333,[3]PRIORIZADOS!$A:$I,9,FALSE)="","",VLOOKUP(A333,[3]PRIORIZADOS!$A:$I,9,FALSE)),"")</f>
        <v>SEGUIMIENTO_Y_SUPERVISIÓN.</v>
      </c>
      <c r="J333" s="11" t="str">
        <f>IFERROR(IF(VLOOKUP(A333,[3]PRIORIZADOS!$A:$J,10,FALSE)="","",VLOOKUP(A333,[3]PRIORIZADOS!$A:$J,10,FALSE)),"")</f>
        <v>Proponer estrategias en la formulación, verificar su elaboración y realizar seguimiento semestral al desarrollo de  las acciones establecidas en los planes de mejoramiento por pruebas SABER 11 de los establecimientos de educación formal.</v>
      </c>
      <c r="K333" s="11" t="str">
        <f>IFERROR(IF(VLOOKUP(A333,[3]PRIORIZADOS!$A:$K,11,FALSE)="","",VLOOKUP(A333,[3]PRIORIZADOS!$A:$K,11,FALSE)),"")</f>
        <v>JOSE YECID PAJOY CASTRO</v>
      </c>
      <c r="L333" s="11" t="str">
        <f>IFERROR(IF(VLOOKUP(A333,[3]PRIORIZADOS!$A:$L,12,FALSE)="","",VLOOKUP(A333,[3]PRIORIZADOS!$A:$L,12,FALSE)),"")</f>
        <v>JULIÁN FELIPE BERNAL GARZÓN</v>
      </c>
      <c r="M333" s="71">
        <f>IFERROR(IF(VLOOKUP(A333,[3]PRIORIZADOS!$A:$M,13,FALSE)="","",VLOOKUP(A333,[3]PRIORIZADOS!$A:$M,13,FALSE)),"")</f>
        <v>45804</v>
      </c>
      <c r="N333" s="71">
        <f>IFERROR(IF(VLOOKUP(A333,[3]PRIORIZADOS!$A:$N,14,FALSE)="","",VLOOKUP(A333,[3]PRIORIZADOS!$A:$N,14,FALSE)),"")</f>
        <v>45804</v>
      </c>
      <c r="O333" s="71">
        <f>IFERROR(IF(VLOOKUP(A333,[3]PRIORIZADOS!$A:$O,15,FALSE)="","",VLOOKUP(A333,[3]PRIORIZADOS!$A:$O,15,FALSE)),"")</f>
        <v>45804</v>
      </c>
      <c r="P333" s="11" t="str">
        <f>IFERROR(IF(VLOOKUP(A333,[3]PRIORIZADOS!$A:$P,16,FALSE)="","",VLOOKUP(A333,[3]PRIORIZADOS!$A:$P,16,FALSE)),"")</f>
        <v>Visitas de evaluación con fines de seguimiento</v>
      </c>
      <c r="Q333" s="122" t="s">
        <v>67</v>
      </c>
      <c r="R333" s="11" t="str">
        <f>IFERROR(IF(VLOOKUP(A333,[3]PRIORIZADOS!$A:$R,18,FALSE)="","",VLOOKUP(A333,[3]PRIORIZADOS!$A:$R,18,FALSE)),"")</f>
        <v>Se adelanta la revisión de los Resultados de las Pruebas Saber 11, encontrando que la IE se encuentra en Categoría A</v>
      </c>
      <c r="S333" s="11" t="str">
        <f>IFERROR(IF(VLOOKUP(A333,[3]PRIORIZADOS!$A:$S,19,FALSE)="","",VLOOKUP(A333,[3]PRIORIZADOS!$A:$S,19,FALSE)),"")</f>
        <v>Se aporta documento que la Institución educativa que compara diferentes vigencias y la mejora anual hasta llegar a la categoría A  en los resultados 2024</v>
      </c>
      <c r="T333" s="70" t="str">
        <f>IFERROR(IF(VLOOKUP(A333,[3]PRIORIZADOS!$A:$T,20,FALSE)="","",VLOOKUP(A333,[3]PRIORIZADOS!$A:$T,20,FALSE)),"")</f>
        <v>No</v>
      </c>
      <c r="U333" s="11" t="str">
        <f>IFERROR(IF(VLOOKUP(A333,[3]PRIORIZADOS!$A:$U,21,FALSE)="","",VLOOKUP(A333,[3]PRIORIZADOS!$A:$U,21,FALSE)),"")</f>
        <v>Se acordó revisar nuevamente el documento en el mes de agosto de 2025 y generar espacios de asesoría, conforme lo requiera la IE</v>
      </c>
    </row>
    <row r="334" spans="1:21" s="1" customFormat="1" ht="72">
      <c r="A334" s="69">
        <f>IF([3]PRIORIZADOS!A145="","",[3]PRIORIZADOS!A145)</f>
        <v>340</v>
      </c>
      <c r="B334" s="70">
        <f>IFERROR(IF(VLOOKUP(A334,[3]PRIORIZADOS!$A:$B,2,FALSE)="","",VLOOKUP(A334,[3]PRIORIZADOS!$A:$B,2,FALSE)),"")</f>
        <v>16</v>
      </c>
      <c r="C334" s="11" t="str">
        <f>IFERROR(IF(VLOOKUP(A334,[3]PRIORIZADOS!$A:$C,3,FALSE)="","",VLOOKUP(A334,[3]PRIORIZADOS!$A:$C,3,FALSE)),"")</f>
        <v>BOSA</v>
      </c>
      <c r="D334" s="11" t="str">
        <f>IFERROR(IF(VLOOKUP(A334,[3]PRIORIZADOS!$A:$D,4,FALSE)="","",VLOOKUP(A334,[3]PRIORIZADOS!$A:$D,4,FALSE)),"")</f>
        <v>PRIVADO</v>
      </c>
      <c r="E334" s="11" t="str">
        <f>IFERROR(IF(VLOOKUP(A334,[3]PRIORIZADOS!$A:$E,5,FALSE)="","",VLOOKUP(A334,[3]PRIORIZADOS!$A:$E,5,FALSE)),"")</f>
        <v>EPBM</v>
      </c>
      <c r="F334" s="11" t="str">
        <f>IFERROR(IF(VLOOKUP(A334,[3]PRIORIZADOS!$A:$F,6,FALSE)="","",VLOOKUP(A334,[3]PRIORIZADOS!$A:$F,6,FALSE)),"")</f>
        <v>LICEO_DE_OXFORD</v>
      </c>
      <c r="G334" s="11" t="str">
        <f>IFERROR(IF(VLOOKUP(A334,[3]PRIORIZADOS!$A:$G,7,FALSE)="","",VLOOKUP(A334,[3]PRIORIZADOS!$A:$G,7,FALSE)),"")</f>
        <v>LICEO DE OXFORD</v>
      </c>
      <c r="H334" s="11" t="str">
        <f>IFERROR(IF(VLOOKUP(A334,[3]PRIORIZADOS!$A:$H,8,FALSE)="","",VLOOKUP(A334,[3]PRIORIZADOS!$A:$H,8,FALSE)),"")</f>
        <v>Autoevaluación Institucional y Pruebas SABER 11</v>
      </c>
      <c r="I334" s="11" t="str">
        <f>IFERROR(IF(VLOOKUP(A334,[3]PRIORIZADOS!$A:$I,9,FALSE)="","",VLOOKUP(A334,[3]PRIORIZADOS!$A:$I,9,FALSE)),"")</f>
        <v>SEGUIMIENTO_Y_SUPERVISIÓN.</v>
      </c>
      <c r="J334" s="11" t="str">
        <f>IFERROR(IF(VLOOKUP(A334,[3]PRIORIZADOS!$A:$J,10,FALSE)="","",VLOOKUP(A334,[3]PRIORIZADOS!$A:$J,10,FALSE)),"")</f>
        <v xml:space="preserve">Verificar la implementación por parte de los colegios, de acciones realizadas para la prevención y atención de las situaciones de convivencia en el entorno escolar, según lo establecido en la Directiva 01 de 2022 del MEN. </v>
      </c>
      <c r="K334" s="11" t="str">
        <f>IFERROR(IF(VLOOKUP(A334,[3]PRIORIZADOS!$A:$K,11,FALSE)="","",VLOOKUP(A334,[3]PRIORIZADOS!$A:$K,11,FALSE)),"")</f>
        <v>JOSE YECID PAJOY CASTRO</v>
      </c>
      <c r="L334" s="11" t="str">
        <f>IFERROR(IF(VLOOKUP(A334,[3]PRIORIZADOS!$A:$L,12,FALSE)="","",VLOOKUP(A334,[3]PRIORIZADOS!$A:$L,12,FALSE)),"")</f>
        <v>JULIÁN FELIPE BERNAL GARZÓN</v>
      </c>
      <c r="M334" s="71">
        <f>IFERROR(IF(VLOOKUP(A334,[3]PRIORIZADOS!$A:$M,13,FALSE)="","",VLOOKUP(A334,[3]PRIORIZADOS!$A:$M,13,FALSE)),"")</f>
        <v>45804</v>
      </c>
      <c r="N334" s="71">
        <f>IFERROR(IF(VLOOKUP(A334,[3]PRIORIZADOS!$A:$N,14,FALSE)="","",VLOOKUP(A334,[3]PRIORIZADOS!$A:$N,14,FALSE)),"")</f>
        <v>45804</v>
      </c>
      <c r="O334" s="71">
        <f>IFERROR(IF(VLOOKUP(A334,[3]PRIORIZADOS!$A:$O,15,FALSE)="","",VLOOKUP(A334,[3]PRIORIZADOS!$A:$O,15,FALSE)),"")</f>
        <v>45804</v>
      </c>
      <c r="P334" s="11" t="str">
        <f>IFERROR(IF(VLOOKUP(A334,[3]PRIORIZADOS!$A:$P,16,FALSE)="","",VLOOKUP(A334,[3]PRIORIZADOS!$A:$P,16,FALSE)),"")</f>
        <v>Visitas de evaluación con fines de mejoramiento</v>
      </c>
      <c r="Q334" s="122" t="s">
        <v>67</v>
      </c>
      <c r="R334" s="11" t="str">
        <f>IFERROR(IF(VLOOKUP(A334,[3]PRIORIZADOS!$A:$R,18,FALSE)="","",VLOOKUP(A334,[3]PRIORIZADOS!$A:$R,18,FALSE)),"")</f>
        <v>Se verifica la implementación de acciones  realizadas para la prevención como lo es la verificación de inhabilidades por delitos sexuales en el sistema de la Policía Nacional.</v>
      </c>
      <c r="S334" s="11" t="str">
        <f>IFERROR(IF(VLOOKUP(A334,[3]PRIORIZADOS!$A:$S,19,FALSE)="","",VLOOKUP(A334,[3]PRIORIZADOS!$A:$S,19,FALSE)),"")</f>
        <v>Como acción de verificación se solicita implementar  la autorización de directivos, docentes y administrativos para las consultas de antecedentes en los sistemas que se requieran al momento de la vinculación</v>
      </c>
      <c r="T334" s="70" t="str">
        <f>IFERROR(IF(VLOOKUP(A334,[3]PRIORIZADOS!$A:$T,20,FALSE)="","",VLOOKUP(A334,[3]PRIORIZADOS!$A:$T,20,FALSE)),"")</f>
        <v>No</v>
      </c>
      <c r="U334" s="11" t="str">
        <f>IFERROR(IF(VLOOKUP(A334,[3]PRIORIZADOS!$A:$U,21,FALSE)="","",VLOOKUP(A334,[3]PRIORIZADOS!$A:$U,21,FALSE)),"")</f>
        <v>Verificar que la IE cuente con las respectivas autorizaciones para las consultas de antedecentes del personal vinculado.</v>
      </c>
    </row>
    <row r="335" spans="1:21" s="1" customFormat="1" ht="107.25">
      <c r="A335" s="69">
        <f>IF([3]PRIORIZADOS!A146="","",[3]PRIORIZADOS!A146)</f>
        <v>341</v>
      </c>
      <c r="B335" s="70">
        <f>IFERROR(IF(VLOOKUP(A335,[3]PRIORIZADOS!$A:$B,2,FALSE)="","",VLOOKUP(A335,[3]PRIORIZADOS!$A:$B,2,FALSE)),"")</f>
        <v>16</v>
      </c>
      <c r="C335" s="11" t="str">
        <f>IFERROR(IF(VLOOKUP(A335,[3]PRIORIZADOS!$A:$C,3,FALSE)="","",VLOOKUP(A335,[3]PRIORIZADOS!$A:$C,3,FALSE)),"")</f>
        <v>BOSA</v>
      </c>
      <c r="D335" s="11" t="str">
        <f>IFERROR(IF(VLOOKUP(A335,[3]PRIORIZADOS!$A:$D,4,FALSE)="","",VLOOKUP(A335,[3]PRIORIZADOS!$A:$D,4,FALSE)),"")</f>
        <v>PRIVADO</v>
      </c>
      <c r="E335" s="11" t="str">
        <f>IFERROR(IF(VLOOKUP(A335,[3]PRIORIZADOS!$A:$E,5,FALSE)="","",VLOOKUP(A335,[3]PRIORIZADOS!$A:$E,5,FALSE)),"")</f>
        <v>EPBM</v>
      </c>
      <c r="F335" s="11" t="str">
        <f>IFERROR(IF(VLOOKUP(A335,[3]PRIORIZADOS!$A:$F,6,FALSE)="","",VLOOKUP(A335,[3]PRIORIZADOS!$A:$F,6,FALSE)),"")</f>
        <v>LICEO_DE_OXFORD</v>
      </c>
      <c r="G335" s="11" t="str">
        <f>IFERROR(IF(VLOOKUP(A335,[3]PRIORIZADOS!$A:$G,7,FALSE)="","",VLOOKUP(A335,[3]PRIORIZADOS!$A:$G,7,FALSE)),"")</f>
        <v>LICEO DE OXFORD</v>
      </c>
      <c r="H335" s="11" t="str">
        <f>IFERROR(IF(VLOOKUP(A335,[3]PRIORIZADOS!$A:$H,8,FALSE)="","",VLOOKUP(A335,[3]PRIORIZADOS!$A:$H,8,FALSE)),"")</f>
        <v>Autoevaluación Institucional y Pruebas SABER 11</v>
      </c>
      <c r="I335" s="11" t="str">
        <f>IFERROR(IF(VLOOKUP(A335,[3]PRIORIZADOS!$A:$I,9,FALSE)="","",VLOOKUP(A335,[3]PRIORIZADOS!$A:$I,9,FALSE)),"")</f>
        <v>SEGUIMIENTO_Y_SUPERVISIÓN.</v>
      </c>
      <c r="J335" s="11" t="str">
        <f>IFERROR(IF(VLOOKUP(A335,[3]PRIORIZADOS!$A:$J,10,FALSE)="","",VLOOKUP(A335,[3]PRIORIZADOS!$A:$J,10,FALSE)),"")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35" s="11" t="str">
        <f>IFERROR(IF(VLOOKUP(A335,[3]PRIORIZADOS!$A:$K,11,FALSE)="","",VLOOKUP(A335,[3]PRIORIZADOS!$A:$K,11,FALSE)),"")</f>
        <v>JOSE YECID PAJOY CASTRO</v>
      </c>
      <c r="L335" s="11" t="str">
        <f>IFERROR(IF(VLOOKUP(A335,[3]PRIORIZADOS!$A:$L,12,FALSE)="","",VLOOKUP(A335,[3]PRIORIZADOS!$A:$L,12,FALSE)),"")</f>
        <v>JULIÁN FELIPE BERNAL GARZÓN</v>
      </c>
      <c r="M335" s="71">
        <f>IFERROR(IF(VLOOKUP(A335,[3]PRIORIZADOS!$A:$M,13,FALSE)="","",VLOOKUP(A335,[3]PRIORIZADOS!$A:$M,13,FALSE)),"")</f>
        <v>45804</v>
      </c>
      <c r="N335" s="71">
        <f>IFERROR(IF(VLOOKUP(A335,[3]PRIORIZADOS!$A:$N,14,FALSE)="","",VLOOKUP(A335,[3]PRIORIZADOS!$A:$N,14,FALSE)),"")</f>
        <v>45804</v>
      </c>
      <c r="O335" s="71">
        <f>IFERROR(IF(VLOOKUP(A335,[3]PRIORIZADOS!$A:$O,15,FALSE)="","",VLOOKUP(A335,[3]PRIORIZADOS!$A:$O,15,FALSE)),"")</f>
        <v>45804</v>
      </c>
      <c r="P335" s="11" t="str">
        <f>IFERROR(IF(VLOOKUP(A335,[3]PRIORIZADOS!$A:$P,16,FALSE)="","",VLOOKUP(A335,[3]PRIORIZADOS!$A:$P,16,FALSE)),"")</f>
        <v>Visitas de evaluación con fines de mejoramiento</v>
      </c>
      <c r="Q335" s="122" t="s">
        <v>67</v>
      </c>
      <c r="R335" s="11" t="str">
        <f>IFERROR(IF(VLOOKUP(A335,[3]PRIORIZADOS!$A:$R,18,FALSE)="","",VLOOKUP(A335,[3]PRIORIZADOS!$A:$R,18,FALSE)),"")</f>
        <v>Al revisar la Plataforma SIMAT, hay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35" s="11" t="str">
        <f>IFERROR(IF(VLOOKUP(A335,[3]PRIORIZADOS!$A:$S,19,FALSE)="","",VLOOKUP(A335,[3]PRIORIZADOS!$A:$S,19,FALSE)),"")</f>
        <v>La Institución Educativa se compromete a remitir el Documento Institucional del Plan Individual de Ajustes Razonables PIAR</v>
      </c>
      <c r="T335" s="70" t="str">
        <f>IFERROR(IF(VLOOKUP(A335,[3]PRIORIZADOS!$A:$T,20,FALSE)="","",VLOOKUP(A335,[3]PRIORIZADOS!$A:$T,20,FALSE)),"")</f>
        <v>No</v>
      </c>
      <c r="U335" s="11" t="str">
        <f>IFERROR(IF(VLOOKUP(A335,[3]PRIORIZADOS!$A:$U,21,FALSE)="","",VLOOKUP(A335,[3]PRIORIZADOS!$A:$U,21,FALSE)),"")</f>
        <v>Verificar la información en SIMAT</v>
      </c>
    </row>
    <row r="336" spans="1:21" s="1" customFormat="1" ht="84">
      <c r="A336" s="69">
        <f>IF([3]PRIORIZADOS!A147="","",[3]PRIORIZADOS!A147)</f>
        <v>342</v>
      </c>
      <c r="B336" s="70">
        <f>IFERROR(IF(VLOOKUP(A336,[3]PRIORIZADOS!$A:$B,2,FALSE)="","",VLOOKUP(A336,[3]PRIORIZADOS!$A:$B,2,FALSE)),"")</f>
        <v>16</v>
      </c>
      <c r="C336" s="11" t="str">
        <f>IFERROR(IF(VLOOKUP(A336,[3]PRIORIZADOS!$A:$C,3,FALSE)="","",VLOOKUP(A336,[3]PRIORIZADOS!$A:$C,3,FALSE)),"")</f>
        <v>BOSA</v>
      </c>
      <c r="D336" s="11" t="str">
        <f>IFERROR(IF(VLOOKUP(A336,[3]PRIORIZADOS!$A:$D,4,FALSE)="","",VLOOKUP(A336,[3]PRIORIZADOS!$A:$D,4,FALSE)),"")</f>
        <v>PRIVADO</v>
      </c>
      <c r="E336" s="11" t="str">
        <f>IFERROR(IF(VLOOKUP(A336,[3]PRIORIZADOS!$A:$E,5,FALSE)="","",VLOOKUP(A336,[3]PRIORIZADOS!$A:$E,5,FALSE)),"")</f>
        <v>EPBM</v>
      </c>
      <c r="F336" s="11" t="str">
        <f>IFERROR(IF(VLOOKUP(A336,[3]PRIORIZADOS!$A:$F,6,FALSE)="","",VLOOKUP(A336,[3]PRIORIZADOS!$A:$F,6,FALSE)),"")</f>
        <v>LICEO_DE_OXFORD</v>
      </c>
      <c r="G336" s="11" t="str">
        <f>IFERROR(IF(VLOOKUP(A336,[3]PRIORIZADOS!$A:$G,7,FALSE)="","",VLOOKUP(A336,[3]PRIORIZADOS!$A:$G,7,FALSE)),"")</f>
        <v>LICEO DE OXFORD</v>
      </c>
      <c r="H336" s="11" t="str">
        <f>IFERROR(IF(VLOOKUP(A336,[3]PRIORIZADOS!$A:$H,8,FALSE)="","",VLOOKUP(A336,[3]PRIORIZADOS!$A:$H,8,FALSE)),"")</f>
        <v>Autoevaluación Institucional y Pruebas SABER 11</v>
      </c>
      <c r="I336" s="11" t="str">
        <f>IFERROR(IF(VLOOKUP(A336,[3]PRIORIZADOS!$A:$I,9,FALSE)="","",VLOOKUP(A336,[3]PRIORIZADOS!$A:$I,9,FALSE)),"")</f>
        <v>EVALUACIÓN_CON_FINES_DE_MEJORAMIENTO.</v>
      </c>
      <c r="J336" s="11" t="str">
        <f>IFERROR(IF(VLOOKUP(A336,[3]PRIORIZADOS!$A:$J,10,FALSE)="","",VLOOKUP(A336,[3]PRIORIZADOS!$A:$J,10,FALSE)),"")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36" s="11" t="str">
        <f>IFERROR(IF(VLOOKUP(A336,[3]PRIORIZADOS!$A:$K,11,FALSE)="","",VLOOKUP(A336,[3]PRIORIZADOS!$A:$K,11,FALSE)),"")</f>
        <v>JOSE YECID PAJOY CASTRO</v>
      </c>
      <c r="L336" s="11" t="str">
        <f>IFERROR(IF(VLOOKUP(A336,[3]PRIORIZADOS!$A:$L,12,FALSE)="","",VLOOKUP(A336,[3]PRIORIZADOS!$A:$L,12,FALSE)),"")</f>
        <v>JULIÁN FELIPE BERNAL GARZÓN</v>
      </c>
      <c r="M336" s="71">
        <f>IFERROR(IF(VLOOKUP(A336,[3]PRIORIZADOS!$A:$M,13,FALSE)="","",VLOOKUP(A336,[3]PRIORIZADOS!$A:$M,13,FALSE)),"")</f>
        <v>45804</v>
      </c>
      <c r="N336" s="71">
        <f>IFERROR(IF(VLOOKUP(A336,[3]PRIORIZADOS!$A:$N,14,FALSE)="","",VLOOKUP(A336,[3]PRIORIZADOS!$A:$N,14,FALSE)),"")</f>
        <v>45804</v>
      </c>
      <c r="O336" s="71">
        <f>IFERROR(IF(VLOOKUP(A336,[3]PRIORIZADOS!$A:$O,15,FALSE)="","",VLOOKUP(A336,[3]PRIORIZADOS!$A:$O,15,FALSE)),"")</f>
        <v>45804</v>
      </c>
      <c r="P336" s="11" t="str">
        <f>IFERROR(IF(VLOOKUP(A336,[3]PRIORIZADOS!$A:$P,16,FALSE)="","",VLOOKUP(A336,[3]PRIORIZADOS!$A:$P,16,FALSE)),"")</f>
        <v>Visitas de evaluación con fines de mejoramiento</v>
      </c>
      <c r="Q336" s="122" t="s">
        <v>67</v>
      </c>
      <c r="R336" s="11" t="str">
        <f>IFERROR(IF(VLOOKUP(A336,[3]PRIORIZADOS!$A:$R,18,FALSE)="","",VLOOKUP(A336,[3]PRIORIZADOS!$A:$R,18,FALSE)),"")</f>
        <v>El Manual de Convivencia fue construido y adoptado de forma participativa e incluye los componentes generales, los diferentes enfoques y se encuentra conforme a lo establecido en el PEI y la normatividad vigente</v>
      </c>
      <c r="S336" s="11" t="str">
        <f>IFERROR(IF(VLOOKUP(A336,[3]PRIORIZADOS!$A:$S,19,FALSE)="","",VLOOKUP(A336,[3]PRIORIZADOS!$A:$S,19,FALSE)),"")</f>
        <v>Como acción de verificación la Institución Educativa se compromete a remitir la versión actualizada del Manual de Convivencia a la vigencia 2024 -2025</v>
      </c>
      <c r="T336" s="70" t="str">
        <f>IFERROR(IF(VLOOKUP(A336,[3]PRIORIZADOS!$A:$T,20,FALSE)="","",VLOOKUP(A336,[3]PRIORIZADOS!$A:$T,20,FALSE)),"")</f>
        <v>No</v>
      </c>
      <c r="U336" s="11" t="str">
        <f>IFERROR(IF(VLOOKUP(A336,[3]PRIORIZADOS!$A:$U,21,FALSE)="","",VLOOKUP(A336,[3]PRIORIZADOS!$A:$U,21,FALSE)),"")</f>
        <v>Verificar nuevamente el documento en el mes de agosto de 2025 y generar espacios de asesoría, conforme lo requiera la IE</v>
      </c>
    </row>
    <row r="337" spans="1:21" s="1" customFormat="1" ht="72">
      <c r="A337" s="69">
        <f>IF([3]PRIORIZADOS!A148="","",[3]PRIORIZADOS!A148)</f>
        <v>343</v>
      </c>
      <c r="B337" s="70">
        <f>IFERROR(IF(VLOOKUP(A337,[3]PRIORIZADOS!$A:$B,2,FALSE)="","",VLOOKUP(A337,[3]PRIORIZADOS!$A:$B,2,FALSE)),"")</f>
        <v>16</v>
      </c>
      <c r="C337" s="11" t="str">
        <f>IFERROR(IF(VLOOKUP(A337,[3]PRIORIZADOS!$A:$C,3,FALSE)="","",VLOOKUP(A337,[3]PRIORIZADOS!$A:$C,3,FALSE)),"")</f>
        <v>BOSA</v>
      </c>
      <c r="D337" s="11" t="str">
        <f>IFERROR(IF(VLOOKUP(A337,[3]PRIORIZADOS!$A:$D,4,FALSE)="","",VLOOKUP(A337,[3]PRIORIZADOS!$A:$D,4,FALSE)),"")</f>
        <v>PRIVADO</v>
      </c>
      <c r="E337" s="11" t="str">
        <f>IFERROR(IF(VLOOKUP(A337,[3]PRIORIZADOS!$A:$E,5,FALSE)="","",VLOOKUP(A337,[3]PRIORIZADOS!$A:$E,5,FALSE)),"")</f>
        <v>EPBM</v>
      </c>
      <c r="F337" s="11" t="str">
        <f>IFERROR(IF(VLOOKUP(A337,[3]PRIORIZADOS!$A:$F,6,FALSE)="","",VLOOKUP(A337,[3]PRIORIZADOS!$A:$F,6,FALSE)),"")</f>
        <v>LICEO_DE_OXFORD</v>
      </c>
      <c r="G337" s="11" t="str">
        <f>IFERROR(IF(VLOOKUP(A337,[3]PRIORIZADOS!$A:$G,7,FALSE)="","",VLOOKUP(A337,[3]PRIORIZADOS!$A:$G,7,FALSE)),"")</f>
        <v>LICEO DE OXFORD</v>
      </c>
      <c r="H337" s="11" t="str">
        <f>IFERROR(IF(VLOOKUP(A337,[3]PRIORIZADOS!$A:$H,8,FALSE)="","",VLOOKUP(A337,[3]PRIORIZADOS!$A:$H,8,FALSE)),"")</f>
        <v>Autoevaluación Institucional y Pruebas SABER 11</v>
      </c>
      <c r="I337" s="11" t="str">
        <f>IFERROR(IF(VLOOKUP(A337,[3]PRIORIZADOS!$A:$I,9,FALSE)="","",VLOOKUP(A337,[3]PRIORIZADOS!$A:$I,9,FALSE)),"")</f>
        <v>EVALUACIÓN_CON_FINES_DE_MEJORAMIENTO.</v>
      </c>
      <c r="J337" s="11" t="str">
        <f>IFERROR(IF(VLOOKUP(A337,[3]PRIORIZADOS!$A:$J,10,FALSE)="","",VLOOKUP(A337,[3]PRIORIZADOS!$A:$J,10,FALSE)),"")</f>
        <v>Revisar la actualización, socialización e implementación del Sistema Institucional de Evaluación de Estudiantes - SIEE, en articulación con la actualización del PEI y la normatividad vigente.</v>
      </c>
      <c r="K337" s="11" t="str">
        <f>IFERROR(IF(VLOOKUP(A337,[3]PRIORIZADOS!$A:$K,11,FALSE)="","",VLOOKUP(A337,[3]PRIORIZADOS!$A:$K,11,FALSE)),"")</f>
        <v>JOSE YECID PAJOY CASTRO</v>
      </c>
      <c r="L337" s="11" t="str">
        <f>IFERROR(IF(VLOOKUP(A337,[3]PRIORIZADOS!$A:$L,12,FALSE)="","",VLOOKUP(A337,[3]PRIORIZADOS!$A:$L,12,FALSE)),"")</f>
        <v>JULIÁN FELIPE BERNAL GARZÓN</v>
      </c>
      <c r="M337" s="71">
        <f>IFERROR(IF(VLOOKUP(A337,[3]PRIORIZADOS!$A:$M,13,FALSE)="","",VLOOKUP(A337,[3]PRIORIZADOS!$A:$M,13,FALSE)),"")</f>
        <v>45804</v>
      </c>
      <c r="N337" s="71">
        <f>IFERROR(IF(VLOOKUP(A337,[3]PRIORIZADOS!$A:$N,14,FALSE)="","",VLOOKUP(A337,[3]PRIORIZADOS!$A:$N,14,FALSE)),"")</f>
        <v>45804</v>
      </c>
      <c r="O337" s="71">
        <f>IFERROR(IF(VLOOKUP(A337,[3]PRIORIZADOS!$A:$O,15,FALSE)="","",VLOOKUP(A337,[3]PRIORIZADOS!$A:$O,15,FALSE)),"")</f>
        <v>45804</v>
      </c>
      <c r="P337" s="11" t="str">
        <f>IFERROR(IF(VLOOKUP(A337,[3]PRIORIZADOS!$A:$P,16,FALSE)="","",VLOOKUP(A337,[3]PRIORIZADOS!$A:$P,16,FALSE)),"")</f>
        <v>Visitas de evaluación con fines de mejoramiento</v>
      </c>
      <c r="Q337" s="122" t="s">
        <v>67</v>
      </c>
      <c r="R337" s="11" t="str">
        <f>IFERROR(IF(VLOOKUP(A337,[3]PRIORIZADOS!$A:$R,18,FALSE)="","",VLOOKUP(A337,[3]PRIORIZADOS!$A:$R,18,FALSE)),"")</f>
        <v>Se evidencia el Sistema Institucional de Evaluación de Estudiantes - SIEE, actualizado para la vigencia 2025. Fue construido en articulación con el Consejo Directivo y la comunidad educativa desde el año 2019 y se actualiza cada 2 años</v>
      </c>
      <c r="S337" s="11" t="str">
        <f>IFERROR(IF(VLOOKUP(A337,[3]PRIORIZADOS!$A:$S,19,FALSE)="","",VLOOKUP(A337,[3]PRIORIZADOS!$A:$S,19,FALSE)),"")</f>
        <v>Como acción de verificación la Institución Educativa se compromete a remitir la versión actualizada del  Sistema institucional de evaluación de los estudiantes- SIEE</v>
      </c>
      <c r="T337" s="70" t="str">
        <f>IFERROR(IF(VLOOKUP(A337,[3]PRIORIZADOS!$A:$T,20,FALSE)="","",VLOOKUP(A337,[3]PRIORIZADOS!$A:$T,20,FALSE)),"")</f>
        <v>No</v>
      </c>
      <c r="U337" s="11" t="str">
        <f>IFERROR(IF(VLOOKUP(A337,[3]PRIORIZADOS!$A:$U,21,FALSE)="","",VLOOKUP(A337,[3]PRIORIZADOS!$A:$U,21,FALSE)),"")</f>
        <v>Verificar nuevamente el documento en el mes de agosto de 2025 y generar espacios de asesoría, conforme lo requiera la IE</v>
      </c>
    </row>
    <row r="338" spans="1:21" s="1" customFormat="1" ht="48">
      <c r="A338" s="69">
        <f>IF([3]PRIORIZADOS!A149="","",[3]PRIORIZADOS!A149)</f>
        <v>344</v>
      </c>
      <c r="B338" s="70">
        <f>IFERROR(IF(VLOOKUP(A338,[3]PRIORIZADOS!$A:$B,2,FALSE)="","",VLOOKUP(A338,[3]PRIORIZADOS!$A:$B,2,FALSE)),"")</f>
        <v>16</v>
      </c>
      <c r="C338" s="11" t="str">
        <f>IFERROR(IF(VLOOKUP(A338,[3]PRIORIZADOS!$A:$C,3,FALSE)="","",VLOOKUP(A338,[3]PRIORIZADOS!$A:$C,3,FALSE)),"")</f>
        <v>BOSA</v>
      </c>
      <c r="D338" s="11" t="str">
        <f>IFERROR(IF(VLOOKUP(A338,[3]PRIORIZADOS!$A:$D,4,FALSE)="","",VLOOKUP(A338,[3]PRIORIZADOS!$A:$D,4,FALSE)),"")</f>
        <v>PRIVADO</v>
      </c>
      <c r="E338" s="11" t="str">
        <f>IFERROR(IF(VLOOKUP(A338,[3]PRIORIZADOS!$A:$E,5,FALSE)="","",VLOOKUP(A338,[3]PRIORIZADOS!$A:$E,5,FALSE)),"")</f>
        <v>EPBM</v>
      </c>
      <c r="F338" s="11" t="str">
        <f>IFERROR(IF(VLOOKUP(A338,[3]PRIORIZADOS!$A:$F,6,FALSE)="","",VLOOKUP(A338,[3]PRIORIZADOS!$A:$F,6,FALSE)),"")</f>
        <v>LICEO_DE_OXFORD</v>
      </c>
      <c r="G338" s="11" t="str">
        <f>IFERROR(IF(VLOOKUP(A338,[3]PRIORIZADOS!$A:$G,7,FALSE)="","",VLOOKUP(A338,[3]PRIORIZADOS!$A:$G,7,FALSE)),"")</f>
        <v>LICEO DE OXFORD</v>
      </c>
      <c r="H338" s="11" t="str">
        <f>IFERROR(IF(VLOOKUP(A338,[3]PRIORIZADOS!$A:$H,8,FALSE)="","",VLOOKUP(A338,[3]PRIORIZADOS!$A:$H,8,FALSE)),"")</f>
        <v>Autoevaluación Institucional y Pruebas SABER 11</v>
      </c>
      <c r="I338" s="11" t="str">
        <f>IFERROR(IF(VLOOKUP(A338,[3]PRIORIZADOS!$A:$I,9,FALSE)="","",VLOOKUP(A338,[3]PRIORIZADOS!$A:$I,9,FALSE)),"")</f>
        <v>EVALUACIÓN_CON_FINES_DE_MEJORAMIENTO.</v>
      </c>
      <c r="J338" s="11" t="str">
        <f>IFERROR(IF(VLOOKUP(A338,[3]PRIORIZADOS!$A:$J,10,FALSE)="","",VLOOKUP(A338,[3]PRIORIZADOS!$A:$J,10,FALSE)),"")</f>
        <v>Revisar el calendario escolar, jornada escolar, la intensidad horaria mínima anual en cada nivel y las modificaciones que se realicen al mismo, de acuerdo con lo previsto en la normatividad vigente.</v>
      </c>
      <c r="K338" s="11" t="str">
        <f>IFERROR(IF(VLOOKUP(A338,[3]PRIORIZADOS!$A:$K,11,FALSE)="","",VLOOKUP(A338,[3]PRIORIZADOS!$A:$K,11,FALSE)),"")</f>
        <v>JOSE YECID PAJOY CASTRO</v>
      </c>
      <c r="L338" s="11" t="str">
        <f>IFERROR(IF(VLOOKUP(A338,[3]PRIORIZADOS!$A:$L,12,FALSE)="","",VLOOKUP(A338,[3]PRIORIZADOS!$A:$L,12,FALSE)),"")</f>
        <v>JULIÁN FELIPE BERNAL GARZÓN</v>
      </c>
      <c r="M338" s="71">
        <f>IFERROR(IF(VLOOKUP(A338,[3]PRIORIZADOS!$A:$M,13,FALSE)="","",VLOOKUP(A338,[3]PRIORIZADOS!$A:$M,13,FALSE)),"")</f>
        <v>45804</v>
      </c>
      <c r="N338" s="71">
        <f>IFERROR(IF(VLOOKUP(A338,[3]PRIORIZADOS!$A:$N,14,FALSE)="","",VLOOKUP(A338,[3]PRIORIZADOS!$A:$N,14,FALSE)),"")</f>
        <v>45804</v>
      </c>
      <c r="O338" s="71">
        <f>IFERROR(IF(VLOOKUP(A338,[3]PRIORIZADOS!$A:$O,15,FALSE)="","",VLOOKUP(A338,[3]PRIORIZADOS!$A:$O,15,FALSE)),"")</f>
        <v>45804</v>
      </c>
      <c r="P338" s="11" t="str">
        <f>IFERROR(IF(VLOOKUP(A338,[3]PRIORIZADOS!$A:$P,16,FALSE)="","",VLOOKUP(A338,[3]PRIORIZADOS!$A:$P,16,FALSE)),"")</f>
        <v>Visitas de evaluación con fines de mejoramiento</v>
      </c>
      <c r="Q338" s="122" t="s">
        <v>67</v>
      </c>
      <c r="R338" s="11" t="str">
        <f>IFERROR(IF(VLOOKUP(A338,[3]PRIORIZADOS!$A:$R,18,FALSE)="","",VLOOKUP(A338,[3]PRIORIZADOS!$A:$R,18,FALSE)),"")</f>
        <v>El calendario escolar, jornada escolar, la intensidad horaria mínima anual en cada nivel se encuentran conforme lo previsto en la normatividad vigente</v>
      </c>
      <c r="S338" s="11" t="str">
        <f>IFERROR(IF(VLOOKUP(A338,[3]PRIORIZADOS!$A:$S,19,FALSE)="","",VLOOKUP(A338,[3]PRIORIZADOS!$A:$S,19,FALSE)),"")</f>
        <v>Como acción de verificación la Institución Educativa se compromete a remitir la versión actualizada calendario escolar</v>
      </c>
      <c r="T338" s="70" t="str">
        <f>IFERROR(IF(VLOOKUP(A338,[3]PRIORIZADOS!$A:$T,20,FALSE)="","",VLOOKUP(A338,[3]PRIORIZADOS!$A:$T,20,FALSE)),"")</f>
        <v>No</v>
      </c>
      <c r="U338" s="11" t="str">
        <f>IFERROR(IF(VLOOKUP(A338,[3]PRIORIZADOS!$A:$U,21,FALSE)="","",VLOOKUP(A338,[3]PRIORIZADOS!$A:$U,21,FALSE)),"")</f>
        <v>Verificar nuevamente el documento en el mes de agosto de 2025 y generar espacios de asesoría, conforme lo requiera la IE</v>
      </c>
    </row>
    <row r="339" spans="1:21" s="1" customFormat="1" ht="48">
      <c r="A339" s="69">
        <f>IF([3]PRIORIZADOS!A150="","",[3]PRIORIZADOS!A150)</f>
        <v>345</v>
      </c>
      <c r="B339" s="70">
        <f>IFERROR(IF(VLOOKUP(A339,[3]PRIORIZADOS!$A:$B,2,FALSE)="","",VLOOKUP(A339,[3]PRIORIZADOS!$A:$B,2,FALSE)),"")</f>
        <v>16</v>
      </c>
      <c r="C339" s="11" t="str">
        <f>IFERROR(IF(VLOOKUP(A339,[3]PRIORIZADOS!$A:$C,3,FALSE)="","",VLOOKUP(A339,[3]PRIORIZADOS!$A:$C,3,FALSE)),"")</f>
        <v>BOSA</v>
      </c>
      <c r="D339" s="11" t="str">
        <f>IFERROR(IF(VLOOKUP(A339,[3]PRIORIZADOS!$A:$D,4,FALSE)="","",VLOOKUP(A339,[3]PRIORIZADOS!$A:$D,4,FALSE)),"")</f>
        <v>PRIVADO</v>
      </c>
      <c r="E339" s="11" t="str">
        <f>IFERROR(IF(VLOOKUP(A339,[3]PRIORIZADOS!$A:$E,5,FALSE)="","",VLOOKUP(A339,[3]PRIORIZADOS!$A:$E,5,FALSE)),"")</f>
        <v>EPBM</v>
      </c>
      <c r="F339" s="11" t="str">
        <f>IFERROR(IF(VLOOKUP(A339,[3]PRIORIZADOS!$A:$F,6,FALSE)="","",VLOOKUP(A339,[3]PRIORIZADOS!$A:$F,6,FALSE)),"")</f>
        <v>LICEO_DE_OXFORD</v>
      </c>
      <c r="G339" s="11" t="str">
        <f>IFERROR(IF(VLOOKUP(A339,[3]PRIORIZADOS!$A:$G,7,FALSE)="","",VLOOKUP(A339,[3]PRIORIZADOS!$A:$G,7,FALSE)),"")</f>
        <v>LICEO DE OXFORD</v>
      </c>
      <c r="H339" s="11" t="str">
        <f>IFERROR(IF(VLOOKUP(A339,[3]PRIORIZADOS!$A:$H,8,FALSE)="","",VLOOKUP(A339,[3]PRIORIZADOS!$A:$H,8,FALSE)),"")</f>
        <v>Autoevaluación Institucional y Pruebas SABER 11</v>
      </c>
      <c r="I339" s="11" t="str">
        <f>IFERROR(IF(VLOOKUP(A339,[3]PRIORIZADOS!$A:$I,9,FALSE)="","",VLOOKUP(A339,[3]PRIORIZADOS!$A:$I,9,FALSE)),"")</f>
        <v>EVALUACIÓN_CON_FINES_DE_MEJORAMIENTO.</v>
      </c>
      <c r="J339" s="11" t="str">
        <f>IFERROR(IF(VLOOKUP(A339,[3]PRIORIZADOS!$A:$J,10,FALSE)="","",VLOOKUP(A339,[3]PRIORIZADOS!$A:$J,10,FALSE)),"")</f>
        <v>Verificar el funcionamiento del Gobierno Escolar e instancias de participación con base en la información sobre conformación reportada por la institución educativa.</v>
      </c>
      <c r="K339" s="11" t="str">
        <f>IFERROR(IF(VLOOKUP(A339,[3]PRIORIZADOS!$A:$K,11,FALSE)="","",VLOOKUP(A339,[3]PRIORIZADOS!$A:$K,11,FALSE)),"")</f>
        <v>JOSE YECID PAJOY CASTRO</v>
      </c>
      <c r="L339" s="11" t="str">
        <f>IFERROR(IF(VLOOKUP(A339,[3]PRIORIZADOS!$A:$L,12,FALSE)="","",VLOOKUP(A339,[3]PRIORIZADOS!$A:$L,12,FALSE)),"")</f>
        <v>JULIÁN FELIPE BERNAL GARZÓN</v>
      </c>
      <c r="M339" s="71">
        <f>IFERROR(IF(VLOOKUP(A339,[3]PRIORIZADOS!$A:$M,13,FALSE)="","",VLOOKUP(A339,[3]PRIORIZADOS!$A:$M,13,FALSE)),"")</f>
        <v>45804</v>
      </c>
      <c r="N339" s="71">
        <f>IFERROR(IF(VLOOKUP(A339,[3]PRIORIZADOS!$A:$N,14,FALSE)="","",VLOOKUP(A339,[3]PRIORIZADOS!$A:$N,14,FALSE)),"")</f>
        <v>45804</v>
      </c>
      <c r="O339" s="71">
        <f>IFERROR(IF(VLOOKUP(A339,[3]PRIORIZADOS!$A:$O,15,FALSE)="","",VLOOKUP(A339,[3]PRIORIZADOS!$A:$O,15,FALSE)),"")</f>
        <v>45804</v>
      </c>
      <c r="P339" s="11" t="str">
        <f>IFERROR(IF(VLOOKUP(A339,[3]PRIORIZADOS!$A:$P,16,FALSE)="","",VLOOKUP(A339,[3]PRIORIZADOS!$A:$P,16,FALSE)),"")</f>
        <v>Visitas de evaluación con fines de mejoramiento</v>
      </c>
      <c r="Q339" s="122" t="s">
        <v>67</v>
      </c>
      <c r="R339" s="11" t="str">
        <f>IFERROR(IF(VLOOKUP(A339,[3]PRIORIZADOS!$A:$R,18,FALSE)="","",VLOOKUP(A339,[3]PRIORIZADOS!$A:$R,18,FALSE)),"")</f>
        <v>La constitución del Gobierno Escolar y sus órganos de participación, se encuentra conforme a la Normativa Vigente</v>
      </c>
      <c r="S339" s="11" t="str">
        <f>IFERROR(IF(VLOOKUP(A339,[3]PRIORIZADOS!$A:$S,19,FALSE)="","",VLOOKUP(A339,[3]PRIORIZADOS!$A:$S,19,FALSE)),"")</f>
        <v>Continuar operando conforme funciones y reglamentos.</v>
      </c>
      <c r="T339" s="70" t="str">
        <f>IFERROR(IF(VLOOKUP(A339,[3]PRIORIZADOS!$A:$T,20,FALSE)="","",VLOOKUP(A339,[3]PRIORIZADOS!$A:$T,20,FALSE)),"")</f>
        <v>No</v>
      </c>
      <c r="U339" s="11" t="str">
        <f>IFERROR(IF(VLOOKUP(A339,[3]PRIORIZADOS!$A:$U,21,FALSE)="","",VLOOKUP(A339,[3]PRIORIZADOS!$A:$U,21,FALSE)),"")</f>
        <v>Verificar la conformación del Gobierno Escolar e instancias para la vigencia 2026 o antes si la IE lo requiere o se presenta solicitud o queja.</v>
      </c>
    </row>
    <row r="340" spans="1:21" s="1" customFormat="1" ht="60">
      <c r="A340" s="69">
        <f>IF([3]PRIORIZADOS!A151="","",[3]PRIORIZADOS!A151)</f>
        <v>346</v>
      </c>
      <c r="B340" s="70">
        <f>IFERROR(IF(VLOOKUP(A340,[3]PRIORIZADOS!$A:$B,2,FALSE)="","",VLOOKUP(A340,[3]PRIORIZADOS!$A:$B,2,FALSE)),"")</f>
        <v>16</v>
      </c>
      <c r="C340" s="11" t="str">
        <f>IFERROR(IF(VLOOKUP(A340,[3]PRIORIZADOS!$A:$C,3,FALSE)="","",VLOOKUP(A340,[3]PRIORIZADOS!$A:$C,3,FALSE)),"")</f>
        <v>BOSA</v>
      </c>
      <c r="D340" s="11" t="str">
        <f>IFERROR(IF(VLOOKUP(A340,[3]PRIORIZADOS!$A:$D,4,FALSE)="","",VLOOKUP(A340,[3]PRIORIZADOS!$A:$D,4,FALSE)),"")</f>
        <v>PRIVADO</v>
      </c>
      <c r="E340" s="11" t="str">
        <f>IFERROR(IF(VLOOKUP(A340,[3]PRIORIZADOS!$A:$E,5,FALSE)="","",VLOOKUP(A340,[3]PRIORIZADOS!$A:$E,5,FALSE)),"")</f>
        <v>EPBM</v>
      </c>
      <c r="F340" s="11" t="str">
        <f>IFERROR(IF(VLOOKUP(A340,[3]PRIORIZADOS!$A:$F,6,FALSE)="","",VLOOKUP(A340,[3]PRIORIZADOS!$A:$F,6,FALSE)),"")</f>
        <v>LICEO_DE_OXFORD</v>
      </c>
      <c r="G340" s="11" t="str">
        <f>IFERROR(IF(VLOOKUP(A340,[3]PRIORIZADOS!$A:$G,7,FALSE)="","",VLOOKUP(A340,[3]PRIORIZADOS!$A:$G,7,FALSE)),"")</f>
        <v>LICEO DE OXFORD</v>
      </c>
      <c r="H340" s="11" t="str">
        <f>IFERROR(IF(VLOOKUP(A340,[3]PRIORIZADOS!$A:$H,8,FALSE)="","",VLOOKUP(A340,[3]PRIORIZADOS!$A:$H,8,FALSE)),"")</f>
        <v>Autoevaluación Institucional y Pruebas SABER 11</v>
      </c>
      <c r="I340" s="11" t="str">
        <f>IFERROR(IF(VLOOKUP(A340,[3]PRIORIZADOS!$A:$I,9,FALSE)="","",VLOOKUP(A340,[3]PRIORIZADOS!$A:$I,9,FALSE)),"")</f>
        <v>EVALUACIÓN_CON_FINES_DE_MEJORAMIENTO.</v>
      </c>
      <c r="J340" s="11" t="str">
        <f>IFERROR(IF(VLOOKUP(A340,[3]PRIORIZADOS!$A:$J,10,FALSE)="","",VLOOKUP(A340,[3]PRIORIZADOS!$A:$J,10,FALSE)),"")</f>
        <v>Verificar las condiciones en cuanto a: la estructura administrativa, condiciones de la planta física y medios educativos adecuados.</v>
      </c>
      <c r="K340" s="11" t="str">
        <f>IFERROR(IF(VLOOKUP(A340,[3]PRIORIZADOS!$A:$K,11,FALSE)="","",VLOOKUP(A340,[3]PRIORIZADOS!$A:$K,11,FALSE)),"")</f>
        <v>JOSE YECID PAJOY CASTRO</v>
      </c>
      <c r="L340" s="11" t="str">
        <f>IFERROR(IF(VLOOKUP(A340,[3]PRIORIZADOS!$A:$L,12,FALSE)="","",VLOOKUP(A340,[3]PRIORIZADOS!$A:$L,12,FALSE)),"")</f>
        <v>JULIÁN FELIPE BERNAL GARZÓN</v>
      </c>
      <c r="M340" s="71">
        <f>IFERROR(IF(VLOOKUP(A340,[3]PRIORIZADOS!$A:$M,13,FALSE)="","",VLOOKUP(A340,[3]PRIORIZADOS!$A:$M,13,FALSE)),"")</f>
        <v>45804</v>
      </c>
      <c r="N340" s="71">
        <f>IFERROR(IF(VLOOKUP(A340,[3]PRIORIZADOS!$A:$N,14,FALSE)="","",VLOOKUP(A340,[3]PRIORIZADOS!$A:$N,14,FALSE)),"")</f>
        <v>45804</v>
      </c>
      <c r="O340" s="71">
        <f>IFERROR(IF(VLOOKUP(A340,[3]PRIORIZADOS!$A:$O,15,FALSE)="","",VLOOKUP(A340,[3]PRIORIZADOS!$A:$O,15,FALSE)),"")</f>
        <v>45804</v>
      </c>
      <c r="P340" s="11" t="str">
        <f>IFERROR(IF(VLOOKUP(A340,[3]PRIORIZADOS!$A:$P,16,FALSE)="","",VLOOKUP(A340,[3]PRIORIZADOS!$A:$P,16,FALSE)),"")</f>
        <v>Visitas de evaluación con fines de mejoramiento</v>
      </c>
      <c r="Q340" s="123" t="s">
        <v>67</v>
      </c>
      <c r="R340" s="11" t="str">
        <f>IFERROR(IF(VLOOKUP(A340,[3]PRIORIZADOS!$A:$R,18,FALSE)="","",VLOOKUP(A340,[3]PRIORIZADOS!$A:$R,18,FALSE)),"")</f>
        <v>Se realiza un recorrido en las instalaciones de la IE y se evidencia falta de mantenimiento en las instalaciones y se debe verificar el proceso de ambientes compartidos de la SED</v>
      </c>
      <c r="S340" s="11" t="str">
        <f>IFERROR(IF(VLOOKUP(A340,[3]PRIORIZADOS!$A:$S,19,FALSE)="","",VLOOKUP(A340,[3]PRIORIZADOS!$A:$S,19,FALSE)),"")</f>
        <v>Se recomienda actualizar el mobiliario más antiguo y se debe verificar el proceso de ambientes compartidos de la SED</v>
      </c>
      <c r="T340" s="70" t="str">
        <f>IFERROR(IF(VLOOKUP(A340,[3]PRIORIZADOS!$A:$T,20,FALSE)="","",VLOOKUP(A340,[3]PRIORIZADOS!$A:$T,20,FALSE)),"")</f>
        <v>No</v>
      </c>
      <c r="U340" s="11" t="str">
        <f>IFERROR(IF(VLOOKUP(A340,[3]PRIORIZADOS!$A:$U,21,FALSE)="","",VLOOKUP(A340,[3]PRIORIZADOS!$A:$U,21,FALSE)),"")</f>
        <v>Las condiciones de la planta física garantizan la adecuada prestación del servicio educativo</v>
      </c>
    </row>
    <row r="341" spans="1:21" s="1" customFormat="1" ht="60">
      <c r="A341" s="69">
        <f>IF([3]PRIORIZADOS!A152="","",[3]PRIORIZADOS!A152)</f>
        <v>347</v>
      </c>
      <c r="B341" s="70">
        <f>IFERROR(IF(VLOOKUP(A341,[3]PRIORIZADOS!$A:$B,2,FALSE)="","",VLOOKUP(A341,[3]PRIORIZADOS!$A:$B,2,FALSE)),"")</f>
        <v>17</v>
      </c>
      <c r="C341" s="11" t="str">
        <f>IFERROR(IF(VLOOKUP(A341,[3]PRIORIZADOS!$A:$C,3,FALSE)="","",VLOOKUP(A341,[3]PRIORIZADOS!$A:$C,3,FALSE)),"")</f>
        <v>BOSA</v>
      </c>
      <c r="D341" s="11" t="str">
        <f>IFERROR(IF(VLOOKUP(A341,[3]PRIORIZADOS!$A:$D,4,FALSE)="","",VLOOKUP(A341,[3]PRIORIZADOS!$A:$D,4,FALSE)),"")</f>
        <v>PRIVADO</v>
      </c>
      <c r="E341" s="11" t="str">
        <f>IFERROR(IF(VLOOKUP(A341,[3]PRIORIZADOS!$A:$E,5,FALSE)="","",VLOOKUP(A341,[3]PRIORIZADOS!$A:$E,5,FALSE)),"")</f>
        <v>EPBM</v>
      </c>
      <c r="F341" s="11" t="str">
        <f>IFERROR(IF(VLOOKUP(A341,[3]PRIORIZADOS!$A:$F,6,FALSE)="","",VLOOKUP(A341,[3]PRIORIZADOS!$A:$F,6,FALSE)),"")</f>
        <v>LICEO_ERNESTO_CARDENAL</v>
      </c>
      <c r="G341" s="11" t="str">
        <f>IFERROR(IF(VLOOKUP(A341,[3]PRIORIZADOS!$A:$G,7,FALSE)="","",VLOOKUP(A341,[3]PRIORIZADOS!$A:$G,7,FALSE)),"")</f>
        <v>LICEO ERNESTO CARDENAL</v>
      </c>
      <c r="H341" s="11" t="str">
        <f>IFERROR(IF(VLOOKUP(A341,[3]PRIORIZADOS!$A:$H,8,FALSE)="","",VLOOKUP(A341,[3]PRIORIZADOS!$A:$H,8,FALSE)),"")</f>
        <v>Autoevaluación Institucional y Pruebas SABER 11</v>
      </c>
      <c r="I341" s="11" t="str">
        <f>IFERROR(IF(VLOOKUP(A341,[3]PRIORIZADOS!$A:$I,9,FALSE)="","",VLOOKUP(A341,[3]PRIORIZADOS!$A:$I,9,FALSE)),"")</f>
        <v>SEGUIMIENTO_Y_SUPERVISIÓN.</v>
      </c>
      <c r="J341" s="11" t="str">
        <f>IFERROR(IF(VLOOKUP(A341,[3]PRIORIZADOS!$A:$J,10,FALSE)="","",VLOOKUP(A341,[3]PRIORIZADOS!$A:$J,10,FALSE)),"")</f>
        <v>Realizar visitas para verificar la información registrada sobre la autoevaluación institucional en el aplicativo EVI, a los establecimientos de educación formal no oficial.</v>
      </c>
      <c r="K341" s="11" t="str">
        <f>IFERROR(IF(VLOOKUP(A341,[3]PRIORIZADOS!$A:$K,11,FALSE)="","",VLOOKUP(A341,[3]PRIORIZADOS!$A:$K,11,FALSE)),"")</f>
        <v>ANA ANDREA VARGAS GONZÁLEZ</v>
      </c>
      <c r="L341" s="11" t="str">
        <f>IFERROR(IF(VLOOKUP(A341,[3]PRIORIZADOS!$A:$L,12,FALSE)="","",VLOOKUP(A341,[3]PRIORIZADOS!$A:$L,12,FALSE)),"")</f>
        <v>JOSÉ ANTONIO PÁEZ FETECUA</v>
      </c>
      <c r="M341" s="71">
        <f>IFERROR(IF(VLOOKUP(A341,[3]PRIORIZADOS!$A:$M,13,FALSE)="","",VLOOKUP(A341,[3]PRIORIZADOS!$A:$M,13,FALSE)),"")</f>
        <v>45806</v>
      </c>
      <c r="N341" s="71">
        <f>IFERROR(IF(VLOOKUP(A341,[3]PRIORIZADOS!$A:$N,14,FALSE)="","",VLOOKUP(A341,[3]PRIORIZADOS!$A:$N,14,FALSE)),"")</f>
        <v>45806</v>
      </c>
      <c r="O341" s="71">
        <f>IFERROR(IF(VLOOKUP(A341,[3]PRIORIZADOS!$A:$O,15,FALSE)="","",VLOOKUP(A341,[3]PRIORIZADOS!$A:$O,15,FALSE)),"")</f>
        <v>45806</v>
      </c>
      <c r="P341" s="11" t="str">
        <f>IFERROR(IF(VLOOKUP(A341,[3]PRIORIZADOS!$A:$P,16,FALSE)="","",VLOOKUP(A341,[3]PRIORIZADOS!$A:$P,16,FALSE)),"")</f>
        <v>Visitas de evaluación con fines de mejoramiento</v>
      </c>
      <c r="Q341" s="123" t="s">
        <v>68</v>
      </c>
      <c r="R341" s="11" t="str">
        <f>IFERROR(IF(VLOOKUP(A341,[3]PRIORIZADOS!$A:$R,18,FALSE)="","",VLOOKUP(A341,[3]PRIORIZADOS!$A:$R,18,FALSE)),"")</f>
        <v>La información consignada en la Plataforma EVI relacionada con los indicadores de: planta física, dotación de espacios y calendario académico coincide con lo verificado en campo</v>
      </c>
      <c r="S341" s="11" t="str">
        <f>IFERROR(IF(VLOOKUP(A341,[3]PRIORIZADOS!$A:$S,19,FALSE)="","",VLOOKUP(A341,[3]PRIORIZADOS!$A:$S,19,FALSE)),"")</f>
        <v xml:space="preserve">Se concluye que la IE realizará su autoevalución institucional en el mes octubre.  </v>
      </c>
      <c r="T341" s="70" t="str">
        <f>IFERROR(IF(VLOOKUP(A341,[3]PRIORIZADOS!$A:$T,20,FALSE)="","",VLOOKUP(A341,[3]PRIORIZADOS!$A:$T,20,FALSE)),"")</f>
        <v>No</v>
      </c>
      <c r="U341" s="11" t="str">
        <f>IFERROR(IF(VLOOKUP(A341,[3]PRIORIZADOS!$A:$U,21,FALSE)="","",VLOOKUP(A341,[3]PRIORIZADOS!$A:$U,21,FALSE)),"")</f>
        <v>Se verificará la información cargada por la IE en el aplicativo EVI de la autoevaluación,  para la emisión del concepto de tarifas 2026</v>
      </c>
    </row>
    <row r="342" spans="1:21" s="1" customFormat="1" ht="60">
      <c r="A342" s="69">
        <f>IF([3]PRIORIZADOS!A153="","",[3]PRIORIZADOS!A153)</f>
        <v>348</v>
      </c>
      <c r="B342" s="70">
        <f>IFERROR(IF(VLOOKUP(A342,[3]PRIORIZADOS!$A:$B,2,FALSE)="","",VLOOKUP(A342,[3]PRIORIZADOS!$A:$B,2,FALSE)),"")</f>
        <v>17</v>
      </c>
      <c r="C342" s="11" t="str">
        <f>IFERROR(IF(VLOOKUP(A342,[3]PRIORIZADOS!$A:$C,3,FALSE)="","",VLOOKUP(A342,[3]PRIORIZADOS!$A:$C,3,FALSE)),"")</f>
        <v>BOSA</v>
      </c>
      <c r="D342" s="11" t="str">
        <f>IFERROR(IF(VLOOKUP(A342,[3]PRIORIZADOS!$A:$D,4,FALSE)="","",VLOOKUP(A342,[3]PRIORIZADOS!$A:$D,4,FALSE)),"")</f>
        <v>PRIVADO</v>
      </c>
      <c r="E342" s="11" t="str">
        <f>IFERROR(IF(VLOOKUP(A342,[3]PRIORIZADOS!$A:$E,5,FALSE)="","",VLOOKUP(A342,[3]PRIORIZADOS!$A:$E,5,FALSE)),"")</f>
        <v>EPBM</v>
      </c>
      <c r="F342" s="11" t="str">
        <f>IFERROR(IF(VLOOKUP(A342,[3]PRIORIZADOS!$A:$F,6,FALSE)="","",VLOOKUP(A342,[3]PRIORIZADOS!$A:$F,6,FALSE)),"")</f>
        <v>LICEO_ERNESTO_CARDENAL</v>
      </c>
      <c r="G342" s="11" t="str">
        <f>IFERROR(IF(VLOOKUP(A342,[3]PRIORIZADOS!$A:$G,7,FALSE)="","",VLOOKUP(A342,[3]PRIORIZADOS!$A:$G,7,FALSE)),"")</f>
        <v>LICEO ERNESTO CARDENAL</v>
      </c>
      <c r="H342" s="11" t="str">
        <f>IFERROR(IF(VLOOKUP(A342,[3]PRIORIZADOS!$A:$H,8,FALSE)="","",VLOOKUP(A342,[3]PRIORIZADOS!$A:$H,8,FALSE)),"")</f>
        <v>Autoevaluación Institucional y Pruebas SABER 11</v>
      </c>
      <c r="I342" s="11" t="str">
        <f>IFERROR(IF(VLOOKUP(A342,[3]PRIORIZADOS!$A:$I,9,FALSE)="","",VLOOKUP(A342,[3]PRIORIZADOS!$A:$I,9,FALSE)),"")</f>
        <v>SEGUIMIENTO_Y_SUPERVISIÓN.</v>
      </c>
      <c r="J342" s="11" t="str">
        <f>IFERROR(IF(VLOOKUP(A342,[3]PRIORIZADOS!$A:$J,10,FALSE)="","",VLOOKUP(A342,[3]PRIORIZADOS!$A:$J,10,FALSE)),"")</f>
        <v>Proponer estrategias en la formulación, verificar su elaboración y realizar seguimiento semestral al desarrollo de  las acciones establecidas en los planes de mejoramiento por pruebas SABER 11 de los establecimientos de educación formal.</v>
      </c>
      <c r="K342" s="11" t="str">
        <f>IFERROR(IF(VLOOKUP(A342,[3]PRIORIZADOS!$A:$K,11,FALSE)="","",VLOOKUP(A342,[3]PRIORIZADOS!$A:$K,11,FALSE)),"")</f>
        <v>ANA ANDREA VARGAS GONZÁLEZ</v>
      </c>
      <c r="L342" s="11" t="str">
        <f>IFERROR(IF(VLOOKUP(A342,[3]PRIORIZADOS!$A:$L,12,FALSE)="","",VLOOKUP(A342,[3]PRIORIZADOS!$A:$L,12,FALSE)),"")</f>
        <v>JOSÉ ANTONIO PÁEZ FETECUA</v>
      </c>
      <c r="M342" s="71">
        <f>IFERROR(IF(VLOOKUP(A342,[3]PRIORIZADOS!$A:$M,13,FALSE)="","",VLOOKUP(A342,[3]PRIORIZADOS!$A:$M,13,FALSE)),"")</f>
        <v>45806</v>
      </c>
      <c r="N342" s="71">
        <f>IFERROR(IF(VLOOKUP(A342,[3]PRIORIZADOS!$A:$N,14,FALSE)="","",VLOOKUP(A342,[3]PRIORIZADOS!$A:$N,14,FALSE)),"")</f>
        <v>45806</v>
      </c>
      <c r="O342" s="71">
        <f>IFERROR(IF(VLOOKUP(A342,[3]PRIORIZADOS!$A:$O,15,FALSE)="","",VLOOKUP(A342,[3]PRIORIZADOS!$A:$O,15,FALSE)),"")</f>
        <v>45806</v>
      </c>
      <c r="P342" s="11" t="str">
        <f>IFERROR(IF(VLOOKUP(A342,[3]PRIORIZADOS!$A:$P,16,FALSE)="","",VLOOKUP(A342,[3]PRIORIZADOS!$A:$P,16,FALSE)),"")</f>
        <v>Visitas de evaluación con fines de seguimiento</v>
      </c>
      <c r="Q342" s="122" t="s">
        <v>68</v>
      </c>
      <c r="R342" s="11" t="str">
        <f>IFERROR(IF(VLOOKUP(A342,[3]PRIORIZADOS!$A:$R,18,FALSE)="","",VLOOKUP(A342,[3]PRIORIZADOS!$A:$R,18,FALSE)),"")</f>
        <v>Se adelanta la revisión de los Resultados de las Pruebas Saber 11, encontrando que la IE se encuentra en Categoría B</v>
      </c>
      <c r="S342" s="11" t="str">
        <f>IFERROR(IF(VLOOKUP(A342,[3]PRIORIZADOS!$A:$S,19,FALSE)="","",VLOOKUP(A342,[3]PRIORIZADOS!$A:$S,19,FALSE)),"")</f>
        <v>Se aporta documento que la Institución educativa que compara diferentes vigencias y la mejora anual hasta llegar a la categoría A  en los resultados 2024</v>
      </c>
      <c r="T342" s="70" t="str">
        <f>IFERROR(IF(VLOOKUP(A342,[3]PRIORIZADOS!$A:$T,20,FALSE)="","",VLOOKUP(A342,[3]PRIORIZADOS!$A:$T,20,FALSE)),"")</f>
        <v>No</v>
      </c>
      <c r="U342" s="11" t="str">
        <f>IFERROR(IF(VLOOKUP(A342,[3]PRIORIZADOS!$A:$U,21,FALSE)="","",VLOOKUP(A342,[3]PRIORIZADOS!$A:$U,21,FALSE)),"")</f>
        <v>Se acordó revisar nuevamente el documento en el mes de agosto de 2025 y generar espacios de asesoría, conforme lo requiera la IE</v>
      </c>
    </row>
    <row r="343" spans="1:21" s="1" customFormat="1" ht="72">
      <c r="A343" s="69">
        <f>IF([3]PRIORIZADOS!A154="","",[3]PRIORIZADOS!A154)</f>
        <v>349</v>
      </c>
      <c r="B343" s="70">
        <f>IFERROR(IF(VLOOKUP(A343,[3]PRIORIZADOS!$A:$B,2,FALSE)="","",VLOOKUP(A343,[3]PRIORIZADOS!$A:$B,2,FALSE)),"")</f>
        <v>17</v>
      </c>
      <c r="C343" s="11" t="str">
        <f>IFERROR(IF(VLOOKUP(A343,[3]PRIORIZADOS!$A:$C,3,FALSE)="","",VLOOKUP(A343,[3]PRIORIZADOS!$A:$C,3,FALSE)),"")</f>
        <v>BOSA</v>
      </c>
      <c r="D343" s="11" t="str">
        <f>IFERROR(IF(VLOOKUP(A343,[3]PRIORIZADOS!$A:$D,4,FALSE)="","",VLOOKUP(A343,[3]PRIORIZADOS!$A:$D,4,FALSE)),"")</f>
        <v>PRIVADO</v>
      </c>
      <c r="E343" s="11" t="str">
        <f>IFERROR(IF(VLOOKUP(A343,[3]PRIORIZADOS!$A:$E,5,FALSE)="","",VLOOKUP(A343,[3]PRIORIZADOS!$A:$E,5,FALSE)),"")</f>
        <v>EPBM</v>
      </c>
      <c r="F343" s="11" t="str">
        <f>IFERROR(IF(VLOOKUP(A343,[3]PRIORIZADOS!$A:$F,6,FALSE)="","",VLOOKUP(A343,[3]PRIORIZADOS!$A:$F,6,FALSE)),"")</f>
        <v>LICEO_ERNESTO_CARDENAL</v>
      </c>
      <c r="G343" s="11" t="str">
        <f>IFERROR(IF(VLOOKUP(A343,[3]PRIORIZADOS!$A:$G,7,FALSE)="","",VLOOKUP(A343,[3]PRIORIZADOS!$A:$G,7,FALSE)),"")</f>
        <v>LICEO ERNESTO CARDENAL</v>
      </c>
      <c r="H343" s="11" t="str">
        <f>IFERROR(IF(VLOOKUP(A343,[3]PRIORIZADOS!$A:$H,8,FALSE)="","",VLOOKUP(A343,[3]PRIORIZADOS!$A:$H,8,FALSE)),"")</f>
        <v>Autoevaluación Institucional y Pruebas SABER 11</v>
      </c>
      <c r="I343" s="11" t="str">
        <f>IFERROR(IF(VLOOKUP(A343,[3]PRIORIZADOS!$A:$I,9,FALSE)="","",VLOOKUP(A343,[3]PRIORIZADOS!$A:$I,9,FALSE)),"")</f>
        <v>SEGUIMIENTO_Y_SUPERVISIÓN.</v>
      </c>
      <c r="J343" s="11" t="str">
        <f>IFERROR(IF(VLOOKUP(A343,[3]PRIORIZADOS!$A:$J,10,FALSE)="","",VLOOKUP(A343,[3]PRIORIZADOS!$A:$J,10,FALSE)),"")</f>
        <v xml:space="preserve">Verificar la implementación por parte de los colegios, de acciones realizadas para la prevención y atención de las situaciones de convivencia en el entorno escolar, según lo establecido en la Directiva 01 de 2022 del MEN. </v>
      </c>
      <c r="K343" s="11" t="str">
        <f>IFERROR(IF(VLOOKUP(A343,[3]PRIORIZADOS!$A:$K,11,FALSE)="","",VLOOKUP(A343,[3]PRIORIZADOS!$A:$K,11,FALSE)),"")</f>
        <v>ANA ANDREA VARGAS GONZÁLEZ</v>
      </c>
      <c r="L343" s="11" t="str">
        <f>IFERROR(IF(VLOOKUP(A343,[3]PRIORIZADOS!$A:$L,12,FALSE)="","",VLOOKUP(A343,[3]PRIORIZADOS!$A:$L,12,FALSE)),"")</f>
        <v>JOSÉ ANTONIO PÁEZ FETECUA</v>
      </c>
      <c r="M343" s="71">
        <f>IFERROR(IF(VLOOKUP(A343,[3]PRIORIZADOS!$A:$M,13,FALSE)="","",VLOOKUP(A343,[3]PRIORIZADOS!$A:$M,13,FALSE)),"")</f>
        <v>45806</v>
      </c>
      <c r="N343" s="71">
        <f>IFERROR(IF(VLOOKUP(A343,[3]PRIORIZADOS!$A:$N,14,FALSE)="","",VLOOKUP(A343,[3]PRIORIZADOS!$A:$N,14,FALSE)),"")</f>
        <v>45806</v>
      </c>
      <c r="O343" s="71">
        <f>IFERROR(IF(VLOOKUP(A343,[3]PRIORIZADOS!$A:$O,15,FALSE)="","",VLOOKUP(A343,[3]PRIORIZADOS!$A:$O,15,FALSE)),"")</f>
        <v>45806</v>
      </c>
      <c r="P343" s="11" t="str">
        <f>IFERROR(IF(VLOOKUP(A343,[3]PRIORIZADOS!$A:$P,16,FALSE)="","",VLOOKUP(A343,[3]PRIORIZADOS!$A:$P,16,FALSE)),"")</f>
        <v>Visitas de evaluación con fines de mejoramiento</v>
      </c>
      <c r="Q343" s="122" t="s">
        <v>68</v>
      </c>
      <c r="R343" s="11" t="str">
        <f>IFERROR(IF(VLOOKUP(A343,[3]PRIORIZADOS!$A:$R,18,FALSE)="","",VLOOKUP(A343,[3]PRIORIZADOS!$A:$R,18,FALSE)),"")</f>
        <v>Se verifica la implementación de acciones  realizadas para la prevención como lo es la verificación de inhabilidades por delitos sexuales en el sistema de la Policía Nacional.</v>
      </c>
      <c r="S343" s="11" t="str">
        <f>IFERROR(IF(VLOOKUP(A343,[3]PRIORIZADOS!$A:$S,19,FALSE)="","",VLOOKUP(A343,[3]PRIORIZADOS!$A:$S,19,FALSE)),"")</f>
        <v>Como acción de verificación se solicita implementar  la autorización de directivos, docentes y administrativos para las consultas de antecedentes en los sistemas que se requieran al momento de la vinculación</v>
      </c>
      <c r="T343" s="70" t="str">
        <f>IFERROR(IF(VLOOKUP(A343,[3]PRIORIZADOS!$A:$T,20,FALSE)="","",VLOOKUP(A343,[3]PRIORIZADOS!$A:$T,20,FALSE)),"")</f>
        <v>No</v>
      </c>
      <c r="U343" s="11" t="str">
        <f>IFERROR(IF(VLOOKUP(A343,[3]PRIORIZADOS!$A:$U,21,FALSE)="","",VLOOKUP(A343,[3]PRIORIZADOS!$A:$U,21,FALSE)),"")</f>
        <v>Verificar que la IE cuente con las respectivas autorizaciones para las consultas de antedecentes del personal vinculado.</v>
      </c>
    </row>
    <row r="344" spans="1:21" s="1" customFormat="1" ht="107.25">
      <c r="A344" s="69">
        <f>IF([3]PRIORIZADOS!A155="","",[3]PRIORIZADOS!A155)</f>
        <v>350</v>
      </c>
      <c r="B344" s="70">
        <f>IFERROR(IF(VLOOKUP(A344,[3]PRIORIZADOS!$A:$B,2,FALSE)="","",VLOOKUP(A344,[3]PRIORIZADOS!$A:$B,2,FALSE)),"")</f>
        <v>17</v>
      </c>
      <c r="C344" s="11" t="str">
        <f>IFERROR(IF(VLOOKUP(A344,[3]PRIORIZADOS!$A:$C,3,FALSE)="","",VLOOKUP(A344,[3]PRIORIZADOS!$A:$C,3,FALSE)),"")</f>
        <v>BOSA</v>
      </c>
      <c r="D344" s="11" t="str">
        <f>IFERROR(IF(VLOOKUP(A344,[3]PRIORIZADOS!$A:$D,4,FALSE)="","",VLOOKUP(A344,[3]PRIORIZADOS!$A:$D,4,FALSE)),"")</f>
        <v>PRIVADO</v>
      </c>
      <c r="E344" s="11" t="str">
        <f>IFERROR(IF(VLOOKUP(A344,[3]PRIORIZADOS!$A:$E,5,FALSE)="","",VLOOKUP(A344,[3]PRIORIZADOS!$A:$E,5,FALSE)),"")</f>
        <v>EPBM</v>
      </c>
      <c r="F344" s="11" t="str">
        <f>IFERROR(IF(VLOOKUP(A344,[3]PRIORIZADOS!$A:$F,6,FALSE)="","",VLOOKUP(A344,[3]PRIORIZADOS!$A:$F,6,FALSE)),"")</f>
        <v>LICEO_ERNESTO_CARDENAL</v>
      </c>
      <c r="G344" s="11" t="str">
        <f>IFERROR(IF(VLOOKUP(A344,[3]PRIORIZADOS!$A:$G,7,FALSE)="","",VLOOKUP(A344,[3]PRIORIZADOS!$A:$G,7,FALSE)),"")</f>
        <v>LICEO ERNESTO CARDENAL</v>
      </c>
      <c r="H344" s="11" t="str">
        <f>IFERROR(IF(VLOOKUP(A344,[3]PRIORIZADOS!$A:$H,8,FALSE)="","",VLOOKUP(A344,[3]PRIORIZADOS!$A:$H,8,FALSE)),"")</f>
        <v>Autoevaluación Institucional y Pruebas SABER 11</v>
      </c>
      <c r="I344" s="11" t="str">
        <f>IFERROR(IF(VLOOKUP(A344,[3]PRIORIZADOS!$A:$I,9,FALSE)="","",VLOOKUP(A344,[3]PRIORIZADOS!$A:$I,9,FALSE)),"")</f>
        <v>SEGUIMIENTO_Y_SUPERVISIÓN.</v>
      </c>
      <c r="J344" s="11" t="str">
        <f>IFERROR(IF(VLOOKUP(A344,[3]PRIORIZADOS!$A:$J,10,FALSE)="","",VLOOKUP(A344,[3]PRIORIZADOS!$A:$J,10,FALSE)),"")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44" s="11" t="str">
        <f>IFERROR(IF(VLOOKUP(A344,[3]PRIORIZADOS!$A:$K,11,FALSE)="","",VLOOKUP(A344,[3]PRIORIZADOS!$A:$K,11,FALSE)),"")</f>
        <v>ANA ANDREA VARGAS GONZÁLEZ</v>
      </c>
      <c r="L344" s="11" t="str">
        <f>IFERROR(IF(VLOOKUP(A344,[3]PRIORIZADOS!$A:$L,12,FALSE)="","",VLOOKUP(A344,[3]PRIORIZADOS!$A:$L,12,FALSE)),"")</f>
        <v>JOSÉ ANTONIO PÁEZ FETECUA</v>
      </c>
      <c r="M344" s="71">
        <f>IFERROR(IF(VLOOKUP(A344,[3]PRIORIZADOS!$A:$M,13,FALSE)="","",VLOOKUP(A344,[3]PRIORIZADOS!$A:$M,13,FALSE)),"")</f>
        <v>45806</v>
      </c>
      <c r="N344" s="71">
        <f>IFERROR(IF(VLOOKUP(A344,[3]PRIORIZADOS!$A:$N,14,FALSE)="","",VLOOKUP(A344,[3]PRIORIZADOS!$A:$N,14,FALSE)),"")</f>
        <v>45806</v>
      </c>
      <c r="O344" s="71">
        <f>IFERROR(IF(VLOOKUP(A344,[3]PRIORIZADOS!$A:$O,15,FALSE)="","",VLOOKUP(A344,[3]PRIORIZADOS!$A:$O,15,FALSE)),"")</f>
        <v>45806</v>
      </c>
      <c r="P344" s="11" t="str">
        <f>IFERROR(IF(VLOOKUP(A344,[3]PRIORIZADOS!$A:$P,16,FALSE)="","",VLOOKUP(A344,[3]PRIORIZADOS!$A:$P,16,FALSE)),"")</f>
        <v>Visitas de evaluación con fines de mejoramiento</v>
      </c>
      <c r="Q344" s="122" t="s">
        <v>68</v>
      </c>
      <c r="R344" s="11" t="str">
        <f>IFERROR(IF(VLOOKUP(A344,[3]PRIORIZADOS!$A:$R,18,FALSE)="","",VLOOKUP(A344,[3]PRIORIZADOS!$A:$R,18,FALSE)),"")</f>
        <v>Al revisar la Plataforma SIMAT, hay 05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44" s="11" t="str">
        <f>IFERROR(IF(VLOOKUP(A344,[3]PRIORIZADOS!$A:$S,19,FALSE)="","",VLOOKUP(A344,[3]PRIORIZADOS!$A:$S,19,FALSE)),"")</f>
        <v>La Institución Educativa se compromete a remitir el Documento Institucional del Plan Individual de Ajustes Razonables PIAR</v>
      </c>
      <c r="T344" s="70" t="str">
        <f>IFERROR(IF(VLOOKUP(A344,[3]PRIORIZADOS!$A:$T,20,FALSE)="","",VLOOKUP(A344,[3]PRIORIZADOS!$A:$T,20,FALSE)),"")</f>
        <v>No</v>
      </c>
      <c r="U344" s="11" t="str">
        <f>IFERROR(IF(VLOOKUP(A344,[3]PRIORIZADOS!$A:$U,21,FALSE)="","",VLOOKUP(A344,[3]PRIORIZADOS!$A:$U,21,FALSE)),"")</f>
        <v>Verificar la información en SIMAT</v>
      </c>
    </row>
    <row r="345" spans="1:21" s="1" customFormat="1" ht="84">
      <c r="A345" s="69">
        <f>IF([3]PRIORIZADOS!A156="","",[3]PRIORIZADOS!A156)</f>
        <v>351</v>
      </c>
      <c r="B345" s="70">
        <f>IFERROR(IF(VLOOKUP(A345,[3]PRIORIZADOS!$A:$B,2,FALSE)="","",VLOOKUP(A345,[3]PRIORIZADOS!$A:$B,2,FALSE)),"")</f>
        <v>17</v>
      </c>
      <c r="C345" s="11" t="str">
        <f>IFERROR(IF(VLOOKUP(A345,[3]PRIORIZADOS!$A:$C,3,FALSE)="","",VLOOKUP(A345,[3]PRIORIZADOS!$A:$C,3,FALSE)),"")</f>
        <v>BOSA</v>
      </c>
      <c r="D345" s="11" t="str">
        <f>IFERROR(IF(VLOOKUP(A345,[3]PRIORIZADOS!$A:$D,4,FALSE)="","",VLOOKUP(A345,[3]PRIORIZADOS!$A:$D,4,FALSE)),"")</f>
        <v>PRIVADO</v>
      </c>
      <c r="E345" s="11" t="str">
        <f>IFERROR(IF(VLOOKUP(A345,[3]PRIORIZADOS!$A:$E,5,FALSE)="","",VLOOKUP(A345,[3]PRIORIZADOS!$A:$E,5,FALSE)),"")</f>
        <v>EPBM</v>
      </c>
      <c r="F345" s="11" t="str">
        <f>IFERROR(IF(VLOOKUP(A345,[3]PRIORIZADOS!$A:$F,6,FALSE)="","",VLOOKUP(A345,[3]PRIORIZADOS!$A:$F,6,FALSE)),"")</f>
        <v>LICEO_ERNESTO_CARDENAL</v>
      </c>
      <c r="G345" s="11" t="str">
        <f>IFERROR(IF(VLOOKUP(A345,[3]PRIORIZADOS!$A:$G,7,FALSE)="","",VLOOKUP(A345,[3]PRIORIZADOS!$A:$G,7,FALSE)),"")</f>
        <v>LICEO ERNESTO CARDENAL</v>
      </c>
      <c r="H345" s="11" t="str">
        <f>IFERROR(IF(VLOOKUP(A345,[3]PRIORIZADOS!$A:$H,8,FALSE)="","",VLOOKUP(A345,[3]PRIORIZADOS!$A:$H,8,FALSE)),"")</f>
        <v>Autoevaluación Institucional y Pruebas SABER 11</v>
      </c>
      <c r="I345" s="11" t="str">
        <f>IFERROR(IF(VLOOKUP(A345,[3]PRIORIZADOS!$A:$I,9,FALSE)="","",VLOOKUP(A345,[3]PRIORIZADOS!$A:$I,9,FALSE)),"")</f>
        <v>EVALUACIÓN_CON_FINES_DE_MEJORAMIENTO.</v>
      </c>
      <c r="J345" s="11" t="str">
        <f>IFERROR(IF(VLOOKUP(A345,[3]PRIORIZADOS!$A:$J,10,FALSE)="","",VLOOKUP(A345,[3]PRIORIZADOS!$A:$J,10,FALSE)),"")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45" s="11" t="str">
        <f>IFERROR(IF(VLOOKUP(A345,[3]PRIORIZADOS!$A:$K,11,FALSE)="","",VLOOKUP(A345,[3]PRIORIZADOS!$A:$K,11,FALSE)),"")</f>
        <v>ANA ANDREA VARGAS GONZÁLEZ</v>
      </c>
      <c r="L345" s="11" t="str">
        <f>IFERROR(IF(VLOOKUP(A345,[3]PRIORIZADOS!$A:$L,12,FALSE)="","",VLOOKUP(A345,[3]PRIORIZADOS!$A:$L,12,FALSE)),"")</f>
        <v>JOSÉ ANTONIO PÁEZ FETECUA</v>
      </c>
      <c r="M345" s="71">
        <f>IFERROR(IF(VLOOKUP(A345,[3]PRIORIZADOS!$A:$M,13,FALSE)="","",VLOOKUP(A345,[3]PRIORIZADOS!$A:$M,13,FALSE)),"")</f>
        <v>45806</v>
      </c>
      <c r="N345" s="71">
        <f>IFERROR(IF(VLOOKUP(A345,[3]PRIORIZADOS!$A:$N,14,FALSE)="","",VLOOKUP(A345,[3]PRIORIZADOS!$A:$N,14,FALSE)),"")</f>
        <v>45806</v>
      </c>
      <c r="O345" s="71">
        <f>IFERROR(IF(VLOOKUP(A345,[3]PRIORIZADOS!$A:$O,15,FALSE)="","",VLOOKUP(A345,[3]PRIORIZADOS!$A:$O,15,FALSE)),"")</f>
        <v>45806</v>
      </c>
      <c r="P345" s="11" t="str">
        <f>IFERROR(IF(VLOOKUP(A345,[3]PRIORIZADOS!$A:$P,16,FALSE)="","",VLOOKUP(A345,[3]PRIORIZADOS!$A:$P,16,FALSE)),"")</f>
        <v>Visitas de evaluación con fines de mejoramiento</v>
      </c>
      <c r="Q345" s="122" t="s">
        <v>68</v>
      </c>
      <c r="R345" s="11" t="str">
        <f>IFERROR(IF(VLOOKUP(A345,[3]PRIORIZADOS!$A:$R,18,FALSE)="","",VLOOKUP(A345,[3]PRIORIZADOS!$A:$R,18,FALSE)),"")</f>
        <v>El Manual de Convivencia fue construido y adoptado de forma participativa e incluye los componentes generales, los diferentes enfoques y se encuentra conforme a lo establecido en el PEI y la normatividad vigente</v>
      </c>
      <c r="S345" s="11" t="str">
        <f>IFERROR(IF(VLOOKUP(A345,[3]PRIORIZADOS!$A:$S,19,FALSE)="","",VLOOKUP(A345,[3]PRIORIZADOS!$A:$S,19,FALSE)),"")</f>
        <v>Como acción de verificación la Institución Educativa se compromete a remitir la versión actualizada del Manual de Convivencia a la vigencia 2024 -2025</v>
      </c>
      <c r="T345" s="70" t="str">
        <f>IFERROR(IF(VLOOKUP(A345,[3]PRIORIZADOS!$A:$T,20,FALSE)="","",VLOOKUP(A345,[3]PRIORIZADOS!$A:$T,20,FALSE)),"")</f>
        <v>No</v>
      </c>
      <c r="U345" s="11" t="str">
        <f>IFERROR(IF(VLOOKUP(A345,[3]PRIORIZADOS!$A:$U,21,FALSE)="","",VLOOKUP(A345,[3]PRIORIZADOS!$A:$U,21,FALSE)),"")</f>
        <v>Verificar nuevamente el documento en el mes de agosto de 2025 y generar espacios de asesoría, conforme lo requiera la IE</v>
      </c>
    </row>
    <row r="346" spans="1:21" s="1" customFormat="1" ht="72">
      <c r="A346" s="69">
        <f>IF([3]PRIORIZADOS!A157="","",[3]PRIORIZADOS!A157)</f>
        <v>352</v>
      </c>
      <c r="B346" s="70">
        <f>IFERROR(IF(VLOOKUP(A346,[3]PRIORIZADOS!$A:$B,2,FALSE)="","",VLOOKUP(A346,[3]PRIORIZADOS!$A:$B,2,FALSE)),"")</f>
        <v>17</v>
      </c>
      <c r="C346" s="11" t="str">
        <f>IFERROR(IF(VLOOKUP(A346,[3]PRIORIZADOS!$A:$C,3,FALSE)="","",VLOOKUP(A346,[3]PRIORIZADOS!$A:$C,3,FALSE)),"")</f>
        <v>BOSA</v>
      </c>
      <c r="D346" s="11" t="str">
        <f>IFERROR(IF(VLOOKUP(A346,[3]PRIORIZADOS!$A:$D,4,FALSE)="","",VLOOKUP(A346,[3]PRIORIZADOS!$A:$D,4,FALSE)),"")</f>
        <v>PRIVADO</v>
      </c>
      <c r="E346" s="11" t="str">
        <f>IFERROR(IF(VLOOKUP(A346,[3]PRIORIZADOS!$A:$E,5,FALSE)="","",VLOOKUP(A346,[3]PRIORIZADOS!$A:$E,5,FALSE)),"")</f>
        <v>EPBM</v>
      </c>
      <c r="F346" s="11" t="str">
        <f>IFERROR(IF(VLOOKUP(A346,[3]PRIORIZADOS!$A:$F,6,FALSE)="","",VLOOKUP(A346,[3]PRIORIZADOS!$A:$F,6,FALSE)),"")</f>
        <v>LICEO_ERNESTO_CARDENAL</v>
      </c>
      <c r="G346" s="11" t="str">
        <f>IFERROR(IF(VLOOKUP(A346,[3]PRIORIZADOS!$A:$G,7,FALSE)="","",VLOOKUP(A346,[3]PRIORIZADOS!$A:$G,7,FALSE)),"")</f>
        <v>LICEO ERNESTO CARDENAL</v>
      </c>
      <c r="H346" s="11" t="str">
        <f>IFERROR(IF(VLOOKUP(A346,[3]PRIORIZADOS!$A:$H,8,FALSE)="","",VLOOKUP(A346,[3]PRIORIZADOS!$A:$H,8,FALSE)),"")</f>
        <v>Autoevaluación Institucional y Pruebas SABER 11</v>
      </c>
      <c r="I346" s="11" t="str">
        <f>IFERROR(IF(VLOOKUP(A346,[3]PRIORIZADOS!$A:$I,9,FALSE)="","",VLOOKUP(A346,[3]PRIORIZADOS!$A:$I,9,FALSE)),"")</f>
        <v>EVALUACIÓN_CON_FINES_DE_MEJORAMIENTO.</v>
      </c>
      <c r="J346" s="11" t="str">
        <f>IFERROR(IF(VLOOKUP(A346,[3]PRIORIZADOS!$A:$J,10,FALSE)="","",VLOOKUP(A346,[3]PRIORIZADOS!$A:$J,10,FALSE)),"")</f>
        <v>Revisar la actualización, socialización e implementación del Sistema Institucional de Evaluación de Estudiantes - SIEE, en articulación con la actualización del PEI y la normatividad vigente.</v>
      </c>
      <c r="K346" s="11" t="str">
        <f>IFERROR(IF(VLOOKUP(A346,[3]PRIORIZADOS!$A:$K,11,FALSE)="","",VLOOKUP(A346,[3]PRIORIZADOS!$A:$K,11,FALSE)),"")</f>
        <v>ANA ANDREA VARGAS GONZÁLEZ</v>
      </c>
      <c r="L346" s="11" t="str">
        <f>IFERROR(IF(VLOOKUP(A346,[3]PRIORIZADOS!$A:$L,12,FALSE)="","",VLOOKUP(A346,[3]PRIORIZADOS!$A:$L,12,FALSE)),"")</f>
        <v>JOSÉ ANTONIO PÁEZ FETECUA</v>
      </c>
      <c r="M346" s="71">
        <f>IFERROR(IF(VLOOKUP(A346,[3]PRIORIZADOS!$A:$M,13,FALSE)="","",VLOOKUP(A346,[3]PRIORIZADOS!$A:$M,13,FALSE)),"")</f>
        <v>45806</v>
      </c>
      <c r="N346" s="71">
        <f>IFERROR(IF(VLOOKUP(A346,[3]PRIORIZADOS!$A:$N,14,FALSE)="","",VLOOKUP(A346,[3]PRIORIZADOS!$A:$N,14,FALSE)),"")</f>
        <v>45806</v>
      </c>
      <c r="O346" s="71">
        <f>IFERROR(IF(VLOOKUP(A346,[3]PRIORIZADOS!$A:$O,15,FALSE)="","",VLOOKUP(A346,[3]PRIORIZADOS!$A:$O,15,FALSE)),"")</f>
        <v>45806</v>
      </c>
      <c r="P346" s="11" t="str">
        <f>IFERROR(IF(VLOOKUP(A346,[3]PRIORIZADOS!$A:$P,16,FALSE)="","",VLOOKUP(A346,[3]PRIORIZADOS!$A:$P,16,FALSE)),"")</f>
        <v>Visitas de evaluación con fines de mejoramiento</v>
      </c>
      <c r="Q346" s="5" t="s">
        <v>68</v>
      </c>
      <c r="R346" s="11" t="str">
        <f>IFERROR(IF(VLOOKUP(A346,[3]PRIORIZADOS!$A:$R,18,FALSE)="","",VLOOKUP(A346,[3]PRIORIZADOS!$A:$R,18,FALSE)),"")</f>
        <v>Se evidencia el Sistema Institucional de Evaluación de Estudiantes - SIEE, actualizado para la vigencia 2025. Fue construido en articulación con el Consejo Directivo y la comunidad educativa desde el año 2019 y se actualiza cada 2 años</v>
      </c>
      <c r="S346" s="11" t="str">
        <f>IFERROR(IF(VLOOKUP(A346,[3]PRIORIZADOS!$A:$S,19,FALSE)="","",VLOOKUP(A346,[3]PRIORIZADOS!$A:$S,19,FALSE)),"")</f>
        <v>Como acción de verificación la Institución Educativa se compromete a remitir la versión actualizada del  Sistema institucional de evaluación de los estudiantes- SIEE</v>
      </c>
      <c r="T346" s="70" t="str">
        <f>IFERROR(IF(VLOOKUP(A346,[3]PRIORIZADOS!$A:$T,20,FALSE)="","",VLOOKUP(A346,[3]PRIORIZADOS!$A:$T,20,FALSE)),"")</f>
        <v>No</v>
      </c>
      <c r="U346" s="11" t="str">
        <f>IFERROR(IF(VLOOKUP(A346,[3]PRIORIZADOS!$A:$U,21,FALSE)="","",VLOOKUP(A346,[3]PRIORIZADOS!$A:$U,21,FALSE)),"")</f>
        <v>Verificar nuevamente el documento en el mes de agosto de 2025 y generar espacios de asesoría, conforme lo requiera la IE</v>
      </c>
    </row>
    <row r="347" spans="1:21" s="1" customFormat="1" ht="48">
      <c r="A347" s="69">
        <f>IF([3]PRIORIZADOS!A158="","",[3]PRIORIZADOS!A158)</f>
        <v>353</v>
      </c>
      <c r="B347" s="70">
        <f>IFERROR(IF(VLOOKUP(A347,[3]PRIORIZADOS!$A:$B,2,FALSE)="","",VLOOKUP(A347,[3]PRIORIZADOS!$A:$B,2,FALSE)),"")</f>
        <v>17</v>
      </c>
      <c r="C347" s="11" t="str">
        <f>IFERROR(IF(VLOOKUP(A347,[3]PRIORIZADOS!$A:$C,3,FALSE)="","",VLOOKUP(A347,[3]PRIORIZADOS!$A:$C,3,FALSE)),"")</f>
        <v>BOSA</v>
      </c>
      <c r="D347" s="11" t="str">
        <f>IFERROR(IF(VLOOKUP(A347,[3]PRIORIZADOS!$A:$D,4,FALSE)="","",VLOOKUP(A347,[3]PRIORIZADOS!$A:$D,4,FALSE)),"")</f>
        <v>PRIVADO</v>
      </c>
      <c r="E347" s="11" t="str">
        <f>IFERROR(IF(VLOOKUP(A347,[3]PRIORIZADOS!$A:$E,5,FALSE)="","",VLOOKUP(A347,[3]PRIORIZADOS!$A:$E,5,FALSE)),"")</f>
        <v>EPBM</v>
      </c>
      <c r="F347" s="11" t="str">
        <f>IFERROR(IF(VLOOKUP(A347,[3]PRIORIZADOS!$A:$F,6,FALSE)="","",VLOOKUP(A347,[3]PRIORIZADOS!$A:$F,6,FALSE)),"")</f>
        <v>LICEO_ERNESTO_CARDENAL</v>
      </c>
      <c r="G347" s="11" t="str">
        <f>IFERROR(IF(VLOOKUP(A347,[3]PRIORIZADOS!$A:$G,7,FALSE)="","",VLOOKUP(A347,[3]PRIORIZADOS!$A:$G,7,FALSE)),"")</f>
        <v>LICEO ERNESTO CARDENAL</v>
      </c>
      <c r="H347" s="11" t="str">
        <f>IFERROR(IF(VLOOKUP(A347,[3]PRIORIZADOS!$A:$H,8,FALSE)="","",VLOOKUP(A347,[3]PRIORIZADOS!$A:$H,8,FALSE)),"")</f>
        <v>Autoevaluación Institucional y Pruebas SABER 11</v>
      </c>
      <c r="I347" s="11" t="str">
        <f>IFERROR(IF(VLOOKUP(A347,[3]PRIORIZADOS!$A:$I,9,FALSE)="","",VLOOKUP(A347,[3]PRIORIZADOS!$A:$I,9,FALSE)),"")</f>
        <v>EVALUACIÓN_CON_FINES_DE_MEJORAMIENTO.</v>
      </c>
      <c r="J347" s="11" t="str">
        <f>IFERROR(IF(VLOOKUP(A347,[3]PRIORIZADOS!$A:$J,10,FALSE)="","",VLOOKUP(A347,[3]PRIORIZADOS!$A:$J,10,FALSE)),"")</f>
        <v>Revisar el calendario escolar, jornada escolar, la intensidad horaria mínima anual en cada nivel y las modificaciones que se realicen al mismo, de acuerdo con lo previsto en la normatividad vigente.</v>
      </c>
      <c r="K347" s="11" t="str">
        <f>IFERROR(IF(VLOOKUP(A347,[3]PRIORIZADOS!$A:$K,11,FALSE)="","",VLOOKUP(A347,[3]PRIORIZADOS!$A:$K,11,FALSE)),"")</f>
        <v>ANA ANDREA VARGAS GONZÁLEZ</v>
      </c>
      <c r="L347" s="11" t="str">
        <f>IFERROR(IF(VLOOKUP(A347,[3]PRIORIZADOS!$A:$L,12,FALSE)="","",VLOOKUP(A347,[3]PRIORIZADOS!$A:$L,12,FALSE)),"")</f>
        <v>JOSÉ ANTONIO PÁEZ FETECUA</v>
      </c>
      <c r="M347" s="71">
        <f>IFERROR(IF(VLOOKUP(A347,[3]PRIORIZADOS!$A:$M,13,FALSE)="","",VLOOKUP(A347,[3]PRIORIZADOS!$A:$M,13,FALSE)),"")</f>
        <v>45806</v>
      </c>
      <c r="N347" s="71">
        <f>IFERROR(IF(VLOOKUP(A347,[3]PRIORIZADOS!$A:$N,14,FALSE)="","",VLOOKUP(A347,[3]PRIORIZADOS!$A:$N,14,FALSE)),"")</f>
        <v>45806</v>
      </c>
      <c r="O347" s="71">
        <f>IFERROR(IF(VLOOKUP(A347,[3]PRIORIZADOS!$A:$O,15,FALSE)="","",VLOOKUP(A347,[3]PRIORIZADOS!$A:$O,15,FALSE)),"")</f>
        <v>45806</v>
      </c>
      <c r="P347" s="11" t="str">
        <f>IFERROR(IF(VLOOKUP(A347,[3]PRIORIZADOS!$A:$P,16,FALSE)="","",VLOOKUP(A347,[3]PRIORIZADOS!$A:$P,16,FALSE)),"")</f>
        <v>Visitas de evaluación con fines de mejoramiento</v>
      </c>
      <c r="Q347" s="5" t="s">
        <v>68</v>
      </c>
      <c r="R347" s="11" t="str">
        <f>IFERROR(IF(VLOOKUP(A347,[3]PRIORIZADOS!$A:$R,18,FALSE)="","",VLOOKUP(A347,[3]PRIORIZADOS!$A:$R,18,FALSE)),"")</f>
        <v>El calendario escolar, jornada escolar, la intensidad horaria mínima anual en cada nivel se encuentran conforme lo previsto en la normatividad vigente</v>
      </c>
      <c r="S347" s="11" t="str">
        <f>IFERROR(IF(VLOOKUP(A347,[3]PRIORIZADOS!$A:$S,19,FALSE)="","",VLOOKUP(A347,[3]PRIORIZADOS!$A:$S,19,FALSE)),"")</f>
        <v>Como acción de verificación la Institución Educativa se compromete a remitir la versión actualizada calendario escolar</v>
      </c>
      <c r="T347" s="70" t="str">
        <f>IFERROR(IF(VLOOKUP(A347,[3]PRIORIZADOS!$A:$T,20,FALSE)="","",VLOOKUP(A347,[3]PRIORIZADOS!$A:$T,20,FALSE)),"")</f>
        <v>No</v>
      </c>
      <c r="U347" s="11" t="str">
        <f>IFERROR(IF(VLOOKUP(A347,[3]PRIORIZADOS!$A:$U,21,FALSE)="","",VLOOKUP(A347,[3]PRIORIZADOS!$A:$U,21,FALSE)),"")</f>
        <v>Verificar nuevamente el documento en el mes de agosto de 2025 y generar espacios de asesoría, conforme lo requiera la IE</v>
      </c>
    </row>
    <row r="348" spans="1:21" s="1" customFormat="1" ht="48">
      <c r="A348" s="69">
        <f>IF([3]PRIORIZADOS!A159="","",[3]PRIORIZADOS!A159)</f>
        <v>354</v>
      </c>
      <c r="B348" s="70">
        <f>IFERROR(IF(VLOOKUP(A348,[3]PRIORIZADOS!$A:$B,2,FALSE)="","",VLOOKUP(A348,[3]PRIORIZADOS!$A:$B,2,FALSE)),"")</f>
        <v>17</v>
      </c>
      <c r="C348" s="11" t="str">
        <f>IFERROR(IF(VLOOKUP(A348,[3]PRIORIZADOS!$A:$C,3,FALSE)="","",VLOOKUP(A348,[3]PRIORIZADOS!$A:$C,3,FALSE)),"")</f>
        <v>BOSA</v>
      </c>
      <c r="D348" s="11" t="str">
        <f>IFERROR(IF(VLOOKUP(A348,[3]PRIORIZADOS!$A:$D,4,FALSE)="","",VLOOKUP(A348,[3]PRIORIZADOS!$A:$D,4,FALSE)),"")</f>
        <v>PRIVADO</v>
      </c>
      <c r="E348" s="11" t="str">
        <f>IFERROR(IF(VLOOKUP(A348,[3]PRIORIZADOS!$A:$E,5,FALSE)="","",VLOOKUP(A348,[3]PRIORIZADOS!$A:$E,5,FALSE)),"")</f>
        <v>EPBM</v>
      </c>
      <c r="F348" s="11" t="str">
        <f>IFERROR(IF(VLOOKUP(A348,[3]PRIORIZADOS!$A:$F,6,FALSE)="","",VLOOKUP(A348,[3]PRIORIZADOS!$A:$F,6,FALSE)),"")</f>
        <v>LICEO_ERNESTO_CARDENAL</v>
      </c>
      <c r="G348" s="11" t="str">
        <f>IFERROR(IF(VLOOKUP(A348,[3]PRIORIZADOS!$A:$G,7,FALSE)="","",VLOOKUP(A348,[3]PRIORIZADOS!$A:$G,7,FALSE)),"")</f>
        <v>LICEO ERNESTO CARDENAL</v>
      </c>
      <c r="H348" s="11" t="str">
        <f>IFERROR(IF(VLOOKUP(A348,[3]PRIORIZADOS!$A:$H,8,FALSE)="","",VLOOKUP(A348,[3]PRIORIZADOS!$A:$H,8,FALSE)),"")</f>
        <v>Autoevaluación Institucional y Pruebas SABER 11</v>
      </c>
      <c r="I348" s="11" t="str">
        <f>IFERROR(IF(VLOOKUP(A348,[3]PRIORIZADOS!$A:$I,9,FALSE)="","",VLOOKUP(A348,[3]PRIORIZADOS!$A:$I,9,FALSE)),"")</f>
        <v>EVALUACIÓN_CON_FINES_DE_MEJORAMIENTO.</v>
      </c>
      <c r="J348" s="11" t="str">
        <f>IFERROR(IF(VLOOKUP(A348,[3]PRIORIZADOS!$A:$J,10,FALSE)="","",VLOOKUP(A348,[3]PRIORIZADOS!$A:$J,10,FALSE)),"")</f>
        <v>Verificar el funcionamiento del Gobierno Escolar e instancias de participación con base en la información sobre conformación reportada por la institución educativa.</v>
      </c>
      <c r="K348" s="11" t="str">
        <f>IFERROR(IF(VLOOKUP(A348,[3]PRIORIZADOS!$A:$K,11,FALSE)="","",VLOOKUP(A348,[3]PRIORIZADOS!$A:$K,11,FALSE)),"")</f>
        <v>ANA ANDREA VARGAS GONZÁLEZ</v>
      </c>
      <c r="L348" s="11" t="str">
        <f>IFERROR(IF(VLOOKUP(A348,[3]PRIORIZADOS!$A:$L,12,FALSE)="","",VLOOKUP(A348,[3]PRIORIZADOS!$A:$L,12,FALSE)),"")</f>
        <v>JOSÉ ANTONIO PÁEZ FETECUA</v>
      </c>
      <c r="M348" s="71">
        <f>IFERROR(IF(VLOOKUP(A348,[3]PRIORIZADOS!$A:$M,13,FALSE)="","",VLOOKUP(A348,[3]PRIORIZADOS!$A:$M,13,FALSE)),"")</f>
        <v>45806</v>
      </c>
      <c r="N348" s="71">
        <f>IFERROR(IF(VLOOKUP(A348,[3]PRIORIZADOS!$A:$N,14,FALSE)="","",VLOOKUP(A348,[3]PRIORIZADOS!$A:$N,14,FALSE)),"")</f>
        <v>45806</v>
      </c>
      <c r="O348" s="71">
        <f>IFERROR(IF(VLOOKUP(A348,[3]PRIORIZADOS!$A:$O,15,FALSE)="","",VLOOKUP(A348,[3]PRIORIZADOS!$A:$O,15,FALSE)),"")</f>
        <v>45806</v>
      </c>
      <c r="P348" s="11" t="str">
        <f>IFERROR(IF(VLOOKUP(A348,[3]PRIORIZADOS!$A:$P,16,FALSE)="","",VLOOKUP(A348,[3]PRIORIZADOS!$A:$P,16,FALSE)),"")</f>
        <v>Visitas de evaluación con fines de mejoramiento</v>
      </c>
      <c r="Q348" s="5" t="s">
        <v>68</v>
      </c>
      <c r="R348" s="11" t="str">
        <f>IFERROR(IF(VLOOKUP(A348,[3]PRIORIZADOS!$A:$R,18,FALSE)="","",VLOOKUP(A348,[3]PRIORIZADOS!$A:$R,18,FALSE)),"")</f>
        <v xml:space="preserve">La constitución del Gobierno Escolar y sus órganos de participación, se encuentra conforme a la Normativa Vigente Sobre el funcionamiento, ¿qué se evidencio? </v>
      </c>
      <c r="S348" s="11" t="str">
        <f>IFERROR(IF(VLOOKUP(A348,[3]PRIORIZADOS!$A:$S,19,FALSE)="","",VLOOKUP(A348,[3]PRIORIZADOS!$A:$S,19,FALSE)),"")</f>
        <v>Continuar operando conforme funciones y reglamentos.</v>
      </c>
      <c r="T348" s="70" t="str">
        <f>IFERROR(IF(VLOOKUP(A348,[3]PRIORIZADOS!$A:$T,20,FALSE)="","",VLOOKUP(A348,[3]PRIORIZADOS!$A:$T,20,FALSE)),"")</f>
        <v>No</v>
      </c>
      <c r="U348" s="11" t="str">
        <f>IFERROR(IF(VLOOKUP(A348,[3]PRIORIZADOS!$A:$U,21,FALSE)="","",VLOOKUP(A348,[3]PRIORIZADOS!$A:$U,21,FALSE)),"")</f>
        <v>Verificar la conformación del Gobierno Escolar e instancias para la vigencia 2026 o antes si la IE lo requiere o se presenta solicitud o queja.</v>
      </c>
    </row>
    <row r="349" spans="1:21" s="1" customFormat="1" ht="60">
      <c r="A349" s="69">
        <f>IF([3]PRIORIZADOS!A160="","",[3]PRIORIZADOS!A160)</f>
        <v>355</v>
      </c>
      <c r="B349" s="70">
        <f>IFERROR(IF(VLOOKUP(A349,[3]PRIORIZADOS!$A:$B,2,FALSE)="","",VLOOKUP(A349,[3]PRIORIZADOS!$A:$B,2,FALSE)),"")</f>
        <v>17</v>
      </c>
      <c r="C349" s="11" t="str">
        <f>IFERROR(IF(VLOOKUP(A349,[3]PRIORIZADOS!$A:$C,3,FALSE)="","",VLOOKUP(A349,[3]PRIORIZADOS!$A:$C,3,FALSE)),"")</f>
        <v>BOSA</v>
      </c>
      <c r="D349" s="11" t="str">
        <f>IFERROR(IF(VLOOKUP(A349,[3]PRIORIZADOS!$A:$D,4,FALSE)="","",VLOOKUP(A349,[3]PRIORIZADOS!$A:$D,4,FALSE)),"")</f>
        <v>PRIVADO</v>
      </c>
      <c r="E349" s="11" t="str">
        <f>IFERROR(IF(VLOOKUP(A349,[3]PRIORIZADOS!$A:$E,5,FALSE)="","",VLOOKUP(A349,[3]PRIORIZADOS!$A:$E,5,FALSE)),"")</f>
        <v>EPBM</v>
      </c>
      <c r="F349" s="11" t="str">
        <f>IFERROR(IF(VLOOKUP(A349,[3]PRIORIZADOS!$A:$F,6,FALSE)="","",VLOOKUP(A349,[3]PRIORIZADOS!$A:$F,6,FALSE)),"")</f>
        <v>LICEO_ERNESTO_CARDENAL</v>
      </c>
      <c r="G349" s="11" t="str">
        <f>IFERROR(IF(VLOOKUP(A349,[3]PRIORIZADOS!$A:$G,7,FALSE)="","",VLOOKUP(A349,[3]PRIORIZADOS!$A:$G,7,FALSE)),"")</f>
        <v>LICEO ERNESTO CARDENAL</v>
      </c>
      <c r="H349" s="11" t="str">
        <f>IFERROR(IF(VLOOKUP(A349,[3]PRIORIZADOS!$A:$H,8,FALSE)="","",VLOOKUP(A349,[3]PRIORIZADOS!$A:$H,8,FALSE)),"")</f>
        <v>Autoevaluación Institucional y Pruebas SABER 11</v>
      </c>
      <c r="I349" s="11" t="str">
        <f>IFERROR(IF(VLOOKUP(A349,[3]PRIORIZADOS!$A:$I,9,FALSE)="","",VLOOKUP(A349,[3]PRIORIZADOS!$A:$I,9,FALSE)),"")</f>
        <v>EVALUACIÓN_CON_FINES_DE_MEJORAMIENTO.</v>
      </c>
      <c r="J349" s="11" t="str">
        <f>IFERROR(IF(VLOOKUP(A349,[3]PRIORIZADOS!$A:$J,10,FALSE)="","",VLOOKUP(A349,[3]PRIORIZADOS!$A:$J,10,FALSE)),"")</f>
        <v>Verificar las condiciones en cuanto a: la estructura administrativa, condiciones de la planta física y medios educativos adecuados.</v>
      </c>
      <c r="K349" s="11" t="str">
        <f>IFERROR(IF(VLOOKUP(A349,[3]PRIORIZADOS!$A:$K,11,FALSE)="","",VLOOKUP(A349,[3]PRIORIZADOS!$A:$K,11,FALSE)),"")</f>
        <v>ANA ANDREA VARGAS GONZÁLEZ</v>
      </c>
      <c r="L349" s="11" t="str">
        <f>IFERROR(IF(VLOOKUP(A349,[3]PRIORIZADOS!$A:$L,12,FALSE)="","",VLOOKUP(A349,[3]PRIORIZADOS!$A:$L,12,FALSE)),"")</f>
        <v>JOSÉ ANTONIO PÁEZ FETECUA</v>
      </c>
      <c r="M349" s="71">
        <f>IFERROR(IF(VLOOKUP(A349,[3]PRIORIZADOS!$A:$M,13,FALSE)="","",VLOOKUP(A349,[3]PRIORIZADOS!$A:$M,13,FALSE)),"")</f>
        <v>45806</v>
      </c>
      <c r="N349" s="71">
        <f>IFERROR(IF(VLOOKUP(A349,[3]PRIORIZADOS!$A:$N,14,FALSE)="","",VLOOKUP(A349,[3]PRIORIZADOS!$A:$N,14,FALSE)),"")</f>
        <v>45806</v>
      </c>
      <c r="O349" s="71">
        <f>IFERROR(IF(VLOOKUP(A349,[3]PRIORIZADOS!$A:$O,15,FALSE)="","",VLOOKUP(A349,[3]PRIORIZADOS!$A:$O,15,FALSE)),"")</f>
        <v>45806</v>
      </c>
      <c r="P349" s="11" t="str">
        <f>IFERROR(IF(VLOOKUP(A349,[3]PRIORIZADOS!$A:$P,16,FALSE)="","",VLOOKUP(A349,[3]PRIORIZADOS!$A:$P,16,FALSE)),"")</f>
        <v>Visitas de evaluación con fines de mejoramiento</v>
      </c>
      <c r="Q349" s="5" t="s">
        <v>68</v>
      </c>
      <c r="R349" s="11" t="str">
        <f>IFERROR(IF(VLOOKUP(A349,[3]PRIORIZADOS!$A:$R,18,FALSE)="","",VLOOKUP(A349,[3]PRIORIZADOS!$A:$R,18,FALSE)),"")</f>
        <v>Se realiza un recorrido en las instalaciones de la IE, verificando las condiciones en cuanto a: la estructura administrativa, condiciones de la planta física y medios educativos adecuados.</v>
      </c>
      <c r="S349" s="11" t="str">
        <f>IFERROR(IF(VLOOKUP(A349,[3]PRIORIZADOS!$A:$S,19,FALSE)="","",VLOOKUP(A349,[3]PRIORIZADOS!$A:$S,19,FALSE)),"")</f>
        <v>Las condiciones de la planta física son adecuadas y se recomienda actualizar el mobiliario más antiguo</v>
      </c>
      <c r="T349" s="70" t="str">
        <f>IFERROR(IF(VLOOKUP(A349,[3]PRIORIZADOS!$A:$T,20,FALSE)="","",VLOOKUP(A349,[3]PRIORIZADOS!$A:$T,20,FALSE)),"")</f>
        <v>No</v>
      </c>
      <c r="U349" s="11" t="str">
        <f>IFERROR(IF(VLOOKUP(A349,[3]PRIORIZADOS!$A:$U,21,FALSE)="","",VLOOKUP(A349,[3]PRIORIZADOS!$A:$U,21,FALSE)),"")</f>
        <v>Las condiciones de la planta física garantizan la adecuada prestación del servicio educativo</v>
      </c>
    </row>
    <row r="350" spans="1:21" s="1" customFormat="1" ht="60">
      <c r="A350" s="69">
        <f>IF([3]PRIORIZADOS!A161="","",[3]PRIORIZADOS!A161)</f>
        <v>356</v>
      </c>
      <c r="B350" s="70">
        <f>IFERROR(IF(VLOOKUP(A350,[3]PRIORIZADOS!$A:$B,2,FALSE)="","",VLOOKUP(A350,[3]PRIORIZADOS!$A:$B,2,FALSE)),"")</f>
        <v>18</v>
      </c>
      <c r="C350" s="11" t="str">
        <f>IFERROR(IF(VLOOKUP(A350,[3]PRIORIZADOS!$A:$C,3,FALSE)="","",VLOOKUP(A350,[3]PRIORIZADOS!$A:$C,3,FALSE)),"")</f>
        <v>BOSA</v>
      </c>
      <c r="D350" s="11" t="str">
        <f>IFERROR(IF(VLOOKUP(A350,[3]PRIORIZADOS!$A:$D,4,FALSE)="","",VLOOKUP(A350,[3]PRIORIZADOS!$A:$D,4,FALSE)),"")</f>
        <v>PRIVADO</v>
      </c>
      <c r="E350" s="11" t="str">
        <f>IFERROR(IF(VLOOKUP(A350,[3]PRIORIZADOS!$A:$E,5,FALSE)="","",VLOOKUP(A350,[3]PRIORIZADOS!$A:$E,5,FALSE)),"")</f>
        <v>EPBM</v>
      </c>
      <c r="F350" s="11" t="str">
        <f>IFERROR(IF(VLOOKUP(A350,[3]PRIORIZADOS!$A:$F,6,FALSE)="","",VLOOKUP(A350,[3]PRIORIZADOS!$A:$F,6,FALSE)),"")</f>
        <v>LICEO_MIXTO_LOS_CENTAUROS</v>
      </c>
      <c r="G350" s="11" t="str">
        <f>IFERROR(IF(VLOOKUP(A350,[3]PRIORIZADOS!$A:$G,7,FALSE)="","",VLOOKUP(A350,[3]PRIORIZADOS!$A:$G,7,FALSE)),"")</f>
        <v>LICEO MIXTO LOS CENTAUROS</v>
      </c>
      <c r="H350" s="11" t="str">
        <f>IFERROR(IF(VLOOKUP(A350,[3]PRIORIZADOS!$A:$H,8,FALSE)="","",VLOOKUP(A350,[3]PRIORIZADOS!$A:$H,8,FALSE)),"")</f>
        <v>Autoevaluación Institucional y Pruebas SABER 11</v>
      </c>
      <c r="I350" s="11" t="str">
        <f>IFERROR(IF(VLOOKUP(A350,[3]PRIORIZADOS!$A:$I,9,FALSE)="","",VLOOKUP(A350,[3]PRIORIZADOS!$A:$I,9,FALSE)),"")</f>
        <v>SEGUIMIENTO_Y_SUPERVISIÓN.</v>
      </c>
      <c r="J350" s="11" t="str">
        <f>IFERROR(IF(VLOOKUP(A350,[3]PRIORIZADOS!$A:$J,10,FALSE)="","",VLOOKUP(A350,[3]PRIORIZADOS!$A:$J,10,FALSE)),"")</f>
        <v>Realizar visitas para verificar la información registrada sobre la autoevaluación institucional en el aplicativo EVI, a los establecimientos de educación formal no oficial.</v>
      </c>
      <c r="K350" s="11" t="str">
        <f>IFERROR(IF(VLOOKUP(A350,[3]PRIORIZADOS!$A:$K,11,FALSE)="","",VLOOKUP(A350,[3]PRIORIZADOS!$A:$K,11,FALSE)),"")</f>
        <v>JOSÉ ANTONIO PÁEZ FETECUA</v>
      </c>
      <c r="L350" s="11" t="str">
        <f>IFERROR(IF(VLOOKUP(A350,[3]PRIORIZADOS!$A:$L,12,FALSE)="","",VLOOKUP(A350,[3]PRIORIZADOS!$A:$L,12,FALSE)),"")</f>
        <v>ESTEFANY PEÑA GARCIA</v>
      </c>
      <c r="M350" s="71">
        <f>IFERROR(IF(VLOOKUP(A350,[3]PRIORIZADOS!$A:$M,13,FALSE)="","",VLOOKUP(A350,[3]PRIORIZADOS!$A:$M,13,FALSE)),"")</f>
        <v>45853</v>
      </c>
      <c r="N350" s="71">
        <f>IFERROR(IF(VLOOKUP(A350,[3]PRIORIZADOS!$A:$N,14,FALSE)="","",VLOOKUP(A350,[3]PRIORIZADOS!$A:$N,14,FALSE)),"")</f>
        <v>45853</v>
      </c>
      <c r="O350" s="71">
        <f>IFERROR(IF(VLOOKUP(A350,[3]PRIORIZADOS!$A:$O,15,FALSE)="","",VLOOKUP(A350,[3]PRIORIZADOS!$A:$O,15,FALSE)),"")</f>
        <v>45853</v>
      </c>
      <c r="P350" s="11" t="str">
        <f>IFERROR(IF(VLOOKUP(A350,[3]PRIORIZADOS!$A:$P,16,FALSE)="","",VLOOKUP(A350,[3]PRIORIZADOS!$A:$P,16,FALSE)),"")</f>
        <v>Visitas de evaluación con fines de mejoramiento</v>
      </c>
      <c r="Q350" s="4" t="s">
        <v>69</v>
      </c>
      <c r="R350" s="11" t="str">
        <f>IFERROR(IF(VLOOKUP(A350,[3]PRIORIZADOS!$A:$R,18,FALSE)="","",VLOOKUP(A350,[3]PRIORIZADOS!$A:$R,18,FALSE)),"")</f>
        <v>La información consignada en la Plataforma EVI relacionada con los indicadores de: planta física, dotación de espacios y calendario académico coincide con lo verificado en campo</v>
      </c>
      <c r="S350" s="11" t="str">
        <f>IFERROR(IF(VLOOKUP(A350,[3]PRIORIZADOS!$A:$S,19,FALSE)="","",VLOOKUP(A350,[3]PRIORIZADOS!$A:$S,19,FALSE)),"")</f>
        <v xml:space="preserve">Se concluye que la IE realizará su autoevalución institucional en el mes octubre.  </v>
      </c>
      <c r="T350" s="70" t="str">
        <f>IFERROR(IF(VLOOKUP(A350,[3]PRIORIZADOS!$A:$T,20,FALSE)="","",VLOOKUP(A350,[3]PRIORIZADOS!$A:$T,20,FALSE)),"")</f>
        <v>No</v>
      </c>
      <c r="U350" s="11" t="str">
        <f>IFERROR(IF(VLOOKUP(A350,[3]PRIORIZADOS!$A:$U,21,FALSE)="","",VLOOKUP(A350,[3]PRIORIZADOS!$A:$U,21,FALSE)),"")</f>
        <v>Se verificará la información cargada por la IE en el aplicativo EVI de la autoevaluación,  para la emisión del concepto de tarifas 2026</v>
      </c>
    </row>
    <row r="351" spans="1:21" s="1" customFormat="1" ht="60">
      <c r="A351" s="69">
        <f>IF([3]PRIORIZADOS!A162="","",[3]PRIORIZADOS!A162)</f>
        <v>357</v>
      </c>
      <c r="B351" s="70">
        <f>IFERROR(IF(VLOOKUP(A351,[3]PRIORIZADOS!$A:$B,2,FALSE)="","",VLOOKUP(A351,[3]PRIORIZADOS!$A:$B,2,FALSE)),"")</f>
        <v>18</v>
      </c>
      <c r="C351" s="11" t="str">
        <f>IFERROR(IF(VLOOKUP(A351,[3]PRIORIZADOS!$A:$C,3,FALSE)="","",VLOOKUP(A351,[3]PRIORIZADOS!$A:$C,3,FALSE)),"")</f>
        <v>BOSA</v>
      </c>
      <c r="D351" s="11" t="str">
        <f>IFERROR(IF(VLOOKUP(A351,[3]PRIORIZADOS!$A:$D,4,FALSE)="","",VLOOKUP(A351,[3]PRIORIZADOS!$A:$D,4,FALSE)),"")</f>
        <v>PRIVADO</v>
      </c>
      <c r="E351" s="11" t="str">
        <f>IFERROR(IF(VLOOKUP(A351,[3]PRIORIZADOS!$A:$E,5,FALSE)="","",VLOOKUP(A351,[3]PRIORIZADOS!$A:$E,5,FALSE)),"")</f>
        <v>EPBM</v>
      </c>
      <c r="F351" s="11" t="str">
        <f>IFERROR(IF(VLOOKUP(A351,[3]PRIORIZADOS!$A:$F,6,FALSE)="","",VLOOKUP(A351,[3]PRIORIZADOS!$A:$F,6,FALSE)),"")</f>
        <v>LICEO_MIXTO_LOS_CENTAUROS</v>
      </c>
      <c r="G351" s="11" t="str">
        <f>IFERROR(IF(VLOOKUP(A351,[3]PRIORIZADOS!$A:$G,7,FALSE)="","",VLOOKUP(A351,[3]PRIORIZADOS!$A:$G,7,FALSE)),"")</f>
        <v>LICEO MIXTO LOS CENTAUROS</v>
      </c>
      <c r="H351" s="11" t="str">
        <f>IFERROR(IF(VLOOKUP(A351,[3]PRIORIZADOS!$A:$H,8,FALSE)="","",VLOOKUP(A351,[3]PRIORIZADOS!$A:$H,8,FALSE)),"")</f>
        <v>Autoevaluación Institucional y Pruebas SABER 11</v>
      </c>
      <c r="I351" s="11" t="str">
        <f>IFERROR(IF(VLOOKUP(A351,[3]PRIORIZADOS!$A:$I,9,FALSE)="","",VLOOKUP(A351,[3]PRIORIZADOS!$A:$I,9,FALSE)),"")</f>
        <v>SEGUIMIENTO_Y_SUPERVISIÓN.</v>
      </c>
      <c r="J351" s="11" t="str">
        <f>IFERROR(IF(VLOOKUP(A351,[3]PRIORIZADOS!$A:$J,10,FALSE)="","",VLOOKUP(A351,[3]PRIORIZADOS!$A:$J,10,FALSE)),"")</f>
        <v>Proponer estrategias en la formulación, verificar su elaboración y realizar seguimiento semestral al desarrollo de  las acciones establecidas en los planes de mejoramiento por pruebas SABER 11 de los establecimientos de educación formal.</v>
      </c>
      <c r="K351" s="11" t="str">
        <f>IFERROR(IF(VLOOKUP(A351,[3]PRIORIZADOS!$A:$K,11,FALSE)="","",VLOOKUP(A351,[3]PRIORIZADOS!$A:$K,11,FALSE)),"")</f>
        <v>JOSÉ ANTONIO PÁEZ FETECUA</v>
      </c>
      <c r="L351" s="11" t="str">
        <f>IFERROR(IF(VLOOKUP(A351,[3]PRIORIZADOS!$A:$L,12,FALSE)="","",VLOOKUP(A351,[3]PRIORIZADOS!$A:$L,12,FALSE)),"")</f>
        <v>ESTEFANY PEÑA GARCIA</v>
      </c>
      <c r="M351" s="71">
        <f>IFERROR(IF(VLOOKUP(A351,[3]PRIORIZADOS!$A:$M,13,FALSE)="","",VLOOKUP(A351,[3]PRIORIZADOS!$A:$M,13,FALSE)),"")</f>
        <v>45853</v>
      </c>
      <c r="N351" s="71">
        <f>IFERROR(IF(VLOOKUP(A351,[3]PRIORIZADOS!$A:$N,14,FALSE)="","",VLOOKUP(A351,[3]PRIORIZADOS!$A:$N,14,FALSE)),"")</f>
        <v>45853</v>
      </c>
      <c r="O351" s="71">
        <f>IFERROR(IF(VLOOKUP(A351,[3]PRIORIZADOS!$A:$O,15,FALSE)="","",VLOOKUP(A351,[3]PRIORIZADOS!$A:$O,15,FALSE)),"")</f>
        <v>45853</v>
      </c>
      <c r="P351" s="11" t="str">
        <f>IFERROR(IF(VLOOKUP(A351,[3]PRIORIZADOS!$A:$P,16,FALSE)="","",VLOOKUP(A351,[3]PRIORIZADOS!$A:$P,16,FALSE)),"")</f>
        <v>Visitas de evaluación con fines de mejoramiento</v>
      </c>
      <c r="Q351" s="4" t="s">
        <v>69</v>
      </c>
      <c r="R351" s="11" t="str">
        <f>IFERROR(IF(VLOOKUP(A351,[3]PRIORIZADOS!$A:$R,18,FALSE)="","",VLOOKUP(A351,[3]PRIORIZADOS!$A:$R,18,FALSE)),"")</f>
        <v>Se adelanta la revisión de los Resultados de las Pruebas Saber 11, encontrando que la IE se encuentra en Categoría A</v>
      </c>
      <c r="S351" s="11" t="str">
        <f>IFERROR(IF(VLOOKUP(A351,[3]PRIORIZADOS!$A:$S,19,FALSE)="","",VLOOKUP(A351,[3]PRIORIZADOS!$A:$S,19,FALSE)),"")</f>
        <v>Se aporta documento que la Institución educativa que compara diferentes vigencias y la mejora anual hasta llegar a la categoría A  en los resultados 2024</v>
      </c>
      <c r="T351" s="70" t="str">
        <f>IFERROR(IF(VLOOKUP(A351,[3]PRIORIZADOS!$A:$T,20,FALSE)="","",VLOOKUP(A351,[3]PRIORIZADOS!$A:$T,20,FALSE)),"")</f>
        <v>No</v>
      </c>
      <c r="U351" s="11" t="str">
        <f>IFERROR(IF(VLOOKUP(A351,[3]PRIORIZADOS!$A:$U,21,FALSE)="","",VLOOKUP(A351,[3]PRIORIZADOS!$A:$U,21,FALSE)),"")</f>
        <v>Se acordó revisar nuevamente el documento en el mes de agosto de 2025 y generar espacios de asesoría, conforme lo requiera la IE</v>
      </c>
    </row>
    <row r="352" spans="1:21" s="1" customFormat="1" ht="72">
      <c r="A352" s="69">
        <f>IF([3]PRIORIZADOS!A163="","",[3]PRIORIZADOS!A163)</f>
        <v>358</v>
      </c>
      <c r="B352" s="70">
        <f>IFERROR(IF(VLOOKUP(A352,[3]PRIORIZADOS!$A:$B,2,FALSE)="","",VLOOKUP(A352,[3]PRIORIZADOS!$A:$B,2,FALSE)),"")</f>
        <v>18</v>
      </c>
      <c r="C352" s="11" t="str">
        <f>IFERROR(IF(VLOOKUP(A352,[3]PRIORIZADOS!$A:$C,3,FALSE)="","",VLOOKUP(A352,[3]PRIORIZADOS!$A:$C,3,FALSE)),"")</f>
        <v>BOSA</v>
      </c>
      <c r="D352" s="11" t="str">
        <f>IFERROR(IF(VLOOKUP(A352,[3]PRIORIZADOS!$A:$D,4,FALSE)="","",VLOOKUP(A352,[3]PRIORIZADOS!$A:$D,4,FALSE)),"")</f>
        <v>PRIVADO</v>
      </c>
      <c r="E352" s="11" t="str">
        <f>IFERROR(IF(VLOOKUP(A352,[3]PRIORIZADOS!$A:$E,5,FALSE)="","",VLOOKUP(A352,[3]PRIORIZADOS!$A:$E,5,FALSE)),"")</f>
        <v>EPBM</v>
      </c>
      <c r="F352" s="11" t="str">
        <f>IFERROR(IF(VLOOKUP(A352,[3]PRIORIZADOS!$A:$F,6,FALSE)="","",VLOOKUP(A352,[3]PRIORIZADOS!$A:$F,6,FALSE)),"")</f>
        <v>LICEO_MIXTO_LOS_CENTAUROS</v>
      </c>
      <c r="G352" s="11" t="str">
        <f>IFERROR(IF(VLOOKUP(A352,[3]PRIORIZADOS!$A:$G,7,FALSE)="","",VLOOKUP(A352,[3]PRIORIZADOS!$A:$G,7,FALSE)),"")</f>
        <v>LICEO MIXTO LOS CENTAUROS</v>
      </c>
      <c r="H352" s="11" t="str">
        <f>IFERROR(IF(VLOOKUP(A352,[3]PRIORIZADOS!$A:$H,8,FALSE)="","",VLOOKUP(A352,[3]PRIORIZADOS!$A:$H,8,FALSE)),"")</f>
        <v>Autoevaluación Institucional y Pruebas SABER 11</v>
      </c>
      <c r="I352" s="11" t="str">
        <f>IFERROR(IF(VLOOKUP(A352,[3]PRIORIZADOS!$A:$I,9,FALSE)="","",VLOOKUP(A352,[3]PRIORIZADOS!$A:$I,9,FALSE)),"")</f>
        <v>SEGUIMIENTO_Y_SUPERVISIÓN.</v>
      </c>
      <c r="J352" s="11" t="str">
        <f>IFERROR(IF(VLOOKUP(A352,[3]PRIORIZADOS!$A:$J,10,FALSE)="","",VLOOKUP(A352,[3]PRIORIZADOS!$A:$J,10,FALSE)),"")</f>
        <v xml:space="preserve">Verificar la implementación por parte de los colegios, de acciones realizadas para la prevención y atención de las situaciones de convivencia en el entorno escolar, según lo establecido en la Directiva 01 de 2022 del MEN. </v>
      </c>
      <c r="K352" s="11" t="str">
        <f>IFERROR(IF(VLOOKUP(A352,[3]PRIORIZADOS!$A:$K,11,FALSE)="","",VLOOKUP(A352,[3]PRIORIZADOS!$A:$K,11,FALSE)),"")</f>
        <v>JOSÉ ANTONIO PÁEZ FETECUA</v>
      </c>
      <c r="L352" s="11" t="str">
        <f>IFERROR(IF(VLOOKUP(A352,[3]PRIORIZADOS!$A:$L,12,FALSE)="","",VLOOKUP(A352,[3]PRIORIZADOS!$A:$L,12,FALSE)),"")</f>
        <v>ESTEFANY PEÑA GARCIA</v>
      </c>
      <c r="M352" s="71">
        <f>IFERROR(IF(VLOOKUP(A352,[3]PRIORIZADOS!$A:$M,13,FALSE)="","",VLOOKUP(A352,[3]PRIORIZADOS!$A:$M,13,FALSE)),"")</f>
        <v>45853</v>
      </c>
      <c r="N352" s="71">
        <f>IFERROR(IF(VLOOKUP(A352,[3]PRIORIZADOS!$A:$N,14,FALSE)="","",VLOOKUP(A352,[3]PRIORIZADOS!$A:$N,14,FALSE)),"")</f>
        <v>45853</v>
      </c>
      <c r="O352" s="71">
        <f>IFERROR(IF(VLOOKUP(A352,[3]PRIORIZADOS!$A:$O,15,FALSE)="","",VLOOKUP(A352,[3]PRIORIZADOS!$A:$O,15,FALSE)),"")</f>
        <v>45853</v>
      </c>
      <c r="P352" s="11" t="str">
        <f>IFERROR(IF(VLOOKUP(A352,[3]PRIORIZADOS!$A:$P,16,FALSE)="","",VLOOKUP(A352,[3]PRIORIZADOS!$A:$P,16,FALSE)),"")</f>
        <v>Visitas de evaluación con fines de mejoramiento</v>
      </c>
      <c r="Q352" s="4" t="s">
        <v>69</v>
      </c>
      <c r="R352" s="11" t="str">
        <f>IFERROR(IF(VLOOKUP(A352,[3]PRIORIZADOS!$A:$R,18,FALSE)="","",VLOOKUP(A352,[3]PRIORIZADOS!$A:$R,18,FALSE)),"")</f>
        <v>Se verifica la implementación de acciones  realizadas para la prevención como lo es la verificación de inhabilidades por delitos sexuales en el sistema de la Policía Nacional.</v>
      </c>
      <c r="S352" s="11" t="str">
        <f>IFERROR(IF(VLOOKUP(A352,[3]PRIORIZADOS!$A:$S,19,FALSE)="","",VLOOKUP(A352,[3]PRIORIZADOS!$A:$S,19,FALSE)),"")</f>
        <v>Como acción de verificación se solicita implementar  la autorización de directivos, docentes y administrativos para las consultas de antecedentes en los sistemas que se requieran al momento de la vinculación</v>
      </c>
      <c r="T352" s="70" t="str">
        <f>IFERROR(IF(VLOOKUP(A352,[3]PRIORIZADOS!$A:$T,20,FALSE)="","",VLOOKUP(A352,[3]PRIORIZADOS!$A:$T,20,FALSE)),"")</f>
        <v>No</v>
      </c>
      <c r="U352" s="11" t="str">
        <f>IFERROR(IF(VLOOKUP(A352,[3]PRIORIZADOS!$A:$U,21,FALSE)="","",VLOOKUP(A352,[3]PRIORIZADOS!$A:$U,21,FALSE)),"")</f>
        <v>Verificar que la IE cuente con las respectivas autorizaciones para las consultas de antedecentes del personal vinculado.</v>
      </c>
    </row>
    <row r="353" spans="1:21" s="1" customFormat="1" ht="107.25">
      <c r="A353" s="69">
        <f>IF([3]PRIORIZADOS!A164="","",[3]PRIORIZADOS!A164)</f>
        <v>359</v>
      </c>
      <c r="B353" s="70">
        <f>IFERROR(IF(VLOOKUP(A353,[3]PRIORIZADOS!$A:$B,2,FALSE)="","",VLOOKUP(A353,[3]PRIORIZADOS!$A:$B,2,FALSE)),"")</f>
        <v>18</v>
      </c>
      <c r="C353" s="11" t="str">
        <f>IFERROR(IF(VLOOKUP(A353,[3]PRIORIZADOS!$A:$C,3,FALSE)="","",VLOOKUP(A353,[3]PRIORIZADOS!$A:$C,3,FALSE)),"")</f>
        <v>BOSA</v>
      </c>
      <c r="D353" s="11" t="str">
        <f>IFERROR(IF(VLOOKUP(A353,[3]PRIORIZADOS!$A:$D,4,FALSE)="","",VLOOKUP(A353,[3]PRIORIZADOS!$A:$D,4,FALSE)),"")</f>
        <v>PRIVADO</v>
      </c>
      <c r="E353" s="11" t="str">
        <f>IFERROR(IF(VLOOKUP(A353,[3]PRIORIZADOS!$A:$E,5,FALSE)="","",VLOOKUP(A353,[3]PRIORIZADOS!$A:$E,5,FALSE)),"")</f>
        <v>EPBM</v>
      </c>
      <c r="F353" s="11" t="str">
        <f>IFERROR(IF(VLOOKUP(A353,[3]PRIORIZADOS!$A:$F,6,FALSE)="","",VLOOKUP(A353,[3]PRIORIZADOS!$A:$F,6,FALSE)),"")</f>
        <v>LICEO_MIXTO_LOS_CENTAUROS</v>
      </c>
      <c r="G353" s="11" t="str">
        <f>IFERROR(IF(VLOOKUP(A353,[3]PRIORIZADOS!$A:$G,7,FALSE)="","",VLOOKUP(A353,[3]PRIORIZADOS!$A:$G,7,FALSE)),"")</f>
        <v>LICEO MIXTO LOS CENTAUROS</v>
      </c>
      <c r="H353" s="11" t="str">
        <f>IFERROR(IF(VLOOKUP(A353,[3]PRIORIZADOS!$A:$H,8,FALSE)="","",VLOOKUP(A353,[3]PRIORIZADOS!$A:$H,8,FALSE)),"")</f>
        <v>Autoevaluación Institucional y Pruebas SABER 11</v>
      </c>
      <c r="I353" s="11" t="str">
        <f>IFERROR(IF(VLOOKUP(A353,[3]PRIORIZADOS!$A:$I,9,FALSE)="","",VLOOKUP(A353,[3]PRIORIZADOS!$A:$I,9,FALSE)),"")</f>
        <v>SEGUIMIENTO_Y_SUPERVISIÓN.</v>
      </c>
      <c r="J353" s="11" t="str">
        <f>IFERROR(IF(VLOOKUP(A353,[3]PRIORIZADOS!$A:$J,10,FALSE)="","",VLOOKUP(A353,[3]PRIORIZADOS!$A:$J,10,FALSE)),"")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53" s="11" t="str">
        <f>IFERROR(IF(VLOOKUP(A353,[3]PRIORIZADOS!$A:$K,11,FALSE)="","",VLOOKUP(A353,[3]PRIORIZADOS!$A:$K,11,FALSE)),"")</f>
        <v>JOSÉ ANTONIO PÁEZ FETECUA</v>
      </c>
      <c r="L353" s="11" t="str">
        <f>IFERROR(IF(VLOOKUP(A353,[3]PRIORIZADOS!$A:$L,12,FALSE)="","",VLOOKUP(A353,[3]PRIORIZADOS!$A:$L,12,FALSE)),"")</f>
        <v>ESTEFANY PEÑA GARCIA</v>
      </c>
      <c r="M353" s="71">
        <f>IFERROR(IF(VLOOKUP(A353,[3]PRIORIZADOS!$A:$M,13,FALSE)="","",VLOOKUP(A353,[3]PRIORIZADOS!$A:$M,13,FALSE)),"")</f>
        <v>45853</v>
      </c>
      <c r="N353" s="71">
        <f>IFERROR(IF(VLOOKUP(A353,[3]PRIORIZADOS!$A:$N,14,FALSE)="","",VLOOKUP(A353,[3]PRIORIZADOS!$A:$N,14,FALSE)),"")</f>
        <v>45853</v>
      </c>
      <c r="O353" s="71">
        <f>IFERROR(IF(VLOOKUP(A353,[3]PRIORIZADOS!$A:$O,15,FALSE)="","",VLOOKUP(A353,[3]PRIORIZADOS!$A:$O,15,FALSE)),"")</f>
        <v>45853</v>
      </c>
      <c r="P353" s="11" t="str">
        <f>IFERROR(IF(VLOOKUP(A353,[3]PRIORIZADOS!$A:$P,16,FALSE)="","",VLOOKUP(A353,[3]PRIORIZADOS!$A:$P,16,FALSE)),"")</f>
        <v>Visitas de evaluación con fines de mejoramiento</v>
      </c>
      <c r="Q353" s="4" t="s">
        <v>69</v>
      </c>
      <c r="R353" s="11" t="str">
        <f>IFERROR(IF(VLOOKUP(A353,[3]PRIORIZADOS!$A:$R,18,FALSE)="","",VLOOKUP(A353,[3]PRIORIZADOS!$A:$R,18,FALSE)),"")</f>
        <v>Al revisar la Plataforma SIMAT, hay 13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53" s="11" t="str">
        <f>IFERROR(IF(VLOOKUP(A353,[3]PRIORIZADOS!$A:$S,19,FALSE)="","",VLOOKUP(A353,[3]PRIORIZADOS!$A:$S,19,FALSE)),"")</f>
        <v>La Institución Educativa se compromete a remitir el Documento Institucional del Plan Individual de Ajustes Razonables PIAR</v>
      </c>
      <c r="T353" s="70" t="str">
        <f>IFERROR(IF(VLOOKUP(A353,[3]PRIORIZADOS!$A:$T,20,FALSE)="","",VLOOKUP(A353,[3]PRIORIZADOS!$A:$T,20,FALSE)),"")</f>
        <v>No</v>
      </c>
      <c r="U353" s="11" t="str">
        <f>IFERROR(IF(VLOOKUP(A353,[3]PRIORIZADOS!$A:$U,21,FALSE)="","",VLOOKUP(A353,[3]PRIORIZADOS!$A:$U,21,FALSE)),"")</f>
        <v>Verificar la información en SIMAT</v>
      </c>
    </row>
    <row r="354" spans="1:21" s="1" customFormat="1" ht="84">
      <c r="A354" s="69">
        <f>IF([3]PRIORIZADOS!A165="","",[3]PRIORIZADOS!A165)</f>
        <v>360</v>
      </c>
      <c r="B354" s="70">
        <f>IFERROR(IF(VLOOKUP(A354,[3]PRIORIZADOS!$A:$B,2,FALSE)="","",VLOOKUP(A354,[3]PRIORIZADOS!$A:$B,2,FALSE)),"")</f>
        <v>18</v>
      </c>
      <c r="C354" s="11" t="str">
        <f>IFERROR(IF(VLOOKUP(A354,[3]PRIORIZADOS!$A:$C,3,FALSE)="","",VLOOKUP(A354,[3]PRIORIZADOS!$A:$C,3,FALSE)),"")</f>
        <v>BOSA</v>
      </c>
      <c r="D354" s="11" t="str">
        <f>IFERROR(IF(VLOOKUP(A354,[3]PRIORIZADOS!$A:$D,4,FALSE)="","",VLOOKUP(A354,[3]PRIORIZADOS!$A:$D,4,FALSE)),"")</f>
        <v>PRIVADO</v>
      </c>
      <c r="E354" s="11" t="str">
        <f>IFERROR(IF(VLOOKUP(A354,[3]PRIORIZADOS!$A:$E,5,FALSE)="","",VLOOKUP(A354,[3]PRIORIZADOS!$A:$E,5,FALSE)),"")</f>
        <v>EPBM</v>
      </c>
      <c r="F354" s="11" t="str">
        <f>IFERROR(IF(VLOOKUP(A354,[3]PRIORIZADOS!$A:$F,6,FALSE)="","",VLOOKUP(A354,[3]PRIORIZADOS!$A:$F,6,FALSE)),"")</f>
        <v>LICEO_MIXTO_LOS_CENTAUROS</v>
      </c>
      <c r="G354" s="11" t="str">
        <f>IFERROR(IF(VLOOKUP(A354,[3]PRIORIZADOS!$A:$G,7,FALSE)="","",VLOOKUP(A354,[3]PRIORIZADOS!$A:$G,7,FALSE)),"")</f>
        <v>LICEO MIXTO LOS CENTAUROS</v>
      </c>
      <c r="H354" s="11" t="str">
        <f>IFERROR(IF(VLOOKUP(A354,[3]PRIORIZADOS!$A:$H,8,FALSE)="","",VLOOKUP(A354,[3]PRIORIZADOS!$A:$H,8,FALSE)),"")</f>
        <v>Autoevaluación Institucional y Pruebas SABER 11</v>
      </c>
      <c r="I354" s="11" t="str">
        <f>IFERROR(IF(VLOOKUP(A354,[3]PRIORIZADOS!$A:$I,9,FALSE)="","",VLOOKUP(A354,[3]PRIORIZADOS!$A:$I,9,FALSE)),"")</f>
        <v>EVALUACIÓN_CON_FINES_DE_MEJORAMIENTO.</v>
      </c>
      <c r="J354" s="11" t="str">
        <f>IFERROR(IF(VLOOKUP(A354,[3]PRIORIZADOS!$A:$J,10,FALSE)="","",VLOOKUP(A354,[3]PRIORIZADOS!$A:$J,10,FALSE)),"")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54" s="11" t="str">
        <f>IFERROR(IF(VLOOKUP(A354,[3]PRIORIZADOS!$A:$K,11,FALSE)="","",VLOOKUP(A354,[3]PRIORIZADOS!$A:$K,11,FALSE)),"")</f>
        <v>JOSÉ ANTONIO PÁEZ FETECUA</v>
      </c>
      <c r="L354" s="11" t="str">
        <f>IFERROR(IF(VLOOKUP(A354,[3]PRIORIZADOS!$A:$L,12,FALSE)="","",VLOOKUP(A354,[3]PRIORIZADOS!$A:$L,12,FALSE)),"")</f>
        <v>ESTEFANY PEÑA GARCIA</v>
      </c>
      <c r="M354" s="71">
        <f>IFERROR(IF(VLOOKUP(A354,[3]PRIORIZADOS!$A:$M,13,FALSE)="","",VLOOKUP(A354,[3]PRIORIZADOS!$A:$M,13,FALSE)),"")</f>
        <v>45853</v>
      </c>
      <c r="N354" s="71">
        <f>IFERROR(IF(VLOOKUP(A354,[3]PRIORIZADOS!$A:$N,14,FALSE)="","",VLOOKUP(A354,[3]PRIORIZADOS!$A:$N,14,FALSE)),"")</f>
        <v>45853</v>
      </c>
      <c r="O354" s="71">
        <f>IFERROR(IF(VLOOKUP(A354,[3]PRIORIZADOS!$A:$O,15,FALSE)="","",VLOOKUP(A354,[3]PRIORIZADOS!$A:$O,15,FALSE)),"")</f>
        <v>45853</v>
      </c>
      <c r="P354" s="11" t="str">
        <f>IFERROR(IF(VLOOKUP(A354,[3]PRIORIZADOS!$A:$P,16,FALSE)="","",VLOOKUP(A354,[3]PRIORIZADOS!$A:$P,16,FALSE)),"")</f>
        <v>Visitas de evaluación con fines de mejoramiento</v>
      </c>
      <c r="Q354" s="4" t="s">
        <v>69</v>
      </c>
      <c r="R354" s="11" t="str">
        <f>IFERROR(IF(VLOOKUP(A354,[3]PRIORIZADOS!$A:$R,18,FALSE)="","",VLOOKUP(A354,[3]PRIORIZADOS!$A:$R,18,FALSE)),"")</f>
        <v>El Manual de Convivencia fue construido y adoptado de forma participativa e incluye los componentes generales, los diferentes enfoques y se encuentra conforme a lo establecido en el PEI y la normatividad vigente</v>
      </c>
      <c r="S354" s="11" t="str">
        <f>IFERROR(IF(VLOOKUP(A354,[3]PRIORIZADOS!$A:$S,19,FALSE)="","",VLOOKUP(A354,[3]PRIORIZADOS!$A:$S,19,FALSE)),"")</f>
        <v>Como acción de verificación la Institución Educativa se compromete a remitir la versión actualizada del Manual de Convivencia a la vigencia 2024 -2025</v>
      </c>
      <c r="T354" s="70" t="str">
        <f>IFERROR(IF(VLOOKUP(A354,[3]PRIORIZADOS!$A:$T,20,FALSE)="","",VLOOKUP(A354,[3]PRIORIZADOS!$A:$T,20,FALSE)),"")</f>
        <v>No</v>
      </c>
      <c r="U354" s="11" t="str">
        <f>IFERROR(IF(VLOOKUP(A354,[3]PRIORIZADOS!$A:$U,21,FALSE)="","",VLOOKUP(A354,[3]PRIORIZADOS!$A:$U,21,FALSE)),"")</f>
        <v>Verificar nuevamente el documento en el mes de agosto de 2025 y generar espacios de asesoría, conforme lo requiera la IE</v>
      </c>
    </row>
    <row r="355" spans="1:21" s="1" customFormat="1" ht="72">
      <c r="A355" s="69">
        <f>IF([3]PRIORIZADOS!A166="","",[3]PRIORIZADOS!A166)</f>
        <v>361</v>
      </c>
      <c r="B355" s="70">
        <f>IFERROR(IF(VLOOKUP(A355,[3]PRIORIZADOS!$A:$B,2,FALSE)="","",VLOOKUP(A355,[3]PRIORIZADOS!$A:$B,2,FALSE)),"")</f>
        <v>18</v>
      </c>
      <c r="C355" s="11" t="str">
        <f>IFERROR(IF(VLOOKUP(A355,[3]PRIORIZADOS!$A:$C,3,FALSE)="","",VLOOKUP(A355,[3]PRIORIZADOS!$A:$C,3,FALSE)),"")</f>
        <v>BOSA</v>
      </c>
      <c r="D355" s="11" t="str">
        <f>IFERROR(IF(VLOOKUP(A355,[3]PRIORIZADOS!$A:$D,4,FALSE)="","",VLOOKUP(A355,[3]PRIORIZADOS!$A:$D,4,FALSE)),"")</f>
        <v>PRIVADO</v>
      </c>
      <c r="E355" s="11" t="str">
        <f>IFERROR(IF(VLOOKUP(A355,[3]PRIORIZADOS!$A:$E,5,FALSE)="","",VLOOKUP(A355,[3]PRIORIZADOS!$A:$E,5,FALSE)),"")</f>
        <v>EPBM</v>
      </c>
      <c r="F355" s="11" t="str">
        <f>IFERROR(IF(VLOOKUP(A355,[3]PRIORIZADOS!$A:$F,6,FALSE)="","",VLOOKUP(A355,[3]PRIORIZADOS!$A:$F,6,FALSE)),"")</f>
        <v>LICEO_MIXTO_LOS_CENTAUROS</v>
      </c>
      <c r="G355" s="11" t="str">
        <f>IFERROR(IF(VLOOKUP(A355,[3]PRIORIZADOS!$A:$G,7,FALSE)="","",VLOOKUP(A355,[3]PRIORIZADOS!$A:$G,7,FALSE)),"")</f>
        <v>LICEO MIXTO LOS CENTAUROS</v>
      </c>
      <c r="H355" s="11" t="str">
        <f>IFERROR(IF(VLOOKUP(A355,[3]PRIORIZADOS!$A:$H,8,FALSE)="","",VLOOKUP(A355,[3]PRIORIZADOS!$A:$H,8,FALSE)),"")</f>
        <v>Autoevaluación Institucional y Pruebas SABER 11</v>
      </c>
      <c r="I355" s="11" t="str">
        <f>IFERROR(IF(VLOOKUP(A355,[3]PRIORIZADOS!$A:$I,9,FALSE)="","",VLOOKUP(A355,[3]PRIORIZADOS!$A:$I,9,FALSE)),"")</f>
        <v>EVALUACIÓN_CON_FINES_DE_MEJORAMIENTO.</v>
      </c>
      <c r="J355" s="11" t="str">
        <f>IFERROR(IF(VLOOKUP(A355,[3]PRIORIZADOS!$A:$J,10,FALSE)="","",VLOOKUP(A355,[3]PRIORIZADOS!$A:$J,10,FALSE)),"")</f>
        <v>Revisar la actualización, socialización e implementación del Sistema Institucional de Evaluación de Estudiantes - SIEE, en articulación con la actualización del PEI y la normatividad vigente.</v>
      </c>
      <c r="K355" s="11" t="str">
        <f>IFERROR(IF(VLOOKUP(A355,[3]PRIORIZADOS!$A:$K,11,FALSE)="","",VLOOKUP(A355,[3]PRIORIZADOS!$A:$K,11,FALSE)),"")</f>
        <v>JOSÉ ANTONIO PÁEZ FETECUA</v>
      </c>
      <c r="L355" s="11" t="str">
        <f>IFERROR(IF(VLOOKUP(A355,[3]PRIORIZADOS!$A:$L,12,FALSE)="","",VLOOKUP(A355,[3]PRIORIZADOS!$A:$L,12,FALSE)),"")</f>
        <v>ESTEFANY PEÑA GARCIA</v>
      </c>
      <c r="M355" s="71">
        <f>IFERROR(IF(VLOOKUP(A355,[3]PRIORIZADOS!$A:$M,13,FALSE)="","",VLOOKUP(A355,[3]PRIORIZADOS!$A:$M,13,FALSE)),"")</f>
        <v>45853</v>
      </c>
      <c r="N355" s="71">
        <f>IFERROR(IF(VLOOKUP(A355,[3]PRIORIZADOS!$A:$N,14,FALSE)="","",VLOOKUP(A355,[3]PRIORIZADOS!$A:$N,14,FALSE)),"")</f>
        <v>45853</v>
      </c>
      <c r="O355" s="71">
        <f>IFERROR(IF(VLOOKUP(A355,[3]PRIORIZADOS!$A:$O,15,FALSE)="","",VLOOKUP(A355,[3]PRIORIZADOS!$A:$O,15,FALSE)),"")</f>
        <v>45853</v>
      </c>
      <c r="P355" s="11" t="str">
        <f>IFERROR(IF(VLOOKUP(A355,[3]PRIORIZADOS!$A:$P,16,FALSE)="","",VLOOKUP(A355,[3]PRIORIZADOS!$A:$P,16,FALSE)),"")</f>
        <v>Visitas de evaluación con fines de mejoramiento</v>
      </c>
      <c r="Q355" s="4" t="s">
        <v>69</v>
      </c>
      <c r="R355" s="11" t="str">
        <f>IFERROR(IF(VLOOKUP(A355,[3]PRIORIZADOS!$A:$R,18,FALSE)="","",VLOOKUP(A355,[3]PRIORIZADOS!$A:$R,18,FALSE)),"")</f>
        <v>Se evidencia el Sistema Institucional de Evaluación de Estudiantes - SIEE, actualizado para la vigencia 2025. Fue construido en articulación con el Consejo Directivo y la comunidad educativa desde el año 2019 y se actualiza cada 2 años</v>
      </c>
      <c r="S355" s="11" t="str">
        <f>IFERROR(IF(VLOOKUP(A355,[3]PRIORIZADOS!$A:$S,19,FALSE)="","",VLOOKUP(A355,[3]PRIORIZADOS!$A:$S,19,FALSE)),"")</f>
        <v>Como acción de verificación la Institución Educativa se compromete a remitir la versión actualizada del  Sistema institucional de evaluación de los estudiantes- SIEE</v>
      </c>
      <c r="T355" s="70" t="str">
        <f>IFERROR(IF(VLOOKUP(A355,[3]PRIORIZADOS!$A:$T,20,FALSE)="","",VLOOKUP(A355,[3]PRIORIZADOS!$A:$T,20,FALSE)),"")</f>
        <v>No</v>
      </c>
      <c r="U355" s="11" t="str">
        <f>IFERROR(IF(VLOOKUP(A355,[3]PRIORIZADOS!$A:$U,21,FALSE)="","",VLOOKUP(A355,[3]PRIORIZADOS!$A:$U,21,FALSE)),"")</f>
        <v>Verificar nuevamente el documento en el mes de agosto de 2025 y generar espacios de asesoría, conforme lo requiera la IE</v>
      </c>
    </row>
    <row r="356" spans="1:21" s="1" customFormat="1" ht="48">
      <c r="A356" s="69">
        <f>IF([3]PRIORIZADOS!A167="","",[3]PRIORIZADOS!A167)</f>
        <v>362</v>
      </c>
      <c r="B356" s="70">
        <f>IFERROR(IF(VLOOKUP(A356,[3]PRIORIZADOS!$A:$B,2,FALSE)="","",VLOOKUP(A356,[3]PRIORIZADOS!$A:$B,2,FALSE)),"")</f>
        <v>18</v>
      </c>
      <c r="C356" s="11" t="str">
        <f>IFERROR(IF(VLOOKUP(A356,[3]PRIORIZADOS!$A:$C,3,FALSE)="","",VLOOKUP(A356,[3]PRIORIZADOS!$A:$C,3,FALSE)),"")</f>
        <v>BOSA</v>
      </c>
      <c r="D356" s="11" t="str">
        <f>IFERROR(IF(VLOOKUP(A356,[3]PRIORIZADOS!$A:$D,4,FALSE)="","",VLOOKUP(A356,[3]PRIORIZADOS!$A:$D,4,FALSE)),"")</f>
        <v>PRIVADO</v>
      </c>
      <c r="E356" s="11" t="str">
        <f>IFERROR(IF(VLOOKUP(A356,[3]PRIORIZADOS!$A:$E,5,FALSE)="","",VLOOKUP(A356,[3]PRIORIZADOS!$A:$E,5,FALSE)),"")</f>
        <v>EPBM</v>
      </c>
      <c r="F356" s="11" t="str">
        <f>IFERROR(IF(VLOOKUP(A356,[3]PRIORIZADOS!$A:$F,6,FALSE)="","",VLOOKUP(A356,[3]PRIORIZADOS!$A:$F,6,FALSE)),"")</f>
        <v>LICEO_MIXTO_LOS_CENTAUROS</v>
      </c>
      <c r="G356" s="11" t="str">
        <f>IFERROR(IF(VLOOKUP(A356,[3]PRIORIZADOS!$A:$G,7,FALSE)="","",VLOOKUP(A356,[3]PRIORIZADOS!$A:$G,7,FALSE)),"")</f>
        <v>LICEO MIXTO LOS CENTAUROS</v>
      </c>
      <c r="H356" s="11" t="str">
        <f>IFERROR(IF(VLOOKUP(A356,[3]PRIORIZADOS!$A:$H,8,FALSE)="","",VLOOKUP(A356,[3]PRIORIZADOS!$A:$H,8,FALSE)),"")</f>
        <v>Autoevaluación Institucional y Pruebas SABER 11</v>
      </c>
      <c r="I356" s="11" t="str">
        <f>IFERROR(IF(VLOOKUP(A356,[3]PRIORIZADOS!$A:$I,9,FALSE)="","",VLOOKUP(A356,[3]PRIORIZADOS!$A:$I,9,FALSE)),"")</f>
        <v>EVALUACIÓN_CON_FINES_DE_MEJORAMIENTO.</v>
      </c>
      <c r="J356" s="11" t="str">
        <f>IFERROR(IF(VLOOKUP(A356,[3]PRIORIZADOS!$A:$J,10,FALSE)="","",VLOOKUP(A356,[3]PRIORIZADOS!$A:$J,10,FALSE)),"")</f>
        <v>Revisar el calendario escolar, jornada escolar, la intensidad horaria mínima anual en cada nivel y las modificaciones que se realicen al mismo, de acuerdo con lo previsto en la normatividad vigente.</v>
      </c>
      <c r="K356" s="11" t="str">
        <f>IFERROR(IF(VLOOKUP(A356,[3]PRIORIZADOS!$A:$K,11,FALSE)="","",VLOOKUP(A356,[3]PRIORIZADOS!$A:$K,11,FALSE)),"")</f>
        <v>JOSÉ ANTONIO PÁEZ FETECUA</v>
      </c>
      <c r="L356" s="11" t="str">
        <f>IFERROR(IF(VLOOKUP(A356,[3]PRIORIZADOS!$A:$L,12,FALSE)="","",VLOOKUP(A356,[3]PRIORIZADOS!$A:$L,12,FALSE)),"")</f>
        <v>ESTEFANY PEÑA GARCIA</v>
      </c>
      <c r="M356" s="71">
        <f>IFERROR(IF(VLOOKUP(A356,[3]PRIORIZADOS!$A:$M,13,FALSE)="","",VLOOKUP(A356,[3]PRIORIZADOS!$A:$M,13,FALSE)),"")</f>
        <v>45853</v>
      </c>
      <c r="N356" s="71">
        <f>IFERROR(IF(VLOOKUP(A356,[3]PRIORIZADOS!$A:$N,14,FALSE)="","",VLOOKUP(A356,[3]PRIORIZADOS!$A:$N,14,FALSE)),"")</f>
        <v>45853</v>
      </c>
      <c r="O356" s="71">
        <f>IFERROR(IF(VLOOKUP(A356,[3]PRIORIZADOS!$A:$O,15,FALSE)="","",VLOOKUP(A356,[3]PRIORIZADOS!$A:$O,15,FALSE)),"")</f>
        <v>45853</v>
      </c>
      <c r="P356" s="11" t="str">
        <f>IFERROR(IF(VLOOKUP(A356,[3]PRIORIZADOS!$A:$P,16,FALSE)="","",VLOOKUP(A356,[3]PRIORIZADOS!$A:$P,16,FALSE)),"")</f>
        <v>Visitas de evaluación con fines de mejoramiento</v>
      </c>
      <c r="Q356" s="4" t="s">
        <v>69</v>
      </c>
      <c r="R356" s="11" t="str">
        <f>IFERROR(IF(VLOOKUP(A356,[3]PRIORIZADOS!$A:$R,18,FALSE)="","",VLOOKUP(A356,[3]PRIORIZADOS!$A:$R,18,FALSE)),"")</f>
        <v>El calendario escolar, jornada escolar, la intensidad horaria mínima anual en cada nivel se encuentran conforme lo previsto en la normatividad vigente</v>
      </c>
      <c r="S356" s="11" t="str">
        <f>IFERROR(IF(VLOOKUP(A356,[3]PRIORIZADOS!$A:$S,19,FALSE)="","",VLOOKUP(A356,[3]PRIORIZADOS!$A:$S,19,FALSE)),"")</f>
        <v>Como acción de verificación la Institución Educativa se compromete a remitir la versión actualizada calendario escolar</v>
      </c>
      <c r="T356" s="70" t="str">
        <f>IFERROR(IF(VLOOKUP(A356,[3]PRIORIZADOS!$A:$T,20,FALSE)="","",VLOOKUP(A356,[3]PRIORIZADOS!$A:$T,20,FALSE)),"")</f>
        <v>No</v>
      </c>
      <c r="U356" s="11" t="str">
        <f>IFERROR(IF(VLOOKUP(A356,[3]PRIORIZADOS!$A:$U,21,FALSE)="","",VLOOKUP(A356,[3]PRIORIZADOS!$A:$U,21,FALSE)),"")</f>
        <v>Verificar nuevamente el documento en el mes de agosto de 2025 y generar espacios de asesoría, conforme lo requiera la IE</v>
      </c>
    </row>
    <row r="357" spans="1:21" s="1" customFormat="1" ht="48">
      <c r="A357" s="69">
        <f>IF([3]PRIORIZADOS!A168="","",[3]PRIORIZADOS!A168)</f>
        <v>363</v>
      </c>
      <c r="B357" s="70">
        <f>IFERROR(IF(VLOOKUP(A357,[3]PRIORIZADOS!$A:$B,2,FALSE)="","",VLOOKUP(A357,[3]PRIORIZADOS!$A:$B,2,FALSE)),"")</f>
        <v>18</v>
      </c>
      <c r="C357" s="11" t="str">
        <f>IFERROR(IF(VLOOKUP(A357,[3]PRIORIZADOS!$A:$C,3,FALSE)="","",VLOOKUP(A357,[3]PRIORIZADOS!$A:$C,3,FALSE)),"")</f>
        <v>BOSA</v>
      </c>
      <c r="D357" s="11" t="str">
        <f>IFERROR(IF(VLOOKUP(A357,[3]PRIORIZADOS!$A:$D,4,FALSE)="","",VLOOKUP(A357,[3]PRIORIZADOS!$A:$D,4,FALSE)),"")</f>
        <v>PRIVADO</v>
      </c>
      <c r="E357" s="11" t="str">
        <f>IFERROR(IF(VLOOKUP(A357,[3]PRIORIZADOS!$A:$E,5,FALSE)="","",VLOOKUP(A357,[3]PRIORIZADOS!$A:$E,5,FALSE)),"")</f>
        <v>EPBM</v>
      </c>
      <c r="F357" s="11" t="str">
        <f>IFERROR(IF(VLOOKUP(A357,[3]PRIORIZADOS!$A:$F,6,FALSE)="","",VLOOKUP(A357,[3]PRIORIZADOS!$A:$F,6,FALSE)),"")</f>
        <v>LICEO_MIXTO_LOS_CENTAUROS</v>
      </c>
      <c r="G357" s="11" t="str">
        <f>IFERROR(IF(VLOOKUP(A357,[3]PRIORIZADOS!$A:$G,7,FALSE)="","",VLOOKUP(A357,[3]PRIORIZADOS!$A:$G,7,FALSE)),"")</f>
        <v>LICEO MIXTO LOS CENTAUROS</v>
      </c>
      <c r="H357" s="11" t="str">
        <f>IFERROR(IF(VLOOKUP(A357,[3]PRIORIZADOS!$A:$H,8,FALSE)="","",VLOOKUP(A357,[3]PRIORIZADOS!$A:$H,8,FALSE)),"")</f>
        <v>Autoevaluación Institucional y Pruebas SABER 11</v>
      </c>
      <c r="I357" s="11" t="str">
        <f>IFERROR(IF(VLOOKUP(A357,[3]PRIORIZADOS!$A:$I,9,FALSE)="","",VLOOKUP(A357,[3]PRIORIZADOS!$A:$I,9,FALSE)),"")</f>
        <v>EVALUACIÓN_CON_FINES_DE_MEJORAMIENTO.</v>
      </c>
      <c r="J357" s="11" t="str">
        <f>IFERROR(IF(VLOOKUP(A357,[3]PRIORIZADOS!$A:$J,10,FALSE)="","",VLOOKUP(A357,[3]PRIORIZADOS!$A:$J,10,FALSE)),"")</f>
        <v>Verificar el funcionamiento del Gobierno Escolar e instancias de participación con base en la información sobre conformación reportada por la institución educativa.</v>
      </c>
      <c r="K357" s="11" t="str">
        <f>IFERROR(IF(VLOOKUP(A357,[3]PRIORIZADOS!$A:$K,11,FALSE)="","",VLOOKUP(A357,[3]PRIORIZADOS!$A:$K,11,FALSE)),"")</f>
        <v>JOSÉ ANTONIO PÁEZ FETECUA</v>
      </c>
      <c r="L357" s="11" t="str">
        <f>IFERROR(IF(VLOOKUP(A357,[3]PRIORIZADOS!$A:$L,12,FALSE)="","",VLOOKUP(A357,[3]PRIORIZADOS!$A:$L,12,FALSE)),"")</f>
        <v>ESTEFANY PEÑA GARCIA</v>
      </c>
      <c r="M357" s="71">
        <f>IFERROR(IF(VLOOKUP(A357,[3]PRIORIZADOS!$A:$M,13,FALSE)="","",VLOOKUP(A357,[3]PRIORIZADOS!$A:$M,13,FALSE)),"")</f>
        <v>45853</v>
      </c>
      <c r="N357" s="71">
        <f>IFERROR(IF(VLOOKUP(A357,[3]PRIORIZADOS!$A:$N,14,FALSE)="","",VLOOKUP(A357,[3]PRIORIZADOS!$A:$N,14,FALSE)),"")</f>
        <v>45853</v>
      </c>
      <c r="O357" s="71">
        <f>IFERROR(IF(VLOOKUP(A357,[3]PRIORIZADOS!$A:$O,15,FALSE)="","",VLOOKUP(A357,[3]PRIORIZADOS!$A:$O,15,FALSE)),"")</f>
        <v>45853</v>
      </c>
      <c r="P357" s="11" t="str">
        <f>IFERROR(IF(VLOOKUP(A357,[3]PRIORIZADOS!$A:$P,16,FALSE)="","",VLOOKUP(A357,[3]PRIORIZADOS!$A:$P,16,FALSE)),"")</f>
        <v>Visitas de evaluación con fines de mejoramiento</v>
      </c>
      <c r="Q357" s="4" t="s">
        <v>69</v>
      </c>
      <c r="R357" s="11" t="str">
        <f>IFERROR(IF(VLOOKUP(A357,[3]PRIORIZADOS!$A:$R,18,FALSE)="","",VLOOKUP(A357,[3]PRIORIZADOS!$A:$R,18,FALSE)),"")</f>
        <v>La constitución del Gobierno Escolar y sus órganos de participación, se encuentra conforme a la Normativa Vigente</v>
      </c>
      <c r="S357" s="11" t="str">
        <f>IFERROR(IF(VLOOKUP(A357,[3]PRIORIZADOS!$A:$S,19,FALSE)="","",VLOOKUP(A357,[3]PRIORIZADOS!$A:$S,19,FALSE)),"")</f>
        <v>Continuar operando conforme funciones y reglamentos.</v>
      </c>
      <c r="T357" s="70" t="str">
        <f>IFERROR(IF(VLOOKUP(A357,[3]PRIORIZADOS!$A:$T,20,FALSE)="","",VLOOKUP(A357,[3]PRIORIZADOS!$A:$T,20,FALSE)),"")</f>
        <v>No</v>
      </c>
      <c r="U357" s="11" t="str">
        <f>IFERROR(IF(VLOOKUP(A357,[3]PRIORIZADOS!$A:$U,21,FALSE)="","",VLOOKUP(A357,[3]PRIORIZADOS!$A:$U,21,FALSE)),"")</f>
        <v>Verificar la conformación del Gobierno Escolar e instancias para la vigencia 2026 o antes si la IE lo requiere o se presenta solicitud o queja.</v>
      </c>
    </row>
    <row r="358" spans="1:21" s="1" customFormat="1" ht="60">
      <c r="A358" s="69">
        <f>IF([3]PRIORIZADOS!A169="","",[3]PRIORIZADOS!A169)</f>
        <v>364</v>
      </c>
      <c r="B358" s="70">
        <f>IFERROR(IF(VLOOKUP(A358,[3]PRIORIZADOS!$A:$B,2,FALSE)="","",VLOOKUP(A358,[3]PRIORIZADOS!$A:$B,2,FALSE)),"")</f>
        <v>18</v>
      </c>
      <c r="C358" s="11" t="str">
        <f>IFERROR(IF(VLOOKUP(A358,[3]PRIORIZADOS!$A:$C,3,FALSE)="","",VLOOKUP(A358,[3]PRIORIZADOS!$A:$C,3,FALSE)),"")</f>
        <v>BOSA</v>
      </c>
      <c r="D358" s="11" t="str">
        <f>IFERROR(IF(VLOOKUP(A358,[3]PRIORIZADOS!$A:$D,4,FALSE)="","",VLOOKUP(A358,[3]PRIORIZADOS!$A:$D,4,FALSE)),"")</f>
        <v>PRIVADO</v>
      </c>
      <c r="E358" s="11" t="str">
        <f>IFERROR(IF(VLOOKUP(A358,[3]PRIORIZADOS!$A:$E,5,FALSE)="","",VLOOKUP(A358,[3]PRIORIZADOS!$A:$E,5,FALSE)),"")</f>
        <v>EPBM</v>
      </c>
      <c r="F358" s="11" t="str">
        <f>IFERROR(IF(VLOOKUP(A358,[3]PRIORIZADOS!$A:$F,6,FALSE)="","",VLOOKUP(A358,[3]PRIORIZADOS!$A:$F,6,FALSE)),"")</f>
        <v>LICEO_MIXTO_LOS_CENTAUROS</v>
      </c>
      <c r="G358" s="11" t="str">
        <f>IFERROR(IF(VLOOKUP(A358,[3]PRIORIZADOS!$A:$G,7,FALSE)="","",VLOOKUP(A358,[3]PRIORIZADOS!$A:$G,7,FALSE)),"")</f>
        <v>LICEO MIXTO LOS CENTAUROS</v>
      </c>
      <c r="H358" s="11" t="str">
        <f>IFERROR(IF(VLOOKUP(A358,[3]PRIORIZADOS!$A:$H,8,FALSE)="","",VLOOKUP(A358,[3]PRIORIZADOS!$A:$H,8,FALSE)),"")</f>
        <v>Autoevaluación Institucional y Pruebas SABER 11</v>
      </c>
      <c r="I358" s="11" t="str">
        <f>IFERROR(IF(VLOOKUP(A358,[3]PRIORIZADOS!$A:$I,9,FALSE)="","",VLOOKUP(A358,[3]PRIORIZADOS!$A:$I,9,FALSE)),"")</f>
        <v>EVALUACIÓN_CON_FINES_DE_MEJORAMIENTO.</v>
      </c>
      <c r="J358" s="11" t="str">
        <f>IFERROR(IF(VLOOKUP(A358,[3]PRIORIZADOS!$A:$J,10,FALSE)="","",VLOOKUP(A358,[3]PRIORIZADOS!$A:$J,10,FALSE)),"")</f>
        <v>Verificar las condiciones en cuanto a: la estructura administrativa, condiciones de la planta física y medios educativos adecuados.</v>
      </c>
      <c r="K358" s="11" t="str">
        <f>IFERROR(IF(VLOOKUP(A358,[3]PRIORIZADOS!$A:$K,11,FALSE)="","",VLOOKUP(A358,[3]PRIORIZADOS!$A:$K,11,FALSE)),"")</f>
        <v>JOSÉ ANTONIO PÁEZ FETECUA</v>
      </c>
      <c r="L358" s="11" t="str">
        <f>IFERROR(IF(VLOOKUP(A358,[3]PRIORIZADOS!$A:$L,12,FALSE)="","",VLOOKUP(A358,[3]PRIORIZADOS!$A:$L,12,FALSE)),"")</f>
        <v>ESTEFANY PEÑA GARCIA</v>
      </c>
      <c r="M358" s="71">
        <f>IFERROR(IF(VLOOKUP(A358,[3]PRIORIZADOS!$A:$M,13,FALSE)="","",VLOOKUP(A358,[3]PRIORIZADOS!$A:$M,13,FALSE)),"")</f>
        <v>45853</v>
      </c>
      <c r="N358" s="71">
        <f>IFERROR(IF(VLOOKUP(A358,[3]PRIORIZADOS!$A:$N,14,FALSE)="","",VLOOKUP(A358,[3]PRIORIZADOS!$A:$N,14,FALSE)),"")</f>
        <v>45853</v>
      </c>
      <c r="O358" s="71">
        <f>IFERROR(IF(VLOOKUP(A358,[3]PRIORIZADOS!$A:$O,15,FALSE)="","",VLOOKUP(A358,[3]PRIORIZADOS!$A:$O,15,FALSE)),"")</f>
        <v>45853</v>
      </c>
      <c r="P358" s="11" t="str">
        <f>IFERROR(IF(VLOOKUP(A358,[3]PRIORIZADOS!$A:$P,16,FALSE)="","",VLOOKUP(A358,[3]PRIORIZADOS!$A:$P,16,FALSE)),"")</f>
        <v>Visitas de evaluación con fines de mejoramiento</v>
      </c>
      <c r="Q358" s="4" t="s">
        <v>69</v>
      </c>
      <c r="R358" s="11" t="str">
        <f>IFERROR(IF(VLOOKUP(A358,[3]PRIORIZADOS!$A:$R,18,FALSE)="","",VLOOKUP(A358,[3]PRIORIZADOS!$A:$R,18,FALSE)),"")</f>
        <v>Se realiza un recorrido en las instalaciones de la IE, verificando las condiciones en cuanto a: la estructura administrativa, condiciones de la planta física y medios educativos adecuados.</v>
      </c>
      <c r="S358" s="11" t="str">
        <f>IFERROR(IF(VLOOKUP(A358,[3]PRIORIZADOS!$A:$S,19,FALSE)="","",VLOOKUP(A358,[3]PRIORIZADOS!$A:$S,19,FALSE)),"")</f>
        <v>Las condiciones de la planta física son adecuadas y se recomienda actualizar el mobiliario más antiguo</v>
      </c>
      <c r="T358" s="70" t="str">
        <f>IFERROR(IF(VLOOKUP(A358,[3]PRIORIZADOS!$A:$T,20,FALSE)="","",VLOOKUP(A358,[3]PRIORIZADOS!$A:$T,20,FALSE)),"")</f>
        <v>No</v>
      </c>
      <c r="U358" s="11" t="str">
        <f>IFERROR(IF(VLOOKUP(A358,[3]PRIORIZADOS!$A:$U,21,FALSE)="","",VLOOKUP(A358,[3]PRIORIZADOS!$A:$U,21,FALSE)),"")</f>
        <v>Las condiciones de la planta física garantizan la adecuada prestación del servicio educativo</v>
      </c>
    </row>
    <row r="359" spans="1:21" s="1" customFormat="1" ht="60">
      <c r="A359" s="69">
        <f>IF([3]PRIORIZADOS!A170="","",[3]PRIORIZADOS!A170)</f>
        <v>365</v>
      </c>
      <c r="B359" s="70">
        <f>IFERROR(IF(VLOOKUP(A359,[3]PRIORIZADOS!$A:$B,2,FALSE)="","",VLOOKUP(A359,[3]PRIORIZADOS!$A:$B,2,FALSE)),"")</f>
        <v>19</v>
      </c>
      <c r="C359" s="11" t="str">
        <f>IFERROR(IF(VLOOKUP(A359,[3]PRIORIZADOS!$A:$C,3,FALSE)="","",VLOOKUP(A359,[3]PRIORIZADOS!$A:$C,3,FALSE)),"")</f>
        <v>BOSA</v>
      </c>
      <c r="D359" s="11" t="str">
        <f>IFERROR(IF(VLOOKUP(A359,[3]PRIORIZADOS!$A:$D,4,FALSE)="","",VLOOKUP(A359,[3]PRIORIZADOS!$A:$D,4,FALSE)),"")</f>
        <v>PRIVADO</v>
      </c>
      <c r="E359" s="11" t="str">
        <f>IFERROR(IF(VLOOKUP(A359,[3]PRIORIZADOS!$A:$E,5,FALSE)="","",VLOOKUP(A359,[3]PRIORIZADOS!$A:$E,5,FALSE)),"")</f>
        <v>EPBM</v>
      </c>
      <c r="F359" s="11" t="str">
        <f>IFERROR(IF(VLOOKUP(A359,[3]PRIORIZADOS!$A:$F,6,FALSE)="","",VLOOKUP(A359,[3]PRIORIZADOS!$A:$F,6,FALSE)),"")</f>
        <v>LICEO_MODERNO_BETANIA</v>
      </c>
      <c r="G359" s="11" t="str">
        <f>IFERROR(IF(VLOOKUP(A359,[3]PRIORIZADOS!$A:$G,7,FALSE)="","",VLOOKUP(A359,[3]PRIORIZADOS!$A:$G,7,FALSE)),"")</f>
        <v>LICEO MODERNO BETANIA</v>
      </c>
      <c r="H359" s="11" t="str">
        <f>IFERROR(IF(VLOOKUP(A359,[3]PRIORIZADOS!$A:$H,8,FALSE)="","",VLOOKUP(A359,[3]PRIORIZADOS!$A:$H,8,FALSE)),"")</f>
        <v>Autoevaluación Institucional y Pruebas SABER 11</v>
      </c>
      <c r="I359" s="11" t="str">
        <f>IFERROR(IF(VLOOKUP(A359,[3]PRIORIZADOS!$A:$I,9,FALSE)="","",VLOOKUP(A359,[3]PRIORIZADOS!$A:$I,9,FALSE)),"")</f>
        <v>SEGUIMIENTO_Y_SUPERVISIÓN.</v>
      </c>
      <c r="J359" s="11" t="str">
        <f>IFERROR(IF(VLOOKUP(A359,[3]PRIORIZADOS!$A:$J,10,FALSE)="","",VLOOKUP(A359,[3]PRIORIZADOS!$A:$J,10,FALSE)),"")</f>
        <v>Realizar visitas para verificar la información registrada sobre la autoevaluación institucional en el aplicativo EVI, a los establecimientos de educación formal no oficial.</v>
      </c>
      <c r="K359" s="11" t="str">
        <f>IFERROR(IF(VLOOKUP(A359,[3]PRIORIZADOS!$A:$K,11,FALSE)="","",VLOOKUP(A359,[3]PRIORIZADOS!$A:$K,11,FALSE)),"")</f>
        <v>JULIÁN FELIPE BERNAL GARZÓN</v>
      </c>
      <c r="L359" s="11" t="str">
        <f>IFERROR(IF(VLOOKUP(A359,[3]PRIORIZADOS!$A:$L,12,FALSE)="","",VLOOKUP(A359,[3]PRIORIZADOS!$A:$L,12,FALSE)),"")</f>
        <v>ANA ANDREA VARGAS GONZÁLEZ</v>
      </c>
      <c r="M359" s="71">
        <f>IFERROR(IF(VLOOKUP(A359,[3]PRIORIZADOS!$A:$M,13,FALSE)="","",VLOOKUP(A359,[3]PRIORIZADOS!$A:$M,13,FALSE)),"")</f>
        <v>45855</v>
      </c>
      <c r="N359" s="71">
        <f>IFERROR(IF(VLOOKUP(A359,[3]PRIORIZADOS!$A:$N,14,FALSE)="","",VLOOKUP(A359,[3]PRIORIZADOS!$A:$N,14,FALSE)),"")</f>
        <v>45855</v>
      </c>
      <c r="O359" s="71">
        <f>IFERROR(IF(VLOOKUP(A359,[3]PRIORIZADOS!$A:$O,15,FALSE)="","",VLOOKUP(A359,[3]PRIORIZADOS!$A:$O,15,FALSE)),"")</f>
        <v>45855</v>
      </c>
      <c r="P359" s="11" t="str">
        <f>IFERROR(IF(VLOOKUP(A359,[3]PRIORIZADOS!$A:$P,16,FALSE)="","",VLOOKUP(A359,[3]PRIORIZADOS!$A:$P,16,FALSE)),"")</f>
        <v>Visitas de evaluación con fines de seguimiento</v>
      </c>
      <c r="Q359" s="5" t="s">
        <v>70</v>
      </c>
      <c r="R359" s="11" t="str">
        <f>IFERROR(IF(VLOOKUP(A359,[3]PRIORIZADOS!$A:$R,18,FALSE)="","",VLOOKUP(A359,[3]PRIORIZADOS!$A:$R,18,FALSE)),"")</f>
        <v>La información consignada en la Plataforma EVI relacionada con los indicadores de: planta física, dotacion de espacios y calendario academico coincide con lo verificado en campo.</v>
      </c>
      <c r="S359" s="11" t="str">
        <f>IFERROR(IF(VLOOKUP(A359,[3]PRIORIZADOS!$A:$S,19,FALSE)="","",VLOOKUP(A359,[3]PRIORIZADOS!$A:$S,19,FALSE)),"")</f>
        <v xml:space="preserve">Se concluye que la IE realizará su autoevalución institucional en el mes octubre. </v>
      </c>
      <c r="T359" s="70" t="str">
        <f>IFERROR(IF(VLOOKUP(A359,[3]PRIORIZADOS!$A:$T,20,FALSE)="","",VLOOKUP(A359,[3]PRIORIZADOS!$A:$T,20,FALSE)),"")</f>
        <v>No</v>
      </c>
      <c r="U359" s="11" t="str">
        <f>IFERROR(IF(VLOOKUP(A359,[3]PRIORIZADOS!$A:$U,21,FALSE)="","",VLOOKUP(A359,[3]PRIORIZADOS!$A:$U,21,FALSE)),"")</f>
        <v>Se verificará la información cargada por la IE en el aplicativo EVI de la autoevaluación,  para la emisión del concepto de tarifas 2026.</v>
      </c>
    </row>
    <row r="360" spans="1:21" s="1" customFormat="1" ht="72">
      <c r="A360" s="69">
        <f>IF([3]PRIORIZADOS!A171="","",[3]PRIORIZADOS!A171)</f>
        <v>366</v>
      </c>
      <c r="B360" s="70">
        <f>IFERROR(IF(VLOOKUP(A360,[3]PRIORIZADOS!$A:$B,2,FALSE)="","",VLOOKUP(A360,[3]PRIORIZADOS!$A:$B,2,FALSE)),"")</f>
        <v>19</v>
      </c>
      <c r="C360" s="11" t="str">
        <f>IFERROR(IF(VLOOKUP(A360,[3]PRIORIZADOS!$A:$C,3,FALSE)="","",VLOOKUP(A360,[3]PRIORIZADOS!$A:$C,3,FALSE)),"")</f>
        <v>BOSA</v>
      </c>
      <c r="D360" s="11" t="str">
        <f>IFERROR(IF(VLOOKUP(A360,[3]PRIORIZADOS!$A:$D,4,FALSE)="","",VLOOKUP(A360,[3]PRIORIZADOS!$A:$D,4,FALSE)),"")</f>
        <v>PRIVADO</v>
      </c>
      <c r="E360" s="11" t="str">
        <f>IFERROR(IF(VLOOKUP(A360,[3]PRIORIZADOS!$A:$E,5,FALSE)="","",VLOOKUP(A360,[3]PRIORIZADOS!$A:$E,5,FALSE)),"")</f>
        <v>EPBM</v>
      </c>
      <c r="F360" s="11" t="str">
        <f>IFERROR(IF(VLOOKUP(A360,[3]PRIORIZADOS!$A:$F,6,FALSE)="","",VLOOKUP(A360,[3]PRIORIZADOS!$A:$F,6,FALSE)),"")</f>
        <v>LICEO_MODERNO_BETANIA</v>
      </c>
      <c r="G360" s="11" t="str">
        <f>IFERROR(IF(VLOOKUP(A360,[3]PRIORIZADOS!$A:$G,7,FALSE)="","",VLOOKUP(A360,[3]PRIORIZADOS!$A:$G,7,FALSE)),"")</f>
        <v>LICEO MODERNO BETANIA</v>
      </c>
      <c r="H360" s="11" t="str">
        <f>IFERROR(IF(VLOOKUP(A360,[3]PRIORIZADOS!$A:$H,8,FALSE)="","",VLOOKUP(A360,[3]PRIORIZADOS!$A:$H,8,FALSE)),"")</f>
        <v>Autoevaluación Institucional y Pruebas SABER 11</v>
      </c>
      <c r="I360" s="11" t="str">
        <f>IFERROR(IF(VLOOKUP(A360,[3]PRIORIZADOS!$A:$I,9,FALSE)="","",VLOOKUP(A360,[3]PRIORIZADOS!$A:$I,9,FALSE)),"")</f>
        <v>SEGUIMIENTO_Y_SUPERVISIÓN.</v>
      </c>
      <c r="J360" s="11" t="str">
        <f>IFERROR(IF(VLOOKUP(A360,[3]PRIORIZADOS!$A:$J,10,FALSE)="","",VLOOKUP(A360,[3]PRIORIZADOS!$A:$J,10,FALSE)),"")</f>
        <v>Proponer estrategias en la formulación, verificar su elaboración y realizar seguimiento semestral al desarrollo de  las acciones establecidas en los planes de mejoramiento por pruebas SABER 11 de los establecimientos de educación formal.</v>
      </c>
      <c r="K360" s="11" t="str">
        <f>IFERROR(IF(VLOOKUP(A360,[3]PRIORIZADOS!$A:$K,11,FALSE)="","",VLOOKUP(A360,[3]PRIORIZADOS!$A:$K,11,FALSE)),"")</f>
        <v>JULIÁN FELIPE BERNAL GARZÓN</v>
      </c>
      <c r="L360" s="11" t="str">
        <f>IFERROR(IF(VLOOKUP(A360,[3]PRIORIZADOS!$A:$L,12,FALSE)="","",VLOOKUP(A360,[3]PRIORIZADOS!$A:$L,12,FALSE)),"")</f>
        <v>ANA ANDREA VARGAS GONZÁLEZ</v>
      </c>
      <c r="M360" s="71">
        <f>IFERROR(IF(VLOOKUP(A360,[3]PRIORIZADOS!$A:$M,13,FALSE)="","",VLOOKUP(A360,[3]PRIORIZADOS!$A:$M,13,FALSE)),"")</f>
        <v>45855</v>
      </c>
      <c r="N360" s="71">
        <f>IFERROR(IF(VLOOKUP(A360,[3]PRIORIZADOS!$A:$N,14,FALSE)="","",VLOOKUP(A360,[3]PRIORIZADOS!$A:$N,14,FALSE)),"")</f>
        <v>45855</v>
      </c>
      <c r="O360" s="71">
        <f>IFERROR(IF(VLOOKUP(A360,[3]PRIORIZADOS!$A:$O,15,FALSE)="","",VLOOKUP(A360,[3]PRIORIZADOS!$A:$O,15,FALSE)),"")</f>
        <v>45855</v>
      </c>
      <c r="P360" s="11" t="str">
        <f>IFERROR(IF(VLOOKUP(A360,[3]PRIORIZADOS!$A:$P,16,FALSE)="","",VLOOKUP(A360,[3]PRIORIZADOS!$A:$P,16,FALSE)),"")</f>
        <v>Visitas de evaluación con fines de seguimiento</v>
      </c>
      <c r="Q360" s="5" t="s">
        <v>70</v>
      </c>
      <c r="R360" s="11" t="str">
        <f>IFERROR(IF(VLOOKUP(A360,[3]PRIORIZADOS!$A:$R,18,FALSE)="","",VLOOKUP(A360,[3]PRIORIZADOS!$A:$R,18,FALSE)),"")</f>
        <v>La IE se encuentra en Categoría A, realizó la revisión y análisis de los resultados para  actualización del curriculo y el plan de estudios. Se ha adelantado el diagnóstico y la propuesta de Intervención, aplicando pruebas preliminares.</v>
      </c>
      <c r="S360" s="11" t="str">
        <f>IFERROR(IF(VLOOKUP(A360,[3]PRIORIZADOS!$A:$S,19,FALSE)="","",VLOOKUP(A360,[3]PRIORIZADOS!$A:$S,19,FALSE)),"")</f>
        <v>Continuar realizando el análisis de los resultados de las pruebas saber, para mejora de los procesos académicos.</v>
      </c>
      <c r="T360" s="70" t="str">
        <f>IFERROR(IF(VLOOKUP(A360,[3]PRIORIZADOS!$A:$T,20,FALSE)="","",VLOOKUP(A360,[3]PRIORIZADOS!$A:$T,20,FALSE)),"")</f>
        <v>No</v>
      </c>
      <c r="U360" s="11" t="str">
        <f>IFERROR(IF(VLOOKUP(A360,[3]PRIORIZADOS!$A:$U,21,FALSE)="","",VLOOKUP(A360,[3]PRIORIZADOS!$A:$U,21,FALSE)),"")</f>
        <v>Revisión de los resultados SABER 2025.</v>
      </c>
    </row>
    <row r="361" spans="1:21" s="1" customFormat="1" ht="72">
      <c r="A361" s="69">
        <f>IF([3]PRIORIZADOS!A172="","",[3]PRIORIZADOS!A172)</f>
        <v>367</v>
      </c>
      <c r="B361" s="70">
        <f>IFERROR(IF(VLOOKUP(A361,[3]PRIORIZADOS!$A:$B,2,FALSE)="","",VLOOKUP(A361,[3]PRIORIZADOS!$A:$B,2,FALSE)),"")</f>
        <v>19</v>
      </c>
      <c r="C361" s="11" t="str">
        <f>IFERROR(IF(VLOOKUP(A361,[3]PRIORIZADOS!$A:$C,3,FALSE)="","",VLOOKUP(A361,[3]PRIORIZADOS!$A:$C,3,FALSE)),"")</f>
        <v>BOSA</v>
      </c>
      <c r="D361" s="11" t="str">
        <f>IFERROR(IF(VLOOKUP(A361,[3]PRIORIZADOS!$A:$D,4,FALSE)="","",VLOOKUP(A361,[3]PRIORIZADOS!$A:$D,4,FALSE)),"")</f>
        <v>PRIVADO</v>
      </c>
      <c r="E361" s="11" t="str">
        <f>IFERROR(IF(VLOOKUP(A361,[3]PRIORIZADOS!$A:$E,5,FALSE)="","",VLOOKUP(A361,[3]PRIORIZADOS!$A:$E,5,FALSE)),"")</f>
        <v>EPBM</v>
      </c>
      <c r="F361" s="11" t="str">
        <f>IFERROR(IF(VLOOKUP(A361,[3]PRIORIZADOS!$A:$F,6,FALSE)="","",VLOOKUP(A361,[3]PRIORIZADOS!$A:$F,6,FALSE)),"")</f>
        <v>LICEO_MODERNO_BETANIA</v>
      </c>
      <c r="G361" s="11" t="str">
        <f>IFERROR(IF(VLOOKUP(A361,[3]PRIORIZADOS!$A:$G,7,FALSE)="","",VLOOKUP(A361,[3]PRIORIZADOS!$A:$G,7,FALSE)),"")</f>
        <v>LICEO MODERNO BETANIA</v>
      </c>
      <c r="H361" s="11" t="str">
        <f>IFERROR(IF(VLOOKUP(A361,[3]PRIORIZADOS!$A:$H,8,FALSE)="","",VLOOKUP(A361,[3]PRIORIZADOS!$A:$H,8,FALSE)),"")</f>
        <v>Autoevaluación Institucional y Pruebas SABER 11</v>
      </c>
      <c r="I361" s="11" t="str">
        <f>IFERROR(IF(VLOOKUP(A361,[3]PRIORIZADOS!$A:$I,9,FALSE)="","",VLOOKUP(A361,[3]PRIORIZADOS!$A:$I,9,FALSE)),"")</f>
        <v>SEGUIMIENTO_Y_SUPERVISIÓN.</v>
      </c>
      <c r="J361" s="11" t="str">
        <f>IFERROR(IF(VLOOKUP(A361,[3]PRIORIZADOS!$A:$J,10,FALSE)="","",VLOOKUP(A361,[3]PRIORIZADOS!$A:$J,10,FALSE)),"")</f>
        <v xml:space="preserve">Verificar la implementación por parte de los colegios, de acciones realizadas para la prevención y atención de las situaciones de convivencia en el entorno escolar, según lo establecido en la Directiva 01 de 2022 del MEN. </v>
      </c>
      <c r="K361" s="11" t="str">
        <f>IFERROR(IF(VLOOKUP(A361,[3]PRIORIZADOS!$A:$K,11,FALSE)="","",VLOOKUP(A361,[3]PRIORIZADOS!$A:$K,11,FALSE)),"")</f>
        <v>JULIÁN FELIPE BERNAL GARZÓN</v>
      </c>
      <c r="L361" s="11" t="str">
        <f>IFERROR(IF(VLOOKUP(A361,[3]PRIORIZADOS!$A:$L,12,FALSE)="","",VLOOKUP(A361,[3]PRIORIZADOS!$A:$L,12,FALSE)),"")</f>
        <v>ANA ANDREA VARGAS GONZÁLEZ</v>
      </c>
      <c r="M361" s="71">
        <f>IFERROR(IF(VLOOKUP(A361,[3]PRIORIZADOS!$A:$M,13,FALSE)="","",VLOOKUP(A361,[3]PRIORIZADOS!$A:$M,13,FALSE)),"")</f>
        <v>45855</v>
      </c>
      <c r="N361" s="71">
        <f>IFERROR(IF(VLOOKUP(A361,[3]PRIORIZADOS!$A:$N,14,FALSE)="","",VLOOKUP(A361,[3]PRIORIZADOS!$A:$N,14,FALSE)),"")</f>
        <v>45855</v>
      </c>
      <c r="O361" s="71">
        <f>IFERROR(IF(VLOOKUP(A361,[3]PRIORIZADOS!$A:$O,15,FALSE)="","",VLOOKUP(A361,[3]PRIORIZADOS!$A:$O,15,FALSE)),"")</f>
        <v>45855</v>
      </c>
      <c r="P361" s="11" t="str">
        <f>IFERROR(IF(VLOOKUP(A361,[3]PRIORIZADOS!$A:$P,16,FALSE)="","",VLOOKUP(A361,[3]PRIORIZADOS!$A:$P,16,FALSE)),"")</f>
        <v>Visitas de evaluación con fines de seguimiento</v>
      </c>
      <c r="Q361" s="5" t="s">
        <v>70</v>
      </c>
      <c r="R361" s="11" t="str">
        <f>IFERROR(IF(VLOOKUP(A361,[3]PRIORIZADOS!$A:$R,18,FALSE)="","",VLOOKUP(A361,[3]PRIORIZADOS!$A:$R,18,FALSE)),"")</f>
        <v>Se verifica la implementación de acciones  realizadas para la prevención como lo es la verificación de inhabilidades por delitos sexuales en el sistema de la Policía Nacional.</v>
      </c>
      <c r="S361" s="11" t="str">
        <f>IFERROR(IF(VLOOKUP(A361,[3]PRIORIZADOS!$A:$S,19,FALSE)="","",VLOOKUP(A361,[3]PRIORIZADOS!$A:$S,19,FALSE)),"")</f>
        <v>Como oportunidad de mejora se solicita implementar  la autorización de directivos, docentes y administrativos para las consultas, al momento de la vinculación, para las consultas de antecedentes en los sistemas que se requieran.</v>
      </c>
      <c r="T361" s="70" t="str">
        <f>IFERROR(IF(VLOOKUP(A361,[3]PRIORIZADOS!$A:$T,20,FALSE)="","",VLOOKUP(A361,[3]PRIORIZADOS!$A:$T,20,FALSE)),"")</f>
        <v>No</v>
      </c>
      <c r="U361" s="11" t="str">
        <f>IFERROR(IF(VLOOKUP(A361,[3]PRIORIZADOS!$A:$U,21,FALSE)="","",VLOOKUP(A361,[3]PRIORIZADOS!$A:$U,21,FALSE)),"")</f>
        <v>Verificar que la IE cuente con las respectivas autorizaciones para las consultas de antedecentes del personal vinculado.</v>
      </c>
    </row>
    <row r="362" spans="1:21" s="1" customFormat="1" ht="72">
      <c r="A362" s="69">
        <f>IF([3]PRIORIZADOS!A173="","",[3]PRIORIZADOS!A173)</f>
        <v>368</v>
      </c>
      <c r="B362" s="70">
        <f>IFERROR(IF(VLOOKUP(A362,[3]PRIORIZADOS!$A:$B,2,FALSE)="","",VLOOKUP(A362,[3]PRIORIZADOS!$A:$B,2,FALSE)),"")</f>
        <v>19</v>
      </c>
      <c r="C362" s="11" t="str">
        <f>IFERROR(IF(VLOOKUP(A362,[3]PRIORIZADOS!$A:$C,3,FALSE)="","",VLOOKUP(A362,[3]PRIORIZADOS!$A:$C,3,FALSE)),"")</f>
        <v>BOSA</v>
      </c>
      <c r="D362" s="11" t="str">
        <f>IFERROR(IF(VLOOKUP(A362,[3]PRIORIZADOS!$A:$D,4,FALSE)="","",VLOOKUP(A362,[3]PRIORIZADOS!$A:$D,4,FALSE)),"")</f>
        <v>PRIVADO</v>
      </c>
      <c r="E362" s="11" t="str">
        <f>IFERROR(IF(VLOOKUP(A362,[3]PRIORIZADOS!$A:$E,5,FALSE)="","",VLOOKUP(A362,[3]PRIORIZADOS!$A:$E,5,FALSE)),"")</f>
        <v>EPBM</v>
      </c>
      <c r="F362" s="11" t="str">
        <f>IFERROR(IF(VLOOKUP(A362,[3]PRIORIZADOS!$A:$F,6,FALSE)="","",VLOOKUP(A362,[3]PRIORIZADOS!$A:$F,6,FALSE)),"")</f>
        <v>LICEO_MODERNO_BETANIA</v>
      </c>
      <c r="G362" s="11" t="str">
        <f>IFERROR(IF(VLOOKUP(A362,[3]PRIORIZADOS!$A:$G,7,FALSE)="","",VLOOKUP(A362,[3]PRIORIZADOS!$A:$G,7,FALSE)),"")</f>
        <v>LICEO MODERNO BETANIA</v>
      </c>
      <c r="H362" s="11" t="str">
        <f>IFERROR(IF(VLOOKUP(A362,[3]PRIORIZADOS!$A:$H,8,FALSE)="","",VLOOKUP(A362,[3]PRIORIZADOS!$A:$H,8,FALSE)),"")</f>
        <v>Autoevaluación Institucional y Pruebas SABER 11</v>
      </c>
      <c r="I362" s="11" t="str">
        <f>IFERROR(IF(VLOOKUP(A362,[3]PRIORIZADOS!$A:$I,9,FALSE)="","",VLOOKUP(A362,[3]PRIORIZADOS!$A:$I,9,FALSE)),"")</f>
        <v>SEGUIMIENTO_Y_SUPERVISIÓN.</v>
      </c>
      <c r="J362" s="11" t="str">
        <f>IFERROR(IF(VLOOKUP(A362,[3]PRIORIZADOS!$A:$J,10,FALSE)="","",VLOOKUP(A362,[3]PRIORIZADOS!$A:$J,10,FALSE)),"")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62" s="11" t="str">
        <f>IFERROR(IF(VLOOKUP(A362,[3]PRIORIZADOS!$A:$K,11,FALSE)="","",VLOOKUP(A362,[3]PRIORIZADOS!$A:$K,11,FALSE)),"")</f>
        <v>JULIÁN FELIPE BERNAL GARZÓN</v>
      </c>
      <c r="L362" s="11" t="str">
        <f>IFERROR(IF(VLOOKUP(A362,[3]PRIORIZADOS!$A:$L,12,FALSE)="","",VLOOKUP(A362,[3]PRIORIZADOS!$A:$L,12,FALSE)),"")</f>
        <v>ANA ANDREA VARGAS GONZÁLEZ</v>
      </c>
      <c r="M362" s="71">
        <f>IFERROR(IF(VLOOKUP(A362,[3]PRIORIZADOS!$A:$M,13,FALSE)="","",VLOOKUP(A362,[3]PRIORIZADOS!$A:$M,13,FALSE)),"")</f>
        <v>45855</v>
      </c>
      <c r="N362" s="71">
        <f>IFERROR(IF(VLOOKUP(A362,[3]PRIORIZADOS!$A:$N,14,FALSE)="","",VLOOKUP(A362,[3]PRIORIZADOS!$A:$N,14,FALSE)),"")</f>
        <v>45855</v>
      </c>
      <c r="O362" s="71">
        <f>IFERROR(IF(VLOOKUP(A362,[3]PRIORIZADOS!$A:$O,15,FALSE)="","",VLOOKUP(A362,[3]PRIORIZADOS!$A:$O,15,FALSE)),"")</f>
        <v>45855</v>
      </c>
      <c r="P362" s="11" t="str">
        <f>IFERROR(IF(VLOOKUP(A362,[3]PRIORIZADOS!$A:$P,16,FALSE)="","",VLOOKUP(A362,[3]PRIORIZADOS!$A:$P,16,FALSE)),"")</f>
        <v>Visitas de evaluación con fines de seguimiento</v>
      </c>
      <c r="Q362" s="5" t="s">
        <v>70</v>
      </c>
      <c r="R362" s="11" t="str">
        <f>IFERROR(IF(VLOOKUP(A362,[3]PRIORIZADOS!$A:$R,18,FALSE)="","",VLOOKUP(A362,[3]PRIORIZADOS!$A:$R,18,FALSE)),"")</f>
        <v>En la Plataforma SIMAT hay 11 estudiantes registragos con discapacidad, sin embargo, con PIAR se encuentran 7 estudiantes (2 con discapacidad y 5 con trastornos).</v>
      </c>
      <c r="S362" s="11" t="str">
        <f>IFERROR(IF(VLOOKUP(A362,[3]PRIORIZADOS!$A:$S,19,FALSE)="","",VLOOKUP(A362,[3]PRIORIZADOS!$A:$S,19,FALSE)),"")</f>
        <v>Continuar con el seguimiento y ajustes a los PIAR, y revisar las cifras de SIMAT para el ajuste que corresponda.</v>
      </c>
      <c r="T362" s="70" t="str">
        <f>IFERROR(IF(VLOOKUP(A362,[3]PRIORIZADOS!$A:$T,20,FALSE)="","",VLOOKUP(A362,[3]PRIORIZADOS!$A:$T,20,FALSE)),"")</f>
        <v>No</v>
      </c>
      <c r="U362" s="11" t="str">
        <f>IFERROR(IF(VLOOKUP(A362,[3]PRIORIZADOS!$A:$U,21,FALSE)="","",VLOOKUP(A362,[3]PRIORIZADOS!$A:$U,21,FALSE)),"")</f>
        <v>Verificar la información en SIMAT.</v>
      </c>
    </row>
    <row r="363" spans="1:21" s="1" customFormat="1" ht="84">
      <c r="A363" s="69">
        <f>IF([3]PRIORIZADOS!A174="","",[3]PRIORIZADOS!A174)</f>
        <v>369</v>
      </c>
      <c r="B363" s="70">
        <f>IFERROR(IF(VLOOKUP(A363,[3]PRIORIZADOS!$A:$B,2,FALSE)="","",VLOOKUP(A363,[3]PRIORIZADOS!$A:$B,2,FALSE)),"")</f>
        <v>19</v>
      </c>
      <c r="C363" s="11" t="str">
        <f>IFERROR(IF(VLOOKUP(A363,[3]PRIORIZADOS!$A:$C,3,FALSE)="","",VLOOKUP(A363,[3]PRIORIZADOS!$A:$C,3,FALSE)),"")</f>
        <v>BOSA</v>
      </c>
      <c r="D363" s="11" t="str">
        <f>IFERROR(IF(VLOOKUP(A363,[3]PRIORIZADOS!$A:$D,4,FALSE)="","",VLOOKUP(A363,[3]PRIORIZADOS!$A:$D,4,FALSE)),"")</f>
        <v>PRIVADO</v>
      </c>
      <c r="E363" s="11" t="str">
        <f>IFERROR(IF(VLOOKUP(A363,[3]PRIORIZADOS!$A:$E,5,FALSE)="","",VLOOKUP(A363,[3]PRIORIZADOS!$A:$E,5,FALSE)),"")</f>
        <v>EPBM</v>
      </c>
      <c r="F363" s="11" t="str">
        <f>IFERROR(IF(VLOOKUP(A363,[3]PRIORIZADOS!$A:$F,6,FALSE)="","",VLOOKUP(A363,[3]PRIORIZADOS!$A:$F,6,FALSE)),"")</f>
        <v>LICEO_MODERNO_BETANIA</v>
      </c>
      <c r="G363" s="11" t="str">
        <f>IFERROR(IF(VLOOKUP(A363,[3]PRIORIZADOS!$A:$G,7,FALSE)="","",VLOOKUP(A363,[3]PRIORIZADOS!$A:$G,7,FALSE)),"")</f>
        <v>LICEO MODERNO BETANIA</v>
      </c>
      <c r="H363" s="11" t="str">
        <f>IFERROR(IF(VLOOKUP(A363,[3]PRIORIZADOS!$A:$H,8,FALSE)="","",VLOOKUP(A363,[3]PRIORIZADOS!$A:$H,8,FALSE)),"")</f>
        <v>Autoevaluación Institucional y Pruebas SABER 11</v>
      </c>
      <c r="I363" s="11" t="str">
        <f>IFERROR(IF(VLOOKUP(A363,[3]PRIORIZADOS!$A:$I,9,FALSE)="","",VLOOKUP(A363,[3]PRIORIZADOS!$A:$I,9,FALSE)),"")</f>
        <v>EVALUACIÓN_CON_FINES_DE_MEJORAMIENTO.</v>
      </c>
      <c r="J363" s="11" t="str">
        <f>IFERROR(IF(VLOOKUP(A363,[3]PRIORIZADOS!$A:$J,10,FALSE)="","",VLOOKUP(A363,[3]PRIORIZADOS!$A:$J,10,FALSE)),"")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63" s="11" t="str">
        <f>IFERROR(IF(VLOOKUP(A363,[3]PRIORIZADOS!$A:$K,11,FALSE)="","",VLOOKUP(A363,[3]PRIORIZADOS!$A:$K,11,FALSE)),"")</f>
        <v>JULIÁN FELIPE BERNAL GARZÓN</v>
      </c>
      <c r="L363" s="11" t="str">
        <f>IFERROR(IF(VLOOKUP(A363,[3]PRIORIZADOS!$A:$L,12,FALSE)="","",VLOOKUP(A363,[3]PRIORIZADOS!$A:$L,12,FALSE)),"")</f>
        <v>ANA ANDREA VARGAS GONZÁLEZ</v>
      </c>
      <c r="M363" s="71">
        <f>IFERROR(IF(VLOOKUP(A363,[3]PRIORIZADOS!$A:$M,13,FALSE)="","",VLOOKUP(A363,[3]PRIORIZADOS!$A:$M,13,FALSE)),"")</f>
        <v>45855</v>
      </c>
      <c r="N363" s="71">
        <f>IFERROR(IF(VLOOKUP(A363,[3]PRIORIZADOS!$A:$N,14,FALSE)="","",VLOOKUP(A363,[3]PRIORIZADOS!$A:$N,14,FALSE)),"")</f>
        <v>45855</v>
      </c>
      <c r="O363" s="71">
        <f>IFERROR(IF(VLOOKUP(A363,[3]PRIORIZADOS!$A:$O,15,FALSE)="","",VLOOKUP(A363,[3]PRIORIZADOS!$A:$O,15,FALSE)),"")</f>
        <v>45855</v>
      </c>
      <c r="P363" s="11" t="str">
        <f>IFERROR(IF(VLOOKUP(A363,[3]PRIORIZADOS!$A:$P,16,FALSE)="","",VLOOKUP(A363,[3]PRIORIZADOS!$A:$P,16,FALSE)),"")</f>
        <v>Visitas de evaluación con fines de mejoramiento</v>
      </c>
      <c r="Q363" s="5" t="s">
        <v>70</v>
      </c>
      <c r="R363" s="11" t="str">
        <f>IFERROR(IF(VLOOKUP(A363,[3]PRIORIZADOS!$A:$R,18,FALSE)="","",VLOOKUP(A363,[3]PRIORIZADOS!$A:$R,18,FALSE)),"")</f>
        <v>Se evidencia Manual de Convivencia actualizado a la vigencia 2024 -2025,  con la participación de la comunidad educativa, el cual requiete algunos ajustes en su contenido.</v>
      </c>
      <c r="S363" s="11" t="str">
        <f>IFERROR(IF(VLOOKUP(A363,[3]PRIORIZADOS!$A:$S,19,FALSE)="","",VLOOKUP(A363,[3]PRIORIZADOS!$A:$S,19,FALSE)),"")</f>
        <v>Remitir la versión actualizada del Manual de Conviviencia,  para diferenciar entre faltas y situaciones convivenciales, y las sanciones</v>
      </c>
      <c r="T363" s="70" t="str">
        <f>IFERROR(IF(VLOOKUP(A363,[3]PRIORIZADOS!$A:$T,20,FALSE)="","",VLOOKUP(A363,[3]PRIORIZADOS!$A:$T,20,FALSE)),"")</f>
        <v>Si</v>
      </c>
      <c r="U363" s="11" t="str">
        <f>IFERROR(IF(VLOOKUP(A363,[3]PRIORIZADOS!$A:$U,21,FALSE)="","",VLOOKUP(A363,[3]PRIORIZADOS!$A:$U,21,FALSE)),"")</f>
        <v>Revisar el manual actualizado en  2025 y retroalimentar a la IE.</v>
      </c>
    </row>
    <row r="364" spans="1:21" s="1" customFormat="1" ht="60">
      <c r="A364" s="69">
        <f>IF([3]PRIORIZADOS!A175="","",[3]PRIORIZADOS!A175)</f>
        <v>370</v>
      </c>
      <c r="B364" s="70">
        <f>IFERROR(IF(VLOOKUP(A364,[3]PRIORIZADOS!$A:$B,2,FALSE)="","",VLOOKUP(A364,[3]PRIORIZADOS!$A:$B,2,FALSE)),"")</f>
        <v>19</v>
      </c>
      <c r="C364" s="11" t="str">
        <f>IFERROR(IF(VLOOKUP(A364,[3]PRIORIZADOS!$A:$C,3,FALSE)="","",VLOOKUP(A364,[3]PRIORIZADOS!$A:$C,3,FALSE)),"")</f>
        <v>BOSA</v>
      </c>
      <c r="D364" s="11" t="str">
        <f>IFERROR(IF(VLOOKUP(A364,[3]PRIORIZADOS!$A:$D,4,FALSE)="","",VLOOKUP(A364,[3]PRIORIZADOS!$A:$D,4,FALSE)),"")</f>
        <v>PRIVADO</v>
      </c>
      <c r="E364" s="11" t="str">
        <f>IFERROR(IF(VLOOKUP(A364,[3]PRIORIZADOS!$A:$E,5,FALSE)="","",VLOOKUP(A364,[3]PRIORIZADOS!$A:$E,5,FALSE)),"")</f>
        <v>EPBM</v>
      </c>
      <c r="F364" s="11" t="str">
        <f>IFERROR(IF(VLOOKUP(A364,[3]PRIORIZADOS!$A:$F,6,FALSE)="","",VLOOKUP(A364,[3]PRIORIZADOS!$A:$F,6,FALSE)),"")</f>
        <v>LICEO_MODERNO_BETANIA</v>
      </c>
      <c r="G364" s="11" t="str">
        <f>IFERROR(IF(VLOOKUP(A364,[3]PRIORIZADOS!$A:$G,7,FALSE)="","",VLOOKUP(A364,[3]PRIORIZADOS!$A:$G,7,FALSE)),"")</f>
        <v>LICEO MODERNO BETANIA</v>
      </c>
      <c r="H364" s="11" t="str">
        <f>IFERROR(IF(VLOOKUP(A364,[3]PRIORIZADOS!$A:$H,8,FALSE)="","",VLOOKUP(A364,[3]PRIORIZADOS!$A:$H,8,FALSE)),"")</f>
        <v>Autoevaluación Institucional y Pruebas SABER 11</v>
      </c>
      <c r="I364" s="11" t="str">
        <f>IFERROR(IF(VLOOKUP(A364,[3]PRIORIZADOS!$A:$I,9,FALSE)="","",VLOOKUP(A364,[3]PRIORIZADOS!$A:$I,9,FALSE)),"")</f>
        <v>EVALUACIÓN_CON_FINES_DE_MEJORAMIENTO.</v>
      </c>
      <c r="J364" s="11" t="str">
        <f>IFERROR(IF(VLOOKUP(A364,[3]PRIORIZADOS!$A:$J,10,FALSE)="","",VLOOKUP(A364,[3]PRIORIZADOS!$A:$J,10,FALSE)),"")</f>
        <v>Revisar la actualización, socialización e implementación del Sistema Institucional de Evaluación de Estudiantes - SIEE, en articulación con la actualización del PEI y la normatividad vigente.</v>
      </c>
      <c r="K364" s="11" t="str">
        <f>IFERROR(IF(VLOOKUP(A364,[3]PRIORIZADOS!$A:$K,11,FALSE)="","",VLOOKUP(A364,[3]PRIORIZADOS!$A:$K,11,FALSE)),"")</f>
        <v>JULIÁN FELIPE BERNAL GARZÓN</v>
      </c>
      <c r="L364" s="11" t="str">
        <f>IFERROR(IF(VLOOKUP(A364,[3]PRIORIZADOS!$A:$L,12,FALSE)="","",VLOOKUP(A364,[3]PRIORIZADOS!$A:$L,12,FALSE)),"")</f>
        <v>ANA ANDREA VARGAS GONZÁLEZ</v>
      </c>
      <c r="M364" s="71">
        <f>IFERROR(IF(VLOOKUP(A364,[3]PRIORIZADOS!$A:$M,13,FALSE)="","",VLOOKUP(A364,[3]PRIORIZADOS!$A:$M,13,FALSE)),"")</f>
        <v>45855</v>
      </c>
      <c r="N364" s="71">
        <f>IFERROR(IF(VLOOKUP(A364,[3]PRIORIZADOS!$A:$N,14,FALSE)="","",VLOOKUP(A364,[3]PRIORIZADOS!$A:$N,14,FALSE)),"")</f>
        <v>45855</v>
      </c>
      <c r="O364" s="71">
        <f>IFERROR(IF(VLOOKUP(A364,[3]PRIORIZADOS!$A:$O,15,FALSE)="","",VLOOKUP(A364,[3]PRIORIZADOS!$A:$O,15,FALSE)),"")</f>
        <v>45855</v>
      </c>
      <c r="P364" s="11" t="str">
        <f>IFERROR(IF(VLOOKUP(A364,[3]PRIORIZADOS!$A:$P,16,FALSE)="","",VLOOKUP(A364,[3]PRIORIZADOS!$A:$P,16,FALSE)),"")</f>
        <v>Visitas de evaluación con fines de mejoramiento</v>
      </c>
      <c r="Q364" s="5" t="s">
        <v>70</v>
      </c>
      <c r="R364" s="11" t="str">
        <f>IFERROR(IF(VLOOKUP(A364,[3]PRIORIZADOS!$A:$R,18,FALSE)="","",VLOOKUP(A364,[3]PRIORIZADOS!$A:$R,18,FALSE)),"")</f>
        <v>Se evidencia el Sistema Institucional de Evaluación de Estudiantes - SIEE, actualizado para la vigencia 2025 con participación de la comunidad educativa. Se actualizó la escala valorativa.</v>
      </c>
      <c r="S364" s="11" t="str">
        <f>IFERROR(IF(VLOOKUP(A364,[3]PRIORIZADOS!$A:$S,19,FALSE)="","",VLOOKUP(A364,[3]PRIORIZADOS!$A:$S,19,FALSE)),"")</f>
        <v>Implementa el sistema de evaluación conforme las actualizaciones realizadas.</v>
      </c>
      <c r="T364" s="70" t="str">
        <f>IFERROR(IF(VLOOKUP(A364,[3]PRIORIZADOS!$A:$T,20,FALSE)="","",VLOOKUP(A364,[3]PRIORIZADOS!$A:$T,20,FALSE)),"")</f>
        <v>No</v>
      </c>
      <c r="U364" s="11" t="str">
        <f>IFERROR(IF(VLOOKUP(A364,[3]PRIORIZADOS!$A:$U,21,FALSE)="","",VLOOKUP(A364,[3]PRIORIZADOS!$A:$U,21,FALSE)),"")</f>
        <v>Se atenderá las orientaciones que requiera la IE en este tema.</v>
      </c>
    </row>
    <row r="365" spans="1:21" s="1" customFormat="1" ht="48">
      <c r="A365" s="69">
        <f>IF([3]PRIORIZADOS!A176="","",[3]PRIORIZADOS!A176)</f>
        <v>371</v>
      </c>
      <c r="B365" s="70">
        <f>IFERROR(IF(VLOOKUP(A365,[3]PRIORIZADOS!$A:$B,2,FALSE)="","",VLOOKUP(A365,[3]PRIORIZADOS!$A:$B,2,FALSE)),"")</f>
        <v>19</v>
      </c>
      <c r="C365" s="11" t="str">
        <f>IFERROR(IF(VLOOKUP(A365,[3]PRIORIZADOS!$A:$C,3,FALSE)="","",VLOOKUP(A365,[3]PRIORIZADOS!$A:$C,3,FALSE)),"")</f>
        <v>BOSA</v>
      </c>
      <c r="D365" s="11" t="str">
        <f>IFERROR(IF(VLOOKUP(A365,[3]PRIORIZADOS!$A:$D,4,FALSE)="","",VLOOKUP(A365,[3]PRIORIZADOS!$A:$D,4,FALSE)),"")</f>
        <v>PRIVADO</v>
      </c>
      <c r="E365" s="11" t="str">
        <f>IFERROR(IF(VLOOKUP(A365,[3]PRIORIZADOS!$A:$E,5,FALSE)="","",VLOOKUP(A365,[3]PRIORIZADOS!$A:$E,5,FALSE)),"")</f>
        <v>EPBM</v>
      </c>
      <c r="F365" s="11" t="str">
        <f>IFERROR(IF(VLOOKUP(A365,[3]PRIORIZADOS!$A:$F,6,FALSE)="","",VLOOKUP(A365,[3]PRIORIZADOS!$A:$F,6,FALSE)),"")</f>
        <v>LICEO_MODERNO_BETANIA</v>
      </c>
      <c r="G365" s="11" t="str">
        <f>IFERROR(IF(VLOOKUP(A365,[3]PRIORIZADOS!$A:$G,7,FALSE)="","",VLOOKUP(A365,[3]PRIORIZADOS!$A:$G,7,FALSE)),"")</f>
        <v>LICEO MODERNO BETANIA</v>
      </c>
      <c r="H365" s="11" t="str">
        <f>IFERROR(IF(VLOOKUP(A365,[3]PRIORIZADOS!$A:$H,8,FALSE)="","",VLOOKUP(A365,[3]PRIORIZADOS!$A:$H,8,FALSE)),"")</f>
        <v>Autoevaluación Institucional y Pruebas SABER 11</v>
      </c>
      <c r="I365" s="11" t="str">
        <f>IFERROR(IF(VLOOKUP(A365,[3]PRIORIZADOS!$A:$I,9,FALSE)="","",VLOOKUP(A365,[3]PRIORIZADOS!$A:$I,9,FALSE)),"")</f>
        <v>EVALUACIÓN_CON_FINES_DE_MEJORAMIENTO.</v>
      </c>
      <c r="J365" s="11" t="str">
        <f>IFERROR(IF(VLOOKUP(A365,[3]PRIORIZADOS!$A:$J,10,FALSE)="","",VLOOKUP(A365,[3]PRIORIZADOS!$A:$J,10,FALSE)),"")</f>
        <v>Revisar el calendario escolar, jornada escolar, la intensidad horaria mínima anual en cada nivel y las modificaciones que se realicen al mismo, de acuerdo con lo previsto en la normatividad vigente.</v>
      </c>
      <c r="K365" s="11" t="str">
        <f>IFERROR(IF(VLOOKUP(A365,[3]PRIORIZADOS!$A:$K,11,FALSE)="","",VLOOKUP(A365,[3]PRIORIZADOS!$A:$K,11,FALSE)),"")</f>
        <v>JULIÁN FELIPE BERNAL GARZÓN</v>
      </c>
      <c r="L365" s="11" t="str">
        <f>IFERROR(IF(VLOOKUP(A365,[3]PRIORIZADOS!$A:$L,12,FALSE)="","",VLOOKUP(A365,[3]PRIORIZADOS!$A:$L,12,FALSE)),"")</f>
        <v>ANA ANDREA VARGAS GONZÁLEZ</v>
      </c>
      <c r="M365" s="71">
        <f>IFERROR(IF(VLOOKUP(A365,[3]PRIORIZADOS!$A:$M,13,FALSE)="","",VLOOKUP(A365,[3]PRIORIZADOS!$A:$M,13,FALSE)),"")</f>
        <v>45855</v>
      </c>
      <c r="N365" s="71">
        <f>IFERROR(IF(VLOOKUP(A365,[3]PRIORIZADOS!$A:$N,14,FALSE)="","",VLOOKUP(A365,[3]PRIORIZADOS!$A:$N,14,FALSE)),"")</f>
        <v>45855</v>
      </c>
      <c r="O365" s="71">
        <f>IFERROR(IF(VLOOKUP(A365,[3]PRIORIZADOS!$A:$O,15,FALSE)="","",VLOOKUP(A365,[3]PRIORIZADOS!$A:$O,15,FALSE)),"")</f>
        <v>45855</v>
      </c>
      <c r="P365" s="11" t="str">
        <f>IFERROR(IF(VLOOKUP(A365,[3]PRIORIZADOS!$A:$P,16,FALSE)="","",VLOOKUP(A365,[3]PRIORIZADOS!$A:$P,16,FALSE)),"")</f>
        <v>Visitas de evaluación con fines de mejoramiento</v>
      </c>
      <c r="Q365" s="5" t="s">
        <v>70</v>
      </c>
      <c r="R365" s="11" t="str">
        <f>IFERROR(IF(VLOOKUP(A365,[3]PRIORIZADOS!$A:$R,18,FALSE)="","",VLOOKUP(A365,[3]PRIORIZADOS!$A:$R,18,FALSE)),"")</f>
        <v>El calendario escolar, jornada escolar, la intensidad horaria mínima anual en cada nivel se encuentra de acuerdo con lo previsto en la normatividad vigente.</v>
      </c>
      <c r="S365" s="11" t="str">
        <f>IFERROR(IF(VLOOKUP(A365,[3]PRIORIZADOS!$A:$S,19,FALSE)="","",VLOOKUP(A365,[3]PRIORIZADOS!$A:$S,19,FALSE)),"")</f>
        <v>Implementar el calendario conforme lo definido</v>
      </c>
      <c r="T365" s="70" t="str">
        <f>IFERROR(IF(VLOOKUP(A365,[3]PRIORIZADOS!$A:$T,20,FALSE)="","",VLOOKUP(A365,[3]PRIORIZADOS!$A:$T,20,FALSE)),"")</f>
        <v>No</v>
      </c>
      <c r="U365" s="11" t="str">
        <f>IFERROR(IF(VLOOKUP(A365,[3]PRIORIZADOS!$A:$U,21,FALSE)="","",VLOOKUP(A365,[3]PRIORIZADOS!$A:$U,21,FALSE)),"")</f>
        <v>Se atenderá las orientaciones que requiera la IE en este tema.</v>
      </c>
    </row>
    <row r="366" spans="1:21" s="1" customFormat="1" ht="48">
      <c r="A366" s="69">
        <f>IF([3]PRIORIZADOS!A177="","",[3]PRIORIZADOS!A177)</f>
        <v>372</v>
      </c>
      <c r="B366" s="70">
        <f>IFERROR(IF(VLOOKUP(A366,[3]PRIORIZADOS!$A:$B,2,FALSE)="","",VLOOKUP(A366,[3]PRIORIZADOS!$A:$B,2,FALSE)),"")</f>
        <v>19</v>
      </c>
      <c r="C366" s="11" t="str">
        <f>IFERROR(IF(VLOOKUP(A366,[3]PRIORIZADOS!$A:$C,3,FALSE)="","",VLOOKUP(A366,[3]PRIORIZADOS!$A:$C,3,FALSE)),"")</f>
        <v>BOSA</v>
      </c>
      <c r="D366" s="11" t="str">
        <f>IFERROR(IF(VLOOKUP(A366,[3]PRIORIZADOS!$A:$D,4,FALSE)="","",VLOOKUP(A366,[3]PRIORIZADOS!$A:$D,4,FALSE)),"")</f>
        <v>PRIVADO</v>
      </c>
      <c r="E366" s="11" t="str">
        <f>IFERROR(IF(VLOOKUP(A366,[3]PRIORIZADOS!$A:$E,5,FALSE)="","",VLOOKUP(A366,[3]PRIORIZADOS!$A:$E,5,FALSE)),"")</f>
        <v>EPBM</v>
      </c>
      <c r="F366" s="11" t="str">
        <f>IFERROR(IF(VLOOKUP(A366,[3]PRIORIZADOS!$A:$F,6,FALSE)="","",VLOOKUP(A366,[3]PRIORIZADOS!$A:$F,6,FALSE)),"")</f>
        <v>LICEO_MODERNO_BETANIA</v>
      </c>
      <c r="G366" s="11" t="str">
        <f>IFERROR(IF(VLOOKUP(A366,[3]PRIORIZADOS!$A:$G,7,FALSE)="","",VLOOKUP(A366,[3]PRIORIZADOS!$A:$G,7,FALSE)),"")</f>
        <v>LICEO MODERNO BETANIA</v>
      </c>
      <c r="H366" s="11" t="str">
        <f>IFERROR(IF(VLOOKUP(A366,[3]PRIORIZADOS!$A:$H,8,FALSE)="","",VLOOKUP(A366,[3]PRIORIZADOS!$A:$H,8,FALSE)),"")</f>
        <v>Autoevaluación Institucional y Pruebas SABER 11</v>
      </c>
      <c r="I366" s="11" t="str">
        <f>IFERROR(IF(VLOOKUP(A366,[3]PRIORIZADOS!$A:$I,9,FALSE)="","",VLOOKUP(A366,[3]PRIORIZADOS!$A:$I,9,FALSE)),"")</f>
        <v>EVALUACIÓN_CON_FINES_DE_MEJORAMIENTO.</v>
      </c>
      <c r="J366" s="11" t="str">
        <f>IFERROR(IF(VLOOKUP(A366,[3]PRIORIZADOS!$A:$J,10,FALSE)="","",VLOOKUP(A366,[3]PRIORIZADOS!$A:$J,10,FALSE)),"")</f>
        <v>Verificar el funcionamiento del Gobierno Escolar e instancias de participación con base en la información sobre conformación reportada por la institución educativa.</v>
      </c>
      <c r="K366" s="11" t="str">
        <f>IFERROR(IF(VLOOKUP(A366,[3]PRIORIZADOS!$A:$K,11,FALSE)="","",VLOOKUP(A366,[3]PRIORIZADOS!$A:$K,11,FALSE)),"")</f>
        <v>JULIÁN FELIPE BERNAL GARZÓN</v>
      </c>
      <c r="L366" s="11" t="str">
        <f>IFERROR(IF(VLOOKUP(A366,[3]PRIORIZADOS!$A:$L,12,FALSE)="","",VLOOKUP(A366,[3]PRIORIZADOS!$A:$L,12,FALSE)),"")</f>
        <v>ANA ANDREA VARGAS GONZÁLEZ</v>
      </c>
      <c r="M366" s="71">
        <f>IFERROR(IF(VLOOKUP(A366,[3]PRIORIZADOS!$A:$M,13,FALSE)="","",VLOOKUP(A366,[3]PRIORIZADOS!$A:$M,13,FALSE)),"")</f>
        <v>45855</v>
      </c>
      <c r="N366" s="71">
        <f>IFERROR(IF(VLOOKUP(A366,[3]PRIORIZADOS!$A:$N,14,FALSE)="","",VLOOKUP(A366,[3]PRIORIZADOS!$A:$N,14,FALSE)),"")</f>
        <v>45855</v>
      </c>
      <c r="O366" s="71">
        <f>IFERROR(IF(VLOOKUP(A366,[3]PRIORIZADOS!$A:$O,15,FALSE)="","",VLOOKUP(A366,[3]PRIORIZADOS!$A:$O,15,FALSE)),"")</f>
        <v>45855</v>
      </c>
      <c r="P366" s="11" t="str">
        <f>IFERROR(IF(VLOOKUP(A366,[3]PRIORIZADOS!$A:$P,16,FALSE)="","",VLOOKUP(A366,[3]PRIORIZADOS!$A:$P,16,FALSE)),"")</f>
        <v>Visitas de evaluación con fines de mejoramiento</v>
      </c>
      <c r="Q366" s="5" t="s">
        <v>70</v>
      </c>
      <c r="R366" s="11" t="str">
        <f>IFERROR(IF(VLOOKUP(A366,[3]PRIORIZADOS!$A:$R,18,FALSE)="","",VLOOKUP(A366,[3]PRIORIZADOS!$A:$R,18,FALSE)),"")</f>
        <v>Se evidencia que están funcionando conforme a la normativa vigente.</v>
      </c>
      <c r="S366" s="11" t="str">
        <f>IFERROR(IF(VLOOKUP(A366,[3]PRIORIZADOS!$A:$S,19,FALSE)="","",VLOOKUP(A366,[3]PRIORIZADOS!$A:$S,19,FALSE)),"")</f>
        <v>Continuar operando conforme funciones y reglamentos.</v>
      </c>
      <c r="T366" s="70" t="str">
        <f>IFERROR(IF(VLOOKUP(A366,[3]PRIORIZADOS!$A:$T,20,FALSE)="","",VLOOKUP(A366,[3]PRIORIZADOS!$A:$T,20,FALSE)),"")</f>
        <v>No</v>
      </c>
      <c r="U366" s="11" t="str">
        <f>IFERROR(IF(VLOOKUP(A366,[3]PRIORIZADOS!$A:$U,21,FALSE)="","",VLOOKUP(A366,[3]PRIORIZADOS!$A:$U,21,FALSE)),"")</f>
        <v>Verificar la conformación del Gobierno Escolar e instancias para la vigencia 2026 o antes si la IE lo requiere o se presenta solicitud o queja.</v>
      </c>
    </row>
    <row r="367" spans="1:21" s="1" customFormat="1" ht="60">
      <c r="A367" s="69">
        <f>IF([3]PRIORIZADOS!A178="","",[3]PRIORIZADOS!A178)</f>
        <v>373</v>
      </c>
      <c r="B367" s="70">
        <f>IFERROR(IF(VLOOKUP(A367,[3]PRIORIZADOS!$A:$B,2,FALSE)="","",VLOOKUP(A367,[3]PRIORIZADOS!$A:$B,2,FALSE)),"")</f>
        <v>19</v>
      </c>
      <c r="C367" s="11" t="str">
        <f>IFERROR(IF(VLOOKUP(A367,[3]PRIORIZADOS!$A:$C,3,FALSE)="","",VLOOKUP(A367,[3]PRIORIZADOS!$A:$C,3,FALSE)),"")</f>
        <v>BOSA</v>
      </c>
      <c r="D367" s="11" t="str">
        <f>IFERROR(IF(VLOOKUP(A367,[3]PRIORIZADOS!$A:$D,4,FALSE)="","",VLOOKUP(A367,[3]PRIORIZADOS!$A:$D,4,FALSE)),"")</f>
        <v>PRIVADO</v>
      </c>
      <c r="E367" s="11" t="str">
        <f>IFERROR(IF(VLOOKUP(A367,[3]PRIORIZADOS!$A:$E,5,FALSE)="","",VLOOKUP(A367,[3]PRIORIZADOS!$A:$E,5,FALSE)),"")</f>
        <v>EPBM</v>
      </c>
      <c r="F367" s="11" t="str">
        <f>IFERROR(IF(VLOOKUP(A367,[3]PRIORIZADOS!$A:$F,6,FALSE)="","",VLOOKUP(A367,[3]PRIORIZADOS!$A:$F,6,FALSE)),"")</f>
        <v>LICEO_MODERNO_BETANIA</v>
      </c>
      <c r="G367" s="11" t="str">
        <f>IFERROR(IF(VLOOKUP(A367,[3]PRIORIZADOS!$A:$G,7,FALSE)="","",VLOOKUP(A367,[3]PRIORIZADOS!$A:$G,7,FALSE)),"")</f>
        <v>LICEO MODERNO BETANIA</v>
      </c>
      <c r="H367" s="11" t="str">
        <f>IFERROR(IF(VLOOKUP(A367,[3]PRIORIZADOS!$A:$H,8,FALSE)="","",VLOOKUP(A367,[3]PRIORIZADOS!$A:$H,8,FALSE)),"")</f>
        <v>Autoevaluación Institucional y Pruebas SABER 11</v>
      </c>
      <c r="I367" s="11" t="str">
        <f>IFERROR(IF(VLOOKUP(A367,[3]PRIORIZADOS!$A:$I,9,FALSE)="","",VLOOKUP(A367,[3]PRIORIZADOS!$A:$I,9,FALSE)),"")</f>
        <v>EVALUACIÓN_CON_FINES_DE_MEJORAMIENTO.</v>
      </c>
      <c r="J367" s="11" t="str">
        <f>IFERROR(IF(VLOOKUP(A367,[3]PRIORIZADOS!$A:$J,10,FALSE)="","",VLOOKUP(A367,[3]PRIORIZADOS!$A:$J,10,FALSE)),"")</f>
        <v>Verificar las condiciones en cuanto a: la estructura administrativa, condiciones de la planta física y medios educativos adecuados.</v>
      </c>
      <c r="K367" s="11" t="str">
        <f>IFERROR(IF(VLOOKUP(A367,[3]PRIORIZADOS!$A:$K,11,FALSE)="","",VLOOKUP(A367,[3]PRIORIZADOS!$A:$K,11,FALSE)),"")</f>
        <v>JULIÁN FELIPE BERNAL GARZÓN</v>
      </c>
      <c r="L367" s="11" t="str">
        <f>IFERROR(IF(VLOOKUP(A367,[3]PRIORIZADOS!$A:$L,12,FALSE)="","",VLOOKUP(A367,[3]PRIORIZADOS!$A:$L,12,FALSE)),"")</f>
        <v>ANA ANDREA VARGAS GONZÁLEZ</v>
      </c>
      <c r="M367" s="71">
        <f>IFERROR(IF(VLOOKUP(A367,[3]PRIORIZADOS!$A:$M,13,FALSE)="","",VLOOKUP(A367,[3]PRIORIZADOS!$A:$M,13,FALSE)),"")</f>
        <v>45855</v>
      </c>
      <c r="N367" s="71">
        <f>IFERROR(IF(VLOOKUP(A367,[3]PRIORIZADOS!$A:$N,14,FALSE)="","",VLOOKUP(A367,[3]PRIORIZADOS!$A:$N,14,FALSE)),"")</f>
        <v>45855</v>
      </c>
      <c r="O367" s="71">
        <f>IFERROR(IF(VLOOKUP(A367,[3]PRIORIZADOS!$A:$O,15,FALSE)="","",VLOOKUP(A367,[3]PRIORIZADOS!$A:$O,15,FALSE)),"")</f>
        <v>45855</v>
      </c>
      <c r="P367" s="11" t="str">
        <f>IFERROR(IF(VLOOKUP(A367,[3]PRIORIZADOS!$A:$P,16,FALSE)="","",VLOOKUP(A367,[3]PRIORIZADOS!$A:$P,16,FALSE)),"")</f>
        <v>Visitas de evaluación con fines de mejoramiento</v>
      </c>
      <c r="Q367" s="5" t="s">
        <v>70</v>
      </c>
      <c r="R367" s="11" t="str">
        <f>IFERROR(IF(VLOOKUP(A367,[3]PRIORIZADOS!$A:$R,18,FALSE)="","",VLOOKUP(A367,[3]PRIORIZADOS!$A:$R,18,FALSE)),"")</f>
        <v>Se realiza un recorrido en las instalaciones de la IE, verificando las condiciones en cuanto a: la estructura administrativa, condiciones de la planta física y medios educativos adecuados.</v>
      </c>
      <c r="S367" s="11" t="str">
        <f>IFERROR(IF(VLOOKUP(A367,[3]PRIORIZADOS!$A:$S,19,FALSE)="","",VLOOKUP(A367,[3]PRIORIZADOS!$A:$S,19,FALSE)),"")</f>
        <v>Se recomienda actualizar el mobiliario más antiguo y enviar la autorización que obtenga de la IDRD a la SED, para actualización definitiva y uso del parque Betania.</v>
      </c>
      <c r="T367" s="70" t="str">
        <f>IFERROR(IF(VLOOKUP(A367,[3]PRIORIZADOS!$A:$T,20,FALSE)="","",VLOOKUP(A367,[3]PRIORIZADOS!$A:$T,20,FALSE)),"")</f>
        <v>No</v>
      </c>
      <c r="U367" s="11" t="str">
        <f>IFERROR(IF(VLOOKUP(A367,[3]PRIORIZADOS!$A:$U,21,FALSE)="","",VLOOKUP(A367,[3]PRIORIZADOS!$A:$U,21,FALSE)),"")</f>
        <v>Verificar la autorización o no sobre el uso del espacio público.</v>
      </c>
    </row>
    <row r="368" spans="1:21" s="1" customFormat="1" ht="60">
      <c r="A368" s="69">
        <f>IF([3]PRIORIZADOS!A179="","",[3]PRIORIZADOS!A179)</f>
        <v>374</v>
      </c>
      <c r="B368" s="70">
        <f>IFERROR(IF(VLOOKUP(A368,[3]PRIORIZADOS!$A:$B,2,FALSE)="","",VLOOKUP(A368,[3]PRIORIZADOS!$A:$B,2,FALSE)),"")</f>
        <v>20</v>
      </c>
      <c r="C368" s="11" t="str">
        <f>IFERROR(IF(VLOOKUP(A368,[3]PRIORIZADOS!$A:$C,3,FALSE)="","",VLOOKUP(A368,[3]PRIORIZADOS!$A:$C,3,FALSE)),"")</f>
        <v>BOSA</v>
      </c>
      <c r="D368" s="11" t="str">
        <f>IFERROR(IF(VLOOKUP(A368,[3]PRIORIZADOS!$A:$D,4,FALSE)="","",VLOOKUP(A368,[3]PRIORIZADOS!$A:$D,4,FALSE)),"")</f>
        <v>PRIVADO</v>
      </c>
      <c r="E368" s="11" t="str">
        <f>IFERROR(IF(VLOOKUP(A368,[3]PRIORIZADOS!$A:$E,5,FALSE)="","",VLOOKUP(A368,[3]PRIORIZADOS!$A:$E,5,FALSE)),"")</f>
        <v>EPBM</v>
      </c>
      <c r="F368" s="11" t="str">
        <f>IFERROR(IF(VLOOKUP(A368,[3]PRIORIZADOS!$A:$F,6,FALSE)="","",VLOOKUP(A368,[3]PRIORIZADOS!$A:$F,6,FALSE)),"")</f>
        <v>LICEO_OCTAVIO_PAZ</v>
      </c>
      <c r="G368" s="11" t="str">
        <f>IFERROR(IF(VLOOKUP(A368,[3]PRIORIZADOS!$A:$G,7,FALSE)="","",VLOOKUP(A368,[3]PRIORIZADOS!$A:$G,7,FALSE)),"")</f>
        <v>LICEO OCTAVIO PAZ</v>
      </c>
      <c r="H368" s="11" t="str">
        <f>IFERROR(IF(VLOOKUP(A368,[3]PRIORIZADOS!$A:$H,8,FALSE)="","",VLOOKUP(A368,[3]PRIORIZADOS!$A:$H,8,FALSE)),"")</f>
        <v>Autoevaluación Institucional y Pruebas SABER 11</v>
      </c>
      <c r="I368" s="11" t="str">
        <f>IFERROR(IF(VLOOKUP(A368,[3]PRIORIZADOS!$A:$I,9,FALSE)="","",VLOOKUP(A368,[3]PRIORIZADOS!$A:$I,9,FALSE)),"")</f>
        <v>SEGUIMIENTO_Y_SUPERVISIÓN.</v>
      </c>
      <c r="J368" s="11" t="str">
        <f>IFERROR(IF(VLOOKUP(A368,[3]PRIORIZADOS!$A:$J,10,FALSE)="","",VLOOKUP(A368,[3]PRIORIZADOS!$A:$J,10,FALSE)),"")</f>
        <v>Realizar visitas para verificar la información registrada sobre la autoevaluación institucional en el aplicativo EVI, a los establecimientos de educación formal no oficial.</v>
      </c>
      <c r="K368" s="11" t="str">
        <f>IFERROR(IF(VLOOKUP(A368,[3]PRIORIZADOS!$A:$K,11,FALSE)="","",VLOOKUP(A368,[3]PRIORIZADOS!$A:$K,11,FALSE)),"")</f>
        <v>ESTEFANY PEÑA GARCIA</v>
      </c>
      <c r="L368" s="11" t="str">
        <f>IFERROR(IF(VLOOKUP(A368,[3]PRIORIZADOS!$A:$L,12,FALSE)="","",VLOOKUP(A368,[3]PRIORIZADOS!$A:$L,12,FALSE)),"")</f>
        <v>JULIÁN FELIPE BERNAL GARZÓN</v>
      </c>
      <c r="M368" s="71">
        <f>IFERROR(IF(VLOOKUP(A368,[3]PRIORIZADOS!$A:$M,13,FALSE)="","",VLOOKUP(A368,[3]PRIORIZADOS!$A:$M,13,FALSE)),"")</f>
        <v>45860</v>
      </c>
      <c r="N368" s="71">
        <f>IFERROR(IF(VLOOKUP(A368,[3]PRIORIZADOS!$A:$N,14,FALSE)="","",VLOOKUP(A368,[3]PRIORIZADOS!$A:$N,14,FALSE)),"")</f>
        <v>45860</v>
      </c>
      <c r="O368" s="71">
        <f>IFERROR(IF(VLOOKUP(A368,[3]PRIORIZADOS!$A:$O,15,FALSE)="","",VLOOKUP(A368,[3]PRIORIZADOS!$A:$O,15,FALSE)),"")</f>
        <v>45860</v>
      </c>
      <c r="P368" s="11" t="str">
        <f>IFERROR(IF(VLOOKUP(A368,[3]PRIORIZADOS!$A:$P,16,FALSE)="","",VLOOKUP(A368,[3]PRIORIZADOS!$A:$P,16,FALSE)),"")</f>
        <v>Visitas de evaluación con fines de mejoramiento</v>
      </c>
      <c r="Q368" s="124" t="s">
        <v>71</v>
      </c>
      <c r="R368" s="11" t="str">
        <f>IFERROR(IF(VLOOKUP(A368,[3]PRIORIZADOS!$A:$R,18,FALSE)="","",VLOOKUP(A368,[3]PRIORIZADOS!$A:$R,18,FALSE)),"")</f>
        <v>La información consignada en la Plataforma EVI relacionada con los indicadores de: planta física, dotación de espacios y calendario académico coincide con lo verificado en campo</v>
      </c>
      <c r="S368" s="11" t="str">
        <f>IFERROR(IF(VLOOKUP(A368,[3]PRIORIZADOS!$A:$S,19,FALSE)="","",VLOOKUP(A368,[3]PRIORIZADOS!$A:$S,19,FALSE)),"")</f>
        <v xml:space="preserve">Se concluye que la IE realizará su autoevalución institucional en el mes octubre.  </v>
      </c>
      <c r="T368" s="70" t="str">
        <f>IFERROR(IF(VLOOKUP(A368,[3]PRIORIZADOS!$A:$T,20,FALSE)="","",VLOOKUP(A368,[3]PRIORIZADOS!$A:$T,20,FALSE)),"")</f>
        <v>No</v>
      </c>
      <c r="U368" s="11" t="str">
        <f>IFERROR(IF(VLOOKUP(A368,[3]PRIORIZADOS!$A:$U,21,FALSE)="","",VLOOKUP(A368,[3]PRIORIZADOS!$A:$U,21,FALSE)),"")</f>
        <v>Se verificará la información cargada por la IE en el aplicativo EVI de la autoevaluación,  para la emisión del concepto de tarifas 2026</v>
      </c>
    </row>
    <row r="369" spans="1:21" s="1" customFormat="1" ht="60">
      <c r="A369" s="69">
        <f>IF([3]PRIORIZADOS!A180="","",[3]PRIORIZADOS!A180)</f>
        <v>375</v>
      </c>
      <c r="B369" s="70">
        <f>IFERROR(IF(VLOOKUP(A369,[3]PRIORIZADOS!$A:$B,2,FALSE)="","",VLOOKUP(A369,[3]PRIORIZADOS!$A:$B,2,FALSE)),"")</f>
        <v>20</v>
      </c>
      <c r="C369" s="11" t="str">
        <f>IFERROR(IF(VLOOKUP(A369,[3]PRIORIZADOS!$A:$C,3,FALSE)="","",VLOOKUP(A369,[3]PRIORIZADOS!$A:$C,3,FALSE)),"")</f>
        <v>BOSA</v>
      </c>
      <c r="D369" s="11" t="str">
        <f>IFERROR(IF(VLOOKUP(A369,[3]PRIORIZADOS!$A:$D,4,FALSE)="","",VLOOKUP(A369,[3]PRIORIZADOS!$A:$D,4,FALSE)),"")</f>
        <v>PRIVADO</v>
      </c>
      <c r="E369" s="11" t="str">
        <f>IFERROR(IF(VLOOKUP(A369,[3]PRIORIZADOS!$A:$E,5,FALSE)="","",VLOOKUP(A369,[3]PRIORIZADOS!$A:$E,5,FALSE)),"")</f>
        <v>EPBM</v>
      </c>
      <c r="F369" s="11" t="str">
        <f>IFERROR(IF(VLOOKUP(A369,[3]PRIORIZADOS!$A:$F,6,FALSE)="","",VLOOKUP(A369,[3]PRIORIZADOS!$A:$F,6,FALSE)),"")</f>
        <v>LICEO_OCTAVIO_PAZ</v>
      </c>
      <c r="G369" s="11" t="str">
        <f>IFERROR(IF(VLOOKUP(A369,[3]PRIORIZADOS!$A:$G,7,FALSE)="","",VLOOKUP(A369,[3]PRIORIZADOS!$A:$G,7,FALSE)),"")</f>
        <v>LICEO OCTAVIO PAZ</v>
      </c>
      <c r="H369" s="11" t="str">
        <f>IFERROR(IF(VLOOKUP(A369,[3]PRIORIZADOS!$A:$H,8,FALSE)="","",VLOOKUP(A369,[3]PRIORIZADOS!$A:$H,8,FALSE)),"")</f>
        <v>Autoevaluación Institucional y Pruebas SABER 11</v>
      </c>
      <c r="I369" s="11" t="str">
        <f>IFERROR(IF(VLOOKUP(A369,[3]PRIORIZADOS!$A:$I,9,FALSE)="","",VLOOKUP(A369,[3]PRIORIZADOS!$A:$I,9,FALSE)),"")</f>
        <v>SEGUIMIENTO_Y_SUPERVISIÓN.</v>
      </c>
      <c r="J369" s="11" t="str">
        <f>IFERROR(IF(VLOOKUP(A369,[3]PRIORIZADOS!$A:$J,10,FALSE)="","",VLOOKUP(A369,[3]PRIORIZADOS!$A:$J,10,FALSE)),"")</f>
        <v>Proponer estrategias en la formulación, verificar su elaboración y realizar seguimiento semestral al desarrollo de  las acciones establecidas en los planes de mejoramiento por pruebas SABER 11 de los establecimientos de educación formal.</v>
      </c>
      <c r="K369" s="11" t="str">
        <f>IFERROR(IF(VLOOKUP(A369,[3]PRIORIZADOS!$A:$K,11,FALSE)="","",VLOOKUP(A369,[3]PRIORIZADOS!$A:$K,11,FALSE)),"")</f>
        <v>ESTEFANY PEÑA GARCIA</v>
      </c>
      <c r="L369" s="11" t="str">
        <f>IFERROR(IF(VLOOKUP(A369,[3]PRIORIZADOS!$A:$L,12,FALSE)="","",VLOOKUP(A369,[3]PRIORIZADOS!$A:$L,12,FALSE)),"")</f>
        <v>JULIÁN FELIPE BERNAL GARZÓN</v>
      </c>
      <c r="M369" s="71">
        <f>IFERROR(IF(VLOOKUP(A369,[3]PRIORIZADOS!$A:$M,13,FALSE)="","",VLOOKUP(A369,[3]PRIORIZADOS!$A:$M,13,FALSE)),"")</f>
        <v>45860</v>
      </c>
      <c r="N369" s="71">
        <f>IFERROR(IF(VLOOKUP(A369,[3]PRIORIZADOS!$A:$N,14,FALSE)="","",VLOOKUP(A369,[3]PRIORIZADOS!$A:$N,14,FALSE)),"")</f>
        <v>45860</v>
      </c>
      <c r="O369" s="71">
        <f>IFERROR(IF(VLOOKUP(A369,[3]PRIORIZADOS!$A:$O,15,FALSE)="","",VLOOKUP(A369,[3]PRIORIZADOS!$A:$O,15,FALSE)),"")</f>
        <v>45860</v>
      </c>
      <c r="P369" s="11" t="str">
        <f>IFERROR(IF(VLOOKUP(A369,[3]PRIORIZADOS!$A:$P,16,FALSE)="","",VLOOKUP(A369,[3]PRIORIZADOS!$A:$P,16,FALSE)),"")</f>
        <v>Visitas de evaluación con fines de mejoramiento</v>
      </c>
      <c r="Q369" s="124" t="s">
        <v>71</v>
      </c>
      <c r="R369" s="11" t="str">
        <f>IFERROR(IF(VLOOKUP(A369,[3]PRIORIZADOS!$A:$R,18,FALSE)="","",VLOOKUP(A369,[3]PRIORIZADOS!$A:$R,18,FALSE)),"")</f>
        <v>Se adelanta la revisión de los Resultados de las Pruebas Saber 11, encontrando que la IE se encuentra en Categoría A</v>
      </c>
      <c r="S369" s="11" t="str">
        <f>IFERROR(IF(VLOOKUP(A369,[3]PRIORIZADOS!$A:$S,19,FALSE)="","",VLOOKUP(A369,[3]PRIORIZADOS!$A:$S,19,FALSE)),"")</f>
        <v>Se aporta documento que la Institución educativa que compara diferentes vigencias y la mejora anual hasta llegar a la categoría A  en los resultados 2024</v>
      </c>
      <c r="T369" s="70" t="str">
        <f>IFERROR(IF(VLOOKUP(A369,[3]PRIORIZADOS!$A:$T,20,FALSE)="","",VLOOKUP(A369,[3]PRIORIZADOS!$A:$T,20,FALSE)),"")</f>
        <v>No</v>
      </c>
      <c r="U369" s="11" t="str">
        <f>IFERROR(IF(VLOOKUP(A369,[3]PRIORIZADOS!$A:$U,21,FALSE)="","",VLOOKUP(A369,[3]PRIORIZADOS!$A:$U,21,FALSE)),"")</f>
        <v>Se acordó revisar nuevamente el documento en el mes de agosto de 2025 y generar espacios de asesoría, conforme lo requiera la IE</v>
      </c>
    </row>
    <row r="370" spans="1:21" s="1" customFormat="1" ht="72">
      <c r="A370" s="69">
        <f>IF([3]PRIORIZADOS!A181="","",[3]PRIORIZADOS!A181)</f>
        <v>376</v>
      </c>
      <c r="B370" s="70">
        <f>IFERROR(IF(VLOOKUP(A370,[3]PRIORIZADOS!$A:$B,2,FALSE)="","",VLOOKUP(A370,[3]PRIORIZADOS!$A:$B,2,FALSE)),"")</f>
        <v>20</v>
      </c>
      <c r="C370" s="11" t="str">
        <f>IFERROR(IF(VLOOKUP(A370,[3]PRIORIZADOS!$A:$C,3,FALSE)="","",VLOOKUP(A370,[3]PRIORIZADOS!$A:$C,3,FALSE)),"")</f>
        <v>BOSA</v>
      </c>
      <c r="D370" s="11" t="str">
        <f>IFERROR(IF(VLOOKUP(A370,[3]PRIORIZADOS!$A:$D,4,FALSE)="","",VLOOKUP(A370,[3]PRIORIZADOS!$A:$D,4,FALSE)),"")</f>
        <v>PRIVADO</v>
      </c>
      <c r="E370" s="11" t="str">
        <f>IFERROR(IF(VLOOKUP(A370,[3]PRIORIZADOS!$A:$E,5,FALSE)="","",VLOOKUP(A370,[3]PRIORIZADOS!$A:$E,5,FALSE)),"")</f>
        <v>EPBM</v>
      </c>
      <c r="F370" s="11" t="str">
        <f>IFERROR(IF(VLOOKUP(A370,[3]PRIORIZADOS!$A:$F,6,FALSE)="","",VLOOKUP(A370,[3]PRIORIZADOS!$A:$F,6,FALSE)),"")</f>
        <v>LICEO_OCTAVIO_PAZ</v>
      </c>
      <c r="G370" s="11" t="str">
        <f>IFERROR(IF(VLOOKUP(A370,[3]PRIORIZADOS!$A:$G,7,FALSE)="","",VLOOKUP(A370,[3]PRIORIZADOS!$A:$G,7,FALSE)),"")</f>
        <v>LICEO OCTAVIO PAZ</v>
      </c>
      <c r="H370" s="11" t="str">
        <f>IFERROR(IF(VLOOKUP(A370,[3]PRIORIZADOS!$A:$H,8,FALSE)="","",VLOOKUP(A370,[3]PRIORIZADOS!$A:$H,8,FALSE)),"")</f>
        <v>Autoevaluación Institucional y Pruebas SABER 11</v>
      </c>
      <c r="I370" s="11" t="str">
        <f>IFERROR(IF(VLOOKUP(A370,[3]PRIORIZADOS!$A:$I,9,FALSE)="","",VLOOKUP(A370,[3]PRIORIZADOS!$A:$I,9,FALSE)),"")</f>
        <v>SEGUIMIENTO_Y_SUPERVISIÓN.</v>
      </c>
      <c r="J370" s="11" t="str">
        <f>IFERROR(IF(VLOOKUP(A370,[3]PRIORIZADOS!$A:$J,10,FALSE)="","",VLOOKUP(A370,[3]PRIORIZADOS!$A:$J,10,FALSE)),"")</f>
        <v xml:space="preserve">Verificar la implementación por parte de los colegios, de acciones realizadas para la prevención y atención de las situaciones de convivencia en el entorno escolar, según lo establecido en la Directiva 01 de 2022 del MEN. </v>
      </c>
      <c r="K370" s="11" t="str">
        <f>IFERROR(IF(VLOOKUP(A370,[3]PRIORIZADOS!$A:$K,11,FALSE)="","",VLOOKUP(A370,[3]PRIORIZADOS!$A:$K,11,FALSE)),"")</f>
        <v>ESTEFANY PEÑA GARCIA</v>
      </c>
      <c r="L370" s="11" t="str">
        <f>IFERROR(IF(VLOOKUP(A370,[3]PRIORIZADOS!$A:$L,12,FALSE)="","",VLOOKUP(A370,[3]PRIORIZADOS!$A:$L,12,FALSE)),"")</f>
        <v>JULIÁN FELIPE BERNAL GARZÓN</v>
      </c>
      <c r="M370" s="71">
        <f>IFERROR(IF(VLOOKUP(A370,[3]PRIORIZADOS!$A:$M,13,FALSE)="","",VLOOKUP(A370,[3]PRIORIZADOS!$A:$M,13,FALSE)),"")</f>
        <v>45860</v>
      </c>
      <c r="N370" s="71">
        <f>IFERROR(IF(VLOOKUP(A370,[3]PRIORIZADOS!$A:$N,14,FALSE)="","",VLOOKUP(A370,[3]PRIORIZADOS!$A:$N,14,FALSE)),"")</f>
        <v>45860</v>
      </c>
      <c r="O370" s="71">
        <f>IFERROR(IF(VLOOKUP(A370,[3]PRIORIZADOS!$A:$O,15,FALSE)="","",VLOOKUP(A370,[3]PRIORIZADOS!$A:$O,15,FALSE)),"")</f>
        <v>45860</v>
      </c>
      <c r="P370" s="11" t="str">
        <f>IFERROR(IF(VLOOKUP(A370,[3]PRIORIZADOS!$A:$P,16,FALSE)="","",VLOOKUP(A370,[3]PRIORIZADOS!$A:$P,16,FALSE)),"")</f>
        <v>Visitas de evaluación con fines de mejoramiento</v>
      </c>
      <c r="Q370" s="124" t="s">
        <v>71</v>
      </c>
      <c r="R370" s="11" t="str">
        <f>IFERROR(IF(VLOOKUP(A370,[3]PRIORIZADOS!$A:$R,18,FALSE)="","",VLOOKUP(A370,[3]PRIORIZADOS!$A:$R,18,FALSE)),"")</f>
        <v>Se verifica la implementación de acciones  realizadas para la prevención como lo es la verificación de inhabilidades por delitos sexuales en el sistema de la Policía Nacional.</v>
      </c>
      <c r="S370" s="11" t="str">
        <f>IFERROR(IF(VLOOKUP(A370,[3]PRIORIZADOS!$A:$S,19,FALSE)="","",VLOOKUP(A370,[3]PRIORIZADOS!$A:$S,19,FALSE)),"")</f>
        <v>Como acción de verificación se solicita implementar  la autorización de directivos, docentes y administrativos para las consultas de antecedentes en los sistemas que se requieran al momento de la vinculación</v>
      </c>
      <c r="T370" s="70" t="str">
        <f>IFERROR(IF(VLOOKUP(A370,[3]PRIORIZADOS!$A:$T,20,FALSE)="","",VLOOKUP(A370,[3]PRIORIZADOS!$A:$T,20,FALSE)),"")</f>
        <v>No</v>
      </c>
      <c r="U370" s="11" t="str">
        <f>IFERROR(IF(VLOOKUP(A370,[3]PRIORIZADOS!$A:$U,21,FALSE)="","",VLOOKUP(A370,[3]PRIORIZADOS!$A:$U,21,FALSE)),"")</f>
        <v>Verificar que la IE cuente con las respectivas autorizaciones para las consultas de antedecentes del personal vinculado.</v>
      </c>
    </row>
    <row r="371" spans="1:21" s="1" customFormat="1" ht="107.25">
      <c r="A371" s="69">
        <f>IF([3]PRIORIZADOS!A182="","",[3]PRIORIZADOS!A182)</f>
        <v>377</v>
      </c>
      <c r="B371" s="70">
        <f>IFERROR(IF(VLOOKUP(A371,[3]PRIORIZADOS!$A:$B,2,FALSE)="","",VLOOKUP(A371,[3]PRIORIZADOS!$A:$B,2,FALSE)),"")</f>
        <v>20</v>
      </c>
      <c r="C371" s="11" t="str">
        <f>IFERROR(IF(VLOOKUP(A371,[3]PRIORIZADOS!$A:$C,3,FALSE)="","",VLOOKUP(A371,[3]PRIORIZADOS!$A:$C,3,FALSE)),"")</f>
        <v>BOSA</v>
      </c>
      <c r="D371" s="11" t="str">
        <f>IFERROR(IF(VLOOKUP(A371,[3]PRIORIZADOS!$A:$D,4,FALSE)="","",VLOOKUP(A371,[3]PRIORIZADOS!$A:$D,4,FALSE)),"")</f>
        <v>PRIVADO</v>
      </c>
      <c r="E371" s="11" t="str">
        <f>IFERROR(IF(VLOOKUP(A371,[3]PRIORIZADOS!$A:$E,5,FALSE)="","",VLOOKUP(A371,[3]PRIORIZADOS!$A:$E,5,FALSE)),"")</f>
        <v>EPBM</v>
      </c>
      <c r="F371" s="11" t="str">
        <f>IFERROR(IF(VLOOKUP(A371,[3]PRIORIZADOS!$A:$F,6,FALSE)="","",VLOOKUP(A371,[3]PRIORIZADOS!$A:$F,6,FALSE)),"")</f>
        <v>LICEO_OCTAVIO_PAZ</v>
      </c>
      <c r="G371" s="11" t="str">
        <f>IFERROR(IF(VLOOKUP(A371,[3]PRIORIZADOS!$A:$G,7,FALSE)="","",VLOOKUP(A371,[3]PRIORIZADOS!$A:$G,7,FALSE)),"")</f>
        <v>LICEO OCTAVIO PAZ</v>
      </c>
      <c r="H371" s="11" t="str">
        <f>IFERROR(IF(VLOOKUP(A371,[3]PRIORIZADOS!$A:$H,8,FALSE)="","",VLOOKUP(A371,[3]PRIORIZADOS!$A:$H,8,FALSE)),"")</f>
        <v>Autoevaluación Institucional y Pruebas SABER 11</v>
      </c>
      <c r="I371" s="11" t="str">
        <f>IFERROR(IF(VLOOKUP(A371,[3]PRIORIZADOS!$A:$I,9,FALSE)="","",VLOOKUP(A371,[3]PRIORIZADOS!$A:$I,9,FALSE)),"")</f>
        <v>SEGUIMIENTO_Y_SUPERVISIÓN.</v>
      </c>
      <c r="J371" s="11" t="str">
        <f>IFERROR(IF(VLOOKUP(A371,[3]PRIORIZADOS!$A:$J,10,FALSE)="","",VLOOKUP(A371,[3]PRIORIZADOS!$A:$J,10,FALSE)),"")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71" s="11" t="str">
        <f>IFERROR(IF(VLOOKUP(A371,[3]PRIORIZADOS!$A:$K,11,FALSE)="","",VLOOKUP(A371,[3]PRIORIZADOS!$A:$K,11,FALSE)),"")</f>
        <v>ESTEFANY PEÑA GARCIA</v>
      </c>
      <c r="L371" s="11" t="str">
        <f>IFERROR(IF(VLOOKUP(A371,[3]PRIORIZADOS!$A:$L,12,FALSE)="","",VLOOKUP(A371,[3]PRIORIZADOS!$A:$L,12,FALSE)),"")</f>
        <v>JULIÁN FELIPE BERNAL GARZÓN</v>
      </c>
      <c r="M371" s="71">
        <f>IFERROR(IF(VLOOKUP(A371,[3]PRIORIZADOS!$A:$M,13,FALSE)="","",VLOOKUP(A371,[3]PRIORIZADOS!$A:$M,13,FALSE)),"")</f>
        <v>45860</v>
      </c>
      <c r="N371" s="71">
        <f>IFERROR(IF(VLOOKUP(A371,[3]PRIORIZADOS!$A:$N,14,FALSE)="","",VLOOKUP(A371,[3]PRIORIZADOS!$A:$N,14,FALSE)),"")</f>
        <v>45860</v>
      </c>
      <c r="O371" s="71">
        <f>IFERROR(IF(VLOOKUP(A371,[3]PRIORIZADOS!$A:$O,15,FALSE)="","",VLOOKUP(A371,[3]PRIORIZADOS!$A:$O,15,FALSE)),"")</f>
        <v>45860</v>
      </c>
      <c r="P371" s="11" t="str">
        <f>IFERROR(IF(VLOOKUP(A371,[3]PRIORIZADOS!$A:$P,16,FALSE)="","",VLOOKUP(A371,[3]PRIORIZADOS!$A:$P,16,FALSE)),"")</f>
        <v>Visitas de evaluación con fines de mejoramiento</v>
      </c>
      <c r="Q371" s="124" t="s">
        <v>71</v>
      </c>
      <c r="R371" s="11" t="str">
        <f>IFERROR(IF(VLOOKUP(A371,[3]PRIORIZADOS!$A:$R,18,FALSE)="","",VLOOKUP(A371,[3]PRIORIZADOS!$A:$R,18,FALSE)),"")</f>
        <v>Al revisar la Plataforma SIMAT, hay 21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71" s="11" t="str">
        <f>IFERROR(IF(VLOOKUP(A371,[3]PRIORIZADOS!$A:$S,19,FALSE)="","",VLOOKUP(A371,[3]PRIORIZADOS!$A:$S,19,FALSE)),"")</f>
        <v>La Institución Educativa se compromete a remitir el Documento Institucional del Plan Individual de Ajustes Razonables PIAR</v>
      </c>
      <c r="T371" s="70" t="str">
        <f>IFERROR(IF(VLOOKUP(A371,[3]PRIORIZADOS!$A:$T,20,FALSE)="","",VLOOKUP(A371,[3]PRIORIZADOS!$A:$T,20,FALSE)),"")</f>
        <v>No</v>
      </c>
      <c r="U371" s="11" t="str">
        <f>IFERROR(IF(VLOOKUP(A371,[3]PRIORIZADOS!$A:$U,21,FALSE)="","",VLOOKUP(A371,[3]PRIORIZADOS!$A:$U,21,FALSE)),"")</f>
        <v>Verificar la información en SIMAT</v>
      </c>
    </row>
    <row r="372" spans="1:21" s="1" customFormat="1" ht="84">
      <c r="A372" s="69">
        <f>IF([3]PRIORIZADOS!A183="","",[3]PRIORIZADOS!A183)</f>
        <v>378</v>
      </c>
      <c r="B372" s="70">
        <f>IFERROR(IF(VLOOKUP(A372,[3]PRIORIZADOS!$A:$B,2,FALSE)="","",VLOOKUP(A372,[3]PRIORIZADOS!$A:$B,2,FALSE)),"")</f>
        <v>20</v>
      </c>
      <c r="C372" s="11" t="str">
        <f>IFERROR(IF(VLOOKUP(A372,[3]PRIORIZADOS!$A:$C,3,FALSE)="","",VLOOKUP(A372,[3]PRIORIZADOS!$A:$C,3,FALSE)),"")</f>
        <v>BOSA</v>
      </c>
      <c r="D372" s="11" t="str">
        <f>IFERROR(IF(VLOOKUP(A372,[3]PRIORIZADOS!$A:$D,4,FALSE)="","",VLOOKUP(A372,[3]PRIORIZADOS!$A:$D,4,FALSE)),"")</f>
        <v>PRIVADO</v>
      </c>
      <c r="E372" s="11" t="str">
        <f>IFERROR(IF(VLOOKUP(A372,[3]PRIORIZADOS!$A:$E,5,FALSE)="","",VLOOKUP(A372,[3]PRIORIZADOS!$A:$E,5,FALSE)),"")</f>
        <v>EPBM</v>
      </c>
      <c r="F372" s="11" t="str">
        <f>IFERROR(IF(VLOOKUP(A372,[3]PRIORIZADOS!$A:$F,6,FALSE)="","",VLOOKUP(A372,[3]PRIORIZADOS!$A:$F,6,FALSE)),"")</f>
        <v>LICEO_OCTAVIO_PAZ</v>
      </c>
      <c r="G372" s="11" t="str">
        <f>IFERROR(IF(VLOOKUP(A372,[3]PRIORIZADOS!$A:$G,7,FALSE)="","",VLOOKUP(A372,[3]PRIORIZADOS!$A:$G,7,FALSE)),"")</f>
        <v>LICEO OCTAVIO PAZ</v>
      </c>
      <c r="H372" s="11" t="str">
        <f>IFERROR(IF(VLOOKUP(A372,[3]PRIORIZADOS!$A:$H,8,FALSE)="","",VLOOKUP(A372,[3]PRIORIZADOS!$A:$H,8,FALSE)),"")</f>
        <v>Autoevaluación Institucional y Pruebas SABER 11</v>
      </c>
      <c r="I372" s="11" t="str">
        <f>IFERROR(IF(VLOOKUP(A372,[3]PRIORIZADOS!$A:$I,9,FALSE)="","",VLOOKUP(A372,[3]PRIORIZADOS!$A:$I,9,FALSE)),"")</f>
        <v>EVALUACIÓN_CON_FINES_DE_MEJORAMIENTO.</v>
      </c>
      <c r="J372" s="11" t="str">
        <f>IFERROR(IF(VLOOKUP(A372,[3]PRIORIZADOS!$A:$J,10,FALSE)="","",VLOOKUP(A372,[3]PRIORIZADOS!$A:$J,10,FALSE)),"")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72" s="11" t="str">
        <f>IFERROR(IF(VLOOKUP(A372,[3]PRIORIZADOS!$A:$K,11,FALSE)="","",VLOOKUP(A372,[3]PRIORIZADOS!$A:$K,11,FALSE)),"")</f>
        <v>ESTEFANY PEÑA GARCIA</v>
      </c>
      <c r="L372" s="11" t="str">
        <f>IFERROR(IF(VLOOKUP(A372,[3]PRIORIZADOS!$A:$L,12,FALSE)="","",VLOOKUP(A372,[3]PRIORIZADOS!$A:$L,12,FALSE)),"")</f>
        <v>JULIÁN FELIPE BERNAL GARZÓN</v>
      </c>
      <c r="M372" s="71">
        <f>IFERROR(IF(VLOOKUP(A372,[3]PRIORIZADOS!$A:$M,13,FALSE)="","",VLOOKUP(A372,[3]PRIORIZADOS!$A:$M,13,FALSE)),"")</f>
        <v>45860</v>
      </c>
      <c r="N372" s="71">
        <f>IFERROR(IF(VLOOKUP(A372,[3]PRIORIZADOS!$A:$N,14,FALSE)="","",VLOOKUP(A372,[3]PRIORIZADOS!$A:$N,14,FALSE)),"")</f>
        <v>45860</v>
      </c>
      <c r="O372" s="71">
        <f>IFERROR(IF(VLOOKUP(A372,[3]PRIORIZADOS!$A:$O,15,FALSE)="","",VLOOKUP(A372,[3]PRIORIZADOS!$A:$O,15,FALSE)),"")</f>
        <v>45860</v>
      </c>
      <c r="P372" s="11" t="str">
        <f>IFERROR(IF(VLOOKUP(A372,[3]PRIORIZADOS!$A:$P,16,FALSE)="","",VLOOKUP(A372,[3]PRIORIZADOS!$A:$P,16,FALSE)),"")</f>
        <v>Visitas de evaluación con fines de mejoramiento</v>
      </c>
      <c r="Q372" s="124" t="s">
        <v>71</v>
      </c>
      <c r="R372" s="11" t="str">
        <f>IFERROR(IF(VLOOKUP(A372,[3]PRIORIZADOS!$A:$R,18,FALSE)="","",VLOOKUP(A372,[3]PRIORIZADOS!$A:$R,18,FALSE)),"")</f>
        <v>El Manual de Convivencia fue construido y adoptado de forma participativa e incluye los componentes generales, los diferentes enfoques y se encuentra conforme a lo establecido en el PEI y la normatividad vigente</v>
      </c>
      <c r="S372" s="11" t="str">
        <f>IFERROR(IF(VLOOKUP(A372,[3]PRIORIZADOS!$A:$S,19,FALSE)="","",VLOOKUP(A372,[3]PRIORIZADOS!$A:$S,19,FALSE)),"")</f>
        <v>Como acción de verificación la Institución Educativa se compromete a remitir la versión actualizada del Manual de Convivencia a la vigencia 2024 -2025</v>
      </c>
      <c r="T372" s="70" t="str">
        <f>IFERROR(IF(VLOOKUP(A372,[3]PRIORIZADOS!$A:$T,20,FALSE)="","",VLOOKUP(A372,[3]PRIORIZADOS!$A:$T,20,FALSE)),"")</f>
        <v>No</v>
      </c>
      <c r="U372" s="11" t="str">
        <f>IFERROR(IF(VLOOKUP(A372,[3]PRIORIZADOS!$A:$U,21,FALSE)="","",VLOOKUP(A372,[3]PRIORIZADOS!$A:$U,21,FALSE)),"")</f>
        <v>Verificar nuevamente el documento en el mes de agosto de 2025 y generar espacios de asesoría, conforme lo requiera la IE</v>
      </c>
    </row>
    <row r="373" spans="1:21" s="1" customFormat="1" ht="72">
      <c r="A373" s="69">
        <f>IF([3]PRIORIZADOS!A184="","",[3]PRIORIZADOS!A184)</f>
        <v>379</v>
      </c>
      <c r="B373" s="70">
        <f>IFERROR(IF(VLOOKUP(A373,[3]PRIORIZADOS!$A:$B,2,FALSE)="","",VLOOKUP(A373,[3]PRIORIZADOS!$A:$B,2,FALSE)),"")</f>
        <v>20</v>
      </c>
      <c r="C373" s="11" t="str">
        <f>IFERROR(IF(VLOOKUP(A373,[3]PRIORIZADOS!$A:$C,3,FALSE)="","",VLOOKUP(A373,[3]PRIORIZADOS!$A:$C,3,FALSE)),"")</f>
        <v>BOSA</v>
      </c>
      <c r="D373" s="11" t="str">
        <f>IFERROR(IF(VLOOKUP(A373,[3]PRIORIZADOS!$A:$D,4,FALSE)="","",VLOOKUP(A373,[3]PRIORIZADOS!$A:$D,4,FALSE)),"")</f>
        <v>PRIVADO</v>
      </c>
      <c r="E373" s="11" t="str">
        <f>IFERROR(IF(VLOOKUP(A373,[3]PRIORIZADOS!$A:$E,5,FALSE)="","",VLOOKUP(A373,[3]PRIORIZADOS!$A:$E,5,FALSE)),"")</f>
        <v>EPBM</v>
      </c>
      <c r="F373" s="11" t="str">
        <f>IFERROR(IF(VLOOKUP(A373,[3]PRIORIZADOS!$A:$F,6,FALSE)="","",VLOOKUP(A373,[3]PRIORIZADOS!$A:$F,6,FALSE)),"")</f>
        <v>LICEO_OCTAVIO_PAZ</v>
      </c>
      <c r="G373" s="11" t="str">
        <f>IFERROR(IF(VLOOKUP(A373,[3]PRIORIZADOS!$A:$G,7,FALSE)="","",VLOOKUP(A373,[3]PRIORIZADOS!$A:$G,7,FALSE)),"")</f>
        <v>LICEO OCTAVIO PAZ</v>
      </c>
      <c r="H373" s="11" t="str">
        <f>IFERROR(IF(VLOOKUP(A373,[3]PRIORIZADOS!$A:$H,8,FALSE)="","",VLOOKUP(A373,[3]PRIORIZADOS!$A:$H,8,FALSE)),"")</f>
        <v>Autoevaluación Institucional y Pruebas SABER 11</v>
      </c>
      <c r="I373" s="11" t="str">
        <f>IFERROR(IF(VLOOKUP(A373,[3]PRIORIZADOS!$A:$I,9,FALSE)="","",VLOOKUP(A373,[3]PRIORIZADOS!$A:$I,9,FALSE)),"")</f>
        <v>EVALUACIÓN_CON_FINES_DE_MEJORAMIENTO.</v>
      </c>
      <c r="J373" s="11" t="str">
        <f>IFERROR(IF(VLOOKUP(A373,[3]PRIORIZADOS!$A:$J,10,FALSE)="","",VLOOKUP(A373,[3]PRIORIZADOS!$A:$J,10,FALSE)),"")</f>
        <v>Revisar la actualización, socialización e implementación del Sistema Institucional de Evaluación de Estudiantes - SIEE, en articulación con la actualización del PEI y la normatividad vigente.</v>
      </c>
      <c r="K373" s="11" t="str">
        <f>IFERROR(IF(VLOOKUP(A373,[3]PRIORIZADOS!$A:$K,11,FALSE)="","",VLOOKUP(A373,[3]PRIORIZADOS!$A:$K,11,FALSE)),"")</f>
        <v>ESTEFANY PEÑA GARCIA</v>
      </c>
      <c r="L373" s="11" t="str">
        <f>IFERROR(IF(VLOOKUP(A373,[3]PRIORIZADOS!$A:$L,12,FALSE)="","",VLOOKUP(A373,[3]PRIORIZADOS!$A:$L,12,FALSE)),"")</f>
        <v>JULIÁN FELIPE BERNAL GARZÓN</v>
      </c>
      <c r="M373" s="71">
        <f>IFERROR(IF(VLOOKUP(A373,[3]PRIORIZADOS!$A:$M,13,FALSE)="","",VLOOKUP(A373,[3]PRIORIZADOS!$A:$M,13,FALSE)),"")</f>
        <v>45860</v>
      </c>
      <c r="N373" s="71">
        <f>IFERROR(IF(VLOOKUP(A373,[3]PRIORIZADOS!$A:$N,14,FALSE)="","",VLOOKUP(A373,[3]PRIORIZADOS!$A:$N,14,FALSE)),"")</f>
        <v>45860</v>
      </c>
      <c r="O373" s="71">
        <f>IFERROR(IF(VLOOKUP(A373,[3]PRIORIZADOS!$A:$O,15,FALSE)="","",VLOOKUP(A373,[3]PRIORIZADOS!$A:$O,15,FALSE)),"")</f>
        <v>45860</v>
      </c>
      <c r="P373" s="11" t="str">
        <f>IFERROR(IF(VLOOKUP(A373,[3]PRIORIZADOS!$A:$P,16,FALSE)="","",VLOOKUP(A373,[3]PRIORIZADOS!$A:$P,16,FALSE)),"")</f>
        <v>Visitas de evaluación con fines de mejoramiento</v>
      </c>
      <c r="Q373" s="124" t="s">
        <v>71</v>
      </c>
      <c r="R373" s="11" t="str">
        <f>IFERROR(IF(VLOOKUP(A373,[3]PRIORIZADOS!$A:$R,18,FALSE)="","",VLOOKUP(A373,[3]PRIORIZADOS!$A:$R,18,FALSE)),"")</f>
        <v>Se evidencia el Sistema Institucional de Evaluación de Estudiantes - SIEE, actualizado para la vigencia 2025. Fue construido en articulación con el Consejo Directivo y la comunidad educativa desde el año 2019 y se actualiza cada 2 años</v>
      </c>
      <c r="S373" s="11" t="str">
        <f>IFERROR(IF(VLOOKUP(A373,[3]PRIORIZADOS!$A:$S,19,FALSE)="","",VLOOKUP(A373,[3]PRIORIZADOS!$A:$S,19,FALSE)),"")</f>
        <v>Como acción de verificación la Institución Educativa se compromete a remitir la versión actualizada del  Sistema institucional de evaluación de los estudiantes- SIEE</v>
      </c>
      <c r="T373" s="70" t="str">
        <f>IFERROR(IF(VLOOKUP(A373,[3]PRIORIZADOS!$A:$T,20,FALSE)="","",VLOOKUP(A373,[3]PRIORIZADOS!$A:$T,20,FALSE)),"")</f>
        <v>No</v>
      </c>
      <c r="U373" s="11" t="str">
        <f>IFERROR(IF(VLOOKUP(A373,[3]PRIORIZADOS!$A:$U,21,FALSE)="","",VLOOKUP(A373,[3]PRIORIZADOS!$A:$U,21,FALSE)),"")</f>
        <v>Verificar nuevamente el documento en el mes de agosto de 2025 y generar espacios de asesoría, conforme lo requiera la IE</v>
      </c>
    </row>
    <row r="374" spans="1:21" s="1" customFormat="1" ht="48">
      <c r="A374" s="69">
        <f>IF([3]PRIORIZADOS!A185="","",[3]PRIORIZADOS!A185)</f>
        <v>380</v>
      </c>
      <c r="B374" s="70">
        <f>IFERROR(IF(VLOOKUP(A374,[3]PRIORIZADOS!$A:$B,2,FALSE)="","",VLOOKUP(A374,[3]PRIORIZADOS!$A:$B,2,FALSE)),"")</f>
        <v>20</v>
      </c>
      <c r="C374" s="11" t="str">
        <f>IFERROR(IF(VLOOKUP(A374,[3]PRIORIZADOS!$A:$C,3,FALSE)="","",VLOOKUP(A374,[3]PRIORIZADOS!$A:$C,3,FALSE)),"")</f>
        <v>BOSA</v>
      </c>
      <c r="D374" s="11" t="str">
        <f>IFERROR(IF(VLOOKUP(A374,[3]PRIORIZADOS!$A:$D,4,FALSE)="","",VLOOKUP(A374,[3]PRIORIZADOS!$A:$D,4,FALSE)),"")</f>
        <v>PRIVADO</v>
      </c>
      <c r="E374" s="11" t="str">
        <f>IFERROR(IF(VLOOKUP(A374,[3]PRIORIZADOS!$A:$E,5,FALSE)="","",VLOOKUP(A374,[3]PRIORIZADOS!$A:$E,5,FALSE)),"")</f>
        <v>EPBM</v>
      </c>
      <c r="F374" s="11" t="str">
        <f>IFERROR(IF(VLOOKUP(A374,[3]PRIORIZADOS!$A:$F,6,FALSE)="","",VLOOKUP(A374,[3]PRIORIZADOS!$A:$F,6,FALSE)),"")</f>
        <v>LICEO_OCTAVIO_PAZ</v>
      </c>
      <c r="G374" s="11" t="str">
        <f>IFERROR(IF(VLOOKUP(A374,[3]PRIORIZADOS!$A:$G,7,FALSE)="","",VLOOKUP(A374,[3]PRIORIZADOS!$A:$G,7,FALSE)),"")</f>
        <v>LICEO OCTAVIO PAZ</v>
      </c>
      <c r="H374" s="11" t="str">
        <f>IFERROR(IF(VLOOKUP(A374,[3]PRIORIZADOS!$A:$H,8,FALSE)="","",VLOOKUP(A374,[3]PRIORIZADOS!$A:$H,8,FALSE)),"")</f>
        <v>Autoevaluación Institucional y Pruebas SABER 11</v>
      </c>
      <c r="I374" s="11" t="str">
        <f>IFERROR(IF(VLOOKUP(A374,[3]PRIORIZADOS!$A:$I,9,FALSE)="","",VLOOKUP(A374,[3]PRIORIZADOS!$A:$I,9,FALSE)),"")</f>
        <v>EVALUACIÓN_CON_FINES_DE_MEJORAMIENTO.</v>
      </c>
      <c r="J374" s="11" t="str">
        <f>IFERROR(IF(VLOOKUP(A374,[3]PRIORIZADOS!$A:$J,10,FALSE)="","",VLOOKUP(A374,[3]PRIORIZADOS!$A:$J,10,FALSE)),"")</f>
        <v>Revisar el calendario escolar, jornada escolar, la intensidad horaria mínima anual en cada nivel y las modificaciones que se realicen al mismo, de acuerdo con lo previsto en la normatividad vigente.</v>
      </c>
      <c r="K374" s="11" t="str">
        <f>IFERROR(IF(VLOOKUP(A374,[3]PRIORIZADOS!$A:$K,11,FALSE)="","",VLOOKUP(A374,[3]PRIORIZADOS!$A:$K,11,FALSE)),"")</f>
        <v>ESTEFANY PEÑA GARCIA</v>
      </c>
      <c r="L374" s="11" t="str">
        <f>IFERROR(IF(VLOOKUP(A374,[3]PRIORIZADOS!$A:$L,12,FALSE)="","",VLOOKUP(A374,[3]PRIORIZADOS!$A:$L,12,FALSE)),"")</f>
        <v>JULIÁN FELIPE BERNAL GARZÓN</v>
      </c>
      <c r="M374" s="71">
        <f>IFERROR(IF(VLOOKUP(A374,[3]PRIORIZADOS!$A:$M,13,FALSE)="","",VLOOKUP(A374,[3]PRIORIZADOS!$A:$M,13,FALSE)),"")</f>
        <v>45860</v>
      </c>
      <c r="N374" s="71">
        <f>IFERROR(IF(VLOOKUP(A374,[3]PRIORIZADOS!$A:$N,14,FALSE)="","",VLOOKUP(A374,[3]PRIORIZADOS!$A:$N,14,FALSE)),"")</f>
        <v>45860</v>
      </c>
      <c r="O374" s="71">
        <f>IFERROR(IF(VLOOKUP(A374,[3]PRIORIZADOS!$A:$O,15,FALSE)="","",VLOOKUP(A374,[3]PRIORIZADOS!$A:$O,15,FALSE)),"")</f>
        <v>45860</v>
      </c>
      <c r="P374" s="11" t="str">
        <f>IFERROR(IF(VLOOKUP(A374,[3]PRIORIZADOS!$A:$P,16,FALSE)="","",VLOOKUP(A374,[3]PRIORIZADOS!$A:$P,16,FALSE)),"")</f>
        <v>Visitas de evaluación con fines de mejoramiento</v>
      </c>
      <c r="Q374" s="124" t="s">
        <v>71</v>
      </c>
      <c r="R374" s="11" t="str">
        <f>IFERROR(IF(VLOOKUP(A374,[3]PRIORIZADOS!$A:$R,18,FALSE)="","",VLOOKUP(A374,[3]PRIORIZADOS!$A:$R,18,FALSE)),"")</f>
        <v>El calendario escolar, jornada escolar, la intensidad horaria mínima anual en cada nivel se encuentran conforme lo previsto en la normatividad vigente</v>
      </c>
      <c r="S374" s="11" t="str">
        <f>IFERROR(IF(VLOOKUP(A374,[3]PRIORIZADOS!$A:$S,19,FALSE)="","",VLOOKUP(A374,[3]PRIORIZADOS!$A:$S,19,FALSE)),"")</f>
        <v>Como acción de verificación la Institución Educativa se compromete a remitir la versión actualizada calendario escolar</v>
      </c>
      <c r="T374" s="70" t="str">
        <f>IFERROR(IF(VLOOKUP(A374,[3]PRIORIZADOS!$A:$T,20,FALSE)="","",VLOOKUP(A374,[3]PRIORIZADOS!$A:$T,20,FALSE)),"")</f>
        <v>No</v>
      </c>
      <c r="U374" s="11" t="str">
        <f>IFERROR(IF(VLOOKUP(A374,[3]PRIORIZADOS!$A:$U,21,FALSE)="","",VLOOKUP(A374,[3]PRIORIZADOS!$A:$U,21,FALSE)),"")</f>
        <v>Verificar nuevamente el documento en el mes de agosto de 2025 y generar espacios de asesoría, conforme lo requiera la IE</v>
      </c>
    </row>
    <row r="375" spans="1:21" s="1" customFormat="1" ht="48">
      <c r="A375" s="69">
        <f>IF([3]PRIORIZADOS!A186="","",[3]PRIORIZADOS!A186)</f>
        <v>381</v>
      </c>
      <c r="B375" s="70">
        <f>IFERROR(IF(VLOOKUP(A375,[3]PRIORIZADOS!$A:$B,2,FALSE)="","",VLOOKUP(A375,[3]PRIORIZADOS!$A:$B,2,FALSE)),"")</f>
        <v>20</v>
      </c>
      <c r="C375" s="11" t="str">
        <f>IFERROR(IF(VLOOKUP(A375,[3]PRIORIZADOS!$A:$C,3,FALSE)="","",VLOOKUP(A375,[3]PRIORIZADOS!$A:$C,3,FALSE)),"")</f>
        <v>BOSA</v>
      </c>
      <c r="D375" s="11" t="str">
        <f>IFERROR(IF(VLOOKUP(A375,[3]PRIORIZADOS!$A:$D,4,FALSE)="","",VLOOKUP(A375,[3]PRIORIZADOS!$A:$D,4,FALSE)),"")</f>
        <v>PRIVADO</v>
      </c>
      <c r="E375" s="11" t="str">
        <f>IFERROR(IF(VLOOKUP(A375,[3]PRIORIZADOS!$A:$E,5,FALSE)="","",VLOOKUP(A375,[3]PRIORIZADOS!$A:$E,5,FALSE)),"")</f>
        <v>EPBM</v>
      </c>
      <c r="F375" s="11" t="str">
        <f>IFERROR(IF(VLOOKUP(A375,[3]PRIORIZADOS!$A:$F,6,FALSE)="","",VLOOKUP(A375,[3]PRIORIZADOS!$A:$F,6,FALSE)),"")</f>
        <v>LICEO_OCTAVIO_PAZ</v>
      </c>
      <c r="G375" s="11" t="str">
        <f>IFERROR(IF(VLOOKUP(A375,[3]PRIORIZADOS!$A:$G,7,FALSE)="","",VLOOKUP(A375,[3]PRIORIZADOS!$A:$G,7,FALSE)),"")</f>
        <v>LICEO OCTAVIO PAZ</v>
      </c>
      <c r="H375" s="11" t="str">
        <f>IFERROR(IF(VLOOKUP(A375,[3]PRIORIZADOS!$A:$H,8,FALSE)="","",VLOOKUP(A375,[3]PRIORIZADOS!$A:$H,8,FALSE)),"")</f>
        <v>Autoevaluación Institucional y Pruebas SABER 11</v>
      </c>
      <c r="I375" s="11" t="str">
        <f>IFERROR(IF(VLOOKUP(A375,[3]PRIORIZADOS!$A:$I,9,FALSE)="","",VLOOKUP(A375,[3]PRIORIZADOS!$A:$I,9,FALSE)),"")</f>
        <v>EVALUACIÓN_CON_FINES_DE_MEJORAMIENTO.</v>
      </c>
      <c r="J375" s="11" t="str">
        <f>IFERROR(IF(VLOOKUP(A375,[3]PRIORIZADOS!$A:$J,10,FALSE)="","",VLOOKUP(A375,[3]PRIORIZADOS!$A:$J,10,FALSE)),"")</f>
        <v>Verificar el funcionamiento del Gobierno Escolar e instancias de participación con base en la información sobre conformación reportada por la institución educativa.</v>
      </c>
      <c r="K375" s="11" t="str">
        <f>IFERROR(IF(VLOOKUP(A375,[3]PRIORIZADOS!$A:$K,11,FALSE)="","",VLOOKUP(A375,[3]PRIORIZADOS!$A:$K,11,FALSE)),"")</f>
        <v>ESTEFANY PEÑA GARCIA</v>
      </c>
      <c r="L375" s="11" t="str">
        <f>IFERROR(IF(VLOOKUP(A375,[3]PRIORIZADOS!$A:$L,12,FALSE)="","",VLOOKUP(A375,[3]PRIORIZADOS!$A:$L,12,FALSE)),"")</f>
        <v>JULIÁN FELIPE BERNAL GARZÓN</v>
      </c>
      <c r="M375" s="71">
        <f>IFERROR(IF(VLOOKUP(A375,[3]PRIORIZADOS!$A:$M,13,FALSE)="","",VLOOKUP(A375,[3]PRIORIZADOS!$A:$M,13,FALSE)),"")</f>
        <v>45860</v>
      </c>
      <c r="N375" s="71">
        <f>IFERROR(IF(VLOOKUP(A375,[3]PRIORIZADOS!$A:$N,14,FALSE)="","",VLOOKUP(A375,[3]PRIORIZADOS!$A:$N,14,FALSE)),"")</f>
        <v>45860</v>
      </c>
      <c r="O375" s="71">
        <f>IFERROR(IF(VLOOKUP(A375,[3]PRIORIZADOS!$A:$O,15,FALSE)="","",VLOOKUP(A375,[3]PRIORIZADOS!$A:$O,15,FALSE)),"")</f>
        <v>45860</v>
      </c>
      <c r="P375" s="11" t="str">
        <f>IFERROR(IF(VLOOKUP(A375,[3]PRIORIZADOS!$A:$P,16,FALSE)="","",VLOOKUP(A375,[3]PRIORIZADOS!$A:$P,16,FALSE)),"")</f>
        <v>Visitas de evaluación con fines de mejoramiento</v>
      </c>
      <c r="Q375" s="124" t="s">
        <v>71</v>
      </c>
      <c r="R375" s="11" t="str">
        <f>IFERROR(IF(VLOOKUP(A375,[3]PRIORIZADOS!$A:$R,18,FALSE)="","",VLOOKUP(A375,[3]PRIORIZADOS!$A:$R,18,FALSE)),"")</f>
        <v>La constitución del Gobierno Escolar y sus órganos de participación, se encuentra conforme a la Normativa Vigente</v>
      </c>
      <c r="S375" s="11" t="str">
        <f>IFERROR(IF(VLOOKUP(A375,[3]PRIORIZADOS!$A:$S,19,FALSE)="","",VLOOKUP(A375,[3]PRIORIZADOS!$A:$S,19,FALSE)),"")</f>
        <v>Continuar operando conforme funciones y reglamentos.</v>
      </c>
      <c r="T375" s="70" t="str">
        <f>IFERROR(IF(VLOOKUP(A375,[3]PRIORIZADOS!$A:$T,20,FALSE)="","",VLOOKUP(A375,[3]PRIORIZADOS!$A:$T,20,FALSE)),"")</f>
        <v>No</v>
      </c>
      <c r="U375" s="11" t="str">
        <f>IFERROR(IF(VLOOKUP(A375,[3]PRIORIZADOS!$A:$U,21,FALSE)="","",VLOOKUP(A375,[3]PRIORIZADOS!$A:$U,21,FALSE)),"")</f>
        <v>Verificar la conformación del Gobierno Escolar e instancias para la vigencia 2026 o antes si la IE lo requiere o se presenta solicitud o queja.</v>
      </c>
    </row>
    <row r="376" spans="1:21" s="1" customFormat="1" ht="60">
      <c r="A376" s="69">
        <f>IF([3]PRIORIZADOS!A187="","",[3]PRIORIZADOS!A187)</f>
        <v>382</v>
      </c>
      <c r="B376" s="70">
        <f>IFERROR(IF(VLOOKUP(A376,[3]PRIORIZADOS!$A:$B,2,FALSE)="","",VLOOKUP(A376,[3]PRIORIZADOS!$A:$B,2,FALSE)),"")</f>
        <v>20</v>
      </c>
      <c r="C376" s="11" t="str">
        <f>IFERROR(IF(VLOOKUP(A376,[3]PRIORIZADOS!$A:$C,3,FALSE)="","",VLOOKUP(A376,[3]PRIORIZADOS!$A:$C,3,FALSE)),"")</f>
        <v>BOSA</v>
      </c>
      <c r="D376" s="11" t="str">
        <f>IFERROR(IF(VLOOKUP(A376,[3]PRIORIZADOS!$A:$D,4,FALSE)="","",VLOOKUP(A376,[3]PRIORIZADOS!$A:$D,4,FALSE)),"")</f>
        <v>PRIVADO</v>
      </c>
      <c r="E376" s="11" t="str">
        <f>IFERROR(IF(VLOOKUP(A376,[3]PRIORIZADOS!$A:$E,5,FALSE)="","",VLOOKUP(A376,[3]PRIORIZADOS!$A:$E,5,FALSE)),"")</f>
        <v>EPBM</v>
      </c>
      <c r="F376" s="11" t="str">
        <f>IFERROR(IF(VLOOKUP(A376,[3]PRIORIZADOS!$A:$F,6,FALSE)="","",VLOOKUP(A376,[3]PRIORIZADOS!$A:$F,6,FALSE)),"")</f>
        <v>LICEO_OCTAVIO_PAZ</v>
      </c>
      <c r="G376" s="11" t="str">
        <f>IFERROR(IF(VLOOKUP(A376,[3]PRIORIZADOS!$A:$G,7,FALSE)="","",VLOOKUP(A376,[3]PRIORIZADOS!$A:$G,7,FALSE)),"")</f>
        <v>LICEO OCTAVIO PAZ</v>
      </c>
      <c r="H376" s="11" t="str">
        <f>IFERROR(IF(VLOOKUP(A376,[3]PRIORIZADOS!$A:$H,8,FALSE)="","",VLOOKUP(A376,[3]PRIORIZADOS!$A:$H,8,FALSE)),"")</f>
        <v>Autoevaluación Institucional y Pruebas SABER 11</v>
      </c>
      <c r="I376" s="11" t="str">
        <f>IFERROR(IF(VLOOKUP(A376,[3]PRIORIZADOS!$A:$I,9,FALSE)="","",VLOOKUP(A376,[3]PRIORIZADOS!$A:$I,9,FALSE)),"")</f>
        <v>EVALUACIÓN_CON_FINES_DE_MEJORAMIENTO.</v>
      </c>
      <c r="J376" s="11" t="str">
        <f>IFERROR(IF(VLOOKUP(A376,[3]PRIORIZADOS!$A:$J,10,FALSE)="","",VLOOKUP(A376,[3]PRIORIZADOS!$A:$J,10,FALSE)),"")</f>
        <v>Verificar las condiciones en cuanto a: la estructura administrativa, condiciones de la planta física y medios educativos adecuados.</v>
      </c>
      <c r="K376" s="11" t="str">
        <f>IFERROR(IF(VLOOKUP(A376,[3]PRIORIZADOS!$A:$K,11,FALSE)="","",VLOOKUP(A376,[3]PRIORIZADOS!$A:$K,11,FALSE)),"")</f>
        <v>ESTEFANY PEÑA GARCIA</v>
      </c>
      <c r="L376" s="11" t="str">
        <f>IFERROR(IF(VLOOKUP(A376,[3]PRIORIZADOS!$A:$L,12,FALSE)="","",VLOOKUP(A376,[3]PRIORIZADOS!$A:$L,12,FALSE)),"")</f>
        <v>JULIÁN FELIPE BERNAL GARZÓN</v>
      </c>
      <c r="M376" s="71">
        <f>IFERROR(IF(VLOOKUP(A376,[3]PRIORIZADOS!$A:$M,13,FALSE)="","",VLOOKUP(A376,[3]PRIORIZADOS!$A:$M,13,FALSE)),"")</f>
        <v>45860</v>
      </c>
      <c r="N376" s="71">
        <f>IFERROR(IF(VLOOKUP(A376,[3]PRIORIZADOS!$A:$N,14,FALSE)="","",VLOOKUP(A376,[3]PRIORIZADOS!$A:$N,14,FALSE)),"")</f>
        <v>45860</v>
      </c>
      <c r="O376" s="71">
        <f>IFERROR(IF(VLOOKUP(A376,[3]PRIORIZADOS!$A:$O,15,FALSE)="","",VLOOKUP(A376,[3]PRIORIZADOS!$A:$O,15,FALSE)),"")</f>
        <v>45860</v>
      </c>
      <c r="P376" s="11" t="str">
        <f>IFERROR(IF(VLOOKUP(A376,[3]PRIORIZADOS!$A:$P,16,FALSE)="","",VLOOKUP(A376,[3]PRIORIZADOS!$A:$P,16,FALSE)),"")</f>
        <v>Visitas de evaluación con fines de mejoramiento</v>
      </c>
      <c r="Q376" s="124" t="s">
        <v>71</v>
      </c>
      <c r="R376" s="11" t="str">
        <f>IFERROR(IF(VLOOKUP(A376,[3]PRIORIZADOS!$A:$R,18,FALSE)="","",VLOOKUP(A376,[3]PRIORIZADOS!$A:$R,18,FALSE)),"")</f>
        <v>Se realiza un recorrido en las instalaciones de la IE, verificando las condiciones en cuanto a: la estructura administrativa, condiciones de la planta física y medios educativos adecuados.</v>
      </c>
      <c r="S376" s="11" t="str">
        <f>IFERROR(IF(VLOOKUP(A376,[3]PRIORIZADOS!$A:$S,19,FALSE)="","",VLOOKUP(A376,[3]PRIORIZADOS!$A:$S,19,FALSE)),"")</f>
        <v>Las condiciones de la planta física son adecuadas y se recomienda actualizar el mobiliario más antiguo</v>
      </c>
      <c r="T376" s="70" t="str">
        <f>IFERROR(IF(VLOOKUP(A376,[3]PRIORIZADOS!$A:$T,20,FALSE)="","",VLOOKUP(A376,[3]PRIORIZADOS!$A:$T,20,FALSE)),"")</f>
        <v>No</v>
      </c>
      <c r="U376" s="11" t="str">
        <f>IFERROR(IF(VLOOKUP(A376,[3]PRIORIZADOS!$A:$U,21,FALSE)="","",VLOOKUP(A376,[3]PRIORIZADOS!$A:$U,21,FALSE)),"")</f>
        <v>Las condiciones de la planta física garantizan la adecuada prestación del servicio educativo</v>
      </c>
    </row>
    <row r="377" spans="1:21" s="1" customFormat="1" ht="60">
      <c r="A377" s="69">
        <f>IF([3]PRIORIZADOS!A188="","",[3]PRIORIZADOS!A188)</f>
        <v>383</v>
      </c>
      <c r="B377" s="70">
        <f>IFERROR(IF(VLOOKUP(A377,[3]PRIORIZADOS!$A:$B,2,FALSE)="","",VLOOKUP(A377,[3]PRIORIZADOS!$A:$B,2,FALSE)),"")</f>
        <v>21</v>
      </c>
      <c r="C377" s="11" t="str">
        <f>IFERROR(IF(VLOOKUP(A377,[3]PRIORIZADOS!$A:$C,3,FALSE)="","",VLOOKUP(A377,[3]PRIORIZADOS!$A:$C,3,FALSE)),"")</f>
        <v>BOSA</v>
      </c>
      <c r="D377" s="11" t="str">
        <f>IFERROR(IF(VLOOKUP(A377,[3]PRIORIZADOS!$A:$D,4,FALSE)="","",VLOOKUP(A377,[3]PRIORIZADOS!$A:$D,4,FALSE)),"")</f>
        <v>PRIVADO</v>
      </c>
      <c r="E377" s="11" t="str">
        <f>IFERROR(IF(VLOOKUP(A377,[3]PRIORIZADOS!$A:$E,5,FALSE)="","",VLOOKUP(A377,[3]PRIORIZADOS!$A:$E,5,FALSE)),"")</f>
        <v>EPBM</v>
      </c>
      <c r="F377" s="11" t="str">
        <f>IFERROR(IF(VLOOKUP(A377,[3]PRIORIZADOS!$A:$F,6,FALSE)="","",VLOOKUP(A377,[3]PRIORIZADOS!$A:$F,6,FALSE)),"")</f>
        <v>LICEO_PSICOPEDAGOGICO_EL_CARMELO</v>
      </c>
      <c r="G377" s="11" t="str">
        <f>IFERROR(IF(VLOOKUP(A377,[3]PRIORIZADOS!$A:$G,7,FALSE)="","",VLOOKUP(A377,[3]PRIORIZADOS!$A:$G,7,FALSE)),"")</f>
        <v>LICEO PSICOPEDAGOGICO EL CARMELO</v>
      </c>
      <c r="H377" s="11" t="str">
        <f>IFERROR(IF(VLOOKUP(A377,[3]PRIORIZADOS!$A:$H,8,FALSE)="","",VLOOKUP(A377,[3]PRIORIZADOS!$A:$H,8,FALSE)),"")</f>
        <v>Autoevaluación Institucional y Pruebas SABER 11</v>
      </c>
      <c r="I377" s="11" t="str">
        <f>IFERROR(IF(VLOOKUP(A377,[3]PRIORIZADOS!$A:$I,9,FALSE)="","",VLOOKUP(A377,[3]PRIORIZADOS!$A:$I,9,FALSE)),"")</f>
        <v>SEGUIMIENTO_Y_SUPERVISIÓN.</v>
      </c>
      <c r="J377" s="11" t="str">
        <f>IFERROR(IF(VLOOKUP(A377,[3]PRIORIZADOS!$A:$J,10,FALSE)="","",VLOOKUP(A377,[3]PRIORIZADOS!$A:$J,10,FALSE)),"")</f>
        <v>Realizar visitas para verificar la información registrada sobre la autoevaluación institucional en el aplicativo EVI, a los establecimientos de educación formal no oficial.</v>
      </c>
      <c r="K377" s="11" t="str">
        <f>IFERROR(IF(VLOOKUP(A377,[3]PRIORIZADOS!$A:$K,11,FALSE)="","",VLOOKUP(A377,[3]PRIORIZADOS!$A:$K,11,FALSE)),"")</f>
        <v>ANA ANDREA VARGAS GONZÁLEZ</v>
      </c>
      <c r="L377" s="11" t="str">
        <f>IFERROR(IF(VLOOKUP(A377,[3]PRIORIZADOS!$A:$L,12,FALSE)="","",VLOOKUP(A377,[3]PRIORIZADOS!$A:$L,12,FALSE)),"")</f>
        <v>JOSÉ ANTONIO PÁEZ FETECUA</v>
      </c>
      <c r="M377" s="71">
        <f>IFERROR(IF(VLOOKUP(A377,[3]PRIORIZADOS!$A:$M,13,FALSE)="","",VLOOKUP(A377,[3]PRIORIZADOS!$A:$M,13,FALSE)),"")</f>
        <v>45862</v>
      </c>
      <c r="N377" s="71">
        <f>IFERROR(IF(VLOOKUP(A377,[3]PRIORIZADOS!$A:$N,14,FALSE)="","",VLOOKUP(A377,[3]PRIORIZADOS!$A:$N,14,FALSE)),"")</f>
        <v>45862</v>
      </c>
      <c r="O377" s="71">
        <f>IFERROR(IF(VLOOKUP(A377,[3]PRIORIZADOS!$A:$O,15,FALSE)="","",VLOOKUP(A377,[3]PRIORIZADOS!$A:$O,15,FALSE)),"")</f>
        <v>45862</v>
      </c>
      <c r="P377" s="11" t="str">
        <f>IFERROR(IF(VLOOKUP(A377,[3]PRIORIZADOS!$A:$P,16,FALSE)="","",VLOOKUP(A377,[3]PRIORIZADOS!$A:$P,16,FALSE)),"")</f>
        <v>Visitas de evaluación con fines de mejoramiento</v>
      </c>
      <c r="Q377" s="124" t="s">
        <v>72</v>
      </c>
      <c r="R377" s="11" t="str">
        <f>IFERROR(IF(VLOOKUP(A377,[3]PRIORIZADOS!$A:$R,18,FALSE)="","",VLOOKUP(A377,[3]PRIORIZADOS!$A:$R,18,FALSE)),"")</f>
        <v>La información consignada en la Plataforma EVI relacionada con los indicadores de: planta física, dotación de espacios y calendario académico coincide con lo verificado en campo</v>
      </c>
      <c r="S377" s="11" t="str">
        <f>IFERROR(IF(VLOOKUP(A377,[3]PRIORIZADOS!$A:$S,19,FALSE)="","",VLOOKUP(A377,[3]PRIORIZADOS!$A:$S,19,FALSE)),"")</f>
        <v xml:space="preserve">Se concluye que la IE realizará su autoevalución institucional en el mes octubre.  </v>
      </c>
      <c r="T377" s="70" t="str">
        <f>IFERROR(IF(VLOOKUP(A377,[3]PRIORIZADOS!$A:$T,20,FALSE)="","",VLOOKUP(A377,[3]PRIORIZADOS!$A:$T,20,FALSE)),"")</f>
        <v>No</v>
      </c>
      <c r="U377" s="11" t="str">
        <f>IFERROR(IF(VLOOKUP(A377,[3]PRIORIZADOS!$A:$U,21,FALSE)="","",VLOOKUP(A377,[3]PRIORIZADOS!$A:$U,21,FALSE)),"")</f>
        <v>Se verificará la información cargada por la IE en el aplicativo EVI de la autoevaluación,  para la emisión del concepto de tarifas 2026</v>
      </c>
    </row>
    <row r="378" spans="1:21" s="1" customFormat="1" ht="60">
      <c r="A378" s="69">
        <f>IF([3]PRIORIZADOS!A189="","",[3]PRIORIZADOS!A189)</f>
        <v>384</v>
      </c>
      <c r="B378" s="70">
        <f>IFERROR(IF(VLOOKUP(A378,[3]PRIORIZADOS!$A:$B,2,FALSE)="","",VLOOKUP(A378,[3]PRIORIZADOS!$A:$B,2,FALSE)),"")</f>
        <v>21</v>
      </c>
      <c r="C378" s="11" t="str">
        <f>IFERROR(IF(VLOOKUP(A378,[3]PRIORIZADOS!$A:$C,3,FALSE)="","",VLOOKUP(A378,[3]PRIORIZADOS!$A:$C,3,FALSE)),"")</f>
        <v>BOSA</v>
      </c>
      <c r="D378" s="11" t="str">
        <f>IFERROR(IF(VLOOKUP(A378,[3]PRIORIZADOS!$A:$D,4,FALSE)="","",VLOOKUP(A378,[3]PRIORIZADOS!$A:$D,4,FALSE)),"")</f>
        <v>PRIVADO</v>
      </c>
      <c r="E378" s="11" t="str">
        <f>IFERROR(IF(VLOOKUP(A378,[3]PRIORIZADOS!$A:$E,5,FALSE)="","",VLOOKUP(A378,[3]PRIORIZADOS!$A:$E,5,FALSE)),"")</f>
        <v>EPBM</v>
      </c>
      <c r="F378" s="11" t="str">
        <f>IFERROR(IF(VLOOKUP(A378,[3]PRIORIZADOS!$A:$F,6,FALSE)="","",VLOOKUP(A378,[3]PRIORIZADOS!$A:$F,6,FALSE)),"")</f>
        <v>LICEO_PSICOPEDAGOGICO_EL_CARMELO</v>
      </c>
      <c r="G378" s="11" t="str">
        <f>IFERROR(IF(VLOOKUP(A378,[3]PRIORIZADOS!$A:$G,7,FALSE)="","",VLOOKUP(A378,[3]PRIORIZADOS!$A:$G,7,FALSE)),"")</f>
        <v>LICEO PSICOPEDAGOGICO EL CARMELO</v>
      </c>
      <c r="H378" s="11" t="str">
        <f>IFERROR(IF(VLOOKUP(A378,[3]PRIORIZADOS!$A:$H,8,FALSE)="","",VLOOKUP(A378,[3]PRIORIZADOS!$A:$H,8,FALSE)),"")</f>
        <v>Autoevaluación Institucional y Pruebas SABER 11</v>
      </c>
      <c r="I378" s="11" t="str">
        <f>IFERROR(IF(VLOOKUP(A378,[3]PRIORIZADOS!$A:$I,9,FALSE)="","",VLOOKUP(A378,[3]PRIORIZADOS!$A:$I,9,FALSE)),"")</f>
        <v>SEGUIMIENTO_Y_SUPERVISIÓN.</v>
      </c>
      <c r="J378" s="11" t="str">
        <f>IFERROR(IF(VLOOKUP(A378,[3]PRIORIZADOS!$A:$J,10,FALSE)="","",VLOOKUP(A378,[3]PRIORIZADOS!$A:$J,10,FALSE)),"")</f>
        <v>Proponer estrategias en la formulación, verificar su elaboración y realizar seguimiento semestral al desarrollo de  las acciones establecidas en los planes de mejoramiento por pruebas SABER 11 de los establecimientos de educación formal.</v>
      </c>
      <c r="K378" s="11" t="str">
        <f>IFERROR(IF(VLOOKUP(A378,[3]PRIORIZADOS!$A:$K,11,FALSE)="","",VLOOKUP(A378,[3]PRIORIZADOS!$A:$K,11,FALSE)),"")</f>
        <v>ANA ANDREA VARGAS GONZÁLEZ</v>
      </c>
      <c r="L378" s="11" t="str">
        <f>IFERROR(IF(VLOOKUP(A378,[3]PRIORIZADOS!$A:$L,12,FALSE)="","",VLOOKUP(A378,[3]PRIORIZADOS!$A:$L,12,FALSE)),"")</f>
        <v>JOSÉ ANTONIO PÁEZ FETECUA</v>
      </c>
      <c r="M378" s="71">
        <f>IFERROR(IF(VLOOKUP(A378,[3]PRIORIZADOS!$A:$M,13,FALSE)="","",VLOOKUP(A378,[3]PRIORIZADOS!$A:$M,13,FALSE)),"")</f>
        <v>45862</v>
      </c>
      <c r="N378" s="71">
        <f>IFERROR(IF(VLOOKUP(A378,[3]PRIORIZADOS!$A:$N,14,FALSE)="","",VLOOKUP(A378,[3]PRIORIZADOS!$A:$N,14,FALSE)),"")</f>
        <v>45862</v>
      </c>
      <c r="O378" s="71">
        <f>IFERROR(IF(VLOOKUP(A378,[3]PRIORIZADOS!$A:$O,15,FALSE)="","",VLOOKUP(A378,[3]PRIORIZADOS!$A:$O,15,FALSE)),"")</f>
        <v>45862</v>
      </c>
      <c r="P378" s="11" t="str">
        <f>IFERROR(IF(VLOOKUP(A378,[3]PRIORIZADOS!$A:$P,16,FALSE)="","",VLOOKUP(A378,[3]PRIORIZADOS!$A:$P,16,FALSE)),"")</f>
        <v>Visitas de evaluación con fines de mejoramiento</v>
      </c>
      <c r="Q378" s="124" t="s">
        <v>72</v>
      </c>
      <c r="R378" s="11" t="str">
        <f>IFERROR(IF(VLOOKUP(A378,[3]PRIORIZADOS!$A:$R,18,FALSE)="","",VLOOKUP(A378,[3]PRIORIZADOS!$A:$R,18,FALSE)),"")</f>
        <v>No se adelanta la revisión de los Resultados de las Pruebas Saber 11, toda vez que, la Institución Educativa tiene aprobación hasta básica primaria</v>
      </c>
      <c r="S378" s="11" t="str">
        <f>IFERROR(IF(VLOOKUP(A378,[3]PRIORIZADOS!$A:$S,19,FALSE)="","",VLOOKUP(A378,[3]PRIORIZADOS!$A:$S,19,FALSE)),"")</f>
        <v>No se adelanta la revisión de los Resultados de las Pruebas Saber 11, toda vez que, la Institución Educativa tiene aprobación hasta básica primaria</v>
      </c>
      <c r="T378" s="70" t="str">
        <f>IFERROR(IF(VLOOKUP(A378,[3]PRIORIZADOS!$A:$T,20,FALSE)="","",VLOOKUP(A378,[3]PRIORIZADOS!$A:$T,20,FALSE)),"")</f>
        <v>No</v>
      </c>
      <c r="U378" s="11" t="str">
        <f>IFERROR(IF(VLOOKUP(A378,[3]PRIORIZADOS!$A:$U,21,FALSE)="","",VLOOKUP(A378,[3]PRIORIZADOS!$A:$U,21,FALSE)),"")</f>
        <v>No se adelanta la revisión de los Resultados de las Pruebas Saber 11, toda vez que, la Institución Educativa tiene aprobación hasta básica primaria</v>
      </c>
    </row>
    <row r="379" spans="1:21" s="1" customFormat="1" ht="72">
      <c r="A379" s="69">
        <f>IF([3]PRIORIZADOS!A190="","",[3]PRIORIZADOS!A190)</f>
        <v>385</v>
      </c>
      <c r="B379" s="70">
        <f>IFERROR(IF(VLOOKUP(A379,[3]PRIORIZADOS!$A:$B,2,FALSE)="","",VLOOKUP(A379,[3]PRIORIZADOS!$A:$B,2,FALSE)),"")</f>
        <v>21</v>
      </c>
      <c r="C379" s="11" t="str">
        <f>IFERROR(IF(VLOOKUP(A379,[3]PRIORIZADOS!$A:$C,3,FALSE)="","",VLOOKUP(A379,[3]PRIORIZADOS!$A:$C,3,FALSE)),"")</f>
        <v>BOSA</v>
      </c>
      <c r="D379" s="11" t="str">
        <f>IFERROR(IF(VLOOKUP(A379,[3]PRIORIZADOS!$A:$D,4,FALSE)="","",VLOOKUP(A379,[3]PRIORIZADOS!$A:$D,4,FALSE)),"")</f>
        <v>PRIVADO</v>
      </c>
      <c r="E379" s="11" t="str">
        <f>IFERROR(IF(VLOOKUP(A379,[3]PRIORIZADOS!$A:$E,5,FALSE)="","",VLOOKUP(A379,[3]PRIORIZADOS!$A:$E,5,FALSE)),"")</f>
        <v>EPBM</v>
      </c>
      <c r="F379" s="11" t="str">
        <f>IFERROR(IF(VLOOKUP(A379,[3]PRIORIZADOS!$A:$F,6,FALSE)="","",VLOOKUP(A379,[3]PRIORIZADOS!$A:$F,6,FALSE)),"")</f>
        <v>LICEO_PSICOPEDAGOGICO_EL_CARMELO</v>
      </c>
      <c r="G379" s="11" t="str">
        <f>IFERROR(IF(VLOOKUP(A379,[3]PRIORIZADOS!$A:$G,7,FALSE)="","",VLOOKUP(A379,[3]PRIORIZADOS!$A:$G,7,FALSE)),"")</f>
        <v>LICEO PSICOPEDAGOGICO EL CARMELO</v>
      </c>
      <c r="H379" s="11" t="str">
        <f>IFERROR(IF(VLOOKUP(A379,[3]PRIORIZADOS!$A:$H,8,FALSE)="","",VLOOKUP(A379,[3]PRIORIZADOS!$A:$H,8,FALSE)),"")</f>
        <v>Autoevaluación Institucional y Pruebas SABER 11</v>
      </c>
      <c r="I379" s="11" t="str">
        <f>IFERROR(IF(VLOOKUP(A379,[3]PRIORIZADOS!$A:$I,9,FALSE)="","",VLOOKUP(A379,[3]PRIORIZADOS!$A:$I,9,FALSE)),"")</f>
        <v>SEGUIMIENTO_Y_SUPERVISIÓN.</v>
      </c>
      <c r="J379" s="11" t="str">
        <f>IFERROR(IF(VLOOKUP(A379,[3]PRIORIZADOS!$A:$J,10,FALSE)="","",VLOOKUP(A379,[3]PRIORIZADOS!$A:$J,10,FALSE)),"")</f>
        <v xml:space="preserve">Verificar la implementación por parte de los colegios, de acciones realizadas para la prevención y atención de las situaciones de convivencia en el entorno escolar, según lo establecido en la Directiva 01 de 2022 del MEN. </v>
      </c>
      <c r="K379" s="11" t="str">
        <f>IFERROR(IF(VLOOKUP(A379,[3]PRIORIZADOS!$A:$K,11,FALSE)="","",VLOOKUP(A379,[3]PRIORIZADOS!$A:$K,11,FALSE)),"")</f>
        <v>ANA ANDREA VARGAS GONZÁLEZ</v>
      </c>
      <c r="L379" s="11" t="str">
        <f>IFERROR(IF(VLOOKUP(A379,[3]PRIORIZADOS!$A:$L,12,FALSE)="","",VLOOKUP(A379,[3]PRIORIZADOS!$A:$L,12,FALSE)),"")</f>
        <v>JOSÉ ANTONIO PÁEZ FETECUA</v>
      </c>
      <c r="M379" s="71">
        <f>IFERROR(IF(VLOOKUP(A379,[3]PRIORIZADOS!$A:$M,13,FALSE)="","",VLOOKUP(A379,[3]PRIORIZADOS!$A:$M,13,FALSE)),"")</f>
        <v>45862</v>
      </c>
      <c r="N379" s="71">
        <f>IFERROR(IF(VLOOKUP(A379,[3]PRIORIZADOS!$A:$N,14,FALSE)="","",VLOOKUP(A379,[3]PRIORIZADOS!$A:$N,14,FALSE)),"")</f>
        <v>45862</v>
      </c>
      <c r="O379" s="71">
        <f>IFERROR(IF(VLOOKUP(A379,[3]PRIORIZADOS!$A:$O,15,FALSE)="","",VLOOKUP(A379,[3]PRIORIZADOS!$A:$O,15,FALSE)),"")</f>
        <v>45862</v>
      </c>
      <c r="P379" s="11" t="str">
        <f>IFERROR(IF(VLOOKUP(A379,[3]PRIORIZADOS!$A:$P,16,FALSE)="","",VLOOKUP(A379,[3]PRIORIZADOS!$A:$P,16,FALSE)),"")</f>
        <v>Visitas de evaluación con fines de mejoramiento</v>
      </c>
      <c r="Q379" s="124" t="s">
        <v>72</v>
      </c>
      <c r="R379" s="11" t="str">
        <f>IFERROR(IF(VLOOKUP(A379,[3]PRIORIZADOS!$A:$R,18,FALSE)="","",VLOOKUP(A379,[3]PRIORIZADOS!$A:$R,18,FALSE)),"")</f>
        <v>Se verifica la implementación de acciones  realizadas para la prevención como lo es la verificación de inhabilidades por delitos sexuales en el sistema de la Policía Nacional.</v>
      </c>
      <c r="S379" s="11" t="str">
        <f>IFERROR(IF(VLOOKUP(A379,[3]PRIORIZADOS!$A:$S,19,FALSE)="","",VLOOKUP(A379,[3]PRIORIZADOS!$A:$S,19,FALSE)),"")</f>
        <v>Como acción de verificación se solicita implementar  la autorización de directivos, docentes y administrativos para las consultas de antecedentes en los sistemas que se requieran al momento de la vinculación</v>
      </c>
      <c r="T379" s="70" t="str">
        <f>IFERROR(IF(VLOOKUP(A379,[3]PRIORIZADOS!$A:$T,20,FALSE)="","",VLOOKUP(A379,[3]PRIORIZADOS!$A:$T,20,FALSE)),"")</f>
        <v>No</v>
      </c>
      <c r="U379" s="11" t="str">
        <f>IFERROR(IF(VLOOKUP(A379,[3]PRIORIZADOS!$A:$U,21,FALSE)="","",VLOOKUP(A379,[3]PRIORIZADOS!$A:$U,21,FALSE)),"")</f>
        <v>Verificar que la IE cuente con las respectivas autorizaciones para las consultas de antedecentes del personal vinculado.</v>
      </c>
    </row>
    <row r="380" spans="1:21" s="1" customFormat="1" ht="107.25">
      <c r="A380" s="69">
        <f>IF([3]PRIORIZADOS!A191="","",[3]PRIORIZADOS!A191)</f>
        <v>386</v>
      </c>
      <c r="B380" s="70">
        <f>IFERROR(IF(VLOOKUP(A380,[3]PRIORIZADOS!$A:$B,2,FALSE)="","",VLOOKUP(A380,[3]PRIORIZADOS!$A:$B,2,FALSE)),"")</f>
        <v>21</v>
      </c>
      <c r="C380" s="11" t="str">
        <f>IFERROR(IF(VLOOKUP(A380,[3]PRIORIZADOS!$A:$C,3,FALSE)="","",VLOOKUP(A380,[3]PRIORIZADOS!$A:$C,3,FALSE)),"")</f>
        <v>BOSA</v>
      </c>
      <c r="D380" s="11" t="str">
        <f>IFERROR(IF(VLOOKUP(A380,[3]PRIORIZADOS!$A:$D,4,FALSE)="","",VLOOKUP(A380,[3]PRIORIZADOS!$A:$D,4,FALSE)),"")</f>
        <v>PRIVADO</v>
      </c>
      <c r="E380" s="11" t="str">
        <f>IFERROR(IF(VLOOKUP(A380,[3]PRIORIZADOS!$A:$E,5,FALSE)="","",VLOOKUP(A380,[3]PRIORIZADOS!$A:$E,5,FALSE)),"")</f>
        <v>EPBM</v>
      </c>
      <c r="F380" s="11" t="str">
        <f>IFERROR(IF(VLOOKUP(A380,[3]PRIORIZADOS!$A:$F,6,FALSE)="","",VLOOKUP(A380,[3]PRIORIZADOS!$A:$F,6,FALSE)),"")</f>
        <v>LICEO_PSICOPEDAGOGICO_EL_CARMELO</v>
      </c>
      <c r="G380" s="11" t="str">
        <f>IFERROR(IF(VLOOKUP(A380,[3]PRIORIZADOS!$A:$G,7,FALSE)="","",VLOOKUP(A380,[3]PRIORIZADOS!$A:$G,7,FALSE)),"")</f>
        <v>LICEO PSICOPEDAGOGICO EL CARMELO</v>
      </c>
      <c r="H380" s="11" t="str">
        <f>IFERROR(IF(VLOOKUP(A380,[3]PRIORIZADOS!$A:$H,8,FALSE)="","",VLOOKUP(A380,[3]PRIORIZADOS!$A:$H,8,FALSE)),"")</f>
        <v>Autoevaluación Institucional y Pruebas SABER 11</v>
      </c>
      <c r="I380" s="11" t="str">
        <f>IFERROR(IF(VLOOKUP(A380,[3]PRIORIZADOS!$A:$I,9,FALSE)="","",VLOOKUP(A380,[3]PRIORIZADOS!$A:$I,9,FALSE)),"")</f>
        <v>SEGUIMIENTO_Y_SUPERVISIÓN.</v>
      </c>
      <c r="J380" s="11" t="str">
        <f>IFERROR(IF(VLOOKUP(A380,[3]PRIORIZADOS!$A:$J,10,FALSE)="","",VLOOKUP(A380,[3]PRIORIZADOS!$A:$J,10,FALSE)),"")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80" s="11" t="str">
        <f>IFERROR(IF(VLOOKUP(A380,[3]PRIORIZADOS!$A:$K,11,FALSE)="","",VLOOKUP(A380,[3]PRIORIZADOS!$A:$K,11,FALSE)),"")</f>
        <v>ANA ANDREA VARGAS GONZÁLEZ</v>
      </c>
      <c r="L380" s="11" t="str">
        <f>IFERROR(IF(VLOOKUP(A380,[3]PRIORIZADOS!$A:$L,12,FALSE)="","",VLOOKUP(A380,[3]PRIORIZADOS!$A:$L,12,FALSE)),"")</f>
        <v>JOSÉ ANTONIO PÁEZ FETECUA</v>
      </c>
      <c r="M380" s="71">
        <f>IFERROR(IF(VLOOKUP(A380,[3]PRIORIZADOS!$A:$M,13,FALSE)="","",VLOOKUP(A380,[3]PRIORIZADOS!$A:$M,13,FALSE)),"")</f>
        <v>45862</v>
      </c>
      <c r="N380" s="71">
        <f>IFERROR(IF(VLOOKUP(A380,[3]PRIORIZADOS!$A:$N,14,FALSE)="","",VLOOKUP(A380,[3]PRIORIZADOS!$A:$N,14,FALSE)),"")</f>
        <v>45862</v>
      </c>
      <c r="O380" s="71">
        <f>IFERROR(IF(VLOOKUP(A380,[3]PRIORIZADOS!$A:$O,15,FALSE)="","",VLOOKUP(A380,[3]PRIORIZADOS!$A:$O,15,FALSE)),"")</f>
        <v>45862</v>
      </c>
      <c r="P380" s="11" t="str">
        <f>IFERROR(IF(VLOOKUP(A380,[3]PRIORIZADOS!$A:$P,16,FALSE)="","",VLOOKUP(A380,[3]PRIORIZADOS!$A:$P,16,FALSE)),"")</f>
        <v>Visitas de evaluación con fines de mejoramiento</v>
      </c>
      <c r="Q380" s="124" t="s">
        <v>72</v>
      </c>
      <c r="R380" s="11" t="str">
        <f>IFERROR(IF(VLOOKUP(A380,[3]PRIORIZADOS!$A:$R,18,FALSE)="","",VLOOKUP(A380,[3]PRIORIZADOS!$A:$R,18,FALSE)),"")</f>
        <v>Al revisar la Plataforma SIMAT, hay 08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80" s="11" t="str">
        <f>IFERROR(IF(VLOOKUP(A380,[3]PRIORIZADOS!$A:$S,19,FALSE)="","",VLOOKUP(A380,[3]PRIORIZADOS!$A:$S,19,FALSE)),"")</f>
        <v>La Institución Educativa se compromete a remitir el Documento Institucional del Plan Individual de Ajustes Razonables PIAR</v>
      </c>
      <c r="T380" s="70" t="str">
        <f>IFERROR(IF(VLOOKUP(A380,[3]PRIORIZADOS!$A:$T,20,FALSE)="","",VLOOKUP(A380,[3]PRIORIZADOS!$A:$T,20,FALSE)),"")</f>
        <v>No</v>
      </c>
      <c r="U380" s="11" t="str">
        <f>IFERROR(IF(VLOOKUP(A380,[3]PRIORIZADOS!$A:$U,21,FALSE)="","",VLOOKUP(A380,[3]PRIORIZADOS!$A:$U,21,FALSE)),"")</f>
        <v>Verificar la información en SIMAT</v>
      </c>
    </row>
    <row r="381" spans="1:21" s="1" customFormat="1" ht="84">
      <c r="A381" s="69">
        <f>IF([3]PRIORIZADOS!A192="","",[3]PRIORIZADOS!A192)</f>
        <v>387</v>
      </c>
      <c r="B381" s="70">
        <f>IFERROR(IF(VLOOKUP(A381,[3]PRIORIZADOS!$A:$B,2,FALSE)="","",VLOOKUP(A381,[3]PRIORIZADOS!$A:$B,2,FALSE)),"")</f>
        <v>21</v>
      </c>
      <c r="C381" s="11" t="str">
        <f>IFERROR(IF(VLOOKUP(A381,[3]PRIORIZADOS!$A:$C,3,FALSE)="","",VLOOKUP(A381,[3]PRIORIZADOS!$A:$C,3,FALSE)),"")</f>
        <v>BOSA</v>
      </c>
      <c r="D381" s="11" t="str">
        <f>IFERROR(IF(VLOOKUP(A381,[3]PRIORIZADOS!$A:$D,4,FALSE)="","",VLOOKUP(A381,[3]PRIORIZADOS!$A:$D,4,FALSE)),"")</f>
        <v>PRIVADO</v>
      </c>
      <c r="E381" s="11" t="str">
        <f>IFERROR(IF(VLOOKUP(A381,[3]PRIORIZADOS!$A:$E,5,FALSE)="","",VLOOKUP(A381,[3]PRIORIZADOS!$A:$E,5,FALSE)),"")</f>
        <v>EPBM</v>
      </c>
      <c r="F381" s="11" t="str">
        <f>IFERROR(IF(VLOOKUP(A381,[3]PRIORIZADOS!$A:$F,6,FALSE)="","",VLOOKUP(A381,[3]PRIORIZADOS!$A:$F,6,FALSE)),"")</f>
        <v>LICEO_PSICOPEDAGOGICO_EL_CARMELO</v>
      </c>
      <c r="G381" s="11" t="str">
        <f>IFERROR(IF(VLOOKUP(A381,[3]PRIORIZADOS!$A:$G,7,FALSE)="","",VLOOKUP(A381,[3]PRIORIZADOS!$A:$G,7,FALSE)),"")</f>
        <v>LICEO PSICOPEDAGOGICO EL CARMELO</v>
      </c>
      <c r="H381" s="11" t="str">
        <f>IFERROR(IF(VLOOKUP(A381,[3]PRIORIZADOS!$A:$H,8,FALSE)="","",VLOOKUP(A381,[3]PRIORIZADOS!$A:$H,8,FALSE)),"")</f>
        <v>Autoevaluación Institucional y Pruebas SABER 11</v>
      </c>
      <c r="I381" s="11" t="str">
        <f>IFERROR(IF(VLOOKUP(A381,[3]PRIORIZADOS!$A:$I,9,FALSE)="","",VLOOKUP(A381,[3]PRIORIZADOS!$A:$I,9,FALSE)),"")</f>
        <v>EVALUACIÓN_CON_FINES_DE_MEJORAMIENTO.</v>
      </c>
      <c r="J381" s="11" t="str">
        <f>IFERROR(IF(VLOOKUP(A381,[3]PRIORIZADOS!$A:$J,10,FALSE)="","",VLOOKUP(A381,[3]PRIORIZADOS!$A:$J,10,FALSE)),"")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81" s="11" t="str">
        <f>IFERROR(IF(VLOOKUP(A381,[3]PRIORIZADOS!$A:$K,11,FALSE)="","",VLOOKUP(A381,[3]PRIORIZADOS!$A:$K,11,FALSE)),"")</f>
        <v>ANA ANDREA VARGAS GONZÁLEZ</v>
      </c>
      <c r="L381" s="11" t="str">
        <f>IFERROR(IF(VLOOKUP(A381,[3]PRIORIZADOS!$A:$L,12,FALSE)="","",VLOOKUP(A381,[3]PRIORIZADOS!$A:$L,12,FALSE)),"")</f>
        <v>JOSÉ ANTONIO PÁEZ FETECUA</v>
      </c>
      <c r="M381" s="71">
        <f>IFERROR(IF(VLOOKUP(A381,[3]PRIORIZADOS!$A:$M,13,FALSE)="","",VLOOKUP(A381,[3]PRIORIZADOS!$A:$M,13,FALSE)),"")</f>
        <v>45862</v>
      </c>
      <c r="N381" s="71">
        <f>IFERROR(IF(VLOOKUP(A381,[3]PRIORIZADOS!$A:$N,14,FALSE)="","",VLOOKUP(A381,[3]PRIORIZADOS!$A:$N,14,FALSE)),"")</f>
        <v>45862</v>
      </c>
      <c r="O381" s="71">
        <f>IFERROR(IF(VLOOKUP(A381,[3]PRIORIZADOS!$A:$O,15,FALSE)="","",VLOOKUP(A381,[3]PRIORIZADOS!$A:$O,15,FALSE)),"")</f>
        <v>45862</v>
      </c>
      <c r="P381" s="11" t="str">
        <f>IFERROR(IF(VLOOKUP(A381,[3]PRIORIZADOS!$A:$P,16,FALSE)="","",VLOOKUP(A381,[3]PRIORIZADOS!$A:$P,16,FALSE)),"")</f>
        <v>Visitas de evaluación con fines de mejoramiento</v>
      </c>
      <c r="Q381" s="124" t="s">
        <v>72</v>
      </c>
      <c r="R381" s="11" t="str">
        <f>IFERROR(IF(VLOOKUP(A381,[3]PRIORIZADOS!$A:$R,18,FALSE)="","",VLOOKUP(A381,[3]PRIORIZADOS!$A:$R,18,FALSE)),"")</f>
        <v>El Manual de Convivencia fue construido y adoptado de forma participativa e incluye los componentes generales, los diferentes enfoques y se encuentra conforme a lo establecido en el PEI y la normatividad vigente</v>
      </c>
      <c r="S381" s="11" t="str">
        <f>IFERROR(IF(VLOOKUP(A381,[3]PRIORIZADOS!$A:$S,19,FALSE)="","",VLOOKUP(A381,[3]PRIORIZADOS!$A:$S,19,FALSE)),"")</f>
        <v>Como acción de verificación la Institución Educativa se compromete a remitir la versión actualizada del Manual de Convivencia a la vigencia 2024 -2025</v>
      </c>
      <c r="T381" s="70" t="str">
        <f>IFERROR(IF(VLOOKUP(A381,[3]PRIORIZADOS!$A:$T,20,FALSE)="","",VLOOKUP(A381,[3]PRIORIZADOS!$A:$T,20,FALSE)),"")</f>
        <v>No</v>
      </c>
      <c r="U381" s="11" t="str">
        <f>IFERROR(IF(VLOOKUP(A381,[3]PRIORIZADOS!$A:$U,21,FALSE)="","",VLOOKUP(A381,[3]PRIORIZADOS!$A:$U,21,FALSE)),"")</f>
        <v>Verificar nuevamente el documento en el mes de agosto de 2025 y generar espacios de asesoría, conforme lo requiera la IE</v>
      </c>
    </row>
    <row r="382" spans="1:21" s="1" customFormat="1" ht="72">
      <c r="A382" s="69">
        <f>IF([3]PRIORIZADOS!A193="","",[3]PRIORIZADOS!A193)</f>
        <v>388</v>
      </c>
      <c r="B382" s="70">
        <f>IFERROR(IF(VLOOKUP(A382,[3]PRIORIZADOS!$A:$B,2,FALSE)="","",VLOOKUP(A382,[3]PRIORIZADOS!$A:$B,2,FALSE)),"")</f>
        <v>21</v>
      </c>
      <c r="C382" s="11" t="str">
        <f>IFERROR(IF(VLOOKUP(A382,[3]PRIORIZADOS!$A:$C,3,FALSE)="","",VLOOKUP(A382,[3]PRIORIZADOS!$A:$C,3,FALSE)),"")</f>
        <v>BOSA</v>
      </c>
      <c r="D382" s="11" t="str">
        <f>IFERROR(IF(VLOOKUP(A382,[3]PRIORIZADOS!$A:$D,4,FALSE)="","",VLOOKUP(A382,[3]PRIORIZADOS!$A:$D,4,FALSE)),"")</f>
        <v>PRIVADO</v>
      </c>
      <c r="E382" s="11" t="str">
        <f>IFERROR(IF(VLOOKUP(A382,[3]PRIORIZADOS!$A:$E,5,FALSE)="","",VLOOKUP(A382,[3]PRIORIZADOS!$A:$E,5,FALSE)),"")</f>
        <v>EPBM</v>
      </c>
      <c r="F382" s="11" t="str">
        <f>IFERROR(IF(VLOOKUP(A382,[3]PRIORIZADOS!$A:$F,6,FALSE)="","",VLOOKUP(A382,[3]PRIORIZADOS!$A:$F,6,FALSE)),"")</f>
        <v>LICEO_PSICOPEDAGOGICO_EL_CARMELO</v>
      </c>
      <c r="G382" s="11" t="str">
        <f>IFERROR(IF(VLOOKUP(A382,[3]PRIORIZADOS!$A:$G,7,FALSE)="","",VLOOKUP(A382,[3]PRIORIZADOS!$A:$G,7,FALSE)),"")</f>
        <v>LICEO PSICOPEDAGOGICO EL CARMELO</v>
      </c>
      <c r="H382" s="11" t="str">
        <f>IFERROR(IF(VLOOKUP(A382,[3]PRIORIZADOS!$A:$H,8,FALSE)="","",VLOOKUP(A382,[3]PRIORIZADOS!$A:$H,8,FALSE)),"")</f>
        <v>Autoevaluación Institucional y Pruebas SABER 11</v>
      </c>
      <c r="I382" s="11" t="str">
        <f>IFERROR(IF(VLOOKUP(A382,[3]PRIORIZADOS!$A:$I,9,FALSE)="","",VLOOKUP(A382,[3]PRIORIZADOS!$A:$I,9,FALSE)),"")</f>
        <v>EVALUACIÓN_CON_FINES_DE_MEJORAMIENTO.</v>
      </c>
      <c r="J382" s="11" t="str">
        <f>IFERROR(IF(VLOOKUP(A382,[3]PRIORIZADOS!$A:$J,10,FALSE)="","",VLOOKUP(A382,[3]PRIORIZADOS!$A:$J,10,FALSE)),"")</f>
        <v>Revisar la actualización, socialización e implementación del Sistema Institucional de Evaluación de Estudiantes - SIEE, en articulación con la actualización del PEI y la normatividad vigente.</v>
      </c>
      <c r="K382" s="11" t="str">
        <f>IFERROR(IF(VLOOKUP(A382,[3]PRIORIZADOS!$A:$K,11,FALSE)="","",VLOOKUP(A382,[3]PRIORIZADOS!$A:$K,11,FALSE)),"")</f>
        <v>ANA ANDREA VARGAS GONZÁLEZ</v>
      </c>
      <c r="L382" s="11" t="str">
        <f>IFERROR(IF(VLOOKUP(A382,[3]PRIORIZADOS!$A:$L,12,FALSE)="","",VLOOKUP(A382,[3]PRIORIZADOS!$A:$L,12,FALSE)),"")</f>
        <v>JOSÉ ANTONIO PÁEZ FETECUA</v>
      </c>
      <c r="M382" s="71">
        <f>IFERROR(IF(VLOOKUP(A382,[3]PRIORIZADOS!$A:$M,13,FALSE)="","",VLOOKUP(A382,[3]PRIORIZADOS!$A:$M,13,FALSE)),"")</f>
        <v>45862</v>
      </c>
      <c r="N382" s="71">
        <f>IFERROR(IF(VLOOKUP(A382,[3]PRIORIZADOS!$A:$N,14,FALSE)="","",VLOOKUP(A382,[3]PRIORIZADOS!$A:$N,14,FALSE)),"")</f>
        <v>45862</v>
      </c>
      <c r="O382" s="71">
        <f>IFERROR(IF(VLOOKUP(A382,[3]PRIORIZADOS!$A:$O,15,FALSE)="","",VLOOKUP(A382,[3]PRIORIZADOS!$A:$O,15,FALSE)),"")</f>
        <v>45862</v>
      </c>
      <c r="P382" s="11" t="str">
        <f>IFERROR(IF(VLOOKUP(A382,[3]PRIORIZADOS!$A:$P,16,FALSE)="","",VLOOKUP(A382,[3]PRIORIZADOS!$A:$P,16,FALSE)),"")</f>
        <v>Visitas de evaluación con fines de mejoramiento</v>
      </c>
      <c r="Q382" s="124" t="s">
        <v>72</v>
      </c>
      <c r="R382" s="11" t="str">
        <f>IFERROR(IF(VLOOKUP(A382,[3]PRIORIZADOS!$A:$R,18,FALSE)="","",VLOOKUP(A382,[3]PRIORIZADOS!$A:$R,18,FALSE)),"")</f>
        <v>Se evidencia el Sistema Institucional de Evaluación de Estudiantes - SIEE, actualizado para la vigencia 2025. Fue construido en articulación con el Consejo Directivo y la comunidad educativa desde el año 2019 y se actualiza cada 2 años</v>
      </c>
      <c r="S382" s="11" t="str">
        <f>IFERROR(IF(VLOOKUP(A382,[3]PRIORIZADOS!$A:$S,19,FALSE)="","",VLOOKUP(A382,[3]PRIORIZADOS!$A:$S,19,FALSE)),"")</f>
        <v>Como acción de verificación la Institución Educativa se compromete a remitir la versión actualizada del  Sistema institucional de evaluación de los estudiantes- SIEE</v>
      </c>
      <c r="T382" s="70" t="str">
        <f>IFERROR(IF(VLOOKUP(A382,[3]PRIORIZADOS!$A:$T,20,FALSE)="","",VLOOKUP(A382,[3]PRIORIZADOS!$A:$T,20,FALSE)),"")</f>
        <v>No</v>
      </c>
      <c r="U382" s="11" t="str">
        <f>IFERROR(IF(VLOOKUP(A382,[3]PRIORIZADOS!$A:$U,21,FALSE)="","",VLOOKUP(A382,[3]PRIORIZADOS!$A:$U,21,FALSE)),"")</f>
        <v>Verificar nuevamente el documento en el mes de agosto de 2025 y generar espacios de asesoría, conforme lo requiera la IE</v>
      </c>
    </row>
    <row r="383" spans="1:21" s="1" customFormat="1" ht="48">
      <c r="A383" s="69">
        <f>IF([3]PRIORIZADOS!A194="","",[3]PRIORIZADOS!A194)</f>
        <v>389</v>
      </c>
      <c r="B383" s="70">
        <f>IFERROR(IF(VLOOKUP(A383,[3]PRIORIZADOS!$A:$B,2,FALSE)="","",VLOOKUP(A383,[3]PRIORIZADOS!$A:$B,2,FALSE)),"")</f>
        <v>21</v>
      </c>
      <c r="C383" s="11" t="str">
        <f>IFERROR(IF(VLOOKUP(A383,[3]PRIORIZADOS!$A:$C,3,FALSE)="","",VLOOKUP(A383,[3]PRIORIZADOS!$A:$C,3,FALSE)),"")</f>
        <v>BOSA</v>
      </c>
      <c r="D383" s="11" t="str">
        <f>IFERROR(IF(VLOOKUP(A383,[3]PRIORIZADOS!$A:$D,4,FALSE)="","",VLOOKUP(A383,[3]PRIORIZADOS!$A:$D,4,FALSE)),"")</f>
        <v>PRIVADO</v>
      </c>
      <c r="E383" s="11" t="str">
        <f>IFERROR(IF(VLOOKUP(A383,[3]PRIORIZADOS!$A:$E,5,FALSE)="","",VLOOKUP(A383,[3]PRIORIZADOS!$A:$E,5,FALSE)),"")</f>
        <v>EPBM</v>
      </c>
      <c r="F383" s="11" t="str">
        <f>IFERROR(IF(VLOOKUP(A383,[3]PRIORIZADOS!$A:$F,6,FALSE)="","",VLOOKUP(A383,[3]PRIORIZADOS!$A:$F,6,FALSE)),"")</f>
        <v>LICEO_PSICOPEDAGOGICO_EL_CARMELO</v>
      </c>
      <c r="G383" s="11" t="str">
        <f>IFERROR(IF(VLOOKUP(A383,[3]PRIORIZADOS!$A:$G,7,FALSE)="","",VLOOKUP(A383,[3]PRIORIZADOS!$A:$G,7,FALSE)),"")</f>
        <v>LICEO PSICOPEDAGOGICO EL CARMELO</v>
      </c>
      <c r="H383" s="11" t="str">
        <f>IFERROR(IF(VLOOKUP(A383,[3]PRIORIZADOS!$A:$H,8,FALSE)="","",VLOOKUP(A383,[3]PRIORIZADOS!$A:$H,8,FALSE)),"")</f>
        <v>Autoevaluación Institucional y Pruebas SABER 11</v>
      </c>
      <c r="I383" s="11" t="str">
        <f>IFERROR(IF(VLOOKUP(A383,[3]PRIORIZADOS!$A:$I,9,FALSE)="","",VLOOKUP(A383,[3]PRIORIZADOS!$A:$I,9,FALSE)),"")</f>
        <v>EVALUACIÓN_CON_FINES_DE_MEJORAMIENTO.</v>
      </c>
      <c r="J383" s="11" t="str">
        <f>IFERROR(IF(VLOOKUP(A383,[3]PRIORIZADOS!$A:$J,10,FALSE)="","",VLOOKUP(A383,[3]PRIORIZADOS!$A:$J,10,FALSE)),"")</f>
        <v>Revisar el calendario escolar, jornada escolar, la intensidad horaria mínima anual en cada nivel y las modificaciones que se realicen al mismo, de acuerdo con lo previsto en la normatividad vigente.</v>
      </c>
      <c r="K383" s="11" t="str">
        <f>IFERROR(IF(VLOOKUP(A383,[3]PRIORIZADOS!$A:$K,11,FALSE)="","",VLOOKUP(A383,[3]PRIORIZADOS!$A:$K,11,FALSE)),"")</f>
        <v>ANA ANDREA VARGAS GONZÁLEZ</v>
      </c>
      <c r="L383" s="11" t="str">
        <f>IFERROR(IF(VLOOKUP(A383,[3]PRIORIZADOS!$A:$L,12,FALSE)="","",VLOOKUP(A383,[3]PRIORIZADOS!$A:$L,12,FALSE)),"")</f>
        <v>JOSÉ ANTONIO PÁEZ FETECUA</v>
      </c>
      <c r="M383" s="71">
        <f>IFERROR(IF(VLOOKUP(A383,[3]PRIORIZADOS!$A:$M,13,FALSE)="","",VLOOKUP(A383,[3]PRIORIZADOS!$A:$M,13,FALSE)),"")</f>
        <v>45862</v>
      </c>
      <c r="N383" s="71">
        <f>IFERROR(IF(VLOOKUP(A383,[3]PRIORIZADOS!$A:$N,14,FALSE)="","",VLOOKUP(A383,[3]PRIORIZADOS!$A:$N,14,FALSE)),"")</f>
        <v>45862</v>
      </c>
      <c r="O383" s="71">
        <f>IFERROR(IF(VLOOKUP(A383,[3]PRIORIZADOS!$A:$O,15,FALSE)="","",VLOOKUP(A383,[3]PRIORIZADOS!$A:$O,15,FALSE)),"")</f>
        <v>45862</v>
      </c>
      <c r="P383" s="11" t="str">
        <f>IFERROR(IF(VLOOKUP(A383,[3]PRIORIZADOS!$A:$P,16,FALSE)="","",VLOOKUP(A383,[3]PRIORIZADOS!$A:$P,16,FALSE)),"")</f>
        <v>Visitas de evaluación con fines de mejoramiento</v>
      </c>
      <c r="Q383" s="124" t="s">
        <v>72</v>
      </c>
      <c r="R383" s="11" t="str">
        <f>IFERROR(IF(VLOOKUP(A383,[3]PRIORIZADOS!$A:$R,18,FALSE)="","",VLOOKUP(A383,[3]PRIORIZADOS!$A:$R,18,FALSE)),"")</f>
        <v>El calendario escolar, jornada escolar, la intensidad horaria mínima anual en cada nivel se encuentran conforme lo previsto en la normatividad vigente</v>
      </c>
      <c r="S383" s="11" t="str">
        <f>IFERROR(IF(VLOOKUP(A383,[3]PRIORIZADOS!$A:$S,19,FALSE)="","",VLOOKUP(A383,[3]PRIORIZADOS!$A:$S,19,FALSE)),"")</f>
        <v>Como acción de verificación la Institución Educativa se compromete a remitir la versión actualizada calendario escolar</v>
      </c>
      <c r="T383" s="70" t="str">
        <f>IFERROR(IF(VLOOKUP(A383,[3]PRIORIZADOS!$A:$T,20,FALSE)="","",VLOOKUP(A383,[3]PRIORIZADOS!$A:$T,20,FALSE)),"")</f>
        <v>No</v>
      </c>
      <c r="U383" s="11" t="str">
        <f>IFERROR(IF(VLOOKUP(A383,[3]PRIORIZADOS!$A:$U,21,FALSE)="","",VLOOKUP(A383,[3]PRIORIZADOS!$A:$U,21,FALSE)),"")</f>
        <v>Verificar nuevamente el documento en el mes de agosto de 2025 y generar espacios de asesoría, conforme lo requiera la IE</v>
      </c>
    </row>
    <row r="384" spans="1:21" s="1" customFormat="1" ht="48">
      <c r="A384" s="69">
        <f>IF([3]PRIORIZADOS!A195="","",[3]PRIORIZADOS!A195)</f>
        <v>390</v>
      </c>
      <c r="B384" s="70">
        <f>IFERROR(IF(VLOOKUP(A384,[3]PRIORIZADOS!$A:$B,2,FALSE)="","",VLOOKUP(A384,[3]PRIORIZADOS!$A:$B,2,FALSE)),"")</f>
        <v>21</v>
      </c>
      <c r="C384" s="11" t="str">
        <f>IFERROR(IF(VLOOKUP(A384,[3]PRIORIZADOS!$A:$C,3,FALSE)="","",VLOOKUP(A384,[3]PRIORIZADOS!$A:$C,3,FALSE)),"")</f>
        <v>BOSA</v>
      </c>
      <c r="D384" s="11" t="str">
        <f>IFERROR(IF(VLOOKUP(A384,[3]PRIORIZADOS!$A:$D,4,FALSE)="","",VLOOKUP(A384,[3]PRIORIZADOS!$A:$D,4,FALSE)),"")</f>
        <v>PRIVADO</v>
      </c>
      <c r="E384" s="11" t="str">
        <f>IFERROR(IF(VLOOKUP(A384,[3]PRIORIZADOS!$A:$E,5,FALSE)="","",VLOOKUP(A384,[3]PRIORIZADOS!$A:$E,5,FALSE)),"")</f>
        <v>EPBM</v>
      </c>
      <c r="F384" s="11" t="str">
        <f>IFERROR(IF(VLOOKUP(A384,[3]PRIORIZADOS!$A:$F,6,FALSE)="","",VLOOKUP(A384,[3]PRIORIZADOS!$A:$F,6,FALSE)),"")</f>
        <v>LICEO_PSICOPEDAGOGICO_EL_CARMELO</v>
      </c>
      <c r="G384" s="11" t="str">
        <f>IFERROR(IF(VLOOKUP(A384,[3]PRIORIZADOS!$A:$G,7,FALSE)="","",VLOOKUP(A384,[3]PRIORIZADOS!$A:$G,7,FALSE)),"")</f>
        <v>LICEO PSICOPEDAGOGICO EL CARMELO</v>
      </c>
      <c r="H384" s="11" t="str">
        <f>IFERROR(IF(VLOOKUP(A384,[3]PRIORIZADOS!$A:$H,8,FALSE)="","",VLOOKUP(A384,[3]PRIORIZADOS!$A:$H,8,FALSE)),"")</f>
        <v>Autoevaluación Institucional y Pruebas SABER 11</v>
      </c>
      <c r="I384" s="11" t="str">
        <f>IFERROR(IF(VLOOKUP(A384,[3]PRIORIZADOS!$A:$I,9,FALSE)="","",VLOOKUP(A384,[3]PRIORIZADOS!$A:$I,9,FALSE)),"")</f>
        <v>EVALUACIÓN_CON_FINES_DE_MEJORAMIENTO.</v>
      </c>
      <c r="J384" s="11" t="str">
        <f>IFERROR(IF(VLOOKUP(A384,[3]PRIORIZADOS!$A:$J,10,FALSE)="","",VLOOKUP(A384,[3]PRIORIZADOS!$A:$J,10,FALSE)),"")</f>
        <v>Verificar el funcionamiento del Gobierno Escolar e instancias de participación con base en la información sobre conformación reportada por la institución educativa.</v>
      </c>
      <c r="K384" s="11" t="str">
        <f>IFERROR(IF(VLOOKUP(A384,[3]PRIORIZADOS!$A:$K,11,FALSE)="","",VLOOKUP(A384,[3]PRIORIZADOS!$A:$K,11,FALSE)),"")</f>
        <v>ANA ANDREA VARGAS GONZÁLEZ</v>
      </c>
      <c r="L384" s="11" t="str">
        <f>IFERROR(IF(VLOOKUP(A384,[3]PRIORIZADOS!$A:$L,12,FALSE)="","",VLOOKUP(A384,[3]PRIORIZADOS!$A:$L,12,FALSE)),"")</f>
        <v>JOSÉ ANTONIO PÁEZ FETECUA</v>
      </c>
      <c r="M384" s="71">
        <f>IFERROR(IF(VLOOKUP(A384,[3]PRIORIZADOS!$A:$M,13,FALSE)="","",VLOOKUP(A384,[3]PRIORIZADOS!$A:$M,13,FALSE)),"")</f>
        <v>45862</v>
      </c>
      <c r="N384" s="71">
        <f>IFERROR(IF(VLOOKUP(A384,[3]PRIORIZADOS!$A:$N,14,FALSE)="","",VLOOKUP(A384,[3]PRIORIZADOS!$A:$N,14,FALSE)),"")</f>
        <v>45862</v>
      </c>
      <c r="O384" s="71">
        <f>IFERROR(IF(VLOOKUP(A384,[3]PRIORIZADOS!$A:$O,15,FALSE)="","",VLOOKUP(A384,[3]PRIORIZADOS!$A:$O,15,FALSE)),"")</f>
        <v>45862</v>
      </c>
      <c r="P384" s="11" t="str">
        <f>IFERROR(IF(VLOOKUP(A384,[3]PRIORIZADOS!$A:$P,16,FALSE)="","",VLOOKUP(A384,[3]PRIORIZADOS!$A:$P,16,FALSE)),"")</f>
        <v>Visitas de evaluación con fines de mejoramiento</v>
      </c>
      <c r="Q384" s="124" t="s">
        <v>72</v>
      </c>
      <c r="R384" s="11" t="str">
        <f>IFERROR(IF(VLOOKUP(A384,[3]PRIORIZADOS!$A:$R,18,FALSE)="","",VLOOKUP(A384,[3]PRIORIZADOS!$A:$R,18,FALSE)),"")</f>
        <v>La constitución del Gobierno Escolar y sus órganos de participación, se encuentra conforme a la Normativa Vigente</v>
      </c>
      <c r="S384" s="11" t="str">
        <f>IFERROR(IF(VLOOKUP(A384,[3]PRIORIZADOS!$A:$S,19,FALSE)="","",VLOOKUP(A384,[3]PRIORIZADOS!$A:$S,19,FALSE)),"")</f>
        <v>Continuar operando conforme funciones y reglamentos.</v>
      </c>
      <c r="T384" s="70" t="str">
        <f>IFERROR(IF(VLOOKUP(A384,[3]PRIORIZADOS!$A:$T,20,FALSE)="","",VLOOKUP(A384,[3]PRIORIZADOS!$A:$T,20,FALSE)),"")</f>
        <v>No</v>
      </c>
      <c r="U384" s="11" t="str">
        <f>IFERROR(IF(VLOOKUP(A384,[3]PRIORIZADOS!$A:$U,21,FALSE)="","",VLOOKUP(A384,[3]PRIORIZADOS!$A:$U,21,FALSE)),"")</f>
        <v>Verificar la conformación del Gobierno Escolar e instancias para la vigencia 2026 o antes si la IE lo requiere o se presenta solicitud o queja.</v>
      </c>
    </row>
    <row r="385" spans="1:21" s="1" customFormat="1" ht="60">
      <c r="A385" s="69">
        <f>IF([3]PRIORIZADOS!A196="","",[3]PRIORIZADOS!A196)</f>
        <v>391</v>
      </c>
      <c r="B385" s="70">
        <f>IFERROR(IF(VLOOKUP(A385,[3]PRIORIZADOS!$A:$B,2,FALSE)="","",VLOOKUP(A385,[3]PRIORIZADOS!$A:$B,2,FALSE)),"")</f>
        <v>21</v>
      </c>
      <c r="C385" s="11" t="str">
        <f>IFERROR(IF(VLOOKUP(A385,[3]PRIORIZADOS!$A:$C,3,FALSE)="","",VLOOKUP(A385,[3]PRIORIZADOS!$A:$C,3,FALSE)),"")</f>
        <v>BOSA</v>
      </c>
      <c r="D385" s="11" t="str">
        <f>IFERROR(IF(VLOOKUP(A385,[3]PRIORIZADOS!$A:$D,4,FALSE)="","",VLOOKUP(A385,[3]PRIORIZADOS!$A:$D,4,FALSE)),"")</f>
        <v>PRIVADO</v>
      </c>
      <c r="E385" s="11" t="str">
        <f>IFERROR(IF(VLOOKUP(A385,[3]PRIORIZADOS!$A:$E,5,FALSE)="","",VLOOKUP(A385,[3]PRIORIZADOS!$A:$E,5,FALSE)),"")</f>
        <v>EPBM</v>
      </c>
      <c r="F385" s="11" t="str">
        <f>IFERROR(IF(VLOOKUP(A385,[3]PRIORIZADOS!$A:$F,6,FALSE)="","",VLOOKUP(A385,[3]PRIORIZADOS!$A:$F,6,FALSE)),"")</f>
        <v>LICEO_PSICOPEDAGOGICO_EL_CARMELO</v>
      </c>
      <c r="G385" s="11" t="str">
        <f>IFERROR(IF(VLOOKUP(A385,[3]PRIORIZADOS!$A:$G,7,FALSE)="","",VLOOKUP(A385,[3]PRIORIZADOS!$A:$G,7,FALSE)),"")</f>
        <v>LICEO PSICOPEDAGOGICO EL CARMELO</v>
      </c>
      <c r="H385" s="11" t="str">
        <f>IFERROR(IF(VLOOKUP(A385,[3]PRIORIZADOS!$A:$H,8,FALSE)="","",VLOOKUP(A385,[3]PRIORIZADOS!$A:$H,8,FALSE)),"")</f>
        <v>Autoevaluación Institucional y Pruebas SABER 11</v>
      </c>
      <c r="I385" s="11" t="str">
        <f>IFERROR(IF(VLOOKUP(A385,[3]PRIORIZADOS!$A:$I,9,FALSE)="","",VLOOKUP(A385,[3]PRIORIZADOS!$A:$I,9,FALSE)),"")</f>
        <v>EVALUACIÓN_CON_FINES_DE_MEJORAMIENTO.</v>
      </c>
      <c r="J385" s="11" t="str">
        <f>IFERROR(IF(VLOOKUP(A385,[3]PRIORIZADOS!$A:$J,10,FALSE)="","",VLOOKUP(A385,[3]PRIORIZADOS!$A:$J,10,FALSE)),"")</f>
        <v>Verificar las condiciones en cuanto a: la estructura administrativa, condiciones de la planta física y medios educativos adecuados.</v>
      </c>
      <c r="K385" s="11" t="str">
        <f>IFERROR(IF(VLOOKUP(A385,[3]PRIORIZADOS!$A:$K,11,FALSE)="","",VLOOKUP(A385,[3]PRIORIZADOS!$A:$K,11,FALSE)),"")</f>
        <v>ANA ANDREA VARGAS GONZÁLEZ</v>
      </c>
      <c r="L385" s="11" t="str">
        <f>IFERROR(IF(VLOOKUP(A385,[3]PRIORIZADOS!$A:$L,12,FALSE)="","",VLOOKUP(A385,[3]PRIORIZADOS!$A:$L,12,FALSE)),"")</f>
        <v>JOSÉ ANTONIO PÁEZ FETECUA</v>
      </c>
      <c r="M385" s="71">
        <f>IFERROR(IF(VLOOKUP(A385,[3]PRIORIZADOS!$A:$M,13,FALSE)="","",VLOOKUP(A385,[3]PRIORIZADOS!$A:$M,13,FALSE)),"")</f>
        <v>45862</v>
      </c>
      <c r="N385" s="71">
        <f>IFERROR(IF(VLOOKUP(A385,[3]PRIORIZADOS!$A:$N,14,FALSE)="","",VLOOKUP(A385,[3]PRIORIZADOS!$A:$N,14,FALSE)),"")</f>
        <v>45862</v>
      </c>
      <c r="O385" s="71">
        <f>IFERROR(IF(VLOOKUP(A385,[3]PRIORIZADOS!$A:$O,15,FALSE)="","",VLOOKUP(A385,[3]PRIORIZADOS!$A:$O,15,FALSE)),"")</f>
        <v>45862</v>
      </c>
      <c r="P385" s="11" t="str">
        <f>IFERROR(IF(VLOOKUP(A385,[3]PRIORIZADOS!$A:$P,16,FALSE)="","",VLOOKUP(A385,[3]PRIORIZADOS!$A:$P,16,FALSE)),"")</f>
        <v>Visitas de evaluación con fines de mejoramiento</v>
      </c>
      <c r="Q385" s="124" t="s">
        <v>72</v>
      </c>
      <c r="R385" s="11" t="str">
        <f>IFERROR(IF(VLOOKUP(A385,[3]PRIORIZADOS!$A:$R,18,FALSE)="","",VLOOKUP(A385,[3]PRIORIZADOS!$A:$R,18,FALSE)),"")</f>
        <v>Se realiza un recorrido en las instalaciones de la IE, verificando las condiciones en cuanto a: la estructura administrativa, condiciones de la planta física y medios educativos adecuados.</v>
      </c>
      <c r="S385" s="11" t="str">
        <f>IFERROR(IF(VLOOKUP(A385,[3]PRIORIZADOS!$A:$S,19,FALSE)="","",VLOOKUP(A385,[3]PRIORIZADOS!$A:$S,19,FALSE)),"")</f>
        <v>Las condiciones de la planta física son adecuadas y se recomienda actualizar el mobiliario más antiguo</v>
      </c>
      <c r="T385" s="70" t="str">
        <f>IFERROR(IF(VLOOKUP(A385,[3]PRIORIZADOS!$A:$T,20,FALSE)="","",VLOOKUP(A385,[3]PRIORIZADOS!$A:$T,20,FALSE)),"")</f>
        <v>No</v>
      </c>
      <c r="U385" s="11" t="str">
        <f>IFERROR(IF(VLOOKUP(A385,[3]PRIORIZADOS!$A:$U,21,FALSE)="","",VLOOKUP(A385,[3]PRIORIZADOS!$A:$U,21,FALSE)),"")</f>
        <v>Las condiciones de la planta física garantizan la adecuada prestación del servicio educativo</v>
      </c>
    </row>
    <row r="386" spans="1:21" s="1" customFormat="1" ht="96">
      <c r="A386" s="69">
        <f>IF([3]PRIORIZADOS!A197="","",[3]PRIORIZADOS!A197)</f>
        <v>392</v>
      </c>
      <c r="B386" s="70">
        <f>IFERROR(IF(VLOOKUP(A386,[3]PRIORIZADOS!$A:$B,2,FALSE)="","",VLOOKUP(A386,[3]PRIORIZADOS!$A:$B,2,FALSE)),"")</f>
        <v>22</v>
      </c>
      <c r="C386" s="11" t="str">
        <f>IFERROR(IF(VLOOKUP(A386,[3]PRIORIZADOS!$A:$C,3,FALSE)="","",VLOOKUP(A386,[3]PRIORIZADOS!$A:$C,3,FALSE)),"")</f>
        <v>BOSA</v>
      </c>
      <c r="D386" s="11" t="str">
        <f>IFERROR(IF(VLOOKUP(A386,[3]PRIORIZADOS!$A:$D,4,FALSE)="","",VLOOKUP(A386,[3]PRIORIZADOS!$A:$D,4,FALSE)),"")</f>
        <v>PRIVADO</v>
      </c>
      <c r="E386" s="11" t="str">
        <f>IFERROR(IF(VLOOKUP(A386,[3]PRIORIZADOS!$A:$E,5,FALSE)="","",VLOOKUP(A386,[3]PRIORIZADOS!$A:$E,5,FALSE)),"")</f>
        <v>EPBM</v>
      </c>
      <c r="F386" s="11" t="str">
        <f>IFERROR(IF(VLOOKUP(A386,[3]PRIORIZADOS!$A:$F,6,FALSE)="","",VLOOKUP(A386,[3]PRIORIZADOS!$A:$F,6,FALSE)),"")</f>
        <v>LICEO_SAN_PABLO</v>
      </c>
      <c r="G386" s="11" t="str">
        <f>IFERROR(IF(VLOOKUP(A386,[3]PRIORIZADOS!$A:$G,7,FALSE)="","",VLOOKUP(A386,[3]PRIORIZADOS!$A:$G,7,FALSE)),"")</f>
        <v>LICEO SAN PABLO</v>
      </c>
      <c r="H386" s="11" t="str">
        <f>IFERROR(IF(VLOOKUP(A386,[3]PRIORIZADOS!$A:$H,8,FALSE)="","",VLOOKUP(A386,[3]PRIORIZADOS!$A:$H,8,FALSE)),"")</f>
        <v>Autoevaluación Institucional y Pruebas SABER 11</v>
      </c>
      <c r="I386" s="11" t="str">
        <f>IFERROR(IF(VLOOKUP(A386,[3]PRIORIZADOS!$A:$I,9,FALSE)="","",VLOOKUP(A386,[3]PRIORIZADOS!$A:$I,9,FALSE)),"")</f>
        <v>SEGUIMIENTO_Y_SUPERVISIÓN.</v>
      </c>
      <c r="J386" s="11" t="str">
        <f>IFERROR(IF(VLOOKUP(A386,[3]PRIORIZADOS!$A:$J,10,FALSE)="","",VLOOKUP(A386,[3]PRIORIZADOS!$A:$J,10,FALSE)),"")</f>
        <v>Realizar visitas para verificar la información registrada sobre la autoevaluación institucional en el aplicativo EVI, a los establecimientos de educación formal no oficial.</v>
      </c>
      <c r="K386" s="11" t="str">
        <f>IFERROR(IF(VLOOKUP(A386,[3]PRIORIZADOS!$A:$K,11,FALSE)="","",VLOOKUP(A386,[3]PRIORIZADOS!$A:$K,11,FALSE)),"")</f>
        <v>ESTEFANY PEÑA GARCIA</v>
      </c>
      <c r="L386" s="11" t="str">
        <f>IFERROR(IF(VLOOKUP(A386,[3]PRIORIZADOS!$A:$L,12,FALSE)="","",VLOOKUP(A386,[3]PRIORIZADOS!$A:$L,12,FALSE)),"")</f>
        <v>ANA ANDREA VARGAS GONZÁLEZ</v>
      </c>
      <c r="M386" s="71">
        <f>IFERROR(IF(VLOOKUP(A386,[3]PRIORIZADOS!$A:$M,13,FALSE)="","",VLOOKUP(A386,[3]PRIORIZADOS!$A:$M,13,FALSE)),"")</f>
        <v>45867</v>
      </c>
      <c r="N386" s="71">
        <f>IFERROR(IF(VLOOKUP(A386,[3]PRIORIZADOS!$A:$N,14,FALSE)="","",VLOOKUP(A386,[3]PRIORIZADOS!$A:$N,14,FALSE)),"")</f>
        <v>45867</v>
      </c>
      <c r="O386" s="71">
        <f>IFERROR(IF(VLOOKUP(A386,[3]PRIORIZADOS!$A:$O,15,FALSE)="","",VLOOKUP(A386,[3]PRIORIZADOS!$A:$O,15,FALSE)),"")</f>
        <v>45867</v>
      </c>
      <c r="P386" s="11" t="str">
        <f>IFERROR(IF(VLOOKUP(A386,[3]PRIORIZADOS!$A:$P,16,FALSE)="","",VLOOKUP(A386,[3]PRIORIZADOS!$A:$P,16,FALSE)),"")</f>
        <v>Visitas de evaluación con fines de mejoramiento</v>
      </c>
      <c r="Q386" s="124" t="s">
        <v>73</v>
      </c>
      <c r="R386" s="11" t="str">
        <f>IFERROR(IF(VLOOKUP(A386,[3]PRIORIZADOS!$A:$R,18,FALSE)="","",VLOOKUP(A386,[3]PRIORIZADOS!$A:$R,18,FALSE)),"")</f>
        <v>La información consignada en la Plataforma EVI relacionada con los indicadores de: planta física, dotación de espacios y calendario académico no coincide con lo verificado en campo. Se evidencia que la dirección Calle 65 Sur # 78J - 75 no se encuentra en funcionamiento</v>
      </c>
      <c r="S386" s="11" t="str">
        <f>IFERROR(IF(VLOOKUP(A386,[3]PRIORIZADOS!$A:$S,19,FALSE)="","",VLOOKUP(A386,[3]PRIORIZADOS!$A:$S,19,FALSE)),"")</f>
        <v>Se concluye que la IE realizará su autoevalución institucional en el mes octubre y reportara la novedad de su plamta física a la Dirección Local de Educación de Bosa</v>
      </c>
      <c r="T386" s="70" t="str">
        <f>IFERROR(IF(VLOOKUP(A386,[3]PRIORIZADOS!$A:$T,20,FALSE)="","",VLOOKUP(A386,[3]PRIORIZADOS!$A:$T,20,FALSE)),"")</f>
        <v>Si</v>
      </c>
      <c r="U386" s="11" t="str">
        <f>IFERROR(IF(VLOOKUP(A386,[3]PRIORIZADOS!$A:$U,21,FALSE)="","",VLOOKUP(A386,[3]PRIORIZADOS!$A:$U,21,FALSE)),"")</f>
        <v>Se verificará la información cargada por la IE en el aplicativo EVI de la autoevaluación,  para la emisión del concepto de tarifas 2026, así como las direcciones</v>
      </c>
    </row>
    <row r="387" spans="1:21" s="1" customFormat="1" ht="72">
      <c r="A387" s="69">
        <f>IF([3]PRIORIZADOS!A198="","",[3]PRIORIZADOS!A198)</f>
        <v>393</v>
      </c>
      <c r="B387" s="70">
        <f>IFERROR(IF(VLOOKUP(A387,[3]PRIORIZADOS!$A:$B,2,FALSE)="","",VLOOKUP(A387,[3]PRIORIZADOS!$A:$B,2,FALSE)),"")</f>
        <v>22</v>
      </c>
      <c r="C387" s="11" t="str">
        <f>IFERROR(IF(VLOOKUP(A387,[3]PRIORIZADOS!$A:$C,3,FALSE)="","",VLOOKUP(A387,[3]PRIORIZADOS!$A:$C,3,FALSE)),"")</f>
        <v>BOSA</v>
      </c>
      <c r="D387" s="11" t="str">
        <f>IFERROR(IF(VLOOKUP(A387,[3]PRIORIZADOS!$A:$D,4,FALSE)="","",VLOOKUP(A387,[3]PRIORIZADOS!$A:$D,4,FALSE)),"")</f>
        <v>PRIVADO</v>
      </c>
      <c r="E387" s="11" t="str">
        <f>IFERROR(IF(VLOOKUP(A387,[3]PRIORIZADOS!$A:$E,5,FALSE)="","",VLOOKUP(A387,[3]PRIORIZADOS!$A:$E,5,FALSE)),"")</f>
        <v>EPBM</v>
      </c>
      <c r="F387" s="11" t="str">
        <f>IFERROR(IF(VLOOKUP(A387,[3]PRIORIZADOS!$A:$F,6,FALSE)="","",VLOOKUP(A387,[3]PRIORIZADOS!$A:$F,6,FALSE)),"")</f>
        <v>LICEO_SAN_PABLO</v>
      </c>
      <c r="G387" s="11" t="str">
        <f>IFERROR(IF(VLOOKUP(A387,[3]PRIORIZADOS!$A:$G,7,FALSE)="","",VLOOKUP(A387,[3]PRIORIZADOS!$A:$G,7,FALSE)),"")</f>
        <v>LICEO SAN PABLO</v>
      </c>
      <c r="H387" s="11" t="str">
        <f>IFERROR(IF(VLOOKUP(A387,[3]PRIORIZADOS!$A:$H,8,FALSE)="","",VLOOKUP(A387,[3]PRIORIZADOS!$A:$H,8,FALSE)),"")</f>
        <v>Autoevaluación Institucional y Pruebas SABER 11</v>
      </c>
      <c r="I387" s="11" t="str">
        <f>IFERROR(IF(VLOOKUP(A387,[3]PRIORIZADOS!$A:$I,9,FALSE)="","",VLOOKUP(A387,[3]PRIORIZADOS!$A:$I,9,FALSE)),"")</f>
        <v>SEGUIMIENTO_Y_SUPERVISIÓN.</v>
      </c>
      <c r="J387" s="11" t="str">
        <f>IFERROR(IF(VLOOKUP(A387,[3]PRIORIZADOS!$A:$J,10,FALSE)="","",VLOOKUP(A387,[3]PRIORIZADOS!$A:$J,10,FALSE)),"")</f>
        <v>Proponer estrategias en la formulación, verificar su elaboración y realizar seguimiento semestral al desarrollo de  las acciones establecidas en los planes de mejoramiento por pruebas SABER 11 de los establecimientos de educación formal.</v>
      </c>
      <c r="K387" s="11" t="str">
        <f>IFERROR(IF(VLOOKUP(A387,[3]PRIORIZADOS!$A:$K,11,FALSE)="","",VLOOKUP(A387,[3]PRIORIZADOS!$A:$K,11,FALSE)),"")</f>
        <v>ESTEFANY PEÑA GARCIA</v>
      </c>
      <c r="L387" s="11" t="str">
        <f>IFERROR(IF(VLOOKUP(A387,[3]PRIORIZADOS!$A:$L,12,FALSE)="","",VLOOKUP(A387,[3]PRIORIZADOS!$A:$L,12,FALSE)),"")</f>
        <v>ANA ANDREA VARGAS GONZÁLEZ</v>
      </c>
      <c r="M387" s="71">
        <f>IFERROR(IF(VLOOKUP(A387,[3]PRIORIZADOS!$A:$M,13,FALSE)="","",VLOOKUP(A387,[3]PRIORIZADOS!$A:$M,13,FALSE)),"")</f>
        <v>45867</v>
      </c>
      <c r="N387" s="71">
        <f>IFERROR(IF(VLOOKUP(A387,[3]PRIORIZADOS!$A:$N,14,FALSE)="","",VLOOKUP(A387,[3]PRIORIZADOS!$A:$N,14,FALSE)),"")</f>
        <v>45867</v>
      </c>
      <c r="O387" s="71">
        <f>IFERROR(IF(VLOOKUP(A387,[3]PRIORIZADOS!$A:$O,15,FALSE)="","",VLOOKUP(A387,[3]PRIORIZADOS!$A:$O,15,FALSE)),"")</f>
        <v>45867</v>
      </c>
      <c r="P387" s="11" t="str">
        <f>IFERROR(IF(VLOOKUP(A387,[3]PRIORIZADOS!$A:$P,16,FALSE)="","",VLOOKUP(A387,[3]PRIORIZADOS!$A:$P,16,FALSE)),"")</f>
        <v>Visitas de evaluación con fines de mejoramiento</v>
      </c>
      <c r="Q387" s="124" t="s">
        <v>73</v>
      </c>
      <c r="R387" s="11" t="str">
        <f>IFERROR(IF(VLOOKUP(A387,[3]PRIORIZADOS!$A:$R,18,FALSE)="","",VLOOKUP(A387,[3]PRIORIZADOS!$A:$R,18,FALSE)),"")</f>
        <v>La IE se encuentra en Categoría B, realizó la revisión y análisis de los resultados para  actualización del curriculo y el plan de estudios. Se ha adelantado el diagnóstico y la propuesta de Intervención, aplicando pruebas preliminares</v>
      </c>
      <c r="S387" s="11" t="str">
        <f>IFERROR(IF(VLOOKUP(A387,[3]PRIORIZADOS!$A:$S,19,FALSE)="","",VLOOKUP(A387,[3]PRIORIZADOS!$A:$S,19,FALSE)),"")</f>
        <v>La IE se compromete a diseñar un Plan de Mejoramiento con estrategia actualizada que cuente con cronograma, actividades específicas y proceso de seguimiento y evaluación</v>
      </c>
      <c r="T387" s="70" t="str">
        <f>IFERROR(IF(VLOOKUP(A387,[3]PRIORIZADOS!$A:$T,20,FALSE)="","",VLOOKUP(A387,[3]PRIORIZADOS!$A:$T,20,FALSE)),"")</f>
        <v>Si</v>
      </c>
      <c r="U387" s="11" t="str">
        <f>IFERROR(IF(VLOOKUP(A387,[3]PRIORIZADOS!$A:$U,21,FALSE)="","",VLOOKUP(A387,[3]PRIORIZADOS!$A:$U,21,FALSE)),"")</f>
        <v>Se hará seguimiento en Agosto de 2025 al plan de mejoramiento, que está relacionado con el diagnóstico y los resultados de las Pruebas Saber 11  Vigencia 2024 y las capacitaciones de docentes y los simulacros de las pruebas con estudiantes, de acuerdo con las acciones descritas. Se remite por parte de la Institución Educativa el documento preliminar del Plan de Mejora donde se encuentran las acciones descritas en el numeral 6.5 del formato de visita, que serán implementadas a partir del mes de abril de 2025.</v>
      </c>
    </row>
    <row r="388" spans="1:21" s="1" customFormat="1" ht="72">
      <c r="A388" s="69">
        <f>IF([3]PRIORIZADOS!A199="","",[3]PRIORIZADOS!A199)</f>
        <v>394</v>
      </c>
      <c r="B388" s="70">
        <f>IFERROR(IF(VLOOKUP(A388,[3]PRIORIZADOS!$A:$B,2,FALSE)="","",VLOOKUP(A388,[3]PRIORIZADOS!$A:$B,2,FALSE)),"")</f>
        <v>22</v>
      </c>
      <c r="C388" s="11" t="str">
        <f>IFERROR(IF(VLOOKUP(A388,[3]PRIORIZADOS!$A:$C,3,FALSE)="","",VLOOKUP(A388,[3]PRIORIZADOS!$A:$C,3,FALSE)),"")</f>
        <v>BOSA</v>
      </c>
      <c r="D388" s="11" t="str">
        <f>IFERROR(IF(VLOOKUP(A388,[3]PRIORIZADOS!$A:$D,4,FALSE)="","",VLOOKUP(A388,[3]PRIORIZADOS!$A:$D,4,FALSE)),"")</f>
        <v>PRIVADO</v>
      </c>
      <c r="E388" s="11" t="str">
        <f>IFERROR(IF(VLOOKUP(A388,[3]PRIORIZADOS!$A:$E,5,FALSE)="","",VLOOKUP(A388,[3]PRIORIZADOS!$A:$E,5,FALSE)),"")</f>
        <v>EPBM</v>
      </c>
      <c r="F388" s="11" t="str">
        <f>IFERROR(IF(VLOOKUP(A388,[3]PRIORIZADOS!$A:$F,6,FALSE)="","",VLOOKUP(A388,[3]PRIORIZADOS!$A:$F,6,FALSE)),"")</f>
        <v>LICEO_SAN_PABLO</v>
      </c>
      <c r="G388" s="11" t="str">
        <f>IFERROR(IF(VLOOKUP(A388,[3]PRIORIZADOS!$A:$G,7,FALSE)="","",VLOOKUP(A388,[3]PRIORIZADOS!$A:$G,7,FALSE)),"")</f>
        <v>LICEO SAN PABLO</v>
      </c>
      <c r="H388" s="11" t="str">
        <f>IFERROR(IF(VLOOKUP(A388,[3]PRIORIZADOS!$A:$H,8,FALSE)="","",VLOOKUP(A388,[3]PRIORIZADOS!$A:$H,8,FALSE)),"")</f>
        <v>Autoevaluación Institucional y Pruebas SABER 11</v>
      </c>
      <c r="I388" s="11" t="str">
        <f>IFERROR(IF(VLOOKUP(A388,[3]PRIORIZADOS!$A:$I,9,FALSE)="","",VLOOKUP(A388,[3]PRIORIZADOS!$A:$I,9,FALSE)),"")</f>
        <v>SEGUIMIENTO_Y_SUPERVISIÓN.</v>
      </c>
      <c r="J388" s="11" t="str">
        <f>IFERROR(IF(VLOOKUP(A388,[3]PRIORIZADOS!$A:$J,10,FALSE)="","",VLOOKUP(A388,[3]PRIORIZADOS!$A:$J,10,FALSE)),"")</f>
        <v xml:space="preserve">Verificar la implementación por parte de los colegios, de acciones realizadas para la prevención y atención de las situaciones de convivencia en el entorno escolar, según lo establecido en la Directiva 01 de 2022 del MEN. </v>
      </c>
      <c r="K388" s="11" t="str">
        <f>IFERROR(IF(VLOOKUP(A388,[3]PRIORIZADOS!$A:$K,11,FALSE)="","",VLOOKUP(A388,[3]PRIORIZADOS!$A:$K,11,FALSE)),"")</f>
        <v>ESTEFANY PEÑA GARCIA</v>
      </c>
      <c r="L388" s="11" t="str">
        <f>IFERROR(IF(VLOOKUP(A388,[3]PRIORIZADOS!$A:$L,12,FALSE)="","",VLOOKUP(A388,[3]PRIORIZADOS!$A:$L,12,FALSE)),"")</f>
        <v>ANA ANDREA VARGAS GONZÁLEZ</v>
      </c>
      <c r="M388" s="71">
        <f>IFERROR(IF(VLOOKUP(A388,[3]PRIORIZADOS!$A:$M,13,FALSE)="","",VLOOKUP(A388,[3]PRIORIZADOS!$A:$M,13,FALSE)),"")</f>
        <v>45867</v>
      </c>
      <c r="N388" s="71">
        <f>IFERROR(IF(VLOOKUP(A388,[3]PRIORIZADOS!$A:$N,14,FALSE)="","",VLOOKUP(A388,[3]PRIORIZADOS!$A:$N,14,FALSE)),"")</f>
        <v>45867</v>
      </c>
      <c r="O388" s="71">
        <f>IFERROR(IF(VLOOKUP(A388,[3]PRIORIZADOS!$A:$O,15,FALSE)="","",VLOOKUP(A388,[3]PRIORIZADOS!$A:$O,15,FALSE)),"")</f>
        <v>45867</v>
      </c>
      <c r="P388" s="11" t="str">
        <f>IFERROR(IF(VLOOKUP(A388,[3]PRIORIZADOS!$A:$P,16,FALSE)="","",VLOOKUP(A388,[3]PRIORIZADOS!$A:$P,16,FALSE)),"")</f>
        <v>Visitas de evaluación con fines de mejoramiento</v>
      </c>
      <c r="Q388" s="124" t="s">
        <v>73</v>
      </c>
      <c r="R388" s="11" t="str">
        <f>IFERROR(IF(VLOOKUP(A388,[3]PRIORIZADOS!$A:$R,18,FALSE)="","",VLOOKUP(A388,[3]PRIORIZADOS!$A:$R,18,FALSE)),"")</f>
        <v>Se verifica la implementación de acciones  realizadas para la prevención como lo es la verificación de inhabilidades por delitos sexuales en el sistema de la Policía Nacional.</v>
      </c>
      <c r="S388" s="11" t="str">
        <f>IFERROR(IF(VLOOKUP(A388,[3]PRIORIZADOS!$A:$S,19,FALSE)="","",VLOOKUP(A388,[3]PRIORIZADOS!$A:$S,19,FALSE)),"")</f>
        <v>Como acción de verificación se solicita implementar  la autorización de directivos, docentes y administrativos para las consultas de antecedentes en los sistemas que se requieran al momento de la vinculación</v>
      </c>
      <c r="T388" s="70" t="str">
        <f>IFERROR(IF(VLOOKUP(A388,[3]PRIORIZADOS!$A:$T,20,FALSE)="","",VLOOKUP(A388,[3]PRIORIZADOS!$A:$T,20,FALSE)),"")</f>
        <v>No</v>
      </c>
      <c r="U388" s="11" t="str">
        <f>IFERROR(IF(VLOOKUP(A388,[3]PRIORIZADOS!$A:$U,21,FALSE)="","",VLOOKUP(A388,[3]PRIORIZADOS!$A:$U,21,FALSE)),"")</f>
        <v>Verificar que la IE cuente con las respectivas autorizaciones para las consultas de antedecentes del personal vinculado.</v>
      </c>
    </row>
    <row r="389" spans="1:21" s="1" customFormat="1" ht="107.25">
      <c r="A389" s="69">
        <f>IF([3]PRIORIZADOS!A200="","",[3]PRIORIZADOS!A200)</f>
        <v>395</v>
      </c>
      <c r="B389" s="70">
        <f>IFERROR(IF(VLOOKUP(A389,[3]PRIORIZADOS!$A:$B,2,FALSE)="","",VLOOKUP(A389,[3]PRIORIZADOS!$A:$B,2,FALSE)),"")</f>
        <v>22</v>
      </c>
      <c r="C389" s="11" t="str">
        <f>IFERROR(IF(VLOOKUP(A389,[3]PRIORIZADOS!$A:$C,3,FALSE)="","",VLOOKUP(A389,[3]PRIORIZADOS!$A:$C,3,FALSE)),"")</f>
        <v>BOSA</v>
      </c>
      <c r="D389" s="11" t="str">
        <f>IFERROR(IF(VLOOKUP(A389,[3]PRIORIZADOS!$A:$D,4,FALSE)="","",VLOOKUP(A389,[3]PRIORIZADOS!$A:$D,4,FALSE)),"")</f>
        <v>PRIVADO</v>
      </c>
      <c r="E389" s="11" t="str">
        <f>IFERROR(IF(VLOOKUP(A389,[3]PRIORIZADOS!$A:$E,5,FALSE)="","",VLOOKUP(A389,[3]PRIORIZADOS!$A:$E,5,FALSE)),"")</f>
        <v>EPBM</v>
      </c>
      <c r="F389" s="11" t="str">
        <f>IFERROR(IF(VLOOKUP(A389,[3]PRIORIZADOS!$A:$F,6,FALSE)="","",VLOOKUP(A389,[3]PRIORIZADOS!$A:$F,6,FALSE)),"")</f>
        <v>LICEO_SAN_PABLO</v>
      </c>
      <c r="G389" s="11" t="str">
        <f>IFERROR(IF(VLOOKUP(A389,[3]PRIORIZADOS!$A:$G,7,FALSE)="","",VLOOKUP(A389,[3]PRIORIZADOS!$A:$G,7,FALSE)),"")</f>
        <v>LICEO SAN PABLO</v>
      </c>
      <c r="H389" s="11" t="str">
        <f>IFERROR(IF(VLOOKUP(A389,[3]PRIORIZADOS!$A:$H,8,FALSE)="","",VLOOKUP(A389,[3]PRIORIZADOS!$A:$H,8,FALSE)),"")</f>
        <v>Autoevaluación Institucional y Pruebas SABER 11</v>
      </c>
      <c r="I389" s="11" t="str">
        <f>IFERROR(IF(VLOOKUP(A389,[3]PRIORIZADOS!$A:$I,9,FALSE)="","",VLOOKUP(A389,[3]PRIORIZADOS!$A:$I,9,FALSE)),"")</f>
        <v>SEGUIMIENTO_Y_SUPERVISIÓN.</v>
      </c>
      <c r="J389" s="11" t="str">
        <f>IFERROR(IF(VLOOKUP(A389,[3]PRIORIZADOS!$A:$J,10,FALSE)="","",VLOOKUP(A389,[3]PRIORIZADOS!$A:$J,10,FALSE)),"")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389" s="11" t="str">
        <f>IFERROR(IF(VLOOKUP(A389,[3]PRIORIZADOS!$A:$K,11,FALSE)="","",VLOOKUP(A389,[3]PRIORIZADOS!$A:$K,11,FALSE)),"")</f>
        <v>ESTEFANY PEÑA GARCIA</v>
      </c>
      <c r="L389" s="11" t="str">
        <f>IFERROR(IF(VLOOKUP(A389,[3]PRIORIZADOS!$A:$L,12,FALSE)="","",VLOOKUP(A389,[3]PRIORIZADOS!$A:$L,12,FALSE)),"")</f>
        <v>ANA ANDREA VARGAS GONZÁLEZ</v>
      </c>
      <c r="M389" s="71">
        <f>IFERROR(IF(VLOOKUP(A389,[3]PRIORIZADOS!$A:$M,13,FALSE)="","",VLOOKUP(A389,[3]PRIORIZADOS!$A:$M,13,FALSE)),"")</f>
        <v>45867</v>
      </c>
      <c r="N389" s="71">
        <f>IFERROR(IF(VLOOKUP(A389,[3]PRIORIZADOS!$A:$N,14,FALSE)="","",VLOOKUP(A389,[3]PRIORIZADOS!$A:$N,14,FALSE)),"")</f>
        <v>45867</v>
      </c>
      <c r="O389" s="71">
        <f>IFERROR(IF(VLOOKUP(A389,[3]PRIORIZADOS!$A:$O,15,FALSE)="","",VLOOKUP(A389,[3]PRIORIZADOS!$A:$O,15,FALSE)),"")</f>
        <v>45867</v>
      </c>
      <c r="P389" s="11" t="str">
        <f>IFERROR(IF(VLOOKUP(A389,[3]PRIORIZADOS!$A:$P,16,FALSE)="","",VLOOKUP(A389,[3]PRIORIZADOS!$A:$P,16,FALSE)),"")</f>
        <v>Visitas de evaluación con fines de mejoramiento</v>
      </c>
      <c r="Q389" s="124" t="s">
        <v>73</v>
      </c>
      <c r="R389" s="11" t="str">
        <f>IFERROR(IF(VLOOKUP(A389,[3]PRIORIZADOS!$A:$R,18,FALSE)="","",VLOOKUP(A389,[3]PRIORIZADOS!$A:$R,18,FALSE)),"")</f>
        <v>Al revisar la Plataforma SIMAT, hay 18 estudiantes registragos con discapacidad. Existe en la IE un documento institucional para atender casos relacionados con estudiantes en inclusión de conformmidad con el PEI, el Manual de Convivencia y en atención a la Población con discapacidad, trastornos de aprendizaje y talentos excepcionales</v>
      </c>
      <c r="S389" s="11" t="str">
        <f>IFERROR(IF(VLOOKUP(A389,[3]PRIORIZADOS!$A:$S,19,FALSE)="","",VLOOKUP(A389,[3]PRIORIZADOS!$A:$S,19,FALSE)),"")</f>
        <v>La Institución Educativa se compromete a remitir el Documento Institucional del Plan Individual de Ajustes Razonables PIAR</v>
      </c>
      <c r="T389" s="70" t="str">
        <f>IFERROR(IF(VLOOKUP(A389,[3]PRIORIZADOS!$A:$T,20,FALSE)="","",VLOOKUP(A389,[3]PRIORIZADOS!$A:$T,20,FALSE)),"")</f>
        <v>No</v>
      </c>
      <c r="U389" s="11" t="str">
        <f>IFERROR(IF(VLOOKUP(A389,[3]PRIORIZADOS!$A:$U,21,FALSE)="","",VLOOKUP(A389,[3]PRIORIZADOS!$A:$U,21,FALSE)),"")</f>
        <v>Verificar la información en SIMAT</v>
      </c>
    </row>
    <row r="390" spans="1:21" s="1" customFormat="1" ht="84">
      <c r="A390" s="69">
        <f>IF([3]PRIORIZADOS!A201="","",[3]PRIORIZADOS!A201)</f>
        <v>396</v>
      </c>
      <c r="B390" s="70">
        <f>IFERROR(IF(VLOOKUP(A390,[3]PRIORIZADOS!$A:$B,2,FALSE)="","",VLOOKUP(A390,[3]PRIORIZADOS!$A:$B,2,FALSE)),"")</f>
        <v>22</v>
      </c>
      <c r="C390" s="11" t="str">
        <f>IFERROR(IF(VLOOKUP(A390,[3]PRIORIZADOS!$A:$C,3,FALSE)="","",VLOOKUP(A390,[3]PRIORIZADOS!$A:$C,3,FALSE)),"")</f>
        <v>BOSA</v>
      </c>
      <c r="D390" s="11" t="str">
        <f>IFERROR(IF(VLOOKUP(A390,[3]PRIORIZADOS!$A:$D,4,FALSE)="","",VLOOKUP(A390,[3]PRIORIZADOS!$A:$D,4,FALSE)),"")</f>
        <v>PRIVADO</v>
      </c>
      <c r="E390" s="11" t="str">
        <f>IFERROR(IF(VLOOKUP(A390,[3]PRIORIZADOS!$A:$E,5,FALSE)="","",VLOOKUP(A390,[3]PRIORIZADOS!$A:$E,5,FALSE)),"")</f>
        <v>EPBM</v>
      </c>
      <c r="F390" s="11" t="str">
        <f>IFERROR(IF(VLOOKUP(A390,[3]PRIORIZADOS!$A:$F,6,FALSE)="","",VLOOKUP(A390,[3]PRIORIZADOS!$A:$F,6,FALSE)),"")</f>
        <v>LICEO_SAN_PABLO</v>
      </c>
      <c r="G390" s="11" t="str">
        <f>IFERROR(IF(VLOOKUP(A390,[3]PRIORIZADOS!$A:$G,7,FALSE)="","",VLOOKUP(A390,[3]PRIORIZADOS!$A:$G,7,FALSE)),"")</f>
        <v>LICEO SAN PABLO</v>
      </c>
      <c r="H390" s="11" t="str">
        <f>IFERROR(IF(VLOOKUP(A390,[3]PRIORIZADOS!$A:$H,8,FALSE)="","",VLOOKUP(A390,[3]PRIORIZADOS!$A:$H,8,FALSE)),"")</f>
        <v>Autoevaluación Institucional y Pruebas SABER 11</v>
      </c>
      <c r="I390" s="11" t="str">
        <f>IFERROR(IF(VLOOKUP(A390,[3]PRIORIZADOS!$A:$I,9,FALSE)="","",VLOOKUP(A390,[3]PRIORIZADOS!$A:$I,9,FALSE)),"")</f>
        <v>EVALUACIÓN_CON_FINES_DE_MEJORAMIENTO.</v>
      </c>
      <c r="J390" s="11" t="str">
        <f>IFERROR(IF(VLOOKUP(A390,[3]PRIORIZADOS!$A:$J,10,FALSE)="","",VLOOKUP(A390,[3]PRIORIZADOS!$A:$J,10,FALSE)),"")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390" s="11" t="str">
        <f>IFERROR(IF(VLOOKUP(A390,[3]PRIORIZADOS!$A:$K,11,FALSE)="","",VLOOKUP(A390,[3]PRIORIZADOS!$A:$K,11,FALSE)),"")</f>
        <v>ESTEFANY PEÑA GARCIA</v>
      </c>
      <c r="L390" s="11" t="str">
        <f>IFERROR(IF(VLOOKUP(A390,[3]PRIORIZADOS!$A:$L,12,FALSE)="","",VLOOKUP(A390,[3]PRIORIZADOS!$A:$L,12,FALSE)),"")</f>
        <v>ANA ANDREA VARGAS GONZÁLEZ</v>
      </c>
      <c r="M390" s="71">
        <f>IFERROR(IF(VLOOKUP(A390,[3]PRIORIZADOS!$A:$M,13,FALSE)="","",VLOOKUP(A390,[3]PRIORIZADOS!$A:$M,13,FALSE)),"")</f>
        <v>45867</v>
      </c>
      <c r="N390" s="71">
        <f>IFERROR(IF(VLOOKUP(A390,[3]PRIORIZADOS!$A:$N,14,FALSE)="","",VLOOKUP(A390,[3]PRIORIZADOS!$A:$N,14,FALSE)),"")</f>
        <v>45867</v>
      </c>
      <c r="O390" s="71">
        <f>IFERROR(IF(VLOOKUP(A390,[3]PRIORIZADOS!$A:$O,15,FALSE)="","",VLOOKUP(A390,[3]PRIORIZADOS!$A:$O,15,FALSE)),"")</f>
        <v>45867</v>
      </c>
      <c r="P390" s="11" t="str">
        <f>IFERROR(IF(VLOOKUP(A390,[3]PRIORIZADOS!$A:$P,16,FALSE)="","",VLOOKUP(A390,[3]PRIORIZADOS!$A:$P,16,FALSE)),"")</f>
        <v>Visitas de evaluación con fines de mejoramiento</v>
      </c>
      <c r="Q390" s="124" t="s">
        <v>73</v>
      </c>
      <c r="R390" s="11" t="str">
        <f>IFERROR(IF(VLOOKUP(A390,[3]PRIORIZADOS!$A:$R,18,FALSE)="","",VLOOKUP(A390,[3]PRIORIZADOS!$A:$R,18,FALSE)),"")</f>
        <v xml:space="preserve">Se evidencia Manual de Convivencia actualizado a la vigencia 2024 -2025,  con la participación de la comunidad educativa, el cual requiete algunos ajustes en su contenido ¿cuáles? </v>
      </c>
      <c r="S390" s="11" t="str">
        <f>IFERROR(IF(VLOOKUP(A390,[3]PRIORIZADOS!$A:$S,19,FALSE)="","",VLOOKUP(A390,[3]PRIORIZADOS!$A:$S,19,FALSE)),"")</f>
        <v>Remitir la versión actualizada del Manual de Conviviencia,  para diferenciar entre faltas y situaciones convivenciales, y las sanciones</v>
      </c>
      <c r="T390" s="70" t="str">
        <f>IFERROR(IF(VLOOKUP(A390,[3]PRIORIZADOS!$A:$T,20,FALSE)="","",VLOOKUP(A390,[3]PRIORIZADOS!$A:$T,20,FALSE)),"")</f>
        <v>Si</v>
      </c>
      <c r="U390" s="11" t="str">
        <f>IFERROR(IF(VLOOKUP(A390,[3]PRIORIZADOS!$A:$U,21,FALSE)="","",VLOOKUP(A390,[3]PRIORIZADOS!$A:$U,21,FALSE)),"")</f>
        <v>Revisar el manual actualizado en  2025 y retroalimentar a la IE.</v>
      </c>
    </row>
    <row r="391" spans="1:21" s="1" customFormat="1" ht="60">
      <c r="A391" s="69">
        <f>IF([3]PRIORIZADOS!A202="","",[3]PRIORIZADOS!A202)</f>
        <v>397</v>
      </c>
      <c r="B391" s="70">
        <f>IFERROR(IF(VLOOKUP(A391,[3]PRIORIZADOS!$A:$B,2,FALSE)="","",VLOOKUP(A391,[3]PRIORIZADOS!$A:$B,2,FALSE)),"")</f>
        <v>22</v>
      </c>
      <c r="C391" s="11" t="str">
        <f>IFERROR(IF(VLOOKUP(A391,[3]PRIORIZADOS!$A:$C,3,FALSE)="","",VLOOKUP(A391,[3]PRIORIZADOS!$A:$C,3,FALSE)),"")</f>
        <v>BOSA</v>
      </c>
      <c r="D391" s="11" t="str">
        <f>IFERROR(IF(VLOOKUP(A391,[3]PRIORIZADOS!$A:$D,4,FALSE)="","",VLOOKUP(A391,[3]PRIORIZADOS!$A:$D,4,FALSE)),"")</f>
        <v>PRIVADO</v>
      </c>
      <c r="E391" s="11" t="str">
        <f>IFERROR(IF(VLOOKUP(A391,[3]PRIORIZADOS!$A:$E,5,FALSE)="","",VLOOKUP(A391,[3]PRIORIZADOS!$A:$E,5,FALSE)),"")</f>
        <v>EPBM</v>
      </c>
      <c r="F391" s="11" t="str">
        <f>IFERROR(IF(VLOOKUP(A391,[3]PRIORIZADOS!$A:$F,6,FALSE)="","",VLOOKUP(A391,[3]PRIORIZADOS!$A:$F,6,FALSE)),"")</f>
        <v>LICEO_SAN_PABLO</v>
      </c>
      <c r="G391" s="11" t="str">
        <f>IFERROR(IF(VLOOKUP(A391,[3]PRIORIZADOS!$A:$G,7,FALSE)="","",VLOOKUP(A391,[3]PRIORIZADOS!$A:$G,7,FALSE)),"")</f>
        <v>LICEO SAN PABLO</v>
      </c>
      <c r="H391" s="11" t="str">
        <f>IFERROR(IF(VLOOKUP(A391,[3]PRIORIZADOS!$A:$H,8,FALSE)="","",VLOOKUP(A391,[3]PRIORIZADOS!$A:$H,8,FALSE)),"")</f>
        <v>Autoevaluación Institucional y Pruebas SABER 11</v>
      </c>
      <c r="I391" s="11" t="str">
        <f>IFERROR(IF(VLOOKUP(A391,[3]PRIORIZADOS!$A:$I,9,FALSE)="","",VLOOKUP(A391,[3]PRIORIZADOS!$A:$I,9,FALSE)),"")</f>
        <v>EVALUACIÓN_CON_FINES_DE_MEJORAMIENTO.</v>
      </c>
      <c r="J391" s="11" t="str">
        <f>IFERROR(IF(VLOOKUP(A391,[3]PRIORIZADOS!$A:$J,10,FALSE)="","",VLOOKUP(A391,[3]PRIORIZADOS!$A:$J,10,FALSE)),"")</f>
        <v>Revisar la actualización, socialización e implementación del Sistema Institucional de Evaluación de Estudiantes - SIEE, en articulación con la actualización del PEI y la normatividad vigente.</v>
      </c>
      <c r="K391" s="11" t="str">
        <f>IFERROR(IF(VLOOKUP(A391,[3]PRIORIZADOS!$A:$K,11,FALSE)="","",VLOOKUP(A391,[3]PRIORIZADOS!$A:$K,11,FALSE)),"")</f>
        <v>ESTEFANY PEÑA GARCIA</v>
      </c>
      <c r="L391" s="11" t="str">
        <f>IFERROR(IF(VLOOKUP(A391,[3]PRIORIZADOS!$A:$L,12,FALSE)="","",VLOOKUP(A391,[3]PRIORIZADOS!$A:$L,12,FALSE)),"")</f>
        <v>ANA ANDREA VARGAS GONZÁLEZ</v>
      </c>
      <c r="M391" s="71">
        <f>IFERROR(IF(VLOOKUP(A391,[3]PRIORIZADOS!$A:$M,13,FALSE)="","",VLOOKUP(A391,[3]PRIORIZADOS!$A:$M,13,FALSE)),"")</f>
        <v>45867</v>
      </c>
      <c r="N391" s="71">
        <f>IFERROR(IF(VLOOKUP(A391,[3]PRIORIZADOS!$A:$N,14,FALSE)="","",VLOOKUP(A391,[3]PRIORIZADOS!$A:$N,14,FALSE)),"")</f>
        <v>45867</v>
      </c>
      <c r="O391" s="71">
        <f>IFERROR(IF(VLOOKUP(A391,[3]PRIORIZADOS!$A:$O,15,FALSE)="","",VLOOKUP(A391,[3]PRIORIZADOS!$A:$O,15,FALSE)),"")</f>
        <v>45867</v>
      </c>
      <c r="P391" s="11" t="str">
        <f>IFERROR(IF(VLOOKUP(A391,[3]PRIORIZADOS!$A:$P,16,FALSE)="","",VLOOKUP(A391,[3]PRIORIZADOS!$A:$P,16,FALSE)),"")</f>
        <v>Visitas de evaluación con fines de mejoramiento</v>
      </c>
      <c r="Q391" s="124" t="s">
        <v>73</v>
      </c>
      <c r="R391" s="11" t="str">
        <f>IFERROR(IF(VLOOKUP(A391,[3]PRIORIZADOS!$A:$R,18,FALSE)="","",VLOOKUP(A391,[3]PRIORIZADOS!$A:$R,18,FALSE)),"")</f>
        <v>Se revisa el Sistema Institucional de Evaluación de Estudiantes - SIEE y no se encuentra incorporado en el Manual de Convivencia y requiere algunos ajustes en su contenido.</v>
      </c>
      <c r="S391" s="11" t="str">
        <f>IFERROR(IF(VLOOKUP(A391,[3]PRIORIZADOS!$A:$S,19,FALSE)="","",VLOOKUP(A391,[3]PRIORIZADOS!$A:$S,19,FALSE)),"")</f>
        <v>Remitir la versión actualizada del Sistema Institucional de Evaluación de Estudiantes - SIEE, en articulación con la actualización del PEI y la normatividad vigente.</v>
      </c>
      <c r="T391" s="70" t="str">
        <f>IFERROR(IF(VLOOKUP(A391,[3]PRIORIZADOS!$A:$T,20,FALSE)="","",VLOOKUP(A391,[3]PRIORIZADOS!$A:$T,20,FALSE)),"")</f>
        <v>Si</v>
      </c>
      <c r="U391" s="11" t="str">
        <f>IFERROR(IF(VLOOKUP(A391,[3]PRIORIZADOS!$A:$U,21,FALSE)="","",VLOOKUP(A391,[3]PRIORIZADOS!$A:$U,21,FALSE)),"")</f>
        <v>Revisar el Sistema Institucional de Evaluación de Estudiantes - SIEE actualizado en 2025 y retroalimentar a la IE.</v>
      </c>
    </row>
    <row r="392" spans="1:21" s="1" customFormat="1" ht="48">
      <c r="A392" s="69">
        <f>IF([3]PRIORIZADOS!A203="","",[3]PRIORIZADOS!A203)</f>
        <v>398</v>
      </c>
      <c r="B392" s="70">
        <f>IFERROR(IF(VLOOKUP(A392,[3]PRIORIZADOS!$A:$B,2,FALSE)="","",VLOOKUP(A392,[3]PRIORIZADOS!$A:$B,2,FALSE)),"")</f>
        <v>22</v>
      </c>
      <c r="C392" s="11" t="str">
        <f>IFERROR(IF(VLOOKUP(A392,[3]PRIORIZADOS!$A:$C,3,FALSE)="","",VLOOKUP(A392,[3]PRIORIZADOS!$A:$C,3,FALSE)),"")</f>
        <v>BOSA</v>
      </c>
      <c r="D392" s="11" t="str">
        <f>IFERROR(IF(VLOOKUP(A392,[3]PRIORIZADOS!$A:$D,4,FALSE)="","",VLOOKUP(A392,[3]PRIORIZADOS!$A:$D,4,FALSE)),"")</f>
        <v>PRIVADO</v>
      </c>
      <c r="E392" s="11" t="str">
        <f>IFERROR(IF(VLOOKUP(A392,[3]PRIORIZADOS!$A:$E,5,FALSE)="","",VLOOKUP(A392,[3]PRIORIZADOS!$A:$E,5,FALSE)),"")</f>
        <v>EPBM</v>
      </c>
      <c r="F392" s="11" t="str">
        <f>IFERROR(IF(VLOOKUP(A392,[3]PRIORIZADOS!$A:$F,6,FALSE)="","",VLOOKUP(A392,[3]PRIORIZADOS!$A:$F,6,FALSE)),"")</f>
        <v>LICEO_SAN_PABLO</v>
      </c>
      <c r="G392" s="11" t="str">
        <f>IFERROR(IF(VLOOKUP(A392,[3]PRIORIZADOS!$A:$G,7,FALSE)="","",VLOOKUP(A392,[3]PRIORIZADOS!$A:$G,7,FALSE)),"")</f>
        <v>LICEO SAN PABLO</v>
      </c>
      <c r="H392" s="11" t="str">
        <f>IFERROR(IF(VLOOKUP(A392,[3]PRIORIZADOS!$A:$H,8,FALSE)="","",VLOOKUP(A392,[3]PRIORIZADOS!$A:$H,8,FALSE)),"")</f>
        <v>Autoevaluación Institucional y Pruebas SABER 11</v>
      </c>
      <c r="I392" s="11" t="str">
        <f>IFERROR(IF(VLOOKUP(A392,[3]PRIORIZADOS!$A:$I,9,FALSE)="","",VLOOKUP(A392,[3]PRIORIZADOS!$A:$I,9,FALSE)),"")</f>
        <v>EVALUACIÓN_CON_FINES_DE_MEJORAMIENTO.</v>
      </c>
      <c r="J392" s="11" t="str">
        <f>IFERROR(IF(VLOOKUP(A392,[3]PRIORIZADOS!$A:$J,10,FALSE)="","",VLOOKUP(A392,[3]PRIORIZADOS!$A:$J,10,FALSE)),"")</f>
        <v>Revisar el calendario escolar, jornada escolar, la intensidad horaria mínima anual en cada nivel y las modificaciones que se realicen al mismo, de acuerdo con lo previsto en la normatividad vigente.</v>
      </c>
      <c r="K392" s="11" t="str">
        <f>IFERROR(IF(VLOOKUP(A392,[3]PRIORIZADOS!$A:$K,11,FALSE)="","",VLOOKUP(A392,[3]PRIORIZADOS!$A:$K,11,FALSE)),"")</f>
        <v>ESTEFANY PEÑA GARCIA</v>
      </c>
      <c r="L392" s="11" t="str">
        <f>IFERROR(IF(VLOOKUP(A392,[3]PRIORIZADOS!$A:$L,12,FALSE)="","",VLOOKUP(A392,[3]PRIORIZADOS!$A:$L,12,FALSE)),"")</f>
        <v>ANA ANDREA VARGAS GONZÁLEZ</v>
      </c>
      <c r="M392" s="71">
        <f>IFERROR(IF(VLOOKUP(A392,[3]PRIORIZADOS!$A:$M,13,FALSE)="","",VLOOKUP(A392,[3]PRIORIZADOS!$A:$M,13,FALSE)),"")</f>
        <v>45867</v>
      </c>
      <c r="N392" s="71">
        <f>IFERROR(IF(VLOOKUP(A392,[3]PRIORIZADOS!$A:$N,14,FALSE)="","",VLOOKUP(A392,[3]PRIORIZADOS!$A:$N,14,FALSE)),"")</f>
        <v>45867</v>
      </c>
      <c r="O392" s="71">
        <f>IFERROR(IF(VLOOKUP(A392,[3]PRIORIZADOS!$A:$O,15,FALSE)="","",VLOOKUP(A392,[3]PRIORIZADOS!$A:$O,15,FALSE)),"")</f>
        <v>45867</v>
      </c>
      <c r="P392" s="11" t="str">
        <f>IFERROR(IF(VLOOKUP(A392,[3]PRIORIZADOS!$A:$P,16,FALSE)="","",VLOOKUP(A392,[3]PRIORIZADOS!$A:$P,16,FALSE)),"")</f>
        <v>Visitas de evaluación con fines de mejoramiento</v>
      </c>
      <c r="Q392" s="124" t="s">
        <v>73</v>
      </c>
      <c r="R392" s="11" t="str">
        <f>IFERROR(IF(VLOOKUP(A392,[3]PRIORIZADOS!$A:$R,18,FALSE)="","",VLOOKUP(A392,[3]PRIORIZADOS!$A:$R,18,FALSE)),"")</f>
        <v>Se revisa el documento de Calendario Escolar y no se encuentra discriminado por semanas y la planeación de las jornadas pedagógicas</v>
      </c>
      <c r="S392" s="11" t="str">
        <f>IFERROR(IF(VLOOKUP(A392,[3]PRIORIZADOS!$A:$S,19,FALSE)="","",VLOOKUP(A392,[3]PRIORIZADOS!$A:$S,19,FALSE)),"")</f>
        <v>Remitir la versión actualizada del Calendario Escolar Vigencia 2025</v>
      </c>
      <c r="T392" s="70" t="str">
        <f>IFERROR(IF(VLOOKUP(A392,[3]PRIORIZADOS!$A:$T,20,FALSE)="","",VLOOKUP(A392,[3]PRIORIZADOS!$A:$T,20,FALSE)),"")</f>
        <v>Si</v>
      </c>
      <c r="U392" s="11" t="str">
        <f>IFERROR(IF(VLOOKUP(A392,[3]PRIORIZADOS!$A:$U,21,FALSE)="","",VLOOKUP(A392,[3]PRIORIZADOS!$A:$U,21,FALSE)),"")</f>
        <v>Revisar el Calendario Escolar Vigencia 2025 actualizado en 2025 y retroalimentar a la IE.</v>
      </c>
    </row>
    <row r="393" spans="1:21" s="1" customFormat="1" ht="60">
      <c r="A393" s="69">
        <f>IF([3]PRIORIZADOS!A204="","",[3]PRIORIZADOS!A204)</f>
        <v>399</v>
      </c>
      <c r="B393" s="70">
        <f>IFERROR(IF(VLOOKUP(A393,[3]PRIORIZADOS!$A:$B,2,FALSE)="","",VLOOKUP(A393,[3]PRIORIZADOS!$A:$B,2,FALSE)),"")</f>
        <v>22</v>
      </c>
      <c r="C393" s="11" t="str">
        <f>IFERROR(IF(VLOOKUP(A393,[3]PRIORIZADOS!$A:$C,3,FALSE)="","",VLOOKUP(A393,[3]PRIORIZADOS!$A:$C,3,FALSE)),"")</f>
        <v>BOSA</v>
      </c>
      <c r="D393" s="11" t="str">
        <f>IFERROR(IF(VLOOKUP(A393,[3]PRIORIZADOS!$A:$D,4,FALSE)="","",VLOOKUP(A393,[3]PRIORIZADOS!$A:$D,4,FALSE)),"")</f>
        <v>PRIVADO</v>
      </c>
      <c r="E393" s="11" t="str">
        <f>IFERROR(IF(VLOOKUP(A393,[3]PRIORIZADOS!$A:$E,5,FALSE)="","",VLOOKUP(A393,[3]PRIORIZADOS!$A:$E,5,FALSE)),"")</f>
        <v>EPBM</v>
      </c>
      <c r="F393" s="11" t="str">
        <f>IFERROR(IF(VLOOKUP(A393,[3]PRIORIZADOS!$A:$F,6,FALSE)="","",VLOOKUP(A393,[3]PRIORIZADOS!$A:$F,6,FALSE)),"")</f>
        <v>LICEO_SAN_PABLO</v>
      </c>
      <c r="G393" s="11" t="str">
        <f>IFERROR(IF(VLOOKUP(A393,[3]PRIORIZADOS!$A:$G,7,FALSE)="","",VLOOKUP(A393,[3]PRIORIZADOS!$A:$G,7,FALSE)),"")</f>
        <v>LICEO SAN PABLO</v>
      </c>
      <c r="H393" s="11" t="str">
        <f>IFERROR(IF(VLOOKUP(A393,[3]PRIORIZADOS!$A:$H,8,FALSE)="","",VLOOKUP(A393,[3]PRIORIZADOS!$A:$H,8,FALSE)),"")</f>
        <v>Autoevaluación Institucional y Pruebas SABER 11</v>
      </c>
      <c r="I393" s="11" t="str">
        <f>IFERROR(IF(VLOOKUP(A393,[3]PRIORIZADOS!$A:$I,9,FALSE)="","",VLOOKUP(A393,[3]PRIORIZADOS!$A:$I,9,FALSE)),"")</f>
        <v>EVALUACIÓN_CON_FINES_DE_MEJORAMIENTO.</v>
      </c>
      <c r="J393" s="11" t="str">
        <f>IFERROR(IF(VLOOKUP(A393,[3]PRIORIZADOS!$A:$J,10,FALSE)="","",VLOOKUP(A393,[3]PRIORIZADOS!$A:$J,10,FALSE)),"")</f>
        <v>Verificar el funcionamiento del Gobierno Escolar e instancias de participación con base en la información sobre conformación reportada por la institución educativa.</v>
      </c>
      <c r="K393" s="11" t="str">
        <f>IFERROR(IF(VLOOKUP(A393,[3]PRIORIZADOS!$A:$K,11,FALSE)="","",VLOOKUP(A393,[3]PRIORIZADOS!$A:$K,11,FALSE)),"")</f>
        <v>ESTEFANY PEÑA GARCIA</v>
      </c>
      <c r="L393" s="11" t="str">
        <f>IFERROR(IF(VLOOKUP(A393,[3]PRIORIZADOS!$A:$L,12,FALSE)="","",VLOOKUP(A393,[3]PRIORIZADOS!$A:$L,12,FALSE)),"")</f>
        <v>ANA ANDREA VARGAS GONZÁLEZ</v>
      </c>
      <c r="M393" s="71">
        <f>IFERROR(IF(VLOOKUP(A393,[3]PRIORIZADOS!$A:$M,13,FALSE)="","",VLOOKUP(A393,[3]PRIORIZADOS!$A:$M,13,FALSE)),"")</f>
        <v>45867</v>
      </c>
      <c r="N393" s="71">
        <f>IFERROR(IF(VLOOKUP(A393,[3]PRIORIZADOS!$A:$N,14,FALSE)="","",VLOOKUP(A393,[3]PRIORIZADOS!$A:$N,14,FALSE)),"")</f>
        <v>45867</v>
      </c>
      <c r="O393" s="71">
        <f>IFERROR(IF(VLOOKUP(A393,[3]PRIORIZADOS!$A:$O,15,FALSE)="","",VLOOKUP(A393,[3]PRIORIZADOS!$A:$O,15,FALSE)),"")</f>
        <v>45867</v>
      </c>
      <c r="P393" s="11" t="str">
        <f>IFERROR(IF(VLOOKUP(A393,[3]PRIORIZADOS!$A:$P,16,FALSE)="","",VLOOKUP(A393,[3]PRIORIZADOS!$A:$P,16,FALSE)),"")</f>
        <v>Visitas de evaluación con fines de mejoramiento</v>
      </c>
      <c r="Q393" s="124" t="s">
        <v>73</v>
      </c>
      <c r="R393" s="11" t="str">
        <f>IFERROR(IF(VLOOKUP(A393,[3]PRIORIZADOS!$A:$R,18,FALSE)="","",VLOOKUP(A393,[3]PRIORIZADOS!$A:$R,18,FALSE)),"")</f>
        <v>Se revisa la documentación que corresponde a la conformación del Gobierno Escolar y otros órganos de participación y no están ajustados de acuerdo con la normatividad vigente</v>
      </c>
      <c r="S393" s="11" t="str">
        <f>IFERROR(IF(VLOOKUP(A393,[3]PRIORIZADOS!$A:$S,19,FALSE)="","",VLOOKUP(A393,[3]PRIORIZADOS!$A:$S,19,FALSE)),"")</f>
        <v>Remitir la versión actualizada del Gobierno Escolar y otros órganos de participación vigencia 2025</v>
      </c>
      <c r="T393" s="70" t="str">
        <f>IFERROR(IF(VLOOKUP(A393,[3]PRIORIZADOS!$A:$T,20,FALSE)="","",VLOOKUP(A393,[3]PRIORIZADOS!$A:$T,20,FALSE)),"")</f>
        <v>Si</v>
      </c>
      <c r="U393" s="11" t="str">
        <f>IFERROR(IF(VLOOKUP(A393,[3]PRIORIZADOS!$A:$U,21,FALSE)="","",VLOOKUP(A393,[3]PRIORIZADOS!$A:$U,21,FALSE)),"")</f>
        <v>Revisar el Gobierno Escolar y otros órganos de participación actualizado en 2025 y retroalimentar a la IE.</v>
      </c>
    </row>
    <row r="394" spans="1:21" s="1" customFormat="1" ht="48">
      <c r="A394" s="69">
        <f>IF([3]PRIORIZADOS!A205="","",[3]PRIORIZADOS!A205)</f>
        <v>400</v>
      </c>
      <c r="B394" s="70">
        <f>IFERROR(IF(VLOOKUP(A394,[3]PRIORIZADOS!$A:$B,2,FALSE)="","",VLOOKUP(A394,[3]PRIORIZADOS!$A:$B,2,FALSE)),"")</f>
        <v>22</v>
      </c>
      <c r="C394" s="11" t="str">
        <f>IFERROR(IF(VLOOKUP(A394,[3]PRIORIZADOS!$A:$C,3,FALSE)="","",VLOOKUP(A394,[3]PRIORIZADOS!$A:$C,3,FALSE)),"")</f>
        <v>BOSA</v>
      </c>
      <c r="D394" s="11" t="str">
        <f>IFERROR(IF(VLOOKUP(A394,[3]PRIORIZADOS!$A:$D,4,FALSE)="","",VLOOKUP(A394,[3]PRIORIZADOS!$A:$D,4,FALSE)),"")</f>
        <v>PRIVADO</v>
      </c>
      <c r="E394" s="11" t="str">
        <f>IFERROR(IF(VLOOKUP(A394,[3]PRIORIZADOS!$A:$E,5,FALSE)="","",VLOOKUP(A394,[3]PRIORIZADOS!$A:$E,5,FALSE)),"")</f>
        <v>EPBM</v>
      </c>
      <c r="F394" s="11" t="str">
        <f>IFERROR(IF(VLOOKUP(A394,[3]PRIORIZADOS!$A:$F,6,FALSE)="","",VLOOKUP(A394,[3]PRIORIZADOS!$A:$F,6,FALSE)),"")</f>
        <v>LICEO_SAN_PABLO</v>
      </c>
      <c r="G394" s="11" t="str">
        <f>IFERROR(IF(VLOOKUP(A394,[3]PRIORIZADOS!$A:$G,7,FALSE)="","",VLOOKUP(A394,[3]PRIORIZADOS!$A:$G,7,FALSE)),"")</f>
        <v>LICEO SAN PABLO</v>
      </c>
      <c r="H394" s="11" t="str">
        <f>IFERROR(IF(VLOOKUP(A394,[3]PRIORIZADOS!$A:$H,8,FALSE)="","",VLOOKUP(A394,[3]PRIORIZADOS!$A:$H,8,FALSE)),"")</f>
        <v>Autoevaluación Institucional y Pruebas SABER 11</v>
      </c>
      <c r="I394" s="11" t="str">
        <f>IFERROR(IF(VLOOKUP(A394,[3]PRIORIZADOS!$A:$I,9,FALSE)="","",VLOOKUP(A394,[3]PRIORIZADOS!$A:$I,9,FALSE)),"")</f>
        <v>EVALUACIÓN_CON_FINES_DE_MEJORAMIENTO.</v>
      </c>
      <c r="J394" s="11" t="str">
        <f>IFERROR(IF(VLOOKUP(A394,[3]PRIORIZADOS!$A:$J,10,FALSE)="","",VLOOKUP(A394,[3]PRIORIZADOS!$A:$J,10,FALSE)),"")</f>
        <v>Verificar las condiciones en cuanto a: la estructura administrativa, condiciones de la planta física y medios educativos adecuados.</v>
      </c>
      <c r="K394" s="11" t="str">
        <f>IFERROR(IF(VLOOKUP(A394,[3]PRIORIZADOS!$A:$K,11,FALSE)="","",VLOOKUP(A394,[3]PRIORIZADOS!$A:$K,11,FALSE)),"")</f>
        <v>ESTEFANY PEÑA GARCIA</v>
      </c>
      <c r="L394" s="11" t="str">
        <f>IFERROR(IF(VLOOKUP(A394,[3]PRIORIZADOS!$A:$L,12,FALSE)="","",VLOOKUP(A394,[3]PRIORIZADOS!$A:$L,12,FALSE)),"")</f>
        <v>ANA ANDREA VARGAS GONZÁLEZ</v>
      </c>
      <c r="M394" s="71">
        <f>IFERROR(IF(VLOOKUP(A394,[3]PRIORIZADOS!$A:$M,13,FALSE)="","",VLOOKUP(A394,[3]PRIORIZADOS!$A:$M,13,FALSE)),"")</f>
        <v>45867</v>
      </c>
      <c r="N394" s="71">
        <f>IFERROR(IF(VLOOKUP(A394,[3]PRIORIZADOS!$A:$N,14,FALSE)="","",VLOOKUP(A394,[3]PRIORIZADOS!$A:$N,14,FALSE)),"")</f>
        <v>45867</v>
      </c>
      <c r="O394" s="71">
        <f>IFERROR(IF(VLOOKUP(A394,[3]PRIORIZADOS!$A:$O,15,FALSE)="","",VLOOKUP(A394,[3]PRIORIZADOS!$A:$O,15,FALSE)),"")</f>
        <v>45867</v>
      </c>
      <c r="P394" s="11" t="str">
        <f>IFERROR(IF(VLOOKUP(A394,[3]PRIORIZADOS!$A:$P,16,FALSE)="","",VLOOKUP(A394,[3]PRIORIZADOS!$A:$P,16,FALSE)),"")</f>
        <v>Visitas de evaluación con fines de mejoramiento</v>
      </c>
      <c r="Q394" s="124" t="s">
        <v>73</v>
      </c>
      <c r="R394" s="11" t="str">
        <f>IFERROR(IF(VLOOKUP(A394,[3]PRIORIZADOS!$A:$R,18,FALSE)="","",VLOOKUP(A394,[3]PRIORIZADOS!$A:$R,18,FALSE)),"")</f>
        <v>Se realiza un recorrido en las instalaciones de la IE y se evidencia falta de mantenimiento en las Instalaciones y falta de pintura en las paredes</v>
      </c>
      <c r="S394" s="11" t="str">
        <f>IFERROR(IF(VLOOKUP(A394,[3]PRIORIZADOS!$A:$S,19,FALSE)="","",VLOOKUP(A394,[3]PRIORIZADOS!$A:$S,19,FALSE)),"")</f>
        <v xml:space="preserve">Se recomienda actualizar el mobiliario más antiguo y pintar el interior de las instalaciones </v>
      </c>
      <c r="T394" s="70" t="str">
        <f>IFERROR(IF(VLOOKUP(A394,[3]PRIORIZADOS!$A:$T,20,FALSE)="","",VLOOKUP(A394,[3]PRIORIZADOS!$A:$T,20,FALSE)),"")</f>
        <v>Si</v>
      </c>
      <c r="U394" s="11" t="str">
        <f>IFERROR(IF(VLOOKUP(A394,[3]PRIORIZADOS!$A:$U,21,FALSE)="","",VLOOKUP(A394,[3]PRIORIZADOS!$A:$U,21,FALSE)),"")</f>
        <v>Se adelantará una visita administrativa para verificar la pertinencia de las instalaciones en la garantía de la prestación del servicio educativo</v>
      </c>
    </row>
    <row r="395" spans="1:21" s="1" customFormat="1" ht="118.5">
      <c r="A395" s="69">
        <f>IF([4]PRIORIZADOS!A9="","",[4]PRIORIZADOS!A9)</f>
        <v>402</v>
      </c>
      <c r="B395" s="70">
        <v>1</v>
      </c>
      <c r="C395" s="11" t="str">
        <f>IFERROR(IF(VLOOKUP(A395,[4]PRIORIZADOS!$A:$C,3,FALSE)="","",VLOOKUP(A395,[4]PRIORIZADOS!$A:$C,3,FALSE)),"")</f>
        <v>CHAPINERO</v>
      </c>
      <c r="D395" s="11" t="str">
        <f>IFERROR(IF(VLOOKUP(A395,[4]PRIORIZADOS!$A:$D,4,FALSE)="","",VLOOKUP(A395,[4]PRIORIZADOS!$A:$D,4,FALSE)),"")</f>
        <v>PRIVADO</v>
      </c>
      <c r="E395" s="11" t="str">
        <f>IFERROR(IF(VLOOKUP(A395,[4]PRIORIZADOS!$A:$E,5,FALSE)="","",VLOOKUP(A395,[4]PRIORIZADOS!$A:$E,5,FALSE)),"")</f>
        <v>EPBM</v>
      </c>
      <c r="F395" s="11" t="str">
        <f>IFERROR(IF(VLOOKUP(A395,[4]PRIORIZADOS!$A:$F,6,FALSE)="","",VLOOKUP(A395,[4]PRIORIZADOS!$A:$F,6,FALSE)),"")</f>
        <v>LICEO_DE_CERVANTES_EL_RETIRO</v>
      </c>
      <c r="G395" s="11" t="str">
        <f>IFERROR(IF(VLOOKUP(A395,[4]PRIORIZADOS!$A:$G,7,FALSE)="","",VLOOKUP(A395,[4]PRIORIZADOS!$A:$G,7,FALSE)),"")</f>
        <v>LICEO DE CERVANTES EL RETIRO</v>
      </c>
      <c r="H395" s="11" t="str">
        <f>IFERROR(IF(VLOOKUP(A395,[4]PRIORIZADOS!$A:$H,8,FALSE)="","",VLOOKUP(A395,[4]PRIORIZADOS!$A:$H,8,FALSE)),"")</f>
        <v>Autoevaluación Institucional y Pruebas SABER 11</v>
      </c>
      <c r="I395" s="11" t="str">
        <f>IFERROR(IF(VLOOKUP(A395,[4]PRIORIZADOS!$A:$I,9,FALSE)="","",VLOOKUP(A395,[4]PRIORIZADOS!$A:$I,9,FALSE)),"")</f>
        <v>SEGUIMIENTO_Y_SUPERVISIÓN.</v>
      </c>
      <c r="J395" s="11" t="str">
        <f>IFERROR(IF(VLOOKUP(A395,[4]PRIORIZADOS!$A:$J,10,FALSE)="","",VLOOKUP(A395,[4]PRIORIZADOS!$A:$J,10,FALSE)),"")</f>
        <v>Realizar visitas para verificar la información registrada sobre la autoevaluación institucional en el aplicativo EVI, a los establecimientos de educación formal no oficial.</v>
      </c>
      <c r="K395" s="11" t="str">
        <f>IFERROR(IF(VLOOKUP(A395,[4]PRIORIZADOS!$A:$K,11,FALSE)="","",VLOOKUP(A395,[4]PRIORIZADOS!$A:$K,11,FALSE)),"")</f>
        <v>SANTIAGO ÁVILA LEURO</v>
      </c>
      <c r="L395" s="11" t="str">
        <f>IFERROR(IF(VLOOKUP(A395,[4]PRIORIZADOS!$A:$L,12,FALSE)="","",VLOOKUP(A395,[4]PRIORIZADOS!$A:$L,12,FALSE)),"")</f>
        <v>JUAN MANUEL AGUIRRE BOHÓRQUEZ</v>
      </c>
      <c r="M395" s="71">
        <f>IFERROR(IF(VLOOKUP(A395,[4]PRIORIZADOS!$A:$M,13,FALSE)="","",VLOOKUP(A395,[4]PRIORIZADOS!$A:$M,13,FALSE)),"")</f>
        <v>45685</v>
      </c>
      <c r="N395" s="71">
        <f>IFERROR(IF(VLOOKUP(A395,[4]PRIORIZADOS!$A:$N,14,FALSE)="","",VLOOKUP(A395,[4]PRIORIZADOS!$A:$N,14,FALSE)),"")</f>
        <v>45685</v>
      </c>
      <c r="O395" s="71">
        <f>IFERROR(IF(VLOOKUP(A395,[4]PRIORIZADOS!$A:$O,15,FALSE)="","",VLOOKUP(A395,[4]PRIORIZADOS!$A:$O,15,FALSE)),"")</f>
        <v>45685</v>
      </c>
      <c r="P395" s="11" t="str">
        <f>IFERROR(IF(VLOOKUP(A395,[4]PRIORIZADOS!$A:$P,16,FALSE)="","",VLOOKUP(A395,[4]PRIORIZADOS!$A:$P,16,FALSE)),"")</f>
        <v>Visitas de evaluación con fines de mejoramiento</v>
      </c>
      <c r="Q395" s="107" t="s">
        <v>74</v>
      </c>
      <c r="R395" s="11" t="str">
        <f>IFERROR(IF(VLOOKUP(A395,[4]PRIORIZADOS!$A:$R,18,FALSE)="","",VLOOKUP(A395,[4]PRIORIZADOS!$A:$R,18,FALSE)),"")</f>
        <v>La institución presenta avances significativos en la implementación de procesos de evaluación y seguimiento institucional, incluyendo evaluaciones diagnósticas, exámenes internacionales y uso de plataformas interactivas. Estos procesos evidencian la existencia de mecanismos de autoevaluación interna coherentes con los reportes registrados en el aplicativo EVI.</v>
      </c>
      <c r="S395" s="11" t="str">
        <f>IFERROR(IF(VLOOKUP(A395,[4]PRIORIZADOS!$A:$S,19,FALSE)="","",VLOOKUP(A395,[4]PRIORIZADOS!$A:$S,19,FALSE)),"")</f>
        <v>Continuar fortaleciendo sus procesos de autoevaluación institucional, alineados con los criterios del aplicativo EVI, asegurando la integración de todos los actores y el uso efectivo de los resultados para la toma de decisiones y mejoramiento continuo.</v>
      </c>
      <c r="T395" s="70" t="str">
        <f>IFERROR(IF(VLOOKUP(A395,[4]PRIORIZADOS!$A:$T,20,FALSE)="","",VLOOKUP(A395,[4]PRIORIZADOS!$A:$T,20,FALSE)),"")</f>
        <v>No</v>
      </c>
      <c r="U395" s="11" t="str">
        <f>IFERROR(IF(VLOOKUP(A395,[4]PRIORIZADOS!$A:$U,21,FALSE)="","",VLOOKUP(A395,[4]PRIORIZADOS!$A:$U,21,FALSE)),"")</f>
        <v>Se realizará seguimiento mediante revisión del aplicativo EVI y confrontación con los documentos y resultados institucionales presentados en futuras visitas, verificando la consistencia entre lo reportado y lo implementado.</v>
      </c>
    </row>
    <row r="396" spans="1:21" s="1" customFormat="1" ht="107.25">
      <c r="A396" s="69">
        <f>IF([4]PRIORIZADOS!A10="","",[4]PRIORIZADOS!A10)</f>
        <v>403</v>
      </c>
      <c r="B396" s="70">
        <v>1</v>
      </c>
      <c r="C396" s="11" t="str">
        <f>IFERROR(IF(VLOOKUP(A396,[4]PRIORIZADOS!$A:$C,3,FALSE)="","",VLOOKUP(A396,[4]PRIORIZADOS!$A:$C,3,FALSE)),"")</f>
        <v>CHAPINERO</v>
      </c>
      <c r="D396" s="11" t="str">
        <f>IFERROR(IF(VLOOKUP(A396,[4]PRIORIZADOS!$A:$D,4,FALSE)="","",VLOOKUP(A396,[4]PRIORIZADOS!$A:$D,4,FALSE)),"")</f>
        <v>PRIVADO</v>
      </c>
      <c r="E396" s="11" t="str">
        <f>IFERROR(IF(VLOOKUP(A396,[4]PRIORIZADOS!$A:$E,5,FALSE)="","",VLOOKUP(A396,[4]PRIORIZADOS!$A:$E,5,FALSE)),"")</f>
        <v>EPBM</v>
      </c>
      <c r="F396" s="11" t="str">
        <f>IFERROR(IF(VLOOKUP(A396,[4]PRIORIZADOS!$A:$F,6,FALSE)="","",VLOOKUP(A396,[4]PRIORIZADOS!$A:$F,6,FALSE)),"")</f>
        <v>LICEO_DE_CERVANTES_EL_RETIRO</v>
      </c>
      <c r="G396" s="11" t="str">
        <f>IFERROR(IF(VLOOKUP(A396,[4]PRIORIZADOS!$A:$G,7,FALSE)="","",VLOOKUP(A396,[4]PRIORIZADOS!$A:$G,7,FALSE)),"")</f>
        <v>LICEO DE CERVANTES EL RETIRO</v>
      </c>
      <c r="H396" s="11" t="str">
        <f>IFERROR(IF(VLOOKUP(A396,[4]PRIORIZADOS!$A:$H,8,FALSE)="","",VLOOKUP(A396,[4]PRIORIZADOS!$A:$H,8,FALSE)),"")</f>
        <v>Autoevaluación Institucional y Pruebas SABER 11</v>
      </c>
      <c r="I396" s="11" t="str">
        <f>IFERROR(IF(VLOOKUP(A396,[4]PRIORIZADOS!$A:$I,9,FALSE)="","",VLOOKUP(A396,[4]PRIORIZADOS!$A:$I,9,FALSE)),"")</f>
        <v>SEGUIMIENTO_Y_SUPERVISIÓN.</v>
      </c>
      <c r="J396" s="11" t="str">
        <f>IFERROR(IF(VLOOKUP(A396,[4]PRIORIZADOS!$A:$J,10,FALSE)="","",VLOOKUP(A396,[4]PRIORIZADOS!$A:$J,10,FALSE)),"")</f>
        <v>Proponer estrategias en la formulación, verificar su elaboración y realizar seguimiento semestral al desarrollo de  las acciones establecidas en los planes de mejoramiento por pruebas SABER 11 de los establecimientos de educación formal.</v>
      </c>
      <c r="K396" s="11" t="str">
        <f>IFERROR(IF(VLOOKUP(A396,[4]PRIORIZADOS!$A:$K,11,FALSE)="","",VLOOKUP(A396,[4]PRIORIZADOS!$A:$K,11,FALSE)),"")</f>
        <v>SANTIAGO ÁVILA LEURO</v>
      </c>
      <c r="L396" s="11" t="str">
        <f>IFERROR(IF(VLOOKUP(A396,[4]PRIORIZADOS!$A:$L,12,FALSE)="","",VLOOKUP(A396,[4]PRIORIZADOS!$A:$L,12,FALSE)),"")</f>
        <v>JUAN MANUEL AGUIRRE BOHÓRQUEZ</v>
      </c>
      <c r="M396" s="71">
        <f>IFERROR(IF(VLOOKUP(A396,[4]PRIORIZADOS!$A:$M,13,FALSE)="","",VLOOKUP(A396,[4]PRIORIZADOS!$A:$M,13,FALSE)),"")</f>
        <v>45685</v>
      </c>
      <c r="N396" s="71">
        <f>IFERROR(IF(VLOOKUP(A396,[4]PRIORIZADOS!$A:$N,14,FALSE)="","",VLOOKUP(A396,[4]PRIORIZADOS!$A:$N,14,FALSE)),"")</f>
        <v>45685</v>
      </c>
      <c r="O396" s="71">
        <f>IFERROR(IF(VLOOKUP(A396,[4]PRIORIZADOS!$A:$O,15,FALSE)="","",VLOOKUP(A396,[4]PRIORIZADOS!$A:$O,15,FALSE)),"")</f>
        <v>45685</v>
      </c>
      <c r="P396" s="11" t="str">
        <f>IFERROR(IF(VLOOKUP(A396,[4]PRIORIZADOS!$A:$P,16,FALSE)="","",VLOOKUP(A396,[4]PRIORIZADOS!$A:$P,16,FALSE)),"")</f>
        <v>Visitas de evaluación con fines de seguimiento</v>
      </c>
      <c r="Q396" s="107" t="s">
        <v>74</v>
      </c>
      <c r="R396" s="11" t="str">
        <f>IFERROR(IF(VLOOKUP(A396,[4]PRIORIZADOS!$A:$R,18,FALSE)="","",VLOOKUP(A396,[4]PRIORIZADOS!$A:$R,18,FALSE)),"")</f>
        <v>El Liceo Cervantes El Retiro ha implementado acciones de evaluación y seguimiento al desempeño académico, incluyendo el análisis de resultados históricos de las Pruebas SABER 11, exámenes de suficiencia y diagnósticos institucionales. Estas acciones respaldan la formulación y ejecución de planes de mejoramiento</v>
      </c>
      <c r="S396" s="11" t="str">
        <f>IFERROR(IF(VLOOKUP(A396,[4]PRIORIZADOS!$A:$S,19,FALSE)="","",VLOOKUP(A396,[4]PRIORIZADOS!$A:$S,19,FALSE)),"")</f>
        <v>La institución continuará fortaleciendo los planes de mejoramiento derivados de las Pruebas SABER 11, asegurando su revisión semestral y la integración de acciones específicas por áreas con bajo desempeño, así como la participación del Consejo Académico en su seguimiento.</v>
      </c>
      <c r="T396" s="70" t="str">
        <f>IFERROR(IF(VLOOKUP(A396,[4]PRIORIZADOS!$A:$T,20,FALSE)="","",VLOOKUP(A396,[4]PRIORIZADOS!$A:$T,20,FALSE)),"")</f>
        <v>No</v>
      </c>
      <c r="U396" s="11" t="str">
        <f>IFERROR(IF(VLOOKUP(A396,[4]PRIORIZADOS!$A:$U,21,FALSE)="","",VLOOKUP(A396,[4]PRIORIZADOS!$A:$U,21,FALSE)),"")</f>
        <v>Se realizará verificación semestral de las actas de análisis de resultados, los planes de mejora y sus avances, así como la articulación de estos con los informes pedagógicos y decisiones académicas.</v>
      </c>
    </row>
    <row r="397" spans="1:21" s="1" customFormat="1" ht="96">
      <c r="A397" s="69">
        <f>IF([4]PRIORIZADOS!A11="","",[4]PRIORIZADOS!A11)</f>
        <v>404</v>
      </c>
      <c r="B397" s="70">
        <v>1</v>
      </c>
      <c r="C397" s="11" t="str">
        <f>IFERROR(IF(VLOOKUP(A397,[4]PRIORIZADOS!$A:$C,3,FALSE)="","",VLOOKUP(A397,[4]PRIORIZADOS!$A:$C,3,FALSE)),"")</f>
        <v>CHAPINERO</v>
      </c>
      <c r="D397" s="11" t="str">
        <f>IFERROR(IF(VLOOKUP(A397,[4]PRIORIZADOS!$A:$D,4,FALSE)="","",VLOOKUP(A397,[4]PRIORIZADOS!$A:$D,4,FALSE)),"")</f>
        <v>PRIVADO</v>
      </c>
      <c r="E397" s="11" t="str">
        <f>IFERROR(IF(VLOOKUP(A397,[4]PRIORIZADOS!$A:$E,5,FALSE)="","",VLOOKUP(A397,[4]PRIORIZADOS!$A:$E,5,FALSE)),"")</f>
        <v>EPBM</v>
      </c>
      <c r="F397" s="11" t="str">
        <f>IFERROR(IF(VLOOKUP(A397,[4]PRIORIZADOS!$A:$F,6,FALSE)="","",VLOOKUP(A397,[4]PRIORIZADOS!$A:$F,6,FALSE)),"")</f>
        <v>LICEO_DE_CERVANTES_EL_RETIRO</v>
      </c>
      <c r="G397" s="11" t="str">
        <f>IFERROR(IF(VLOOKUP(A397,[4]PRIORIZADOS!$A:$G,7,FALSE)="","",VLOOKUP(A397,[4]PRIORIZADOS!$A:$G,7,FALSE)),"")</f>
        <v>LICEO DE CERVANTES EL RETIRO</v>
      </c>
      <c r="H397" s="11" t="str">
        <f>IFERROR(IF(VLOOKUP(A397,[4]PRIORIZADOS!$A:$H,8,FALSE)="","",VLOOKUP(A397,[4]PRIORIZADOS!$A:$H,8,FALSE)),"")</f>
        <v>Autoevaluación Institucional y Pruebas SABER 11</v>
      </c>
      <c r="I397" s="11" t="str">
        <f>IFERROR(IF(VLOOKUP(A397,[4]PRIORIZADOS!$A:$I,9,FALSE)="","",VLOOKUP(A397,[4]PRIORIZADOS!$A:$I,9,FALSE)),"")</f>
        <v>EVALUACIÓN_CON_FINES_DE_MEJORAMIENTO.</v>
      </c>
      <c r="J397" s="11" t="str">
        <f>IFERROR(IF(VLOOKUP(A397,[4]PRIORIZADOS!$A:$J,10,FALSE)="","",VLOOKUP(A397,[4]PRIORIZADOS!$A:$J,10,FALSE)),"")</f>
        <v>Revisar la actualización, socialización e implementación del Sistema Institucional de Evaluación de Estudiantes - SIEE, en articulación con la actualización del PEI y la normatividad vigente.</v>
      </c>
      <c r="K397" s="11" t="str">
        <f>IFERROR(IF(VLOOKUP(A397,[4]PRIORIZADOS!$A:$K,11,FALSE)="","",VLOOKUP(A397,[4]PRIORIZADOS!$A:$K,11,FALSE)),"")</f>
        <v>SANTIAGO ÁVILA LEURO</v>
      </c>
      <c r="L397" s="11" t="str">
        <f>IFERROR(IF(VLOOKUP(A397,[4]PRIORIZADOS!$A:$L,12,FALSE)="","",VLOOKUP(A397,[4]PRIORIZADOS!$A:$L,12,FALSE)),"")</f>
        <v>JUAN MANUEL AGUIRRE BOHÓRQUEZ</v>
      </c>
      <c r="M397" s="71">
        <f>IFERROR(IF(VLOOKUP(A397,[4]PRIORIZADOS!$A:$M,13,FALSE)="","",VLOOKUP(A397,[4]PRIORIZADOS!$A:$M,13,FALSE)),"")</f>
        <v>45685</v>
      </c>
      <c r="N397" s="71">
        <f>IFERROR(IF(VLOOKUP(A397,[4]PRIORIZADOS!$A:$N,14,FALSE)="","",VLOOKUP(A397,[4]PRIORIZADOS!$A:$N,14,FALSE)),"")</f>
        <v>45685</v>
      </c>
      <c r="O397" s="71">
        <f>IFERROR(IF(VLOOKUP(A397,[4]PRIORIZADOS!$A:$O,15,FALSE)="","",VLOOKUP(A397,[4]PRIORIZADOS!$A:$O,15,FALSE)),"")</f>
        <v>45685</v>
      </c>
      <c r="P397" s="11" t="str">
        <f>IFERROR(IF(VLOOKUP(A397,[4]PRIORIZADOS!$A:$P,16,FALSE)="","",VLOOKUP(A397,[4]PRIORIZADOS!$A:$P,16,FALSE)),"")</f>
        <v>Visitas de evaluación con fines de mejoramiento</v>
      </c>
      <c r="Q397" s="107" t="s">
        <v>74</v>
      </c>
      <c r="R397" s="11" t="str">
        <f>IFERROR(IF(VLOOKUP(A397,[4]PRIORIZADOS!$A:$R,18,FALSE)="","",VLOOKUP(A397,[4]PRIORIZADOS!$A:$R,18,FALSE)),"")</f>
        <v>El Liceo Cervantes El Retiro cuenta con un SIEE formulado, socializado e implementado, alineado con el PEI y con el modelo pedagógico institucional. Se aplican evaluaciones diagnósticas, seguimiento académico y procesos de nivelación, con participación de los diferentes estamentos educativos.</v>
      </c>
      <c r="S397" s="11" t="str">
        <f>IFERROR(IF(VLOOKUP(A397,[4]PRIORIZADOS!$A:$S,19,FALSE)="","",VLOOKUP(A397,[4]PRIORIZADOS!$A:$S,19,FALSE)),"")</f>
        <v>La institución continuará fortaleciendo la implementación del SIEE, garantizando su evaluación periódica, la participación de la comunidad educativa y la articulación permanente con los procesos de mejoramiento institucional.</v>
      </c>
      <c r="T397" s="70" t="str">
        <f>IFERROR(IF(VLOOKUP(A397,[4]PRIORIZADOS!$A:$T,20,FALSE)="","",VLOOKUP(A397,[4]PRIORIZADOS!$A:$T,20,FALSE)),"")</f>
        <v>No</v>
      </c>
      <c r="U397" s="11" t="str">
        <f>IFERROR(IF(VLOOKUP(A397,[4]PRIORIZADOS!$A:$U,21,FALSE)="","",VLOOKUP(A397,[4]PRIORIZADOS!$A:$U,21,FALSE)),"")</f>
        <v>Revisión periódica de los informes de evaluación, actas del Consejo Académico y evidencias de ajustes al SIEE con base en el análisis de resultados institucionales.</v>
      </c>
    </row>
    <row r="398" spans="1:21" s="1" customFormat="1" ht="84">
      <c r="A398" s="69">
        <f>IF([4]PRIORIZADOS!A12="","",[4]PRIORIZADOS!A12)</f>
        <v>405</v>
      </c>
      <c r="B398" s="70">
        <v>1</v>
      </c>
      <c r="C398" s="11" t="str">
        <f>IFERROR(IF(VLOOKUP(A398,[4]PRIORIZADOS!$A:$C,3,FALSE)="","",VLOOKUP(A398,[4]PRIORIZADOS!$A:$C,3,FALSE)),"")</f>
        <v>CHAPINERO</v>
      </c>
      <c r="D398" s="11" t="str">
        <f>IFERROR(IF(VLOOKUP(A398,[4]PRIORIZADOS!$A:$D,4,FALSE)="","",VLOOKUP(A398,[4]PRIORIZADOS!$A:$D,4,FALSE)),"")</f>
        <v>PRIVADO</v>
      </c>
      <c r="E398" s="11" t="str">
        <f>IFERROR(IF(VLOOKUP(A398,[4]PRIORIZADOS!$A:$E,5,FALSE)="","",VLOOKUP(A398,[4]PRIORIZADOS!$A:$E,5,FALSE)),"")</f>
        <v>EPBM</v>
      </c>
      <c r="F398" s="11" t="str">
        <f>IFERROR(IF(VLOOKUP(A398,[4]PRIORIZADOS!$A:$F,6,FALSE)="","",VLOOKUP(A398,[4]PRIORIZADOS!$A:$F,6,FALSE)),"")</f>
        <v>LICEO_DE_CERVANTES_EL_RETIRO</v>
      </c>
      <c r="G398" s="11" t="str">
        <f>IFERROR(IF(VLOOKUP(A398,[4]PRIORIZADOS!$A:$G,7,FALSE)="","",VLOOKUP(A398,[4]PRIORIZADOS!$A:$G,7,FALSE)),"")</f>
        <v>LICEO DE CERVANTES EL RETIRO</v>
      </c>
      <c r="H398" s="11" t="str">
        <f>IFERROR(IF(VLOOKUP(A398,[4]PRIORIZADOS!$A:$H,8,FALSE)="","",VLOOKUP(A398,[4]PRIORIZADOS!$A:$H,8,FALSE)),"")</f>
        <v>Autoevaluación Institucional y Pruebas SABER 11</v>
      </c>
      <c r="I398" s="11" t="str">
        <f>IFERROR(IF(VLOOKUP(A398,[4]PRIORIZADOS!$A:$I,9,FALSE)="","",VLOOKUP(A398,[4]PRIORIZADOS!$A:$I,9,FALSE)),"")</f>
        <v>EVALUACIÓN_CON_FINES_DE_MEJORAMIENTO.</v>
      </c>
      <c r="J398" s="11" t="str">
        <f>IFERROR(IF(VLOOKUP(A398,[4]PRIORIZADOS!$A:$J,10,FALSE)="","",VLOOKUP(A398,[4]PRIORIZADOS!$A:$J,10,FALSE)),"")</f>
        <v>Verificar las condiciones en cuanto a: la estructura administrativa, condiciones de la planta física y medios educativos adecuados.</v>
      </c>
      <c r="K398" s="11" t="str">
        <f>IFERROR(IF(VLOOKUP(A398,[4]PRIORIZADOS!$A:$K,11,FALSE)="","",VLOOKUP(A398,[4]PRIORIZADOS!$A:$K,11,FALSE)),"")</f>
        <v>SANTIAGO ÁVILA LEURO</v>
      </c>
      <c r="L398" s="11" t="str">
        <f>IFERROR(IF(VLOOKUP(A398,[4]PRIORIZADOS!$A:$L,12,FALSE)="","",VLOOKUP(A398,[4]PRIORIZADOS!$A:$L,12,FALSE)),"")</f>
        <v>JUAN MANUEL AGUIRRE BOHÓRQUEZ</v>
      </c>
      <c r="M398" s="71">
        <f>IFERROR(IF(VLOOKUP(A398,[4]PRIORIZADOS!$A:$M,13,FALSE)="","",VLOOKUP(A398,[4]PRIORIZADOS!$A:$M,13,FALSE)),"")</f>
        <v>45685</v>
      </c>
      <c r="N398" s="71">
        <f>IFERROR(IF(VLOOKUP(A398,[4]PRIORIZADOS!$A:$N,14,FALSE)="","",VLOOKUP(A398,[4]PRIORIZADOS!$A:$N,14,FALSE)),"")</f>
        <v>45685</v>
      </c>
      <c r="O398" s="71">
        <f>IFERROR(IF(VLOOKUP(A398,[4]PRIORIZADOS!$A:$O,15,FALSE)="","",VLOOKUP(A398,[4]PRIORIZADOS!$A:$O,15,FALSE)),"")</f>
        <v>45685</v>
      </c>
      <c r="P398" s="11" t="str">
        <f>IFERROR(IF(VLOOKUP(A398,[4]PRIORIZADOS!$A:$P,16,FALSE)="","",VLOOKUP(A398,[4]PRIORIZADOS!$A:$P,16,FALSE)),"")</f>
        <v>Visitas de evaluación con fines de mejoramiento</v>
      </c>
      <c r="Q398" s="107" t="s">
        <v>74</v>
      </c>
      <c r="R398" s="11" t="str">
        <f>IFERROR(IF(VLOOKUP(A398,[4]PRIORIZADOS!$A:$R,18,FALSE)="","",VLOOKUP(A398,[4]PRIORIZADOS!$A:$R,18,FALSE)),"")</f>
        <v>El Liceo Cervantes El Retiro cuenta con una estructura administrativa consolidada, planta física en óptimo estado y medios educativos adecuados para el desarrollo del modelo pedagógico bilingüe</v>
      </c>
      <c r="S398" s="11" t="str">
        <f>IFERROR(IF(VLOOKUP(A398,[4]PRIORIZADOS!$A:$S,19,FALSE)="","",VLOOKUP(A398,[4]PRIORIZADOS!$A:$S,19,FALSE)),"")</f>
        <v xml:space="preserve">La institución continuará garantizando el mantenimiento de las condiciones actuales, promoviendo la mejora continua en sus recursos físicos, administrativos y pedagógicos.
</v>
      </c>
      <c r="T398" s="70" t="str">
        <f>IFERROR(IF(VLOOKUP(A398,[4]PRIORIZADOS!$A:$T,20,FALSE)="","",VLOOKUP(A398,[4]PRIORIZADOS!$A:$T,20,FALSE)),"")</f>
        <v>No</v>
      </c>
      <c r="U398" s="11" t="str">
        <f>IFERROR(IF(VLOOKUP(A398,[4]PRIORIZADOS!$A:$U,21,FALSE)="","",VLOOKUP(A398,[4]PRIORIZADOS!$A:$U,21,FALSE)),"")</f>
        <v>Seguimiento mediante visitas institucionales y revisión periódica de mejoras en infraestructura y dotación educativa.</v>
      </c>
    </row>
    <row r="399" spans="1:21" s="1" customFormat="1" ht="107.25">
      <c r="A399" s="69">
        <f>IF([4]PRIORIZADOS!A13="","",[4]PRIORIZADOS!A13)</f>
        <v>406</v>
      </c>
      <c r="B399" s="70">
        <v>2</v>
      </c>
      <c r="C399" s="11" t="str">
        <f>IFERROR(IF(VLOOKUP(A399,[4]PRIORIZADOS!$A:$C,3,FALSE)="","",VLOOKUP(A399,[4]PRIORIZADOS!$A:$C,3,FALSE)),"")</f>
        <v>CHAPINERO</v>
      </c>
      <c r="D399" s="11" t="str">
        <f>IFERROR(IF(VLOOKUP(A399,[4]PRIORIZADOS!$A:$D,4,FALSE)="","",VLOOKUP(A399,[4]PRIORIZADOS!$A:$D,4,FALSE)),"")</f>
        <v>PRIVADO</v>
      </c>
      <c r="E399" s="11" t="str">
        <f>IFERROR(IF(VLOOKUP(A399,[4]PRIORIZADOS!$A:$E,5,FALSE)="","",VLOOKUP(A399,[4]PRIORIZADOS!$A:$E,5,FALSE)),"")</f>
        <v>Educación de Jóvenes y Adultos</v>
      </c>
      <c r="F399" s="11" t="str">
        <f>IFERROR(IF(VLOOKUP(A399,[4]PRIORIZADOS!$A:$F,6,FALSE)="","",VLOOKUP(A399,[4]PRIORIZADOS!$A:$F,6,FALSE)),"")</f>
        <v>POLITECNICO_UNIVERSAL_DE_CAPACITACION_UNICAP</v>
      </c>
      <c r="G399" s="11" t="str">
        <f>IFERROR(IF(VLOOKUP(A399,[4]PRIORIZADOS!$A:$G,7,FALSE)="","",VLOOKUP(A399,[4]PRIORIZADOS!$A:$G,7,FALSE)),"")</f>
        <v>POLITECNICO UNIVERSAL DE CAPACITACION UNICAP</v>
      </c>
      <c r="H399" s="11" t="str">
        <f>IFERROR(IF(VLOOKUP(A399,[4]PRIORIZADOS!$A:$H,8,FALSE)="","",VLOOKUP(A399,[4]PRIORIZADOS!$A:$H,8,FALSE)),"")</f>
        <v>Autoevaluación Institucional y Pruebas SABER 11</v>
      </c>
      <c r="I399" s="11" t="str">
        <f>IFERROR(IF(VLOOKUP(A399,[4]PRIORIZADOS!$A:$I,9,FALSE)="","",VLOOKUP(A399,[4]PRIORIZADOS!$A:$I,9,FALSE)),"")</f>
        <v>SEGUIMIENTO_Y_SUPERVISIÓN.</v>
      </c>
      <c r="J399" s="11" t="str">
        <f>IFERROR(IF(VLOOKUP(A399,[4]PRIORIZADOS!$A:$J,10,FALSE)="","",VLOOKUP(A399,[4]PRIORIZADOS!$A:$J,10,FALSE)),"")</f>
        <v>Realizar visitas para verificar la información registrada sobre la autoevaluación institucional en el aplicativo EVI, a los establecimientos de educación formal no oficial.</v>
      </c>
      <c r="K399" s="11" t="str">
        <f>IFERROR(IF(VLOOKUP(A399,[4]PRIORIZADOS!$A:$K,11,FALSE)="","",VLOOKUP(A399,[4]PRIORIZADOS!$A:$K,11,FALSE)),"")</f>
        <v>SANTIAGO ÁVILA LEURO</v>
      </c>
      <c r="L399" s="11" t="str">
        <f>IFERROR(IF(VLOOKUP(A399,[4]PRIORIZADOS!$A:$L,12,FALSE)="","",VLOOKUP(A399,[4]PRIORIZADOS!$A:$L,12,FALSE)),"")</f>
        <v>JUAN MANUEL AGUIRRE BOHÓRQUEZ</v>
      </c>
      <c r="M399" s="71">
        <f>IFERROR(IF(VLOOKUP(A399,[4]PRIORIZADOS!$A:$M,13,FALSE)="","",VLOOKUP(A399,[4]PRIORIZADOS!$A:$M,13,FALSE)),"")</f>
        <v>45743</v>
      </c>
      <c r="N399" s="71">
        <f>IFERROR(IF(VLOOKUP(A399,[4]PRIORIZADOS!$A:$N,14,FALSE)="","",VLOOKUP(A399,[4]PRIORIZADOS!$A:$N,14,FALSE)),"")</f>
        <v>45772</v>
      </c>
      <c r="O399" s="71">
        <f>IFERROR(IF(VLOOKUP(A399,[4]PRIORIZADOS!$A:$O,15,FALSE)="","",VLOOKUP(A399,[4]PRIORIZADOS!$A:$O,15,FALSE)),"")</f>
        <v>45772</v>
      </c>
      <c r="P399" s="11" t="str">
        <f>IFERROR(IF(VLOOKUP(A399,[4]PRIORIZADOS!$A:$P,16,FALSE)="","",VLOOKUP(A399,[4]PRIORIZADOS!$A:$P,16,FALSE)),"")</f>
        <v>Visitas de evaluación con fines de seguimiento</v>
      </c>
      <c r="Q399" s="125" t="s">
        <v>75</v>
      </c>
      <c r="R399" s="11" t="str">
        <f>IFERROR(IF(VLOOKUP(A399,[4]PRIORIZADOS!$A:$R,18,FALSE)="","",VLOOKUP(A399,[4]PRIORIZADOS!$A:$R,18,FALSE)),"")</f>
        <v>Se verificó que se  diligenció el aplicativo EVI en los plazos establecidos,  actualmente se encuentra bajo libertad regulada. Así mismo, reportó oportunamente la información de costos educativos a la Dirección Local de Educación de Chapinero, conforme a la normatividad vigente. Corresponde a la realidad con lo diligenciado en el EVI</v>
      </c>
      <c r="S399" s="11" t="str">
        <f>IFERROR(IF(VLOOKUP(A399,[4]PRIORIZADOS!$A:$S,19,FALSE)="","",VLOOKUP(A399,[4]PRIORIZADOS!$A:$S,19,FALSE)),"")</f>
        <v>La institución continuará actualizando y manteniendo la información en el aplicativo EVI de forma oportuna, así como reportando los costos educativos dentro de los plazos establecidos, conforme a los lineamientos de la Secretaría de Educación del Distrito.</v>
      </c>
      <c r="T399" s="70" t="str">
        <f>IFERROR(IF(VLOOKUP(A399,[4]PRIORIZADOS!$A:$T,20,FALSE)="","",VLOOKUP(A399,[4]PRIORIZADOS!$A:$T,20,FALSE)),"")</f>
        <v>No</v>
      </c>
      <c r="U399" s="11" t="str">
        <f>IFERROR(IF(VLOOKUP(A399,[4]PRIORIZADOS!$A:$U,21,FALSE)="","",VLOOKUP(A399,[4]PRIORIZADOS!$A:$U,21,FALSE)),"")</f>
        <v>Se realizará verificación periódica del cumplimiento en el reporte de información en el aplicativo EVI y en la entrega oportuna de los costos educativos ante la Dirección Local.</v>
      </c>
    </row>
    <row r="400" spans="1:21" s="1" customFormat="1" ht="118.5">
      <c r="A400" s="69">
        <f>IF([4]PRIORIZADOS!A14="","",[4]PRIORIZADOS!A14)</f>
        <v>407</v>
      </c>
      <c r="B400" s="70">
        <v>2</v>
      </c>
      <c r="C400" s="11" t="str">
        <f>IFERROR(IF(VLOOKUP(A400,[4]PRIORIZADOS!$A:$C,3,FALSE)="","",VLOOKUP(A400,[4]PRIORIZADOS!$A:$C,3,FALSE)),"")</f>
        <v>CHAPINERO</v>
      </c>
      <c r="D400" s="11" t="str">
        <f>IFERROR(IF(VLOOKUP(A400,[4]PRIORIZADOS!$A:$D,4,FALSE)="","",VLOOKUP(A400,[4]PRIORIZADOS!$A:$D,4,FALSE)),"")</f>
        <v>PRIVADO</v>
      </c>
      <c r="E400" s="11" t="str">
        <f>IFERROR(IF(VLOOKUP(A400,[4]PRIORIZADOS!$A:$E,5,FALSE)="","",VLOOKUP(A400,[4]PRIORIZADOS!$A:$E,5,FALSE)),"")</f>
        <v>Educación de Jóvenes y Adultos</v>
      </c>
      <c r="F400" s="11" t="str">
        <f>IFERROR(IF(VLOOKUP(A400,[4]PRIORIZADOS!$A:$F,6,FALSE)="","",VLOOKUP(A400,[4]PRIORIZADOS!$A:$F,6,FALSE)),"")</f>
        <v>POLITECNICO_UNIVERSAL_DE_CAPACITACION_UNICAP</v>
      </c>
      <c r="G400" s="11" t="str">
        <f>IFERROR(IF(VLOOKUP(A400,[4]PRIORIZADOS!$A:$G,7,FALSE)="","",VLOOKUP(A400,[4]PRIORIZADOS!$A:$G,7,FALSE)),"")</f>
        <v>POLITECNICO UNIVERSAL DE CAPACITACION UNICAP</v>
      </c>
      <c r="H400" s="11" t="str">
        <f>IFERROR(IF(VLOOKUP(A400,[4]PRIORIZADOS!$A:$H,8,FALSE)="","",VLOOKUP(A400,[4]PRIORIZADOS!$A:$H,8,FALSE)),"")</f>
        <v>Autoevaluación Institucional y Pruebas SABER 11</v>
      </c>
      <c r="I400" s="11" t="str">
        <f>IFERROR(IF(VLOOKUP(A400,[4]PRIORIZADOS!$A:$I,9,FALSE)="","",VLOOKUP(A400,[4]PRIORIZADOS!$A:$I,9,FALSE)),"")</f>
        <v>SEGUIMIENTO_Y_SUPERVISIÓN.</v>
      </c>
      <c r="J400" s="11" t="str">
        <f>IFERROR(IF(VLOOKUP(A400,[4]PRIORIZADOS!$A:$J,10,FALSE)="","",VLOOKUP(A400,[4]PRIORIZADOS!$A:$J,10,FALSE)),"")</f>
        <v>Proponer estrategias en la formulación, verificar su elaboración y realizar seguimiento semestral al desarrollo de  las acciones establecidas en los planes de mejoramiento por pruebas SABER 11 de los establecimientos de educación formal.</v>
      </c>
      <c r="K400" s="11" t="str">
        <f>IFERROR(IF(VLOOKUP(A400,[4]PRIORIZADOS!$A:$K,11,FALSE)="","",VLOOKUP(A400,[4]PRIORIZADOS!$A:$K,11,FALSE)),"")</f>
        <v>SANTIAGO ÁVILA LEURO</v>
      </c>
      <c r="L400" s="11" t="str">
        <f>IFERROR(IF(VLOOKUP(A400,[4]PRIORIZADOS!$A:$L,12,FALSE)="","",VLOOKUP(A400,[4]PRIORIZADOS!$A:$L,12,FALSE)),"")</f>
        <v>JUAN MANUEL AGUIRRE BOHÓRQUEZ</v>
      </c>
      <c r="M400" s="71">
        <f>IFERROR(IF(VLOOKUP(A400,[4]PRIORIZADOS!$A:$M,13,FALSE)="","",VLOOKUP(A400,[4]PRIORIZADOS!$A:$M,13,FALSE)),"")</f>
        <v>45743</v>
      </c>
      <c r="N400" s="71">
        <f>IFERROR(IF(VLOOKUP(A400,[4]PRIORIZADOS!$A:$N,14,FALSE)="","",VLOOKUP(A400,[4]PRIORIZADOS!$A:$N,14,FALSE)),"")</f>
        <v>45772</v>
      </c>
      <c r="O400" s="71">
        <f>IFERROR(IF(VLOOKUP(A400,[4]PRIORIZADOS!$A:$O,15,FALSE)="","",VLOOKUP(A400,[4]PRIORIZADOS!$A:$O,15,FALSE)),"")</f>
        <v>45772</v>
      </c>
      <c r="P400" s="11" t="str">
        <f>IFERROR(IF(VLOOKUP(A400,[4]PRIORIZADOS!$A:$P,16,FALSE)="","",VLOOKUP(A400,[4]PRIORIZADOS!$A:$P,16,FALSE)),"")</f>
        <v>Visitas de evaluación con fines de seguimiento</v>
      </c>
      <c r="Q400" s="125" t="s">
        <v>75</v>
      </c>
      <c r="R400" s="11" t="str">
        <f>IFERROR(IF(VLOOKUP(A400,[4]PRIORIZADOS!$A:$R,18,FALSE)="","",VLOOKUP(A400,[4]PRIORIZADOS!$A:$R,18,FALSE)),"")</f>
        <v>La institución reporta haber formulado acciones orientadas a mejorar los resultados en las pruebas SABER 11; sin embargo, no se cuenta con evidencia documental clara y verificable de un Plan de Mejoramiento específico derivado del análisis de dichos resultados. Tampoco se encontraron soportes que demuestren el seguimiento semestral a las acciones implementadas.</v>
      </c>
      <c r="S400" s="11" t="str">
        <f>IFERROR(IF(VLOOKUP(A400,[4]PRIORIZADOS!$A:$S,19,FALSE)="","",VLOOKUP(A400,[4]PRIORIZADOS!$A:$S,19,FALSE)),"")</f>
        <v>La institución se compromete a formular un Plan de Mejoramiento específico con base en los resultados de las pruebas SABER 11, incluyendo acciones pedagógicas concretas, cronograma, responsables e indicadores de seguimiento. Así mismo, realizará seguimiento semestral y conservará evidencia documental que permita verificar su ejecución.</v>
      </c>
      <c r="T400" s="70" t="str">
        <f>IFERROR(IF(VLOOKUP(A400,[4]PRIORIZADOS!$A:$T,20,FALSE)="","",VLOOKUP(A400,[4]PRIORIZADOS!$A:$T,20,FALSE)),"")</f>
        <v>Si</v>
      </c>
      <c r="U400" s="11" t="str">
        <f>IFERROR(IF(VLOOKUP(A400,[4]PRIORIZADOS!$A:$U,21,FALSE)="","",VLOOKUP(A400,[4]PRIORIZADOS!$A:$U,21,FALSE)),"")</f>
        <v>Se verificará la formulación, aprobación y ejecución del plan de mejoramiento por resultados SABER 11, así como los informes de seguimiento semestral y las evidencias de las acciones desarrolladas por la institución, para el 24 de mayo de 2025</v>
      </c>
    </row>
    <row r="401" spans="1:21" s="1" customFormat="1" ht="154.5">
      <c r="A401" s="69">
        <f>IF([4]PRIORIZADOS!A15="","",[4]PRIORIZADOS!A15)</f>
        <v>408</v>
      </c>
      <c r="B401" s="70">
        <v>2</v>
      </c>
      <c r="C401" s="11" t="str">
        <f>IFERROR(IF(VLOOKUP(A401,[4]PRIORIZADOS!$A:$C,3,FALSE)="","",VLOOKUP(A401,[4]PRIORIZADOS!$A:$C,3,FALSE)),"")</f>
        <v>CHAPINERO</v>
      </c>
      <c r="D401" s="11" t="str">
        <f>IFERROR(IF(VLOOKUP(A401,[4]PRIORIZADOS!$A:$D,4,FALSE)="","",VLOOKUP(A401,[4]PRIORIZADOS!$A:$D,4,FALSE)),"")</f>
        <v>PRIVADO</v>
      </c>
      <c r="E401" s="11" t="str">
        <f>IFERROR(IF(VLOOKUP(A401,[4]PRIORIZADOS!$A:$E,5,FALSE)="","",VLOOKUP(A401,[4]PRIORIZADOS!$A:$E,5,FALSE)),"")</f>
        <v>Educación de Jóvenes y Adultos</v>
      </c>
      <c r="F401" s="11" t="str">
        <f>IFERROR(IF(VLOOKUP(A401,[4]PRIORIZADOS!$A:$F,6,FALSE)="","",VLOOKUP(A401,[4]PRIORIZADOS!$A:$F,6,FALSE)),"")</f>
        <v>POLITECNICO_UNIVERSAL_DE_CAPACITACION_UNICAP</v>
      </c>
      <c r="G401" s="11" t="str">
        <f>IFERROR(IF(VLOOKUP(A401,[4]PRIORIZADOS!$A:$G,7,FALSE)="","",VLOOKUP(A401,[4]PRIORIZADOS!$A:$G,7,FALSE)),"")</f>
        <v>POLITECNICO UNIVERSAL DE CAPACITACION UNICAP</v>
      </c>
      <c r="H401" s="11" t="str">
        <f>IFERROR(IF(VLOOKUP(A401,[4]PRIORIZADOS!$A:$H,8,FALSE)="","",VLOOKUP(A401,[4]PRIORIZADOS!$A:$H,8,FALSE)),"")</f>
        <v>Autoevaluación Institucional y Pruebas SABER 11</v>
      </c>
      <c r="I401" s="11" t="str">
        <f>IFERROR(IF(VLOOKUP(A401,[4]PRIORIZADOS!$A:$I,9,FALSE)="","",VLOOKUP(A401,[4]PRIORIZADOS!$A:$I,9,FALSE)),"")</f>
        <v>SEGUIMIENTO_Y_SUPERVISIÓN.</v>
      </c>
      <c r="J401" s="11" t="str">
        <f>IFERROR(IF(VLOOKUP(A401,[4]PRIORIZADOS!$A:$J,10,FALSE)="","",VLOOKUP(A401,[4]PRIORIZADOS!$A:$J,10,FALSE)),"")</f>
        <v xml:space="preserve">Verificar la implementación por parte de los colegios, de acciones realizadas para la prevención y atención de las situaciones de convivencia en el entorno escolar, según lo establecido en la Directiva 01 de 2022 del MEN. </v>
      </c>
      <c r="K401" s="11" t="str">
        <f>IFERROR(IF(VLOOKUP(A401,[4]PRIORIZADOS!$A:$K,11,FALSE)="","",VLOOKUP(A401,[4]PRIORIZADOS!$A:$K,11,FALSE)),"")</f>
        <v>SANTIAGO ÁVILA LEURO</v>
      </c>
      <c r="L401" s="11" t="str">
        <f>IFERROR(IF(VLOOKUP(A401,[4]PRIORIZADOS!$A:$L,12,FALSE)="","",VLOOKUP(A401,[4]PRIORIZADOS!$A:$L,12,FALSE)),"")</f>
        <v>JUAN MANUEL AGUIRRE BOHÓRQUEZ</v>
      </c>
      <c r="M401" s="71">
        <f>IFERROR(IF(VLOOKUP(A401,[4]PRIORIZADOS!$A:$M,13,FALSE)="","",VLOOKUP(A401,[4]PRIORIZADOS!$A:$M,13,FALSE)),"")</f>
        <v>45743</v>
      </c>
      <c r="N401" s="71">
        <f>IFERROR(IF(VLOOKUP(A401,[4]PRIORIZADOS!$A:$N,14,FALSE)="","",VLOOKUP(A401,[4]PRIORIZADOS!$A:$N,14,FALSE)),"")</f>
        <v>45772</v>
      </c>
      <c r="O401" s="71">
        <f>IFERROR(IF(VLOOKUP(A401,[4]PRIORIZADOS!$A:$O,15,FALSE)="","",VLOOKUP(A401,[4]PRIORIZADOS!$A:$O,15,FALSE)),"")</f>
        <v>45774</v>
      </c>
      <c r="P401" s="11" t="str">
        <f>IFERROR(IF(VLOOKUP(A401,[4]PRIORIZADOS!$A:$P,16,FALSE)="","",VLOOKUP(A401,[4]PRIORIZADOS!$A:$P,16,FALSE)),"")</f>
        <v>Visitas de evaluación con fines de seguimiento</v>
      </c>
      <c r="Q401" s="125" t="s">
        <v>75</v>
      </c>
      <c r="R401" s="11" t="str">
        <f>IFERROR(IF(VLOOKUP(A401,[4]PRIORIZADOS!$A:$R,18,FALSE)="","",VLOOKUP(A401,[4]PRIORIZADOS!$A:$R,18,FALSE)),"")</f>
        <v xml:space="preserve">La institución cuenta con protocolos generales de convivencia y menciona la existencia de comités; sin embargo, no se evidencian acciones específicas implementadas en el marco de la Directiva 01 de 2022 del MEN. No se encontró documentación que demuestre el desarrollo de estrategias claras de prevención, atención y seguimiento de situaciones de convivencia escolar conforme a esta normativa.
</v>
      </c>
      <c r="S401" s="11" t="str">
        <f>IFERROR(IF(VLOOKUP(A401,[4]PRIORIZADOS!$A:$S,19,FALSE)="","",VLOOKUP(A401,[4]PRIORIZADOS!$A:$S,19,FALSE)),"")</f>
        <v xml:space="preserve">La institución se compromete a revisar e incorporar en su gestión institucional las acciones orientadas por la Directiva 01 de 2022, incluyendo la actualización de protocolos, la ejecución de estrategias de prevención y la documentación del seguimiento a situaciones de convivencia escolar. Así mismo, fortalecerá el funcionamiento del Comité Escolar de Convivencia.
</v>
      </c>
      <c r="T401" s="70" t="str">
        <f>IFERROR(IF(VLOOKUP(A401,[4]PRIORIZADOS!$A:$T,20,FALSE)="","",VLOOKUP(A401,[4]PRIORIZADOS!$A:$T,20,FALSE)),"")</f>
        <v>Si</v>
      </c>
      <c r="U401" s="11" t="str">
        <f>IFERROR(IF(VLOOKUP(A401,[4]PRIORIZADOS!$A:$U,21,FALSE)="","",VLOOKUP(A401,[4]PRIORIZADOS!$A:$U,21,FALSE)),"")</f>
        <v xml:space="preserve">Se realizará seguimiento a la implementación de estrategias de convivencia escolar alineadas con la Directiva 01 de 2022, así como a la documentación de casos atendidos, funcionamiento del comité de convivencia y la actualización de protocolos internos, para el 24 de mayo de 2025
</v>
      </c>
    </row>
    <row r="402" spans="1:21" s="1" customFormat="1" ht="118.5">
      <c r="A402" s="69">
        <f>IF([4]PRIORIZADOS!A16="","",[4]PRIORIZADOS!A16)</f>
        <v>409</v>
      </c>
      <c r="B402" s="70">
        <v>2</v>
      </c>
      <c r="C402" s="11" t="str">
        <f>IFERROR(IF(VLOOKUP(A402,[4]PRIORIZADOS!$A:$C,3,FALSE)="","",VLOOKUP(A402,[4]PRIORIZADOS!$A:$C,3,FALSE)),"")</f>
        <v>CHAPINERO</v>
      </c>
      <c r="D402" s="11" t="str">
        <f>IFERROR(IF(VLOOKUP(A402,[4]PRIORIZADOS!$A:$D,4,FALSE)="","",VLOOKUP(A402,[4]PRIORIZADOS!$A:$D,4,FALSE)),"")</f>
        <v>PRIVADO</v>
      </c>
      <c r="E402" s="11" t="str">
        <f>IFERROR(IF(VLOOKUP(A402,[4]PRIORIZADOS!$A:$E,5,FALSE)="","",VLOOKUP(A402,[4]PRIORIZADOS!$A:$E,5,FALSE)),"")</f>
        <v>Educación de Jóvenes y Adultos</v>
      </c>
      <c r="F402" s="11" t="str">
        <f>IFERROR(IF(VLOOKUP(A402,[4]PRIORIZADOS!$A:$F,6,FALSE)="","",VLOOKUP(A402,[4]PRIORIZADOS!$A:$F,6,FALSE)),"")</f>
        <v>POLITECNICO_UNIVERSAL_DE_CAPACITACION_UNICAP</v>
      </c>
      <c r="G402" s="11" t="str">
        <f>IFERROR(IF(VLOOKUP(A402,[4]PRIORIZADOS!$A:$G,7,FALSE)="","",VLOOKUP(A402,[4]PRIORIZADOS!$A:$G,7,FALSE)),"")</f>
        <v>POLITECNICO UNIVERSAL DE CAPACITACION UNICAP</v>
      </c>
      <c r="H402" s="11" t="str">
        <f>IFERROR(IF(VLOOKUP(A402,[4]PRIORIZADOS!$A:$H,8,FALSE)="","",VLOOKUP(A402,[4]PRIORIZADOS!$A:$H,8,FALSE)),"")</f>
        <v>Autoevaluación Institucional y Pruebas SABER 11</v>
      </c>
      <c r="I402" s="11" t="str">
        <f>IFERROR(IF(VLOOKUP(A402,[4]PRIORIZADOS!$A:$I,9,FALSE)="","",VLOOKUP(A402,[4]PRIORIZADOS!$A:$I,9,FALSE)),"")</f>
        <v>SEGUIMIENTO_Y_SUPERVISIÓN.</v>
      </c>
      <c r="J402" s="11" t="str">
        <f>IFERROR(IF(VLOOKUP(A402,[4]PRIORIZADOS!$A:$J,10,FALSE)="","",VLOOKUP(A402,[4]PRIORIZADOS!$A:$J,10,FALSE)),"")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02" s="11" t="str">
        <f>IFERROR(IF(VLOOKUP(A402,[4]PRIORIZADOS!$A:$K,11,FALSE)="","",VLOOKUP(A402,[4]PRIORIZADOS!$A:$K,11,FALSE)),"")</f>
        <v>SANTIAGO ÁVILA LEURO</v>
      </c>
      <c r="L402" s="11" t="str">
        <f>IFERROR(IF(VLOOKUP(A402,[4]PRIORIZADOS!$A:$L,12,FALSE)="","",VLOOKUP(A402,[4]PRIORIZADOS!$A:$L,12,FALSE)),"")</f>
        <v>JUAN MANUEL AGUIRRE BOHÓRQUEZ</v>
      </c>
      <c r="M402" s="71">
        <f>IFERROR(IF(VLOOKUP(A402,[4]PRIORIZADOS!$A:$M,13,FALSE)="","",VLOOKUP(A402,[4]PRIORIZADOS!$A:$M,13,FALSE)),"")</f>
        <v>45743</v>
      </c>
      <c r="N402" s="71">
        <f>IFERROR(IF(VLOOKUP(A402,[4]PRIORIZADOS!$A:$N,14,FALSE)="","",VLOOKUP(A402,[4]PRIORIZADOS!$A:$N,14,FALSE)),"")</f>
        <v>45772</v>
      </c>
      <c r="O402" s="71">
        <f>IFERROR(IF(VLOOKUP(A402,[4]PRIORIZADOS!$A:$O,15,FALSE)="","",VLOOKUP(A402,[4]PRIORIZADOS!$A:$O,15,FALSE)),"")</f>
        <v>45775</v>
      </c>
      <c r="P402" s="11" t="str">
        <f>IFERROR(IF(VLOOKUP(A402,[4]PRIORIZADOS!$A:$P,16,FALSE)="","",VLOOKUP(A402,[4]PRIORIZADOS!$A:$P,16,FALSE)),"")</f>
        <v>Visitas de evaluación con fines de seguimiento</v>
      </c>
      <c r="Q402" s="125" t="s">
        <v>75</v>
      </c>
      <c r="R402" s="11" t="str">
        <f>IFERROR(IF(VLOOKUP(A402,[4]PRIORIZADOS!$A:$R,18,FALSE)="","",VLOOKUP(A402,[4]PRIORIZADOS!$A:$R,18,FALSE)),"")</f>
        <v>La institución no ha elaborado ni desarrollado Planes Individuales de Ajustes Razonables – PIAR, debido a que actualmente no cuenta con estudiantes caracterizados con discapacidad, trastornos del aprendizaje ni talentos excepcionales. Esta situación ha sido reportada por la institución, por lo cual no se han implementado acciones específicas en este aspecto.</v>
      </c>
      <c r="S402" s="11" t="str">
        <f>IFERROR(IF(VLOOKUP(A402,[4]PRIORIZADOS!$A:$S,19,FALSE)="","",VLOOKUP(A402,[4]PRIORIZADOS!$A:$S,19,FALSE)),"")</f>
        <v>La institución se compromete a realizar procesos de identificación temprana y caracterización en caso de ingresar estudiantes con discapacidad o talentos excepcionales, y a formular los respectivos PIAR de acuerdo con el Decreto 1421 de 2017, garantizando su articulación con el PEI y el manual de convivencia.</v>
      </c>
      <c r="T402" s="70" t="str">
        <f>IFERROR(IF(VLOOKUP(A402,[4]PRIORIZADOS!$A:$T,20,FALSE)="","",VLOOKUP(A402,[4]PRIORIZADOS!$A:$T,20,FALSE)),"")</f>
        <v>No</v>
      </c>
      <c r="U402" s="11" t="str">
        <f>IFERROR(IF(VLOOKUP(A402,[4]PRIORIZADOS!$A:$U,21,FALSE)="","",VLOOKUP(A402,[4]PRIORIZADOS!$A:$U,21,FALSE)),"")</f>
        <v>Se verificará periódicamente si se presentan ingresos de estudiantes con discapacidad o talentos excepcionales, y en tal caso, el cumplimiento de la caracterización, formulación y ejecución de los PIAR, conforme a la normativa vigente.</v>
      </c>
    </row>
    <row r="403" spans="1:21" s="1" customFormat="1" ht="118.5">
      <c r="A403" s="69">
        <f>IF([4]PRIORIZADOS!A17="","",[4]PRIORIZADOS!A17)</f>
        <v>410</v>
      </c>
      <c r="B403" s="70">
        <v>2</v>
      </c>
      <c r="C403" s="11" t="str">
        <f>IFERROR(IF(VLOOKUP(A403,[4]PRIORIZADOS!$A:$C,3,FALSE)="","",VLOOKUP(A403,[4]PRIORIZADOS!$A:$C,3,FALSE)),"")</f>
        <v>CHAPINERO</v>
      </c>
      <c r="D403" s="11" t="str">
        <f>IFERROR(IF(VLOOKUP(A403,[4]PRIORIZADOS!$A:$D,4,FALSE)="","",VLOOKUP(A403,[4]PRIORIZADOS!$A:$D,4,FALSE)),"")</f>
        <v>PRIVADO</v>
      </c>
      <c r="E403" s="11" t="str">
        <f>IFERROR(IF(VLOOKUP(A403,[4]PRIORIZADOS!$A:$E,5,FALSE)="","",VLOOKUP(A403,[4]PRIORIZADOS!$A:$E,5,FALSE)),"")</f>
        <v>Educación de Jóvenes y Adultos</v>
      </c>
      <c r="F403" s="11" t="str">
        <f>IFERROR(IF(VLOOKUP(A403,[4]PRIORIZADOS!$A:$F,6,FALSE)="","",VLOOKUP(A403,[4]PRIORIZADOS!$A:$F,6,FALSE)),"")</f>
        <v>POLITECNICO_UNIVERSAL_DE_CAPACITACION_UNICAP</v>
      </c>
      <c r="G403" s="11" t="str">
        <f>IFERROR(IF(VLOOKUP(A403,[4]PRIORIZADOS!$A:$G,7,FALSE)="","",VLOOKUP(A403,[4]PRIORIZADOS!$A:$G,7,FALSE)),"")</f>
        <v>POLITECNICO UNIVERSAL DE CAPACITACION UNICAP</v>
      </c>
      <c r="H403" s="11" t="str">
        <f>IFERROR(IF(VLOOKUP(A403,[4]PRIORIZADOS!$A:$H,8,FALSE)="","",VLOOKUP(A403,[4]PRIORIZADOS!$A:$H,8,FALSE)),"")</f>
        <v>Autoevaluación Institucional y Pruebas SABER 11</v>
      </c>
      <c r="I403" s="11" t="str">
        <f>IFERROR(IF(VLOOKUP(A403,[4]PRIORIZADOS!$A:$I,9,FALSE)="","",VLOOKUP(A403,[4]PRIORIZADOS!$A:$I,9,FALSE)),"")</f>
        <v>EVALUACIÓN_CON_FINES_DE_MEJORAMIENTO.</v>
      </c>
      <c r="J403" s="11" t="str">
        <f>IFERROR(IF(VLOOKUP(A403,[4]PRIORIZADOS!$A:$J,10,FALSE)="","",VLOOKUP(A403,[4]PRIORIZADOS!$A:$J,10,FALSE)),"")</f>
        <v>Revisar el calendario escolar, jornada escolar, la intensidad horaria mínima anual en cada nivel y las modificaciones que se realicen al mismo, de acuerdo con lo previsto en la normatividad vigente.</v>
      </c>
      <c r="K403" s="11" t="str">
        <f>IFERROR(IF(VLOOKUP(A403,[4]PRIORIZADOS!$A:$K,11,FALSE)="","",VLOOKUP(A403,[4]PRIORIZADOS!$A:$K,11,FALSE)),"")</f>
        <v>SANTIAGO ÁVILA LEURO</v>
      </c>
      <c r="L403" s="11" t="str">
        <f>IFERROR(IF(VLOOKUP(A403,[4]PRIORIZADOS!$A:$L,12,FALSE)="","",VLOOKUP(A403,[4]PRIORIZADOS!$A:$L,12,FALSE)),"")</f>
        <v>JUAN MANUEL AGUIRRE BOHÓRQUEZ</v>
      </c>
      <c r="M403" s="71">
        <f>IFERROR(IF(VLOOKUP(A403,[4]PRIORIZADOS!$A:$M,13,FALSE)="","",VLOOKUP(A403,[4]PRIORIZADOS!$A:$M,13,FALSE)),"")</f>
        <v>45743</v>
      </c>
      <c r="N403" s="71">
        <f>IFERROR(IF(VLOOKUP(A403,[4]PRIORIZADOS!$A:$N,14,FALSE)="","",VLOOKUP(A403,[4]PRIORIZADOS!$A:$N,14,FALSE)),"")</f>
        <v>45772</v>
      </c>
      <c r="O403" s="71">
        <f>IFERROR(IF(VLOOKUP(A403,[4]PRIORIZADOS!$A:$O,15,FALSE)="","",VLOOKUP(A403,[4]PRIORIZADOS!$A:$O,15,FALSE)),"")</f>
        <v>45776</v>
      </c>
      <c r="P403" s="11" t="str">
        <f>IFERROR(IF(VLOOKUP(A403,[4]PRIORIZADOS!$A:$P,16,FALSE)="","",VLOOKUP(A403,[4]PRIORIZADOS!$A:$P,16,FALSE)),"")</f>
        <v>Visitas de evaluación con fines de mejoramiento</v>
      </c>
      <c r="Q403" s="125" t="s">
        <v>75</v>
      </c>
      <c r="R403" s="11" t="str">
        <f>IFERROR(IF(VLOOKUP(A403,[4]PRIORIZADOS!$A:$R,18,FALSE)="","",VLOOKUP(A403,[4]PRIORIZADOS!$A:$R,18,FALSE)),"")</f>
        <v>La institución cuenta con un calendario escolar aprobado, una jornada académica definida y evidencia documental que demuestra el cumplimiento de la intensidad horaria mínima anual exigida para cada uno de los niveles educativos autorizados, conforme a la normatividad vigente. No se reportan modificaciones recientes al calendario escolar.</v>
      </c>
      <c r="S403" s="11" t="str">
        <f>IFERROR(IF(VLOOKUP(A403,[4]PRIORIZADOS!$A:$S,19,FALSE)="","",VLOOKUP(A403,[4]PRIORIZADOS!$A:$S,19,FALSE)),"")</f>
        <v xml:space="preserve">La institución continuará garantizando el cumplimiento de la intensidad horaria mínima y el desarrollo de la jornada escolar, y se compromete a registrar y reportar de manera oportuna cualquier modificación al calendario escolar, conforme a las disposiciones establecidas por la Secretaría de Educación del Distrito.
</v>
      </c>
      <c r="T403" s="70" t="str">
        <f>IFERROR(IF(VLOOKUP(A403,[4]PRIORIZADOS!$A:$T,20,FALSE)="","",VLOOKUP(A403,[4]PRIORIZADOS!$A:$T,20,FALSE)),"")</f>
        <v>No</v>
      </c>
      <c r="U403" s="11" t="str">
        <f>IFERROR(IF(VLOOKUP(A403,[4]PRIORIZADOS!$A:$U,21,FALSE)="","",VLOOKUP(A403,[4]PRIORIZADOS!$A:$U,21,FALSE)),"")</f>
        <v>Se continuará realizando seguimiento regular a la ejecución del calendario escolar y al cumplimiento de la intensidad horaria mínima en cada nivel, conforme a lo estipulado por la normativa educativa.</v>
      </c>
    </row>
    <row r="404" spans="1:21" s="1" customFormat="1" ht="130.5">
      <c r="A404" s="69">
        <f>IF([4]PRIORIZADOS!A18="","",[4]PRIORIZADOS!A18)</f>
        <v>411</v>
      </c>
      <c r="B404" s="70">
        <v>2</v>
      </c>
      <c r="C404" s="11" t="str">
        <f>IFERROR(IF(VLOOKUP(A404,[4]PRIORIZADOS!$A:$C,3,FALSE)="","",VLOOKUP(A404,[4]PRIORIZADOS!$A:$C,3,FALSE)),"")</f>
        <v>CHAPINERO</v>
      </c>
      <c r="D404" s="11" t="str">
        <f>IFERROR(IF(VLOOKUP(A404,[4]PRIORIZADOS!$A:$D,4,FALSE)="","",VLOOKUP(A404,[4]PRIORIZADOS!$A:$D,4,FALSE)),"")</f>
        <v>PRIVADO</v>
      </c>
      <c r="E404" s="11" t="str">
        <f>IFERROR(IF(VLOOKUP(A404,[4]PRIORIZADOS!$A:$E,5,FALSE)="","",VLOOKUP(A404,[4]PRIORIZADOS!$A:$E,5,FALSE)),"")</f>
        <v>Educación de Jóvenes y Adultos</v>
      </c>
      <c r="F404" s="11" t="str">
        <f>IFERROR(IF(VLOOKUP(A404,[4]PRIORIZADOS!$A:$F,6,FALSE)="","",VLOOKUP(A404,[4]PRIORIZADOS!$A:$F,6,FALSE)),"")</f>
        <v>POLITECNICO_UNIVERSAL_DE_CAPACITACION_UNICAP</v>
      </c>
      <c r="G404" s="11" t="str">
        <f>IFERROR(IF(VLOOKUP(A404,[4]PRIORIZADOS!$A:$G,7,FALSE)="","",VLOOKUP(A404,[4]PRIORIZADOS!$A:$G,7,FALSE)),"")</f>
        <v>POLITECNICO UNIVERSAL DE CAPACITACION UNICAP</v>
      </c>
      <c r="H404" s="11" t="str">
        <f>IFERROR(IF(VLOOKUP(A404,[4]PRIORIZADOS!$A:$H,8,FALSE)="","",VLOOKUP(A404,[4]PRIORIZADOS!$A:$H,8,FALSE)),"")</f>
        <v>Autoevaluación Institucional y Pruebas SABER 11</v>
      </c>
      <c r="I404" s="11" t="str">
        <f>IFERROR(IF(VLOOKUP(A404,[4]PRIORIZADOS!$A:$I,9,FALSE)="","",VLOOKUP(A404,[4]PRIORIZADOS!$A:$I,9,FALSE)),"")</f>
        <v>EVALUACIÓN_CON_FINES_DE_MEJORAMIENTO.</v>
      </c>
      <c r="J404" s="11" t="str">
        <f>IFERROR(IF(VLOOKUP(A404,[4]PRIORIZADOS!$A:$J,10,FALSE)="","",VLOOKUP(A404,[4]PRIORIZADOS!$A:$J,10,FALSE)),"")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04" s="11" t="str">
        <f>IFERROR(IF(VLOOKUP(A404,[4]PRIORIZADOS!$A:$K,11,FALSE)="","",VLOOKUP(A404,[4]PRIORIZADOS!$A:$K,11,FALSE)),"")</f>
        <v>SANTIAGO ÁVILA LEURO</v>
      </c>
      <c r="L404" s="11" t="str">
        <f>IFERROR(IF(VLOOKUP(A404,[4]PRIORIZADOS!$A:$L,12,FALSE)="","",VLOOKUP(A404,[4]PRIORIZADOS!$A:$L,12,FALSE)),"")</f>
        <v>JUAN MANUEL AGUIRRE BOHÓRQUEZ</v>
      </c>
      <c r="M404" s="71">
        <f>IFERROR(IF(VLOOKUP(A404,[4]PRIORIZADOS!$A:$M,13,FALSE)="","",VLOOKUP(A404,[4]PRIORIZADOS!$A:$M,13,FALSE)),"")</f>
        <v>45743</v>
      </c>
      <c r="N404" s="71">
        <f>IFERROR(IF(VLOOKUP(A404,[4]PRIORIZADOS!$A:$N,14,FALSE)="","",VLOOKUP(A404,[4]PRIORIZADOS!$A:$N,14,FALSE)),"")</f>
        <v>45772</v>
      </c>
      <c r="O404" s="71">
        <f>IFERROR(IF(VLOOKUP(A404,[4]PRIORIZADOS!$A:$O,15,FALSE)="","",VLOOKUP(A404,[4]PRIORIZADOS!$A:$O,15,FALSE)),"")</f>
        <v>45772</v>
      </c>
      <c r="P404" s="11" t="str">
        <f>IFERROR(IF(VLOOKUP(A404,[4]PRIORIZADOS!$A:$P,16,FALSE)="","",VLOOKUP(A404,[4]PRIORIZADOS!$A:$P,16,FALSE)),"")</f>
        <v>Visitas de evaluación con fines de mejoramiento</v>
      </c>
      <c r="Q404" s="125" t="s">
        <v>76</v>
      </c>
      <c r="R404" s="11" t="str">
        <f>IFERROR(IF(VLOOKUP(A404,[4]PRIORIZADOS!$A:$R,18,FALSE)="","",VLOOKUP(A404,[4]PRIORIZADOS!$A:$R,18,FALSE)),"")</f>
        <v>El Manual de Convivencia 2024 del Politécnico UNICAP está vigente, pero presenta vacíos normativos: no incluye los enfoques de diversidad y restaurativo, carece de PIAR y ruta de atención integral conforme a la Ley 1620, y tiene disposiciones sobre presentación personal que pueden vulnerar el derecho al libre desarrollo de la personalidad (Sentencia T-478/15). No se evidencia un proceso participativo de socialización.</v>
      </c>
      <c r="S404" s="11" t="str">
        <f>IFERROR(IF(VLOOKUP(A404,[4]PRIORIZADOS!$A:$S,19,FALSE)="","",VLOOKUP(A404,[4]PRIORIZADOS!$A:$S,19,FALSE)),"")</f>
        <v>La institución se compromete a actualizar el manual incluyendo los enfoques normativos requeridos, ajustar el reglamento de presentación personal, y formalizar procesos de participación y socialización, alineados con el PEI y la normativa vigente.</v>
      </c>
      <c r="T404" s="70" t="str">
        <f>IFERROR(IF(VLOOKUP(A404,[4]PRIORIZADOS!$A:$T,20,FALSE)="","",VLOOKUP(A404,[4]PRIORIZADOS!$A:$T,20,FALSE)),"")</f>
        <v>Si</v>
      </c>
      <c r="U404" s="11" t="str">
        <f>IFERROR(IF(VLOOKUP(A404,[4]PRIORIZADOS!$A:$U,21,FALSE)="","",VLOOKUP(A404,[4]PRIORIZADOS!$A:$U,21,FALSE)),"")</f>
        <v>Se realizará verificación documental posterior a la actualización: revisión del nuevo manual, actas de participación, y validación del cumplimiento normativo (Ley 1620, Decreto 1421, Sentencia T-478/15). Para el 23 de mayo de 2025</v>
      </c>
    </row>
    <row r="405" spans="1:21" s="1" customFormat="1" ht="118.5">
      <c r="A405" s="69">
        <f>IF([4]PRIORIZADOS!A19="","",[4]PRIORIZADOS!A19)</f>
        <v>412</v>
      </c>
      <c r="B405" s="70">
        <v>2</v>
      </c>
      <c r="C405" s="11" t="str">
        <f>IFERROR(IF(VLOOKUP(A405,[4]PRIORIZADOS!$A:$C,3,FALSE)="","",VLOOKUP(A405,[4]PRIORIZADOS!$A:$C,3,FALSE)),"")</f>
        <v>CHAPINERO</v>
      </c>
      <c r="D405" s="11" t="str">
        <f>IFERROR(IF(VLOOKUP(A405,[4]PRIORIZADOS!$A:$D,4,FALSE)="","",VLOOKUP(A405,[4]PRIORIZADOS!$A:$D,4,FALSE)),"")</f>
        <v>PRIVADO</v>
      </c>
      <c r="E405" s="11" t="str">
        <f>IFERROR(IF(VLOOKUP(A405,[4]PRIORIZADOS!$A:$E,5,FALSE)="","",VLOOKUP(A405,[4]PRIORIZADOS!$A:$E,5,FALSE)),"")</f>
        <v>Educación de Jóvenes y Adultos</v>
      </c>
      <c r="F405" s="11" t="str">
        <f>IFERROR(IF(VLOOKUP(A405,[4]PRIORIZADOS!$A:$F,6,FALSE)="","",VLOOKUP(A405,[4]PRIORIZADOS!$A:$F,6,FALSE)),"")</f>
        <v>POLITECNICO_UNIVERSAL_DE_CAPACITACION_UNICAP</v>
      </c>
      <c r="G405" s="11" t="str">
        <f>IFERROR(IF(VLOOKUP(A405,[4]PRIORIZADOS!$A:$G,7,FALSE)="","",VLOOKUP(A405,[4]PRIORIZADOS!$A:$G,7,FALSE)),"")</f>
        <v>POLITECNICO UNIVERSAL DE CAPACITACION UNICAP</v>
      </c>
      <c r="H405" s="11" t="str">
        <f>IFERROR(IF(VLOOKUP(A405,[4]PRIORIZADOS!$A:$H,8,FALSE)="","",VLOOKUP(A405,[4]PRIORIZADOS!$A:$H,8,FALSE)),"")</f>
        <v>Autoevaluación Institucional y Pruebas SABER 11</v>
      </c>
      <c r="I405" s="11" t="str">
        <f>IFERROR(IF(VLOOKUP(A405,[4]PRIORIZADOS!$A:$I,9,FALSE)="","",VLOOKUP(A405,[4]PRIORIZADOS!$A:$I,9,FALSE)),"")</f>
        <v>EVALUACIÓN_CON_FINES_DE_MEJORAMIENTO.</v>
      </c>
      <c r="J405" s="11" t="str">
        <f>IFERROR(IF(VLOOKUP(A405,[4]PRIORIZADOS!$A:$J,10,FALSE)="","",VLOOKUP(A405,[4]PRIORIZADOS!$A:$J,10,FALSE)),"")</f>
        <v>Revisar la actualización, socialización e implementación del Sistema Institucional de Evaluación de Estudiantes - SIEE, en articulación con la actualización del PEI y la normatividad vigente.</v>
      </c>
      <c r="K405" s="11" t="str">
        <f>IFERROR(IF(VLOOKUP(A405,[4]PRIORIZADOS!$A:$K,11,FALSE)="","",VLOOKUP(A405,[4]PRIORIZADOS!$A:$K,11,FALSE)),"")</f>
        <v>SANTIAGO ÁVILA LEURO</v>
      </c>
      <c r="L405" s="11" t="str">
        <f>IFERROR(IF(VLOOKUP(A405,[4]PRIORIZADOS!$A:$L,12,FALSE)="","",VLOOKUP(A405,[4]PRIORIZADOS!$A:$L,12,FALSE)),"")</f>
        <v>JUAN MANUEL AGUIRRE BOHÓRQUEZ</v>
      </c>
      <c r="M405" s="71">
        <f>IFERROR(IF(VLOOKUP(A405,[4]PRIORIZADOS!$A:$M,13,FALSE)="","",VLOOKUP(A405,[4]PRIORIZADOS!$A:$M,13,FALSE)),"")</f>
        <v>45743</v>
      </c>
      <c r="N405" s="71">
        <f>IFERROR(IF(VLOOKUP(A405,[4]PRIORIZADOS!$A:$N,14,FALSE)="","",VLOOKUP(A405,[4]PRIORIZADOS!$A:$N,14,FALSE)),"")</f>
        <v>45772</v>
      </c>
      <c r="O405" s="71">
        <f>IFERROR(IF(VLOOKUP(A405,[4]PRIORIZADOS!$A:$O,15,FALSE)="","",VLOOKUP(A405,[4]PRIORIZADOS!$A:$O,15,FALSE)),"")</f>
        <v>45772</v>
      </c>
      <c r="P405" s="11" t="str">
        <f>IFERROR(IF(VLOOKUP(A405,[4]PRIORIZADOS!$A:$P,16,FALSE)="","",VLOOKUP(A405,[4]PRIORIZADOS!$A:$P,16,FALSE)),"")</f>
        <v>Visitas de evaluación con fines de mejoramiento</v>
      </c>
      <c r="Q405" s="125" t="s">
        <v>75</v>
      </c>
      <c r="R405" s="11" t="str">
        <f>IFERROR(IF(VLOOKUP(A405,[4]PRIORIZADOS!$A:$R,18,FALSE)="","",VLOOKUP(A405,[4]PRIORIZADOS!$A:$R,18,FALSE)),"")</f>
        <v>El SIEE está implementado y articulado con el modelo pedagógico institucional. Sin embargo, no se ha conformado una Comisión de Evaluación y Promoción independiente del Consejo Académico, como lo exige la normativa vigente.</v>
      </c>
      <c r="S405" s="11" t="str">
        <f>IFERROR(IF(VLOOKUP(A405,[4]PRIORIZADOS!$A:$S,19,FALSE)="","",VLOOKUP(A405,[4]PRIORIZADOS!$A:$S,19,FALSE)),"")</f>
        <v>La institución se compromete a conformar formalmente la Comisión de Evaluación y Promoción, diferenciándola del Consejo Académico, con el fin de cumplir con la normatividad vigente y fortalecer el seguimiento a los procesos de evaluación y promoción. Se revisará el SIEE para ajustarlo y consolidar su implementación con criterios técnicos, participativos y diferenciales.</v>
      </c>
      <c r="T405" s="70" t="str">
        <f>IFERROR(IF(VLOOKUP(A405,[4]PRIORIZADOS!$A:$T,20,FALSE)="","",VLOOKUP(A405,[4]PRIORIZADOS!$A:$T,20,FALSE)),"")</f>
        <v>Si</v>
      </c>
      <c r="U405" s="11" t="str">
        <f>IFERROR(IF(VLOOKUP(A405,[4]PRIORIZADOS!$A:$U,21,FALSE)="","",VLOOKUP(A405,[4]PRIORIZADOS!$A:$U,21,FALSE)),"")</f>
        <v>Se verificará la conformación formal de la Comisión de Evaluación y Promoción mediante actas firmadas y la actualización del SIEE, en una visita posterior o mediante reporte documental a más tardar el 23 de mayo de 2025, fecha establecida para la entrega de documentación actualizada.</v>
      </c>
    </row>
    <row r="406" spans="1:21" s="1" customFormat="1" ht="60">
      <c r="A406" s="69">
        <f>IF([4]PRIORIZADOS!A20="","",[4]PRIORIZADOS!A20)</f>
        <v>413</v>
      </c>
      <c r="B406" s="70">
        <v>2</v>
      </c>
      <c r="C406" s="11" t="str">
        <f>IFERROR(IF(VLOOKUP(A406,[4]PRIORIZADOS!$A:$C,3,FALSE)="","",VLOOKUP(A406,[4]PRIORIZADOS!$A:$C,3,FALSE)),"")</f>
        <v>CHAPINERO</v>
      </c>
      <c r="D406" s="11" t="str">
        <f>IFERROR(IF(VLOOKUP(A406,[4]PRIORIZADOS!$A:$D,4,FALSE)="","",VLOOKUP(A406,[4]PRIORIZADOS!$A:$D,4,FALSE)),"")</f>
        <v>PRIVADO</v>
      </c>
      <c r="E406" s="11" t="str">
        <f>IFERROR(IF(VLOOKUP(A406,[4]PRIORIZADOS!$A:$E,5,FALSE)="","",VLOOKUP(A406,[4]PRIORIZADOS!$A:$E,5,FALSE)),"")</f>
        <v>Educación de Jóvenes y Adultos</v>
      </c>
      <c r="F406" s="11" t="str">
        <f>IFERROR(IF(VLOOKUP(A406,[4]PRIORIZADOS!$A:$F,6,FALSE)="","",VLOOKUP(A406,[4]PRIORIZADOS!$A:$F,6,FALSE)),"")</f>
        <v>POLITECNICO_UNIVERSAL_DE_CAPACITACION_UNICAP</v>
      </c>
      <c r="G406" s="11" t="str">
        <f>IFERROR(IF(VLOOKUP(A406,[4]PRIORIZADOS!$A:$G,7,FALSE)="","",VLOOKUP(A406,[4]PRIORIZADOS!$A:$G,7,FALSE)),"")</f>
        <v>POLITECNICO UNIVERSAL DE CAPACITACION UNICAP</v>
      </c>
      <c r="H406" s="11" t="str">
        <f>IFERROR(IF(VLOOKUP(A406,[4]PRIORIZADOS!$A:$H,8,FALSE)="","",VLOOKUP(A406,[4]PRIORIZADOS!$A:$H,8,FALSE)),"")</f>
        <v>Autoevaluación Institucional y Pruebas SABER 11</v>
      </c>
      <c r="I406" s="11" t="str">
        <f>IFERROR(IF(VLOOKUP(A406,[4]PRIORIZADOS!$A:$I,9,FALSE)="","",VLOOKUP(A406,[4]PRIORIZADOS!$A:$I,9,FALSE)),"")</f>
        <v>EVALUACIÓN_CON_FINES_DE_MEJORAMIENTO.</v>
      </c>
      <c r="J406" s="11" t="str">
        <f>IFERROR(IF(VLOOKUP(A406,[4]PRIORIZADOS!$A:$J,10,FALSE)="","",VLOOKUP(A406,[4]PRIORIZADOS!$A:$J,10,FALSE)),"")</f>
        <v>Verificar el funcionamiento del Gobierno Escolar e instancias de participación con base en la información sobre conformación reportada por la institución educativa.</v>
      </c>
      <c r="K406" s="11" t="str">
        <f>IFERROR(IF(VLOOKUP(A406,[4]PRIORIZADOS!$A:$K,11,FALSE)="","",VLOOKUP(A406,[4]PRIORIZADOS!$A:$K,11,FALSE)),"")</f>
        <v>SANTIAGO ÁVILA LEURO</v>
      </c>
      <c r="L406" s="11" t="str">
        <f>IFERROR(IF(VLOOKUP(A406,[4]PRIORIZADOS!$A:$L,12,FALSE)="","",VLOOKUP(A406,[4]PRIORIZADOS!$A:$L,12,FALSE)),"")</f>
        <v>JUAN MANUEL AGUIRRE BOHÓRQUEZ</v>
      </c>
      <c r="M406" s="71">
        <f>IFERROR(IF(VLOOKUP(A406,[4]PRIORIZADOS!$A:$M,13,FALSE)="","",VLOOKUP(A406,[4]PRIORIZADOS!$A:$M,13,FALSE)),"")</f>
        <v>45743</v>
      </c>
      <c r="N406" s="71">
        <f>IFERROR(IF(VLOOKUP(A406,[4]PRIORIZADOS!$A:$N,14,FALSE)="","",VLOOKUP(A406,[4]PRIORIZADOS!$A:$N,14,FALSE)),"")</f>
        <v>45772</v>
      </c>
      <c r="O406" s="71">
        <f>IFERROR(IF(VLOOKUP(A406,[4]PRIORIZADOS!$A:$O,15,FALSE)="","",VLOOKUP(A406,[4]PRIORIZADOS!$A:$O,15,FALSE)),"")</f>
        <v>45772</v>
      </c>
      <c r="P406" s="11" t="str">
        <f>IFERROR(IF(VLOOKUP(A406,[4]PRIORIZADOS!$A:$P,16,FALSE)="","",VLOOKUP(A406,[4]PRIORIZADOS!$A:$P,16,FALSE)),"")</f>
        <v>Visitas de evaluación con fines de mejoramiento</v>
      </c>
      <c r="Q406" s="125" t="s">
        <v>75</v>
      </c>
      <c r="R406" s="11" t="str">
        <f>IFERROR(IF(VLOOKUP(A406,[4]PRIORIZADOS!$A:$R,18,FALSE)="","",VLOOKUP(A406,[4]PRIORIZADOS!$A:$R,18,FALSE)),"")</f>
        <v>Los órganos del Gobierno Escolar  han sido debidamente conformados para  2024 y 2025, incluyendo el Comité de Convivencia Escolar, con sus respectivas actas de elección y funcionamiento.</v>
      </c>
      <c r="S406" s="11" t="str">
        <f>IFERROR(IF(VLOOKUP(A406,[4]PRIORIZADOS!$A:$S,19,FALSE)="","",VLOOKUP(A406,[4]PRIORIZADOS!$A:$S,19,FALSE)),"")</f>
        <v>La institución continuará garantizando el funcionamiento activo del Gobierno Escolar, promoviendo la participación de todos los estamentos en los espacios colegiados.</v>
      </c>
      <c r="T406" s="70" t="str">
        <f>IFERROR(IF(VLOOKUP(A406,[4]PRIORIZADOS!$A:$T,20,FALSE)="","",VLOOKUP(A406,[4]PRIORIZADOS!$A:$T,20,FALSE)),"")</f>
        <v>No</v>
      </c>
      <c r="U406" s="11" t="str">
        <f>IFERROR(IF(VLOOKUP(A406,[4]PRIORIZADOS!$A:$U,21,FALSE)="","",VLOOKUP(A406,[4]PRIORIZADOS!$A:$U,21,FALSE)),"")</f>
        <v>Se realizará seguimiento a través de la revisión periódica de actas y evidencias del ejercicio de funciones por parte de los órganos del Gobierno Escolar.</v>
      </c>
    </row>
    <row r="407" spans="1:21" s="1" customFormat="1" ht="60">
      <c r="A407" s="69">
        <f>IF([4]PRIORIZADOS!A21="","",[4]PRIORIZADOS!A21)</f>
        <v>414</v>
      </c>
      <c r="B407" s="70">
        <v>2</v>
      </c>
      <c r="C407" s="11" t="str">
        <f>IFERROR(IF(VLOOKUP(A407,[4]PRIORIZADOS!$A:$C,3,FALSE)="","",VLOOKUP(A407,[4]PRIORIZADOS!$A:$C,3,FALSE)),"")</f>
        <v>CHAPINERO</v>
      </c>
      <c r="D407" s="11" t="str">
        <f>IFERROR(IF(VLOOKUP(A407,[4]PRIORIZADOS!$A:$D,4,FALSE)="","",VLOOKUP(A407,[4]PRIORIZADOS!$A:$D,4,FALSE)),"")</f>
        <v>PRIVADO</v>
      </c>
      <c r="E407" s="11" t="str">
        <f>IFERROR(IF(VLOOKUP(A407,[4]PRIORIZADOS!$A:$E,5,FALSE)="","",VLOOKUP(A407,[4]PRIORIZADOS!$A:$E,5,FALSE)),"")</f>
        <v>Educación de Jóvenes y Adultos</v>
      </c>
      <c r="F407" s="11" t="str">
        <f>IFERROR(IF(VLOOKUP(A407,[4]PRIORIZADOS!$A:$F,6,FALSE)="","",VLOOKUP(A407,[4]PRIORIZADOS!$A:$F,6,FALSE)),"")</f>
        <v>POLITECNICO_UNIVERSAL_DE_CAPACITACION_UNICAP</v>
      </c>
      <c r="G407" s="11" t="str">
        <f>IFERROR(IF(VLOOKUP(A407,[4]PRIORIZADOS!$A:$G,7,FALSE)="","",VLOOKUP(A407,[4]PRIORIZADOS!$A:$G,7,FALSE)),"")</f>
        <v>POLITECNICO UNIVERSAL DE CAPACITACION UNICAP</v>
      </c>
      <c r="H407" s="11" t="str">
        <f>IFERROR(IF(VLOOKUP(A407,[4]PRIORIZADOS!$A:$H,8,FALSE)="","",VLOOKUP(A407,[4]PRIORIZADOS!$A:$H,8,FALSE)),"")</f>
        <v>Autoevaluación Institucional y Pruebas SABER 11</v>
      </c>
      <c r="I407" s="11" t="str">
        <f>IFERROR(IF(VLOOKUP(A407,[4]PRIORIZADOS!$A:$I,9,FALSE)="","",VLOOKUP(A407,[4]PRIORIZADOS!$A:$I,9,FALSE)),"")</f>
        <v>EVALUACIÓN_CON_FINES_DE_MEJORAMIENTO.</v>
      </c>
      <c r="J407" s="11" t="str">
        <f>IFERROR(IF(VLOOKUP(A407,[4]PRIORIZADOS!$A:$J,10,FALSE)="","",VLOOKUP(A407,[4]PRIORIZADOS!$A:$J,10,FALSE)),"")</f>
        <v>Verificar las condiciones en cuanto a: la estructura administrativa, condiciones de la planta física y medios educativos adecuados.</v>
      </c>
      <c r="K407" s="11" t="str">
        <f>IFERROR(IF(VLOOKUP(A407,[4]PRIORIZADOS!$A:$K,11,FALSE)="","",VLOOKUP(A407,[4]PRIORIZADOS!$A:$K,11,FALSE)),"")</f>
        <v>SANTIAGO ÁVILA LEURO</v>
      </c>
      <c r="L407" s="11" t="str">
        <f>IFERROR(IF(VLOOKUP(A407,[4]PRIORIZADOS!$A:$L,12,FALSE)="","",VLOOKUP(A407,[4]PRIORIZADOS!$A:$L,12,FALSE)),"")</f>
        <v>JUAN MANUEL AGUIRRE BOHÓRQUEZ</v>
      </c>
      <c r="M407" s="71">
        <f>IFERROR(IF(VLOOKUP(A407,[4]PRIORIZADOS!$A:$M,13,FALSE)="","",VLOOKUP(A407,[4]PRIORIZADOS!$A:$M,13,FALSE)),"")</f>
        <v>45743</v>
      </c>
      <c r="N407" s="71">
        <f>IFERROR(IF(VLOOKUP(A407,[4]PRIORIZADOS!$A:$N,14,FALSE)="","",VLOOKUP(A407,[4]PRIORIZADOS!$A:$N,14,FALSE)),"")</f>
        <v>45772</v>
      </c>
      <c r="O407" s="71">
        <f>IFERROR(IF(VLOOKUP(A407,[4]PRIORIZADOS!$A:$O,15,FALSE)="","",VLOOKUP(A407,[4]PRIORIZADOS!$A:$O,15,FALSE)),"")</f>
        <v>45772</v>
      </c>
      <c r="P407" s="11" t="str">
        <f>IFERROR(IF(VLOOKUP(A407,[4]PRIORIZADOS!$A:$P,16,FALSE)="","",VLOOKUP(A407,[4]PRIORIZADOS!$A:$P,16,FALSE)),"")</f>
        <v>Visitas de evaluación con fines de mejoramiento</v>
      </c>
      <c r="Q407" s="125" t="s">
        <v>75</v>
      </c>
      <c r="R407" s="11" t="str">
        <f>IFERROR(IF(VLOOKUP(A407,[4]PRIORIZADOS!$A:$R,18,FALSE)="","",VLOOKUP(A407,[4]PRIORIZADOS!$A:$R,18,FALSE)),"")</f>
        <v>La institución cuenta con una estructura administrativa organizada, planta física en buenas condiciones y medios educativos adecuados para el desarrollo de sus actividades académicas.</v>
      </c>
      <c r="S407" s="11" t="str">
        <f>IFERROR(IF(VLOOKUP(A407,[4]PRIORIZADOS!$A:$S,19,FALSE)="","",VLOOKUP(A407,[4]PRIORIZADOS!$A:$S,19,FALSE)),"")</f>
        <v>Mantener las condiciones actuales, garantizando la operación continua y segura de los servicios educativos.</v>
      </c>
      <c r="T407" s="70" t="str">
        <f>IFERROR(IF(VLOOKUP(A407,[4]PRIORIZADOS!$A:$T,20,FALSE)="","",VLOOKUP(A407,[4]PRIORIZADOS!$A:$T,20,FALSE)),"")</f>
        <v>No</v>
      </c>
      <c r="U407" s="11" t="str">
        <f>IFERROR(IF(VLOOKUP(A407,[4]PRIORIZADOS!$A:$U,21,FALSE)="","",VLOOKUP(A407,[4]PRIORIZADOS!$A:$U,21,FALSE)),"")</f>
        <v>Seguimiento mediante visitas periódicas o reporte institucional que evidencie el sostenimiento de las condiciones observadas.</v>
      </c>
    </row>
    <row r="408" spans="1:21" s="1" customFormat="1" ht="107.25">
      <c r="A408" s="69">
        <f>IF([4]PRIORIZADOS!A22="","",[4]PRIORIZADOS!A22)</f>
        <v>415</v>
      </c>
      <c r="B408" s="70">
        <v>3</v>
      </c>
      <c r="C408" s="11" t="str">
        <f>IFERROR(IF(VLOOKUP(A408,[4]PRIORIZADOS!$A:$C,3,FALSE)="","",VLOOKUP(A408,[4]PRIORIZADOS!$A:$C,3,FALSE)),"")</f>
        <v>CHAPINERO</v>
      </c>
      <c r="D408" s="11" t="str">
        <f>IFERROR(IF(VLOOKUP(A408,[4]PRIORIZADOS!$A:$D,4,FALSE)="","",VLOOKUP(A408,[4]PRIORIZADOS!$A:$D,4,FALSE)),"")</f>
        <v>PRIVADO</v>
      </c>
      <c r="E408" s="11" t="str">
        <f>IFERROR(IF(VLOOKUP(A408,[4]PRIORIZADOS!$A:$E,5,FALSE)="","",VLOOKUP(A408,[4]PRIORIZADOS!$A:$E,5,FALSE)),"")</f>
        <v>Educación de Jóvenes y Adultos</v>
      </c>
      <c r="F408" s="11" t="str">
        <f>IFERROR(IF(VLOOKUP(A408,[4]PRIORIZADOS!$A:$F,6,FALSE)="","",VLOOKUP(A408,[4]PRIORIZADOS!$A:$F,6,FALSE)),"")</f>
        <v>COLEGIO_UNILATINA</v>
      </c>
      <c r="G408" s="11" t="str">
        <f>IFERROR(IF(VLOOKUP(A408,[4]PRIORIZADOS!$A:$G,7,FALSE)="","",VLOOKUP(A408,[4]PRIORIZADOS!$A:$G,7,FALSE)),"")</f>
        <v>COLEGIO UNILATINA</v>
      </c>
      <c r="H408" s="11" t="str">
        <f>IFERROR(IF(VLOOKUP(A408,[4]PRIORIZADOS!$A:$H,8,FALSE)="","",VLOOKUP(A408,[4]PRIORIZADOS!$A:$H,8,FALSE)),"")</f>
        <v>Autoevaluación Institucional y Pruebas SABER 11</v>
      </c>
      <c r="I408" s="11" t="str">
        <f>IFERROR(IF(VLOOKUP(A408,[4]PRIORIZADOS!$A:$I,9,FALSE)="","",VLOOKUP(A408,[4]PRIORIZADOS!$A:$I,9,FALSE)),"")</f>
        <v>SEGUIMIENTO_Y_SUPERVISIÓN.</v>
      </c>
      <c r="J408" s="11" t="str">
        <f>IFERROR(IF(VLOOKUP(A408,[4]PRIORIZADOS!$A:$J,10,FALSE)="","",VLOOKUP(A408,[4]PRIORIZADOS!$A:$J,10,FALSE)),"")</f>
        <v>Realizar visitas para verificar la información registrada sobre la autoevaluación institucional en el aplicativo EVI, a los establecimientos de educación formal no oficial.</v>
      </c>
      <c r="K408" s="11" t="str">
        <f>IFERROR(IF(VLOOKUP(A408,[4]PRIORIZADOS!$A:$K,11,FALSE)="","",VLOOKUP(A408,[4]PRIORIZADOS!$A:$K,11,FALSE)),"")</f>
        <v>CONNIE QUIÑONES CÁRDENAS</v>
      </c>
      <c r="L408" s="11" t="str">
        <f>IFERROR(IF(VLOOKUP(A408,[4]PRIORIZADOS!$A:$L,12,FALSE)="","",VLOOKUP(A408,[4]PRIORIZADOS!$A:$L,12,FALSE)),"")</f>
        <v>JUAN MANUEL AGUIRRE BOHÓRQUEZ</v>
      </c>
      <c r="M408" s="71">
        <f>IFERROR(IF(VLOOKUP(A408,[4]PRIORIZADOS!$A:$M,13,FALSE)="","",VLOOKUP(A408,[4]PRIORIZADOS!$A:$M,13,FALSE)),"")</f>
        <v>45734</v>
      </c>
      <c r="N408" s="71">
        <f>IFERROR(IF(VLOOKUP(A408,[4]PRIORIZADOS!$A:$N,14,FALSE)="","",VLOOKUP(A408,[4]PRIORIZADOS!$A:$N,14,FALSE)),"")</f>
        <v>45786</v>
      </c>
      <c r="O408" s="71">
        <f>IFERROR(IF(VLOOKUP(A408,[4]PRIORIZADOS!$A:$O,15,FALSE)="","",VLOOKUP(A408,[4]PRIORIZADOS!$A:$O,15,FALSE)),"")</f>
        <v>45786</v>
      </c>
      <c r="P408" s="11" t="str">
        <f>IFERROR(IF(VLOOKUP(A408,[4]PRIORIZADOS!$A:$P,16,FALSE)="","",VLOOKUP(A408,[4]PRIORIZADOS!$A:$P,16,FALSE)),"")</f>
        <v>Visitas de evaluación con fines de mejoramiento</v>
      </c>
      <c r="Q408" s="126" t="s">
        <v>77</v>
      </c>
      <c r="R408" s="11" t="str">
        <f>IFERROR(IF(VLOOKUP(A408,[4]PRIORIZADOS!$A:$R,18,FALSE)="","",VLOOKUP(A408,[4]PRIORIZADOS!$A:$R,18,FALSE)),"")</f>
        <v>La institución diligenció el aplicativo EVI en los plazos establecidos y actualmente se encuentra  para la jornada diurna en Regulada y las jornadas nocturna y fin de semana en vigilado. Así mismo, reportó oportunamente la información de costos educativos a la Dirección Local de Educación de Chapinero, conforme a la normatividad vigente.</v>
      </c>
      <c r="S408" s="11" t="str">
        <f>IFERROR(IF(VLOOKUP(A408,[4]PRIORIZADOS!$A:$S,19,FALSE)="","",VLOOKUP(A408,[4]PRIORIZADOS!$A:$S,19,FALSE)),"")</f>
        <v>Continuar con el cumplimiento del reporte en el aplicativo EVI previa evaluación institucional y socialización con la comunidad educativa para la presentación y  aprobación de la tarifa</v>
      </c>
      <c r="T408" s="70" t="str">
        <f>IFERROR(IF(VLOOKUP(A408,[4]PRIORIZADOS!$A:$T,20,FALSE)="","",VLOOKUP(A408,[4]PRIORIZADOS!$A:$T,20,FALSE)),"")</f>
        <v>si</v>
      </c>
      <c r="U408" s="11" t="str">
        <f>IFERROR(IF(VLOOKUP(A408,[4]PRIORIZADOS!$A:$U,21,FALSE)="","",VLOOKUP(A408,[4]PRIORIZADOS!$A:$U,21,FALSE)),"")</f>
        <v>Verifica el cumplimiento de los requisitos dentro de los plazos establecidos para llevar a cabo la autorización de las tarifas 2026</v>
      </c>
    </row>
    <row r="409" spans="1:21" s="1" customFormat="1" ht="96">
      <c r="A409" s="69">
        <f>IF([4]PRIORIZADOS!A23="","",[4]PRIORIZADOS!A23)</f>
        <v>416</v>
      </c>
      <c r="B409" s="70">
        <v>3</v>
      </c>
      <c r="C409" s="11" t="str">
        <f>IFERROR(IF(VLOOKUP(A409,[4]PRIORIZADOS!$A:$C,3,FALSE)="","",VLOOKUP(A409,[4]PRIORIZADOS!$A:$C,3,FALSE)),"")</f>
        <v>CHAPINERO</v>
      </c>
      <c r="D409" s="11" t="str">
        <f>IFERROR(IF(VLOOKUP(A409,[4]PRIORIZADOS!$A:$D,4,FALSE)="","",VLOOKUP(A409,[4]PRIORIZADOS!$A:$D,4,FALSE)),"")</f>
        <v>PRIVADO</v>
      </c>
      <c r="E409" s="11" t="str">
        <f>IFERROR(IF(VLOOKUP(A409,[4]PRIORIZADOS!$A:$E,5,FALSE)="","",VLOOKUP(A409,[4]PRIORIZADOS!$A:$E,5,FALSE)),"")</f>
        <v>Educación de Jóvenes y Adultos</v>
      </c>
      <c r="F409" s="11" t="str">
        <f>IFERROR(IF(VLOOKUP(A409,[4]PRIORIZADOS!$A:$F,6,FALSE)="","",VLOOKUP(A409,[4]PRIORIZADOS!$A:$F,6,FALSE)),"")</f>
        <v>COLEGIO_UNILATINA</v>
      </c>
      <c r="G409" s="11" t="str">
        <f>IFERROR(IF(VLOOKUP(A409,[4]PRIORIZADOS!$A:$G,7,FALSE)="","",VLOOKUP(A409,[4]PRIORIZADOS!$A:$G,7,FALSE)),"")</f>
        <v>COLEGIO UNILATINA</v>
      </c>
      <c r="H409" s="11" t="str">
        <f>IFERROR(IF(VLOOKUP(A409,[4]PRIORIZADOS!$A:$H,8,FALSE)="","",VLOOKUP(A409,[4]PRIORIZADOS!$A:$H,8,FALSE)),"")</f>
        <v>Autoevaluación Institucional y Pruebas SABER 11</v>
      </c>
      <c r="I409" s="11" t="str">
        <f>IFERROR(IF(VLOOKUP(A409,[4]PRIORIZADOS!$A:$I,9,FALSE)="","",VLOOKUP(A409,[4]PRIORIZADOS!$A:$I,9,FALSE)),"")</f>
        <v>SEGUIMIENTO_Y_SUPERVISIÓN.</v>
      </c>
      <c r="J409" s="11" t="str">
        <f>IFERROR(IF(VLOOKUP(A409,[4]PRIORIZADOS!$A:$J,10,FALSE)="","",VLOOKUP(A409,[4]PRIORIZADOS!$A:$J,10,FALSE)),"")</f>
        <v>Proponer estrategias en la formulación, verificar su elaboración y realizar seguimiento semestral al desarrollo de  las acciones establecidas en los planes de mejoramiento por pruebas SABER 11 de los establecimientos de educación formal.</v>
      </c>
      <c r="K409" s="11" t="str">
        <f>IFERROR(IF(VLOOKUP(A409,[4]PRIORIZADOS!$A:$K,11,FALSE)="","",VLOOKUP(A409,[4]PRIORIZADOS!$A:$K,11,FALSE)),"")</f>
        <v>CONNIE QUIÑONES CÁRDENAS</v>
      </c>
      <c r="L409" s="11" t="str">
        <f>IFERROR(IF(VLOOKUP(A409,[4]PRIORIZADOS!$A:$L,12,FALSE)="","",VLOOKUP(A409,[4]PRIORIZADOS!$A:$L,12,FALSE)),"")</f>
        <v>JUAN MANUEL AGUIRRE BOHÓRQUEZ</v>
      </c>
      <c r="M409" s="71">
        <f>IFERROR(IF(VLOOKUP(A409,[4]PRIORIZADOS!$A:$M,13,FALSE)="","",VLOOKUP(A409,[4]PRIORIZADOS!$A:$M,13,FALSE)),"")</f>
        <v>45734</v>
      </c>
      <c r="N409" s="71">
        <f>IFERROR(IF(VLOOKUP(A409,[4]PRIORIZADOS!$A:$N,14,FALSE)="","",VLOOKUP(A409,[4]PRIORIZADOS!$A:$N,14,FALSE)),"")</f>
        <v>45786</v>
      </c>
      <c r="O409" s="71">
        <f>IFERROR(IF(VLOOKUP(A409,[4]PRIORIZADOS!$A:$O,15,FALSE)="","",VLOOKUP(A409,[4]PRIORIZADOS!$A:$O,15,FALSE)),"")</f>
        <v>45786</v>
      </c>
      <c r="P409" s="11" t="str">
        <f>IFERROR(IF(VLOOKUP(A409,[4]PRIORIZADOS!$A:$P,16,FALSE)="","",VLOOKUP(A409,[4]PRIORIZADOS!$A:$P,16,FALSE)),"")</f>
        <v>Visitas de evaluación con fines de mejoramiento</v>
      </c>
      <c r="Q409" s="127" t="s">
        <v>77</v>
      </c>
      <c r="R409" s="11" t="str">
        <f>IFERROR(IF(VLOOKUP(A409,[4]PRIORIZADOS!$A:$R,18,FALSE)="","",VLOOKUP(A409,[4]PRIORIZADOS!$A:$R,18,FALSE)),"")</f>
        <v>Con los resultados obtenido en el ICFES 2024, la institución intensificó específicamente en áreas como geometría lectura de imágenes y lectura crítica para para que los estudiantes puedan entender las preguntas.  Se clasifica en nivel B tiene en su mayoría resultados por encima de 250</v>
      </c>
      <c r="S409" s="11" t="str">
        <f>IFERROR(IF(VLOOKUP(A409,[4]PRIORIZADOS!$A:$S,19,FALSE)="","",VLOOKUP(A409,[4]PRIORIZADOS!$A:$S,19,FALSE)),"")</f>
        <v>Continuar con esas estrategias y actividades semanales  y sensibilización sobre los beneficios para los estudiantes que obtienen buenos resultados en las pruebas ICFES</v>
      </c>
      <c r="T409" s="70" t="str">
        <f>IFERROR(IF(VLOOKUP(A409,[4]PRIORIZADOS!$A:$T,20,FALSE)="","",VLOOKUP(A409,[4]PRIORIZADOS!$A:$T,20,FALSE)),"")</f>
        <v>No</v>
      </c>
      <c r="U409" s="11" t="str">
        <f>IFERROR(IF(VLOOKUP(A409,[4]PRIORIZADOS!$A:$U,21,FALSE)="","",VLOOKUP(A409,[4]PRIORIZADOS!$A:$U,21,FALSE)),"")</f>
        <v>Sensibilización sobre los beneficios para los estudiantes que obtienen buenos resultados en las pruebas ICFES</v>
      </c>
    </row>
    <row r="410" spans="1:21" s="1" customFormat="1" ht="48">
      <c r="A410" s="69">
        <f>IF([4]PRIORIZADOS!A24="","",[4]PRIORIZADOS!A24)</f>
        <v>417</v>
      </c>
      <c r="B410" s="70">
        <v>3</v>
      </c>
      <c r="C410" s="11" t="str">
        <f>IFERROR(IF(VLOOKUP(A410,[4]PRIORIZADOS!$A:$C,3,FALSE)="","",VLOOKUP(A410,[4]PRIORIZADOS!$A:$C,3,FALSE)),"")</f>
        <v>CHAPINERO</v>
      </c>
      <c r="D410" s="11" t="str">
        <f>IFERROR(IF(VLOOKUP(A410,[4]PRIORIZADOS!$A:$D,4,FALSE)="","",VLOOKUP(A410,[4]PRIORIZADOS!$A:$D,4,FALSE)),"")</f>
        <v>PRIVADO</v>
      </c>
      <c r="E410" s="11" t="str">
        <f>IFERROR(IF(VLOOKUP(A410,[4]PRIORIZADOS!$A:$E,5,FALSE)="","",VLOOKUP(A410,[4]PRIORIZADOS!$A:$E,5,FALSE)),"")</f>
        <v>Educación de Jóvenes y Adultos</v>
      </c>
      <c r="F410" s="11" t="str">
        <f>IFERROR(IF(VLOOKUP(A410,[4]PRIORIZADOS!$A:$F,6,FALSE)="","",VLOOKUP(A410,[4]PRIORIZADOS!$A:$F,6,FALSE)),"")</f>
        <v>COLEGIO_UNILATINA</v>
      </c>
      <c r="G410" s="11" t="str">
        <f>IFERROR(IF(VLOOKUP(A410,[4]PRIORIZADOS!$A:$G,7,FALSE)="","",VLOOKUP(A410,[4]PRIORIZADOS!$A:$G,7,FALSE)),"")</f>
        <v>COLEGIO UNILATINA</v>
      </c>
      <c r="H410" s="11" t="str">
        <f>IFERROR(IF(VLOOKUP(A410,[4]PRIORIZADOS!$A:$H,8,FALSE)="","",VLOOKUP(A410,[4]PRIORIZADOS!$A:$H,8,FALSE)),"")</f>
        <v>Autoevaluación Institucional y Pruebas SABER 11</v>
      </c>
      <c r="I410" s="11" t="str">
        <f>IFERROR(IF(VLOOKUP(A410,[4]PRIORIZADOS!$A:$I,9,FALSE)="","",VLOOKUP(A410,[4]PRIORIZADOS!$A:$I,9,FALSE)),"")</f>
        <v>SEGUIMIENTO_Y_SUPERVISIÓN.</v>
      </c>
      <c r="J410" s="11" t="str">
        <f>IFERROR(IF(VLOOKUP(A410,[4]PRIORIZADOS!$A:$J,10,FALSE)="","",VLOOKUP(A410,[4]PRIORIZADOS!$A:$J,10,FALSE)),"")</f>
        <v xml:space="preserve">Verificar la implementación por parte de los colegios, de acciones realizadas para la prevención y atención de las situaciones de convivencia en el entorno escolar, según lo establecido en la Directiva 01 de 2022 del MEN. </v>
      </c>
      <c r="K410" s="11" t="str">
        <f>IFERROR(IF(VLOOKUP(A410,[4]PRIORIZADOS!$A:$K,11,FALSE)="","",VLOOKUP(A410,[4]PRIORIZADOS!$A:$K,11,FALSE)),"")</f>
        <v>CONNIE QUIÑONES CÁRDENAS</v>
      </c>
      <c r="L410" s="11" t="str">
        <f>IFERROR(IF(VLOOKUP(A410,[4]PRIORIZADOS!$A:$L,12,FALSE)="","",VLOOKUP(A410,[4]PRIORIZADOS!$A:$L,12,FALSE)),"")</f>
        <v>JUAN MANUEL AGUIRRE BOHÓRQUEZ</v>
      </c>
      <c r="M410" s="71">
        <f>IFERROR(IF(VLOOKUP(A410,[4]PRIORIZADOS!$A:$M,13,FALSE)="","",VLOOKUP(A410,[4]PRIORIZADOS!$A:$M,13,FALSE)),"")</f>
        <v>45734</v>
      </c>
      <c r="N410" s="71">
        <f>IFERROR(IF(VLOOKUP(A410,[4]PRIORIZADOS!$A:$N,14,FALSE)="","",VLOOKUP(A410,[4]PRIORIZADOS!$A:$N,14,FALSE)),"")</f>
        <v>45786</v>
      </c>
      <c r="O410" s="71">
        <f>IFERROR(IF(VLOOKUP(A410,[4]PRIORIZADOS!$A:$O,15,FALSE)="","",VLOOKUP(A410,[4]PRIORIZADOS!$A:$O,15,FALSE)),"")</f>
        <v>45786</v>
      </c>
      <c r="P410" s="11" t="str">
        <f>IFERROR(IF(VLOOKUP(A410,[4]PRIORIZADOS!$A:$P,16,FALSE)="","",VLOOKUP(A410,[4]PRIORIZADOS!$A:$P,16,FALSE)),"")</f>
        <v>Visitas de evaluación con fines de mejoramiento</v>
      </c>
      <c r="Q410" s="126" t="s">
        <v>77</v>
      </c>
      <c r="R410" s="11" t="str">
        <f>IFERROR(IF(VLOOKUP(A410,[4]PRIORIZADOS!$A:$R,18,FALSE)="","",VLOOKUP(A410,[4]PRIORIZADOS!$A:$R,18,FALSE)),"")</f>
        <v>No contempla en el manual al acciones de prevención, promoción ni atención de conformidad con los protocolos versión 5.0</v>
      </c>
      <c r="S410" s="11" t="str">
        <f>IFERROR(IF(VLOOKUP(A410,[4]PRIORIZADOS!$A:$S,19,FALSE)="","",VLOOKUP(A410,[4]PRIORIZADOS!$A:$S,19,FALSE)),"")</f>
        <v>Ajustar el manual de convivencia para dar cumplimiento a los protocolos de atención y a la directiva 01 de 2022</v>
      </c>
      <c r="T410" s="70" t="str">
        <f>IFERROR(IF(VLOOKUP(A410,[4]PRIORIZADOS!$A:$T,20,FALSE)="","",VLOOKUP(A410,[4]PRIORIZADOS!$A:$T,20,FALSE)),"")</f>
        <v>si</v>
      </c>
      <c r="U410" s="11" t="str">
        <f>IFERROR(IF(VLOOKUP(A410,[4]PRIORIZADOS!$A:$U,21,FALSE)="","",VLOOKUP(A410,[4]PRIORIZADOS!$A:$U,21,FALSE)),"")</f>
        <v>Se presentó al  COLEGIO UNILATINA, los resultados de la evaluación del manual por tanto se esperan los ajustes para la verificación del cumplimiento de lo establecido en la ley y en la directiva de acuerdo al plan de mejoramiento propuesto</v>
      </c>
    </row>
    <row r="411" spans="1:21" s="1" customFormat="1" ht="72">
      <c r="A411" s="69">
        <f>IF([4]PRIORIZADOS!A25="","",[4]PRIORIZADOS!A25)</f>
        <v>418</v>
      </c>
      <c r="B411" s="70">
        <v>3</v>
      </c>
      <c r="C411" s="11" t="str">
        <f>IFERROR(IF(VLOOKUP(A411,[4]PRIORIZADOS!$A:$C,3,FALSE)="","",VLOOKUP(A411,[4]PRIORIZADOS!$A:$C,3,FALSE)),"")</f>
        <v>CHAPINERO</v>
      </c>
      <c r="D411" s="11" t="str">
        <f>IFERROR(IF(VLOOKUP(A411,[4]PRIORIZADOS!$A:$D,4,FALSE)="","",VLOOKUP(A411,[4]PRIORIZADOS!$A:$D,4,FALSE)),"")</f>
        <v>PRIVADO</v>
      </c>
      <c r="E411" s="11" t="str">
        <f>IFERROR(IF(VLOOKUP(A411,[4]PRIORIZADOS!$A:$E,5,FALSE)="","",VLOOKUP(A411,[4]PRIORIZADOS!$A:$E,5,FALSE)),"")</f>
        <v>Educación de Jóvenes y Adultos</v>
      </c>
      <c r="F411" s="11" t="str">
        <f>IFERROR(IF(VLOOKUP(A411,[4]PRIORIZADOS!$A:$F,6,FALSE)="","",VLOOKUP(A411,[4]PRIORIZADOS!$A:$F,6,FALSE)),"")</f>
        <v>COLEGIO_UNILATINA</v>
      </c>
      <c r="G411" s="11" t="str">
        <f>IFERROR(IF(VLOOKUP(A411,[4]PRIORIZADOS!$A:$G,7,FALSE)="","",VLOOKUP(A411,[4]PRIORIZADOS!$A:$G,7,FALSE)),"")</f>
        <v>COLEGIO UNILATINA</v>
      </c>
      <c r="H411" s="11" t="str">
        <f>IFERROR(IF(VLOOKUP(A411,[4]PRIORIZADOS!$A:$H,8,FALSE)="","",VLOOKUP(A411,[4]PRIORIZADOS!$A:$H,8,FALSE)),"")</f>
        <v>Autoevaluación Institucional y Pruebas SABER 11</v>
      </c>
      <c r="I411" s="11" t="str">
        <f>IFERROR(IF(VLOOKUP(A411,[4]PRIORIZADOS!$A:$I,9,FALSE)="","",VLOOKUP(A411,[4]PRIORIZADOS!$A:$I,9,FALSE)),"")</f>
        <v>SEGUIMIENTO_Y_SUPERVISIÓN.</v>
      </c>
      <c r="J411" s="11" t="str">
        <f>IFERROR(IF(VLOOKUP(A411,[4]PRIORIZADOS!$A:$J,10,FALSE)="","",VLOOKUP(A411,[4]PRIORIZADOS!$A:$J,10,FALSE)),"")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11" s="11" t="str">
        <f>IFERROR(IF(VLOOKUP(A411,[4]PRIORIZADOS!$A:$K,11,FALSE)="","",VLOOKUP(A411,[4]PRIORIZADOS!$A:$K,11,FALSE)),"")</f>
        <v>CONNIE QUIÑONES CÁRDENAS</v>
      </c>
      <c r="L411" s="11" t="str">
        <f>IFERROR(IF(VLOOKUP(A411,[4]PRIORIZADOS!$A:$L,12,FALSE)="","",VLOOKUP(A411,[4]PRIORIZADOS!$A:$L,12,FALSE)),"")</f>
        <v>JUAN MANUEL AGUIRRE BOHÓRQUEZ</v>
      </c>
      <c r="M411" s="71">
        <f>IFERROR(IF(VLOOKUP(A411,[4]PRIORIZADOS!$A:$M,13,FALSE)="","",VLOOKUP(A411,[4]PRIORIZADOS!$A:$M,13,FALSE)),"")</f>
        <v>45734</v>
      </c>
      <c r="N411" s="71">
        <f>IFERROR(IF(VLOOKUP(A411,[4]PRIORIZADOS!$A:$N,14,FALSE)="","",VLOOKUP(A411,[4]PRIORIZADOS!$A:$N,14,FALSE)),"")</f>
        <v>45786</v>
      </c>
      <c r="O411" s="71">
        <f>IFERROR(IF(VLOOKUP(A411,[4]PRIORIZADOS!$A:$O,15,FALSE)="","",VLOOKUP(A411,[4]PRIORIZADOS!$A:$O,15,FALSE)),"")</f>
        <v>45786</v>
      </c>
      <c r="P411" s="11" t="str">
        <f>IFERROR(IF(VLOOKUP(A411,[4]PRIORIZADOS!$A:$P,16,FALSE)="","",VLOOKUP(A411,[4]PRIORIZADOS!$A:$P,16,FALSE)),"")</f>
        <v>Visitas de evaluación con fines de mejoramiento</v>
      </c>
      <c r="Q411" s="126" t="s">
        <v>77</v>
      </c>
      <c r="R411" s="11" t="str">
        <f>IFERROR(IF(VLOOKUP(A411,[4]PRIORIZADOS!$A:$R,18,FALSE)="","",VLOOKUP(A411,[4]PRIORIZADOS!$A:$R,18,FALSE)),"")</f>
        <v>Cuenta con PIAR para uno de los estudiantes registrados con diagnóstico, no tiene estudiantes con discapacidad cognitiva ni física</v>
      </c>
      <c r="S411" s="11" t="str">
        <f>IFERROR(IF(VLOOKUP(A411,[4]PRIORIZADOS!$A:$S,19,FALSE)="","",VLOOKUP(A411,[4]PRIORIZADOS!$A:$S,19,FALSE)),"")</f>
        <v>Continuar con las estrategias de verificación, atención, seguimiento, remisión a los entes competentes en los casos que sean necesarios y para el caso reportado, continuar con los ajustes de conformidad con el informe de salud</v>
      </c>
      <c r="T411" s="70" t="str">
        <f>IFERROR(IF(VLOOKUP(A411,[4]PRIORIZADOS!$A:$T,20,FALSE)="","",VLOOKUP(A411,[4]PRIORIZADOS!$A:$T,20,FALSE)),"")</f>
        <v>si</v>
      </c>
      <c r="U411" s="11" t="str">
        <f>IFERROR(IF(VLOOKUP(A411,[4]PRIORIZADOS!$A:$U,21,FALSE)="","",VLOOKUP(A411,[4]PRIORIZADOS!$A:$U,21,FALSE)),"")</f>
        <v xml:space="preserve">Orientar a la institución en los casos que se requiera para brindar el apoyo </v>
      </c>
    </row>
    <row r="412" spans="1:21" s="1" customFormat="1" ht="84">
      <c r="A412" s="69">
        <f>IF([4]PRIORIZADOS!A26="","",[4]PRIORIZADOS!A26)</f>
        <v>419</v>
      </c>
      <c r="B412" s="70">
        <v>3</v>
      </c>
      <c r="C412" s="11" t="str">
        <f>IFERROR(IF(VLOOKUP(A412,[4]PRIORIZADOS!$A:$C,3,FALSE)="","",VLOOKUP(A412,[4]PRIORIZADOS!$A:$C,3,FALSE)),"")</f>
        <v>CHAPINERO</v>
      </c>
      <c r="D412" s="11" t="str">
        <f>IFERROR(IF(VLOOKUP(A412,[4]PRIORIZADOS!$A:$D,4,FALSE)="","",VLOOKUP(A412,[4]PRIORIZADOS!$A:$D,4,FALSE)),"")</f>
        <v>PRIVADO</v>
      </c>
      <c r="E412" s="11" t="str">
        <f>IFERROR(IF(VLOOKUP(A412,[4]PRIORIZADOS!$A:$E,5,FALSE)="","",VLOOKUP(A412,[4]PRIORIZADOS!$A:$E,5,FALSE)),"")</f>
        <v>Educación de Jóvenes y Adultos</v>
      </c>
      <c r="F412" s="11" t="str">
        <f>IFERROR(IF(VLOOKUP(A412,[4]PRIORIZADOS!$A:$F,6,FALSE)="","",VLOOKUP(A412,[4]PRIORIZADOS!$A:$F,6,FALSE)),"")</f>
        <v>COLEGIO_UNILATINA</v>
      </c>
      <c r="G412" s="11" t="str">
        <f>IFERROR(IF(VLOOKUP(A412,[4]PRIORIZADOS!$A:$G,7,FALSE)="","",VLOOKUP(A412,[4]PRIORIZADOS!$A:$G,7,FALSE)),"")</f>
        <v>COLEGIO UNILATINA</v>
      </c>
      <c r="H412" s="11" t="str">
        <f>IFERROR(IF(VLOOKUP(A412,[4]PRIORIZADOS!$A:$H,8,FALSE)="","",VLOOKUP(A412,[4]PRIORIZADOS!$A:$H,8,FALSE)),"")</f>
        <v>Autoevaluación Institucional y Pruebas SABER 11</v>
      </c>
      <c r="I412" s="11" t="str">
        <f>IFERROR(IF(VLOOKUP(A412,[4]PRIORIZADOS!$A:$I,9,FALSE)="","",VLOOKUP(A412,[4]PRIORIZADOS!$A:$I,9,FALSE)),"")</f>
        <v>EVALUACIÓN_CON_FINES_DE_MEJORAMIENTO.</v>
      </c>
      <c r="J412" s="11" t="str">
        <f>IFERROR(IF(VLOOKUP(A412,[4]PRIORIZADOS!$A:$J,10,FALSE)="","",VLOOKUP(A412,[4]PRIORIZADOS!$A:$J,10,FALSE)),"")</f>
        <v>Revisar el calendario escolar, jornada escolar, la intensidad horaria mínima anual en cada nivel y las modificaciones que se realicen al mismo, de acuerdo con lo previsto en la normatividad vigente.</v>
      </c>
      <c r="K412" s="11" t="str">
        <f>IFERROR(IF(VLOOKUP(A412,[4]PRIORIZADOS!$A:$K,11,FALSE)="","",VLOOKUP(A412,[4]PRIORIZADOS!$A:$K,11,FALSE)),"")</f>
        <v>CONNIE QUIÑONES CÁRDENAS</v>
      </c>
      <c r="L412" s="11" t="str">
        <f>IFERROR(IF(VLOOKUP(A412,[4]PRIORIZADOS!$A:$L,12,FALSE)="","",VLOOKUP(A412,[4]PRIORIZADOS!$A:$L,12,FALSE)),"")</f>
        <v>JUAN MANUEL AGUIRRE BOHÓRQUEZ</v>
      </c>
      <c r="M412" s="71">
        <f>IFERROR(IF(VLOOKUP(A412,[4]PRIORIZADOS!$A:$M,13,FALSE)="","",VLOOKUP(A412,[4]PRIORIZADOS!$A:$M,13,FALSE)),"")</f>
        <v>45734</v>
      </c>
      <c r="N412" s="71">
        <f>IFERROR(IF(VLOOKUP(A412,[4]PRIORIZADOS!$A:$N,14,FALSE)="","",VLOOKUP(A412,[4]PRIORIZADOS!$A:$N,14,FALSE)),"")</f>
        <v>45786</v>
      </c>
      <c r="O412" s="71">
        <f>IFERROR(IF(VLOOKUP(A412,[4]PRIORIZADOS!$A:$O,15,FALSE)="","",VLOOKUP(A412,[4]PRIORIZADOS!$A:$O,15,FALSE)),"")</f>
        <v>45786</v>
      </c>
      <c r="P412" s="11" t="str">
        <f>IFERROR(IF(VLOOKUP(A412,[4]PRIORIZADOS!$A:$P,16,FALSE)="","",VLOOKUP(A412,[4]PRIORIZADOS!$A:$P,16,FALSE)),"")</f>
        <v>Visitas de evaluación con fines de mejoramiento</v>
      </c>
      <c r="Q412" s="126" t="s">
        <v>77</v>
      </c>
      <c r="R412" s="11" t="str">
        <f>IFERROR(IF(VLOOKUP(A412,[4]PRIORIZADOS!$A:$R,18,FALSE)="","",VLOOKUP(A412,[4]PRIORIZADOS!$A:$R,18,FALSE)),"")</f>
        <v>Cumple con la jornada escolar para diurna y fin de semana. En la jornada nocturna adultos no tiene matriculados estudiantes y manifiesta que hizo un cambio en su publicidad y espera activar la jornada noche para el segundo periodo para los grados 10° y 11° adultos por ciclos</v>
      </c>
      <c r="S412" s="11" t="str">
        <f>IFERROR(IF(VLOOKUP(A412,[4]PRIORIZADOS!$A:$S,19,FALSE)="","",VLOOKUP(A412,[4]PRIORIZADOS!$A:$S,19,FALSE)),"")</f>
        <v>Continuar garantizando el cumplimiento de las horas, áreas y asignaturas. obligatorias de conformidad con lo establecido para procesos de formación de Adultos</v>
      </c>
      <c r="T412" s="70" t="str">
        <f>IFERROR(IF(VLOOKUP(A412,[4]PRIORIZADOS!$A:$T,20,FALSE)="","",VLOOKUP(A412,[4]PRIORIZADOS!$A:$T,20,FALSE)),"")</f>
        <v>si</v>
      </c>
      <c r="U412" s="11" t="str">
        <f>IFERROR(IF(VLOOKUP(A412,[4]PRIORIZADOS!$A:$U,21,FALSE)="","",VLOOKUP(A412,[4]PRIORIZADOS!$A:$U,21,FALSE)),"")</f>
        <v>Continuar con la verificación del cumplimiento en el reporte del calendario escolar y  del cronograma de actividades escolares</v>
      </c>
    </row>
    <row r="413" spans="1:21" s="1" customFormat="1" ht="36">
      <c r="A413" s="69">
        <f>IF([4]PRIORIZADOS!A28="","",[4]PRIORIZADOS!A28)</f>
        <v>421</v>
      </c>
      <c r="B413" s="70">
        <v>4</v>
      </c>
      <c r="C413" s="11" t="str">
        <f>IFERROR(IF(VLOOKUP(A413,[4]PRIORIZADOS!$A:$C,3,FALSE)="","",VLOOKUP(A413,[4]PRIORIZADOS!$A:$C,3,FALSE)),"")</f>
        <v>CHAPINERO</v>
      </c>
      <c r="D413" s="11" t="str">
        <f>IFERROR(IF(VLOOKUP(A413,[4]PRIORIZADOS!$A:$D,4,FALSE)="","",VLOOKUP(A413,[4]PRIORIZADOS!$A:$D,4,FALSE)),"")</f>
        <v>PRIVADO</v>
      </c>
      <c r="E413" s="11" t="str">
        <f>IFERROR(IF(VLOOKUP(A413,[4]PRIORIZADOS!$A:$E,5,FALSE)="","",VLOOKUP(A413,[4]PRIORIZADOS!$A:$E,5,FALSE)),"")</f>
        <v>EPBM</v>
      </c>
      <c r="F413" s="11" t="str">
        <f>IFERROR(IF(VLOOKUP(A413,[4]PRIORIZADOS!$A:$F,6,FALSE)="","",VLOOKUP(A413,[4]PRIORIZADOS!$A:$F,6,FALSE)),"")</f>
        <v>COLEGIO_JORDAN_DE_SAJONIA</v>
      </c>
      <c r="G413" s="11" t="str">
        <f>IFERROR(IF(VLOOKUP(A413,[4]PRIORIZADOS!$A:$G,7,FALSE)="","",VLOOKUP(A413,[4]PRIORIZADOS!$A:$G,7,FALSE)),"")</f>
        <v>COLEGIO JORDAN DE SAJONIA</v>
      </c>
      <c r="H413" s="11" t="str">
        <f>IFERROR(IF(VLOOKUP(A413,[4]PRIORIZADOS!$A:$H,8,FALSE)="","",VLOOKUP(A413,[4]PRIORIZADOS!$A:$H,8,FALSE)),"")</f>
        <v>Autoevaluación Institucional y Pruebas SABER 11</v>
      </c>
      <c r="I413" s="11" t="str">
        <f>IFERROR(IF(VLOOKUP(A413,[4]PRIORIZADOS!$A:$I,9,FALSE)="","",VLOOKUP(A413,[4]PRIORIZADOS!$A:$I,9,FALSE)),"")</f>
        <v>SEGUIMIENTO_Y_SUPERVISIÓN.</v>
      </c>
      <c r="J413" s="11" t="str">
        <f>IFERROR(IF(VLOOKUP(A413,[4]PRIORIZADOS!$A:$J,10,FALSE)="","",VLOOKUP(A413,[4]PRIORIZADOS!$A:$J,10,FALSE)),"")</f>
        <v>Realizar visitas para verificar la información registrada sobre la autoevaluación institucional en el aplicativo EVI, a los establecimientos de educación formal no oficial.</v>
      </c>
      <c r="K413" s="11" t="str">
        <f>IFERROR(IF(VLOOKUP(A413,[4]PRIORIZADOS!$A:$K,11,FALSE)="","",VLOOKUP(A413,[4]PRIORIZADOS!$A:$K,11,FALSE)),"")</f>
        <v>JUAN MANUEL AGUIRRE BOHÓRQUEZ</v>
      </c>
      <c r="L413" s="11" t="str">
        <f>IFERROR(IF(VLOOKUP(A413,[4]PRIORIZADOS!$A:$L,12,FALSE)="","",VLOOKUP(A413,[4]PRIORIZADOS!$A:$L,12,FALSE)),"")</f>
        <v>SANTIAGO ÁVILA LEURO</v>
      </c>
      <c r="M413" s="71">
        <f>IFERROR(IF(VLOOKUP(A413,[4]PRIORIZADOS!$A:$M,13,FALSE)="","",VLOOKUP(A413,[4]PRIORIZADOS!$A:$M,13,FALSE)),"")</f>
        <v>45722</v>
      </c>
      <c r="N413" s="71">
        <f>IFERROR(IF(VLOOKUP(A413,[4]PRIORIZADOS!$A:$N,14,FALSE)="","",VLOOKUP(A413,[4]PRIORIZADOS!$A:$N,14,FALSE)),"")</f>
        <v>45820</v>
      </c>
      <c r="O413" s="71">
        <f>IFERROR(IF(VLOOKUP(A413,[4]PRIORIZADOS!$A:$O,15,FALSE)="","",VLOOKUP(A413,[4]PRIORIZADOS!$A:$O,15,FALSE)),"")</f>
        <v>45820</v>
      </c>
      <c r="P413" s="11" t="str">
        <f>IFERROR(IF(VLOOKUP(A413,[4]PRIORIZADOS!$A:$P,16,FALSE)="","",VLOOKUP(A413,[4]PRIORIZADOS!$A:$P,16,FALSE)),"")</f>
        <v>Visitas de evaluación con fines de mejoramiento</v>
      </c>
      <c r="Q413" s="126" t="s">
        <v>78</v>
      </c>
      <c r="R413" s="11" t="str">
        <f>IFERROR(IF(VLOOKUP(A413,[4]PRIORIZADOS!$A:$R,18,FALSE)="","",VLOOKUP(A413,[4]PRIORIZADOS!$A:$R,18,FALSE)),"")</f>
        <v>La información registrada en el aplicativo EVI coincide con la realidad de la institución educativa</v>
      </c>
      <c r="S413" s="11" t="str">
        <f>IFERROR(IF(VLOOKUP(A413,[4]PRIORIZADOS!$A:$S,19,FALSE)="","",VLOOKUP(A413,[4]PRIORIZADOS!$A:$S,19,FALSE)),"")</f>
        <v>Diligenciar anualmente la autoevaluación asegurándose que cada ítem se registre acorde a la realidad</v>
      </c>
      <c r="T413" s="70" t="str">
        <f>IFERROR(IF(VLOOKUP(A413,[4]PRIORIZADOS!$A:$T,20,FALSE)="","",VLOOKUP(A413,[4]PRIORIZADOS!$A:$T,20,FALSE)),"")</f>
        <v>No</v>
      </c>
      <c r="U413" s="11" t="str">
        <f>IFERROR(IF(VLOOKUP(A413,[4]PRIORIZADOS!$A:$U,21,FALSE)="","",VLOOKUP(A413,[4]PRIORIZADOS!$A:$U,21,FALSE)),"")</f>
        <v>Verificación del aplicativo anualmente, previo al trámite de tarifas educativas</v>
      </c>
    </row>
    <row r="414" spans="1:21" s="1" customFormat="1" ht="178.5">
      <c r="A414" s="69">
        <f>IF([4]PRIORIZADOS!A29="","",[4]PRIORIZADOS!A29)</f>
        <v>422</v>
      </c>
      <c r="B414" s="70">
        <v>4</v>
      </c>
      <c r="C414" s="11" t="str">
        <f>IFERROR(IF(VLOOKUP(A414,[4]PRIORIZADOS!$A:$C,3,FALSE)="","",VLOOKUP(A414,[4]PRIORIZADOS!$A:$C,3,FALSE)),"")</f>
        <v>CHAPINERO</v>
      </c>
      <c r="D414" s="11" t="str">
        <f>IFERROR(IF(VLOOKUP(A414,[4]PRIORIZADOS!$A:$D,4,FALSE)="","",VLOOKUP(A414,[4]PRIORIZADOS!$A:$D,4,FALSE)),"")</f>
        <v>PRIVADO</v>
      </c>
      <c r="E414" s="11" t="str">
        <f>IFERROR(IF(VLOOKUP(A414,[4]PRIORIZADOS!$A:$E,5,FALSE)="","",VLOOKUP(A414,[4]PRIORIZADOS!$A:$E,5,FALSE)),"")</f>
        <v>Educación de Jóvenes y Adultos</v>
      </c>
      <c r="F414" s="11" t="str">
        <f>IFERROR(IF(VLOOKUP(A414,[4]PRIORIZADOS!$A:$F,6,FALSE)="","",VLOOKUP(A414,[4]PRIORIZADOS!$A:$F,6,FALSE)),"")</f>
        <v>COLEGIO_JORDAN_DE_SAJONIA</v>
      </c>
      <c r="G414" s="11" t="str">
        <f>IFERROR(IF(VLOOKUP(A414,[4]PRIORIZADOS!$A:$G,7,FALSE)="","",VLOOKUP(A414,[4]PRIORIZADOS!$A:$G,7,FALSE)),"")</f>
        <v>COLEGIO JORDAN DE SAJONIA</v>
      </c>
      <c r="H414" s="11" t="str">
        <f>IFERROR(IF(VLOOKUP(A414,[4]PRIORIZADOS!$A:$H,8,FALSE)="","",VLOOKUP(A414,[4]PRIORIZADOS!$A:$H,8,FALSE)),"")</f>
        <v>Autoevaluación Institucional y Pruebas SABER 11</v>
      </c>
      <c r="I414" s="11" t="str">
        <f>IFERROR(IF(VLOOKUP(A414,[4]PRIORIZADOS!$A:$I,9,FALSE)="","",VLOOKUP(A414,[4]PRIORIZADOS!$A:$I,9,FALSE)),"")</f>
        <v>SEGUIMIENTO_Y_SUPERVISIÓN.</v>
      </c>
      <c r="J414" s="11" t="str">
        <f>IFERROR(IF(VLOOKUP(A414,[4]PRIORIZADOS!$A:$J,10,FALSE)="","",VLOOKUP(A414,[4]PRIORIZADOS!$A:$J,10,FALSE)),"")</f>
        <v>Proponer estrategias en la formulación, verificar su elaboración y realizar seguimiento semestral al desarrollo de  las acciones establecidas en los planes de mejoramiento por pruebas SABER 11 de los establecimientos de educación formal.</v>
      </c>
      <c r="K414" s="11" t="str">
        <f>IFERROR(IF(VLOOKUP(A414,[4]PRIORIZADOS!$A:$K,11,FALSE)="","",VLOOKUP(A414,[4]PRIORIZADOS!$A:$K,11,FALSE)),"")</f>
        <v>JUAN MANUEL AGUIRRE BOHÓRQUEZ</v>
      </c>
      <c r="L414" s="11" t="str">
        <f>IFERROR(IF(VLOOKUP(A414,[4]PRIORIZADOS!$A:$L,12,FALSE)="","",VLOOKUP(A414,[4]PRIORIZADOS!$A:$L,12,FALSE)),"")</f>
        <v>SANTIAGO ÁVILA LEURO</v>
      </c>
      <c r="M414" s="71">
        <f>IFERROR(IF(VLOOKUP(A414,[4]PRIORIZADOS!$A:$M,13,FALSE)="","",VLOOKUP(A414,[4]PRIORIZADOS!$A:$M,13,FALSE)),"")</f>
        <v>45722</v>
      </c>
      <c r="N414" s="71">
        <f>IFERROR(IF(VLOOKUP(A414,[4]PRIORIZADOS!$A:$N,14,FALSE)="","",VLOOKUP(A414,[4]PRIORIZADOS!$A:$N,14,FALSE)),"")</f>
        <v>45820</v>
      </c>
      <c r="O414" s="71">
        <f>IFERROR(IF(VLOOKUP(A414,[4]PRIORIZADOS!$A:$O,15,FALSE)="","",VLOOKUP(A414,[4]PRIORIZADOS!$A:$O,15,FALSE)),"")</f>
        <v>45820</v>
      </c>
      <c r="P414" s="11" t="str">
        <f>IFERROR(IF(VLOOKUP(A414,[4]PRIORIZADOS!$A:$P,16,FALSE)="","",VLOOKUP(A414,[4]PRIORIZADOS!$A:$P,16,FALSE)),"")</f>
        <v>Visitas de evaluación con fines de mejoramiento</v>
      </c>
      <c r="Q414" s="126" t="s">
        <v>78</v>
      </c>
      <c r="R414" s="11" t="str">
        <f>IFERROR(IF(VLOOKUP(A414,[4]PRIORIZADOS!$A:$R,18,FALSE)="","",VLOOKUP(A414,[4]PRIORIZADOS!$A:$R,18,FALSE)),"")</f>
        <v>En cada área se realiza un trabajo enfocado en la preparación para las pruebas SABER, integrándolas en todas las mallas curriculares. Se brinda apoyo mediante ayudas y pruebas de pensamiento aplicadas, como parte de un entrenamiento constante desde los primeros grados. Se ha implementado una estrategia adaptativa para el acceso a las pruebas, mediante una plataforma que permite identificar fortalezas y debilidades. Además, se promueve la participación activa de los padres de familia en el proceso, especialmente en el desarrollo de simulacros</v>
      </c>
      <c r="S414" s="11" t="str">
        <f>IFERROR(IF(VLOOKUP(A414,[4]PRIORIZADOS!$A:$S,19,FALSE)="","",VLOOKUP(A414,[4]PRIORIZADOS!$A:$S,19,FALSE)),"")</f>
        <v>Continuar fortaleciendo los procesos de mejora institucional mediante el uso de plataformas adaptativas y la participación familiar en simulacros. Con base en las dificultades identificadas, se ajustan las mallas curriculares desde el Consejo Académico y se refuerzan las áreas con mayores necesidades, especialmente Ciencias Naturales.</v>
      </c>
      <c r="T414" s="70" t="str">
        <f>IFERROR(IF(VLOOKUP(A414,[4]PRIORIZADOS!$A:$T,20,FALSE)="","",VLOOKUP(A414,[4]PRIORIZADOS!$A:$T,20,FALSE)),"")</f>
        <v>No</v>
      </c>
      <c r="U414" s="11" t="str">
        <f>IFERROR(IF(VLOOKUP(A414,[4]PRIORIZADOS!$A:$U,21,FALSE)="","",VLOOKUP(A414,[4]PRIORIZADOS!$A:$U,21,FALSE)),"")</f>
        <v>Realizar acompañamiento y asesoría desde el ELIV cuando el Colegio lo requiera</v>
      </c>
    </row>
    <row r="415" spans="1:21" s="1" customFormat="1" ht="154.5">
      <c r="A415" s="69">
        <f>IF([4]PRIORIZADOS!A30="","",[4]PRIORIZADOS!A30)</f>
        <v>423</v>
      </c>
      <c r="B415" s="70">
        <v>4</v>
      </c>
      <c r="C415" s="11" t="str">
        <f>IFERROR(IF(VLOOKUP(A415,[4]PRIORIZADOS!$A:$C,3,FALSE)="","",VLOOKUP(A415,[4]PRIORIZADOS!$A:$C,3,FALSE)),"")</f>
        <v>CHAPINERO</v>
      </c>
      <c r="D415" s="11" t="str">
        <f>IFERROR(IF(VLOOKUP(A415,[4]PRIORIZADOS!$A:$D,4,FALSE)="","",VLOOKUP(A415,[4]PRIORIZADOS!$A:$D,4,FALSE)),"")</f>
        <v>PRIVADO</v>
      </c>
      <c r="E415" s="11" t="str">
        <f>IFERROR(IF(VLOOKUP(A415,[4]PRIORIZADOS!$A:$E,5,FALSE)="","",VLOOKUP(A415,[4]PRIORIZADOS!$A:$E,5,FALSE)),"")</f>
        <v>Educación de Jóvenes y Adultos</v>
      </c>
      <c r="F415" s="11" t="str">
        <f>IFERROR(IF(VLOOKUP(A415,[4]PRIORIZADOS!$A:$F,6,FALSE)="","",VLOOKUP(A415,[4]PRIORIZADOS!$A:$F,6,FALSE)),"")</f>
        <v>COLEGIO_JORDAN_DE_SAJONIA</v>
      </c>
      <c r="G415" s="11" t="str">
        <f>IFERROR(IF(VLOOKUP(A415,[4]PRIORIZADOS!$A:$G,7,FALSE)="","",VLOOKUP(A415,[4]PRIORIZADOS!$A:$G,7,FALSE)),"")</f>
        <v>COLEGIO JORDAN DE SAJONIA</v>
      </c>
      <c r="H415" s="11" t="str">
        <f>IFERROR(IF(VLOOKUP(A415,[4]PRIORIZADOS!$A:$H,8,FALSE)="","",VLOOKUP(A415,[4]PRIORIZADOS!$A:$H,8,FALSE)),"")</f>
        <v>Autoevaluación Institucional y Pruebas SABER 11</v>
      </c>
      <c r="I415" s="11" t="str">
        <f>IFERROR(IF(VLOOKUP(A415,[4]PRIORIZADOS!$A:$I,9,FALSE)="","",VLOOKUP(A415,[4]PRIORIZADOS!$A:$I,9,FALSE)),"")</f>
        <v>SEGUIMIENTO_Y_SUPERVISIÓN.</v>
      </c>
      <c r="J415" s="11" t="str">
        <f>IFERROR(IF(VLOOKUP(A415,[4]PRIORIZADOS!$A:$J,10,FALSE)="","",VLOOKUP(A415,[4]PRIORIZADOS!$A:$J,10,FALSE)),"")</f>
        <v xml:space="preserve">Verificar la implementación por parte de los colegios, de acciones realizadas para la prevención y atención de las situaciones de convivencia en el entorno escolar, según lo establecido en la Directiva 01 de 2022 del MEN. </v>
      </c>
      <c r="K415" s="11" t="str">
        <f>IFERROR(IF(VLOOKUP(A415,[4]PRIORIZADOS!$A:$K,11,FALSE)="","",VLOOKUP(A415,[4]PRIORIZADOS!$A:$K,11,FALSE)),"")</f>
        <v>JUAN MANUEL AGUIRRE BOHÓRQUEZ</v>
      </c>
      <c r="L415" s="11" t="str">
        <f>IFERROR(IF(VLOOKUP(A415,[4]PRIORIZADOS!$A:$L,12,FALSE)="","",VLOOKUP(A415,[4]PRIORIZADOS!$A:$L,12,FALSE)),"")</f>
        <v>SANTIAGO ÁVILA LEURO</v>
      </c>
      <c r="M415" s="71">
        <f>IFERROR(IF(VLOOKUP(A415,[4]PRIORIZADOS!$A:$M,13,FALSE)="","",VLOOKUP(A415,[4]PRIORIZADOS!$A:$M,13,FALSE)),"")</f>
        <v>45722</v>
      </c>
      <c r="N415" s="71">
        <f>IFERROR(IF(VLOOKUP(A415,[4]PRIORIZADOS!$A:$N,14,FALSE)="","",VLOOKUP(A415,[4]PRIORIZADOS!$A:$N,14,FALSE)),"")</f>
        <v>45820</v>
      </c>
      <c r="O415" s="71">
        <f>IFERROR(IF(VLOOKUP(A415,[4]PRIORIZADOS!$A:$O,15,FALSE)="","",VLOOKUP(A415,[4]PRIORIZADOS!$A:$O,15,FALSE)),"")</f>
        <v>45820</v>
      </c>
      <c r="P415" s="11" t="str">
        <f>IFERROR(IF(VLOOKUP(A415,[4]PRIORIZADOS!$A:$P,16,FALSE)="","",VLOOKUP(A415,[4]PRIORIZADOS!$A:$P,16,FALSE)),"")</f>
        <v>Visitas de evaluación con fines de mejoramiento</v>
      </c>
      <c r="Q415" s="126" t="s">
        <v>78</v>
      </c>
      <c r="R415" s="11" t="str">
        <f>IFERROR(IF(VLOOKUP(A415,[4]PRIORIZADOS!$A:$R,18,FALSE)="","",VLOOKUP(A415,[4]PRIORIZADOS!$A:$R,18,FALSE)),"")</f>
        <v>El equipo de convivencia y los moderadores trabajan de manera articulada en acciones preventivas. Se destacan estrategias como la Feria de la Convivencia Escolar, enfocada en la prevención del acoso escolar y la promoción de prácticas de resolución pacífica de conflictos</v>
      </c>
      <c r="S415" s="11" t="str">
        <f>IFERROR(IF(VLOOKUP(A415,[4]PRIORIZADOS!$A:$S,19,FALSE)="","",VLOOKUP(A415,[4]PRIORIZADOS!$A:$S,19,FALSE)),"")</f>
        <v>Continuar fortaleciendo las estrategias de prevención del acoso escolar y la promoción de la convivencia mediante actividades pedagógicas como la Feria de la Convivencia Escolar, el fomento del bienestar integral, el trabajo en autocuidado y el fortalecimiento del orgullo sajoniano. Estas acciones estarán orientadas al desarrollo de una cultura escolar basada en el respeto, la empatía y la resolución pacífica de conflictos a través de herramientas como políticas institucionales</v>
      </c>
      <c r="T415" s="70" t="str">
        <f>IFERROR(IF(VLOOKUP(A415,[4]PRIORIZADOS!$A:$T,20,FALSE)="","",VLOOKUP(A415,[4]PRIORIZADOS!$A:$T,20,FALSE)),"")</f>
        <v>No</v>
      </c>
      <c r="U415" s="11" t="str">
        <f>IFERROR(IF(VLOOKUP(A415,[4]PRIORIZADOS!$A:$U,21,FALSE)="","",VLOOKUP(A415,[4]PRIORIZADOS!$A:$U,21,FALSE)),"")</f>
        <v>Realizar acompañamiento y asesoría desde el ELIV cuando el Colegio lo requiera</v>
      </c>
    </row>
    <row r="416" spans="1:21" s="1" customFormat="1" ht="154.5">
      <c r="A416" s="69">
        <f>IF([4]PRIORIZADOS!A31="","",[4]PRIORIZADOS!A31)</f>
        <v>424</v>
      </c>
      <c r="B416" s="70">
        <v>4</v>
      </c>
      <c r="C416" s="11" t="str">
        <f>IFERROR(IF(VLOOKUP(A416,[4]PRIORIZADOS!$A:$C,3,FALSE)="","",VLOOKUP(A416,[4]PRIORIZADOS!$A:$C,3,FALSE)),"")</f>
        <v>CHAPINERO</v>
      </c>
      <c r="D416" s="11" t="str">
        <f>IFERROR(IF(VLOOKUP(A416,[4]PRIORIZADOS!$A:$D,4,FALSE)="","",VLOOKUP(A416,[4]PRIORIZADOS!$A:$D,4,FALSE)),"")</f>
        <v>PRIVADO</v>
      </c>
      <c r="E416" s="11" t="str">
        <f>IFERROR(IF(VLOOKUP(A416,[4]PRIORIZADOS!$A:$E,5,FALSE)="","",VLOOKUP(A416,[4]PRIORIZADOS!$A:$E,5,FALSE)),"")</f>
        <v>Educación de Jóvenes y Adultos</v>
      </c>
      <c r="F416" s="11" t="str">
        <f>IFERROR(IF(VLOOKUP(A416,[4]PRIORIZADOS!$A:$F,6,FALSE)="","",VLOOKUP(A416,[4]PRIORIZADOS!$A:$F,6,FALSE)),"")</f>
        <v>COLEGIO_JORDAN_DE_SAJONIA</v>
      </c>
      <c r="G416" s="11" t="str">
        <f>IFERROR(IF(VLOOKUP(A416,[4]PRIORIZADOS!$A:$G,7,FALSE)="","",VLOOKUP(A416,[4]PRIORIZADOS!$A:$G,7,FALSE)),"")</f>
        <v>COLEGIO JORDAN DE SAJONIA</v>
      </c>
      <c r="H416" s="11" t="str">
        <f>IFERROR(IF(VLOOKUP(A416,[4]PRIORIZADOS!$A:$H,8,FALSE)="","",VLOOKUP(A416,[4]PRIORIZADOS!$A:$H,8,FALSE)),"")</f>
        <v>Autoevaluación Institucional y Pruebas SABER 11</v>
      </c>
      <c r="I416" s="11" t="str">
        <f>IFERROR(IF(VLOOKUP(A416,[4]PRIORIZADOS!$A:$I,9,FALSE)="","",VLOOKUP(A416,[4]PRIORIZADOS!$A:$I,9,FALSE)),"")</f>
        <v>SEGUIMIENTO_Y_SUPERVISIÓN.</v>
      </c>
      <c r="J416" s="11" t="str">
        <f>IFERROR(IF(VLOOKUP(A416,[4]PRIORIZADOS!$A:$J,10,FALSE)="","",VLOOKUP(A416,[4]PRIORIZADOS!$A:$J,10,FALSE)),"")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16" s="11" t="str">
        <f>IFERROR(IF(VLOOKUP(A416,[4]PRIORIZADOS!$A:$K,11,FALSE)="","",VLOOKUP(A416,[4]PRIORIZADOS!$A:$K,11,FALSE)),"")</f>
        <v>JUAN MANUEL AGUIRRE BOHÓRQUEZ</v>
      </c>
      <c r="L416" s="11" t="str">
        <f>IFERROR(IF(VLOOKUP(A416,[4]PRIORIZADOS!$A:$L,12,FALSE)="","",VLOOKUP(A416,[4]PRIORIZADOS!$A:$L,12,FALSE)),"")</f>
        <v>SANTIAGO ÁVILA LEURO</v>
      </c>
      <c r="M416" s="71">
        <f>IFERROR(IF(VLOOKUP(A416,[4]PRIORIZADOS!$A:$M,13,FALSE)="","",VLOOKUP(A416,[4]PRIORIZADOS!$A:$M,13,FALSE)),"")</f>
        <v>45722</v>
      </c>
      <c r="N416" s="71">
        <f>IFERROR(IF(VLOOKUP(A416,[4]PRIORIZADOS!$A:$N,14,FALSE)="","",VLOOKUP(A416,[4]PRIORIZADOS!$A:$N,14,FALSE)),"")</f>
        <v>45820</v>
      </c>
      <c r="O416" s="71">
        <f>IFERROR(IF(VLOOKUP(A416,[4]PRIORIZADOS!$A:$O,15,FALSE)="","",VLOOKUP(A416,[4]PRIORIZADOS!$A:$O,15,FALSE)),"")</f>
        <v>45820</v>
      </c>
      <c r="P416" s="11" t="str">
        <f>IFERROR(IF(VLOOKUP(A416,[4]PRIORIZADOS!$A:$P,16,FALSE)="","",VLOOKUP(A416,[4]PRIORIZADOS!$A:$P,16,FALSE)),"")</f>
        <v>Visitas de evaluación con fines de mejoramiento</v>
      </c>
      <c r="Q416" s="126" t="s">
        <v>78</v>
      </c>
      <c r="R416" s="11" t="str">
        <f>IFERROR(IF(VLOOKUP(A416,[4]PRIORIZADOS!$A:$R,18,FALSE)="","",VLOOKUP(A416,[4]PRIORIZADOS!$A:$R,18,FALSE)),"")</f>
        <v>El colegio ha establecido un protocolo que garantiza la inclusión desde el momento de la admisión del estudiante. Este proceso inicia con la verificación de condiciones particulares y continúa con la generación de reportes por parte de los docentes. A partir de estos insumos, el equipo de orientación escolar interviene de manera oportuna, brindando acompañamiento personalizado y articulado, con el fin de responder adecuadamente a las necesidades educativas y emocionales de cada estudiante.</v>
      </c>
      <c r="S416" s="11" t="str">
        <f>IFERROR(IF(VLOOKUP(A416,[4]PRIORIZADOS!$A:$S,19,FALSE)="","",VLOOKUP(A416,[4]PRIORIZADOS!$A:$S,19,FALSE)),"")</f>
        <v>Continuar con el plan de seguimiento individual a estudiantes con necesidades identificadas desde la admisión, que incluya flexibilización académica y revisiones periódicas en compañía de la familia y el equipo de orientación. Este plan permitirá adaptar estrategias pedagógicas y brindar un acompañamiento integral, garantizando una inclusión efectiva y sostenida en el tiempo.</v>
      </c>
      <c r="T416" s="70" t="str">
        <f>IFERROR(IF(VLOOKUP(A416,[4]PRIORIZADOS!$A:$T,20,FALSE)="","",VLOOKUP(A416,[4]PRIORIZADOS!$A:$T,20,FALSE)),"")</f>
        <v>No</v>
      </c>
      <c r="U416" s="11" t="str">
        <f>IFERROR(IF(VLOOKUP(A416,[4]PRIORIZADOS!$A:$U,21,FALSE)="","",VLOOKUP(A416,[4]PRIORIZADOS!$A:$U,21,FALSE)),"")</f>
        <v>Se verificará anualmente si se presentan ingresos de estudiantes con discapacidad o talentos excepcionales, y en tal caso, el cumplimiento de la caracterización, formulación y ejecución de los PIAR, conforme a la normativa vigente,</v>
      </c>
    </row>
    <row r="417" spans="1:21" s="1" customFormat="1" ht="84">
      <c r="A417" s="69">
        <f>IF([4]PRIORIZADOS!A32="","",[4]PRIORIZADOS!A32)</f>
        <v>425</v>
      </c>
      <c r="B417" s="70">
        <v>4</v>
      </c>
      <c r="C417" s="11" t="str">
        <f>IFERROR(IF(VLOOKUP(A417,[4]PRIORIZADOS!$A:$C,3,FALSE)="","",VLOOKUP(A417,[4]PRIORIZADOS!$A:$C,3,FALSE)),"")</f>
        <v>CHAPINERO</v>
      </c>
      <c r="D417" s="11" t="str">
        <f>IFERROR(IF(VLOOKUP(A417,[4]PRIORIZADOS!$A:$D,4,FALSE)="","",VLOOKUP(A417,[4]PRIORIZADOS!$A:$D,4,FALSE)),"")</f>
        <v>PRIVADO</v>
      </c>
      <c r="E417" s="11" t="str">
        <f>IFERROR(IF(VLOOKUP(A417,[4]PRIORIZADOS!$A:$E,5,FALSE)="","",VLOOKUP(A417,[4]PRIORIZADOS!$A:$E,5,FALSE)),"")</f>
        <v>EPBM</v>
      </c>
      <c r="F417" s="11" t="str">
        <f>IFERROR(IF(VLOOKUP(A417,[4]PRIORIZADOS!$A:$F,6,FALSE)="","",VLOOKUP(A417,[4]PRIORIZADOS!$A:$F,6,FALSE)),"")</f>
        <v>COLEGIO_JORDAN_DE_SAJONIA</v>
      </c>
      <c r="G417" s="11" t="str">
        <f>IFERROR(IF(VLOOKUP(A417,[4]PRIORIZADOS!$A:$G,7,FALSE)="","",VLOOKUP(A417,[4]PRIORIZADOS!$A:$G,7,FALSE)),"")</f>
        <v>COLEGIO JORDAN DE SAJONIA</v>
      </c>
      <c r="H417" s="11" t="str">
        <f>IFERROR(IF(VLOOKUP(A417,[4]PRIORIZADOS!$A:$H,8,FALSE)="","",VLOOKUP(A417,[4]PRIORIZADOS!$A:$H,8,FALSE)),"")</f>
        <v>Autoevaluación Institucional y Pruebas SABER 11</v>
      </c>
      <c r="I417" s="11" t="str">
        <f>IFERROR(IF(VLOOKUP(A417,[4]PRIORIZADOS!$A:$I,9,FALSE)="","",VLOOKUP(A417,[4]PRIORIZADOS!$A:$I,9,FALSE)),"")</f>
        <v>EVALUACIÓN_CON_FINES_DE_MEJORAMIENTO.</v>
      </c>
      <c r="J417" s="11" t="str">
        <f>IFERROR(IF(VLOOKUP(A417,[4]PRIORIZADOS!$A:$J,10,FALSE)="","",VLOOKUP(A417,[4]PRIORIZADOS!$A:$J,10,FALSE)),"")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17" s="11" t="str">
        <f>IFERROR(IF(VLOOKUP(A417,[4]PRIORIZADOS!$A:$K,11,FALSE)="","",VLOOKUP(A417,[4]PRIORIZADOS!$A:$K,11,FALSE)),"")</f>
        <v>JUAN MANUEL AGUIRRE BOHÓRQUEZ</v>
      </c>
      <c r="L417" s="11" t="str">
        <f>IFERROR(IF(VLOOKUP(A417,[4]PRIORIZADOS!$A:$L,12,FALSE)="","",VLOOKUP(A417,[4]PRIORIZADOS!$A:$L,12,FALSE)),"")</f>
        <v>SANTIAGO ÁVILA LEURO</v>
      </c>
      <c r="M417" s="71">
        <f>IFERROR(IF(VLOOKUP(A417,[4]PRIORIZADOS!$A:$M,13,FALSE)="","",VLOOKUP(A417,[4]PRIORIZADOS!$A:$M,13,FALSE)),"")</f>
        <v>45722</v>
      </c>
      <c r="N417" s="71">
        <f>IFERROR(IF(VLOOKUP(A417,[4]PRIORIZADOS!$A:$N,14,FALSE)="","",VLOOKUP(A417,[4]PRIORIZADOS!$A:$N,14,FALSE)),"")</f>
        <v>45820</v>
      </c>
      <c r="O417" s="71">
        <f>IFERROR(IF(VLOOKUP(A417,[4]PRIORIZADOS!$A:$O,15,FALSE)="","",VLOOKUP(A417,[4]PRIORIZADOS!$A:$O,15,FALSE)),"")</f>
        <v>45820</v>
      </c>
      <c r="P417" s="11" t="str">
        <f>IFERROR(IF(VLOOKUP(A417,[4]PRIORIZADOS!$A:$P,16,FALSE)="","",VLOOKUP(A417,[4]PRIORIZADOS!$A:$P,16,FALSE)),"")</f>
        <v>Visitas de evaluación con fines de mejoramiento</v>
      </c>
      <c r="Q417" s="126" t="s">
        <v>78</v>
      </c>
      <c r="R417" s="11" t="str">
        <f>IFERROR(IF(VLOOKUP(A417,[4]PRIORIZADOS!$A:$R,18,FALSE)="","",VLOOKUP(A417,[4]PRIORIZADOS!$A:$R,18,FALSE)),"")</f>
        <v>Mediante Resolución Rectoral 001 de 2025
se adopto el Manual de Convivencia Escolar para el año 2025.</v>
      </c>
      <c r="S417" s="11" t="str">
        <f>IFERROR(IF(VLOOKUP(A417,[4]PRIORIZADOS!$A:$S,19,FALSE)="","",VLOOKUP(A417,[4]PRIORIZADOS!$A:$S,19,FALSE)),"")</f>
        <v> Realizar ajustes, adiciones, reformas   y demás modificaciones que se consideren pertinentes, en estricto cumplimiento de la normatividad vigente, que surjan en el futuro y de los cambios orientados al bienestar de la comunidad educativa.</v>
      </c>
      <c r="T417" s="70" t="str">
        <f>IFERROR(IF(VLOOKUP(A417,[4]PRIORIZADOS!$A:$T,20,FALSE)="","",VLOOKUP(A417,[4]PRIORIZADOS!$A:$T,20,FALSE)),"")</f>
        <v>No</v>
      </c>
      <c r="U417" s="11" t="str">
        <f>IFERROR(IF(VLOOKUP(A417,[4]PRIORIZADOS!$A:$U,21,FALSE)="","",VLOOKUP(A417,[4]PRIORIZADOS!$A:$U,21,FALSE)),"")</f>
        <v>Revisar los ajustes realizados al manual de convivencia antes del inicio del próximo año escolar</v>
      </c>
    </row>
    <row r="418" spans="1:21" s="1" customFormat="1" ht="107.25">
      <c r="A418" s="69">
        <f>IF([4]PRIORIZADOS!A33="","",[4]PRIORIZADOS!A33)</f>
        <v>426</v>
      </c>
      <c r="B418" s="70">
        <v>4</v>
      </c>
      <c r="C418" s="11" t="str">
        <f>IFERROR(IF(VLOOKUP(A418,[4]PRIORIZADOS!$A:$C,3,FALSE)="","",VLOOKUP(A418,[4]PRIORIZADOS!$A:$C,3,FALSE)),"")</f>
        <v>CHAPINERO</v>
      </c>
      <c r="D418" s="11" t="str">
        <f>IFERROR(IF(VLOOKUP(A418,[4]PRIORIZADOS!$A:$D,4,FALSE)="","",VLOOKUP(A418,[4]PRIORIZADOS!$A:$D,4,FALSE)),"")</f>
        <v>PRIVADO</v>
      </c>
      <c r="E418" s="11" t="str">
        <f>IFERROR(IF(VLOOKUP(A418,[4]PRIORIZADOS!$A:$E,5,FALSE)="","",VLOOKUP(A418,[4]PRIORIZADOS!$A:$E,5,FALSE)),"")</f>
        <v>EPBM</v>
      </c>
      <c r="F418" s="11" t="str">
        <f>IFERROR(IF(VLOOKUP(A418,[4]PRIORIZADOS!$A:$F,6,FALSE)="","",VLOOKUP(A418,[4]PRIORIZADOS!$A:$F,6,FALSE)),"")</f>
        <v>COLEGIO_JORDAN_DE_SAJONIA</v>
      </c>
      <c r="G418" s="11" t="str">
        <f>IFERROR(IF(VLOOKUP(A418,[4]PRIORIZADOS!$A:$G,7,FALSE)="","",VLOOKUP(A418,[4]PRIORIZADOS!$A:$G,7,FALSE)),"")</f>
        <v>COLEGIO JORDAN DE SAJONIA</v>
      </c>
      <c r="H418" s="11" t="str">
        <f>IFERROR(IF(VLOOKUP(A418,[4]PRIORIZADOS!$A:$H,8,FALSE)="","",VLOOKUP(A418,[4]PRIORIZADOS!$A:$H,8,FALSE)),"")</f>
        <v>Autoevaluación Institucional y Pruebas SABER 11</v>
      </c>
      <c r="I418" s="11" t="str">
        <f>IFERROR(IF(VLOOKUP(A418,[4]PRIORIZADOS!$A:$I,9,FALSE)="","",VLOOKUP(A418,[4]PRIORIZADOS!$A:$I,9,FALSE)),"")</f>
        <v>EVALUACIÓN_CON_FINES_DE_MEJORAMIENTO.</v>
      </c>
      <c r="J418" s="11" t="str">
        <f>IFERROR(IF(VLOOKUP(A418,[4]PRIORIZADOS!$A:$J,10,FALSE)="","",VLOOKUP(A418,[4]PRIORIZADOS!$A:$J,10,FALSE)),"")</f>
        <v>Revisar la actualización, socialización e implementación del Sistema Institucional de Evaluación de Estudiantes - SIEE, en articulación con la actualización del PEI y la normatividad vigente.</v>
      </c>
      <c r="K418" s="11" t="str">
        <f>IFERROR(IF(VLOOKUP(A418,[4]PRIORIZADOS!$A:$K,11,FALSE)="","",VLOOKUP(A418,[4]PRIORIZADOS!$A:$K,11,FALSE)),"")</f>
        <v>JUAN MANUEL AGUIRRE BOHÓRQUEZ</v>
      </c>
      <c r="L418" s="11" t="str">
        <f>IFERROR(IF(VLOOKUP(A418,[4]PRIORIZADOS!$A:$L,12,FALSE)="","",VLOOKUP(A418,[4]PRIORIZADOS!$A:$L,12,FALSE)),"")</f>
        <v>SANTIAGO ÁVILA LEURO</v>
      </c>
      <c r="M418" s="71">
        <f>IFERROR(IF(VLOOKUP(A418,[4]PRIORIZADOS!$A:$M,13,FALSE)="","",VLOOKUP(A418,[4]PRIORIZADOS!$A:$M,13,FALSE)),"")</f>
        <v>45722</v>
      </c>
      <c r="N418" s="71">
        <f>IFERROR(IF(VLOOKUP(A418,[4]PRIORIZADOS!$A:$N,14,FALSE)="","",VLOOKUP(A418,[4]PRIORIZADOS!$A:$N,14,FALSE)),"")</f>
        <v>45820</v>
      </c>
      <c r="O418" s="71">
        <f>IFERROR(IF(VLOOKUP(A418,[4]PRIORIZADOS!$A:$O,15,FALSE)="","",VLOOKUP(A418,[4]PRIORIZADOS!$A:$O,15,FALSE)),"")</f>
        <v>45820</v>
      </c>
      <c r="P418" s="11" t="str">
        <f>IFERROR(IF(VLOOKUP(A418,[4]PRIORIZADOS!$A:$P,16,FALSE)="","",VLOOKUP(A418,[4]PRIORIZADOS!$A:$P,16,FALSE)),"")</f>
        <v>Visitas de evaluación con fines de mejoramiento</v>
      </c>
      <c r="Q418" s="126" t="s">
        <v>78</v>
      </c>
      <c r="R418" s="11" t="str">
        <f>IFERROR(IF(VLOOKUP(A418,[4]PRIORIZADOS!$A:$R,18,FALSE)="","",VLOOKUP(A418,[4]PRIORIZADOS!$A:$R,18,FALSE)),"")</f>
        <v>Se evidenció que el colegio ha actualizado y socializado el documento, el cual se encuentra articulado con el PEI en sus diferentes dimensiones. Asimismo, incorpora estrategias orientadas a garantizar que todos los estudiantes puedan alcanzar sus metas académicas y desarrollar integralmente sus competencias.</v>
      </c>
      <c r="S418" s="11" t="str">
        <f>IFERROR(IF(VLOOKUP(A418,[4]PRIORIZADOS!$A:$S,19,FALSE)="","",VLOOKUP(A418,[4]PRIORIZADOS!$A:$S,19,FALSE)),"")</f>
        <v> Reforzar la práctica de socializar anualmente con la comunidad educativa el SIEE y el PEI al inicio del año escolar, dando continuidad a lo que ya se ha venido implementando</v>
      </c>
      <c r="T418" s="70" t="str">
        <f>IFERROR(IF(VLOOKUP(A418,[4]PRIORIZADOS!$A:$T,20,FALSE)="","",VLOOKUP(A418,[4]PRIORIZADOS!$A:$T,20,FALSE)),"")</f>
        <v>No</v>
      </c>
      <c r="U418" s="11" t="str">
        <f>IFERROR(IF(VLOOKUP(A418,[4]PRIORIZADOS!$A:$U,21,FALSE)="","",VLOOKUP(A418,[4]PRIORIZADOS!$A:$U,21,FALSE)),"")</f>
        <v>En caso de sufrir modificaciones el SIEE se realizará revisión al documento con las observaciones que haya lugar</v>
      </c>
    </row>
    <row r="419" spans="1:21" s="1" customFormat="1" ht="60">
      <c r="A419" s="69">
        <f>IF([4]PRIORIZADOS!A34="","",[4]PRIORIZADOS!A34)</f>
        <v>427</v>
      </c>
      <c r="B419" s="70">
        <v>4</v>
      </c>
      <c r="C419" s="11" t="str">
        <f>IFERROR(IF(VLOOKUP(A419,[4]PRIORIZADOS!$A:$C,3,FALSE)="","",VLOOKUP(A419,[4]PRIORIZADOS!$A:$C,3,FALSE)),"")</f>
        <v>CHAPINERO</v>
      </c>
      <c r="D419" s="11" t="str">
        <f>IFERROR(IF(VLOOKUP(A419,[4]PRIORIZADOS!$A:$D,4,FALSE)="","",VLOOKUP(A419,[4]PRIORIZADOS!$A:$D,4,FALSE)),"")</f>
        <v>PRIVADO</v>
      </c>
      <c r="E419" s="11" t="str">
        <f>IFERROR(IF(VLOOKUP(A419,[4]PRIORIZADOS!$A:$E,5,FALSE)="","",VLOOKUP(A419,[4]PRIORIZADOS!$A:$E,5,FALSE)),"")</f>
        <v>EPBM</v>
      </c>
      <c r="F419" s="11" t="str">
        <f>IFERROR(IF(VLOOKUP(A419,[4]PRIORIZADOS!$A:$F,6,FALSE)="","",VLOOKUP(A419,[4]PRIORIZADOS!$A:$F,6,FALSE)),"")</f>
        <v>COLEGIO_JORDAN_DE_SAJONIA</v>
      </c>
      <c r="G419" s="11" t="str">
        <f>IFERROR(IF(VLOOKUP(A419,[4]PRIORIZADOS!$A:$G,7,FALSE)="","",VLOOKUP(A419,[4]PRIORIZADOS!$A:$G,7,FALSE)),"")</f>
        <v>COLEGIO JORDAN DE SAJONIA</v>
      </c>
      <c r="H419" s="11" t="str">
        <f>IFERROR(IF(VLOOKUP(A419,[4]PRIORIZADOS!$A:$H,8,FALSE)="","",VLOOKUP(A419,[4]PRIORIZADOS!$A:$H,8,FALSE)),"")</f>
        <v>Autoevaluación Institucional y Pruebas SABER 11</v>
      </c>
      <c r="I419" s="11" t="str">
        <f>IFERROR(IF(VLOOKUP(A419,[4]PRIORIZADOS!$A:$I,9,FALSE)="","",VLOOKUP(A419,[4]PRIORIZADOS!$A:$I,9,FALSE)),"")</f>
        <v>EVALUACIÓN_CON_FINES_DE_MEJORAMIENTO.</v>
      </c>
      <c r="J419" s="11" t="str">
        <f>IFERROR(IF(VLOOKUP(A419,[4]PRIORIZADOS!$A:$J,10,FALSE)="","",VLOOKUP(A419,[4]PRIORIZADOS!$A:$J,10,FALSE)),"")</f>
        <v>Verificar el funcionamiento del Gobierno Escolar e instancias de participación con base en la información sobre conformación reportada por la institución educativa.</v>
      </c>
      <c r="K419" s="11" t="str">
        <f>IFERROR(IF(VLOOKUP(A419,[4]PRIORIZADOS!$A:$K,11,FALSE)="","",VLOOKUP(A419,[4]PRIORIZADOS!$A:$K,11,FALSE)),"")</f>
        <v>JUAN MANUEL AGUIRRE BOHÓRQUEZ</v>
      </c>
      <c r="L419" s="11" t="str">
        <f>IFERROR(IF(VLOOKUP(A419,[4]PRIORIZADOS!$A:$L,12,FALSE)="","",VLOOKUP(A419,[4]PRIORIZADOS!$A:$L,12,FALSE)),"")</f>
        <v>SANTIAGO ÁVILA LEURO</v>
      </c>
      <c r="M419" s="71">
        <f>IFERROR(IF(VLOOKUP(A419,[4]PRIORIZADOS!$A:$M,13,FALSE)="","",VLOOKUP(A419,[4]PRIORIZADOS!$A:$M,13,FALSE)),"")</f>
        <v>45722</v>
      </c>
      <c r="N419" s="71">
        <f>IFERROR(IF(VLOOKUP(A419,[4]PRIORIZADOS!$A:$N,14,FALSE)="","",VLOOKUP(A419,[4]PRIORIZADOS!$A:$N,14,FALSE)),"")</f>
        <v>45820</v>
      </c>
      <c r="O419" s="71">
        <f>IFERROR(IF(VLOOKUP(A419,[4]PRIORIZADOS!$A:$O,15,FALSE)="","",VLOOKUP(A419,[4]PRIORIZADOS!$A:$O,15,FALSE)),"")</f>
        <v>45820</v>
      </c>
      <c r="P419" s="11" t="str">
        <f>IFERROR(IF(VLOOKUP(A419,[4]PRIORIZADOS!$A:$P,16,FALSE)="","",VLOOKUP(A419,[4]PRIORIZADOS!$A:$P,16,FALSE)),"")</f>
        <v>Visitas de evaluación con fines de mejoramiento</v>
      </c>
      <c r="Q419" s="126" t="s">
        <v>78</v>
      </c>
      <c r="R419" s="11" t="str">
        <f>IFERROR(IF(VLOOKUP(A419,[4]PRIORIZADOS!$A:$R,18,FALSE)="","",VLOOKUP(A419,[4]PRIORIZADOS!$A:$R,18,FALSE)),"")</f>
        <v>Los órganos del Gobierno Escolar  han sido debidamente conformados para  el año 2025, incluyendo el Comité de Convivencia Escolar, con sus respectivas actas de elección y funcionamiento.</v>
      </c>
      <c r="S419" s="11" t="str">
        <f>IFERROR(IF(VLOOKUP(A419,[4]PRIORIZADOS!$A:$S,19,FALSE)="","",VLOOKUP(A419,[4]PRIORIZADOS!$A:$S,19,FALSE)),"")</f>
        <v>La institución continuará garantizando el funcionamiento activo del Gobierno Escolar, promoviendo la participación de todos los estamentos en los espacios colegiados.</v>
      </c>
      <c r="T419" s="70" t="str">
        <f>IFERROR(IF(VLOOKUP(A419,[4]PRIORIZADOS!$A:$T,20,FALSE)="","",VLOOKUP(A419,[4]PRIORIZADOS!$A:$T,20,FALSE)),"")</f>
        <v>No</v>
      </c>
      <c r="U419" s="11" t="str">
        <f>IFERROR(IF(VLOOKUP(A419,[4]PRIORIZADOS!$A:$U,21,FALSE)="","",VLOOKUP(A419,[4]PRIORIZADOS!$A:$U,21,FALSE)),"")</f>
        <v>En visitas o mesas de trabajo que se realicen en la institución educativa que involucren acción de los órganos de gobierno escolar se verificara nuevamente el funcionamiento de estos.</v>
      </c>
    </row>
    <row r="420" spans="1:21" s="1" customFormat="1" ht="60">
      <c r="A420" s="69">
        <f>IF([4]PRIORIZADOS!A35="","",[4]PRIORIZADOS!A35)</f>
        <v>428</v>
      </c>
      <c r="B420" s="70">
        <v>4</v>
      </c>
      <c r="C420" s="11" t="str">
        <f>IFERROR(IF(VLOOKUP(A420,[4]PRIORIZADOS!$A:$C,3,FALSE)="","",VLOOKUP(A420,[4]PRIORIZADOS!$A:$C,3,FALSE)),"")</f>
        <v>CHAPINERO</v>
      </c>
      <c r="D420" s="11" t="str">
        <f>IFERROR(IF(VLOOKUP(A420,[4]PRIORIZADOS!$A:$D,4,FALSE)="","",VLOOKUP(A420,[4]PRIORIZADOS!$A:$D,4,FALSE)),"")</f>
        <v>PRIVADO</v>
      </c>
      <c r="E420" s="11" t="str">
        <f>IFERROR(IF(VLOOKUP(A420,[4]PRIORIZADOS!$A:$E,5,FALSE)="","",VLOOKUP(A420,[4]PRIORIZADOS!$A:$E,5,FALSE)),"")</f>
        <v>EPBM</v>
      </c>
      <c r="F420" s="11" t="str">
        <f>IFERROR(IF(VLOOKUP(A420,[4]PRIORIZADOS!$A:$F,6,FALSE)="","",VLOOKUP(A420,[4]PRIORIZADOS!$A:$F,6,FALSE)),"")</f>
        <v>COLEGIO_JORDAN_DE_SAJONIA</v>
      </c>
      <c r="G420" s="11" t="str">
        <f>IFERROR(IF(VLOOKUP(A420,[4]PRIORIZADOS!$A:$G,7,FALSE)="","",VLOOKUP(A420,[4]PRIORIZADOS!$A:$G,7,FALSE)),"")</f>
        <v>COLEGIO JORDAN DE SAJONIA</v>
      </c>
      <c r="H420" s="11" t="str">
        <f>IFERROR(IF(VLOOKUP(A420,[4]PRIORIZADOS!$A:$H,8,FALSE)="","",VLOOKUP(A420,[4]PRIORIZADOS!$A:$H,8,FALSE)),"")</f>
        <v>Autoevaluación Institucional y Pruebas SABER 11</v>
      </c>
      <c r="I420" s="11" t="str">
        <f>IFERROR(IF(VLOOKUP(A420,[4]PRIORIZADOS!$A:$I,9,FALSE)="","",VLOOKUP(A420,[4]PRIORIZADOS!$A:$I,9,FALSE)),"")</f>
        <v>EVALUACIÓN_CON_FINES_DE_MEJORAMIENTO.</v>
      </c>
      <c r="J420" s="11" t="str">
        <f>IFERROR(IF(VLOOKUP(A420,[4]PRIORIZADOS!$A:$J,10,FALSE)="","",VLOOKUP(A420,[4]PRIORIZADOS!$A:$J,10,FALSE)),"")</f>
        <v>Verificar las condiciones en cuanto a: la estructura administrativa, condiciones de la planta física y medios educativos adecuados.</v>
      </c>
      <c r="K420" s="11" t="str">
        <f>IFERROR(IF(VLOOKUP(A420,[4]PRIORIZADOS!$A:$K,11,FALSE)="","",VLOOKUP(A420,[4]PRIORIZADOS!$A:$K,11,FALSE)),"")</f>
        <v>JUAN MANUEL AGUIRRE BOHÓRQUEZ</v>
      </c>
      <c r="L420" s="11" t="str">
        <f>IFERROR(IF(VLOOKUP(A420,[4]PRIORIZADOS!$A:$L,12,FALSE)="","",VLOOKUP(A420,[4]PRIORIZADOS!$A:$L,12,FALSE)),"")</f>
        <v>SANTIAGO ÁVILA LEURO</v>
      </c>
      <c r="M420" s="71">
        <f>IFERROR(IF(VLOOKUP(A420,[4]PRIORIZADOS!$A:$M,13,FALSE)="","",VLOOKUP(A420,[4]PRIORIZADOS!$A:$M,13,FALSE)),"")</f>
        <v>45722</v>
      </c>
      <c r="N420" s="71">
        <f>IFERROR(IF(VLOOKUP(A420,[4]PRIORIZADOS!$A:$N,14,FALSE)="","",VLOOKUP(A420,[4]PRIORIZADOS!$A:$N,14,FALSE)),"")</f>
        <v>45820</v>
      </c>
      <c r="O420" s="71">
        <f>IFERROR(IF(VLOOKUP(A420,[4]PRIORIZADOS!$A:$O,15,FALSE)="","",VLOOKUP(A420,[4]PRIORIZADOS!$A:$O,15,FALSE)),"")</f>
        <v>45820</v>
      </c>
      <c r="P420" s="11" t="str">
        <f>IFERROR(IF(VLOOKUP(A420,[4]PRIORIZADOS!$A:$P,16,FALSE)="","",VLOOKUP(A420,[4]PRIORIZADOS!$A:$P,16,FALSE)),"")</f>
        <v>Visitas de evaluación con fines de mejoramiento</v>
      </c>
      <c r="Q420" s="126" t="s">
        <v>78</v>
      </c>
      <c r="R420" s="11" t="str">
        <f>IFERROR(IF(VLOOKUP(A420,[4]PRIORIZADOS!$A:$R,18,FALSE)="","",VLOOKUP(A420,[4]PRIORIZADOS!$A:$R,18,FALSE)),"")</f>
        <v>La institución cuenta con una estructura administrativa organizada, planta física en buenas condiciones y medios educativos adecuados para el desarrollo de sus actividades académicas.</v>
      </c>
      <c r="S420" s="11" t="str">
        <f>IFERROR(IF(VLOOKUP(A420,[4]PRIORIZADOS!$A:$S,19,FALSE)="","",VLOOKUP(A420,[4]PRIORIZADOS!$A:$S,19,FALSE)),"")</f>
        <v>Mantener las condiciones actuales, garantizando la operación continua y segura de los servicios educativos.</v>
      </c>
      <c r="T420" s="70" t="str">
        <f>IFERROR(IF(VLOOKUP(A420,[4]PRIORIZADOS!$A:$T,20,FALSE)="","",VLOOKUP(A420,[4]PRIORIZADOS!$A:$T,20,FALSE)),"")</f>
        <v>No</v>
      </c>
      <c r="U420" s="11" t="str">
        <f>IFERROR(IF(VLOOKUP(A420,[4]PRIORIZADOS!$A:$U,21,FALSE)="","",VLOOKUP(A420,[4]PRIORIZADOS!$A:$U,21,FALSE)),"")</f>
        <v>Seguimiento mediante visitas periódicas o reporte institucional que evidencie el sostenimiento de las condiciones observadas.</v>
      </c>
    </row>
    <row r="421" spans="1:21" s="1" customFormat="1" ht="84">
      <c r="A421" s="69">
        <f>IF([4]PRIORIZADOS!A36="","",[4]PRIORIZADOS!A36)</f>
        <v>429</v>
      </c>
      <c r="B421" s="70">
        <v>5</v>
      </c>
      <c r="C421" s="11" t="str">
        <f>IFERROR(IF(VLOOKUP(A421,[4]PRIORIZADOS!$A:$C,3,FALSE)="","",VLOOKUP(A421,[4]PRIORIZADOS!$A:$C,3,FALSE)),"")</f>
        <v>CHAPINERO</v>
      </c>
      <c r="D421" s="11" t="str">
        <f>IFERROR(IF(VLOOKUP(A421,[4]PRIORIZADOS!$A:$D,4,FALSE)="","",VLOOKUP(A421,[4]PRIORIZADOS!$A:$D,4,FALSE)),"")</f>
        <v>PRIVADO</v>
      </c>
      <c r="E421" s="11" t="str">
        <f>IFERROR(IF(VLOOKUP(A421,[4]PRIORIZADOS!$A:$E,5,FALSE)="","",VLOOKUP(A421,[4]PRIORIZADOS!$A:$E,5,FALSE)),"")</f>
        <v>EPBM</v>
      </c>
      <c r="F421" s="11" t="str">
        <f>IFERROR(IF(VLOOKUP(A421,[4]PRIORIZADOS!$A:$F,6,FALSE)="","",VLOOKUP(A421,[4]PRIORIZADOS!$A:$F,6,FALSE)),"")</f>
        <v>COLEGIO_FUNDACION_NUEVA_GRANADA</v>
      </c>
      <c r="G421" s="11" t="str">
        <f>IFERROR(IF(VLOOKUP(A421,[4]PRIORIZADOS!$A:$G,7,FALSE)="","",VLOOKUP(A421,[4]PRIORIZADOS!$A:$G,7,FALSE)),"")</f>
        <v>COLEGIO FUNDACION NUEVA GRANADA</v>
      </c>
      <c r="H421" s="11" t="str">
        <f>IFERROR(IF(VLOOKUP(A421,[4]PRIORIZADOS!$A:$H,8,FALSE)="","",VLOOKUP(A421,[4]PRIORIZADOS!$A:$H,8,FALSE)),"")</f>
        <v>Autoevaluación Institucional y Pruebas SABER 11</v>
      </c>
      <c r="I421" s="11" t="str">
        <f>IFERROR(IF(VLOOKUP(A421,[4]PRIORIZADOS!$A:$I,9,FALSE)="","",VLOOKUP(A421,[4]PRIORIZADOS!$A:$I,9,FALSE)),"")</f>
        <v>SEGUIMIENTO_Y_SUPERVISIÓN.</v>
      </c>
      <c r="J421" s="11" t="str">
        <f>IFERROR(IF(VLOOKUP(A421,[4]PRIORIZADOS!$A:$J,10,FALSE)="","",VLOOKUP(A421,[4]PRIORIZADOS!$A:$J,10,FALSE)),"")</f>
        <v>Proponer estrategias en la formulación, verificar su elaboración y realizar seguimiento semestral al desarrollo de  las acciones establecidas en los planes de mejoramiento por pruebas SABER 11 de los establecimientos de educación formal.</v>
      </c>
      <c r="K421" s="11" t="str">
        <f>IFERROR(IF(VLOOKUP(A421,[4]PRIORIZADOS!$A:$K,11,FALSE)="","",VLOOKUP(A421,[4]PRIORIZADOS!$A:$K,11,FALSE)),"")</f>
        <v xml:space="preserve">LAURA CRISTINA BECERRA CHAVES </v>
      </c>
      <c r="L421" s="11" t="str">
        <f>IFERROR(IF(VLOOKUP(A421,[4]PRIORIZADOS!$A:$L,12,FALSE)="","",VLOOKUP(A421,[4]PRIORIZADOS!$A:$L,12,FALSE)),"")</f>
        <v>CONNIE QUIÑONES CÁRDENAS</v>
      </c>
      <c r="M421" s="71">
        <f>IFERROR(IF(VLOOKUP(A421,[4]PRIORIZADOS!$A:$M,13,FALSE)="","",VLOOKUP(A421,[4]PRIORIZADOS!$A:$M,13,FALSE)),"")</f>
        <v>45750</v>
      </c>
      <c r="N421" s="71">
        <f>IFERROR(IF(VLOOKUP(A421,[4]PRIORIZADOS!$A:$N,14,FALSE)="","",VLOOKUP(A421,[4]PRIORIZADOS!$A:$N,14,FALSE)),"")</f>
        <v>45769</v>
      </c>
      <c r="O421" s="71">
        <f>IFERROR(IF(VLOOKUP(A421,[4]PRIORIZADOS!$A:$O,15,FALSE)="","",VLOOKUP(A421,[4]PRIORIZADOS!$A:$O,15,FALSE)),"")</f>
        <v>45769</v>
      </c>
      <c r="P421" s="11" t="str">
        <f>IFERROR(IF(VLOOKUP(A421,[4]PRIORIZADOS!$A:$P,16,FALSE)="","",VLOOKUP(A421,[4]PRIORIZADOS!$A:$P,16,FALSE)),"")</f>
        <v>Visitas de evaluación con fines de mejoramiento</v>
      </c>
      <c r="Q421" s="107" t="s">
        <v>79</v>
      </c>
      <c r="R421" s="11" t="str">
        <f>IFERROR(IF(VLOOKUP(A421,[4]PRIORIZADOS!$A:$R,18,FALSE)="","",VLOOKUP(A421,[4]PRIORIZADOS!$A:$R,18,FALSE)),"")</f>
        <v xml:space="preserve">Cuentan con un plan de mejoramiento establecido para avanzar en los resultado de las pruebas saber, realizan análisis anual de las pruebas, modifican el currículo de acuerdo con los resultados fortaleciendo aquellas áreas que presentan menores resultados </v>
      </c>
      <c r="S421" s="11" t="str">
        <f>IFERROR(IF(VLOOKUP(A421,[4]PRIORIZADOS!$A:$S,19,FALSE)="","",VLOOKUP(A421,[4]PRIORIZADOS!$A:$S,19,FALSE)),"")</f>
        <v>Continuar con la evaluación por áreas, ajuste al currículo y fortalecimiento de los viernes de pruebas</v>
      </c>
      <c r="T421" s="70" t="str">
        <f>IFERROR(IF(VLOOKUP(A421,[4]PRIORIZADOS!$A:$T,20,FALSE)="","",VLOOKUP(A421,[4]PRIORIZADOS!$A:$T,20,FALSE)),"")</f>
        <v>No</v>
      </c>
      <c r="U421" s="11" t="str">
        <f>IFERROR(IF(VLOOKUP(A421,[4]PRIORIZADOS!$A:$U,21,FALSE)="","",VLOOKUP(A421,[4]PRIORIZADOS!$A:$U,21,FALSE)),"")</f>
        <v>Se realizara seguimiento a los resultados de las pruebas 2025 con el fin de verificar la pertinencia de la estrategia determinada en la IE</v>
      </c>
    </row>
    <row r="422" spans="1:21" s="1" customFormat="1" ht="72">
      <c r="A422" s="69">
        <f>IF([4]PRIORIZADOS!A37="","",[4]PRIORIZADOS!A37)</f>
        <v>430</v>
      </c>
      <c r="B422" s="70">
        <v>5</v>
      </c>
      <c r="C422" s="11" t="str">
        <f>IFERROR(IF(VLOOKUP(A422,[4]PRIORIZADOS!$A:$C,3,FALSE)="","",VLOOKUP(A422,[4]PRIORIZADOS!$A:$C,3,FALSE)),"")</f>
        <v>CHAPINERO</v>
      </c>
      <c r="D422" s="11" t="str">
        <f>IFERROR(IF(VLOOKUP(A422,[4]PRIORIZADOS!$A:$D,4,FALSE)="","",VLOOKUP(A422,[4]PRIORIZADOS!$A:$D,4,FALSE)),"")</f>
        <v>PRIVADO</v>
      </c>
      <c r="E422" s="11" t="str">
        <f>IFERROR(IF(VLOOKUP(A422,[4]PRIORIZADOS!$A:$E,5,FALSE)="","",VLOOKUP(A422,[4]PRIORIZADOS!$A:$E,5,FALSE)),"")</f>
        <v>Educación de Jóvenes y Adultos</v>
      </c>
      <c r="F422" s="11" t="str">
        <f>IFERROR(IF(VLOOKUP(A422,[4]PRIORIZADOS!$A:$F,6,FALSE)="","",VLOOKUP(A422,[4]PRIORIZADOS!$A:$F,6,FALSE)),"")</f>
        <v>COLEGIO_FUNDACION_NUEVA_GRANADA</v>
      </c>
      <c r="G422" s="11" t="str">
        <f>IFERROR(IF(VLOOKUP(A422,[4]PRIORIZADOS!$A:$G,7,FALSE)="","",VLOOKUP(A422,[4]PRIORIZADOS!$A:$G,7,FALSE)),"")</f>
        <v>COLEGIO FUNDACION NUEVA GRANADA</v>
      </c>
      <c r="H422" s="11" t="str">
        <f>IFERROR(IF(VLOOKUP(A422,[4]PRIORIZADOS!$A:$H,8,FALSE)="","",VLOOKUP(A422,[4]PRIORIZADOS!$A:$H,8,FALSE)),"")</f>
        <v>Autoevaluación Institucional y Pruebas SABER 11</v>
      </c>
      <c r="I422" s="11" t="str">
        <f>IFERROR(IF(VLOOKUP(A422,[4]PRIORIZADOS!$A:$I,9,FALSE)="","",VLOOKUP(A422,[4]PRIORIZADOS!$A:$I,9,FALSE)),"")</f>
        <v>SEGUIMIENTO_Y_SUPERVISIÓN.</v>
      </c>
      <c r="J422" s="11" t="str">
        <f>IFERROR(IF(VLOOKUP(A422,[4]PRIORIZADOS!$A:$J,10,FALSE)="","",VLOOKUP(A422,[4]PRIORIZADOS!$A:$J,10,FALSE)),"")</f>
        <v xml:space="preserve">Verificar la implementación por parte de los colegios, de acciones realizadas para la prevención y atención de las situaciones de convivencia en el entorno escolar, según lo establecido en la Directiva 01 de 2022 del MEN. </v>
      </c>
      <c r="K422" s="11" t="str">
        <f>IFERROR(IF(VLOOKUP(A422,[4]PRIORIZADOS!$A:$K,11,FALSE)="","",VLOOKUP(A422,[4]PRIORIZADOS!$A:$K,11,FALSE)),"")</f>
        <v xml:space="preserve">LAURA CRISTINA BECERRA CHAVES </v>
      </c>
      <c r="L422" s="11" t="str">
        <f>IFERROR(IF(VLOOKUP(A422,[4]PRIORIZADOS!$A:$L,12,FALSE)="","",VLOOKUP(A422,[4]PRIORIZADOS!$A:$L,12,FALSE)),"")</f>
        <v>CONNIE QUIÑONES CÁRDENAS</v>
      </c>
      <c r="M422" s="71">
        <f>IFERROR(IF(VLOOKUP(A422,[4]PRIORIZADOS!$A:$M,13,FALSE)="","",VLOOKUP(A422,[4]PRIORIZADOS!$A:$M,13,FALSE)),"")</f>
        <v>45750</v>
      </c>
      <c r="N422" s="71">
        <f>IFERROR(IF(VLOOKUP(A422,[4]PRIORIZADOS!$A:$N,14,FALSE)="","",VLOOKUP(A422,[4]PRIORIZADOS!$A:$N,14,FALSE)),"")</f>
        <v>45769</v>
      </c>
      <c r="O422" s="71">
        <f>IFERROR(IF(VLOOKUP(A422,[4]PRIORIZADOS!$A:$O,15,FALSE)="","",VLOOKUP(A422,[4]PRIORIZADOS!$A:$O,15,FALSE)),"")</f>
        <v>45769</v>
      </c>
      <c r="P422" s="11" t="str">
        <f>IFERROR(IF(VLOOKUP(A422,[4]PRIORIZADOS!$A:$P,16,FALSE)="","",VLOOKUP(A422,[4]PRIORIZADOS!$A:$P,16,FALSE)),"")</f>
        <v>Visitas de evaluación con fines de mejoramiento</v>
      </c>
      <c r="Q422" s="107" t="s">
        <v>79</v>
      </c>
      <c r="R422" s="11" t="str">
        <f>IFERROR(IF(VLOOKUP(A422,[4]PRIORIZADOS!$A:$R,18,FALSE)="","",VLOOKUP(A422,[4]PRIORIZADOS!$A:$R,18,FALSE)),"")</f>
        <v xml:space="preserve">La IE construye y socializa el manual de convivencia con la comunidad educativa, realiza acciones de convivencia lideradas por el comité, analiza estadísticamente las alertas y con base en ello genera acciones de promoción y prevención </v>
      </c>
      <c r="S422" s="11" t="str">
        <f>IFERROR(IF(VLOOKUP(A422,[4]PRIORIZADOS!$A:$S,19,FALSE)="","",VLOOKUP(A422,[4]PRIORIZADOS!$A:$S,19,FALSE)),"")</f>
        <v>Actualizar el manual de convivencia ajustado a la  normatividad vigente, abstenerse de toma de decisiones sancionatorias en comité de convivencia</v>
      </c>
      <c r="T422" s="70" t="str">
        <f>IFERROR(IF(VLOOKUP(A422,[4]PRIORIZADOS!$A:$T,20,FALSE)="","",VLOOKUP(A422,[4]PRIORIZADOS!$A:$T,20,FALSE)),"")</f>
        <v>Si</v>
      </c>
      <c r="U422" s="11" t="str">
        <f>IFERROR(IF(VLOOKUP(A422,[4]PRIORIZADOS!$A:$U,21,FALSE)="","",VLOOKUP(A422,[4]PRIORIZADOS!$A:$U,21,FALSE)),"")</f>
        <v>Revisar los ajustes realizados al manual de convivencia antes del inicio del próximo año escolar</v>
      </c>
    </row>
    <row r="423" spans="1:21" s="1" customFormat="1" ht="72">
      <c r="A423" s="69">
        <f>IF([4]PRIORIZADOS!A38="","",[4]PRIORIZADOS!A38)</f>
        <v>431</v>
      </c>
      <c r="B423" s="70">
        <v>5</v>
      </c>
      <c r="C423" s="11" t="str">
        <f>IFERROR(IF(VLOOKUP(A423,[4]PRIORIZADOS!$A:$C,3,FALSE)="","",VLOOKUP(A423,[4]PRIORIZADOS!$A:$C,3,FALSE)),"")</f>
        <v>CHAPINERO</v>
      </c>
      <c r="D423" s="11" t="str">
        <f>IFERROR(IF(VLOOKUP(A423,[4]PRIORIZADOS!$A:$D,4,FALSE)="","",VLOOKUP(A423,[4]PRIORIZADOS!$A:$D,4,FALSE)),"")</f>
        <v>PRIVADO</v>
      </c>
      <c r="E423" s="11" t="str">
        <f>IFERROR(IF(VLOOKUP(A423,[4]PRIORIZADOS!$A:$E,5,FALSE)="","",VLOOKUP(A423,[4]PRIORIZADOS!$A:$E,5,FALSE)),"")</f>
        <v>Educación de Jóvenes y Adultos</v>
      </c>
      <c r="F423" s="11" t="str">
        <f>IFERROR(IF(VLOOKUP(A423,[4]PRIORIZADOS!$A:$F,6,FALSE)="","",VLOOKUP(A423,[4]PRIORIZADOS!$A:$F,6,FALSE)),"")</f>
        <v>COLEGIO_FUNDACION_NUEVA_GRANADA</v>
      </c>
      <c r="G423" s="11" t="str">
        <f>IFERROR(IF(VLOOKUP(A423,[4]PRIORIZADOS!$A:$G,7,FALSE)="","",VLOOKUP(A423,[4]PRIORIZADOS!$A:$G,7,FALSE)),"")</f>
        <v>COLEGIO FUNDACION NUEVA GRANADA</v>
      </c>
      <c r="H423" s="11" t="str">
        <f>IFERROR(IF(VLOOKUP(A423,[4]PRIORIZADOS!$A:$H,8,FALSE)="","",VLOOKUP(A423,[4]PRIORIZADOS!$A:$H,8,FALSE)),"")</f>
        <v>Autoevaluación Institucional y Pruebas SABER 11</v>
      </c>
      <c r="I423" s="11" t="str">
        <f>IFERROR(IF(VLOOKUP(A423,[4]PRIORIZADOS!$A:$I,9,FALSE)="","",VLOOKUP(A423,[4]PRIORIZADOS!$A:$I,9,FALSE)),"")</f>
        <v>SEGUIMIENTO_Y_SUPERVISIÓN.</v>
      </c>
      <c r="J423" s="11" t="str">
        <f>IFERROR(IF(VLOOKUP(A423,[4]PRIORIZADOS!$A:$J,10,FALSE)="","",VLOOKUP(A423,[4]PRIORIZADOS!$A:$J,10,FALSE)),"")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23" s="11" t="str">
        <f>IFERROR(IF(VLOOKUP(A423,[4]PRIORIZADOS!$A:$K,11,FALSE)="","",VLOOKUP(A423,[4]PRIORIZADOS!$A:$K,11,FALSE)),"")</f>
        <v xml:space="preserve">LAURA CRISTINA BECERRA CHAVES </v>
      </c>
      <c r="L423" s="11" t="str">
        <f>IFERROR(IF(VLOOKUP(A423,[4]PRIORIZADOS!$A:$L,12,FALSE)="","",VLOOKUP(A423,[4]PRIORIZADOS!$A:$L,12,FALSE)),"")</f>
        <v>CONNIE QUIÑONES CÁRDENAS</v>
      </c>
      <c r="M423" s="71">
        <f>IFERROR(IF(VLOOKUP(A423,[4]PRIORIZADOS!$A:$M,13,FALSE)="","",VLOOKUP(A423,[4]PRIORIZADOS!$A:$M,13,FALSE)),"")</f>
        <v>45750</v>
      </c>
      <c r="N423" s="71">
        <f>IFERROR(IF(VLOOKUP(A423,[4]PRIORIZADOS!$A:$N,14,FALSE)="","",VLOOKUP(A423,[4]PRIORIZADOS!$A:$N,14,FALSE)),"")</f>
        <v>45769</v>
      </c>
      <c r="O423" s="71">
        <f>IFERROR(IF(VLOOKUP(A423,[4]PRIORIZADOS!$A:$O,15,FALSE)="","",VLOOKUP(A423,[4]PRIORIZADOS!$A:$O,15,FALSE)),"")</f>
        <v>45769</v>
      </c>
      <c r="P423" s="11" t="str">
        <f>IFERROR(IF(VLOOKUP(A423,[4]PRIORIZADOS!$A:$P,16,FALSE)="","",VLOOKUP(A423,[4]PRIORIZADOS!$A:$P,16,FALSE)),"")</f>
        <v>Visitas de evaluación con fines de mejoramiento</v>
      </c>
      <c r="Q423" s="107" t="s">
        <v>79</v>
      </c>
      <c r="R423" s="11" t="str">
        <f>IFERROR(IF(VLOOKUP(A423,[4]PRIORIZADOS!$A:$R,18,FALSE)="","",VLOOKUP(A423,[4]PRIORIZADOS!$A:$R,18,FALSE)),"")</f>
        <v>Realizan PIAR no solo a la población con diagnóstico médico, incluyen alumnos con TDHA y otros problemas comportamentales, con seguimiento permanente y ajustes para mejorar su ambiente y comprensión educativa</v>
      </c>
      <c r="S423" s="11" t="str">
        <f>IFERROR(IF(VLOOKUP(A423,[4]PRIORIZADOS!$A:$S,19,FALSE)="","",VLOOKUP(A423,[4]PRIORIZADOS!$A:$S,19,FALSE)),"")</f>
        <v>Continuar con el uso de la herramienta e involucrar a la familia y las instituciones de salud en pro del bienestar de los estudiantes</v>
      </c>
      <c r="T423" s="70" t="str">
        <f>IFERROR(IF(VLOOKUP(A423,[4]PRIORIZADOS!$A:$T,20,FALSE)="","",VLOOKUP(A423,[4]PRIORIZADOS!$A:$T,20,FALSE)),"")</f>
        <v>No</v>
      </c>
      <c r="U423" s="11" t="str">
        <f>IFERROR(IF(VLOOKUP(A423,[4]PRIORIZADOS!$A:$U,21,FALSE)="","",VLOOKUP(A423,[4]PRIORIZADOS!$A:$U,21,FALSE)),"")</f>
        <v>Se verificará anualmente si se presentan ingresos de estudiantes con discapacidad o talentos excepcionales, y en tal caso, el cumplimiento de la caracterización, formulación y ejecución de los PIAR, conforme a la normativa vigente,</v>
      </c>
    </row>
    <row r="424" spans="1:21" s="1" customFormat="1" ht="60">
      <c r="A424" s="69">
        <f>IF([4]PRIORIZADOS!A39="","",[4]PRIORIZADOS!A39)</f>
        <v>432</v>
      </c>
      <c r="B424" s="70">
        <v>5</v>
      </c>
      <c r="C424" s="11" t="str">
        <f>IFERROR(IF(VLOOKUP(A424,[4]PRIORIZADOS!$A:$C,3,FALSE)="","",VLOOKUP(A424,[4]PRIORIZADOS!$A:$C,3,FALSE)),"")</f>
        <v>CHAPINERO</v>
      </c>
      <c r="D424" s="11" t="str">
        <f>IFERROR(IF(VLOOKUP(A424,[4]PRIORIZADOS!$A:$D,4,FALSE)="","",VLOOKUP(A424,[4]PRIORIZADOS!$A:$D,4,FALSE)),"")</f>
        <v>PRIVADO</v>
      </c>
      <c r="E424" s="11" t="str">
        <f>IFERROR(IF(VLOOKUP(A424,[4]PRIORIZADOS!$A:$E,5,FALSE)="","",VLOOKUP(A424,[4]PRIORIZADOS!$A:$E,5,FALSE)),"")</f>
        <v>Educación de Jóvenes y Adultos</v>
      </c>
      <c r="F424" s="11" t="str">
        <f>IFERROR(IF(VLOOKUP(A424,[4]PRIORIZADOS!$A:$F,6,FALSE)="","",VLOOKUP(A424,[4]PRIORIZADOS!$A:$F,6,FALSE)),"")</f>
        <v>COLEGIO_FUNDACION_NUEVA_GRANADA</v>
      </c>
      <c r="G424" s="11" t="str">
        <f>IFERROR(IF(VLOOKUP(A424,[4]PRIORIZADOS!$A:$G,7,FALSE)="","",VLOOKUP(A424,[4]PRIORIZADOS!$A:$G,7,FALSE)),"")</f>
        <v>COLEGIO FUNDACION NUEVA GRANADA</v>
      </c>
      <c r="H424" s="11" t="str">
        <f>IFERROR(IF(VLOOKUP(A424,[4]PRIORIZADOS!$A:$H,8,FALSE)="","",VLOOKUP(A424,[4]PRIORIZADOS!$A:$H,8,FALSE)),"")</f>
        <v>Autoevaluación Institucional y Pruebas SABER 11</v>
      </c>
      <c r="I424" s="11" t="str">
        <f>IFERROR(IF(VLOOKUP(A424,[4]PRIORIZADOS!$A:$I,9,FALSE)="","",VLOOKUP(A424,[4]PRIORIZADOS!$A:$I,9,FALSE)),"")</f>
        <v>EVALUACIÓN_CON_FINES_DE_MEJORAMIENTO.</v>
      </c>
      <c r="J424" s="11" t="str">
        <f>IFERROR(IF(VLOOKUP(A424,[4]PRIORIZADOS!$A:$J,10,FALSE)="","",VLOOKUP(A424,[4]PRIORIZADOS!$A:$J,10,FALSE)),"")</f>
        <v>Revisar el calendario escolar, jornada escolar, la intensidad horaria mínima anual en cada nivel y las modificaciones que se realicen al mismo, de acuerdo con lo previsto en la normatividad vigente.</v>
      </c>
      <c r="K424" s="11" t="str">
        <f>IFERROR(IF(VLOOKUP(A424,[4]PRIORIZADOS!$A:$K,11,FALSE)="","",VLOOKUP(A424,[4]PRIORIZADOS!$A:$K,11,FALSE)),"")</f>
        <v xml:space="preserve">LAURA CRISTINA BECERRA CHAVES </v>
      </c>
      <c r="L424" s="11" t="str">
        <f>IFERROR(IF(VLOOKUP(A424,[4]PRIORIZADOS!$A:$L,12,FALSE)="","",VLOOKUP(A424,[4]PRIORIZADOS!$A:$L,12,FALSE)),"")</f>
        <v>CONNIE QUIÑONES CÁRDENAS</v>
      </c>
      <c r="M424" s="71">
        <f>IFERROR(IF(VLOOKUP(A424,[4]PRIORIZADOS!$A:$M,13,FALSE)="","",VLOOKUP(A424,[4]PRIORIZADOS!$A:$M,13,FALSE)),"")</f>
        <v>45750</v>
      </c>
      <c r="N424" s="71">
        <f>IFERROR(IF(VLOOKUP(A424,[4]PRIORIZADOS!$A:$N,14,FALSE)="","",VLOOKUP(A424,[4]PRIORIZADOS!$A:$N,14,FALSE)),"")</f>
        <v>45769</v>
      </c>
      <c r="O424" s="71">
        <f>IFERROR(IF(VLOOKUP(A424,[4]PRIORIZADOS!$A:$O,15,FALSE)="","",VLOOKUP(A424,[4]PRIORIZADOS!$A:$O,15,FALSE)),"")</f>
        <v>45769</v>
      </c>
      <c r="P424" s="11" t="str">
        <f>IFERROR(IF(VLOOKUP(A424,[4]PRIORIZADOS!$A:$P,16,FALSE)="","",VLOOKUP(A424,[4]PRIORIZADOS!$A:$P,16,FALSE)),"")</f>
        <v>Visitas de evaluación con fines de mejoramiento</v>
      </c>
      <c r="Q424" s="126" t="s">
        <v>79</v>
      </c>
      <c r="R424" s="11" t="str">
        <f>IFERROR(IF(VLOOKUP(A424,[4]PRIORIZADOS!$A:$R,18,FALSE)="","",VLOOKUP(A424,[4]PRIORIZADOS!$A:$R,18,FALSE)),"")</f>
        <v>La institución educativa cumple con la jornada educativa y el calendario escolar Inicia a las 7:00 a.m. a 3:00 p.m., todos ingresan a la misma hora con un total de 1.350 al año.</v>
      </c>
      <c r="S424" s="11" t="str">
        <f>IFERROR(IF(VLOOKUP(A424,[4]PRIORIZADOS!$A:$S,19,FALSE)="","",VLOOKUP(A424,[4]PRIORIZADOS!$A:$S,19,FALSE)),"")</f>
        <v>Ajustar en el aplicativo EVI las horas efectivamente proyectadas</v>
      </c>
      <c r="T424" s="70" t="str">
        <f>IFERROR(IF(VLOOKUP(A424,[4]PRIORIZADOS!$A:$T,20,FALSE)="","",VLOOKUP(A424,[4]PRIORIZADOS!$A:$T,20,FALSE)),"")</f>
        <v>Si</v>
      </c>
      <c r="U424" s="11" t="str">
        <f>IFERROR(IF(VLOOKUP(A424,[4]PRIORIZADOS!$A:$U,21,FALSE)="","",VLOOKUP(A424,[4]PRIORIZADOS!$A:$U,21,FALSE)),"")</f>
        <v>Se verificara en la autoevaluación del 2025 que se diligencien las horas que efectivamente reportan en el calendario académico</v>
      </c>
    </row>
    <row r="425" spans="1:21" s="1" customFormat="1" ht="36">
      <c r="A425" s="69">
        <f>IF([4]PRIORIZADOS!A40="","",[4]PRIORIZADOS!A40)</f>
        <v>433</v>
      </c>
      <c r="B425" s="70">
        <v>6</v>
      </c>
      <c r="C425" s="11" t="str">
        <f>IFERROR(IF(VLOOKUP(A425,[4]PRIORIZADOS!$A:$C,3,FALSE)="","",VLOOKUP(A425,[4]PRIORIZADOS!$A:$C,3,FALSE)),"")</f>
        <v>CHAPINERO</v>
      </c>
      <c r="D425" s="11" t="str">
        <f>IFERROR(IF(VLOOKUP(A425,[4]PRIORIZADOS!$A:$D,4,FALSE)="","",VLOOKUP(A425,[4]PRIORIZADOS!$A:$D,4,FALSE)),"")</f>
        <v>PRIVADO</v>
      </c>
      <c r="E425" s="11" t="str">
        <f>IFERROR(IF(VLOOKUP(A425,[4]PRIORIZADOS!$A:$E,5,FALSE)="","",VLOOKUP(A425,[4]PRIORIZADOS!$A:$E,5,FALSE)),"")</f>
        <v>EPBM</v>
      </c>
      <c r="F425" s="11" t="str">
        <f>IFERROR(IF(VLOOKUP(A425,[4]PRIORIZADOS!$A:$F,6,FALSE)="","",VLOOKUP(A425,[4]PRIORIZADOS!$A:$F,6,FALSE)),"")</f>
        <v>LICEO_FRANCES_LOUIS_PASTEUR</v>
      </c>
      <c r="G425" s="11" t="str">
        <f>IFERROR(IF(VLOOKUP(A425,[4]PRIORIZADOS!$A:$G,7,FALSE)="","",VLOOKUP(A425,[4]PRIORIZADOS!$A:$G,7,FALSE)),"")</f>
        <v>LICEO FRANCES LOUIS PASTEUR</v>
      </c>
      <c r="H425" s="11" t="str">
        <f>IFERROR(IF(VLOOKUP(A425,[4]PRIORIZADOS!$A:$H,8,FALSE)="","",VLOOKUP(A425,[4]PRIORIZADOS!$A:$H,8,FALSE)),"")</f>
        <v>Convivencia escolar</v>
      </c>
      <c r="I425" s="11" t="str">
        <f>IFERROR(IF(VLOOKUP(A425,[4]PRIORIZADOS!$A:$I,9,FALSE)="","",VLOOKUP(A425,[4]PRIORIZADOS!$A:$I,9,FALSE)),"")</f>
        <v>SEGUIMIENTO_Y_SUPERVISIÓN.</v>
      </c>
      <c r="J425" s="11" t="str">
        <f>IFERROR(IF(VLOOKUP(A425,[4]PRIORIZADOS!$A:$J,10,FALSE)="","",VLOOKUP(A425,[4]PRIORIZADOS!$A:$J,10,FALSE)),"")</f>
        <v>Realizar visitas para verificar la información registrada sobre la autoevaluación institucional en el aplicativo EVI, a los establecimientos de educación formal no oficial.</v>
      </c>
      <c r="K425" s="11" t="str">
        <f>IFERROR(IF(VLOOKUP(A425,[4]PRIORIZADOS!$A:$K,11,FALSE)="","",VLOOKUP(A425,[4]PRIORIZADOS!$A:$K,11,FALSE)),"")</f>
        <v xml:space="preserve">LAURA CRISTINA BECERRA CHAVES </v>
      </c>
      <c r="L425" s="11" t="str">
        <f>IFERROR(IF(VLOOKUP(A425,[4]PRIORIZADOS!$A:$L,12,FALSE)="","",VLOOKUP(A425,[4]PRIORIZADOS!$A:$L,12,FALSE)),"")</f>
        <v>SANTIAGO ÁVILA LEURO</v>
      </c>
      <c r="M425" s="71">
        <f>IFERROR(IF(VLOOKUP(A425,[4]PRIORIZADOS!$A:$M,13,FALSE)="","",VLOOKUP(A425,[4]PRIORIZADOS!$A:$M,13,FALSE)),"")</f>
        <v>45797</v>
      </c>
      <c r="N425" s="71">
        <f>IFERROR(IF(VLOOKUP(A425,[4]PRIORIZADOS!$A:$N,14,FALSE)="","",VLOOKUP(A425,[4]PRIORIZADOS!$A:$N,14,FALSE)),"")</f>
        <v>45797</v>
      </c>
      <c r="O425" s="71">
        <f>IFERROR(IF(VLOOKUP(A425,[4]PRIORIZADOS!$A:$O,15,FALSE)="","",VLOOKUP(A425,[4]PRIORIZADOS!$A:$O,15,FALSE)),"")</f>
        <v>45797</v>
      </c>
      <c r="P425" s="11" t="str">
        <f>IFERROR(IF(VLOOKUP(A425,[4]PRIORIZADOS!$A:$P,16,FALSE)="","",VLOOKUP(A425,[4]PRIORIZADOS!$A:$P,16,FALSE)),"")</f>
        <v>Visitas de evaluación con fines de mejoramiento</v>
      </c>
      <c r="Q425" s="107" t="s">
        <v>80</v>
      </c>
      <c r="R425" s="11" t="str">
        <f>IFERROR(IF(VLOOKUP(A425,[4]PRIORIZADOS!$A:$R,18,FALSE)="","",VLOOKUP(A425,[4]PRIORIZADOS!$A:$R,18,FALSE)),"")</f>
        <v>La información registrada en el aplicativo EVI coincide con la realidad de la institución educativa</v>
      </c>
      <c r="S425" s="11" t="str">
        <f>IFERROR(IF(VLOOKUP(A425,[4]PRIORIZADOS!$A:$S,19,FALSE)="","",VLOOKUP(A425,[4]PRIORIZADOS!$A:$S,19,FALSE)),"")</f>
        <v>Diligenciar anualmente la autoevaluación asegurándose que cada ítem se registre acorde a la realidad</v>
      </c>
      <c r="T425" s="70" t="str">
        <f>IFERROR(IF(VLOOKUP(A425,[4]PRIORIZADOS!$A:$T,20,FALSE)="","",VLOOKUP(A425,[4]PRIORIZADOS!$A:$T,20,FALSE)),"")</f>
        <v>No</v>
      </c>
      <c r="U425" s="11" t="str">
        <f>IFERROR(IF(VLOOKUP(A425,[4]PRIORIZADOS!$A:$U,21,FALSE)="","",VLOOKUP(A425,[4]PRIORIZADOS!$A:$U,21,FALSE)),"")</f>
        <v>Verificación del aplicativo anualmente, previo al trámite de tarifas educativas</v>
      </c>
    </row>
    <row r="426" spans="1:21" s="1" customFormat="1" ht="60">
      <c r="A426" s="69">
        <f>IF([4]PRIORIZADOS!A41="","",[4]PRIORIZADOS!A41)</f>
        <v>434</v>
      </c>
      <c r="B426" s="70">
        <v>6</v>
      </c>
      <c r="C426" s="11" t="str">
        <f>IFERROR(IF(VLOOKUP(A426,[4]PRIORIZADOS!$A:$C,3,FALSE)="","",VLOOKUP(A426,[4]PRIORIZADOS!$A:$C,3,FALSE)),"")</f>
        <v>CHAPINERO</v>
      </c>
      <c r="D426" s="11" t="str">
        <f>IFERROR(IF(VLOOKUP(A426,[4]PRIORIZADOS!$A:$D,4,FALSE)="","",VLOOKUP(A426,[4]PRIORIZADOS!$A:$D,4,FALSE)),"")</f>
        <v>PRIVADO</v>
      </c>
      <c r="E426" s="11" t="str">
        <f>IFERROR(IF(VLOOKUP(A426,[4]PRIORIZADOS!$A:$E,5,FALSE)="","",VLOOKUP(A426,[4]PRIORIZADOS!$A:$E,5,FALSE)),"")</f>
        <v>EPBM</v>
      </c>
      <c r="F426" s="11" t="str">
        <f>IFERROR(IF(VLOOKUP(A426,[4]PRIORIZADOS!$A:$F,6,FALSE)="","",VLOOKUP(A426,[4]PRIORIZADOS!$A:$F,6,FALSE)),"")</f>
        <v>LICEO_FRANCES_LOUIS_PASTEUR</v>
      </c>
      <c r="G426" s="11" t="str">
        <f>IFERROR(IF(VLOOKUP(A426,[4]PRIORIZADOS!$A:$G,7,FALSE)="","",VLOOKUP(A426,[4]PRIORIZADOS!$A:$G,7,FALSE)),"")</f>
        <v>LICEO FRANCES LOUIS PASTEUR</v>
      </c>
      <c r="H426" s="11" t="str">
        <f>IFERROR(IF(VLOOKUP(A426,[4]PRIORIZADOS!$A:$H,8,FALSE)="","",VLOOKUP(A426,[4]PRIORIZADOS!$A:$H,8,FALSE)),"")</f>
        <v>Convivencia escolar</v>
      </c>
      <c r="I426" s="11" t="str">
        <f>IFERROR(IF(VLOOKUP(A426,[4]PRIORIZADOS!$A:$I,9,FALSE)="","",VLOOKUP(A426,[4]PRIORIZADOS!$A:$I,9,FALSE)),"")</f>
        <v>SEGUIMIENTO_Y_SUPERVISIÓN.</v>
      </c>
      <c r="J426" s="11" t="str">
        <f>IFERROR(IF(VLOOKUP(A426,[4]PRIORIZADOS!$A:$J,10,FALSE)="","",VLOOKUP(A426,[4]PRIORIZADOS!$A:$J,10,FALSE)),"")</f>
        <v xml:space="preserve">Verificar la implementación por parte de los colegios, de acciones realizadas para la prevención y atención de las situaciones de convivencia en el entorno escolar, según lo establecido en la Directiva 01 de 2022 del MEN. </v>
      </c>
      <c r="K426" s="11" t="str">
        <f>IFERROR(IF(VLOOKUP(A426,[4]PRIORIZADOS!$A:$K,11,FALSE)="","",VLOOKUP(A426,[4]PRIORIZADOS!$A:$K,11,FALSE)),"")</f>
        <v xml:space="preserve">LAURA CRISTINA BECERRA CHAVES </v>
      </c>
      <c r="L426" s="11" t="str">
        <f>IFERROR(IF(VLOOKUP(A426,[4]PRIORIZADOS!$A:$L,12,FALSE)="","",VLOOKUP(A426,[4]PRIORIZADOS!$A:$L,12,FALSE)),"")</f>
        <v>SANTIAGO ÁVILA LEURO</v>
      </c>
      <c r="M426" s="71">
        <f>IFERROR(IF(VLOOKUP(A426,[4]PRIORIZADOS!$A:$M,13,FALSE)="","",VLOOKUP(A426,[4]PRIORIZADOS!$A:$M,13,FALSE)),"")</f>
        <v>45797</v>
      </c>
      <c r="N426" s="71">
        <f>IFERROR(IF(VLOOKUP(A426,[4]PRIORIZADOS!$A:$N,14,FALSE)="","",VLOOKUP(A426,[4]PRIORIZADOS!$A:$N,14,FALSE)),"")</f>
        <v>45797</v>
      </c>
      <c r="O426" s="71">
        <f>IFERROR(IF(VLOOKUP(A426,[4]PRIORIZADOS!$A:$O,15,FALSE)="","",VLOOKUP(A426,[4]PRIORIZADOS!$A:$O,15,FALSE)),"")</f>
        <v>45797</v>
      </c>
      <c r="P426" s="11" t="str">
        <f>IFERROR(IF(VLOOKUP(A426,[4]PRIORIZADOS!$A:$P,16,FALSE)="","",VLOOKUP(A426,[4]PRIORIZADOS!$A:$P,16,FALSE)),"")</f>
        <v>Visitas de evaluación con fines de mejoramiento</v>
      </c>
      <c r="Q426" s="107" t="s">
        <v>80</v>
      </c>
      <c r="R426" s="11" t="str">
        <f>IFERROR(IF(VLOOKUP(A426,[4]PRIORIZADOS!$A:$R,18,FALSE)="","",VLOOKUP(A426,[4]PRIORIZADOS!$A:$R,18,FALSE)),"")</f>
        <v>Desde el año 2024 viene acompañándose de la OCE para talleres y socialización con la comunidad educativa de las acciones de promoción y prevención, realiza consulta de antecedentes de los docentes</v>
      </c>
      <c r="S426" s="11" t="str">
        <f>IFERROR(IF(VLOOKUP(A426,[4]PRIORIZADOS!$A:$S,19,FALSE)="","",VLOOKUP(A426,[4]PRIORIZADOS!$A:$S,19,FALSE)),"")</f>
        <v xml:space="preserve">Continuar con la realización de las actividades de promoción y prevención  según el diagnóstico y las necesidades de la comunidad educativa </v>
      </c>
      <c r="T426" s="70" t="str">
        <f>IFERROR(IF(VLOOKUP(A426,[4]PRIORIZADOS!$A:$T,20,FALSE)="","",VLOOKUP(A426,[4]PRIORIZADOS!$A:$T,20,FALSE)),"")</f>
        <v>No</v>
      </c>
      <c r="U426" s="11" t="str">
        <f>IFERROR(IF(VLOOKUP(A426,[4]PRIORIZADOS!$A:$U,21,FALSE)="","",VLOOKUP(A426,[4]PRIORIZADOS!$A:$U,21,FALSE)),"")</f>
        <v>Realizar acompañamiento y asesoría desde el ELIV cuando el Liceo lo requiera</v>
      </c>
    </row>
    <row r="427" spans="1:21" s="1" customFormat="1" ht="72">
      <c r="A427" s="69">
        <f>IF([4]PRIORIZADOS!A42="","",[4]PRIORIZADOS!A42)</f>
        <v>435</v>
      </c>
      <c r="B427" s="70">
        <v>6</v>
      </c>
      <c r="C427" s="11" t="str">
        <f>IFERROR(IF(VLOOKUP(A427,[4]PRIORIZADOS!$A:$C,3,FALSE)="","",VLOOKUP(A427,[4]PRIORIZADOS!$A:$C,3,FALSE)),"")</f>
        <v>CHAPINERO</v>
      </c>
      <c r="D427" s="11" t="str">
        <f>IFERROR(IF(VLOOKUP(A427,[4]PRIORIZADOS!$A:$D,4,FALSE)="","",VLOOKUP(A427,[4]PRIORIZADOS!$A:$D,4,FALSE)),"")</f>
        <v>PRIVADO</v>
      </c>
      <c r="E427" s="11" t="str">
        <f>IFERROR(IF(VLOOKUP(A427,[4]PRIORIZADOS!$A:$E,5,FALSE)="","",VLOOKUP(A427,[4]PRIORIZADOS!$A:$E,5,FALSE)),"")</f>
        <v>EPBM</v>
      </c>
      <c r="F427" s="11" t="str">
        <f>IFERROR(IF(VLOOKUP(A427,[4]PRIORIZADOS!$A:$F,6,FALSE)="","",VLOOKUP(A427,[4]PRIORIZADOS!$A:$F,6,FALSE)),"")</f>
        <v>LICEO_FRANCES_LOUIS_PASTEUR</v>
      </c>
      <c r="G427" s="11" t="str">
        <f>IFERROR(IF(VLOOKUP(A427,[4]PRIORIZADOS!$A:$G,7,FALSE)="","",VLOOKUP(A427,[4]PRIORIZADOS!$A:$G,7,FALSE)),"")</f>
        <v>LICEO FRANCES LOUIS PASTEUR</v>
      </c>
      <c r="H427" s="11" t="str">
        <f>IFERROR(IF(VLOOKUP(A427,[4]PRIORIZADOS!$A:$H,8,FALSE)="","",VLOOKUP(A427,[4]PRIORIZADOS!$A:$H,8,FALSE)),"")</f>
        <v>Convivencia escolar</v>
      </c>
      <c r="I427" s="11" t="str">
        <f>IFERROR(IF(VLOOKUP(A427,[4]PRIORIZADOS!$A:$I,9,FALSE)="","",VLOOKUP(A427,[4]PRIORIZADOS!$A:$I,9,FALSE)),"")</f>
        <v>SEGUIMIENTO_Y_SUPERVISIÓN.</v>
      </c>
      <c r="J427" s="11" t="str">
        <f>IFERROR(IF(VLOOKUP(A427,[4]PRIORIZADOS!$A:$J,10,FALSE)="","",VLOOKUP(A427,[4]PRIORIZADOS!$A:$J,10,FALSE)),"")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27" s="11" t="str">
        <f>IFERROR(IF(VLOOKUP(A427,[4]PRIORIZADOS!$A:$K,11,FALSE)="","",VLOOKUP(A427,[4]PRIORIZADOS!$A:$K,11,FALSE)),"")</f>
        <v xml:space="preserve">LAURA CRISTINA BECERRA CHAVES </v>
      </c>
      <c r="L427" s="11" t="str">
        <f>IFERROR(IF(VLOOKUP(A427,[4]PRIORIZADOS!$A:$L,12,FALSE)="","",VLOOKUP(A427,[4]PRIORIZADOS!$A:$L,12,FALSE)),"")</f>
        <v>SANTIAGO ÁVILA LEURO</v>
      </c>
      <c r="M427" s="71">
        <f>IFERROR(IF(VLOOKUP(A427,[4]PRIORIZADOS!$A:$M,13,FALSE)="","",VLOOKUP(A427,[4]PRIORIZADOS!$A:$M,13,FALSE)),"")</f>
        <v>45797</v>
      </c>
      <c r="N427" s="71">
        <f>IFERROR(IF(VLOOKUP(A427,[4]PRIORIZADOS!$A:$N,14,FALSE)="","",VLOOKUP(A427,[4]PRIORIZADOS!$A:$N,14,FALSE)),"")</f>
        <v>45797</v>
      </c>
      <c r="O427" s="71">
        <f>IFERROR(IF(VLOOKUP(A427,[4]PRIORIZADOS!$A:$O,15,FALSE)="","",VLOOKUP(A427,[4]PRIORIZADOS!$A:$O,15,FALSE)),"")</f>
        <v>45797</v>
      </c>
      <c r="P427" s="11" t="str">
        <f>IFERROR(IF(VLOOKUP(A427,[4]PRIORIZADOS!$A:$P,16,FALSE)="","",VLOOKUP(A427,[4]PRIORIZADOS!$A:$P,16,FALSE)),"")</f>
        <v>Visitas de evaluación con fines de mejoramiento</v>
      </c>
      <c r="Q427" s="107" t="s">
        <v>80</v>
      </c>
      <c r="R427" s="11" t="str">
        <f>IFERROR(IF(VLOOKUP(A427,[4]PRIORIZADOS!$A:$R,18,FALSE)="","",VLOOKUP(A427,[4]PRIORIZADOS!$A:$R,18,FALSE)),"")</f>
        <v>Desarrolla varios ajustes razonables  a los alumnos,  de la población que atiende 14 alumnos cuentan con PIAR, socializado y con seguimiento. Y para 76 estudiantes  implementa otras estrategias de acompañamiento según la necesidad</v>
      </c>
      <c r="S427" s="11" t="str">
        <f>IFERROR(IF(VLOOKUP(A427,[4]PRIORIZADOS!$A:$S,19,FALSE)="","",VLOOKUP(A427,[4]PRIORIZADOS!$A:$S,19,FALSE)),"")</f>
        <v>Verificar y en el SIMAT que todos los estudiantes que cuenten con diagnóstico estén parametrizados</v>
      </c>
      <c r="T427" s="70" t="str">
        <f>IFERROR(IF(VLOOKUP(A427,[4]PRIORIZADOS!$A:$T,20,FALSE)="","",VLOOKUP(A427,[4]PRIORIZADOS!$A:$T,20,FALSE)),"")</f>
        <v>No</v>
      </c>
      <c r="U427" s="11" t="str">
        <f>IFERROR(IF(VLOOKUP(A427,[4]PRIORIZADOS!$A:$U,21,FALSE)="","",VLOOKUP(A427,[4]PRIORIZADOS!$A:$U,21,FALSE)),"")</f>
        <v>Revisión en  mes de  octubre del registro de estudiantes con diagnóstico en el SIMAT, con la nueva matrícula</v>
      </c>
    </row>
    <row r="428" spans="1:21" s="1" customFormat="1" ht="72">
      <c r="A428" s="69">
        <f>IF([4]PRIORIZADOS!A43="","",[4]PRIORIZADOS!A43)</f>
        <v>436</v>
      </c>
      <c r="B428" s="70">
        <v>6</v>
      </c>
      <c r="C428" s="11" t="str">
        <f>IFERROR(IF(VLOOKUP(A428,[4]PRIORIZADOS!$A:$C,3,FALSE)="","",VLOOKUP(A428,[4]PRIORIZADOS!$A:$C,3,FALSE)),"")</f>
        <v>CHAPINERO</v>
      </c>
      <c r="D428" s="11" t="str">
        <f>IFERROR(IF(VLOOKUP(A428,[4]PRIORIZADOS!$A:$D,4,FALSE)="","",VLOOKUP(A428,[4]PRIORIZADOS!$A:$D,4,FALSE)),"")</f>
        <v>PRIVADO</v>
      </c>
      <c r="E428" s="11" t="str">
        <f>IFERROR(IF(VLOOKUP(A428,[4]PRIORIZADOS!$A:$E,5,FALSE)="","",VLOOKUP(A428,[4]PRIORIZADOS!$A:$E,5,FALSE)),"")</f>
        <v>EPBM</v>
      </c>
      <c r="F428" s="11" t="str">
        <f>IFERROR(IF(VLOOKUP(A428,[4]PRIORIZADOS!$A:$F,6,FALSE)="","",VLOOKUP(A428,[4]PRIORIZADOS!$A:$F,6,FALSE)),"")</f>
        <v>LICEO_FRANCES_LOUIS_PASTEUR</v>
      </c>
      <c r="G428" s="11" t="str">
        <f>IFERROR(IF(VLOOKUP(A428,[4]PRIORIZADOS!$A:$G,7,FALSE)="","",VLOOKUP(A428,[4]PRIORIZADOS!$A:$G,7,FALSE)),"")</f>
        <v>LICEO FRANCES LOUIS PASTEUR</v>
      </c>
      <c r="H428" s="11" t="str">
        <f>IFERROR(IF(VLOOKUP(A428,[4]PRIORIZADOS!$A:$H,8,FALSE)="","",VLOOKUP(A428,[4]PRIORIZADOS!$A:$H,8,FALSE)),"")</f>
        <v>Convivencia escolar</v>
      </c>
      <c r="I428" s="11" t="str">
        <f>IFERROR(IF(VLOOKUP(A428,[4]PRIORIZADOS!$A:$I,9,FALSE)="","",VLOOKUP(A428,[4]PRIORIZADOS!$A:$I,9,FALSE)),"")</f>
        <v>EVALUACIÓN_CON_FINES_DE_MEJORAMIENTO.</v>
      </c>
      <c r="J428" s="11" t="str">
        <f>IFERROR(IF(VLOOKUP(A428,[4]PRIORIZADOS!$A:$J,10,FALSE)="","",VLOOKUP(A428,[4]PRIORIZADOS!$A:$J,10,FALSE)),"")</f>
        <v>Revisar el calendario escolar, jornada escolar, la intensidad horaria mínima anual en cada nivel y las modificaciones que se realicen al mismo, de acuerdo con lo previsto en la normatividad vigente.</v>
      </c>
      <c r="K428" s="11" t="str">
        <f>IFERROR(IF(VLOOKUP(A428,[4]PRIORIZADOS!$A:$K,11,FALSE)="","",VLOOKUP(A428,[4]PRIORIZADOS!$A:$K,11,FALSE)),"")</f>
        <v xml:space="preserve">LAURA CRISTINA BECERRA CHAVES </v>
      </c>
      <c r="L428" s="11" t="str">
        <f>IFERROR(IF(VLOOKUP(A428,[4]PRIORIZADOS!$A:$L,12,FALSE)="","",VLOOKUP(A428,[4]PRIORIZADOS!$A:$L,12,FALSE)),"")</f>
        <v>SANTIAGO ÁVILA LEURO</v>
      </c>
      <c r="M428" s="71">
        <f>IFERROR(IF(VLOOKUP(A428,[4]PRIORIZADOS!$A:$M,13,FALSE)="","",VLOOKUP(A428,[4]PRIORIZADOS!$A:$M,13,FALSE)),"")</f>
        <v>45797</v>
      </c>
      <c r="N428" s="71">
        <f>IFERROR(IF(VLOOKUP(A428,[4]PRIORIZADOS!$A:$N,14,FALSE)="","",VLOOKUP(A428,[4]PRIORIZADOS!$A:$N,14,FALSE)),"")</f>
        <v>45797</v>
      </c>
      <c r="O428" s="71">
        <f>IFERROR(IF(VLOOKUP(A428,[4]PRIORIZADOS!$A:$O,15,FALSE)="","",VLOOKUP(A428,[4]PRIORIZADOS!$A:$O,15,FALSE)),"")</f>
        <v>45797</v>
      </c>
      <c r="P428" s="11" t="str">
        <f>IFERROR(IF(VLOOKUP(A428,[4]PRIORIZADOS!$A:$P,16,FALSE)="","",VLOOKUP(A428,[4]PRIORIZADOS!$A:$P,16,FALSE)),"")</f>
        <v>Visitas de evaluación con fines de mejoramiento</v>
      </c>
      <c r="Q428" s="107" t="s">
        <v>80</v>
      </c>
      <c r="R428" s="11" t="str">
        <f>IFERROR(IF(VLOOKUP(A428,[4]PRIORIZADOS!$A:$R,18,FALSE)="","",VLOOKUP(A428,[4]PRIORIZADOS!$A:$R,18,FALSE)),"")</f>
        <v>El Liceo cumple doble normatividad educativa colombiana y francesa, tiene en cuenta los recesos escolares franceses. Jornadas extendidas primaria  lunes , martes y jueves de 8 a 3:30 martes y viernes 8 a 12:30, secundaria 7 a 5:30</v>
      </c>
      <c r="S428" s="11" t="str">
        <f>IFERROR(IF(VLOOKUP(A428,[4]PRIORIZADOS!$A:$S,19,FALSE)="","",VLOOKUP(A428,[4]PRIORIZADOS!$A:$S,19,FALSE)),"")</f>
        <v>Cumple con el calendario escolar 936 preescolar y primaria, 1260 secundaria y media</v>
      </c>
      <c r="T428" s="70" t="str">
        <f>IFERROR(IF(VLOOKUP(A428,[4]PRIORIZADOS!$A:$T,20,FALSE)="","",VLOOKUP(A428,[4]PRIORIZADOS!$A:$T,20,FALSE)),"")</f>
        <v>No</v>
      </c>
      <c r="U428" s="11" t="str">
        <f>IFERROR(IF(VLOOKUP(A428,[4]PRIORIZADOS!$A:$U,21,FALSE)="","",VLOOKUP(A428,[4]PRIORIZADOS!$A:$U,21,FALSE)),"")</f>
        <v>Verificar anualmente que la proyección de calendario académico cumpla con la normatividad colombiana</v>
      </c>
    </row>
    <row r="429" spans="1:21" s="1" customFormat="1" ht="60">
      <c r="A429" s="69">
        <f>IF([4]PRIORIZADOS!A44="","",[4]PRIORIZADOS!A44)</f>
        <v>437</v>
      </c>
      <c r="B429" s="70">
        <v>6</v>
      </c>
      <c r="C429" s="11" t="str">
        <f>IFERROR(IF(VLOOKUP(A429,[4]PRIORIZADOS!$A:$C,3,FALSE)="","",VLOOKUP(A429,[4]PRIORIZADOS!$A:$C,3,FALSE)),"")</f>
        <v>CHAPINERO</v>
      </c>
      <c r="D429" s="11" t="str">
        <f>IFERROR(IF(VLOOKUP(A429,[4]PRIORIZADOS!$A:$D,4,FALSE)="","",VLOOKUP(A429,[4]PRIORIZADOS!$A:$D,4,FALSE)),"")</f>
        <v>PRIVADO</v>
      </c>
      <c r="E429" s="11" t="str">
        <f>IFERROR(IF(VLOOKUP(A429,[4]PRIORIZADOS!$A:$E,5,FALSE)="","",VLOOKUP(A429,[4]PRIORIZADOS!$A:$E,5,FALSE)),"")</f>
        <v>EPBM</v>
      </c>
      <c r="F429" s="11" t="str">
        <f>IFERROR(IF(VLOOKUP(A429,[4]PRIORIZADOS!$A:$F,6,FALSE)="","",VLOOKUP(A429,[4]PRIORIZADOS!$A:$F,6,FALSE)),"")</f>
        <v>LICEO_FRANCES_LOUIS_PASTEUR</v>
      </c>
      <c r="G429" s="11" t="str">
        <f>IFERROR(IF(VLOOKUP(A429,[4]PRIORIZADOS!$A:$G,7,FALSE)="","",VLOOKUP(A429,[4]PRIORIZADOS!$A:$G,7,FALSE)),"")</f>
        <v>LICEO FRANCES LOUIS PASTEUR</v>
      </c>
      <c r="H429" s="11" t="str">
        <f>IFERROR(IF(VLOOKUP(A429,[4]PRIORIZADOS!$A:$H,8,FALSE)="","",VLOOKUP(A429,[4]PRIORIZADOS!$A:$H,8,FALSE)),"")</f>
        <v>Convivencia escolar</v>
      </c>
      <c r="I429" s="11" t="str">
        <f>IFERROR(IF(VLOOKUP(A429,[4]PRIORIZADOS!$A:$I,9,FALSE)="","",VLOOKUP(A429,[4]PRIORIZADOS!$A:$I,9,FALSE)),"")</f>
        <v>EVALUACIÓN_CON_FINES_DE_MEJORAMIENTO.</v>
      </c>
      <c r="J429" s="11" t="str">
        <f>IFERROR(IF(VLOOKUP(A429,[4]PRIORIZADOS!$A:$J,10,FALSE)="","",VLOOKUP(A429,[4]PRIORIZADOS!$A:$J,10,FALSE)),"")</f>
        <v>Verificar las condiciones en cuanto a: la estructura administrativa, condiciones de la planta física y medios educativos adecuados.</v>
      </c>
      <c r="K429" s="11" t="str">
        <f>IFERROR(IF(VLOOKUP(A429,[4]PRIORIZADOS!$A:$K,11,FALSE)="","",VLOOKUP(A429,[4]PRIORIZADOS!$A:$K,11,FALSE)),"")</f>
        <v xml:space="preserve">LAURA CRISTINA BECERRA CHAVES </v>
      </c>
      <c r="L429" s="11" t="str">
        <f>IFERROR(IF(VLOOKUP(A429,[4]PRIORIZADOS!$A:$L,12,FALSE)="","",VLOOKUP(A429,[4]PRIORIZADOS!$A:$L,12,FALSE)),"")</f>
        <v>SANTIAGO ÁVILA LEURO</v>
      </c>
      <c r="M429" s="71">
        <f>IFERROR(IF(VLOOKUP(A429,[4]PRIORIZADOS!$A:$M,13,FALSE)="","",VLOOKUP(A429,[4]PRIORIZADOS!$A:$M,13,FALSE)),"")</f>
        <v>45797</v>
      </c>
      <c r="N429" s="71">
        <f>IFERROR(IF(VLOOKUP(A429,[4]PRIORIZADOS!$A:$N,14,FALSE)="","",VLOOKUP(A429,[4]PRIORIZADOS!$A:$N,14,FALSE)),"")</f>
        <v>45797</v>
      </c>
      <c r="O429" s="71">
        <f>IFERROR(IF(VLOOKUP(A429,[4]PRIORIZADOS!$A:$O,15,FALSE)="","",VLOOKUP(A429,[4]PRIORIZADOS!$A:$O,15,FALSE)),"")</f>
        <v>45797</v>
      </c>
      <c r="P429" s="11" t="str">
        <f>IFERROR(IF(VLOOKUP(A429,[4]PRIORIZADOS!$A:$P,16,FALSE)="","",VLOOKUP(A429,[4]PRIORIZADOS!$A:$P,16,FALSE)),"")</f>
        <v>Visitas de evaluación con fines de mejoramiento</v>
      </c>
      <c r="Q429" s="107" t="s">
        <v>80</v>
      </c>
      <c r="R429" s="11" t="str">
        <f>IFERROR(IF(VLOOKUP(A429,[4]PRIORIZADOS!$A:$R,18,FALSE)="","",VLOOKUP(A429,[4]PRIORIZADOS!$A:$R,18,FALSE)),"")</f>
        <v>La infraestructura administrativa es suficiente para el número de alumnos, cuenta con instalaciones bien cuidadas y planes de mantenimiento anuales, espacios pedagógicos adecuados</v>
      </c>
      <c r="S429" s="11" t="str">
        <f>IFERROR(IF(VLOOKUP(A429,[4]PRIORIZADOS!$A:$S,19,FALSE)="","",VLOOKUP(A429,[4]PRIORIZADOS!$A:$S,19,FALSE)),"")</f>
        <v>Continuar con los planes de mantenimiento de la infra estura física y mobiliario</v>
      </c>
      <c r="T429" s="70" t="str">
        <f>IFERROR(IF(VLOOKUP(A429,[4]PRIORIZADOS!$A:$T,20,FALSE)="","",VLOOKUP(A429,[4]PRIORIZADOS!$A:$T,20,FALSE)),"")</f>
        <v>No</v>
      </c>
      <c r="U429" s="11" t="str">
        <f>IFERROR(IF(VLOOKUP(A429,[4]PRIORIZADOS!$A:$U,21,FALSE)="","",VLOOKUP(A429,[4]PRIORIZADOS!$A:$U,21,FALSE)),"")</f>
        <v>En visitas de seguimiento verificar que continúen con buenas condiciones para prestación de servicio educativo</v>
      </c>
    </row>
    <row r="430" spans="1:21" s="1" customFormat="1" ht="84">
      <c r="A430" s="69">
        <f>IF([4]PRIORIZADOS!A45="","",[4]PRIORIZADOS!A45)</f>
        <v>438</v>
      </c>
      <c r="B430" s="70">
        <v>6</v>
      </c>
      <c r="C430" s="11" t="str">
        <f>IFERROR(IF(VLOOKUP(A430,[4]PRIORIZADOS!$A:$C,3,FALSE)="","",VLOOKUP(A430,[4]PRIORIZADOS!$A:$C,3,FALSE)),"")</f>
        <v>CHAPINERO</v>
      </c>
      <c r="D430" s="11" t="str">
        <f>IFERROR(IF(VLOOKUP(A430,[4]PRIORIZADOS!$A:$D,4,FALSE)="","",VLOOKUP(A430,[4]PRIORIZADOS!$A:$D,4,FALSE)),"")</f>
        <v>PRIVADO</v>
      </c>
      <c r="E430" s="11" t="str">
        <f>IFERROR(IF(VLOOKUP(A430,[4]PRIORIZADOS!$A:$E,5,FALSE)="","",VLOOKUP(A430,[4]PRIORIZADOS!$A:$E,5,FALSE)),"")</f>
        <v>EPBM</v>
      </c>
      <c r="F430" s="11" t="str">
        <f>IFERROR(IF(VLOOKUP(A430,[4]PRIORIZADOS!$A:$F,6,FALSE)="","",VLOOKUP(A430,[4]PRIORIZADOS!$A:$F,6,FALSE)),"")</f>
        <v>LICEO_FRANCES_LOUIS_PASTEUR</v>
      </c>
      <c r="G430" s="11" t="str">
        <f>IFERROR(IF(VLOOKUP(A430,[4]PRIORIZADOS!$A:$G,7,FALSE)="","",VLOOKUP(A430,[4]PRIORIZADOS!$A:$G,7,FALSE)),"")</f>
        <v>LICEO FRANCES LOUIS PASTEUR</v>
      </c>
      <c r="H430" s="11" t="str">
        <f>IFERROR(IF(VLOOKUP(A430,[4]PRIORIZADOS!$A:$H,8,FALSE)="","",VLOOKUP(A430,[4]PRIORIZADOS!$A:$H,8,FALSE)),"")</f>
        <v>Convivencia escolar</v>
      </c>
      <c r="I430" s="11" t="str">
        <f>IFERROR(IF(VLOOKUP(A430,[4]PRIORIZADOS!$A:$I,9,FALSE)="","",VLOOKUP(A430,[4]PRIORIZADOS!$A:$I,9,FALSE)),"")</f>
        <v>EVALUACIÓN_CON_FINES_DE_MEJORAMIENTO.</v>
      </c>
      <c r="J430" s="11" t="str">
        <f>IFERROR(IF(VLOOKUP(A430,[4]PRIORIZADOS!$A:$J,10,FALSE)="","",VLOOKUP(A430,[4]PRIORIZADOS!$A:$J,10,FALSE)),"")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30" s="11" t="str">
        <f>IFERROR(IF(VLOOKUP(A430,[4]PRIORIZADOS!$A:$K,11,FALSE)="","",VLOOKUP(A430,[4]PRIORIZADOS!$A:$K,11,FALSE)),"")</f>
        <v xml:space="preserve">LAURA CRISTINA BECERRA CHAVES </v>
      </c>
      <c r="L430" s="11" t="str">
        <f>IFERROR(IF(VLOOKUP(A430,[4]PRIORIZADOS!$A:$L,12,FALSE)="","",VLOOKUP(A430,[4]PRIORIZADOS!$A:$L,12,FALSE)),"")</f>
        <v>SANTIAGO ÁVILA LEURO</v>
      </c>
      <c r="M430" s="71">
        <f>IFERROR(IF(VLOOKUP(A430,[4]PRIORIZADOS!$A:$M,13,FALSE)="","",VLOOKUP(A430,[4]PRIORIZADOS!$A:$M,13,FALSE)),"")</f>
        <v>45722</v>
      </c>
      <c r="N430" s="71">
        <f>IFERROR(IF(VLOOKUP(A430,[4]PRIORIZADOS!$A:$N,14,FALSE)="","",VLOOKUP(A430,[4]PRIORIZADOS!$A:$N,14,FALSE)),"")</f>
        <v>45797</v>
      </c>
      <c r="O430" s="71">
        <f>IFERROR(IF(VLOOKUP(A430,[4]PRIORIZADOS!$A:$O,15,FALSE)="","",VLOOKUP(A430,[4]PRIORIZADOS!$A:$O,15,FALSE)),"")</f>
        <v>45797</v>
      </c>
      <c r="P430" s="11" t="str">
        <f>IFERROR(IF(VLOOKUP(A430,[4]PRIORIZADOS!$A:$P,16,FALSE)="","",VLOOKUP(A430,[4]PRIORIZADOS!$A:$P,16,FALSE)),"")</f>
        <v>Visitas de evaluación con fines de mejoramiento</v>
      </c>
      <c r="Q430" s="107" t="s">
        <v>81</v>
      </c>
      <c r="R430" s="11" t="str">
        <f>IFERROR(IF(VLOOKUP(A430,[4]PRIORIZADOS!$A:$R,18,FALSE)="","",VLOOKUP(A430,[4]PRIORIZADOS!$A:$R,18,FALSE)),"")</f>
        <v>El manual de convivencia se encuentra en actualización, deben fortalecen en la propuesta con diferentes conceptos (género, justicia restaurativa, etc.) en la práctica. No basta con las definiciones de estos aspectos; se debe incluir un ítem específico para primera infancia, etc.</v>
      </c>
      <c r="S430" s="11" t="str">
        <f>IFERROR(IF(VLOOKUP(A430,[4]PRIORIZADOS!$A:$S,19,FALSE)="","",VLOOKUP(A430,[4]PRIORIZADOS!$A:$S,19,FALSE)),"")</f>
        <v>Desarrollar en el manual los temas sugeridos por el ELIV, remitir una vez avalado el manual para nueva revisión</v>
      </c>
      <c r="T430" s="70" t="str">
        <f>IFERROR(IF(VLOOKUP(A430,[4]PRIORIZADOS!$A:$T,20,FALSE)="","",VLOOKUP(A430,[4]PRIORIZADOS!$A:$T,20,FALSE)),"")</f>
        <v>Si</v>
      </c>
      <c r="U430" s="11" t="str">
        <f>IFERROR(IF(VLOOKUP(A430,[4]PRIORIZADOS!$A:$U,21,FALSE)="","",VLOOKUP(A430,[4]PRIORIZADOS!$A:$U,21,FALSE)),"")</f>
        <v xml:space="preserve">Revisión por parte del ELIV del manual de convivencia con las modificaciones sugeridas una vez avalado por las diferentes instancias  </v>
      </c>
    </row>
    <row r="431" spans="1:21" s="1" customFormat="1" ht="60">
      <c r="A431" s="69">
        <f>IF([4]PRIORIZADOS!A46="","",[4]PRIORIZADOS!A46)</f>
        <v>439</v>
      </c>
      <c r="B431" s="70">
        <v>6</v>
      </c>
      <c r="C431" s="11" t="str">
        <f>IFERROR(IF(VLOOKUP(A431,[4]PRIORIZADOS!$A:$C,3,FALSE)="","",VLOOKUP(A431,[4]PRIORIZADOS!$A:$C,3,FALSE)),"")</f>
        <v>CHAPINERO</v>
      </c>
      <c r="D431" s="11" t="str">
        <f>IFERROR(IF(VLOOKUP(A431,[4]PRIORIZADOS!$A:$D,4,FALSE)="","",VLOOKUP(A431,[4]PRIORIZADOS!$A:$D,4,FALSE)),"")</f>
        <v>PRIVADO</v>
      </c>
      <c r="E431" s="11" t="str">
        <f>IFERROR(IF(VLOOKUP(A431,[4]PRIORIZADOS!$A:$E,5,FALSE)="","",VLOOKUP(A431,[4]PRIORIZADOS!$A:$E,5,FALSE)),"")</f>
        <v>EPBM</v>
      </c>
      <c r="F431" s="11" t="str">
        <f>IFERROR(IF(VLOOKUP(A431,[4]PRIORIZADOS!$A:$F,6,FALSE)="","",VLOOKUP(A431,[4]PRIORIZADOS!$A:$F,6,FALSE)),"")</f>
        <v>LICEO_FRANCES_LOUIS_PASTEUR</v>
      </c>
      <c r="G431" s="11" t="str">
        <f>IFERROR(IF(VLOOKUP(A431,[4]PRIORIZADOS!$A:$G,7,FALSE)="","",VLOOKUP(A431,[4]PRIORIZADOS!$A:$G,7,FALSE)),"")</f>
        <v>LICEO FRANCES LOUIS PASTEUR</v>
      </c>
      <c r="H431" s="11" t="str">
        <f>IFERROR(IF(VLOOKUP(A431,[4]PRIORIZADOS!$A:$H,8,FALSE)="","",VLOOKUP(A431,[4]PRIORIZADOS!$A:$H,8,FALSE)),"")</f>
        <v>Convivencia escolar</v>
      </c>
      <c r="I431" s="11" t="str">
        <f>IFERROR(IF(VLOOKUP(A431,[4]PRIORIZADOS!$A:$I,9,FALSE)="","",VLOOKUP(A431,[4]PRIORIZADOS!$A:$I,9,FALSE)),"")</f>
        <v>EVALUACIÓN_CON_FINES_DE_MEJORAMIENTO.</v>
      </c>
      <c r="J431" s="11" t="str">
        <f>IFERROR(IF(VLOOKUP(A431,[4]PRIORIZADOS!$A:$J,10,FALSE)="","",VLOOKUP(A431,[4]PRIORIZADOS!$A:$J,10,FALSE)),"")</f>
        <v>Revisar la actualización, socialización e implementación del Sistema Institucional de Evaluación de Estudiantes - SIEE, en articulación con la actualización del PEI y la normatividad vigente.</v>
      </c>
      <c r="K431" s="11" t="str">
        <f>IFERROR(IF(VLOOKUP(A431,[4]PRIORIZADOS!$A:$K,11,FALSE)="","",VLOOKUP(A431,[4]PRIORIZADOS!$A:$K,11,FALSE)),"")</f>
        <v xml:space="preserve">LAURA CRISTINA BECERRA CHAVES </v>
      </c>
      <c r="L431" s="11" t="str">
        <f>IFERROR(IF(VLOOKUP(A431,[4]PRIORIZADOS!$A:$L,12,FALSE)="","",VLOOKUP(A431,[4]PRIORIZADOS!$A:$L,12,FALSE)),"")</f>
        <v>SANTIAGO ÁVILA LEURO</v>
      </c>
      <c r="M431" s="71">
        <f>IFERROR(IF(VLOOKUP(A431,[4]PRIORIZADOS!$A:$M,13,FALSE)="","",VLOOKUP(A431,[4]PRIORIZADOS!$A:$M,13,FALSE)),"")</f>
        <v>45750</v>
      </c>
      <c r="N431" s="71">
        <f>IFERROR(IF(VLOOKUP(A431,[4]PRIORIZADOS!$A:$N,14,FALSE)="","",VLOOKUP(A431,[4]PRIORIZADOS!$A:$N,14,FALSE)),"")</f>
        <v>45797</v>
      </c>
      <c r="O431" s="71">
        <f>IFERROR(IF(VLOOKUP(A431,[4]PRIORIZADOS!$A:$O,15,FALSE)="","",VLOOKUP(A431,[4]PRIORIZADOS!$A:$O,15,FALSE)),"")</f>
        <v>45797</v>
      </c>
      <c r="P431" s="11" t="str">
        <f>IFERROR(IF(VLOOKUP(A431,[4]PRIORIZADOS!$A:$P,16,FALSE)="","",VLOOKUP(A431,[4]PRIORIZADOS!$A:$P,16,FALSE)),"")</f>
        <v>Visitas de evaluación con fines de mejoramiento</v>
      </c>
      <c r="Q431" s="107" t="s">
        <v>80</v>
      </c>
      <c r="R431" s="11" t="str">
        <f>IFERROR(IF(VLOOKUP(A431,[4]PRIORIZADOS!$A:$R,18,FALSE)="","",VLOOKUP(A431,[4]PRIORIZADOS!$A:$R,18,FALSE)),"")</f>
        <v>No fue posible verificar documentalmente el SIEE de la institución educativa para realizar un comparativo con lo ejecutado en el Liceo</v>
      </c>
      <c r="S431" s="11" t="str">
        <f>IFERROR(IF(VLOOKUP(A431,[4]PRIORIZADOS!$A:$S,19,FALSE)="","",VLOOKUP(A431,[4]PRIORIZADOS!$A:$S,19,FALSE)),"")</f>
        <v>Elaborar el  documento PEI  en el cual se determine el SIEE q acorde a la normatividad vigente en Colombia con las excepciones que el convenio de cooperación determina</v>
      </c>
      <c r="T431" s="70" t="str">
        <f>IFERROR(IF(VLOOKUP(A431,[4]PRIORIZADOS!$A:$T,20,FALSE)="","",VLOOKUP(A431,[4]PRIORIZADOS!$A:$T,20,FALSE)),"")</f>
        <v>Si</v>
      </c>
      <c r="U431" s="11" t="str">
        <f>IFERROR(IF(VLOOKUP(A431,[4]PRIORIZADOS!$A:$U,21,FALSE)="","",VLOOKUP(A431,[4]PRIORIZADOS!$A:$U,21,FALSE)),"")</f>
        <v>Verificar la propuesta de Plan de Mejoramiento (julio 2025) y revisar el SIEE una vez construido el documento</v>
      </c>
    </row>
    <row r="432" spans="1:21" s="1" customFormat="1" ht="96">
      <c r="A432" s="69">
        <f>IF([4]PRIORIZADOS!A47="","",[4]PRIORIZADOS!A47)</f>
        <v>440</v>
      </c>
      <c r="B432" s="70">
        <v>6</v>
      </c>
      <c r="C432" s="11" t="str">
        <f>IFERROR(IF(VLOOKUP(A432,[4]PRIORIZADOS!$A:$C,3,FALSE)="","",VLOOKUP(A432,[4]PRIORIZADOS!$A:$C,3,FALSE)),"")</f>
        <v>CHAPINERO</v>
      </c>
      <c r="D432" s="11" t="str">
        <f>IFERROR(IF(VLOOKUP(A432,[4]PRIORIZADOS!$A:$D,4,FALSE)="","",VLOOKUP(A432,[4]PRIORIZADOS!$A:$D,4,FALSE)),"")</f>
        <v>PRIVADO</v>
      </c>
      <c r="E432" s="11" t="str">
        <f>IFERROR(IF(VLOOKUP(A432,[4]PRIORIZADOS!$A:$E,5,FALSE)="","",VLOOKUP(A432,[4]PRIORIZADOS!$A:$E,5,FALSE)),"")</f>
        <v>EPBM</v>
      </c>
      <c r="F432" s="11" t="str">
        <f>IFERROR(IF(VLOOKUP(A432,[4]PRIORIZADOS!$A:$F,6,FALSE)="","",VLOOKUP(A432,[4]PRIORIZADOS!$A:$F,6,FALSE)),"")</f>
        <v>LICEO_FRANCES_LOUIS_PASTEUR</v>
      </c>
      <c r="G432" s="11" t="str">
        <f>IFERROR(IF(VLOOKUP(A432,[4]PRIORIZADOS!$A:$G,7,FALSE)="","",VLOOKUP(A432,[4]PRIORIZADOS!$A:$G,7,FALSE)),"")</f>
        <v>LICEO FRANCES LOUIS PASTEUR</v>
      </c>
      <c r="H432" s="11" t="str">
        <f>IFERROR(IF(VLOOKUP(A432,[4]PRIORIZADOS!$A:$H,8,FALSE)="","",VLOOKUP(A432,[4]PRIORIZADOS!$A:$H,8,FALSE)),"")</f>
        <v>Convivencia escolar</v>
      </c>
      <c r="I432" s="11" t="str">
        <f>IFERROR(IF(VLOOKUP(A432,[4]PRIORIZADOS!$A:$I,9,FALSE)="","",VLOOKUP(A432,[4]PRIORIZADOS!$A:$I,9,FALSE)),"")</f>
        <v>EVALUACIÓN_CON_FINES_DE_MEJORAMIENTO.</v>
      </c>
      <c r="J432" s="11" t="str">
        <f>IFERROR(IF(VLOOKUP(A432,[4]PRIORIZADOS!$A:$J,10,FALSE)="","",VLOOKUP(A432,[4]PRIORIZADOS!$A:$J,10,FALSE)),"")</f>
        <v>Verificar el funcionamiento del Gobierno Escolar e instancias de participación con base en la información sobre conformación reportada por la institución educativa.</v>
      </c>
      <c r="K432" s="11" t="str">
        <f>IFERROR(IF(VLOOKUP(A432,[4]PRIORIZADOS!$A:$K,11,FALSE)="","",VLOOKUP(A432,[4]PRIORIZADOS!$A:$K,11,FALSE)),"")</f>
        <v xml:space="preserve">LAURA CRISTINA BECERRA CHAVES </v>
      </c>
      <c r="L432" s="11" t="str">
        <f>IFERROR(IF(VLOOKUP(A432,[4]PRIORIZADOS!$A:$L,12,FALSE)="","",VLOOKUP(A432,[4]PRIORIZADOS!$A:$L,12,FALSE)),"")</f>
        <v>SANTIAGO ÁVILA LEURO</v>
      </c>
      <c r="M432" s="71">
        <f>IFERROR(IF(VLOOKUP(A432,[4]PRIORIZADOS!$A:$M,13,FALSE)="","",VLOOKUP(A432,[4]PRIORIZADOS!$A:$M,13,FALSE)),"")</f>
        <v>45797</v>
      </c>
      <c r="N432" s="71">
        <f>IFERROR(IF(VLOOKUP(A432,[4]PRIORIZADOS!$A:$N,14,FALSE)="","",VLOOKUP(A432,[4]PRIORIZADOS!$A:$N,14,FALSE)),"")</f>
        <v>45797</v>
      </c>
      <c r="O432" s="71">
        <f>IFERROR(IF(VLOOKUP(A432,[4]PRIORIZADOS!$A:$O,15,FALSE)="","",VLOOKUP(A432,[4]PRIORIZADOS!$A:$O,15,FALSE)),"")</f>
        <v>45797</v>
      </c>
      <c r="P432" s="11" t="str">
        <f>IFERROR(IF(VLOOKUP(A432,[4]PRIORIZADOS!$A:$P,16,FALSE)="","",VLOOKUP(A432,[4]PRIORIZADOS!$A:$P,16,FALSE)),"")</f>
        <v>Visitas de evaluación con fines de mejoramiento</v>
      </c>
      <c r="Q432" s="107" t="s">
        <v>80</v>
      </c>
      <c r="R432" s="11" t="str">
        <f>IFERROR(IF(VLOOKUP(A432,[4]PRIORIZADOS!$A:$R,18,FALSE)="","",VLOOKUP(A432,[4]PRIORIZADOS!$A:$R,18,FALSE)),"")</f>
        <v>El Liceo cuenta con varios órganos de gobierno escolar en la regulación francesa se ha realizado un trabajo de revisión y homologación con los órganos e instancias de participación colombiana para el cumplimiento de la normatividad vigente, cuenta con actas de reunión y conformación de los mismos</v>
      </c>
      <c r="S432" s="11" t="str">
        <f>IFERROR(IF(VLOOKUP(A432,[4]PRIORIZADOS!$A:$S,19,FALSE)="","",VLOOKUP(A432,[4]PRIORIZADOS!$A:$S,19,FALSE)),"")</f>
        <v>Tener en cuenta las funciones de los órganos de gobierno escolar de acuerdo con lo establecido en el DURSE 1075 al momento de cada sesión, convalidando la viabilidad de homologar estas instancias</v>
      </c>
      <c r="T432" s="70" t="str">
        <f>IFERROR(IF(VLOOKUP(A432,[4]PRIORIZADOS!$A:$T,20,FALSE)="","",VLOOKUP(A432,[4]PRIORIZADOS!$A:$T,20,FALSE)),"")</f>
        <v>No</v>
      </c>
      <c r="U432" s="11" t="str">
        <f>IFERROR(IF(VLOOKUP(A432,[4]PRIORIZADOS!$A:$U,21,FALSE)="","",VLOOKUP(A432,[4]PRIORIZADOS!$A:$U,21,FALSE)),"")</f>
        <v>Verificar anualmente la conformación y funcionamiento de los órganos de gobierno escolar</v>
      </c>
    </row>
    <row r="433" spans="1:21" s="1" customFormat="1" ht="60">
      <c r="A433" s="69">
        <f>IF([4]PRIORIZADOS!A48="","",[4]PRIORIZADOS!A48)</f>
        <v>441</v>
      </c>
      <c r="B433" s="70">
        <v>7</v>
      </c>
      <c r="C433" s="11" t="str">
        <f>IFERROR(IF(VLOOKUP(A433,[4]PRIORIZADOS!$A:$C,3,FALSE)="","",VLOOKUP(A433,[4]PRIORIZADOS!$A:$C,3,FALSE)),"")</f>
        <v>CHAPINERO</v>
      </c>
      <c r="D433" s="11" t="str">
        <f>IFERROR(IF(VLOOKUP(A433,[4]PRIORIZADOS!$A:$D,4,FALSE)="","",VLOOKUP(A433,[4]PRIORIZADOS!$A:$D,4,FALSE)),"")</f>
        <v>PRIVADO</v>
      </c>
      <c r="E433" s="11" t="str">
        <f>IFERROR(IF(VLOOKUP(A433,[4]PRIORIZADOS!$A:$E,5,FALSE)="","",VLOOKUP(A433,[4]PRIORIZADOS!$A:$E,5,FALSE)),"")</f>
        <v>Educación Inicial</v>
      </c>
      <c r="F433" s="11" t="str">
        <f>IFERROR(IF(VLOOKUP(A433,[4]PRIORIZADOS!$A:$F,6,FALSE)="","",VLOOKUP(A433,[4]PRIORIZADOS!$A:$F,6,FALSE)),"")</f>
        <v>JARDIN_INFANTIL_TALLER_DE_ARTE_ARCO_IRIS</v>
      </c>
      <c r="G433" s="11" t="str">
        <f>IFERROR(IF(VLOOKUP(A433,[4]PRIORIZADOS!$A:$G,7,FALSE)="","",VLOOKUP(A433,[4]PRIORIZADOS!$A:$G,7,FALSE)),"")</f>
        <v>JARDIN INFANTIL TALLER DE ARTE ARCO IRIS</v>
      </c>
      <c r="H433" s="11" t="str">
        <f>IFERROR(IF(VLOOKUP(A433,[4]PRIORIZADOS!$A:$H,8,FALSE)="","",VLOOKUP(A433,[4]PRIORIZADOS!$A:$H,8,FALSE)),"")</f>
        <v>Autoevaluación Institucional y Pruebas SABER 11</v>
      </c>
      <c r="I433" s="11" t="str">
        <f>IFERROR(IF(VLOOKUP(A433,[4]PRIORIZADOS!$A:$I,9,FALSE)="","",VLOOKUP(A433,[4]PRIORIZADOS!$A:$I,9,FALSE)),"")</f>
        <v>SEGUIMIENTO_Y_SUPERVISIÓN.</v>
      </c>
      <c r="J433" s="11" t="str">
        <f>IFERROR(IF(VLOOKUP(A433,[4]PRIORIZADOS!$A:$J,10,FALSE)="","",VLOOKUP(A433,[4]PRIORIZADOS!$A:$J,10,FALSE)),"")</f>
        <v>Realizar visitas para verificar la información registrada sobre la autoevaluación institucional en el aplicativo EVI, a los establecimientos de educación formal no oficial.</v>
      </c>
      <c r="K433" s="11" t="str">
        <f>IFERROR(IF(VLOOKUP(A433,[4]PRIORIZADOS!$A:$K,11,FALSE)="","",VLOOKUP(A433,[4]PRIORIZADOS!$A:$K,11,FALSE)),"")</f>
        <v>JUAN MANUEL AGUIRRE BOHÓRQUEZ</v>
      </c>
      <c r="L433" s="11" t="str">
        <f>IFERROR(IF(VLOOKUP(A433,[4]PRIORIZADOS!$A:$L,12,FALSE)="","",VLOOKUP(A433,[4]PRIORIZADOS!$A:$L,12,FALSE)),"")</f>
        <v>SANTIAGO ÁVILA LEURO</v>
      </c>
      <c r="M433" s="71">
        <f>IFERROR(IF(VLOOKUP(A433,[4]PRIORIZADOS!$A:$M,13,FALSE)="","",VLOOKUP(A433,[4]PRIORIZADOS!$A:$M,13,FALSE)),"")</f>
        <v>45903</v>
      </c>
      <c r="N433" s="71">
        <f>IFERROR(IF(VLOOKUP(A433,[4]PRIORIZADOS!$A:$N,14,FALSE)="","",VLOOKUP(A433,[4]PRIORIZADOS!$A:$N,14,FALSE)),"")</f>
        <v>45905</v>
      </c>
      <c r="O433" s="71">
        <f>IFERROR(IF(VLOOKUP(A433,[4]PRIORIZADOS!$A:$O,15,FALSE)="","",VLOOKUP(A433,[4]PRIORIZADOS!$A:$O,15,FALSE)),"")</f>
        <v>45911</v>
      </c>
      <c r="P433" s="11" t="str">
        <f>IFERROR(IF(VLOOKUP(A433,[4]PRIORIZADOS!$A:$P,16,FALSE)="","",VLOOKUP(A433,[4]PRIORIZADOS!$A:$P,16,FALSE)),"")</f>
        <v>Visitas de evaluación con fines de mejoramiento</v>
      </c>
      <c r="Q433" s="5" t="s">
        <v>82</v>
      </c>
      <c r="R433" s="11" t="str">
        <f>IFERROR(IF(VLOOKUP(A433,[4]PRIORIZADOS!$A:$R,18,FALSE)="","",VLOOKUP(A433,[4]PRIORIZADOS!$A:$R,18,FALSE)),"")</f>
        <v xml:space="preserve">Se realiza  comparación en la visita contra la información registrada en el EVI  Las tarifas NO están publicadas y socializadas. Hay procedimientos claros para matrícula y registro en SIMAT. </v>
      </c>
      <c r="S433" s="11" t="str">
        <f>IFERROR(IF(VLOOKUP(A433,[4]PRIORIZADOS!$A:$S,19,FALSE)="","",VLOOKUP(A433,[4]PRIORIZADOS!$A:$S,19,FALSE)),"")</f>
        <v>Deberán publicar las tarifas  y socializarlas.</v>
      </c>
      <c r="T433" s="70" t="str">
        <f>IFERROR(IF(VLOOKUP(A433,[4]PRIORIZADOS!$A:$T,20,FALSE)="","",VLOOKUP(A433,[4]PRIORIZADOS!$A:$T,20,FALSE)),"")</f>
        <v>No</v>
      </c>
      <c r="U433" s="11" t="str">
        <f>IFERROR(IF(VLOOKUP(A433,[4]PRIORIZADOS!$A:$U,21,FALSE)="","",VLOOKUP(A433,[4]PRIORIZADOS!$A:$U,21,FALSE)),"")</f>
        <v xml:space="preserve">Verificar publicación visible de tarifas y cumplimiento del procedimiento de matrícula. </v>
      </c>
    </row>
    <row r="434" spans="1:21" s="1" customFormat="1" ht="72">
      <c r="A434" s="69">
        <f>IF([4]PRIORIZADOS!A49="","",[4]PRIORIZADOS!A49)</f>
        <v>442</v>
      </c>
      <c r="B434" s="70">
        <v>7</v>
      </c>
      <c r="C434" s="11" t="str">
        <f>IFERROR(IF(VLOOKUP(A434,[4]PRIORIZADOS!$A:$C,3,FALSE)="","",VLOOKUP(A434,[4]PRIORIZADOS!$A:$C,3,FALSE)),"")</f>
        <v>CHAPINERO</v>
      </c>
      <c r="D434" s="11" t="str">
        <f>IFERROR(IF(VLOOKUP(A434,[4]PRIORIZADOS!$A:$D,4,FALSE)="","",VLOOKUP(A434,[4]PRIORIZADOS!$A:$D,4,FALSE)),"")</f>
        <v>PRIVADO</v>
      </c>
      <c r="E434" s="11" t="str">
        <f>IFERROR(IF(VLOOKUP(A434,[4]PRIORIZADOS!$A:$E,5,FALSE)="","",VLOOKUP(A434,[4]PRIORIZADOS!$A:$E,5,FALSE)),"")</f>
        <v>Educación Inicial</v>
      </c>
      <c r="F434" s="11" t="str">
        <f>IFERROR(IF(VLOOKUP(A434,[4]PRIORIZADOS!$A:$F,6,FALSE)="","",VLOOKUP(A434,[4]PRIORIZADOS!$A:$F,6,FALSE)),"")</f>
        <v>JARDIN_INFANTIL_TALLER_DE_ARTE_ARCO_IRIS</v>
      </c>
      <c r="G434" s="11" t="str">
        <f>IFERROR(IF(VLOOKUP(A434,[4]PRIORIZADOS!$A:$G,7,FALSE)="","",VLOOKUP(A434,[4]PRIORIZADOS!$A:$G,7,FALSE)),"")</f>
        <v>JARDIN INFANTIL TALLER DE ARTE ARCO IRIS</v>
      </c>
      <c r="H434" s="11" t="str">
        <f>IFERROR(IF(VLOOKUP(A434,[4]PRIORIZADOS!$A:$H,8,FALSE)="","",VLOOKUP(A434,[4]PRIORIZADOS!$A:$H,8,FALSE)),"")</f>
        <v>Autoevaluación Institucional y Pruebas SABER 11</v>
      </c>
      <c r="I434" s="11" t="str">
        <f>IFERROR(IF(VLOOKUP(A434,[4]PRIORIZADOS!$A:$I,9,FALSE)="","",VLOOKUP(A434,[4]PRIORIZADOS!$A:$I,9,FALSE)),"")</f>
        <v>SEGUIMIENTO_Y_SUPERVISIÓN.</v>
      </c>
      <c r="J434" s="11" t="str">
        <f>IFERROR(IF(VLOOKUP(A434,[4]PRIORIZADOS!$A:$J,10,FALSE)="","",VLOOKUP(A434,[4]PRIORIZADOS!$A:$J,10,FALSE)),"")</f>
        <v xml:space="preserve">Verificar la implementación por parte de los colegios, de acciones realizadas para la prevención y atención de las situaciones de convivencia en el entorno escolar, según lo establecido en la Directiva 01 de 2022 del MEN. </v>
      </c>
      <c r="K434" s="11" t="str">
        <f>IFERROR(IF(VLOOKUP(A434,[4]PRIORIZADOS!$A:$K,11,FALSE)="","",VLOOKUP(A434,[4]PRIORIZADOS!$A:$K,11,FALSE)),"")</f>
        <v>JUAN MANUEL AGUIRRE BOHÓRQUEZ</v>
      </c>
      <c r="L434" s="11" t="str">
        <f>IFERROR(IF(VLOOKUP(A434,[4]PRIORIZADOS!$A:$L,12,FALSE)="","",VLOOKUP(A434,[4]PRIORIZADOS!$A:$L,12,FALSE)),"")</f>
        <v>SANTIAGO ÁVILA LEURO</v>
      </c>
      <c r="M434" s="71">
        <f>IFERROR(IF(VLOOKUP(A434,[4]PRIORIZADOS!$A:$M,13,FALSE)="","",VLOOKUP(A434,[4]PRIORIZADOS!$A:$M,13,FALSE)),"")</f>
        <v>45903</v>
      </c>
      <c r="N434" s="71">
        <f>IFERROR(IF(VLOOKUP(A434,[4]PRIORIZADOS!$A:$N,14,FALSE)="","",VLOOKUP(A434,[4]PRIORIZADOS!$A:$N,14,FALSE)),"")</f>
        <v>45905</v>
      </c>
      <c r="O434" s="71">
        <f>IFERROR(IF(VLOOKUP(A434,[4]PRIORIZADOS!$A:$O,15,FALSE)="","",VLOOKUP(A434,[4]PRIORIZADOS!$A:$O,15,FALSE)),"")</f>
        <v>45911</v>
      </c>
      <c r="P434" s="11" t="str">
        <f>IFERROR(IF(VLOOKUP(A434,[4]PRIORIZADOS!$A:$P,16,FALSE)="","",VLOOKUP(A434,[4]PRIORIZADOS!$A:$P,16,FALSE)),"")</f>
        <v>Visitas de evaluación con fines de mejoramiento</v>
      </c>
      <c r="Q434" s="5" t="s">
        <v>82</v>
      </c>
      <c r="R434" s="11" t="str">
        <f>IFERROR(IF(VLOOKUP(A434,[4]PRIORIZADOS!$A:$R,18,FALSE)="","",VLOOKUP(A434,[4]PRIORIZADOS!$A:$R,18,FALSE)),"")</f>
        <v>En el  jardín no se han generado este tipo de situaciones; sin embargo, implementan estrategias de prevención y promoción  con la  participación de los padres de familia y mediante una comunicación continua</v>
      </c>
      <c r="S434" s="11" t="str">
        <f>IFERROR(IF(VLOOKUP(A434,[4]PRIORIZADOS!$A:$S,19,FALSE)="","",VLOOKUP(A434,[4]PRIORIZADOS!$A:$S,19,FALSE)),"")</f>
        <v>Continuar con el desarrollo de estrategias de prevención y promoción con la participación de padres de familia y una comunicación continua</v>
      </c>
      <c r="T434" s="70" t="str">
        <f>IFERROR(IF(VLOOKUP(A434,[4]PRIORIZADOS!$A:$T,20,FALSE)="","",VLOOKUP(A434,[4]PRIORIZADOS!$A:$T,20,FALSE)),"")</f>
        <v>No</v>
      </c>
      <c r="U434" s="11" t="str">
        <f>IFERROR(IF(VLOOKUP(A434,[4]PRIORIZADOS!$A:$U,21,FALSE)="","",VLOOKUP(A434,[4]PRIORIZADOS!$A:$U,21,FALSE)),"")</f>
        <v>Realizar revisión del manual de convivencia en su próxima actualización para verificar el fortalecimiento  acciones para la prevención y atención de las situaciones de convivencia en el entorno escolar</v>
      </c>
    </row>
    <row r="435" spans="1:21" s="1" customFormat="1" ht="96">
      <c r="A435" s="69">
        <f>IF([4]PRIORIZADOS!A50="","",[4]PRIORIZADOS!A50)</f>
        <v>443</v>
      </c>
      <c r="B435" s="70">
        <v>7</v>
      </c>
      <c r="C435" s="11" t="str">
        <f>IFERROR(IF(VLOOKUP(A435,[4]PRIORIZADOS!$A:$C,3,FALSE)="","",VLOOKUP(A435,[4]PRIORIZADOS!$A:$C,3,FALSE)),"")</f>
        <v>CHAPINERO</v>
      </c>
      <c r="D435" s="11" t="str">
        <f>IFERROR(IF(VLOOKUP(A435,[4]PRIORIZADOS!$A:$D,4,FALSE)="","",VLOOKUP(A435,[4]PRIORIZADOS!$A:$D,4,FALSE)),"")</f>
        <v>PRIVADO</v>
      </c>
      <c r="E435" s="11" t="str">
        <f>IFERROR(IF(VLOOKUP(A435,[4]PRIORIZADOS!$A:$E,5,FALSE)="","",VLOOKUP(A435,[4]PRIORIZADOS!$A:$E,5,FALSE)),"")</f>
        <v>Educación Inicial</v>
      </c>
      <c r="F435" s="11" t="str">
        <f>IFERROR(IF(VLOOKUP(A435,[4]PRIORIZADOS!$A:$F,6,FALSE)="","",VLOOKUP(A435,[4]PRIORIZADOS!$A:$F,6,FALSE)),"")</f>
        <v>JARDIN_INFANTIL_TALLER_DE_ARTE_ARCO_IRIS</v>
      </c>
      <c r="G435" s="11" t="str">
        <f>IFERROR(IF(VLOOKUP(A435,[4]PRIORIZADOS!$A:$G,7,FALSE)="","",VLOOKUP(A435,[4]PRIORIZADOS!$A:$G,7,FALSE)),"")</f>
        <v>JARDIN INFANTIL TALLER DE ARTE ARCO IRIS</v>
      </c>
      <c r="H435" s="11" t="str">
        <f>IFERROR(IF(VLOOKUP(A435,[4]PRIORIZADOS!$A:$H,8,FALSE)="","",VLOOKUP(A435,[4]PRIORIZADOS!$A:$H,8,FALSE)),"")</f>
        <v>Autoevaluación Institucional y Pruebas SABER 11</v>
      </c>
      <c r="I435" s="11" t="str">
        <f>IFERROR(IF(VLOOKUP(A435,[4]PRIORIZADOS!$A:$I,9,FALSE)="","",VLOOKUP(A435,[4]PRIORIZADOS!$A:$I,9,FALSE)),"")</f>
        <v>SEGUIMIENTO_Y_SUPERVISIÓN.</v>
      </c>
      <c r="J435" s="11" t="str">
        <f>IFERROR(IF(VLOOKUP(A435,[4]PRIORIZADOS!$A:$J,10,FALSE)="","",VLOOKUP(A435,[4]PRIORIZADOS!$A:$J,10,FALSE)),"")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35" s="11" t="str">
        <f>IFERROR(IF(VLOOKUP(A435,[4]PRIORIZADOS!$A:$K,11,FALSE)="","",VLOOKUP(A435,[4]PRIORIZADOS!$A:$K,11,FALSE)),"")</f>
        <v>JUAN MANUEL AGUIRRE BOHÓRQUEZ</v>
      </c>
      <c r="L435" s="11" t="str">
        <f>IFERROR(IF(VLOOKUP(A435,[4]PRIORIZADOS!$A:$L,12,FALSE)="","",VLOOKUP(A435,[4]PRIORIZADOS!$A:$L,12,FALSE)),"")</f>
        <v>SANTIAGO ÁVILA LEURO</v>
      </c>
      <c r="M435" s="71">
        <f>IFERROR(IF(VLOOKUP(A435,[4]PRIORIZADOS!$A:$M,13,FALSE)="","",VLOOKUP(A435,[4]PRIORIZADOS!$A:$M,13,FALSE)),"")</f>
        <v>45903</v>
      </c>
      <c r="N435" s="71">
        <f>IFERROR(IF(VLOOKUP(A435,[4]PRIORIZADOS!$A:$N,14,FALSE)="","",VLOOKUP(A435,[4]PRIORIZADOS!$A:$N,14,FALSE)),"")</f>
        <v>45905</v>
      </c>
      <c r="O435" s="71">
        <f>IFERROR(IF(VLOOKUP(A435,[4]PRIORIZADOS!$A:$O,15,FALSE)="","",VLOOKUP(A435,[4]PRIORIZADOS!$A:$O,15,FALSE)),"")</f>
        <v>45911</v>
      </c>
      <c r="P435" s="11" t="str">
        <f>IFERROR(IF(VLOOKUP(A435,[4]PRIORIZADOS!$A:$P,16,FALSE)="","",VLOOKUP(A435,[4]PRIORIZADOS!$A:$P,16,FALSE)),"")</f>
        <v>Visitas de evaluación con fines de mejoramiento</v>
      </c>
      <c r="Q435" s="5" t="s">
        <v>82</v>
      </c>
      <c r="R435" s="11" t="str">
        <f>IFERROR(IF(VLOOKUP(A435,[4]PRIORIZADOS!$A:$R,18,FALSE)="","",VLOOKUP(A435,[4]PRIORIZADOS!$A:$R,18,FALSE)),"")</f>
        <v xml:space="preserve">En la actualidad el jardín no tienen estudiantes con discapacidad, trastornos del aprendizaje, y talentos excepcionales. 
</v>
      </c>
      <c r="S435" s="11" t="str">
        <f>IFERROR(IF(VLOOKUP(A435,[4]PRIORIZADOS!$A:$S,19,FALSE)="","",VLOOKUP(A435,[4]PRIORIZADOS!$A:$S,19,FALSE)),"")</f>
        <v xml:space="preserve">
En caso de llegar a tener población con discapacidad, trastornos del aprendizaje, y talentos excepcionales. Se deberá elaborar la actualización y desarrollo de los Planes Individuales de Ajustes Razonables -PIAR, en marco del Decreto 1421 de 2017
</v>
      </c>
      <c r="T435" s="70" t="str">
        <f>IFERROR(IF(VLOOKUP(A435,[4]PRIORIZADOS!$A:$T,20,FALSE)="","",VLOOKUP(A435,[4]PRIORIZADOS!$A:$T,20,FALSE)),"")</f>
        <v>No</v>
      </c>
      <c r="U435" s="11" t="str">
        <f>IFERROR(IF(VLOOKUP(A435,[4]PRIORIZADOS!$A:$U,21,FALSE)="","",VLOOKUP(A435,[4]PRIORIZADOS!$A:$U,21,FALSE)),"")</f>
        <v>Continuar atendiendo a los estudiantes de manera especial para su desarrollo normal en aula. fortaleciendo el desarrollo del lenguaje y el aprendizaje.</v>
      </c>
    </row>
    <row r="436" spans="1:21" s="1" customFormat="1" ht="84">
      <c r="A436" s="69">
        <f>IF([4]PRIORIZADOS!A51="","",[4]PRIORIZADOS!A51)</f>
        <v>444</v>
      </c>
      <c r="B436" s="70">
        <v>7</v>
      </c>
      <c r="C436" s="11" t="str">
        <f>IFERROR(IF(VLOOKUP(A436,[4]PRIORIZADOS!$A:$C,3,FALSE)="","",VLOOKUP(A436,[4]PRIORIZADOS!$A:$C,3,FALSE)),"")</f>
        <v>CHAPINERO</v>
      </c>
      <c r="D436" s="11" t="str">
        <f>IFERROR(IF(VLOOKUP(A436,[4]PRIORIZADOS!$A:$D,4,FALSE)="","",VLOOKUP(A436,[4]PRIORIZADOS!$A:$D,4,FALSE)),"")</f>
        <v>PRIVADO</v>
      </c>
      <c r="E436" s="11" t="str">
        <f>IFERROR(IF(VLOOKUP(A436,[4]PRIORIZADOS!$A:$E,5,FALSE)="","",VLOOKUP(A436,[4]PRIORIZADOS!$A:$E,5,FALSE)),"")</f>
        <v>Educación Inicial</v>
      </c>
      <c r="F436" s="11" t="str">
        <f>IFERROR(IF(VLOOKUP(A436,[4]PRIORIZADOS!$A:$F,6,FALSE)="","",VLOOKUP(A436,[4]PRIORIZADOS!$A:$F,6,FALSE)),"")</f>
        <v>JARDIN_INFANTIL_TALLER_DE_ARTE_ARCO_IRIS</v>
      </c>
      <c r="G436" s="11" t="str">
        <f>IFERROR(IF(VLOOKUP(A436,[4]PRIORIZADOS!$A:$G,7,FALSE)="","",VLOOKUP(A436,[4]PRIORIZADOS!$A:$G,7,FALSE)),"")</f>
        <v>JARDIN INFANTIL TALLER DE ARTE ARCO IRIS</v>
      </c>
      <c r="H436" s="11" t="str">
        <f>IFERROR(IF(VLOOKUP(A436,[4]PRIORIZADOS!$A:$H,8,FALSE)="","",VLOOKUP(A436,[4]PRIORIZADOS!$A:$H,8,FALSE)),"")</f>
        <v>Autoevaluación Institucional y Pruebas SABER 11</v>
      </c>
      <c r="I436" s="11" t="str">
        <f>IFERROR(IF(VLOOKUP(A436,[4]PRIORIZADOS!$A:$I,9,FALSE)="","",VLOOKUP(A436,[4]PRIORIZADOS!$A:$I,9,FALSE)),"")</f>
        <v>EVALUACIÓN_CON_FINES_DE_MEJORAMIENTO.</v>
      </c>
      <c r="J436" s="11" t="str">
        <f>IFERROR(IF(VLOOKUP(A436,[4]PRIORIZADOS!$A:$J,10,FALSE)="","",VLOOKUP(A436,[4]PRIORIZADOS!$A:$J,10,FALSE)),"")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36" s="11" t="str">
        <f>IFERROR(IF(VLOOKUP(A436,[4]PRIORIZADOS!$A:$K,11,FALSE)="","",VLOOKUP(A436,[4]PRIORIZADOS!$A:$K,11,FALSE)),"")</f>
        <v>JUAN MANUEL AGUIRRE BOHÓRQUEZ</v>
      </c>
      <c r="L436" s="11" t="str">
        <f>IFERROR(IF(VLOOKUP(A436,[4]PRIORIZADOS!$A:$L,12,FALSE)="","",VLOOKUP(A436,[4]PRIORIZADOS!$A:$L,12,FALSE)),"")</f>
        <v>SANTIAGO ÁVILA LEURO</v>
      </c>
      <c r="M436" s="71">
        <f>IFERROR(IF(VLOOKUP(A436,[4]PRIORIZADOS!$A:$M,13,FALSE)="","",VLOOKUP(A436,[4]PRIORIZADOS!$A:$M,13,FALSE)),"")</f>
        <v>45903</v>
      </c>
      <c r="N436" s="71">
        <f>IFERROR(IF(VLOOKUP(A436,[4]PRIORIZADOS!$A:$N,14,FALSE)="","",VLOOKUP(A436,[4]PRIORIZADOS!$A:$N,14,FALSE)),"")</f>
        <v>45905</v>
      </c>
      <c r="O436" s="71">
        <f>IFERROR(IF(VLOOKUP(A436,[4]PRIORIZADOS!$A:$O,15,FALSE)="","",VLOOKUP(A436,[4]PRIORIZADOS!$A:$O,15,FALSE)),"")</f>
        <v>45911</v>
      </c>
      <c r="P436" s="11" t="str">
        <f>IFERROR(IF(VLOOKUP(A436,[4]PRIORIZADOS!$A:$P,16,FALSE)="","",VLOOKUP(A436,[4]PRIORIZADOS!$A:$P,16,FALSE)),"")</f>
        <v>Visitas de evaluación con fines de mejoramiento</v>
      </c>
      <c r="Q436" s="5" t="s">
        <v>82</v>
      </c>
      <c r="R436" s="11" t="str">
        <f>IFERROR(IF(VLOOKUP(A436,[4]PRIORIZADOS!$A:$R,18,FALSE)="","",VLOOKUP(A436,[4]PRIORIZADOS!$A:$R,18,FALSE)),"")</f>
        <v xml:space="preserve">El manual de convivencia fue construido de forma participativa, </v>
      </c>
      <c r="S436" s="11" t="str">
        <f>IFERROR(IF(VLOOKUP(A436,[4]PRIORIZADOS!$A:$S,19,FALSE)="","",VLOOKUP(A436,[4]PRIORIZADOS!$A:$S,19,FALSE)),"")</f>
        <v>El jardín  se compromete a incluir enfoque restaurativo, y el debido proceso y mantener la actualización anual y garantizar la efectiva implementación del plan de convivencia,</v>
      </c>
      <c r="T436" s="70" t="str">
        <f>IFERROR(IF(VLOOKUP(A436,[4]PRIORIZADOS!$A:$T,20,FALSE)="","",VLOOKUP(A436,[4]PRIORIZADOS!$A:$T,20,FALSE)),"")</f>
        <v>Si</v>
      </c>
      <c r="U436" s="11" t="str">
        <f>IFERROR(IF(VLOOKUP(A436,[4]PRIORIZADOS!$A:$U,21,FALSE)="","",VLOOKUP(A436,[4]PRIORIZADOS!$A:$U,21,FALSE)),"")</f>
        <v>Revisar y ajustar el manual para incluir  el enfoque restaurativo. y el debido proceso . A mas tardar el día 13 de octubre de 2025</v>
      </c>
    </row>
    <row r="437" spans="1:21" s="1" customFormat="1" ht="72">
      <c r="A437" s="69">
        <f>IF([4]PRIORIZADOS!A52="","",[4]PRIORIZADOS!A52)</f>
        <v>445</v>
      </c>
      <c r="B437" s="70">
        <v>7</v>
      </c>
      <c r="C437" s="11" t="str">
        <f>IFERROR(IF(VLOOKUP(A437,[4]PRIORIZADOS!$A:$C,3,FALSE)="","",VLOOKUP(A437,[4]PRIORIZADOS!$A:$C,3,FALSE)),"")</f>
        <v>CHAPINERO</v>
      </c>
      <c r="D437" s="11" t="str">
        <f>IFERROR(IF(VLOOKUP(A437,[4]PRIORIZADOS!$A:$D,4,FALSE)="","",VLOOKUP(A437,[4]PRIORIZADOS!$A:$D,4,FALSE)),"")</f>
        <v>PRIVADO</v>
      </c>
      <c r="E437" s="11" t="str">
        <f>IFERROR(IF(VLOOKUP(A437,[4]PRIORIZADOS!$A:$E,5,FALSE)="","",VLOOKUP(A437,[4]PRIORIZADOS!$A:$E,5,FALSE)),"")</f>
        <v>Educación Inicial</v>
      </c>
      <c r="F437" s="11" t="str">
        <f>IFERROR(IF(VLOOKUP(A437,[4]PRIORIZADOS!$A:$F,6,FALSE)="","",VLOOKUP(A437,[4]PRIORIZADOS!$A:$F,6,FALSE)),"")</f>
        <v>JARDIN_INFANTIL_TALLER_DE_ARTE_ARCO_IRIS</v>
      </c>
      <c r="G437" s="11" t="str">
        <f>IFERROR(IF(VLOOKUP(A437,[4]PRIORIZADOS!$A:$G,7,FALSE)="","",VLOOKUP(A437,[4]PRIORIZADOS!$A:$G,7,FALSE)),"")</f>
        <v>JARDIN INFANTIL TALLER DE ARTE ARCO IRIS</v>
      </c>
      <c r="H437" s="11" t="str">
        <f>IFERROR(IF(VLOOKUP(A437,[4]PRIORIZADOS!$A:$H,8,FALSE)="","",VLOOKUP(A437,[4]PRIORIZADOS!$A:$H,8,FALSE)),"")</f>
        <v>Autoevaluación Institucional y Pruebas SABER 11</v>
      </c>
      <c r="I437" s="11" t="str">
        <f>IFERROR(IF(VLOOKUP(A437,[4]PRIORIZADOS!$A:$I,9,FALSE)="","",VLOOKUP(A437,[4]PRIORIZADOS!$A:$I,9,FALSE)),"")</f>
        <v>EVALUACIÓN_CON_FINES_DE_MEJORAMIENTO.</v>
      </c>
      <c r="J437" s="11" t="str">
        <f>IFERROR(IF(VLOOKUP(A437,[4]PRIORIZADOS!$A:$J,10,FALSE)="","",VLOOKUP(A437,[4]PRIORIZADOS!$A:$J,10,FALSE)),"")</f>
        <v>Revisar la actualización, socialización e implementación del Sistema Institucional de Evaluación de Estudiantes - SIEE, en articulación con la actualización del PEI y la normatividad vigente.</v>
      </c>
      <c r="K437" s="11" t="str">
        <f>IFERROR(IF(VLOOKUP(A437,[4]PRIORIZADOS!$A:$K,11,FALSE)="","",VLOOKUP(A437,[4]PRIORIZADOS!$A:$K,11,FALSE)),"")</f>
        <v>JUAN MANUEL AGUIRRE BOHÓRQUEZ</v>
      </c>
      <c r="L437" s="11" t="str">
        <f>IFERROR(IF(VLOOKUP(A437,[4]PRIORIZADOS!$A:$L,12,FALSE)="","",VLOOKUP(A437,[4]PRIORIZADOS!$A:$L,12,FALSE)),"")</f>
        <v>SANTIAGO ÁVILA LEURO</v>
      </c>
      <c r="M437" s="71">
        <f>IFERROR(IF(VLOOKUP(A437,[4]PRIORIZADOS!$A:$M,13,FALSE)="","",VLOOKUP(A437,[4]PRIORIZADOS!$A:$M,13,FALSE)),"")</f>
        <v>45903</v>
      </c>
      <c r="N437" s="71">
        <f>IFERROR(IF(VLOOKUP(A437,[4]PRIORIZADOS!$A:$N,14,FALSE)="","",VLOOKUP(A437,[4]PRIORIZADOS!$A:$N,14,FALSE)),"")</f>
        <v>45905</v>
      </c>
      <c r="O437" s="71">
        <f>IFERROR(IF(VLOOKUP(A437,[4]PRIORIZADOS!$A:$O,15,FALSE)="","",VLOOKUP(A437,[4]PRIORIZADOS!$A:$O,15,FALSE)),"")</f>
        <v>45911</v>
      </c>
      <c r="P437" s="11" t="str">
        <f>IFERROR(IF(VLOOKUP(A437,[4]PRIORIZADOS!$A:$P,16,FALSE)="","",VLOOKUP(A437,[4]PRIORIZADOS!$A:$P,16,FALSE)),"")</f>
        <v>Visitas de evaluación con fines de mejoramiento</v>
      </c>
      <c r="Q437" s="5" t="s">
        <v>82</v>
      </c>
      <c r="R437" s="11" t="str">
        <f>IFERROR(IF(VLOOKUP(A437,[4]PRIORIZADOS!$A:$R,18,FALSE)="","",VLOOKUP(A437,[4]PRIORIZADOS!$A:$R,18,FALSE)),"")</f>
        <v>Documento actualizado y socializado, se encuentra articulado con el PEI en sus diferentes dimensiones, cuentan con estrategias de neurodesarrollo y crecimiento de los estudiantes de manera integra</v>
      </c>
      <c r="S437" s="11" t="str">
        <f>IFERROR(IF(VLOOKUP(A437,[4]PRIORIZADOS!$A:$S,19,FALSE)="","",VLOOKUP(A437,[4]PRIORIZADOS!$A:$S,19,FALSE)),"")</f>
        <v xml:space="preserve">Socializar cada año con la comunidad educativa el SIEE y el PEI al inicio del año escolar </v>
      </c>
      <c r="T437" s="70" t="str">
        <f>IFERROR(IF(VLOOKUP(A437,[4]PRIORIZADOS!$A:$T,20,FALSE)="","",VLOOKUP(A437,[4]PRIORIZADOS!$A:$T,20,FALSE)),"")</f>
        <v>No</v>
      </c>
      <c r="U437" s="11" t="str">
        <f>IFERROR(IF(VLOOKUP(A437,[4]PRIORIZADOS!$A:$U,21,FALSE)="","",VLOOKUP(A437,[4]PRIORIZADOS!$A:$U,21,FALSE)),"")</f>
        <v>En el siguiente año lectivo verificar en el documento que se entrega a la comunidad educativa que contemple la información requerida</v>
      </c>
    </row>
    <row r="438" spans="1:21" s="1" customFormat="1" ht="48">
      <c r="A438" s="69">
        <f>IF([4]PRIORIZADOS!A53="","",[4]PRIORIZADOS!A53)</f>
        <v>446</v>
      </c>
      <c r="B438" s="70">
        <v>7</v>
      </c>
      <c r="C438" s="11" t="str">
        <f>IFERROR(IF(VLOOKUP(A438,[4]PRIORIZADOS!$A:$C,3,FALSE)="","",VLOOKUP(A438,[4]PRIORIZADOS!$A:$C,3,FALSE)),"")</f>
        <v>CHAPINERO</v>
      </c>
      <c r="D438" s="11" t="str">
        <f>IFERROR(IF(VLOOKUP(A438,[4]PRIORIZADOS!$A:$D,4,FALSE)="","",VLOOKUP(A438,[4]PRIORIZADOS!$A:$D,4,FALSE)),"")</f>
        <v>PRIVADO</v>
      </c>
      <c r="E438" s="11" t="str">
        <f>IFERROR(IF(VLOOKUP(A438,[4]PRIORIZADOS!$A:$E,5,FALSE)="","",VLOOKUP(A438,[4]PRIORIZADOS!$A:$E,5,FALSE)),"")</f>
        <v>Educación Inicial</v>
      </c>
      <c r="F438" s="11" t="str">
        <f>IFERROR(IF(VLOOKUP(A438,[4]PRIORIZADOS!$A:$F,6,FALSE)="","",VLOOKUP(A438,[4]PRIORIZADOS!$A:$F,6,FALSE)),"")</f>
        <v>JARDIN_INFANTIL_TALLER_DE_ARTE_ARCO_IRIS</v>
      </c>
      <c r="G438" s="11" t="str">
        <f>IFERROR(IF(VLOOKUP(A438,[4]PRIORIZADOS!$A:$G,7,FALSE)="","",VLOOKUP(A438,[4]PRIORIZADOS!$A:$G,7,FALSE)),"")</f>
        <v>JARDIN INFANTIL TALLER DE ARTE ARCO IRIS</v>
      </c>
      <c r="H438" s="11" t="str">
        <f>IFERROR(IF(VLOOKUP(A438,[4]PRIORIZADOS!$A:$H,8,FALSE)="","",VLOOKUP(A438,[4]PRIORIZADOS!$A:$H,8,FALSE)),"")</f>
        <v>Autoevaluación Institucional y Pruebas SABER 11</v>
      </c>
      <c r="I438" s="11" t="str">
        <f>IFERROR(IF(VLOOKUP(A438,[4]PRIORIZADOS!$A:$I,9,FALSE)="","",VLOOKUP(A438,[4]PRIORIZADOS!$A:$I,9,FALSE)),"")</f>
        <v>EVALUACIÓN_CON_FINES_DE_MEJORAMIENTO.</v>
      </c>
      <c r="J438" s="11" t="str">
        <f>IFERROR(IF(VLOOKUP(A438,[4]PRIORIZADOS!$A:$J,10,FALSE)="","",VLOOKUP(A438,[4]PRIORIZADOS!$A:$J,10,FALSE)),"")</f>
        <v>Revisar el calendario escolar, jornada escolar, la intensidad horaria mínima anual en cada nivel y las modificaciones que se realicen al mismo, de acuerdo con lo previsto en la normatividad vigente.</v>
      </c>
      <c r="K438" s="11" t="str">
        <f>IFERROR(IF(VLOOKUP(A438,[4]PRIORIZADOS!$A:$K,11,FALSE)="","",VLOOKUP(A438,[4]PRIORIZADOS!$A:$K,11,FALSE)),"")</f>
        <v>JUAN MANUEL AGUIRRE BOHÓRQUEZ</v>
      </c>
      <c r="L438" s="11" t="str">
        <f>IFERROR(IF(VLOOKUP(A438,[4]PRIORIZADOS!$A:$L,12,FALSE)="","",VLOOKUP(A438,[4]PRIORIZADOS!$A:$L,12,FALSE)),"")</f>
        <v>SANTIAGO ÁVILA LEURO</v>
      </c>
      <c r="M438" s="71">
        <f>IFERROR(IF(VLOOKUP(A438,[4]PRIORIZADOS!$A:$M,13,FALSE)="","",VLOOKUP(A438,[4]PRIORIZADOS!$A:$M,13,FALSE)),"")</f>
        <v>45903</v>
      </c>
      <c r="N438" s="71">
        <f>IFERROR(IF(VLOOKUP(A438,[4]PRIORIZADOS!$A:$N,14,FALSE)="","",VLOOKUP(A438,[4]PRIORIZADOS!$A:$N,14,FALSE)),"")</f>
        <v>45905</v>
      </c>
      <c r="O438" s="71">
        <f>IFERROR(IF(VLOOKUP(A438,[4]PRIORIZADOS!$A:$O,15,FALSE)="","",VLOOKUP(A438,[4]PRIORIZADOS!$A:$O,15,FALSE)),"")</f>
        <v>45911</v>
      </c>
      <c r="P438" s="11" t="str">
        <f>IFERROR(IF(VLOOKUP(A438,[4]PRIORIZADOS!$A:$P,16,FALSE)="","",VLOOKUP(A438,[4]PRIORIZADOS!$A:$P,16,FALSE)),"")</f>
        <v>Visitas de evaluación con fines de mejoramiento</v>
      </c>
      <c r="Q438" s="5" t="s">
        <v>82</v>
      </c>
      <c r="R438" s="11" t="str">
        <f>IFERROR(IF(VLOOKUP(A438,[4]PRIORIZADOS!$A:$R,18,FALSE)="","",VLOOKUP(A438,[4]PRIORIZADOS!$A:$R,18,FALSE)),"")</f>
        <v>Resolución de calendario escolar con las horas y fecha reglamentarias conforme al calendario dispuesto por la  SED, cumple con la jornada escolar  en calendario B,</v>
      </c>
      <c r="S438" s="11" t="str">
        <f>IFERROR(IF(VLOOKUP(A438,[4]PRIORIZADOS!$A:$S,19,FALSE)="","",VLOOKUP(A438,[4]PRIORIZADOS!$A:$S,19,FALSE)),"")</f>
        <v>continuar con el cumplimiento de la ley y adopción de lo establecido por la  SED</v>
      </c>
      <c r="T438" s="70" t="str">
        <f>IFERROR(IF(VLOOKUP(A438,[4]PRIORIZADOS!$A:$T,20,FALSE)="","",VLOOKUP(A438,[4]PRIORIZADOS!$A:$T,20,FALSE)),"")</f>
        <v>No</v>
      </c>
      <c r="U438" s="11" t="str">
        <f>IFERROR(IF(VLOOKUP(A438,[4]PRIORIZADOS!$A:$U,21,FALSE)="","",VLOOKUP(A438,[4]PRIORIZADOS!$A:$U,21,FALSE)),"")</f>
        <v>Continuar con lo establecido por la SED para la elaboración y adopción del calendario escolar</v>
      </c>
    </row>
    <row r="439" spans="1:21" s="1" customFormat="1" ht="48">
      <c r="A439" s="69">
        <f>IF([4]PRIORIZADOS!A54="","",[4]PRIORIZADOS!A54)</f>
        <v>447</v>
      </c>
      <c r="B439" s="70">
        <v>7</v>
      </c>
      <c r="C439" s="11" t="str">
        <f>IFERROR(IF(VLOOKUP(A439,[4]PRIORIZADOS!$A:$C,3,FALSE)="","",VLOOKUP(A439,[4]PRIORIZADOS!$A:$C,3,FALSE)),"")</f>
        <v>CHAPINERO</v>
      </c>
      <c r="D439" s="11" t="str">
        <f>IFERROR(IF(VLOOKUP(A439,[4]PRIORIZADOS!$A:$D,4,FALSE)="","",VLOOKUP(A439,[4]PRIORIZADOS!$A:$D,4,FALSE)),"")</f>
        <v>PRIVADO</v>
      </c>
      <c r="E439" s="11" t="str">
        <f>IFERROR(IF(VLOOKUP(A439,[4]PRIORIZADOS!$A:$E,5,FALSE)="","",VLOOKUP(A439,[4]PRIORIZADOS!$A:$E,5,FALSE)),"")</f>
        <v>Educación Inicial</v>
      </c>
      <c r="F439" s="11" t="str">
        <f>IFERROR(IF(VLOOKUP(A439,[4]PRIORIZADOS!$A:$F,6,FALSE)="","",VLOOKUP(A439,[4]PRIORIZADOS!$A:$F,6,FALSE)),"")</f>
        <v>JARDIN_INFANTIL_TALLER_DE_ARTE_ARCO_IRIS</v>
      </c>
      <c r="G439" s="11" t="str">
        <f>IFERROR(IF(VLOOKUP(A439,[4]PRIORIZADOS!$A:$G,7,FALSE)="","",VLOOKUP(A439,[4]PRIORIZADOS!$A:$G,7,FALSE)),"")</f>
        <v>JARDIN INFANTIL TALLER DE ARTE ARCO IRIS</v>
      </c>
      <c r="H439" s="11" t="str">
        <f>IFERROR(IF(VLOOKUP(A439,[4]PRIORIZADOS!$A:$H,8,FALSE)="","",VLOOKUP(A439,[4]PRIORIZADOS!$A:$H,8,FALSE)),"")</f>
        <v>Autoevaluación Institucional y Pruebas SABER 11</v>
      </c>
      <c r="I439" s="11" t="str">
        <f>IFERROR(IF(VLOOKUP(A439,[4]PRIORIZADOS!$A:$I,9,FALSE)="","",VLOOKUP(A439,[4]PRIORIZADOS!$A:$I,9,FALSE)),"")</f>
        <v>EVALUACIÓN_CON_FINES_DE_MEJORAMIENTO.</v>
      </c>
      <c r="J439" s="11" t="str">
        <f>IFERROR(IF(VLOOKUP(A439,[4]PRIORIZADOS!$A:$J,10,FALSE)="","",VLOOKUP(A439,[4]PRIORIZADOS!$A:$J,10,FALSE)),"")</f>
        <v>Verificar el funcionamiento del Gobierno Escolar e instancias de participación con base en la información sobre conformación reportada por la institución educativa.</v>
      </c>
      <c r="K439" s="11" t="str">
        <f>IFERROR(IF(VLOOKUP(A439,[4]PRIORIZADOS!$A:$K,11,FALSE)="","",VLOOKUP(A439,[4]PRIORIZADOS!$A:$K,11,FALSE)),"")</f>
        <v>JUAN MANUEL AGUIRRE BOHÓRQUEZ</v>
      </c>
      <c r="L439" s="11" t="str">
        <f>IFERROR(IF(VLOOKUP(A439,[4]PRIORIZADOS!$A:$L,12,FALSE)="","",VLOOKUP(A439,[4]PRIORIZADOS!$A:$L,12,FALSE)),"")</f>
        <v>SANTIAGO ÁVILA LEURO</v>
      </c>
      <c r="M439" s="71">
        <f>IFERROR(IF(VLOOKUP(A439,[4]PRIORIZADOS!$A:$M,13,FALSE)="","",VLOOKUP(A439,[4]PRIORIZADOS!$A:$M,13,FALSE)),"")</f>
        <v>45903</v>
      </c>
      <c r="N439" s="71">
        <f>IFERROR(IF(VLOOKUP(A439,[4]PRIORIZADOS!$A:$N,14,FALSE)="","",VLOOKUP(A439,[4]PRIORIZADOS!$A:$N,14,FALSE)),"")</f>
        <v>45905</v>
      </c>
      <c r="O439" s="71">
        <f>IFERROR(IF(VLOOKUP(A439,[4]PRIORIZADOS!$A:$O,15,FALSE)="","",VLOOKUP(A439,[4]PRIORIZADOS!$A:$O,15,FALSE)),"")</f>
        <v>45911</v>
      </c>
      <c r="P439" s="11" t="str">
        <f>IFERROR(IF(VLOOKUP(A439,[4]PRIORIZADOS!$A:$P,16,FALSE)="","",VLOOKUP(A439,[4]PRIORIZADOS!$A:$P,16,FALSE)),"")</f>
        <v>Visitas de evaluación con fines de mejoramiento</v>
      </c>
      <c r="Q439" s="5" t="s">
        <v>82</v>
      </c>
      <c r="R439" s="11" t="str">
        <f>IFERROR(IF(VLOOKUP(A439,[4]PRIORIZADOS!$A:$R,18,FALSE)="","",VLOOKUP(A439,[4]PRIORIZADOS!$A:$R,18,FALSE)),"")</f>
        <v xml:space="preserve">El Consejo Directivo y Académico están conformados según norma,  Las instancias de participación están constituidas </v>
      </c>
      <c r="S439" s="11" t="str">
        <f>IFERROR(IF(VLOOKUP(A439,[4]PRIORIZADOS!$A:$S,19,FALSE)="","",VLOOKUP(A439,[4]PRIORIZADOS!$A:$S,19,FALSE)),"")</f>
        <v xml:space="preserve">Actualizar los formatos de actas  todas las actas deberán estar debidamente identificadas , numeradas y firmadas,  </v>
      </c>
      <c r="T439" s="70" t="str">
        <f>IFERROR(IF(VLOOKUP(A439,[4]PRIORIZADOS!$A:$T,20,FALSE)="","",VLOOKUP(A439,[4]PRIORIZADOS!$A:$T,20,FALSE)),"")</f>
        <v>No</v>
      </c>
      <c r="U439" s="11" t="str">
        <f>IFERROR(IF(VLOOKUP(A439,[4]PRIORIZADOS!$A:$U,21,FALSE)="","",VLOOKUP(A439,[4]PRIORIZADOS!$A:$U,21,FALSE)),"")</f>
        <v>Verificar que actas de sesión de los órganos de gobierno escolar estén debidamente diligenciadas y firmadas</v>
      </c>
    </row>
    <row r="440" spans="1:21" s="1" customFormat="1" ht="48">
      <c r="A440" s="69">
        <f>IF([4]PRIORIZADOS!A55="","",[4]PRIORIZADOS!A55)</f>
        <v>448</v>
      </c>
      <c r="B440" s="70">
        <v>7</v>
      </c>
      <c r="C440" s="11" t="str">
        <f>IFERROR(IF(VLOOKUP(A440,[4]PRIORIZADOS!$A:$C,3,FALSE)="","",VLOOKUP(A440,[4]PRIORIZADOS!$A:$C,3,FALSE)),"")</f>
        <v>CHAPINERO</v>
      </c>
      <c r="D440" s="11" t="str">
        <f>IFERROR(IF(VLOOKUP(A440,[4]PRIORIZADOS!$A:$D,4,FALSE)="","",VLOOKUP(A440,[4]PRIORIZADOS!$A:$D,4,FALSE)),"")</f>
        <v>PRIVADO</v>
      </c>
      <c r="E440" s="11" t="str">
        <f>IFERROR(IF(VLOOKUP(A440,[4]PRIORIZADOS!$A:$E,5,FALSE)="","",VLOOKUP(A440,[4]PRIORIZADOS!$A:$E,5,FALSE)),"")</f>
        <v>Educación Inicial</v>
      </c>
      <c r="F440" s="11" t="str">
        <f>IFERROR(IF(VLOOKUP(A440,[4]PRIORIZADOS!$A:$F,6,FALSE)="","",VLOOKUP(A440,[4]PRIORIZADOS!$A:$F,6,FALSE)),"")</f>
        <v>JARDIN_INFANTIL_TALLER_DE_ARTE_ARCO_IRIS</v>
      </c>
      <c r="G440" s="11" t="str">
        <f>IFERROR(IF(VLOOKUP(A440,[4]PRIORIZADOS!$A:$G,7,FALSE)="","",VLOOKUP(A440,[4]PRIORIZADOS!$A:$G,7,FALSE)),"")</f>
        <v>JARDIN INFANTIL TALLER DE ARTE ARCO IRIS</v>
      </c>
      <c r="H440" s="11" t="str">
        <f>IFERROR(IF(VLOOKUP(A440,[4]PRIORIZADOS!$A:$H,8,FALSE)="","",VLOOKUP(A440,[4]PRIORIZADOS!$A:$H,8,FALSE)),"")</f>
        <v>Autoevaluación Institucional y Pruebas SABER 11</v>
      </c>
      <c r="I440" s="11" t="str">
        <f>IFERROR(IF(VLOOKUP(A440,[4]PRIORIZADOS!$A:$I,9,FALSE)="","",VLOOKUP(A440,[4]PRIORIZADOS!$A:$I,9,FALSE)),"")</f>
        <v>EVALUACIÓN_CON_FINES_DE_MEJORAMIENTO.</v>
      </c>
      <c r="J440" s="11" t="str">
        <f>IFERROR(IF(VLOOKUP(A440,[4]PRIORIZADOS!$A:$J,10,FALSE)="","",VLOOKUP(A440,[4]PRIORIZADOS!$A:$J,10,FALSE)),"")</f>
        <v>Verificar las condiciones en cuanto a: la estructura administrativa, condiciones de la planta física y medios educativos adecuados.</v>
      </c>
      <c r="K440" s="11" t="str">
        <f>IFERROR(IF(VLOOKUP(A440,[4]PRIORIZADOS!$A:$K,11,FALSE)="","",VLOOKUP(A440,[4]PRIORIZADOS!$A:$K,11,FALSE)),"")</f>
        <v>JUAN MANUEL AGUIRRE BOHÓRQUEZ</v>
      </c>
      <c r="L440" s="11" t="str">
        <f>IFERROR(IF(VLOOKUP(A440,[4]PRIORIZADOS!$A:$L,12,FALSE)="","",VLOOKUP(A440,[4]PRIORIZADOS!$A:$L,12,FALSE)),"")</f>
        <v>SANTIAGO ÁVILA LEURO</v>
      </c>
      <c r="M440" s="71">
        <f>IFERROR(IF(VLOOKUP(A440,[4]PRIORIZADOS!$A:$M,13,FALSE)="","",VLOOKUP(A440,[4]PRIORIZADOS!$A:$M,13,FALSE)),"")</f>
        <v>45903</v>
      </c>
      <c r="N440" s="71">
        <f>IFERROR(IF(VLOOKUP(A440,[4]PRIORIZADOS!$A:$N,14,FALSE)="","",VLOOKUP(A440,[4]PRIORIZADOS!$A:$N,14,FALSE)),"")</f>
        <v>45905</v>
      </c>
      <c r="O440" s="71">
        <f>IFERROR(IF(VLOOKUP(A440,[4]PRIORIZADOS!$A:$O,15,FALSE)="","",VLOOKUP(A440,[4]PRIORIZADOS!$A:$O,15,FALSE)),"")</f>
        <v>45911</v>
      </c>
      <c r="P440" s="11" t="str">
        <f>IFERROR(IF(VLOOKUP(A440,[4]PRIORIZADOS!$A:$P,16,FALSE)="","",VLOOKUP(A440,[4]PRIORIZADOS!$A:$P,16,FALSE)),"")</f>
        <v>Visitas de evaluación con fines de mejoramiento</v>
      </c>
      <c r="Q440" s="5" t="s">
        <v>82</v>
      </c>
      <c r="R440" s="11" t="str">
        <f>IFERROR(IF(VLOOKUP(A440,[4]PRIORIZADOS!$A:$R,18,FALSE)="","",VLOOKUP(A440,[4]PRIORIZADOS!$A:$R,18,FALSE)),"")</f>
        <v xml:space="preserve">Se verificó que la institución cuenta con una estructura administrativa definida y espacios físicos adecuados y excelente estado para el desarrollo pedagógico </v>
      </c>
      <c r="S440" s="11" t="str">
        <f>IFERROR(IF(VLOOKUP(A440,[4]PRIORIZADOS!$A:$S,19,FALSE)="","",VLOOKUP(A440,[4]PRIORIZADOS!$A:$S,19,FALSE)),"")</f>
        <v>Continuar con la excelente conservación de la planta física y la prestación del servicio educativo en buenas condiciones</v>
      </c>
      <c r="T440" s="70" t="str">
        <f>IFERROR(IF(VLOOKUP(A440,[4]PRIORIZADOS!$A:$T,20,FALSE)="","",VLOOKUP(A440,[4]PRIORIZADOS!$A:$T,20,FALSE)),"")</f>
        <v>No</v>
      </c>
      <c r="U440" s="11" t="str">
        <f>IFERROR(IF(VLOOKUP(A440,[4]PRIORIZADOS!$A:$U,21,FALSE)="","",VLOOKUP(A440,[4]PRIORIZADOS!$A:$U,21,FALSE)),"")</f>
        <v>Verificación de continuidad de las condiciones de infraestructura cuando se requiera</v>
      </c>
    </row>
    <row r="441" spans="1:21" s="1" customFormat="1" ht="84">
      <c r="A441" s="69">
        <f>IF([4]PRIORIZADOS!A56="","",[4]PRIORIZADOS!A56)</f>
        <v>449</v>
      </c>
      <c r="B441" s="70">
        <v>8</v>
      </c>
      <c r="C441" s="11" t="str">
        <f>IFERROR(IF(VLOOKUP(A441,[4]PRIORIZADOS!$A:$C,3,FALSE)="","",VLOOKUP(A441,[4]PRIORIZADOS!$A:$C,3,FALSE)),"")</f>
        <v>CHAPINERO</v>
      </c>
      <c r="D441" s="11" t="str">
        <f>IFERROR(IF(VLOOKUP(A441,[4]PRIORIZADOS!$A:$D,4,FALSE)="","",VLOOKUP(A441,[4]PRIORIZADOS!$A:$D,4,FALSE)),"")</f>
        <v>PRIVADO</v>
      </c>
      <c r="E441" s="11" t="str">
        <f>IFERROR(IF(VLOOKUP(A441,[4]PRIORIZADOS!$A:$E,5,FALSE)="","",VLOOKUP(A441,[4]PRIORIZADOS!$A:$E,5,FALSE)),"")</f>
        <v>Educación de Jóvenes y Adultos</v>
      </c>
      <c r="F441" s="11" t="str">
        <f>IFERROR(IF(VLOOKUP(A441,[4]PRIORIZADOS!$A:$F,6,FALSE)="","",VLOOKUP(A441,[4]PRIORIZADOS!$A:$F,6,FALSE)),"")</f>
        <v>COLEGIO_KUEPA</v>
      </c>
      <c r="G441" s="11" t="str">
        <f>IFERROR(IF(VLOOKUP(A441,[4]PRIORIZADOS!$A:$G,7,FALSE)="","",VLOOKUP(A441,[4]PRIORIZADOS!$A:$G,7,FALSE)),"")</f>
        <v>COLEGIO KUEPA</v>
      </c>
      <c r="H441" s="11" t="str">
        <f>IFERROR(IF(VLOOKUP(A441,[4]PRIORIZADOS!$A:$H,8,FALSE)="","",VLOOKUP(A441,[4]PRIORIZADOS!$A:$H,8,FALSE)),"")</f>
        <v>Autoevaluación Institucional y Pruebas SABER 11</v>
      </c>
      <c r="I441" s="11" t="str">
        <f>IFERROR(IF(VLOOKUP(A441,[4]PRIORIZADOS!$A:$I,9,FALSE)="","",VLOOKUP(A441,[4]PRIORIZADOS!$A:$I,9,FALSE)),"")</f>
        <v>SEGUIMIENTO_Y_SUPERVISIÓN.</v>
      </c>
      <c r="J441" s="11" t="str">
        <f>IFERROR(IF(VLOOKUP(A441,[4]PRIORIZADOS!$A:$J,10,FALSE)="","",VLOOKUP(A441,[4]PRIORIZADOS!$A:$J,10,FALSE)),"")</f>
        <v>Realizar visitas para verificar la información registrada sobre la autoevaluación institucional en el aplicativo EVI, a los establecimientos de educación formal no oficial.</v>
      </c>
      <c r="K441" s="11" t="str">
        <f>IFERROR(IF(VLOOKUP(A441,[4]PRIORIZADOS!$A:$K,11,FALSE)="","",VLOOKUP(A441,[4]PRIORIZADOS!$A:$K,11,FALSE)),"")</f>
        <v>JUAN MANUEL AGUIRRE BOHÓRQUEZ</v>
      </c>
      <c r="L441" s="11" t="str">
        <f>IFERROR(IF(VLOOKUP(A441,[4]PRIORIZADOS!$A:$L,12,FALSE)="","",VLOOKUP(A441,[4]PRIORIZADOS!$A:$L,12,FALSE)),"")</f>
        <v>SANTIAGO ÁVILA LEURO</v>
      </c>
      <c r="M441" s="71">
        <f>IFERROR(IF(VLOOKUP(A441,[4]PRIORIZADOS!$A:$M,13,FALSE)="","",VLOOKUP(A441,[4]PRIORIZADOS!$A:$M,13,FALSE)),"")</f>
        <v>45758</v>
      </c>
      <c r="N441" s="71">
        <f>IFERROR(IF(VLOOKUP(A441,[4]PRIORIZADOS!$A:$N,14,FALSE)="","",VLOOKUP(A441,[4]PRIORIZADOS!$A:$N,14,FALSE)),"")</f>
        <v>45758</v>
      </c>
      <c r="O441" s="71">
        <f>IFERROR(IF(VLOOKUP(A441,[4]PRIORIZADOS!$A:$O,15,FALSE)="","",VLOOKUP(A441,[4]PRIORIZADOS!$A:$O,15,FALSE)),"")</f>
        <v>45758</v>
      </c>
      <c r="P441" s="11" t="str">
        <f>IFERROR(IF(VLOOKUP(A441,[4]PRIORIZADOS!$A:$P,16,FALSE)="","",VLOOKUP(A441,[4]PRIORIZADOS!$A:$P,16,FALSE)),"")</f>
        <v>Visitas de evaluación con fines de seguimiento</v>
      </c>
      <c r="Q441" s="107" t="s">
        <v>83</v>
      </c>
      <c r="R441" s="11" t="str">
        <f>IFERROR(IF(VLOOKUP(A441,[4]PRIORIZADOS!$A:$R,18,FALSE)="","",VLOOKUP(A441,[4]PRIORIZADOS!$A:$R,18,FALSE)),"")</f>
        <v>La información reportada en el EVI coincide con lo verificado durante la visita. La institución realizó la autoevaluación dentro de los tiempos establecidos.</v>
      </c>
      <c r="S441" s="11" t="str">
        <f>IFERROR(IF(VLOOKUP(A441,[4]PRIORIZADOS!$A:$S,19,FALSE)="","",VLOOKUP(A441,[4]PRIORIZADOS!$A:$S,19,FALSE)),"")</f>
        <v>La institución continuará actualizando y manteniendo la información en el aplicativo EVI de forma oportuna, así como reportando los costos educativos dentro de los plazos establecidos, conforme a los lineamientos de la Secretaría de Educación del Distrito.</v>
      </c>
      <c r="T441" s="70" t="str">
        <f>IFERROR(IF(VLOOKUP(A441,[4]PRIORIZADOS!$A:$T,20,FALSE)="","",VLOOKUP(A441,[4]PRIORIZADOS!$A:$T,20,FALSE)),"")</f>
        <v>No</v>
      </c>
      <c r="U441" s="11" t="str">
        <f>IFERROR(IF(VLOOKUP(A441,[4]PRIORIZADOS!$A:$U,21,FALSE)="","",VLOOKUP(A441,[4]PRIORIZADOS!$A:$U,21,FALSE)),"")</f>
        <v>Se realizará seguimiento y se verificará que la información reportada en el EV, así como las tarifas aprobadas por la SED, estén debidamente publicadas por la institución educativa en un lugar visible para la comunidad.</v>
      </c>
    </row>
    <row r="442" spans="1:21" s="1" customFormat="1" ht="72">
      <c r="A442" s="69">
        <f>IF([4]PRIORIZADOS!A57="","",[4]PRIORIZADOS!A57)</f>
        <v>450</v>
      </c>
      <c r="B442" s="70">
        <v>8</v>
      </c>
      <c r="C442" s="11" t="str">
        <f>IFERROR(IF(VLOOKUP(A442,[4]PRIORIZADOS!$A:$C,3,FALSE)="","",VLOOKUP(A442,[4]PRIORIZADOS!$A:$C,3,FALSE)),"")</f>
        <v>CHAPINERO</v>
      </c>
      <c r="D442" s="11" t="str">
        <f>IFERROR(IF(VLOOKUP(A442,[4]PRIORIZADOS!$A:$D,4,FALSE)="","",VLOOKUP(A442,[4]PRIORIZADOS!$A:$D,4,FALSE)),"")</f>
        <v>PRIVADO</v>
      </c>
      <c r="E442" s="11" t="str">
        <f>IFERROR(IF(VLOOKUP(A442,[4]PRIORIZADOS!$A:$E,5,FALSE)="","",VLOOKUP(A442,[4]PRIORIZADOS!$A:$E,5,FALSE)),"")</f>
        <v>Educación de Jóvenes y Adultos</v>
      </c>
      <c r="F442" s="11" t="str">
        <f>IFERROR(IF(VLOOKUP(A442,[4]PRIORIZADOS!$A:$F,6,FALSE)="","",VLOOKUP(A442,[4]PRIORIZADOS!$A:$F,6,FALSE)),"")</f>
        <v>COLEGIO_KUEPA</v>
      </c>
      <c r="G442" s="11" t="str">
        <f>IFERROR(IF(VLOOKUP(A442,[4]PRIORIZADOS!$A:$G,7,FALSE)="","",VLOOKUP(A442,[4]PRIORIZADOS!$A:$G,7,FALSE)),"")</f>
        <v>COLEGIO KUEPA</v>
      </c>
      <c r="H442" s="11" t="str">
        <f>IFERROR(IF(VLOOKUP(A442,[4]PRIORIZADOS!$A:$H,8,FALSE)="","",VLOOKUP(A442,[4]PRIORIZADOS!$A:$H,8,FALSE)),"")</f>
        <v>Autoevaluación Institucional y Pruebas SABER 11</v>
      </c>
      <c r="I442" s="11" t="str">
        <f>IFERROR(IF(VLOOKUP(A442,[4]PRIORIZADOS!$A:$I,9,FALSE)="","",VLOOKUP(A442,[4]PRIORIZADOS!$A:$I,9,FALSE)),"")</f>
        <v>SEGUIMIENTO_Y_SUPERVISIÓN.</v>
      </c>
      <c r="J442" s="11" t="str">
        <f>IFERROR(IF(VLOOKUP(A442,[4]PRIORIZADOS!$A:$J,10,FALSE)="","",VLOOKUP(A442,[4]PRIORIZADOS!$A:$J,10,FALSE)),"")</f>
        <v>Proponer estrategias en la formulación, verificar su elaboración y realizar seguimiento semestral al desarrollo de  las acciones establecidas en los planes de mejoramiento por pruebas SABER 11 de los establecimientos de educación formal.</v>
      </c>
      <c r="K442" s="11" t="str">
        <f>IFERROR(IF(VLOOKUP(A442,[4]PRIORIZADOS!$A:$K,11,FALSE)="","",VLOOKUP(A442,[4]PRIORIZADOS!$A:$K,11,FALSE)),"")</f>
        <v>JUAN MANUEL AGUIRRE BOHÓRQUEZ</v>
      </c>
      <c r="L442" s="11" t="str">
        <f>IFERROR(IF(VLOOKUP(A442,[4]PRIORIZADOS!$A:$L,12,FALSE)="","",VLOOKUP(A442,[4]PRIORIZADOS!$A:$L,12,FALSE)),"")</f>
        <v>SANTIAGO ÁVILA LEURO</v>
      </c>
      <c r="M442" s="71">
        <f>IFERROR(IF(VLOOKUP(A442,[4]PRIORIZADOS!$A:$M,13,FALSE)="","",VLOOKUP(A442,[4]PRIORIZADOS!$A:$M,13,FALSE)),"")</f>
        <v>45758</v>
      </c>
      <c r="N442" s="71">
        <f>IFERROR(IF(VLOOKUP(A442,[4]PRIORIZADOS!$A:$N,14,FALSE)="","",VLOOKUP(A442,[4]PRIORIZADOS!$A:$N,14,FALSE)),"")</f>
        <v>45758</v>
      </c>
      <c r="O442" s="71">
        <f>IFERROR(IF(VLOOKUP(A442,[4]PRIORIZADOS!$A:$O,15,FALSE)="","",VLOOKUP(A442,[4]PRIORIZADOS!$A:$O,15,FALSE)),"")</f>
        <v>45758</v>
      </c>
      <c r="P442" s="11" t="str">
        <f>IFERROR(IF(VLOOKUP(A442,[4]PRIORIZADOS!$A:$P,16,FALSE)="","",VLOOKUP(A442,[4]PRIORIZADOS!$A:$P,16,FALSE)),"")</f>
        <v>Visitas de evaluación con fines de seguimiento</v>
      </c>
      <c r="Q442" s="107" t="s">
        <v>83</v>
      </c>
      <c r="R442" s="11" t="str">
        <f>IFERROR(IF(VLOOKUP(A442,[4]PRIORIZADOS!$A:$R,18,FALSE)="","",VLOOKUP(A442,[4]PRIORIZADOS!$A:$R,18,FALSE)),"")</f>
        <v xml:space="preserve">En el colegio se llevan a cabo simulacros internos organizados por la institución en colaboración con Kuepa – (PMI).
</v>
      </c>
      <c r="S442" s="11" t="str">
        <f>IFERROR(IF(VLOOKUP(A442,[4]PRIORIZADOS!$A:$S,19,FALSE)="","",VLOOKUP(A442,[4]PRIORIZADOS!$A:$S,19,FALSE)),"")</f>
        <v>como estrategia y con base en los elementos evaluados durante dichos simulacros, se realizan capacitaciones dirigidas a áreas focalizadas, con el fin de fortalecer las competencias identificadas como prioritarias.</v>
      </c>
      <c r="T442" s="70" t="str">
        <f>IFERROR(IF(VLOOKUP(A442,[4]PRIORIZADOS!$A:$T,20,FALSE)="","",VLOOKUP(A442,[4]PRIORIZADOS!$A:$T,20,FALSE)),"")</f>
        <v>No</v>
      </c>
      <c r="U442" s="11" t="str">
        <f>IFERROR(IF(VLOOKUP(A442,[4]PRIORIZADOS!$A:$U,21,FALSE)="","",VLOOKUP(A442,[4]PRIORIZADOS!$A:$U,21,FALSE)),"")</f>
        <v>Se realizara seguimiento a los resultados de las pruebas 2025 con el fin de verificar la pertinencia de la estrategia determinada en la IE</v>
      </c>
    </row>
    <row r="443" spans="1:21" s="1" customFormat="1" ht="118.5">
      <c r="A443" s="69">
        <f>IF([4]PRIORIZADOS!A58="","",[4]PRIORIZADOS!A58)</f>
        <v>451</v>
      </c>
      <c r="B443" s="70">
        <v>8</v>
      </c>
      <c r="C443" s="11" t="str">
        <f>IFERROR(IF(VLOOKUP(A443,[4]PRIORIZADOS!$A:$C,3,FALSE)="","",VLOOKUP(A443,[4]PRIORIZADOS!$A:$C,3,FALSE)),"")</f>
        <v>CHAPINERO</v>
      </c>
      <c r="D443" s="11" t="str">
        <f>IFERROR(IF(VLOOKUP(A443,[4]PRIORIZADOS!$A:$D,4,FALSE)="","",VLOOKUP(A443,[4]PRIORIZADOS!$A:$D,4,FALSE)),"")</f>
        <v>PRIVADO</v>
      </c>
      <c r="E443" s="11" t="str">
        <f>IFERROR(IF(VLOOKUP(A443,[4]PRIORIZADOS!$A:$E,5,FALSE)="","",VLOOKUP(A443,[4]PRIORIZADOS!$A:$E,5,FALSE)),"")</f>
        <v>Educación de Jóvenes y Adultos</v>
      </c>
      <c r="F443" s="11" t="str">
        <f>IFERROR(IF(VLOOKUP(A443,[4]PRIORIZADOS!$A:$F,6,FALSE)="","",VLOOKUP(A443,[4]PRIORIZADOS!$A:$F,6,FALSE)),"")</f>
        <v>COLEGIO_KUEPA</v>
      </c>
      <c r="G443" s="11" t="str">
        <f>IFERROR(IF(VLOOKUP(A443,[4]PRIORIZADOS!$A:$G,7,FALSE)="","",VLOOKUP(A443,[4]PRIORIZADOS!$A:$G,7,FALSE)),"")</f>
        <v>COLEGIO KUEPA</v>
      </c>
      <c r="H443" s="11" t="str">
        <f>IFERROR(IF(VLOOKUP(A443,[4]PRIORIZADOS!$A:$H,8,FALSE)="","",VLOOKUP(A443,[4]PRIORIZADOS!$A:$H,8,FALSE)),"")</f>
        <v>Autoevaluación Institucional y Pruebas SABER 11</v>
      </c>
      <c r="I443" s="11" t="str">
        <f>IFERROR(IF(VLOOKUP(A443,[4]PRIORIZADOS!$A:$I,9,FALSE)="","",VLOOKUP(A443,[4]PRIORIZADOS!$A:$I,9,FALSE)),"")</f>
        <v>SEGUIMIENTO_Y_SUPERVISIÓN.</v>
      </c>
      <c r="J443" s="11" t="str">
        <f>IFERROR(IF(VLOOKUP(A443,[4]PRIORIZADOS!$A:$J,10,FALSE)="","",VLOOKUP(A443,[4]PRIORIZADOS!$A:$J,10,FALSE)),"")</f>
        <v xml:space="preserve">Verificar la implementación por parte de los colegios, de acciones realizadas para la prevención y atención de las situaciones de convivencia en el entorno escolar, según lo establecido en la Directiva 01 de 2022 del MEN. </v>
      </c>
      <c r="K443" s="11" t="str">
        <f>IFERROR(IF(VLOOKUP(A443,[4]PRIORIZADOS!$A:$K,11,FALSE)="","",VLOOKUP(A443,[4]PRIORIZADOS!$A:$K,11,FALSE)),"")</f>
        <v>JUAN MANUEL AGUIRRE BOHÓRQUEZ</v>
      </c>
      <c r="L443" s="11" t="str">
        <f>IFERROR(IF(VLOOKUP(A443,[4]PRIORIZADOS!$A:$L,12,FALSE)="","",VLOOKUP(A443,[4]PRIORIZADOS!$A:$L,12,FALSE)),"")</f>
        <v>SANTIAGO ÁVILA LEURO</v>
      </c>
      <c r="M443" s="71">
        <f>IFERROR(IF(VLOOKUP(A443,[4]PRIORIZADOS!$A:$M,13,FALSE)="","",VLOOKUP(A443,[4]PRIORIZADOS!$A:$M,13,FALSE)),"")</f>
        <v>45758</v>
      </c>
      <c r="N443" s="71">
        <f>IFERROR(IF(VLOOKUP(A443,[4]PRIORIZADOS!$A:$N,14,FALSE)="","",VLOOKUP(A443,[4]PRIORIZADOS!$A:$N,14,FALSE)),"")</f>
        <v>45758</v>
      </c>
      <c r="O443" s="71">
        <f>IFERROR(IF(VLOOKUP(A443,[4]PRIORIZADOS!$A:$O,15,FALSE)="","",VLOOKUP(A443,[4]PRIORIZADOS!$A:$O,15,FALSE)),"")</f>
        <v>45758</v>
      </c>
      <c r="P443" s="11" t="str">
        <f>IFERROR(IF(VLOOKUP(A443,[4]PRIORIZADOS!$A:$P,16,FALSE)="","",VLOOKUP(A443,[4]PRIORIZADOS!$A:$P,16,FALSE)),"")</f>
        <v>Visitas de evaluación con fines de seguimiento</v>
      </c>
      <c r="Q443" s="107" t="s">
        <v>83</v>
      </c>
      <c r="R443" s="11" t="str">
        <f>IFERROR(IF(VLOOKUP(A443,[4]PRIORIZADOS!$A:$R,18,FALSE)="","",VLOOKUP(A443,[4]PRIORIZADOS!$A:$R,18,FALSE)),"")</f>
        <v>Se evidencia que la IE construye y socializa el manual de convivencia con la comunidad educativa, desarrolla acciones de convivencia lideradas por el Comité Escolar de Convivencia, analiza estadísticamente las alertas reportadas y, con base en dichos análisis, implementa estrategias de promoción y prevención dirigidas a fortalecer la sana convivencia escolar.</v>
      </c>
      <c r="S443" s="11" t="str">
        <f>IFERROR(IF(VLOOKUP(A443,[4]PRIORIZADOS!$A:$S,19,FALSE)="","",VLOOKUP(A443,[4]PRIORIZADOS!$A:$S,19,FALSE)),"")</f>
        <v xml:space="preserve">Fortalecimiento del Comité Escolar de Convivencia:
Capacitar periódicamente al comité en normativas y manejo de conflictos, asegurando la participación activa de todos los actores de la comunidad educativa.
</v>
      </c>
      <c r="T443" s="70" t="str">
        <f>IFERROR(IF(VLOOKUP(A443,[4]PRIORIZADOS!$A:$T,20,FALSE)="","",VLOOKUP(A443,[4]PRIORIZADOS!$A:$T,20,FALSE)),"")</f>
        <v>No</v>
      </c>
      <c r="U443" s="11" t="str">
        <f>IFERROR(IF(VLOOKUP(A443,[4]PRIORIZADOS!$A:$U,21,FALSE)="","",VLOOKUP(A443,[4]PRIORIZADOS!$A:$U,21,FALSE)),"")</f>
        <v>Se realizara seguimiento al cumplimiento del plan de capacitación del Comité de Convivencia, verificando asistencia, contenidos y aplicación en casos reales.</v>
      </c>
    </row>
    <row r="444" spans="1:21" s="1" customFormat="1" ht="96">
      <c r="A444" s="69">
        <f>IF([4]PRIORIZADOS!A59="","",[4]PRIORIZADOS!A59)</f>
        <v>452</v>
      </c>
      <c r="B444" s="70">
        <v>8</v>
      </c>
      <c r="C444" s="11" t="str">
        <f>IFERROR(IF(VLOOKUP(A444,[4]PRIORIZADOS!$A:$C,3,FALSE)="","",VLOOKUP(A444,[4]PRIORIZADOS!$A:$C,3,FALSE)),"")</f>
        <v>CHAPINERO</v>
      </c>
      <c r="D444" s="11" t="str">
        <f>IFERROR(IF(VLOOKUP(A444,[4]PRIORIZADOS!$A:$D,4,FALSE)="","",VLOOKUP(A444,[4]PRIORIZADOS!$A:$D,4,FALSE)),"")</f>
        <v>PRIVADO</v>
      </c>
      <c r="E444" s="11" t="str">
        <f>IFERROR(IF(VLOOKUP(A444,[4]PRIORIZADOS!$A:$E,5,FALSE)="","",VLOOKUP(A444,[4]PRIORIZADOS!$A:$E,5,FALSE)),"")</f>
        <v>Educación de Jóvenes y Adultos</v>
      </c>
      <c r="F444" s="11" t="str">
        <f>IFERROR(IF(VLOOKUP(A444,[4]PRIORIZADOS!$A:$F,6,FALSE)="","",VLOOKUP(A444,[4]PRIORIZADOS!$A:$F,6,FALSE)),"")</f>
        <v>COLEGIO_KUEPA</v>
      </c>
      <c r="G444" s="11" t="str">
        <f>IFERROR(IF(VLOOKUP(A444,[4]PRIORIZADOS!$A:$G,7,FALSE)="","",VLOOKUP(A444,[4]PRIORIZADOS!$A:$G,7,FALSE)),"")</f>
        <v>COLEGIO KUEPA</v>
      </c>
      <c r="H444" s="11" t="str">
        <f>IFERROR(IF(VLOOKUP(A444,[4]PRIORIZADOS!$A:$H,8,FALSE)="","",VLOOKUP(A444,[4]PRIORIZADOS!$A:$H,8,FALSE)),"")</f>
        <v>Autoevaluación Institucional y Pruebas SABER 11</v>
      </c>
      <c r="I444" s="11" t="str">
        <f>IFERROR(IF(VLOOKUP(A444,[4]PRIORIZADOS!$A:$I,9,FALSE)="","",VLOOKUP(A444,[4]PRIORIZADOS!$A:$I,9,FALSE)),"")</f>
        <v>SEGUIMIENTO_Y_SUPERVISIÓN.</v>
      </c>
      <c r="J444" s="11" t="str">
        <f>IFERROR(IF(VLOOKUP(A444,[4]PRIORIZADOS!$A:$J,10,FALSE)="","",VLOOKUP(A444,[4]PRIORIZADOS!$A:$J,10,FALSE)),"")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44" s="11" t="str">
        <f>IFERROR(IF(VLOOKUP(A444,[4]PRIORIZADOS!$A:$K,11,FALSE)="","",VLOOKUP(A444,[4]PRIORIZADOS!$A:$K,11,FALSE)),"")</f>
        <v>JUAN MANUEL AGUIRRE BOHÓRQUEZ</v>
      </c>
      <c r="L444" s="11" t="str">
        <f>IFERROR(IF(VLOOKUP(A444,[4]PRIORIZADOS!$A:$L,12,FALSE)="","",VLOOKUP(A444,[4]PRIORIZADOS!$A:$L,12,FALSE)),"")</f>
        <v>SANTIAGO ÁVILA LEURO</v>
      </c>
      <c r="M444" s="71">
        <f>IFERROR(IF(VLOOKUP(A444,[4]PRIORIZADOS!$A:$M,13,FALSE)="","",VLOOKUP(A444,[4]PRIORIZADOS!$A:$M,13,FALSE)),"")</f>
        <v>45758</v>
      </c>
      <c r="N444" s="71">
        <f>IFERROR(IF(VLOOKUP(A444,[4]PRIORIZADOS!$A:$N,14,FALSE)="","",VLOOKUP(A444,[4]PRIORIZADOS!$A:$N,14,FALSE)),"")</f>
        <v>45758</v>
      </c>
      <c r="O444" s="71">
        <f>IFERROR(IF(VLOOKUP(A444,[4]PRIORIZADOS!$A:$O,15,FALSE)="","",VLOOKUP(A444,[4]PRIORIZADOS!$A:$O,15,FALSE)),"")</f>
        <v>45758</v>
      </c>
      <c r="P444" s="11" t="str">
        <f>IFERROR(IF(VLOOKUP(A444,[4]PRIORIZADOS!$A:$P,16,FALSE)="","",VLOOKUP(A444,[4]PRIORIZADOS!$A:$P,16,FALSE)),"")</f>
        <v>Visitas de evaluación con fines de seguimiento</v>
      </c>
      <c r="Q444" s="107" t="s">
        <v>83</v>
      </c>
      <c r="R444" s="11" t="str">
        <f>IFERROR(IF(VLOOKUP(A444,[4]PRIORIZADOS!$A:$R,18,FALSE)="","",VLOOKUP(A444,[4]PRIORIZADOS!$A:$R,18,FALSE)),"")</f>
        <v>El colegio no cuenta con estudiantes que presenten discapacidad, trastornos del aprendizaje ni condiciones de talento excepcional, según la información disponible en la actualidad</v>
      </c>
      <c r="S444" s="11" t="str">
        <f>IFERROR(IF(VLOOKUP(A444,[4]PRIORIZADOS!$A:$S,19,FALSE)="","",VLOOKUP(A444,[4]PRIORIZADOS!$A:$S,19,FALSE)),"")</f>
        <v>La institución se compromete a realizar procesos de identificación temprana y caracterización en caso de ingresar estudiantes con discapacidad o talentos excepcionales, y a formular los respectivos PIAR de acuerdo con el Decreto 1421 de 2017, garantizando su articulación con el PEI y el manual de convivencia.</v>
      </c>
      <c r="T444" s="70" t="str">
        <f>IFERROR(IF(VLOOKUP(A444,[4]PRIORIZADOS!$A:$T,20,FALSE)="","",VLOOKUP(A444,[4]PRIORIZADOS!$A:$T,20,FALSE)),"")</f>
        <v>No</v>
      </c>
      <c r="U444" s="11" t="str">
        <f>IFERROR(IF(VLOOKUP(A444,[4]PRIORIZADOS!$A:$U,21,FALSE)="","",VLOOKUP(A444,[4]PRIORIZADOS!$A:$U,21,FALSE)),"")</f>
        <v>Se verificará periódicamente si se presentan ingresos de estudiantes con discapacidad o talentos excepcionales, y en tal caso, el cumplimiento de la caracterización, formulación y ejecución de los PIAR, conforme a la normativa vigente.</v>
      </c>
    </row>
    <row r="445" spans="1:21" s="1" customFormat="1" ht="84">
      <c r="A445" s="69">
        <f>IF([4]PRIORIZADOS!A60="","",[4]PRIORIZADOS!A60)</f>
        <v>453</v>
      </c>
      <c r="B445" s="70">
        <v>8</v>
      </c>
      <c r="C445" s="11" t="str">
        <f>IFERROR(IF(VLOOKUP(A445,[4]PRIORIZADOS!$A:$C,3,FALSE)="","",VLOOKUP(A445,[4]PRIORIZADOS!$A:$C,3,FALSE)),"")</f>
        <v>CHAPINERO</v>
      </c>
      <c r="D445" s="11" t="str">
        <f>IFERROR(IF(VLOOKUP(A445,[4]PRIORIZADOS!$A:$D,4,FALSE)="","",VLOOKUP(A445,[4]PRIORIZADOS!$A:$D,4,FALSE)),"")</f>
        <v>PRIVADO</v>
      </c>
      <c r="E445" s="11" t="str">
        <f>IFERROR(IF(VLOOKUP(A445,[4]PRIORIZADOS!$A:$E,5,FALSE)="","",VLOOKUP(A445,[4]PRIORIZADOS!$A:$E,5,FALSE)),"")</f>
        <v>Educación de Jóvenes y Adultos</v>
      </c>
      <c r="F445" s="11" t="str">
        <f>IFERROR(IF(VLOOKUP(A445,[4]PRIORIZADOS!$A:$F,6,FALSE)="","",VLOOKUP(A445,[4]PRIORIZADOS!$A:$F,6,FALSE)),"")</f>
        <v>COLEGIO_KUEPA</v>
      </c>
      <c r="G445" s="11" t="str">
        <f>IFERROR(IF(VLOOKUP(A445,[4]PRIORIZADOS!$A:$G,7,FALSE)="","",VLOOKUP(A445,[4]PRIORIZADOS!$A:$G,7,FALSE)),"")</f>
        <v>COLEGIO KUEPA</v>
      </c>
      <c r="H445" s="11" t="str">
        <f>IFERROR(IF(VLOOKUP(A445,[4]PRIORIZADOS!$A:$H,8,FALSE)="","",VLOOKUP(A445,[4]PRIORIZADOS!$A:$H,8,FALSE)),"")</f>
        <v>Autoevaluación Institucional y Pruebas SABER 11</v>
      </c>
      <c r="I445" s="11" t="str">
        <f>IFERROR(IF(VLOOKUP(A445,[4]PRIORIZADOS!$A:$I,9,FALSE)="","",VLOOKUP(A445,[4]PRIORIZADOS!$A:$I,9,FALSE)),"")</f>
        <v>EVALUACIÓN_CON_FINES_DE_MEJORAMIENTO.</v>
      </c>
      <c r="J445" s="11" t="str">
        <f>IFERROR(IF(VLOOKUP(A445,[4]PRIORIZADOS!$A:$J,10,FALSE)="","",VLOOKUP(A445,[4]PRIORIZADOS!$A:$J,10,FALSE)),"")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45" s="11" t="str">
        <f>IFERROR(IF(VLOOKUP(A445,[4]PRIORIZADOS!$A:$K,11,FALSE)="","",VLOOKUP(A445,[4]PRIORIZADOS!$A:$K,11,FALSE)),"")</f>
        <v>JUAN MANUEL AGUIRRE BOHÓRQUEZ</v>
      </c>
      <c r="L445" s="11" t="str">
        <f>IFERROR(IF(VLOOKUP(A445,[4]PRIORIZADOS!$A:$L,12,FALSE)="","",VLOOKUP(A445,[4]PRIORIZADOS!$A:$L,12,FALSE)),"")</f>
        <v>SANTIAGO ÁVILA LEURO</v>
      </c>
      <c r="M445" s="71">
        <f>IFERROR(IF(VLOOKUP(A445,[4]PRIORIZADOS!$A:$M,13,FALSE)="","",VLOOKUP(A445,[4]PRIORIZADOS!$A:$M,13,FALSE)),"")</f>
        <v>45758</v>
      </c>
      <c r="N445" s="71">
        <f>IFERROR(IF(VLOOKUP(A445,[4]PRIORIZADOS!$A:$N,14,FALSE)="","",VLOOKUP(A445,[4]PRIORIZADOS!$A:$N,14,FALSE)),"")</f>
        <v>45758</v>
      </c>
      <c r="O445" s="71">
        <f>IFERROR(IF(VLOOKUP(A445,[4]PRIORIZADOS!$A:$O,15,FALSE)="","",VLOOKUP(A445,[4]PRIORIZADOS!$A:$O,15,FALSE)),"")</f>
        <v>45758</v>
      </c>
      <c r="P445" s="11" t="str">
        <f>IFERROR(IF(VLOOKUP(A445,[4]PRIORIZADOS!$A:$P,16,FALSE)="","",VLOOKUP(A445,[4]PRIORIZADOS!$A:$P,16,FALSE)),"")</f>
        <v>Visitas de evaluación con fines de seguimiento</v>
      </c>
      <c r="Q445" s="107" t="s">
        <v>83</v>
      </c>
      <c r="R445" s="11" t="str">
        <f>IFERROR(IF(VLOOKUP(A445,[4]PRIORIZADOS!$A:$R,18,FALSE)="","",VLOOKUP(A445,[4]PRIORIZADOS!$A:$R,18,FALSE)),"")</f>
        <v>No se evidencia que el colegio actualice anualmente el manual de convivencia</v>
      </c>
      <c r="S445" s="11" t="str">
        <f>IFERROR(IF(VLOOKUP(A445,[4]PRIORIZADOS!$A:$S,19,FALSE)="","",VLOOKUP(A445,[4]PRIORIZADOS!$A:$S,19,FALSE)),"")</f>
        <v>implementar un cronograma institucional para su revisión cada año, con participación del comité de convivencia Este proceso debe considerar los cambios normativos y necesidades del contexto escolar, y culminar con su aprobación por el Consejo Directivo.</v>
      </c>
      <c r="T445" s="70" t="str">
        <f>IFERROR(IF(VLOOKUP(A445,[4]PRIORIZADOS!$A:$T,20,FALSE)="","",VLOOKUP(A445,[4]PRIORIZADOS!$A:$T,20,FALSE)),"")</f>
        <v>Si</v>
      </c>
      <c r="U445" s="11" t="str">
        <f>IFERROR(IF(VLOOKUP(A445,[4]PRIORIZADOS!$A:$U,21,FALSE)="","",VLOOKUP(A445,[4]PRIORIZADOS!$A:$U,21,FALSE)),"")</f>
        <v xml:space="preserve"> verificar que el colegio realice la actualización del manual de convivencia en temas como salidas pedagógicas directiva ministerial 55, ley 1620 de 2013, el servicio social obligatorio e incluir el manejo de las PQRS</v>
      </c>
    </row>
    <row r="446" spans="1:21" s="1" customFormat="1" ht="60">
      <c r="A446" s="69">
        <f>IF([4]PRIORIZADOS!A61="","",[4]PRIORIZADOS!A61)</f>
        <v>454</v>
      </c>
      <c r="B446" s="70">
        <v>8</v>
      </c>
      <c r="C446" s="11" t="str">
        <f>IFERROR(IF(VLOOKUP(A446,[4]PRIORIZADOS!$A:$C,3,FALSE)="","",VLOOKUP(A446,[4]PRIORIZADOS!$A:$C,3,FALSE)),"")</f>
        <v>CHAPINERO</v>
      </c>
      <c r="D446" s="11" t="str">
        <f>IFERROR(IF(VLOOKUP(A446,[4]PRIORIZADOS!$A:$D,4,FALSE)="","",VLOOKUP(A446,[4]PRIORIZADOS!$A:$D,4,FALSE)),"")</f>
        <v>PRIVADO</v>
      </c>
      <c r="E446" s="11" t="str">
        <f>IFERROR(IF(VLOOKUP(A446,[4]PRIORIZADOS!$A:$E,5,FALSE)="","",VLOOKUP(A446,[4]PRIORIZADOS!$A:$E,5,FALSE)),"")</f>
        <v>Educación de Jóvenes y Adultos</v>
      </c>
      <c r="F446" s="11" t="str">
        <f>IFERROR(IF(VLOOKUP(A446,[4]PRIORIZADOS!$A:$F,6,FALSE)="","",VLOOKUP(A446,[4]PRIORIZADOS!$A:$F,6,FALSE)),"")</f>
        <v>COLEGIO_KUEPA</v>
      </c>
      <c r="G446" s="11" t="str">
        <f>IFERROR(IF(VLOOKUP(A446,[4]PRIORIZADOS!$A:$G,7,FALSE)="","",VLOOKUP(A446,[4]PRIORIZADOS!$A:$G,7,FALSE)),"")</f>
        <v>COLEGIO KUEPA</v>
      </c>
      <c r="H446" s="11" t="str">
        <f>IFERROR(IF(VLOOKUP(A446,[4]PRIORIZADOS!$A:$H,8,FALSE)="","",VLOOKUP(A446,[4]PRIORIZADOS!$A:$H,8,FALSE)),"")</f>
        <v>Autoevaluación Institucional y Pruebas SABER 11</v>
      </c>
      <c r="I446" s="11" t="str">
        <f>IFERROR(IF(VLOOKUP(A446,[4]PRIORIZADOS!$A:$I,9,FALSE)="","",VLOOKUP(A446,[4]PRIORIZADOS!$A:$I,9,FALSE)),"")</f>
        <v>EVALUACIÓN_CON_FINES_DE_MEJORAMIENTO.</v>
      </c>
      <c r="J446" s="11" t="str">
        <f>IFERROR(IF(VLOOKUP(A446,[4]PRIORIZADOS!$A:$J,10,FALSE)="","",VLOOKUP(A446,[4]PRIORIZADOS!$A:$J,10,FALSE)),"")</f>
        <v>Revisar la actualización, socialización e implementación del Sistema Institucional de Evaluación de Estudiantes - SIEE, en articulación con la actualización del PEI y la normatividad vigente.</v>
      </c>
      <c r="K446" s="11" t="str">
        <f>IFERROR(IF(VLOOKUP(A446,[4]PRIORIZADOS!$A:$K,11,FALSE)="","",VLOOKUP(A446,[4]PRIORIZADOS!$A:$K,11,FALSE)),"")</f>
        <v>JUAN MANUEL AGUIRRE BOHÓRQUEZ</v>
      </c>
      <c r="L446" s="11" t="str">
        <f>IFERROR(IF(VLOOKUP(A446,[4]PRIORIZADOS!$A:$L,12,FALSE)="","",VLOOKUP(A446,[4]PRIORIZADOS!$A:$L,12,FALSE)),"")</f>
        <v>SANTIAGO ÁVILA LEURO</v>
      </c>
      <c r="M446" s="71">
        <f>IFERROR(IF(VLOOKUP(A446,[4]PRIORIZADOS!$A:$M,13,FALSE)="","",VLOOKUP(A446,[4]PRIORIZADOS!$A:$M,13,FALSE)),"")</f>
        <v>45758</v>
      </c>
      <c r="N446" s="71">
        <f>IFERROR(IF(VLOOKUP(A446,[4]PRIORIZADOS!$A:$N,14,FALSE)="","",VLOOKUP(A446,[4]PRIORIZADOS!$A:$N,14,FALSE)),"")</f>
        <v>45758</v>
      </c>
      <c r="O446" s="71">
        <f>IFERROR(IF(VLOOKUP(A446,[4]PRIORIZADOS!$A:$O,15,FALSE)="","",VLOOKUP(A446,[4]PRIORIZADOS!$A:$O,15,FALSE)),"")</f>
        <v>45758</v>
      </c>
      <c r="P446" s="11" t="str">
        <f>IFERROR(IF(VLOOKUP(A446,[4]PRIORIZADOS!$A:$P,16,FALSE)="","",VLOOKUP(A446,[4]PRIORIZADOS!$A:$P,16,FALSE)),"")</f>
        <v>Visitas de evaluación con fines de seguimiento</v>
      </c>
      <c r="Q446" s="107" t="s">
        <v>83</v>
      </c>
      <c r="R446" s="11" t="str">
        <f>IFERROR(IF(VLOOKUP(A446,[4]PRIORIZADOS!$A:$R,18,FALSE)="","",VLOOKUP(A446,[4]PRIORIZADOS!$A:$R,18,FALSE)),"")</f>
        <v>El PEI incluye el SIEE de acuerdo con la metodología propuesta</v>
      </c>
      <c r="S446" s="11" t="str">
        <f>IFERROR(IF(VLOOKUP(A446,[4]PRIORIZADOS!$A:$S,19,FALSE)="","",VLOOKUP(A446,[4]PRIORIZADOS!$A:$S,19,FALSE)),"")</f>
        <v>Realizar una nueva lectura y revisión integral del  (PEI), con el fin de actualizarlo conforme a las necesidades actuales de la comunidad educativa y los lineamientos normativos vigentes.</v>
      </c>
      <c r="T446" s="70" t="str">
        <f>IFERROR(IF(VLOOKUP(A446,[4]PRIORIZADOS!$A:$T,20,FALSE)="","",VLOOKUP(A446,[4]PRIORIZADOS!$A:$T,20,FALSE)),"")</f>
        <v>Si</v>
      </c>
      <c r="U446" s="11" t="str">
        <f>IFERROR(IF(VLOOKUP(A446,[4]PRIORIZADOS!$A:$U,21,FALSE)="","",VLOOKUP(A446,[4]PRIORIZADOS!$A:$U,21,FALSE)),"")</f>
        <v>Se verificara el avance y cumplimiento de la actualización del PEI, asegurando la incorporación de necesidades actuales y lineamientos normativos vigentes.</v>
      </c>
    </row>
    <row r="447" spans="1:21" s="1" customFormat="1" ht="48">
      <c r="A447" s="69">
        <f>IF([4]PRIORIZADOS!A62="","",[4]PRIORIZADOS!A62)</f>
        <v>455</v>
      </c>
      <c r="B447" s="70">
        <v>8</v>
      </c>
      <c r="C447" s="11" t="str">
        <f>IFERROR(IF(VLOOKUP(A447,[4]PRIORIZADOS!$A:$C,3,FALSE)="","",VLOOKUP(A447,[4]PRIORIZADOS!$A:$C,3,FALSE)),"")</f>
        <v>CHAPINERO</v>
      </c>
      <c r="D447" s="11" t="str">
        <f>IFERROR(IF(VLOOKUP(A447,[4]PRIORIZADOS!$A:$D,4,FALSE)="","",VLOOKUP(A447,[4]PRIORIZADOS!$A:$D,4,FALSE)),"")</f>
        <v>PRIVADO</v>
      </c>
      <c r="E447" s="11" t="str">
        <f>IFERROR(IF(VLOOKUP(A447,[4]PRIORIZADOS!$A:$E,5,FALSE)="","",VLOOKUP(A447,[4]PRIORIZADOS!$A:$E,5,FALSE)),"")</f>
        <v>Educación de Jóvenes y Adultos</v>
      </c>
      <c r="F447" s="11" t="str">
        <f>IFERROR(IF(VLOOKUP(A447,[4]PRIORIZADOS!$A:$F,6,FALSE)="","",VLOOKUP(A447,[4]PRIORIZADOS!$A:$F,6,FALSE)),"")</f>
        <v>COLEGIO_KUEPA</v>
      </c>
      <c r="G447" s="11" t="str">
        <f>IFERROR(IF(VLOOKUP(A447,[4]PRIORIZADOS!$A:$G,7,FALSE)="","",VLOOKUP(A447,[4]PRIORIZADOS!$A:$G,7,FALSE)),"")</f>
        <v>COLEGIO KUEPA</v>
      </c>
      <c r="H447" s="11" t="str">
        <f>IFERROR(IF(VLOOKUP(A447,[4]PRIORIZADOS!$A:$H,8,FALSE)="","",VLOOKUP(A447,[4]PRIORIZADOS!$A:$H,8,FALSE)),"")</f>
        <v>Autoevaluación Institucional y Pruebas SABER 11</v>
      </c>
      <c r="I447" s="11" t="str">
        <f>IFERROR(IF(VLOOKUP(A447,[4]PRIORIZADOS!$A:$I,9,FALSE)="","",VLOOKUP(A447,[4]PRIORIZADOS!$A:$I,9,FALSE)),"")</f>
        <v>EVALUACIÓN_CON_FINES_DE_MEJORAMIENTO.</v>
      </c>
      <c r="J447" s="11" t="str">
        <f>IFERROR(IF(VLOOKUP(A447,[4]PRIORIZADOS!$A:$J,10,FALSE)="","",VLOOKUP(A447,[4]PRIORIZADOS!$A:$J,10,FALSE)),"")</f>
        <v>Revisar el calendario escolar, jornada escolar, la intensidad horaria mínima anual en cada nivel y las modificaciones que se realicen al mismo, de acuerdo con lo previsto en la normatividad vigente.</v>
      </c>
      <c r="K447" s="11" t="str">
        <f>IFERROR(IF(VLOOKUP(A447,[4]PRIORIZADOS!$A:$K,11,FALSE)="","",VLOOKUP(A447,[4]PRIORIZADOS!$A:$K,11,FALSE)),"")</f>
        <v>JUAN MANUEL AGUIRRE BOHÓRQUEZ</v>
      </c>
      <c r="L447" s="11" t="str">
        <f>IFERROR(IF(VLOOKUP(A447,[4]PRIORIZADOS!$A:$L,12,FALSE)="","",VLOOKUP(A447,[4]PRIORIZADOS!$A:$L,12,FALSE)),"")</f>
        <v>SANTIAGO ÁVILA LEURO</v>
      </c>
      <c r="M447" s="71">
        <f>IFERROR(IF(VLOOKUP(A447,[4]PRIORIZADOS!$A:$M,13,FALSE)="","",VLOOKUP(A447,[4]PRIORIZADOS!$A:$M,13,FALSE)),"")</f>
        <v>45758</v>
      </c>
      <c r="N447" s="71">
        <f>IFERROR(IF(VLOOKUP(A447,[4]PRIORIZADOS!$A:$N,14,FALSE)="","",VLOOKUP(A447,[4]PRIORIZADOS!$A:$N,14,FALSE)),"")</f>
        <v>45758</v>
      </c>
      <c r="O447" s="71">
        <f>IFERROR(IF(VLOOKUP(A447,[4]PRIORIZADOS!$A:$O,15,FALSE)="","",VLOOKUP(A447,[4]PRIORIZADOS!$A:$O,15,FALSE)),"")</f>
        <v>45758</v>
      </c>
      <c r="P447" s="11" t="str">
        <f>IFERROR(IF(VLOOKUP(A447,[4]PRIORIZADOS!$A:$P,16,FALSE)="","",VLOOKUP(A447,[4]PRIORIZADOS!$A:$P,16,FALSE)),"")</f>
        <v>Visitas de evaluación con fines de seguimiento</v>
      </c>
      <c r="Q447" s="107" t="s">
        <v>83</v>
      </c>
      <c r="R447" s="11" t="str">
        <f>IFERROR(IF(VLOOKUP(A447,[4]PRIORIZADOS!$A:$R,18,FALSE)="","",VLOOKUP(A447,[4]PRIORIZADOS!$A:$R,18,FALSE)),"")</f>
        <v>La institución educativa cumple con la jornada educativa y el calendario escolar I</v>
      </c>
      <c r="S447" s="11" t="str">
        <f>IFERROR(IF(VLOOKUP(A447,[4]PRIORIZADOS!$A:$S,19,FALSE)="","",VLOOKUP(A447,[4]PRIORIZADOS!$A:$S,19,FALSE)),"")</f>
        <v>Ajustar en el aplicativo EVI las horas efectivamente proyectadas</v>
      </c>
      <c r="T447" s="70" t="str">
        <f>IFERROR(IF(VLOOKUP(A447,[4]PRIORIZADOS!$A:$T,20,FALSE)="","",VLOOKUP(A447,[4]PRIORIZADOS!$A:$T,20,FALSE)),"")</f>
        <v>No</v>
      </c>
      <c r="U447" s="11" t="str">
        <f>IFERROR(IF(VLOOKUP(A447,[4]PRIORIZADOS!$A:$U,21,FALSE)="","",VLOOKUP(A447,[4]PRIORIZADOS!$A:$U,21,FALSE)),"")</f>
        <v>Se verificara en la autoevaluación del 2025 que se diligencien las horas que efectivamente reportan en el calendario académico</v>
      </c>
    </row>
    <row r="448" spans="1:21" s="1" customFormat="1" ht="60">
      <c r="A448" s="69">
        <f>IF([4]PRIORIZADOS!A63="","",[4]PRIORIZADOS!A63)</f>
        <v>456</v>
      </c>
      <c r="B448" s="70">
        <v>8</v>
      </c>
      <c r="C448" s="11" t="str">
        <f>IFERROR(IF(VLOOKUP(A448,[4]PRIORIZADOS!$A:$C,3,FALSE)="","",VLOOKUP(A448,[4]PRIORIZADOS!$A:$C,3,FALSE)),"")</f>
        <v>CHAPINERO</v>
      </c>
      <c r="D448" s="11" t="str">
        <f>IFERROR(IF(VLOOKUP(A448,[4]PRIORIZADOS!$A:$D,4,FALSE)="","",VLOOKUP(A448,[4]PRIORIZADOS!$A:$D,4,FALSE)),"")</f>
        <v>PRIVADO</v>
      </c>
      <c r="E448" s="11" t="str">
        <f>IFERROR(IF(VLOOKUP(A448,[4]PRIORIZADOS!$A:$E,5,FALSE)="","",VLOOKUP(A448,[4]PRIORIZADOS!$A:$E,5,FALSE)),"")</f>
        <v>Educación de Jóvenes y Adultos</v>
      </c>
      <c r="F448" s="11" t="str">
        <f>IFERROR(IF(VLOOKUP(A448,[4]PRIORIZADOS!$A:$F,6,FALSE)="","",VLOOKUP(A448,[4]PRIORIZADOS!$A:$F,6,FALSE)),"")</f>
        <v>COLEGIO_KUEPA</v>
      </c>
      <c r="G448" s="11" t="str">
        <f>IFERROR(IF(VLOOKUP(A448,[4]PRIORIZADOS!$A:$G,7,FALSE)="","",VLOOKUP(A448,[4]PRIORIZADOS!$A:$G,7,FALSE)),"")</f>
        <v>COLEGIO KUEPA</v>
      </c>
      <c r="H448" s="11" t="str">
        <f>IFERROR(IF(VLOOKUP(A448,[4]PRIORIZADOS!$A:$H,8,FALSE)="","",VLOOKUP(A448,[4]PRIORIZADOS!$A:$H,8,FALSE)),"")</f>
        <v>Autoevaluación Institucional y Pruebas SABER 11</v>
      </c>
      <c r="I448" s="11" t="str">
        <f>IFERROR(IF(VLOOKUP(A448,[4]PRIORIZADOS!$A:$I,9,FALSE)="","",VLOOKUP(A448,[4]PRIORIZADOS!$A:$I,9,FALSE)),"")</f>
        <v>EVALUACIÓN_CON_FINES_DE_MEJORAMIENTO.</v>
      </c>
      <c r="J448" s="11" t="str">
        <f>IFERROR(IF(VLOOKUP(A448,[4]PRIORIZADOS!$A:$J,10,FALSE)="","",VLOOKUP(A448,[4]PRIORIZADOS!$A:$J,10,FALSE)),"")</f>
        <v>Verificar el funcionamiento del Gobierno Escolar e instancias de participación con base en la información sobre conformación reportada por la institución educativa.</v>
      </c>
      <c r="K448" s="11" t="str">
        <f>IFERROR(IF(VLOOKUP(A448,[4]PRIORIZADOS!$A:$K,11,FALSE)="","",VLOOKUP(A448,[4]PRIORIZADOS!$A:$K,11,FALSE)),"")</f>
        <v>JUAN MANUEL AGUIRRE BOHÓRQUEZ</v>
      </c>
      <c r="L448" s="11" t="str">
        <f>IFERROR(IF(VLOOKUP(A448,[4]PRIORIZADOS!$A:$L,12,FALSE)="","",VLOOKUP(A448,[4]PRIORIZADOS!$A:$L,12,FALSE)),"")</f>
        <v>SANTIAGO ÁVILA LEURO</v>
      </c>
      <c r="M448" s="71">
        <f>IFERROR(IF(VLOOKUP(A448,[4]PRIORIZADOS!$A:$M,13,FALSE)="","",VLOOKUP(A448,[4]PRIORIZADOS!$A:$M,13,FALSE)),"")</f>
        <v>45758</v>
      </c>
      <c r="N448" s="71">
        <f>IFERROR(IF(VLOOKUP(A448,[4]PRIORIZADOS!$A:$N,14,FALSE)="","",VLOOKUP(A448,[4]PRIORIZADOS!$A:$N,14,FALSE)),"")</f>
        <v>45758</v>
      </c>
      <c r="O448" s="71">
        <f>IFERROR(IF(VLOOKUP(A448,[4]PRIORIZADOS!$A:$O,15,FALSE)="","",VLOOKUP(A448,[4]PRIORIZADOS!$A:$O,15,FALSE)),"")</f>
        <v>45758</v>
      </c>
      <c r="P448" s="11" t="str">
        <f>IFERROR(IF(VLOOKUP(A448,[4]PRIORIZADOS!$A:$P,16,FALSE)="","",VLOOKUP(A448,[4]PRIORIZADOS!$A:$P,16,FALSE)),"")</f>
        <v>Visitas de evaluación con fines de seguimiento</v>
      </c>
      <c r="Q448" s="107" t="s">
        <v>83</v>
      </c>
      <c r="R448" s="11" t="str">
        <f>IFERROR(IF(VLOOKUP(A448,[4]PRIORIZADOS!$A:$R,18,FALSE)="","",VLOOKUP(A448,[4]PRIORIZADOS!$A:$R,18,FALSE)),"")</f>
        <v>Se evidencia el adecuado funcionamiento del Gobierno Escolar y de las instancias de participación, con base en la información sobre su conformación reportada por el colegio en el SAE.</v>
      </c>
      <c r="S448" s="11" t="str">
        <f>IFERROR(IF(VLOOKUP(A448,[4]PRIORIZADOS!$A:$S,19,FALSE)="","",VLOOKUP(A448,[4]PRIORIZADOS!$A:$S,19,FALSE)),"")</f>
        <v>Se implementarán acciones de mejora orientadas a fortalecer su operatividad, representatividad y participación activa de la comunidad educativa</v>
      </c>
      <c r="T448" s="70" t="str">
        <f>IFERROR(IF(VLOOKUP(A448,[4]PRIORIZADOS!$A:$T,20,FALSE)="","",VLOOKUP(A448,[4]PRIORIZADOS!$A:$T,20,FALSE)),"")</f>
        <v>No</v>
      </c>
      <c r="U448" s="11" t="str">
        <f>IFERROR(IF(VLOOKUP(A448,[4]PRIORIZADOS!$A:$U,21,FALSE)="","",VLOOKUP(A448,[4]PRIORIZADOS!$A:$U,21,FALSE)),"")</f>
        <v>Se realizar seguimiento al fortalecimiento del Gobierno Escolar e instancias de participación, mediante la revisión de actas, informes de gestión y evidencias de participación activa de la comunidad educativa</v>
      </c>
    </row>
    <row r="449" spans="1:21" s="1" customFormat="1" ht="60">
      <c r="A449" s="69">
        <f>IF([4]PRIORIZADOS!A64="","",[4]PRIORIZADOS!A64)</f>
        <v>457</v>
      </c>
      <c r="B449" s="70">
        <v>8</v>
      </c>
      <c r="C449" s="11" t="str">
        <f>IFERROR(IF(VLOOKUP(A449,[4]PRIORIZADOS!$A:$C,3,FALSE)="","",VLOOKUP(A449,[4]PRIORIZADOS!$A:$C,3,FALSE)),"")</f>
        <v>CHAPINERO</v>
      </c>
      <c r="D449" s="11" t="str">
        <f>IFERROR(IF(VLOOKUP(A449,[4]PRIORIZADOS!$A:$D,4,FALSE)="","",VLOOKUP(A449,[4]PRIORIZADOS!$A:$D,4,FALSE)),"")</f>
        <v>PRIVADO</v>
      </c>
      <c r="E449" s="11" t="str">
        <f>IFERROR(IF(VLOOKUP(A449,[4]PRIORIZADOS!$A:$E,5,FALSE)="","",VLOOKUP(A449,[4]PRIORIZADOS!$A:$E,5,FALSE)),"")</f>
        <v>Educación de Jóvenes y Adultos</v>
      </c>
      <c r="F449" s="11" t="str">
        <f>IFERROR(IF(VLOOKUP(A449,[4]PRIORIZADOS!$A:$F,6,FALSE)="","",VLOOKUP(A449,[4]PRIORIZADOS!$A:$F,6,FALSE)),"")</f>
        <v>COLEGIO_KUEPA</v>
      </c>
      <c r="G449" s="11" t="str">
        <f>IFERROR(IF(VLOOKUP(A449,[4]PRIORIZADOS!$A:$G,7,FALSE)="","",VLOOKUP(A449,[4]PRIORIZADOS!$A:$G,7,FALSE)),"")</f>
        <v>COLEGIO KUEPA</v>
      </c>
      <c r="H449" s="11" t="str">
        <f>IFERROR(IF(VLOOKUP(A449,[4]PRIORIZADOS!$A:$H,8,FALSE)="","",VLOOKUP(A449,[4]PRIORIZADOS!$A:$H,8,FALSE)),"")</f>
        <v>Autoevaluación Institucional y Pruebas SABER 11</v>
      </c>
      <c r="I449" s="11" t="str">
        <f>IFERROR(IF(VLOOKUP(A449,[4]PRIORIZADOS!$A:$I,9,FALSE)="","",VLOOKUP(A449,[4]PRIORIZADOS!$A:$I,9,FALSE)),"")</f>
        <v>EVALUACIÓN_CON_FINES_DE_MEJORAMIENTO.</v>
      </c>
      <c r="J449" s="11" t="str">
        <f>IFERROR(IF(VLOOKUP(A449,[4]PRIORIZADOS!$A:$J,10,FALSE)="","",VLOOKUP(A449,[4]PRIORIZADOS!$A:$J,10,FALSE)),"")</f>
        <v>Verificar las condiciones en cuanto a: la estructura administrativa, condiciones de la planta física y medios educativos adecuados.</v>
      </c>
      <c r="K449" s="11" t="str">
        <f>IFERROR(IF(VLOOKUP(A449,[4]PRIORIZADOS!$A:$K,11,FALSE)="","",VLOOKUP(A449,[4]PRIORIZADOS!$A:$K,11,FALSE)),"")</f>
        <v>JUAN MANUEL AGUIRRE BOHÓRQUEZ</v>
      </c>
      <c r="L449" s="11" t="str">
        <f>IFERROR(IF(VLOOKUP(A449,[4]PRIORIZADOS!$A:$L,12,FALSE)="","",VLOOKUP(A449,[4]PRIORIZADOS!$A:$L,12,FALSE)),"")</f>
        <v>SANTIAGO ÁVILA LEURO</v>
      </c>
      <c r="M449" s="71">
        <f>IFERROR(IF(VLOOKUP(A449,[4]PRIORIZADOS!$A:$M,13,FALSE)="","",VLOOKUP(A449,[4]PRIORIZADOS!$A:$M,13,FALSE)),"")</f>
        <v>45758</v>
      </c>
      <c r="N449" s="71">
        <f>IFERROR(IF(VLOOKUP(A449,[4]PRIORIZADOS!$A:$N,14,FALSE)="","",VLOOKUP(A449,[4]PRIORIZADOS!$A:$N,14,FALSE)),"")</f>
        <v>45758</v>
      </c>
      <c r="O449" s="71">
        <f>IFERROR(IF(VLOOKUP(A449,[4]PRIORIZADOS!$A:$O,15,FALSE)="","",VLOOKUP(A449,[4]PRIORIZADOS!$A:$O,15,FALSE)),"")</f>
        <v>45758</v>
      </c>
      <c r="P449" s="11" t="str">
        <f>IFERROR(IF(VLOOKUP(A449,[4]PRIORIZADOS!$A:$P,16,FALSE)="","",VLOOKUP(A449,[4]PRIORIZADOS!$A:$P,16,FALSE)),"")</f>
        <v>Visitas de evaluación con fines de seguimiento</v>
      </c>
      <c r="Q449" s="107" t="s">
        <v>83</v>
      </c>
      <c r="R449" s="11" t="str">
        <f>IFERROR(IF(VLOOKUP(A449,[4]PRIORIZADOS!$A:$R,18,FALSE)="","",VLOOKUP(A449,[4]PRIORIZADOS!$A:$R,18,FALSE)),"")</f>
        <v>La planta física del establecimiento cumple con las condiciones adecuadas y los requisitos necesarios para garantizar la prestación del servicio educativo de manera segura y funcional</v>
      </c>
      <c r="S449" s="11" t="str">
        <f>IFERROR(IF(VLOOKUP(A449,[4]PRIORIZADOS!$A:$S,19,FALSE)="","",VLOOKUP(A449,[4]PRIORIZADOS!$A:$S,19,FALSE)),"")</f>
        <v>Implementar un plan de mantenimiento preventivo y correctivo anual, capacitación al personal y participación de la comunidad educativa en el cuidado de la infraestructura.</v>
      </c>
      <c r="T449" s="70" t="str">
        <f>IFERROR(IF(VLOOKUP(A449,[4]PRIORIZADOS!$A:$T,20,FALSE)="","",VLOOKUP(A449,[4]PRIORIZADOS!$A:$T,20,FALSE)),"")</f>
        <v>No</v>
      </c>
      <c r="U449" s="11" t="str">
        <f>IFERROR(IF(VLOOKUP(A449,[4]PRIORIZADOS!$A:$U,21,FALSE)="","",VLOOKUP(A449,[4]PRIORIZADOS!$A:$U,21,FALSE)),"")</f>
        <v>Realizar inspecciones periódicas de la planta física mediante listas de chequeo, con registro de observaciones y plan de mantenimiento preventivo y correctivo</v>
      </c>
    </row>
    <row r="450" spans="1:21" s="1" customFormat="1" ht="130.5">
      <c r="A450" s="69">
        <f>IF([4]PRIORIZADOS!A66="","",[4]PRIORIZADOS!A66)</f>
        <v>459</v>
      </c>
      <c r="B450" s="70">
        <v>9</v>
      </c>
      <c r="C450" s="11" t="str">
        <f>IFERROR(IF(VLOOKUP(A450,[4]PRIORIZADOS!$A:$C,3,FALSE)="","",VLOOKUP(A450,[4]PRIORIZADOS!$A:$C,3,FALSE)),"")</f>
        <v>CHAPINERO</v>
      </c>
      <c r="D450" s="11" t="str">
        <f>IFERROR(IF(VLOOKUP(A450,[4]PRIORIZADOS!$A:$D,4,FALSE)="","",VLOOKUP(A450,[4]PRIORIZADOS!$A:$D,4,FALSE)),"")</f>
        <v>PRIVADO</v>
      </c>
      <c r="E450" s="11" t="str">
        <f>IFERROR(IF(VLOOKUP(A450,[4]PRIORIZADOS!$A:$E,5,FALSE)="","",VLOOKUP(A450,[4]PRIORIZADOS!$A:$E,5,FALSE)),"")</f>
        <v>EPBM</v>
      </c>
      <c r="F450" s="11" t="str">
        <f>IFERROR(IF(VLOOKUP(A450,[4]PRIORIZADOS!$A:$F,6,FALSE)="","",VLOOKUP(A450,[4]PRIORIZADOS!$A:$F,6,FALSE)),"")</f>
        <v>COLEGIO_FILADELFIA</v>
      </c>
      <c r="G450" s="11" t="str">
        <f>IFERROR(IF(VLOOKUP(A450,[4]PRIORIZADOS!$A:$G,7,FALSE)="","",VLOOKUP(A450,[4]PRIORIZADOS!$A:$G,7,FALSE)),"")</f>
        <v>COLEGIO FILADELFIA</v>
      </c>
      <c r="H450" s="11" t="str">
        <f>IFERROR(IF(VLOOKUP(A450,[4]PRIORIZADOS!$A:$H,8,FALSE)="","",VLOOKUP(A450,[4]PRIORIZADOS!$A:$H,8,FALSE)),"")</f>
        <v>Autoevaluación Institucional y Pruebas SABER 11</v>
      </c>
      <c r="I450" s="11" t="str">
        <f>IFERROR(IF(VLOOKUP(A450,[4]PRIORIZADOS!$A:$I,9,FALSE)="","",VLOOKUP(A450,[4]PRIORIZADOS!$A:$I,9,FALSE)),"")</f>
        <v>SEGUIMIENTO_Y_SUPERVISIÓN.</v>
      </c>
      <c r="J450" s="11" t="str">
        <f>IFERROR(IF(VLOOKUP(A450,[4]PRIORIZADOS!$A:$J,10,FALSE)="","",VLOOKUP(A450,[4]PRIORIZADOS!$A:$J,10,FALSE)),"")</f>
        <v>Realizar visitas para verificar la información registrada sobre la autoevaluación institucional en el aplicativo EVI, a los establecimientos de educación formal no oficial.</v>
      </c>
      <c r="K450" s="11" t="str">
        <f>IFERROR(IF(VLOOKUP(A450,[4]PRIORIZADOS!$A:$K,11,FALSE)="","",VLOOKUP(A450,[4]PRIORIZADOS!$A:$K,11,FALSE)),"")</f>
        <v>SANTIAGO ÁVILA LEURO</v>
      </c>
      <c r="L450" s="11" t="str">
        <f>IFERROR(IF(VLOOKUP(A450,[4]PRIORIZADOS!$A:$L,12,FALSE)="","",VLOOKUP(A450,[4]PRIORIZADOS!$A:$L,12,FALSE)),"")</f>
        <v>JUAN MANUEL AGUIRRE BOHÓRQUEZ</v>
      </c>
      <c r="M450" s="71">
        <f>IFERROR(IF(VLOOKUP(A450,[4]PRIORIZADOS!$A:$M,13,FALSE)="","",VLOOKUP(A450,[4]PRIORIZADOS!$A:$M,13,FALSE)),"")</f>
        <v>45800</v>
      </c>
      <c r="N450" s="71">
        <f>IFERROR(IF(VLOOKUP(A450,[4]PRIORIZADOS!$A:$N,14,FALSE)="","",VLOOKUP(A450,[4]PRIORIZADOS!$A:$N,14,FALSE)),"")</f>
        <v>45800</v>
      </c>
      <c r="O450" s="71">
        <f>IFERROR(IF(VLOOKUP(A450,[4]PRIORIZADOS!$A:$O,15,FALSE)="","",VLOOKUP(A450,[4]PRIORIZADOS!$A:$O,15,FALSE)),"")</f>
        <v>45800</v>
      </c>
      <c r="P450" s="11" t="str">
        <f>IFERROR(IF(VLOOKUP(A450,[4]PRIORIZADOS!$A:$P,16,FALSE)="","",VLOOKUP(A450,[4]PRIORIZADOS!$A:$P,16,FALSE)),"")</f>
        <v>Visitas de evaluación con fines de mejoramiento</v>
      </c>
      <c r="Q450" s="107" t="s">
        <v>84</v>
      </c>
      <c r="R450" s="11" t="str">
        <f>IFERROR(IF(VLOOKUP(A450,[4]PRIORIZADOS!$A:$R,18,FALSE)="","",VLOOKUP(A450,[4]PRIORIZADOS!$A:$R,18,FALSE)),"")</f>
        <v>La información registrada en EVI coincide con la realidad institucional. Las tarifas están publicadas y socializadas. Hay procedimientos claros para matrícula y registro en SIMAT. Se realiza seguimiento académico en GNOSOFT. El currículo está articulado con el PEI. Se aplican estrategias de apoyo y seguimiento en caso de inasistencia o bajo rendimiento. Los espacios físicos están dotados y en buen estado.</v>
      </c>
      <c r="S450" s="11" t="str">
        <f>IFERROR(IF(VLOOKUP(A450,[4]PRIORIZADOS!$A:$S,19,FALSE)="","",VLOOKUP(A450,[4]PRIORIZADOS!$A:$S,19,FALSE)),"")</f>
        <v>La IE continuará aplicando sus procedimientos de matrícula, seguimiento académico en GNOSOFT y estrategias pedagógicas según los casos. Se mantendrá la articulación entre currículo y PEI, y se fortalecerá el mantenimiento preventivo de la planta física. Se revisará el currículo en el Consejo Académico y se dará seguimiento a casos de inasistencia con acompañamiento a las familias.</v>
      </c>
      <c r="T450" s="70" t="str">
        <f>IFERROR(IF(VLOOKUP(A450,[4]PRIORIZADOS!$A:$T,20,FALSE)="","",VLOOKUP(A450,[4]PRIORIZADOS!$A:$T,20,FALSE)),"")</f>
        <v>No</v>
      </c>
      <c r="U450" s="11" t="str">
        <f>IFERROR(IF(VLOOKUP(A450,[4]PRIORIZADOS!$A:$U,21,FALSE)="","",VLOOKUP(A450,[4]PRIORIZADOS!$A:$U,21,FALSE)),"")</f>
        <v>Verificar publicación visible de tarifas y cumplimiento del procedimiento de matrícula. Supervisar el uso de GNOSOFT y la ejecución de estrategias pedagógicas cuando se requiera. Hacer seguimiento a mantenimiento de espacios físicos y revisar actas de Consejo Académico para confirmar ajustes curriculares.</v>
      </c>
    </row>
    <row r="451" spans="1:21" s="1" customFormat="1" ht="142.5">
      <c r="A451" s="69">
        <f>IF([4]PRIORIZADOS!A67="","",[4]PRIORIZADOS!A67)</f>
        <v>460</v>
      </c>
      <c r="B451" s="70">
        <v>9</v>
      </c>
      <c r="C451" s="11" t="str">
        <f>IFERROR(IF(VLOOKUP(A451,[4]PRIORIZADOS!$A:$C,3,FALSE)="","",VLOOKUP(A451,[4]PRIORIZADOS!$A:$C,3,FALSE)),"")</f>
        <v>CHAPINERO</v>
      </c>
      <c r="D451" s="11" t="str">
        <f>IFERROR(IF(VLOOKUP(A451,[4]PRIORIZADOS!$A:$D,4,FALSE)="","",VLOOKUP(A451,[4]PRIORIZADOS!$A:$D,4,FALSE)),"")</f>
        <v>PRIVADO</v>
      </c>
      <c r="E451" s="11" t="str">
        <f>IFERROR(IF(VLOOKUP(A451,[4]PRIORIZADOS!$A:$E,5,FALSE)="","",VLOOKUP(A451,[4]PRIORIZADOS!$A:$E,5,FALSE)),"")</f>
        <v>EPBM</v>
      </c>
      <c r="F451" s="11" t="str">
        <f>IFERROR(IF(VLOOKUP(A451,[4]PRIORIZADOS!$A:$F,6,FALSE)="","",VLOOKUP(A451,[4]PRIORIZADOS!$A:$F,6,FALSE)),"")</f>
        <v>COLEGIO_FILADELFIA</v>
      </c>
      <c r="G451" s="11" t="str">
        <f>IFERROR(IF(VLOOKUP(A451,[4]PRIORIZADOS!$A:$G,7,FALSE)="","",VLOOKUP(A451,[4]PRIORIZADOS!$A:$G,7,FALSE)),"")</f>
        <v>COLEGIO FILADELFIA</v>
      </c>
      <c r="H451" s="11" t="str">
        <f>IFERROR(IF(VLOOKUP(A451,[4]PRIORIZADOS!$A:$H,8,FALSE)="","",VLOOKUP(A451,[4]PRIORIZADOS!$A:$H,8,FALSE)),"")</f>
        <v>Autoevaluación Institucional y Pruebas SABER 11</v>
      </c>
      <c r="I451" s="11" t="str">
        <f>IFERROR(IF(VLOOKUP(A451,[4]PRIORIZADOS!$A:$I,9,FALSE)="","",VLOOKUP(A451,[4]PRIORIZADOS!$A:$I,9,FALSE)),"")</f>
        <v>SEGUIMIENTO_Y_SUPERVISIÓN.</v>
      </c>
      <c r="J451" s="11" t="str">
        <f>IFERROR(IF(VLOOKUP(A451,[4]PRIORIZADOS!$A:$J,10,FALSE)="","",VLOOKUP(A451,[4]PRIORIZADOS!$A:$J,10,FALSE)),"")</f>
        <v xml:space="preserve">Verificar la implementación por parte de los colegios, de acciones realizadas para la prevención y atención de las situaciones de convivencia en el entorno escolar, según lo establecido en la Directiva 01 de 2022 del MEN. </v>
      </c>
      <c r="K451" s="11" t="str">
        <f>IFERROR(IF(VLOOKUP(A451,[4]PRIORIZADOS!$A:$K,11,FALSE)="","",VLOOKUP(A451,[4]PRIORIZADOS!$A:$K,11,FALSE)),"")</f>
        <v>SANTIAGO ÁVILA LEURO</v>
      </c>
      <c r="L451" s="11" t="str">
        <f>IFERROR(IF(VLOOKUP(A451,[4]PRIORIZADOS!$A:$L,12,FALSE)="","",VLOOKUP(A451,[4]PRIORIZADOS!$A:$L,12,FALSE)),"")</f>
        <v>JUAN MANUEL AGUIRRE BOHÓRQUEZ</v>
      </c>
      <c r="M451" s="71">
        <f>IFERROR(IF(VLOOKUP(A451,[4]PRIORIZADOS!$A:$M,13,FALSE)="","",VLOOKUP(A451,[4]PRIORIZADOS!$A:$M,13,FALSE)),"")</f>
        <v>45800</v>
      </c>
      <c r="N451" s="71">
        <f>IFERROR(IF(VLOOKUP(A451,[4]PRIORIZADOS!$A:$N,14,FALSE)="","",VLOOKUP(A451,[4]PRIORIZADOS!$A:$N,14,FALSE)),"")</f>
        <v>45800</v>
      </c>
      <c r="O451" s="71">
        <f>IFERROR(IF(VLOOKUP(A451,[4]PRIORIZADOS!$A:$O,15,FALSE)="","",VLOOKUP(A451,[4]PRIORIZADOS!$A:$O,15,FALSE)),"")</f>
        <v>45800</v>
      </c>
      <c r="P451" s="11" t="str">
        <f>IFERROR(IF(VLOOKUP(A451,[4]PRIORIZADOS!$A:$P,16,FALSE)="","",VLOOKUP(A451,[4]PRIORIZADOS!$A:$P,16,FALSE)),"")</f>
        <v>Visitas de evaluación con fines de mejoramiento</v>
      </c>
      <c r="Q451" s="107" t="s">
        <v>84</v>
      </c>
      <c r="R451" s="11" t="str">
        <f>IFERROR(IF(VLOOKUP(A451,[4]PRIORIZADOS!$A:$R,18,FALSE)="","",VLOOKUP(A451,[4]PRIORIZADOS!$A:$R,18,FALSE)),"")</f>
        <v>La institución cuenta con un manual de convivencia construido y actualizado participativamente. Se aplican los enfoques de respeto, diversidad y resolución pacífica debe fortalecer el enfoque restaurativo. El Comité de Convivencia opera conforme a la norma y adelanta acciones de prevención. Se aplican los protocolos de la Ley 1620 de 2013 y se garantiza el debido proceso. Las situaciones tipo II y III son reportadas en el Sistema de Alertas del Distrito.</v>
      </c>
      <c r="S451" s="11" t="str">
        <f>IFERROR(IF(VLOOKUP(A451,[4]PRIORIZADOS!$A:$S,19,FALSE)="","",VLOOKUP(A451,[4]PRIORIZADOS!$A:$S,19,FALSE)),"")</f>
        <v>Fortalecer el enfoque restaurativo en el manual de convivencia, haciendo más explícitas sus estrategias. Continuar aplicando los protocolos establecidos y desarrollando acciones de prevención basadas en el análisis de casos reportados. Reforzar la participación activa del comité y la orientación a estudiantes y familias.</v>
      </c>
      <c r="T451" s="70" t="str">
        <f>IFERROR(IF(VLOOKUP(A451,[4]PRIORIZADOS!$A:$T,20,FALSE)="","",VLOOKUP(A451,[4]PRIORIZADOS!$A:$T,20,FALSE)),"")</f>
        <v>Si</v>
      </c>
      <c r="U451" s="11" t="str">
        <f>IFERROR(IF(VLOOKUP(A451,[4]PRIORIZADOS!$A:$U,21,FALSE)="","",VLOOKUP(A451,[4]PRIORIZADOS!$A:$U,21,FALSE)),"")</f>
        <v>Realizar revisión del manual de convivencia en su próxima actualización para verificar el fortalecimiento del enfoque restaurativo. Verificar el funcionamiento del comité mediante actas y evidencias de acciones preventivas. Confirmar el reporte oportuno en el Sistema de Alertas y el cumplimiento del debido proceso en los casos tratados.</v>
      </c>
    </row>
    <row r="452" spans="1:21" s="1" customFormat="1" ht="154.5">
      <c r="A452" s="69">
        <f>IF([4]PRIORIZADOS!A68="","",[4]PRIORIZADOS!A68)</f>
        <v>461</v>
      </c>
      <c r="B452" s="70">
        <v>9</v>
      </c>
      <c r="C452" s="11" t="str">
        <f>IFERROR(IF(VLOOKUP(A452,[4]PRIORIZADOS!$A:$C,3,FALSE)="","",VLOOKUP(A452,[4]PRIORIZADOS!$A:$C,3,FALSE)),"")</f>
        <v>CHAPINERO</v>
      </c>
      <c r="D452" s="11" t="str">
        <f>IFERROR(IF(VLOOKUP(A452,[4]PRIORIZADOS!$A:$D,4,FALSE)="","",VLOOKUP(A452,[4]PRIORIZADOS!$A:$D,4,FALSE)),"")</f>
        <v>PRIVADO</v>
      </c>
      <c r="E452" s="11" t="str">
        <f>IFERROR(IF(VLOOKUP(A452,[4]PRIORIZADOS!$A:$E,5,FALSE)="","",VLOOKUP(A452,[4]PRIORIZADOS!$A:$E,5,FALSE)),"")</f>
        <v>EPBM</v>
      </c>
      <c r="F452" s="11" t="str">
        <f>IFERROR(IF(VLOOKUP(A452,[4]PRIORIZADOS!$A:$F,6,FALSE)="","",VLOOKUP(A452,[4]PRIORIZADOS!$A:$F,6,FALSE)),"")</f>
        <v>COLEGIO_FILADELFIA</v>
      </c>
      <c r="G452" s="11" t="str">
        <f>IFERROR(IF(VLOOKUP(A452,[4]PRIORIZADOS!$A:$G,7,FALSE)="","",VLOOKUP(A452,[4]PRIORIZADOS!$A:$G,7,FALSE)),"")</f>
        <v>COLEGIO FILADELFIA</v>
      </c>
      <c r="H452" s="11" t="str">
        <f>IFERROR(IF(VLOOKUP(A452,[4]PRIORIZADOS!$A:$H,8,FALSE)="","",VLOOKUP(A452,[4]PRIORIZADOS!$A:$H,8,FALSE)),"")</f>
        <v>Autoevaluación Institucional y Pruebas SABER 11</v>
      </c>
      <c r="I452" s="11" t="str">
        <f>IFERROR(IF(VLOOKUP(A452,[4]PRIORIZADOS!$A:$I,9,FALSE)="","",VLOOKUP(A452,[4]PRIORIZADOS!$A:$I,9,FALSE)),"")</f>
        <v>SEGUIMIENTO_Y_SUPERVISIÓN.</v>
      </c>
      <c r="J452" s="11" t="str">
        <f>IFERROR(IF(VLOOKUP(A452,[4]PRIORIZADOS!$A:$J,10,FALSE)="","",VLOOKUP(A452,[4]PRIORIZADOS!$A:$J,10,FALSE)),"")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52" s="11" t="str">
        <f>IFERROR(IF(VLOOKUP(A452,[4]PRIORIZADOS!$A:$K,11,FALSE)="","",VLOOKUP(A452,[4]PRIORIZADOS!$A:$K,11,FALSE)),"")</f>
        <v>SANTIAGO ÁVILA LEURO</v>
      </c>
      <c r="L452" s="11" t="str">
        <f>IFERROR(IF(VLOOKUP(A452,[4]PRIORIZADOS!$A:$L,12,FALSE)="","",VLOOKUP(A452,[4]PRIORIZADOS!$A:$L,12,FALSE)),"")</f>
        <v>JUAN MANUEL AGUIRRE BOHÓRQUEZ</v>
      </c>
      <c r="M452" s="71">
        <f>IFERROR(IF(VLOOKUP(A452,[4]PRIORIZADOS!$A:$M,13,FALSE)="","",VLOOKUP(A452,[4]PRIORIZADOS!$A:$M,13,FALSE)),"")</f>
        <v>45800</v>
      </c>
      <c r="N452" s="71">
        <f>IFERROR(IF(VLOOKUP(A452,[4]PRIORIZADOS!$A:$N,14,FALSE)="","",VLOOKUP(A452,[4]PRIORIZADOS!$A:$N,14,FALSE)),"")</f>
        <v>45800</v>
      </c>
      <c r="O452" s="71">
        <f>IFERROR(IF(VLOOKUP(A452,[4]PRIORIZADOS!$A:$O,15,FALSE)="","",VLOOKUP(A452,[4]PRIORIZADOS!$A:$O,15,FALSE)),"")</f>
        <v>45800</v>
      </c>
      <c r="P452" s="11" t="str">
        <f>IFERROR(IF(VLOOKUP(A452,[4]PRIORIZADOS!$A:$P,16,FALSE)="","",VLOOKUP(A452,[4]PRIORIZADOS!$A:$P,16,FALSE)),"")</f>
        <v>Visitas de evaluación con fines de mejoramiento</v>
      </c>
      <c r="Q452" s="107" t="s">
        <v>84</v>
      </c>
      <c r="R452" s="11" t="str">
        <f>IFERROR(IF(VLOOKUP(A452,[4]PRIORIZADOS!$A:$R,18,FALSE)="","",VLOOKUP(A452,[4]PRIORIZADOS!$A:$R,18,FALSE)),"")</f>
        <v>La institución educativa ha identificado y caracterizado a dos estudiantes con Trastorno por Déficit de Atención e Hiperactividad (TDAH) en grado tercero. Se han implementado estrategias de atención acordes a las necesidades de estos estudiantes, alineadas con el Plan de Mejoramiento Institucional (PMI). Además, la IE cuenta con dos Planes Individuales de Ajustes Razonables (PIAR) para estudiantes con discapacidad, elaborados en conjunto con el equipo docente, orientadora escolar y familias.</v>
      </c>
      <c r="S452" s="11" t="str">
        <f>IFERROR(IF(VLOOKUP(A452,[4]PRIORIZADOS!$A:$S,19,FALSE)="","",VLOOKUP(A452,[4]PRIORIZADOS!$A:$S,19,FALSE)),"")</f>
        <v>La institución se compromete a continuar fortaleciendo la identificación y caracterización de estudiantes con trastornos de aprendizaje y talentos excepcionales. Se reafirma el compromiso con la elaboración, actualización y desarrollo de los PIAR, garantizando condiciones equitativas de acceso y participación para todos los estudiantes. Se recomienda mantener la articulación constante entre docentes, orientadores y familias para la adecuada implementación de ajustes razonables.</v>
      </c>
      <c r="T452" s="70" t="str">
        <f>IFERROR(IF(VLOOKUP(A452,[4]PRIORIZADOS!$A:$T,20,FALSE)="","",VLOOKUP(A452,[4]PRIORIZADOS!$A:$T,20,FALSE)),"")</f>
        <v>No</v>
      </c>
      <c r="U452" s="11" t="str">
        <f>IFERROR(IF(VLOOKUP(A452,[4]PRIORIZADOS!$A:$U,21,FALSE)="","",VLOOKUP(A452,[4]PRIORIZADOS!$A:$U,21,FALSE)),"")</f>
        <v>Realizar seguimiento periódico a los PIAR mediante reuniones con el equipo docente y la orientadora escolar para evaluar su efectividad y actualizar los ajustes según las necesidades cambiantes de los estudiantes. Verificar el cumplimiento del Plan de Mejoramiento Institucional en relación con la atención a estudiantes con necesidades educativas especiales, con informes trimestrales de avance.</v>
      </c>
    </row>
    <row r="453" spans="1:21" s="1" customFormat="1" ht="130.5">
      <c r="A453" s="69">
        <f>IF([4]PRIORIZADOS!A69="","",[4]PRIORIZADOS!A69)</f>
        <v>462</v>
      </c>
      <c r="B453" s="70">
        <v>9</v>
      </c>
      <c r="C453" s="11" t="str">
        <f>IFERROR(IF(VLOOKUP(A453,[4]PRIORIZADOS!$A:$C,3,FALSE)="","",VLOOKUP(A453,[4]PRIORIZADOS!$A:$C,3,FALSE)),"")</f>
        <v>CHAPINERO</v>
      </c>
      <c r="D453" s="11" t="str">
        <f>IFERROR(IF(VLOOKUP(A453,[4]PRIORIZADOS!$A:$D,4,FALSE)="","",VLOOKUP(A453,[4]PRIORIZADOS!$A:$D,4,FALSE)),"")</f>
        <v>PRIVADO</v>
      </c>
      <c r="E453" s="11" t="str">
        <f>IFERROR(IF(VLOOKUP(A453,[4]PRIORIZADOS!$A:$E,5,FALSE)="","",VLOOKUP(A453,[4]PRIORIZADOS!$A:$E,5,FALSE)),"")</f>
        <v>EPBM</v>
      </c>
      <c r="F453" s="11" t="str">
        <f>IFERROR(IF(VLOOKUP(A453,[4]PRIORIZADOS!$A:$F,6,FALSE)="","",VLOOKUP(A453,[4]PRIORIZADOS!$A:$F,6,FALSE)),"")</f>
        <v>COLEGIO_FILADELFIA</v>
      </c>
      <c r="G453" s="11" t="str">
        <f>IFERROR(IF(VLOOKUP(A453,[4]PRIORIZADOS!$A:$G,7,FALSE)="","",VLOOKUP(A453,[4]PRIORIZADOS!$A:$G,7,FALSE)),"")</f>
        <v>COLEGIO FILADELFIA</v>
      </c>
      <c r="H453" s="11" t="str">
        <f>IFERROR(IF(VLOOKUP(A453,[4]PRIORIZADOS!$A:$H,8,FALSE)="","",VLOOKUP(A453,[4]PRIORIZADOS!$A:$H,8,FALSE)),"")</f>
        <v>Autoevaluación Institucional y Pruebas SABER 11</v>
      </c>
      <c r="I453" s="11" t="str">
        <f>IFERROR(IF(VLOOKUP(A453,[4]PRIORIZADOS!$A:$I,9,FALSE)="","",VLOOKUP(A453,[4]PRIORIZADOS!$A:$I,9,FALSE)),"")</f>
        <v>EVALUACIÓN_CON_FINES_DE_MEJORAMIENTO.</v>
      </c>
      <c r="J453" s="11" t="str">
        <f>IFERROR(IF(VLOOKUP(A453,[4]PRIORIZADOS!$A:$J,10,FALSE)="","",VLOOKUP(A453,[4]PRIORIZADOS!$A:$J,10,FALSE)),"")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53" s="11" t="str">
        <f>IFERROR(IF(VLOOKUP(A453,[4]PRIORIZADOS!$A:$K,11,FALSE)="","",VLOOKUP(A453,[4]PRIORIZADOS!$A:$K,11,FALSE)),"")</f>
        <v>SANTIAGO ÁVILA LEURO</v>
      </c>
      <c r="L453" s="11" t="str">
        <f>IFERROR(IF(VLOOKUP(A453,[4]PRIORIZADOS!$A:$L,12,FALSE)="","",VLOOKUP(A453,[4]PRIORIZADOS!$A:$L,12,FALSE)),"")</f>
        <v>JUAN MANUEL AGUIRRE BOHÓRQUEZ</v>
      </c>
      <c r="M453" s="71">
        <f>IFERROR(IF(VLOOKUP(A453,[4]PRIORIZADOS!$A:$M,13,FALSE)="","",VLOOKUP(A453,[4]PRIORIZADOS!$A:$M,13,FALSE)),"")</f>
        <v>45800</v>
      </c>
      <c r="N453" s="71">
        <f>IFERROR(IF(VLOOKUP(A453,[4]PRIORIZADOS!$A:$N,14,FALSE)="","",VLOOKUP(A453,[4]PRIORIZADOS!$A:$N,14,FALSE)),"")</f>
        <v>45800</v>
      </c>
      <c r="O453" s="71">
        <f>IFERROR(IF(VLOOKUP(A453,[4]PRIORIZADOS!$A:$O,15,FALSE)="","",VLOOKUP(A453,[4]PRIORIZADOS!$A:$O,15,FALSE)),"")</f>
        <v>45800</v>
      </c>
      <c r="P453" s="11" t="str">
        <f>IFERROR(IF(VLOOKUP(A453,[4]PRIORIZADOS!$A:$P,16,FALSE)="","",VLOOKUP(A453,[4]PRIORIZADOS!$A:$P,16,FALSE)),"")</f>
        <v>Visitas de evaluación con fines de mejoramiento</v>
      </c>
      <c r="Q453" s="107" t="s">
        <v>85</v>
      </c>
      <c r="R453" s="11" t="str">
        <f>IFERROR(IF(VLOOKUP(A453,[4]PRIORIZADOS!$A:$R,18,FALSE)="","",VLOOKUP(A453,[4]PRIORIZADOS!$A:$R,18,FALSE)),"")</f>
        <v>El manual de convivencia fue construido de forma participativa, incluye los elementos legales y enfoques para la diversidad y el respeto, aunque el enfoque restaurativo requiere fortalecerse. Se actualiza anualmente, el comité de convivencia funciona y se aplican las rutas y protocolos según la Ley 1620. Las situaciones graves se reportan al Sistema de Alertas y se garantizan los derechos en los procesos disciplinarios.</v>
      </c>
      <c r="S453" s="11" t="str">
        <f>IFERROR(IF(VLOOKUP(A453,[4]PRIORIZADOS!$A:$S,19,FALSE)="","",VLOOKUP(A453,[4]PRIORIZADOS!$A:$S,19,FALSE)),"")</f>
        <v>La institución se compromete a fortalecer el enfoque restaurativo, mantener la actualización anual y garantizar la efectiva implementación del plan de convivencia y protocolos.</v>
      </c>
      <c r="T453" s="70" t="str">
        <f>IFERROR(IF(VLOOKUP(A453,[4]PRIORIZADOS!$A:$T,20,FALSE)="","",VLOOKUP(A453,[4]PRIORIZADOS!$A:$T,20,FALSE)),"")</f>
        <v>Si</v>
      </c>
      <c r="U453" s="11" t="str">
        <f>IFERROR(IF(VLOOKUP(A453,[4]PRIORIZADOS!$A:$U,21,FALSE)="","",VLOOKUP(A453,[4]PRIORIZADOS!$A:$U,21,FALSE)),"")</f>
        <v>Revisar y ajustar el manual para mejorar el enfoque restaurativo. Supervisar el comité y las acciones preventivas. Evaluar el cumplimiento del debido proceso en sanciones. A mas tardar el día 10 de julio de 2025</v>
      </c>
    </row>
    <row r="454" spans="1:21" s="1" customFormat="1" ht="130.5">
      <c r="A454" s="69">
        <f>IF([4]PRIORIZADOS!A70="","",[4]PRIORIZADOS!A70)</f>
        <v>463</v>
      </c>
      <c r="B454" s="70">
        <v>9</v>
      </c>
      <c r="C454" s="11" t="str">
        <f>IFERROR(IF(VLOOKUP(A454,[4]PRIORIZADOS!$A:$C,3,FALSE)="","",VLOOKUP(A454,[4]PRIORIZADOS!$A:$C,3,FALSE)),"")</f>
        <v>CHAPINERO</v>
      </c>
      <c r="D454" s="11" t="str">
        <f>IFERROR(IF(VLOOKUP(A454,[4]PRIORIZADOS!$A:$D,4,FALSE)="","",VLOOKUP(A454,[4]PRIORIZADOS!$A:$D,4,FALSE)),"")</f>
        <v>PRIVADO</v>
      </c>
      <c r="E454" s="11" t="str">
        <f>IFERROR(IF(VLOOKUP(A454,[4]PRIORIZADOS!$A:$E,5,FALSE)="","",VLOOKUP(A454,[4]PRIORIZADOS!$A:$E,5,FALSE)),"")</f>
        <v>EPBM</v>
      </c>
      <c r="F454" s="11" t="str">
        <f>IFERROR(IF(VLOOKUP(A454,[4]PRIORIZADOS!$A:$F,6,FALSE)="","",VLOOKUP(A454,[4]PRIORIZADOS!$A:$F,6,FALSE)),"")</f>
        <v>COLEGIO_FILADELFIA</v>
      </c>
      <c r="G454" s="11" t="str">
        <f>IFERROR(IF(VLOOKUP(A454,[4]PRIORIZADOS!$A:$G,7,FALSE)="","",VLOOKUP(A454,[4]PRIORIZADOS!$A:$G,7,FALSE)),"")</f>
        <v>COLEGIO FILADELFIA</v>
      </c>
      <c r="H454" s="11" t="str">
        <f>IFERROR(IF(VLOOKUP(A454,[4]PRIORIZADOS!$A:$H,8,FALSE)="","",VLOOKUP(A454,[4]PRIORIZADOS!$A:$H,8,FALSE)),"")</f>
        <v>Autoevaluación Institucional y Pruebas SABER 11</v>
      </c>
      <c r="I454" s="11" t="str">
        <f>IFERROR(IF(VLOOKUP(A454,[4]PRIORIZADOS!$A:$I,9,FALSE)="","",VLOOKUP(A454,[4]PRIORIZADOS!$A:$I,9,FALSE)),"")</f>
        <v>EVALUACIÓN_CON_FINES_DE_MEJORAMIENTO.</v>
      </c>
      <c r="J454" s="11" t="str">
        <f>IFERROR(IF(VLOOKUP(A454,[4]PRIORIZADOS!$A:$J,10,FALSE)="","",VLOOKUP(A454,[4]PRIORIZADOS!$A:$J,10,FALSE)),"")</f>
        <v>Revisar la actualización, socialización e implementación del Sistema Institucional de Evaluación de Estudiantes - SIEE, en articulación con la actualización del PEI y la normatividad vigente.</v>
      </c>
      <c r="K454" s="11" t="str">
        <f>IFERROR(IF(VLOOKUP(A454,[4]PRIORIZADOS!$A:$K,11,FALSE)="","",VLOOKUP(A454,[4]PRIORIZADOS!$A:$K,11,FALSE)),"")</f>
        <v>SANTIAGO ÁVILA LEURO</v>
      </c>
      <c r="L454" s="11" t="str">
        <f>IFERROR(IF(VLOOKUP(A454,[4]PRIORIZADOS!$A:$L,12,FALSE)="","",VLOOKUP(A454,[4]PRIORIZADOS!$A:$L,12,FALSE)),"")</f>
        <v>JUAN MANUEL AGUIRRE BOHÓRQUEZ</v>
      </c>
      <c r="M454" s="71">
        <f>IFERROR(IF(VLOOKUP(A454,[4]PRIORIZADOS!$A:$M,13,FALSE)="","",VLOOKUP(A454,[4]PRIORIZADOS!$A:$M,13,FALSE)),"")</f>
        <v>45800</v>
      </c>
      <c r="N454" s="71">
        <f>IFERROR(IF(VLOOKUP(A454,[4]PRIORIZADOS!$A:$N,14,FALSE)="","",VLOOKUP(A454,[4]PRIORIZADOS!$A:$N,14,FALSE)),"")</f>
        <v>45800</v>
      </c>
      <c r="O454" s="71">
        <f>IFERROR(IF(VLOOKUP(A454,[4]PRIORIZADOS!$A:$O,15,FALSE)="","",VLOOKUP(A454,[4]PRIORIZADOS!$A:$O,15,FALSE)),"")</f>
        <v>45800</v>
      </c>
      <c r="P454" s="11" t="str">
        <f>IFERROR(IF(VLOOKUP(A454,[4]PRIORIZADOS!$A:$P,16,FALSE)="","",VLOOKUP(A454,[4]PRIORIZADOS!$A:$P,16,FALSE)),"")</f>
        <v>Visitas de evaluación con fines de mejoramiento</v>
      </c>
      <c r="Q454" s="107" t="s">
        <v>84</v>
      </c>
      <c r="R454" s="11" t="str">
        <f>IFERROR(IF(VLOOKUP(A454,[4]PRIORIZADOS!$A:$R,18,FALSE)="","",VLOOKUP(A454,[4]PRIORIZADOS!$A:$R,18,FALSE)),"")</f>
        <v>El Colegio Filadelfia para Niños desarrolla su propuesta pedagógica para preescolar acorde con las bases curriculares y el PEI, documentando el seguimiento individual del aprendizaje. En básica y media, el currículo tiene objetivos progresivos claros y se registra toda la información académica en la plataforma GNOSOFT. Se cuentan con estrategias de apoyo y nivelación para atender las necesidades de los estudiantes.</v>
      </c>
      <c r="S454" s="11" t="str">
        <f>IFERROR(IF(VLOOKUP(A454,[4]PRIORIZADOS!$A:$S,19,FALSE)="","",VLOOKUP(A454,[4]PRIORIZADOS!$A:$S,19,FALSE)),"")</f>
        <v>Mantener la actualización y articulación del SIEE con el PEI y normatividad vigente. Continuar implementando y mejorando las estrategias de apoyo y nivelación para optimizar el proceso de aprendizaje.</v>
      </c>
      <c r="T454" s="70" t="str">
        <f>IFERROR(IF(VLOOKUP(A454,[4]PRIORIZADOS!$A:$T,20,FALSE)="","",VLOOKUP(A454,[4]PRIORIZADOS!$A:$T,20,FALSE)),"")</f>
        <v>No</v>
      </c>
      <c r="U454" s="11" t="str">
        <f>IFERROR(IF(VLOOKUP(A454,[4]PRIORIZADOS!$A:$U,21,FALSE)="","",VLOOKUP(A454,[4]PRIORIZADOS!$A:$U,21,FALSE)),"")</f>
        <v>Verificar periódicamente el uso y actualización de la plataforma GNOSOFT. Realizar seguimiento a los planes de mejoramiento y estrategias pedagógicas aplicadas. Revisar la coherencia entre el diseño curricular y el PEI.</v>
      </c>
    </row>
    <row r="455" spans="1:21" s="1" customFormat="1" ht="84">
      <c r="A455" s="69">
        <f>IF([4]PRIORIZADOS!A71="","",[4]PRIORIZADOS!A71)</f>
        <v>464</v>
      </c>
      <c r="B455" s="70">
        <v>9</v>
      </c>
      <c r="C455" s="11" t="str">
        <f>IFERROR(IF(VLOOKUP(A455,[4]PRIORIZADOS!$A:$C,3,FALSE)="","",VLOOKUP(A455,[4]PRIORIZADOS!$A:$C,3,FALSE)),"")</f>
        <v>CHAPINERO</v>
      </c>
      <c r="D455" s="11" t="str">
        <f>IFERROR(IF(VLOOKUP(A455,[4]PRIORIZADOS!$A:$D,4,FALSE)="","",VLOOKUP(A455,[4]PRIORIZADOS!$A:$D,4,FALSE)),"")</f>
        <v>PRIVADO</v>
      </c>
      <c r="E455" s="11" t="str">
        <f>IFERROR(IF(VLOOKUP(A455,[4]PRIORIZADOS!$A:$E,5,FALSE)="","",VLOOKUP(A455,[4]PRIORIZADOS!$A:$E,5,FALSE)),"")</f>
        <v>EPBM</v>
      </c>
      <c r="F455" s="11" t="str">
        <f>IFERROR(IF(VLOOKUP(A455,[4]PRIORIZADOS!$A:$F,6,FALSE)="","",VLOOKUP(A455,[4]PRIORIZADOS!$A:$F,6,FALSE)),"")</f>
        <v>COLEGIO_FILADELFIA</v>
      </c>
      <c r="G455" s="11" t="str">
        <f>IFERROR(IF(VLOOKUP(A455,[4]PRIORIZADOS!$A:$G,7,FALSE)="","",VLOOKUP(A455,[4]PRIORIZADOS!$A:$G,7,FALSE)),"")</f>
        <v>COLEGIO FILADELFIA</v>
      </c>
      <c r="H455" s="11" t="str">
        <f>IFERROR(IF(VLOOKUP(A455,[4]PRIORIZADOS!$A:$H,8,FALSE)="","",VLOOKUP(A455,[4]PRIORIZADOS!$A:$H,8,FALSE)),"")</f>
        <v>Autoevaluación Institucional y Pruebas SABER 11</v>
      </c>
      <c r="I455" s="11" t="str">
        <f>IFERROR(IF(VLOOKUP(A455,[4]PRIORIZADOS!$A:$I,9,FALSE)="","",VLOOKUP(A455,[4]PRIORIZADOS!$A:$I,9,FALSE)),"")</f>
        <v>EVALUACIÓN_CON_FINES_DE_MEJORAMIENTO.</v>
      </c>
      <c r="J455" s="11" t="str">
        <f>IFERROR(IF(VLOOKUP(A455,[4]PRIORIZADOS!$A:$J,10,FALSE)="","",VLOOKUP(A455,[4]PRIORIZADOS!$A:$J,10,FALSE)),"")</f>
        <v>Revisar el calendario escolar, jornada escolar, la intensidad horaria mínima anual en cada nivel y las modificaciones que se realicen al mismo, de acuerdo con lo previsto en la normatividad vigente.</v>
      </c>
      <c r="K455" s="11" t="str">
        <f>IFERROR(IF(VLOOKUP(A455,[4]PRIORIZADOS!$A:$K,11,FALSE)="","",VLOOKUP(A455,[4]PRIORIZADOS!$A:$K,11,FALSE)),"")</f>
        <v>SANTIAGO ÁVILA LEURO</v>
      </c>
      <c r="L455" s="11" t="str">
        <f>IFERROR(IF(VLOOKUP(A455,[4]PRIORIZADOS!$A:$L,12,FALSE)="","",VLOOKUP(A455,[4]PRIORIZADOS!$A:$L,12,FALSE)),"")</f>
        <v>JUAN MANUEL AGUIRRE BOHÓRQUEZ</v>
      </c>
      <c r="M455" s="71">
        <f>IFERROR(IF(VLOOKUP(A455,[4]PRIORIZADOS!$A:$M,13,FALSE)="","",VLOOKUP(A455,[4]PRIORIZADOS!$A:$M,13,FALSE)),"")</f>
        <v>45800</v>
      </c>
      <c r="N455" s="71">
        <f>IFERROR(IF(VLOOKUP(A455,[4]PRIORIZADOS!$A:$N,14,FALSE)="","",VLOOKUP(A455,[4]PRIORIZADOS!$A:$N,14,FALSE)),"")</f>
        <v>45800</v>
      </c>
      <c r="O455" s="71">
        <f>IFERROR(IF(VLOOKUP(A455,[4]PRIORIZADOS!$A:$O,15,FALSE)="","",VLOOKUP(A455,[4]PRIORIZADOS!$A:$O,15,FALSE)),"")</f>
        <v>45800</v>
      </c>
      <c r="P455" s="11" t="str">
        <f>IFERROR(IF(VLOOKUP(A455,[4]PRIORIZADOS!$A:$P,16,FALSE)="","",VLOOKUP(A455,[4]PRIORIZADOS!$A:$P,16,FALSE)),"")</f>
        <v>Visitas de evaluación con fines de mejoramiento</v>
      </c>
      <c r="Q455" s="107" t="s">
        <v>84</v>
      </c>
      <c r="R455" s="11" t="str">
        <f>IFERROR(IF(VLOOKUP(A455,[4]PRIORIZADOS!$A:$R,18,FALSE)="","",VLOOKUP(A455,[4]PRIORIZADOS!$A:$R,18,FALSE)),"")</f>
        <v>Durante la visita se verificó que el calendario escolar institucional garantiza el cumplimiento de la intensidad horaria mínima anual para todos los niveles educativos que ofrece la institución, acorde con la normatividad vigente del Ministerio de Educación Nacional.</v>
      </c>
      <c r="S455" s="11" t="str">
        <f>IFERROR(IF(VLOOKUP(A455,[4]PRIORIZADOS!$A:$S,19,FALSE)="","",VLOOKUP(A455,[4]PRIORIZADOS!$A:$S,19,FALSE)),"")</f>
        <v>Mantener la adecuada programación y supervisión del calendario escolar para asegurar la continuidad del cumplimiento de la intensidad horaria mínima establecida.</v>
      </c>
      <c r="T455" s="70" t="str">
        <f>IFERROR(IF(VLOOKUP(A455,[4]PRIORIZADOS!$A:$T,20,FALSE)="","",VLOOKUP(A455,[4]PRIORIZADOS!$A:$T,20,FALSE)),"")</f>
        <v>No</v>
      </c>
      <c r="U455" s="11" t="str">
        <f>IFERROR(IF(VLOOKUP(A455,[4]PRIORIZADOS!$A:$U,21,FALSE)="","",VLOOKUP(A455,[4]PRIORIZADOS!$A:$U,21,FALSE)),"")</f>
        <v>Realizar seguimiento anual al calendario escolar para verificar que no se presenten modificaciones que afecten la intensidad horaria mínima. Revisar informes de asistencia y cumplimiento de la jornada escolar.</v>
      </c>
    </row>
    <row r="456" spans="1:21" s="1" customFormat="1" ht="84">
      <c r="A456" s="69">
        <f>IF([4]PRIORIZADOS!A72="","",[4]PRIORIZADOS!A72)</f>
        <v>465</v>
      </c>
      <c r="B456" s="70">
        <v>9</v>
      </c>
      <c r="C456" s="11" t="str">
        <f>IFERROR(IF(VLOOKUP(A456,[4]PRIORIZADOS!$A:$C,3,FALSE)="","",VLOOKUP(A456,[4]PRIORIZADOS!$A:$C,3,FALSE)),"")</f>
        <v>CHAPINERO</v>
      </c>
      <c r="D456" s="11" t="str">
        <f>IFERROR(IF(VLOOKUP(A456,[4]PRIORIZADOS!$A:$D,4,FALSE)="","",VLOOKUP(A456,[4]PRIORIZADOS!$A:$D,4,FALSE)),"")</f>
        <v>PRIVADO</v>
      </c>
      <c r="E456" s="11" t="str">
        <f>IFERROR(IF(VLOOKUP(A456,[4]PRIORIZADOS!$A:$E,5,FALSE)="","",VLOOKUP(A456,[4]PRIORIZADOS!$A:$E,5,FALSE)),"")</f>
        <v>EPBM</v>
      </c>
      <c r="F456" s="11" t="str">
        <f>IFERROR(IF(VLOOKUP(A456,[4]PRIORIZADOS!$A:$F,6,FALSE)="","",VLOOKUP(A456,[4]PRIORIZADOS!$A:$F,6,FALSE)),"")</f>
        <v>COLEGIO_FILADELFIA</v>
      </c>
      <c r="G456" s="11" t="str">
        <f>IFERROR(IF(VLOOKUP(A456,[4]PRIORIZADOS!$A:$G,7,FALSE)="","",VLOOKUP(A456,[4]PRIORIZADOS!$A:$G,7,FALSE)),"")</f>
        <v>COLEGIO FILADELFIA</v>
      </c>
      <c r="H456" s="11" t="str">
        <f>IFERROR(IF(VLOOKUP(A456,[4]PRIORIZADOS!$A:$H,8,FALSE)="","",VLOOKUP(A456,[4]PRIORIZADOS!$A:$H,8,FALSE)),"")</f>
        <v>Autoevaluación Institucional y Pruebas SABER 11</v>
      </c>
      <c r="I456" s="11" t="str">
        <f>IFERROR(IF(VLOOKUP(A456,[4]PRIORIZADOS!$A:$I,9,FALSE)="","",VLOOKUP(A456,[4]PRIORIZADOS!$A:$I,9,FALSE)),"")</f>
        <v>EVALUACIÓN_CON_FINES_DE_MEJORAMIENTO.</v>
      </c>
      <c r="J456" s="11" t="str">
        <f>IFERROR(IF(VLOOKUP(A456,[4]PRIORIZADOS!$A:$J,10,FALSE)="","",VLOOKUP(A456,[4]PRIORIZADOS!$A:$J,10,FALSE)),"")</f>
        <v>Verificar el funcionamiento del Gobierno Escolar e instancias de participación con base en la información sobre conformación reportada por la institución educativa.</v>
      </c>
      <c r="K456" s="11" t="str">
        <f>IFERROR(IF(VLOOKUP(A456,[4]PRIORIZADOS!$A:$K,11,FALSE)="","",VLOOKUP(A456,[4]PRIORIZADOS!$A:$K,11,FALSE)),"")</f>
        <v>SANTIAGO ÁVILA LEURO</v>
      </c>
      <c r="L456" s="11" t="str">
        <f>IFERROR(IF(VLOOKUP(A456,[4]PRIORIZADOS!$A:$L,12,FALSE)="","",VLOOKUP(A456,[4]PRIORIZADOS!$A:$L,12,FALSE)),"")</f>
        <v>JUAN MANUEL AGUIRRE BOHÓRQUEZ</v>
      </c>
      <c r="M456" s="71">
        <f>IFERROR(IF(VLOOKUP(A456,[4]PRIORIZADOS!$A:$M,13,FALSE)="","",VLOOKUP(A456,[4]PRIORIZADOS!$A:$M,13,FALSE)),"")</f>
        <v>45800</v>
      </c>
      <c r="N456" s="71">
        <f>IFERROR(IF(VLOOKUP(A456,[4]PRIORIZADOS!$A:$N,14,FALSE)="","",VLOOKUP(A456,[4]PRIORIZADOS!$A:$N,14,FALSE)),"")</f>
        <v>45800</v>
      </c>
      <c r="O456" s="71">
        <f>IFERROR(IF(VLOOKUP(A456,[4]PRIORIZADOS!$A:$O,15,FALSE)="","",VLOOKUP(A456,[4]PRIORIZADOS!$A:$O,15,FALSE)),"")</f>
        <v>45800</v>
      </c>
      <c r="P456" s="11" t="str">
        <f>IFERROR(IF(VLOOKUP(A456,[4]PRIORIZADOS!$A:$P,16,FALSE)="","",VLOOKUP(A456,[4]PRIORIZADOS!$A:$P,16,FALSE)),"")</f>
        <v>Visitas de evaluación con fines de mejoramiento</v>
      </c>
      <c r="Q456" s="107" t="s">
        <v>84</v>
      </c>
      <c r="R456" s="11" t="str">
        <f>IFERROR(IF(VLOOKUP(A456,[4]PRIORIZADOS!$A:$R,18,FALSE)="","",VLOOKUP(A456,[4]PRIORIZADOS!$A:$R,18,FALSE)),"")</f>
        <v>El Consejo Directivo y Académico están conformados según norma, pero el Consejo Académico realiza funciones de comisiones de evaluación. Las instancias de participación están constituidas y funcionan correctamente con respaldo documental.</v>
      </c>
      <c r="S456" s="11" t="str">
        <f>IFERROR(IF(VLOOKUP(A456,[4]PRIORIZADOS!$A:$S,19,FALSE)="","",VLOOKUP(A456,[4]PRIORIZADOS!$A:$S,19,FALSE)),"")</f>
        <v xml:space="preserve">Separar funciones del Consejo Académico creando comisiones propias y a fortalecer la capacitación de los representantes de las instancias de participación.
</v>
      </c>
      <c r="T456" s="70" t="str">
        <f>IFERROR(IF(VLOOKUP(A456,[4]PRIORIZADOS!$A:$T,20,FALSE)="","",VLOOKUP(A456,[4]PRIORIZADOS!$A:$T,20,FALSE)),"")</f>
        <v>No</v>
      </c>
      <c r="U456" s="11" t="str">
        <f>IFERROR(IF(VLOOKUP(A456,[4]PRIORIZADOS!$A:$U,21,FALSE)="","",VLOOKUP(A456,[4]PRIORIZADOS!$A:$U,21,FALSE)),"")</f>
        <v xml:space="preserve">Se hará seguimiento a la conformación de comisiones y a la formación de los representantes mediante revisión de actas y reportes periódicos.
</v>
      </c>
    </row>
    <row r="457" spans="1:21" s="1" customFormat="1" ht="84">
      <c r="A457" s="69">
        <f>IF([4]PRIORIZADOS!A73="","",[4]PRIORIZADOS!A73)</f>
        <v>466</v>
      </c>
      <c r="B457" s="70">
        <v>9</v>
      </c>
      <c r="C457" s="11" t="str">
        <f>IFERROR(IF(VLOOKUP(A457,[4]PRIORIZADOS!$A:$C,3,FALSE)="","",VLOOKUP(A457,[4]PRIORIZADOS!$A:$C,3,FALSE)),"")</f>
        <v>CHAPINERO</v>
      </c>
      <c r="D457" s="11" t="str">
        <f>IFERROR(IF(VLOOKUP(A457,[4]PRIORIZADOS!$A:$D,4,FALSE)="","",VLOOKUP(A457,[4]PRIORIZADOS!$A:$D,4,FALSE)),"")</f>
        <v>PRIVADO</v>
      </c>
      <c r="E457" s="11" t="str">
        <f>IFERROR(IF(VLOOKUP(A457,[4]PRIORIZADOS!$A:$E,5,FALSE)="","",VLOOKUP(A457,[4]PRIORIZADOS!$A:$E,5,FALSE)),"")</f>
        <v>EPBM</v>
      </c>
      <c r="F457" s="11" t="str">
        <f>IFERROR(IF(VLOOKUP(A457,[4]PRIORIZADOS!$A:$F,6,FALSE)="","",VLOOKUP(A457,[4]PRIORIZADOS!$A:$F,6,FALSE)),"")</f>
        <v>COLEGIO_FILADELFIA</v>
      </c>
      <c r="G457" s="11" t="str">
        <f>IFERROR(IF(VLOOKUP(A457,[4]PRIORIZADOS!$A:$G,7,FALSE)="","",VLOOKUP(A457,[4]PRIORIZADOS!$A:$G,7,FALSE)),"")</f>
        <v>COLEGIO FILADELFIA</v>
      </c>
      <c r="H457" s="11" t="str">
        <f>IFERROR(IF(VLOOKUP(A457,[4]PRIORIZADOS!$A:$H,8,FALSE)="","",VLOOKUP(A457,[4]PRIORIZADOS!$A:$H,8,FALSE)),"")</f>
        <v>Autoevaluación Institucional y Pruebas SABER 11</v>
      </c>
      <c r="I457" s="11" t="str">
        <f>IFERROR(IF(VLOOKUP(A457,[4]PRIORIZADOS!$A:$I,9,FALSE)="","",VLOOKUP(A457,[4]PRIORIZADOS!$A:$I,9,FALSE)),"")</f>
        <v>EVALUACIÓN_CON_FINES_DE_MEJORAMIENTO.</v>
      </c>
      <c r="J457" s="11" t="str">
        <f>IFERROR(IF(VLOOKUP(A457,[4]PRIORIZADOS!$A:$J,10,FALSE)="","",VLOOKUP(A457,[4]PRIORIZADOS!$A:$J,10,FALSE)),"")</f>
        <v>Verificar las condiciones en cuanto a: la estructura administrativa, condiciones de la planta física y medios educativos adecuados.</v>
      </c>
      <c r="K457" s="11" t="str">
        <f>IFERROR(IF(VLOOKUP(A457,[4]PRIORIZADOS!$A:$K,11,FALSE)="","",VLOOKUP(A457,[4]PRIORIZADOS!$A:$K,11,FALSE)),"")</f>
        <v>SANTIAGO ÁVILA LEURO</v>
      </c>
      <c r="L457" s="11" t="str">
        <f>IFERROR(IF(VLOOKUP(A457,[4]PRIORIZADOS!$A:$L,12,FALSE)="","",VLOOKUP(A457,[4]PRIORIZADOS!$A:$L,12,FALSE)),"")</f>
        <v>JUAN MANUEL AGUIRRE BOHÓRQUEZ</v>
      </c>
      <c r="M457" s="71">
        <f>IFERROR(IF(VLOOKUP(A457,[4]PRIORIZADOS!$A:$M,13,FALSE)="","",VLOOKUP(A457,[4]PRIORIZADOS!$A:$M,13,FALSE)),"")</f>
        <v>45800</v>
      </c>
      <c r="N457" s="71">
        <f>IFERROR(IF(VLOOKUP(A457,[4]PRIORIZADOS!$A:$N,14,FALSE)="","",VLOOKUP(A457,[4]PRIORIZADOS!$A:$N,14,FALSE)),"")</f>
        <v>45800</v>
      </c>
      <c r="O457" s="71">
        <f>IFERROR(IF(VLOOKUP(A457,[4]PRIORIZADOS!$A:$O,15,FALSE)="","",VLOOKUP(A457,[4]PRIORIZADOS!$A:$O,15,FALSE)),"")</f>
        <v>45800</v>
      </c>
      <c r="P457" s="11" t="str">
        <f>IFERROR(IF(VLOOKUP(A457,[4]PRIORIZADOS!$A:$P,16,FALSE)="","",VLOOKUP(A457,[4]PRIORIZADOS!$A:$P,16,FALSE)),"")</f>
        <v>Visitas de evaluación con fines de mejoramiento</v>
      </c>
      <c r="Q457" s="107" t="s">
        <v>84</v>
      </c>
      <c r="R457" s="11" t="str">
        <f>IFERROR(IF(VLOOKUP(A457,[4]PRIORIZADOS!$A:$R,18,FALSE)="","",VLOOKUP(A457,[4]PRIORIZADOS!$A:$R,18,FALSE)),"")</f>
        <v>El colegio cuenta con ambientes de aprendizaje, espacios administrativos y recreativos adecuados y dotados conforme al número de estudiantes. No tiene estudiantes con discapacidad. El mobiliario y las instalaciones están en buen estado, aunque algunas estructuras son antiguas.</v>
      </c>
      <c r="S457" s="11" t="str">
        <f>IFERROR(IF(VLOOKUP(A457,[4]PRIORIZADOS!$A:$S,19,FALSE)="","",VLOOKUP(A457,[4]PRIORIZADOS!$A:$S,19,FALSE)),"")</f>
        <v>Mantener en buen estado el mobiliario, la planta física y realizar mantenimiento preventivo o correctivo en las instalaciones, para asegurar la adecuada prestación del servicio educativo.</v>
      </c>
      <c r="T457" s="70" t="str">
        <f>IFERROR(IF(VLOOKUP(A457,[4]PRIORIZADOS!$A:$T,20,FALSE)="","",VLOOKUP(A457,[4]PRIORIZADOS!$A:$T,20,FALSE)),"")</f>
        <v>No</v>
      </c>
      <c r="U457" s="11" t="str">
        <f>IFERROR(IF(VLOOKUP(A457,[4]PRIORIZADOS!$A:$U,21,FALSE)="","",VLOOKUP(A457,[4]PRIORIZADOS!$A:$U,21,FALSE)),"")</f>
        <v xml:space="preserve">Se verificará periódicamente el estado del mobiliario y las instalaciones, asegurando el mantenimiento oportuno y la conservación adecuada de los espacios educativos y administrativos.
</v>
      </c>
    </row>
    <row r="458" spans="1:21" s="1" customFormat="1" ht="84">
      <c r="A458" s="69">
        <f>IF([4]PRIORIZADOS!A74="","",[4]PRIORIZADOS!A74)</f>
        <v>467</v>
      </c>
      <c r="B458" s="70">
        <v>10</v>
      </c>
      <c r="C458" s="11" t="str">
        <f>IFERROR(IF(VLOOKUP(A458,[4]PRIORIZADOS!$A:$C,3,FALSE)="","",VLOOKUP(A458,[4]PRIORIZADOS!$A:$C,3,FALSE)),"")</f>
        <v>CHAPINERO</v>
      </c>
      <c r="D458" s="11" t="str">
        <f>IFERROR(IF(VLOOKUP(A458,[4]PRIORIZADOS!$A:$D,4,FALSE)="","",VLOOKUP(A458,[4]PRIORIZADOS!$A:$D,4,FALSE)),"")</f>
        <v>OFICIAL</v>
      </c>
      <c r="E458" s="11" t="str">
        <f>IFERROR(IF(VLOOKUP(A458,[4]PRIORIZADOS!$A:$E,5,FALSE)="","",VLOOKUP(A458,[4]PRIORIZADOS!$A:$E,5,FALSE)),"")</f>
        <v>EPBM</v>
      </c>
      <c r="F458" s="11" t="str">
        <f>IFERROR(IF(VLOOKUP(A458,[4]PRIORIZADOS!$A:$F,6,FALSE)="","",VLOOKUP(A458,[4]PRIORIZADOS!$A:$F,6,FALSE)),"")</f>
        <v>COLEGIO_SIMON_RODRIGUEZ_IED</v>
      </c>
      <c r="G458" s="11" t="str">
        <f>IFERROR(IF(VLOOKUP(A458,[4]PRIORIZADOS!$A:$G,7,FALSE)="","",VLOOKUP(A458,[4]PRIORIZADOS!$A:$G,7,FALSE)),"")</f>
        <v>SIMON RODRIGUEZ</v>
      </c>
      <c r="H458" s="11" t="str">
        <f>IFERROR(IF(VLOOKUP(A458,[4]PRIORIZADOS!$A:$H,8,FALSE)="","",VLOOKUP(A458,[4]PRIORIZADOS!$A:$H,8,FALSE)),"")</f>
        <v>Autoevaluación Institucional y Pruebas SABER 11</v>
      </c>
      <c r="I458" s="11" t="str">
        <f>IFERROR(IF(VLOOKUP(A458,[4]PRIORIZADOS!$A:$I,9,FALSE)="","",VLOOKUP(A458,[4]PRIORIZADOS!$A:$I,9,FALSE)),"")</f>
        <v>SEGUIMIENTO_Y_SUPERVISIÓN.</v>
      </c>
      <c r="J458" s="11" t="str">
        <f>IFERROR(IF(VLOOKUP(A458,[4]PRIORIZADOS!$A:$J,10,FALSE)="","",VLOOKUP(A458,[4]PRIORIZADOS!$A:$J,10,FALSE)),"")</f>
        <v xml:space="preserve">Verificar la implementación por parte de los colegios, de acciones realizadas para la prevención y atención de las situaciones de convivencia en el entorno escolar, según lo establecido en la Directiva 01 de 2022 del MEN. </v>
      </c>
      <c r="K458" s="11" t="str">
        <f>IFERROR(IF(VLOOKUP(A458,[4]PRIORIZADOS!$A:$K,11,FALSE)="","",VLOOKUP(A458,[4]PRIORIZADOS!$A:$K,11,FALSE)),"")</f>
        <v xml:space="preserve">LAURA CRISTINA BECERRA CHAVES </v>
      </c>
      <c r="L458" s="11" t="str">
        <f>IFERROR(IF(VLOOKUP(A458,[4]PRIORIZADOS!$A:$L,12,FALSE)="","",VLOOKUP(A458,[4]PRIORIZADOS!$A:$L,12,FALSE)),"")</f>
        <v>SANTIAGO ÁVILA LEURO</v>
      </c>
      <c r="M458" s="71">
        <f>IFERROR(IF(VLOOKUP(A458,[4]PRIORIZADOS!$A:$M,13,FALSE)="","",VLOOKUP(A458,[4]PRIORIZADOS!$A:$M,13,FALSE)),"")</f>
        <v>45744</v>
      </c>
      <c r="N458" s="71">
        <f>IFERROR(IF(VLOOKUP(A458,[4]PRIORIZADOS!$A:$N,14,FALSE)="","",VLOOKUP(A458,[4]PRIORIZADOS!$A:$N,14,FALSE)),"")</f>
        <v>45793</v>
      </c>
      <c r="O458" s="71">
        <f>IFERROR(IF(VLOOKUP(A458,[4]PRIORIZADOS!$A:$O,15,FALSE)="","",VLOOKUP(A458,[4]PRIORIZADOS!$A:$O,15,FALSE)),"")</f>
        <v>45793</v>
      </c>
      <c r="P458" s="11" t="str">
        <f>IFERROR(IF(VLOOKUP(A458,[4]PRIORIZADOS!$A:$P,16,FALSE)="","",VLOOKUP(A458,[4]PRIORIZADOS!$A:$P,16,FALSE)),"")</f>
        <v>Visitas de evaluación con fines de mejoramiento</v>
      </c>
      <c r="Q458" s="107" t="s">
        <v>86</v>
      </c>
      <c r="R458" s="11" t="str">
        <f>IFERROR(IF(VLOOKUP(A458,[4]PRIORIZADOS!$A:$R,18,FALSE)="","",VLOOKUP(A458,[4]PRIORIZADOS!$A:$R,18,FALSE)),"")</f>
        <v>La IE realiza diferentes evaluaciones por áreas apoyado de herramientas tecnológicas (Santillana, Colombia aprende), refuerza conocimiento en lectura critica, focalizado de acuerdo con los resultados de las pruebas y lo observado por docentes en el aula</v>
      </c>
      <c r="S458" s="11" t="str">
        <f>IFERROR(IF(VLOOKUP(A458,[4]PRIORIZADOS!$A:$S,19,FALSE)="","",VLOOKUP(A458,[4]PRIORIZADOS!$A:$S,19,FALSE)),"")</f>
        <v xml:space="preserve">Documentar los informes, análisis y estadísticas que le permiten generar las estrategias que esta desarrollando, como insumo para proyección del siguiente año académico </v>
      </c>
      <c r="T458" s="70" t="str">
        <f>IFERROR(IF(VLOOKUP(A458,[4]PRIORIZADOS!$A:$T,20,FALSE)="","",VLOOKUP(A458,[4]PRIORIZADOS!$A:$T,20,FALSE)),"")</f>
        <v>Si</v>
      </c>
      <c r="U458" s="11" t="str">
        <f>IFERROR(IF(VLOOKUP(A458,[4]PRIORIZADOS!$A:$U,21,FALSE)="","",VLOOKUP(A458,[4]PRIORIZADOS!$A:$U,21,FALSE)),"")</f>
        <v>Verificar el plan de mejoramiento en el mes de junio 2025, y una vez documentadas las acciones analizar el documento con el fin de proponer acciones de mejora</v>
      </c>
    </row>
    <row r="459" spans="1:21" s="1" customFormat="1" ht="84">
      <c r="A459" s="69">
        <f>IF([4]PRIORIZADOS!A75="","",[4]PRIORIZADOS!A75)</f>
        <v>469</v>
      </c>
      <c r="B459" s="70">
        <v>10</v>
      </c>
      <c r="C459" s="11" t="str">
        <f>IFERROR(IF(VLOOKUP(A459,[4]PRIORIZADOS!$A:$C,3,FALSE)="","",VLOOKUP(A459,[4]PRIORIZADOS!$A:$C,3,FALSE)),"")</f>
        <v>CHAPINERO</v>
      </c>
      <c r="D459" s="11" t="str">
        <f>IFERROR(IF(VLOOKUP(A459,[4]PRIORIZADOS!$A:$D,4,FALSE)="","",VLOOKUP(A459,[4]PRIORIZADOS!$A:$D,4,FALSE)),"")</f>
        <v>OFICIAL</v>
      </c>
      <c r="E459" s="11" t="str">
        <f>IFERROR(IF(VLOOKUP(A459,[4]PRIORIZADOS!$A:$E,5,FALSE)="","",VLOOKUP(A459,[4]PRIORIZADOS!$A:$E,5,FALSE)),"")</f>
        <v>EPBM</v>
      </c>
      <c r="F459" s="11" t="str">
        <f>IFERROR(IF(VLOOKUP(A459,[4]PRIORIZADOS!$A:$F,6,FALSE)="","",VLOOKUP(A459,[4]PRIORIZADOS!$A:$F,6,FALSE)),"")</f>
        <v>COLEGIO_SIMON_RODRIGUEZ_IED</v>
      </c>
      <c r="G459" s="11" t="str">
        <f>IFERROR(IF(VLOOKUP(A459,[4]PRIORIZADOS!$A:$G,7,FALSE)="","",VLOOKUP(A459,[4]PRIORIZADOS!$A:$G,7,FALSE)),"")</f>
        <v>SIMON RODRIGUEZ</v>
      </c>
      <c r="H459" s="11" t="str">
        <f>IFERROR(IF(VLOOKUP(A459,[4]PRIORIZADOS!$A:$H,8,FALSE)="","",VLOOKUP(A459,[4]PRIORIZADOS!$A:$H,8,FALSE)),"")</f>
        <v>Autoevaluación Institucional y Pruebas SABER 11</v>
      </c>
      <c r="I459" s="11" t="str">
        <f>IFERROR(IF(VLOOKUP(A459,[4]PRIORIZADOS!$A:$I,9,FALSE)="","",VLOOKUP(A459,[4]PRIORIZADOS!$A:$I,9,FALSE)),"")</f>
        <v>SEGUIMIENTO_Y_SUPERVISIÓN.</v>
      </c>
      <c r="J459" s="11" t="str">
        <f>IFERROR(IF(VLOOKUP(A459,[4]PRIORIZADOS!$A:$J,10,FALSE)="","",VLOOKUP(A459,[4]PRIORIZADOS!$A:$J,10,FALSE)),"")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59" s="11" t="str">
        <f>IFERROR(IF(VLOOKUP(A459,[4]PRIORIZADOS!$A:$K,11,FALSE)="","",VLOOKUP(A459,[4]PRIORIZADOS!$A:$K,11,FALSE)),"")</f>
        <v xml:space="preserve">LAURA CRISTINA BECERRA CHAVES </v>
      </c>
      <c r="L459" s="11" t="str">
        <f>IFERROR(IF(VLOOKUP(A459,[4]PRIORIZADOS!$A:$L,12,FALSE)="","",VLOOKUP(A459,[4]PRIORIZADOS!$A:$L,12,FALSE)),"")</f>
        <v>SANTIAGO ÁVILA LEURO</v>
      </c>
      <c r="M459" s="71">
        <f>IFERROR(IF(VLOOKUP(A459,[4]PRIORIZADOS!$A:$M,13,FALSE)="","",VLOOKUP(A459,[4]PRIORIZADOS!$A:$M,13,FALSE)),"")</f>
        <v>45744</v>
      </c>
      <c r="N459" s="71">
        <f>IFERROR(IF(VLOOKUP(A459,[4]PRIORIZADOS!$A:$N,14,FALSE)="","",VLOOKUP(A459,[4]PRIORIZADOS!$A:$N,14,FALSE)),"")</f>
        <v>45793</v>
      </c>
      <c r="O459" s="71">
        <f>IFERROR(IF(VLOOKUP(A459,[4]PRIORIZADOS!$A:$O,15,FALSE)="","",VLOOKUP(A459,[4]PRIORIZADOS!$A:$O,15,FALSE)),"")</f>
        <v>45793</v>
      </c>
      <c r="P459" s="11" t="str">
        <f>IFERROR(IF(VLOOKUP(A459,[4]PRIORIZADOS!$A:$P,16,FALSE)="","",VLOOKUP(A459,[4]PRIORIZADOS!$A:$P,16,FALSE)),"")</f>
        <v>Visitas de evaluación con fines de mejoramiento</v>
      </c>
      <c r="Q459" s="107" t="s">
        <v>86</v>
      </c>
      <c r="R459" s="11" t="str">
        <f>IFERROR(IF(VLOOKUP(A459,[4]PRIORIZADOS!$A:$R,18,FALSE)="","",VLOOKUP(A459,[4]PRIORIZADOS!$A:$R,18,FALSE)),"")</f>
        <v xml:space="preserve">Cuentan con archivo organizado y detallado de cada uno de los alumnos caracterizados en el SIMAT, realizan los ajustes de acuerdo con la evaluación pedagógica y los aportes médicos. flexibilización en todas las áreas académicas, atención hospitalaria. </v>
      </c>
      <c r="S459" s="11" t="str">
        <f>IFERROR(IF(VLOOKUP(A459,[4]PRIORIZADOS!$A:$S,19,FALSE)="","",VLOOKUP(A459,[4]PRIORIZADOS!$A:$S,19,FALSE)),"")</f>
        <v>Continuar con el ejercicio de valoración pedagógica, remisiones y flexibilización de aquellos estudiantes que se ha determinado requieren este ajuste aunque no se cuente aun con el diagnostico</v>
      </c>
      <c r="T459" s="70" t="str">
        <f>IFERROR(IF(VLOOKUP(A459,[4]PRIORIZADOS!$A:$T,20,FALSE)="","",VLOOKUP(A459,[4]PRIORIZADOS!$A:$T,20,FALSE)),"")</f>
        <v>No</v>
      </c>
      <c r="U459" s="11" t="str">
        <f>IFERROR(IF(VLOOKUP(A459,[4]PRIORIZADOS!$A:$U,21,FALSE)="","",VLOOKUP(A459,[4]PRIORIZADOS!$A:$U,21,FALSE)),"")</f>
        <v>Anualmente realizar acompañamiento que requiera la institución educativa desde el ELIV</v>
      </c>
    </row>
    <row r="460" spans="1:21" s="1" customFormat="1" ht="178.5">
      <c r="A460" s="69">
        <f>IF([4]PRIORIZADOS!A76="","",[4]PRIORIZADOS!A76)</f>
        <v>2799</v>
      </c>
      <c r="B460" s="70">
        <v>10</v>
      </c>
      <c r="C460" s="11" t="str">
        <f>IFERROR(IF(VLOOKUP(A460,[4]PRIORIZADOS!$A:$C,3,FALSE)="","",VLOOKUP(A460,[4]PRIORIZADOS!$A:$C,3,FALSE)),"")</f>
        <v>CHAPINERO</v>
      </c>
      <c r="D460" s="11" t="str">
        <f>IFERROR(IF(VLOOKUP(A460,[4]PRIORIZADOS!$A:$D,4,FALSE)="","",VLOOKUP(A460,[4]PRIORIZADOS!$A:$D,4,FALSE)),"")</f>
        <v>OFICIAL</v>
      </c>
      <c r="E460" s="11" t="str">
        <f>IFERROR(IF(VLOOKUP(A460,[4]PRIORIZADOS!$A:$E,5,FALSE)="","",VLOOKUP(A460,[4]PRIORIZADOS!$A:$E,5,FALSE)),"")</f>
        <v>EPBM</v>
      </c>
      <c r="F460" s="11" t="str">
        <f>IFERROR(IF(VLOOKUP(A460,[4]PRIORIZADOS!$A:$F,6,FALSE)="","",VLOOKUP(A460,[4]PRIORIZADOS!$A:$F,6,FALSE)),"")</f>
        <v>COLEGIO_SIMON_RODRIGUEZ_IED</v>
      </c>
      <c r="G460" s="11" t="str">
        <f>IFERROR(IF(VLOOKUP(A460,[4]PRIORIZADOS!$A:$G,7,FALSE)="","",VLOOKUP(A460,[4]PRIORIZADOS!$A:$G,7,FALSE)),"")</f>
        <v>SIMON RODRIGUEZ</v>
      </c>
      <c r="H460" s="11" t="str">
        <f>IFERROR(IF(VLOOKUP(A460,[4]PRIORIZADOS!$A:$H,8,FALSE)="","",VLOOKUP(A460,[4]PRIORIZADOS!$A:$H,8,FALSE)),"")</f>
        <v>Autoevaluación Institucional y Pruebas SABER 11</v>
      </c>
      <c r="I460" s="11" t="str">
        <f>IFERROR(IF(VLOOKUP(A460,[4]PRIORIZADOS!$A:$I,9,FALSE)="","",VLOOKUP(A460,[4]PRIORIZADOS!$A:$I,9,FALSE)),"")</f>
        <v>EVALUACIÓN_CON_FINES_DE_MEJORAMIENTO.</v>
      </c>
      <c r="J460" s="11" t="str">
        <f>IFERROR(IF(VLOOKUP(A460,[4]PRIORIZADOS!$A:$J,10,FALSE)="","",VLOOKUP(A460,[4]PRIORIZADOS!$A:$J,10,FALSE)),"")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60" s="11" t="str">
        <f>IFERROR(IF(VLOOKUP(A460,[4]PRIORIZADOS!$A:$K,11,FALSE)="","",VLOOKUP(A460,[4]PRIORIZADOS!$A:$K,11,FALSE)),"")</f>
        <v xml:space="preserve">LAURA CRISTINA BECERRA CHAVES </v>
      </c>
      <c r="L460" s="11" t="str">
        <f>IFERROR(IF(VLOOKUP(A460,[4]PRIORIZADOS!$A:$L,12,FALSE)="","",VLOOKUP(A460,[4]PRIORIZADOS!$A:$L,12,FALSE)),"")</f>
        <v>SANTIAGO ÁVILA LEURO</v>
      </c>
      <c r="M460" s="71">
        <f>IFERROR(IF(VLOOKUP(A460,[4]PRIORIZADOS!$A:$M,13,FALSE)="","",VLOOKUP(A460,[4]PRIORIZADOS!$A:$M,13,FALSE)),"")</f>
        <v>45744</v>
      </c>
      <c r="N460" s="71">
        <f>IFERROR(IF(VLOOKUP(A460,[4]PRIORIZADOS!$A:$N,14,FALSE)="","",VLOOKUP(A460,[4]PRIORIZADOS!$A:$N,14,FALSE)),"")</f>
        <v>45793</v>
      </c>
      <c r="O460" s="71">
        <f>IFERROR(IF(VLOOKUP(A460,[4]PRIORIZADOS!$A:$O,15,FALSE)="","",VLOOKUP(A460,[4]PRIORIZADOS!$A:$O,15,FALSE)),"")</f>
        <v>45793</v>
      </c>
      <c r="P460" s="11" t="str">
        <f>IFERROR(IF(VLOOKUP(A460,[4]PRIORIZADOS!$A:$P,16,FALSE)="","",VLOOKUP(A460,[4]PRIORIZADOS!$A:$P,16,FALSE)),"")</f>
        <v>Revisión documental</v>
      </c>
      <c r="Q460" s="107" t="s">
        <v>86</v>
      </c>
      <c r="R460" s="11" t="str">
        <f>IFERROR(IF(VLOOKUP(A460,[4]PRIORIZADOS!$A:$R,18,FALSE)="","",VLOOKUP(A460,[4]PRIORIZADOS!$A:$R,18,FALSE)),"")</f>
        <v>Es fundamental indicar cómo se aplicarán los diferentes conceptos (género, justicia restaurativa, etc.) en la práctica. No basta con las definiciones de estos aspectos; se debe incluir un ítem específico para primera infancia, de manera que esta población pueda comprender el manual de convivencia.
Incluir el comportamiento y uso de los espacios comunes en la institución educativa, el procedimiento, la importancia y la estrategia para las salidas pedagógicas, así como las acciones y procedimientos para el plan de gestión del riesgo y el PRAE</v>
      </c>
      <c r="S460" s="11" t="str">
        <f>IFERROR(IF(VLOOKUP(A460,[4]PRIORIZADOS!$A:$S,19,FALSE)="","",VLOOKUP(A460,[4]PRIORIZADOS!$A:$S,19,FALSE)),"")</f>
        <v>Revisión y modificación del manual de convivencia incorporando las sugerencias con fecha límite noviembre 2025 con el fin de contar con la actualización antes de iniciar el nuevo año lectivo</v>
      </c>
      <c r="T460" s="70" t="str">
        <f>IFERROR(IF(VLOOKUP(A460,[4]PRIORIZADOS!$A:$T,20,FALSE)="","",VLOOKUP(A460,[4]PRIORIZADOS!$A:$T,20,FALSE)),"")</f>
        <v/>
      </c>
      <c r="U460" s="11" t="str">
        <f>IFERROR(IF(VLOOKUP(A460,[4]PRIORIZADOS!$A:$U,21,FALSE)="","",VLOOKUP(A460,[4]PRIORIZADOS!$A:$U,21,FALSE)),"")</f>
        <v>Una vez el IED remita el documento realizar nuevamente la revisan y si es el caso entregar observaciones</v>
      </c>
    </row>
    <row r="461" spans="1:21" s="1" customFormat="1" ht="84">
      <c r="A461" s="69">
        <f>IF([4]PRIORIZADOS!A77="","",[4]PRIORIZADOS!A77)</f>
        <v>470</v>
      </c>
      <c r="B461" s="70">
        <v>10</v>
      </c>
      <c r="C461" s="11" t="str">
        <f>IFERROR(IF(VLOOKUP(A461,[4]PRIORIZADOS!$A:$C,3,FALSE)="","",VLOOKUP(A461,[4]PRIORIZADOS!$A:$C,3,FALSE)),"")</f>
        <v>CHAPINERO</v>
      </c>
      <c r="D461" s="11" t="str">
        <f>IFERROR(IF(VLOOKUP(A461,[4]PRIORIZADOS!$A:$D,4,FALSE)="","",VLOOKUP(A461,[4]PRIORIZADOS!$A:$D,4,FALSE)),"")</f>
        <v>OFICIAL</v>
      </c>
      <c r="E461" s="11" t="str">
        <f>IFERROR(IF(VLOOKUP(A461,[4]PRIORIZADOS!$A:$E,5,FALSE)="","",VLOOKUP(A461,[4]PRIORIZADOS!$A:$E,5,FALSE)),"")</f>
        <v>EPBM</v>
      </c>
      <c r="F461" s="11" t="str">
        <f>IFERROR(IF(VLOOKUP(A461,[4]PRIORIZADOS!$A:$F,6,FALSE)="","",VLOOKUP(A461,[4]PRIORIZADOS!$A:$F,6,FALSE)),"")</f>
        <v>COLEGIO_SIMON_RODRIGUEZ_IED</v>
      </c>
      <c r="G461" s="11" t="str">
        <f>IFERROR(IF(VLOOKUP(A461,[4]PRIORIZADOS!$A:$G,7,FALSE)="","",VLOOKUP(A461,[4]PRIORIZADOS!$A:$G,7,FALSE)),"")</f>
        <v>SIMON RODRIGUEZ</v>
      </c>
      <c r="H461" s="11" t="str">
        <f>IFERROR(IF(VLOOKUP(A461,[4]PRIORIZADOS!$A:$H,8,FALSE)="","",VLOOKUP(A461,[4]PRIORIZADOS!$A:$H,8,FALSE)),"")</f>
        <v>Autoevaluación Institucional y Pruebas SABER 11</v>
      </c>
      <c r="I461" s="11" t="str">
        <f>IFERROR(IF(VLOOKUP(A461,[4]PRIORIZADOS!$A:$I,9,FALSE)="","",VLOOKUP(A461,[4]PRIORIZADOS!$A:$I,9,FALSE)),"")</f>
        <v>EVALUACIÓN_CON_FINES_DE_MEJORAMIENTO.</v>
      </c>
      <c r="J461" s="11" t="str">
        <f>IFERROR(IF(VLOOKUP(A461,[4]PRIORIZADOS!$A:$J,10,FALSE)="","",VLOOKUP(A461,[4]PRIORIZADOS!$A:$J,10,FALSE)),"")</f>
        <v>Revisar la actualización, socialización e implementación del Sistema Institucional de Evaluación de Estudiantes - SIEE, en articulación con la actualización del PEI y la normatividad vigente.</v>
      </c>
      <c r="K461" s="11" t="str">
        <f>IFERROR(IF(VLOOKUP(A461,[4]PRIORIZADOS!$A:$K,11,FALSE)="","",VLOOKUP(A461,[4]PRIORIZADOS!$A:$K,11,FALSE)),"")</f>
        <v xml:space="preserve">LAURA CRISTINA BECERRA CHAVES </v>
      </c>
      <c r="L461" s="11" t="str">
        <f>IFERROR(IF(VLOOKUP(A461,[4]PRIORIZADOS!$A:$L,12,FALSE)="","",VLOOKUP(A461,[4]PRIORIZADOS!$A:$L,12,FALSE)),"")</f>
        <v>SANTIAGO ÁVILA LEURO</v>
      </c>
      <c r="M461" s="71">
        <f>IFERROR(IF(VLOOKUP(A461,[4]PRIORIZADOS!$A:$M,13,FALSE)="","",VLOOKUP(A461,[4]PRIORIZADOS!$A:$M,13,FALSE)),"")</f>
        <v>45744</v>
      </c>
      <c r="N461" s="71">
        <f>IFERROR(IF(VLOOKUP(A461,[4]PRIORIZADOS!$A:$N,14,FALSE)="","",VLOOKUP(A461,[4]PRIORIZADOS!$A:$N,14,FALSE)),"")</f>
        <v>45793</v>
      </c>
      <c r="O461" s="71">
        <f>IFERROR(IF(VLOOKUP(A461,[4]PRIORIZADOS!$A:$O,15,FALSE)="","",VLOOKUP(A461,[4]PRIORIZADOS!$A:$O,15,FALSE)),"")</f>
        <v>45793</v>
      </c>
      <c r="P461" s="11" t="str">
        <f>IFERROR(IF(VLOOKUP(A461,[4]PRIORIZADOS!$A:$P,16,FALSE)="","",VLOOKUP(A461,[4]PRIORIZADOS!$A:$P,16,FALSE)),"")</f>
        <v>Visitas de evaluación con fines de mejoramiento</v>
      </c>
      <c r="Q461" s="107" t="s">
        <v>87</v>
      </c>
      <c r="R461" s="11" t="str">
        <f>IFERROR(IF(VLOOKUP(A461,[4]PRIORIZADOS!$A:$R,18,FALSE)="","",VLOOKUP(A461,[4]PRIORIZADOS!$A:$R,18,FALSE)),"")</f>
        <v>Documento actualizado y socializado, se encuentra articulado con el PEI en sus diferentes dimensiones, cuentan con estrategias diseñadas para asegurar que todos los estudiantes puedan alcanzar sus metas académicas y desarrollar sus competencias de manera integra</v>
      </c>
      <c r="S461" s="11" t="str">
        <f>IFERROR(IF(VLOOKUP(A461,[4]PRIORIZADOS!$A:$S,19,FALSE)="","",VLOOKUP(A461,[4]PRIORIZADOS!$A:$S,19,FALSE)),"")</f>
        <v>Socializar cada año con la comunidad educativa el SIEE y el PEI al inicio del año escolar como lo viene realizando</v>
      </c>
      <c r="T461" s="70" t="str">
        <f>IFERROR(IF(VLOOKUP(A461,[4]PRIORIZADOS!$A:$T,20,FALSE)="","",VLOOKUP(A461,[4]PRIORIZADOS!$A:$T,20,FALSE)),"")</f>
        <v>No</v>
      </c>
      <c r="U461" s="11" t="str">
        <f>IFERROR(IF(VLOOKUP(A461,[4]PRIORIZADOS!$A:$U,21,FALSE)="","",VLOOKUP(A461,[4]PRIORIZADOS!$A:$U,21,FALSE)),"")</f>
        <v>En el siguiente año lectivo verificar en el documento que se entrega a la comunidad educativa que contemple la información requerida</v>
      </c>
    </row>
    <row r="462" spans="1:21" s="1" customFormat="1" ht="48">
      <c r="A462" s="69">
        <f>IF([4]PRIORIZADOS!A78="","",[4]PRIORIZADOS!A78)</f>
        <v>471</v>
      </c>
      <c r="B462" s="70">
        <v>10</v>
      </c>
      <c r="C462" s="11" t="str">
        <f>IFERROR(IF(VLOOKUP(A462,[4]PRIORIZADOS!$A:$C,3,FALSE)="","",VLOOKUP(A462,[4]PRIORIZADOS!$A:$C,3,FALSE)),"")</f>
        <v>CHAPINERO</v>
      </c>
      <c r="D462" s="11" t="str">
        <f>IFERROR(IF(VLOOKUP(A462,[4]PRIORIZADOS!$A:$D,4,FALSE)="","",VLOOKUP(A462,[4]PRIORIZADOS!$A:$D,4,FALSE)),"")</f>
        <v>OFICIAL</v>
      </c>
      <c r="E462" s="11" t="str">
        <f>IFERROR(IF(VLOOKUP(A462,[4]PRIORIZADOS!$A:$E,5,FALSE)="","",VLOOKUP(A462,[4]PRIORIZADOS!$A:$E,5,FALSE)),"")</f>
        <v>EPBM</v>
      </c>
      <c r="F462" s="11" t="str">
        <f>IFERROR(IF(VLOOKUP(A462,[4]PRIORIZADOS!$A:$F,6,FALSE)="","",VLOOKUP(A462,[4]PRIORIZADOS!$A:$F,6,FALSE)),"")</f>
        <v>COLEGIO_SIMON_RODRIGUEZ_IED</v>
      </c>
      <c r="G462" s="11" t="str">
        <f>IFERROR(IF(VLOOKUP(A462,[4]PRIORIZADOS!$A:$G,7,FALSE)="","",VLOOKUP(A462,[4]PRIORIZADOS!$A:$G,7,FALSE)),"")</f>
        <v>SIMON RODRIGUEZ</v>
      </c>
      <c r="H462" s="11" t="str">
        <f>IFERROR(IF(VLOOKUP(A462,[4]PRIORIZADOS!$A:$H,8,FALSE)="","",VLOOKUP(A462,[4]PRIORIZADOS!$A:$H,8,FALSE)),"")</f>
        <v>Autoevaluación Institucional y Pruebas SABER 11</v>
      </c>
      <c r="I462" s="11" t="str">
        <f>IFERROR(IF(VLOOKUP(A462,[4]PRIORIZADOS!$A:$I,9,FALSE)="","",VLOOKUP(A462,[4]PRIORIZADOS!$A:$I,9,FALSE)),"")</f>
        <v>EVALUACIÓN_CON_FINES_DE_MEJORAMIENTO.</v>
      </c>
      <c r="J462" s="11" t="str">
        <f>IFERROR(IF(VLOOKUP(A462,[4]PRIORIZADOS!$A:$J,10,FALSE)="","",VLOOKUP(A462,[4]PRIORIZADOS!$A:$J,10,FALSE)),"")</f>
        <v>Revisar el calendario escolar, jornada escolar, la intensidad horaria mínima anual en cada nivel y las modificaciones que se realicen al mismo, de acuerdo con lo previsto en la normatividad vigente.</v>
      </c>
      <c r="K462" s="11" t="str">
        <f>IFERROR(IF(VLOOKUP(A462,[4]PRIORIZADOS!$A:$K,11,FALSE)="","",VLOOKUP(A462,[4]PRIORIZADOS!$A:$K,11,FALSE)),"")</f>
        <v xml:space="preserve">LAURA CRISTINA BECERRA CHAVES </v>
      </c>
      <c r="L462" s="11" t="str">
        <f>IFERROR(IF(VLOOKUP(A462,[4]PRIORIZADOS!$A:$L,12,FALSE)="","",VLOOKUP(A462,[4]PRIORIZADOS!$A:$L,12,FALSE)),"")</f>
        <v>SANTIAGO ÁVILA LEURO</v>
      </c>
      <c r="M462" s="71">
        <f>IFERROR(IF(VLOOKUP(A462,[4]PRIORIZADOS!$A:$M,13,FALSE)="","",VLOOKUP(A462,[4]PRIORIZADOS!$A:$M,13,FALSE)),"")</f>
        <v>45744</v>
      </c>
      <c r="N462" s="71">
        <f>IFERROR(IF(VLOOKUP(A462,[4]PRIORIZADOS!$A:$N,14,FALSE)="","",VLOOKUP(A462,[4]PRIORIZADOS!$A:$N,14,FALSE)),"")</f>
        <v>45793</v>
      </c>
      <c r="O462" s="71">
        <f>IFERROR(IF(VLOOKUP(A462,[4]PRIORIZADOS!$A:$O,15,FALSE)="","",VLOOKUP(A462,[4]PRIORIZADOS!$A:$O,15,FALSE)),"")</f>
        <v>45793</v>
      </c>
      <c r="P462" s="11" t="str">
        <f>IFERROR(IF(VLOOKUP(A462,[4]PRIORIZADOS!$A:$P,16,FALSE)="","",VLOOKUP(A462,[4]PRIORIZADOS!$A:$P,16,FALSE)),"")</f>
        <v>Visitas de evaluación con fines de mejoramiento</v>
      </c>
      <c r="Q462" s="107" t="s">
        <v>86</v>
      </c>
      <c r="R462" s="11" t="str">
        <f>IFERROR(IF(VLOOKUP(A462,[4]PRIORIZADOS!$A:$R,18,FALSE)="","",VLOOKUP(A462,[4]PRIORIZADOS!$A:$R,18,FALSE)),"")</f>
        <v>Resolución rectoral acorde a la resolución de la SED</v>
      </c>
      <c r="S462" s="11" t="str">
        <f>IFERROR(IF(VLOOKUP(A462,[4]PRIORIZADOS!$A:$S,19,FALSE)="","",VLOOKUP(A462,[4]PRIORIZADOS!$A:$S,19,FALSE)),"")</f>
        <v xml:space="preserve">Dar cumplimiento a la resolución </v>
      </c>
      <c r="T462" s="70" t="str">
        <f>IFERROR(IF(VLOOKUP(A462,[4]PRIORIZADOS!$A:$T,20,FALSE)="","",VLOOKUP(A462,[4]PRIORIZADOS!$A:$T,20,FALSE)),"")</f>
        <v>No</v>
      </c>
      <c r="U462" s="11" t="str">
        <f>IFERROR(IF(VLOOKUP(A462,[4]PRIORIZADOS!$A:$U,21,FALSE)="","",VLOOKUP(A462,[4]PRIORIZADOS!$A:$U,21,FALSE)),"")</f>
        <v>Verificar anualmente la propuesta y cumplimiento de la resolución distrital</v>
      </c>
    </row>
    <row r="463" spans="1:21" s="1" customFormat="1" ht="60">
      <c r="A463" s="69">
        <f>IF([4]PRIORIZADOS!A79="","",[4]PRIORIZADOS!A79)</f>
        <v>472</v>
      </c>
      <c r="B463" s="70">
        <v>10</v>
      </c>
      <c r="C463" s="11" t="str">
        <f>IFERROR(IF(VLOOKUP(A463,[4]PRIORIZADOS!$A:$C,3,FALSE)="","",VLOOKUP(A463,[4]PRIORIZADOS!$A:$C,3,FALSE)),"")</f>
        <v>CHAPINERO</v>
      </c>
      <c r="D463" s="11" t="str">
        <f>IFERROR(IF(VLOOKUP(A463,[4]PRIORIZADOS!$A:$D,4,FALSE)="","",VLOOKUP(A463,[4]PRIORIZADOS!$A:$D,4,FALSE)),"")</f>
        <v>OFICIAL</v>
      </c>
      <c r="E463" s="11" t="str">
        <f>IFERROR(IF(VLOOKUP(A463,[4]PRIORIZADOS!$A:$E,5,FALSE)="","",VLOOKUP(A463,[4]PRIORIZADOS!$A:$E,5,FALSE)),"")</f>
        <v>EPBM</v>
      </c>
      <c r="F463" s="11" t="str">
        <f>IFERROR(IF(VLOOKUP(A463,[4]PRIORIZADOS!$A:$F,6,FALSE)="","",VLOOKUP(A463,[4]PRIORIZADOS!$A:$F,6,FALSE)),"")</f>
        <v>COLEGIO_SIMON_RODRIGUEZ_IED</v>
      </c>
      <c r="G463" s="11" t="str">
        <f>IFERROR(IF(VLOOKUP(A463,[4]PRIORIZADOS!$A:$G,7,FALSE)="","",VLOOKUP(A463,[4]PRIORIZADOS!$A:$G,7,FALSE)),"")</f>
        <v>SIMON RODRIGUEZ</v>
      </c>
      <c r="H463" s="11" t="str">
        <f>IFERROR(IF(VLOOKUP(A463,[4]PRIORIZADOS!$A:$H,8,FALSE)="","",VLOOKUP(A463,[4]PRIORIZADOS!$A:$H,8,FALSE)),"")</f>
        <v>Autoevaluación Institucional y Pruebas SABER 11</v>
      </c>
      <c r="I463" s="11" t="str">
        <f>IFERROR(IF(VLOOKUP(A463,[4]PRIORIZADOS!$A:$I,9,FALSE)="","",VLOOKUP(A463,[4]PRIORIZADOS!$A:$I,9,FALSE)),"")</f>
        <v>EVALUACIÓN_CON_FINES_DE_MEJORAMIENTO.</v>
      </c>
      <c r="J463" s="11" t="str">
        <f>IFERROR(IF(VLOOKUP(A463,[4]PRIORIZADOS!$A:$J,10,FALSE)="","",VLOOKUP(A463,[4]PRIORIZADOS!$A:$J,10,FALSE)),"")</f>
        <v>Verificar el funcionamiento del Gobierno Escolar e instancias de participación con base en la información sobre conformación reportada por la institución educativa.</v>
      </c>
      <c r="K463" s="11" t="str">
        <f>IFERROR(IF(VLOOKUP(A463,[4]PRIORIZADOS!$A:$K,11,FALSE)="","",VLOOKUP(A463,[4]PRIORIZADOS!$A:$K,11,FALSE)),"")</f>
        <v xml:space="preserve">LAURA CRISTINA BECERRA CHAVES </v>
      </c>
      <c r="L463" s="11" t="str">
        <f>IFERROR(IF(VLOOKUP(A463,[4]PRIORIZADOS!$A:$L,12,FALSE)="","",VLOOKUP(A463,[4]PRIORIZADOS!$A:$L,12,FALSE)),"")</f>
        <v>SANTIAGO ÁVILA LEURO</v>
      </c>
      <c r="M463" s="71">
        <f>IFERROR(IF(VLOOKUP(A463,[4]PRIORIZADOS!$A:$M,13,FALSE)="","",VLOOKUP(A463,[4]PRIORIZADOS!$A:$M,13,FALSE)),"")</f>
        <v>45744</v>
      </c>
      <c r="N463" s="71">
        <f>IFERROR(IF(VLOOKUP(A463,[4]PRIORIZADOS!$A:$N,14,FALSE)="","",VLOOKUP(A463,[4]PRIORIZADOS!$A:$N,14,FALSE)),"")</f>
        <v>45793</v>
      </c>
      <c r="O463" s="71">
        <f>IFERROR(IF(VLOOKUP(A463,[4]PRIORIZADOS!$A:$O,15,FALSE)="","",VLOOKUP(A463,[4]PRIORIZADOS!$A:$O,15,FALSE)),"")</f>
        <v>45793</v>
      </c>
      <c r="P463" s="11" t="str">
        <f>IFERROR(IF(VLOOKUP(A463,[4]PRIORIZADOS!$A:$P,16,FALSE)="","",VLOOKUP(A463,[4]PRIORIZADOS!$A:$P,16,FALSE)),"")</f>
        <v>Visitas de evaluación con fines de mejoramiento</v>
      </c>
      <c r="Q463" s="107" t="s">
        <v>86</v>
      </c>
      <c r="R463" s="11" t="str">
        <f>IFERROR(IF(VLOOKUP(A463,[4]PRIORIZADOS!$A:$R,18,FALSE)="","",VLOOKUP(A463,[4]PRIORIZADOS!$A:$R,18,FALSE)),"")</f>
        <v>Se realizo revisión aleatoria de las actas de conformación y sesión de todos los órganos de gobierno escolar, encontrando que operan acorde a la normatividad vigente</v>
      </c>
      <c r="S463" s="11" t="str">
        <f>IFERROR(IF(VLOOKUP(A463,[4]PRIORIZADOS!$A:$S,19,FALSE)="","",VLOOKUP(A463,[4]PRIORIZADOS!$A:$S,19,FALSE)),"")</f>
        <v>Garantizar que todas las actas estén firmadas una vez termine su elaboración después de la sesión</v>
      </c>
      <c r="T463" s="70" t="str">
        <f>IFERROR(IF(VLOOKUP(A463,[4]PRIORIZADOS!$A:$T,20,FALSE)="","",VLOOKUP(A463,[4]PRIORIZADOS!$A:$T,20,FALSE)),"")</f>
        <v>No</v>
      </c>
      <c r="U463" s="11" t="str">
        <f>IFERROR(IF(VLOOKUP(A463,[4]PRIORIZADOS!$A:$U,21,FALSE)="","",VLOOKUP(A463,[4]PRIORIZADOS!$A:$U,21,FALSE)),"")</f>
        <v>En visitas de seguimiento verificar actas de sesión de los órganos de gobierno escolar de acuerdo con la normatividad en relación con el tiempo en el que cada uno debe sesionar</v>
      </c>
    </row>
    <row r="464" spans="1:21" s="1" customFormat="1" ht="84">
      <c r="A464" s="69">
        <f>IF([4]PRIORIZADOS!A80="","",[4]PRIORIZADOS!A80)</f>
        <v>473</v>
      </c>
      <c r="B464" s="70">
        <v>11</v>
      </c>
      <c r="C464" s="11" t="str">
        <f>IFERROR(IF(VLOOKUP(A464,[4]PRIORIZADOS!$A:$C,3,FALSE)="","",VLOOKUP(A464,[4]PRIORIZADOS!$A:$C,3,FALSE)),"")</f>
        <v>CHAPINERO</v>
      </c>
      <c r="D464" s="11" t="str">
        <f>IFERROR(IF(VLOOKUP(A464,[4]PRIORIZADOS!$A:$D,4,FALSE)="","",VLOOKUP(A464,[4]PRIORIZADOS!$A:$D,4,FALSE)),"")</f>
        <v>OFICIAL</v>
      </c>
      <c r="E464" s="11" t="str">
        <f>IFERROR(IF(VLOOKUP(A464,[4]PRIORIZADOS!$A:$E,5,FALSE)="","",VLOOKUP(A464,[4]PRIORIZADOS!$A:$E,5,FALSE)),"")</f>
        <v>EPBM</v>
      </c>
      <c r="F464" s="11" t="str">
        <f>IFERROR(IF(VLOOKUP(A464,[4]PRIORIZADOS!$A:$F,6,FALSE)="","",VLOOKUP(A464,[4]PRIORIZADOS!$A:$F,6,FALSE)),"")</f>
        <v>COLEGIO_CAMPESTRE_MONTE_VERDE_IED</v>
      </c>
      <c r="G464" s="11" t="str">
        <f>IFERROR(IF(VLOOKUP(A464,[4]PRIORIZADOS!$A:$G,7,FALSE)="","",VLOOKUP(A464,[4]PRIORIZADOS!$A:$G,7,FALSE)),"")</f>
        <v>PLAN PADRINOS SAN LUIS</v>
      </c>
      <c r="H464" s="11" t="str">
        <f>IFERROR(IF(VLOOKUP(A464,[4]PRIORIZADOS!$A:$H,8,FALSE)="","",VLOOKUP(A464,[4]PRIORIZADOS!$A:$H,8,FALSE)),"")</f>
        <v>Autoevaluación Institucional y Pruebas SABER 11</v>
      </c>
      <c r="I464" s="11" t="str">
        <f>IFERROR(IF(VLOOKUP(A464,[4]PRIORIZADOS!$A:$I,9,FALSE)="","",VLOOKUP(A464,[4]PRIORIZADOS!$A:$I,9,FALSE)),"")</f>
        <v>SEGUIMIENTO_Y_SUPERVISIÓN.</v>
      </c>
      <c r="J464" s="11" t="str">
        <f>IFERROR(IF(VLOOKUP(A464,[4]PRIORIZADOS!$A:$J,10,FALSE)="","",VLOOKUP(A464,[4]PRIORIZADOS!$A:$J,10,FALSE)),"")</f>
        <v>Proponer estrategias en la formulación, verificar su elaboración y realizar seguimiento semestral al desarrollo de  las acciones establecidas en los planes de mejoramiento por pruebas SABER 11 de los establecimientos de educación formal.</v>
      </c>
      <c r="K464" s="11" t="str">
        <f>IFERROR(IF(VLOOKUP(A464,[4]PRIORIZADOS!$A:$K,11,FALSE)="","",VLOOKUP(A464,[4]PRIORIZADOS!$A:$K,11,FALSE)),"")</f>
        <v>CONNIE QUIÑONES CÁRDENAS</v>
      </c>
      <c r="L464" s="11" t="str">
        <f>IFERROR(IF(VLOOKUP(A464,[4]PRIORIZADOS!$A:$L,12,FALSE)="","",VLOOKUP(A464,[4]PRIORIZADOS!$A:$L,12,FALSE)),"")</f>
        <v xml:space="preserve">LAURA CRISTINA BECERRA CHAVES </v>
      </c>
      <c r="M464" s="71">
        <f>IFERROR(IF(VLOOKUP(A464,[4]PRIORIZADOS!$A:$M,13,FALSE)="","",VLOOKUP(A464,[4]PRIORIZADOS!$A:$M,13,FALSE)),"")</f>
        <v>45775</v>
      </c>
      <c r="N464" s="71" t="str">
        <f>IFERROR(IF(VLOOKUP(A464,[4]PRIORIZADOS!$A:$N,14,FALSE)="","",VLOOKUP(A464,[4]PRIORIZADOS!$A:$N,14,FALSE)),"")</f>
        <v>28/4/2025</v>
      </c>
      <c r="O464" s="71" t="str">
        <f>IFERROR(IF(VLOOKUP(A464,[4]PRIORIZADOS!$A:$O,15,FALSE)="","",VLOOKUP(A464,[4]PRIORIZADOS!$A:$O,15,FALSE)),"")</f>
        <v>28/4/2025</v>
      </c>
      <c r="P464" s="11" t="str">
        <f>IFERROR(IF(VLOOKUP(A464,[4]PRIORIZADOS!$A:$P,16,FALSE)="","",VLOOKUP(A464,[4]PRIORIZADOS!$A:$P,16,FALSE)),"")</f>
        <v>Visitas de evaluación con fines de mejoramiento</v>
      </c>
      <c r="Q464" s="107" t="s">
        <v>86</v>
      </c>
      <c r="R464" s="11" t="str">
        <f>IFERROR(IF(VLOOKUP(A464,[4]PRIORIZADOS!$A:$R,18,FALSE)="","",VLOOKUP(A464,[4]PRIORIZADOS!$A:$R,18,FALSE)),"")</f>
        <v>La institución se encuentra clasificada en  C lo que implica que hicieran estadísticas que le permitiera evidenciar las falencias por áreas para plantear el plan de mejoramiento, en el cual se identifican los estudiantes con dificultad y se crearon grupos  para nivelación en lectura</v>
      </c>
      <c r="S464" s="11" t="str">
        <f>IFERROR(IF(VLOOKUP(A464,[4]PRIORIZADOS!$A:$S,19,FALSE)="","",VLOOKUP(A464,[4]PRIORIZADOS!$A:$S,19,FALSE)),"")</f>
        <v xml:space="preserve">Continuar con las actividades establecidas  en el cronograma de actividades  tanto en las áreas como en horario extracurricular con el  apoyo de los docentes , y continuar con la práctica de pruebas tipo ICFES </v>
      </c>
      <c r="T464" s="70" t="str">
        <f>IFERROR(IF(VLOOKUP(A464,[4]PRIORIZADOS!$A:$T,20,FALSE)="","",VLOOKUP(A464,[4]PRIORIZADOS!$A:$T,20,FALSE)),"")</f>
        <v>Si</v>
      </c>
      <c r="U464" s="11" t="str">
        <f>IFERROR(IF(VLOOKUP(A464,[4]PRIORIZADOS!$A:$U,21,FALSE)="","",VLOOKUP(A464,[4]PRIORIZADOS!$A:$U,21,FALSE)),"")</f>
        <v>Teniendo en cuenta el Acta del consejo académico donde se implementaron acciones de mejora , hacer el seguimiento sobre su cumplimiento</v>
      </c>
    </row>
    <row r="465" spans="1:21" s="1" customFormat="1" ht="84">
      <c r="A465" s="69">
        <f>IF([4]PRIORIZADOS!A81="","",[4]PRIORIZADOS!A81)</f>
        <v>474</v>
      </c>
      <c r="B465" s="70">
        <v>11</v>
      </c>
      <c r="C465" s="11" t="str">
        <f>IFERROR(IF(VLOOKUP(A465,[4]PRIORIZADOS!$A:$C,3,FALSE)="","",VLOOKUP(A465,[4]PRIORIZADOS!$A:$C,3,FALSE)),"")</f>
        <v>CHAPINERO</v>
      </c>
      <c r="D465" s="11" t="str">
        <f>IFERROR(IF(VLOOKUP(A465,[4]PRIORIZADOS!$A:$D,4,FALSE)="","",VLOOKUP(A465,[4]PRIORIZADOS!$A:$D,4,FALSE)),"")</f>
        <v>OFICIAL</v>
      </c>
      <c r="E465" s="11" t="str">
        <f>IFERROR(IF(VLOOKUP(A465,[4]PRIORIZADOS!$A:$E,5,FALSE)="","",VLOOKUP(A465,[4]PRIORIZADOS!$A:$E,5,FALSE)),"")</f>
        <v>EPBM</v>
      </c>
      <c r="F465" s="11" t="str">
        <f>IFERROR(IF(VLOOKUP(A465,[4]PRIORIZADOS!$A:$F,6,FALSE)="","",VLOOKUP(A465,[4]PRIORIZADOS!$A:$F,6,FALSE)),"")</f>
        <v>COLEGIO_CAMPESTRE_MONTE_VERDE_IED</v>
      </c>
      <c r="G465" s="11" t="str">
        <f>IFERROR(IF(VLOOKUP(A465,[4]PRIORIZADOS!$A:$G,7,FALSE)="","",VLOOKUP(A465,[4]PRIORIZADOS!$A:$G,7,FALSE)),"")</f>
        <v>PLAN PADRINOS SAN LUIS</v>
      </c>
      <c r="H465" s="11" t="str">
        <f>IFERROR(IF(VLOOKUP(A465,[4]PRIORIZADOS!$A:$H,8,FALSE)="","",VLOOKUP(A465,[4]PRIORIZADOS!$A:$H,8,FALSE)),"")</f>
        <v>Autoevaluación Institucional y Pruebas SABER 11</v>
      </c>
      <c r="I465" s="11" t="str">
        <f>IFERROR(IF(VLOOKUP(A465,[4]PRIORIZADOS!$A:$I,9,FALSE)="","",VLOOKUP(A465,[4]PRIORIZADOS!$A:$I,9,FALSE)),"")</f>
        <v>SEGUIMIENTO_Y_SUPERVISIÓN.</v>
      </c>
      <c r="J465" s="11" t="str">
        <f>IFERROR(IF(VLOOKUP(A465,[4]PRIORIZADOS!$A:$J,10,FALSE)="","",VLOOKUP(A465,[4]PRIORIZADOS!$A:$J,10,FALSE)),"")</f>
        <v xml:space="preserve">Verificar la implementación por parte de los colegios, de acciones realizadas para la prevención y atención de las situaciones de convivencia en el entorno escolar, según lo establecido en la Directiva 01 de 2022 del MEN. </v>
      </c>
      <c r="K465" s="11" t="str">
        <f>IFERROR(IF(VLOOKUP(A465,[4]PRIORIZADOS!$A:$K,11,FALSE)="","",VLOOKUP(A465,[4]PRIORIZADOS!$A:$K,11,FALSE)),"")</f>
        <v>CONNIE QUIÑONES CÁRDENAS</v>
      </c>
      <c r="L465" s="11" t="str">
        <f>IFERROR(IF(VLOOKUP(A465,[4]PRIORIZADOS!$A:$L,12,FALSE)="","",VLOOKUP(A465,[4]PRIORIZADOS!$A:$L,12,FALSE)),"")</f>
        <v xml:space="preserve">LAURA CRISTINA BECERRA CHAVES </v>
      </c>
      <c r="M465" s="71" t="str">
        <f>IFERROR(IF(VLOOKUP(A465,[4]PRIORIZADOS!$A:$M,13,FALSE)="","",VLOOKUP(A465,[4]PRIORIZADOS!$A:$M,13,FALSE)),"")</f>
        <v>28/4/2025</v>
      </c>
      <c r="N465" s="71" t="str">
        <f>IFERROR(IF(VLOOKUP(A465,[4]PRIORIZADOS!$A:$N,14,FALSE)="","",VLOOKUP(A465,[4]PRIORIZADOS!$A:$N,14,FALSE)),"")</f>
        <v>28/4/2025</v>
      </c>
      <c r="O465" s="71" t="str">
        <f>IFERROR(IF(VLOOKUP(A465,[4]PRIORIZADOS!$A:$O,15,FALSE)="","",VLOOKUP(A465,[4]PRIORIZADOS!$A:$O,15,FALSE)),"")</f>
        <v>28/4/2025</v>
      </c>
      <c r="P465" s="11" t="str">
        <f>IFERROR(IF(VLOOKUP(A465,[4]PRIORIZADOS!$A:$P,16,FALSE)="","",VLOOKUP(A465,[4]PRIORIZADOS!$A:$P,16,FALSE)),"")</f>
        <v>Visitas de evaluación con fines de mejoramiento</v>
      </c>
      <c r="Q465" s="107" t="s">
        <v>88</v>
      </c>
      <c r="R465" s="11" t="str">
        <f>IFERROR(IF(VLOOKUP(A465,[4]PRIORIZADOS!$A:$R,18,FALSE)="","",VLOOKUP(A465,[4]PRIORIZADOS!$A:$R,18,FALSE)),"")</f>
        <v xml:space="preserve">Tiene conformado el comité de convivencia escolar conforme a lo establecido en la norma, contempla acciones de prevención y promoción para los casos de violencia sexual, realiza en cada entrega de boletines escuela de padres donde socializa diferentes temas </v>
      </c>
      <c r="S465" s="11" t="str">
        <f>IFERROR(IF(VLOOKUP(A465,[4]PRIORIZADOS!$A:$S,19,FALSE)="","",VLOOKUP(A465,[4]PRIORIZADOS!$A:$S,19,FALSE)),"")</f>
        <v xml:space="preserve">Realizar ajustes al manual en lo relacionado con la identificación de la persona que atiende el conducto regular bien sea docente o el orientador (a) </v>
      </c>
      <c r="T465" s="70" t="str">
        <f>IFERROR(IF(VLOOKUP(A465,[4]PRIORIZADOS!$A:$T,20,FALSE)="","",VLOOKUP(A465,[4]PRIORIZADOS!$A:$T,20,FALSE)),"")</f>
        <v>SI</v>
      </c>
      <c r="U465" s="11" t="str">
        <f>IFERROR(IF(VLOOKUP(A465,[4]PRIORIZADOS!$A:$U,21,FALSE)="","",VLOOKUP(A465,[4]PRIORIZADOS!$A:$U,21,FALSE)),"")</f>
        <v>De acuerdo al plan de mejoramiento presentado realizar los ajustes al manual de convivencia de conformidad con lo dispuesto en el formato de evaluación y se hará seguimiento una vez presente el documento ajustado</v>
      </c>
    </row>
    <row r="466" spans="1:21" s="1" customFormat="1" ht="118.5">
      <c r="A466" s="69">
        <f>IF([4]PRIORIZADOS!A82="","",[4]PRIORIZADOS!A82)</f>
        <v>475</v>
      </c>
      <c r="B466" s="70">
        <v>11</v>
      </c>
      <c r="C466" s="11" t="str">
        <f>IFERROR(IF(VLOOKUP(A466,[4]PRIORIZADOS!$A:$C,3,FALSE)="","",VLOOKUP(A466,[4]PRIORIZADOS!$A:$C,3,FALSE)),"")</f>
        <v>CHAPINERO</v>
      </c>
      <c r="D466" s="11" t="str">
        <f>IFERROR(IF(VLOOKUP(A466,[4]PRIORIZADOS!$A:$D,4,FALSE)="","",VLOOKUP(A466,[4]PRIORIZADOS!$A:$D,4,FALSE)),"")</f>
        <v>OFICIAL</v>
      </c>
      <c r="E466" s="11" t="str">
        <f>IFERROR(IF(VLOOKUP(A466,[4]PRIORIZADOS!$A:$E,5,FALSE)="","",VLOOKUP(A466,[4]PRIORIZADOS!$A:$E,5,FALSE)),"")</f>
        <v>EPBM</v>
      </c>
      <c r="F466" s="11" t="str">
        <f>IFERROR(IF(VLOOKUP(A466,[4]PRIORIZADOS!$A:$F,6,FALSE)="","",VLOOKUP(A466,[4]PRIORIZADOS!$A:$F,6,FALSE)),"")</f>
        <v>COLEGIO_CAMPESTRE_MONTE_VERDE_IED</v>
      </c>
      <c r="G466" s="11" t="str">
        <f>IFERROR(IF(VLOOKUP(A466,[4]PRIORIZADOS!$A:$G,7,FALSE)="","",VLOOKUP(A466,[4]PRIORIZADOS!$A:$G,7,FALSE)),"")</f>
        <v>PLAN PADRINOS SAN LUIS</v>
      </c>
      <c r="H466" s="11" t="str">
        <f>IFERROR(IF(VLOOKUP(A466,[4]PRIORIZADOS!$A:$H,8,FALSE)="","",VLOOKUP(A466,[4]PRIORIZADOS!$A:$H,8,FALSE)),"")</f>
        <v>Autoevaluación Institucional y Pruebas SABER 11</v>
      </c>
      <c r="I466" s="11" t="str">
        <f>IFERROR(IF(VLOOKUP(A466,[4]PRIORIZADOS!$A:$I,9,FALSE)="","",VLOOKUP(A466,[4]PRIORIZADOS!$A:$I,9,FALSE)),"")</f>
        <v>SEGUIMIENTO_Y_SUPERVISIÓN.</v>
      </c>
      <c r="J466" s="11" t="str">
        <f>IFERROR(IF(VLOOKUP(A466,[4]PRIORIZADOS!$A:$J,10,FALSE)="","",VLOOKUP(A466,[4]PRIORIZADOS!$A:$J,10,FALSE)),"")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66" s="11" t="str">
        <f>IFERROR(IF(VLOOKUP(A466,[4]PRIORIZADOS!$A:$K,11,FALSE)="","",VLOOKUP(A466,[4]PRIORIZADOS!$A:$K,11,FALSE)),"")</f>
        <v>CONNIE QUIÑONES CÁRDENAS</v>
      </c>
      <c r="L466" s="11" t="str">
        <f>IFERROR(IF(VLOOKUP(A466,[4]PRIORIZADOS!$A:$L,12,FALSE)="","",VLOOKUP(A466,[4]PRIORIZADOS!$A:$L,12,FALSE)),"")</f>
        <v xml:space="preserve">LAURA CRISTINA BECERRA CHAVES </v>
      </c>
      <c r="M466" s="71">
        <f>IFERROR(IF(VLOOKUP(A466,[4]PRIORIZADOS!$A:$M,13,FALSE)="","",VLOOKUP(A466,[4]PRIORIZADOS!$A:$M,13,FALSE)),"")</f>
        <v>45775</v>
      </c>
      <c r="N466" s="71" t="str">
        <f>IFERROR(IF(VLOOKUP(A466,[4]PRIORIZADOS!$A:$N,14,FALSE)="","",VLOOKUP(A466,[4]PRIORIZADOS!$A:$N,14,FALSE)),"")</f>
        <v>28/4/2025</v>
      </c>
      <c r="O466" s="71" t="str">
        <f>IFERROR(IF(VLOOKUP(A466,[4]PRIORIZADOS!$A:$O,15,FALSE)="","",VLOOKUP(A466,[4]PRIORIZADOS!$A:$O,15,FALSE)),"")</f>
        <v>28/4/2025</v>
      </c>
      <c r="P466" s="11" t="str">
        <f>IFERROR(IF(VLOOKUP(A466,[4]PRIORIZADOS!$A:$P,16,FALSE)="","",VLOOKUP(A466,[4]PRIORIZADOS!$A:$P,16,FALSE)),"")</f>
        <v>Visitas de evaluación con fines de mejoramiento</v>
      </c>
      <c r="Q466" s="107" t="s">
        <v>88</v>
      </c>
      <c r="R466" s="11" t="str">
        <f>IFERROR(IF(VLOOKUP(A466,[4]PRIORIZADOS!$A:$R,18,FALSE)="","",VLOOKUP(A466,[4]PRIORIZADOS!$A:$R,18,FALSE)),"")</f>
        <v>El colegio tiene implementado un protocolo desde el momento en que ingresan los estudiantes para conocer si cuentan o no con diagnóstico o puede ser remitido por el docente según un formato pre diseñado por la institución en el cual tiene varios criterios para que el docente pueda identificar si el estudiante debe ser remitido a orientación para su respectiva atención y si requiere que se diseñe el PIAR</v>
      </c>
      <c r="S466" s="11" t="str">
        <f>IFERROR(IF(VLOOKUP(A466,[4]PRIORIZADOS!$A:$S,19,FALSE)="","",VLOOKUP(A466,[4]PRIORIZADOS!$A:$S,19,FALSE)),"")</f>
        <v>continuar con los protocolos internos y atención a los estudiantes que cuenten con PIAR y seguir con el acompañamiento a los padres para dar apoyo al estudiante</v>
      </c>
      <c r="T466" s="70" t="str">
        <f>IFERROR(IF(VLOOKUP(A466,[4]PRIORIZADOS!$A:$T,20,FALSE)="","",VLOOKUP(A466,[4]PRIORIZADOS!$A:$T,20,FALSE)),"")</f>
        <v>SI</v>
      </c>
      <c r="U466" s="11" t="str">
        <f>IFERROR(IF(VLOOKUP(A466,[4]PRIORIZADOS!$A:$U,21,FALSE)="","",VLOOKUP(A466,[4]PRIORIZADOS!$A:$U,21,FALSE)),"")</f>
        <v>Se realiza seguimiento desde el 1 de octubre con reunión realizada en el colegio para verificar el cumplimiento del decreto 1431 de 2017 en relación con la atención de los niños con dificultad y/o que requieren PIAR</v>
      </c>
    </row>
    <row r="467" spans="1:21" s="1" customFormat="1" ht="84">
      <c r="A467" s="69">
        <f>IF([4]PRIORIZADOS!A83="","",[4]PRIORIZADOS!A83)</f>
        <v>476</v>
      </c>
      <c r="B467" s="70">
        <v>11</v>
      </c>
      <c r="C467" s="11" t="str">
        <f>IFERROR(IF(VLOOKUP(A467,[4]PRIORIZADOS!$A:$C,3,FALSE)="","",VLOOKUP(A467,[4]PRIORIZADOS!$A:$C,3,FALSE)),"")</f>
        <v>CHAPINERO</v>
      </c>
      <c r="D467" s="11" t="str">
        <f>IFERROR(IF(VLOOKUP(A467,[4]PRIORIZADOS!$A:$D,4,FALSE)="","",VLOOKUP(A467,[4]PRIORIZADOS!$A:$D,4,FALSE)),"")</f>
        <v>OFICIAL</v>
      </c>
      <c r="E467" s="11" t="str">
        <f>IFERROR(IF(VLOOKUP(A467,[4]PRIORIZADOS!$A:$E,5,FALSE)="","",VLOOKUP(A467,[4]PRIORIZADOS!$A:$E,5,FALSE)),"")</f>
        <v>EPBM</v>
      </c>
      <c r="F467" s="11" t="str">
        <f>IFERROR(IF(VLOOKUP(A467,[4]PRIORIZADOS!$A:$F,6,FALSE)="","",VLOOKUP(A467,[4]PRIORIZADOS!$A:$F,6,FALSE)),"")</f>
        <v>COLEGIO_CAMPESTRE_MONTE_VERDE_IED</v>
      </c>
      <c r="G467" s="11" t="str">
        <f>IFERROR(IF(VLOOKUP(A467,[4]PRIORIZADOS!$A:$G,7,FALSE)="","",VLOOKUP(A467,[4]PRIORIZADOS!$A:$G,7,FALSE)),"")</f>
        <v>PLAN PADRINOS SAN LUIS</v>
      </c>
      <c r="H467" s="11" t="str">
        <f>IFERROR(IF(VLOOKUP(A467,[4]PRIORIZADOS!$A:$H,8,FALSE)="","",VLOOKUP(A467,[4]PRIORIZADOS!$A:$H,8,FALSE)),"")</f>
        <v>Autoevaluación Institucional y Pruebas SABER 11</v>
      </c>
      <c r="I467" s="11" t="str">
        <f>IFERROR(IF(VLOOKUP(A467,[4]PRIORIZADOS!$A:$I,9,FALSE)="","",VLOOKUP(A467,[4]PRIORIZADOS!$A:$I,9,FALSE)),"")</f>
        <v>EVALUACIÓN_CON_FINES_DE_MEJORAMIENTO.</v>
      </c>
      <c r="J467" s="11" t="str">
        <f>IFERROR(IF(VLOOKUP(A467,[4]PRIORIZADOS!$A:$J,10,FALSE)="","",VLOOKUP(A467,[4]PRIORIZADOS!$A:$J,10,FALSE)),"")</f>
        <v>Revisar la actualización, socialización e implementación del Sistema Institucional de Evaluación de Estudiantes - SIEE, en articulación con la actualización del PEI y la normatividad vigente.</v>
      </c>
      <c r="K467" s="11" t="str">
        <f>IFERROR(IF(VLOOKUP(A467,[4]PRIORIZADOS!$A:$K,11,FALSE)="","",VLOOKUP(A467,[4]PRIORIZADOS!$A:$K,11,FALSE)),"")</f>
        <v>CONNIE QUIÑONES CÁRDENAS</v>
      </c>
      <c r="L467" s="11" t="str">
        <f>IFERROR(IF(VLOOKUP(A467,[4]PRIORIZADOS!$A:$L,12,FALSE)="","",VLOOKUP(A467,[4]PRIORIZADOS!$A:$L,12,FALSE)),"")</f>
        <v xml:space="preserve">LAURA CRISTINA BECERRA CHAVES </v>
      </c>
      <c r="M467" s="71">
        <f>IFERROR(IF(VLOOKUP(A467,[4]PRIORIZADOS!$A:$M,13,FALSE)="","",VLOOKUP(A467,[4]PRIORIZADOS!$A:$M,13,FALSE)),"")</f>
        <v>45775</v>
      </c>
      <c r="N467" s="71">
        <f>IFERROR(IF(VLOOKUP(A467,[4]PRIORIZADOS!$A:$N,14,FALSE)="","",VLOOKUP(A467,[4]PRIORIZADOS!$A:$N,14,FALSE)),"")</f>
        <v>45771</v>
      </c>
      <c r="O467" s="71" t="str">
        <f>IFERROR(IF(VLOOKUP(A467,[4]PRIORIZADOS!$A:$O,15,FALSE)="","",VLOOKUP(A467,[4]PRIORIZADOS!$A:$O,15,FALSE)),"")</f>
        <v>28/4/2025</v>
      </c>
      <c r="P467" s="11" t="str">
        <f>IFERROR(IF(VLOOKUP(A467,[4]PRIORIZADOS!$A:$P,16,FALSE)="","",VLOOKUP(A467,[4]PRIORIZADOS!$A:$P,16,FALSE)),"")</f>
        <v>Visitas de evaluación con fines de mejoramiento</v>
      </c>
      <c r="Q467" s="107" t="s">
        <v>88</v>
      </c>
      <c r="R467" s="11" t="str">
        <f>IFERROR(IF(VLOOKUP(A467,[4]PRIORIZADOS!$A:$R,18,FALSE)="","",VLOOKUP(A467,[4]PRIORIZADOS!$A:$R,18,FALSE)),"")</f>
        <v>Contempla en el manual de convivencia el SIIE ajustado con las estrategias de apoyo para aquello que tienen dificultades con un conducto regular, cumple con la normatividad vigente también en lo relacionado con acciones de promoción de estudiantes</v>
      </c>
      <c r="S467" s="11" t="str">
        <f>IFERROR(IF(VLOOKUP(A467,[4]PRIORIZADOS!$A:$S,19,FALSE)="","",VLOOKUP(A467,[4]PRIORIZADOS!$A:$S,19,FALSE)),"")</f>
        <v>Dar a conocer el contenido del Manual de Convivencia a los estudiantes en  lo relacionado con el sistema de evaluación, estrategias de recuperación y apoyos</v>
      </c>
      <c r="T467" s="70" t="str">
        <f>IFERROR(IF(VLOOKUP(A467,[4]PRIORIZADOS!$A:$T,20,FALSE)="","",VLOOKUP(A467,[4]PRIORIZADOS!$A:$T,20,FALSE)),"")</f>
        <v>No</v>
      </c>
      <c r="U467" s="11" t="str">
        <f>IFERROR(IF(VLOOKUP(A467,[4]PRIORIZADOS!$A:$U,21,FALSE)="","",VLOOKUP(A467,[4]PRIORIZADOS!$A:$U,21,FALSE)),"")</f>
        <v>Se verificó que está ajustado el  Sistema Institucional de Evaluación  SIEE y se hará seguimiento al momento en el que la institución presente los avances del PEI de manera anual en la siguiente vigencia.</v>
      </c>
    </row>
    <row r="468" spans="1:21" s="1" customFormat="1" ht="48">
      <c r="A468" s="69">
        <f>IF([4]PRIORIZADOS!A84="","",[4]PRIORIZADOS!A84)</f>
        <v>477</v>
      </c>
      <c r="B468" s="70">
        <v>11</v>
      </c>
      <c r="C468" s="11" t="str">
        <f>IFERROR(IF(VLOOKUP(A468,[4]PRIORIZADOS!$A:$C,3,FALSE)="","",VLOOKUP(A468,[4]PRIORIZADOS!$A:$C,3,FALSE)),"")</f>
        <v>CHAPINERO</v>
      </c>
      <c r="D468" s="11" t="str">
        <f>IFERROR(IF(VLOOKUP(A468,[4]PRIORIZADOS!$A:$D,4,FALSE)="","",VLOOKUP(A468,[4]PRIORIZADOS!$A:$D,4,FALSE)),"")</f>
        <v>OFICIAL</v>
      </c>
      <c r="E468" s="11" t="str">
        <f>IFERROR(IF(VLOOKUP(A468,[4]PRIORIZADOS!$A:$E,5,FALSE)="","",VLOOKUP(A468,[4]PRIORIZADOS!$A:$E,5,FALSE)),"")</f>
        <v>EPBM</v>
      </c>
      <c r="F468" s="11" t="str">
        <f>IFERROR(IF(VLOOKUP(A468,[4]PRIORIZADOS!$A:$F,6,FALSE)="","",VLOOKUP(A468,[4]PRIORIZADOS!$A:$F,6,FALSE)),"")</f>
        <v>COLEGIO_CAMPESTRE_MONTE_VERDE_IED</v>
      </c>
      <c r="G468" s="11" t="str">
        <f>IFERROR(IF(VLOOKUP(A468,[4]PRIORIZADOS!$A:$G,7,FALSE)="","",VLOOKUP(A468,[4]PRIORIZADOS!$A:$G,7,FALSE)),"")</f>
        <v>PLAN PADRINOS SAN LUIS</v>
      </c>
      <c r="H468" s="11" t="str">
        <f>IFERROR(IF(VLOOKUP(A468,[4]PRIORIZADOS!$A:$H,8,FALSE)="","",VLOOKUP(A468,[4]PRIORIZADOS!$A:$H,8,FALSE)),"")</f>
        <v>Autoevaluación Institucional y Pruebas SABER 11</v>
      </c>
      <c r="I468" s="11" t="str">
        <f>IFERROR(IF(VLOOKUP(A468,[4]PRIORIZADOS!$A:$I,9,FALSE)="","",VLOOKUP(A468,[4]PRIORIZADOS!$A:$I,9,FALSE)),"")</f>
        <v>EVALUACIÓN_CON_FINES_DE_MEJORAMIENTO.</v>
      </c>
      <c r="J468" s="11" t="str">
        <f>IFERROR(IF(VLOOKUP(A468,[4]PRIORIZADOS!$A:$J,10,FALSE)="","",VLOOKUP(A468,[4]PRIORIZADOS!$A:$J,10,FALSE)),"")</f>
        <v>Revisar el calendario escolar, jornada escolar, la intensidad horaria mínima anual en cada nivel y las modificaciones que se realicen al mismo, de acuerdo con lo previsto en la normatividad vigente.</v>
      </c>
      <c r="K468" s="11" t="str">
        <f>IFERROR(IF(VLOOKUP(A468,[4]PRIORIZADOS!$A:$K,11,FALSE)="","",VLOOKUP(A468,[4]PRIORIZADOS!$A:$K,11,FALSE)),"")</f>
        <v>CONNIE QUIÑONES CÁRDENAS</v>
      </c>
      <c r="L468" s="11" t="str">
        <f>IFERROR(IF(VLOOKUP(A468,[4]PRIORIZADOS!$A:$L,12,FALSE)="","",VLOOKUP(A468,[4]PRIORIZADOS!$A:$L,12,FALSE)),"")</f>
        <v xml:space="preserve">LAURA CRISTINA BECERRA CHAVES </v>
      </c>
      <c r="M468" s="71">
        <f>IFERROR(IF(VLOOKUP(A468,[4]PRIORIZADOS!$A:$M,13,FALSE)="","",VLOOKUP(A468,[4]PRIORIZADOS!$A:$M,13,FALSE)),"")</f>
        <v>45775</v>
      </c>
      <c r="N468" s="71" t="str">
        <f>IFERROR(IF(VLOOKUP(A468,[4]PRIORIZADOS!$A:$N,14,FALSE)="","",VLOOKUP(A468,[4]PRIORIZADOS!$A:$N,14,FALSE)),"")</f>
        <v>28/4/2025</v>
      </c>
      <c r="O468" s="71" t="str">
        <f>IFERROR(IF(VLOOKUP(A468,[4]PRIORIZADOS!$A:$O,15,FALSE)="","",VLOOKUP(A468,[4]PRIORIZADOS!$A:$O,15,FALSE)),"")</f>
        <v>28/4/2025</v>
      </c>
      <c r="P468" s="11" t="str">
        <f>IFERROR(IF(VLOOKUP(A468,[4]PRIORIZADOS!$A:$P,16,FALSE)="","",VLOOKUP(A468,[4]PRIORIZADOS!$A:$P,16,FALSE)),"")</f>
        <v>Visitas de evaluación con fines de mejoramiento</v>
      </c>
      <c r="Q468" s="107" t="s">
        <v>88</v>
      </c>
      <c r="R468" s="11" t="str">
        <f>IFERROR(IF(VLOOKUP(A468,[4]PRIORIZADOS!$A:$R,18,FALSE)="","",VLOOKUP(A468,[4]PRIORIZADOS!$A:$R,18,FALSE)),"")</f>
        <v>Resolución de calendario escolar con las horas y fecha reglamentarias conforme al calendario dispuesto por la  SED, cumple con la jornada escolar</v>
      </c>
      <c r="S468" s="11" t="str">
        <f>IFERROR(IF(VLOOKUP(A468,[4]PRIORIZADOS!$A:$S,19,FALSE)="","",VLOOKUP(A468,[4]PRIORIZADOS!$A:$S,19,FALSE)),"")</f>
        <v>Adoptar lo establecido por la secretaría de Educación en la resolución de CALENDARIO ESCOLAR</v>
      </c>
      <c r="T468" s="70" t="str">
        <f>IFERROR(IF(VLOOKUP(A468,[4]PRIORIZADOS!$A:$T,20,FALSE)="","",VLOOKUP(A468,[4]PRIORIZADOS!$A:$T,20,FALSE)),"")</f>
        <v>no</v>
      </c>
      <c r="U468" s="11" t="str">
        <f>IFERROR(IF(VLOOKUP(A468,[4]PRIORIZADOS!$A:$U,21,FALSE)="","",VLOOKUP(A468,[4]PRIORIZADOS!$A:$U,21,FALSE)),"")</f>
        <v xml:space="preserve">Se hará la verificación del cumplimiento de lo establecido en la resolución de calendario en la próxima vigencia </v>
      </c>
    </row>
    <row r="469" spans="1:21" s="1" customFormat="1" ht="60">
      <c r="A469" s="69">
        <f>IF([4]PRIORIZADOS!A85="","",[4]PRIORIZADOS!A85)</f>
        <v>478</v>
      </c>
      <c r="B469" s="70">
        <v>11</v>
      </c>
      <c r="C469" s="11" t="str">
        <f>IFERROR(IF(VLOOKUP(A469,[4]PRIORIZADOS!$A:$C,3,FALSE)="","",VLOOKUP(A469,[4]PRIORIZADOS!$A:$C,3,FALSE)),"")</f>
        <v>CHAPINERO</v>
      </c>
      <c r="D469" s="11" t="str">
        <f>IFERROR(IF(VLOOKUP(A469,[4]PRIORIZADOS!$A:$D,4,FALSE)="","",VLOOKUP(A469,[4]PRIORIZADOS!$A:$D,4,FALSE)),"")</f>
        <v>OFICIAL</v>
      </c>
      <c r="E469" s="11" t="str">
        <f>IFERROR(IF(VLOOKUP(A469,[4]PRIORIZADOS!$A:$E,5,FALSE)="","",VLOOKUP(A469,[4]PRIORIZADOS!$A:$E,5,FALSE)),"")</f>
        <v>EPBM</v>
      </c>
      <c r="F469" s="11" t="str">
        <f>IFERROR(IF(VLOOKUP(A469,[4]PRIORIZADOS!$A:$F,6,FALSE)="","",VLOOKUP(A469,[4]PRIORIZADOS!$A:$F,6,FALSE)),"")</f>
        <v>COLEGIO_CAMPESTRE_MONTE_VERDE_IED</v>
      </c>
      <c r="G469" s="11" t="str">
        <f>IFERROR(IF(VLOOKUP(A469,[4]PRIORIZADOS!$A:$G,7,FALSE)="","",VLOOKUP(A469,[4]PRIORIZADOS!$A:$G,7,FALSE)),"")</f>
        <v>PLAN PADRINOS SAN LUIS</v>
      </c>
      <c r="H469" s="11" t="str">
        <f>IFERROR(IF(VLOOKUP(A469,[4]PRIORIZADOS!$A:$H,8,FALSE)="","",VLOOKUP(A469,[4]PRIORIZADOS!$A:$H,8,FALSE)),"")</f>
        <v>Autoevaluación Institucional y Pruebas SABER 11</v>
      </c>
      <c r="I469" s="11" t="str">
        <f>IFERROR(IF(VLOOKUP(A469,[4]PRIORIZADOS!$A:$I,9,FALSE)="","",VLOOKUP(A469,[4]PRIORIZADOS!$A:$I,9,FALSE)),"")</f>
        <v>EVALUACIÓN_CON_FINES_DE_MEJORAMIENTO.</v>
      </c>
      <c r="J469" s="11" t="str">
        <f>IFERROR(IF(VLOOKUP(A469,[4]PRIORIZADOS!$A:$J,10,FALSE)="","",VLOOKUP(A469,[4]PRIORIZADOS!$A:$J,10,FALSE)),"")</f>
        <v>Verificar el funcionamiento del Gobierno Escolar e instancias de participación con base en la información sobre conformación reportada por la institución educativa.</v>
      </c>
      <c r="K469" s="11" t="str">
        <f>IFERROR(IF(VLOOKUP(A469,[4]PRIORIZADOS!$A:$K,11,FALSE)="","",VLOOKUP(A469,[4]PRIORIZADOS!$A:$K,11,FALSE)),"")</f>
        <v>CONNIE QUIÑONES CÁRDENAS</v>
      </c>
      <c r="L469" s="11" t="str">
        <f>IFERROR(IF(VLOOKUP(A469,[4]PRIORIZADOS!$A:$L,12,FALSE)="","",VLOOKUP(A469,[4]PRIORIZADOS!$A:$L,12,FALSE)),"")</f>
        <v xml:space="preserve">LAURA CRISTINA BECERRA CHAVES </v>
      </c>
      <c r="M469" s="71">
        <f>IFERROR(IF(VLOOKUP(A469,[4]PRIORIZADOS!$A:$M,13,FALSE)="","",VLOOKUP(A469,[4]PRIORIZADOS!$A:$M,13,FALSE)),"")</f>
        <v>45775</v>
      </c>
      <c r="N469" s="71" t="str">
        <f>IFERROR(IF(VLOOKUP(A469,[4]PRIORIZADOS!$A:$N,14,FALSE)="","",VLOOKUP(A469,[4]PRIORIZADOS!$A:$N,14,FALSE)),"")</f>
        <v>28/4/2025</v>
      </c>
      <c r="O469" s="71" t="str">
        <f>IFERROR(IF(VLOOKUP(A469,[4]PRIORIZADOS!$A:$O,15,FALSE)="","",VLOOKUP(A469,[4]PRIORIZADOS!$A:$O,15,FALSE)),"")</f>
        <v>28/4/2025</v>
      </c>
      <c r="P469" s="11" t="str">
        <f>IFERROR(IF(VLOOKUP(A469,[4]PRIORIZADOS!$A:$P,16,FALSE)="","",VLOOKUP(A469,[4]PRIORIZADOS!$A:$P,16,FALSE)),"")</f>
        <v>Visitas de evaluación con fines de mejoramiento</v>
      </c>
      <c r="Q469" s="107" t="s">
        <v>88</v>
      </c>
      <c r="R469" s="11" t="str">
        <f>IFERROR(IF(VLOOKUP(A469,[4]PRIORIZADOS!$A:$R,18,FALSE)="","",VLOOKUP(A469,[4]PRIORIZADOS!$A:$R,18,FALSE)),"")</f>
        <v>Realizó el reporte en el aplicativo SAE en términos y en debida forma</v>
      </c>
      <c r="S469" s="11" t="str">
        <f>IFERROR(IF(VLOOKUP(A469,[4]PRIORIZADOS!$A:$S,19,FALSE)="","",VLOOKUP(A469,[4]PRIORIZADOS!$A:$S,19,FALSE)),"")</f>
        <v xml:space="preserve">Continuar con los reportes en tiempo y adelantar los procesos de participación con todas las instancias y reunirse y elevar las actas respectivas que evidencien su funcionamiento </v>
      </c>
      <c r="T469" s="70" t="str">
        <f>IFERROR(IF(VLOOKUP(A469,[4]PRIORIZADOS!$A:$T,20,FALSE)="","",VLOOKUP(A469,[4]PRIORIZADOS!$A:$T,20,FALSE)),"")</f>
        <v>SI</v>
      </c>
      <c r="U469" s="11" t="str">
        <f>IFERROR(IF(VLOOKUP(A469,[4]PRIORIZADOS!$A:$U,21,FALSE)="","",VLOOKUP(A469,[4]PRIORIZADOS!$A:$U,21,FALSE)),"")</f>
        <v xml:space="preserve">Realizó las elecciones en debida forma y el reporte SAE. Se hará el respectivo seguimiento según el acta de visita hasta el  23 de mayo de 2025 y se verifica el cumplimiento en la plataforma a más tardar en junio 2025 </v>
      </c>
    </row>
    <row r="470" spans="1:21" s="1" customFormat="1" ht="72">
      <c r="A470" s="69">
        <f>IF([4]PRIORIZADOS!A86="","",[4]PRIORIZADOS!A86)</f>
        <v>479</v>
      </c>
      <c r="B470" s="70">
        <v>11</v>
      </c>
      <c r="C470" s="11" t="str">
        <f>IFERROR(IF(VLOOKUP(A470,[4]PRIORIZADOS!$A:$C,3,FALSE)="","",VLOOKUP(A470,[4]PRIORIZADOS!$A:$C,3,FALSE)),"")</f>
        <v>CHAPINERO</v>
      </c>
      <c r="D470" s="11" t="str">
        <f>IFERROR(IF(VLOOKUP(A470,[4]PRIORIZADOS!$A:$D,4,FALSE)="","",VLOOKUP(A470,[4]PRIORIZADOS!$A:$D,4,FALSE)),"")</f>
        <v>OFICIAL</v>
      </c>
      <c r="E470" s="11" t="str">
        <f>IFERROR(IF(VLOOKUP(A470,[4]PRIORIZADOS!$A:$E,5,FALSE)="","",VLOOKUP(A470,[4]PRIORIZADOS!$A:$E,5,FALSE)),"")</f>
        <v>EPBM</v>
      </c>
      <c r="F470" s="11" t="str">
        <f>IFERROR(IF(VLOOKUP(A470,[4]PRIORIZADOS!$A:$F,6,FALSE)="","",VLOOKUP(A470,[4]PRIORIZADOS!$A:$F,6,FALSE)),"")</f>
        <v>COLEGIO_CAMPESTRE_MONTE_VERDE_IED</v>
      </c>
      <c r="G470" s="11" t="str">
        <f>IFERROR(IF(VLOOKUP(A470,[4]PRIORIZADOS!$A:$G,7,FALSE)="","",VLOOKUP(A470,[4]PRIORIZADOS!$A:$G,7,FALSE)),"")</f>
        <v>PLAN PADRINOS SAN LUIS</v>
      </c>
      <c r="H470" s="11" t="str">
        <f>IFERROR(IF(VLOOKUP(A470,[4]PRIORIZADOS!$A:$H,8,FALSE)="","",VLOOKUP(A470,[4]PRIORIZADOS!$A:$H,8,FALSE)),"")</f>
        <v>Autoevaluación Institucional y Pruebas SABER 11</v>
      </c>
      <c r="I470" s="11" t="str">
        <f>IFERROR(IF(VLOOKUP(A470,[4]PRIORIZADOS!$A:$I,9,FALSE)="","",VLOOKUP(A470,[4]PRIORIZADOS!$A:$I,9,FALSE)),"")</f>
        <v>EVALUACIÓN_CON_FINES_DE_MEJORAMIENTO.</v>
      </c>
      <c r="J470" s="11" t="str">
        <f>IFERROR(IF(VLOOKUP(A470,[4]PRIORIZADOS!$A:$J,10,FALSE)="","",VLOOKUP(A470,[4]PRIORIZADOS!$A:$J,10,FALSE)),"")</f>
        <v>Verificar las condiciones en cuanto a: la estructura administrativa, condiciones de la planta física y medios educativos adecuados.</v>
      </c>
      <c r="K470" s="11" t="str">
        <f>IFERROR(IF(VLOOKUP(A470,[4]PRIORIZADOS!$A:$K,11,FALSE)="","",VLOOKUP(A470,[4]PRIORIZADOS!$A:$K,11,FALSE)),"")</f>
        <v>CONNIE QUIÑONES CÁRDENAS</v>
      </c>
      <c r="L470" s="11" t="str">
        <f>IFERROR(IF(VLOOKUP(A470,[4]PRIORIZADOS!$A:$L,12,FALSE)="","",VLOOKUP(A470,[4]PRIORIZADOS!$A:$L,12,FALSE)),"")</f>
        <v xml:space="preserve">LAURA CRISTINA BECERRA CHAVES </v>
      </c>
      <c r="M470" s="71">
        <f>IFERROR(IF(VLOOKUP(A470,[4]PRIORIZADOS!$A:$M,13,FALSE)="","",VLOOKUP(A470,[4]PRIORIZADOS!$A:$M,13,FALSE)),"")</f>
        <v>45775</v>
      </c>
      <c r="N470" s="71" t="str">
        <f>IFERROR(IF(VLOOKUP(A470,[4]PRIORIZADOS!$A:$N,14,FALSE)="","",VLOOKUP(A470,[4]PRIORIZADOS!$A:$N,14,FALSE)),"")</f>
        <v>28/4/2025</v>
      </c>
      <c r="O470" s="71" t="str">
        <f>IFERROR(IF(VLOOKUP(A470,[4]PRIORIZADOS!$A:$O,15,FALSE)="","",VLOOKUP(A470,[4]PRIORIZADOS!$A:$O,15,FALSE)),"")</f>
        <v>28/4/2025</v>
      </c>
      <c r="P470" s="11" t="str">
        <f>IFERROR(IF(VLOOKUP(A470,[4]PRIORIZADOS!$A:$P,16,FALSE)="","",VLOOKUP(A470,[4]PRIORIZADOS!$A:$P,16,FALSE)),"")</f>
        <v>Visitas de evaluación con fines de mejoramiento</v>
      </c>
      <c r="Q470" s="107" t="s">
        <v>88</v>
      </c>
      <c r="R470" s="11" t="str">
        <f>IFERROR(IF(VLOOKUP(A470,[4]PRIORIZADOS!$A:$R,18,FALSE)="","",VLOOKUP(A470,[4]PRIORIZADOS!$A:$R,18,FALSE)),"")</f>
        <v>Se encuentra una planta física que cuenta con todos los espacios administrativos, académicos de y de bienestar</v>
      </c>
      <c r="S470" s="11" t="str">
        <f>IFERROR(IF(VLOOKUP(A470,[4]PRIORIZADOS!$A:$S,19,FALSE)="","",VLOOKUP(A470,[4]PRIORIZADOS!$A:$S,19,FALSE)),"")</f>
        <v>Se encuentra en buen estado, con los espacios administrativos, académicos y de bienestar adecuados y completos, sin embargo algunos pupitres de grado 11° se solicitó el cambio para que estén acordes a la contextura y edad de los estudiantes</v>
      </c>
      <c r="T470" s="70" t="str">
        <f>IFERROR(IF(VLOOKUP(A470,[4]PRIORIZADOS!$A:$T,20,FALSE)="","",VLOOKUP(A470,[4]PRIORIZADOS!$A:$T,20,FALSE)),"")</f>
        <v>Si</v>
      </c>
      <c r="U470" s="11" t="str">
        <f>IFERROR(IF(VLOOKUP(A470,[4]PRIORIZADOS!$A:$U,21,FALSE)="","",VLOOKUP(A470,[4]PRIORIZADOS!$A:$U,21,FALSE)),"")</f>
        <v>Se realizara el seguimiento al cambio de algunos pupitres para que estén adecuados a la contextura y edad de los estudiantes, solicitados por el rector, plazo hasta el 23 de mayo de 2025</v>
      </c>
    </row>
    <row r="471" spans="1:21" s="1" customFormat="1" ht="84">
      <c r="A471" s="69">
        <f>IF([4]PRIORIZADOS!A87="","",[4]PRIORIZADOS!A87)</f>
        <v>480</v>
      </c>
      <c r="B471" s="70">
        <v>12</v>
      </c>
      <c r="C471" s="11" t="str">
        <f>IFERROR(IF(VLOOKUP(A471,[4]PRIORIZADOS!$A:$C,3,FALSE)="","",VLOOKUP(A471,[4]PRIORIZADOS!$A:$C,3,FALSE)),"")</f>
        <v>CHAPINERO</v>
      </c>
      <c r="D471" s="11" t="str">
        <f>IFERROR(IF(VLOOKUP(A471,[4]PRIORIZADOS!$A:$D,4,FALSE)="","",VLOOKUP(A471,[4]PRIORIZADOS!$A:$D,4,FALSE)),"")</f>
        <v>OFICIAL</v>
      </c>
      <c r="E471" s="11" t="str">
        <f>IFERROR(IF(VLOOKUP(A471,[4]PRIORIZADOS!$A:$E,5,FALSE)="","",VLOOKUP(A471,[4]PRIORIZADOS!$A:$E,5,FALSE)),"")</f>
        <v>EPBM</v>
      </c>
      <c r="F471" s="11" t="str">
        <f>IFERROR(IF(VLOOKUP(A471,[4]PRIORIZADOS!$A:$F,6,FALSE)="","",VLOOKUP(A471,[4]PRIORIZADOS!$A:$F,6,FALSE)),"")</f>
        <v>COLEGIO_SAN_MARTIN_DE_PORRES_IED</v>
      </c>
      <c r="G471" s="11" t="str">
        <f>IFERROR(IF(VLOOKUP(A471,[4]PRIORIZADOS!$A:$G,7,FALSE)="","",VLOOKUP(A471,[4]PRIORIZADOS!$A:$G,7,FALSE)),"")</f>
        <v>SAN MARTIN DE PORRES</v>
      </c>
      <c r="H471" s="11" t="str">
        <f>IFERROR(IF(VLOOKUP(A471,[4]PRIORIZADOS!$A:$H,8,FALSE)="","",VLOOKUP(A471,[4]PRIORIZADOS!$A:$H,8,FALSE)),"")</f>
        <v>Autoevaluación Institucional y Pruebas SABER 11</v>
      </c>
      <c r="I471" s="11" t="str">
        <f>IFERROR(IF(VLOOKUP(A471,[4]PRIORIZADOS!$A:$I,9,FALSE)="","",VLOOKUP(A471,[4]PRIORIZADOS!$A:$I,9,FALSE)),"")</f>
        <v>SEGUIMIENTO_Y_SUPERVISIÓN.</v>
      </c>
      <c r="J471" s="11" t="str">
        <f>IFERROR(IF(VLOOKUP(A471,[4]PRIORIZADOS!$A:$J,10,FALSE)="","",VLOOKUP(A471,[4]PRIORIZADOS!$A:$J,10,FALSE)),"")</f>
        <v>Proponer estrategias en la formulación, verificar su elaboración y realizar seguimiento semestral al desarrollo de  las acciones establecidas en los planes de mejoramiento por pruebas SABER 11 de los establecimientos de educación formal.</v>
      </c>
      <c r="K471" s="11" t="str">
        <f>IFERROR(IF(VLOOKUP(A471,[4]PRIORIZADOS!$A:$K,11,FALSE)="","",VLOOKUP(A471,[4]PRIORIZADOS!$A:$K,11,FALSE)),"")</f>
        <v>JUAN MANUEL AGUIRRE BOHÓRQUEZ</v>
      </c>
      <c r="L471" s="11" t="str">
        <f>IFERROR(IF(VLOOKUP(A471,[4]PRIORIZADOS!$A:$L,12,FALSE)="","",VLOOKUP(A471,[4]PRIORIZADOS!$A:$L,12,FALSE)),"")</f>
        <v>CONNIE QUIÑONES CÁRDENAS</v>
      </c>
      <c r="M471" s="71">
        <f>IFERROR(IF(VLOOKUP(A471,[4]PRIORIZADOS!$A:$M,13,FALSE)="","",VLOOKUP(A471,[4]PRIORIZADOS!$A:$M,13,FALSE)),"")</f>
        <v>45777</v>
      </c>
      <c r="N471" s="71">
        <f>IFERROR(IF(VLOOKUP(A471,[4]PRIORIZADOS!$A:$N,14,FALSE)="","",VLOOKUP(A471,[4]PRIORIZADOS!$A:$N,14,FALSE)),"")</f>
        <v>45784</v>
      </c>
      <c r="O471" s="71">
        <f>IFERROR(IF(VLOOKUP(A471,[4]PRIORIZADOS!$A:$O,15,FALSE)="","",VLOOKUP(A471,[4]PRIORIZADOS!$A:$O,15,FALSE)),"")</f>
        <v>45784</v>
      </c>
      <c r="P471" s="11" t="str">
        <f>IFERROR(IF(VLOOKUP(A471,[4]PRIORIZADOS!$A:$P,16,FALSE)="","",VLOOKUP(A471,[4]PRIORIZADOS!$A:$P,16,FALSE)),"")</f>
        <v>Visitas de evaluación con fines de mejoramiento</v>
      </c>
      <c r="Q471" s="107" t="s">
        <v>89</v>
      </c>
      <c r="R471" s="11" t="str">
        <f>IFERROR(IF(VLOOKUP(A471,[4]PRIORIZADOS!$A:$R,18,FALSE)="","",VLOOKUP(A471,[4]PRIORIZADOS!$A:$R,18,FALSE)),"")</f>
        <v>A partir de los simulacros PreICFES, se identificaron debilidades en formación ciudadana, inglés y ciencias naturales, por lo que se implementaron planes de mejora con refuerzos específicos, ajustes en el plan de estudios y evaluaciones adaptadas para monitorear el progreso estudiantil.</v>
      </c>
      <c r="S471" s="11" t="str">
        <f>IFERROR(IF(VLOOKUP(A471,[4]PRIORIZADOS!$A:$S,19,FALSE)="","",VLOOKUP(A471,[4]PRIORIZADOS!$A:$S,19,FALSE)),"")</f>
        <v>Continuar con los simulacros cada periodo y realizar el análisis de los resultados en el comité de evaluación</v>
      </c>
      <c r="T471" s="70" t="str">
        <f>IFERROR(IF(VLOOKUP(A471,[4]PRIORIZADOS!$A:$T,20,FALSE)="","",VLOOKUP(A471,[4]PRIORIZADOS!$A:$T,20,FALSE)),"")</f>
        <v>Si</v>
      </c>
      <c r="U471" s="11" t="str">
        <f>IFERROR(IF(VLOOKUP(A471,[4]PRIORIZADOS!$A:$U,21,FALSE)="","",VLOOKUP(A471,[4]PRIORIZADOS!$A:$U,21,FALSE)),"")</f>
        <v>Se verificará semestralmente la implementación de los planes de mejoramiento y desarrollo basados en evaluaciones, así como los ajustes en los planes de estudio y evaluaciones, y la retroalimentación realizada, con el objetivo de optimizar las estrategias pedagógicas para fortalecer el desempeño estudiantil en las pruebas SABER 11.</v>
      </c>
    </row>
    <row r="472" spans="1:21" s="1" customFormat="1" ht="130.5">
      <c r="A472" s="69">
        <f>IF([4]PRIORIZADOS!A88="","",[4]PRIORIZADOS!A88)</f>
        <v>481</v>
      </c>
      <c r="B472" s="70">
        <v>12</v>
      </c>
      <c r="C472" s="11" t="str">
        <f>IFERROR(IF(VLOOKUP(A472,[4]PRIORIZADOS!$A:$C,3,FALSE)="","",VLOOKUP(A472,[4]PRIORIZADOS!$A:$C,3,FALSE)),"")</f>
        <v>CHAPINERO</v>
      </c>
      <c r="D472" s="11" t="str">
        <f>IFERROR(IF(VLOOKUP(A472,[4]PRIORIZADOS!$A:$D,4,FALSE)="","",VLOOKUP(A472,[4]PRIORIZADOS!$A:$D,4,FALSE)),"")</f>
        <v>OFICIAL</v>
      </c>
      <c r="E472" s="11" t="str">
        <f>IFERROR(IF(VLOOKUP(A472,[4]PRIORIZADOS!$A:$E,5,FALSE)="","",VLOOKUP(A472,[4]PRIORIZADOS!$A:$E,5,FALSE)),"")</f>
        <v>EPBM</v>
      </c>
      <c r="F472" s="11" t="str">
        <f>IFERROR(IF(VLOOKUP(A472,[4]PRIORIZADOS!$A:$F,6,FALSE)="","",VLOOKUP(A472,[4]PRIORIZADOS!$A:$F,6,FALSE)),"")</f>
        <v>COLEGIO_SAN_MARTIN_DE_PORRES_IED</v>
      </c>
      <c r="G472" s="11" t="str">
        <f>IFERROR(IF(VLOOKUP(A472,[4]PRIORIZADOS!$A:$G,7,FALSE)="","",VLOOKUP(A472,[4]PRIORIZADOS!$A:$G,7,FALSE)),"")</f>
        <v>SAN MARTIN DE PORRES</v>
      </c>
      <c r="H472" s="11" t="str">
        <f>IFERROR(IF(VLOOKUP(A472,[4]PRIORIZADOS!$A:$H,8,FALSE)="","",VLOOKUP(A472,[4]PRIORIZADOS!$A:$H,8,FALSE)),"")</f>
        <v>Autoevaluación Institucional y Pruebas SABER 11</v>
      </c>
      <c r="I472" s="11" t="str">
        <f>IFERROR(IF(VLOOKUP(A472,[4]PRIORIZADOS!$A:$I,9,FALSE)="","",VLOOKUP(A472,[4]PRIORIZADOS!$A:$I,9,FALSE)),"")</f>
        <v>SEGUIMIENTO_Y_SUPERVISIÓN.</v>
      </c>
      <c r="J472" s="11" t="str">
        <f>IFERROR(IF(VLOOKUP(A472,[4]PRIORIZADOS!$A:$J,10,FALSE)="","",VLOOKUP(A472,[4]PRIORIZADOS!$A:$J,10,FALSE)),"")</f>
        <v xml:space="preserve">Verificar la implementación por parte de los colegios, de acciones realizadas para la prevención y atención de las situaciones de convivencia en el entorno escolar, según lo establecido en la Directiva 01 de 2022 del MEN. </v>
      </c>
      <c r="K472" s="11" t="str">
        <f>IFERROR(IF(VLOOKUP(A472,[4]PRIORIZADOS!$A:$K,11,FALSE)="","",VLOOKUP(A472,[4]PRIORIZADOS!$A:$K,11,FALSE)),"")</f>
        <v>JUAN MANUEL AGUIRRE BOHÓRQUEZ</v>
      </c>
      <c r="L472" s="11" t="str">
        <f>IFERROR(IF(VLOOKUP(A472,[4]PRIORIZADOS!$A:$L,12,FALSE)="","",VLOOKUP(A472,[4]PRIORIZADOS!$A:$L,12,FALSE)),"")</f>
        <v>CONNIE QUIÑONES CÁRDENAS</v>
      </c>
      <c r="M472" s="71">
        <f>IFERROR(IF(VLOOKUP(A472,[4]PRIORIZADOS!$A:$M,13,FALSE)="","",VLOOKUP(A472,[4]PRIORIZADOS!$A:$M,13,FALSE)),"")</f>
        <v>45777</v>
      </c>
      <c r="N472" s="71">
        <f>IFERROR(IF(VLOOKUP(A472,[4]PRIORIZADOS!$A:$N,14,FALSE)="","",VLOOKUP(A472,[4]PRIORIZADOS!$A:$N,14,FALSE)),"")</f>
        <v>45784</v>
      </c>
      <c r="O472" s="71">
        <f>IFERROR(IF(VLOOKUP(A472,[4]PRIORIZADOS!$A:$O,15,FALSE)="","",VLOOKUP(A472,[4]PRIORIZADOS!$A:$O,15,FALSE)),"")</f>
        <v>45784</v>
      </c>
      <c r="P472" s="11" t="str">
        <f>IFERROR(IF(VLOOKUP(A472,[4]PRIORIZADOS!$A:$P,16,FALSE)="","",VLOOKUP(A472,[4]PRIORIZADOS!$A:$P,16,FALSE)),"")</f>
        <v>Visitas de evaluación con fines de mejoramiento</v>
      </c>
      <c r="Q472" s="107" t="s">
        <v>89</v>
      </c>
      <c r="R472" s="11" t="str">
        <f>IFERROR(IF(VLOOKUP(A472,[4]PRIORIZADOS!$A:$R,18,FALSE)="","",VLOOKUP(A472,[4]PRIORIZADOS!$A:$R,18,FALSE)),"")</f>
        <v>Durante el proceso de contratación interna para la adquisición de bienes y servicios, el colegio realiza la consulta correspondiente sobre inhabilidades por delitos sexuales.
Por su parte, las acciones de carácter administrativo relacionadas con la selección y el nombramiento de personal administrativo o docente son responsabilidad de la Secretaría de Educación (SED).</v>
      </c>
      <c r="S472" s="11" t="str">
        <f>IFERROR(IF(VLOOKUP(A472,[4]PRIORIZADOS!$A:$S,19,FALSE)="","",VLOOKUP(A472,[4]PRIORIZADOS!$A:$S,19,FALSE)),"")</f>
        <v>Acciones de mejora:
Fortalecer la comunicación interinstitucional: Mejorar entre el colegio y la Secretaría de Educación (SED) para establecer un canal de verificaciones de inhabilidades por delitos sexuales sean realizadas de manera oportuna y eficaz.</v>
      </c>
      <c r="T472" s="70" t="str">
        <f>IFERROR(IF(VLOOKUP(A472,[4]PRIORIZADOS!$A:$T,20,FALSE)="","",VLOOKUP(A472,[4]PRIORIZADOS!$A:$T,20,FALSE)),"")</f>
        <v>No</v>
      </c>
      <c r="U472" s="11" t="str">
        <f>IFERROR(IF(VLOOKUP(A472,[4]PRIORIZADOS!$A:$U,21,FALSE)="","",VLOOKUP(A472,[4]PRIORIZADOS!$A:$U,21,FALSE)),"")</f>
        <v>En visitas posteriores, se verificará la continuidad de la actividad y la realización de la verificación de inhabilidades por delitos sexuales a los contratistas</v>
      </c>
    </row>
    <row r="473" spans="1:21" s="1" customFormat="1" ht="96">
      <c r="A473" s="69">
        <f>IF([4]PRIORIZADOS!A89="","",[4]PRIORIZADOS!A89)</f>
        <v>482</v>
      </c>
      <c r="B473" s="70">
        <v>12</v>
      </c>
      <c r="C473" s="11" t="str">
        <f>IFERROR(IF(VLOOKUP(A473,[4]PRIORIZADOS!$A:$C,3,FALSE)="","",VLOOKUP(A473,[4]PRIORIZADOS!$A:$C,3,FALSE)),"")</f>
        <v>CHAPINERO</v>
      </c>
      <c r="D473" s="11" t="str">
        <f>IFERROR(IF(VLOOKUP(A473,[4]PRIORIZADOS!$A:$D,4,FALSE)="","",VLOOKUP(A473,[4]PRIORIZADOS!$A:$D,4,FALSE)),"")</f>
        <v>OFICIAL</v>
      </c>
      <c r="E473" s="11" t="str">
        <f>IFERROR(IF(VLOOKUP(A473,[4]PRIORIZADOS!$A:$E,5,FALSE)="","",VLOOKUP(A473,[4]PRIORIZADOS!$A:$E,5,FALSE)),"")</f>
        <v>EPBM</v>
      </c>
      <c r="F473" s="11" t="str">
        <f>IFERROR(IF(VLOOKUP(A473,[4]PRIORIZADOS!$A:$F,6,FALSE)="","",VLOOKUP(A473,[4]PRIORIZADOS!$A:$F,6,FALSE)),"")</f>
        <v>COLEGIO_SAN_MARTIN_DE_PORRES_IED</v>
      </c>
      <c r="G473" s="11" t="str">
        <f>IFERROR(IF(VLOOKUP(A473,[4]PRIORIZADOS!$A:$G,7,FALSE)="","",VLOOKUP(A473,[4]PRIORIZADOS!$A:$G,7,FALSE)),"")</f>
        <v>SAN MARTIN DE PORRES</v>
      </c>
      <c r="H473" s="11" t="str">
        <f>IFERROR(IF(VLOOKUP(A473,[4]PRIORIZADOS!$A:$H,8,FALSE)="","",VLOOKUP(A473,[4]PRIORIZADOS!$A:$H,8,FALSE)),"")</f>
        <v>Autoevaluación Institucional y Pruebas SABER 11</v>
      </c>
      <c r="I473" s="11" t="str">
        <f>IFERROR(IF(VLOOKUP(A473,[4]PRIORIZADOS!$A:$I,9,FALSE)="","",VLOOKUP(A473,[4]PRIORIZADOS!$A:$I,9,FALSE)),"")</f>
        <v>SEGUIMIENTO_Y_SUPERVISIÓN.</v>
      </c>
      <c r="J473" s="11" t="str">
        <f>IFERROR(IF(VLOOKUP(A473,[4]PRIORIZADOS!$A:$J,10,FALSE)="","",VLOOKUP(A473,[4]PRIORIZADOS!$A:$J,10,FALSE)),"")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473" s="11" t="str">
        <f>IFERROR(IF(VLOOKUP(A473,[4]PRIORIZADOS!$A:$K,11,FALSE)="","",VLOOKUP(A473,[4]PRIORIZADOS!$A:$K,11,FALSE)),"")</f>
        <v>JUAN MANUEL AGUIRRE BOHÓRQUEZ</v>
      </c>
      <c r="L473" s="11" t="str">
        <f>IFERROR(IF(VLOOKUP(A473,[4]PRIORIZADOS!$A:$L,12,FALSE)="","",VLOOKUP(A473,[4]PRIORIZADOS!$A:$L,12,FALSE)),"")</f>
        <v>CONNIE QUIÑONES CÁRDENAS</v>
      </c>
      <c r="M473" s="71">
        <f>IFERROR(IF(VLOOKUP(A473,[4]PRIORIZADOS!$A:$M,13,FALSE)="","",VLOOKUP(A473,[4]PRIORIZADOS!$A:$M,13,FALSE)),"")</f>
        <v>45777</v>
      </c>
      <c r="N473" s="71">
        <f>IFERROR(IF(VLOOKUP(A473,[4]PRIORIZADOS!$A:$N,14,FALSE)="","",VLOOKUP(A473,[4]PRIORIZADOS!$A:$N,14,FALSE)),"")</f>
        <v>45784</v>
      </c>
      <c r="O473" s="71">
        <f>IFERROR(IF(VLOOKUP(A473,[4]PRIORIZADOS!$A:$O,15,FALSE)="","",VLOOKUP(A473,[4]PRIORIZADOS!$A:$O,15,FALSE)),"")</f>
        <v>45784</v>
      </c>
      <c r="P473" s="11" t="str">
        <f>IFERROR(IF(VLOOKUP(A473,[4]PRIORIZADOS!$A:$P,16,FALSE)="","",VLOOKUP(A473,[4]PRIORIZADOS!$A:$P,16,FALSE)),"")</f>
        <v>Visitas de evaluación con fines de mejoramiento</v>
      </c>
      <c r="Q473" s="125" t="s">
        <v>89</v>
      </c>
      <c r="R473" s="11" t="str">
        <f>IFERROR(IF(VLOOKUP(A473,[4]PRIORIZADOS!$A:$R,18,FALSE)="","",VLOOKUP(A473,[4]PRIORIZADOS!$A:$R,18,FALSE)),"")</f>
        <v>El PIAR para 2025 incluye a 11 estudiantes de bachillerato con diagnóstico, siguiendo una ruta que permite a los docentes identificar dificultades académicas, especialmente en áreas como la escritura. Si es necesario, se realiza una valoración y, en caso de ser pertinente, se remite al área de salud</v>
      </c>
      <c r="S473" s="11" t="str">
        <f>IFERROR(IF(VLOOKUP(A473,[4]PRIORIZADOS!$A:$S,19,FALSE)="","",VLOOKUP(A473,[4]PRIORIZADOS!$A:$S,19,FALSE)),"")</f>
        <v>Capacitar al personal docente en estrategias de inclusión y protocolos de remisión.
Implementar un sistema de seguimiento del PIAR para asegurar su efectividad.</v>
      </c>
      <c r="T473" s="70" t="str">
        <f>IFERROR(IF(VLOOKUP(A473,[4]PRIORIZADOS!$A:$T,20,FALSE)="","",VLOOKUP(A473,[4]PRIORIZADOS!$A:$T,20,FALSE)),"")</f>
        <v>No</v>
      </c>
      <c r="U473" s="11" t="str">
        <f>IFERROR(IF(VLOOKUP(A473,[4]PRIORIZADOS!$A:$U,21,FALSE)="","",VLOOKUP(A473,[4]PRIORIZADOS!$A:$U,21,FALSE)),"")</f>
        <v>Garantizar un entorno inclusivo que atienda las necesidades de los estudiantes.
Mantener una comunicación continua y transparente con los padres.
Evaluar y ajustar el proceso de diagnóstico y valoración para asegurar un apoyo adecuado.</v>
      </c>
    </row>
    <row r="474" spans="1:21" s="1" customFormat="1" ht="84">
      <c r="A474" s="69">
        <f>IF([4]PRIORIZADOS!A90="","",[4]PRIORIZADOS!A90)</f>
        <v>2800</v>
      </c>
      <c r="B474" s="70">
        <v>12</v>
      </c>
      <c r="C474" s="11" t="str">
        <f>IFERROR(IF(VLOOKUP(A474,[4]PRIORIZADOS!$A:$C,3,FALSE)="","",VLOOKUP(A474,[4]PRIORIZADOS!$A:$C,3,FALSE)),"")</f>
        <v>CHAPINERO</v>
      </c>
      <c r="D474" s="11" t="str">
        <f>IFERROR(IF(VLOOKUP(A474,[4]PRIORIZADOS!$A:$D,4,FALSE)="","",VLOOKUP(A474,[4]PRIORIZADOS!$A:$D,4,FALSE)),"")</f>
        <v>OFICIAL</v>
      </c>
      <c r="E474" s="11" t="str">
        <f>IFERROR(IF(VLOOKUP(A474,[4]PRIORIZADOS!$A:$E,5,FALSE)="","",VLOOKUP(A474,[4]PRIORIZADOS!$A:$E,5,FALSE)),"")</f>
        <v>EPBM</v>
      </c>
      <c r="F474" s="11" t="str">
        <f>IFERROR(IF(VLOOKUP(A474,[4]PRIORIZADOS!$A:$F,6,FALSE)="","",VLOOKUP(A474,[4]PRIORIZADOS!$A:$F,6,FALSE)),"")</f>
        <v>COLEGIO_SAN_MARTIN_DE_PORRES_IED</v>
      </c>
      <c r="G474" s="11" t="str">
        <f>IFERROR(IF(VLOOKUP(A474,[4]PRIORIZADOS!$A:$G,7,FALSE)="","",VLOOKUP(A474,[4]PRIORIZADOS!$A:$G,7,FALSE)),"")</f>
        <v>SAN MARTIN DE PORRES</v>
      </c>
      <c r="H474" s="11" t="str">
        <f>IFERROR(IF(VLOOKUP(A474,[4]PRIORIZADOS!$A:$H,8,FALSE)="","",VLOOKUP(A474,[4]PRIORIZADOS!$A:$H,8,FALSE)),"")</f>
        <v>Autoevaluación Institucional y Pruebas SABER 11</v>
      </c>
      <c r="I474" s="11" t="str">
        <f>IFERROR(IF(VLOOKUP(A474,[4]PRIORIZADOS!$A:$I,9,FALSE)="","",VLOOKUP(A474,[4]PRIORIZADOS!$A:$I,9,FALSE)),"")</f>
        <v>EVALUACIÓN_CON_FINES_DE_MEJORAMIENTO.</v>
      </c>
      <c r="J474" s="11" t="str">
        <f>IFERROR(IF(VLOOKUP(A474,[4]PRIORIZADOS!$A:$J,10,FALSE)="","",VLOOKUP(A474,[4]PRIORIZADOS!$A:$J,10,FALSE)),"")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474" s="11" t="str">
        <f>IFERROR(IF(VLOOKUP(A474,[4]PRIORIZADOS!$A:$K,11,FALSE)="","",VLOOKUP(A474,[4]PRIORIZADOS!$A:$K,11,FALSE)),"")</f>
        <v>JUAN MANUEL AGUIRRE BOHÓRQUEZ</v>
      </c>
      <c r="L474" s="11" t="str">
        <f>IFERROR(IF(VLOOKUP(A474,[4]PRIORIZADOS!$A:$L,12,FALSE)="","",VLOOKUP(A474,[4]PRIORIZADOS!$A:$L,12,FALSE)),"")</f>
        <v>CONNIE QUIÑONES CÁRDENAS</v>
      </c>
      <c r="M474" s="71">
        <f>IFERROR(IF(VLOOKUP(A474,[4]PRIORIZADOS!$A:$M,13,FALSE)="","",VLOOKUP(A474,[4]PRIORIZADOS!$A:$M,13,FALSE)),"")</f>
        <v>45777</v>
      </c>
      <c r="N474" s="71">
        <f>IFERROR(IF(VLOOKUP(A474,[4]PRIORIZADOS!$A:$N,14,FALSE)="","",VLOOKUP(A474,[4]PRIORIZADOS!$A:$N,14,FALSE)),"")</f>
        <v>45784</v>
      </c>
      <c r="O474" s="71">
        <f>IFERROR(IF(VLOOKUP(A474,[4]PRIORIZADOS!$A:$O,15,FALSE)="","",VLOOKUP(A474,[4]PRIORIZADOS!$A:$O,15,FALSE)),"")</f>
        <v>45784</v>
      </c>
      <c r="P474" s="11" t="str">
        <f>IFERROR(IF(VLOOKUP(A474,[4]PRIORIZADOS!$A:$P,16,FALSE)="","",VLOOKUP(A474,[4]PRIORIZADOS!$A:$P,16,FALSE)),"")</f>
        <v>Revisión documental</v>
      </c>
      <c r="Q474" s="125" t="s">
        <v>89</v>
      </c>
      <c r="R474" s="11" t="str">
        <f>IFERROR(IF(VLOOKUP(A474,[4]PRIORIZADOS!$A:$R,18,FALSE)="","",VLOOKUP(A474,[4]PRIORIZADOS!$A:$R,18,FALSE)),"")</f>
        <v xml:space="preserve">Se evidenció que el Manual se debe actualizar anualmente, y que se esta omitiendo  la inclusión de los canales de atención para PQRS, el enfoque de diversidad y componente restaurativo, y la ruta de atención integral conforme a la Ley 1620 de 2013. </v>
      </c>
      <c r="S474" s="11" t="str">
        <f>IFERROR(IF(VLOOKUP(A474,[4]PRIORIZADOS!$A:$S,19,FALSE)="","",VLOOKUP(A474,[4]PRIORIZADOS!$A:$S,19,FALSE)),"")</f>
        <v>Revisión y modificación del manual de convivencia incorporando las sugerencias con fecha límite noviembre 2025 con el fin de contar Manual como herramienta de gestión y orientación para la convivencia escolar.</v>
      </c>
      <c r="T474" s="70" t="str">
        <f>IFERROR(IF(VLOOKUP(A474,[4]PRIORIZADOS!$A:$T,20,FALSE)="","",VLOOKUP(A474,[4]PRIORIZADOS!$A:$T,20,FALSE)),"")</f>
        <v>Si</v>
      </c>
      <c r="U474" s="11" t="str">
        <f>IFERROR(IF(VLOOKUP(A474,[4]PRIORIZADOS!$A:$U,21,FALSE)="","",VLOOKUP(A474,[4]PRIORIZADOS!$A:$U,21,FALSE)),"")</f>
        <v>Una vez el IED remita el documento realizar nuevamente la revisión  y si es el caso entregar observaciones</v>
      </c>
    </row>
    <row r="475" spans="1:21" s="1" customFormat="1" ht="107.25">
      <c r="A475" s="69">
        <f>IF([4]PRIORIZADOS!A91="","",[4]PRIORIZADOS!A91)</f>
        <v>483</v>
      </c>
      <c r="B475" s="70">
        <v>12</v>
      </c>
      <c r="C475" s="11" t="str">
        <f>IFERROR(IF(VLOOKUP(A475,[4]PRIORIZADOS!$A:$C,3,FALSE)="","",VLOOKUP(A475,[4]PRIORIZADOS!$A:$C,3,FALSE)),"")</f>
        <v>CHAPINERO</v>
      </c>
      <c r="D475" s="11" t="str">
        <f>IFERROR(IF(VLOOKUP(A475,[4]PRIORIZADOS!$A:$D,4,FALSE)="","",VLOOKUP(A475,[4]PRIORIZADOS!$A:$D,4,FALSE)),"")</f>
        <v>OFICIAL</v>
      </c>
      <c r="E475" s="11" t="str">
        <f>IFERROR(IF(VLOOKUP(A475,[4]PRIORIZADOS!$A:$E,5,FALSE)="","",VLOOKUP(A475,[4]PRIORIZADOS!$A:$E,5,FALSE)),"")</f>
        <v>EPBM</v>
      </c>
      <c r="F475" s="11" t="str">
        <f>IFERROR(IF(VLOOKUP(A475,[4]PRIORIZADOS!$A:$F,6,FALSE)="","",VLOOKUP(A475,[4]PRIORIZADOS!$A:$F,6,FALSE)),"")</f>
        <v>COLEGIO_SAN_MARTIN_DE_PORRES_IED</v>
      </c>
      <c r="G475" s="11" t="str">
        <f>IFERROR(IF(VLOOKUP(A475,[4]PRIORIZADOS!$A:$G,7,FALSE)="","",VLOOKUP(A475,[4]PRIORIZADOS!$A:$G,7,FALSE)),"")</f>
        <v>SAN MARTIN DE PORRES</v>
      </c>
      <c r="H475" s="11" t="str">
        <f>IFERROR(IF(VLOOKUP(A475,[4]PRIORIZADOS!$A:$H,8,FALSE)="","",VLOOKUP(A475,[4]PRIORIZADOS!$A:$H,8,FALSE)),"")</f>
        <v>Autoevaluación Institucional y Pruebas SABER 11</v>
      </c>
      <c r="I475" s="11" t="str">
        <f>IFERROR(IF(VLOOKUP(A475,[4]PRIORIZADOS!$A:$I,9,FALSE)="","",VLOOKUP(A475,[4]PRIORIZADOS!$A:$I,9,FALSE)),"")</f>
        <v>EVALUACIÓN_CON_FINES_DE_MEJORAMIENTO.</v>
      </c>
      <c r="J475" s="11" t="str">
        <f>IFERROR(IF(VLOOKUP(A475,[4]PRIORIZADOS!$A:$J,10,FALSE)="","",VLOOKUP(A475,[4]PRIORIZADOS!$A:$J,10,FALSE)),"")</f>
        <v>Revisar el calendario escolar, jornada escolar, la intensidad horaria mínima anual en cada nivel y las modificaciones que se realicen al mismo, de acuerdo con lo previsto en la normatividad vigente.</v>
      </c>
      <c r="K475" s="11" t="str">
        <f>IFERROR(IF(VLOOKUP(A475,[4]PRIORIZADOS!$A:$K,11,FALSE)="","",VLOOKUP(A475,[4]PRIORIZADOS!$A:$K,11,FALSE)),"")</f>
        <v>JUAN MANUEL AGUIRRE BOHÓRQUEZ</v>
      </c>
      <c r="L475" s="11" t="str">
        <f>IFERROR(IF(VLOOKUP(A475,[4]PRIORIZADOS!$A:$L,12,FALSE)="","",VLOOKUP(A475,[4]PRIORIZADOS!$A:$L,12,FALSE)),"")</f>
        <v>CONNIE QUIÑONES CÁRDENAS</v>
      </c>
      <c r="M475" s="71">
        <f>IFERROR(IF(VLOOKUP(A475,[4]PRIORIZADOS!$A:$M,13,FALSE)="","",VLOOKUP(A475,[4]PRIORIZADOS!$A:$M,13,FALSE)),"")</f>
        <v>45777</v>
      </c>
      <c r="N475" s="71">
        <f>IFERROR(IF(VLOOKUP(A475,[4]PRIORIZADOS!$A:$N,14,FALSE)="","",VLOOKUP(A475,[4]PRIORIZADOS!$A:$N,14,FALSE)),"")</f>
        <v>45784</v>
      </c>
      <c r="O475" s="71">
        <f>IFERROR(IF(VLOOKUP(A475,[4]PRIORIZADOS!$A:$O,15,FALSE)="","",VLOOKUP(A475,[4]PRIORIZADOS!$A:$O,15,FALSE)),"")</f>
        <v>45784</v>
      </c>
      <c r="P475" s="11" t="str">
        <f>IFERROR(IF(VLOOKUP(A475,[4]PRIORIZADOS!$A:$P,16,FALSE)="","",VLOOKUP(A475,[4]PRIORIZADOS!$A:$P,16,FALSE)),"")</f>
        <v>Visitas de evaluación con fines de mejoramiento</v>
      </c>
      <c r="Q475" s="128" t="s">
        <v>90</v>
      </c>
      <c r="R475" s="11" t="str">
        <f>IFERROR(IF(VLOOKUP(A475,[4]PRIORIZADOS!$A:$R,18,FALSE)="","",VLOOKUP(A475,[4]PRIORIZADOS!$A:$R,18,FALSE)),"")</f>
        <v>La institución, a través de resolución rectoral, establece el calendario académico y el cronograma de actividades, garantizando el cumplimiento de la intensidad horaria mínima anual exigida por la ley para cada nivel, lo cual se evidencia en el calendario escolar.</v>
      </c>
      <c r="S475" s="11" t="str">
        <f>IFERROR(IF(VLOOKUP(A475,[4]PRIORIZADOS!$A:$S,19,FALSE)="","",VLOOKUP(A475,[4]PRIORIZADOS!$A:$S,19,FALSE)),"")</f>
        <v xml:space="preserve">
Revisar anualmente el calendario académico y cronograma de actividades para cumplir con los requisitos legales de intensidad horaria mínima.
Alinear las actividades programadas con la intensidad horaria establecida, garantizando el cumplimiento de la ley.</v>
      </c>
      <c r="T475" s="70" t="str">
        <f>IFERROR(IF(VLOOKUP(A475,[4]PRIORIZADOS!$A:$T,20,FALSE)="","",VLOOKUP(A475,[4]PRIORIZADOS!$A:$T,20,FALSE)),"")</f>
        <v>No</v>
      </c>
      <c r="U475" s="11" t="str">
        <f>IFERROR(IF(VLOOKUP(A475,[4]PRIORIZADOS!$A:$U,21,FALSE)="","",VLOOKUP(A475,[4]PRIORIZADOS!$A:$U,21,FALSE)),"")</f>
        <v xml:space="preserve">
Garantizar el cumplimiento de la intensidad horaria mínima anual exigida por la ley.
Mantener informados a estudiantes y padres sobre el calendario académico y la alineación con los requisitos legales.
Revisar anualmente el calendario académico y cronograma de actividades para asegurar su cumplimiento adecuado.</v>
      </c>
    </row>
    <row r="476" spans="1:21" s="1" customFormat="1" ht="115.5">
      <c r="A476" s="69">
        <v>484</v>
      </c>
      <c r="B476" s="70">
        <v>13</v>
      </c>
      <c r="C476" s="73" t="s">
        <v>91</v>
      </c>
      <c r="D476" s="49" t="s">
        <v>92</v>
      </c>
      <c r="E476" s="49" t="s">
        <v>93</v>
      </c>
      <c r="F476" s="49" t="s">
        <v>94</v>
      </c>
      <c r="G476" s="49" t="s">
        <v>95</v>
      </c>
      <c r="H476" s="49" t="s">
        <v>96</v>
      </c>
      <c r="I476" s="129" t="s">
        <v>97</v>
      </c>
      <c r="J476" s="49" t="s">
        <v>98</v>
      </c>
      <c r="K476" s="49" t="s">
        <v>99</v>
      </c>
      <c r="L476" s="49" t="s">
        <v>100</v>
      </c>
      <c r="M476" s="130">
        <v>45951</v>
      </c>
      <c r="N476" s="131">
        <v>45952</v>
      </c>
      <c r="O476" s="131">
        <v>45952</v>
      </c>
      <c r="P476" s="76" t="s">
        <v>101</v>
      </c>
      <c r="Q476" s="132" t="s">
        <v>102</v>
      </c>
      <c r="R476" s="133" t="s">
        <v>103</v>
      </c>
      <c r="S476" s="80" t="s">
        <v>104</v>
      </c>
      <c r="T476" s="49" t="s">
        <v>105</v>
      </c>
      <c r="U476" s="80" t="s">
        <v>106</v>
      </c>
    </row>
    <row r="477" spans="1:21" s="1" customFormat="1" ht="48">
      <c r="A477" s="69">
        <f>IF([4]PRIORIZADOS!A94="","",[4]PRIORIZADOS!A94)</f>
        <v>485</v>
      </c>
      <c r="B477" s="70">
        <v>13</v>
      </c>
      <c r="C477" s="11" t="str">
        <f>IFERROR(IF(VLOOKUP(A477,[4]PRIORIZADOS!$A:$C,3,FALSE)="","",VLOOKUP(A477,[4]PRIORIZADOS!$A:$C,3,FALSE)),"")</f>
        <v>CHAPINERO</v>
      </c>
      <c r="D477" s="11" t="str">
        <f>IFERROR(IF(VLOOKUP(A477,[4]PRIORIZADOS!$A:$D,4,FALSE)="","",VLOOKUP(A477,[4]PRIORIZADOS!$A:$D,4,FALSE)),"")</f>
        <v>PRIVADO_IETDH</v>
      </c>
      <c r="E477" s="11" t="str">
        <f>IFERROR(IF(VLOOKUP(A477,[4]PRIORIZADOS!$A:$E,5,FALSE)="","",VLOOKUP(A477,[4]PRIORIZADOS!$A:$E,5,FALSE)),"")</f>
        <v>IETDH</v>
      </c>
      <c r="F477" s="11" t="str">
        <f>IFERROR(IF(VLOOKUP(A477,[4]PRIORIZADOS!$A:$F,6,FALSE)="","",VLOOKUP(A477,[4]PRIORIZADOS!$A:$F,6,FALSE)),"")</f>
        <v>ESCUELA_DE_AUXILIARES_DE_ENFERMERIA_DEL_HOSPITAL_MILITAR_CENTRAL_</v>
      </c>
      <c r="G477" s="11" t="str">
        <f>IFERROR(IF(VLOOKUP(A477,[4]PRIORIZADOS!$A:$G,7,FALSE)="","",VLOOKUP(A477,[4]PRIORIZADOS!$A:$G,7,FALSE)),"")</f>
        <v xml:space="preserve">ESCUELA DE AUXILIARES DE ENFERMERIA DEL HOSPITAL MILITAR CENTRAL </v>
      </c>
      <c r="H477" s="11" t="str">
        <f>IFERROR(IF(VLOOKUP(A477,[4]PRIORIZADOS!$A:$H,8,FALSE)="","",VLOOKUP(A477,[4]PRIORIZADOS!$A:$H,8,FALSE)),"")</f>
        <v>IETDH priorizadas por cada ELIV (seguimiento a PMI, que no se hayan visitado en los últimos 3 años)</v>
      </c>
      <c r="I477" s="11" t="str">
        <f>IFERROR(IF(VLOOKUP(A477,[4]PRIORIZADOS!$A:$I,9,FALSE)="","",VLOOKUP(A477,[4]PRIORIZADOS!$A:$I,9,FALSE)),"")</f>
        <v>SEGUIMIENTO_Y_SUPERVISIÓN.</v>
      </c>
      <c r="J477" s="11" t="str">
        <f>IFERROR(IF(VLOOKUP(A477,[4]PRIORIZADOS!$A:$J,10,FALSE)="","",VLOOKUP(A477,[4]PRIORIZADOS!$A:$J,10,FALSE)),"")</f>
        <v>Adelantar visitas para verificar que el desarrollo de los programas de ETDH, esté de acuerdo con lo autorizado y la normatividad vigente, para propender por su pertinencia, legalidad y actualización constante.</v>
      </c>
      <c r="K477" s="11" t="str">
        <f>IFERROR(IF(VLOOKUP(A477,[4]PRIORIZADOS!$A:$K,11,FALSE)="","",VLOOKUP(A477,[4]PRIORIZADOS!$A:$K,11,FALSE)),"")</f>
        <v>JUAN MANUEL AGUIRRE BOHÓRQUEZ</v>
      </c>
      <c r="L477" s="11" t="str">
        <f>IFERROR(IF(VLOOKUP(A477,[4]PRIORIZADOS!$A:$L,12,FALSE)="","",VLOOKUP(A477,[4]PRIORIZADOS!$A:$L,12,FALSE)),"")</f>
        <v>CONNIE QUIÑONES CÁRDENAS</v>
      </c>
      <c r="M477" s="71">
        <f>IFERROR(IF(VLOOKUP(A477,[4]PRIORIZADOS!$A:$M,13,FALSE)="","",VLOOKUP(A477,[4]PRIORIZADOS!$A:$M,13,FALSE)),"")</f>
        <v>45951</v>
      </c>
      <c r="N477" s="71">
        <f>IFERROR(IF(VLOOKUP(A477,[4]PRIORIZADOS!$A:$N,14,FALSE)="","",VLOOKUP(A477,[4]PRIORIZADOS!$A:$N,14,FALSE)),"")</f>
        <v>45952</v>
      </c>
      <c r="O477" s="71">
        <f>IFERROR(IF(VLOOKUP(A477,[4]PRIORIZADOS!$A:$O,15,FALSE)="","",VLOOKUP(A477,[4]PRIORIZADOS!$A:$O,15,FALSE)),"")</f>
        <v>45952</v>
      </c>
      <c r="P477" s="11" t="str">
        <f>IFERROR(IF(VLOOKUP(A477,[4]PRIORIZADOS!$A:$P,16,FALSE)="","",VLOOKUP(A477,[4]PRIORIZADOS!$A:$P,16,FALSE)),"")</f>
        <v>Visitas de evaluación con fines de mejoramiento</v>
      </c>
      <c r="Q477" s="132" t="s">
        <v>102</v>
      </c>
      <c r="R477" s="11" t="str">
        <f>IFERROR(IF(VLOOKUP(A477,[4]PRIORIZADOS!$A:$R,18,FALSE)="","",VLOOKUP(A477,[4]PRIORIZADOS!$A:$R,18,FALSE)),"")</f>
        <v>Se reviso el programa observando que cumple con la normatividad  y la pertinencia que se requiere.</v>
      </c>
      <c r="S477" s="11" t="str">
        <f>IFERROR(IF(VLOOKUP(A477,[4]PRIORIZADOS!$A:$S,19,FALSE)="","",VLOOKUP(A477,[4]PRIORIZADOS!$A:$S,19,FALSE)),"")</f>
        <v>Continuar con el cumplimiento de lo señalado en los actos administrativos frente al programa de Auxiliar de enfermería,</v>
      </c>
      <c r="T477" s="70" t="str">
        <f>IFERROR(IF(VLOOKUP(A477,[4]PRIORIZADOS!$A:$T,20,FALSE)="","",VLOOKUP(A477,[4]PRIORIZADOS!$A:$T,20,FALSE)),"")</f>
        <v>No</v>
      </c>
      <c r="U477" s="11" t="str">
        <f>IFERROR(IF(VLOOKUP(A477,[4]PRIORIZADOS!$A:$U,21,FALSE)="","",VLOOKUP(A477,[4]PRIORIZADOS!$A:$U,21,FALSE)),"")</f>
        <v>Verificación de la prestación del servicio educativo en condiciones de ley,  en caso de que se presenten irregularidades o de oficio cuando se considere necesario</v>
      </c>
    </row>
    <row r="478" spans="1:21" s="1" customFormat="1" ht="96">
      <c r="A478" s="69">
        <f>IF([4]PRIORIZADOS!A95="","",[4]PRIORIZADOS!A95)</f>
        <v>486</v>
      </c>
      <c r="B478" s="70">
        <v>13</v>
      </c>
      <c r="C478" s="11" t="str">
        <f>IFERROR(IF(VLOOKUP(A478,[4]PRIORIZADOS!$A:$C,3,FALSE)="","",VLOOKUP(A478,[4]PRIORIZADOS!$A:$C,3,FALSE)),"")</f>
        <v>CHAPINERO</v>
      </c>
      <c r="D478" s="11" t="str">
        <f>IFERROR(IF(VLOOKUP(A478,[4]PRIORIZADOS!$A:$D,4,FALSE)="","",VLOOKUP(A478,[4]PRIORIZADOS!$A:$D,4,FALSE)),"")</f>
        <v>PRIVADO_IETDH</v>
      </c>
      <c r="E478" s="11" t="str">
        <f>IFERROR(IF(VLOOKUP(A478,[4]PRIORIZADOS!$A:$E,5,FALSE)="","",VLOOKUP(A478,[4]PRIORIZADOS!$A:$E,5,FALSE)),"")</f>
        <v>IETDH</v>
      </c>
      <c r="F478" s="11" t="str">
        <f>IFERROR(IF(VLOOKUP(A478,[4]PRIORIZADOS!$A:$F,6,FALSE)="","",VLOOKUP(A478,[4]PRIORIZADOS!$A:$F,6,FALSE)),"")</f>
        <v>ESCUELA_DE_AUXILIARES_DE_ENFERMERIA_DEL_HOSPITAL_MILITAR_CENTRAL_</v>
      </c>
      <c r="G478" s="11" t="str">
        <f>IFERROR(IF(VLOOKUP(A478,[4]PRIORIZADOS!$A:$G,7,FALSE)="","",VLOOKUP(A478,[4]PRIORIZADOS!$A:$G,7,FALSE)),"")</f>
        <v xml:space="preserve">ESCUELA DE AUXILIARES DE ENFERMERIA DEL HOSPITAL MILITAR CENTRAL </v>
      </c>
      <c r="H478" s="11" t="str">
        <f>IFERROR(IF(VLOOKUP(A478,[4]PRIORIZADOS!$A:$H,8,FALSE)="","",VLOOKUP(A478,[4]PRIORIZADOS!$A:$H,8,FALSE)),"")</f>
        <v>IETDH priorizadas por cada ELIV (seguimiento a PMI, que no se hayan visitado en los últimos 3 años)</v>
      </c>
      <c r="I478" s="11" t="str">
        <f>IFERROR(IF(VLOOKUP(A478,[4]PRIORIZADOS!$A:$I,9,FALSE)="","",VLOOKUP(A478,[4]PRIORIZADOS!$A:$I,9,FALSE)),"")</f>
        <v>EVALUACIÓN_CON_FINES_DE_MEJORAMIENTO.</v>
      </c>
      <c r="J478" s="11" t="str">
        <f>IFERROR(IF(VLOOKUP(A478,[4]PRIORIZADOS!$A:$J,10,FALSE)="","",VLOOKUP(A478,[4]PRIORIZADOS!$A:$J,10,FALSE)),"")</f>
        <v>Verificar las condiciones en cuanto a: la estructura administrativa, condiciones de la planta física y medios educativos adecuados.</v>
      </c>
      <c r="K478" s="11" t="str">
        <f>IFERROR(IF(VLOOKUP(A478,[4]PRIORIZADOS!$A:$K,11,FALSE)="","",VLOOKUP(A478,[4]PRIORIZADOS!$A:$K,11,FALSE)),"")</f>
        <v>JUAN MANUEL AGUIRRE BOHÓRQUEZ</v>
      </c>
      <c r="L478" s="11" t="str">
        <f>IFERROR(IF(VLOOKUP(A478,[4]PRIORIZADOS!$A:$L,12,FALSE)="","",VLOOKUP(A478,[4]PRIORIZADOS!$A:$L,12,FALSE)),"")</f>
        <v>CONNIE QUIÑONES CÁRDENAS</v>
      </c>
      <c r="M478" s="71">
        <f>IFERROR(IF(VLOOKUP(A478,[4]PRIORIZADOS!$A:$M,13,FALSE)="","",VLOOKUP(A478,[4]PRIORIZADOS!$A:$M,13,FALSE)),"")</f>
        <v>45951</v>
      </c>
      <c r="N478" s="71">
        <f>IFERROR(IF(VLOOKUP(A478,[4]PRIORIZADOS!$A:$N,14,FALSE)="","",VLOOKUP(A478,[4]PRIORIZADOS!$A:$N,14,FALSE)),"")</f>
        <v>45952</v>
      </c>
      <c r="O478" s="71">
        <f>IFERROR(IF(VLOOKUP(A478,[4]PRIORIZADOS!$A:$O,15,FALSE)="","",VLOOKUP(A478,[4]PRIORIZADOS!$A:$O,15,FALSE)),"")</f>
        <v>45952</v>
      </c>
      <c r="P478" s="11" t="str">
        <f>IFERROR(IF(VLOOKUP(A478,[4]PRIORIZADOS!$A:$P,16,FALSE)="","",VLOOKUP(A478,[4]PRIORIZADOS!$A:$P,16,FALSE)),"")</f>
        <v>Visitas de evaluación con fines de mejoramiento</v>
      </c>
      <c r="Q478" s="132" t="s">
        <v>102</v>
      </c>
      <c r="R478" s="11" t="str">
        <f>IFERROR(IF(VLOOKUP(A478,[4]PRIORIZADOS!$A:$R,18,FALSE)="","",VLOOKUP(A478,[4]PRIORIZADOS!$A:$R,18,FALSE)),"")</f>
        <v>Se verificó que la institución cuenta con una estructura administrativa definida y con espacios físicos adecuados, en excelente estado, para el desarrollo de las actividades académicas. Entre ellos se destacan los salones de clase, la sala de informática y los salones especializados destinados al desarrollo del programa.</v>
      </c>
      <c r="S478" s="11" t="str">
        <f>IFERROR(IF(VLOOKUP(A478,[4]PRIORIZADOS!$A:$S,19,FALSE)="","",VLOOKUP(A478,[4]PRIORIZADOS!$A:$S,19,FALSE)),"")</f>
        <v>Se recomienda continuar con la excelente conservación de los espacios y equipos destinados a la prestación del servicio educativo, garantizando su mantenimiento en óptimas condiciones.</v>
      </c>
      <c r="T478" s="70" t="str">
        <f>IFERROR(IF(VLOOKUP(A478,[4]PRIORIZADOS!$A:$T,20,FALSE)="","",VLOOKUP(A478,[4]PRIORIZADOS!$A:$T,20,FALSE)),"")</f>
        <v>No</v>
      </c>
      <c r="U478" s="11" t="str">
        <f>IFERROR(IF(VLOOKUP(A478,[4]PRIORIZADOS!$A:$U,21,FALSE)="","",VLOOKUP(A478,[4]PRIORIZADOS!$A:$U,21,FALSE)),"")</f>
        <v>Verificación de continuidad de las condiciones de infraestructura y equipos,</v>
      </c>
    </row>
    <row r="479" spans="1:21" s="1" customFormat="1" ht="142.5">
      <c r="A479" s="69">
        <f>IF([4]PRIORIZADOS!A96="","",[4]PRIORIZADOS!A96)</f>
        <v>487</v>
      </c>
      <c r="B479" s="70">
        <v>14</v>
      </c>
      <c r="C479" s="11" t="str">
        <f>IFERROR(IF(VLOOKUP(A479,[4]PRIORIZADOS!$A:$C,3,FALSE)="","",VLOOKUP(A479,[4]PRIORIZADOS!$A:$C,3,FALSE)),"")</f>
        <v>CHAPINERO</v>
      </c>
      <c r="D479" s="11" t="str">
        <f>IFERROR(IF(VLOOKUP(A479,[4]PRIORIZADOS!$A:$D,4,FALSE)="","",VLOOKUP(A479,[4]PRIORIZADOS!$A:$D,4,FALSE)),"")</f>
        <v>PRIVADO_IETDH</v>
      </c>
      <c r="E479" s="11" t="str">
        <f>IFERROR(IF(VLOOKUP(A479,[4]PRIORIZADOS!$A:$E,5,FALSE)="","",VLOOKUP(A479,[4]PRIORIZADOS!$A:$E,5,FALSE)),"")</f>
        <v>IETDH</v>
      </c>
      <c r="F479" s="11" t="str">
        <f>IFERROR(IF(VLOOKUP(A479,[4]PRIORIZADOS!$A:$F,6,FALSE)="","",VLOOKUP(A479,[4]PRIORIZADOS!$A:$F,6,FALSE)),"")</f>
        <v>ACADEMIA_DE_IDIOMAS_SMART</v>
      </c>
      <c r="G479" s="11" t="str">
        <f>IFERROR(IF(VLOOKUP(A479,[4]PRIORIZADOS!$A:$G,7,FALSE)="","",VLOOKUP(A479,[4]PRIORIZADOS!$A:$G,7,FALSE)),"")</f>
        <v>ACADEMIA DE IDIOMAS SMART</v>
      </c>
      <c r="H479" s="11" t="str">
        <f>IFERROR(IF(VLOOKUP(A479,[4]PRIORIZADOS!$A:$H,8,FALSE)="","",VLOOKUP(A479,[4]PRIORIZADOS!$A:$H,8,FALSE)),"")</f>
        <v>IETDH priorizadas por cada ELIV (seguimiento a PMI, que no se hayan visitado en los últimos 3 años)</v>
      </c>
      <c r="I479" s="11" t="str">
        <f>IFERROR(IF(VLOOKUP(A479,[4]PRIORIZADOS!$A:$I,9,FALSE)="","",VLOOKUP(A479,[4]PRIORIZADOS!$A:$I,9,FALSE)),"")</f>
        <v>SEGUIMIENTO_Y_SUPERVISIÓN.</v>
      </c>
      <c r="J479" s="11" t="str">
        <f>IFERROR(IF(VLOOKUP(A479,[4]PRIORIZADOS!$A:$J,10,FALSE)="","",VLOOKUP(A479,[4]PRIORIZADOS!$A:$J,10,FALSE)),"")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79" s="11" t="str">
        <f>IFERROR(IF(VLOOKUP(A479,[4]PRIORIZADOS!$A:$K,11,FALSE)="","",VLOOKUP(A479,[4]PRIORIZADOS!$A:$K,11,FALSE)),"")</f>
        <v>SANTIAGO ÁVILA LEURO</v>
      </c>
      <c r="L479" s="11" t="str">
        <f>IFERROR(IF(VLOOKUP(A479,[4]PRIORIZADOS!$A:$L,12,FALSE)="","",VLOOKUP(A479,[4]PRIORIZADOS!$A:$L,12,FALSE)),"")</f>
        <v xml:space="preserve">LAURA CRISTINA BECERRA CHAVES </v>
      </c>
      <c r="M479" s="71">
        <f>IFERROR(IF(VLOOKUP(A479,[4]PRIORIZADOS!$A:$M,13,FALSE)="","",VLOOKUP(A479,[4]PRIORIZADOS!$A:$M,13,FALSE)),"")</f>
        <v>45782</v>
      </c>
      <c r="N479" s="71">
        <f>IFERROR(IF(VLOOKUP(A479,[4]PRIORIZADOS!$A:$N,14,FALSE)="","",VLOOKUP(A479,[4]PRIORIZADOS!$A:$N,14,FALSE)),"")</f>
        <v>45824</v>
      </c>
      <c r="O479" s="71">
        <f>IFERROR(IF(VLOOKUP(A479,[4]PRIORIZADOS!$A:$O,15,FALSE)="","",VLOOKUP(A479,[4]PRIORIZADOS!$A:$O,15,FALSE)),"")</f>
        <v>45824</v>
      </c>
      <c r="P479" s="11" t="str">
        <f>IFERROR(IF(VLOOKUP(A479,[4]PRIORIZADOS!$A:$P,16,FALSE)="","",VLOOKUP(A479,[4]PRIORIZADOS!$A:$P,16,FALSE)),"")</f>
        <v>Visitas de evaluación con fines de seguimiento</v>
      </c>
      <c r="Q479" s="107" t="s">
        <v>107</v>
      </c>
      <c r="R479" s="11" t="str">
        <f>IFERROR(IF(VLOOKUP(A479,[4]PRIORIZADOS!$A:$R,18,FALSE)="","",VLOOKUP(A479,[4]PRIORIZADOS!$A:$R,18,FALSE)),"")</f>
        <v>Se evidenciaron inconsistencias entre los reportes de matrícula y las planillas internas, así como discrepancias en los certificados académicos frente a los datos registrados en SIET. La institución reportó oportunamente los costos educativos de 2025, pero manifestó no haber recibido validación formal. Se constató que los contratos incluyen los costos y condiciones generales, aunque se recomienda mayor claridad en el desglose y ajuste conforme al IPC.</v>
      </c>
      <c r="S479" s="11" t="str">
        <f>IFERROR(IF(VLOOKUP(A479,[4]PRIORIZADOS!$A:$S,19,FALSE)="","",VLOOKUP(A479,[4]PRIORIZADOS!$A:$S,19,FALSE)),"")</f>
        <v>La institución se comprometió a enviar los soportes actualizados de seguridad social, depurar y actualizar su base de datos de matrícula, unificar los datos académicos con SIET y fortalecer la claridad en los contratos, especialmente en cuanto a la información comercial y los costos educativos ajustados al índice de inflación.</v>
      </c>
      <c r="T479" s="70" t="str">
        <f>IFERROR(IF(VLOOKUP(A479,[4]PRIORIZADOS!$A:$T,20,FALSE)="","",VLOOKUP(A479,[4]PRIORIZADOS!$A:$T,20,FALSE)),"")</f>
        <v>Si</v>
      </c>
      <c r="U479" s="11" t="str">
        <f>IFERROR(IF(VLOOKUP(A479,[4]PRIORIZADOS!$A:$U,21,FALSE)="","",VLOOKUP(A479,[4]PRIORIZADOS!$A:$U,21,FALSE)),"")</f>
        <v>Se realizará verificación del envío de soportes laborales, revisión de la coherencia entre bases de datos y reportes, y seguimiento a la corrección de certificados y contratos. Asimismo, se revisará que los costos educativos 2025 estén ajustados al IPC y reflejados adecuadamente en los contratos de matrícula.</v>
      </c>
    </row>
    <row r="480" spans="1:21" s="1" customFormat="1" ht="130.5">
      <c r="A480" s="69">
        <f>IF([4]PRIORIZADOS!A97="","",[4]PRIORIZADOS!A97)</f>
        <v>488</v>
      </c>
      <c r="B480" s="70">
        <v>14</v>
      </c>
      <c r="C480" s="11" t="str">
        <f>IFERROR(IF(VLOOKUP(A480,[4]PRIORIZADOS!$A:$C,3,FALSE)="","",VLOOKUP(A480,[4]PRIORIZADOS!$A:$C,3,FALSE)),"")</f>
        <v>CHAPINERO</v>
      </c>
      <c r="D480" s="11" t="str">
        <f>IFERROR(IF(VLOOKUP(A480,[4]PRIORIZADOS!$A:$D,4,FALSE)="","",VLOOKUP(A480,[4]PRIORIZADOS!$A:$D,4,FALSE)),"")</f>
        <v>PRIVADO_IETDH</v>
      </c>
      <c r="E480" s="11" t="str">
        <f>IFERROR(IF(VLOOKUP(A480,[4]PRIORIZADOS!$A:$E,5,FALSE)="","",VLOOKUP(A480,[4]PRIORIZADOS!$A:$E,5,FALSE)),"")</f>
        <v>IETDH</v>
      </c>
      <c r="F480" s="11" t="str">
        <f>IFERROR(IF(VLOOKUP(A480,[4]PRIORIZADOS!$A:$F,6,FALSE)="","",VLOOKUP(A480,[4]PRIORIZADOS!$A:$F,6,FALSE)),"")</f>
        <v>ACADEMIA_DE_IDIOMAS_SMART</v>
      </c>
      <c r="G480" s="11" t="str">
        <f>IFERROR(IF(VLOOKUP(A480,[4]PRIORIZADOS!$A:$G,7,FALSE)="","",VLOOKUP(A480,[4]PRIORIZADOS!$A:$G,7,FALSE)),"")</f>
        <v>ACADEMIA DE IDIOMAS SMART</v>
      </c>
      <c r="H480" s="11" t="str">
        <f>IFERROR(IF(VLOOKUP(A480,[4]PRIORIZADOS!$A:$H,8,FALSE)="","",VLOOKUP(A480,[4]PRIORIZADOS!$A:$H,8,FALSE)),"")</f>
        <v>IETDH priorizadas por cada ELIV (seguimiento a PMI, que no se hayan visitado en los últimos 3 años)</v>
      </c>
      <c r="I480" s="11" t="str">
        <f>IFERROR(IF(VLOOKUP(A480,[4]PRIORIZADOS!$A:$I,9,FALSE)="","",VLOOKUP(A480,[4]PRIORIZADOS!$A:$I,9,FALSE)),"")</f>
        <v>SEGUIMIENTO_Y_SUPERVISIÓN.</v>
      </c>
      <c r="J480" s="11" t="str">
        <f>IFERROR(IF(VLOOKUP(A480,[4]PRIORIZADOS!$A:$J,10,FALSE)="","",VLOOKUP(A480,[4]PRIORIZADOS!$A:$J,10,FALSE)),"")</f>
        <v>Adelantar visitas para verificar que el desarrollo de los programas de ETDH, esté de acuerdo con lo autorizado y la normatividad vigente, para propender por su pertinencia, legalidad y actualización constante.</v>
      </c>
      <c r="K480" s="11" t="str">
        <f>IFERROR(IF(VLOOKUP(A480,[4]PRIORIZADOS!$A:$K,11,FALSE)="","",VLOOKUP(A480,[4]PRIORIZADOS!$A:$K,11,FALSE)),"")</f>
        <v>SANTIAGO ÁVILA LEURO</v>
      </c>
      <c r="L480" s="11" t="str">
        <f>IFERROR(IF(VLOOKUP(A480,[4]PRIORIZADOS!$A:$L,12,FALSE)="","",VLOOKUP(A480,[4]PRIORIZADOS!$A:$L,12,FALSE)),"")</f>
        <v xml:space="preserve">LAURA CRISTINA BECERRA CHAVES </v>
      </c>
      <c r="M480" s="71">
        <f>IFERROR(IF(VLOOKUP(A480,[4]PRIORIZADOS!$A:$M,13,FALSE)="","",VLOOKUP(A480,[4]PRIORIZADOS!$A:$M,13,FALSE)),"")</f>
        <v>45782</v>
      </c>
      <c r="N480" s="71">
        <f>IFERROR(IF(VLOOKUP(A480,[4]PRIORIZADOS!$A:$N,14,FALSE)="","",VLOOKUP(A480,[4]PRIORIZADOS!$A:$N,14,FALSE)),"")</f>
        <v>45824</v>
      </c>
      <c r="O480" s="71">
        <f>IFERROR(IF(VLOOKUP(A480,[4]PRIORIZADOS!$A:$O,15,FALSE)="","",VLOOKUP(A480,[4]PRIORIZADOS!$A:$O,15,FALSE)),"")</f>
        <v>45824</v>
      </c>
      <c r="P480" s="11" t="str">
        <f>IFERROR(IF(VLOOKUP(A480,[4]PRIORIZADOS!$A:$P,16,FALSE)="","",VLOOKUP(A480,[4]PRIORIZADOS!$A:$P,16,FALSE)),"")</f>
        <v>Visitas de evaluación con fines de seguimiento</v>
      </c>
      <c r="Q480" s="107" t="s">
        <v>107</v>
      </c>
      <c r="R480" s="11" t="str">
        <f>IFERROR(IF(VLOOKUP(A480,[4]PRIORIZADOS!$A:$R,18,FALSE)="","",VLOOKUP(A480,[4]PRIORIZADOS!$A:$R,18,FALSE)),"")</f>
        <v>Durante la visita se verificó que los programas ofertados por la institución cuentan con resolución vigente hasta 2026. Sin embargo, se identificaron dudas por parte de algunos estudiantes sobre la legalidad de la oferta educativa, especialmente en relación con la sede y los títulos de los docentes. Se observó la necesidad de fortalecer la claridad institucional respecto a la vigencia y condiciones autorizadas de los programas.</v>
      </c>
      <c r="S480" s="11" t="str">
        <f>IFERROR(IF(VLOOKUP(A480,[4]PRIORIZADOS!$A:$S,19,FALSE)="","",VLOOKUP(A480,[4]PRIORIZADOS!$A:$S,19,FALSE)),"")</f>
        <v>La institución se comprometió a reforzar la socialización de la legalidad y vigencia de los programas ante su comunidad educativa, aclarando las condiciones de autorización y actualización de los mismos. Así mismo, se acordó verificar que la oferta académica se mantenga ajustada a lo aprobado oficialmente.</v>
      </c>
      <c r="T480" s="70" t="str">
        <f>IFERROR(IF(VLOOKUP(A480,[4]PRIORIZADOS!$A:$T,20,FALSE)="","",VLOOKUP(A480,[4]PRIORIZADOS!$A:$T,20,FALSE)),"")</f>
        <v>Si</v>
      </c>
      <c r="U480" s="11" t="str">
        <f>IFERROR(IF(VLOOKUP(A480,[4]PRIORIZADOS!$A:$U,21,FALSE)="","",VLOOKUP(A480,[4]PRIORIZADOS!$A:$U,21,FALSE)),"")</f>
        <v>Se verificará, conforme al plan de mejoramiento establecido, que el desarrollo de los programas se mantenga ajustado a la normatividad vigente, incluyendo la idoneidad docente, los contenidos impartidos y la jornada autorizada. Igualmente, se comprobará que la información institucional esté actualizada y disponible en los medios oficiales y ante la comunidad educativa.</v>
      </c>
    </row>
    <row r="481" spans="1:21" s="1" customFormat="1" ht="130.5">
      <c r="A481" s="69">
        <f>IF([4]PRIORIZADOS!A98="","",[4]PRIORIZADOS!A98)</f>
        <v>489</v>
      </c>
      <c r="B481" s="70">
        <v>14</v>
      </c>
      <c r="C481" s="11" t="str">
        <f>IFERROR(IF(VLOOKUP(A481,[4]PRIORIZADOS!$A:$C,3,FALSE)="","",VLOOKUP(A481,[4]PRIORIZADOS!$A:$C,3,FALSE)),"")</f>
        <v>CHAPINERO</v>
      </c>
      <c r="D481" s="11" t="str">
        <f>IFERROR(IF(VLOOKUP(A481,[4]PRIORIZADOS!$A:$D,4,FALSE)="","",VLOOKUP(A481,[4]PRIORIZADOS!$A:$D,4,FALSE)),"")</f>
        <v>PRIVADO_IETDH</v>
      </c>
      <c r="E481" s="11" t="str">
        <f>IFERROR(IF(VLOOKUP(A481,[4]PRIORIZADOS!$A:$E,5,FALSE)="","",VLOOKUP(A481,[4]PRIORIZADOS!$A:$E,5,FALSE)),"")</f>
        <v>IETDH</v>
      </c>
      <c r="F481" s="11" t="str">
        <f>IFERROR(IF(VLOOKUP(A481,[4]PRIORIZADOS!$A:$F,6,FALSE)="","",VLOOKUP(A481,[4]PRIORIZADOS!$A:$F,6,FALSE)),"")</f>
        <v>ACADEMIA_DE_IDIOMAS_SMART</v>
      </c>
      <c r="G481" s="11" t="str">
        <f>IFERROR(IF(VLOOKUP(A481,[4]PRIORIZADOS!$A:$G,7,FALSE)="","",VLOOKUP(A481,[4]PRIORIZADOS!$A:$G,7,FALSE)),"")</f>
        <v>ACADEMIA DE IDIOMAS SMART</v>
      </c>
      <c r="H481" s="11" t="str">
        <f>IFERROR(IF(VLOOKUP(A481,[4]PRIORIZADOS!$A:$H,8,FALSE)="","",VLOOKUP(A481,[4]PRIORIZADOS!$A:$H,8,FALSE)),"")</f>
        <v>IETDH priorizadas por cada ELIV (seguimiento a PMI, que no se hayan visitado en los últimos 3 años)</v>
      </c>
      <c r="I481" s="11" t="str">
        <f>IFERROR(IF(VLOOKUP(A481,[4]PRIORIZADOS!$A:$I,9,FALSE)="","",VLOOKUP(A481,[4]PRIORIZADOS!$A:$I,9,FALSE)),"")</f>
        <v>EVALUACIÓN_CON_FINES_DE_MEJORAMIENTO.</v>
      </c>
      <c r="J481" s="11" t="str">
        <f>IFERROR(IF(VLOOKUP(A481,[4]PRIORIZADOS!$A:$J,10,FALSE)="","",VLOOKUP(A481,[4]PRIORIZADOS!$A:$J,10,FALSE)),"")</f>
        <v>Verificar las condiciones en cuanto a: la estructura administrativa, condiciones de la planta física y medios educativos adecuados.</v>
      </c>
      <c r="K481" s="11" t="str">
        <f>IFERROR(IF(VLOOKUP(A481,[4]PRIORIZADOS!$A:$K,11,FALSE)="","",VLOOKUP(A481,[4]PRIORIZADOS!$A:$K,11,FALSE)),"")</f>
        <v>SANTIAGO ÁVILA LEURO</v>
      </c>
      <c r="L481" s="11" t="str">
        <f>IFERROR(IF(VLOOKUP(A481,[4]PRIORIZADOS!$A:$L,12,FALSE)="","",VLOOKUP(A481,[4]PRIORIZADOS!$A:$L,12,FALSE)),"")</f>
        <v xml:space="preserve">LAURA CRISTINA BECERRA CHAVES </v>
      </c>
      <c r="M481" s="71">
        <f>IFERROR(IF(VLOOKUP(A481,[4]PRIORIZADOS!$A:$M,13,FALSE)="","",VLOOKUP(A481,[4]PRIORIZADOS!$A:$M,13,FALSE)),"")</f>
        <v>45782</v>
      </c>
      <c r="N481" s="71">
        <f>IFERROR(IF(VLOOKUP(A481,[4]PRIORIZADOS!$A:$N,14,FALSE)="","",VLOOKUP(A481,[4]PRIORIZADOS!$A:$N,14,FALSE)),"")</f>
        <v>45824</v>
      </c>
      <c r="O481" s="71">
        <f>IFERROR(IF(VLOOKUP(A481,[4]PRIORIZADOS!$A:$O,15,FALSE)="","",VLOOKUP(A481,[4]PRIORIZADOS!$A:$O,15,FALSE)),"")</f>
        <v>45824</v>
      </c>
      <c r="P481" s="11" t="str">
        <f>IFERROR(IF(VLOOKUP(A481,[4]PRIORIZADOS!$A:$P,16,FALSE)="","",VLOOKUP(A481,[4]PRIORIZADOS!$A:$P,16,FALSE)),"")</f>
        <v>Visitas de evaluación con fines de mejoramiento</v>
      </c>
      <c r="Q481" s="107" t="s">
        <v>107</v>
      </c>
      <c r="R481" s="11" t="str">
        <f>IFERROR(IF(VLOOKUP(A481,[4]PRIORIZADOS!$A:$R,18,FALSE)="","",VLOOKUP(A481,[4]PRIORIZADOS!$A:$R,18,FALSE)),"")</f>
        <v>Se verificó que la institución cuenta con una estructura administrativa definida y espacios físicos adecuados para el desarrollo académico, incluyendo salones, sala de multimedia y oficinas administrativas. No obstante, se identificaron pendientes como la falta de rutas de evacuación cargadas en el sistema y simulacros desactualizados, lo cual puede afectar la capacidad de respuesta ante emergencias.</v>
      </c>
      <c r="S481" s="11" t="str">
        <f>IFERROR(IF(VLOOKUP(A481,[4]PRIORIZADOS!$A:$S,19,FALSE)="","",VLOOKUP(A481,[4]PRIORIZADOS!$A:$S,19,FALSE)),"")</f>
        <v>La institución se comprometió a actualizar las rutas de evacuación, realizar simulacros por jornada y fortalecer la organización de brigadas y planes de emergencia. Además, se garantizará el mantenimiento de las condiciones físicas y de los medios educativos para cumplir con la normatividad vigente y el bienestar de la comunidad.</v>
      </c>
      <c r="T481" s="70" t="str">
        <f>IFERROR(IF(VLOOKUP(A481,[4]PRIORIZADOS!$A:$T,20,FALSE)="","",VLOOKUP(A481,[4]PRIORIZADOS!$A:$T,20,FALSE)),"")</f>
        <v>Si</v>
      </c>
      <c r="U481" s="11" t="str">
        <f>IFERROR(IF(VLOOKUP(A481,[4]PRIORIZADOS!$A:$U,21,FALSE)="","",VLOOKUP(A481,[4]PRIORIZADOS!$A:$U,21,FALSE)),"")</f>
        <v xml:space="preserve">Se hará seguimiento al cumplimiento de las acciones correctivas previstas en el plan de mejoramiento institucional, incluyendo la carga de rutas de evacuación, actualización de simulacros, y verificación de la infraestructura y recursos disponibles, en coherencia con las exigencias del PEGR-CC y la normatividad aplicable.
</v>
      </c>
    </row>
    <row r="482" spans="1:21" s="1" customFormat="1" ht="84">
      <c r="A482" s="69">
        <f>IF([4]PRIORIZADOS!A99="","",[4]PRIORIZADOS!A99)</f>
        <v>490</v>
      </c>
      <c r="B482" s="70">
        <v>15</v>
      </c>
      <c r="C482" s="11" t="str">
        <f>IFERROR(IF(VLOOKUP(A482,[4]PRIORIZADOS!$A:$C,3,FALSE)="","",VLOOKUP(A482,[4]PRIORIZADOS!$A:$C,3,FALSE)),"")</f>
        <v>CHAPINERO</v>
      </c>
      <c r="D482" s="11" t="str">
        <f>IFERROR(IF(VLOOKUP(A482,[4]PRIORIZADOS!$A:$D,4,FALSE)="","",VLOOKUP(A482,[4]PRIORIZADOS!$A:$D,4,FALSE)),"")</f>
        <v>PRIVADO_IETDH</v>
      </c>
      <c r="E482" s="11" t="str">
        <f>IFERROR(IF(VLOOKUP(A482,[4]PRIORIZADOS!$A:$E,5,FALSE)="","",VLOOKUP(A482,[4]PRIORIZADOS!$A:$E,5,FALSE)),"")</f>
        <v>IETDH</v>
      </c>
      <c r="F482" s="11" t="str">
        <f>IFERROR(IF(VLOOKUP(A482,[4]PRIORIZADOS!$A:$F,6,FALSE)="","",VLOOKUP(A482,[4]PRIORIZADOS!$A:$F,6,FALSE)),"")</f>
        <v>INSTITUTO_COLOMBIANO_DE_APRENDIZAJE_INCAP</v>
      </c>
      <c r="G482" s="11" t="str">
        <f>IFERROR(IF(VLOOKUP(A482,[4]PRIORIZADOS!$A:$G,7,FALSE)="","",VLOOKUP(A482,[4]PRIORIZADOS!$A:$G,7,FALSE)),"")</f>
        <v>INSTITUTO COLOMBIANO DE APRENDIZAJE INCAP</v>
      </c>
      <c r="H482" s="11" t="str">
        <f>IFERROR(IF(VLOOKUP(A482,[4]PRIORIZADOS!$A:$H,8,FALSE)="","",VLOOKUP(A482,[4]PRIORIZADOS!$A:$H,8,FALSE)),"")</f>
        <v>IETDH priorizadas por cada ELIV (seguimiento a PMI, que no se hayan visitado en los últimos 3 años)</v>
      </c>
      <c r="I482" s="11" t="str">
        <f>IFERROR(IF(VLOOKUP(A482,[4]PRIORIZADOS!$A:$I,9,FALSE)="","",VLOOKUP(A482,[4]PRIORIZADOS!$A:$I,9,FALSE)),"")</f>
        <v>SEGUIMIENTO_Y_SUPERVISIÓN.</v>
      </c>
      <c r="J482" s="11" t="str">
        <f>IFERROR(IF(VLOOKUP(A482,[4]PRIORIZADOS!$A:$J,10,FALSE)="","",VLOOKUP(A482,[4]PRIORIZADOS!$A:$J,10,FALSE)),"")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82" s="11" t="str">
        <f>IFERROR(IF(VLOOKUP(A482,[4]PRIORIZADOS!$A:$K,11,FALSE)="","",VLOOKUP(A482,[4]PRIORIZADOS!$A:$K,11,FALSE)),"")</f>
        <v>JUAN MANUEL AGUIRRE BOHÓRQUEZ</v>
      </c>
      <c r="L482" s="11" t="str">
        <f>IFERROR(IF(VLOOKUP(A482,[4]PRIORIZADOS!$A:$L,12,FALSE)="","",VLOOKUP(A482,[4]PRIORIZADOS!$A:$L,12,FALSE)),"")</f>
        <v>SANTIAGO ÁVILA LEURO</v>
      </c>
      <c r="M482" s="71">
        <f>IFERROR(IF(VLOOKUP(A482,[4]PRIORIZADOS!$A:$M,13,FALSE)="","",VLOOKUP(A482,[4]PRIORIZADOS!$A:$M,13,FALSE)),"")</f>
        <v>45821</v>
      </c>
      <c r="N482" s="71">
        <f>IFERROR(IF(VLOOKUP(A482,[4]PRIORIZADOS!$A:$N,14,FALSE)="","",VLOOKUP(A482,[4]PRIORIZADOS!$A:$N,14,FALSE)),"")</f>
        <v>45863</v>
      </c>
      <c r="O482" s="71">
        <f>IFERROR(IF(VLOOKUP(A482,[4]PRIORIZADOS!$A:$O,15,FALSE)="","",VLOOKUP(A482,[4]PRIORIZADOS!$A:$O,15,FALSE)),"")</f>
        <v>45863</v>
      </c>
      <c r="P482" s="11" t="str">
        <f>IFERROR(IF(VLOOKUP(A482,[4]PRIORIZADOS!$A:$P,16,FALSE)="","",VLOOKUP(A482,[4]PRIORIZADOS!$A:$P,16,FALSE)),"")</f>
        <v>Visitas de evaluación con fines de mejoramiento</v>
      </c>
      <c r="Q482" s="107" t="s">
        <v>108</v>
      </c>
      <c r="R482" s="11" t="str">
        <f>IFERROR(IF(VLOOKUP(A482,[4]PRIORIZADOS!$A:$R,18,FALSE)="","",VLOOKUP(A482,[4]PRIORIZADOS!$A:$R,18,FALSE)),"")</f>
        <v>Se encuentran alumnos matriculados erróneamente en el SIET, en dos  programas no corresponden a la realidad,  costos con incrementos ajustados a la normatividad anual</v>
      </c>
      <c r="S482" s="11" t="str">
        <f>IFERROR(IF(VLOOKUP(A482,[4]PRIORIZADOS!$A:$S,19,FALSE)="","",VLOOKUP(A482,[4]PRIORIZADOS!$A:$S,19,FALSE)),"")</f>
        <v xml:space="preserve">Se indica a la institución que debe corregir la información registrada en el SIET respecto a los dos programas que tienen inconsistencias en el numero de estudiantes  </v>
      </c>
      <c r="T482" s="70" t="str">
        <f>IFERROR(IF(VLOOKUP(A482,[4]PRIORIZADOS!$A:$T,20,FALSE)="","",VLOOKUP(A482,[4]PRIORIZADOS!$A:$T,20,FALSE)),"")</f>
        <v>No</v>
      </c>
      <c r="U482" s="11" t="str">
        <f>IFERROR(IF(VLOOKUP(A482,[4]PRIORIZADOS!$A:$U,21,FALSE)="","",VLOOKUP(A482,[4]PRIORIZADOS!$A:$U,21,FALSE)),"")</f>
        <v>Una vez remitan a la IETDH la evidencia de la corrección de la información en el SIET, se procederá a realizar el cruce de la información en el sistema</v>
      </c>
    </row>
    <row r="483" spans="1:21" s="1" customFormat="1" ht="48">
      <c r="A483" s="69">
        <f>IF([4]PRIORIZADOS!A100="","",[4]PRIORIZADOS!A100)</f>
        <v>491</v>
      </c>
      <c r="B483" s="70">
        <v>15</v>
      </c>
      <c r="C483" s="11" t="str">
        <f>IFERROR(IF(VLOOKUP(A483,[4]PRIORIZADOS!$A:$C,3,FALSE)="","",VLOOKUP(A483,[4]PRIORIZADOS!$A:$C,3,FALSE)),"")</f>
        <v>CHAPINERO</v>
      </c>
      <c r="D483" s="11" t="str">
        <f>IFERROR(IF(VLOOKUP(A483,[4]PRIORIZADOS!$A:$D,4,FALSE)="","",VLOOKUP(A483,[4]PRIORIZADOS!$A:$D,4,FALSE)),"")</f>
        <v>PRIVADO_IETDH</v>
      </c>
      <c r="E483" s="11" t="str">
        <f>IFERROR(IF(VLOOKUP(A483,[4]PRIORIZADOS!$A:$E,5,FALSE)="","",VLOOKUP(A483,[4]PRIORIZADOS!$A:$E,5,FALSE)),"")</f>
        <v>IETDH</v>
      </c>
      <c r="F483" s="11" t="str">
        <f>IFERROR(IF(VLOOKUP(A483,[4]PRIORIZADOS!$A:$F,6,FALSE)="","",VLOOKUP(A483,[4]PRIORIZADOS!$A:$F,6,FALSE)),"")</f>
        <v>INSTITUTO_COLOMBIANO_DE_APRENDIZAJE_INCAP</v>
      </c>
      <c r="G483" s="11" t="str">
        <f>IFERROR(IF(VLOOKUP(A483,[4]PRIORIZADOS!$A:$G,7,FALSE)="","",VLOOKUP(A483,[4]PRIORIZADOS!$A:$G,7,FALSE)),"")</f>
        <v>INSTITUTO COLOMBIANO DE APRENDIZAJE INCAP</v>
      </c>
      <c r="H483" s="11" t="str">
        <f>IFERROR(IF(VLOOKUP(A483,[4]PRIORIZADOS!$A:$H,8,FALSE)="","",VLOOKUP(A483,[4]PRIORIZADOS!$A:$H,8,FALSE)),"")</f>
        <v>IETDH priorizadas por cada ELIV (seguimiento a PMI, que no se hayan visitado en los últimos 3 años)</v>
      </c>
      <c r="I483" s="11" t="str">
        <f>IFERROR(IF(VLOOKUP(A483,[4]PRIORIZADOS!$A:$I,9,FALSE)="","",VLOOKUP(A483,[4]PRIORIZADOS!$A:$I,9,FALSE)),"")</f>
        <v>SEGUIMIENTO_Y_SUPERVISIÓN.</v>
      </c>
      <c r="J483" s="11" t="str">
        <f>IFERROR(IF(VLOOKUP(A483,[4]PRIORIZADOS!$A:$J,10,FALSE)="","",VLOOKUP(A483,[4]PRIORIZADOS!$A:$J,10,FALSE)),"")</f>
        <v>Adelantar visitas para verificar que el desarrollo de los programas de ETDH, esté de acuerdo con lo autorizado y la normatividad vigente, para propender por su pertinencia, legalidad y actualización constante.</v>
      </c>
      <c r="K483" s="11" t="str">
        <f>IFERROR(IF(VLOOKUP(A483,[4]PRIORIZADOS!$A:$K,11,FALSE)="","",VLOOKUP(A483,[4]PRIORIZADOS!$A:$K,11,FALSE)),"")</f>
        <v>JUAN MANUEL AGUIRRE BOHÓRQUEZ</v>
      </c>
      <c r="L483" s="11" t="str">
        <f>IFERROR(IF(VLOOKUP(A483,[4]PRIORIZADOS!$A:$L,12,FALSE)="","",VLOOKUP(A483,[4]PRIORIZADOS!$A:$L,12,FALSE)),"")</f>
        <v>SANTIAGO ÁVILA LEURO</v>
      </c>
      <c r="M483" s="71">
        <f>IFERROR(IF(VLOOKUP(A483,[4]PRIORIZADOS!$A:$M,13,FALSE)="","",VLOOKUP(A483,[4]PRIORIZADOS!$A:$M,13,FALSE)),"")</f>
        <v>45821</v>
      </c>
      <c r="N483" s="71">
        <f>IFERROR(IF(VLOOKUP(A483,[4]PRIORIZADOS!$A:$N,14,FALSE)="","",VLOOKUP(A483,[4]PRIORIZADOS!$A:$N,14,FALSE)),"")</f>
        <v>45863</v>
      </c>
      <c r="O483" s="71">
        <f>IFERROR(IF(VLOOKUP(A483,[4]PRIORIZADOS!$A:$O,15,FALSE)="","",VLOOKUP(A483,[4]PRIORIZADOS!$A:$O,15,FALSE)),"")</f>
        <v>45863</v>
      </c>
      <c r="P483" s="11" t="str">
        <f>IFERROR(IF(VLOOKUP(A483,[4]PRIORIZADOS!$A:$P,16,FALSE)="","",VLOOKUP(A483,[4]PRIORIZADOS!$A:$P,16,FALSE)),"")</f>
        <v>Visitas de evaluación con fines de mejoramiento</v>
      </c>
      <c r="Q483" s="107" t="s">
        <v>108</v>
      </c>
      <c r="R483" s="11" t="str">
        <f>IFERROR(IF(VLOOKUP(A483,[4]PRIORIZADOS!$A:$R,18,FALSE)="","",VLOOKUP(A483,[4]PRIORIZADOS!$A:$R,18,FALSE)),"")</f>
        <v>Se revisan los programas vigentes observando que cumplen con la normatividad  y la pertinencia que se requiere.</v>
      </c>
      <c r="S483" s="11" t="str">
        <f>IFERROR(IF(VLOOKUP(A483,[4]PRIORIZADOS!$A:$S,19,FALSE)="","",VLOOKUP(A483,[4]PRIORIZADOS!$A:$S,19,FALSE)),"")</f>
        <v>Continuar con el cumplimiento de lo señalado en los actos administrativos frente a los programas</v>
      </c>
      <c r="T483" s="70" t="str">
        <f>IFERROR(IF(VLOOKUP(A483,[4]PRIORIZADOS!$A:$T,20,FALSE)="","",VLOOKUP(A483,[4]PRIORIZADOS!$A:$T,20,FALSE)),"")</f>
        <v>No</v>
      </c>
      <c r="U483" s="11" t="str">
        <f>IFERROR(IF(VLOOKUP(A483,[4]PRIORIZADOS!$A:$U,21,FALSE)="","",VLOOKUP(A483,[4]PRIORIZADOS!$A:$U,21,FALSE)),"")</f>
        <v>Verificación de la prestación del servicio educativo en condiciones de ley,  en caso de que se presenten irregularidades o de oficio cuando se considere necesario</v>
      </c>
    </row>
    <row r="484" spans="1:21" s="1" customFormat="1" ht="84">
      <c r="A484" s="69">
        <f>IF([4]PRIORIZADOS!A101="","",[4]PRIORIZADOS!A101)</f>
        <v>492</v>
      </c>
      <c r="B484" s="70">
        <v>15</v>
      </c>
      <c r="C484" s="11" t="str">
        <f>IFERROR(IF(VLOOKUP(A484,[4]PRIORIZADOS!$A:$C,3,FALSE)="","",VLOOKUP(A484,[4]PRIORIZADOS!$A:$C,3,FALSE)),"")</f>
        <v>CHAPINERO</v>
      </c>
      <c r="D484" s="11" t="str">
        <f>IFERROR(IF(VLOOKUP(A484,[4]PRIORIZADOS!$A:$D,4,FALSE)="","",VLOOKUP(A484,[4]PRIORIZADOS!$A:$D,4,FALSE)),"")</f>
        <v>PRIVADO_IETDH</v>
      </c>
      <c r="E484" s="11" t="str">
        <f>IFERROR(IF(VLOOKUP(A484,[4]PRIORIZADOS!$A:$E,5,FALSE)="","",VLOOKUP(A484,[4]PRIORIZADOS!$A:$E,5,FALSE)),"")</f>
        <v>IETDH</v>
      </c>
      <c r="F484" s="11" t="str">
        <f>IFERROR(IF(VLOOKUP(A484,[4]PRIORIZADOS!$A:$F,6,FALSE)="","",VLOOKUP(A484,[4]PRIORIZADOS!$A:$F,6,FALSE)),"")</f>
        <v>INSTITUTO_COLOMBIANO_DE_APRENDIZAJE_INCAP</v>
      </c>
      <c r="G484" s="11" t="str">
        <f>IFERROR(IF(VLOOKUP(A484,[4]PRIORIZADOS!$A:$G,7,FALSE)="","",VLOOKUP(A484,[4]PRIORIZADOS!$A:$G,7,FALSE)),"")</f>
        <v>INSTITUTO COLOMBIANO DE APRENDIZAJE INCAP</v>
      </c>
      <c r="H484" s="11" t="str">
        <f>IFERROR(IF(VLOOKUP(A484,[4]PRIORIZADOS!$A:$H,8,FALSE)="","",VLOOKUP(A484,[4]PRIORIZADOS!$A:$H,8,FALSE)),"")</f>
        <v>IETDH priorizadas por cada ELIV (seguimiento a PMI, que no se hayan visitado en los últimos 3 años)</v>
      </c>
      <c r="I484" s="11" t="str">
        <f>IFERROR(IF(VLOOKUP(A484,[4]PRIORIZADOS!$A:$I,9,FALSE)="","",VLOOKUP(A484,[4]PRIORIZADOS!$A:$I,9,FALSE)),"")</f>
        <v>EVALUACIÓN_CON_FINES_DE_MEJORAMIENTO.</v>
      </c>
      <c r="J484" s="11" t="str">
        <f>IFERROR(IF(VLOOKUP(A484,[4]PRIORIZADOS!$A:$J,10,FALSE)="","",VLOOKUP(A484,[4]PRIORIZADOS!$A:$J,10,FALSE)),"")</f>
        <v>Verificar las condiciones en cuanto a: la estructura administrativa, condiciones de la planta física y medios educativos adecuados.</v>
      </c>
      <c r="K484" s="11" t="str">
        <f>IFERROR(IF(VLOOKUP(A484,[4]PRIORIZADOS!$A:$K,11,FALSE)="","",VLOOKUP(A484,[4]PRIORIZADOS!$A:$K,11,FALSE)),"")</f>
        <v>JUAN MANUEL AGUIRRE BOHÓRQUEZ</v>
      </c>
      <c r="L484" s="11" t="str">
        <f>IFERROR(IF(VLOOKUP(A484,[4]PRIORIZADOS!$A:$L,12,FALSE)="","",VLOOKUP(A484,[4]PRIORIZADOS!$A:$L,12,FALSE)),"")</f>
        <v>SANTIAGO ÁVILA LEURO</v>
      </c>
      <c r="M484" s="71">
        <f>IFERROR(IF(VLOOKUP(A484,[4]PRIORIZADOS!$A:$M,13,FALSE)="","",VLOOKUP(A484,[4]PRIORIZADOS!$A:$M,13,FALSE)),"")</f>
        <v>45821</v>
      </c>
      <c r="N484" s="71">
        <f>IFERROR(IF(VLOOKUP(A484,[4]PRIORIZADOS!$A:$N,14,FALSE)="","",VLOOKUP(A484,[4]PRIORIZADOS!$A:$N,14,FALSE)),"")</f>
        <v>45863</v>
      </c>
      <c r="O484" s="71">
        <f>IFERROR(IF(VLOOKUP(A484,[4]PRIORIZADOS!$A:$O,15,FALSE)="","",VLOOKUP(A484,[4]PRIORIZADOS!$A:$O,15,FALSE)),"")</f>
        <v>45863</v>
      </c>
      <c r="P484" s="11" t="str">
        <f>IFERROR(IF(VLOOKUP(A484,[4]PRIORIZADOS!$A:$P,16,FALSE)="","",VLOOKUP(A484,[4]PRIORIZADOS!$A:$P,16,FALSE)),"")</f>
        <v>Visitas de evaluación con fines de mejoramiento</v>
      </c>
      <c r="Q484" s="107" t="s">
        <v>108</v>
      </c>
      <c r="R484" s="11" t="str">
        <f>IFERROR(IF(VLOOKUP(A484,[4]PRIORIZADOS!$A:$R,18,FALSE)="","",VLOOKUP(A484,[4]PRIORIZADOS!$A:$R,18,FALSE)),"")</f>
        <v xml:space="preserve">Se verificó que la institución cuenta con una estructura administrativa definida y espacios físicos adecuados y excelente estado para el desarrollo académico, incluyendo salones, sala de informática salones especializados para cada programa y oficinas administrativas. </v>
      </c>
      <c r="S484" s="11" t="str">
        <f>IFERROR(IF(VLOOKUP(A484,[4]PRIORIZADOS!$A:$S,19,FALSE)="","",VLOOKUP(A484,[4]PRIORIZADOS!$A:$S,19,FALSE)),"")</f>
        <v>Conservar las condiciones de la planta física para la prestación del servicio educativo</v>
      </c>
      <c r="T484" s="70" t="str">
        <f>IFERROR(IF(VLOOKUP(A484,[4]PRIORIZADOS!$A:$T,20,FALSE)="","",VLOOKUP(A484,[4]PRIORIZADOS!$A:$T,20,FALSE)),"")</f>
        <v>No</v>
      </c>
      <c r="U484" s="11" t="str">
        <f>IFERROR(IF(VLOOKUP(A484,[4]PRIORIZADOS!$A:$U,21,FALSE)="","",VLOOKUP(A484,[4]PRIORIZADOS!$A:$U,21,FALSE)),"")</f>
        <v>Verificación de continuidad de las condiciones de infraestructura cuando se requiera</v>
      </c>
    </row>
    <row r="485" spans="1:21" s="1" customFormat="1" ht="96">
      <c r="A485" s="69">
        <f>IF([4]PRIORIZADOS!A102="","",[4]PRIORIZADOS!A102)</f>
        <v>493</v>
      </c>
      <c r="B485" s="70">
        <v>16</v>
      </c>
      <c r="C485" s="11" t="str">
        <f>IFERROR(IF(VLOOKUP(A485,[4]PRIORIZADOS!$A:$C,3,FALSE)="","",VLOOKUP(A485,[4]PRIORIZADOS!$A:$C,3,FALSE)),"")</f>
        <v>CHAPINERO</v>
      </c>
      <c r="D485" s="11" t="str">
        <f>IFERROR(IF(VLOOKUP(A485,[4]PRIORIZADOS!$A:$D,4,FALSE)="","",VLOOKUP(A485,[4]PRIORIZADOS!$A:$D,4,FALSE)),"")</f>
        <v>PRIVADO_IETDH</v>
      </c>
      <c r="E485" s="11" t="str">
        <f>IFERROR(IF(VLOOKUP(A485,[4]PRIORIZADOS!$A:$E,5,FALSE)="","",VLOOKUP(A485,[4]PRIORIZADOS!$A:$E,5,FALSE)),"")</f>
        <v>IETDH</v>
      </c>
      <c r="F485" s="11" t="str">
        <f>IFERROR(IF(VLOOKUP(A485,[4]PRIORIZADOS!$A:$F,6,FALSE)="","",VLOOKUP(A485,[4]PRIORIZADOS!$A:$F,6,FALSE)),"")</f>
        <v>ESCUELA_AERONÁUTICA_DE_COLOMBIA</v>
      </c>
      <c r="G485" s="11" t="str">
        <f>IFERROR(IF(VLOOKUP(A485,[4]PRIORIZADOS!$A:$G,7,FALSE)="","",VLOOKUP(A485,[4]PRIORIZADOS!$A:$G,7,FALSE)),"")</f>
        <v>ESCUELA AERONÁUTICA DE COLOMBIA</v>
      </c>
      <c r="H485" s="11" t="str">
        <f>IFERROR(IF(VLOOKUP(A485,[4]PRIORIZADOS!$A:$H,8,FALSE)="","",VLOOKUP(A485,[4]PRIORIZADOS!$A:$H,8,FALSE)),"")</f>
        <v>IETDH priorizadas por cada ELIV (seguimiento a PMI, que no se hayan visitado en los últimos 3 años)</v>
      </c>
      <c r="I485" s="11" t="str">
        <f>IFERROR(IF(VLOOKUP(A485,[4]PRIORIZADOS!$A:$I,9,FALSE)="","",VLOOKUP(A485,[4]PRIORIZADOS!$A:$I,9,FALSE)),"")</f>
        <v>SEGUIMIENTO_Y_SUPERVISIÓN.</v>
      </c>
      <c r="J485" s="11" t="str">
        <f>IFERROR(IF(VLOOKUP(A485,[4]PRIORIZADOS!$A:$J,10,FALSE)="","",VLOOKUP(A485,[4]PRIORIZADOS!$A:$J,10,FALSE)),"")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85" s="11" t="str">
        <f>IFERROR(IF(VLOOKUP(A485,[4]PRIORIZADOS!$A:$K,11,FALSE)="","",VLOOKUP(A485,[4]PRIORIZADOS!$A:$K,11,FALSE)),"")</f>
        <v xml:space="preserve">LAURA CRISTINA BECERRA CHAVES </v>
      </c>
      <c r="L485" s="11" t="str">
        <f>IFERROR(IF(VLOOKUP(A485,[4]PRIORIZADOS!$A:$L,12,FALSE)="","",VLOOKUP(A485,[4]PRIORIZADOS!$A:$L,12,FALSE)),"")</f>
        <v>CONNIE QUIÑONES CÁRDENAS</v>
      </c>
      <c r="M485" s="71">
        <f>IFERROR(IF(VLOOKUP(A485,[4]PRIORIZADOS!$A:$M,13,FALSE)="","",VLOOKUP(A485,[4]PRIORIZADOS!$A:$M,13,FALSE)),"")</f>
        <v>45695</v>
      </c>
      <c r="N485" s="71">
        <f>IFERROR(IF(VLOOKUP(A485,[4]PRIORIZADOS!$A:$N,14,FALSE)="","",VLOOKUP(A485,[4]PRIORIZADOS!$A:$N,14,FALSE)),"")</f>
        <v>45695</v>
      </c>
      <c r="O485" s="71">
        <f>IFERROR(IF(VLOOKUP(A485,[4]PRIORIZADOS!$A:$O,15,FALSE)="","",VLOOKUP(A485,[4]PRIORIZADOS!$A:$O,15,FALSE)),"")</f>
        <v>45695</v>
      </c>
      <c r="P485" s="11" t="str">
        <f>IFERROR(IF(VLOOKUP(A485,[4]PRIORIZADOS!$A:$P,16,FALSE)="","",VLOOKUP(A485,[4]PRIORIZADOS!$A:$P,16,FALSE)),"")</f>
        <v>Visita con fines de Inspección y Vigilancia</v>
      </c>
      <c r="Q485" s="5" t="s">
        <v>109</v>
      </c>
      <c r="R485" s="11" t="str">
        <f>IFERROR(IF(VLOOKUP(A485,[4]PRIORIZADOS!$A:$R,18,FALSE)="","",VLOOKUP(A485,[4]PRIORIZADOS!$A:$R,18,FALSE)),"")</f>
        <v>Se encuentran alumnos matriculados erróneamente en el SIET, en programa que no corresponde a la realidad, alto número de matrícula pocos certificados, costos educativos con incremento ajustado a la normatividad anual</v>
      </c>
      <c r="S485" s="11" t="str">
        <f>IFERROR(IF(VLOOKUP(A485,[4]PRIORIZADOS!$A:$S,19,FALSE)="","",VLOOKUP(A485,[4]PRIORIZADOS!$A:$S,19,FALSE)),"")</f>
        <v>Se indica al institución que debe corregir la información registrada en el SIET respecto de la matrícula por programa. Informan que el menor número de estudiantes  certificados obedece a que los alumnos no terminan la formación técnico laboral por interés de obtener licencia de la aeronáutica</v>
      </c>
      <c r="T485" s="70" t="str">
        <f>IFERROR(IF(VLOOKUP(A485,[4]PRIORIZADOS!$A:$T,20,FALSE)="","",VLOOKUP(A485,[4]PRIORIZADOS!$A:$T,20,FALSE)),"")</f>
        <v>No</v>
      </c>
      <c r="U485" s="11" t="str">
        <f>IFERROR(IF(VLOOKUP(A485,[4]PRIORIZADOS!$A:$U,21,FALSE)="","",VLOOKUP(A485,[4]PRIORIZADOS!$A:$U,21,FALSE)),"")</f>
        <v>Una vez remitan a la IETDH la evidencia de la corrección de la información en el SIET, se procederá a realizar el cruce de la información en el sistema</v>
      </c>
    </row>
    <row r="486" spans="1:21" s="1" customFormat="1" ht="72">
      <c r="A486" s="69">
        <f>IF([4]PRIORIZADOS!A103="","",[4]PRIORIZADOS!A103)</f>
        <v>494</v>
      </c>
      <c r="B486" s="70">
        <v>16</v>
      </c>
      <c r="C486" s="11" t="str">
        <f>IFERROR(IF(VLOOKUP(A486,[4]PRIORIZADOS!$A:$C,3,FALSE)="","",VLOOKUP(A486,[4]PRIORIZADOS!$A:$C,3,FALSE)),"")</f>
        <v>CHAPINERO</v>
      </c>
      <c r="D486" s="11" t="str">
        <f>IFERROR(IF(VLOOKUP(A486,[4]PRIORIZADOS!$A:$D,4,FALSE)="","",VLOOKUP(A486,[4]PRIORIZADOS!$A:$D,4,FALSE)),"")</f>
        <v>PRIVADO_IETDH</v>
      </c>
      <c r="E486" s="11" t="str">
        <f>IFERROR(IF(VLOOKUP(A486,[4]PRIORIZADOS!$A:$E,5,FALSE)="","",VLOOKUP(A486,[4]PRIORIZADOS!$A:$E,5,FALSE)),"")</f>
        <v>IETDH</v>
      </c>
      <c r="F486" s="11" t="str">
        <f>IFERROR(IF(VLOOKUP(A486,[4]PRIORIZADOS!$A:$F,6,FALSE)="","",VLOOKUP(A486,[4]PRIORIZADOS!$A:$F,6,FALSE)),"")</f>
        <v>ESCUELA_AERONÁUTICA_DE_COLOMBIA</v>
      </c>
      <c r="G486" s="11" t="str">
        <f>IFERROR(IF(VLOOKUP(A486,[4]PRIORIZADOS!$A:$G,7,FALSE)="","",VLOOKUP(A486,[4]PRIORIZADOS!$A:$G,7,FALSE)),"")</f>
        <v>ESCUELA AERONÁUTICA DE COLOMBIA</v>
      </c>
      <c r="H486" s="11" t="str">
        <f>IFERROR(IF(VLOOKUP(A486,[4]PRIORIZADOS!$A:$H,8,FALSE)="","",VLOOKUP(A486,[4]PRIORIZADOS!$A:$H,8,FALSE)),"")</f>
        <v>IETDH priorizadas por cada ELIV (seguimiento a PMI, que no se hayan visitado en los últimos 3 años)</v>
      </c>
      <c r="I486" s="11" t="str">
        <f>IFERROR(IF(VLOOKUP(A486,[4]PRIORIZADOS!$A:$I,9,FALSE)="","",VLOOKUP(A486,[4]PRIORIZADOS!$A:$I,9,FALSE)),"")</f>
        <v>SEGUIMIENTO_Y_SUPERVISIÓN.</v>
      </c>
      <c r="J486" s="11" t="str">
        <f>IFERROR(IF(VLOOKUP(A486,[4]PRIORIZADOS!$A:$J,10,FALSE)="","",VLOOKUP(A486,[4]PRIORIZADOS!$A:$J,10,FALSE)),"")</f>
        <v>Adelantar visitas para verificar que el desarrollo de los programas de ETDH, esté de acuerdo con lo autorizado y la normatividad vigente, para propender por su pertinencia, legalidad y actualización constante.</v>
      </c>
      <c r="K486" s="11" t="str">
        <f>IFERROR(IF(VLOOKUP(A486,[4]PRIORIZADOS!$A:$K,11,FALSE)="","",VLOOKUP(A486,[4]PRIORIZADOS!$A:$K,11,FALSE)),"")</f>
        <v xml:space="preserve">LAURA CRISTINA BECERRA CHAVES </v>
      </c>
      <c r="L486" s="11" t="str">
        <f>IFERROR(IF(VLOOKUP(A486,[4]PRIORIZADOS!$A:$L,12,FALSE)="","",VLOOKUP(A486,[4]PRIORIZADOS!$A:$L,12,FALSE)),"")</f>
        <v>CONNIE QUIÑONES CÁRDENAS</v>
      </c>
      <c r="M486" s="71">
        <f>IFERROR(IF(VLOOKUP(A486,[4]PRIORIZADOS!$A:$M,13,FALSE)="","",VLOOKUP(A486,[4]PRIORIZADOS!$A:$M,13,FALSE)),"")</f>
        <v>45695</v>
      </c>
      <c r="N486" s="71">
        <f>IFERROR(IF(VLOOKUP(A486,[4]PRIORIZADOS!$A:$N,14,FALSE)="","",VLOOKUP(A486,[4]PRIORIZADOS!$A:$N,14,FALSE)),"")</f>
        <v>45695</v>
      </c>
      <c r="O486" s="71">
        <f>IFERROR(IF(VLOOKUP(A486,[4]PRIORIZADOS!$A:$O,15,FALSE)="","",VLOOKUP(A486,[4]PRIORIZADOS!$A:$O,15,FALSE)),"")</f>
        <v>45695</v>
      </c>
      <c r="P486" s="11" t="str">
        <f>IFERROR(IF(VLOOKUP(A486,[4]PRIORIZADOS!$A:$P,16,FALSE)="","",VLOOKUP(A486,[4]PRIORIZADOS!$A:$P,16,FALSE)),"")</f>
        <v>Visita con fines de Inspección y Vigilancia</v>
      </c>
      <c r="Q486" s="5" t="s">
        <v>109</v>
      </c>
      <c r="R486" s="11" t="str">
        <f>IFERROR(IF(VLOOKUP(A486,[4]PRIORIZADOS!$A:$R,18,FALSE)="","",VLOOKUP(A486,[4]PRIORIZADOS!$A:$R,18,FALSE)),"")</f>
        <v>Se revisan los programas vigentes observando que cumplen con la normatividad  y la pertinencia que se requiere.</v>
      </c>
      <c r="S486" s="11" t="str">
        <f>IFERROR(IF(VLOOKUP(A486,[4]PRIORIZADOS!$A:$S,19,FALSE)="","",VLOOKUP(A486,[4]PRIORIZADOS!$A:$S,19,FALSE)),"")</f>
        <v>Se sugiere replantear la estrategia para que los alumnos culminen la formación técnico laboral, acorde a la normatividad vigente. Deben modificar los programas que radicaron para registro, puesto que no se ajustan a las CUOC</v>
      </c>
      <c r="T486" s="70" t="str">
        <f>IFERROR(IF(VLOOKUP(A486,[4]PRIORIZADOS!$A:$T,20,FALSE)="","",VLOOKUP(A486,[4]PRIORIZADOS!$A:$T,20,FALSE)),"")</f>
        <v>No</v>
      </c>
      <c r="U486" s="11" t="str">
        <f>IFERROR(IF(VLOOKUP(A486,[4]PRIORIZADOS!$A:$U,21,FALSE)="","",VLOOKUP(A486,[4]PRIORIZADOS!$A:$U,21,FALSE)),"")</f>
        <v>Una vez radique la solicitud se procederá a realizar la revisión de los programas ajustados a las CUOC y con la documentación que exige el Decreto 1075</v>
      </c>
    </row>
    <row r="487" spans="1:21" s="1" customFormat="1" ht="60">
      <c r="A487" s="69">
        <f>IF([4]PRIORIZADOS!A104="","",[4]PRIORIZADOS!A104)</f>
        <v>495</v>
      </c>
      <c r="B487" s="70">
        <v>16</v>
      </c>
      <c r="C487" s="11" t="str">
        <f>IFERROR(IF(VLOOKUP(A487,[4]PRIORIZADOS!$A:$C,3,FALSE)="","",VLOOKUP(A487,[4]PRIORIZADOS!$A:$C,3,FALSE)),"")</f>
        <v>CHAPINERO</v>
      </c>
      <c r="D487" s="11" t="str">
        <f>IFERROR(IF(VLOOKUP(A487,[4]PRIORIZADOS!$A:$D,4,FALSE)="","",VLOOKUP(A487,[4]PRIORIZADOS!$A:$D,4,FALSE)),"")</f>
        <v>PRIVADO_IETDH</v>
      </c>
      <c r="E487" s="11" t="str">
        <f>IFERROR(IF(VLOOKUP(A487,[4]PRIORIZADOS!$A:$E,5,FALSE)="","",VLOOKUP(A487,[4]PRIORIZADOS!$A:$E,5,FALSE)),"")</f>
        <v>IETDH</v>
      </c>
      <c r="F487" s="11" t="str">
        <f>IFERROR(IF(VLOOKUP(A487,[4]PRIORIZADOS!$A:$F,6,FALSE)="","",VLOOKUP(A487,[4]PRIORIZADOS!$A:$F,6,FALSE)),"")</f>
        <v>ESCUELA_AERONÁUTICA_DE_COLOMBIA</v>
      </c>
      <c r="G487" s="11" t="str">
        <f>IFERROR(IF(VLOOKUP(A487,[4]PRIORIZADOS!$A:$G,7,FALSE)="","",VLOOKUP(A487,[4]PRIORIZADOS!$A:$G,7,FALSE)),"")</f>
        <v>ESCUELA AERONÁUTICA DE COLOMBIA</v>
      </c>
      <c r="H487" s="11" t="str">
        <f>IFERROR(IF(VLOOKUP(A487,[4]PRIORIZADOS!$A:$H,8,FALSE)="","",VLOOKUP(A487,[4]PRIORIZADOS!$A:$H,8,FALSE)),"")</f>
        <v>IETDH priorizadas por cada ELIV (seguimiento a PMI, que no se hayan visitado en los últimos 3 años)</v>
      </c>
      <c r="I487" s="11" t="str">
        <f>IFERROR(IF(VLOOKUP(A487,[4]PRIORIZADOS!$A:$I,9,FALSE)="","",VLOOKUP(A487,[4]PRIORIZADOS!$A:$I,9,FALSE)),"")</f>
        <v>EVALUACIÓN_CON_FINES_DE_MEJORAMIENTO.</v>
      </c>
      <c r="J487" s="11" t="str">
        <f>IFERROR(IF(VLOOKUP(A487,[4]PRIORIZADOS!$A:$J,10,FALSE)="","",VLOOKUP(A487,[4]PRIORIZADOS!$A:$J,10,FALSE)),"")</f>
        <v>Verificar las condiciones en cuanto a: la estructura administrativa, condiciones de la planta física y medios educativos adecuados.</v>
      </c>
      <c r="K487" s="11" t="str">
        <f>IFERROR(IF(VLOOKUP(A487,[4]PRIORIZADOS!$A:$K,11,FALSE)="","",VLOOKUP(A487,[4]PRIORIZADOS!$A:$K,11,FALSE)),"")</f>
        <v xml:space="preserve">LAURA CRISTINA BECERRA CHAVES </v>
      </c>
      <c r="L487" s="11" t="str">
        <f>IFERROR(IF(VLOOKUP(A487,[4]PRIORIZADOS!$A:$L,12,FALSE)="","",VLOOKUP(A487,[4]PRIORIZADOS!$A:$L,12,FALSE)),"")</f>
        <v>CONNIE QUIÑONES CÁRDENAS</v>
      </c>
      <c r="M487" s="71">
        <f>IFERROR(IF(VLOOKUP(A487,[4]PRIORIZADOS!$A:$M,13,FALSE)="","",VLOOKUP(A487,[4]PRIORIZADOS!$A:$M,13,FALSE)),"")</f>
        <v>45695</v>
      </c>
      <c r="N487" s="71">
        <f>IFERROR(IF(VLOOKUP(A487,[4]PRIORIZADOS!$A:$N,14,FALSE)="","",VLOOKUP(A487,[4]PRIORIZADOS!$A:$N,14,FALSE)),"")</f>
        <v>45695</v>
      </c>
      <c r="O487" s="71">
        <f>IFERROR(IF(VLOOKUP(A487,[4]PRIORIZADOS!$A:$O,15,FALSE)="","",VLOOKUP(A487,[4]PRIORIZADOS!$A:$O,15,FALSE)),"")</f>
        <v>45695</v>
      </c>
      <c r="P487" s="11" t="str">
        <f>IFERROR(IF(VLOOKUP(A487,[4]PRIORIZADOS!$A:$P,16,FALSE)="","",VLOOKUP(A487,[4]PRIORIZADOS!$A:$P,16,FALSE)),"")</f>
        <v>Visita con fines de Inspección y Vigilancia</v>
      </c>
      <c r="Q487" s="5" t="s">
        <v>109</v>
      </c>
      <c r="R487" s="11" t="str">
        <f>IFERROR(IF(VLOOKUP(A487,[4]PRIORIZADOS!$A:$R,18,FALSE)="","",VLOOKUP(A487,[4]PRIORIZADOS!$A:$R,18,FALSE)),"")</f>
        <v xml:space="preserve">Se verifica la planta física encontrando que cumple con los requisitos para la prestación del servicio educativo. la EAC se encuentra estudiando la viabilidad de cambio de planta física </v>
      </c>
      <c r="S487" s="11" t="str">
        <f>IFERROR(IF(VLOOKUP(A487,[4]PRIORIZADOS!$A:$S,19,FALSE)="","",VLOOKUP(A487,[4]PRIORIZADOS!$A:$S,19,FALSE)),"")</f>
        <v>Se informa que si decide cambiar de planta física debe informar a la DLE con antelación, remitiendo soportes de aviso a los alumnos y la documentación necesaria para el cambio</v>
      </c>
      <c r="T487" s="70" t="str">
        <f>IFERROR(IF(VLOOKUP(A487,[4]PRIORIZADOS!$A:$T,20,FALSE)="","",VLOOKUP(A487,[4]PRIORIZADOS!$A:$T,20,FALSE)),"")</f>
        <v>No</v>
      </c>
      <c r="U487" s="11" t="str">
        <f>IFERROR(IF(VLOOKUP(A487,[4]PRIORIZADOS!$A:$U,21,FALSE)="","",VLOOKUP(A487,[4]PRIORIZADOS!$A:$U,21,FALSE)),"")</f>
        <v>Se continuara Revisando la documentación y adelantar el tramite de modificación licencia de funcionamiento una vez este radicada  de acuerdo con la normatividad vigente</v>
      </c>
    </row>
    <row r="488" spans="1:21" s="1" customFormat="1" ht="84">
      <c r="A488" s="69">
        <f>IF([4]PRIORIZADOS!A105="","",[4]PRIORIZADOS!A105)</f>
        <v>496</v>
      </c>
      <c r="B488" s="70">
        <v>17</v>
      </c>
      <c r="C488" s="11" t="str">
        <f>IFERROR(IF(VLOOKUP(A488,[4]PRIORIZADOS!$A:$C,3,FALSE)="","",VLOOKUP(A488,[4]PRIORIZADOS!$A:$C,3,FALSE)),"")</f>
        <v>CHAPINERO</v>
      </c>
      <c r="D488" s="11" t="str">
        <f>IFERROR(IF(VLOOKUP(A488,[4]PRIORIZADOS!$A:$D,4,FALSE)="","",VLOOKUP(A488,[4]PRIORIZADOS!$A:$D,4,FALSE)),"")</f>
        <v>PRIVADO_IETDH</v>
      </c>
      <c r="E488" s="11" t="str">
        <f>IFERROR(IF(VLOOKUP(A488,[4]PRIORIZADOS!$A:$E,5,FALSE)="","",VLOOKUP(A488,[4]PRIORIZADOS!$A:$E,5,FALSE)),"")</f>
        <v>IETDH</v>
      </c>
      <c r="F488" s="11" t="str">
        <f>IFERROR(IF(VLOOKUP(A488,[4]PRIORIZADOS!$A:$F,6,FALSE)="","",VLOOKUP(A488,[4]PRIORIZADOS!$A:$F,6,FALSE)),"")</f>
        <v>INSTITUTO_DE_IDIOMAS_COLOMBIA_S.A_BERLITZ</v>
      </c>
      <c r="G488" s="11" t="str">
        <f>IFERROR(IF(VLOOKUP(A488,[4]PRIORIZADOS!$A:$G,7,FALSE)="","",VLOOKUP(A488,[4]PRIORIZADOS!$A:$G,7,FALSE)),"")</f>
        <v>INSTITUTO DE IDIOMAS COLOMBIA S.A BERLITZ</v>
      </c>
      <c r="H488" s="11" t="str">
        <f>IFERROR(IF(VLOOKUP(A488,[4]PRIORIZADOS!$A:$H,8,FALSE)="","",VLOOKUP(A488,[4]PRIORIZADOS!$A:$H,8,FALSE)),"")</f>
        <v>IETDH priorizadas por cada ELIV (seguimiento a PMI, que no se hayan visitado en los últimos 3 años)</v>
      </c>
      <c r="I488" s="11" t="str">
        <f>IFERROR(IF(VLOOKUP(A488,[4]PRIORIZADOS!$A:$I,9,FALSE)="","",VLOOKUP(A488,[4]PRIORIZADOS!$A:$I,9,FALSE)),"")</f>
        <v>SEGUIMIENTO_Y_SUPERVISIÓN.</v>
      </c>
      <c r="J488" s="11" t="str">
        <f>IFERROR(IF(VLOOKUP(A488,[4]PRIORIZADOS!$A:$J,10,FALSE)="","",VLOOKUP(A488,[4]PRIORIZADOS!$A:$J,10,FALSE)),"")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88" s="11" t="str">
        <f>IFERROR(IF(VLOOKUP(A488,[4]PRIORIZADOS!$A:$K,11,FALSE)="","",VLOOKUP(A488,[4]PRIORIZADOS!$A:$K,11,FALSE)),"")</f>
        <v>JUAN MANUEL AGUIRRE BOHÓRQUEZ</v>
      </c>
      <c r="L488" s="11" t="str">
        <f>IFERROR(IF(VLOOKUP(A488,[4]PRIORIZADOS!$A:$L,12,FALSE)="","",VLOOKUP(A488,[4]PRIORIZADOS!$A:$L,12,FALSE)),"")</f>
        <v>CONNIE QUIÑONES CÁRDENAS</v>
      </c>
      <c r="M488" s="71">
        <f>IFERROR(IF(VLOOKUP(A488,[4]PRIORIZADOS!$A:$M,13,FALSE)="","",VLOOKUP(A488,[4]PRIORIZADOS!$A:$M,13,FALSE)),"")</f>
        <v>45853</v>
      </c>
      <c r="N488" s="71">
        <f>IFERROR(IF(VLOOKUP(A488,[4]PRIORIZADOS!$A:$N,14,FALSE)="","",VLOOKUP(A488,[4]PRIORIZADOS!$A:$N,14,FALSE)),"")</f>
        <v>45853</v>
      </c>
      <c r="O488" s="71">
        <f>IFERROR(IF(VLOOKUP(A488,[4]PRIORIZADOS!$A:$O,15,FALSE)="","",VLOOKUP(A488,[4]PRIORIZADOS!$A:$O,15,FALSE)),"")</f>
        <v>45853</v>
      </c>
      <c r="P488" s="11" t="str">
        <f>IFERROR(IF(VLOOKUP(A488,[4]PRIORIZADOS!$A:$P,16,FALSE)="","",VLOOKUP(A488,[4]PRIORIZADOS!$A:$P,16,FALSE)),"")</f>
        <v>Visitas de evaluación con fines de mejoramiento</v>
      </c>
      <c r="Q488" s="107" t="s">
        <v>110</v>
      </c>
      <c r="R488" s="11" t="str">
        <f>IFERROR(IF(VLOOKUP(A488,[4]PRIORIZADOS!$A:$R,18,FALSE)="","",VLOOKUP(A488,[4]PRIORIZADOS!$A:$R,18,FALSE)),"")</f>
        <v>Se encuentran alumnos matriculados erróneamente en el SIET,  no corresponde a la realidad, alto número de matrícula pocos certificados, costos con incremento NO ajustado a la normatividad anual</v>
      </c>
      <c r="S488" s="11" t="str">
        <f>IFERROR(IF(VLOOKUP(A488,[4]PRIORIZADOS!$A:$S,19,FALSE)="","",VLOOKUP(A488,[4]PRIORIZADOS!$A:$S,19,FALSE)),"")</f>
        <v xml:space="preserve">Se indica a la institución que debe corregir la información registrada en el SIET respecto a lodos programas que tiene inconsistencias en el numero de estudiantes  y deberá corregir  el valor de los costos 2024 y 2025 </v>
      </c>
      <c r="T488" s="70" t="str">
        <f>IFERROR(IF(VLOOKUP(A488,[4]PRIORIZADOS!$A:$T,20,FALSE)="","",VLOOKUP(A488,[4]PRIORIZADOS!$A:$T,20,FALSE)),"")</f>
        <v>Si</v>
      </c>
      <c r="U488" s="11" t="str">
        <f>IFERROR(IF(VLOOKUP(A488,[4]PRIORIZADOS!$A:$U,21,FALSE)="","",VLOOKUP(A488,[4]PRIORIZADOS!$A:$U,21,FALSE)),"")</f>
        <v>Una vez remitan a la IETDH la evidencia de la corrección de la información en el SIET, se procederá a realizar el cruce de la información en el sistema y la verificación de los costos ajustados</v>
      </c>
    </row>
    <row r="489" spans="1:21" s="1" customFormat="1" ht="48">
      <c r="A489" s="69">
        <f>IF([4]PRIORIZADOS!A106="","",[4]PRIORIZADOS!A106)</f>
        <v>497</v>
      </c>
      <c r="B489" s="70">
        <v>17</v>
      </c>
      <c r="C489" s="11" t="str">
        <f>IFERROR(IF(VLOOKUP(A489,[4]PRIORIZADOS!$A:$C,3,FALSE)="","",VLOOKUP(A489,[4]PRIORIZADOS!$A:$C,3,FALSE)),"")</f>
        <v>CHAPINERO</v>
      </c>
      <c r="D489" s="11" t="str">
        <f>IFERROR(IF(VLOOKUP(A489,[4]PRIORIZADOS!$A:$D,4,FALSE)="","",VLOOKUP(A489,[4]PRIORIZADOS!$A:$D,4,FALSE)),"")</f>
        <v>PRIVADO_IETDH</v>
      </c>
      <c r="E489" s="11" t="str">
        <f>IFERROR(IF(VLOOKUP(A489,[4]PRIORIZADOS!$A:$E,5,FALSE)="","",VLOOKUP(A489,[4]PRIORIZADOS!$A:$E,5,FALSE)),"")</f>
        <v>IETDH</v>
      </c>
      <c r="F489" s="11" t="str">
        <f>IFERROR(IF(VLOOKUP(A489,[4]PRIORIZADOS!$A:$F,6,FALSE)="","",VLOOKUP(A489,[4]PRIORIZADOS!$A:$F,6,FALSE)),"")</f>
        <v>INSTITUTO_DE_IDIOMAS_COLOMBIA_S.A_BERLITZ</v>
      </c>
      <c r="G489" s="11" t="str">
        <f>IFERROR(IF(VLOOKUP(A489,[4]PRIORIZADOS!$A:$G,7,FALSE)="","",VLOOKUP(A489,[4]PRIORIZADOS!$A:$G,7,FALSE)),"")</f>
        <v>INSTITUTO DE IDIOMAS COLOMBIA S.A BERLITZ</v>
      </c>
      <c r="H489" s="11" t="str">
        <f>IFERROR(IF(VLOOKUP(A489,[4]PRIORIZADOS!$A:$H,8,FALSE)="","",VLOOKUP(A489,[4]PRIORIZADOS!$A:$H,8,FALSE)),"")</f>
        <v>IETDH priorizadas por cada ELIV (seguimiento a PMI, que no se hayan visitado en los últimos 3 años)</v>
      </c>
      <c r="I489" s="11" t="str">
        <f>IFERROR(IF(VLOOKUP(A489,[4]PRIORIZADOS!$A:$I,9,FALSE)="","",VLOOKUP(A489,[4]PRIORIZADOS!$A:$I,9,FALSE)),"")</f>
        <v>SEGUIMIENTO_Y_SUPERVISIÓN.</v>
      </c>
      <c r="J489" s="11" t="str">
        <f>IFERROR(IF(VLOOKUP(A489,[4]PRIORIZADOS!$A:$J,10,FALSE)="","",VLOOKUP(A489,[4]PRIORIZADOS!$A:$J,10,FALSE)),"")</f>
        <v>Adelantar visitas para verificar que el desarrollo de los programas de ETDH, esté de acuerdo con lo autorizado y la normatividad vigente, para propender por su pertinencia, legalidad y actualización constante.</v>
      </c>
      <c r="K489" s="11" t="str">
        <f>IFERROR(IF(VLOOKUP(A489,[4]PRIORIZADOS!$A:$K,11,FALSE)="","",VLOOKUP(A489,[4]PRIORIZADOS!$A:$K,11,FALSE)),"")</f>
        <v>JUAN MANUEL AGUIRRE BOHÓRQUEZ</v>
      </c>
      <c r="L489" s="11" t="str">
        <f>IFERROR(IF(VLOOKUP(A489,[4]PRIORIZADOS!$A:$L,12,FALSE)="","",VLOOKUP(A489,[4]PRIORIZADOS!$A:$L,12,FALSE)),"")</f>
        <v>CONNIE QUIÑONES CÁRDENAS</v>
      </c>
      <c r="M489" s="71">
        <f>IFERROR(IF(VLOOKUP(A489,[4]PRIORIZADOS!$A:$M,13,FALSE)="","",VLOOKUP(A489,[4]PRIORIZADOS!$A:$M,13,FALSE)),"")</f>
        <v>45853</v>
      </c>
      <c r="N489" s="71">
        <f>IFERROR(IF(VLOOKUP(A489,[4]PRIORIZADOS!$A:$N,14,FALSE)="","",VLOOKUP(A489,[4]PRIORIZADOS!$A:$N,14,FALSE)),"")</f>
        <v>45853</v>
      </c>
      <c r="O489" s="71">
        <f>IFERROR(IF(VLOOKUP(A489,[4]PRIORIZADOS!$A:$O,15,FALSE)="","",VLOOKUP(A489,[4]PRIORIZADOS!$A:$O,15,FALSE)),"")</f>
        <v>45853</v>
      </c>
      <c r="P489" s="11" t="str">
        <f>IFERROR(IF(VLOOKUP(A489,[4]PRIORIZADOS!$A:$P,16,FALSE)="","",VLOOKUP(A489,[4]PRIORIZADOS!$A:$P,16,FALSE)),"")</f>
        <v>Visitas de evaluación con fines de mejoramiento</v>
      </c>
      <c r="Q489" s="107" t="s">
        <v>110</v>
      </c>
      <c r="R489" s="11" t="str">
        <f>IFERROR(IF(VLOOKUP(A489,[4]PRIORIZADOS!$A:$R,18,FALSE)="","",VLOOKUP(A489,[4]PRIORIZADOS!$A:$R,18,FALSE)),"")</f>
        <v>Se revisan los programas vigentes observando que cumplen con la normatividad  y la pertinencia que se requiere.</v>
      </c>
      <c r="S489" s="11" t="str">
        <f>IFERROR(IF(VLOOKUP(A489,[4]PRIORIZADOS!$A:$S,19,FALSE)="","",VLOOKUP(A489,[4]PRIORIZADOS!$A:$S,19,FALSE)),"")</f>
        <v>Continuar con el cumplimiento de lo señalado en los actos administrativos frente a los programas</v>
      </c>
      <c r="T489" s="70" t="str">
        <f>IFERROR(IF(VLOOKUP(A489,[4]PRIORIZADOS!$A:$T,20,FALSE)="","",VLOOKUP(A489,[4]PRIORIZADOS!$A:$T,20,FALSE)),"")</f>
        <v>No</v>
      </c>
      <c r="U489" s="11" t="str">
        <f>IFERROR(IF(VLOOKUP(A489,[4]PRIORIZADOS!$A:$U,21,FALSE)="","",VLOOKUP(A489,[4]PRIORIZADOS!$A:$U,21,FALSE)),"")</f>
        <v>Verificación de la prestación del servicio educativo en condiciones de ley,  en caso de que se presenten irregularidades o de oficio cuando se considere necesario</v>
      </c>
    </row>
    <row r="490" spans="1:21" s="1" customFormat="1" ht="48">
      <c r="A490" s="69">
        <f>IF([4]PRIORIZADOS!A107="","",[4]PRIORIZADOS!A107)</f>
        <v>498</v>
      </c>
      <c r="B490" s="70">
        <v>17</v>
      </c>
      <c r="C490" s="11" t="str">
        <f>IFERROR(IF(VLOOKUP(A490,[4]PRIORIZADOS!$A:$C,3,FALSE)="","",VLOOKUP(A490,[4]PRIORIZADOS!$A:$C,3,FALSE)),"")</f>
        <v>CHAPINERO</v>
      </c>
      <c r="D490" s="11" t="str">
        <f>IFERROR(IF(VLOOKUP(A490,[4]PRIORIZADOS!$A:$D,4,FALSE)="","",VLOOKUP(A490,[4]PRIORIZADOS!$A:$D,4,FALSE)),"")</f>
        <v>PRIVADO_IETDH</v>
      </c>
      <c r="E490" s="11" t="str">
        <f>IFERROR(IF(VLOOKUP(A490,[4]PRIORIZADOS!$A:$E,5,FALSE)="","",VLOOKUP(A490,[4]PRIORIZADOS!$A:$E,5,FALSE)),"")</f>
        <v>IETDH</v>
      </c>
      <c r="F490" s="11" t="str">
        <f>IFERROR(IF(VLOOKUP(A490,[4]PRIORIZADOS!$A:$F,6,FALSE)="","",VLOOKUP(A490,[4]PRIORIZADOS!$A:$F,6,FALSE)),"")</f>
        <v>INSTITUTO_DE_IDIOMAS_COLOMBIA_S.A_BERLITZ</v>
      </c>
      <c r="G490" s="11" t="str">
        <f>IFERROR(IF(VLOOKUP(A490,[4]PRIORIZADOS!$A:$G,7,FALSE)="","",VLOOKUP(A490,[4]PRIORIZADOS!$A:$G,7,FALSE)),"")</f>
        <v>INSTITUTO DE IDIOMAS COLOMBIA S.A BERLITZ</v>
      </c>
      <c r="H490" s="11" t="str">
        <f>IFERROR(IF(VLOOKUP(A490,[4]PRIORIZADOS!$A:$H,8,FALSE)="","",VLOOKUP(A490,[4]PRIORIZADOS!$A:$H,8,FALSE)),"")</f>
        <v>IETDH priorizadas por cada ELIV (seguimiento a PMI, que no se hayan visitado en los últimos 3 años)</v>
      </c>
      <c r="I490" s="11" t="str">
        <f>IFERROR(IF(VLOOKUP(A490,[4]PRIORIZADOS!$A:$I,9,FALSE)="","",VLOOKUP(A490,[4]PRIORIZADOS!$A:$I,9,FALSE)),"")</f>
        <v>EVALUACIÓN_CON_FINES_DE_MEJORAMIENTO.</v>
      </c>
      <c r="J490" s="11" t="str">
        <f>IFERROR(IF(VLOOKUP(A490,[4]PRIORIZADOS!$A:$J,10,FALSE)="","",VLOOKUP(A490,[4]PRIORIZADOS!$A:$J,10,FALSE)),"")</f>
        <v>Verificar las condiciones en cuanto a: la estructura administrativa, condiciones de la planta física y medios educativos adecuados.</v>
      </c>
      <c r="K490" s="11" t="str">
        <f>IFERROR(IF(VLOOKUP(A490,[4]PRIORIZADOS!$A:$K,11,FALSE)="","",VLOOKUP(A490,[4]PRIORIZADOS!$A:$K,11,FALSE)),"")</f>
        <v>JUAN MANUEL AGUIRRE BOHÓRQUEZ</v>
      </c>
      <c r="L490" s="11" t="str">
        <f>IFERROR(IF(VLOOKUP(A490,[4]PRIORIZADOS!$A:$L,12,FALSE)="","",VLOOKUP(A490,[4]PRIORIZADOS!$A:$L,12,FALSE)),"")</f>
        <v>CONNIE QUIÑONES CÁRDENAS</v>
      </c>
      <c r="M490" s="71">
        <f>IFERROR(IF(VLOOKUP(A490,[4]PRIORIZADOS!$A:$M,13,FALSE)="","",VLOOKUP(A490,[4]PRIORIZADOS!$A:$M,13,FALSE)),"")</f>
        <v>45853</v>
      </c>
      <c r="N490" s="71">
        <f>IFERROR(IF(VLOOKUP(A490,[4]PRIORIZADOS!$A:$N,14,FALSE)="","",VLOOKUP(A490,[4]PRIORIZADOS!$A:$N,14,FALSE)),"")</f>
        <v>45853</v>
      </c>
      <c r="O490" s="71">
        <f>IFERROR(IF(VLOOKUP(A490,[4]PRIORIZADOS!$A:$O,15,FALSE)="","",VLOOKUP(A490,[4]PRIORIZADOS!$A:$O,15,FALSE)),"")</f>
        <v>45853</v>
      </c>
      <c r="P490" s="11" t="str">
        <f>IFERROR(IF(VLOOKUP(A490,[4]PRIORIZADOS!$A:$P,16,FALSE)="","",VLOOKUP(A490,[4]PRIORIZADOS!$A:$P,16,FALSE)),"")</f>
        <v>Visitas de evaluación con fines de mejoramiento</v>
      </c>
      <c r="Q490" s="107" t="s">
        <v>110</v>
      </c>
      <c r="R490" s="11" t="str">
        <f>IFERROR(IF(VLOOKUP(A490,[4]PRIORIZADOS!$A:$R,18,FALSE)="","",VLOOKUP(A490,[4]PRIORIZADOS!$A:$R,18,FALSE)),"")</f>
        <v xml:space="preserve">Se verifica que cuenta con los espacios académicos, administrativos y de bienestar en buenas condiciones y capacidad para alumnos </v>
      </c>
      <c r="S490" s="11" t="str">
        <f>IFERROR(IF(VLOOKUP(A490,[4]PRIORIZADOS!$A:$S,19,FALSE)="","",VLOOKUP(A490,[4]PRIORIZADOS!$A:$S,19,FALSE)),"")</f>
        <v>Continuar con la prestación del servicio en buenas condiciones</v>
      </c>
      <c r="T490" s="70" t="str">
        <f>IFERROR(IF(VLOOKUP(A490,[4]PRIORIZADOS!$A:$T,20,FALSE)="","",VLOOKUP(A490,[4]PRIORIZADOS!$A:$T,20,FALSE)),"")</f>
        <v>No</v>
      </c>
      <c r="U490" s="11" t="str">
        <f>IFERROR(IF(VLOOKUP(A490,[4]PRIORIZADOS!$A:$U,21,FALSE)="","",VLOOKUP(A490,[4]PRIORIZADOS!$A:$U,21,FALSE)),"")</f>
        <v>Verificación de continuidad de las condiciones de infraestructura cuando se requiera</v>
      </c>
    </row>
    <row r="491" spans="1:21" s="1" customFormat="1" ht="190.5">
      <c r="A491" s="69">
        <f>IF([4]PRIORIZADOS!A108="","",[4]PRIORIZADOS!A108)</f>
        <v>499</v>
      </c>
      <c r="B491" s="70">
        <v>18</v>
      </c>
      <c r="C491" s="11" t="str">
        <f>IFERROR(IF(VLOOKUP(A491,[4]PRIORIZADOS!$A:$C,3,FALSE)="","",VLOOKUP(A491,[4]PRIORIZADOS!$A:$C,3,FALSE)),"")</f>
        <v>CHAPINERO</v>
      </c>
      <c r="D491" s="11" t="str">
        <f>IFERROR(IF(VLOOKUP(A491,[4]PRIORIZADOS!$A:$D,4,FALSE)="","",VLOOKUP(A491,[4]PRIORIZADOS!$A:$D,4,FALSE)),"")</f>
        <v>PRIVADO_IETDH</v>
      </c>
      <c r="E491" s="11" t="str">
        <f>IFERROR(IF(VLOOKUP(A491,[4]PRIORIZADOS!$A:$E,5,FALSE)="","",VLOOKUP(A491,[4]PRIORIZADOS!$A:$E,5,FALSE)),"")</f>
        <v>IETDH</v>
      </c>
      <c r="F491" s="11" t="str">
        <f>IFERROR(IF(VLOOKUP(A491,[4]PRIORIZADOS!$A:$F,6,FALSE)="","",VLOOKUP(A491,[4]PRIORIZADOS!$A:$F,6,FALSE)),"")</f>
        <v>CENTRO_DE_IDIOMAS_UNIVERSAL</v>
      </c>
      <c r="G491" s="11" t="str">
        <f>IFERROR(IF(VLOOKUP(A491,[4]PRIORIZADOS!$A:$G,7,FALSE)="","",VLOOKUP(A491,[4]PRIORIZADOS!$A:$G,7,FALSE)),"")</f>
        <v>CENTRO DE IDIOMAS UNIVERSAL</v>
      </c>
      <c r="H491" s="11" t="str">
        <f>IFERROR(IF(VLOOKUP(A491,[4]PRIORIZADOS!$A:$H,8,FALSE)="","",VLOOKUP(A491,[4]PRIORIZADOS!$A:$H,8,FALSE)),"")</f>
        <v>IETDH priorizadas por cada ELIV (seguimiento a PMI, que no se hayan visitado en los últimos 3 años)</v>
      </c>
      <c r="I491" s="11" t="str">
        <f>IFERROR(IF(VLOOKUP(A491,[4]PRIORIZADOS!$A:$I,9,FALSE)="","",VLOOKUP(A491,[4]PRIORIZADOS!$A:$I,9,FALSE)),"")</f>
        <v>SEGUIMIENTO_Y_SUPERVISIÓN.</v>
      </c>
      <c r="J491" s="11" t="str">
        <f>IFERROR(IF(VLOOKUP(A491,[4]PRIORIZADOS!$A:$J,10,FALSE)="","",VLOOKUP(A491,[4]PRIORIZADOS!$A:$J,10,FALSE)),"")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91" s="11" t="str">
        <f>IFERROR(IF(VLOOKUP(A491,[4]PRIORIZADOS!$A:$K,11,FALSE)="","",VLOOKUP(A491,[4]PRIORIZADOS!$A:$K,11,FALSE)),"")</f>
        <v>CONNIE QUIÑONES CÁRDENAS</v>
      </c>
      <c r="L491" s="11" t="str">
        <f>IFERROR(IF(VLOOKUP(A491,[4]PRIORIZADOS!$A:$L,12,FALSE)="","",VLOOKUP(A491,[4]PRIORIZADOS!$A:$L,12,FALSE)),"")</f>
        <v>JUAN MANUEL AGUIRRE BOHÓRQUEZ</v>
      </c>
      <c r="M491" s="71">
        <f>IFERROR(IF(VLOOKUP(A491,[4]PRIORIZADOS!$A:$M,13,FALSE)="","",VLOOKUP(A491,[4]PRIORIZADOS!$A:$M,13,FALSE)),"")</f>
        <v>45783</v>
      </c>
      <c r="N491" s="71">
        <f>IFERROR(IF(VLOOKUP(A491,[4]PRIORIZADOS!$A:$N,14,FALSE)="","",VLOOKUP(A491,[4]PRIORIZADOS!$A:$N,14,FALSE)),"")</f>
        <v>45813</v>
      </c>
      <c r="O491" s="71">
        <f>IFERROR(IF(VLOOKUP(A491,[4]PRIORIZADOS!$A:$O,15,FALSE)="","",VLOOKUP(A491,[4]PRIORIZADOS!$A:$O,15,FALSE)),"")</f>
        <v>45813</v>
      </c>
      <c r="P491" s="11" t="str">
        <f>IFERROR(IF(VLOOKUP(A491,[4]PRIORIZADOS!$A:$P,16,FALSE)="","",VLOOKUP(A491,[4]PRIORIZADOS!$A:$P,16,FALSE)),"")</f>
        <v>Visitas de evaluación con fines de mejoramiento</v>
      </c>
      <c r="Q491" s="107" t="s">
        <v>111</v>
      </c>
      <c r="R491" s="11" t="str">
        <f>IFERROR(IF(VLOOKUP(A491,[4]PRIORIZADOS!$A:$R,18,FALSE)="","",VLOOKUP(A491,[4]PRIORIZADOS!$A:$R,18,FALSE)),"")</f>
        <v>Se verificó que la institución realiza los cobros de conformidad con lo autorizado y ha realizado el reporte al equipo de Inspección la tarifa cobrada año a año y se ajusta al Índice de inflación, al revisar el contrato de matrícula se recomienda incluir un párrafo en el cual se indique que el estudiante puede retirarse en cualquier tiempo y tendrá que cubrir el costo del nivel efectivamente cursado; por las promociones realizan contratos con un valor total por todos los niveles de un idioma y crea confusión sobre el valor a cobrar al momento del retiro.  Frente al SIET se encuentra al día matricula y certificados</v>
      </c>
      <c r="S491" s="11" t="str">
        <f>IFERROR(IF(VLOOKUP(A491,[4]PRIORIZADOS!$A:$S,19,FALSE)="","",VLOOKUP(A491,[4]PRIORIZADOS!$A:$S,19,FALSE)),"")</f>
        <v>La institución señaló que va a socializar con la oficina de calidad interna para incluir una cláusula que así lo contemple de acuerdo a las orientaciones y así evitar que se generen quejas cuando deseen hacer el retiro o la cancelación de los contratos de prestación de servicio en idiomas</v>
      </c>
      <c r="T491" s="70" t="str">
        <f>IFERROR(IF(VLOOKUP(A491,[4]PRIORIZADOS!$A:$T,20,FALSE)="","",VLOOKUP(A491,[4]PRIORIZADOS!$A:$T,20,FALSE)),"")</f>
        <v>No</v>
      </c>
      <c r="U491" s="11" t="str">
        <f>IFERROR(IF(VLOOKUP(A491,[4]PRIORIZADOS!$A:$U,21,FALSE)="","",VLOOKUP(A491,[4]PRIORIZADOS!$A:$U,21,FALSE)),"")</f>
        <v>En noviembre se verificará el ajuste al manual de convivencia en relación con la inclusión de la cláusula sobre retiro de estudiantes condiciones y demás que considere.</v>
      </c>
    </row>
    <row r="492" spans="1:21" s="1" customFormat="1" ht="60">
      <c r="A492" s="69">
        <f>IF([4]PRIORIZADOS!A109="","",[4]PRIORIZADOS!A109)</f>
        <v>500</v>
      </c>
      <c r="B492" s="70">
        <v>19</v>
      </c>
      <c r="C492" s="11" t="str">
        <f>IFERROR(IF(VLOOKUP(A492,[4]PRIORIZADOS!$A:$C,3,FALSE)="","",VLOOKUP(A492,[4]PRIORIZADOS!$A:$C,3,FALSE)),"")</f>
        <v>CHAPINERO</v>
      </c>
      <c r="D492" s="11" t="str">
        <f>IFERROR(IF(VLOOKUP(A492,[4]PRIORIZADOS!$A:$D,4,FALSE)="","",VLOOKUP(A492,[4]PRIORIZADOS!$A:$D,4,FALSE)),"")</f>
        <v>PRIVADO_IETDH</v>
      </c>
      <c r="E492" s="11" t="str">
        <f>IFERROR(IF(VLOOKUP(A492,[4]PRIORIZADOS!$A:$E,5,FALSE)="","",VLOOKUP(A492,[4]PRIORIZADOS!$A:$E,5,FALSE)),"")</f>
        <v>IETDH</v>
      </c>
      <c r="F492" s="11" t="str">
        <f>IFERROR(IF(VLOOKUP(A492,[4]PRIORIZADOS!$A:$F,6,FALSE)="","",VLOOKUP(A492,[4]PRIORIZADOS!$A:$F,6,FALSE)),"")</f>
        <v>CENTRO_DE_IDIOMAS_UNIVERSAL</v>
      </c>
      <c r="G492" s="11" t="str">
        <f>IFERROR(IF(VLOOKUP(A492,[4]PRIORIZADOS!$A:$G,7,FALSE)="","",VLOOKUP(A492,[4]PRIORIZADOS!$A:$G,7,FALSE)),"")</f>
        <v>CENTRO DE IDIOMAS UNIVERSAL</v>
      </c>
      <c r="H492" s="11" t="str">
        <f>IFERROR(IF(VLOOKUP(A492,[4]PRIORIZADOS!$A:$H,8,FALSE)="","",VLOOKUP(A492,[4]PRIORIZADOS!$A:$H,8,FALSE)),"")</f>
        <v>IETDH priorizadas por cada ELIV (seguimiento a PMI, que no se hayan visitado en los últimos 3 años)</v>
      </c>
      <c r="I492" s="11" t="str">
        <f>IFERROR(IF(VLOOKUP(A492,[4]PRIORIZADOS!$A:$I,9,FALSE)="","",VLOOKUP(A492,[4]PRIORIZADOS!$A:$I,9,FALSE)),"")</f>
        <v>SEGUIMIENTO_Y_SUPERVISIÓN.</v>
      </c>
      <c r="J492" s="11" t="str">
        <f>IFERROR(IF(VLOOKUP(A492,[4]PRIORIZADOS!$A:$J,10,FALSE)="","",VLOOKUP(A492,[4]PRIORIZADOS!$A:$J,10,FALSE)),"")</f>
        <v>Adelantar visitas para verificar que el desarrollo de los programas de ETDH, esté de acuerdo con lo autorizado y la normatividad vigente, para propender por su pertinencia, legalidad y actualización constante.</v>
      </c>
      <c r="K492" s="11" t="str">
        <f>IFERROR(IF(VLOOKUP(A492,[4]PRIORIZADOS!$A:$K,11,FALSE)="","",VLOOKUP(A492,[4]PRIORIZADOS!$A:$K,11,FALSE)),"")</f>
        <v>CONNIE QUIÑONES CÁRDENAS</v>
      </c>
      <c r="L492" s="11" t="str">
        <f>IFERROR(IF(VLOOKUP(A492,[4]PRIORIZADOS!$A:$L,12,FALSE)="","",VLOOKUP(A492,[4]PRIORIZADOS!$A:$L,12,FALSE)),"")</f>
        <v>JUAN MANUEL AGUIRRE BOHÓRQUEZ</v>
      </c>
      <c r="M492" s="71">
        <f>IFERROR(IF(VLOOKUP(A492,[4]PRIORIZADOS!$A:$M,13,FALSE)="","",VLOOKUP(A492,[4]PRIORIZADOS!$A:$M,13,FALSE)),"")</f>
        <v>45783</v>
      </c>
      <c r="N492" s="71">
        <f>IFERROR(IF(VLOOKUP(A492,[4]PRIORIZADOS!$A:$N,14,FALSE)="","",VLOOKUP(A492,[4]PRIORIZADOS!$A:$N,14,FALSE)),"")</f>
        <v>45813</v>
      </c>
      <c r="O492" s="71">
        <f>IFERROR(IF(VLOOKUP(A492,[4]PRIORIZADOS!$A:$O,15,FALSE)="","",VLOOKUP(A492,[4]PRIORIZADOS!$A:$O,15,FALSE)),"")</f>
        <v>45813</v>
      </c>
      <c r="P492" s="11" t="str">
        <f>IFERROR(IF(VLOOKUP(A492,[4]PRIORIZADOS!$A:$P,16,FALSE)="","",VLOOKUP(A492,[4]PRIORIZADOS!$A:$P,16,FALSE)),"")</f>
        <v>Visitas de evaluación con fines de mejoramiento</v>
      </c>
      <c r="Q492" s="107" t="s">
        <v>111</v>
      </c>
      <c r="R492" s="11" t="str">
        <f>IFERROR(IF(VLOOKUP(A492,[4]PRIORIZADOS!$A:$R,18,FALSE)="","",VLOOKUP(A492,[4]PRIORIZADOS!$A:$R,18,FALSE)),"")</f>
        <v>Se encuentra que la institución  tiene licencia de funcionamiento y registro de programas activos y la oferta corresponde a lo autorizado, presencial y a distancia con estrategia virtual.</v>
      </c>
      <c r="S492" s="11" t="str">
        <f>IFERROR(IF(VLOOKUP(A492,[4]PRIORIZADOS!$A:$S,19,FALSE)="","",VLOOKUP(A492,[4]PRIORIZADOS!$A:$S,19,FALSE)),"")</f>
        <v>Continuar con el cumplimiento de lo señalado en los actos administrativos frente a la modalidad</v>
      </c>
      <c r="T492" s="70" t="str">
        <f>IFERROR(IF(VLOOKUP(A492,[4]PRIORIZADOS!$A:$T,20,FALSE)="","",VLOOKUP(A492,[4]PRIORIZADOS!$A:$T,20,FALSE)),"")</f>
        <v>No</v>
      </c>
      <c r="U492" s="11" t="str">
        <f>IFERROR(IF(VLOOKUP(A492,[4]PRIORIZADOS!$A:$U,21,FALSE)="","",VLOOKUP(A492,[4]PRIORIZADOS!$A:$U,21,FALSE)),"")</f>
        <v>Verificación de la prestación del servicio educativo en condiciones de ley,  en caso de que se presenten irregularidades o de oficio cuando se considere necesario</v>
      </c>
    </row>
    <row r="493" spans="1:21" s="1" customFormat="1" ht="48">
      <c r="A493" s="69">
        <f>IF([4]PRIORIZADOS!A110="","",[4]PRIORIZADOS!A110)</f>
        <v>501</v>
      </c>
      <c r="B493" s="70">
        <v>18</v>
      </c>
      <c r="C493" s="11" t="str">
        <f>IFERROR(IF(VLOOKUP(A493,[4]PRIORIZADOS!$A:$C,3,FALSE)="","",VLOOKUP(A493,[4]PRIORIZADOS!$A:$C,3,FALSE)),"")</f>
        <v>CHAPINERO</v>
      </c>
      <c r="D493" s="11" t="str">
        <f>IFERROR(IF(VLOOKUP(A493,[4]PRIORIZADOS!$A:$D,4,FALSE)="","",VLOOKUP(A493,[4]PRIORIZADOS!$A:$D,4,FALSE)),"")</f>
        <v>PRIVADO_IETDH</v>
      </c>
      <c r="E493" s="11" t="str">
        <f>IFERROR(IF(VLOOKUP(A493,[4]PRIORIZADOS!$A:$E,5,FALSE)="","",VLOOKUP(A493,[4]PRIORIZADOS!$A:$E,5,FALSE)),"")</f>
        <v>IETDH</v>
      </c>
      <c r="F493" s="11" t="str">
        <f>IFERROR(IF(VLOOKUP(A493,[4]PRIORIZADOS!$A:$F,6,FALSE)="","",VLOOKUP(A493,[4]PRIORIZADOS!$A:$F,6,FALSE)),"")</f>
        <v>CENTRO_DE_IDIOMAS_UNIVERSAL</v>
      </c>
      <c r="G493" s="11" t="str">
        <f>IFERROR(IF(VLOOKUP(A493,[4]PRIORIZADOS!$A:$G,7,FALSE)="","",VLOOKUP(A493,[4]PRIORIZADOS!$A:$G,7,FALSE)),"")</f>
        <v>CENTRO DE IDIOMAS UNIVERSAL</v>
      </c>
      <c r="H493" s="11" t="str">
        <f>IFERROR(IF(VLOOKUP(A493,[4]PRIORIZADOS!$A:$H,8,FALSE)="","",VLOOKUP(A493,[4]PRIORIZADOS!$A:$H,8,FALSE)),"")</f>
        <v>IETDH priorizadas por cada ELIV (seguimiento a PMI, que no se hayan visitado en los últimos 3 años)</v>
      </c>
      <c r="I493" s="11" t="str">
        <f>IFERROR(IF(VLOOKUP(A493,[4]PRIORIZADOS!$A:$I,9,FALSE)="","",VLOOKUP(A493,[4]PRIORIZADOS!$A:$I,9,FALSE)),"")</f>
        <v>EVALUACIÓN_CON_FINES_DE_MEJORAMIENTO.</v>
      </c>
      <c r="J493" s="11" t="str">
        <f>IFERROR(IF(VLOOKUP(A493,[4]PRIORIZADOS!$A:$J,10,FALSE)="","",VLOOKUP(A493,[4]PRIORIZADOS!$A:$J,10,FALSE)),"")</f>
        <v>Verificar las condiciones en cuanto a: la estructura administrativa, condiciones de la planta física y medios educativos adecuados.</v>
      </c>
      <c r="K493" s="11" t="str">
        <f>IFERROR(IF(VLOOKUP(A493,[4]PRIORIZADOS!$A:$K,11,FALSE)="","",VLOOKUP(A493,[4]PRIORIZADOS!$A:$K,11,FALSE)),"")</f>
        <v>CONNIE QUIÑONES CÁRDENAS</v>
      </c>
      <c r="L493" s="11" t="str">
        <f>IFERROR(IF(VLOOKUP(A493,[4]PRIORIZADOS!$A:$L,12,FALSE)="","",VLOOKUP(A493,[4]PRIORIZADOS!$A:$L,12,FALSE)),"")</f>
        <v>JUAN MANUEL AGUIRRE BOHÓRQUEZ</v>
      </c>
      <c r="M493" s="71">
        <f>IFERROR(IF(VLOOKUP(A493,[4]PRIORIZADOS!$A:$M,13,FALSE)="","",VLOOKUP(A493,[4]PRIORIZADOS!$A:$M,13,FALSE)),"")</f>
        <v>45783</v>
      </c>
      <c r="N493" s="71">
        <f>IFERROR(IF(VLOOKUP(A493,[4]PRIORIZADOS!$A:$N,14,FALSE)="","",VLOOKUP(A493,[4]PRIORIZADOS!$A:$N,14,FALSE)),"")</f>
        <v>45813</v>
      </c>
      <c r="O493" s="71">
        <f>IFERROR(IF(VLOOKUP(A493,[4]PRIORIZADOS!$A:$O,15,FALSE)="","",VLOOKUP(A493,[4]PRIORIZADOS!$A:$O,15,FALSE)),"")</f>
        <v>45813</v>
      </c>
      <c r="P493" s="11" t="str">
        <f>IFERROR(IF(VLOOKUP(A493,[4]PRIORIZADOS!$A:$P,16,FALSE)="","",VLOOKUP(A493,[4]PRIORIZADOS!$A:$P,16,FALSE)),"")</f>
        <v>Visitas de evaluación con fines de mejoramiento</v>
      </c>
      <c r="Q493" s="107" t="s">
        <v>111</v>
      </c>
      <c r="R493" s="11" t="str">
        <f>IFERROR(IF(VLOOKUP(A493,[4]PRIORIZADOS!$A:$R,18,FALSE)="","",VLOOKUP(A493,[4]PRIORIZADOS!$A:$R,18,FALSE)),"")</f>
        <v xml:space="preserve">Se verifica que cuenta con los espacios académicos, administrativos y de bienestar en buenas condiciones y capacidad para alumnos </v>
      </c>
      <c r="S493" s="11" t="str">
        <f>IFERROR(IF(VLOOKUP(A493,[4]PRIORIZADOS!$A:$S,19,FALSE)="","",VLOOKUP(A493,[4]PRIORIZADOS!$A:$S,19,FALSE)),"")</f>
        <v>Continuar con la prestación del servicio en buenas condiciones</v>
      </c>
      <c r="T493" s="70" t="str">
        <f>IFERROR(IF(VLOOKUP(A493,[4]PRIORIZADOS!$A:$T,20,FALSE)="","",VLOOKUP(A493,[4]PRIORIZADOS!$A:$T,20,FALSE)),"")</f>
        <v>No</v>
      </c>
      <c r="U493" s="11" t="str">
        <f>IFERROR(IF(VLOOKUP(A493,[4]PRIORIZADOS!$A:$U,21,FALSE)="","",VLOOKUP(A493,[4]PRIORIZADOS!$A:$U,21,FALSE)),"")</f>
        <v>Verificación de continuidad de las condiciones de infraestructura cuando se requiera</v>
      </c>
    </row>
    <row r="494" spans="1:21" s="1" customFormat="1" ht="96">
      <c r="A494" s="69">
        <f>IF([4]PRIORIZADOS!A111="","",[4]PRIORIZADOS!A111)</f>
        <v>502</v>
      </c>
      <c r="B494" s="70">
        <v>19</v>
      </c>
      <c r="C494" s="11" t="str">
        <f>IFERROR(IF(VLOOKUP(A494,[4]PRIORIZADOS!$A:$C,3,FALSE)="","",VLOOKUP(A494,[4]PRIORIZADOS!$A:$C,3,FALSE)),"")</f>
        <v>CHAPINERO</v>
      </c>
      <c r="D494" s="11" t="str">
        <f>IFERROR(IF(VLOOKUP(A494,[4]PRIORIZADOS!$A:$D,4,FALSE)="","",VLOOKUP(A494,[4]PRIORIZADOS!$A:$D,4,FALSE)),"")</f>
        <v>PRIVADO_IETDH</v>
      </c>
      <c r="E494" s="11" t="str">
        <f>IFERROR(IF(VLOOKUP(A494,[4]PRIORIZADOS!$A:$E,5,FALSE)="","",VLOOKUP(A494,[4]PRIORIZADOS!$A:$E,5,FALSE)),"")</f>
        <v>IETDH</v>
      </c>
      <c r="F494" s="11" t="str">
        <f>IFERROR(IF(VLOOKUP(A494,[4]PRIORIZADOS!$A:$F,6,FALSE)="","",VLOOKUP(A494,[4]PRIORIZADOS!$A:$F,6,FALSE)),"")</f>
        <v>CENTRO_DE_ALTOS_ESTUDIOS_INMOBILIARIOS</v>
      </c>
      <c r="G494" s="11" t="str">
        <f>IFERROR(IF(VLOOKUP(A494,[4]PRIORIZADOS!$A:$G,7,FALSE)="","",VLOOKUP(A494,[4]PRIORIZADOS!$A:$G,7,FALSE)),"")</f>
        <v>CENTRO DE ALTOS ESTUDIOS INMOBILIARIOS</v>
      </c>
      <c r="H494" s="11" t="str">
        <f>IFERROR(IF(VLOOKUP(A494,[4]PRIORIZADOS!$A:$H,8,FALSE)="","",VLOOKUP(A494,[4]PRIORIZADOS!$A:$H,8,FALSE)),"")</f>
        <v>IETDH priorizadas por cada ELIV (seguimiento a PMI, que no se hayan visitado en los últimos 3 años)</v>
      </c>
      <c r="I494" s="11" t="str">
        <f>IFERROR(IF(VLOOKUP(A494,[4]PRIORIZADOS!$A:$I,9,FALSE)="","",VLOOKUP(A494,[4]PRIORIZADOS!$A:$I,9,FALSE)),"")</f>
        <v>SEGUIMIENTO_Y_SUPERVISIÓN.</v>
      </c>
      <c r="J494" s="11" t="str">
        <f>IFERROR(IF(VLOOKUP(A494,[4]PRIORIZADOS!$A:$J,10,FALSE)="","",VLOOKUP(A494,[4]PRIORIZADOS!$A:$J,10,FALSE)),"")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94" s="11" t="str">
        <f>IFERROR(IF(VLOOKUP(A494,[4]PRIORIZADOS!$A:$K,11,FALSE)="","",VLOOKUP(A494,[4]PRIORIZADOS!$A:$K,11,FALSE)),"")</f>
        <v>SANTIAGO ÁVILA LEURO</v>
      </c>
      <c r="L494" s="11" t="str">
        <f>IFERROR(IF(VLOOKUP(A494,[4]PRIORIZADOS!$A:$L,12,FALSE)="","",VLOOKUP(A494,[4]PRIORIZADOS!$A:$L,12,FALSE)),"")</f>
        <v>JUAN MANUEL AGUIRRE BOHÓRQUEZ</v>
      </c>
      <c r="M494" s="71">
        <f>IFERROR(IF(VLOOKUP(A494,[4]PRIORIZADOS!$A:$M,13,FALSE)="","",VLOOKUP(A494,[4]PRIORIZADOS!$A:$M,13,FALSE)),"")</f>
        <v>45799</v>
      </c>
      <c r="N494" s="71">
        <f>IFERROR(IF(VLOOKUP(A494,[4]PRIORIZADOS!$A:$N,14,FALSE)="","",VLOOKUP(A494,[4]PRIORIZADOS!$A:$N,14,FALSE)),"")</f>
        <v>45799</v>
      </c>
      <c r="O494" s="71">
        <f>IFERROR(IF(VLOOKUP(A494,[4]PRIORIZADOS!$A:$O,15,FALSE)="","",VLOOKUP(A494,[4]PRIORIZADOS!$A:$O,15,FALSE)),"")</f>
        <v>45799</v>
      </c>
      <c r="P494" s="11" t="str">
        <f>IFERROR(IF(VLOOKUP(A494,[4]PRIORIZADOS!$A:$P,16,FALSE)="","",VLOOKUP(A494,[4]PRIORIZADOS!$A:$P,16,FALSE)),"")</f>
        <v>Visitas de evaluación con fines de mejoramiento</v>
      </c>
      <c r="Q494" s="107" t="s">
        <v>112</v>
      </c>
      <c r="R494" s="11" t="str">
        <f>IFERROR(IF(VLOOKUP(A494,[4]PRIORIZADOS!$A:$R,18,FALSE)="","",VLOOKUP(A494,[4]PRIORIZADOS!$A:$R,18,FALSE)),"")</f>
        <v xml:space="preserve">El CAEI trasladó temporalmente sus actividades académicas a una sede sin autorización oficial, lo que constituye una irregularidad legal. Además, no ha reportado los costos educativos actualizados para 2025, aunque informan que el valor del programa permanece en $5.352.699. </v>
      </c>
      <c r="S494" s="11" t="str">
        <f>IFERROR(IF(VLOOKUP(A494,[4]PRIORIZADOS!$A:$S,19,FALSE)="","",VLOOKUP(A494,[4]PRIORIZADOS!$A:$S,19,FALSE)),"")</f>
        <v>Se instó al CAEI a gestionar urgentemente ante la Secretaría de Educación la autorización formal de la nueva sede para garantizar la legalidad en la prestación del servicio. Además, se le recordó la obligación de reportar los costos educativos vigentes conforme a la normatividad.</v>
      </c>
      <c r="T494" s="70" t="str">
        <f>IFERROR(IF(VLOOKUP(A494,[4]PRIORIZADOS!$A:$T,20,FALSE)="","",VLOOKUP(A494,[4]PRIORIZADOS!$A:$T,20,FALSE)),"")</f>
        <v>Si</v>
      </c>
      <c r="U494" s="11" t="str">
        <f>IFERROR(IF(VLOOKUP(A494,[4]PRIORIZADOS!$A:$U,21,FALSE)="","",VLOOKUP(A494,[4]PRIORIZADOS!$A:$U,21,FALSE)),"")</f>
        <v>Se realizará seguimiento a la gestión del CAEI para la regularización de la sede y se verificará el reporte oportuno y actualizado de los costos educativos conforme a la normatividad vigente.</v>
      </c>
    </row>
    <row r="495" spans="1:21" s="1" customFormat="1" ht="130.5">
      <c r="A495" s="69">
        <f>IF([4]PRIORIZADOS!A112="","",[4]PRIORIZADOS!A112)</f>
        <v>503</v>
      </c>
      <c r="B495" s="70">
        <v>19</v>
      </c>
      <c r="C495" s="11" t="str">
        <f>IFERROR(IF(VLOOKUP(A495,[4]PRIORIZADOS!$A:$C,3,FALSE)="","",VLOOKUP(A495,[4]PRIORIZADOS!$A:$C,3,FALSE)),"")</f>
        <v>CHAPINERO</v>
      </c>
      <c r="D495" s="11" t="str">
        <f>IFERROR(IF(VLOOKUP(A495,[4]PRIORIZADOS!$A:$D,4,FALSE)="","",VLOOKUP(A495,[4]PRIORIZADOS!$A:$D,4,FALSE)),"")</f>
        <v>PRIVADO_IETDH</v>
      </c>
      <c r="E495" s="11" t="str">
        <f>IFERROR(IF(VLOOKUP(A495,[4]PRIORIZADOS!$A:$E,5,FALSE)="","",VLOOKUP(A495,[4]PRIORIZADOS!$A:$E,5,FALSE)),"")</f>
        <v>IETDH</v>
      </c>
      <c r="F495" s="11" t="str">
        <f>IFERROR(IF(VLOOKUP(A495,[4]PRIORIZADOS!$A:$F,6,FALSE)="","",VLOOKUP(A495,[4]PRIORIZADOS!$A:$F,6,FALSE)),"")</f>
        <v>CENTRO_DE_ALTOS_ESTUDIOS_INMOBILIARIOS</v>
      </c>
      <c r="G495" s="11" t="str">
        <f>IFERROR(IF(VLOOKUP(A495,[4]PRIORIZADOS!$A:$G,7,FALSE)="","",VLOOKUP(A495,[4]PRIORIZADOS!$A:$G,7,FALSE)),"")</f>
        <v>CENTRO DE ALTOS ESTUDIOS INMOBILIARIOS</v>
      </c>
      <c r="H495" s="11" t="str">
        <f>IFERROR(IF(VLOOKUP(A495,[4]PRIORIZADOS!$A:$H,8,FALSE)="","",VLOOKUP(A495,[4]PRIORIZADOS!$A:$H,8,FALSE)),"")</f>
        <v>IETDH priorizadas por cada ELIV (seguimiento a PMI, que no se hayan visitado en los últimos 3 años)</v>
      </c>
      <c r="I495" s="11" t="str">
        <f>IFERROR(IF(VLOOKUP(A495,[4]PRIORIZADOS!$A:$I,9,FALSE)="","",VLOOKUP(A495,[4]PRIORIZADOS!$A:$I,9,FALSE)),"")</f>
        <v>SEGUIMIENTO_Y_SUPERVISIÓN.</v>
      </c>
      <c r="J495" s="11" t="str">
        <f>IFERROR(IF(VLOOKUP(A495,[4]PRIORIZADOS!$A:$J,10,FALSE)="","",VLOOKUP(A495,[4]PRIORIZADOS!$A:$J,10,FALSE)),"")</f>
        <v>Adelantar visitas para verificar que el desarrollo de los programas de ETDH, esté de acuerdo con lo autorizado y la normatividad vigente, para propender por su pertinencia, legalidad y actualización constante.</v>
      </c>
      <c r="K495" s="11" t="str">
        <f>IFERROR(IF(VLOOKUP(A495,[4]PRIORIZADOS!$A:$K,11,FALSE)="","",VLOOKUP(A495,[4]PRIORIZADOS!$A:$K,11,FALSE)),"")</f>
        <v>SANTIAGO ÁVILA LEURO</v>
      </c>
      <c r="L495" s="11" t="str">
        <f>IFERROR(IF(VLOOKUP(A495,[4]PRIORIZADOS!$A:$L,12,FALSE)="","",VLOOKUP(A495,[4]PRIORIZADOS!$A:$L,12,FALSE)),"")</f>
        <v>JUAN MANUEL AGUIRRE BOHÓRQUEZ</v>
      </c>
      <c r="M495" s="71">
        <f>IFERROR(IF(VLOOKUP(A495,[4]PRIORIZADOS!$A:$M,13,FALSE)="","",VLOOKUP(A495,[4]PRIORIZADOS!$A:$M,13,FALSE)),"")</f>
        <v>45799</v>
      </c>
      <c r="N495" s="71">
        <f>IFERROR(IF(VLOOKUP(A495,[4]PRIORIZADOS!$A:$N,14,FALSE)="","",VLOOKUP(A495,[4]PRIORIZADOS!$A:$N,14,FALSE)),"")</f>
        <v>45799</v>
      </c>
      <c r="O495" s="71">
        <f>IFERROR(IF(VLOOKUP(A495,[4]PRIORIZADOS!$A:$O,15,FALSE)="","",VLOOKUP(A495,[4]PRIORIZADOS!$A:$O,15,FALSE)),"")</f>
        <v>45799</v>
      </c>
      <c r="P495" s="11" t="str">
        <f>IFERROR(IF(VLOOKUP(A495,[4]PRIORIZADOS!$A:$P,16,FALSE)="","",VLOOKUP(A495,[4]PRIORIZADOS!$A:$P,16,FALSE)),"")</f>
        <v>Visitas de evaluación con fines de mejoramiento</v>
      </c>
      <c r="Q495" s="107" t="s">
        <v>112</v>
      </c>
      <c r="R495" s="11" t="str">
        <f>IFERROR(IF(VLOOKUP(A495,[4]PRIORIZADOS!$A:$R,18,FALSE)="","",VLOOKUP(A495,[4]PRIORIZADOS!$A:$R,18,FALSE)),"")</f>
        <v>El programa Técnico Laboral en Avalúos muestra una disminución en la matrícula entre 2023 y 2025, con 49 estudiantes actuales y una cantidad constante de certificados emitidos. Además, la institución trasladó temporalmente sus actividades a una sede en Carrera 26 No. 72–73 (Barrios Unidos) que no cuenta con autorización oficial de la Secretaría de Educación del Distrito, lo cual afecta la legalidad de la prestación del servicio educativo.</v>
      </c>
      <c r="S495" s="11" t="str">
        <f>IFERROR(IF(VLOOKUP(A495,[4]PRIORIZADOS!$A:$S,19,FALSE)="","",VLOOKUP(A495,[4]PRIORIZADOS!$A:$S,19,FALSE)),"")</f>
        <v>La institución debe regularizar urgentemente la situación de la sede no autorizada mediante la presentación de la solicitud formal para traslado o modificación ante la Secretaría de Educación. Además, se compromete a mantener la pertinencia y legalidad del programa, asegurando la actualización continua y el cumplimiento normativo en el desarrollo académico.</v>
      </c>
      <c r="T495" s="70" t="str">
        <f>IFERROR(IF(VLOOKUP(A495,[4]PRIORIZADOS!$A:$T,20,FALSE)="","",VLOOKUP(A495,[4]PRIORIZADOS!$A:$T,20,FALSE)),"")</f>
        <v>Si</v>
      </c>
      <c r="U495" s="11" t="str">
        <f>IFERROR(IF(VLOOKUP(A495,[4]PRIORIZADOS!$A:$U,21,FALSE)="","",VLOOKUP(A495,[4]PRIORIZADOS!$A:$U,21,FALSE)),"")</f>
        <v xml:space="preserve">Se dará seguimiento al envío de la estrategia por parte del CAEI antes del 24 de junio de 2025, para garantizar la legalidad y continuidad del servicio educativo. En caso de incumplimiento, se tomarán las medidas administrativas correspondientes.
</v>
      </c>
    </row>
    <row r="496" spans="1:21" s="1" customFormat="1" ht="107.25">
      <c r="A496" s="69">
        <f>IF([4]PRIORIZADOS!A113="","",[4]PRIORIZADOS!A113)</f>
        <v>504</v>
      </c>
      <c r="B496" s="70">
        <v>19</v>
      </c>
      <c r="C496" s="11" t="str">
        <f>IFERROR(IF(VLOOKUP(A496,[4]PRIORIZADOS!$A:$C,3,FALSE)="","",VLOOKUP(A496,[4]PRIORIZADOS!$A:$C,3,FALSE)),"")</f>
        <v>CHAPINERO</v>
      </c>
      <c r="D496" s="11" t="str">
        <f>IFERROR(IF(VLOOKUP(A496,[4]PRIORIZADOS!$A:$D,4,FALSE)="","",VLOOKUP(A496,[4]PRIORIZADOS!$A:$D,4,FALSE)),"")</f>
        <v>PRIVADO_IETDH</v>
      </c>
      <c r="E496" s="11" t="str">
        <f>IFERROR(IF(VLOOKUP(A496,[4]PRIORIZADOS!$A:$E,5,FALSE)="","",VLOOKUP(A496,[4]PRIORIZADOS!$A:$E,5,FALSE)),"")</f>
        <v>IETDH</v>
      </c>
      <c r="F496" s="11" t="str">
        <f>IFERROR(IF(VLOOKUP(A496,[4]PRIORIZADOS!$A:$F,6,FALSE)="","",VLOOKUP(A496,[4]PRIORIZADOS!$A:$F,6,FALSE)),"")</f>
        <v>CENTRO_DE_ALTOS_ESTUDIOS_INMOBILIARIOS</v>
      </c>
      <c r="G496" s="11" t="str">
        <f>IFERROR(IF(VLOOKUP(A496,[4]PRIORIZADOS!$A:$G,7,FALSE)="","",VLOOKUP(A496,[4]PRIORIZADOS!$A:$G,7,FALSE)),"")</f>
        <v>CENTRO DE ALTOS ESTUDIOS INMOBILIARIOS</v>
      </c>
      <c r="H496" s="11" t="str">
        <f>IFERROR(IF(VLOOKUP(A496,[4]PRIORIZADOS!$A:$H,8,FALSE)="","",VLOOKUP(A496,[4]PRIORIZADOS!$A:$H,8,FALSE)),"")</f>
        <v>IETDH priorizadas por cada ELIV (seguimiento a PMI, que no se hayan visitado en los últimos 3 años)</v>
      </c>
      <c r="I496" s="11" t="str">
        <f>IFERROR(IF(VLOOKUP(A496,[4]PRIORIZADOS!$A:$I,9,FALSE)="","",VLOOKUP(A496,[4]PRIORIZADOS!$A:$I,9,FALSE)),"")</f>
        <v>EVALUACIÓN_CON_FINES_DE_MEJORAMIENTO.</v>
      </c>
      <c r="J496" s="11" t="str">
        <f>IFERROR(IF(VLOOKUP(A496,[4]PRIORIZADOS!$A:$J,10,FALSE)="","",VLOOKUP(A496,[4]PRIORIZADOS!$A:$J,10,FALSE)),"")</f>
        <v>Verificar las condiciones en cuanto a: la estructura administrativa, condiciones de la planta física y medios educativos adecuados.</v>
      </c>
      <c r="K496" s="11" t="str">
        <f>IFERROR(IF(VLOOKUP(A496,[4]PRIORIZADOS!$A:$K,11,FALSE)="","",VLOOKUP(A496,[4]PRIORIZADOS!$A:$K,11,FALSE)),"")</f>
        <v>SANTIAGO ÁVILA LEURO</v>
      </c>
      <c r="L496" s="11" t="str">
        <f>IFERROR(IF(VLOOKUP(A496,[4]PRIORIZADOS!$A:$L,12,FALSE)="","",VLOOKUP(A496,[4]PRIORIZADOS!$A:$L,12,FALSE)),"")</f>
        <v>JUAN MANUEL AGUIRRE BOHÓRQUEZ</v>
      </c>
      <c r="M496" s="71">
        <f>IFERROR(IF(VLOOKUP(A496,[4]PRIORIZADOS!$A:$M,13,FALSE)="","",VLOOKUP(A496,[4]PRIORIZADOS!$A:$M,13,FALSE)),"")</f>
        <v>45799</v>
      </c>
      <c r="N496" s="71">
        <f>IFERROR(IF(VLOOKUP(A496,[4]PRIORIZADOS!$A:$N,14,FALSE)="","",VLOOKUP(A496,[4]PRIORIZADOS!$A:$N,14,FALSE)),"")</f>
        <v>45799</v>
      </c>
      <c r="O496" s="71">
        <f>IFERROR(IF(VLOOKUP(A496,[4]PRIORIZADOS!$A:$O,15,FALSE)="","",VLOOKUP(A496,[4]PRIORIZADOS!$A:$O,15,FALSE)),"")</f>
        <v>45799</v>
      </c>
      <c r="P496" s="11" t="str">
        <f>IFERROR(IF(VLOOKUP(A496,[4]PRIORIZADOS!$A:$P,16,FALSE)="","",VLOOKUP(A496,[4]PRIORIZADOS!$A:$P,16,FALSE)),"")</f>
        <v>Visitas de evaluación con fines de mejoramiento</v>
      </c>
      <c r="Q496" s="107" t="s">
        <v>112</v>
      </c>
      <c r="R496" s="11" t="str">
        <f>IFERROR(IF(VLOOKUP(A496,[4]PRIORIZADOS!$A:$R,18,FALSE)="","",VLOOKUP(A496,[4]PRIORIZADOS!$A:$R,18,FALSE)),"")</f>
        <v>La institución no opera en la sede autorizada por la SED (Calle 82 No. 19–31), ya que fue entregada tras un siniestro. Actualmente funciona en una sede no autorizada (Carrera 26 No. 72–73), lo cual constituye una irregularidad. Se realizó visita de observación en esta sede temporal, donde se evidenció dotación básica y condiciones físicas aceptables.</v>
      </c>
      <c r="S496" s="11" t="str">
        <f>IFERROR(IF(VLOOKUP(A496,[4]PRIORIZADOS!$A:$S,19,FALSE)="","",VLOOKUP(A496,[4]PRIORIZADOS!$A:$S,19,FALSE)),"")</f>
        <v>El CAEI se comprometió a remitir, antes del 24 de junio de 2025, una estrategia detallada que garantice la legalidad del servicio educativo, incluyendo plan de reubicación, cronograma y medidas de acompañamiento a los estudiantes.</v>
      </c>
      <c r="T496" s="70" t="str">
        <f>IFERROR(IF(VLOOKUP(A496,[4]PRIORIZADOS!$A:$T,20,FALSE)="","",VLOOKUP(A496,[4]PRIORIZADOS!$A:$T,20,FALSE)),"")</f>
        <v>Si</v>
      </c>
      <c r="U496" s="11" t="str">
        <f>IFERROR(IF(VLOOKUP(A496,[4]PRIORIZADOS!$A:$U,21,FALSE)="","",VLOOKUP(A496,[4]PRIORIZADOS!$A:$U,21,FALSE)),"")</f>
        <v>El equipo local de inspección y vigilancia realizará seguimiento al cumplimiento del compromiso, especialmente a la entrega oportuna de la estrategia y al trámite para regularizar la nueva sede ante la SED, conforme al Decreto 1075 de 2015.</v>
      </c>
    </row>
    <row r="497" spans="1:21" s="1" customFormat="1" ht="214.5">
      <c r="A497" s="69">
        <f>IF([4]PRIORIZADOS!A114="","",[4]PRIORIZADOS!A114)</f>
        <v>505</v>
      </c>
      <c r="B497" s="70">
        <v>20</v>
      </c>
      <c r="C497" s="11" t="str">
        <f>IFERROR(IF(VLOOKUP(A497,[4]PRIORIZADOS!$A:$C,3,FALSE)="","",VLOOKUP(A497,[4]PRIORIZADOS!$A:$C,3,FALSE)),"")</f>
        <v>CHAPINERO</v>
      </c>
      <c r="D497" s="11" t="str">
        <f>IFERROR(IF(VLOOKUP(A497,[4]PRIORIZADOS!$A:$D,4,FALSE)="","",VLOOKUP(A497,[4]PRIORIZADOS!$A:$D,4,FALSE)),"")</f>
        <v>PRIVADO_IETDH</v>
      </c>
      <c r="E497" s="11" t="str">
        <f>IFERROR(IF(VLOOKUP(A497,[4]PRIORIZADOS!$A:$E,5,FALSE)="","",VLOOKUP(A497,[4]PRIORIZADOS!$A:$E,5,FALSE)),"")</f>
        <v>IETDH</v>
      </c>
      <c r="F497" s="11" t="str">
        <f>IFERROR(IF(VLOOKUP(A497,[4]PRIORIZADOS!$A:$F,6,FALSE)="","",VLOOKUP(A497,[4]PRIORIZADOS!$A:$F,6,FALSE)),"")</f>
        <v>ACADEMIA_DANZA_DESARROLLO_Y_ARTE_CON_PROPOSITO_DE_EVOLUCION_Y_MAESTRIA_ADDA_PREM</v>
      </c>
      <c r="G497" s="11" t="str">
        <f>IFERROR(IF(VLOOKUP(A497,[4]PRIORIZADOS!$A:$G,7,FALSE)="","",VLOOKUP(A497,[4]PRIORIZADOS!$A:$G,7,FALSE)),"")</f>
        <v>ACADEMIA DANZA DESARROLLO Y ARTE CON PROPOSITO DE EVOLUCION Y MAESTRIA ADDA PREM</v>
      </c>
      <c r="H497" s="11" t="str">
        <f>IFERROR(IF(VLOOKUP(A497,[4]PRIORIZADOS!$A:$H,8,FALSE)="","",VLOOKUP(A497,[4]PRIORIZADOS!$A:$H,8,FALSE)),"")</f>
        <v>IETDH priorizadas por cada ELIV (seguimiento a PMI, que no se hayan visitado en los últimos 3 años)</v>
      </c>
      <c r="I497" s="11" t="str">
        <f>IFERROR(IF(VLOOKUP(A497,[4]PRIORIZADOS!$A:$I,9,FALSE)="","",VLOOKUP(A497,[4]PRIORIZADOS!$A:$I,9,FALSE)),"")</f>
        <v>SEGUIMIENTO_Y_SUPERVISIÓN.</v>
      </c>
      <c r="J497" s="11" t="str">
        <f>IFERROR(IF(VLOOKUP(A497,[4]PRIORIZADOS!$A:$J,10,FALSE)="","",VLOOKUP(A497,[4]PRIORIZADOS!$A:$J,10,FALSE)),"")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497" s="11" t="str">
        <f>IFERROR(IF(VLOOKUP(A497,[4]PRIORIZADOS!$A:$K,11,FALSE)="","",VLOOKUP(A497,[4]PRIORIZADOS!$A:$K,11,FALSE)),"")</f>
        <v>CONNIE QUIÑONES CÁRDENAS</v>
      </c>
      <c r="L497" s="11" t="str">
        <f>IFERROR(IF(VLOOKUP(A497,[4]PRIORIZADOS!$A:$L,12,FALSE)="","",VLOOKUP(A497,[4]PRIORIZADOS!$A:$L,12,FALSE)),"")</f>
        <v>JUAN MANUEL AGUIRRE BOHÓRQUEZ</v>
      </c>
      <c r="M497" s="71">
        <f>IFERROR(IF(VLOOKUP(A497,[4]PRIORIZADOS!$A:$M,13,FALSE)="","",VLOOKUP(A497,[4]PRIORIZADOS!$A:$M,13,FALSE)),"")</f>
        <v>45884</v>
      </c>
      <c r="N497" s="71">
        <f>IFERROR(IF(VLOOKUP(A497,[4]PRIORIZADOS!$A:$N,14,FALSE)="","",VLOOKUP(A497,[4]PRIORIZADOS!$A:$N,14,FALSE)),"")</f>
        <v>45890</v>
      </c>
      <c r="O497" s="71">
        <f>IFERROR(IF(VLOOKUP(A497,[4]PRIORIZADOS!$A:$O,15,FALSE)="","",VLOOKUP(A497,[4]PRIORIZADOS!$A:$O,15,FALSE)),"")</f>
        <v>45890</v>
      </c>
      <c r="P497" s="11" t="str">
        <f>IFERROR(IF(VLOOKUP(A497,[4]PRIORIZADOS!$A:$P,16,FALSE)="","",VLOOKUP(A497,[4]PRIORIZADOS!$A:$P,16,FALSE)),"")</f>
        <v>Visitas de evaluación con fines de mejoramiento</v>
      </c>
      <c r="Q497" s="5" t="s">
        <v>113</v>
      </c>
      <c r="R497" s="11" t="str">
        <f>IFERROR(IF(VLOOKUP(A497,[4]PRIORIZADOS!$A:$R,18,FALSE)="","",VLOOKUP(A497,[4]PRIORIZADOS!$A:$R,18,FALSE)),"")</f>
        <v>Se encuentra que los estudiantes matriculados y certificados corresponden a los reportados en el sistema  SIET.       En costos se encuentra que los programas se renovaron en el año 2023 y la tarifa no ha sido incrementada y por el contrario concede descuentos a los estudiantes. Se observa que la institución actualizó el  SIET días previos a la visita y en cuanto al reporte de las tarifas, no realiza el reporte anual a la Secretaría de Educación incumpliendo esta obligación.    Respecto al contrato de matricula, cuenta con un documento que contiene el mínimo de requisitos debidamente firmados ordenados y con clausulas claras sobre el programa al que se matricula, costos y forma de pago</v>
      </c>
      <c r="S497" s="11" t="str">
        <f>IFERROR(IF(VLOOKUP(A497,[4]PRIORIZADOS!$A:$S,19,FALSE)="","",VLOOKUP(A497,[4]PRIORIZADOS!$A:$S,19,FALSE)),"")</f>
        <v>Se generan compromisos relacionados con la actualización del SIET cada semestre. Realizar el reporte de costos anualmente a la Dirección Local de Chapinero, actualizar el SURE respecto al PEGR y cambio climático.  Frente al contrato de matrícula dejar evidencia de socialización del manual de convivencia y realizar la consulta de inhabilidades por delitos sexuales por lo menos 3 veces al año y presentará los ajustes antes de finalizar el mes de agosto 2025</v>
      </c>
      <c r="T497" s="70" t="str">
        <f>IFERROR(IF(VLOOKUP(A497,[4]PRIORIZADOS!$A:$T,20,FALSE)="","",VLOOKUP(A497,[4]PRIORIZADOS!$A:$T,20,FALSE)),"")</f>
        <v>No</v>
      </c>
      <c r="U497" s="11" t="str">
        <f>IFERROR(IF(VLOOKUP(A497,[4]PRIORIZADOS!$A:$U,21,FALSE)="","",VLOOKUP(A497,[4]PRIORIZADOS!$A:$U,21,FALSE)),"")</f>
        <v xml:space="preserve">Se hizo seguimiento al plan de mejoramiento de la institución presentado el día 12 de septiembre al cual se le hicieron observaciones el día 26 de septiembre mediante oficio, de lo cual se hará seguimiento el 15 de noviembre para que subsane. Así mismo respecto a la verificación de los costos presentados el 12 de septiembre, se le informo que se encuentran ajustados con oficio del 22 de septiembre de acuerdo a lo establecido en el decreto 1075 de 2015  </v>
      </c>
    </row>
    <row r="498" spans="1:21" s="1" customFormat="1" ht="166.5">
      <c r="A498" s="69">
        <f>IF([4]PRIORIZADOS!A115="","",[4]PRIORIZADOS!A115)</f>
        <v>506</v>
      </c>
      <c r="B498" s="70">
        <v>20</v>
      </c>
      <c r="C498" s="11" t="str">
        <f>IFERROR(IF(VLOOKUP(A498,[4]PRIORIZADOS!$A:$C,3,FALSE)="","",VLOOKUP(A498,[4]PRIORIZADOS!$A:$C,3,FALSE)),"")</f>
        <v>CHAPINERO</v>
      </c>
      <c r="D498" s="11" t="str">
        <f>IFERROR(IF(VLOOKUP(A498,[4]PRIORIZADOS!$A:$D,4,FALSE)="","",VLOOKUP(A498,[4]PRIORIZADOS!$A:$D,4,FALSE)),"")</f>
        <v>PRIVADO_IETDH</v>
      </c>
      <c r="E498" s="11" t="str">
        <f>IFERROR(IF(VLOOKUP(A498,[4]PRIORIZADOS!$A:$E,5,FALSE)="","",VLOOKUP(A498,[4]PRIORIZADOS!$A:$E,5,FALSE)),"")</f>
        <v>IETDH</v>
      </c>
      <c r="F498" s="11" t="str">
        <f>IFERROR(IF(VLOOKUP(A498,[4]PRIORIZADOS!$A:$F,6,FALSE)="","",VLOOKUP(A498,[4]PRIORIZADOS!$A:$F,6,FALSE)),"")</f>
        <v>ACADEMIA_DANZA_DESARROLLO_Y_ARTE_CON_PROPOSITO_DE_EVOLUCION_Y_MAESTRIA_ADDA_PREM</v>
      </c>
      <c r="G498" s="11" t="str">
        <f>IFERROR(IF(VLOOKUP(A498,[4]PRIORIZADOS!$A:$G,7,FALSE)="","",VLOOKUP(A498,[4]PRIORIZADOS!$A:$G,7,FALSE)),"")</f>
        <v>ACADEMIA DANZA DESARROLLO Y ARTE CON PROPOSITO DE EVOLUCION Y MAESTRIA ADDA PREM</v>
      </c>
      <c r="H498" s="11" t="str">
        <f>IFERROR(IF(VLOOKUP(A498,[4]PRIORIZADOS!$A:$H,8,FALSE)="","",VLOOKUP(A498,[4]PRIORIZADOS!$A:$H,8,FALSE)),"")</f>
        <v>IETDH priorizadas por cada ELIV (seguimiento a PMI, que no se hayan visitado en los últimos 3 años)</v>
      </c>
      <c r="I498" s="11" t="str">
        <f>IFERROR(IF(VLOOKUP(A498,[4]PRIORIZADOS!$A:$I,9,FALSE)="","",VLOOKUP(A498,[4]PRIORIZADOS!$A:$I,9,FALSE)),"")</f>
        <v>SEGUIMIENTO_Y_SUPERVISIÓN.</v>
      </c>
      <c r="J498" s="11" t="str">
        <f>IFERROR(IF(VLOOKUP(A498,[4]PRIORIZADOS!$A:$J,10,FALSE)="","",VLOOKUP(A498,[4]PRIORIZADOS!$A:$J,10,FALSE)),"")</f>
        <v>Adelantar visitas para verificar que el desarrollo de los programas de ETDH, esté de acuerdo con lo autorizado y la normatividad vigente, para propender por su pertinencia, legalidad y actualización constante.</v>
      </c>
      <c r="K498" s="11" t="str">
        <f>IFERROR(IF(VLOOKUP(A498,[4]PRIORIZADOS!$A:$K,11,FALSE)="","",VLOOKUP(A498,[4]PRIORIZADOS!$A:$K,11,FALSE)),"")</f>
        <v>CONNIE QUIÑONES CÁRDENAS</v>
      </c>
      <c r="L498" s="11" t="str">
        <f>IFERROR(IF(VLOOKUP(A498,[4]PRIORIZADOS!$A:$L,12,FALSE)="","",VLOOKUP(A498,[4]PRIORIZADOS!$A:$L,12,FALSE)),"")</f>
        <v>JUAN MANUEL AGUIRRE BOHÓRQUEZ</v>
      </c>
      <c r="M498" s="71">
        <f>IFERROR(IF(VLOOKUP(A498,[4]PRIORIZADOS!$A:$M,13,FALSE)="","",VLOOKUP(A498,[4]PRIORIZADOS!$A:$M,13,FALSE)),"")</f>
        <v>45884</v>
      </c>
      <c r="N498" s="71">
        <f>IFERROR(IF(VLOOKUP(A498,[4]PRIORIZADOS!$A:$N,14,FALSE)="","",VLOOKUP(A498,[4]PRIORIZADOS!$A:$N,14,FALSE)),"")</f>
        <v>45890</v>
      </c>
      <c r="O498" s="71">
        <f>IFERROR(IF(VLOOKUP(A498,[4]PRIORIZADOS!$A:$O,15,FALSE)="","",VLOOKUP(A498,[4]PRIORIZADOS!$A:$O,15,FALSE)),"")</f>
        <v>45890</v>
      </c>
      <c r="P498" s="11" t="str">
        <f>IFERROR(IF(VLOOKUP(A498,[4]PRIORIZADOS!$A:$P,16,FALSE)="","",VLOOKUP(A498,[4]PRIORIZADOS!$A:$P,16,FALSE)),"")</f>
        <v>Visitas de evaluación con fines de mejoramiento</v>
      </c>
      <c r="Q498" s="5" t="s">
        <v>113</v>
      </c>
      <c r="R498" s="11" t="str">
        <f>IFERROR(IF(VLOOKUP(A498,[4]PRIORIZADOS!$A:$R,18,FALSE)="","",VLOOKUP(A498,[4]PRIORIZADOS!$A:$R,18,FALSE)),"")</f>
        <v xml:space="preserve">Cuenta con licencia de funcionamiento y registro de programas renovados en el 2023, se orienta para mejorar el certificado de conocimientos académicos que expide por encontrar errores en el número de horas certificadas, cumple con las horas autorizadas y se ajusta al plan de estudio, cuenta 8 docentes con experiencia e idoneidad, cuentan con contratos laborales y de prestación de servicios, pendiente completar las carpetas de los docentes sobre todos en lo relacionado con las consultas de inhabilidades y soporte  de afiliación al  SGSS </v>
      </c>
      <c r="S498" s="11" t="str">
        <f>IFERROR(IF(VLOOKUP(A498,[4]PRIORIZADOS!$A:$S,19,FALSE)="","",VLOOKUP(A498,[4]PRIORIZADOS!$A:$S,19,FALSE)),"")</f>
        <v>Se compromete a diseñar un Certificado de Conocimientos académicos que cuente con la información requerida de acuerdo a los actos administrativos expedidos.    Se compromete a hacer la consulta de inhabilidades mínimo dos (2) veces al año</v>
      </c>
      <c r="T498" s="70" t="str">
        <f>IFERROR(IF(VLOOKUP(A498,[4]PRIORIZADOS!$A:$T,20,FALSE)="","",VLOOKUP(A498,[4]PRIORIZADOS!$A:$T,20,FALSE)),"")</f>
        <v>No</v>
      </c>
      <c r="U498" s="11" t="str">
        <f>IFERROR(IF(VLOOKUP(A498,[4]PRIORIZADOS!$A:$U,21,FALSE)="","",VLOOKUP(A498,[4]PRIORIZADOS!$A:$U,21,FALSE)),"")</f>
        <v>Se verificó la propuesta de certificado de Conocimientos académicos y se e dio aprobación. Y se hará seguimiento a la obligación de mantener actualizado el archivo o carpeta de docentes al momento de la renovación de los  programas.</v>
      </c>
    </row>
    <row r="499" spans="1:21" s="1" customFormat="1" ht="60">
      <c r="A499" s="69">
        <f>IF([4]PRIORIZADOS!A116="","",[4]PRIORIZADOS!A116)</f>
        <v>507</v>
      </c>
      <c r="B499" s="70">
        <v>20</v>
      </c>
      <c r="C499" s="11" t="str">
        <f>IFERROR(IF(VLOOKUP(A499,[4]PRIORIZADOS!$A:$C,3,FALSE)="","",VLOOKUP(A499,[4]PRIORIZADOS!$A:$C,3,FALSE)),"")</f>
        <v>CHAPINERO</v>
      </c>
      <c r="D499" s="11" t="str">
        <f>IFERROR(IF(VLOOKUP(A499,[4]PRIORIZADOS!$A:$D,4,FALSE)="","",VLOOKUP(A499,[4]PRIORIZADOS!$A:$D,4,FALSE)),"")</f>
        <v>PRIVADO_IETDH</v>
      </c>
      <c r="E499" s="11" t="str">
        <f>IFERROR(IF(VLOOKUP(A499,[4]PRIORIZADOS!$A:$E,5,FALSE)="","",VLOOKUP(A499,[4]PRIORIZADOS!$A:$E,5,FALSE)),"")</f>
        <v>IETDH</v>
      </c>
      <c r="F499" s="11" t="str">
        <f>IFERROR(IF(VLOOKUP(A499,[4]PRIORIZADOS!$A:$F,6,FALSE)="","",VLOOKUP(A499,[4]PRIORIZADOS!$A:$F,6,FALSE)),"")</f>
        <v>ACADEMIA_DANZA_DESARROLLO_Y_ARTE_CON_PROPOSITO_DE_EVOLUCION_Y_MAESTRIA_ADDA_PREM</v>
      </c>
      <c r="G499" s="11" t="str">
        <f>IFERROR(IF(VLOOKUP(A499,[4]PRIORIZADOS!$A:$G,7,FALSE)="","",VLOOKUP(A499,[4]PRIORIZADOS!$A:$G,7,FALSE)),"")</f>
        <v>ACADEMIA DANZA DESARROLLO Y ARTE CON PROPOSITO DE EVOLUCION Y MAESTRIA ADDA PREM</v>
      </c>
      <c r="H499" s="11" t="str">
        <f>IFERROR(IF(VLOOKUP(A499,[4]PRIORIZADOS!$A:$H,8,FALSE)="","",VLOOKUP(A499,[4]PRIORIZADOS!$A:$H,8,FALSE)),"")</f>
        <v>IETDH priorizadas por cada ELIV (seguimiento a PMI, que no se hayan visitado en los últimos 3 años)</v>
      </c>
      <c r="I499" s="11" t="str">
        <f>IFERROR(IF(VLOOKUP(A499,[4]PRIORIZADOS!$A:$I,9,FALSE)="","",VLOOKUP(A499,[4]PRIORIZADOS!$A:$I,9,FALSE)),"")</f>
        <v>EVALUACIÓN_CON_FINES_DE_MEJORAMIENTO.</v>
      </c>
      <c r="J499" s="11" t="str">
        <f>IFERROR(IF(VLOOKUP(A499,[4]PRIORIZADOS!$A:$J,10,FALSE)="","",VLOOKUP(A499,[4]PRIORIZADOS!$A:$J,10,FALSE)),"")</f>
        <v>Verificar las condiciones en cuanto a: la estructura administrativa, condiciones de la planta física y medios educativos adecuados.</v>
      </c>
      <c r="K499" s="11" t="str">
        <f>IFERROR(IF(VLOOKUP(A499,[4]PRIORIZADOS!$A:$K,11,FALSE)="","",VLOOKUP(A499,[4]PRIORIZADOS!$A:$K,11,FALSE)),"")</f>
        <v>CONNIE QUIÑONES CÁRDENAS</v>
      </c>
      <c r="L499" s="11" t="str">
        <f>IFERROR(IF(VLOOKUP(A499,[4]PRIORIZADOS!$A:$L,12,FALSE)="","",VLOOKUP(A499,[4]PRIORIZADOS!$A:$L,12,FALSE)),"")</f>
        <v>JUAN MANUEL AGUIRRE BOHÓRQUEZ</v>
      </c>
      <c r="M499" s="71">
        <f>IFERROR(IF(VLOOKUP(A499,[4]PRIORIZADOS!$A:$M,13,FALSE)="","",VLOOKUP(A499,[4]PRIORIZADOS!$A:$M,13,FALSE)),"")</f>
        <v>45884</v>
      </c>
      <c r="N499" s="71">
        <f>IFERROR(IF(VLOOKUP(A499,[4]PRIORIZADOS!$A:$N,14,FALSE)="","",VLOOKUP(A499,[4]PRIORIZADOS!$A:$N,14,FALSE)),"")</f>
        <v>45890</v>
      </c>
      <c r="O499" s="71">
        <f>IFERROR(IF(VLOOKUP(A499,[4]PRIORIZADOS!$A:$O,15,FALSE)="","",VLOOKUP(A499,[4]PRIORIZADOS!$A:$O,15,FALSE)),"")</f>
        <v>45890</v>
      </c>
      <c r="P499" s="11" t="str">
        <f>IFERROR(IF(VLOOKUP(A499,[4]PRIORIZADOS!$A:$P,16,FALSE)="","",VLOOKUP(A499,[4]PRIORIZADOS!$A:$P,16,FALSE)),"")</f>
        <v>Visitas de evaluación con fines de mejoramiento</v>
      </c>
      <c r="Q499" s="5" t="s">
        <v>113</v>
      </c>
      <c r="R499" s="11" t="str">
        <f>IFERROR(IF(VLOOKUP(A499,[4]PRIORIZADOS!$A:$R,18,FALSE)="","",VLOOKUP(A499,[4]PRIORIZADOS!$A:$R,18,FALSE)),"")</f>
        <v>Se encuentra una planta física adecuada, baños para mujeres hombre y administrativos, espacios iluminados adecuados con capacidad y áreas especiales para danza</v>
      </c>
      <c r="S499" s="11" t="str">
        <f>IFERROR(IF(VLOOKUP(A499,[4]PRIORIZADOS!$A:$S,19,FALSE)="","",VLOOKUP(A499,[4]PRIORIZADOS!$A:$S,19,FALSE)),"")</f>
        <v>Mantener las condiciones en buen estado para la prestación del servicio educativo</v>
      </c>
      <c r="T499" s="70" t="str">
        <f>IFERROR(IF(VLOOKUP(A499,[4]PRIORIZADOS!$A:$T,20,FALSE)="","",VLOOKUP(A499,[4]PRIORIZADOS!$A:$T,20,FALSE)),"")</f>
        <v>No</v>
      </c>
      <c r="U499" s="11" t="str">
        <f>IFERROR(IF(VLOOKUP(A499,[4]PRIORIZADOS!$A:$U,21,FALSE)="","",VLOOKUP(A499,[4]PRIORIZADOS!$A:$U,21,FALSE)),"")</f>
        <v>Se hará la verificación de las condiciones de la panta física cuando se requiera</v>
      </c>
    </row>
    <row r="500" spans="1:21" s="1" customFormat="1" ht="48">
      <c r="A500" s="69">
        <f>IF([5]PRIORIZADOS!A8="","",[5]PRIORIZADOS!A8)</f>
        <v>508</v>
      </c>
      <c r="B500" s="70">
        <f>IFERROR(IF(VLOOKUP(A500,[5]PRIORIZADOS!$A:$B,2,FALSE)="","",VLOOKUP(A500,[5]PRIORIZADOS!$A:$B,2,FALSE)),"")</f>
        <v>1</v>
      </c>
      <c r="C500" s="11" t="str">
        <f>IFERROR(IF(VLOOKUP(A500,[5]PRIORIZADOS!$A:$C,3,FALSE)="","",VLOOKUP(A500,[5]PRIORIZADOS!$A:$C,3,FALSE)),"")</f>
        <v>CIUDAD BOLÍVAR</v>
      </c>
      <c r="D500" s="11" t="str">
        <f>IFERROR(IF(VLOOKUP(A500,[5]PRIORIZADOS!$A:$D,4,FALSE)="","",VLOOKUP(A500,[5]PRIORIZADOS!$A:$D,4,FALSE)),"")</f>
        <v>PRIVADO</v>
      </c>
      <c r="E500" s="11" t="str">
        <f>IFERROR(IF(VLOOKUP(A500,[5]PRIORIZADOS!$A:$E,5,FALSE)="","",VLOOKUP(A500,[5]PRIORIZADOS!$A:$E,5,FALSE)),"")</f>
        <v>EPBM</v>
      </c>
      <c r="F500" s="11" t="str">
        <f>IFERROR(IF(VLOOKUP(A500,[5]PRIORIZADOS!$A:$F,6,FALSE)="","",VLOOKUP(A500,[5]PRIORIZADOS!$A:$F,6,FALSE)),"")</f>
        <v>COLEGIO_COOPERATIVO_MONSEÑOR_ISMAEL_PERDOMO</v>
      </c>
      <c r="G500" s="11" t="str">
        <f>IFERROR(IF(VLOOKUP(A500,[5]PRIORIZADOS!$A:$G,7,FALSE)="","",VLOOKUP(A500,[5]PRIORIZADOS!$A:$G,7,FALSE)),"")</f>
        <v>COLEGIO COOPERATIVO MONSEÑOR ISMAEL PERDOMO</v>
      </c>
      <c r="H500" s="11" t="str">
        <f>IFERROR(IF(VLOOKUP(A500,[5]PRIORIZADOS!$A:$H,8,FALSE)="","",VLOOKUP(A500,[5]PRIORIZADOS!$A:$H,8,FALSE)),"")</f>
        <v>Autoevaluación Institucional y Pruebas SABER 11</v>
      </c>
      <c r="I500" s="11" t="str">
        <f>IFERROR(IF(VLOOKUP(A500,[5]PRIORIZADOS!$A:$I,9,FALSE)="","",VLOOKUP(A500,[5]PRIORIZADOS!$A:$I,9,FALSE)),"")</f>
        <v>SEGUIMIENTO_Y_SUPERVISIÓN.</v>
      </c>
      <c r="J500" s="11" t="str">
        <f>IFERROR(IF(VLOOKUP(A500,[5]PRIORIZADOS!$A:$J,10,FALSE)="","",VLOOKUP(A500,[5]PRIORIZADOS!$A:$J,10,FALSE)),"")</f>
        <v>Realizar visitas para verificar la información registrada sobre la autoevaluación institucional en el aplicativo EVI, a los establecimientos de educación formal no oficial.</v>
      </c>
      <c r="K500" s="11" t="str">
        <f>IFERROR(IF(VLOOKUP(A500,[5]PRIORIZADOS!$A:$K,11,FALSE)="","",VLOOKUP(A500,[5]PRIORIZADOS!$A:$K,11,FALSE)),"")</f>
        <v xml:space="preserve">CLAUDIA DOMÍNGUEZ TORRES </v>
      </c>
      <c r="L500" s="11" t="str">
        <f>IFERROR(IF(VLOOKUP(A500,[5]PRIORIZADOS!$A:$L,12,FALSE)="","",VLOOKUP(A500,[5]PRIORIZADOS!$A:$L,12,FALSE)),"")</f>
        <v>ÓSCAR JAVIER CÁRDENAS MUÑOZ</v>
      </c>
      <c r="M500" s="71">
        <f>IFERROR(IF(VLOOKUP(A500,[5]PRIORIZADOS!$A:$M,13,FALSE)="","",VLOOKUP(A500,[5]PRIORIZADOS!$A:$M,13,FALSE)),"")</f>
        <v>45744</v>
      </c>
      <c r="N500" s="71">
        <f>IFERROR(IF(VLOOKUP(A500,[5]PRIORIZADOS!$A:$N,14,FALSE)="","",VLOOKUP(A500,[5]PRIORIZADOS!$A:$N,14,FALSE)),"")</f>
        <v>45785</v>
      </c>
      <c r="O500" s="71">
        <f>IFERROR(IF(VLOOKUP(A500,[5]PRIORIZADOS!$A:$O,15,FALSE)="","",VLOOKUP(A500,[5]PRIORIZADOS!$A:$O,15,FALSE)),"")</f>
        <v>45785</v>
      </c>
      <c r="P500" s="11" t="str">
        <f>IFERROR(IF(VLOOKUP(A500,[5]PRIORIZADOS!$A:$P,16,FALSE)="","",VLOOKUP(A500,[5]PRIORIZADOS!$A:$P,16,FALSE)),"")</f>
        <v>Visitas de evaluación con fines de seguimiento</v>
      </c>
      <c r="Q500" s="5" t="s">
        <v>113</v>
      </c>
      <c r="R500" s="11" t="str">
        <f>IFERROR(IF(VLOOKUP(A500,[5]PRIORIZADOS!$A:$R,18,FALSE)="","",VLOOKUP(A500,[5]PRIORIZADOS!$A:$R,18,FALSE)),"")</f>
        <v xml:space="preserve">Se encuentra conformidad con lo reportado en EVI. En la implementación del calendario no se da cumplimiento a la intensidad horaria para bachillerato </v>
      </c>
      <c r="S500" s="11" t="str">
        <f>IFERROR(IF(VLOOKUP(A500,[5]PRIORIZADOS!$A:$S,19,FALSE)="","",VLOOKUP(A500,[5]PRIORIZADOS!$A:$S,19,FALSE)),"")</f>
        <v>Aumentar las horas académicas para bachillerato para dar cumplimiento a la intensidad horaria conforme el decreto 1075 de 2015.</v>
      </c>
      <c r="T500" s="70" t="str">
        <f>IFERROR(IF(VLOOKUP(A500,[5]PRIORIZADOS!$A:$T,20,FALSE)="","",VLOOKUP(A500,[5]PRIORIZADOS!$A:$T,20,FALSE)),"")</f>
        <v>Si</v>
      </c>
      <c r="U500" s="11" t="str">
        <f>IFERROR(IF(VLOOKUP(A500,[5]PRIORIZADOS!$A:$U,21,FALSE)="","",VLOOKUP(A500,[5]PRIORIZADOS!$A:$U,21,FALSE)),"")</f>
        <v>Se realizará seguimiento una vez se reciba el plan de mejoramiento 05.06.2025. Revisión documental septiembre para verificar la implementación de las acciones del plan de mejoramiento</v>
      </c>
    </row>
    <row r="501" spans="1:21" s="1" customFormat="1" ht="118.5">
      <c r="A501" s="69">
        <f>IF([5]PRIORIZADOS!A9="","",[5]PRIORIZADOS!A9)</f>
        <v>509</v>
      </c>
      <c r="B501" s="70">
        <f>IFERROR(IF(VLOOKUP(A501,[5]PRIORIZADOS!$A:$B,2,FALSE)="","",VLOOKUP(A501,[5]PRIORIZADOS!$A:$B,2,FALSE)),"")</f>
        <v>1</v>
      </c>
      <c r="C501" s="11" t="str">
        <f>IFERROR(IF(VLOOKUP(A501,[5]PRIORIZADOS!$A:$C,3,FALSE)="","",VLOOKUP(A501,[5]PRIORIZADOS!$A:$C,3,FALSE)),"")</f>
        <v>CIUDAD BOLÍVAR</v>
      </c>
      <c r="D501" s="11" t="str">
        <f>IFERROR(IF(VLOOKUP(A501,[5]PRIORIZADOS!$A:$D,4,FALSE)="","",VLOOKUP(A501,[5]PRIORIZADOS!$A:$D,4,FALSE)),"")</f>
        <v>PRIVADO</v>
      </c>
      <c r="E501" s="11" t="str">
        <f>IFERROR(IF(VLOOKUP(A501,[5]PRIORIZADOS!$A:$E,5,FALSE)="","",VLOOKUP(A501,[5]PRIORIZADOS!$A:$E,5,FALSE)),"")</f>
        <v>EPBM</v>
      </c>
      <c r="F501" s="11" t="str">
        <f>IFERROR(IF(VLOOKUP(A501,[5]PRIORIZADOS!$A:$F,6,FALSE)="","",VLOOKUP(A501,[5]PRIORIZADOS!$A:$F,6,FALSE)),"")</f>
        <v>COLEGIO_COOPERATIVO_MONSEÑOR_ISMAEL_PERDOMO</v>
      </c>
      <c r="G501" s="11" t="str">
        <f>IFERROR(IF(VLOOKUP(A501,[5]PRIORIZADOS!$A:$G,7,FALSE)="","",VLOOKUP(A501,[5]PRIORIZADOS!$A:$G,7,FALSE)),"")</f>
        <v>COLEGIO COOPERATIVO MONSEÑOR ISMAEL PERDOMO</v>
      </c>
      <c r="H501" s="11" t="str">
        <f>IFERROR(IF(VLOOKUP(A501,[5]PRIORIZADOS!$A:$H,8,FALSE)="","",VLOOKUP(A501,[5]PRIORIZADOS!$A:$H,8,FALSE)),"")</f>
        <v>Autoevaluación Institucional y Pruebas SABER 11</v>
      </c>
      <c r="I501" s="11" t="str">
        <f>IFERROR(IF(VLOOKUP(A501,[5]PRIORIZADOS!$A:$I,9,FALSE)="","",VLOOKUP(A501,[5]PRIORIZADOS!$A:$I,9,FALSE)),"")</f>
        <v>SEGUIMIENTO_Y_SUPERVISIÓN.</v>
      </c>
      <c r="J501" s="11" t="str">
        <f>IFERROR(IF(VLOOKUP(A501,[5]PRIORIZADOS!$A:$J,10,FALSE)="","",VLOOKUP(A501,[5]PRIORIZADOS!$A:$J,10,FALSE)),"")</f>
        <v>Proponer estrategias en la formulación, verificar su elaboración y realizar seguimiento semestral al desarrollo de  las acciones establecidas en los planes de mejoramiento por pruebas SABER 11 de los establecimientos de educación formal.</v>
      </c>
      <c r="K501" s="11" t="str">
        <f>IFERROR(IF(VLOOKUP(A501,[5]PRIORIZADOS!$A:$K,11,FALSE)="","",VLOOKUP(A501,[5]PRIORIZADOS!$A:$K,11,FALSE)),"")</f>
        <v xml:space="preserve">CLAUDIA DOMÍNGUEZ TORRES </v>
      </c>
      <c r="L501" s="11" t="str">
        <f>IFERROR(IF(VLOOKUP(A501,[5]PRIORIZADOS!$A:$L,12,FALSE)="","",VLOOKUP(A501,[5]PRIORIZADOS!$A:$L,12,FALSE)),"")</f>
        <v>ÓSCAR JAVIER CÁRDENAS MUÑOZ</v>
      </c>
      <c r="M501" s="71">
        <f>IFERROR(IF(VLOOKUP(A501,[5]PRIORIZADOS!$A:$M,13,FALSE)="","",VLOOKUP(A501,[5]PRIORIZADOS!$A:$M,13,FALSE)),"")</f>
        <v>45744</v>
      </c>
      <c r="N501" s="71">
        <f>IFERROR(IF(VLOOKUP(A501,[5]PRIORIZADOS!$A:$N,14,FALSE)="","",VLOOKUP(A501,[5]PRIORIZADOS!$A:$N,14,FALSE)),"")</f>
        <v>45785</v>
      </c>
      <c r="O501" s="71">
        <f>IFERROR(IF(VLOOKUP(A501,[5]PRIORIZADOS!$A:$O,15,FALSE)="","",VLOOKUP(A501,[5]PRIORIZADOS!$A:$O,15,FALSE)),"")</f>
        <v>45785</v>
      </c>
      <c r="P501" s="11" t="str">
        <f>IFERROR(IF(VLOOKUP(A501,[5]PRIORIZADOS!$A:$P,16,FALSE)="","",VLOOKUP(A501,[5]PRIORIZADOS!$A:$P,16,FALSE)),"")</f>
        <v>Visitas de evaluación con fines de mejoramiento</v>
      </c>
      <c r="Q501" s="107" t="s">
        <v>114</v>
      </c>
      <c r="R501" s="11" t="str">
        <f>IFERROR(IF(VLOOKUP(A501,[5]PRIORIZADOS!$A:$R,18,FALSE)="","",VLOOKUP(A501,[5]PRIORIZADOS!$A:$R,18,FALSE)),"")</f>
        <v>Se encontró  que la IE ha analizado sus resultados e implementado acciones tendientes a la mejora, a través de pruebas estandarizadas con ente externo, manejo de material didáctico para formación en pruebas tipo saber y preicfes para grado 11°. Se encuentra realizando actualización del diseñor curricular para valoración de aprendizajes bajo metodología de pruebas Saber 11</v>
      </c>
      <c r="S501" s="11" t="str">
        <f>IFERROR(IF(VLOOKUP(A501,[5]PRIORIZADOS!$A:$S,19,FALSE)="","",VLOOKUP(A501,[5]PRIORIZADOS!$A:$S,19,FALSE)),"")</f>
        <v>Implementar la actualización del diseño curricular con miras a fortalecer las competencias minimas en cada grado.</v>
      </c>
      <c r="T501" s="70" t="str">
        <f>IFERROR(IF(VLOOKUP(A501,[5]PRIORIZADOS!$A:$T,20,FALSE)="","",VLOOKUP(A501,[5]PRIORIZADOS!$A:$T,20,FALSE)),"")</f>
        <v>Si</v>
      </c>
      <c r="U501" s="11" t="str">
        <f>IFERROR(IF(VLOOKUP(A501,[5]PRIORIZADOS!$A:$U,21,FALSE)="","",VLOOKUP(A501,[5]PRIORIZADOS!$A:$U,21,FALSE)),"")</f>
        <v>Se realizará seguimiento una vez se reciba el plan de mejoramiento 05.06.2025. Revisión documental septiembre para verificar la implementación de las acciones del plan de mejoramiento</v>
      </c>
    </row>
    <row r="502" spans="1:21" s="1" customFormat="1" ht="84">
      <c r="A502" s="69">
        <f>IF([5]PRIORIZADOS!A10="","",[5]PRIORIZADOS!A10)</f>
        <v>510</v>
      </c>
      <c r="B502" s="70">
        <f>IFERROR(IF(VLOOKUP(A502,[5]PRIORIZADOS!$A:$B,2,FALSE)="","",VLOOKUP(A502,[5]PRIORIZADOS!$A:$B,2,FALSE)),"")</f>
        <v>1</v>
      </c>
      <c r="C502" s="11" t="str">
        <f>IFERROR(IF(VLOOKUP(A502,[5]PRIORIZADOS!$A:$C,3,FALSE)="","",VLOOKUP(A502,[5]PRIORIZADOS!$A:$C,3,FALSE)),"")</f>
        <v>CIUDAD BOLÍVAR</v>
      </c>
      <c r="D502" s="11" t="str">
        <f>IFERROR(IF(VLOOKUP(A502,[5]PRIORIZADOS!$A:$D,4,FALSE)="","",VLOOKUP(A502,[5]PRIORIZADOS!$A:$D,4,FALSE)),"")</f>
        <v>PRIVADO</v>
      </c>
      <c r="E502" s="11" t="str">
        <f>IFERROR(IF(VLOOKUP(A502,[5]PRIORIZADOS!$A:$E,5,FALSE)="","",VLOOKUP(A502,[5]PRIORIZADOS!$A:$E,5,FALSE)),"")</f>
        <v>EPBM</v>
      </c>
      <c r="F502" s="11" t="str">
        <f>IFERROR(IF(VLOOKUP(A502,[5]PRIORIZADOS!$A:$F,6,FALSE)="","",VLOOKUP(A502,[5]PRIORIZADOS!$A:$F,6,FALSE)),"")</f>
        <v>COLEGIO_COOPERATIVO_MONSEÑOR_ISMAEL_PERDOMO</v>
      </c>
      <c r="G502" s="11" t="str">
        <f>IFERROR(IF(VLOOKUP(A502,[5]PRIORIZADOS!$A:$G,7,FALSE)="","",VLOOKUP(A502,[5]PRIORIZADOS!$A:$G,7,FALSE)),"")</f>
        <v>COLEGIO COOPERATIVO MONSEÑOR ISMAEL PERDOMO</v>
      </c>
      <c r="H502" s="11" t="str">
        <f>IFERROR(IF(VLOOKUP(A502,[5]PRIORIZADOS!$A:$H,8,FALSE)="","",VLOOKUP(A502,[5]PRIORIZADOS!$A:$H,8,FALSE)),"")</f>
        <v>Autoevaluación Institucional y Pruebas SABER 11</v>
      </c>
      <c r="I502" s="11" t="str">
        <f>IFERROR(IF(VLOOKUP(A502,[5]PRIORIZADOS!$A:$I,9,FALSE)="","",VLOOKUP(A502,[5]PRIORIZADOS!$A:$I,9,FALSE)),"")</f>
        <v>SEGUIMIENTO_Y_SUPERVISIÓN.</v>
      </c>
      <c r="J502" s="11" t="str">
        <f>IFERROR(IF(VLOOKUP(A502,[5]PRIORIZADOS!$A:$J,10,FALSE)="","",VLOOKUP(A502,[5]PRIORIZADOS!$A:$J,10,FALSE)),"")</f>
        <v xml:space="preserve">Verificar la implementación por parte de los colegios, de acciones realizadas para la prevención y atención de las situaciones de convivencia en el entorno escolar, según lo establecido en la Directiva 01 de 2022 del MEN. </v>
      </c>
      <c r="K502" s="11" t="str">
        <f>IFERROR(IF(VLOOKUP(A502,[5]PRIORIZADOS!$A:$K,11,FALSE)="","",VLOOKUP(A502,[5]PRIORIZADOS!$A:$K,11,FALSE)),"")</f>
        <v xml:space="preserve">CLAUDIA DOMÍNGUEZ TORRES </v>
      </c>
      <c r="L502" s="11" t="str">
        <f>IFERROR(IF(VLOOKUP(A502,[5]PRIORIZADOS!$A:$L,12,FALSE)="","",VLOOKUP(A502,[5]PRIORIZADOS!$A:$L,12,FALSE)),"")</f>
        <v>ÓSCAR JAVIER CÁRDENAS MUÑOZ</v>
      </c>
      <c r="M502" s="71">
        <f>IFERROR(IF(VLOOKUP(A502,[5]PRIORIZADOS!$A:$M,13,FALSE)="","",VLOOKUP(A502,[5]PRIORIZADOS!$A:$M,13,FALSE)),"")</f>
        <v>45744</v>
      </c>
      <c r="N502" s="71">
        <f>IFERROR(IF(VLOOKUP(A502,[5]PRIORIZADOS!$A:$N,14,FALSE)="","",VLOOKUP(A502,[5]PRIORIZADOS!$A:$N,14,FALSE)),"")</f>
        <v>45785</v>
      </c>
      <c r="O502" s="71">
        <f>IFERROR(IF(VLOOKUP(A502,[5]PRIORIZADOS!$A:$O,15,FALSE)="","",VLOOKUP(A502,[5]PRIORIZADOS!$A:$O,15,FALSE)),"")</f>
        <v>45785</v>
      </c>
      <c r="P502" s="11" t="str">
        <f>IFERROR(IF(VLOOKUP(A502,[5]PRIORIZADOS!$A:$P,16,FALSE)="","",VLOOKUP(A502,[5]PRIORIZADOS!$A:$P,16,FALSE)),"")</f>
        <v>Visitas de evaluación con fines de mejoramiento</v>
      </c>
      <c r="Q502" s="107" t="s">
        <v>114</v>
      </c>
      <c r="R502" s="11" t="str">
        <f>IFERROR(IF(VLOOKUP(A502,[5]PRIORIZADOS!$A:$R,18,FALSE)="","",VLOOKUP(A502,[5]PRIORIZADOS!$A:$R,18,FALSE)),"")</f>
        <v>El colegio implementa estretegias de prevención y promoción en la convivencia escolar, pero no se encuentran documentadas. sobre la periodicidad para realizar la consulta de antecedentes de  inhabilidades por delitos sexuales,  pues la institución la realiza semestralmente.</v>
      </c>
      <c r="S502" s="11" t="str">
        <f>IFERROR(IF(VLOOKUP(A502,[5]PRIORIZADOS!$A:$S,19,FALSE)="","",VLOOKUP(A502,[5]PRIORIZADOS!$A:$S,19,FALSE)),"")</f>
        <v>La IE debe realizar registro documental de todas las acciones emprendidas y realizar la consulta de antecedentes de  inhabilidades por delitos sexuales cada 4 meses.</v>
      </c>
      <c r="T502" s="70" t="str">
        <f>IFERROR(IF(VLOOKUP(A502,[5]PRIORIZADOS!$A:$T,20,FALSE)="","",VLOOKUP(A502,[5]PRIORIZADOS!$A:$T,20,FALSE)),"")</f>
        <v>Si</v>
      </c>
      <c r="U502" s="11" t="str">
        <f>IFERROR(IF(VLOOKUP(A502,[5]PRIORIZADOS!$A:$U,21,FALSE)="","",VLOOKUP(A502,[5]PRIORIZADOS!$A:$U,21,FALSE)),"")</f>
        <v>Se realizará seguimiento una vez se reciba el plan de mejoramiento 05.06.2025. Revisión documental septiembre para verificar la implementación de las acciones del plan de mejoramiento</v>
      </c>
    </row>
    <row r="503" spans="1:21" s="1" customFormat="1" ht="72">
      <c r="A503" s="69">
        <f>IF([5]PRIORIZADOS!A11="","",[5]PRIORIZADOS!A11)</f>
        <v>511</v>
      </c>
      <c r="B503" s="70">
        <f>IFERROR(IF(VLOOKUP(A503,[5]PRIORIZADOS!$A:$B,2,FALSE)="","",VLOOKUP(A503,[5]PRIORIZADOS!$A:$B,2,FALSE)),"")</f>
        <v>1</v>
      </c>
      <c r="C503" s="11" t="str">
        <f>IFERROR(IF(VLOOKUP(A503,[5]PRIORIZADOS!$A:$C,3,FALSE)="","",VLOOKUP(A503,[5]PRIORIZADOS!$A:$C,3,FALSE)),"")</f>
        <v>CIUDAD BOLÍVAR</v>
      </c>
      <c r="D503" s="11" t="str">
        <f>IFERROR(IF(VLOOKUP(A503,[5]PRIORIZADOS!$A:$D,4,FALSE)="","",VLOOKUP(A503,[5]PRIORIZADOS!$A:$D,4,FALSE)),"")</f>
        <v>PRIVADO</v>
      </c>
      <c r="E503" s="11" t="str">
        <f>IFERROR(IF(VLOOKUP(A503,[5]PRIORIZADOS!$A:$E,5,FALSE)="","",VLOOKUP(A503,[5]PRIORIZADOS!$A:$E,5,FALSE)),"")</f>
        <v>EPBM</v>
      </c>
      <c r="F503" s="11" t="str">
        <f>IFERROR(IF(VLOOKUP(A503,[5]PRIORIZADOS!$A:$F,6,FALSE)="","",VLOOKUP(A503,[5]PRIORIZADOS!$A:$F,6,FALSE)),"")</f>
        <v>COLEGIO_COOPERATIVO_MONSEÑOR_ISMAEL_PERDOMO</v>
      </c>
      <c r="G503" s="11" t="str">
        <f>IFERROR(IF(VLOOKUP(A503,[5]PRIORIZADOS!$A:$G,7,FALSE)="","",VLOOKUP(A503,[5]PRIORIZADOS!$A:$G,7,FALSE)),"")</f>
        <v>COLEGIO COOPERATIVO MONSEÑOR ISMAEL PERDOMO</v>
      </c>
      <c r="H503" s="11" t="str">
        <f>IFERROR(IF(VLOOKUP(A503,[5]PRIORIZADOS!$A:$H,8,FALSE)="","",VLOOKUP(A503,[5]PRIORIZADOS!$A:$H,8,FALSE)),"")</f>
        <v>Autoevaluación Institucional y Pruebas SABER 11</v>
      </c>
      <c r="I503" s="11" t="str">
        <f>IFERROR(IF(VLOOKUP(A503,[5]PRIORIZADOS!$A:$I,9,FALSE)="","",VLOOKUP(A503,[5]PRIORIZADOS!$A:$I,9,FALSE)),"")</f>
        <v>SEGUIMIENTO_Y_SUPERVISIÓN.</v>
      </c>
      <c r="J503" s="11" t="str">
        <f>IFERROR(IF(VLOOKUP(A503,[5]PRIORIZADOS!$A:$J,10,FALSE)="","",VLOOKUP(A503,[5]PRIORIZADOS!$A:$J,10,FALSE)),"")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03" s="11" t="str">
        <f>IFERROR(IF(VLOOKUP(A503,[5]PRIORIZADOS!$A:$K,11,FALSE)="","",VLOOKUP(A503,[5]PRIORIZADOS!$A:$K,11,FALSE)),"")</f>
        <v xml:space="preserve">CLAUDIA DOMÍNGUEZ TORRES </v>
      </c>
      <c r="L503" s="11" t="str">
        <f>IFERROR(IF(VLOOKUP(A503,[5]PRIORIZADOS!$A:$L,12,FALSE)="","",VLOOKUP(A503,[5]PRIORIZADOS!$A:$L,12,FALSE)),"")</f>
        <v>ÓSCAR JAVIER CÁRDENAS MUÑOZ</v>
      </c>
      <c r="M503" s="71">
        <f>IFERROR(IF(VLOOKUP(A503,[5]PRIORIZADOS!$A:$M,13,FALSE)="","",VLOOKUP(A503,[5]PRIORIZADOS!$A:$M,13,FALSE)),"")</f>
        <v>45744</v>
      </c>
      <c r="N503" s="71">
        <f>IFERROR(IF(VLOOKUP(A503,[5]PRIORIZADOS!$A:$N,14,FALSE)="","",VLOOKUP(A503,[5]PRIORIZADOS!$A:$N,14,FALSE)),"")</f>
        <v>45785</v>
      </c>
      <c r="O503" s="71">
        <f>IFERROR(IF(VLOOKUP(A503,[5]PRIORIZADOS!$A:$O,15,FALSE)="","",VLOOKUP(A503,[5]PRIORIZADOS!$A:$O,15,FALSE)),"")</f>
        <v>45785</v>
      </c>
      <c r="P503" s="11" t="str">
        <f>IFERROR(IF(VLOOKUP(A503,[5]PRIORIZADOS!$A:$P,16,FALSE)="","",VLOOKUP(A503,[5]PRIORIZADOS!$A:$P,16,FALSE)),"")</f>
        <v>Visitas de evaluación con fines de mejoramiento</v>
      </c>
      <c r="Q503" s="107" t="s">
        <v>114</v>
      </c>
      <c r="R503" s="11" t="str">
        <f>IFERROR(IF(VLOOKUP(A503,[5]PRIORIZADOS!$A:$R,18,FALSE)="","",VLOOKUP(A503,[5]PRIORIZADOS!$A:$R,18,FALSE)),"")</f>
        <v>Tiene 5 estudiantes categorizados con discapacidad, debidamente registrados en SIMAT y con su PIAR completo y en desarrollo.</v>
      </c>
      <c r="S503" s="11" t="str">
        <f>IFERROR(IF(VLOOKUP(A503,[5]PRIORIZADOS!$A:$S,19,FALSE)="","",VLOOKUP(A503,[5]PRIORIZADOS!$A:$S,19,FALSE)),"")</f>
        <v>Solicitar la actualización del diagnóstico de los estudiantes desde la EPS para armonizar con los ajustes del PIAR requeridos por los estudiantes.</v>
      </c>
      <c r="T503" s="70" t="str">
        <f>IFERROR(IF(VLOOKUP(A503,[5]PRIORIZADOS!$A:$T,20,FALSE)="","",VLOOKUP(A503,[5]PRIORIZADOS!$A:$T,20,FALSE)),"")</f>
        <v>Si</v>
      </c>
      <c r="U503" s="11" t="str">
        <f>IFERROR(IF(VLOOKUP(A503,[5]PRIORIZADOS!$A:$U,21,FALSE)="","",VLOOKUP(A503,[5]PRIORIZADOS!$A:$U,21,FALSE)),"")</f>
        <v>Se realizará seguimiento una vez se reciba el plan de mejoramiento 05.06.2025. Revisión documental septiembre para verificar la implementación de las acciones del plan de mejoramiento</v>
      </c>
    </row>
    <row r="504" spans="1:21" s="1" customFormat="1" ht="84">
      <c r="A504" s="69">
        <f>IF([5]PRIORIZADOS!A12="","",[5]PRIORIZADOS!A12)</f>
        <v>512</v>
      </c>
      <c r="B504" s="70">
        <f>IFERROR(IF(VLOOKUP(A504,[5]PRIORIZADOS!$A:$B,2,FALSE)="","",VLOOKUP(A504,[5]PRIORIZADOS!$A:$B,2,FALSE)),"")</f>
        <v>1</v>
      </c>
      <c r="C504" s="11" t="str">
        <f>IFERROR(IF(VLOOKUP(A504,[5]PRIORIZADOS!$A:$C,3,FALSE)="","",VLOOKUP(A504,[5]PRIORIZADOS!$A:$C,3,FALSE)),"")</f>
        <v>CIUDAD BOLÍVAR</v>
      </c>
      <c r="D504" s="11" t="str">
        <f>IFERROR(IF(VLOOKUP(A504,[5]PRIORIZADOS!$A:$D,4,FALSE)="","",VLOOKUP(A504,[5]PRIORIZADOS!$A:$D,4,FALSE)),"")</f>
        <v>PRIVADO</v>
      </c>
      <c r="E504" s="11" t="str">
        <f>IFERROR(IF(VLOOKUP(A504,[5]PRIORIZADOS!$A:$E,5,FALSE)="","",VLOOKUP(A504,[5]PRIORIZADOS!$A:$E,5,FALSE)),"")</f>
        <v>EPBM</v>
      </c>
      <c r="F504" s="11" t="str">
        <f>IFERROR(IF(VLOOKUP(A504,[5]PRIORIZADOS!$A:$F,6,FALSE)="","",VLOOKUP(A504,[5]PRIORIZADOS!$A:$F,6,FALSE)),"")</f>
        <v>COLEGIO_COOPERATIVO_MONSEÑOR_ISMAEL_PERDOMO</v>
      </c>
      <c r="G504" s="11" t="str">
        <f>IFERROR(IF(VLOOKUP(A504,[5]PRIORIZADOS!$A:$G,7,FALSE)="","",VLOOKUP(A504,[5]PRIORIZADOS!$A:$G,7,FALSE)),"")</f>
        <v>COLEGIO COOPERATIVO MONSEÑOR ISMAEL PERDOMO</v>
      </c>
      <c r="H504" s="11" t="str">
        <f>IFERROR(IF(VLOOKUP(A504,[5]PRIORIZADOS!$A:$H,8,FALSE)="","",VLOOKUP(A504,[5]PRIORIZADOS!$A:$H,8,FALSE)),"")</f>
        <v>Autoevaluación Institucional y Pruebas SABER 11</v>
      </c>
      <c r="I504" s="11" t="str">
        <f>IFERROR(IF(VLOOKUP(A504,[5]PRIORIZADOS!$A:$I,9,FALSE)="","",VLOOKUP(A504,[5]PRIORIZADOS!$A:$I,9,FALSE)),"")</f>
        <v>EVALUACIÓN_CON_FINES_DE_MEJORAMIENTO.</v>
      </c>
      <c r="J504" s="11" t="str">
        <f>IFERROR(IF(VLOOKUP(A504,[5]PRIORIZADOS!$A:$J,10,FALSE)="","",VLOOKUP(A504,[5]PRIORIZADOS!$A:$J,10,FALSE)),"")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04" s="11" t="str">
        <f>IFERROR(IF(VLOOKUP(A504,[5]PRIORIZADOS!$A:$K,11,FALSE)="","",VLOOKUP(A504,[5]PRIORIZADOS!$A:$K,11,FALSE)),"")</f>
        <v xml:space="preserve">CLAUDIA DOMÍNGUEZ TORRES </v>
      </c>
      <c r="L504" s="11" t="str">
        <f>IFERROR(IF(VLOOKUP(A504,[5]PRIORIZADOS!$A:$L,12,FALSE)="","",VLOOKUP(A504,[5]PRIORIZADOS!$A:$L,12,FALSE)),"")</f>
        <v>ÓSCAR JAVIER CÁRDENAS MUÑOZ</v>
      </c>
      <c r="M504" s="71">
        <f>IFERROR(IF(VLOOKUP(A504,[5]PRIORIZADOS!$A:$M,13,FALSE)="","",VLOOKUP(A504,[5]PRIORIZADOS!$A:$M,13,FALSE)),"")</f>
        <v>45744</v>
      </c>
      <c r="N504" s="71">
        <f>IFERROR(IF(VLOOKUP(A504,[5]PRIORIZADOS!$A:$N,14,FALSE)="","",VLOOKUP(A504,[5]PRIORIZADOS!$A:$N,14,FALSE)),"")</f>
        <v>45785</v>
      </c>
      <c r="O504" s="71">
        <f>IFERROR(IF(VLOOKUP(A504,[5]PRIORIZADOS!$A:$O,15,FALSE)="","",VLOOKUP(A504,[5]PRIORIZADOS!$A:$O,15,FALSE)),"")</f>
        <v>45785</v>
      </c>
      <c r="P504" s="11" t="str">
        <f>IFERROR(IF(VLOOKUP(A504,[5]PRIORIZADOS!$A:$P,16,FALSE)="","",VLOOKUP(A504,[5]PRIORIZADOS!$A:$P,16,FALSE)),"")</f>
        <v>Visitas de evaluación con fines de mejoramiento</v>
      </c>
      <c r="Q504" s="107" t="s">
        <v>114</v>
      </c>
      <c r="R504" s="11" t="str">
        <f>IFERROR(IF(VLOOKUP(A504,[5]PRIORIZADOS!$A:$R,18,FALSE)="","",VLOOKUP(A504,[5]PRIORIZADOS!$A:$R,18,FALSE)),"")</f>
        <v xml:space="preserve">Cuentan con un Manual de Convivencia construido de forma participativa, actualizado y en ejecución; sin embargo, no incorpora los enfoques diferenciales y debe ser actualizado normativamente. </v>
      </c>
      <c r="S504" s="11" t="str">
        <f>IFERROR(IF(VLOOKUP(A504,[5]PRIORIZADOS!$A:$S,19,FALSE)="","",VLOOKUP(A504,[5]PRIORIZADOS!$A:$S,19,FALSE)),"")</f>
        <v>Realizar actualización normativa, incorporando el enfoque de genero y de derechos humanos, asi como un plan de orientación escolar para las familias.</v>
      </c>
      <c r="T504" s="70" t="str">
        <f>IFERROR(IF(VLOOKUP(A504,[5]PRIORIZADOS!$A:$T,20,FALSE)="","",VLOOKUP(A504,[5]PRIORIZADOS!$A:$T,20,FALSE)),"")</f>
        <v>Si</v>
      </c>
      <c r="U504" s="11" t="str">
        <f>IFERROR(IF(VLOOKUP(A504,[5]PRIORIZADOS!$A:$U,21,FALSE)="","",VLOOKUP(A504,[5]PRIORIZADOS!$A:$U,21,FALSE)),"")</f>
        <v>Se realizará seguimiento una vez se reciba el plan de mejoramiento 05.06.2025. Revisión documental septiembre para verificar la implementación de las acciones del plan de mejoramiento</v>
      </c>
    </row>
    <row r="505" spans="1:21" s="1" customFormat="1" ht="72">
      <c r="A505" s="69">
        <f>IF([5]PRIORIZADOS!A13="","",[5]PRIORIZADOS!A13)</f>
        <v>513</v>
      </c>
      <c r="B505" s="70">
        <f>IFERROR(IF(VLOOKUP(A505,[5]PRIORIZADOS!$A:$B,2,FALSE)="","",VLOOKUP(A505,[5]PRIORIZADOS!$A:$B,2,FALSE)),"")</f>
        <v>1</v>
      </c>
      <c r="C505" s="11" t="str">
        <f>IFERROR(IF(VLOOKUP(A505,[5]PRIORIZADOS!$A:$C,3,FALSE)="","",VLOOKUP(A505,[5]PRIORIZADOS!$A:$C,3,FALSE)),"")</f>
        <v>CIUDAD BOLÍVAR</v>
      </c>
      <c r="D505" s="11" t="str">
        <f>IFERROR(IF(VLOOKUP(A505,[5]PRIORIZADOS!$A:$D,4,FALSE)="","",VLOOKUP(A505,[5]PRIORIZADOS!$A:$D,4,FALSE)),"")</f>
        <v>PRIVADO</v>
      </c>
      <c r="E505" s="11" t="str">
        <f>IFERROR(IF(VLOOKUP(A505,[5]PRIORIZADOS!$A:$E,5,FALSE)="","",VLOOKUP(A505,[5]PRIORIZADOS!$A:$E,5,FALSE)),"")</f>
        <v>EPBM</v>
      </c>
      <c r="F505" s="11" t="str">
        <f>IFERROR(IF(VLOOKUP(A505,[5]PRIORIZADOS!$A:$F,6,FALSE)="","",VLOOKUP(A505,[5]PRIORIZADOS!$A:$F,6,FALSE)),"")</f>
        <v>COLEGIO_COOPERATIVO_MONSEÑOR_ISMAEL_PERDOMO</v>
      </c>
      <c r="G505" s="11" t="str">
        <f>IFERROR(IF(VLOOKUP(A505,[5]PRIORIZADOS!$A:$G,7,FALSE)="","",VLOOKUP(A505,[5]PRIORIZADOS!$A:$G,7,FALSE)),"")</f>
        <v>COLEGIO COOPERATIVO MONSEÑOR ISMAEL PERDOMO</v>
      </c>
      <c r="H505" s="11" t="str">
        <f>IFERROR(IF(VLOOKUP(A505,[5]PRIORIZADOS!$A:$H,8,FALSE)="","",VLOOKUP(A505,[5]PRIORIZADOS!$A:$H,8,FALSE)),"")</f>
        <v>Autoevaluación Institucional y Pruebas SABER 11</v>
      </c>
      <c r="I505" s="11" t="str">
        <f>IFERROR(IF(VLOOKUP(A505,[5]PRIORIZADOS!$A:$I,9,FALSE)="","",VLOOKUP(A505,[5]PRIORIZADOS!$A:$I,9,FALSE)),"")</f>
        <v>EVALUACIÓN_CON_FINES_DE_MEJORAMIENTO.</v>
      </c>
      <c r="J505" s="11" t="str">
        <f>IFERROR(IF(VLOOKUP(A505,[5]PRIORIZADOS!$A:$J,10,FALSE)="","",VLOOKUP(A505,[5]PRIORIZADOS!$A:$J,10,FALSE)),"")</f>
        <v>Revisar la actualización, socialización e implementación del Sistema Institucional de Evaluación de Estudiantes - SIEE, en articulación con la actualización del PEI y la normatividad vigente.</v>
      </c>
      <c r="K505" s="11" t="str">
        <f>IFERROR(IF(VLOOKUP(A505,[5]PRIORIZADOS!$A:$K,11,FALSE)="","",VLOOKUP(A505,[5]PRIORIZADOS!$A:$K,11,FALSE)),"")</f>
        <v xml:space="preserve">CLAUDIA DOMÍNGUEZ TORRES </v>
      </c>
      <c r="L505" s="11" t="str">
        <f>IFERROR(IF(VLOOKUP(A505,[5]PRIORIZADOS!$A:$L,12,FALSE)="","",VLOOKUP(A505,[5]PRIORIZADOS!$A:$L,12,FALSE)),"")</f>
        <v>ÓSCAR JAVIER CÁRDENAS MUÑOZ</v>
      </c>
      <c r="M505" s="71">
        <f>IFERROR(IF(VLOOKUP(A505,[5]PRIORIZADOS!$A:$M,13,FALSE)="","",VLOOKUP(A505,[5]PRIORIZADOS!$A:$M,13,FALSE)),"")</f>
        <v>45744</v>
      </c>
      <c r="N505" s="71">
        <f>IFERROR(IF(VLOOKUP(A505,[5]PRIORIZADOS!$A:$N,14,FALSE)="","",VLOOKUP(A505,[5]PRIORIZADOS!$A:$N,14,FALSE)),"")</f>
        <v>45785</v>
      </c>
      <c r="O505" s="71">
        <f>IFERROR(IF(VLOOKUP(A505,[5]PRIORIZADOS!$A:$O,15,FALSE)="","",VLOOKUP(A505,[5]PRIORIZADOS!$A:$O,15,FALSE)),"")</f>
        <v>45785</v>
      </c>
      <c r="P505" s="11" t="str">
        <f>IFERROR(IF(VLOOKUP(A505,[5]PRIORIZADOS!$A:$P,16,FALSE)="","",VLOOKUP(A505,[5]PRIORIZADOS!$A:$P,16,FALSE)),"")</f>
        <v>Visitas de evaluación con fines de mejoramiento</v>
      </c>
      <c r="Q505" s="107" t="s">
        <v>114</v>
      </c>
      <c r="R505" s="11" t="str">
        <f>IFERROR(IF(VLOOKUP(A505,[5]PRIORIZADOS!$A:$R,18,FALSE)="","",VLOOKUP(A505,[5]PRIORIZADOS!$A:$R,18,FALSE)),"")</f>
        <v>Cuentan con un SIEE actualizado, documentado, claro y coherente, debidamente socializado con los estudiantes y los padres de familia.</v>
      </c>
      <c r="S505" s="11" t="str">
        <f>IFERROR(IF(VLOOKUP(A505,[5]PRIORIZADOS!$A:$S,19,FALSE)="","",VLOOKUP(A505,[5]PRIORIZADOS!$A:$S,19,FALSE)),"")</f>
        <v xml:space="preserve">Consolidar las evidencias de las socializaciones con los padres y estudiantes. Se recomienda definir el estamento  responsable del seguimiento a los procesos de promoción y evaluación y definir su reglamento. </v>
      </c>
      <c r="T505" s="70" t="str">
        <f>IFERROR(IF(VLOOKUP(A505,[5]PRIORIZADOS!$A:$T,20,FALSE)="","",VLOOKUP(A505,[5]PRIORIZADOS!$A:$T,20,FALSE)),"")</f>
        <v>Si</v>
      </c>
      <c r="U505" s="11" t="str">
        <f>IFERROR(IF(VLOOKUP(A505,[5]PRIORIZADOS!$A:$U,21,FALSE)="","",VLOOKUP(A505,[5]PRIORIZADOS!$A:$U,21,FALSE)),"")</f>
        <v>Se realizará seguimiento una vez se reciba el plan de mejoramiento 05.06.2025. Revisión documental septiembre para verificar la implementación de las acciones del plan de mejoramiento</v>
      </c>
    </row>
    <row r="506" spans="1:21" s="1" customFormat="1" ht="48">
      <c r="A506" s="69">
        <f>IF([5]PRIORIZADOS!A14="","",[5]PRIORIZADOS!A14)</f>
        <v>514</v>
      </c>
      <c r="B506" s="70">
        <f>IFERROR(IF(VLOOKUP(A506,[5]PRIORIZADOS!$A:$B,2,FALSE)="","",VLOOKUP(A506,[5]PRIORIZADOS!$A:$B,2,FALSE)),"")</f>
        <v>1</v>
      </c>
      <c r="C506" s="11" t="str">
        <f>IFERROR(IF(VLOOKUP(A506,[5]PRIORIZADOS!$A:$C,3,FALSE)="","",VLOOKUP(A506,[5]PRIORIZADOS!$A:$C,3,FALSE)),"")</f>
        <v>CIUDAD BOLÍVAR</v>
      </c>
      <c r="D506" s="11" t="str">
        <f>IFERROR(IF(VLOOKUP(A506,[5]PRIORIZADOS!$A:$D,4,FALSE)="","",VLOOKUP(A506,[5]PRIORIZADOS!$A:$D,4,FALSE)),"")</f>
        <v>PRIVADO</v>
      </c>
      <c r="E506" s="11" t="str">
        <f>IFERROR(IF(VLOOKUP(A506,[5]PRIORIZADOS!$A:$E,5,FALSE)="","",VLOOKUP(A506,[5]PRIORIZADOS!$A:$E,5,FALSE)),"")</f>
        <v>EPBM</v>
      </c>
      <c r="F506" s="11" t="str">
        <f>IFERROR(IF(VLOOKUP(A506,[5]PRIORIZADOS!$A:$F,6,FALSE)="","",VLOOKUP(A506,[5]PRIORIZADOS!$A:$F,6,FALSE)),"")</f>
        <v>COLEGIO_COOPERATIVO_MONSEÑOR_ISMAEL_PERDOMO</v>
      </c>
      <c r="G506" s="11" t="str">
        <f>IFERROR(IF(VLOOKUP(A506,[5]PRIORIZADOS!$A:$G,7,FALSE)="","",VLOOKUP(A506,[5]PRIORIZADOS!$A:$G,7,FALSE)),"")</f>
        <v>COLEGIO COOPERATIVO MONSEÑOR ISMAEL PERDOMO</v>
      </c>
      <c r="H506" s="11" t="str">
        <f>IFERROR(IF(VLOOKUP(A506,[5]PRIORIZADOS!$A:$H,8,FALSE)="","",VLOOKUP(A506,[5]PRIORIZADOS!$A:$H,8,FALSE)),"")</f>
        <v>Autoevaluación Institucional y Pruebas SABER 11</v>
      </c>
      <c r="I506" s="11" t="str">
        <f>IFERROR(IF(VLOOKUP(A506,[5]PRIORIZADOS!$A:$I,9,FALSE)="","",VLOOKUP(A506,[5]PRIORIZADOS!$A:$I,9,FALSE)),"")</f>
        <v>EVALUACIÓN_CON_FINES_DE_MEJORAMIENTO.</v>
      </c>
      <c r="J506" s="11" t="str">
        <f>IFERROR(IF(VLOOKUP(A506,[5]PRIORIZADOS!$A:$J,10,FALSE)="","",VLOOKUP(A506,[5]PRIORIZADOS!$A:$J,10,FALSE)),"")</f>
        <v>Revisar el calendario escolar, jornada escolar, la intensidad horaria mínima anual en cada nivel y las modificaciones que se realicen al mismo, de acuerdo con lo previsto en la normatividad vigente.</v>
      </c>
      <c r="K506" s="11" t="str">
        <f>IFERROR(IF(VLOOKUP(A506,[5]PRIORIZADOS!$A:$K,11,FALSE)="","",VLOOKUP(A506,[5]PRIORIZADOS!$A:$K,11,FALSE)),"")</f>
        <v xml:space="preserve">CLAUDIA DOMÍNGUEZ TORRES </v>
      </c>
      <c r="L506" s="11" t="str">
        <f>IFERROR(IF(VLOOKUP(A506,[5]PRIORIZADOS!$A:$L,12,FALSE)="","",VLOOKUP(A506,[5]PRIORIZADOS!$A:$L,12,FALSE)),"")</f>
        <v>ÓSCAR JAVIER CÁRDENAS MUÑOZ</v>
      </c>
      <c r="M506" s="71">
        <f>IFERROR(IF(VLOOKUP(A506,[5]PRIORIZADOS!$A:$M,13,FALSE)="","",VLOOKUP(A506,[5]PRIORIZADOS!$A:$M,13,FALSE)),"")</f>
        <v>45744</v>
      </c>
      <c r="N506" s="71">
        <f>IFERROR(IF(VLOOKUP(A506,[5]PRIORIZADOS!$A:$N,14,FALSE)="","",VLOOKUP(A506,[5]PRIORIZADOS!$A:$N,14,FALSE)),"")</f>
        <v>45785</v>
      </c>
      <c r="O506" s="71">
        <f>IFERROR(IF(VLOOKUP(A506,[5]PRIORIZADOS!$A:$O,15,FALSE)="","",VLOOKUP(A506,[5]PRIORIZADOS!$A:$O,15,FALSE)),"")</f>
        <v>45785</v>
      </c>
      <c r="P506" s="11" t="str">
        <f>IFERROR(IF(VLOOKUP(A506,[5]PRIORIZADOS!$A:$P,16,FALSE)="","",VLOOKUP(A506,[5]PRIORIZADOS!$A:$P,16,FALSE)),"")</f>
        <v>Visitas de evaluación con fines de mejoramiento</v>
      </c>
      <c r="Q506" s="107" t="s">
        <v>114</v>
      </c>
      <c r="R506" s="11" t="str">
        <f>IFERROR(IF(VLOOKUP(A506,[5]PRIORIZADOS!$A:$R,18,FALSE)="","",VLOOKUP(A506,[5]PRIORIZADOS!$A:$R,18,FALSE)),"")</f>
        <v xml:space="preserve">Aunque el calendario cumple con las horas mínimas, en la implementación no se da cumplimiento a la intensidad horaria para bachillerato </v>
      </c>
      <c r="S506" s="11" t="str">
        <f>IFERROR(IF(VLOOKUP(A506,[5]PRIORIZADOS!$A:$S,19,FALSE)="","",VLOOKUP(A506,[5]PRIORIZADOS!$A:$S,19,FALSE)),"")</f>
        <v>Aumentar las horas académicas para bachillerato para dar cumplimiento a la intensidad horaria conforme el decreto 1075 de 2015.</v>
      </c>
      <c r="T506" s="70" t="str">
        <f>IFERROR(IF(VLOOKUP(A506,[5]PRIORIZADOS!$A:$T,20,FALSE)="","",VLOOKUP(A506,[5]PRIORIZADOS!$A:$T,20,FALSE)),"")</f>
        <v>Si</v>
      </c>
      <c r="U506" s="11" t="str">
        <f>IFERROR(IF(VLOOKUP(A506,[5]PRIORIZADOS!$A:$U,21,FALSE)="","",VLOOKUP(A506,[5]PRIORIZADOS!$A:$U,21,FALSE)),"")</f>
        <v>Se realizará seguimiento una vez se reciba el plan de mejoramiento 05.06.2025. Revisión documental septiembre para verificar la implementación de las acciones del plan de mejoramiento</v>
      </c>
    </row>
    <row r="507" spans="1:21" s="1" customFormat="1" ht="60">
      <c r="A507" s="69">
        <f>IF([5]PRIORIZADOS!A15="","",[5]PRIORIZADOS!A15)</f>
        <v>515</v>
      </c>
      <c r="B507" s="70">
        <f>IFERROR(IF(VLOOKUP(A507,[5]PRIORIZADOS!$A:$B,2,FALSE)="","",VLOOKUP(A507,[5]PRIORIZADOS!$A:$B,2,FALSE)),"")</f>
        <v>1</v>
      </c>
      <c r="C507" s="11" t="str">
        <f>IFERROR(IF(VLOOKUP(A507,[5]PRIORIZADOS!$A:$C,3,FALSE)="","",VLOOKUP(A507,[5]PRIORIZADOS!$A:$C,3,FALSE)),"")</f>
        <v>CIUDAD BOLÍVAR</v>
      </c>
      <c r="D507" s="11" t="str">
        <f>IFERROR(IF(VLOOKUP(A507,[5]PRIORIZADOS!$A:$D,4,FALSE)="","",VLOOKUP(A507,[5]PRIORIZADOS!$A:$D,4,FALSE)),"")</f>
        <v>PRIVADO</v>
      </c>
      <c r="E507" s="11" t="str">
        <f>IFERROR(IF(VLOOKUP(A507,[5]PRIORIZADOS!$A:$E,5,FALSE)="","",VLOOKUP(A507,[5]PRIORIZADOS!$A:$E,5,FALSE)),"")</f>
        <v>EPBM</v>
      </c>
      <c r="F507" s="11" t="str">
        <f>IFERROR(IF(VLOOKUP(A507,[5]PRIORIZADOS!$A:$F,6,FALSE)="","",VLOOKUP(A507,[5]PRIORIZADOS!$A:$F,6,FALSE)),"")</f>
        <v>COLEGIO_COOPERATIVO_MONSEÑOR_ISMAEL_PERDOMO</v>
      </c>
      <c r="G507" s="11" t="str">
        <f>IFERROR(IF(VLOOKUP(A507,[5]PRIORIZADOS!$A:$G,7,FALSE)="","",VLOOKUP(A507,[5]PRIORIZADOS!$A:$G,7,FALSE)),"")</f>
        <v>COLEGIO COOPERATIVO MONSEÑOR ISMAEL PERDOMO</v>
      </c>
      <c r="H507" s="11" t="str">
        <f>IFERROR(IF(VLOOKUP(A507,[5]PRIORIZADOS!$A:$H,8,FALSE)="","",VLOOKUP(A507,[5]PRIORIZADOS!$A:$H,8,FALSE)),"")</f>
        <v>Autoevaluación Institucional y Pruebas SABER 11</v>
      </c>
      <c r="I507" s="11" t="str">
        <f>IFERROR(IF(VLOOKUP(A507,[5]PRIORIZADOS!$A:$I,9,FALSE)="","",VLOOKUP(A507,[5]PRIORIZADOS!$A:$I,9,FALSE)),"")</f>
        <v>EVALUACIÓN_CON_FINES_DE_MEJORAMIENTO.</v>
      </c>
      <c r="J507" s="11" t="str">
        <f>IFERROR(IF(VLOOKUP(A507,[5]PRIORIZADOS!$A:$J,10,FALSE)="","",VLOOKUP(A507,[5]PRIORIZADOS!$A:$J,10,FALSE)),"")</f>
        <v>Verificar el funcionamiento del Gobierno Escolar e instancias de participación con base en la información sobre conformación reportada por la institución educativa.</v>
      </c>
      <c r="K507" s="11" t="str">
        <f>IFERROR(IF(VLOOKUP(A507,[5]PRIORIZADOS!$A:$K,11,FALSE)="","",VLOOKUP(A507,[5]PRIORIZADOS!$A:$K,11,FALSE)),"")</f>
        <v xml:space="preserve">CLAUDIA DOMÍNGUEZ TORRES </v>
      </c>
      <c r="L507" s="11" t="str">
        <f>IFERROR(IF(VLOOKUP(A507,[5]PRIORIZADOS!$A:$L,12,FALSE)="","",VLOOKUP(A507,[5]PRIORIZADOS!$A:$L,12,FALSE)),"")</f>
        <v>ÓSCAR JAVIER CÁRDENAS MUÑOZ</v>
      </c>
      <c r="M507" s="71">
        <f>IFERROR(IF(VLOOKUP(A507,[5]PRIORIZADOS!$A:$M,13,FALSE)="","",VLOOKUP(A507,[5]PRIORIZADOS!$A:$M,13,FALSE)),"")</f>
        <v>45744</v>
      </c>
      <c r="N507" s="71">
        <f>IFERROR(IF(VLOOKUP(A507,[5]PRIORIZADOS!$A:$N,14,FALSE)="","",VLOOKUP(A507,[5]PRIORIZADOS!$A:$N,14,FALSE)),"")</f>
        <v>45785</v>
      </c>
      <c r="O507" s="71">
        <f>IFERROR(IF(VLOOKUP(A507,[5]PRIORIZADOS!$A:$O,15,FALSE)="","",VLOOKUP(A507,[5]PRIORIZADOS!$A:$O,15,FALSE)),"")</f>
        <v>45785</v>
      </c>
      <c r="P507" s="11" t="str">
        <f>IFERROR(IF(VLOOKUP(A507,[5]PRIORIZADOS!$A:$P,16,FALSE)="","",VLOOKUP(A507,[5]PRIORIZADOS!$A:$P,16,FALSE)),"")</f>
        <v>Visitas de evaluación con fines de mejoramiento</v>
      </c>
      <c r="Q507" s="107" t="s">
        <v>114</v>
      </c>
      <c r="R507" s="11" t="str">
        <f>IFERROR(IF(VLOOKUP(A507,[5]PRIORIZADOS!$A:$R,18,FALSE)="","",VLOOKUP(A507,[5]PRIORIZADOS!$A:$R,18,FALSE)),"")</f>
        <v>Se evidencia la conformación de las instancias de  Gobierno Escolar para la presente vigencias, Asi como, su  funcionamiento mediante la verificación de actas de sesión.</v>
      </c>
      <c r="S507" s="11" t="str">
        <f>IFERROR(IF(VLOOKUP(A507,[5]PRIORIZADOS!$A:$S,19,FALSE)="","",VLOOKUP(A507,[5]PRIORIZADOS!$A:$S,19,FALSE)),"")</f>
        <v xml:space="preserve">Se recomendó incluir en el Manual de Convivencia el reglamento de cada estamento de gobierno escolar e instancias de participacion con base  en el contexto normativo actual. </v>
      </c>
      <c r="T507" s="70" t="str">
        <f>IFERROR(IF(VLOOKUP(A507,[5]PRIORIZADOS!$A:$T,20,FALSE)="","",VLOOKUP(A507,[5]PRIORIZADOS!$A:$T,20,FALSE)),"")</f>
        <v>Si</v>
      </c>
      <c r="U507" s="11" t="str">
        <f>IFERROR(IF(VLOOKUP(A507,[5]PRIORIZADOS!$A:$U,21,FALSE)="","",VLOOKUP(A507,[5]PRIORIZADOS!$A:$U,21,FALSE)),"")</f>
        <v>Se realizará seguimiento una vez se reciba el plan de mejoramiento 05.06.2025. Revisión documental septiembre para verificar la implementación de las acciones del plan de mejoramiento</v>
      </c>
    </row>
    <row r="508" spans="1:21" s="1" customFormat="1" ht="84">
      <c r="A508" s="69">
        <f>IF([5]PRIORIZADOS!A16="","",[5]PRIORIZADOS!A16)</f>
        <v>516</v>
      </c>
      <c r="B508" s="70">
        <f>IFERROR(IF(VLOOKUP(A508,[5]PRIORIZADOS!$A:$B,2,FALSE)="","",VLOOKUP(A508,[5]PRIORIZADOS!$A:$B,2,FALSE)),"")</f>
        <v>1</v>
      </c>
      <c r="C508" s="11" t="str">
        <f>IFERROR(IF(VLOOKUP(A508,[5]PRIORIZADOS!$A:$C,3,FALSE)="","",VLOOKUP(A508,[5]PRIORIZADOS!$A:$C,3,FALSE)),"")</f>
        <v>CIUDAD BOLÍVAR</v>
      </c>
      <c r="D508" s="11" t="str">
        <f>IFERROR(IF(VLOOKUP(A508,[5]PRIORIZADOS!$A:$D,4,FALSE)="","",VLOOKUP(A508,[5]PRIORIZADOS!$A:$D,4,FALSE)),"")</f>
        <v>PRIVADO</v>
      </c>
      <c r="E508" s="11" t="str">
        <f>IFERROR(IF(VLOOKUP(A508,[5]PRIORIZADOS!$A:$E,5,FALSE)="","",VLOOKUP(A508,[5]PRIORIZADOS!$A:$E,5,FALSE)),"")</f>
        <v>EPBM</v>
      </c>
      <c r="F508" s="11" t="str">
        <f>IFERROR(IF(VLOOKUP(A508,[5]PRIORIZADOS!$A:$F,6,FALSE)="","",VLOOKUP(A508,[5]PRIORIZADOS!$A:$F,6,FALSE)),"")</f>
        <v>COLEGIO_COOPERATIVO_MONSEÑOR_ISMAEL_PERDOMO</v>
      </c>
      <c r="G508" s="11" t="str">
        <f>IFERROR(IF(VLOOKUP(A508,[5]PRIORIZADOS!$A:$G,7,FALSE)="","",VLOOKUP(A508,[5]PRIORIZADOS!$A:$G,7,FALSE)),"")</f>
        <v>COLEGIO COOPERATIVO MONSEÑOR ISMAEL PERDOMO</v>
      </c>
      <c r="H508" s="11" t="str">
        <f>IFERROR(IF(VLOOKUP(A508,[5]PRIORIZADOS!$A:$H,8,FALSE)="","",VLOOKUP(A508,[5]PRIORIZADOS!$A:$H,8,FALSE)),"")</f>
        <v>Autoevaluación Institucional y Pruebas SABER 11</v>
      </c>
      <c r="I508" s="11" t="str">
        <f>IFERROR(IF(VLOOKUP(A508,[5]PRIORIZADOS!$A:$I,9,FALSE)="","",VLOOKUP(A508,[5]PRIORIZADOS!$A:$I,9,FALSE)),"")</f>
        <v>EVALUACIÓN_CON_FINES_DE_MEJORAMIENTO.</v>
      </c>
      <c r="J508" s="11" t="str">
        <f>IFERROR(IF(VLOOKUP(A508,[5]PRIORIZADOS!$A:$J,10,FALSE)="","",VLOOKUP(A508,[5]PRIORIZADOS!$A:$J,10,FALSE)),"")</f>
        <v>Verificar las condiciones en cuanto a: la estructura administrativa, condiciones de la planta física y medios educativos adecuados.</v>
      </c>
      <c r="K508" s="11" t="str">
        <f>IFERROR(IF(VLOOKUP(A508,[5]PRIORIZADOS!$A:$K,11,FALSE)="","",VLOOKUP(A508,[5]PRIORIZADOS!$A:$K,11,FALSE)),"")</f>
        <v xml:space="preserve">CLAUDIA DOMÍNGUEZ TORRES </v>
      </c>
      <c r="L508" s="11" t="str">
        <f>IFERROR(IF(VLOOKUP(A508,[5]PRIORIZADOS!$A:$L,12,FALSE)="","",VLOOKUP(A508,[5]PRIORIZADOS!$A:$L,12,FALSE)),"")</f>
        <v>ÓSCAR JAVIER CÁRDENAS MUÑOZ</v>
      </c>
      <c r="M508" s="71">
        <f>IFERROR(IF(VLOOKUP(A508,[5]PRIORIZADOS!$A:$M,13,FALSE)="","",VLOOKUP(A508,[5]PRIORIZADOS!$A:$M,13,FALSE)),"")</f>
        <v>45744</v>
      </c>
      <c r="N508" s="71">
        <f>IFERROR(IF(VLOOKUP(A508,[5]PRIORIZADOS!$A:$N,14,FALSE)="","",VLOOKUP(A508,[5]PRIORIZADOS!$A:$N,14,FALSE)),"")</f>
        <v>45785</v>
      </c>
      <c r="O508" s="71">
        <f>IFERROR(IF(VLOOKUP(A508,[5]PRIORIZADOS!$A:$O,15,FALSE)="","",VLOOKUP(A508,[5]PRIORIZADOS!$A:$O,15,FALSE)),"")</f>
        <v>45785</v>
      </c>
      <c r="P508" s="11" t="str">
        <f>IFERROR(IF(VLOOKUP(A508,[5]PRIORIZADOS!$A:$P,16,FALSE)="","",VLOOKUP(A508,[5]PRIORIZADOS!$A:$P,16,FALSE)),"")</f>
        <v>Visitas de evaluación con fines de mejoramiento</v>
      </c>
      <c r="Q508" s="126" t="s">
        <v>114</v>
      </c>
      <c r="R508" s="11" t="str">
        <f>IFERROR(IF(VLOOKUP(A508,[5]PRIORIZADOS!$A:$R,18,FALSE)="","",VLOOKUP(A508,[5]PRIORIZADOS!$A:$R,18,FALSE)),"")</f>
        <v>Se evidencian espacios de aprendizaje, administrativos , ludicos y educativos adecuados. No cuenta con rampas ni espacios adecuados para estudiantes con discapacidad. Los recursos son suficientes y se encuentran encondiciones para la prestación del servicio educativo.</v>
      </c>
      <c r="S508" s="11" t="str">
        <f>IFERROR(IF(VLOOKUP(A508,[5]PRIORIZADOS!$A:$S,19,FALSE)="","",VLOOKUP(A508,[5]PRIORIZADOS!$A:$S,19,FALSE)),"")</f>
        <v>Iniciar la gestión para  la adecuación de las instalaciones para la atención de personas en condición de discapacidad.</v>
      </c>
      <c r="T508" s="70" t="str">
        <f>IFERROR(IF(VLOOKUP(A508,[5]PRIORIZADOS!$A:$T,20,FALSE)="","",VLOOKUP(A508,[5]PRIORIZADOS!$A:$T,20,FALSE)),"")</f>
        <v>Si</v>
      </c>
      <c r="U508" s="11" t="str">
        <f>IFERROR(IF(VLOOKUP(A508,[5]PRIORIZADOS!$A:$U,21,FALSE)="","",VLOOKUP(A508,[5]PRIORIZADOS!$A:$U,21,FALSE)),"")</f>
        <v>Se realizará seguimiento una vez se reciba el plan de mejoramiento 05.06.2025. Revisión documental septiembre para verificar la implementación de las acciones del plan de mejoramiento</v>
      </c>
    </row>
    <row r="509" spans="1:21" s="1" customFormat="1" ht="36">
      <c r="A509" s="69">
        <f>IF([5]PRIORIZADOS!A17="","",[5]PRIORIZADOS!A17)</f>
        <v>517</v>
      </c>
      <c r="B509" s="70">
        <f>IFERROR(IF(VLOOKUP(A509,[5]PRIORIZADOS!$A:$B,2,FALSE)="","",VLOOKUP(A509,[5]PRIORIZADOS!$A:$B,2,FALSE)),"")</f>
        <v>2</v>
      </c>
      <c r="C509" s="11" t="str">
        <f>IFERROR(IF(VLOOKUP(A509,[5]PRIORIZADOS!$A:$C,3,FALSE)="","",VLOOKUP(A509,[5]PRIORIZADOS!$A:$C,3,FALSE)),"")</f>
        <v>CIUDAD BOLÍVAR</v>
      </c>
      <c r="D509" s="11" t="str">
        <f>IFERROR(IF(VLOOKUP(A509,[5]PRIORIZADOS!$A:$D,4,FALSE)="","",VLOOKUP(A509,[5]PRIORIZADOS!$A:$D,4,FALSE)),"")</f>
        <v>PRIVADO</v>
      </c>
      <c r="E509" s="11" t="str">
        <f>IFERROR(IF(VLOOKUP(A509,[5]PRIORIZADOS!$A:$E,5,FALSE)="","",VLOOKUP(A509,[5]PRIORIZADOS!$A:$E,5,FALSE)),"")</f>
        <v>EPBM</v>
      </c>
      <c r="F509" s="11" t="str">
        <f>IFERROR(IF(VLOOKUP(A509,[5]PRIORIZADOS!$A:$F,6,FALSE)="","",VLOOKUP(A509,[5]PRIORIZADOS!$A:$F,6,FALSE)),"")</f>
        <v>NUEVO_COLEGIO_LUSADI_LTDA</v>
      </c>
      <c r="G509" s="11" t="str">
        <f>IFERROR(IF(VLOOKUP(A509,[5]PRIORIZADOS!$A:$G,7,FALSE)="","",VLOOKUP(A509,[5]PRIORIZADOS!$A:$G,7,FALSE)),"")</f>
        <v>NUEVO COLEGIO LUSADI LTDA</v>
      </c>
      <c r="H509" s="11" t="str">
        <f>IFERROR(IF(VLOOKUP(A509,[5]PRIORIZADOS!$A:$H,8,FALSE)="","",VLOOKUP(A509,[5]PRIORIZADOS!$A:$H,8,FALSE)),"")</f>
        <v>Autoevaluación Institucional y Pruebas SABER 11</v>
      </c>
      <c r="I509" s="11" t="str">
        <f>IFERROR(IF(VLOOKUP(A509,[5]PRIORIZADOS!$A:$I,9,FALSE)="","",VLOOKUP(A509,[5]PRIORIZADOS!$A:$I,9,FALSE)),"")</f>
        <v>SEGUIMIENTO_Y_SUPERVISIÓN.</v>
      </c>
      <c r="J509" s="11" t="str">
        <f>IFERROR(IF(VLOOKUP(A509,[5]PRIORIZADOS!$A:$J,10,FALSE)="","",VLOOKUP(A509,[5]PRIORIZADOS!$A:$J,10,FALSE)),"")</f>
        <v>Realizar visitas para verificar la información registrada sobre la autoevaluación institucional en el aplicativo EVI, a los establecimientos de educación formal no oficial.</v>
      </c>
      <c r="K509" s="11" t="str">
        <f>IFERROR(IF(VLOOKUP(A509,[5]PRIORIZADOS!$A:$K,11,FALSE)="","",VLOOKUP(A509,[5]PRIORIZADOS!$A:$K,11,FALSE)),"")</f>
        <v>ÓSCAR JAVIER CÁRDENAS MUÑOZ</v>
      </c>
      <c r="L509" s="11" t="str">
        <f>IFERROR(IF(VLOOKUP(A509,[5]PRIORIZADOS!$A:$L,12,FALSE)="","",VLOOKUP(A509,[5]PRIORIZADOS!$A:$L,12,FALSE)),"")</f>
        <v xml:space="preserve">CLAUDIA DOMÍNGUEZ TORRES </v>
      </c>
      <c r="M509" s="71">
        <f>IFERROR(IF(VLOOKUP(A509,[5]PRIORIZADOS!$A:$M,13,FALSE)="","",VLOOKUP(A509,[5]PRIORIZADOS!$A:$M,13,FALSE)),"")</f>
        <v>45747</v>
      </c>
      <c r="N509" s="71">
        <f>IFERROR(IF(VLOOKUP(A509,[5]PRIORIZADOS!$A:$N,14,FALSE)="","",VLOOKUP(A509,[5]PRIORIZADOS!$A:$N,14,FALSE)),"")</f>
        <v>45807</v>
      </c>
      <c r="O509" s="71">
        <f>IFERROR(IF(VLOOKUP(A509,[5]PRIORIZADOS!$A:$O,15,FALSE)="","",VLOOKUP(A509,[5]PRIORIZADOS!$A:$O,15,FALSE)),"")</f>
        <v>45807</v>
      </c>
      <c r="P509" s="11" t="str">
        <f>IFERROR(IF(VLOOKUP(A509,[5]PRIORIZADOS!$A:$P,16,FALSE)="","",VLOOKUP(A509,[5]PRIORIZADOS!$A:$P,16,FALSE)),"")</f>
        <v>Visitas de evaluación con fines de mejoramiento</v>
      </c>
      <c r="Q509" s="134" t="s">
        <v>115</v>
      </c>
      <c r="R509" s="11" t="str">
        <f>IFERROR(IF(VLOOKUP(A509,[5]PRIORIZADOS!$A:$R,18,FALSE)="","",VLOOKUP(A509,[5]PRIORIZADOS!$A:$R,18,FALSE)),"")</f>
        <v>La IE cumple con lo registrado en el EVI mostrando coherencia con la información reportada y lo identificado en la visita.</v>
      </c>
      <c r="S509" s="11" t="str">
        <f>IFERROR(IF(VLOOKUP(A509,[5]PRIORIZADOS!$A:$S,19,FALSE)="","",VLOOKUP(A509,[5]PRIORIZADOS!$A:$S,19,FALSE)),"")</f>
        <v xml:space="preserve">Continuar con el fortalecimiento de la prestación del servicio educativo bajo principios de calidad. </v>
      </c>
      <c r="T509" s="70" t="str">
        <f>IFERROR(IF(VLOOKUP(A509,[5]PRIORIZADOS!$A:$T,20,FALSE)="","",VLOOKUP(A509,[5]PRIORIZADOS!$A:$T,20,FALSE)),"")</f>
        <v>Si</v>
      </c>
      <c r="U509" s="11" t="str">
        <f>IFERROR(IF(VLOOKUP(A509,[5]PRIORIZADOS!$A:$U,21,FALSE)="","",VLOOKUP(A509,[5]PRIORIZADOS!$A:$U,21,FALSE)),"")</f>
        <v>Verificar la autoevaluación 2025 con fines del proceso de tarifas 2026.</v>
      </c>
    </row>
    <row r="510" spans="1:21" s="1" customFormat="1" ht="60">
      <c r="A510" s="69">
        <f>IF([5]PRIORIZADOS!A18="","",[5]PRIORIZADOS!A18)</f>
        <v>518</v>
      </c>
      <c r="B510" s="70">
        <f>IFERROR(IF(VLOOKUP(A510,[5]PRIORIZADOS!$A:$B,2,FALSE)="","",VLOOKUP(A510,[5]PRIORIZADOS!$A:$B,2,FALSE)),"")</f>
        <v>2</v>
      </c>
      <c r="C510" s="11" t="str">
        <f>IFERROR(IF(VLOOKUP(A510,[5]PRIORIZADOS!$A:$C,3,FALSE)="","",VLOOKUP(A510,[5]PRIORIZADOS!$A:$C,3,FALSE)),"")</f>
        <v>CIUDAD BOLÍVAR</v>
      </c>
      <c r="D510" s="11" t="str">
        <f>IFERROR(IF(VLOOKUP(A510,[5]PRIORIZADOS!$A:$D,4,FALSE)="","",VLOOKUP(A510,[5]PRIORIZADOS!$A:$D,4,FALSE)),"")</f>
        <v>PRIVADO</v>
      </c>
      <c r="E510" s="11" t="str">
        <f>IFERROR(IF(VLOOKUP(A510,[5]PRIORIZADOS!$A:$E,5,FALSE)="","",VLOOKUP(A510,[5]PRIORIZADOS!$A:$E,5,FALSE)),"")</f>
        <v>EPBM</v>
      </c>
      <c r="F510" s="11" t="str">
        <f>IFERROR(IF(VLOOKUP(A510,[5]PRIORIZADOS!$A:$F,6,FALSE)="","",VLOOKUP(A510,[5]PRIORIZADOS!$A:$F,6,FALSE)),"")</f>
        <v>NUEVO_COLEGIO_LUSADI_LTDA</v>
      </c>
      <c r="G510" s="11" t="str">
        <f>IFERROR(IF(VLOOKUP(A510,[5]PRIORIZADOS!$A:$G,7,FALSE)="","",VLOOKUP(A510,[5]PRIORIZADOS!$A:$G,7,FALSE)),"")</f>
        <v>NUEVO COLEGIO LUSADI LTDA</v>
      </c>
      <c r="H510" s="11" t="str">
        <f>IFERROR(IF(VLOOKUP(A510,[5]PRIORIZADOS!$A:$H,8,FALSE)="","",VLOOKUP(A510,[5]PRIORIZADOS!$A:$H,8,FALSE)),"")</f>
        <v>Autoevaluación Institucional y Pruebas SABER 11</v>
      </c>
      <c r="I510" s="11" t="str">
        <f>IFERROR(IF(VLOOKUP(A510,[5]PRIORIZADOS!$A:$I,9,FALSE)="","",VLOOKUP(A510,[5]PRIORIZADOS!$A:$I,9,FALSE)),"")</f>
        <v>SEGUIMIENTO_Y_SUPERVISIÓN.</v>
      </c>
      <c r="J510" s="11" t="str">
        <f>IFERROR(IF(VLOOKUP(A510,[5]PRIORIZADOS!$A:$J,10,FALSE)="","",VLOOKUP(A510,[5]PRIORIZADOS!$A:$J,10,FALSE)),"")</f>
        <v>Proponer estrategias en la formulación, verificar su elaboración y realizar seguimiento semestral al desarrollo de  las acciones establecidas en los planes de mejoramiento por pruebas SABER 11 de los establecimientos de educación formal.</v>
      </c>
      <c r="K510" s="11" t="str">
        <f>IFERROR(IF(VLOOKUP(A510,[5]PRIORIZADOS!$A:$K,11,FALSE)="","",VLOOKUP(A510,[5]PRIORIZADOS!$A:$K,11,FALSE)),"")</f>
        <v>ÓSCAR JAVIER CÁRDENAS MUÑOZ</v>
      </c>
      <c r="L510" s="11" t="str">
        <f>IFERROR(IF(VLOOKUP(A510,[5]PRIORIZADOS!$A:$L,12,FALSE)="","",VLOOKUP(A510,[5]PRIORIZADOS!$A:$L,12,FALSE)),"")</f>
        <v xml:space="preserve">CLAUDIA DOMÍNGUEZ TORRES </v>
      </c>
      <c r="M510" s="71">
        <f>IFERROR(IF(VLOOKUP(A510,[5]PRIORIZADOS!$A:$M,13,FALSE)="","",VLOOKUP(A510,[5]PRIORIZADOS!$A:$M,13,FALSE)),"")</f>
        <v>45747</v>
      </c>
      <c r="N510" s="71">
        <f>IFERROR(IF(VLOOKUP(A510,[5]PRIORIZADOS!$A:$N,14,FALSE)="","",VLOOKUP(A510,[5]PRIORIZADOS!$A:$N,14,FALSE)),"")</f>
        <v>45807</v>
      </c>
      <c r="O510" s="71">
        <f>IFERROR(IF(VLOOKUP(A510,[5]PRIORIZADOS!$A:$O,15,FALSE)="","",VLOOKUP(A510,[5]PRIORIZADOS!$A:$O,15,FALSE)),"")</f>
        <v>45807</v>
      </c>
      <c r="P510" s="11" t="str">
        <f>IFERROR(IF(VLOOKUP(A510,[5]PRIORIZADOS!$A:$P,16,FALSE)="","",VLOOKUP(A510,[5]PRIORIZADOS!$A:$P,16,FALSE)),"")</f>
        <v>Visitas de evaluación con fines de mejoramiento</v>
      </c>
      <c r="Q510" s="134" t="s">
        <v>115</v>
      </c>
      <c r="R510" s="11" t="str">
        <f>IFERROR(IF(VLOOKUP(A510,[5]PRIORIZADOS!$A:$R,18,FALSE)="","",VLOOKUP(A510,[5]PRIORIZADOS!$A:$R,18,FALSE)),"")</f>
        <v>Cuentan con un análisis de los resultados en las pruebas saber 11° de los últimos 4 años. Se encuentran desarrollando diversas estrategias para mejorar los resultados.</v>
      </c>
      <c r="S510" s="11" t="str">
        <f>IFERROR(IF(VLOOKUP(A510,[5]PRIORIZADOS!$A:$S,19,FALSE)="","",VLOOKUP(A510,[5]PRIORIZADOS!$A:$S,19,FALSE)),"")</f>
        <v>La IE debe continuar con la implementación de acciones tendientes a mejorar aun más los resultados en las pruebas Saber 11°</v>
      </c>
      <c r="T510" s="70" t="str">
        <f>IFERROR(IF(VLOOKUP(A510,[5]PRIORIZADOS!$A:$T,20,FALSE)="","",VLOOKUP(A510,[5]PRIORIZADOS!$A:$T,20,FALSE)),"")</f>
        <v>No</v>
      </c>
      <c r="U510" s="11" t="str">
        <f>IFERROR(IF(VLOOKUP(A510,[5]PRIORIZADOS!$A:$U,21,FALSE)="","",VLOOKUP(A510,[5]PRIORIZADOS!$A:$U,21,FALSE)),"")</f>
        <v>Se realizará revisión documental en el mes de octubre del 2025</v>
      </c>
    </row>
    <row r="511" spans="1:21" s="1" customFormat="1" ht="72">
      <c r="A511" s="69">
        <f>IF([5]PRIORIZADOS!A19="","",[5]PRIORIZADOS!A19)</f>
        <v>519</v>
      </c>
      <c r="B511" s="70">
        <f>IFERROR(IF(VLOOKUP(A511,[5]PRIORIZADOS!$A:$B,2,FALSE)="","",VLOOKUP(A511,[5]PRIORIZADOS!$A:$B,2,FALSE)),"")</f>
        <v>2</v>
      </c>
      <c r="C511" s="11" t="str">
        <f>IFERROR(IF(VLOOKUP(A511,[5]PRIORIZADOS!$A:$C,3,FALSE)="","",VLOOKUP(A511,[5]PRIORIZADOS!$A:$C,3,FALSE)),"")</f>
        <v>CIUDAD BOLÍVAR</v>
      </c>
      <c r="D511" s="11" t="str">
        <f>IFERROR(IF(VLOOKUP(A511,[5]PRIORIZADOS!$A:$D,4,FALSE)="","",VLOOKUP(A511,[5]PRIORIZADOS!$A:$D,4,FALSE)),"")</f>
        <v>PRIVADO</v>
      </c>
      <c r="E511" s="11" t="str">
        <f>IFERROR(IF(VLOOKUP(A511,[5]PRIORIZADOS!$A:$E,5,FALSE)="","",VLOOKUP(A511,[5]PRIORIZADOS!$A:$E,5,FALSE)),"")</f>
        <v>EPBM</v>
      </c>
      <c r="F511" s="11" t="str">
        <f>IFERROR(IF(VLOOKUP(A511,[5]PRIORIZADOS!$A:$F,6,FALSE)="","",VLOOKUP(A511,[5]PRIORIZADOS!$A:$F,6,FALSE)),"")</f>
        <v>NUEVO_COLEGIO_LUSADI_LTDA</v>
      </c>
      <c r="G511" s="11" t="str">
        <f>IFERROR(IF(VLOOKUP(A511,[5]PRIORIZADOS!$A:$G,7,FALSE)="","",VLOOKUP(A511,[5]PRIORIZADOS!$A:$G,7,FALSE)),"")</f>
        <v>NUEVO COLEGIO LUSADI LTDA</v>
      </c>
      <c r="H511" s="11" t="str">
        <f>IFERROR(IF(VLOOKUP(A511,[5]PRIORIZADOS!$A:$H,8,FALSE)="","",VLOOKUP(A511,[5]PRIORIZADOS!$A:$H,8,FALSE)),"")</f>
        <v>Autoevaluación Institucional y Pruebas SABER 11</v>
      </c>
      <c r="I511" s="11" t="str">
        <f>IFERROR(IF(VLOOKUP(A511,[5]PRIORIZADOS!$A:$I,9,FALSE)="","",VLOOKUP(A511,[5]PRIORIZADOS!$A:$I,9,FALSE)),"")</f>
        <v>SEGUIMIENTO_Y_SUPERVISIÓN.</v>
      </c>
      <c r="J511" s="11" t="str">
        <f>IFERROR(IF(VLOOKUP(A511,[5]PRIORIZADOS!$A:$J,10,FALSE)="","",VLOOKUP(A511,[5]PRIORIZADOS!$A:$J,10,FALSE)),"")</f>
        <v xml:space="preserve">Verificar la implementación por parte de los colegios, de acciones realizadas para la prevención y atención de las situaciones de convivencia en el entorno escolar, según lo establecido en la Directiva 01 de 2022 del MEN. </v>
      </c>
      <c r="K511" s="11" t="str">
        <f>IFERROR(IF(VLOOKUP(A511,[5]PRIORIZADOS!$A:$K,11,FALSE)="","",VLOOKUP(A511,[5]PRIORIZADOS!$A:$K,11,FALSE)),"")</f>
        <v>ÓSCAR JAVIER CÁRDENAS MUÑOZ</v>
      </c>
      <c r="L511" s="11" t="str">
        <f>IFERROR(IF(VLOOKUP(A511,[5]PRIORIZADOS!$A:$L,12,FALSE)="","",VLOOKUP(A511,[5]PRIORIZADOS!$A:$L,12,FALSE)),"")</f>
        <v xml:space="preserve">CLAUDIA DOMÍNGUEZ TORRES </v>
      </c>
      <c r="M511" s="71">
        <f>IFERROR(IF(VLOOKUP(A511,[5]PRIORIZADOS!$A:$M,13,FALSE)="","",VLOOKUP(A511,[5]PRIORIZADOS!$A:$M,13,FALSE)),"")</f>
        <v>45747</v>
      </c>
      <c r="N511" s="71">
        <f>IFERROR(IF(VLOOKUP(A511,[5]PRIORIZADOS!$A:$N,14,FALSE)="","",VLOOKUP(A511,[5]PRIORIZADOS!$A:$N,14,FALSE)),"")</f>
        <v>45807</v>
      </c>
      <c r="O511" s="71">
        <f>IFERROR(IF(VLOOKUP(A511,[5]PRIORIZADOS!$A:$O,15,FALSE)="","",VLOOKUP(A511,[5]PRIORIZADOS!$A:$O,15,FALSE)),"")</f>
        <v>45807</v>
      </c>
      <c r="P511" s="11" t="str">
        <f>IFERROR(IF(VLOOKUP(A511,[5]PRIORIZADOS!$A:$P,16,FALSE)="","",VLOOKUP(A511,[5]PRIORIZADOS!$A:$P,16,FALSE)),"")</f>
        <v>Visitas de evaluación con fines de mejoramiento</v>
      </c>
      <c r="Q511" s="134" t="s">
        <v>115</v>
      </c>
      <c r="R511" s="11" t="str">
        <f>IFERROR(IF(VLOOKUP(A511,[5]PRIORIZADOS!$A:$R,18,FALSE)="","",VLOOKUP(A511,[5]PRIORIZADOS!$A:$R,18,FALSE)),"")</f>
        <v>Se han activado las rutas de atención en casos necesarios y específicos, la IE cuenta con una buena convivencia y un seguimiento acorde para las diferentes situaciones. No obstante, se debe actualizar normativamente el MC</v>
      </c>
      <c r="S511" s="11" t="str">
        <f>IFERROR(IF(VLOOKUP(A511,[5]PRIORIZADOS!$A:$S,19,FALSE)="","",VLOOKUP(A511,[5]PRIORIZADOS!$A:$S,19,FALSE)),"")</f>
        <v>Actualizar normativamente el Manual de Convivencia</v>
      </c>
      <c r="T511" s="70" t="str">
        <f>IFERROR(IF(VLOOKUP(A511,[5]PRIORIZADOS!$A:$T,20,FALSE)="","",VLOOKUP(A511,[5]PRIORIZADOS!$A:$T,20,FALSE)),"")</f>
        <v>No</v>
      </c>
      <c r="U511" s="11" t="str">
        <f>IFERROR(IF(VLOOKUP(A511,[5]PRIORIZADOS!$A:$U,21,FALSE)="","",VLOOKUP(A511,[5]PRIORIZADOS!$A:$U,21,FALSE)),"")</f>
        <v>Se realizará revisión documental en el mes de octubre del 2025</v>
      </c>
    </row>
    <row r="512" spans="1:21" s="1" customFormat="1" ht="72">
      <c r="A512" s="69">
        <f>IF([5]PRIORIZADOS!A20="","",[5]PRIORIZADOS!A20)</f>
        <v>520</v>
      </c>
      <c r="B512" s="70">
        <f>IFERROR(IF(VLOOKUP(A512,[5]PRIORIZADOS!$A:$B,2,FALSE)="","",VLOOKUP(A512,[5]PRIORIZADOS!$A:$B,2,FALSE)),"")</f>
        <v>2</v>
      </c>
      <c r="C512" s="11" t="str">
        <f>IFERROR(IF(VLOOKUP(A512,[5]PRIORIZADOS!$A:$C,3,FALSE)="","",VLOOKUP(A512,[5]PRIORIZADOS!$A:$C,3,FALSE)),"")</f>
        <v>CIUDAD BOLÍVAR</v>
      </c>
      <c r="D512" s="11" t="str">
        <f>IFERROR(IF(VLOOKUP(A512,[5]PRIORIZADOS!$A:$D,4,FALSE)="","",VLOOKUP(A512,[5]PRIORIZADOS!$A:$D,4,FALSE)),"")</f>
        <v>PRIVADO</v>
      </c>
      <c r="E512" s="11" t="str">
        <f>IFERROR(IF(VLOOKUP(A512,[5]PRIORIZADOS!$A:$E,5,FALSE)="","",VLOOKUP(A512,[5]PRIORIZADOS!$A:$E,5,FALSE)),"")</f>
        <v>EPBM</v>
      </c>
      <c r="F512" s="11" t="str">
        <f>IFERROR(IF(VLOOKUP(A512,[5]PRIORIZADOS!$A:$F,6,FALSE)="","",VLOOKUP(A512,[5]PRIORIZADOS!$A:$F,6,FALSE)),"")</f>
        <v>NUEVO_COLEGIO_LUSADI_LTDA</v>
      </c>
      <c r="G512" s="11" t="str">
        <f>IFERROR(IF(VLOOKUP(A512,[5]PRIORIZADOS!$A:$G,7,FALSE)="","",VLOOKUP(A512,[5]PRIORIZADOS!$A:$G,7,FALSE)),"")</f>
        <v>NUEVO COLEGIO LUSADI LTDA</v>
      </c>
      <c r="H512" s="11" t="str">
        <f>IFERROR(IF(VLOOKUP(A512,[5]PRIORIZADOS!$A:$H,8,FALSE)="","",VLOOKUP(A512,[5]PRIORIZADOS!$A:$H,8,FALSE)),"")</f>
        <v>Autoevaluación Institucional y Pruebas SABER 11</v>
      </c>
      <c r="I512" s="11" t="str">
        <f>IFERROR(IF(VLOOKUP(A512,[5]PRIORIZADOS!$A:$I,9,FALSE)="","",VLOOKUP(A512,[5]PRIORIZADOS!$A:$I,9,FALSE)),"")</f>
        <v>SEGUIMIENTO_Y_SUPERVISIÓN.</v>
      </c>
      <c r="J512" s="11" t="str">
        <f>IFERROR(IF(VLOOKUP(A512,[5]PRIORIZADOS!$A:$J,10,FALSE)="","",VLOOKUP(A512,[5]PRIORIZADOS!$A:$J,10,FALSE)),"")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12" s="11" t="str">
        <f>IFERROR(IF(VLOOKUP(A512,[5]PRIORIZADOS!$A:$K,11,FALSE)="","",VLOOKUP(A512,[5]PRIORIZADOS!$A:$K,11,FALSE)),"")</f>
        <v>ÓSCAR JAVIER CÁRDENAS MUÑOZ</v>
      </c>
      <c r="L512" s="11" t="str">
        <f>IFERROR(IF(VLOOKUP(A512,[5]PRIORIZADOS!$A:$L,12,FALSE)="","",VLOOKUP(A512,[5]PRIORIZADOS!$A:$L,12,FALSE)),"")</f>
        <v xml:space="preserve">CLAUDIA DOMÍNGUEZ TORRES </v>
      </c>
      <c r="M512" s="71">
        <f>IFERROR(IF(VLOOKUP(A512,[5]PRIORIZADOS!$A:$M,13,FALSE)="","",VLOOKUP(A512,[5]PRIORIZADOS!$A:$M,13,FALSE)),"")</f>
        <v>45747</v>
      </c>
      <c r="N512" s="71">
        <f>IFERROR(IF(VLOOKUP(A512,[5]PRIORIZADOS!$A:$N,14,FALSE)="","",VLOOKUP(A512,[5]PRIORIZADOS!$A:$N,14,FALSE)),"")</f>
        <v>45807</v>
      </c>
      <c r="O512" s="71">
        <f>IFERROR(IF(VLOOKUP(A512,[5]PRIORIZADOS!$A:$O,15,FALSE)="","",VLOOKUP(A512,[5]PRIORIZADOS!$A:$O,15,FALSE)),"")</f>
        <v>45807</v>
      </c>
      <c r="P512" s="11" t="str">
        <f>IFERROR(IF(VLOOKUP(A512,[5]PRIORIZADOS!$A:$P,16,FALSE)="","",VLOOKUP(A512,[5]PRIORIZADOS!$A:$P,16,FALSE)),"")</f>
        <v>Visitas de evaluación con fines de mejoramiento</v>
      </c>
      <c r="Q512" s="134" t="s">
        <v>115</v>
      </c>
      <c r="R512" s="11" t="str">
        <f>IFERROR(IF(VLOOKUP(A512,[5]PRIORIZADOS!$A:$R,18,FALSE)="","",VLOOKUP(A512,[5]PRIORIZADOS!$A:$R,18,FALSE)),"")</f>
        <v xml:space="preserve">Cuentan con 10 casos iniciales con alguna condición. Se brindan claridades sobre el manejo de los estudiantes con trastornos. </v>
      </c>
      <c r="S512" s="11" t="str">
        <f>IFERROR(IF(VLOOKUP(A512,[5]PRIORIZADOS!$A:$S,19,FALSE)="","",VLOOKUP(A512,[5]PRIORIZADOS!$A:$S,19,FALSE)),"")</f>
        <v xml:space="preserve">Hacer un análisis más profundo sobre las condiciones de los estudiantes con base en el diagnóstico médico para el ajuste del PIAR y de la flexibilización curricular. </v>
      </c>
      <c r="T512" s="70" t="str">
        <f>IFERROR(IF(VLOOKUP(A512,[5]PRIORIZADOS!$A:$T,20,FALSE)="","",VLOOKUP(A512,[5]PRIORIZADOS!$A:$T,20,FALSE)),"")</f>
        <v>Si</v>
      </c>
      <c r="U512" s="11" t="str">
        <f>IFERROR(IF(VLOOKUP(A512,[5]PRIORIZADOS!$A:$U,21,FALSE)="","",VLOOKUP(A512,[5]PRIORIZADOS!$A:$U,21,FALSE)),"")</f>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
    </row>
    <row r="513" spans="1:21" s="1" customFormat="1" ht="84">
      <c r="A513" s="69">
        <f>IF([5]PRIORIZADOS!A21="","",[5]PRIORIZADOS!A21)</f>
        <v>521</v>
      </c>
      <c r="B513" s="70">
        <f>IFERROR(IF(VLOOKUP(A513,[5]PRIORIZADOS!$A:$B,2,FALSE)="","",VLOOKUP(A513,[5]PRIORIZADOS!$A:$B,2,FALSE)),"")</f>
        <v>2</v>
      </c>
      <c r="C513" s="11" t="str">
        <f>IFERROR(IF(VLOOKUP(A513,[5]PRIORIZADOS!$A:$C,3,FALSE)="","",VLOOKUP(A513,[5]PRIORIZADOS!$A:$C,3,FALSE)),"")</f>
        <v>CIUDAD BOLÍVAR</v>
      </c>
      <c r="D513" s="11" t="str">
        <f>IFERROR(IF(VLOOKUP(A513,[5]PRIORIZADOS!$A:$D,4,FALSE)="","",VLOOKUP(A513,[5]PRIORIZADOS!$A:$D,4,FALSE)),"")</f>
        <v>PRIVADO</v>
      </c>
      <c r="E513" s="11" t="str">
        <f>IFERROR(IF(VLOOKUP(A513,[5]PRIORIZADOS!$A:$E,5,FALSE)="","",VLOOKUP(A513,[5]PRIORIZADOS!$A:$E,5,FALSE)),"")</f>
        <v>EPBM</v>
      </c>
      <c r="F513" s="11" t="str">
        <f>IFERROR(IF(VLOOKUP(A513,[5]PRIORIZADOS!$A:$F,6,FALSE)="","",VLOOKUP(A513,[5]PRIORIZADOS!$A:$F,6,FALSE)),"")</f>
        <v>NUEVO_COLEGIO_LUSADI_LTDA</v>
      </c>
      <c r="G513" s="11" t="str">
        <f>IFERROR(IF(VLOOKUP(A513,[5]PRIORIZADOS!$A:$G,7,FALSE)="","",VLOOKUP(A513,[5]PRIORIZADOS!$A:$G,7,FALSE)),"")</f>
        <v>NUEVO COLEGIO LUSADI LTDA</v>
      </c>
      <c r="H513" s="11" t="str">
        <f>IFERROR(IF(VLOOKUP(A513,[5]PRIORIZADOS!$A:$H,8,FALSE)="","",VLOOKUP(A513,[5]PRIORIZADOS!$A:$H,8,FALSE)),"")</f>
        <v>Autoevaluación Institucional y Pruebas SABER 11</v>
      </c>
      <c r="I513" s="11" t="str">
        <f>IFERROR(IF(VLOOKUP(A513,[5]PRIORIZADOS!$A:$I,9,FALSE)="","",VLOOKUP(A513,[5]PRIORIZADOS!$A:$I,9,FALSE)),"")</f>
        <v>EVALUACIÓN_CON_FINES_DE_MEJORAMIENTO.</v>
      </c>
      <c r="J513" s="11" t="str">
        <f>IFERROR(IF(VLOOKUP(A513,[5]PRIORIZADOS!$A:$J,10,FALSE)="","",VLOOKUP(A513,[5]PRIORIZADOS!$A:$J,10,FALSE)),"")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13" s="11" t="str">
        <f>IFERROR(IF(VLOOKUP(A513,[5]PRIORIZADOS!$A:$K,11,FALSE)="","",VLOOKUP(A513,[5]PRIORIZADOS!$A:$K,11,FALSE)),"")</f>
        <v>ÓSCAR JAVIER CÁRDENAS MUÑOZ</v>
      </c>
      <c r="L513" s="11" t="str">
        <f>IFERROR(IF(VLOOKUP(A513,[5]PRIORIZADOS!$A:$L,12,FALSE)="","",VLOOKUP(A513,[5]PRIORIZADOS!$A:$L,12,FALSE)),"")</f>
        <v xml:space="preserve">CLAUDIA DOMÍNGUEZ TORRES </v>
      </c>
      <c r="M513" s="71">
        <f>IFERROR(IF(VLOOKUP(A513,[5]PRIORIZADOS!$A:$M,13,FALSE)="","",VLOOKUP(A513,[5]PRIORIZADOS!$A:$M,13,FALSE)),"")</f>
        <v>45747</v>
      </c>
      <c r="N513" s="71">
        <f>IFERROR(IF(VLOOKUP(A513,[5]PRIORIZADOS!$A:$N,14,FALSE)="","",VLOOKUP(A513,[5]PRIORIZADOS!$A:$N,14,FALSE)),"")</f>
        <v>45807</v>
      </c>
      <c r="O513" s="71">
        <f>IFERROR(IF(VLOOKUP(A513,[5]PRIORIZADOS!$A:$O,15,FALSE)="","",VLOOKUP(A513,[5]PRIORIZADOS!$A:$O,15,FALSE)),"")</f>
        <v>45807</v>
      </c>
      <c r="P513" s="11" t="str">
        <f>IFERROR(IF(VLOOKUP(A513,[5]PRIORIZADOS!$A:$P,16,FALSE)="","",VLOOKUP(A513,[5]PRIORIZADOS!$A:$P,16,FALSE)),"")</f>
        <v>Visitas de evaluación con fines de mejoramiento</v>
      </c>
      <c r="Q513" s="134" t="s">
        <v>115</v>
      </c>
      <c r="R513" s="11" t="str">
        <f>IFERROR(IF(VLOOKUP(A513,[5]PRIORIZADOS!$A:$R,18,FALSE)="","",VLOOKUP(A513,[5]PRIORIZADOS!$A:$R,18,FALSE)),"")</f>
        <v>Tienen un Manual de Convivencia, debidamente construido, socializado e implementado, este requiere actualización normativa para la siguiente vigencia.</v>
      </c>
      <c r="S513" s="11" t="str">
        <f>IFERROR(IF(VLOOKUP(A513,[5]PRIORIZADOS!$A:$S,19,FALSE)="","",VLOOKUP(A513,[5]PRIORIZADOS!$A:$S,19,FALSE)),"")</f>
        <v>Realozar la actualizacion normativa del Manual de Convivencia</v>
      </c>
      <c r="T513" s="70" t="str">
        <f>IFERROR(IF(VLOOKUP(A513,[5]PRIORIZADOS!$A:$T,20,FALSE)="","",VLOOKUP(A513,[5]PRIORIZADOS!$A:$T,20,FALSE)),"")</f>
        <v>Si</v>
      </c>
      <c r="U513" s="11" t="str">
        <f>IFERROR(IF(VLOOKUP(A513,[5]PRIORIZADOS!$A:$U,21,FALSE)="","",VLOOKUP(A513,[5]PRIORIZADOS!$A:$U,21,FALSE)),"")</f>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
    </row>
    <row r="514" spans="1:21" s="1" customFormat="1" ht="48">
      <c r="A514" s="69">
        <f>IF([5]PRIORIZADOS!A22="","",[5]PRIORIZADOS!A22)</f>
        <v>522</v>
      </c>
      <c r="B514" s="70">
        <f>IFERROR(IF(VLOOKUP(A514,[5]PRIORIZADOS!$A:$B,2,FALSE)="","",VLOOKUP(A514,[5]PRIORIZADOS!$A:$B,2,FALSE)),"")</f>
        <v>2</v>
      </c>
      <c r="C514" s="11" t="str">
        <f>IFERROR(IF(VLOOKUP(A514,[5]PRIORIZADOS!$A:$C,3,FALSE)="","",VLOOKUP(A514,[5]PRIORIZADOS!$A:$C,3,FALSE)),"")</f>
        <v>CIUDAD BOLÍVAR</v>
      </c>
      <c r="D514" s="11" t="str">
        <f>IFERROR(IF(VLOOKUP(A514,[5]PRIORIZADOS!$A:$D,4,FALSE)="","",VLOOKUP(A514,[5]PRIORIZADOS!$A:$D,4,FALSE)),"")</f>
        <v>PRIVADO</v>
      </c>
      <c r="E514" s="11" t="str">
        <f>IFERROR(IF(VLOOKUP(A514,[5]PRIORIZADOS!$A:$E,5,FALSE)="","",VLOOKUP(A514,[5]PRIORIZADOS!$A:$E,5,FALSE)),"")</f>
        <v>EPBM</v>
      </c>
      <c r="F514" s="11" t="str">
        <f>IFERROR(IF(VLOOKUP(A514,[5]PRIORIZADOS!$A:$F,6,FALSE)="","",VLOOKUP(A514,[5]PRIORIZADOS!$A:$F,6,FALSE)),"")</f>
        <v>NUEVO_COLEGIO_LUSADI_LTDA</v>
      </c>
      <c r="G514" s="11" t="str">
        <f>IFERROR(IF(VLOOKUP(A514,[5]PRIORIZADOS!$A:$G,7,FALSE)="","",VLOOKUP(A514,[5]PRIORIZADOS!$A:$G,7,FALSE)),"")</f>
        <v>NUEVO COLEGIO LUSADI LTDA</v>
      </c>
      <c r="H514" s="11" t="str">
        <f>IFERROR(IF(VLOOKUP(A514,[5]PRIORIZADOS!$A:$H,8,FALSE)="","",VLOOKUP(A514,[5]PRIORIZADOS!$A:$H,8,FALSE)),"")</f>
        <v>Autoevaluación Institucional y Pruebas SABER 11</v>
      </c>
      <c r="I514" s="11" t="str">
        <f>IFERROR(IF(VLOOKUP(A514,[5]PRIORIZADOS!$A:$I,9,FALSE)="","",VLOOKUP(A514,[5]PRIORIZADOS!$A:$I,9,FALSE)),"")</f>
        <v>EVALUACIÓN_CON_FINES_DE_MEJORAMIENTO.</v>
      </c>
      <c r="J514" s="11" t="str">
        <f>IFERROR(IF(VLOOKUP(A514,[5]PRIORIZADOS!$A:$J,10,FALSE)="","",VLOOKUP(A514,[5]PRIORIZADOS!$A:$J,10,FALSE)),"")</f>
        <v>Revisar la actualización, socialización e implementación del Sistema Institucional de Evaluación de Estudiantes - SIEE, en articulación con la actualización del PEI y la normatividad vigente.</v>
      </c>
      <c r="K514" s="11" t="str">
        <f>IFERROR(IF(VLOOKUP(A514,[5]PRIORIZADOS!$A:$K,11,FALSE)="","",VLOOKUP(A514,[5]PRIORIZADOS!$A:$K,11,FALSE)),"")</f>
        <v>ÓSCAR JAVIER CÁRDENAS MUÑOZ</v>
      </c>
      <c r="L514" s="11" t="str">
        <f>IFERROR(IF(VLOOKUP(A514,[5]PRIORIZADOS!$A:$L,12,FALSE)="","",VLOOKUP(A514,[5]PRIORIZADOS!$A:$L,12,FALSE)),"")</f>
        <v xml:space="preserve">CLAUDIA DOMÍNGUEZ TORRES </v>
      </c>
      <c r="M514" s="71">
        <f>IFERROR(IF(VLOOKUP(A514,[5]PRIORIZADOS!$A:$M,13,FALSE)="","",VLOOKUP(A514,[5]PRIORIZADOS!$A:$M,13,FALSE)),"")</f>
        <v>45747</v>
      </c>
      <c r="N514" s="71">
        <f>IFERROR(IF(VLOOKUP(A514,[5]PRIORIZADOS!$A:$N,14,FALSE)="","",VLOOKUP(A514,[5]PRIORIZADOS!$A:$N,14,FALSE)),"")</f>
        <v>45807</v>
      </c>
      <c r="O514" s="71">
        <f>IFERROR(IF(VLOOKUP(A514,[5]PRIORIZADOS!$A:$O,15,FALSE)="","",VLOOKUP(A514,[5]PRIORIZADOS!$A:$O,15,FALSE)),"")</f>
        <v>45807</v>
      </c>
      <c r="P514" s="11" t="str">
        <f>IFERROR(IF(VLOOKUP(A514,[5]PRIORIZADOS!$A:$P,16,FALSE)="","",VLOOKUP(A514,[5]PRIORIZADOS!$A:$P,16,FALSE)),"")</f>
        <v>Visitas de evaluación con fines de mejoramiento</v>
      </c>
      <c r="Q514" s="134" t="s">
        <v>115</v>
      </c>
      <c r="R514" s="11" t="str">
        <f>IFERROR(IF(VLOOKUP(A514,[5]PRIORIZADOS!$A:$R,18,FALSE)="","",VLOOKUP(A514,[5]PRIORIZADOS!$A:$R,18,FALSE)),"")</f>
        <v xml:space="preserve">Tienen un SIEE debidamente construido, socializado e implementado, sin embargo debe actualizarse normativamente. </v>
      </c>
      <c r="S514" s="11" t="str">
        <f>IFERROR(IF(VLOOKUP(A514,[5]PRIORIZADOS!$A:$S,19,FALSE)="","",VLOOKUP(A514,[5]PRIORIZADOS!$A:$S,19,FALSE)),"")</f>
        <v>Actualizar normativamente el SIEE</v>
      </c>
      <c r="T514" s="70" t="str">
        <f>IFERROR(IF(VLOOKUP(A514,[5]PRIORIZADOS!$A:$T,20,FALSE)="","",VLOOKUP(A514,[5]PRIORIZADOS!$A:$T,20,FALSE)),"")</f>
        <v>Si</v>
      </c>
      <c r="U514" s="11" t="str">
        <f>IFERROR(IF(VLOOKUP(A514,[5]PRIORIZADOS!$A:$U,21,FALSE)="","",VLOOKUP(A514,[5]PRIORIZADOS!$A:$U,21,FALSE)),"")</f>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
    </row>
    <row r="515" spans="1:21" s="1" customFormat="1" ht="48">
      <c r="A515" s="69">
        <f>IF([5]PRIORIZADOS!A23="","",[5]PRIORIZADOS!A23)</f>
        <v>523</v>
      </c>
      <c r="B515" s="70">
        <f>IFERROR(IF(VLOOKUP(A515,[5]PRIORIZADOS!$A:$B,2,FALSE)="","",VLOOKUP(A515,[5]PRIORIZADOS!$A:$B,2,FALSE)),"")</f>
        <v>2</v>
      </c>
      <c r="C515" s="11" t="str">
        <f>IFERROR(IF(VLOOKUP(A515,[5]PRIORIZADOS!$A:$C,3,FALSE)="","",VLOOKUP(A515,[5]PRIORIZADOS!$A:$C,3,FALSE)),"")</f>
        <v>CIUDAD BOLÍVAR</v>
      </c>
      <c r="D515" s="11" t="str">
        <f>IFERROR(IF(VLOOKUP(A515,[5]PRIORIZADOS!$A:$D,4,FALSE)="","",VLOOKUP(A515,[5]PRIORIZADOS!$A:$D,4,FALSE)),"")</f>
        <v>PRIVADO</v>
      </c>
      <c r="E515" s="11" t="str">
        <f>IFERROR(IF(VLOOKUP(A515,[5]PRIORIZADOS!$A:$E,5,FALSE)="","",VLOOKUP(A515,[5]PRIORIZADOS!$A:$E,5,FALSE)),"")</f>
        <v>EPBM</v>
      </c>
      <c r="F515" s="11" t="str">
        <f>IFERROR(IF(VLOOKUP(A515,[5]PRIORIZADOS!$A:$F,6,FALSE)="","",VLOOKUP(A515,[5]PRIORIZADOS!$A:$F,6,FALSE)),"")</f>
        <v>NUEVO_COLEGIO_LUSADI_LTDA</v>
      </c>
      <c r="G515" s="11" t="str">
        <f>IFERROR(IF(VLOOKUP(A515,[5]PRIORIZADOS!$A:$G,7,FALSE)="","",VLOOKUP(A515,[5]PRIORIZADOS!$A:$G,7,FALSE)),"")</f>
        <v>NUEVO COLEGIO LUSADI LTDA</v>
      </c>
      <c r="H515" s="11" t="str">
        <f>IFERROR(IF(VLOOKUP(A515,[5]PRIORIZADOS!$A:$H,8,FALSE)="","",VLOOKUP(A515,[5]PRIORIZADOS!$A:$H,8,FALSE)),"")</f>
        <v>Autoevaluación Institucional y Pruebas SABER 11</v>
      </c>
      <c r="I515" s="11" t="str">
        <f>IFERROR(IF(VLOOKUP(A515,[5]PRIORIZADOS!$A:$I,9,FALSE)="","",VLOOKUP(A515,[5]PRIORIZADOS!$A:$I,9,FALSE)),"")</f>
        <v>EVALUACIÓN_CON_FINES_DE_MEJORAMIENTO.</v>
      </c>
      <c r="J515" s="11" t="str">
        <f>IFERROR(IF(VLOOKUP(A515,[5]PRIORIZADOS!$A:$J,10,FALSE)="","",VLOOKUP(A515,[5]PRIORIZADOS!$A:$J,10,FALSE)),"")</f>
        <v>Revisar el calendario escolar, jornada escolar, la intensidad horaria mínima anual en cada nivel y las modificaciones que se realicen al mismo, de acuerdo con lo previsto en la normatividad vigente.</v>
      </c>
      <c r="K515" s="11" t="str">
        <f>IFERROR(IF(VLOOKUP(A515,[5]PRIORIZADOS!$A:$K,11,FALSE)="","",VLOOKUP(A515,[5]PRIORIZADOS!$A:$K,11,FALSE)),"")</f>
        <v>ÓSCAR JAVIER CÁRDENAS MUÑOZ</v>
      </c>
      <c r="L515" s="11" t="str">
        <f>IFERROR(IF(VLOOKUP(A515,[5]PRIORIZADOS!$A:$L,12,FALSE)="","",VLOOKUP(A515,[5]PRIORIZADOS!$A:$L,12,FALSE)),"")</f>
        <v xml:space="preserve">CLAUDIA DOMÍNGUEZ TORRES </v>
      </c>
      <c r="M515" s="71">
        <f>IFERROR(IF(VLOOKUP(A515,[5]PRIORIZADOS!$A:$M,13,FALSE)="","",VLOOKUP(A515,[5]PRIORIZADOS!$A:$M,13,FALSE)),"")</f>
        <v>45747</v>
      </c>
      <c r="N515" s="71">
        <f>IFERROR(IF(VLOOKUP(A515,[5]PRIORIZADOS!$A:$N,14,FALSE)="","",VLOOKUP(A515,[5]PRIORIZADOS!$A:$N,14,FALSE)),"")</f>
        <v>45807</v>
      </c>
      <c r="O515" s="71">
        <f>IFERROR(IF(VLOOKUP(A515,[5]PRIORIZADOS!$A:$O,15,FALSE)="","",VLOOKUP(A515,[5]PRIORIZADOS!$A:$O,15,FALSE)),"")</f>
        <v>45807</v>
      </c>
      <c r="P515" s="11" t="str">
        <f>IFERROR(IF(VLOOKUP(A515,[5]PRIORIZADOS!$A:$P,16,FALSE)="","",VLOOKUP(A515,[5]PRIORIZADOS!$A:$P,16,FALSE)),"")</f>
        <v>Visitas de evaluación con fines de mejoramiento</v>
      </c>
      <c r="Q515" s="134" t="s">
        <v>115</v>
      </c>
      <c r="R515" s="11" t="str">
        <f>IFERROR(IF(VLOOKUP(A515,[5]PRIORIZADOS!$A:$R,18,FALSE)="","",VLOOKUP(A515,[5]PRIORIZADOS!$A:$R,18,FALSE)),"")</f>
        <v>Cumplen con la cantidad de horas para cada nivel escolar.</v>
      </c>
      <c r="S515" s="11" t="str">
        <f>IFERROR(IF(VLOOKUP(A515,[5]PRIORIZADOS!$A:$S,19,FALSE)="","",VLOOKUP(A515,[5]PRIORIZADOS!$A:$S,19,FALSE)),"")</f>
        <v>Continuar con la definición del calendario académico en el marco de la normatividad y garantizar su cumplimiento hasta finalizar el año escolar.</v>
      </c>
      <c r="T515" s="70" t="str">
        <f>IFERROR(IF(VLOOKUP(A515,[5]PRIORIZADOS!$A:$T,20,FALSE)="","",VLOOKUP(A515,[5]PRIORIZADOS!$A:$T,20,FALSE)),"")</f>
        <v>No</v>
      </c>
      <c r="U515" s="11" t="str">
        <f>IFERROR(IF(VLOOKUP(A515,[5]PRIORIZADOS!$A:$U,21,FALSE)="","",VLOOKUP(A515,[5]PRIORIZADOS!$A:$U,21,FALSE)),"")</f>
        <v>Se revisará el calendario para la vigencia 2026</v>
      </c>
    </row>
    <row r="516" spans="1:21" s="1" customFormat="1" ht="60">
      <c r="A516" s="69">
        <f>IF([5]PRIORIZADOS!A24="","",[5]PRIORIZADOS!A24)</f>
        <v>524</v>
      </c>
      <c r="B516" s="70">
        <f>IFERROR(IF(VLOOKUP(A516,[5]PRIORIZADOS!$A:$B,2,FALSE)="","",VLOOKUP(A516,[5]PRIORIZADOS!$A:$B,2,FALSE)),"")</f>
        <v>2</v>
      </c>
      <c r="C516" s="11" t="str">
        <f>IFERROR(IF(VLOOKUP(A516,[5]PRIORIZADOS!$A:$C,3,FALSE)="","",VLOOKUP(A516,[5]PRIORIZADOS!$A:$C,3,FALSE)),"")</f>
        <v>CIUDAD BOLÍVAR</v>
      </c>
      <c r="D516" s="11" t="str">
        <f>IFERROR(IF(VLOOKUP(A516,[5]PRIORIZADOS!$A:$D,4,FALSE)="","",VLOOKUP(A516,[5]PRIORIZADOS!$A:$D,4,FALSE)),"")</f>
        <v>PRIVADO</v>
      </c>
      <c r="E516" s="11" t="str">
        <f>IFERROR(IF(VLOOKUP(A516,[5]PRIORIZADOS!$A:$E,5,FALSE)="","",VLOOKUP(A516,[5]PRIORIZADOS!$A:$E,5,FALSE)),"")</f>
        <v>EPBM</v>
      </c>
      <c r="F516" s="11" t="str">
        <f>IFERROR(IF(VLOOKUP(A516,[5]PRIORIZADOS!$A:$F,6,FALSE)="","",VLOOKUP(A516,[5]PRIORIZADOS!$A:$F,6,FALSE)),"")</f>
        <v>NUEVO_COLEGIO_LUSADI_LTDA</v>
      </c>
      <c r="G516" s="11" t="str">
        <f>IFERROR(IF(VLOOKUP(A516,[5]PRIORIZADOS!$A:$G,7,FALSE)="","",VLOOKUP(A516,[5]PRIORIZADOS!$A:$G,7,FALSE)),"")</f>
        <v>NUEVO COLEGIO LUSADI LTDA</v>
      </c>
      <c r="H516" s="11" t="str">
        <f>IFERROR(IF(VLOOKUP(A516,[5]PRIORIZADOS!$A:$H,8,FALSE)="","",VLOOKUP(A516,[5]PRIORIZADOS!$A:$H,8,FALSE)),"")</f>
        <v>Autoevaluación Institucional y Pruebas SABER 11</v>
      </c>
      <c r="I516" s="11" t="str">
        <f>IFERROR(IF(VLOOKUP(A516,[5]PRIORIZADOS!$A:$I,9,FALSE)="","",VLOOKUP(A516,[5]PRIORIZADOS!$A:$I,9,FALSE)),"")</f>
        <v>EVALUACIÓN_CON_FINES_DE_MEJORAMIENTO.</v>
      </c>
      <c r="J516" s="11" t="str">
        <f>IFERROR(IF(VLOOKUP(A516,[5]PRIORIZADOS!$A:$J,10,FALSE)="","",VLOOKUP(A516,[5]PRIORIZADOS!$A:$J,10,FALSE)),"")</f>
        <v>Verificar el funcionamiento del Gobierno Escolar e instancias de participación con base en la información sobre conformación reportada por la institución educativa.</v>
      </c>
      <c r="K516" s="11" t="str">
        <f>IFERROR(IF(VLOOKUP(A516,[5]PRIORIZADOS!$A:$K,11,FALSE)="","",VLOOKUP(A516,[5]PRIORIZADOS!$A:$K,11,FALSE)),"")</f>
        <v>ÓSCAR JAVIER CÁRDENAS MUÑOZ</v>
      </c>
      <c r="L516" s="11" t="str">
        <f>IFERROR(IF(VLOOKUP(A516,[5]PRIORIZADOS!$A:$L,12,FALSE)="","",VLOOKUP(A516,[5]PRIORIZADOS!$A:$L,12,FALSE)),"")</f>
        <v xml:space="preserve">CLAUDIA DOMÍNGUEZ TORRES </v>
      </c>
      <c r="M516" s="71">
        <f>IFERROR(IF(VLOOKUP(A516,[5]PRIORIZADOS!$A:$M,13,FALSE)="","",VLOOKUP(A516,[5]PRIORIZADOS!$A:$M,13,FALSE)),"")</f>
        <v>45747</v>
      </c>
      <c r="N516" s="71">
        <f>IFERROR(IF(VLOOKUP(A516,[5]PRIORIZADOS!$A:$N,14,FALSE)="","",VLOOKUP(A516,[5]PRIORIZADOS!$A:$N,14,FALSE)),"")</f>
        <v>45807</v>
      </c>
      <c r="O516" s="71">
        <f>IFERROR(IF(VLOOKUP(A516,[5]PRIORIZADOS!$A:$O,15,FALSE)="","",VLOOKUP(A516,[5]PRIORIZADOS!$A:$O,15,FALSE)),"")</f>
        <v>45807</v>
      </c>
      <c r="P516" s="11" t="str">
        <f>IFERROR(IF(VLOOKUP(A516,[5]PRIORIZADOS!$A:$P,16,FALSE)="","",VLOOKUP(A516,[5]PRIORIZADOS!$A:$P,16,FALSE)),"")</f>
        <v>Visitas de evaluación con fines de mejoramiento</v>
      </c>
      <c r="Q516" s="134" t="s">
        <v>115</v>
      </c>
      <c r="R516" s="11" t="str">
        <f>IFERROR(IF(VLOOKUP(A516,[5]PRIORIZADOS!$A:$R,18,FALSE)="","",VLOOKUP(A516,[5]PRIORIZADOS!$A:$R,18,FALSE)),"")</f>
        <v>Cumplen con la conformación y debida participación de los diferentes estamentos del Gobierno Escolar. Se observo que el registro de las actas no se lleva de manera ordenada</v>
      </c>
      <c r="S516" s="11" t="str">
        <f>IFERROR(IF(VLOOKUP(A516,[5]PRIORIZADOS!$A:$S,19,FALSE)="","",VLOOKUP(A516,[5]PRIORIZADOS!$A:$S,19,FALSE)),"")</f>
        <v>Desarrollar un proceso documental acorde frente al formato de registro de las actas.</v>
      </c>
      <c r="T516" s="70" t="str">
        <f>IFERROR(IF(VLOOKUP(A516,[5]PRIORIZADOS!$A:$T,20,FALSE)="","",VLOOKUP(A516,[5]PRIORIZADOS!$A:$T,20,FALSE)),"")</f>
        <v>Si</v>
      </c>
      <c r="U516" s="11" t="str">
        <f>IFERROR(IF(VLOOKUP(A516,[5]PRIORIZADOS!$A:$U,21,FALSE)="","",VLOOKUP(A516,[5]PRIORIZADOS!$A:$U,21,FALSE)),"")</f>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
    </row>
    <row r="517" spans="1:21" s="1" customFormat="1" ht="60">
      <c r="A517" s="69">
        <f>IF([5]PRIORIZADOS!A25="","",[5]PRIORIZADOS!A25)</f>
        <v>525</v>
      </c>
      <c r="B517" s="70">
        <f>IFERROR(IF(VLOOKUP(A517,[5]PRIORIZADOS!$A:$B,2,FALSE)="","",VLOOKUP(A517,[5]PRIORIZADOS!$A:$B,2,FALSE)),"")</f>
        <v>2</v>
      </c>
      <c r="C517" s="11" t="str">
        <f>IFERROR(IF(VLOOKUP(A517,[5]PRIORIZADOS!$A:$C,3,FALSE)="","",VLOOKUP(A517,[5]PRIORIZADOS!$A:$C,3,FALSE)),"")</f>
        <v>CIUDAD BOLÍVAR</v>
      </c>
      <c r="D517" s="11" t="str">
        <f>IFERROR(IF(VLOOKUP(A517,[5]PRIORIZADOS!$A:$D,4,FALSE)="","",VLOOKUP(A517,[5]PRIORIZADOS!$A:$D,4,FALSE)),"")</f>
        <v>PRIVADO</v>
      </c>
      <c r="E517" s="11" t="str">
        <f>IFERROR(IF(VLOOKUP(A517,[5]PRIORIZADOS!$A:$E,5,FALSE)="","",VLOOKUP(A517,[5]PRIORIZADOS!$A:$E,5,FALSE)),"")</f>
        <v>EPBM</v>
      </c>
      <c r="F517" s="11" t="str">
        <f>IFERROR(IF(VLOOKUP(A517,[5]PRIORIZADOS!$A:$F,6,FALSE)="","",VLOOKUP(A517,[5]PRIORIZADOS!$A:$F,6,FALSE)),"")</f>
        <v>NUEVO_COLEGIO_LUSADI_LTDA</v>
      </c>
      <c r="G517" s="11" t="str">
        <f>IFERROR(IF(VLOOKUP(A517,[5]PRIORIZADOS!$A:$G,7,FALSE)="","",VLOOKUP(A517,[5]PRIORIZADOS!$A:$G,7,FALSE)),"")</f>
        <v>NUEVO COLEGIO LUSADI LTDA</v>
      </c>
      <c r="H517" s="11" t="str">
        <f>IFERROR(IF(VLOOKUP(A517,[5]PRIORIZADOS!$A:$H,8,FALSE)="","",VLOOKUP(A517,[5]PRIORIZADOS!$A:$H,8,FALSE)),"")</f>
        <v>Autoevaluación Institucional y Pruebas SABER 11</v>
      </c>
      <c r="I517" s="11" t="str">
        <f>IFERROR(IF(VLOOKUP(A517,[5]PRIORIZADOS!$A:$I,9,FALSE)="","",VLOOKUP(A517,[5]PRIORIZADOS!$A:$I,9,FALSE)),"")</f>
        <v>EVALUACIÓN_CON_FINES_DE_MEJORAMIENTO.</v>
      </c>
      <c r="J517" s="11" t="str">
        <f>IFERROR(IF(VLOOKUP(A517,[5]PRIORIZADOS!$A:$J,10,FALSE)="","",VLOOKUP(A517,[5]PRIORIZADOS!$A:$J,10,FALSE)),"")</f>
        <v>Verificar las condiciones en cuanto a: la estructura administrativa, condiciones de la planta física y medios educativos adecuados.</v>
      </c>
      <c r="K517" s="11" t="str">
        <f>IFERROR(IF(VLOOKUP(A517,[5]PRIORIZADOS!$A:$K,11,FALSE)="","",VLOOKUP(A517,[5]PRIORIZADOS!$A:$K,11,FALSE)),"")</f>
        <v>ÓSCAR JAVIER CÁRDENAS MUÑOZ</v>
      </c>
      <c r="L517" s="11" t="str">
        <f>IFERROR(IF(VLOOKUP(A517,[5]PRIORIZADOS!$A:$L,12,FALSE)="","",VLOOKUP(A517,[5]PRIORIZADOS!$A:$L,12,FALSE)),"")</f>
        <v xml:space="preserve">CLAUDIA DOMÍNGUEZ TORRES </v>
      </c>
      <c r="M517" s="71">
        <f>IFERROR(IF(VLOOKUP(A517,[5]PRIORIZADOS!$A:$M,13,FALSE)="","",VLOOKUP(A517,[5]PRIORIZADOS!$A:$M,13,FALSE)),"")</f>
        <v>45747</v>
      </c>
      <c r="N517" s="71">
        <f>IFERROR(IF(VLOOKUP(A517,[5]PRIORIZADOS!$A:$N,14,FALSE)="","",VLOOKUP(A517,[5]PRIORIZADOS!$A:$N,14,FALSE)),"")</f>
        <v>45807</v>
      </c>
      <c r="O517" s="71">
        <f>IFERROR(IF(VLOOKUP(A517,[5]PRIORIZADOS!$A:$O,15,FALSE)="","",VLOOKUP(A517,[5]PRIORIZADOS!$A:$O,15,FALSE)),"")</f>
        <v>45807</v>
      </c>
      <c r="P517" s="11" t="str">
        <f>IFERROR(IF(VLOOKUP(A517,[5]PRIORIZADOS!$A:$P,16,FALSE)="","",VLOOKUP(A517,[5]PRIORIZADOS!$A:$P,16,FALSE)),"")</f>
        <v>Visitas de evaluación con fines de mejoramiento</v>
      </c>
      <c r="Q517" s="134" t="s">
        <v>115</v>
      </c>
      <c r="R517" s="11" t="str">
        <f>IFERROR(IF(VLOOKUP(A517,[5]PRIORIZADOS!$A:$R,18,FALSE)="","",VLOOKUP(A517,[5]PRIORIZADOS!$A:$R,18,FALSE)),"")</f>
        <v>Se encuentra una planta física acorde con grupos pequeños e instalaciones y mobiliarios adecuados para la prestación del servicio. No cuenta con acceso para personas en condición de discapacidad.</v>
      </c>
      <c r="S517" s="11" t="str">
        <f>IFERROR(IF(VLOOKUP(A517,[5]PRIORIZADOS!$A:$S,19,FALSE)="","",VLOOKUP(A517,[5]PRIORIZADOS!$A:$S,19,FALSE)),"")</f>
        <v>Establecer acciones para adecuar las instalaciones de manera que permitan el acceso a personas con discapacidad.</v>
      </c>
      <c r="T517" s="70" t="str">
        <f>IFERROR(IF(VLOOKUP(A517,[5]PRIORIZADOS!$A:$T,20,FALSE)="","",VLOOKUP(A517,[5]PRIORIZADOS!$A:$T,20,FALSE)),"")</f>
        <v>Si</v>
      </c>
      <c r="U517" s="11" t="str">
        <f>IFERROR(IF(VLOOKUP(A517,[5]PRIORIZADOS!$A:$U,21,FALSE)="","",VLOOKUP(A517,[5]PRIORIZADOS!$A:$U,21,FALSE)),"")</f>
        <v>.Revisar plan de mejoramiento el cual se debe presentar por parte de la IE el día 15 de julio
.La IE presenta PM el día 19 de junio. 
.Se reliza visita de seguimiento el día 09 de septiembre del presente, evidenciando cumplimiento de los acuerdos establecidos en acta de visita con fines de mejoramiento.</v>
      </c>
    </row>
    <row r="518" spans="1:21" s="1" customFormat="1" ht="130.5">
      <c r="A518" s="69">
        <f>IF([5]PRIORIZADOS!A26="","",[5]PRIORIZADOS!A26)</f>
        <v>526</v>
      </c>
      <c r="B518" s="70">
        <f>IFERROR(IF(VLOOKUP(A518,[5]PRIORIZADOS!$A:$B,2,FALSE)="","",VLOOKUP(A518,[5]PRIORIZADOS!$A:$B,2,FALSE)),"")</f>
        <v>3</v>
      </c>
      <c r="C518" s="11" t="str">
        <f>IFERROR(IF(VLOOKUP(A518,[5]PRIORIZADOS!$A:$C,3,FALSE)="","",VLOOKUP(A518,[5]PRIORIZADOS!$A:$C,3,FALSE)),"")</f>
        <v>CIUDAD BOLÍVAR</v>
      </c>
      <c r="D518" s="11" t="str">
        <f>IFERROR(IF(VLOOKUP(A518,[5]PRIORIZADOS!$A:$D,4,FALSE)="","",VLOOKUP(A518,[5]PRIORIZADOS!$A:$D,4,FALSE)),"")</f>
        <v>PRIVADO</v>
      </c>
      <c r="E518" s="11" t="str">
        <f>IFERROR(IF(VLOOKUP(A518,[5]PRIORIZADOS!$A:$E,5,FALSE)="","",VLOOKUP(A518,[5]PRIORIZADOS!$A:$E,5,FALSE)),"")</f>
        <v>Educación de Jóvenes y Adultos</v>
      </c>
      <c r="F518" s="11" t="str">
        <f>IFERROR(IF(VLOOKUP(A518,[5]PRIORIZADOS!$A:$F,6,FALSE)="","",VLOOKUP(A518,[5]PRIORIZADOS!$A:$F,6,FALSE)),"")</f>
        <v>COLEGIO_NUEVO_MILENIO</v>
      </c>
      <c r="G518" s="11" t="str">
        <f>IFERROR(IF(VLOOKUP(A518,[5]PRIORIZADOS!$A:$G,7,FALSE)="","",VLOOKUP(A518,[5]PRIORIZADOS!$A:$G,7,FALSE)),"")</f>
        <v>COLEGIO NUEVO MILENIO</v>
      </c>
      <c r="H518" s="11" t="str">
        <f>IFERROR(IF(VLOOKUP(A518,[5]PRIORIZADOS!$A:$H,8,FALSE)="","",VLOOKUP(A518,[5]PRIORIZADOS!$A:$H,8,FALSE)),"")</f>
        <v>Autoevaluación Institucional y Pruebas SABER 11</v>
      </c>
      <c r="I518" s="11" t="str">
        <f>IFERROR(IF(VLOOKUP(A518,[5]PRIORIZADOS!$A:$I,9,FALSE)="","",VLOOKUP(A518,[5]PRIORIZADOS!$A:$I,9,FALSE)),"")</f>
        <v>SEGUIMIENTO_Y_SUPERVISIÓN.</v>
      </c>
      <c r="J518" s="11" t="str">
        <f>IFERROR(IF(VLOOKUP(A518,[5]PRIORIZADOS!$A:$J,10,FALSE)="","",VLOOKUP(A518,[5]PRIORIZADOS!$A:$J,10,FALSE)),"")</f>
        <v>Realizar visitas para verificar la información registrada sobre la autoevaluación institucional en el aplicativo EVI, a los establecimientos de educación formal no oficial.</v>
      </c>
      <c r="K518" s="11" t="str">
        <f>IFERROR(IF(VLOOKUP(A518,[5]PRIORIZADOS!$A:$K,11,FALSE)="","",VLOOKUP(A518,[5]PRIORIZADOS!$A:$K,11,FALSE)),"")</f>
        <v xml:space="preserve">JUDITH SOLANO RAMÍREZ </v>
      </c>
      <c r="L518" s="11" t="str">
        <f>IFERROR(IF(VLOOKUP(A518,[5]PRIORIZADOS!$A:$L,12,FALSE)="","",VLOOKUP(A518,[5]PRIORIZADOS!$A:$L,12,FALSE)),"")</f>
        <v xml:space="preserve">MARIA NANCY DUCUARA </v>
      </c>
      <c r="M518" s="71">
        <f>IFERROR(IF(VLOOKUP(A518,[5]PRIORIZADOS!$A:$M,13,FALSE)="","",VLOOKUP(A518,[5]PRIORIZADOS!$A:$M,13,FALSE)),"")</f>
        <v>45776</v>
      </c>
      <c r="N518" s="71">
        <f>IFERROR(IF(VLOOKUP(A518,[5]PRIORIZADOS!$A:$N,14,FALSE)="","",VLOOKUP(A518,[5]PRIORIZADOS!$A:$N,14,FALSE)),"")</f>
        <v>45754</v>
      </c>
      <c r="O518" s="71">
        <f>IFERROR(IF(VLOOKUP(A518,[5]PRIORIZADOS!$A:$O,15,FALSE)="","",VLOOKUP(A518,[5]PRIORIZADOS!$A:$O,15,FALSE)),"")</f>
        <v>45772</v>
      </c>
      <c r="P518" s="11" t="str">
        <f>IFERROR(IF(VLOOKUP(A518,[5]PRIORIZADOS!$A:$P,16,FALSE)="","",VLOOKUP(A518,[5]PRIORIZADOS!$A:$P,16,FALSE)),"")</f>
        <v>Visitas de evaluación con fines de mejoramiento</v>
      </c>
      <c r="Q518" s="125" t="s">
        <v>116</v>
      </c>
      <c r="R518" s="11" t="str">
        <f>IFERROR(IF(VLOOKUP(A518,[5]PRIORIZADOS!$A:$R,18,FALSE)="","",VLOOKUP(A518,[5]PRIORIZADOS!$A:$R,18,FALSE)),"")</f>
        <v>En la autoevaluación -EVI- reportan docentes titulados; sin embargo, verificadas las hojas de vida solamente la rectora tiene título profesional no licenciada, los demás docentes son tecnólogos. 
Aunque la institución indica que atiende a población de inclusión, se evidencia que su concepto se limita a la población afro, excluyendo a las personas con discapacidad.</v>
      </c>
      <c r="S518" s="11" t="str">
        <f>IFERROR(IF(VLOOKUP(A518,[5]PRIORIZADOS!$A:$S,19,FALSE)="","",VLOOKUP(A518,[5]PRIORIZADOS!$A:$S,19,FALSE)),"")</f>
        <v>Garantizar la contratación de personal idoneo de acuerdo a la normatividad vigente. 
Reportar en el EVI estudiantes de inclusión de acuerdo con la matrícula.
Verificar la información reportada en la autoevaluación  EVI, para que esté de acuerdo a la realidad institucional</v>
      </c>
      <c r="T518" s="70" t="str">
        <f>IFERROR(IF(VLOOKUP(A518,[5]PRIORIZADOS!$A:$T,20,FALSE)="","",VLOOKUP(A518,[5]PRIORIZADOS!$A:$T,20,FALSE)),"")</f>
        <v>Si</v>
      </c>
      <c r="U518" s="11" t="str">
        <f>IFERROR(IF(VLOOKUP(A518,[5]PRIORIZADOS!$A:$U,21,FALSE)="","",VLOOKUP(A518,[5]PRIORIZADOS!$A:$U,21,FALSE)),"")</f>
        <v>.Revisar el plan de mejoramiento a entregar por la IE el 15/05/2025.
.Realizar seguimiento en septiembre de 2025 para verificar el cumplimiento de las acciones establecidas en el plan de mejoramiento.</v>
      </c>
    </row>
    <row r="519" spans="1:21" s="1" customFormat="1" ht="84">
      <c r="A519" s="69">
        <f>IF([5]PRIORIZADOS!A27="","",[5]PRIORIZADOS!A27)</f>
        <v>527</v>
      </c>
      <c r="B519" s="70">
        <f>IFERROR(IF(VLOOKUP(A519,[5]PRIORIZADOS!$A:$B,2,FALSE)="","",VLOOKUP(A519,[5]PRIORIZADOS!$A:$B,2,FALSE)),"")</f>
        <v>3</v>
      </c>
      <c r="C519" s="11" t="str">
        <f>IFERROR(IF(VLOOKUP(A519,[5]PRIORIZADOS!$A:$C,3,FALSE)="","",VLOOKUP(A519,[5]PRIORIZADOS!$A:$C,3,FALSE)),"")</f>
        <v>CIUDAD BOLÍVAR</v>
      </c>
      <c r="D519" s="11" t="str">
        <f>IFERROR(IF(VLOOKUP(A519,[5]PRIORIZADOS!$A:$D,4,FALSE)="","",VLOOKUP(A519,[5]PRIORIZADOS!$A:$D,4,FALSE)),"")</f>
        <v>PRIVADO</v>
      </c>
      <c r="E519" s="11" t="str">
        <f>IFERROR(IF(VLOOKUP(A519,[5]PRIORIZADOS!$A:$E,5,FALSE)="","",VLOOKUP(A519,[5]PRIORIZADOS!$A:$E,5,FALSE)),"")</f>
        <v>Educación de Jóvenes y Adultos</v>
      </c>
      <c r="F519" s="11" t="str">
        <f>IFERROR(IF(VLOOKUP(A519,[5]PRIORIZADOS!$A:$F,6,FALSE)="","",VLOOKUP(A519,[5]PRIORIZADOS!$A:$F,6,FALSE)),"")</f>
        <v>COLEGIO_NUEVO_MILENIO</v>
      </c>
      <c r="G519" s="11" t="str">
        <f>IFERROR(IF(VLOOKUP(A519,[5]PRIORIZADOS!$A:$G,7,FALSE)="","",VLOOKUP(A519,[5]PRIORIZADOS!$A:$G,7,FALSE)),"")</f>
        <v>COLEGIO NUEVO MILENIO</v>
      </c>
      <c r="H519" s="11" t="str">
        <f>IFERROR(IF(VLOOKUP(A519,[5]PRIORIZADOS!$A:$H,8,FALSE)="","",VLOOKUP(A519,[5]PRIORIZADOS!$A:$H,8,FALSE)),"")</f>
        <v>Autoevaluación Institucional y Pruebas SABER 11</v>
      </c>
      <c r="I519" s="11" t="str">
        <f>IFERROR(IF(VLOOKUP(A519,[5]PRIORIZADOS!$A:$I,9,FALSE)="","",VLOOKUP(A519,[5]PRIORIZADOS!$A:$I,9,FALSE)),"")</f>
        <v>SEGUIMIENTO_Y_SUPERVISIÓN.</v>
      </c>
      <c r="J519" s="11" t="str">
        <f>IFERROR(IF(VLOOKUP(A519,[5]PRIORIZADOS!$A:$J,10,FALSE)="","",VLOOKUP(A519,[5]PRIORIZADOS!$A:$J,10,FALSE)),"")</f>
        <v>Proponer estrategias en la formulación, verificar su elaboración y realizar seguimiento semestral al desarrollo de  las acciones establecidas en los planes de mejoramiento por pruebas SABER 11 de los establecimientos de educación formal.</v>
      </c>
      <c r="K519" s="11" t="str">
        <f>IFERROR(IF(VLOOKUP(A519,[5]PRIORIZADOS!$A:$K,11,FALSE)="","",VLOOKUP(A519,[5]PRIORIZADOS!$A:$K,11,FALSE)),"")</f>
        <v xml:space="preserve">JUDITH SOLANO RAMÍREZ </v>
      </c>
      <c r="L519" s="11" t="str">
        <f>IFERROR(IF(VLOOKUP(A519,[5]PRIORIZADOS!$A:$L,12,FALSE)="","",VLOOKUP(A519,[5]PRIORIZADOS!$A:$L,12,FALSE)),"")</f>
        <v xml:space="preserve">MARIA NANCY DUCUARA </v>
      </c>
      <c r="M519" s="71">
        <f>IFERROR(IF(VLOOKUP(A519,[5]PRIORIZADOS!$A:$M,13,FALSE)="","",VLOOKUP(A519,[5]PRIORIZADOS!$A:$M,13,FALSE)),"")</f>
        <v>45776</v>
      </c>
      <c r="N519" s="71">
        <f>IFERROR(IF(VLOOKUP(A519,[5]PRIORIZADOS!$A:$N,14,FALSE)="","",VLOOKUP(A519,[5]PRIORIZADOS!$A:$N,14,FALSE)),"")</f>
        <v>45754</v>
      </c>
      <c r="O519" s="71">
        <f>IFERROR(IF(VLOOKUP(A519,[5]PRIORIZADOS!$A:$O,15,FALSE)="","",VLOOKUP(A519,[5]PRIORIZADOS!$A:$O,15,FALSE)),"")</f>
        <v>45772</v>
      </c>
      <c r="P519" s="11" t="str">
        <f>IFERROR(IF(VLOOKUP(A519,[5]PRIORIZADOS!$A:$P,16,FALSE)="","",VLOOKUP(A519,[5]PRIORIZADOS!$A:$P,16,FALSE)),"")</f>
        <v>Visitas de evaluación con fines de mejoramiento</v>
      </c>
      <c r="Q519" s="107" t="s">
        <v>116</v>
      </c>
      <c r="R519" s="11" t="str">
        <f>IFERROR(IF(VLOOKUP(A519,[5]PRIORIZADOS!$A:$R,18,FALSE)="","",VLOOKUP(A519,[5]PRIORIZADOS!$A:$R,18,FALSE)),"")</f>
        <v>La IE no implementa acciones de mejora sobre los resultados de las pruebas SABER 11. Inscribe estudiantes de Ciclo V en SIMAT como estudiantes de Ciclo VI para poder inscribirlos en las pruebas  SABER de  agosto, sin haber cursado siquiera el 50% de plan de estudios.</v>
      </c>
      <c r="S519" s="11" t="str">
        <f>IFERROR(IF(VLOOKUP(A519,[5]PRIORIZADOS!$A:$S,19,FALSE)="","",VLOOKUP(A519,[5]PRIORIZADOS!$A:$S,19,FALSE)),"")</f>
        <v xml:space="preserve">Establecer simulacros tipo ICFES y fortalecer lectura crítica. 
Implementar estrategias que mejoren los resultados de las pruebas SABER. </v>
      </c>
      <c r="T519" s="70" t="str">
        <f>IFERROR(IF(VLOOKUP(A519,[5]PRIORIZADOS!$A:$T,20,FALSE)="","",VLOOKUP(A519,[5]PRIORIZADOS!$A:$T,20,FALSE)),"")</f>
        <v>Si</v>
      </c>
      <c r="U519" s="11" t="str">
        <f>IFERROR(IF(VLOOKUP(A519,[5]PRIORIZADOS!$A:$U,21,FALSE)="","",VLOOKUP(A519,[5]PRIORIZADOS!$A:$U,21,FALSE)),"")</f>
        <v>.Revisar el plan de mejoramiento a entregar por la IE el 15/05/2025.
.Realizar seguimiento en septiembre de 2025 para verificar el cumplimiento de las acciones establecidas en el plan de mejoramiento.</v>
      </c>
    </row>
    <row r="520" spans="1:21" s="1" customFormat="1" ht="84">
      <c r="A520" s="69">
        <f>IF([5]PRIORIZADOS!A28="","",[5]PRIORIZADOS!A28)</f>
        <v>528</v>
      </c>
      <c r="B520" s="70">
        <f>IFERROR(IF(VLOOKUP(A520,[5]PRIORIZADOS!$A:$B,2,FALSE)="","",VLOOKUP(A520,[5]PRIORIZADOS!$A:$B,2,FALSE)),"")</f>
        <v>3</v>
      </c>
      <c r="C520" s="11" t="str">
        <f>IFERROR(IF(VLOOKUP(A520,[5]PRIORIZADOS!$A:$C,3,FALSE)="","",VLOOKUP(A520,[5]PRIORIZADOS!$A:$C,3,FALSE)),"")</f>
        <v>CIUDAD BOLÍVAR</v>
      </c>
      <c r="D520" s="11" t="str">
        <f>IFERROR(IF(VLOOKUP(A520,[5]PRIORIZADOS!$A:$D,4,FALSE)="","",VLOOKUP(A520,[5]PRIORIZADOS!$A:$D,4,FALSE)),"")</f>
        <v>PRIVADO</v>
      </c>
      <c r="E520" s="11" t="str">
        <f>IFERROR(IF(VLOOKUP(A520,[5]PRIORIZADOS!$A:$E,5,FALSE)="","",VLOOKUP(A520,[5]PRIORIZADOS!$A:$E,5,FALSE)),"")</f>
        <v>Educación de Jóvenes y Adultos</v>
      </c>
      <c r="F520" s="11" t="str">
        <f>IFERROR(IF(VLOOKUP(A520,[5]PRIORIZADOS!$A:$F,6,FALSE)="","",VLOOKUP(A520,[5]PRIORIZADOS!$A:$F,6,FALSE)),"")</f>
        <v>COLEGIO_NUEVO_MILENIO</v>
      </c>
      <c r="G520" s="11" t="str">
        <f>IFERROR(IF(VLOOKUP(A520,[5]PRIORIZADOS!$A:$G,7,FALSE)="","",VLOOKUP(A520,[5]PRIORIZADOS!$A:$G,7,FALSE)),"")</f>
        <v>COLEGIO NUEVO MILENIO</v>
      </c>
      <c r="H520" s="11" t="str">
        <f>IFERROR(IF(VLOOKUP(A520,[5]PRIORIZADOS!$A:$H,8,FALSE)="","",VLOOKUP(A520,[5]PRIORIZADOS!$A:$H,8,FALSE)),"")</f>
        <v>Autoevaluación Institucional y Pruebas SABER 11</v>
      </c>
      <c r="I520" s="11" t="str">
        <f>IFERROR(IF(VLOOKUP(A520,[5]PRIORIZADOS!$A:$I,9,FALSE)="","",VLOOKUP(A520,[5]PRIORIZADOS!$A:$I,9,FALSE)),"")</f>
        <v>SEGUIMIENTO_Y_SUPERVISIÓN.</v>
      </c>
      <c r="J520" s="11" t="str">
        <f>IFERROR(IF(VLOOKUP(A520,[5]PRIORIZADOS!$A:$J,10,FALSE)="","",VLOOKUP(A520,[5]PRIORIZADOS!$A:$J,10,FALSE)),"")</f>
        <v xml:space="preserve">Verificar la implementación por parte de los colegios, de acciones realizadas para la prevención y atención de las situaciones de convivencia en el entorno escolar, según lo establecido en la Directiva 01 de 2022 del MEN. </v>
      </c>
      <c r="K520" s="11" t="str">
        <f>IFERROR(IF(VLOOKUP(A520,[5]PRIORIZADOS!$A:$K,11,FALSE)="","",VLOOKUP(A520,[5]PRIORIZADOS!$A:$K,11,FALSE)),"")</f>
        <v xml:space="preserve">JUDITH SOLANO RAMÍREZ </v>
      </c>
      <c r="L520" s="11" t="str">
        <f>IFERROR(IF(VLOOKUP(A520,[5]PRIORIZADOS!$A:$L,12,FALSE)="","",VLOOKUP(A520,[5]PRIORIZADOS!$A:$L,12,FALSE)),"")</f>
        <v xml:space="preserve">MARIA NANCY DUCUARA </v>
      </c>
      <c r="M520" s="71">
        <f>IFERROR(IF(VLOOKUP(A520,[5]PRIORIZADOS!$A:$M,13,FALSE)="","",VLOOKUP(A520,[5]PRIORIZADOS!$A:$M,13,FALSE)),"")</f>
        <v>45776</v>
      </c>
      <c r="N520" s="71">
        <f>IFERROR(IF(VLOOKUP(A520,[5]PRIORIZADOS!$A:$N,14,FALSE)="","",VLOOKUP(A520,[5]PRIORIZADOS!$A:$N,14,FALSE)),"")</f>
        <v>45754</v>
      </c>
      <c r="O520" s="71">
        <f>IFERROR(IF(VLOOKUP(A520,[5]PRIORIZADOS!$A:$O,15,FALSE)="","",VLOOKUP(A520,[5]PRIORIZADOS!$A:$O,15,FALSE)),"")</f>
        <v>45772</v>
      </c>
      <c r="P520" s="11" t="str">
        <f>IFERROR(IF(VLOOKUP(A520,[5]PRIORIZADOS!$A:$P,16,FALSE)="","",VLOOKUP(A520,[5]PRIORIZADOS!$A:$P,16,FALSE)),"")</f>
        <v>Visitas de evaluación con fines de mejoramiento</v>
      </c>
      <c r="Q520" s="107" t="s">
        <v>116</v>
      </c>
      <c r="R520" s="11" t="str">
        <f>IFERROR(IF(VLOOKUP(A520,[5]PRIORIZADOS!$A:$R,18,FALSE)="","",VLOOKUP(A520,[5]PRIORIZADOS!$A:$R,18,FALSE)),"")</f>
        <v>La IE no realiza consulta de antecedentes de  inhabilidades por delitos sexuales del personal vinculado. No se evidencia la realizacion de  actividades de promoción y prevención de situaciones de violencia sexual.</v>
      </c>
      <c r="S520" s="11" t="str">
        <f>IFERROR(IF(VLOOKUP(A520,[5]PRIORIZADOS!$A:$S,19,FALSE)="","",VLOOKUP(A520,[5]PRIORIZADOS!$A:$S,19,FALSE)),"")</f>
        <v>Realizar consulta sobre inhabilidades por delitos sexuales del personal vinculado con la periodicidad que establece la normatividad vigente. 
Articular con el Comité las actividades de promoción y prevención para la convivencia escolar.</v>
      </c>
      <c r="T520" s="70" t="str">
        <f>IFERROR(IF(VLOOKUP(A520,[5]PRIORIZADOS!$A:$T,20,FALSE)="","",VLOOKUP(A520,[5]PRIORIZADOS!$A:$T,20,FALSE)),"")</f>
        <v>Si</v>
      </c>
      <c r="U520" s="11" t="str">
        <f>IFERROR(IF(VLOOKUP(A520,[5]PRIORIZADOS!$A:$U,21,FALSE)="","",VLOOKUP(A520,[5]PRIORIZADOS!$A:$U,21,FALSE)),"")</f>
        <v>.Revisar el plan de mejoramiento a entregar por la IE el 15/05/2025.
.Realizar seguimiento en septiembre de 2025 para verificar el cumplimiento de las acciones establecidas en el plan de mejoramiento.</v>
      </c>
    </row>
    <row r="521" spans="1:21" s="1" customFormat="1" ht="72">
      <c r="A521" s="69">
        <f>IF([5]PRIORIZADOS!A29="","",[5]PRIORIZADOS!A29)</f>
        <v>529</v>
      </c>
      <c r="B521" s="70">
        <f>IFERROR(IF(VLOOKUP(A521,[5]PRIORIZADOS!$A:$B,2,FALSE)="","",VLOOKUP(A521,[5]PRIORIZADOS!$A:$B,2,FALSE)),"")</f>
        <v>3</v>
      </c>
      <c r="C521" s="11" t="str">
        <f>IFERROR(IF(VLOOKUP(A521,[5]PRIORIZADOS!$A:$C,3,FALSE)="","",VLOOKUP(A521,[5]PRIORIZADOS!$A:$C,3,FALSE)),"")</f>
        <v>CIUDAD BOLÍVAR</v>
      </c>
      <c r="D521" s="11" t="str">
        <f>IFERROR(IF(VLOOKUP(A521,[5]PRIORIZADOS!$A:$D,4,FALSE)="","",VLOOKUP(A521,[5]PRIORIZADOS!$A:$D,4,FALSE)),"")</f>
        <v>PRIVADO</v>
      </c>
      <c r="E521" s="11" t="str">
        <f>IFERROR(IF(VLOOKUP(A521,[5]PRIORIZADOS!$A:$E,5,FALSE)="","",VLOOKUP(A521,[5]PRIORIZADOS!$A:$E,5,FALSE)),"")</f>
        <v>Educación de Jóvenes y Adultos</v>
      </c>
      <c r="F521" s="11" t="str">
        <f>IFERROR(IF(VLOOKUP(A521,[5]PRIORIZADOS!$A:$F,6,FALSE)="","",VLOOKUP(A521,[5]PRIORIZADOS!$A:$F,6,FALSE)),"")</f>
        <v>COLEGIO_NUEVO_MILENIO</v>
      </c>
      <c r="G521" s="11" t="str">
        <f>IFERROR(IF(VLOOKUP(A521,[5]PRIORIZADOS!$A:$G,7,FALSE)="","",VLOOKUP(A521,[5]PRIORIZADOS!$A:$G,7,FALSE)),"")</f>
        <v>COLEGIO NUEVO MILENIO</v>
      </c>
      <c r="H521" s="11" t="str">
        <f>IFERROR(IF(VLOOKUP(A521,[5]PRIORIZADOS!$A:$H,8,FALSE)="","",VLOOKUP(A521,[5]PRIORIZADOS!$A:$H,8,FALSE)),"")</f>
        <v>Autoevaluación Institucional y Pruebas SABER 11</v>
      </c>
      <c r="I521" s="11" t="str">
        <f>IFERROR(IF(VLOOKUP(A521,[5]PRIORIZADOS!$A:$I,9,FALSE)="","",VLOOKUP(A521,[5]PRIORIZADOS!$A:$I,9,FALSE)),"")</f>
        <v>SEGUIMIENTO_Y_SUPERVISIÓN.</v>
      </c>
      <c r="J521" s="11" t="str">
        <f>IFERROR(IF(VLOOKUP(A521,[5]PRIORIZADOS!$A:$J,10,FALSE)="","",VLOOKUP(A521,[5]PRIORIZADOS!$A:$J,10,FALSE)),"")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21" s="11" t="str">
        <f>IFERROR(IF(VLOOKUP(A521,[5]PRIORIZADOS!$A:$K,11,FALSE)="","",VLOOKUP(A521,[5]PRIORIZADOS!$A:$K,11,FALSE)),"")</f>
        <v xml:space="preserve">JUDITH SOLANO RAMÍREZ </v>
      </c>
      <c r="L521" s="11" t="str">
        <f>IFERROR(IF(VLOOKUP(A521,[5]PRIORIZADOS!$A:$L,12,FALSE)="","",VLOOKUP(A521,[5]PRIORIZADOS!$A:$L,12,FALSE)),"")</f>
        <v xml:space="preserve">MARIA NANCY DUCUARA </v>
      </c>
      <c r="M521" s="71">
        <f>IFERROR(IF(VLOOKUP(A521,[5]PRIORIZADOS!$A:$M,13,FALSE)="","",VLOOKUP(A521,[5]PRIORIZADOS!$A:$M,13,FALSE)),"")</f>
        <v>45776</v>
      </c>
      <c r="N521" s="71">
        <f>IFERROR(IF(VLOOKUP(A521,[5]PRIORIZADOS!$A:$N,14,FALSE)="","",VLOOKUP(A521,[5]PRIORIZADOS!$A:$N,14,FALSE)),"")</f>
        <v>45754</v>
      </c>
      <c r="O521" s="71">
        <f>IFERROR(IF(VLOOKUP(A521,[5]PRIORIZADOS!$A:$O,15,FALSE)="","",VLOOKUP(A521,[5]PRIORIZADOS!$A:$O,15,FALSE)),"")</f>
        <v>45772</v>
      </c>
      <c r="P521" s="11" t="str">
        <f>IFERROR(IF(VLOOKUP(A521,[5]PRIORIZADOS!$A:$P,16,FALSE)="","",VLOOKUP(A521,[5]PRIORIZADOS!$A:$P,16,FALSE)),"")</f>
        <v>Visitas de evaluación con fines de mejoramiento</v>
      </c>
      <c r="Q521" s="107" t="s">
        <v>116</v>
      </c>
      <c r="R521" s="11" t="str">
        <f>IFERROR(IF(VLOOKUP(A521,[5]PRIORIZADOS!$A:$R,18,FALSE)="","",VLOOKUP(A521,[5]PRIORIZADOS!$A:$R,18,FALSE)),"")</f>
        <v>Indican que atienden población de inclusión que para ellos consideran solo población afro, pero no con discapacidad. No elaboran PIAR</v>
      </c>
      <c r="S521" s="11" t="str">
        <f>IFERROR(IF(VLOOKUP(A521,[5]PRIORIZADOS!$A:$S,19,FALSE)="","",VLOOKUP(A521,[5]PRIORIZADOS!$A:$S,19,FALSE)),"")</f>
        <v>Modificar y adoptar el PEI, incluyendo lo relacionado con la Ley 1421 de 2017.
Elaborar PIAR para las personas con discapacidad.</v>
      </c>
      <c r="T521" s="70" t="str">
        <f>IFERROR(IF(VLOOKUP(A521,[5]PRIORIZADOS!$A:$T,20,FALSE)="","",VLOOKUP(A521,[5]PRIORIZADOS!$A:$T,20,FALSE)),"")</f>
        <v>Si</v>
      </c>
      <c r="U521" s="11" t="str">
        <f>IFERROR(IF(VLOOKUP(A521,[5]PRIORIZADOS!$A:$U,21,FALSE)="","",VLOOKUP(A521,[5]PRIORIZADOS!$A:$U,21,FALSE)),"")</f>
        <v>.Revisar el plan de mejoramiento a entregar por la IE el 15/05/2025.
.Realizar seguimiento en septiembre de 2025 para verificar el cumplimiento de las acciones establecidas en el plan de mejoramiento.</v>
      </c>
    </row>
    <row r="522" spans="1:21" s="1" customFormat="1" ht="96">
      <c r="A522" s="69">
        <f>IF([5]PRIORIZADOS!A30="","",[5]PRIORIZADOS!A30)</f>
        <v>530</v>
      </c>
      <c r="B522" s="70">
        <f>IFERROR(IF(VLOOKUP(A522,[5]PRIORIZADOS!$A:$B,2,FALSE)="","",VLOOKUP(A522,[5]PRIORIZADOS!$A:$B,2,FALSE)),"")</f>
        <v>3</v>
      </c>
      <c r="C522" s="11" t="str">
        <f>IFERROR(IF(VLOOKUP(A522,[5]PRIORIZADOS!$A:$C,3,FALSE)="","",VLOOKUP(A522,[5]PRIORIZADOS!$A:$C,3,FALSE)),"")</f>
        <v>CIUDAD BOLÍVAR</v>
      </c>
      <c r="D522" s="11" t="str">
        <f>IFERROR(IF(VLOOKUP(A522,[5]PRIORIZADOS!$A:$D,4,FALSE)="","",VLOOKUP(A522,[5]PRIORIZADOS!$A:$D,4,FALSE)),"")</f>
        <v>PRIVADO</v>
      </c>
      <c r="E522" s="11" t="str">
        <f>IFERROR(IF(VLOOKUP(A522,[5]PRIORIZADOS!$A:$E,5,FALSE)="","",VLOOKUP(A522,[5]PRIORIZADOS!$A:$E,5,FALSE)),"")</f>
        <v>Educación de Jóvenes y Adultos</v>
      </c>
      <c r="F522" s="11" t="str">
        <f>IFERROR(IF(VLOOKUP(A522,[5]PRIORIZADOS!$A:$F,6,FALSE)="","",VLOOKUP(A522,[5]PRIORIZADOS!$A:$F,6,FALSE)),"")</f>
        <v>COLEGIO_NUEVO_MILENIO</v>
      </c>
      <c r="G522" s="11" t="str">
        <f>IFERROR(IF(VLOOKUP(A522,[5]PRIORIZADOS!$A:$G,7,FALSE)="","",VLOOKUP(A522,[5]PRIORIZADOS!$A:$G,7,FALSE)),"")</f>
        <v>COLEGIO NUEVO MILENIO</v>
      </c>
      <c r="H522" s="11" t="str">
        <f>IFERROR(IF(VLOOKUP(A522,[5]PRIORIZADOS!$A:$H,8,FALSE)="","",VLOOKUP(A522,[5]PRIORIZADOS!$A:$H,8,FALSE)),"")</f>
        <v>Autoevaluación Institucional y Pruebas SABER 11</v>
      </c>
      <c r="I522" s="11" t="str">
        <f>IFERROR(IF(VLOOKUP(A522,[5]PRIORIZADOS!$A:$I,9,FALSE)="","",VLOOKUP(A522,[5]PRIORIZADOS!$A:$I,9,FALSE)),"")</f>
        <v>EVALUACIÓN_CON_FINES_DE_MEJORAMIENTO.</v>
      </c>
      <c r="J522" s="11" t="str">
        <f>IFERROR(IF(VLOOKUP(A522,[5]PRIORIZADOS!$A:$J,10,FALSE)="","",VLOOKUP(A522,[5]PRIORIZADOS!$A:$J,10,FALSE)),"")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22" s="11" t="str">
        <f>IFERROR(IF(VLOOKUP(A522,[5]PRIORIZADOS!$A:$K,11,FALSE)="","",VLOOKUP(A522,[5]PRIORIZADOS!$A:$K,11,FALSE)),"")</f>
        <v xml:space="preserve">JUDITH SOLANO RAMÍREZ </v>
      </c>
      <c r="L522" s="11" t="str">
        <f>IFERROR(IF(VLOOKUP(A522,[5]PRIORIZADOS!$A:$L,12,FALSE)="","",VLOOKUP(A522,[5]PRIORIZADOS!$A:$L,12,FALSE)),"")</f>
        <v xml:space="preserve">MARIA NANCY DUCUARA </v>
      </c>
      <c r="M522" s="71">
        <f>IFERROR(IF(VLOOKUP(A522,[5]PRIORIZADOS!$A:$M,13,FALSE)="","",VLOOKUP(A522,[5]PRIORIZADOS!$A:$M,13,FALSE)),"")</f>
        <v>45776</v>
      </c>
      <c r="N522" s="71">
        <f>IFERROR(IF(VLOOKUP(A522,[5]PRIORIZADOS!$A:$N,14,FALSE)="","",VLOOKUP(A522,[5]PRIORIZADOS!$A:$N,14,FALSE)),"")</f>
        <v>45754</v>
      </c>
      <c r="O522" s="71">
        <f>IFERROR(IF(VLOOKUP(A522,[5]PRIORIZADOS!$A:$O,15,FALSE)="","",VLOOKUP(A522,[5]PRIORIZADOS!$A:$O,15,FALSE)),"")</f>
        <v>45772</v>
      </c>
      <c r="P522" s="11" t="str">
        <f>IFERROR(IF(VLOOKUP(A522,[5]PRIORIZADOS!$A:$P,16,FALSE)="","",VLOOKUP(A522,[5]PRIORIZADOS!$A:$P,16,FALSE)),"")</f>
        <v>Visitas de evaluación con fines de mejoramiento</v>
      </c>
      <c r="Q522" s="107" t="s">
        <v>116</v>
      </c>
      <c r="R522" s="11" t="str">
        <f>IFERROR(IF(VLOOKUP(A522,[5]PRIORIZADOS!$A:$R,18,FALSE)="","",VLOOKUP(A522,[5]PRIORIZADOS!$A:$R,18,FALSE)),"")</f>
        <v>El Manual de Convivencia que presentan es un marco teórico que no está desarrollado de acuerdo al contexto de la IE. No incluye la ruta de atención integral para la convivencia escolar, ni los protocolos versión 5.0. No incluye el debido proceso. No presentan el Plan Escolar de Convivencia.</v>
      </c>
      <c r="S522" s="11" t="str">
        <f>IFERROR(IF(VLOOKUP(A522,[5]PRIORIZADOS!$A:$S,19,FALSE)="","",VLOOKUP(A522,[5]PRIORIZADOS!$A:$S,19,FALSE)),"")</f>
        <v>Realizar la revisión y actualización del manual de convivencia de acuerdo a la normatividad vigente y al documento de orientaciones de 2022.</v>
      </c>
      <c r="T522" s="70" t="str">
        <f>IFERROR(IF(VLOOKUP(A522,[5]PRIORIZADOS!$A:$T,20,FALSE)="","",VLOOKUP(A522,[5]PRIORIZADOS!$A:$T,20,FALSE)),"")</f>
        <v>Si</v>
      </c>
      <c r="U522" s="11" t="str">
        <f>IFERROR(IF(VLOOKUP(A522,[5]PRIORIZADOS!$A:$U,21,FALSE)="","",VLOOKUP(A522,[5]PRIORIZADOS!$A:$U,21,FALSE)),"")</f>
        <v>.Revisar el plan de mejoramiento a entregar por la IE el 15/05/2025.
.Realizar seguimiento en septiembre de 2025 para verificar el cumplimiento de las acciones establecidas en el plan de mejoramiento.</v>
      </c>
    </row>
    <row r="523" spans="1:21" s="1" customFormat="1" ht="107.25">
      <c r="A523" s="69">
        <f>IF([5]PRIORIZADOS!A31="","",[5]PRIORIZADOS!A31)</f>
        <v>531</v>
      </c>
      <c r="B523" s="70">
        <f>IFERROR(IF(VLOOKUP(A523,[5]PRIORIZADOS!$A:$B,2,FALSE)="","",VLOOKUP(A523,[5]PRIORIZADOS!$A:$B,2,FALSE)),"")</f>
        <v>3</v>
      </c>
      <c r="C523" s="11" t="str">
        <f>IFERROR(IF(VLOOKUP(A523,[5]PRIORIZADOS!$A:$C,3,FALSE)="","",VLOOKUP(A523,[5]PRIORIZADOS!$A:$C,3,FALSE)),"")</f>
        <v>CIUDAD BOLÍVAR</v>
      </c>
      <c r="D523" s="11" t="str">
        <f>IFERROR(IF(VLOOKUP(A523,[5]PRIORIZADOS!$A:$D,4,FALSE)="","",VLOOKUP(A523,[5]PRIORIZADOS!$A:$D,4,FALSE)),"")</f>
        <v>PRIVADO</v>
      </c>
      <c r="E523" s="11" t="str">
        <f>IFERROR(IF(VLOOKUP(A523,[5]PRIORIZADOS!$A:$E,5,FALSE)="","",VLOOKUP(A523,[5]PRIORIZADOS!$A:$E,5,FALSE)),"")</f>
        <v>Educación de Jóvenes y Adultos</v>
      </c>
      <c r="F523" s="11" t="str">
        <f>IFERROR(IF(VLOOKUP(A523,[5]PRIORIZADOS!$A:$F,6,FALSE)="","",VLOOKUP(A523,[5]PRIORIZADOS!$A:$F,6,FALSE)),"")</f>
        <v>COLEGIO_NUEVO_MILENIO</v>
      </c>
      <c r="G523" s="11" t="str">
        <f>IFERROR(IF(VLOOKUP(A523,[5]PRIORIZADOS!$A:$G,7,FALSE)="","",VLOOKUP(A523,[5]PRIORIZADOS!$A:$G,7,FALSE)),"")</f>
        <v>COLEGIO NUEVO MILENIO</v>
      </c>
      <c r="H523" s="11" t="str">
        <f>IFERROR(IF(VLOOKUP(A523,[5]PRIORIZADOS!$A:$H,8,FALSE)="","",VLOOKUP(A523,[5]PRIORIZADOS!$A:$H,8,FALSE)),"")</f>
        <v>Autoevaluación Institucional y Pruebas SABER 11</v>
      </c>
      <c r="I523" s="11" t="str">
        <f>IFERROR(IF(VLOOKUP(A523,[5]PRIORIZADOS!$A:$I,9,FALSE)="","",VLOOKUP(A523,[5]PRIORIZADOS!$A:$I,9,FALSE)),"")</f>
        <v>EVALUACIÓN_CON_FINES_DE_MEJORAMIENTO.</v>
      </c>
      <c r="J523" s="11" t="str">
        <f>IFERROR(IF(VLOOKUP(A523,[5]PRIORIZADOS!$A:$J,10,FALSE)="","",VLOOKUP(A523,[5]PRIORIZADOS!$A:$J,10,FALSE)),"")</f>
        <v>Revisar la actualización, socialización e implementación del Sistema Institucional de Evaluación de Estudiantes - SIEE, en articulación con la actualización del PEI y la normatividad vigente.</v>
      </c>
      <c r="K523" s="11" t="str">
        <f>IFERROR(IF(VLOOKUP(A523,[5]PRIORIZADOS!$A:$K,11,FALSE)="","",VLOOKUP(A523,[5]PRIORIZADOS!$A:$K,11,FALSE)),"")</f>
        <v xml:space="preserve">JUDITH SOLANO RAMÍREZ </v>
      </c>
      <c r="L523" s="11" t="str">
        <f>IFERROR(IF(VLOOKUP(A523,[5]PRIORIZADOS!$A:$L,12,FALSE)="","",VLOOKUP(A523,[5]PRIORIZADOS!$A:$L,12,FALSE)),"")</f>
        <v xml:space="preserve">MARIA NANCY DUCUARA </v>
      </c>
      <c r="M523" s="71">
        <f>IFERROR(IF(VLOOKUP(A523,[5]PRIORIZADOS!$A:$M,13,FALSE)="","",VLOOKUP(A523,[5]PRIORIZADOS!$A:$M,13,FALSE)),"")</f>
        <v>45776</v>
      </c>
      <c r="N523" s="71">
        <f>IFERROR(IF(VLOOKUP(A523,[5]PRIORIZADOS!$A:$N,14,FALSE)="","",VLOOKUP(A523,[5]PRIORIZADOS!$A:$N,14,FALSE)),"")</f>
        <v>45754</v>
      </c>
      <c r="O523" s="71">
        <f>IFERROR(IF(VLOOKUP(A523,[5]PRIORIZADOS!$A:$O,15,FALSE)="","",VLOOKUP(A523,[5]PRIORIZADOS!$A:$O,15,FALSE)),"")</f>
        <v>45772</v>
      </c>
      <c r="P523" s="11" t="str">
        <f>IFERROR(IF(VLOOKUP(A523,[5]PRIORIZADOS!$A:$P,16,FALSE)="","",VLOOKUP(A523,[5]PRIORIZADOS!$A:$P,16,FALSE)),"")</f>
        <v>Visitas de evaluación con fines de mejoramiento</v>
      </c>
      <c r="Q523" s="107" t="s">
        <v>116</v>
      </c>
      <c r="R523" s="11" t="str">
        <f>IFERROR(IF(VLOOKUP(A523,[5]PRIORIZADOS!$A:$R,18,FALSE)="","",VLOOKUP(A523,[5]PRIORIZADOS!$A:$R,18,FALSE)),"")</f>
        <v xml:space="preserve">El plan de estudios no está desarrollado, solamente enuncian los temas.
Los procedimientos de resolución de situaciones académicas no están sistematizados, los enuncian verbalmente.
No hay instrumentos de recolección de la información para el mejoramiento de los desempeños de los educandos durante el año escolar. </v>
      </c>
      <c r="S523" s="11" t="str">
        <f>IFERROR(IF(VLOOKUP(A523,[5]PRIORIZADOS!$A:$S,19,FALSE)="","",VLOOKUP(A523,[5]PRIORIZADOS!$A:$S,19,FALSE)),"")</f>
        <v>Realizar revisión y actualización del SIEE de acuerdo con la normatividad vigente.
Realizar actualización del Plan de Estudios y malla curricular que incluya las áreas obligatorias y los proyectos transversales.</v>
      </c>
      <c r="T523" s="70" t="str">
        <f>IFERROR(IF(VLOOKUP(A523,[5]PRIORIZADOS!$A:$T,20,FALSE)="","",VLOOKUP(A523,[5]PRIORIZADOS!$A:$T,20,FALSE)),"")</f>
        <v>Si</v>
      </c>
      <c r="U523" s="11" t="str">
        <f>IFERROR(IF(VLOOKUP(A523,[5]PRIORIZADOS!$A:$U,21,FALSE)="","",VLOOKUP(A523,[5]PRIORIZADOS!$A:$U,21,FALSE)),"")</f>
        <v>.Revisar el plan de mejoramiento a entregar por la IE el 15/05/2025.
.Realizar seguimiento en septiembre de 2025 para verificar el cumplimiento de las acciones establecidas en el plan de mejoramiento.</v>
      </c>
    </row>
    <row r="524" spans="1:21" s="1" customFormat="1" ht="72">
      <c r="A524" s="69">
        <f>IF([5]PRIORIZADOS!A32="","",[5]PRIORIZADOS!A32)</f>
        <v>532</v>
      </c>
      <c r="B524" s="70">
        <f>IFERROR(IF(VLOOKUP(A524,[5]PRIORIZADOS!$A:$B,2,FALSE)="","",VLOOKUP(A524,[5]PRIORIZADOS!$A:$B,2,FALSE)),"")</f>
        <v>3</v>
      </c>
      <c r="C524" s="11" t="str">
        <f>IFERROR(IF(VLOOKUP(A524,[5]PRIORIZADOS!$A:$C,3,FALSE)="","",VLOOKUP(A524,[5]PRIORIZADOS!$A:$C,3,FALSE)),"")</f>
        <v>CIUDAD BOLÍVAR</v>
      </c>
      <c r="D524" s="11" t="str">
        <f>IFERROR(IF(VLOOKUP(A524,[5]PRIORIZADOS!$A:$D,4,FALSE)="","",VLOOKUP(A524,[5]PRIORIZADOS!$A:$D,4,FALSE)),"")</f>
        <v>PRIVADO</v>
      </c>
      <c r="E524" s="11" t="str">
        <f>IFERROR(IF(VLOOKUP(A524,[5]PRIORIZADOS!$A:$E,5,FALSE)="","",VLOOKUP(A524,[5]PRIORIZADOS!$A:$E,5,FALSE)),"")</f>
        <v>Educación de Jóvenes y Adultos</v>
      </c>
      <c r="F524" s="11" t="str">
        <f>IFERROR(IF(VLOOKUP(A524,[5]PRIORIZADOS!$A:$F,6,FALSE)="","",VLOOKUP(A524,[5]PRIORIZADOS!$A:$F,6,FALSE)),"")</f>
        <v>COLEGIO_NUEVO_MILENIO</v>
      </c>
      <c r="G524" s="11" t="str">
        <f>IFERROR(IF(VLOOKUP(A524,[5]PRIORIZADOS!$A:$G,7,FALSE)="","",VLOOKUP(A524,[5]PRIORIZADOS!$A:$G,7,FALSE)),"")</f>
        <v>COLEGIO NUEVO MILENIO</v>
      </c>
      <c r="H524" s="11" t="str">
        <f>IFERROR(IF(VLOOKUP(A524,[5]PRIORIZADOS!$A:$H,8,FALSE)="","",VLOOKUP(A524,[5]PRIORIZADOS!$A:$H,8,FALSE)),"")</f>
        <v>Autoevaluación Institucional y Pruebas SABER 11</v>
      </c>
      <c r="I524" s="11" t="str">
        <f>IFERROR(IF(VLOOKUP(A524,[5]PRIORIZADOS!$A:$I,9,FALSE)="","",VLOOKUP(A524,[5]PRIORIZADOS!$A:$I,9,FALSE)),"")</f>
        <v>EVALUACIÓN_CON_FINES_DE_MEJORAMIENTO.</v>
      </c>
      <c r="J524" s="11" t="str">
        <f>IFERROR(IF(VLOOKUP(A524,[5]PRIORIZADOS!$A:$J,10,FALSE)="","",VLOOKUP(A524,[5]PRIORIZADOS!$A:$J,10,FALSE)),"")</f>
        <v>Revisar el calendario escolar, jornada escolar, la intensidad horaria mínima anual en cada nivel y las modificaciones que se realicen al mismo, de acuerdo con lo previsto en la normatividad vigente.</v>
      </c>
      <c r="K524" s="11" t="str">
        <f>IFERROR(IF(VLOOKUP(A524,[5]PRIORIZADOS!$A:$K,11,FALSE)="","",VLOOKUP(A524,[5]PRIORIZADOS!$A:$K,11,FALSE)),"")</f>
        <v xml:space="preserve">JUDITH SOLANO RAMÍREZ </v>
      </c>
      <c r="L524" s="11" t="str">
        <f>IFERROR(IF(VLOOKUP(A524,[5]PRIORIZADOS!$A:$L,12,FALSE)="","",VLOOKUP(A524,[5]PRIORIZADOS!$A:$L,12,FALSE)),"")</f>
        <v xml:space="preserve">MARIA NANCY DUCUARA </v>
      </c>
      <c r="M524" s="71">
        <f>IFERROR(IF(VLOOKUP(A524,[5]PRIORIZADOS!$A:$M,13,FALSE)="","",VLOOKUP(A524,[5]PRIORIZADOS!$A:$M,13,FALSE)),"")</f>
        <v>45776</v>
      </c>
      <c r="N524" s="71">
        <f>IFERROR(IF(VLOOKUP(A524,[5]PRIORIZADOS!$A:$N,14,FALSE)="","",VLOOKUP(A524,[5]PRIORIZADOS!$A:$N,14,FALSE)),"")</f>
        <v>45754</v>
      </c>
      <c r="O524" s="71">
        <f>IFERROR(IF(VLOOKUP(A524,[5]PRIORIZADOS!$A:$O,15,FALSE)="","",VLOOKUP(A524,[5]PRIORIZADOS!$A:$O,15,FALSE)),"")</f>
        <v>45772</v>
      </c>
      <c r="P524" s="11" t="str">
        <f>IFERROR(IF(VLOOKUP(A524,[5]PRIORIZADOS!$A:$P,16,FALSE)="","",VLOOKUP(A524,[5]PRIORIZADOS!$A:$P,16,FALSE)),"")</f>
        <v>Visitas de evaluación con fines de mejoramiento</v>
      </c>
      <c r="Q524" s="107" t="s">
        <v>116</v>
      </c>
      <c r="R524" s="11" t="str">
        <f>IFERROR(IF(VLOOKUP(A524,[5]PRIORIZADOS!$A:$R,18,FALSE)="","",VLOOKUP(A524,[5]PRIORIZADOS!$A:$R,18,FALSE)),"")</f>
        <v>La IE no presenta información coherente que permita evidenciar el cumplimiento de semanas, jornada e intensidad horaria para cada ciclo.</v>
      </c>
      <c r="S524" s="11" t="str">
        <f>IFERROR(IF(VLOOKUP(A524,[5]PRIORIZADOS!$A:$S,19,FALSE)="","",VLOOKUP(A524,[5]PRIORIZADOS!$A:$S,19,FALSE)),"")</f>
        <v>Realizar actualización del plan de estudios y malla curricular que incluya las áreas obligatorias y los proyectos transversales, de manera que se evidencie el cumplimiento de semanas, jornada e intensidad horaria para cada ciclo.</v>
      </c>
      <c r="T524" s="70" t="str">
        <f>IFERROR(IF(VLOOKUP(A524,[5]PRIORIZADOS!$A:$T,20,FALSE)="","",VLOOKUP(A524,[5]PRIORIZADOS!$A:$T,20,FALSE)),"")</f>
        <v>Si</v>
      </c>
      <c r="U524" s="11" t="str">
        <f>IFERROR(IF(VLOOKUP(A524,[5]PRIORIZADOS!$A:$U,21,FALSE)="","",VLOOKUP(A524,[5]PRIORIZADOS!$A:$U,21,FALSE)),"")</f>
        <v>.Revisar el plan de mejoramiento a entregar por la IE el 15/05/2025.
.Realizar seguimiento en septiembre de 2025 para verificar el cumplimiento de las acciones establecidas en el plan de mejoramiento.</v>
      </c>
    </row>
    <row r="525" spans="1:21" s="1" customFormat="1" ht="60">
      <c r="A525" s="69">
        <f>IF([5]PRIORIZADOS!A33="","",[5]PRIORIZADOS!A33)</f>
        <v>533</v>
      </c>
      <c r="B525" s="70">
        <f>IFERROR(IF(VLOOKUP(A525,[5]PRIORIZADOS!$A:$B,2,FALSE)="","",VLOOKUP(A525,[5]PRIORIZADOS!$A:$B,2,FALSE)),"")</f>
        <v>3</v>
      </c>
      <c r="C525" s="11" t="str">
        <f>IFERROR(IF(VLOOKUP(A525,[5]PRIORIZADOS!$A:$C,3,FALSE)="","",VLOOKUP(A525,[5]PRIORIZADOS!$A:$C,3,FALSE)),"")</f>
        <v>CIUDAD BOLÍVAR</v>
      </c>
      <c r="D525" s="11" t="str">
        <f>IFERROR(IF(VLOOKUP(A525,[5]PRIORIZADOS!$A:$D,4,FALSE)="","",VLOOKUP(A525,[5]PRIORIZADOS!$A:$D,4,FALSE)),"")</f>
        <v>PRIVADO</v>
      </c>
      <c r="E525" s="11" t="str">
        <f>IFERROR(IF(VLOOKUP(A525,[5]PRIORIZADOS!$A:$E,5,FALSE)="","",VLOOKUP(A525,[5]PRIORIZADOS!$A:$E,5,FALSE)),"")</f>
        <v>Educación de Jóvenes y Adultos</v>
      </c>
      <c r="F525" s="11" t="str">
        <f>IFERROR(IF(VLOOKUP(A525,[5]PRIORIZADOS!$A:$F,6,FALSE)="","",VLOOKUP(A525,[5]PRIORIZADOS!$A:$F,6,FALSE)),"")</f>
        <v>COLEGIO_NUEVO_MILENIO</v>
      </c>
      <c r="G525" s="11" t="str">
        <f>IFERROR(IF(VLOOKUP(A525,[5]PRIORIZADOS!$A:$G,7,FALSE)="","",VLOOKUP(A525,[5]PRIORIZADOS!$A:$G,7,FALSE)),"")</f>
        <v>COLEGIO NUEVO MILENIO</v>
      </c>
      <c r="H525" s="11" t="str">
        <f>IFERROR(IF(VLOOKUP(A525,[5]PRIORIZADOS!$A:$H,8,FALSE)="","",VLOOKUP(A525,[5]PRIORIZADOS!$A:$H,8,FALSE)),"")</f>
        <v>Autoevaluación Institucional y Pruebas SABER 11</v>
      </c>
      <c r="I525" s="11" t="str">
        <f>IFERROR(IF(VLOOKUP(A525,[5]PRIORIZADOS!$A:$I,9,FALSE)="","",VLOOKUP(A525,[5]PRIORIZADOS!$A:$I,9,FALSE)),"")</f>
        <v>EVALUACIÓN_CON_FINES_DE_MEJORAMIENTO.</v>
      </c>
      <c r="J525" s="11" t="str">
        <f>IFERROR(IF(VLOOKUP(A525,[5]PRIORIZADOS!$A:$J,10,FALSE)="","",VLOOKUP(A525,[5]PRIORIZADOS!$A:$J,10,FALSE)),"")</f>
        <v>Verificar el funcionamiento del Gobierno Escolar e instancias de participación con base en la información sobre conformación reportada por la institución educativa.</v>
      </c>
      <c r="K525" s="11" t="str">
        <f>IFERROR(IF(VLOOKUP(A525,[5]PRIORIZADOS!$A:$K,11,FALSE)="","",VLOOKUP(A525,[5]PRIORIZADOS!$A:$K,11,FALSE)),"")</f>
        <v xml:space="preserve">JUDITH SOLANO RAMÍREZ </v>
      </c>
      <c r="L525" s="11" t="str">
        <f>IFERROR(IF(VLOOKUP(A525,[5]PRIORIZADOS!$A:$L,12,FALSE)="","",VLOOKUP(A525,[5]PRIORIZADOS!$A:$L,12,FALSE)),"")</f>
        <v xml:space="preserve">MARIA NANCY DUCUARA </v>
      </c>
      <c r="M525" s="71">
        <f>IFERROR(IF(VLOOKUP(A525,[5]PRIORIZADOS!$A:$M,13,FALSE)="","",VLOOKUP(A525,[5]PRIORIZADOS!$A:$M,13,FALSE)),"")</f>
        <v>45776</v>
      </c>
      <c r="N525" s="71">
        <f>IFERROR(IF(VLOOKUP(A525,[5]PRIORIZADOS!$A:$N,14,FALSE)="","",VLOOKUP(A525,[5]PRIORIZADOS!$A:$N,14,FALSE)),"")</f>
        <v>45754</v>
      </c>
      <c r="O525" s="71">
        <f>IFERROR(IF(VLOOKUP(A525,[5]PRIORIZADOS!$A:$O,15,FALSE)="","",VLOOKUP(A525,[5]PRIORIZADOS!$A:$O,15,FALSE)),"")</f>
        <v>45772</v>
      </c>
      <c r="P525" s="11" t="str">
        <f>IFERROR(IF(VLOOKUP(A525,[5]PRIORIZADOS!$A:$P,16,FALSE)="","",VLOOKUP(A525,[5]PRIORIZADOS!$A:$P,16,FALSE)),"")</f>
        <v>Visitas de evaluación con fines de mejoramiento</v>
      </c>
      <c r="Q525" s="107" t="s">
        <v>116</v>
      </c>
      <c r="R525" s="11" t="str">
        <f>IFERROR(IF(VLOOKUP(A525,[5]PRIORIZADOS!$A:$R,18,FALSE)="","",VLOOKUP(A525,[5]PRIORIZADOS!$A:$R,18,FALSE)),"")</f>
        <v>La IE presenta sus actas de conformación del gobierno escolar y demás instancias de participación. Sin embargo,  por la estructura administrativa, no es viable su operatividad.</v>
      </c>
      <c r="S525" s="11" t="str">
        <f>IFERROR(IF(VLOOKUP(A525,[5]PRIORIZADOS!$A:$S,19,FALSE)="","",VLOOKUP(A525,[5]PRIORIZADOS!$A:$S,19,FALSE)),"")</f>
        <v>Conformar y dar funcionalidad a los órganos del gobierno escolar y las instancias de participación y documentar en actas las decisiones de dichas instancias.</v>
      </c>
      <c r="T525" s="70" t="str">
        <f>IFERROR(IF(VLOOKUP(A525,[5]PRIORIZADOS!$A:$T,20,FALSE)="","",VLOOKUP(A525,[5]PRIORIZADOS!$A:$T,20,FALSE)),"")</f>
        <v>Si</v>
      </c>
      <c r="U525" s="11" t="str">
        <f>IFERROR(IF(VLOOKUP(A525,[5]PRIORIZADOS!$A:$U,21,FALSE)="","",VLOOKUP(A525,[5]PRIORIZADOS!$A:$U,21,FALSE)),"")</f>
        <v>.Revisar el plan de mejoramiento a entregar por la IE el 15/05/2025.
.Realizar seguimiento en septiembre de 2025 para verificar el cumplimiento de las acciones establecidas en el plan de mejoramiento.</v>
      </c>
    </row>
    <row r="526" spans="1:21" s="1" customFormat="1" ht="142.5">
      <c r="A526" s="69">
        <f>IF([5]PRIORIZADOS!A34="","",[5]PRIORIZADOS!A34)</f>
        <v>534</v>
      </c>
      <c r="B526" s="70">
        <f>IFERROR(IF(VLOOKUP(A526,[5]PRIORIZADOS!$A:$B,2,FALSE)="","",VLOOKUP(A526,[5]PRIORIZADOS!$A:$B,2,FALSE)),"")</f>
        <v>3</v>
      </c>
      <c r="C526" s="11" t="str">
        <f>IFERROR(IF(VLOOKUP(A526,[5]PRIORIZADOS!$A:$C,3,FALSE)="","",VLOOKUP(A526,[5]PRIORIZADOS!$A:$C,3,FALSE)),"")</f>
        <v>CIUDAD BOLÍVAR</v>
      </c>
      <c r="D526" s="11" t="str">
        <f>IFERROR(IF(VLOOKUP(A526,[5]PRIORIZADOS!$A:$D,4,FALSE)="","",VLOOKUP(A526,[5]PRIORIZADOS!$A:$D,4,FALSE)),"")</f>
        <v>PRIVADO</v>
      </c>
      <c r="E526" s="11" t="str">
        <f>IFERROR(IF(VLOOKUP(A526,[5]PRIORIZADOS!$A:$E,5,FALSE)="","",VLOOKUP(A526,[5]PRIORIZADOS!$A:$E,5,FALSE)),"")</f>
        <v>Educación de Jóvenes y Adultos</v>
      </c>
      <c r="F526" s="11" t="str">
        <f>IFERROR(IF(VLOOKUP(A526,[5]PRIORIZADOS!$A:$F,6,FALSE)="","",VLOOKUP(A526,[5]PRIORIZADOS!$A:$F,6,FALSE)),"")</f>
        <v>COLEGIO_NUEVO_MILENIO</v>
      </c>
      <c r="G526" s="11" t="str">
        <f>IFERROR(IF(VLOOKUP(A526,[5]PRIORIZADOS!$A:$G,7,FALSE)="","",VLOOKUP(A526,[5]PRIORIZADOS!$A:$G,7,FALSE)),"")</f>
        <v>COLEGIO NUEVO MILENIO</v>
      </c>
      <c r="H526" s="11" t="str">
        <f>IFERROR(IF(VLOOKUP(A526,[5]PRIORIZADOS!$A:$H,8,FALSE)="","",VLOOKUP(A526,[5]PRIORIZADOS!$A:$H,8,FALSE)),"")</f>
        <v>Autoevaluación Institucional y Pruebas SABER 11</v>
      </c>
      <c r="I526" s="11" t="str">
        <f>IFERROR(IF(VLOOKUP(A526,[5]PRIORIZADOS!$A:$I,9,FALSE)="","",VLOOKUP(A526,[5]PRIORIZADOS!$A:$I,9,FALSE)),"")</f>
        <v>EVALUACIÓN_CON_FINES_DE_MEJORAMIENTO.</v>
      </c>
      <c r="J526" s="11" t="str">
        <f>IFERROR(IF(VLOOKUP(A526,[5]PRIORIZADOS!$A:$J,10,FALSE)="","",VLOOKUP(A526,[5]PRIORIZADOS!$A:$J,10,FALSE)),"")</f>
        <v>Verificar las condiciones en cuanto a: la estructura administrativa, condiciones de la planta física y medios educativos adecuados.</v>
      </c>
      <c r="K526" s="11" t="str">
        <f>IFERROR(IF(VLOOKUP(A526,[5]PRIORIZADOS!$A:$K,11,FALSE)="","",VLOOKUP(A526,[5]PRIORIZADOS!$A:$K,11,FALSE)),"")</f>
        <v xml:space="preserve">JUDITH SOLANO RAMÍREZ </v>
      </c>
      <c r="L526" s="11" t="str">
        <f>IFERROR(IF(VLOOKUP(A526,[5]PRIORIZADOS!$A:$L,12,FALSE)="","",VLOOKUP(A526,[5]PRIORIZADOS!$A:$L,12,FALSE)),"")</f>
        <v xml:space="preserve">MARIA NANCY DUCUARA </v>
      </c>
      <c r="M526" s="71">
        <f>IFERROR(IF(VLOOKUP(A526,[5]PRIORIZADOS!$A:$M,13,FALSE)="","",VLOOKUP(A526,[5]PRIORIZADOS!$A:$M,13,FALSE)),"")</f>
        <v>45776</v>
      </c>
      <c r="N526" s="71">
        <f>IFERROR(IF(VLOOKUP(A526,[5]PRIORIZADOS!$A:$N,14,FALSE)="","",VLOOKUP(A526,[5]PRIORIZADOS!$A:$N,14,FALSE)),"")</f>
        <v>45754</v>
      </c>
      <c r="O526" s="71">
        <f>IFERROR(IF(VLOOKUP(A526,[5]PRIORIZADOS!$A:$O,15,FALSE)="","",VLOOKUP(A526,[5]PRIORIZADOS!$A:$O,15,FALSE)),"")</f>
        <v>45772</v>
      </c>
      <c r="P526" s="11" t="str">
        <f>IFERROR(IF(VLOOKUP(A526,[5]PRIORIZADOS!$A:$P,16,FALSE)="","",VLOOKUP(A526,[5]PRIORIZADOS!$A:$P,16,FALSE)),"")</f>
        <v>Visitas de evaluación con fines de mejoramiento</v>
      </c>
      <c r="Q526" s="126" t="s">
        <v>116</v>
      </c>
      <c r="R526" s="11" t="str">
        <f>IFERROR(IF(VLOOKUP(A526,[5]PRIORIZADOS!$A:$R,18,FALSE)="","",VLOOKUP(A526,[5]PRIORIZADOS!$A:$R,18,FALSE)),"")</f>
        <v>La institución educativa cambió de propietario pero no se realizó la modificación en la licencia de funcionamiento. 
La IE no tiene definida la estructura organizativa, no posee manual de funciones ni reglamento de trabajo.
 Los espacios no están adaptados para atender personas con discapacidad. No cuenta con espacios lúdicos, recreativos y culturales. No tiene convenios de espacios compartidos.</v>
      </c>
      <c r="S526" s="11" t="str">
        <f>IFERROR(IF(VLOOKUP(A526,[5]PRIORIZADOS!$A:$S,19,FALSE)="","",VLOOKUP(A526,[5]PRIORIZADOS!$A:$S,19,FALSE)),"")</f>
        <v>Tramitar la modificación de la licencia de funcionamiento por cambio de propietario de persona natural a persona juridica.
Definir la estructura organizativa, elaborar el manual de funciones y el reglamento de Trabajo.
Tramitar el convenio de ambientes compartidos.</v>
      </c>
      <c r="T526" s="70" t="str">
        <f>IFERROR(IF(VLOOKUP(A526,[5]PRIORIZADOS!$A:$T,20,FALSE)="","",VLOOKUP(A526,[5]PRIORIZADOS!$A:$T,20,FALSE)),"")</f>
        <v>Si</v>
      </c>
      <c r="U526" s="11" t="str">
        <f>IFERROR(IF(VLOOKUP(A526,[5]PRIORIZADOS!$A:$U,21,FALSE)="","",VLOOKUP(A526,[5]PRIORIZADOS!$A:$U,21,FALSE)),"")</f>
        <v>.Revisar el plan de mejoramiento a entregar por la IE el 15/05/2025.
.Realizar seguimiento en septiembre de 2025 para verificar el cumplimiento de las acciones establecidas en el plan de mejoramiento.</v>
      </c>
    </row>
    <row r="527" spans="1:21" s="1" customFormat="1" ht="72">
      <c r="A527" s="69">
        <f>IF([5]PRIORIZADOS!A35="","",[5]PRIORIZADOS!A35)</f>
        <v>535</v>
      </c>
      <c r="B527" s="70">
        <f>IFERROR(IF(VLOOKUP(A527,[5]PRIORIZADOS!$A:$B,2,FALSE)="","",VLOOKUP(A527,[5]PRIORIZADOS!$A:$B,2,FALSE)),"")</f>
        <v>4</v>
      </c>
      <c r="C527" s="11" t="str">
        <f>IFERROR(IF(VLOOKUP(A527,[5]PRIORIZADOS!$A:$C,3,FALSE)="","",VLOOKUP(A527,[5]PRIORIZADOS!$A:$C,3,FALSE)),"")</f>
        <v>CIUDAD BOLÍVAR</v>
      </c>
      <c r="D527" s="11" t="str">
        <f>IFERROR(IF(VLOOKUP(A527,[5]PRIORIZADOS!$A:$D,4,FALSE)="","",VLOOKUP(A527,[5]PRIORIZADOS!$A:$D,4,FALSE)),"")</f>
        <v>PRIVADO</v>
      </c>
      <c r="E527" s="11" t="str">
        <f>IFERROR(IF(VLOOKUP(A527,[5]PRIORIZADOS!$A:$E,5,FALSE)="","",VLOOKUP(A527,[5]PRIORIZADOS!$A:$E,5,FALSE)),"")</f>
        <v>EPBM</v>
      </c>
      <c r="F527" s="11" t="str">
        <f>IFERROR(IF(VLOOKUP(A527,[5]PRIORIZADOS!$A:$F,6,FALSE)="","",VLOOKUP(A527,[5]PRIORIZADOS!$A:$F,6,FALSE)),"")</f>
        <v>INSTITUTO_SAN_FRANCISCO</v>
      </c>
      <c r="G527" s="11" t="str">
        <f>IFERROR(IF(VLOOKUP(A527,[5]PRIORIZADOS!$A:$G,7,FALSE)="","",VLOOKUP(A527,[5]PRIORIZADOS!$A:$G,7,FALSE)),"")</f>
        <v>INSTITUTO SAN FRANCISCO</v>
      </c>
      <c r="H527" s="11" t="str">
        <f>IFERROR(IF(VLOOKUP(A527,[5]PRIORIZADOS!$A:$H,8,FALSE)="","",VLOOKUP(A527,[5]PRIORIZADOS!$A:$H,8,FALSE)),"")</f>
        <v>Autoevaluación Institucional y Pruebas SABER 11</v>
      </c>
      <c r="I527" s="11" t="str">
        <f>IFERROR(IF(VLOOKUP(A527,[5]PRIORIZADOS!$A:$I,9,FALSE)="","",VLOOKUP(A527,[5]PRIORIZADOS!$A:$I,9,FALSE)),"")</f>
        <v>SEGUIMIENTO_Y_SUPERVISIÓN.</v>
      </c>
      <c r="J527" s="11" t="str">
        <f>IFERROR(IF(VLOOKUP(A527,[5]PRIORIZADOS!$A:$J,10,FALSE)="","",VLOOKUP(A527,[5]PRIORIZADOS!$A:$J,10,FALSE)),"")</f>
        <v>Realizar visitas para verificar la información registrada sobre la autoevaluación institucional en el aplicativo EVI, a los establecimientos de educación formal no oficial.</v>
      </c>
      <c r="K527" s="11" t="str">
        <f>IFERROR(IF(VLOOKUP(A527,[5]PRIORIZADOS!$A:$K,11,FALSE)="","",VLOOKUP(A527,[5]PRIORIZADOS!$A:$K,11,FALSE)),"")</f>
        <v xml:space="preserve">MARIA NANCY DUCUARA </v>
      </c>
      <c r="L527" s="11" t="str">
        <f>IFERROR(IF(VLOOKUP(A527,[5]PRIORIZADOS!$A:$L,12,FALSE)="","",VLOOKUP(A527,[5]PRIORIZADOS!$A:$L,12,FALSE)),"")</f>
        <v xml:space="preserve">JUDITH SOLANO RAMÍREZ </v>
      </c>
      <c r="M527" s="71">
        <f>IFERROR(IF(VLOOKUP(A527,[5]PRIORIZADOS!$A:$M,13,FALSE)="","",VLOOKUP(A527,[5]PRIORIZADOS!$A:$M,13,FALSE)),"")</f>
        <v>45777</v>
      </c>
      <c r="N527" s="71">
        <f>IFERROR(IF(VLOOKUP(A527,[5]PRIORIZADOS!$A:$N,14,FALSE)="","",VLOOKUP(A527,[5]PRIORIZADOS!$A:$N,14,FALSE)),"")</f>
        <v>45755</v>
      </c>
      <c r="O527" s="71">
        <f>IFERROR(IF(VLOOKUP(A527,[5]PRIORIZADOS!$A:$O,15,FALSE)="","",VLOOKUP(A527,[5]PRIORIZADOS!$A:$O,15,FALSE)),"")</f>
        <v>45786</v>
      </c>
      <c r="P527" s="11" t="str">
        <f>IFERROR(IF(VLOOKUP(A527,[5]PRIORIZADOS!$A:$P,16,FALSE)="","",VLOOKUP(A527,[5]PRIORIZADOS!$A:$P,16,FALSE)),"")</f>
        <v>Visitas de evaluación con fines de mejoramiento</v>
      </c>
      <c r="Q527" s="43" t="s">
        <v>117</v>
      </c>
      <c r="R527" s="11" t="str">
        <f>IFERROR(IF(VLOOKUP(A527,[5]PRIORIZADOS!$A:$R,18,FALSE)="","",VLOOKUP(A527,[5]PRIORIZADOS!$A:$R,18,FALSE)),"")</f>
        <v>En EVI relacionan docentes titulados, sin embargo, verificadas las hojas de vida se encuentra que once (11) docentes se encuentran contratados sin ser licenciados.</v>
      </c>
      <c r="S527" s="11" t="str">
        <f>IFERROR(IF(VLOOKUP(A527,[5]PRIORIZADOS!$A:$S,19,FALSE)="","",VLOOKUP(A527,[5]PRIORIZADOS!$A:$S,19,FALSE)),"")</f>
        <v>Garantizar la contratación de personal idoneo de acuerdo a la normatividad existente.
Verificar la información reportada en el aplicativo EVI, para que esté de acuerdo a la realidad institucional.</v>
      </c>
      <c r="T527" s="70" t="str">
        <f>IFERROR(IF(VLOOKUP(A527,[5]PRIORIZADOS!$A:$T,20,FALSE)="","",VLOOKUP(A527,[5]PRIORIZADOS!$A:$T,20,FALSE)),"")</f>
        <v>Si</v>
      </c>
      <c r="U527" s="11" t="str">
        <f>IFERROR(IF(VLOOKUP(A527,[5]PRIORIZADOS!$A:$U,21,FALSE)="","",VLOOKUP(A527,[5]PRIORIZADOS!$A:$U,21,FALSE)),"")</f>
        <v>Realizar revisión documental en septiembre de 2025 para verificar el cumplimiento de las acciones propuestas en el plan de mejoramiento.</v>
      </c>
    </row>
    <row r="528" spans="1:21" s="1" customFormat="1" ht="60">
      <c r="A528" s="69">
        <f>IF([5]PRIORIZADOS!A36="","",[5]PRIORIZADOS!A36)</f>
        <v>536</v>
      </c>
      <c r="B528" s="70">
        <f>IFERROR(IF(VLOOKUP(A528,[5]PRIORIZADOS!$A:$B,2,FALSE)="","",VLOOKUP(A528,[5]PRIORIZADOS!$A:$B,2,FALSE)),"")</f>
        <v>4</v>
      </c>
      <c r="C528" s="11" t="str">
        <f>IFERROR(IF(VLOOKUP(A528,[5]PRIORIZADOS!$A:$C,3,FALSE)="","",VLOOKUP(A528,[5]PRIORIZADOS!$A:$C,3,FALSE)),"")</f>
        <v>CIUDAD BOLÍVAR</v>
      </c>
      <c r="D528" s="11" t="str">
        <f>IFERROR(IF(VLOOKUP(A528,[5]PRIORIZADOS!$A:$D,4,FALSE)="","",VLOOKUP(A528,[5]PRIORIZADOS!$A:$D,4,FALSE)),"")</f>
        <v>PRIVADO</v>
      </c>
      <c r="E528" s="11" t="str">
        <f>IFERROR(IF(VLOOKUP(A528,[5]PRIORIZADOS!$A:$E,5,FALSE)="","",VLOOKUP(A528,[5]PRIORIZADOS!$A:$E,5,FALSE)),"")</f>
        <v>EPBM</v>
      </c>
      <c r="F528" s="11" t="str">
        <f>IFERROR(IF(VLOOKUP(A528,[5]PRIORIZADOS!$A:$F,6,FALSE)="","",VLOOKUP(A528,[5]PRIORIZADOS!$A:$F,6,FALSE)),"")</f>
        <v>INSTITUTO_SAN_FRANCISCO</v>
      </c>
      <c r="G528" s="11" t="str">
        <f>IFERROR(IF(VLOOKUP(A528,[5]PRIORIZADOS!$A:$G,7,FALSE)="","",VLOOKUP(A528,[5]PRIORIZADOS!$A:$G,7,FALSE)),"")</f>
        <v>INSTITUTO SAN FRANCISCO</v>
      </c>
      <c r="H528" s="11" t="str">
        <f>IFERROR(IF(VLOOKUP(A528,[5]PRIORIZADOS!$A:$H,8,FALSE)="","",VLOOKUP(A528,[5]PRIORIZADOS!$A:$H,8,FALSE)),"")</f>
        <v>Autoevaluación Institucional y Pruebas SABER 11</v>
      </c>
      <c r="I528" s="11" t="str">
        <f>IFERROR(IF(VLOOKUP(A528,[5]PRIORIZADOS!$A:$I,9,FALSE)="","",VLOOKUP(A528,[5]PRIORIZADOS!$A:$I,9,FALSE)),"")</f>
        <v>SEGUIMIENTO_Y_SUPERVISIÓN.</v>
      </c>
      <c r="J528" s="11" t="str">
        <f>IFERROR(IF(VLOOKUP(A528,[5]PRIORIZADOS!$A:$J,10,FALSE)="","",VLOOKUP(A528,[5]PRIORIZADOS!$A:$J,10,FALSE)),"")</f>
        <v>Proponer estrategias en la formulación, verificar su elaboración y realizar seguimiento semestral al desarrollo de  las acciones establecidas en los planes de mejoramiento por pruebas SABER 11 de los establecimientos de educación formal.</v>
      </c>
      <c r="K528" s="11" t="str">
        <f>IFERROR(IF(VLOOKUP(A528,[5]PRIORIZADOS!$A:$K,11,FALSE)="","",VLOOKUP(A528,[5]PRIORIZADOS!$A:$K,11,FALSE)),"")</f>
        <v xml:space="preserve">MARIA NANCY DUCUARA </v>
      </c>
      <c r="L528" s="11" t="str">
        <f>IFERROR(IF(VLOOKUP(A528,[5]PRIORIZADOS!$A:$L,12,FALSE)="","",VLOOKUP(A528,[5]PRIORIZADOS!$A:$L,12,FALSE)),"")</f>
        <v xml:space="preserve">JUDITH SOLANO RAMÍREZ </v>
      </c>
      <c r="M528" s="71">
        <f>IFERROR(IF(VLOOKUP(A528,[5]PRIORIZADOS!$A:$M,13,FALSE)="","",VLOOKUP(A528,[5]PRIORIZADOS!$A:$M,13,FALSE)),"")</f>
        <v>45777</v>
      </c>
      <c r="N528" s="71">
        <f>IFERROR(IF(VLOOKUP(A528,[5]PRIORIZADOS!$A:$N,14,FALSE)="","",VLOOKUP(A528,[5]PRIORIZADOS!$A:$N,14,FALSE)),"")</f>
        <v>45755</v>
      </c>
      <c r="O528" s="71">
        <f>IFERROR(IF(VLOOKUP(A528,[5]PRIORIZADOS!$A:$O,15,FALSE)="","",VLOOKUP(A528,[5]PRIORIZADOS!$A:$O,15,FALSE)),"")</f>
        <v>45786</v>
      </c>
      <c r="P528" s="11" t="str">
        <f>IFERROR(IF(VLOOKUP(A528,[5]PRIORIZADOS!$A:$P,16,FALSE)="","",VLOOKUP(A528,[5]PRIORIZADOS!$A:$P,16,FALSE)),"")</f>
        <v>Visitas de evaluación con fines de mejoramiento</v>
      </c>
      <c r="Q528" s="2" t="s">
        <v>117</v>
      </c>
      <c r="R528" s="11" t="str">
        <f>IFERROR(IF(VLOOKUP(A528,[5]PRIORIZADOS!$A:$R,18,FALSE)="","",VLOOKUP(A528,[5]PRIORIZADOS!$A:$R,18,FALSE)),"")</f>
        <v>La IE realiza diagnóstico de los resultados de las pruebas saber a través de una  empresa. Además, hace seguimiento e intervención en los déficit encontrados mediante la aplicación de pruebas Gamma.</v>
      </c>
      <c r="S528" s="11" t="str">
        <f>IFERROR(IF(VLOOKUP(A528,[5]PRIORIZADOS!$A:$S,19,FALSE)="","",VLOOKUP(A528,[5]PRIORIZADOS!$A:$S,19,FALSE)),"")</f>
        <v>Continuar con la implementación de las acciones para el mejoramiento de los resultados de las pruebas saber 11°</v>
      </c>
      <c r="T528" s="70" t="str">
        <f>IFERROR(IF(VLOOKUP(A528,[5]PRIORIZADOS!$A:$T,20,FALSE)="","",VLOOKUP(A528,[5]PRIORIZADOS!$A:$T,20,FALSE)),"")</f>
        <v>No</v>
      </c>
      <c r="U528" s="11" t="str">
        <f>IFERROR(IF(VLOOKUP(A528,[5]PRIORIZADOS!$A:$U,21,FALSE)="","",VLOOKUP(A528,[5]PRIORIZADOS!$A:$U,21,FALSE)),"")</f>
        <v>Realizar revisión de los resultados de pruebas Saber11 2025</v>
      </c>
    </row>
    <row r="529" spans="1:21" s="1" customFormat="1" ht="154.5">
      <c r="A529" s="69">
        <f>IF([5]PRIORIZADOS!A37="","",[5]PRIORIZADOS!A37)</f>
        <v>537</v>
      </c>
      <c r="B529" s="70">
        <f>IFERROR(IF(VLOOKUP(A529,[5]PRIORIZADOS!$A:$B,2,FALSE)="","",VLOOKUP(A529,[5]PRIORIZADOS!$A:$B,2,FALSE)),"")</f>
        <v>4</v>
      </c>
      <c r="C529" s="11" t="str">
        <f>IFERROR(IF(VLOOKUP(A529,[5]PRIORIZADOS!$A:$C,3,FALSE)="","",VLOOKUP(A529,[5]PRIORIZADOS!$A:$C,3,FALSE)),"")</f>
        <v>CIUDAD BOLÍVAR</v>
      </c>
      <c r="D529" s="11" t="str">
        <f>IFERROR(IF(VLOOKUP(A529,[5]PRIORIZADOS!$A:$D,4,FALSE)="","",VLOOKUP(A529,[5]PRIORIZADOS!$A:$D,4,FALSE)),"")</f>
        <v>PRIVADO</v>
      </c>
      <c r="E529" s="11" t="str">
        <f>IFERROR(IF(VLOOKUP(A529,[5]PRIORIZADOS!$A:$E,5,FALSE)="","",VLOOKUP(A529,[5]PRIORIZADOS!$A:$E,5,FALSE)),"")</f>
        <v>EPBM</v>
      </c>
      <c r="F529" s="11" t="str">
        <f>IFERROR(IF(VLOOKUP(A529,[5]PRIORIZADOS!$A:$F,6,FALSE)="","",VLOOKUP(A529,[5]PRIORIZADOS!$A:$F,6,FALSE)),"")</f>
        <v>INSTITUTO_SAN_FRANCISCO</v>
      </c>
      <c r="G529" s="11" t="str">
        <f>IFERROR(IF(VLOOKUP(A529,[5]PRIORIZADOS!$A:$G,7,FALSE)="","",VLOOKUP(A529,[5]PRIORIZADOS!$A:$G,7,FALSE)),"")</f>
        <v>INSTITUTO SAN FRANCISCO</v>
      </c>
      <c r="H529" s="11" t="str">
        <f>IFERROR(IF(VLOOKUP(A529,[5]PRIORIZADOS!$A:$H,8,FALSE)="","",VLOOKUP(A529,[5]PRIORIZADOS!$A:$H,8,FALSE)),"")</f>
        <v>Autoevaluación Institucional y Pruebas SABER 11</v>
      </c>
      <c r="I529" s="11" t="str">
        <f>IFERROR(IF(VLOOKUP(A529,[5]PRIORIZADOS!$A:$I,9,FALSE)="","",VLOOKUP(A529,[5]PRIORIZADOS!$A:$I,9,FALSE)),"")</f>
        <v>SEGUIMIENTO_Y_SUPERVISIÓN.</v>
      </c>
      <c r="J529" s="11" t="str">
        <f>IFERROR(IF(VLOOKUP(A529,[5]PRIORIZADOS!$A:$J,10,FALSE)="","",VLOOKUP(A529,[5]PRIORIZADOS!$A:$J,10,FALSE)),"")</f>
        <v xml:space="preserve">Verificar la implementación por parte de los colegios, de acciones realizadas para la prevención y atención de las situaciones de convivencia en el entorno escolar, según lo establecido en la Directiva 01 de 2022 del MEN. </v>
      </c>
      <c r="K529" s="11" t="str">
        <f>IFERROR(IF(VLOOKUP(A529,[5]PRIORIZADOS!$A:$K,11,FALSE)="","",VLOOKUP(A529,[5]PRIORIZADOS!$A:$K,11,FALSE)),"")</f>
        <v xml:space="preserve">MARIA NANCY DUCUARA </v>
      </c>
      <c r="L529" s="11" t="str">
        <f>IFERROR(IF(VLOOKUP(A529,[5]PRIORIZADOS!$A:$L,12,FALSE)="","",VLOOKUP(A529,[5]PRIORIZADOS!$A:$L,12,FALSE)),"")</f>
        <v xml:space="preserve">JUDITH SOLANO RAMÍREZ </v>
      </c>
      <c r="M529" s="71">
        <f>IFERROR(IF(VLOOKUP(A529,[5]PRIORIZADOS!$A:$M,13,FALSE)="","",VLOOKUP(A529,[5]PRIORIZADOS!$A:$M,13,FALSE)),"")</f>
        <v>45777</v>
      </c>
      <c r="N529" s="71">
        <f>IFERROR(IF(VLOOKUP(A529,[5]PRIORIZADOS!$A:$N,14,FALSE)="","",VLOOKUP(A529,[5]PRIORIZADOS!$A:$N,14,FALSE)),"")</f>
        <v>45755</v>
      </c>
      <c r="O529" s="71">
        <f>IFERROR(IF(VLOOKUP(A529,[5]PRIORIZADOS!$A:$O,15,FALSE)="","",VLOOKUP(A529,[5]PRIORIZADOS!$A:$O,15,FALSE)),"")</f>
        <v>45786</v>
      </c>
      <c r="P529" s="11" t="str">
        <f>IFERROR(IF(VLOOKUP(A529,[5]PRIORIZADOS!$A:$P,16,FALSE)="","",VLOOKUP(A529,[5]PRIORIZADOS!$A:$P,16,FALSE)),"")</f>
        <v>Visitas de evaluación con fines de mejoramiento</v>
      </c>
      <c r="Q529" s="135" t="s">
        <v>117</v>
      </c>
      <c r="R529" s="11" t="str">
        <f>IFERROR(IF(VLOOKUP(A529,[5]PRIORIZADOS!$A:$R,18,FALSE)="","",VLOOKUP(A529,[5]PRIORIZADOS!$A:$R,18,FALSE)),"")</f>
        <v>Posee un Manual de Convivencia actualizado, con documentación al día de los procesos y procedimientos de acuerdo al debido proceso convivencial y las rutas de atención. Sin embargo, presenta falencias en la formulación del plan de acción de convivencia escolar. Así mismo, en el procedimiento para la presentación de reclamaciones de los estudiantes frente a su proceso académico. Se evidencio la reciente  consulta de antecedentes de inhabilidades por delitos sexuales. Se precisa sobre la periodicidad de la consulta</v>
      </c>
      <c r="S529" s="11" t="str">
        <f>IFERROR(IF(VLOOKUP(A529,[5]PRIORIZADOS!$A:$S,19,FALSE)="","",VLOOKUP(A529,[5]PRIORIZADOS!$A:$S,19,FALSE)),"")</f>
        <v>Realizar el Plan de Acción con acciones de prevención y promoción de la convivencia escolar de acuerdo al diagnóstico de las situaciones más recurrentes del año inmediatamente anterior. 
Elaboración del procedimiento para la presentación de las reclamaciones de los estudiantes frente a su proceso académico, enmarcado en el debido proceso. Realizar consulta de  antecedentes de inhabilidades por delitos sexuales cada cuatro meses</v>
      </c>
      <c r="T529" s="70" t="str">
        <f>IFERROR(IF(VLOOKUP(A529,[5]PRIORIZADOS!$A:$T,20,FALSE)="","",VLOOKUP(A529,[5]PRIORIZADOS!$A:$T,20,FALSE)),"")</f>
        <v>Si</v>
      </c>
      <c r="U529" s="11" t="str">
        <f>IFERROR(IF(VLOOKUP(A529,[5]PRIORIZADOS!$A:$U,21,FALSE)="","",VLOOKUP(A529,[5]PRIORIZADOS!$A:$U,21,FALSE)),"")</f>
        <v>Realizar revisión documental en septiembre de 2025 para verificar el cumplimiento de las acciones propuestas en el plan de mejoramiento.</v>
      </c>
    </row>
    <row r="530" spans="1:21" s="1" customFormat="1" ht="72">
      <c r="A530" s="69">
        <f>IF([5]PRIORIZADOS!A38="","",[5]PRIORIZADOS!A38)</f>
        <v>538</v>
      </c>
      <c r="B530" s="70">
        <f>IFERROR(IF(VLOOKUP(A530,[5]PRIORIZADOS!$A:$B,2,FALSE)="","",VLOOKUP(A530,[5]PRIORIZADOS!$A:$B,2,FALSE)),"")</f>
        <v>4</v>
      </c>
      <c r="C530" s="11" t="str">
        <f>IFERROR(IF(VLOOKUP(A530,[5]PRIORIZADOS!$A:$C,3,FALSE)="","",VLOOKUP(A530,[5]PRIORIZADOS!$A:$C,3,FALSE)),"")</f>
        <v>CIUDAD BOLÍVAR</v>
      </c>
      <c r="D530" s="11" t="str">
        <f>IFERROR(IF(VLOOKUP(A530,[5]PRIORIZADOS!$A:$D,4,FALSE)="","",VLOOKUP(A530,[5]PRIORIZADOS!$A:$D,4,FALSE)),"")</f>
        <v>PRIVADO</v>
      </c>
      <c r="E530" s="11" t="str">
        <f>IFERROR(IF(VLOOKUP(A530,[5]PRIORIZADOS!$A:$E,5,FALSE)="","",VLOOKUP(A530,[5]PRIORIZADOS!$A:$E,5,FALSE)),"")</f>
        <v>EPBM</v>
      </c>
      <c r="F530" s="11" t="str">
        <f>IFERROR(IF(VLOOKUP(A530,[5]PRIORIZADOS!$A:$F,6,FALSE)="","",VLOOKUP(A530,[5]PRIORIZADOS!$A:$F,6,FALSE)),"")</f>
        <v>INSTITUTO_SAN_FRANCISCO</v>
      </c>
      <c r="G530" s="11" t="str">
        <f>IFERROR(IF(VLOOKUP(A530,[5]PRIORIZADOS!$A:$G,7,FALSE)="","",VLOOKUP(A530,[5]PRIORIZADOS!$A:$G,7,FALSE)),"")</f>
        <v>INSTITUTO SAN FRANCISCO</v>
      </c>
      <c r="H530" s="11" t="str">
        <f>IFERROR(IF(VLOOKUP(A530,[5]PRIORIZADOS!$A:$H,8,FALSE)="","",VLOOKUP(A530,[5]PRIORIZADOS!$A:$H,8,FALSE)),"")</f>
        <v>Autoevaluación Institucional y Pruebas SABER 11</v>
      </c>
      <c r="I530" s="11" t="str">
        <f>IFERROR(IF(VLOOKUP(A530,[5]PRIORIZADOS!$A:$I,9,FALSE)="","",VLOOKUP(A530,[5]PRIORIZADOS!$A:$I,9,FALSE)),"")</f>
        <v>SEGUIMIENTO_Y_SUPERVISIÓN.</v>
      </c>
      <c r="J530" s="11" t="str">
        <f>IFERROR(IF(VLOOKUP(A530,[5]PRIORIZADOS!$A:$J,10,FALSE)="","",VLOOKUP(A530,[5]PRIORIZADOS!$A:$J,10,FALSE)),"")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30" s="11" t="str">
        <f>IFERROR(IF(VLOOKUP(A530,[5]PRIORIZADOS!$A:$K,11,FALSE)="","",VLOOKUP(A530,[5]PRIORIZADOS!$A:$K,11,FALSE)),"")</f>
        <v xml:space="preserve">MARIA NANCY DUCUARA </v>
      </c>
      <c r="L530" s="11" t="str">
        <f>IFERROR(IF(VLOOKUP(A530,[5]PRIORIZADOS!$A:$L,12,FALSE)="","",VLOOKUP(A530,[5]PRIORIZADOS!$A:$L,12,FALSE)),"")</f>
        <v xml:space="preserve">JUDITH SOLANO RAMÍREZ </v>
      </c>
      <c r="M530" s="71">
        <f>IFERROR(IF(VLOOKUP(A530,[5]PRIORIZADOS!$A:$M,13,FALSE)="","",VLOOKUP(A530,[5]PRIORIZADOS!$A:$M,13,FALSE)),"")</f>
        <v>45777</v>
      </c>
      <c r="N530" s="71">
        <f>IFERROR(IF(VLOOKUP(A530,[5]PRIORIZADOS!$A:$N,14,FALSE)="","",VLOOKUP(A530,[5]PRIORIZADOS!$A:$N,14,FALSE)),"")</f>
        <v>45755</v>
      </c>
      <c r="O530" s="71">
        <f>IFERROR(IF(VLOOKUP(A530,[5]PRIORIZADOS!$A:$O,15,FALSE)="","",VLOOKUP(A530,[5]PRIORIZADOS!$A:$O,15,FALSE)),"")</f>
        <v>45786</v>
      </c>
      <c r="P530" s="11" t="str">
        <f>IFERROR(IF(VLOOKUP(A530,[5]PRIORIZADOS!$A:$P,16,FALSE)="","",VLOOKUP(A530,[5]PRIORIZADOS!$A:$P,16,FALSE)),"")</f>
        <v>Visitas de evaluación con fines de mejoramiento</v>
      </c>
      <c r="Q530" s="2" t="s">
        <v>117</v>
      </c>
      <c r="R530" s="11" t="str">
        <f>IFERROR(IF(VLOOKUP(A530,[5]PRIORIZADOS!$A:$R,18,FALSE)="","",VLOOKUP(A530,[5]PRIORIZADOS!$A:$R,18,FALSE)),"")</f>
        <v>Cuenta con Planes Individuales de Ajustes Razonables - PIAR. Los cuales son actualizados de acuerdo a las necesidades de los estudiantes.</v>
      </c>
      <c r="S530" s="11" t="str">
        <f>IFERROR(IF(VLOOKUP(A530,[5]PRIORIZADOS!$A:$S,19,FALSE)="","",VLOOKUP(A530,[5]PRIORIZADOS!$A:$S,19,FALSE)),"")</f>
        <v>Continuar con la elaboración, actualziación e implementación de los PIAR,  de acuerdo a las necesidades identificadas en los estudiantes.</v>
      </c>
      <c r="T530" s="70" t="str">
        <f>IFERROR(IF(VLOOKUP(A530,[5]PRIORIZADOS!$A:$T,20,FALSE)="","",VLOOKUP(A530,[5]PRIORIZADOS!$A:$T,20,FALSE)),"")</f>
        <v>No</v>
      </c>
      <c r="U530" s="11" t="str">
        <f>IFERROR(IF(VLOOKUP(A530,[5]PRIORIZADOS!$A:$U,21,FALSE)="","",VLOOKUP(A530,[5]PRIORIZADOS!$A:$U,21,FALSE)),"")</f>
        <v>Realizar revisión documental en septiembre de 2025 para verificar el cumplimiento de las acciones propuestas en el plan de mejoramiento.</v>
      </c>
    </row>
    <row r="531" spans="1:21" s="1" customFormat="1" ht="84">
      <c r="A531" s="69">
        <f>IF([5]PRIORIZADOS!A39="","",[5]PRIORIZADOS!A39)</f>
        <v>539</v>
      </c>
      <c r="B531" s="70">
        <f>IFERROR(IF(VLOOKUP(A531,[5]PRIORIZADOS!$A:$B,2,FALSE)="","",VLOOKUP(A531,[5]PRIORIZADOS!$A:$B,2,FALSE)),"")</f>
        <v>4</v>
      </c>
      <c r="C531" s="11" t="str">
        <f>IFERROR(IF(VLOOKUP(A531,[5]PRIORIZADOS!$A:$C,3,FALSE)="","",VLOOKUP(A531,[5]PRIORIZADOS!$A:$C,3,FALSE)),"")</f>
        <v>CIUDAD BOLÍVAR</v>
      </c>
      <c r="D531" s="11" t="str">
        <f>IFERROR(IF(VLOOKUP(A531,[5]PRIORIZADOS!$A:$D,4,FALSE)="","",VLOOKUP(A531,[5]PRIORIZADOS!$A:$D,4,FALSE)),"")</f>
        <v>PRIVADO</v>
      </c>
      <c r="E531" s="11" t="str">
        <f>IFERROR(IF(VLOOKUP(A531,[5]PRIORIZADOS!$A:$E,5,FALSE)="","",VLOOKUP(A531,[5]PRIORIZADOS!$A:$E,5,FALSE)),"")</f>
        <v>EPBM</v>
      </c>
      <c r="F531" s="11" t="str">
        <f>IFERROR(IF(VLOOKUP(A531,[5]PRIORIZADOS!$A:$F,6,FALSE)="","",VLOOKUP(A531,[5]PRIORIZADOS!$A:$F,6,FALSE)),"")</f>
        <v>INSTITUTO_SAN_FRANCISCO</v>
      </c>
      <c r="G531" s="11" t="str">
        <f>IFERROR(IF(VLOOKUP(A531,[5]PRIORIZADOS!$A:$G,7,FALSE)="","",VLOOKUP(A531,[5]PRIORIZADOS!$A:$G,7,FALSE)),"")</f>
        <v>INSTITUTO SAN FRANCISCO</v>
      </c>
      <c r="H531" s="11" t="str">
        <f>IFERROR(IF(VLOOKUP(A531,[5]PRIORIZADOS!$A:$H,8,FALSE)="","",VLOOKUP(A531,[5]PRIORIZADOS!$A:$H,8,FALSE)),"")</f>
        <v>Autoevaluación Institucional y Pruebas SABER 11</v>
      </c>
      <c r="I531" s="11" t="str">
        <f>IFERROR(IF(VLOOKUP(A531,[5]PRIORIZADOS!$A:$I,9,FALSE)="","",VLOOKUP(A531,[5]PRIORIZADOS!$A:$I,9,FALSE)),"")</f>
        <v>EVALUACIÓN_CON_FINES_DE_MEJORAMIENTO.</v>
      </c>
      <c r="J531" s="11" t="str">
        <f>IFERROR(IF(VLOOKUP(A531,[5]PRIORIZADOS!$A:$J,10,FALSE)="","",VLOOKUP(A531,[5]PRIORIZADOS!$A:$J,10,FALSE)),"")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31" s="11" t="str">
        <f>IFERROR(IF(VLOOKUP(A531,[5]PRIORIZADOS!$A:$K,11,FALSE)="","",VLOOKUP(A531,[5]PRIORIZADOS!$A:$K,11,FALSE)),"")</f>
        <v xml:space="preserve">MARIA NANCY DUCUARA </v>
      </c>
      <c r="L531" s="11" t="str">
        <f>IFERROR(IF(VLOOKUP(A531,[5]PRIORIZADOS!$A:$L,12,FALSE)="","",VLOOKUP(A531,[5]PRIORIZADOS!$A:$L,12,FALSE)),"")</f>
        <v xml:space="preserve">JUDITH SOLANO RAMÍREZ </v>
      </c>
      <c r="M531" s="71">
        <f>IFERROR(IF(VLOOKUP(A531,[5]PRIORIZADOS!$A:$M,13,FALSE)="","",VLOOKUP(A531,[5]PRIORIZADOS!$A:$M,13,FALSE)),"")</f>
        <v>45777</v>
      </c>
      <c r="N531" s="71">
        <f>IFERROR(IF(VLOOKUP(A531,[5]PRIORIZADOS!$A:$N,14,FALSE)="","",VLOOKUP(A531,[5]PRIORIZADOS!$A:$N,14,FALSE)),"")</f>
        <v>45755</v>
      </c>
      <c r="O531" s="71">
        <f>IFERROR(IF(VLOOKUP(A531,[5]PRIORIZADOS!$A:$O,15,FALSE)="","",VLOOKUP(A531,[5]PRIORIZADOS!$A:$O,15,FALSE)),"")</f>
        <v>45786</v>
      </c>
      <c r="P531" s="11" t="str">
        <f>IFERROR(IF(VLOOKUP(A531,[5]PRIORIZADOS!$A:$P,16,FALSE)="","",VLOOKUP(A531,[5]PRIORIZADOS!$A:$P,16,FALSE)),"")</f>
        <v>Visitas de evaluación con fines de mejoramiento</v>
      </c>
      <c r="Q531" s="61" t="s">
        <v>117</v>
      </c>
      <c r="R531" s="11" t="str">
        <f>IFERROR(IF(VLOOKUP(A531,[5]PRIORIZADOS!$A:$R,18,FALSE)="","",VLOOKUP(A531,[5]PRIORIZADOS!$A:$R,18,FALSE)),"")</f>
        <v xml:space="preserve">Cuenta con un Manual de Convivencia actualizado y debidamente socializado con la comunidad educativa. Así mismo evidencian su implementación. Se recomienda que se fortalezca el  plan de acción con acciones de prevención y promoción. </v>
      </c>
      <c r="S531" s="11" t="str">
        <f>IFERROR(IF(VLOOKUP(A531,[5]PRIORIZADOS!$A:$S,19,FALSE)="","",VLOOKUP(A531,[5]PRIORIZADOS!$A:$S,19,FALSE)),"")</f>
        <v>Elaborar el Plan de Acción con acciones de prevención y promoción con su respectivo cronograma teniendo en cuenta el diagnóstico realizado de las situaciones de convivencia de mayor recurrencia del año inmediatamente anterior.</v>
      </c>
      <c r="T531" s="70" t="str">
        <f>IFERROR(IF(VLOOKUP(A531,[5]PRIORIZADOS!$A:$T,20,FALSE)="","",VLOOKUP(A531,[5]PRIORIZADOS!$A:$T,20,FALSE)),"")</f>
        <v>Si</v>
      </c>
      <c r="U531" s="11" t="str">
        <f>IFERROR(IF(VLOOKUP(A531,[5]PRIORIZADOS!$A:$U,21,FALSE)="","",VLOOKUP(A531,[5]PRIORIZADOS!$A:$U,21,FALSE)),"")</f>
        <v>Realizar revisión documental en septiembre de 2025 para verificar el cumplimiento de las acciones propuestas en el plan de mejoramiento.</v>
      </c>
    </row>
    <row r="532" spans="1:21" s="1" customFormat="1" ht="72">
      <c r="A532" s="69">
        <f>IF([5]PRIORIZADOS!A40="","",[5]PRIORIZADOS!A40)</f>
        <v>540</v>
      </c>
      <c r="B532" s="70">
        <f>IFERROR(IF(VLOOKUP(A532,[5]PRIORIZADOS!$A:$B,2,FALSE)="","",VLOOKUP(A532,[5]PRIORIZADOS!$A:$B,2,FALSE)),"")</f>
        <v>4</v>
      </c>
      <c r="C532" s="11" t="str">
        <f>IFERROR(IF(VLOOKUP(A532,[5]PRIORIZADOS!$A:$C,3,FALSE)="","",VLOOKUP(A532,[5]PRIORIZADOS!$A:$C,3,FALSE)),"")</f>
        <v>CIUDAD BOLÍVAR</v>
      </c>
      <c r="D532" s="11" t="str">
        <f>IFERROR(IF(VLOOKUP(A532,[5]PRIORIZADOS!$A:$D,4,FALSE)="","",VLOOKUP(A532,[5]PRIORIZADOS!$A:$D,4,FALSE)),"")</f>
        <v>PRIVADO</v>
      </c>
      <c r="E532" s="11" t="str">
        <f>IFERROR(IF(VLOOKUP(A532,[5]PRIORIZADOS!$A:$E,5,FALSE)="","",VLOOKUP(A532,[5]PRIORIZADOS!$A:$E,5,FALSE)),"")</f>
        <v>EPBM</v>
      </c>
      <c r="F532" s="11" t="str">
        <f>IFERROR(IF(VLOOKUP(A532,[5]PRIORIZADOS!$A:$F,6,FALSE)="","",VLOOKUP(A532,[5]PRIORIZADOS!$A:$F,6,FALSE)),"")</f>
        <v>INSTITUTO_SAN_FRANCISCO</v>
      </c>
      <c r="G532" s="11" t="str">
        <f>IFERROR(IF(VLOOKUP(A532,[5]PRIORIZADOS!$A:$G,7,FALSE)="","",VLOOKUP(A532,[5]PRIORIZADOS!$A:$G,7,FALSE)),"")</f>
        <v>INSTITUTO SAN FRANCISCO</v>
      </c>
      <c r="H532" s="11" t="str">
        <f>IFERROR(IF(VLOOKUP(A532,[5]PRIORIZADOS!$A:$H,8,FALSE)="","",VLOOKUP(A532,[5]PRIORIZADOS!$A:$H,8,FALSE)),"")</f>
        <v>Autoevaluación Institucional y Pruebas SABER 11</v>
      </c>
      <c r="I532" s="11" t="str">
        <f>IFERROR(IF(VLOOKUP(A532,[5]PRIORIZADOS!$A:$I,9,FALSE)="","",VLOOKUP(A532,[5]PRIORIZADOS!$A:$I,9,FALSE)),"")</f>
        <v>EVALUACIÓN_CON_FINES_DE_MEJORAMIENTO.</v>
      </c>
      <c r="J532" s="11" t="str">
        <f>IFERROR(IF(VLOOKUP(A532,[5]PRIORIZADOS!$A:$J,10,FALSE)="","",VLOOKUP(A532,[5]PRIORIZADOS!$A:$J,10,FALSE)),"")</f>
        <v>Revisar la actualización, socialización e implementación del Sistema Institucional de Evaluación de Estudiantes - SIEE, en articulación con la actualización del PEI y la normatividad vigente.</v>
      </c>
      <c r="K532" s="11" t="str">
        <f>IFERROR(IF(VLOOKUP(A532,[5]PRIORIZADOS!$A:$K,11,FALSE)="","",VLOOKUP(A532,[5]PRIORIZADOS!$A:$K,11,FALSE)),"")</f>
        <v xml:space="preserve">MARIA NANCY DUCUARA </v>
      </c>
      <c r="L532" s="11" t="str">
        <f>IFERROR(IF(VLOOKUP(A532,[5]PRIORIZADOS!$A:$L,12,FALSE)="","",VLOOKUP(A532,[5]PRIORIZADOS!$A:$L,12,FALSE)),"")</f>
        <v xml:space="preserve">JUDITH SOLANO RAMÍREZ </v>
      </c>
      <c r="M532" s="71">
        <f>IFERROR(IF(VLOOKUP(A532,[5]PRIORIZADOS!$A:$M,13,FALSE)="","",VLOOKUP(A532,[5]PRIORIZADOS!$A:$M,13,FALSE)),"")</f>
        <v>45777</v>
      </c>
      <c r="N532" s="71">
        <f>IFERROR(IF(VLOOKUP(A532,[5]PRIORIZADOS!$A:$N,14,FALSE)="","",VLOOKUP(A532,[5]PRIORIZADOS!$A:$N,14,FALSE)),"")</f>
        <v>45755</v>
      </c>
      <c r="O532" s="71">
        <f>IFERROR(IF(VLOOKUP(A532,[5]PRIORIZADOS!$A:$O,15,FALSE)="","",VLOOKUP(A532,[5]PRIORIZADOS!$A:$O,15,FALSE)),"")</f>
        <v>45786</v>
      </c>
      <c r="P532" s="11" t="str">
        <f>IFERROR(IF(VLOOKUP(A532,[5]PRIORIZADOS!$A:$P,16,FALSE)="","",VLOOKUP(A532,[5]PRIORIZADOS!$A:$P,16,FALSE)),"")</f>
        <v>Visitas de evaluación con fines de mejoramiento</v>
      </c>
      <c r="Q532" s="2" t="s">
        <v>117</v>
      </c>
      <c r="R532" s="11" t="str">
        <f>IFERROR(IF(VLOOKUP(A532,[5]PRIORIZADOS!$A:$R,18,FALSE)="","",VLOOKUP(A532,[5]PRIORIZADOS!$A:$R,18,FALSE)),"")</f>
        <v xml:space="preserve">La IE tiene un Sistema institucional de evaluación de los estudiantes- SIEE actualizado. Sin embargo, no hay procedimiento para presentar las reclamaciones por parte de los estudiantes frente a su proceso académico. </v>
      </c>
      <c r="S532" s="11" t="str">
        <f>IFERROR(IF(VLOOKUP(A532,[5]PRIORIZADOS!$A:$S,19,FALSE)="","",VLOOKUP(A532,[5]PRIORIZADOS!$A:$S,19,FALSE)),"")</f>
        <v>Elaborar procedimiento para la presentación de las reclamaciones frente al proceso académico, enmarcado en el debido proceso.</v>
      </c>
      <c r="T532" s="70" t="str">
        <f>IFERROR(IF(VLOOKUP(A532,[5]PRIORIZADOS!$A:$T,20,FALSE)="","",VLOOKUP(A532,[5]PRIORIZADOS!$A:$T,20,FALSE)),"")</f>
        <v>Si</v>
      </c>
      <c r="U532" s="11" t="str">
        <f>IFERROR(IF(VLOOKUP(A532,[5]PRIORIZADOS!$A:$U,21,FALSE)="","",VLOOKUP(A532,[5]PRIORIZADOS!$A:$U,21,FALSE)),"")</f>
        <v>Realizar revisión documental en septiembre de 2025 para verificar el cumplimiento de las acciones propuestas en el plan de mejoramiento.</v>
      </c>
    </row>
    <row r="533" spans="1:21" s="1" customFormat="1" ht="48">
      <c r="A533" s="69">
        <f>IF([5]PRIORIZADOS!A41="","",[5]PRIORIZADOS!A41)</f>
        <v>541</v>
      </c>
      <c r="B533" s="70">
        <f>IFERROR(IF(VLOOKUP(A533,[5]PRIORIZADOS!$A:$B,2,FALSE)="","",VLOOKUP(A533,[5]PRIORIZADOS!$A:$B,2,FALSE)),"")</f>
        <v>4</v>
      </c>
      <c r="C533" s="11" t="str">
        <f>IFERROR(IF(VLOOKUP(A533,[5]PRIORIZADOS!$A:$C,3,FALSE)="","",VLOOKUP(A533,[5]PRIORIZADOS!$A:$C,3,FALSE)),"")</f>
        <v>CIUDAD BOLÍVAR</v>
      </c>
      <c r="D533" s="11" t="str">
        <f>IFERROR(IF(VLOOKUP(A533,[5]PRIORIZADOS!$A:$D,4,FALSE)="","",VLOOKUP(A533,[5]PRIORIZADOS!$A:$D,4,FALSE)),"")</f>
        <v>PRIVADO</v>
      </c>
      <c r="E533" s="11" t="str">
        <f>IFERROR(IF(VLOOKUP(A533,[5]PRIORIZADOS!$A:$E,5,FALSE)="","",VLOOKUP(A533,[5]PRIORIZADOS!$A:$E,5,FALSE)),"")</f>
        <v>EPBM</v>
      </c>
      <c r="F533" s="11" t="str">
        <f>IFERROR(IF(VLOOKUP(A533,[5]PRIORIZADOS!$A:$F,6,FALSE)="","",VLOOKUP(A533,[5]PRIORIZADOS!$A:$F,6,FALSE)),"")</f>
        <v>INSTITUTO_SAN_FRANCISCO</v>
      </c>
      <c r="G533" s="11" t="str">
        <f>IFERROR(IF(VLOOKUP(A533,[5]PRIORIZADOS!$A:$G,7,FALSE)="","",VLOOKUP(A533,[5]PRIORIZADOS!$A:$G,7,FALSE)),"")</f>
        <v>INSTITUTO SAN FRANCISCO</v>
      </c>
      <c r="H533" s="11" t="str">
        <f>IFERROR(IF(VLOOKUP(A533,[5]PRIORIZADOS!$A:$H,8,FALSE)="","",VLOOKUP(A533,[5]PRIORIZADOS!$A:$H,8,FALSE)),"")</f>
        <v>Autoevaluación Institucional y Pruebas SABER 11</v>
      </c>
      <c r="I533" s="11" t="str">
        <f>IFERROR(IF(VLOOKUP(A533,[5]PRIORIZADOS!$A:$I,9,FALSE)="","",VLOOKUP(A533,[5]PRIORIZADOS!$A:$I,9,FALSE)),"")</f>
        <v>EVALUACIÓN_CON_FINES_DE_MEJORAMIENTO.</v>
      </c>
      <c r="J533" s="11" t="str">
        <f>IFERROR(IF(VLOOKUP(A533,[5]PRIORIZADOS!$A:$J,10,FALSE)="","",VLOOKUP(A533,[5]PRIORIZADOS!$A:$J,10,FALSE)),"")</f>
        <v>Revisar el calendario escolar, jornada escolar, la intensidad horaria mínima anual en cada nivel y las modificaciones que se realicen al mismo, de acuerdo con lo previsto en la normatividad vigente.</v>
      </c>
      <c r="K533" s="11" t="str">
        <f>IFERROR(IF(VLOOKUP(A533,[5]PRIORIZADOS!$A:$K,11,FALSE)="","",VLOOKUP(A533,[5]PRIORIZADOS!$A:$K,11,FALSE)),"")</f>
        <v xml:space="preserve">MARIA NANCY DUCUARA </v>
      </c>
      <c r="L533" s="11" t="str">
        <f>IFERROR(IF(VLOOKUP(A533,[5]PRIORIZADOS!$A:$L,12,FALSE)="","",VLOOKUP(A533,[5]PRIORIZADOS!$A:$L,12,FALSE)),"")</f>
        <v xml:space="preserve">JUDITH SOLANO RAMÍREZ </v>
      </c>
      <c r="M533" s="71">
        <f>IFERROR(IF(VLOOKUP(A533,[5]PRIORIZADOS!$A:$M,13,FALSE)="","",VLOOKUP(A533,[5]PRIORIZADOS!$A:$M,13,FALSE)),"")</f>
        <v>45777</v>
      </c>
      <c r="N533" s="71">
        <f>IFERROR(IF(VLOOKUP(A533,[5]PRIORIZADOS!$A:$N,14,FALSE)="","",VLOOKUP(A533,[5]PRIORIZADOS!$A:$N,14,FALSE)),"")</f>
        <v>45755</v>
      </c>
      <c r="O533" s="71">
        <f>IFERROR(IF(VLOOKUP(A533,[5]PRIORIZADOS!$A:$O,15,FALSE)="","",VLOOKUP(A533,[5]PRIORIZADOS!$A:$O,15,FALSE)),"")</f>
        <v>45786</v>
      </c>
      <c r="P533" s="11" t="str">
        <f>IFERROR(IF(VLOOKUP(A533,[5]PRIORIZADOS!$A:$P,16,FALSE)="","",VLOOKUP(A533,[5]PRIORIZADOS!$A:$P,16,FALSE)),"")</f>
        <v>Visitas de evaluación con fines de mejoramiento</v>
      </c>
      <c r="Q533" s="61" t="s">
        <v>117</v>
      </c>
      <c r="R533" s="11" t="str">
        <f>IFERROR(IF(VLOOKUP(A533,[5]PRIORIZADOS!$A:$R,18,FALSE)="","",VLOOKUP(A533,[5]PRIORIZADOS!$A:$R,18,FALSE)),"")</f>
        <v>El calendario escolar, jornada escolar y la intensidad horaria mínima anual en cada nivel se encuentra acorde con la normatividad vigente.</v>
      </c>
      <c r="S533" s="11" t="str">
        <f>IFERROR(IF(VLOOKUP(A533,[5]PRIORIZADOS!$A:$S,19,FALSE)="","",VLOOKUP(A533,[5]PRIORIZADOS!$A:$S,19,FALSE)),"")</f>
        <v>Continuar con la definición del calendario académico en el marco de la normatividad y garantizar su cumplimiento hasta finalizar el año escolar.</v>
      </c>
      <c r="T533" s="70" t="str">
        <f>IFERROR(IF(VLOOKUP(A533,[5]PRIORIZADOS!$A:$T,20,FALSE)="","",VLOOKUP(A533,[5]PRIORIZADOS!$A:$T,20,FALSE)),"")</f>
        <v>No</v>
      </c>
      <c r="U533" s="11" t="str">
        <f>IFERROR(IF(VLOOKUP(A533,[5]PRIORIZADOS!$A:$U,21,FALSE)="","",VLOOKUP(A533,[5]PRIORIZADOS!$A:$U,21,FALSE)),"")</f>
        <v>Realizar la revisión del calendario académico para la vigencia 2026</v>
      </c>
    </row>
    <row r="534" spans="1:21" s="1" customFormat="1" ht="48">
      <c r="A534" s="69">
        <f>IF([5]PRIORIZADOS!A42="","",[5]PRIORIZADOS!A42)</f>
        <v>542</v>
      </c>
      <c r="B534" s="70">
        <f>IFERROR(IF(VLOOKUP(A534,[5]PRIORIZADOS!$A:$B,2,FALSE)="","",VLOOKUP(A534,[5]PRIORIZADOS!$A:$B,2,FALSE)),"")</f>
        <v>4</v>
      </c>
      <c r="C534" s="11" t="str">
        <f>IFERROR(IF(VLOOKUP(A534,[5]PRIORIZADOS!$A:$C,3,FALSE)="","",VLOOKUP(A534,[5]PRIORIZADOS!$A:$C,3,FALSE)),"")</f>
        <v>CIUDAD BOLÍVAR</v>
      </c>
      <c r="D534" s="11" t="str">
        <f>IFERROR(IF(VLOOKUP(A534,[5]PRIORIZADOS!$A:$D,4,FALSE)="","",VLOOKUP(A534,[5]PRIORIZADOS!$A:$D,4,FALSE)),"")</f>
        <v>PRIVADO</v>
      </c>
      <c r="E534" s="11" t="str">
        <f>IFERROR(IF(VLOOKUP(A534,[5]PRIORIZADOS!$A:$E,5,FALSE)="","",VLOOKUP(A534,[5]PRIORIZADOS!$A:$E,5,FALSE)),"")</f>
        <v>EPBM</v>
      </c>
      <c r="F534" s="11" t="str">
        <f>IFERROR(IF(VLOOKUP(A534,[5]PRIORIZADOS!$A:$F,6,FALSE)="","",VLOOKUP(A534,[5]PRIORIZADOS!$A:$F,6,FALSE)),"")</f>
        <v>INSTITUTO_SAN_FRANCISCO</v>
      </c>
      <c r="G534" s="11" t="str">
        <f>IFERROR(IF(VLOOKUP(A534,[5]PRIORIZADOS!$A:$G,7,FALSE)="","",VLOOKUP(A534,[5]PRIORIZADOS!$A:$G,7,FALSE)),"")</f>
        <v>INSTITUTO SAN FRANCISCO</v>
      </c>
      <c r="H534" s="11" t="str">
        <f>IFERROR(IF(VLOOKUP(A534,[5]PRIORIZADOS!$A:$H,8,FALSE)="","",VLOOKUP(A534,[5]PRIORIZADOS!$A:$H,8,FALSE)),"")</f>
        <v>Autoevaluación Institucional y Pruebas SABER 11</v>
      </c>
      <c r="I534" s="11" t="str">
        <f>IFERROR(IF(VLOOKUP(A534,[5]PRIORIZADOS!$A:$I,9,FALSE)="","",VLOOKUP(A534,[5]PRIORIZADOS!$A:$I,9,FALSE)),"")</f>
        <v>EVALUACIÓN_CON_FINES_DE_MEJORAMIENTO.</v>
      </c>
      <c r="J534" s="11" t="str">
        <f>IFERROR(IF(VLOOKUP(A534,[5]PRIORIZADOS!$A:$J,10,FALSE)="","",VLOOKUP(A534,[5]PRIORIZADOS!$A:$J,10,FALSE)),"")</f>
        <v>Verificar el funcionamiento del Gobierno Escolar e instancias de participación con base en la información sobre conformación reportada por la institución educativa.</v>
      </c>
      <c r="K534" s="11" t="str">
        <f>IFERROR(IF(VLOOKUP(A534,[5]PRIORIZADOS!$A:$K,11,FALSE)="","",VLOOKUP(A534,[5]PRIORIZADOS!$A:$K,11,FALSE)),"")</f>
        <v xml:space="preserve">MARIA NANCY DUCUARA </v>
      </c>
      <c r="L534" s="11" t="str">
        <f>IFERROR(IF(VLOOKUP(A534,[5]PRIORIZADOS!$A:$L,12,FALSE)="","",VLOOKUP(A534,[5]PRIORIZADOS!$A:$L,12,FALSE)),"")</f>
        <v xml:space="preserve">JUDITH SOLANO RAMÍREZ </v>
      </c>
      <c r="M534" s="71">
        <f>IFERROR(IF(VLOOKUP(A534,[5]PRIORIZADOS!$A:$M,13,FALSE)="","",VLOOKUP(A534,[5]PRIORIZADOS!$A:$M,13,FALSE)),"")</f>
        <v>45777</v>
      </c>
      <c r="N534" s="71">
        <f>IFERROR(IF(VLOOKUP(A534,[5]PRIORIZADOS!$A:$N,14,FALSE)="","",VLOOKUP(A534,[5]PRIORIZADOS!$A:$N,14,FALSE)),"")</f>
        <v>45755</v>
      </c>
      <c r="O534" s="71">
        <f>IFERROR(IF(VLOOKUP(A534,[5]PRIORIZADOS!$A:$O,15,FALSE)="","",VLOOKUP(A534,[5]PRIORIZADOS!$A:$O,15,FALSE)),"")</f>
        <v>45786</v>
      </c>
      <c r="P534" s="11" t="str">
        <f>IFERROR(IF(VLOOKUP(A534,[5]PRIORIZADOS!$A:$P,16,FALSE)="","",VLOOKUP(A534,[5]PRIORIZADOS!$A:$P,16,FALSE)),"")</f>
        <v>Visitas de evaluación con fines de mejoramiento</v>
      </c>
      <c r="Q534" s="2" t="s">
        <v>117</v>
      </c>
      <c r="R534" s="11" t="str">
        <f>IFERROR(IF(VLOOKUP(A534,[5]PRIORIZADOS!$A:$R,18,FALSE)="","",VLOOKUP(A534,[5]PRIORIZADOS!$A:$R,18,FALSE)),"")</f>
        <v>La conformación y funcionamiento del Gobierno Escolar e instancias de participación se encuentran acorde con la normatividad vigente.</v>
      </c>
      <c r="S534" s="11" t="str">
        <f>IFERROR(IF(VLOOKUP(A534,[5]PRIORIZADOS!$A:$S,19,FALSE)="","",VLOOKUP(A534,[5]PRIORIZADOS!$A:$S,19,FALSE)),"")</f>
        <v>Continuar realizando las sesiones de gobiernos y organos de participación con la periodicidad  establecida en el reglamento interno.</v>
      </c>
      <c r="T534" s="70" t="str">
        <f>IFERROR(IF(VLOOKUP(A534,[5]PRIORIZADOS!$A:$T,20,FALSE)="","",VLOOKUP(A534,[5]PRIORIZADOS!$A:$T,20,FALSE)),"")</f>
        <v>No</v>
      </c>
      <c r="U534" s="11" t="str">
        <f>IFERROR(IF(VLOOKUP(A534,[5]PRIORIZADOS!$A:$U,21,FALSE)="","",VLOOKUP(A534,[5]PRIORIZADOS!$A:$U,21,FALSE)),"")</f>
        <v>Revisar la conformación del gobierno escolar para la viegencia 2026 y hacer seguimiento a su funcionamiento en caso de requerirse</v>
      </c>
    </row>
    <row r="535" spans="1:21" s="1" customFormat="1" ht="154.5">
      <c r="A535" s="69">
        <f>IF([5]PRIORIZADOS!A43="","",[5]PRIORIZADOS!A43)</f>
        <v>543</v>
      </c>
      <c r="B535" s="70">
        <f>IFERROR(IF(VLOOKUP(A535,[5]PRIORIZADOS!$A:$B,2,FALSE)="","",VLOOKUP(A535,[5]PRIORIZADOS!$A:$B,2,FALSE)),"")</f>
        <v>4</v>
      </c>
      <c r="C535" s="11" t="str">
        <f>IFERROR(IF(VLOOKUP(A535,[5]PRIORIZADOS!$A:$C,3,FALSE)="","",VLOOKUP(A535,[5]PRIORIZADOS!$A:$C,3,FALSE)),"")</f>
        <v>CIUDAD BOLÍVAR</v>
      </c>
      <c r="D535" s="11" t="str">
        <f>IFERROR(IF(VLOOKUP(A535,[5]PRIORIZADOS!$A:$D,4,FALSE)="","",VLOOKUP(A535,[5]PRIORIZADOS!$A:$D,4,FALSE)),"")</f>
        <v>PRIVADO</v>
      </c>
      <c r="E535" s="11" t="str">
        <f>IFERROR(IF(VLOOKUP(A535,[5]PRIORIZADOS!$A:$E,5,FALSE)="","",VLOOKUP(A535,[5]PRIORIZADOS!$A:$E,5,FALSE)),"")</f>
        <v>EPBM</v>
      </c>
      <c r="F535" s="11" t="str">
        <f>IFERROR(IF(VLOOKUP(A535,[5]PRIORIZADOS!$A:$F,6,FALSE)="","",VLOOKUP(A535,[5]PRIORIZADOS!$A:$F,6,FALSE)),"")</f>
        <v>INSTITUTO_SAN_FRANCISCO</v>
      </c>
      <c r="G535" s="11" t="str">
        <f>IFERROR(IF(VLOOKUP(A535,[5]PRIORIZADOS!$A:$G,7,FALSE)="","",VLOOKUP(A535,[5]PRIORIZADOS!$A:$G,7,FALSE)),"")</f>
        <v>INSTITUTO SAN FRANCISCO</v>
      </c>
      <c r="H535" s="11" t="str">
        <f>IFERROR(IF(VLOOKUP(A535,[5]PRIORIZADOS!$A:$H,8,FALSE)="","",VLOOKUP(A535,[5]PRIORIZADOS!$A:$H,8,FALSE)),"")</f>
        <v>Autoevaluación Institucional y Pruebas SABER 11</v>
      </c>
      <c r="I535" s="11" t="str">
        <f>IFERROR(IF(VLOOKUP(A535,[5]PRIORIZADOS!$A:$I,9,FALSE)="","",VLOOKUP(A535,[5]PRIORIZADOS!$A:$I,9,FALSE)),"")</f>
        <v>EVALUACIÓN_CON_FINES_DE_MEJORAMIENTO.</v>
      </c>
      <c r="J535" s="11" t="str">
        <f>IFERROR(IF(VLOOKUP(A535,[5]PRIORIZADOS!$A:$J,10,FALSE)="","",VLOOKUP(A535,[5]PRIORIZADOS!$A:$J,10,FALSE)),"")</f>
        <v>Verificar las condiciones en cuanto a: la estructura administrativa, condiciones de la planta física y medios educativos adecuados.</v>
      </c>
      <c r="K535" s="11" t="str">
        <f>IFERROR(IF(VLOOKUP(A535,[5]PRIORIZADOS!$A:$K,11,FALSE)="","",VLOOKUP(A535,[5]PRIORIZADOS!$A:$K,11,FALSE)),"")</f>
        <v xml:space="preserve">MARIA NANCY DUCUARA </v>
      </c>
      <c r="L535" s="11" t="str">
        <f>IFERROR(IF(VLOOKUP(A535,[5]PRIORIZADOS!$A:$L,12,FALSE)="","",VLOOKUP(A535,[5]PRIORIZADOS!$A:$L,12,FALSE)),"")</f>
        <v xml:space="preserve">JUDITH SOLANO RAMÍREZ </v>
      </c>
      <c r="M535" s="71">
        <f>IFERROR(IF(VLOOKUP(A535,[5]PRIORIZADOS!$A:$M,13,FALSE)="","",VLOOKUP(A535,[5]PRIORIZADOS!$A:$M,13,FALSE)),"")</f>
        <v>45777</v>
      </c>
      <c r="N535" s="71">
        <f>IFERROR(IF(VLOOKUP(A535,[5]PRIORIZADOS!$A:$N,14,FALSE)="","",VLOOKUP(A535,[5]PRIORIZADOS!$A:$N,14,FALSE)),"")</f>
        <v>45755</v>
      </c>
      <c r="O535" s="71">
        <f>IFERROR(IF(VLOOKUP(A535,[5]PRIORIZADOS!$A:$O,15,FALSE)="","",VLOOKUP(A535,[5]PRIORIZADOS!$A:$O,15,FALSE)),"")</f>
        <v>45786</v>
      </c>
      <c r="P535" s="11" t="str">
        <f>IFERROR(IF(VLOOKUP(A535,[5]PRIORIZADOS!$A:$P,16,FALSE)="","",VLOOKUP(A535,[5]PRIORIZADOS!$A:$P,16,FALSE)),"")</f>
        <v>Visitas de evaluación con fines de mejoramiento</v>
      </c>
      <c r="Q535" s="2" t="s">
        <v>117</v>
      </c>
      <c r="R535" s="11" t="str">
        <f>IFERROR(IF(VLOOKUP(A535,[5]PRIORIZADOS!$A:$R,18,FALSE)="","",VLOOKUP(A535,[5]PRIORIZADOS!$A:$R,18,FALSE)),"")</f>
        <v xml:space="preserve">La infraestructura se encuentra acorde con el servicio que prestan, no obstante se encuentra algunas dificultades que deben corregirse,  ya que representan riesgo, entre ellos: baño compartido entre docentes y estudiantes. No hay acceso para las personas con discapacidad; dificultades en el manejo de bienes de baja y la higienización de espacios,  vidrios de las ventanas no tienen película protectora, el cielo razo en el laboratorio que debe verificarse su flamabilidad; extintores con dificil acceso. </v>
      </c>
      <c r="S535" s="11" t="str">
        <f>IFERROR(IF(VLOOKUP(A535,[5]PRIORIZADOS!$A:$S,19,FALSE)="","",VLOOKUP(A535,[5]PRIORIZADOS!$A:$S,19,FALSE)),"")</f>
        <v>Implementar acciones para realizar adecuaciones de manera progresiva en la planta física que permitan subsanar las observaciones presentadas.</v>
      </c>
      <c r="T535" s="70" t="str">
        <f>IFERROR(IF(VLOOKUP(A535,[5]PRIORIZADOS!$A:$T,20,FALSE)="","",VLOOKUP(A535,[5]PRIORIZADOS!$A:$T,20,FALSE)),"")</f>
        <v>Si</v>
      </c>
      <c r="U535" s="11" t="str">
        <f>IFERROR(IF(VLOOKUP(A535,[5]PRIORIZADOS!$A:$U,21,FALSE)="","",VLOOKUP(A535,[5]PRIORIZADOS!$A:$U,21,FALSE)),"")</f>
        <v>Realizar revisión documental en septiembre de 2025 para verificar el cumplimiento de las acciones propuestas en el plan de mejoramiento.</v>
      </c>
    </row>
    <row r="536" spans="1:21" s="1" customFormat="1" ht="36">
      <c r="A536" s="69">
        <f>IF([5]PRIORIZADOS!A44="","",[5]PRIORIZADOS!A44)</f>
        <v>544</v>
      </c>
      <c r="B536" s="70">
        <f>IFERROR(IF(VLOOKUP(A536,[5]PRIORIZADOS!$A:$B,2,FALSE)="","",VLOOKUP(A536,[5]PRIORIZADOS!$A:$B,2,FALSE)),"")</f>
        <v>5</v>
      </c>
      <c r="C536" s="11" t="str">
        <f>IFERROR(IF(VLOOKUP(A536,[5]PRIORIZADOS!$A:$C,3,FALSE)="","",VLOOKUP(A536,[5]PRIORIZADOS!$A:$C,3,FALSE)),"")</f>
        <v>CIUDAD BOLÍVAR</v>
      </c>
      <c r="D536" s="11" t="str">
        <f>IFERROR(IF(VLOOKUP(A536,[5]PRIORIZADOS!$A:$D,4,FALSE)="","",VLOOKUP(A536,[5]PRIORIZADOS!$A:$D,4,FALSE)),"")</f>
        <v>PRIVADO</v>
      </c>
      <c r="E536" s="11" t="str">
        <f>IFERROR(IF(VLOOKUP(A536,[5]PRIORIZADOS!$A:$E,5,FALSE)="","",VLOOKUP(A536,[5]PRIORIZADOS!$A:$E,5,FALSE)),"")</f>
        <v>EPBM</v>
      </c>
      <c r="F536" s="11" t="str">
        <f>IFERROR(IF(VLOOKUP(A536,[5]PRIORIZADOS!$A:$F,6,FALSE)="","",VLOOKUP(A536,[5]PRIORIZADOS!$A:$F,6,FALSE)),"")</f>
        <v>INSTITUTO_PSICOPEDAGOGICO_EL_TESORO_DE_LA_VERDAD</v>
      </c>
      <c r="G536" s="11" t="str">
        <f>IFERROR(IF(VLOOKUP(A536,[5]PRIORIZADOS!$A:$G,7,FALSE)="","",VLOOKUP(A536,[5]PRIORIZADOS!$A:$G,7,FALSE)),"")</f>
        <v>INSTITUTO PSICOPEDAGOGICO EL TESORO DE LA VERDAD</v>
      </c>
      <c r="H536" s="11" t="str">
        <f>IFERROR(IF(VLOOKUP(A536,[5]PRIORIZADOS!$A:$H,8,FALSE)="","",VLOOKUP(A536,[5]PRIORIZADOS!$A:$H,8,FALSE)),"")</f>
        <v>Autoevaluación Institucional y Pruebas SABER 11</v>
      </c>
      <c r="I536" s="11" t="str">
        <f>IFERROR(IF(VLOOKUP(A536,[5]PRIORIZADOS!$A:$I,9,FALSE)="","",VLOOKUP(A536,[5]PRIORIZADOS!$A:$I,9,FALSE)),"")</f>
        <v>SEGUIMIENTO_Y_SUPERVISIÓN.</v>
      </c>
      <c r="J536" s="11" t="str">
        <f>IFERROR(IF(VLOOKUP(A536,[5]PRIORIZADOS!$A:$J,10,FALSE)="","",VLOOKUP(A536,[5]PRIORIZADOS!$A:$J,10,FALSE)),"")</f>
        <v>Realizar visitas para verificar la información registrada sobre la autoevaluación institucional en el aplicativo EVI, a los establecimientos de educación formal no oficial.</v>
      </c>
      <c r="K536" s="11" t="str">
        <f>IFERROR(IF(VLOOKUP(A536,[5]PRIORIZADOS!$A:$K,11,FALSE)="","",VLOOKUP(A536,[5]PRIORIZADOS!$A:$K,11,FALSE)),"")</f>
        <v>ÓSCAR JAVIER CÁRDENAS MUÑOZ</v>
      </c>
      <c r="L536" s="11" t="str">
        <f>IFERROR(IF(VLOOKUP(A536,[5]PRIORIZADOS!$A:$L,12,FALSE)="","",VLOOKUP(A536,[5]PRIORIZADOS!$A:$L,12,FALSE)),"")</f>
        <v xml:space="preserve">CLAUDIA DOMÍNGUEZ TORRES </v>
      </c>
      <c r="M536" s="71">
        <f>IFERROR(IF(VLOOKUP(A536,[5]PRIORIZADOS!$A:$M,13,FALSE)="","",VLOOKUP(A536,[5]PRIORIZADOS!$A:$M,13,FALSE)),"")</f>
        <v>45806</v>
      </c>
      <c r="N536" s="71">
        <f>IFERROR(IF(VLOOKUP(A536,[5]PRIORIZADOS!$A:$N,14,FALSE)="","",VLOOKUP(A536,[5]PRIORIZADOS!$A:$N,14,FALSE)),"")</f>
        <v>45755</v>
      </c>
      <c r="O536" s="71">
        <f>IFERROR(IF(VLOOKUP(A536,[5]PRIORIZADOS!$A:$O,15,FALSE)="","",VLOOKUP(A536,[5]PRIORIZADOS!$A:$O,15,FALSE)),"")</f>
        <v>45755</v>
      </c>
      <c r="P536" s="11" t="str">
        <f>IFERROR(IF(VLOOKUP(A536,[5]PRIORIZADOS!$A:$P,16,FALSE)="","",VLOOKUP(A536,[5]PRIORIZADOS!$A:$P,16,FALSE)),"")</f>
        <v>Visitas de evaluación con fines de mejoramiento</v>
      </c>
      <c r="Q536" s="107" t="s">
        <v>118</v>
      </c>
      <c r="R536" s="11" t="str">
        <f>IFERROR(IF(VLOOKUP(A536,[5]PRIORIZADOS!$A:$R,18,FALSE)="","",VLOOKUP(A536,[5]PRIORIZADOS!$A:$R,18,FALSE)),"")</f>
        <v>Se evidencian dificultades del orden administrativo, financiero, pedagógico y de planta física.</v>
      </c>
      <c r="S536" s="11" t="str">
        <f>IFERROR(IF(VLOOKUP(A536,[5]PRIORIZADOS!$A:$S,19,FALSE)="","",VLOOKUP(A536,[5]PRIORIZADOS!$A:$S,19,FALSE)),"")</f>
        <v>Definir un plan de acción que se integre al PMI para la atención de los compromisos definidos en la visita.</v>
      </c>
      <c r="T536" s="70" t="str">
        <f>IFERROR(IF(VLOOKUP(A536,[5]PRIORIZADOS!$A:$T,20,FALSE)="","",VLOOKUP(A536,[5]PRIORIZADOS!$A:$T,20,FALSE)),"")</f>
        <v>Si</v>
      </c>
      <c r="U536" s="11" t="str">
        <f>IFERROR(IF(VLOOKUP(A536,[5]PRIORIZADOS!$A:$U,21,FALSE)="","",VLOOKUP(A536,[5]PRIORIZADOS!$A:$U,21,FALSE)),"")</f>
        <v>La IE hará entrega del Plan de Mejoramiento el 30/04/2025.
El ELIV realizará seguimiento en septiembre de 2025 para verificar el cumplimiento de las acciones propuestas en el plan de mejoramiento.</v>
      </c>
    </row>
    <row r="537" spans="1:21" s="1" customFormat="1" ht="60">
      <c r="A537" s="69">
        <f>IF([5]PRIORIZADOS!A45="","",[5]PRIORIZADOS!A45)</f>
        <v>545</v>
      </c>
      <c r="B537" s="70">
        <f>IFERROR(IF(VLOOKUP(A537,[5]PRIORIZADOS!$A:$B,2,FALSE)="","",VLOOKUP(A537,[5]PRIORIZADOS!$A:$B,2,FALSE)),"")</f>
        <v>5</v>
      </c>
      <c r="C537" s="11" t="str">
        <f>IFERROR(IF(VLOOKUP(A537,[5]PRIORIZADOS!$A:$C,3,FALSE)="","",VLOOKUP(A537,[5]PRIORIZADOS!$A:$C,3,FALSE)),"")</f>
        <v>CIUDAD BOLÍVAR</v>
      </c>
      <c r="D537" s="11" t="str">
        <f>IFERROR(IF(VLOOKUP(A537,[5]PRIORIZADOS!$A:$D,4,FALSE)="","",VLOOKUP(A537,[5]PRIORIZADOS!$A:$D,4,FALSE)),"")</f>
        <v>PRIVADO</v>
      </c>
      <c r="E537" s="11" t="str">
        <f>IFERROR(IF(VLOOKUP(A537,[5]PRIORIZADOS!$A:$E,5,FALSE)="","",VLOOKUP(A537,[5]PRIORIZADOS!$A:$E,5,FALSE)),"")</f>
        <v>EPBM</v>
      </c>
      <c r="F537" s="11" t="str">
        <f>IFERROR(IF(VLOOKUP(A537,[5]PRIORIZADOS!$A:$F,6,FALSE)="","",VLOOKUP(A537,[5]PRIORIZADOS!$A:$F,6,FALSE)),"")</f>
        <v>INSTITUTO_PSICOPEDAGOGICO_EL_TESORO_DE_LA_VERDAD</v>
      </c>
      <c r="G537" s="11" t="str">
        <f>IFERROR(IF(VLOOKUP(A537,[5]PRIORIZADOS!$A:$G,7,FALSE)="","",VLOOKUP(A537,[5]PRIORIZADOS!$A:$G,7,FALSE)),"")</f>
        <v>INSTITUTO PSICOPEDAGOGICO EL TESORO DE LA VERDAD</v>
      </c>
      <c r="H537" s="11" t="str">
        <f>IFERROR(IF(VLOOKUP(A537,[5]PRIORIZADOS!$A:$H,8,FALSE)="","",VLOOKUP(A537,[5]PRIORIZADOS!$A:$H,8,FALSE)),"")</f>
        <v>Autoevaluación Institucional y Pruebas SABER 11</v>
      </c>
      <c r="I537" s="11" t="str">
        <f>IFERROR(IF(VLOOKUP(A537,[5]PRIORIZADOS!$A:$I,9,FALSE)="","",VLOOKUP(A537,[5]PRIORIZADOS!$A:$I,9,FALSE)),"")</f>
        <v>SEGUIMIENTO_Y_SUPERVISIÓN.</v>
      </c>
      <c r="J537" s="11" t="str">
        <f>IFERROR(IF(VLOOKUP(A537,[5]PRIORIZADOS!$A:$J,10,FALSE)="","",VLOOKUP(A537,[5]PRIORIZADOS!$A:$J,10,FALSE)),"")</f>
        <v>Proponer estrategias en la formulación, verificar su elaboración y realizar seguimiento semestral al desarrollo de  las acciones establecidas en los planes de mejoramiento por pruebas SABER 11 de los establecimientos de educación formal.</v>
      </c>
      <c r="K537" s="11" t="str">
        <f>IFERROR(IF(VLOOKUP(A537,[5]PRIORIZADOS!$A:$K,11,FALSE)="","",VLOOKUP(A537,[5]PRIORIZADOS!$A:$K,11,FALSE)),"")</f>
        <v>ÓSCAR JAVIER CÁRDENAS MUÑOZ</v>
      </c>
      <c r="L537" s="11" t="str">
        <f>IFERROR(IF(VLOOKUP(A537,[5]PRIORIZADOS!$A:$L,12,FALSE)="","",VLOOKUP(A537,[5]PRIORIZADOS!$A:$L,12,FALSE)),"")</f>
        <v xml:space="preserve">CLAUDIA DOMÍNGUEZ TORRES </v>
      </c>
      <c r="M537" s="71">
        <f>IFERROR(IF(VLOOKUP(A537,[5]PRIORIZADOS!$A:$M,13,FALSE)="","",VLOOKUP(A537,[5]PRIORIZADOS!$A:$M,13,FALSE)),"")</f>
        <v>45806</v>
      </c>
      <c r="N537" s="71">
        <f>IFERROR(IF(VLOOKUP(A537,[5]PRIORIZADOS!$A:$N,14,FALSE)="","",VLOOKUP(A537,[5]PRIORIZADOS!$A:$N,14,FALSE)),"")</f>
        <v>45755</v>
      </c>
      <c r="O537" s="71">
        <f>IFERROR(IF(VLOOKUP(A537,[5]PRIORIZADOS!$A:$O,15,FALSE)="","",VLOOKUP(A537,[5]PRIORIZADOS!$A:$O,15,FALSE)),"")</f>
        <v>45755</v>
      </c>
      <c r="P537" s="11" t="str">
        <f>IFERROR(IF(VLOOKUP(A537,[5]PRIORIZADOS!$A:$P,16,FALSE)="","",VLOOKUP(A537,[5]PRIORIZADOS!$A:$P,16,FALSE)),"")</f>
        <v>Visitas de evaluación con fines de mejoramiento</v>
      </c>
      <c r="Q537" s="107" t="s">
        <v>118</v>
      </c>
      <c r="R537" s="11" t="str">
        <f>IFERROR(IF(VLOOKUP(A537,[5]PRIORIZADOS!$A:$R,18,FALSE)="","",VLOOKUP(A537,[5]PRIORIZADOS!$A:$R,18,FALSE)),"")</f>
        <v>Se establecieron acciones de mejoramiento encaminadas principalemente a la actualización curricular de la IE</v>
      </c>
      <c r="S537" s="11" t="str">
        <f>IFERROR(IF(VLOOKUP(A537,[5]PRIORIZADOS!$A:$S,19,FALSE)="","",VLOOKUP(A537,[5]PRIORIZADOS!$A:$S,19,FALSE)),"")</f>
        <v>Incluir en en el Plan de mejoramiento acciones de actualización curricular</v>
      </c>
      <c r="T537" s="70" t="str">
        <f>IFERROR(IF(VLOOKUP(A537,[5]PRIORIZADOS!$A:$T,20,FALSE)="","",VLOOKUP(A537,[5]PRIORIZADOS!$A:$T,20,FALSE)),"")</f>
        <v>Si</v>
      </c>
      <c r="U537" s="11" t="str">
        <f>IFERROR(IF(VLOOKUP(A537,[5]PRIORIZADOS!$A:$U,21,FALSE)="","",VLOOKUP(A537,[5]PRIORIZADOS!$A:$U,21,FALSE)),"")</f>
        <v>La IE hará entrega del Plan de Mejoramiento el 30/04/2025.
El ELIV realizará seguimiento en septiembre de 2025 para verificar el cumplimiento de las acciones propuestas en el plan de mejoramiento.</v>
      </c>
    </row>
    <row r="538" spans="1:21" s="1" customFormat="1" ht="48">
      <c r="A538" s="69">
        <f>IF([5]PRIORIZADOS!A46="","",[5]PRIORIZADOS!A46)</f>
        <v>546</v>
      </c>
      <c r="B538" s="70">
        <f>IFERROR(IF(VLOOKUP(A538,[5]PRIORIZADOS!$A:$B,2,FALSE)="","",VLOOKUP(A538,[5]PRIORIZADOS!$A:$B,2,FALSE)),"")</f>
        <v>5</v>
      </c>
      <c r="C538" s="11" t="str">
        <f>IFERROR(IF(VLOOKUP(A538,[5]PRIORIZADOS!$A:$C,3,FALSE)="","",VLOOKUP(A538,[5]PRIORIZADOS!$A:$C,3,FALSE)),"")</f>
        <v>CIUDAD BOLÍVAR</v>
      </c>
      <c r="D538" s="11" t="str">
        <f>IFERROR(IF(VLOOKUP(A538,[5]PRIORIZADOS!$A:$D,4,FALSE)="","",VLOOKUP(A538,[5]PRIORIZADOS!$A:$D,4,FALSE)),"")</f>
        <v>PRIVADO</v>
      </c>
      <c r="E538" s="11" t="str">
        <f>IFERROR(IF(VLOOKUP(A538,[5]PRIORIZADOS!$A:$E,5,FALSE)="","",VLOOKUP(A538,[5]PRIORIZADOS!$A:$E,5,FALSE)),"")</f>
        <v>EPBM</v>
      </c>
      <c r="F538" s="11" t="str">
        <f>IFERROR(IF(VLOOKUP(A538,[5]PRIORIZADOS!$A:$F,6,FALSE)="","",VLOOKUP(A538,[5]PRIORIZADOS!$A:$F,6,FALSE)),"")</f>
        <v>INSTITUTO_PSICOPEDAGOGICO_EL_TESORO_DE_LA_VERDAD</v>
      </c>
      <c r="G538" s="11" t="str">
        <f>IFERROR(IF(VLOOKUP(A538,[5]PRIORIZADOS!$A:$G,7,FALSE)="","",VLOOKUP(A538,[5]PRIORIZADOS!$A:$G,7,FALSE)),"")</f>
        <v>INSTITUTO PSICOPEDAGOGICO EL TESORO DE LA VERDAD</v>
      </c>
      <c r="H538" s="11" t="str">
        <f>IFERROR(IF(VLOOKUP(A538,[5]PRIORIZADOS!$A:$H,8,FALSE)="","",VLOOKUP(A538,[5]PRIORIZADOS!$A:$H,8,FALSE)),"")</f>
        <v>Autoevaluación Institucional y Pruebas SABER 11</v>
      </c>
      <c r="I538" s="11" t="str">
        <f>IFERROR(IF(VLOOKUP(A538,[5]PRIORIZADOS!$A:$I,9,FALSE)="","",VLOOKUP(A538,[5]PRIORIZADOS!$A:$I,9,FALSE)),"")</f>
        <v>SEGUIMIENTO_Y_SUPERVISIÓN.</v>
      </c>
      <c r="J538" s="11" t="str">
        <f>IFERROR(IF(VLOOKUP(A538,[5]PRIORIZADOS!$A:$J,10,FALSE)="","",VLOOKUP(A538,[5]PRIORIZADOS!$A:$J,10,FALSE)),"")</f>
        <v xml:space="preserve">Verificar la implementación por parte de los colegios, de acciones realizadas para la prevención y atención de las situaciones de convivencia en el entorno escolar, según lo establecido en la Directiva 01 de 2022 del MEN. </v>
      </c>
      <c r="K538" s="11" t="str">
        <f>IFERROR(IF(VLOOKUP(A538,[5]PRIORIZADOS!$A:$K,11,FALSE)="","",VLOOKUP(A538,[5]PRIORIZADOS!$A:$K,11,FALSE)),"")</f>
        <v>ÓSCAR JAVIER CÁRDENAS MUÑOZ</v>
      </c>
      <c r="L538" s="11" t="str">
        <f>IFERROR(IF(VLOOKUP(A538,[5]PRIORIZADOS!$A:$L,12,FALSE)="","",VLOOKUP(A538,[5]PRIORIZADOS!$A:$L,12,FALSE)),"")</f>
        <v xml:space="preserve">CLAUDIA DOMÍNGUEZ TORRES </v>
      </c>
      <c r="M538" s="71">
        <f>IFERROR(IF(VLOOKUP(A538,[5]PRIORIZADOS!$A:$M,13,FALSE)="","",VLOOKUP(A538,[5]PRIORIZADOS!$A:$M,13,FALSE)),"")</f>
        <v>45806</v>
      </c>
      <c r="N538" s="71">
        <f>IFERROR(IF(VLOOKUP(A538,[5]PRIORIZADOS!$A:$N,14,FALSE)="","",VLOOKUP(A538,[5]PRIORIZADOS!$A:$N,14,FALSE)),"")</f>
        <v>45755</v>
      </c>
      <c r="O538" s="71">
        <f>IFERROR(IF(VLOOKUP(A538,[5]PRIORIZADOS!$A:$O,15,FALSE)="","",VLOOKUP(A538,[5]PRIORIZADOS!$A:$O,15,FALSE)),"")</f>
        <v>45755</v>
      </c>
      <c r="P538" s="11" t="str">
        <f>IFERROR(IF(VLOOKUP(A538,[5]PRIORIZADOS!$A:$P,16,FALSE)="","",VLOOKUP(A538,[5]PRIORIZADOS!$A:$P,16,FALSE)),"")</f>
        <v>Visitas de evaluación con fines de mejoramiento</v>
      </c>
      <c r="Q538" s="107" t="s">
        <v>118</v>
      </c>
      <c r="R538" s="11" t="str">
        <f>IFERROR(IF(VLOOKUP(A538,[5]PRIORIZADOS!$A:$R,18,FALSE)="","",VLOOKUP(A538,[5]PRIORIZADOS!$A:$R,18,FALSE)),"")</f>
        <v>Se evidencia un Manual de Convivencia desactualizado y poca o casi nula acción sobre las situaciones de convivencia</v>
      </c>
      <c r="S538" s="11" t="str">
        <f>IFERROR(IF(VLOOKUP(A538,[5]PRIORIZADOS!$A:$S,19,FALSE)="","",VLOOKUP(A538,[5]PRIORIZADOS!$A:$S,19,FALSE)),"")</f>
        <v>Incluir en el Plan de mejoramiento compromiso de actualización del manual de convivencia</v>
      </c>
      <c r="T538" s="70" t="str">
        <f>IFERROR(IF(VLOOKUP(A538,[5]PRIORIZADOS!$A:$T,20,FALSE)="","",VLOOKUP(A538,[5]PRIORIZADOS!$A:$T,20,FALSE)),"")</f>
        <v>Si</v>
      </c>
      <c r="U538" s="11" t="str">
        <f>IFERROR(IF(VLOOKUP(A538,[5]PRIORIZADOS!$A:$U,21,FALSE)="","",VLOOKUP(A538,[5]PRIORIZADOS!$A:$U,21,FALSE)),"")</f>
        <v>La IE hará entrega del Plan de Mejoramiento el 30/04/2025.
El ELIV realizará seguimiento en septiembre de 2025 para verificar el cumplimiento de las acciones propuestas en el plan de mejoramiento.</v>
      </c>
    </row>
    <row r="539" spans="1:21" s="1" customFormat="1" ht="72">
      <c r="A539" s="69">
        <f>IF([5]PRIORIZADOS!A47="","",[5]PRIORIZADOS!A47)</f>
        <v>547</v>
      </c>
      <c r="B539" s="70">
        <f>IFERROR(IF(VLOOKUP(A539,[5]PRIORIZADOS!$A:$B,2,FALSE)="","",VLOOKUP(A539,[5]PRIORIZADOS!$A:$B,2,FALSE)),"")</f>
        <v>5</v>
      </c>
      <c r="C539" s="11" t="str">
        <f>IFERROR(IF(VLOOKUP(A539,[5]PRIORIZADOS!$A:$C,3,FALSE)="","",VLOOKUP(A539,[5]PRIORIZADOS!$A:$C,3,FALSE)),"")</f>
        <v>CIUDAD BOLÍVAR</v>
      </c>
      <c r="D539" s="11" t="str">
        <f>IFERROR(IF(VLOOKUP(A539,[5]PRIORIZADOS!$A:$D,4,FALSE)="","",VLOOKUP(A539,[5]PRIORIZADOS!$A:$D,4,FALSE)),"")</f>
        <v>PRIVADO</v>
      </c>
      <c r="E539" s="11" t="str">
        <f>IFERROR(IF(VLOOKUP(A539,[5]PRIORIZADOS!$A:$E,5,FALSE)="","",VLOOKUP(A539,[5]PRIORIZADOS!$A:$E,5,FALSE)),"")</f>
        <v>EPBM</v>
      </c>
      <c r="F539" s="11" t="str">
        <f>IFERROR(IF(VLOOKUP(A539,[5]PRIORIZADOS!$A:$F,6,FALSE)="","",VLOOKUP(A539,[5]PRIORIZADOS!$A:$F,6,FALSE)),"")</f>
        <v>INSTITUTO_PSICOPEDAGOGICO_EL_TESORO_DE_LA_VERDAD</v>
      </c>
      <c r="G539" s="11" t="str">
        <f>IFERROR(IF(VLOOKUP(A539,[5]PRIORIZADOS!$A:$G,7,FALSE)="","",VLOOKUP(A539,[5]PRIORIZADOS!$A:$G,7,FALSE)),"")</f>
        <v>INSTITUTO PSICOPEDAGOGICO EL TESORO DE LA VERDAD</v>
      </c>
      <c r="H539" s="11" t="str">
        <f>IFERROR(IF(VLOOKUP(A539,[5]PRIORIZADOS!$A:$H,8,FALSE)="","",VLOOKUP(A539,[5]PRIORIZADOS!$A:$H,8,FALSE)),"")</f>
        <v>Autoevaluación Institucional y Pruebas SABER 11</v>
      </c>
      <c r="I539" s="11" t="str">
        <f>IFERROR(IF(VLOOKUP(A539,[5]PRIORIZADOS!$A:$I,9,FALSE)="","",VLOOKUP(A539,[5]PRIORIZADOS!$A:$I,9,FALSE)),"")</f>
        <v>SEGUIMIENTO_Y_SUPERVISIÓN.</v>
      </c>
      <c r="J539" s="11" t="str">
        <f>IFERROR(IF(VLOOKUP(A539,[5]PRIORIZADOS!$A:$J,10,FALSE)="","",VLOOKUP(A539,[5]PRIORIZADOS!$A:$J,10,FALSE)),"")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39" s="11" t="str">
        <f>IFERROR(IF(VLOOKUP(A539,[5]PRIORIZADOS!$A:$K,11,FALSE)="","",VLOOKUP(A539,[5]PRIORIZADOS!$A:$K,11,FALSE)),"")</f>
        <v>ÓSCAR JAVIER CÁRDENAS MUÑOZ</v>
      </c>
      <c r="L539" s="11" t="str">
        <f>IFERROR(IF(VLOOKUP(A539,[5]PRIORIZADOS!$A:$L,12,FALSE)="","",VLOOKUP(A539,[5]PRIORIZADOS!$A:$L,12,FALSE)),"")</f>
        <v xml:space="preserve">CLAUDIA DOMÍNGUEZ TORRES </v>
      </c>
      <c r="M539" s="71">
        <f>IFERROR(IF(VLOOKUP(A539,[5]PRIORIZADOS!$A:$M,13,FALSE)="","",VLOOKUP(A539,[5]PRIORIZADOS!$A:$M,13,FALSE)),"")</f>
        <v>45806</v>
      </c>
      <c r="N539" s="71">
        <f>IFERROR(IF(VLOOKUP(A539,[5]PRIORIZADOS!$A:$N,14,FALSE)="","",VLOOKUP(A539,[5]PRIORIZADOS!$A:$N,14,FALSE)),"")</f>
        <v>45755</v>
      </c>
      <c r="O539" s="71">
        <f>IFERROR(IF(VLOOKUP(A539,[5]PRIORIZADOS!$A:$O,15,FALSE)="","",VLOOKUP(A539,[5]PRIORIZADOS!$A:$O,15,FALSE)),"")</f>
        <v>45755</v>
      </c>
      <c r="P539" s="11" t="str">
        <f>IFERROR(IF(VLOOKUP(A539,[5]PRIORIZADOS!$A:$P,16,FALSE)="","",VLOOKUP(A539,[5]PRIORIZADOS!$A:$P,16,FALSE)),"")</f>
        <v>Visitas de evaluación con fines de mejoramiento</v>
      </c>
      <c r="Q539" s="136" t="s">
        <v>118</v>
      </c>
      <c r="R539" s="11" t="str">
        <f>IFERROR(IF(VLOOKUP(A539,[5]PRIORIZADOS!$A:$R,18,FALSE)="","",VLOOKUP(A539,[5]PRIORIZADOS!$A:$R,18,FALSE)),"")</f>
        <v>No cuenta con una adecuada implementación del PIAR y carecen de protocolos para la atención de la población con discapacidad o trastornos de aprendizaje.</v>
      </c>
      <c r="S539" s="11" t="str">
        <f>IFERROR(IF(VLOOKUP(A539,[5]PRIORIZADOS!$A:$S,19,FALSE)="","",VLOOKUP(A539,[5]PRIORIZADOS!$A:$S,19,FALSE)),"")</f>
        <v>Incluir en el Plan de mejoramiento compromiso de creación de un proyecto de inclusión institucional.</v>
      </c>
      <c r="T539" s="70" t="str">
        <f>IFERROR(IF(VLOOKUP(A539,[5]PRIORIZADOS!$A:$T,20,FALSE)="","",VLOOKUP(A539,[5]PRIORIZADOS!$A:$T,20,FALSE)),"")</f>
        <v>Si</v>
      </c>
      <c r="U539" s="11" t="str">
        <f>IFERROR(IF(VLOOKUP(A539,[5]PRIORIZADOS!$A:$U,21,FALSE)="","",VLOOKUP(A539,[5]PRIORIZADOS!$A:$U,21,FALSE)),"")</f>
        <v>La IE hará entrega del Plan de Mejoramiento el 30/04/2025.
El ELIV realizará seguimiento en septiembre de 2025 para verificar el cumplimiento de las acciones propuestas en el plan de mejoramiento.</v>
      </c>
    </row>
    <row r="540" spans="1:21" s="1" customFormat="1" ht="84">
      <c r="A540" s="69">
        <f>IF([5]PRIORIZADOS!A48="","",[5]PRIORIZADOS!A48)</f>
        <v>548</v>
      </c>
      <c r="B540" s="70">
        <f>IFERROR(IF(VLOOKUP(A540,[5]PRIORIZADOS!$A:$B,2,FALSE)="","",VLOOKUP(A540,[5]PRIORIZADOS!$A:$B,2,FALSE)),"")</f>
        <v>5</v>
      </c>
      <c r="C540" s="11" t="str">
        <f>IFERROR(IF(VLOOKUP(A540,[5]PRIORIZADOS!$A:$C,3,FALSE)="","",VLOOKUP(A540,[5]PRIORIZADOS!$A:$C,3,FALSE)),"")</f>
        <v>CIUDAD BOLÍVAR</v>
      </c>
      <c r="D540" s="11" t="str">
        <f>IFERROR(IF(VLOOKUP(A540,[5]PRIORIZADOS!$A:$D,4,FALSE)="","",VLOOKUP(A540,[5]PRIORIZADOS!$A:$D,4,FALSE)),"")</f>
        <v>PRIVADO</v>
      </c>
      <c r="E540" s="11" t="str">
        <f>IFERROR(IF(VLOOKUP(A540,[5]PRIORIZADOS!$A:$E,5,FALSE)="","",VLOOKUP(A540,[5]PRIORIZADOS!$A:$E,5,FALSE)),"")</f>
        <v>EPBM</v>
      </c>
      <c r="F540" s="11" t="str">
        <f>IFERROR(IF(VLOOKUP(A540,[5]PRIORIZADOS!$A:$F,6,FALSE)="","",VLOOKUP(A540,[5]PRIORIZADOS!$A:$F,6,FALSE)),"")</f>
        <v>INSTITUTO_PSICOPEDAGOGICO_EL_TESORO_DE_LA_VERDAD</v>
      </c>
      <c r="G540" s="11" t="str">
        <f>IFERROR(IF(VLOOKUP(A540,[5]PRIORIZADOS!$A:$G,7,FALSE)="","",VLOOKUP(A540,[5]PRIORIZADOS!$A:$G,7,FALSE)),"")</f>
        <v>INSTITUTO PSICOPEDAGOGICO EL TESORO DE LA VERDAD</v>
      </c>
      <c r="H540" s="11" t="str">
        <f>IFERROR(IF(VLOOKUP(A540,[5]PRIORIZADOS!$A:$H,8,FALSE)="","",VLOOKUP(A540,[5]PRIORIZADOS!$A:$H,8,FALSE)),"")</f>
        <v>Autoevaluación Institucional y Pruebas SABER 11</v>
      </c>
      <c r="I540" s="11" t="str">
        <f>IFERROR(IF(VLOOKUP(A540,[5]PRIORIZADOS!$A:$I,9,FALSE)="","",VLOOKUP(A540,[5]PRIORIZADOS!$A:$I,9,FALSE)),"")</f>
        <v>EVALUACIÓN_CON_FINES_DE_MEJORAMIENTO.</v>
      </c>
      <c r="J540" s="11" t="str">
        <f>IFERROR(IF(VLOOKUP(A540,[5]PRIORIZADOS!$A:$J,10,FALSE)="","",VLOOKUP(A540,[5]PRIORIZADOS!$A:$J,10,FALSE)),"")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40" s="11" t="str">
        <f>IFERROR(IF(VLOOKUP(A540,[5]PRIORIZADOS!$A:$K,11,FALSE)="","",VLOOKUP(A540,[5]PRIORIZADOS!$A:$K,11,FALSE)),"")</f>
        <v>ÓSCAR JAVIER CÁRDENAS MUÑOZ</v>
      </c>
      <c r="L540" s="11" t="str">
        <f>IFERROR(IF(VLOOKUP(A540,[5]PRIORIZADOS!$A:$L,12,FALSE)="","",VLOOKUP(A540,[5]PRIORIZADOS!$A:$L,12,FALSE)),"")</f>
        <v xml:space="preserve">CLAUDIA DOMÍNGUEZ TORRES </v>
      </c>
      <c r="M540" s="71">
        <f>IFERROR(IF(VLOOKUP(A540,[5]PRIORIZADOS!$A:$M,13,FALSE)="","",VLOOKUP(A540,[5]PRIORIZADOS!$A:$M,13,FALSE)),"")</f>
        <v>45806</v>
      </c>
      <c r="N540" s="71">
        <f>IFERROR(IF(VLOOKUP(A540,[5]PRIORIZADOS!$A:$N,14,FALSE)="","",VLOOKUP(A540,[5]PRIORIZADOS!$A:$N,14,FALSE)),"")</f>
        <v>45755</v>
      </c>
      <c r="O540" s="71">
        <f>IFERROR(IF(VLOOKUP(A540,[5]PRIORIZADOS!$A:$O,15,FALSE)="","",VLOOKUP(A540,[5]PRIORIZADOS!$A:$O,15,FALSE)),"")</f>
        <v>45755</v>
      </c>
      <c r="P540" s="11" t="str">
        <f>IFERROR(IF(VLOOKUP(A540,[5]PRIORIZADOS!$A:$P,16,FALSE)="","",VLOOKUP(A540,[5]PRIORIZADOS!$A:$P,16,FALSE)),"")</f>
        <v>Visitas de evaluación con fines de mejoramiento</v>
      </c>
      <c r="Q540" s="107" t="s">
        <v>118</v>
      </c>
      <c r="R540" s="11" t="str">
        <f>IFERROR(IF(VLOOKUP(A540,[5]PRIORIZADOS!$A:$R,18,FALSE)="","",VLOOKUP(A540,[5]PRIORIZADOS!$A:$R,18,FALSE)),"")</f>
        <v>Implementan un Manual de Convivencia desactualizado normativamente y en cuanto a herramientos de convivencia.</v>
      </c>
      <c r="S540" s="11" t="str">
        <f>IFERROR(IF(VLOOKUP(A540,[5]PRIORIZADOS!$A:$S,19,FALSE)="","",VLOOKUP(A540,[5]PRIORIZADOS!$A:$S,19,FALSE)),"")</f>
        <v>Incluir  en el Plan de mejoramiento compromiso de actualización del manual de convivencia especialmente en el contexto normativo actual.</v>
      </c>
      <c r="T540" s="70" t="str">
        <f>IFERROR(IF(VLOOKUP(A540,[5]PRIORIZADOS!$A:$T,20,FALSE)="","",VLOOKUP(A540,[5]PRIORIZADOS!$A:$T,20,FALSE)),"")</f>
        <v>Si</v>
      </c>
      <c r="U540" s="11" t="str">
        <f>IFERROR(IF(VLOOKUP(A540,[5]PRIORIZADOS!$A:$U,21,FALSE)="","",VLOOKUP(A540,[5]PRIORIZADOS!$A:$U,21,FALSE)),"")</f>
        <v>La IE hará entrega del Plan de Mejoramiento el 30/04/2025.
El ELIV realizará seguimiento en septiembre de 2025 para verificar el cumplimiento de las acciones propuestas en el plan de mejoramiento.</v>
      </c>
    </row>
    <row r="541" spans="1:21" s="1" customFormat="1" ht="48">
      <c r="A541" s="69">
        <f>IF([5]PRIORIZADOS!A49="","",[5]PRIORIZADOS!A49)</f>
        <v>549</v>
      </c>
      <c r="B541" s="70">
        <f>IFERROR(IF(VLOOKUP(A541,[5]PRIORIZADOS!$A:$B,2,FALSE)="","",VLOOKUP(A541,[5]PRIORIZADOS!$A:$B,2,FALSE)),"")</f>
        <v>5</v>
      </c>
      <c r="C541" s="11" t="str">
        <f>IFERROR(IF(VLOOKUP(A541,[5]PRIORIZADOS!$A:$C,3,FALSE)="","",VLOOKUP(A541,[5]PRIORIZADOS!$A:$C,3,FALSE)),"")</f>
        <v>CIUDAD BOLÍVAR</v>
      </c>
      <c r="D541" s="11" t="str">
        <f>IFERROR(IF(VLOOKUP(A541,[5]PRIORIZADOS!$A:$D,4,FALSE)="","",VLOOKUP(A541,[5]PRIORIZADOS!$A:$D,4,FALSE)),"")</f>
        <v>PRIVADO</v>
      </c>
      <c r="E541" s="11" t="str">
        <f>IFERROR(IF(VLOOKUP(A541,[5]PRIORIZADOS!$A:$E,5,FALSE)="","",VLOOKUP(A541,[5]PRIORIZADOS!$A:$E,5,FALSE)),"")</f>
        <v>EPBM</v>
      </c>
      <c r="F541" s="11" t="str">
        <f>IFERROR(IF(VLOOKUP(A541,[5]PRIORIZADOS!$A:$F,6,FALSE)="","",VLOOKUP(A541,[5]PRIORIZADOS!$A:$F,6,FALSE)),"")</f>
        <v>INSTITUTO_PSICOPEDAGOGICO_EL_TESORO_DE_LA_VERDAD</v>
      </c>
      <c r="G541" s="11" t="str">
        <f>IFERROR(IF(VLOOKUP(A541,[5]PRIORIZADOS!$A:$G,7,FALSE)="","",VLOOKUP(A541,[5]PRIORIZADOS!$A:$G,7,FALSE)),"")</f>
        <v>INSTITUTO PSICOPEDAGOGICO EL TESORO DE LA VERDAD</v>
      </c>
      <c r="H541" s="11" t="str">
        <f>IFERROR(IF(VLOOKUP(A541,[5]PRIORIZADOS!$A:$H,8,FALSE)="","",VLOOKUP(A541,[5]PRIORIZADOS!$A:$H,8,FALSE)),"")</f>
        <v>Autoevaluación Institucional y Pruebas SABER 11</v>
      </c>
      <c r="I541" s="11" t="str">
        <f>IFERROR(IF(VLOOKUP(A541,[5]PRIORIZADOS!$A:$I,9,FALSE)="","",VLOOKUP(A541,[5]PRIORIZADOS!$A:$I,9,FALSE)),"")</f>
        <v>EVALUACIÓN_CON_FINES_DE_MEJORAMIENTO.</v>
      </c>
      <c r="J541" s="11" t="str">
        <f>IFERROR(IF(VLOOKUP(A541,[5]PRIORIZADOS!$A:$J,10,FALSE)="","",VLOOKUP(A541,[5]PRIORIZADOS!$A:$J,10,FALSE)),"")</f>
        <v>Revisar la actualización, socialización e implementación del Sistema Institucional de Evaluación de Estudiantes - SIEE, en articulación con la actualización del PEI y la normatividad vigente.</v>
      </c>
      <c r="K541" s="11" t="str">
        <f>IFERROR(IF(VLOOKUP(A541,[5]PRIORIZADOS!$A:$K,11,FALSE)="","",VLOOKUP(A541,[5]PRIORIZADOS!$A:$K,11,FALSE)),"")</f>
        <v>ÓSCAR JAVIER CÁRDENAS MUÑOZ</v>
      </c>
      <c r="L541" s="11" t="str">
        <f>IFERROR(IF(VLOOKUP(A541,[5]PRIORIZADOS!$A:$L,12,FALSE)="","",VLOOKUP(A541,[5]PRIORIZADOS!$A:$L,12,FALSE)),"")</f>
        <v xml:space="preserve">CLAUDIA DOMÍNGUEZ TORRES </v>
      </c>
      <c r="M541" s="71">
        <f>IFERROR(IF(VLOOKUP(A541,[5]PRIORIZADOS!$A:$M,13,FALSE)="","",VLOOKUP(A541,[5]PRIORIZADOS!$A:$M,13,FALSE)),"")</f>
        <v>45806</v>
      </c>
      <c r="N541" s="71">
        <f>IFERROR(IF(VLOOKUP(A541,[5]PRIORIZADOS!$A:$N,14,FALSE)="","",VLOOKUP(A541,[5]PRIORIZADOS!$A:$N,14,FALSE)),"")</f>
        <v>45755</v>
      </c>
      <c r="O541" s="71">
        <f>IFERROR(IF(VLOOKUP(A541,[5]PRIORIZADOS!$A:$O,15,FALSE)="","",VLOOKUP(A541,[5]PRIORIZADOS!$A:$O,15,FALSE)),"")</f>
        <v>45755</v>
      </c>
      <c r="P541" s="11" t="str">
        <f>IFERROR(IF(VLOOKUP(A541,[5]PRIORIZADOS!$A:$P,16,FALSE)="","",VLOOKUP(A541,[5]PRIORIZADOS!$A:$P,16,FALSE)),"")</f>
        <v>Visitas de evaluación con fines de mejoramiento</v>
      </c>
      <c r="Q541" s="107" t="s">
        <v>118</v>
      </c>
      <c r="R541" s="11" t="str">
        <f>IFERROR(IF(VLOOKUP(A541,[5]PRIORIZADOS!$A:$R,18,FALSE)="","",VLOOKUP(A541,[5]PRIORIZADOS!$A:$R,18,FALSE)),"")</f>
        <v>Tienen un SIEE desactualizado que incluye todavia evaluacion por indicadores de logro y con insuficiencias al momento de evaluar a los estudiantes.</v>
      </c>
      <c r="S541" s="11" t="str">
        <f>IFERROR(IF(VLOOKUP(A541,[5]PRIORIZADOS!$A:$S,19,FALSE)="","",VLOOKUP(A541,[5]PRIORIZADOS!$A:$S,19,FALSE)),"")</f>
        <v>Se incluye compromiso de actualización del SIEE a la luz de la norma y la innovación curricular-</v>
      </c>
      <c r="T541" s="70" t="str">
        <f>IFERROR(IF(VLOOKUP(A541,[5]PRIORIZADOS!$A:$T,20,FALSE)="","",VLOOKUP(A541,[5]PRIORIZADOS!$A:$T,20,FALSE)),"")</f>
        <v>Si</v>
      </c>
      <c r="U541" s="11" t="str">
        <f>IFERROR(IF(VLOOKUP(A541,[5]PRIORIZADOS!$A:$U,21,FALSE)="","",VLOOKUP(A541,[5]PRIORIZADOS!$A:$U,21,FALSE)),"")</f>
        <v>La IE hará entrega del Plan de Mejoramiento el 30/04/2025.
El ELIV realizará seguimiento en septiembre de 2025 para verificar el cumplimiento de las acciones propuestas en el plan de mejoramiento.</v>
      </c>
    </row>
    <row r="542" spans="1:21" s="1" customFormat="1" ht="48">
      <c r="A542" s="69">
        <f>IF([5]PRIORIZADOS!A50="","",[5]PRIORIZADOS!A50)</f>
        <v>550</v>
      </c>
      <c r="B542" s="70">
        <f>IFERROR(IF(VLOOKUP(A542,[5]PRIORIZADOS!$A:$B,2,FALSE)="","",VLOOKUP(A542,[5]PRIORIZADOS!$A:$B,2,FALSE)),"")</f>
        <v>5</v>
      </c>
      <c r="C542" s="11" t="str">
        <f>IFERROR(IF(VLOOKUP(A542,[5]PRIORIZADOS!$A:$C,3,FALSE)="","",VLOOKUP(A542,[5]PRIORIZADOS!$A:$C,3,FALSE)),"")</f>
        <v>CIUDAD BOLÍVAR</v>
      </c>
      <c r="D542" s="11" t="str">
        <f>IFERROR(IF(VLOOKUP(A542,[5]PRIORIZADOS!$A:$D,4,FALSE)="","",VLOOKUP(A542,[5]PRIORIZADOS!$A:$D,4,FALSE)),"")</f>
        <v>PRIVADO</v>
      </c>
      <c r="E542" s="11" t="str">
        <f>IFERROR(IF(VLOOKUP(A542,[5]PRIORIZADOS!$A:$E,5,FALSE)="","",VLOOKUP(A542,[5]PRIORIZADOS!$A:$E,5,FALSE)),"")</f>
        <v>EPBM</v>
      </c>
      <c r="F542" s="11" t="str">
        <f>IFERROR(IF(VLOOKUP(A542,[5]PRIORIZADOS!$A:$F,6,FALSE)="","",VLOOKUP(A542,[5]PRIORIZADOS!$A:$F,6,FALSE)),"")</f>
        <v>INSTITUTO_PSICOPEDAGOGICO_EL_TESORO_DE_LA_VERDAD</v>
      </c>
      <c r="G542" s="11" t="str">
        <f>IFERROR(IF(VLOOKUP(A542,[5]PRIORIZADOS!$A:$G,7,FALSE)="","",VLOOKUP(A542,[5]PRIORIZADOS!$A:$G,7,FALSE)),"")</f>
        <v>INSTITUTO PSICOPEDAGOGICO EL TESORO DE LA VERDAD</v>
      </c>
      <c r="H542" s="11" t="str">
        <f>IFERROR(IF(VLOOKUP(A542,[5]PRIORIZADOS!$A:$H,8,FALSE)="","",VLOOKUP(A542,[5]PRIORIZADOS!$A:$H,8,FALSE)),"")</f>
        <v>Autoevaluación Institucional y Pruebas SABER 11</v>
      </c>
      <c r="I542" s="11" t="str">
        <f>IFERROR(IF(VLOOKUP(A542,[5]PRIORIZADOS!$A:$I,9,FALSE)="","",VLOOKUP(A542,[5]PRIORIZADOS!$A:$I,9,FALSE)),"")</f>
        <v>EVALUACIÓN_CON_FINES_DE_MEJORAMIENTO.</v>
      </c>
      <c r="J542" s="11" t="str">
        <f>IFERROR(IF(VLOOKUP(A542,[5]PRIORIZADOS!$A:$J,10,FALSE)="","",VLOOKUP(A542,[5]PRIORIZADOS!$A:$J,10,FALSE)),"")</f>
        <v>Revisar el calendario escolar, jornada escolar, la intensidad horaria mínima anual en cada nivel y las modificaciones que se realicen al mismo, de acuerdo con lo previsto en la normatividad vigente.</v>
      </c>
      <c r="K542" s="11" t="str">
        <f>IFERROR(IF(VLOOKUP(A542,[5]PRIORIZADOS!$A:$K,11,FALSE)="","",VLOOKUP(A542,[5]PRIORIZADOS!$A:$K,11,FALSE)),"")</f>
        <v>ÓSCAR JAVIER CÁRDENAS MUÑOZ</v>
      </c>
      <c r="L542" s="11" t="str">
        <f>IFERROR(IF(VLOOKUP(A542,[5]PRIORIZADOS!$A:$L,12,FALSE)="","",VLOOKUP(A542,[5]PRIORIZADOS!$A:$L,12,FALSE)),"")</f>
        <v xml:space="preserve">CLAUDIA DOMÍNGUEZ TORRES </v>
      </c>
      <c r="M542" s="71">
        <f>IFERROR(IF(VLOOKUP(A542,[5]PRIORIZADOS!$A:$M,13,FALSE)="","",VLOOKUP(A542,[5]PRIORIZADOS!$A:$M,13,FALSE)),"")</f>
        <v>45806</v>
      </c>
      <c r="N542" s="71">
        <f>IFERROR(IF(VLOOKUP(A542,[5]PRIORIZADOS!$A:$N,14,FALSE)="","",VLOOKUP(A542,[5]PRIORIZADOS!$A:$N,14,FALSE)),"")</f>
        <v>45755</v>
      </c>
      <c r="O542" s="71">
        <f>IFERROR(IF(VLOOKUP(A542,[5]PRIORIZADOS!$A:$O,15,FALSE)="","",VLOOKUP(A542,[5]PRIORIZADOS!$A:$O,15,FALSE)),"")</f>
        <v>45755</v>
      </c>
      <c r="P542" s="11" t="str">
        <f>IFERROR(IF(VLOOKUP(A542,[5]PRIORIZADOS!$A:$P,16,FALSE)="","",VLOOKUP(A542,[5]PRIORIZADOS!$A:$P,16,FALSE)),"")</f>
        <v>Visitas de evaluación con fines de mejoramiento</v>
      </c>
      <c r="Q542" s="107" t="s">
        <v>118</v>
      </c>
      <c r="R542" s="11" t="str">
        <f>IFERROR(IF(VLOOKUP(A542,[5]PRIORIZADOS!$A:$R,18,FALSE)="","",VLOOKUP(A542,[5]PRIORIZADOS!$A:$R,18,FALSE)),"")</f>
        <v>Tienen un Calendario Escolar acorde a lo definido para cada grado.</v>
      </c>
      <c r="S542" s="11" t="str">
        <f>IFERROR(IF(VLOOKUP(A542,[5]PRIORIZADOS!$A:$S,19,FALSE)="","",VLOOKUP(A542,[5]PRIORIZADOS!$A:$S,19,FALSE)),"")</f>
        <v>Ajustar intensidad horaria en terminos de tener claridad sobre la horas efectivas de clase en el año escolar.</v>
      </c>
      <c r="T542" s="70" t="str">
        <f>IFERROR(IF(VLOOKUP(A542,[5]PRIORIZADOS!$A:$T,20,FALSE)="","",VLOOKUP(A542,[5]PRIORIZADOS!$A:$T,20,FALSE)),"")</f>
        <v>Si</v>
      </c>
      <c r="U542" s="11" t="str">
        <f>IFERROR(IF(VLOOKUP(A542,[5]PRIORIZADOS!$A:$U,21,FALSE)="","",VLOOKUP(A542,[5]PRIORIZADOS!$A:$U,21,FALSE)),"")</f>
        <v>La IE hará entrega del Plan de Mejoramiento el 30/04/2025.
El ELIV realizará seguimiento en septiembre de 2025 para verificar el cumplimiento de las acciones propuestas en el plan de mejoramiento.</v>
      </c>
    </row>
    <row r="543" spans="1:21" s="1" customFormat="1" ht="72">
      <c r="A543" s="69">
        <f>IF([5]PRIORIZADOS!A51="","",[5]PRIORIZADOS!A51)</f>
        <v>551</v>
      </c>
      <c r="B543" s="70">
        <f>IFERROR(IF(VLOOKUP(A543,[5]PRIORIZADOS!$A:$B,2,FALSE)="","",VLOOKUP(A543,[5]PRIORIZADOS!$A:$B,2,FALSE)),"")</f>
        <v>5</v>
      </c>
      <c r="C543" s="11" t="str">
        <f>IFERROR(IF(VLOOKUP(A543,[5]PRIORIZADOS!$A:$C,3,FALSE)="","",VLOOKUP(A543,[5]PRIORIZADOS!$A:$C,3,FALSE)),"")</f>
        <v>CIUDAD BOLÍVAR</v>
      </c>
      <c r="D543" s="11" t="str">
        <f>IFERROR(IF(VLOOKUP(A543,[5]PRIORIZADOS!$A:$D,4,FALSE)="","",VLOOKUP(A543,[5]PRIORIZADOS!$A:$D,4,FALSE)),"")</f>
        <v>PRIVADO</v>
      </c>
      <c r="E543" s="11" t="str">
        <f>IFERROR(IF(VLOOKUP(A543,[5]PRIORIZADOS!$A:$E,5,FALSE)="","",VLOOKUP(A543,[5]PRIORIZADOS!$A:$E,5,FALSE)),"")</f>
        <v>EPBM</v>
      </c>
      <c r="F543" s="11" t="str">
        <f>IFERROR(IF(VLOOKUP(A543,[5]PRIORIZADOS!$A:$F,6,FALSE)="","",VLOOKUP(A543,[5]PRIORIZADOS!$A:$F,6,FALSE)),"")</f>
        <v>INSTITUTO_PSICOPEDAGOGICO_EL_TESORO_DE_LA_VERDAD</v>
      </c>
      <c r="G543" s="11" t="str">
        <f>IFERROR(IF(VLOOKUP(A543,[5]PRIORIZADOS!$A:$G,7,FALSE)="","",VLOOKUP(A543,[5]PRIORIZADOS!$A:$G,7,FALSE)),"")</f>
        <v>INSTITUTO PSICOPEDAGOGICO EL TESORO DE LA VERDAD</v>
      </c>
      <c r="H543" s="11" t="str">
        <f>IFERROR(IF(VLOOKUP(A543,[5]PRIORIZADOS!$A:$H,8,FALSE)="","",VLOOKUP(A543,[5]PRIORIZADOS!$A:$H,8,FALSE)),"")</f>
        <v>Autoevaluación Institucional y Pruebas SABER 11</v>
      </c>
      <c r="I543" s="11" t="str">
        <f>IFERROR(IF(VLOOKUP(A543,[5]PRIORIZADOS!$A:$I,9,FALSE)="","",VLOOKUP(A543,[5]PRIORIZADOS!$A:$I,9,FALSE)),"")</f>
        <v>EVALUACIÓN_CON_FINES_DE_MEJORAMIENTO.</v>
      </c>
      <c r="J543" s="11" t="str">
        <f>IFERROR(IF(VLOOKUP(A543,[5]PRIORIZADOS!$A:$J,10,FALSE)="","",VLOOKUP(A543,[5]PRIORIZADOS!$A:$J,10,FALSE)),"")</f>
        <v>Verificar el funcionamiento del Gobierno Escolar e instancias de participación con base en la información sobre conformación reportada por la institución educativa.</v>
      </c>
      <c r="K543" s="11" t="str">
        <f>IFERROR(IF(VLOOKUP(A543,[5]PRIORIZADOS!$A:$K,11,FALSE)="","",VLOOKUP(A543,[5]PRIORIZADOS!$A:$K,11,FALSE)),"")</f>
        <v>ÓSCAR JAVIER CÁRDENAS MUÑOZ</v>
      </c>
      <c r="L543" s="11" t="str">
        <f>IFERROR(IF(VLOOKUP(A543,[5]PRIORIZADOS!$A:$L,12,FALSE)="","",VLOOKUP(A543,[5]PRIORIZADOS!$A:$L,12,FALSE)),"")</f>
        <v xml:space="preserve">CLAUDIA DOMÍNGUEZ TORRES </v>
      </c>
      <c r="M543" s="71">
        <f>IFERROR(IF(VLOOKUP(A543,[5]PRIORIZADOS!$A:$M,13,FALSE)="","",VLOOKUP(A543,[5]PRIORIZADOS!$A:$M,13,FALSE)),"")</f>
        <v>45806</v>
      </c>
      <c r="N543" s="71">
        <f>IFERROR(IF(VLOOKUP(A543,[5]PRIORIZADOS!$A:$N,14,FALSE)="","",VLOOKUP(A543,[5]PRIORIZADOS!$A:$N,14,FALSE)),"")</f>
        <v>45755</v>
      </c>
      <c r="O543" s="71">
        <f>IFERROR(IF(VLOOKUP(A543,[5]PRIORIZADOS!$A:$O,15,FALSE)="","",VLOOKUP(A543,[5]PRIORIZADOS!$A:$O,15,FALSE)),"")</f>
        <v>45755</v>
      </c>
      <c r="P543" s="11" t="str">
        <f>IFERROR(IF(VLOOKUP(A543,[5]PRIORIZADOS!$A:$P,16,FALSE)="","",VLOOKUP(A543,[5]PRIORIZADOS!$A:$P,16,FALSE)),"")</f>
        <v>Visitas de evaluación con fines de mejoramiento</v>
      </c>
      <c r="Q543" s="107" t="s">
        <v>118</v>
      </c>
      <c r="R543" s="11" t="str">
        <f>IFERROR(IF(VLOOKUP(A543,[5]PRIORIZADOS!$A:$R,18,FALSE)="","",VLOOKUP(A543,[5]PRIORIZADOS!$A:$R,18,FALSE)),"")</f>
        <v>No se pudo verificar, pues todo lo relacionado al Gobierno Escolar está a cargo del propietario de la IE, quien no estuvo presente durante la visita. Solo se pudo evidenciar lo realizado el año anterior.</v>
      </c>
      <c r="S543" s="11" t="str">
        <f>IFERROR(IF(VLOOKUP(A543,[5]PRIORIZADOS!$A:$S,19,FALSE)="","",VLOOKUP(A543,[5]PRIORIZADOS!$A:$S,19,FALSE)),"")</f>
        <v>Se incluye compromiso de conformación actualización e informe al ELIV de los estamentos del Gob. Escolar.</v>
      </c>
      <c r="T543" s="70" t="str">
        <f>IFERROR(IF(VLOOKUP(A543,[5]PRIORIZADOS!$A:$T,20,FALSE)="","",VLOOKUP(A543,[5]PRIORIZADOS!$A:$T,20,FALSE)),"")</f>
        <v>Si</v>
      </c>
      <c r="U543" s="11" t="str">
        <f>IFERROR(IF(VLOOKUP(A543,[5]PRIORIZADOS!$A:$U,21,FALSE)="","",VLOOKUP(A543,[5]PRIORIZADOS!$A:$U,21,FALSE)),"")</f>
        <v>La IE hará entrega del Plan de Mejoramiento el 30/04/2025.
El ELIV realizará seguimiento en septiembre de 2025 para verificar el cumplimiento de las acciones propuestas en el plan de mejoramiento.</v>
      </c>
    </row>
    <row r="544" spans="1:21" s="1" customFormat="1" ht="36">
      <c r="A544" s="69">
        <f>IF([5]PRIORIZADOS!A52="","",[5]PRIORIZADOS!A52)</f>
        <v>552</v>
      </c>
      <c r="B544" s="70">
        <f>IFERROR(IF(VLOOKUP(A544,[5]PRIORIZADOS!$A:$B,2,FALSE)="","",VLOOKUP(A544,[5]PRIORIZADOS!$A:$B,2,FALSE)),"")</f>
        <v>5</v>
      </c>
      <c r="C544" s="11" t="str">
        <f>IFERROR(IF(VLOOKUP(A544,[5]PRIORIZADOS!$A:$C,3,FALSE)="","",VLOOKUP(A544,[5]PRIORIZADOS!$A:$C,3,FALSE)),"")</f>
        <v>CIUDAD BOLÍVAR</v>
      </c>
      <c r="D544" s="11" t="str">
        <f>IFERROR(IF(VLOOKUP(A544,[5]PRIORIZADOS!$A:$D,4,FALSE)="","",VLOOKUP(A544,[5]PRIORIZADOS!$A:$D,4,FALSE)),"")</f>
        <v>PRIVADO</v>
      </c>
      <c r="E544" s="11" t="str">
        <f>IFERROR(IF(VLOOKUP(A544,[5]PRIORIZADOS!$A:$E,5,FALSE)="","",VLOOKUP(A544,[5]PRIORIZADOS!$A:$E,5,FALSE)),"")</f>
        <v>EPBM</v>
      </c>
      <c r="F544" s="11" t="str">
        <f>IFERROR(IF(VLOOKUP(A544,[5]PRIORIZADOS!$A:$F,6,FALSE)="","",VLOOKUP(A544,[5]PRIORIZADOS!$A:$F,6,FALSE)),"")</f>
        <v>INSTITUTO_PSICOPEDAGOGICO_EL_TESORO_DE_LA_VERDAD</v>
      </c>
      <c r="G544" s="11" t="str">
        <f>IFERROR(IF(VLOOKUP(A544,[5]PRIORIZADOS!$A:$G,7,FALSE)="","",VLOOKUP(A544,[5]PRIORIZADOS!$A:$G,7,FALSE)),"")</f>
        <v>INSTITUTO PSICOPEDAGOGICO EL TESORO DE LA VERDAD</v>
      </c>
      <c r="H544" s="11" t="str">
        <f>IFERROR(IF(VLOOKUP(A544,[5]PRIORIZADOS!$A:$H,8,FALSE)="","",VLOOKUP(A544,[5]PRIORIZADOS!$A:$H,8,FALSE)),"")</f>
        <v>Autoevaluación Institucional y Pruebas SABER 11</v>
      </c>
      <c r="I544" s="11" t="str">
        <f>IFERROR(IF(VLOOKUP(A544,[5]PRIORIZADOS!$A:$I,9,FALSE)="","",VLOOKUP(A544,[5]PRIORIZADOS!$A:$I,9,FALSE)),"")</f>
        <v>EVALUACIÓN_CON_FINES_DE_MEJORAMIENTO.</v>
      </c>
      <c r="J544" s="11" t="str">
        <f>IFERROR(IF(VLOOKUP(A544,[5]PRIORIZADOS!$A:$J,10,FALSE)="","",VLOOKUP(A544,[5]PRIORIZADOS!$A:$J,10,FALSE)),"")</f>
        <v>Verificar las condiciones en cuanto a: la estructura administrativa, condiciones de la planta física y medios educativos adecuados.</v>
      </c>
      <c r="K544" s="11" t="str">
        <f>IFERROR(IF(VLOOKUP(A544,[5]PRIORIZADOS!$A:$K,11,FALSE)="","",VLOOKUP(A544,[5]PRIORIZADOS!$A:$K,11,FALSE)),"")</f>
        <v>ÓSCAR JAVIER CÁRDENAS MUÑOZ</v>
      </c>
      <c r="L544" s="11" t="str">
        <f>IFERROR(IF(VLOOKUP(A544,[5]PRIORIZADOS!$A:$L,12,FALSE)="","",VLOOKUP(A544,[5]PRIORIZADOS!$A:$L,12,FALSE)),"")</f>
        <v xml:space="preserve">CLAUDIA DOMÍNGUEZ TORRES </v>
      </c>
      <c r="M544" s="71">
        <f>IFERROR(IF(VLOOKUP(A544,[5]PRIORIZADOS!$A:$M,13,FALSE)="","",VLOOKUP(A544,[5]PRIORIZADOS!$A:$M,13,FALSE)),"")</f>
        <v>45806</v>
      </c>
      <c r="N544" s="71">
        <f>IFERROR(IF(VLOOKUP(A544,[5]PRIORIZADOS!$A:$N,14,FALSE)="","",VLOOKUP(A544,[5]PRIORIZADOS!$A:$N,14,FALSE)),"")</f>
        <v>45755</v>
      </c>
      <c r="O544" s="71">
        <f>IFERROR(IF(VLOOKUP(A544,[5]PRIORIZADOS!$A:$O,15,FALSE)="","",VLOOKUP(A544,[5]PRIORIZADOS!$A:$O,15,FALSE)),"")</f>
        <v>45755</v>
      </c>
      <c r="P544" s="11" t="str">
        <f>IFERROR(IF(VLOOKUP(A544,[5]PRIORIZADOS!$A:$P,16,FALSE)="","",VLOOKUP(A544,[5]PRIORIZADOS!$A:$P,16,FALSE)),"")</f>
        <v>Visitas de evaluación con fines de mejoramiento</v>
      </c>
      <c r="Q544" s="126" t="s">
        <v>118</v>
      </c>
      <c r="R544" s="11" t="str">
        <f>IFERROR(IF(VLOOKUP(A544,[5]PRIORIZADOS!$A:$R,18,FALSE)="","",VLOOKUP(A544,[5]PRIORIZADOS!$A:$R,18,FALSE)),"")</f>
        <v>Se evidencian medios educativos desgastados y sin un correcto mantenimiento.</v>
      </c>
      <c r="S544" s="11" t="str">
        <f>IFERROR(IF(VLOOKUP(A544,[5]PRIORIZADOS!$A:$S,19,FALSE)="","",VLOOKUP(A544,[5]PRIORIZADOS!$A:$S,19,FALSE)),"")</f>
        <v>Establecer acciones tendientes a garantizar ambientes óptimos para la prestación del servicio educativo.</v>
      </c>
      <c r="T544" s="70" t="str">
        <f>IFERROR(IF(VLOOKUP(A544,[5]PRIORIZADOS!$A:$T,20,FALSE)="","",VLOOKUP(A544,[5]PRIORIZADOS!$A:$T,20,FALSE)),"")</f>
        <v>Si</v>
      </c>
      <c r="U544" s="11" t="str">
        <f>IFERROR(IF(VLOOKUP(A544,[5]PRIORIZADOS!$A:$U,21,FALSE)="","",VLOOKUP(A544,[5]PRIORIZADOS!$A:$U,21,FALSE)),"")</f>
        <v>La IE hará entrega del Plan de Mejoramiento el 30/04/2025.
El ELIV realizará seguimiento en septiembre de 2025 para verificar el cumplimiento de las acciones propuestas en el plan de mejoramiento.</v>
      </c>
    </row>
    <row r="545" spans="1:21" s="1" customFormat="1" ht="48">
      <c r="A545" s="69">
        <f>IF([5]PRIORIZADOS!A53="","",[5]PRIORIZADOS!A53)</f>
        <v>553</v>
      </c>
      <c r="B545" s="70">
        <f>IFERROR(IF(VLOOKUP(A545,[5]PRIORIZADOS!$A:$B,2,FALSE)="","",VLOOKUP(A545,[5]PRIORIZADOS!$A:$B,2,FALSE)),"")</f>
        <v>6</v>
      </c>
      <c r="C545" s="11" t="str">
        <f>IFERROR(IF(VLOOKUP(A545,[5]PRIORIZADOS!$A:$C,3,FALSE)="","",VLOOKUP(A545,[5]PRIORIZADOS!$A:$C,3,FALSE)),"")</f>
        <v>CIUDAD BOLÍVAR</v>
      </c>
      <c r="D545" s="11" t="str">
        <f>IFERROR(IF(VLOOKUP(A545,[5]PRIORIZADOS!$A:$D,4,FALSE)="","",VLOOKUP(A545,[5]PRIORIZADOS!$A:$D,4,FALSE)),"")</f>
        <v>PRIVADO</v>
      </c>
      <c r="E545" s="11" t="str">
        <f>IFERROR(IF(VLOOKUP(A545,[5]PRIORIZADOS!$A:$E,5,FALSE)="","",VLOOKUP(A545,[5]PRIORIZADOS!$A:$E,5,FALSE)),"")</f>
        <v>EPBM</v>
      </c>
      <c r="F545" s="11" t="str">
        <f>IFERROR(IF(VLOOKUP(A545,[5]PRIORIZADOS!$A:$F,6,FALSE)="","",VLOOKUP(A545,[5]PRIORIZADOS!$A:$F,6,FALSE)),"")</f>
        <v>INSTITUTO_JERUSALEN</v>
      </c>
      <c r="G545" s="11" t="str">
        <f>IFERROR(IF(VLOOKUP(A545,[5]PRIORIZADOS!$A:$G,7,FALSE)="","",VLOOKUP(A545,[5]PRIORIZADOS!$A:$G,7,FALSE)),"")</f>
        <v>INSTITUTO JERUSALEN</v>
      </c>
      <c r="H545" s="11" t="str">
        <f>IFERROR(IF(VLOOKUP(A545,[5]PRIORIZADOS!$A:$H,8,FALSE)="","",VLOOKUP(A545,[5]PRIORIZADOS!$A:$H,8,FALSE)),"")</f>
        <v>Autoevaluación Institucional y Pruebas SABER 11</v>
      </c>
      <c r="I545" s="11" t="str">
        <f>IFERROR(IF(VLOOKUP(A545,[5]PRIORIZADOS!$A:$I,9,FALSE)="","",VLOOKUP(A545,[5]PRIORIZADOS!$A:$I,9,FALSE)),"")</f>
        <v>SEGUIMIENTO_Y_SUPERVISIÓN.</v>
      </c>
      <c r="J545" s="11" t="str">
        <f>IFERROR(IF(VLOOKUP(A545,[5]PRIORIZADOS!$A:$J,10,FALSE)="","",VLOOKUP(A545,[5]PRIORIZADOS!$A:$J,10,FALSE)),"")</f>
        <v>Realizar visitas para verificar la información registrada sobre la autoevaluación institucional en el aplicativo EVI, a los establecimientos de educación formal no oficial.</v>
      </c>
      <c r="K545" s="11" t="str">
        <f>IFERROR(IF(VLOOKUP(A545,[5]PRIORIZADOS!$A:$K,11,FALSE)="","",VLOOKUP(A545,[5]PRIORIZADOS!$A:$K,11,FALSE)),"")</f>
        <v xml:space="preserve">CLAUDIA DOMÍNGUEZ TORRES </v>
      </c>
      <c r="L545" s="11" t="str">
        <f>IFERROR(IF(VLOOKUP(A545,[5]PRIORIZADOS!$A:$L,12,FALSE)="","",VLOOKUP(A545,[5]PRIORIZADOS!$A:$L,12,FALSE)),"")</f>
        <v>ÓSCAR JAVIER CÁRDENAS MUÑOZ</v>
      </c>
      <c r="M545" s="71">
        <f>IFERROR(IF(VLOOKUP(A545,[5]PRIORIZADOS!$A:$M,13,FALSE)="","",VLOOKUP(A545,[5]PRIORIZADOS!$A:$M,13,FALSE)),"")</f>
        <v>45807</v>
      </c>
      <c r="N545" s="71">
        <f>IFERROR(IF(VLOOKUP(A545,[5]PRIORIZADOS!$A:$N,14,FALSE)="","",VLOOKUP(A545,[5]PRIORIZADOS!$A:$N,14,FALSE)),"")</f>
        <v>45792</v>
      </c>
      <c r="O545" s="71">
        <f>IFERROR(IF(VLOOKUP(A545,[5]PRIORIZADOS!$A:$O,15,FALSE)="","",VLOOKUP(A545,[5]PRIORIZADOS!$A:$O,15,FALSE)),"")</f>
        <v>45792</v>
      </c>
      <c r="P545" s="11" t="str">
        <f>IFERROR(IF(VLOOKUP(A545,[5]PRIORIZADOS!$A:$P,16,FALSE)="","",VLOOKUP(A545,[5]PRIORIZADOS!$A:$P,16,FALSE)),"")</f>
        <v>Visitas de evaluación con fines de mejoramiento</v>
      </c>
      <c r="Q545" s="107" t="s">
        <v>119</v>
      </c>
      <c r="R545" s="11" t="str">
        <f>IFERROR(IF(VLOOKUP(A545,[5]PRIORIZADOS!$A:$R,18,FALSE)="","",VLOOKUP(A545,[5]PRIORIZADOS!$A:$R,18,FALSE)),"")</f>
        <v>Se evidencia coherencia de lo registrado en EVI, sin embargo, se evidencio que en los grados inferiores hay multigrado en aula</v>
      </c>
      <c r="S545" s="11" t="str">
        <f>IFERROR(IF(VLOOKUP(A545,[5]PRIORIZADOS!$A:$S,19,FALSE)="","",VLOOKUP(A545,[5]PRIORIZADOS!$A:$S,19,FALSE)),"")</f>
        <v>Atender las recomendaciones con relación con la matrícula y la organziación de los cursos.</v>
      </c>
      <c r="T545" s="70" t="str">
        <f>IFERROR(IF(VLOOKUP(A545,[5]PRIORIZADOS!$A:$T,20,FALSE)="","",VLOOKUP(A545,[5]PRIORIZADOS!$A:$T,20,FALSE)),"")</f>
        <v>Si</v>
      </c>
      <c r="U545" s="11" t="str">
        <f>IFERROR(IF(VLOOKUP(A545,[5]PRIORIZADOS!$A:$U,21,FALSE)="","",VLOOKUP(A545,[5]PRIORIZADOS!$A:$U,21,FALSE)),"")</f>
        <v>La IE hará entrega del Plan de Mejoramiento el 23/05/2025.
El ELIV realizará seguimiento en septiembre de 2025 para verificar el cumplimiento de las acciones propuestas en el plan de mejoramiento.</v>
      </c>
    </row>
    <row r="546" spans="1:21" s="1" customFormat="1" ht="60">
      <c r="A546" s="69">
        <f>IF([5]PRIORIZADOS!A54="","",[5]PRIORIZADOS!A54)</f>
        <v>554</v>
      </c>
      <c r="B546" s="70">
        <f>IFERROR(IF(VLOOKUP(A546,[5]PRIORIZADOS!$A:$B,2,FALSE)="","",VLOOKUP(A546,[5]PRIORIZADOS!$A:$B,2,FALSE)),"")</f>
        <v>6</v>
      </c>
      <c r="C546" s="11" t="str">
        <f>IFERROR(IF(VLOOKUP(A546,[5]PRIORIZADOS!$A:$C,3,FALSE)="","",VLOOKUP(A546,[5]PRIORIZADOS!$A:$C,3,FALSE)),"")</f>
        <v>CIUDAD BOLÍVAR</v>
      </c>
      <c r="D546" s="11" t="str">
        <f>IFERROR(IF(VLOOKUP(A546,[5]PRIORIZADOS!$A:$D,4,FALSE)="","",VLOOKUP(A546,[5]PRIORIZADOS!$A:$D,4,FALSE)),"")</f>
        <v>PRIVADO</v>
      </c>
      <c r="E546" s="11" t="str">
        <f>IFERROR(IF(VLOOKUP(A546,[5]PRIORIZADOS!$A:$E,5,FALSE)="","",VLOOKUP(A546,[5]PRIORIZADOS!$A:$E,5,FALSE)),"")</f>
        <v>EPBM</v>
      </c>
      <c r="F546" s="11" t="str">
        <f>IFERROR(IF(VLOOKUP(A546,[5]PRIORIZADOS!$A:$F,6,FALSE)="","",VLOOKUP(A546,[5]PRIORIZADOS!$A:$F,6,FALSE)),"")</f>
        <v>INSTITUTO_JERUSALEN</v>
      </c>
      <c r="G546" s="11" t="str">
        <f>IFERROR(IF(VLOOKUP(A546,[5]PRIORIZADOS!$A:$G,7,FALSE)="","",VLOOKUP(A546,[5]PRIORIZADOS!$A:$G,7,FALSE)),"")</f>
        <v>INSTITUTO JERUSALEN</v>
      </c>
      <c r="H546" s="11" t="str">
        <f>IFERROR(IF(VLOOKUP(A546,[5]PRIORIZADOS!$A:$H,8,FALSE)="","",VLOOKUP(A546,[5]PRIORIZADOS!$A:$H,8,FALSE)),"")</f>
        <v>Autoevaluación Institucional y Pruebas SABER 11</v>
      </c>
      <c r="I546" s="11" t="str">
        <f>IFERROR(IF(VLOOKUP(A546,[5]PRIORIZADOS!$A:$I,9,FALSE)="","",VLOOKUP(A546,[5]PRIORIZADOS!$A:$I,9,FALSE)),"")</f>
        <v>SEGUIMIENTO_Y_SUPERVISIÓN.</v>
      </c>
      <c r="J546" s="11" t="str">
        <f>IFERROR(IF(VLOOKUP(A546,[5]PRIORIZADOS!$A:$J,10,FALSE)="","",VLOOKUP(A546,[5]PRIORIZADOS!$A:$J,10,FALSE)),"")</f>
        <v>Proponer estrategias en la formulación, verificar su elaboración y realizar seguimiento semestral al desarrollo de  las acciones establecidas en los planes de mejoramiento por pruebas SABER 11 de los establecimientos de educación formal.</v>
      </c>
      <c r="K546" s="11" t="str">
        <f>IFERROR(IF(VLOOKUP(A546,[5]PRIORIZADOS!$A:$K,11,FALSE)="","",VLOOKUP(A546,[5]PRIORIZADOS!$A:$K,11,FALSE)),"")</f>
        <v xml:space="preserve">CLAUDIA DOMÍNGUEZ TORRES </v>
      </c>
      <c r="L546" s="11" t="str">
        <f>IFERROR(IF(VLOOKUP(A546,[5]PRIORIZADOS!$A:$L,12,FALSE)="","",VLOOKUP(A546,[5]PRIORIZADOS!$A:$L,12,FALSE)),"")</f>
        <v>ÓSCAR JAVIER CÁRDENAS MUÑOZ</v>
      </c>
      <c r="M546" s="71">
        <f>IFERROR(IF(VLOOKUP(A546,[5]PRIORIZADOS!$A:$M,13,FALSE)="","",VLOOKUP(A546,[5]PRIORIZADOS!$A:$M,13,FALSE)),"")</f>
        <v>45807</v>
      </c>
      <c r="N546" s="71">
        <f>IFERROR(IF(VLOOKUP(A546,[5]PRIORIZADOS!$A:$N,14,FALSE)="","",VLOOKUP(A546,[5]PRIORIZADOS!$A:$N,14,FALSE)),"")</f>
        <v>45792</v>
      </c>
      <c r="O546" s="71">
        <f>IFERROR(IF(VLOOKUP(A546,[5]PRIORIZADOS!$A:$O,15,FALSE)="","",VLOOKUP(A546,[5]PRIORIZADOS!$A:$O,15,FALSE)),"")</f>
        <v>45792</v>
      </c>
      <c r="P546" s="11" t="str">
        <f>IFERROR(IF(VLOOKUP(A546,[5]PRIORIZADOS!$A:$P,16,FALSE)="","",VLOOKUP(A546,[5]PRIORIZADOS!$A:$P,16,FALSE)),"")</f>
        <v>Visitas de evaluación con fines de mejoramiento</v>
      </c>
      <c r="Q546" s="107" t="s">
        <v>119</v>
      </c>
      <c r="R546" s="11" t="str">
        <f>IFERROR(IF(VLOOKUP(A546,[5]PRIORIZADOS!$A:$R,18,FALSE)="","",VLOOKUP(A546,[5]PRIORIZADOS!$A:$R,18,FALSE)),"")</f>
        <v>No tienen claridad sobre los resultados alcanzados y no hay acciones de mejoramiento claras para la superación de los bajos resultados.</v>
      </c>
      <c r="S546" s="11" t="str">
        <f>IFERROR(IF(VLOOKUP(A546,[5]PRIORIZADOS!$A:$S,19,FALSE)="","",VLOOKUP(A546,[5]PRIORIZADOS!$A:$S,19,FALSE)),"")</f>
        <v>Especificar en el plan de acción las estrategias puntuales para el mejoramiento progresivo de los resultados.</v>
      </c>
      <c r="T546" s="70" t="str">
        <f>IFERROR(IF(VLOOKUP(A546,[5]PRIORIZADOS!$A:$T,20,FALSE)="","",VLOOKUP(A546,[5]PRIORIZADOS!$A:$T,20,FALSE)),"")</f>
        <v>Si</v>
      </c>
      <c r="U546" s="11" t="str">
        <f>IFERROR(IF(VLOOKUP(A546,[5]PRIORIZADOS!$A:$U,21,FALSE)="","",VLOOKUP(A546,[5]PRIORIZADOS!$A:$U,21,FALSE)),"")</f>
        <v>La IE hará entrega del Plan de Mejoramiento el 23/05/2025.
El ELIV realizará seguimiento en septiembre de 2025 para verificar el cumplimiento de las acciones propuestas en el plan de mejoramiento.</v>
      </c>
    </row>
    <row r="547" spans="1:21" s="1" customFormat="1" ht="72">
      <c r="A547" s="69">
        <f>IF([5]PRIORIZADOS!A55="","",[5]PRIORIZADOS!A55)</f>
        <v>555</v>
      </c>
      <c r="B547" s="70">
        <f>IFERROR(IF(VLOOKUP(A547,[5]PRIORIZADOS!$A:$B,2,FALSE)="","",VLOOKUP(A547,[5]PRIORIZADOS!$A:$B,2,FALSE)),"")</f>
        <v>6</v>
      </c>
      <c r="C547" s="11" t="str">
        <f>IFERROR(IF(VLOOKUP(A547,[5]PRIORIZADOS!$A:$C,3,FALSE)="","",VLOOKUP(A547,[5]PRIORIZADOS!$A:$C,3,FALSE)),"")</f>
        <v>CIUDAD BOLÍVAR</v>
      </c>
      <c r="D547" s="11" t="str">
        <f>IFERROR(IF(VLOOKUP(A547,[5]PRIORIZADOS!$A:$D,4,FALSE)="","",VLOOKUP(A547,[5]PRIORIZADOS!$A:$D,4,FALSE)),"")</f>
        <v>PRIVADO</v>
      </c>
      <c r="E547" s="11" t="str">
        <f>IFERROR(IF(VLOOKUP(A547,[5]PRIORIZADOS!$A:$E,5,FALSE)="","",VLOOKUP(A547,[5]PRIORIZADOS!$A:$E,5,FALSE)),"")</f>
        <v>EPBM</v>
      </c>
      <c r="F547" s="11" t="str">
        <f>IFERROR(IF(VLOOKUP(A547,[5]PRIORIZADOS!$A:$F,6,FALSE)="","",VLOOKUP(A547,[5]PRIORIZADOS!$A:$F,6,FALSE)),"")</f>
        <v>INSTITUTO_JERUSALEN</v>
      </c>
      <c r="G547" s="11" t="str">
        <f>IFERROR(IF(VLOOKUP(A547,[5]PRIORIZADOS!$A:$G,7,FALSE)="","",VLOOKUP(A547,[5]PRIORIZADOS!$A:$G,7,FALSE)),"")</f>
        <v>INSTITUTO JERUSALEN</v>
      </c>
      <c r="H547" s="11" t="str">
        <f>IFERROR(IF(VLOOKUP(A547,[5]PRIORIZADOS!$A:$H,8,FALSE)="","",VLOOKUP(A547,[5]PRIORIZADOS!$A:$H,8,FALSE)),"")</f>
        <v>Autoevaluación Institucional y Pruebas SABER 11</v>
      </c>
      <c r="I547" s="11" t="str">
        <f>IFERROR(IF(VLOOKUP(A547,[5]PRIORIZADOS!$A:$I,9,FALSE)="","",VLOOKUP(A547,[5]PRIORIZADOS!$A:$I,9,FALSE)),"")</f>
        <v>SEGUIMIENTO_Y_SUPERVISIÓN.</v>
      </c>
      <c r="J547" s="11" t="str">
        <f>IFERROR(IF(VLOOKUP(A547,[5]PRIORIZADOS!$A:$J,10,FALSE)="","",VLOOKUP(A547,[5]PRIORIZADOS!$A:$J,10,FALSE)),"")</f>
        <v xml:space="preserve">Verificar la implementación por parte de los colegios, de acciones realizadas para la prevención y atención de las situaciones de convivencia en el entorno escolar, según lo establecido en la Directiva 01 de 2022 del MEN. </v>
      </c>
      <c r="K547" s="11" t="str">
        <f>IFERROR(IF(VLOOKUP(A547,[5]PRIORIZADOS!$A:$K,11,FALSE)="","",VLOOKUP(A547,[5]PRIORIZADOS!$A:$K,11,FALSE)),"")</f>
        <v xml:space="preserve">CLAUDIA DOMÍNGUEZ TORRES </v>
      </c>
      <c r="L547" s="11" t="str">
        <f>IFERROR(IF(VLOOKUP(A547,[5]PRIORIZADOS!$A:$L,12,FALSE)="","",VLOOKUP(A547,[5]PRIORIZADOS!$A:$L,12,FALSE)),"")</f>
        <v>ÓSCAR JAVIER CÁRDENAS MUÑOZ</v>
      </c>
      <c r="M547" s="71">
        <f>IFERROR(IF(VLOOKUP(A547,[5]PRIORIZADOS!$A:$M,13,FALSE)="","",VLOOKUP(A547,[5]PRIORIZADOS!$A:$M,13,FALSE)),"")</f>
        <v>45807</v>
      </c>
      <c r="N547" s="71">
        <f>IFERROR(IF(VLOOKUP(A547,[5]PRIORIZADOS!$A:$N,14,FALSE)="","",VLOOKUP(A547,[5]PRIORIZADOS!$A:$N,14,FALSE)),"")</f>
        <v>45792</v>
      </c>
      <c r="O547" s="71">
        <f>IFERROR(IF(VLOOKUP(A547,[5]PRIORIZADOS!$A:$O,15,FALSE)="","",VLOOKUP(A547,[5]PRIORIZADOS!$A:$O,15,FALSE)),"")</f>
        <v>45792</v>
      </c>
      <c r="P547" s="11" t="str">
        <f>IFERROR(IF(VLOOKUP(A547,[5]PRIORIZADOS!$A:$P,16,FALSE)="","",VLOOKUP(A547,[5]PRIORIZADOS!$A:$P,16,FALSE)),"")</f>
        <v>Visitas de evaluación con fines de mejoramiento</v>
      </c>
      <c r="Q547" s="107" t="s">
        <v>119</v>
      </c>
      <c r="R547" s="11" t="str">
        <f>IFERROR(IF(VLOOKUP(A547,[5]PRIORIZADOS!$A:$R,18,FALSE)="","",VLOOKUP(A547,[5]PRIORIZADOS!$A:$R,18,FALSE)),"")</f>
        <v>Aunque han realizado algunas aciones de promoción y prevención no hay evidencia documental de esto y en el Manual de Convivencia falta incluir los protocolos   en el marco de la Ruta de Atención
Integral de Convivencia Escolar.</v>
      </c>
      <c r="S547" s="11" t="str">
        <f>IFERROR(IF(VLOOKUP(A547,[5]PRIORIZADOS!$A:$S,19,FALSE)="","",VLOOKUP(A547,[5]PRIORIZADOS!$A:$S,19,FALSE)),"")</f>
        <v xml:space="preserve">Actualizar el Manual de Convivencia en función de las acciones de prevención, promoción y atención. Además, documentar debidamente cada acción implementada. </v>
      </c>
      <c r="T547" s="70" t="str">
        <f>IFERROR(IF(VLOOKUP(A547,[5]PRIORIZADOS!$A:$T,20,FALSE)="","",VLOOKUP(A547,[5]PRIORIZADOS!$A:$T,20,FALSE)),"")</f>
        <v>Si</v>
      </c>
      <c r="U547" s="11" t="str">
        <f>IFERROR(IF(VLOOKUP(A547,[5]PRIORIZADOS!$A:$U,21,FALSE)="","",VLOOKUP(A547,[5]PRIORIZADOS!$A:$U,21,FALSE)),"")</f>
        <v>La IE hará entrega del Plan de Mejoramiento el 23/05/2025.
El ELIV realizará seguimiento en septiembre de 2025 para verificar el cumplimiento de las acciones propuestas en el plan de mejoramiento.</v>
      </c>
    </row>
    <row r="548" spans="1:21" s="1" customFormat="1" ht="72">
      <c r="A548" s="69">
        <f>IF([5]PRIORIZADOS!A56="","",[5]PRIORIZADOS!A56)</f>
        <v>556</v>
      </c>
      <c r="B548" s="70">
        <f>IFERROR(IF(VLOOKUP(A548,[5]PRIORIZADOS!$A:$B,2,FALSE)="","",VLOOKUP(A548,[5]PRIORIZADOS!$A:$B,2,FALSE)),"")</f>
        <v>6</v>
      </c>
      <c r="C548" s="11" t="str">
        <f>IFERROR(IF(VLOOKUP(A548,[5]PRIORIZADOS!$A:$C,3,FALSE)="","",VLOOKUP(A548,[5]PRIORIZADOS!$A:$C,3,FALSE)),"")</f>
        <v>CIUDAD BOLÍVAR</v>
      </c>
      <c r="D548" s="11" t="str">
        <f>IFERROR(IF(VLOOKUP(A548,[5]PRIORIZADOS!$A:$D,4,FALSE)="","",VLOOKUP(A548,[5]PRIORIZADOS!$A:$D,4,FALSE)),"")</f>
        <v>PRIVADO</v>
      </c>
      <c r="E548" s="11" t="str">
        <f>IFERROR(IF(VLOOKUP(A548,[5]PRIORIZADOS!$A:$E,5,FALSE)="","",VLOOKUP(A548,[5]PRIORIZADOS!$A:$E,5,FALSE)),"")</f>
        <v>EPBM</v>
      </c>
      <c r="F548" s="11" t="str">
        <f>IFERROR(IF(VLOOKUP(A548,[5]PRIORIZADOS!$A:$F,6,FALSE)="","",VLOOKUP(A548,[5]PRIORIZADOS!$A:$F,6,FALSE)),"")</f>
        <v>INSTITUTO_JERUSALEN</v>
      </c>
      <c r="G548" s="11" t="str">
        <f>IFERROR(IF(VLOOKUP(A548,[5]PRIORIZADOS!$A:$G,7,FALSE)="","",VLOOKUP(A548,[5]PRIORIZADOS!$A:$G,7,FALSE)),"")</f>
        <v>INSTITUTO JERUSALEN</v>
      </c>
      <c r="H548" s="11" t="str">
        <f>IFERROR(IF(VLOOKUP(A548,[5]PRIORIZADOS!$A:$H,8,FALSE)="","",VLOOKUP(A548,[5]PRIORIZADOS!$A:$H,8,FALSE)),"")</f>
        <v>Autoevaluación Institucional y Pruebas SABER 11</v>
      </c>
      <c r="I548" s="11" t="str">
        <f>IFERROR(IF(VLOOKUP(A548,[5]PRIORIZADOS!$A:$I,9,FALSE)="","",VLOOKUP(A548,[5]PRIORIZADOS!$A:$I,9,FALSE)),"")</f>
        <v>SEGUIMIENTO_Y_SUPERVISIÓN.</v>
      </c>
      <c r="J548" s="11" t="str">
        <f>IFERROR(IF(VLOOKUP(A548,[5]PRIORIZADOS!$A:$J,10,FALSE)="","",VLOOKUP(A548,[5]PRIORIZADOS!$A:$J,10,FALSE)),"")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48" s="11" t="str">
        <f>IFERROR(IF(VLOOKUP(A548,[5]PRIORIZADOS!$A:$K,11,FALSE)="","",VLOOKUP(A548,[5]PRIORIZADOS!$A:$K,11,FALSE)),"")</f>
        <v xml:space="preserve">CLAUDIA DOMÍNGUEZ TORRES </v>
      </c>
      <c r="L548" s="11" t="str">
        <f>IFERROR(IF(VLOOKUP(A548,[5]PRIORIZADOS!$A:$L,12,FALSE)="","",VLOOKUP(A548,[5]PRIORIZADOS!$A:$L,12,FALSE)),"")</f>
        <v>ÓSCAR JAVIER CÁRDENAS MUÑOZ</v>
      </c>
      <c r="M548" s="71">
        <f>IFERROR(IF(VLOOKUP(A548,[5]PRIORIZADOS!$A:$M,13,FALSE)="","",VLOOKUP(A548,[5]PRIORIZADOS!$A:$M,13,FALSE)),"")</f>
        <v>45807</v>
      </c>
      <c r="N548" s="71">
        <f>IFERROR(IF(VLOOKUP(A548,[5]PRIORIZADOS!$A:$N,14,FALSE)="","",VLOOKUP(A548,[5]PRIORIZADOS!$A:$N,14,FALSE)),"")</f>
        <v>45792</v>
      </c>
      <c r="O548" s="71">
        <f>IFERROR(IF(VLOOKUP(A548,[5]PRIORIZADOS!$A:$O,15,FALSE)="","",VLOOKUP(A548,[5]PRIORIZADOS!$A:$O,15,FALSE)),"")</f>
        <v>45792</v>
      </c>
      <c r="P548" s="11" t="str">
        <f>IFERROR(IF(VLOOKUP(A548,[5]PRIORIZADOS!$A:$P,16,FALSE)="","",VLOOKUP(A548,[5]PRIORIZADOS!$A:$P,16,FALSE)),"")</f>
        <v>Visitas de evaluación con fines de mejoramiento</v>
      </c>
      <c r="Q548" s="107" t="s">
        <v>119</v>
      </c>
      <c r="R548" s="11" t="str">
        <f>IFERROR(IF(VLOOKUP(A548,[5]PRIORIZADOS!$A:$R,18,FALSE)="","",VLOOKUP(A548,[5]PRIORIZADOS!$A:$R,18,FALSE)),"")</f>
        <v>Tienen caracerizados a dos estudiantes discapacidad que  cuentan con PIAR construido adecuadamente.</v>
      </c>
      <c r="S548" s="11" t="str">
        <f>IFERROR(IF(VLOOKUP(A548,[5]PRIORIZADOS!$A:$S,19,FALSE)="","",VLOOKUP(A548,[5]PRIORIZADOS!$A:$S,19,FALSE)),"")</f>
        <v xml:space="preserve">Continuar con el seguimiento de la ejecución y actualización de los ajustes razonables para los estudiante que lo requieran. Organizar el proceso de identificación de diagnóstico desde la EPS </v>
      </c>
      <c r="T548" s="70" t="str">
        <f>IFERROR(IF(VLOOKUP(A548,[5]PRIORIZADOS!$A:$T,20,FALSE)="","",VLOOKUP(A548,[5]PRIORIZADOS!$A:$T,20,FALSE)),"")</f>
        <v>No</v>
      </c>
      <c r="U548" s="11" t="str">
        <f>IFERROR(IF(VLOOKUP(A548,[5]PRIORIZADOS!$A:$U,21,FALSE)="","",VLOOKUP(A548,[5]PRIORIZADOS!$A:$U,21,FALSE)),"")</f>
        <v xml:space="preserve">Realizar seguimiento en caso de presentarse queja o requerimiento </v>
      </c>
    </row>
    <row r="549" spans="1:21" s="1" customFormat="1" ht="84">
      <c r="A549" s="69">
        <f>IF([5]PRIORIZADOS!A57="","",[5]PRIORIZADOS!A57)</f>
        <v>557</v>
      </c>
      <c r="B549" s="70">
        <f>IFERROR(IF(VLOOKUP(A549,[5]PRIORIZADOS!$A:$B,2,FALSE)="","",VLOOKUP(A549,[5]PRIORIZADOS!$A:$B,2,FALSE)),"")</f>
        <v>6</v>
      </c>
      <c r="C549" s="11" t="str">
        <f>IFERROR(IF(VLOOKUP(A549,[5]PRIORIZADOS!$A:$C,3,FALSE)="","",VLOOKUP(A549,[5]PRIORIZADOS!$A:$C,3,FALSE)),"")</f>
        <v>CIUDAD BOLÍVAR</v>
      </c>
      <c r="D549" s="11" t="str">
        <f>IFERROR(IF(VLOOKUP(A549,[5]PRIORIZADOS!$A:$D,4,FALSE)="","",VLOOKUP(A549,[5]PRIORIZADOS!$A:$D,4,FALSE)),"")</f>
        <v>PRIVADO</v>
      </c>
      <c r="E549" s="11" t="str">
        <f>IFERROR(IF(VLOOKUP(A549,[5]PRIORIZADOS!$A:$E,5,FALSE)="","",VLOOKUP(A549,[5]PRIORIZADOS!$A:$E,5,FALSE)),"")</f>
        <v>EPBM</v>
      </c>
      <c r="F549" s="11" t="str">
        <f>IFERROR(IF(VLOOKUP(A549,[5]PRIORIZADOS!$A:$F,6,FALSE)="","",VLOOKUP(A549,[5]PRIORIZADOS!$A:$F,6,FALSE)),"")</f>
        <v>INSTITUTO_JERUSALEN</v>
      </c>
      <c r="G549" s="11" t="str">
        <f>IFERROR(IF(VLOOKUP(A549,[5]PRIORIZADOS!$A:$G,7,FALSE)="","",VLOOKUP(A549,[5]PRIORIZADOS!$A:$G,7,FALSE)),"")</f>
        <v>INSTITUTO JERUSALEN</v>
      </c>
      <c r="H549" s="11" t="str">
        <f>IFERROR(IF(VLOOKUP(A549,[5]PRIORIZADOS!$A:$H,8,FALSE)="","",VLOOKUP(A549,[5]PRIORIZADOS!$A:$H,8,FALSE)),"")</f>
        <v>Autoevaluación Institucional y Pruebas SABER 11</v>
      </c>
      <c r="I549" s="11" t="str">
        <f>IFERROR(IF(VLOOKUP(A549,[5]PRIORIZADOS!$A:$I,9,FALSE)="","",VLOOKUP(A549,[5]PRIORIZADOS!$A:$I,9,FALSE)),"")</f>
        <v>EVALUACIÓN_CON_FINES_DE_MEJORAMIENTO.</v>
      </c>
      <c r="J549" s="11" t="str">
        <f>IFERROR(IF(VLOOKUP(A549,[5]PRIORIZADOS!$A:$J,10,FALSE)="","",VLOOKUP(A549,[5]PRIORIZADOS!$A:$J,10,FALSE)),"")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49" s="11" t="str">
        <f>IFERROR(IF(VLOOKUP(A549,[5]PRIORIZADOS!$A:$K,11,FALSE)="","",VLOOKUP(A549,[5]PRIORIZADOS!$A:$K,11,FALSE)),"")</f>
        <v xml:space="preserve">CLAUDIA DOMÍNGUEZ TORRES </v>
      </c>
      <c r="L549" s="11" t="str">
        <f>IFERROR(IF(VLOOKUP(A549,[5]PRIORIZADOS!$A:$L,12,FALSE)="","",VLOOKUP(A549,[5]PRIORIZADOS!$A:$L,12,FALSE)),"")</f>
        <v>ÓSCAR JAVIER CÁRDENAS MUÑOZ</v>
      </c>
      <c r="M549" s="71">
        <f>IFERROR(IF(VLOOKUP(A549,[5]PRIORIZADOS!$A:$M,13,FALSE)="","",VLOOKUP(A549,[5]PRIORIZADOS!$A:$M,13,FALSE)),"")</f>
        <v>45807</v>
      </c>
      <c r="N549" s="71">
        <f>IFERROR(IF(VLOOKUP(A549,[5]PRIORIZADOS!$A:$N,14,FALSE)="","",VLOOKUP(A549,[5]PRIORIZADOS!$A:$N,14,FALSE)),"")</f>
        <v>45792</v>
      </c>
      <c r="O549" s="71">
        <f>IFERROR(IF(VLOOKUP(A549,[5]PRIORIZADOS!$A:$O,15,FALSE)="","",VLOOKUP(A549,[5]PRIORIZADOS!$A:$O,15,FALSE)),"")</f>
        <v>45792</v>
      </c>
      <c r="P549" s="11" t="str">
        <f>IFERROR(IF(VLOOKUP(A549,[5]PRIORIZADOS!$A:$P,16,FALSE)="","",VLOOKUP(A549,[5]PRIORIZADOS!$A:$P,16,FALSE)),"")</f>
        <v>Visitas de evaluación con fines de mejoramiento</v>
      </c>
      <c r="Q549" s="107" t="s">
        <v>119</v>
      </c>
      <c r="R549" s="11" t="str">
        <f>IFERROR(IF(VLOOKUP(A549,[5]PRIORIZADOS!$A:$R,18,FALSE)="","",VLOOKUP(A549,[5]PRIORIZADOS!$A:$R,18,FALSE)),"")</f>
        <v xml:space="preserve">Se encuentran procesos convienciales desarollados en el marco del MC; no obstante, no hay evidencia documental suficiente. </v>
      </c>
      <c r="S549" s="11" t="str">
        <f>IFERROR(IF(VLOOKUP(A549,[5]PRIORIZADOS!$A:$S,19,FALSE)="","",VLOOKUP(A549,[5]PRIORIZADOS!$A:$S,19,FALSE)),"")</f>
        <v xml:space="preserve">Actualizar el Manual de Convivencia en función de las acciones de prevención, promoción y atención. Además, documentar debidamente cada acción implementada. </v>
      </c>
      <c r="T549" s="70" t="str">
        <f>IFERROR(IF(VLOOKUP(A549,[5]PRIORIZADOS!$A:$T,20,FALSE)="","",VLOOKUP(A549,[5]PRIORIZADOS!$A:$T,20,FALSE)),"")</f>
        <v>Si</v>
      </c>
      <c r="U549" s="11" t="str">
        <f>IFERROR(IF(VLOOKUP(A549,[5]PRIORIZADOS!$A:$U,21,FALSE)="","",VLOOKUP(A549,[5]PRIORIZADOS!$A:$U,21,FALSE)),"")</f>
        <v>La IE hará entrega del Plan de Mejoramiento el 23/05/2025.
El ELIV realizará seguimiento en septiembre de 2025 para verificar el cumplimiento de las acciones propuestas en el plan de mejoramiento.</v>
      </c>
    </row>
    <row r="550" spans="1:21" s="1" customFormat="1" ht="60">
      <c r="A550" s="69">
        <f>IF([5]PRIORIZADOS!A58="","",[5]PRIORIZADOS!A58)</f>
        <v>558</v>
      </c>
      <c r="B550" s="70">
        <f>IFERROR(IF(VLOOKUP(A550,[5]PRIORIZADOS!$A:$B,2,FALSE)="","",VLOOKUP(A550,[5]PRIORIZADOS!$A:$B,2,FALSE)),"")</f>
        <v>6</v>
      </c>
      <c r="C550" s="11" t="str">
        <f>IFERROR(IF(VLOOKUP(A550,[5]PRIORIZADOS!$A:$C,3,FALSE)="","",VLOOKUP(A550,[5]PRIORIZADOS!$A:$C,3,FALSE)),"")</f>
        <v>CIUDAD BOLÍVAR</v>
      </c>
      <c r="D550" s="11" t="str">
        <f>IFERROR(IF(VLOOKUP(A550,[5]PRIORIZADOS!$A:$D,4,FALSE)="","",VLOOKUP(A550,[5]PRIORIZADOS!$A:$D,4,FALSE)),"")</f>
        <v>PRIVADO</v>
      </c>
      <c r="E550" s="11" t="str">
        <f>IFERROR(IF(VLOOKUP(A550,[5]PRIORIZADOS!$A:$E,5,FALSE)="","",VLOOKUP(A550,[5]PRIORIZADOS!$A:$E,5,FALSE)),"")</f>
        <v>EPBM</v>
      </c>
      <c r="F550" s="11" t="str">
        <f>IFERROR(IF(VLOOKUP(A550,[5]PRIORIZADOS!$A:$F,6,FALSE)="","",VLOOKUP(A550,[5]PRIORIZADOS!$A:$F,6,FALSE)),"")</f>
        <v>INSTITUTO_JERUSALEN</v>
      </c>
      <c r="G550" s="11" t="str">
        <f>IFERROR(IF(VLOOKUP(A550,[5]PRIORIZADOS!$A:$G,7,FALSE)="","",VLOOKUP(A550,[5]PRIORIZADOS!$A:$G,7,FALSE)),"")</f>
        <v>INSTITUTO JERUSALEN</v>
      </c>
      <c r="H550" s="11" t="str">
        <f>IFERROR(IF(VLOOKUP(A550,[5]PRIORIZADOS!$A:$H,8,FALSE)="","",VLOOKUP(A550,[5]PRIORIZADOS!$A:$H,8,FALSE)),"")</f>
        <v>Autoevaluación Institucional y Pruebas SABER 11</v>
      </c>
      <c r="I550" s="11" t="str">
        <f>IFERROR(IF(VLOOKUP(A550,[5]PRIORIZADOS!$A:$I,9,FALSE)="","",VLOOKUP(A550,[5]PRIORIZADOS!$A:$I,9,FALSE)),"")</f>
        <v>EVALUACIÓN_CON_FINES_DE_MEJORAMIENTO.</v>
      </c>
      <c r="J550" s="11" t="str">
        <f>IFERROR(IF(VLOOKUP(A550,[5]PRIORIZADOS!$A:$J,10,FALSE)="","",VLOOKUP(A550,[5]PRIORIZADOS!$A:$J,10,FALSE)),"")</f>
        <v>Revisar la actualización, socialización e implementación del Sistema Institucional de Evaluación de Estudiantes - SIEE, en articulación con la actualización del PEI y la normatividad vigente.</v>
      </c>
      <c r="K550" s="11" t="str">
        <f>IFERROR(IF(VLOOKUP(A550,[5]PRIORIZADOS!$A:$K,11,FALSE)="","",VLOOKUP(A550,[5]PRIORIZADOS!$A:$K,11,FALSE)),"")</f>
        <v xml:space="preserve">CLAUDIA DOMÍNGUEZ TORRES </v>
      </c>
      <c r="L550" s="11" t="str">
        <f>IFERROR(IF(VLOOKUP(A550,[5]PRIORIZADOS!$A:$L,12,FALSE)="","",VLOOKUP(A550,[5]PRIORIZADOS!$A:$L,12,FALSE)),"")</f>
        <v>ÓSCAR JAVIER CÁRDENAS MUÑOZ</v>
      </c>
      <c r="M550" s="71">
        <f>IFERROR(IF(VLOOKUP(A550,[5]PRIORIZADOS!$A:$M,13,FALSE)="","",VLOOKUP(A550,[5]PRIORIZADOS!$A:$M,13,FALSE)),"")</f>
        <v>45807</v>
      </c>
      <c r="N550" s="71">
        <f>IFERROR(IF(VLOOKUP(A550,[5]PRIORIZADOS!$A:$N,14,FALSE)="","",VLOOKUP(A550,[5]PRIORIZADOS!$A:$N,14,FALSE)),"")</f>
        <v>45792</v>
      </c>
      <c r="O550" s="71">
        <f>IFERROR(IF(VLOOKUP(A550,[5]PRIORIZADOS!$A:$O,15,FALSE)="","",VLOOKUP(A550,[5]PRIORIZADOS!$A:$O,15,FALSE)),"")</f>
        <v>45792</v>
      </c>
      <c r="P550" s="11" t="str">
        <f>IFERROR(IF(VLOOKUP(A550,[5]PRIORIZADOS!$A:$P,16,FALSE)="","",VLOOKUP(A550,[5]PRIORIZADOS!$A:$P,16,FALSE)),"")</f>
        <v>Visitas de evaluación con fines de mejoramiento</v>
      </c>
      <c r="Q550" s="107" t="s">
        <v>119</v>
      </c>
      <c r="R550" s="11" t="str">
        <f>IFERROR(IF(VLOOKUP(A550,[5]PRIORIZADOS!$A:$R,18,FALSE)="","",VLOOKUP(A550,[5]PRIORIZADOS!$A:$R,18,FALSE)),"")</f>
        <v>No hay evidencia de la actualización, socialización e implementación del Sistema Institucional de Evaluación de Estudiantes - SIEE. No hay evidencia de la articulación con el PEI</v>
      </c>
      <c r="S550" s="11" t="str">
        <f>IFERROR(IF(VLOOKUP(A550,[5]PRIORIZADOS!$A:$S,19,FALSE)="","",VLOOKUP(A550,[5]PRIORIZADOS!$A:$S,19,FALSE)),"")</f>
        <v>Realizar los respectivos ajustes en el  SIEE para articularlo con el PEI y socializarlo en debida manera con la comunidad educativa.</v>
      </c>
      <c r="T550" s="70" t="str">
        <f>IFERROR(IF(VLOOKUP(A550,[5]PRIORIZADOS!$A:$T,20,FALSE)="","",VLOOKUP(A550,[5]PRIORIZADOS!$A:$T,20,FALSE)),"")</f>
        <v>Si</v>
      </c>
      <c r="U550" s="11" t="str">
        <f>IFERROR(IF(VLOOKUP(A550,[5]PRIORIZADOS!$A:$U,21,FALSE)="","",VLOOKUP(A550,[5]PRIORIZADOS!$A:$U,21,FALSE)),"")</f>
        <v>La IE hará entrega del Plan de Mejoramiento el 23/05/2025.
El ELIV realizará seguimiento en septiembre de 2025 para verificar el cumplimiento de las acciones propuestas en el plan de mejoramiento.</v>
      </c>
    </row>
    <row r="551" spans="1:21" s="1" customFormat="1" ht="48">
      <c r="A551" s="69">
        <f>IF([5]PRIORIZADOS!A59="","",[5]PRIORIZADOS!A59)</f>
        <v>559</v>
      </c>
      <c r="B551" s="70">
        <f>IFERROR(IF(VLOOKUP(A551,[5]PRIORIZADOS!$A:$B,2,FALSE)="","",VLOOKUP(A551,[5]PRIORIZADOS!$A:$B,2,FALSE)),"")</f>
        <v>6</v>
      </c>
      <c r="C551" s="11" t="str">
        <f>IFERROR(IF(VLOOKUP(A551,[5]PRIORIZADOS!$A:$C,3,FALSE)="","",VLOOKUP(A551,[5]PRIORIZADOS!$A:$C,3,FALSE)),"")</f>
        <v>CIUDAD BOLÍVAR</v>
      </c>
      <c r="D551" s="11" t="str">
        <f>IFERROR(IF(VLOOKUP(A551,[5]PRIORIZADOS!$A:$D,4,FALSE)="","",VLOOKUP(A551,[5]PRIORIZADOS!$A:$D,4,FALSE)),"")</f>
        <v>PRIVADO</v>
      </c>
      <c r="E551" s="11" t="str">
        <f>IFERROR(IF(VLOOKUP(A551,[5]PRIORIZADOS!$A:$E,5,FALSE)="","",VLOOKUP(A551,[5]PRIORIZADOS!$A:$E,5,FALSE)),"")</f>
        <v>EPBM</v>
      </c>
      <c r="F551" s="11" t="str">
        <f>IFERROR(IF(VLOOKUP(A551,[5]PRIORIZADOS!$A:$F,6,FALSE)="","",VLOOKUP(A551,[5]PRIORIZADOS!$A:$F,6,FALSE)),"")</f>
        <v>INSTITUTO_JERUSALEN</v>
      </c>
      <c r="G551" s="11" t="str">
        <f>IFERROR(IF(VLOOKUP(A551,[5]PRIORIZADOS!$A:$G,7,FALSE)="","",VLOOKUP(A551,[5]PRIORIZADOS!$A:$G,7,FALSE)),"")</f>
        <v>INSTITUTO JERUSALEN</v>
      </c>
      <c r="H551" s="11" t="str">
        <f>IFERROR(IF(VLOOKUP(A551,[5]PRIORIZADOS!$A:$H,8,FALSE)="","",VLOOKUP(A551,[5]PRIORIZADOS!$A:$H,8,FALSE)),"")</f>
        <v>Autoevaluación Institucional y Pruebas SABER 11</v>
      </c>
      <c r="I551" s="11" t="str">
        <f>IFERROR(IF(VLOOKUP(A551,[5]PRIORIZADOS!$A:$I,9,FALSE)="","",VLOOKUP(A551,[5]PRIORIZADOS!$A:$I,9,FALSE)),"")</f>
        <v>EVALUACIÓN_CON_FINES_DE_MEJORAMIENTO.</v>
      </c>
      <c r="J551" s="11" t="str">
        <f>IFERROR(IF(VLOOKUP(A551,[5]PRIORIZADOS!$A:$J,10,FALSE)="","",VLOOKUP(A551,[5]PRIORIZADOS!$A:$J,10,FALSE)),"")</f>
        <v>Revisar el calendario escolar, jornada escolar, la intensidad horaria mínima anual en cada nivel y las modificaciones que se realicen al mismo, de acuerdo con lo previsto en la normatividad vigente.</v>
      </c>
      <c r="K551" s="11" t="str">
        <f>IFERROR(IF(VLOOKUP(A551,[5]PRIORIZADOS!$A:$K,11,FALSE)="","",VLOOKUP(A551,[5]PRIORIZADOS!$A:$K,11,FALSE)),"")</f>
        <v xml:space="preserve">CLAUDIA DOMÍNGUEZ TORRES </v>
      </c>
      <c r="L551" s="11" t="str">
        <f>IFERROR(IF(VLOOKUP(A551,[5]PRIORIZADOS!$A:$L,12,FALSE)="","",VLOOKUP(A551,[5]PRIORIZADOS!$A:$L,12,FALSE)),"")</f>
        <v>ÓSCAR JAVIER CÁRDENAS MUÑOZ</v>
      </c>
      <c r="M551" s="71">
        <f>IFERROR(IF(VLOOKUP(A551,[5]PRIORIZADOS!$A:$M,13,FALSE)="","",VLOOKUP(A551,[5]PRIORIZADOS!$A:$M,13,FALSE)),"")</f>
        <v>45807</v>
      </c>
      <c r="N551" s="71">
        <f>IFERROR(IF(VLOOKUP(A551,[5]PRIORIZADOS!$A:$N,14,FALSE)="","",VLOOKUP(A551,[5]PRIORIZADOS!$A:$N,14,FALSE)),"")</f>
        <v>45792</v>
      </c>
      <c r="O551" s="71">
        <f>IFERROR(IF(VLOOKUP(A551,[5]PRIORIZADOS!$A:$O,15,FALSE)="","",VLOOKUP(A551,[5]PRIORIZADOS!$A:$O,15,FALSE)),"")</f>
        <v>45792</v>
      </c>
      <c r="P551" s="11" t="str">
        <f>IFERROR(IF(VLOOKUP(A551,[5]PRIORIZADOS!$A:$P,16,FALSE)="","",VLOOKUP(A551,[5]PRIORIZADOS!$A:$P,16,FALSE)),"")</f>
        <v>Visitas de evaluación con fines de mejoramiento</v>
      </c>
      <c r="Q551" s="107" t="s">
        <v>119</v>
      </c>
      <c r="R551" s="11" t="str">
        <f>IFERROR(IF(VLOOKUP(A551,[5]PRIORIZADOS!$A:$R,18,FALSE)="","",VLOOKUP(A551,[5]PRIORIZADOS!$A:$R,18,FALSE)),"")</f>
        <v>Aunque cumplen con la intensidad horaria definida en el Dec 1075/15 no es claro para la IE la organzación de la carga anual para todos los estudiantes.</v>
      </c>
      <c r="S551" s="11" t="str">
        <f>IFERROR(IF(VLOOKUP(A551,[5]PRIORIZADOS!$A:$S,19,FALSE)="","",VLOOKUP(A551,[5]PRIORIZADOS!$A:$S,19,FALSE)),"")</f>
        <v xml:space="preserve">Realizar la debida organización de las carga académica. </v>
      </c>
      <c r="T551" s="70" t="str">
        <f>IFERROR(IF(VLOOKUP(A551,[5]PRIORIZADOS!$A:$T,20,FALSE)="","",VLOOKUP(A551,[5]PRIORIZADOS!$A:$T,20,FALSE)),"")</f>
        <v>Si</v>
      </c>
      <c r="U551" s="11" t="str">
        <f>IFERROR(IF(VLOOKUP(A551,[5]PRIORIZADOS!$A:$U,21,FALSE)="","",VLOOKUP(A551,[5]PRIORIZADOS!$A:$U,21,FALSE)),"")</f>
        <v>La IE hará entrega del Plan de Mejoramiento el 23/05/2025.
El ELIV realizará seguimiento en septiembre de 2025 para verificar el cumplimiento de las acciones propuestas en el plan de mejoramiento.</v>
      </c>
    </row>
    <row r="552" spans="1:21" s="1" customFormat="1" ht="48">
      <c r="A552" s="69">
        <f>IF([5]PRIORIZADOS!A60="","",[5]PRIORIZADOS!A60)</f>
        <v>560</v>
      </c>
      <c r="B552" s="70">
        <f>IFERROR(IF(VLOOKUP(A552,[5]PRIORIZADOS!$A:$B,2,FALSE)="","",VLOOKUP(A552,[5]PRIORIZADOS!$A:$B,2,FALSE)),"")</f>
        <v>6</v>
      </c>
      <c r="C552" s="11" t="str">
        <f>IFERROR(IF(VLOOKUP(A552,[5]PRIORIZADOS!$A:$C,3,FALSE)="","",VLOOKUP(A552,[5]PRIORIZADOS!$A:$C,3,FALSE)),"")</f>
        <v>CIUDAD BOLÍVAR</v>
      </c>
      <c r="D552" s="11" t="str">
        <f>IFERROR(IF(VLOOKUP(A552,[5]PRIORIZADOS!$A:$D,4,FALSE)="","",VLOOKUP(A552,[5]PRIORIZADOS!$A:$D,4,FALSE)),"")</f>
        <v>PRIVADO</v>
      </c>
      <c r="E552" s="11" t="str">
        <f>IFERROR(IF(VLOOKUP(A552,[5]PRIORIZADOS!$A:$E,5,FALSE)="","",VLOOKUP(A552,[5]PRIORIZADOS!$A:$E,5,FALSE)),"")</f>
        <v>EPBM</v>
      </c>
      <c r="F552" s="11" t="str">
        <f>IFERROR(IF(VLOOKUP(A552,[5]PRIORIZADOS!$A:$F,6,FALSE)="","",VLOOKUP(A552,[5]PRIORIZADOS!$A:$F,6,FALSE)),"")</f>
        <v>INSTITUTO_JERUSALEN</v>
      </c>
      <c r="G552" s="11" t="str">
        <f>IFERROR(IF(VLOOKUP(A552,[5]PRIORIZADOS!$A:$G,7,FALSE)="","",VLOOKUP(A552,[5]PRIORIZADOS!$A:$G,7,FALSE)),"")</f>
        <v>INSTITUTO JERUSALEN</v>
      </c>
      <c r="H552" s="11" t="str">
        <f>IFERROR(IF(VLOOKUP(A552,[5]PRIORIZADOS!$A:$H,8,FALSE)="","",VLOOKUP(A552,[5]PRIORIZADOS!$A:$H,8,FALSE)),"")</f>
        <v>Autoevaluación Institucional y Pruebas SABER 11</v>
      </c>
      <c r="I552" s="11" t="str">
        <f>IFERROR(IF(VLOOKUP(A552,[5]PRIORIZADOS!$A:$I,9,FALSE)="","",VLOOKUP(A552,[5]PRIORIZADOS!$A:$I,9,FALSE)),"")</f>
        <v>EVALUACIÓN_CON_FINES_DE_MEJORAMIENTO.</v>
      </c>
      <c r="J552" s="11" t="str">
        <f>IFERROR(IF(VLOOKUP(A552,[5]PRIORIZADOS!$A:$J,10,FALSE)="","",VLOOKUP(A552,[5]PRIORIZADOS!$A:$J,10,FALSE)),"")</f>
        <v>Verificar el funcionamiento del Gobierno Escolar e instancias de participación con base en la información sobre conformación reportada por la institución educativa.</v>
      </c>
      <c r="K552" s="11" t="str">
        <f>IFERROR(IF(VLOOKUP(A552,[5]PRIORIZADOS!$A:$K,11,FALSE)="","",VLOOKUP(A552,[5]PRIORIZADOS!$A:$K,11,FALSE)),"")</f>
        <v xml:space="preserve">CLAUDIA DOMÍNGUEZ TORRES </v>
      </c>
      <c r="L552" s="11" t="str">
        <f>IFERROR(IF(VLOOKUP(A552,[5]PRIORIZADOS!$A:$L,12,FALSE)="","",VLOOKUP(A552,[5]PRIORIZADOS!$A:$L,12,FALSE)),"")</f>
        <v>ÓSCAR JAVIER CÁRDENAS MUÑOZ</v>
      </c>
      <c r="M552" s="71">
        <f>IFERROR(IF(VLOOKUP(A552,[5]PRIORIZADOS!$A:$M,13,FALSE)="","",VLOOKUP(A552,[5]PRIORIZADOS!$A:$M,13,FALSE)),"")</f>
        <v>45807</v>
      </c>
      <c r="N552" s="71">
        <f>IFERROR(IF(VLOOKUP(A552,[5]PRIORIZADOS!$A:$N,14,FALSE)="","",VLOOKUP(A552,[5]PRIORIZADOS!$A:$N,14,FALSE)),"")</f>
        <v>45792</v>
      </c>
      <c r="O552" s="71">
        <f>IFERROR(IF(VLOOKUP(A552,[5]PRIORIZADOS!$A:$O,15,FALSE)="","",VLOOKUP(A552,[5]PRIORIZADOS!$A:$O,15,FALSE)),"")</f>
        <v>45792</v>
      </c>
      <c r="P552" s="11" t="str">
        <f>IFERROR(IF(VLOOKUP(A552,[5]PRIORIZADOS!$A:$P,16,FALSE)="","",VLOOKUP(A552,[5]PRIORIZADOS!$A:$P,16,FALSE)),"")</f>
        <v>Visitas de evaluación con fines de mejoramiento</v>
      </c>
      <c r="Q552" s="107" t="s">
        <v>119</v>
      </c>
      <c r="R552" s="11" t="str">
        <f>IFERROR(IF(VLOOKUP(A552,[5]PRIORIZADOS!$A:$R,18,FALSE)="","",VLOOKUP(A552,[5]PRIORIZADOS!$A:$R,18,FALSE)),"")</f>
        <v>No hay evidencia del funcionamiento del Gobierno Escolar</v>
      </c>
      <c r="S552" s="11" t="str">
        <f>IFERROR(IF(VLOOKUP(A552,[5]PRIORIZADOS!$A:$S,19,FALSE)="","",VLOOKUP(A552,[5]PRIORIZADOS!$A:$S,19,FALSE)),"")</f>
        <v>Activar y garantizar  el funcionamiento de todas los estamentos del Gobierno Escolar</v>
      </c>
      <c r="T552" s="70" t="str">
        <f>IFERROR(IF(VLOOKUP(A552,[5]PRIORIZADOS!$A:$T,20,FALSE)="","",VLOOKUP(A552,[5]PRIORIZADOS!$A:$T,20,FALSE)),"")</f>
        <v>Si</v>
      </c>
      <c r="U552" s="11" t="str">
        <f>IFERROR(IF(VLOOKUP(A552,[5]PRIORIZADOS!$A:$U,21,FALSE)="","",VLOOKUP(A552,[5]PRIORIZADOS!$A:$U,21,FALSE)),"")</f>
        <v>La IE hará entrega del Plan de Mejoramiento el 23/05/2025.
El ELIV realizará seguimiento en septiembre de 2025 para verificar el cumplimiento de las acciones propuestas en el plan de mejoramiento.</v>
      </c>
    </row>
    <row r="553" spans="1:21" s="1" customFormat="1" ht="48">
      <c r="A553" s="69">
        <f>IF([5]PRIORIZADOS!A61="","",[5]PRIORIZADOS!A61)</f>
        <v>561</v>
      </c>
      <c r="B553" s="70">
        <f>IFERROR(IF(VLOOKUP(A553,[5]PRIORIZADOS!$A:$B,2,FALSE)="","",VLOOKUP(A553,[5]PRIORIZADOS!$A:$B,2,FALSE)),"")</f>
        <v>6</v>
      </c>
      <c r="C553" s="11" t="str">
        <f>IFERROR(IF(VLOOKUP(A553,[5]PRIORIZADOS!$A:$C,3,FALSE)="","",VLOOKUP(A553,[5]PRIORIZADOS!$A:$C,3,FALSE)),"")</f>
        <v>CIUDAD BOLÍVAR</v>
      </c>
      <c r="D553" s="11" t="str">
        <f>IFERROR(IF(VLOOKUP(A553,[5]PRIORIZADOS!$A:$D,4,FALSE)="","",VLOOKUP(A553,[5]PRIORIZADOS!$A:$D,4,FALSE)),"")</f>
        <v>PRIVADO</v>
      </c>
      <c r="E553" s="11" t="str">
        <f>IFERROR(IF(VLOOKUP(A553,[5]PRIORIZADOS!$A:$E,5,FALSE)="","",VLOOKUP(A553,[5]PRIORIZADOS!$A:$E,5,FALSE)),"")</f>
        <v>EPBM</v>
      </c>
      <c r="F553" s="11" t="str">
        <f>IFERROR(IF(VLOOKUP(A553,[5]PRIORIZADOS!$A:$F,6,FALSE)="","",VLOOKUP(A553,[5]PRIORIZADOS!$A:$F,6,FALSE)),"")</f>
        <v>INSTITUTO_JERUSALEN</v>
      </c>
      <c r="G553" s="11" t="str">
        <f>IFERROR(IF(VLOOKUP(A553,[5]PRIORIZADOS!$A:$G,7,FALSE)="","",VLOOKUP(A553,[5]PRIORIZADOS!$A:$G,7,FALSE)),"")</f>
        <v>INSTITUTO JERUSALEN</v>
      </c>
      <c r="H553" s="11" t="str">
        <f>IFERROR(IF(VLOOKUP(A553,[5]PRIORIZADOS!$A:$H,8,FALSE)="","",VLOOKUP(A553,[5]PRIORIZADOS!$A:$H,8,FALSE)),"")</f>
        <v>Autoevaluación Institucional y Pruebas SABER 11</v>
      </c>
      <c r="I553" s="11" t="str">
        <f>IFERROR(IF(VLOOKUP(A553,[5]PRIORIZADOS!$A:$I,9,FALSE)="","",VLOOKUP(A553,[5]PRIORIZADOS!$A:$I,9,FALSE)),"")</f>
        <v>EVALUACIÓN_CON_FINES_DE_MEJORAMIENTO.</v>
      </c>
      <c r="J553" s="11" t="str">
        <f>IFERROR(IF(VLOOKUP(A553,[5]PRIORIZADOS!$A:$J,10,FALSE)="","",VLOOKUP(A553,[5]PRIORIZADOS!$A:$J,10,FALSE)),"")</f>
        <v>Verificar las condiciones en cuanto a: la estructura administrativa, condiciones de la planta física y medios educativos adecuados.</v>
      </c>
      <c r="K553" s="11" t="str">
        <f>IFERROR(IF(VLOOKUP(A553,[5]PRIORIZADOS!$A:$K,11,FALSE)="","",VLOOKUP(A553,[5]PRIORIZADOS!$A:$K,11,FALSE)),"")</f>
        <v xml:space="preserve">CLAUDIA DOMÍNGUEZ TORRES </v>
      </c>
      <c r="L553" s="11" t="str">
        <f>IFERROR(IF(VLOOKUP(A553,[5]PRIORIZADOS!$A:$L,12,FALSE)="","",VLOOKUP(A553,[5]PRIORIZADOS!$A:$L,12,FALSE)),"")</f>
        <v>ÓSCAR JAVIER CÁRDENAS MUÑOZ</v>
      </c>
      <c r="M553" s="71">
        <f>IFERROR(IF(VLOOKUP(A553,[5]PRIORIZADOS!$A:$M,13,FALSE)="","",VLOOKUP(A553,[5]PRIORIZADOS!$A:$M,13,FALSE)),"")</f>
        <v>45807</v>
      </c>
      <c r="N553" s="71">
        <f>IFERROR(IF(VLOOKUP(A553,[5]PRIORIZADOS!$A:$N,14,FALSE)="","",VLOOKUP(A553,[5]PRIORIZADOS!$A:$N,14,FALSE)),"")</f>
        <v>45792</v>
      </c>
      <c r="O553" s="71">
        <f>IFERROR(IF(VLOOKUP(A553,[5]PRIORIZADOS!$A:$O,15,FALSE)="","",VLOOKUP(A553,[5]PRIORIZADOS!$A:$O,15,FALSE)),"")</f>
        <v>45792</v>
      </c>
      <c r="P553" s="11" t="str">
        <f>IFERROR(IF(VLOOKUP(A553,[5]PRIORIZADOS!$A:$P,16,FALSE)="","",VLOOKUP(A553,[5]PRIORIZADOS!$A:$P,16,FALSE)),"")</f>
        <v>Visitas de evaluación con fines de mejoramiento</v>
      </c>
      <c r="Q553" s="107" t="s">
        <v>119</v>
      </c>
      <c r="R553" s="11" t="str">
        <f>IFERROR(IF(VLOOKUP(A553,[5]PRIORIZADOS!$A:$R,18,FALSE)="","",VLOOKUP(A553,[5]PRIORIZADOS!$A:$R,18,FALSE)),"")</f>
        <v xml:space="preserve">No se evidencia, condiciones de suficiencia, organización, gestión y control de la organziación administrativa, locativa , de recursos y medios </v>
      </c>
      <c r="S553" s="11" t="str">
        <f>IFERROR(IF(VLOOKUP(A553,[5]PRIORIZADOS!$A:$S,19,FALSE)="","",VLOOKUP(A553,[5]PRIORIZADOS!$A:$S,19,FALSE)),"")</f>
        <v>Definir acciones de mejoramiento de acuerdo con las observaciones presentadas en el desarrollo de la visita incluidas en el acta.</v>
      </c>
      <c r="T553" s="70" t="str">
        <f>IFERROR(IF(VLOOKUP(A553,[5]PRIORIZADOS!$A:$T,20,FALSE)="","",VLOOKUP(A553,[5]PRIORIZADOS!$A:$T,20,FALSE)),"")</f>
        <v>Si</v>
      </c>
      <c r="U553" s="11" t="str">
        <f>IFERROR(IF(VLOOKUP(A553,[5]PRIORIZADOS!$A:$U,21,FALSE)="","",VLOOKUP(A553,[5]PRIORIZADOS!$A:$U,21,FALSE)),"")</f>
        <v>La IE hará entrega del Plan de Mejoramiento el 23/05/2025.
El ELIV realizará seguimiento en septiembre de 2025 para verificar el cumplimiento de las acciones propuestas en el plan de mejoramiento.</v>
      </c>
    </row>
    <row r="554" spans="1:21" s="1" customFormat="1" ht="84">
      <c r="A554" s="69">
        <f>IF([5]PRIORIZADOS!A62="","",[5]PRIORIZADOS!A62)</f>
        <v>562</v>
      </c>
      <c r="B554" s="70">
        <f>IFERROR(IF(VLOOKUP(A554,[5]PRIORIZADOS!$A:$B,2,FALSE)="","",VLOOKUP(A554,[5]PRIORIZADOS!$A:$B,2,FALSE)),"")</f>
        <v>7</v>
      </c>
      <c r="C554" s="11" t="str">
        <f>IFERROR(IF(VLOOKUP(A554,[5]PRIORIZADOS!$A:$C,3,FALSE)="","",VLOOKUP(A554,[5]PRIORIZADOS!$A:$C,3,FALSE)),"")</f>
        <v>CIUDAD BOLÍVAR</v>
      </c>
      <c r="D554" s="11" t="str">
        <f>IFERROR(IF(VLOOKUP(A554,[5]PRIORIZADOS!$A:$D,4,FALSE)="","",VLOOKUP(A554,[5]PRIORIZADOS!$A:$D,4,FALSE)),"")</f>
        <v>PRIVADO</v>
      </c>
      <c r="E554" s="11" t="str">
        <f>IFERROR(IF(VLOOKUP(A554,[5]PRIORIZADOS!$A:$E,5,FALSE)="","",VLOOKUP(A554,[5]PRIORIZADOS!$A:$E,5,FALSE)),"")</f>
        <v>EPBM</v>
      </c>
      <c r="F554" s="11" t="str">
        <f>IFERROR(IF(VLOOKUP(A554,[5]PRIORIZADOS!$A:$F,6,FALSE)="","",VLOOKUP(A554,[5]PRIORIZADOS!$A:$F,6,FALSE)),"")</f>
        <v>COLEGIO_SOLES_DEL_SABER</v>
      </c>
      <c r="G554" s="11" t="str">
        <f>IFERROR(IF(VLOOKUP(A554,[5]PRIORIZADOS!$A:$G,7,FALSE)="","",VLOOKUP(A554,[5]PRIORIZADOS!$A:$G,7,FALSE)),"")</f>
        <v>COLEGIO SOLES DEL SABER</v>
      </c>
      <c r="H554" s="11" t="str">
        <f>IFERROR(IF(VLOOKUP(A554,[5]PRIORIZADOS!$A:$H,8,FALSE)="","",VLOOKUP(A554,[5]PRIORIZADOS!$A:$H,8,FALSE)),"")</f>
        <v>Autoevaluación Institucional y Pruebas SABER 11</v>
      </c>
      <c r="I554" s="11" t="str">
        <f>IFERROR(IF(VLOOKUP(A554,[5]PRIORIZADOS!$A:$I,9,FALSE)="","",VLOOKUP(A554,[5]PRIORIZADOS!$A:$I,9,FALSE)),"")</f>
        <v>SEGUIMIENTO_Y_SUPERVISIÓN.</v>
      </c>
      <c r="J554" s="11" t="str">
        <f>IFERROR(IF(VLOOKUP(A554,[5]PRIORIZADOS!$A:$J,10,FALSE)="","",VLOOKUP(A554,[5]PRIORIZADOS!$A:$J,10,FALSE)),"")</f>
        <v>Realizar visitas para verificar la información registrada sobre la autoevaluación institucional en el aplicativo EVI, a los establecimientos de educación formal no oficial.</v>
      </c>
      <c r="K554" s="11" t="str">
        <f>IFERROR(IF(VLOOKUP(A554,[5]PRIORIZADOS!$A:$K,11,FALSE)="","",VLOOKUP(A554,[5]PRIORIZADOS!$A:$K,11,FALSE)),"")</f>
        <v xml:space="preserve">JUDITH SOLANO RAMÍREZ </v>
      </c>
      <c r="L554" s="11" t="str">
        <f>IFERROR(IF(VLOOKUP(A554,[5]PRIORIZADOS!$A:$L,12,FALSE)="","",VLOOKUP(A554,[5]PRIORIZADOS!$A:$L,12,FALSE)),"")</f>
        <v xml:space="preserve">MARIA NANCY DUCUARA </v>
      </c>
      <c r="M554" s="71">
        <f>IFERROR(IF(VLOOKUP(A554,[5]PRIORIZADOS!$A:$M,13,FALSE)="","",VLOOKUP(A554,[5]PRIORIZADOS!$A:$M,13,FALSE)),"")</f>
        <v>45827</v>
      </c>
      <c r="N554" s="71">
        <f>IFERROR(IF(VLOOKUP(A554,[5]PRIORIZADOS!$A:$N,14,FALSE)="","",VLOOKUP(A554,[5]PRIORIZADOS!$A:$N,14,FALSE)),"")</f>
        <v>45847</v>
      </c>
      <c r="O554" s="71">
        <f>IFERROR(IF(VLOOKUP(A554,[5]PRIORIZADOS!$A:$O,15,FALSE)="","",VLOOKUP(A554,[5]PRIORIZADOS!$A:$O,15,FALSE)),"")</f>
        <v>45847</v>
      </c>
      <c r="P554" s="11" t="str">
        <f>IFERROR(IF(VLOOKUP(A554,[5]PRIORIZADOS!$A:$P,16,FALSE)="","",VLOOKUP(A554,[5]PRIORIZADOS!$A:$P,16,FALSE)),"")</f>
        <v>Visitas de evaluación con fines de mejoramiento</v>
      </c>
      <c r="Q554" s="2" t="s">
        <v>120</v>
      </c>
      <c r="R554" s="11" t="str">
        <f>IFERROR(IF(VLOOKUP(A554,[5]PRIORIZADOS!$A:$R,18,FALSE)="","",VLOOKUP(A554,[5]PRIORIZADOS!$A:$R,18,FALSE)),"")</f>
        <v xml:space="preserve"> - La IE cuenta con un predio que no está incluido en la licencia de funcionamiento.
 - La información relacionada en EVI sobre la formación de los docentes no coincide con lo encontrado en la verificación documental realizada.
</v>
      </c>
      <c r="S554" s="11" t="str">
        <f>IFERROR(IF(VLOOKUP(A554,[5]PRIORIZADOS!$A:$S,19,FALSE)="","",VLOOKUP(A554,[5]PRIORIZADOS!$A:$S,19,FALSE)),"")</f>
        <v>Solicitar la modificación de la licencia de funcionamiento para incluir el tercer predio que fue englobado.
.Aportar título profesional de los cuatro docentes que se encuentran en formación.</v>
      </c>
      <c r="T554" s="70" t="str">
        <f>IFERROR(IF(VLOOKUP(A554,[5]PRIORIZADOS!$A:$T,20,FALSE)="","",VLOOKUP(A554,[5]PRIORIZADOS!$A:$T,20,FALSE)),"")</f>
        <v>Si</v>
      </c>
      <c r="U554" s="11" t="str">
        <f>IFERROR(IF(VLOOKUP(A554,[5]PRIORIZADOS!$A:$U,21,FALSE)="","",VLOOKUP(A554,[5]PRIORIZADOS!$A:$U,21,FALSE)),"")</f>
        <v>Revisión documental en el mes de octubre de 2025 para verificar el cumplimiento de las acciones establecidas en el plan de mejoramiento.</v>
      </c>
    </row>
    <row r="555" spans="1:21" s="1" customFormat="1" ht="72">
      <c r="A555" s="69">
        <f>IF([5]PRIORIZADOS!A63="","",[5]PRIORIZADOS!A63)</f>
        <v>563</v>
      </c>
      <c r="B555" s="70">
        <f>IFERROR(IF(VLOOKUP(A555,[5]PRIORIZADOS!$A:$B,2,FALSE)="","",VLOOKUP(A555,[5]PRIORIZADOS!$A:$B,2,FALSE)),"")</f>
        <v>7</v>
      </c>
      <c r="C555" s="11" t="str">
        <f>IFERROR(IF(VLOOKUP(A555,[5]PRIORIZADOS!$A:$C,3,FALSE)="","",VLOOKUP(A555,[5]PRIORIZADOS!$A:$C,3,FALSE)),"")</f>
        <v>CIUDAD BOLÍVAR</v>
      </c>
      <c r="D555" s="11" t="str">
        <f>IFERROR(IF(VLOOKUP(A555,[5]PRIORIZADOS!$A:$D,4,FALSE)="","",VLOOKUP(A555,[5]PRIORIZADOS!$A:$D,4,FALSE)),"")</f>
        <v>PRIVADO</v>
      </c>
      <c r="E555" s="11" t="str">
        <f>IFERROR(IF(VLOOKUP(A555,[5]PRIORIZADOS!$A:$E,5,FALSE)="","",VLOOKUP(A555,[5]PRIORIZADOS!$A:$E,5,FALSE)),"")</f>
        <v>EPBM</v>
      </c>
      <c r="F555" s="11" t="str">
        <f>IFERROR(IF(VLOOKUP(A555,[5]PRIORIZADOS!$A:$F,6,FALSE)="","",VLOOKUP(A555,[5]PRIORIZADOS!$A:$F,6,FALSE)),"")</f>
        <v>COLEGIO_SOLES_DEL_SABER</v>
      </c>
      <c r="G555" s="11" t="str">
        <f>IFERROR(IF(VLOOKUP(A555,[5]PRIORIZADOS!$A:$G,7,FALSE)="","",VLOOKUP(A555,[5]PRIORIZADOS!$A:$G,7,FALSE)),"")</f>
        <v>COLEGIO SOLES DEL SABER</v>
      </c>
      <c r="H555" s="11" t="str">
        <f>IFERROR(IF(VLOOKUP(A555,[5]PRIORIZADOS!$A:$H,8,FALSE)="","",VLOOKUP(A555,[5]PRIORIZADOS!$A:$H,8,FALSE)),"")</f>
        <v>Autoevaluación Institucional y Pruebas SABER 11</v>
      </c>
      <c r="I555" s="11" t="str">
        <f>IFERROR(IF(VLOOKUP(A555,[5]PRIORIZADOS!$A:$I,9,FALSE)="","",VLOOKUP(A555,[5]PRIORIZADOS!$A:$I,9,FALSE)),"")</f>
        <v>SEGUIMIENTO_Y_SUPERVISIÓN.</v>
      </c>
      <c r="J555" s="11" t="str">
        <f>IFERROR(IF(VLOOKUP(A555,[5]PRIORIZADOS!$A:$J,10,FALSE)="","",VLOOKUP(A555,[5]PRIORIZADOS!$A:$J,10,FALSE)),"")</f>
        <v>Proponer estrategias en la formulación, verificar su elaboración y realizar seguimiento semestral al desarrollo de  las acciones establecidas en los planes de mejoramiento por pruebas SABER 11 de los establecimientos de educación formal.</v>
      </c>
      <c r="K555" s="11" t="str">
        <f>IFERROR(IF(VLOOKUP(A555,[5]PRIORIZADOS!$A:$K,11,FALSE)="","",VLOOKUP(A555,[5]PRIORIZADOS!$A:$K,11,FALSE)),"")</f>
        <v xml:space="preserve">JUDITH SOLANO RAMÍREZ </v>
      </c>
      <c r="L555" s="11" t="str">
        <f>IFERROR(IF(VLOOKUP(A555,[5]PRIORIZADOS!$A:$L,12,FALSE)="","",VLOOKUP(A555,[5]PRIORIZADOS!$A:$L,12,FALSE)),"")</f>
        <v xml:space="preserve">MARIA NANCY DUCUARA </v>
      </c>
      <c r="M555" s="71">
        <f>IFERROR(IF(VLOOKUP(A555,[5]PRIORIZADOS!$A:$M,13,FALSE)="","",VLOOKUP(A555,[5]PRIORIZADOS!$A:$M,13,FALSE)),"")</f>
        <v>45827</v>
      </c>
      <c r="N555" s="71">
        <f>IFERROR(IF(VLOOKUP(A555,[5]PRIORIZADOS!$A:$N,14,FALSE)="","",VLOOKUP(A555,[5]PRIORIZADOS!$A:$N,14,FALSE)),"")</f>
        <v>45847</v>
      </c>
      <c r="O555" s="71">
        <f>IFERROR(IF(VLOOKUP(A555,[5]PRIORIZADOS!$A:$O,15,FALSE)="","",VLOOKUP(A555,[5]PRIORIZADOS!$A:$O,15,FALSE)),"")</f>
        <v>45847</v>
      </c>
      <c r="P555" s="11" t="str">
        <f>IFERROR(IF(VLOOKUP(A555,[5]PRIORIZADOS!$A:$P,16,FALSE)="","",VLOOKUP(A555,[5]PRIORIZADOS!$A:$P,16,FALSE)),"")</f>
        <v>Visitas de evaluación con fines de mejoramiento</v>
      </c>
      <c r="Q555" s="61" t="s">
        <v>120</v>
      </c>
      <c r="R555" s="11" t="str">
        <f>IFERROR(IF(VLOOKUP(A555,[5]PRIORIZADOS!$A:$R,18,FALSE)="","",VLOOKUP(A555,[5]PRIORIZADOS!$A:$R,18,FALSE)),"")</f>
        <v xml:space="preserve">Aunque la IE presenta actas de seguimiento y análisis de resultados y plan de mejoramiento, no se encontraron evidencias de la implementación de las estrategias formuladas como resultado del análisis. </v>
      </c>
      <c r="S555" s="11" t="str">
        <f>IFERROR(IF(VLOOKUP(A555,[5]PRIORIZADOS!$A:$S,19,FALSE)="","",VLOOKUP(A555,[5]PRIORIZADOS!$A:$S,19,FALSE)),"")</f>
        <v>Realizar adecuaciones al Currículo  y al Plan de Estudios teniendo en cuenta los resultados de las pruebas ICFES.
Presentar evidencias de la puesta en marcha de las estrategias formuladas en el análisis de los resultados</v>
      </c>
      <c r="T555" s="70" t="str">
        <f>IFERROR(IF(VLOOKUP(A555,[5]PRIORIZADOS!$A:$T,20,FALSE)="","",VLOOKUP(A555,[5]PRIORIZADOS!$A:$T,20,FALSE)),"")</f>
        <v>Si</v>
      </c>
      <c r="U555" s="11" t="str">
        <f>IFERROR(IF(VLOOKUP(A555,[5]PRIORIZADOS!$A:$U,21,FALSE)="","",VLOOKUP(A555,[5]PRIORIZADOS!$A:$U,21,FALSE)),"")</f>
        <v>Revisión documental en el mes de octubre de 2025 para verificar el cumplimiento de las acciones establecidas en el plan de mejoramiento.</v>
      </c>
    </row>
    <row r="556" spans="1:21" s="1" customFormat="1" ht="142.5">
      <c r="A556" s="69">
        <f>IF([5]PRIORIZADOS!A64="","",[5]PRIORIZADOS!A64)</f>
        <v>564</v>
      </c>
      <c r="B556" s="70">
        <f>IFERROR(IF(VLOOKUP(A556,[5]PRIORIZADOS!$A:$B,2,FALSE)="","",VLOOKUP(A556,[5]PRIORIZADOS!$A:$B,2,FALSE)),"")</f>
        <v>7</v>
      </c>
      <c r="C556" s="11" t="str">
        <f>IFERROR(IF(VLOOKUP(A556,[5]PRIORIZADOS!$A:$C,3,FALSE)="","",VLOOKUP(A556,[5]PRIORIZADOS!$A:$C,3,FALSE)),"")</f>
        <v>CIUDAD BOLÍVAR</v>
      </c>
      <c r="D556" s="11" t="str">
        <f>IFERROR(IF(VLOOKUP(A556,[5]PRIORIZADOS!$A:$D,4,FALSE)="","",VLOOKUP(A556,[5]PRIORIZADOS!$A:$D,4,FALSE)),"")</f>
        <v>PRIVADO</v>
      </c>
      <c r="E556" s="11" t="str">
        <f>IFERROR(IF(VLOOKUP(A556,[5]PRIORIZADOS!$A:$E,5,FALSE)="","",VLOOKUP(A556,[5]PRIORIZADOS!$A:$E,5,FALSE)),"")</f>
        <v>EPBM</v>
      </c>
      <c r="F556" s="11" t="str">
        <f>IFERROR(IF(VLOOKUP(A556,[5]PRIORIZADOS!$A:$F,6,FALSE)="","",VLOOKUP(A556,[5]PRIORIZADOS!$A:$F,6,FALSE)),"")</f>
        <v>COLEGIO_SOLES_DEL_SABER</v>
      </c>
      <c r="G556" s="11" t="str">
        <f>IFERROR(IF(VLOOKUP(A556,[5]PRIORIZADOS!$A:$G,7,FALSE)="","",VLOOKUP(A556,[5]PRIORIZADOS!$A:$G,7,FALSE)),"")</f>
        <v>COLEGIO SOLES DEL SABER</v>
      </c>
      <c r="H556" s="11" t="str">
        <f>IFERROR(IF(VLOOKUP(A556,[5]PRIORIZADOS!$A:$H,8,FALSE)="","",VLOOKUP(A556,[5]PRIORIZADOS!$A:$H,8,FALSE)),"")</f>
        <v>Autoevaluación Institucional y Pruebas SABER 11</v>
      </c>
      <c r="I556" s="11" t="str">
        <f>IFERROR(IF(VLOOKUP(A556,[5]PRIORIZADOS!$A:$I,9,FALSE)="","",VLOOKUP(A556,[5]PRIORIZADOS!$A:$I,9,FALSE)),"")</f>
        <v>SEGUIMIENTO_Y_SUPERVISIÓN.</v>
      </c>
      <c r="J556" s="11" t="str">
        <f>IFERROR(IF(VLOOKUP(A556,[5]PRIORIZADOS!$A:$J,10,FALSE)="","",VLOOKUP(A556,[5]PRIORIZADOS!$A:$J,10,FALSE)),"")</f>
        <v xml:space="preserve">Verificar la implementación por parte de los colegios, de acciones realizadas para la prevención y atención de las situaciones de convivencia en el entorno escolar, según lo establecido en la Directiva 01 de 2022 del MEN. </v>
      </c>
      <c r="K556" s="11" t="str">
        <f>IFERROR(IF(VLOOKUP(A556,[5]PRIORIZADOS!$A:$K,11,FALSE)="","",VLOOKUP(A556,[5]PRIORIZADOS!$A:$K,11,FALSE)),"")</f>
        <v xml:space="preserve">JUDITH SOLANO RAMÍREZ </v>
      </c>
      <c r="L556" s="11" t="str">
        <f>IFERROR(IF(VLOOKUP(A556,[5]PRIORIZADOS!$A:$L,12,FALSE)="","",VLOOKUP(A556,[5]PRIORIZADOS!$A:$L,12,FALSE)),"")</f>
        <v xml:space="preserve">MARIA NANCY DUCUARA </v>
      </c>
      <c r="M556" s="71">
        <f>IFERROR(IF(VLOOKUP(A556,[5]PRIORIZADOS!$A:$M,13,FALSE)="","",VLOOKUP(A556,[5]PRIORIZADOS!$A:$M,13,FALSE)),"")</f>
        <v>45827</v>
      </c>
      <c r="N556" s="71">
        <f>IFERROR(IF(VLOOKUP(A556,[5]PRIORIZADOS!$A:$N,14,FALSE)="","",VLOOKUP(A556,[5]PRIORIZADOS!$A:$N,14,FALSE)),"")</f>
        <v>45847</v>
      </c>
      <c r="O556" s="71">
        <f>IFERROR(IF(VLOOKUP(A556,[5]PRIORIZADOS!$A:$O,15,FALSE)="","",VLOOKUP(A556,[5]PRIORIZADOS!$A:$O,15,FALSE)),"")</f>
        <v>45847</v>
      </c>
      <c r="P556" s="11" t="str">
        <f>IFERROR(IF(VLOOKUP(A556,[5]PRIORIZADOS!$A:$P,16,FALSE)="","",VLOOKUP(A556,[5]PRIORIZADOS!$A:$P,16,FALSE)),"")</f>
        <v>Visitas de evaluación con fines de mejoramiento</v>
      </c>
      <c r="Q556" s="61" t="s">
        <v>120</v>
      </c>
      <c r="R556" s="11" t="str">
        <f>IFERROR(IF(VLOOKUP(A556,[5]PRIORIZADOS!$A:$R,18,FALSE)="","",VLOOKUP(A556,[5]PRIORIZADOS!$A:$R,18,FALSE)),"")</f>
        <v>La IE realiza la verificación periódica de las inhabilidades a los docentes, no al personal administrativo y de servicios generales.
No se encontraron evidencias de la operatividad del Comité de Convivencia Escolar.</v>
      </c>
      <c r="S556" s="11" t="str">
        <f>IFERROR(IF(VLOOKUP(A556,[5]PRIORIZADOS!$A:$S,19,FALSE)="","",VLOOKUP(A556,[5]PRIORIZADOS!$A:$S,19,FALSE)),"")</f>
        <v xml:space="preserve"> Realizar la verificación periódica de los antecedentes de delitos sexuales a todas las personas vinculadas a la IE (docentes, administrativos y servicios generales). .
 Activar la ruta de atención integral una vez tenga conocimiento de una situación que afecta la convivencia escolar, dando cumplimiento a las actividades que apliquen en los protocolos establecidos.
 Incluir actividades de promoción y prevención de violencia sexual en el Proyecto de Sexualidad.</v>
      </c>
      <c r="T556" s="70" t="str">
        <f>IFERROR(IF(VLOOKUP(A556,[5]PRIORIZADOS!$A:$T,20,FALSE)="","",VLOOKUP(A556,[5]PRIORIZADOS!$A:$T,20,FALSE)),"")</f>
        <v>Si</v>
      </c>
      <c r="U556" s="11" t="str">
        <f>IFERROR(IF(VLOOKUP(A556,[5]PRIORIZADOS!$A:$U,21,FALSE)="","",VLOOKUP(A556,[5]PRIORIZADOS!$A:$U,21,FALSE)),"")</f>
        <v>Revisión documental en el mes de octubre de 2025 para verificar el cumplimiento de las acciones establecidas en el plan de mejoramiento.</v>
      </c>
    </row>
    <row r="557" spans="1:21" s="1" customFormat="1" ht="118.5">
      <c r="A557" s="69">
        <f>IF([5]PRIORIZADOS!A65="","",[5]PRIORIZADOS!A65)</f>
        <v>565</v>
      </c>
      <c r="B557" s="70">
        <f>IFERROR(IF(VLOOKUP(A557,[5]PRIORIZADOS!$A:$B,2,FALSE)="","",VLOOKUP(A557,[5]PRIORIZADOS!$A:$B,2,FALSE)),"")</f>
        <v>7</v>
      </c>
      <c r="C557" s="11" t="str">
        <f>IFERROR(IF(VLOOKUP(A557,[5]PRIORIZADOS!$A:$C,3,FALSE)="","",VLOOKUP(A557,[5]PRIORIZADOS!$A:$C,3,FALSE)),"")</f>
        <v>CIUDAD BOLÍVAR</v>
      </c>
      <c r="D557" s="11" t="str">
        <f>IFERROR(IF(VLOOKUP(A557,[5]PRIORIZADOS!$A:$D,4,FALSE)="","",VLOOKUP(A557,[5]PRIORIZADOS!$A:$D,4,FALSE)),"")</f>
        <v>PRIVADO</v>
      </c>
      <c r="E557" s="11" t="str">
        <f>IFERROR(IF(VLOOKUP(A557,[5]PRIORIZADOS!$A:$E,5,FALSE)="","",VLOOKUP(A557,[5]PRIORIZADOS!$A:$E,5,FALSE)),"")</f>
        <v>EPBM</v>
      </c>
      <c r="F557" s="11" t="str">
        <f>IFERROR(IF(VLOOKUP(A557,[5]PRIORIZADOS!$A:$F,6,FALSE)="","",VLOOKUP(A557,[5]PRIORIZADOS!$A:$F,6,FALSE)),"")</f>
        <v>COLEGIO_SOLES_DEL_SABER</v>
      </c>
      <c r="G557" s="11" t="str">
        <f>IFERROR(IF(VLOOKUP(A557,[5]PRIORIZADOS!$A:$G,7,FALSE)="","",VLOOKUP(A557,[5]PRIORIZADOS!$A:$G,7,FALSE)),"")</f>
        <v>COLEGIO SOLES DEL SABER</v>
      </c>
      <c r="H557" s="11" t="str">
        <f>IFERROR(IF(VLOOKUP(A557,[5]PRIORIZADOS!$A:$H,8,FALSE)="","",VLOOKUP(A557,[5]PRIORIZADOS!$A:$H,8,FALSE)),"")</f>
        <v>Autoevaluación Institucional y Pruebas SABER 11</v>
      </c>
      <c r="I557" s="11" t="str">
        <f>IFERROR(IF(VLOOKUP(A557,[5]PRIORIZADOS!$A:$I,9,FALSE)="","",VLOOKUP(A557,[5]PRIORIZADOS!$A:$I,9,FALSE)),"")</f>
        <v>SEGUIMIENTO_Y_SUPERVISIÓN.</v>
      </c>
      <c r="J557" s="11" t="str">
        <f>IFERROR(IF(VLOOKUP(A557,[5]PRIORIZADOS!$A:$J,10,FALSE)="","",VLOOKUP(A557,[5]PRIORIZADOS!$A:$J,10,FALSE)),"")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57" s="11" t="str">
        <f>IFERROR(IF(VLOOKUP(A557,[5]PRIORIZADOS!$A:$K,11,FALSE)="","",VLOOKUP(A557,[5]PRIORIZADOS!$A:$K,11,FALSE)),"")</f>
        <v xml:space="preserve">JUDITH SOLANO RAMÍREZ </v>
      </c>
      <c r="L557" s="11" t="str">
        <f>IFERROR(IF(VLOOKUP(A557,[5]PRIORIZADOS!$A:$L,12,FALSE)="","",VLOOKUP(A557,[5]PRIORIZADOS!$A:$L,12,FALSE)),"")</f>
        <v xml:space="preserve">MARIA NANCY DUCUARA </v>
      </c>
      <c r="M557" s="71">
        <f>IFERROR(IF(VLOOKUP(A557,[5]PRIORIZADOS!$A:$M,13,FALSE)="","",VLOOKUP(A557,[5]PRIORIZADOS!$A:$M,13,FALSE)),"")</f>
        <v>45827</v>
      </c>
      <c r="N557" s="71">
        <f>IFERROR(IF(VLOOKUP(A557,[5]PRIORIZADOS!$A:$N,14,FALSE)="","",VLOOKUP(A557,[5]PRIORIZADOS!$A:$N,14,FALSE)),"")</f>
        <v>45847</v>
      </c>
      <c r="O557" s="71">
        <f>IFERROR(IF(VLOOKUP(A557,[5]PRIORIZADOS!$A:$O,15,FALSE)="","",VLOOKUP(A557,[5]PRIORIZADOS!$A:$O,15,FALSE)),"")</f>
        <v>45847</v>
      </c>
      <c r="P557" s="11" t="str">
        <f>IFERROR(IF(VLOOKUP(A557,[5]PRIORIZADOS!$A:$P,16,FALSE)="","",VLOOKUP(A557,[5]PRIORIZADOS!$A:$P,16,FALSE)),"")</f>
        <v>Visitas de evaluación con fines de mejoramiento</v>
      </c>
      <c r="Q557" s="61" t="s">
        <v>120</v>
      </c>
      <c r="R557" s="11" t="str">
        <f>IFERROR(IF(VLOOKUP(A557,[5]PRIORIZADOS!$A:$R,18,FALSE)="","",VLOOKUP(A557,[5]PRIORIZADOS!$A:$R,18,FALSE)),"")</f>
        <v>Se encontraron evidencias (Anexos1, 2 y 3 V14 del MEN) de la elaboración de PIAR tanto para estudiantes con trastornos de aprendizaje como para estudiantes con discapacidad, sin embargo falta documentar acciones.
Existe inconsistencia en el número reportado en el simat de estudiantes de inclusión con el número real atendido por la IE.</v>
      </c>
      <c r="S557" s="11" t="str">
        <f>IFERROR(IF(VLOOKUP(A557,[5]PRIORIZADOS!$A:$S,19,FALSE)="","",VLOOKUP(A557,[5]PRIORIZADOS!$A:$S,19,FALSE)),"")</f>
        <v xml:space="preserve"> Revisar la información reportada en SIMAT, dadas las discrepancias en el número de estudiantes caracterizados con trastornos.
 Documentar el proceso de flexibilización para que se evidencia claramente los ajustes realizados de acuerdo con la condición de cada estudiante.</v>
      </c>
      <c r="T557" s="70" t="str">
        <f>IFERROR(IF(VLOOKUP(A557,[5]PRIORIZADOS!$A:$T,20,FALSE)="","",VLOOKUP(A557,[5]PRIORIZADOS!$A:$T,20,FALSE)),"")</f>
        <v>Si</v>
      </c>
      <c r="U557" s="11" t="str">
        <f>IFERROR(IF(VLOOKUP(A557,[5]PRIORIZADOS!$A:$U,21,FALSE)="","",VLOOKUP(A557,[5]PRIORIZADOS!$A:$U,21,FALSE)),"")</f>
        <v>Revisión documental en el mes de octubre de 2025 para verificar el cumplimiento de las acciones establecidas en el plan de mejoramiento.</v>
      </c>
    </row>
    <row r="558" spans="1:21" s="1" customFormat="1" ht="96">
      <c r="A558" s="69">
        <f>IF([5]PRIORIZADOS!A66="","",[5]PRIORIZADOS!A66)</f>
        <v>566</v>
      </c>
      <c r="B558" s="70">
        <f>IFERROR(IF(VLOOKUP(A558,[5]PRIORIZADOS!$A:$B,2,FALSE)="","",VLOOKUP(A558,[5]PRIORIZADOS!$A:$B,2,FALSE)),"")</f>
        <v>7</v>
      </c>
      <c r="C558" s="11" t="str">
        <f>IFERROR(IF(VLOOKUP(A558,[5]PRIORIZADOS!$A:$C,3,FALSE)="","",VLOOKUP(A558,[5]PRIORIZADOS!$A:$C,3,FALSE)),"")</f>
        <v>CIUDAD BOLÍVAR</v>
      </c>
      <c r="D558" s="11" t="str">
        <f>IFERROR(IF(VLOOKUP(A558,[5]PRIORIZADOS!$A:$D,4,FALSE)="","",VLOOKUP(A558,[5]PRIORIZADOS!$A:$D,4,FALSE)),"")</f>
        <v>PRIVADO</v>
      </c>
      <c r="E558" s="11" t="str">
        <f>IFERROR(IF(VLOOKUP(A558,[5]PRIORIZADOS!$A:$E,5,FALSE)="","",VLOOKUP(A558,[5]PRIORIZADOS!$A:$E,5,FALSE)),"")</f>
        <v>EPBM</v>
      </c>
      <c r="F558" s="11" t="str">
        <f>IFERROR(IF(VLOOKUP(A558,[5]PRIORIZADOS!$A:$F,6,FALSE)="","",VLOOKUP(A558,[5]PRIORIZADOS!$A:$F,6,FALSE)),"")</f>
        <v>COLEGIO_SOLES_DEL_SABER</v>
      </c>
      <c r="G558" s="11" t="str">
        <f>IFERROR(IF(VLOOKUP(A558,[5]PRIORIZADOS!$A:$G,7,FALSE)="","",VLOOKUP(A558,[5]PRIORIZADOS!$A:$G,7,FALSE)),"")</f>
        <v>COLEGIO SOLES DEL SABER</v>
      </c>
      <c r="H558" s="11" t="str">
        <f>IFERROR(IF(VLOOKUP(A558,[5]PRIORIZADOS!$A:$H,8,FALSE)="","",VLOOKUP(A558,[5]PRIORIZADOS!$A:$H,8,FALSE)),"")</f>
        <v>Autoevaluación Institucional y Pruebas SABER 11</v>
      </c>
      <c r="I558" s="11" t="str">
        <f>IFERROR(IF(VLOOKUP(A558,[5]PRIORIZADOS!$A:$I,9,FALSE)="","",VLOOKUP(A558,[5]PRIORIZADOS!$A:$I,9,FALSE)),"")</f>
        <v>EVALUACIÓN_CON_FINES_DE_MEJORAMIENTO.</v>
      </c>
      <c r="J558" s="11" t="str">
        <f>IFERROR(IF(VLOOKUP(A558,[5]PRIORIZADOS!$A:$J,10,FALSE)="","",VLOOKUP(A558,[5]PRIORIZADOS!$A:$J,10,FALSE)),"")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58" s="11" t="str">
        <f>IFERROR(IF(VLOOKUP(A558,[5]PRIORIZADOS!$A:$K,11,FALSE)="","",VLOOKUP(A558,[5]PRIORIZADOS!$A:$K,11,FALSE)),"")</f>
        <v xml:space="preserve">JUDITH SOLANO RAMÍREZ </v>
      </c>
      <c r="L558" s="11" t="str">
        <f>IFERROR(IF(VLOOKUP(A558,[5]PRIORIZADOS!$A:$L,12,FALSE)="","",VLOOKUP(A558,[5]PRIORIZADOS!$A:$L,12,FALSE)),"")</f>
        <v xml:space="preserve">MARIA NANCY DUCUARA </v>
      </c>
      <c r="M558" s="71">
        <f>IFERROR(IF(VLOOKUP(A558,[5]PRIORIZADOS!$A:$M,13,FALSE)="","",VLOOKUP(A558,[5]PRIORIZADOS!$A:$M,13,FALSE)),"")</f>
        <v>45827</v>
      </c>
      <c r="N558" s="71">
        <f>IFERROR(IF(VLOOKUP(A558,[5]PRIORIZADOS!$A:$N,14,FALSE)="","",VLOOKUP(A558,[5]PRIORIZADOS!$A:$N,14,FALSE)),"")</f>
        <v>45847</v>
      </c>
      <c r="O558" s="71">
        <f>IFERROR(IF(VLOOKUP(A558,[5]PRIORIZADOS!$A:$O,15,FALSE)="","",VLOOKUP(A558,[5]PRIORIZADOS!$A:$O,15,FALSE)),"")</f>
        <v>45847</v>
      </c>
      <c r="P558" s="11" t="str">
        <f>IFERROR(IF(VLOOKUP(A558,[5]PRIORIZADOS!$A:$P,16,FALSE)="","",VLOOKUP(A558,[5]PRIORIZADOS!$A:$P,16,FALSE)),"")</f>
        <v>Visitas de evaluación con fines de mejoramiento</v>
      </c>
      <c r="Q558" s="61" t="s">
        <v>120</v>
      </c>
      <c r="R558" s="11" t="str">
        <f>IFERROR(IF(VLOOKUP(A558,[5]PRIORIZADOS!$A:$R,18,FALSE)="","",VLOOKUP(A558,[5]PRIORIZADOS!$A:$R,18,FALSE)),"")</f>
        <v>La IE no presentó evidencias que permitan determinar que:
 El Manual de Convivencia haya sido construido y adoptado de forma participativa.
 No se evidencia el enfoque restaurativo.</v>
      </c>
      <c r="S558" s="11" t="str">
        <f>IFERROR(IF(VLOOKUP(A558,[5]PRIORIZADOS!$A:$S,19,FALSE)="","",VLOOKUP(A558,[5]PRIORIZADOS!$A:$S,19,FALSE)),"")</f>
        <v xml:space="preserve">Constituir las evidencias de la participación de la participación de todos los estamentos de la comunidad educativa en la elaboración  y adopción del Manual de Convivencia.
 Desarrollar el enfoque restaurativo en el manual de convivencia.
</v>
      </c>
      <c r="T558" s="70" t="str">
        <f>IFERROR(IF(VLOOKUP(A558,[5]PRIORIZADOS!$A:$T,20,FALSE)="","",VLOOKUP(A558,[5]PRIORIZADOS!$A:$T,20,FALSE)),"")</f>
        <v>Si</v>
      </c>
      <c r="U558" s="11" t="str">
        <f>IFERROR(IF(VLOOKUP(A558,[5]PRIORIZADOS!$A:$U,21,FALSE)="","",VLOOKUP(A558,[5]PRIORIZADOS!$A:$U,21,FALSE)),"")</f>
        <v>Revisión documental en el mes de octubre de 2025 para verificar el cumplimiento de las acciones establecidas en el plan de mejoramiento.</v>
      </c>
    </row>
    <row r="559" spans="1:21" s="1" customFormat="1" ht="154.5">
      <c r="A559" s="69">
        <f>IF([5]PRIORIZADOS!A67="","",[5]PRIORIZADOS!A67)</f>
        <v>567</v>
      </c>
      <c r="B559" s="70">
        <f>IFERROR(IF(VLOOKUP(A559,[5]PRIORIZADOS!$A:$B,2,FALSE)="","",VLOOKUP(A559,[5]PRIORIZADOS!$A:$B,2,FALSE)),"")</f>
        <v>7</v>
      </c>
      <c r="C559" s="11" t="str">
        <f>IFERROR(IF(VLOOKUP(A559,[5]PRIORIZADOS!$A:$C,3,FALSE)="","",VLOOKUP(A559,[5]PRIORIZADOS!$A:$C,3,FALSE)),"")</f>
        <v>CIUDAD BOLÍVAR</v>
      </c>
      <c r="D559" s="11" t="str">
        <f>IFERROR(IF(VLOOKUP(A559,[5]PRIORIZADOS!$A:$D,4,FALSE)="","",VLOOKUP(A559,[5]PRIORIZADOS!$A:$D,4,FALSE)),"")</f>
        <v>PRIVADO</v>
      </c>
      <c r="E559" s="11" t="str">
        <f>IFERROR(IF(VLOOKUP(A559,[5]PRIORIZADOS!$A:$E,5,FALSE)="","",VLOOKUP(A559,[5]PRIORIZADOS!$A:$E,5,FALSE)),"")</f>
        <v>EPBM</v>
      </c>
      <c r="F559" s="11" t="str">
        <f>IFERROR(IF(VLOOKUP(A559,[5]PRIORIZADOS!$A:$F,6,FALSE)="","",VLOOKUP(A559,[5]PRIORIZADOS!$A:$F,6,FALSE)),"")</f>
        <v>COLEGIO_SOLES_DEL_SABER</v>
      </c>
      <c r="G559" s="11" t="str">
        <f>IFERROR(IF(VLOOKUP(A559,[5]PRIORIZADOS!$A:$G,7,FALSE)="","",VLOOKUP(A559,[5]PRIORIZADOS!$A:$G,7,FALSE)),"")</f>
        <v>COLEGIO SOLES DEL SABER</v>
      </c>
      <c r="H559" s="11" t="str">
        <f>IFERROR(IF(VLOOKUP(A559,[5]PRIORIZADOS!$A:$H,8,FALSE)="","",VLOOKUP(A559,[5]PRIORIZADOS!$A:$H,8,FALSE)),"")</f>
        <v>Autoevaluación Institucional y Pruebas SABER 11</v>
      </c>
      <c r="I559" s="11" t="str">
        <f>IFERROR(IF(VLOOKUP(A559,[5]PRIORIZADOS!$A:$I,9,FALSE)="","",VLOOKUP(A559,[5]PRIORIZADOS!$A:$I,9,FALSE)),"")</f>
        <v>EVALUACIÓN_CON_FINES_DE_MEJORAMIENTO.</v>
      </c>
      <c r="J559" s="11" t="str">
        <f>IFERROR(IF(VLOOKUP(A559,[5]PRIORIZADOS!$A:$J,10,FALSE)="","",VLOOKUP(A559,[5]PRIORIZADOS!$A:$J,10,FALSE)),"")</f>
        <v>Revisar la actualización, socialización e implementación del Sistema Institucional de Evaluación de Estudiantes - SIEE, en articulación con la actualización del PEI y la normatividad vigente.</v>
      </c>
      <c r="K559" s="11" t="str">
        <f>IFERROR(IF(VLOOKUP(A559,[5]PRIORIZADOS!$A:$K,11,FALSE)="","",VLOOKUP(A559,[5]PRIORIZADOS!$A:$K,11,FALSE)),"")</f>
        <v xml:space="preserve">JUDITH SOLANO RAMÍREZ </v>
      </c>
      <c r="L559" s="11" t="str">
        <f>IFERROR(IF(VLOOKUP(A559,[5]PRIORIZADOS!$A:$L,12,FALSE)="","",VLOOKUP(A559,[5]PRIORIZADOS!$A:$L,12,FALSE)),"")</f>
        <v xml:space="preserve">MARIA NANCY DUCUARA </v>
      </c>
      <c r="M559" s="71">
        <f>IFERROR(IF(VLOOKUP(A559,[5]PRIORIZADOS!$A:$M,13,FALSE)="","",VLOOKUP(A559,[5]PRIORIZADOS!$A:$M,13,FALSE)),"")</f>
        <v>45827</v>
      </c>
      <c r="N559" s="71">
        <f>IFERROR(IF(VLOOKUP(A559,[5]PRIORIZADOS!$A:$N,14,FALSE)="","",VLOOKUP(A559,[5]PRIORIZADOS!$A:$N,14,FALSE)),"")</f>
        <v>45847</v>
      </c>
      <c r="O559" s="71">
        <f>IFERROR(IF(VLOOKUP(A559,[5]PRIORIZADOS!$A:$O,15,FALSE)="","",VLOOKUP(A559,[5]PRIORIZADOS!$A:$O,15,FALSE)),"")</f>
        <v>45847</v>
      </c>
      <c r="P559" s="11" t="str">
        <f>IFERROR(IF(VLOOKUP(A559,[5]PRIORIZADOS!$A:$P,16,FALSE)="","",VLOOKUP(A559,[5]PRIORIZADOS!$A:$P,16,FALSE)),"")</f>
        <v>Visitas de evaluación con fines de mejoramiento</v>
      </c>
      <c r="Q559" s="61" t="s">
        <v>120</v>
      </c>
      <c r="R559" s="11" t="str">
        <f>IFERROR(IF(VLOOKUP(A559,[5]PRIORIZADOS!$A:$R,18,FALSE)="","",VLOOKUP(A559,[5]PRIORIZADOS!$A:$R,18,FALSE)),"")</f>
        <v>La IE presenta documento SIEE actualizado e implementado acorde con su PEI. Sin embargo presenta inconsistencias ya que no hay procedimiento para las reclamaciones. La valoración de las nivelaciones es ambiguo. Las comisiones de evaluación no tienen reglamento.</v>
      </c>
      <c r="S559" s="11" t="str">
        <f>IFERROR(IF(VLOOKUP(A559,[5]PRIORIZADOS!$A:$S,19,FALSE)="","",VLOOKUP(A559,[5]PRIORIZADOS!$A:$S,19,FALSE)),"")</f>
        <v xml:space="preserve"> Definir el procedimiento para la presentación de reclamaciones.
 Eliminar del SIEE el requisito de excelencia académica para ser proclamado como bachiller.
 Modificar la valoración de las nivelaciones que comprende un 50% escrito y un 50% de sustentación.
 Revisar la conformación y las funciones de las Comisiones de Evaluación y Promoción, de manera que se aplique lo establecido en el PEI y en la normatividad vigente.</v>
      </c>
      <c r="T559" s="70" t="str">
        <f>IFERROR(IF(VLOOKUP(A559,[5]PRIORIZADOS!$A:$T,20,FALSE)="","",VLOOKUP(A559,[5]PRIORIZADOS!$A:$T,20,FALSE)),"")</f>
        <v>Si</v>
      </c>
      <c r="U559" s="11" t="str">
        <f>IFERROR(IF(VLOOKUP(A559,[5]PRIORIZADOS!$A:$U,21,FALSE)="","",VLOOKUP(A559,[5]PRIORIZADOS!$A:$U,21,FALSE)),"")</f>
        <v>Revisión documental en el mes de octubre de 2025 para verificar el cumplimiento de las acciones establecidas en el plan de mejoramiento.</v>
      </c>
    </row>
    <row r="560" spans="1:21" s="1" customFormat="1" ht="107.25">
      <c r="A560" s="69">
        <f>IF([5]PRIORIZADOS!A68="","",[5]PRIORIZADOS!A68)</f>
        <v>568</v>
      </c>
      <c r="B560" s="70">
        <f>IFERROR(IF(VLOOKUP(A560,[5]PRIORIZADOS!$A:$B,2,FALSE)="","",VLOOKUP(A560,[5]PRIORIZADOS!$A:$B,2,FALSE)),"")</f>
        <v>7</v>
      </c>
      <c r="C560" s="11" t="str">
        <f>IFERROR(IF(VLOOKUP(A560,[5]PRIORIZADOS!$A:$C,3,FALSE)="","",VLOOKUP(A560,[5]PRIORIZADOS!$A:$C,3,FALSE)),"")</f>
        <v>CIUDAD BOLÍVAR</v>
      </c>
      <c r="D560" s="11" t="str">
        <f>IFERROR(IF(VLOOKUP(A560,[5]PRIORIZADOS!$A:$D,4,FALSE)="","",VLOOKUP(A560,[5]PRIORIZADOS!$A:$D,4,FALSE)),"")</f>
        <v>PRIVADO</v>
      </c>
      <c r="E560" s="11" t="str">
        <f>IFERROR(IF(VLOOKUP(A560,[5]PRIORIZADOS!$A:$E,5,FALSE)="","",VLOOKUP(A560,[5]PRIORIZADOS!$A:$E,5,FALSE)),"")</f>
        <v>EPBM</v>
      </c>
      <c r="F560" s="11" t="str">
        <f>IFERROR(IF(VLOOKUP(A560,[5]PRIORIZADOS!$A:$F,6,FALSE)="","",VLOOKUP(A560,[5]PRIORIZADOS!$A:$F,6,FALSE)),"")</f>
        <v>COLEGIO_SOLES_DEL_SABER</v>
      </c>
      <c r="G560" s="11" t="str">
        <f>IFERROR(IF(VLOOKUP(A560,[5]PRIORIZADOS!$A:$G,7,FALSE)="","",VLOOKUP(A560,[5]PRIORIZADOS!$A:$G,7,FALSE)),"")</f>
        <v>COLEGIO SOLES DEL SABER</v>
      </c>
      <c r="H560" s="11" t="str">
        <f>IFERROR(IF(VLOOKUP(A560,[5]PRIORIZADOS!$A:$H,8,FALSE)="","",VLOOKUP(A560,[5]PRIORIZADOS!$A:$H,8,FALSE)),"")</f>
        <v>Autoevaluación Institucional y Pruebas SABER 11</v>
      </c>
      <c r="I560" s="11" t="str">
        <f>IFERROR(IF(VLOOKUP(A560,[5]PRIORIZADOS!$A:$I,9,FALSE)="","",VLOOKUP(A560,[5]PRIORIZADOS!$A:$I,9,FALSE)),"")</f>
        <v>EVALUACIÓN_CON_FINES_DE_MEJORAMIENTO.</v>
      </c>
      <c r="J560" s="11" t="str">
        <f>IFERROR(IF(VLOOKUP(A560,[5]PRIORIZADOS!$A:$J,10,FALSE)="","",VLOOKUP(A560,[5]PRIORIZADOS!$A:$J,10,FALSE)),"")</f>
        <v>Revisar el calendario escolar, jornada escolar, la intensidad horaria mínima anual en cada nivel y las modificaciones que se realicen al mismo, de acuerdo con lo previsto en la normatividad vigente.</v>
      </c>
      <c r="K560" s="11" t="str">
        <f>IFERROR(IF(VLOOKUP(A560,[5]PRIORIZADOS!$A:$K,11,FALSE)="","",VLOOKUP(A560,[5]PRIORIZADOS!$A:$K,11,FALSE)),"")</f>
        <v xml:space="preserve">JUDITH SOLANO RAMÍREZ </v>
      </c>
      <c r="L560" s="11" t="str">
        <f>IFERROR(IF(VLOOKUP(A560,[5]PRIORIZADOS!$A:$L,12,FALSE)="","",VLOOKUP(A560,[5]PRIORIZADOS!$A:$L,12,FALSE)),"")</f>
        <v xml:space="preserve">MARIA NANCY DUCUARA </v>
      </c>
      <c r="M560" s="71">
        <f>IFERROR(IF(VLOOKUP(A560,[5]PRIORIZADOS!$A:$M,13,FALSE)="","",VLOOKUP(A560,[5]PRIORIZADOS!$A:$M,13,FALSE)),"")</f>
        <v>45827</v>
      </c>
      <c r="N560" s="71">
        <f>IFERROR(IF(VLOOKUP(A560,[5]PRIORIZADOS!$A:$N,14,FALSE)="","",VLOOKUP(A560,[5]PRIORIZADOS!$A:$N,14,FALSE)),"")</f>
        <v>45847</v>
      </c>
      <c r="O560" s="71">
        <f>IFERROR(IF(VLOOKUP(A560,[5]PRIORIZADOS!$A:$O,15,FALSE)="","",VLOOKUP(A560,[5]PRIORIZADOS!$A:$O,15,FALSE)),"")</f>
        <v>45847</v>
      </c>
      <c r="P560" s="11" t="str">
        <f>IFERROR(IF(VLOOKUP(A560,[5]PRIORIZADOS!$A:$P,16,FALSE)="","",VLOOKUP(A560,[5]PRIORIZADOS!$A:$P,16,FALSE)),"")</f>
        <v>Visitas de evaluación con fines de mejoramiento</v>
      </c>
      <c r="Q560" s="61" t="s">
        <v>120</v>
      </c>
      <c r="R560" s="11" t="str">
        <f>IFERROR(IF(VLOOKUP(A560,[5]PRIORIZADOS!$A:$R,18,FALSE)="","",VLOOKUP(A560,[5]PRIORIZADOS!$A:$R,18,FALSE)),"")</f>
        <v>En el Calendario Académico se identificó que las fechas de inicio y finalización, así como las horas de llegada y salida reportadas al Nivel Central de la SED  no coinciden con el documento aportado para la visita. No presentan Circular a Padres de Familia. Se evidencia que no se está dando cumplimiento a las 40 semanas establecidas en la normatividad vigente</v>
      </c>
      <c r="S560" s="11" t="str">
        <f>IFERROR(IF(VLOOKUP(A560,[5]PRIORIZADOS!$A:$S,19,FALSE)="","",VLOOKUP(A560,[5]PRIORIZADOS!$A:$S,19,FALSE)),"")</f>
        <v>Realizar las correcciones correspondientes en el Calendario Académico para dar cumplimiento a la normatividad establecida respecto a las semanas e intensidad horaria mínima.</v>
      </c>
      <c r="T560" s="70" t="str">
        <f>IFERROR(IF(VLOOKUP(A560,[5]PRIORIZADOS!$A:$T,20,FALSE)="","",VLOOKUP(A560,[5]PRIORIZADOS!$A:$T,20,FALSE)),"")</f>
        <v>Si</v>
      </c>
      <c r="U560" s="11" t="str">
        <f>IFERROR(IF(VLOOKUP(A560,[5]PRIORIZADOS!$A:$U,21,FALSE)="","",VLOOKUP(A560,[5]PRIORIZADOS!$A:$U,21,FALSE)),"")</f>
        <v>Revisión documental en el mes de octubre de 2025 para verificar el cumplimiento de las acciones establecidas en el plan de mejoramiento.</v>
      </c>
    </row>
    <row r="561" spans="1:21" s="1" customFormat="1" ht="48">
      <c r="A561" s="69">
        <f>IF([5]PRIORIZADOS!A69="","",[5]PRIORIZADOS!A69)</f>
        <v>569</v>
      </c>
      <c r="B561" s="70">
        <f>IFERROR(IF(VLOOKUP(A561,[5]PRIORIZADOS!$A:$B,2,FALSE)="","",VLOOKUP(A561,[5]PRIORIZADOS!$A:$B,2,FALSE)),"")</f>
        <v>7</v>
      </c>
      <c r="C561" s="11" t="str">
        <f>IFERROR(IF(VLOOKUP(A561,[5]PRIORIZADOS!$A:$C,3,FALSE)="","",VLOOKUP(A561,[5]PRIORIZADOS!$A:$C,3,FALSE)),"")</f>
        <v>CIUDAD BOLÍVAR</v>
      </c>
      <c r="D561" s="11" t="str">
        <f>IFERROR(IF(VLOOKUP(A561,[5]PRIORIZADOS!$A:$D,4,FALSE)="","",VLOOKUP(A561,[5]PRIORIZADOS!$A:$D,4,FALSE)),"")</f>
        <v>PRIVADO</v>
      </c>
      <c r="E561" s="11" t="str">
        <f>IFERROR(IF(VLOOKUP(A561,[5]PRIORIZADOS!$A:$E,5,FALSE)="","",VLOOKUP(A561,[5]PRIORIZADOS!$A:$E,5,FALSE)),"")</f>
        <v>EPBM</v>
      </c>
      <c r="F561" s="11" t="str">
        <f>IFERROR(IF(VLOOKUP(A561,[5]PRIORIZADOS!$A:$F,6,FALSE)="","",VLOOKUP(A561,[5]PRIORIZADOS!$A:$F,6,FALSE)),"")</f>
        <v>COLEGIO_SOLES_DEL_SABER</v>
      </c>
      <c r="G561" s="11" t="str">
        <f>IFERROR(IF(VLOOKUP(A561,[5]PRIORIZADOS!$A:$G,7,FALSE)="","",VLOOKUP(A561,[5]PRIORIZADOS!$A:$G,7,FALSE)),"")</f>
        <v>COLEGIO SOLES DEL SABER</v>
      </c>
      <c r="H561" s="11" t="str">
        <f>IFERROR(IF(VLOOKUP(A561,[5]PRIORIZADOS!$A:$H,8,FALSE)="","",VLOOKUP(A561,[5]PRIORIZADOS!$A:$H,8,FALSE)),"")</f>
        <v>Autoevaluación Institucional y Pruebas SABER 11</v>
      </c>
      <c r="I561" s="11" t="str">
        <f>IFERROR(IF(VLOOKUP(A561,[5]PRIORIZADOS!$A:$I,9,FALSE)="","",VLOOKUP(A561,[5]PRIORIZADOS!$A:$I,9,FALSE)),"")</f>
        <v>EVALUACIÓN_CON_FINES_DE_MEJORAMIENTO.</v>
      </c>
      <c r="J561" s="11" t="str">
        <f>IFERROR(IF(VLOOKUP(A561,[5]PRIORIZADOS!$A:$J,10,FALSE)="","",VLOOKUP(A561,[5]PRIORIZADOS!$A:$J,10,FALSE)),"")</f>
        <v>Verificar el funcionamiento del Gobierno Escolar e instancias de participación con base en la información sobre conformación reportada por la institución educativa.</v>
      </c>
      <c r="K561" s="11" t="str">
        <f>IFERROR(IF(VLOOKUP(A561,[5]PRIORIZADOS!$A:$K,11,FALSE)="","",VLOOKUP(A561,[5]PRIORIZADOS!$A:$K,11,FALSE)),"")</f>
        <v xml:space="preserve">JUDITH SOLANO RAMÍREZ </v>
      </c>
      <c r="L561" s="11" t="str">
        <f>IFERROR(IF(VLOOKUP(A561,[5]PRIORIZADOS!$A:$L,12,FALSE)="","",VLOOKUP(A561,[5]PRIORIZADOS!$A:$L,12,FALSE)),"")</f>
        <v xml:space="preserve">MARIA NANCY DUCUARA </v>
      </c>
      <c r="M561" s="71">
        <f>IFERROR(IF(VLOOKUP(A561,[5]PRIORIZADOS!$A:$M,13,FALSE)="","",VLOOKUP(A561,[5]PRIORIZADOS!$A:$M,13,FALSE)),"")</f>
        <v>45827</v>
      </c>
      <c r="N561" s="71">
        <f>IFERROR(IF(VLOOKUP(A561,[5]PRIORIZADOS!$A:$N,14,FALSE)="","",VLOOKUP(A561,[5]PRIORIZADOS!$A:$N,14,FALSE)),"")</f>
        <v>45847</v>
      </c>
      <c r="O561" s="71">
        <f>IFERROR(IF(VLOOKUP(A561,[5]PRIORIZADOS!$A:$O,15,FALSE)="","",VLOOKUP(A561,[5]PRIORIZADOS!$A:$O,15,FALSE)),"")</f>
        <v>45847</v>
      </c>
      <c r="P561" s="11" t="str">
        <f>IFERROR(IF(VLOOKUP(A561,[5]PRIORIZADOS!$A:$P,16,FALSE)="","",VLOOKUP(A561,[5]PRIORIZADOS!$A:$P,16,FALSE)),"")</f>
        <v>Visitas de evaluación con fines de mejoramiento</v>
      </c>
      <c r="Q561" s="61" t="s">
        <v>120</v>
      </c>
      <c r="R561" s="11" t="str">
        <f>IFERROR(IF(VLOOKUP(A561,[5]PRIORIZADOS!$A:$R,18,FALSE)="","",VLOOKUP(A561,[5]PRIORIZADOS!$A:$R,18,FALSE)),"")</f>
        <v>La IE no presenta evidencias de la operatividad de ninguno de los órganos del Gobierno Escolar ni de las instancias de participación.</v>
      </c>
      <c r="S561" s="11" t="str">
        <f>IFERROR(IF(VLOOKUP(A561,[5]PRIORIZADOS!$A:$S,19,FALSE)="","",VLOOKUP(A561,[5]PRIORIZADOS!$A:$S,19,FALSE)),"")</f>
        <v>Dar operatividad a los estamentos del Gobierno Escolar y demás instancias de participación, presentando las evidencias correspondientes.</v>
      </c>
      <c r="T561" s="70" t="str">
        <f>IFERROR(IF(VLOOKUP(A561,[5]PRIORIZADOS!$A:$T,20,FALSE)="","",VLOOKUP(A561,[5]PRIORIZADOS!$A:$T,20,FALSE)),"")</f>
        <v>Si</v>
      </c>
      <c r="U561" s="11" t="str">
        <f>IFERROR(IF(VLOOKUP(A561,[5]PRIORIZADOS!$A:$U,21,FALSE)="","",VLOOKUP(A561,[5]PRIORIZADOS!$A:$U,21,FALSE)),"")</f>
        <v>Revisión documental en el mes de octubre de 2025 para verificar el cumplimiento de las acciones establecidas en el plan de mejoramiento.</v>
      </c>
    </row>
    <row r="562" spans="1:21" s="1" customFormat="1" ht="202.5">
      <c r="A562" s="69">
        <f>IF([5]PRIORIZADOS!A70="","",[5]PRIORIZADOS!A70)</f>
        <v>570</v>
      </c>
      <c r="B562" s="70">
        <f>IFERROR(IF(VLOOKUP(A562,[5]PRIORIZADOS!$A:$B,2,FALSE)="","",VLOOKUP(A562,[5]PRIORIZADOS!$A:$B,2,FALSE)),"")</f>
        <v>7</v>
      </c>
      <c r="C562" s="11" t="str">
        <f>IFERROR(IF(VLOOKUP(A562,[5]PRIORIZADOS!$A:$C,3,FALSE)="","",VLOOKUP(A562,[5]PRIORIZADOS!$A:$C,3,FALSE)),"")</f>
        <v>CIUDAD BOLÍVAR</v>
      </c>
      <c r="D562" s="11" t="str">
        <f>IFERROR(IF(VLOOKUP(A562,[5]PRIORIZADOS!$A:$D,4,FALSE)="","",VLOOKUP(A562,[5]PRIORIZADOS!$A:$D,4,FALSE)),"")</f>
        <v>PRIVADO</v>
      </c>
      <c r="E562" s="11" t="str">
        <f>IFERROR(IF(VLOOKUP(A562,[5]PRIORIZADOS!$A:$E,5,FALSE)="","",VLOOKUP(A562,[5]PRIORIZADOS!$A:$E,5,FALSE)),"")</f>
        <v>EPBM</v>
      </c>
      <c r="F562" s="11" t="str">
        <f>IFERROR(IF(VLOOKUP(A562,[5]PRIORIZADOS!$A:$F,6,FALSE)="","",VLOOKUP(A562,[5]PRIORIZADOS!$A:$F,6,FALSE)),"")</f>
        <v>COLEGIO_SOLES_DEL_SABER</v>
      </c>
      <c r="G562" s="11" t="str">
        <f>IFERROR(IF(VLOOKUP(A562,[5]PRIORIZADOS!$A:$G,7,FALSE)="","",VLOOKUP(A562,[5]PRIORIZADOS!$A:$G,7,FALSE)),"")</f>
        <v>COLEGIO SOLES DEL SABER</v>
      </c>
      <c r="H562" s="11" t="str">
        <f>IFERROR(IF(VLOOKUP(A562,[5]PRIORIZADOS!$A:$H,8,FALSE)="","",VLOOKUP(A562,[5]PRIORIZADOS!$A:$H,8,FALSE)),"")</f>
        <v>Autoevaluación Institucional y Pruebas SABER 11</v>
      </c>
      <c r="I562" s="11" t="str">
        <f>IFERROR(IF(VLOOKUP(A562,[5]PRIORIZADOS!$A:$I,9,FALSE)="","",VLOOKUP(A562,[5]PRIORIZADOS!$A:$I,9,FALSE)),"")</f>
        <v>EVALUACIÓN_CON_FINES_DE_MEJORAMIENTO.</v>
      </c>
      <c r="J562" s="11" t="str">
        <f>IFERROR(IF(VLOOKUP(A562,[5]PRIORIZADOS!$A:$J,10,FALSE)="","",VLOOKUP(A562,[5]PRIORIZADOS!$A:$J,10,FALSE)),"")</f>
        <v>Verificar las condiciones en cuanto a: la estructura administrativa, condiciones de la planta física y medios educativos adecuados.</v>
      </c>
      <c r="K562" s="11" t="str">
        <f>IFERROR(IF(VLOOKUP(A562,[5]PRIORIZADOS!$A:$K,11,FALSE)="","",VLOOKUP(A562,[5]PRIORIZADOS!$A:$K,11,FALSE)),"")</f>
        <v xml:space="preserve">JUDITH SOLANO RAMÍREZ </v>
      </c>
      <c r="L562" s="11" t="str">
        <f>IFERROR(IF(VLOOKUP(A562,[5]PRIORIZADOS!$A:$L,12,FALSE)="","",VLOOKUP(A562,[5]PRIORIZADOS!$A:$L,12,FALSE)),"")</f>
        <v xml:space="preserve">MARIA NANCY DUCUARA </v>
      </c>
      <c r="M562" s="71">
        <f>IFERROR(IF(VLOOKUP(A562,[5]PRIORIZADOS!$A:$M,13,FALSE)="","",VLOOKUP(A562,[5]PRIORIZADOS!$A:$M,13,FALSE)),"")</f>
        <v>45827</v>
      </c>
      <c r="N562" s="71">
        <f>IFERROR(IF(VLOOKUP(A562,[5]PRIORIZADOS!$A:$N,14,FALSE)="","",VLOOKUP(A562,[5]PRIORIZADOS!$A:$N,14,FALSE)),"")</f>
        <v>45847</v>
      </c>
      <c r="O562" s="71">
        <f>IFERROR(IF(VLOOKUP(A562,[5]PRIORIZADOS!$A:$O,15,FALSE)="","",VLOOKUP(A562,[5]PRIORIZADOS!$A:$O,15,FALSE)),"")</f>
        <v>45847</v>
      </c>
      <c r="P562" s="11" t="str">
        <f>IFERROR(IF(VLOOKUP(A562,[5]PRIORIZADOS!$A:$P,16,FALSE)="","",VLOOKUP(A562,[5]PRIORIZADOS!$A:$P,16,FALSE)),"")</f>
        <v>Visitas de evaluación con fines de mejoramiento</v>
      </c>
      <c r="Q562" s="61" t="s">
        <v>120</v>
      </c>
      <c r="R562" s="11" t="str">
        <f>IFERROR(IF(VLOOKUP(A562,[5]PRIORIZADOS!$A:$R,18,FALSE)="","",VLOOKUP(A562,[5]PRIORIZADOS!$A:$R,18,FALSE)),"")</f>
        <v>La IE no presenta organigrama que de cuenta de  su estructura administrativa. No cuenta con un manual de funciones para los cargos existentes. Los ambientes de aprendizaje y espacios administrativos no tienen en cuenta a la población con discapacidad. Los espacios lúdicos, recreativos y culturales no son suficientes. No cuentan con convenios de ambientes compartidos de acuerdo a la normatividad vigente.</v>
      </c>
      <c r="S562" s="11" t="str">
        <f>IFERROR(IF(VLOOKUP(A562,[5]PRIORIZADOS!$A:$S,19,FALSE)="","",VLOOKUP(A562,[5]PRIORIZADOS!$A:$S,19,FALSE)),"")</f>
        <v xml:space="preserve">
 Elaborar organigrama que defina las áreas y dependencias funcionales de acuerdo con la realidad institucional.
Elaborar Manual de Funciones para los cargos existentes.
 Implementar un contrato de matrícula que establezca los derechos y obligaciones de las partes, las causales de terminación y las condiciones de renovación.
 Adecuar los espacios que brinden fácil acceso a personas con discapacidad.
 Mejorar el mobiliario de los amientes de aprendizaje.
 Adelantar el proceso para la autorización del convenio de ambientes compartidos ante la DIV.</v>
      </c>
      <c r="T562" s="70" t="str">
        <f>IFERROR(IF(VLOOKUP(A562,[5]PRIORIZADOS!$A:$T,20,FALSE)="","",VLOOKUP(A562,[5]PRIORIZADOS!$A:$T,20,FALSE)),"")</f>
        <v>Si</v>
      </c>
      <c r="U562" s="11" t="str">
        <f>IFERROR(IF(VLOOKUP(A562,[5]PRIORIZADOS!$A:$U,21,FALSE)="","",VLOOKUP(A562,[5]PRIORIZADOS!$A:$U,21,FALSE)),"")</f>
        <v>Revisión documental en el mes de octubre de 2025 para verificar el cumplimiento de las acciones establecidas en el plan de mejoramiento.</v>
      </c>
    </row>
    <row r="563" spans="1:21" s="1" customFormat="1" ht="60">
      <c r="A563" s="69">
        <f>IF([5]PRIORIZADOS!A71="","",[5]PRIORIZADOS!A71)</f>
        <v>571</v>
      </c>
      <c r="B563" s="70">
        <f>IFERROR(IF(VLOOKUP(A563,[5]PRIORIZADOS!$A:$B,2,FALSE)="","",VLOOKUP(A563,[5]PRIORIZADOS!$A:$B,2,FALSE)),"")</f>
        <v>8</v>
      </c>
      <c r="C563" s="11" t="str">
        <f>IFERROR(IF(VLOOKUP(A563,[5]PRIORIZADOS!$A:$C,3,FALSE)="","",VLOOKUP(A563,[5]PRIORIZADOS!$A:$C,3,FALSE)),"")</f>
        <v>CIUDAD BOLÍVAR</v>
      </c>
      <c r="D563" s="11" t="str">
        <f>IFERROR(IF(VLOOKUP(A563,[5]PRIORIZADOS!$A:$D,4,FALSE)="","",VLOOKUP(A563,[5]PRIORIZADOS!$A:$D,4,FALSE)),"")</f>
        <v>PRIVADO</v>
      </c>
      <c r="E563" s="11" t="str">
        <f>IFERROR(IF(VLOOKUP(A563,[5]PRIORIZADOS!$A:$E,5,FALSE)="","",VLOOKUP(A563,[5]PRIORIZADOS!$A:$E,5,FALSE)),"")</f>
        <v>EPBM</v>
      </c>
      <c r="F563" s="11" t="str">
        <f>IFERROR(IF(VLOOKUP(A563,[5]PRIORIZADOS!$A:$F,6,FALSE)="","",VLOOKUP(A563,[5]PRIORIZADOS!$A:$F,6,FALSE)),"")</f>
        <v>COLEGIO_POPULAR_BOLIVARIANO</v>
      </c>
      <c r="G563" s="11" t="str">
        <f>IFERROR(IF(VLOOKUP(A563,[5]PRIORIZADOS!$A:$G,7,FALSE)="","",VLOOKUP(A563,[5]PRIORIZADOS!$A:$G,7,FALSE)),"")</f>
        <v>COLEGIO POPULAR BOLIVARIANO</v>
      </c>
      <c r="H563" s="11" t="str">
        <f>IFERROR(IF(VLOOKUP(A563,[5]PRIORIZADOS!$A:$H,8,FALSE)="","",VLOOKUP(A563,[5]PRIORIZADOS!$A:$H,8,FALSE)),"")</f>
        <v>Autoevaluación Institucional y Pruebas SABER 11</v>
      </c>
      <c r="I563" s="11" t="str">
        <f>IFERROR(IF(VLOOKUP(A563,[5]PRIORIZADOS!$A:$I,9,FALSE)="","",VLOOKUP(A563,[5]PRIORIZADOS!$A:$I,9,FALSE)),"")</f>
        <v>SEGUIMIENTO_Y_SUPERVISIÓN.</v>
      </c>
      <c r="J563" s="11" t="str">
        <f>IFERROR(IF(VLOOKUP(A563,[5]PRIORIZADOS!$A:$J,10,FALSE)="","",VLOOKUP(A563,[5]PRIORIZADOS!$A:$J,10,FALSE)),"")</f>
        <v>Realizar visitas para verificar la información registrada sobre la autoevaluación institucional en el aplicativo EVI, a los establecimientos de educación formal no oficial.</v>
      </c>
      <c r="K563" s="11" t="str">
        <f>IFERROR(IF(VLOOKUP(A563,[5]PRIORIZADOS!$A:$K,11,FALSE)="","",VLOOKUP(A563,[5]PRIORIZADOS!$A:$K,11,FALSE)),"")</f>
        <v xml:space="preserve">MARIA NANCY DUCUARA </v>
      </c>
      <c r="L563" s="11" t="str">
        <f>IFERROR(IF(VLOOKUP(A563,[5]PRIORIZADOS!$A:$L,12,FALSE)="","",VLOOKUP(A563,[5]PRIORIZADOS!$A:$L,12,FALSE)),"")</f>
        <v xml:space="preserve">CLAUDIA DOMÍNGUEZ TORRES </v>
      </c>
      <c r="M563" s="71">
        <f>IFERROR(IF(VLOOKUP(A563,[5]PRIORIZADOS!$A:$M,13,FALSE)="","",VLOOKUP(A563,[5]PRIORIZADOS!$A:$M,13,FALSE)),"")</f>
        <v>45828</v>
      </c>
      <c r="N563" s="71">
        <f>IFERROR(IF(VLOOKUP(A563,[5]PRIORIZADOS!$A:$N,14,FALSE)="","",VLOOKUP(A563,[5]PRIORIZADOS!$A:$N,14,FALSE)),"")</f>
        <v>45867</v>
      </c>
      <c r="O563" s="71">
        <f>IFERROR(IF(VLOOKUP(A563,[5]PRIORIZADOS!$A:$O,15,FALSE)="","",VLOOKUP(A563,[5]PRIORIZADOS!$A:$O,15,FALSE)),"")</f>
        <v>45867</v>
      </c>
      <c r="P563" s="11" t="str">
        <f>IFERROR(IF(VLOOKUP(A563,[5]PRIORIZADOS!$A:$P,16,FALSE)="","",VLOOKUP(A563,[5]PRIORIZADOS!$A:$P,16,FALSE)),"")</f>
        <v>Visitas de evaluación con fines de mejoramiento</v>
      </c>
      <c r="Q563" s="137" t="s">
        <v>121</v>
      </c>
      <c r="R563" s="11" t="str">
        <f>IFERROR(IF(VLOOKUP(A563,[5]PRIORIZADOS!$A:$R,18,FALSE)="","",VLOOKUP(A563,[5]PRIORIZADOS!$A:$R,18,FALSE)),"")</f>
        <v>Se encuentra conformidad con lo reportado en EVI. Se evidencia que la dirección del colegio ha sido modificada en catastro, por lo que ya no corresponde con la de la licencia de funcionamiento.</v>
      </c>
      <c r="S563" s="11" t="str">
        <f>IFERROR(IF(VLOOKUP(A563,[5]PRIORIZADOS!$A:$S,19,FALSE)="","",VLOOKUP(A563,[5]PRIORIZADOS!$A:$S,19,FALSE)),"")</f>
        <v>Realizar el proceso de solicitud de actualización de la dirección de la sede que tiene licencia de funcionamiento</v>
      </c>
      <c r="T563" s="70" t="str">
        <f>IFERROR(IF(VLOOKUP(A563,[5]PRIORIZADOS!$A:$T,20,FALSE)="","",VLOOKUP(A563,[5]PRIORIZADOS!$A:$T,20,FALSE)),"")</f>
        <v>Si</v>
      </c>
      <c r="U563" s="11" t="str">
        <f>IFERROR(IF(VLOOKUP(A563,[5]PRIORIZADOS!$A:$U,21,FALSE)="","",VLOOKUP(A563,[5]PRIORIZADOS!$A:$U,21,FALSE)),"")</f>
        <v>Revisión documental en el mes de octubre de 2025 para verificar el cumplimiento de las acciones establecidas en el plan de mejoramiento.</v>
      </c>
    </row>
    <row r="564" spans="1:21" s="1" customFormat="1" ht="60">
      <c r="A564" s="69">
        <f>IF([5]PRIORIZADOS!A72="","",[5]PRIORIZADOS!A72)</f>
        <v>572</v>
      </c>
      <c r="B564" s="70">
        <f>IFERROR(IF(VLOOKUP(A564,[5]PRIORIZADOS!$A:$B,2,FALSE)="","",VLOOKUP(A564,[5]PRIORIZADOS!$A:$B,2,FALSE)),"")</f>
        <v>8</v>
      </c>
      <c r="C564" s="11" t="str">
        <f>IFERROR(IF(VLOOKUP(A564,[5]PRIORIZADOS!$A:$C,3,FALSE)="","",VLOOKUP(A564,[5]PRIORIZADOS!$A:$C,3,FALSE)),"")</f>
        <v>CIUDAD BOLÍVAR</v>
      </c>
      <c r="D564" s="11" t="str">
        <f>IFERROR(IF(VLOOKUP(A564,[5]PRIORIZADOS!$A:$D,4,FALSE)="","",VLOOKUP(A564,[5]PRIORIZADOS!$A:$D,4,FALSE)),"")</f>
        <v>PRIVADO</v>
      </c>
      <c r="E564" s="11" t="str">
        <f>IFERROR(IF(VLOOKUP(A564,[5]PRIORIZADOS!$A:$E,5,FALSE)="","",VLOOKUP(A564,[5]PRIORIZADOS!$A:$E,5,FALSE)),"")</f>
        <v>EPBM</v>
      </c>
      <c r="F564" s="11" t="str">
        <f>IFERROR(IF(VLOOKUP(A564,[5]PRIORIZADOS!$A:$F,6,FALSE)="","",VLOOKUP(A564,[5]PRIORIZADOS!$A:$F,6,FALSE)),"")</f>
        <v>COLEGIO_POPULAR_BOLIVARIANO</v>
      </c>
      <c r="G564" s="11" t="str">
        <f>IFERROR(IF(VLOOKUP(A564,[5]PRIORIZADOS!$A:$G,7,FALSE)="","",VLOOKUP(A564,[5]PRIORIZADOS!$A:$G,7,FALSE)),"")</f>
        <v>COLEGIO POPULAR BOLIVARIANO</v>
      </c>
      <c r="H564" s="11" t="str">
        <f>IFERROR(IF(VLOOKUP(A564,[5]PRIORIZADOS!$A:$H,8,FALSE)="","",VLOOKUP(A564,[5]PRIORIZADOS!$A:$H,8,FALSE)),"")</f>
        <v>Autoevaluación Institucional y Pruebas SABER 11</v>
      </c>
      <c r="I564" s="11" t="str">
        <f>IFERROR(IF(VLOOKUP(A564,[5]PRIORIZADOS!$A:$I,9,FALSE)="","",VLOOKUP(A564,[5]PRIORIZADOS!$A:$I,9,FALSE)),"")</f>
        <v>SEGUIMIENTO_Y_SUPERVISIÓN.</v>
      </c>
      <c r="J564" s="11" t="str">
        <f>IFERROR(IF(VLOOKUP(A564,[5]PRIORIZADOS!$A:$J,10,FALSE)="","",VLOOKUP(A564,[5]PRIORIZADOS!$A:$J,10,FALSE)),"")</f>
        <v>Proponer estrategias en la formulación, verificar su elaboración y realizar seguimiento semestral al desarrollo de  las acciones establecidas en los planes de mejoramiento por pruebas SABER 11 de los establecimientos de educación formal.</v>
      </c>
      <c r="K564" s="11" t="str">
        <f>IFERROR(IF(VLOOKUP(A564,[5]PRIORIZADOS!$A:$K,11,FALSE)="","",VLOOKUP(A564,[5]PRIORIZADOS!$A:$K,11,FALSE)),"")</f>
        <v xml:space="preserve">MARIA NANCY DUCUARA </v>
      </c>
      <c r="L564" s="11" t="str">
        <f>IFERROR(IF(VLOOKUP(A564,[5]PRIORIZADOS!$A:$L,12,FALSE)="","",VLOOKUP(A564,[5]PRIORIZADOS!$A:$L,12,FALSE)),"")</f>
        <v xml:space="preserve">CLAUDIA DOMÍNGUEZ TORRES </v>
      </c>
      <c r="M564" s="71">
        <f>IFERROR(IF(VLOOKUP(A564,[5]PRIORIZADOS!$A:$M,13,FALSE)="","",VLOOKUP(A564,[5]PRIORIZADOS!$A:$M,13,FALSE)),"")</f>
        <v>45828</v>
      </c>
      <c r="N564" s="71">
        <f>IFERROR(IF(VLOOKUP(A564,[5]PRIORIZADOS!$A:$N,14,FALSE)="","",VLOOKUP(A564,[5]PRIORIZADOS!$A:$N,14,FALSE)),"")</f>
        <v>45867</v>
      </c>
      <c r="O564" s="71">
        <f>IFERROR(IF(VLOOKUP(A564,[5]PRIORIZADOS!$A:$O,15,FALSE)="","",VLOOKUP(A564,[5]PRIORIZADOS!$A:$O,15,FALSE)),"")</f>
        <v>45867</v>
      </c>
      <c r="P564" s="11" t="str">
        <f>IFERROR(IF(VLOOKUP(A564,[5]PRIORIZADOS!$A:$P,16,FALSE)="","",VLOOKUP(A564,[5]PRIORIZADOS!$A:$P,16,FALSE)),"")</f>
        <v>Visitas de evaluación con fines de mejoramiento</v>
      </c>
      <c r="Q564" s="137" t="s">
        <v>121</v>
      </c>
      <c r="R564" s="11" t="str">
        <f>IFERROR(IF(VLOOKUP(A564,[5]PRIORIZADOS!$A:$R,18,FALSE)="","",VLOOKUP(A564,[5]PRIORIZADOS!$A:$R,18,FALSE)),"")</f>
        <v>Realizan un resumen cuantitativo de los resultadosde las pruebas SABER, sin embargo no se realiza revisión y análisis de los resultados de las pruebas para la mejora de los resultados.</v>
      </c>
      <c r="S564" s="11" t="str">
        <f>IFERROR(IF(VLOOKUP(A564,[5]PRIORIZADOS!$A:$S,19,FALSE)="","",VLOOKUP(A564,[5]PRIORIZADOS!$A:$S,19,FALSE)),"")</f>
        <v>Realizar análisis cuantitativo y cualitativo de las pruebas SABER generando estrategias para la mejora del desenvolvimiento de los estudiantes en este tipo de pruebas.</v>
      </c>
      <c r="T564" s="70" t="str">
        <f>IFERROR(IF(VLOOKUP(A564,[5]PRIORIZADOS!$A:$T,20,FALSE)="","",VLOOKUP(A564,[5]PRIORIZADOS!$A:$T,20,FALSE)),"")</f>
        <v>Si</v>
      </c>
      <c r="U564" s="11" t="str">
        <f>IFERROR(IF(VLOOKUP(A564,[5]PRIORIZADOS!$A:$U,21,FALSE)="","",VLOOKUP(A564,[5]PRIORIZADOS!$A:$U,21,FALSE)),"")</f>
        <v>Revisión documental en el mes de octubre de 2025 para verificar el cumplimiento de las acciones establecidas en el plan de mejoramiento.</v>
      </c>
    </row>
    <row r="565" spans="1:21" s="1" customFormat="1" ht="96">
      <c r="A565" s="69">
        <f>IF([5]PRIORIZADOS!A73="","",[5]PRIORIZADOS!A73)</f>
        <v>573</v>
      </c>
      <c r="B565" s="70">
        <f>IFERROR(IF(VLOOKUP(A565,[5]PRIORIZADOS!$A:$B,2,FALSE)="","",VLOOKUP(A565,[5]PRIORIZADOS!$A:$B,2,FALSE)),"")</f>
        <v>8</v>
      </c>
      <c r="C565" s="11" t="str">
        <f>IFERROR(IF(VLOOKUP(A565,[5]PRIORIZADOS!$A:$C,3,FALSE)="","",VLOOKUP(A565,[5]PRIORIZADOS!$A:$C,3,FALSE)),"")</f>
        <v>CIUDAD BOLÍVAR</v>
      </c>
      <c r="D565" s="11" t="str">
        <f>IFERROR(IF(VLOOKUP(A565,[5]PRIORIZADOS!$A:$D,4,FALSE)="","",VLOOKUP(A565,[5]PRIORIZADOS!$A:$D,4,FALSE)),"")</f>
        <v>PRIVADO</v>
      </c>
      <c r="E565" s="11" t="str">
        <f>IFERROR(IF(VLOOKUP(A565,[5]PRIORIZADOS!$A:$E,5,FALSE)="","",VLOOKUP(A565,[5]PRIORIZADOS!$A:$E,5,FALSE)),"")</f>
        <v>EPBM</v>
      </c>
      <c r="F565" s="11" t="str">
        <f>IFERROR(IF(VLOOKUP(A565,[5]PRIORIZADOS!$A:$F,6,FALSE)="","",VLOOKUP(A565,[5]PRIORIZADOS!$A:$F,6,FALSE)),"")</f>
        <v>COLEGIO_POPULAR_BOLIVARIANO</v>
      </c>
      <c r="G565" s="11" t="str">
        <f>IFERROR(IF(VLOOKUP(A565,[5]PRIORIZADOS!$A:$G,7,FALSE)="","",VLOOKUP(A565,[5]PRIORIZADOS!$A:$G,7,FALSE)),"")</f>
        <v>COLEGIO POPULAR BOLIVARIANO</v>
      </c>
      <c r="H565" s="11" t="str">
        <f>IFERROR(IF(VLOOKUP(A565,[5]PRIORIZADOS!$A:$H,8,FALSE)="","",VLOOKUP(A565,[5]PRIORIZADOS!$A:$H,8,FALSE)),"")</f>
        <v>Autoevaluación Institucional y Pruebas SABER 11</v>
      </c>
      <c r="I565" s="11" t="str">
        <f>IFERROR(IF(VLOOKUP(A565,[5]PRIORIZADOS!$A:$I,9,FALSE)="","",VLOOKUP(A565,[5]PRIORIZADOS!$A:$I,9,FALSE)),"")</f>
        <v>SEGUIMIENTO_Y_SUPERVISIÓN.</v>
      </c>
      <c r="J565" s="11" t="str">
        <f>IFERROR(IF(VLOOKUP(A565,[5]PRIORIZADOS!$A:$J,10,FALSE)="","",VLOOKUP(A565,[5]PRIORIZADOS!$A:$J,10,FALSE)),"")</f>
        <v xml:space="preserve">Verificar la implementación por parte de los colegios, de acciones realizadas para la prevención y atención de las situaciones de convivencia en el entorno escolar, según lo establecido en la Directiva 01 de 2022 del MEN. </v>
      </c>
      <c r="K565" s="11" t="str">
        <f>IFERROR(IF(VLOOKUP(A565,[5]PRIORIZADOS!$A:$K,11,FALSE)="","",VLOOKUP(A565,[5]PRIORIZADOS!$A:$K,11,FALSE)),"")</f>
        <v xml:space="preserve">MARIA NANCY DUCUARA </v>
      </c>
      <c r="L565" s="11" t="str">
        <f>IFERROR(IF(VLOOKUP(A565,[5]PRIORIZADOS!$A:$L,12,FALSE)="","",VLOOKUP(A565,[5]PRIORIZADOS!$A:$L,12,FALSE)),"")</f>
        <v xml:space="preserve">CLAUDIA DOMÍNGUEZ TORRES </v>
      </c>
      <c r="M565" s="71">
        <f>IFERROR(IF(VLOOKUP(A565,[5]PRIORIZADOS!$A:$M,13,FALSE)="","",VLOOKUP(A565,[5]PRIORIZADOS!$A:$M,13,FALSE)),"")</f>
        <v>45828</v>
      </c>
      <c r="N565" s="71">
        <f>IFERROR(IF(VLOOKUP(A565,[5]PRIORIZADOS!$A:$N,14,FALSE)="","",VLOOKUP(A565,[5]PRIORIZADOS!$A:$N,14,FALSE)),"")</f>
        <v>45898</v>
      </c>
      <c r="O565" s="71">
        <f>IFERROR(IF(VLOOKUP(A565,[5]PRIORIZADOS!$A:$O,15,FALSE)="","",VLOOKUP(A565,[5]PRIORIZADOS!$A:$O,15,FALSE)),"")</f>
        <v>45898</v>
      </c>
      <c r="P565" s="11" t="str">
        <f>IFERROR(IF(VLOOKUP(A565,[5]PRIORIZADOS!$A:$P,16,FALSE)="","",VLOOKUP(A565,[5]PRIORIZADOS!$A:$P,16,FALSE)),"")</f>
        <v>Visitas de evaluación con fines de mejoramiento</v>
      </c>
      <c r="Q565" s="137" t="s">
        <v>121</v>
      </c>
      <c r="R565" s="11" t="str">
        <f>IFERROR(IF(VLOOKUP(A565,[5]PRIORIZADOS!$A:$R,18,FALSE)="","",VLOOKUP(A565,[5]PRIORIZADOS!$A:$R,18,FALSE)),"")</f>
        <v xml:space="preserve">
Aunque existe documentación de los casos y activación de rutas de atención, no hay evidencia de operatividad del Comité de Convivencia Escolar.  
Si bien existen acciones de prevención y promoción, no hay Plan de Convivencia Escolar</v>
      </c>
      <c r="S565" s="11" t="str">
        <f>IFERROR(IF(VLOOKUP(A565,[5]PRIORIZADOS!$A:$S,19,FALSE)="","",VLOOKUP(A565,[5]PRIORIZADOS!$A:$S,19,FALSE)),"")</f>
        <v xml:space="preserve">
Establecer el reglamento interno para del Comité de Convivencia.
Construir el Plan de Convivencia Escolar.
</v>
      </c>
      <c r="T565" s="70" t="str">
        <f>IFERROR(IF(VLOOKUP(A565,[5]PRIORIZADOS!$A:$T,20,FALSE)="","",VLOOKUP(A565,[5]PRIORIZADOS!$A:$T,20,FALSE)),"")</f>
        <v>Si</v>
      </c>
      <c r="U565" s="11" t="str">
        <f>IFERROR(IF(VLOOKUP(A565,[5]PRIORIZADOS!$A:$U,21,FALSE)="","",VLOOKUP(A565,[5]PRIORIZADOS!$A:$U,21,FALSE)),"")</f>
        <v>Revisión documental en el mes de octubre de 2025 para verificar el cumplimiento de las acciones establecidas en el plan de mejoramiento.</v>
      </c>
    </row>
    <row r="566" spans="1:21" s="1" customFormat="1" ht="72">
      <c r="A566" s="69">
        <f>IF([5]PRIORIZADOS!A74="","",[5]PRIORIZADOS!A74)</f>
        <v>574</v>
      </c>
      <c r="B566" s="70">
        <f>IFERROR(IF(VLOOKUP(A566,[5]PRIORIZADOS!$A:$B,2,FALSE)="","",VLOOKUP(A566,[5]PRIORIZADOS!$A:$B,2,FALSE)),"")</f>
        <v>8</v>
      </c>
      <c r="C566" s="11" t="str">
        <f>IFERROR(IF(VLOOKUP(A566,[5]PRIORIZADOS!$A:$C,3,FALSE)="","",VLOOKUP(A566,[5]PRIORIZADOS!$A:$C,3,FALSE)),"")</f>
        <v>CIUDAD BOLÍVAR</v>
      </c>
      <c r="D566" s="11" t="str">
        <f>IFERROR(IF(VLOOKUP(A566,[5]PRIORIZADOS!$A:$D,4,FALSE)="","",VLOOKUP(A566,[5]PRIORIZADOS!$A:$D,4,FALSE)),"")</f>
        <v>PRIVADO</v>
      </c>
      <c r="E566" s="11" t="str">
        <f>IFERROR(IF(VLOOKUP(A566,[5]PRIORIZADOS!$A:$E,5,FALSE)="","",VLOOKUP(A566,[5]PRIORIZADOS!$A:$E,5,FALSE)),"")</f>
        <v>EPBM</v>
      </c>
      <c r="F566" s="11" t="str">
        <f>IFERROR(IF(VLOOKUP(A566,[5]PRIORIZADOS!$A:$F,6,FALSE)="","",VLOOKUP(A566,[5]PRIORIZADOS!$A:$F,6,FALSE)),"")</f>
        <v>COLEGIO_POPULAR_BOLIVARIANO</v>
      </c>
      <c r="G566" s="11" t="str">
        <f>IFERROR(IF(VLOOKUP(A566,[5]PRIORIZADOS!$A:$G,7,FALSE)="","",VLOOKUP(A566,[5]PRIORIZADOS!$A:$G,7,FALSE)),"")</f>
        <v>COLEGIO POPULAR BOLIVARIANO</v>
      </c>
      <c r="H566" s="11" t="str">
        <f>IFERROR(IF(VLOOKUP(A566,[5]PRIORIZADOS!$A:$H,8,FALSE)="","",VLOOKUP(A566,[5]PRIORIZADOS!$A:$H,8,FALSE)),"")</f>
        <v>Autoevaluación Institucional y Pruebas SABER 11</v>
      </c>
      <c r="I566" s="11" t="str">
        <f>IFERROR(IF(VLOOKUP(A566,[5]PRIORIZADOS!$A:$I,9,FALSE)="","",VLOOKUP(A566,[5]PRIORIZADOS!$A:$I,9,FALSE)),"")</f>
        <v>SEGUIMIENTO_Y_SUPERVISIÓN.</v>
      </c>
      <c r="J566" s="11" t="str">
        <f>IFERROR(IF(VLOOKUP(A566,[5]PRIORIZADOS!$A:$J,10,FALSE)="","",VLOOKUP(A566,[5]PRIORIZADOS!$A:$J,10,FALSE)),"")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66" s="11" t="str">
        <f>IFERROR(IF(VLOOKUP(A566,[5]PRIORIZADOS!$A:$K,11,FALSE)="","",VLOOKUP(A566,[5]PRIORIZADOS!$A:$K,11,FALSE)),"")</f>
        <v xml:space="preserve">MARIA NANCY DUCUARA </v>
      </c>
      <c r="L566" s="11" t="str">
        <f>IFERROR(IF(VLOOKUP(A566,[5]PRIORIZADOS!$A:$L,12,FALSE)="","",VLOOKUP(A566,[5]PRIORIZADOS!$A:$L,12,FALSE)),"")</f>
        <v xml:space="preserve">CLAUDIA DOMÍNGUEZ TORRES </v>
      </c>
      <c r="M566" s="71">
        <f>IFERROR(IF(VLOOKUP(A566,[5]PRIORIZADOS!$A:$M,13,FALSE)="","",VLOOKUP(A566,[5]PRIORIZADOS!$A:$M,13,FALSE)),"")</f>
        <v>45828</v>
      </c>
      <c r="N566" s="71">
        <f>IFERROR(IF(VLOOKUP(A566,[5]PRIORIZADOS!$A:$N,14,FALSE)="","",VLOOKUP(A566,[5]PRIORIZADOS!$A:$N,14,FALSE)),"")</f>
        <v>45867</v>
      </c>
      <c r="O566" s="71">
        <f>IFERROR(IF(VLOOKUP(A566,[5]PRIORIZADOS!$A:$O,15,FALSE)="","",VLOOKUP(A566,[5]PRIORIZADOS!$A:$O,15,FALSE)),"")</f>
        <v>45867</v>
      </c>
      <c r="P566" s="11" t="str">
        <f>IFERROR(IF(VLOOKUP(A566,[5]PRIORIZADOS!$A:$P,16,FALSE)="","",VLOOKUP(A566,[5]PRIORIZADOS!$A:$P,16,FALSE)),"")</f>
        <v>Visitas de evaluación con fines de mejoramiento</v>
      </c>
      <c r="Q566" s="137" t="s">
        <v>121</v>
      </c>
      <c r="R566" s="11" t="str">
        <f>IFERROR(IF(VLOOKUP(A566,[5]PRIORIZADOS!$A:$R,18,FALSE)="","",VLOOKUP(A566,[5]PRIORIZADOS!$A:$R,18,FALSE)),"")</f>
        <v xml:space="preserve">La institución educativa tiene identificada y caracterizada la población con necesidades educativas especiales, así mismo cuenta con PIAR de cada uno de los estudiantes identificados. </v>
      </c>
      <c r="S566" s="11" t="str">
        <f>IFERROR(IF(VLOOKUP(A566,[5]PRIORIZADOS!$A:$S,19,FALSE)="","",VLOOKUP(A566,[5]PRIORIZADOS!$A:$S,19,FALSE)),"")</f>
        <v>Continuar con el seguiemiento de la ejecución de los ajustes razonables.</v>
      </c>
      <c r="T566" s="70" t="str">
        <f>IFERROR(IF(VLOOKUP(A566,[5]PRIORIZADOS!$A:$T,20,FALSE)="","",VLOOKUP(A566,[5]PRIORIZADOS!$A:$T,20,FALSE)),"")</f>
        <v>No</v>
      </c>
      <c r="U566" s="11" t="str">
        <f>IFERROR(IF(VLOOKUP(A566,[5]PRIORIZADOS!$A:$U,21,FALSE)="","",VLOOKUP(A566,[5]PRIORIZADOS!$A:$U,21,FALSE)),"")</f>
        <v xml:space="preserve">Continuar con el fortalecimiento de la prestación del servicio educativo bajo principios de calidad. </v>
      </c>
    </row>
    <row r="567" spans="1:21" s="1" customFormat="1" ht="84">
      <c r="A567" s="69">
        <f>IF([5]PRIORIZADOS!A75="","",[5]PRIORIZADOS!A75)</f>
        <v>575</v>
      </c>
      <c r="B567" s="70">
        <f>IFERROR(IF(VLOOKUP(A567,[5]PRIORIZADOS!$A:$B,2,FALSE)="","",VLOOKUP(A567,[5]PRIORIZADOS!$A:$B,2,FALSE)),"")</f>
        <v>8</v>
      </c>
      <c r="C567" s="11" t="str">
        <f>IFERROR(IF(VLOOKUP(A567,[5]PRIORIZADOS!$A:$C,3,FALSE)="","",VLOOKUP(A567,[5]PRIORIZADOS!$A:$C,3,FALSE)),"")</f>
        <v>CIUDAD BOLÍVAR</v>
      </c>
      <c r="D567" s="11" t="str">
        <f>IFERROR(IF(VLOOKUP(A567,[5]PRIORIZADOS!$A:$D,4,FALSE)="","",VLOOKUP(A567,[5]PRIORIZADOS!$A:$D,4,FALSE)),"")</f>
        <v>PRIVADO</v>
      </c>
      <c r="E567" s="11" t="str">
        <f>IFERROR(IF(VLOOKUP(A567,[5]PRIORIZADOS!$A:$E,5,FALSE)="","",VLOOKUP(A567,[5]PRIORIZADOS!$A:$E,5,FALSE)),"")</f>
        <v>EPBM</v>
      </c>
      <c r="F567" s="11" t="str">
        <f>IFERROR(IF(VLOOKUP(A567,[5]PRIORIZADOS!$A:$F,6,FALSE)="","",VLOOKUP(A567,[5]PRIORIZADOS!$A:$F,6,FALSE)),"")</f>
        <v>COLEGIO_POPULAR_BOLIVARIANO</v>
      </c>
      <c r="G567" s="11" t="str">
        <f>IFERROR(IF(VLOOKUP(A567,[5]PRIORIZADOS!$A:$G,7,FALSE)="","",VLOOKUP(A567,[5]PRIORIZADOS!$A:$G,7,FALSE)),"")</f>
        <v>COLEGIO POPULAR BOLIVARIANO</v>
      </c>
      <c r="H567" s="11" t="str">
        <f>IFERROR(IF(VLOOKUP(A567,[5]PRIORIZADOS!$A:$H,8,FALSE)="","",VLOOKUP(A567,[5]PRIORIZADOS!$A:$H,8,FALSE)),"")</f>
        <v>Autoevaluación Institucional y Pruebas SABER 11</v>
      </c>
      <c r="I567" s="11" t="str">
        <f>IFERROR(IF(VLOOKUP(A567,[5]PRIORIZADOS!$A:$I,9,FALSE)="","",VLOOKUP(A567,[5]PRIORIZADOS!$A:$I,9,FALSE)),"")</f>
        <v>EVALUACIÓN_CON_FINES_DE_MEJORAMIENTO.</v>
      </c>
      <c r="J567" s="11" t="str">
        <f>IFERROR(IF(VLOOKUP(A567,[5]PRIORIZADOS!$A:$J,10,FALSE)="","",VLOOKUP(A567,[5]PRIORIZADOS!$A:$J,10,FALSE)),"")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67" s="11" t="str">
        <f>IFERROR(IF(VLOOKUP(A567,[5]PRIORIZADOS!$A:$K,11,FALSE)="","",VLOOKUP(A567,[5]PRIORIZADOS!$A:$K,11,FALSE)),"")</f>
        <v xml:space="preserve">MARIA NANCY DUCUARA </v>
      </c>
      <c r="L567" s="11" t="str">
        <f>IFERROR(IF(VLOOKUP(A567,[5]PRIORIZADOS!$A:$L,12,FALSE)="","",VLOOKUP(A567,[5]PRIORIZADOS!$A:$L,12,FALSE)),"")</f>
        <v xml:space="preserve">CLAUDIA DOMÍNGUEZ TORRES </v>
      </c>
      <c r="M567" s="71">
        <f>IFERROR(IF(VLOOKUP(A567,[5]PRIORIZADOS!$A:$M,13,FALSE)="","",VLOOKUP(A567,[5]PRIORIZADOS!$A:$M,13,FALSE)),"")</f>
        <v>45828</v>
      </c>
      <c r="N567" s="71">
        <f>IFERROR(IF(VLOOKUP(A567,[5]PRIORIZADOS!$A:$N,14,FALSE)="","",VLOOKUP(A567,[5]PRIORIZADOS!$A:$N,14,FALSE)),"")</f>
        <v>45867</v>
      </c>
      <c r="O567" s="71">
        <f>IFERROR(IF(VLOOKUP(A567,[5]PRIORIZADOS!$A:$O,15,FALSE)="","",VLOOKUP(A567,[5]PRIORIZADOS!$A:$O,15,FALSE)),"")</f>
        <v>45867</v>
      </c>
      <c r="P567" s="11" t="str">
        <f>IFERROR(IF(VLOOKUP(A567,[5]PRIORIZADOS!$A:$P,16,FALSE)="","",VLOOKUP(A567,[5]PRIORIZADOS!$A:$P,16,FALSE)),"")</f>
        <v>Visitas de evaluación con fines de mejoramiento</v>
      </c>
      <c r="Q567" s="137" t="s">
        <v>121</v>
      </c>
      <c r="R567" s="11" t="str">
        <f>IFERROR(IF(VLOOKUP(A567,[5]PRIORIZADOS!$A:$R,18,FALSE)="","",VLOOKUP(A567,[5]PRIORIZADOS!$A:$R,18,FALSE)),"")</f>
        <v xml:space="preserve">No existe evidencia de la construcción participativa del Manual de Convivencia. No se incluye el enfoque restaurativo ni el de género. </v>
      </c>
      <c r="S567" s="11" t="str">
        <f>IFERROR(IF(VLOOKUP(A567,[5]PRIORIZADOS!$A:$S,19,FALSE)="","",VLOOKUP(A567,[5]PRIORIZADOS!$A:$S,19,FALSE)),"")</f>
        <v>Realizar la actualización del Manual de Convivencia con participación de la comunidad educativa, integrando la atención a los PQRs, el debido proceso y los enfoques restaurativo y de género. Teniendo en cuenta la actualidad normativa y la jurisprudencia.</v>
      </c>
      <c r="T567" s="70" t="str">
        <f>IFERROR(IF(VLOOKUP(A567,[5]PRIORIZADOS!$A:$T,20,FALSE)="","",VLOOKUP(A567,[5]PRIORIZADOS!$A:$T,20,FALSE)),"")</f>
        <v>Si</v>
      </c>
      <c r="U567" s="11" t="str">
        <f>IFERROR(IF(VLOOKUP(A567,[5]PRIORIZADOS!$A:$U,21,FALSE)="","",VLOOKUP(A567,[5]PRIORIZADOS!$A:$U,21,FALSE)),"")</f>
        <v>Revisión documental en el mes de octubre de 2025 para verificar el cumplimiento de las acciones establecidas en el plan de mejoramiento.</v>
      </c>
    </row>
    <row r="568" spans="1:21" s="1" customFormat="1" ht="107.25">
      <c r="A568" s="69">
        <f>IF([5]PRIORIZADOS!A76="","",[5]PRIORIZADOS!A76)</f>
        <v>576</v>
      </c>
      <c r="B568" s="70">
        <f>IFERROR(IF(VLOOKUP(A568,[5]PRIORIZADOS!$A:$B,2,FALSE)="","",VLOOKUP(A568,[5]PRIORIZADOS!$A:$B,2,FALSE)),"")</f>
        <v>8</v>
      </c>
      <c r="C568" s="11" t="str">
        <f>IFERROR(IF(VLOOKUP(A568,[5]PRIORIZADOS!$A:$C,3,FALSE)="","",VLOOKUP(A568,[5]PRIORIZADOS!$A:$C,3,FALSE)),"")</f>
        <v>CIUDAD BOLÍVAR</v>
      </c>
      <c r="D568" s="11" t="str">
        <f>IFERROR(IF(VLOOKUP(A568,[5]PRIORIZADOS!$A:$D,4,FALSE)="","",VLOOKUP(A568,[5]PRIORIZADOS!$A:$D,4,FALSE)),"")</f>
        <v>PRIVADO</v>
      </c>
      <c r="E568" s="11" t="str">
        <f>IFERROR(IF(VLOOKUP(A568,[5]PRIORIZADOS!$A:$E,5,FALSE)="","",VLOOKUP(A568,[5]PRIORIZADOS!$A:$E,5,FALSE)),"")</f>
        <v>EPBM</v>
      </c>
      <c r="F568" s="11" t="str">
        <f>IFERROR(IF(VLOOKUP(A568,[5]PRIORIZADOS!$A:$F,6,FALSE)="","",VLOOKUP(A568,[5]PRIORIZADOS!$A:$F,6,FALSE)),"")</f>
        <v>COLEGIO_POPULAR_BOLIVARIANO</v>
      </c>
      <c r="G568" s="11" t="str">
        <f>IFERROR(IF(VLOOKUP(A568,[5]PRIORIZADOS!$A:$G,7,FALSE)="","",VLOOKUP(A568,[5]PRIORIZADOS!$A:$G,7,FALSE)),"")</f>
        <v>COLEGIO POPULAR BOLIVARIANO</v>
      </c>
      <c r="H568" s="11" t="str">
        <f>IFERROR(IF(VLOOKUP(A568,[5]PRIORIZADOS!$A:$H,8,FALSE)="","",VLOOKUP(A568,[5]PRIORIZADOS!$A:$H,8,FALSE)),"")</f>
        <v>Autoevaluación Institucional y Pruebas SABER 11</v>
      </c>
      <c r="I568" s="11" t="str">
        <f>IFERROR(IF(VLOOKUP(A568,[5]PRIORIZADOS!$A:$I,9,FALSE)="","",VLOOKUP(A568,[5]PRIORIZADOS!$A:$I,9,FALSE)),"")</f>
        <v>EVALUACIÓN_CON_FINES_DE_MEJORAMIENTO.</v>
      </c>
      <c r="J568" s="11" t="str">
        <f>IFERROR(IF(VLOOKUP(A568,[5]PRIORIZADOS!$A:$J,10,FALSE)="","",VLOOKUP(A568,[5]PRIORIZADOS!$A:$J,10,FALSE)),"")</f>
        <v>Revisar la actualización, socialización e implementación del Sistema Institucional de Evaluación de Estudiantes - SIEE, en articulación con la actualización del PEI y la normatividad vigente.</v>
      </c>
      <c r="K568" s="11" t="str">
        <f>IFERROR(IF(VLOOKUP(A568,[5]PRIORIZADOS!$A:$K,11,FALSE)="","",VLOOKUP(A568,[5]PRIORIZADOS!$A:$K,11,FALSE)),"")</f>
        <v xml:space="preserve">MARIA NANCY DUCUARA </v>
      </c>
      <c r="L568" s="11" t="str">
        <f>IFERROR(IF(VLOOKUP(A568,[5]PRIORIZADOS!$A:$L,12,FALSE)="","",VLOOKUP(A568,[5]PRIORIZADOS!$A:$L,12,FALSE)),"")</f>
        <v xml:space="preserve">CLAUDIA DOMÍNGUEZ TORRES </v>
      </c>
      <c r="M568" s="71">
        <f>IFERROR(IF(VLOOKUP(A568,[5]PRIORIZADOS!$A:$M,13,FALSE)="","",VLOOKUP(A568,[5]PRIORIZADOS!$A:$M,13,FALSE)),"")</f>
        <v>45828</v>
      </c>
      <c r="N568" s="71">
        <f>IFERROR(IF(VLOOKUP(A568,[5]PRIORIZADOS!$A:$N,14,FALSE)="","",VLOOKUP(A568,[5]PRIORIZADOS!$A:$N,14,FALSE)),"")</f>
        <v>45867</v>
      </c>
      <c r="O568" s="71">
        <f>IFERROR(IF(VLOOKUP(A568,[5]PRIORIZADOS!$A:$O,15,FALSE)="","",VLOOKUP(A568,[5]PRIORIZADOS!$A:$O,15,FALSE)),"")</f>
        <v>45898</v>
      </c>
      <c r="P568" s="11" t="str">
        <f>IFERROR(IF(VLOOKUP(A568,[5]PRIORIZADOS!$A:$P,16,FALSE)="","",VLOOKUP(A568,[5]PRIORIZADOS!$A:$P,16,FALSE)),"")</f>
        <v>Visitas de evaluación con fines de mejoramiento</v>
      </c>
      <c r="Q568" s="137" t="s">
        <v>121</v>
      </c>
      <c r="R568" s="11" t="str">
        <f>IFERROR(IF(VLOOKUP(A568,[5]PRIORIZADOS!$A:$R,18,FALSE)="","",VLOOKUP(A568,[5]PRIORIZADOS!$A:$R,18,FALSE)),"")</f>
        <v>La institución educativa tiene un Sistema de Evaluación de los estudiantes SIEE donde existen mecanismos de retroalimentación y coevaluación de Proceso formativo. Contempla Asesorías y Refuerzo escolar, compromisos de mejoramiento y opciones de nivelación en junio y noviembre, para estudiantes con promedio bajo.</v>
      </c>
      <c r="S568" s="11" t="str">
        <f>IFERROR(IF(VLOOKUP(A568,[5]PRIORIZADOS!$A:$S,19,FALSE)="","",VLOOKUP(A568,[5]PRIORIZADOS!$A:$S,19,FALSE)),"")</f>
        <v>Continuar con las actividades determinadas para el mejoramiento académico de los estudiantes.</v>
      </c>
      <c r="T568" s="70" t="str">
        <f>IFERROR(IF(VLOOKUP(A568,[5]PRIORIZADOS!$A:$T,20,FALSE)="","",VLOOKUP(A568,[5]PRIORIZADOS!$A:$T,20,FALSE)),"")</f>
        <v>No</v>
      </c>
      <c r="U568" s="11" t="str">
        <f>IFERROR(IF(VLOOKUP(A568,[5]PRIORIZADOS!$A:$U,21,FALSE)="","",VLOOKUP(A568,[5]PRIORIZADOS!$A:$U,21,FALSE)),"")</f>
        <v xml:space="preserve">Continuar con el fortalecimiento de la prestación del servicio educativo bajo principios de calidad. </v>
      </c>
    </row>
    <row r="569" spans="1:21" s="1" customFormat="1" ht="118.5">
      <c r="A569" s="69">
        <f>IF([5]PRIORIZADOS!A77="","",[5]PRIORIZADOS!A77)</f>
        <v>577</v>
      </c>
      <c r="B569" s="70">
        <f>IFERROR(IF(VLOOKUP(A569,[5]PRIORIZADOS!$A:$B,2,FALSE)="","",VLOOKUP(A569,[5]PRIORIZADOS!$A:$B,2,FALSE)),"")</f>
        <v>8</v>
      </c>
      <c r="C569" s="11" t="str">
        <f>IFERROR(IF(VLOOKUP(A569,[5]PRIORIZADOS!$A:$C,3,FALSE)="","",VLOOKUP(A569,[5]PRIORIZADOS!$A:$C,3,FALSE)),"")</f>
        <v>CIUDAD BOLÍVAR</v>
      </c>
      <c r="D569" s="11" t="str">
        <f>IFERROR(IF(VLOOKUP(A569,[5]PRIORIZADOS!$A:$D,4,FALSE)="","",VLOOKUP(A569,[5]PRIORIZADOS!$A:$D,4,FALSE)),"")</f>
        <v>PRIVADO</v>
      </c>
      <c r="E569" s="11" t="str">
        <f>IFERROR(IF(VLOOKUP(A569,[5]PRIORIZADOS!$A:$E,5,FALSE)="","",VLOOKUP(A569,[5]PRIORIZADOS!$A:$E,5,FALSE)),"")</f>
        <v>EPBM</v>
      </c>
      <c r="F569" s="11" t="str">
        <f>IFERROR(IF(VLOOKUP(A569,[5]PRIORIZADOS!$A:$F,6,FALSE)="","",VLOOKUP(A569,[5]PRIORIZADOS!$A:$F,6,FALSE)),"")</f>
        <v>COLEGIO_POPULAR_BOLIVARIANO</v>
      </c>
      <c r="G569" s="11" t="str">
        <f>IFERROR(IF(VLOOKUP(A569,[5]PRIORIZADOS!$A:$G,7,FALSE)="","",VLOOKUP(A569,[5]PRIORIZADOS!$A:$G,7,FALSE)),"")</f>
        <v>COLEGIO POPULAR BOLIVARIANO</v>
      </c>
      <c r="H569" s="11" t="str">
        <f>IFERROR(IF(VLOOKUP(A569,[5]PRIORIZADOS!$A:$H,8,FALSE)="","",VLOOKUP(A569,[5]PRIORIZADOS!$A:$H,8,FALSE)),"")</f>
        <v>Autoevaluación Institucional y Pruebas SABER 11</v>
      </c>
      <c r="I569" s="11" t="str">
        <f>IFERROR(IF(VLOOKUP(A569,[5]PRIORIZADOS!$A:$I,9,FALSE)="","",VLOOKUP(A569,[5]PRIORIZADOS!$A:$I,9,FALSE)),"")</f>
        <v>EVALUACIÓN_CON_FINES_DE_MEJORAMIENTO.</v>
      </c>
      <c r="J569" s="11" t="str">
        <f>IFERROR(IF(VLOOKUP(A569,[5]PRIORIZADOS!$A:$J,10,FALSE)="","",VLOOKUP(A569,[5]PRIORIZADOS!$A:$J,10,FALSE)),"")</f>
        <v>Revisar el calendario escolar, jornada escolar, la intensidad horaria mínima anual en cada nivel y las modificaciones que se realicen al mismo, de acuerdo con lo previsto en la normatividad vigente.</v>
      </c>
      <c r="K569" s="11" t="str">
        <f>IFERROR(IF(VLOOKUP(A569,[5]PRIORIZADOS!$A:$K,11,FALSE)="","",VLOOKUP(A569,[5]PRIORIZADOS!$A:$K,11,FALSE)),"")</f>
        <v xml:space="preserve">MARIA NANCY DUCUARA </v>
      </c>
      <c r="L569" s="11" t="str">
        <f>IFERROR(IF(VLOOKUP(A569,[5]PRIORIZADOS!$A:$L,12,FALSE)="","",VLOOKUP(A569,[5]PRIORIZADOS!$A:$L,12,FALSE)),"")</f>
        <v xml:space="preserve">CLAUDIA DOMÍNGUEZ TORRES </v>
      </c>
      <c r="M569" s="71">
        <f>IFERROR(IF(VLOOKUP(A569,[5]PRIORIZADOS!$A:$M,13,FALSE)="","",VLOOKUP(A569,[5]PRIORIZADOS!$A:$M,13,FALSE)),"")</f>
        <v>45828</v>
      </c>
      <c r="N569" s="71">
        <f>IFERROR(IF(VLOOKUP(A569,[5]PRIORIZADOS!$A:$N,14,FALSE)="","",VLOOKUP(A569,[5]PRIORIZADOS!$A:$N,14,FALSE)),"")</f>
        <v>45867</v>
      </c>
      <c r="O569" s="71">
        <f>IFERROR(IF(VLOOKUP(A569,[5]PRIORIZADOS!$A:$O,15,FALSE)="","",VLOOKUP(A569,[5]PRIORIZADOS!$A:$O,15,FALSE)),"")</f>
        <v>45867</v>
      </c>
      <c r="P569" s="11" t="str">
        <f>IFERROR(IF(VLOOKUP(A569,[5]PRIORIZADOS!$A:$P,16,FALSE)="","",VLOOKUP(A569,[5]PRIORIZADOS!$A:$P,16,FALSE)),"")</f>
        <v>Visitas de evaluación con fines de mejoramiento</v>
      </c>
      <c r="Q569" s="137" t="s">
        <v>121</v>
      </c>
      <c r="R569" s="11" t="str">
        <f>IFERROR(IF(VLOOKUP(A569,[5]PRIORIZADOS!$A:$R,18,FALSE)="","",VLOOKUP(A569,[5]PRIORIZADOS!$A:$R,18,FALSE)),"")</f>
        <v xml:space="preserve">El Plan de Estudios de Preescolar tiene una estructura rígida y una intensidad horaria fragmentada. El área de comerciales y emprendimiento se mantiene con dos horas semanales en décimo y once, es importante que esta área no disminuya la intensidad horaria de las demás áreas académicas. </v>
      </c>
      <c r="S569" s="11" t="str">
        <f>IFERROR(IF(VLOOKUP(A569,[5]PRIORIZADOS!$A:$S,19,FALSE)="","",VLOOKUP(A569,[5]PRIORIZADOS!$A:$S,19,FALSE)),"")</f>
        <v>Realizar la actualización del Plan de Estudios para que se evidencie los niveles de desarrollo en preescolar. Realizar la actualización de distribución de horas por asignatura que evidencien los objetivos específicos o estándares de desempeño por cada grado o ciclo. 
Realizar el ajuste en media académica para que la especialidad en comercial no desplace otras áreas.</v>
      </c>
      <c r="T569" s="70" t="str">
        <f>IFERROR(IF(VLOOKUP(A569,[5]PRIORIZADOS!$A:$T,20,FALSE)="","",VLOOKUP(A569,[5]PRIORIZADOS!$A:$T,20,FALSE)),"")</f>
        <v>Si</v>
      </c>
      <c r="U569" s="11" t="str">
        <f>IFERROR(IF(VLOOKUP(A569,[5]PRIORIZADOS!$A:$U,21,FALSE)="","",VLOOKUP(A569,[5]PRIORIZADOS!$A:$U,21,FALSE)),"")</f>
        <v>Revisión documental en el mes de octubre de 2025 para verificar el cumplimiento de las acciones establecidas en el plan de mejoramiento.</v>
      </c>
    </row>
    <row r="570" spans="1:21" s="1" customFormat="1" ht="107.25">
      <c r="A570" s="69">
        <f>IF([5]PRIORIZADOS!A78="","",[5]PRIORIZADOS!A78)</f>
        <v>578</v>
      </c>
      <c r="B570" s="70">
        <f>IFERROR(IF(VLOOKUP(A570,[5]PRIORIZADOS!$A:$B,2,FALSE)="","",VLOOKUP(A570,[5]PRIORIZADOS!$A:$B,2,FALSE)),"")</f>
        <v>8</v>
      </c>
      <c r="C570" s="11" t="str">
        <f>IFERROR(IF(VLOOKUP(A570,[5]PRIORIZADOS!$A:$C,3,FALSE)="","",VLOOKUP(A570,[5]PRIORIZADOS!$A:$C,3,FALSE)),"")</f>
        <v>CIUDAD BOLÍVAR</v>
      </c>
      <c r="D570" s="11" t="str">
        <f>IFERROR(IF(VLOOKUP(A570,[5]PRIORIZADOS!$A:$D,4,FALSE)="","",VLOOKUP(A570,[5]PRIORIZADOS!$A:$D,4,FALSE)),"")</f>
        <v>PRIVADO</v>
      </c>
      <c r="E570" s="11" t="str">
        <f>IFERROR(IF(VLOOKUP(A570,[5]PRIORIZADOS!$A:$E,5,FALSE)="","",VLOOKUP(A570,[5]PRIORIZADOS!$A:$E,5,FALSE)),"")</f>
        <v>EPBM</v>
      </c>
      <c r="F570" s="11" t="str">
        <f>IFERROR(IF(VLOOKUP(A570,[5]PRIORIZADOS!$A:$F,6,FALSE)="","",VLOOKUP(A570,[5]PRIORIZADOS!$A:$F,6,FALSE)),"")</f>
        <v>COLEGIO_POPULAR_BOLIVARIANO</v>
      </c>
      <c r="G570" s="11" t="str">
        <f>IFERROR(IF(VLOOKUP(A570,[5]PRIORIZADOS!$A:$G,7,FALSE)="","",VLOOKUP(A570,[5]PRIORIZADOS!$A:$G,7,FALSE)),"")</f>
        <v>COLEGIO POPULAR BOLIVARIANO</v>
      </c>
      <c r="H570" s="11" t="str">
        <f>IFERROR(IF(VLOOKUP(A570,[5]PRIORIZADOS!$A:$H,8,FALSE)="","",VLOOKUP(A570,[5]PRIORIZADOS!$A:$H,8,FALSE)),"")</f>
        <v>Autoevaluación Institucional y Pruebas SABER 11</v>
      </c>
      <c r="I570" s="11" t="str">
        <f>IFERROR(IF(VLOOKUP(A570,[5]PRIORIZADOS!$A:$I,9,FALSE)="","",VLOOKUP(A570,[5]PRIORIZADOS!$A:$I,9,FALSE)),"")</f>
        <v>EVALUACIÓN_CON_FINES_DE_MEJORAMIENTO.</v>
      </c>
      <c r="J570" s="11" t="str">
        <f>IFERROR(IF(VLOOKUP(A570,[5]PRIORIZADOS!$A:$J,10,FALSE)="","",VLOOKUP(A570,[5]PRIORIZADOS!$A:$J,10,FALSE)),"")</f>
        <v>Verificar el funcionamiento del Gobierno Escolar e instancias de participación con base en la información sobre conformación reportada por la institución educativa.</v>
      </c>
      <c r="K570" s="11" t="str">
        <f>IFERROR(IF(VLOOKUP(A570,[5]PRIORIZADOS!$A:$K,11,FALSE)="","",VLOOKUP(A570,[5]PRIORIZADOS!$A:$K,11,FALSE)),"")</f>
        <v xml:space="preserve">MARIA NANCY DUCUARA </v>
      </c>
      <c r="L570" s="11" t="str">
        <f>IFERROR(IF(VLOOKUP(A570,[5]PRIORIZADOS!$A:$L,12,FALSE)="","",VLOOKUP(A570,[5]PRIORIZADOS!$A:$L,12,FALSE)),"")</f>
        <v xml:space="preserve">CLAUDIA DOMÍNGUEZ TORRES </v>
      </c>
      <c r="M570" s="71">
        <f>IFERROR(IF(VLOOKUP(A570,[5]PRIORIZADOS!$A:$M,13,FALSE)="","",VLOOKUP(A570,[5]PRIORIZADOS!$A:$M,13,FALSE)),"")</f>
        <v>45828</v>
      </c>
      <c r="N570" s="71">
        <f>IFERROR(IF(VLOOKUP(A570,[5]PRIORIZADOS!$A:$N,14,FALSE)="","",VLOOKUP(A570,[5]PRIORIZADOS!$A:$N,14,FALSE)),"")</f>
        <v>45867</v>
      </c>
      <c r="O570" s="71">
        <f>IFERROR(IF(VLOOKUP(A570,[5]PRIORIZADOS!$A:$O,15,FALSE)="","",VLOOKUP(A570,[5]PRIORIZADOS!$A:$O,15,FALSE)),"")</f>
        <v>45867</v>
      </c>
      <c r="P570" s="11" t="str">
        <f>IFERROR(IF(VLOOKUP(A570,[5]PRIORIZADOS!$A:$P,16,FALSE)="","",VLOOKUP(A570,[5]PRIORIZADOS!$A:$P,16,FALSE)),"")</f>
        <v>Visitas de evaluación con fines de mejoramiento</v>
      </c>
      <c r="Q570" s="137" t="s">
        <v>121</v>
      </c>
      <c r="R570" s="11" t="str">
        <f>IFERROR(IF(VLOOKUP(A570,[5]PRIORIZADOS!$A:$R,18,FALSE)="","",VLOOKUP(A570,[5]PRIORIZADOS!$A:$R,18,FALSE)),"")</f>
        <v>Los estamentos de participación están conformados y existen actas de su funcionamiento, sin embargo, las actas no contienen las firmas de los participantes en las reuniones. Los estamentos de participación no tienen establecido su reglamento, ni Plan de Acción.</v>
      </c>
      <c r="S570" s="11" t="str">
        <f>IFERROR(IF(VLOOKUP(A570,[5]PRIORIZADOS!$A:$S,19,FALSE)="","",VLOOKUP(A570,[5]PRIORIZADOS!$A:$S,19,FALSE)),"")</f>
        <v xml:space="preserve">Realizar la revisión de las actas de los estamentos de participación para que se encuentren debidamente firmadas por los participantes. 
Elaborar el reglamento de los estamentos de participación.
Construir el Plan de acción de los estamentos de participación.
</v>
      </c>
      <c r="T570" s="70" t="str">
        <f>IFERROR(IF(VLOOKUP(A570,[5]PRIORIZADOS!$A:$T,20,FALSE)="","",VLOOKUP(A570,[5]PRIORIZADOS!$A:$T,20,FALSE)),"")</f>
        <v>Si</v>
      </c>
      <c r="U570" s="11" t="str">
        <f>IFERROR(IF(VLOOKUP(A570,[5]PRIORIZADOS!$A:$U,21,FALSE)="","",VLOOKUP(A570,[5]PRIORIZADOS!$A:$U,21,FALSE)),"")</f>
        <v>Revisión documental en el mes de octubre de 2025 para verificar el cumplimiento de las acciones establecidas en el plan de mejoramiento.</v>
      </c>
    </row>
    <row r="571" spans="1:21" s="1" customFormat="1" ht="202.5">
      <c r="A571" s="69">
        <f>IF([5]PRIORIZADOS!A79="","",[5]PRIORIZADOS!A79)</f>
        <v>579</v>
      </c>
      <c r="B571" s="70">
        <f>IFERROR(IF(VLOOKUP(A571,[5]PRIORIZADOS!$A:$B,2,FALSE)="","",VLOOKUP(A571,[5]PRIORIZADOS!$A:$B,2,FALSE)),"")</f>
        <v>8</v>
      </c>
      <c r="C571" s="11" t="str">
        <f>IFERROR(IF(VLOOKUP(A571,[5]PRIORIZADOS!$A:$C,3,FALSE)="","",VLOOKUP(A571,[5]PRIORIZADOS!$A:$C,3,FALSE)),"")</f>
        <v>CIUDAD BOLÍVAR</v>
      </c>
      <c r="D571" s="11" t="str">
        <f>IFERROR(IF(VLOOKUP(A571,[5]PRIORIZADOS!$A:$D,4,FALSE)="","",VLOOKUP(A571,[5]PRIORIZADOS!$A:$D,4,FALSE)),"")</f>
        <v>PRIVADO</v>
      </c>
      <c r="E571" s="11" t="str">
        <f>IFERROR(IF(VLOOKUP(A571,[5]PRIORIZADOS!$A:$E,5,FALSE)="","",VLOOKUP(A571,[5]PRIORIZADOS!$A:$E,5,FALSE)),"")</f>
        <v>EPBM</v>
      </c>
      <c r="F571" s="11" t="str">
        <f>IFERROR(IF(VLOOKUP(A571,[5]PRIORIZADOS!$A:$F,6,FALSE)="","",VLOOKUP(A571,[5]PRIORIZADOS!$A:$F,6,FALSE)),"")</f>
        <v>COLEGIO_POPULAR_BOLIVARIANO</v>
      </c>
      <c r="G571" s="11" t="str">
        <f>IFERROR(IF(VLOOKUP(A571,[5]PRIORIZADOS!$A:$G,7,FALSE)="","",VLOOKUP(A571,[5]PRIORIZADOS!$A:$G,7,FALSE)),"")</f>
        <v>COLEGIO POPULAR BOLIVARIANO</v>
      </c>
      <c r="H571" s="11" t="str">
        <f>IFERROR(IF(VLOOKUP(A571,[5]PRIORIZADOS!$A:$H,8,FALSE)="","",VLOOKUP(A571,[5]PRIORIZADOS!$A:$H,8,FALSE)),"")</f>
        <v>Autoevaluación Institucional y Pruebas SABER 11</v>
      </c>
      <c r="I571" s="11" t="str">
        <f>IFERROR(IF(VLOOKUP(A571,[5]PRIORIZADOS!$A:$I,9,FALSE)="","",VLOOKUP(A571,[5]PRIORIZADOS!$A:$I,9,FALSE)),"")</f>
        <v>EVALUACIÓN_CON_FINES_DE_MEJORAMIENTO.</v>
      </c>
      <c r="J571" s="11" t="str">
        <f>IFERROR(IF(VLOOKUP(A571,[5]PRIORIZADOS!$A:$J,10,FALSE)="","",VLOOKUP(A571,[5]PRIORIZADOS!$A:$J,10,FALSE)),"")</f>
        <v>Verificar las condiciones en cuanto a: la estructura administrativa, condiciones de la planta física y medios educativos adecuados.</v>
      </c>
      <c r="K571" s="11" t="str">
        <f>IFERROR(IF(VLOOKUP(A571,[5]PRIORIZADOS!$A:$K,11,FALSE)="","",VLOOKUP(A571,[5]PRIORIZADOS!$A:$K,11,FALSE)),"")</f>
        <v xml:space="preserve">MARIA NANCY DUCUARA </v>
      </c>
      <c r="L571" s="11" t="str">
        <f>IFERROR(IF(VLOOKUP(A571,[5]PRIORIZADOS!$A:$L,12,FALSE)="","",VLOOKUP(A571,[5]PRIORIZADOS!$A:$L,12,FALSE)),"")</f>
        <v xml:space="preserve">CLAUDIA DOMÍNGUEZ TORRES </v>
      </c>
      <c r="M571" s="71">
        <f>IFERROR(IF(VLOOKUP(A571,[5]PRIORIZADOS!$A:$M,13,FALSE)="","",VLOOKUP(A571,[5]PRIORIZADOS!$A:$M,13,FALSE)),"")</f>
        <v>45828</v>
      </c>
      <c r="N571" s="71">
        <f>IFERROR(IF(VLOOKUP(A571,[5]PRIORIZADOS!$A:$N,14,FALSE)="","",VLOOKUP(A571,[5]PRIORIZADOS!$A:$N,14,FALSE)),"")</f>
        <v>45867</v>
      </c>
      <c r="O571" s="71">
        <f>IFERROR(IF(VLOOKUP(A571,[5]PRIORIZADOS!$A:$O,15,FALSE)="","",VLOOKUP(A571,[5]PRIORIZADOS!$A:$O,15,FALSE)),"")</f>
        <v>45867</v>
      </c>
      <c r="P571" s="11" t="str">
        <f>IFERROR(IF(VLOOKUP(A571,[5]PRIORIZADOS!$A:$P,16,FALSE)="","",VLOOKUP(A571,[5]PRIORIZADOS!$A:$P,16,FALSE)),"")</f>
        <v>Visitas de evaluación con fines de mejoramiento</v>
      </c>
      <c r="Q571" s="137" t="s">
        <v>121</v>
      </c>
      <c r="R571" s="11" t="str">
        <f>IFERROR(IF(VLOOKUP(A571,[5]PRIORIZADOS!$A:$R,18,FALSE)="","",VLOOKUP(A571,[5]PRIORIZADOS!$A:$R,18,FALSE)),"")</f>
        <v>A nivel estructural se encuentra que existen salones y con espacios de recreación suficientes, sin embargo no tienen resolución de ambientes compartidos. 
Existe multigrado en preescolar y primaria.
No cuenta con organigrama actualizado de acuerdo a los cargos que se encuentran en la IE.
No se tiene reglamento Interno de Trabajo.
No se realiza el proceso de verificación de inhabilidades por delitos sexuales.
El Plan de Gestión del Riesgo se encuentra con documentos desactualizados y no hay conformación del del comité de gestión del riesgo.</v>
      </c>
      <c r="S571" s="11" t="str">
        <f>IFERROR(IF(VLOOKUP(A571,[5]PRIORIZADOS!$A:$S,19,FALSE)="","",VLOOKUP(A571,[5]PRIORIZADOS!$A:$S,19,FALSE)),"")</f>
        <v>Realizar separación de grados, con salones independientes para cada uno.
Realizar el trámite de ambientes compartidos.
Actualizar el organigrama y construir el reglamento de trabajo.
Realizar el proceso de verificación de inhabilidades por delitos sexuales cada cuatro meses.
Realizar la actualización de la documentación en el SURE, conformar y operativisar el Comité de Gestión del riesgo.</v>
      </c>
      <c r="T571" s="70" t="str">
        <f>IFERROR(IF(VLOOKUP(A571,[5]PRIORIZADOS!$A:$T,20,FALSE)="","",VLOOKUP(A571,[5]PRIORIZADOS!$A:$T,20,FALSE)),"")</f>
        <v>Si</v>
      </c>
      <c r="U571" s="11" t="str">
        <f>IFERROR(IF(VLOOKUP(A571,[5]PRIORIZADOS!$A:$U,21,FALSE)="","",VLOOKUP(A571,[5]PRIORIZADOS!$A:$U,21,FALSE)),"")</f>
        <v>La IE hará entrega del Plan de Mejoramiento el 30/09/2025.
El ELIV realizará seguimiento en el mes de octubre de 2025 para verificar el cumplimiento de las acciones propuestas en el plan de mejoramiento.</v>
      </c>
    </row>
    <row r="572" spans="1:21" s="1" customFormat="1" ht="48">
      <c r="A572" s="69">
        <f>IF([5]PRIORIZADOS!A80="","",[5]PRIORIZADOS!A80)</f>
        <v>580</v>
      </c>
      <c r="B572" s="70">
        <f>IFERROR(IF(VLOOKUP(A572,[5]PRIORIZADOS!$A:$B,2,FALSE)="","",VLOOKUP(A572,[5]PRIORIZADOS!$A:$B,2,FALSE)),"")</f>
        <v>9</v>
      </c>
      <c r="C572" s="11" t="str">
        <f>IFERROR(IF(VLOOKUP(A572,[5]PRIORIZADOS!$A:$C,3,FALSE)="","",VLOOKUP(A572,[5]PRIORIZADOS!$A:$C,3,FALSE)),"")</f>
        <v>CIUDAD BOLÍVAR</v>
      </c>
      <c r="D572" s="11" t="str">
        <f>IFERROR(IF(VLOOKUP(A572,[5]PRIORIZADOS!$A:$D,4,FALSE)="","",VLOOKUP(A572,[5]PRIORIZADOS!$A:$D,4,FALSE)),"")</f>
        <v>PRIVADO</v>
      </c>
      <c r="E572" s="11" t="str">
        <f>IFERROR(IF(VLOOKUP(A572,[5]PRIORIZADOS!$A:$E,5,FALSE)="","",VLOOKUP(A572,[5]PRIORIZADOS!$A:$E,5,FALSE)),"")</f>
        <v>EPBM</v>
      </c>
      <c r="F572" s="11" t="str">
        <f>IFERROR(IF(VLOOKUP(A572,[5]PRIORIZADOS!$A:$F,6,FALSE)="","",VLOOKUP(A572,[5]PRIORIZADOS!$A:$F,6,FALSE)),"")</f>
        <v>INSTITUTO_SANTA_ANA_LUZ_DEL_CARMEN</v>
      </c>
      <c r="G572" s="11" t="str">
        <f>IFERROR(IF(VLOOKUP(A572,[5]PRIORIZADOS!$A:$G,7,FALSE)="","",VLOOKUP(A572,[5]PRIORIZADOS!$A:$G,7,FALSE)),"")</f>
        <v>INSTITUTO SANTA ANA LUZ DEL CARMEN</v>
      </c>
      <c r="H572" s="11" t="str">
        <f>IFERROR(IF(VLOOKUP(A572,[5]PRIORIZADOS!$A:$H,8,FALSE)="","",VLOOKUP(A572,[5]PRIORIZADOS!$A:$H,8,FALSE)),"")</f>
        <v>Autoevaluación Institucional y Pruebas SABER 11</v>
      </c>
      <c r="I572" s="11" t="str">
        <f>IFERROR(IF(VLOOKUP(A572,[5]PRIORIZADOS!$A:$I,9,FALSE)="","",VLOOKUP(A572,[5]PRIORIZADOS!$A:$I,9,FALSE)),"")</f>
        <v>SEGUIMIENTO_Y_SUPERVISIÓN.</v>
      </c>
      <c r="J572" s="11" t="str">
        <f>IFERROR(IF(VLOOKUP(A572,[5]PRIORIZADOS!$A:$J,10,FALSE)="","",VLOOKUP(A572,[5]PRIORIZADOS!$A:$J,10,FALSE)),"")</f>
        <v>Realizar visitas para verificar la información registrada sobre la autoevaluación institucional en el aplicativo EVI, a los establecimientos de educación formal no oficial.</v>
      </c>
      <c r="K572" s="11" t="str">
        <f>IFERROR(IF(VLOOKUP(A572,[5]PRIORIZADOS!$A:$K,11,FALSE)="","",VLOOKUP(A572,[5]PRIORIZADOS!$A:$K,11,FALSE)),"")</f>
        <v xml:space="preserve">CLAUDIA DOMÍNGUEZ TORRES </v>
      </c>
      <c r="L572" s="11" t="str">
        <f>IFERROR(IF(VLOOKUP(A572,[5]PRIORIZADOS!$A:$L,12,FALSE)="","",VLOOKUP(A572,[5]PRIORIZADOS!$A:$L,12,FALSE)),"")</f>
        <v>ÓSCAR JAVIER CÁRDENAS MUÑOZ</v>
      </c>
      <c r="M572" s="71">
        <f>IFERROR(IF(VLOOKUP(A572,[5]PRIORIZADOS!$A:$M,13,FALSE)="","",VLOOKUP(A572,[5]PRIORIZADOS!$A:$M,13,FALSE)),"")</f>
        <v>45868</v>
      </c>
      <c r="N572" s="71">
        <f>IFERROR(IF(VLOOKUP(A572,[5]PRIORIZADOS!$A:$N,14,FALSE)="","",VLOOKUP(A572,[5]PRIORIZADOS!$A:$N,14,FALSE)),"")</f>
        <v>45769</v>
      </c>
      <c r="O572" s="71">
        <f>IFERROR(IF(VLOOKUP(A572,[5]PRIORIZADOS!$A:$O,15,FALSE)="","",VLOOKUP(A572,[5]PRIORIZADOS!$A:$O,15,FALSE)),"")</f>
        <v>45769</v>
      </c>
      <c r="P572" s="11" t="str">
        <f>IFERROR(IF(VLOOKUP(A572,[5]PRIORIZADOS!$A:$P,16,FALSE)="","",VLOOKUP(A572,[5]PRIORIZADOS!$A:$P,16,FALSE)),"")</f>
        <v>Visitas de evaluación con fines de mejoramiento</v>
      </c>
      <c r="Q572" s="5" t="s">
        <v>122</v>
      </c>
      <c r="R572" s="11" t="str">
        <f>IFERROR(IF(VLOOKUP(A572,[5]PRIORIZADOS!$A:$R,18,FALSE)="","",VLOOKUP(A572,[5]PRIORIZADOS!$A:$R,18,FALSE)),"")</f>
        <v xml:space="preserve">Se encuentra conformidad con lo reportado en EVI. </v>
      </c>
      <c r="S572" s="11" t="str">
        <f>IFERROR(IF(VLOOKUP(A572,[5]PRIORIZADOS!$A:$S,19,FALSE)="","",VLOOKUP(A572,[5]PRIORIZADOS!$A:$S,19,FALSE)),"")</f>
        <v>Se insta a la IE a continuar con el debido reporte en el EVI en el marco de la realidad institucional y de las actualizaciones y adecuaciones a la IE</v>
      </c>
      <c r="T572" s="70" t="str">
        <f>IFERROR(IF(VLOOKUP(A572,[5]PRIORIZADOS!$A:$T,20,FALSE)="","",VLOOKUP(A572,[5]PRIORIZADOS!$A:$T,20,FALSE)),"")</f>
        <v>No</v>
      </c>
      <c r="U572" s="11" t="str">
        <f>IFERROR(IF(VLOOKUP(A572,[5]PRIORIZADOS!$A:$U,21,FALSE)="","",VLOOKUP(A572,[5]PRIORIZADOS!$A:$U,21,FALSE)),"")</f>
        <v xml:space="preserve">Continuar con el fortalecimiento de la prestación del servicio educativo bajo principios de calidad. </v>
      </c>
    </row>
    <row r="573" spans="1:21" s="1" customFormat="1" ht="60">
      <c r="A573" s="69">
        <f>IF([5]PRIORIZADOS!A81="","",[5]PRIORIZADOS!A81)</f>
        <v>2786</v>
      </c>
      <c r="B573" s="70">
        <f>IFERROR(IF(VLOOKUP(A573,[5]PRIORIZADOS!$A:$B,2,FALSE)="","",VLOOKUP(A573,[5]PRIORIZADOS!$A:$B,2,FALSE)),"")</f>
        <v>9</v>
      </c>
      <c r="C573" s="11" t="str">
        <f>IFERROR(IF(VLOOKUP(A573,[5]PRIORIZADOS!$A:$C,3,FALSE)="","",VLOOKUP(A573,[5]PRIORIZADOS!$A:$C,3,FALSE)),"")</f>
        <v>CIUDAD BOLÍVAR</v>
      </c>
      <c r="D573" s="11" t="str">
        <f>IFERROR(IF(VLOOKUP(A573,[5]PRIORIZADOS!$A:$D,4,FALSE)="","",VLOOKUP(A573,[5]PRIORIZADOS!$A:$D,4,FALSE)),"")</f>
        <v>PRIVADO</v>
      </c>
      <c r="E573" s="11" t="str">
        <f>IFERROR(IF(VLOOKUP(A573,[5]PRIORIZADOS!$A:$E,5,FALSE)="","",VLOOKUP(A573,[5]PRIORIZADOS!$A:$E,5,FALSE)),"")</f>
        <v>EPBM</v>
      </c>
      <c r="F573" s="11" t="str">
        <f>IFERROR(IF(VLOOKUP(A573,[5]PRIORIZADOS!$A:$F,6,FALSE)="","",VLOOKUP(A573,[5]PRIORIZADOS!$A:$F,6,FALSE)),"")</f>
        <v>INSTITUTO_SANTA_ANA_LUZ_DEL_CARMEN</v>
      </c>
      <c r="G573" s="11" t="str">
        <f>IFERROR(IF(VLOOKUP(A573,[5]PRIORIZADOS!$A:$G,7,FALSE)="","",VLOOKUP(A573,[5]PRIORIZADOS!$A:$G,7,FALSE)),"")</f>
        <v>INSTITUTO SANTA ANA LUZ DEL CARMEN</v>
      </c>
      <c r="H573" s="11" t="str">
        <f>IFERROR(IF(VLOOKUP(A573,[5]PRIORIZADOS!$A:$H,8,FALSE)="","",VLOOKUP(A573,[5]PRIORIZADOS!$A:$H,8,FALSE)),"")</f>
        <v>Autoevaluación Institucional y Pruebas SABER 11</v>
      </c>
      <c r="I573" s="11" t="str">
        <f>IFERROR(IF(VLOOKUP(A573,[5]PRIORIZADOS!$A:$I,9,FALSE)="","",VLOOKUP(A573,[5]PRIORIZADOS!$A:$I,9,FALSE)),"")</f>
        <v>SEGUIMIENTO_Y_SUPERVISIÓN.</v>
      </c>
      <c r="J573" s="11" t="str">
        <f>IFERROR(IF(VLOOKUP(A573,[5]PRIORIZADOS!$A:$J,10,FALSE)="","",VLOOKUP(A573,[5]PRIORIZADOS!$A:$J,10,FALSE)),"")</f>
        <v>Proponer estrategias en la formulación, verificar su elaboración y realizar seguimiento semestral al desarrollo de  las acciones establecidas en los planes de mejoramiento por pruebas SABER 11 de los establecimientos de educación formal.</v>
      </c>
      <c r="K573" s="11" t="str">
        <f>IFERROR(IF(VLOOKUP(A573,[5]PRIORIZADOS!$A:$K,11,FALSE)="","",VLOOKUP(A573,[5]PRIORIZADOS!$A:$K,11,FALSE)),"")</f>
        <v xml:space="preserve">CLAUDIA DOMÍNGUEZ TORRES </v>
      </c>
      <c r="L573" s="11" t="str">
        <f>IFERROR(IF(VLOOKUP(A573,[5]PRIORIZADOS!$A:$L,12,FALSE)="","",VLOOKUP(A573,[5]PRIORIZADOS!$A:$L,12,FALSE)),"")</f>
        <v>ÓSCAR JAVIER CÁRDENAS MUÑOZ</v>
      </c>
      <c r="M573" s="71">
        <f>IFERROR(IF(VLOOKUP(A573,[5]PRIORIZADOS!$A:$M,13,FALSE)="","",VLOOKUP(A573,[5]PRIORIZADOS!$A:$M,13,FALSE)),"")</f>
        <v>45868</v>
      </c>
      <c r="N573" s="71">
        <f>IFERROR(IF(VLOOKUP(A573,[5]PRIORIZADOS!$A:$N,14,FALSE)="","",VLOOKUP(A573,[5]PRIORIZADOS!$A:$N,14,FALSE)),"")</f>
        <v>45769</v>
      </c>
      <c r="O573" s="71">
        <f>IFERROR(IF(VLOOKUP(A573,[5]PRIORIZADOS!$A:$O,15,FALSE)="","",VLOOKUP(A573,[5]PRIORIZADOS!$A:$O,15,FALSE)),"")</f>
        <v>45769</v>
      </c>
      <c r="P573" s="11" t="str">
        <f>IFERROR(IF(VLOOKUP(A573,[5]PRIORIZADOS!$A:$P,16,FALSE)="","",VLOOKUP(A573,[5]PRIORIZADOS!$A:$P,16,FALSE)),"")</f>
        <v>Visitas de evaluación con fines de mejoramiento</v>
      </c>
      <c r="Q573" s="5" t="s">
        <v>122</v>
      </c>
      <c r="R573" s="11" t="str">
        <f>IFERROR(IF(VLOOKUP(A573,[5]PRIORIZADOS!$A:$R,18,FALSE)="","",VLOOKUP(A573,[5]PRIORIZADOS!$A:$R,18,FALSE)),"")</f>
        <v>Cuentan con un plan de acción para el mejoramiento de los resulatdos en Pruebas Saber</v>
      </c>
      <c r="S573" s="11" t="str">
        <f>IFERROR(IF(VLOOKUP(A573,[5]PRIORIZADOS!$A:$S,19,FALSE)="","",VLOOKUP(A573,[5]PRIORIZADOS!$A:$S,19,FALSE)),"")</f>
        <v>Realizar una actualización curricular en todos los grados a efectos de garantizar mejormiento en los resultados.</v>
      </c>
      <c r="T573" s="70" t="str">
        <f>IFERROR(IF(VLOOKUP(A573,[5]PRIORIZADOS!$A:$T,20,FALSE)="","",VLOOKUP(A573,[5]PRIORIZADOS!$A:$T,20,FALSE)),"")</f>
        <v>Si</v>
      </c>
      <c r="U573" s="11" t="str">
        <f>IFERROR(IF(VLOOKUP(A573,[5]PRIORIZADOS!$A:$U,21,FALSE)="","",VLOOKUP(A573,[5]PRIORIZADOS!$A:$U,21,FALSE)),"")</f>
        <v>La IE hará entrega del Plan de Mejoramiento el 22/05/2025.
El ELIV realizará seguimiento en septiembre de 2025 para verificar el cumplimiento de las acciones propuestas en el plan de mejoramiento.</v>
      </c>
    </row>
    <row r="574" spans="1:21" s="1" customFormat="1" ht="48">
      <c r="A574" s="69">
        <f>IF([5]PRIORIZADOS!A82="","",[5]PRIORIZADOS!A82)</f>
        <v>2787</v>
      </c>
      <c r="B574" s="70">
        <f>IFERROR(IF(VLOOKUP(A574,[5]PRIORIZADOS!$A:$B,2,FALSE)="","",VLOOKUP(A574,[5]PRIORIZADOS!$A:$B,2,FALSE)),"")</f>
        <v>9</v>
      </c>
      <c r="C574" s="11" t="str">
        <f>IFERROR(IF(VLOOKUP(A574,[5]PRIORIZADOS!$A:$C,3,FALSE)="","",VLOOKUP(A574,[5]PRIORIZADOS!$A:$C,3,FALSE)),"")</f>
        <v>CIUDAD BOLÍVAR</v>
      </c>
      <c r="D574" s="11" t="str">
        <f>IFERROR(IF(VLOOKUP(A574,[5]PRIORIZADOS!$A:$D,4,FALSE)="","",VLOOKUP(A574,[5]PRIORIZADOS!$A:$D,4,FALSE)),"")</f>
        <v>PRIVADO</v>
      </c>
      <c r="E574" s="11" t="str">
        <f>IFERROR(IF(VLOOKUP(A574,[5]PRIORIZADOS!$A:$E,5,FALSE)="","",VLOOKUP(A574,[5]PRIORIZADOS!$A:$E,5,FALSE)),"")</f>
        <v>EPBM</v>
      </c>
      <c r="F574" s="11" t="str">
        <f>IFERROR(IF(VLOOKUP(A574,[5]PRIORIZADOS!$A:$F,6,FALSE)="","",VLOOKUP(A574,[5]PRIORIZADOS!$A:$F,6,FALSE)),"")</f>
        <v>INSTITUTO_SANTA_ANA_LUZ_DEL_CARMEN</v>
      </c>
      <c r="G574" s="11" t="str">
        <f>IFERROR(IF(VLOOKUP(A574,[5]PRIORIZADOS!$A:$G,7,FALSE)="","",VLOOKUP(A574,[5]PRIORIZADOS!$A:$G,7,FALSE)),"")</f>
        <v>INSTITUTO SANTA ANA LUZ DEL CARMEN</v>
      </c>
      <c r="H574" s="11" t="str">
        <f>IFERROR(IF(VLOOKUP(A574,[5]PRIORIZADOS!$A:$H,8,FALSE)="","",VLOOKUP(A574,[5]PRIORIZADOS!$A:$H,8,FALSE)),"")</f>
        <v>Autoevaluación Institucional y Pruebas SABER 11</v>
      </c>
      <c r="I574" s="11" t="str">
        <f>IFERROR(IF(VLOOKUP(A574,[5]PRIORIZADOS!$A:$I,9,FALSE)="","",VLOOKUP(A574,[5]PRIORIZADOS!$A:$I,9,FALSE)),"")</f>
        <v>SEGUIMIENTO_Y_SUPERVISIÓN.</v>
      </c>
      <c r="J574" s="11" t="str">
        <f>IFERROR(IF(VLOOKUP(A574,[5]PRIORIZADOS!$A:$J,10,FALSE)="","",VLOOKUP(A574,[5]PRIORIZADOS!$A:$J,10,FALSE)),"")</f>
        <v xml:space="preserve">Verificar la implementación por parte de los colegios, de acciones realizadas para la prevención y atención de las situaciones de convivencia en el entorno escolar, según lo establecido en la Directiva 01 de 2022 del MEN. </v>
      </c>
      <c r="K574" s="11" t="str">
        <f>IFERROR(IF(VLOOKUP(A574,[5]PRIORIZADOS!$A:$K,11,FALSE)="","",VLOOKUP(A574,[5]PRIORIZADOS!$A:$K,11,FALSE)),"")</f>
        <v xml:space="preserve">CLAUDIA DOMÍNGUEZ TORRES </v>
      </c>
      <c r="L574" s="11" t="str">
        <f>IFERROR(IF(VLOOKUP(A574,[5]PRIORIZADOS!$A:$L,12,FALSE)="","",VLOOKUP(A574,[5]PRIORIZADOS!$A:$L,12,FALSE)),"")</f>
        <v>ÓSCAR JAVIER CÁRDENAS MUÑOZ</v>
      </c>
      <c r="M574" s="71">
        <f>IFERROR(IF(VLOOKUP(A574,[5]PRIORIZADOS!$A:$M,13,FALSE)="","",VLOOKUP(A574,[5]PRIORIZADOS!$A:$M,13,FALSE)),"")</f>
        <v>45868</v>
      </c>
      <c r="N574" s="71">
        <f>IFERROR(IF(VLOOKUP(A574,[5]PRIORIZADOS!$A:$N,14,FALSE)="","",VLOOKUP(A574,[5]PRIORIZADOS!$A:$N,14,FALSE)),"")</f>
        <v>45769</v>
      </c>
      <c r="O574" s="71">
        <f>IFERROR(IF(VLOOKUP(A574,[5]PRIORIZADOS!$A:$O,15,FALSE)="","",VLOOKUP(A574,[5]PRIORIZADOS!$A:$O,15,FALSE)),"")</f>
        <v>45769</v>
      </c>
      <c r="P574" s="11" t="str">
        <f>IFERROR(IF(VLOOKUP(A574,[5]PRIORIZADOS!$A:$P,16,FALSE)="","",VLOOKUP(A574,[5]PRIORIZADOS!$A:$P,16,FALSE)),"")</f>
        <v>Visitas de evaluación con fines de mejoramiento</v>
      </c>
      <c r="Q574" s="5" t="s">
        <v>122</v>
      </c>
      <c r="R574" s="11" t="str">
        <f>IFERROR(IF(VLOOKUP(A574,[5]PRIORIZADOS!$A:$R,18,FALSE)="","",VLOOKUP(A574,[5]PRIORIZADOS!$A:$R,18,FALSE)),"")</f>
        <v>Desarrollan diversas actividades de promoción y prevención e incluyen un acorde control de la convivencia y de los casos más relevantes.</v>
      </c>
      <c r="S574" s="11" t="str">
        <f>IFERROR(IF(VLOOKUP(A574,[5]PRIORIZADOS!$A:$S,19,FALSE)="","",VLOOKUP(A574,[5]PRIORIZADOS!$A:$S,19,FALSE)),"")</f>
        <v>Hacer revisión al Manual de Convivencia teniendo especial atención en el tema de enfoque restaurativo y de drechos humanos.</v>
      </c>
      <c r="T574" s="70" t="str">
        <f>IFERROR(IF(VLOOKUP(A574,[5]PRIORIZADOS!$A:$T,20,FALSE)="","",VLOOKUP(A574,[5]PRIORIZADOS!$A:$T,20,FALSE)),"")</f>
        <v>Si</v>
      </c>
      <c r="U574" s="11" t="str">
        <f>IFERROR(IF(VLOOKUP(A574,[5]PRIORIZADOS!$A:$U,21,FALSE)="","",VLOOKUP(A574,[5]PRIORIZADOS!$A:$U,21,FALSE)),"")</f>
        <v>La IE hará entrega del Plan de Mejoramiento el 22/05/2025.
El ELIV realizará seguimiento en septiembre de 2025 para verificar el cumplimiento de las acciones propuestas en el plan de mejoramiento.</v>
      </c>
    </row>
    <row r="575" spans="1:21" s="1" customFormat="1" ht="72">
      <c r="A575" s="69">
        <f>IF([5]PRIORIZADOS!A83="","",[5]PRIORIZADOS!A83)</f>
        <v>2788</v>
      </c>
      <c r="B575" s="70">
        <f>IFERROR(IF(VLOOKUP(A575,[5]PRIORIZADOS!$A:$B,2,FALSE)="","",VLOOKUP(A575,[5]PRIORIZADOS!$A:$B,2,FALSE)),"")</f>
        <v>9</v>
      </c>
      <c r="C575" s="11" t="str">
        <f>IFERROR(IF(VLOOKUP(A575,[5]PRIORIZADOS!$A:$C,3,FALSE)="","",VLOOKUP(A575,[5]PRIORIZADOS!$A:$C,3,FALSE)),"")</f>
        <v>CIUDAD BOLÍVAR</v>
      </c>
      <c r="D575" s="11" t="str">
        <f>IFERROR(IF(VLOOKUP(A575,[5]PRIORIZADOS!$A:$D,4,FALSE)="","",VLOOKUP(A575,[5]PRIORIZADOS!$A:$D,4,FALSE)),"")</f>
        <v>PRIVADO</v>
      </c>
      <c r="E575" s="11" t="str">
        <f>IFERROR(IF(VLOOKUP(A575,[5]PRIORIZADOS!$A:$E,5,FALSE)="","",VLOOKUP(A575,[5]PRIORIZADOS!$A:$E,5,FALSE)),"")</f>
        <v>EPBM</v>
      </c>
      <c r="F575" s="11" t="str">
        <f>IFERROR(IF(VLOOKUP(A575,[5]PRIORIZADOS!$A:$F,6,FALSE)="","",VLOOKUP(A575,[5]PRIORIZADOS!$A:$F,6,FALSE)),"")</f>
        <v>INSTITUTO_SANTA_ANA_LUZ_DEL_CARMEN</v>
      </c>
      <c r="G575" s="11" t="str">
        <f>IFERROR(IF(VLOOKUP(A575,[5]PRIORIZADOS!$A:$G,7,FALSE)="","",VLOOKUP(A575,[5]PRIORIZADOS!$A:$G,7,FALSE)),"")</f>
        <v>INSTITUTO SANTA ANA LUZ DEL CARMEN</v>
      </c>
      <c r="H575" s="11" t="str">
        <f>IFERROR(IF(VLOOKUP(A575,[5]PRIORIZADOS!$A:$H,8,FALSE)="","",VLOOKUP(A575,[5]PRIORIZADOS!$A:$H,8,FALSE)),"")</f>
        <v>Autoevaluación Institucional y Pruebas SABER 11</v>
      </c>
      <c r="I575" s="11" t="str">
        <f>IFERROR(IF(VLOOKUP(A575,[5]PRIORIZADOS!$A:$I,9,FALSE)="","",VLOOKUP(A575,[5]PRIORIZADOS!$A:$I,9,FALSE)),"")</f>
        <v>SEGUIMIENTO_Y_SUPERVISIÓN.</v>
      </c>
      <c r="J575" s="11" t="str">
        <f>IFERROR(IF(VLOOKUP(A575,[5]PRIORIZADOS!$A:$J,10,FALSE)="","",VLOOKUP(A575,[5]PRIORIZADOS!$A:$J,10,FALSE)),"")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75" s="11" t="str">
        <f>IFERROR(IF(VLOOKUP(A575,[5]PRIORIZADOS!$A:$K,11,FALSE)="","",VLOOKUP(A575,[5]PRIORIZADOS!$A:$K,11,FALSE)),"")</f>
        <v xml:space="preserve">CLAUDIA DOMÍNGUEZ TORRES </v>
      </c>
      <c r="L575" s="11" t="str">
        <f>IFERROR(IF(VLOOKUP(A575,[5]PRIORIZADOS!$A:$L,12,FALSE)="","",VLOOKUP(A575,[5]PRIORIZADOS!$A:$L,12,FALSE)),"")</f>
        <v>ÓSCAR JAVIER CÁRDENAS MUÑOZ</v>
      </c>
      <c r="M575" s="71">
        <f>IFERROR(IF(VLOOKUP(A575,[5]PRIORIZADOS!$A:$M,13,FALSE)="","",VLOOKUP(A575,[5]PRIORIZADOS!$A:$M,13,FALSE)),"")</f>
        <v>45868</v>
      </c>
      <c r="N575" s="71">
        <f>IFERROR(IF(VLOOKUP(A575,[5]PRIORIZADOS!$A:$N,14,FALSE)="","",VLOOKUP(A575,[5]PRIORIZADOS!$A:$N,14,FALSE)),"")</f>
        <v>45769</v>
      </c>
      <c r="O575" s="71">
        <f>IFERROR(IF(VLOOKUP(A575,[5]PRIORIZADOS!$A:$O,15,FALSE)="","",VLOOKUP(A575,[5]PRIORIZADOS!$A:$O,15,FALSE)),"")</f>
        <v>45769</v>
      </c>
      <c r="P575" s="11" t="str">
        <f>IFERROR(IF(VLOOKUP(A575,[5]PRIORIZADOS!$A:$P,16,FALSE)="","",VLOOKUP(A575,[5]PRIORIZADOS!$A:$P,16,FALSE)),"")</f>
        <v>Visitas de evaluación con fines de mejoramiento</v>
      </c>
      <c r="Q575" s="5" t="s">
        <v>122</v>
      </c>
      <c r="R575" s="11" t="str">
        <f>IFERROR(IF(VLOOKUP(A575,[5]PRIORIZADOS!$A:$R,18,FALSE)="","",VLOOKUP(A575,[5]PRIORIZADOS!$A:$R,18,FALSE)),"")</f>
        <v>Tienen un adecuado seguimiento y control de los casos de inclusión que requieren ajustes</v>
      </c>
      <c r="S575" s="11" t="str">
        <f>IFERROR(IF(VLOOKUP(A575,[5]PRIORIZADOS!$A:$S,19,FALSE)="","",VLOOKUP(A575,[5]PRIORIZADOS!$A:$S,19,FALSE)),"")</f>
        <v xml:space="preserve">Ampliar el personal de orientación para la atención de este tipo de condiciones, toda vez que el proceso lo desarrolla la misma coordiandora académica. </v>
      </c>
      <c r="T575" s="70" t="str">
        <f>IFERROR(IF(VLOOKUP(A575,[5]PRIORIZADOS!$A:$T,20,FALSE)="","",VLOOKUP(A575,[5]PRIORIZADOS!$A:$T,20,FALSE)),"")</f>
        <v>Si</v>
      </c>
      <c r="U575" s="11" t="str">
        <f>IFERROR(IF(VLOOKUP(A575,[5]PRIORIZADOS!$A:$U,21,FALSE)="","",VLOOKUP(A575,[5]PRIORIZADOS!$A:$U,21,FALSE)),"")</f>
        <v>La IE hará entrega del Plan de Mejoramiento el 22/05/2025.
El ELIV realizará seguimiento en septiembre de 2025 para verificar el cumplimiento de las acciones propuestas en el plan de mejoramiento.</v>
      </c>
    </row>
    <row r="576" spans="1:21" s="1" customFormat="1" ht="84">
      <c r="A576" s="69">
        <f>IF([5]PRIORIZADOS!A84="","",[5]PRIORIZADOS!A84)</f>
        <v>2789</v>
      </c>
      <c r="B576" s="70">
        <f>IFERROR(IF(VLOOKUP(A576,[5]PRIORIZADOS!$A:$B,2,FALSE)="","",VLOOKUP(A576,[5]PRIORIZADOS!$A:$B,2,FALSE)),"")</f>
        <v>9</v>
      </c>
      <c r="C576" s="11" t="str">
        <f>IFERROR(IF(VLOOKUP(A576,[5]PRIORIZADOS!$A:$C,3,FALSE)="","",VLOOKUP(A576,[5]PRIORIZADOS!$A:$C,3,FALSE)),"")</f>
        <v>CIUDAD BOLÍVAR</v>
      </c>
      <c r="D576" s="11" t="str">
        <f>IFERROR(IF(VLOOKUP(A576,[5]PRIORIZADOS!$A:$D,4,FALSE)="","",VLOOKUP(A576,[5]PRIORIZADOS!$A:$D,4,FALSE)),"")</f>
        <v>PRIVADO</v>
      </c>
      <c r="E576" s="11" t="str">
        <f>IFERROR(IF(VLOOKUP(A576,[5]PRIORIZADOS!$A:$E,5,FALSE)="","",VLOOKUP(A576,[5]PRIORIZADOS!$A:$E,5,FALSE)),"")</f>
        <v>EPBM</v>
      </c>
      <c r="F576" s="11" t="str">
        <f>IFERROR(IF(VLOOKUP(A576,[5]PRIORIZADOS!$A:$F,6,FALSE)="","",VLOOKUP(A576,[5]PRIORIZADOS!$A:$F,6,FALSE)),"")</f>
        <v>INSTITUTO_SANTA_ANA_LUZ_DEL_CARMEN</v>
      </c>
      <c r="G576" s="11" t="str">
        <f>IFERROR(IF(VLOOKUP(A576,[5]PRIORIZADOS!$A:$G,7,FALSE)="","",VLOOKUP(A576,[5]PRIORIZADOS!$A:$G,7,FALSE)),"")</f>
        <v>INSTITUTO SANTA ANA LUZ DEL CARMEN</v>
      </c>
      <c r="H576" s="11" t="str">
        <f>IFERROR(IF(VLOOKUP(A576,[5]PRIORIZADOS!$A:$H,8,FALSE)="","",VLOOKUP(A576,[5]PRIORIZADOS!$A:$H,8,FALSE)),"")</f>
        <v>Autoevaluación Institucional y Pruebas SABER 11</v>
      </c>
      <c r="I576" s="11" t="str">
        <f>IFERROR(IF(VLOOKUP(A576,[5]PRIORIZADOS!$A:$I,9,FALSE)="","",VLOOKUP(A576,[5]PRIORIZADOS!$A:$I,9,FALSE)),"")</f>
        <v>EVALUACIÓN_CON_FINES_DE_MEJORAMIENTO.</v>
      </c>
      <c r="J576" s="11" t="str">
        <f>IFERROR(IF(VLOOKUP(A576,[5]PRIORIZADOS!$A:$J,10,FALSE)="","",VLOOKUP(A576,[5]PRIORIZADOS!$A:$J,10,FALSE)),"")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76" s="11" t="str">
        <f>IFERROR(IF(VLOOKUP(A576,[5]PRIORIZADOS!$A:$K,11,FALSE)="","",VLOOKUP(A576,[5]PRIORIZADOS!$A:$K,11,FALSE)),"")</f>
        <v xml:space="preserve">CLAUDIA DOMÍNGUEZ TORRES </v>
      </c>
      <c r="L576" s="11" t="str">
        <f>IFERROR(IF(VLOOKUP(A576,[5]PRIORIZADOS!$A:$L,12,FALSE)="","",VLOOKUP(A576,[5]PRIORIZADOS!$A:$L,12,FALSE)),"")</f>
        <v>ÓSCAR JAVIER CÁRDENAS MUÑOZ</v>
      </c>
      <c r="M576" s="71">
        <f>IFERROR(IF(VLOOKUP(A576,[5]PRIORIZADOS!$A:$M,13,FALSE)="","",VLOOKUP(A576,[5]PRIORIZADOS!$A:$M,13,FALSE)),"")</f>
        <v>45868</v>
      </c>
      <c r="N576" s="71">
        <f>IFERROR(IF(VLOOKUP(A576,[5]PRIORIZADOS!$A:$N,14,FALSE)="","",VLOOKUP(A576,[5]PRIORIZADOS!$A:$N,14,FALSE)),"")</f>
        <v>45769</v>
      </c>
      <c r="O576" s="71">
        <f>IFERROR(IF(VLOOKUP(A576,[5]PRIORIZADOS!$A:$O,15,FALSE)="","",VLOOKUP(A576,[5]PRIORIZADOS!$A:$O,15,FALSE)),"")</f>
        <v>45769</v>
      </c>
      <c r="P576" s="11" t="str">
        <f>IFERROR(IF(VLOOKUP(A576,[5]PRIORIZADOS!$A:$P,16,FALSE)="","",VLOOKUP(A576,[5]PRIORIZADOS!$A:$P,16,FALSE)),"")</f>
        <v>Visitas de evaluación con fines de mejoramiento</v>
      </c>
      <c r="Q576" s="5" t="s">
        <v>122</v>
      </c>
      <c r="R576" s="11" t="str">
        <f>IFERROR(IF(VLOOKUP(A576,[5]PRIORIZADOS!$A:$R,18,FALSE)="","",VLOOKUP(A576,[5]PRIORIZADOS!$A:$R,18,FALSE)),"")</f>
        <v>Tienen un Manual de Convivencia actualizado, construido con la participación de la comunidad educativa.</v>
      </c>
      <c r="S576" s="11" t="str">
        <f>IFERROR(IF(VLOOKUP(A576,[5]PRIORIZADOS!$A:$S,19,FALSE)="","",VLOOKUP(A576,[5]PRIORIZADOS!$A:$S,19,FALSE)),"")</f>
        <v>Actualización de protocolos e incluir enfoque restaurativo y de derechos humanos en el Manual.</v>
      </c>
      <c r="T576" s="70" t="str">
        <f>IFERROR(IF(VLOOKUP(A576,[5]PRIORIZADOS!$A:$T,20,FALSE)="","",VLOOKUP(A576,[5]PRIORIZADOS!$A:$T,20,FALSE)),"")</f>
        <v>Si</v>
      </c>
      <c r="U576" s="11" t="str">
        <f>IFERROR(IF(VLOOKUP(A576,[5]PRIORIZADOS!$A:$U,21,FALSE)="","",VLOOKUP(A576,[5]PRIORIZADOS!$A:$U,21,FALSE)),"")</f>
        <v>La IE hará entrega del Plan de Mejoramiento el 22/05/2025.
El ELIV realizará seguimiento en septiembre de 2025 para verificar el cumplimiento de las acciones propuestas en el plan de mejoramiento.</v>
      </c>
    </row>
    <row r="577" spans="1:21" s="1" customFormat="1" ht="48">
      <c r="A577" s="69">
        <f>IF([5]PRIORIZADOS!A85="","",[5]PRIORIZADOS!A85)</f>
        <v>2790</v>
      </c>
      <c r="B577" s="70">
        <f>IFERROR(IF(VLOOKUP(A577,[5]PRIORIZADOS!$A:$B,2,FALSE)="","",VLOOKUP(A577,[5]PRIORIZADOS!$A:$B,2,FALSE)),"")</f>
        <v>9</v>
      </c>
      <c r="C577" s="11" t="str">
        <f>IFERROR(IF(VLOOKUP(A577,[5]PRIORIZADOS!$A:$C,3,FALSE)="","",VLOOKUP(A577,[5]PRIORIZADOS!$A:$C,3,FALSE)),"")</f>
        <v>CIUDAD BOLÍVAR</v>
      </c>
      <c r="D577" s="11" t="str">
        <f>IFERROR(IF(VLOOKUP(A577,[5]PRIORIZADOS!$A:$D,4,FALSE)="","",VLOOKUP(A577,[5]PRIORIZADOS!$A:$D,4,FALSE)),"")</f>
        <v>PRIVADO</v>
      </c>
      <c r="E577" s="11" t="str">
        <f>IFERROR(IF(VLOOKUP(A577,[5]PRIORIZADOS!$A:$E,5,FALSE)="","",VLOOKUP(A577,[5]PRIORIZADOS!$A:$E,5,FALSE)),"")</f>
        <v>EPBM</v>
      </c>
      <c r="F577" s="11" t="str">
        <f>IFERROR(IF(VLOOKUP(A577,[5]PRIORIZADOS!$A:$F,6,FALSE)="","",VLOOKUP(A577,[5]PRIORIZADOS!$A:$F,6,FALSE)),"")</f>
        <v>INSTITUTO_SANTA_ANA_LUZ_DEL_CARMEN</v>
      </c>
      <c r="G577" s="11" t="str">
        <f>IFERROR(IF(VLOOKUP(A577,[5]PRIORIZADOS!$A:$G,7,FALSE)="","",VLOOKUP(A577,[5]PRIORIZADOS!$A:$G,7,FALSE)),"")</f>
        <v>INSTITUTO SANTA ANA LUZ DEL CARMEN</v>
      </c>
      <c r="H577" s="11" t="str">
        <f>IFERROR(IF(VLOOKUP(A577,[5]PRIORIZADOS!$A:$H,8,FALSE)="","",VLOOKUP(A577,[5]PRIORIZADOS!$A:$H,8,FALSE)),"")</f>
        <v>Autoevaluación Institucional y Pruebas SABER 11</v>
      </c>
      <c r="I577" s="11" t="str">
        <f>IFERROR(IF(VLOOKUP(A577,[5]PRIORIZADOS!$A:$I,9,FALSE)="","",VLOOKUP(A577,[5]PRIORIZADOS!$A:$I,9,FALSE)),"")</f>
        <v>EVALUACIÓN_CON_FINES_DE_MEJORAMIENTO.</v>
      </c>
      <c r="J577" s="11" t="str">
        <f>IFERROR(IF(VLOOKUP(A577,[5]PRIORIZADOS!$A:$J,10,FALSE)="","",VLOOKUP(A577,[5]PRIORIZADOS!$A:$J,10,FALSE)),"")</f>
        <v>Revisar la actualización, socialización e implementación del Sistema Institucional de Evaluación de Estudiantes - SIEE, en articulación con la actualización del PEI y la normatividad vigente.</v>
      </c>
      <c r="K577" s="11" t="str">
        <f>IFERROR(IF(VLOOKUP(A577,[5]PRIORIZADOS!$A:$K,11,FALSE)="","",VLOOKUP(A577,[5]PRIORIZADOS!$A:$K,11,FALSE)),"")</f>
        <v xml:space="preserve">CLAUDIA DOMÍNGUEZ TORRES </v>
      </c>
      <c r="L577" s="11" t="str">
        <f>IFERROR(IF(VLOOKUP(A577,[5]PRIORIZADOS!$A:$L,12,FALSE)="","",VLOOKUP(A577,[5]PRIORIZADOS!$A:$L,12,FALSE)),"")</f>
        <v>ÓSCAR JAVIER CÁRDENAS MUÑOZ</v>
      </c>
      <c r="M577" s="71">
        <f>IFERROR(IF(VLOOKUP(A577,[5]PRIORIZADOS!$A:$M,13,FALSE)="","",VLOOKUP(A577,[5]PRIORIZADOS!$A:$M,13,FALSE)),"")</f>
        <v>45868</v>
      </c>
      <c r="N577" s="71" t="str">
        <f>IFERROR(IF(VLOOKUP(A577,[5]PRIORIZADOS!$A:$N,14,FALSE)="","",VLOOKUP(A577,[5]PRIORIZADOS!$A:$N,14,FALSE)),"")</f>
        <v>22/04/2025</v>
      </c>
      <c r="O577" s="71">
        <f>IFERROR(IF(VLOOKUP(A577,[5]PRIORIZADOS!$A:$O,15,FALSE)="","",VLOOKUP(A577,[5]PRIORIZADOS!$A:$O,15,FALSE)),"")</f>
        <v>45769</v>
      </c>
      <c r="P577" s="11" t="str">
        <f>IFERROR(IF(VLOOKUP(A577,[5]PRIORIZADOS!$A:$P,16,FALSE)="","",VLOOKUP(A577,[5]PRIORIZADOS!$A:$P,16,FALSE)),"")</f>
        <v>Visitas de evaluación con fines de mejoramiento</v>
      </c>
      <c r="Q577" s="5" t="s">
        <v>122</v>
      </c>
      <c r="R577" s="11" t="str">
        <f>IFERROR(IF(VLOOKUP(A577,[5]PRIORIZADOS!$A:$R,18,FALSE)="","",VLOOKUP(A577,[5]PRIORIZADOS!$A:$R,18,FALSE)),"")</f>
        <v>Tienen un adecuado SIEE para la evaluación de los estudiantes, sin embargo no es claro el seguimiento a los casos especiales.</v>
      </c>
      <c r="S577" s="11" t="str">
        <f>IFERROR(IF(VLOOKUP(A577,[5]PRIORIZADOS!$A:$S,19,FALSE)="","",VLOOKUP(A577,[5]PRIORIZADOS!$A:$S,19,FALSE)),"")</f>
        <v>Definir el estamento encargado de definir las promociones y se requirio actualizar el SIEE articuladamente con el rediseño curricular.</v>
      </c>
      <c r="T577" s="70" t="str">
        <f>IFERROR(IF(VLOOKUP(A577,[5]PRIORIZADOS!$A:$T,20,FALSE)="","",VLOOKUP(A577,[5]PRIORIZADOS!$A:$T,20,FALSE)),"")</f>
        <v>Si</v>
      </c>
      <c r="U577" s="11" t="str">
        <f>IFERROR(IF(VLOOKUP(A577,[5]PRIORIZADOS!$A:$U,21,FALSE)="","",VLOOKUP(A577,[5]PRIORIZADOS!$A:$U,21,FALSE)),"")</f>
        <v>La IE hará entrega del Plan de Mejoramiento el 22/05/2025.
El ELIV realizará seguimiento en septiembre de 2025 para verificar el cumplimiento de las acciones propuestas en el plan de mejoramiento.</v>
      </c>
    </row>
    <row r="578" spans="1:21" s="1" customFormat="1" ht="60">
      <c r="A578" s="69">
        <f>IF([5]PRIORIZADOS!A86="","",[5]PRIORIZADOS!A86)</f>
        <v>2791</v>
      </c>
      <c r="B578" s="70">
        <f>IFERROR(IF(VLOOKUP(A578,[5]PRIORIZADOS!$A:$B,2,FALSE)="","",VLOOKUP(A578,[5]PRIORIZADOS!$A:$B,2,FALSE)),"")</f>
        <v>9</v>
      </c>
      <c r="C578" s="11" t="str">
        <f>IFERROR(IF(VLOOKUP(A578,[5]PRIORIZADOS!$A:$C,3,FALSE)="","",VLOOKUP(A578,[5]PRIORIZADOS!$A:$C,3,FALSE)),"")</f>
        <v>CIUDAD BOLÍVAR</v>
      </c>
      <c r="D578" s="11" t="str">
        <f>IFERROR(IF(VLOOKUP(A578,[5]PRIORIZADOS!$A:$D,4,FALSE)="","",VLOOKUP(A578,[5]PRIORIZADOS!$A:$D,4,FALSE)),"")</f>
        <v>PRIVADO</v>
      </c>
      <c r="E578" s="11" t="str">
        <f>IFERROR(IF(VLOOKUP(A578,[5]PRIORIZADOS!$A:$E,5,FALSE)="","",VLOOKUP(A578,[5]PRIORIZADOS!$A:$E,5,FALSE)),"")</f>
        <v>EPBM</v>
      </c>
      <c r="F578" s="11" t="str">
        <f>IFERROR(IF(VLOOKUP(A578,[5]PRIORIZADOS!$A:$F,6,FALSE)="","",VLOOKUP(A578,[5]PRIORIZADOS!$A:$F,6,FALSE)),"")</f>
        <v>INSTITUTO_SANTA_ANA_LUZ_DEL_CARMEN</v>
      </c>
      <c r="G578" s="11" t="str">
        <f>IFERROR(IF(VLOOKUP(A578,[5]PRIORIZADOS!$A:$G,7,FALSE)="","",VLOOKUP(A578,[5]PRIORIZADOS!$A:$G,7,FALSE)),"")</f>
        <v>INSTITUTO SANTA ANA LUZ DEL CARMEN</v>
      </c>
      <c r="H578" s="11" t="str">
        <f>IFERROR(IF(VLOOKUP(A578,[5]PRIORIZADOS!$A:$H,8,FALSE)="","",VLOOKUP(A578,[5]PRIORIZADOS!$A:$H,8,FALSE)),"")</f>
        <v>Autoevaluación Institucional y Pruebas SABER 11</v>
      </c>
      <c r="I578" s="11" t="str">
        <f>IFERROR(IF(VLOOKUP(A578,[5]PRIORIZADOS!$A:$I,9,FALSE)="","",VLOOKUP(A578,[5]PRIORIZADOS!$A:$I,9,FALSE)),"")</f>
        <v>EVALUACIÓN_CON_FINES_DE_MEJORAMIENTO.</v>
      </c>
      <c r="J578" s="11" t="str">
        <f>IFERROR(IF(VLOOKUP(A578,[5]PRIORIZADOS!$A:$J,10,FALSE)="","",VLOOKUP(A578,[5]PRIORIZADOS!$A:$J,10,FALSE)),"")</f>
        <v>Revisar el calendario escolar, jornada escolar, la intensidad horaria mínima anual en cada nivel y las modificaciones que se realicen al mismo, de acuerdo con lo previsto en la normatividad vigente.</v>
      </c>
      <c r="K578" s="11" t="str">
        <f>IFERROR(IF(VLOOKUP(A578,[5]PRIORIZADOS!$A:$K,11,FALSE)="","",VLOOKUP(A578,[5]PRIORIZADOS!$A:$K,11,FALSE)),"")</f>
        <v xml:space="preserve">CLAUDIA DOMÍNGUEZ TORRES </v>
      </c>
      <c r="L578" s="11" t="str">
        <f>IFERROR(IF(VLOOKUP(A578,[5]PRIORIZADOS!$A:$L,12,FALSE)="","",VLOOKUP(A578,[5]PRIORIZADOS!$A:$L,12,FALSE)),"")</f>
        <v>ÓSCAR JAVIER CÁRDENAS MUÑOZ</v>
      </c>
      <c r="M578" s="71">
        <f>IFERROR(IF(VLOOKUP(A578,[5]PRIORIZADOS!$A:$M,13,FALSE)="","",VLOOKUP(A578,[5]PRIORIZADOS!$A:$M,13,FALSE)),"")</f>
        <v>45868</v>
      </c>
      <c r="N578" s="71">
        <f>IFERROR(IF(VLOOKUP(A578,[5]PRIORIZADOS!$A:$N,14,FALSE)="","",VLOOKUP(A578,[5]PRIORIZADOS!$A:$N,14,FALSE)),"")</f>
        <v>45769</v>
      </c>
      <c r="O578" s="71">
        <f>IFERROR(IF(VLOOKUP(A578,[5]PRIORIZADOS!$A:$O,15,FALSE)="","",VLOOKUP(A578,[5]PRIORIZADOS!$A:$O,15,FALSE)),"")</f>
        <v>45769</v>
      </c>
      <c r="P578" s="11" t="str">
        <f>IFERROR(IF(VLOOKUP(A578,[5]PRIORIZADOS!$A:$P,16,FALSE)="","",VLOOKUP(A578,[5]PRIORIZADOS!$A:$P,16,FALSE)),"")</f>
        <v>Visitas de evaluación con fines de mejoramiento</v>
      </c>
      <c r="Q578" s="5" t="s">
        <v>122</v>
      </c>
      <c r="R578" s="11" t="str">
        <f>IFERROR(IF(VLOOKUP(A578,[5]PRIORIZADOS!$A:$R,18,FALSE)="","",VLOOKUP(A578,[5]PRIORIZADOS!$A:$R,18,FALSE)),"")</f>
        <v>Cumplen con el calendario escolar, la totalidad de horas diarias, semanales y anuales, sin embargo, se recomienda definir la intensidad horaria en horas efectivas de 60 minutos.</v>
      </c>
      <c r="S578" s="11" t="str">
        <f>IFERROR(IF(VLOOKUP(A578,[5]PRIORIZADOS!$A:$S,19,FALSE)="","",VLOOKUP(A578,[5]PRIORIZADOS!$A:$S,19,FALSE)),"")</f>
        <v xml:space="preserve">Se recomienda a la IE definir el calendario escolar y la intensidad horario con base a horas efectivas de 60 minutos. </v>
      </c>
      <c r="T578" s="70" t="str">
        <f>IFERROR(IF(VLOOKUP(A578,[5]PRIORIZADOS!$A:$T,20,FALSE)="","",VLOOKUP(A578,[5]PRIORIZADOS!$A:$T,20,FALSE)),"")</f>
        <v>No</v>
      </c>
      <c r="U578" s="11" t="str">
        <f>IFERROR(IF(VLOOKUP(A578,[5]PRIORIZADOS!$A:$U,21,FALSE)="","",VLOOKUP(A578,[5]PRIORIZADOS!$A:$U,21,FALSE)),"")</f>
        <v>Se revisara el calendario escolar para la vigencia 2016</v>
      </c>
    </row>
    <row r="579" spans="1:21" s="1" customFormat="1" ht="48">
      <c r="A579" s="69">
        <f>IF([5]PRIORIZADOS!A87="","",[5]PRIORIZADOS!A87)</f>
        <v>2792</v>
      </c>
      <c r="B579" s="70">
        <f>IFERROR(IF(VLOOKUP(A579,[5]PRIORIZADOS!$A:$B,2,FALSE)="","",VLOOKUP(A579,[5]PRIORIZADOS!$A:$B,2,FALSE)),"")</f>
        <v>9</v>
      </c>
      <c r="C579" s="11" t="str">
        <f>IFERROR(IF(VLOOKUP(A579,[5]PRIORIZADOS!$A:$C,3,FALSE)="","",VLOOKUP(A579,[5]PRIORIZADOS!$A:$C,3,FALSE)),"")</f>
        <v>CIUDAD BOLÍVAR</v>
      </c>
      <c r="D579" s="11" t="str">
        <f>IFERROR(IF(VLOOKUP(A579,[5]PRIORIZADOS!$A:$D,4,FALSE)="","",VLOOKUP(A579,[5]PRIORIZADOS!$A:$D,4,FALSE)),"")</f>
        <v>PRIVADO</v>
      </c>
      <c r="E579" s="11" t="str">
        <f>IFERROR(IF(VLOOKUP(A579,[5]PRIORIZADOS!$A:$E,5,FALSE)="","",VLOOKUP(A579,[5]PRIORIZADOS!$A:$E,5,FALSE)),"")</f>
        <v>EPBM</v>
      </c>
      <c r="F579" s="11" t="str">
        <f>IFERROR(IF(VLOOKUP(A579,[5]PRIORIZADOS!$A:$F,6,FALSE)="","",VLOOKUP(A579,[5]PRIORIZADOS!$A:$F,6,FALSE)),"")</f>
        <v>INSTITUTO_SANTA_ANA_LUZ_DEL_CARMEN</v>
      </c>
      <c r="G579" s="11" t="str">
        <f>IFERROR(IF(VLOOKUP(A579,[5]PRIORIZADOS!$A:$G,7,FALSE)="","",VLOOKUP(A579,[5]PRIORIZADOS!$A:$G,7,FALSE)),"")</f>
        <v>INSTITUTO SANTA ANA LUZ DEL CARMEN</v>
      </c>
      <c r="H579" s="11" t="str">
        <f>IFERROR(IF(VLOOKUP(A579,[5]PRIORIZADOS!$A:$H,8,FALSE)="","",VLOOKUP(A579,[5]PRIORIZADOS!$A:$H,8,FALSE)),"")</f>
        <v>Autoevaluación Institucional y Pruebas SABER 11</v>
      </c>
      <c r="I579" s="11" t="str">
        <f>IFERROR(IF(VLOOKUP(A579,[5]PRIORIZADOS!$A:$I,9,FALSE)="","",VLOOKUP(A579,[5]PRIORIZADOS!$A:$I,9,FALSE)),"")</f>
        <v>EVALUACIÓN_CON_FINES_DE_MEJORAMIENTO.</v>
      </c>
      <c r="J579" s="11" t="str">
        <f>IFERROR(IF(VLOOKUP(A579,[5]PRIORIZADOS!$A:$J,10,FALSE)="","",VLOOKUP(A579,[5]PRIORIZADOS!$A:$J,10,FALSE)),"")</f>
        <v>Verificar el funcionamiento del Gobierno Escolar e instancias de participación con base en la información sobre conformación reportada por la institución educativa.</v>
      </c>
      <c r="K579" s="11" t="str">
        <f>IFERROR(IF(VLOOKUP(A579,[5]PRIORIZADOS!$A:$K,11,FALSE)="","",VLOOKUP(A579,[5]PRIORIZADOS!$A:$K,11,FALSE)),"")</f>
        <v xml:space="preserve">CLAUDIA DOMÍNGUEZ TORRES </v>
      </c>
      <c r="L579" s="11" t="str">
        <f>IFERROR(IF(VLOOKUP(A579,[5]PRIORIZADOS!$A:$L,12,FALSE)="","",VLOOKUP(A579,[5]PRIORIZADOS!$A:$L,12,FALSE)),"")</f>
        <v>ÓSCAR JAVIER CÁRDENAS MUÑOZ</v>
      </c>
      <c r="M579" s="71">
        <f>IFERROR(IF(VLOOKUP(A579,[5]PRIORIZADOS!$A:$M,13,FALSE)="","",VLOOKUP(A579,[5]PRIORIZADOS!$A:$M,13,FALSE)),"")</f>
        <v>45868</v>
      </c>
      <c r="N579" s="71">
        <f>IFERROR(IF(VLOOKUP(A579,[5]PRIORIZADOS!$A:$N,14,FALSE)="","",VLOOKUP(A579,[5]PRIORIZADOS!$A:$N,14,FALSE)),"")</f>
        <v>45769</v>
      </c>
      <c r="O579" s="71">
        <f>IFERROR(IF(VLOOKUP(A579,[5]PRIORIZADOS!$A:$O,15,FALSE)="","",VLOOKUP(A579,[5]PRIORIZADOS!$A:$O,15,FALSE)),"")</f>
        <v>45769</v>
      </c>
      <c r="P579" s="11" t="str">
        <f>IFERROR(IF(VLOOKUP(A579,[5]PRIORIZADOS!$A:$P,16,FALSE)="","",VLOOKUP(A579,[5]PRIORIZADOS!$A:$P,16,FALSE)),"")</f>
        <v>Visitas de evaluación con fines de mejoramiento</v>
      </c>
      <c r="Q579" s="5" t="s">
        <v>122</v>
      </c>
      <c r="R579" s="11" t="str">
        <f>IFERROR(IF(VLOOKUP(A579,[5]PRIORIZADOS!$A:$R,18,FALSE)="","",VLOOKUP(A579,[5]PRIORIZADOS!$A:$R,18,FALSE)),"")</f>
        <v xml:space="preserve">El Gobierno Escolar funciona adecuadamente. </v>
      </c>
      <c r="S579" s="11" t="str">
        <f>IFERROR(IF(VLOOKUP(A579,[5]PRIORIZADOS!$A:$S,19,FALSE)="","",VLOOKUP(A579,[5]PRIORIZADOS!$A:$S,19,FALSE)),"")</f>
        <v>Definir reglamentos propios en cada estamento a la luz de la norma vigente.</v>
      </c>
      <c r="T579" s="70" t="str">
        <f>IFERROR(IF(VLOOKUP(A579,[5]PRIORIZADOS!$A:$T,20,FALSE)="","",VLOOKUP(A579,[5]PRIORIZADOS!$A:$T,20,FALSE)),"")</f>
        <v>Si</v>
      </c>
      <c r="U579" s="11" t="str">
        <f>IFERROR(IF(VLOOKUP(A579,[5]PRIORIZADOS!$A:$U,21,FALSE)="","",VLOOKUP(A579,[5]PRIORIZADOS!$A:$U,21,FALSE)),"")</f>
        <v>La IE hará entrega del Plan de Mejoramiento el 22/05/2025.
El ELIV realizará seguimiento en septiembre de 2025 para verificar el cumplimiento de las acciones propuestas en el plan de mejoramiento.</v>
      </c>
    </row>
    <row r="580" spans="1:21" s="1" customFormat="1" ht="72">
      <c r="A580" s="69">
        <f>IF([5]PRIORIZADOS!A88="","",[5]PRIORIZADOS!A88)</f>
        <v>2793</v>
      </c>
      <c r="B580" s="70">
        <f>IFERROR(IF(VLOOKUP(A580,[5]PRIORIZADOS!$A:$B,2,FALSE)="","",VLOOKUP(A580,[5]PRIORIZADOS!$A:$B,2,FALSE)),"")</f>
        <v>9</v>
      </c>
      <c r="C580" s="11" t="str">
        <f>IFERROR(IF(VLOOKUP(A580,[5]PRIORIZADOS!$A:$C,3,FALSE)="","",VLOOKUP(A580,[5]PRIORIZADOS!$A:$C,3,FALSE)),"")</f>
        <v>CIUDAD BOLÍVAR</v>
      </c>
      <c r="D580" s="11" t="str">
        <f>IFERROR(IF(VLOOKUP(A580,[5]PRIORIZADOS!$A:$D,4,FALSE)="","",VLOOKUP(A580,[5]PRIORIZADOS!$A:$D,4,FALSE)),"")</f>
        <v>PRIVADO</v>
      </c>
      <c r="E580" s="11" t="str">
        <f>IFERROR(IF(VLOOKUP(A580,[5]PRIORIZADOS!$A:$E,5,FALSE)="","",VLOOKUP(A580,[5]PRIORIZADOS!$A:$E,5,FALSE)),"")</f>
        <v>EPBM</v>
      </c>
      <c r="F580" s="11" t="str">
        <f>IFERROR(IF(VLOOKUP(A580,[5]PRIORIZADOS!$A:$F,6,FALSE)="","",VLOOKUP(A580,[5]PRIORIZADOS!$A:$F,6,FALSE)),"")</f>
        <v>INSTITUTO_SANTA_ANA_LUZ_DEL_CARMEN</v>
      </c>
      <c r="G580" s="11" t="str">
        <f>IFERROR(IF(VLOOKUP(A580,[5]PRIORIZADOS!$A:$G,7,FALSE)="","",VLOOKUP(A580,[5]PRIORIZADOS!$A:$G,7,FALSE)),"")</f>
        <v>INSTITUTO SANTA ANA LUZ DEL CARMEN</v>
      </c>
      <c r="H580" s="11" t="str">
        <f>IFERROR(IF(VLOOKUP(A580,[5]PRIORIZADOS!$A:$H,8,FALSE)="","",VLOOKUP(A580,[5]PRIORIZADOS!$A:$H,8,FALSE)),"")</f>
        <v>Autoevaluación Institucional y Pruebas SABER 11</v>
      </c>
      <c r="I580" s="11" t="str">
        <f>IFERROR(IF(VLOOKUP(A580,[5]PRIORIZADOS!$A:$I,9,FALSE)="","",VLOOKUP(A580,[5]PRIORIZADOS!$A:$I,9,FALSE)),"")</f>
        <v>EVALUACIÓN_CON_FINES_DE_MEJORAMIENTO.</v>
      </c>
      <c r="J580" s="11" t="str">
        <f>IFERROR(IF(VLOOKUP(A580,[5]PRIORIZADOS!$A:$J,10,FALSE)="","",VLOOKUP(A580,[5]PRIORIZADOS!$A:$J,10,FALSE)),"")</f>
        <v>Verificar las condiciones en cuanto a: la estructura administrativa, condiciones de la planta física y medios educativos adecuados.</v>
      </c>
      <c r="K580" s="11" t="str">
        <f>IFERROR(IF(VLOOKUP(A580,[5]PRIORIZADOS!$A:$K,11,FALSE)="","",VLOOKUP(A580,[5]PRIORIZADOS!$A:$K,11,FALSE)),"")</f>
        <v xml:space="preserve">CLAUDIA DOMÍNGUEZ TORRES </v>
      </c>
      <c r="L580" s="11" t="str">
        <f>IFERROR(IF(VLOOKUP(A580,[5]PRIORIZADOS!$A:$L,12,FALSE)="","",VLOOKUP(A580,[5]PRIORIZADOS!$A:$L,12,FALSE)),"")</f>
        <v>ÓSCAR JAVIER CÁRDENAS MUÑOZ</v>
      </c>
      <c r="M580" s="71">
        <f>IFERROR(IF(VLOOKUP(A580,[5]PRIORIZADOS!$A:$M,13,FALSE)="","",VLOOKUP(A580,[5]PRIORIZADOS!$A:$M,13,FALSE)),"")</f>
        <v>45868</v>
      </c>
      <c r="N580" s="71">
        <f>IFERROR(IF(VLOOKUP(A580,[5]PRIORIZADOS!$A:$N,14,FALSE)="","",VLOOKUP(A580,[5]PRIORIZADOS!$A:$N,14,FALSE)),"")</f>
        <v>45769</v>
      </c>
      <c r="O580" s="71">
        <f>IFERROR(IF(VLOOKUP(A580,[5]PRIORIZADOS!$A:$O,15,FALSE)="","",VLOOKUP(A580,[5]PRIORIZADOS!$A:$O,15,FALSE)),"")</f>
        <v>45769</v>
      </c>
      <c r="P580" s="11" t="str">
        <f>IFERROR(IF(VLOOKUP(A580,[5]PRIORIZADOS!$A:$P,16,FALSE)="","",VLOOKUP(A580,[5]PRIORIZADOS!$A:$P,16,FALSE)),"")</f>
        <v>Visitas de evaluación con fines de mejoramiento</v>
      </c>
      <c r="Q580" s="5" t="s">
        <v>122</v>
      </c>
      <c r="R580" s="11" t="str">
        <f>IFERROR(IF(VLOOKUP(A580,[5]PRIORIZADOS!$A:$R,18,FALSE)="","",VLOOKUP(A580,[5]PRIORIZADOS!$A:$R,18,FALSE)),"")</f>
        <v xml:space="preserve">Cuenta con una buena infraestructura, con varios salones desocupados que son utilizados para actividades complementarias. Sin embargo, no existen adecuaciones para la movilidad de personas en condición de discapacidad. </v>
      </c>
      <c r="S580" s="11" t="str">
        <f>IFERROR(IF(VLOOKUP(A580,[5]PRIORIZADOS!$A:$S,19,FALSE)="","",VLOOKUP(A580,[5]PRIORIZADOS!$A:$S,19,FALSE)),"")</f>
        <v xml:space="preserve">Generar un plan de atención para la adecuación física de las instalaciones para las personas en condiciones de discapacidad. </v>
      </c>
      <c r="T580" s="70" t="str">
        <f>IFERROR(IF(VLOOKUP(A580,[5]PRIORIZADOS!$A:$T,20,FALSE)="","",VLOOKUP(A580,[5]PRIORIZADOS!$A:$T,20,FALSE)),"")</f>
        <v>Si</v>
      </c>
      <c r="U580" s="11" t="str">
        <f>IFERROR(IF(VLOOKUP(A580,[5]PRIORIZADOS!$A:$U,21,FALSE)="","",VLOOKUP(A580,[5]PRIORIZADOS!$A:$U,21,FALSE)),"")</f>
        <v>La IE hará entrega del Plan de Mejoramiento el 22/05/2025.
El ELIV realizará seguimiento en septiembre de 2025 para verificar el cumplimiento de las acciones propuestas en el plan de mejoramiento.</v>
      </c>
    </row>
    <row r="581" spans="1:21" s="1" customFormat="1" ht="48">
      <c r="A581" s="69">
        <f>IF([5]PRIORIZADOS!A89="","",[5]PRIORIZADOS!A89)</f>
        <v>2794</v>
      </c>
      <c r="B581" s="70">
        <f>IFERROR(IF(VLOOKUP(A581,[5]PRIORIZADOS!$A:$B,2,FALSE)="","",VLOOKUP(A581,[5]PRIORIZADOS!$A:$B,2,FALSE)),"")</f>
        <v>10</v>
      </c>
      <c r="C581" s="11" t="str">
        <f>IFERROR(IF(VLOOKUP(A581,[5]PRIORIZADOS!$A:$C,3,FALSE)="","",VLOOKUP(A581,[5]PRIORIZADOS!$A:$C,3,FALSE)),"")</f>
        <v>CIUDAD BOLÍVAR</v>
      </c>
      <c r="D581" s="11" t="str">
        <f>IFERROR(IF(VLOOKUP(A581,[5]PRIORIZADOS!$A:$D,4,FALSE)="","",VLOOKUP(A581,[5]PRIORIZADOS!$A:$D,4,FALSE)),"")</f>
        <v>PRIVADO</v>
      </c>
      <c r="E581" s="11" t="str">
        <f>IFERROR(IF(VLOOKUP(A581,[5]PRIORIZADOS!$A:$E,5,FALSE)="","",VLOOKUP(A581,[5]PRIORIZADOS!$A:$E,5,FALSE)),"")</f>
        <v>Educación de Jóvenes y Adultos</v>
      </c>
      <c r="F581" s="11" t="str">
        <f>IFERROR(IF(VLOOKUP(A581,[5]PRIORIZADOS!$A:$F,6,FALSE)="","",VLOOKUP(A581,[5]PRIORIZADOS!$A:$F,6,FALSE)),"")</f>
        <v>INSTITUTO_CERROS_DEL_SUR_ICES</v>
      </c>
      <c r="G581" s="11" t="str">
        <f>IFERROR(IF(VLOOKUP(A581,[5]PRIORIZADOS!$A:$G,7,FALSE)="","",VLOOKUP(A581,[5]PRIORIZADOS!$A:$G,7,FALSE)),"")</f>
        <v>INSTITUTO CERROS DEL SUR - ICES</v>
      </c>
      <c r="H581" s="11" t="str">
        <f>IFERROR(IF(VLOOKUP(A581,[5]PRIORIZADOS!$A:$H,8,FALSE)="","",VLOOKUP(A581,[5]PRIORIZADOS!$A:$H,8,FALSE)),"")</f>
        <v>Autoevaluación Institucional y Pruebas SABER 11</v>
      </c>
      <c r="I581" s="11" t="str">
        <f>IFERROR(IF(VLOOKUP(A581,[5]PRIORIZADOS!$A:$I,9,FALSE)="","",VLOOKUP(A581,[5]PRIORIZADOS!$A:$I,9,FALSE)),"")</f>
        <v>SEGUIMIENTO_Y_SUPERVISIÓN.</v>
      </c>
      <c r="J581" s="11" t="str">
        <f>IFERROR(IF(VLOOKUP(A581,[5]PRIORIZADOS!$A:$J,10,FALSE)="","",VLOOKUP(A581,[5]PRIORIZADOS!$A:$J,10,FALSE)),"")</f>
        <v>Realizar visitas para verificar la información registrada sobre la autoevaluación institucional en el aplicativo EVI, a los establecimientos de educación formal no oficial.</v>
      </c>
      <c r="K581" s="11" t="str">
        <f>IFERROR(IF(VLOOKUP(A581,[5]PRIORIZADOS!$A:$K,11,FALSE)="","",VLOOKUP(A581,[5]PRIORIZADOS!$A:$K,11,FALSE)),"")</f>
        <v>ÓSCAR JAVIER CÁRDENAS MUÑOZ</v>
      </c>
      <c r="L581" s="11" t="str">
        <f>IFERROR(IF(VLOOKUP(A581,[5]PRIORIZADOS!$A:$L,12,FALSE)="","",VLOOKUP(A581,[5]PRIORIZADOS!$A:$L,12,FALSE)),"")</f>
        <v xml:space="preserve">CLAUDIA DOMÍNGUEZ TORRES </v>
      </c>
      <c r="M581" s="71">
        <f>IFERROR(IF(VLOOKUP(A581,[5]PRIORIZADOS!$A:$M,13,FALSE)="","",VLOOKUP(A581,[5]PRIORIZADOS!$A:$M,13,FALSE)),"")</f>
        <v>45897</v>
      </c>
      <c r="N581" s="71">
        <f>IFERROR(IF(VLOOKUP(A581,[5]PRIORIZADOS!$A:$N,14,FALSE)="","",VLOOKUP(A581,[5]PRIORIZADOS!$A:$N,14,FALSE)),"")</f>
        <v>45820</v>
      </c>
      <c r="O581" s="71">
        <f>IFERROR(IF(VLOOKUP(A581,[5]PRIORIZADOS!$A:$O,15,FALSE)="","",VLOOKUP(A581,[5]PRIORIZADOS!$A:$O,15,FALSE)),"")</f>
        <v>45820</v>
      </c>
      <c r="P581" s="11" t="str">
        <f>IFERROR(IF(VLOOKUP(A581,[5]PRIORIZADOS!$A:$P,16,FALSE)="","",VLOOKUP(A581,[5]PRIORIZADOS!$A:$P,16,FALSE)),"")</f>
        <v>Visitas de evaluación con fines de mejoramiento</v>
      </c>
      <c r="Q581" s="107" t="s">
        <v>123</v>
      </c>
      <c r="R581" s="11" t="str">
        <f>IFERROR(IF(VLOOKUP(A581,[5]PRIORIZADOS!$A:$R,18,FALSE)="","",VLOOKUP(A581,[5]PRIORIZADOS!$A:$R,18,FALSE)),"")</f>
        <v xml:space="preserve">Se evidenciaron inconsistencias en cuanto a la información reportada. </v>
      </c>
      <c r="S581" s="11" t="str">
        <f>IFERROR(IF(VLOOKUP(A581,[5]PRIORIZADOS!$A:$S,19,FALSE)="","",VLOOKUP(A581,[5]PRIORIZADOS!$A:$S,19,FALSE)),"")</f>
        <v>Organizar la distribución de grados para que no exista grupos multigrado.
Definir continuidad de la IE teniendo en cuenta el balance financiero</v>
      </c>
      <c r="T581" s="70" t="str">
        <f>IFERROR(IF(VLOOKUP(A581,[5]PRIORIZADOS!$A:$T,20,FALSE)="","",VLOOKUP(A581,[5]PRIORIZADOS!$A:$T,20,FALSE)),"")</f>
        <v>Si</v>
      </c>
      <c r="U581" s="11" t="str">
        <f>IFERROR(IF(VLOOKUP(A581,[5]PRIORIZADOS!$A:$U,21,FALSE)="","",VLOOKUP(A581,[5]PRIORIZADOS!$A:$U,21,FALSE)),"")</f>
        <v>Se realizará seguimiento una vez se reciba el plan de mejoramiento 18.07.2025. Segunda visita en octubre para verificar la implementación de las acciones del plan de mejoramiento</v>
      </c>
    </row>
    <row r="582" spans="1:21" s="1" customFormat="1" ht="60">
      <c r="A582" s="69">
        <f>IF([5]PRIORIZADOS!A90="","",[5]PRIORIZADOS!A90)</f>
        <v>2795</v>
      </c>
      <c r="B582" s="70">
        <f>IFERROR(IF(VLOOKUP(A582,[5]PRIORIZADOS!$A:$B,2,FALSE)="","",VLOOKUP(A582,[5]PRIORIZADOS!$A:$B,2,FALSE)),"")</f>
        <v>10</v>
      </c>
      <c r="C582" s="11" t="str">
        <f>IFERROR(IF(VLOOKUP(A582,[5]PRIORIZADOS!$A:$C,3,FALSE)="","",VLOOKUP(A582,[5]PRIORIZADOS!$A:$C,3,FALSE)),"")</f>
        <v>CIUDAD BOLÍVAR</v>
      </c>
      <c r="D582" s="11" t="str">
        <f>IFERROR(IF(VLOOKUP(A582,[5]PRIORIZADOS!$A:$D,4,FALSE)="","",VLOOKUP(A582,[5]PRIORIZADOS!$A:$D,4,FALSE)),"")</f>
        <v>PRIVADO</v>
      </c>
      <c r="E582" s="11" t="str">
        <f>IFERROR(IF(VLOOKUP(A582,[5]PRIORIZADOS!$A:$E,5,FALSE)="","",VLOOKUP(A582,[5]PRIORIZADOS!$A:$E,5,FALSE)),"")</f>
        <v>Educación de Jóvenes y Adultos</v>
      </c>
      <c r="F582" s="11" t="str">
        <f>IFERROR(IF(VLOOKUP(A582,[5]PRIORIZADOS!$A:$F,6,FALSE)="","",VLOOKUP(A582,[5]PRIORIZADOS!$A:$F,6,FALSE)),"")</f>
        <v>INSTITUTO_CERROS_DEL_SUR_ICES</v>
      </c>
      <c r="G582" s="11" t="str">
        <f>IFERROR(IF(VLOOKUP(A582,[5]PRIORIZADOS!$A:$G,7,FALSE)="","",VLOOKUP(A582,[5]PRIORIZADOS!$A:$G,7,FALSE)),"")</f>
        <v>INSTITUTO CERROS DEL SUR - ICES</v>
      </c>
      <c r="H582" s="11" t="str">
        <f>IFERROR(IF(VLOOKUP(A582,[5]PRIORIZADOS!$A:$H,8,FALSE)="","",VLOOKUP(A582,[5]PRIORIZADOS!$A:$H,8,FALSE)),"")</f>
        <v>Autoevaluación Institucional y Pruebas SABER 11</v>
      </c>
      <c r="I582" s="11" t="str">
        <f>IFERROR(IF(VLOOKUP(A582,[5]PRIORIZADOS!$A:$I,9,FALSE)="","",VLOOKUP(A582,[5]PRIORIZADOS!$A:$I,9,FALSE)),"")</f>
        <v>SEGUIMIENTO_Y_SUPERVISIÓN.</v>
      </c>
      <c r="J582" s="11" t="str">
        <f>IFERROR(IF(VLOOKUP(A582,[5]PRIORIZADOS!$A:$J,10,FALSE)="","",VLOOKUP(A582,[5]PRIORIZADOS!$A:$J,10,FALSE)),"")</f>
        <v>Proponer estrategias en la formulación, verificar su elaboración y realizar seguimiento semestral al desarrollo de  las acciones establecidas en los planes de mejoramiento por pruebas SABER 11 de los establecimientos de educación formal.</v>
      </c>
      <c r="K582" s="11" t="str">
        <f>IFERROR(IF(VLOOKUP(A582,[5]PRIORIZADOS!$A:$K,11,FALSE)="","",VLOOKUP(A582,[5]PRIORIZADOS!$A:$K,11,FALSE)),"")</f>
        <v>ÓSCAR JAVIER CÁRDENAS MUÑOZ</v>
      </c>
      <c r="L582" s="11" t="str">
        <f>IFERROR(IF(VLOOKUP(A582,[5]PRIORIZADOS!$A:$L,12,FALSE)="","",VLOOKUP(A582,[5]PRIORIZADOS!$A:$L,12,FALSE)),"")</f>
        <v xml:space="preserve">CLAUDIA DOMÍNGUEZ TORRES </v>
      </c>
      <c r="M582" s="71">
        <f>IFERROR(IF(VLOOKUP(A582,[5]PRIORIZADOS!$A:$M,13,FALSE)="","",VLOOKUP(A582,[5]PRIORIZADOS!$A:$M,13,FALSE)),"")</f>
        <v>45897</v>
      </c>
      <c r="N582" s="71">
        <f>IFERROR(IF(VLOOKUP(A582,[5]PRIORIZADOS!$A:$N,14,FALSE)="","",VLOOKUP(A582,[5]PRIORIZADOS!$A:$N,14,FALSE)),"")</f>
        <v>45820</v>
      </c>
      <c r="O582" s="71">
        <f>IFERROR(IF(VLOOKUP(A582,[5]PRIORIZADOS!$A:$O,15,FALSE)="","",VLOOKUP(A582,[5]PRIORIZADOS!$A:$O,15,FALSE)),"")</f>
        <v>45820</v>
      </c>
      <c r="P582" s="11" t="str">
        <f>IFERROR(IF(VLOOKUP(A582,[5]PRIORIZADOS!$A:$P,16,FALSE)="","",VLOOKUP(A582,[5]PRIORIZADOS!$A:$P,16,FALSE)),"")</f>
        <v>Visitas de evaluación con fines de mejoramiento</v>
      </c>
      <c r="Q582" s="107" t="s">
        <v>123</v>
      </c>
      <c r="R582" s="11" t="str">
        <f>IFERROR(IF(VLOOKUP(A582,[5]PRIORIZADOS!$A:$R,18,FALSE)="","",VLOOKUP(A582,[5]PRIORIZADOS!$A:$R,18,FALSE)),"")</f>
        <v>No hay claridad frente a las acciones reales para atender el  proceso de mejormiento de los resulatdos de las Pruebas Saber</v>
      </c>
      <c r="S582" s="11" t="str">
        <f>IFERROR(IF(VLOOKUP(A582,[5]PRIORIZADOS!$A:$S,19,FALSE)="","",VLOOKUP(A582,[5]PRIORIZADOS!$A:$S,19,FALSE)),"")</f>
        <v xml:space="preserve">Definir acciones concretas de orden pedagógico para el mejoramiento de los resultados de las pruebas saber. </v>
      </c>
      <c r="T582" s="70" t="str">
        <f>IFERROR(IF(VLOOKUP(A582,[5]PRIORIZADOS!$A:$T,20,FALSE)="","",VLOOKUP(A582,[5]PRIORIZADOS!$A:$T,20,FALSE)),"")</f>
        <v>Si</v>
      </c>
      <c r="U582" s="11" t="str">
        <f>IFERROR(IF(VLOOKUP(A582,[5]PRIORIZADOS!$A:$U,21,FALSE)="","",VLOOKUP(A582,[5]PRIORIZADOS!$A:$U,21,FALSE)),"")</f>
        <v>Se realizará seguimiento una vez se reciba el plan de mejoramiento 18.07.2025. Segunda visita en octubre para verificar la implementación de las acciones del plan de mejoramiento</v>
      </c>
    </row>
    <row r="583" spans="1:21" s="1" customFormat="1" ht="96">
      <c r="A583" s="69">
        <f>IF([5]PRIORIZADOS!A91="","",[5]PRIORIZADOS!A91)</f>
        <v>2796</v>
      </c>
      <c r="B583" s="70">
        <f>IFERROR(IF(VLOOKUP(A583,[5]PRIORIZADOS!$A:$B,2,FALSE)="","",VLOOKUP(A583,[5]PRIORIZADOS!$A:$B,2,FALSE)),"")</f>
        <v>10</v>
      </c>
      <c r="C583" s="11" t="str">
        <f>IFERROR(IF(VLOOKUP(A583,[5]PRIORIZADOS!$A:$C,3,FALSE)="","",VLOOKUP(A583,[5]PRIORIZADOS!$A:$C,3,FALSE)),"")</f>
        <v>CIUDAD BOLÍVAR</v>
      </c>
      <c r="D583" s="11" t="str">
        <f>IFERROR(IF(VLOOKUP(A583,[5]PRIORIZADOS!$A:$D,4,FALSE)="","",VLOOKUP(A583,[5]PRIORIZADOS!$A:$D,4,FALSE)),"")</f>
        <v>PRIVADO</v>
      </c>
      <c r="E583" s="11" t="str">
        <f>IFERROR(IF(VLOOKUP(A583,[5]PRIORIZADOS!$A:$E,5,FALSE)="","",VLOOKUP(A583,[5]PRIORIZADOS!$A:$E,5,FALSE)),"")</f>
        <v>Educación de Jóvenes y Adultos</v>
      </c>
      <c r="F583" s="11" t="str">
        <f>IFERROR(IF(VLOOKUP(A583,[5]PRIORIZADOS!$A:$F,6,FALSE)="","",VLOOKUP(A583,[5]PRIORIZADOS!$A:$F,6,FALSE)),"")</f>
        <v>INSTITUTO_CERROS_DEL_SUR_ICES</v>
      </c>
      <c r="G583" s="11" t="str">
        <f>IFERROR(IF(VLOOKUP(A583,[5]PRIORIZADOS!$A:$G,7,FALSE)="","",VLOOKUP(A583,[5]PRIORIZADOS!$A:$G,7,FALSE)),"")</f>
        <v>INSTITUTO CERROS DEL SUR - ICES</v>
      </c>
      <c r="H583" s="11" t="str">
        <f>IFERROR(IF(VLOOKUP(A583,[5]PRIORIZADOS!$A:$H,8,FALSE)="","",VLOOKUP(A583,[5]PRIORIZADOS!$A:$H,8,FALSE)),"")</f>
        <v>Autoevaluación Institucional y Pruebas SABER 11</v>
      </c>
      <c r="I583" s="11" t="str">
        <f>IFERROR(IF(VLOOKUP(A583,[5]PRIORIZADOS!$A:$I,9,FALSE)="","",VLOOKUP(A583,[5]PRIORIZADOS!$A:$I,9,FALSE)),"")</f>
        <v>SEGUIMIENTO_Y_SUPERVISIÓN.</v>
      </c>
      <c r="J583" s="11" t="str">
        <f>IFERROR(IF(VLOOKUP(A583,[5]PRIORIZADOS!$A:$J,10,FALSE)="","",VLOOKUP(A583,[5]PRIORIZADOS!$A:$J,10,FALSE)),"")</f>
        <v xml:space="preserve">Verificar la implementación por parte de los colegios, de acciones realizadas para la prevención y atención de las situaciones de convivencia en el entorno escolar, según lo establecido en la Directiva 01 de 2022 del MEN. </v>
      </c>
      <c r="K583" s="11" t="str">
        <f>IFERROR(IF(VLOOKUP(A583,[5]PRIORIZADOS!$A:$K,11,FALSE)="","",VLOOKUP(A583,[5]PRIORIZADOS!$A:$K,11,FALSE)),"")</f>
        <v>ÓSCAR JAVIER CÁRDENAS MUÑOZ</v>
      </c>
      <c r="L583" s="11" t="str">
        <f>IFERROR(IF(VLOOKUP(A583,[5]PRIORIZADOS!$A:$L,12,FALSE)="","",VLOOKUP(A583,[5]PRIORIZADOS!$A:$L,12,FALSE)),"")</f>
        <v xml:space="preserve">CLAUDIA DOMÍNGUEZ TORRES </v>
      </c>
      <c r="M583" s="71">
        <f>IFERROR(IF(VLOOKUP(A583,[5]PRIORIZADOS!$A:$M,13,FALSE)="","",VLOOKUP(A583,[5]PRIORIZADOS!$A:$M,13,FALSE)),"")</f>
        <v>45897</v>
      </c>
      <c r="N583" s="71">
        <f>IFERROR(IF(VLOOKUP(A583,[5]PRIORIZADOS!$A:$N,14,FALSE)="","",VLOOKUP(A583,[5]PRIORIZADOS!$A:$N,14,FALSE)),"")</f>
        <v>45820</v>
      </c>
      <c r="O583" s="71">
        <f>IFERROR(IF(VLOOKUP(A583,[5]PRIORIZADOS!$A:$O,15,FALSE)="","",VLOOKUP(A583,[5]PRIORIZADOS!$A:$O,15,FALSE)),"")</f>
        <v>45820</v>
      </c>
      <c r="P583" s="11" t="str">
        <f>IFERROR(IF(VLOOKUP(A583,[5]PRIORIZADOS!$A:$P,16,FALSE)="","",VLOOKUP(A583,[5]PRIORIZADOS!$A:$P,16,FALSE)),"")</f>
        <v>Visitas de evaluación con fines de mejoramiento</v>
      </c>
      <c r="Q583" s="107" t="s">
        <v>123</v>
      </c>
      <c r="R583" s="11" t="str">
        <f>IFERROR(IF(VLOOKUP(A583,[5]PRIORIZADOS!$A:$R,18,FALSE)="","",VLOOKUP(A583,[5]PRIORIZADOS!$A:$R,18,FALSE)),"")</f>
        <v xml:space="preserve">La IE desarrolla diferentes acciones de promoción y prevención acordes a su población y a su contexto; sin embargo, no tiene determinadas las rutas de atención dentro del Manual de Convivencia y no se evidencia la consulta de los antecedentes por delitos sexuales del personal vinculado. </v>
      </c>
      <c r="S583" s="11" t="str">
        <f>IFERROR(IF(VLOOKUP(A583,[5]PRIORIZADOS!$A:$S,19,FALSE)="","",VLOOKUP(A583,[5]PRIORIZADOS!$A:$S,19,FALSE)),"")</f>
        <v>Incluir en el Manual de Convivencia, aspectos relacionados con las rutas de atención.
Realizar la respectiva revisión de antecedentes de los docentes y directivos docentes de la IE segun la directiva 001 de 2022.</v>
      </c>
      <c r="T583" s="70" t="str">
        <f>IFERROR(IF(VLOOKUP(A583,[5]PRIORIZADOS!$A:$T,20,FALSE)="","",VLOOKUP(A583,[5]PRIORIZADOS!$A:$T,20,FALSE)),"")</f>
        <v>No</v>
      </c>
      <c r="U583" s="11" t="str">
        <f>IFERROR(IF(VLOOKUP(A583,[5]PRIORIZADOS!$A:$U,21,FALSE)="","",VLOOKUP(A583,[5]PRIORIZADOS!$A:$U,21,FALSE)),"")</f>
        <v>La IE presenta el PM el día 18 de julio. 
Se hace revisión documental encontrando que la IE incluyó los protocolos de atención dentro del MC y aportan la revisión de antecedentes de todo el personal que labora en el colegio.</v>
      </c>
    </row>
    <row r="584" spans="1:21" s="1" customFormat="1" ht="72">
      <c r="A584" s="69">
        <f>IF([5]PRIORIZADOS!A92="","",[5]PRIORIZADOS!A92)</f>
        <v>2797</v>
      </c>
      <c r="B584" s="70">
        <f>IFERROR(IF(VLOOKUP(A584,[5]PRIORIZADOS!$A:$B,2,FALSE)="","",VLOOKUP(A584,[5]PRIORIZADOS!$A:$B,2,FALSE)),"")</f>
        <v>10</v>
      </c>
      <c r="C584" s="11" t="str">
        <f>IFERROR(IF(VLOOKUP(A584,[5]PRIORIZADOS!$A:$C,3,FALSE)="","",VLOOKUP(A584,[5]PRIORIZADOS!$A:$C,3,FALSE)),"")</f>
        <v>CIUDAD BOLÍVAR</v>
      </c>
      <c r="D584" s="11" t="str">
        <f>IFERROR(IF(VLOOKUP(A584,[5]PRIORIZADOS!$A:$D,4,FALSE)="","",VLOOKUP(A584,[5]PRIORIZADOS!$A:$D,4,FALSE)),"")</f>
        <v>PRIVADO</v>
      </c>
      <c r="E584" s="11" t="str">
        <f>IFERROR(IF(VLOOKUP(A584,[5]PRIORIZADOS!$A:$E,5,FALSE)="","",VLOOKUP(A584,[5]PRIORIZADOS!$A:$E,5,FALSE)),"")</f>
        <v>Educación de Jóvenes y Adultos</v>
      </c>
      <c r="F584" s="11" t="str">
        <f>IFERROR(IF(VLOOKUP(A584,[5]PRIORIZADOS!$A:$F,6,FALSE)="","",VLOOKUP(A584,[5]PRIORIZADOS!$A:$F,6,FALSE)),"")</f>
        <v>INSTITUTO_CERROS_DEL_SUR_ICES</v>
      </c>
      <c r="G584" s="11" t="str">
        <f>IFERROR(IF(VLOOKUP(A584,[5]PRIORIZADOS!$A:$G,7,FALSE)="","",VLOOKUP(A584,[5]PRIORIZADOS!$A:$G,7,FALSE)),"")</f>
        <v>INSTITUTO CERROS DEL SUR - ICES</v>
      </c>
      <c r="H584" s="11" t="str">
        <f>IFERROR(IF(VLOOKUP(A584,[5]PRIORIZADOS!$A:$H,8,FALSE)="","",VLOOKUP(A584,[5]PRIORIZADOS!$A:$H,8,FALSE)),"")</f>
        <v>Autoevaluación Institucional y Pruebas SABER 11</v>
      </c>
      <c r="I584" s="11" t="str">
        <f>IFERROR(IF(VLOOKUP(A584,[5]PRIORIZADOS!$A:$I,9,FALSE)="","",VLOOKUP(A584,[5]PRIORIZADOS!$A:$I,9,FALSE)),"")</f>
        <v>SEGUIMIENTO_Y_SUPERVISIÓN.</v>
      </c>
      <c r="J584" s="11" t="str">
        <f>IFERROR(IF(VLOOKUP(A584,[5]PRIORIZADOS!$A:$J,10,FALSE)="","",VLOOKUP(A584,[5]PRIORIZADOS!$A:$J,10,FALSE)),"")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84" s="11" t="str">
        <f>IFERROR(IF(VLOOKUP(A584,[5]PRIORIZADOS!$A:$K,11,FALSE)="","",VLOOKUP(A584,[5]PRIORIZADOS!$A:$K,11,FALSE)),"")</f>
        <v>ÓSCAR JAVIER CÁRDENAS MUÑOZ</v>
      </c>
      <c r="L584" s="11" t="str">
        <f>IFERROR(IF(VLOOKUP(A584,[5]PRIORIZADOS!$A:$L,12,FALSE)="","",VLOOKUP(A584,[5]PRIORIZADOS!$A:$L,12,FALSE)),"")</f>
        <v xml:space="preserve">CLAUDIA DOMÍNGUEZ TORRES </v>
      </c>
      <c r="M584" s="71">
        <f>IFERROR(IF(VLOOKUP(A584,[5]PRIORIZADOS!$A:$M,13,FALSE)="","",VLOOKUP(A584,[5]PRIORIZADOS!$A:$M,13,FALSE)),"")</f>
        <v>45897</v>
      </c>
      <c r="N584" s="71">
        <f>IFERROR(IF(VLOOKUP(A584,[5]PRIORIZADOS!$A:$N,14,FALSE)="","",VLOOKUP(A584,[5]PRIORIZADOS!$A:$N,14,FALSE)),"")</f>
        <v>45820</v>
      </c>
      <c r="O584" s="71">
        <f>IFERROR(IF(VLOOKUP(A584,[5]PRIORIZADOS!$A:$O,15,FALSE)="","",VLOOKUP(A584,[5]PRIORIZADOS!$A:$O,15,FALSE)),"")</f>
        <v>45820</v>
      </c>
      <c r="P584" s="11" t="str">
        <f>IFERROR(IF(VLOOKUP(A584,[5]PRIORIZADOS!$A:$P,16,FALSE)="","",VLOOKUP(A584,[5]PRIORIZADOS!$A:$P,16,FALSE)),"")</f>
        <v>Visitas de evaluación con fines de mejoramiento</v>
      </c>
      <c r="Q584" s="107" t="s">
        <v>123</v>
      </c>
      <c r="R584" s="11" t="str">
        <f>IFERROR(IF(VLOOKUP(A584,[5]PRIORIZADOS!$A:$R,18,FALSE)="","",VLOOKUP(A584,[5]PRIORIZADOS!$A:$R,18,FALSE)),"")</f>
        <v xml:space="preserve">Tienen PIAR de dos estudiantes debidamente diligenciado. </v>
      </c>
      <c r="S584" s="11" t="str">
        <f>IFERROR(IF(VLOOKUP(A584,[5]PRIORIZADOS!$A:$S,19,FALSE)="","",VLOOKUP(A584,[5]PRIORIZADOS!$A:$S,19,FALSE)),"")</f>
        <v>Garantizar el debido seguimiento a los estudiantes de inclusión y solicitar el diagnóstico de las condiciones.</v>
      </c>
      <c r="T584" s="70" t="str">
        <f>IFERROR(IF(VLOOKUP(A584,[5]PRIORIZADOS!$A:$T,20,FALSE)="","",VLOOKUP(A584,[5]PRIORIZADOS!$A:$T,20,FALSE)),"")</f>
        <v>No</v>
      </c>
      <c r="U584" s="11" t="str">
        <f>IFERROR(IF(VLOOKUP(A584,[5]PRIORIZADOS!$A:$U,21,FALSE)="","",VLOOKUP(A584,[5]PRIORIZADOS!$A:$U,21,FALSE)),"")</f>
        <v xml:space="preserve">Continuar con el fortalecimiento de la prestación del servicio educativo bajo principios de calidad. </v>
      </c>
    </row>
    <row r="585" spans="1:21" s="1" customFormat="1" ht="84">
      <c r="A585" s="69">
        <f>IF([5]PRIORIZADOS!A93="","",[5]PRIORIZADOS!A93)</f>
        <v>2798</v>
      </c>
      <c r="B585" s="70">
        <f>IFERROR(IF(VLOOKUP(A585,[5]PRIORIZADOS!$A:$B,2,FALSE)="","",VLOOKUP(A585,[5]PRIORIZADOS!$A:$B,2,FALSE)),"")</f>
        <v>10</v>
      </c>
      <c r="C585" s="11" t="str">
        <f>IFERROR(IF(VLOOKUP(A585,[5]PRIORIZADOS!$A:$C,3,FALSE)="","",VLOOKUP(A585,[5]PRIORIZADOS!$A:$C,3,FALSE)),"")</f>
        <v>CIUDAD BOLÍVAR</v>
      </c>
      <c r="D585" s="11" t="str">
        <f>IFERROR(IF(VLOOKUP(A585,[5]PRIORIZADOS!$A:$D,4,FALSE)="","",VLOOKUP(A585,[5]PRIORIZADOS!$A:$D,4,FALSE)),"")</f>
        <v>PRIVADO</v>
      </c>
      <c r="E585" s="11" t="str">
        <f>IFERROR(IF(VLOOKUP(A585,[5]PRIORIZADOS!$A:$E,5,FALSE)="","",VLOOKUP(A585,[5]PRIORIZADOS!$A:$E,5,FALSE)),"")</f>
        <v>Educación de Jóvenes y Adultos</v>
      </c>
      <c r="F585" s="11" t="str">
        <f>IFERROR(IF(VLOOKUP(A585,[5]PRIORIZADOS!$A:$F,6,FALSE)="","",VLOOKUP(A585,[5]PRIORIZADOS!$A:$F,6,FALSE)),"")</f>
        <v>INSTITUTO_CERROS_DEL_SUR_ICES</v>
      </c>
      <c r="G585" s="11" t="str">
        <f>IFERROR(IF(VLOOKUP(A585,[5]PRIORIZADOS!$A:$G,7,FALSE)="","",VLOOKUP(A585,[5]PRIORIZADOS!$A:$G,7,FALSE)),"")</f>
        <v>INSTITUTO CERROS DEL SUR - ICES</v>
      </c>
      <c r="H585" s="11" t="str">
        <f>IFERROR(IF(VLOOKUP(A585,[5]PRIORIZADOS!$A:$H,8,FALSE)="","",VLOOKUP(A585,[5]PRIORIZADOS!$A:$H,8,FALSE)),"")</f>
        <v>Autoevaluación Institucional y Pruebas SABER 11</v>
      </c>
      <c r="I585" s="11" t="str">
        <f>IFERROR(IF(VLOOKUP(A585,[5]PRIORIZADOS!$A:$I,9,FALSE)="","",VLOOKUP(A585,[5]PRIORIZADOS!$A:$I,9,FALSE)),"")</f>
        <v>EVALUACIÓN_CON_FINES_DE_MEJORAMIENTO.</v>
      </c>
      <c r="J585" s="11" t="str">
        <f>IFERROR(IF(VLOOKUP(A585,[5]PRIORIZADOS!$A:$J,10,FALSE)="","",VLOOKUP(A585,[5]PRIORIZADOS!$A:$J,10,FALSE)),"")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85" s="11" t="str">
        <f>IFERROR(IF(VLOOKUP(A585,[5]PRIORIZADOS!$A:$K,11,FALSE)="","",VLOOKUP(A585,[5]PRIORIZADOS!$A:$K,11,FALSE)),"")</f>
        <v>ÓSCAR JAVIER CÁRDENAS MUÑOZ</v>
      </c>
      <c r="L585" s="11" t="str">
        <f>IFERROR(IF(VLOOKUP(A585,[5]PRIORIZADOS!$A:$L,12,FALSE)="","",VLOOKUP(A585,[5]PRIORIZADOS!$A:$L,12,FALSE)),"")</f>
        <v xml:space="preserve">CLAUDIA DOMÍNGUEZ TORRES </v>
      </c>
      <c r="M585" s="71">
        <f>IFERROR(IF(VLOOKUP(A585,[5]PRIORIZADOS!$A:$M,13,FALSE)="","",VLOOKUP(A585,[5]PRIORIZADOS!$A:$M,13,FALSE)),"")</f>
        <v>45897</v>
      </c>
      <c r="N585" s="71">
        <f>IFERROR(IF(VLOOKUP(A585,[5]PRIORIZADOS!$A:$N,14,FALSE)="","",VLOOKUP(A585,[5]PRIORIZADOS!$A:$N,14,FALSE)),"")</f>
        <v>45820</v>
      </c>
      <c r="O585" s="71">
        <f>IFERROR(IF(VLOOKUP(A585,[5]PRIORIZADOS!$A:$O,15,FALSE)="","",VLOOKUP(A585,[5]PRIORIZADOS!$A:$O,15,FALSE)),"")</f>
        <v>45820</v>
      </c>
      <c r="P585" s="11" t="str">
        <f>IFERROR(IF(VLOOKUP(A585,[5]PRIORIZADOS!$A:$P,16,FALSE)="","",VLOOKUP(A585,[5]PRIORIZADOS!$A:$P,16,FALSE)),"")</f>
        <v>Visitas de evaluación con fines de mejoramiento</v>
      </c>
      <c r="Q585" s="107" t="s">
        <v>123</v>
      </c>
      <c r="R585" s="11" t="str">
        <f>IFERROR(IF(VLOOKUP(A585,[5]PRIORIZADOS!$A:$R,18,FALSE)="","",VLOOKUP(A585,[5]PRIORIZADOS!$A:$R,18,FALSE)),"")</f>
        <v>Se encuentra un Manual de Convivencia demasiado sucinto, el cual carece de elementos normativos que sustenten las indicaciones.</v>
      </c>
      <c r="S585" s="11" t="str">
        <f>IFERROR(IF(VLOOKUP(A585,[5]PRIORIZADOS!$A:$S,19,FALSE)="","",VLOOKUP(A585,[5]PRIORIZADOS!$A:$S,19,FALSE)),"")</f>
        <v>Actualizar el Manual de Convivencia con base en el cotexto normativo y teniendo en cuenta los diferentes enfoques provistos en la Ley 1620.</v>
      </c>
      <c r="T585" s="70" t="str">
        <f>IFERROR(IF(VLOOKUP(A585,[5]PRIORIZADOS!$A:$T,20,FALSE)="","",VLOOKUP(A585,[5]PRIORIZADOS!$A:$T,20,FALSE)),"")</f>
        <v>Si</v>
      </c>
      <c r="U585" s="11" t="str">
        <f>IFERROR(IF(VLOOKUP(A585,[5]PRIORIZADOS!$A:$U,21,FALSE)="","",VLOOKUP(A585,[5]PRIORIZADOS!$A:$U,21,FALSE)),"")</f>
        <v>Se realizará seguimiento una vez se reciba el plan de mejoramiento 18.07.2025. Segunda visita en octubre para verificar la implementación de las acciones del plan de mejoramiento</v>
      </c>
    </row>
    <row r="586" spans="1:21" s="1" customFormat="1" ht="48">
      <c r="A586" s="69">
        <f>IF([5]PRIORIZADOS!A94="","",[5]PRIORIZADOS!A94)</f>
        <v>2799</v>
      </c>
      <c r="B586" s="70">
        <f>IFERROR(IF(VLOOKUP(A586,[5]PRIORIZADOS!$A:$B,2,FALSE)="","",VLOOKUP(A586,[5]PRIORIZADOS!$A:$B,2,FALSE)),"")</f>
        <v>10</v>
      </c>
      <c r="C586" s="11" t="str">
        <f>IFERROR(IF(VLOOKUP(A586,[5]PRIORIZADOS!$A:$C,3,FALSE)="","",VLOOKUP(A586,[5]PRIORIZADOS!$A:$C,3,FALSE)),"")</f>
        <v>CIUDAD BOLÍVAR</v>
      </c>
      <c r="D586" s="11" t="str">
        <f>IFERROR(IF(VLOOKUP(A586,[5]PRIORIZADOS!$A:$D,4,FALSE)="","",VLOOKUP(A586,[5]PRIORIZADOS!$A:$D,4,FALSE)),"")</f>
        <v>PRIVADO</v>
      </c>
      <c r="E586" s="11" t="str">
        <f>IFERROR(IF(VLOOKUP(A586,[5]PRIORIZADOS!$A:$E,5,FALSE)="","",VLOOKUP(A586,[5]PRIORIZADOS!$A:$E,5,FALSE)),"")</f>
        <v>Educación de Jóvenes y Adultos</v>
      </c>
      <c r="F586" s="11" t="str">
        <f>IFERROR(IF(VLOOKUP(A586,[5]PRIORIZADOS!$A:$F,6,FALSE)="","",VLOOKUP(A586,[5]PRIORIZADOS!$A:$F,6,FALSE)),"")</f>
        <v>INSTITUTO_CERROS_DEL_SUR_ICES</v>
      </c>
      <c r="G586" s="11" t="str">
        <f>IFERROR(IF(VLOOKUP(A586,[5]PRIORIZADOS!$A:$G,7,FALSE)="","",VLOOKUP(A586,[5]PRIORIZADOS!$A:$G,7,FALSE)),"")</f>
        <v>INSTITUTO CERROS DEL SUR - ICES</v>
      </c>
      <c r="H586" s="11" t="str">
        <f>IFERROR(IF(VLOOKUP(A586,[5]PRIORIZADOS!$A:$H,8,FALSE)="","",VLOOKUP(A586,[5]PRIORIZADOS!$A:$H,8,FALSE)),"")</f>
        <v>Autoevaluación Institucional y Pruebas SABER 11</v>
      </c>
      <c r="I586" s="11" t="str">
        <f>IFERROR(IF(VLOOKUP(A586,[5]PRIORIZADOS!$A:$I,9,FALSE)="","",VLOOKUP(A586,[5]PRIORIZADOS!$A:$I,9,FALSE)),"")</f>
        <v>EVALUACIÓN_CON_FINES_DE_MEJORAMIENTO.</v>
      </c>
      <c r="J586" s="11" t="str">
        <f>IFERROR(IF(VLOOKUP(A586,[5]PRIORIZADOS!$A:$J,10,FALSE)="","",VLOOKUP(A586,[5]PRIORIZADOS!$A:$J,10,FALSE)),"")</f>
        <v>Revisar la actualización, socialización e implementación del Sistema Institucional de Evaluación de Estudiantes - SIEE, en articulación con la actualización del PEI y la normatividad vigente.</v>
      </c>
      <c r="K586" s="11" t="str">
        <f>IFERROR(IF(VLOOKUP(A586,[5]PRIORIZADOS!$A:$K,11,FALSE)="","",VLOOKUP(A586,[5]PRIORIZADOS!$A:$K,11,FALSE)),"")</f>
        <v>ÓSCAR JAVIER CÁRDENAS MUÑOZ</v>
      </c>
      <c r="L586" s="11" t="str">
        <f>IFERROR(IF(VLOOKUP(A586,[5]PRIORIZADOS!$A:$L,12,FALSE)="","",VLOOKUP(A586,[5]PRIORIZADOS!$A:$L,12,FALSE)),"")</f>
        <v xml:space="preserve">CLAUDIA DOMÍNGUEZ TORRES </v>
      </c>
      <c r="M586" s="71">
        <f>IFERROR(IF(VLOOKUP(A586,[5]PRIORIZADOS!$A:$M,13,FALSE)="","",VLOOKUP(A586,[5]PRIORIZADOS!$A:$M,13,FALSE)),"")</f>
        <v>45897</v>
      </c>
      <c r="N586" s="71">
        <f>IFERROR(IF(VLOOKUP(A586,[5]PRIORIZADOS!$A:$N,14,FALSE)="","",VLOOKUP(A586,[5]PRIORIZADOS!$A:$N,14,FALSE)),"")</f>
        <v>45820</v>
      </c>
      <c r="O586" s="71">
        <f>IFERROR(IF(VLOOKUP(A586,[5]PRIORIZADOS!$A:$O,15,FALSE)="","",VLOOKUP(A586,[5]PRIORIZADOS!$A:$O,15,FALSE)),"")</f>
        <v>45820</v>
      </c>
      <c r="P586" s="11" t="str">
        <f>IFERROR(IF(VLOOKUP(A586,[5]PRIORIZADOS!$A:$P,16,FALSE)="","",VLOOKUP(A586,[5]PRIORIZADOS!$A:$P,16,FALSE)),"")</f>
        <v>Visitas de evaluación con fines de mejoramiento</v>
      </c>
      <c r="Q586" s="107" t="s">
        <v>123</v>
      </c>
      <c r="R586" s="11" t="str">
        <f>IFERROR(IF(VLOOKUP(A586,[5]PRIORIZADOS!$A:$R,18,FALSE)="","",VLOOKUP(A586,[5]PRIORIZADOS!$A:$R,18,FALSE)),"")</f>
        <v xml:space="preserve">Se encontró un SIEE desactualizado porque incluye conceptos como indicadores y logros que ya no se encuentran definidos normativamente. </v>
      </c>
      <c r="S586" s="11" t="str">
        <f>IFERROR(IF(VLOOKUP(A586,[5]PRIORIZADOS!$A:$S,19,FALSE)="","",VLOOKUP(A586,[5]PRIORIZADOS!$A:$S,19,FALSE)),"")</f>
        <v>Actualizar el SIEE de acuerdo a lo definido en el Decreto 1075 de 2015 y demas normatividad concordante.</v>
      </c>
      <c r="T586" s="70" t="str">
        <f>IFERROR(IF(VLOOKUP(A586,[5]PRIORIZADOS!$A:$T,20,FALSE)="","",VLOOKUP(A586,[5]PRIORIZADOS!$A:$T,20,FALSE)),"")</f>
        <v>Si</v>
      </c>
      <c r="U586" s="11" t="str">
        <f>IFERROR(IF(VLOOKUP(A586,[5]PRIORIZADOS!$A:$U,21,FALSE)="","",VLOOKUP(A586,[5]PRIORIZADOS!$A:$U,21,FALSE)),"")</f>
        <v>Se realizará seguimiento una vez se reciba el plan de mejoramiento 18.07.2025. Segunda visita en octubre para verificar la implementación de las acciones del plan de mejoramiento</v>
      </c>
    </row>
    <row r="587" spans="1:21" s="1" customFormat="1" ht="48">
      <c r="A587" s="69">
        <f>IF([5]PRIORIZADOS!A95="","",[5]PRIORIZADOS!A95)</f>
        <v>2800</v>
      </c>
      <c r="B587" s="70">
        <f>IFERROR(IF(VLOOKUP(A587,[5]PRIORIZADOS!$A:$B,2,FALSE)="","",VLOOKUP(A587,[5]PRIORIZADOS!$A:$B,2,FALSE)),"")</f>
        <v>10</v>
      </c>
      <c r="C587" s="11" t="str">
        <f>IFERROR(IF(VLOOKUP(A587,[5]PRIORIZADOS!$A:$C,3,FALSE)="","",VLOOKUP(A587,[5]PRIORIZADOS!$A:$C,3,FALSE)),"")</f>
        <v>CIUDAD BOLÍVAR</v>
      </c>
      <c r="D587" s="11" t="str">
        <f>IFERROR(IF(VLOOKUP(A587,[5]PRIORIZADOS!$A:$D,4,FALSE)="","",VLOOKUP(A587,[5]PRIORIZADOS!$A:$D,4,FALSE)),"")</f>
        <v>PRIVADO</v>
      </c>
      <c r="E587" s="11" t="str">
        <f>IFERROR(IF(VLOOKUP(A587,[5]PRIORIZADOS!$A:$E,5,FALSE)="","",VLOOKUP(A587,[5]PRIORIZADOS!$A:$E,5,FALSE)),"")</f>
        <v>Educación de Jóvenes y Adultos</v>
      </c>
      <c r="F587" s="11" t="str">
        <f>IFERROR(IF(VLOOKUP(A587,[5]PRIORIZADOS!$A:$F,6,FALSE)="","",VLOOKUP(A587,[5]PRIORIZADOS!$A:$F,6,FALSE)),"")</f>
        <v>INSTITUTO_CERROS_DEL_SUR_ICES</v>
      </c>
      <c r="G587" s="11" t="str">
        <f>IFERROR(IF(VLOOKUP(A587,[5]PRIORIZADOS!$A:$G,7,FALSE)="","",VLOOKUP(A587,[5]PRIORIZADOS!$A:$G,7,FALSE)),"")</f>
        <v>INSTITUTO CERROS DEL SUR - ICES</v>
      </c>
      <c r="H587" s="11" t="str">
        <f>IFERROR(IF(VLOOKUP(A587,[5]PRIORIZADOS!$A:$H,8,FALSE)="","",VLOOKUP(A587,[5]PRIORIZADOS!$A:$H,8,FALSE)),"")</f>
        <v>Autoevaluación Institucional y Pruebas SABER 11</v>
      </c>
      <c r="I587" s="11" t="str">
        <f>IFERROR(IF(VLOOKUP(A587,[5]PRIORIZADOS!$A:$I,9,FALSE)="","",VLOOKUP(A587,[5]PRIORIZADOS!$A:$I,9,FALSE)),"")</f>
        <v>EVALUACIÓN_CON_FINES_DE_MEJORAMIENTO.</v>
      </c>
      <c r="J587" s="11" t="str">
        <f>IFERROR(IF(VLOOKUP(A587,[5]PRIORIZADOS!$A:$J,10,FALSE)="","",VLOOKUP(A587,[5]PRIORIZADOS!$A:$J,10,FALSE)),"")</f>
        <v>Revisar el calendario escolar, jornada escolar, la intensidad horaria mínima anual en cada nivel y las modificaciones que se realicen al mismo, de acuerdo con lo previsto en la normatividad vigente.</v>
      </c>
      <c r="K587" s="11" t="str">
        <f>IFERROR(IF(VLOOKUP(A587,[5]PRIORIZADOS!$A:$K,11,FALSE)="","",VLOOKUP(A587,[5]PRIORIZADOS!$A:$K,11,FALSE)),"")</f>
        <v>ÓSCAR JAVIER CÁRDENAS MUÑOZ</v>
      </c>
      <c r="L587" s="11" t="str">
        <f>IFERROR(IF(VLOOKUP(A587,[5]PRIORIZADOS!$A:$L,12,FALSE)="","",VLOOKUP(A587,[5]PRIORIZADOS!$A:$L,12,FALSE)),"")</f>
        <v xml:space="preserve">CLAUDIA DOMÍNGUEZ TORRES </v>
      </c>
      <c r="M587" s="71">
        <f>IFERROR(IF(VLOOKUP(A587,[5]PRIORIZADOS!$A:$M,13,FALSE)="","",VLOOKUP(A587,[5]PRIORIZADOS!$A:$M,13,FALSE)),"")</f>
        <v>45897</v>
      </c>
      <c r="N587" s="71">
        <f>IFERROR(IF(VLOOKUP(A587,[5]PRIORIZADOS!$A:$N,14,FALSE)="","",VLOOKUP(A587,[5]PRIORIZADOS!$A:$N,14,FALSE)),"")</f>
        <v>45820</v>
      </c>
      <c r="O587" s="71">
        <f>IFERROR(IF(VLOOKUP(A587,[5]PRIORIZADOS!$A:$O,15,FALSE)="","",VLOOKUP(A587,[5]PRIORIZADOS!$A:$O,15,FALSE)),"")</f>
        <v>45820</v>
      </c>
      <c r="P587" s="11" t="str">
        <f>IFERROR(IF(VLOOKUP(A587,[5]PRIORIZADOS!$A:$P,16,FALSE)="","",VLOOKUP(A587,[5]PRIORIZADOS!$A:$P,16,FALSE)),"")</f>
        <v>Visitas de evaluación con fines de mejoramiento</v>
      </c>
      <c r="Q587" s="107" t="s">
        <v>123</v>
      </c>
      <c r="R587" s="11" t="str">
        <f>IFERROR(IF(VLOOKUP(A587,[5]PRIORIZADOS!$A:$R,18,FALSE)="","",VLOOKUP(A587,[5]PRIORIZADOS!$A:$R,18,FALSE)),"")</f>
        <v>Cumplen con la cantidad de horas para cada uno de los niveles.</v>
      </c>
      <c r="S587" s="11" t="str">
        <f>IFERROR(IF(VLOOKUP(A587,[5]PRIORIZADOS!$A:$S,19,FALSE)="","",VLOOKUP(A587,[5]PRIORIZADOS!$A:$S,19,FALSE)),"")</f>
        <v xml:space="preserve">Precisar en el SIEE el calendario escolar. </v>
      </c>
      <c r="T587" s="70" t="str">
        <f>IFERROR(IF(VLOOKUP(A587,[5]PRIORIZADOS!$A:$T,20,FALSE)="","",VLOOKUP(A587,[5]PRIORIZADOS!$A:$T,20,FALSE)),"")</f>
        <v>Si</v>
      </c>
      <c r="U587" s="11" t="str">
        <f>IFERROR(IF(VLOOKUP(A587,[5]PRIORIZADOS!$A:$U,21,FALSE)="","",VLOOKUP(A587,[5]PRIORIZADOS!$A:$U,21,FALSE)),"")</f>
        <v>Se realizará seguimiento una vez se reciba el plan de mejoramiento 18.07.2025. Segunda visita en octubre para verificar la implementación de las acciones del plan de mejoramiento</v>
      </c>
    </row>
    <row r="588" spans="1:21" s="1" customFormat="1" ht="48">
      <c r="A588" s="69">
        <f>IF([5]PRIORIZADOS!A96="","",[5]PRIORIZADOS!A96)</f>
        <v>2801</v>
      </c>
      <c r="B588" s="70">
        <f>IFERROR(IF(VLOOKUP(A588,[5]PRIORIZADOS!$A:$B,2,FALSE)="","",VLOOKUP(A588,[5]PRIORIZADOS!$A:$B,2,FALSE)),"")</f>
        <v>10</v>
      </c>
      <c r="C588" s="11" t="str">
        <f>IFERROR(IF(VLOOKUP(A588,[5]PRIORIZADOS!$A:$C,3,FALSE)="","",VLOOKUP(A588,[5]PRIORIZADOS!$A:$C,3,FALSE)),"")</f>
        <v>CIUDAD BOLÍVAR</v>
      </c>
      <c r="D588" s="11" t="str">
        <f>IFERROR(IF(VLOOKUP(A588,[5]PRIORIZADOS!$A:$D,4,FALSE)="","",VLOOKUP(A588,[5]PRIORIZADOS!$A:$D,4,FALSE)),"")</f>
        <v>PRIVADO</v>
      </c>
      <c r="E588" s="11" t="str">
        <f>IFERROR(IF(VLOOKUP(A588,[5]PRIORIZADOS!$A:$E,5,FALSE)="","",VLOOKUP(A588,[5]PRIORIZADOS!$A:$E,5,FALSE)),"")</f>
        <v>Educación de Jóvenes y Adultos</v>
      </c>
      <c r="F588" s="11" t="str">
        <f>IFERROR(IF(VLOOKUP(A588,[5]PRIORIZADOS!$A:$F,6,FALSE)="","",VLOOKUP(A588,[5]PRIORIZADOS!$A:$F,6,FALSE)),"")</f>
        <v>INSTITUTO_CERROS_DEL_SUR_ICES</v>
      </c>
      <c r="G588" s="11" t="str">
        <f>IFERROR(IF(VLOOKUP(A588,[5]PRIORIZADOS!$A:$G,7,FALSE)="","",VLOOKUP(A588,[5]PRIORIZADOS!$A:$G,7,FALSE)),"")</f>
        <v>INSTITUTO CERROS DEL SUR - ICES</v>
      </c>
      <c r="H588" s="11" t="str">
        <f>IFERROR(IF(VLOOKUP(A588,[5]PRIORIZADOS!$A:$H,8,FALSE)="","",VLOOKUP(A588,[5]PRIORIZADOS!$A:$H,8,FALSE)),"")</f>
        <v>Autoevaluación Institucional y Pruebas SABER 11</v>
      </c>
      <c r="I588" s="11" t="str">
        <f>IFERROR(IF(VLOOKUP(A588,[5]PRIORIZADOS!$A:$I,9,FALSE)="","",VLOOKUP(A588,[5]PRIORIZADOS!$A:$I,9,FALSE)),"")</f>
        <v>EVALUACIÓN_CON_FINES_DE_MEJORAMIENTO.</v>
      </c>
      <c r="J588" s="11" t="str">
        <f>IFERROR(IF(VLOOKUP(A588,[5]PRIORIZADOS!$A:$J,10,FALSE)="","",VLOOKUP(A588,[5]PRIORIZADOS!$A:$J,10,FALSE)),"")</f>
        <v>Verificar el funcionamiento del Gobierno Escolar e instancias de participación con base en la información sobre conformación reportada por la institución educativa.</v>
      </c>
      <c r="K588" s="11" t="str">
        <f>IFERROR(IF(VLOOKUP(A588,[5]PRIORIZADOS!$A:$K,11,FALSE)="","",VLOOKUP(A588,[5]PRIORIZADOS!$A:$K,11,FALSE)),"")</f>
        <v>ÓSCAR JAVIER CÁRDENAS MUÑOZ</v>
      </c>
      <c r="L588" s="11" t="str">
        <f>IFERROR(IF(VLOOKUP(A588,[5]PRIORIZADOS!$A:$L,12,FALSE)="","",VLOOKUP(A588,[5]PRIORIZADOS!$A:$L,12,FALSE)),"")</f>
        <v xml:space="preserve">CLAUDIA DOMÍNGUEZ TORRES </v>
      </c>
      <c r="M588" s="71">
        <f>IFERROR(IF(VLOOKUP(A588,[5]PRIORIZADOS!$A:$M,13,FALSE)="","",VLOOKUP(A588,[5]PRIORIZADOS!$A:$M,13,FALSE)),"")</f>
        <v>45897</v>
      </c>
      <c r="N588" s="71">
        <f>IFERROR(IF(VLOOKUP(A588,[5]PRIORIZADOS!$A:$N,14,FALSE)="","",VLOOKUP(A588,[5]PRIORIZADOS!$A:$N,14,FALSE)),"")</f>
        <v>45820</v>
      </c>
      <c r="O588" s="71">
        <f>IFERROR(IF(VLOOKUP(A588,[5]PRIORIZADOS!$A:$O,15,FALSE)="","",VLOOKUP(A588,[5]PRIORIZADOS!$A:$O,15,FALSE)),"")</f>
        <v>45820</v>
      </c>
      <c r="P588" s="11" t="str">
        <f>IFERROR(IF(VLOOKUP(A588,[5]PRIORIZADOS!$A:$P,16,FALSE)="","",VLOOKUP(A588,[5]PRIORIZADOS!$A:$P,16,FALSE)),"")</f>
        <v>Visitas de evaluación con fines de mejoramiento</v>
      </c>
      <c r="Q588" s="107" t="s">
        <v>123</v>
      </c>
      <c r="R588" s="11" t="str">
        <f>IFERROR(IF(VLOOKUP(A588,[5]PRIORIZADOS!$A:$R,18,FALSE)="","",VLOOKUP(A588,[5]PRIORIZADOS!$A:$R,18,FALSE)),"")</f>
        <v>Cumplen con la conformación y las reuniones de los estamentos del Gobierno Escolar</v>
      </c>
      <c r="S588" s="11" t="str">
        <f>IFERROR(IF(VLOOKUP(A588,[5]PRIORIZADOS!$A:$S,19,FALSE)="","",VLOOKUP(A588,[5]PRIORIZADOS!$A:$S,19,FALSE)),"")</f>
        <v>Continuar con la debida, participación y registro en acta de las reuniones de los diferentes estamentos del Gobierno Escolar</v>
      </c>
      <c r="T588" s="70" t="str">
        <f>IFERROR(IF(VLOOKUP(A588,[5]PRIORIZADOS!$A:$T,20,FALSE)="","",VLOOKUP(A588,[5]PRIORIZADOS!$A:$T,20,FALSE)),"")</f>
        <v>No</v>
      </c>
      <c r="U588" s="11" t="str">
        <f>IFERROR(IF(VLOOKUP(A588,[5]PRIORIZADOS!$A:$U,21,FALSE)="","",VLOOKUP(A588,[5]PRIORIZADOS!$A:$U,21,FALSE)),"")</f>
        <v>Se verificará la debida conformación y funcionamiento del Gobierno Escolar para la siguiente vigencia.</v>
      </c>
    </row>
    <row r="589" spans="1:21" s="1" customFormat="1" ht="60">
      <c r="A589" s="69">
        <f>IF([5]PRIORIZADOS!A97="","",[5]PRIORIZADOS!A97)</f>
        <v>2802</v>
      </c>
      <c r="B589" s="70">
        <f>IFERROR(IF(VLOOKUP(A589,[5]PRIORIZADOS!$A:$B,2,FALSE)="","",VLOOKUP(A589,[5]PRIORIZADOS!$A:$B,2,FALSE)),"")</f>
        <v>10</v>
      </c>
      <c r="C589" s="11" t="str">
        <f>IFERROR(IF(VLOOKUP(A589,[5]PRIORIZADOS!$A:$C,3,FALSE)="","",VLOOKUP(A589,[5]PRIORIZADOS!$A:$C,3,FALSE)),"")</f>
        <v>CIUDAD BOLÍVAR</v>
      </c>
      <c r="D589" s="11" t="str">
        <f>IFERROR(IF(VLOOKUP(A589,[5]PRIORIZADOS!$A:$D,4,FALSE)="","",VLOOKUP(A589,[5]PRIORIZADOS!$A:$D,4,FALSE)),"")</f>
        <v>PRIVADO</v>
      </c>
      <c r="E589" s="11" t="str">
        <f>IFERROR(IF(VLOOKUP(A589,[5]PRIORIZADOS!$A:$E,5,FALSE)="","",VLOOKUP(A589,[5]PRIORIZADOS!$A:$E,5,FALSE)),"")</f>
        <v>Educación de Jóvenes y Adultos</v>
      </c>
      <c r="F589" s="11" t="str">
        <f>IFERROR(IF(VLOOKUP(A589,[5]PRIORIZADOS!$A:$F,6,FALSE)="","",VLOOKUP(A589,[5]PRIORIZADOS!$A:$F,6,FALSE)),"")</f>
        <v>INSTITUTO_CERROS_DEL_SUR_ICES</v>
      </c>
      <c r="G589" s="11" t="str">
        <f>IFERROR(IF(VLOOKUP(A589,[5]PRIORIZADOS!$A:$G,7,FALSE)="","",VLOOKUP(A589,[5]PRIORIZADOS!$A:$G,7,FALSE)),"")</f>
        <v>INSTITUTO CERROS DEL SUR - ICES</v>
      </c>
      <c r="H589" s="11" t="str">
        <f>IFERROR(IF(VLOOKUP(A589,[5]PRIORIZADOS!$A:$H,8,FALSE)="","",VLOOKUP(A589,[5]PRIORIZADOS!$A:$H,8,FALSE)),"")</f>
        <v>Autoevaluación Institucional y Pruebas SABER 11</v>
      </c>
      <c r="I589" s="11" t="str">
        <f>IFERROR(IF(VLOOKUP(A589,[5]PRIORIZADOS!$A:$I,9,FALSE)="","",VLOOKUP(A589,[5]PRIORIZADOS!$A:$I,9,FALSE)),"")</f>
        <v>EVALUACIÓN_CON_FINES_DE_MEJORAMIENTO.</v>
      </c>
      <c r="J589" s="11" t="str">
        <f>IFERROR(IF(VLOOKUP(A589,[5]PRIORIZADOS!$A:$J,10,FALSE)="","",VLOOKUP(A589,[5]PRIORIZADOS!$A:$J,10,FALSE)),"")</f>
        <v>Verificar las condiciones en cuanto a: la estructura administrativa, condiciones de la planta física y medios educativos adecuados.</v>
      </c>
      <c r="K589" s="11" t="str">
        <f>IFERROR(IF(VLOOKUP(A589,[5]PRIORIZADOS!$A:$K,11,FALSE)="","",VLOOKUP(A589,[5]PRIORIZADOS!$A:$K,11,FALSE)),"")</f>
        <v>ÓSCAR JAVIER CÁRDENAS MUÑOZ</v>
      </c>
      <c r="L589" s="11" t="str">
        <f>IFERROR(IF(VLOOKUP(A589,[5]PRIORIZADOS!$A:$L,12,FALSE)="","",VLOOKUP(A589,[5]PRIORIZADOS!$A:$L,12,FALSE)),"")</f>
        <v xml:space="preserve">CLAUDIA DOMÍNGUEZ TORRES </v>
      </c>
      <c r="M589" s="71">
        <f>IFERROR(IF(VLOOKUP(A589,[5]PRIORIZADOS!$A:$M,13,FALSE)="","",VLOOKUP(A589,[5]PRIORIZADOS!$A:$M,13,FALSE)),"")</f>
        <v>45897</v>
      </c>
      <c r="N589" s="71">
        <f>IFERROR(IF(VLOOKUP(A589,[5]PRIORIZADOS!$A:$N,14,FALSE)="","",VLOOKUP(A589,[5]PRIORIZADOS!$A:$N,14,FALSE)),"")</f>
        <v>45820</v>
      </c>
      <c r="O589" s="71">
        <f>IFERROR(IF(VLOOKUP(A589,[5]PRIORIZADOS!$A:$O,15,FALSE)="","",VLOOKUP(A589,[5]PRIORIZADOS!$A:$O,15,FALSE)),"")</f>
        <v>45820</v>
      </c>
      <c r="P589" s="11" t="str">
        <f>IFERROR(IF(VLOOKUP(A589,[5]PRIORIZADOS!$A:$P,16,FALSE)="","",VLOOKUP(A589,[5]PRIORIZADOS!$A:$P,16,FALSE)),"")</f>
        <v>Visitas de evaluación con fines de mejoramiento</v>
      </c>
      <c r="Q589" s="107" t="s">
        <v>123</v>
      </c>
      <c r="R589" s="11" t="str">
        <f>IFERROR(IF(VLOOKUP(A589,[5]PRIORIZADOS!$A:$R,18,FALSE)="","",VLOOKUP(A589,[5]PRIORIZADOS!$A:$R,18,FALSE)),"")</f>
        <v>Las condciones de planta física estan acordes a las necesidades de los estudiantes. Sobre la estructura administrativa no son claros los manejos financieros de la IE.</v>
      </c>
      <c r="S589" s="11" t="str">
        <f>IFERROR(IF(VLOOKUP(A589,[5]PRIORIZADOS!$A:$S,19,FALSE)="","",VLOOKUP(A589,[5]PRIORIZADOS!$A:$S,19,FALSE)),"")</f>
        <v xml:space="preserve">Definir la continuidad de la institución con base a la baja matrícula y a las dificultades financieras del proyecto. </v>
      </c>
      <c r="T589" s="70" t="str">
        <f>IFERROR(IF(VLOOKUP(A589,[5]PRIORIZADOS!$A:$T,20,FALSE)="","",VLOOKUP(A589,[5]PRIORIZADOS!$A:$T,20,FALSE)),"")</f>
        <v>Si</v>
      </c>
      <c r="U589" s="11" t="str">
        <f>IFERROR(IF(VLOOKUP(A589,[5]PRIORIZADOS!$A:$U,21,FALSE)="","",VLOOKUP(A589,[5]PRIORIZADOS!$A:$U,21,FALSE)),"")</f>
        <v>Se realizará seguimiento una vez se reciba el plan de mejoramiento 18.07.2025. Segunda visita en octubre para verificar la implementación de las acciones del plan de mejoramiento</v>
      </c>
    </row>
    <row r="590" spans="1:21" s="1" customFormat="1" ht="36">
      <c r="A590" s="69">
        <f>IF([5]PRIORIZADOS!A98="","",[5]PRIORIZADOS!A98)</f>
        <v>2803</v>
      </c>
      <c r="B590" s="70">
        <f>IFERROR(IF(VLOOKUP(A590,[5]PRIORIZADOS!$A:$B,2,FALSE)="","",VLOOKUP(A590,[5]PRIORIZADOS!$A:$B,2,FALSE)),"")</f>
        <v>11</v>
      </c>
      <c r="C590" s="11" t="str">
        <f>IFERROR(IF(VLOOKUP(A590,[5]PRIORIZADOS!$A:$C,3,FALSE)="","",VLOOKUP(A590,[5]PRIORIZADOS!$A:$C,3,FALSE)),"")</f>
        <v>CIUDAD BOLÍVAR</v>
      </c>
      <c r="D590" s="11" t="str">
        <f>IFERROR(IF(VLOOKUP(A590,[5]PRIORIZADOS!$A:$D,4,FALSE)="","",VLOOKUP(A590,[5]PRIORIZADOS!$A:$D,4,FALSE)),"")</f>
        <v>PRIVADO</v>
      </c>
      <c r="E590" s="11" t="str">
        <f>IFERROR(IF(VLOOKUP(A590,[5]PRIORIZADOS!$A:$E,5,FALSE)="","",VLOOKUP(A590,[5]PRIORIZADOS!$A:$E,5,FALSE)),"")</f>
        <v>EPBM</v>
      </c>
      <c r="F590" s="11" t="str">
        <f>IFERROR(IF(VLOOKUP(A590,[5]PRIORIZADOS!$A:$F,6,FALSE)="","",VLOOKUP(A590,[5]PRIORIZADOS!$A:$F,6,FALSE)),"")</f>
        <v>COLEGIO_DIOS_ES_AMOR_LUCERO_ALTO</v>
      </c>
      <c r="G590" s="11" t="str">
        <f>IFERROR(IF(VLOOKUP(A590,[5]PRIORIZADOS!$A:$G,7,FALSE)="","",VLOOKUP(A590,[5]PRIORIZADOS!$A:$G,7,FALSE)),"")</f>
        <v>COLEGIO DIOS ES AMOR LUCERO ALTO</v>
      </c>
      <c r="H590" s="11" t="str">
        <f>IFERROR(IF(VLOOKUP(A590,[5]PRIORIZADOS!$A:$H,8,FALSE)="","",VLOOKUP(A590,[5]PRIORIZADOS!$A:$H,8,FALSE)),"")</f>
        <v>Autoevaluación Institucional y Pruebas SABER 11</v>
      </c>
      <c r="I590" s="11" t="str">
        <f>IFERROR(IF(VLOOKUP(A590,[5]PRIORIZADOS!$A:$I,9,FALSE)="","",VLOOKUP(A590,[5]PRIORIZADOS!$A:$I,9,FALSE)),"")</f>
        <v>SEGUIMIENTO_Y_SUPERVISIÓN.</v>
      </c>
      <c r="J590" s="11" t="str">
        <f>IFERROR(IF(VLOOKUP(A590,[5]PRIORIZADOS!$A:$J,10,FALSE)="","",VLOOKUP(A590,[5]PRIORIZADOS!$A:$J,10,FALSE)),"")</f>
        <v>Realizar visitas para verificar la información registrada sobre la autoevaluación institucional en el aplicativo EVI, a los establecimientos de educación formal no oficial.</v>
      </c>
      <c r="K590" s="11" t="str">
        <f>IFERROR(IF(VLOOKUP(A590,[5]PRIORIZADOS!$A:$K,11,FALSE)="","",VLOOKUP(A590,[5]PRIORIZADOS!$A:$K,11,FALSE)),"")</f>
        <v xml:space="preserve">CLAUDIA DOMÍNGUEZ TORRES </v>
      </c>
      <c r="L590" s="11" t="str">
        <f>IFERROR(IF(VLOOKUP(A590,[5]PRIORIZADOS!$A:$L,12,FALSE)="","",VLOOKUP(A590,[5]PRIORIZADOS!$A:$L,12,FALSE)),"")</f>
        <v xml:space="preserve">MARIA NANCY DUCUARA </v>
      </c>
      <c r="M590" s="71">
        <f>IFERROR(IF(VLOOKUP(A590,[5]PRIORIZADOS!$A:$M,13,FALSE)="","",VLOOKUP(A590,[5]PRIORIZADOS!$A:$M,13,FALSE)),"")</f>
        <v>45898</v>
      </c>
      <c r="N590" s="71">
        <f>IFERROR(IF(VLOOKUP(A590,[5]PRIORIZADOS!$A:$N,14,FALSE)="","",VLOOKUP(A590,[5]PRIORIZADOS!$A:$N,14,FALSE)),"")</f>
        <v>45901</v>
      </c>
      <c r="O590" s="71">
        <f>IFERROR(IF(VLOOKUP(A590,[5]PRIORIZADOS!$A:$O,15,FALSE)="","",VLOOKUP(A590,[5]PRIORIZADOS!$A:$O,15,FALSE)),"")</f>
        <v>45901</v>
      </c>
      <c r="P590" s="11" t="str">
        <f>IFERROR(IF(VLOOKUP(A590,[5]PRIORIZADOS!$A:$P,16,FALSE)="","",VLOOKUP(A590,[5]PRIORIZADOS!$A:$P,16,FALSE)),"")</f>
        <v>Visitas de evaluación con fines de mejoramiento</v>
      </c>
      <c r="Q590" s="2" t="s">
        <v>124</v>
      </c>
      <c r="R590" s="11" t="str">
        <f>IFERROR(IF(VLOOKUP(A590,[5]PRIORIZADOS!$A:$R,18,FALSE)="","",VLOOKUP(A590,[5]PRIORIZADOS!$A:$R,18,FALSE)),"")</f>
        <v>Se encuentra conformidad con lo reportado en el EVI.</v>
      </c>
      <c r="S590" s="11" t="str">
        <f>IFERROR(IF(VLOOKUP(A590,[5]PRIORIZADOS!$A:$S,19,FALSE)="","",VLOOKUP(A590,[5]PRIORIZADOS!$A:$S,19,FALSE)),"")</f>
        <v>Continuar con el debido reporte en el EVI en el marco de la realidad institucional y de las actualizaciones y adecuaciones a la IE</v>
      </c>
      <c r="T590" s="70" t="str">
        <f>IFERROR(IF(VLOOKUP(A590,[5]PRIORIZADOS!$A:$T,20,FALSE)="","",VLOOKUP(A590,[5]PRIORIZADOS!$A:$T,20,FALSE)),"")</f>
        <v>No</v>
      </c>
      <c r="U590" s="11" t="str">
        <f>IFERROR(IF(VLOOKUP(A590,[5]PRIORIZADOS!$A:$U,21,FALSE)="","",VLOOKUP(A590,[5]PRIORIZADOS!$A:$U,21,FALSE)),"")</f>
        <v>Verificar la autoevaluación 2025 con fines del proceso de tarifas 2026.</v>
      </c>
    </row>
    <row r="591" spans="1:21" s="1" customFormat="1" ht="60">
      <c r="A591" s="69">
        <f>IF([5]PRIORIZADOS!A99="","",[5]PRIORIZADOS!A99)</f>
        <v>2804</v>
      </c>
      <c r="B591" s="70">
        <f>IFERROR(IF(VLOOKUP(A591,[5]PRIORIZADOS!$A:$B,2,FALSE)="","",VLOOKUP(A591,[5]PRIORIZADOS!$A:$B,2,FALSE)),"")</f>
        <v>11</v>
      </c>
      <c r="C591" s="11" t="str">
        <f>IFERROR(IF(VLOOKUP(A591,[5]PRIORIZADOS!$A:$C,3,FALSE)="","",VLOOKUP(A591,[5]PRIORIZADOS!$A:$C,3,FALSE)),"")</f>
        <v>CIUDAD BOLÍVAR</v>
      </c>
      <c r="D591" s="11" t="str">
        <f>IFERROR(IF(VLOOKUP(A591,[5]PRIORIZADOS!$A:$D,4,FALSE)="","",VLOOKUP(A591,[5]PRIORIZADOS!$A:$D,4,FALSE)),"")</f>
        <v>PRIVADO</v>
      </c>
      <c r="E591" s="11" t="str">
        <f>IFERROR(IF(VLOOKUP(A591,[5]PRIORIZADOS!$A:$E,5,FALSE)="","",VLOOKUP(A591,[5]PRIORIZADOS!$A:$E,5,FALSE)),"")</f>
        <v>EPBM</v>
      </c>
      <c r="F591" s="11" t="str">
        <f>IFERROR(IF(VLOOKUP(A591,[5]PRIORIZADOS!$A:$F,6,FALSE)="","",VLOOKUP(A591,[5]PRIORIZADOS!$A:$F,6,FALSE)),"")</f>
        <v>COLEGIO_DIOS_ES_AMOR_LUCERO_ALTO</v>
      </c>
      <c r="G591" s="11" t="str">
        <f>IFERROR(IF(VLOOKUP(A591,[5]PRIORIZADOS!$A:$G,7,FALSE)="","",VLOOKUP(A591,[5]PRIORIZADOS!$A:$G,7,FALSE)),"")</f>
        <v>COLEGIO DIOS ES AMOR LUCERO ALTO</v>
      </c>
      <c r="H591" s="11" t="str">
        <f>IFERROR(IF(VLOOKUP(A591,[5]PRIORIZADOS!$A:$H,8,FALSE)="","",VLOOKUP(A591,[5]PRIORIZADOS!$A:$H,8,FALSE)),"")</f>
        <v>Autoevaluación Institucional y Pruebas SABER 11</v>
      </c>
      <c r="I591" s="11" t="str">
        <f>IFERROR(IF(VLOOKUP(A591,[5]PRIORIZADOS!$A:$I,9,FALSE)="","",VLOOKUP(A591,[5]PRIORIZADOS!$A:$I,9,FALSE)),"")</f>
        <v>SEGUIMIENTO_Y_SUPERVISIÓN.</v>
      </c>
      <c r="J591" s="11" t="str">
        <f>IFERROR(IF(VLOOKUP(A591,[5]PRIORIZADOS!$A:$J,10,FALSE)="","",VLOOKUP(A591,[5]PRIORIZADOS!$A:$J,10,FALSE)),"")</f>
        <v>Proponer estrategias en la formulación, verificar su elaboración y realizar seguimiento semestral al desarrollo de  las acciones establecidas en los planes de mejoramiento por pruebas SABER 11 de los establecimientos de educación formal.</v>
      </c>
      <c r="K591" s="11" t="str">
        <f>IFERROR(IF(VLOOKUP(A591,[5]PRIORIZADOS!$A:$K,11,FALSE)="","",VLOOKUP(A591,[5]PRIORIZADOS!$A:$K,11,FALSE)),"")</f>
        <v xml:space="preserve">CLAUDIA DOMÍNGUEZ TORRES </v>
      </c>
      <c r="L591" s="11" t="str">
        <f>IFERROR(IF(VLOOKUP(A591,[5]PRIORIZADOS!$A:$L,12,FALSE)="","",VLOOKUP(A591,[5]PRIORIZADOS!$A:$L,12,FALSE)),"")</f>
        <v xml:space="preserve">MARIA NANCY DUCUARA </v>
      </c>
      <c r="M591" s="71">
        <f>IFERROR(IF(VLOOKUP(A591,[5]PRIORIZADOS!$A:$M,13,FALSE)="","",VLOOKUP(A591,[5]PRIORIZADOS!$A:$M,13,FALSE)),"")</f>
        <v>45898</v>
      </c>
      <c r="N591" s="71">
        <f>IFERROR(IF(VLOOKUP(A591,[5]PRIORIZADOS!$A:$N,14,FALSE)="","",VLOOKUP(A591,[5]PRIORIZADOS!$A:$N,14,FALSE)),"")</f>
        <v>45901</v>
      </c>
      <c r="O591" s="71">
        <f>IFERROR(IF(VLOOKUP(A591,[5]PRIORIZADOS!$A:$O,15,FALSE)="","",VLOOKUP(A591,[5]PRIORIZADOS!$A:$O,15,FALSE)),"")</f>
        <v>45901</v>
      </c>
      <c r="P591" s="11" t="str">
        <f>IFERROR(IF(VLOOKUP(A591,[5]PRIORIZADOS!$A:$P,16,FALSE)="","",VLOOKUP(A591,[5]PRIORIZADOS!$A:$P,16,FALSE)),"")</f>
        <v>Visitas de evaluación con fines de mejoramiento</v>
      </c>
      <c r="Q591" s="2" t="s">
        <v>124</v>
      </c>
      <c r="R591" s="11" t="str">
        <f>IFERROR(IF(VLOOKUP(A591,[5]PRIORIZADOS!$A:$R,18,FALSE)="","",VLOOKUP(A591,[5]PRIORIZADOS!$A:$R,18,FALSE)),"")</f>
        <v xml:space="preserve">Se realiza análisis cuantitativo y cualitativo de resultados pruebas SABER. Se plantea un Plan de Acción de mejoramiento con una empresa externa, con simulacros y acciones de refuerzo y entrenamiento. </v>
      </c>
      <c r="S591" s="11" t="str">
        <f>IFERROR(IF(VLOOKUP(A591,[5]PRIORIZADOS!$A:$S,19,FALSE)="","",VLOOKUP(A591,[5]PRIORIZADOS!$A:$S,19,FALSE)),"")</f>
        <v xml:space="preserve">Desarrollar el plan de acción para la realización de los simulacros y acciones de refuerzo </v>
      </c>
      <c r="T591" s="70" t="str">
        <f>IFERROR(IF(VLOOKUP(A591,[5]PRIORIZADOS!$A:$T,20,FALSE)="","",VLOOKUP(A591,[5]PRIORIZADOS!$A:$T,20,FALSE)),"")</f>
        <v>No</v>
      </c>
      <c r="U591" s="11" t="str">
        <f>IFERROR(IF(VLOOKUP(A591,[5]PRIORIZADOS!$A:$U,21,FALSE)="","",VLOOKUP(A591,[5]PRIORIZADOS!$A:$U,21,FALSE)),"")</f>
        <v>Verificar los resultados de las pruebas Saber 11 de la presente vigencia respecto a la mejora en su clasificación</v>
      </c>
    </row>
    <row r="592" spans="1:21" s="1" customFormat="1" ht="107.25">
      <c r="A592" s="69">
        <f>IF([5]PRIORIZADOS!A100="","",[5]PRIORIZADOS!A100)</f>
        <v>2805</v>
      </c>
      <c r="B592" s="70">
        <f>IFERROR(IF(VLOOKUP(A592,[5]PRIORIZADOS!$A:$B,2,FALSE)="","",VLOOKUP(A592,[5]PRIORIZADOS!$A:$B,2,FALSE)),"")</f>
        <v>11</v>
      </c>
      <c r="C592" s="11" t="str">
        <f>IFERROR(IF(VLOOKUP(A592,[5]PRIORIZADOS!$A:$C,3,FALSE)="","",VLOOKUP(A592,[5]PRIORIZADOS!$A:$C,3,FALSE)),"")</f>
        <v>CIUDAD BOLÍVAR</v>
      </c>
      <c r="D592" s="11" t="str">
        <f>IFERROR(IF(VLOOKUP(A592,[5]PRIORIZADOS!$A:$D,4,FALSE)="","",VLOOKUP(A592,[5]PRIORIZADOS!$A:$D,4,FALSE)),"")</f>
        <v>PRIVADO</v>
      </c>
      <c r="E592" s="11" t="str">
        <f>IFERROR(IF(VLOOKUP(A592,[5]PRIORIZADOS!$A:$E,5,FALSE)="","",VLOOKUP(A592,[5]PRIORIZADOS!$A:$E,5,FALSE)),"")</f>
        <v>EPBM</v>
      </c>
      <c r="F592" s="11" t="str">
        <f>IFERROR(IF(VLOOKUP(A592,[5]PRIORIZADOS!$A:$F,6,FALSE)="","",VLOOKUP(A592,[5]PRIORIZADOS!$A:$F,6,FALSE)),"")</f>
        <v>COLEGIO_DIOS_ES_AMOR_LUCERO_ALTO</v>
      </c>
      <c r="G592" s="11" t="str">
        <f>IFERROR(IF(VLOOKUP(A592,[5]PRIORIZADOS!$A:$G,7,FALSE)="","",VLOOKUP(A592,[5]PRIORIZADOS!$A:$G,7,FALSE)),"")</f>
        <v>COLEGIO DIOS ES AMOR LUCERO ALTO</v>
      </c>
      <c r="H592" s="11" t="str">
        <f>IFERROR(IF(VLOOKUP(A592,[5]PRIORIZADOS!$A:$H,8,FALSE)="","",VLOOKUP(A592,[5]PRIORIZADOS!$A:$H,8,FALSE)),"")</f>
        <v>Autoevaluación Institucional y Pruebas SABER 11</v>
      </c>
      <c r="I592" s="11" t="str">
        <f>IFERROR(IF(VLOOKUP(A592,[5]PRIORIZADOS!$A:$I,9,FALSE)="","",VLOOKUP(A592,[5]PRIORIZADOS!$A:$I,9,FALSE)),"")</f>
        <v>SEGUIMIENTO_Y_SUPERVISIÓN.</v>
      </c>
      <c r="J592" s="11" t="str">
        <f>IFERROR(IF(VLOOKUP(A592,[5]PRIORIZADOS!$A:$J,10,FALSE)="","",VLOOKUP(A592,[5]PRIORIZADOS!$A:$J,10,FALSE)),"")</f>
        <v xml:space="preserve">Verificar la implementación por parte de los colegios, de acciones realizadas para la prevención y atención de las situaciones de convivencia en el entorno escolar, según lo establecido en la Directiva 01 de 2022 del MEN. </v>
      </c>
      <c r="K592" s="11" t="str">
        <f>IFERROR(IF(VLOOKUP(A592,[5]PRIORIZADOS!$A:$K,11,FALSE)="","",VLOOKUP(A592,[5]PRIORIZADOS!$A:$K,11,FALSE)),"")</f>
        <v xml:space="preserve">CLAUDIA DOMÍNGUEZ TORRES </v>
      </c>
      <c r="L592" s="11" t="str">
        <f>IFERROR(IF(VLOOKUP(A592,[5]PRIORIZADOS!$A:$L,12,FALSE)="","",VLOOKUP(A592,[5]PRIORIZADOS!$A:$L,12,FALSE)),"")</f>
        <v xml:space="preserve">MARIA NANCY DUCUARA </v>
      </c>
      <c r="M592" s="71">
        <f>IFERROR(IF(VLOOKUP(A592,[5]PRIORIZADOS!$A:$M,13,FALSE)="","",VLOOKUP(A592,[5]PRIORIZADOS!$A:$M,13,FALSE)),"")</f>
        <v>45898</v>
      </c>
      <c r="N592" s="71">
        <f>IFERROR(IF(VLOOKUP(A592,[5]PRIORIZADOS!$A:$N,14,FALSE)="","",VLOOKUP(A592,[5]PRIORIZADOS!$A:$N,14,FALSE)),"")</f>
        <v>45901</v>
      </c>
      <c r="O592" s="71">
        <f>IFERROR(IF(VLOOKUP(A592,[5]PRIORIZADOS!$A:$O,15,FALSE)="","",VLOOKUP(A592,[5]PRIORIZADOS!$A:$O,15,FALSE)),"")</f>
        <v>45901</v>
      </c>
      <c r="P592" s="11" t="str">
        <f>IFERROR(IF(VLOOKUP(A592,[5]PRIORIZADOS!$A:$P,16,FALSE)="","",VLOOKUP(A592,[5]PRIORIZADOS!$A:$P,16,FALSE)),"")</f>
        <v>Visitas de evaluación con fines de mejoramiento</v>
      </c>
      <c r="Q592" s="2" t="s">
        <v>124</v>
      </c>
      <c r="R592" s="11" t="str">
        <f>IFERROR(IF(VLOOKUP(A592,[5]PRIORIZADOS!$A:$R,18,FALSE)="","",VLOOKUP(A592,[5]PRIORIZADOS!$A:$R,18,FALSE)),"")</f>
        <v xml:space="preserve">La institución educativa presenta las acciones realizadas frente al Plan de Mejora de activación de ruta de convivencia, se evidencia que han realizado las actuaciones tendientes a la mejora continua. Los NNA que tienen activación de ruta les realiza el seguimiento por parte de Trabajadora Social en  el Comité de Protección. </v>
      </c>
      <c r="S592" s="11" t="str">
        <f>IFERROR(IF(VLOOKUP(A592,[5]PRIORIZADOS!$A:$S,19,FALSE)="","",VLOOKUP(A592,[5]PRIORIZADOS!$A:$S,19,FALSE)),"")</f>
        <v>Continuar con la aplicabilidad de los protocolos de la RIA, en cumplimiento dela normatividad establecida</v>
      </c>
      <c r="T592" s="70" t="str">
        <f>IFERROR(IF(VLOOKUP(A592,[5]PRIORIZADOS!$A:$T,20,FALSE)="","",VLOOKUP(A592,[5]PRIORIZADOS!$A:$T,20,FALSE)),"")</f>
        <v>No</v>
      </c>
      <c r="U592" s="11" t="str">
        <f>IFERROR(IF(VLOOKUP(A592,[5]PRIORIZADOS!$A:$U,21,FALSE)="","",VLOOKUP(A592,[5]PRIORIZADOS!$A:$U,21,FALSE)),"")</f>
        <v xml:space="preserve">Verificar el cumplimiento de la activación de los  protocolos de de Atención integral para la Convivencia Escolar </v>
      </c>
    </row>
    <row r="593" spans="1:21" s="1" customFormat="1" ht="130.5">
      <c r="A593" s="69">
        <f>IF([5]PRIORIZADOS!A101="","",[5]PRIORIZADOS!A101)</f>
        <v>2806</v>
      </c>
      <c r="B593" s="70">
        <f>IFERROR(IF(VLOOKUP(A593,[5]PRIORIZADOS!$A:$B,2,FALSE)="","",VLOOKUP(A593,[5]PRIORIZADOS!$A:$B,2,FALSE)),"")</f>
        <v>11</v>
      </c>
      <c r="C593" s="11" t="str">
        <f>IFERROR(IF(VLOOKUP(A593,[5]PRIORIZADOS!$A:$C,3,FALSE)="","",VLOOKUP(A593,[5]PRIORIZADOS!$A:$C,3,FALSE)),"")</f>
        <v>CIUDAD BOLÍVAR</v>
      </c>
      <c r="D593" s="11" t="str">
        <f>IFERROR(IF(VLOOKUP(A593,[5]PRIORIZADOS!$A:$D,4,FALSE)="","",VLOOKUP(A593,[5]PRIORIZADOS!$A:$D,4,FALSE)),"")</f>
        <v>PRIVADO</v>
      </c>
      <c r="E593" s="11" t="str">
        <f>IFERROR(IF(VLOOKUP(A593,[5]PRIORIZADOS!$A:$E,5,FALSE)="","",VLOOKUP(A593,[5]PRIORIZADOS!$A:$E,5,FALSE)),"")</f>
        <v>EPBM</v>
      </c>
      <c r="F593" s="11" t="str">
        <f>IFERROR(IF(VLOOKUP(A593,[5]PRIORIZADOS!$A:$F,6,FALSE)="","",VLOOKUP(A593,[5]PRIORIZADOS!$A:$F,6,FALSE)),"")</f>
        <v>COLEGIO_DIOS_ES_AMOR_LUCERO_ALTO</v>
      </c>
      <c r="G593" s="11" t="str">
        <f>IFERROR(IF(VLOOKUP(A593,[5]PRIORIZADOS!$A:$G,7,FALSE)="","",VLOOKUP(A593,[5]PRIORIZADOS!$A:$G,7,FALSE)),"")</f>
        <v>COLEGIO DIOS ES AMOR LUCERO ALTO</v>
      </c>
      <c r="H593" s="11" t="str">
        <f>IFERROR(IF(VLOOKUP(A593,[5]PRIORIZADOS!$A:$H,8,FALSE)="","",VLOOKUP(A593,[5]PRIORIZADOS!$A:$H,8,FALSE)),"")</f>
        <v>Autoevaluación Institucional y Pruebas SABER 11</v>
      </c>
      <c r="I593" s="11" t="str">
        <f>IFERROR(IF(VLOOKUP(A593,[5]PRIORIZADOS!$A:$I,9,FALSE)="","",VLOOKUP(A593,[5]PRIORIZADOS!$A:$I,9,FALSE)),"")</f>
        <v>SEGUIMIENTO_Y_SUPERVISIÓN.</v>
      </c>
      <c r="J593" s="11" t="str">
        <f>IFERROR(IF(VLOOKUP(A593,[5]PRIORIZADOS!$A:$J,10,FALSE)="","",VLOOKUP(A593,[5]PRIORIZADOS!$A:$J,10,FALSE)),"")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593" s="11" t="str">
        <f>IFERROR(IF(VLOOKUP(A593,[5]PRIORIZADOS!$A:$K,11,FALSE)="","",VLOOKUP(A593,[5]PRIORIZADOS!$A:$K,11,FALSE)),"")</f>
        <v xml:space="preserve">CLAUDIA DOMÍNGUEZ TORRES </v>
      </c>
      <c r="L593" s="11" t="str">
        <f>IFERROR(IF(VLOOKUP(A593,[5]PRIORIZADOS!$A:$L,12,FALSE)="","",VLOOKUP(A593,[5]PRIORIZADOS!$A:$L,12,FALSE)),"")</f>
        <v xml:space="preserve">MARIA NANCY DUCUARA </v>
      </c>
      <c r="M593" s="71">
        <f>IFERROR(IF(VLOOKUP(A593,[5]PRIORIZADOS!$A:$M,13,FALSE)="","",VLOOKUP(A593,[5]PRIORIZADOS!$A:$M,13,FALSE)),"")</f>
        <v>45898</v>
      </c>
      <c r="N593" s="71">
        <f>IFERROR(IF(VLOOKUP(A593,[5]PRIORIZADOS!$A:$N,14,FALSE)="","",VLOOKUP(A593,[5]PRIORIZADOS!$A:$N,14,FALSE)),"")</f>
        <v>45901</v>
      </c>
      <c r="O593" s="71">
        <f>IFERROR(IF(VLOOKUP(A593,[5]PRIORIZADOS!$A:$O,15,FALSE)="","",VLOOKUP(A593,[5]PRIORIZADOS!$A:$O,15,FALSE)),"")</f>
        <v>45901</v>
      </c>
      <c r="P593" s="11" t="str">
        <f>IFERROR(IF(VLOOKUP(A593,[5]PRIORIZADOS!$A:$P,16,FALSE)="","",VLOOKUP(A593,[5]PRIORIZADOS!$A:$P,16,FALSE)),"")</f>
        <v>Visitas de evaluación con fines de mejoramiento</v>
      </c>
      <c r="Q593" s="2" t="s">
        <v>124</v>
      </c>
      <c r="R593" s="11" t="str">
        <f>IFERROR(IF(VLOOKUP(A593,[5]PRIORIZADOS!$A:$R,18,FALSE)="","",VLOOKUP(A593,[5]PRIORIZADOS!$A:$R,18,FALSE)),"")</f>
        <v>Tienen caracterizados veintidos (22) casos de NNA con discapacidad los cuales no están reportados en su totalidad en el SIMAT. Cuentan con PIAR para cada uno de los casos, sin embargo falta caracterizar muy bien las condiciones de los ajustes razonables. 
Los ajustes razonables son muy genéricos, no ofrecen una estrategia clara y detallada de su implementación, que permita medir su impacto.</v>
      </c>
      <c r="S593" s="11" t="str">
        <f>IFERROR(IF(VLOOKUP(A593,[5]PRIORIZADOS!$A:$S,19,FALSE)="","",VLOOKUP(A593,[5]PRIORIZADOS!$A:$S,19,FALSE)),"")</f>
        <v>Reportar al SIMAT la totalidad de los NNA con PIAR.
Los ajustes razonables en el PIAR deben ser específicos, deben tener estrategias concretas para el docente y para la familia.</v>
      </c>
      <c r="T593" s="70" t="str">
        <f>IFERROR(IF(VLOOKUP(A593,[5]PRIORIZADOS!$A:$T,20,FALSE)="","",VLOOKUP(A593,[5]PRIORIZADOS!$A:$T,20,FALSE)),"")</f>
        <v>Si</v>
      </c>
      <c r="U593" s="11" t="str">
        <f>IFERROR(IF(VLOOKUP(A593,[5]PRIORIZADOS!$A:$U,21,FALSE)="","",VLOOKUP(A593,[5]PRIORIZADOS!$A:$U,21,FALSE)),"")</f>
        <v>La IE hará entrega del Plan de Mejoramiento el 30/09/2025.
El ELIV realizará seguimiento en el mes de noviembre de 2025 para verificar el cumplimiento de las acciones establecidas en el plan de mejoramiento.</v>
      </c>
    </row>
    <row r="594" spans="1:21" s="1" customFormat="1" ht="118.5">
      <c r="A594" s="69">
        <f>IF([5]PRIORIZADOS!A102="","",[5]PRIORIZADOS!A102)</f>
        <v>2807</v>
      </c>
      <c r="B594" s="70">
        <f>IFERROR(IF(VLOOKUP(A594,[5]PRIORIZADOS!$A:$B,2,FALSE)="","",VLOOKUP(A594,[5]PRIORIZADOS!$A:$B,2,FALSE)),"")</f>
        <v>11</v>
      </c>
      <c r="C594" s="11" t="str">
        <f>IFERROR(IF(VLOOKUP(A594,[5]PRIORIZADOS!$A:$C,3,FALSE)="","",VLOOKUP(A594,[5]PRIORIZADOS!$A:$C,3,FALSE)),"")</f>
        <v>CIUDAD BOLÍVAR</v>
      </c>
      <c r="D594" s="11" t="str">
        <f>IFERROR(IF(VLOOKUP(A594,[5]PRIORIZADOS!$A:$D,4,FALSE)="","",VLOOKUP(A594,[5]PRIORIZADOS!$A:$D,4,FALSE)),"")</f>
        <v>PRIVADO</v>
      </c>
      <c r="E594" s="11" t="str">
        <f>IFERROR(IF(VLOOKUP(A594,[5]PRIORIZADOS!$A:$E,5,FALSE)="","",VLOOKUP(A594,[5]PRIORIZADOS!$A:$E,5,FALSE)),"")</f>
        <v>EPBM</v>
      </c>
      <c r="F594" s="11" t="str">
        <f>IFERROR(IF(VLOOKUP(A594,[5]PRIORIZADOS!$A:$F,6,FALSE)="","",VLOOKUP(A594,[5]PRIORIZADOS!$A:$F,6,FALSE)),"")</f>
        <v>COLEGIO_DIOS_ES_AMOR_LUCERO_ALTO</v>
      </c>
      <c r="G594" s="11" t="str">
        <f>IFERROR(IF(VLOOKUP(A594,[5]PRIORIZADOS!$A:$G,7,FALSE)="","",VLOOKUP(A594,[5]PRIORIZADOS!$A:$G,7,FALSE)),"")</f>
        <v>COLEGIO DIOS ES AMOR LUCERO ALTO</v>
      </c>
      <c r="H594" s="11" t="str">
        <f>IFERROR(IF(VLOOKUP(A594,[5]PRIORIZADOS!$A:$H,8,FALSE)="","",VLOOKUP(A594,[5]PRIORIZADOS!$A:$H,8,FALSE)),"")</f>
        <v>Autoevaluación Institucional y Pruebas SABER 11</v>
      </c>
      <c r="I594" s="11" t="str">
        <f>IFERROR(IF(VLOOKUP(A594,[5]PRIORIZADOS!$A:$I,9,FALSE)="","",VLOOKUP(A594,[5]PRIORIZADOS!$A:$I,9,FALSE)),"")</f>
        <v>EVALUACIÓN_CON_FINES_DE_MEJORAMIENTO.</v>
      </c>
      <c r="J594" s="11" t="str">
        <f>IFERROR(IF(VLOOKUP(A594,[5]PRIORIZADOS!$A:$J,10,FALSE)="","",VLOOKUP(A594,[5]PRIORIZADOS!$A:$J,10,FALSE)),"")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594" s="11" t="str">
        <f>IFERROR(IF(VLOOKUP(A594,[5]PRIORIZADOS!$A:$K,11,FALSE)="","",VLOOKUP(A594,[5]PRIORIZADOS!$A:$K,11,FALSE)),"")</f>
        <v xml:space="preserve">CLAUDIA DOMÍNGUEZ TORRES </v>
      </c>
      <c r="L594" s="11" t="str">
        <f>IFERROR(IF(VLOOKUP(A594,[5]PRIORIZADOS!$A:$L,12,FALSE)="","",VLOOKUP(A594,[5]PRIORIZADOS!$A:$L,12,FALSE)),"")</f>
        <v xml:space="preserve">MARIA NANCY DUCUARA </v>
      </c>
      <c r="M594" s="71">
        <f>IFERROR(IF(VLOOKUP(A594,[5]PRIORIZADOS!$A:$M,13,FALSE)="","",VLOOKUP(A594,[5]PRIORIZADOS!$A:$M,13,FALSE)),"")</f>
        <v>45898</v>
      </c>
      <c r="N594" s="71">
        <f>IFERROR(IF(VLOOKUP(A594,[5]PRIORIZADOS!$A:$N,14,FALSE)="","",VLOOKUP(A594,[5]PRIORIZADOS!$A:$N,14,FALSE)),"")</f>
        <v>45901</v>
      </c>
      <c r="O594" s="71">
        <f>IFERROR(IF(VLOOKUP(A594,[5]PRIORIZADOS!$A:$O,15,FALSE)="","",VLOOKUP(A594,[5]PRIORIZADOS!$A:$O,15,FALSE)),"")</f>
        <v>45901</v>
      </c>
      <c r="P594" s="11" t="str">
        <f>IFERROR(IF(VLOOKUP(A594,[5]PRIORIZADOS!$A:$P,16,FALSE)="","",VLOOKUP(A594,[5]PRIORIZADOS!$A:$P,16,FALSE)),"")</f>
        <v>Visitas de evaluación con fines de mejoramiento</v>
      </c>
      <c r="Q594" s="2" t="s">
        <v>124</v>
      </c>
      <c r="R594" s="11" t="str">
        <f>IFERROR(IF(VLOOKUP(A594,[5]PRIORIZADOS!$A:$R,18,FALSE)="","",VLOOKUP(A594,[5]PRIORIZADOS!$A:$R,18,FALSE)),"")</f>
        <v>El manual de convivencia no diferencia las faltas disciplinarias de las situaciones convivenciales. No tiene establecidas claramente las faltas disciplinarias y no aplica el principio de proporcionalidad en las sanciaones. No se evidencian las etapas del debido proceso en el proceso disciplinario. Falta incluir el enfoque restaurativo y el enfoque de género. Debe incluir actualización normativa.</v>
      </c>
      <c r="S594" s="11" t="str">
        <f>IFERROR(IF(VLOOKUP(A594,[5]PRIORIZADOS!$A:$S,19,FALSE)="","",VLOOKUP(A594,[5]PRIORIZADOS!$A:$S,19,FALSE)),"")</f>
        <v>Actualizar el Manual de Convivencia con base en la normatividad existente, de acuerdo a las observaciones realizadas en el formato de análisis entregado a la IE.</v>
      </c>
      <c r="T594" s="70" t="str">
        <f>IFERROR(IF(VLOOKUP(A594,[5]PRIORIZADOS!$A:$T,20,FALSE)="","",VLOOKUP(A594,[5]PRIORIZADOS!$A:$T,20,FALSE)),"")</f>
        <v>Si</v>
      </c>
      <c r="U594" s="11" t="str">
        <f>IFERROR(IF(VLOOKUP(A594,[5]PRIORIZADOS!$A:$U,21,FALSE)="","",VLOOKUP(A594,[5]PRIORIZADOS!$A:$U,21,FALSE)),"")</f>
        <v>La IE hará entrega del Plan de Mejoramiento el 30/09/2025.
El ELIV realizará seguimiento en el mes de noviembre de 2025 para verificar el cumplimiento de las acciones establecidas en el plan de mejoramiento.</v>
      </c>
    </row>
    <row r="595" spans="1:21" s="1" customFormat="1" ht="130.5">
      <c r="A595" s="69">
        <f>IF([5]PRIORIZADOS!A103="","",[5]PRIORIZADOS!A103)</f>
        <v>2808</v>
      </c>
      <c r="B595" s="70">
        <f>IFERROR(IF(VLOOKUP(A595,[5]PRIORIZADOS!$A:$B,2,FALSE)="","",VLOOKUP(A595,[5]PRIORIZADOS!$A:$B,2,FALSE)),"")</f>
        <v>11</v>
      </c>
      <c r="C595" s="11" t="str">
        <f>IFERROR(IF(VLOOKUP(A595,[5]PRIORIZADOS!$A:$C,3,FALSE)="","",VLOOKUP(A595,[5]PRIORIZADOS!$A:$C,3,FALSE)),"")</f>
        <v>CIUDAD BOLÍVAR</v>
      </c>
      <c r="D595" s="11" t="str">
        <f>IFERROR(IF(VLOOKUP(A595,[5]PRIORIZADOS!$A:$D,4,FALSE)="","",VLOOKUP(A595,[5]PRIORIZADOS!$A:$D,4,FALSE)),"")</f>
        <v>PRIVADO</v>
      </c>
      <c r="E595" s="11" t="str">
        <f>IFERROR(IF(VLOOKUP(A595,[5]PRIORIZADOS!$A:$E,5,FALSE)="","",VLOOKUP(A595,[5]PRIORIZADOS!$A:$E,5,FALSE)),"")</f>
        <v>EPBM</v>
      </c>
      <c r="F595" s="11" t="str">
        <f>IFERROR(IF(VLOOKUP(A595,[5]PRIORIZADOS!$A:$F,6,FALSE)="","",VLOOKUP(A595,[5]PRIORIZADOS!$A:$F,6,FALSE)),"")</f>
        <v>COLEGIO_DIOS_ES_AMOR_LUCERO_ALTO</v>
      </c>
      <c r="G595" s="11" t="str">
        <f>IFERROR(IF(VLOOKUP(A595,[5]PRIORIZADOS!$A:$G,7,FALSE)="","",VLOOKUP(A595,[5]PRIORIZADOS!$A:$G,7,FALSE)),"")</f>
        <v>COLEGIO DIOS ES AMOR LUCERO ALTO</v>
      </c>
      <c r="H595" s="11" t="str">
        <f>IFERROR(IF(VLOOKUP(A595,[5]PRIORIZADOS!$A:$H,8,FALSE)="","",VLOOKUP(A595,[5]PRIORIZADOS!$A:$H,8,FALSE)),"")</f>
        <v>Autoevaluación Institucional y Pruebas SABER 11</v>
      </c>
      <c r="I595" s="11" t="str">
        <f>IFERROR(IF(VLOOKUP(A595,[5]PRIORIZADOS!$A:$I,9,FALSE)="","",VLOOKUP(A595,[5]PRIORIZADOS!$A:$I,9,FALSE)),"")</f>
        <v>EVALUACIÓN_CON_FINES_DE_MEJORAMIENTO.</v>
      </c>
      <c r="J595" s="11" t="str">
        <f>IFERROR(IF(VLOOKUP(A595,[5]PRIORIZADOS!$A:$J,10,FALSE)="","",VLOOKUP(A595,[5]PRIORIZADOS!$A:$J,10,FALSE)),"")</f>
        <v>Revisar la actualización, socialización e implementación del Sistema Institucional de Evaluación de Estudiantes - SIEE, en articulación con la actualización del PEI y la normatividad vigente.</v>
      </c>
      <c r="K595" s="11" t="str">
        <f>IFERROR(IF(VLOOKUP(A595,[5]PRIORIZADOS!$A:$K,11,FALSE)="","",VLOOKUP(A595,[5]PRIORIZADOS!$A:$K,11,FALSE)),"")</f>
        <v xml:space="preserve">CLAUDIA DOMÍNGUEZ TORRES </v>
      </c>
      <c r="L595" s="11" t="str">
        <f>IFERROR(IF(VLOOKUP(A595,[5]PRIORIZADOS!$A:$L,12,FALSE)="","",VLOOKUP(A595,[5]PRIORIZADOS!$A:$L,12,FALSE)),"")</f>
        <v xml:space="preserve">MARIA NANCY DUCUARA </v>
      </c>
      <c r="M595" s="71">
        <f>IFERROR(IF(VLOOKUP(A595,[5]PRIORIZADOS!$A:$M,13,FALSE)="","",VLOOKUP(A595,[5]PRIORIZADOS!$A:$M,13,FALSE)),"")</f>
        <v>45898</v>
      </c>
      <c r="N595" s="71">
        <f>IFERROR(IF(VLOOKUP(A595,[5]PRIORIZADOS!$A:$N,14,FALSE)="","",VLOOKUP(A595,[5]PRIORIZADOS!$A:$N,14,FALSE)),"")</f>
        <v>45901</v>
      </c>
      <c r="O595" s="71">
        <f>IFERROR(IF(VLOOKUP(A595,[5]PRIORIZADOS!$A:$O,15,FALSE)="","",VLOOKUP(A595,[5]PRIORIZADOS!$A:$O,15,FALSE)),"")</f>
        <v>45901</v>
      </c>
      <c r="P595" s="11" t="str">
        <f>IFERROR(IF(VLOOKUP(A595,[5]PRIORIZADOS!$A:$P,16,FALSE)="","",VLOOKUP(A595,[5]PRIORIZADOS!$A:$P,16,FALSE)),"")</f>
        <v>Visitas de evaluación con fines de mejoramiento</v>
      </c>
      <c r="Q595" s="2" t="s">
        <v>124</v>
      </c>
      <c r="R595" s="11" t="str">
        <f>IFERROR(IF(VLOOKUP(A595,[5]PRIORIZADOS!$A:$R,18,FALSE)="","",VLOOKUP(A595,[5]PRIORIZADOS!$A:$R,18,FALSE)),"")</f>
        <v>No se evidencia las actas de sesión del Comité Institucional de Evaluación, no hay elementos del debido proceso en las reclamaciones frente al proceos de evaluación. Se evidencia el sistema AVANZA como proceso terapéutico interdisciplinario para la atención de estudiantes con bajo rendimiento académico, sin embargo no se encuentra enunciado en el SIEE.Existen procesos de refuerzo escolar y nivelación.</v>
      </c>
      <c r="S595" s="11" t="str">
        <f>IFERROR(IF(VLOOKUP(A595,[5]PRIORIZADOS!$A:$S,19,FALSE)="","",VLOOKUP(A595,[5]PRIORIZADOS!$A:$S,19,FALSE)),"")</f>
        <v xml:space="preserve">Se recomienda la organización del archivo y documentar todas las sesiones del Comité Institucional de Evaluación.
</v>
      </c>
      <c r="T595" s="70" t="str">
        <f>IFERROR(IF(VLOOKUP(A595,[5]PRIORIZADOS!$A:$T,20,FALSE)="","",VLOOKUP(A595,[5]PRIORIZADOS!$A:$T,20,FALSE)),"")</f>
        <v>No</v>
      </c>
      <c r="U595" s="11" t="str">
        <f>IFERROR(IF(VLOOKUP(A595,[5]PRIORIZADOS!$A:$U,21,FALSE)="","",VLOOKUP(A595,[5]PRIORIZADOS!$A:$U,21,FALSE)),"")</f>
        <v>Verificar que se encuentren documentadas las sesiones del Comité Institucional de Evaluación.</v>
      </c>
    </row>
    <row r="596" spans="1:21" s="1" customFormat="1" ht="48">
      <c r="A596" s="69">
        <f>IF([5]PRIORIZADOS!A104="","",[5]PRIORIZADOS!A104)</f>
        <v>2809</v>
      </c>
      <c r="B596" s="70">
        <f>IFERROR(IF(VLOOKUP(A596,[5]PRIORIZADOS!$A:$B,2,FALSE)="","",VLOOKUP(A596,[5]PRIORIZADOS!$A:$B,2,FALSE)),"")</f>
        <v>11</v>
      </c>
      <c r="C596" s="11" t="str">
        <f>IFERROR(IF(VLOOKUP(A596,[5]PRIORIZADOS!$A:$C,3,FALSE)="","",VLOOKUP(A596,[5]PRIORIZADOS!$A:$C,3,FALSE)),"")</f>
        <v>CIUDAD BOLÍVAR</v>
      </c>
      <c r="D596" s="11" t="str">
        <f>IFERROR(IF(VLOOKUP(A596,[5]PRIORIZADOS!$A:$D,4,FALSE)="","",VLOOKUP(A596,[5]PRIORIZADOS!$A:$D,4,FALSE)),"")</f>
        <v>PRIVADO</v>
      </c>
      <c r="E596" s="11" t="str">
        <f>IFERROR(IF(VLOOKUP(A596,[5]PRIORIZADOS!$A:$E,5,FALSE)="","",VLOOKUP(A596,[5]PRIORIZADOS!$A:$E,5,FALSE)),"")</f>
        <v>EPBM</v>
      </c>
      <c r="F596" s="11" t="str">
        <f>IFERROR(IF(VLOOKUP(A596,[5]PRIORIZADOS!$A:$F,6,FALSE)="","",VLOOKUP(A596,[5]PRIORIZADOS!$A:$F,6,FALSE)),"")</f>
        <v>COLEGIO_DIOS_ES_AMOR_LUCERO_ALTO</v>
      </c>
      <c r="G596" s="11" t="str">
        <f>IFERROR(IF(VLOOKUP(A596,[5]PRIORIZADOS!$A:$G,7,FALSE)="","",VLOOKUP(A596,[5]PRIORIZADOS!$A:$G,7,FALSE)),"")</f>
        <v>COLEGIO DIOS ES AMOR LUCERO ALTO</v>
      </c>
      <c r="H596" s="11" t="str">
        <f>IFERROR(IF(VLOOKUP(A596,[5]PRIORIZADOS!$A:$H,8,FALSE)="","",VLOOKUP(A596,[5]PRIORIZADOS!$A:$H,8,FALSE)),"")</f>
        <v>Autoevaluación Institucional y Pruebas SABER 11</v>
      </c>
      <c r="I596" s="11" t="str">
        <f>IFERROR(IF(VLOOKUP(A596,[5]PRIORIZADOS!$A:$I,9,FALSE)="","",VLOOKUP(A596,[5]PRIORIZADOS!$A:$I,9,FALSE)),"")</f>
        <v>EVALUACIÓN_CON_FINES_DE_MEJORAMIENTO.</v>
      </c>
      <c r="J596" s="11" t="str">
        <f>IFERROR(IF(VLOOKUP(A596,[5]PRIORIZADOS!$A:$J,10,FALSE)="","",VLOOKUP(A596,[5]PRIORIZADOS!$A:$J,10,FALSE)),"")</f>
        <v>Revisar el calendario escolar, jornada escolar, la intensidad horaria mínima anual en cada nivel y las modificaciones que se realicen al mismo, de acuerdo con lo previsto en la normatividad vigente.</v>
      </c>
      <c r="K596" s="11" t="str">
        <f>IFERROR(IF(VLOOKUP(A596,[5]PRIORIZADOS!$A:$K,11,FALSE)="","",VLOOKUP(A596,[5]PRIORIZADOS!$A:$K,11,FALSE)),"")</f>
        <v xml:space="preserve">CLAUDIA DOMÍNGUEZ TORRES </v>
      </c>
      <c r="L596" s="11" t="str">
        <f>IFERROR(IF(VLOOKUP(A596,[5]PRIORIZADOS!$A:$L,12,FALSE)="","",VLOOKUP(A596,[5]PRIORIZADOS!$A:$L,12,FALSE)),"")</f>
        <v xml:space="preserve">MARIA NANCY DUCUARA </v>
      </c>
      <c r="M596" s="71">
        <f>IFERROR(IF(VLOOKUP(A596,[5]PRIORIZADOS!$A:$M,13,FALSE)="","",VLOOKUP(A596,[5]PRIORIZADOS!$A:$M,13,FALSE)),"")</f>
        <v>45898</v>
      </c>
      <c r="N596" s="71">
        <f>IFERROR(IF(VLOOKUP(A596,[5]PRIORIZADOS!$A:$N,14,FALSE)="","",VLOOKUP(A596,[5]PRIORIZADOS!$A:$N,14,FALSE)),"")</f>
        <v>45901</v>
      </c>
      <c r="O596" s="71">
        <f>IFERROR(IF(VLOOKUP(A596,[5]PRIORIZADOS!$A:$O,15,FALSE)="","",VLOOKUP(A596,[5]PRIORIZADOS!$A:$O,15,FALSE)),"")</f>
        <v>45901</v>
      </c>
      <c r="P596" s="11" t="str">
        <f>IFERROR(IF(VLOOKUP(A596,[5]PRIORIZADOS!$A:$P,16,FALSE)="","",VLOOKUP(A596,[5]PRIORIZADOS!$A:$P,16,FALSE)),"")</f>
        <v>Visitas de evaluación con fines de mejoramiento</v>
      </c>
      <c r="Q596" s="2" t="s">
        <v>124</v>
      </c>
      <c r="R596" s="11" t="str">
        <f>IFERROR(IF(VLOOKUP(A596,[5]PRIORIZADOS!$A:$R,18,FALSE)="","",VLOOKUP(A596,[5]PRIORIZADOS!$A:$R,18,FALSE)),"")</f>
        <v>Se garantizan las 1000 horas en preescolar y las 1200 en básica y media.</v>
      </c>
      <c r="S596" s="11" t="str">
        <f>IFERROR(IF(VLOOKUP(A596,[5]PRIORIZADOS!$A:$S,19,FALSE)="","",VLOOKUP(A596,[5]PRIORIZADOS!$A:$S,19,FALSE)),"")</f>
        <v>Continuar con la definición del calendario académico en el marco de la normatividad y garantizar su cumplimiento hasta finalizar el año escolar.</v>
      </c>
      <c r="T596" s="70" t="str">
        <f>IFERROR(IF(VLOOKUP(A596,[5]PRIORIZADOS!$A:$T,20,FALSE)="","",VLOOKUP(A596,[5]PRIORIZADOS!$A:$T,20,FALSE)),"")</f>
        <v>No</v>
      </c>
      <c r="U596" s="11" t="str">
        <f>IFERROR(IF(VLOOKUP(A596,[5]PRIORIZADOS!$A:$U,21,FALSE)="","",VLOOKUP(A596,[5]PRIORIZADOS!$A:$U,21,FALSE)),"")</f>
        <v>Se revisara el calendario académico para lavigencia 2026</v>
      </c>
    </row>
    <row r="597" spans="1:21" s="1" customFormat="1" ht="48">
      <c r="A597" s="69">
        <f>IF([5]PRIORIZADOS!A105="","",[5]PRIORIZADOS!A105)</f>
        <v>2810</v>
      </c>
      <c r="B597" s="70">
        <f>IFERROR(IF(VLOOKUP(A597,[5]PRIORIZADOS!$A:$B,2,FALSE)="","",VLOOKUP(A597,[5]PRIORIZADOS!$A:$B,2,FALSE)),"")</f>
        <v>11</v>
      </c>
      <c r="C597" s="11" t="str">
        <f>IFERROR(IF(VLOOKUP(A597,[5]PRIORIZADOS!$A:$C,3,FALSE)="","",VLOOKUP(A597,[5]PRIORIZADOS!$A:$C,3,FALSE)),"")</f>
        <v>CIUDAD BOLÍVAR</v>
      </c>
      <c r="D597" s="11" t="str">
        <f>IFERROR(IF(VLOOKUP(A597,[5]PRIORIZADOS!$A:$D,4,FALSE)="","",VLOOKUP(A597,[5]PRIORIZADOS!$A:$D,4,FALSE)),"")</f>
        <v>PRIVADO</v>
      </c>
      <c r="E597" s="11" t="str">
        <f>IFERROR(IF(VLOOKUP(A597,[5]PRIORIZADOS!$A:$E,5,FALSE)="","",VLOOKUP(A597,[5]PRIORIZADOS!$A:$E,5,FALSE)),"")</f>
        <v>EPBM</v>
      </c>
      <c r="F597" s="11" t="str">
        <f>IFERROR(IF(VLOOKUP(A597,[5]PRIORIZADOS!$A:$F,6,FALSE)="","",VLOOKUP(A597,[5]PRIORIZADOS!$A:$F,6,FALSE)),"")</f>
        <v>COLEGIO_DIOS_ES_AMOR_LUCERO_ALTO</v>
      </c>
      <c r="G597" s="11" t="str">
        <f>IFERROR(IF(VLOOKUP(A597,[5]PRIORIZADOS!$A:$G,7,FALSE)="","",VLOOKUP(A597,[5]PRIORIZADOS!$A:$G,7,FALSE)),"")</f>
        <v>COLEGIO DIOS ES AMOR LUCERO ALTO</v>
      </c>
      <c r="H597" s="11" t="str">
        <f>IFERROR(IF(VLOOKUP(A597,[5]PRIORIZADOS!$A:$H,8,FALSE)="","",VLOOKUP(A597,[5]PRIORIZADOS!$A:$H,8,FALSE)),"")</f>
        <v>Autoevaluación Institucional y Pruebas SABER 11</v>
      </c>
      <c r="I597" s="11" t="str">
        <f>IFERROR(IF(VLOOKUP(A597,[5]PRIORIZADOS!$A:$I,9,FALSE)="","",VLOOKUP(A597,[5]PRIORIZADOS!$A:$I,9,FALSE)),"")</f>
        <v>EVALUACIÓN_CON_FINES_DE_MEJORAMIENTO.</v>
      </c>
      <c r="J597" s="11" t="str">
        <f>IFERROR(IF(VLOOKUP(A597,[5]PRIORIZADOS!$A:$J,10,FALSE)="","",VLOOKUP(A597,[5]PRIORIZADOS!$A:$J,10,FALSE)),"")</f>
        <v>Verificar el funcionamiento del Gobierno Escolar e instancias de participación con base en la información sobre conformación reportada por la institución educativa.</v>
      </c>
      <c r="K597" s="11" t="str">
        <f>IFERROR(IF(VLOOKUP(A597,[5]PRIORIZADOS!$A:$K,11,FALSE)="","",VLOOKUP(A597,[5]PRIORIZADOS!$A:$K,11,FALSE)),"")</f>
        <v xml:space="preserve">CLAUDIA DOMÍNGUEZ TORRES </v>
      </c>
      <c r="L597" s="11" t="str">
        <f>IFERROR(IF(VLOOKUP(A597,[5]PRIORIZADOS!$A:$L,12,FALSE)="","",VLOOKUP(A597,[5]PRIORIZADOS!$A:$L,12,FALSE)),"")</f>
        <v xml:space="preserve">MARIA NANCY DUCUARA </v>
      </c>
      <c r="M597" s="71">
        <f>IFERROR(IF(VLOOKUP(A597,[5]PRIORIZADOS!$A:$M,13,FALSE)="","",VLOOKUP(A597,[5]PRIORIZADOS!$A:$M,13,FALSE)),"")</f>
        <v>45898</v>
      </c>
      <c r="N597" s="71">
        <f>IFERROR(IF(VLOOKUP(A597,[5]PRIORIZADOS!$A:$N,14,FALSE)="","",VLOOKUP(A597,[5]PRIORIZADOS!$A:$N,14,FALSE)),"")</f>
        <v>45901</v>
      </c>
      <c r="O597" s="71">
        <f>IFERROR(IF(VLOOKUP(A597,[5]PRIORIZADOS!$A:$O,15,FALSE)="","",VLOOKUP(A597,[5]PRIORIZADOS!$A:$O,15,FALSE)),"")</f>
        <v>45901</v>
      </c>
      <c r="P597" s="11" t="str">
        <f>IFERROR(IF(VLOOKUP(A597,[5]PRIORIZADOS!$A:$P,16,FALSE)="","",VLOOKUP(A597,[5]PRIORIZADOS!$A:$P,16,FALSE)),"")</f>
        <v>Visitas de evaluación con fines de mejoramiento</v>
      </c>
      <c r="Q597" s="2" t="s">
        <v>124</v>
      </c>
      <c r="R597" s="11" t="str">
        <f>IFERROR(IF(VLOOKUP(A597,[5]PRIORIZADOS!$A:$R,18,FALSE)="","",VLOOKUP(A597,[5]PRIORIZADOS!$A:$R,18,FALSE)),"")</f>
        <v>Se evidencia la conformación de los diferentes estamentos para el año 2025. Existen actas de sesiones ordinarias. Tienen reglamento de funcionamiento.</v>
      </c>
      <c r="S597" s="11" t="str">
        <f>IFERROR(IF(VLOOKUP(A597,[5]PRIORIZADOS!$A:$S,19,FALSE)="","",VLOOKUP(A597,[5]PRIORIZADOS!$A:$S,19,FALSE)),"")</f>
        <v xml:space="preserve">Continuar con la operatividad de los diferentes estamentos del gobierno escolar  </v>
      </c>
      <c r="T597" s="70" t="str">
        <f>IFERROR(IF(VLOOKUP(A597,[5]PRIORIZADOS!$A:$T,20,FALSE)="","",VLOOKUP(A597,[5]PRIORIZADOS!$A:$T,20,FALSE)),"")</f>
        <v>No</v>
      </c>
      <c r="U597" s="11" t="str">
        <f>IFERROR(IF(VLOOKUP(A597,[5]PRIORIZADOS!$A:$U,21,FALSE)="","",VLOOKUP(A597,[5]PRIORIZADOS!$A:$U,21,FALSE)),"")</f>
        <v>Verificar el cumplimiento de la conformacion de gobierno escolar para la vigencia 2026</v>
      </c>
    </row>
    <row r="598" spans="1:21" s="1" customFormat="1" ht="202.5">
      <c r="A598" s="69">
        <f>IF([5]PRIORIZADOS!A106="","",[5]PRIORIZADOS!A106)</f>
        <v>2811</v>
      </c>
      <c r="B598" s="70">
        <f>IFERROR(IF(VLOOKUP(A598,[5]PRIORIZADOS!$A:$B,2,FALSE)="","",VLOOKUP(A598,[5]PRIORIZADOS!$A:$B,2,FALSE)),"")</f>
        <v>11</v>
      </c>
      <c r="C598" s="11" t="str">
        <f>IFERROR(IF(VLOOKUP(A598,[5]PRIORIZADOS!$A:$C,3,FALSE)="","",VLOOKUP(A598,[5]PRIORIZADOS!$A:$C,3,FALSE)),"")</f>
        <v>CIUDAD BOLÍVAR</v>
      </c>
      <c r="D598" s="11" t="str">
        <f>IFERROR(IF(VLOOKUP(A598,[5]PRIORIZADOS!$A:$D,4,FALSE)="","",VLOOKUP(A598,[5]PRIORIZADOS!$A:$D,4,FALSE)),"")</f>
        <v>PRIVADO</v>
      </c>
      <c r="E598" s="11" t="str">
        <f>IFERROR(IF(VLOOKUP(A598,[5]PRIORIZADOS!$A:$E,5,FALSE)="","",VLOOKUP(A598,[5]PRIORIZADOS!$A:$E,5,FALSE)),"")</f>
        <v>EPBM</v>
      </c>
      <c r="F598" s="11" t="str">
        <f>IFERROR(IF(VLOOKUP(A598,[5]PRIORIZADOS!$A:$F,6,FALSE)="","",VLOOKUP(A598,[5]PRIORIZADOS!$A:$F,6,FALSE)),"")</f>
        <v>COLEGIO_DIOS_ES_AMOR_LUCERO_ALTO</v>
      </c>
      <c r="G598" s="11" t="str">
        <f>IFERROR(IF(VLOOKUP(A598,[5]PRIORIZADOS!$A:$G,7,FALSE)="","",VLOOKUP(A598,[5]PRIORIZADOS!$A:$G,7,FALSE)),"")</f>
        <v>COLEGIO DIOS ES AMOR LUCERO ALTO</v>
      </c>
      <c r="H598" s="11" t="str">
        <f>IFERROR(IF(VLOOKUP(A598,[5]PRIORIZADOS!$A:$H,8,FALSE)="","",VLOOKUP(A598,[5]PRIORIZADOS!$A:$H,8,FALSE)),"")</f>
        <v>Autoevaluación Institucional y Pruebas SABER 11</v>
      </c>
      <c r="I598" s="11" t="str">
        <f>IFERROR(IF(VLOOKUP(A598,[5]PRIORIZADOS!$A:$I,9,FALSE)="","",VLOOKUP(A598,[5]PRIORIZADOS!$A:$I,9,FALSE)),"")</f>
        <v>EVALUACIÓN_CON_FINES_DE_MEJORAMIENTO.</v>
      </c>
      <c r="J598" s="11" t="str">
        <f>IFERROR(IF(VLOOKUP(A598,[5]PRIORIZADOS!$A:$J,10,FALSE)="","",VLOOKUP(A598,[5]PRIORIZADOS!$A:$J,10,FALSE)),"")</f>
        <v>Verificar las condiciones en cuanto a: la estructura administrativa, condiciones de la planta física y medios educativos adecuados.</v>
      </c>
      <c r="K598" s="11" t="str">
        <f>IFERROR(IF(VLOOKUP(A598,[5]PRIORIZADOS!$A:$K,11,FALSE)="","",VLOOKUP(A598,[5]PRIORIZADOS!$A:$K,11,FALSE)),"")</f>
        <v xml:space="preserve">CLAUDIA DOMÍNGUEZ TORRES </v>
      </c>
      <c r="L598" s="11" t="str">
        <f>IFERROR(IF(VLOOKUP(A598,[5]PRIORIZADOS!$A:$L,12,FALSE)="","",VLOOKUP(A598,[5]PRIORIZADOS!$A:$L,12,FALSE)),"")</f>
        <v xml:space="preserve">MARIA NANCY DUCUARA </v>
      </c>
      <c r="M598" s="71">
        <f>IFERROR(IF(VLOOKUP(A598,[5]PRIORIZADOS!$A:$M,13,FALSE)="","",VLOOKUP(A598,[5]PRIORIZADOS!$A:$M,13,FALSE)),"")</f>
        <v>45898</v>
      </c>
      <c r="N598" s="71">
        <f>IFERROR(IF(VLOOKUP(A598,[5]PRIORIZADOS!$A:$N,14,FALSE)="","",VLOOKUP(A598,[5]PRIORIZADOS!$A:$N,14,FALSE)),"")</f>
        <v>45901</v>
      </c>
      <c r="O598" s="71">
        <f>IFERROR(IF(VLOOKUP(A598,[5]PRIORIZADOS!$A:$O,15,FALSE)="","",VLOOKUP(A598,[5]PRIORIZADOS!$A:$O,15,FALSE)),"")</f>
        <v>45901</v>
      </c>
      <c r="P598" s="11" t="str">
        <f>IFERROR(IF(VLOOKUP(A598,[5]PRIORIZADOS!$A:$P,16,FALSE)="","",VLOOKUP(A598,[5]PRIORIZADOS!$A:$P,16,FALSE)),"")</f>
        <v>Visitas de evaluación con fines de mejoramiento</v>
      </c>
      <c r="Q598" s="2" t="s">
        <v>124</v>
      </c>
      <c r="R598" s="11" t="str">
        <f>IFERROR(IF(VLOOKUP(A598,[5]PRIORIZADOS!$A:$R,18,FALSE)="","",VLOOKUP(A598,[5]PRIORIZADOS!$A:$R,18,FALSE)),"")</f>
        <v xml:space="preserve">El organigrama está desactualizado con relación a los cargos que se encuentran en la IE. Tiene manual de funciones y reglamento interno de trabajo, sin embargo no está contenido en el PEI. Algunos docentes no son profesionales. 
 Los ambientes de amprendizaje y los recursos son suficientes para la prestación del servicio educativo, sin embargo hay salones con hacinamiento. Se requiere tramitar el convenio de espacios compartidos y gestionar ante la SED la respectiva aprobación. 
Se requiere revisar la representación legal de la IE,y realizar el trámite de actualización ante la DLE. 
</v>
      </c>
      <c r="S598" s="11" t="str">
        <f>IFERROR(IF(VLOOKUP(A598,[5]PRIORIZADOS!$A:$S,19,FALSE)="","",VLOOKUP(A598,[5]PRIORIZADOS!$A:$S,19,FALSE)),"")</f>
        <v>1.Reedistribuir los salones para evitar el hacinamiento.
2. Actualizar el manual de funciones y el reglamento de trabajo para que se encuentren contenidos en el PEI.
3.Oficializar el convenio de espacios compartidos con la SED.
4. todos los doccentes deben ser profesionales.
5.Realizar la actualización del la representación legal ante la DLE.</v>
      </c>
      <c r="T598" s="70" t="str">
        <f>IFERROR(IF(VLOOKUP(A598,[5]PRIORIZADOS!$A:$T,20,FALSE)="","",VLOOKUP(A598,[5]PRIORIZADOS!$A:$T,20,FALSE)),"")</f>
        <v>Si</v>
      </c>
      <c r="U598" s="11" t="str">
        <f>IFERROR(IF(VLOOKUP(A598,[5]PRIORIZADOS!$A:$U,21,FALSE)="","",VLOOKUP(A598,[5]PRIORIZADOS!$A:$U,21,FALSE)),"")</f>
        <v>La IE hará entrega del Plan de Mejoramiento el 30/09/2025.
El ELIV realizará seguimiento en el mes de noviembre de 2025 para verificar el cumplimiento de las acciones establecidas en el plan de mejoramiento.</v>
      </c>
    </row>
    <row r="599" spans="1:21" s="1" customFormat="1" ht="107.25">
      <c r="A599" s="69">
        <f>IF([5]PRIORIZADOS!A107="","",[5]PRIORIZADOS!A107)</f>
        <v>2812</v>
      </c>
      <c r="B599" s="70">
        <f>IFERROR(IF(VLOOKUP(A599,[5]PRIORIZADOS!$A:$B,2,FALSE)="","",VLOOKUP(A599,[5]PRIORIZADOS!$A:$B,2,FALSE)),"")</f>
        <v>12</v>
      </c>
      <c r="C599" s="11" t="str">
        <f>IFERROR(IF(VLOOKUP(A599,[5]PRIORIZADOS!$A:$C,3,FALSE)="","",VLOOKUP(A599,[5]PRIORIZADOS!$A:$C,3,FALSE)),"")</f>
        <v>CIUDAD BOLÍVAR</v>
      </c>
      <c r="D599" s="11" t="str">
        <f>IFERROR(IF(VLOOKUP(A599,[5]PRIORIZADOS!$A:$D,4,FALSE)="","",VLOOKUP(A599,[5]PRIORIZADOS!$A:$D,4,FALSE)),"")</f>
        <v>PRIVADO</v>
      </c>
      <c r="E599" s="11" t="str">
        <f>IFERROR(IF(VLOOKUP(A599,[5]PRIORIZADOS!$A:$E,5,FALSE)="","",VLOOKUP(A599,[5]PRIORIZADOS!$A:$E,5,FALSE)),"")</f>
        <v>EPBM</v>
      </c>
      <c r="F599" s="11" t="str">
        <f>IFERROR(IF(VLOOKUP(A599,[5]PRIORIZADOS!$A:$F,6,FALSE)="","",VLOOKUP(A599,[5]PRIORIZADOS!$A:$F,6,FALSE)),"")</f>
        <v>COLEGIO_COFRATERNIDAD_DE_SAN_FERNANDO</v>
      </c>
      <c r="G599" s="11" t="str">
        <f>IFERROR(IF(VLOOKUP(A599,[5]PRIORIZADOS!$A:$G,7,FALSE)="","",VLOOKUP(A599,[5]PRIORIZADOS!$A:$G,7,FALSE)),"")</f>
        <v>COLEGIO COFRATERNIDAD DE SAN FERNANDO</v>
      </c>
      <c r="H599" s="11" t="str">
        <f>IFERROR(IF(VLOOKUP(A599,[5]PRIORIZADOS!$A:$H,8,FALSE)="","",VLOOKUP(A599,[5]PRIORIZADOS!$A:$H,8,FALSE)),"")</f>
        <v>Autoevaluación Institucional y Pruebas SABER 11</v>
      </c>
      <c r="I599" s="11" t="str">
        <f>IFERROR(IF(VLOOKUP(A599,[5]PRIORIZADOS!$A:$I,9,FALSE)="","",VLOOKUP(A599,[5]PRIORIZADOS!$A:$I,9,FALSE)),"")</f>
        <v>SEGUIMIENTO_Y_SUPERVISIÓN.</v>
      </c>
      <c r="J599" s="11" t="str">
        <f>IFERROR(IF(VLOOKUP(A599,[5]PRIORIZADOS!$A:$J,10,FALSE)="","",VLOOKUP(A599,[5]PRIORIZADOS!$A:$J,10,FALSE)),"")</f>
        <v>Realizar visitas para verificar la información registrada sobre la autoevaluación institucional en el aplicativo EVI, a los establecimientos de educación formal no oficial.</v>
      </c>
      <c r="K599" s="11" t="str">
        <f>IFERROR(IF(VLOOKUP(A599,[5]PRIORIZADOS!$A:$K,11,FALSE)="","",VLOOKUP(A599,[5]PRIORIZADOS!$A:$K,11,FALSE)),"")</f>
        <v xml:space="preserve">JUDITH SOLANO RAMÍREZ </v>
      </c>
      <c r="L599" s="11" t="str">
        <f>IFERROR(IF(VLOOKUP(A599,[5]PRIORIZADOS!$A:$L,12,FALSE)="","",VLOOKUP(A599,[5]PRIORIZADOS!$A:$L,12,FALSE)),"")</f>
        <v>ÓSCAR JAVIER CÁRDENAS MUÑOZ</v>
      </c>
      <c r="M599" s="71">
        <f>IFERROR(IF(VLOOKUP(A599,[5]PRIORIZADOS!$A:$M,13,FALSE)="","",VLOOKUP(A599,[5]PRIORIZADOS!$A:$M,13,FALSE)),"")</f>
        <v>45926</v>
      </c>
      <c r="N599" s="71">
        <f>IFERROR(IF(VLOOKUP(A599,[5]PRIORIZADOS!$A:$N,14,FALSE)="","",VLOOKUP(A599,[5]PRIORIZADOS!$A:$N,14,FALSE)),"")</f>
        <v>45881</v>
      </c>
      <c r="O599" s="71">
        <f>IFERROR(IF(VLOOKUP(A599,[5]PRIORIZADOS!$A:$O,15,FALSE)="","",VLOOKUP(A599,[5]PRIORIZADOS!$A:$O,15,FALSE)),"")</f>
        <v>45881</v>
      </c>
      <c r="P599" s="11" t="str">
        <f>IFERROR(IF(VLOOKUP(A599,[5]PRIORIZADOS!$A:$P,16,FALSE)="","",VLOOKUP(A599,[5]PRIORIZADOS!$A:$P,16,FALSE)),"")</f>
        <v>Visitas de evaluación con fines de mejoramiento</v>
      </c>
      <c r="Q599" s="5" t="s">
        <v>125</v>
      </c>
      <c r="R599" s="11" t="str">
        <f>IFERROR(IF(VLOOKUP(A599,[5]PRIORIZADOS!$A:$R,18,FALSE)="","",VLOOKUP(A599,[5]PRIORIZADOS!$A:$R,18,FALSE)),"")</f>
        <v xml:space="preserve">Se encontró que:
 - La IE cuenta con un predio que no está incluido en la licencia de funcionamiento.
 - La información relacionada en EVI sobre la formación de los docentes no coincide con lo encontrado en la verificación documental realizada.
</v>
      </c>
      <c r="S599" s="11" t="str">
        <f>IFERROR(IF(VLOOKUP(A599,[5]PRIORIZADOS!$A:$S,19,FALSE)="","",VLOOKUP(A599,[5]PRIORIZADOS!$A:$S,19,FALSE)),"")</f>
        <v>La IE debe: 
 - Iniciar proceso de legalización de los espacios deportivos que tienen en la Carrera 19F # 59B-31 Barrio Villa Helena y la sede donde funciona Sistemas ubicada en la Carrera 19C Bis # 60-26 Sur (Patio 4).
 - Aportar título profesional de los cinco docentes que se encuentran en formación.</v>
      </c>
      <c r="T599" s="70" t="str">
        <f>IFERROR(IF(VLOOKUP(A599,[5]PRIORIZADOS!$A:$T,20,FALSE)="","",VLOOKUP(A599,[5]PRIORIZADOS!$A:$T,20,FALSE)),"")</f>
        <v>Si</v>
      </c>
      <c r="U599" s="11" t="str">
        <f>IFERROR(IF(VLOOKUP(A599,[5]PRIORIZADOS!$A:$U,21,FALSE)="","",VLOOKUP(A599,[5]PRIORIZADOS!$A:$U,21,FALSE)),"")</f>
        <v>La IE hará entrega del Plan de Mejoramiento el 15/09/2025.
El ELIV realizará seguimiento en noviembre de 2025 para verificar el cumplimiento de las acciones establecidas en el plan de mejoramiento.</v>
      </c>
    </row>
    <row r="600" spans="1:21" s="1" customFormat="1" ht="60">
      <c r="A600" s="69">
        <f>IF([5]PRIORIZADOS!A108="","",[5]PRIORIZADOS!A108)</f>
        <v>2813</v>
      </c>
      <c r="B600" s="70">
        <f>IFERROR(IF(VLOOKUP(A600,[5]PRIORIZADOS!$A:$B,2,FALSE)="","",VLOOKUP(A600,[5]PRIORIZADOS!$A:$B,2,FALSE)),"")</f>
        <v>12</v>
      </c>
      <c r="C600" s="11" t="str">
        <f>IFERROR(IF(VLOOKUP(A600,[5]PRIORIZADOS!$A:$C,3,FALSE)="","",VLOOKUP(A600,[5]PRIORIZADOS!$A:$C,3,FALSE)),"")</f>
        <v>CIUDAD BOLÍVAR</v>
      </c>
      <c r="D600" s="11" t="str">
        <f>IFERROR(IF(VLOOKUP(A600,[5]PRIORIZADOS!$A:$D,4,FALSE)="","",VLOOKUP(A600,[5]PRIORIZADOS!$A:$D,4,FALSE)),"")</f>
        <v>PRIVADO</v>
      </c>
      <c r="E600" s="11" t="str">
        <f>IFERROR(IF(VLOOKUP(A600,[5]PRIORIZADOS!$A:$E,5,FALSE)="","",VLOOKUP(A600,[5]PRIORIZADOS!$A:$E,5,FALSE)),"")</f>
        <v>EPBM</v>
      </c>
      <c r="F600" s="11" t="str">
        <f>IFERROR(IF(VLOOKUP(A600,[5]PRIORIZADOS!$A:$F,6,FALSE)="","",VLOOKUP(A600,[5]PRIORIZADOS!$A:$F,6,FALSE)),"")</f>
        <v>COLEGIO_COFRATERNIDAD_DE_SAN_FERNANDO</v>
      </c>
      <c r="G600" s="11" t="str">
        <f>IFERROR(IF(VLOOKUP(A600,[5]PRIORIZADOS!$A:$G,7,FALSE)="","",VLOOKUP(A600,[5]PRIORIZADOS!$A:$G,7,FALSE)),"")</f>
        <v>COLEGIO COFRATERNIDAD DE SAN FERNANDO</v>
      </c>
      <c r="H600" s="11" t="str">
        <f>IFERROR(IF(VLOOKUP(A600,[5]PRIORIZADOS!$A:$H,8,FALSE)="","",VLOOKUP(A600,[5]PRIORIZADOS!$A:$H,8,FALSE)),"")</f>
        <v>Autoevaluación Institucional y Pruebas SABER 11</v>
      </c>
      <c r="I600" s="11" t="str">
        <f>IFERROR(IF(VLOOKUP(A600,[5]PRIORIZADOS!$A:$I,9,FALSE)="","",VLOOKUP(A600,[5]PRIORIZADOS!$A:$I,9,FALSE)),"")</f>
        <v>SEGUIMIENTO_Y_SUPERVISIÓN.</v>
      </c>
      <c r="J600" s="11" t="str">
        <f>IFERROR(IF(VLOOKUP(A600,[5]PRIORIZADOS!$A:$J,10,FALSE)="","",VLOOKUP(A600,[5]PRIORIZADOS!$A:$J,10,FALSE)),"")</f>
        <v>Proponer estrategias en la formulación, verificar su elaboración y realizar seguimiento semestral al desarrollo de  las acciones establecidas en los planes de mejoramiento por pruebas SABER 11 de los establecimientos de educación formal.</v>
      </c>
      <c r="K600" s="11" t="str">
        <f>IFERROR(IF(VLOOKUP(A600,[5]PRIORIZADOS!$A:$K,11,FALSE)="","",VLOOKUP(A600,[5]PRIORIZADOS!$A:$K,11,FALSE)),"")</f>
        <v xml:space="preserve">JUDITH SOLANO RAMÍREZ </v>
      </c>
      <c r="L600" s="11" t="str">
        <f>IFERROR(IF(VLOOKUP(A600,[5]PRIORIZADOS!$A:$L,12,FALSE)="","",VLOOKUP(A600,[5]PRIORIZADOS!$A:$L,12,FALSE)),"")</f>
        <v>ÓSCAR JAVIER CÁRDENAS MUÑOZ</v>
      </c>
      <c r="M600" s="71">
        <f>IFERROR(IF(VLOOKUP(A600,[5]PRIORIZADOS!$A:$M,13,FALSE)="","",VLOOKUP(A600,[5]PRIORIZADOS!$A:$M,13,FALSE)),"")</f>
        <v>45926</v>
      </c>
      <c r="N600" s="71">
        <f>IFERROR(IF(VLOOKUP(A600,[5]PRIORIZADOS!$A:$N,14,FALSE)="","",VLOOKUP(A600,[5]PRIORIZADOS!$A:$N,14,FALSE)),"")</f>
        <v>45881</v>
      </c>
      <c r="O600" s="71">
        <f>IFERROR(IF(VLOOKUP(A600,[5]PRIORIZADOS!$A:$O,15,FALSE)="","",VLOOKUP(A600,[5]PRIORIZADOS!$A:$O,15,FALSE)),"")</f>
        <v>45881</v>
      </c>
      <c r="P600" s="11" t="str">
        <f>IFERROR(IF(VLOOKUP(A600,[5]PRIORIZADOS!$A:$P,16,FALSE)="","",VLOOKUP(A600,[5]PRIORIZADOS!$A:$P,16,FALSE)),"")</f>
        <v>Visitas de evaluación con fines de mejoramiento</v>
      </c>
      <c r="Q600" s="5" t="s">
        <v>125</v>
      </c>
      <c r="R600" s="11" t="str">
        <f>IFERROR(IF(VLOOKUP(A600,[5]PRIORIZADOS!$A:$R,18,FALSE)="","",VLOOKUP(A600,[5]PRIORIZADOS!$A:$R,18,FALSE)),"")</f>
        <v>Se encontró que el Diseño Curricular general de la institución se encuentra actualizado enfocado a la preparación de las pruebas Saber 11</v>
      </c>
      <c r="S600" s="11" t="str">
        <f>IFERROR(IF(VLOOKUP(A600,[5]PRIORIZADOS!$A:$S,19,FALSE)="","",VLOOKUP(A600,[5]PRIORIZADOS!$A:$S,19,FALSE)),"")</f>
        <v>La IE debe implementar acciones de atención desde el plan de estudios y de la aplicación de pruebas tipo Saber</v>
      </c>
      <c r="T600" s="70" t="str">
        <f>IFERROR(IF(VLOOKUP(A600,[5]PRIORIZADOS!$A:$T,20,FALSE)="","",VLOOKUP(A600,[5]PRIORIZADOS!$A:$T,20,FALSE)),"")</f>
        <v>Si</v>
      </c>
      <c r="U600" s="11" t="str">
        <f>IFERROR(IF(VLOOKUP(A600,[5]PRIORIZADOS!$A:$U,21,FALSE)="","",VLOOKUP(A600,[5]PRIORIZADOS!$A:$U,21,FALSE)),"")</f>
        <v>La IE hará entrega del Plan de Mejoramiento el 15/09/2025.
El ELIV realizará seguimiento en noviembre de 2025 para verificar el cumplimiento de las acciones establecidas en el plan de mejoramiento.</v>
      </c>
    </row>
    <row r="601" spans="1:21" s="1" customFormat="1" ht="48">
      <c r="A601" s="69">
        <f>IF([5]PRIORIZADOS!A109="","",[5]PRIORIZADOS!A109)</f>
        <v>2814</v>
      </c>
      <c r="B601" s="70">
        <f>IFERROR(IF(VLOOKUP(A601,[5]PRIORIZADOS!$A:$B,2,FALSE)="","",VLOOKUP(A601,[5]PRIORIZADOS!$A:$B,2,FALSE)),"")</f>
        <v>12</v>
      </c>
      <c r="C601" s="11" t="str">
        <f>IFERROR(IF(VLOOKUP(A601,[5]PRIORIZADOS!$A:$C,3,FALSE)="","",VLOOKUP(A601,[5]PRIORIZADOS!$A:$C,3,FALSE)),"")</f>
        <v>CIUDAD BOLÍVAR</v>
      </c>
      <c r="D601" s="11" t="str">
        <f>IFERROR(IF(VLOOKUP(A601,[5]PRIORIZADOS!$A:$D,4,FALSE)="","",VLOOKUP(A601,[5]PRIORIZADOS!$A:$D,4,FALSE)),"")</f>
        <v>PRIVADO</v>
      </c>
      <c r="E601" s="11" t="str">
        <f>IFERROR(IF(VLOOKUP(A601,[5]PRIORIZADOS!$A:$E,5,FALSE)="","",VLOOKUP(A601,[5]PRIORIZADOS!$A:$E,5,FALSE)),"")</f>
        <v>EPBM</v>
      </c>
      <c r="F601" s="11" t="str">
        <f>IFERROR(IF(VLOOKUP(A601,[5]PRIORIZADOS!$A:$F,6,FALSE)="","",VLOOKUP(A601,[5]PRIORIZADOS!$A:$F,6,FALSE)),"")</f>
        <v>COLEGIO_COFRATERNIDAD_DE_SAN_FERNANDO</v>
      </c>
      <c r="G601" s="11" t="str">
        <f>IFERROR(IF(VLOOKUP(A601,[5]PRIORIZADOS!$A:$G,7,FALSE)="","",VLOOKUP(A601,[5]PRIORIZADOS!$A:$G,7,FALSE)),"")</f>
        <v>COLEGIO COFRATERNIDAD DE SAN FERNANDO</v>
      </c>
      <c r="H601" s="11" t="str">
        <f>IFERROR(IF(VLOOKUP(A601,[5]PRIORIZADOS!$A:$H,8,FALSE)="","",VLOOKUP(A601,[5]PRIORIZADOS!$A:$H,8,FALSE)),"")</f>
        <v>Autoevaluación Institucional y Pruebas SABER 11</v>
      </c>
      <c r="I601" s="11" t="str">
        <f>IFERROR(IF(VLOOKUP(A601,[5]PRIORIZADOS!$A:$I,9,FALSE)="","",VLOOKUP(A601,[5]PRIORIZADOS!$A:$I,9,FALSE)),"")</f>
        <v>SEGUIMIENTO_Y_SUPERVISIÓN.</v>
      </c>
      <c r="J601" s="11" t="str">
        <f>IFERROR(IF(VLOOKUP(A601,[5]PRIORIZADOS!$A:$J,10,FALSE)="","",VLOOKUP(A601,[5]PRIORIZADOS!$A:$J,10,FALSE)),"")</f>
        <v xml:space="preserve">Verificar la implementación por parte de los colegios, de acciones realizadas para la prevención y atención de las situaciones de convivencia en el entorno escolar, según lo establecido en la Directiva 01 de 2022 del MEN. </v>
      </c>
      <c r="K601" s="11" t="str">
        <f>IFERROR(IF(VLOOKUP(A601,[5]PRIORIZADOS!$A:$K,11,FALSE)="","",VLOOKUP(A601,[5]PRIORIZADOS!$A:$K,11,FALSE)),"")</f>
        <v xml:space="preserve">JUDITH SOLANO RAMÍREZ </v>
      </c>
      <c r="L601" s="11" t="str">
        <f>IFERROR(IF(VLOOKUP(A601,[5]PRIORIZADOS!$A:$L,12,FALSE)="","",VLOOKUP(A601,[5]PRIORIZADOS!$A:$L,12,FALSE)),"")</f>
        <v>ÓSCAR JAVIER CÁRDENAS MUÑOZ</v>
      </c>
      <c r="M601" s="71">
        <f>IFERROR(IF(VLOOKUP(A601,[5]PRIORIZADOS!$A:$M,13,FALSE)="","",VLOOKUP(A601,[5]PRIORIZADOS!$A:$M,13,FALSE)),"")</f>
        <v>45926</v>
      </c>
      <c r="N601" s="71">
        <f>IFERROR(IF(VLOOKUP(A601,[5]PRIORIZADOS!$A:$N,14,FALSE)="","",VLOOKUP(A601,[5]PRIORIZADOS!$A:$N,14,FALSE)),"")</f>
        <v>45881</v>
      </c>
      <c r="O601" s="71">
        <f>IFERROR(IF(VLOOKUP(A601,[5]PRIORIZADOS!$A:$O,15,FALSE)="","",VLOOKUP(A601,[5]PRIORIZADOS!$A:$O,15,FALSE)),"")</f>
        <v>45881</v>
      </c>
      <c r="P601" s="11" t="str">
        <f>IFERROR(IF(VLOOKUP(A601,[5]PRIORIZADOS!$A:$P,16,FALSE)="","",VLOOKUP(A601,[5]PRIORIZADOS!$A:$P,16,FALSE)),"")</f>
        <v>Visitas de evaluación con fines de mejoramiento</v>
      </c>
      <c r="Q601" s="5" t="s">
        <v>125</v>
      </c>
      <c r="R601" s="11" t="str">
        <f>IFERROR(IF(VLOOKUP(A601,[5]PRIORIZADOS!$A:$R,18,FALSE)="","",VLOOKUP(A601,[5]PRIORIZADOS!$A:$R,18,FALSE)),"")</f>
        <v>La IE presenta los reportes de consulta de antecedentes del mes de mayo, sin embargo, no hubo revisión previa a la contratación.</v>
      </c>
      <c r="S601" s="11" t="str">
        <f>IFERROR(IF(VLOOKUP(A601,[5]PRIORIZADOS!$A:$S,19,FALSE)="","",VLOOKUP(A601,[5]PRIORIZADOS!$A:$S,19,FALSE)),"")</f>
        <v>La IE debe garantizar la revisión de los antecedentes de las personas que se vinculan a la IE.</v>
      </c>
      <c r="T601" s="70" t="str">
        <f>IFERROR(IF(VLOOKUP(A601,[5]PRIORIZADOS!$A:$T,20,FALSE)="","",VLOOKUP(A601,[5]PRIORIZADOS!$A:$T,20,FALSE)),"")</f>
        <v>Si</v>
      </c>
      <c r="U601" s="11" t="str">
        <f>IFERROR(IF(VLOOKUP(A601,[5]PRIORIZADOS!$A:$U,21,FALSE)="","",VLOOKUP(A601,[5]PRIORIZADOS!$A:$U,21,FALSE)),"")</f>
        <v>La IE hará entrega del Plan de Mejoramiento el 15/09/2025.
El ELIV realizará seguimiento en noviembre de 2025 para verificar el cumplimiento de las acciones establecidas en el plan de mejoramiento.</v>
      </c>
    </row>
    <row r="602" spans="1:21" s="1" customFormat="1" ht="84">
      <c r="A602" s="69">
        <f>IF([5]PRIORIZADOS!A110="","",[5]PRIORIZADOS!A110)</f>
        <v>2815</v>
      </c>
      <c r="B602" s="70">
        <f>IFERROR(IF(VLOOKUP(A602,[5]PRIORIZADOS!$A:$B,2,FALSE)="","",VLOOKUP(A602,[5]PRIORIZADOS!$A:$B,2,FALSE)),"")</f>
        <v>12</v>
      </c>
      <c r="C602" s="11" t="str">
        <f>IFERROR(IF(VLOOKUP(A602,[5]PRIORIZADOS!$A:$C,3,FALSE)="","",VLOOKUP(A602,[5]PRIORIZADOS!$A:$C,3,FALSE)),"")</f>
        <v>CIUDAD BOLÍVAR</v>
      </c>
      <c r="D602" s="11" t="str">
        <f>IFERROR(IF(VLOOKUP(A602,[5]PRIORIZADOS!$A:$D,4,FALSE)="","",VLOOKUP(A602,[5]PRIORIZADOS!$A:$D,4,FALSE)),"")</f>
        <v>PRIVADO</v>
      </c>
      <c r="E602" s="11" t="str">
        <f>IFERROR(IF(VLOOKUP(A602,[5]PRIORIZADOS!$A:$E,5,FALSE)="","",VLOOKUP(A602,[5]PRIORIZADOS!$A:$E,5,FALSE)),"")</f>
        <v>EPBM</v>
      </c>
      <c r="F602" s="11" t="str">
        <f>IFERROR(IF(VLOOKUP(A602,[5]PRIORIZADOS!$A:$F,6,FALSE)="","",VLOOKUP(A602,[5]PRIORIZADOS!$A:$F,6,FALSE)),"")</f>
        <v>COLEGIO_COFRATERNIDAD_DE_SAN_FERNANDO</v>
      </c>
      <c r="G602" s="11" t="str">
        <f>IFERROR(IF(VLOOKUP(A602,[5]PRIORIZADOS!$A:$G,7,FALSE)="","",VLOOKUP(A602,[5]PRIORIZADOS!$A:$G,7,FALSE)),"")</f>
        <v>COLEGIO COFRATERNIDAD DE SAN FERNANDO</v>
      </c>
      <c r="H602" s="11" t="str">
        <f>IFERROR(IF(VLOOKUP(A602,[5]PRIORIZADOS!$A:$H,8,FALSE)="","",VLOOKUP(A602,[5]PRIORIZADOS!$A:$H,8,FALSE)),"")</f>
        <v>Autoevaluación Institucional y Pruebas SABER 11</v>
      </c>
      <c r="I602" s="11" t="str">
        <f>IFERROR(IF(VLOOKUP(A602,[5]PRIORIZADOS!$A:$I,9,FALSE)="","",VLOOKUP(A602,[5]PRIORIZADOS!$A:$I,9,FALSE)),"")</f>
        <v>SEGUIMIENTO_Y_SUPERVISIÓN.</v>
      </c>
      <c r="J602" s="11" t="str">
        <f>IFERROR(IF(VLOOKUP(A602,[5]PRIORIZADOS!$A:$J,10,FALSE)="","",VLOOKUP(A602,[5]PRIORIZADOS!$A:$J,10,FALSE)),"")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02" s="11" t="str">
        <f>IFERROR(IF(VLOOKUP(A602,[5]PRIORIZADOS!$A:$K,11,FALSE)="","",VLOOKUP(A602,[5]PRIORIZADOS!$A:$K,11,FALSE)),"")</f>
        <v xml:space="preserve">JUDITH SOLANO RAMÍREZ </v>
      </c>
      <c r="L602" s="11" t="str">
        <f>IFERROR(IF(VLOOKUP(A602,[5]PRIORIZADOS!$A:$L,12,FALSE)="","",VLOOKUP(A602,[5]PRIORIZADOS!$A:$L,12,FALSE)),"")</f>
        <v>ÓSCAR JAVIER CÁRDENAS MUÑOZ</v>
      </c>
      <c r="M602" s="71">
        <f>IFERROR(IF(VLOOKUP(A602,[5]PRIORIZADOS!$A:$M,13,FALSE)="","",VLOOKUP(A602,[5]PRIORIZADOS!$A:$M,13,FALSE)),"")</f>
        <v>45926</v>
      </c>
      <c r="N602" s="71">
        <f>IFERROR(IF(VLOOKUP(A602,[5]PRIORIZADOS!$A:$N,14,FALSE)="","",VLOOKUP(A602,[5]PRIORIZADOS!$A:$N,14,FALSE)),"")</f>
        <v>45881</v>
      </c>
      <c r="O602" s="71">
        <f>IFERROR(IF(VLOOKUP(A602,[5]PRIORIZADOS!$A:$O,15,FALSE)="","",VLOOKUP(A602,[5]PRIORIZADOS!$A:$O,15,FALSE)),"")</f>
        <v>45881</v>
      </c>
      <c r="P602" s="11" t="str">
        <f>IFERROR(IF(VLOOKUP(A602,[5]PRIORIZADOS!$A:$P,16,FALSE)="","",VLOOKUP(A602,[5]PRIORIZADOS!$A:$P,16,FALSE)),"")</f>
        <v>Visitas de evaluación con fines de mejoramiento</v>
      </c>
      <c r="Q602" s="5" t="s">
        <v>125</v>
      </c>
      <c r="R602" s="11" t="str">
        <f>IFERROR(IF(VLOOKUP(A602,[5]PRIORIZADOS!$A:$R,18,FALSE)="","",VLOOKUP(A602,[5]PRIORIZADOS!$A:$R,18,FALSE)),"")</f>
        <v>La IE tiene caracterizados casos de trastornos de aprendizaje y talentos excepcionales y han implementado estrategias para su atención.
La IE presenta PIAR diligenciados.</v>
      </c>
      <c r="S602" s="11" t="str">
        <f>IFERROR(IF(VLOOKUP(A602,[5]PRIORIZADOS!$A:$S,19,FALSE)="","",VLOOKUP(A602,[5]PRIORIZADOS!$A:$S,19,FALSE)),"")</f>
        <v>La IE debe organizar el proceso de identificación del diagnóstico desde la EPS para los casos de trastornos de aprendizaje y atender las recomendaciones frente a la caracterización de las condiciones de los estudiantes</v>
      </c>
      <c r="T602" s="70" t="str">
        <f>IFERROR(IF(VLOOKUP(A602,[5]PRIORIZADOS!$A:$T,20,FALSE)="","",VLOOKUP(A602,[5]PRIORIZADOS!$A:$T,20,FALSE)),"")</f>
        <v>Si</v>
      </c>
      <c r="U602" s="11" t="str">
        <f>IFERROR(IF(VLOOKUP(A602,[5]PRIORIZADOS!$A:$U,21,FALSE)="","",VLOOKUP(A602,[5]PRIORIZADOS!$A:$U,21,FALSE)),"")</f>
        <v>La IE hará entrega del Plan de Mejoramiento el 15/09/2025.
El ELIV realizará seguimiento en noviembre de 2025 para verificar el cumplimiento de las acciones establecidas en el plan de mejoramiento.</v>
      </c>
    </row>
    <row r="603" spans="1:21" s="1" customFormat="1" ht="118.5">
      <c r="A603" s="69">
        <f>IF([5]PRIORIZADOS!A111="","",[5]PRIORIZADOS!A111)</f>
        <v>2816</v>
      </c>
      <c r="B603" s="70">
        <f>IFERROR(IF(VLOOKUP(A603,[5]PRIORIZADOS!$A:$B,2,FALSE)="","",VLOOKUP(A603,[5]PRIORIZADOS!$A:$B,2,FALSE)),"")</f>
        <v>12</v>
      </c>
      <c r="C603" s="11" t="str">
        <f>IFERROR(IF(VLOOKUP(A603,[5]PRIORIZADOS!$A:$C,3,FALSE)="","",VLOOKUP(A603,[5]PRIORIZADOS!$A:$C,3,FALSE)),"")</f>
        <v>CIUDAD BOLÍVAR</v>
      </c>
      <c r="D603" s="11" t="str">
        <f>IFERROR(IF(VLOOKUP(A603,[5]PRIORIZADOS!$A:$D,4,FALSE)="","",VLOOKUP(A603,[5]PRIORIZADOS!$A:$D,4,FALSE)),"")</f>
        <v>PRIVADO</v>
      </c>
      <c r="E603" s="11" t="str">
        <f>IFERROR(IF(VLOOKUP(A603,[5]PRIORIZADOS!$A:$E,5,FALSE)="","",VLOOKUP(A603,[5]PRIORIZADOS!$A:$E,5,FALSE)),"")</f>
        <v>EPBM</v>
      </c>
      <c r="F603" s="11" t="str">
        <f>IFERROR(IF(VLOOKUP(A603,[5]PRIORIZADOS!$A:$F,6,FALSE)="","",VLOOKUP(A603,[5]PRIORIZADOS!$A:$F,6,FALSE)),"")</f>
        <v>COLEGIO_COFRATERNIDAD_DE_SAN_FERNANDO</v>
      </c>
      <c r="G603" s="11" t="str">
        <f>IFERROR(IF(VLOOKUP(A603,[5]PRIORIZADOS!$A:$G,7,FALSE)="","",VLOOKUP(A603,[5]PRIORIZADOS!$A:$G,7,FALSE)),"")</f>
        <v>COLEGIO COFRATERNIDAD DE SAN FERNANDO</v>
      </c>
      <c r="H603" s="11" t="str">
        <f>IFERROR(IF(VLOOKUP(A603,[5]PRIORIZADOS!$A:$H,8,FALSE)="","",VLOOKUP(A603,[5]PRIORIZADOS!$A:$H,8,FALSE)),"")</f>
        <v>Autoevaluación Institucional y Pruebas SABER 11</v>
      </c>
      <c r="I603" s="11" t="str">
        <f>IFERROR(IF(VLOOKUP(A603,[5]PRIORIZADOS!$A:$I,9,FALSE)="","",VLOOKUP(A603,[5]PRIORIZADOS!$A:$I,9,FALSE)),"")</f>
        <v>EVALUACIÓN_CON_FINES_DE_MEJORAMIENTO.</v>
      </c>
      <c r="J603" s="11" t="str">
        <f>IFERROR(IF(VLOOKUP(A603,[5]PRIORIZADOS!$A:$J,10,FALSE)="","",VLOOKUP(A603,[5]PRIORIZADOS!$A:$J,10,FALSE)),"")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03" s="11" t="str">
        <f>IFERROR(IF(VLOOKUP(A603,[5]PRIORIZADOS!$A:$K,11,FALSE)="","",VLOOKUP(A603,[5]PRIORIZADOS!$A:$K,11,FALSE)),"")</f>
        <v xml:space="preserve">JUDITH SOLANO RAMÍREZ </v>
      </c>
      <c r="L603" s="11" t="str">
        <f>IFERROR(IF(VLOOKUP(A603,[5]PRIORIZADOS!$A:$L,12,FALSE)="","",VLOOKUP(A603,[5]PRIORIZADOS!$A:$L,12,FALSE)),"")</f>
        <v>ÓSCAR JAVIER CÁRDENAS MUÑOZ</v>
      </c>
      <c r="M603" s="71">
        <f>IFERROR(IF(VLOOKUP(A603,[5]PRIORIZADOS!$A:$M,13,FALSE)="","",VLOOKUP(A603,[5]PRIORIZADOS!$A:$M,13,FALSE)),"")</f>
        <v>45926</v>
      </c>
      <c r="N603" s="71">
        <f>IFERROR(IF(VLOOKUP(A603,[5]PRIORIZADOS!$A:$N,14,FALSE)="","",VLOOKUP(A603,[5]PRIORIZADOS!$A:$N,14,FALSE)),"")</f>
        <v>45881</v>
      </c>
      <c r="O603" s="71">
        <f>IFERROR(IF(VLOOKUP(A603,[5]PRIORIZADOS!$A:$O,15,FALSE)="","",VLOOKUP(A603,[5]PRIORIZADOS!$A:$O,15,FALSE)),"")</f>
        <v>45881</v>
      </c>
      <c r="P603" s="11" t="str">
        <f>IFERROR(IF(VLOOKUP(A603,[5]PRIORIZADOS!$A:$P,16,FALSE)="","",VLOOKUP(A603,[5]PRIORIZADOS!$A:$P,16,FALSE)),"")</f>
        <v>Visitas de evaluación con fines de mejoramiento</v>
      </c>
      <c r="Q603" s="5" t="s">
        <v>125</v>
      </c>
      <c r="R603" s="11" t="str">
        <f>IFERROR(IF(VLOOKUP(A603,[5]PRIORIZADOS!$A:$R,18,FALSE)="","",VLOOKUP(A603,[5]PRIORIZADOS!$A:$R,18,FALSE)),"")</f>
        <v>Se encontraron evidencias de la definición, actualización y participación en la construcción del Manual de Convivencia, así como de la actualización anual.</v>
      </c>
      <c r="S603" s="11" t="str">
        <f>IFERROR(IF(VLOOKUP(A603,[5]PRIORIZADOS!$A:$S,19,FALSE)="","",VLOOKUP(A603,[5]PRIORIZADOS!$A:$S,19,FALSE)),"")</f>
        <v>La IE debe:
 - Ajustar lo relativoal uniforme de los estudiantes en el marco del componente de género.
 - Enfatizar las acciones de convivencia en la aplicación del debido proceso.
 - Incluir el enfoque de género, restaurativo y de derechos humanos.
 - Actualizar la normatividad vigente y aplicable.</v>
      </c>
      <c r="T603" s="70" t="str">
        <f>IFERROR(IF(VLOOKUP(A603,[5]PRIORIZADOS!$A:$T,20,FALSE)="","",VLOOKUP(A603,[5]PRIORIZADOS!$A:$T,20,FALSE)),"")</f>
        <v>Si</v>
      </c>
      <c r="U603" s="11" t="str">
        <f>IFERROR(IF(VLOOKUP(A603,[5]PRIORIZADOS!$A:$U,21,FALSE)="","",VLOOKUP(A603,[5]PRIORIZADOS!$A:$U,21,FALSE)),"")</f>
        <v>La IE hará entrega del Plan de Mejoramiento el 15/09/2025.
El ELIV realizará seguimiento en noviembre de 2025 para verificar el cumplimiento de las acciones establecidas en el plan de mejoramiento.</v>
      </c>
    </row>
    <row r="604" spans="1:21" s="1" customFormat="1" ht="118.5">
      <c r="A604" s="69">
        <f>IF([5]PRIORIZADOS!A112="","",[5]PRIORIZADOS!A112)</f>
        <v>2817</v>
      </c>
      <c r="B604" s="70">
        <f>IFERROR(IF(VLOOKUP(A604,[5]PRIORIZADOS!$A:$B,2,FALSE)="","",VLOOKUP(A604,[5]PRIORIZADOS!$A:$B,2,FALSE)),"")</f>
        <v>12</v>
      </c>
      <c r="C604" s="11" t="str">
        <f>IFERROR(IF(VLOOKUP(A604,[5]PRIORIZADOS!$A:$C,3,FALSE)="","",VLOOKUP(A604,[5]PRIORIZADOS!$A:$C,3,FALSE)),"")</f>
        <v>CIUDAD BOLÍVAR</v>
      </c>
      <c r="D604" s="11" t="str">
        <f>IFERROR(IF(VLOOKUP(A604,[5]PRIORIZADOS!$A:$D,4,FALSE)="","",VLOOKUP(A604,[5]PRIORIZADOS!$A:$D,4,FALSE)),"")</f>
        <v>PRIVADO</v>
      </c>
      <c r="E604" s="11" t="str">
        <f>IFERROR(IF(VLOOKUP(A604,[5]PRIORIZADOS!$A:$E,5,FALSE)="","",VLOOKUP(A604,[5]PRIORIZADOS!$A:$E,5,FALSE)),"")</f>
        <v>EPBM</v>
      </c>
      <c r="F604" s="11" t="str">
        <f>IFERROR(IF(VLOOKUP(A604,[5]PRIORIZADOS!$A:$F,6,FALSE)="","",VLOOKUP(A604,[5]PRIORIZADOS!$A:$F,6,FALSE)),"")</f>
        <v>COLEGIO_COFRATERNIDAD_DE_SAN_FERNANDO</v>
      </c>
      <c r="G604" s="11" t="str">
        <f>IFERROR(IF(VLOOKUP(A604,[5]PRIORIZADOS!$A:$G,7,FALSE)="","",VLOOKUP(A604,[5]PRIORIZADOS!$A:$G,7,FALSE)),"")</f>
        <v>COLEGIO COFRATERNIDAD DE SAN FERNANDO</v>
      </c>
      <c r="H604" s="11" t="str">
        <f>IFERROR(IF(VLOOKUP(A604,[5]PRIORIZADOS!$A:$H,8,FALSE)="","",VLOOKUP(A604,[5]PRIORIZADOS!$A:$H,8,FALSE)),"")</f>
        <v>Autoevaluación Institucional y Pruebas SABER 11</v>
      </c>
      <c r="I604" s="11" t="str">
        <f>IFERROR(IF(VLOOKUP(A604,[5]PRIORIZADOS!$A:$I,9,FALSE)="","",VLOOKUP(A604,[5]PRIORIZADOS!$A:$I,9,FALSE)),"")</f>
        <v>EVALUACIÓN_CON_FINES_DE_MEJORAMIENTO.</v>
      </c>
      <c r="J604" s="11" t="str">
        <f>IFERROR(IF(VLOOKUP(A604,[5]PRIORIZADOS!$A:$J,10,FALSE)="","",VLOOKUP(A604,[5]PRIORIZADOS!$A:$J,10,FALSE)),"")</f>
        <v>Revisar la actualización, socialización e implementación del Sistema Institucional de Evaluación de Estudiantes - SIEE, en articulación con la actualización del PEI y la normatividad vigente.</v>
      </c>
      <c r="K604" s="11" t="str">
        <f>IFERROR(IF(VLOOKUP(A604,[5]PRIORIZADOS!$A:$K,11,FALSE)="","",VLOOKUP(A604,[5]PRIORIZADOS!$A:$K,11,FALSE)),"")</f>
        <v xml:space="preserve">JUDITH SOLANO RAMÍREZ </v>
      </c>
      <c r="L604" s="11" t="str">
        <f>IFERROR(IF(VLOOKUP(A604,[5]PRIORIZADOS!$A:$L,12,FALSE)="","",VLOOKUP(A604,[5]PRIORIZADOS!$A:$L,12,FALSE)),"")</f>
        <v>ÓSCAR JAVIER CÁRDENAS MUÑOZ</v>
      </c>
      <c r="M604" s="71">
        <f>IFERROR(IF(VLOOKUP(A604,[5]PRIORIZADOS!$A:$M,13,FALSE)="","",VLOOKUP(A604,[5]PRIORIZADOS!$A:$M,13,FALSE)),"")</f>
        <v>45926</v>
      </c>
      <c r="N604" s="71">
        <f>IFERROR(IF(VLOOKUP(A604,[5]PRIORIZADOS!$A:$N,14,FALSE)="","",VLOOKUP(A604,[5]PRIORIZADOS!$A:$N,14,FALSE)),"")</f>
        <v>45881</v>
      </c>
      <c r="O604" s="71">
        <f>IFERROR(IF(VLOOKUP(A604,[5]PRIORIZADOS!$A:$O,15,FALSE)="","",VLOOKUP(A604,[5]PRIORIZADOS!$A:$O,15,FALSE)),"")</f>
        <v>45881</v>
      </c>
      <c r="P604" s="11" t="str">
        <f>IFERROR(IF(VLOOKUP(A604,[5]PRIORIZADOS!$A:$P,16,FALSE)="","",VLOOKUP(A604,[5]PRIORIZADOS!$A:$P,16,FALSE)),"")</f>
        <v>Visitas de evaluación con fines de mejoramiento</v>
      </c>
      <c r="Q604" s="5" t="s">
        <v>125</v>
      </c>
      <c r="R604" s="11" t="str">
        <f>IFERROR(IF(VLOOKUP(A604,[5]PRIORIZADOS!$A:$R,18,FALSE)="","",VLOOKUP(A604,[5]PRIORIZADOS!$A:$R,18,FALSE)),"")</f>
        <v xml:space="preserve">La IE presenta evidencias de la operatividad de las Comisiones de Evaluación y Promoción. Se encuentra que define acciones importantes de acompañamiento y seguimiento para la superación de las debilidades académicas, con acompañamiento regular </v>
      </c>
      <c r="S604" s="11" t="str">
        <f>IFERROR(IF(VLOOKUP(A604,[5]PRIORIZADOS!$A:$S,19,FALSE)="","",VLOOKUP(A604,[5]PRIORIZADOS!$A:$S,19,FALSE)),"")</f>
        <v>La IE debe:
 - Incluir en el SIEE la conformación de la Comisión o delegar al Consejo Académico y definir un reglamento para la misma.
 - Eliminar del SIEE el criterio de NO PROMOCIÓN "Por solicitud del padre de familia ..."
 - Actualizar el SIEE y el Manual de Convivencia con base en la normatividad vigente.</v>
      </c>
      <c r="T604" s="70" t="str">
        <f>IFERROR(IF(VLOOKUP(A604,[5]PRIORIZADOS!$A:$T,20,FALSE)="","",VLOOKUP(A604,[5]PRIORIZADOS!$A:$T,20,FALSE)),"")</f>
        <v>Si</v>
      </c>
      <c r="U604" s="11" t="str">
        <f>IFERROR(IF(VLOOKUP(A604,[5]PRIORIZADOS!$A:$U,21,FALSE)="","",VLOOKUP(A604,[5]PRIORIZADOS!$A:$U,21,FALSE)),"")</f>
        <v>La IE hará entrega del Plan de Mejoramiento el 15/09/2025.
El ELIV realizará seguimiento en noviembre de 2025 para verificar el cumplimiento de las acciones establecidas en el plan de mejoramiento.</v>
      </c>
    </row>
    <row r="605" spans="1:21" s="1" customFormat="1" ht="48">
      <c r="A605" s="69">
        <f>IF([5]PRIORIZADOS!A113="","",[5]PRIORIZADOS!A113)</f>
        <v>2818</v>
      </c>
      <c r="B605" s="70">
        <f>IFERROR(IF(VLOOKUP(A605,[5]PRIORIZADOS!$A:$B,2,FALSE)="","",VLOOKUP(A605,[5]PRIORIZADOS!$A:$B,2,FALSE)),"")</f>
        <v>12</v>
      </c>
      <c r="C605" s="11" t="str">
        <f>IFERROR(IF(VLOOKUP(A605,[5]PRIORIZADOS!$A:$C,3,FALSE)="","",VLOOKUP(A605,[5]PRIORIZADOS!$A:$C,3,FALSE)),"")</f>
        <v>CIUDAD BOLÍVAR</v>
      </c>
      <c r="D605" s="11" t="str">
        <f>IFERROR(IF(VLOOKUP(A605,[5]PRIORIZADOS!$A:$D,4,FALSE)="","",VLOOKUP(A605,[5]PRIORIZADOS!$A:$D,4,FALSE)),"")</f>
        <v>PRIVADO</v>
      </c>
      <c r="E605" s="11" t="str">
        <f>IFERROR(IF(VLOOKUP(A605,[5]PRIORIZADOS!$A:$E,5,FALSE)="","",VLOOKUP(A605,[5]PRIORIZADOS!$A:$E,5,FALSE)),"")</f>
        <v>EPBM</v>
      </c>
      <c r="F605" s="11" t="str">
        <f>IFERROR(IF(VLOOKUP(A605,[5]PRIORIZADOS!$A:$F,6,FALSE)="","",VLOOKUP(A605,[5]PRIORIZADOS!$A:$F,6,FALSE)),"")</f>
        <v>COLEGIO_COFRATERNIDAD_DE_SAN_FERNANDO</v>
      </c>
      <c r="G605" s="11" t="str">
        <f>IFERROR(IF(VLOOKUP(A605,[5]PRIORIZADOS!$A:$G,7,FALSE)="","",VLOOKUP(A605,[5]PRIORIZADOS!$A:$G,7,FALSE)),"")</f>
        <v>COLEGIO COFRATERNIDAD DE SAN FERNANDO</v>
      </c>
      <c r="H605" s="11" t="str">
        <f>IFERROR(IF(VLOOKUP(A605,[5]PRIORIZADOS!$A:$H,8,FALSE)="","",VLOOKUP(A605,[5]PRIORIZADOS!$A:$H,8,FALSE)),"")</f>
        <v>Autoevaluación Institucional y Pruebas SABER 11</v>
      </c>
      <c r="I605" s="11" t="str">
        <f>IFERROR(IF(VLOOKUP(A605,[5]PRIORIZADOS!$A:$I,9,FALSE)="","",VLOOKUP(A605,[5]PRIORIZADOS!$A:$I,9,FALSE)),"")</f>
        <v>EVALUACIÓN_CON_FINES_DE_MEJORAMIENTO.</v>
      </c>
      <c r="J605" s="11" t="str">
        <f>IFERROR(IF(VLOOKUP(A605,[5]PRIORIZADOS!$A:$J,10,FALSE)="","",VLOOKUP(A605,[5]PRIORIZADOS!$A:$J,10,FALSE)),"")</f>
        <v>Revisar el calendario escolar, jornada escolar, la intensidad horaria mínima anual en cada nivel y las modificaciones que se realicen al mismo, de acuerdo con lo previsto en la normatividad vigente.</v>
      </c>
      <c r="K605" s="11" t="str">
        <f>IFERROR(IF(VLOOKUP(A605,[5]PRIORIZADOS!$A:$K,11,FALSE)="","",VLOOKUP(A605,[5]PRIORIZADOS!$A:$K,11,FALSE)),"")</f>
        <v xml:space="preserve">JUDITH SOLANO RAMÍREZ </v>
      </c>
      <c r="L605" s="11" t="str">
        <f>IFERROR(IF(VLOOKUP(A605,[5]PRIORIZADOS!$A:$L,12,FALSE)="","",VLOOKUP(A605,[5]PRIORIZADOS!$A:$L,12,FALSE)),"")</f>
        <v>ÓSCAR JAVIER CÁRDENAS MUÑOZ</v>
      </c>
      <c r="M605" s="71">
        <f>IFERROR(IF(VLOOKUP(A605,[5]PRIORIZADOS!$A:$M,13,FALSE)="","",VLOOKUP(A605,[5]PRIORIZADOS!$A:$M,13,FALSE)),"")</f>
        <v>45926</v>
      </c>
      <c r="N605" s="71">
        <f>IFERROR(IF(VLOOKUP(A605,[5]PRIORIZADOS!$A:$N,14,FALSE)="","",VLOOKUP(A605,[5]PRIORIZADOS!$A:$N,14,FALSE)),"")</f>
        <v>45881</v>
      </c>
      <c r="O605" s="71">
        <f>IFERROR(IF(VLOOKUP(A605,[5]PRIORIZADOS!$A:$O,15,FALSE)="","",VLOOKUP(A605,[5]PRIORIZADOS!$A:$O,15,FALSE)),"")</f>
        <v>45881</v>
      </c>
      <c r="P605" s="11" t="str">
        <f>IFERROR(IF(VLOOKUP(A605,[5]PRIORIZADOS!$A:$P,16,FALSE)="","",VLOOKUP(A605,[5]PRIORIZADOS!$A:$P,16,FALSE)),"")</f>
        <v>Visitas de evaluación con fines de mejoramiento</v>
      </c>
      <c r="Q605" s="45" t="s">
        <v>125</v>
      </c>
      <c r="R605" s="11" t="str">
        <f>IFERROR(IF(VLOOKUP(A605,[5]PRIORIZADOS!$A:$R,18,FALSE)="","",VLOOKUP(A605,[5]PRIORIZADOS!$A:$R,18,FALSE)),"")</f>
        <v>La IE garantiza 1000 horas en Preescolar, 1200 en Básica Primaria y 1400 en Secundaria y Media</v>
      </c>
      <c r="S605" s="11" t="str">
        <f>IFERROR(IF(VLOOKUP(A605,[5]PRIORIZADOS!$A:$S,19,FALSE)="","",VLOOKUP(A605,[5]PRIORIZADOS!$A:$S,19,FALSE)),"")</f>
        <v>Se insta a la IE a continuar con la debida definición del calendario escolar y de la intensidad horaria en el marco del Decreto 1075 de 2015</v>
      </c>
      <c r="T605" s="70" t="str">
        <f>IFERROR(IF(VLOOKUP(A605,[5]PRIORIZADOS!$A:$T,20,FALSE)="","",VLOOKUP(A605,[5]PRIORIZADOS!$A:$T,20,FALSE)),"")</f>
        <v>No</v>
      </c>
      <c r="U605" s="11" t="str">
        <f>IFERROR(IF(VLOOKUP(A605,[5]PRIORIZADOS!$A:$U,21,FALSE)="","",VLOOKUP(A605,[5]PRIORIZADOS!$A:$U,21,FALSE)),"")</f>
        <v>Se revisara el calendario académico para lavigencia 2026</v>
      </c>
    </row>
    <row r="606" spans="1:21" s="1" customFormat="1" ht="72">
      <c r="A606" s="69">
        <f>IF([5]PRIORIZADOS!A114="","",[5]PRIORIZADOS!A114)</f>
        <v>2819</v>
      </c>
      <c r="B606" s="70">
        <f>IFERROR(IF(VLOOKUP(A606,[5]PRIORIZADOS!$A:$B,2,FALSE)="","",VLOOKUP(A606,[5]PRIORIZADOS!$A:$B,2,FALSE)),"")</f>
        <v>12</v>
      </c>
      <c r="C606" s="11" t="str">
        <f>IFERROR(IF(VLOOKUP(A606,[5]PRIORIZADOS!$A:$C,3,FALSE)="","",VLOOKUP(A606,[5]PRIORIZADOS!$A:$C,3,FALSE)),"")</f>
        <v>CIUDAD BOLÍVAR</v>
      </c>
      <c r="D606" s="11" t="str">
        <f>IFERROR(IF(VLOOKUP(A606,[5]PRIORIZADOS!$A:$D,4,FALSE)="","",VLOOKUP(A606,[5]PRIORIZADOS!$A:$D,4,FALSE)),"")</f>
        <v>PRIVADO</v>
      </c>
      <c r="E606" s="11" t="str">
        <f>IFERROR(IF(VLOOKUP(A606,[5]PRIORIZADOS!$A:$E,5,FALSE)="","",VLOOKUP(A606,[5]PRIORIZADOS!$A:$E,5,FALSE)),"")</f>
        <v>EPBM</v>
      </c>
      <c r="F606" s="11" t="str">
        <f>IFERROR(IF(VLOOKUP(A606,[5]PRIORIZADOS!$A:$F,6,FALSE)="","",VLOOKUP(A606,[5]PRIORIZADOS!$A:$F,6,FALSE)),"")</f>
        <v>COLEGIO_COFRATERNIDAD_DE_SAN_FERNANDO</v>
      </c>
      <c r="G606" s="11" t="str">
        <f>IFERROR(IF(VLOOKUP(A606,[5]PRIORIZADOS!$A:$G,7,FALSE)="","",VLOOKUP(A606,[5]PRIORIZADOS!$A:$G,7,FALSE)),"")</f>
        <v>COLEGIO COFRATERNIDAD DE SAN FERNANDO</v>
      </c>
      <c r="H606" s="11" t="str">
        <f>IFERROR(IF(VLOOKUP(A606,[5]PRIORIZADOS!$A:$H,8,FALSE)="","",VLOOKUP(A606,[5]PRIORIZADOS!$A:$H,8,FALSE)),"")</f>
        <v>Autoevaluación Institucional y Pruebas SABER 11</v>
      </c>
      <c r="I606" s="11" t="str">
        <f>IFERROR(IF(VLOOKUP(A606,[5]PRIORIZADOS!$A:$I,9,FALSE)="","",VLOOKUP(A606,[5]PRIORIZADOS!$A:$I,9,FALSE)),"")</f>
        <v>EVALUACIÓN_CON_FINES_DE_MEJORAMIENTO.</v>
      </c>
      <c r="J606" s="11" t="str">
        <f>IFERROR(IF(VLOOKUP(A606,[5]PRIORIZADOS!$A:$J,10,FALSE)="","",VLOOKUP(A606,[5]PRIORIZADOS!$A:$J,10,FALSE)),"")</f>
        <v>Verificar el funcionamiento del Gobierno Escolar e instancias de participación con base en la información sobre conformación reportada por la institución educativa.</v>
      </c>
      <c r="K606" s="11" t="str">
        <f>IFERROR(IF(VLOOKUP(A606,[5]PRIORIZADOS!$A:$K,11,FALSE)="","",VLOOKUP(A606,[5]PRIORIZADOS!$A:$K,11,FALSE)),"")</f>
        <v xml:space="preserve">JUDITH SOLANO RAMÍREZ </v>
      </c>
      <c r="L606" s="11" t="str">
        <f>IFERROR(IF(VLOOKUP(A606,[5]PRIORIZADOS!$A:$L,12,FALSE)="","",VLOOKUP(A606,[5]PRIORIZADOS!$A:$L,12,FALSE)),"")</f>
        <v>ÓSCAR JAVIER CÁRDENAS MUÑOZ</v>
      </c>
      <c r="M606" s="71">
        <f>IFERROR(IF(VLOOKUP(A606,[5]PRIORIZADOS!$A:$M,13,FALSE)="","",VLOOKUP(A606,[5]PRIORIZADOS!$A:$M,13,FALSE)),"")</f>
        <v>45926</v>
      </c>
      <c r="N606" s="71">
        <f>IFERROR(IF(VLOOKUP(A606,[5]PRIORIZADOS!$A:$N,14,FALSE)="","",VLOOKUP(A606,[5]PRIORIZADOS!$A:$N,14,FALSE)),"")</f>
        <v>45881</v>
      </c>
      <c r="O606" s="71">
        <f>IFERROR(IF(VLOOKUP(A606,[5]PRIORIZADOS!$A:$O,15,FALSE)="","",VLOOKUP(A606,[5]PRIORIZADOS!$A:$O,15,FALSE)),"")</f>
        <v>45881</v>
      </c>
      <c r="P606" s="11" t="str">
        <f>IFERROR(IF(VLOOKUP(A606,[5]PRIORIZADOS!$A:$P,16,FALSE)="","",VLOOKUP(A606,[5]PRIORIZADOS!$A:$P,16,FALSE)),"")</f>
        <v>Visitas de evaluación con fines de mejoramiento</v>
      </c>
      <c r="Q606" s="5" t="s">
        <v>125</v>
      </c>
      <c r="R606" s="11" t="str">
        <f>IFERROR(IF(VLOOKUP(A606,[5]PRIORIZADOS!$A:$R,18,FALSE)="","",VLOOKUP(A606,[5]PRIORIZADOS!$A:$R,18,FALSE)),"")</f>
        <v>Se evidenciaron actas de conformación de los diferentes estamentos para la presente vigencia escolar, así como de su operatividad con actas del Consejo Directivo, Comité de Convivencia, Consejo Académico y Consejo de Padres.</v>
      </c>
      <c r="S606" s="11" t="str">
        <f>IFERROR(IF(VLOOKUP(A606,[5]PRIORIZADOS!$A:$S,19,FALSE)="","",VLOOKUP(A606,[5]PRIORIZADOS!$A:$S,19,FALSE)),"")</f>
        <v>Definir las reuniones periódicas del Consejo de Padres, junto con el debido registro en las actas de reunión.</v>
      </c>
      <c r="T606" s="70" t="str">
        <f>IFERROR(IF(VLOOKUP(A606,[5]PRIORIZADOS!$A:$T,20,FALSE)="","",VLOOKUP(A606,[5]PRIORIZADOS!$A:$T,20,FALSE)),"")</f>
        <v>Si</v>
      </c>
      <c r="U606" s="11" t="str">
        <f>IFERROR(IF(VLOOKUP(A606,[5]PRIORIZADOS!$A:$U,21,FALSE)="","",VLOOKUP(A606,[5]PRIORIZADOS!$A:$U,21,FALSE)),"")</f>
        <v>La IE hará entrega del Plan de Mejoramiento el 15/09/2025.
El ELIV realizará seguimiento en noviembre de 2025 para verificar el cumplimiento de las acciones establecidas en el plan de mejoramiento.</v>
      </c>
    </row>
    <row r="607" spans="1:21" s="1" customFormat="1" ht="72">
      <c r="A607" s="69">
        <f>IF([5]PRIORIZADOS!A115="","",[5]PRIORIZADOS!A115)</f>
        <v>2820</v>
      </c>
      <c r="B607" s="70">
        <f>IFERROR(IF(VLOOKUP(A607,[5]PRIORIZADOS!$A:$B,2,FALSE)="","",VLOOKUP(A607,[5]PRIORIZADOS!$A:$B,2,FALSE)),"")</f>
        <v>12</v>
      </c>
      <c r="C607" s="11" t="str">
        <f>IFERROR(IF(VLOOKUP(A607,[5]PRIORIZADOS!$A:$C,3,FALSE)="","",VLOOKUP(A607,[5]PRIORIZADOS!$A:$C,3,FALSE)),"")</f>
        <v>CIUDAD BOLÍVAR</v>
      </c>
      <c r="D607" s="11" t="str">
        <f>IFERROR(IF(VLOOKUP(A607,[5]PRIORIZADOS!$A:$D,4,FALSE)="","",VLOOKUP(A607,[5]PRIORIZADOS!$A:$D,4,FALSE)),"")</f>
        <v>PRIVADO</v>
      </c>
      <c r="E607" s="11" t="str">
        <f>IFERROR(IF(VLOOKUP(A607,[5]PRIORIZADOS!$A:$E,5,FALSE)="","",VLOOKUP(A607,[5]PRIORIZADOS!$A:$E,5,FALSE)),"")</f>
        <v>EPBM</v>
      </c>
      <c r="F607" s="11" t="str">
        <f>IFERROR(IF(VLOOKUP(A607,[5]PRIORIZADOS!$A:$F,6,FALSE)="","",VLOOKUP(A607,[5]PRIORIZADOS!$A:$F,6,FALSE)),"")</f>
        <v>COLEGIO_COFRATERNIDAD_DE_SAN_FERNANDO</v>
      </c>
      <c r="G607" s="11" t="str">
        <f>IFERROR(IF(VLOOKUP(A607,[5]PRIORIZADOS!$A:$G,7,FALSE)="","",VLOOKUP(A607,[5]PRIORIZADOS!$A:$G,7,FALSE)),"")</f>
        <v>COLEGIO COFRATERNIDAD DE SAN FERNANDO</v>
      </c>
      <c r="H607" s="11" t="str">
        <f>IFERROR(IF(VLOOKUP(A607,[5]PRIORIZADOS!$A:$H,8,FALSE)="","",VLOOKUP(A607,[5]PRIORIZADOS!$A:$H,8,FALSE)),"")</f>
        <v>Autoevaluación Institucional y Pruebas SABER 11</v>
      </c>
      <c r="I607" s="11" t="str">
        <f>IFERROR(IF(VLOOKUP(A607,[5]PRIORIZADOS!$A:$I,9,FALSE)="","",VLOOKUP(A607,[5]PRIORIZADOS!$A:$I,9,FALSE)),"")</f>
        <v>EVALUACIÓN_CON_FINES_DE_MEJORAMIENTO.</v>
      </c>
      <c r="J607" s="11" t="str">
        <f>IFERROR(IF(VLOOKUP(A607,[5]PRIORIZADOS!$A:$J,10,FALSE)="","",VLOOKUP(A607,[5]PRIORIZADOS!$A:$J,10,FALSE)),"")</f>
        <v>Verificar las condiciones en cuanto a: la estructura administrativa, condiciones de la planta física y medios educativos adecuados.</v>
      </c>
      <c r="K607" s="11" t="str">
        <f>IFERROR(IF(VLOOKUP(A607,[5]PRIORIZADOS!$A:$K,11,FALSE)="","",VLOOKUP(A607,[5]PRIORIZADOS!$A:$K,11,FALSE)),"")</f>
        <v xml:space="preserve">JUDITH SOLANO RAMÍREZ </v>
      </c>
      <c r="L607" s="11" t="str">
        <f>IFERROR(IF(VLOOKUP(A607,[5]PRIORIZADOS!$A:$L,12,FALSE)="","",VLOOKUP(A607,[5]PRIORIZADOS!$A:$L,12,FALSE)),"")</f>
        <v>ÓSCAR JAVIER CÁRDENAS MUÑOZ</v>
      </c>
      <c r="M607" s="71">
        <f>IFERROR(IF(VLOOKUP(A607,[5]PRIORIZADOS!$A:$M,13,FALSE)="","",VLOOKUP(A607,[5]PRIORIZADOS!$A:$M,13,FALSE)),"")</f>
        <v>45926</v>
      </c>
      <c r="N607" s="71">
        <f>IFERROR(IF(VLOOKUP(A607,[5]PRIORIZADOS!$A:$N,14,FALSE)="","",VLOOKUP(A607,[5]PRIORIZADOS!$A:$N,14,FALSE)),"")</f>
        <v>45881</v>
      </c>
      <c r="O607" s="71">
        <f>IFERROR(IF(VLOOKUP(A607,[5]PRIORIZADOS!$A:$O,15,FALSE)="","",VLOOKUP(A607,[5]PRIORIZADOS!$A:$O,15,FALSE)),"")</f>
        <v>45881</v>
      </c>
      <c r="P607" s="11" t="str">
        <f>IFERROR(IF(VLOOKUP(A607,[5]PRIORIZADOS!$A:$P,16,FALSE)="","",VLOOKUP(A607,[5]PRIORIZADOS!$A:$P,16,FALSE)),"")</f>
        <v>Visitas de evaluación con fines de mejoramiento</v>
      </c>
      <c r="Q607" s="5" t="s">
        <v>125</v>
      </c>
      <c r="R607" s="11" t="str">
        <f>IFERROR(IF(VLOOKUP(A607,[5]PRIORIZADOS!$A:$R,18,FALSE)="","",VLOOKUP(A607,[5]PRIORIZADOS!$A:$R,18,FALSE)),"")</f>
        <v xml:space="preserve">Cuenta con una buena infraestructura, con varios salones desocupados que son utilizados para actividades complementarias. Sin embargo, no existen adecuaciones para la movilidad de personas en condición de discapacidad. </v>
      </c>
      <c r="S607" s="11" t="str">
        <f>IFERROR(IF(VLOOKUP(A607,[5]PRIORIZADOS!$A:$S,19,FALSE)="","",VLOOKUP(A607,[5]PRIORIZADOS!$A:$S,19,FALSE)),"")</f>
        <v xml:space="preserve">Generar un plan de atención para la adecuación física de las instalaciones para las personas en condiciones de discapacidad. </v>
      </c>
      <c r="T607" s="70" t="str">
        <f>IFERROR(IF(VLOOKUP(A607,[5]PRIORIZADOS!$A:$T,20,FALSE)="","",VLOOKUP(A607,[5]PRIORIZADOS!$A:$T,20,FALSE)),"")</f>
        <v>Si</v>
      </c>
      <c r="U607" s="11" t="str">
        <f>IFERROR(IF(VLOOKUP(A607,[5]PRIORIZADOS!$A:$U,21,FALSE)="","",VLOOKUP(A607,[5]PRIORIZADOS!$A:$U,21,FALSE)),"")</f>
        <v>La IE hará entrega del Plan de Mejoramiento el 15/09/2025.
El ELIV realizará seguimiento en noviembre de 2025 para verificar el cumplimiento de las acciones establecidas en el plan de mejoramiento.</v>
      </c>
    </row>
    <row r="608" spans="1:21" s="1" customFormat="1" ht="84">
      <c r="A608" s="69">
        <f>IF([5]PRIORIZADOS!A116="","",[5]PRIORIZADOS!A116)</f>
        <v>2821</v>
      </c>
      <c r="B608" s="70">
        <f>IFERROR(IF(VLOOKUP(A608,[5]PRIORIZADOS!$A:$B,2,FALSE)="","",VLOOKUP(A608,[5]PRIORIZADOS!$A:$B,2,FALSE)),"")</f>
        <v>13</v>
      </c>
      <c r="C608" s="11" t="str">
        <f>IFERROR(IF(VLOOKUP(A608,[5]PRIORIZADOS!$A:$C,3,FALSE)="","",VLOOKUP(A608,[5]PRIORIZADOS!$A:$C,3,FALSE)),"")</f>
        <v>CIUDAD BOLÍVAR</v>
      </c>
      <c r="D608" s="11" t="str">
        <f>IFERROR(IF(VLOOKUP(A608,[5]PRIORIZADOS!$A:$D,4,FALSE)="","",VLOOKUP(A608,[5]PRIORIZADOS!$A:$D,4,FALSE)),"")</f>
        <v>PRIVADO</v>
      </c>
      <c r="E608" s="11" t="str">
        <f>IFERROR(IF(VLOOKUP(A608,[5]PRIORIZADOS!$A:$E,5,FALSE)="","",VLOOKUP(A608,[5]PRIORIZADOS!$A:$E,5,FALSE)),"")</f>
        <v>EPBM</v>
      </c>
      <c r="F608" s="11" t="str">
        <f>IFERROR(IF(VLOOKUP(A608,[5]PRIORIZADOS!$A:$F,6,FALSE)="","",VLOOKUP(A608,[5]PRIORIZADOS!$A:$F,6,FALSE)),"")</f>
        <v>COLEGIO_INTERAMERICANO</v>
      </c>
      <c r="G608" s="11" t="str">
        <f>IFERROR(IF(VLOOKUP(A608,[5]PRIORIZADOS!$A:$G,7,FALSE)="","",VLOOKUP(A608,[5]PRIORIZADOS!$A:$G,7,FALSE)),"")</f>
        <v>COLEGIO INTERAMERICANO</v>
      </c>
      <c r="H608" s="11" t="str">
        <f>IFERROR(IF(VLOOKUP(A608,[5]PRIORIZADOS!$A:$H,8,FALSE)="","",VLOOKUP(A608,[5]PRIORIZADOS!$A:$H,8,FALSE)),"")</f>
        <v>Autoevaluación Institucional y Pruebas SABER 11</v>
      </c>
      <c r="I608" s="11" t="str">
        <f>IFERROR(IF(VLOOKUP(A608,[5]PRIORIZADOS!$A:$I,9,FALSE)="","",VLOOKUP(A608,[5]PRIORIZADOS!$A:$I,9,FALSE)),"")</f>
        <v>SEGUIMIENTO_Y_SUPERVISIÓN.</v>
      </c>
      <c r="J608" s="11" t="str">
        <f>IFERROR(IF(VLOOKUP(A608,[5]PRIORIZADOS!$A:$J,10,FALSE)="","",VLOOKUP(A608,[5]PRIORIZADOS!$A:$J,10,FALSE)),"")</f>
        <v>Realizar visitas para verificar la información registrada sobre la autoevaluación institucional en el aplicativo EVI, a los establecimientos de educación formal no oficial.</v>
      </c>
      <c r="K608" s="11" t="str">
        <f>IFERROR(IF(VLOOKUP(A608,[5]PRIORIZADOS!$A:$K,11,FALSE)="","",VLOOKUP(A608,[5]PRIORIZADOS!$A:$K,11,FALSE)),"")</f>
        <v xml:space="preserve">MARIA NANCY DUCUARA </v>
      </c>
      <c r="L608" s="11" t="str">
        <f>IFERROR(IF(VLOOKUP(A608,[5]PRIORIZADOS!$A:$L,12,FALSE)="","",VLOOKUP(A608,[5]PRIORIZADOS!$A:$L,12,FALSE)),"")</f>
        <v xml:space="preserve">JUDITH SOLANO RAMÍREZ </v>
      </c>
      <c r="M608" s="71">
        <f>IFERROR(IF(VLOOKUP(A608,[5]PRIORIZADOS!$A:$M,13,FALSE)="","",VLOOKUP(A608,[5]PRIORIZADOS!$A:$M,13,FALSE)),"")</f>
        <v>45929</v>
      </c>
      <c r="N608" s="71">
        <f>IFERROR(IF(VLOOKUP(A608,[5]PRIORIZADOS!$A:$N,14,FALSE)="","",VLOOKUP(A608,[5]PRIORIZADOS!$A:$N,14,FALSE)),"")</f>
        <v>45917</v>
      </c>
      <c r="O608" s="71">
        <f>IFERROR(IF(VLOOKUP(A608,[5]PRIORIZADOS!$A:$O,15,FALSE)="","",VLOOKUP(A608,[5]PRIORIZADOS!$A:$O,15,FALSE)),"")</f>
        <v>45917</v>
      </c>
      <c r="P608" s="11" t="str">
        <f>IFERROR(IF(VLOOKUP(A608,[5]PRIORIZADOS!$A:$P,16,FALSE)="","",VLOOKUP(A608,[5]PRIORIZADOS!$A:$P,16,FALSE)),"")</f>
        <v>Visitas de evaluación con fines de mejoramiento</v>
      </c>
      <c r="Q608" s="2" t="s">
        <v>126</v>
      </c>
      <c r="R608" s="11" t="str">
        <f>IFERROR(IF(VLOOKUP(A608,[5]PRIORIZADOS!$A:$R,18,FALSE)="","",VLOOKUP(A608,[5]PRIORIZADOS!$A:$R,18,FALSE)),"")</f>
        <v>Se identificó inconsistencias en la legalización de los predios donde opera la institución educativa. Se constató que varios de los lotes utilizados por la institución no se encuentran incluidos en la Resolución de Licencia de Funcionamiento.</v>
      </c>
      <c r="S608" s="11" t="str">
        <f>IFERROR(IF(VLOOKUP(A608,[5]PRIORIZADOS!$A:$S,19,FALSE)="","",VLOOKUP(A608,[5]PRIORIZADOS!$A:$S,19,FALSE)),"")</f>
        <v xml:space="preserve">Solicitar la modificación de la licencia de funcionamiento por apertura de nuevas sedes, en la DLE para incluir los cinco (5) predios que no están  aprobados para la prestación del servicio educativo. </v>
      </c>
      <c r="T608" s="70" t="str">
        <f>IFERROR(IF(VLOOKUP(A608,[5]PRIORIZADOS!$A:$T,20,FALSE)="","",VLOOKUP(A608,[5]PRIORIZADOS!$A:$T,20,FALSE)),"")</f>
        <v>Si</v>
      </c>
      <c r="U608" s="11" t="str">
        <f>IFERROR(IF(VLOOKUP(A608,[5]PRIORIZADOS!$A:$U,21,FALSE)="","",VLOOKUP(A608,[5]PRIORIZADOS!$A:$U,21,FALSE)),"")</f>
        <v>Revisión documental en febrero de 2026 para verificar el cumplimiento de las acciones establecidas en el plan de mejoramiento.</v>
      </c>
    </row>
    <row r="609" spans="1:21" s="1" customFormat="1" ht="96">
      <c r="A609" s="69">
        <f>IF([5]PRIORIZADOS!A117="","",[5]PRIORIZADOS!A117)</f>
        <v>2822</v>
      </c>
      <c r="B609" s="70">
        <f>IFERROR(IF(VLOOKUP(A609,[5]PRIORIZADOS!$A:$B,2,FALSE)="","",VLOOKUP(A609,[5]PRIORIZADOS!$A:$B,2,FALSE)),"")</f>
        <v>13</v>
      </c>
      <c r="C609" s="11" t="str">
        <f>IFERROR(IF(VLOOKUP(A609,[5]PRIORIZADOS!$A:$C,3,FALSE)="","",VLOOKUP(A609,[5]PRIORIZADOS!$A:$C,3,FALSE)),"")</f>
        <v>CIUDAD BOLÍVAR</v>
      </c>
      <c r="D609" s="11" t="str">
        <f>IFERROR(IF(VLOOKUP(A609,[5]PRIORIZADOS!$A:$D,4,FALSE)="","",VLOOKUP(A609,[5]PRIORIZADOS!$A:$D,4,FALSE)),"")</f>
        <v>PRIVADO</v>
      </c>
      <c r="E609" s="11" t="str">
        <f>IFERROR(IF(VLOOKUP(A609,[5]PRIORIZADOS!$A:$E,5,FALSE)="","",VLOOKUP(A609,[5]PRIORIZADOS!$A:$E,5,FALSE)),"")</f>
        <v>EPBM</v>
      </c>
      <c r="F609" s="11" t="str">
        <f>IFERROR(IF(VLOOKUP(A609,[5]PRIORIZADOS!$A:$F,6,FALSE)="","",VLOOKUP(A609,[5]PRIORIZADOS!$A:$F,6,FALSE)),"")</f>
        <v>COLEGIO_INTERAMERICANO</v>
      </c>
      <c r="G609" s="11" t="str">
        <f>IFERROR(IF(VLOOKUP(A609,[5]PRIORIZADOS!$A:$G,7,FALSE)="","",VLOOKUP(A609,[5]PRIORIZADOS!$A:$G,7,FALSE)),"")</f>
        <v>COLEGIO INTERAMERICANO</v>
      </c>
      <c r="H609" s="11" t="str">
        <f>IFERROR(IF(VLOOKUP(A609,[5]PRIORIZADOS!$A:$H,8,FALSE)="","",VLOOKUP(A609,[5]PRIORIZADOS!$A:$H,8,FALSE)),"")</f>
        <v>Autoevaluación Institucional y Pruebas SABER 11</v>
      </c>
      <c r="I609" s="11" t="str">
        <f>IFERROR(IF(VLOOKUP(A609,[5]PRIORIZADOS!$A:$I,9,FALSE)="","",VLOOKUP(A609,[5]PRIORIZADOS!$A:$I,9,FALSE)),"")</f>
        <v>SEGUIMIENTO_Y_SUPERVISIÓN.</v>
      </c>
      <c r="J609" s="11" t="str">
        <f>IFERROR(IF(VLOOKUP(A609,[5]PRIORIZADOS!$A:$J,10,FALSE)="","",VLOOKUP(A609,[5]PRIORIZADOS!$A:$J,10,FALSE)),"")</f>
        <v>Proponer estrategias en la formulación, verificar su elaboración y realizar seguimiento semestral al desarrollo de  las acciones establecidas en los planes de mejoramiento por pruebas SABER 11 de los establecimientos de educación formal.</v>
      </c>
      <c r="K609" s="11" t="str">
        <f>IFERROR(IF(VLOOKUP(A609,[5]PRIORIZADOS!$A:$K,11,FALSE)="","",VLOOKUP(A609,[5]PRIORIZADOS!$A:$K,11,FALSE)),"")</f>
        <v xml:space="preserve">MARIA NANCY DUCUARA </v>
      </c>
      <c r="L609" s="11" t="str">
        <f>IFERROR(IF(VLOOKUP(A609,[5]PRIORIZADOS!$A:$L,12,FALSE)="","",VLOOKUP(A609,[5]PRIORIZADOS!$A:$L,12,FALSE)),"")</f>
        <v xml:space="preserve">JUDITH SOLANO RAMÍREZ </v>
      </c>
      <c r="M609" s="71">
        <f>IFERROR(IF(VLOOKUP(A609,[5]PRIORIZADOS!$A:$M,13,FALSE)="","",VLOOKUP(A609,[5]PRIORIZADOS!$A:$M,13,FALSE)),"")</f>
        <v>45929</v>
      </c>
      <c r="N609" s="71">
        <f>IFERROR(IF(VLOOKUP(A609,[5]PRIORIZADOS!$A:$N,14,FALSE)="","",VLOOKUP(A609,[5]PRIORIZADOS!$A:$N,14,FALSE)),"")</f>
        <v>45917</v>
      </c>
      <c r="O609" s="71">
        <f>IFERROR(IF(VLOOKUP(A609,[5]PRIORIZADOS!$A:$O,15,FALSE)="","",VLOOKUP(A609,[5]PRIORIZADOS!$A:$O,15,FALSE)),"")</f>
        <v>45917</v>
      </c>
      <c r="P609" s="11" t="str">
        <f>IFERROR(IF(VLOOKUP(A609,[5]PRIORIZADOS!$A:$P,16,FALSE)="","",VLOOKUP(A609,[5]PRIORIZADOS!$A:$P,16,FALSE)),"")</f>
        <v>Visitas de evaluación con fines de mejoramiento</v>
      </c>
      <c r="Q609" s="2" t="s">
        <v>126</v>
      </c>
      <c r="R609" s="11" t="str">
        <f>IFERROR(IF(VLOOKUP(A609,[5]PRIORIZADOS!$A:$R,18,FALSE)="","",VLOOKUP(A609,[5]PRIORIZADOS!$A:$R,18,FALSE)),"")</f>
        <v xml:space="preserve">Se evidencia análisis cuantitativo y cualitativo de los resultados de las pruebas SABER. Evalúan el desempeño en cada una de las áreas elaborando un documento de mejora con estrategias de refuerzo. Se realiza ajuste en el Plan de Estudios y Malla Curricular para mejorar el desempeño en las pruebas. </v>
      </c>
      <c r="S609" s="11" t="str">
        <f>IFERROR(IF(VLOOKUP(A609,[5]PRIORIZADOS!$A:$S,19,FALSE)="","",VLOOKUP(A609,[5]PRIORIZADOS!$A:$S,19,FALSE)),"")</f>
        <v>Continuar con la aplicación de acciones para la mejora de los resultados en las pruebas SABER.</v>
      </c>
      <c r="T609" s="70" t="str">
        <f>IFERROR(IF(VLOOKUP(A609,[5]PRIORIZADOS!$A:$T,20,FALSE)="","",VLOOKUP(A609,[5]PRIORIZADOS!$A:$T,20,FALSE)),"")</f>
        <v>No</v>
      </c>
      <c r="U609" s="11" t="str">
        <f>IFERROR(IF(VLOOKUP(A609,[5]PRIORIZADOS!$A:$U,21,FALSE)="","",VLOOKUP(A609,[5]PRIORIZADOS!$A:$U,21,FALSE)),"")</f>
        <v>Verificar los resultados de las pruebas Saber 11 de la presente vigencia respecto a la mejora en su clasificación</v>
      </c>
    </row>
    <row r="610" spans="1:21" s="1" customFormat="1" ht="118.5">
      <c r="A610" s="69">
        <f>IF([5]PRIORIZADOS!A118="","",[5]PRIORIZADOS!A118)</f>
        <v>2823</v>
      </c>
      <c r="B610" s="70">
        <f>IFERROR(IF(VLOOKUP(A610,[5]PRIORIZADOS!$A:$B,2,FALSE)="","",VLOOKUP(A610,[5]PRIORIZADOS!$A:$B,2,FALSE)),"")</f>
        <v>13</v>
      </c>
      <c r="C610" s="11" t="str">
        <f>IFERROR(IF(VLOOKUP(A610,[5]PRIORIZADOS!$A:$C,3,FALSE)="","",VLOOKUP(A610,[5]PRIORIZADOS!$A:$C,3,FALSE)),"")</f>
        <v>CIUDAD BOLÍVAR</v>
      </c>
      <c r="D610" s="11" t="str">
        <f>IFERROR(IF(VLOOKUP(A610,[5]PRIORIZADOS!$A:$D,4,FALSE)="","",VLOOKUP(A610,[5]PRIORIZADOS!$A:$D,4,FALSE)),"")</f>
        <v>PRIVADO</v>
      </c>
      <c r="E610" s="11" t="str">
        <f>IFERROR(IF(VLOOKUP(A610,[5]PRIORIZADOS!$A:$E,5,FALSE)="","",VLOOKUP(A610,[5]PRIORIZADOS!$A:$E,5,FALSE)),"")</f>
        <v>EPBM</v>
      </c>
      <c r="F610" s="11" t="str">
        <f>IFERROR(IF(VLOOKUP(A610,[5]PRIORIZADOS!$A:$F,6,FALSE)="","",VLOOKUP(A610,[5]PRIORIZADOS!$A:$F,6,FALSE)),"")</f>
        <v>COLEGIO_INTERAMERICANO</v>
      </c>
      <c r="G610" s="11" t="str">
        <f>IFERROR(IF(VLOOKUP(A610,[5]PRIORIZADOS!$A:$G,7,FALSE)="","",VLOOKUP(A610,[5]PRIORIZADOS!$A:$G,7,FALSE)),"")</f>
        <v>COLEGIO INTERAMERICANO</v>
      </c>
      <c r="H610" s="11" t="str">
        <f>IFERROR(IF(VLOOKUP(A610,[5]PRIORIZADOS!$A:$H,8,FALSE)="","",VLOOKUP(A610,[5]PRIORIZADOS!$A:$H,8,FALSE)),"")</f>
        <v>Autoevaluación Institucional y Pruebas SABER 11</v>
      </c>
      <c r="I610" s="11" t="str">
        <f>IFERROR(IF(VLOOKUP(A610,[5]PRIORIZADOS!$A:$I,9,FALSE)="","",VLOOKUP(A610,[5]PRIORIZADOS!$A:$I,9,FALSE)),"")</f>
        <v>SEGUIMIENTO_Y_SUPERVISIÓN.</v>
      </c>
      <c r="J610" s="11" t="str">
        <f>IFERROR(IF(VLOOKUP(A610,[5]PRIORIZADOS!$A:$J,10,FALSE)="","",VLOOKUP(A610,[5]PRIORIZADOS!$A:$J,10,FALSE)),"")</f>
        <v xml:space="preserve">Verificar la implementación por parte de los colegios, de acciones realizadas para la prevención y atención de las situaciones de convivencia en el entorno escolar, según lo establecido en la Directiva 01 de 2022 del MEN. </v>
      </c>
      <c r="K610" s="11" t="str">
        <f>IFERROR(IF(VLOOKUP(A610,[5]PRIORIZADOS!$A:$K,11,FALSE)="","",VLOOKUP(A610,[5]PRIORIZADOS!$A:$K,11,FALSE)),"")</f>
        <v xml:space="preserve">MARIA NANCY DUCUARA </v>
      </c>
      <c r="L610" s="11" t="str">
        <f>IFERROR(IF(VLOOKUP(A610,[5]PRIORIZADOS!$A:$L,12,FALSE)="","",VLOOKUP(A610,[5]PRIORIZADOS!$A:$L,12,FALSE)),"")</f>
        <v xml:space="preserve">JUDITH SOLANO RAMÍREZ </v>
      </c>
      <c r="M610" s="71">
        <f>IFERROR(IF(VLOOKUP(A610,[5]PRIORIZADOS!$A:$M,13,FALSE)="","",VLOOKUP(A610,[5]PRIORIZADOS!$A:$M,13,FALSE)),"")</f>
        <v>45929</v>
      </c>
      <c r="N610" s="71">
        <f>IFERROR(IF(VLOOKUP(A610,[5]PRIORIZADOS!$A:$N,14,FALSE)="","",VLOOKUP(A610,[5]PRIORIZADOS!$A:$N,14,FALSE)),"")</f>
        <v>45917</v>
      </c>
      <c r="O610" s="71">
        <f>IFERROR(IF(VLOOKUP(A610,[5]PRIORIZADOS!$A:$O,15,FALSE)="","",VLOOKUP(A610,[5]PRIORIZADOS!$A:$O,15,FALSE)),"")</f>
        <v>45917</v>
      </c>
      <c r="P610" s="11" t="str">
        <f>IFERROR(IF(VLOOKUP(A610,[5]PRIORIZADOS!$A:$P,16,FALSE)="","",VLOOKUP(A610,[5]PRIORIZADOS!$A:$P,16,FALSE)),"")</f>
        <v>Visitas de evaluación con fines de mejoramiento</v>
      </c>
      <c r="Q610" s="2" t="s">
        <v>126</v>
      </c>
      <c r="R610" s="11" t="str">
        <f>IFERROR(IF(VLOOKUP(A610,[5]PRIORIZADOS!$A:$R,18,FALSE)="","",VLOOKUP(A610,[5]PRIORIZADOS!$A:$R,18,FALSE)),"")</f>
        <v>La Institución Educativa no activa de manera adecuada los protocolos de atención, se evidencia desconocimiento de las acciones que se deben realizar en cada actividad. Al momento de la visita se evidencias tres (3) casos de activación de ruta con acompañamiento de la OCE. Se aclaran conceptos y alcance de las actividades que se deben realizar de acuerdo al protocolo que se debe activar.</v>
      </c>
      <c r="S610" s="11" t="str">
        <f>IFERROR(IF(VLOOKUP(A610,[5]PRIORIZADOS!$A:$S,19,FALSE)="","",VLOOKUP(A610,[5]PRIORIZADOS!$A:$S,19,FALSE)),"")</f>
        <v>1.Establecer un proceso de capacitación en Protocolos de atención para la convivencia escolar, en conjunto con la OCE, con un cronograma de ejecución para el seguimiento.
2.Organizar el archivo de activación de rutas de atención, con los documentos soportes de las actuaciones realizadas y los seguimientos de los casos para facilitar su consulta.</v>
      </c>
      <c r="T610" s="70" t="str">
        <f>IFERROR(IF(VLOOKUP(A610,[5]PRIORIZADOS!$A:$T,20,FALSE)="","",VLOOKUP(A610,[5]PRIORIZADOS!$A:$T,20,FALSE)),"")</f>
        <v>Si</v>
      </c>
      <c r="U610" s="11" t="str">
        <f>IFERROR(IF(VLOOKUP(A610,[5]PRIORIZADOS!$A:$U,21,FALSE)="","",VLOOKUP(A610,[5]PRIORIZADOS!$A:$U,21,FALSE)),"")</f>
        <v>Revisión documental en febrero de 2026 para verificar el cumplimiento de las acciones establecidas en el plan de mejoramiento.</v>
      </c>
    </row>
    <row r="611" spans="1:21" s="1" customFormat="1" ht="166.5">
      <c r="A611" s="69">
        <f>IF([5]PRIORIZADOS!A119="","",[5]PRIORIZADOS!A119)</f>
        <v>2824</v>
      </c>
      <c r="B611" s="70">
        <f>IFERROR(IF(VLOOKUP(A611,[5]PRIORIZADOS!$A:$B,2,FALSE)="","",VLOOKUP(A611,[5]PRIORIZADOS!$A:$B,2,FALSE)),"")</f>
        <v>13</v>
      </c>
      <c r="C611" s="11" t="str">
        <f>IFERROR(IF(VLOOKUP(A611,[5]PRIORIZADOS!$A:$C,3,FALSE)="","",VLOOKUP(A611,[5]PRIORIZADOS!$A:$C,3,FALSE)),"")</f>
        <v>CIUDAD BOLÍVAR</v>
      </c>
      <c r="D611" s="11" t="str">
        <f>IFERROR(IF(VLOOKUP(A611,[5]PRIORIZADOS!$A:$D,4,FALSE)="","",VLOOKUP(A611,[5]PRIORIZADOS!$A:$D,4,FALSE)),"")</f>
        <v>PRIVADO</v>
      </c>
      <c r="E611" s="11" t="str">
        <f>IFERROR(IF(VLOOKUP(A611,[5]PRIORIZADOS!$A:$E,5,FALSE)="","",VLOOKUP(A611,[5]PRIORIZADOS!$A:$E,5,FALSE)),"")</f>
        <v>EPBM</v>
      </c>
      <c r="F611" s="11" t="str">
        <f>IFERROR(IF(VLOOKUP(A611,[5]PRIORIZADOS!$A:$F,6,FALSE)="","",VLOOKUP(A611,[5]PRIORIZADOS!$A:$F,6,FALSE)),"")</f>
        <v>COLEGIO_INTERAMERICANO</v>
      </c>
      <c r="G611" s="11" t="str">
        <f>IFERROR(IF(VLOOKUP(A611,[5]PRIORIZADOS!$A:$G,7,FALSE)="","",VLOOKUP(A611,[5]PRIORIZADOS!$A:$G,7,FALSE)),"")</f>
        <v>COLEGIO INTERAMERICANO</v>
      </c>
      <c r="H611" s="11" t="str">
        <f>IFERROR(IF(VLOOKUP(A611,[5]PRIORIZADOS!$A:$H,8,FALSE)="","",VLOOKUP(A611,[5]PRIORIZADOS!$A:$H,8,FALSE)),"")</f>
        <v>Autoevaluación Institucional y Pruebas SABER 11</v>
      </c>
      <c r="I611" s="11" t="str">
        <f>IFERROR(IF(VLOOKUP(A611,[5]PRIORIZADOS!$A:$I,9,FALSE)="","",VLOOKUP(A611,[5]PRIORIZADOS!$A:$I,9,FALSE)),"")</f>
        <v>SEGUIMIENTO_Y_SUPERVISIÓN.</v>
      </c>
      <c r="J611" s="11" t="str">
        <f>IFERROR(IF(VLOOKUP(A611,[5]PRIORIZADOS!$A:$J,10,FALSE)="","",VLOOKUP(A611,[5]PRIORIZADOS!$A:$J,10,FALSE)),"")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11" s="11" t="str">
        <f>IFERROR(IF(VLOOKUP(A611,[5]PRIORIZADOS!$A:$K,11,FALSE)="","",VLOOKUP(A611,[5]PRIORIZADOS!$A:$K,11,FALSE)),"")</f>
        <v xml:space="preserve">MARIA NANCY DUCUARA </v>
      </c>
      <c r="L611" s="11" t="str">
        <f>IFERROR(IF(VLOOKUP(A611,[5]PRIORIZADOS!$A:$L,12,FALSE)="","",VLOOKUP(A611,[5]PRIORIZADOS!$A:$L,12,FALSE)),"")</f>
        <v xml:space="preserve">JUDITH SOLANO RAMÍREZ </v>
      </c>
      <c r="M611" s="71">
        <f>IFERROR(IF(VLOOKUP(A611,[5]PRIORIZADOS!$A:$M,13,FALSE)="","",VLOOKUP(A611,[5]PRIORIZADOS!$A:$M,13,FALSE)),"")</f>
        <v>45929</v>
      </c>
      <c r="N611" s="71">
        <f>IFERROR(IF(VLOOKUP(A611,[5]PRIORIZADOS!$A:$N,14,FALSE)="","",VLOOKUP(A611,[5]PRIORIZADOS!$A:$N,14,FALSE)),"")</f>
        <v>45917</v>
      </c>
      <c r="O611" s="71">
        <f>IFERROR(IF(VLOOKUP(A611,[5]PRIORIZADOS!$A:$O,15,FALSE)="","",VLOOKUP(A611,[5]PRIORIZADOS!$A:$O,15,FALSE)),"")</f>
        <v>45917</v>
      </c>
      <c r="P611" s="11" t="str">
        <f>IFERROR(IF(VLOOKUP(A611,[5]PRIORIZADOS!$A:$P,16,FALSE)="","",VLOOKUP(A611,[5]PRIORIZADOS!$A:$P,16,FALSE)),"")</f>
        <v>Visitas de evaluación con fines de mejoramiento</v>
      </c>
      <c r="Q611" s="2" t="s">
        <v>126</v>
      </c>
      <c r="R611" s="11" t="str">
        <f>IFERROR(IF(VLOOKUP(A611,[5]PRIORIZADOS!$A:$R,18,FALSE)="","",VLOOKUP(A611,[5]PRIORIZADOS!$A:$R,18,FALSE)),"")</f>
        <v>Tienen caracterizados tres (3) NNA con discapacidad, sin embargo los PIAR no están adecuados al tio de discapacidad que presentan los estudiantes. Falta caracterizar muy bien las condiciones de los ajustes realizados.
Falta el diligenciamiento de uno de los PIAR.
En el SIMAT están reportados cinco (5) NNA con discapacidad, pero no existe igual número de PIAR.
No se evidencia seguimiento a los progresos de los estudiantes de acuerdo a los ajustes realizados.</v>
      </c>
      <c r="S611" s="11" t="str">
        <f>IFERROR(IF(VLOOKUP(A611,[5]PRIORIZADOS!$A:$S,19,FALSE)="","",VLOOKUP(A611,[5]PRIORIZADOS!$A:$S,19,FALSE)),"")</f>
        <v>1.Diligenciar PIAR a todos los estudiantes con diagnóstico de discapacidad.
2.Redactar ajustes concretos y medibles en los PIAR para el seguimiento de los avances. 
3. Realizar seguimiento permanente a los PIAR para su respectivo ajuste de acuerdo al análisis de sus resultados.</v>
      </c>
      <c r="T611" s="70" t="str">
        <f>IFERROR(IF(VLOOKUP(A611,[5]PRIORIZADOS!$A:$T,20,FALSE)="","",VLOOKUP(A611,[5]PRIORIZADOS!$A:$T,20,FALSE)),"")</f>
        <v>Si</v>
      </c>
      <c r="U611" s="11" t="str">
        <f>IFERROR(IF(VLOOKUP(A611,[5]PRIORIZADOS!$A:$U,21,FALSE)="","",VLOOKUP(A611,[5]PRIORIZADOS!$A:$U,21,FALSE)),"")</f>
        <v>Revisión documental en febrero de 2026 para verificar el cumplimiento de las acciones establecidas en el plan de mejoramiento.</v>
      </c>
    </row>
    <row r="612" spans="1:21" s="1" customFormat="1" ht="118.5">
      <c r="A612" s="69">
        <f>IF([5]PRIORIZADOS!A120="","",[5]PRIORIZADOS!A120)</f>
        <v>2825</v>
      </c>
      <c r="B612" s="70">
        <f>IFERROR(IF(VLOOKUP(A612,[5]PRIORIZADOS!$A:$B,2,FALSE)="","",VLOOKUP(A612,[5]PRIORIZADOS!$A:$B,2,FALSE)),"")</f>
        <v>13</v>
      </c>
      <c r="C612" s="11" t="str">
        <f>IFERROR(IF(VLOOKUP(A612,[5]PRIORIZADOS!$A:$C,3,FALSE)="","",VLOOKUP(A612,[5]PRIORIZADOS!$A:$C,3,FALSE)),"")</f>
        <v>CIUDAD BOLÍVAR</v>
      </c>
      <c r="D612" s="11" t="str">
        <f>IFERROR(IF(VLOOKUP(A612,[5]PRIORIZADOS!$A:$D,4,FALSE)="","",VLOOKUP(A612,[5]PRIORIZADOS!$A:$D,4,FALSE)),"")</f>
        <v>PRIVADO</v>
      </c>
      <c r="E612" s="11" t="str">
        <f>IFERROR(IF(VLOOKUP(A612,[5]PRIORIZADOS!$A:$E,5,FALSE)="","",VLOOKUP(A612,[5]PRIORIZADOS!$A:$E,5,FALSE)),"")</f>
        <v>EPBM</v>
      </c>
      <c r="F612" s="11" t="str">
        <f>IFERROR(IF(VLOOKUP(A612,[5]PRIORIZADOS!$A:$F,6,FALSE)="","",VLOOKUP(A612,[5]PRIORIZADOS!$A:$F,6,FALSE)),"")</f>
        <v>COLEGIO_INTERAMERICANO</v>
      </c>
      <c r="G612" s="11" t="str">
        <f>IFERROR(IF(VLOOKUP(A612,[5]PRIORIZADOS!$A:$G,7,FALSE)="","",VLOOKUP(A612,[5]PRIORIZADOS!$A:$G,7,FALSE)),"")</f>
        <v>COLEGIO INTERAMERICANO</v>
      </c>
      <c r="H612" s="11" t="str">
        <f>IFERROR(IF(VLOOKUP(A612,[5]PRIORIZADOS!$A:$H,8,FALSE)="","",VLOOKUP(A612,[5]PRIORIZADOS!$A:$H,8,FALSE)),"")</f>
        <v>Autoevaluación Institucional y Pruebas SABER 11</v>
      </c>
      <c r="I612" s="11" t="str">
        <f>IFERROR(IF(VLOOKUP(A612,[5]PRIORIZADOS!$A:$I,9,FALSE)="","",VLOOKUP(A612,[5]PRIORIZADOS!$A:$I,9,FALSE)),"")</f>
        <v>EVALUACIÓN_CON_FINES_DE_MEJORAMIENTO.</v>
      </c>
      <c r="J612" s="11" t="str">
        <f>IFERROR(IF(VLOOKUP(A612,[5]PRIORIZADOS!$A:$J,10,FALSE)="","",VLOOKUP(A612,[5]PRIORIZADOS!$A:$J,10,FALSE)),"")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12" s="11" t="str">
        <f>IFERROR(IF(VLOOKUP(A612,[5]PRIORIZADOS!$A:$K,11,FALSE)="","",VLOOKUP(A612,[5]PRIORIZADOS!$A:$K,11,FALSE)),"")</f>
        <v xml:space="preserve">MARIA NANCY DUCUARA </v>
      </c>
      <c r="L612" s="11" t="str">
        <f>IFERROR(IF(VLOOKUP(A612,[5]PRIORIZADOS!$A:$L,12,FALSE)="","",VLOOKUP(A612,[5]PRIORIZADOS!$A:$L,12,FALSE)),"")</f>
        <v xml:space="preserve">JUDITH SOLANO RAMÍREZ </v>
      </c>
      <c r="M612" s="71">
        <f>IFERROR(IF(VLOOKUP(A612,[5]PRIORIZADOS!$A:$M,13,FALSE)="","",VLOOKUP(A612,[5]PRIORIZADOS!$A:$M,13,FALSE)),"")</f>
        <v>45929</v>
      </c>
      <c r="N612" s="71">
        <f>IFERROR(IF(VLOOKUP(A612,[5]PRIORIZADOS!$A:$N,14,FALSE)="","",VLOOKUP(A612,[5]PRIORIZADOS!$A:$N,14,FALSE)),"")</f>
        <v>45917</v>
      </c>
      <c r="O612" s="71">
        <f>IFERROR(IF(VLOOKUP(A612,[5]PRIORIZADOS!$A:$O,15,FALSE)="","",VLOOKUP(A612,[5]PRIORIZADOS!$A:$O,15,FALSE)),"")</f>
        <v>45917</v>
      </c>
      <c r="P612" s="11" t="str">
        <f>IFERROR(IF(VLOOKUP(A612,[5]PRIORIZADOS!$A:$P,16,FALSE)="","",VLOOKUP(A612,[5]PRIORIZADOS!$A:$P,16,FALSE)),"")</f>
        <v>Visitas de evaluación con fines de mejoramiento</v>
      </c>
      <c r="Q612" s="2" t="s">
        <v>126</v>
      </c>
      <c r="R612" s="11" t="str">
        <f>IFERROR(IF(VLOOKUP(A612,[5]PRIORIZADOS!$A:$R,18,FALSE)="","",VLOOKUP(A612,[5]PRIORIZADOS!$A:$R,18,FALSE)),"")</f>
        <v>La actualización se realiza anual. Se evidencia participación de los diferentes estamentos en la construcción del Manual de Convivencia.
El Comité de convivencia no tiene reglamento de la ssesiones.
Falta establecer el enfoque de género y el enfoque restaurativo dentro del docuemnto.
Es necesaria actualización normativa.</v>
      </c>
      <c r="S612" s="11" t="str">
        <f>IFERROR(IF(VLOOKUP(A612,[5]PRIORIZADOS!$A:$S,19,FALSE)="","",VLOOKUP(A612,[5]PRIORIZADOS!$A:$S,19,FALSE)),"")</f>
        <v>Realizar actualización del Manual de convivencia teniendo en cuenta la normatividad vigente y la jurisprudencia de la corte constitucional.</v>
      </c>
      <c r="T612" s="70" t="str">
        <f>IFERROR(IF(VLOOKUP(A612,[5]PRIORIZADOS!$A:$T,20,FALSE)="","",VLOOKUP(A612,[5]PRIORIZADOS!$A:$T,20,FALSE)),"")</f>
        <v>Si</v>
      </c>
      <c r="U612" s="11" t="str">
        <f>IFERROR(IF(VLOOKUP(A612,[5]PRIORIZADOS!$A:$U,21,FALSE)="","",VLOOKUP(A612,[5]PRIORIZADOS!$A:$U,21,FALSE)),"")</f>
        <v>Revisión documental en febrero de 2026 para verificar el cumplimiento de las acciones establecidas en el plan de mejoramiento.</v>
      </c>
    </row>
    <row r="613" spans="1:21" s="1" customFormat="1" ht="142.5">
      <c r="A613" s="69">
        <f>IF([5]PRIORIZADOS!A121="","",[5]PRIORIZADOS!A121)</f>
        <v>2826</v>
      </c>
      <c r="B613" s="70">
        <f>IFERROR(IF(VLOOKUP(A613,[5]PRIORIZADOS!$A:$B,2,FALSE)="","",VLOOKUP(A613,[5]PRIORIZADOS!$A:$B,2,FALSE)),"")</f>
        <v>13</v>
      </c>
      <c r="C613" s="11" t="str">
        <f>IFERROR(IF(VLOOKUP(A613,[5]PRIORIZADOS!$A:$C,3,FALSE)="","",VLOOKUP(A613,[5]PRIORIZADOS!$A:$C,3,FALSE)),"")</f>
        <v>CIUDAD BOLÍVAR</v>
      </c>
      <c r="D613" s="11" t="str">
        <f>IFERROR(IF(VLOOKUP(A613,[5]PRIORIZADOS!$A:$D,4,FALSE)="","",VLOOKUP(A613,[5]PRIORIZADOS!$A:$D,4,FALSE)),"")</f>
        <v>PRIVADO</v>
      </c>
      <c r="E613" s="11" t="str">
        <f>IFERROR(IF(VLOOKUP(A613,[5]PRIORIZADOS!$A:$E,5,FALSE)="","",VLOOKUP(A613,[5]PRIORIZADOS!$A:$E,5,FALSE)),"")</f>
        <v>EPBM</v>
      </c>
      <c r="F613" s="11" t="str">
        <f>IFERROR(IF(VLOOKUP(A613,[5]PRIORIZADOS!$A:$F,6,FALSE)="","",VLOOKUP(A613,[5]PRIORIZADOS!$A:$F,6,FALSE)),"")</f>
        <v>COLEGIO_INTERAMERICANO</v>
      </c>
      <c r="G613" s="11" t="str">
        <f>IFERROR(IF(VLOOKUP(A613,[5]PRIORIZADOS!$A:$G,7,FALSE)="","",VLOOKUP(A613,[5]PRIORIZADOS!$A:$G,7,FALSE)),"")</f>
        <v>COLEGIO INTERAMERICANO</v>
      </c>
      <c r="H613" s="11" t="str">
        <f>IFERROR(IF(VLOOKUP(A613,[5]PRIORIZADOS!$A:$H,8,FALSE)="","",VLOOKUP(A613,[5]PRIORIZADOS!$A:$H,8,FALSE)),"")</f>
        <v>Autoevaluación Institucional y Pruebas SABER 11</v>
      </c>
      <c r="I613" s="11" t="str">
        <f>IFERROR(IF(VLOOKUP(A613,[5]PRIORIZADOS!$A:$I,9,FALSE)="","",VLOOKUP(A613,[5]PRIORIZADOS!$A:$I,9,FALSE)),"")</f>
        <v>EVALUACIÓN_CON_FINES_DE_MEJORAMIENTO.</v>
      </c>
      <c r="J613" s="11" t="str">
        <f>IFERROR(IF(VLOOKUP(A613,[5]PRIORIZADOS!$A:$J,10,FALSE)="","",VLOOKUP(A613,[5]PRIORIZADOS!$A:$J,10,FALSE)),"")</f>
        <v>Revisar la actualización, socialización e implementación del Sistema Institucional de Evaluación de Estudiantes - SIEE, en articulación con la actualización del PEI y la normatividad vigente.</v>
      </c>
      <c r="K613" s="11" t="str">
        <f>IFERROR(IF(VLOOKUP(A613,[5]PRIORIZADOS!$A:$K,11,FALSE)="","",VLOOKUP(A613,[5]PRIORIZADOS!$A:$K,11,FALSE)),"")</f>
        <v xml:space="preserve">MARIA NANCY DUCUARA </v>
      </c>
      <c r="L613" s="11" t="str">
        <f>IFERROR(IF(VLOOKUP(A613,[5]PRIORIZADOS!$A:$L,12,FALSE)="","",VLOOKUP(A613,[5]PRIORIZADOS!$A:$L,12,FALSE)),"")</f>
        <v xml:space="preserve">JUDITH SOLANO RAMÍREZ </v>
      </c>
      <c r="M613" s="71">
        <f>IFERROR(IF(VLOOKUP(A613,[5]PRIORIZADOS!$A:$M,13,FALSE)="","",VLOOKUP(A613,[5]PRIORIZADOS!$A:$M,13,FALSE)),"")</f>
        <v>45929</v>
      </c>
      <c r="N613" s="71">
        <f>IFERROR(IF(VLOOKUP(A613,[5]PRIORIZADOS!$A:$N,14,FALSE)="","",VLOOKUP(A613,[5]PRIORIZADOS!$A:$N,14,FALSE)),"")</f>
        <v>45917</v>
      </c>
      <c r="O613" s="71">
        <f>IFERROR(IF(VLOOKUP(A613,[5]PRIORIZADOS!$A:$O,15,FALSE)="","",VLOOKUP(A613,[5]PRIORIZADOS!$A:$O,15,FALSE)),"")</f>
        <v>45917</v>
      </c>
      <c r="P613" s="11" t="str">
        <f>IFERROR(IF(VLOOKUP(A613,[5]PRIORIZADOS!$A:$P,16,FALSE)="","",VLOOKUP(A613,[5]PRIORIZADOS!$A:$P,16,FALSE)),"")</f>
        <v>Visitas de evaluación con fines de mejoramiento</v>
      </c>
      <c r="Q613" s="2" t="s">
        <v>126</v>
      </c>
      <c r="R613" s="11" t="str">
        <f>IFERROR(IF(VLOOKUP(A613,[5]PRIORIZADOS!$A:$R,18,FALSE)="","",VLOOKUP(A613,[5]PRIORIZADOS!$A:$R,18,FALSE)),"")</f>
        <v>El SIEE no se encuentra plenamente desarrollado en el PEI; se entrega documento separado donde se encuentran todos los elementos de acuerdo a la normatividad existente. Así mismo, en el Plan de Área se encuentran los criterios de logro  la forma de evlauación de los aprendizajes, se recomienda integrar el documento al PEI.
Contiene estrategias de refuerzo de los aprendizajes y nivelación para los estudiantes.</v>
      </c>
      <c r="S613" s="11" t="str">
        <f>IFERROR(IF(VLOOKUP(A613,[5]PRIORIZADOS!$A:$S,19,FALSE)="","",VLOOKUP(A613,[5]PRIORIZADOS!$A:$S,19,FALSE)),"")</f>
        <v>Integrar el SIEE al PEI de la Institución Educativa.</v>
      </c>
      <c r="T613" s="70" t="str">
        <f>IFERROR(IF(VLOOKUP(A613,[5]PRIORIZADOS!$A:$T,20,FALSE)="","",VLOOKUP(A613,[5]PRIORIZADOS!$A:$T,20,FALSE)),"")</f>
        <v>Si</v>
      </c>
      <c r="U613" s="11" t="str">
        <f>IFERROR(IF(VLOOKUP(A613,[5]PRIORIZADOS!$A:$U,21,FALSE)="","",VLOOKUP(A613,[5]PRIORIZADOS!$A:$U,21,FALSE)),"")</f>
        <v>Revisión documental en febrero de 2026 para verificar el cumplimiento de las acciones establecidas en el plan de mejoramiento.</v>
      </c>
    </row>
    <row r="614" spans="1:21" s="1" customFormat="1" ht="48">
      <c r="A614" s="69">
        <f>IF([5]PRIORIZADOS!A122="","",[5]PRIORIZADOS!A122)</f>
        <v>2827</v>
      </c>
      <c r="B614" s="70">
        <f>IFERROR(IF(VLOOKUP(A614,[5]PRIORIZADOS!$A:$B,2,FALSE)="","",VLOOKUP(A614,[5]PRIORIZADOS!$A:$B,2,FALSE)),"")</f>
        <v>13</v>
      </c>
      <c r="C614" s="11" t="str">
        <f>IFERROR(IF(VLOOKUP(A614,[5]PRIORIZADOS!$A:$C,3,FALSE)="","",VLOOKUP(A614,[5]PRIORIZADOS!$A:$C,3,FALSE)),"")</f>
        <v>CIUDAD BOLÍVAR</v>
      </c>
      <c r="D614" s="11" t="str">
        <f>IFERROR(IF(VLOOKUP(A614,[5]PRIORIZADOS!$A:$D,4,FALSE)="","",VLOOKUP(A614,[5]PRIORIZADOS!$A:$D,4,FALSE)),"")</f>
        <v>PRIVADO</v>
      </c>
      <c r="E614" s="11" t="str">
        <f>IFERROR(IF(VLOOKUP(A614,[5]PRIORIZADOS!$A:$E,5,FALSE)="","",VLOOKUP(A614,[5]PRIORIZADOS!$A:$E,5,FALSE)),"")</f>
        <v>EPBM</v>
      </c>
      <c r="F614" s="11" t="str">
        <f>IFERROR(IF(VLOOKUP(A614,[5]PRIORIZADOS!$A:$F,6,FALSE)="","",VLOOKUP(A614,[5]PRIORIZADOS!$A:$F,6,FALSE)),"")</f>
        <v>COLEGIO_INTERAMERICANO</v>
      </c>
      <c r="G614" s="11" t="str">
        <f>IFERROR(IF(VLOOKUP(A614,[5]PRIORIZADOS!$A:$G,7,FALSE)="","",VLOOKUP(A614,[5]PRIORIZADOS!$A:$G,7,FALSE)),"")</f>
        <v>COLEGIO INTERAMERICANO</v>
      </c>
      <c r="H614" s="11" t="str">
        <f>IFERROR(IF(VLOOKUP(A614,[5]PRIORIZADOS!$A:$H,8,FALSE)="","",VLOOKUP(A614,[5]PRIORIZADOS!$A:$H,8,FALSE)),"")</f>
        <v>Autoevaluación Institucional y Pruebas SABER 11</v>
      </c>
      <c r="I614" s="11" t="str">
        <f>IFERROR(IF(VLOOKUP(A614,[5]PRIORIZADOS!$A:$I,9,FALSE)="","",VLOOKUP(A614,[5]PRIORIZADOS!$A:$I,9,FALSE)),"")</f>
        <v>EVALUACIÓN_CON_FINES_DE_MEJORAMIENTO.</v>
      </c>
      <c r="J614" s="11" t="str">
        <f>IFERROR(IF(VLOOKUP(A614,[5]PRIORIZADOS!$A:$J,10,FALSE)="","",VLOOKUP(A614,[5]PRIORIZADOS!$A:$J,10,FALSE)),"")</f>
        <v>Revisar el calendario escolar, jornada escolar, la intensidad horaria mínima anual en cada nivel y las modificaciones que se realicen al mismo, de acuerdo con lo previsto en la normatividad vigente.</v>
      </c>
      <c r="K614" s="11" t="str">
        <f>IFERROR(IF(VLOOKUP(A614,[5]PRIORIZADOS!$A:$K,11,FALSE)="","",VLOOKUP(A614,[5]PRIORIZADOS!$A:$K,11,FALSE)),"")</f>
        <v xml:space="preserve">MARIA NANCY DUCUARA </v>
      </c>
      <c r="L614" s="11" t="str">
        <f>IFERROR(IF(VLOOKUP(A614,[5]PRIORIZADOS!$A:$L,12,FALSE)="","",VLOOKUP(A614,[5]PRIORIZADOS!$A:$L,12,FALSE)),"")</f>
        <v xml:space="preserve">JUDITH SOLANO RAMÍREZ </v>
      </c>
      <c r="M614" s="71">
        <f>IFERROR(IF(VLOOKUP(A614,[5]PRIORIZADOS!$A:$M,13,FALSE)="","",VLOOKUP(A614,[5]PRIORIZADOS!$A:$M,13,FALSE)),"")</f>
        <v>45929</v>
      </c>
      <c r="N614" s="71">
        <f>IFERROR(IF(VLOOKUP(A614,[5]PRIORIZADOS!$A:$N,14,FALSE)="","",VLOOKUP(A614,[5]PRIORIZADOS!$A:$N,14,FALSE)),"")</f>
        <v>45917</v>
      </c>
      <c r="O614" s="71">
        <f>IFERROR(IF(VLOOKUP(A614,[5]PRIORIZADOS!$A:$O,15,FALSE)="","",VLOOKUP(A614,[5]PRIORIZADOS!$A:$O,15,FALSE)),"")</f>
        <v>45917</v>
      </c>
      <c r="P614" s="11" t="str">
        <f>IFERROR(IF(VLOOKUP(A614,[5]PRIORIZADOS!$A:$P,16,FALSE)="","",VLOOKUP(A614,[5]PRIORIZADOS!$A:$P,16,FALSE)),"")</f>
        <v>Visitas de evaluación con fines de mejoramiento</v>
      </c>
      <c r="Q614" s="2" t="s">
        <v>126</v>
      </c>
      <c r="R614" s="11" t="str">
        <f>IFERROR(IF(VLOOKUP(A614,[5]PRIORIZADOS!$A:$R,18,FALSE)="","",VLOOKUP(A614,[5]PRIORIZADOS!$A:$R,18,FALSE)),"")</f>
        <v>Se garantizan las 1000 horas en preescolar y las 1200 en básica y media.</v>
      </c>
      <c r="S614" s="11" t="str">
        <f>IFERROR(IF(VLOOKUP(A614,[5]PRIORIZADOS!$A:$S,19,FALSE)="","",VLOOKUP(A614,[5]PRIORIZADOS!$A:$S,19,FALSE)),"")</f>
        <v>continuar con la aprobación del calendario escolar por parte del Consejo Directivo y publicarlo on resolución rectoral, revisarlo y adoptarlo para el 2026.</v>
      </c>
      <c r="T614" s="70" t="str">
        <f>IFERROR(IF(VLOOKUP(A614,[5]PRIORIZADOS!$A:$T,20,FALSE)="","",VLOOKUP(A614,[5]PRIORIZADOS!$A:$T,20,FALSE)),"")</f>
        <v>No</v>
      </c>
      <c r="U614" s="11" t="str">
        <f>IFERROR(IF(VLOOKUP(A614,[5]PRIORIZADOS!$A:$U,21,FALSE)="","",VLOOKUP(A614,[5]PRIORIZADOS!$A:$U,21,FALSE)),"")</f>
        <v>Verificar el cumplimiento del Calendario Escolar para la vigencia 2026.</v>
      </c>
    </row>
    <row r="615" spans="1:21" s="1" customFormat="1" ht="48">
      <c r="A615" s="69">
        <f>IF([5]PRIORIZADOS!A123="","",[5]PRIORIZADOS!A123)</f>
        <v>2828</v>
      </c>
      <c r="B615" s="70">
        <f>IFERROR(IF(VLOOKUP(A615,[5]PRIORIZADOS!$A:$B,2,FALSE)="","",VLOOKUP(A615,[5]PRIORIZADOS!$A:$B,2,FALSE)),"")</f>
        <v>13</v>
      </c>
      <c r="C615" s="11" t="str">
        <f>IFERROR(IF(VLOOKUP(A615,[5]PRIORIZADOS!$A:$C,3,FALSE)="","",VLOOKUP(A615,[5]PRIORIZADOS!$A:$C,3,FALSE)),"")</f>
        <v>CIUDAD BOLÍVAR</v>
      </c>
      <c r="D615" s="11" t="str">
        <f>IFERROR(IF(VLOOKUP(A615,[5]PRIORIZADOS!$A:$D,4,FALSE)="","",VLOOKUP(A615,[5]PRIORIZADOS!$A:$D,4,FALSE)),"")</f>
        <v>PRIVADO</v>
      </c>
      <c r="E615" s="11" t="str">
        <f>IFERROR(IF(VLOOKUP(A615,[5]PRIORIZADOS!$A:$E,5,FALSE)="","",VLOOKUP(A615,[5]PRIORIZADOS!$A:$E,5,FALSE)),"")</f>
        <v>EPBM</v>
      </c>
      <c r="F615" s="11" t="str">
        <f>IFERROR(IF(VLOOKUP(A615,[5]PRIORIZADOS!$A:$F,6,FALSE)="","",VLOOKUP(A615,[5]PRIORIZADOS!$A:$F,6,FALSE)),"")</f>
        <v>COLEGIO_INTERAMERICANO</v>
      </c>
      <c r="G615" s="11" t="str">
        <f>IFERROR(IF(VLOOKUP(A615,[5]PRIORIZADOS!$A:$G,7,FALSE)="","",VLOOKUP(A615,[5]PRIORIZADOS!$A:$G,7,FALSE)),"")</f>
        <v>COLEGIO INTERAMERICANO</v>
      </c>
      <c r="H615" s="11" t="str">
        <f>IFERROR(IF(VLOOKUP(A615,[5]PRIORIZADOS!$A:$H,8,FALSE)="","",VLOOKUP(A615,[5]PRIORIZADOS!$A:$H,8,FALSE)),"")</f>
        <v>Autoevaluación Institucional y Pruebas SABER 11</v>
      </c>
      <c r="I615" s="11" t="str">
        <f>IFERROR(IF(VLOOKUP(A615,[5]PRIORIZADOS!$A:$I,9,FALSE)="","",VLOOKUP(A615,[5]PRIORIZADOS!$A:$I,9,FALSE)),"")</f>
        <v>EVALUACIÓN_CON_FINES_DE_MEJORAMIENTO.</v>
      </c>
      <c r="J615" s="11" t="str">
        <f>IFERROR(IF(VLOOKUP(A615,[5]PRIORIZADOS!$A:$J,10,FALSE)="","",VLOOKUP(A615,[5]PRIORIZADOS!$A:$J,10,FALSE)),"")</f>
        <v>Verificar el funcionamiento del Gobierno Escolar e instancias de participación con base en la información sobre conformación reportada por la institución educativa.</v>
      </c>
      <c r="K615" s="11" t="str">
        <f>IFERROR(IF(VLOOKUP(A615,[5]PRIORIZADOS!$A:$K,11,FALSE)="","",VLOOKUP(A615,[5]PRIORIZADOS!$A:$K,11,FALSE)),"")</f>
        <v xml:space="preserve">MARIA NANCY DUCUARA </v>
      </c>
      <c r="L615" s="11" t="str">
        <f>IFERROR(IF(VLOOKUP(A615,[5]PRIORIZADOS!$A:$L,12,FALSE)="","",VLOOKUP(A615,[5]PRIORIZADOS!$A:$L,12,FALSE)),"")</f>
        <v xml:space="preserve">JUDITH SOLANO RAMÍREZ </v>
      </c>
      <c r="M615" s="71">
        <f>IFERROR(IF(VLOOKUP(A615,[5]PRIORIZADOS!$A:$M,13,FALSE)="","",VLOOKUP(A615,[5]PRIORIZADOS!$A:$M,13,FALSE)),"")</f>
        <v>45929</v>
      </c>
      <c r="N615" s="71">
        <f>IFERROR(IF(VLOOKUP(A615,[5]PRIORIZADOS!$A:$N,14,FALSE)="","",VLOOKUP(A615,[5]PRIORIZADOS!$A:$N,14,FALSE)),"")</f>
        <v>45917</v>
      </c>
      <c r="O615" s="71">
        <f>IFERROR(IF(VLOOKUP(A615,[5]PRIORIZADOS!$A:$O,15,FALSE)="","",VLOOKUP(A615,[5]PRIORIZADOS!$A:$O,15,FALSE)),"")</f>
        <v>45917</v>
      </c>
      <c r="P615" s="11" t="str">
        <f>IFERROR(IF(VLOOKUP(A615,[5]PRIORIZADOS!$A:$P,16,FALSE)="","",VLOOKUP(A615,[5]PRIORIZADOS!$A:$P,16,FALSE)),"")</f>
        <v>Visitas de evaluación con fines de mejoramiento</v>
      </c>
      <c r="Q615" s="2" t="s">
        <v>126</v>
      </c>
      <c r="R615" s="11" t="str">
        <f>IFERROR(IF(VLOOKUP(A615,[5]PRIORIZADOS!$A:$R,18,FALSE)="","",VLOOKUP(A615,[5]PRIORIZADOS!$A:$R,18,FALSE)),"")</f>
        <v>Se evidencia la conformación de los diferentes estamentos para el año 2025. Existen actas de sesiones ordinarias. No tienen reglamento de funcionamiento.</v>
      </c>
      <c r="S615" s="11" t="str">
        <f>IFERROR(IF(VLOOKUP(A615,[5]PRIORIZADOS!$A:$S,19,FALSE)="","",VLOOKUP(A615,[5]PRIORIZADOS!$A:$S,19,FALSE)),"")</f>
        <v>Establecer el reglamento de los estamentos.</v>
      </c>
      <c r="T615" s="70" t="str">
        <f>IFERROR(IF(VLOOKUP(A615,[5]PRIORIZADOS!$A:$T,20,FALSE)="","",VLOOKUP(A615,[5]PRIORIZADOS!$A:$T,20,FALSE)),"")</f>
        <v>Si</v>
      </c>
      <c r="U615" s="11" t="str">
        <f>IFERROR(IF(VLOOKUP(A615,[5]PRIORIZADOS!$A:$U,21,FALSE)="","",VLOOKUP(A615,[5]PRIORIZADOS!$A:$U,21,FALSE)),"")</f>
        <v>Verificar el cumplimiento de las acciones establecidas en el plan de mejoramiento en febrero de 2026.</v>
      </c>
    </row>
    <row r="616" spans="1:21" s="1" customFormat="1" ht="238.5">
      <c r="A616" s="69">
        <f>IF([5]PRIORIZADOS!A124="","",[5]PRIORIZADOS!A124)</f>
        <v>2829</v>
      </c>
      <c r="B616" s="70">
        <f>IFERROR(IF(VLOOKUP(A616,[5]PRIORIZADOS!$A:$B,2,FALSE)="","",VLOOKUP(A616,[5]PRIORIZADOS!$A:$B,2,FALSE)),"")</f>
        <v>13</v>
      </c>
      <c r="C616" s="11" t="str">
        <f>IFERROR(IF(VLOOKUP(A616,[5]PRIORIZADOS!$A:$C,3,FALSE)="","",VLOOKUP(A616,[5]PRIORIZADOS!$A:$C,3,FALSE)),"")</f>
        <v>CIUDAD BOLÍVAR</v>
      </c>
      <c r="D616" s="11" t="str">
        <f>IFERROR(IF(VLOOKUP(A616,[5]PRIORIZADOS!$A:$D,4,FALSE)="","",VLOOKUP(A616,[5]PRIORIZADOS!$A:$D,4,FALSE)),"")</f>
        <v>PRIVADO</v>
      </c>
      <c r="E616" s="11" t="str">
        <f>IFERROR(IF(VLOOKUP(A616,[5]PRIORIZADOS!$A:$E,5,FALSE)="","",VLOOKUP(A616,[5]PRIORIZADOS!$A:$E,5,FALSE)),"")</f>
        <v>EPBM</v>
      </c>
      <c r="F616" s="11" t="str">
        <f>IFERROR(IF(VLOOKUP(A616,[5]PRIORIZADOS!$A:$F,6,FALSE)="","",VLOOKUP(A616,[5]PRIORIZADOS!$A:$F,6,FALSE)),"")</f>
        <v>COLEGIO_INTERAMERICANO</v>
      </c>
      <c r="G616" s="11" t="str">
        <f>IFERROR(IF(VLOOKUP(A616,[5]PRIORIZADOS!$A:$G,7,FALSE)="","",VLOOKUP(A616,[5]PRIORIZADOS!$A:$G,7,FALSE)),"")</f>
        <v>COLEGIO INTERAMERICANO</v>
      </c>
      <c r="H616" s="11" t="str">
        <f>IFERROR(IF(VLOOKUP(A616,[5]PRIORIZADOS!$A:$H,8,FALSE)="","",VLOOKUP(A616,[5]PRIORIZADOS!$A:$H,8,FALSE)),"")</f>
        <v>Autoevaluación Institucional y Pruebas SABER 11</v>
      </c>
      <c r="I616" s="11" t="str">
        <f>IFERROR(IF(VLOOKUP(A616,[5]PRIORIZADOS!$A:$I,9,FALSE)="","",VLOOKUP(A616,[5]PRIORIZADOS!$A:$I,9,FALSE)),"")</f>
        <v>EVALUACIÓN_CON_FINES_DE_MEJORAMIENTO.</v>
      </c>
      <c r="J616" s="11" t="str">
        <f>IFERROR(IF(VLOOKUP(A616,[5]PRIORIZADOS!$A:$J,10,FALSE)="","",VLOOKUP(A616,[5]PRIORIZADOS!$A:$J,10,FALSE)),"")</f>
        <v>Verificar las condiciones en cuanto a: la estructura administrativa, condiciones de la planta física y medios educativos adecuados.</v>
      </c>
      <c r="K616" s="11" t="str">
        <f>IFERROR(IF(VLOOKUP(A616,[5]PRIORIZADOS!$A:$K,11,FALSE)="","",VLOOKUP(A616,[5]PRIORIZADOS!$A:$K,11,FALSE)),"")</f>
        <v xml:space="preserve">MARIA NANCY DUCUARA </v>
      </c>
      <c r="L616" s="11" t="str">
        <f>IFERROR(IF(VLOOKUP(A616,[5]PRIORIZADOS!$A:$L,12,FALSE)="","",VLOOKUP(A616,[5]PRIORIZADOS!$A:$L,12,FALSE)),"")</f>
        <v xml:space="preserve">JUDITH SOLANO RAMÍREZ </v>
      </c>
      <c r="M616" s="71">
        <f>IFERROR(IF(VLOOKUP(A616,[5]PRIORIZADOS!$A:$M,13,FALSE)="","",VLOOKUP(A616,[5]PRIORIZADOS!$A:$M,13,FALSE)),"")</f>
        <v>45929</v>
      </c>
      <c r="N616" s="71">
        <f>IFERROR(IF(VLOOKUP(A616,[5]PRIORIZADOS!$A:$N,14,FALSE)="","",VLOOKUP(A616,[5]PRIORIZADOS!$A:$N,14,FALSE)),"")</f>
        <v>45917</v>
      </c>
      <c r="O616" s="71">
        <f>IFERROR(IF(VLOOKUP(A616,[5]PRIORIZADOS!$A:$O,15,FALSE)="","",VLOOKUP(A616,[5]PRIORIZADOS!$A:$O,15,FALSE)),"")</f>
        <v>45917</v>
      </c>
      <c r="P616" s="11" t="str">
        <f>IFERROR(IF(VLOOKUP(A616,[5]PRIORIZADOS!$A:$P,16,FALSE)="","",VLOOKUP(A616,[5]PRIORIZADOS!$A:$P,16,FALSE)),"")</f>
        <v>Visitas de evaluación con fines de mejoramiento</v>
      </c>
      <c r="Q616" s="2" t="s">
        <v>126</v>
      </c>
      <c r="R616" s="11" t="str">
        <f>IFERROR(IF(VLOOKUP(A616,[5]PRIORIZADOS!$A:$R,18,FALSE)="","",VLOOKUP(A616,[5]PRIORIZADOS!$A:$R,18,FALSE)),"")</f>
        <v xml:space="preserve">El organigrama circular que no representa la dependencia funcional. Manual de funciones con cargos que no existen en la IE. 
Contrato de matrícula desactualizado con las condiciones reales de prestación del servicio.
Multigrado en el salón de transisción.
Se evidencian algunos medios educativos desgastados y sin un correcto mantenimiento. Tienen suficientes espacios para el descanso y recreación de los estudiantes. Predios que no están incluidos en la resolución de aprobación. 	</v>
      </c>
      <c r="S616" s="11" t="str">
        <f>IFERROR(IF(VLOOKUP(A616,[5]PRIORIZADOS!$A:$S,19,FALSE)="","",VLOOKUP(A616,[5]PRIORIZADOS!$A:$S,19,FALSE)),"")</f>
        <v>1.Actualizar el organigrama para que refleje la dependencia funcional.
2.Revisar y actualizar el manual de funciones de manera que refleje la structura organización actual. 
3. Actualizar los contratos de matrícula para asegurar la exactitud de la informaciónen cumplimiento de la normatividad eistente.
4. Establecer y ejecutar un programa de mantenimiento preventivo y correctivo del del mobiliario escolar, determinando los tiempos de reemplazo, de acuerdo a la seguridad y vida útil de los elementos. Retirar los elementos que no corresponden a los espacios administrativos.
Realizar el trámite de modificación de licencia de funcionamiento para incluir los predios que no se encuentran dentro de la licencia.</v>
      </c>
      <c r="T616" s="70" t="str">
        <f>IFERROR(IF(VLOOKUP(A616,[5]PRIORIZADOS!$A:$T,20,FALSE)="","",VLOOKUP(A616,[5]PRIORIZADOS!$A:$T,20,FALSE)),"")</f>
        <v>Si</v>
      </c>
      <c r="U616" s="11" t="str">
        <f>IFERROR(IF(VLOOKUP(A616,[5]PRIORIZADOS!$A:$U,21,FALSE)="","",VLOOKUP(A616,[5]PRIORIZADOS!$A:$U,21,FALSE)),"")</f>
        <v>Revisión documental en febrero de 2026 para verificar el cumplimiento de las acciones establecidas en el plan de mejoramiento.</v>
      </c>
    </row>
    <row r="617" spans="1:21" s="1" customFormat="1" ht="60">
      <c r="A617" s="69">
        <f>IF([5]PRIORIZADOS!A125="","",[5]PRIORIZADOS!A125)</f>
        <v>2830</v>
      </c>
      <c r="B617" s="70">
        <f>IFERROR(IF(VLOOKUP(A617,[5]PRIORIZADOS!$A:$B,2,FALSE)="","",VLOOKUP(A617,[5]PRIORIZADOS!$A:$B,2,FALSE)),"")</f>
        <v>14</v>
      </c>
      <c r="C617" s="11" t="str">
        <f>IFERROR(IF(VLOOKUP(A617,[5]PRIORIZADOS!$A:$C,3,FALSE)="","",VLOOKUP(A617,[5]PRIORIZADOS!$A:$C,3,FALSE)),"")</f>
        <v>CIUDAD BOLÍVAR</v>
      </c>
      <c r="D617" s="11" t="str">
        <f>IFERROR(IF(VLOOKUP(A617,[5]PRIORIZADOS!$A:$D,4,FALSE)="","",VLOOKUP(A617,[5]PRIORIZADOS!$A:$D,4,FALSE)),"")</f>
        <v>PRIVADO</v>
      </c>
      <c r="E617" s="11" t="str">
        <f>IFERROR(IF(VLOOKUP(A617,[5]PRIORIZADOS!$A:$E,5,FALSE)="","",VLOOKUP(A617,[5]PRIORIZADOS!$A:$E,5,FALSE)),"")</f>
        <v>EPBM</v>
      </c>
      <c r="F617" s="11" t="str">
        <f>IFERROR(IF(VLOOKUP(A617,[5]PRIORIZADOS!$A:$F,6,FALSE)="","",VLOOKUP(A617,[5]PRIORIZADOS!$A:$F,6,FALSE)),"")</f>
        <v>LICEO_LA_CORUÑA</v>
      </c>
      <c r="G617" s="11" t="str">
        <f>IFERROR(IF(VLOOKUP(A617,[5]PRIORIZADOS!$A:$G,7,FALSE)="","",VLOOKUP(A617,[5]PRIORIZADOS!$A:$G,7,FALSE)),"")</f>
        <v>LICEO LA CORUÑA</v>
      </c>
      <c r="H617" s="11" t="str">
        <f>IFERROR(IF(VLOOKUP(A617,[5]PRIORIZADOS!$A:$H,8,FALSE)="","",VLOOKUP(A617,[5]PRIORIZADOS!$A:$H,8,FALSE)),"")</f>
        <v>Autoevaluación Institucional y Pruebas SABER 11</v>
      </c>
      <c r="I617" s="11" t="str">
        <f>IFERROR(IF(VLOOKUP(A617,[5]PRIORIZADOS!$A:$I,9,FALSE)="","",VLOOKUP(A617,[5]PRIORIZADOS!$A:$I,9,FALSE)),"")</f>
        <v>SEGUIMIENTO_Y_SUPERVISIÓN.</v>
      </c>
      <c r="J617" s="11" t="str">
        <f>IFERROR(IF(VLOOKUP(A617,[5]PRIORIZADOS!$A:$J,10,FALSE)="","",VLOOKUP(A617,[5]PRIORIZADOS!$A:$J,10,FALSE)),"")</f>
        <v>Realizar visitas para verificar la información registrada sobre la autoevaluación institucional en el aplicativo EVI, a los establecimientos de educación formal no oficial.</v>
      </c>
      <c r="K617" s="11" t="str">
        <f>IFERROR(IF(VLOOKUP(A617,[5]PRIORIZADOS!$A:$K,11,FALSE)="","",VLOOKUP(A617,[5]PRIORIZADOS!$A:$K,11,FALSE)),"")</f>
        <v>ÓSCAR JAVIER CÁRDENAS MUÑOZ</v>
      </c>
      <c r="L617" s="11" t="str">
        <f>IFERROR(IF(VLOOKUP(A617,[5]PRIORIZADOS!$A:$L,12,FALSE)="","",VLOOKUP(A617,[5]PRIORIZADOS!$A:$L,12,FALSE)),"")</f>
        <v xml:space="preserve">JUDITH SOLANO RAMÍREZ </v>
      </c>
      <c r="M617" s="71">
        <f>IFERROR(IF(VLOOKUP(A617,[5]PRIORIZADOS!$A:$M,13,FALSE)="","",VLOOKUP(A617,[5]PRIORIZADOS!$A:$M,13,FALSE)),"")</f>
        <v>45930</v>
      </c>
      <c r="N617" s="71">
        <f>IFERROR(IF(VLOOKUP(A617,[5]PRIORIZADOS!$A:$N,14,FALSE)="","",VLOOKUP(A617,[5]PRIORIZADOS!$A:$N,14,FALSE)),"")</f>
        <v>45903</v>
      </c>
      <c r="O617" s="71">
        <f>IFERROR(IF(VLOOKUP(A617,[5]PRIORIZADOS!$A:$O,15,FALSE)="","",VLOOKUP(A617,[5]PRIORIZADOS!$A:$O,15,FALSE)),"")</f>
        <v>45903</v>
      </c>
      <c r="P617" s="11" t="str">
        <f>IFERROR(IF(VLOOKUP(A617,[5]PRIORIZADOS!$A:$P,16,FALSE)="","",VLOOKUP(A617,[5]PRIORIZADOS!$A:$P,16,FALSE)),"")</f>
        <v>Visitas de evaluación con fines de mejoramiento</v>
      </c>
      <c r="Q617" s="138" t="s">
        <v>127</v>
      </c>
      <c r="R617" s="11" t="str">
        <f>IFERROR(IF(VLOOKUP(A617,[5]PRIORIZADOS!$A:$R,18,FALSE)="","",VLOOKUP(A617,[5]PRIORIZADOS!$A:$R,18,FALSE)),"")</f>
        <v xml:space="preserve">Se identificaron novedades relacionadas con la legalización de los predios donde funciona la IE, dado que varios de los lotes no están incluidos en la Resolución de aprobación. </v>
      </c>
      <c r="S617" s="11" t="str">
        <f>IFERROR(IF(VLOOKUP(A617,[5]PRIORIZADOS!$A:$S,19,FALSE)="","",VLOOKUP(A617,[5]PRIORIZADOS!$A:$S,19,FALSE)),"")</f>
        <v>Solicitar la modificación de la licencia a la DILE incluyendo todos los predios, con el cumplimiento de todos los requisitos.</v>
      </c>
      <c r="T617" s="70" t="str">
        <f>IFERROR(IF(VLOOKUP(A617,[5]PRIORIZADOS!$A:$T,20,FALSE)="","",VLOOKUP(A617,[5]PRIORIZADOS!$A:$T,20,FALSE)),"")</f>
        <v>Si</v>
      </c>
      <c r="U617" s="11" t="str">
        <f>IFERROR(IF(VLOOKUP(A617,[5]PRIORIZADOS!$A:$U,21,FALSE)="","",VLOOKUP(A617,[5]PRIORIZADOS!$A:$U,21,FALSE)),"")</f>
        <v xml:space="preserve">Entrega del Plan de Mejoramiento para el día 03 de octubre. </v>
      </c>
    </row>
    <row r="618" spans="1:21" s="1" customFormat="1" ht="60">
      <c r="A618" s="69">
        <f>IF([5]PRIORIZADOS!A126="","",[5]PRIORIZADOS!A126)</f>
        <v>2831</v>
      </c>
      <c r="B618" s="70">
        <f>IFERROR(IF(VLOOKUP(A618,[5]PRIORIZADOS!$A:$B,2,FALSE)="","",VLOOKUP(A618,[5]PRIORIZADOS!$A:$B,2,FALSE)),"")</f>
        <v>14</v>
      </c>
      <c r="C618" s="11" t="str">
        <f>IFERROR(IF(VLOOKUP(A618,[5]PRIORIZADOS!$A:$C,3,FALSE)="","",VLOOKUP(A618,[5]PRIORIZADOS!$A:$C,3,FALSE)),"")</f>
        <v>CIUDAD BOLÍVAR</v>
      </c>
      <c r="D618" s="11" t="str">
        <f>IFERROR(IF(VLOOKUP(A618,[5]PRIORIZADOS!$A:$D,4,FALSE)="","",VLOOKUP(A618,[5]PRIORIZADOS!$A:$D,4,FALSE)),"")</f>
        <v>PRIVADO</v>
      </c>
      <c r="E618" s="11" t="str">
        <f>IFERROR(IF(VLOOKUP(A618,[5]PRIORIZADOS!$A:$E,5,FALSE)="","",VLOOKUP(A618,[5]PRIORIZADOS!$A:$E,5,FALSE)),"")</f>
        <v>EPBM</v>
      </c>
      <c r="F618" s="11" t="str">
        <f>IFERROR(IF(VLOOKUP(A618,[5]PRIORIZADOS!$A:$F,6,FALSE)="","",VLOOKUP(A618,[5]PRIORIZADOS!$A:$F,6,FALSE)),"")</f>
        <v>LICEO_LA_CORUÑA</v>
      </c>
      <c r="G618" s="11" t="str">
        <f>IFERROR(IF(VLOOKUP(A618,[5]PRIORIZADOS!$A:$G,7,FALSE)="","",VLOOKUP(A618,[5]PRIORIZADOS!$A:$G,7,FALSE)),"")</f>
        <v>LICEO LA CORUÑA</v>
      </c>
      <c r="H618" s="11" t="str">
        <f>IFERROR(IF(VLOOKUP(A618,[5]PRIORIZADOS!$A:$H,8,FALSE)="","",VLOOKUP(A618,[5]PRIORIZADOS!$A:$H,8,FALSE)),"")</f>
        <v>Autoevaluación Institucional y Pruebas SABER 11</v>
      </c>
      <c r="I618" s="11" t="str">
        <f>IFERROR(IF(VLOOKUP(A618,[5]PRIORIZADOS!$A:$I,9,FALSE)="","",VLOOKUP(A618,[5]PRIORIZADOS!$A:$I,9,FALSE)),"")</f>
        <v>SEGUIMIENTO_Y_SUPERVISIÓN.</v>
      </c>
      <c r="J618" s="11" t="str">
        <f>IFERROR(IF(VLOOKUP(A618,[5]PRIORIZADOS!$A:$J,10,FALSE)="","",VLOOKUP(A618,[5]PRIORIZADOS!$A:$J,10,FALSE)),"")</f>
        <v>Proponer estrategias en la formulación, verificar su elaboración y realizar seguimiento semestral al desarrollo de  las acciones establecidas en los planes de mejoramiento por pruebas SABER 11 de los establecimientos de educación formal.</v>
      </c>
      <c r="K618" s="11" t="str">
        <f>IFERROR(IF(VLOOKUP(A618,[5]PRIORIZADOS!$A:$K,11,FALSE)="","",VLOOKUP(A618,[5]PRIORIZADOS!$A:$K,11,FALSE)),"")</f>
        <v>ÓSCAR JAVIER CÁRDENAS MUÑOZ</v>
      </c>
      <c r="L618" s="11" t="str">
        <f>IFERROR(IF(VLOOKUP(A618,[5]PRIORIZADOS!$A:$L,12,FALSE)="","",VLOOKUP(A618,[5]PRIORIZADOS!$A:$L,12,FALSE)),"")</f>
        <v xml:space="preserve">JUDITH SOLANO RAMÍREZ </v>
      </c>
      <c r="M618" s="71">
        <f>IFERROR(IF(VLOOKUP(A618,[5]PRIORIZADOS!$A:$M,13,FALSE)="","",VLOOKUP(A618,[5]PRIORIZADOS!$A:$M,13,FALSE)),"")</f>
        <v>45930</v>
      </c>
      <c r="N618" s="71">
        <f>IFERROR(IF(VLOOKUP(A618,[5]PRIORIZADOS!$A:$N,14,FALSE)="","",VLOOKUP(A618,[5]PRIORIZADOS!$A:$N,14,FALSE)),"")</f>
        <v>45903</v>
      </c>
      <c r="O618" s="71">
        <f>IFERROR(IF(VLOOKUP(A618,[5]PRIORIZADOS!$A:$O,15,FALSE)="","",VLOOKUP(A618,[5]PRIORIZADOS!$A:$O,15,FALSE)),"")</f>
        <v>45903</v>
      </c>
      <c r="P618" s="11" t="str">
        <f>IFERROR(IF(VLOOKUP(A618,[5]PRIORIZADOS!$A:$P,16,FALSE)="","",VLOOKUP(A618,[5]PRIORIZADOS!$A:$P,16,FALSE)),"")</f>
        <v>Visitas de evaluación con fines de mejoramiento</v>
      </c>
      <c r="Q618" s="138" t="s">
        <v>127</v>
      </c>
      <c r="R618" s="11" t="str">
        <f>IFERROR(IF(VLOOKUP(A618,[5]PRIORIZADOS!$A:$R,18,FALSE)="","",VLOOKUP(A618,[5]PRIORIZADOS!$A:$R,18,FALSE)),"")</f>
        <v xml:space="preserve">Aunque tienen un analisis de los resulatdos en Pruebas Saber, las acciones no han sido efectivas y no se han dispuesto, acciones internas que fomente el uso de pruebas tipo saber para los estudiantes. </v>
      </c>
      <c r="S618" s="11" t="str">
        <f>IFERROR(IF(VLOOKUP(A618,[5]PRIORIZADOS!$A:$S,19,FALSE)="","",VLOOKUP(A618,[5]PRIORIZADOS!$A:$S,19,FALSE)),"")</f>
        <v>Definir estrategías concretas para la superación de los resultados en las pruebas SABER con el apoyo del Consejo Académico.</v>
      </c>
      <c r="T618" s="70" t="str">
        <f>IFERROR(IF(VLOOKUP(A618,[5]PRIORIZADOS!$A:$T,20,FALSE)="","",VLOOKUP(A618,[5]PRIORIZADOS!$A:$T,20,FALSE)),"")</f>
        <v>Si</v>
      </c>
      <c r="U618" s="11" t="str">
        <f>IFERROR(IF(VLOOKUP(A618,[5]PRIORIZADOS!$A:$U,21,FALSE)="","",VLOOKUP(A618,[5]PRIORIZADOS!$A:$U,21,FALSE)),"")</f>
        <v>Verificación del Plan de Mejoramiento para el día 03 de octubre. 
Revisión de la aplicación de acciones para el mejoramiento en las pruebas saber 11° para febrero de 2026.</v>
      </c>
    </row>
    <row r="619" spans="1:21" s="1" customFormat="1" ht="60">
      <c r="A619" s="69">
        <f>IF([5]PRIORIZADOS!A127="","",[5]PRIORIZADOS!A127)</f>
        <v>2832</v>
      </c>
      <c r="B619" s="70">
        <f>IFERROR(IF(VLOOKUP(A619,[5]PRIORIZADOS!$A:$B,2,FALSE)="","",VLOOKUP(A619,[5]PRIORIZADOS!$A:$B,2,FALSE)),"")</f>
        <v>14</v>
      </c>
      <c r="C619" s="11" t="str">
        <f>IFERROR(IF(VLOOKUP(A619,[5]PRIORIZADOS!$A:$C,3,FALSE)="","",VLOOKUP(A619,[5]PRIORIZADOS!$A:$C,3,FALSE)),"")</f>
        <v>CIUDAD BOLÍVAR</v>
      </c>
      <c r="D619" s="11" t="str">
        <f>IFERROR(IF(VLOOKUP(A619,[5]PRIORIZADOS!$A:$D,4,FALSE)="","",VLOOKUP(A619,[5]PRIORIZADOS!$A:$D,4,FALSE)),"")</f>
        <v>PRIVADO</v>
      </c>
      <c r="E619" s="11" t="str">
        <f>IFERROR(IF(VLOOKUP(A619,[5]PRIORIZADOS!$A:$E,5,FALSE)="","",VLOOKUP(A619,[5]PRIORIZADOS!$A:$E,5,FALSE)),"")</f>
        <v>EPBM</v>
      </c>
      <c r="F619" s="11" t="str">
        <f>IFERROR(IF(VLOOKUP(A619,[5]PRIORIZADOS!$A:$F,6,FALSE)="","",VLOOKUP(A619,[5]PRIORIZADOS!$A:$F,6,FALSE)),"")</f>
        <v>LICEO_LA_CORUÑA</v>
      </c>
      <c r="G619" s="11" t="str">
        <f>IFERROR(IF(VLOOKUP(A619,[5]PRIORIZADOS!$A:$G,7,FALSE)="","",VLOOKUP(A619,[5]PRIORIZADOS!$A:$G,7,FALSE)),"")</f>
        <v>LICEO LA CORUÑA</v>
      </c>
      <c r="H619" s="11" t="str">
        <f>IFERROR(IF(VLOOKUP(A619,[5]PRIORIZADOS!$A:$H,8,FALSE)="","",VLOOKUP(A619,[5]PRIORIZADOS!$A:$H,8,FALSE)),"")</f>
        <v>Autoevaluación Institucional y Pruebas SABER 11</v>
      </c>
      <c r="I619" s="11" t="str">
        <f>IFERROR(IF(VLOOKUP(A619,[5]PRIORIZADOS!$A:$I,9,FALSE)="","",VLOOKUP(A619,[5]PRIORIZADOS!$A:$I,9,FALSE)),"")</f>
        <v>SEGUIMIENTO_Y_SUPERVISIÓN.</v>
      </c>
      <c r="J619" s="11" t="str">
        <f>IFERROR(IF(VLOOKUP(A619,[5]PRIORIZADOS!$A:$J,10,FALSE)="","",VLOOKUP(A619,[5]PRIORIZADOS!$A:$J,10,FALSE)),"")</f>
        <v xml:space="preserve">Verificar la implementación por parte de los colegios, de acciones realizadas para la prevención y atención de las situaciones de convivencia en el entorno escolar, según lo establecido en la Directiva 01 de 2022 del MEN. </v>
      </c>
      <c r="K619" s="11" t="str">
        <f>IFERROR(IF(VLOOKUP(A619,[5]PRIORIZADOS!$A:$K,11,FALSE)="","",VLOOKUP(A619,[5]PRIORIZADOS!$A:$K,11,FALSE)),"")</f>
        <v>ÓSCAR JAVIER CÁRDENAS MUÑOZ</v>
      </c>
      <c r="L619" s="11" t="str">
        <f>IFERROR(IF(VLOOKUP(A619,[5]PRIORIZADOS!$A:$L,12,FALSE)="","",VLOOKUP(A619,[5]PRIORIZADOS!$A:$L,12,FALSE)),"")</f>
        <v xml:space="preserve">JUDITH SOLANO RAMÍREZ </v>
      </c>
      <c r="M619" s="71">
        <f>IFERROR(IF(VLOOKUP(A619,[5]PRIORIZADOS!$A:$M,13,FALSE)="","",VLOOKUP(A619,[5]PRIORIZADOS!$A:$M,13,FALSE)),"")</f>
        <v>45930</v>
      </c>
      <c r="N619" s="71">
        <f>IFERROR(IF(VLOOKUP(A619,[5]PRIORIZADOS!$A:$N,14,FALSE)="","",VLOOKUP(A619,[5]PRIORIZADOS!$A:$N,14,FALSE)),"")</f>
        <v>45903</v>
      </c>
      <c r="O619" s="71">
        <f>IFERROR(IF(VLOOKUP(A619,[5]PRIORIZADOS!$A:$O,15,FALSE)="","",VLOOKUP(A619,[5]PRIORIZADOS!$A:$O,15,FALSE)),"")</f>
        <v>45903</v>
      </c>
      <c r="P619" s="11" t="str">
        <f>IFERROR(IF(VLOOKUP(A619,[5]PRIORIZADOS!$A:$P,16,FALSE)="","",VLOOKUP(A619,[5]PRIORIZADOS!$A:$P,16,FALSE)),"")</f>
        <v>Visitas de evaluación con fines de mejoramiento</v>
      </c>
      <c r="Q619" s="138" t="s">
        <v>127</v>
      </c>
      <c r="R619" s="11" t="str">
        <f>IFERROR(IF(VLOOKUP(A619,[5]PRIORIZADOS!$A:$R,18,FALSE)="","",VLOOKUP(A619,[5]PRIORIZADOS!$A:$R,18,FALSE)),"")</f>
        <v>Tienen un Manual de Convivencia acorde y no presentan situaciones de convivencia de alto impacto, sin embargo, se recomienda actualizar normativamente el documento para la vigencia 2026.</v>
      </c>
      <c r="S619" s="11" t="str">
        <f>IFERROR(IF(VLOOKUP(A619,[5]PRIORIZADOS!$A:$S,19,FALSE)="","",VLOOKUP(A619,[5]PRIORIZADOS!$A:$S,19,FALSE)),"")</f>
        <v>Actualizar normativamente el Manual de Convivencia</v>
      </c>
      <c r="T619" s="70" t="str">
        <f>IFERROR(IF(VLOOKUP(A619,[5]PRIORIZADOS!$A:$T,20,FALSE)="","",VLOOKUP(A619,[5]PRIORIZADOS!$A:$T,20,FALSE)),"")</f>
        <v>Si</v>
      </c>
      <c r="U619" s="11" t="str">
        <f>IFERROR(IF(VLOOKUP(A619,[5]PRIORIZADOS!$A:$U,21,FALSE)="","",VLOOKUP(A619,[5]PRIORIZADOS!$A:$U,21,FALSE)),"")</f>
        <v xml:space="preserve">Verificar la actualización normativamente del MC para la vigencia 2026. </v>
      </c>
    </row>
    <row r="620" spans="1:21" s="1" customFormat="1" ht="72">
      <c r="A620" s="69">
        <f>IF([5]PRIORIZADOS!A128="","",[5]PRIORIZADOS!A128)</f>
        <v>2833</v>
      </c>
      <c r="B620" s="70">
        <f>IFERROR(IF(VLOOKUP(A620,[5]PRIORIZADOS!$A:$B,2,FALSE)="","",VLOOKUP(A620,[5]PRIORIZADOS!$A:$B,2,FALSE)),"")</f>
        <v>14</v>
      </c>
      <c r="C620" s="11" t="str">
        <f>IFERROR(IF(VLOOKUP(A620,[5]PRIORIZADOS!$A:$C,3,FALSE)="","",VLOOKUP(A620,[5]PRIORIZADOS!$A:$C,3,FALSE)),"")</f>
        <v>CIUDAD BOLÍVAR</v>
      </c>
      <c r="D620" s="11" t="str">
        <f>IFERROR(IF(VLOOKUP(A620,[5]PRIORIZADOS!$A:$D,4,FALSE)="","",VLOOKUP(A620,[5]PRIORIZADOS!$A:$D,4,FALSE)),"")</f>
        <v>PRIVADO</v>
      </c>
      <c r="E620" s="11" t="str">
        <f>IFERROR(IF(VLOOKUP(A620,[5]PRIORIZADOS!$A:$E,5,FALSE)="","",VLOOKUP(A620,[5]PRIORIZADOS!$A:$E,5,FALSE)),"")</f>
        <v>EPBM</v>
      </c>
      <c r="F620" s="11" t="str">
        <f>IFERROR(IF(VLOOKUP(A620,[5]PRIORIZADOS!$A:$F,6,FALSE)="","",VLOOKUP(A620,[5]PRIORIZADOS!$A:$F,6,FALSE)),"")</f>
        <v>LICEO_LA_CORUÑA</v>
      </c>
      <c r="G620" s="11" t="str">
        <f>IFERROR(IF(VLOOKUP(A620,[5]PRIORIZADOS!$A:$G,7,FALSE)="","",VLOOKUP(A620,[5]PRIORIZADOS!$A:$G,7,FALSE)),"")</f>
        <v>LICEO LA CORUÑA</v>
      </c>
      <c r="H620" s="11" t="str">
        <f>IFERROR(IF(VLOOKUP(A620,[5]PRIORIZADOS!$A:$H,8,FALSE)="","",VLOOKUP(A620,[5]PRIORIZADOS!$A:$H,8,FALSE)),"")</f>
        <v>Autoevaluación Institucional y Pruebas SABER 11</v>
      </c>
      <c r="I620" s="11" t="str">
        <f>IFERROR(IF(VLOOKUP(A620,[5]PRIORIZADOS!$A:$I,9,FALSE)="","",VLOOKUP(A620,[5]PRIORIZADOS!$A:$I,9,FALSE)),"")</f>
        <v>SEGUIMIENTO_Y_SUPERVISIÓN.</v>
      </c>
      <c r="J620" s="11" t="str">
        <f>IFERROR(IF(VLOOKUP(A620,[5]PRIORIZADOS!$A:$J,10,FALSE)="","",VLOOKUP(A620,[5]PRIORIZADOS!$A:$J,10,FALSE)),"")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20" s="11" t="str">
        <f>IFERROR(IF(VLOOKUP(A620,[5]PRIORIZADOS!$A:$K,11,FALSE)="","",VLOOKUP(A620,[5]PRIORIZADOS!$A:$K,11,FALSE)),"")</f>
        <v>ÓSCAR JAVIER CÁRDENAS MUÑOZ</v>
      </c>
      <c r="L620" s="11" t="str">
        <f>IFERROR(IF(VLOOKUP(A620,[5]PRIORIZADOS!$A:$L,12,FALSE)="","",VLOOKUP(A620,[5]PRIORIZADOS!$A:$L,12,FALSE)),"")</f>
        <v xml:space="preserve">JUDITH SOLANO RAMÍREZ </v>
      </c>
      <c r="M620" s="71">
        <f>IFERROR(IF(VLOOKUP(A620,[5]PRIORIZADOS!$A:$M,13,FALSE)="","",VLOOKUP(A620,[5]PRIORIZADOS!$A:$M,13,FALSE)),"")</f>
        <v>45930</v>
      </c>
      <c r="N620" s="71">
        <f>IFERROR(IF(VLOOKUP(A620,[5]PRIORIZADOS!$A:$N,14,FALSE)="","",VLOOKUP(A620,[5]PRIORIZADOS!$A:$N,14,FALSE)),"")</f>
        <v>45903</v>
      </c>
      <c r="O620" s="71">
        <f>IFERROR(IF(VLOOKUP(A620,[5]PRIORIZADOS!$A:$O,15,FALSE)="","",VLOOKUP(A620,[5]PRIORIZADOS!$A:$O,15,FALSE)),"")</f>
        <v>45903</v>
      </c>
      <c r="P620" s="11" t="str">
        <f>IFERROR(IF(VLOOKUP(A620,[5]PRIORIZADOS!$A:$P,16,FALSE)="","",VLOOKUP(A620,[5]PRIORIZADOS!$A:$P,16,FALSE)),"")</f>
        <v>Visitas de evaluación con fines de mejoramiento</v>
      </c>
      <c r="Q620" s="138" t="s">
        <v>127</v>
      </c>
      <c r="R620" s="11" t="str">
        <f>IFERROR(IF(VLOOKUP(A620,[5]PRIORIZADOS!$A:$R,18,FALSE)="","",VLOOKUP(A620,[5]PRIORIZADOS!$A:$R,18,FALSE)),"")</f>
        <v>Tiene caracterizados en Simat estudiantes diferentes a los que les han hecho PIAR</v>
      </c>
      <c r="S620" s="11" t="str">
        <f>IFERROR(IF(VLOOKUP(A620,[5]PRIORIZADOS!$A:$S,19,FALSE)="","",VLOOKUP(A620,[5]PRIORIZADOS!$A:$S,19,FALSE)),"")</f>
        <v>Actualizar SIMAT con la información real de los estudiantes de inclusión.
Actualizar el PIAR del estudiante con TDAH.</v>
      </c>
      <c r="T620" s="70" t="str">
        <f>IFERROR(IF(VLOOKUP(A620,[5]PRIORIZADOS!$A:$T,20,FALSE)="","",VLOOKUP(A620,[5]PRIORIZADOS!$A:$T,20,FALSE)),"")</f>
        <v>Si</v>
      </c>
      <c r="U620" s="11" t="str">
        <f>IFERROR(IF(VLOOKUP(A620,[5]PRIORIZADOS!$A:$U,21,FALSE)="","",VLOOKUP(A620,[5]PRIORIZADOS!$A:$U,21,FALSE)),"")</f>
        <v>Verificar el Plan de Mejoramiento para el día 03 de octubre. 
Se evidencia segun revisión documental que caraterizaron debidamente a los estudiantes con algún tipo de discapacidad.</v>
      </c>
    </row>
    <row r="621" spans="1:21" s="1" customFormat="1" ht="84">
      <c r="A621" s="69">
        <f>IF([5]PRIORIZADOS!A129="","",[5]PRIORIZADOS!A129)</f>
        <v>2834</v>
      </c>
      <c r="B621" s="70">
        <f>IFERROR(IF(VLOOKUP(A621,[5]PRIORIZADOS!$A:$B,2,FALSE)="","",VLOOKUP(A621,[5]PRIORIZADOS!$A:$B,2,FALSE)),"")</f>
        <v>14</v>
      </c>
      <c r="C621" s="11" t="str">
        <f>IFERROR(IF(VLOOKUP(A621,[5]PRIORIZADOS!$A:$C,3,FALSE)="","",VLOOKUP(A621,[5]PRIORIZADOS!$A:$C,3,FALSE)),"")</f>
        <v>CIUDAD BOLÍVAR</v>
      </c>
      <c r="D621" s="11" t="str">
        <f>IFERROR(IF(VLOOKUP(A621,[5]PRIORIZADOS!$A:$D,4,FALSE)="","",VLOOKUP(A621,[5]PRIORIZADOS!$A:$D,4,FALSE)),"")</f>
        <v>PRIVADO</v>
      </c>
      <c r="E621" s="11" t="str">
        <f>IFERROR(IF(VLOOKUP(A621,[5]PRIORIZADOS!$A:$E,5,FALSE)="","",VLOOKUP(A621,[5]PRIORIZADOS!$A:$E,5,FALSE)),"")</f>
        <v>EPBM</v>
      </c>
      <c r="F621" s="11" t="str">
        <f>IFERROR(IF(VLOOKUP(A621,[5]PRIORIZADOS!$A:$F,6,FALSE)="","",VLOOKUP(A621,[5]PRIORIZADOS!$A:$F,6,FALSE)),"")</f>
        <v>LICEO_LA_CORUÑA</v>
      </c>
      <c r="G621" s="11" t="str">
        <f>IFERROR(IF(VLOOKUP(A621,[5]PRIORIZADOS!$A:$G,7,FALSE)="","",VLOOKUP(A621,[5]PRIORIZADOS!$A:$G,7,FALSE)),"")</f>
        <v>LICEO LA CORUÑA</v>
      </c>
      <c r="H621" s="11" t="str">
        <f>IFERROR(IF(VLOOKUP(A621,[5]PRIORIZADOS!$A:$H,8,FALSE)="","",VLOOKUP(A621,[5]PRIORIZADOS!$A:$H,8,FALSE)),"")</f>
        <v>Autoevaluación Institucional y Pruebas SABER 11</v>
      </c>
      <c r="I621" s="11" t="str">
        <f>IFERROR(IF(VLOOKUP(A621,[5]PRIORIZADOS!$A:$I,9,FALSE)="","",VLOOKUP(A621,[5]PRIORIZADOS!$A:$I,9,FALSE)),"")</f>
        <v>EVALUACIÓN_CON_FINES_DE_MEJORAMIENTO.</v>
      </c>
      <c r="J621" s="11" t="str">
        <f>IFERROR(IF(VLOOKUP(A621,[5]PRIORIZADOS!$A:$J,10,FALSE)="","",VLOOKUP(A621,[5]PRIORIZADOS!$A:$J,10,FALSE)),"")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21" s="11" t="str">
        <f>IFERROR(IF(VLOOKUP(A621,[5]PRIORIZADOS!$A:$K,11,FALSE)="","",VLOOKUP(A621,[5]PRIORIZADOS!$A:$K,11,FALSE)),"")</f>
        <v>ÓSCAR JAVIER CÁRDENAS MUÑOZ</v>
      </c>
      <c r="L621" s="11" t="str">
        <f>IFERROR(IF(VLOOKUP(A621,[5]PRIORIZADOS!$A:$L,12,FALSE)="","",VLOOKUP(A621,[5]PRIORIZADOS!$A:$L,12,FALSE)),"")</f>
        <v xml:space="preserve">JUDITH SOLANO RAMÍREZ </v>
      </c>
      <c r="M621" s="71">
        <f>IFERROR(IF(VLOOKUP(A621,[5]PRIORIZADOS!$A:$M,13,FALSE)="","",VLOOKUP(A621,[5]PRIORIZADOS!$A:$M,13,FALSE)),"")</f>
        <v>45930</v>
      </c>
      <c r="N621" s="71">
        <f>IFERROR(IF(VLOOKUP(A621,[5]PRIORIZADOS!$A:$N,14,FALSE)="","",VLOOKUP(A621,[5]PRIORIZADOS!$A:$N,14,FALSE)),"")</f>
        <v>45903</v>
      </c>
      <c r="O621" s="71">
        <f>IFERROR(IF(VLOOKUP(A621,[5]PRIORIZADOS!$A:$O,15,FALSE)="","",VLOOKUP(A621,[5]PRIORIZADOS!$A:$O,15,FALSE)),"")</f>
        <v>45903</v>
      </c>
      <c r="P621" s="11" t="str">
        <f>IFERROR(IF(VLOOKUP(A621,[5]PRIORIZADOS!$A:$P,16,FALSE)="","",VLOOKUP(A621,[5]PRIORIZADOS!$A:$P,16,FALSE)),"")</f>
        <v>Visitas de evaluación con fines de mejoramiento</v>
      </c>
      <c r="Q621" s="138" t="s">
        <v>127</v>
      </c>
      <c r="R621" s="11" t="str">
        <f>IFERROR(IF(VLOOKUP(A621,[5]PRIORIZADOS!$A:$R,18,FALSE)="","",VLOOKUP(A621,[5]PRIORIZADOS!$A:$R,18,FALSE)),"")</f>
        <v>Tienen un Manual de Convivencia desactualizado normativamente.</v>
      </c>
      <c r="S621" s="11" t="str">
        <f>IFERROR(IF(VLOOKUP(A621,[5]PRIORIZADOS!$A:$S,19,FALSE)="","",VLOOKUP(A621,[5]PRIORIZADOS!$A:$S,19,FALSE)),"")</f>
        <v xml:space="preserve">Actualizar el Manual de Convivencia con base en la normatividad vigente y los protocolos de atención. </v>
      </c>
      <c r="T621" s="70" t="str">
        <f>IFERROR(IF(VLOOKUP(A621,[5]PRIORIZADOS!$A:$T,20,FALSE)="","",VLOOKUP(A621,[5]PRIORIZADOS!$A:$T,20,FALSE)),"")</f>
        <v>Si</v>
      </c>
      <c r="U621" s="11" t="str">
        <f>IFERROR(IF(VLOOKUP(A621,[5]PRIORIZADOS!$A:$U,21,FALSE)="","",VLOOKUP(A621,[5]PRIORIZADOS!$A:$U,21,FALSE)),"")</f>
        <v>Verificar del Plan de Mejoramiento para el día 03 de octubre. Para el siguiente vigencia se hara la revisión del documento MC que debe estar debidamente actualizado, aprobado y ejecutado.</v>
      </c>
    </row>
    <row r="622" spans="1:21" s="1" customFormat="1" ht="48">
      <c r="A622" s="69">
        <f>IF([5]PRIORIZADOS!A130="","",[5]PRIORIZADOS!A130)</f>
        <v>2835</v>
      </c>
      <c r="B622" s="70">
        <f>IFERROR(IF(VLOOKUP(A622,[5]PRIORIZADOS!$A:$B,2,FALSE)="","",VLOOKUP(A622,[5]PRIORIZADOS!$A:$B,2,FALSE)),"")</f>
        <v>14</v>
      </c>
      <c r="C622" s="11" t="str">
        <f>IFERROR(IF(VLOOKUP(A622,[5]PRIORIZADOS!$A:$C,3,FALSE)="","",VLOOKUP(A622,[5]PRIORIZADOS!$A:$C,3,FALSE)),"")</f>
        <v>CIUDAD BOLÍVAR</v>
      </c>
      <c r="D622" s="11" t="str">
        <f>IFERROR(IF(VLOOKUP(A622,[5]PRIORIZADOS!$A:$D,4,FALSE)="","",VLOOKUP(A622,[5]PRIORIZADOS!$A:$D,4,FALSE)),"")</f>
        <v>PRIVADO</v>
      </c>
      <c r="E622" s="11" t="str">
        <f>IFERROR(IF(VLOOKUP(A622,[5]PRIORIZADOS!$A:$E,5,FALSE)="","",VLOOKUP(A622,[5]PRIORIZADOS!$A:$E,5,FALSE)),"")</f>
        <v>EPBM</v>
      </c>
      <c r="F622" s="11" t="str">
        <f>IFERROR(IF(VLOOKUP(A622,[5]PRIORIZADOS!$A:$F,6,FALSE)="","",VLOOKUP(A622,[5]PRIORIZADOS!$A:$F,6,FALSE)),"")</f>
        <v>LICEO_LA_CORUÑA</v>
      </c>
      <c r="G622" s="11" t="str">
        <f>IFERROR(IF(VLOOKUP(A622,[5]PRIORIZADOS!$A:$G,7,FALSE)="","",VLOOKUP(A622,[5]PRIORIZADOS!$A:$G,7,FALSE)),"")</f>
        <v>LICEO LA CORUÑA</v>
      </c>
      <c r="H622" s="11" t="str">
        <f>IFERROR(IF(VLOOKUP(A622,[5]PRIORIZADOS!$A:$H,8,FALSE)="","",VLOOKUP(A622,[5]PRIORIZADOS!$A:$H,8,FALSE)),"")</f>
        <v>Autoevaluación Institucional y Pruebas SABER 11</v>
      </c>
      <c r="I622" s="11" t="str">
        <f>IFERROR(IF(VLOOKUP(A622,[5]PRIORIZADOS!$A:$I,9,FALSE)="","",VLOOKUP(A622,[5]PRIORIZADOS!$A:$I,9,FALSE)),"")</f>
        <v>EVALUACIÓN_CON_FINES_DE_MEJORAMIENTO.</v>
      </c>
      <c r="J622" s="11" t="str">
        <f>IFERROR(IF(VLOOKUP(A622,[5]PRIORIZADOS!$A:$J,10,FALSE)="","",VLOOKUP(A622,[5]PRIORIZADOS!$A:$J,10,FALSE)),"")</f>
        <v>Revisar la actualización, socialización e implementación del Sistema Institucional de Evaluación de Estudiantes - SIEE, en articulación con la actualización del PEI y la normatividad vigente.</v>
      </c>
      <c r="K622" s="11" t="str">
        <f>IFERROR(IF(VLOOKUP(A622,[5]PRIORIZADOS!$A:$K,11,FALSE)="","",VLOOKUP(A622,[5]PRIORIZADOS!$A:$K,11,FALSE)),"")</f>
        <v>ÓSCAR JAVIER CÁRDENAS MUÑOZ</v>
      </c>
      <c r="L622" s="11" t="str">
        <f>IFERROR(IF(VLOOKUP(A622,[5]PRIORIZADOS!$A:$L,12,FALSE)="","",VLOOKUP(A622,[5]PRIORIZADOS!$A:$L,12,FALSE)),"")</f>
        <v xml:space="preserve">JUDITH SOLANO RAMÍREZ </v>
      </c>
      <c r="M622" s="71">
        <f>IFERROR(IF(VLOOKUP(A622,[5]PRIORIZADOS!$A:$M,13,FALSE)="","",VLOOKUP(A622,[5]PRIORIZADOS!$A:$M,13,FALSE)),"")</f>
        <v>45930</v>
      </c>
      <c r="N622" s="71">
        <f>IFERROR(IF(VLOOKUP(A622,[5]PRIORIZADOS!$A:$N,14,FALSE)="","",VLOOKUP(A622,[5]PRIORIZADOS!$A:$N,14,FALSE)),"")</f>
        <v>45903</v>
      </c>
      <c r="O622" s="71">
        <f>IFERROR(IF(VLOOKUP(A622,[5]PRIORIZADOS!$A:$O,15,FALSE)="","",VLOOKUP(A622,[5]PRIORIZADOS!$A:$O,15,FALSE)),"")</f>
        <v>45903</v>
      </c>
      <c r="P622" s="11" t="str">
        <f>IFERROR(IF(VLOOKUP(A622,[5]PRIORIZADOS!$A:$P,16,FALSE)="","",VLOOKUP(A622,[5]PRIORIZADOS!$A:$P,16,FALSE)),"")</f>
        <v>Visitas de evaluación con fines de mejoramiento</v>
      </c>
      <c r="Q622" s="138" t="s">
        <v>127</v>
      </c>
      <c r="R622" s="11" t="str">
        <f>IFERROR(IF(VLOOKUP(A622,[5]PRIORIZADOS!$A:$R,18,FALSE)="","",VLOOKUP(A622,[5]PRIORIZADOS!$A:$R,18,FALSE)),"")</f>
        <v xml:space="preserve">El SIEE no está actualizado normativamente </v>
      </c>
      <c r="S622" s="11" t="str">
        <f>IFERROR(IF(VLOOKUP(A622,[5]PRIORIZADOS!$A:$S,19,FALSE)="","",VLOOKUP(A622,[5]PRIORIZADOS!$A:$S,19,FALSE)),"")</f>
        <v xml:space="preserve">Actualizar normativamente el SIEE e indicar reglamento de las comisiones de promoción y evaluación. </v>
      </c>
      <c r="T622" s="70" t="str">
        <f>IFERROR(IF(VLOOKUP(A622,[5]PRIORIZADOS!$A:$T,20,FALSE)="","",VLOOKUP(A622,[5]PRIORIZADOS!$A:$T,20,FALSE)),"")</f>
        <v>Si</v>
      </c>
      <c r="U622" s="11" t="str">
        <f>IFERROR(IF(VLOOKUP(A622,[5]PRIORIZADOS!$A:$U,21,FALSE)="","",VLOOKUP(A622,[5]PRIORIZADOS!$A:$U,21,FALSE)),"")</f>
        <v xml:space="preserve">Verificar el Plan de Mejoramiento para el día 03 de octubre. 
Actualizar normativamente el SIEE para la vigencia 2026, lo cual se verificará el siguiente año. </v>
      </c>
    </row>
    <row r="623" spans="1:21" s="1" customFormat="1" ht="48">
      <c r="A623" s="69">
        <f>IF([5]PRIORIZADOS!A131="","",[5]PRIORIZADOS!A131)</f>
        <v>2836</v>
      </c>
      <c r="B623" s="70">
        <f>IFERROR(IF(VLOOKUP(A623,[5]PRIORIZADOS!$A:$B,2,FALSE)="","",VLOOKUP(A623,[5]PRIORIZADOS!$A:$B,2,FALSE)),"")</f>
        <v>14</v>
      </c>
      <c r="C623" s="11" t="str">
        <f>IFERROR(IF(VLOOKUP(A623,[5]PRIORIZADOS!$A:$C,3,FALSE)="","",VLOOKUP(A623,[5]PRIORIZADOS!$A:$C,3,FALSE)),"")</f>
        <v>CIUDAD BOLÍVAR</v>
      </c>
      <c r="D623" s="11" t="str">
        <f>IFERROR(IF(VLOOKUP(A623,[5]PRIORIZADOS!$A:$D,4,FALSE)="","",VLOOKUP(A623,[5]PRIORIZADOS!$A:$D,4,FALSE)),"")</f>
        <v>PRIVADO</v>
      </c>
      <c r="E623" s="11" t="str">
        <f>IFERROR(IF(VLOOKUP(A623,[5]PRIORIZADOS!$A:$E,5,FALSE)="","",VLOOKUP(A623,[5]PRIORIZADOS!$A:$E,5,FALSE)),"")</f>
        <v>EPBM</v>
      </c>
      <c r="F623" s="11" t="str">
        <f>IFERROR(IF(VLOOKUP(A623,[5]PRIORIZADOS!$A:$F,6,FALSE)="","",VLOOKUP(A623,[5]PRIORIZADOS!$A:$F,6,FALSE)),"")</f>
        <v>LICEO_LA_CORUÑA</v>
      </c>
      <c r="G623" s="11" t="str">
        <f>IFERROR(IF(VLOOKUP(A623,[5]PRIORIZADOS!$A:$G,7,FALSE)="","",VLOOKUP(A623,[5]PRIORIZADOS!$A:$G,7,FALSE)),"")</f>
        <v>LICEO LA CORUÑA</v>
      </c>
      <c r="H623" s="11" t="str">
        <f>IFERROR(IF(VLOOKUP(A623,[5]PRIORIZADOS!$A:$H,8,FALSE)="","",VLOOKUP(A623,[5]PRIORIZADOS!$A:$H,8,FALSE)),"")</f>
        <v>Autoevaluación Institucional y Pruebas SABER 11</v>
      </c>
      <c r="I623" s="11" t="str">
        <f>IFERROR(IF(VLOOKUP(A623,[5]PRIORIZADOS!$A:$I,9,FALSE)="","",VLOOKUP(A623,[5]PRIORIZADOS!$A:$I,9,FALSE)),"")</f>
        <v>EVALUACIÓN_CON_FINES_DE_MEJORAMIENTO.</v>
      </c>
      <c r="J623" s="11" t="str">
        <f>IFERROR(IF(VLOOKUP(A623,[5]PRIORIZADOS!$A:$J,10,FALSE)="","",VLOOKUP(A623,[5]PRIORIZADOS!$A:$J,10,FALSE)),"")</f>
        <v>Revisar el calendario escolar, jornada escolar, la intensidad horaria mínima anual en cada nivel y las modificaciones que se realicen al mismo, de acuerdo con lo previsto en la normatividad vigente.</v>
      </c>
      <c r="K623" s="11" t="str">
        <f>IFERROR(IF(VLOOKUP(A623,[5]PRIORIZADOS!$A:$K,11,FALSE)="","",VLOOKUP(A623,[5]PRIORIZADOS!$A:$K,11,FALSE)),"")</f>
        <v>ÓSCAR JAVIER CÁRDENAS MUÑOZ</v>
      </c>
      <c r="L623" s="11" t="str">
        <f>IFERROR(IF(VLOOKUP(A623,[5]PRIORIZADOS!$A:$L,12,FALSE)="","",VLOOKUP(A623,[5]PRIORIZADOS!$A:$L,12,FALSE)),"")</f>
        <v xml:space="preserve">JUDITH SOLANO RAMÍREZ </v>
      </c>
      <c r="M623" s="71">
        <f>IFERROR(IF(VLOOKUP(A623,[5]PRIORIZADOS!$A:$M,13,FALSE)="","",VLOOKUP(A623,[5]PRIORIZADOS!$A:$M,13,FALSE)),"")</f>
        <v>45930</v>
      </c>
      <c r="N623" s="71">
        <f>IFERROR(IF(VLOOKUP(A623,[5]PRIORIZADOS!$A:$N,14,FALSE)="","",VLOOKUP(A623,[5]PRIORIZADOS!$A:$N,14,FALSE)),"")</f>
        <v>45903</v>
      </c>
      <c r="O623" s="71">
        <f>IFERROR(IF(VLOOKUP(A623,[5]PRIORIZADOS!$A:$O,15,FALSE)="","",VLOOKUP(A623,[5]PRIORIZADOS!$A:$O,15,FALSE)),"")</f>
        <v>45903</v>
      </c>
      <c r="P623" s="11" t="str">
        <f>IFERROR(IF(VLOOKUP(A623,[5]PRIORIZADOS!$A:$P,16,FALSE)="","",VLOOKUP(A623,[5]PRIORIZADOS!$A:$P,16,FALSE)),"")</f>
        <v>Visitas de evaluación con fines de mejoramiento</v>
      </c>
      <c r="Q623" s="138" t="s">
        <v>127</v>
      </c>
      <c r="R623" s="11" t="str">
        <f>IFERROR(IF(VLOOKUP(A623,[5]PRIORIZADOS!$A:$R,18,FALSE)="","",VLOOKUP(A623,[5]PRIORIZADOS!$A:$R,18,FALSE)),"")</f>
        <v>Cumplen con la intesidad horaria segun el Decreto 1075 de 2015</v>
      </c>
      <c r="S623" s="11" t="str">
        <f>IFERROR(IF(VLOOKUP(A623,[5]PRIORIZADOS!$A:$S,19,FALSE)="","",VLOOKUP(A623,[5]PRIORIZADOS!$A:$S,19,FALSE)),"")</f>
        <v>Continuar con la debida organziación del calendario escolar y la intensidad horario.</v>
      </c>
      <c r="T623" s="70" t="str">
        <f>IFERROR(IF(VLOOKUP(A623,[5]PRIORIZADOS!$A:$T,20,FALSE)="","",VLOOKUP(A623,[5]PRIORIZADOS!$A:$T,20,FALSE)),"")</f>
        <v>No</v>
      </c>
      <c r="U623" s="11" t="str">
        <f>IFERROR(IF(VLOOKUP(A623,[5]PRIORIZADOS!$A:$U,21,FALSE)="","",VLOOKUP(A623,[5]PRIORIZADOS!$A:$U,21,FALSE)),"")</f>
        <v>Se revisará para la siguiente vigencia el calendario escolar</v>
      </c>
    </row>
    <row r="624" spans="1:21" s="1" customFormat="1" ht="48">
      <c r="A624" s="69">
        <f>IF([5]PRIORIZADOS!A132="","",[5]PRIORIZADOS!A132)</f>
        <v>2837</v>
      </c>
      <c r="B624" s="70">
        <f>IFERROR(IF(VLOOKUP(A624,[5]PRIORIZADOS!$A:$B,2,FALSE)="","",VLOOKUP(A624,[5]PRIORIZADOS!$A:$B,2,FALSE)),"")</f>
        <v>14</v>
      </c>
      <c r="C624" s="11" t="str">
        <f>IFERROR(IF(VLOOKUP(A624,[5]PRIORIZADOS!$A:$C,3,FALSE)="","",VLOOKUP(A624,[5]PRIORIZADOS!$A:$C,3,FALSE)),"")</f>
        <v>CIUDAD BOLÍVAR</v>
      </c>
      <c r="D624" s="11" t="str">
        <f>IFERROR(IF(VLOOKUP(A624,[5]PRIORIZADOS!$A:$D,4,FALSE)="","",VLOOKUP(A624,[5]PRIORIZADOS!$A:$D,4,FALSE)),"")</f>
        <v>PRIVADO</v>
      </c>
      <c r="E624" s="11" t="str">
        <f>IFERROR(IF(VLOOKUP(A624,[5]PRIORIZADOS!$A:$E,5,FALSE)="","",VLOOKUP(A624,[5]PRIORIZADOS!$A:$E,5,FALSE)),"")</f>
        <v>EPBM</v>
      </c>
      <c r="F624" s="11" t="str">
        <f>IFERROR(IF(VLOOKUP(A624,[5]PRIORIZADOS!$A:$F,6,FALSE)="","",VLOOKUP(A624,[5]PRIORIZADOS!$A:$F,6,FALSE)),"")</f>
        <v>LICEO_LA_CORUÑA</v>
      </c>
      <c r="G624" s="11" t="str">
        <f>IFERROR(IF(VLOOKUP(A624,[5]PRIORIZADOS!$A:$G,7,FALSE)="","",VLOOKUP(A624,[5]PRIORIZADOS!$A:$G,7,FALSE)),"")</f>
        <v>LICEO LA CORUÑA</v>
      </c>
      <c r="H624" s="11" t="str">
        <f>IFERROR(IF(VLOOKUP(A624,[5]PRIORIZADOS!$A:$H,8,FALSE)="","",VLOOKUP(A624,[5]PRIORIZADOS!$A:$H,8,FALSE)),"")</f>
        <v>Autoevaluación Institucional y Pruebas SABER 11</v>
      </c>
      <c r="I624" s="11" t="str">
        <f>IFERROR(IF(VLOOKUP(A624,[5]PRIORIZADOS!$A:$I,9,FALSE)="","",VLOOKUP(A624,[5]PRIORIZADOS!$A:$I,9,FALSE)),"")</f>
        <v>EVALUACIÓN_CON_FINES_DE_MEJORAMIENTO.</v>
      </c>
      <c r="J624" s="11" t="str">
        <f>IFERROR(IF(VLOOKUP(A624,[5]PRIORIZADOS!$A:$J,10,FALSE)="","",VLOOKUP(A624,[5]PRIORIZADOS!$A:$J,10,FALSE)),"")</f>
        <v>Verificar el funcionamiento del Gobierno Escolar e instancias de participación con base en la información sobre conformación reportada por la institución educativa.</v>
      </c>
      <c r="K624" s="11" t="str">
        <f>IFERROR(IF(VLOOKUP(A624,[5]PRIORIZADOS!$A:$K,11,FALSE)="","",VLOOKUP(A624,[5]PRIORIZADOS!$A:$K,11,FALSE)),"")</f>
        <v>ÓSCAR JAVIER CÁRDENAS MUÑOZ</v>
      </c>
      <c r="L624" s="11" t="str">
        <f>IFERROR(IF(VLOOKUP(A624,[5]PRIORIZADOS!$A:$L,12,FALSE)="","",VLOOKUP(A624,[5]PRIORIZADOS!$A:$L,12,FALSE)),"")</f>
        <v xml:space="preserve">JUDITH SOLANO RAMÍREZ </v>
      </c>
      <c r="M624" s="71">
        <f>IFERROR(IF(VLOOKUP(A624,[5]PRIORIZADOS!$A:$M,13,FALSE)="","",VLOOKUP(A624,[5]PRIORIZADOS!$A:$M,13,FALSE)),"")</f>
        <v>45930</v>
      </c>
      <c r="N624" s="71">
        <f>IFERROR(IF(VLOOKUP(A624,[5]PRIORIZADOS!$A:$N,14,FALSE)="","",VLOOKUP(A624,[5]PRIORIZADOS!$A:$N,14,FALSE)),"")</f>
        <v>45903</v>
      </c>
      <c r="O624" s="71">
        <f>IFERROR(IF(VLOOKUP(A624,[5]PRIORIZADOS!$A:$O,15,FALSE)="","",VLOOKUP(A624,[5]PRIORIZADOS!$A:$O,15,FALSE)),"")</f>
        <v>45903</v>
      </c>
      <c r="P624" s="11" t="str">
        <f>IFERROR(IF(VLOOKUP(A624,[5]PRIORIZADOS!$A:$P,16,FALSE)="","",VLOOKUP(A624,[5]PRIORIZADOS!$A:$P,16,FALSE)),"")</f>
        <v>Visitas de evaluación con fines de mejoramiento</v>
      </c>
      <c r="Q624" s="138" t="s">
        <v>127</v>
      </c>
      <c r="R624" s="11" t="str">
        <f>IFERROR(IF(VLOOKUP(A624,[5]PRIORIZADOS!$A:$R,18,FALSE)="","",VLOOKUP(A624,[5]PRIORIZADOS!$A:$R,18,FALSE)),"")</f>
        <v>Las actas de reunión están desordenadas y no promueven las reuniones periodicas de los estamentos del Gobierno Escolar.</v>
      </c>
      <c r="S624" s="11" t="str">
        <f>IFERROR(IF(VLOOKUP(A624,[5]PRIORIZADOS!$A:$S,19,FALSE)="","",VLOOKUP(A624,[5]PRIORIZADOS!$A:$S,19,FALSE)),"")</f>
        <v xml:space="preserve">Operativizar las reuniones del Gobierno Escolar.
Elaborar el reglamentos de funcionamiento de los diferentes estamentos </v>
      </c>
      <c r="T624" s="70" t="str">
        <f>IFERROR(IF(VLOOKUP(A624,[5]PRIORIZADOS!$A:$T,20,FALSE)="","",VLOOKUP(A624,[5]PRIORIZADOS!$A:$T,20,FALSE)),"")</f>
        <v>Si</v>
      </c>
      <c r="U624" s="11" t="str">
        <f>IFERROR(IF(VLOOKUP(A624,[5]PRIORIZADOS!$A:$U,21,FALSE)="","",VLOOKUP(A624,[5]PRIORIZADOS!$A:$U,21,FALSE)),"")</f>
        <v>Se hará seguimiento para la siguiente vigencia de la debida conformación y ejecución de los estamentos del Gobierno Escolar.</v>
      </c>
    </row>
    <row r="625" spans="1:21" s="1" customFormat="1" ht="84">
      <c r="A625" s="69">
        <f>IF([5]PRIORIZADOS!A133="","",[5]PRIORIZADOS!A133)</f>
        <v>2838</v>
      </c>
      <c r="B625" s="70">
        <f>IFERROR(IF(VLOOKUP(A625,[5]PRIORIZADOS!$A:$B,2,FALSE)="","",VLOOKUP(A625,[5]PRIORIZADOS!$A:$B,2,FALSE)),"")</f>
        <v>14</v>
      </c>
      <c r="C625" s="11" t="str">
        <f>IFERROR(IF(VLOOKUP(A625,[5]PRIORIZADOS!$A:$C,3,FALSE)="","",VLOOKUP(A625,[5]PRIORIZADOS!$A:$C,3,FALSE)),"")</f>
        <v>CIUDAD BOLÍVAR</v>
      </c>
      <c r="D625" s="11" t="str">
        <f>IFERROR(IF(VLOOKUP(A625,[5]PRIORIZADOS!$A:$D,4,FALSE)="","",VLOOKUP(A625,[5]PRIORIZADOS!$A:$D,4,FALSE)),"")</f>
        <v>PRIVADO</v>
      </c>
      <c r="E625" s="11" t="str">
        <f>IFERROR(IF(VLOOKUP(A625,[5]PRIORIZADOS!$A:$E,5,FALSE)="","",VLOOKUP(A625,[5]PRIORIZADOS!$A:$E,5,FALSE)),"")</f>
        <v>EPBM</v>
      </c>
      <c r="F625" s="11" t="str">
        <f>IFERROR(IF(VLOOKUP(A625,[5]PRIORIZADOS!$A:$F,6,FALSE)="","",VLOOKUP(A625,[5]PRIORIZADOS!$A:$F,6,FALSE)),"")</f>
        <v>LICEO_LA_CORUÑA</v>
      </c>
      <c r="G625" s="11" t="str">
        <f>IFERROR(IF(VLOOKUP(A625,[5]PRIORIZADOS!$A:$G,7,FALSE)="","",VLOOKUP(A625,[5]PRIORIZADOS!$A:$G,7,FALSE)),"")</f>
        <v>LICEO LA CORUÑA</v>
      </c>
      <c r="H625" s="11" t="str">
        <f>IFERROR(IF(VLOOKUP(A625,[5]PRIORIZADOS!$A:$H,8,FALSE)="","",VLOOKUP(A625,[5]PRIORIZADOS!$A:$H,8,FALSE)),"")</f>
        <v>Autoevaluación Institucional y Pruebas SABER 11</v>
      </c>
      <c r="I625" s="11" t="str">
        <f>IFERROR(IF(VLOOKUP(A625,[5]PRIORIZADOS!$A:$I,9,FALSE)="","",VLOOKUP(A625,[5]PRIORIZADOS!$A:$I,9,FALSE)),"")</f>
        <v>EVALUACIÓN_CON_FINES_DE_MEJORAMIENTO.</v>
      </c>
      <c r="J625" s="11" t="str">
        <f>IFERROR(IF(VLOOKUP(A625,[5]PRIORIZADOS!$A:$J,10,FALSE)="","",VLOOKUP(A625,[5]PRIORIZADOS!$A:$J,10,FALSE)),"")</f>
        <v>Verificar las condiciones en cuanto a: la estructura administrativa, condiciones de la planta física y medios educativos adecuados.</v>
      </c>
      <c r="K625" s="11" t="str">
        <f>IFERROR(IF(VLOOKUP(A625,[5]PRIORIZADOS!$A:$K,11,FALSE)="","",VLOOKUP(A625,[5]PRIORIZADOS!$A:$K,11,FALSE)),"")</f>
        <v>ÓSCAR JAVIER CÁRDENAS MUÑOZ</v>
      </c>
      <c r="L625" s="11" t="str">
        <f>IFERROR(IF(VLOOKUP(A625,[5]PRIORIZADOS!$A:$L,12,FALSE)="","",VLOOKUP(A625,[5]PRIORIZADOS!$A:$L,12,FALSE)),"")</f>
        <v xml:space="preserve">JUDITH SOLANO RAMÍREZ </v>
      </c>
      <c r="M625" s="71">
        <f>IFERROR(IF(VLOOKUP(A625,[5]PRIORIZADOS!$A:$M,13,FALSE)="","",VLOOKUP(A625,[5]PRIORIZADOS!$A:$M,13,FALSE)),"")</f>
        <v>45930</v>
      </c>
      <c r="N625" s="71">
        <f>IFERROR(IF(VLOOKUP(A625,[5]PRIORIZADOS!$A:$N,14,FALSE)="","",VLOOKUP(A625,[5]PRIORIZADOS!$A:$N,14,FALSE)),"")</f>
        <v>45903</v>
      </c>
      <c r="O625" s="71">
        <f>IFERROR(IF(VLOOKUP(A625,[5]PRIORIZADOS!$A:$O,15,FALSE)="","",VLOOKUP(A625,[5]PRIORIZADOS!$A:$O,15,FALSE)),"")</f>
        <v>45903</v>
      </c>
      <c r="P625" s="11" t="str">
        <f>IFERROR(IF(VLOOKUP(A625,[5]PRIORIZADOS!$A:$P,16,FALSE)="","",VLOOKUP(A625,[5]PRIORIZADOS!$A:$P,16,FALSE)),"")</f>
        <v>Visitas de evaluación con fines de mejoramiento</v>
      </c>
      <c r="Q625" s="138" t="s">
        <v>127</v>
      </c>
      <c r="R625" s="11" t="str">
        <f>IFERROR(IF(VLOOKUP(A625,[5]PRIORIZADOS!$A:$R,18,FALSE)="","",VLOOKUP(A625,[5]PRIORIZADOS!$A:$R,18,FALSE)),"")</f>
        <v xml:space="preserve">Se evidencian medios educativos desgastados y sin un correcto mantenimiento, organigrama desactualizado, aulas pequeñas o con sobrecupo, aulas sin la debida ventilación y predios que no están incluidos en la resolución de aprobación. 	</v>
      </c>
      <c r="S625" s="11" t="str">
        <f>IFERROR(IF(VLOOKUP(A625,[5]PRIORIZADOS!$A:$S,19,FALSE)="","",VLOOKUP(A625,[5]PRIORIZADOS!$A:$S,19,FALSE)),"")</f>
        <v xml:space="preserve">Establecer un cronograma de cambio de los recursos desgastados.
Atender de manera precisa las indicaciones de los profesionales frente al sobrecupo, la ventilación cruzada y la organización de los espacios y elementos. </v>
      </c>
      <c r="T625" s="70" t="str">
        <f>IFERROR(IF(VLOOKUP(A625,[5]PRIORIZADOS!$A:$T,20,FALSE)="","",VLOOKUP(A625,[5]PRIORIZADOS!$A:$T,20,FALSE)),"")</f>
        <v>Si</v>
      </c>
      <c r="U625" s="11" t="str">
        <f>IFERROR(IF(VLOOKUP(A625,[5]PRIORIZADOS!$A:$U,21,FALSE)="","",VLOOKUP(A625,[5]PRIORIZADOS!$A:$U,21,FALSE)),"")</f>
        <v xml:space="preserve">Verificar el Plan de Mejoramiento para el día 03 de octubre. 
Se evidencia segun PM plan de atención de adecuaciones locativas, las cuales se revisarán en la siguiente vigencia 2026. </v>
      </c>
    </row>
    <row r="626" spans="1:21" s="1" customFormat="1" ht="118.5">
      <c r="A626" s="69">
        <f>IF([5]PRIORIZADOS!A134="","",[5]PRIORIZADOS!A134)</f>
        <v>2839</v>
      </c>
      <c r="B626" s="70">
        <f>IFERROR(IF(VLOOKUP(A626,[5]PRIORIZADOS!$A:$B,2,FALSE)="","",VLOOKUP(A626,[5]PRIORIZADOS!$A:$B,2,FALSE)),"")</f>
        <v>15</v>
      </c>
      <c r="C626" s="11" t="str">
        <f>IFERROR(IF(VLOOKUP(A626,[5]PRIORIZADOS!$A:$C,3,FALSE)="","",VLOOKUP(A626,[5]PRIORIZADOS!$A:$C,3,FALSE)),"")</f>
        <v>CIUDAD BOLÍVAR</v>
      </c>
      <c r="D626" s="11" t="str">
        <f>IFERROR(IF(VLOOKUP(A626,[5]PRIORIZADOS!$A:$D,4,FALSE)="","",VLOOKUP(A626,[5]PRIORIZADOS!$A:$D,4,FALSE)),"")</f>
        <v>PRIVADO</v>
      </c>
      <c r="E626" s="11" t="str">
        <f>IFERROR(IF(VLOOKUP(A626,[5]PRIORIZADOS!$A:$E,5,FALSE)="","",VLOOKUP(A626,[5]PRIORIZADOS!$A:$E,5,FALSE)),"")</f>
        <v>EPBM</v>
      </c>
      <c r="F626" s="11" t="str">
        <f>IFERROR(IF(VLOOKUP(A626,[5]PRIORIZADOS!$A:$F,6,FALSE)="","",VLOOKUP(A626,[5]PRIORIZADOS!$A:$F,6,FALSE)),"")</f>
        <v>INSTITUTO_ORESTES_SINDICI</v>
      </c>
      <c r="G626" s="11" t="str">
        <f>IFERROR(IF(VLOOKUP(A626,[5]PRIORIZADOS!$A:$G,7,FALSE)="","",VLOOKUP(A626,[5]PRIORIZADOS!$A:$G,7,FALSE)),"")</f>
        <v>INSTITUTO ORESTES SINDICI</v>
      </c>
      <c r="H626" s="11" t="str">
        <f>IFERROR(IF(VLOOKUP(A626,[5]PRIORIZADOS!$A:$H,8,FALSE)="","",VLOOKUP(A626,[5]PRIORIZADOS!$A:$H,8,FALSE)),"")</f>
        <v>Autoevaluación Institucional y Pruebas SABER 11</v>
      </c>
      <c r="I626" s="11" t="str">
        <f>IFERROR(IF(VLOOKUP(A626,[5]PRIORIZADOS!$A:$I,9,FALSE)="","",VLOOKUP(A626,[5]PRIORIZADOS!$A:$I,9,FALSE)),"")</f>
        <v>SEGUIMIENTO_Y_SUPERVISIÓN.</v>
      </c>
      <c r="J626" s="11" t="str">
        <f>IFERROR(IF(VLOOKUP(A626,[5]PRIORIZADOS!$A:$J,10,FALSE)="","",VLOOKUP(A626,[5]PRIORIZADOS!$A:$J,10,FALSE)),"")</f>
        <v>Realizar visitas para verificar la información registrada sobre la autoevaluación institucional en el aplicativo EVI, a los establecimientos de educación formal no oficial.</v>
      </c>
      <c r="K626" s="11" t="str">
        <f>IFERROR(IF(VLOOKUP(A626,[5]PRIORIZADOS!$A:$K,11,FALSE)="","",VLOOKUP(A626,[5]PRIORIZADOS!$A:$K,11,FALSE)),"")</f>
        <v xml:space="preserve">JUDITH SOLANO RAMÍREZ </v>
      </c>
      <c r="L626" s="11" t="str">
        <f>IFERROR(IF(VLOOKUP(A626,[5]PRIORIZADOS!$A:$L,12,FALSE)="","",VLOOKUP(A626,[5]PRIORIZADOS!$A:$L,12,FALSE)),"")</f>
        <v xml:space="preserve">MARIA NANCY DUCUARA </v>
      </c>
      <c r="M626" s="71">
        <f>IFERROR(IF(VLOOKUP(A626,[5]PRIORIZADOS!$A:$M,13,FALSE)="","",VLOOKUP(A626,[5]PRIORIZADOS!$A:$M,13,FALSE)),"")</f>
        <v>45960</v>
      </c>
      <c r="N626" s="71">
        <f>IFERROR(IF(VLOOKUP(A626,[5]PRIORIZADOS!$A:$N,14,FALSE)="","",VLOOKUP(A626,[5]PRIORIZADOS!$A:$N,14,FALSE)),"")</f>
        <v>45909</v>
      </c>
      <c r="O626" s="71">
        <f>IFERROR(IF(VLOOKUP(A626,[5]PRIORIZADOS!$A:$O,15,FALSE)="","",VLOOKUP(A626,[5]PRIORIZADOS!$A:$O,15,FALSE)),"")</f>
        <v>45909</v>
      </c>
      <c r="P626" s="11" t="str">
        <f>IFERROR(IF(VLOOKUP(A626,[5]PRIORIZADOS!$A:$P,16,FALSE)="","",VLOOKUP(A626,[5]PRIORIZADOS!$A:$P,16,FALSE)),"")</f>
        <v>Visitas de evaluación con fines de mejoramiento</v>
      </c>
      <c r="Q626" s="5" t="s">
        <v>128</v>
      </c>
      <c r="R626" s="11" t="str">
        <f>IFERROR(IF(VLOOKUP(A626,[5]PRIORIZADOS!$A:$R,18,FALSE)="","",VLOOKUP(A626,[5]PRIORIZADOS!$A:$R,18,FALSE)),"")</f>
        <v>Se identificó inconsistencias en la legalización de los predios donde opera la institución educativa. Se constató que varios de los lotes utilizados por la institución no se encuentran incluidos en la Resolución de Licencia de Funcionamiento.</v>
      </c>
      <c r="S626" s="11" t="str">
        <f>IFERROR(IF(VLOOKUP(A626,[5]PRIORIZADOS!$A:$S,19,FALSE)="","",VLOOKUP(A626,[5]PRIORIZADOS!$A:$S,19,FALSE)),"")</f>
        <v>Solicitar la modificación de la licencia de funcionamiento por apertura de nuevas sedes para incluir los predios ubicados en la Calle 63A Sur # 70G-88 y en la Calle 63 Sur # 71B-79 ante de la DILE de Ciudad Bolívar de acuerdo a la normatividad vigente y al documento Orientaciones sobre los procesos de legalización de establecimientos de educación formal promovidos por particulares</v>
      </c>
      <c r="T626" s="70" t="str">
        <f>IFERROR(IF(VLOOKUP(A626,[5]PRIORIZADOS!$A:$T,20,FALSE)="","",VLOOKUP(A626,[5]PRIORIZADOS!$A:$T,20,FALSE)),"")</f>
        <v>Si</v>
      </c>
      <c r="U626" s="11" t="str">
        <f>IFERROR(IF(VLOOKUP(A626,[5]PRIORIZADOS!$A:$U,21,FALSE)="","",VLOOKUP(A626,[5]PRIORIZADOS!$A:$U,21,FALSE)),"")</f>
        <v>La IE hará entrega del Plan de Mejoramiento el 09/10/2025.
El ELIV realizará evisión documental en el mes de noviembre de 2025 para verificar el cumplimiento de las acciones establecidas en el plan de mejoramiento.</v>
      </c>
    </row>
    <row r="627" spans="1:21" s="1" customFormat="1" ht="130.5">
      <c r="A627" s="69">
        <f>IF([5]PRIORIZADOS!A135="","",[5]PRIORIZADOS!A135)</f>
        <v>2840</v>
      </c>
      <c r="B627" s="70">
        <f>IFERROR(IF(VLOOKUP(A627,[5]PRIORIZADOS!$A:$B,2,FALSE)="","",VLOOKUP(A627,[5]PRIORIZADOS!$A:$B,2,FALSE)),"")</f>
        <v>15</v>
      </c>
      <c r="C627" s="11" t="str">
        <f>IFERROR(IF(VLOOKUP(A627,[5]PRIORIZADOS!$A:$C,3,FALSE)="","",VLOOKUP(A627,[5]PRIORIZADOS!$A:$C,3,FALSE)),"")</f>
        <v>CIUDAD BOLÍVAR</v>
      </c>
      <c r="D627" s="11" t="str">
        <f>IFERROR(IF(VLOOKUP(A627,[5]PRIORIZADOS!$A:$D,4,FALSE)="","",VLOOKUP(A627,[5]PRIORIZADOS!$A:$D,4,FALSE)),"")</f>
        <v>PRIVADO</v>
      </c>
      <c r="E627" s="11" t="str">
        <f>IFERROR(IF(VLOOKUP(A627,[5]PRIORIZADOS!$A:$E,5,FALSE)="","",VLOOKUP(A627,[5]PRIORIZADOS!$A:$E,5,FALSE)),"")</f>
        <v>EPBM</v>
      </c>
      <c r="F627" s="11" t="str">
        <f>IFERROR(IF(VLOOKUP(A627,[5]PRIORIZADOS!$A:$F,6,FALSE)="","",VLOOKUP(A627,[5]PRIORIZADOS!$A:$F,6,FALSE)),"")</f>
        <v>INSTITUTO_ORESTES_SINDICI</v>
      </c>
      <c r="G627" s="11" t="str">
        <f>IFERROR(IF(VLOOKUP(A627,[5]PRIORIZADOS!$A:$G,7,FALSE)="","",VLOOKUP(A627,[5]PRIORIZADOS!$A:$G,7,FALSE)),"")</f>
        <v>INSTITUTO ORESTES SINDICI</v>
      </c>
      <c r="H627" s="11" t="str">
        <f>IFERROR(IF(VLOOKUP(A627,[5]PRIORIZADOS!$A:$H,8,FALSE)="","",VLOOKUP(A627,[5]PRIORIZADOS!$A:$H,8,FALSE)),"")</f>
        <v>Autoevaluación Institucional y Pruebas SABER 11</v>
      </c>
      <c r="I627" s="11" t="str">
        <f>IFERROR(IF(VLOOKUP(A627,[5]PRIORIZADOS!$A:$I,9,FALSE)="","",VLOOKUP(A627,[5]PRIORIZADOS!$A:$I,9,FALSE)),"")</f>
        <v>SEGUIMIENTO_Y_SUPERVISIÓN.</v>
      </c>
      <c r="J627" s="11" t="str">
        <f>IFERROR(IF(VLOOKUP(A627,[5]PRIORIZADOS!$A:$J,10,FALSE)="","",VLOOKUP(A627,[5]PRIORIZADOS!$A:$J,10,FALSE)),"")</f>
        <v>Proponer estrategias en la formulación, verificar su elaboración y realizar seguimiento semestral al desarrollo de  las acciones establecidas en los planes de mejoramiento por pruebas SABER 11 de los establecimientos de educación formal.</v>
      </c>
      <c r="K627" s="11" t="str">
        <f>IFERROR(IF(VLOOKUP(A627,[5]PRIORIZADOS!$A:$K,11,FALSE)="","",VLOOKUP(A627,[5]PRIORIZADOS!$A:$K,11,FALSE)),"")</f>
        <v xml:space="preserve">JUDITH SOLANO RAMÍREZ </v>
      </c>
      <c r="L627" s="11" t="str">
        <f>IFERROR(IF(VLOOKUP(A627,[5]PRIORIZADOS!$A:$L,12,FALSE)="","",VLOOKUP(A627,[5]PRIORIZADOS!$A:$L,12,FALSE)),"")</f>
        <v xml:space="preserve">MARIA NANCY DUCUARA </v>
      </c>
      <c r="M627" s="71">
        <f>IFERROR(IF(VLOOKUP(A627,[5]PRIORIZADOS!$A:$M,13,FALSE)="","",VLOOKUP(A627,[5]PRIORIZADOS!$A:$M,13,FALSE)),"")</f>
        <v>45960</v>
      </c>
      <c r="N627" s="71">
        <f>IFERROR(IF(VLOOKUP(A627,[5]PRIORIZADOS!$A:$N,14,FALSE)="","",VLOOKUP(A627,[5]PRIORIZADOS!$A:$N,14,FALSE)),"")</f>
        <v>45909</v>
      </c>
      <c r="O627" s="71">
        <f>IFERROR(IF(VLOOKUP(A627,[5]PRIORIZADOS!$A:$O,15,FALSE)="","",VLOOKUP(A627,[5]PRIORIZADOS!$A:$O,15,FALSE)),"")</f>
        <v>45909</v>
      </c>
      <c r="P627" s="11" t="str">
        <f>IFERROR(IF(VLOOKUP(A627,[5]PRIORIZADOS!$A:$P,16,FALSE)="","",VLOOKUP(A627,[5]PRIORIZADOS!$A:$P,16,FALSE)),"")</f>
        <v>Visitas de evaluación con fines de mejoramiento</v>
      </c>
      <c r="Q627" s="5" t="s">
        <v>128</v>
      </c>
      <c r="R627" s="11" t="str">
        <f>IFERROR(IF(VLOOKUP(A627,[5]PRIORIZADOS!$A:$R,18,FALSE)="","",VLOOKUP(A627,[5]PRIORIZADOS!$A:$R,18,FALSE)),"")</f>
        <v>Sólo se realiza análisis cuantitativo de los resultados de las pruebas SABER. No  se realiza ningún ajuste o acción  para la mejora en los resultados.</v>
      </c>
      <c r="S627" s="11" t="str">
        <f>IFERROR(IF(VLOOKUP(A627,[5]PRIORIZADOS!$A:$S,19,FALSE)="","",VLOOKUP(A627,[5]PRIORIZADOS!$A:$S,19,FALSE)),"")</f>
        <v>Realizar el análisis cualitativo de los resultados de las pruebas Saber 11 que les permita tomar las medidas adecuadas para el mejoramiento de los resultados dejando evidencia, así como de las actas del Consejo Académico en donde se establecen las directrices y la implementación de acciones para mejorar los aprendizajes de los estudiantes en las áreas del plan de estudio con más bajo desempeño en las pruebas SABER 11.</v>
      </c>
      <c r="T627" s="70" t="str">
        <f>IFERROR(IF(VLOOKUP(A627,[5]PRIORIZADOS!$A:$T,20,FALSE)="","",VLOOKUP(A627,[5]PRIORIZADOS!$A:$T,20,FALSE)),"")</f>
        <v>Si</v>
      </c>
      <c r="U627" s="11" t="str">
        <f>IFERROR(IF(VLOOKUP(A627,[5]PRIORIZADOS!$A:$U,21,FALSE)="","",VLOOKUP(A627,[5]PRIORIZADOS!$A:$U,21,FALSE)),"")</f>
        <v>La IE hará entrega del Plan de Mejoramiento el 09/10/2025.
El ELIV realizará evisión documental en el mes de noviembre de 2025 para verificar el cumplimiento de las acciones establecidas en el plan de mejoramiento.</v>
      </c>
    </row>
    <row r="628" spans="1:21" s="1" customFormat="1" ht="96">
      <c r="A628" s="69">
        <f>IF([5]PRIORIZADOS!A136="","",[5]PRIORIZADOS!A136)</f>
        <v>2841</v>
      </c>
      <c r="B628" s="70">
        <f>IFERROR(IF(VLOOKUP(A628,[5]PRIORIZADOS!$A:$B,2,FALSE)="","",VLOOKUP(A628,[5]PRIORIZADOS!$A:$B,2,FALSE)),"")</f>
        <v>15</v>
      </c>
      <c r="C628" s="11" t="str">
        <f>IFERROR(IF(VLOOKUP(A628,[5]PRIORIZADOS!$A:$C,3,FALSE)="","",VLOOKUP(A628,[5]PRIORIZADOS!$A:$C,3,FALSE)),"")</f>
        <v>CIUDAD BOLÍVAR</v>
      </c>
      <c r="D628" s="11" t="str">
        <f>IFERROR(IF(VLOOKUP(A628,[5]PRIORIZADOS!$A:$D,4,FALSE)="","",VLOOKUP(A628,[5]PRIORIZADOS!$A:$D,4,FALSE)),"")</f>
        <v>PRIVADO</v>
      </c>
      <c r="E628" s="11" t="str">
        <f>IFERROR(IF(VLOOKUP(A628,[5]PRIORIZADOS!$A:$E,5,FALSE)="","",VLOOKUP(A628,[5]PRIORIZADOS!$A:$E,5,FALSE)),"")</f>
        <v>EPBM</v>
      </c>
      <c r="F628" s="11" t="str">
        <f>IFERROR(IF(VLOOKUP(A628,[5]PRIORIZADOS!$A:$F,6,FALSE)="","",VLOOKUP(A628,[5]PRIORIZADOS!$A:$F,6,FALSE)),"")</f>
        <v>INSTITUTO_ORESTES_SINDICI</v>
      </c>
      <c r="G628" s="11" t="str">
        <f>IFERROR(IF(VLOOKUP(A628,[5]PRIORIZADOS!$A:$G,7,FALSE)="","",VLOOKUP(A628,[5]PRIORIZADOS!$A:$G,7,FALSE)),"")</f>
        <v>INSTITUTO ORESTES SINDICI</v>
      </c>
      <c r="H628" s="11" t="str">
        <f>IFERROR(IF(VLOOKUP(A628,[5]PRIORIZADOS!$A:$H,8,FALSE)="","",VLOOKUP(A628,[5]PRIORIZADOS!$A:$H,8,FALSE)),"")</f>
        <v>Autoevaluación Institucional y Pruebas SABER 11</v>
      </c>
      <c r="I628" s="11" t="str">
        <f>IFERROR(IF(VLOOKUP(A628,[5]PRIORIZADOS!$A:$I,9,FALSE)="","",VLOOKUP(A628,[5]PRIORIZADOS!$A:$I,9,FALSE)),"")</f>
        <v>SEGUIMIENTO_Y_SUPERVISIÓN.</v>
      </c>
      <c r="J628" s="11" t="str">
        <f>IFERROR(IF(VLOOKUP(A628,[5]PRIORIZADOS!$A:$J,10,FALSE)="","",VLOOKUP(A628,[5]PRIORIZADOS!$A:$J,10,FALSE)),"")</f>
        <v xml:space="preserve">Verificar la implementación por parte de los colegios, de acciones realizadas para la prevención y atención de las situaciones de convivencia en el entorno escolar, según lo establecido en la Directiva 01 de 2022 del MEN. </v>
      </c>
      <c r="K628" s="11" t="str">
        <f>IFERROR(IF(VLOOKUP(A628,[5]PRIORIZADOS!$A:$K,11,FALSE)="","",VLOOKUP(A628,[5]PRIORIZADOS!$A:$K,11,FALSE)),"")</f>
        <v xml:space="preserve">JUDITH SOLANO RAMÍREZ </v>
      </c>
      <c r="L628" s="11" t="str">
        <f>IFERROR(IF(VLOOKUP(A628,[5]PRIORIZADOS!$A:$L,12,FALSE)="","",VLOOKUP(A628,[5]PRIORIZADOS!$A:$L,12,FALSE)),"")</f>
        <v xml:space="preserve">MARIA NANCY DUCUARA </v>
      </c>
      <c r="M628" s="71">
        <f>IFERROR(IF(VLOOKUP(A628,[5]PRIORIZADOS!$A:$M,13,FALSE)="","",VLOOKUP(A628,[5]PRIORIZADOS!$A:$M,13,FALSE)),"")</f>
        <v>45960</v>
      </c>
      <c r="N628" s="71">
        <f>IFERROR(IF(VLOOKUP(A628,[5]PRIORIZADOS!$A:$N,14,FALSE)="","",VLOOKUP(A628,[5]PRIORIZADOS!$A:$N,14,FALSE)),"")</f>
        <v>45909</v>
      </c>
      <c r="O628" s="71">
        <f>IFERROR(IF(VLOOKUP(A628,[5]PRIORIZADOS!$A:$O,15,FALSE)="","",VLOOKUP(A628,[5]PRIORIZADOS!$A:$O,15,FALSE)),"")</f>
        <v>45909</v>
      </c>
      <c r="P628" s="11" t="str">
        <f>IFERROR(IF(VLOOKUP(A628,[5]PRIORIZADOS!$A:$P,16,FALSE)="","",VLOOKUP(A628,[5]PRIORIZADOS!$A:$P,16,FALSE)),"")</f>
        <v>Visitas de evaluación con fines de mejoramiento</v>
      </c>
      <c r="Q628" s="5" t="s">
        <v>128</v>
      </c>
      <c r="R628" s="11" t="str">
        <f>IFERROR(IF(VLOOKUP(A628,[5]PRIORIZADOS!$A:$R,18,FALSE)="","",VLOOKUP(A628,[5]PRIORIZADOS!$A:$R,18,FALSE)),"")</f>
        <v>No hay evidencias de activación de protocolos de atención.No se realiza la verificación de las inhabilidades por delitos sexuales en la IE.</v>
      </c>
      <c r="S628" s="11" t="str">
        <f>IFERROR(IF(VLOOKUP(A628,[5]PRIORIZADOS!$A:$S,19,FALSE)="","",VLOOKUP(A628,[5]PRIORIZADOS!$A:$S,19,FALSE)),"")</f>
        <v>Verificar cada 4 meses las inhabilidades del personal vinculado a la IE por delitos sexuales en la página de la Policía Nacional, según lo establecido en la Directiva 01 MEN 2022 "Orientaciones para la prevención de violencia sexual en entornos escolares", dejando los soportes en medio físico y/o digital.</v>
      </c>
      <c r="T628" s="70" t="str">
        <f>IFERROR(IF(VLOOKUP(A628,[5]PRIORIZADOS!$A:$T,20,FALSE)="","",VLOOKUP(A628,[5]PRIORIZADOS!$A:$T,20,FALSE)),"")</f>
        <v>Si</v>
      </c>
      <c r="U628" s="11" t="str">
        <f>IFERROR(IF(VLOOKUP(A628,[5]PRIORIZADOS!$A:$U,21,FALSE)="","",VLOOKUP(A628,[5]PRIORIZADOS!$A:$U,21,FALSE)),"")</f>
        <v>La IE hará entrega del Plan de Mejoramiento el 09/10/2025.
El ELIV realizará evisión documental en el mes de noviembre de 2025 para verificar el cumplimiento de las acciones establecidas en el plan de mejoramiento.</v>
      </c>
    </row>
    <row r="629" spans="1:21" s="1" customFormat="1" ht="107.25">
      <c r="A629" s="69">
        <f>IF([5]PRIORIZADOS!A137="","",[5]PRIORIZADOS!A137)</f>
        <v>2842</v>
      </c>
      <c r="B629" s="70">
        <f>IFERROR(IF(VLOOKUP(A629,[5]PRIORIZADOS!$A:$B,2,FALSE)="","",VLOOKUP(A629,[5]PRIORIZADOS!$A:$B,2,FALSE)),"")</f>
        <v>15</v>
      </c>
      <c r="C629" s="11" t="str">
        <f>IFERROR(IF(VLOOKUP(A629,[5]PRIORIZADOS!$A:$C,3,FALSE)="","",VLOOKUP(A629,[5]PRIORIZADOS!$A:$C,3,FALSE)),"")</f>
        <v>CIUDAD BOLÍVAR</v>
      </c>
      <c r="D629" s="11" t="str">
        <f>IFERROR(IF(VLOOKUP(A629,[5]PRIORIZADOS!$A:$D,4,FALSE)="","",VLOOKUP(A629,[5]PRIORIZADOS!$A:$D,4,FALSE)),"")</f>
        <v>PRIVADO</v>
      </c>
      <c r="E629" s="11" t="str">
        <f>IFERROR(IF(VLOOKUP(A629,[5]PRIORIZADOS!$A:$E,5,FALSE)="","",VLOOKUP(A629,[5]PRIORIZADOS!$A:$E,5,FALSE)),"")</f>
        <v>EPBM</v>
      </c>
      <c r="F629" s="11" t="str">
        <f>IFERROR(IF(VLOOKUP(A629,[5]PRIORIZADOS!$A:$F,6,FALSE)="","",VLOOKUP(A629,[5]PRIORIZADOS!$A:$F,6,FALSE)),"")</f>
        <v>INSTITUTO_ORESTES_SINDICI</v>
      </c>
      <c r="G629" s="11" t="str">
        <f>IFERROR(IF(VLOOKUP(A629,[5]PRIORIZADOS!$A:$G,7,FALSE)="","",VLOOKUP(A629,[5]PRIORIZADOS!$A:$G,7,FALSE)),"")</f>
        <v>INSTITUTO ORESTES SINDICI</v>
      </c>
      <c r="H629" s="11" t="str">
        <f>IFERROR(IF(VLOOKUP(A629,[5]PRIORIZADOS!$A:$H,8,FALSE)="","",VLOOKUP(A629,[5]PRIORIZADOS!$A:$H,8,FALSE)),"")</f>
        <v>Autoevaluación Institucional y Pruebas SABER 11</v>
      </c>
      <c r="I629" s="11" t="str">
        <f>IFERROR(IF(VLOOKUP(A629,[5]PRIORIZADOS!$A:$I,9,FALSE)="","",VLOOKUP(A629,[5]PRIORIZADOS!$A:$I,9,FALSE)),"")</f>
        <v>SEGUIMIENTO_Y_SUPERVISIÓN.</v>
      </c>
      <c r="J629" s="11" t="str">
        <f>IFERROR(IF(VLOOKUP(A629,[5]PRIORIZADOS!$A:$J,10,FALSE)="","",VLOOKUP(A629,[5]PRIORIZADOS!$A:$J,10,FALSE)),"")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29" s="11" t="str">
        <f>IFERROR(IF(VLOOKUP(A629,[5]PRIORIZADOS!$A:$K,11,FALSE)="","",VLOOKUP(A629,[5]PRIORIZADOS!$A:$K,11,FALSE)),"")</f>
        <v xml:space="preserve">JUDITH SOLANO RAMÍREZ </v>
      </c>
      <c r="L629" s="11" t="str">
        <f>IFERROR(IF(VLOOKUP(A629,[5]PRIORIZADOS!$A:$L,12,FALSE)="","",VLOOKUP(A629,[5]PRIORIZADOS!$A:$L,12,FALSE)),"")</f>
        <v xml:space="preserve">MARIA NANCY DUCUARA </v>
      </c>
      <c r="M629" s="71">
        <f>IFERROR(IF(VLOOKUP(A629,[5]PRIORIZADOS!$A:$M,13,FALSE)="","",VLOOKUP(A629,[5]PRIORIZADOS!$A:$M,13,FALSE)),"")</f>
        <v>45960</v>
      </c>
      <c r="N629" s="71">
        <f>IFERROR(IF(VLOOKUP(A629,[5]PRIORIZADOS!$A:$N,14,FALSE)="","",VLOOKUP(A629,[5]PRIORIZADOS!$A:$N,14,FALSE)),"")</f>
        <v>45909</v>
      </c>
      <c r="O629" s="71">
        <f>IFERROR(IF(VLOOKUP(A629,[5]PRIORIZADOS!$A:$O,15,FALSE)="","",VLOOKUP(A629,[5]PRIORIZADOS!$A:$O,15,FALSE)),"")</f>
        <v>45909</v>
      </c>
      <c r="P629" s="11" t="str">
        <f>IFERROR(IF(VLOOKUP(A629,[5]PRIORIZADOS!$A:$P,16,FALSE)="","",VLOOKUP(A629,[5]PRIORIZADOS!$A:$P,16,FALSE)),"")</f>
        <v>Visitas de evaluación con fines de mejoramiento</v>
      </c>
      <c r="Q629" s="5" t="s">
        <v>128</v>
      </c>
      <c r="R629" s="11" t="str">
        <f>IFERROR(IF(VLOOKUP(A629,[5]PRIORIZADOS!$A:$R,18,FALSE)="","",VLOOKUP(A629,[5]PRIORIZADOS!$A:$R,18,FALSE)),"")</f>
        <v>Se evidencia que se tienen caracterizados tres estudiantes, los cuales tienen establecidos los ajustes razonables, que tienen seguimiento en cada periodo. Los ajustes razonables son específicos, por lo cual son medibles y ayudan a verificar el avance de estudiante. Los ajustes son pertinentes de acuerdo al tipo de trastorno o discapacidad.</v>
      </c>
      <c r="S629" s="11" t="str">
        <f>IFERROR(IF(VLOOKUP(A629,[5]PRIORIZADOS!$A:$S,19,FALSE)="","",VLOOKUP(A629,[5]PRIORIZADOS!$A:$S,19,FALSE)),"")</f>
        <v>Continuar con el la implementación de los PIAR de acuerdo a las necesidades de los estudiantes.</v>
      </c>
      <c r="T629" s="70" t="str">
        <f>IFERROR(IF(VLOOKUP(A629,[5]PRIORIZADOS!$A:$T,20,FALSE)="","",VLOOKUP(A629,[5]PRIORIZADOS!$A:$T,20,FALSE)),"")</f>
        <v>No</v>
      </c>
      <c r="U629" s="11" t="str">
        <f>IFERROR(IF(VLOOKUP(A629,[5]PRIORIZADOS!$A:$U,21,FALSE)="","",VLOOKUP(A629,[5]PRIORIZADOS!$A:$U,21,FALSE)),"")</f>
        <v>Continuar con el cumplimiento de la normatividad para la calidad educativa.</v>
      </c>
    </row>
    <row r="630" spans="1:21" s="1" customFormat="1" ht="84">
      <c r="A630" s="69">
        <f>IF([5]PRIORIZADOS!A138="","",[5]PRIORIZADOS!A138)</f>
        <v>2843</v>
      </c>
      <c r="B630" s="70">
        <f>IFERROR(IF(VLOOKUP(A630,[5]PRIORIZADOS!$A:$B,2,FALSE)="","",VLOOKUP(A630,[5]PRIORIZADOS!$A:$B,2,FALSE)),"")</f>
        <v>15</v>
      </c>
      <c r="C630" s="11" t="str">
        <f>IFERROR(IF(VLOOKUP(A630,[5]PRIORIZADOS!$A:$C,3,FALSE)="","",VLOOKUP(A630,[5]PRIORIZADOS!$A:$C,3,FALSE)),"")</f>
        <v>CIUDAD BOLÍVAR</v>
      </c>
      <c r="D630" s="11" t="str">
        <f>IFERROR(IF(VLOOKUP(A630,[5]PRIORIZADOS!$A:$D,4,FALSE)="","",VLOOKUP(A630,[5]PRIORIZADOS!$A:$D,4,FALSE)),"")</f>
        <v>PRIVADO</v>
      </c>
      <c r="E630" s="11" t="str">
        <f>IFERROR(IF(VLOOKUP(A630,[5]PRIORIZADOS!$A:$E,5,FALSE)="","",VLOOKUP(A630,[5]PRIORIZADOS!$A:$E,5,FALSE)),"")</f>
        <v>EPBM</v>
      </c>
      <c r="F630" s="11" t="str">
        <f>IFERROR(IF(VLOOKUP(A630,[5]PRIORIZADOS!$A:$F,6,FALSE)="","",VLOOKUP(A630,[5]PRIORIZADOS!$A:$F,6,FALSE)),"")</f>
        <v>INSTITUTO_ORESTES_SINDICI</v>
      </c>
      <c r="G630" s="11" t="str">
        <f>IFERROR(IF(VLOOKUP(A630,[5]PRIORIZADOS!$A:$G,7,FALSE)="","",VLOOKUP(A630,[5]PRIORIZADOS!$A:$G,7,FALSE)),"")</f>
        <v>INSTITUTO ORESTES SINDICI</v>
      </c>
      <c r="H630" s="11" t="str">
        <f>IFERROR(IF(VLOOKUP(A630,[5]PRIORIZADOS!$A:$H,8,FALSE)="","",VLOOKUP(A630,[5]PRIORIZADOS!$A:$H,8,FALSE)),"")</f>
        <v>Autoevaluación Institucional y Pruebas SABER 11</v>
      </c>
      <c r="I630" s="11" t="str">
        <f>IFERROR(IF(VLOOKUP(A630,[5]PRIORIZADOS!$A:$I,9,FALSE)="","",VLOOKUP(A630,[5]PRIORIZADOS!$A:$I,9,FALSE)),"")</f>
        <v>EVALUACIÓN_CON_FINES_DE_MEJORAMIENTO.</v>
      </c>
      <c r="J630" s="11" t="str">
        <f>IFERROR(IF(VLOOKUP(A630,[5]PRIORIZADOS!$A:$J,10,FALSE)="","",VLOOKUP(A630,[5]PRIORIZADOS!$A:$J,10,FALSE)),"")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30" s="11" t="str">
        <f>IFERROR(IF(VLOOKUP(A630,[5]PRIORIZADOS!$A:$K,11,FALSE)="","",VLOOKUP(A630,[5]PRIORIZADOS!$A:$K,11,FALSE)),"")</f>
        <v xml:space="preserve">JUDITH SOLANO RAMÍREZ </v>
      </c>
      <c r="L630" s="11" t="str">
        <f>IFERROR(IF(VLOOKUP(A630,[5]PRIORIZADOS!$A:$L,12,FALSE)="","",VLOOKUP(A630,[5]PRIORIZADOS!$A:$L,12,FALSE)),"")</f>
        <v xml:space="preserve">MARIA NANCY DUCUARA </v>
      </c>
      <c r="M630" s="71">
        <f>IFERROR(IF(VLOOKUP(A630,[5]PRIORIZADOS!$A:$M,13,FALSE)="","",VLOOKUP(A630,[5]PRIORIZADOS!$A:$M,13,FALSE)),"")</f>
        <v>45960</v>
      </c>
      <c r="N630" s="71">
        <f>IFERROR(IF(VLOOKUP(A630,[5]PRIORIZADOS!$A:$N,14,FALSE)="","",VLOOKUP(A630,[5]PRIORIZADOS!$A:$N,14,FALSE)),"")</f>
        <v>45909</v>
      </c>
      <c r="O630" s="71">
        <f>IFERROR(IF(VLOOKUP(A630,[5]PRIORIZADOS!$A:$O,15,FALSE)="","",VLOOKUP(A630,[5]PRIORIZADOS!$A:$O,15,FALSE)),"")</f>
        <v>45909</v>
      </c>
      <c r="P630" s="11" t="str">
        <f>IFERROR(IF(VLOOKUP(A630,[5]PRIORIZADOS!$A:$P,16,FALSE)="","",VLOOKUP(A630,[5]PRIORIZADOS!$A:$P,16,FALSE)),"")</f>
        <v>Visitas de evaluación con fines de mejoramiento</v>
      </c>
      <c r="Q630" s="5" t="s">
        <v>128</v>
      </c>
      <c r="R630" s="11" t="str">
        <f>IFERROR(IF(VLOOKUP(A630,[5]PRIORIZADOS!$A:$R,18,FALSE)="","",VLOOKUP(A630,[5]PRIORIZADOS!$A:$R,18,FALSE)),"")</f>
        <v>El manual de convivencia no tiene actualización normativa, confunde situaciones  convivenciales con faltas disciplinarias.</v>
      </c>
      <c r="S630" s="11" t="str">
        <f>IFERROR(IF(VLOOKUP(A630,[5]PRIORIZADOS!$A:$S,19,FALSE)="","",VLOOKUP(A630,[5]PRIORIZADOS!$A:$S,19,FALSE)),"")</f>
        <v>Actualizar el Manual de Convivencia de acuerdo a la normatividad y jurisprudencia de la corte constitucional.</v>
      </c>
      <c r="T630" s="70" t="str">
        <f>IFERROR(IF(VLOOKUP(A630,[5]PRIORIZADOS!$A:$T,20,FALSE)="","",VLOOKUP(A630,[5]PRIORIZADOS!$A:$T,20,FALSE)),"")</f>
        <v>Si</v>
      </c>
      <c r="U630" s="11" t="str">
        <f>IFERROR(IF(VLOOKUP(A630,[5]PRIORIZADOS!$A:$U,21,FALSE)="","",VLOOKUP(A630,[5]PRIORIZADOS!$A:$U,21,FALSE)),"")</f>
        <v>La IE hará entrega del Plan de Mejoramiento el 09/10/2025.
El ELIV realizará evisión documental en el mes de noviembre de 2025 para verificar el cumplimiento de las acciones establecidas en el plan de mejoramiento.</v>
      </c>
    </row>
    <row r="631" spans="1:21" s="1" customFormat="1" ht="107.25">
      <c r="A631" s="69">
        <f>IF([5]PRIORIZADOS!A139="","",[5]PRIORIZADOS!A139)</f>
        <v>2844</v>
      </c>
      <c r="B631" s="70">
        <f>IFERROR(IF(VLOOKUP(A631,[5]PRIORIZADOS!$A:$B,2,FALSE)="","",VLOOKUP(A631,[5]PRIORIZADOS!$A:$B,2,FALSE)),"")</f>
        <v>15</v>
      </c>
      <c r="C631" s="11" t="str">
        <f>IFERROR(IF(VLOOKUP(A631,[5]PRIORIZADOS!$A:$C,3,FALSE)="","",VLOOKUP(A631,[5]PRIORIZADOS!$A:$C,3,FALSE)),"")</f>
        <v>CIUDAD BOLÍVAR</v>
      </c>
      <c r="D631" s="11" t="str">
        <f>IFERROR(IF(VLOOKUP(A631,[5]PRIORIZADOS!$A:$D,4,FALSE)="","",VLOOKUP(A631,[5]PRIORIZADOS!$A:$D,4,FALSE)),"")</f>
        <v>PRIVADO</v>
      </c>
      <c r="E631" s="11" t="str">
        <f>IFERROR(IF(VLOOKUP(A631,[5]PRIORIZADOS!$A:$E,5,FALSE)="","",VLOOKUP(A631,[5]PRIORIZADOS!$A:$E,5,FALSE)),"")</f>
        <v>EPBM</v>
      </c>
      <c r="F631" s="11" t="str">
        <f>IFERROR(IF(VLOOKUP(A631,[5]PRIORIZADOS!$A:$F,6,FALSE)="","",VLOOKUP(A631,[5]PRIORIZADOS!$A:$F,6,FALSE)),"")</f>
        <v>INSTITUTO_ORESTES_SINDICI</v>
      </c>
      <c r="G631" s="11" t="str">
        <f>IFERROR(IF(VLOOKUP(A631,[5]PRIORIZADOS!$A:$G,7,FALSE)="","",VLOOKUP(A631,[5]PRIORIZADOS!$A:$G,7,FALSE)),"")</f>
        <v>INSTITUTO ORESTES SINDICI</v>
      </c>
      <c r="H631" s="11" t="str">
        <f>IFERROR(IF(VLOOKUP(A631,[5]PRIORIZADOS!$A:$H,8,FALSE)="","",VLOOKUP(A631,[5]PRIORIZADOS!$A:$H,8,FALSE)),"")</f>
        <v>Autoevaluación Institucional y Pruebas SABER 11</v>
      </c>
      <c r="I631" s="11" t="str">
        <f>IFERROR(IF(VLOOKUP(A631,[5]PRIORIZADOS!$A:$I,9,FALSE)="","",VLOOKUP(A631,[5]PRIORIZADOS!$A:$I,9,FALSE)),"")</f>
        <v>EVALUACIÓN_CON_FINES_DE_MEJORAMIENTO.</v>
      </c>
      <c r="J631" s="11" t="str">
        <f>IFERROR(IF(VLOOKUP(A631,[5]PRIORIZADOS!$A:$J,10,FALSE)="","",VLOOKUP(A631,[5]PRIORIZADOS!$A:$J,10,FALSE)),"")</f>
        <v>Revisar la actualización, socialización e implementación del Sistema Institucional de Evaluación de Estudiantes - SIEE, en articulación con la actualización del PEI y la normatividad vigente.</v>
      </c>
      <c r="K631" s="11" t="str">
        <f>IFERROR(IF(VLOOKUP(A631,[5]PRIORIZADOS!$A:$K,11,FALSE)="","",VLOOKUP(A631,[5]PRIORIZADOS!$A:$K,11,FALSE)),"")</f>
        <v xml:space="preserve">JUDITH SOLANO RAMÍREZ </v>
      </c>
      <c r="L631" s="11" t="str">
        <f>IFERROR(IF(VLOOKUP(A631,[5]PRIORIZADOS!$A:$L,12,FALSE)="","",VLOOKUP(A631,[5]PRIORIZADOS!$A:$L,12,FALSE)),"")</f>
        <v xml:space="preserve">MARIA NANCY DUCUARA </v>
      </c>
      <c r="M631" s="71">
        <f>IFERROR(IF(VLOOKUP(A631,[5]PRIORIZADOS!$A:$M,13,FALSE)="","",VLOOKUP(A631,[5]PRIORIZADOS!$A:$M,13,FALSE)),"")</f>
        <v>45960</v>
      </c>
      <c r="N631" s="71">
        <f>IFERROR(IF(VLOOKUP(A631,[5]PRIORIZADOS!$A:$N,14,FALSE)="","",VLOOKUP(A631,[5]PRIORIZADOS!$A:$N,14,FALSE)),"")</f>
        <v>45909</v>
      </c>
      <c r="O631" s="71">
        <f>IFERROR(IF(VLOOKUP(A631,[5]PRIORIZADOS!$A:$O,15,FALSE)="","",VLOOKUP(A631,[5]PRIORIZADOS!$A:$O,15,FALSE)),"")</f>
        <v>45909</v>
      </c>
      <c r="P631" s="11" t="str">
        <f>IFERROR(IF(VLOOKUP(A631,[5]PRIORIZADOS!$A:$P,16,FALSE)="","",VLOOKUP(A631,[5]PRIORIZADOS!$A:$P,16,FALSE)),"")</f>
        <v>Visitas de evaluación con fines de mejoramiento</v>
      </c>
      <c r="Q631" s="5" t="s">
        <v>128</v>
      </c>
      <c r="R631" s="11" t="str">
        <f>IFERROR(IF(VLOOKUP(A631,[5]PRIORIZADOS!$A:$R,18,FALSE)="","",VLOOKUP(A631,[5]PRIORIZADOS!$A:$R,18,FALSE)),"")</f>
        <v xml:space="preserve">Tiene actas de conformación y sesiones de funcionamiento. Se requiere que en las actas sean más específicas las decisiones tomadas respecto al proceso de acompañamiento con los estudiantes.
Tienen Actividades de nivelación por periodo y una fase de superación semestral.
</v>
      </c>
      <c r="S631" s="11" t="str">
        <f>IFERROR(IF(VLOOKUP(A631,[5]PRIORIZADOS!$A:$S,19,FALSE)="","",VLOOKUP(A631,[5]PRIORIZADOS!$A:$S,19,FALSE)),"")</f>
        <v>Continuar con la implementación del Sistema Institucional de Evaluación de Estudiantes - SIEE, documentando en las sesiones las decisiones tomadas.</v>
      </c>
      <c r="T631" s="70" t="str">
        <f>IFERROR(IF(VLOOKUP(A631,[5]PRIORIZADOS!$A:$T,20,FALSE)="","",VLOOKUP(A631,[5]PRIORIZADOS!$A:$T,20,FALSE)),"")</f>
        <v>No</v>
      </c>
      <c r="U631" s="11" t="str">
        <f>IFERROR(IF(VLOOKUP(A631,[5]PRIORIZADOS!$A:$U,21,FALSE)="","",VLOOKUP(A631,[5]PRIORIZADOS!$A:$U,21,FALSE)),"")</f>
        <v xml:space="preserve">Verificar la implementación y actualización del SIEE </v>
      </c>
    </row>
    <row r="632" spans="1:21" s="1" customFormat="1" ht="48">
      <c r="A632" s="69">
        <f>IF([5]PRIORIZADOS!A140="","",[5]PRIORIZADOS!A140)</f>
        <v>2845</v>
      </c>
      <c r="B632" s="70">
        <f>IFERROR(IF(VLOOKUP(A632,[5]PRIORIZADOS!$A:$B,2,FALSE)="","",VLOOKUP(A632,[5]PRIORIZADOS!$A:$B,2,FALSE)),"")</f>
        <v>15</v>
      </c>
      <c r="C632" s="11" t="str">
        <f>IFERROR(IF(VLOOKUP(A632,[5]PRIORIZADOS!$A:$C,3,FALSE)="","",VLOOKUP(A632,[5]PRIORIZADOS!$A:$C,3,FALSE)),"")</f>
        <v>CIUDAD BOLÍVAR</v>
      </c>
      <c r="D632" s="11" t="str">
        <f>IFERROR(IF(VLOOKUP(A632,[5]PRIORIZADOS!$A:$D,4,FALSE)="","",VLOOKUP(A632,[5]PRIORIZADOS!$A:$D,4,FALSE)),"")</f>
        <v>PRIVADO</v>
      </c>
      <c r="E632" s="11" t="str">
        <f>IFERROR(IF(VLOOKUP(A632,[5]PRIORIZADOS!$A:$E,5,FALSE)="","",VLOOKUP(A632,[5]PRIORIZADOS!$A:$E,5,FALSE)),"")</f>
        <v>EPBM</v>
      </c>
      <c r="F632" s="11" t="str">
        <f>IFERROR(IF(VLOOKUP(A632,[5]PRIORIZADOS!$A:$F,6,FALSE)="","",VLOOKUP(A632,[5]PRIORIZADOS!$A:$F,6,FALSE)),"")</f>
        <v>INSTITUTO_ORESTES_SINDICI</v>
      </c>
      <c r="G632" s="11" t="str">
        <f>IFERROR(IF(VLOOKUP(A632,[5]PRIORIZADOS!$A:$G,7,FALSE)="","",VLOOKUP(A632,[5]PRIORIZADOS!$A:$G,7,FALSE)),"")</f>
        <v>INSTITUTO ORESTES SINDICI</v>
      </c>
      <c r="H632" s="11" t="str">
        <f>IFERROR(IF(VLOOKUP(A632,[5]PRIORIZADOS!$A:$H,8,FALSE)="","",VLOOKUP(A632,[5]PRIORIZADOS!$A:$H,8,FALSE)),"")</f>
        <v>Autoevaluación Institucional y Pruebas SABER 11</v>
      </c>
      <c r="I632" s="11" t="str">
        <f>IFERROR(IF(VLOOKUP(A632,[5]PRIORIZADOS!$A:$I,9,FALSE)="","",VLOOKUP(A632,[5]PRIORIZADOS!$A:$I,9,FALSE)),"")</f>
        <v>EVALUACIÓN_CON_FINES_DE_MEJORAMIENTO.</v>
      </c>
      <c r="J632" s="11" t="str">
        <f>IFERROR(IF(VLOOKUP(A632,[5]PRIORIZADOS!$A:$J,10,FALSE)="","",VLOOKUP(A632,[5]PRIORIZADOS!$A:$J,10,FALSE)),"")</f>
        <v>Revisar el calendario escolar, jornada escolar, la intensidad horaria mínima anual en cada nivel y las modificaciones que se realicen al mismo, de acuerdo con lo previsto en la normatividad vigente.</v>
      </c>
      <c r="K632" s="11" t="str">
        <f>IFERROR(IF(VLOOKUP(A632,[5]PRIORIZADOS!$A:$K,11,FALSE)="","",VLOOKUP(A632,[5]PRIORIZADOS!$A:$K,11,FALSE)),"")</f>
        <v xml:space="preserve">JUDITH SOLANO RAMÍREZ </v>
      </c>
      <c r="L632" s="11" t="str">
        <f>IFERROR(IF(VLOOKUP(A632,[5]PRIORIZADOS!$A:$L,12,FALSE)="","",VLOOKUP(A632,[5]PRIORIZADOS!$A:$L,12,FALSE)),"")</f>
        <v xml:space="preserve">MARIA NANCY DUCUARA </v>
      </c>
      <c r="M632" s="71">
        <f>IFERROR(IF(VLOOKUP(A632,[5]PRIORIZADOS!$A:$M,13,FALSE)="","",VLOOKUP(A632,[5]PRIORIZADOS!$A:$M,13,FALSE)),"")</f>
        <v>45960</v>
      </c>
      <c r="N632" s="71">
        <f>IFERROR(IF(VLOOKUP(A632,[5]PRIORIZADOS!$A:$N,14,FALSE)="","",VLOOKUP(A632,[5]PRIORIZADOS!$A:$N,14,FALSE)),"")</f>
        <v>45909</v>
      </c>
      <c r="O632" s="71">
        <f>IFERROR(IF(VLOOKUP(A632,[5]PRIORIZADOS!$A:$O,15,FALSE)="","",VLOOKUP(A632,[5]PRIORIZADOS!$A:$O,15,FALSE)),"")</f>
        <v>45909</v>
      </c>
      <c r="P632" s="11" t="str">
        <f>IFERROR(IF(VLOOKUP(A632,[5]PRIORIZADOS!$A:$P,16,FALSE)="","",VLOOKUP(A632,[5]PRIORIZADOS!$A:$P,16,FALSE)),"")</f>
        <v>Visitas de evaluación con fines de mejoramiento</v>
      </c>
      <c r="Q632" s="5" t="s">
        <v>128</v>
      </c>
      <c r="R632" s="11" t="str">
        <f>IFERROR(IF(VLOOKUP(A632,[5]PRIORIZADOS!$A:$R,18,FALSE)="","",VLOOKUP(A632,[5]PRIORIZADOS!$A:$R,18,FALSE)),"")</f>
        <v>Se aclara que la hora es de 60 minutos, así las cosas la IE cumple con 1075 horas para preescolar y 1235 horas para básica y media.</v>
      </c>
      <c r="S632" s="11" t="str">
        <f>IFERROR(IF(VLOOKUP(A632,[5]PRIORIZADOS!$A:$S,19,FALSE)="","",VLOOKUP(A632,[5]PRIORIZADOS!$A:$S,19,FALSE)),"")</f>
        <v>Continuar con la definición del calendario académico en el marco de la normatividad y garantizar su cumplimiento hasta finalizar el año escolar.</v>
      </c>
      <c r="T632" s="70" t="str">
        <f>IFERROR(IF(VLOOKUP(A632,[5]PRIORIZADOS!$A:$T,20,FALSE)="","",VLOOKUP(A632,[5]PRIORIZADOS!$A:$T,20,FALSE)),"")</f>
        <v>No</v>
      </c>
      <c r="U632" s="11" t="str">
        <f>IFERROR(IF(VLOOKUP(A632,[5]PRIORIZADOS!$A:$U,21,FALSE)="","",VLOOKUP(A632,[5]PRIORIZADOS!$A:$U,21,FALSE)),"")</f>
        <v>Verificar el calendario académico de la vigencia 2026</v>
      </c>
    </row>
    <row r="633" spans="1:21" s="1" customFormat="1" ht="96">
      <c r="A633" s="69">
        <f>IF([5]PRIORIZADOS!A141="","",[5]PRIORIZADOS!A141)</f>
        <v>2846</v>
      </c>
      <c r="B633" s="70">
        <f>IFERROR(IF(VLOOKUP(A633,[5]PRIORIZADOS!$A:$B,2,FALSE)="","",VLOOKUP(A633,[5]PRIORIZADOS!$A:$B,2,FALSE)),"")</f>
        <v>15</v>
      </c>
      <c r="C633" s="11" t="str">
        <f>IFERROR(IF(VLOOKUP(A633,[5]PRIORIZADOS!$A:$C,3,FALSE)="","",VLOOKUP(A633,[5]PRIORIZADOS!$A:$C,3,FALSE)),"")</f>
        <v>CIUDAD BOLÍVAR</v>
      </c>
      <c r="D633" s="11" t="str">
        <f>IFERROR(IF(VLOOKUP(A633,[5]PRIORIZADOS!$A:$D,4,FALSE)="","",VLOOKUP(A633,[5]PRIORIZADOS!$A:$D,4,FALSE)),"")</f>
        <v>PRIVADO</v>
      </c>
      <c r="E633" s="11" t="str">
        <f>IFERROR(IF(VLOOKUP(A633,[5]PRIORIZADOS!$A:$E,5,FALSE)="","",VLOOKUP(A633,[5]PRIORIZADOS!$A:$E,5,FALSE)),"")</f>
        <v>EPBM</v>
      </c>
      <c r="F633" s="11" t="str">
        <f>IFERROR(IF(VLOOKUP(A633,[5]PRIORIZADOS!$A:$F,6,FALSE)="","",VLOOKUP(A633,[5]PRIORIZADOS!$A:$F,6,FALSE)),"")</f>
        <v>INSTITUTO_ORESTES_SINDICI</v>
      </c>
      <c r="G633" s="11" t="str">
        <f>IFERROR(IF(VLOOKUP(A633,[5]PRIORIZADOS!$A:$G,7,FALSE)="","",VLOOKUP(A633,[5]PRIORIZADOS!$A:$G,7,FALSE)),"")</f>
        <v>INSTITUTO ORESTES SINDICI</v>
      </c>
      <c r="H633" s="11" t="str">
        <f>IFERROR(IF(VLOOKUP(A633,[5]PRIORIZADOS!$A:$H,8,FALSE)="","",VLOOKUP(A633,[5]PRIORIZADOS!$A:$H,8,FALSE)),"")</f>
        <v>Autoevaluación Institucional y Pruebas SABER 11</v>
      </c>
      <c r="I633" s="11" t="str">
        <f>IFERROR(IF(VLOOKUP(A633,[5]PRIORIZADOS!$A:$I,9,FALSE)="","",VLOOKUP(A633,[5]PRIORIZADOS!$A:$I,9,FALSE)),"")</f>
        <v>EVALUACIÓN_CON_FINES_DE_MEJORAMIENTO.</v>
      </c>
      <c r="J633" s="11" t="str">
        <f>IFERROR(IF(VLOOKUP(A633,[5]PRIORIZADOS!$A:$J,10,FALSE)="","",VLOOKUP(A633,[5]PRIORIZADOS!$A:$J,10,FALSE)),"")</f>
        <v>Verificar el funcionamiento del Gobierno Escolar e instancias de participación con base en la información sobre conformación reportada por la institución educativa.</v>
      </c>
      <c r="K633" s="11" t="str">
        <f>IFERROR(IF(VLOOKUP(A633,[5]PRIORIZADOS!$A:$K,11,FALSE)="","",VLOOKUP(A633,[5]PRIORIZADOS!$A:$K,11,FALSE)),"")</f>
        <v xml:space="preserve">JUDITH SOLANO RAMÍREZ </v>
      </c>
      <c r="L633" s="11" t="str">
        <f>IFERROR(IF(VLOOKUP(A633,[5]PRIORIZADOS!$A:$L,12,FALSE)="","",VLOOKUP(A633,[5]PRIORIZADOS!$A:$L,12,FALSE)),"")</f>
        <v xml:space="preserve">MARIA NANCY DUCUARA </v>
      </c>
      <c r="M633" s="71">
        <f>IFERROR(IF(VLOOKUP(A633,[5]PRIORIZADOS!$A:$M,13,FALSE)="","",VLOOKUP(A633,[5]PRIORIZADOS!$A:$M,13,FALSE)),"")</f>
        <v>45960</v>
      </c>
      <c r="N633" s="71">
        <f>IFERROR(IF(VLOOKUP(A633,[5]PRIORIZADOS!$A:$N,14,FALSE)="","",VLOOKUP(A633,[5]PRIORIZADOS!$A:$N,14,FALSE)),"")</f>
        <v>45909</v>
      </c>
      <c r="O633" s="71">
        <f>IFERROR(IF(VLOOKUP(A633,[5]PRIORIZADOS!$A:$O,15,FALSE)="","",VLOOKUP(A633,[5]PRIORIZADOS!$A:$O,15,FALSE)),"")</f>
        <v>45909</v>
      </c>
      <c r="P633" s="11" t="str">
        <f>IFERROR(IF(VLOOKUP(A633,[5]PRIORIZADOS!$A:$P,16,FALSE)="","",VLOOKUP(A633,[5]PRIORIZADOS!$A:$P,16,FALSE)),"")</f>
        <v>Visitas de evaluación con fines de mejoramiento</v>
      </c>
      <c r="Q633" s="5" t="s">
        <v>128</v>
      </c>
      <c r="R633" s="11" t="str">
        <f>IFERROR(IF(VLOOKUP(A633,[5]PRIORIZADOS!$A:$R,18,FALSE)="","",VLOOKUP(A633,[5]PRIORIZADOS!$A:$R,18,FALSE)),"")</f>
        <v>Se evidencia que se realizan las sesiones de los entes de participación. El Consejo de padres sólo ha tenido dos sesiones en el año 2025. Las reuniones deben ser mínimo cada dos meses,  de acuerdo a la normatividad para las reuniones ordinarias del consejo de padres de familia. Los estamentos no tienen reglamento interno.</v>
      </c>
      <c r="S633" s="11" t="str">
        <f>IFERROR(IF(VLOOKUP(A633,[5]PRIORIZADOS!$A:$S,19,FALSE)="","",VLOOKUP(A633,[5]PRIORIZADOS!$A:$S,19,FALSE)),"")</f>
        <v>Elaborar el reglamento interno de todos los estamentos de participación.</v>
      </c>
      <c r="T633" s="70" t="str">
        <f>IFERROR(IF(VLOOKUP(A633,[5]PRIORIZADOS!$A:$T,20,FALSE)="","",VLOOKUP(A633,[5]PRIORIZADOS!$A:$T,20,FALSE)),"")</f>
        <v>Si</v>
      </c>
      <c r="U633" s="11" t="str">
        <f>IFERROR(IF(VLOOKUP(A633,[5]PRIORIZADOS!$A:$U,21,FALSE)="","",VLOOKUP(A633,[5]PRIORIZADOS!$A:$U,21,FALSE)),"")</f>
        <v>La IE hará entrega del Plan de Mejoramiento el 09/10/2025.
El ELIV realizará evisión documental en el mes de noviembre de 2025 para verificar el cumplimiento de las acciones establecidas en el plan de mejoramiento.</v>
      </c>
    </row>
    <row r="634" spans="1:21" s="1" customFormat="1" ht="238.5">
      <c r="A634" s="69">
        <f>IF([5]PRIORIZADOS!A142="","",[5]PRIORIZADOS!A142)</f>
        <v>2847</v>
      </c>
      <c r="B634" s="70">
        <f>IFERROR(IF(VLOOKUP(A634,[5]PRIORIZADOS!$A:$B,2,FALSE)="","",VLOOKUP(A634,[5]PRIORIZADOS!$A:$B,2,FALSE)),"")</f>
        <v>15</v>
      </c>
      <c r="C634" s="11" t="str">
        <f>IFERROR(IF(VLOOKUP(A634,[5]PRIORIZADOS!$A:$C,3,FALSE)="","",VLOOKUP(A634,[5]PRIORIZADOS!$A:$C,3,FALSE)),"")</f>
        <v>CIUDAD BOLÍVAR</v>
      </c>
      <c r="D634" s="11" t="str">
        <f>IFERROR(IF(VLOOKUP(A634,[5]PRIORIZADOS!$A:$D,4,FALSE)="","",VLOOKUP(A634,[5]PRIORIZADOS!$A:$D,4,FALSE)),"")</f>
        <v>PRIVADO</v>
      </c>
      <c r="E634" s="11" t="str">
        <f>IFERROR(IF(VLOOKUP(A634,[5]PRIORIZADOS!$A:$E,5,FALSE)="","",VLOOKUP(A634,[5]PRIORIZADOS!$A:$E,5,FALSE)),"")</f>
        <v>EPBM</v>
      </c>
      <c r="F634" s="11" t="str">
        <f>IFERROR(IF(VLOOKUP(A634,[5]PRIORIZADOS!$A:$F,6,FALSE)="","",VLOOKUP(A634,[5]PRIORIZADOS!$A:$F,6,FALSE)),"")</f>
        <v>INSTITUTO_ORESTES_SINDICI</v>
      </c>
      <c r="G634" s="11" t="str">
        <f>IFERROR(IF(VLOOKUP(A634,[5]PRIORIZADOS!$A:$G,7,FALSE)="","",VLOOKUP(A634,[5]PRIORIZADOS!$A:$G,7,FALSE)),"")</f>
        <v>INSTITUTO ORESTES SINDICI</v>
      </c>
      <c r="H634" s="11" t="str">
        <f>IFERROR(IF(VLOOKUP(A634,[5]PRIORIZADOS!$A:$H,8,FALSE)="","",VLOOKUP(A634,[5]PRIORIZADOS!$A:$H,8,FALSE)),"")</f>
        <v>Autoevaluación Institucional y Pruebas SABER 11</v>
      </c>
      <c r="I634" s="11" t="str">
        <f>IFERROR(IF(VLOOKUP(A634,[5]PRIORIZADOS!$A:$I,9,FALSE)="","",VLOOKUP(A634,[5]PRIORIZADOS!$A:$I,9,FALSE)),"")</f>
        <v>EVALUACIÓN_CON_FINES_DE_MEJORAMIENTO.</v>
      </c>
      <c r="J634" s="11" t="str">
        <f>IFERROR(IF(VLOOKUP(A634,[5]PRIORIZADOS!$A:$J,10,FALSE)="","",VLOOKUP(A634,[5]PRIORIZADOS!$A:$J,10,FALSE)),"")</f>
        <v>Verificar las condiciones en cuanto a: la estructura administrativa, condiciones de la planta física y medios educativos adecuados.</v>
      </c>
      <c r="K634" s="11" t="str">
        <f>IFERROR(IF(VLOOKUP(A634,[5]PRIORIZADOS!$A:$K,11,FALSE)="","",VLOOKUP(A634,[5]PRIORIZADOS!$A:$K,11,FALSE)),"")</f>
        <v xml:space="preserve">JUDITH SOLANO RAMÍREZ </v>
      </c>
      <c r="L634" s="11" t="str">
        <f>IFERROR(IF(VLOOKUP(A634,[5]PRIORIZADOS!$A:$L,12,FALSE)="","",VLOOKUP(A634,[5]PRIORIZADOS!$A:$L,12,FALSE)),"")</f>
        <v xml:space="preserve">MARIA NANCY DUCUARA </v>
      </c>
      <c r="M634" s="71">
        <f>IFERROR(IF(VLOOKUP(A634,[5]PRIORIZADOS!$A:$M,13,FALSE)="","",VLOOKUP(A634,[5]PRIORIZADOS!$A:$M,13,FALSE)),"")</f>
        <v>45960</v>
      </c>
      <c r="N634" s="71">
        <f>IFERROR(IF(VLOOKUP(A634,[5]PRIORIZADOS!$A:$N,14,FALSE)="","",VLOOKUP(A634,[5]PRIORIZADOS!$A:$N,14,FALSE)),"")</f>
        <v>45909</v>
      </c>
      <c r="O634" s="71">
        <f>IFERROR(IF(VLOOKUP(A634,[5]PRIORIZADOS!$A:$O,15,FALSE)="","",VLOOKUP(A634,[5]PRIORIZADOS!$A:$O,15,FALSE)),"")</f>
        <v>45909</v>
      </c>
      <c r="P634" s="11" t="str">
        <f>IFERROR(IF(VLOOKUP(A634,[5]PRIORIZADOS!$A:$P,16,FALSE)="","",VLOOKUP(A634,[5]PRIORIZADOS!$A:$P,16,FALSE)),"")</f>
        <v>Visitas de evaluación con fines de mejoramiento</v>
      </c>
      <c r="Q634" s="45" t="s">
        <v>128</v>
      </c>
      <c r="R634" s="11" t="str">
        <f>IFERROR(IF(VLOOKUP(A634,[5]PRIORIZADOS!$A:$R,18,FALSE)="","",VLOOKUP(A634,[5]PRIORIZADOS!$A:$R,18,FALSE)),"")</f>
        <v>El organigrama presenta un esquema circular que no corresponde a un organigrama como tal.
El manual de funciones no contiene todas las áreas de la IE. Los contratos laborales omiten información relevante para la IE.
La información de matrícula y asignación de cupos no está consignada en el PEI.
Las instalaciones Son suficientes y cuentan con la dotación requerida de acuerdo con el número de estudiantes.
La infraestructura de la IE no requiere la gestión de convenios de ambiente compartidos porque cuenta con las áreas suficientes.</v>
      </c>
      <c r="S634" s="11" t="str">
        <f>IFERROR(IF(VLOOKUP(A634,[5]PRIORIZADOS!$A:$S,19,FALSE)="","",VLOOKUP(A634,[5]PRIORIZADOS!$A:$S,19,FALSE)),"")</f>
        <v>1. Diseñar un organigrama que refleje la estructura funcional de la IE.
2.  Incluir todas las áreas de la IE en el Manual de Funciones.
3. Mejorar las clausulas del contrato laboral indicando: derechos, deberes, prohibiciones y debido proceso (faltas y sanciones). Causales expresas para la cancelación del contrato. Toda la información debe ser coherente con el Manual de Funciones, el Manual de Convivencia y el Reglamento Interno de Trabajo.
4. Compilar en el PEI el procedimiento para la asignación de cupos, matrículas, y el registro en los sistemas de información SIMAT y/o EVI.
5.  Adecuar las instalaciones así como la señalización para las personas con algún tipo de discapacidad</v>
      </c>
      <c r="T634" s="70" t="str">
        <f>IFERROR(IF(VLOOKUP(A634,[5]PRIORIZADOS!$A:$T,20,FALSE)="","",VLOOKUP(A634,[5]PRIORIZADOS!$A:$T,20,FALSE)),"")</f>
        <v>Si</v>
      </c>
      <c r="U634" s="11" t="str">
        <f>IFERROR(IF(VLOOKUP(A634,[5]PRIORIZADOS!$A:$U,21,FALSE)="","",VLOOKUP(A634,[5]PRIORIZADOS!$A:$U,21,FALSE)),"")</f>
        <v>La IE hará entrega del Plan de Mejoramiento el 09/10/2025.
El ELIV realizará evisión documental en el mes de noviembre de 2025 para verificar el cumplimiento de las acciones establecidas en el plan de mejoramiento.</v>
      </c>
    </row>
    <row r="635" spans="1:21" s="1" customFormat="1" ht="96">
      <c r="A635" s="69">
        <f>IF([5]PRIORIZADOS!A143="","",[5]PRIORIZADOS!A143)</f>
        <v>2849</v>
      </c>
      <c r="B635" s="70">
        <f>IFERROR(IF(VLOOKUP(A635,[5]PRIORIZADOS!$A:$B,2,FALSE)="","",VLOOKUP(A635,[5]PRIORIZADOS!$A:$B,2,FALSE)),"")</f>
        <v>16</v>
      </c>
      <c r="C635" s="11" t="str">
        <f>IFERROR(IF(VLOOKUP(A635,[5]PRIORIZADOS!$A:$C,3,FALSE)="","",VLOOKUP(A635,[5]PRIORIZADOS!$A:$C,3,FALSE)),"")</f>
        <v>CIUDAD BOLÍVAR</v>
      </c>
      <c r="D635" s="11" t="str">
        <f>IFERROR(IF(VLOOKUP(A635,[5]PRIORIZADOS!$A:$D,4,FALSE)="","",VLOOKUP(A635,[5]PRIORIZADOS!$A:$D,4,FALSE)),"")</f>
        <v>PRIVADO</v>
      </c>
      <c r="E635" s="11" t="str">
        <f>IFERROR(IF(VLOOKUP(A635,[5]PRIORIZADOS!$A:$E,5,FALSE)="","",VLOOKUP(A635,[5]PRIORIZADOS!$A:$E,5,FALSE)),"")</f>
        <v>EPBM</v>
      </c>
      <c r="F635" s="11" t="str">
        <f>IFERROR(IF(VLOOKUP(A635,[5]PRIORIZADOS!$A:$F,6,FALSE)="","",VLOOKUP(A635,[5]PRIORIZADOS!$A:$F,6,FALSE)),"")</f>
        <v>LICEO_MAURITANIA</v>
      </c>
      <c r="G635" s="11" t="str">
        <f>IFERROR(IF(VLOOKUP(A635,[5]PRIORIZADOS!$A:$G,7,FALSE)="","",VLOOKUP(A635,[5]PRIORIZADOS!$A:$G,7,FALSE)),"")</f>
        <v>LICEO MAURITANIA</v>
      </c>
      <c r="H635" s="11" t="str">
        <f>IFERROR(IF(VLOOKUP(A635,[5]PRIORIZADOS!$A:$H,8,FALSE)="","",VLOOKUP(A635,[5]PRIORIZADOS!$A:$H,8,FALSE)),"")</f>
        <v>Autoevaluación Institucional y Pruebas SABER 11</v>
      </c>
      <c r="I635" s="11" t="str">
        <f>IFERROR(IF(VLOOKUP(A635,[5]PRIORIZADOS!$A:$I,9,FALSE)="","",VLOOKUP(A635,[5]PRIORIZADOS!$A:$I,9,FALSE)),"")</f>
        <v>SEGUIMIENTO_Y_SUPERVISIÓN.</v>
      </c>
      <c r="J635" s="11" t="str">
        <f>IFERROR(IF(VLOOKUP(A635,[5]PRIORIZADOS!$A:$J,10,FALSE)="","",VLOOKUP(A635,[5]PRIORIZADOS!$A:$J,10,FALSE)),"")</f>
        <v>Realizar visitas para verificar la información registrada sobre la autoevaluación institucional en el aplicativo EVI, a los establecimientos de educación formal no oficial.</v>
      </c>
      <c r="K635" s="11" t="str">
        <f>IFERROR(IF(VLOOKUP(A635,[5]PRIORIZADOS!$A:$K,11,FALSE)="","",VLOOKUP(A635,[5]PRIORIZADOS!$A:$K,11,FALSE)),"")</f>
        <v xml:space="preserve">MARIA NANCY DUCUARA </v>
      </c>
      <c r="L635" s="11" t="str">
        <f>IFERROR(IF(VLOOKUP(A635,[5]PRIORIZADOS!$A:$L,12,FALSE)="","",VLOOKUP(A635,[5]PRIORIZADOS!$A:$L,12,FALSE)),"")</f>
        <v xml:space="preserve">JUDITH SOLANO RAMÍREZ </v>
      </c>
      <c r="M635" s="71">
        <f>IFERROR(IF(VLOOKUP(A635,[5]PRIORIZADOS!$A:$M,13,FALSE)="","",VLOOKUP(A635,[5]PRIORIZADOS!$A:$M,13,FALSE)),"")</f>
        <v>45961</v>
      </c>
      <c r="N635" s="71">
        <f>IFERROR(IF(VLOOKUP(A635,[5]PRIORIZADOS!$A:$N,14,FALSE)="","",VLOOKUP(A635,[5]PRIORIZADOS!$A:$N,14,FALSE)),"")</f>
        <v>45931</v>
      </c>
      <c r="O635" s="71">
        <f>IFERROR(IF(VLOOKUP(A635,[5]PRIORIZADOS!$A:$O,15,FALSE)="","",VLOOKUP(A635,[5]PRIORIZADOS!$A:$O,15,FALSE)),"")</f>
        <v>45931</v>
      </c>
      <c r="P635" s="11" t="str">
        <f>IFERROR(IF(VLOOKUP(A635,[5]PRIORIZADOS!$A:$P,16,FALSE)="","",VLOOKUP(A635,[5]PRIORIZADOS!$A:$P,16,FALSE)),"")</f>
        <v>Visitas de evaluación con fines de mejoramiento</v>
      </c>
      <c r="Q635" s="7" t="s">
        <v>129</v>
      </c>
      <c r="R635" s="11" t="str">
        <f>IFERROR(IF(VLOOKUP(A635,[5]PRIORIZADOS!$A:$R,18,FALSE)="","",VLOOKUP(A635,[5]PRIORIZADOS!$A:$R,18,FALSE)),"")</f>
        <v>Se verificó que la IE ha realizado el pago de seguridad social integral a la mayoría de los docentes conforme lo establecido en la norma, quedando pendiente cinco docentes. sin embargo, se requiere esta acción para todos los decentes vinculados. Además se encontó que hay cuatro docentes que no están títulados.</v>
      </c>
      <c r="S635" s="11" t="str">
        <f>IFERROR(IF(VLOOKUP(A635,[5]PRIORIZADOS!$A:$S,19,FALSE)="","",VLOOKUP(A635,[5]PRIORIZADOS!$A:$S,19,FALSE)),"")</f>
        <v>Elaborar y entregar plan de mejoramiento que contemple las  acciones establecidas para dar cumplimiento a lo normativo frente a vinculación docente e idoneidad.</v>
      </c>
      <c r="T635" s="70" t="str">
        <f>IFERROR(IF(VLOOKUP(A635,[5]PRIORIZADOS!$A:$T,20,FALSE)="","",VLOOKUP(A635,[5]PRIORIZADOS!$A:$T,20,FALSE)),"")</f>
        <v>Si</v>
      </c>
      <c r="U635" s="11" t="str">
        <f>IFERROR(IF(VLOOKUP(A635,[5]PRIORIZADOS!$A:$U,21,FALSE)="","",VLOOKUP(A635,[5]PRIORIZADOS!$A:$U,21,FALSE)),"")</f>
        <v xml:space="preserve">Verificar las acciones establecidas en el plan de mejoramiento una vez sea entregado por la IE. PM 30.10.2025 y realizar visita de seguimiento en febrero de 2025 </v>
      </c>
    </row>
    <row r="636" spans="1:21" s="1" customFormat="1" ht="84">
      <c r="A636" s="69">
        <f>IF([5]PRIORIZADOS!A144="","",[5]PRIORIZADOS!A144)</f>
        <v>2851</v>
      </c>
      <c r="B636" s="70">
        <f>IFERROR(IF(VLOOKUP(A636,[5]PRIORIZADOS!$A:$B,2,FALSE)="","",VLOOKUP(A636,[5]PRIORIZADOS!$A:$B,2,FALSE)),"")</f>
        <v>16</v>
      </c>
      <c r="C636" s="11" t="str">
        <f>IFERROR(IF(VLOOKUP(A636,[5]PRIORIZADOS!$A:$C,3,FALSE)="","",VLOOKUP(A636,[5]PRIORIZADOS!$A:$C,3,FALSE)),"")</f>
        <v>CIUDAD BOLÍVAR</v>
      </c>
      <c r="D636" s="11" t="str">
        <f>IFERROR(IF(VLOOKUP(A636,[5]PRIORIZADOS!$A:$D,4,FALSE)="","",VLOOKUP(A636,[5]PRIORIZADOS!$A:$D,4,FALSE)),"")</f>
        <v>PRIVADO</v>
      </c>
      <c r="E636" s="11" t="str">
        <f>IFERROR(IF(VLOOKUP(A636,[5]PRIORIZADOS!$A:$E,5,FALSE)="","",VLOOKUP(A636,[5]PRIORIZADOS!$A:$E,5,FALSE)),"")</f>
        <v>EPBM</v>
      </c>
      <c r="F636" s="11" t="str">
        <f>IFERROR(IF(VLOOKUP(A636,[5]PRIORIZADOS!$A:$F,6,FALSE)="","",VLOOKUP(A636,[5]PRIORIZADOS!$A:$F,6,FALSE)),"")</f>
        <v>LICEO_MAURITANIA</v>
      </c>
      <c r="G636" s="11" t="str">
        <f>IFERROR(IF(VLOOKUP(A636,[5]PRIORIZADOS!$A:$G,7,FALSE)="","",VLOOKUP(A636,[5]PRIORIZADOS!$A:$G,7,FALSE)),"")</f>
        <v>LICEO MAURITANIA</v>
      </c>
      <c r="H636" s="11" t="str">
        <f>IFERROR(IF(VLOOKUP(A636,[5]PRIORIZADOS!$A:$H,8,FALSE)="","",VLOOKUP(A636,[5]PRIORIZADOS!$A:$H,8,FALSE)),"")</f>
        <v>Autoevaluación Institucional y Pruebas SABER 11</v>
      </c>
      <c r="I636" s="11" t="str">
        <f>IFERROR(IF(VLOOKUP(A636,[5]PRIORIZADOS!$A:$I,9,FALSE)="","",VLOOKUP(A636,[5]PRIORIZADOS!$A:$I,9,FALSE)),"")</f>
        <v>SEGUIMIENTO_Y_SUPERVISIÓN.</v>
      </c>
      <c r="J636" s="11" t="str">
        <f>IFERROR(IF(VLOOKUP(A636,[5]PRIORIZADOS!$A:$J,10,FALSE)="","",VLOOKUP(A636,[5]PRIORIZADOS!$A:$J,10,FALSE)),"")</f>
        <v xml:space="preserve">Verificar la implementación por parte de los colegios, de acciones realizadas para la prevención y atención de las situaciones de convivencia en el entorno escolar, según lo establecido en la Directiva 01 de 2022 del MEN. </v>
      </c>
      <c r="K636" s="11" t="str">
        <f>IFERROR(IF(VLOOKUP(A636,[5]PRIORIZADOS!$A:$K,11,FALSE)="","",VLOOKUP(A636,[5]PRIORIZADOS!$A:$K,11,FALSE)),"")</f>
        <v xml:space="preserve">MARIA NANCY DUCUARA </v>
      </c>
      <c r="L636" s="11" t="str">
        <f>IFERROR(IF(VLOOKUP(A636,[5]PRIORIZADOS!$A:$L,12,FALSE)="","",VLOOKUP(A636,[5]PRIORIZADOS!$A:$L,12,FALSE)),"")</f>
        <v xml:space="preserve">JUDITH SOLANO RAMÍREZ </v>
      </c>
      <c r="M636" s="71">
        <f>IFERROR(IF(VLOOKUP(A636,[5]PRIORIZADOS!$A:$M,13,FALSE)="","",VLOOKUP(A636,[5]PRIORIZADOS!$A:$M,13,FALSE)),"")</f>
        <v>45961</v>
      </c>
      <c r="N636" s="71">
        <f>IFERROR(IF(VLOOKUP(A636,[5]PRIORIZADOS!$A:$N,14,FALSE)="","",VLOOKUP(A636,[5]PRIORIZADOS!$A:$N,14,FALSE)),"")</f>
        <v>45931</v>
      </c>
      <c r="O636" s="71">
        <f>IFERROR(IF(VLOOKUP(A636,[5]PRIORIZADOS!$A:$O,15,FALSE)="","",VLOOKUP(A636,[5]PRIORIZADOS!$A:$O,15,FALSE)),"")</f>
        <v>45931</v>
      </c>
      <c r="P636" s="11" t="str">
        <f>IFERROR(IF(VLOOKUP(A636,[5]PRIORIZADOS!$A:$P,16,FALSE)="","",VLOOKUP(A636,[5]PRIORIZADOS!$A:$P,16,FALSE)),"")</f>
        <v>Visitas de evaluación con fines de mejoramiento</v>
      </c>
      <c r="Q636" s="7" t="s">
        <v>129</v>
      </c>
      <c r="R636" s="11" t="str">
        <f>IFERROR(IF(VLOOKUP(A636,[5]PRIORIZADOS!$A:$R,18,FALSE)="","",VLOOKUP(A636,[5]PRIORIZADOS!$A:$R,18,FALSE)),"")</f>
        <v>Se evidencia el reporte de situaciones convivenciales tipo I, agresión escolar. Se indica que si los padres de familia no realizan el proceso por salud, se deben reportar por negligencia al ICBF.No se verifican los antecedentes por delitos sexuales.</v>
      </c>
      <c r="S636" s="11" t="str">
        <f>IFERROR(IF(VLOOKUP(A636,[5]PRIORIZADOS!$A:$S,19,FALSE)="","",VLOOKUP(A636,[5]PRIORIZADOS!$A:$S,19,FALSE)),"")</f>
        <v>Realizar la verificación de los antecedentes de delitos sexuales para todo el personal vinculado,  previa a la vinculación y cada cuatro meses durante su vinculación.</v>
      </c>
      <c r="T636" s="70" t="str">
        <f>IFERROR(IF(VLOOKUP(A636,[5]PRIORIZADOS!$A:$T,20,FALSE)="","",VLOOKUP(A636,[5]PRIORIZADOS!$A:$T,20,FALSE)),"")</f>
        <v>Si</v>
      </c>
      <c r="U636" s="11" t="str">
        <f>IFERROR(IF(VLOOKUP(A636,[5]PRIORIZADOS!$A:$U,21,FALSE)="","",VLOOKUP(A636,[5]PRIORIZADOS!$A:$U,21,FALSE)),"")</f>
        <v>Verificar la implementación de la consulta  de antecedentes de delitos sexuales para todo el personal vinculado a la IE.</v>
      </c>
    </row>
    <row r="637" spans="1:21" s="1" customFormat="1" ht="107.25">
      <c r="A637" s="69">
        <f>IF([5]PRIORIZADOS!A145="","",[5]PRIORIZADOS!A145)</f>
        <v>2852</v>
      </c>
      <c r="B637" s="70">
        <f>IFERROR(IF(VLOOKUP(A637,[5]PRIORIZADOS!$A:$B,2,FALSE)="","",VLOOKUP(A637,[5]PRIORIZADOS!$A:$B,2,FALSE)),"")</f>
        <v>16</v>
      </c>
      <c r="C637" s="11" t="str">
        <f>IFERROR(IF(VLOOKUP(A637,[5]PRIORIZADOS!$A:$C,3,FALSE)="","",VLOOKUP(A637,[5]PRIORIZADOS!$A:$C,3,FALSE)),"")</f>
        <v>CIUDAD BOLÍVAR</v>
      </c>
      <c r="D637" s="11" t="str">
        <f>IFERROR(IF(VLOOKUP(A637,[5]PRIORIZADOS!$A:$D,4,FALSE)="","",VLOOKUP(A637,[5]PRIORIZADOS!$A:$D,4,FALSE)),"")</f>
        <v>PRIVADO</v>
      </c>
      <c r="E637" s="11" t="str">
        <f>IFERROR(IF(VLOOKUP(A637,[5]PRIORIZADOS!$A:$E,5,FALSE)="","",VLOOKUP(A637,[5]PRIORIZADOS!$A:$E,5,FALSE)),"")</f>
        <v>EPBM</v>
      </c>
      <c r="F637" s="11" t="str">
        <f>IFERROR(IF(VLOOKUP(A637,[5]PRIORIZADOS!$A:$F,6,FALSE)="","",VLOOKUP(A637,[5]PRIORIZADOS!$A:$F,6,FALSE)),"")</f>
        <v>LICEO_MAURITANIA</v>
      </c>
      <c r="G637" s="11" t="str">
        <f>IFERROR(IF(VLOOKUP(A637,[5]PRIORIZADOS!$A:$G,7,FALSE)="","",VLOOKUP(A637,[5]PRIORIZADOS!$A:$G,7,FALSE)),"")</f>
        <v>LICEO MAURITANIA</v>
      </c>
      <c r="H637" s="11" t="str">
        <f>IFERROR(IF(VLOOKUP(A637,[5]PRIORIZADOS!$A:$H,8,FALSE)="","",VLOOKUP(A637,[5]PRIORIZADOS!$A:$H,8,FALSE)),"")</f>
        <v>Autoevaluación Institucional y Pruebas SABER 11</v>
      </c>
      <c r="I637" s="11" t="str">
        <f>IFERROR(IF(VLOOKUP(A637,[5]PRIORIZADOS!$A:$I,9,FALSE)="","",VLOOKUP(A637,[5]PRIORIZADOS!$A:$I,9,FALSE)),"")</f>
        <v>SEGUIMIENTO_Y_SUPERVISIÓN.</v>
      </c>
      <c r="J637" s="11" t="str">
        <f>IFERROR(IF(VLOOKUP(A637,[5]PRIORIZADOS!$A:$J,10,FALSE)="","",VLOOKUP(A637,[5]PRIORIZADOS!$A:$J,10,FALSE)),"")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37" s="11" t="str">
        <f>IFERROR(IF(VLOOKUP(A637,[5]PRIORIZADOS!$A:$K,11,FALSE)="","",VLOOKUP(A637,[5]PRIORIZADOS!$A:$K,11,FALSE)),"")</f>
        <v xml:space="preserve">MARIA NANCY DUCUARA </v>
      </c>
      <c r="L637" s="11" t="str">
        <f>IFERROR(IF(VLOOKUP(A637,[5]PRIORIZADOS!$A:$L,12,FALSE)="","",VLOOKUP(A637,[5]PRIORIZADOS!$A:$L,12,FALSE)),"")</f>
        <v xml:space="preserve">JUDITH SOLANO RAMÍREZ </v>
      </c>
      <c r="M637" s="71">
        <f>IFERROR(IF(VLOOKUP(A637,[5]PRIORIZADOS!$A:$M,13,FALSE)="","",VLOOKUP(A637,[5]PRIORIZADOS!$A:$M,13,FALSE)),"")</f>
        <v>45961</v>
      </c>
      <c r="N637" s="71">
        <f>IFERROR(IF(VLOOKUP(A637,[5]PRIORIZADOS!$A:$N,14,FALSE)="","",VLOOKUP(A637,[5]PRIORIZADOS!$A:$N,14,FALSE)),"")</f>
        <v>45931</v>
      </c>
      <c r="O637" s="71">
        <f>IFERROR(IF(VLOOKUP(A637,[5]PRIORIZADOS!$A:$O,15,FALSE)="","",VLOOKUP(A637,[5]PRIORIZADOS!$A:$O,15,FALSE)),"")</f>
        <v>45931</v>
      </c>
      <c r="P637" s="11" t="str">
        <f>IFERROR(IF(VLOOKUP(A637,[5]PRIORIZADOS!$A:$P,16,FALSE)="","",VLOOKUP(A637,[5]PRIORIZADOS!$A:$P,16,FALSE)),"")</f>
        <v>Visitas de evaluación con fines de mejoramiento</v>
      </c>
      <c r="Q637" s="7" t="s">
        <v>129</v>
      </c>
      <c r="R637" s="11" t="str">
        <f>IFERROR(IF(VLOOKUP(A637,[5]PRIORIZADOS!$A:$R,18,FALSE)="","",VLOOKUP(A637,[5]PRIORIZADOS!$A:$R,18,FALSE)),"")</f>
        <v>Se evidencia que la institución educativa tiene caracterizados los estudiantes con discapacidad, los cuales tienen PIAR diligenciado. Sin embargo, es necesario que los PIAR se adapten de manera específica a las necesidades de los estudiantes y se realice el seguimiento respectivo para la verificación del impacto de los ajustes razonables.</v>
      </c>
      <c r="S637" s="11" t="str">
        <f>IFERROR(IF(VLOOKUP(A637,[5]PRIORIZADOS!$A:$S,19,FALSE)="","",VLOOKUP(A637,[5]PRIORIZADOS!$A:$S,19,FALSE)),"")</f>
        <v>Realizar actualización de los PIAR diligenciando el formato completo de los ajustes razonables de acuerdo al diagnóstico de los estudiantes, evidenciando el seguimiento del proceso.</v>
      </c>
      <c r="T637" s="70" t="str">
        <f>IFERROR(IF(VLOOKUP(A637,[5]PRIORIZADOS!$A:$T,20,FALSE)="","",VLOOKUP(A637,[5]PRIORIZADOS!$A:$T,20,FALSE)),"")</f>
        <v>Si</v>
      </c>
      <c r="U637" s="11" t="str">
        <f>IFERROR(IF(VLOOKUP(A637,[5]PRIORIZADOS!$A:$U,21,FALSE)="","",VLOOKUP(A637,[5]PRIORIZADOS!$A:$U,21,FALSE)),"")</f>
        <v xml:space="preserve">Verificar el documento de PIAR actualizado para cada estudiante  y la evidencia del seguimiento en los formatos diligenciados. PM 30.10.2025 y realizar visita de seguimiento en febrero de 2025 </v>
      </c>
    </row>
    <row r="638" spans="1:21" s="1" customFormat="1" ht="96">
      <c r="A638" s="69">
        <f>IF([5]PRIORIZADOS!A146="","",[5]PRIORIZADOS!A146)</f>
        <v>2853</v>
      </c>
      <c r="B638" s="70">
        <f>IFERROR(IF(VLOOKUP(A638,[5]PRIORIZADOS!$A:$B,2,FALSE)="","",VLOOKUP(A638,[5]PRIORIZADOS!$A:$B,2,FALSE)),"")</f>
        <v>16</v>
      </c>
      <c r="C638" s="11" t="str">
        <f>IFERROR(IF(VLOOKUP(A638,[5]PRIORIZADOS!$A:$C,3,FALSE)="","",VLOOKUP(A638,[5]PRIORIZADOS!$A:$C,3,FALSE)),"")</f>
        <v>CIUDAD BOLÍVAR</v>
      </c>
      <c r="D638" s="11" t="str">
        <f>IFERROR(IF(VLOOKUP(A638,[5]PRIORIZADOS!$A:$D,4,FALSE)="","",VLOOKUP(A638,[5]PRIORIZADOS!$A:$D,4,FALSE)),"")</f>
        <v>PRIVADO</v>
      </c>
      <c r="E638" s="11" t="str">
        <f>IFERROR(IF(VLOOKUP(A638,[5]PRIORIZADOS!$A:$E,5,FALSE)="","",VLOOKUP(A638,[5]PRIORIZADOS!$A:$E,5,FALSE)),"")</f>
        <v>EPBM</v>
      </c>
      <c r="F638" s="11" t="str">
        <f>IFERROR(IF(VLOOKUP(A638,[5]PRIORIZADOS!$A:$F,6,FALSE)="","",VLOOKUP(A638,[5]PRIORIZADOS!$A:$F,6,FALSE)),"")</f>
        <v>LICEO_MAURITANIA</v>
      </c>
      <c r="G638" s="11" t="str">
        <f>IFERROR(IF(VLOOKUP(A638,[5]PRIORIZADOS!$A:$G,7,FALSE)="","",VLOOKUP(A638,[5]PRIORIZADOS!$A:$G,7,FALSE)),"")</f>
        <v>LICEO MAURITANIA</v>
      </c>
      <c r="H638" s="11" t="str">
        <f>IFERROR(IF(VLOOKUP(A638,[5]PRIORIZADOS!$A:$H,8,FALSE)="","",VLOOKUP(A638,[5]PRIORIZADOS!$A:$H,8,FALSE)),"")</f>
        <v>Autoevaluación Institucional y Pruebas SABER 11</v>
      </c>
      <c r="I638" s="11" t="str">
        <f>IFERROR(IF(VLOOKUP(A638,[5]PRIORIZADOS!$A:$I,9,FALSE)="","",VLOOKUP(A638,[5]PRIORIZADOS!$A:$I,9,FALSE)),"")</f>
        <v>EVALUACIÓN_CON_FINES_DE_MEJORAMIENTO.</v>
      </c>
      <c r="J638" s="11" t="str">
        <f>IFERROR(IF(VLOOKUP(A638,[5]PRIORIZADOS!$A:$J,10,FALSE)="","",VLOOKUP(A638,[5]PRIORIZADOS!$A:$J,10,FALSE)),"")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38" s="11" t="str">
        <f>IFERROR(IF(VLOOKUP(A638,[5]PRIORIZADOS!$A:$K,11,FALSE)="","",VLOOKUP(A638,[5]PRIORIZADOS!$A:$K,11,FALSE)),"")</f>
        <v xml:space="preserve">MARIA NANCY DUCUARA </v>
      </c>
      <c r="L638" s="11" t="str">
        <f>IFERROR(IF(VLOOKUP(A638,[5]PRIORIZADOS!$A:$L,12,FALSE)="","",VLOOKUP(A638,[5]PRIORIZADOS!$A:$L,12,FALSE)),"")</f>
        <v xml:space="preserve">JUDITH SOLANO RAMÍREZ </v>
      </c>
      <c r="M638" s="71">
        <f>IFERROR(IF(VLOOKUP(A638,[5]PRIORIZADOS!$A:$M,13,FALSE)="","",VLOOKUP(A638,[5]PRIORIZADOS!$A:$M,13,FALSE)),"")</f>
        <v>45961</v>
      </c>
      <c r="N638" s="71">
        <f>IFERROR(IF(VLOOKUP(A638,[5]PRIORIZADOS!$A:$N,14,FALSE)="","",VLOOKUP(A638,[5]PRIORIZADOS!$A:$N,14,FALSE)),"")</f>
        <v>45931</v>
      </c>
      <c r="O638" s="71">
        <f>IFERROR(IF(VLOOKUP(A638,[5]PRIORIZADOS!$A:$O,15,FALSE)="","",VLOOKUP(A638,[5]PRIORIZADOS!$A:$O,15,FALSE)),"")</f>
        <v>45931</v>
      </c>
      <c r="P638" s="11" t="str">
        <f>IFERROR(IF(VLOOKUP(A638,[5]PRIORIZADOS!$A:$P,16,FALSE)="","",VLOOKUP(A638,[5]PRIORIZADOS!$A:$P,16,FALSE)),"")</f>
        <v>Visitas de evaluación con fines de mejoramiento</v>
      </c>
      <c r="Q638" s="7" t="s">
        <v>129</v>
      </c>
      <c r="R638" s="11" t="str">
        <f>IFERROR(IF(VLOOKUP(A638,[5]PRIORIZADOS!$A:$R,18,FALSE)="","",VLOOKUP(A638,[5]PRIORIZADOS!$A:$R,18,FALSE)),"")</f>
        <v>Tienen un documento de Manual de Convivencia; sin embargo no tienen documentada la participación de los diferentes estamentos en su construcción. El documento no está actualizado normativamente y carece del enfoque de género, enfoque restaurativo y de derechos humanos.</v>
      </c>
      <c r="S638" s="11" t="str">
        <f>IFERROR(IF(VLOOKUP(A638,[5]PRIORIZADOS!$A:$S,19,FALSE)="","",VLOOKUP(A638,[5]PRIORIZADOS!$A:$S,19,FALSE)),"")</f>
        <v>Actualizar el manual de convivencia de acuerdo a la normatividad vigente, de manera participativa con los diferentes estamentos, documentando el proceso, incluyendo los enfoques de género, restaurativo y de derechos humanos.</v>
      </c>
      <c r="T638" s="70" t="str">
        <f>IFERROR(IF(VLOOKUP(A638,[5]PRIORIZADOS!$A:$T,20,FALSE)="","",VLOOKUP(A638,[5]PRIORIZADOS!$A:$T,20,FALSE)),"")</f>
        <v>Si</v>
      </c>
      <c r="U638" s="11" t="str">
        <f>IFERROR(IF(VLOOKUP(A638,[5]PRIORIZADOS!$A:$U,21,FALSE)="","",VLOOKUP(A638,[5]PRIORIZADOS!$A:$U,21,FALSE)),"")</f>
        <v xml:space="preserve">Verificar el documento de Manual de Convivencia actualizado y las actas de su construcción participativa con la comunidad educativa. PM 30.10.2025 y realizar visita de seguimiento en febrero de 2025 </v>
      </c>
    </row>
    <row r="639" spans="1:21" s="1" customFormat="1" ht="142.5">
      <c r="A639" s="69">
        <f>IF([5]PRIORIZADOS!A147="","",[5]PRIORIZADOS!A147)</f>
        <v>2854</v>
      </c>
      <c r="B639" s="70">
        <f>IFERROR(IF(VLOOKUP(A639,[5]PRIORIZADOS!$A:$B,2,FALSE)="","",VLOOKUP(A639,[5]PRIORIZADOS!$A:$B,2,FALSE)),"")</f>
        <v>16</v>
      </c>
      <c r="C639" s="11" t="str">
        <f>IFERROR(IF(VLOOKUP(A639,[5]PRIORIZADOS!$A:$C,3,FALSE)="","",VLOOKUP(A639,[5]PRIORIZADOS!$A:$C,3,FALSE)),"")</f>
        <v>CIUDAD BOLÍVAR</v>
      </c>
      <c r="D639" s="11" t="str">
        <f>IFERROR(IF(VLOOKUP(A639,[5]PRIORIZADOS!$A:$D,4,FALSE)="","",VLOOKUP(A639,[5]PRIORIZADOS!$A:$D,4,FALSE)),"")</f>
        <v>PRIVADO</v>
      </c>
      <c r="E639" s="11" t="str">
        <f>IFERROR(IF(VLOOKUP(A639,[5]PRIORIZADOS!$A:$E,5,FALSE)="","",VLOOKUP(A639,[5]PRIORIZADOS!$A:$E,5,FALSE)),"")</f>
        <v>EPBM</v>
      </c>
      <c r="F639" s="11" t="str">
        <f>IFERROR(IF(VLOOKUP(A639,[5]PRIORIZADOS!$A:$F,6,FALSE)="","",VLOOKUP(A639,[5]PRIORIZADOS!$A:$F,6,FALSE)),"")</f>
        <v>LICEO_MAURITANIA</v>
      </c>
      <c r="G639" s="11" t="str">
        <f>IFERROR(IF(VLOOKUP(A639,[5]PRIORIZADOS!$A:$G,7,FALSE)="","",VLOOKUP(A639,[5]PRIORIZADOS!$A:$G,7,FALSE)),"")</f>
        <v>LICEO MAURITANIA</v>
      </c>
      <c r="H639" s="11" t="str">
        <f>IFERROR(IF(VLOOKUP(A639,[5]PRIORIZADOS!$A:$H,8,FALSE)="","",VLOOKUP(A639,[5]PRIORIZADOS!$A:$H,8,FALSE)),"")</f>
        <v>Autoevaluación Institucional y Pruebas SABER 11</v>
      </c>
      <c r="I639" s="11" t="str">
        <f>IFERROR(IF(VLOOKUP(A639,[5]PRIORIZADOS!$A:$I,9,FALSE)="","",VLOOKUP(A639,[5]PRIORIZADOS!$A:$I,9,FALSE)),"")</f>
        <v>EVALUACIÓN_CON_FINES_DE_MEJORAMIENTO.</v>
      </c>
      <c r="J639" s="11" t="str">
        <f>IFERROR(IF(VLOOKUP(A639,[5]PRIORIZADOS!$A:$J,10,FALSE)="","",VLOOKUP(A639,[5]PRIORIZADOS!$A:$J,10,FALSE)),"")</f>
        <v>Revisar la actualización, socialización e implementación del Sistema Institucional de Evaluación de Estudiantes - SIEE, en articulación con la actualización del PEI y la normatividad vigente.</v>
      </c>
      <c r="K639" s="11" t="str">
        <f>IFERROR(IF(VLOOKUP(A639,[5]PRIORIZADOS!$A:$K,11,FALSE)="","",VLOOKUP(A639,[5]PRIORIZADOS!$A:$K,11,FALSE)),"")</f>
        <v xml:space="preserve">MARIA NANCY DUCUARA </v>
      </c>
      <c r="L639" s="11" t="str">
        <f>IFERROR(IF(VLOOKUP(A639,[5]PRIORIZADOS!$A:$L,12,FALSE)="","",VLOOKUP(A639,[5]PRIORIZADOS!$A:$L,12,FALSE)),"")</f>
        <v xml:space="preserve">JUDITH SOLANO RAMÍREZ </v>
      </c>
      <c r="M639" s="71">
        <f>IFERROR(IF(VLOOKUP(A639,[5]PRIORIZADOS!$A:$M,13,FALSE)="","",VLOOKUP(A639,[5]PRIORIZADOS!$A:$M,13,FALSE)),"")</f>
        <v>45961</v>
      </c>
      <c r="N639" s="71">
        <f>IFERROR(IF(VLOOKUP(A639,[5]PRIORIZADOS!$A:$N,14,FALSE)="","",VLOOKUP(A639,[5]PRIORIZADOS!$A:$N,14,FALSE)),"")</f>
        <v>45931</v>
      </c>
      <c r="O639" s="71">
        <f>IFERROR(IF(VLOOKUP(A639,[5]PRIORIZADOS!$A:$O,15,FALSE)="","",VLOOKUP(A639,[5]PRIORIZADOS!$A:$O,15,FALSE)),"")</f>
        <v>45931</v>
      </c>
      <c r="P639" s="11" t="str">
        <f>IFERROR(IF(VLOOKUP(A639,[5]PRIORIZADOS!$A:$P,16,FALSE)="","",VLOOKUP(A639,[5]PRIORIZADOS!$A:$P,16,FALSE)),"")</f>
        <v>Visitas de evaluación con fines de mejoramiento</v>
      </c>
      <c r="Q639" s="7" t="s">
        <v>129</v>
      </c>
      <c r="R639" s="11" t="str">
        <f>IFERROR(IF(VLOOKUP(A639,[5]PRIORIZADOS!$A:$R,18,FALSE)="","",VLOOKUP(A639,[5]PRIORIZADOS!$A:$R,18,FALSE)),"")</f>
        <v xml:space="preserve">Se evidencia un documento SIEE donde se indica los criterios, estrategias, temas y tiempos para la evaluación, revisado y evaluado en reuniones de área. Sin embargo, en el documento se enuncia la escala de valoración para el nivel de preescolar, pero la institución educativa no tiene aprobado este nivel educativo.
En el SIEE se enuncia planes de apoyo y refuerzo, así como nivelaciones, sin embargo no se encuentran documentadas las actividades. </v>
      </c>
      <c r="S639" s="11" t="str">
        <f>IFERROR(IF(VLOOKUP(A639,[5]PRIORIZADOS!$A:$S,19,FALSE)="","",VLOOKUP(A639,[5]PRIORIZADOS!$A:$S,19,FALSE)),"")</f>
        <v>Actualizar el documento SIEE realizando el ajuste de acuerdo a la realidad institucional de grados ofertados. Documentar las acciones de apoyo y refuerzo escolar, así como las nivelaciones realizadas con los estudiantes.</v>
      </c>
      <c r="T639" s="70" t="str">
        <f>IFERROR(IF(VLOOKUP(A639,[5]PRIORIZADOS!$A:$T,20,FALSE)="","",VLOOKUP(A639,[5]PRIORIZADOS!$A:$T,20,FALSE)),"")</f>
        <v>Si</v>
      </c>
      <c r="U639" s="11" t="str">
        <f>IFERROR(IF(VLOOKUP(A639,[5]PRIORIZADOS!$A:$U,21,FALSE)="","",VLOOKUP(A639,[5]PRIORIZADOS!$A:$U,21,FALSE)),"")</f>
        <v xml:space="preserve">Verificar el documento del SIEE actualizado de acuerdo a la normatividad existente. PM 30.10.2025 y realizar visita de seguimiento en febrero de 2025 </v>
      </c>
    </row>
    <row r="640" spans="1:21" s="1" customFormat="1" ht="48">
      <c r="A640" s="69">
        <f>IF([5]PRIORIZADOS!A148="","",[5]PRIORIZADOS!A148)</f>
        <v>2855</v>
      </c>
      <c r="B640" s="70">
        <f>IFERROR(IF(VLOOKUP(A640,[5]PRIORIZADOS!$A:$B,2,FALSE)="","",VLOOKUP(A640,[5]PRIORIZADOS!$A:$B,2,FALSE)),"")</f>
        <v>16</v>
      </c>
      <c r="C640" s="11" t="str">
        <f>IFERROR(IF(VLOOKUP(A640,[5]PRIORIZADOS!$A:$C,3,FALSE)="","",VLOOKUP(A640,[5]PRIORIZADOS!$A:$C,3,FALSE)),"")</f>
        <v>CIUDAD BOLÍVAR</v>
      </c>
      <c r="D640" s="11" t="str">
        <f>IFERROR(IF(VLOOKUP(A640,[5]PRIORIZADOS!$A:$D,4,FALSE)="","",VLOOKUP(A640,[5]PRIORIZADOS!$A:$D,4,FALSE)),"")</f>
        <v>PRIVADO</v>
      </c>
      <c r="E640" s="11" t="str">
        <f>IFERROR(IF(VLOOKUP(A640,[5]PRIORIZADOS!$A:$E,5,FALSE)="","",VLOOKUP(A640,[5]PRIORIZADOS!$A:$E,5,FALSE)),"")</f>
        <v>EPBM</v>
      </c>
      <c r="F640" s="11" t="str">
        <f>IFERROR(IF(VLOOKUP(A640,[5]PRIORIZADOS!$A:$F,6,FALSE)="","",VLOOKUP(A640,[5]PRIORIZADOS!$A:$F,6,FALSE)),"")</f>
        <v>LICEO_MAURITANIA</v>
      </c>
      <c r="G640" s="11" t="str">
        <f>IFERROR(IF(VLOOKUP(A640,[5]PRIORIZADOS!$A:$G,7,FALSE)="","",VLOOKUP(A640,[5]PRIORIZADOS!$A:$G,7,FALSE)),"")</f>
        <v>LICEO MAURITANIA</v>
      </c>
      <c r="H640" s="11" t="str">
        <f>IFERROR(IF(VLOOKUP(A640,[5]PRIORIZADOS!$A:$H,8,FALSE)="","",VLOOKUP(A640,[5]PRIORIZADOS!$A:$H,8,FALSE)),"")</f>
        <v>Autoevaluación Institucional y Pruebas SABER 11</v>
      </c>
      <c r="I640" s="11" t="str">
        <f>IFERROR(IF(VLOOKUP(A640,[5]PRIORIZADOS!$A:$I,9,FALSE)="","",VLOOKUP(A640,[5]PRIORIZADOS!$A:$I,9,FALSE)),"")</f>
        <v>EVALUACIÓN_CON_FINES_DE_MEJORAMIENTO.</v>
      </c>
      <c r="J640" s="11" t="str">
        <f>IFERROR(IF(VLOOKUP(A640,[5]PRIORIZADOS!$A:$J,10,FALSE)="","",VLOOKUP(A640,[5]PRIORIZADOS!$A:$J,10,FALSE)),"")</f>
        <v>Revisar el calendario escolar, jornada escolar, la intensidad horaria mínima anual en cada nivel y las modificaciones que se realicen al mismo, de acuerdo con lo previsto en la normatividad vigente.</v>
      </c>
      <c r="K640" s="11" t="str">
        <f>IFERROR(IF(VLOOKUP(A640,[5]PRIORIZADOS!$A:$K,11,FALSE)="","",VLOOKUP(A640,[5]PRIORIZADOS!$A:$K,11,FALSE)),"")</f>
        <v xml:space="preserve">MARIA NANCY DUCUARA </v>
      </c>
      <c r="L640" s="11" t="str">
        <f>IFERROR(IF(VLOOKUP(A640,[5]PRIORIZADOS!$A:$L,12,FALSE)="","",VLOOKUP(A640,[5]PRIORIZADOS!$A:$L,12,FALSE)),"")</f>
        <v xml:space="preserve">JUDITH SOLANO RAMÍREZ </v>
      </c>
      <c r="M640" s="71">
        <f>IFERROR(IF(VLOOKUP(A640,[5]PRIORIZADOS!$A:$M,13,FALSE)="","",VLOOKUP(A640,[5]PRIORIZADOS!$A:$M,13,FALSE)),"")</f>
        <v>45961</v>
      </c>
      <c r="N640" s="71">
        <f>IFERROR(IF(VLOOKUP(A640,[5]PRIORIZADOS!$A:$N,14,FALSE)="","",VLOOKUP(A640,[5]PRIORIZADOS!$A:$N,14,FALSE)),"")</f>
        <v>45931</v>
      </c>
      <c r="O640" s="71">
        <f>IFERROR(IF(VLOOKUP(A640,[5]PRIORIZADOS!$A:$O,15,FALSE)="","",VLOOKUP(A640,[5]PRIORIZADOS!$A:$O,15,FALSE)),"")</f>
        <v>45931</v>
      </c>
      <c r="P640" s="11" t="str">
        <f>IFERROR(IF(VLOOKUP(A640,[5]PRIORIZADOS!$A:$P,16,FALSE)="","",VLOOKUP(A640,[5]PRIORIZADOS!$A:$P,16,FALSE)),"")</f>
        <v>Visitas de evaluación con fines de mejoramiento</v>
      </c>
      <c r="Q640" s="7" t="s">
        <v>129</v>
      </c>
      <c r="R640" s="11" t="str">
        <f>IFERROR(IF(VLOOKUP(A640,[5]PRIORIZADOS!$A:$R,18,FALSE)="","",VLOOKUP(A640,[5]PRIORIZADOS!$A:$R,18,FALSE)),"")</f>
        <v>La institución educativa cumple con las horas establecidas para cada unos de los niveles aprobados.</v>
      </c>
      <c r="S640" s="11" t="str">
        <f>IFERROR(IF(VLOOKUP(A640,[5]PRIORIZADOS!$A:$S,19,FALSE)="","",VLOOKUP(A640,[5]PRIORIZADOS!$A:$S,19,FALSE)),"")</f>
        <v>Reportar el calendario escolar de acuerdo a la normatividad existente en el año 2026.</v>
      </c>
      <c r="T640" s="70" t="str">
        <f>IFERROR(IF(VLOOKUP(A640,[5]PRIORIZADOS!$A:$T,20,FALSE)="","",VLOOKUP(A640,[5]PRIORIZADOS!$A:$T,20,FALSE)),"")</f>
        <v>No</v>
      </c>
      <c r="U640" s="11" t="str">
        <f>IFERROR(IF(VLOOKUP(A640,[5]PRIORIZADOS!$A:$U,21,FALSE)="","",VLOOKUP(A640,[5]PRIORIZADOS!$A:$U,21,FALSE)),"")</f>
        <v>Verificar el calendario escolar para el año 2026 de acuerdo a  la normatividad existente.</v>
      </c>
    </row>
    <row r="641" spans="1:21" s="1" customFormat="1" ht="118.5">
      <c r="A641" s="69">
        <f>IF([5]PRIORIZADOS!A149="","",[5]PRIORIZADOS!A149)</f>
        <v>2856</v>
      </c>
      <c r="B641" s="70">
        <f>IFERROR(IF(VLOOKUP(A641,[5]PRIORIZADOS!$A:$B,2,FALSE)="","",VLOOKUP(A641,[5]PRIORIZADOS!$A:$B,2,FALSE)),"")</f>
        <v>16</v>
      </c>
      <c r="C641" s="11" t="str">
        <f>IFERROR(IF(VLOOKUP(A641,[5]PRIORIZADOS!$A:$C,3,FALSE)="","",VLOOKUP(A641,[5]PRIORIZADOS!$A:$C,3,FALSE)),"")</f>
        <v>CIUDAD BOLÍVAR</v>
      </c>
      <c r="D641" s="11" t="str">
        <f>IFERROR(IF(VLOOKUP(A641,[5]PRIORIZADOS!$A:$D,4,FALSE)="","",VLOOKUP(A641,[5]PRIORIZADOS!$A:$D,4,FALSE)),"")</f>
        <v>PRIVADO</v>
      </c>
      <c r="E641" s="11" t="str">
        <f>IFERROR(IF(VLOOKUP(A641,[5]PRIORIZADOS!$A:$E,5,FALSE)="","",VLOOKUP(A641,[5]PRIORIZADOS!$A:$E,5,FALSE)),"")</f>
        <v>EPBM</v>
      </c>
      <c r="F641" s="11" t="str">
        <f>IFERROR(IF(VLOOKUP(A641,[5]PRIORIZADOS!$A:$F,6,FALSE)="","",VLOOKUP(A641,[5]PRIORIZADOS!$A:$F,6,FALSE)),"")</f>
        <v>LICEO_MAURITANIA</v>
      </c>
      <c r="G641" s="11" t="str">
        <f>IFERROR(IF(VLOOKUP(A641,[5]PRIORIZADOS!$A:$G,7,FALSE)="","",VLOOKUP(A641,[5]PRIORIZADOS!$A:$G,7,FALSE)),"")</f>
        <v>LICEO MAURITANIA</v>
      </c>
      <c r="H641" s="11" t="str">
        <f>IFERROR(IF(VLOOKUP(A641,[5]PRIORIZADOS!$A:$H,8,FALSE)="","",VLOOKUP(A641,[5]PRIORIZADOS!$A:$H,8,FALSE)),"")</f>
        <v>Autoevaluación Institucional y Pruebas SABER 11</v>
      </c>
      <c r="I641" s="11" t="str">
        <f>IFERROR(IF(VLOOKUP(A641,[5]PRIORIZADOS!$A:$I,9,FALSE)="","",VLOOKUP(A641,[5]PRIORIZADOS!$A:$I,9,FALSE)),"")</f>
        <v>EVALUACIÓN_CON_FINES_DE_MEJORAMIENTO.</v>
      </c>
      <c r="J641" s="11" t="str">
        <f>IFERROR(IF(VLOOKUP(A641,[5]PRIORIZADOS!$A:$J,10,FALSE)="","",VLOOKUP(A641,[5]PRIORIZADOS!$A:$J,10,FALSE)),"")</f>
        <v>Verificar el funcionamiento del Gobierno Escolar e instancias de participación con base en la información sobre conformación reportada por la institución educativa.</v>
      </c>
      <c r="K641" s="11" t="str">
        <f>IFERROR(IF(VLOOKUP(A641,[5]PRIORIZADOS!$A:$K,11,FALSE)="","",VLOOKUP(A641,[5]PRIORIZADOS!$A:$K,11,FALSE)),"")</f>
        <v xml:space="preserve">MARIA NANCY DUCUARA </v>
      </c>
      <c r="L641" s="11" t="str">
        <f>IFERROR(IF(VLOOKUP(A641,[5]PRIORIZADOS!$A:$L,12,FALSE)="","",VLOOKUP(A641,[5]PRIORIZADOS!$A:$L,12,FALSE)),"")</f>
        <v xml:space="preserve">JUDITH SOLANO RAMÍREZ </v>
      </c>
      <c r="M641" s="71">
        <f>IFERROR(IF(VLOOKUP(A641,[5]PRIORIZADOS!$A:$M,13,FALSE)="","",VLOOKUP(A641,[5]PRIORIZADOS!$A:$M,13,FALSE)),"")</f>
        <v>45961</v>
      </c>
      <c r="N641" s="71">
        <f>IFERROR(IF(VLOOKUP(A641,[5]PRIORIZADOS!$A:$N,14,FALSE)="","",VLOOKUP(A641,[5]PRIORIZADOS!$A:$N,14,FALSE)),"")</f>
        <v>45931</v>
      </c>
      <c r="O641" s="71">
        <f>IFERROR(IF(VLOOKUP(A641,[5]PRIORIZADOS!$A:$O,15,FALSE)="","",VLOOKUP(A641,[5]PRIORIZADOS!$A:$O,15,FALSE)),"")</f>
        <v>45931</v>
      </c>
      <c r="P641" s="11" t="str">
        <f>IFERROR(IF(VLOOKUP(A641,[5]PRIORIZADOS!$A:$P,16,FALSE)="","",VLOOKUP(A641,[5]PRIORIZADOS!$A:$P,16,FALSE)),"")</f>
        <v>Visitas de evaluación con fines de mejoramiento</v>
      </c>
      <c r="Q641" s="7" t="s">
        <v>129</v>
      </c>
      <c r="R641" s="11" t="str">
        <f>IFERROR(IF(VLOOKUP(A641,[5]PRIORIZADOS!$A:$R,18,FALSE)="","",VLOOKUP(A641,[5]PRIORIZADOS!$A:$R,18,FALSE)),"")</f>
        <v>Se evidencia la conformación de los diferentes estamentos, y las actas de su funcionamiento, sin embargo hay falencias en su archivo y legalización de firmas. No tienen reglamento interno. No hay actas de sesiones del concejo directivo.</v>
      </c>
      <c r="S641" s="11" t="str">
        <f>IFERROR(IF(VLOOKUP(A641,[5]PRIORIZADOS!$A:$S,19,FALSE)="","",VLOOKUP(A641,[5]PRIORIZADOS!$A:$S,19,FALSE)),"")</f>
        <v>Organizar las actas de los estamentos de acuerdo a la normatividad archivística, asegurando que se encuentren firmadas por los asistentes a las sesiones. Elaborar el reglamento de cada uno de los estamentos de participación de la institución educativa.Operativizar el Consejo directivo, asegurando su funcionamiento y la documentación de las sesiones a través de actas.</v>
      </c>
      <c r="T641" s="70" t="str">
        <f>IFERROR(IF(VLOOKUP(A641,[5]PRIORIZADOS!$A:$T,20,FALSE)="","",VLOOKUP(A641,[5]PRIORIZADOS!$A:$T,20,FALSE)),"")</f>
        <v>Si</v>
      </c>
      <c r="U641" s="11" t="str">
        <f>IFERROR(IF(VLOOKUP(A641,[5]PRIORIZADOS!$A:$U,21,FALSE)="","",VLOOKUP(A641,[5]PRIORIZADOS!$A:$U,21,FALSE)),"")</f>
        <v>Verificar las actas de funcionamiento de los distintos estamentos de participación para constatar el cumplimiento de la normativa vigente.</v>
      </c>
    </row>
    <row r="642" spans="1:21" s="1" customFormat="1" ht="178.5">
      <c r="A642" s="69">
        <f>IF([5]PRIORIZADOS!A150="","",[5]PRIORIZADOS!A150)</f>
        <v>2857</v>
      </c>
      <c r="B642" s="70">
        <f>IFERROR(IF(VLOOKUP(A642,[5]PRIORIZADOS!$A:$B,2,FALSE)="","",VLOOKUP(A642,[5]PRIORIZADOS!$A:$B,2,FALSE)),"")</f>
        <v>16</v>
      </c>
      <c r="C642" s="11" t="str">
        <f>IFERROR(IF(VLOOKUP(A642,[5]PRIORIZADOS!$A:$C,3,FALSE)="","",VLOOKUP(A642,[5]PRIORIZADOS!$A:$C,3,FALSE)),"")</f>
        <v>CIUDAD BOLÍVAR</v>
      </c>
      <c r="D642" s="11" t="str">
        <f>IFERROR(IF(VLOOKUP(A642,[5]PRIORIZADOS!$A:$D,4,FALSE)="","",VLOOKUP(A642,[5]PRIORIZADOS!$A:$D,4,FALSE)),"")</f>
        <v>PRIVADO</v>
      </c>
      <c r="E642" s="11" t="str">
        <f>IFERROR(IF(VLOOKUP(A642,[5]PRIORIZADOS!$A:$E,5,FALSE)="","",VLOOKUP(A642,[5]PRIORIZADOS!$A:$E,5,FALSE)),"")</f>
        <v>EPBM</v>
      </c>
      <c r="F642" s="11" t="str">
        <f>IFERROR(IF(VLOOKUP(A642,[5]PRIORIZADOS!$A:$F,6,FALSE)="","",VLOOKUP(A642,[5]PRIORIZADOS!$A:$F,6,FALSE)),"")</f>
        <v>LICEO_MAURITANIA</v>
      </c>
      <c r="G642" s="11" t="str">
        <f>IFERROR(IF(VLOOKUP(A642,[5]PRIORIZADOS!$A:$G,7,FALSE)="","",VLOOKUP(A642,[5]PRIORIZADOS!$A:$G,7,FALSE)),"")</f>
        <v>LICEO MAURITANIA</v>
      </c>
      <c r="H642" s="11" t="str">
        <f>IFERROR(IF(VLOOKUP(A642,[5]PRIORIZADOS!$A:$H,8,FALSE)="","",VLOOKUP(A642,[5]PRIORIZADOS!$A:$H,8,FALSE)),"")</f>
        <v>Autoevaluación Institucional y Pruebas SABER 11</v>
      </c>
      <c r="I642" s="11" t="str">
        <f>IFERROR(IF(VLOOKUP(A642,[5]PRIORIZADOS!$A:$I,9,FALSE)="","",VLOOKUP(A642,[5]PRIORIZADOS!$A:$I,9,FALSE)),"")</f>
        <v>EVALUACIÓN_CON_FINES_DE_MEJORAMIENTO.</v>
      </c>
      <c r="J642" s="11" t="str">
        <f>IFERROR(IF(VLOOKUP(A642,[5]PRIORIZADOS!$A:$J,10,FALSE)="","",VLOOKUP(A642,[5]PRIORIZADOS!$A:$J,10,FALSE)),"")</f>
        <v>Verificar las condiciones en cuanto a: la estructura administrativa, condiciones de la planta física y medios educativos adecuados.</v>
      </c>
      <c r="K642" s="11" t="str">
        <f>IFERROR(IF(VLOOKUP(A642,[5]PRIORIZADOS!$A:$K,11,FALSE)="","",VLOOKUP(A642,[5]PRIORIZADOS!$A:$K,11,FALSE)),"")</f>
        <v xml:space="preserve">MARIA NANCY DUCUARA </v>
      </c>
      <c r="L642" s="11" t="str">
        <f>IFERROR(IF(VLOOKUP(A642,[5]PRIORIZADOS!$A:$L,12,FALSE)="","",VLOOKUP(A642,[5]PRIORIZADOS!$A:$L,12,FALSE)),"")</f>
        <v xml:space="preserve">JUDITH SOLANO RAMÍREZ </v>
      </c>
      <c r="M642" s="71">
        <f>IFERROR(IF(VLOOKUP(A642,[5]PRIORIZADOS!$A:$M,13,FALSE)="","",VLOOKUP(A642,[5]PRIORIZADOS!$A:$M,13,FALSE)),"")</f>
        <v>45961</v>
      </c>
      <c r="N642" s="71">
        <f>IFERROR(IF(VLOOKUP(A642,[5]PRIORIZADOS!$A:$N,14,FALSE)="","",VLOOKUP(A642,[5]PRIORIZADOS!$A:$N,14,FALSE)),"")</f>
        <v>45931</v>
      </c>
      <c r="O642" s="71">
        <f>IFERROR(IF(VLOOKUP(A642,[5]PRIORIZADOS!$A:$O,15,FALSE)="","",VLOOKUP(A642,[5]PRIORIZADOS!$A:$O,15,FALSE)),"")</f>
        <v>45931</v>
      </c>
      <c r="P642" s="11" t="str">
        <f>IFERROR(IF(VLOOKUP(A642,[5]PRIORIZADOS!$A:$P,16,FALSE)="","",VLOOKUP(A642,[5]PRIORIZADOS!$A:$P,16,FALSE)),"")</f>
        <v>Visitas de evaluación con fines de mejoramiento</v>
      </c>
      <c r="Q642" s="7" t="s">
        <v>129</v>
      </c>
      <c r="R642" s="11" t="str">
        <f>IFERROR(IF(VLOOKUP(A642,[5]PRIORIZADOS!$A:$R,18,FALSE)="","",VLOOKUP(A642,[5]PRIORIZADOS!$A:$R,18,FALSE)),"")</f>
        <v xml:space="preserve">Se encuentran doce (12) salones, evidenciando hacinamiento en uno de ellos, en el grado 6°, por lo que se debe realizar redistribución de los cursos, para que haya mejor movilidad. No hay señalización para las personas con discapacidad. Frente a los recursos educativos, algunos muebles se encuentran deteriorados, teniendo en cuenta que algunos espacios son pequeños se debe retirar elementos que obstruyan el paso. No tienen trámite de ambientes compartidos. </v>
      </c>
      <c r="S642" s="11" t="str">
        <f>IFERROR(IF(VLOOKUP(A642,[5]PRIORIZADOS!$A:$S,19,FALSE)="","",VLOOKUP(A642,[5]PRIORIZADOS!$A:$S,19,FALSE)),"")</f>
        <v>Redistribuir los salones para mejorar la movilidad de los estudiantes y evitar el hacinamiento. 
Realizar señalización de los espacios teniendo en cuenta las personas con discapacidad.
Generar un cronograma de reemplazo de los muebles que se encuentran deteriorados.
Retirar elementos que obstruyan el paso, asegurando la libre movilidad de los estudiantes.
Tramitar el convenio de ambientes compartidos y su correspondiente oficialización ante la SED.</v>
      </c>
      <c r="T642" s="70" t="str">
        <f>IFERROR(IF(VLOOKUP(A642,[5]PRIORIZADOS!$A:$T,20,FALSE)="","",VLOOKUP(A642,[5]PRIORIZADOS!$A:$T,20,FALSE)),"")</f>
        <v>Si</v>
      </c>
      <c r="U642" s="11" t="str">
        <f>IFERROR(IF(VLOOKUP(A642,[5]PRIORIZADOS!$A:$U,21,FALSE)="","",VLOOKUP(A642,[5]PRIORIZADOS!$A:$U,21,FALSE)),"")</f>
        <v>Verificar la implementación de los ajustes requeridos para la mejora en la movilidad de los estudiantes y la implementación del plan de reemplazo de bienes deteriorados. Así mismo el acto administrativo de ambientes compartidos.</v>
      </c>
    </row>
    <row r="643" spans="1:21" s="1" customFormat="1" ht="48">
      <c r="A643" s="69">
        <f>IF([6]PRIORIZADOS!A9="","",[6]PRIORIZADOS!A9)</f>
        <v>581</v>
      </c>
      <c r="B643" s="70">
        <f>IFERROR(IF(VLOOKUP(A643,[6]PRIORIZADOS!$A:$B,2,FALSE)="","",VLOOKUP(A643,[6]PRIORIZADOS!$A:$B,2,FALSE)),"")</f>
        <v>1</v>
      </c>
      <c r="C643" s="11" t="str">
        <f>IFERROR(IF(VLOOKUP(A643,[6]PRIORIZADOS!$A:$C,3,FALSE)="","",VLOOKUP(A643,[6]PRIORIZADOS!$A:$C,3,FALSE)),"")</f>
        <v>ENGATIVÁ</v>
      </c>
      <c r="D643" s="11" t="str">
        <f>IFERROR(IF(VLOOKUP(A643,[6]PRIORIZADOS!$A:$D,4,FALSE)="","",VLOOKUP(A643,[6]PRIORIZADOS!$A:$D,4,FALSE)),"")</f>
        <v>PRIVADO</v>
      </c>
      <c r="E643" s="11" t="str">
        <f>IFERROR(IF(VLOOKUP(A643,[6]PRIORIZADOS!$A:$E,5,FALSE)="","",VLOOKUP(A643,[6]PRIORIZADOS!$A:$E,5,FALSE)),"")</f>
        <v>Educación de Jóvenes y Adultos</v>
      </c>
      <c r="F643" s="11" t="str">
        <f>IFERROR(IF(VLOOKUP(A643,[6]PRIORIZADOS!$A:$F,6,FALSE)="","",VLOOKUP(A643,[6]PRIORIZADOS!$A:$F,6,FALSE)),"")</f>
        <v>CORPORACION_TECNOLOGICA_EMPRESARIAL</v>
      </c>
      <c r="G643" s="11" t="str">
        <f>IFERROR(IF(VLOOKUP(A643,[6]PRIORIZADOS!$A:$G,7,FALSE)="","",VLOOKUP(A643,[6]PRIORIZADOS!$A:$G,7,FALSE)),"")</f>
        <v>CORPORACION_TECNOLOGICA_EMPRESARIAL</v>
      </c>
      <c r="H643" s="11" t="str">
        <f>IFERROR(IF(VLOOKUP(A643,[6]PRIORIZADOS!$A:$H,8,FALSE)="","",VLOOKUP(A643,[6]PRIORIZADOS!$A:$H,8,FALSE)),"")</f>
        <v>Autoevaluación Institucional y Pruebas SABER 11</v>
      </c>
      <c r="I643" s="11" t="str">
        <f>IFERROR(IF(VLOOKUP(A643,[6]PRIORIZADOS!$A:$I,9,FALSE)="","",VLOOKUP(A643,[6]PRIORIZADOS!$A:$I,9,FALSE)),"")</f>
        <v>SEGUIMIENTO_Y_SUPERVISIÓN.</v>
      </c>
      <c r="J643" s="11" t="str">
        <f>IFERROR(IF(VLOOKUP(A643,[6]PRIORIZADOS!$A:$J,10,FALSE)="","",VLOOKUP(A643,[6]PRIORIZADOS!$A:$J,10,FALSE)),"")</f>
        <v>Realizar visitas para verificar la información registrada sobre la autoevaluación institucional en el aplicativo EVI, a los establecimientos de educación formal no oficial.</v>
      </c>
      <c r="K643" s="11" t="str">
        <f>IFERROR(IF(VLOOKUP(A643,[6]PRIORIZADOS!$A:$K,11,FALSE)="","",VLOOKUP(A643,[6]PRIORIZADOS!$A:$K,11,FALSE)),"")</f>
        <v>JAIME HUMBERTO RAMÍREZ LLANOS</v>
      </c>
      <c r="L643" s="11" t="str">
        <f>IFERROR(IF(VLOOKUP(A643,[6]PRIORIZADOS!$A:$L,12,FALSE)="","",VLOOKUP(A643,[6]PRIORIZADOS!$A:$L,12,FALSE)),"")</f>
        <v>LUZ MERY PARRA NOPE</v>
      </c>
      <c r="M643" s="71">
        <f>IFERROR(IF(VLOOKUP(A643,[6]PRIORIZADOS!$A:$M,13,FALSE)="","",VLOOKUP(A643,[6]PRIORIZADOS!$A:$M,13,FALSE)),"")</f>
        <v>45745</v>
      </c>
      <c r="N643" s="139">
        <f>IFERROR(IF(VLOOKUP(A643,[6]PRIORIZADOS!$A:$N,14,FALSE)="","",VLOOKUP(A643,[6]PRIORIZADOS!$A:$N,14,FALSE)),"")</f>
        <v>45745</v>
      </c>
      <c r="O643" s="139">
        <f>IFERROR(IF(VLOOKUP(A643,[6]PRIORIZADOS!$A:$O,15,FALSE)="","",VLOOKUP(A643,[6]PRIORIZADOS!$A:$O,15,FALSE)),"")</f>
        <v>45745</v>
      </c>
      <c r="P643" s="11" t="str">
        <f>IFERROR(IF(VLOOKUP(A643,[6]PRIORIZADOS!$A:$P,16,FALSE)="","",VLOOKUP(A643,[6]PRIORIZADOS!$A:$P,16,FALSE)),"")</f>
        <v>Visitas de evaluación con fines de seguimiento</v>
      </c>
      <c r="Q643" s="107" t="s">
        <v>130</v>
      </c>
      <c r="R643" s="11" t="str">
        <f>IFERROR(IF(VLOOKUP(A643,[6]PRIORIZADOS!$A:$R,18,FALSE)="","",VLOOKUP(A643,[6]PRIORIZADOS!$A:$R,18,FALSE)),"")</f>
        <v>Hecha la verficación de especios pedagógicos, baños, salas de apoyo se pudo constatar que corresponden con lo registrado en el aplicativo EVI</v>
      </c>
      <c r="S643" s="11" t="str">
        <f>IFERROR(IF(VLOOKUP(A643,[6]PRIORIZADOS!$A:$S,19,FALSE)="","",VLOOKUP(A643,[6]PRIORIZADOS!$A:$S,19,FALSE)),"")</f>
        <v>Constada la información registrada en el EVI se encontró que la misma se ajusta a lo físicamente verificado en la visita</v>
      </c>
      <c r="T643" s="70" t="str">
        <f>IFERROR(IF(VLOOKUP(A643,[6]PRIORIZADOS!$A:$T,20,FALSE)="","",VLOOKUP(A643,[6]PRIORIZADOS!$A:$T,20,FALSE)),"")</f>
        <v>No</v>
      </c>
      <c r="U643" s="11" t="str">
        <f>IFERROR(IF(VLOOKUP(A643,[6]PRIORIZADOS!$A:$U,21,FALSE)="","",VLOOKUP(A643,[6]PRIORIZADOS!$A:$U,21,FALSE)),"")</f>
        <v>Se llevó a cabo visita de verificación el 08/11/2025 para garantizar cumplimiento Se hará seguimiento en el 2026</v>
      </c>
    </row>
    <row r="644" spans="1:21" s="1" customFormat="1" ht="60">
      <c r="A644" s="69">
        <f>IF([6]PRIORIZADOS!A10="","",[6]PRIORIZADOS!A10)</f>
        <v>582</v>
      </c>
      <c r="B644" s="70">
        <f>IFERROR(IF(VLOOKUP(A644,[6]PRIORIZADOS!$A:$B,2,FALSE)="","",VLOOKUP(A644,[6]PRIORIZADOS!$A:$B,2,FALSE)),"")</f>
        <v>1</v>
      </c>
      <c r="C644" s="11" t="str">
        <f>IFERROR(IF(VLOOKUP(A644,[6]PRIORIZADOS!$A:$C,3,FALSE)="","",VLOOKUP(A644,[6]PRIORIZADOS!$A:$C,3,FALSE)),"")</f>
        <v>ENGATIVÁ</v>
      </c>
      <c r="D644" s="11" t="str">
        <f>IFERROR(IF(VLOOKUP(A644,[6]PRIORIZADOS!$A:$D,4,FALSE)="","",VLOOKUP(A644,[6]PRIORIZADOS!$A:$D,4,FALSE)),"")</f>
        <v>PRIVADO</v>
      </c>
      <c r="E644" s="11" t="str">
        <f>IFERROR(IF(VLOOKUP(A644,[6]PRIORIZADOS!$A:$E,5,FALSE)="","",VLOOKUP(A644,[6]PRIORIZADOS!$A:$E,5,FALSE)),"")</f>
        <v>Educación de Jóvenes y Adultos</v>
      </c>
      <c r="F644" s="11" t="str">
        <f>IFERROR(IF(VLOOKUP(A644,[6]PRIORIZADOS!$A:$F,6,FALSE)="","",VLOOKUP(A644,[6]PRIORIZADOS!$A:$F,6,FALSE)),"")</f>
        <v>CORPORACION_TECNOLOGICA_EMPRESARIAL</v>
      </c>
      <c r="G644" s="11" t="str">
        <f>IFERROR(IF(VLOOKUP(A644,[6]PRIORIZADOS!$A:$G,7,FALSE)="","",VLOOKUP(A644,[6]PRIORIZADOS!$A:$G,7,FALSE)),"")</f>
        <v>CORPORACION_TECNOLOGICA_EMPRESARIAL</v>
      </c>
      <c r="H644" s="11" t="str">
        <f>IFERROR(IF(VLOOKUP(A644,[6]PRIORIZADOS!$A:$H,8,FALSE)="","",VLOOKUP(A644,[6]PRIORIZADOS!$A:$H,8,FALSE)),"")</f>
        <v>Autoevaluación Institucional y Pruebas SABER 11</v>
      </c>
      <c r="I644" s="11" t="str">
        <f>IFERROR(IF(VLOOKUP(A644,[6]PRIORIZADOS!$A:$I,9,FALSE)="","",VLOOKUP(A644,[6]PRIORIZADOS!$A:$I,9,FALSE)),"")</f>
        <v>SEGUIMIENTO_Y_SUPERVISIÓN.</v>
      </c>
      <c r="J644" s="11" t="str">
        <f>IFERROR(IF(VLOOKUP(A644,[6]PRIORIZADOS!$A:$J,10,FALSE)="","",VLOOKUP(A644,[6]PRIORIZADOS!$A:$J,10,FALSE)),"")</f>
        <v>Proponer estrategias en la formulación, verificar su elaboración y realizar seguimiento semestral al desarrollo de  las acciones establecidas en los planes de mejoramiento por pruebas SABER 11 de los establecimientos de educación formal.</v>
      </c>
      <c r="K644" s="11" t="str">
        <f>IFERROR(IF(VLOOKUP(A644,[6]PRIORIZADOS!$A:$K,11,FALSE)="","",VLOOKUP(A644,[6]PRIORIZADOS!$A:$K,11,FALSE)),"")</f>
        <v>JAIME HUMBERTO RAMÍREZ LLANOS</v>
      </c>
      <c r="L644" s="11" t="str">
        <f>IFERROR(IF(VLOOKUP(A644,[6]PRIORIZADOS!$A:$L,12,FALSE)="","",VLOOKUP(A644,[6]PRIORIZADOS!$A:$L,12,FALSE)),"")</f>
        <v>LUZ MERY PARRA NOPE</v>
      </c>
      <c r="M644" s="71">
        <f>IFERROR(IF(VLOOKUP(A644,[6]PRIORIZADOS!$A:$M,13,FALSE)="","",VLOOKUP(A644,[6]PRIORIZADOS!$A:$M,13,FALSE)),"")</f>
        <v>45745</v>
      </c>
      <c r="N644" s="139">
        <f>IFERROR(IF(VLOOKUP(A644,[6]PRIORIZADOS!$A:$N,14,FALSE)="","",VLOOKUP(A644,[6]PRIORIZADOS!$A:$N,14,FALSE)),"")</f>
        <v>45745</v>
      </c>
      <c r="O644" s="139">
        <f>IFERROR(IF(VLOOKUP(A644,[6]PRIORIZADOS!$A:$O,15,FALSE)="","",VLOOKUP(A644,[6]PRIORIZADOS!$A:$O,15,FALSE)),"")</f>
        <v>45745</v>
      </c>
      <c r="P644" s="11" t="str">
        <f>IFERROR(IF(VLOOKUP(A644,[6]PRIORIZADOS!$A:$P,16,FALSE)="","",VLOOKUP(A644,[6]PRIORIZADOS!$A:$P,16,FALSE)),"")</f>
        <v>Visitas de evaluación con fines de seguimiento</v>
      </c>
      <c r="Q644" s="107" t="s">
        <v>130</v>
      </c>
      <c r="R644" s="11" t="str">
        <f>IFERROR(IF(VLOOKUP(A644,[6]PRIORIZADOS!$A:$R,18,FALSE)="","",VLOOKUP(A644,[6]PRIORIZADOS!$A:$R,18,FALSE)),"")</f>
        <v>No se presentaron estudiantes para pruebas saber 2024, no hay opción de establecer plan</v>
      </c>
      <c r="S644" s="11" t="str">
        <f>IFERROR(IF(VLOOKUP(A644,[6]PRIORIZADOS!$A:$S,19,FALSE)="","",VLOOKUP(A644,[6]PRIORIZADOS!$A:$S,19,FALSE)),"")</f>
        <v>Con el fin de garantizar una mejor formación de sus estudiantes se sugiere a la institución presentarlos en las pruebas saber 11</v>
      </c>
      <c r="T644" s="70" t="str">
        <f>IFERROR(IF(VLOOKUP(A644,[6]PRIORIZADOS!$A:$T,20,FALSE)="","",VLOOKUP(A644,[6]PRIORIZADOS!$A:$T,20,FALSE)),"")</f>
        <v>No</v>
      </c>
      <c r="U644" s="11" t="str">
        <f>IFERROR(IF(VLOOKUP(A644,[6]PRIORIZADOS!$A:$U,21,FALSE)="","",VLOOKUP(A644,[6]PRIORIZADOS!$A:$U,21,FALSE)),"")</f>
        <v>Se llevó a cabo visita de verificación el 08/11/2025 para garantizar cumplimiento Se hará seguimiento en el 2026</v>
      </c>
    </row>
    <row r="645" spans="1:21" s="1" customFormat="1" ht="48">
      <c r="A645" s="69">
        <f>IF([6]PRIORIZADOS!A11="","",[6]PRIORIZADOS!A11)</f>
        <v>583</v>
      </c>
      <c r="B645" s="70">
        <f>IFERROR(IF(VLOOKUP(A645,[6]PRIORIZADOS!$A:$B,2,FALSE)="","",VLOOKUP(A645,[6]PRIORIZADOS!$A:$B,2,FALSE)),"")</f>
        <v>1</v>
      </c>
      <c r="C645" s="11" t="str">
        <f>IFERROR(IF(VLOOKUP(A645,[6]PRIORIZADOS!$A:$C,3,FALSE)="","",VLOOKUP(A645,[6]PRIORIZADOS!$A:$C,3,FALSE)),"")</f>
        <v>ENGATIVÁ</v>
      </c>
      <c r="D645" s="11" t="str">
        <f>IFERROR(IF(VLOOKUP(A645,[6]PRIORIZADOS!$A:$D,4,FALSE)="","",VLOOKUP(A645,[6]PRIORIZADOS!$A:$D,4,FALSE)),"")</f>
        <v>PRIVADO</v>
      </c>
      <c r="E645" s="11" t="str">
        <f>IFERROR(IF(VLOOKUP(A645,[6]PRIORIZADOS!$A:$E,5,FALSE)="","",VLOOKUP(A645,[6]PRIORIZADOS!$A:$E,5,FALSE)),"")</f>
        <v>Educación de Jóvenes y Adultos</v>
      </c>
      <c r="F645" s="11" t="str">
        <f>IFERROR(IF(VLOOKUP(A645,[6]PRIORIZADOS!$A:$F,6,FALSE)="","",VLOOKUP(A645,[6]PRIORIZADOS!$A:$F,6,FALSE)),"")</f>
        <v>CORPORACION_TECNOLOGICA_EMPRESARIAL</v>
      </c>
      <c r="G645" s="11" t="str">
        <f>IFERROR(IF(VLOOKUP(A645,[6]PRIORIZADOS!$A:$G,7,FALSE)="","",VLOOKUP(A645,[6]PRIORIZADOS!$A:$G,7,FALSE)),"")</f>
        <v>CORPORACION_TECNOLOGICA_EMPRESARIAL</v>
      </c>
      <c r="H645" s="11" t="str">
        <f>IFERROR(IF(VLOOKUP(A645,[6]PRIORIZADOS!$A:$H,8,FALSE)="","",VLOOKUP(A645,[6]PRIORIZADOS!$A:$H,8,FALSE)),"")</f>
        <v>Autoevaluación Institucional y Pruebas SABER 11</v>
      </c>
      <c r="I645" s="11" t="str">
        <f>IFERROR(IF(VLOOKUP(A645,[6]PRIORIZADOS!$A:$I,9,FALSE)="","",VLOOKUP(A645,[6]PRIORIZADOS!$A:$I,9,FALSE)),"")</f>
        <v>SEGUIMIENTO_Y_SUPERVISIÓN.</v>
      </c>
      <c r="J645" s="11" t="str">
        <f>IFERROR(IF(VLOOKUP(A645,[6]PRIORIZADOS!$A:$J,10,FALSE)="","",VLOOKUP(A645,[6]PRIORIZADOS!$A:$J,10,FALSE)),"")</f>
        <v xml:space="preserve">Verificar la implementación por parte de los colegios, de acciones realizadas para la prevención y atención de las situaciones de convivencia en el entorno escolar, según lo establecido en la Directiva 01 de 2022 del MEN. </v>
      </c>
      <c r="K645" s="11" t="str">
        <f>IFERROR(IF(VLOOKUP(A645,[6]PRIORIZADOS!$A:$K,11,FALSE)="","",VLOOKUP(A645,[6]PRIORIZADOS!$A:$K,11,FALSE)),"")</f>
        <v>JAIME HUMBERTO RAMÍREZ LLANOS</v>
      </c>
      <c r="L645" s="11" t="str">
        <f>IFERROR(IF(VLOOKUP(A645,[6]PRIORIZADOS!$A:$L,12,FALSE)="","",VLOOKUP(A645,[6]PRIORIZADOS!$A:$L,12,FALSE)),"")</f>
        <v>LUZ MERY PARRA NOPE</v>
      </c>
      <c r="M645" s="71">
        <f>IFERROR(IF(VLOOKUP(A645,[6]PRIORIZADOS!$A:$M,13,FALSE)="","",VLOOKUP(A645,[6]PRIORIZADOS!$A:$M,13,FALSE)),"")</f>
        <v>45745</v>
      </c>
      <c r="N645" s="139">
        <f>IFERROR(IF(VLOOKUP(A645,[6]PRIORIZADOS!$A:$N,14,FALSE)="","",VLOOKUP(A645,[6]PRIORIZADOS!$A:$N,14,FALSE)),"")</f>
        <v>45745</v>
      </c>
      <c r="O645" s="139">
        <f>IFERROR(IF(VLOOKUP(A645,[6]PRIORIZADOS!$A:$O,15,FALSE)="","",VLOOKUP(A645,[6]PRIORIZADOS!$A:$O,15,FALSE)),"")</f>
        <v>45745</v>
      </c>
      <c r="P645" s="11" t="str">
        <f>IFERROR(IF(VLOOKUP(A645,[6]PRIORIZADOS!$A:$P,16,FALSE)="","",VLOOKUP(A645,[6]PRIORIZADOS!$A:$P,16,FALSE)),"")</f>
        <v>Visitas de evaluación con fines de seguimiento</v>
      </c>
      <c r="Q645" s="107" t="s">
        <v>130</v>
      </c>
      <c r="R645" s="11" t="str">
        <f>IFERROR(IF(VLOOKUP(A645,[6]PRIORIZADOS!$A:$R,18,FALSE)="","",VLOOKUP(A645,[6]PRIORIZADOS!$A:$R,18,FALSE)),"")</f>
        <v>No se registran quejas en la DILE por temas de convivencia. Ha ocurrido un hecho al que se aplicó ruta de atención.</v>
      </c>
      <c r="S645" s="11" t="str">
        <f>IFERROR(IF(VLOOKUP(A645,[6]PRIORIZADOS!$A:$S,19,FALSE)="","",VLOOKUP(A645,[6]PRIORIZADOS!$A:$S,19,FALSE)),"")</f>
        <v>Se sugiere hacer seguimiento y subir evidencias, además realizar acciones tendientes a minimizar situaciones que puedan ocurrir</v>
      </c>
      <c r="T645" s="70" t="str">
        <f>IFERROR(IF(VLOOKUP(A645,[6]PRIORIZADOS!$A:$T,20,FALSE)="","",VLOOKUP(A645,[6]PRIORIZADOS!$A:$T,20,FALSE)),"")</f>
        <v>No</v>
      </c>
      <c r="U645" s="11" t="str">
        <f>IFERROR(IF(VLOOKUP(A645,[6]PRIORIZADOS!$A:$U,21,FALSE)="","",VLOOKUP(A645,[6]PRIORIZADOS!$A:$U,21,FALSE)),"")</f>
        <v>Se llevó a cabo visita de verificación el 08/11/2025 para garantizar cumplimiento Se hará seguimiento en el 2026</v>
      </c>
    </row>
    <row r="646" spans="1:21" s="1" customFormat="1" ht="72">
      <c r="A646" s="69">
        <f>IF([6]PRIORIZADOS!A12="","",[6]PRIORIZADOS!A12)</f>
        <v>584</v>
      </c>
      <c r="B646" s="70">
        <f>IFERROR(IF(VLOOKUP(A646,[6]PRIORIZADOS!$A:$B,2,FALSE)="","",VLOOKUP(A646,[6]PRIORIZADOS!$A:$B,2,FALSE)),"")</f>
        <v>1</v>
      </c>
      <c r="C646" s="11" t="str">
        <f>IFERROR(IF(VLOOKUP(A646,[6]PRIORIZADOS!$A:$C,3,FALSE)="","",VLOOKUP(A646,[6]PRIORIZADOS!$A:$C,3,FALSE)),"")</f>
        <v>ENGATIVÁ</v>
      </c>
      <c r="D646" s="11" t="str">
        <f>IFERROR(IF(VLOOKUP(A646,[6]PRIORIZADOS!$A:$D,4,FALSE)="","",VLOOKUP(A646,[6]PRIORIZADOS!$A:$D,4,FALSE)),"")</f>
        <v>PRIVADO</v>
      </c>
      <c r="E646" s="11" t="str">
        <f>IFERROR(IF(VLOOKUP(A646,[6]PRIORIZADOS!$A:$E,5,FALSE)="","",VLOOKUP(A646,[6]PRIORIZADOS!$A:$E,5,FALSE)),"")</f>
        <v>Educación de Jóvenes y Adultos</v>
      </c>
      <c r="F646" s="11" t="str">
        <f>IFERROR(IF(VLOOKUP(A646,[6]PRIORIZADOS!$A:$F,6,FALSE)="","",VLOOKUP(A646,[6]PRIORIZADOS!$A:$F,6,FALSE)),"")</f>
        <v>CORPORACION_TECNOLOGICA_EMPRESARIAL</v>
      </c>
      <c r="G646" s="11" t="str">
        <f>IFERROR(IF(VLOOKUP(A646,[6]PRIORIZADOS!$A:$G,7,FALSE)="","",VLOOKUP(A646,[6]PRIORIZADOS!$A:$G,7,FALSE)),"")</f>
        <v>CORPORACION_TECNOLOGICA_EMPRESARIAL</v>
      </c>
      <c r="H646" s="11" t="str">
        <f>IFERROR(IF(VLOOKUP(A646,[6]PRIORIZADOS!$A:$H,8,FALSE)="","",VLOOKUP(A646,[6]PRIORIZADOS!$A:$H,8,FALSE)),"")</f>
        <v>Autoevaluación Institucional y Pruebas SABER 11</v>
      </c>
      <c r="I646" s="11" t="str">
        <f>IFERROR(IF(VLOOKUP(A646,[6]PRIORIZADOS!$A:$I,9,FALSE)="","",VLOOKUP(A646,[6]PRIORIZADOS!$A:$I,9,FALSE)),"")</f>
        <v>SEGUIMIENTO_Y_SUPERVISIÓN.</v>
      </c>
      <c r="J646" s="11" t="str">
        <f>IFERROR(IF(VLOOKUP(A646,[6]PRIORIZADOS!$A:$J,10,FALSE)="","",VLOOKUP(A646,[6]PRIORIZADOS!$A:$J,10,FALSE)),"")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46" s="11" t="str">
        <f>IFERROR(IF(VLOOKUP(A646,[6]PRIORIZADOS!$A:$K,11,FALSE)="","",VLOOKUP(A646,[6]PRIORIZADOS!$A:$K,11,FALSE)),"")</f>
        <v>JAIME HUMBERTO RAMÍREZ LLANOS</v>
      </c>
      <c r="L646" s="11" t="str">
        <f>IFERROR(IF(VLOOKUP(A646,[6]PRIORIZADOS!$A:$L,12,FALSE)="","",VLOOKUP(A646,[6]PRIORIZADOS!$A:$L,12,FALSE)),"")</f>
        <v>LUZ MERY PARRA NOPE</v>
      </c>
      <c r="M646" s="71">
        <f>IFERROR(IF(VLOOKUP(A646,[6]PRIORIZADOS!$A:$M,13,FALSE)="","",VLOOKUP(A646,[6]PRIORIZADOS!$A:$M,13,FALSE)),"")</f>
        <v>45745</v>
      </c>
      <c r="N646" s="139">
        <f>IFERROR(IF(VLOOKUP(A646,[6]PRIORIZADOS!$A:$N,14,FALSE)="","",VLOOKUP(A646,[6]PRIORIZADOS!$A:$N,14,FALSE)),"")</f>
        <v>45745</v>
      </c>
      <c r="O646" s="139">
        <f>IFERROR(IF(VLOOKUP(A646,[6]PRIORIZADOS!$A:$O,15,FALSE)="","",VLOOKUP(A646,[6]PRIORIZADOS!$A:$O,15,FALSE)),"")</f>
        <v>45745</v>
      </c>
      <c r="P646" s="11" t="str">
        <f>IFERROR(IF(VLOOKUP(A646,[6]PRIORIZADOS!$A:$P,16,FALSE)="","",VLOOKUP(A646,[6]PRIORIZADOS!$A:$P,16,FALSE)),"")</f>
        <v>Visitas de evaluación con fines de seguimiento</v>
      </c>
      <c r="Q646" s="107" t="s">
        <v>130</v>
      </c>
      <c r="R646" s="11" t="str">
        <f>IFERROR(IF(VLOOKUP(A646,[6]PRIORIZADOS!$A:$R,18,FALSE)="","",VLOOKUP(A646,[6]PRIORIZADOS!$A:$R,18,FALSE)),"")</f>
        <v>Se tiene diseñado un formato para PIAR, no se ha aplicado a estudiante al que se hace seguimiento por posible dificultad en aprendizaje</v>
      </c>
      <c r="S646" s="11" t="str">
        <f>IFERROR(IF(VLOOKUP(A646,[6]PRIORIZADOS!$A:$S,19,FALSE)="","",VLOOKUP(A646,[6]PRIORIZADOS!$A:$S,19,FALSE)),"")</f>
        <v>Hacer seguimiento a estudiante y elaborar PIAR teniendo en cuenta los tiempos establecidos</v>
      </c>
      <c r="T646" s="70" t="str">
        <f>IFERROR(IF(VLOOKUP(A646,[6]PRIORIZADOS!$A:$T,20,FALSE)="","",VLOOKUP(A646,[6]PRIORIZADOS!$A:$T,20,FALSE)),"")</f>
        <v>No</v>
      </c>
      <c r="U646" s="11" t="str">
        <f>IFERROR(IF(VLOOKUP(A646,[6]PRIORIZADOS!$A:$U,21,FALSE)="","",VLOOKUP(A646,[6]PRIORIZADOS!$A:$U,21,FALSE)),"")</f>
        <v>Se llevó a cabo visita de verificación el 08/11/2025 para garantizar cumplimiento Se hará seguimiento en el 2026</v>
      </c>
    </row>
    <row r="647" spans="1:21" s="1" customFormat="1" ht="84">
      <c r="A647" s="69">
        <f>IF([6]PRIORIZADOS!A13="","",[6]PRIORIZADOS!A13)</f>
        <v>585</v>
      </c>
      <c r="B647" s="70">
        <f>IFERROR(IF(VLOOKUP(A647,[6]PRIORIZADOS!$A:$B,2,FALSE)="","",VLOOKUP(A647,[6]PRIORIZADOS!$A:$B,2,FALSE)),"")</f>
        <v>1</v>
      </c>
      <c r="C647" s="11" t="str">
        <f>IFERROR(IF(VLOOKUP(A647,[6]PRIORIZADOS!$A:$C,3,FALSE)="","",VLOOKUP(A647,[6]PRIORIZADOS!$A:$C,3,FALSE)),"")</f>
        <v>ENGATIVÁ</v>
      </c>
      <c r="D647" s="11" t="str">
        <f>IFERROR(IF(VLOOKUP(A647,[6]PRIORIZADOS!$A:$D,4,FALSE)="","",VLOOKUP(A647,[6]PRIORIZADOS!$A:$D,4,FALSE)),"")</f>
        <v>PRIVADO</v>
      </c>
      <c r="E647" s="11" t="str">
        <f>IFERROR(IF(VLOOKUP(A647,[6]PRIORIZADOS!$A:$E,5,FALSE)="","",VLOOKUP(A647,[6]PRIORIZADOS!$A:$E,5,FALSE)),"")</f>
        <v>Educación de Jóvenes y Adultos</v>
      </c>
      <c r="F647" s="11" t="str">
        <f>IFERROR(IF(VLOOKUP(A647,[6]PRIORIZADOS!$A:$F,6,FALSE)="","",VLOOKUP(A647,[6]PRIORIZADOS!$A:$F,6,FALSE)),"")</f>
        <v>CORPORACION_TECNOLOGICA_EMPRESARIAL</v>
      </c>
      <c r="G647" s="11" t="str">
        <f>IFERROR(IF(VLOOKUP(A647,[6]PRIORIZADOS!$A:$G,7,FALSE)="","",VLOOKUP(A647,[6]PRIORIZADOS!$A:$G,7,FALSE)),"")</f>
        <v>CORPORACION_TECNOLOGICA_EMPRESARIAL</v>
      </c>
      <c r="H647" s="11" t="str">
        <f>IFERROR(IF(VLOOKUP(A647,[6]PRIORIZADOS!$A:$H,8,FALSE)="","",VLOOKUP(A647,[6]PRIORIZADOS!$A:$H,8,FALSE)),"")</f>
        <v>Autoevaluación Institucional y Pruebas SABER 11</v>
      </c>
      <c r="I647" s="11" t="str">
        <f>IFERROR(IF(VLOOKUP(A647,[6]PRIORIZADOS!$A:$I,9,FALSE)="","",VLOOKUP(A647,[6]PRIORIZADOS!$A:$I,9,FALSE)),"")</f>
        <v>EVALUACIÓN_CON_FINES_DE_MEJORAMIENTO.</v>
      </c>
      <c r="J647" s="11" t="str">
        <f>IFERROR(IF(VLOOKUP(A647,[6]PRIORIZADOS!$A:$J,10,FALSE)="","",VLOOKUP(A647,[6]PRIORIZADOS!$A:$J,10,FALSE)),"")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47" s="11" t="str">
        <f>IFERROR(IF(VLOOKUP(A647,[6]PRIORIZADOS!$A:$K,11,FALSE)="","",VLOOKUP(A647,[6]PRIORIZADOS!$A:$K,11,FALSE)),"")</f>
        <v>JAIME HUMBERTO RAMÍREZ LLANOS</v>
      </c>
      <c r="L647" s="11" t="str">
        <f>IFERROR(IF(VLOOKUP(A647,[6]PRIORIZADOS!$A:$L,12,FALSE)="","",VLOOKUP(A647,[6]PRIORIZADOS!$A:$L,12,FALSE)),"")</f>
        <v>LUZ MERY PARRA NOPE</v>
      </c>
      <c r="M647" s="71">
        <f>IFERROR(IF(VLOOKUP(A647,[6]PRIORIZADOS!$A:$M,13,FALSE)="","",VLOOKUP(A647,[6]PRIORIZADOS!$A:$M,13,FALSE)),"")</f>
        <v>45745</v>
      </c>
      <c r="N647" s="139">
        <f>IFERROR(IF(VLOOKUP(A647,[6]PRIORIZADOS!$A:$N,14,FALSE)="","",VLOOKUP(A647,[6]PRIORIZADOS!$A:$N,14,FALSE)),"")</f>
        <v>45745</v>
      </c>
      <c r="O647" s="139">
        <f>IFERROR(IF(VLOOKUP(A647,[6]PRIORIZADOS!$A:$O,15,FALSE)="","",VLOOKUP(A647,[6]PRIORIZADOS!$A:$O,15,FALSE)),"")</f>
        <v>45745</v>
      </c>
      <c r="P647" s="11" t="str">
        <f>IFERROR(IF(VLOOKUP(A647,[6]PRIORIZADOS!$A:$P,16,FALSE)="","",VLOOKUP(A647,[6]PRIORIZADOS!$A:$P,16,FALSE)),"")</f>
        <v>Visitas de evaluación con fines de mejoramiento</v>
      </c>
      <c r="Q647" s="107" t="s">
        <v>130</v>
      </c>
      <c r="R647" s="11" t="str">
        <f>IFERROR(IF(VLOOKUP(A647,[6]PRIORIZADOS!$A:$R,18,FALSE)="","",VLOOKUP(A647,[6]PRIORIZADOS!$A:$R,18,FALSE)),"")</f>
        <v>La institución presenta Manual actualizado en febrero del 2025, no tiene claramente definidos los enfoques de valoración y diversidad, como tampoco el enfoque restaurativo.</v>
      </c>
      <c r="S647" s="11" t="str">
        <f>IFERROR(IF(VLOOKUP(A647,[6]PRIORIZADOS!$A:$S,19,FALSE)="","",VLOOKUP(A647,[6]PRIORIZADOS!$A:$S,19,FALSE)),"")</f>
        <v>Actualizar el manual de convivencia para incorporar  los enfoques de valoración y diversidad y el enfoque restaurativo. Incluir en PEI el procedimiento para trabajo social, actualizar SIMAT, realizar planeación de jornadas pedagógicas</v>
      </c>
      <c r="T647" s="70" t="str">
        <f>IFERROR(IF(VLOOKUP(A647,[6]PRIORIZADOS!$A:$T,20,FALSE)="","",VLOOKUP(A647,[6]PRIORIZADOS!$A:$T,20,FALSE)),"")</f>
        <v>Si</v>
      </c>
      <c r="U647" s="11" t="str">
        <f>IFERROR(IF(VLOOKUP(A647,[6]PRIORIZADOS!$A:$U,21,FALSE)="","",VLOOKUP(A647,[6]PRIORIZADOS!$A:$U,21,FALSE)),"")</f>
        <v>Se llevó a cabo visita de verificación el 08/11/2025 para garantizar cumplimiento Se hará seguimiento en el 2026</v>
      </c>
    </row>
    <row r="648" spans="1:21" s="1" customFormat="1" ht="60">
      <c r="A648" s="69">
        <f>IF([6]PRIORIZADOS!A14="","",[6]PRIORIZADOS!A14)</f>
        <v>586</v>
      </c>
      <c r="B648" s="70">
        <f>IFERROR(IF(VLOOKUP(A648,[6]PRIORIZADOS!$A:$B,2,FALSE)="","",VLOOKUP(A648,[6]PRIORIZADOS!$A:$B,2,FALSE)),"")</f>
        <v>1</v>
      </c>
      <c r="C648" s="11" t="str">
        <f>IFERROR(IF(VLOOKUP(A648,[6]PRIORIZADOS!$A:$C,3,FALSE)="","",VLOOKUP(A648,[6]PRIORIZADOS!$A:$C,3,FALSE)),"")</f>
        <v>ENGATIVÁ</v>
      </c>
      <c r="D648" s="11" t="str">
        <f>IFERROR(IF(VLOOKUP(A648,[6]PRIORIZADOS!$A:$D,4,FALSE)="","",VLOOKUP(A648,[6]PRIORIZADOS!$A:$D,4,FALSE)),"")</f>
        <v>PRIVADO</v>
      </c>
      <c r="E648" s="11" t="str">
        <f>IFERROR(IF(VLOOKUP(A648,[6]PRIORIZADOS!$A:$E,5,FALSE)="","",VLOOKUP(A648,[6]PRIORIZADOS!$A:$E,5,FALSE)),"")</f>
        <v>Educación de Jóvenes y Adultos</v>
      </c>
      <c r="F648" s="11" t="str">
        <f>IFERROR(IF(VLOOKUP(A648,[6]PRIORIZADOS!$A:$F,6,FALSE)="","",VLOOKUP(A648,[6]PRIORIZADOS!$A:$F,6,FALSE)),"")</f>
        <v>CORPORACION_TECNOLOGICA_EMPRESARIAL</v>
      </c>
      <c r="G648" s="11" t="str">
        <f>IFERROR(IF(VLOOKUP(A648,[6]PRIORIZADOS!$A:$G,7,FALSE)="","",VLOOKUP(A648,[6]PRIORIZADOS!$A:$G,7,FALSE)),"")</f>
        <v>CORPORACION_TECNOLOGICA_EMPRESARIAL</v>
      </c>
      <c r="H648" s="11" t="str">
        <f>IFERROR(IF(VLOOKUP(A648,[6]PRIORIZADOS!$A:$H,8,FALSE)="","",VLOOKUP(A648,[6]PRIORIZADOS!$A:$H,8,FALSE)),"")</f>
        <v>Autoevaluación Institucional y Pruebas SABER 11</v>
      </c>
      <c r="I648" s="11" t="str">
        <f>IFERROR(IF(VLOOKUP(A648,[6]PRIORIZADOS!$A:$I,9,FALSE)="","",VLOOKUP(A648,[6]PRIORIZADOS!$A:$I,9,FALSE)),"")</f>
        <v>EVALUACIÓN_CON_FINES_DE_MEJORAMIENTO.</v>
      </c>
      <c r="J648" s="11" t="str">
        <f>IFERROR(IF(VLOOKUP(A648,[6]PRIORIZADOS!$A:$J,10,FALSE)="","",VLOOKUP(A648,[6]PRIORIZADOS!$A:$J,10,FALSE)),"")</f>
        <v>Revisar la actualización, socialización e implementación del Sistema Institucional de Evaluación de Estudiantes - SIEE, en articulación con la actualización del PEI y la normatividad vigente.</v>
      </c>
      <c r="K648" s="11" t="str">
        <f>IFERROR(IF(VLOOKUP(A648,[6]PRIORIZADOS!$A:$K,11,FALSE)="","",VLOOKUP(A648,[6]PRIORIZADOS!$A:$K,11,FALSE)),"")</f>
        <v>JAIME HUMBERTO RAMÍREZ LLANOS</v>
      </c>
      <c r="L648" s="11" t="str">
        <f>IFERROR(IF(VLOOKUP(A648,[6]PRIORIZADOS!$A:$L,12,FALSE)="","",VLOOKUP(A648,[6]PRIORIZADOS!$A:$L,12,FALSE)),"")</f>
        <v>LUZ MERY PARRA NOPE</v>
      </c>
      <c r="M648" s="71">
        <f>IFERROR(IF(VLOOKUP(A648,[6]PRIORIZADOS!$A:$M,13,FALSE)="","",VLOOKUP(A648,[6]PRIORIZADOS!$A:$M,13,FALSE)),"")</f>
        <v>45745</v>
      </c>
      <c r="N648" s="139">
        <f>IFERROR(IF(VLOOKUP(A648,[6]PRIORIZADOS!$A:$N,14,FALSE)="","",VLOOKUP(A648,[6]PRIORIZADOS!$A:$N,14,FALSE)),"")</f>
        <v>45745</v>
      </c>
      <c r="O648" s="139">
        <f>IFERROR(IF(VLOOKUP(A648,[6]PRIORIZADOS!$A:$O,15,FALSE)="","",VLOOKUP(A648,[6]PRIORIZADOS!$A:$O,15,FALSE)),"")</f>
        <v>45745</v>
      </c>
      <c r="P648" s="11" t="str">
        <f>IFERROR(IF(VLOOKUP(A648,[6]PRIORIZADOS!$A:$P,16,FALSE)="","",VLOOKUP(A648,[6]PRIORIZADOS!$A:$P,16,FALSE)),"")</f>
        <v>Visitas de evaluación con fines de mejoramiento</v>
      </c>
      <c r="Q648" s="107" t="s">
        <v>130</v>
      </c>
      <c r="R648" s="11" t="str">
        <f>IFERROR(IF(VLOOKUP(A648,[6]PRIORIZADOS!$A:$R,18,FALSE)="","",VLOOKUP(A648,[6]PRIORIZADOS!$A:$R,18,FALSE)),"")</f>
        <v>El SIEE se encuentra debidamente incluido PEI, es conocido por docente y estudiantes, se ajusta a las normas de Mineducación y se evidencia su debida aplicación</v>
      </c>
      <c r="S648" s="11" t="str">
        <f>IFERROR(IF(VLOOKUP(A648,[6]PRIORIZADOS!$A:$S,19,FALSE)="","",VLOOKUP(A648,[6]PRIORIZADOS!$A:$S,19,FALSE)),"")</f>
        <v>No se hace requerimiento</v>
      </c>
      <c r="T648" s="70" t="str">
        <f>IFERROR(IF(VLOOKUP(A648,[6]PRIORIZADOS!$A:$T,20,FALSE)="","",VLOOKUP(A648,[6]PRIORIZADOS!$A:$T,20,FALSE)),"")</f>
        <v>No</v>
      </c>
      <c r="U648" s="11" t="str">
        <f>IFERROR(IF(VLOOKUP(A648,[6]PRIORIZADOS!$A:$U,21,FALSE)="","",VLOOKUP(A648,[6]PRIORIZADOS!$A:$U,21,FALSE)),"")</f>
        <v>No requiere seguimiento</v>
      </c>
    </row>
    <row r="649" spans="1:21" s="1" customFormat="1" ht="48">
      <c r="A649" s="69">
        <f>IF([6]PRIORIZADOS!A15="","",[6]PRIORIZADOS!A15)</f>
        <v>587</v>
      </c>
      <c r="B649" s="70">
        <f>IFERROR(IF(VLOOKUP(A649,[6]PRIORIZADOS!$A:$B,2,FALSE)="","",VLOOKUP(A649,[6]PRIORIZADOS!$A:$B,2,FALSE)),"")</f>
        <v>1</v>
      </c>
      <c r="C649" s="11" t="str">
        <f>IFERROR(IF(VLOOKUP(A649,[6]PRIORIZADOS!$A:$C,3,FALSE)="","",VLOOKUP(A649,[6]PRIORIZADOS!$A:$C,3,FALSE)),"")</f>
        <v>ENGATIVÁ</v>
      </c>
      <c r="D649" s="11" t="str">
        <f>IFERROR(IF(VLOOKUP(A649,[6]PRIORIZADOS!$A:$D,4,FALSE)="","",VLOOKUP(A649,[6]PRIORIZADOS!$A:$D,4,FALSE)),"")</f>
        <v>PRIVADO</v>
      </c>
      <c r="E649" s="11" t="str">
        <f>IFERROR(IF(VLOOKUP(A649,[6]PRIORIZADOS!$A:$E,5,FALSE)="","",VLOOKUP(A649,[6]PRIORIZADOS!$A:$E,5,FALSE)),"")</f>
        <v>Educación de Jóvenes y Adultos</v>
      </c>
      <c r="F649" s="11" t="str">
        <f>IFERROR(IF(VLOOKUP(A649,[6]PRIORIZADOS!$A:$F,6,FALSE)="","",VLOOKUP(A649,[6]PRIORIZADOS!$A:$F,6,FALSE)),"")</f>
        <v>CORPORACION_TECNOLOGICA_EMPRESARIAL</v>
      </c>
      <c r="G649" s="11" t="str">
        <f>IFERROR(IF(VLOOKUP(A649,[6]PRIORIZADOS!$A:$G,7,FALSE)="","",VLOOKUP(A649,[6]PRIORIZADOS!$A:$G,7,FALSE)),"")</f>
        <v>CORPORACION_TECNOLOGICA_EMPRESARIAL</v>
      </c>
      <c r="H649" s="11" t="str">
        <f>IFERROR(IF(VLOOKUP(A649,[6]PRIORIZADOS!$A:$H,8,FALSE)="","",VLOOKUP(A649,[6]PRIORIZADOS!$A:$H,8,FALSE)),"")</f>
        <v>Autoevaluación Institucional y Pruebas SABER 11</v>
      </c>
      <c r="I649" s="11" t="str">
        <f>IFERROR(IF(VLOOKUP(A649,[6]PRIORIZADOS!$A:$I,9,FALSE)="","",VLOOKUP(A649,[6]PRIORIZADOS!$A:$I,9,FALSE)),"")</f>
        <v>EVALUACIÓN_CON_FINES_DE_MEJORAMIENTO.</v>
      </c>
      <c r="J649" s="11" t="str">
        <f>IFERROR(IF(VLOOKUP(A649,[6]PRIORIZADOS!$A:$J,10,FALSE)="","",VLOOKUP(A649,[6]PRIORIZADOS!$A:$J,10,FALSE)),"")</f>
        <v>Revisar el calendario escolar, jornada escolar, la intensidad horaria mínima anual en cada nivel y las modificaciones que se realicen al mismo, de acuerdo con lo previsto en la normatividad vigente.</v>
      </c>
      <c r="K649" s="11" t="str">
        <f>IFERROR(IF(VLOOKUP(A649,[6]PRIORIZADOS!$A:$K,11,FALSE)="","",VLOOKUP(A649,[6]PRIORIZADOS!$A:$K,11,FALSE)),"")</f>
        <v>JAIME HUMBERTO RAMÍREZ LLANOS</v>
      </c>
      <c r="L649" s="11" t="str">
        <f>IFERROR(IF(VLOOKUP(A649,[6]PRIORIZADOS!$A:$L,12,FALSE)="","",VLOOKUP(A649,[6]PRIORIZADOS!$A:$L,12,FALSE)),"")</f>
        <v>LUZ MERY PARRA NOPE</v>
      </c>
      <c r="M649" s="71">
        <f>IFERROR(IF(VLOOKUP(A649,[6]PRIORIZADOS!$A:$M,13,FALSE)="","",VLOOKUP(A649,[6]PRIORIZADOS!$A:$M,13,FALSE)),"")</f>
        <v>45745</v>
      </c>
      <c r="N649" s="139">
        <f>IFERROR(IF(VLOOKUP(A649,[6]PRIORIZADOS!$A:$N,14,FALSE)="","",VLOOKUP(A649,[6]PRIORIZADOS!$A:$N,14,FALSE)),"")</f>
        <v>45745</v>
      </c>
      <c r="O649" s="139">
        <f>IFERROR(IF(VLOOKUP(A649,[6]PRIORIZADOS!$A:$O,15,FALSE)="","",VLOOKUP(A649,[6]PRIORIZADOS!$A:$O,15,FALSE)),"")</f>
        <v>45745</v>
      </c>
      <c r="P649" s="11" t="str">
        <f>IFERROR(IF(VLOOKUP(A649,[6]PRIORIZADOS!$A:$P,16,FALSE)="","",VLOOKUP(A649,[6]PRIORIZADOS!$A:$P,16,FALSE)),"")</f>
        <v>Visitas de evaluación con fines de mejoramiento</v>
      </c>
      <c r="Q649" s="107" t="s">
        <v>130</v>
      </c>
      <c r="R649" s="11" t="str">
        <f>IFERROR(IF(VLOOKUP(A649,[6]PRIORIZADOS!$A:$R,18,FALSE)="","",VLOOKUP(A649,[6]PRIORIZADOS!$A:$R,18,FALSE)),"")</f>
        <v>El calendario escolar es ajustado según la norma de los CLEI</v>
      </c>
      <c r="S649" s="11" t="str">
        <f>IFERROR(IF(VLOOKUP(A649,[6]PRIORIZADOS!$A:$S,19,FALSE)="","",VLOOKUP(A649,[6]PRIORIZADOS!$A:$S,19,FALSE)),"")</f>
        <v>No se hace requerimiento</v>
      </c>
      <c r="T649" s="70" t="str">
        <f>IFERROR(IF(VLOOKUP(A649,[6]PRIORIZADOS!$A:$T,20,FALSE)="","",VLOOKUP(A649,[6]PRIORIZADOS!$A:$T,20,FALSE)),"")</f>
        <v>No</v>
      </c>
      <c r="U649" s="11" t="str">
        <f>IFERROR(IF(VLOOKUP(A649,[6]PRIORIZADOS!$A:$U,21,FALSE)="","",VLOOKUP(A649,[6]PRIORIZADOS!$A:$U,21,FALSE)),"")</f>
        <v>Se llevó a cabo visita de verificación el 08/11/2025 para garantizar cumplimiento Se hará seguimiento en el 2026</v>
      </c>
    </row>
    <row r="650" spans="1:21" s="1" customFormat="1" ht="48">
      <c r="A650" s="69">
        <f>IF([6]PRIORIZADOS!A16="","",[6]PRIORIZADOS!A16)</f>
        <v>588</v>
      </c>
      <c r="B650" s="70">
        <f>IFERROR(IF(VLOOKUP(A650,[6]PRIORIZADOS!$A:$B,2,FALSE)="","",VLOOKUP(A650,[6]PRIORIZADOS!$A:$B,2,FALSE)),"")</f>
        <v>1</v>
      </c>
      <c r="C650" s="11" t="str">
        <f>IFERROR(IF(VLOOKUP(A650,[6]PRIORIZADOS!$A:$C,3,FALSE)="","",VLOOKUP(A650,[6]PRIORIZADOS!$A:$C,3,FALSE)),"")</f>
        <v>ENGATIVÁ</v>
      </c>
      <c r="D650" s="11" t="str">
        <f>IFERROR(IF(VLOOKUP(A650,[6]PRIORIZADOS!$A:$D,4,FALSE)="","",VLOOKUP(A650,[6]PRIORIZADOS!$A:$D,4,FALSE)),"")</f>
        <v>PRIVADO</v>
      </c>
      <c r="E650" s="11" t="str">
        <f>IFERROR(IF(VLOOKUP(A650,[6]PRIORIZADOS!$A:$E,5,FALSE)="","",VLOOKUP(A650,[6]PRIORIZADOS!$A:$E,5,FALSE)),"")</f>
        <v>Educación de Jóvenes y Adultos</v>
      </c>
      <c r="F650" s="11" t="str">
        <f>IFERROR(IF(VLOOKUP(A650,[6]PRIORIZADOS!$A:$F,6,FALSE)="","",VLOOKUP(A650,[6]PRIORIZADOS!$A:$F,6,FALSE)),"")</f>
        <v>CORPORACION_TECNOLOGICA_EMPRESARIAL</v>
      </c>
      <c r="G650" s="11" t="str">
        <f>IFERROR(IF(VLOOKUP(A650,[6]PRIORIZADOS!$A:$G,7,FALSE)="","",VLOOKUP(A650,[6]PRIORIZADOS!$A:$G,7,FALSE)),"")</f>
        <v>CORPORACION_TECNOLOGICA_EMPRESARIAL</v>
      </c>
      <c r="H650" s="11" t="str">
        <f>IFERROR(IF(VLOOKUP(A650,[6]PRIORIZADOS!$A:$H,8,FALSE)="","",VLOOKUP(A650,[6]PRIORIZADOS!$A:$H,8,FALSE)),"")</f>
        <v>Autoevaluación Institucional y Pruebas SABER 11</v>
      </c>
      <c r="I650" s="11" t="str">
        <f>IFERROR(IF(VLOOKUP(A650,[6]PRIORIZADOS!$A:$I,9,FALSE)="","",VLOOKUP(A650,[6]PRIORIZADOS!$A:$I,9,FALSE)),"")</f>
        <v>EVALUACIÓN_CON_FINES_DE_MEJORAMIENTO.</v>
      </c>
      <c r="J650" s="11" t="str">
        <f>IFERROR(IF(VLOOKUP(A650,[6]PRIORIZADOS!$A:$J,10,FALSE)="","",VLOOKUP(A650,[6]PRIORIZADOS!$A:$J,10,FALSE)),"")</f>
        <v>Verificar el funcionamiento del Gobierno Escolar e instancias de participación con base en la información sobre conformación reportada por la institución educativa.</v>
      </c>
      <c r="K650" s="11" t="str">
        <f>IFERROR(IF(VLOOKUP(A650,[6]PRIORIZADOS!$A:$K,11,FALSE)="","",VLOOKUP(A650,[6]PRIORIZADOS!$A:$K,11,FALSE)),"")</f>
        <v>JAIME HUMBERTO RAMÍREZ LLANOS</v>
      </c>
      <c r="L650" s="11" t="str">
        <f>IFERROR(IF(VLOOKUP(A650,[6]PRIORIZADOS!$A:$L,12,FALSE)="","",VLOOKUP(A650,[6]PRIORIZADOS!$A:$L,12,FALSE)),"")</f>
        <v>LUZ MERY PARRA NOPE</v>
      </c>
      <c r="M650" s="71">
        <f>IFERROR(IF(VLOOKUP(A650,[6]PRIORIZADOS!$A:$M,13,FALSE)="","",VLOOKUP(A650,[6]PRIORIZADOS!$A:$M,13,FALSE)),"")</f>
        <v>45745</v>
      </c>
      <c r="N650" s="139">
        <f>IFERROR(IF(VLOOKUP(A650,[6]PRIORIZADOS!$A:$N,14,FALSE)="","",VLOOKUP(A650,[6]PRIORIZADOS!$A:$N,14,FALSE)),"")</f>
        <v>45745</v>
      </c>
      <c r="O650" s="139">
        <f>IFERROR(IF(VLOOKUP(A650,[6]PRIORIZADOS!$A:$O,15,FALSE)="","",VLOOKUP(A650,[6]PRIORIZADOS!$A:$O,15,FALSE)),"")</f>
        <v>45745</v>
      </c>
      <c r="P650" s="11" t="str">
        <f>IFERROR(IF(VLOOKUP(A650,[6]PRIORIZADOS!$A:$P,16,FALSE)="","",VLOOKUP(A650,[6]PRIORIZADOS!$A:$P,16,FALSE)),"")</f>
        <v>Visitas de evaluación con fines de mejoramiento</v>
      </c>
      <c r="Q650" s="126" t="s">
        <v>130</v>
      </c>
      <c r="R650" s="11" t="str">
        <f>IFERROR(IF(VLOOKUP(A650,[6]PRIORIZADOS!$A:$R,18,FALSE)="","",VLOOKUP(A650,[6]PRIORIZADOS!$A:$R,18,FALSE)),"")</f>
        <v>Los órganos de gobierno escolar están dedidamente conformados, se verificaron actas, se tiene planeadas las reuniones en el transcurso del año</v>
      </c>
      <c r="S650" s="11" t="str">
        <f>IFERROR(IF(VLOOKUP(A650,[6]PRIORIZADOS!$A:$S,19,FALSE)="","",VLOOKUP(A650,[6]PRIORIZADOS!$A:$S,19,FALSE)),"")</f>
        <v>No se hace requerimiento</v>
      </c>
      <c r="T650" s="70" t="str">
        <f>IFERROR(IF(VLOOKUP(A650,[6]PRIORIZADOS!$A:$T,20,FALSE)="","",VLOOKUP(A650,[6]PRIORIZADOS!$A:$T,20,FALSE)),"")</f>
        <v>No</v>
      </c>
      <c r="U650" s="11" t="str">
        <f>IFERROR(IF(VLOOKUP(A650,[6]PRIORIZADOS!$A:$U,21,FALSE)="","",VLOOKUP(A650,[6]PRIORIZADOS!$A:$U,21,FALSE)),"")</f>
        <v>Se llevó a cabo visita de verificación el 08/11/2025 para garantizar cumplimiento Se hará seguimiento en el 2026</v>
      </c>
    </row>
    <row r="651" spans="1:21" s="1" customFormat="1" ht="72">
      <c r="A651" s="69">
        <f>IF([6]PRIORIZADOS!A17="","",[6]PRIORIZADOS!A17)</f>
        <v>589</v>
      </c>
      <c r="B651" s="70">
        <f>IFERROR(IF(VLOOKUP(A651,[6]PRIORIZADOS!$A:$B,2,FALSE)="","",VLOOKUP(A651,[6]PRIORIZADOS!$A:$B,2,FALSE)),"")</f>
        <v>1</v>
      </c>
      <c r="C651" s="11" t="str">
        <f>IFERROR(IF(VLOOKUP(A651,[6]PRIORIZADOS!$A:$C,3,FALSE)="","",VLOOKUP(A651,[6]PRIORIZADOS!$A:$C,3,FALSE)),"")</f>
        <v>ENGATIVÁ</v>
      </c>
      <c r="D651" s="11" t="str">
        <f>IFERROR(IF(VLOOKUP(A651,[6]PRIORIZADOS!$A:$D,4,FALSE)="","",VLOOKUP(A651,[6]PRIORIZADOS!$A:$D,4,FALSE)),"")</f>
        <v>PRIVADO</v>
      </c>
      <c r="E651" s="11" t="str">
        <f>IFERROR(IF(VLOOKUP(A651,[6]PRIORIZADOS!$A:$E,5,FALSE)="","",VLOOKUP(A651,[6]PRIORIZADOS!$A:$E,5,FALSE)),"")</f>
        <v>Educación de Jóvenes y Adultos</v>
      </c>
      <c r="F651" s="11" t="str">
        <f>IFERROR(IF(VLOOKUP(A651,[6]PRIORIZADOS!$A:$F,6,FALSE)="","",VLOOKUP(A651,[6]PRIORIZADOS!$A:$F,6,FALSE)),"")</f>
        <v>CORPORACION_TECNOLOGICA_EMPRESARIAL</v>
      </c>
      <c r="G651" s="11" t="str">
        <f>IFERROR(IF(VLOOKUP(A651,[6]PRIORIZADOS!$A:$G,7,FALSE)="","",VLOOKUP(A651,[6]PRIORIZADOS!$A:$G,7,FALSE)),"")</f>
        <v>CORPORACION_TECNOLOGICA_EMPRESARIAL</v>
      </c>
      <c r="H651" s="11" t="str">
        <f>IFERROR(IF(VLOOKUP(A651,[6]PRIORIZADOS!$A:$H,8,FALSE)="","",VLOOKUP(A651,[6]PRIORIZADOS!$A:$H,8,FALSE)),"")</f>
        <v>Autoevaluación Institucional y Pruebas SABER 11</v>
      </c>
      <c r="I651" s="11" t="str">
        <f>IFERROR(IF(VLOOKUP(A651,[6]PRIORIZADOS!$A:$I,9,FALSE)="","",VLOOKUP(A651,[6]PRIORIZADOS!$A:$I,9,FALSE)),"")</f>
        <v>EVALUACIÓN_CON_FINES_DE_MEJORAMIENTO.</v>
      </c>
      <c r="J651" s="11" t="str">
        <f>IFERROR(IF(VLOOKUP(A651,[6]PRIORIZADOS!$A:$J,10,FALSE)="","",VLOOKUP(A651,[6]PRIORIZADOS!$A:$J,10,FALSE)),"")</f>
        <v>Verificar las condiciones en cuanto a: la estructura administrativa, condiciones de la planta física y medios educativos adecuados.</v>
      </c>
      <c r="K651" s="11" t="str">
        <f>IFERROR(IF(VLOOKUP(A651,[6]PRIORIZADOS!$A:$K,11,FALSE)="","",VLOOKUP(A651,[6]PRIORIZADOS!$A:$K,11,FALSE)),"")</f>
        <v>JAIME HUMBERTO RAMÍREZ LLANOS</v>
      </c>
      <c r="L651" s="11" t="str">
        <f>IFERROR(IF(VLOOKUP(A651,[6]PRIORIZADOS!$A:$L,12,FALSE)="","",VLOOKUP(A651,[6]PRIORIZADOS!$A:$L,12,FALSE)),"")</f>
        <v>LUZ MERY PARRA NOPE</v>
      </c>
      <c r="M651" s="71">
        <f>IFERROR(IF(VLOOKUP(A651,[6]PRIORIZADOS!$A:$M,13,FALSE)="","",VLOOKUP(A651,[6]PRIORIZADOS!$A:$M,13,FALSE)),"")</f>
        <v>45745</v>
      </c>
      <c r="N651" s="139">
        <f>IFERROR(IF(VLOOKUP(A651,[6]PRIORIZADOS!$A:$N,14,FALSE)="","",VLOOKUP(A651,[6]PRIORIZADOS!$A:$N,14,FALSE)),"")</f>
        <v>45745</v>
      </c>
      <c r="O651" s="139">
        <f>IFERROR(IF(VLOOKUP(A651,[6]PRIORIZADOS!$A:$O,15,FALSE)="","",VLOOKUP(A651,[6]PRIORIZADOS!$A:$O,15,FALSE)),"")</f>
        <v>45745</v>
      </c>
      <c r="P651" s="11" t="str">
        <f>IFERROR(IF(VLOOKUP(A651,[6]PRIORIZADOS!$A:$P,16,FALSE)="","",VLOOKUP(A651,[6]PRIORIZADOS!$A:$P,16,FALSE)),"")</f>
        <v>Visitas de evaluación con fines de mejoramiento</v>
      </c>
      <c r="Q651" s="107" t="s">
        <v>131</v>
      </c>
      <c r="R651" s="11" t="str">
        <f>IFERROR(IF(VLOOKUP(A651,[6]PRIORIZADOS!$A:$R,18,FALSE)="","",VLOOKUP(A651,[6]PRIORIZADOS!$A:$R,18,FALSE)),"")</f>
        <v>La institución tiene aprobados cuatro ciclos, cuenta con cuatro salones para clase, una sala de sistemas, rectoría, orientación, oficina de mercadeo, secretaría, cuatro baterías de baño completas</v>
      </c>
      <c r="S651" s="11" t="str">
        <f>IFERROR(IF(VLOOKUP(A651,[6]PRIORIZADOS!$A:$S,19,FALSE)="","",VLOOKUP(A651,[6]PRIORIZADOS!$A:$S,19,FALSE)),"")</f>
        <v>No se hace requerimiento</v>
      </c>
      <c r="T651" s="70" t="str">
        <f>IFERROR(IF(VLOOKUP(A651,[6]PRIORIZADOS!$A:$T,20,FALSE)="","",VLOOKUP(A651,[6]PRIORIZADOS!$A:$T,20,FALSE)),"")</f>
        <v>No</v>
      </c>
      <c r="U651" s="11" t="str">
        <f>IFERROR(IF(VLOOKUP(A651,[6]PRIORIZADOS!$A:$U,21,FALSE)="","",VLOOKUP(A651,[6]PRIORIZADOS!$A:$U,21,FALSE)),"")</f>
        <v>Se llevó a cabo visita de verificación el 08/11/2025 para garantizar cumplimiento Se hará seguimiento en el 2026</v>
      </c>
    </row>
    <row r="652" spans="1:21" s="1" customFormat="1" ht="166.5">
      <c r="A652" s="69">
        <f>IF([6]PRIORIZADOS!A18="","",[6]PRIORIZADOS!A18)</f>
        <v>590</v>
      </c>
      <c r="B652" s="70">
        <f>IFERROR(IF(VLOOKUP(A652,[6]PRIORIZADOS!$A:$B,2,FALSE)="","",VLOOKUP(A652,[6]PRIORIZADOS!$A:$B,2,FALSE)),"")</f>
        <v>2</v>
      </c>
      <c r="C652" s="11" t="str">
        <f>IFERROR(IF(VLOOKUP(A652,[6]PRIORIZADOS!$A:$C,3,FALSE)="","",VLOOKUP(A652,[6]PRIORIZADOS!$A:$C,3,FALSE)),"")</f>
        <v>ENGATIVÁ</v>
      </c>
      <c r="D652" s="11" t="str">
        <f>IFERROR(IF(VLOOKUP(A652,[6]PRIORIZADOS!$A:$D,4,FALSE)="","",VLOOKUP(A652,[6]PRIORIZADOS!$A:$D,4,FALSE)),"")</f>
        <v>PRIVADO</v>
      </c>
      <c r="E652" s="11" t="str">
        <f>IFERROR(IF(VLOOKUP(A652,[6]PRIORIZADOS!$A:$E,5,FALSE)="","",VLOOKUP(A652,[6]PRIORIZADOS!$A:$E,5,FALSE)),"")</f>
        <v>Educación de Jóvenes y Adultos</v>
      </c>
      <c r="F652" s="11" t="str">
        <f>IFERROR(IF(VLOOKUP(A652,[6]PRIORIZADOS!$A:$F,6,FALSE)="","",VLOOKUP(A652,[6]PRIORIZADOS!$A:$F,6,FALSE)),"")</f>
        <v>INSTITUTO_IP_EDUCANDO_LA_JUVENTUD_FUTURO_DE_COLOMBIA</v>
      </c>
      <c r="G652" s="11" t="str">
        <f>IFERROR(IF(VLOOKUP(A652,[6]PRIORIZADOS!$A:$G,7,FALSE)="","",VLOOKUP(A652,[6]PRIORIZADOS!$A:$G,7,FALSE)),"")</f>
        <v>INSTITUTO_IP_EDUCANDO_LA_JUVENTUD_FUTURO_DE_COLOMBIA</v>
      </c>
      <c r="H652" s="11" t="str">
        <f>IFERROR(IF(VLOOKUP(A652,[6]PRIORIZADOS!$A:$H,8,FALSE)="","",VLOOKUP(A652,[6]PRIORIZADOS!$A:$H,8,FALSE)),"")</f>
        <v>Autoevaluación Institucional y Pruebas SABER 11</v>
      </c>
      <c r="I652" s="11" t="str">
        <f>IFERROR(IF(VLOOKUP(A652,[6]PRIORIZADOS!$A:$I,9,FALSE)="","",VLOOKUP(A652,[6]PRIORIZADOS!$A:$I,9,FALSE)),"")</f>
        <v>SEGUIMIENTO_Y_SUPERVISIÓN.</v>
      </c>
      <c r="J652" s="11" t="str">
        <f>IFERROR(IF(VLOOKUP(A652,[6]PRIORIZADOS!$A:$J,10,FALSE)="","",VLOOKUP(A652,[6]PRIORIZADOS!$A:$J,10,FALSE)),"")</f>
        <v>Realizar visitas para verificar la información registrada sobre la autoevaluación institucional en el aplicativo EVI, a los establecimientos de educación formal no oficial.</v>
      </c>
      <c r="K652" s="11" t="str">
        <f>IFERROR(IF(VLOOKUP(A652,[6]PRIORIZADOS!$A:$K,11,FALSE)="","",VLOOKUP(A652,[6]PRIORIZADOS!$A:$K,11,FALSE)),"")</f>
        <v>FREDDY CLAROS PEÑA</v>
      </c>
      <c r="L652" s="11" t="str">
        <f>IFERROR(IF(VLOOKUP(A652,[6]PRIORIZADOS!$A:$L,12,FALSE)="","",VLOOKUP(A652,[6]PRIORIZADOS!$A:$L,12,FALSE)),"")</f>
        <v>LUZ MERY PARRA NOPE</v>
      </c>
      <c r="M652" s="71">
        <f>IFERROR(IF(VLOOKUP(A652,[6]PRIORIZADOS!$A:$M,13,FALSE)="","",VLOOKUP(A652,[6]PRIORIZADOS!$A:$M,13,FALSE)),"")</f>
        <v>45814</v>
      </c>
      <c r="N652" s="139">
        <f>IFERROR(IF(VLOOKUP(A652,[6]PRIORIZADOS!$A:$N,14,FALSE)="","",VLOOKUP(A652,[6]PRIORIZADOS!$A:$N,14,FALSE)),"")</f>
        <v>45814</v>
      </c>
      <c r="O652" s="139">
        <f>IFERROR(IF(VLOOKUP(A652,[6]PRIORIZADOS!$A:$O,15,FALSE)="","",VLOOKUP(A652,[6]PRIORIZADOS!$A:$O,15,FALSE)),"")</f>
        <v>45814</v>
      </c>
      <c r="P652" s="11" t="str">
        <f>IFERROR(IF(VLOOKUP(A652,[6]PRIORIZADOS!$A:$P,16,FALSE)="","",VLOOKUP(A652,[6]PRIORIZADOS!$A:$P,16,FALSE)),"")</f>
        <v>Visitas de evaluación con fines de seguimiento</v>
      </c>
      <c r="Q652" s="107" t="s">
        <v>131</v>
      </c>
      <c r="R652" s="11" t="str">
        <f>IFERROR(IF(VLOOKUP(A652,[6]PRIORIZADOS!$A:$R,18,FALSE)="","",VLOOKUP(A652,[6]PRIORIZADOS!$A:$R,18,FALSE)),"")</f>
        <v>Se verificó que la información registrada en el aplicativo EVI, enocntrandose con 3 aulas de clase y un
aula de sistemas, los estudiantes rotan.
Cuenta con tres baterias sanitarias un orinal y dos
lavamanos, sin embargo en EVI se reportaron 4
sanitarios con cuatro lavamanos.
En EVI registraron 24 computadores para uso
académico y en realidad hay 21 de los cuales 18
se encuentran operando.</v>
      </c>
      <c r="S652" s="11" t="str">
        <f>IFERROR(IF(VLOOKUP(A652,[6]PRIORIZADOS!$A:$S,19,FALSE)="","",VLOOKUP(A652,[6]PRIORIZADOS!$A:$S,19,FALSE)),"")</f>
        <v xml:space="preserve">Realizar la autoevaluación para la presente vigencia conforme los recursos e indicadores con los que cuente.
Realizar la vinculación del personal docente con contratos a terminos fijos o indefinidos.
Contratar el profesional para ejercer el roll de orientación escolar
</v>
      </c>
      <c r="T652" s="70" t="str">
        <f>IFERROR(IF(VLOOKUP(A652,[6]PRIORIZADOS!$A:$T,20,FALSE)="","",VLOOKUP(A652,[6]PRIORIZADOS!$A:$T,20,FALSE)),"")</f>
        <v>Si</v>
      </c>
      <c r="U652" s="11" t="str">
        <f>IFERROR(IF(VLOOKUP(A652,[6]PRIORIZADOS!$A:$U,21,FALSE)="","",VLOOKUP(A652,[6]PRIORIZADOS!$A:$U,21,FALSE)),"")</f>
        <v>Se requirió presentar Plan de Majoramiento con el subsanar la situación encontrada . El PMI debe ser entregado  el 23 de junio del 2025</v>
      </c>
    </row>
    <row r="653" spans="1:21" s="1" customFormat="1" ht="60">
      <c r="A653" s="69">
        <f>IF([6]PRIORIZADOS!A19="","",[6]PRIORIZADOS!A19)</f>
        <v>591</v>
      </c>
      <c r="B653" s="70">
        <f>IFERROR(IF(VLOOKUP(A653,[6]PRIORIZADOS!$A:$B,2,FALSE)="","",VLOOKUP(A653,[6]PRIORIZADOS!$A:$B,2,FALSE)),"")</f>
        <v>2</v>
      </c>
      <c r="C653" s="11" t="str">
        <f>IFERROR(IF(VLOOKUP(A653,[6]PRIORIZADOS!$A:$C,3,FALSE)="","",VLOOKUP(A653,[6]PRIORIZADOS!$A:$C,3,FALSE)),"")</f>
        <v>ENGATIVÁ</v>
      </c>
      <c r="D653" s="11" t="str">
        <f>IFERROR(IF(VLOOKUP(A653,[6]PRIORIZADOS!$A:$D,4,FALSE)="","",VLOOKUP(A653,[6]PRIORIZADOS!$A:$D,4,FALSE)),"")</f>
        <v>PRIVADO</v>
      </c>
      <c r="E653" s="11" t="str">
        <f>IFERROR(IF(VLOOKUP(A653,[6]PRIORIZADOS!$A:$E,5,FALSE)="","",VLOOKUP(A653,[6]PRIORIZADOS!$A:$E,5,FALSE)),"")</f>
        <v>Educación de Jóvenes y Adultos</v>
      </c>
      <c r="F653" s="11" t="str">
        <f>IFERROR(IF(VLOOKUP(A653,[6]PRIORIZADOS!$A:$F,6,FALSE)="","",VLOOKUP(A653,[6]PRIORIZADOS!$A:$F,6,FALSE)),"")</f>
        <v>INSTITUTO_IP_EDUCANDO_LA_JUVENTUD_FUTURO_DE_COLOMBIA</v>
      </c>
      <c r="G653" s="11" t="str">
        <f>IFERROR(IF(VLOOKUP(A653,[6]PRIORIZADOS!$A:$G,7,FALSE)="","",VLOOKUP(A653,[6]PRIORIZADOS!$A:$G,7,FALSE)),"")</f>
        <v>INSTITUTO_IP_EDUCANDO_LA_JUVENTUD_FUTURO_DE_COLOMBIA</v>
      </c>
      <c r="H653" s="11" t="str">
        <f>IFERROR(IF(VLOOKUP(A653,[6]PRIORIZADOS!$A:$H,8,FALSE)="","",VLOOKUP(A653,[6]PRIORIZADOS!$A:$H,8,FALSE)),"")</f>
        <v>Autoevaluación Institucional y Pruebas SABER 11</v>
      </c>
      <c r="I653" s="11" t="str">
        <f>IFERROR(IF(VLOOKUP(A653,[6]PRIORIZADOS!$A:$I,9,FALSE)="","",VLOOKUP(A653,[6]PRIORIZADOS!$A:$I,9,FALSE)),"")</f>
        <v>SEGUIMIENTO_Y_SUPERVISIÓN.</v>
      </c>
      <c r="J653" s="11" t="str">
        <f>IFERROR(IF(VLOOKUP(A653,[6]PRIORIZADOS!$A:$J,10,FALSE)="","",VLOOKUP(A653,[6]PRIORIZADOS!$A:$J,10,FALSE)),"")</f>
        <v>Proponer estrategias en la formulación, verificar su elaboración y realizar seguimiento semestral al desarrollo de  las acciones establecidas en los planes de mejoramiento por pruebas SABER 11 de los establecimientos de educación formal.</v>
      </c>
      <c r="K653" s="11" t="str">
        <f>IFERROR(IF(VLOOKUP(A653,[6]PRIORIZADOS!$A:$K,11,FALSE)="","",VLOOKUP(A653,[6]PRIORIZADOS!$A:$K,11,FALSE)),"")</f>
        <v>FREDDY CLAROS PEÑA</v>
      </c>
      <c r="L653" s="11" t="str">
        <f>IFERROR(IF(VLOOKUP(A653,[6]PRIORIZADOS!$A:$L,12,FALSE)="","",VLOOKUP(A653,[6]PRIORIZADOS!$A:$L,12,FALSE)),"")</f>
        <v>LUZ MERY PARRA NOPE</v>
      </c>
      <c r="M653" s="71">
        <f>IFERROR(IF(VLOOKUP(A653,[6]PRIORIZADOS!$A:$M,13,FALSE)="","",VLOOKUP(A653,[6]PRIORIZADOS!$A:$M,13,FALSE)),"")</f>
        <v>45814</v>
      </c>
      <c r="N653" s="139">
        <f>IFERROR(IF(VLOOKUP(A653,[6]PRIORIZADOS!$A:$N,14,FALSE)="","",VLOOKUP(A653,[6]PRIORIZADOS!$A:$N,14,FALSE)),"")</f>
        <v>45814</v>
      </c>
      <c r="O653" s="139">
        <f>IFERROR(IF(VLOOKUP(A653,[6]PRIORIZADOS!$A:$O,15,FALSE)="","",VLOOKUP(A653,[6]PRIORIZADOS!$A:$O,15,FALSE)),"")</f>
        <v>45814</v>
      </c>
      <c r="P653" s="11" t="str">
        <f>IFERROR(IF(VLOOKUP(A653,[6]PRIORIZADOS!$A:$P,16,FALSE)="","",VLOOKUP(A653,[6]PRIORIZADOS!$A:$P,16,FALSE)),"")</f>
        <v>Visitas de evaluación con fines de seguimiento</v>
      </c>
      <c r="Q653" s="107" t="s">
        <v>131</v>
      </c>
      <c r="R653" s="11" t="str">
        <f>IFERROR(IF(VLOOKUP(A653,[6]PRIORIZADOS!$A:$R,18,FALSE)="","",VLOOKUP(A653,[6]PRIORIZADOS!$A:$R,18,FALSE)),"")</f>
        <v>El establecimiento educativo no ha diseñado un plan de mejoramiento por los resultados obtenidos en las pruebas saber 11</v>
      </c>
      <c r="S653" s="11" t="str">
        <f>IFERROR(IF(VLOOKUP(A653,[6]PRIORIZADOS!$A:$S,19,FALSE)="","",VLOOKUP(A653,[6]PRIORIZADOS!$A:$S,19,FALSE)),"")</f>
        <v>Se orientó al establecimiento educativo sobre el cómo diseñar el plan de mejoramiento</v>
      </c>
      <c r="T653" s="70" t="str">
        <f>IFERROR(IF(VLOOKUP(A653,[6]PRIORIZADOS!$A:$T,20,FALSE)="","",VLOOKUP(A653,[6]PRIORIZADOS!$A:$T,20,FALSE)),"")</f>
        <v>Si</v>
      </c>
      <c r="U653" s="11" t="str">
        <f>IFERROR(IF(VLOOKUP(A653,[6]PRIORIZADOS!$A:$U,21,FALSE)="","",VLOOKUP(A653,[6]PRIORIZADOS!$A:$U,21,FALSE)),"")</f>
        <v>Revisar el PMI que debe debe ser entregado el 23 de junio del 2025 por la IE.</v>
      </c>
    </row>
    <row r="654" spans="1:21" s="1" customFormat="1" ht="48">
      <c r="A654" s="69">
        <f>IF([6]PRIORIZADOS!A20="","",[6]PRIORIZADOS!A20)</f>
        <v>592</v>
      </c>
      <c r="B654" s="70">
        <f>IFERROR(IF(VLOOKUP(A654,[6]PRIORIZADOS!$A:$B,2,FALSE)="","",VLOOKUP(A654,[6]PRIORIZADOS!$A:$B,2,FALSE)),"")</f>
        <v>2</v>
      </c>
      <c r="C654" s="11" t="str">
        <f>IFERROR(IF(VLOOKUP(A654,[6]PRIORIZADOS!$A:$C,3,FALSE)="","",VLOOKUP(A654,[6]PRIORIZADOS!$A:$C,3,FALSE)),"")</f>
        <v>ENGATIVÁ</v>
      </c>
      <c r="D654" s="11" t="str">
        <f>IFERROR(IF(VLOOKUP(A654,[6]PRIORIZADOS!$A:$D,4,FALSE)="","",VLOOKUP(A654,[6]PRIORIZADOS!$A:$D,4,FALSE)),"")</f>
        <v>PRIVADO</v>
      </c>
      <c r="E654" s="11" t="str">
        <f>IFERROR(IF(VLOOKUP(A654,[6]PRIORIZADOS!$A:$E,5,FALSE)="","",VLOOKUP(A654,[6]PRIORIZADOS!$A:$E,5,FALSE)),"")</f>
        <v>Educación de Jóvenes y Adultos</v>
      </c>
      <c r="F654" s="11" t="str">
        <f>IFERROR(IF(VLOOKUP(A654,[6]PRIORIZADOS!$A:$F,6,FALSE)="","",VLOOKUP(A654,[6]PRIORIZADOS!$A:$F,6,FALSE)),"")</f>
        <v>INSTITUTO_IP_EDUCANDO_LA_JUVENTUD_FUTURO_DE_COLOMBIA</v>
      </c>
      <c r="G654" s="11" t="str">
        <f>IFERROR(IF(VLOOKUP(A654,[6]PRIORIZADOS!$A:$G,7,FALSE)="","",VLOOKUP(A654,[6]PRIORIZADOS!$A:$G,7,FALSE)),"")</f>
        <v>INSTITUTO_IP_EDUCANDO_LA_JUVENTUD_FUTURO_DE_COLOMBIA</v>
      </c>
      <c r="H654" s="11" t="str">
        <f>IFERROR(IF(VLOOKUP(A654,[6]PRIORIZADOS!$A:$H,8,FALSE)="","",VLOOKUP(A654,[6]PRIORIZADOS!$A:$H,8,FALSE)),"")</f>
        <v>Autoevaluación Institucional y Pruebas SABER 11</v>
      </c>
      <c r="I654" s="11" t="str">
        <f>IFERROR(IF(VLOOKUP(A654,[6]PRIORIZADOS!$A:$I,9,FALSE)="","",VLOOKUP(A654,[6]PRIORIZADOS!$A:$I,9,FALSE)),"")</f>
        <v>SEGUIMIENTO_Y_SUPERVISIÓN.</v>
      </c>
      <c r="J654" s="11" t="str">
        <f>IFERROR(IF(VLOOKUP(A654,[6]PRIORIZADOS!$A:$J,10,FALSE)="","",VLOOKUP(A654,[6]PRIORIZADOS!$A:$J,10,FALSE)),"")</f>
        <v xml:space="preserve">Verificar la implementación por parte de los colegios, de acciones realizadas para la prevención y atención de las situaciones de convivencia en el entorno escolar, según lo establecido en la Directiva 01 de 2022 del MEN. </v>
      </c>
      <c r="K654" s="11" t="str">
        <f>IFERROR(IF(VLOOKUP(A654,[6]PRIORIZADOS!$A:$K,11,FALSE)="","",VLOOKUP(A654,[6]PRIORIZADOS!$A:$K,11,FALSE)),"")</f>
        <v>FREDDY CLAROS PEÑA</v>
      </c>
      <c r="L654" s="11" t="str">
        <f>IFERROR(IF(VLOOKUP(A654,[6]PRIORIZADOS!$A:$L,12,FALSE)="","",VLOOKUP(A654,[6]PRIORIZADOS!$A:$L,12,FALSE)),"")</f>
        <v>LUZ MERY PARRA NOPE</v>
      </c>
      <c r="M654" s="71">
        <f>IFERROR(IF(VLOOKUP(A654,[6]PRIORIZADOS!$A:$M,13,FALSE)="","",VLOOKUP(A654,[6]PRIORIZADOS!$A:$M,13,FALSE)),"")</f>
        <v>45814</v>
      </c>
      <c r="N654" s="139">
        <f>IFERROR(IF(VLOOKUP(A654,[6]PRIORIZADOS!$A:$N,14,FALSE)="","",VLOOKUP(A654,[6]PRIORIZADOS!$A:$N,14,FALSE)),"")</f>
        <v>45814</v>
      </c>
      <c r="O654" s="139">
        <f>IFERROR(IF(VLOOKUP(A654,[6]PRIORIZADOS!$A:$O,15,FALSE)="","",VLOOKUP(A654,[6]PRIORIZADOS!$A:$O,15,FALSE)),"")</f>
        <v>45814</v>
      </c>
      <c r="P654" s="11" t="str">
        <f>IFERROR(IF(VLOOKUP(A654,[6]PRIORIZADOS!$A:$P,16,FALSE)="","",VLOOKUP(A654,[6]PRIORIZADOS!$A:$P,16,FALSE)),"")</f>
        <v>Visitas de evaluación con fines de seguimiento</v>
      </c>
      <c r="Q654" s="107" t="s">
        <v>131</v>
      </c>
      <c r="R654" s="11" t="str">
        <f>IFERROR(IF(VLOOKUP(A654,[6]PRIORIZADOS!$A:$R,18,FALSE)="","",VLOOKUP(A654,[6]PRIORIZADOS!$A:$R,18,FALSE)),"")</f>
        <v>El E.E. realiza verificación de inhabilidad  a los docentes y personal admnistrativo</v>
      </c>
      <c r="S654" s="11" t="str">
        <f>IFERROR(IF(VLOOKUP(A654,[6]PRIORIZADOS!$A:$S,19,FALSE)="","",VLOOKUP(A654,[6]PRIORIZADOS!$A:$S,19,FALSE)),"")</f>
        <v>Se sugiere organizarlo en carpeta institucional y continuar su verificación cada 4 meses</v>
      </c>
      <c r="T654" s="70" t="str">
        <f>IFERROR(IF(VLOOKUP(A654,[6]PRIORIZADOS!$A:$T,20,FALSE)="","",VLOOKUP(A654,[6]PRIORIZADOS!$A:$T,20,FALSE)),"")</f>
        <v>No</v>
      </c>
      <c r="U654" s="11" t="str">
        <f>IFERROR(IF(VLOOKUP(A654,[6]PRIORIZADOS!$A:$U,21,FALSE)="","",VLOOKUP(A654,[6]PRIORIZADOS!$A:$U,21,FALSE)),"")</f>
        <v>Se verificacrá en una actuación en otra vigencia o si se genera petición o queja ciudadana.</v>
      </c>
    </row>
    <row r="655" spans="1:21" s="1" customFormat="1" ht="72">
      <c r="A655" s="69">
        <f>IF([6]PRIORIZADOS!A21="","",[6]PRIORIZADOS!A21)</f>
        <v>593</v>
      </c>
      <c r="B655" s="70">
        <f>IFERROR(IF(VLOOKUP(A655,[6]PRIORIZADOS!$A:$B,2,FALSE)="","",VLOOKUP(A655,[6]PRIORIZADOS!$A:$B,2,FALSE)),"")</f>
        <v>2</v>
      </c>
      <c r="C655" s="11" t="str">
        <f>IFERROR(IF(VLOOKUP(A655,[6]PRIORIZADOS!$A:$C,3,FALSE)="","",VLOOKUP(A655,[6]PRIORIZADOS!$A:$C,3,FALSE)),"")</f>
        <v>ENGATIVÁ</v>
      </c>
      <c r="D655" s="11" t="str">
        <f>IFERROR(IF(VLOOKUP(A655,[6]PRIORIZADOS!$A:$D,4,FALSE)="","",VLOOKUP(A655,[6]PRIORIZADOS!$A:$D,4,FALSE)),"")</f>
        <v>PRIVADO</v>
      </c>
      <c r="E655" s="11" t="str">
        <f>IFERROR(IF(VLOOKUP(A655,[6]PRIORIZADOS!$A:$E,5,FALSE)="","",VLOOKUP(A655,[6]PRIORIZADOS!$A:$E,5,FALSE)),"")</f>
        <v>Educación de Jóvenes y Adultos</v>
      </c>
      <c r="F655" s="11" t="str">
        <f>IFERROR(IF(VLOOKUP(A655,[6]PRIORIZADOS!$A:$F,6,FALSE)="","",VLOOKUP(A655,[6]PRIORIZADOS!$A:$F,6,FALSE)),"")</f>
        <v>INSTITUTO_IP_EDUCANDO_LA_JUVENTUD_FUTURO_DE_COLOMBIA</v>
      </c>
      <c r="G655" s="11" t="str">
        <f>IFERROR(IF(VLOOKUP(A655,[6]PRIORIZADOS!$A:$G,7,FALSE)="","",VLOOKUP(A655,[6]PRIORIZADOS!$A:$G,7,FALSE)),"")</f>
        <v>INSTITUTO_IP_EDUCANDO_LA_JUVENTUD_FUTURO_DE_COLOMBIA</v>
      </c>
      <c r="H655" s="11" t="str">
        <f>IFERROR(IF(VLOOKUP(A655,[6]PRIORIZADOS!$A:$H,8,FALSE)="","",VLOOKUP(A655,[6]PRIORIZADOS!$A:$H,8,FALSE)),"")</f>
        <v>Autoevaluación Institucional y Pruebas SABER 11</v>
      </c>
      <c r="I655" s="11" t="str">
        <f>IFERROR(IF(VLOOKUP(A655,[6]PRIORIZADOS!$A:$I,9,FALSE)="","",VLOOKUP(A655,[6]PRIORIZADOS!$A:$I,9,FALSE)),"")</f>
        <v>SEGUIMIENTO_Y_SUPERVISIÓN.</v>
      </c>
      <c r="J655" s="11" t="str">
        <f>IFERROR(IF(VLOOKUP(A655,[6]PRIORIZADOS!$A:$J,10,FALSE)="","",VLOOKUP(A655,[6]PRIORIZADOS!$A:$J,10,FALSE)),"")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55" s="11" t="str">
        <f>IFERROR(IF(VLOOKUP(A655,[6]PRIORIZADOS!$A:$K,11,FALSE)="","",VLOOKUP(A655,[6]PRIORIZADOS!$A:$K,11,FALSE)),"")</f>
        <v>FREDDY CLAROS PEÑA</v>
      </c>
      <c r="L655" s="11" t="str">
        <f>IFERROR(IF(VLOOKUP(A655,[6]PRIORIZADOS!$A:$L,12,FALSE)="","",VLOOKUP(A655,[6]PRIORIZADOS!$A:$L,12,FALSE)),"")</f>
        <v>LUZ MERY PARRA NOPE</v>
      </c>
      <c r="M655" s="71">
        <f>IFERROR(IF(VLOOKUP(A655,[6]PRIORIZADOS!$A:$M,13,FALSE)="","",VLOOKUP(A655,[6]PRIORIZADOS!$A:$M,13,FALSE)),"")</f>
        <v>45814</v>
      </c>
      <c r="N655" s="139">
        <f>IFERROR(IF(VLOOKUP(A655,[6]PRIORIZADOS!$A:$N,14,FALSE)="","",VLOOKUP(A655,[6]PRIORIZADOS!$A:$N,14,FALSE)),"")</f>
        <v>45814</v>
      </c>
      <c r="O655" s="139">
        <f>IFERROR(IF(VLOOKUP(A655,[6]PRIORIZADOS!$A:$O,15,FALSE)="","",VLOOKUP(A655,[6]PRIORIZADOS!$A:$O,15,FALSE)),"")</f>
        <v>45814</v>
      </c>
      <c r="P655" s="11" t="str">
        <f>IFERROR(IF(VLOOKUP(A655,[6]PRIORIZADOS!$A:$P,16,FALSE)="","",VLOOKUP(A655,[6]PRIORIZADOS!$A:$P,16,FALSE)),"")</f>
        <v>Visitas de evaluación con fines de seguimiento</v>
      </c>
      <c r="Q655" s="107" t="s">
        <v>131</v>
      </c>
      <c r="R655" s="11" t="str">
        <f>IFERROR(IF(VLOOKUP(A655,[6]PRIORIZADOS!$A:$R,18,FALSE)="","",VLOOKUP(A655,[6]PRIORIZADOS!$A:$R,18,FALSE)),"")</f>
        <v>En SIMAT se registran 3 estudiantres en condición de discapacidad, sin embargo no hay estudiantes matriculados en condición de discapacidad</v>
      </c>
      <c r="S655" s="11" t="str">
        <f>IFERROR(IF(VLOOKUP(A655,[6]PRIORIZADOS!$A:$S,19,FALSE)="","",VLOOKUP(A655,[6]PRIORIZADOS!$A:$S,19,FALSE)),"")</f>
        <v>Realizar la actualización del manual de convivencia en el acapite de enfoques, para el momento de contar con estudiantes con discapacidad, trastornos o talestos excepcionales.</v>
      </c>
      <c r="T655" s="70" t="str">
        <f>IFERROR(IF(VLOOKUP(A655,[6]PRIORIZADOS!$A:$T,20,FALSE)="","",VLOOKUP(A655,[6]PRIORIZADOS!$A:$T,20,FALSE)),"")</f>
        <v>SI</v>
      </c>
      <c r="U655" s="11" t="str">
        <f>IFERROR(IF(VLOOKUP(A655,[6]PRIORIZADOS!$A:$U,21,FALSE)="","",VLOOKUP(A655,[6]PRIORIZADOS!$A:$U,21,FALSE)),"")</f>
        <v>Se requirió presentar Plan de Majoramiento con el fin de subsanar la situación encontrada . El PMI debe ser entregado  el 23 de junio del 2025</v>
      </c>
    </row>
    <row r="656" spans="1:21" s="1" customFormat="1" ht="84">
      <c r="A656" s="69">
        <f>IF([6]PRIORIZADOS!A22="","",[6]PRIORIZADOS!A22)</f>
        <v>594</v>
      </c>
      <c r="B656" s="70">
        <f>IFERROR(IF(VLOOKUP(A656,[6]PRIORIZADOS!$A:$B,2,FALSE)="","",VLOOKUP(A656,[6]PRIORIZADOS!$A:$B,2,FALSE)),"")</f>
        <v>2</v>
      </c>
      <c r="C656" s="11" t="str">
        <f>IFERROR(IF(VLOOKUP(A656,[6]PRIORIZADOS!$A:$C,3,FALSE)="","",VLOOKUP(A656,[6]PRIORIZADOS!$A:$C,3,FALSE)),"")</f>
        <v>ENGATIVÁ</v>
      </c>
      <c r="D656" s="11" t="str">
        <f>IFERROR(IF(VLOOKUP(A656,[6]PRIORIZADOS!$A:$D,4,FALSE)="","",VLOOKUP(A656,[6]PRIORIZADOS!$A:$D,4,FALSE)),"")</f>
        <v>PRIVADO</v>
      </c>
      <c r="E656" s="11" t="str">
        <f>IFERROR(IF(VLOOKUP(A656,[6]PRIORIZADOS!$A:$E,5,FALSE)="","",VLOOKUP(A656,[6]PRIORIZADOS!$A:$E,5,FALSE)),"")</f>
        <v>Educación de Jóvenes y Adultos</v>
      </c>
      <c r="F656" s="11" t="str">
        <f>IFERROR(IF(VLOOKUP(A656,[6]PRIORIZADOS!$A:$F,6,FALSE)="","",VLOOKUP(A656,[6]PRIORIZADOS!$A:$F,6,FALSE)),"")</f>
        <v>INSTITUTO_IP_EDUCANDO_LA_JUVENTUD_FUTURO_DE_COLOMBIA</v>
      </c>
      <c r="G656" s="11" t="str">
        <f>IFERROR(IF(VLOOKUP(A656,[6]PRIORIZADOS!$A:$G,7,FALSE)="","",VLOOKUP(A656,[6]PRIORIZADOS!$A:$G,7,FALSE)),"")</f>
        <v>INSTITUTO_IP_EDUCANDO_LA_JUVENTUD_FUTURO_DE_COLOMBIA</v>
      </c>
      <c r="H656" s="11" t="str">
        <f>IFERROR(IF(VLOOKUP(A656,[6]PRIORIZADOS!$A:$H,8,FALSE)="","",VLOOKUP(A656,[6]PRIORIZADOS!$A:$H,8,FALSE)),"")</f>
        <v>Autoevaluación Institucional y Pruebas SABER 11</v>
      </c>
      <c r="I656" s="11" t="str">
        <f>IFERROR(IF(VLOOKUP(A656,[6]PRIORIZADOS!$A:$I,9,FALSE)="","",VLOOKUP(A656,[6]PRIORIZADOS!$A:$I,9,FALSE)),"")</f>
        <v>EVALUACIÓN_CON_FINES_DE_MEJORAMIENTO.</v>
      </c>
      <c r="J656" s="11" t="str">
        <f>IFERROR(IF(VLOOKUP(A656,[6]PRIORIZADOS!$A:$J,10,FALSE)="","",VLOOKUP(A656,[6]PRIORIZADOS!$A:$J,10,FALSE)),"")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56" s="11" t="str">
        <f>IFERROR(IF(VLOOKUP(A656,[6]PRIORIZADOS!$A:$K,11,FALSE)="","",VLOOKUP(A656,[6]PRIORIZADOS!$A:$K,11,FALSE)),"")</f>
        <v>FREDDY CLAROS PEÑA</v>
      </c>
      <c r="L656" s="11" t="str">
        <f>IFERROR(IF(VLOOKUP(A656,[6]PRIORIZADOS!$A:$L,12,FALSE)="","",VLOOKUP(A656,[6]PRIORIZADOS!$A:$L,12,FALSE)),"")</f>
        <v>LUZ MERY PARRA NOPE</v>
      </c>
      <c r="M656" s="71">
        <f>IFERROR(IF(VLOOKUP(A656,[6]PRIORIZADOS!$A:$M,13,FALSE)="","",VLOOKUP(A656,[6]PRIORIZADOS!$A:$M,13,FALSE)),"")</f>
        <v>45814</v>
      </c>
      <c r="N656" s="139">
        <f>IFERROR(IF(VLOOKUP(A656,[6]PRIORIZADOS!$A:$N,14,FALSE)="","",VLOOKUP(A656,[6]PRIORIZADOS!$A:$N,14,FALSE)),"")</f>
        <v>45814</v>
      </c>
      <c r="O656" s="139">
        <f>IFERROR(IF(VLOOKUP(A656,[6]PRIORIZADOS!$A:$O,15,FALSE)="","",VLOOKUP(A656,[6]PRIORIZADOS!$A:$O,15,FALSE)),"")</f>
        <v>45814</v>
      </c>
      <c r="P656" s="11" t="str">
        <f>IFERROR(IF(VLOOKUP(A656,[6]PRIORIZADOS!$A:$P,16,FALSE)="","",VLOOKUP(A656,[6]PRIORIZADOS!$A:$P,16,FALSE)),"")</f>
        <v>Visitas de evaluación con fines de mejoramiento</v>
      </c>
      <c r="Q656" s="107" t="s">
        <v>131</v>
      </c>
      <c r="R656" s="11" t="str">
        <f>IFERROR(IF(VLOOKUP(A656,[6]PRIORIZADOS!$A:$R,18,FALSE)="","",VLOOKUP(A656,[6]PRIORIZADOS!$A:$R,18,FALSE)),"")</f>
        <v xml:space="preserve">No se encontraron evidencias de la participacion de la comunidad educativa en actualización del manual de convivencia
</v>
      </c>
      <c r="S656" s="11" t="str">
        <f>IFERROR(IF(VLOOKUP(A656,[6]PRIORIZADOS!$A:$S,19,FALSE)="","",VLOOKUP(A656,[6]PRIORIZADOS!$A:$S,19,FALSE)),"")</f>
        <v xml:space="preserve"> se requiere su actualuización y tener soporte que se realiza manera participativa con la comunidad educativa</v>
      </c>
      <c r="T656" s="70" t="str">
        <f>IFERROR(IF(VLOOKUP(A656,[6]PRIORIZADOS!$A:$T,20,FALSE)="","",VLOOKUP(A656,[6]PRIORIZADOS!$A:$T,20,FALSE)),"")</f>
        <v>Si</v>
      </c>
      <c r="U656" s="11" t="str">
        <f>IFERROR(IF(VLOOKUP(A656,[6]PRIORIZADOS!$A:$U,21,FALSE)="","",VLOOKUP(A656,[6]PRIORIZADOS!$A:$U,21,FALSE)),"")</f>
        <v>Se requirió presentar Plan de Majoramiento con el fin de subsanar la situación encontrada . El PMI debe ser entregado  el 23 de junio del 2025</v>
      </c>
    </row>
    <row r="657" spans="1:21" s="1" customFormat="1" ht="48">
      <c r="A657" s="69">
        <f>IF([6]PRIORIZADOS!A23="","",[6]PRIORIZADOS!A23)</f>
        <v>595</v>
      </c>
      <c r="B657" s="70">
        <f>IFERROR(IF(VLOOKUP(A657,[6]PRIORIZADOS!$A:$B,2,FALSE)="","",VLOOKUP(A657,[6]PRIORIZADOS!$A:$B,2,FALSE)),"")</f>
        <v>2</v>
      </c>
      <c r="C657" s="11" t="str">
        <f>IFERROR(IF(VLOOKUP(A657,[6]PRIORIZADOS!$A:$C,3,FALSE)="","",VLOOKUP(A657,[6]PRIORIZADOS!$A:$C,3,FALSE)),"")</f>
        <v>ENGATIVÁ</v>
      </c>
      <c r="D657" s="11" t="str">
        <f>IFERROR(IF(VLOOKUP(A657,[6]PRIORIZADOS!$A:$D,4,FALSE)="","",VLOOKUP(A657,[6]PRIORIZADOS!$A:$D,4,FALSE)),"")</f>
        <v>PRIVADO</v>
      </c>
      <c r="E657" s="11" t="str">
        <f>IFERROR(IF(VLOOKUP(A657,[6]PRIORIZADOS!$A:$E,5,FALSE)="","",VLOOKUP(A657,[6]PRIORIZADOS!$A:$E,5,FALSE)),"")</f>
        <v>Educación de Jóvenes y Adultos</v>
      </c>
      <c r="F657" s="11" t="str">
        <f>IFERROR(IF(VLOOKUP(A657,[6]PRIORIZADOS!$A:$F,6,FALSE)="","",VLOOKUP(A657,[6]PRIORIZADOS!$A:$F,6,FALSE)),"")</f>
        <v>INSTITUTO_IP_EDUCANDO_LA_JUVENTUD_FUTURO_DE_COLOMBIA</v>
      </c>
      <c r="G657" s="11" t="str">
        <f>IFERROR(IF(VLOOKUP(A657,[6]PRIORIZADOS!$A:$G,7,FALSE)="","",VLOOKUP(A657,[6]PRIORIZADOS!$A:$G,7,FALSE)),"")</f>
        <v>INSTITUTO_IP_EDUCANDO_LA_JUVENTUD_FUTURO_DE_COLOMBIA</v>
      </c>
      <c r="H657" s="11" t="str">
        <f>IFERROR(IF(VLOOKUP(A657,[6]PRIORIZADOS!$A:$H,8,FALSE)="","",VLOOKUP(A657,[6]PRIORIZADOS!$A:$H,8,FALSE)),"")</f>
        <v>Autoevaluación Institucional y Pruebas SABER 11</v>
      </c>
      <c r="I657" s="11" t="str">
        <f>IFERROR(IF(VLOOKUP(A657,[6]PRIORIZADOS!$A:$I,9,FALSE)="","",VLOOKUP(A657,[6]PRIORIZADOS!$A:$I,9,FALSE)),"")</f>
        <v>EVALUACIÓN_CON_FINES_DE_MEJORAMIENTO.</v>
      </c>
      <c r="J657" s="11" t="str">
        <f>IFERROR(IF(VLOOKUP(A657,[6]PRIORIZADOS!$A:$J,10,FALSE)="","",VLOOKUP(A657,[6]PRIORIZADOS!$A:$J,10,FALSE)),"")</f>
        <v>Revisar la actualización, socialización e implementación del Sistema Institucional de Evaluación de Estudiantes - SIEE, en articulación con la actualización del PEI y la normatividad vigente.</v>
      </c>
      <c r="K657" s="11" t="str">
        <f>IFERROR(IF(VLOOKUP(A657,[6]PRIORIZADOS!$A:$K,11,FALSE)="","",VLOOKUP(A657,[6]PRIORIZADOS!$A:$K,11,FALSE)),"")</f>
        <v>FREDDY CLAROS PEÑA</v>
      </c>
      <c r="L657" s="11" t="str">
        <f>IFERROR(IF(VLOOKUP(A657,[6]PRIORIZADOS!$A:$L,12,FALSE)="","",VLOOKUP(A657,[6]PRIORIZADOS!$A:$L,12,FALSE)),"")</f>
        <v>LUZ MERY PARRA NOPE</v>
      </c>
      <c r="M657" s="71">
        <f>IFERROR(IF(VLOOKUP(A657,[6]PRIORIZADOS!$A:$M,13,FALSE)="","",VLOOKUP(A657,[6]PRIORIZADOS!$A:$M,13,FALSE)),"")</f>
        <v>45814</v>
      </c>
      <c r="N657" s="139">
        <f>IFERROR(IF(VLOOKUP(A657,[6]PRIORIZADOS!$A:$N,14,FALSE)="","",VLOOKUP(A657,[6]PRIORIZADOS!$A:$N,14,FALSE)),"")</f>
        <v>45814</v>
      </c>
      <c r="O657" s="139">
        <f>IFERROR(IF(VLOOKUP(A657,[6]PRIORIZADOS!$A:$O,15,FALSE)="","",VLOOKUP(A657,[6]PRIORIZADOS!$A:$O,15,FALSE)),"")</f>
        <v>45814</v>
      </c>
      <c r="P657" s="11" t="str">
        <f>IFERROR(IF(VLOOKUP(A657,[6]PRIORIZADOS!$A:$P,16,FALSE)="","",VLOOKUP(A657,[6]PRIORIZADOS!$A:$P,16,FALSE)),"")</f>
        <v>Visitas de evaluación con fines de mejoramiento</v>
      </c>
      <c r="Q657" s="107" t="s">
        <v>131</v>
      </c>
      <c r="R657" s="11" t="str">
        <f>IFERROR(IF(VLOOKUP(A657,[6]PRIORIZADOS!$A:$R,18,FALSE)="","",VLOOKUP(A657,[6]PRIORIZADOS!$A:$R,18,FALSE)),"")</f>
        <v xml:space="preserve">No se encontraron evidencias de la participacion de la comunidad educativa en actualización del SIEE.
</v>
      </c>
      <c r="S657" s="11" t="str">
        <f>IFERROR(IF(VLOOKUP(A657,[6]PRIORIZADOS!$A:$S,19,FALSE)="","",VLOOKUP(A657,[6]PRIORIZADOS!$A:$S,19,FALSE)),"")</f>
        <v xml:space="preserve"> se requiere su actualuización y tener soporte que se realiza manera participativa con la comunidad educativa</v>
      </c>
      <c r="T657" s="70" t="str">
        <f>IFERROR(IF(VLOOKUP(A657,[6]PRIORIZADOS!$A:$T,20,FALSE)="","",VLOOKUP(A657,[6]PRIORIZADOS!$A:$T,20,FALSE)),"")</f>
        <v>Si</v>
      </c>
      <c r="U657" s="11" t="str">
        <f>IFERROR(IF(VLOOKUP(A657,[6]PRIORIZADOS!$A:$U,21,FALSE)="","",VLOOKUP(A657,[6]PRIORIZADOS!$A:$U,21,FALSE)),"")</f>
        <v>Se requirió presentar Plan de Majoramiento con el fin de subsanar la situación encontrada . El PMI debe ser entregado  el 23 de junio del 2025</v>
      </c>
    </row>
    <row r="658" spans="1:21" s="1" customFormat="1" ht="48">
      <c r="A658" s="69">
        <f>IF([6]PRIORIZADOS!A24="","",[6]PRIORIZADOS!A24)</f>
        <v>596</v>
      </c>
      <c r="B658" s="70">
        <f>IFERROR(IF(VLOOKUP(A658,[6]PRIORIZADOS!$A:$B,2,FALSE)="","",VLOOKUP(A658,[6]PRIORIZADOS!$A:$B,2,FALSE)),"")</f>
        <v>2</v>
      </c>
      <c r="C658" s="11" t="str">
        <f>IFERROR(IF(VLOOKUP(A658,[6]PRIORIZADOS!$A:$C,3,FALSE)="","",VLOOKUP(A658,[6]PRIORIZADOS!$A:$C,3,FALSE)),"")</f>
        <v>ENGATIVÁ</v>
      </c>
      <c r="D658" s="11" t="str">
        <f>IFERROR(IF(VLOOKUP(A658,[6]PRIORIZADOS!$A:$D,4,FALSE)="","",VLOOKUP(A658,[6]PRIORIZADOS!$A:$D,4,FALSE)),"")</f>
        <v>PRIVADO</v>
      </c>
      <c r="E658" s="11" t="str">
        <f>IFERROR(IF(VLOOKUP(A658,[6]PRIORIZADOS!$A:$E,5,FALSE)="","",VLOOKUP(A658,[6]PRIORIZADOS!$A:$E,5,FALSE)),"")</f>
        <v>Educación de Jóvenes y Adultos</v>
      </c>
      <c r="F658" s="11" t="str">
        <f>IFERROR(IF(VLOOKUP(A658,[6]PRIORIZADOS!$A:$F,6,FALSE)="","",VLOOKUP(A658,[6]PRIORIZADOS!$A:$F,6,FALSE)),"")</f>
        <v>INSTITUTO_IP_EDUCANDO_LA_JUVENTUD_FUTURO_DE_COLOMBIA</v>
      </c>
      <c r="G658" s="11" t="str">
        <f>IFERROR(IF(VLOOKUP(A658,[6]PRIORIZADOS!$A:$G,7,FALSE)="","",VLOOKUP(A658,[6]PRIORIZADOS!$A:$G,7,FALSE)),"")</f>
        <v>INSTITUTO_IP_EDUCANDO_LA_JUVENTUD_FUTURO_DE_COLOMBIA</v>
      </c>
      <c r="H658" s="11" t="str">
        <f>IFERROR(IF(VLOOKUP(A658,[6]PRIORIZADOS!$A:$H,8,FALSE)="","",VLOOKUP(A658,[6]PRIORIZADOS!$A:$H,8,FALSE)),"")</f>
        <v>Autoevaluación Institucional y Pruebas SABER 11</v>
      </c>
      <c r="I658" s="11" t="str">
        <f>IFERROR(IF(VLOOKUP(A658,[6]PRIORIZADOS!$A:$I,9,FALSE)="","",VLOOKUP(A658,[6]PRIORIZADOS!$A:$I,9,FALSE)),"")</f>
        <v>EVALUACIÓN_CON_FINES_DE_MEJORAMIENTO.</v>
      </c>
      <c r="J658" s="11" t="str">
        <f>IFERROR(IF(VLOOKUP(A658,[6]PRIORIZADOS!$A:$J,10,FALSE)="","",VLOOKUP(A658,[6]PRIORIZADOS!$A:$J,10,FALSE)),"")</f>
        <v>Revisar el calendario escolar, jornada escolar, la intensidad horaria mínima anual en cada nivel y las modificaciones que se realicen al mismo, de acuerdo con lo previsto en la normatividad vigente.</v>
      </c>
      <c r="K658" s="11" t="str">
        <f>IFERROR(IF(VLOOKUP(A658,[6]PRIORIZADOS!$A:$K,11,FALSE)="","",VLOOKUP(A658,[6]PRIORIZADOS!$A:$K,11,FALSE)),"")</f>
        <v>FREDDY CLAROS PEÑA</v>
      </c>
      <c r="L658" s="11" t="str">
        <f>IFERROR(IF(VLOOKUP(A658,[6]PRIORIZADOS!$A:$L,12,FALSE)="","",VLOOKUP(A658,[6]PRIORIZADOS!$A:$L,12,FALSE)),"")</f>
        <v>LUZ MERY PARRA NOPE</v>
      </c>
      <c r="M658" s="71">
        <f>IFERROR(IF(VLOOKUP(A658,[6]PRIORIZADOS!$A:$M,13,FALSE)="","",VLOOKUP(A658,[6]PRIORIZADOS!$A:$M,13,FALSE)),"")</f>
        <v>45814</v>
      </c>
      <c r="N658" s="139">
        <f>IFERROR(IF(VLOOKUP(A658,[6]PRIORIZADOS!$A:$N,14,FALSE)="","",VLOOKUP(A658,[6]PRIORIZADOS!$A:$N,14,FALSE)),"")</f>
        <v>45814</v>
      </c>
      <c r="O658" s="139">
        <f>IFERROR(IF(VLOOKUP(A658,[6]PRIORIZADOS!$A:$O,15,FALSE)="","",VLOOKUP(A658,[6]PRIORIZADOS!$A:$O,15,FALSE)),"")</f>
        <v>45814</v>
      </c>
      <c r="P658" s="11" t="str">
        <f>IFERROR(IF(VLOOKUP(A658,[6]PRIORIZADOS!$A:$P,16,FALSE)="","",VLOOKUP(A658,[6]PRIORIZADOS!$A:$P,16,FALSE)),"")</f>
        <v>Visitas de evaluación con fines de mejoramiento</v>
      </c>
      <c r="Q658" s="107" t="s">
        <v>131</v>
      </c>
      <c r="R658" s="11" t="str">
        <f>IFERROR(IF(VLOOKUP(A658,[6]PRIORIZADOS!$A:$R,18,FALSE)="","",VLOOKUP(A658,[6]PRIORIZADOS!$A:$R,18,FALSE)),"")</f>
        <v xml:space="preserve">Se revisa en el formato establecido el cumplimiento de la intensidad horaria </v>
      </c>
      <c r="S658" s="11" t="str">
        <f>IFERROR(IF(VLOOKUP(A658,[6]PRIORIZADOS!$A:$S,19,FALSE)="","",VLOOKUP(A658,[6]PRIORIZADOS!$A:$S,19,FALSE)),"")</f>
        <v>El colegio cumple la intensidad horaria establecida por nivel según normativa vigente</v>
      </c>
      <c r="T658" s="70" t="str">
        <f>IFERROR(IF(VLOOKUP(A658,[6]PRIORIZADOS!$A:$T,20,FALSE)="","",VLOOKUP(A658,[6]PRIORIZADOS!$A:$T,20,FALSE)),"")</f>
        <v>No</v>
      </c>
      <c r="U658" s="11" t="str">
        <f>IFERROR(IF(VLOOKUP(A658,[6]PRIORIZADOS!$A:$U,21,FALSE)="","",VLOOKUP(A658,[6]PRIORIZADOS!$A:$U,21,FALSE)),"")</f>
        <v>Se verificacrá en una actuación en otra vigencia o si se genera petición o queja ciudadana.</v>
      </c>
    </row>
    <row r="659" spans="1:21" s="1" customFormat="1" ht="84">
      <c r="A659" s="69">
        <f>IF([6]PRIORIZADOS!A25="","",[6]PRIORIZADOS!A25)</f>
        <v>597</v>
      </c>
      <c r="B659" s="70">
        <f>IFERROR(IF(VLOOKUP(A659,[6]PRIORIZADOS!$A:$B,2,FALSE)="","",VLOOKUP(A659,[6]PRIORIZADOS!$A:$B,2,FALSE)),"")</f>
        <v>2</v>
      </c>
      <c r="C659" s="11" t="str">
        <f>IFERROR(IF(VLOOKUP(A659,[6]PRIORIZADOS!$A:$C,3,FALSE)="","",VLOOKUP(A659,[6]PRIORIZADOS!$A:$C,3,FALSE)),"")</f>
        <v>ENGATIVÁ</v>
      </c>
      <c r="D659" s="11" t="str">
        <f>IFERROR(IF(VLOOKUP(A659,[6]PRIORIZADOS!$A:$D,4,FALSE)="","",VLOOKUP(A659,[6]PRIORIZADOS!$A:$D,4,FALSE)),"")</f>
        <v>PRIVADO</v>
      </c>
      <c r="E659" s="11" t="str">
        <f>IFERROR(IF(VLOOKUP(A659,[6]PRIORIZADOS!$A:$E,5,FALSE)="","",VLOOKUP(A659,[6]PRIORIZADOS!$A:$E,5,FALSE)),"")</f>
        <v>Educación de Jóvenes y Adultos</v>
      </c>
      <c r="F659" s="11" t="str">
        <f>IFERROR(IF(VLOOKUP(A659,[6]PRIORIZADOS!$A:$F,6,FALSE)="","",VLOOKUP(A659,[6]PRIORIZADOS!$A:$F,6,FALSE)),"")</f>
        <v>INSTITUTO_IP_EDUCANDO_LA_JUVENTUD_FUTURO_DE_COLOMBIA</v>
      </c>
      <c r="G659" s="11" t="str">
        <f>IFERROR(IF(VLOOKUP(A659,[6]PRIORIZADOS!$A:$G,7,FALSE)="","",VLOOKUP(A659,[6]PRIORIZADOS!$A:$G,7,FALSE)),"")</f>
        <v>INSTITUTO_IP_EDUCANDO_LA_JUVENTUD_FUTURO_DE_COLOMBIA</v>
      </c>
      <c r="H659" s="11" t="str">
        <f>IFERROR(IF(VLOOKUP(A659,[6]PRIORIZADOS!$A:$H,8,FALSE)="","",VLOOKUP(A659,[6]PRIORIZADOS!$A:$H,8,FALSE)),"")</f>
        <v>Autoevaluación Institucional y Pruebas SABER 11</v>
      </c>
      <c r="I659" s="11" t="str">
        <f>IFERROR(IF(VLOOKUP(A659,[6]PRIORIZADOS!$A:$I,9,FALSE)="","",VLOOKUP(A659,[6]PRIORIZADOS!$A:$I,9,FALSE)),"")</f>
        <v>EVALUACIÓN_CON_FINES_DE_MEJORAMIENTO.</v>
      </c>
      <c r="J659" s="11" t="str">
        <f>IFERROR(IF(VLOOKUP(A659,[6]PRIORIZADOS!$A:$J,10,FALSE)="","",VLOOKUP(A659,[6]PRIORIZADOS!$A:$J,10,FALSE)),"")</f>
        <v>Verificar el funcionamiento del Gobierno Escolar e instancias de participación con base en la información sobre conformación reportada por la institución educativa.</v>
      </c>
      <c r="K659" s="11" t="str">
        <f>IFERROR(IF(VLOOKUP(A659,[6]PRIORIZADOS!$A:$K,11,FALSE)="","",VLOOKUP(A659,[6]PRIORIZADOS!$A:$K,11,FALSE)),"")</f>
        <v>FREDDY CLAROS PEÑA</v>
      </c>
      <c r="L659" s="11" t="str">
        <f>IFERROR(IF(VLOOKUP(A659,[6]PRIORIZADOS!$A:$L,12,FALSE)="","",VLOOKUP(A659,[6]PRIORIZADOS!$A:$L,12,FALSE)),"")</f>
        <v>LUZ MERY PARRA NOPE</v>
      </c>
      <c r="M659" s="71">
        <f>IFERROR(IF(VLOOKUP(A659,[6]PRIORIZADOS!$A:$M,13,FALSE)="","",VLOOKUP(A659,[6]PRIORIZADOS!$A:$M,13,FALSE)),"")</f>
        <v>45814</v>
      </c>
      <c r="N659" s="139">
        <f>IFERROR(IF(VLOOKUP(A659,[6]PRIORIZADOS!$A:$N,14,FALSE)="","",VLOOKUP(A659,[6]PRIORIZADOS!$A:$N,14,FALSE)),"")</f>
        <v>45814</v>
      </c>
      <c r="O659" s="139">
        <f>IFERROR(IF(VLOOKUP(A659,[6]PRIORIZADOS!$A:$O,15,FALSE)="","",VLOOKUP(A659,[6]PRIORIZADOS!$A:$O,15,FALSE)),"")</f>
        <v>45814</v>
      </c>
      <c r="P659" s="11" t="str">
        <f>IFERROR(IF(VLOOKUP(A659,[6]PRIORIZADOS!$A:$P,16,FALSE)="","",VLOOKUP(A659,[6]PRIORIZADOS!$A:$P,16,FALSE)),"")</f>
        <v>Visitas de evaluación con fines de mejoramiento</v>
      </c>
      <c r="Q659" s="107" t="s">
        <v>131</v>
      </c>
      <c r="R659" s="11" t="str">
        <f>IFERROR(IF(VLOOKUP(A659,[6]PRIORIZADOS!$A:$R,18,FALSE)="","",VLOOKUP(A659,[6]PRIORIZADOS!$A:$R,18,FALSE)),"")</f>
        <v xml:space="preserve">Se observa la conformación del Gobierno Escolar y las instancias de participación en el formato definido para tal fin y debidamente reportado en el Sistema de Apoyo Escolar.No obstante no se evidencian actas de su fucnionamiento
</v>
      </c>
      <c r="S659" s="11" t="str">
        <f>IFERROR(IF(VLOOKUP(A659,[6]PRIORIZADOS!$A:$S,19,FALSE)="","",VLOOKUP(A659,[6]PRIORIZADOS!$A:$S,19,FALSE)),"")</f>
        <v xml:space="preserve">Se encuentran fechadas y suscritas por los participantes, no obstante no se aportan actas de comisión de promoción y evaluación, asímismo, el  gobierno y organos deben sesionar según periodiocidad establecida en la normatividad vigente. </v>
      </c>
      <c r="T659" s="70" t="str">
        <f>IFERROR(IF(VLOOKUP(A659,[6]PRIORIZADOS!$A:$T,20,FALSE)="","",VLOOKUP(A659,[6]PRIORIZADOS!$A:$T,20,FALSE)),"")</f>
        <v>Si</v>
      </c>
      <c r="U659" s="11" t="str">
        <f>IFERROR(IF(VLOOKUP(A659,[6]PRIORIZADOS!$A:$U,21,FALSE)="","",VLOOKUP(A659,[6]PRIORIZADOS!$A:$U,21,FALSE)),"")</f>
        <v>Se requirió presentar Plan de Majoramiento con el fin de subsanar la situación encontrada . El PMI debe ser entregado  el 23 de junio del 2025</v>
      </c>
    </row>
    <row r="660" spans="1:21" s="1" customFormat="1" ht="48">
      <c r="A660" s="69">
        <f>IF([6]PRIORIZADOS!A26="","",[6]PRIORIZADOS!A26)</f>
        <v>598</v>
      </c>
      <c r="B660" s="70">
        <f>IFERROR(IF(VLOOKUP(A660,[6]PRIORIZADOS!$A:$B,2,FALSE)="","",VLOOKUP(A660,[6]PRIORIZADOS!$A:$B,2,FALSE)),"")</f>
        <v>2</v>
      </c>
      <c r="C660" s="11" t="str">
        <f>IFERROR(IF(VLOOKUP(A660,[6]PRIORIZADOS!$A:$C,3,FALSE)="","",VLOOKUP(A660,[6]PRIORIZADOS!$A:$C,3,FALSE)),"")</f>
        <v>ENGATIVÁ</v>
      </c>
      <c r="D660" s="11" t="str">
        <f>IFERROR(IF(VLOOKUP(A660,[6]PRIORIZADOS!$A:$D,4,FALSE)="","",VLOOKUP(A660,[6]PRIORIZADOS!$A:$D,4,FALSE)),"")</f>
        <v>PRIVADO</v>
      </c>
      <c r="E660" s="11" t="str">
        <f>IFERROR(IF(VLOOKUP(A660,[6]PRIORIZADOS!$A:$E,5,FALSE)="","",VLOOKUP(A660,[6]PRIORIZADOS!$A:$E,5,FALSE)),"")</f>
        <v>Educación de Jóvenes y Adultos</v>
      </c>
      <c r="F660" s="11" t="str">
        <f>IFERROR(IF(VLOOKUP(A660,[6]PRIORIZADOS!$A:$F,6,FALSE)="","",VLOOKUP(A660,[6]PRIORIZADOS!$A:$F,6,FALSE)),"")</f>
        <v>INSTITUTO_IP_EDUCANDO_LA_JUVENTUD_FUTURO_DE_COLOMBIA</v>
      </c>
      <c r="G660" s="11" t="str">
        <f>IFERROR(IF(VLOOKUP(A660,[6]PRIORIZADOS!$A:$G,7,FALSE)="","",VLOOKUP(A660,[6]PRIORIZADOS!$A:$G,7,FALSE)),"")</f>
        <v>INSTITUTO_IP_EDUCANDO_LA_JUVENTUD_FUTURO_DE_COLOMBIA</v>
      </c>
      <c r="H660" s="11" t="str">
        <f>IFERROR(IF(VLOOKUP(A660,[6]PRIORIZADOS!$A:$H,8,FALSE)="","",VLOOKUP(A660,[6]PRIORIZADOS!$A:$H,8,FALSE)),"")</f>
        <v>Autoevaluación Institucional y Pruebas SABER 11</v>
      </c>
      <c r="I660" s="11" t="str">
        <f>IFERROR(IF(VLOOKUP(A660,[6]PRIORIZADOS!$A:$I,9,FALSE)="","",VLOOKUP(A660,[6]PRIORIZADOS!$A:$I,9,FALSE)),"")</f>
        <v>EVALUACIÓN_CON_FINES_DE_MEJORAMIENTO.</v>
      </c>
      <c r="J660" s="11" t="str">
        <f>IFERROR(IF(VLOOKUP(A660,[6]PRIORIZADOS!$A:$J,10,FALSE)="","",VLOOKUP(A660,[6]PRIORIZADOS!$A:$J,10,FALSE)),"")</f>
        <v>Verificar las condiciones en cuanto a: la estructura administrativa, condiciones de la planta física y medios educativos adecuados.</v>
      </c>
      <c r="K660" s="11" t="str">
        <f>IFERROR(IF(VLOOKUP(A660,[6]PRIORIZADOS!$A:$K,11,FALSE)="","",VLOOKUP(A660,[6]PRIORIZADOS!$A:$K,11,FALSE)),"")</f>
        <v>FREDDY CLAROS PEÑA</v>
      </c>
      <c r="L660" s="11" t="str">
        <f>IFERROR(IF(VLOOKUP(A660,[6]PRIORIZADOS!$A:$L,12,FALSE)="","",VLOOKUP(A660,[6]PRIORIZADOS!$A:$L,12,FALSE)),"")</f>
        <v>LUZ MERY PARRA NOPE</v>
      </c>
      <c r="M660" s="71">
        <f>IFERROR(IF(VLOOKUP(A660,[6]PRIORIZADOS!$A:$M,13,FALSE)="","",VLOOKUP(A660,[6]PRIORIZADOS!$A:$M,13,FALSE)),"")</f>
        <v>45814</v>
      </c>
      <c r="N660" s="139">
        <f>IFERROR(IF(VLOOKUP(A660,[6]PRIORIZADOS!$A:$N,14,FALSE)="","",VLOOKUP(A660,[6]PRIORIZADOS!$A:$N,14,FALSE)),"")</f>
        <v>45814</v>
      </c>
      <c r="O660" s="139">
        <f>IFERROR(IF(VLOOKUP(A660,[6]PRIORIZADOS!$A:$O,15,FALSE)="","",VLOOKUP(A660,[6]PRIORIZADOS!$A:$O,15,FALSE)),"")</f>
        <v>45814</v>
      </c>
      <c r="P660" s="11" t="str">
        <f>IFERROR(IF(VLOOKUP(A660,[6]PRIORIZADOS!$A:$P,16,FALSE)="","",VLOOKUP(A660,[6]PRIORIZADOS!$A:$P,16,FALSE)),"")</f>
        <v>Visitas de evaluación con fines de mejoramiento</v>
      </c>
      <c r="Q660" s="107" t="s">
        <v>131</v>
      </c>
      <c r="R660" s="11" t="str">
        <f>IFERROR(IF(VLOOKUP(A660,[6]PRIORIZADOS!$A:$R,18,FALSE)="","",VLOOKUP(A660,[6]PRIORIZADOS!$A:$R,18,FALSE)),"")</f>
        <v>Se evidencia que los espacios adminsitrativos y académicos se encuentran acorde para la prestación del servicio educativo.</v>
      </c>
      <c r="S660" s="11" t="str">
        <f>IFERROR(IF(VLOOKUP(A660,[6]PRIORIZADOS!$A:$S,19,FALSE)="","",VLOOKUP(A660,[6]PRIORIZADOS!$A:$S,19,FALSE)),"")</f>
        <v>Se sugiren continuar el mantenumiento de los espacios y dotación dispuesta para la prestación del servicio educativo</v>
      </c>
      <c r="T660" s="70" t="str">
        <f>IFERROR(IF(VLOOKUP(A660,[6]PRIORIZADOS!$A:$T,20,FALSE)="","",VLOOKUP(A660,[6]PRIORIZADOS!$A:$T,20,FALSE)),"")</f>
        <v>No</v>
      </c>
      <c r="U660" s="11" t="str">
        <f>IFERROR(IF(VLOOKUP(A660,[6]PRIORIZADOS!$A:$U,21,FALSE)="","",VLOOKUP(A660,[6]PRIORIZADOS!$A:$U,21,FALSE)),"")</f>
        <v>Se verificacrá en una actuación en otra vigencia o si se genera petición o queja ciudadana.</v>
      </c>
    </row>
    <row r="661" spans="1:21" s="1" customFormat="1" ht="154.5">
      <c r="A661" s="69">
        <f>IF([6]PRIORIZADOS!A27="","",[6]PRIORIZADOS!A27)</f>
        <v>599</v>
      </c>
      <c r="B661" s="70">
        <f>IFERROR(IF(VLOOKUP(A661,[6]PRIORIZADOS!$A:$B,2,FALSE)="","",VLOOKUP(A661,[6]PRIORIZADOS!$A:$B,2,FALSE)),"")</f>
        <v>3</v>
      </c>
      <c r="C661" s="11" t="str">
        <f>IFERROR(IF(VLOOKUP(A661,[6]PRIORIZADOS!$A:$C,3,FALSE)="","",VLOOKUP(A661,[6]PRIORIZADOS!$A:$C,3,FALSE)),"")</f>
        <v>ENGATIVÁ</v>
      </c>
      <c r="D661" s="11" t="str">
        <f>IFERROR(IF(VLOOKUP(A661,[6]PRIORIZADOS!$A:$D,4,FALSE)="","",VLOOKUP(A661,[6]PRIORIZADOS!$A:$D,4,FALSE)),"")</f>
        <v>PRIVADO</v>
      </c>
      <c r="E661" s="11" t="str">
        <f>IFERROR(IF(VLOOKUP(A661,[6]PRIORIZADOS!$A:$E,5,FALSE)="","",VLOOKUP(A661,[6]PRIORIZADOS!$A:$E,5,FALSE)),"")</f>
        <v>EPBM</v>
      </c>
      <c r="F661" s="11" t="str">
        <f>IFERROR(IF(VLOOKUP(A661,[6]PRIORIZADOS!$A:$F,6,FALSE)="","",VLOOKUP(A661,[6]PRIORIZADOS!$A:$F,6,FALSE)),"")</f>
        <v>GIMNASIO_MADRE_TRINIDAD_DE_CALCUTA</v>
      </c>
      <c r="G661" s="11" t="str">
        <f>IFERROR(IF(VLOOKUP(A661,[6]PRIORIZADOS!$A:$G,7,FALSE)="","",VLOOKUP(A661,[6]PRIORIZADOS!$A:$G,7,FALSE)),"")</f>
        <v>GIMNASIO_MADRE_TRINIDAD_DE_CALCUTA</v>
      </c>
      <c r="H661" s="11" t="str">
        <f>IFERROR(IF(VLOOKUP(A661,[6]PRIORIZADOS!$A:$H,8,FALSE)="","",VLOOKUP(A661,[6]PRIORIZADOS!$A:$H,8,FALSE)),"")</f>
        <v>Autoevaluación Institucional y Pruebas SABER 11</v>
      </c>
      <c r="I661" s="11" t="str">
        <f>IFERROR(IF(VLOOKUP(A661,[6]PRIORIZADOS!$A:$I,9,FALSE)="","",VLOOKUP(A661,[6]PRIORIZADOS!$A:$I,9,FALSE)),"")</f>
        <v>SEGUIMIENTO_Y_SUPERVISIÓN.</v>
      </c>
      <c r="J661" s="11" t="str">
        <f>IFERROR(IF(VLOOKUP(A661,[6]PRIORIZADOS!$A:$J,10,FALSE)="","",VLOOKUP(A661,[6]PRIORIZADOS!$A:$J,10,FALSE)),"")</f>
        <v>Realizar visitas para verificar la información registrada sobre la autoevaluación institucional en el aplicativo EVI, a los establecimientos de educación formal no oficial.</v>
      </c>
      <c r="K661" s="11" t="str">
        <f>IFERROR(IF(VLOOKUP(A661,[6]PRIORIZADOS!$A:$K,11,FALSE)="","",VLOOKUP(A661,[6]PRIORIZADOS!$A:$K,11,FALSE)),"")</f>
        <v>FREDDY CLAROS PEÑA</v>
      </c>
      <c r="L661" s="11" t="str">
        <f>IFERROR(IF(VLOOKUP(A661,[6]PRIORIZADOS!$A:$L,12,FALSE)="","",VLOOKUP(A661,[6]PRIORIZADOS!$A:$L,12,FALSE)),"")</f>
        <v>JAIME HUMBERTO RAMÍREZ LLANOS</v>
      </c>
      <c r="M661" s="71">
        <f>IFERROR(IF(VLOOKUP(A661,[6]PRIORIZADOS!$A:$M,13,FALSE)="","",VLOOKUP(A661,[6]PRIORIZADOS!$A:$M,13,FALSE)),"")</f>
        <v>45769</v>
      </c>
      <c r="N661" s="139">
        <f>IFERROR(IF(VLOOKUP(A661,[6]PRIORIZADOS!$A:$N,14,FALSE)="","",VLOOKUP(A661,[6]PRIORIZADOS!$A:$N,14,FALSE)),"")</f>
        <v>45771</v>
      </c>
      <c r="O661" s="139">
        <f>IFERROR(IF(VLOOKUP(A661,[6]PRIORIZADOS!$A:$O,15,FALSE)="","",VLOOKUP(A661,[6]PRIORIZADOS!$A:$O,15,FALSE)),"")</f>
        <v>45771</v>
      </c>
      <c r="P661" s="11" t="str">
        <f>IFERROR(IF(VLOOKUP(A661,[6]PRIORIZADOS!$A:$P,16,FALSE)="","",VLOOKUP(A661,[6]PRIORIZADOS!$A:$P,16,FALSE)),"")</f>
        <v>Visitas de evaluación con fines de seguimiento</v>
      </c>
      <c r="Q661" s="107" t="s">
        <v>132</v>
      </c>
      <c r="R661" s="11" t="str">
        <f>IFERROR(IF(VLOOKUP(A661,[6]PRIORIZADOS!$A:$R,18,FALSE)="","",VLOOKUP(A661,[6]PRIORIZADOS!$A:$R,18,FALSE)),"")</f>
        <v>Se realizó verificación de la información registrada en el aplicativo EVI encontrandose 14 aulas de clase, con dos
aulas de sistemas dotadas de 30 computadores
con conexión a internet, un área destinada de
lectura, enfermería, un depósito con
isntrumentos musicales y 17 baterias sanitarias,
10 lavamanos individuales y un depósito de
libros.</v>
      </c>
      <c r="S661" s="11" t="str">
        <f>IFERROR(IF(VLOOKUP(A661,[6]PRIORIZADOS!$A:$S,19,FALSE)="","",VLOOKUP(A661,[6]PRIORIZADOS!$A:$S,19,FALSE)),"")</f>
        <v>Dado que faltan 4 lavamanos para la cantidad de estudiantes matriculados y hacinamiento en preescolar, el colegio se compromete a realizar los ajustes correspondientes para dar cumplimiento a lo descrito en EVI</v>
      </c>
      <c r="T661" s="70" t="str">
        <f>IFERROR(IF(VLOOKUP(A661,[6]PRIORIZADOS!$A:$T,20,FALSE)="","",VLOOKUP(A661,[6]PRIORIZADOS!$A:$T,20,FALSE)),"")</f>
        <v>Si</v>
      </c>
      <c r="U661" s="11" t="str">
        <f>IFERROR(IF(VLOOKUP(A661,[6]PRIORIZADOS!$A:$U,21,FALSE)="","",VLOOKUP(A661,[6]PRIORIZADOS!$A:$U,21,FALSE)),"")</f>
        <v>Se requirió presentar Plan de Majoramiento con el fin de subsanar la situación actual de las áreas en cuanto a capacidad . El PMI debe ser entregado  el 12 de mayo de 2025</v>
      </c>
    </row>
    <row r="662" spans="1:21" s="1" customFormat="1" ht="84">
      <c r="A662" s="69">
        <f>IF([6]PRIORIZADOS!A28="","",[6]PRIORIZADOS!A28)</f>
        <v>600</v>
      </c>
      <c r="B662" s="70">
        <f>IFERROR(IF(VLOOKUP(A662,[6]PRIORIZADOS!$A:$B,2,FALSE)="","",VLOOKUP(A662,[6]PRIORIZADOS!$A:$B,2,FALSE)),"")</f>
        <v>3</v>
      </c>
      <c r="C662" s="11" t="str">
        <f>IFERROR(IF(VLOOKUP(A662,[6]PRIORIZADOS!$A:$C,3,FALSE)="","",VLOOKUP(A662,[6]PRIORIZADOS!$A:$C,3,FALSE)),"")</f>
        <v>ENGATIVÁ</v>
      </c>
      <c r="D662" s="11" t="str">
        <f>IFERROR(IF(VLOOKUP(A662,[6]PRIORIZADOS!$A:$D,4,FALSE)="","",VLOOKUP(A662,[6]PRIORIZADOS!$A:$D,4,FALSE)),"")</f>
        <v>PRIVADO</v>
      </c>
      <c r="E662" s="11" t="str">
        <f>IFERROR(IF(VLOOKUP(A662,[6]PRIORIZADOS!$A:$E,5,FALSE)="","",VLOOKUP(A662,[6]PRIORIZADOS!$A:$E,5,FALSE)),"")</f>
        <v>EPBM</v>
      </c>
      <c r="F662" s="11" t="str">
        <f>IFERROR(IF(VLOOKUP(A662,[6]PRIORIZADOS!$A:$F,6,FALSE)="","",VLOOKUP(A662,[6]PRIORIZADOS!$A:$F,6,FALSE)),"")</f>
        <v>GIMNASIO_MADRE_TRINIDAD_DE_CALCUTA</v>
      </c>
      <c r="G662" s="11" t="str">
        <f>IFERROR(IF(VLOOKUP(A662,[6]PRIORIZADOS!$A:$G,7,FALSE)="","",VLOOKUP(A662,[6]PRIORIZADOS!$A:$G,7,FALSE)),"")</f>
        <v>GIMNASIO_MADRE_TRINIDAD_DE_CALCUTA</v>
      </c>
      <c r="H662" s="11" t="str">
        <f>IFERROR(IF(VLOOKUP(A662,[6]PRIORIZADOS!$A:$H,8,FALSE)="","",VLOOKUP(A662,[6]PRIORIZADOS!$A:$H,8,FALSE)),"")</f>
        <v>Autoevaluación Institucional y Pruebas SABER 11</v>
      </c>
      <c r="I662" s="11" t="str">
        <f>IFERROR(IF(VLOOKUP(A662,[6]PRIORIZADOS!$A:$I,9,FALSE)="","",VLOOKUP(A662,[6]PRIORIZADOS!$A:$I,9,FALSE)),"")</f>
        <v>SEGUIMIENTO_Y_SUPERVISIÓN.</v>
      </c>
      <c r="J662" s="11" t="str">
        <f>IFERROR(IF(VLOOKUP(A662,[6]PRIORIZADOS!$A:$J,10,FALSE)="","",VLOOKUP(A662,[6]PRIORIZADOS!$A:$J,10,FALSE)),"")</f>
        <v>Proponer estrategias en la formulación, verificar su elaboración y realizar seguimiento semestral al desarrollo de  las acciones establecidas en los planes de mejoramiento por pruebas SABER 11 de los establecimientos de educación formal.</v>
      </c>
      <c r="K662" s="11" t="str">
        <f>IFERROR(IF(VLOOKUP(A662,[6]PRIORIZADOS!$A:$K,11,FALSE)="","",VLOOKUP(A662,[6]PRIORIZADOS!$A:$K,11,FALSE)),"")</f>
        <v>FREDDY CLAROS PEÑA</v>
      </c>
      <c r="L662" s="11" t="str">
        <f>IFERROR(IF(VLOOKUP(A662,[6]PRIORIZADOS!$A:$L,12,FALSE)="","",VLOOKUP(A662,[6]PRIORIZADOS!$A:$L,12,FALSE)),"")</f>
        <v>JAIME HUMBERTO RAMÍREZ LLANOS</v>
      </c>
      <c r="M662" s="71">
        <f>IFERROR(IF(VLOOKUP(A662,[6]PRIORIZADOS!$A:$M,13,FALSE)="","",VLOOKUP(A662,[6]PRIORIZADOS!$A:$M,13,FALSE)),"")</f>
        <v>45769</v>
      </c>
      <c r="N662" s="139">
        <f>IFERROR(IF(VLOOKUP(A662,[6]PRIORIZADOS!$A:$N,14,FALSE)="","",VLOOKUP(A662,[6]PRIORIZADOS!$A:$N,14,FALSE)),"")</f>
        <v>45771</v>
      </c>
      <c r="O662" s="139">
        <f>IFERROR(IF(VLOOKUP(A662,[6]PRIORIZADOS!$A:$O,15,FALSE)="","",VLOOKUP(A662,[6]PRIORIZADOS!$A:$O,15,FALSE)),"")</f>
        <v>45771</v>
      </c>
      <c r="P662" s="11" t="str">
        <f>IFERROR(IF(VLOOKUP(A662,[6]PRIORIZADOS!$A:$P,16,FALSE)="","",VLOOKUP(A662,[6]PRIORIZADOS!$A:$P,16,FALSE)),"")</f>
        <v>Visitas de evaluación con fines de seguimiento</v>
      </c>
      <c r="Q662" s="107" t="s">
        <v>132</v>
      </c>
      <c r="R662" s="11" t="str">
        <f>IFERROR(IF(VLOOKUP(A662,[6]PRIORIZADOS!$A:$R,18,FALSE)="","",VLOOKUP(A662,[6]PRIORIZADOS!$A:$R,18,FALSE)),"")</f>
        <v>Se evidenció el establecimiento de un plan de mejoramiento que posee indicadores, situación identificada y oportunidades y actividades de mejora.
No se han realizado actualizaciones del curriculo y plan de estudios con base en los resultados del plan</v>
      </c>
      <c r="S662" s="11" t="str">
        <f>IFERROR(IF(VLOOKUP(A662,[6]PRIORIZADOS!$A:$S,19,FALSE)="","",VLOOKUP(A662,[6]PRIORIZADOS!$A:$S,19,FALSE)),"")</f>
        <v>Se resalta el mejoramiento en las pruebas, se solicita que el plan de mejoramiento tenga en cuenta a toda la comunidad educativa, niveles y diversidades.
Se solicita actualización de plan de estudios en todos los grados no solamente en 11°</v>
      </c>
      <c r="T662" s="70" t="str">
        <f>IFERROR(IF(VLOOKUP(A662,[6]PRIORIZADOS!$A:$T,20,FALSE)="","",VLOOKUP(A662,[6]PRIORIZADOS!$A:$T,20,FALSE)),"")</f>
        <v>Si</v>
      </c>
      <c r="U662" s="11" t="str">
        <f>IFERROR(IF(VLOOKUP(A662,[6]PRIORIZADOS!$A:$U,21,FALSE)="","",VLOOKUP(A662,[6]PRIORIZADOS!$A:$U,21,FALSE)),"")</f>
        <v>Se requirió presentar Plan de Majoramiento con el fin de subsanar la situación actual. El PMI debe ser entregado el 9 de mayo de 2025</v>
      </c>
    </row>
    <row r="663" spans="1:21" s="1" customFormat="1" ht="48">
      <c r="A663" s="69">
        <f>IF([6]PRIORIZADOS!A29="","",[6]PRIORIZADOS!A29)</f>
        <v>601</v>
      </c>
      <c r="B663" s="70">
        <f>IFERROR(IF(VLOOKUP(A663,[6]PRIORIZADOS!$A:$B,2,FALSE)="","",VLOOKUP(A663,[6]PRIORIZADOS!$A:$B,2,FALSE)),"")</f>
        <v>3</v>
      </c>
      <c r="C663" s="11" t="str">
        <f>IFERROR(IF(VLOOKUP(A663,[6]PRIORIZADOS!$A:$C,3,FALSE)="","",VLOOKUP(A663,[6]PRIORIZADOS!$A:$C,3,FALSE)),"")</f>
        <v>ENGATIVÁ</v>
      </c>
      <c r="D663" s="11" t="str">
        <f>IFERROR(IF(VLOOKUP(A663,[6]PRIORIZADOS!$A:$D,4,FALSE)="","",VLOOKUP(A663,[6]PRIORIZADOS!$A:$D,4,FALSE)),"")</f>
        <v>PRIVADO</v>
      </c>
      <c r="E663" s="11" t="str">
        <f>IFERROR(IF(VLOOKUP(A663,[6]PRIORIZADOS!$A:$E,5,FALSE)="","",VLOOKUP(A663,[6]PRIORIZADOS!$A:$E,5,FALSE)),"")</f>
        <v>EPBM</v>
      </c>
      <c r="F663" s="11" t="str">
        <f>IFERROR(IF(VLOOKUP(A663,[6]PRIORIZADOS!$A:$F,6,FALSE)="","",VLOOKUP(A663,[6]PRIORIZADOS!$A:$F,6,FALSE)),"")</f>
        <v>GIMNASIO_MADRE_TRINIDAD_DE_CALCUTA</v>
      </c>
      <c r="G663" s="11" t="str">
        <f>IFERROR(IF(VLOOKUP(A663,[6]PRIORIZADOS!$A:$G,7,FALSE)="","",VLOOKUP(A663,[6]PRIORIZADOS!$A:$G,7,FALSE)),"")</f>
        <v>GIMNASIO_MADRE_TRINIDAD_DE_CALCUTA</v>
      </c>
      <c r="H663" s="11" t="str">
        <f>IFERROR(IF(VLOOKUP(A663,[6]PRIORIZADOS!$A:$H,8,FALSE)="","",VLOOKUP(A663,[6]PRIORIZADOS!$A:$H,8,FALSE)),"")</f>
        <v>Autoevaluación Institucional y Pruebas SABER 11</v>
      </c>
      <c r="I663" s="11" t="str">
        <f>IFERROR(IF(VLOOKUP(A663,[6]PRIORIZADOS!$A:$I,9,FALSE)="","",VLOOKUP(A663,[6]PRIORIZADOS!$A:$I,9,FALSE)),"")</f>
        <v>SEGUIMIENTO_Y_SUPERVISIÓN.</v>
      </c>
      <c r="J663" s="11" t="str">
        <f>IFERROR(IF(VLOOKUP(A663,[6]PRIORIZADOS!$A:$J,10,FALSE)="","",VLOOKUP(A663,[6]PRIORIZADOS!$A:$J,10,FALSE)),"")</f>
        <v xml:space="preserve">Verificar la implementación por parte de los colegios, de acciones realizadas para la prevención y atención de las situaciones de convivencia en el entorno escolar, según lo establecido en la Directiva 01 de 2022 del MEN. </v>
      </c>
      <c r="K663" s="11" t="str">
        <f>IFERROR(IF(VLOOKUP(A663,[6]PRIORIZADOS!$A:$K,11,FALSE)="","",VLOOKUP(A663,[6]PRIORIZADOS!$A:$K,11,FALSE)),"")</f>
        <v>FREDDY CLAROS PEÑA</v>
      </c>
      <c r="L663" s="11" t="str">
        <f>IFERROR(IF(VLOOKUP(A663,[6]PRIORIZADOS!$A:$L,12,FALSE)="","",VLOOKUP(A663,[6]PRIORIZADOS!$A:$L,12,FALSE)),"")</f>
        <v>JAIME HUMBERTO RAMÍREZ LLANOS</v>
      </c>
      <c r="M663" s="71">
        <f>IFERROR(IF(VLOOKUP(A663,[6]PRIORIZADOS!$A:$M,13,FALSE)="","",VLOOKUP(A663,[6]PRIORIZADOS!$A:$M,13,FALSE)),"")</f>
        <v>45769</v>
      </c>
      <c r="N663" s="139">
        <f>IFERROR(IF(VLOOKUP(A663,[6]PRIORIZADOS!$A:$N,14,FALSE)="","",VLOOKUP(A663,[6]PRIORIZADOS!$A:$N,14,FALSE)),"")</f>
        <v>45771</v>
      </c>
      <c r="O663" s="139">
        <f>IFERROR(IF(VLOOKUP(A663,[6]PRIORIZADOS!$A:$O,15,FALSE)="","",VLOOKUP(A663,[6]PRIORIZADOS!$A:$O,15,FALSE)),"")</f>
        <v>45771</v>
      </c>
      <c r="P663" s="11" t="str">
        <f>IFERROR(IF(VLOOKUP(A663,[6]PRIORIZADOS!$A:$P,16,FALSE)="","",VLOOKUP(A663,[6]PRIORIZADOS!$A:$P,16,FALSE)),"")</f>
        <v>Visitas de evaluación con fines de seguimiento</v>
      </c>
      <c r="Q663" s="107" t="s">
        <v>132</v>
      </c>
      <c r="R663" s="11" t="str">
        <f>IFERROR(IF(VLOOKUP(A663,[6]PRIORIZADOS!$A:$R,18,FALSE)="","",VLOOKUP(A663,[6]PRIORIZADOS!$A:$R,18,FALSE)),"")</f>
        <v>El E.E. no realiza verificación de inhabilidad por parte del personal contratado</v>
      </c>
      <c r="S663" s="11" t="str">
        <f>IFERROR(IF(VLOOKUP(A663,[6]PRIORIZADOS!$A:$S,19,FALSE)="","",VLOOKUP(A663,[6]PRIORIZADOS!$A:$S,19,FALSE)),"")</f>
        <v>Se explica al rector, coordinador y orientadora escolar la Directiva y se informa como se debe realizar las consultas de las inhabilidades</v>
      </c>
      <c r="T663" s="70" t="str">
        <f>IFERROR(IF(VLOOKUP(A663,[6]PRIORIZADOS!$A:$T,20,FALSE)="","",VLOOKUP(A663,[6]PRIORIZADOS!$A:$T,20,FALSE)),"")</f>
        <v>Si</v>
      </c>
      <c r="U663" s="11" t="str">
        <f>IFERROR(IF(VLOOKUP(A663,[6]PRIORIZADOS!$A:$U,21,FALSE)="","",VLOOKUP(A663,[6]PRIORIZADOS!$A:$U,21,FALSE)),"")</f>
        <v>Se requirió presentar Plan de Majoramiento con el fin de subsanar la situación actual. El PMI debe ser entregado el 9 de mayo de 2025</v>
      </c>
    </row>
    <row r="664" spans="1:21" s="1" customFormat="1" ht="72">
      <c r="A664" s="69">
        <f>IF([6]PRIORIZADOS!A30="","",[6]PRIORIZADOS!A30)</f>
        <v>602</v>
      </c>
      <c r="B664" s="70">
        <f>IFERROR(IF(VLOOKUP(A664,[6]PRIORIZADOS!$A:$B,2,FALSE)="","",VLOOKUP(A664,[6]PRIORIZADOS!$A:$B,2,FALSE)),"")</f>
        <v>3</v>
      </c>
      <c r="C664" s="11" t="str">
        <f>IFERROR(IF(VLOOKUP(A664,[6]PRIORIZADOS!$A:$C,3,FALSE)="","",VLOOKUP(A664,[6]PRIORIZADOS!$A:$C,3,FALSE)),"")</f>
        <v>ENGATIVÁ</v>
      </c>
      <c r="D664" s="11" t="str">
        <f>IFERROR(IF(VLOOKUP(A664,[6]PRIORIZADOS!$A:$D,4,FALSE)="","",VLOOKUP(A664,[6]PRIORIZADOS!$A:$D,4,FALSE)),"")</f>
        <v>PRIVADO</v>
      </c>
      <c r="E664" s="11" t="str">
        <f>IFERROR(IF(VLOOKUP(A664,[6]PRIORIZADOS!$A:$E,5,FALSE)="","",VLOOKUP(A664,[6]PRIORIZADOS!$A:$E,5,FALSE)),"")</f>
        <v>EPBM</v>
      </c>
      <c r="F664" s="11" t="str">
        <f>IFERROR(IF(VLOOKUP(A664,[6]PRIORIZADOS!$A:$F,6,FALSE)="","",VLOOKUP(A664,[6]PRIORIZADOS!$A:$F,6,FALSE)),"")</f>
        <v>GIMNASIO_MADRE_TRINIDAD_DE_CALCUTA</v>
      </c>
      <c r="G664" s="11" t="str">
        <f>IFERROR(IF(VLOOKUP(A664,[6]PRIORIZADOS!$A:$G,7,FALSE)="","",VLOOKUP(A664,[6]PRIORIZADOS!$A:$G,7,FALSE)),"")</f>
        <v>GIMNASIO_MADRE_TRINIDAD_DE_CALCUTA</v>
      </c>
      <c r="H664" s="11" t="str">
        <f>IFERROR(IF(VLOOKUP(A664,[6]PRIORIZADOS!$A:$H,8,FALSE)="","",VLOOKUP(A664,[6]PRIORIZADOS!$A:$H,8,FALSE)),"")</f>
        <v>Autoevaluación Institucional y Pruebas SABER 11</v>
      </c>
      <c r="I664" s="11" t="str">
        <f>IFERROR(IF(VLOOKUP(A664,[6]PRIORIZADOS!$A:$I,9,FALSE)="","",VLOOKUP(A664,[6]PRIORIZADOS!$A:$I,9,FALSE)),"")</f>
        <v>SEGUIMIENTO_Y_SUPERVISIÓN.</v>
      </c>
      <c r="J664" s="11" t="str">
        <f>IFERROR(IF(VLOOKUP(A664,[6]PRIORIZADOS!$A:$J,10,FALSE)="","",VLOOKUP(A664,[6]PRIORIZADOS!$A:$J,10,FALSE)),"")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64" s="11" t="str">
        <f>IFERROR(IF(VLOOKUP(A664,[6]PRIORIZADOS!$A:$K,11,FALSE)="","",VLOOKUP(A664,[6]PRIORIZADOS!$A:$K,11,FALSE)),"")</f>
        <v>FREDDY CLAROS PEÑA</v>
      </c>
      <c r="L664" s="11" t="str">
        <f>IFERROR(IF(VLOOKUP(A664,[6]PRIORIZADOS!$A:$L,12,FALSE)="","",VLOOKUP(A664,[6]PRIORIZADOS!$A:$L,12,FALSE)),"")</f>
        <v>JAIME HUMBERTO RAMÍREZ LLANOS</v>
      </c>
      <c r="M664" s="71">
        <f>IFERROR(IF(VLOOKUP(A664,[6]PRIORIZADOS!$A:$M,13,FALSE)="","",VLOOKUP(A664,[6]PRIORIZADOS!$A:$M,13,FALSE)),"")</f>
        <v>45769</v>
      </c>
      <c r="N664" s="139">
        <f>IFERROR(IF(VLOOKUP(A664,[6]PRIORIZADOS!$A:$N,14,FALSE)="","",VLOOKUP(A664,[6]PRIORIZADOS!$A:$N,14,FALSE)),"")</f>
        <v>45771</v>
      </c>
      <c r="O664" s="139">
        <f>IFERROR(IF(VLOOKUP(A664,[6]PRIORIZADOS!$A:$O,15,FALSE)="","",VLOOKUP(A664,[6]PRIORIZADOS!$A:$O,15,FALSE)),"")</f>
        <v>45771</v>
      </c>
      <c r="P664" s="11" t="str">
        <f>IFERROR(IF(VLOOKUP(A664,[6]PRIORIZADOS!$A:$P,16,FALSE)="","",VLOOKUP(A664,[6]PRIORIZADOS!$A:$P,16,FALSE)),"")</f>
        <v>Visitas de evaluación con fines de seguimiento</v>
      </c>
      <c r="Q664" s="107" t="s">
        <v>132</v>
      </c>
      <c r="R664" s="11" t="str">
        <f>IFERROR(IF(VLOOKUP(A664,[6]PRIORIZADOS!$A:$R,18,FALSE)="","",VLOOKUP(A664,[6]PRIORIZADOS!$A:$R,18,FALSE)),"")</f>
        <v>Se observa que tienen 9 estudiantes con alguna discapacidad, de los cuales se han estructurado y socializado 5 PIAR, faltan 4</v>
      </c>
      <c r="S664" s="11" t="str">
        <f>IFERROR(IF(VLOOKUP(A664,[6]PRIORIZADOS!$A:$S,19,FALSE)="","",VLOOKUP(A664,[6]PRIORIZADOS!$A:$S,19,FALSE)),"")</f>
        <v>Se dan recomendaciones para el correcto diseño de los PIAR y se remite formato establecido para tal fin</v>
      </c>
      <c r="T664" s="70" t="str">
        <f>IFERROR(IF(VLOOKUP(A664,[6]PRIORIZADOS!$A:$T,20,FALSE)="","",VLOOKUP(A664,[6]PRIORIZADOS!$A:$T,20,FALSE)),"")</f>
        <v>Si</v>
      </c>
      <c r="U664" s="11" t="str">
        <f>IFERROR(IF(VLOOKUP(A664,[6]PRIORIZADOS!$A:$U,21,FALSE)="","",VLOOKUP(A664,[6]PRIORIZADOS!$A:$U,21,FALSE)),"")</f>
        <v>Se requirió presentar Plan de Majoramiento con el fin de subsanar la situación actual. El PMI debe ser entregado el 9 de mayo de 2025</v>
      </c>
    </row>
    <row r="665" spans="1:21" s="1" customFormat="1" ht="84">
      <c r="A665" s="69">
        <f>IF([6]PRIORIZADOS!A31="","",[6]PRIORIZADOS!A31)</f>
        <v>603</v>
      </c>
      <c r="B665" s="70">
        <f>IFERROR(IF(VLOOKUP(A665,[6]PRIORIZADOS!$A:$B,2,FALSE)="","",VLOOKUP(A665,[6]PRIORIZADOS!$A:$B,2,FALSE)),"")</f>
        <v>3</v>
      </c>
      <c r="C665" s="11" t="str">
        <f>IFERROR(IF(VLOOKUP(A665,[6]PRIORIZADOS!$A:$C,3,FALSE)="","",VLOOKUP(A665,[6]PRIORIZADOS!$A:$C,3,FALSE)),"")</f>
        <v>ENGATIVÁ</v>
      </c>
      <c r="D665" s="11" t="str">
        <f>IFERROR(IF(VLOOKUP(A665,[6]PRIORIZADOS!$A:$D,4,FALSE)="","",VLOOKUP(A665,[6]PRIORIZADOS!$A:$D,4,FALSE)),"")</f>
        <v>PRIVADO</v>
      </c>
      <c r="E665" s="11" t="str">
        <f>IFERROR(IF(VLOOKUP(A665,[6]PRIORIZADOS!$A:$E,5,FALSE)="","",VLOOKUP(A665,[6]PRIORIZADOS!$A:$E,5,FALSE)),"")</f>
        <v>EPBM</v>
      </c>
      <c r="F665" s="11" t="str">
        <f>IFERROR(IF(VLOOKUP(A665,[6]PRIORIZADOS!$A:$F,6,FALSE)="","",VLOOKUP(A665,[6]PRIORIZADOS!$A:$F,6,FALSE)),"")</f>
        <v>GIMNASIO_MADRE_TRINIDAD_DE_CALCUTA</v>
      </c>
      <c r="G665" s="11" t="str">
        <f>IFERROR(IF(VLOOKUP(A665,[6]PRIORIZADOS!$A:$G,7,FALSE)="","",VLOOKUP(A665,[6]PRIORIZADOS!$A:$G,7,FALSE)),"")</f>
        <v>GIMNASIO_MADRE_TRINIDAD_DE_CALCUTA</v>
      </c>
      <c r="H665" s="11" t="str">
        <f>IFERROR(IF(VLOOKUP(A665,[6]PRIORIZADOS!$A:$H,8,FALSE)="","",VLOOKUP(A665,[6]PRIORIZADOS!$A:$H,8,FALSE)),"")</f>
        <v>Autoevaluación Institucional y Pruebas SABER 11</v>
      </c>
      <c r="I665" s="11" t="str">
        <f>IFERROR(IF(VLOOKUP(A665,[6]PRIORIZADOS!$A:$I,9,FALSE)="","",VLOOKUP(A665,[6]PRIORIZADOS!$A:$I,9,FALSE)),"")</f>
        <v>EVALUACIÓN_CON_FINES_DE_MEJORAMIENTO.</v>
      </c>
      <c r="J665" s="11" t="str">
        <f>IFERROR(IF(VLOOKUP(A665,[6]PRIORIZADOS!$A:$J,10,FALSE)="","",VLOOKUP(A665,[6]PRIORIZADOS!$A:$J,10,FALSE)),"")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65" s="11" t="str">
        <f>IFERROR(IF(VLOOKUP(A665,[6]PRIORIZADOS!$A:$K,11,FALSE)="","",VLOOKUP(A665,[6]PRIORIZADOS!$A:$K,11,FALSE)),"")</f>
        <v>FREDDY CLAROS PEÑA</v>
      </c>
      <c r="L665" s="11" t="str">
        <f>IFERROR(IF(VLOOKUP(A665,[6]PRIORIZADOS!$A:$L,12,FALSE)="","",VLOOKUP(A665,[6]PRIORIZADOS!$A:$L,12,FALSE)),"")</f>
        <v>JAIME HUMBERTO RAMÍREZ LLANOS</v>
      </c>
      <c r="M665" s="71">
        <f>IFERROR(IF(VLOOKUP(A665,[6]PRIORIZADOS!$A:$M,13,FALSE)="","",VLOOKUP(A665,[6]PRIORIZADOS!$A:$M,13,FALSE)),"")</f>
        <v>45769</v>
      </c>
      <c r="N665" s="139">
        <f>IFERROR(IF(VLOOKUP(A665,[6]PRIORIZADOS!$A:$N,14,FALSE)="","",VLOOKUP(A665,[6]PRIORIZADOS!$A:$N,14,FALSE)),"")</f>
        <v>45771</v>
      </c>
      <c r="O665" s="139">
        <f>IFERROR(IF(VLOOKUP(A665,[6]PRIORIZADOS!$A:$O,15,FALSE)="","",VLOOKUP(A665,[6]PRIORIZADOS!$A:$O,15,FALSE)),"")</f>
        <v>45771</v>
      </c>
      <c r="P665" s="11" t="str">
        <f>IFERROR(IF(VLOOKUP(A665,[6]PRIORIZADOS!$A:$P,16,FALSE)="","",VLOOKUP(A665,[6]PRIORIZADOS!$A:$P,16,FALSE)),"")</f>
        <v>Visitas de evaluación con fines de mejoramiento</v>
      </c>
      <c r="Q665" s="107" t="s">
        <v>132</v>
      </c>
      <c r="R665" s="11" t="str">
        <f>IFERROR(IF(VLOOKUP(A665,[6]PRIORIZADOS!$A:$R,18,FALSE)="","",VLOOKUP(A665,[6]PRIORIZADOS!$A:$R,18,FALSE)),"")</f>
        <v>No se encontraron evidencias de la participacion de la comunidad educativa en actualización del manual de convivencia
Se socializó mediante circular y en asamblea de padres al inicio del año escolar 2025</v>
      </c>
      <c r="S665" s="11" t="str">
        <f>IFERROR(IF(VLOOKUP(A665,[6]PRIORIZADOS!$A:$S,19,FALSE)="","",VLOOKUP(A665,[6]PRIORIZADOS!$A:$S,19,FALSE)),"")</f>
        <v xml:space="preserve">Se indica que debe quedar soporte de los procesos que se llevan a cabo frente a la construcción participativa del Manual de convivencia </v>
      </c>
      <c r="T665" s="70" t="str">
        <f>IFERROR(IF(VLOOKUP(A665,[6]PRIORIZADOS!$A:$T,20,FALSE)="","",VLOOKUP(A665,[6]PRIORIZADOS!$A:$T,20,FALSE)),"")</f>
        <v>Si</v>
      </c>
      <c r="U665" s="11" t="str">
        <f>IFERROR(IF(VLOOKUP(A665,[6]PRIORIZADOS!$A:$U,21,FALSE)="","",VLOOKUP(A665,[6]PRIORIZADOS!$A:$U,21,FALSE)),"")</f>
        <v>Se requirió presentar Plan de Majoramiento con el fin de subsanar la situación actual. El PMI debe ser entregado el 9 de mayo de 2025</v>
      </c>
    </row>
    <row r="666" spans="1:21" s="1" customFormat="1" ht="60">
      <c r="A666" s="69">
        <f>IF([6]PRIORIZADOS!A32="","",[6]PRIORIZADOS!A32)</f>
        <v>604</v>
      </c>
      <c r="B666" s="70">
        <f>IFERROR(IF(VLOOKUP(A666,[6]PRIORIZADOS!$A:$B,2,FALSE)="","",VLOOKUP(A666,[6]PRIORIZADOS!$A:$B,2,FALSE)),"")</f>
        <v>3</v>
      </c>
      <c r="C666" s="11" t="str">
        <f>IFERROR(IF(VLOOKUP(A666,[6]PRIORIZADOS!$A:$C,3,FALSE)="","",VLOOKUP(A666,[6]PRIORIZADOS!$A:$C,3,FALSE)),"")</f>
        <v>ENGATIVÁ</v>
      </c>
      <c r="D666" s="11" t="str">
        <f>IFERROR(IF(VLOOKUP(A666,[6]PRIORIZADOS!$A:$D,4,FALSE)="","",VLOOKUP(A666,[6]PRIORIZADOS!$A:$D,4,FALSE)),"")</f>
        <v>PRIVADO</v>
      </c>
      <c r="E666" s="11" t="str">
        <f>IFERROR(IF(VLOOKUP(A666,[6]PRIORIZADOS!$A:$E,5,FALSE)="","",VLOOKUP(A666,[6]PRIORIZADOS!$A:$E,5,FALSE)),"")</f>
        <v>EPBM</v>
      </c>
      <c r="F666" s="11" t="str">
        <f>IFERROR(IF(VLOOKUP(A666,[6]PRIORIZADOS!$A:$F,6,FALSE)="","",VLOOKUP(A666,[6]PRIORIZADOS!$A:$F,6,FALSE)),"")</f>
        <v>GIMNASIO_MADRE_TRINIDAD_DE_CALCUTA</v>
      </c>
      <c r="G666" s="11" t="str">
        <f>IFERROR(IF(VLOOKUP(A666,[6]PRIORIZADOS!$A:$G,7,FALSE)="","",VLOOKUP(A666,[6]PRIORIZADOS!$A:$G,7,FALSE)),"")</f>
        <v>GIMNASIO_MADRE_TRINIDAD_DE_CALCUTA</v>
      </c>
      <c r="H666" s="11" t="str">
        <f>IFERROR(IF(VLOOKUP(A666,[6]PRIORIZADOS!$A:$H,8,FALSE)="","",VLOOKUP(A666,[6]PRIORIZADOS!$A:$H,8,FALSE)),"")</f>
        <v>Autoevaluación Institucional y Pruebas SABER 11</v>
      </c>
      <c r="I666" s="11" t="str">
        <f>IFERROR(IF(VLOOKUP(A666,[6]PRIORIZADOS!$A:$I,9,FALSE)="","",VLOOKUP(A666,[6]PRIORIZADOS!$A:$I,9,FALSE)),"")</f>
        <v>EVALUACIÓN_CON_FINES_DE_MEJORAMIENTO.</v>
      </c>
      <c r="J666" s="11" t="str">
        <f>IFERROR(IF(VLOOKUP(A666,[6]PRIORIZADOS!$A:$J,10,FALSE)="","",VLOOKUP(A666,[6]PRIORIZADOS!$A:$J,10,FALSE)),"")</f>
        <v>Revisar la actualización, socialización e implementación del Sistema Institucional de Evaluación de Estudiantes - SIEE, en articulación con la actualización del PEI y la normatividad vigente.</v>
      </c>
      <c r="K666" s="11" t="str">
        <f>IFERROR(IF(VLOOKUP(A666,[6]PRIORIZADOS!$A:$K,11,FALSE)="","",VLOOKUP(A666,[6]PRIORIZADOS!$A:$K,11,FALSE)),"")</f>
        <v>FREDDY CLAROS PEÑA</v>
      </c>
      <c r="L666" s="11" t="str">
        <f>IFERROR(IF(VLOOKUP(A666,[6]PRIORIZADOS!$A:$L,12,FALSE)="","",VLOOKUP(A666,[6]PRIORIZADOS!$A:$L,12,FALSE)),"")</f>
        <v>JAIME HUMBERTO RAMÍREZ LLANOS</v>
      </c>
      <c r="M666" s="71">
        <f>IFERROR(IF(VLOOKUP(A666,[6]PRIORIZADOS!$A:$M,13,FALSE)="","",VLOOKUP(A666,[6]PRIORIZADOS!$A:$M,13,FALSE)),"")</f>
        <v>45769</v>
      </c>
      <c r="N666" s="139">
        <f>IFERROR(IF(VLOOKUP(A666,[6]PRIORIZADOS!$A:$N,14,FALSE)="","",VLOOKUP(A666,[6]PRIORIZADOS!$A:$N,14,FALSE)),"")</f>
        <v>45771</v>
      </c>
      <c r="O666" s="139">
        <f>IFERROR(IF(VLOOKUP(A666,[6]PRIORIZADOS!$A:$O,15,FALSE)="","",VLOOKUP(A666,[6]PRIORIZADOS!$A:$O,15,FALSE)),"")</f>
        <v>45771</v>
      </c>
      <c r="P666" s="11" t="str">
        <f>IFERROR(IF(VLOOKUP(A666,[6]PRIORIZADOS!$A:$P,16,FALSE)="","",VLOOKUP(A666,[6]PRIORIZADOS!$A:$P,16,FALSE)),"")</f>
        <v>Visitas de evaluación con fines de mejoramiento</v>
      </c>
      <c r="Q666" s="107" t="s">
        <v>132</v>
      </c>
      <c r="R666" s="11" t="str">
        <f>IFERROR(IF(VLOOKUP(A666,[6]PRIORIZADOS!$A:$R,18,FALSE)="","",VLOOKUP(A666,[6]PRIORIZADOS!$A:$R,18,FALSE)),"")</f>
        <v>No se encontraron evidencias de la participacion de la comunidad educativa en actualización del SIEE.
Se socializó mediante circular y en asamblea de padres</v>
      </c>
      <c r="S666" s="11" t="str">
        <f>IFERROR(IF(VLOOKUP(A666,[6]PRIORIZADOS!$A:$S,19,FALSE)="","",VLOOKUP(A666,[6]PRIORIZADOS!$A:$S,19,FALSE)),"")</f>
        <v xml:space="preserve">Se indica que debe quedar soporte de los procesos que se llevan a cabo frente a la construcción participativa del SIEE </v>
      </c>
      <c r="T666" s="70" t="str">
        <f>IFERROR(IF(VLOOKUP(A666,[6]PRIORIZADOS!$A:$T,20,FALSE)="","",VLOOKUP(A666,[6]PRIORIZADOS!$A:$T,20,FALSE)),"")</f>
        <v>Si</v>
      </c>
      <c r="U666" s="11" t="str">
        <f>IFERROR(IF(VLOOKUP(A666,[6]PRIORIZADOS!$A:$U,21,FALSE)="","",VLOOKUP(A666,[6]PRIORIZADOS!$A:$U,21,FALSE)),"")</f>
        <v>Se requirió presentar Plan de Majoramiento con el fin de subsanar la situación actual. El PMI debe ser entregado el 9 de mayo de 2025</v>
      </c>
    </row>
    <row r="667" spans="1:21" s="1" customFormat="1" ht="48">
      <c r="A667" s="69">
        <f>IF([6]PRIORIZADOS!A33="","",[6]PRIORIZADOS!A33)</f>
        <v>605</v>
      </c>
      <c r="B667" s="70">
        <f>IFERROR(IF(VLOOKUP(A667,[6]PRIORIZADOS!$A:$B,2,FALSE)="","",VLOOKUP(A667,[6]PRIORIZADOS!$A:$B,2,FALSE)),"")</f>
        <v>3</v>
      </c>
      <c r="C667" s="11" t="str">
        <f>IFERROR(IF(VLOOKUP(A667,[6]PRIORIZADOS!$A:$C,3,FALSE)="","",VLOOKUP(A667,[6]PRIORIZADOS!$A:$C,3,FALSE)),"")</f>
        <v>ENGATIVÁ</v>
      </c>
      <c r="D667" s="11" t="str">
        <f>IFERROR(IF(VLOOKUP(A667,[6]PRIORIZADOS!$A:$D,4,FALSE)="","",VLOOKUP(A667,[6]PRIORIZADOS!$A:$D,4,FALSE)),"")</f>
        <v>PRIVADO</v>
      </c>
      <c r="E667" s="11" t="str">
        <f>IFERROR(IF(VLOOKUP(A667,[6]PRIORIZADOS!$A:$E,5,FALSE)="","",VLOOKUP(A667,[6]PRIORIZADOS!$A:$E,5,FALSE)),"")</f>
        <v>EPBM</v>
      </c>
      <c r="F667" s="11" t="str">
        <f>IFERROR(IF(VLOOKUP(A667,[6]PRIORIZADOS!$A:$F,6,FALSE)="","",VLOOKUP(A667,[6]PRIORIZADOS!$A:$F,6,FALSE)),"")</f>
        <v>GIMNASIO_MADRE_TRINIDAD_DE_CALCUTA</v>
      </c>
      <c r="G667" s="11" t="str">
        <f>IFERROR(IF(VLOOKUP(A667,[6]PRIORIZADOS!$A:$G,7,FALSE)="","",VLOOKUP(A667,[6]PRIORIZADOS!$A:$G,7,FALSE)),"")</f>
        <v>GIMNASIO_MADRE_TRINIDAD_DE_CALCUTA</v>
      </c>
      <c r="H667" s="11" t="str">
        <f>IFERROR(IF(VLOOKUP(A667,[6]PRIORIZADOS!$A:$H,8,FALSE)="","",VLOOKUP(A667,[6]PRIORIZADOS!$A:$H,8,FALSE)),"")</f>
        <v>Autoevaluación Institucional y Pruebas SABER 11</v>
      </c>
      <c r="I667" s="11" t="str">
        <f>IFERROR(IF(VLOOKUP(A667,[6]PRIORIZADOS!$A:$I,9,FALSE)="","",VLOOKUP(A667,[6]PRIORIZADOS!$A:$I,9,FALSE)),"")</f>
        <v>EVALUACIÓN_CON_FINES_DE_MEJORAMIENTO.</v>
      </c>
      <c r="J667" s="11" t="str">
        <f>IFERROR(IF(VLOOKUP(A667,[6]PRIORIZADOS!$A:$J,10,FALSE)="","",VLOOKUP(A667,[6]PRIORIZADOS!$A:$J,10,FALSE)),"")</f>
        <v>Revisar el calendario escolar, jornada escolar, la intensidad horaria mínima anual en cada nivel y las modificaciones que se realicen al mismo, de acuerdo con lo previsto en la normatividad vigente.</v>
      </c>
      <c r="K667" s="11" t="str">
        <f>IFERROR(IF(VLOOKUP(A667,[6]PRIORIZADOS!$A:$K,11,FALSE)="","",VLOOKUP(A667,[6]PRIORIZADOS!$A:$K,11,FALSE)),"")</f>
        <v>FREDDY CLAROS PEÑA</v>
      </c>
      <c r="L667" s="11" t="str">
        <f>IFERROR(IF(VLOOKUP(A667,[6]PRIORIZADOS!$A:$L,12,FALSE)="","",VLOOKUP(A667,[6]PRIORIZADOS!$A:$L,12,FALSE)),"")</f>
        <v>JAIME HUMBERTO RAMÍREZ LLANOS</v>
      </c>
      <c r="M667" s="71">
        <f>IFERROR(IF(VLOOKUP(A667,[6]PRIORIZADOS!$A:$M,13,FALSE)="","",VLOOKUP(A667,[6]PRIORIZADOS!$A:$M,13,FALSE)),"")</f>
        <v>45769</v>
      </c>
      <c r="N667" s="139">
        <f>IFERROR(IF(VLOOKUP(A667,[6]PRIORIZADOS!$A:$N,14,FALSE)="","",VLOOKUP(A667,[6]PRIORIZADOS!$A:$N,14,FALSE)),"")</f>
        <v>45771</v>
      </c>
      <c r="O667" s="139">
        <f>IFERROR(IF(VLOOKUP(A667,[6]PRIORIZADOS!$A:$O,15,FALSE)="","",VLOOKUP(A667,[6]PRIORIZADOS!$A:$O,15,FALSE)),"")</f>
        <v>45771</v>
      </c>
      <c r="P667" s="11" t="str">
        <f>IFERROR(IF(VLOOKUP(A667,[6]PRIORIZADOS!$A:$P,16,FALSE)="","",VLOOKUP(A667,[6]PRIORIZADOS!$A:$P,16,FALSE)),"")</f>
        <v>Visitas de evaluación con fines de mejoramiento</v>
      </c>
      <c r="Q667" s="107" t="s">
        <v>132</v>
      </c>
      <c r="R667" s="11" t="str">
        <f>IFERROR(IF(VLOOKUP(A667,[6]PRIORIZADOS!$A:$R,18,FALSE)="","",VLOOKUP(A667,[6]PRIORIZADOS!$A:$R,18,FALSE)),"")</f>
        <v xml:space="preserve">Se revisa en el formato establecido el cumplimiento de la intensidad horaria </v>
      </c>
      <c r="S667" s="11" t="str">
        <f>IFERROR(IF(VLOOKUP(A667,[6]PRIORIZADOS!$A:$S,19,FALSE)="","",VLOOKUP(A667,[6]PRIORIZADOS!$A:$S,19,FALSE)),"")</f>
        <v>El colegio cumple la intensidad horaria establecida por nivel según normativa vigente</v>
      </c>
      <c r="T667" s="70" t="str">
        <f>IFERROR(IF(VLOOKUP(A667,[6]PRIORIZADOS!$A:$T,20,FALSE)="","",VLOOKUP(A667,[6]PRIORIZADOS!$A:$T,20,FALSE)),"")</f>
        <v>No</v>
      </c>
      <c r="U667" s="11" t="str">
        <f>IFERROR(IF(VLOOKUP(A667,[6]PRIORIZADOS!$A:$U,21,FALSE)="","",VLOOKUP(A667,[6]PRIORIZADOS!$A:$U,21,FALSE)),"")</f>
        <v>Se realizará verifricación dado el caso que se requiera por alguna petición o en la próxima vigencia académica</v>
      </c>
    </row>
    <row r="668" spans="1:21" s="1" customFormat="1" ht="107.25">
      <c r="A668" s="69">
        <f>IF([6]PRIORIZADOS!A34="","",[6]PRIORIZADOS!A34)</f>
        <v>606</v>
      </c>
      <c r="B668" s="70">
        <f>IFERROR(IF(VLOOKUP(A668,[6]PRIORIZADOS!$A:$B,2,FALSE)="","",VLOOKUP(A668,[6]PRIORIZADOS!$A:$B,2,FALSE)),"")</f>
        <v>3</v>
      </c>
      <c r="C668" s="11" t="str">
        <f>IFERROR(IF(VLOOKUP(A668,[6]PRIORIZADOS!$A:$C,3,FALSE)="","",VLOOKUP(A668,[6]PRIORIZADOS!$A:$C,3,FALSE)),"")</f>
        <v>ENGATIVÁ</v>
      </c>
      <c r="D668" s="11" t="str">
        <f>IFERROR(IF(VLOOKUP(A668,[6]PRIORIZADOS!$A:$D,4,FALSE)="","",VLOOKUP(A668,[6]PRIORIZADOS!$A:$D,4,FALSE)),"")</f>
        <v>PRIVADO</v>
      </c>
      <c r="E668" s="11" t="str">
        <f>IFERROR(IF(VLOOKUP(A668,[6]PRIORIZADOS!$A:$E,5,FALSE)="","",VLOOKUP(A668,[6]PRIORIZADOS!$A:$E,5,FALSE)),"")</f>
        <v>EPBM</v>
      </c>
      <c r="F668" s="11" t="str">
        <f>IFERROR(IF(VLOOKUP(A668,[6]PRIORIZADOS!$A:$F,6,FALSE)="","",VLOOKUP(A668,[6]PRIORIZADOS!$A:$F,6,FALSE)),"")</f>
        <v>GIMNASIO_MADRE_TRINIDAD_DE_CALCUTA</v>
      </c>
      <c r="G668" s="11" t="str">
        <f>IFERROR(IF(VLOOKUP(A668,[6]PRIORIZADOS!$A:$G,7,FALSE)="","",VLOOKUP(A668,[6]PRIORIZADOS!$A:$G,7,FALSE)),"")</f>
        <v>GIMNASIO_MADRE_TRINIDAD_DE_CALCUTA</v>
      </c>
      <c r="H668" s="11" t="str">
        <f>IFERROR(IF(VLOOKUP(A668,[6]PRIORIZADOS!$A:$H,8,FALSE)="","",VLOOKUP(A668,[6]PRIORIZADOS!$A:$H,8,FALSE)),"")</f>
        <v>Autoevaluación Institucional y Pruebas SABER 11</v>
      </c>
      <c r="I668" s="11" t="str">
        <f>IFERROR(IF(VLOOKUP(A668,[6]PRIORIZADOS!$A:$I,9,FALSE)="","",VLOOKUP(A668,[6]PRIORIZADOS!$A:$I,9,FALSE)),"")</f>
        <v>EVALUACIÓN_CON_FINES_DE_MEJORAMIENTO.</v>
      </c>
      <c r="J668" s="11" t="str">
        <f>IFERROR(IF(VLOOKUP(A668,[6]PRIORIZADOS!$A:$J,10,FALSE)="","",VLOOKUP(A668,[6]PRIORIZADOS!$A:$J,10,FALSE)),"")</f>
        <v>Verificar el funcionamiento del Gobierno Escolar e instancias de participación con base en la información sobre conformación reportada por la institución educativa.</v>
      </c>
      <c r="K668" s="11" t="str">
        <f>IFERROR(IF(VLOOKUP(A668,[6]PRIORIZADOS!$A:$K,11,FALSE)="","",VLOOKUP(A668,[6]PRIORIZADOS!$A:$K,11,FALSE)),"")</f>
        <v>FREDDY CLAROS PEÑA</v>
      </c>
      <c r="L668" s="11" t="str">
        <f>IFERROR(IF(VLOOKUP(A668,[6]PRIORIZADOS!$A:$L,12,FALSE)="","",VLOOKUP(A668,[6]PRIORIZADOS!$A:$L,12,FALSE)),"")</f>
        <v>JAIME HUMBERTO RAMÍREZ LLANOS</v>
      </c>
      <c r="M668" s="71">
        <f>IFERROR(IF(VLOOKUP(A668,[6]PRIORIZADOS!$A:$M,13,FALSE)="","",VLOOKUP(A668,[6]PRIORIZADOS!$A:$M,13,FALSE)),"")</f>
        <v>45769</v>
      </c>
      <c r="N668" s="139">
        <f>IFERROR(IF(VLOOKUP(A668,[6]PRIORIZADOS!$A:$N,14,FALSE)="","",VLOOKUP(A668,[6]PRIORIZADOS!$A:$N,14,FALSE)),"")</f>
        <v>45771</v>
      </c>
      <c r="O668" s="139">
        <f>IFERROR(IF(VLOOKUP(A668,[6]PRIORIZADOS!$A:$O,15,FALSE)="","",VLOOKUP(A668,[6]PRIORIZADOS!$A:$O,15,FALSE)),"")</f>
        <v>45771</v>
      </c>
      <c r="P668" s="11" t="str">
        <f>IFERROR(IF(VLOOKUP(A668,[6]PRIORIZADOS!$A:$P,16,FALSE)="","",VLOOKUP(A668,[6]PRIORIZADOS!$A:$P,16,FALSE)),"")</f>
        <v>Visitas de evaluación con fines de mejoramiento</v>
      </c>
      <c r="Q668" s="126" t="s">
        <v>132</v>
      </c>
      <c r="R668" s="11" t="str">
        <f>IFERROR(IF(VLOOKUP(A668,[6]PRIORIZADOS!$A:$R,18,FALSE)="","",VLOOKUP(A668,[6]PRIORIZADOS!$A:$R,18,FALSE)),"")</f>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
      <c r="S668" s="11" t="str">
        <f>IFERROR(IF(VLOOKUP(A668,[6]PRIORIZADOS!$A:$S,19,FALSE)="","",VLOOKUP(A668,[6]PRIORIZADOS!$A:$S,19,FALSE)),"")</f>
        <v>Se solicita que las actan tenga una descripción más amplia de los temas tratados, que se especifiquen y relaciones las funciones propias de cada comité, así como el cronograma de sesiones  y se encuentren firmadas las actas de reunión</v>
      </c>
      <c r="T668" s="70" t="str">
        <f>IFERROR(IF(VLOOKUP(A668,[6]PRIORIZADOS!$A:$T,20,FALSE)="","",VLOOKUP(A668,[6]PRIORIZADOS!$A:$T,20,FALSE)),"")</f>
        <v>Si</v>
      </c>
      <c r="U668" s="11" t="str">
        <f>IFERROR(IF(VLOOKUP(A668,[6]PRIORIZADOS!$A:$U,21,FALSE)="","",VLOOKUP(A668,[6]PRIORIZADOS!$A:$U,21,FALSE)),"")</f>
        <v>Se requirió presentar Plan de Majoramiento con el fin de subsanar la situación actual. El PMI debe ser entregado el 9 de mayo de 2025</v>
      </c>
    </row>
    <row r="669" spans="1:21" s="1" customFormat="1" ht="72">
      <c r="A669" s="69">
        <f>IF([6]PRIORIZADOS!A35="","",[6]PRIORIZADOS!A35)</f>
        <v>607</v>
      </c>
      <c r="B669" s="70">
        <f>IFERROR(IF(VLOOKUP(A669,[6]PRIORIZADOS!$A:$B,2,FALSE)="","",VLOOKUP(A669,[6]PRIORIZADOS!$A:$B,2,FALSE)),"")</f>
        <v>3</v>
      </c>
      <c r="C669" s="11" t="str">
        <f>IFERROR(IF(VLOOKUP(A669,[6]PRIORIZADOS!$A:$C,3,FALSE)="","",VLOOKUP(A669,[6]PRIORIZADOS!$A:$C,3,FALSE)),"")</f>
        <v>ENGATIVÁ</v>
      </c>
      <c r="D669" s="11" t="str">
        <f>IFERROR(IF(VLOOKUP(A669,[6]PRIORIZADOS!$A:$D,4,FALSE)="","",VLOOKUP(A669,[6]PRIORIZADOS!$A:$D,4,FALSE)),"")</f>
        <v>PRIVADO</v>
      </c>
      <c r="E669" s="11" t="str">
        <f>IFERROR(IF(VLOOKUP(A669,[6]PRIORIZADOS!$A:$E,5,FALSE)="","",VLOOKUP(A669,[6]PRIORIZADOS!$A:$E,5,FALSE)),"")</f>
        <v>EPBM</v>
      </c>
      <c r="F669" s="11" t="str">
        <f>IFERROR(IF(VLOOKUP(A669,[6]PRIORIZADOS!$A:$F,6,FALSE)="","",VLOOKUP(A669,[6]PRIORIZADOS!$A:$F,6,FALSE)),"")</f>
        <v>GIMNASIO_MADRE_TRINIDAD_DE_CALCUTA</v>
      </c>
      <c r="G669" s="11" t="str">
        <f>IFERROR(IF(VLOOKUP(A669,[6]PRIORIZADOS!$A:$G,7,FALSE)="","",VLOOKUP(A669,[6]PRIORIZADOS!$A:$G,7,FALSE)),"")</f>
        <v>GIMNASIO_MADRE_TRINIDAD_DE_CALCUTA</v>
      </c>
      <c r="H669" s="11" t="str">
        <f>IFERROR(IF(VLOOKUP(A669,[6]PRIORIZADOS!$A:$H,8,FALSE)="","",VLOOKUP(A669,[6]PRIORIZADOS!$A:$H,8,FALSE)),"")</f>
        <v>Autoevaluación Institucional y Pruebas SABER 11</v>
      </c>
      <c r="I669" s="11" t="str">
        <f>IFERROR(IF(VLOOKUP(A669,[6]PRIORIZADOS!$A:$I,9,FALSE)="","",VLOOKUP(A669,[6]PRIORIZADOS!$A:$I,9,FALSE)),"")</f>
        <v>EVALUACIÓN_CON_FINES_DE_MEJORAMIENTO.</v>
      </c>
      <c r="J669" s="11" t="str">
        <f>IFERROR(IF(VLOOKUP(A669,[6]PRIORIZADOS!$A:$J,10,FALSE)="","",VLOOKUP(A669,[6]PRIORIZADOS!$A:$J,10,FALSE)),"")</f>
        <v>Verificar las condiciones en cuanto a: la estructura administrativa, condiciones de la planta física y medios educativos adecuados.</v>
      </c>
      <c r="K669" s="11" t="str">
        <f>IFERROR(IF(VLOOKUP(A669,[6]PRIORIZADOS!$A:$K,11,FALSE)="","",VLOOKUP(A669,[6]PRIORIZADOS!$A:$K,11,FALSE)),"")</f>
        <v>FREDDY CLAROS PEÑA</v>
      </c>
      <c r="L669" s="11" t="str">
        <f>IFERROR(IF(VLOOKUP(A669,[6]PRIORIZADOS!$A:$L,12,FALSE)="","",VLOOKUP(A669,[6]PRIORIZADOS!$A:$L,12,FALSE)),"")</f>
        <v>JAIME HUMBERTO RAMÍREZ LLANOS</v>
      </c>
      <c r="M669" s="71">
        <f>IFERROR(IF(VLOOKUP(A669,[6]PRIORIZADOS!$A:$M,13,FALSE)="","",VLOOKUP(A669,[6]PRIORIZADOS!$A:$M,13,FALSE)),"")</f>
        <v>45769</v>
      </c>
      <c r="N669" s="139">
        <f>IFERROR(IF(VLOOKUP(A669,[6]PRIORIZADOS!$A:$N,14,FALSE)="","",VLOOKUP(A669,[6]PRIORIZADOS!$A:$N,14,FALSE)),"")</f>
        <v>45771</v>
      </c>
      <c r="O669" s="139">
        <f>IFERROR(IF(VLOOKUP(A669,[6]PRIORIZADOS!$A:$O,15,FALSE)="","",VLOOKUP(A669,[6]PRIORIZADOS!$A:$O,15,FALSE)),"")</f>
        <v>45771</v>
      </c>
      <c r="P669" s="11" t="str">
        <f>IFERROR(IF(VLOOKUP(A669,[6]PRIORIZADOS!$A:$P,16,FALSE)="","",VLOOKUP(A669,[6]PRIORIZADOS!$A:$P,16,FALSE)),"")</f>
        <v>Visitas de evaluación con fines de mejoramiento</v>
      </c>
      <c r="Q669" s="126" t="s">
        <v>132</v>
      </c>
      <c r="R669" s="11" t="str">
        <f>IFERROR(IF(VLOOKUP(A669,[6]PRIORIZADOS!$A:$R,18,FALSE)="","",VLOOKUP(A669,[6]PRIORIZADOS!$A:$R,18,FALSE)),"")</f>
        <v>Se evidencia que los espacios adminsitrativos y académicos se encuentran a corde para la prestación del servicio educativo, sin emabrgo el E.E no ha logrado definir las nomenclaturas debido a la actalización catastral.</v>
      </c>
      <c r="S669" s="11" t="str">
        <f>IFERROR(IF(VLOOKUP(A669,[6]PRIORIZADOS!$A:$S,19,FALSE)="","",VLOOKUP(A669,[6]PRIORIZADOS!$A:$S,19,FALSE)),"")</f>
        <v xml:space="preserve">Se deberá cambiar de aula a los estudiantes de grado preescolar </v>
      </c>
      <c r="T669" s="70" t="str">
        <f>IFERROR(IF(VLOOKUP(A669,[6]PRIORIZADOS!$A:$T,20,FALSE)="","",VLOOKUP(A669,[6]PRIORIZADOS!$A:$T,20,FALSE)),"")</f>
        <v>Si</v>
      </c>
      <c r="U669" s="11" t="str">
        <f>IFERROR(IF(VLOOKUP(A669,[6]PRIORIZADOS!$A:$U,21,FALSE)="","",VLOOKUP(A669,[6]PRIORIZADOS!$A:$U,21,FALSE)),"")</f>
        <v>Se requirió presentar Plan de Majoramiento con el fin de subsanar la situación actual. El PMI debe ser entregado el 9 de mayo de 2025</v>
      </c>
    </row>
    <row r="670" spans="1:21" s="1" customFormat="1" ht="48">
      <c r="A670" s="69">
        <f>IF([6]PRIORIZADOS!A36="","",[6]PRIORIZADOS!A36)</f>
        <v>608</v>
      </c>
      <c r="B670" s="70">
        <f>IFERROR(IF(VLOOKUP(A670,[6]PRIORIZADOS!$A:$B,2,FALSE)="","",VLOOKUP(A670,[6]PRIORIZADOS!$A:$B,2,FALSE)),"")</f>
        <v>4</v>
      </c>
      <c r="C670" s="11" t="str">
        <f>IFERROR(IF(VLOOKUP(A670,[6]PRIORIZADOS!$A:$C,3,FALSE)="","",VLOOKUP(A670,[6]PRIORIZADOS!$A:$C,3,FALSE)),"")</f>
        <v>ENGATIVÁ</v>
      </c>
      <c r="D670" s="11" t="str">
        <f>IFERROR(IF(VLOOKUP(A670,[6]PRIORIZADOS!$A:$D,4,FALSE)="","",VLOOKUP(A670,[6]PRIORIZADOS!$A:$D,4,FALSE)),"")</f>
        <v>PRIVADO</v>
      </c>
      <c r="E670" s="11" t="str">
        <f>IFERROR(IF(VLOOKUP(A670,[6]PRIORIZADOS!$A:$E,5,FALSE)="","",VLOOKUP(A670,[6]PRIORIZADOS!$A:$E,5,FALSE)),"")</f>
        <v>Educación de Jóvenes y Adultos</v>
      </c>
      <c r="F670" s="11" t="str">
        <f>IFERROR(IF(VLOOKUP(A670,[6]PRIORIZADOS!$A:$F,6,FALSE)="","",VLOOKUP(A670,[6]PRIORIZADOS!$A:$F,6,FALSE)),"")</f>
        <v>CENTRO_PANAMERICANO_DE_CAPACITACION</v>
      </c>
      <c r="G670" s="11" t="str">
        <f>IFERROR(IF(VLOOKUP(A670,[6]PRIORIZADOS!$A:$G,7,FALSE)="","",VLOOKUP(A670,[6]PRIORIZADOS!$A:$G,7,FALSE)),"")</f>
        <v>CENTRO_PANAMERICANO_DE_CAPACITACION</v>
      </c>
      <c r="H670" s="11" t="str">
        <f>IFERROR(IF(VLOOKUP(A670,[6]PRIORIZADOS!$A:$H,8,FALSE)="","",VLOOKUP(A670,[6]PRIORIZADOS!$A:$H,8,FALSE)),"")</f>
        <v>Autoevaluación Institucional y Pruebas SABER 11</v>
      </c>
      <c r="I670" s="11" t="str">
        <f>IFERROR(IF(VLOOKUP(A670,[6]PRIORIZADOS!$A:$I,9,FALSE)="","",VLOOKUP(A670,[6]PRIORIZADOS!$A:$I,9,FALSE)),"")</f>
        <v>SEGUIMIENTO_Y_SUPERVISIÓN.</v>
      </c>
      <c r="J670" s="11" t="str">
        <f>IFERROR(IF(VLOOKUP(A670,[6]PRIORIZADOS!$A:$J,10,FALSE)="","",VLOOKUP(A670,[6]PRIORIZADOS!$A:$J,10,FALSE)),"")</f>
        <v>Realizar visitas para verificar la información registrada sobre la autoevaluación institucional en el aplicativo EVI, a los establecimientos de educación formal no oficial.</v>
      </c>
      <c r="K670" s="11" t="str">
        <f>IFERROR(IF(VLOOKUP(A670,[6]PRIORIZADOS!$A:$K,11,FALSE)="","",VLOOKUP(A670,[6]PRIORIZADOS!$A:$K,11,FALSE)),"")</f>
        <v>JAIME HUMBERTO RAMÍREZ LLANOS</v>
      </c>
      <c r="L670" s="11" t="str">
        <f>IFERROR(IF(VLOOKUP(A670,[6]PRIORIZADOS!$A:$L,12,FALSE)="","",VLOOKUP(A670,[6]PRIORIZADOS!$A:$L,12,FALSE)),"")</f>
        <v>LUZ MERY PARRA NOPE</v>
      </c>
      <c r="M670" s="71">
        <f>IFERROR(IF(VLOOKUP(A670,[6]PRIORIZADOS!$A:$M,13,FALSE)="","",VLOOKUP(A670,[6]PRIORIZADOS!$A:$M,13,FALSE)),"")</f>
        <v>45721</v>
      </c>
      <c r="N670" s="139">
        <f>IFERROR(IF(VLOOKUP(A670,[6]PRIORIZADOS!$A:$N,14,FALSE)="","",VLOOKUP(A670,[6]PRIORIZADOS!$A:$N,14,FALSE)),"")</f>
        <v>45752</v>
      </c>
      <c r="O670" s="139">
        <f>IFERROR(IF(VLOOKUP(A670,[6]PRIORIZADOS!$A:$O,15,FALSE)="","",VLOOKUP(A670,[6]PRIORIZADOS!$A:$O,15,FALSE)),"")</f>
        <v>45752</v>
      </c>
      <c r="P670" s="11" t="str">
        <f>IFERROR(IF(VLOOKUP(A670,[6]PRIORIZADOS!$A:$P,16,FALSE)="","",VLOOKUP(A670,[6]PRIORIZADOS!$A:$P,16,FALSE)),"")</f>
        <v>Visitas de evaluación con fines de seguimiento</v>
      </c>
      <c r="Q670" s="107" t="s">
        <v>133</v>
      </c>
      <c r="R670" s="11" t="str">
        <f>IFERROR(IF(VLOOKUP(A670,[6]PRIORIZADOS!$A:$R,18,FALSE)="","",VLOOKUP(A670,[6]PRIORIZADOS!$A:$R,18,FALSE)),"")</f>
        <v>La institución educativa lleva siete año sin diligenciar adecuadamente el aplicativo EVI por este motivo el presente año se le expidieron costos en régimen controlado</v>
      </c>
      <c r="S670" s="11" t="str">
        <f>IFERROR(IF(VLOOKUP(A670,[6]PRIORIZADOS!$A:$S,19,FALSE)="","",VLOOKUP(A670,[6]PRIORIZADOS!$A:$S,19,FALSE)),"")</f>
        <v>Para la emisión de costos 2026 la institución se compromete a hacer el diligenciamiento en forma adecuada</v>
      </c>
      <c r="T670" s="70" t="str">
        <f>IFERROR(IF(VLOOKUP(A670,[6]PRIORIZADOS!$A:$T,20,FALSE)="","",VLOOKUP(A670,[6]PRIORIZADOS!$A:$T,20,FALSE)),"")</f>
        <v>Si</v>
      </c>
      <c r="U670" s="11" t="str">
        <f>IFERROR(IF(VLOOKUP(A670,[6]PRIORIZADOS!$A:$U,21,FALSE)="","",VLOOKUP(A670,[6]PRIORIZADOS!$A:$U,21,FALSE)),"")</f>
        <v>Se llevó a cabo visita de verificación el 08/11/2025 para garantizar cumplimiento Se hará seguimiento en el 2026</v>
      </c>
    </row>
    <row r="671" spans="1:21" s="1" customFormat="1" ht="84">
      <c r="A671" s="69">
        <f>IF([6]PRIORIZADOS!A37="","",[6]PRIORIZADOS!A37)</f>
        <v>609</v>
      </c>
      <c r="B671" s="70">
        <f>IFERROR(IF(VLOOKUP(A671,[6]PRIORIZADOS!$A:$B,2,FALSE)="","",VLOOKUP(A671,[6]PRIORIZADOS!$A:$B,2,FALSE)),"")</f>
        <v>4</v>
      </c>
      <c r="C671" s="11" t="str">
        <f>IFERROR(IF(VLOOKUP(A671,[6]PRIORIZADOS!$A:$C,3,FALSE)="","",VLOOKUP(A671,[6]PRIORIZADOS!$A:$C,3,FALSE)),"")</f>
        <v>ENGATIVÁ</v>
      </c>
      <c r="D671" s="11" t="str">
        <f>IFERROR(IF(VLOOKUP(A671,[6]PRIORIZADOS!$A:$D,4,FALSE)="","",VLOOKUP(A671,[6]PRIORIZADOS!$A:$D,4,FALSE)),"")</f>
        <v>PRIVADO</v>
      </c>
      <c r="E671" s="11" t="str">
        <f>IFERROR(IF(VLOOKUP(A671,[6]PRIORIZADOS!$A:$E,5,FALSE)="","",VLOOKUP(A671,[6]PRIORIZADOS!$A:$E,5,FALSE)),"")</f>
        <v>Educación de Jóvenes y Adultos</v>
      </c>
      <c r="F671" s="11" t="str">
        <f>IFERROR(IF(VLOOKUP(A671,[6]PRIORIZADOS!$A:$F,6,FALSE)="","",VLOOKUP(A671,[6]PRIORIZADOS!$A:$F,6,FALSE)),"")</f>
        <v>CENTRO_PANAMERICANO_DE_CAPACITACION</v>
      </c>
      <c r="G671" s="11" t="str">
        <f>IFERROR(IF(VLOOKUP(A671,[6]PRIORIZADOS!$A:$G,7,FALSE)="","",VLOOKUP(A671,[6]PRIORIZADOS!$A:$G,7,FALSE)),"")</f>
        <v>CENTRO_PANAMERICANO_DE_CAPACITACION</v>
      </c>
      <c r="H671" s="11" t="str">
        <f>IFERROR(IF(VLOOKUP(A671,[6]PRIORIZADOS!$A:$H,8,FALSE)="","",VLOOKUP(A671,[6]PRIORIZADOS!$A:$H,8,FALSE)),"")</f>
        <v>Autoevaluación Institucional y Pruebas SABER 11</v>
      </c>
      <c r="I671" s="11" t="str">
        <f>IFERROR(IF(VLOOKUP(A671,[6]PRIORIZADOS!$A:$I,9,FALSE)="","",VLOOKUP(A671,[6]PRIORIZADOS!$A:$I,9,FALSE)),"")</f>
        <v>SEGUIMIENTO_Y_SUPERVISIÓN.</v>
      </c>
      <c r="J671" s="11" t="str">
        <f>IFERROR(IF(VLOOKUP(A671,[6]PRIORIZADOS!$A:$J,10,FALSE)="","",VLOOKUP(A671,[6]PRIORIZADOS!$A:$J,10,FALSE)),"")</f>
        <v>Proponer estrategias en la formulación, verificar su elaboración y realizar seguimiento semestral al desarrollo de  las acciones establecidas en los planes de mejoramiento por pruebas SABER 11 de los establecimientos de educación formal.</v>
      </c>
      <c r="K671" s="11" t="str">
        <f>IFERROR(IF(VLOOKUP(A671,[6]PRIORIZADOS!$A:$K,11,FALSE)="","",VLOOKUP(A671,[6]PRIORIZADOS!$A:$K,11,FALSE)),"")</f>
        <v>JAIME HUMBERTO RAMÍREZ LLANOS</v>
      </c>
      <c r="L671" s="11" t="str">
        <f>IFERROR(IF(VLOOKUP(A671,[6]PRIORIZADOS!$A:$L,12,FALSE)="","",VLOOKUP(A671,[6]PRIORIZADOS!$A:$L,12,FALSE)),"")</f>
        <v>LUZ MERY PARRA NOPE</v>
      </c>
      <c r="M671" s="71">
        <f>IFERROR(IF(VLOOKUP(A671,[6]PRIORIZADOS!$A:$M,13,FALSE)="","",VLOOKUP(A671,[6]PRIORIZADOS!$A:$M,13,FALSE)),"")</f>
        <v>45752</v>
      </c>
      <c r="N671" s="139">
        <f>IFERROR(IF(VLOOKUP(A671,[6]PRIORIZADOS!$A:$N,14,FALSE)="","",VLOOKUP(A671,[6]PRIORIZADOS!$A:$N,14,FALSE)),"")</f>
        <v>45752</v>
      </c>
      <c r="O671" s="139">
        <f>IFERROR(IF(VLOOKUP(A671,[6]PRIORIZADOS!$A:$O,15,FALSE)="","",VLOOKUP(A671,[6]PRIORIZADOS!$A:$O,15,FALSE)),"")</f>
        <v>45752</v>
      </c>
      <c r="P671" s="11" t="str">
        <f>IFERROR(IF(VLOOKUP(A671,[6]PRIORIZADOS!$A:$P,16,FALSE)="","",VLOOKUP(A671,[6]PRIORIZADOS!$A:$P,16,FALSE)),"")</f>
        <v>Visitas de evaluación con fines de seguimiento</v>
      </c>
      <c r="Q671" s="107" t="s">
        <v>133</v>
      </c>
      <c r="R671" s="11" t="str">
        <f>IFERROR(IF(VLOOKUP(A671,[6]PRIORIZADOS!$A:$R,18,FALSE)="","",VLOOKUP(A671,[6]PRIORIZADOS!$A:$R,18,FALSE)),"")</f>
        <v>La IE en las pruebas saber año 2024 quedó clasificada en el nivel D</v>
      </c>
      <c r="S671" s="11" t="str">
        <f>IFERROR(IF(VLOOKUP(A671,[6]PRIORIZADOS!$A:$S,19,FALSE)="","",VLOOKUP(A671,[6]PRIORIZADOS!$A:$S,19,FALSE)),"")</f>
        <v>La institución sostiene que por la condición de sus estudiantes CLEI muchos de ellos solo asisten por obtener el título de bachiller, pese a esto se les hacen refuerzos y se continuará con su preparación para la presentación de las pruebas</v>
      </c>
      <c r="T671" s="70" t="str">
        <f>IFERROR(IF(VLOOKUP(A671,[6]PRIORIZADOS!$A:$T,20,FALSE)="","",VLOOKUP(A671,[6]PRIORIZADOS!$A:$T,20,FALSE)),"")</f>
        <v>Si</v>
      </c>
      <c r="U671" s="11" t="str">
        <f>IFERROR(IF(VLOOKUP(A671,[6]PRIORIZADOS!$A:$U,21,FALSE)="","",VLOOKUP(A671,[6]PRIORIZADOS!$A:$U,21,FALSE)),"")</f>
        <v>La institución tiene programados tres simulacros antes de la presentación de las pruebas, uno de los cuales se llevó a cabo el día 27 de marzo con el fin de hacer un diagnóstico inicial que permita verificar en qué áreas hacer énfasis. Se hace verificación de cumplimiento 08/11/2025</v>
      </c>
    </row>
    <row r="672" spans="1:21" s="1" customFormat="1" ht="48">
      <c r="A672" s="69">
        <f>IF([6]PRIORIZADOS!A38="","",[6]PRIORIZADOS!A38)</f>
        <v>610</v>
      </c>
      <c r="B672" s="70">
        <f>IFERROR(IF(VLOOKUP(A672,[6]PRIORIZADOS!$A:$B,2,FALSE)="","",VLOOKUP(A672,[6]PRIORIZADOS!$A:$B,2,FALSE)),"")</f>
        <v>4</v>
      </c>
      <c r="C672" s="11" t="str">
        <f>IFERROR(IF(VLOOKUP(A672,[6]PRIORIZADOS!$A:$C,3,FALSE)="","",VLOOKUP(A672,[6]PRIORIZADOS!$A:$C,3,FALSE)),"")</f>
        <v>ENGATIVÁ</v>
      </c>
      <c r="D672" s="11" t="str">
        <f>IFERROR(IF(VLOOKUP(A672,[6]PRIORIZADOS!$A:$D,4,FALSE)="","",VLOOKUP(A672,[6]PRIORIZADOS!$A:$D,4,FALSE)),"")</f>
        <v>PRIVADO</v>
      </c>
      <c r="E672" s="11" t="str">
        <f>IFERROR(IF(VLOOKUP(A672,[6]PRIORIZADOS!$A:$E,5,FALSE)="","",VLOOKUP(A672,[6]PRIORIZADOS!$A:$E,5,FALSE)),"")</f>
        <v>Educación de Jóvenes y Adultos</v>
      </c>
      <c r="F672" s="11" t="str">
        <f>IFERROR(IF(VLOOKUP(A672,[6]PRIORIZADOS!$A:$F,6,FALSE)="","",VLOOKUP(A672,[6]PRIORIZADOS!$A:$F,6,FALSE)),"")</f>
        <v>CENTRO_PANAMERICANO_DE_CAPACITACION</v>
      </c>
      <c r="G672" s="11" t="str">
        <f>IFERROR(IF(VLOOKUP(A672,[6]PRIORIZADOS!$A:$G,7,FALSE)="","",VLOOKUP(A672,[6]PRIORIZADOS!$A:$G,7,FALSE)),"")</f>
        <v>CENTRO_PANAMERICANO_DE_CAPACITACION</v>
      </c>
      <c r="H672" s="11" t="str">
        <f>IFERROR(IF(VLOOKUP(A672,[6]PRIORIZADOS!$A:$H,8,FALSE)="","",VLOOKUP(A672,[6]PRIORIZADOS!$A:$H,8,FALSE)),"")</f>
        <v>Autoevaluación Institucional y Pruebas SABER 11</v>
      </c>
      <c r="I672" s="11" t="str">
        <f>IFERROR(IF(VLOOKUP(A672,[6]PRIORIZADOS!$A:$I,9,FALSE)="","",VLOOKUP(A672,[6]PRIORIZADOS!$A:$I,9,FALSE)),"")</f>
        <v>SEGUIMIENTO_Y_SUPERVISIÓN.</v>
      </c>
      <c r="J672" s="11" t="str">
        <f>IFERROR(IF(VLOOKUP(A672,[6]PRIORIZADOS!$A:$J,10,FALSE)="","",VLOOKUP(A672,[6]PRIORIZADOS!$A:$J,10,FALSE)),"")</f>
        <v xml:space="preserve">Verificar la implementación por parte de los colegios, de acciones realizadas para la prevención y atención de las situaciones de convivencia en el entorno escolar, según lo establecido en la Directiva 01 de 2022 del MEN. </v>
      </c>
      <c r="K672" s="11" t="str">
        <f>IFERROR(IF(VLOOKUP(A672,[6]PRIORIZADOS!$A:$K,11,FALSE)="","",VLOOKUP(A672,[6]PRIORIZADOS!$A:$K,11,FALSE)),"")</f>
        <v>JAIME HUMBERTO RAMÍREZ LLANOS</v>
      </c>
      <c r="L672" s="11" t="str">
        <f>IFERROR(IF(VLOOKUP(A672,[6]PRIORIZADOS!$A:$L,12,FALSE)="","",VLOOKUP(A672,[6]PRIORIZADOS!$A:$L,12,FALSE)),"")</f>
        <v>LUZ MERY PARRA NOPE</v>
      </c>
      <c r="M672" s="71">
        <f>IFERROR(IF(VLOOKUP(A672,[6]PRIORIZADOS!$A:$M,13,FALSE)="","",VLOOKUP(A672,[6]PRIORIZADOS!$A:$M,13,FALSE)),"")</f>
        <v>45752</v>
      </c>
      <c r="N672" s="139">
        <f>IFERROR(IF(VLOOKUP(A672,[6]PRIORIZADOS!$A:$N,14,FALSE)="","",VLOOKUP(A672,[6]PRIORIZADOS!$A:$N,14,FALSE)),"")</f>
        <v>45752</v>
      </c>
      <c r="O672" s="139">
        <f>IFERROR(IF(VLOOKUP(A672,[6]PRIORIZADOS!$A:$O,15,FALSE)="","",VLOOKUP(A672,[6]PRIORIZADOS!$A:$O,15,FALSE)),"")</f>
        <v>45752</v>
      </c>
      <c r="P672" s="11" t="str">
        <f>IFERROR(IF(VLOOKUP(A672,[6]PRIORIZADOS!$A:$P,16,FALSE)="","",VLOOKUP(A672,[6]PRIORIZADOS!$A:$P,16,FALSE)),"")</f>
        <v>Visitas de evaluación con fines de seguimiento</v>
      </c>
      <c r="Q672" s="107" t="s">
        <v>133</v>
      </c>
      <c r="R672" s="11" t="str">
        <f>IFERROR(IF(VLOOKUP(A672,[6]PRIORIZADOS!$A:$R,18,FALSE)="","",VLOOKUP(A672,[6]PRIORIZADOS!$A:$R,18,FALSE)),"")</f>
        <v>La institución educativa no hace la verificación que la directiva exige</v>
      </c>
      <c r="S672" s="11" t="str">
        <f>IFERROR(IF(VLOOKUP(A672,[6]PRIORIZADOS!$A:$S,19,FALSE)="","",VLOOKUP(A672,[6]PRIORIZADOS!$A:$S,19,FALSE)),"")</f>
        <v>La institución de compromete a hacer las verificaciones de acuerdo con la directiva Ministerial</v>
      </c>
      <c r="T672" s="70" t="str">
        <f>IFERROR(IF(VLOOKUP(A672,[6]PRIORIZADOS!$A:$T,20,FALSE)="","",VLOOKUP(A672,[6]PRIORIZADOS!$A:$T,20,FALSE)),"")</f>
        <v>Si</v>
      </c>
      <c r="U672" s="11" t="str">
        <f>IFERROR(IF(VLOOKUP(A672,[6]PRIORIZADOS!$A:$U,21,FALSE)="","",VLOOKUP(A672,[6]PRIORIZADOS!$A:$U,21,FALSE)),"")</f>
        <v>La institución con fecha máxima 25 de abril del 2025 presentará plan de mejora con el fin de ser revisado por el equipo de Inspección y Vigilancia para hacer los ajustes y la trazabilidad correspondiente. Se hace verificación de cumplimiento 08/11/2025</v>
      </c>
    </row>
    <row r="673" spans="1:21" s="1" customFormat="1" ht="72">
      <c r="A673" s="69">
        <f>IF([6]PRIORIZADOS!A39="","",[6]PRIORIZADOS!A39)</f>
        <v>611</v>
      </c>
      <c r="B673" s="70">
        <f>IFERROR(IF(VLOOKUP(A673,[6]PRIORIZADOS!$A:$B,2,FALSE)="","",VLOOKUP(A673,[6]PRIORIZADOS!$A:$B,2,FALSE)),"")</f>
        <v>4</v>
      </c>
      <c r="C673" s="11" t="str">
        <f>IFERROR(IF(VLOOKUP(A673,[6]PRIORIZADOS!$A:$C,3,FALSE)="","",VLOOKUP(A673,[6]PRIORIZADOS!$A:$C,3,FALSE)),"")</f>
        <v>ENGATIVÁ</v>
      </c>
      <c r="D673" s="11" t="str">
        <f>IFERROR(IF(VLOOKUP(A673,[6]PRIORIZADOS!$A:$D,4,FALSE)="","",VLOOKUP(A673,[6]PRIORIZADOS!$A:$D,4,FALSE)),"")</f>
        <v>PRIVADO</v>
      </c>
      <c r="E673" s="11" t="str">
        <f>IFERROR(IF(VLOOKUP(A673,[6]PRIORIZADOS!$A:$E,5,FALSE)="","",VLOOKUP(A673,[6]PRIORIZADOS!$A:$E,5,FALSE)),"")</f>
        <v>Educación de Jóvenes y Adultos</v>
      </c>
      <c r="F673" s="11" t="str">
        <f>IFERROR(IF(VLOOKUP(A673,[6]PRIORIZADOS!$A:$F,6,FALSE)="","",VLOOKUP(A673,[6]PRIORIZADOS!$A:$F,6,FALSE)),"")</f>
        <v>CENTRO_PANAMERICANO_DE_CAPACITACION</v>
      </c>
      <c r="G673" s="11" t="str">
        <f>IFERROR(IF(VLOOKUP(A673,[6]PRIORIZADOS!$A:$G,7,FALSE)="","",VLOOKUP(A673,[6]PRIORIZADOS!$A:$G,7,FALSE)),"")</f>
        <v>CENTRO_PANAMERICANO_DE_CAPACITACION</v>
      </c>
      <c r="H673" s="11" t="str">
        <f>IFERROR(IF(VLOOKUP(A673,[6]PRIORIZADOS!$A:$H,8,FALSE)="","",VLOOKUP(A673,[6]PRIORIZADOS!$A:$H,8,FALSE)),"")</f>
        <v>Autoevaluación Institucional y Pruebas SABER 11</v>
      </c>
      <c r="I673" s="11" t="str">
        <f>IFERROR(IF(VLOOKUP(A673,[6]PRIORIZADOS!$A:$I,9,FALSE)="","",VLOOKUP(A673,[6]PRIORIZADOS!$A:$I,9,FALSE)),"")</f>
        <v>SEGUIMIENTO_Y_SUPERVISIÓN.</v>
      </c>
      <c r="J673" s="11" t="str">
        <f>IFERROR(IF(VLOOKUP(A673,[6]PRIORIZADOS!$A:$J,10,FALSE)="","",VLOOKUP(A673,[6]PRIORIZADOS!$A:$J,10,FALSE)),"")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73" s="11" t="str">
        <f>IFERROR(IF(VLOOKUP(A673,[6]PRIORIZADOS!$A:$K,11,FALSE)="","",VLOOKUP(A673,[6]PRIORIZADOS!$A:$K,11,FALSE)),"")</f>
        <v>JAIME HUMBERTO RAMÍREZ LLANOS</v>
      </c>
      <c r="L673" s="11" t="str">
        <f>IFERROR(IF(VLOOKUP(A673,[6]PRIORIZADOS!$A:$L,12,FALSE)="","",VLOOKUP(A673,[6]PRIORIZADOS!$A:$L,12,FALSE)),"")</f>
        <v>LUZ MERY PARRA NOPE</v>
      </c>
      <c r="M673" s="71">
        <f>IFERROR(IF(VLOOKUP(A673,[6]PRIORIZADOS!$A:$M,13,FALSE)="","",VLOOKUP(A673,[6]PRIORIZADOS!$A:$M,13,FALSE)),"")</f>
        <v>45752</v>
      </c>
      <c r="N673" s="139">
        <f>IFERROR(IF(VLOOKUP(A673,[6]PRIORIZADOS!$A:$N,14,FALSE)="","",VLOOKUP(A673,[6]PRIORIZADOS!$A:$N,14,FALSE)),"")</f>
        <v>45752</v>
      </c>
      <c r="O673" s="139">
        <f>IFERROR(IF(VLOOKUP(A673,[6]PRIORIZADOS!$A:$O,15,FALSE)="","",VLOOKUP(A673,[6]PRIORIZADOS!$A:$O,15,FALSE)),"")</f>
        <v>45752</v>
      </c>
      <c r="P673" s="11" t="str">
        <f>IFERROR(IF(VLOOKUP(A673,[6]PRIORIZADOS!$A:$P,16,FALSE)="","",VLOOKUP(A673,[6]PRIORIZADOS!$A:$P,16,FALSE)),"")</f>
        <v>Visitas de evaluación con fines de seguimiento</v>
      </c>
      <c r="Q673" s="107" t="s">
        <v>133</v>
      </c>
      <c r="R673" s="11" t="str">
        <f>IFERROR(IF(VLOOKUP(A673,[6]PRIORIZADOS!$A:$R,18,FALSE)="","",VLOOKUP(A673,[6]PRIORIZADOS!$A:$R,18,FALSE)),"")</f>
        <v>La institución no tiene identificados estudiantes con discapacidad</v>
      </c>
      <c r="S673" s="11" t="str">
        <f>IFERROR(IF(VLOOKUP(A673,[6]PRIORIZADOS!$A:$S,19,FALSE)="","",VLOOKUP(A673,[6]PRIORIZADOS!$A:$S,19,FALSE)),"")</f>
        <v>La institución se compromete a hacer la verificación y elaborar si es neceario los PIAR</v>
      </c>
      <c r="T673" s="70" t="str">
        <f>IFERROR(IF(VLOOKUP(A673,[6]PRIORIZADOS!$A:$T,20,FALSE)="","",VLOOKUP(A673,[6]PRIORIZADOS!$A:$T,20,FALSE)),"")</f>
        <v>Si</v>
      </c>
      <c r="U673" s="11" t="str">
        <f>IFERROR(IF(VLOOKUP(A673,[6]PRIORIZADOS!$A:$U,21,FALSE)="","",VLOOKUP(A673,[6]PRIORIZADOS!$A:$U,21,FALSE)),"")</f>
        <v>La institución con fecha máxima 25 de abril del 2025 presentará plan de mejora con el fin de ser revisado por el equipo de Inspección y Vigilancia para hacer los ajustes y la trazabilidad correspondiente. Se hace verificación de cumplimiento 08/11/2025</v>
      </c>
    </row>
    <row r="674" spans="1:21" s="1" customFormat="1" ht="84">
      <c r="A674" s="69">
        <f>IF([6]PRIORIZADOS!A40="","",[6]PRIORIZADOS!A40)</f>
        <v>612</v>
      </c>
      <c r="B674" s="70">
        <f>IFERROR(IF(VLOOKUP(A674,[6]PRIORIZADOS!$A:$B,2,FALSE)="","",VLOOKUP(A674,[6]PRIORIZADOS!$A:$B,2,FALSE)),"")</f>
        <v>4</v>
      </c>
      <c r="C674" s="11" t="str">
        <f>IFERROR(IF(VLOOKUP(A674,[6]PRIORIZADOS!$A:$C,3,FALSE)="","",VLOOKUP(A674,[6]PRIORIZADOS!$A:$C,3,FALSE)),"")</f>
        <v>ENGATIVÁ</v>
      </c>
      <c r="D674" s="11" t="str">
        <f>IFERROR(IF(VLOOKUP(A674,[6]PRIORIZADOS!$A:$D,4,FALSE)="","",VLOOKUP(A674,[6]PRIORIZADOS!$A:$D,4,FALSE)),"")</f>
        <v>PRIVADO</v>
      </c>
      <c r="E674" s="11" t="str">
        <f>IFERROR(IF(VLOOKUP(A674,[6]PRIORIZADOS!$A:$E,5,FALSE)="","",VLOOKUP(A674,[6]PRIORIZADOS!$A:$E,5,FALSE)),"")</f>
        <v>Educación de Jóvenes y Adultos</v>
      </c>
      <c r="F674" s="11" t="str">
        <f>IFERROR(IF(VLOOKUP(A674,[6]PRIORIZADOS!$A:$F,6,FALSE)="","",VLOOKUP(A674,[6]PRIORIZADOS!$A:$F,6,FALSE)),"")</f>
        <v>CENTRO_PANAMERICANO_DE_CAPACITACION</v>
      </c>
      <c r="G674" s="11" t="str">
        <f>IFERROR(IF(VLOOKUP(A674,[6]PRIORIZADOS!$A:$G,7,FALSE)="","",VLOOKUP(A674,[6]PRIORIZADOS!$A:$G,7,FALSE)),"")</f>
        <v>CENTRO_PANAMERICANO_DE_CAPACITACION</v>
      </c>
      <c r="H674" s="11" t="str">
        <f>IFERROR(IF(VLOOKUP(A674,[6]PRIORIZADOS!$A:$H,8,FALSE)="","",VLOOKUP(A674,[6]PRIORIZADOS!$A:$H,8,FALSE)),"")</f>
        <v>Autoevaluación Institucional y Pruebas SABER 11</v>
      </c>
      <c r="I674" s="11" t="str">
        <f>IFERROR(IF(VLOOKUP(A674,[6]PRIORIZADOS!$A:$I,9,FALSE)="","",VLOOKUP(A674,[6]PRIORIZADOS!$A:$I,9,FALSE)),"")</f>
        <v>EVALUACIÓN_CON_FINES_DE_MEJORAMIENTO.</v>
      </c>
      <c r="J674" s="11" t="str">
        <f>IFERROR(IF(VLOOKUP(A674,[6]PRIORIZADOS!$A:$J,10,FALSE)="","",VLOOKUP(A674,[6]PRIORIZADOS!$A:$J,10,FALSE)),"")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74" s="11" t="str">
        <f>IFERROR(IF(VLOOKUP(A674,[6]PRIORIZADOS!$A:$K,11,FALSE)="","",VLOOKUP(A674,[6]PRIORIZADOS!$A:$K,11,FALSE)),"")</f>
        <v>JAIME HUMBERTO RAMÍREZ LLANOS</v>
      </c>
      <c r="L674" s="11" t="str">
        <f>IFERROR(IF(VLOOKUP(A674,[6]PRIORIZADOS!$A:$L,12,FALSE)="","",VLOOKUP(A674,[6]PRIORIZADOS!$A:$L,12,FALSE)),"")</f>
        <v>LUZ MERY PARRA NOPE</v>
      </c>
      <c r="M674" s="71">
        <f>IFERROR(IF(VLOOKUP(A674,[6]PRIORIZADOS!$A:$M,13,FALSE)="","",VLOOKUP(A674,[6]PRIORIZADOS!$A:$M,13,FALSE)),"")</f>
        <v>45752</v>
      </c>
      <c r="N674" s="139">
        <f>IFERROR(IF(VLOOKUP(A674,[6]PRIORIZADOS!$A:$N,14,FALSE)="","",VLOOKUP(A674,[6]PRIORIZADOS!$A:$N,14,FALSE)),"")</f>
        <v>45752</v>
      </c>
      <c r="O674" s="139">
        <f>IFERROR(IF(VLOOKUP(A674,[6]PRIORIZADOS!$A:$O,15,FALSE)="","",VLOOKUP(A674,[6]PRIORIZADOS!$A:$O,15,FALSE)),"")</f>
        <v>45752</v>
      </c>
      <c r="P674" s="11" t="str">
        <f>IFERROR(IF(VLOOKUP(A674,[6]PRIORIZADOS!$A:$P,16,FALSE)="","",VLOOKUP(A674,[6]PRIORIZADOS!$A:$P,16,FALSE)),"")</f>
        <v>Visitas de evaluación con fines de mejoramiento</v>
      </c>
      <c r="Q674" s="107" t="s">
        <v>133</v>
      </c>
      <c r="R674" s="11" t="str">
        <f>IFERROR(IF(VLOOKUP(A674,[6]PRIORIZADOS!$A:$R,18,FALSE)="","",VLOOKUP(A674,[6]PRIORIZADOS!$A:$R,18,FALSE)),"")</f>
        <v>El manual de convivencia está totalmente desactualizado</v>
      </c>
      <c r="S674" s="11" t="str">
        <f>IFERROR(IF(VLOOKUP(A674,[6]PRIORIZADOS!$A:$S,19,FALSE)="","",VLOOKUP(A674,[6]PRIORIZADOS!$A:$S,19,FALSE)),"")</f>
        <v>La institución se compromete a hacer la debida revisión y actualización</v>
      </c>
      <c r="T674" s="70" t="str">
        <f>IFERROR(IF(VLOOKUP(A674,[6]PRIORIZADOS!$A:$T,20,FALSE)="","",VLOOKUP(A674,[6]PRIORIZADOS!$A:$T,20,FALSE)),"")</f>
        <v>Si</v>
      </c>
      <c r="U674" s="11" t="str">
        <f>IFERROR(IF(VLOOKUP(A674,[6]PRIORIZADOS!$A:$U,21,FALSE)="","",VLOOKUP(A674,[6]PRIORIZADOS!$A:$U,21,FALSE)),"")</f>
        <v>La institución con fecha máxima 25 de abril del 2025 presentará plan de mejora con el fin de ser revisado por el equipo de Inspección y Vigilancia para hacer los ajustes y la trazabilidad correspondiente. Se hace verificación de cumplimiento 08/11/2025</v>
      </c>
    </row>
    <row r="675" spans="1:21" s="1" customFormat="1" ht="48">
      <c r="A675" s="69">
        <f>IF([6]PRIORIZADOS!A41="","",[6]PRIORIZADOS!A41)</f>
        <v>613</v>
      </c>
      <c r="B675" s="70">
        <f>IFERROR(IF(VLOOKUP(A675,[6]PRIORIZADOS!$A:$B,2,FALSE)="","",VLOOKUP(A675,[6]PRIORIZADOS!$A:$B,2,FALSE)),"")</f>
        <v>4</v>
      </c>
      <c r="C675" s="11" t="str">
        <f>IFERROR(IF(VLOOKUP(A675,[6]PRIORIZADOS!$A:$C,3,FALSE)="","",VLOOKUP(A675,[6]PRIORIZADOS!$A:$C,3,FALSE)),"")</f>
        <v>ENGATIVÁ</v>
      </c>
      <c r="D675" s="11" t="str">
        <f>IFERROR(IF(VLOOKUP(A675,[6]PRIORIZADOS!$A:$D,4,FALSE)="","",VLOOKUP(A675,[6]PRIORIZADOS!$A:$D,4,FALSE)),"")</f>
        <v>PRIVADO</v>
      </c>
      <c r="E675" s="11" t="str">
        <f>IFERROR(IF(VLOOKUP(A675,[6]PRIORIZADOS!$A:$E,5,FALSE)="","",VLOOKUP(A675,[6]PRIORIZADOS!$A:$E,5,FALSE)),"")</f>
        <v>Educación de Jóvenes y Adultos</v>
      </c>
      <c r="F675" s="11" t="str">
        <f>IFERROR(IF(VLOOKUP(A675,[6]PRIORIZADOS!$A:$F,6,FALSE)="","",VLOOKUP(A675,[6]PRIORIZADOS!$A:$F,6,FALSE)),"")</f>
        <v>CENTRO_PANAMERICANO_DE_CAPACITACION</v>
      </c>
      <c r="G675" s="11" t="str">
        <f>IFERROR(IF(VLOOKUP(A675,[6]PRIORIZADOS!$A:$G,7,FALSE)="","",VLOOKUP(A675,[6]PRIORIZADOS!$A:$G,7,FALSE)),"")</f>
        <v>CENTRO_PANAMERICANO_DE_CAPACITACION</v>
      </c>
      <c r="H675" s="11" t="str">
        <f>IFERROR(IF(VLOOKUP(A675,[6]PRIORIZADOS!$A:$H,8,FALSE)="","",VLOOKUP(A675,[6]PRIORIZADOS!$A:$H,8,FALSE)),"")</f>
        <v>Autoevaluación Institucional y Pruebas SABER 11</v>
      </c>
      <c r="I675" s="11" t="str">
        <f>IFERROR(IF(VLOOKUP(A675,[6]PRIORIZADOS!$A:$I,9,FALSE)="","",VLOOKUP(A675,[6]PRIORIZADOS!$A:$I,9,FALSE)),"")</f>
        <v>EVALUACIÓN_CON_FINES_DE_MEJORAMIENTO.</v>
      </c>
      <c r="J675" s="11" t="str">
        <f>IFERROR(IF(VLOOKUP(A675,[6]PRIORIZADOS!$A:$J,10,FALSE)="","",VLOOKUP(A675,[6]PRIORIZADOS!$A:$J,10,FALSE)),"")</f>
        <v>Revisar la actualización, socialización e implementación del Sistema Institucional de Evaluación de Estudiantes - SIEE, en articulación con la actualización del PEI y la normatividad vigente.</v>
      </c>
      <c r="K675" s="11" t="str">
        <f>IFERROR(IF(VLOOKUP(A675,[6]PRIORIZADOS!$A:$K,11,FALSE)="","",VLOOKUP(A675,[6]PRIORIZADOS!$A:$K,11,FALSE)),"")</f>
        <v>JAIME HUMBERTO RAMÍREZ LLANOS</v>
      </c>
      <c r="L675" s="11" t="str">
        <f>IFERROR(IF(VLOOKUP(A675,[6]PRIORIZADOS!$A:$L,12,FALSE)="","",VLOOKUP(A675,[6]PRIORIZADOS!$A:$L,12,FALSE)),"")</f>
        <v>LUZ MERY PARRA NOPE</v>
      </c>
      <c r="M675" s="71">
        <f>IFERROR(IF(VLOOKUP(A675,[6]PRIORIZADOS!$A:$M,13,FALSE)="","",VLOOKUP(A675,[6]PRIORIZADOS!$A:$M,13,FALSE)),"")</f>
        <v>45752</v>
      </c>
      <c r="N675" s="139">
        <f>IFERROR(IF(VLOOKUP(A675,[6]PRIORIZADOS!$A:$N,14,FALSE)="","",VLOOKUP(A675,[6]PRIORIZADOS!$A:$N,14,FALSE)),"")</f>
        <v>45752</v>
      </c>
      <c r="O675" s="139">
        <f>IFERROR(IF(VLOOKUP(A675,[6]PRIORIZADOS!$A:$O,15,FALSE)="","",VLOOKUP(A675,[6]PRIORIZADOS!$A:$O,15,FALSE)),"")</f>
        <v>45752</v>
      </c>
      <c r="P675" s="11" t="str">
        <f>IFERROR(IF(VLOOKUP(A675,[6]PRIORIZADOS!$A:$P,16,FALSE)="","",VLOOKUP(A675,[6]PRIORIZADOS!$A:$P,16,FALSE)),"")</f>
        <v>Visitas de evaluación con fines de mejoramiento</v>
      </c>
      <c r="Q675" s="107" t="s">
        <v>133</v>
      </c>
      <c r="R675" s="11" t="str">
        <f>IFERROR(IF(VLOOKUP(A675,[6]PRIORIZADOS!$A:$R,18,FALSE)="","",VLOOKUP(A675,[6]PRIORIZADOS!$A:$R,18,FALSE)),"")</f>
        <v>El SIEE como todos los compnentes del PEI están totalmente desactualizados</v>
      </c>
      <c r="S675" s="11" t="str">
        <f>IFERROR(IF(VLOOKUP(A675,[6]PRIORIZADOS!$A:$S,19,FALSE)="","",VLOOKUP(A675,[6]PRIORIZADOS!$A:$S,19,FALSE)),"")</f>
        <v>La institución se compromete a hacer la debida revisión y actualización</v>
      </c>
      <c r="T675" s="70" t="str">
        <f>IFERROR(IF(VLOOKUP(A675,[6]PRIORIZADOS!$A:$T,20,FALSE)="","",VLOOKUP(A675,[6]PRIORIZADOS!$A:$T,20,FALSE)),"")</f>
        <v>Si</v>
      </c>
      <c r="U675" s="11" t="str">
        <f>IFERROR(IF(VLOOKUP(A675,[6]PRIORIZADOS!$A:$U,21,FALSE)="","",VLOOKUP(A675,[6]PRIORIZADOS!$A:$U,21,FALSE)),"")</f>
        <v>La institución con fecha máxima 25 de abril del 2025 presentará plan de mejora con el fin de ser revisado por el equipo de Inspección y Vigilancia para hacer los ajustes y la trazabilidad correspondiente. Se hace verificación de cumplimiento 08/11/2025</v>
      </c>
    </row>
    <row r="676" spans="1:21" s="1" customFormat="1" ht="48">
      <c r="A676" s="69">
        <f>IF([6]PRIORIZADOS!A42="","",[6]PRIORIZADOS!A42)</f>
        <v>614</v>
      </c>
      <c r="B676" s="70">
        <f>IFERROR(IF(VLOOKUP(A676,[6]PRIORIZADOS!$A:$B,2,FALSE)="","",VLOOKUP(A676,[6]PRIORIZADOS!$A:$B,2,FALSE)),"")</f>
        <v>4</v>
      </c>
      <c r="C676" s="11" t="str">
        <f>IFERROR(IF(VLOOKUP(A676,[6]PRIORIZADOS!$A:$C,3,FALSE)="","",VLOOKUP(A676,[6]PRIORIZADOS!$A:$C,3,FALSE)),"")</f>
        <v>ENGATIVÁ</v>
      </c>
      <c r="D676" s="11" t="str">
        <f>IFERROR(IF(VLOOKUP(A676,[6]PRIORIZADOS!$A:$D,4,FALSE)="","",VLOOKUP(A676,[6]PRIORIZADOS!$A:$D,4,FALSE)),"")</f>
        <v>PRIVADO</v>
      </c>
      <c r="E676" s="11" t="str">
        <f>IFERROR(IF(VLOOKUP(A676,[6]PRIORIZADOS!$A:$E,5,FALSE)="","",VLOOKUP(A676,[6]PRIORIZADOS!$A:$E,5,FALSE)),"")</f>
        <v>Educación de Jóvenes y Adultos</v>
      </c>
      <c r="F676" s="11" t="str">
        <f>IFERROR(IF(VLOOKUP(A676,[6]PRIORIZADOS!$A:$F,6,FALSE)="","",VLOOKUP(A676,[6]PRIORIZADOS!$A:$F,6,FALSE)),"")</f>
        <v>CENTRO_PANAMERICANO_DE_CAPACITACION</v>
      </c>
      <c r="G676" s="11" t="str">
        <f>IFERROR(IF(VLOOKUP(A676,[6]PRIORIZADOS!$A:$G,7,FALSE)="","",VLOOKUP(A676,[6]PRIORIZADOS!$A:$G,7,FALSE)),"")</f>
        <v>CENTRO_PANAMERICANO_DE_CAPACITACION</v>
      </c>
      <c r="H676" s="11" t="str">
        <f>IFERROR(IF(VLOOKUP(A676,[6]PRIORIZADOS!$A:$H,8,FALSE)="","",VLOOKUP(A676,[6]PRIORIZADOS!$A:$H,8,FALSE)),"")</f>
        <v>Autoevaluación Institucional y Pruebas SABER 11</v>
      </c>
      <c r="I676" s="11" t="str">
        <f>IFERROR(IF(VLOOKUP(A676,[6]PRIORIZADOS!$A:$I,9,FALSE)="","",VLOOKUP(A676,[6]PRIORIZADOS!$A:$I,9,FALSE)),"")</f>
        <v>EVALUACIÓN_CON_FINES_DE_MEJORAMIENTO.</v>
      </c>
      <c r="J676" s="11" t="str">
        <f>IFERROR(IF(VLOOKUP(A676,[6]PRIORIZADOS!$A:$J,10,FALSE)="","",VLOOKUP(A676,[6]PRIORIZADOS!$A:$J,10,FALSE)),"")</f>
        <v>Revisar el calendario escolar, jornada escolar, la intensidad horaria mínima anual en cada nivel y las modificaciones que se realicen al mismo, de acuerdo con lo previsto en la normatividad vigente.</v>
      </c>
      <c r="K676" s="11" t="str">
        <f>IFERROR(IF(VLOOKUP(A676,[6]PRIORIZADOS!$A:$K,11,FALSE)="","",VLOOKUP(A676,[6]PRIORIZADOS!$A:$K,11,FALSE)),"")</f>
        <v>JAIME HUMBERTO RAMÍREZ LLANOS</v>
      </c>
      <c r="L676" s="11" t="str">
        <f>IFERROR(IF(VLOOKUP(A676,[6]PRIORIZADOS!$A:$L,12,FALSE)="","",VLOOKUP(A676,[6]PRIORIZADOS!$A:$L,12,FALSE)),"")</f>
        <v>LUZ MERY PARRA NOPE</v>
      </c>
      <c r="M676" s="71">
        <f>IFERROR(IF(VLOOKUP(A676,[6]PRIORIZADOS!$A:$M,13,FALSE)="","",VLOOKUP(A676,[6]PRIORIZADOS!$A:$M,13,FALSE)),"")</f>
        <v>45752</v>
      </c>
      <c r="N676" s="139">
        <f>IFERROR(IF(VLOOKUP(A676,[6]PRIORIZADOS!$A:$N,14,FALSE)="","",VLOOKUP(A676,[6]PRIORIZADOS!$A:$N,14,FALSE)),"")</f>
        <v>45752</v>
      </c>
      <c r="O676" s="139">
        <f>IFERROR(IF(VLOOKUP(A676,[6]PRIORIZADOS!$A:$O,15,FALSE)="","",VLOOKUP(A676,[6]PRIORIZADOS!$A:$O,15,FALSE)),"")</f>
        <v>45752</v>
      </c>
      <c r="P676" s="11" t="str">
        <f>IFERROR(IF(VLOOKUP(A676,[6]PRIORIZADOS!$A:$P,16,FALSE)="","",VLOOKUP(A676,[6]PRIORIZADOS!$A:$P,16,FALSE)),"")</f>
        <v>Visitas de evaluación con fines de mejoramiento</v>
      </c>
      <c r="Q676" s="107" t="s">
        <v>133</v>
      </c>
      <c r="R676" s="11" t="str">
        <f>IFERROR(IF(VLOOKUP(A676,[6]PRIORIZADOS!$A:$R,18,FALSE)="","",VLOOKUP(A676,[6]PRIORIZADOS!$A:$R,18,FALSE)),"")</f>
        <v>Para la fecha la institución no tiene debidamente elaborado su calendario escolar</v>
      </c>
      <c r="S676" s="11" t="str">
        <f>IFERROR(IF(VLOOKUP(A676,[6]PRIORIZADOS!$A:$S,19,FALSE)="","",VLOOKUP(A676,[6]PRIORIZADOS!$A:$S,19,FALSE)),"")</f>
        <v>La institución se compromete a hacer la debida revisión y actualización</v>
      </c>
      <c r="T676" s="70" t="str">
        <f>IFERROR(IF(VLOOKUP(A676,[6]PRIORIZADOS!$A:$T,20,FALSE)="","",VLOOKUP(A676,[6]PRIORIZADOS!$A:$T,20,FALSE)),"")</f>
        <v>Si</v>
      </c>
      <c r="U676" s="11" t="str">
        <f>IFERROR(IF(VLOOKUP(A676,[6]PRIORIZADOS!$A:$U,21,FALSE)="","",VLOOKUP(A676,[6]PRIORIZADOS!$A:$U,21,FALSE)),"")</f>
        <v>Se llevó a cabo visita de verificación el 08/11/2025 para garantizar cumplimiento Se hará seguimiento en el 2026</v>
      </c>
    </row>
    <row r="677" spans="1:21" s="1" customFormat="1" ht="48">
      <c r="A677" s="69">
        <f>IF([6]PRIORIZADOS!A43="","",[6]PRIORIZADOS!A43)</f>
        <v>615</v>
      </c>
      <c r="B677" s="70">
        <f>IFERROR(IF(VLOOKUP(A677,[6]PRIORIZADOS!$A:$B,2,FALSE)="","",VLOOKUP(A677,[6]PRIORIZADOS!$A:$B,2,FALSE)),"")</f>
        <v>4</v>
      </c>
      <c r="C677" s="11" t="str">
        <f>IFERROR(IF(VLOOKUP(A677,[6]PRIORIZADOS!$A:$C,3,FALSE)="","",VLOOKUP(A677,[6]PRIORIZADOS!$A:$C,3,FALSE)),"")</f>
        <v>ENGATIVÁ</v>
      </c>
      <c r="D677" s="11" t="str">
        <f>IFERROR(IF(VLOOKUP(A677,[6]PRIORIZADOS!$A:$D,4,FALSE)="","",VLOOKUP(A677,[6]PRIORIZADOS!$A:$D,4,FALSE)),"")</f>
        <v>PRIVADO</v>
      </c>
      <c r="E677" s="11" t="str">
        <f>IFERROR(IF(VLOOKUP(A677,[6]PRIORIZADOS!$A:$E,5,FALSE)="","",VLOOKUP(A677,[6]PRIORIZADOS!$A:$E,5,FALSE)),"")</f>
        <v>Educación de Jóvenes y Adultos</v>
      </c>
      <c r="F677" s="11" t="str">
        <f>IFERROR(IF(VLOOKUP(A677,[6]PRIORIZADOS!$A:$F,6,FALSE)="","",VLOOKUP(A677,[6]PRIORIZADOS!$A:$F,6,FALSE)),"")</f>
        <v>CENTRO_PANAMERICANO_DE_CAPACITACION</v>
      </c>
      <c r="G677" s="11" t="str">
        <f>IFERROR(IF(VLOOKUP(A677,[6]PRIORIZADOS!$A:$G,7,FALSE)="","",VLOOKUP(A677,[6]PRIORIZADOS!$A:$G,7,FALSE)),"")</f>
        <v>CENTRO_PANAMERICANO_DE_CAPACITACION</v>
      </c>
      <c r="H677" s="11" t="str">
        <f>IFERROR(IF(VLOOKUP(A677,[6]PRIORIZADOS!$A:$H,8,FALSE)="","",VLOOKUP(A677,[6]PRIORIZADOS!$A:$H,8,FALSE)),"")</f>
        <v>Autoevaluación Institucional y Pruebas SABER 11</v>
      </c>
      <c r="I677" s="11" t="str">
        <f>IFERROR(IF(VLOOKUP(A677,[6]PRIORIZADOS!$A:$I,9,FALSE)="","",VLOOKUP(A677,[6]PRIORIZADOS!$A:$I,9,FALSE)),"")</f>
        <v>EVALUACIÓN_CON_FINES_DE_MEJORAMIENTO.</v>
      </c>
      <c r="J677" s="11" t="str">
        <f>IFERROR(IF(VLOOKUP(A677,[6]PRIORIZADOS!$A:$J,10,FALSE)="","",VLOOKUP(A677,[6]PRIORIZADOS!$A:$J,10,FALSE)),"")</f>
        <v>Verificar el funcionamiento del Gobierno Escolar e instancias de participación con base en la información sobre conformación reportada por la institución educativa.</v>
      </c>
      <c r="K677" s="11" t="str">
        <f>IFERROR(IF(VLOOKUP(A677,[6]PRIORIZADOS!$A:$K,11,FALSE)="","",VLOOKUP(A677,[6]PRIORIZADOS!$A:$K,11,FALSE)),"")</f>
        <v>JAIME HUMBERTO RAMÍREZ LLANOS</v>
      </c>
      <c r="L677" s="11" t="str">
        <f>IFERROR(IF(VLOOKUP(A677,[6]PRIORIZADOS!$A:$L,12,FALSE)="","",VLOOKUP(A677,[6]PRIORIZADOS!$A:$L,12,FALSE)),"")</f>
        <v>LUZ MERY PARRA NOPE</v>
      </c>
      <c r="M677" s="71">
        <f>IFERROR(IF(VLOOKUP(A677,[6]PRIORIZADOS!$A:$M,13,FALSE)="","",VLOOKUP(A677,[6]PRIORIZADOS!$A:$M,13,FALSE)),"")</f>
        <v>45752</v>
      </c>
      <c r="N677" s="139">
        <f>IFERROR(IF(VLOOKUP(A677,[6]PRIORIZADOS!$A:$N,14,FALSE)="","",VLOOKUP(A677,[6]PRIORIZADOS!$A:$N,14,FALSE)),"")</f>
        <v>45752</v>
      </c>
      <c r="O677" s="139">
        <f>IFERROR(IF(VLOOKUP(A677,[6]PRIORIZADOS!$A:$O,15,FALSE)="","",VLOOKUP(A677,[6]PRIORIZADOS!$A:$O,15,FALSE)),"")</f>
        <v>45752</v>
      </c>
      <c r="P677" s="11" t="str">
        <f>IFERROR(IF(VLOOKUP(A677,[6]PRIORIZADOS!$A:$P,16,FALSE)="","",VLOOKUP(A677,[6]PRIORIZADOS!$A:$P,16,FALSE)),"")</f>
        <v>Visitas de evaluación con fines de mejoramiento</v>
      </c>
      <c r="Q677" s="107" t="s">
        <v>133</v>
      </c>
      <c r="R677" s="11" t="str">
        <f>IFERROR(IF(VLOOKUP(A677,[6]PRIORIZADOS!$A:$R,18,FALSE)="","",VLOOKUP(A677,[6]PRIORIZADOS!$A:$R,18,FALSE)),"")</f>
        <v>La institución no tiene conformado totalmente el gobierno escolar</v>
      </c>
      <c r="S677" s="11" t="str">
        <f>IFERROR(IF(VLOOKUP(A677,[6]PRIORIZADOS!$A:$S,19,FALSE)="","",VLOOKUP(A677,[6]PRIORIZADOS!$A:$S,19,FALSE)),"")</f>
        <v>La institución se compromete a hacer la debida revisión y actualización</v>
      </c>
      <c r="T677" s="70" t="str">
        <f>IFERROR(IF(VLOOKUP(A677,[6]PRIORIZADOS!$A:$T,20,FALSE)="","",VLOOKUP(A677,[6]PRIORIZADOS!$A:$T,20,FALSE)),"")</f>
        <v>Si</v>
      </c>
      <c r="U677" s="11" t="str">
        <f>IFERROR(IF(VLOOKUP(A677,[6]PRIORIZADOS!$A:$U,21,FALSE)="","",VLOOKUP(A677,[6]PRIORIZADOS!$A:$U,21,FALSE)),"")</f>
        <v>Se llevó a cabo visita de verificación el 08/11/2025 para garantizar cumplimiento Se hará seguimiento en el 2026</v>
      </c>
    </row>
    <row r="678" spans="1:21" s="1" customFormat="1" ht="48">
      <c r="A678" s="69">
        <f>IF([6]PRIORIZADOS!A44="","",[6]PRIORIZADOS!A44)</f>
        <v>616</v>
      </c>
      <c r="B678" s="70">
        <f>IFERROR(IF(VLOOKUP(A678,[6]PRIORIZADOS!$A:$B,2,FALSE)="","",VLOOKUP(A678,[6]PRIORIZADOS!$A:$B,2,FALSE)),"")</f>
        <v>4</v>
      </c>
      <c r="C678" s="11" t="str">
        <f>IFERROR(IF(VLOOKUP(A678,[6]PRIORIZADOS!$A:$C,3,FALSE)="","",VLOOKUP(A678,[6]PRIORIZADOS!$A:$C,3,FALSE)),"")</f>
        <v>ENGATIVÁ</v>
      </c>
      <c r="D678" s="11" t="str">
        <f>IFERROR(IF(VLOOKUP(A678,[6]PRIORIZADOS!$A:$D,4,FALSE)="","",VLOOKUP(A678,[6]PRIORIZADOS!$A:$D,4,FALSE)),"")</f>
        <v>PRIVADO</v>
      </c>
      <c r="E678" s="11" t="str">
        <f>IFERROR(IF(VLOOKUP(A678,[6]PRIORIZADOS!$A:$E,5,FALSE)="","",VLOOKUP(A678,[6]PRIORIZADOS!$A:$E,5,FALSE)),"")</f>
        <v>Educación de Jóvenes y Adultos</v>
      </c>
      <c r="F678" s="11" t="str">
        <f>IFERROR(IF(VLOOKUP(A678,[6]PRIORIZADOS!$A:$F,6,FALSE)="","",VLOOKUP(A678,[6]PRIORIZADOS!$A:$F,6,FALSE)),"")</f>
        <v>CENTRO_PANAMERICANO_DE_CAPACITACION</v>
      </c>
      <c r="G678" s="11" t="str">
        <f>IFERROR(IF(VLOOKUP(A678,[6]PRIORIZADOS!$A:$G,7,FALSE)="","",VLOOKUP(A678,[6]PRIORIZADOS!$A:$G,7,FALSE)),"")</f>
        <v>CENTRO_PANAMERICANO_DE_CAPACITACION</v>
      </c>
      <c r="H678" s="11" t="str">
        <f>IFERROR(IF(VLOOKUP(A678,[6]PRIORIZADOS!$A:$H,8,FALSE)="","",VLOOKUP(A678,[6]PRIORIZADOS!$A:$H,8,FALSE)),"")</f>
        <v>Autoevaluación Institucional y Pruebas SABER 11</v>
      </c>
      <c r="I678" s="11" t="str">
        <f>IFERROR(IF(VLOOKUP(A678,[6]PRIORIZADOS!$A:$I,9,FALSE)="","",VLOOKUP(A678,[6]PRIORIZADOS!$A:$I,9,FALSE)),"")</f>
        <v>EVALUACIÓN_CON_FINES_DE_MEJORAMIENTO.</v>
      </c>
      <c r="J678" s="11" t="str">
        <f>IFERROR(IF(VLOOKUP(A678,[6]PRIORIZADOS!$A:$J,10,FALSE)="","",VLOOKUP(A678,[6]PRIORIZADOS!$A:$J,10,FALSE)),"")</f>
        <v>Verificar las condiciones en cuanto a: la estructura administrativa, condiciones de la planta física y medios educativos adecuados.</v>
      </c>
      <c r="K678" s="11" t="str">
        <f>IFERROR(IF(VLOOKUP(A678,[6]PRIORIZADOS!$A:$K,11,FALSE)="","",VLOOKUP(A678,[6]PRIORIZADOS!$A:$K,11,FALSE)),"")</f>
        <v>JAIME HUMBERTO RAMÍREZ LLANOS</v>
      </c>
      <c r="L678" s="11" t="str">
        <f>IFERROR(IF(VLOOKUP(A678,[6]PRIORIZADOS!$A:$L,12,FALSE)="","",VLOOKUP(A678,[6]PRIORIZADOS!$A:$L,12,FALSE)),"")</f>
        <v>LUZ MERY PARRA NOPE</v>
      </c>
      <c r="M678" s="71">
        <f>IFERROR(IF(VLOOKUP(A678,[6]PRIORIZADOS!$A:$M,13,FALSE)="","",VLOOKUP(A678,[6]PRIORIZADOS!$A:$M,13,FALSE)),"")</f>
        <v>45752</v>
      </c>
      <c r="N678" s="139">
        <f>IFERROR(IF(VLOOKUP(A678,[6]PRIORIZADOS!$A:$N,14,FALSE)="","",VLOOKUP(A678,[6]PRIORIZADOS!$A:$N,14,FALSE)),"")</f>
        <v>45752</v>
      </c>
      <c r="O678" s="139">
        <f>IFERROR(IF(VLOOKUP(A678,[6]PRIORIZADOS!$A:$O,15,FALSE)="","",VLOOKUP(A678,[6]PRIORIZADOS!$A:$O,15,FALSE)),"")</f>
        <v>45752</v>
      </c>
      <c r="P678" s="11" t="str">
        <f>IFERROR(IF(VLOOKUP(A678,[6]PRIORIZADOS!$A:$P,16,FALSE)="","",VLOOKUP(A678,[6]PRIORIZADOS!$A:$P,16,FALSE)),"")</f>
        <v>Visitas de evaluación con fines de mejoramiento</v>
      </c>
      <c r="Q678" s="107" t="s">
        <v>133</v>
      </c>
      <c r="R678" s="11" t="str">
        <f>IFERROR(IF(VLOOKUP(A678,[6]PRIORIZADOS!$A:$R,18,FALSE)="","",VLOOKUP(A678,[6]PRIORIZADOS!$A:$R,18,FALSE)),"")</f>
        <v>La institución cuenta con espacios pedagógico, pero sus aulas de apoyo no son suficientes</v>
      </c>
      <c r="S678" s="11" t="str">
        <f>IFERROR(IF(VLOOKUP(A678,[6]PRIORIZADOS!$A:$S,19,FALSE)="","",VLOOKUP(A678,[6]PRIORIZADOS!$A:$S,19,FALSE)),"")</f>
        <v>La institución se compromete a hacer la debida revisión y actualización</v>
      </c>
      <c r="T678" s="70" t="str">
        <f>IFERROR(IF(VLOOKUP(A678,[6]PRIORIZADOS!$A:$T,20,FALSE)="","",VLOOKUP(A678,[6]PRIORIZADOS!$A:$T,20,FALSE)),"")</f>
        <v>Si</v>
      </c>
      <c r="U678" s="11" t="str">
        <f>IFERROR(IF(VLOOKUP(A678,[6]PRIORIZADOS!$A:$U,21,FALSE)="","",VLOOKUP(A678,[6]PRIORIZADOS!$A:$U,21,FALSE)),"")</f>
        <v>La institución con fecha máxima 25 de abril del 2025 presentará plan de mejora con el fin de ser revisado por el equipo de Inspección y Vigilancia para hacer los ajustes y la trazabilidad correspondiente Visita 08/11/2025, aun no tiene espacios suficientes, se hará seguimeinto en el 2026</v>
      </c>
    </row>
    <row r="679" spans="1:21" s="1" customFormat="1" ht="96">
      <c r="A679" s="69">
        <f>IF([6]PRIORIZADOS!A45="","",[6]PRIORIZADOS!A45)</f>
        <v>617</v>
      </c>
      <c r="B679" s="70">
        <f>IFERROR(IF(VLOOKUP(A679,[6]PRIORIZADOS!$A:$B,2,FALSE)="","",VLOOKUP(A679,[6]PRIORIZADOS!$A:$B,2,FALSE)),"")</f>
        <v>5</v>
      </c>
      <c r="C679" s="11" t="str">
        <f>IFERROR(IF(VLOOKUP(A679,[6]PRIORIZADOS!$A:$C,3,FALSE)="","",VLOOKUP(A679,[6]PRIORIZADOS!$A:$C,3,FALSE)),"")</f>
        <v>ENGATIVÁ</v>
      </c>
      <c r="D679" s="11" t="str">
        <f>IFERROR(IF(VLOOKUP(A679,[6]PRIORIZADOS!$A:$D,4,FALSE)="","",VLOOKUP(A679,[6]PRIORIZADOS!$A:$D,4,FALSE)),"")</f>
        <v>PRIVADO</v>
      </c>
      <c r="E679" s="11" t="str">
        <f>IFERROR(IF(VLOOKUP(A679,[6]PRIORIZADOS!$A:$E,5,FALSE)="","",VLOOKUP(A679,[6]PRIORIZADOS!$A:$E,5,FALSE)),"")</f>
        <v>Educación de Jóvenes y Adultos</v>
      </c>
      <c r="F679" s="11" t="str">
        <f>IFERROR(IF(VLOOKUP(A679,[6]PRIORIZADOS!$A:$F,6,FALSE)="","",VLOOKUP(A679,[6]PRIORIZADOS!$A:$F,6,FALSE)),"")</f>
        <v>CENTRO_DE_EDUCACION_LABORAL</v>
      </c>
      <c r="G679" s="11" t="str">
        <f>IFERROR(IF(VLOOKUP(A679,[6]PRIORIZADOS!$A:$G,7,FALSE)="","",VLOOKUP(A679,[6]PRIORIZADOS!$A:$G,7,FALSE)),"")</f>
        <v>CENTRO_DE_EDUCACION_LABORAL</v>
      </c>
      <c r="H679" s="11" t="str">
        <f>IFERROR(IF(VLOOKUP(A679,[6]PRIORIZADOS!$A:$H,8,FALSE)="","",VLOOKUP(A679,[6]PRIORIZADOS!$A:$H,8,FALSE)),"")</f>
        <v>Autoevaluación Institucional y Pruebas SABER 11</v>
      </c>
      <c r="I679" s="11" t="str">
        <f>IFERROR(IF(VLOOKUP(A679,[6]PRIORIZADOS!$A:$I,9,FALSE)="","",VLOOKUP(A679,[6]PRIORIZADOS!$A:$I,9,FALSE)),"")</f>
        <v>SEGUIMIENTO_Y_SUPERVISIÓN.</v>
      </c>
      <c r="J679" s="11" t="str">
        <f>IFERROR(IF(VLOOKUP(A679,[6]PRIORIZADOS!$A:$J,10,FALSE)="","",VLOOKUP(A679,[6]PRIORIZADOS!$A:$J,10,FALSE)),"")</f>
        <v>Realizar visitas para verificar la información registrada sobre la autoevaluación institucional en el aplicativo EVI, a los establecimientos de educación formal no oficial.</v>
      </c>
      <c r="K679" s="11" t="str">
        <f>IFERROR(IF(VLOOKUP(A679,[6]PRIORIZADOS!$A:$K,11,FALSE)="","",VLOOKUP(A679,[6]PRIORIZADOS!$A:$K,11,FALSE)),"")</f>
        <v>SANDRA MILENA BUENAVENTURA RUEDA</v>
      </c>
      <c r="L679" s="11" t="str">
        <f>IFERROR(IF(VLOOKUP(A679,[6]PRIORIZADOS!$A:$L,12,FALSE)="","",VLOOKUP(A679,[6]PRIORIZADOS!$A:$L,12,FALSE)),"")</f>
        <v>JAIME HUMBERTO RAMÍREZ LLANOS</v>
      </c>
      <c r="M679" s="71">
        <f>IFERROR(IF(VLOOKUP(A679,[6]PRIORIZADOS!$A:$M,13,FALSE)="","",VLOOKUP(A679,[6]PRIORIZADOS!$A:$M,13,FALSE)),"")</f>
        <v>45743</v>
      </c>
      <c r="N679" s="139">
        <f>IFERROR(IF(VLOOKUP(A679,[6]PRIORIZADOS!$A:$N,14,FALSE)="","",VLOOKUP(A679,[6]PRIORIZADOS!$A:$N,14,FALSE)),"")</f>
        <v>45743</v>
      </c>
      <c r="O679" s="139">
        <f>IFERROR(IF(VLOOKUP(A679,[6]PRIORIZADOS!$A:$O,15,FALSE)="","",VLOOKUP(A679,[6]PRIORIZADOS!$A:$O,15,FALSE)),"")</f>
        <v>45743</v>
      </c>
      <c r="P679" s="11" t="str">
        <f>IFERROR(IF(VLOOKUP(A679,[6]PRIORIZADOS!$A:$P,16,FALSE)="","",VLOOKUP(A679,[6]PRIORIZADOS!$A:$P,16,FALSE)),"")</f>
        <v>Visitas de evaluación con fines de seguimiento</v>
      </c>
      <c r="Q679" s="89" t="s">
        <v>134</v>
      </c>
      <c r="R679" s="11" t="str">
        <f>IFERROR(IF(VLOOKUP(A679,[6]PRIORIZADOS!$A:$R,18,FALSE)="","",VLOOKUP(A679,[6]PRIORIZADOS!$A:$R,18,FALSE)),"")</f>
        <v>La IE tiene diferencias en cuanto a lo registrado en EVI, ofrece educación semipresencial y a distancia y esta modalidad no esta autorizada en la Licencia de Funcionamiento, por lo que debe solicitar modificación de LF por modalidad, actualización catastal y cambio de propietario</v>
      </c>
      <c r="S679" s="11" t="str">
        <f>IFERROR(IF(VLOOKUP(A679,[6]PRIORIZADOS!$A:$S,19,FALSE)="","",VLOOKUP(A679,[6]PRIORIZADOS!$A:$S,19,FALSE)),"")</f>
        <v>Solicitar con los correspondientes soportes la modificación de la LF</v>
      </c>
      <c r="T679" s="70" t="str">
        <f>IFERROR(IF(VLOOKUP(A679,[6]PRIORIZADOS!$A:$T,20,FALSE)="","",VLOOKUP(A679,[6]PRIORIZADOS!$A:$T,20,FALSE)),"")</f>
        <v>Si</v>
      </c>
      <c r="U679" s="11" t="str">
        <f>IFERROR(IF(VLOOKUP(A679,[6]PRIORIZADOS!$A:$U,21,FALSE)="","",VLOOKUP(A679,[6]PRIORIZADOS!$A:$U,21,FALSE)),"")</f>
        <v>La institución presentará plan de mejora con fecha máxima 11 de abril con el fin de ser revisado por el equipo de Inspección y Vigilancia para hacer los ajustes y la trazabilidad correspondiente</v>
      </c>
    </row>
    <row r="680" spans="1:21" s="1" customFormat="1" ht="72">
      <c r="A680" s="69">
        <f>IF([6]PRIORIZADOS!A46="","",[6]PRIORIZADOS!A46)</f>
        <v>618</v>
      </c>
      <c r="B680" s="70">
        <f>IFERROR(IF(VLOOKUP(A680,[6]PRIORIZADOS!$A:$B,2,FALSE)="","",VLOOKUP(A680,[6]PRIORIZADOS!$A:$B,2,FALSE)),"")</f>
        <v>5</v>
      </c>
      <c r="C680" s="11" t="str">
        <f>IFERROR(IF(VLOOKUP(A680,[6]PRIORIZADOS!$A:$C,3,FALSE)="","",VLOOKUP(A680,[6]PRIORIZADOS!$A:$C,3,FALSE)),"")</f>
        <v>ENGATIVÁ</v>
      </c>
      <c r="D680" s="11" t="str">
        <f>IFERROR(IF(VLOOKUP(A680,[6]PRIORIZADOS!$A:$D,4,FALSE)="","",VLOOKUP(A680,[6]PRIORIZADOS!$A:$D,4,FALSE)),"")</f>
        <v>PRIVADO</v>
      </c>
      <c r="E680" s="11" t="str">
        <f>IFERROR(IF(VLOOKUP(A680,[6]PRIORIZADOS!$A:$E,5,FALSE)="","",VLOOKUP(A680,[6]PRIORIZADOS!$A:$E,5,FALSE)),"")</f>
        <v>Educación de Jóvenes y Adultos</v>
      </c>
      <c r="F680" s="11" t="str">
        <f>IFERROR(IF(VLOOKUP(A680,[6]PRIORIZADOS!$A:$F,6,FALSE)="","",VLOOKUP(A680,[6]PRIORIZADOS!$A:$F,6,FALSE)),"")</f>
        <v>CENTRO_DE_EDUCACION_LABORAL</v>
      </c>
      <c r="G680" s="11" t="str">
        <f>IFERROR(IF(VLOOKUP(A680,[6]PRIORIZADOS!$A:$G,7,FALSE)="","",VLOOKUP(A680,[6]PRIORIZADOS!$A:$G,7,FALSE)),"")</f>
        <v>CENTRO_DE_EDUCACION_LABORAL</v>
      </c>
      <c r="H680" s="11" t="str">
        <f>IFERROR(IF(VLOOKUP(A680,[6]PRIORIZADOS!$A:$H,8,FALSE)="","",VLOOKUP(A680,[6]PRIORIZADOS!$A:$H,8,FALSE)),"")</f>
        <v>Autoevaluación Institucional y Pruebas SABER 11</v>
      </c>
      <c r="I680" s="11" t="str">
        <f>IFERROR(IF(VLOOKUP(A680,[6]PRIORIZADOS!$A:$I,9,FALSE)="","",VLOOKUP(A680,[6]PRIORIZADOS!$A:$I,9,FALSE)),"")</f>
        <v>SEGUIMIENTO_Y_SUPERVISIÓN.</v>
      </c>
      <c r="J680" s="11" t="str">
        <f>IFERROR(IF(VLOOKUP(A680,[6]PRIORIZADOS!$A:$J,10,FALSE)="","",VLOOKUP(A680,[6]PRIORIZADOS!$A:$J,10,FALSE)),"")</f>
        <v>Proponer estrategias en la formulación, verificar su elaboración y realizar seguimiento semestral al desarrollo de  las acciones establecidas en los planes de mejoramiento por pruebas SABER 11 de los establecimientos de educación formal.</v>
      </c>
      <c r="K680" s="11" t="str">
        <f>IFERROR(IF(VLOOKUP(A680,[6]PRIORIZADOS!$A:$K,11,FALSE)="","",VLOOKUP(A680,[6]PRIORIZADOS!$A:$K,11,FALSE)),"")</f>
        <v>SANDRA MILENA BUENAVENTURA RUEDA</v>
      </c>
      <c r="L680" s="11" t="str">
        <f>IFERROR(IF(VLOOKUP(A680,[6]PRIORIZADOS!$A:$L,12,FALSE)="","",VLOOKUP(A680,[6]PRIORIZADOS!$A:$L,12,FALSE)),"")</f>
        <v>JAIME HUMBERTO RAMÍREZ LLANOS</v>
      </c>
      <c r="M680" s="71">
        <f>IFERROR(IF(VLOOKUP(A680,[6]PRIORIZADOS!$A:$M,13,FALSE)="","",VLOOKUP(A680,[6]PRIORIZADOS!$A:$M,13,FALSE)),"")</f>
        <v>45743</v>
      </c>
      <c r="N680" s="139">
        <f>IFERROR(IF(VLOOKUP(A680,[6]PRIORIZADOS!$A:$N,14,FALSE)="","",VLOOKUP(A680,[6]PRIORIZADOS!$A:$N,14,FALSE)),"")</f>
        <v>45743</v>
      </c>
      <c r="O680" s="139">
        <f>IFERROR(IF(VLOOKUP(A680,[6]PRIORIZADOS!$A:$O,15,FALSE)="","",VLOOKUP(A680,[6]PRIORIZADOS!$A:$O,15,FALSE)),"")</f>
        <v>45743</v>
      </c>
      <c r="P680" s="11" t="str">
        <f>IFERROR(IF(VLOOKUP(A680,[6]PRIORIZADOS!$A:$P,16,FALSE)="","",VLOOKUP(A680,[6]PRIORIZADOS!$A:$P,16,FALSE)),"")</f>
        <v>Visitas de evaluación con fines de seguimiento</v>
      </c>
      <c r="Q680" s="89" t="s">
        <v>134</v>
      </c>
      <c r="R680" s="11" t="str">
        <f>IFERROR(IF(VLOOKUP(A680,[6]PRIORIZADOS!$A:$R,18,FALSE)="","",VLOOKUP(A680,[6]PRIORIZADOS!$A:$R,18,FALSE)),"")</f>
        <v xml:space="preserve">La IE no tiene actualizado el PEI ni el plan  de estudios, no cuenta con proyectos obligatorios </v>
      </c>
      <c r="S680" s="11" t="str">
        <f>IFERROR(IF(VLOOKUP(A680,[6]PRIORIZADOS!$A:$S,19,FALSE)="","",VLOOKUP(A680,[6]PRIORIZADOS!$A:$S,19,FALSE)),"")</f>
        <v>En el plan de estudios, el diseño curricular de la educación básica y media debe actualizarse a fin de que se desarrollen las competencias básicas, ciudadanas, laborales generales y socioemocionales y Derechos básicos de aprendizaje - dba.</v>
      </c>
      <c r="T680" s="70" t="str">
        <f>IFERROR(IF(VLOOKUP(A680,[6]PRIORIZADOS!$A:$T,20,FALSE)="","",VLOOKUP(A680,[6]PRIORIZADOS!$A:$T,20,FALSE)),"")</f>
        <v>Si</v>
      </c>
      <c r="U680" s="11" t="str">
        <f>IFERROR(IF(VLOOKUP(A680,[6]PRIORIZADOS!$A:$U,21,FALSE)="","",VLOOKUP(A680,[6]PRIORIZADOS!$A:$U,21,FALSE)),"")</f>
        <v>La institución presentará plan de mejora con fecha máxima 11 de abril con el fin de ser revisado por el equipo de Inspección y Vigilancia para hacer los ajustes y la trazabilidad correspondiente</v>
      </c>
    </row>
    <row r="681" spans="1:21" s="1" customFormat="1" ht="60">
      <c r="A681" s="69">
        <f>IF([6]PRIORIZADOS!A47="","",[6]PRIORIZADOS!A47)</f>
        <v>619</v>
      </c>
      <c r="B681" s="70">
        <f>IFERROR(IF(VLOOKUP(A681,[6]PRIORIZADOS!$A:$B,2,FALSE)="","",VLOOKUP(A681,[6]PRIORIZADOS!$A:$B,2,FALSE)),"")</f>
        <v>5</v>
      </c>
      <c r="C681" s="11" t="str">
        <f>IFERROR(IF(VLOOKUP(A681,[6]PRIORIZADOS!$A:$C,3,FALSE)="","",VLOOKUP(A681,[6]PRIORIZADOS!$A:$C,3,FALSE)),"")</f>
        <v>ENGATIVÁ</v>
      </c>
      <c r="D681" s="11" t="str">
        <f>IFERROR(IF(VLOOKUP(A681,[6]PRIORIZADOS!$A:$D,4,FALSE)="","",VLOOKUP(A681,[6]PRIORIZADOS!$A:$D,4,FALSE)),"")</f>
        <v>PRIVADO</v>
      </c>
      <c r="E681" s="11" t="str">
        <f>IFERROR(IF(VLOOKUP(A681,[6]PRIORIZADOS!$A:$E,5,FALSE)="","",VLOOKUP(A681,[6]PRIORIZADOS!$A:$E,5,FALSE)),"")</f>
        <v>Educación de Jóvenes y Adultos</v>
      </c>
      <c r="F681" s="11" t="str">
        <f>IFERROR(IF(VLOOKUP(A681,[6]PRIORIZADOS!$A:$F,6,FALSE)="","",VLOOKUP(A681,[6]PRIORIZADOS!$A:$F,6,FALSE)),"")</f>
        <v>CENTRO_DE_EDUCACION_LABORAL</v>
      </c>
      <c r="G681" s="11" t="str">
        <f>IFERROR(IF(VLOOKUP(A681,[6]PRIORIZADOS!$A:$G,7,FALSE)="","",VLOOKUP(A681,[6]PRIORIZADOS!$A:$G,7,FALSE)),"")</f>
        <v>CENTRO_DE_EDUCACION_LABORAL</v>
      </c>
      <c r="H681" s="11" t="str">
        <f>IFERROR(IF(VLOOKUP(A681,[6]PRIORIZADOS!$A:$H,8,FALSE)="","",VLOOKUP(A681,[6]PRIORIZADOS!$A:$H,8,FALSE)),"")</f>
        <v>Autoevaluación Institucional y Pruebas SABER 11</v>
      </c>
      <c r="I681" s="11" t="str">
        <f>IFERROR(IF(VLOOKUP(A681,[6]PRIORIZADOS!$A:$I,9,FALSE)="","",VLOOKUP(A681,[6]PRIORIZADOS!$A:$I,9,FALSE)),"")</f>
        <v>SEGUIMIENTO_Y_SUPERVISIÓN.</v>
      </c>
      <c r="J681" s="11" t="str">
        <f>IFERROR(IF(VLOOKUP(A681,[6]PRIORIZADOS!$A:$J,10,FALSE)="","",VLOOKUP(A681,[6]PRIORIZADOS!$A:$J,10,FALSE)),"")</f>
        <v xml:space="preserve">Verificar la implementación por parte de los colegios, de acciones realizadas para la prevención y atención de las situaciones de convivencia en el entorno escolar, según lo establecido en la Directiva 01 de 2022 del MEN. </v>
      </c>
      <c r="K681" s="11" t="str">
        <f>IFERROR(IF(VLOOKUP(A681,[6]PRIORIZADOS!$A:$K,11,FALSE)="","",VLOOKUP(A681,[6]PRIORIZADOS!$A:$K,11,FALSE)),"")</f>
        <v>SANDRA MILENA BUENAVENTURA RUEDA</v>
      </c>
      <c r="L681" s="11" t="str">
        <f>IFERROR(IF(VLOOKUP(A681,[6]PRIORIZADOS!$A:$L,12,FALSE)="","",VLOOKUP(A681,[6]PRIORIZADOS!$A:$L,12,FALSE)),"")</f>
        <v>JAIME HUMBERTO RAMÍREZ LLANOS</v>
      </c>
      <c r="M681" s="71">
        <f>IFERROR(IF(VLOOKUP(A681,[6]PRIORIZADOS!$A:$M,13,FALSE)="","",VLOOKUP(A681,[6]PRIORIZADOS!$A:$M,13,FALSE)),"")</f>
        <v>45743</v>
      </c>
      <c r="N681" s="139">
        <f>IFERROR(IF(VLOOKUP(A681,[6]PRIORIZADOS!$A:$N,14,FALSE)="","",VLOOKUP(A681,[6]PRIORIZADOS!$A:$N,14,FALSE)),"")</f>
        <v>45743</v>
      </c>
      <c r="O681" s="139">
        <f>IFERROR(IF(VLOOKUP(A681,[6]PRIORIZADOS!$A:$O,15,FALSE)="","",VLOOKUP(A681,[6]PRIORIZADOS!$A:$O,15,FALSE)),"")</f>
        <v>45743</v>
      </c>
      <c r="P681" s="11" t="str">
        <f>IFERROR(IF(VLOOKUP(A681,[6]PRIORIZADOS!$A:$P,16,FALSE)="","",VLOOKUP(A681,[6]PRIORIZADOS!$A:$P,16,FALSE)),"")</f>
        <v>Visitas de evaluación con fines de seguimiento</v>
      </c>
      <c r="Q681" s="89" t="s">
        <v>134</v>
      </c>
      <c r="R681" s="11" t="str">
        <f>IFERROR(IF(VLOOKUP(A681,[6]PRIORIZADOS!$A:$R,18,FALSE)="","",VLOOKUP(A681,[6]PRIORIZADOS!$A:$R,18,FALSE)),"")</f>
        <v xml:space="preserve">La institución no hace la verificación de </v>
      </c>
      <c r="S681" s="11" t="str">
        <f>IFERROR(IF(VLOOKUP(A681,[6]PRIORIZADOS!$A:$S,19,FALSE)="","",VLOOKUP(A681,[6]PRIORIZADOS!$A:$S,19,FALSE)),"")</f>
        <v>En la IE no se han presentado situaciones que requieran la activación en el sistema de alertas o protocolos, se le indica que se debe trabajar con la OCE la capacitación con el personal docente.</v>
      </c>
      <c r="T681" s="70" t="str">
        <f>IFERROR(IF(VLOOKUP(A681,[6]PRIORIZADOS!$A:$T,20,FALSE)="","",VLOOKUP(A681,[6]PRIORIZADOS!$A:$T,20,FALSE)),"")</f>
        <v>Si</v>
      </c>
      <c r="U681" s="11" t="str">
        <f>IFERROR(IF(VLOOKUP(A681,[6]PRIORIZADOS!$A:$U,21,FALSE)="","",VLOOKUP(A681,[6]PRIORIZADOS!$A:$U,21,FALSE)),"")</f>
        <v>La institución presentará plan de mejora con fecha máxima 11 de abril con el fin de ser revisado por el equipo de Inspección y Vigilancia para hacer los ajustes y la trazabilidad correspondiente</v>
      </c>
    </row>
    <row r="682" spans="1:21" s="1" customFormat="1" ht="72">
      <c r="A682" s="69">
        <f>IF([6]PRIORIZADOS!A48="","",[6]PRIORIZADOS!A48)</f>
        <v>620</v>
      </c>
      <c r="B682" s="70">
        <f>IFERROR(IF(VLOOKUP(A682,[6]PRIORIZADOS!$A:$B,2,FALSE)="","",VLOOKUP(A682,[6]PRIORIZADOS!$A:$B,2,FALSE)),"")</f>
        <v>5</v>
      </c>
      <c r="C682" s="11" t="str">
        <f>IFERROR(IF(VLOOKUP(A682,[6]PRIORIZADOS!$A:$C,3,FALSE)="","",VLOOKUP(A682,[6]PRIORIZADOS!$A:$C,3,FALSE)),"")</f>
        <v>ENGATIVÁ</v>
      </c>
      <c r="D682" s="11" t="str">
        <f>IFERROR(IF(VLOOKUP(A682,[6]PRIORIZADOS!$A:$D,4,FALSE)="","",VLOOKUP(A682,[6]PRIORIZADOS!$A:$D,4,FALSE)),"")</f>
        <v>PRIVADO</v>
      </c>
      <c r="E682" s="11" t="str">
        <f>IFERROR(IF(VLOOKUP(A682,[6]PRIORIZADOS!$A:$E,5,FALSE)="","",VLOOKUP(A682,[6]PRIORIZADOS!$A:$E,5,FALSE)),"")</f>
        <v>Educación de Jóvenes y Adultos</v>
      </c>
      <c r="F682" s="11" t="str">
        <f>IFERROR(IF(VLOOKUP(A682,[6]PRIORIZADOS!$A:$F,6,FALSE)="","",VLOOKUP(A682,[6]PRIORIZADOS!$A:$F,6,FALSE)),"")</f>
        <v>CENTRO_DE_EDUCACION_LABORAL</v>
      </c>
      <c r="G682" s="11" t="str">
        <f>IFERROR(IF(VLOOKUP(A682,[6]PRIORIZADOS!$A:$G,7,FALSE)="","",VLOOKUP(A682,[6]PRIORIZADOS!$A:$G,7,FALSE)),"")</f>
        <v>CENTRO_DE_EDUCACION_LABORAL</v>
      </c>
      <c r="H682" s="11" t="str">
        <f>IFERROR(IF(VLOOKUP(A682,[6]PRIORIZADOS!$A:$H,8,FALSE)="","",VLOOKUP(A682,[6]PRIORIZADOS!$A:$H,8,FALSE)),"")</f>
        <v>Autoevaluación Institucional y Pruebas SABER 11</v>
      </c>
      <c r="I682" s="11" t="str">
        <f>IFERROR(IF(VLOOKUP(A682,[6]PRIORIZADOS!$A:$I,9,FALSE)="","",VLOOKUP(A682,[6]PRIORIZADOS!$A:$I,9,FALSE)),"")</f>
        <v>SEGUIMIENTO_Y_SUPERVISIÓN.</v>
      </c>
      <c r="J682" s="11" t="str">
        <f>IFERROR(IF(VLOOKUP(A682,[6]PRIORIZADOS!$A:$J,10,FALSE)="","",VLOOKUP(A682,[6]PRIORIZADOS!$A:$J,10,FALSE)),"")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82" s="11" t="str">
        <f>IFERROR(IF(VLOOKUP(A682,[6]PRIORIZADOS!$A:$K,11,FALSE)="","",VLOOKUP(A682,[6]PRIORIZADOS!$A:$K,11,FALSE)),"")</f>
        <v>SANDRA MILENA BUENAVENTURA RUEDA</v>
      </c>
      <c r="L682" s="11" t="str">
        <f>IFERROR(IF(VLOOKUP(A682,[6]PRIORIZADOS!$A:$L,12,FALSE)="","",VLOOKUP(A682,[6]PRIORIZADOS!$A:$L,12,FALSE)),"")</f>
        <v>JAIME HUMBERTO RAMÍREZ LLANOS</v>
      </c>
      <c r="M682" s="71">
        <f>IFERROR(IF(VLOOKUP(A682,[6]PRIORIZADOS!$A:$M,13,FALSE)="","",VLOOKUP(A682,[6]PRIORIZADOS!$A:$M,13,FALSE)),"")</f>
        <v>45743</v>
      </c>
      <c r="N682" s="139">
        <f>IFERROR(IF(VLOOKUP(A682,[6]PRIORIZADOS!$A:$N,14,FALSE)="","",VLOOKUP(A682,[6]PRIORIZADOS!$A:$N,14,FALSE)),"")</f>
        <v>45743</v>
      </c>
      <c r="O682" s="139">
        <f>IFERROR(IF(VLOOKUP(A682,[6]PRIORIZADOS!$A:$O,15,FALSE)="","",VLOOKUP(A682,[6]PRIORIZADOS!$A:$O,15,FALSE)),"")</f>
        <v>45743</v>
      </c>
      <c r="P682" s="11" t="str">
        <f>IFERROR(IF(VLOOKUP(A682,[6]PRIORIZADOS!$A:$P,16,FALSE)="","",VLOOKUP(A682,[6]PRIORIZADOS!$A:$P,16,FALSE)),"")</f>
        <v>Visitas de evaluación con fines de seguimiento</v>
      </c>
      <c r="Q682" s="89" t="s">
        <v>134</v>
      </c>
      <c r="R682" s="11" t="str">
        <f>IFERROR(IF(VLOOKUP(A682,[6]PRIORIZADOS!$A:$R,18,FALSE)="","",VLOOKUP(A682,[6]PRIORIZADOS!$A:$R,18,FALSE)),"")</f>
        <v>Solo se evidencia un PIAR y en el SIMAT tiene siete estudiantes con Discapacidad</v>
      </c>
      <c r="S682" s="11" t="str">
        <f>IFERROR(IF(VLOOKUP(A682,[6]PRIORIZADOS!$A:$S,19,FALSE)="","",VLOOKUP(A682,[6]PRIORIZADOS!$A:$S,19,FALSE)),"")</f>
        <v>Se le indica la debida actualización de los PIAR de los estudiantes registrados en el SIMAT</v>
      </c>
      <c r="T682" s="70" t="str">
        <f>IFERROR(IF(VLOOKUP(A682,[6]PRIORIZADOS!$A:$T,20,FALSE)="","",VLOOKUP(A682,[6]PRIORIZADOS!$A:$T,20,FALSE)),"")</f>
        <v>Si</v>
      </c>
      <c r="U682" s="11" t="str">
        <f>IFERROR(IF(VLOOKUP(A682,[6]PRIORIZADOS!$A:$U,21,FALSE)="","",VLOOKUP(A682,[6]PRIORIZADOS!$A:$U,21,FALSE)),"")</f>
        <v>La institución presentará plan de mejora con fecha máxima 11 de abril con el fin de ser revisado por el equipo de Inspección y Vigilancia para hacer los ajustes y la trazabilidad correspondiente</v>
      </c>
    </row>
    <row r="683" spans="1:21" s="1" customFormat="1" ht="84">
      <c r="A683" s="69">
        <f>IF([6]PRIORIZADOS!A49="","",[6]PRIORIZADOS!A49)</f>
        <v>621</v>
      </c>
      <c r="B683" s="70">
        <f>IFERROR(IF(VLOOKUP(A683,[6]PRIORIZADOS!$A:$B,2,FALSE)="","",VLOOKUP(A683,[6]PRIORIZADOS!$A:$B,2,FALSE)),"")</f>
        <v>5</v>
      </c>
      <c r="C683" s="11" t="str">
        <f>IFERROR(IF(VLOOKUP(A683,[6]PRIORIZADOS!$A:$C,3,FALSE)="","",VLOOKUP(A683,[6]PRIORIZADOS!$A:$C,3,FALSE)),"")</f>
        <v>ENGATIVÁ</v>
      </c>
      <c r="D683" s="11" t="str">
        <f>IFERROR(IF(VLOOKUP(A683,[6]PRIORIZADOS!$A:$D,4,FALSE)="","",VLOOKUP(A683,[6]PRIORIZADOS!$A:$D,4,FALSE)),"")</f>
        <v>PRIVADO</v>
      </c>
      <c r="E683" s="11" t="str">
        <f>IFERROR(IF(VLOOKUP(A683,[6]PRIORIZADOS!$A:$E,5,FALSE)="","",VLOOKUP(A683,[6]PRIORIZADOS!$A:$E,5,FALSE)),"")</f>
        <v>Educación de Jóvenes y Adultos</v>
      </c>
      <c r="F683" s="11" t="str">
        <f>IFERROR(IF(VLOOKUP(A683,[6]PRIORIZADOS!$A:$F,6,FALSE)="","",VLOOKUP(A683,[6]PRIORIZADOS!$A:$F,6,FALSE)),"")</f>
        <v>CENTRO_DE_EDUCACION_LABORAL</v>
      </c>
      <c r="G683" s="11" t="str">
        <f>IFERROR(IF(VLOOKUP(A683,[6]PRIORIZADOS!$A:$G,7,FALSE)="","",VLOOKUP(A683,[6]PRIORIZADOS!$A:$G,7,FALSE)),"")</f>
        <v>CENTRO_DE_EDUCACION_LABORAL</v>
      </c>
      <c r="H683" s="11" t="str">
        <f>IFERROR(IF(VLOOKUP(A683,[6]PRIORIZADOS!$A:$H,8,FALSE)="","",VLOOKUP(A683,[6]PRIORIZADOS!$A:$H,8,FALSE)),"")</f>
        <v>Autoevaluación Institucional y Pruebas SABER 11</v>
      </c>
      <c r="I683" s="11" t="str">
        <f>IFERROR(IF(VLOOKUP(A683,[6]PRIORIZADOS!$A:$I,9,FALSE)="","",VLOOKUP(A683,[6]PRIORIZADOS!$A:$I,9,FALSE)),"")</f>
        <v>EVALUACIÓN_CON_FINES_DE_MEJORAMIENTO.</v>
      </c>
      <c r="J683" s="11" t="str">
        <f>IFERROR(IF(VLOOKUP(A683,[6]PRIORIZADOS!$A:$J,10,FALSE)="","",VLOOKUP(A683,[6]PRIORIZADOS!$A:$J,10,FALSE)),"")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83" s="11" t="str">
        <f>IFERROR(IF(VLOOKUP(A683,[6]PRIORIZADOS!$A:$K,11,FALSE)="","",VLOOKUP(A683,[6]PRIORIZADOS!$A:$K,11,FALSE)),"")</f>
        <v>SANDRA MILENA BUENAVENTURA RUEDA</v>
      </c>
      <c r="L683" s="11" t="str">
        <f>IFERROR(IF(VLOOKUP(A683,[6]PRIORIZADOS!$A:$L,12,FALSE)="","",VLOOKUP(A683,[6]PRIORIZADOS!$A:$L,12,FALSE)),"")</f>
        <v>JAIME HUMBERTO RAMÍREZ LLANOS</v>
      </c>
      <c r="M683" s="71">
        <f>IFERROR(IF(VLOOKUP(A683,[6]PRIORIZADOS!$A:$M,13,FALSE)="","",VLOOKUP(A683,[6]PRIORIZADOS!$A:$M,13,FALSE)),"")</f>
        <v>45743</v>
      </c>
      <c r="N683" s="139">
        <f>IFERROR(IF(VLOOKUP(A683,[6]PRIORIZADOS!$A:$N,14,FALSE)="","",VLOOKUP(A683,[6]PRIORIZADOS!$A:$N,14,FALSE)),"")</f>
        <v>45743</v>
      </c>
      <c r="O683" s="139">
        <f>IFERROR(IF(VLOOKUP(A683,[6]PRIORIZADOS!$A:$O,15,FALSE)="","",VLOOKUP(A683,[6]PRIORIZADOS!$A:$O,15,FALSE)),"")</f>
        <v>45743</v>
      </c>
      <c r="P683" s="11" t="str">
        <f>IFERROR(IF(VLOOKUP(A683,[6]PRIORIZADOS!$A:$P,16,FALSE)="","",VLOOKUP(A683,[6]PRIORIZADOS!$A:$P,16,FALSE)),"")</f>
        <v>Visitas de evaluación con fines de mejoramiento</v>
      </c>
      <c r="Q683" s="89" t="s">
        <v>134</v>
      </c>
      <c r="R683" s="11" t="str">
        <f>IFERROR(IF(VLOOKUP(A683,[6]PRIORIZADOS!$A:$R,18,FALSE)="","",VLOOKUP(A683,[6]PRIORIZADOS!$A:$R,18,FALSE)),"")</f>
        <v xml:space="preserve">El Manual de Convivencia se encuentra desactualizado y no acorde con la normatividad </v>
      </c>
      <c r="S683" s="11" t="str">
        <f>IFERROR(IF(VLOOKUP(A683,[6]PRIORIZADOS!$A:$S,19,FALSE)="","",VLOOKUP(A683,[6]PRIORIZADOS!$A:$S,19,FALSE)),"")</f>
        <v>El Manual de convivencia debe ser actualizado de acuerdo a la normatividad vigente, debe incluir la diversidad y el enfoque restaurativo, asi mismo, que se evidencie que fue construido de manera participativa.</v>
      </c>
      <c r="T683" s="70" t="str">
        <f>IFERROR(IF(VLOOKUP(A683,[6]PRIORIZADOS!$A:$T,20,FALSE)="","",VLOOKUP(A683,[6]PRIORIZADOS!$A:$T,20,FALSE)),"")</f>
        <v>Si</v>
      </c>
      <c r="U683" s="11" t="str">
        <f>IFERROR(IF(VLOOKUP(A683,[6]PRIORIZADOS!$A:$U,21,FALSE)="","",VLOOKUP(A683,[6]PRIORIZADOS!$A:$U,21,FALSE)),"")</f>
        <v>La institución presentará plan de mejora con fecha máxima 11 de abril con el fin de ser revisado por el equipo de Inspección y Vigilancia para hacer los ajustes y la trazabilidad correspondiente</v>
      </c>
    </row>
    <row r="684" spans="1:21" s="1" customFormat="1" ht="60">
      <c r="A684" s="69">
        <f>IF([6]PRIORIZADOS!A50="","",[6]PRIORIZADOS!A50)</f>
        <v>622</v>
      </c>
      <c r="B684" s="70">
        <f>IFERROR(IF(VLOOKUP(A684,[6]PRIORIZADOS!$A:$B,2,FALSE)="","",VLOOKUP(A684,[6]PRIORIZADOS!$A:$B,2,FALSE)),"")</f>
        <v>5</v>
      </c>
      <c r="C684" s="11" t="str">
        <f>IFERROR(IF(VLOOKUP(A684,[6]PRIORIZADOS!$A:$C,3,FALSE)="","",VLOOKUP(A684,[6]PRIORIZADOS!$A:$C,3,FALSE)),"")</f>
        <v>ENGATIVÁ</v>
      </c>
      <c r="D684" s="11" t="str">
        <f>IFERROR(IF(VLOOKUP(A684,[6]PRIORIZADOS!$A:$D,4,FALSE)="","",VLOOKUP(A684,[6]PRIORIZADOS!$A:$D,4,FALSE)),"")</f>
        <v>PRIVADO</v>
      </c>
      <c r="E684" s="11" t="str">
        <f>IFERROR(IF(VLOOKUP(A684,[6]PRIORIZADOS!$A:$E,5,FALSE)="","",VLOOKUP(A684,[6]PRIORIZADOS!$A:$E,5,FALSE)),"")</f>
        <v>Educación de Jóvenes y Adultos</v>
      </c>
      <c r="F684" s="11" t="str">
        <f>IFERROR(IF(VLOOKUP(A684,[6]PRIORIZADOS!$A:$F,6,FALSE)="","",VLOOKUP(A684,[6]PRIORIZADOS!$A:$F,6,FALSE)),"")</f>
        <v>CENTRO_DE_EDUCACION_LABORAL</v>
      </c>
      <c r="G684" s="11" t="str">
        <f>IFERROR(IF(VLOOKUP(A684,[6]PRIORIZADOS!$A:$G,7,FALSE)="","",VLOOKUP(A684,[6]PRIORIZADOS!$A:$G,7,FALSE)),"")</f>
        <v>CENTRO_DE_EDUCACION_LABORAL</v>
      </c>
      <c r="H684" s="11" t="str">
        <f>IFERROR(IF(VLOOKUP(A684,[6]PRIORIZADOS!$A:$H,8,FALSE)="","",VLOOKUP(A684,[6]PRIORIZADOS!$A:$H,8,FALSE)),"")</f>
        <v>Autoevaluación Institucional y Pruebas SABER 11</v>
      </c>
      <c r="I684" s="11" t="str">
        <f>IFERROR(IF(VLOOKUP(A684,[6]PRIORIZADOS!$A:$I,9,FALSE)="","",VLOOKUP(A684,[6]PRIORIZADOS!$A:$I,9,FALSE)),"")</f>
        <v>EVALUACIÓN_CON_FINES_DE_MEJORAMIENTO.</v>
      </c>
      <c r="J684" s="11" t="str">
        <f>IFERROR(IF(VLOOKUP(A684,[6]PRIORIZADOS!$A:$J,10,FALSE)="","",VLOOKUP(A684,[6]PRIORIZADOS!$A:$J,10,FALSE)),"")</f>
        <v>Revisar la actualización, socialización e implementación del Sistema Institucional de Evaluación de Estudiantes - SIEE, en articulación con la actualización del PEI y la normatividad vigente.</v>
      </c>
      <c r="K684" s="11" t="str">
        <f>IFERROR(IF(VLOOKUP(A684,[6]PRIORIZADOS!$A:$K,11,FALSE)="","",VLOOKUP(A684,[6]PRIORIZADOS!$A:$K,11,FALSE)),"")</f>
        <v>SANDRA MILENA BUENAVENTURA RUEDA</v>
      </c>
      <c r="L684" s="11" t="str">
        <f>IFERROR(IF(VLOOKUP(A684,[6]PRIORIZADOS!$A:$L,12,FALSE)="","",VLOOKUP(A684,[6]PRIORIZADOS!$A:$L,12,FALSE)),"")</f>
        <v>JAIME HUMBERTO RAMÍREZ LLANOS</v>
      </c>
      <c r="M684" s="71">
        <f>IFERROR(IF(VLOOKUP(A684,[6]PRIORIZADOS!$A:$M,13,FALSE)="","",VLOOKUP(A684,[6]PRIORIZADOS!$A:$M,13,FALSE)),"")</f>
        <v>45743</v>
      </c>
      <c r="N684" s="139">
        <f>IFERROR(IF(VLOOKUP(A684,[6]PRIORIZADOS!$A:$N,14,FALSE)="","",VLOOKUP(A684,[6]PRIORIZADOS!$A:$N,14,FALSE)),"")</f>
        <v>45743</v>
      </c>
      <c r="O684" s="139">
        <f>IFERROR(IF(VLOOKUP(A684,[6]PRIORIZADOS!$A:$O,15,FALSE)="","",VLOOKUP(A684,[6]PRIORIZADOS!$A:$O,15,FALSE)),"")</f>
        <v>45743</v>
      </c>
      <c r="P684" s="11" t="str">
        <f>IFERROR(IF(VLOOKUP(A684,[6]PRIORIZADOS!$A:$P,16,FALSE)="","",VLOOKUP(A684,[6]PRIORIZADOS!$A:$P,16,FALSE)),"")</f>
        <v>Visitas de evaluación con fines de mejoramiento</v>
      </c>
      <c r="Q684" s="89" t="s">
        <v>134</v>
      </c>
      <c r="R684" s="11" t="str">
        <f>IFERROR(IF(VLOOKUP(A684,[6]PRIORIZADOS!$A:$R,18,FALSE)="","",VLOOKUP(A684,[6]PRIORIZADOS!$A:$R,18,FALSE)),"")</f>
        <v xml:space="preserve">El SIEE se encuentra desactualizado y no acorde con la normatividad </v>
      </c>
      <c r="S684" s="11" t="str">
        <f>IFERROR(IF(VLOOKUP(A684,[6]PRIORIZADOS!$A:$S,19,FALSE)="","",VLOOKUP(A684,[6]PRIORIZADOS!$A:$S,19,FALSE)),"")</f>
        <v>Actualizar el año lectivo debe ser ciclo lectivo, en promoción anticipada se debe especificar que la solicita el estudiante pero si es menor de edad debe ser el acudiente.</v>
      </c>
      <c r="T684" s="70" t="str">
        <f>IFERROR(IF(VLOOKUP(A684,[6]PRIORIZADOS!$A:$T,20,FALSE)="","",VLOOKUP(A684,[6]PRIORIZADOS!$A:$T,20,FALSE)),"")</f>
        <v>Si</v>
      </c>
      <c r="U684" s="11" t="str">
        <f>IFERROR(IF(VLOOKUP(A684,[6]PRIORIZADOS!$A:$U,21,FALSE)="","",VLOOKUP(A684,[6]PRIORIZADOS!$A:$U,21,FALSE)),"")</f>
        <v>La institución presentará plan de mejora con fecha máxima 11 de abril con el fin de ser revisado por el equipo de Inspección y Vigilancia para hacer los ajustes y la trazabilidad correspondiente</v>
      </c>
    </row>
    <row r="685" spans="1:21" s="1" customFormat="1" ht="48">
      <c r="A685" s="69">
        <f>IF([6]PRIORIZADOS!A51="","",[6]PRIORIZADOS!A51)</f>
        <v>623</v>
      </c>
      <c r="B685" s="70">
        <f>IFERROR(IF(VLOOKUP(A685,[6]PRIORIZADOS!$A:$B,2,FALSE)="","",VLOOKUP(A685,[6]PRIORIZADOS!$A:$B,2,FALSE)),"")</f>
        <v>5</v>
      </c>
      <c r="C685" s="11" t="str">
        <f>IFERROR(IF(VLOOKUP(A685,[6]PRIORIZADOS!$A:$C,3,FALSE)="","",VLOOKUP(A685,[6]PRIORIZADOS!$A:$C,3,FALSE)),"")</f>
        <v>ENGATIVÁ</v>
      </c>
      <c r="D685" s="11" t="str">
        <f>IFERROR(IF(VLOOKUP(A685,[6]PRIORIZADOS!$A:$D,4,FALSE)="","",VLOOKUP(A685,[6]PRIORIZADOS!$A:$D,4,FALSE)),"")</f>
        <v>PRIVADO</v>
      </c>
      <c r="E685" s="11" t="str">
        <f>IFERROR(IF(VLOOKUP(A685,[6]PRIORIZADOS!$A:$E,5,FALSE)="","",VLOOKUP(A685,[6]PRIORIZADOS!$A:$E,5,FALSE)),"")</f>
        <v>Educación de Jóvenes y Adultos</v>
      </c>
      <c r="F685" s="11" t="str">
        <f>IFERROR(IF(VLOOKUP(A685,[6]PRIORIZADOS!$A:$F,6,FALSE)="","",VLOOKUP(A685,[6]PRIORIZADOS!$A:$F,6,FALSE)),"")</f>
        <v>CENTRO_DE_EDUCACION_LABORAL</v>
      </c>
      <c r="G685" s="11" t="str">
        <f>IFERROR(IF(VLOOKUP(A685,[6]PRIORIZADOS!$A:$G,7,FALSE)="","",VLOOKUP(A685,[6]PRIORIZADOS!$A:$G,7,FALSE)),"")</f>
        <v>CENTRO_DE_EDUCACION_LABORAL</v>
      </c>
      <c r="H685" s="11" t="str">
        <f>IFERROR(IF(VLOOKUP(A685,[6]PRIORIZADOS!$A:$H,8,FALSE)="","",VLOOKUP(A685,[6]PRIORIZADOS!$A:$H,8,FALSE)),"")</f>
        <v>Autoevaluación Institucional y Pruebas SABER 11</v>
      </c>
      <c r="I685" s="11" t="str">
        <f>IFERROR(IF(VLOOKUP(A685,[6]PRIORIZADOS!$A:$I,9,FALSE)="","",VLOOKUP(A685,[6]PRIORIZADOS!$A:$I,9,FALSE)),"")</f>
        <v>EVALUACIÓN_CON_FINES_DE_MEJORAMIENTO.</v>
      </c>
      <c r="J685" s="11" t="str">
        <f>IFERROR(IF(VLOOKUP(A685,[6]PRIORIZADOS!$A:$J,10,FALSE)="","",VLOOKUP(A685,[6]PRIORIZADOS!$A:$J,10,FALSE)),"")</f>
        <v>Revisar el calendario escolar, jornada escolar, la intensidad horaria mínima anual en cada nivel y las modificaciones que se realicen al mismo, de acuerdo con lo previsto en la normatividad vigente.</v>
      </c>
      <c r="K685" s="11" t="str">
        <f>IFERROR(IF(VLOOKUP(A685,[6]PRIORIZADOS!$A:$K,11,FALSE)="","",VLOOKUP(A685,[6]PRIORIZADOS!$A:$K,11,FALSE)),"")</f>
        <v>SANDRA MILENA BUENAVENTURA RUEDA</v>
      </c>
      <c r="L685" s="11" t="str">
        <f>IFERROR(IF(VLOOKUP(A685,[6]PRIORIZADOS!$A:$L,12,FALSE)="","",VLOOKUP(A685,[6]PRIORIZADOS!$A:$L,12,FALSE)),"")</f>
        <v>JAIME HUMBERTO RAMÍREZ LLANOS</v>
      </c>
      <c r="M685" s="71">
        <f>IFERROR(IF(VLOOKUP(A685,[6]PRIORIZADOS!$A:$M,13,FALSE)="","",VLOOKUP(A685,[6]PRIORIZADOS!$A:$M,13,FALSE)),"")</f>
        <v>45743</v>
      </c>
      <c r="N685" s="139">
        <f>IFERROR(IF(VLOOKUP(A685,[6]PRIORIZADOS!$A:$N,14,FALSE)="","",VLOOKUP(A685,[6]PRIORIZADOS!$A:$N,14,FALSE)),"")</f>
        <v>45743</v>
      </c>
      <c r="O685" s="139">
        <f>IFERROR(IF(VLOOKUP(A685,[6]PRIORIZADOS!$A:$O,15,FALSE)="","",VLOOKUP(A685,[6]PRIORIZADOS!$A:$O,15,FALSE)),"")</f>
        <v>45743</v>
      </c>
      <c r="P685" s="11" t="str">
        <f>IFERROR(IF(VLOOKUP(A685,[6]PRIORIZADOS!$A:$P,16,FALSE)="","",VLOOKUP(A685,[6]PRIORIZADOS!$A:$P,16,FALSE)),"")</f>
        <v>Visitas de evaluación con fines de mejoramiento</v>
      </c>
      <c r="Q685" s="89" t="s">
        <v>134</v>
      </c>
      <c r="R685" s="11" t="str">
        <f>IFERROR(IF(VLOOKUP(A685,[6]PRIORIZADOS!$A:$R,18,FALSE)="","",VLOOKUP(A685,[6]PRIORIZADOS!$A:$R,18,FALSE)),"")</f>
        <v xml:space="preserve">La IE no tiene el calendario escolar para la vigencia </v>
      </c>
      <c r="S685" s="11" t="str">
        <f>IFERROR(IF(VLOOKUP(A685,[6]PRIORIZADOS!$A:$S,19,FALSE)="","",VLOOKUP(A685,[6]PRIORIZADOS!$A:$S,19,FALSE)),"")</f>
        <v>Se requiere actualizar el calendario escolar</v>
      </c>
      <c r="T685" s="70" t="str">
        <f>IFERROR(IF(VLOOKUP(A685,[6]PRIORIZADOS!$A:$T,20,FALSE)="","",VLOOKUP(A685,[6]PRIORIZADOS!$A:$T,20,FALSE)),"")</f>
        <v>Si</v>
      </c>
      <c r="U685" s="11" t="str">
        <f>IFERROR(IF(VLOOKUP(A685,[6]PRIORIZADOS!$A:$U,21,FALSE)="","",VLOOKUP(A685,[6]PRIORIZADOS!$A:$U,21,FALSE)),"")</f>
        <v>La institución presentará plan de mejora con fecha máxima 11 de abril con el fin de ser revisado por el equipo de Inspección y Vigilancia para hacer los ajustes y la trazabilidad correspondiente</v>
      </c>
    </row>
    <row r="686" spans="1:21" s="1" customFormat="1" ht="60">
      <c r="A686" s="69">
        <f>IF([6]PRIORIZADOS!A52="","",[6]PRIORIZADOS!A52)</f>
        <v>624</v>
      </c>
      <c r="B686" s="70">
        <f>IFERROR(IF(VLOOKUP(A686,[6]PRIORIZADOS!$A:$B,2,FALSE)="","",VLOOKUP(A686,[6]PRIORIZADOS!$A:$B,2,FALSE)),"")</f>
        <v>5</v>
      </c>
      <c r="C686" s="11" t="str">
        <f>IFERROR(IF(VLOOKUP(A686,[6]PRIORIZADOS!$A:$C,3,FALSE)="","",VLOOKUP(A686,[6]PRIORIZADOS!$A:$C,3,FALSE)),"")</f>
        <v>ENGATIVÁ</v>
      </c>
      <c r="D686" s="11" t="str">
        <f>IFERROR(IF(VLOOKUP(A686,[6]PRIORIZADOS!$A:$D,4,FALSE)="","",VLOOKUP(A686,[6]PRIORIZADOS!$A:$D,4,FALSE)),"")</f>
        <v>PRIVADO</v>
      </c>
      <c r="E686" s="11" t="str">
        <f>IFERROR(IF(VLOOKUP(A686,[6]PRIORIZADOS!$A:$E,5,FALSE)="","",VLOOKUP(A686,[6]PRIORIZADOS!$A:$E,5,FALSE)),"")</f>
        <v>Educación de Jóvenes y Adultos</v>
      </c>
      <c r="F686" s="11" t="str">
        <f>IFERROR(IF(VLOOKUP(A686,[6]PRIORIZADOS!$A:$F,6,FALSE)="","",VLOOKUP(A686,[6]PRIORIZADOS!$A:$F,6,FALSE)),"")</f>
        <v>CENTRO_DE_EDUCACION_LABORAL</v>
      </c>
      <c r="G686" s="11" t="str">
        <f>IFERROR(IF(VLOOKUP(A686,[6]PRIORIZADOS!$A:$G,7,FALSE)="","",VLOOKUP(A686,[6]PRIORIZADOS!$A:$G,7,FALSE)),"")</f>
        <v>CENTRO_DE_EDUCACION_LABORAL</v>
      </c>
      <c r="H686" s="11" t="str">
        <f>IFERROR(IF(VLOOKUP(A686,[6]PRIORIZADOS!$A:$H,8,FALSE)="","",VLOOKUP(A686,[6]PRIORIZADOS!$A:$H,8,FALSE)),"")</f>
        <v>Autoevaluación Institucional y Pruebas SABER 11</v>
      </c>
      <c r="I686" s="11" t="str">
        <f>IFERROR(IF(VLOOKUP(A686,[6]PRIORIZADOS!$A:$I,9,FALSE)="","",VLOOKUP(A686,[6]PRIORIZADOS!$A:$I,9,FALSE)),"")</f>
        <v>EVALUACIÓN_CON_FINES_DE_MEJORAMIENTO.</v>
      </c>
      <c r="J686" s="11" t="str">
        <f>IFERROR(IF(VLOOKUP(A686,[6]PRIORIZADOS!$A:$J,10,FALSE)="","",VLOOKUP(A686,[6]PRIORIZADOS!$A:$J,10,FALSE)),"")</f>
        <v>Verificar el funcionamiento del Gobierno Escolar e instancias de participación con base en la información sobre conformación reportada por la institución educativa.</v>
      </c>
      <c r="K686" s="11" t="str">
        <f>IFERROR(IF(VLOOKUP(A686,[6]PRIORIZADOS!$A:$K,11,FALSE)="","",VLOOKUP(A686,[6]PRIORIZADOS!$A:$K,11,FALSE)),"")</f>
        <v>SANDRA MILENA BUENAVENTURA RUEDA</v>
      </c>
      <c r="L686" s="11" t="str">
        <f>IFERROR(IF(VLOOKUP(A686,[6]PRIORIZADOS!$A:$L,12,FALSE)="","",VLOOKUP(A686,[6]PRIORIZADOS!$A:$L,12,FALSE)),"")</f>
        <v>JAIME HUMBERTO RAMÍREZ LLANOS</v>
      </c>
      <c r="M686" s="71">
        <f>IFERROR(IF(VLOOKUP(A686,[6]PRIORIZADOS!$A:$M,13,FALSE)="","",VLOOKUP(A686,[6]PRIORIZADOS!$A:$M,13,FALSE)),"")</f>
        <v>45743</v>
      </c>
      <c r="N686" s="139">
        <f>IFERROR(IF(VLOOKUP(A686,[6]PRIORIZADOS!$A:$N,14,FALSE)="","",VLOOKUP(A686,[6]PRIORIZADOS!$A:$N,14,FALSE)),"")</f>
        <v>45743</v>
      </c>
      <c r="O686" s="139">
        <f>IFERROR(IF(VLOOKUP(A686,[6]PRIORIZADOS!$A:$O,15,FALSE)="","",VLOOKUP(A686,[6]PRIORIZADOS!$A:$O,15,FALSE)),"")</f>
        <v>45743</v>
      </c>
      <c r="P686" s="11" t="str">
        <f>IFERROR(IF(VLOOKUP(A686,[6]PRIORIZADOS!$A:$P,16,FALSE)="","",VLOOKUP(A686,[6]PRIORIZADOS!$A:$P,16,FALSE)),"")</f>
        <v>Visitas de evaluación con fines de mejoramiento</v>
      </c>
      <c r="Q686" s="89" t="s">
        <v>134</v>
      </c>
      <c r="R686" s="11" t="str">
        <f>IFERROR(IF(VLOOKUP(A686,[6]PRIORIZADOS!$A:$R,18,FALSE)="","",VLOOKUP(A686,[6]PRIORIZADOS!$A:$R,18,FALSE)),"")</f>
        <v>La IE aporta las actas de las reuniones realizadas con el Consejo Directivo, Consejo Academico y Comisión de evaluación y promocióm.</v>
      </c>
      <c r="S686" s="11" t="str">
        <f>IFERROR(IF(VLOOKUP(A686,[6]PRIORIZADOS!$A:$S,19,FALSE)="","",VLOOKUP(A686,[6]PRIORIZADOS!$A:$S,19,FALSE)),"")</f>
        <v>Se hacen recomendaciones en cuanto a la estructura de las actas, numeración, agenda de los temas abordados y especificación de los casos tratados y debidamente suscritas.</v>
      </c>
      <c r="T686" s="70" t="str">
        <f>IFERROR(IF(VLOOKUP(A686,[6]PRIORIZADOS!$A:$T,20,FALSE)="","",VLOOKUP(A686,[6]PRIORIZADOS!$A:$T,20,FALSE)),"")</f>
        <v>Si</v>
      </c>
      <c r="U686" s="11" t="str">
        <f>IFERROR(IF(VLOOKUP(A686,[6]PRIORIZADOS!$A:$U,21,FALSE)="","",VLOOKUP(A686,[6]PRIORIZADOS!$A:$U,21,FALSE)),"")</f>
        <v>La institución presentará plan de mejora con fecha máxima 11 de abril con el fin de ser revisado por el equipo de Inspección y Vigilancia para hacer los ajustes y la trazabilidad correspondiente</v>
      </c>
    </row>
    <row r="687" spans="1:21" s="1" customFormat="1" ht="60">
      <c r="A687" s="69">
        <f>IF([6]PRIORIZADOS!A53="","",[6]PRIORIZADOS!A53)</f>
        <v>625</v>
      </c>
      <c r="B687" s="70">
        <f>IFERROR(IF(VLOOKUP(A687,[6]PRIORIZADOS!$A:$B,2,FALSE)="","",VLOOKUP(A687,[6]PRIORIZADOS!$A:$B,2,FALSE)),"")</f>
        <v>5</v>
      </c>
      <c r="C687" s="11" t="str">
        <f>IFERROR(IF(VLOOKUP(A687,[6]PRIORIZADOS!$A:$C,3,FALSE)="","",VLOOKUP(A687,[6]PRIORIZADOS!$A:$C,3,FALSE)),"")</f>
        <v>ENGATIVÁ</v>
      </c>
      <c r="D687" s="11" t="str">
        <f>IFERROR(IF(VLOOKUP(A687,[6]PRIORIZADOS!$A:$D,4,FALSE)="","",VLOOKUP(A687,[6]PRIORIZADOS!$A:$D,4,FALSE)),"")</f>
        <v>PRIVADO</v>
      </c>
      <c r="E687" s="11" t="str">
        <f>IFERROR(IF(VLOOKUP(A687,[6]PRIORIZADOS!$A:$E,5,FALSE)="","",VLOOKUP(A687,[6]PRIORIZADOS!$A:$E,5,FALSE)),"")</f>
        <v>Educación de Jóvenes y Adultos</v>
      </c>
      <c r="F687" s="11" t="str">
        <f>IFERROR(IF(VLOOKUP(A687,[6]PRIORIZADOS!$A:$F,6,FALSE)="","",VLOOKUP(A687,[6]PRIORIZADOS!$A:$F,6,FALSE)),"")</f>
        <v>CENTRO_DE_EDUCACION_LABORAL</v>
      </c>
      <c r="G687" s="11" t="str">
        <f>IFERROR(IF(VLOOKUP(A687,[6]PRIORIZADOS!$A:$G,7,FALSE)="","",VLOOKUP(A687,[6]PRIORIZADOS!$A:$G,7,FALSE)),"")</f>
        <v>CENTRO_DE_EDUCACION_LABORAL</v>
      </c>
      <c r="H687" s="11" t="str">
        <f>IFERROR(IF(VLOOKUP(A687,[6]PRIORIZADOS!$A:$H,8,FALSE)="","",VLOOKUP(A687,[6]PRIORIZADOS!$A:$H,8,FALSE)),"")</f>
        <v>Autoevaluación Institucional y Pruebas SABER 11</v>
      </c>
      <c r="I687" s="11" t="str">
        <f>IFERROR(IF(VLOOKUP(A687,[6]PRIORIZADOS!$A:$I,9,FALSE)="","",VLOOKUP(A687,[6]PRIORIZADOS!$A:$I,9,FALSE)),"")</f>
        <v>EVALUACIÓN_CON_FINES_DE_MEJORAMIENTO.</v>
      </c>
      <c r="J687" s="11" t="str">
        <f>IFERROR(IF(VLOOKUP(A687,[6]PRIORIZADOS!$A:$J,10,FALSE)="","",VLOOKUP(A687,[6]PRIORIZADOS!$A:$J,10,FALSE)),"")</f>
        <v>Verificar las condiciones en cuanto a: la estructura administrativa, condiciones de la planta física y medios educativos adecuados.</v>
      </c>
      <c r="K687" s="11" t="str">
        <f>IFERROR(IF(VLOOKUP(A687,[6]PRIORIZADOS!$A:$K,11,FALSE)="","",VLOOKUP(A687,[6]PRIORIZADOS!$A:$K,11,FALSE)),"")</f>
        <v>SANDRA MILENA BUENAVENTURA RUEDA</v>
      </c>
      <c r="L687" s="11" t="str">
        <f>IFERROR(IF(VLOOKUP(A687,[6]PRIORIZADOS!$A:$L,12,FALSE)="","",VLOOKUP(A687,[6]PRIORIZADOS!$A:$L,12,FALSE)),"")</f>
        <v>JAIME HUMBERTO RAMÍREZ LLANOS</v>
      </c>
      <c r="M687" s="71">
        <f>IFERROR(IF(VLOOKUP(A687,[6]PRIORIZADOS!$A:$M,13,FALSE)="","",VLOOKUP(A687,[6]PRIORIZADOS!$A:$M,13,FALSE)),"")</f>
        <v>45743</v>
      </c>
      <c r="N687" s="139">
        <f>IFERROR(IF(VLOOKUP(A687,[6]PRIORIZADOS!$A:$N,14,FALSE)="","",VLOOKUP(A687,[6]PRIORIZADOS!$A:$N,14,FALSE)),"")</f>
        <v>45743</v>
      </c>
      <c r="O687" s="139">
        <f>IFERROR(IF(VLOOKUP(A687,[6]PRIORIZADOS!$A:$O,15,FALSE)="","",VLOOKUP(A687,[6]PRIORIZADOS!$A:$O,15,FALSE)),"")</f>
        <v>45743</v>
      </c>
      <c r="P687" s="11" t="str">
        <f>IFERROR(IF(VLOOKUP(A687,[6]PRIORIZADOS!$A:$P,16,FALSE)="","",VLOOKUP(A687,[6]PRIORIZADOS!$A:$P,16,FALSE)),"")</f>
        <v>Visitas de evaluación con fines de mejoramiento</v>
      </c>
      <c r="Q687" s="89" t="s">
        <v>134</v>
      </c>
      <c r="R687" s="11" t="str">
        <f>IFERROR(IF(VLOOKUP(A687,[6]PRIORIZADOS!$A:$R,18,FALSE)="","",VLOOKUP(A687,[6]PRIORIZADOS!$A:$R,18,FALSE)),"")</f>
        <v>La IE cuenta con 5 salones, 1 aula de sistemas con 15 computadores con acceso a internet, 5 baños y 72 pupitres</v>
      </c>
      <c r="S687" s="11" t="str">
        <f>IFERROR(IF(VLOOKUP(A687,[6]PRIORIZADOS!$A:$S,19,FALSE)="","",VLOOKUP(A687,[6]PRIORIZADOS!$A:$S,19,FALSE)),"")</f>
        <v>La IE no cuenta con laboratorios para la media, la capacidad de las aulas no es suficiente con la matricula (99 estudiantes en jornada completa y 55 estudiantes en jornada nocturna) no cuenta con bilbioteca</v>
      </c>
      <c r="T687" s="70" t="str">
        <f>IFERROR(IF(VLOOKUP(A687,[6]PRIORIZADOS!$A:$T,20,FALSE)="","",VLOOKUP(A687,[6]PRIORIZADOS!$A:$T,20,FALSE)),"")</f>
        <v>Si</v>
      </c>
      <c r="U687" s="11" t="str">
        <f>IFERROR(IF(VLOOKUP(A687,[6]PRIORIZADOS!$A:$U,21,FALSE)="","",VLOOKUP(A687,[6]PRIORIZADOS!$A:$U,21,FALSE)),"")</f>
        <v>La institución presentará plan de mejora con fecha máxima 11 de abril con el fin de ser revisado por el equipo de Inspección y Vigilancia para hacer los ajustes y la trazabilidad correspondiente</v>
      </c>
    </row>
    <row r="688" spans="1:21" s="1" customFormat="1" ht="36">
      <c r="A688" s="69">
        <f>IF([6]PRIORIZADOS!A54="","",[6]PRIORIZADOS!A54)</f>
        <v>626</v>
      </c>
      <c r="B688" s="70">
        <f>IFERROR(IF(VLOOKUP(A688,[6]PRIORIZADOS!$A:$B,2,FALSE)="","",VLOOKUP(A688,[6]PRIORIZADOS!$A:$B,2,FALSE)),"")</f>
        <v>6</v>
      </c>
      <c r="C688" s="11" t="str">
        <f>IFERROR(IF(VLOOKUP(A688,[6]PRIORIZADOS!$A:$C,3,FALSE)="","",VLOOKUP(A688,[6]PRIORIZADOS!$A:$C,3,FALSE)),"")</f>
        <v>ENGATIVÁ</v>
      </c>
      <c r="D688" s="11" t="str">
        <f>IFERROR(IF(VLOOKUP(A688,[6]PRIORIZADOS!$A:$D,4,FALSE)="","",VLOOKUP(A688,[6]PRIORIZADOS!$A:$D,4,FALSE)),"")</f>
        <v>PRIVADO</v>
      </c>
      <c r="E688" s="11" t="str">
        <f>IFERROR(IF(VLOOKUP(A688,[6]PRIORIZADOS!$A:$E,5,FALSE)="","",VLOOKUP(A688,[6]PRIORIZADOS!$A:$E,5,FALSE)),"")</f>
        <v>EPBM</v>
      </c>
      <c r="F688" s="11" t="str">
        <f>IFERROR(IF(VLOOKUP(A688,[6]PRIORIZADOS!$A:$F,6,FALSE)="","",VLOOKUP(A688,[6]PRIORIZADOS!$A:$F,6,FALSE)),"")</f>
        <v>COLEGIO MAYOR DE GALES</v>
      </c>
      <c r="G688" s="11" t="str">
        <f>IFERROR(IF(VLOOKUP(A688,[6]PRIORIZADOS!$A:$G,7,FALSE)="","",VLOOKUP(A688,[6]PRIORIZADOS!$A:$G,7,FALSE)),"")</f>
        <v>COLEGIO MAYOR DE GALES</v>
      </c>
      <c r="H688" s="11" t="str">
        <f>IFERROR(IF(VLOOKUP(A688,[6]PRIORIZADOS!$A:$H,8,FALSE)="","",VLOOKUP(A688,[6]PRIORIZADOS!$A:$H,8,FALSE)),"")</f>
        <v>Autoevaluación Institucional y Pruebas SABER 11</v>
      </c>
      <c r="I688" s="11" t="str">
        <f>IFERROR(IF(VLOOKUP(A688,[6]PRIORIZADOS!$A:$I,9,FALSE)="","",VLOOKUP(A688,[6]PRIORIZADOS!$A:$I,9,FALSE)),"")</f>
        <v>SEGUIMIENTO_Y_SUPERVISIÓN.</v>
      </c>
      <c r="J688" s="11" t="str">
        <f>IFERROR(IF(VLOOKUP(A688,[6]PRIORIZADOS!$A:$J,10,FALSE)="","",VLOOKUP(A688,[6]PRIORIZADOS!$A:$J,10,FALSE)),"")</f>
        <v>Realizar visitas para verificar la información registrada sobre la autoevaluación institucional en el aplicativo EVI, a los establecimientos de educación formal no oficial.</v>
      </c>
      <c r="K688" s="11" t="str">
        <f>IFERROR(IF(VLOOKUP(A688,[6]PRIORIZADOS!$A:$K,11,FALSE)="","",VLOOKUP(A688,[6]PRIORIZADOS!$A:$K,11,FALSE)),"")</f>
        <v>ANA MARÍA CASAS SANABRIA</v>
      </c>
      <c r="L688" s="11" t="str">
        <f>IFERROR(IF(VLOOKUP(A688,[6]PRIORIZADOS!$A:$L,12,FALSE)="","",VLOOKUP(A688,[6]PRIORIZADOS!$A:$L,12,FALSE)),"")</f>
        <v>MÓNICA JANNETH RAMÍREZ MORENO</v>
      </c>
      <c r="M688" s="71">
        <f>IFERROR(IF(VLOOKUP(A688,[6]PRIORIZADOS!$A:$M,13,FALSE)="","",VLOOKUP(A688,[6]PRIORIZADOS!$A:$M,13,FALSE)),"")</f>
        <v>45891</v>
      </c>
      <c r="N688" s="139">
        <f>IFERROR(IF(VLOOKUP(A688,[6]PRIORIZADOS!$A:$N,14,FALSE)="","",VLOOKUP(A688,[6]PRIORIZADOS!$A:$N,14,FALSE)),"")</f>
        <v>45891</v>
      </c>
      <c r="O688" s="139">
        <f>IFERROR(IF(VLOOKUP(A688,[6]PRIORIZADOS!$A:$O,15,FALSE)="","",VLOOKUP(A688,[6]PRIORIZADOS!$A:$O,15,FALSE)),"")</f>
        <v>45891</v>
      </c>
      <c r="P688" s="11" t="str">
        <f>IFERROR(IF(VLOOKUP(A688,[6]PRIORIZADOS!$A:$P,16,FALSE)="","",VLOOKUP(A688,[6]PRIORIZADOS!$A:$P,16,FALSE)),"")</f>
        <v>Visitas de evaluación con fines de seguimiento</v>
      </c>
      <c r="Q688" s="2" t="s">
        <v>135</v>
      </c>
      <c r="R688" s="11" t="str">
        <f>IFERROR(IF(VLOOKUP(A688,[6]PRIORIZADOS!$A:$R,18,FALSE)="","",VLOOKUP(A688,[6]PRIORIZADOS!$A:$R,18,FALSE)),"")</f>
        <v>Se realizó verificación de la información registrada en el aplicativo EVI</v>
      </c>
      <c r="S688" s="11" t="str">
        <f>IFERROR(IF(VLOOKUP(A688,[6]PRIORIZADOS!$A:$S,19,FALSE)="","",VLOOKUP(A688,[6]PRIORIZADOS!$A:$S,19,FALSE)),"")</f>
        <v>El colegio cumple con lo registrado en el EVi</v>
      </c>
      <c r="T688" s="70" t="str">
        <f>IFERROR(IF(VLOOKUP(A688,[6]PRIORIZADOS!$A:$T,20,FALSE)="","",VLOOKUP(A688,[6]PRIORIZADOS!$A:$T,20,FALSE)),"")</f>
        <v>No</v>
      </c>
      <c r="U688" s="11" t="str">
        <f>IFERROR(IF(VLOOKUP(A688,[6]PRIORIZADOS!$A:$U,21,FALSE)="","",VLOOKUP(A688,[6]PRIORIZADOS!$A:$U,21,FALSE)),"")</f>
        <v>Se verificará en proximas visitas</v>
      </c>
    </row>
    <row r="689" spans="1:21" s="1" customFormat="1" ht="60">
      <c r="A689" s="69">
        <f>IF([6]PRIORIZADOS!A55="","",[6]PRIORIZADOS!A55)</f>
        <v>627</v>
      </c>
      <c r="B689" s="70">
        <f>IFERROR(IF(VLOOKUP(A689,[6]PRIORIZADOS!$A:$B,2,FALSE)="","",VLOOKUP(A689,[6]PRIORIZADOS!$A:$B,2,FALSE)),"")</f>
        <v>6</v>
      </c>
      <c r="C689" s="11" t="str">
        <f>IFERROR(IF(VLOOKUP(A689,[6]PRIORIZADOS!$A:$C,3,FALSE)="","",VLOOKUP(A689,[6]PRIORIZADOS!$A:$C,3,FALSE)),"")</f>
        <v>ENGATIVÁ</v>
      </c>
      <c r="D689" s="11" t="str">
        <f>IFERROR(IF(VLOOKUP(A689,[6]PRIORIZADOS!$A:$D,4,FALSE)="","",VLOOKUP(A689,[6]PRIORIZADOS!$A:$D,4,FALSE)),"")</f>
        <v>PRIVADO</v>
      </c>
      <c r="E689" s="11" t="str">
        <f>IFERROR(IF(VLOOKUP(A689,[6]PRIORIZADOS!$A:$E,5,FALSE)="","",VLOOKUP(A689,[6]PRIORIZADOS!$A:$E,5,FALSE)),"")</f>
        <v>EPBM</v>
      </c>
      <c r="F689" s="11" t="str">
        <f>IFERROR(IF(VLOOKUP(A689,[6]PRIORIZADOS!$A:$F,6,FALSE)="","",VLOOKUP(A689,[6]PRIORIZADOS!$A:$F,6,FALSE)),"")</f>
        <v>COLEGIO MAYOR DE GALES</v>
      </c>
      <c r="G689" s="11" t="str">
        <f>IFERROR(IF(VLOOKUP(A689,[6]PRIORIZADOS!$A:$G,7,FALSE)="","",VLOOKUP(A689,[6]PRIORIZADOS!$A:$G,7,FALSE)),"")</f>
        <v>COLEGIO MAYOR DE GALES</v>
      </c>
      <c r="H689" s="11" t="str">
        <f>IFERROR(IF(VLOOKUP(A689,[6]PRIORIZADOS!$A:$H,8,FALSE)="","",VLOOKUP(A689,[6]PRIORIZADOS!$A:$H,8,FALSE)),"")</f>
        <v>Autoevaluación Institucional y Pruebas SABER 11</v>
      </c>
      <c r="I689" s="11" t="str">
        <f>IFERROR(IF(VLOOKUP(A689,[6]PRIORIZADOS!$A:$I,9,FALSE)="","",VLOOKUP(A689,[6]PRIORIZADOS!$A:$I,9,FALSE)),"")</f>
        <v>SEGUIMIENTO_Y_SUPERVISIÓN.</v>
      </c>
      <c r="J689" s="11" t="str">
        <f>IFERROR(IF(VLOOKUP(A689,[6]PRIORIZADOS!$A:$J,10,FALSE)="","",VLOOKUP(A689,[6]PRIORIZADOS!$A:$J,10,FALSE)),"")</f>
        <v>Proponer estrategias en la formulación, verificar su elaboración y realizar seguimiento semestral al desarrollo de  las acciones establecidas en los planes de mejoramiento por pruebas SABER 11 de los establecimientos de educación formal.</v>
      </c>
      <c r="K689" s="11" t="str">
        <f>IFERROR(IF(VLOOKUP(A689,[6]PRIORIZADOS!$A:$K,11,FALSE)="","",VLOOKUP(A689,[6]PRIORIZADOS!$A:$K,11,FALSE)),"")</f>
        <v>ANA MARÍA CASAS SANABRIA</v>
      </c>
      <c r="L689" s="11" t="str">
        <f>IFERROR(IF(VLOOKUP(A689,[6]PRIORIZADOS!$A:$L,12,FALSE)="","",VLOOKUP(A689,[6]PRIORIZADOS!$A:$L,12,FALSE)),"")</f>
        <v>MÓNICA JANNETH RAMÍREZ MORENO</v>
      </c>
      <c r="M689" s="71">
        <f>IFERROR(IF(VLOOKUP(A689,[6]PRIORIZADOS!$A:$M,13,FALSE)="","",VLOOKUP(A689,[6]PRIORIZADOS!$A:$M,13,FALSE)),"")</f>
        <v>45891</v>
      </c>
      <c r="N689" s="139">
        <f>IFERROR(IF(VLOOKUP(A689,[6]PRIORIZADOS!$A:$N,14,FALSE)="","",VLOOKUP(A689,[6]PRIORIZADOS!$A:$N,14,FALSE)),"")</f>
        <v>45891</v>
      </c>
      <c r="O689" s="139">
        <f>IFERROR(IF(VLOOKUP(A689,[6]PRIORIZADOS!$A:$O,15,FALSE)="","",VLOOKUP(A689,[6]PRIORIZADOS!$A:$O,15,FALSE)),"")</f>
        <v>45891</v>
      </c>
      <c r="P689" s="11" t="str">
        <f>IFERROR(IF(VLOOKUP(A689,[6]PRIORIZADOS!$A:$P,16,FALSE)="","",VLOOKUP(A689,[6]PRIORIZADOS!$A:$P,16,FALSE)),"")</f>
        <v>Visitas de evaluación con fines de seguimiento</v>
      </c>
      <c r="Q689" s="2" t="s">
        <v>135</v>
      </c>
      <c r="R689" s="11" t="str">
        <f>IFERROR(IF(VLOOKUP(A689,[6]PRIORIZADOS!$A:$R,18,FALSE)="","",VLOOKUP(A689,[6]PRIORIZADOS!$A:$R,18,FALSE)),"")</f>
        <v xml:space="preserve">La institucion plantea como estrategia de mejora  acciones como cambio de modelo pedagogico, diagnostico del grado 10° </v>
      </c>
      <c r="S689" s="11" t="str">
        <f>IFERROR(IF(VLOOKUP(A689,[6]PRIORIZADOS!$A:$S,19,FALSE)="","",VLOOKUP(A689,[6]PRIORIZADOS!$A:$S,19,FALSE)),"")</f>
        <v>Estas estrategias deben ser aprobadas por la comunidad educativa, el consejo académico.</v>
      </c>
      <c r="T689" s="70" t="str">
        <f>IFERROR(IF(VLOOKUP(A689,[6]PRIORIZADOS!$A:$T,20,FALSE)="","",VLOOKUP(A689,[6]PRIORIZADOS!$A:$T,20,FALSE)),"")</f>
        <v>Si</v>
      </c>
      <c r="U689" s="11" t="str">
        <f>IFERROR(IF(VLOOKUP(A689,[6]PRIORIZADOS!$A:$U,21,FALSE)="","",VLOOKUP(A689,[6]PRIORIZADOS!$A:$U,21,FALSE)),"")</f>
        <v xml:space="preserve"> Se requirió presentar Plan de Majoramiento donde registre el proceso de comunicar, y aprobar por parte de la comunidad educativa con el fin de subsanar la situación actual. El PMI debe ser entregado al ELIV a más tardar el 15 de septiembre de 2025</v>
      </c>
    </row>
    <row r="690" spans="1:21" s="1" customFormat="1" ht="60">
      <c r="A690" s="69">
        <f>IF([6]PRIORIZADOS!A56="","",[6]PRIORIZADOS!A56)</f>
        <v>628</v>
      </c>
      <c r="B690" s="70">
        <f>IFERROR(IF(VLOOKUP(A690,[6]PRIORIZADOS!$A:$B,2,FALSE)="","",VLOOKUP(A690,[6]PRIORIZADOS!$A:$B,2,FALSE)),"")</f>
        <v>6</v>
      </c>
      <c r="C690" s="11" t="str">
        <f>IFERROR(IF(VLOOKUP(A690,[6]PRIORIZADOS!$A:$C,3,FALSE)="","",VLOOKUP(A690,[6]PRIORIZADOS!$A:$C,3,FALSE)),"")</f>
        <v>ENGATIVÁ</v>
      </c>
      <c r="D690" s="11" t="str">
        <f>IFERROR(IF(VLOOKUP(A690,[6]PRIORIZADOS!$A:$D,4,FALSE)="","",VLOOKUP(A690,[6]PRIORIZADOS!$A:$D,4,FALSE)),"")</f>
        <v>PRIVADO</v>
      </c>
      <c r="E690" s="11" t="str">
        <f>IFERROR(IF(VLOOKUP(A690,[6]PRIORIZADOS!$A:$E,5,FALSE)="","",VLOOKUP(A690,[6]PRIORIZADOS!$A:$E,5,FALSE)),"")</f>
        <v>EPBM</v>
      </c>
      <c r="F690" s="11" t="str">
        <f>IFERROR(IF(VLOOKUP(A690,[6]PRIORIZADOS!$A:$F,6,FALSE)="","",VLOOKUP(A690,[6]PRIORIZADOS!$A:$F,6,FALSE)),"")</f>
        <v>COLEGIO MAYOR DE GALES</v>
      </c>
      <c r="G690" s="11" t="str">
        <f>IFERROR(IF(VLOOKUP(A690,[6]PRIORIZADOS!$A:$G,7,FALSE)="","",VLOOKUP(A690,[6]PRIORIZADOS!$A:$G,7,FALSE)),"")</f>
        <v>COLEGIO MAYOR DE GALES</v>
      </c>
      <c r="H690" s="11" t="str">
        <f>IFERROR(IF(VLOOKUP(A690,[6]PRIORIZADOS!$A:$H,8,FALSE)="","",VLOOKUP(A690,[6]PRIORIZADOS!$A:$H,8,FALSE)),"")</f>
        <v>Autoevaluación Institucional y Pruebas SABER 11</v>
      </c>
      <c r="I690" s="11" t="str">
        <f>IFERROR(IF(VLOOKUP(A690,[6]PRIORIZADOS!$A:$I,9,FALSE)="","",VLOOKUP(A690,[6]PRIORIZADOS!$A:$I,9,FALSE)),"")</f>
        <v>SEGUIMIENTO_Y_SUPERVISIÓN.</v>
      </c>
      <c r="J690" s="11" t="str">
        <f>IFERROR(IF(VLOOKUP(A690,[6]PRIORIZADOS!$A:$J,10,FALSE)="","",VLOOKUP(A690,[6]PRIORIZADOS!$A:$J,10,FALSE)),"")</f>
        <v xml:space="preserve">Verificar la implementación por parte de los colegios, de acciones realizadas para la prevención y atención de las situaciones de convivencia en el entorno escolar, según lo establecido en la Directiva 01 de 2022 del MEN. </v>
      </c>
      <c r="K690" s="11" t="str">
        <f>IFERROR(IF(VLOOKUP(A690,[6]PRIORIZADOS!$A:$K,11,FALSE)="","",VLOOKUP(A690,[6]PRIORIZADOS!$A:$K,11,FALSE)),"")</f>
        <v>ANA MARÍA CASAS SANABRIA</v>
      </c>
      <c r="L690" s="11" t="str">
        <f>IFERROR(IF(VLOOKUP(A690,[6]PRIORIZADOS!$A:$L,12,FALSE)="","",VLOOKUP(A690,[6]PRIORIZADOS!$A:$L,12,FALSE)),"")</f>
        <v>MÓNICA JANNETH RAMÍREZ MORENO</v>
      </c>
      <c r="M690" s="71">
        <f>IFERROR(IF(VLOOKUP(A690,[6]PRIORIZADOS!$A:$M,13,FALSE)="","",VLOOKUP(A690,[6]PRIORIZADOS!$A:$M,13,FALSE)),"")</f>
        <v>45891</v>
      </c>
      <c r="N690" s="139">
        <f>IFERROR(IF(VLOOKUP(A690,[6]PRIORIZADOS!$A:$N,14,FALSE)="","",VLOOKUP(A690,[6]PRIORIZADOS!$A:$N,14,FALSE)),"")</f>
        <v>45891</v>
      </c>
      <c r="O690" s="139">
        <f>IFERROR(IF(VLOOKUP(A690,[6]PRIORIZADOS!$A:$O,15,FALSE)="","",VLOOKUP(A690,[6]PRIORIZADOS!$A:$O,15,FALSE)),"")</f>
        <v>45891</v>
      </c>
      <c r="P690" s="11" t="str">
        <f>IFERROR(IF(VLOOKUP(A690,[6]PRIORIZADOS!$A:$P,16,FALSE)="","",VLOOKUP(A690,[6]PRIORIZADOS!$A:$P,16,FALSE)),"")</f>
        <v>Visitas de evaluación con fines de seguimiento</v>
      </c>
      <c r="Q690" s="2" t="s">
        <v>135</v>
      </c>
      <c r="R690" s="11" t="str">
        <f>IFERROR(IF(VLOOKUP(A690,[6]PRIORIZADOS!$A:$R,18,FALSE)="","",VLOOKUP(A690,[6]PRIORIZADOS!$A:$R,18,FALSE)),"")</f>
        <v xml:space="preserve">La institucion no tenia conocimiento de la directiva 01 de 2022 del MEN por lo cual no ha realizado ninguna de las acciones alli mencionadas </v>
      </c>
      <c r="S690" s="11" t="str">
        <f>IFERROR(IF(VLOOKUP(A690,[6]PRIORIZADOS!$A:$S,19,FALSE)="","",VLOOKUP(A690,[6]PRIORIZADOS!$A:$S,19,FALSE)),"")</f>
        <v>se sugiere hacer la verificación de antecedentes de delitos sexuales cada 4 meses para todo el pesonal de la institucion, Además de revisar las actividades presentadas en la Directiva</v>
      </c>
      <c r="T690" s="70" t="str">
        <f>IFERROR(IF(VLOOKUP(A690,[6]PRIORIZADOS!$A:$T,20,FALSE)="","",VLOOKUP(A690,[6]PRIORIZADOS!$A:$T,20,FALSE)),"")</f>
        <v>Si</v>
      </c>
      <c r="U690" s="11" t="str">
        <f>IFERROR(IF(VLOOKUP(A690,[6]PRIORIZADOS!$A:$U,21,FALSE)="","",VLOOKUP(A690,[6]PRIORIZADOS!$A:$U,21,FALSE)),"")</f>
        <v>Se requirió presentar Plan de Majoramiento con el fin de subsanar la situación actual. El PMI debe ser entregado al ELIV a más tardar el 15 de septiembre de  2025</v>
      </c>
    </row>
    <row r="691" spans="1:21" s="1" customFormat="1" ht="72">
      <c r="A691" s="69">
        <f>IF([6]PRIORIZADOS!A57="","",[6]PRIORIZADOS!A57)</f>
        <v>629</v>
      </c>
      <c r="B691" s="70">
        <f>IFERROR(IF(VLOOKUP(A691,[6]PRIORIZADOS!$A:$B,2,FALSE)="","",VLOOKUP(A691,[6]PRIORIZADOS!$A:$B,2,FALSE)),"")</f>
        <v>6</v>
      </c>
      <c r="C691" s="11" t="str">
        <f>IFERROR(IF(VLOOKUP(A691,[6]PRIORIZADOS!$A:$C,3,FALSE)="","",VLOOKUP(A691,[6]PRIORIZADOS!$A:$C,3,FALSE)),"")</f>
        <v>ENGATIVÁ</v>
      </c>
      <c r="D691" s="11" t="str">
        <f>IFERROR(IF(VLOOKUP(A691,[6]PRIORIZADOS!$A:$D,4,FALSE)="","",VLOOKUP(A691,[6]PRIORIZADOS!$A:$D,4,FALSE)),"")</f>
        <v>PRIVADO</v>
      </c>
      <c r="E691" s="11" t="str">
        <f>IFERROR(IF(VLOOKUP(A691,[6]PRIORIZADOS!$A:$E,5,FALSE)="","",VLOOKUP(A691,[6]PRIORIZADOS!$A:$E,5,FALSE)),"")</f>
        <v>EPBM</v>
      </c>
      <c r="F691" s="11" t="str">
        <f>IFERROR(IF(VLOOKUP(A691,[6]PRIORIZADOS!$A:$F,6,FALSE)="","",VLOOKUP(A691,[6]PRIORIZADOS!$A:$F,6,FALSE)),"")</f>
        <v>COLEGIO MAYOR DE GALES</v>
      </c>
      <c r="G691" s="11" t="str">
        <f>IFERROR(IF(VLOOKUP(A691,[6]PRIORIZADOS!$A:$G,7,FALSE)="","",VLOOKUP(A691,[6]PRIORIZADOS!$A:$G,7,FALSE)),"")</f>
        <v>COLEGIO MAYOR DE GALES</v>
      </c>
      <c r="H691" s="11" t="str">
        <f>IFERROR(IF(VLOOKUP(A691,[6]PRIORIZADOS!$A:$H,8,FALSE)="","",VLOOKUP(A691,[6]PRIORIZADOS!$A:$H,8,FALSE)),"")</f>
        <v>Autoevaluación Institucional y Pruebas SABER 11</v>
      </c>
      <c r="I691" s="11" t="str">
        <f>IFERROR(IF(VLOOKUP(A691,[6]PRIORIZADOS!$A:$I,9,FALSE)="","",VLOOKUP(A691,[6]PRIORIZADOS!$A:$I,9,FALSE)),"")</f>
        <v>SEGUIMIENTO_Y_SUPERVISIÓN.</v>
      </c>
      <c r="J691" s="11" t="str">
        <f>IFERROR(IF(VLOOKUP(A691,[6]PRIORIZADOS!$A:$J,10,FALSE)="","",VLOOKUP(A691,[6]PRIORIZADOS!$A:$J,10,FALSE)),"")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691" s="11" t="str">
        <f>IFERROR(IF(VLOOKUP(A691,[6]PRIORIZADOS!$A:$K,11,FALSE)="","",VLOOKUP(A691,[6]PRIORIZADOS!$A:$K,11,FALSE)),"")</f>
        <v>ANA MARÍA CASAS SANABRIA</v>
      </c>
      <c r="L691" s="11" t="str">
        <f>IFERROR(IF(VLOOKUP(A691,[6]PRIORIZADOS!$A:$L,12,FALSE)="","",VLOOKUP(A691,[6]PRIORIZADOS!$A:$L,12,FALSE)),"")</f>
        <v>MÓNICA JANNETH RAMÍREZ MORENO</v>
      </c>
      <c r="M691" s="71">
        <f>IFERROR(IF(VLOOKUP(A691,[6]PRIORIZADOS!$A:$M,13,FALSE)="","",VLOOKUP(A691,[6]PRIORIZADOS!$A:$M,13,FALSE)),"")</f>
        <v>45891</v>
      </c>
      <c r="N691" s="139">
        <f>IFERROR(IF(VLOOKUP(A691,[6]PRIORIZADOS!$A:$N,14,FALSE)="","",VLOOKUP(A691,[6]PRIORIZADOS!$A:$N,14,FALSE)),"")</f>
        <v>45891</v>
      </c>
      <c r="O691" s="139">
        <f>IFERROR(IF(VLOOKUP(A691,[6]PRIORIZADOS!$A:$O,15,FALSE)="","",VLOOKUP(A691,[6]PRIORIZADOS!$A:$O,15,FALSE)),"")</f>
        <v>45891</v>
      </c>
      <c r="P691" s="11" t="str">
        <f>IFERROR(IF(VLOOKUP(A691,[6]PRIORIZADOS!$A:$P,16,FALSE)="","",VLOOKUP(A691,[6]PRIORIZADOS!$A:$P,16,FALSE)),"")</f>
        <v>Visitas de evaluación con fines de seguimiento</v>
      </c>
      <c r="Q691" s="2" t="s">
        <v>135</v>
      </c>
      <c r="R691" s="11" t="str">
        <f>IFERROR(IF(VLOOKUP(A691,[6]PRIORIZADOS!$A:$R,18,FALSE)="","",VLOOKUP(A691,[6]PRIORIZADOS!$A:$R,18,FALSE)),"")</f>
        <v>La institución solo tiene un estudiante con Diagnostico de incapacidad al cual se le ha diseñado y ajustado el PIAR</v>
      </c>
      <c r="S691" s="11" t="str">
        <f>IFERROR(IF(VLOOKUP(A691,[6]PRIORIZADOS!$A:$S,19,FALSE)="","",VLOOKUP(A691,[6]PRIORIZADOS!$A:$S,19,FALSE)),"")</f>
        <v>Continuar con el seguimiento y los ajueste del PIAR que requiera el estudiante</v>
      </c>
      <c r="T691" s="70" t="str">
        <f>IFERROR(IF(VLOOKUP(A691,[6]PRIORIZADOS!$A:$T,20,FALSE)="","",VLOOKUP(A691,[6]PRIORIZADOS!$A:$T,20,FALSE)),"")</f>
        <v>No</v>
      </c>
      <c r="U691" s="11" t="str">
        <f>IFERROR(IF(VLOOKUP(A691,[6]PRIORIZADOS!$A:$U,21,FALSE)="","",VLOOKUP(A691,[6]PRIORIZADOS!$A:$U,21,FALSE)),"")</f>
        <v>Se verificará en proximas visitas</v>
      </c>
    </row>
    <row r="692" spans="1:21" s="1" customFormat="1" ht="84">
      <c r="A692" s="69">
        <f>IF([6]PRIORIZADOS!A58="","",[6]PRIORIZADOS!A58)</f>
        <v>630</v>
      </c>
      <c r="B692" s="70">
        <f>IFERROR(IF(VLOOKUP(A692,[6]PRIORIZADOS!$A:$B,2,FALSE)="","",VLOOKUP(A692,[6]PRIORIZADOS!$A:$B,2,FALSE)),"")</f>
        <v>6</v>
      </c>
      <c r="C692" s="11" t="str">
        <f>IFERROR(IF(VLOOKUP(A692,[6]PRIORIZADOS!$A:$C,3,FALSE)="","",VLOOKUP(A692,[6]PRIORIZADOS!$A:$C,3,FALSE)),"")</f>
        <v>ENGATIVÁ</v>
      </c>
      <c r="D692" s="11" t="str">
        <f>IFERROR(IF(VLOOKUP(A692,[6]PRIORIZADOS!$A:$D,4,FALSE)="","",VLOOKUP(A692,[6]PRIORIZADOS!$A:$D,4,FALSE)),"")</f>
        <v>PRIVADO</v>
      </c>
      <c r="E692" s="11" t="str">
        <f>IFERROR(IF(VLOOKUP(A692,[6]PRIORIZADOS!$A:$E,5,FALSE)="","",VLOOKUP(A692,[6]PRIORIZADOS!$A:$E,5,FALSE)),"")</f>
        <v>EPBM</v>
      </c>
      <c r="F692" s="11" t="str">
        <f>IFERROR(IF(VLOOKUP(A692,[6]PRIORIZADOS!$A:$F,6,FALSE)="","",VLOOKUP(A692,[6]PRIORIZADOS!$A:$F,6,FALSE)),"")</f>
        <v>COLEGIO MAYOR DE GALES</v>
      </c>
      <c r="G692" s="11" t="str">
        <f>IFERROR(IF(VLOOKUP(A692,[6]PRIORIZADOS!$A:$G,7,FALSE)="","",VLOOKUP(A692,[6]PRIORIZADOS!$A:$G,7,FALSE)),"")</f>
        <v>COLEGIO MAYOR DE GALES</v>
      </c>
      <c r="H692" s="11" t="str">
        <f>IFERROR(IF(VLOOKUP(A692,[6]PRIORIZADOS!$A:$H,8,FALSE)="","",VLOOKUP(A692,[6]PRIORIZADOS!$A:$H,8,FALSE)),"")</f>
        <v>Autoevaluación Institucional y Pruebas SABER 11</v>
      </c>
      <c r="I692" s="11" t="str">
        <f>IFERROR(IF(VLOOKUP(A692,[6]PRIORIZADOS!$A:$I,9,FALSE)="","",VLOOKUP(A692,[6]PRIORIZADOS!$A:$I,9,FALSE)),"")</f>
        <v>EVALUACIÓN_CON_FINES_DE_MEJORAMIENTO.</v>
      </c>
      <c r="J692" s="11" t="str">
        <f>IFERROR(IF(VLOOKUP(A692,[6]PRIORIZADOS!$A:$J,10,FALSE)="","",VLOOKUP(A692,[6]PRIORIZADOS!$A:$J,10,FALSE)),"")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692" s="11" t="str">
        <f>IFERROR(IF(VLOOKUP(A692,[6]PRIORIZADOS!$A:$K,11,FALSE)="","",VLOOKUP(A692,[6]PRIORIZADOS!$A:$K,11,FALSE)),"")</f>
        <v>ANA MARÍA CASAS SANABRIA</v>
      </c>
      <c r="L692" s="11" t="str">
        <f>IFERROR(IF(VLOOKUP(A692,[6]PRIORIZADOS!$A:$L,12,FALSE)="","",VLOOKUP(A692,[6]PRIORIZADOS!$A:$L,12,FALSE)),"")</f>
        <v>MÓNICA JANNETH RAMÍREZ MORENO</v>
      </c>
      <c r="M692" s="71">
        <f>IFERROR(IF(VLOOKUP(A692,[6]PRIORIZADOS!$A:$M,13,FALSE)="","",VLOOKUP(A692,[6]PRIORIZADOS!$A:$M,13,FALSE)),"")</f>
        <v>45891</v>
      </c>
      <c r="N692" s="139">
        <f>IFERROR(IF(VLOOKUP(A692,[6]PRIORIZADOS!$A:$N,14,FALSE)="","",VLOOKUP(A692,[6]PRIORIZADOS!$A:$N,14,FALSE)),"")</f>
        <v>45891</v>
      </c>
      <c r="O692" s="139">
        <f>IFERROR(IF(VLOOKUP(A692,[6]PRIORIZADOS!$A:$O,15,FALSE)="","",VLOOKUP(A692,[6]PRIORIZADOS!$A:$O,15,FALSE)),"")</f>
        <v>45891</v>
      </c>
      <c r="P692" s="11" t="str">
        <f>IFERROR(IF(VLOOKUP(A692,[6]PRIORIZADOS!$A:$P,16,FALSE)="","",VLOOKUP(A692,[6]PRIORIZADOS!$A:$P,16,FALSE)),"")</f>
        <v>Visitas de evaluación con fines de mejoramiento</v>
      </c>
      <c r="Q692" s="2" t="s">
        <v>135</v>
      </c>
      <c r="R692" s="11" t="str">
        <f>IFERROR(IF(VLOOKUP(A692,[6]PRIORIZADOS!$A:$R,18,FALSE)="","",VLOOKUP(A692,[6]PRIORIZADOS!$A:$R,18,FALSE)),"")</f>
        <v>La institucion no evidencia el proceso de actualización y socialización del manual de conviencia.</v>
      </c>
      <c r="S692" s="11" t="str">
        <f>IFERROR(IF(VLOOKUP(A692,[6]PRIORIZADOS!$A:$S,19,FALSE)="","",VLOOKUP(A692,[6]PRIORIZADOS!$A:$S,19,FALSE)),"")</f>
        <v xml:space="preserve">Se solicita realizar el proceso de construccion del Manual  con los miembros de la comunidad educativa, registrarlo. aprobarlo y socializarlo </v>
      </c>
      <c r="T692" s="70" t="str">
        <f>IFERROR(IF(VLOOKUP(A692,[6]PRIORIZADOS!$A:$T,20,FALSE)="","",VLOOKUP(A692,[6]PRIORIZADOS!$A:$T,20,FALSE)),"")</f>
        <v>Si</v>
      </c>
      <c r="U692" s="11" t="str">
        <f>IFERROR(IF(VLOOKUP(A692,[6]PRIORIZADOS!$A:$U,21,FALSE)="","",VLOOKUP(A692,[6]PRIORIZADOS!$A:$U,21,FALSE)),"")</f>
        <v>Se requirió presentar Plan de Majoramiento con el fin de subsanar la situación actual. El PMI debe ser entregado al ELIV a más tardar el 15 de septiembre de 2025</v>
      </c>
    </row>
    <row r="693" spans="1:21" s="1" customFormat="1" ht="48">
      <c r="A693" s="69">
        <f>IF([6]PRIORIZADOS!A59="","",[6]PRIORIZADOS!A59)</f>
        <v>631</v>
      </c>
      <c r="B693" s="70">
        <f>IFERROR(IF(VLOOKUP(A693,[6]PRIORIZADOS!$A:$B,2,FALSE)="","",VLOOKUP(A693,[6]PRIORIZADOS!$A:$B,2,FALSE)),"")</f>
        <v>6</v>
      </c>
      <c r="C693" s="11" t="str">
        <f>IFERROR(IF(VLOOKUP(A693,[6]PRIORIZADOS!$A:$C,3,FALSE)="","",VLOOKUP(A693,[6]PRIORIZADOS!$A:$C,3,FALSE)),"")</f>
        <v>ENGATIVÁ</v>
      </c>
      <c r="D693" s="11" t="str">
        <f>IFERROR(IF(VLOOKUP(A693,[6]PRIORIZADOS!$A:$D,4,FALSE)="","",VLOOKUP(A693,[6]PRIORIZADOS!$A:$D,4,FALSE)),"")</f>
        <v>PRIVADO</v>
      </c>
      <c r="E693" s="11" t="str">
        <f>IFERROR(IF(VLOOKUP(A693,[6]PRIORIZADOS!$A:$E,5,FALSE)="","",VLOOKUP(A693,[6]PRIORIZADOS!$A:$E,5,FALSE)),"")</f>
        <v>EPBM</v>
      </c>
      <c r="F693" s="11" t="str">
        <f>IFERROR(IF(VLOOKUP(A693,[6]PRIORIZADOS!$A:$F,6,FALSE)="","",VLOOKUP(A693,[6]PRIORIZADOS!$A:$F,6,FALSE)),"")</f>
        <v>COLEGIO MAYOR DE GALES</v>
      </c>
      <c r="G693" s="11" t="str">
        <f>IFERROR(IF(VLOOKUP(A693,[6]PRIORIZADOS!$A:$G,7,FALSE)="","",VLOOKUP(A693,[6]PRIORIZADOS!$A:$G,7,FALSE)),"")</f>
        <v>COLEGIO MAYOR DE GALES</v>
      </c>
      <c r="H693" s="11" t="str">
        <f>IFERROR(IF(VLOOKUP(A693,[6]PRIORIZADOS!$A:$H,8,FALSE)="","",VLOOKUP(A693,[6]PRIORIZADOS!$A:$H,8,FALSE)),"")</f>
        <v>Autoevaluación Institucional y Pruebas SABER 11</v>
      </c>
      <c r="I693" s="11" t="str">
        <f>IFERROR(IF(VLOOKUP(A693,[6]PRIORIZADOS!$A:$I,9,FALSE)="","",VLOOKUP(A693,[6]PRIORIZADOS!$A:$I,9,FALSE)),"")</f>
        <v>EVALUACIÓN_CON_FINES_DE_MEJORAMIENTO.</v>
      </c>
      <c r="J693" s="11" t="str">
        <f>IFERROR(IF(VLOOKUP(A693,[6]PRIORIZADOS!$A:$J,10,FALSE)="","",VLOOKUP(A693,[6]PRIORIZADOS!$A:$J,10,FALSE)),"")</f>
        <v>Revisar la actualización, socialización e implementación del Sistema Institucional de Evaluación de Estudiantes - SIEE, en articulación con la actualización del PEI y la normatividad vigente.</v>
      </c>
      <c r="K693" s="11" t="str">
        <f>IFERROR(IF(VLOOKUP(A693,[6]PRIORIZADOS!$A:$K,11,FALSE)="","",VLOOKUP(A693,[6]PRIORIZADOS!$A:$K,11,FALSE)),"")</f>
        <v>ANA MARÍA CASAS SANABRIA</v>
      </c>
      <c r="L693" s="11" t="str">
        <f>IFERROR(IF(VLOOKUP(A693,[6]PRIORIZADOS!$A:$L,12,FALSE)="","",VLOOKUP(A693,[6]PRIORIZADOS!$A:$L,12,FALSE)),"")</f>
        <v>MÓNICA JANNETH RAMÍREZ MORENO</v>
      </c>
      <c r="M693" s="71">
        <f>IFERROR(IF(VLOOKUP(A693,[6]PRIORIZADOS!$A:$M,13,FALSE)="","",VLOOKUP(A693,[6]PRIORIZADOS!$A:$M,13,FALSE)),"")</f>
        <v>45891</v>
      </c>
      <c r="N693" s="139">
        <f>IFERROR(IF(VLOOKUP(A693,[6]PRIORIZADOS!$A:$N,14,FALSE)="","",VLOOKUP(A693,[6]PRIORIZADOS!$A:$N,14,FALSE)),"")</f>
        <v>45891</v>
      </c>
      <c r="O693" s="139">
        <f>IFERROR(IF(VLOOKUP(A693,[6]PRIORIZADOS!$A:$O,15,FALSE)="","",VLOOKUP(A693,[6]PRIORIZADOS!$A:$O,15,FALSE)),"")</f>
        <v>45891</v>
      </c>
      <c r="P693" s="11" t="str">
        <f>IFERROR(IF(VLOOKUP(A693,[6]PRIORIZADOS!$A:$P,16,FALSE)="","",VLOOKUP(A693,[6]PRIORIZADOS!$A:$P,16,FALSE)),"")</f>
        <v>Visitas de evaluación con fines de mejoramiento</v>
      </c>
      <c r="Q693" s="2" t="s">
        <v>135</v>
      </c>
      <c r="R693" s="11" t="str">
        <f>IFERROR(IF(VLOOKUP(A693,[6]PRIORIZADOS!$A:$R,18,FALSE)="","",VLOOKUP(A693,[6]PRIORIZADOS!$A:$R,18,FALSE)),"")</f>
        <v xml:space="preserve">La institucion no evidencia el proceso de actualización y socialización del SIEE </v>
      </c>
      <c r="S693" s="11" t="str">
        <f>IFERROR(IF(VLOOKUP(A693,[6]PRIORIZADOS!$A:$S,19,FALSE)="","",VLOOKUP(A693,[6]PRIORIZADOS!$A:$S,19,FALSE)),"")</f>
        <v xml:space="preserve">Se solicita realizar el proceso de construccion del SIEcon los miembros de la comunidad educativa, registrarlo. aprobarlo y socializarlo </v>
      </c>
      <c r="T693" s="70" t="str">
        <f>IFERROR(IF(VLOOKUP(A693,[6]PRIORIZADOS!$A:$T,20,FALSE)="","",VLOOKUP(A693,[6]PRIORIZADOS!$A:$T,20,FALSE)),"")</f>
        <v>Si</v>
      </c>
      <c r="U693" s="11" t="str">
        <f>IFERROR(IF(VLOOKUP(A693,[6]PRIORIZADOS!$A:$U,21,FALSE)="","",VLOOKUP(A693,[6]PRIORIZADOS!$A:$U,21,FALSE)),"")</f>
        <v>Se requirió presentar Plan de Majoramiento con el fin de subsanar la situación actual. El PMI debe ser entregado al ELIV a más tardar el 15 de septiembre de 2025</v>
      </c>
    </row>
    <row r="694" spans="1:21" s="1" customFormat="1" ht="48">
      <c r="A694" s="69">
        <f>IF([6]PRIORIZADOS!A60="","",[6]PRIORIZADOS!A60)</f>
        <v>632</v>
      </c>
      <c r="B694" s="70">
        <f>IFERROR(IF(VLOOKUP(A694,[6]PRIORIZADOS!$A:$B,2,FALSE)="","",VLOOKUP(A694,[6]PRIORIZADOS!$A:$B,2,FALSE)),"")</f>
        <v>6</v>
      </c>
      <c r="C694" s="11" t="str">
        <f>IFERROR(IF(VLOOKUP(A694,[6]PRIORIZADOS!$A:$C,3,FALSE)="","",VLOOKUP(A694,[6]PRIORIZADOS!$A:$C,3,FALSE)),"")</f>
        <v>ENGATIVÁ</v>
      </c>
      <c r="D694" s="11" t="str">
        <f>IFERROR(IF(VLOOKUP(A694,[6]PRIORIZADOS!$A:$D,4,FALSE)="","",VLOOKUP(A694,[6]PRIORIZADOS!$A:$D,4,FALSE)),"")</f>
        <v>PRIVADO</v>
      </c>
      <c r="E694" s="11" t="str">
        <f>IFERROR(IF(VLOOKUP(A694,[6]PRIORIZADOS!$A:$E,5,FALSE)="","",VLOOKUP(A694,[6]PRIORIZADOS!$A:$E,5,FALSE)),"")</f>
        <v>EPBM</v>
      </c>
      <c r="F694" s="11" t="str">
        <f>IFERROR(IF(VLOOKUP(A694,[6]PRIORIZADOS!$A:$F,6,FALSE)="","",VLOOKUP(A694,[6]PRIORIZADOS!$A:$F,6,FALSE)),"")</f>
        <v>COLEGIO MAYOR DE GALES</v>
      </c>
      <c r="G694" s="11" t="str">
        <f>IFERROR(IF(VLOOKUP(A694,[6]PRIORIZADOS!$A:$G,7,FALSE)="","",VLOOKUP(A694,[6]PRIORIZADOS!$A:$G,7,FALSE)),"")</f>
        <v>COLEGIO MAYOR DE GALES</v>
      </c>
      <c r="H694" s="11" t="str">
        <f>IFERROR(IF(VLOOKUP(A694,[6]PRIORIZADOS!$A:$H,8,FALSE)="","",VLOOKUP(A694,[6]PRIORIZADOS!$A:$H,8,FALSE)),"")</f>
        <v>Autoevaluación Institucional y Pruebas SABER 11</v>
      </c>
      <c r="I694" s="11" t="str">
        <f>IFERROR(IF(VLOOKUP(A694,[6]PRIORIZADOS!$A:$I,9,FALSE)="","",VLOOKUP(A694,[6]PRIORIZADOS!$A:$I,9,FALSE)),"")</f>
        <v>EVALUACIÓN_CON_FINES_DE_MEJORAMIENTO.</v>
      </c>
      <c r="J694" s="11" t="str">
        <f>IFERROR(IF(VLOOKUP(A694,[6]PRIORIZADOS!$A:$J,10,FALSE)="","",VLOOKUP(A694,[6]PRIORIZADOS!$A:$J,10,FALSE)),"")</f>
        <v>Revisar el calendario escolar, jornada escolar, la intensidad horaria mínima anual en cada nivel y las modificaciones que se realicen al mismo, de acuerdo con lo previsto en la normatividad vigente.</v>
      </c>
      <c r="K694" s="11" t="str">
        <f>IFERROR(IF(VLOOKUP(A694,[6]PRIORIZADOS!$A:$K,11,FALSE)="","",VLOOKUP(A694,[6]PRIORIZADOS!$A:$K,11,FALSE)),"")</f>
        <v>ANA MARÍA CASAS SANABRIA</v>
      </c>
      <c r="L694" s="11" t="str">
        <f>IFERROR(IF(VLOOKUP(A694,[6]PRIORIZADOS!$A:$L,12,FALSE)="","",VLOOKUP(A694,[6]PRIORIZADOS!$A:$L,12,FALSE)),"")</f>
        <v>MÓNICA JANNETH RAMÍREZ MORENO</v>
      </c>
      <c r="M694" s="71">
        <f>IFERROR(IF(VLOOKUP(A694,[6]PRIORIZADOS!$A:$M,13,FALSE)="","",VLOOKUP(A694,[6]PRIORIZADOS!$A:$M,13,FALSE)),"")</f>
        <v>45891</v>
      </c>
      <c r="N694" s="139">
        <f>IFERROR(IF(VLOOKUP(A694,[6]PRIORIZADOS!$A:$N,14,FALSE)="","",VLOOKUP(A694,[6]PRIORIZADOS!$A:$N,14,FALSE)),"")</f>
        <v>45891</v>
      </c>
      <c r="O694" s="139">
        <f>IFERROR(IF(VLOOKUP(A694,[6]PRIORIZADOS!$A:$O,15,FALSE)="","",VLOOKUP(A694,[6]PRIORIZADOS!$A:$O,15,FALSE)),"")</f>
        <v>45891</v>
      </c>
      <c r="P694" s="11" t="str">
        <f>IFERROR(IF(VLOOKUP(A694,[6]PRIORIZADOS!$A:$P,16,FALSE)="","",VLOOKUP(A694,[6]PRIORIZADOS!$A:$P,16,FALSE)),"")</f>
        <v>Visitas de evaluación con fines de mejoramiento</v>
      </c>
      <c r="Q694" s="2" t="s">
        <v>135</v>
      </c>
      <c r="R694" s="11" t="str">
        <f>IFERROR(IF(VLOOKUP(A694,[6]PRIORIZADOS!$A:$R,18,FALSE)="","",VLOOKUP(A694,[6]PRIORIZADOS!$A:$R,18,FALSE)),"")</f>
        <v xml:space="preserve">Se revisa en el calendario escolar  horario de clases y docentes el cumplimiento de la intensidad horaria </v>
      </c>
      <c r="S694" s="11" t="str">
        <f>IFERROR(IF(VLOOKUP(A694,[6]PRIORIZADOS!$A:$S,19,FALSE)="","",VLOOKUP(A694,[6]PRIORIZADOS!$A:$S,19,FALSE)),"")</f>
        <v>El colegio cumple la intensidad horaria establecida por nivel según normativa vigente</v>
      </c>
      <c r="T694" s="70" t="str">
        <f>IFERROR(IF(VLOOKUP(A694,[6]PRIORIZADOS!$A:$T,20,FALSE)="","",VLOOKUP(A694,[6]PRIORIZADOS!$A:$T,20,FALSE)),"")</f>
        <v>No</v>
      </c>
      <c r="U694" s="11" t="str">
        <f>IFERROR(IF(VLOOKUP(A694,[6]PRIORIZADOS!$A:$U,21,FALSE)="","",VLOOKUP(A694,[6]PRIORIZADOS!$A:$U,21,FALSE)),"")</f>
        <v>Se verificará en proximas visitas</v>
      </c>
    </row>
    <row r="695" spans="1:21" s="1" customFormat="1" ht="48">
      <c r="A695" s="69">
        <f>IF([6]PRIORIZADOS!A61="","",[6]PRIORIZADOS!A61)</f>
        <v>633</v>
      </c>
      <c r="B695" s="70">
        <f>IFERROR(IF(VLOOKUP(A695,[6]PRIORIZADOS!$A:$B,2,FALSE)="","",VLOOKUP(A695,[6]PRIORIZADOS!$A:$B,2,FALSE)),"")</f>
        <v>6</v>
      </c>
      <c r="C695" s="11" t="str">
        <f>IFERROR(IF(VLOOKUP(A695,[6]PRIORIZADOS!$A:$C,3,FALSE)="","",VLOOKUP(A695,[6]PRIORIZADOS!$A:$C,3,FALSE)),"")</f>
        <v>ENGATIVÁ</v>
      </c>
      <c r="D695" s="11" t="str">
        <f>IFERROR(IF(VLOOKUP(A695,[6]PRIORIZADOS!$A:$D,4,FALSE)="","",VLOOKUP(A695,[6]PRIORIZADOS!$A:$D,4,FALSE)),"")</f>
        <v>PRIVADO</v>
      </c>
      <c r="E695" s="11" t="str">
        <f>IFERROR(IF(VLOOKUP(A695,[6]PRIORIZADOS!$A:$E,5,FALSE)="","",VLOOKUP(A695,[6]PRIORIZADOS!$A:$E,5,FALSE)),"")</f>
        <v>EPBM</v>
      </c>
      <c r="F695" s="11" t="str">
        <f>IFERROR(IF(VLOOKUP(A695,[6]PRIORIZADOS!$A:$F,6,FALSE)="","",VLOOKUP(A695,[6]PRIORIZADOS!$A:$F,6,FALSE)),"")</f>
        <v>COLEGIO MAYOR DE GALES</v>
      </c>
      <c r="G695" s="11" t="str">
        <f>IFERROR(IF(VLOOKUP(A695,[6]PRIORIZADOS!$A:$G,7,FALSE)="","",VLOOKUP(A695,[6]PRIORIZADOS!$A:$G,7,FALSE)),"")</f>
        <v>COLEGIO MAYOR DE GALES</v>
      </c>
      <c r="H695" s="11" t="str">
        <f>IFERROR(IF(VLOOKUP(A695,[6]PRIORIZADOS!$A:$H,8,FALSE)="","",VLOOKUP(A695,[6]PRIORIZADOS!$A:$H,8,FALSE)),"")</f>
        <v>Autoevaluación Institucional y Pruebas SABER 11</v>
      </c>
      <c r="I695" s="11" t="str">
        <f>IFERROR(IF(VLOOKUP(A695,[6]PRIORIZADOS!$A:$I,9,FALSE)="","",VLOOKUP(A695,[6]PRIORIZADOS!$A:$I,9,FALSE)),"")</f>
        <v>EVALUACIÓN_CON_FINES_DE_MEJORAMIENTO.</v>
      </c>
      <c r="J695" s="11" t="str">
        <f>IFERROR(IF(VLOOKUP(A695,[6]PRIORIZADOS!$A:$J,10,FALSE)="","",VLOOKUP(A695,[6]PRIORIZADOS!$A:$J,10,FALSE)),"")</f>
        <v>Verificar el funcionamiento del Gobierno Escolar e instancias de participación con base en la información sobre conformación reportada por la institución educativa.</v>
      </c>
      <c r="K695" s="11" t="str">
        <f>IFERROR(IF(VLOOKUP(A695,[6]PRIORIZADOS!$A:$K,11,FALSE)="","",VLOOKUP(A695,[6]PRIORIZADOS!$A:$K,11,FALSE)),"")</f>
        <v>ANA MARÍA CASAS SANABRIA</v>
      </c>
      <c r="L695" s="11" t="str">
        <f>IFERROR(IF(VLOOKUP(A695,[6]PRIORIZADOS!$A:$L,12,FALSE)="","",VLOOKUP(A695,[6]PRIORIZADOS!$A:$L,12,FALSE)),"")</f>
        <v>MÓNICA JANNETH RAMÍREZ MORENO</v>
      </c>
      <c r="M695" s="71">
        <f>IFERROR(IF(VLOOKUP(A695,[6]PRIORIZADOS!$A:$M,13,FALSE)="","",VLOOKUP(A695,[6]PRIORIZADOS!$A:$M,13,FALSE)),"")</f>
        <v>45891</v>
      </c>
      <c r="N695" s="139">
        <f>IFERROR(IF(VLOOKUP(A695,[6]PRIORIZADOS!$A:$N,14,FALSE)="","",VLOOKUP(A695,[6]PRIORIZADOS!$A:$N,14,FALSE)),"")</f>
        <v>45891</v>
      </c>
      <c r="O695" s="139">
        <f>IFERROR(IF(VLOOKUP(A695,[6]PRIORIZADOS!$A:$O,15,FALSE)="","",VLOOKUP(A695,[6]PRIORIZADOS!$A:$O,15,FALSE)),"")</f>
        <v>45891</v>
      </c>
      <c r="P695" s="11" t="str">
        <f>IFERROR(IF(VLOOKUP(A695,[6]PRIORIZADOS!$A:$P,16,FALSE)="","",VLOOKUP(A695,[6]PRIORIZADOS!$A:$P,16,FALSE)),"")</f>
        <v>Visitas de evaluación con fines de mejoramiento</v>
      </c>
      <c r="Q695" s="2" t="s">
        <v>135</v>
      </c>
      <c r="R695" s="11" t="str">
        <f>IFERROR(IF(VLOOKUP(A695,[6]PRIORIZADOS!$A:$R,18,FALSE)="","",VLOOKUP(A695,[6]PRIORIZADOS!$A:$R,18,FALSE)),"")</f>
        <v>La insitucion no evidencia el funcionamiento normativo de las instancias de gobierno escolar.</v>
      </c>
      <c r="S695" s="11" t="str">
        <f>IFERROR(IF(VLOOKUP(A695,[6]PRIORIZADOS!$A:$S,19,FALSE)="","",VLOOKUP(A695,[6]PRIORIZADOS!$A:$S,19,FALSE)),"")</f>
        <v xml:space="preserve"> Se indica que debe quedar registrada la conformacion de los estamentos del gobierno escolar, con sus funciones y plna de trabajo para el año</v>
      </c>
      <c r="T695" s="70" t="str">
        <f>IFERROR(IF(VLOOKUP(A695,[6]PRIORIZADOS!$A:$T,20,FALSE)="","",VLOOKUP(A695,[6]PRIORIZADOS!$A:$T,20,FALSE)),"")</f>
        <v>Si</v>
      </c>
      <c r="U695" s="11" t="str">
        <f>IFERROR(IF(VLOOKUP(A695,[6]PRIORIZADOS!$A:$U,21,FALSE)="","",VLOOKUP(A695,[6]PRIORIZADOS!$A:$U,21,FALSE)),"")</f>
        <v>Se requirió presentar Plan de Majoramiento con el fin de subsanar la situación actual. El PMI debe ser entregado al ELIV a más tardar el 15 de septiembre de 2025</v>
      </c>
    </row>
    <row r="696" spans="1:21" s="1" customFormat="1" ht="36">
      <c r="A696" s="69">
        <f>IF([6]PRIORIZADOS!A62="","",[6]PRIORIZADOS!A62)</f>
        <v>634</v>
      </c>
      <c r="B696" s="70">
        <f>IFERROR(IF(VLOOKUP(A696,[6]PRIORIZADOS!$A:$B,2,FALSE)="","",VLOOKUP(A696,[6]PRIORIZADOS!$A:$B,2,FALSE)),"")</f>
        <v>6</v>
      </c>
      <c r="C696" s="11" t="str">
        <f>IFERROR(IF(VLOOKUP(A696,[6]PRIORIZADOS!$A:$C,3,FALSE)="","",VLOOKUP(A696,[6]PRIORIZADOS!$A:$C,3,FALSE)),"")</f>
        <v>ENGATIVÁ</v>
      </c>
      <c r="D696" s="11" t="str">
        <f>IFERROR(IF(VLOOKUP(A696,[6]PRIORIZADOS!$A:$D,4,FALSE)="","",VLOOKUP(A696,[6]PRIORIZADOS!$A:$D,4,FALSE)),"")</f>
        <v>PRIVADO</v>
      </c>
      <c r="E696" s="11" t="str">
        <f>IFERROR(IF(VLOOKUP(A696,[6]PRIORIZADOS!$A:$E,5,FALSE)="","",VLOOKUP(A696,[6]PRIORIZADOS!$A:$E,5,FALSE)),"")</f>
        <v>EPBM</v>
      </c>
      <c r="F696" s="11" t="str">
        <f>IFERROR(IF(VLOOKUP(A696,[6]PRIORIZADOS!$A:$F,6,FALSE)="","",VLOOKUP(A696,[6]PRIORIZADOS!$A:$F,6,FALSE)),"")</f>
        <v>COLEGIO MAYOR DE GALES</v>
      </c>
      <c r="G696" s="11" t="str">
        <f>IFERROR(IF(VLOOKUP(A696,[6]PRIORIZADOS!$A:$G,7,FALSE)="","",VLOOKUP(A696,[6]PRIORIZADOS!$A:$G,7,FALSE)),"")</f>
        <v>COLEGIO MAYOR DE GALES</v>
      </c>
      <c r="H696" s="11" t="str">
        <f>IFERROR(IF(VLOOKUP(A696,[6]PRIORIZADOS!$A:$H,8,FALSE)="","",VLOOKUP(A696,[6]PRIORIZADOS!$A:$H,8,FALSE)),"")</f>
        <v>Autoevaluación Institucional y Pruebas SABER 11</v>
      </c>
      <c r="I696" s="11" t="str">
        <f>IFERROR(IF(VLOOKUP(A696,[6]PRIORIZADOS!$A:$I,9,FALSE)="","",VLOOKUP(A696,[6]PRIORIZADOS!$A:$I,9,FALSE)),"")</f>
        <v>EVALUACIÓN_CON_FINES_DE_MEJORAMIENTO.</v>
      </c>
      <c r="J696" s="11" t="str">
        <f>IFERROR(IF(VLOOKUP(A696,[6]PRIORIZADOS!$A:$J,10,FALSE)="","",VLOOKUP(A696,[6]PRIORIZADOS!$A:$J,10,FALSE)),"")</f>
        <v>Verificar las condiciones en cuanto a: la estructura administrativa, condiciones de la planta física y medios educativos adecuados.</v>
      </c>
      <c r="K696" s="11" t="str">
        <f>IFERROR(IF(VLOOKUP(A696,[6]PRIORIZADOS!$A:$K,11,FALSE)="","",VLOOKUP(A696,[6]PRIORIZADOS!$A:$K,11,FALSE)),"")</f>
        <v>ANA MARÍA CASAS SANABRIA</v>
      </c>
      <c r="L696" s="11" t="str">
        <f>IFERROR(IF(VLOOKUP(A696,[6]PRIORIZADOS!$A:$L,12,FALSE)="","",VLOOKUP(A696,[6]PRIORIZADOS!$A:$L,12,FALSE)),"")</f>
        <v>MÓNICA JANNETH RAMÍREZ MORENO</v>
      </c>
      <c r="M696" s="71">
        <f>IFERROR(IF(VLOOKUP(A696,[6]PRIORIZADOS!$A:$M,13,FALSE)="","",VLOOKUP(A696,[6]PRIORIZADOS!$A:$M,13,FALSE)),"")</f>
        <v>45891</v>
      </c>
      <c r="N696" s="139">
        <f>IFERROR(IF(VLOOKUP(A696,[6]PRIORIZADOS!$A:$N,14,FALSE)="","",VLOOKUP(A696,[6]PRIORIZADOS!$A:$N,14,FALSE)),"")</f>
        <v>45891</v>
      </c>
      <c r="O696" s="139">
        <f>IFERROR(IF(VLOOKUP(A696,[6]PRIORIZADOS!$A:$O,15,FALSE)="","",VLOOKUP(A696,[6]PRIORIZADOS!$A:$O,15,FALSE)),"")</f>
        <v>45891</v>
      </c>
      <c r="P696" s="11" t="str">
        <f>IFERROR(IF(VLOOKUP(A696,[6]PRIORIZADOS!$A:$P,16,FALSE)="","",VLOOKUP(A696,[6]PRIORIZADOS!$A:$P,16,FALSE)),"")</f>
        <v>Visitas de evaluación con fines de mejoramiento</v>
      </c>
      <c r="Q696" s="2" t="s">
        <v>135</v>
      </c>
      <c r="R696" s="11" t="str">
        <f>IFERROR(IF(VLOOKUP(A696,[6]PRIORIZADOS!$A:$R,18,FALSE)="","",VLOOKUP(A696,[6]PRIORIZADOS!$A:$R,18,FALSE)),"")</f>
        <v xml:space="preserve">Se evidencia que los espacios administrativos son suficientes para las funciones que se deben desarrollar.  </v>
      </c>
      <c r="S696" s="11" t="str">
        <f>IFERROR(IF(VLOOKUP(A696,[6]PRIORIZADOS!$A:$S,19,FALSE)="","",VLOOKUP(A696,[6]PRIORIZADOS!$A:$S,19,FALSE)),"")</f>
        <v xml:space="preserve">En el recorrido se evidencia espacios suficientes y en buenas condiciones </v>
      </c>
      <c r="T696" s="70" t="str">
        <f>IFERROR(IF(VLOOKUP(A696,[6]PRIORIZADOS!$A:$T,20,FALSE)="","",VLOOKUP(A696,[6]PRIORIZADOS!$A:$T,20,FALSE)),"")</f>
        <v>No</v>
      </c>
      <c r="U696" s="11" t="str">
        <f>IFERROR(IF(VLOOKUP(A696,[6]PRIORIZADOS!$A:$U,21,FALSE)="","",VLOOKUP(A696,[6]PRIORIZADOS!$A:$U,21,FALSE)),"")</f>
        <v>Se verificará en proximas visitas</v>
      </c>
    </row>
    <row r="697" spans="1:21" s="1" customFormat="1" ht="84">
      <c r="A697" s="69">
        <f>IF([6]PRIORIZADOS!A63="","",[6]PRIORIZADOS!A63)</f>
        <v>636</v>
      </c>
      <c r="B697" s="70">
        <f>IFERROR(IF(VLOOKUP(A697,[6]PRIORIZADOS!$A:$B,2,FALSE)="","",VLOOKUP(A697,[6]PRIORIZADOS!$A:$B,2,FALSE)),"")</f>
        <v>7</v>
      </c>
      <c r="C697" s="11" t="str">
        <f>IFERROR(IF(VLOOKUP(A697,[6]PRIORIZADOS!$A:$C,3,FALSE)="","",VLOOKUP(A697,[6]PRIORIZADOS!$A:$C,3,FALSE)),"")</f>
        <v>ENGATIVÁ</v>
      </c>
      <c r="D697" s="11" t="str">
        <f>IFERROR(IF(VLOOKUP(A697,[6]PRIORIZADOS!$A:$D,4,FALSE)="","",VLOOKUP(A697,[6]PRIORIZADOS!$A:$D,4,FALSE)),"")</f>
        <v>PRIVADO</v>
      </c>
      <c r="E697" s="11" t="str">
        <f>IFERROR(IF(VLOOKUP(A697,[6]PRIORIZADOS!$A:$E,5,FALSE)="","",VLOOKUP(A697,[6]PRIORIZADOS!$A:$E,5,FALSE)),"")</f>
        <v>Educación de Jóvenes y Adultos</v>
      </c>
      <c r="F697" s="11" t="str">
        <f>IFERROR(IF(VLOOKUP(A697,[6]PRIORIZADOS!$A:$F,6,FALSE)="","",VLOOKUP(A697,[6]PRIORIZADOS!$A:$F,6,FALSE)),"")</f>
        <v>COLEGIO_EMMANUEL_RUBIANO</v>
      </c>
      <c r="G697" s="11" t="str">
        <f>IFERROR(IF(VLOOKUP(A697,[6]PRIORIZADOS!$A:$G,7,FALSE)="","",VLOOKUP(A697,[6]PRIORIZADOS!$A:$G,7,FALSE)),"")</f>
        <v>COLEGIO_EMMANUEL_RUBIANO</v>
      </c>
      <c r="H697" s="11" t="str">
        <f>IFERROR(IF(VLOOKUP(A697,[6]PRIORIZADOS!$A:$H,8,FALSE)="","",VLOOKUP(A697,[6]PRIORIZADOS!$A:$H,8,FALSE)),"")</f>
        <v>Autoevaluación Institucional y Pruebas SABER 11</v>
      </c>
      <c r="I697" s="11" t="str">
        <f>IFERROR(IF(VLOOKUP(A697,[6]PRIORIZADOS!$A:$I,9,FALSE)="","",VLOOKUP(A697,[6]PRIORIZADOS!$A:$I,9,FALSE)),"")</f>
        <v>SEGUIMIENTO_Y_SUPERVISIÓN.</v>
      </c>
      <c r="J697" s="11" t="str">
        <f>IFERROR(IF(VLOOKUP(A697,[6]PRIORIZADOS!$A:$J,10,FALSE)="","",VLOOKUP(A697,[6]PRIORIZADOS!$A:$J,10,FALSE)),"")</f>
        <v>Realizar visitas para verificar la información registrada sobre la autoevaluación institucional en el aplicativo EVI, a los establecimientos de educación formal no oficial.</v>
      </c>
      <c r="K697" s="11" t="str">
        <f>IFERROR(IF(VLOOKUP(A697,[6]PRIORIZADOS!$A:$K,11,FALSE)="","",VLOOKUP(A697,[6]PRIORIZADOS!$A:$K,11,FALSE)),"")</f>
        <v>LUZ MERY PARRA NOPE</v>
      </c>
      <c r="L697" s="11" t="str">
        <f>IFERROR(IF(VLOOKUP(A697,[6]PRIORIZADOS!$A:$L,12,FALSE)="","",VLOOKUP(A697,[6]PRIORIZADOS!$A:$L,12,FALSE)),"")</f>
        <v>FREDDY CLAROS PEÑA</v>
      </c>
      <c r="M697" s="71">
        <f>IFERROR(IF(VLOOKUP(A697,[6]PRIORIZADOS!$A:$M,13,FALSE)="","",VLOOKUP(A697,[6]PRIORIZADOS!$A:$M,13,FALSE)),"")</f>
        <v>45855</v>
      </c>
      <c r="N697" s="139">
        <f>IFERROR(IF(VLOOKUP(A697,[6]PRIORIZADOS!$A:$N,14,FALSE)="","",VLOOKUP(A697,[6]PRIORIZADOS!$A:$N,14,FALSE)),"")</f>
        <v>45785</v>
      </c>
      <c r="O697" s="139">
        <f>IFERROR(IF(VLOOKUP(A697,[6]PRIORIZADOS!$A:$O,15,FALSE)="","",VLOOKUP(A697,[6]PRIORIZADOS!$A:$O,15,FALSE)),"")</f>
        <v>45785</v>
      </c>
      <c r="P697" s="11" t="str">
        <f>IFERROR(IF(VLOOKUP(A697,[6]PRIORIZADOS!$A:$P,16,FALSE)="","",VLOOKUP(A697,[6]PRIORIZADOS!$A:$P,16,FALSE)),"")</f>
        <v>Visitas de evaluación con fines de seguimiento</v>
      </c>
      <c r="Q697" s="140" t="s">
        <v>136</v>
      </c>
      <c r="R697" s="11" t="str">
        <f>IFERROR(IF(VLOOKUP(A697,[6]PRIORIZADOS!$A:$R,18,FALSE)="","",VLOOKUP(A697,[6]PRIORIZADOS!$A:$R,18,FALSE)),"")</f>
        <v>Los docentes no tienen contrato laboral, tampoco se realiza el pago de parafiscales al personal vincluado. No tiene laboratorio de Ciencías, no tiene software.</v>
      </c>
      <c r="S697" s="11" t="str">
        <f>IFERROR(IF(VLOOKUP(A697,[6]PRIORIZADOS!$A:$S,19,FALSE)="","",VLOOKUP(A697,[6]PRIORIZADOS!$A:$S,19,FALSE)),"")</f>
        <v>Realizar vinculación a todo el personal que labora en la Institución de acuerdo con la ley 115 de 1994 y el Código Sustantivo del Trabajo. Realizar cambio de nombre de la publicidad que se encuentra en la entrada del Colegio, dado que, registra como Colegio Emmanuel G.</v>
      </c>
      <c r="T697" s="70" t="str">
        <f>IFERROR(IF(VLOOKUP(A697,[6]PRIORIZADOS!$A:$T,20,FALSE)="","",VLOOKUP(A697,[6]PRIORIZADOS!$A:$T,20,FALSE)),"")</f>
        <v>Si</v>
      </c>
      <c r="U697" s="11" t="str">
        <f>IFERROR(IF(VLOOKUP(A697,[6]PRIORIZADOS!$A:$U,21,FALSE)="","",VLOOKUP(A697,[6]PRIORIZADOS!$A:$U,21,FALSE)),"")</f>
        <v xml:space="preserve">Presentar un plan de mejoramiento que subsane las observaciones realizadas, el plazo para la radicación de dicho plan es de 10 días hábiles posteriores a la visita. </v>
      </c>
    </row>
    <row r="698" spans="1:21" s="1" customFormat="1" ht="107.25">
      <c r="A698" s="69">
        <f>IF([6]PRIORIZADOS!A64="","",[6]PRIORIZADOS!A64)</f>
        <v>637</v>
      </c>
      <c r="B698" s="70">
        <f>IFERROR(IF(VLOOKUP(A698,[6]PRIORIZADOS!$A:$B,2,FALSE)="","",VLOOKUP(A698,[6]PRIORIZADOS!$A:$B,2,FALSE)),"")</f>
        <v>7</v>
      </c>
      <c r="C698" s="11" t="str">
        <f>IFERROR(IF(VLOOKUP(A698,[6]PRIORIZADOS!$A:$C,3,FALSE)="","",VLOOKUP(A698,[6]PRIORIZADOS!$A:$C,3,FALSE)),"")</f>
        <v>ENGATIVÁ</v>
      </c>
      <c r="D698" s="11" t="str">
        <f>IFERROR(IF(VLOOKUP(A698,[6]PRIORIZADOS!$A:$D,4,FALSE)="","",VLOOKUP(A698,[6]PRIORIZADOS!$A:$D,4,FALSE)),"")</f>
        <v>PRIVADO</v>
      </c>
      <c r="E698" s="11" t="str">
        <f>IFERROR(IF(VLOOKUP(A698,[6]PRIORIZADOS!$A:$E,5,FALSE)="","",VLOOKUP(A698,[6]PRIORIZADOS!$A:$E,5,FALSE)),"")</f>
        <v>Educación de Jóvenes y Adultos</v>
      </c>
      <c r="F698" s="11" t="str">
        <f>IFERROR(IF(VLOOKUP(A698,[6]PRIORIZADOS!$A:$F,6,FALSE)="","",VLOOKUP(A698,[6]PRIORIZADOS!$A:$F,6,FALSE)),"")</f>
        <v>COLEGIO_EMMANUEL_RUBIANO</v>
      </c>
      <c r="G698" s="11" t="str">
        <f>IFERROR(IF(VLOOKUP(A698,[6]PRIORIZADOS!$A:$G,7,FALSE)="","",VLOOKUP(A698,[6]PRIORIZADOS!$A:$G,7,FALSE)),"")</f>
        <v>COLEGIO_EMMANUEL_RUBIANO</v>
      </c>
      <c r="H698" s="11" t="str">
        <f>IFERROR(IF(VLOOKUP(A698,[6]PRIORIZADOS!$A:$H,8,FALSE)="","",VLOOKUP(A698,[6]PRIORIZADOS!$A:$H,8,FALSE)),"")</f>
        <v>Autoevaluación Institucional y Pruebas SABER 11</v>
      </c>
      <c r="I698" s="11" t="str">
        <f>IFERROR(IF(VLOOKUP(A698,[6]PRIORIZADOS!$A:$I,9,FALSE)="","",VLOOKUP(A698,[6]PRIORIZADOS!$A:$I,9,FALSE)),"")</f>
        <v>SEGUIMIENTO_Y_SUPERVISIÓN.</v>
      </c>
      <c r="J698" s="11" t="str">
        <f>IFERROR(IF(VLOOKUP(A698,[6]PRIORIZADOS!$A:$J,10,FALSE)="","",VLOOKUP(A698,[6]PRIORIZADOS!$A:$J,10,FALSE)),"")</f>
        <v>Proponer estrategias en la formulación, verificar su elaboración y realizar seguimiento semestral al desarrollo de  las acciones establecidas en los planes de mejoramiento por pruebas SABER 11 de los establecimientos de educación formal.</v>
      </c>
      <c r="K698" s="11" t="str">
        <f>IFERROR(IF(VLOOKUP(A698,[6]PRIORIZADOS!$A:$K,11,FALSE)="","",VLOOKUP(A698,[6]PRIORIZADOS!$A:$K,11,FALSE)),"")</f>
        <v>LUZ MERY PARRA NOPE</v>
      </c>
      <c r="L698" s="11" t="str">
        <f>IFERROR(IF(VLOOKUP(A698,[6]PRIORIZADOS!$A:$L,12,FALSE)="","",VLOOKUP(A698,[6]PRIORIZADOS!$A:$L,12,FALSE)),"")</f>
        <v>FREDDY CLAROS PEÑA</v>
      </c>
      <c r="M698" s="71">
        <f>IFERROR(IF(VLOOKUP(A698,[6]PRIORIZADOS!$A:$M,13,FALSE)="","",VLOOKUP(A698,[6]PRIORIZADOS!$A:$M,13,FALSE)),"")</f>
        <v>45855</v>
      </c>
      <c r="N698" s="139">
        <f>IFERROR(IF(VLOOKUP(A698,[6]PRIORIZADOS!$A:$N,14,FALSE)="","",VLOOKUP(A698,[6]PRIORIZADOS!$A:$N,14,FALSE)),"")</f>
        <v>45785</v>
      </c>
      <c r="O698" s="139">
        <f>IFERROR(IF(VLOOKUP(A698,[6]PRIORIZADOS!$A:$O,15,FALSE)="","",VLOOKUP(A698,[6]PRIORIZADOS!$A:$O,15,FALSE)),"")</f>
        <v>45785</v>
      </c>
      <c r="P698" s="11" t="str">
        <f>IFERROR(IF(VLOOKUP(A698,[6]PRIORIZADOS!$A:$P,16,FALSE)="","",VLOOKUP(A698,[6]PRIORIZADOS!$A:$P,16,FALSE)),"")</f>
        <v>Visitas de evaluación con fines de seguimiento</v>
      </c>
      <c r="Q698" s="140" t="s">
        <v>136</v>
      </c>
      <c r="R698" s="11" t="str">
        <f>IFERROR(IF(VLOOKUP(A698,[6]PRIORIZADOS!$A:$R,18,FALSE)="","",VLOOKUP(A698,[6]PRIORIZADOS!$A:$R,18,FALSE)),"")</f>
        <v xml:space="preserve">El EE se encuentra clasificada en las pruebas saber en C, no han realizado plan de mejoramiento, manifiestan que todos los sabados realizan un preicfes con los estudiantes de ciclo 5 y 6.  </v>
      </c>
      <c r="S698" s="11" t="str">
        <f>IFERROR(IF(VLOOKUP(A698,[6]PRIORIZADOS!$A:$S,19,FALSE)="","",VLOOKUP(A698,[6]PRIORIZADOS!$A:$S,19,FALSE)),"")</f>
        <v>Actualizar el currículo y plan de estudios (incluyendo los proyectos obligatorios adscritos al PEI), con base en los resultados obtenidos en las pruebas SABER 11. Implementar acciones para mejorar los aprendizajes de los estudiantes en las áreas del plan de estudio con más bajo desempeño en las pruebas SABER 11.</v>
      </c>
      <c r="T698" s="70" t="str">
        <f>IFERROR(IF(VLOOKUP(A698,[6]PRIORIZADOS!$A:$T,20,FALSE)="","",VLOOKUP(A698,[6]PRIORIZADOS!$A:$T,20,FALSE)),"")</f>
        <v>Si</v>
      </c>
      <c r="U698" s="11" t="str">
        <f>IFERROR(IF(VLOOKUP(A698,[6]PRIORIZADOS!$A:$U,21,FALSE)="","",VLOOKUP(A698,[6]PRIORIZADOS!$A:$U,21,FALSE)),"")</f>
        <v xml:space="preserve">Presentar un plan de mejoramiento que subsane las observaciones realizadas, el plazo para la radicación de dicho plan es de 10 días hábiles posteriores a la visita. </v>
      </c>
    </row>
    <row r="699" spans="1:21" s="1" customFormat="1" ht="118.5">
      <c r="A699" s="69">
        <f>IF([6]PRIORIZADOS!A65="","",[6]PRIORIZADOS!A65)</f>
        <v>638</v>
      </c>
      <c r="B699" s="70">
        <f>IFERROR(IF(VLOOKUP(A699,[6]PRIORIZADOS!$A:$B,2,FALSE)="","",VLOOKUP(A699,[6]PRIORIZADOS!$A:$B,2,FALSE)),"")</f>
        <v>7</v>
      </c>
      <c r="C699" s="11" t="str">
        <f>IFERROR(IF(VLOOKUP(A699,[6]PRIORIZADOS!$A:$C,3,FALSE)="","",VLOOKUP(A699,[6]PRIORIZADOS!$A:$C,3,FALSE)),"")</f>
        <v>ENGATIVÁ</v>
      </c>
      <c r="D699" s="11" t="str">
        <f>IFERROR(IF(VLOOKUP(A699,[6]PRIORIZADOS!$A:$D,4,FALSE)="","",VLOOKUP(A699,[6]PRIORIZADOS!$A:$D,4,FALSE)),"")</f>
        <v>PRIVADO</v>
      </c>
      <c r="E699" s="11" t="str">
        <f>IFERROR(IF(VLOOKUP(A699,[6]PRIORIZADOS!$A:$E,5,FALSE)="","",VLOOKUP(A699,[6]PRIORIZADOS!$A:$E,5,FALSE)),"")</f>
        <v>Educación de Jóvenes y Adultos</v>
      </c>
      <c r="F699" s="11" t="str">
        <f>IFERROR(IF(VLOOKUP(A699,[6]PRIORIZADOS!$A:$F,6,FALSE)="","",VLOOKUP(A699,[6]PRIORIZADOS!$A:$F,6,FALSE)),"")</f>
        <v>COLEGIO_EMMANUEL_RUBIANO</v>
      </c>
      <c r="G699" s="11" t="str">
        <f>IFERROR(IF(VLOOKUP(A699,[6]PRIORIZADOS!$A:$G,7,FALSE)="","",VLOOKUP(A699,[6]PRIORIZADOS!$A:$G,7,FALSE)),"")</f>
        <v>COLEGIO_EMMANUEL_RUBIANO</v>
      </c>
      <c r="H699" s="11" t="str">
        <f>IFERROR(IF(VLOOKUP(A699,[6]PRIORIZADOS!$A:$H,8,FALSE)="","",VLOOKUP(A699,[6]PRIORIZADOS!$A:$H,8,FALSE)),"")</f>
        <v>Autoevaluación Institucional y Pruebas SABER 11</v>
      </c>
      <c r="I699" s="11" t="str">
        <f>IFERROR(IF(VLOOKUP(A699,[6]PRIORIZADOS!$A:$I,9,FALSE)="","",VLOOKUP(A699,[6]PRIORIZADOS!$A:$I,9,FALSE)),"")</f>
        <v>SEGUIMIENTO_Y_SUPERVISIÓN.</v>
      </c>
      <c r="J699" s="11" t="str">
        <f>IFERROR(IF(VLOOKUP(A699,[6]PRIORIZADOS!$A:$J,10,FALSE)="","",VLOOKUP(A699,[6]PRIORIZADOS!$A:$J,10,FALSE)),"")</f>
        <v xml:space="preserve">Verificar la implementación por parte de los colegios, de acciones realizadas para la prevención y atención de las situaciones de convivencia en el entorno escolar, según lo establecido en la Directiva 01 de 2022 del MEN. </v>
      </c>
      <c r="K699" s="11" t="str">
        <f>IFERROR(IF(VLOOKUP(A699,[6]PRIORIZADOS!$A:$K,11,FALSE)="","",VLOOKUP(A699,[6]PRIORIZADOS!$A:$K,11,FALSE)),"")</f>
        <v>LUZ MERY PARRA NOPE</v>
      </c>
      <c r="L699" s="11" t="str">
        <f>IFERROR(IF(VLOOKUP(A699,[6]PRIORIZADOS!$A:$L,12,FALSE)="","",VLOOKUP(A699,[6]PRIORIZADOS!$A:$L,12,FALSE)),"")</f>
        <v>FREDDY CLAROS PEÑA</v>
      </c>
      <c r="M699" s="71">
        <f>IFERROR(IF(VLOOKUP(A699,[6]PRIORIZADOS!$A:$M,13,FALSE)="","",VLOOKUP(A699,[6]PRIORIZADOS!$A:$M,13,FALSE)),"")</f>
        <v>45855</v>
      </c>
      <c r="N699" s="139">
        <f>IFERROR(IF(VLOOKUP(A699,[6]PRIORIZADOS!$A:$N,14,FALSE)="","",VLOOKUP(A699,[6]PRIORIZADOS!$A:$N,14,FALSE)),"")</f>
        <v>45785</v>
      </c>
      <c r="O699" s="139">
        <f>IFERROR(IF(VLOOKUP(A699,[6]PRIORIZADOS!$A:$O,15,FALSE)="","",VLOOKUP(A699,[6]PRIORIZADOS!$A:$O,15,FALSE)),"")</f>
        <v>45785</v>
      </c>
      <c r="P699" s="11" t="str">
        <f>IFERROR(IF(VLOOKUP(A699,[6]PRIORIZADOS!$A:$P,16,FALSE)="","",VLOOKUP(A699,[6]PRIORIZADOS!$A:$P,16,FALSE)),"")</f>
        <v>Visitas de evaluación con fines de seguimiento</v>
      </c>
      <c r="Q699" s="140" t="s">
        <v>136</v>
      </c>
      <c r="R699" s="11" t="str">
        <f>IFERROR(IF(VLOOKUP(A699,[6]PRIORIZADOS!$A:$R,18,FALSE)="","",VLOOKUP(A699,[6]PRIORIZADOS!$A:$R,18,FALSE)),"")</f>
        <v>El EE no realiza activiación de alertas en los casos de convivencia según la Ley 1620 de 2013. Informan que una psicologa va los días jueves pero, no tiene contrato.</v>
      </c>
      <c r="S699" s="11" t="str">
        <f>IFERROR(IF(VLOOKUP(A699,[6]PRIORIZADOS!$A:$S,19,FALSE)="","",VLOOKUP(A699,[6]PRIORIZADOS!$A:$S,19,FALSE)),"")</f>
        <v>Contratar un orientador por tiempo completo.Realizar la ejecución y evaluación de los proyectos obligatorios (educación para la sexualidad, sostenibilidad del medio ambiente, recreación y empleo productivo del tiempo, democracia) Aportar evidenciar de las estrategias de apoyo para familias y estudiantes con dificultades socio emocionales realizadas desde Orientación</v>
      </c>
      <c r="T699" s="70" t="str">
        <f>IFERROR(IF(VLOOKUP(A699,[6]PRIORIZADOS!$A:$T,20,FALSE)="","",VLOOKUP(A699,[6]PRIORIZADOS!$A:$T,20,FALSE)),"")</f>
        <v>Si</v>
      </c>
      <c r="U699" s="11" t="str">
        <f>IFERROR(IF(VLOOKUP(A699,[6]PRIORIZADOS!$A:$U,21,FALSE)="","",VLOOKUP(A699,[6]PRIORIZADOS!$A:$U,21,FALSE)),"")</f>
        <v xml:space="preserve">Presentar un plan de mejoramiento que subsane las observaciones realizadas, el plazo para la radicación de dicho plan es de 10 días hábiles posteriores a la visita. </v>
      </c>
    </row>
    <row r="700" spans="1:21" s="1" customFormat="1" ht="72">
      <c r="A700" s="69">
        <f>IF([6]PRIORIZADOS!A66="","",[6]PRIORIZADOS!A66)</f>
        <v>639</v>
      </c>
      <c r="B700" s="70">
        <f>IFERROR(IF(VLOOKUP(A700,[6]PRIORIZADOS!$A:$B,2,FALSE)="","",VLOOKUP(A700,[6]PRIORIZADOS!$A:$B,2,FALSE)),"")</f>
        <v>7</v>
      </c>
      <c r="C700" s="11" t="str">
        <f>IFERROR(IF(VLOOKUP(A700,[6]PRIORIZADOS!$A:$C,3,FALSE)="","",VLOOKUP(A700,[6]PRIORIZADOS!$A:$C,3,FALSE)),"")</f>
        <v>ENGATIVÁ</v>
      </c>
      <c r="D700" s="11" t="str">
        <f>IFERROR(IF(VLOOKUP(A700,[6]PRIORIZADOS!$A:$D,4,FALSE)="","",VLOOKUP(A700,[6]PRIORIZADOS!$A:$D,4,FALSE)),"")</f>
        <v>PRIVADO</v>
      </c>
      <c r="E700" s="11" t="str">
        <f>IFERROR(IF(VLOOKUP(A700,[6]PRIORIZADOS!$A:$E,5,FALSE)="","",VLOOKUP(A700,[6]PRIORIZADOS!$A:$E,5,FALSE)),"")</f>
        <v>Educación de Jóvenes y Adultos</v>
      </c>
      <c r="F700" s="11" t="str">
        <f>IFERROR(IF(VLOOKUP(A700,[6]PRIORIZADOS!$A:$F,6,FALSE)="","",VLOOKUP(A700,[6]PRIORIZADOS!$A:$F,6,FALSE)),"")</f>
        <v>COLEGIO_EMMANUEL_RUBIANO</v>
      </c>
      <c r="G700" s="11" t="str">
        <f>IFERROR(IF(VLOOKUP(A700,[6]PRIORIZADOS!$A:$G,7,FALSE)="","",VLOOKUP(A700,[6]PRIORIZADOS!$A:$G,7,FALSE)),"")</f>
        <v>COLEGIO_EMMANUEL_RUBIANO</v>
      </c>
      <c r="H700" s="11" t="str">
        <f>IFERROR(IF(VLOOKUP(A700,[6]PRIORIZADOS!$A:$H,8,FALSE)="","",VLOOKUP(A700,[6]PRIORIZADOS!$A:$H,8,FALSE)),"")</f>
        <v>Autoevaluación Institucional y Pruebas SABER 11</v>
      </c>
      <c r="I700" s="11" t="str">
        <f>IFERROR(IF(VLOOKUP(A700,[6]PRIORIZADOS!$A:$I,9,FALSE)="","",VLOOKUP(A700,[6]PRIORIZADOS!$A:$I,9,FALSE)),"")</f>
        <v>SEGUIMIENTO_Y_SUPERVISIÓN.</v>
      </c>
      <c r="J700" s="11" t="str">
        <f>IFERROR(IF(VLOOKUP(A700,[6]PRIORIZADOS!$A:$J,10,FALSE)="","",VLOOKUP(A700,[6]PRIORIZADOS!$A:$J,10,FALSE)),"")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00" s="11" t="str">
        <f>IFERROR(IF(VLOOKUP(A700,[6]PRIORIZADOS!$A:$K,11,FALSE)="","",VLOOKUP(A700,[6]PRIORIZADOS!$A:$K,11,FALSE)),"")</f>
        <v>LUZ MERY PARRA NOPE</v>
      </c>
      <c r="L700" s="11" t="str">
        <f>IFERROR(IF(VLOOKUP(A700,[6]PRIORIZADOS!$A:$L,12,FALSE)="","",VLOOKUP(A700,[6]PRIORIZADOS!$A:$L,12,FALSE)),"")</f>
        <v>FREDDY CLAROS PEÑA</v>
      </c>
      <c r="M700" s="71">
        <f>IFERROR(IF(VLOOKUP(A700,[6]PRIORIZADOS!$A:$M,13,FALSE)="","",VLOOKUP(A700,[6]PRIORIZADOS!$A:$M,13,FALSE)),"")</f>
        <v>45855</v>
      </c>
      <c r="N700" s="139">
        <f>IFERROR(IF(VLOOKUP(A700,[6]PRIORIZADOS!$A:$N,14,FALSE)="","",VLOOKUP(A700,[6]PRIORIZADOS!$A:$N,14,FALSE)),"")</f>
        <v>45785</v>
      </c>
      <c r="O700" s="139">
        <f>IFERROR(IF(VLOOKUP(A700,[6]PRIORIZADOS!$A:$O,15,FALSE)="","",VLOOKUP(A700,[6]PRIORIZADOS!$A:$O,15,FALSE)),"")</f>
        <v>45785</v>
      </c>
      <c r="P700" s="11" t="str">
        <f>IFERROR(IF(VLOOKUP(A700,[6]PRIORIZADOS!$A:$P,16,FALSE)="","",VLOOKUP(A700,[6]PRIORIZADOS!$A:$P,16,FALSE)),"")</f>
        <v>Visitas de evaluación con fines de seguimiento</v>
      </c>
      <c r="Q700" s="140" t="s">
        <v>136</v>
      </c>
      <c r="R700" s="11" t="str">
        <f>IFERROR(IF(VLOOKUP(A700,[6]PRIORIZADOS!$A:$R,18,FALSE)="","",VLOOKUP(A700,[6]PRIORIZADOS!$A:$R,18,FALSE)),"")</f>
        <v>El EE informa que no tiene estudiantes con discapacidad.</v>
      </c>
      <c r="S700" s="11" t="str">
        <f>IFERROR(IF(VLOOKUP(A700,[6]PRIORIZADOS!$A:$S,19,FALSE)="","",VLOOKUP(A700,[6]PRIORIZADOS!$A:$S,19,FALSE)),"")</f>
        <v> </v>
      </c>
      <c r="T700" s="70" t="str">
        <f>IFERROR(IF(VLOOKUP(A700,[6]PRIORIZADOS!$A:$T,20,FALSE)="","",VLOOKUP(A700,[6]PRIORIZADOS!$A:$T,20,FALSE)),"")</f>
        <v>No</v>
      </c>
      <c r="U700" s="11" t="str">
        <f>IFERROR(IF(VLOOKUP(A700,[6]PRIORIZADOS!$A:$U,21,FALSE)="","",VLOOKUP(A700,[6]PRIORIZADOS!$A:$U,21,FALSE)),"")</f>
        <v> Se hará verificación en caso de presentar solicitud o queja ciudadana.</v>
      </c>
    </row>
    <row r="701" spans="1:21" s="1" customFormat="1" ht="130.5">
      <c r="A701" s="69">
        <f>IF([6]PRIORIZADOS!A67="","",[6]PRIORIZADOS!A67)</f>
        <v>640</v>
      </c>
      <c r="B701" s="70">
        <f>IFERROR(IF(VLOOKUP(A701,[6]PRIORIZADOS!$A:$B,2,FALSE)="","",VLOOKUP(A701,[6]PRIORIZADOS!$A:$B,2,FALSE)),"")</f>
        <v>7</v>
      </c>
      <c r="C701" s="11" t="str">
        <f>IFERROR(IF(VLOOKUP(A701,[6]PRIORIZADOS!$A:$C,3,FALSE)="","",VLOOKUP(A701,[6]PRIORIZADOS!$A:$C,3,FALSE)),"")</f>
        <v>ENGATIVÁ</v>
      </c>
      <c r="D701" s="11" t="str">
        <f>IFERROR(IF(VLOOKUP(A701,[6]PRIORIZADOS!$A:$D,4,FALSE)="","",VLOOKUP(A701,[6]PRIORIZADOS!$A:$D,4,FALSE)),"")</f>
        <v>PRIVADO</v>
      </c>
      <c r="E701" s="11" t="str">
        <f>IFERROR(IF(VLOOKUP(A701,[6]PRIORIZADOS!$A:$E,5,FALSE)="","",VLOOKUP(A701,[6]PRIORIZADOS!$A:$E,5,FALSE)),"")</f>
        <v>Educación de Jóvenes y Adultos</v>
      </c>
      <c r="F701" s="11" t="str">
        <f>IFERROR(IF(VLOOKUP(A701,[6]PRIORIZADOS!$A:$F,6,FALSE)="","",VLOOKUP(A701,[6]PRIORIZADOS!$A:$F,6,FALSE)),"")</f>
        <v>COLEGIO_EMMANUEL_RUBIANO</v>
      </c>
      <c r="G701" s="11" t="str">
        <f>IFERROR(IF(VLOOKUP(A701,[6]PRIORIZADOS!$A:$G,7,FALSE)="","",VLOOKUP(A701,[6]PRIORIZADOS!$A:$G,7,FALSE)),"")</f>
        <v>COLEGIO_EMMANUEL_RUBIANO</v>
      </c>
      <c r="H701" s="11" t="str">
        <f>IFERROR(IF(VLOOKUP(A701,[6]PRIORIZADOS!$A:$H,8,FALSE)="","",VLOOKUP(A701,[6]PRIORIZADOS!$A:$H,8,FALSE)),"")</f>
        <v>Autoevaluación Institucional y Pruebas SABER 11</v>
      </c>
      <c r="I701" s="11" t="str">
        <f>IFERROR(IF(VLOOKUP(A701,[6]PRIORIZADOS!$A:$I,9,FALSE)="","",VLOOKUP(A701,[6]PRIORIZADOS!$A:$I,9,FALSE)),"")</f>
        <v>EVALUACIÓN_CON_FINES_DE_MEJORAMIENTO.</v>
      </c>
      <c r="J701" s="11" t="str">
        <f>IFERROR(IF(VLOOKUP(A701,[6]PRIORIZADOS!$A:$J,10,FALSE)="","",VLOOKUP(A701,[6]PRIORIZADOS!$A:$J,10,FALSE)),"")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01" s="11" t="str">
        <f>IFERROR(IF(VLOOKUP(A701,[6]PRIORIZADOS!$A:$K,11,FALSE)="","",VLOOKUP(A701,[6]PRIORIZADOS!$A:$K,11,FALSE)),"")</f>
        <v>LUZ MERY PARRA NOPE</v>
      </c>
      <c r="L701" s="11" t="str">
        <f>IFERROR(IF(VLOOKUP(A701,[6]PRIORIZADOS!$A:$L,12,FALSE)="","",VLOOKUP(A701,[6]PRIORIZADOS!$A:$L,12,FALSE)),"")</f>
        <v>FREDDY CLAROS PEÑA</v>
      </c>
      <c r="M701" s="71">
        <f>IFERROR(IF(VLOOKUP(A701,[6]PRIORIZADOS!$A:$M,13,FALSE)="","",VLOOKUP(A701,[6]PRIORIZADOS!$A:$M,13,FALSE)),"")</f>
        <v>45855</v>
      </c>
      <c r="N701" s="139">
        <f>IFERROR(IF(VLOOKUP(A701,[6]PRIORIZADOS!$A:$N,14,FALSE)="","",VLOOKUP(A701,[6]PRIORIZADOS!$A:$N,14,FALSE)),"")</f>
        <v>45785</v>
      </c>
      <c r="O701" s="139">
        <f>IFERROR(IF(VLOOKUP(A701,[6]PRIORIZADOS!$A:$O,15,FALSE)="","",VLOOKUP(A701,[6]PRIORIZADOS!$A:$O,15,FALSE)),"")</f>
        <v>45785</v>
      </c>
      <c r="P701" s="11" t="str">
        <f>IFERROR(IF(VLOOKUP(A701,[6]PRIORIZADOS!$A:$P,16,FALSE)="","",VLOOKUP(A701,[6]PRIORIZADOS!$A:$P,16,FALSE)),"")</f>
        <v>Visitas de evaluación con fines de mejoramiento</v>
      </c>
      <c r="Q701" s="140" t="s">
        <v>136</v>
      </c>
      <c r="R701" s="11" t="str">
        <f>IFERROR(IF(VLOOKUP(A701,[6]PRIORIZADOS!$A:$R,18,FALSE)="","",VLOOKUP(A701,[6]PRIORIZADOS!$A:$R,18,FALSE)),"")</f>
        <v>No se observa actualización al manual de convivencia, tampoco se evidencia participación de padres y estudiantes.</v>
      </c>
      <c r="S701" s="11" t="str">
        <f>IFERROR(IF(VLOOKUP(A701,[6]PRIORIZADOS!$A:$S,19,FALSE)="","",VLOOKUP(A701,[6]PRIORIZADOS!$A:$S,19,FALSE)),"")</f>
        <v>Actualizar manual de convienvencia de manera participativa incluyendo a toda la comunidad educativa, Incluir en el manual de convivencia la operatividad del comité de convivencia escolar sus integrantes, funciones, el plan de convivencia escolar y reglamento interno. Aplicar la ruta de atención integral y protocolos para las situaciones de convivencia escolar, conforme a lo establecido en la Ley 1620 de 2013.</v>
      </c>
      <c r="T701" s="70" t="str">
        <f>IFERROR(IF(VLOOKUP(A701,[6]PRIORIZADOS!$A:$T,20,FALSE)="","",VLOOKUP(A701,[6]PRIORIZADOS!$A:$T,20,FALSE)),"")</f>
        <v>Si</v>
      </c>
      <c r="U701" s="11" t="str">
        <f>IFERROR(IF(VLOOKUP(A701,[6]PRIORIZADOS!$A:$U,21,FALSE)="","",VLOOKUP(A701,[6]PRIORIZADOS!$A:$U,21,FALSE)),"")</f>
        <v xml:space="preserve">Presentar un plan de mejoramiento que subsane las observaciones realizadas, el plazo para la radicación de dicho plan es de 10 días hábiles posteriores a la visita. </v>
      </c>
    </row>
    <row r="702" spans="1:21" s="1" customFormat="1" ht="60">
      <c r="A702" s="69">
        <f>IF([6]PRIORIZADOS!A68="","",[6]PRIORIZADOS!A68)</f>
        <v>641</v>
      </c>
      <c r="B702" s="70">
        <f>IFERROR(IF(VLOOKUP(A702,[6]PRIORIZADOS!$A:$B,2,FALSE)="","",VLOOKUP(A702,[6]PRIORIZADOS!$A:$B,2,FALSE)),"")</f>
        <v>7</v>
      </c>
      <c r="C702" s="11" t="str">
        <f>IFERROR(IF(VLOOKUP(A702,[6]PRIORIZADOS!$A:$C,3,FALSE)="","",VLOOKUP(A702,[6]PRIORIZADOS!$A:$C,3,FALSE)),"")</f>
        <v>ENGATIVÁ</v>
      </c>
      <c r="D702" s="11" t="str">
        <f>IFERROR(IF(VLOOKUP(A702,[6]PRIORIZADOS!$A:$D,4,FALSE)="","",VLOOKUP(A702,[6]PRIORIZADOS!$A:$D,4,FALSE)),"")</f>
        <v>PRIVADO</v>
      </c>
      <c r="E702" s="11" t="str">
        <f>IFERROR(IF(VLOOKUP(A702,[6]PRIORIZADOS!$A:$E,5,FALSE)="","",VLOOKUP(A702,[6]PRIORIZADOS!$A:$E,5,FALSE)),"")</f>
        <v>Educación de Jóvenes y Adultos</v>
      </c>
      <c r="F702" s="11" t="str">
        <f>IFERROR(IF(VLOOKUP(A702,[6]PRIORIZADOS!$A:$F,6,FALSE)="","",VLOOKUP(A702,[6]PRIORIZADOS!$A:$F,6,FALSE)),"")</f>
        <v>COLEGIO_EMMANUEL_RUBIANO</v>
      </c>
      <c r="G702" s="11" t="str">
        <f>IFERROR(IF(VLOOKUP(A702,[6]PRIORIZADOS!$A:$G,7,FALSE)="","",VLOOKUP(A702,[6]PRIORIZADOS!$A:$G,7,FALSE)),"")</f>
        <v>COLEGIO_EMMANUEL_RUBIANO</v>
      </c>
      <c r="H702" s="11" t="str">
        <f>IFERROR(IF(VLOOKUP(A702,[6]PRIORIZADOS!$A:$H,8,FALSE)="","",VLOOKUP(A702,[6]PRIORIZADOS!$A:$H,8,FALSE)),"")</f>
        <v>Autoevaluación Institucional y Pruebas SABER 11</v>
      </c>
      <c r="I702" s="11" t="str">
        <f>IFERROR(IF(VLOOKUP(A702,[6]PRIORIZADOS!$A:$I,9,FALSE)="","",VLOOKUP(A702,[6]PRIORIZADOS!$A:$I,9,FALSE)),"")</f>
        <v>EVALUACIÓN_CON_FINES_DE_MEJORAMIENTO.</v>
      </c>
      <c r="J702" s="11" t="str">
        <f>IFERROR(IF(VLOOKUP(A702,[6]PRIORIZADOS!$A:$J,10,FALSE)="","",VLOOKUP(A702,[6]PRIORIZADOS!$A:$J,10,FALSE)),"")</f>
        <v>Revisar la actualización, socialización e implementación del Sistema Institucional de Evaluación de Estudiantes - SIEE, en articulación con la actualización del PEI y la normatividad vigente.</v>
      </c>
      <c r="K702" s="11" t="str">
        <f>IFERROR(IF(VLOOKUP(A702,[6]PRIORIZADOS!$A:$K,11,FALSE)="","",VLOOKUP(A702,[6]PRIORIZADOS!$A:$K,11,FALSE)),"")</f>
        <v>LUZ MERY PARRA NOPE</v>
      </c>
      <c r="L702" s="11" t="str">
        <f>IFERROR(IF(VLOOKUP(A702,[6]PRIORIZADOS!$A:$L,12,FALSE)="","",VLOOKUP(A702,[6]PRIORIZADOS!$A:$L,12,FALSE)),"")</f>
        <v>FREDDY CLAROS PEÑA</v>
      </c>
      <c r="M702" s="71">
        <f>IFERROR(IF(VLOOKUP(A702,[6]PRIORIZADOS!$A:$M,13,FALSE)="","",VLOOKUP(A702,[6]PRIORIZADOS!$A:$M,13,FALSE)),"")</f>
        <v>45855</v>
      </c>
      <c r="N702" s="139">
        <f>IFERROR(IF(VLOOKUP(A702,[6]PRIORIZADOS!$A:$N,14,FALSE)="","",VLOOKUP(A702,[6]PRIORIZADOS!$A:$N,14,FALSE)),"")</f>
        <v>45785</v>
      </c>
      <c r="O702" s="139">
        <f>IFERROR(IF(VLOOKUP(A702,[6]PRIORIZADOS!$A:$O,15,FALSE)="","",VLOOKUP(A702,[6]PRIORIZADOS!$A:$O,15,FALSE)),"")</f>
        <v>45785</v>
      </c>
      <c r="P702" s="11" t="str">
        <f>IFERROR(IF(VLOOKUP(A702,[6]PRIORIZADOS!$A:$P,16,FALSE)="","",VLOOKUP(A702,[6]PRIORIZADOS!$A:$P,16,FALSE)),"")</f>
        <v>Visitas de evaluación con fines de mejoramiento</v>
      </c>
      <c r="Q702" s="140" t="s">
        <v>136</v>
      </c>
      <c r="R702" s="11" t="str">
        <f>IFERROR(IF(VLOOKUP(A702,[6]PRIORIZADOS!$A:$R,18,FALSE)="","",VLOOKUP(A702,[6]PRIORIZADOS!$A:$R,18,FALSE)),"")</f>
        <v>Se observa que el EE diseña los boletines en excel y los entrega por areas con descripción culitativa y cuantitativa. De otra parte, los estudiantes presentan trabajos sustentados al final de cada periodo.</v>
      </c>
      <c r="S702" s="11" t="str">
        <f>IFERROR(IF(VLOOKUP(A702,[6]PRIORIZADOS!$A:$S,19,FALSE)="","",VLOOKUP(A702,[6]PRIORIZADOS!$A:$S,19,FALSE)),"")</f>
        <v>Continuar realizando estrategias que contribuyan al acompañamiento de los estudiantes que los requieran</v>
      </c>
      <c r="T702" s="70" t="str">
        <f>IFERROR(IF(VLOOKUP(A702,[6]PRIORIZADOS!$A:$T,20,FALSE)="","",VLOOKUP(A702,[6]PRIORIZADOS!$A:$T,20,FALSE)),"")</f>
        <v>No</v>
      </c>
      <c r="U702" s="11" t="str">
        <f>IFERROR(IF(VLOOKUP(A702,[6]PRIORIZADOS!$A:$U,21,FALSE)="","",VLOOKUP(A702,[6]PRIORIZADOS!$A:$U,21,FALSE)),"")</f>
        <v xml:space="preserve">Presentar un plan de mejoramiento que subsane las observaciones realizadas, el plazo para la radicación de dicho plan es de 10 días hábiles posteriores a la visita. </v>
      </c>
    </row>
    <row r="703" spans="1:21" s="1" customFormat="1" ht="48">
      <c r="A703" s="69">
        <f>IF([6]PRIORIZADOS!A69="","",[6]PRIORIZADOS!A69)</f>
        <v>642</v>
      </c>
      <c r="B703" s="70">
        <f>IFERROR(IF(VLOOKUP(A703,[6]PRIORIZADOS!$A:$B,2,FALSE)="","",VLOOKUP(A703,[6]PRIORIZADOS!$A:$B,2,FALSE)),"")</f>
        <v>7</v>
      </c>
      <c r="C703" s="11" t="str">
        <f>IFERROR(IF(VLOOKUP(A703,[6]PRIORIZADOS!$A:$C,3,FALSE)="","",VLOOKUP(A703,[6]PRIORIZADOS!$A:$C,3,FALSE)),"")</f>
        <v>ENGATIVÁ</v>
      </c>
      <c r="D703" s="11" t="str">
        <f>IFERROR(IF(VLOOKUP(A703,[6]PRIORIZADOS!$A:$D,4,FALSE)="","",VLOOKUP(A703,[6]PRIORIZADOS!$A:$D,4,FALSE)),"")</f>
        <v>PRIVADO</v>
      </c>
      <c r="E703" s="11" t="str">
        <f>IFERROR(IF(VLOOKUP(A703,[6]PRIORIZADOS!$A:$E,5,FALSE)="","",VLOOKUP(A703,[6]PRIORIZADOS!$A:$E,5,FALSE)),"")</f>
        <v>Educación de Jóvenes y Adultos</v>
      </c>
      <c r="F703" s="11" t="str">
        <f>IFERROR(IF(VLOOKUP(A703,[6]PRIORIZADOS!$A:$F,6,FALSE)="","",VLOOKUP(A703,[6]PRIORIZADOS!$A:$F,6,FALSE)),"")</f>
        <v>COLEGIO_EMMANUEL_RUBIANO</v>
      </c>
      <c r="G703" s="11" t="str">
        <f>IFERROR(IF(VLOOKUP(A703,[6]PRIORIZADOS!$A:$G,7,FALSE)="","",VLOOKUP(A703,[6]PRIORIZADOS!$A:$G,7,FALSE)),"")</f>
        <v>COLEGIO_EMMANUEL_RUBIANO</v>
      </c>
      <c r="H703" s="11" t="str">
        <f>IFERROR(IF(VLOOKUP(A703,[6]PRIORIZADOS!$A:$H,8,FALSE)="","",VLOOKUP(A703,[6]PRIORIZADOS!$A:$H,8,FALSE)),"")</f>
        <v>Autoevaluación Institucional y Pruebas SABER 11</v>
      </c>
      <c r="I703" s="11" t="str">
        <f>IFERROR(IF(VLOOKUP(A703,[6]PRIORIZADOS!$A:$I,9,FALSE)="","",VLOOKUP(A703,[6]PRIORIZADOS!$A:$I,9,FALSE)),"")</f>
        <v>EVALUACIÓN_CON_FINES_DE_MEJORAMIENTO.</v>
      </c>
      <c r="J703" s="11" t="str">
        <f>IFERROR(IF(VLOOKUP(A703,[6]PRIORIZADOS!$A:$J,10,FALSE)="","",VLOOKUP(A703,[6]PRIORIZADOS!$A:$J,10,FALSE)),"")</f>
        <v>Revisar el calendario escolar, jornada escolar, la intensidad horaria mínima anual en cada nivel y las modificaciones que se realicen al mismo, de acuerdo con lo previsto en la normatividad vigente.</v>
      </c>
      <c r="K703" s="11" t="str">
        <f>IFERROR(IF(VLOOKUP(A703,[6]PRIORIZADOS!$A:$K,11,FALSE)="","",VLOOKUP(A703,[6]PRIORIZADOS!$A:$K,11,FALSE)),"")</f>
        <v>LUZ MERY PARRA NOPE</v>
      </c>
      <c r="L703" s="11" t="str">
        <f>IFERROR(IF(VLOOKUP(A703,[6]PRIORIZADOS!$A:$L,12,FALSE)="","",VLOOKUP(A703,[6]PRIORIZADOS!$A:$L,12,FALSE)),"")</f>
        <v>FREDDY CLAROS PEÑA</v>
      </c>
      <c r="M703" s="71">
        <f>IFERROR(IF(VLOOKUP(A703,[6]PRIORIZADOS!$A:$M,13,FALSE)="","",VLOOKUP(A703,[6]PRIORIZADOS!$A:$M,13,FALSE)),"")</f>
        <v>45855</v>
      </c>
      <c r="N703" s="139">
        <f>IFERROR(IF(VLOOKUP(A703,[6]PRIORIZADOS!$A:$N,14,FALSE)="","",VLOOKUP(A703,[6]PRIORIZADOS!$A:$N,14,FALSE)),"")</f>
        <v>45785</v>
      </c>
      <c r="O703" s="139">
        <f>IFERROR(IF(VLOOKUP(A703,[6]PRIORIZADOS!$A:$O,15,FALSE)="","",VLOOKUP(A703,[6]PRIORIZADOS!$A:$O,15,FALSE)),"")</f>
        <v>45785</v>
      </c>
      <c r="P703" s="11" t="str">
        <f>IFERROR(IF(VLOOKUP(A703,[6]PRIORIZADOS!$A:$P,16,FALSE)="","",VLOOKUP(A703,[6]PRIORIZADOS!$A:$P,16,FALSE)),"")</f>
        <v>Visitas de evaluación con fines de mejoramiento</v>
      </c>
      <c r="Q703" s="140" t="s">
        <v>136</v>
      </c>
      <c r="R703" s="11" t="str">
        <f>IFERROR(IF(VLOOKUP(A703,[6]PRIORIZADOS!$A:$R,18,FALSE)="","",VLOOKUP(A703,[6]PRIORIZADOS!$A:$R,18,FALSE)),"")</f>
        <v>Se observa que el calendario escolar, jornada escolar y la intensidad horaria minima requeida comple con la normatividad vigente</v>
      </c>
      <c r="S703" s="11" t="str">
        <f>IFERROR(IF(VLOOKUP(A703,[6]PRIORIZADOS!$A:$S,19,FALSE)="","",VLOOKUP(A703,[6]PRIORIZADOS!$A:$S,19,FALSE)),"")</f>
        <v>La EE cumple con la intensidad minima legal vigente para cada nivel ofrecido.</v>
      </c>
      <c r="T703" s="70" t="str">
        <f>IFERROR(IF(VLOOKUP(A703,[6]PRIORIZADOS!$A:$T,20,FALSE)="","",VLOOKUP(A703,[6]PRIORIZADOS!$A:$T,20,FALSE)),"")</f>
        <v>No</v>
      </c>
      <c r="U703" s="11" t="str">
        <f>IFERROR(IF(VLOOKUP(A703,[6]PRIORIZADOS!$A:$U,21,FALSE)="","",VLOOKUP(A703,[6]PRIORIZADOS!$A:$U,21,FALSE)),"")</f>
        <v> Se hará verificación en caso de presentar solicitud o queja ciudadana.</v>
      </c>
    </row>
    <row r="704" spans="1:21" s="1" customFormat="1" ht="48">
      <c r="A704" s="69">
        <f>IF([6]PRIORIZADOS!A70="","",[6]PRIORIZADOS!A70)</f>
        <v>643</v>
      </c>
      <c r="B704" s="70">
        <f>IFERROR(IF(VLOOKUP(A704,[6]PRIORIZADOS!$A:$B,2,FALSE)="","",VLOOKUP(A704,[6]PRIORIZADOS!$A:$B,2,FALSE)),"")</f>
        <v>7</v>
      </c>
      <c r="C704" s="11" t="str">
        <f>IFERROR(IF(VLOOKUP(A704,[6]PRIORIZADOS!$A:$C,3,FALSE)="","",VLOOKUP(A704,[6]PRIORIZADOS!$A:$C,3,FALSE)),"")</f>
        <v>ENGATIVÁ</v>
      </c>
      <c r="D704" s="11" t="str">
        <f>IFERROR(IF(VLOOKUP(A704,[6]PRIORIZADOS!$A:$D,4,FALSE)="","",VLOOKUP(A704,[6]PRIORIZADOS!$A:$D,4,FALSE)),"")</f>
        <v>PRIVADO</v>
      </c>
      <c r="E704" s="11" t="str">
        <f>IFERROR(IF(VLOOKUP(A704,[6]PRIORIZADOS!$A:$E,5,FALSE)="","",VLOOKUP(A704,[6]PRIORIZADOS!$A:$E,5,FALSE)),"")</f>
        <v>Educación de Jóvenes y Adultos</v>
      </c>
      <c r="F704" s="11" t="str">
        <f>IFERROR(IF(VLOOKUP(A704,[6]PRIORIZADOS!$A:$F,6,FALSE)="","",VLOOKUP(A704,[6]PRIORIZADOS!$A:$F,6,FALSE)),"")</f>
        <v>COLEGIO_EMMANUEL_RUBIANO</v>
      </c>
      <c r="G704" s="11" t="str">
        <f>IFERROR(IF(VLOOKUP(A704,[6]PRIORIZADOS!$A:$G,7,FALSE)="","",VLOOKUP(A704,[6]PRIORIZADOS!$A:$G,7,FALSE)),"")</f>
        <v>COLEGIO_EMMANUEL_RUBIANO</v>
      </c>
      <c r="H704" s="11" t="str">
        <f>IFERROR(IF(VLOOKUP(A704,[6]PRIORIZADOS!$A:$H,8,FALSE)="","",VLOOKUP(A704,[6]PRIORIZADOS!$A:$H,8,FALSE)),"")</f>
        <v>Autoevaluación Institucional y Pruebas SABER 11</v>
      </c>
      <c r="I704" s="11" t="str">
        <f>IFERROR(IF(VLOOKUP(A704,[6]PRIORIZADOS!$A:$I,9,FALSE)="","",VLOOKUP(A704,[6]PRIORIZADOS!$A:$I,9,FALSE)),"")</f>
        <v>EVALUACIÓN_CON_FINES_DE_MEJORAMIENTO.</v>
      </c>
      <c r="J704" s="11" t="str">
        <f>IFERROR(IF(VLOOKUP(A704,[6]PRIORIZADOS!$A:$J,10,FALSE)="","",VLOOKUP(A704,[6]PRIORIZADOS!$A:$J,10,FALSE)),"")</f>
        <v>Verificar el funcionamiento del Gobierno Escolar e instancias de participación con base en la información sobre conformación reportada por la institución educativa.</v>
      </c>
      <c r="K704" s="11" t="str">
        <f>IFERROR(IF(VLOOKUP(A704,[6]PRIORIZADOS!$A:$K,11,FALSE)="","",VLOOKUP(A704,[6]PRIORIZADOS!$A:$K,11,FALSE)),"")</f>
        <v>LUZ MERY PARRA NOPE</v>
      </c>
      <c r="L704" s="11" t="str">
        <f>IFERROR(IF(VLOOKUP(A704,[6]PRIORIZADOS!$A:$L,12,FALSE)="","",VLOOKUP(A704,[6]PRIORIZADOS!$A:$L,12,FALSE)),"")</f>
        <v>FREDDY CLAROS PEÑA</v>
      </c>
      <c r="M704" s="71">
        <f>IFERROR(IF(VLOOKUP(A704,[6]PRIORIZADOS!$A:$M,13,FALSE)="","",VLOOKUP(A704,[6]PRIORIZADOS!$A:$M,13,FALSE)),"")</f>
        <v>45855</v>
      </c>
      <c r="N704" s="139">
        <f>IFERROR(IF(VLOOKUP(A704,[6]PRIORIZADOS!$A:$N,14,FALSE)="","",VLOOKUP(A704,[6]PRIORIZADOS!$A:$N,14,FALSE)),"")</f>
        <v>45785</v>
      </c>
      <c r="O704" s="139">
        <f>IFERROR(IF(VLOOKUP(A704,[6]PRIORIZADOS!$A:$O,15,FALSE)="","",VLOOKUP(A704,[6]PRIORIZADOS!$A:$O,15,FALSE)),"")</f>
        <v>45785</v>
      </c>
      <c r="P704" s="11" t="str">
        <f>IFERROR(IF(VLOOKUP(A704,[6]PRIORIZADOS!$A:$P,16,FALSE)="","",VLOOKUP(A704,[6]PRIORIZADOS!$A:$P,16,FALSE)),"")</f>
        <v>Visitas de evaluación con fines de mejoramiento</v>
      </c>
      <c r="Q704" s="140" t="s">
        <v>136</v>
      </c>
      <c r="R704" s="11" t="str">
        <f>IFERROR(IF(VLOOKUP(A704,[6]PRIORIZADOS!$A:$R,18,FALSE)="","",VLOOKUP(A704,[6]PRIORIZADOS!$A:$R,18,FALSE)),"")</f>
        <v>El EE no ha realizado el cargue de actas en aplicativo SAE de igual forma no evidencian acta de reunión de cada una las instancias de participación.</v>
      </c>
      <c r="S704" s="11" t="str">
        <f>IFERROR(IF(VLOOKUP(A704,[6]PRIORIZADOS!$A:$S,19,FALSE)="","",VLOOKUP(A704,[6]PRIORIZADOS!$A:$S,19,FALSE)),"")</f>
        <v>Realizar las actas de Gobierno Escolar y cargue en los formatos del aplicativo SAE para el año 2025.</v>
      </c>
      <c r="T704" s="70" t="str">
        <f>IFERROR(IF(VLOOKUP(A704,[6]PRIORIZADOS!$A:$T,20,FALSE)="","",VLOOKUP(A704,[6]PRIORIZADOS!$A:$T,20,FALSE)),"")</f>
        <v>Si</v>
      </c>
      <c r="U704" s="11" t="str">
        <f>IFERROR(IF(VLOOKUP(A704,[6]PRIORIZADOS!$A:$U,21,FALSE)="","",VLOOKUP(A704,[6]PRIORIZADOS!$A:$U,21,FALSE)),"")</f>
        <v xml:space="preserve">Presentar un plan de mejoramiento que subsane las observaciones realizadas, el plazo para la radicación de dicho plan es de 10 días hábiles posteriores a la visita. </v>
      </c>
    </row>
    <row r="705" spans="1:21" s="1" customFormat="1" ht="43.5">
      <c r="A705" s="69">
        <f>IF([6]PRIORIZADOS!A71="","",[6]PRIORIZADOS!A71)</f>
        <v>644</v>
      </c>
      <c r="B705" s="70">
        <f>IFERROR(IF(VLOOKUP(A705,[6]PRIORIZADOS!$A:$B,2,FALSE)="","",VLOOKUP(A705,[6]PRIORIZADOS!$A:$B,2,FALSE)),"")</f>
        <v>7</v>
      </c>
      <c r="C705" s="11" t="str">
        <f>IFERROR(IF(VLOOKUP(A705,[6]PRIORIZADOS!$A:$C,3,FALSE)="","",VLOOKUP(A705,[6]PRIORIZADOS!$A:$C,3,FALSE)),"")</f>
        <v>ENGATIVÁ</v>
      </c>
      <c r="D705" s="11" t="str">
        <f>IFERROR(IF(VLOOKUP(A705,[6]PRIORIZADOS!$A:$D,4,FALSE)="","",VLOOKUP(A705,[6]PRIORIZADOS!$A:$D,4,FALSE)),"")</f>
        <v>PRIVADO</v>
      </c>
      <c r="E705" s="11" t="str">
        <f>IFERROR(IF(VLOOKUP(A705,[6]PRIORIZADOS!$A:$E,5,FALSE)="","",VLOOKUP(A705,[6]PRIORIZADOS!$A:$E,5,FALSE)),"")</f>
        <v>Educación de Jóvenes y Adultos</v>
      </c>
      <c r="F705" s="11" t="str">
        <f>IFERROR(IF(VLOOKUP(A705,[6]PRIORIZADOS!$A:$F,6,FALSE)="","",VLOOKUP(A705,[6]PRIORIZADOS!$A:$F,6,FALSE)),"")</f>
        <v>COLEGIO_EMMANUEL_RUBIANO</v>
      </c>
      <c r="G705" s="11" t="str">
        <f>IFERROR(IF(VLOOKUP(A705,[6]PRIORIZADOS!$A:$G,7,FALSE)="","",VLOOKUP(A705,[6]PRIORIZADOS!$A:$G,7,FALSE)),"")</f>
        <v>COLEGIO_EMMANUEL_RUBIANO</v>
      </c>
      <c r="H705" s="11" t="str">
        <f>IFERROR(IF(VLOOKUP(A705,[6]PRIORIZADOS!$A:$H,8,FALSE)="","",VLOOKUP(A705,[6]PRIORIZADOS!$A:$H,8,FALSE)),"")</f>
        <v>Autoevaluación Institucional y Pruebas SABER 11</v>
      </c>
      <c r="I705" s="11" t="str">
        <f>IFERROR(IF(VLOOKUP(A705,[6]PRIORIZADOS!$A:$I,9,FALSE)="","",VLOOKUP(A705,[6]PRIORIZADOS!$A:$I,9,FALSE)),"")</f>
        <v>EVALUACIÓN_CON_FINES_DE_MEJORAMIENTO.</v>
      </c>
      <c r="J705" s="11" t="str">
        <f>IFERROR(IF(VLOOKUP(A705,[6]PRIORIZADOS!$A:$J,10,FALSE)="","",VLOOKUP(A705,[6]PRIORIZADOS!$A:$J,10,FALSE)),"")</f>
        <v>Verificar las condiciones en cuanto a: la estructura administrativa, condiciones de la planta física y medios educativos adecuados.</v>
      </c>
      <c r="K705" s="11" t="str">
        <f>IFERROR(IF(VLOOKUP(A705,[6]PRIORIZADOS!$A:$K,11,FALSE)="","",VLOOKUP(A705,[6]PRIORIZADOS!$A:$K,11,FALSE)),"")</f>
        <v>LUZ MERY PARRA NOPE</v>
      </c>
      <c r="L705" s="11" t="str">
        <f>IFERROR(IF(VLOOKUP(A705,[6]PRIORIZADOS!$A:$L,12,FALSE)="","",VLOOKUP(A705,[6]PRIORIZADOS!$A:$L,12,FALSE)),"")</f>
        <v>FREDDY CLAROS PEÑA</v>
      </c>
      <c r="M705" s="71">
        <f>IFERROR(IF(VLOOKUP(A705,[6]PRIORIZADOS!$A:$M,13,FALSE)="","",VLOOKUP(A705,[6]PRIORIZADOS!$A:$M,13,FALSE)),"")</f>
        <v>45855</v>
      </c>
      <c r="N705" s="139">
        <f>IFERROR(IF(VLOOKUP(A705,[6]PRIORIZADOS!$A:$N,14,FALSE)="","",VLOOKUP(A705,[6]PRIORIZADOS!$A:$N,14,FALSE)),"")</f>
        <v>45785</v>
      </c>
      <c r="O705" s="139">
        <f>IFERROR(IF(VLOOKUP(A705,[6]PRIORIZADOS!$A:$O,15,FALSE)="","",VLOOKUP(A705,[6]PRIORIZADOS!$A:$O,15,FALSE)),"")</f>
        <v>45785</v>
      </c>
      <c r="P705" s="11" t="str">
        <f>IFERROR(IF(VLOOKUP(A705,[6]PRIORIZADOS!$A:$P,16,FALSE)="","",VLOOKUP(A705,[6]PRIORIZADOS!$A:$P,16,FALSE)),"")</f>
        <v>Visitas de evaluación con fines de mejoramiento</v>
      </c>
      <c r="Q705" s="140" t="s">
        <v>136</v>
      </c>
      <c r="R705" s="11" t="str">
        <f>IFERROR(IF(VLOOKUP(A705,[6]PRIORIZADOS!$A:$R,18,FALSE)="","",VLOOKUP(A705,[6]PRIORIZADOS!$A:$R,18,FALSE)),"")</f>
        <v>Al realizar el recorrido por la planta fisica del EE se observa que se encuentra en buen estado.</v>
      </c>
      <c r="S705" s="11" t="str">
        <f>IFERROR(IF(VLOOKUP(A705,[6]PRIORIZADOS!$A:$S,19,FALSE)="","",VLOOKUP(A705,[6]PRIORIZADOS!$A:$S,19,FALSE)),"")</f>
        <v>Se sugiere adecuar espacios para personas con discapacidad.</v>
      </c>
      <c r="T705" s="70" t="str">
        <f>IFERROR(IF(VLOOKUP(A705,[6]PRIORIZADOS!$A:$T,20,FALSE)="","",VLOOKUP(A705,[6]PRIORIZADOS!$A:$T,20,FALSE)),"")</f>
        <v>No</v>
      </c>
      <c r="U705" s="11" t="str">
        <f>IFERROR(IF(VLOOKUP(A705,[6]PRIORIZADOS!$A:$U,21,FALSE)="","",VLOOKUP(A705,[6]PRIORIZADOS!$A:$U,21,FALSE)),"")</f>
        <v> Se hará verificación en caso de presentar solicitud o queja ciudadana.</v>
      </c>
    </row>
    <row r="706" spans="1:21" s="1" customFormat="1" ht="84">
      <c r="A706" s="69">
        <f>IF([6]PRIORIZADOS!A72="","",[6]PRIORIZADOS!A72)</f>
        <v>645</v>
      </c>
      <c r="B706" s="70">
        <f>IFERROR(IF(VLOOKUP(A706,[6]PRIORIZADOS!$A:$B,2,FALSE)="","",VLOOKUP(A706,[6]PRIORIZADOS!$A:$B,2,FALSE)),"")</f>
        <v>8</v>
      </c>
      <c r="C706" s="11" t="str">
        <f>IFERROR(IF(VLOOKUP(A706,[6]PRIORIZADOS!$A:$C,3,FALSE)="","",VLOOKUP(A706,[6]PRIORIZADOS!$A:$C,3,FALSE)),"")</f>
        <v>ENGATIVÁ</v>
      </c>
      <c r="D706" s="11" t="str">
        <f>IFERROR(IF(VLOOKUP(A706,[6]PRIORIZADOS!$A:$D,4,FALSE)="","",VLOOKUP(A706,[6]PRIORIZADOS!$A:$D,4,FALSE)),"")</f>
        <v>PRIVADO</v>
      </c>
      <c r="E706" s="11" t="str">
        <f>IFERROR(IF(VLOOKUP(A706,[6]PRIORIZADOS!$A:$E,5,FALSE)="","",VLOOKUP(A706,[6]PRIORIZADOS!$A:$E,5,FALSE)),"")</f>
        <v>EPBM</v>
      </c>
      <c r="F706" s="11" t="str">
        <f>IFERROR(IF(VLOOKUP(A706,[6]PRIORIZADOS!$A:$F,6,FALSE)="","",VLOOKUP(A706,[6]PRIORIZADOS!$A:$F,6,FALSE)),"")</f>
        <v>LICEO_SAN_LEON_MAGNO</v>
      </c>
      <c r="G706" s="11" t="str">
        <f>IFERROR(IF(VLOOKUP(A706,[6]PRIORIZADOS!$A:$G,7,FALSE)="","",VLOOKUP(A706,[6]PRIORIZADOS!$A:$G,7,FALSE)),"")</f>
        <v>LICEO_SAN_LEON_MAGNO</v>
      </c>
      <c r="H706" s="11" t="str">
        <f>IFERROR(IF(VLOOKUP(A706,[6]PRIORIZADOS!$A:$H,8,FALSE)="","",VLOOKUP(A706,[6]PRIORIZADOS!$A:$H,8,FALSE)),"")</f>
        <v>Autoevaluación Institucional y Pruebas SABER 11</v>
      </c>
      <c r="I706" s="11" t="str">
        <f>IFERROR(IF(VLOOKUP(A706,[6]PRIORIZADOS!$A:$I,9,FALSE)="","",VLOOKUP(A706,[6]PRIORIZADOS!$A:$I,9,FALSE)),"")</f>
        <v>SEGUIMIENTO_Y_SUPERVISIÓN.</v>
      </c>
      <c r="J706" s="11" t="str">
        <f>IFERROR(IF(VLOOKUP(A706,[6]PRIORIZADOS!$A:$J,10,FALSE)="","",VLOOKUP(A706,[6]PRIORIZADOS!$A:$J,10,FALSE)),"")</f>
        <v>Realizar visitas para verificar la información registrada sobre la autoevaluación institucional en el aplicativo EVI, a los establecimientos de educación formal no oficial.</v>
      </c>
      <c r="K706" s="11" t="str">
        <f>IFERROR(IF(VLOOKUP(A706,[6]PRIORIZADOS!$A:$K,11,FALSE)="","",VLOOKUP(A706,[6]PRIORIZADOS!$A:$K,11,FALSE)),"")</f>
        <v>FREDDY CLAROS PEÑA</v>
      </c>
      <c r="L706" s="11" t="str">
        <f>IFERROR(IF(VLOOKUP(A706,[6]PRIORIZADOS!$A:$L,12,FALSE)="","",VLOOKUP(A706,[6]PRIORIZADOS!$A:$L,12,FALSE)),"")</f>
        <v>ANA MARÍA CASAS SANABRIA</v>
      </c>
      <c r="M706" s="71">
        <f>IFERROR(IF(VLOOKUP(A706,[6]PRIORIZADOS!$A:$M,13,FALSE)="","",VLOOKUP(A706,[6]PRIORIZADOS!$A:$M,13,FALSE)),"")</f>
        <v>45806</v>
      </c>
      <c r="N706" s="139">
        <f>IFERROR(IF(VLOOKUP(A706,[6]PRIORIZADOS!$A:$N,14,FALSE)="","",VLOOKUP(A706,[6]PRIORIZADOS!$A:$N,14,FALSE)),"")</f>
        <v>45807</v>
      </c>
      <c r="O706" s="139">
        <f>IFERROR(IF(VLOOKUP(A706,[6]PRIORIZADOS!$A:$O,15,FALSE)="","",VLOOKUP(A706,[6]PRIORIZADOS!$A:$O,15,FALSE)),"")</f>
        <v>45807</v>
      </c>
      <c r="P706" s="11" t="str">
        <f>IFERROR(IF(VLOOKUP(A706,[6]PRIORIZADOS!$A:$P,16,FALSE)="","",VLOOKUP(A706,[6]PRIORIZADOS!$A:$P,16,FALSE)),"")</f>
        <v>Visitas de evaluación con fines de seguimiento</v>
      </c>
      <c r="Q706" s="107" t="s">
        <v>137</v>
      </c>
      <c r="R706" s="11" t="str">
        <f>IFERROR(IF(VLOOKUP(A706,[6]PRIORIZADOS!$A:$R,18,FALSE)="","",VLOOKUP(A706,[6]PRIORIZADOS!$A:$R,18,FALSE)),"")</f>
        <v>Se realizó verificación de la información registrada en el aplicativo EVI, encontrandose con 12 aulas de clase, un aula destina a sala de sistemas con 19 computadores con conexión a internet, se evidencia un depósito de libros, 15 baterias sanitaras, 19 lavamaos.</v>
      </c>
      <c r="S706" s="11" t="str">
        <f>IFERROR(IF(VLOOKUP(A706,[6]PRIORIZADOS!$A:$S,19,FALSE)="","",VLOOKUP(A706,[6]PRIORIZADOS!$A:$S,19,FALSE)),"")</f>
        <v>se respondió en EVI que se cuenta con software para consulta, ofimatica y trabajo colaborativo, sin embargo, no se cuentan con estos.
Los baños, lavaamanos y computadores descritos en EVI no corresponden a la realidad</v>
      </c>
      <c r="T706" s="70" t="str">
        <f>IFERROR(IF(VLOOKUP(A706,[6]PRIORIZADOS!$A:$T,20,FALSE)="","",VLOOKUP(A706,[6]PRIORIZADOS!$A:$T,20,FALSE)),"")</f>
        <v>Si</v>
      </c>
      <c r="U706" s="11" t="str">
        <f>IFERROR(IF(VLOOKUP(A706,[6]PRIORIZADOS!$A:$U,21,FALSE)="","",VLOOKUP(A706,[6]PRIORIZADOS!$A:$U,21,FALSE)),"")</f>
        <v>Se requirió presentar Plan de Majoramiento con el fin de subsanar la situación actual de las áreas en cuanto a capacidad . El PMI debe ser entregado  el 23 de junio  de 2025</v>
      </c>
    </row>
    <row r="707" spans="1:21" s="1" customFormat="1" ht="60">
      <c r="A707" s="69">
        <f>IF([6]PRIORIZADOS!A73="","",[6]PRIORIZADOS!A73)</f>
        <v>646</v>
      </c>
      <c r="B707" s="70">
        <f>IFERROR(IF(VLOOKUP(A707,[6]PRIORIZADOS!$A:$B,2,FALSE)="","",VLOOKUP(A707,[6]PRIORIZADOS!$A:$B,2,FALSE)),"")</f>
        <v>8</v>
      </c>
      <c r="C707" s="11" t="str">
        <f>IFERROR(IF(VLOOKUP(A707,[6]PRIORIZADOS!$A:$C,3,FALSE)="","",VLOOKUP(A707,[6]PRIORIZADOS!$A:$C,3,FALSE)),"")</f>
        <v>ENGATIVÁ</v>
      </c>
      <c r="D707" s="11" t="str">
        <f>IFERROR(IF(VLOOKUP(A707,[6]PRIORIZADOS!$A:$D,4,FALSE)="","",VLOOKUP(A707,[6]PRIORIZADOS!$A:$D,4,FALSE)),"")</f>
        <v>PRIVADO</v>
      </c>
      <c r="E707" s="11" t="str">
        <f>IFERROR(IF(VLOOKUP(A707,[6]PRIORIZADOS!$A:$E,5,FALSE)="","",VLOOKUP(A707,[6]PRIORIZADOS!$A:$E,5,FALSE)),"")</f>
        <v>EPBM</v>
      </c>
      <c r="F707" s="11" t="str">
        <f>IFERROR(IF(VLOOKUP(A707,[6]PRIORIZADOS!$A:$F,6,FALSE)="","",VLOOKUP(A707,[6]PRIORIZADOS!$A:$F,6,FALSE)),"")</f>
        <v>LICEO_SAN_LEON_MAGNO</v>
      </c>
      <c r="G707" s="11" t="str">
        <f>IFERROR(IF(VLOOKUP(A707,[6]PRIORIZADOS!$A:$G,7,FALSE)="","",VLOOKUP(A707,[6]PRIORIZADOS!$A:$G,7,FALSE)),"")</f>
        <v>LICEO_SAN_LEON_MAGNO</v>
      </c>
      <c r="H707" s="11" t="str">
        <f>IFERROR(IF(VLOOKUP(A707,[6]PRIORIZADOS!$A:$H,8,FALSE)="","",VLOOKUP(A707,[6]PRIORIZADOS!$A:$H,8,FALSE)),"")</f>
        <v>Autoevaluación Institucional y Pruebas SABER 11</v>
      </c>
      <c r="I707" s="11" t="str">
        <f>IFERROR(IF(VLOOKUP(A707,[6]PRIORIZADOS!$A:$I,9,FALSE)="","",VLOOKUP(A707,[6]PRIORIZADOS!$A:$I,9,FALSE)),"")</f>
        <v>SEGUIMIENTO_Y_SUPERVISIÓN.</v>
      </c>
      <c r="J707" s="11" t="str">
        <f>IFERROR(IF(VLOOKUP(A707,[6]PRIORIZADOS!$A:$J,10,FALSE)="","",VLOOKUP(A707,[6]PRIORIZADOS!$A:$J,10,FALSE)),"")</f>
        <v>Proponer estrategias en la formulación, verificar su elaboración y realizar seguimiento semestral al desarrollo de  las acciones establecidas en los planes de mejoramiento por pruebas SABER 11 de los establecimientos de educación formal.</v>
      </c>
      <c r="K707" s="11" t="str">
        <f>IFERROR(IF(VLOOKUP(A707,[6]PRIORIZADOS!$A:$K,11,FALSE)="","",VLOOKUP(A707,[6]PRIORIZADOS!$A:$K,11,FALSE)),"")</f>
        <v>FREDDY CLAROS PEÑA</v>
      </c>
      <c r="L707" s="11" t="str">
        <f>IFERROR(IF(VLOOKUP(A707,[6]PRIORIZADOS!$A:$L,12,FALSE)="","",VLOOKUP(A707,[6]PRIORIZADOS!$A:$L,12,FALSE)),"")</f>
        <v>ANA MARÍA CASAS SANABRIA</v>
      </c>
      <c r="M707" s="71">
        <f>IFERROR(IF(VLOOKUP(A707,[6]PRIORIZADOS!$A:$M,13,FALSE)="","",VLOOKUP(A707,[6]PRIORIZADOS!$A:$M,13,FALSE)),"")</f>
        <v>45786</v>
      </c>
      <c r="N707" s="139">
        <f>IFERROR(IF(VLOOKUP(A707,[6]PRIORIZADOS!$A:$N,14,FALSE)="","",VLOOKUP(A707,[6]PRIORIZADOS!$A:$N,14,FALSE)),"")</f>
        <v>45807</v>
      </c>
      <c r="O707" s="139">
        <f>IFERROR(IF(VLOOKUP(A707,[6]PRIORIZADOS!$A:$O,15,FALSE)="","",VLOOKUP(A707,[6]PRIORIZADOS!$A:$O,15,FALSE)),"")</f>
        <v>45807</v>
      </c>
      <c r="P707" s="11" t="str">
        <f>IFERROR(IF(VLOOKUP(A707,[6]PRIORIZADOS!$A:$P,16,FALSE)="","",VLOOKUP(A707,[6]PRIORIZADOS!$A:$P,16,FALSE)),"")</f>
        <v>Visitas de evaluación con fines de seguimiento</v>
      </c>
      <c r="Q707" s="107" t="s">
        <v>137</v>
      </c>
      <c r="R707" s="11" t="str">
        <f>IFERROR(IF(VLOOKUP(A707,[6]PRIORIZADOS!$A:$R,18,FALSE)="","",VLOOKUP(A707,[6]PRIORIZADOS!$A:$R,18,FALSE)),"")</f>
        <v>No se evidencia un plan de mejoramiento estructurado por cada asignatura, sobre los resultados de las pruebas saber 11</v>
      </c>
      <c r="S707" s="11" t="str">
        <f>IFERROR(IF(VLOOKUP(A707,[6]PRIORIZADOS!$A:$S,19,FALSE)="","",VLOOKUP(A707,[6]PRIORIZADOS!$A:$S,19,FALSE)),"")</f>
        <v xml:space="preserve">Se explicó a la rectora y al coordinador que os resultados deben ser socialziados con los docentes, con el fin de diseñar un plan de mejoramiento por cada área </v>
      </c>
      <c r="T707" s="70" t="str">
        <f>IFERROR(IF(VLOOKUP(A707,[6]PRIORIZADOS!$A:$T,20,FALSE)="","",VLOOKUP(A707,[6]PRIORIZADOS!$A:$T,20,FALSE)),"")</f>
        <v>Si</v>
      </c>
      <c r="U707" s="11" t="str">
        <f>IFERROR(IF(VLOOKUP(A707,[6]PRIORIZADOS!$A:$U,21,FALSE)="","",VLOOKUP(A707,[6]PRIORIZADOS!$A:$U,21,FALSE)),"")</f>
        <v>Se requirió presentar Plan de Majoramiento con el fin de subsanar la situación actual de las áreas en cuanto a capacidad . El PMI debe ser entregado  el 23 de junio  de 2025</v>
      </c>
    </row>
    <row r="708" spans="1:21" s="1" customFormat="1" ht="72">
      <c r="A708" s="69">
        <f>IF([6]PRIORIZADOS!A74="","",[6]PRIORIZADOS!A74)</f>
        <v>647</v>
      </c>
      <c r="B708" s="70">
        <f>IFERROR(IF(VLOOKUP(A708,[6]PRIORIZADOS!$A:$B,2,FALSE)="","",VLOOKUP(A708,[6]PRIORIZADOS!$A:$B,2,FALSE)),"")</f>
        <v>8</v>
      </c>
      <c r="C708" s="11" t="str">
        <f>IFERROR(IF(VLOOKUP(A708,[6]PRIORIZADOS!$A:$C,3,FALSE)="","",VLOOKUP(A708,[6]PRIORIZADOS!$A:$C,3,FALSE)),"")</f>
        <v>ENGATIVÁ</v>
      </c>
      <c r="D708" s="11" t="str">
        <f>IFERROR(IF(VLOOKUP(A708,[6]PRIORIZADOS!$A:$D,4,FALSE)="","",VLOOKUP(A708,[6]PRIORIZADOS!$A:$D,4,FALSE)),"")</f>
        <v>PRIVADO</v>
      </c>
      <c r="E708" s="11" t="str">
        <f>IFERROR(IF(VLOOKUP(A708,[6]PRIORIZADOS!$A:$E,5,FALSE)="","",VLOOKUP(A708,[6]PRIORIZADOS!$A:$E,5,FALSE)),"")</f>
        <v>EPBM</v>
      </c>
      <c r="F708" s="11" t="str">
        <f>IFERROR(IF(VLOOKUP(A708,[6]PRIORIZADOS!$A:$F,6,FALSE)="","",VLOOKUP(A708,[6]PRIORIZADOS!$A:$F,6,FALSE)),"")</f>
        <v>LICEO_SAN_LEON_MAGNO</v>
      </c>
      <c r="G708" s="11" t="str">
        <f>IFERROR(IF(VLOOKUP(A708,[6]PRIORIZADOS!$A:$G,7,FALSE)="","",VLOOKUP(A708,[6]PRIORIZADOS!$A:$G,7,FALSE)),"")</f>
        <v>LICEO_SAN_LEON_MAGNO</v>
      </c>
      <c r="H708" s="11" t="str">
        <f>IFERROR(IF(VLOOKUP(A708,[6]PRIORIZADOS!$A:$H,8,FALSE)="","",VLOOKUP(A708,[6]PRIORIZADOS!$A:$H,8,FALSE)),"")</f>
        <v>Autoevaluación Institucional y Pruebas SABER 11</v>
      </c>
      <c r="I708" s="11" t="str">
        <f>IFERROR(IF(VLOOKUP(A708,[6]PRIORIZADOS!$A:$I,9,FALSE)="","",VLOOKUP(A708,[6]PRIORIZADOS!$A:$I,9,FALSE)),"")</f>
        <v>SEGUIMIENTO_Y_SUPERVISIÓN.</v>
      </c>
      <c r="J708" s="11" t="str">
        <f>IFERROR(IF(VLOOKUP(A708,[6]PRIORIZADOS!$A:$J,10,FALSE)="","",VLOOKUP(A708,[6]PRIORIZADOS!$A:$J,10,FALSE)),"")</f>
        <v xml:space="preserve">Verificar la implementación por parte de los colegios, de acciones realizadas para la prevención y atención de las situaciones de convivencia en el entorno escolar, según lo establecido en la Directiva 01 de 2022 del MEN. </v>
      </c>
      <c r="K708" s="11" t="str">
        <f>IFERROR(IF(VLOOKUP(A708,[6]PRIORIZADOS!$A:$K,11,FALSE)="","",VLOOKUP(A708,[6]PRIORIZADOS!$A:$K,11,FALSE)),"")</f>
        <v>FREDDY CLAROS PEÑA</v>
      </c>
      <c r="L708" s="11" t="str">
        <f>IFERROR(IF(VLOOKUP(A708,[6]PRIORIZADOS!$A:$L,12,FALSE)="","",VLOOKUP(A708,[6]PRIORIZADOS!$A:$L,12,FALSE)),"")</f>
        <v>ANA MARÍA CASAS SANABRIA</v>
      </c>
      <c r="M708" s="71">
        <f>IFERROR(IF(VLOOKUP(A708,[6]PRIORIZADOS!$A:$M,13,FALSE)="","",VLOOKUP(A708,[6]PRIORIZADOS!$A:$M,13,FALSE)),"")</f>
        <v>45786</v>
      </c>
      <c r="N708" s="139">
        <f>IFERROR(IF(VLOOKUP(A708,[6]PRIORIZADOS!$A:$N,14,FALSE)="","",VLOOKUP(A708,[6]PRIORIZADOS!$A:$N,14,FALSE)),"")</f>
        <v>45807</v>
      </c>
      <c r="O708" s="139">
        <f>IFERROR(IF(VLOOKUP(A708,[6]PRIORIZADOS!$A:$O,15,FALSE)="","",VLOOKUP(A708,[6]PRIORIZADOS!$A:$O,15,FALSE)),"")</f>
        <v>45807</v>
      </c>
      <c r="P708" s="11" t="str">
        <f>IFERROR(IF(VLOOKUP(A708,[6]PRIORIZADOS!$A:$P,16,FALSE)="","",VLOOKUP(A708,[6]PRIORIZADOS!$A:$P,16,FALSE)),"")</f>
        <v>Visitas de evaluación con fines de seguimiento</v>
      </c>
      <c r="Q708" s="107" t="s">
        <v>137</v>
      </c>
      <c r="R708" s="11" t="str">
        <f>IFERROR(IF(VLOOKUP(A708,[6]PRIORIZADOS!$A:$R,18,FALSE)="","",VLOOKUP(A708,[6]PRIORIZADOS!$A:$R,18,FALSE)),"")</f>
        <v>El E.E. no realiza verificación de inhabilidad por parte del personal contratado</v>
      </c>
      <c r="S708" s="11" t="str">
        <f>IFERROR(IF(VLOOKUP(A708,[6]PRIORIZADOS!$A:$S,19,FALSE)="","",VLOOKUP(A708,[6]PRIORIZADOS!$A:$S,19,FALSE)),"")</f>
        <v>Se explica al rector, coordinador y orientadora escolar la Directiva y se informa como se debe realizar las consultas de las inhabilidades, en consecuencia el colegio se compromete a realizara cada cuatro meses</v>
      </c>
      <c r="T708" s="70" t="str">
        <f>IFERROR(IF(VLOOKUP(A708,[6]PRIORIZADOS!$A:$T,20,FALSE)="","",VLOOKUP(A708,[6]PRIORIZADOS!$A:$T,20,FALSE)),"")</f>
        <v>Si</v>
      </c>
      <c r="U708" s="11" t="str">
        <f>IFERROR(IF(VLOOKUP(A708,[6]PRIORIZADOS!$A:$U,21,FALSE)="","",VLOOKUP(A708,[6]PRIORIZADOS!$A:$U,21,FALSE)),"")</f>
        <v>Se requirió presentar Plan de Majoramiento con el fin de subsanar la situación actual de las áreas en cuanto a capacidad . El PMI debe ser entregado  el 23 de junio  de 2025</v>
      </c>
    </row>
    <row r="709" spans="1:21" s="1" customFormat="1" ht="72">
      <c r="A709" s="69">
        <f>IF([6]PRIORIZADOS!A75="","",[6]PRIORIZADOS!A75)</f>
        <v>648</v>
      </c>
      <c r="B709" s="70">
        <f>IFERROR(IF(VLOOKUP(A709,[6]PRIORIZADOS!$A:$B,2,FALSE)="","",VLOOKUP(A709,[6]PRIORIZADOS!$A:$B,2,FALSE)),"")</f>
        <v>8</v>
      </c>
      <c r="C709" s="11" t="str">
        <f>IFERROR(IF(VLOOKUP(A709,[6]PRIORIZADOS!$A:$C,3,FALSE)="","",VLOOKUP(A709,[6]PRIORIZADOS!$A:$C,3,FALSE)),"")</f>
        <v>ENGATIVÁ</v>
      </c>
      <c r="D709" s="11" t="str">
        <f>IFERROR(IF(VLOOKUP(A709,[6]PRIORIZADOS!$A:$D,4,FALSE)="","",VLOOKUP(A709,[6]PRIORIZADOS!$A:$D,4,FALSE)),"")</f>
        <v>PRIVADO</v>
      </c>
      <c r="E709" s="11" t="str">
        <f>IFERROR(IF(VLOOKUP(A709,[6]PRIORIZADOS!$A:$E,5,FALSE)="","",VLOOKUP(A709,[6]PRIORIZADOS!$A:$E,5,FALSE)),"")</f>
        <v>EPBM</v>
      </c>
      <c r="F709" s="11" t="str">
        <f>IFERROR(IF(VLOOKUP(A709,[6]PRIORIZADOS!$A:$F,6,FALSE)="","",VLOOKUP(A709,[6]PRIORIZADOS!$A:$F,6,FALSE)),"")</f>
        <v>LICEO_SAN_LEON_MAGNO</v>
      </c>
      <c r="G709" s="11" t="str">
        <f>IFERROR(IF(VLOOKUP(A709,[6]PRIORIZADOS!$A:$G,7,FALSE)="","",VLOOKUP(A709,[6]PRIORIZADOS!$A:$G,7,FALSE)),"")</f>
        <v>LICEO_SAN_LEON_MAGNO</v>
      </c>
      <c r="H709" s="11" t="str">
        <f>IFERROR(IF(VLOOKUP(A709,[6]PRIORIZADOS!$A:$H,8,FALSE)="","",VLOOKUP(A709,[6]PRIORIZADOS!$A:$H,8,FALSE)),"")</f>
        <v>Autoevaluación Institucional y Pruebas SABER 11</v>
      </c>
      <c r="I709" s="11" t="str">
        <f>IFERROR(IF(VLOOKUP(A709,[6]PRIORIZADOS!$A:$I,9,FALSE)="","",VLOOKUP(A709,[6]PRIORIZADOS!$A:$I,9,FALSE)),"")</f>
        <v>SEGUIMIENTO_Y_SUPERVISIÓN.</v>
      </c>
      <c r="J709" s="11" t="str">
        <f>IFERROR(IF(VLOOKUP(A709,[6]PRIORIZADOS!$A:$J,10,FALSE)="","",VLOOKUP(A709,[6]PRIORIZADOS!$A:$J,10,FALSE)),"")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09" s="11" t="str">
        <f>IFERROR(IF(VLOOKUP(A709,[6]PRIORIZADOS!$A:$K,11,FALSE)="","",VLOOKUP(A709,[6]PRIORIZADOS!$A:$K,11,FALSE)),"")</f>
        <v>FREDDY CLAROS PEÑA</v>
      </c>
      <c r="L709" s="11" t="str">
        <f>IFERROR(IF(VLOOKUP(A709,[6]PRIORIZADOS!$A:$L,12,FALSE)="","",VLOOKUP(A709,[6]PRIORIZADOS!$A:$L,12,FALSE)),"")</f>
        <v>ANA MARÍA CASAS SANABRIA</v>
      </c>
      <c r="M709" s="71">
        <f>IFERROR(IF(VLOOKUP(A709,[6]PRIORIZADOS!$A:$M,13,FALSE)="","",VLOOKUP(A709,[6]PRIORIZADOS!$A:$M,13,FALSE)),"")</f>
        <v>45786</v>
      </c>
      <c r="N709" s="139">
        <f>IFERROR(IF(VLOOKUP(A709,[6]PRIORIZADOS!$A:$N,14,FALSE)="","",VLOOKUP(A709,[6]PRIORIZADOS!$A:$N,14,FALSE)),"")</f>
        <v>45807</v>
      </c>
      <c r="O709" s="139">
        <f>IFERROR(IF(VLOOKUP(A709,[6]PRIORIZADOS!$A:$O,15,FALSE)="","",VLOOKUP(A709,[6]PRIORIZADOS!$A:$O,15,FALSE)),"")</f>
        <v>45807</v>
      </c>
      <c r="P709" s="11" t="str">
        <f>IFERROR(IF(VLOOKUP(A709,[6]PRIORIZADOS!$A:$P,16,FALSE)="","",VLOOKUP(A709,[6]PRIORIZADOS!$A:$P,16,FALSE)),"")</f>
        <v>Visitas de evaluación con fines de seguimiento</v>
      </c>
      <c r="Q709" s="107" t="s">
        <v>137</v>
      </c>
      <c r="R709" s="11" t="str">
        <f>IFERROR(IF(VLOOKUP(A709,[6]PRIORIZADOS!$A:$R,18,FALSE)="","",VLOOKUP(A709,[6]PRIORIZADOS!$A:$R,18,FALSE)),"")</f>
        <v>Se observa los PIAR debidamente dilifenciados, sin embargo, no se evidencia socialziación con los padres de familia</v>
      </c>
      <c r="S709" s="11" t="str">
        <f>IFERROR(IF(VLOOKUP(A709,[6]PRIORIZADOS!$A:$S,19,FALSE)="","",VLOOKUP(A709,[6]PRIORIZADOS!$A:$S,19,FALSE)),"")</f>
        <v>Se orienta a la profesional en psicología la importancia de la socialziación de los PIAR con los padres de familia</v>
      </c>
      <c r="T709" s="70" t="str">
        <f>IFERROR(IF(VLOOKUP(A709,[6]PRIORIZADOS!$A:$T,20,FALSE)="","",VLOOKUP(A709,[6]PRIORIZADOS!$A:$T,20,FALSE)),"")</f>
        <v>Si</v>
      </c>
      <c r="U709" s="11" t="str">
        <f>IFERROR(IF(VLOOKUP(A709,[6]PRIORIZADOS!$A:$U,21,FALSE)="","",VLOOKUP(A709,[6]PRIORIZADOS!$A:$U,21,FALSE)),"")</f>
        <v>Se requirió presentar Plan de Majoramiento con el fin de subsanar la situación actual de las áreas en cuanto a capacidad . El PMI debe ser entregado  el 23 de junio  de 2025</v>
      </c>
    </row>
    <row r="710" spans="1:21" s="1" customFormat="1" ht="84">
      <c r="A710" s="69">
        <f>IF([6]PRIORIZADOS!A76="","",[6]PRIORIZADOS!A76)</f>
        <v>649</v>
      </c>
      <c r="B710" s="70">
        <f>IFERROR(IF(VLOOKUP(A710,[6]PRIORIZADOS!$A:$B,2,FALSE)="","",VLOOKUP(A710,[6]PRIORIZADOS!$A:$B,2,FALSE)),"")</f>
        <v>8</v>
      </c>
      <c r="C710" s="11" t="str">
        <f>IFERROR(IF(VLOOKUP(A710,[6]PRIORIZADOS!$A:$C,3,FALSE)="","",VLOOKUP(A710,[6]PRIORIZADOS!$A:$C,3,FALSE)),"")</f>
        <v>ENGATIVÁ</v>
      </c>
      <c r="D710" s="11" t="str">
        <f>IFERROR(IF(VLOOKUP(A710,[6]PRIORIZADOS!$A:$D,4,FALSE)="","",VLOOKUP(A710,[6]PRIORIZADOS!$A:$D,4,FALSE)),"")</f>
        <v>PRIVADO</v>
      </c>
      <c r="E710" s="11" t="str">
        <f>IFERROR(IF(VLOOKUP(A710,[6]PRIORIZADOS!$A:$E,5,FALSE)="","",VLOOKUP(A710,[6]PRIORIZADOS!$A:$E,5,FALSE)),"")</f>
        <v>EPBM</v>
      </c>
      <c r="F710" s="11" t="str">
        <f>IFERROR(IF(VLOOKUP(A710,[6]PRIORIZADOS!$A:$F,6,FALSE)="","",VLOOKUP(A710,[6]PRIORIZADOS!$A:$F,6,FALSE)),"")</f>
        <v>LICEO_SAN_LEON_MAGNO</v>
      </c>
      <c r="G710" s="11" t="str">
        <f>IFERROR(IF(VLOOKUP(A710,[6]PRIORIZADOS!$A:$G,7,FALSE)="","",VLOOKUP(A710,[6]PRIORIZADOS!$A:$G,7,FALSE)),"")</f>
        <v>LICEO_SAN_LEON_MAGNO</v>
      </c>
      <c r="H710" s="11" t="str">
        <f>IFERROR(IF(VLOOKUP(A710,[6]PRIORIZADOS!$A:$H,8,FALSE)="","",VLOOKUP(A710,[6]PRIORIZADOS!$A:$H,8,FALSE)),"")</f>
        <v>Autoevaluación Institucional y Pruebas SABER 11</v>
      </c>
      <c r="I710" s="11" t="str">
        <f>IFERROR(IF(VLOOKUP(A710,[6]PRIORIZADOS!$A:$I,9,FALSE)="","",VLOOKUP(A710,[6]PRIORIZADOS!$A:$I,9,FALSE)),"")</f>
        <v>EVALUACIÓN_CON_FINES_DE_MEJORAMIENTO.</v>
      </c>
      <c r="J710" s="11" t="str">
        <f>IFERROR(IF(VLOOKUP(A710,[6]PRIORIZADOS!$A:$J,10,FALSE)="","",VLOOKUP(A710,[6]PRIORIZADOS!$A:$J,10,FALSE)),"")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10" s="11" t="str">
        <f>IFERROR(IF(VLOOKUP(A710,[6]PRIORIZADOS!$A:$K,11,FALSE)="","",VLOOKUP(A710,[6]PRIORIZADOS!$A:$K,11,FALSE)),"")</f>
        <v>FREDDY CLAROS PEÑA</v>
      </c>
      <c r="L710" s="11" t="str">
        <f>IFERROR(IF(VLOOKUP(A710,[6]PRIORIZADOS!$A:$L,12,FALSE)="","",VLOOKUP(A710,[6]PRIORIZADOS!$A:$L,12,FALSE)),"")</f>
        <v>ANA MARÍA CASAS SANABRIA</v>
      </c>
      <c r="M710" s="71">
        <f>IFERROR(IF(VLOOKUP(A710,[6]PRIORIZADOS!$A:$M,13,FALSE)="","",VLOOKUP(A710,[6]PRIORIZADOS!$A:$M,13,FALSE)),"")</f>
        <v>45786</v>
      </c>
      <c r="N710" s="139">
        <f>IFERROR(IF(VLOOKUP(A710,[6]PRIORIZADOS!$A:$N,14,FALSE)="","",VLOOKUP(A710,[6]PRIORIZADOS!$A:$N,14,FALSE)),"")</f>
        <v>45807</v>
      </c>
      <c r="O710" s="139">
        <f>IFERROR(IF(VLOOKUP(A710,[6]PRIORIZADOS!$A:$O,15,FALSE)="","",VLOOKUP(A710,[6]PRIORIZADOS!$A:$O,15,FALSE)),"")</f>
        <v>45807</v>
      </c>
      <c r="P710" s="11" t="str">
        <f>IFERROR(IF(VLOOKUP(A710,[6]PRIORIZADOS!$A:$P,16,FALSE)="","",VLOOKUP(A710,[6]PRIORIZADOS!$A:$P,16,FALSE)),"")</f>
        <v>Visitas de evaluación con fines de mejoramiento</v>
      </c>
      <c r="Q710" s="107" t="s">
        <v>137</v>
      </c>
      <c r="R710" s="11" t="str">
        <f>IFERROR(IF(VLOOKUP(A710,[6]PRIORIZADOS!$A:$R,18,FALSE)="","",VLOOKUP(A710,[6]PRIORIZADOS!$A:$R,18,FALSE)),"")</f>
        <v xml:space="preserve">No se encontraron evidencias de la participacion de la comunidad educativa en actualización del manual de convivencia
</v>
      </c>
      <c r="S710" s="11" t="str">
        <f>IFERROR(IF(VLOOKUP(A710,[6]PRIORIZADOS!$A:$S,19,FALSE)="","",VLOOKUP(A710,[6]PRIORIZADOS!$A:$S,19,FALSE)),"")</f>
        <v xml:space="preserve">Se indica que debe quedar soporte de los procesos que se llevan a cabo frente a la construcción participativa del Manual de convivencia </v>
      </c>
      <c r="T710" s="70" t="str">
        <f>IFERROR(IF(VLOOKUP(A710,[6]PRIORIZADOS!$A:$T,20,FALSE)="","",VLOOKUP(A710,[6]PRIORIZADOS!$A:$T,20,FALSE)),"")</f>
        <v>Si</v>
      </c>
      <c r="U710" s="11" t="str">
        <f>IFERROR(IF(VLOOKUP(A710,[6]PRIORIZADOS!$A:$U,21,FALSE)="","",VLOOKUP(A710,[6]PRIORIZADOS!$A:$U,21,FALSE)),"")</f>
        <v>Se requirió presentar Plan de Majoramiento con el fin de subsanar la situación actual de las áreas en cuanto a capacidad . El PMI debe ser entregado  el 23 de junio  de 2025</v>
      </c>
    </row>
    <row r="711" spans="1:21" s="1" customFormat="1" ht="48">
      <c r="A711" s="69">
        <f>IF([6]PRIORIZADOS!A77="","",[6]PRIORIZADOS!A77)</f>
        <v>650</v>
      </c>
      <c r="B711" s="70">
        <f>IFERROR(IF(VLOOKUP(A711,[6]PRIORIZADOS!$A:$B,2,FALSE)="","",VLOOKUP(A711,[6]PRIORIZADOS!$A:$B,2,FALSE)),"")</f>
        <v>8</v>
      </c>
      <c r="C711" s="11" t="str">
        <f>IFERROR(IF(VLOOKUP(A711,[6]PRIORIZADOS!$A:$C,3,FALSE)="","",VLOOKUP(A711,[6]PRIORIZADOS!$A:$C,3,FALSE)),"")</f>
        <v>ENGATIVÁ</v>
      </c>
      <c r="D711" s="11" t="str">
        <f>IFERROR(IF(VLOOKUP(A711,[6]PRIORIZADOS!$A:$D,4,FALSE)="","",VLOOKUP(A711,[6]PRIORIZADOS!$A:$D,4,FALSE)),"")</f>
        <v>PRIVADO</v>
      </c>
      <c r="E711" s="11" t="str">
        <f>IFERROR(IF(VLOOKUP(A711,[6]PRIORIZADOS!$A:$E,5,FALSE)="","",VLOOKUP(A711,[6]PRIORIZADOS!$A:$E,5,FALSE)),"")</f>
        <v>EPBM</v>
      </c>
      <c r="F711" s="11" t="str">
        <f>IFERROR(IF(VLOOKUP(A711,[6]PRIORIZADOS!$A:$F,6,FALSE)="","",VLOOKUP(A711,[6]PRIORIZADOS!$A:$F,6,FALSE)),"")</f>
        <v>LICEO_SAN_LEON_MAGNO</v>
      </c>
      <c r="G711" s="11" t="str">
        <f>IFERROR(IF(VLOOKUP(A711,[6]PRIORIZADOS!$A:$G,7,FALSE)="","",VLOOKUP(A711,[6]PRIORIZADOS!$A:$G,7,FALSE)),"")</f>
        <v>LICEO_SAN_LEON_MAGNO</v>
      </c>
      <c r="H711" s="11" t="str">
        <f>IFERROR(IF(VLOOKUP(A711,[6]PRIORIZADOS!$A:$H,8,FALSE)="","",VLOOKUP(A711,[6]PRIORIZADOS!$A:$H,8,FALSE)),"")</f>
        <v>Autoevaluación Institucional y Pruebas SABER 11</v>
      </c>
      <c r="I711" s="11" t="str">
        <f>IFERROR(IF(VLOOKUP(A711,[6]PRIORIZADOS!$A:$I,9,FALSE)="","",VLOOKUP(A711,[6]PRIORIZADOS!$A:$I,9,FALSE)),"")</f>
        <v>EVALUACIÓN_CON_FINES_DE_MEJORAMIENTO.</v>
      </c>
      <c r="J711" s="11" t="str">
        <f>IFERROR(IF(VLOOKUP(A711,[6]PRIORIZADOS!$A:$J,10,FALSE)="","",VLOOKUP(A711,[6]PRIORIZADOS!$A:$J,10,FALSE)),"")</f>
        <v>Revisar la actualización, socialización e implementación del Sistema Institucional de Evaluación de Estudiantes - SIEE, en articulación con la actualización del PEI y la normatividad vigente.</v>
      </c>
      <c r="K711" s="11" t="str">
        <f>IFERROR(IF(VLOOKUP(A711,[6]PRIORIZADOS!$A:$K,11,FALSE)="","",VLOOKUP(A711,[6]PRIORIZADOS!$A:$K,11,FALSE)),"")</f>
        <v>FREDDY CLAROS PEÑA</v>
      </c>
      <c r="L711" s="11" t="str">
        <f>IFERROR(IF(VLOOKUP(A711,[6]PRIORIZADOS!$A:$L,12,FALSE)="","",VLOOKUP(A711,[6]PRIORIZADOS!$A:$L,12,FALSE)),"")</f>
        <v>ANA MARÍA CASAS SANABRIA</v>
      </c>
      <c r="M711" s="71">
        <f>IFERROR(IF(VLOOKUP(A711,[6]PRIORIZADOS!$A:$M,13,FALSE)="","",VLOOKUP(A711,[6]PRIORIZADOS!$A:$M,13,FALSE)),"")</f>
        <v>45786</v>
      </c>
      <c r="N711" s="139">
        <f>IFERROR(IF(VLOOKUP(A711,[6]PRIORIZADOS!$A:$N,14,FALSE)="","",VLOOKUP(A711,[6]PRIORIZADOS!$A:$N,14,FALSE)),"")</f>
        <v>45807</v>
      </c>
      <c r="O711" s="139">
        <f>IFERROR(IF(VLOOKUP(A711,[6]PRIORIZADOS!$A:$O,15,FALSE)="","",VLOOKUP(A711,[6]PRIORIZADOS!$A:$O,15,FALSE)),"")</f>
        <v>45807</v>
      </c>
      <c r="P711" s="11" t="str">
        <f>IFERROR(IF(VLOOKUP(A711,[6]PRIORIZADOS!$A:$P,16,FALSE)="","",VLOOKUP(A711,[6]PRIORIZADOS!$A:$P,16,FALSE)),"")</f>
        <v>Visitas de evaluación con fines de mejoramiento</v>
      </c>
      <c r="Q711" s="107" t="s">
        <v>137</v>
      </c>
      <c r="R711" s="11" t="str">
        <f>IFERROR(IF(VLOOKUP(A711,[6]PRIORIZADOS!$A:$R,18,FALSE)="","",VLOOKUP(A711,[6]PRIORIZADOS!$A:$R,18,FALSE)),"")</f>
        <v xml:space="preserve">No se encontraron evidencias de la participacion de la comunidad educativa en actualización del SIEE.
</v>
      </c>
      <c r="S711" s="11" t="str">
        <f>IFERROR(IF(VLOOKUP(A711,[6]PRIORIZADOS!$A:$S,19,FALSE)="","",VLOOKUP(A711,[6]PRIORIZADOS!$A:$S,19,FALSE)),"")</f>
        <v xml:space="preserve">Se indica que debe quedar soporte de los procesos que se llevan a cabo frente a la construcción participativa del SIEE </v>
      </c>
      <c r="T711" s="70" t="str">
        <f>IFERROR(IF(VLOOKUP(A711,[6]PRIORIZADOS!$A:$T,20,FALSE)="","",VLOOKUP(A711,[6]PRIORIZADOS!$A:$T,20,FALSE)),"")</f>
        <v>Si</v>
      </c>
      <c r="U711" s="11" t="str">
        <f>IFERROR(IF(VLOOKUP(A711,[6]PRIORIZADOS!$A:$U,21,FALSE)="","",VLOOKUP(A711,[6]PRIORIZADOS!$A:$U,21,FALSE)),"")</f>
        <v>Se requirió presentar Plan de Majoramiento con el fin de subsanar la situación actual de las áreas en cuanto a capacidad . El PMI debe ser entregado  el 23 de junio  de 2025</v>
      </c>
    </row>
    <row r="712" spans="1:21" s="1" customFormat="1" ht="48">
      <c r="A712" s="69">
        <f>IF([6]PRIORIZADOS!A78="","",[6]PRIORIZADOS!A78)</f>
        <v>651</v>
      </c>
      <c r="B712" s="70">
        <f>IFERROR(IF(VLOOKUP(A712,[6]PRIORIZADOS!$A:$B,2,FALSE)="","",VLOOKUP(A712,[6]PRIORIZADOS!$A:$B,2,FALSE)),"")</f>
        <v>8</v>
      </c>
      <c r="C712" s="11" t="str">
        <f>IFERROR(IF(VLOOKUP(A712,[6]PRIORIZADOS!$A:$C,3,FALSE)="","",VLOOKUP(A712,[6]PRIORIZADOS!$A:$C,3,FALSE)),"")</f>
        <v>ENGATIVÁ</v>
      </c>
      <c r="D712" s="11" t="str">
        <f>IFERROR(IF(VLOOKUP(A712,[6]PRIORIZADOS!$A:$D,4,FALSE)="","",VLOOKUP(A712,[6]PRIORIZADOS!$A:$D,4,FALSE)),"")</f>
        <v>PRIVADO</v>
      </c>
      <c r="E712" s="11" t="str">
        <f>IFERROR(IF(VLOOKUP(A712,[6]PRIORIZADOS!$A:$E,5,FALSE)="","",VLOOKUP(A712,[6]PRIORIZADOS!$A:$E,5,FALSE)),"")</f>
        <v>EPBM</v>
      </c>
      <c r="F712" s="11" t="str">
        <f>IFERROR(IF(VLOOKUP(A712,[6]PRIORIZADOS!$A:$F,6,FALSE)="","",VLOOKUP(A712,[6]PRIORIZADOS!$A:$F,6,FALSE)),"")</f>
        <v>LICEO_SAN_LEON_MAGNO</v>
      </c>
      <c r="G712" s="11" t="str">
        <f>IFERROR(IF(VLOOKUP(A712,[6]PRIORIZADOS!$A:$G,7,FALSE)="","",VLOOKUP(A712,[6]PRIORIZADOS!$A:$G,7,FALSE)),"")</f>
        <v>LICEO_SAN_LEON_MAGNO</v>
      </c>
      <c r="H712" s="11" t="str">
        <f>IFERROR(IF(VLOOKUP(A712,[6]PRIORIZADOS!$A:$H,8,FALSE)="","",VLOOKUP(A712,[6]PRIORIZADOS!$A:$H,8,FALSE)),"")</f>
        <v>Autoevaluación Institucional y Pruebas SABER 11</v>
      </c>
      <c r="I712" s="11" t="str">
        <f>IFERROR(IF(VLOOKUP(A712,[6]PRIORIZADOS!$A:$I,9,FALSE)="","",VLOOKUP(A712,[6]PRIORIZADOS!$A:$I,9,FALSE)),"")</f>
        <v>EVALUACIÓN_CON_FINES_DE_MEJORAMIENTO.</v>
      </c>
      <c r="J712" s="11" t="str">
        <f>IFERROR(IF(VLOOKUP(A712,[6]PRIORIZADOS!$A:$J,10,FALSE)="","",VLOOKUP(A712,[6]PRIORIZADOS!$A:$J,10,FALSE)),"")</f>
        <v>Revisar el calendario escolar, jornada escolar, la intensidad horaria mínima anual en cada nivel y las modificaciones que se realicen al mismo, de acuerdo con lo previsto en la normatividad vigente.</v>
      </c>
      <c r="K712" s="11" t="str">
        <f>IFERROR(IF(VLOOKUP(A712,[6]PRIORIZADOS!$A:$K,11,FALSE)="","",VLOOKUP(A712,[6]PRIORIZADOS!$A:$K,11,FALSE)),"")</f>
        <v>FREDDY CLAROS PEÑA</v>
      </c>
      <c r="L712" s="11" t="str">
        <f>IFERROR(IF(VLOOKUP(A712,[6]PRIORIZADOS!$A:$L,12,FALSE)="","",VLOOKUP(A712,[6]PRIORIZADOS!$A:$L,12,FALSE)),"")</f>
        <v>ANA MARÍA CASAS SANABRIA</v>
      </c>
      <c r="M712" s="71">
        <f>IFERROR(IF(VLOOKUP(A712,[6]PRIORIZADOS!$A:$M,13,FALSE)="","",VLOOKUP(A712,[6]PRIORIZADOS!$A:$M,13,FALSE)),"")</f>
        <v>45786</v>
      </c>
      <c r="N712" s="139">
        <f>IFERROR(IF(VLOOKUP(A712,[6]PRIORIZADOS!$A:$N,14,FALSE)="","",VLOOKUP(A712,[6]PRIORIZADOS!$A:$N,14,FALSE)),"")</f>
        <v>45807</v>
      </c>
      <c r="O712" s="139">
        <f>IFERROR(IF(VLOOKUP(A712,[6]PRIORIZADOS!$A:$O,15,FALSE)="","",VLOOKUP(A712,[6]PRIORIZADOS!$A:$O,15,FALSE)),"")</f>
        <v>45807</v>
      </c>
      <c r="P712" s="11" t="str">
        <f>IFERROR(IF(VLOOKUP(A712,[6]PRIORIZADOS!$A:$P,16,FALSE)="","",VLOOKUP(A712,[6]PRIORIZADOS!$A:$P,16,FALSE)),"")</f>
        <v>Visitas de evaluación con fines de mejoramiento</v>
      </c>
      <c r="Q712" s="107" t="s">
        <v>137</v>
      </c>
      <c r="R712" s="11" t="str">
        <f>IFERROR(IF(VLOOKUP(A712,[6]PRIORIZADOS!$A:$R,18,FALSE)="","",VLOOKUP(A712,[6]PRIORIZADOS!$A:$R,18,FALSE)),"")</f>
        <v xml:space="preserve">Se revisa en el formato establecido el cumplimiento de la intensidad horaria </v>
      </c>
      <c r="S712" s="11" t="str">
        <f>IFERROR(IF(VLOOKUP(A712,[6]PRIORIZADOS!$A:$S,19,FALSE)="","",VLOOKUP(A712,[6]PRIORIZADOS!$A:$S,19,FALSE)),"")</f>
        <v>El colegio cumple la intensidad horaria establecida por nivel según normativa vigente</v>
      </c>
      <c r="T712" s="70" t="str">
        <f>IFERROR(IF(VLOOKUP(A712,[6]PRIORIZADOS!$A:$T,20,FALSE)="","",VLOOKUP(A712,[6]PRIORIZADOS!$A:$T,20,FALSE)),"")</f>
        <v>No</v>
      </c>
      <c r="U712" s="11" t="str">
        <f>IFERROR(IF(VLOOKUP(A712,[6]PRIORIZADOS!$A:$U,21,FALSE)="","",VLOOKUP(A712,[6]PRIORIZADOS!$A:$U,21,FALSE)),"")</f>
        <v>Se verificacrá en una actuación en otra vigencia o si se genera petición o queja ciudadana.</v>
      </c>
    </row>
    <row r="713" spans="1:21" s="1" customFormat="1" ht="107.25">
      <c r="A713" s="69">
        <f>IF([6]PRIORIZADOS!A79="","",[6]PRIORIZADOS!A79)</f>
        <v>652</v>
      </c>
      <c r="B713" s="70">
        <f>IFERROR(IF(VLOOKUP(A713,[6]PRIORIZADOS!$A:$B,2,FALSE)="","",VLOOKUP(A713,[6]PRIORIZADOS!$A:$B,2,FALSE)),"")</f>
        <v>8</v>
      </c>
      <c r="C713" s="11" t="str">
        <f>IFERROR(IF(VLOOKUP(A713,[6]PRIORIZADOS!$A:$C,3,FALSE)="","",VLOOKUP(A713,[6]PRIORIZADOS!$A:$C,3,FALSE)),"")</f>
        <v>ENGATIVÁ</v>
      </c>
      <c r="D713" s="11" t="str">
        <f>IFERROR(IF(VLOOKUP(A713,[6]PRIORIZADOS!$A:$D,4,FALSE)="","",VLOOKUP(A713,[6]PRIORIZADOS!$A:$D,4,FALSE)),"")</f>
        <v>PRIVADO</v>
      </c>
      <c r="E713" s="11" t="str">
        <f>IFERROR(IF(VLOOKUP(A713,[6]PRIORIZADOS!$A:$E,5,FALSE)="","",VLOOKUP(A713,[6]PRIORIZADOS!$A:$E,5,FALSE)),"")</f>
        <v>EPBM</v>
      </c>
      <c r="F713" s="11" t="str">
        <f>IFERROR(IF(VLOOKUP(A713,[6]PRIORIZADOS!$A:$F,6,FALSE)="","",VLOOKUP(A713,[6]PRIORIZADOS!$A:$F,6,FALSE)),"")</f>
        <v>LICEO_SAN_LEON_MAGNO</v>
      </c>
      <c r="G713" s="11" t="str">
        <f>IFERROR(IF(VLOOKUP(A713,[6]PRIORIZADOS!$A:$G,7,FALSE)="","",VLOOKUP(A713,[6]PRIORIZADOS!$A:$G,7,FALSE)),"")</f>
        <v>LICEO_SAN_LEON_MAGNO</v>
      </c>
      <c r="H713" s="11" t="str">
        <f>IFERROR(IF(VLOOKUP(A713,[6]PRIORIZADOS!$A:$H,8,FALSE)="","",VLOOKUP(A713,[6]PRIORIZADOS!$A:$H,8,FALSE)),"")</f>
        <v>Autoevaluación Institucional y Pruebas SABER 11</v>
      </c>
      <c r="I713" s="11" t="str">
        <f>IFERROR(IF(VLOOKUP(A713,[6]PRIORIZADOS!$A:$I,9,FALSE)="","",VLOOKUP(A713,[6]PRIORIZADOS!$A:$I,9,FALSE)),"")</f>
        <v>EVALUACIÓN_CON_FINES_DE_MEJORAMIENTO.</v>
      </c>
      <c r="J713" s="11" t="str">
        <f>IFERROR(IF(VLOOKUP(A713,[6]PRIORIZADOS!$A:$J,10,FALSE)="","",VLOOKUP(A713,[6]PRIORIZADOS!$A:$J,10,FALSE)),"")</f>
        <v>Verificar el funcionamiento del Gobierno Escolar e instancias de participación con base en la información sobre conformación reportada por la institución educativa.</v>
      </c>
      <c r="K713" s="11" t="str">
        <f>IFERROR(IF(VLOOKUP(A713,[6]PRIORIZADOS!$A:$K,11,FALSE)="","",VLOOKUP(A713,[6]PRIORIZADOS!$A:$K,11,FALSE)),"")</f>
        <v>FREDDY CLAROS PEÑA</v>
      </c>
      <c r="L713" s="11" t="str">
        <f>IFERROR(IF(VLOOKUP(A713,[6]PRIORIZADOS!$A:$L,12,FALSE)="","",VLOOKUP(A713,[6]PRIORIZADOS!$A:$L,12,FALSE)),"")</f>
        <v>ANA MARÍA CASAS SANABRIA</v>
      </c>
      <c r="M713" s="71">
        <f>IFERROR(IF(VLOOKUP(A713,[6]PRIORIZADOS!$A:$M,13,FALSE)="","",VLOOKUP(A713,[6]PRIORIZADOS!$A:$M,13,FALSE)),"")</f>
        <v>45786</v>
      </c>
      <c r="N713" s="139">
        <f>IFERROR(IF(VLOOKUP(A713,[6]PRIORIZADOS!$A:$N,14,FALSE)="","",VLOOKUP(A713,[6]PRIORIZADOS!$A:$N,14,FALSE)),"")</f>
        <v>45807</v>
      </c>
      <c r="O713" s="139">
        <f>IFERROR(IF(VLOOKUP(A713,[6]PRIORIZADOS!$A:$O,15,FALSE)="","",VLOOKUP(A713,[6]PRIORIZADOS!$A:$O,15,FALSE)),"")</f>
        <v>45807</v>
      </c>
      <c r="P713" s="11" t="str">
        <f>IFERROR(IF(VLOOKUP(A713,[6]PRIORIZADOS!$A:$P,16,FALSE)="","",VLOOKUP(A713,[6]PRIORIZADOS!$A:$P,16,FALSE)),"")</f>
        <v>Visitas de evaluación con fines de mejoramiento</v>
      </c>
      <c r="Q713" s="107" t="s">
        <v>137</v>
      </c>
      <c r="R713" s="11" t="str">
        <f>IFERROR(IF(VLOOKUP(A713,[6]PRIORIZADOS!$A:$R,18,FALSE)="","",VLOOKUP(A713,[6]PRIORIZADOS!$A:$R,18,FALSE)),"")</f>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
      <c r="S713" s="11" t="str">
        <f>IFERROR(IF(VLOOKUP(A713,[6]PRIORIZADOS!$A:$S,19,FALSE)="","",VLOOKUP(A713,[6]PRIORIZADOS!$A:$S,19,FALSE)),"")</f>
        <v>Se sugiere que los integrantes del gobierno escolar firmen las actas y escriban sus nombres</v>
      </c>
      <c r="T713" s="70" t="str">
        <f>IFERROR(IF(VLOOKUP(A713,[6]PRIORIZADOS!$A:$T,20,FALSE)="","",VLOOKUP(A713,[6]PRIORIZADOS!$A:$T,20,FALSE)),"")</f>
        <v>No</v>
      </c>
      <c r="U713" s="11" t="str">
        <f>IFERROR(IF(VLOOKUP(A713,[6]PRIORIZADOS!$A:$U,21,FALSE)="","",VLOOKUP(A713,[6]PRIORIZADOS!$A:$U,21,FALSE)),"")</f>
        <v>Se verificacrá en una actuación en otra vigencia o si se genera petición o queja ciudadana.</v>
      </c>
    </row>
    <row r="714" spans="1:21" s="1" customFormat="1" ht="60">
      <c r="A714" s="69">
        <f>IF([6]PRIORIZADOS!A80="","",[6]PRIORIZADOS!A80)</f>
        <v>653</v>
      </c>
      <c r="B714" s="70">
        <f>IFERROR(IF(VLOOKUP(A714,[6]PRIORIZADOS!$A:$B,2,FALSE)="","",VLOOKUP(A714,[6]PRIORIZADOS!$A:$B,2,FALSE)),"")</f>
        <v>8</v>
      </c>
      <c r="C714" s="11" t="str">
        <f>IFERROR(IF(VLOOKUP(A714,[6]PRIORIZADOS!$A:$C,3,FALSE)="","",VLOOKUP(A714,[6]PRIORIZADOS!$A:$C,3,FALSE)),"")</f>
        <v>ENGATIVÁ</v>
      </c>
      <c r="D714" s="11" t="str">
        <f>IFERROR(IF(VLOOKUP(A714,[6]PRIORIZADOS!$A:$D,4,FALSE)="","",VLOOKUP(A714,[6]PRIORIZADOS!$A:$D,4,FALSE)),"")</f>
        <v>PRIVADO</v>
      </c>
      <c r="E714" s="11" t="str">
        <f>IFERROR(IF(VLOOKUP(A714,[6]PRIORIZADOS!$A:$E,5,FALSE)="","",VLOOKUP(A714,[6]PRIORIZADOS!$A:$E,5,FALSE)),"")</f>
        <v>EPBM</v>
      </c>
      <c r="F714" s="11" t="str">
        <f>IFERROR(IF(VLOOKUP(A714,[6]PRIORIZADOS!$A:$F,6,FALSE)="","",VLOOKUP(A714,[6]PRIORIZADOS!$A:$F,6,FALSE)),"")</f>
        <v>LICEO_SAN_LEON_MAGNO</v>
      </c>
      <c r="G714" s="11" t="str">
        <f>IFERROR(IF(VLOOKUP(A714,[6]PRIORIZADOS!$A:$G,7,FALSE)="","",VLOOKUP(A714,[6]PRIORIZADOS!$A:$G,7,FALSE)),"")</f>
        <v>LICEO_SAN_LEON_MAGNO</v>
      </c>
      <c r="H714" s="11" t="str">
        <f>IFERROR(IF(VLOOKUP(A714,[6]PRIORIZADOS!$A:$H,8,FALSE)="","",VLOOKUP(A714,[6]PRIORIZADOS!$A:$H,8,FALSE)),"")</f>
        <v>Autoevaluación Institucional y Pruebas SABER 11</v>
      </c>
      <c r="I714" s="11" t="str">
        <f>IFERROR(IF(VLOOKUP(A714,[6]PRIORIZADOS!$A:$I,9,FALSE)="","",VLOOKUP(A714,[6]PRIORIZADOS!$A:$I,9,FALSE)),"")</f>
        <v>EVALUACIÓN_CON_FINES_DE_MEJORAMIENTO.</v>
      </c>
      <c r="J714" s="11" t="str">
        <f>IFERROR(IF(VLOOKUP(A714,[6]PRIORIZADOS!$A:$J,10,FALSE)="","",VLOOKUP(A714,[6]PRIORIZADOS!$A:$J,10,FALSE)),"")</f>
        <v>Verificar las condiciones en cuanto a: la estructura administrativa, condiciones de la planta física y medios educativos adecuados.</v>
      </c>
      <c r="K714" s="11" t="str">
        <f>IFERROR(IF(VLOOKUP(A714,[6]PRIORIZADOS!$A:$K,11,FALSE)="","",VLOOKUP(A714,[6]PRIORIZADOS!$A:$K,11,FALSE)),"")</f>
        <v>FREDDY CLAROS PEÑA</v>
      </c>
      <c r="L714" s="11" t="str">
        <f>IFERROR(IF(VLOOKUP(A714,[6]PRIORIZADOS!$A:$L,12,FALSE)="","",VLOOKUP(A714,[6]PRIORIZADOS!$A:$L,12,FALSE)),"")</f>
        <v>ANA MARÍA CASAS SANABRIA</v>
      </c>
      <c r="M714" s="71">
        <f>IFERROR(IF(VLOOKUP(A714,[6]PRIORIZADOS!$A:$M,13,FALSE)="","",VLOOKUP(A714,[6]PRIORIZADOS!$A:$M,13,FALSE)),"")</f>
        <v>45786</v>
      </c>
      <c r="N714" s="139">
        <f>IFERROR(IF(VLOOKUP(A714,[6]PRIORIZADOS!$A:$N,14,FALSE)="","",VLOOKUP(A714,[6]PRIORIZADOS!$A:$N,14,FALSE)),"")</f>
        <v>45807</v>
      </c>
      <c r="O714" s="139">
        <f>IFERROR(IF(VLOOKUP(A714,[6]PRIORIZADOS!$A:$O,15,FALSE)="","",VLOOKUP(A714,[6]PRIORIZADOS!$A:$O,15,FALSE)),"")</f>
        <v>45807</v>
      </c>
      <c r="P714" s="11" t="str">
        <f>IFERROR(IF(VLOOKUP(A714,[6]PRIORIZADOS!$A:$P,16,FALSE)="","",VLOOKUP(A714,[6]PRIORIZADOS!$A:$P,16,FALSE)),"")</f>
        <v>Visitas de evaluación con fines de mejoramiento</v>
      </c>
      <c r="Q714" s="141" t="s">
        <v>137</v>
      </c>
      <c r="R714" s="11" t="str">
        <f>IFERROR(IF(VLOOKUP(A714,[6]PRIORIZADOS!$A:$R,18,FALSE)="","",VLOOKUP(A714,[6]PRIORIZADOS!$A:$R,18,FALSE)),"")</f>
        <v>Se evidencia un deterioro en las aulas, baños y espacios académicos en general, en relación con pintura, ubicación de materiales como cajas con materiales del colegio y el salon de profesores</v>
      </c>
      <c r="S714" s="11" t="str">
        <f>IFERROR(IF(VLOOKUP(A714,[6]PRIORIZADOS!$A:$S,19,FALSE)="","",VLOOKUP(A714,[6]PRIORIZADOS!$A:$S,19,FALSE)),"")</f>
        <v>Se sugiere al establecimiento educativo organizar su mobiliario, separación de orinales de los estudiantes</v>
      </c>
      <c r="T714" s="70" t="str">
        <f>IFERROR(IF(VLOOKUP(A714,[6]PRIORIZADOS!$A:$T,20,FALSE)="","",VLOOKUP(A714,[6]PRIORIZADOS!$A:$T,20,FALSE)),"")</f>
        <v>Si</v>
      </c>
      <c r="U714" s="11" t="str">
        <f>IFERROR(IF(VLOOKUP(A714,[6]PRIORIZADOS!$A:$U,21,FALSE)="","",VLOOKUP(A714,[6]PRIORIZADOS!$A:$U,21,FALSE)),"")</f>
        <v>Se requirió presentar Plan de Majoramiento con el fin de subsanar la situación actual de las áreas en cuanto a capacidad . El PMI debe ser entregado  el 23 de junio  de 2025</v>
      </c>
    </row>
    <row r="715" spans="1:21" s="1" customFormat="1" ht="48">
      <c r="A715" s="69">
        <f>IF([6]PRIORIZADOS!A81="","",[6]PRIORIZADOS!A81)</f>
        <v>654</v>
      </c>
      <c r="B715" s="70">
        <f>IFERROR(IF(VLOOKUP(A715,[6]PRIORIZADOS!$A:$B,2,FALSE)="","",VLOOKUP(A715,[6]PRIORIZADOS!$A:$B,2,FALSE)),"")</f>
        <v>9</v>
      </c>
      <c r="C715" s="11" t="str">
        <f>IFERROR(IF(VLOOKUP(A715,[6]PRIORIZADOS!$A:$C,3,FALSE)="","",VLOOKUP(A715,[6]PRIORIZADOS!$A:$C,3,FALSE)),"")</f>
        <v>ENGATIVÁ</v>
      </c>
      <c r="D715" s="11" t="str">
        <f>IFERROR(IF(VLOOKUP(A715,[6]PRIORIZADOS!$A:$D,4,FALSE)="","",VLOOKUP(A715,[6]PRIORIZADOS!$A:$D,4,FALSE)),"")</f>
        <v>PRIVADO</v>
      </c>
      <c r="E715" s="11" t="str">
        <f>IFERROR(IF(VLOOKUP(A715,[6]PRIORIZADOS!$A:$E,5,FALSE)="","",VLOOKUP(A715,[6]PRIORIZADOS!$A:$E,5,FALSE)),"")</f>
        <v>EPBM</v>
      </c>
      <c r="F715" s="11" t="str">
        <f>IFERROR(IF(VLOOKUP(A715,[6]PRIORIZADOS!$A:$F,6,FALSE)="","",VLOOKUP(A715,[6]PRIORIZADOS!$A:$F,6,FALSE)),"")</f>
        <v>LICEO_MODERNO_LEEUWENHOEK</v>
      </c>
      <c r="G715" s="11" t="str">
        <f>IFERROR(IF(VLOOKUP(A715,[6]PRIORIZADOS!$A:$G,7,FALSE)="","",VLOOKUP(A715,[6]PRIORIZADOS!$A:$G,7,FALSE)),"")</f>
        <v>LICEO_MODERNO_LEEUWENHOEK</v>
      </c>
      <c r="H715" s="11" t="str">
        <f>IFERROR(IF(VLOOKUP(A715,[6]PRIORIZADOS!$A:$H,8,FALSE)="","",VLOOKUP(A715,[6]PRIORIZADOS!$A:$H,8,FALSE)),"")</f>
        <v>Autoevaluación Institucional y Pruebas SABER 11</v>
      </c>
      <c r="I715" s="11" t="str">
        <f>IFERROR(IF(VLOOKUP(A715,[6]PRIORIZADOS!$A:$I,9,FALSE)="","",VLOOKUP(A715,[6]PRIORIZADOS!$A:$I,9,FALSE)),"")</f>
        <v>SEGUIMIENTO_Y_SUPERVISIÓN.</v>
      </c>
      <c r="J715" s="11" t="str">
        <f>IFERROR(IF(VLOOKUP(A715,[6]PRIORIZADOS!$A:$J,10,FALSE)="","",VLOOKUP(A715,[6]PRIORIZADOS!$A:$J,10,FALSE)),"")</f>
        <v>Realizar visitas para verificar la información registrada sobre la autoevaluación institucional en el aplicativo EVI, a los establecimientos de educación formal no oficial.</v>
      </c>
      <c r="K715" s="11" t="str">
        <f>IFERROR(IF(VLOOKUP(A715,[6]PRIORIZADOS!$A:$K,11,FALSE)="","",VLOOKUP(A715,[6]PRIORIZADOS!$A:$K,11,FALSE)),"")</f>
        <v>MÓNICA JANNETH RAMÍREZ MORENO</v>
      </c>
      <c r="L715" s="11" t="str">
        <f>IFERROR(IF(VLOOKUP(A715,[6]PRIORIZADOS!$A:$L,12,FALSE)="","",VLOOKUP(A715,[6]PRIORIZADOS!$A:$L,12,FALSE)),"")</f>
        <v>JENIFER CATHERINE LEÓN ACOSTA</v>
      </c>
      <c r="M715" s="71">
        <f>IFERROR(IF(VLOOKUP(A715,[6]PRIORIZADOS!$A:$M,13,FALSE)="","",VLOOKUP(A715,[6]PRIORIZADOS!$A:$M,13,FALSE)),"")</f>
        <v>45743</v>
      </c>
      <c r="N715" s="139">
        <f>IFERROR(IF(VLOOKUP(A715,[6]PRIORIZADOS!$A:$N,14,FALSE)="","",VLOOKUP(A715,[6]PRIORIZADOS!$A:$N,14,FALSE)),"")</f>
        <v>45743</v>
      </c>
      <c r="O715" s="139">
        <f>IFERROR(IF(VLOOKUP(A715,[6]PRIORIZADOS!$A:$O,15,FALSE)="","",VLOOKUP(A715,[6]PRIORIZADOS!$A:$O,15,FALSE)),"")</f>
        <v>45743</v>
      </c>
      <c r="P715" s="11" t="str">
        <f>IFERROR(IF(VLOOKUP(A715,[6]PRIORIZADOS!$A:$P,16,FALSE)="","",VLOOKUP(A715,[6]PRIORIZADOS!$A:$P,16,FALSE)),"")</f>
        <v>Visitas de evaluación con fines de seguimiento</v>
      </c>
      <c r="Q715" s="107" t="s">
        <v>138</v>
      </c>
      <c r="R715" s="11" t="str">
        <f>IFERROR(IF(VLOOKUP(A715,[6]PRIORIZADOS!$A:$R,18,FALSE)="","",VLOOKUP(A715,[6]PRIORIZADOS!$A:$R,18,FALSE)),"")</f>
        <v>Se realizó verificación de la información registrada en el aplicativo EVI</v>
      </c>
      <c r="S715" s="11" t="str">
        <f>IFERROR(IF(VLOOKUP(A715,[6]PRIORIZADOS!$A:$S,19,FALSE)="","",VLOOKUP(A715,[6]PRIORIZADOS!$A:$S,19,FALSE)),"")</f>
        <v>La información reportada corresponde a la sumatoria de ambas sedes, sin embargo, se detectaron deficiencias en cuanto espacios y áreas de la sede B</v>
      </c>
      <c r="T715" s="70" t="str">
        <f>IFERROR(IF(VLOOKUP(A715,[6]PRIORIZADOS!$A:$T,20,FALSE)="","",VLOOKUP(A715,[6]PRIORIZADOS!$A:$T,20,FALSE)),"")</f>
        <v>Si</v>
      </c>
      <c r="U715" s="11" t="str">
        <f>IFERROR(IF(VLOOKUP(A715,[6]PRIORIZADOS!$A:$U,21,FALSE)="","",VLOOKUP(A715,[6]PRIORIZADOS!$A:$U,21,FALSE)),"")</f>
        <v>Se requirió presentar Plan de Majoramiento con el fin de subsanar la situación actual de las áreas en cuanto a capacidad y confort. El PMI debe ser entregado al ELIV a más tardar el 9 de mayo de 2025</v>
      </c>
    </row>
    <row r="716" spans="1:21" s="1" customFormat="1" ht="84">
      <c r="A716" s="69">
        <f>IF([6]PRIORIZADOS!A82="","",[6]PRIORIZADOS!A82)</f>
        <v>655</v>
      </c>
      <c r="B716" s="70">
        <f>IFERROR(IF(VLOOKUP(A716,[6]PRIORIZADOS!$A:$B,2,FALSE)="","",VLOOKUP(A716,[6]PRIORIZADOS!$A:$B,2,FALSE)),"")</f>
        <v>9</v>
      </c>
      <c r="C716" s="11" t="str">
        <f>IFERROR(IF(VLOOKUP(A716,[6]PRIORIZADOS!$A:$C,3,FALSE)="","",VLOOKUP(A716,[6]PRIORIZADOS!$A:$C,3,FALSE)),"")</f>
        <v>ENGATIVÁ</v>
      </c>
      <c r="D716" s="11" t="str">
        <f>IFERROR(IF(VLOOKUP(A716,[6]PRIORIZADOS!$A:$D,4,FALSE)="","",VLOOKUP(A716,[6]PRIORIZADOS!$A:$D,4,FALSE)),"")</f>
        <v>PRIVADO</v>
      </c>
      <c r="E716" s="11" t="str">
        <f>IFERROR(IF(VLOOKUP(A716,[6]PRIORIZADOS!$A:$E,5,FALSE)="","",VLOOKUP(A716,[6]PRIORIZADOS!$A:$E,5,FALSE)),"")</f>
        <v>EPBM</v>
      </c>
      <c r="F716" s="11" t="str">
        <f>IFERROR(IF(VLOOKUP(A716,[6]PRIORIZADOS!$A:$F,6,FALSE)="","",VLOOKUP(A716,[6]PRIORIZADOS!$A:$F,6,FALSE)),"")</f>
        <v>LICEO_MODERNO_LEEUWENHOEK</v>
      </c>
      <c r="G716" s="11" t="str">
        <f>IFERROR(IF(VLOOKUP(A716,[6]PRIORIZADOS!$A:$G,7,FALSE)="","",VLOOKUP(A716,[6]PRIORIZADOS!$A:$G,7,FALSE)),"")</f>
        <v>LICEO_MODERNO_LEEUWENHOEK</v>
      </c>
      <c r="H716" s="11" t="str">
        <f>IFERROR(IF(VLOOKUP(A716,[6]PRIORIZADOS!$A:$H,8,FALSE)="","",VLOOKUP(A716,[6]PRIORIZADOS!$A:$H,8,FALSE)),"")</f>
        <v>Autoevaluación Institucional y Pruebas SABER 11</v>
      </c>
      <c r="I716" s="11" t="str">
        <f>IFERROR(IF(VLOOKUP(A716,[6]PRIORIZADOS!$A:$I,9,FALSE)="","",VLOOKUP(A716,[6]PRIORIZADOS!$A:$I,9,FALSE)),"")</f>
        <v>SEGUIMIENTO_Y_SUPERVISIÓN.</v>
      </c>
      <c r="J716" s="11" t="str">
        <f>IFERROR(IF(VLOOKUP(A716,[6]PRIORIZADOS!$A:$J,10,FALSE)="","",VLOOKUP(A716,[6]PRIORIZADOS!$A:$J,10,FALSE)),"")</f>
        <v>Proponer estrategias en la formulación, verificar su elaboración y realizar seguimiento semestral al desarrollo de  las acciones establecidas en los planes de mejoramiento por pruebas SABER 11 de los establecimientos de educación formal.</v>
      </c>
      <c r="K716" s="11" t="str">
        <f>IFERROR(IF(VLOOKUP(A716,[6]PRIORIZADOS!$A:$K,11,FALSE)="","",VLOOKUP(A716,[6]PRIORIZADOS!$A:$K,11,FALSE)),"")</f>
        <v>MÓNICA JANNETH RAMÍREZ MORENO</v>
      </c>
      <c r="L716" s="11" t="str">
        <f>IFERROR(IF(VLOOKUP(A716,[6]PRIORIZADOS!$A:$L,12,FALSE)="","",VLOOKUP(A716,[6]PRIORIZADOS!$A:$L,12,FALSE)),"")</f>
        <v>JENIFER CATHERINE LEÓN ACOSTA</v>
      </c>
      <c r="M716" s="71">
        <f>IFERROR(IF(VLOOKUP(A716,[6]PRIORIZADOS!$A:$M,13,FALSE)="","",VLOOKUP(A716,[6]PRIORIZADOS!$A:$M,13,FALSE)),"")</f>
        <v>45743</v>
      </c>
      <c r="N716" s="139">
        <f>IFERROR(IF(VLOOKUP(A716,[6]PRIORIZADOS!$A:$N,14,FALSE)="","",VLOOKUP(A716,[6]PRIORIZADOS!$A:$N,14,FALSE)),"")</f>
        <v>45743</v>
      </c>
      <c r="O716" s="139">
        <f>IFERROR(IF(VLOOKUP(A716,[6]PRIORIZADOS!$A:$O,15,FALSE)="","",VLOOKUP(A716,[6]PRIORIZADOS!$A:$O,15,FALSE)),"")</f>
        <v>45743</v>
      </c>
      <c r="P716" s="11" t="str">
        <f>IFERROR(IF(VLOOKUP(A716,[6]PRIORIZADOS!$A:$P,16,FALSE)="","",VLOOKUP(A716,[6]PRIORIZADOS!$A:$P,16,FALSE)),"")</f>
        <v>Visitas de evaluación con fines de seguimiento</v>
      </c>
      <c r="Q716" s="107" t="s">
        <v>138</v>
      </c>
      <c r="R716" s="11" t="str">
        <f>IFERROR(IF(VLOOKUP(A716,[6]PRIORIZADOS!$A:$R,18,FALSE)="","",VLOOKUP(A716,[6]PRIORIZADOS!$A:$R,18,FALSE)),"")</f>
        <v>Se evidenció el establecimiento de un plan de mejoramiento que posee indicadores, situación identificada y oportunidades y actividades de mejora.
No se han realizado actualizaciones del curriculo y plan de estudios con base en los resultados del plan</v>
      </c>
      <c r="S716" s="11" t="str">
        <f>IFERROR(IF(VLOOKUP(A716,[6]PRIORIZADOS!$A:$S,19,FALSE)="","",VLOOKUP(A716,[6]PRIORIZADOS!$A:$S,19,FALSE)),"")</f>
        <v>Se resalta el mejoramiento en las pruebas, se solicita que el plan de mejoramiento tenga en cuenta a toda la comunidad educativa, niveles y diversidades.
Se solicita actualización de plan de estudios en todos los grados no solamente en 11°</v>
      </c>
      <c r="T716" s="70" t="str">
        <f>IFERROR(IF(VLOOKUP(A716,[6]PRIORIZADOS!$A:$T,20,FALSE)="","",VLOOKUP(A716,[6]PRIORIZADOS!$A:$T,20,FALSE)),"")</f>
        <v>Si</v>
      </c>
      <c r="U716" s="11" t="str">
        <f>IFERROR(IF(VLOOKUP(A716,[6]PRIORIZADOS!$A:$U,21,FALSE)="","",VLOOKUP(A716,[6]PRIORIZADOS!$A:$U,21,FALSE)),"")</f>
        <v>Se requirió presentar Plan de Majoramiento con el fin de subsanar la situación actual. El PMI debe ser entregado al ELIV a más tardar el 9 de mayo de 2025</v>
      </c>
    </row>
    <row r="717" spans="1:21" s="1" customFormat="1" ht="48">
      <c r="A717" s="69">
        <f>IF([6]PRIORIZADOS!A83="","",[6]PRIORIZADOS!A83)</f>
        <v>656</v>
      </c>
      <c r="B717" s="70">
        <f>IFERROR(IF(VLOOKUP(A717,[6]PRIORIZADOS!$A:$B,2,FALSE)="","",VLOOKUP(A717,[6]PRIORIZADOS!$A:$B,2,FALSE)),"")</f>
        <v>9</v>
      </c>
      <c r="C717" s="11" t="str">
        <f>IFERROR(IF(VLOOKUP(A717,[6]PRIORIZADOS!$A:$C,3,FALSE)="","",VLOOKUP(A717,[6]PRIORIZADOS!$A:$C,3,FALSE)),"")</f>
        <v>ENGATIVÁ</v>
      </c>
      <c r="D717" s="11" t="str">
        <f>IFERROR(IF(VLOOKUP(A717,[6]PRIORIZADOS!$A:$D,4,FALSE)="","",VLOOKUP(A717,[6]PRIORIZADOS!$A:$D,4,FALSE)),"")</f>
        <v>PRIVADO</v>
      </c>
      <c r="E717" s="11" t="str">
        <f>IFERROR(IF(VLOOKUP(A717,[6]PRIORIZADOS!$A:$E,5,FALSE)="","",VLOOKUP(A717,[6]PRIORIZADOS!$A:$E,5,FALSE)),"")</f>
        <v>EPBM</v>
      </c>
      <c r="F717" s="11" t="str">
        <f>IFERROR(IF(VLOOKUP(A717,[6]PRIORIZADOS!$A:$F,6,FALSE)="","",VLOOKUP(A717,[6]PRIORIZADOS!$A:$F,6,FALSE)),"")</f>
        <v>LICEO_MODERNO_LEEUWENHOEK</v>
      </c>
      <c r="G717" s="11" t="str">
        <f>IFERROR(IF(VLOOKUP(A717,[6]PRIORIZADOS!$A:$G,7,FALSE)="","",VLOOKUP(A717,[6]PRIORIZADOS!$A:$G,7,FALSE)),"")</f>
        <v>LICEO_MODERNO_LEEUWENHOEK</v>
      </c>
      <c r="H717" s="11" t="str">
        <f>IFERROR(IF(VLOOKUP(A717,[6]PRIORIZADOS!$A:$H,8,FALSE)="","",VLOOKUP(A717,[6]PRIORIZADOS!$A:$H,8,FALSE)),"")</f>
        <v>Autoevaluación Institucional y Pruebas SABER 11</v>
      </c>
      <c r="I717" s="11" t="str">
        <f>IFERROR(IF(VLOOKUP(A717,[6]PRIORIZADOS!$A:$I,9,FALSE)="","",VLOOKUP(A717,[6]PRIORIZADOS!$A:$I,9,FALSE)),"")</f>
        <v>SEGUIMIENTO_Y_SUPERVISIÓN.</v>
      </c>
      <c r="J717" s="11" t="str">
        <f>IFERROR(IF(VLOOKUP(A717,[6]PRIORIZADOS!$A:$J,10,FALSE)="","",VLOOKUP(A717,[6]PRIORIZADOS!$A:$J,10,FALSE)),"")</f>
        <v xml:space="preserve">Verificar la implementación por parte de los colegios, de acciones realizadas para la prevención y atención de las situaciones de convivencia en el entorno escolar, según lo establecido en la Directiva 01 de 2022 del MEN. </v>
      </c>
      <c r="K717" s="11" t="str">
        <f>IFERROR(IF(VLOOKUP(A717,[6]PRIORIZADOS!$A:$K,11,FALSE)="","",VLOOKUP(A717,[6]PRIORIZADOS!$A:$K,11,FALSE)),"")</f>
        <v>MÓNICA JANNETH RAMÍREZ MORENO</v>
      </c>
      <c r="L717" s="11" t="str">
        <f>IFERROR(IF(VLOOKUP(A717,[6]PRIORIZADOS!$A:$L,12,FALSE)="","",VLOOKUP(A717,[6]PRIORIZADOS!$A:$L,12,FALSE)),"")</f>
        <v>JENIFER CATHERINE LEÓN ACOSTA</v>
      </c>
      <c r="M717" s="71">
        <f>IFERROR(IF(VLOOKUP(A717,[6]PRIORIZADOS!$A:$M,13,FALSE)="","",VLOOKUP(A717,[6]PRIORIZADOS!$A:$M,13,FALSE)),"")</f>
        <v>45743</v>
      </c>
      <c r="N717" s="139">
        <f>IFERROR(IF(VLOOKUP(A717,[6]PRIORIZADOS!$A:$N,14,FALSE)="","",VLOOKUP(A717,[6]PRIORIZADOS!$A:$N,14,FALSE)),"")</f>
        <v>45743</v>
      </c>
      <c r="O717" s="139">
        <f>IFERROR(IF(VLOOKUP(A717,[6]PRIORIZADOS!$A:$O,15,FALSE)="","",VLOOKUP(A717,[6]PRIORIZADOS!$A:$O,15,FALSE)),"")</f>
        <v>45743</v>
      </c>
      <c r="P717" s="11" t="str">
        <f>IFERROR(IF(VLOOKUP(A717,[6]PRIORIZADOS!$A:$P,16,FALSE)="","",VLOOKUP(A717,[6]PRIORIZADOS!$A:$P,16,FALSE)),"")</f>
        <v>Visitas de evaluación con fines de seguimiento</v>
      </c>
      <c r="Q717" s="107" t="s">
        <v>138</v>
      </c>
      <c r="R717" s="11" t="str">
        <f>IFERROR(IF(VLOOKUP(A717,[6]PRIORIZADOS!$A:$R,18,FALSE)="","",VLOOKUP(A717,[6]PRIORIZADOS!$A:$R,18,FALSE)),"")</f>
        <v>El E.E. no realiza verificación de inhabilidad por parte del personal contratado</v>
      </c>
      <c r="S717" s="11" t="str">
        <f>IFERROR(IF(VLOOKUP(A717,[6]PRIORIZADOS!$A:$S,19,FALSE)="","",VLOOKUP(A717,[6]PRIORIZADOS!$A:$S,19,FALSE)),"")</f>
        <v>SE explica a la rectora la Directiva y se informa como se debe realizar las consultas de las inhabilidades</v>
      </c>
      <c r="T717" s="70" t="str">
        <f>IFERROR(IF(VLOOKUP(A717,[6]PRIORIZADOS!$A:$T,20,FALSE)="","",VLOOKUP(A717,[6]PRIORIZADOS!$A:$T,20,FALSE)),"")</f>
        <v>Si</v>
      </c>
      <c r="U717" s="11" t="str">
        <f>IFERROR(IF(VLOOKUP(A717,[6]PRIORIZADOS!$A:$U,21,FALSE)="","",VLOOKUP(A717,[6]PRIORIZADOS!$A:$U,21,FALSE)),"")</f>
        <v>Se requirió presentar Plan de Majoramiento con el fin de subsanar la situación actual. El PMI debe ser entregado al ELIV a más tardar el 9 de mayo de 2025</v>
      </c>
    </row>
    <row r="718" spans="1:21" s="1" customFormat="1" ht="72">
      <c r="A718" s="69">
        <f>IF([6]PRIORIZADOS!A84="","",[6]PRIORIZADOS!A84)</f>
        <v>657</v>
      </c>
      <c r="B718" s="70">
        <f>IFERROR(IF(VLOOKUP(A718,[6]PRIORIZADOS!$A:$B,2,FALSE)="","",VLOOKUP(A718,[6]PRIORIZADOS!$A:$B,2,FALSE)),"")</f>
        <v>9</v>
      </c>
      <c r="C718" s="11" t="str">
        <f>IFERROR(IF(VLOOKUP(A718,[6]PRIORIZADOS!$A:$C,3,FALSE)="","",VLOOKUP(A718,[6]PRIORIZADOS!$A:$C,3,FALSE)),"")</f>
        <v>ENGATIVÁ</v>
      </c>
      <c r="D718" s="11" t="str">
        <f>IFERROR(IF(VLOOKUP(A718,[6]PRIORIZADOS!$A:$D,4,FALSE)="","",VLOOKUP(A718,[6]PRIORIZADOS!$A:$D,4,FALSE)),"")</f>
        <v>PRIVADO</v>
      </c>
      <c r="E718" s="11" t="str">
        <f>IFERROR(IF(VLOOKUP(A718,[6]PRIORIZADOS!$A:$E,5,FALSE)="","",VLOOKUP(A718,[6]PRIORIZADOS!$A:$E,5,FALSE)),"")</f>
        <v>EPBM</v>
      </c>
      <c r="F718" s="11" t="str">
        <f>IFERROR(IF(VLOOKUP(A718,[6]PRIORIZADOS!$A:$F,6,FALSE)="","",VLOOKUP(A718,[6]PRIORIZADOS!$A:$F,6,FALSE)),"")</f>
        <v>LICEO_MODERNO_LEEUWENHOEK</v>
      </c>
      <c r="G718" s="11" t="str">
        <f>IFERROR(IF(VLOOKUP(A718,[6]PRIORIZADOS!$A:$G,7,FALSE)="","",VLOOKUP(A718,[6]PRIORIZADOS!$A:$G,7,FALSE)),"")</f>
        <v>LICEO_MODERNO_LEEUWENHOEK</v>
      </c>
      <c r="H718" s="11" t="str">
        <f>IFERROR(IF(VLOOKUP(A718,[6]PRIORIZADOS!$A:$H,8,FALSE)="","",VLOOKUP(A718,[6]PRIORIZADOS!$A:$H,8,FALSE)),"")</f>
        <v>Autoevaluación Institucional y Pruebas SABER 11</v>
      </c>
      <c r="I718" s="11" t="str">
        <f>IFERROR(IF(VLOOKUP(A718,[6]PRIORIZADOS!$A:$I,9,FALSE)="","",VLOOKUP(A718,[6]PRIORIZADOS!$A:$I,9,FALSE)),"")</f>
        <v>SEGUIMIENTO_Y_SUPERVISIÓN.</v>
      </c>
      <c r="J718" s="11" t="str">
        <f>IFERROR(IF(VLOOKUP(A718,[6]PRIORIZADOS!$A:$J,10,FALSE)="","",VLOOKUP(A718,[6]PRIORIZADOS!$A:$J,10,FALSE)),"")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18" s="11" t="str">
        <f>IFERROR(IF(VLOOKUP(A718,[6]PRIORIZADOS!$A:$K,11,FALSE)="","",VLOOKUP(A718,[6]PRIORIZADOS!$A:$K,11,FALSE)),"")</f>
        <v>MÓNICA JANNETH RAMÍREZ MORENO</v>
      </c>
      <c r="L718" s="11" t="str">
        <f>IFERROR(IF(VLOOKUP(A718,[6]PRIORIZADOS!$A:$L,12,FALSE)="","",VLOOKUP(A718,[6]PRIORIZADOS!$A:$L,12,FALSE)),"")</f>
        <v>JENIFER CATHERINE LEÓN ACOSTA</v>
      </c>
      <c r="M718" s="71">
        <f>IFERROR(IF(VLOOKUP(A718,[6]PRIORIZADOS!$A:$M,13,FALSE)="","",VLOOKUP(A718,[6]PRIORIZADOS!$A:$M,13,FALSE)),"")</f>
        <v>45743</v>
      </c>
      <c r="N718" s="139">
        <f>IFERROR(IF(VLOOKUP(A718,[6]PRIORIZADOS!$A:$N,14,FALSE)="","",VLOOKUP(A718,[6]PRIORIZADOS!$A:$N,14,FALSE)),"")</f>
        <v>45743</v>
      </c>
      <c r="O718" s="139">
        <f>IFERROR(IF(VLOOKUP(A718,[6]PRIORIZADOS!$A:$O,15,FALSE)="","",VLOOKUP(A718,[6]PRIORIZADOS!$A:$O,15,FALSE)),"")</f>
        <v>45743</v>
      </c>
      <c r="P718" s="11" t="str">
        <f>IFERROR(IF(VLOOKUP(A718,[6]PRIORIZADOS!$A:$P,16,FALSE)="","",VLOOKUP(A718,[6]PRIORIZADOS!$A:$P,16,FALSE)),"")</f>
        <v>Visitas de evaluación con fines de seguimiento</v>
      </c>
      <c r="Q718" s="107" t="s">
        <v>138</v>
      </c>
      <c r="R718" s="11" t="str">
        <f>IFERROR(IF(VLOOKUP(A718,[6]PRIORIZADOS!$A:$R,18,FALSE)="","",VLOOKUP(A718,[6]PRIORIZADOS!$A:$R,18,FALSE)),"")</f>
        <v>Se observa que actualmente estan en la etapa de formulación de los PIAR de los estudiantes que los requieren</v>
      </c>
      <c r="S718" s="11" t="str">
        <f>IFERROR(IF(VLOOKUP(A718,[6]PRIORIZADOS!$A:$S,19,FALSE)="","",VLOOKUP(A718,[6]PRIORIZADOS!$A:$S,19,FALSE)),"")</f>
        <v>Se dan recomendaciones para el correcto diseño de los PIAR y se remite formato establecido para tal fin</v>
      </c>
      <c r="T718" s="70" t="str">
        <f>IFERROR(IF(VLOOKUP(A718,[6]PRIORIZADOS!$A:$T,20,FALSE)="","",VLOOKUP(A718,[6]PRIORIZADOS!$A:$T,20,FALSE)),"")</f>
        <v>Si</v>
      </c>
      <c r="U718" s="11" t="str">
        <f>IFERROR(IF(VLOOKUP(A718,[6]PRIORIZADOS!$A:$U,21,FALSE)="","",VLOOKUP(A718,[6]PRIORIZADOS!$A:$U,21,FALSE)),"")</f>
        <v>Se requirió presentar Plan de Majoramiento con el fin de subsanar la situación actual. El PMI debe ser entregado al ELIV a más tardar el 9 de mayo de 2025</v>
      </c>
    </row>
    <row r="719" spans="1:21" s="1" customFormat="1" ht="84">
      <c r="A719" s="69">
        <f>IF([6]PRIORIZADOS!A85="","",[6]PRIORIZADOS!A85)</f>
        <v>658</v>
      </c>
      <c r="B719" s="70">
        <f>IFERROR(IF(VLOOKUP(A719,[6]PRIORIZADOS!$A:$B,2,FALSE)="","",VLOOKUP(A719,[6]PRIORIZADOS!$A:$B,2,FALSE)),"")</f>
        <v>9</v>
      </c>
      <c r="C719" s="11" t="str">
        <f>IFERROR(IF(VLOOKUP(A719,[6]PRIORIZADOS!$A:$C,3,FALSE)="","",VLOOKUP(A719,[6]PRIORIZADOS!$A:$C,3,FALSE)),"")</f>
        <v>ENGATIVÁ</v>
      </c>
      <c r="D719" s="11" t="str">
        <f>IFERROR(IF(VLOOKUP(A719,[6]PRIORIZADOS!$A:$D,4,FALSE)="","",VLOOKUP(A719,[6]PRIORIZADOS!$A:$D,4,FALSE)),"")</f>
        <v>PRIVADO</v>
      </c>
      <c r="E719" s="11" t="str">
        <f>IFERROR(IF(VLOOKUP(A719,[6]PRIORIZADOS!$A:$E,5,FALSE)="","",VLOOKUP(A719,[6]PRIORIZADOS!$A:$E,5,FALSE)),"")</f>
        <v>EPBM</v>
      </c>
      <c r="F719" s="11" t="str">
        <f>IFERROR(IF(VLOOKUP(A719,[6]PRIORIZADOS!$A:$F,6,FALSE)="","",VLOOKUP(A719,[6]PRIORIZADOS!$A:$F,6,FALSE)),"")</f>
        <v>LICEO_MODERNO_LEEUWENHOEK</v>
      </c>
      <c r="G719" s="11" t="str">
        <f>IFERROR(IF(VLOOKUP(A719,[6]PRIORIZADOS!$A:$G,7,FALSE)="","",VLOOKUP(A719,[6]PRIORIZADOS!$A:$G,7,FALSE)),"")</f>
        <v>LICEO_MODERNO_LEEUWENHOEK</v>
      </c>
      <c r="H719" s="11" t="str">
        <f>IFERROR(IF(VLOOKUP(A719,[6]PRIORIZADOS!$A:$H,8,FALSE)="","",VLOOKUP(A719,[6]PRIORIZADOS!$A:$H,8,FALSE)),"")</f>
        <v>Autoevaluación Institucional y Pruebas SABER 11</v>
      </c>
      <c r="I719" s="11" t="str">
        <f>IFERROR(IF(VLOOKUP(A719,[6]PRIORIZADOS!$A:$I,9,FALSE)="","",VLOOKUP(A719,[6]PRIORIZADOS!$A:$I,9,FALSE)),"")</f>
        <v>EVALUACIÓN_CON_FINES_DE_MEJORAMIENTO.</v>
      </c>
      <c r="J719" s="11" t="str">
        <f>IFERROR(IF(VLOOKUP(A719,[6]PRIORIZADOS!$A:$J,10,FALSE)="","",VLOOKUP(A719,[6]PRIORIZADOS!$A:$J,10,FALSE)),"")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19" s="11" t="str">
        <f>IFERROR(IF(VLOOKUP(A719,[6]PRIORIZADOS!$A:$K,11,FALSE)="","",VLOOKUP(A719,[6]PRIORIZADOS!$A:$K,11,FALSE)),"")</f>
        <v>MÓNICA JANNETH RAMÍREZ MORENO</v>
      </c>
      <c r="L719" s="11" t="str">
        <f>IFERROR(IF(VLOOKUP(A719,[6]PRIORIZADOS!$A:$L,12,FALSE)="","",VLOOKUP(A719,[6]PRIORIZADOS!$A:$L,12,FALSE)),"")</f>
        <v>JENIFER CATHERINE LEÓN ACOSTA</v>
      </c>
      <c r="M719" s="71">
        <f>IFERROR(IF(VLOOKUP(A719,[6]PRIORIZADOS!$A:$M,13,FALSE)="","",VLOOKUP(A719,[6]PRIORIZADOS!$A:$M,13,FALSE)),"")</f>
        <v>45743</v>
      </c>
      <c r="N719" s="139">
        <f>IFERROR(IF(VLOOKUP(A719,[6]PRIORIZADOS!$A:$N,14,FALSE)="","",VLOOKUP(A719,[6]PRIORIZADOS!$A:$N,14,FALSE)),"")</f>
        <v>45743</v>
      </c>
      <c r="O719" s="139">
        <f>IFERROR(IF(VLOOKUP(A719,[6]PRIORIZADOS!$A:$O,15,FALSE)="","",VLOOKUP(A719,[6]PRIORIZADOS!$A:$O,15,FALSE)),"")</f>
        <v>45743</v>
      </c>
      <c r="P719" s="11" t="str">
        <f>IFERROR(IF(VLOOKUP(A719,[6]PRIORIZADOS!$A:$P,16,FALSE)="","",VLOOKUP(A719,[6]PRIORIZADOS!$A:$P,16,FALSE)),"")</f>
        <v>Visitas de evaluación con fines de mejoramiento</v>
      </c>
      <c r="Q719" s="107" t="s">
        <v>138</v>
      </c>
      <c r="R719" s="11" t="str">
        <f>IFERROR(IF(VLOOKUP(A719,[6]PRIORIZADOS!$A:$R,18,FALSE)="","",VLOOKUP(A719,[6]PRIORIZADOS!$A:$R,18,FALSE)),"")</f>
        <v xml:space="preserve">El manual de convivencia actual esta vigente desde 2021, no se observan actualizaciones desde esa fecha ni contempla los enfoques de inclusión, de genero, ni restaurativo.
</v>
      </c>
      <c r="S719" s="11" t="str">
        <f>IFERROR(IF(VLOOKUP(A719,[6]PRIORIZADOS!$A:$S,19,FALSE)="","",VLOOKUP(A719,[6]PRIORIZADOS!$A:$S,19,FALSE)),"")</f>
        <v xml:space="preserve">Se  indica que los procesos de actualización  deben ser participativos, dejando evidencia de las actividades y que el manual debe actualizarse y adoptar anualmente.
</v>
      </c>
      <c r="T719" s="70" t="str">
        <f>IFERROR(IF(VLOOKUP(A719,[6]PRIORIZADOS!$A:$T,20,FALSE)="","",VLOOKUP(A719,[6]PRIORIZADOS!$A:$T,20,FALSE)),"")</f>
        <v>Si</v>
      </c>
      <c r="U719" s="11" t="str">
        <f>IFERROR(IF(VLOOKUP(A719,[6]PRIORIZADOS!$A:$U,21,FALSE)="","",VLOOKUP(A719,[6]PRIORIZADOS!$A:$U,21,FALSE)),"")</f>
        <v>Se requirió presentar Plan de Majoramiento con el fin de subsanar la situación actual. El PMI debe ser entregado al ELIV a más tardar el 9 de mayo de 2025</v>
      </c>
    </row>
    <row r="720" spans="1:21" s="1" customFormat="1" ht="84">
      <c r="A720" s="69">
        <f>IF([6]PRIORIZADOS!A86="","",[6]PRIORIZADOS!A86)</f>
        <v>658</v>
      </c>
      <c r="B720" s="70">
        <f>IFERROR(IF(VLOOKUP(A720,[6]PRIORIZADOS!$A:$B,2,FALSE)="","",VLOOKUP(A720,[6]PRIORIZADOS!$A:$B,2,FALSE)),"")</f>
        <v>9</v>
      </c>
      <c r="C720" s="11" t="str">
        <f>IFERROR(IF(VLOOKUP(A720,[6]PRIORIZADOS!$A:$C,3,FALSE)="","",VLOOKUP(A720,[6]PRIORIZADOS!$A:$C,3,FALSE)),"")</f>
        <v>ENGATIVÁ</v>
      </c>
      <c r="D720" s="11" t="str">
        <f>IFERROR(IF(VLOOKUP(A720,[6]PRIORIZADOS!$A:$D,4,FALSE)="","",VLOOKUP(A720,[6]PRIORIZADOS!$A:$D,4,FALSE)),"")</f>
        <v>PRIVADO</v>
      </c>
      <c r="E720" s="11" t="str">
        <f>IFERROR(IF(VLOOKUP(A720,[6]PRIORIZADOS!$A:$E,5,FALSE)="","",VLOOKUP(A720,[6]PRIORIZADOS!$A:$E,5,FALSE)),"")</f>
        <v>EPBM</v>
      </c>
      <c r="F720" s="11" t="str">
        <f>IFERROR(IF(VLOOKUP(A720,[6]PRIORIZADOS!$A:$F,6,FALSE)="","",VLOOKUP(A720,[6]PRIORIZADOS!$A:$F,6,FALSE)),"")</f>
        <v>LICEO_MODERNO_LEEUWENHOEK</v>
      </c>
      <c r="G720" s="11" t="str">
        <f>IFERROR(IF(VLOOKUP(A720,[6]PRIORIZADOS!$A:$G,7,FALSE)="","",VLOOKUP(A720,[6]PRIORIZADOS!$A:$G,7,FALSE)),"")</f>
        <v>LICEO_MODERNO_LEEUWENHOEK</v>
      </c>
      <c r="H720" s="11" t="str">
        <f>IFERROR(IF(VLOOKUP(A720,[6]PRIORIZADOS!$A:$H,8,FALSE)="","",VLOOKUP(A720,[6]PRIORIZADOS!$A:$H,8,FALSE)),"")</f>
        <v>Autoevaluación Institucional y Pruebas SABER 11</v>
      </c>
      <c r="I720" s="11" t="str">
        <f>IFERROR(IF(VLOOKUP(A720,[6]PRIORIZADOS!$A:$I,9,FALSE)="","",VLOOKUP(A720,[6]PRIORIZADOS!$A:$I,9,FALSE)),"")</f>
        <v>EVALUACIÓN_CON_FINES_DE_MEJORAMIENTO.</v>
      </c>
      <c r="J720" s="11" t="str">
        <f>IFERROR(IF(VLOOKUP(A720,[6]PRIORIZADOS!$A:$J,10,FALSE)="","",VLOOKUP(A720,[6]PRIORIZADOS!$A:$J,10,FALSE)),"")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20" s="11" t="str">
        <f>IFERROR(IF(VLOOKUP(A720,[6]PRIORIZADOS!$A:$K,11,FALSE)="","",VLOOKUP(A720,[6]PRIORIZADOS!$A:$K,11,FALSE)),"")</f>
        <v>MÓNICA JANNETH RAMÍREZ MORENO</v>
      </c>
      <c r="L720" s="11" t="str">
        <f>IFERROR(IF(VLOOKUP(A720,[6]PRIORIZADOS!$A:$L,12,FALSE)="","",VLOOKUP(A720,[6]PRIORIZADOS!$A:$L,12,FALSE)),"")</f>
        <v>JENIFER CATHERINE LEÓN ACOSTA</v>
      </c>
      <c r="M720" s="71">
        <f>IFERROR(IF(VLOOKUP(A720,[6]PRIORIZADOS!$A:$M,13,FALSE)="","",VLOOKUP(A720,[6]PRIORIZADOS!$A:$M,13,FALSE)),"")</f>
        <v>45743</v>
      </c>
      <c r="N720" s="139">
        <f>IFERROR(IF(VLOOKUP(A720,[6]PRIORIZADOS!$A:$N,14,FALSE)="","",VLOOKUP(A720,[6]PRIORIZADOS!$A:$N,14,FALSE)),"")</f>
        <v>45743</v>
      </c>
      <c r="O720" s="139">
        <f>IFERROR(IF(VLOOKUP(A720,[6]PRIORIZADOS!$A:$O,15,FALSE)="","",VLOOKUP(A720,[6]PRIORIZADOS!$A:$O,15,FALSE)),"")</f>
        <v>45743</v>
      </c>
      <c r="P720" s="11" t="str">
        <f>IFERROR(IF(VLOOKUP(A720,[6]PRIORIZADOS!$A:$P,16,FALSE)="","",VLOOKUP(A720,[6]PRIORIZADOS!$A:$P,16,FALSE)),"")</f>
        <v>Visitas de evaluación con fines de mejoramiento</v>
      </c>
      <c r="Q720" s="107" t="s">
        <v>138</v>
      </c>
      <c r="R720" s="11" t="str">
        <f>IFERROR(IF(VLOOKUP(A720,[6]PRIORIZADOS!$A:$R,18,FALSE)="","",VLOOKUP(A720,[6]PRIORIZADOS!$A:$R,18,FALSE)),"")</f>
        <v xml:space="preserve">El manual de convivencia actual esta vigente desde 2021, no se observan actualizaciones desde esa fecha ni contempla los enfoques de inclusión, de genero, ni restaurativo.
</v>
      </c>
      <c r="S720" s="11" t="str">
        <f>IFERROR(IF(VLOOKUP(A720,[6]PRIORIZADOS!$A:$S,19,FALSE)="","",VLOOKUP(A720,[6]PRIORIZADOS!$A:$S,19,FALSE)),"")</f>
        <v xml:space="preserve">Se  indica que los procesos de actualización  deben ser participativos, dejando evidencia de las actividades y que el manual debe actualizarse y adoptar anualmente.
</v>
      </c>
      <c r="T720" s="70" t="str">
        <f>IFERROR(IF(VLOOKUP(A720,[6]PRIORIZADOS!$A:$T,20,FALSE)="","",VLOOKUP(A720,[6]PRIORIZADOS!$A:$T,20,FALSE)),"")</f>
        <v>Si</v>
      </c>
      <c r="U720" s="11" t="str">
        <f>IFERROR(IF(VLOOKUP(A720,[6]PRIORIZADOS!$A:$U,21,FALSE)="","",VLOOKUP(A720,[6]PRIORIZADOS!$A:$U,21,FALSE)),"")</f>
        <v>Se requirió presentar Plan de Majoramiento con el fin de subsanar la situación actual. El PMI debe ser entregado al ELIV a más tardar el 9 de mayo de 2025</v>
      </c>
    </row>
    <row r="721" spans="1:21" s="1" customFormat="1" ht="48">
      <c r="A721" s="69">
        <f>IF([6]PRIORIZADOS!A87="","",[6]PRIORIZADOS!A87)</f>
        <v>659</v>
      </c>
      <c r="B721" s="70">
        <f>IFERROR(IF(VLOOKUP(A721,[6]PRIORIZADOS!$A:$B,2,FALSE)="","",VLOOKUP(A721,[6]PRIORIZADOS!$A:$B,2,FALSE)),"")</f>
        <v>9</v>
      </c>
      <c r="C721" s="11" t="str">
        <f>IFERROR(IF(VLOOKUP(A721,[6]PRIORIZADOS!$A:$C,3,FALSE)="","",VLOOKUP(A721,[6]PRIORIZADOS!$A:$C,3,FALSE)),"")</f>
        <v>ENGATIVÁ</v>
      </c>
      <c r="D721" s="11" t="str">
        <f>IFERROR(IF(VLOOKUP(A721,[6]PRIORIZADOS!$A:$D,4,FALSE)="","",VLOOKUP(A721,[6]PRIORIZADOS!$A:$D,4,FALSE)),"")</f>
        <v>PRIVADO</v>
      </c>
      <c r="E721" s="11" t="str">
        <f>IFERROR(IF(VLOOKUP(A721,[6]PRIORIZADOS!$A:$E,5,FALSE)="","",VLOOKUP(A721,[6]PRIORIZADOS!$A:$E,5,FALSE)),"")</f>
        <v>EPBM</v>
      </c>
      <c r="F721" s="11" t="str">
        <f>IFERROR(IF(VLOOKUP(A721,[6]PRIORIZADOS!$A:$F,6,FALSE)="","",VLOOKUP(A721,[6]PRIORIZADOS!$A:$F,6,FALSE)),"")</f>
        <v>LICEO_MODERNO_LEEUWENHOEK</v>
      </c>
      <c r="G721" s="11" t="str">
        <f>IFERROR(IF(VLOOKUP(A721,[6]PRIORIZADOS!$A:$G,7,FALSE)="","",VLOOKUP(A721,[6]PRIORIZADOS!$A:$G,7,FALSE)),"")</f>
        <v>LICEO_MODERNO_LEEUWENHOEK</v>
      </c>
      <c r="H721" s="11" t="str">
        <f>IFERROR(IF(VLOOKUP(A721,[6]PRIORIZADOS!$A:$H,8,FALSE)="","",VLOOKUP(A721,[6]PRIORIZADOS!$A:$H,8,FALSE)),"")</f>
        <v>Autoevaluación Institucional y Pruebas SABER 11</v>
      </c>
      <c r="I721" s="11" t="str">
        <f>IFERROR(IF(VLOOKUP(A721,[6]PRIORIZADOS!$A:$I,9,FALSE)="","",VLOOKUP(A721,[6]PRIORIZADOS!$A:$I,9,FALSE)),"")</f>
        <v>EVALUACIÓN_CON_FINES_DE_MEJORAMIENTO.</v>
      </c>
      <c r="J721" s="11" t="str">
        <f>IFERROR(IF(VLOOKUP(A721,[6]PRIORIZADOS!$A:$J,10,FALSE)="","",VLOOKUP(A721,[6]PRIORIZADOS!$A:$J,10,FALSE)),"")</f>
        <v>Revisar el calendario escolar, jornada escolar, la intensidad horaria mínima anual en cada nivel y las modificaciones que se realicen al mismo, de acuerdo con lo previsto en la normatividad vigente.</v>
      </c>
      <c r="K721" s="11" t="str">
        <f>IFERROR(IF(VLOOKUP(A721,[6]PRIORIZADOS!$A:$K,11,FALSE)="","",VLOOKUP(A721,[6]PRIORIZADOS!$A:$K,11,FALSE)),"")</f>
        <v>MÓNICA JANNETH RAMÍREZ MORENO</v>
      </c>
      <c r="L721" s="11" t="str">
        <f>IFERROR(IF(VLOOKUP(A721,[6]PRIORIZADOS!$A:$L,12,FALSE)="","",VLOOKUP(A721,[6]PRIORIZADOS!$A:$L,12,FALSE)),"")</f>
        <v>JENIFER CATHERINE LEÓN ACOSTA</v>
      </c>
      <c r="M721" s="71">
        <f>IFERROR(IF(VLOOKUP(A721,[6]PRIORIZADOS!$A:$M,13,FALSE)="","",VLOOKUP(A721,[6]PRIORIZADOS!$A:$M,13,FALSE)),"")</f>
        <v>45743</v>
      </c>
      <c r="N721" s="139">
        <f>IFERROR(IF(VLOOKUP(A721,[6]PRIORIZADOS!$A:$N,14,FALSE)="","",VLOOKUP(A721,[6]PRIORIZADOS!$A:$N,14,FALSE)),"")</f>
        <v>45743</v>
      </c>
      <c r="O721" s="139">
        <f>IFERROR(IF(VLOOKUP(A721,[6]PRIORIZADOS!$A:$O,15,FALSE)="","",VLOOKUP(A721,[6]PRIORIZADOS!$A:$O,15,FALSE)),"")</f>
        <v>45743</v>
      </c>
      <c r="P721" s="11" t="str">
        <f>IFERROR(IF(VLOOKUP(A721,[6]PRIORIZADOS!$A:$P,16,FALSE)="","",VLOOKUP(A721,[6]PRIORIZADOS!$A:$P,16,FALSE)),"")</f>
        <v>Visitas de evaluación con fines de mejoramiento</v>
      </c>
      <c r="Q721" s="107" t="s">
        <v>138</v>
      </c>
      <c r="R721" s="11" t="str">
        <f>IFERROR(IF(VLOOKUP(A721,[6]PRIORIZADOS!$A:$R,18,FALSE)="","",VLOOKUP(A721,[6]PRIORIZADOS!$A:$R,18,FALSE)),"")</f>
        <v xml:space="preserve">Se revisa en el formato establecido el cumplimiento de la intensidad horaria </v>
      </c>
      <c r="S721" s="11" t="str">
        <f>IFERROR(IF(VLOOKUP(A721,[6]PRIORIZADOS!$A:$S,19,FALSE)="","",VLOOKUP(A721,[6]PRIORIZADOS!$A:$S,19,FALSE)),"")</f>
        <v>El colegio cumple la intensidad horaria establecida por nivel según normativa vigente</v>
      </c>
      <c r="T721" s="70" t="str">
        <f>IFERROR(IF(VLOOKUP(A721,[6]PRIORIZADOS!$A:$T,20,FALSE)="","",VLOOKUP(A721,[6]PRIORIZADOS!$A:$T,20,FALSE)),"")</f>
        <v>No</v>
      </c>
      <c r="U721" s="11" t="str">
        <f>IFERROR(IF(VLOOKUP(A721,[6]PRIORIZADOS!$A:$U,21,FALSE)="","",VLOOKUP(A721,[6]PRIORIZADOS!$A:$U,21,FALSE)),"")</f>
        <v>Se verificará cumplimiento del calendario académico según lo determinado</v>
      </c>
    </row>
    <row r="722" spans="1:21" s="1" customFormat="1" ht="107.25">
      <c r="A722" s="69">
        <f>IF([6]PRIORIZADOS!A88="","",[6]PRIORIZADOS!A88)</f>
        <v>660</v>
      </c>
      <c r="B722" s="70">
        <f>IFERROR(IF(VLOOKUP(A722,[6]PRIORIZADOS!$A:$B,2,FALSE)="","",VLOOKUP(A722,[6]PRIORIZADOS!$A:$B,2,FALSE)),"")</f>
        <v>9</v>
      </c>
      <c r="C722" s="11" t="str">
        <f>IFERROR(IF(VLOOKUP(A722,[6]PRIORIZADOS!$A:$C,3,FALSE)="","",VLOOKUP(A722,[6]PRIORIZADOS!$A:$C,3,FALSE)),"")</f>
        <v>ENGATIVÁ</v>
      </c>
      <c r="D722" s="11" t="str">
        <f>IFERROR(IF(VLOOKUP(A722,[6]PRIORIZADOS!$A:$D,4,FALSE)="","",VLOOKUP(A722,[6]PRIORIZADOS!$A:$D,4,FALSE)),"")</f>
        <v>PRIVADO</v>
      </c>
      <c r="E722" s="11" t="str">
        <f>IFERROR(IF(VLOOKUP(A722,[6]PRIORIZADOS!$A:$E,5,FALSE)="","",VLOOKUP(A722,[6]PRIORIZADOS!$A:$E,5,FALSE)),"")</f>
        <v>EPBM</v>
      </c>
      <c r="F722" s="11" t="str">
        <f>IFERROR(IF(VLOOKUP(A722,[6]PRIORIZADOS!$A:$F,6,FALSE)="","",VLOOKUP(A722,[6]PRIORIZADOS!$A:$F,6,FALSE)),"")</f>
        <v>LICEO_MODERNO_LEEUWENHOEK</v>
      </c>
      <c r="G722" s="11" t="str">
        <f>IFERROR(IF(VLOOKUP(A722,[6]PRIORIZADOS!$A:$G,7,FALSE)="","",VLOOKUP(A722,[6]PRIORIZADOS!$A:$G,7,FALSE)),"")</f>
        <v>LICEO_MODERNO_LEEUWENHOEK</v>
      </c>
      <c r="H722" s="11" t="str">
        <f>IFERROR(IF(VLOOKUP(A722,[6]PRIORIZADOS!$A:$H,8,FALSE)="","",VLOOKUP(A722,[6]PRIORIZADOS!$A:$H,8,FALSE)),"")</f>
        <v>Autoevaluación Institucional y Pruebas SABER 11</v>
      </c>
      <c r="I722" s="11" t="str">
        <f>IFERROR(IF(VLOOKUP(A722,[6]PRIORIZADOS!$A:$I,9,FALSE)="","",VLOOKUP(A722,[6]PRIORIZADOS!$A:$I,9,FALSE)),"")</f>
        <v>EVALUACIÓN_CON_FINES_DE_MEJORAMIENTO.</v>
      </c>
      <c r="J722" s="11" t="str">
        <f>IFERROR(IF(VLOOKUP(A722,[6]PRIORIZADOS!$A:$J,10,FALSE)="","",VLOOKUP(A722,[6]PRIORIZADOS!$A:$J,10,FALSE)),"")</f>
        <v>Verificar el funcionamiento del Gobierno Escolar e instancias de participación con base en la información sobre conformación reportada por la institución educativa.</v>
      </c>
      <c r="K722" s="11" t="str">
        <f>IFERROR(IF(VLOOKUP(A722,[6]PRIORIZADOS!$A:$K,11,FALSE)="","",VLOOKUP(A722,[6]PRIORIZADOS!$A:$K,11,FALSE)),"")</f>
        <v>MÓNICA JANNETH RAMÍREZ MORENO</v>
      </c>
      <c r="L722" s="11" t="str">
        <f>IFERROR(IF(VLOOKUP(A722,[6]PRIORIZADOS!$A:$L,12,FALSE)="","",VLOOKUP(A722,[6]PRIORIZADOS!$A:$L,12,FALSE)),"")</f>
        <v>JENIFER CATHERINE LEÓN ACOSTA</v>
      </c>
      <c r="M722" s="71">
        <f>IFERROR(IF(VLOOKUP(A722,[6]PRIORIZADOS!$A:$M,13,FALSE)="","",VLOOKUP(A722,[6]PRIORIZADOS!$A:$M,13,FALSE)),"")</f>
        <v>45743</v>
      </c>
      <c r="N722" s="139">
        <f>IFERROR(IF(VLOOKUP(A722,[6]PRIORIZADOS!$A:$N,14,FALSE)="","",VLOOKUP(A722,[6]PRIORIZADOS!$A:$N,14,FALSE)),"")</f>
        <v>45743</v>
      </c>
      <c r="O722" s="139">
        <f>IFERROR(IF(VLOOKUP(A722,[6]PRIORIZADOS!$A:$O,15,FALSE)="","",VLOOKUP(A722,[6]PRIORIZADOS!$A:$O,15,FALSE)),"")</f>
        <v>45743</v>
      </c>
      <c r="P722" s="11" t="str">
        <f>IFERROR(IF(VLOOKUP(A722,[6]PRIORIZADOS!$A:$P,16,FALSE)="","",VLOOKUP(A722,[6]PRIORIZADOS!$A:$P,16,FALSE)),"")</f>
        <v>Visitas de evaluación con fines de mejoramiento</v>
      </c>
      <c r="Q722" s="107" t="s">
        <v>138</v>
      </c>
      <c r="R722" s="11" t="str">
        <f>IFERROR(IF(VLOOKUP(A722,[6]PRIORIZADOS!$A:$R,18,FALSE)="","",VLOOKUP(A722,[6]PRIORIZADOS!$A:$R,18,FALSE)),"")</f>
        <v>Se observa la conformación del Gobierno Escolar y las instancias de participación en el formato definido para tal fin y debidamente reportado en el Sistema de Apoyo Escolar.
No se evidencia el funcionamiento del Comite de Convivencia Escolar
SE revisan carpetas de las demás instancias de participación</v>
      </c>
      <c r="S722" s="11" t="str">
        <f>IFERROR(IF(VLOOKUP(A722,[6]PRIORIZADOS!$A:$S,19,FALSE)="","",VLOOKUP(A722,[6]PRIORIZADOS!$A:$S,19,FALSE)),"")</f>
        <v>Se solicita que las actan tenga una descripción más amplia de los temas tratados, que se especifiquen y relaciones las funciones propias de cada comité, así como el cronograma de sesiones</v>
      </c>
      <c r="T722" s="70" t="str">
        <f>IFERROR(IF(VLOOKUP(A722,[6]PRIORIZADOS!$A:$T,20,FALSE)="","",VLOOKUP(A722,[6]PRIORIZADOS!$A:$T,20,FALSE)),"")</f>
        <v>Si</v>
      </c>
      <c r="U722" s="11" t="str">
        <f>IFERROR(IF(VLOOKUP(A722,[6]PRIORIZADOS!$A:$U,21,FALSE)="","",VLOOKUP(A722,[6]PRIORIZADOS!$A:$U,21,FALSE)),"")</f>
        <v>Se requirió presentar Plan de Majoramiento con el fin de subsanar la situación actual. El PMI debe ser entregado al ELIV a más tardar el 9 de mayo de 2025</v>
      </c>
    </row>
    <row r="723" spans="1:21" s="1" customFormat="1" ht="84">
      <c r="A723" s="69">
        <f>IF([6]PRIORIZADOS!A89="","",[6]PRIORIZADOS!A89)</f>
        <v>661</v>
      </c>
      <c r="B723" s="70">
        <f>IFERROR(IF(VLOOKUP(A723,[6]PRIORIZADOS!$A:$B,2,FALSE)="","",VLOOKUP(A723,[6]PRIORIZADOS!$A:$B,2,FALSE)),"")</f>
        <v>9</v>
      </c>
      <c r="C723" s="11" t="str">
        <f>IFERROR(IF(VLOOKUP(A723,[6]PRIORIZADOS!$A:$C,3,FALSE)="","",VLOOKUP(A723,[6]PRIORIZADOS!$A:$C,3,FALSE)),"")</f>
        <v>ENGATIVÁ</v>
      </c>
      <c r="D723" s="11" t="str">
        <f>IFERROR(IF(VLOOKUP(A723,[6]PRIORIZADOS!$A:$D,4,FALSE)="","",VLOOKUP(A723,[6]PRIORIZADOS!$A:$D,4,FALSE)),"")</f>
        <v>PRIVADO</v>
      </c>
      <c r="E723" s="11" t="str">
        <f>IFERROR(IF(VLOOKUP(A723,[6]PRIORIZADOS!$A:$E,5,FALSE)="","",VLOOKUP(A723,[6]PRIORIZADOS!$A:$E,5,FALSE)),"")</f>
        <v>EPBM</v>
      </c>
      <c r="F723" s="11" t="str">
        <f>IFERROR(IF(VLOOKUP(A723,[6]PRIORIZADOS!$A:$F,6,FALSE)="","",VLOOKUP(A723,[6]PRIORIZADOS!$A:$F,6,FALSE)),"")</f>
        <v>LICEO_MODERNO_LEEUWENHOEK</v>
      </c>
      <c r="G723" s="11" t="str">
        <f>IFERROR(IF(VLOOKUP(A723,[6]PRIORIZADOS!$A:$G,7,FALSE)="","",VLOOKUP(A723,[6]PRIORIZADOS!$A:$G,7,FALSE)),"")</f>
        <v>LICEO_MODERNO_LEEUWENHOEK</v>
      </c>
      <c r="H723" s="11" t="str">
        <f>IFERROR(IF(VLOOKUP(A723,[6]PRIORIZADOS!$A:$H,8,FALSE)="","",VLOOKUP(A723,[6]PRIORIZADOS!$A:$H,8,FALSE)),"")</f>
        <v>Autoevaluación Institucional y Pruebas SABER 11</v>
      </c>
      <c r="I723" s="11" t="str">
        <f>IFERROR(IF(VLOOKUP(A723,[6]PRIORIZADOS!$A:$I,9,FALSE)="","",VLOOKUP(A723,[6]PRIORIZADOS!$A:$I,9,FALSE)),"")</f>
        <v>EVALUACIÓN_CON_FINES_DE_MEJORAMIENTO.</v>
      </c>
      <c r="J723" s="11" t="str">
        <f>IFERROR(IF(VLOOKUP(A723,[6]PRIORIZADOS!$A:$J,10,FALSE)="","",VLOOKUP(A723,[6]PRIORIZADOS!$A:$J,10,FALSE)),"")</f>
        <v>Verificar las condiciones en cuanto a: la estructura administrativa, condiciones de la planta física y medios educativos adecuados.</v>
      </c>
      <c r="K723" s="11" t="str">
        <f>IFERROR(IF(VLOOKUP(A723,[6]PRIORIZADOS!$A:$K,11,FALSE)="","",VLOOKUP(A723,[6]PRIORIZADOS!$A:$K,11,FALSE)),"")</f>
        <v>MÓNICA JANNETH RAMÍREZ MORENO</v>
      </c>
      <c r="L723" s="11" t="str">
        <f>IFERROR(IF(VLOOKUP(A723,[6]PRIORIZADOS!$A:$L,12,FALSE)="","",VLOOKUP(A723,[6]PRIORIZADOS!$A:$L,12,FALSE)),"")</f>
        <v>JENIFER CATHERINE LEÓN ACOSTA</v>
      </c>
      <c r="M723" s="71">
        <f>IFERROR(IF(VLOOKUP(A723,[6]PRIORIZADOS!$A:$M,13,FALSE)="","",VLOOKUP(A723,[6]PRIORIZADOS!$A:$M,13,FALSE)),"")</f>
        <v>45743</v>
      </c>
      <c r="N723" s="139">
        <f>IFERROR(IF(VLOOKUP(A723,[6]PRIORIZADOS!$A:$N,14,FALSE)="","",VLOOKUP(A723,[6]PRIORIZADOS!$A:$N,14,FALSE)),"")</f>
        <v>45743</v>
      </c>
      <c r="O723" s="139">
        <f>IFERROR(IF(VLOOKUP(A723,[6]PRIORIZADOS!$A:$O,15,FALSE)="","",VLOOKUP(A723,[6]PRIORIZADOS!$A:$O,15,FALSE)),"")</f>
        <v>45743</v>
      </c>
      <c r="P723" s="11" t="str">
        <f>IFERROR(IF(VLOOKUP(A723,[6]PRIORIZADOS!$A:$P,16,FALSE)="","",VLOOKUP(A723,[6]PRIORIZADOS!$A:$P,16,FALSE)),"")</f>
        <v>Visitas de evaluación con fines de mejoramiento</v>
      </c>
      <c r="Q723" s="107" t="s">
        <v>138</v>
      </c>
      <c r="R723" s="11" t="str">
        <f>IFERROR(IF(VLOOKUP(A723,[6]PRIORIZADOS!$A:$R,18,FALSE)="","",VLOOKUP(A723,[6]PRIORIZADOS!$A:$R,18,FALSE)),"")</f>
        <v>Se evidencia que los espacios administrativos no son suficientes para las funciones que se deben desarrollar. Los espacios pedagógicos presentas deficiencias en iluminación y ventilación, así como en la capacidad de estudiantes. No cuenta con área libre</v>
      </c>
      <c r="S723" s="11" t="str">
        <f>IFERROR(IF(VLOOKUP(A723,[6]PRIORIZADOS!$A:$S,19,FALSE)="","",VLOOKUP(A723,[6]PRIORIZADOS!$A:$S,19,FALSE)),"")</f>
        <v>Se remite la capacidad de cada aula teniendo en cuenta el área de cada una de ellas, así mismo, se indica el procedimiento para la autorización de la utilización de los parques comoárea compartida</v>
      </c>
      <c r="T723" s="70" t="str">
        <f>IFERROR(IF(VLOOKUP(A723,[6]PRIORIZADOS!$A:$T,20,FALSE)="","",VLOOKUP(A723,[6]PRIORIZADOS!$A:$T,20,FALSE)),"")</f>
        <v>Si</v>
      </c>
      <c r="U723" s="11" t="str">
        <f>IFERROR(IF(VLOOKUP(A723,[6]PRIORIZADOS!$A:$U,21,FALSE)="","",VLOOKUP(A723,[6]PRIORIZADOS!$A:$U,21,FALSE)),"")</f>
        <v>Se requirió presentar Plan de Majoramiento con el fin de subsanar la situación actual. El PMI debe ser entregado al ELIV a más tardar el 9 de mayo de 2025</v>
      </c>
    </row>
    <row r="724" spans="1:21" s="1" customFormat="1" ht="96">
      <c r="A724" s="69">
        <f>IF([6]PRIORIZADOS!A90="","",[6]PRIORIZADOS!A90)</f>
        <v>662</v>
      </c>
      <c r="B724" s="70">
        <f>IFERROR(IF(VLOOKUP(A724,[6]PRIORIZADOS!$A:$B,2,FALSE)="","",VLOOKUP(A724,[6]PRIORIZADOS!$A:$B,2,FALSE)),"")</f>
        <v>10</v>
      </c>
      <c r="C724" s="11" t="str">
        <f>IFERROR(IF(VLOOKUP(A724,[6]PRIORIZADOS!$A:$C,3,FALSE)="","",VLOOKUP(A724,[6]PRIORIZADOS!$A:$C,3,FALSE)),"")</f>
        <v>ENGATIVÁ</v>
      </c>
      <c r="D724" s="11" t="str">
        <f>IFERROR(IF(VLOOKUP(A724,[6]PRIORIZADOS!$A:$D,4,FALSE)="","",VLOOKUP(A724,[6]PRIORIZADOS!$A:$D,4,FALSE)),"")</f>
        <v>PRIVADO</v>
      </c>
      <c r="E724" s="11" t="str">
        <f>IFERROR(IF(VLOOKUP(A724,[6]PRIORIZADOS!$A:$E,5,FALSE)="","",VLOOKUP(A724,[6]PRIORIZADOS!$A:$E,5,FALSE)),"")</f>
        <v>EPBM</v>
      </c>
      <c r="F724" s="11" t="str">
        <f>IFERROR(IF(VLOOKUP(A724,[6]PRIORIZADOS!$A:$F,6,FALSE)="","",VLOOKUP(A724,[6]PRIORIZADOS!$A:$F,6,FALSE)),"")</f>
        <v>COLEGIO_LUIS_MARIANO</v>
      </c>
      <c r="G724" s="11" t="str">
        <f>IFERROR(IF(VLOOKUP(A724,[6]PRIORIZADOS!$A:$G,7,FALSE)="","",VLOOKUP(A724,[6]PRIORIZADOS!$A:$G,7,FALSE)),"")</f>
        <v>COLEGIO_LUIS_MARIANO</v>
      </c>
      <c r="H724" s="11" t="str">
        <f>IFERROR(IF(VLOOKUP(A724,[6]PRIORIZADOS!$A:$H,8,FALSE)="","",VLOOKUP(A724,[6]PRIORIZADOS!$A:$H,8,FALSE)),"")</f>
        <v>Autoevaluación Institucional y Pruebas SABER 11</v>
      </c>
      <c r="I724" s="11" t="str">
        <f>IFERROR(IF(VLOOKUP(A724,[6]PRIORIZADOS!$A:$I,9,FALSE)="","",VLOOKUP(A724,[6]PRIORIZADOS!$A:$I,9,FALSE)),"")</f>
        <v>SEGUIMIENTO_Y_SUPERVISIÓN.</v>
      </c>
      <c r="J724" s="11" t="str">
        <f>IFERROR(IF(VLOOKUP(A724,[6]PRIORIZADOS!$A:$J,10,FALSE)="","",VLOOKUP(A724,[6]PRIORIZADOS!$A:$J,10,FALSE)),"")</f>
        <v>Realizar visitas para verificar la información registrada sobre la autoevaluación institucional en el aplicativo EVI, a los establecimientos de educación formal no oficial.</v>
      </c>
      <c r="K724" s="11" t="str">
        <f>IFERROR(IF(VLOOKUP(A724,[6]PRIORIZADOS!$A:$K,11,FALSE)="","",VLOOKUP(A724,[6]PRIORIZADOS!$A:$K,11,FALSE)),"")</f>
        <v>FREDDY CLAROS PEÑA</v>
      </c>
      <c r="L724" s="11" t="str">
        <f>IFERROR(IF(VLOOKUP(A724,[6]PRIORIZADOS!$A:$L,12,FALSE)="","",VLOOKUP(A724,[6]PRIORIZADOS!$A:$L,12,FALSE)),"")</f>
        <v>JAIME HUMBERTO RAMÍREZ LLANOS</v>
      </c>
      <c r="M724" s="71">
        <f>IFERROR(IF(VLOOKUP(A724,[6]PRIORIZADOS!$A:$M,13,FALSE)="","",VLOOKUP(A724,[6]PRIORIZADOS!$A:$M,13,FALSE)),"")</f>
        <v>45869</v>
      </c>
      <c r="N724" s="139">
        <f>IFERROR(IF(VLOOKUP(A724,[6]PRIORIZADOS!$A:$N,14,FALSE)="","",VLOOKUP(A724,[6]PRIORIZADOS!$A:$N,14,FALSE)),"")</f>
        <v>45881</v>
      </c>
      <c r="O724" s="139">
        <f>IFERROR(IF(VLOOKUP(A724,[6]PRIORIZADOS!$A:$O,15,FALSE)="","",VLOOKUP(A724,[6]PRIORIZADOS!$A:$O,15,FALSE)),"")</f>
        <v>45881</v>
      </c>
      <c r="P724" s="11" t="str">
        <f>IFERROR(IF(VLOOKUP(A724,[6]PRIORIZADOS!$A:$P,16,FALSE)="","",VLOOKUP(A724,[6]PRIORIZADOS!$A:$P,16,FALSE)),"")</f>
        <v>Visitas de evaluación con fines de seguimiento</v>
      </c>
      <c r="Q724" s="2" t="s">
        <v>139</v>
      </c>
      <c r="R724" s="11" t="str">
        <f>IFERROR(IF(VLOOKUP(A724,[6]PRIORIZADOS!$A:$R,18,FALSE)="","",VLOOKUP(A724,[6]PRIORIZADOS!$A:$R,18,FALSE)),"")</f>
        <v xml:space="preserve">Se verificó que la información registrada en el aplicativo EVI, enocntrandose con 14 aulas de clase, con un aula de sistemas con 40 computadores cn conexión a internet, un aula de danzas, un laboratorio
integrado para física y quimica, una ludoteca y 18 unidades sanitarias compeltas </v>
      </c>
      <c r="S724" s="11" t="str">
        <f>IFERROR(IF(VLOOKUP(A724,[6]PRIORIZADOS!$A:$S,19,FALSE)="","",VLOOKUP(A724,[6]PRIORIZADOS!$A:$S,19,FALSE)),"")</f>
        <v>Realizar la autoevaluación para la presente vigencia conforme los recursos e indicadores con los que cuente.</v>
      </c>
      <c r="T724" s="70" t="str">
        <f>IFERROR(IF(VLOOKUP(A724,[6]PRIORIZADOS!$A:$T,20,FALSE)="","",VLOOKUP(A724,[6]PRIORIZADOS!$A:$T,20,FALSE)),"")</f>
        <v>No</v>
      </c>
      <c r="U724" s="11" t="str">
        <f>IFERROR(IF(VLOOKUP(A724,[6]PRIORIZADOS!$A:$U,21,FALSE)="","",VLOOKUP(A724,[6]PRIORIZADOS!$A:$U,21,FALSE)),"")</f>
        <v>Se verificacrá en una actuación en otra vigencia o si se genera petición o queja ciudadana.</v>
      </c>
    </row>
    <row r="725" spans="1:21" s="1" customFormat="1" ht="84">
      <c r="A725" s="69">
        <f>IF([6]PRIORIZADOS!A91="","",[6]PRIORIZADOS!A91)</f>
        <v>663</v>
      </c>
      <c r="B725" s="70">
        <f>IFERROR(IF(VLOOKUP(A725,[6]PRIORIZADOS!$A:$B,2,FALSE)="","",VLOOKUP(A725,[6]PRIORIZADOS!$A:$B,2,FALSE)),"")</f>
        <v>10</v>
      </c>
      <c r="C725" s="11" t="str">
        <f>IFERROR(IF(VLOOKUP(A725,[6]PRIORIZADOS!$A:$C,3,FALSE)="","",VLOOKUP(A725,[6]PRIORIZADOS!$A:$C,3,FALSE)),"")</f>
        <v>ENGATIVÁ</v>
      </c>
      <c r="D725" s="11" t="str">
        <f>IFERROR(IF(VLOOKUP(A725,[6]PRIORIZADOS!$A:$D,4,FALSE)="","",VLOOKUP(A725,[6]PRIORIZADOS!$A:$D,4,FALSE)),"")</f>
        <v>PRIVADO</v>
      </c>
      <c r="E725" s="11" t="str">
        <f>IFERROR(IF(VLOOKUP(A725,[6]PRIORIZADOS!$A:$E,5,FALSE)="","",VLOOKUP(A725,[6]PRIORIZADOS!$A:$E,5,FALSE)),"")</f>
        <v>EPBM</v>
      </c>
      <c r="F725" s="11" t="str">
        <f>IFERROR(IF(VLOOKUP(A725,[6]PRIORIZADOS!$A:$F,6,FALSE)="","",VLOOKUP(A725,[6]PRIORIZADOS!$A:$F,6,FALSE)),"")</f>
        <v>COLEGIO_LUIS_MARIANO</v>
      </c>
      <c r="G725" s="11" t="str">
        <f>IFERROR(IF(VLOOKUP(A725,[6]PRIORIZADOS!$A:$G,7,FALSE)="","",VLOOKUP(A725,[6]PRIORIZADOS!$A:$G,7,FALSE)),"")</f>
        <v>COLEGIO_LUIS_MARIANO</v>
      </c>
      <c r="H725" s="11" t="str">
        <f>IFERROR(IF(VLOOKUP(A725,[6]PRIORIZADOS!$A:$H,8,FALSE)="","",VLOOKUP(A725,[6]PRIORIZADOS!$A:$H,8,FALSE)),"")</f>
        <v>Autoevaluación Institucional y Pruebas SABER 11</v>
      </c>
      <c r="I725" s="11" t="str">
        <f>IFERROR(IF(VLOOKUP(A725,[6]PRIORIZADOS!$A:$I,9,FALSE)="","",VLOOKUP(A725,[6]PRIORIZADOS!$A:$I,9,FALSE)),"")</f>
        <v>SEGUIMIENTO_Y_SUPERVISIÓN.</v>
      </c>
      <c r="J725" s="11" t="str">
        <f>IFERROR(IF(VLOOKUP(A725,[6]PRIORIZADOS!$A:$J,10,FALSE)="","",VLOOKUP(A725,[6]PRIORIZADOS!$A:$J,10,FALSE)),"")</f>
        <v>Proponer estrategias en la formulación, verificar su elaboración y realizar seguimiento semestral al desarrollo de  las acciones establecidas en los planes de mejoramiento por pruebas SABER 11 de los establecimientos de educación formal.</v>
      </c>
      <c r="K725" s="11" t="str">
        <f>IFERROR(IF(VLOOKUP(A725,[6]PRIORIZADOS!$A:$K,11,FALSE)="","",VLOOKUP(A725,[6]PRIORIZADOS!$A:$K,11,FALSE)),"")</f>
        <v>FREDDY CLAROS PEÑA</v>
      </c>
      <c r="L725" s="11" t="str">
        <f>IFERROR(IF(VLOOKUP(A725,[6]PRIORIZADOS!$A:$L,12,FALSE)="","",VLOOKUP(A725,[6]PRIORIZADOS!$A:$L,12,FALSE)),"")</f>
        <v>JAIME HUMBERTO RAMÍREZ LLANOS</v>
      </c>
      <c r="M725" s="71">
        <f>IFERROR(IF(VLOOKUP(A725,[6]PRIORIZADOS!$A:$M,13,FALSE)="","",VLOOKUP(A725,[6]PRIORIZADOS!$A:$M,13,FALSE)),"")</f>
        <v>45869</v>
      </c>
      <c r="N725" s="139">
        <f>IFERROR(IF(VLOOKUP(A725,[6]PRIORIZADOS!$A:$N,14,FALSE)="","",VLOOKUP(A725,[6]PRIORIZADOS!$A:$N,14,FALSE)),"")</f>
        <v>45881</v>
      </c>
      <c r="O725" s="139">
        <f>IFERROR(IF(VLOOKUP(A725,[6]PRIORIZADOS!$A:$O,15,FALSE)="","",VLOOKUP(A725,[6]PRIORIZADOS!$A:$O,15,FALSE)),"")</f>
        <v>45881</v>
      </c>
      <c r="P725" s="11" t="str">
        <f>IFERROR(IF(VLOOKUP(A725,[6]PRIORIZADOS!$A:$P,16,FALSE)="","",VLOOKUP(A725,[6]PRIORIZADOS!$A:$P,16,FALSE)),"")</f>
        <v>Visitas de evaluación con fines de seguimiento</v>
      </c>
      <c r="Q725" s="2" t="s">
        <v>139</v>
      </c>
      <c r="R725" s="11" t="str">
        <f>IFERROR(IF(VLOOKUP(A725,[6]PRIORIZADOS!$A:$R,18,FALSE)="","",VLOOKUP(A725,[6]PRIORIZADOS!$A:$R,18,FALSE)),"")</f>
        <v>El establecimiento educativo realiza análisis de las pruebas saber 11 creando estrategias de mejoramiento, se realizan trabajos de refuerzo extracurriclar, de igual manera, el Grupo Integral Saber realiza simulacros y los comparte con los docentes</v>
      </c>
      <c r="S725" s="11" t="str">
        <f>IFERROR(IF(VLOOKUP(A725,[6]PRIORIZADOS!$A:$S,19,FALSE)="","",VLOOKUP(A725,[6]PRIORIZADOS!$A:$S,19,FALSE)),"")</f>
        <v>Se debe aportar las evidencias de dichas estrategias formuladas</v>
      </c>
      <c r="T725" s="70" t="str">
        <f>IFERROR(IF(VLOOKUP(A725,[6]PRIORIZADOS!$A:$T,20,FALSE)="","",VLOOKUP(A725,[6]PRIORIZADOS!$A:$T,20,FALSE)),"")</f>
        <v>Si</v>
      </c>
      <c r="U725" s="11" t="str">
        <f>IFERROR(IF(VLOOKUP(A725,[6]PRIORIZADOS!$A:$U,21,FALSE)="","",VLOOKUP(A725,[6]PRIORIZADOS!$A:$U,21,FALSE)),"")</f>
        <v>Revisión de los soportes que se deben presentar, dentro de los tiempos estipulados en el acta (10 dias siguientes a la visita)</v>
      </c>
    </row>
    <row r="726" spans="1:21" s="1" customFormat="1" ht="48">
      <c r="A726" s="69">
        <f>IF([6]PRIORIZADOS!A92="","",[6]PRIORIZADOS!A92)</f>
        <v>664</v>
      </c>
      <c r="B726" s="70">
        <f>IFERROR(IF(VLOOKUP(A726,[6]PRIORIZADOS!$A:$B,2,FALSE)="","",VLOOKUP(A726,[6]PRIORIZADOS!$A:$B,2,FALSE)),"")</f>
        <v>10</v>
      </c>
      <c r="C726" s="11" t="str">
        <f>IFERROR(IF(VLOOKUP(A726,[6]PRIORIZADOS!$A:$C,3,FALSE)="","",VLOOKUP(A726,[6]PRIORIZADOS!$A:$C,3,FALSE)),"")</f>
        <v>ENGATIVÁ</v>
      </c>
      <c r="D726" s="11" t="str">
        <f>IFERROR(IF(VLOOKUP(A726,[6]PRIORIZADOS!$A:$D,4,FALSE)="","",VLOOKUP(A726,[6]PRIORIZADOS!$A:$D,4,FALSE)),"")</f>
        <v>PRIVADO</v>
      </c>
      <c r="E726" s="11" t="str">
        <f>IFERROR(IF(VLOOKUP(A726,[6]PRIORIZADOS!$A:$E,5,FALSE)="","",VLOOKUP(A726,[6]PRIORIZADOS!$A:$E,5,FALSE)),"")</f>
        <v>EPBM</v>
      </c>
      <c r="F726" s="11" t="str">
        <f>IFERROR(IF(VLOOKUP(A726,[6]PRIORIZADOS!$A:$F,6,FALSE)="","",VLOOKUP(A726,[6]PRIORIZADOS!$A:$F,6,FALSE)),"")</f>
        <v>COLEGIO_LUIS_MARIANO</v>
      </c>
      <c r="G726" s="11" t="str">
        <f>IFERROR(IF(VLOOKUP(A726,[6]PRIORIZADOS!$A:$G,7,FALSE)="","",VLOOKUP(A726,[6]PRIORIZADOS!$A:$G,7,FALSE)),"")</f>
        <v>COLEGIO_LUIS_MARIANO</v>
      </c>
      <c r="H726" s="11" t="str">
        <f>IFERROR(IF(VLOOKUP(A726,[6]PRIORIZADOS!$A:$H,8,FALSE)="","",VLOOKUP(A726,[6]PRIORIZADOS!$A:$H,8,FALSE)),"")</f>
        <v>Autoevaluación Institucional y Pruebas SABER 11</v>
      </c>
      <c r="I726" s="11" t="str">
        <f>IFERROR(IF(VLOOKUP(A726,[6]PRIORIZADOS!$A:$I,9,FALSE)="","",VLOOKUP(A726,[6]PRIORIZADOS!$A:$I,9,FALSE)),"")</f>
        <v>SEGUIMIENTO_Y_SUPERVISIÓN.</v>
      </c>
      <c r="J726" s="11" t="str">
        <f>IFERROR(IF(VLOOKUP(A726,[6]PRIORIZADOS!$A:$J,10,FALSE)="","",VLOOKUP(A726,[6]PRIORIZADOS!$A:$J,10,FALSE)),"")</f>
        <v xml:space="preserve">Verificar la implementación por parte de los colegios, de acciones realizadas para la prevención y atención de las situaciones de convivencia en el entorno escolar, según lo establecido en la Directiva 01 de 2022 del MEN. </v>
      </c>
      <c r="K726" s="11" t="str">
        <f>IFERROR(IF(VLOOKUP(A726,[6]PRIORIZADOS!$A:$K,11,FALSE)="","",VLOOKUP(A726,[6]PRIORIZADOS!$A:$K,11,FALSE)),"")</f>
        <v>FREDDY CLAROS PEÑA</v>
      </c>
      <c r="L726" s="11" t="str">
        <f>IFERROR(IF(VLOOKUP(A726,[6]PRIORIZADOS!$A:$L,12,FALSE)="","",VLOOKUP(A726,[6]PRIORIZADOS!$A:$L,12,FALSE)),"")</f>
        <v>JAIME HUMBERTO RAMÍREZ LLANOS</v>
      </c>
      <c r="M726" s="71">
        <f>IFERROR(IF(VLOOKUP(A726,[6]PRIORIZADOS!$A:$M,13,FALSE)="","",VLOOKUP(A726,[6]PRIORIZADOS!$A:$M,13,FALSE)),"")</f>
        <v>45869</v>
      </c>
      <c r="N726" s="139">
        <f>IFERROR(IF(VLOOKUP(A726,[6]PRIORIZADOS!$A:$N,14,FALSE)="","",VLOOKUP(A726,[6]PRIORIZADOS!$A:$N,14,FALSE)),"")</f>
        <v>45881</v>
      </c>
      <c r="O726" s="139">
        <f>IFERROR(IF(VLOOKUP(A726,[6]PRIORIZADOS!$A:$O,15,FALSE)="","",VLOOKUP(A726,[6]PRIORIZADOS!$A:$O,15,FALSE)),"")</f>
        <v>45881</v>
      </c>
      <c r="P726" s="11" t="str">
        <f>IFERROR(IF(VLOOKUP(A726,[6]PRIORIZADOS!$A:$P,16,FALSE)="","",VLOOKUP(A726,[6]PRIORIZADOS!$A:$P,16,FALSE)),"")</f>
        <v>Visitas de evaluación con fines de seguimiento</v>
      </c>
      <c r="Q726" s="2" t="s">
        <v>139</v>
      </c>
      <c r="R726" s="11" t="str">
        <f>IFERROR(IF(VLOOKUP(A726,[6]PRIORIZADOS!$A:$R,18,FALSE)="","",VLOOKUP(A726,[6]PRIORIZADOS!$A:$R,18,FALSE)),"")</f>
        <v>El E.E. realiza verificación de inhabilidad  a los docentes y personal admnistrativo se guarda soporte en carpeta institucional de cada docente</v>
      </c>
      <c r="S726" s="11" t="str">
        <f>IFERROR(IF(VLOOKUP(A726,[6]PRIORIZADOS!$A:$S,19,FALSE)="","",VLOOKUP(A726,[6]PRIORIZADOS!$A:$S,19,FALSE)),"")</f>
        <v xml:space="preserve">Se sugiere continuar realizando la verificación cada 4 meses, tiempo estipulado por Directiva </v>
      </c>
      <c r="T726" s="70" t="str">
        <f>IFERROR(IF(VLOOKUP(A726,[6]PRIORIZADOS!$A:$T,20,FALSE)="","",VLOOKUP(A726,[6]PRIORIZADOS!$A:$T,20,FALSE)),"")</f>
        <v>No</v>
      </c>
      <c r="U726" s="11" t="str">
        <f>IFERROR(IF(VLOOKUP(A726,[6]PRIORIZADOS!$A:$U,21,FALSE)="","",VLOOKUP(A726,[6]PRIORIZADOS!$A:$U,21,FALSE)),"")</f>
        <v>Se verificacrá en una actuación en otra vigencia o si se genera petición o queja ciudadana.</v>
      </c>
    </row>
    <row r="727" spans="1:21" s="1" customFormat="1" ht="72">
      <c r="A727" s="69">
        <f>IF([6]PRIORIZADOS!A93="","",[6]PRIORIZADOS!A93)</f>
        <v>665</v>
      </c>
      <c r="B727" s="70">
        <f>IFERROR(IF(VLOOKUP(A727,[6]PRIORIZADOS!$A:$B,2,FALSE)="","",VLOOKUP(A727,[6]PRIORIZADOS!$A:$B,2,FALSE)),"")</f>
        <v>10</v>
      </c>
      <c r="C727" s="11" t="str">
        <f>IFERROR(IF(VLOOKUP(A727,[6]PRIORIZADOS!$A:$C,3,FALSE)="","",VLOOKUP(A727,[6]PRIORIZADOS!$A:$C,3,FALSE)),"")</f>
        <v>ENGATIVÁ</v>
      </c>
      <c r="D727" s="11" t="str">
        <f>IFERROR(IF(VLOOKUP(A727,[6]PRIORIZADOS!$A:$D,4,FALSE)="","",VLOOKUP(A727,[6]PRIORIZADOS!$A:$D,4,FALSE)),"")</f>
        <v>PRIVADO</v>
      </c>
      <c r="E727" s="11" t="str">
        <f>IFERROR(IF(VLOOKUP(A727,[6]PRIORIZADOS!$A:$E,5,FALSE)="","",VLOOKUP(A727,[6]PRIORIZADOS!$A:$E,5,FALSE)),"")</f>
        <v>EPBM</v>
      </c>
      <c r="F727" s="11" t="str">
        <f>IFERROR(IF(VLOOKUP(A727,[6]PRIORIZADOS!$A:$F,6,FALSE)="","",VLOOKUP(A727,[6]PRIORIZADOS!$A:$F,6,FALSE)),"")</f>
        <v>COLEGIO_LUIS_MARIANO</v>
      </c>
      <c r="G727" s="11" t="str">
        <f>IFERROR(IF(VLOOKUP(A727,[6]PRIORIZADOS!$A:$G,7,FALSE)="","",VLOOKUP(A727,[6]PRIORIZADOS!$A:$G,7,FALSE)),"")</f>
        <v>COLEGIO_LUIS_MARIANO</v>
      </c>
      <c r="H727" s="11" t="str">
        <f>IFERROR(IF(VLOOKUP(A727,[6]PRIORIZADOS!$A:$H,8,FALSE)="","",VLOOKUP(A727,[6]PRIORIZADOS!$A:$H,8,FALSE)),"")</f>
        <v>Autoevaluación Institucional y Pruebas SABER 11</v>
      </c>
      <c r="I727" s="11" t="str">
        <f>IFERROR(IF(VLOOKUP(A727,[6]PRIORIZADOS!$A:$I,9,FALSE)="","",VLOOKUP(A727,[6]PRIORIZADOS!$A:$I,9,FALSE)),"")</f>
        <v>SEGUIMIENTO_Y_SUPERVISIÓN.</v>
      </c>
      <c r="J727" s="11" t="str">
        <f>IFERROR(IF(VLOOKUP(A727,[6]PRIORIZADOS!$A:$J,10,FALSE)="","",VLOOKUP(A727,[6]PRIORIZADOS!$A:$J,10,FALSE)),"")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27" s="11" t="str">
        <f>IFERROR(IF(VLOOKUP(A727,[6]PRIORIZADOS!$A:$K,11,FALSE)="","",VLOOKUP(A727,[6]PRIORIZADOS!$A:$K,11,FALSE)),"")</f>
        <v>FREDDY CLAROS PEÑA</v>
      </c>
      <c r="L727" s="11" t="str">
        <f>IFERROR(IF(VLOOKUP(A727,[6]PRIORIZADOS!$A:$L,12,FALSE)="","",VLOOKUP(A727,[6]PRIORIZADOS!$A:$L,12,FALSE)),"")</f>
        <v>JAIME HUMBERTO RAMÍREZ LLANOS</v>
      </c>
      <c r="M727" s="71">
        <f>IFERROR(IF(VLOOKUP(A727,[6]PRIORIZADOS!$A:$M,13,FALSE)="","",VLOOKUP(A727,[6]PRIORIZADOS!$A:$M,13,FALSE)),"")</f>
        <v>45869</v>
      </c>
      <c r="N727" s="139">
        <f>IFERROR(IF(VLOOKUP(A727,[6]PRIORIZADOS!$A:$N,14,FALSE)="","",VLOOKUP(A727,[6]PRIORIZADOS!$A:$N,14,FALSE)),"")</f>
        <v>45881</v>
      </c>
      <c r="O727" s="139">
        <f>IFERROR(IF(VLOOKUP(A727,[6]PRIORIZADOS!$A:$O,15,FALSE)="","",VLOOKUP(A727,[6]PRIORIZADOS!$A:$O,15,FALSE)),"")</f>
        <v>45881</v>
      </c>
      <c r="P727" s="11" t="str">
        <f>IFERROR(IF(VLOOKUP(A727,[6]PRIORIZADOS!$A:$P,16,FALSE)="","",VLOOKUP(A727,[6]PRIORIZADOS!$A:$P,16,FALSE)),"")</f>
        <v>Visitas de evaluación con fines de seguimiento</v>
      </c>
      <c r="Q727" s="2" t="s">
        <v>139</v>
      </c>
      <c r="R727" s="11" t="str">
        <f>IFERROR(IF(VLOOKUP(A727,[6]PRIORIZADOS!$A:$R,18,FALSE)="","",VLOOKUP(A727,[6]PRIORIZADOS!$A:$R,18,FALSE)),"")</f>
        <v xml:space="preserve">Se evidencia en carpetas físicas el formato PIAR para 4 estudiantes que se encuentran diagnosticados. Sin embargo, el colegio ha realizado PIAR para 10 estudiantes </v>
      </c>
      <c r="S727" s="11" t="str">
        <f>IFERROR(IF(VLOOKUP(A727,[6]PRIORIZADOS!$A:$S,19,FALSE)="","",VLOOKUP(A727,[6]PRIORIZADOS!$A:$S,19,FALSE)),"")</f>
        <v>Los PIAR fueron socializados con los padres de familia, sin embargo no se encuentra la firma, por ende se debe aportar soporte de la socialización</v>
      </c>
      <c r="T727" s="70" t="str">
        <f>IFERROR(IF(VLOOKUP(A727,[6]PRIORIZADOS!$A:$T,20,FALSE)="","",VLOOKUP(A727,[6]PRIORIZADOS!$A:$T,20,FALSE)),"")</f>
        <v>Si</v>
      </c>
      <c r="U727" s="11" t="str">
        <f>IFERROR(IF(VLOOKUP(A727,[6]PRIORIZADOS!$A:$U,21,FALSE)="","",VLOOKUP(A727,[6]PRIORIZADOS!$A:$U,21,FALSE)),"")</f>
        <v>se debe aportar los PIAR con la firma de los padres de familia, dando cuenta de su socialización.</v>
      </c>
    </row>
    <row r="728" spans="1:21" s="1" customFormat="1" ht="84">
      <c r="A728" s="69">
        <f>IF([6]PRIORIZADOS!A94="","",[6]PRIORIZADOS!A94)</f>
        <v>666</v>
      </c>
      <c r="B728" s="70">
        <f>IFERROR(IF(VLOOKUP(A728,[6]PRIORIZADOS!$A:$B,2,FALSE)="","",VLOOKUP(A728,[6]PRIORIZADOS!$A:$B,2,FALSE)),"")</f>
        <v>10</v>
      </c>
      <c r="C728" s="11" t="str">
        <f>IFERROR(IF(VLOOKUP(A728,[6]PRIORIZADOS!$A:$C,3,FALSE)="","",VLOOKUP(A728,[6]PRIORIZADOS!$A:$C,3,FALSE)),"")</f>
        <v>ENGATIVÁ</v>
      </c>
      <c r="D728" s="11" t="str">
        <f>IFERROR(IF(VLOOKUP(A728,[6]PRIORIZADOS!$A:$D,4,FALSE)="","",VLOOKUP(A728,[6]PRIORIZADOS!$A:$D,4,FALSE)),"")</f>
        <v>PRIVADO</v>
      </c>
      <c r="E728" s="11" t="str">
        <f>IFERROR(IF(VLOOKUP(A728,[6]PRIORIZADOS!$A:$E,5,FALSE)="","",VLOOKUP(A728,[6]PRIORIZADOS!$A:$E,5,FALSE)),"")</f>
        <v>EPBM</v>
      </c>
      <c r="F728" s="11" t="str">
        <f>IFERROR(IF(VLOOKUP(A728,[6]PRIORIZADOS!$A:$F,6,FALSE)="","",VLOOKUP(A728,[6]PRIORIZADOS!$A:$F,6,FALSE)),"")</f>
        <v>COLEGIO_LUIS_MARIANO</v>
      </c>
      <c r="G728" s="11" t="str">
        <f>IFERROR(IF(VLOOKUP(A728,[6]PRIORIZADOS!$A:$G,7,FALSE)="","",VLOOKUP(A728,[6]PRIORIZADOS!$A:$G,7,FALSE)),"")</f>
        <v>COLEGIO_LUIS_MARIANO</v>
      </c>
      <c r="H728" s="11" t="str">
        <f>IFERROR(IF(VLOOKUP(A728,[6]PRIORIZADOS!$A:$H,8,FALSE)="","",VLOOKUP(A728,[6]PRIORIZADOS!$A:$H,8,FALSE)),"")</f>
        <v>Autoevaluación Institucional y Pruebas SABER 11</v>
      </c>
      <c r="I728" s="11" t="str">
        <f>IFERROR(IF(VLOOKUP(A728,[6]PRIORIZADOS!$A:$I,9,FALSE)="","",VLOOKUP(A728,[6]PRIORIZADOS!$A:$I,9,FALSE)),"")</f>
        <v>EVALUACIÓN_CON_FINES_DE_MEJORAMIENTO.</v>
      </c>
      <c r="J728" s="11" t="str">
        <f>IFERROR(IF(VLOOKUP(A728,[6]PRIORIZADOS!$A:$J,10,FALSE)="","",VLOOKUP(A728,[6]PRIORIZADOS!$A:$J,10,FALSE)),"")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28" s="11" t="str">
        <f>IFERROR(IF(VLOOKUP(A728,[6]PRIORIZADOS!$A:$K,11,FALSE)="","",VLOOKUP(A728,[6]PRIORIZADOS!$A:$K,11,FALSE)),"")</f>
        <v>FREDDY CLAROS PEÑA</v>
      </c>
      <c r="L728" s="11" t="str">
        <f>IFERROR(IF(VLOOKUP(A728,[6]PRIORIZADOS!$A:$L,12,FALSE)="","",VLOOKUP(A728,[6]PRIORIZADOS!$A:$L,12,FALSE)),"")</f>
        <v>JAIME HUMBERTO RAMÍREZ LLANOS</v>
      </c>
      <c r="M728" s="71">
        <f>IFERROR(IF(VLOOKUP(A728,[6]PRIORIZADOS!$A:$M,13,FALSE)="","",VLOOKUP(A728,[6]PRIORIZADOS!$A:$M,13,FALSE)),"")</f>
        <v>45869</v>
      </c>
      <c r="N728" s="139">
        <f>IFERROR(IF(VLOOKUP(A728,[6]PRIORIZADOS!$A:$N,14,FALSE)="","",VLOOKUP(A728,[6]PRIORIZADOS!$A:$N,14,FALSE)),"")</f>
        <v>45999</v>
      </c>
      <c r="O728" s="139">
        <f>IFERROR(IF(VLOOKUP(A728,[6]PRIORIZADOS!$A:$O,15,FALSE)="","",VLOOKUP(A728,[6]PRIORIZADOS!$A:$O,15,FALSE)),"")</f>
        <v>45881</v>
      </c>
      <c r="P728" s="11" t="str">
        <f>IFERROR(IF(VLOOKUP(A728,[6]PRIORIZADOS!$A:$P,16,FALSE)="","",VLOOKUP(A728,[6]PRIORIZADOS!$A:$P,16,FALSE)),"")</f>
        <v>Visitas de evaluación con fines de seguimiento</v>
      </c>
      <c r="Q728" s="2" t="s">
        <v>139</v>
      </c>
      <c r="R728" s="11" t="str">
        <f>IFERROR(IF(VLOOKUP(A728,[6]PRIORIZADOS!$A:$R,18,FALSE)="","",VLOOKUP(A728,[6]PRIORIZADOS!$A:$R,18,FALSE)),"")</f>
        <v xml:space="preserve">Se evidencia participación de la comunidad educativa en la actualización y socialización </v>
      </c>
      <c r="S728" s="11" t="str">
        <f>IFERROR(IF(VLOOKUP(A728,[6]PRIORIZADOS!$A:$S,19,FALSE)="","",VLOOKUP(A728,[6]PRIORIZADOS!$A:$S,19,FALSE)),"")</f>
        <v>Se debe continuar con la actualización y socialización partivcipativa</v>
      </c>
      <c r="T728" s="70" t="str">
        <f>IFERROR(IF(VLOOKUP(A728,[6]PRIORIZADOS!$A:$T,20,FALSE)="","",VLOOKUP(A728,[6]PRIORIZADOS!$A:$T,20,FALSE)),"")</f>
        <v>No</v>
      </c>
      <c r="U728" s="11" t="str">
        <f>IFERROR(IF(VLOOKUP(A728,[6]PRIORIZADOS!$A:$U,21,FALSE)="","",VLOOKUP(A728,[6]PRIORIZADOS!$A:$U,21,FALSE)),"")</f>
        <v>Se verificacrá en una actuación en otra vigencia o si se genera petición o queja ciudadana.</v>
      </c>
    </row>
    <row r="729" spans="1:21" s="1" customFormat="1" ht="48">
      <c r="A729" s="69">
        <f>IF([6]PRIORIZADOS!A95="","",[6]PRIORIZADOS!A95)</f>
        <v>667</v>
      </c>
      <c r="B729" s="70">
        <f>IFERROR(IF(VLOOKUP(A729,[6]PRIORIZADOS!$A:$B,2,FALSE)="","",VLOOKUP(A729,[6]PRIORIZADOS!$A:$B,2,FALSE)),"")</f>
        <v>10</v>
      </c>
      <c r="C729" s="11" t="str">
        <f>IFERROR(IF(VLOOKUP(A729,[6]PRIORIZADOS!$A:$C,3,FALSE)="","",VLOOKUP(A729,[6]PRIORIZADOS!$A:$C,3,FALSE)),"")</f>
        <v>ENGATIVÁ</v>
      </c>
      <c r="D729" s="11" t="str">
        <f>IFERROR(IF(VLOOKUP(A729,[6]PRIORIZADOS!$A:$D,4,FALSE)="","",VLOOKUP(A729,[6]PRIORIZADOS!$A:$D,4,FALSE)),"")</f>
        <v>PRIVADO</v>
      </c>
      <c r="E729" s="11" t="str">
        <f>IFERROR(IF(VLOOKUP(A729,[6]PRIORIZADOS!$A:$E,5,FALSE)="","",VLOOKUP(A729,[6]PRIORIZADOS!$A:$E,5,FALSE)),"")</f>
        <v>EPBM</v>
      </c>
      <c r="F729" s="11" t="str">
        <f>IFERROR(IF(VLOOKUP(A729,[6]PRIORIZADOS!$A:$F,6,FALSE)="","",VLOOKUP(A729,[6]PRIORIZADOS!$A:$F,6,FALSE)),"")</f>
        <v>COLEGIO_LUIS_MARIANO</v>
      </c>
      <c r="G729" s="11" t="str">
        <f>IFERROR(IF(VLOOKUP(A729,[6]PRIORIZADOS!$A:$G,7,FALSE)="","",VLOOKUP(A729,[6]PRIORIZADOS!$A:$G,7,FALSE)),"")</f>
        <v>COLEGIO_LUIS_MARIANO</v>
      </c>
      <c r="H729" s="11" t="str">
        <f>IFERROR(IF(VLOOKUP(A729,[6]PRIORIZADOS!$A:$H,8,FALSE)="","",VLOOKUP(A729,[6]PRIORIZADOS!$A:$H,8,FALSE)),"")</f>
        <v>Autoevaluación Institucional y Pruebas SABER 11</v>
      </c>
      <c r="I729" s="11" t="str">
        <f>IFERROR(IF(VLOOKUP(A729,[6]PRIORIZADOS!$A:$I,9,FALSE)="","",VLOOKUP(A729,[6]PRIORIZADOS!$A:$I,9,FALSE)),"")</f>
        <v>EVALUACIÓN_CON_FINES_DE_MEJORAMIENTO.</v>
      </c>
      <c r="J729" s="11" t="str">
        <f>IFERROR(IF(VLOOKUP(A729,[6]PRIORIZADOS!$A:$J,10,FALSE)="","",VLOOKUP(A729,[6]PRIORIZADOS!$A:$J,10,FALSE)),"")</f>
        <v>Revisar la actualización, socialización e implementación del Sistema Institucional de Evaluación de Estudiantes - SIEE, en articulación con la actualización del PEI y la normatividad vigente.</v>
      </c>
      <c r="K729" s="11" t="str">
        <f>IFERROR(IF(VLOOKUP(A729,[6]PRIORIZADOS!$A:$K,11,FALSE)="","",VLOOKUP(A729,[6]PRIORIZADOS!$A:$K,11,FALSE)),"")</f>
        <v>FREDDY CLAROS PEÑA</v>
      </c>
      <c r="L729" s="11" t="str">
        <f>IFERROR(IF(VLOOKUP(A729,[6]PRIORIZADOS!$A:$L,12,FALSE)="","",VLOOKUP(A729,[6]PRIORIZADOS!$A:$L,12,FALSE)),"")</f>
        <v>JAIME HUMBERTO RAMÍREZ LLANOS</v>
      </c>
      <c r="M729" s="71">
        <f>IFERROR(IF(VLOOKUP(A729,[6]PRIORIZADOS!$A:$M,13,FALSE)="","",VLOOKUP(A729,[6]PRIORIZADOS!$A:$M,13,FALSE)),"")</f>
        <v>45869</v>
      </c>
      <c r="N729" s="139">
        <f>IFERROR(IF(VLOOKUP(A729,[6]PRIORIZADOS!$A:$N,14,FALSE)="","",VLOOKUP(A729,[6]PRIORIZADOS!$A:$N,14,FALSE)),"")</f>
        <v>45999</v>
      </c>
      <c r="O729" s="139">
        <f>IFERROR(IF(VLOOKUP(A729,[6]PRIORIZADOS!$A:$O,15,FALSE)="","",VLOOKUP(A729,[6]PRIORIZADOS!$A:$O,15,FALSE)),"")</f>
        <v>45881</v>
      </c>
      <c r="P729" s="11" t="str">
        <f>IFERROR(IF(VLOOKUP(A729,[6]PRIORIZADOS!$A:$P,16,FALSE)="","",VLOOKUP(A729,[6]PRIORIZADOS!$A:$P,16,FALSE)),"")</f>
        <v>Visitas de evaluación con fines de seguimiento</v>
      </c>
      <c r="Q729" s="2" t="s">
        <v>139</v>
      </c>
      <c r="R729" s="11" t="str">
        <f>IFERROR(IF(VLOOKUP(A729,[6]PRIORIZADOS!$A:$R,18,FALSE)="","",VLOOKUP(A729,[6]PRIORIZADOS!$A:$R,18,FALSE)),"")</f>
        <v xml:space="preserve">Se evidencia participación de la comunidad educativa en la actualización y socialización </v>
      </c>
      <c r="S729" s="11" t="str">
        <f>IFERROR(IF(VLOOKUP(A729,[6]PRIORIZADOS!$A:$S,19,FALSE)="","",VLOOKUP(A729,[6]PRIORIZADOS!$A:$S,19,FALSE)),"")</f>
        <v>El colegio se compromete a  continuar con la actualización y socialización partivcipativa</v>
      </c>
      <c r="T729" s="70" t="str">
        <f>IFERROR(IF(VLOOKUP(A729,[6]PRIORIZADOS!$A:$T,20,FALSE)="","",VLOOKUP(A729,[6]PRIORIZADOS!$A:$T,20,FALSE)),"")</f>
        <v>No</v>
      </c>
      <c r="U729" s="11" t="str">
        <f>IFERROR(IF(VLOOKUP(A729,[6]PRIORIZADOS!$A:$U,21,FALSE)="","",VLOOKUP(A729,[6]PRIORIZADOS!$A:$U,21,FALSE)),"")</f>
        <v>Se verificacrá en una actuación en otra vigencia o si se genera petición o queja ciudadana.</v>
      </c>
    </row>
    <row r="730" spans="1:21" s="1" customFormat="1" ht="48">
      <c r="A730" s="69">
        <f>IF([6]PRIORIZADOS!A96="","",[6]PRIORIZADOS!A96)</f>
        <v>668</v>
      </c>
      <c r="B730" s="70">
        <f>IFERROR(IF(VLOOKUP(A730,[6]PRIORIZADOS!$A:$B,2,FALSE)="","",VLOOKUP(A730,[6]PRIORIZADOS!$A:$B,2,FALSE)),"")</f>
        <v>10</v>
      </c>
      <c r="C730" s="11" t="str">
        <f>IFERROR(IF(VLOOKUP(A730,[6]PRIORIZADOS!$A:$C,3,FALSE)="","",VLOOKUP(A730,[6]PRIORIZADOS!$A:$C,3,FALSE)),"")</f>
        <v>ENGATIVÁ</v>
      </c>
      <c r="D730" s="11" t="str">
        <f>IFERROR(IF(VLOOKUP(A730,[6]PRIORIZADOS!$A:$D,4,FALSE)="","",VLOOKUP(A730,[6]PRIORIZADOS!$A:$D,4,FALSE)),"")</f>
        <v>PRIVADO</v>
      </c>
      <c r="E730" s="11" t="str">
        <f>IFERROR(IF(VLOOKUP(A730,[6]PRIORIZADOS!$A:$E,5,FALSE)="","",VLOOKUP(A730,[6]PRIORIZADOS!$A:$E,5,FALSE)),"")</f>
        <v>EPBM</v>
      </c>
      <c r="F730" s="11" t="str">
        <f>IFERROR(IF(VLOOKUP(A730,[6]PRIORIZADOS!$A:$F,6,FALSE)="","",VLOOKUP(A730,[6]PRIORIZADOS!$A:$F,6,FALSE)),"")</f>
        <v>COLEGIO_LUIS_MARIANO</v>
      </c>
      <c r="G730" s="11" t="str">
        <f>IFERROR(IF(VLOOKUP(A730,[6]PRIORIZADOS!$A:$G,7,FALSE)="","",VLOOKUP(A730,[6]PRIORIZADOS!$A:$G,7,FALSE)),"")</f>
        <v>COLEGIO_LUIS_MARIANO</v>
      </c>
      <c r="H730" s="11" t="str">
        <f>IFERROR(IF(VLOOKUP(A730,[6]PRIORIZADOS!$A:$H,8,FALSE)="","",VLOOKUP(A730,[6]PRIORIZADOS!$A:$H,8,FALSE)),"")</f>
        <v>Autoevaluación Institucional y Pruebas SABER 11</v>
      </c>
      <c r="I730" s="11" t="str">
        <f>IFERROR(IF(VLOOKUP(A730,[6]PRIORIZADOS!$A:$I,9,FALSE)="","",VLOOKUP(A730,[6]PRIORIZADOS!$A:$I,9,FALSE)),"")</f>
        <v>EVALUACIÓN_CON_FINES_DE_MEJORAMIENTO.</v>
      </c>
      <c r="J730" s="11" t="str">
        <f>IFERROR(IF(VLOOKUP(A730,[6]PRIORIZADOS!$A:$J,10,FALSE)="","",VLOOKUP(A730,[6]PRIORIZADOS!$A:$J,10,FALSE)),"")</f>
        <v>Revisar el calendario escolar, jornada escolar, la intensidad horaria mínima anual en cada nivel y las modificaciones que se realicen al mismo, de acuerdo con lo previsto en la normatividad vigente.</v>
      </c>
      <c r="K730" s="11" t="str">
        <f>IFERROR(IF(VLOOKUP(A730,[6]PRIORIZADOS!$A:$K,11,FALSE)="","",VLOOKUP(A730,[6]PRIORIZADOS!$A:$K,11,FALSE)),"")</f>
        <v>FREDDY CLAROS PEÑA</v>
      </c>
      <c r="L730" s="11" t="str">
        <f>IFERROR(IF(VLOOKUP(A730,[6]PRIORIZADOS!$A:$L,12,FALSE)="","",VLOOKUP(A730,[6]PRIORIZADOS!$A:$L,12,FALSE)),"")</f>
        <v>JAIME HUMBERTO RAMÍREZ LLANOS</v>
      </c>
      <c r="M730" s="71">
        <f>IFERROR(IF(VLOOKUP(A730,[6]PRIORIZADOS!$A:$M,13,FALSE)="","",VLOOKUP(A730,[6]PRIORIZADOS!$A:$M,13,FALSE)),"")</f>
        <v>45869</v>
      </c>
      <c r="N730" s="139">
        <f>IFERROR(IF(VLOOKUP(A730,[6]PRIORIZADOS!$A:$N,14,FALSE)="","",VLOOKUP(A730,[6]PRIORIZADOS!$A:$N,14,FALSE)),"")</f>
        <v>45999</v>
      </c>
      <c r="O730" s="139">
        <f>IFERROR(IF(VLOOKUP(A730,[6]PRIORIZADOS!$A:$O,15,FALSE)="","",VLOOKUP(A730,[6]PRIORIZADOS!$A:$O,15,FALSE)),"")</f>
        <v>45881</v>
      </c>
      <c r="P730" s="11" t="str">
        <f>IFERROR(IF(VLOOKUP(A730,[6]PRIORIZADOS!$A:$P,16,FALSE)="","",VLOOKUP(A730,[6]PRIORIZADOS!$A:$P,16,FALSE)),"")</f>
        <v>Visitas de evaluación con fines de seguimiento</v>
      </c>
      <c r="Q730" s="2" t="s">
        <v>139</v>
      </c>
      <c r="R730" s="11" t="str">
        <f>IFERROR(IF(VLOOKUP(A730,[6]PRIORIZADOS!$A:$R,18,FALSE)="","",VLOOKUP(A730,[6]PRIORIZADOS!$A:$R,18,FALSE)),"")</f>
        <v xml:space="preserve">Se revisa en el formato establecido el cumplimiento de la intensidad horaria </v>
      </c>
      <c r="S730" s="11" t="str">
        <f>IFERROR(IF(VLOOKUP(A730,[6]PRIORIZADOS!$A:$S,19,FALSE)="","",VLOOKUP(A730,[6]PRIORIZADOS!$A:$S,19,FALSE)),"")</f>
        <v>El colegio cumple la intensidad horaria establecida por nivel según normativa vigente</v>
      </c>
      <c r="T730" s="70" t="str">
        <f>IFERROR(IF(VLOOKUP(A730,[6]PRIORIZADOS!$A:$T,20,FALSE)="","",VLOOKUP(A730,[6]PRIORIZADOS!$A:$T,20,FALSE)),"")</f>
        <v>No</v>
      </c>
      <c r="U730" s="11" t="str">
        <f>IFERROR(IF(VLOOKUP(A730,[6]PRIORIZADOS!$A:$U,21,FALSE)="","",VLOOKUP(A730,[6]PRIORIZADOS!$A:$U,21,FALSE)),"")</f>
        <v>Se verificacrá en una actuación en otra vigencia o si se genera petición o queja ciudadana.</v>
      </c>
    </row>
    <row r="731" spans="1:21" s="1" customFormat="1" ht="48">
      <c r="A731" s="69">
        <f>IF([6]PRIORIZADOS!A97="","",[6]PRIORIZADOS!A97)</f>
        <v>669</v>
      </c>
      <c r="B731" s="70">
        <f>IFERROR(IF(VLOOKUP(A731,[6]PRIORIZADOS!$A:$B,2,FALSE)="","",VLOOKUP(A731,[6]PRIORIZADOS!$A:$B,2,FALSE)),"")</f>
        <v>10</v>
      </c>
      <c r="C731" s="11" t="str">
        <f>IFERROR(IF(VLOOKUP(A731,[6]PRIORIZADOS!$A:$C,3,FALSE)="","",VLOOKUP(A731,[6]PRIORIZADOS!$A:$C,3,FALSE)),"")</f>
        <v>ENGATIVÁ</v>
      </c>
      <c r="D731" s="11" t="str">
        <f>IFERROR(IF(VLOOKUP(A731,[6]PRIORIZADOS!$A:$D,4,FALSE)="","",VLOOKUP(A731,[6]PRIORIZADOS!$A:$D,4,FALSE)),"")</f>
        <v>PRIVADO</v>
      </c>
      <c r="E731" s="11" t="str">
        <f>IFERROR(IF(VLOOKUP(A731,[6]PRIORIZADOS!$A:$E,5,FALSE)="","",VLOOKUP(A731,[6]PRIORIZADOS!$A:$E,5,FALSE)),"")</f>
        <v>EPBM</v>
      </c>
      <c r="F731" s="11" t="str">
        <f>IFERROR(IF(VLOOKUP(A731,[6]PRIORIZADOS!$A:$F,6,FALSE)="","",VLOOKUP(A731,[6]PRIORIZADOS!$A:$F,6,FALSE)),"")</f>
        <v>COLEGIO_LUIS_MARIANO</v>
      </c>
      <c r="G731" s="11" t="str">
        <f>IFERROR(IF(VLOOKUP(A731,[6]PRIORIZADOS!$A:$G,7,FALSE)="","",VLOOKUP(A731,[6]PRIORIZADOS!$A:$G,7,FALSE)),"")</f>
        <v>COLEGIO_LUIS_MARIANO</v>
      </c>
      <c r="H731" s="11" t="str">
        <f>IFERROR(IF(VLOOKUP(A731,[6]PRIORIZADOS!$A:$H,8,FALSE)="","",VLOOKUP(A731,[6]PRIORIZADOS!$A:$H,8,FALSE)),"")</f>
        <v>Autoevaluación Institucional y Pruebas SABER 11</v>
      </c>
      <c r="I731" s="11" t="str">
        <f>IFERROR(IF(VLOOKUP(A731,[6]PRIORIZADOS!$A:$I,9,FALSE)="","",VLOOKUP(A731,[6]PRIORIZADOS!$A:$I,9,FALSE)),"")</f>
        <v>EVALUACIÓN_CON_FINES_DE_MEJORAMIENTO.</v>
      </c>
      <c r="J731" s="11" t="str">
        <f>IFERROR(IF(VLOOKUP(A731,[6]PRIORIZADOS!$A:$J,10,FALSE)="","",VLOOKUP(A731,[6]PRIORIZADOS!$A:$J,10,FALSE)),"")</f>
        <v>Verificar el funcionamiento del Gobierno Escolar e instancias de participación con base en la información sobre conformación reportada por la institución educativa.</v>
      </c>
      <c r="K731" s="11" t="str">
        <f>IFERROR(IF(VLOOKUP(A731,[6]PRIORIZADOS!$A:$K,11,FALSE)="","",VLOOKUP(A731,[6]PRIORIZADOS!$A:$K,11,FALSE)),"")</f>
        <v>FREDDY CLAROS PEÑA</v>
      </c>
      <c r="L731" s="11" t="str">
        <f>IFERROR(IF(VLOOKUP(A731,[6]PRIORIZADOS!$A:$L,12,FALSE)="","",VLOOKUP(A731,[6]PRIORIZADOS!$A:$L,12,FALSE)),"")</f>
        <v>JAIME HUMBERTO RAMÍREZ LLANOS</v>
      </c>
      <c r="M731" s="71">
        <f>IFERROR(IF(VLOOKUP(A731,[6]PRIORIZADOS!$A:$M,13,FALSE)="","",VLOOKUP(A731,[6]PRIORIZADOS!$A:$M,13,FALSE)),"")</f>
        <v>45869</v>
      </c>
      <c r="N731" s="139">
        <f>IFERROR(IF(VLOOKUP(A731,[6]PRIORIZADOS!$A:$N,14,FALSE)="","",VLOOKUP(A731,[6]PRIORIZADOS!$A:$N,14,FALSE)),"")</f>
        <v>45999</v>
      </c>
      <c r="O731" s="139">
        <f>IFERROR(IF(VLOOKUP(A731,[6]PRIORIZADOS!$A:$O,15,FALSE)="","",VLOOKUP(A731,[6]PRIORIZADOS!$A:$O,15,FALSE)),"")</f>
        <v>45881</v>
      </c>
      <c r="P731" s="11" t="str">
        <f>IFERROR(IF(VLOOKUP(A731,[6]PRIORIZADOS!$A:$P,16,FALSE)="","",VLOOKUP(A731,[6]PRIORIZADOS!$A:$P,16,FALSE)),"")</f>
        <v>Visitas de evaluación con fines de seguimiento</v>
      </c>
      <c r="Q731" s="2" t="s">
        <v>139</v>
      </c>
      <c r="R731" s="11" t="str">
        <f>IFERROR(IF(VLOOKUP(A731,[6]PRIORIZADOS!$A:$R,18,FALSE)="","",VLOOKUP(A731,[6]PRIORIZADOS!$A:$R,18,FALSE)),"")</f>
        <v>No se aportan actas y soportes de funcionamiento e instancias de participación del gobierno escolar</v>
      </c>
      <c r="S731" s="11" t="str">
        <f>IFERROR(IF(VLOOKUP(A731,[6]PRIORIZADOS!$A:$S,19,FALSE)="","",VLOOKUP(A731,[6]PRIORIZADOS!$A:$S,19,FALSE)),"")</f>
        <v>Se debe organizar las actas y remitirlas dentro del plan de mejoramiento</v>
      </c>
      <c r="T731" s="70" t="str">
        <f>IFERROR(IF(VLOOKUP(A731,[6]PRIORIZADOS!$A:$T,20,FALSE)="","",VLOOKUP(A731,[6]PRIORIZADOS!$A:$T,20,FALSE)),"")</f>
        <v>Si</v>
      </c>
      <c r="U731" s="11" t="str">
        <f>IFERROR(IF(VLOOKUP(A731,[6]PRIORIZADOS!$A:$U,21,FALSE)="","",VLOOKUP(A731,[6]PRIORIZADOS!$A:$U,21,FALSE)),"")</f>
        <v xml:space="preserve">Se debe aportar las actas actas y soportes de funcionamiento e instancias de participación </v>
      </c>
    </row>
    <row r="732" spans="1:21" s="1" customFormat="1" ht="48">
      <c r="A732" s="69">
        <f>IF([6]PRIORIZADOS!A98="","",[6]PRIORIZADOS!A98)</f>
        <v>670</v>
      </c>
      <c r="B732" s="70">
        <f>IFERROR(IF(VLOOKUP(A732,[6]PRIORIZADOS!$A:$B,2,FALSE)="","",VLOOKUP(A732,[6]PRIORIZADOS!$A:$B,2,FALSE)),"")</f>
        <v>10</v>
      </c>
      <c r="C732" s="11" t="str">
        <f>IFERROR(IF(VLOOKUP(A732,[6]PRIORIZADOS!$A:$C,3,FALSE)="","",VLOOKUP(A732,[6]PRIORIZADOS!$A:$C,3,FALSE)),"")</f>
        <v>ENGATIVÁ</v>
      </c>
      <c r="D732" s="11" t="str">
        <f>IFERROR(IF(VLOOKUP(A732,[6]PRIORIZADOS!$A:$D,4,FALSE)="","",VLOOKUP(A732,[6]PRIORIZADOS!$A:$D,4,FALSE)),"")</f>
        <v>PRIVADO</v>
      </c>
      <c r="E732" s="11" t="str">
        <f>IFERROR(IF(VLOOKUP(A732,[6]PRIORIZADOS!$A:$E,5,FALSE)="","",VLOOKUP(A732,[6]PRIORIZADOS!$A:$E,5,FALSE)),"")</f>
        <v>EPBM</v>
      </c>
      <c r="F732" s="11" t="str">
        <f>IFERROR(IF(VLOOKUP(A732,[6]PRIORIZADOS!$A:$F,6,FALSE)="","",VLOOKUP(A732,[6]PRIORIZADOS!$A:$F,6,FALSE)),"")</f>
        <v>COLEGIO_LUIS_MARIANO</v>
      </c>
      <c r="G732" s="11" t="str">
        <f>IFERROR(IF(VLOOKUP(A732,[6]PRIORIZADOS!$A:$G,7,FALSE)="","",VLOOKUP(A732,[6]PRIORIZADOS!$A:$G,7,FALSE)),"")</f>
        <v>COLEGIO_MAYOR_DE_GALES</v>
      </c>
      <c r="H732" s="11" t="str">
        <f>IFERROR(IF(VLOOKUP(A732,[6]PRIORIZADOS!$A:$H,8,FALSE)="","",VLOOKUP(A732,[6]PRIORIZADOS!$A:$H,8,FALSE)),"")</f>
        <v>Autoevaluación Institucional y Pruebas SABER 11</v>
      </c>
      <c r="I732" s="11" t="str">
        <f>IFERROR(IF(VLOOKUP(A732,[6]PRIORIZADOS!$A:$I,9,FALSE)="","",VLOOKUP(A732,[6]PRIORIZADOS!$A:$I,9,FALSE)),"")</f>
        <v>EVALUACIÓN_CON_FINES_DE_MEJORAMIENTO.</v>
      </c>
      <c r="J732" s="11" t="str">
        <f>IFERROR(IF(VLOOKUP(A732,[6]PRIORIZADOS!$A:$J,10,FALSE)="","",VLOOKUP(A732,[6]PRIORIZADOS!$A:$J,10,FALSE)),"")</f>
        <v>Verificar las condiciones en cuanto a: la estructura administrativa, condiciones de la planta física y medios educativos adecuados.</v>
      </c>
      <c r="K732" s="11" t="str">
        <f>IFERROR(IF(VLOOKUP(A732,[6]PRIORIZADOS!$A:$K,11,FALSE)="","",VLOOKUP(A732,[6]PRIORIZADOS!$A:$K,11,FALSE)),"")</f>
        <v>FREDDY CLAROS PEÑA</v>
      </c>
      <c r="L732" s="11" t="str">
        <f>IFERROR(IF(VLOOKUP(A732,[6]PRIORIZADOS!$A:$L,12,FALSE)="","",VLOOKUP(A732,[6]PRIORIZADOS!$A:$L,12,FALSE)),"")</f>
        <v>JAIME HUMBERTO RAMÍREZ LLANOS</v>
      </c>
      <c r="M732" s="71">
        <f>IFERROR(IF(VLOOKUP(A732,[6]PRIORIZADOS!$A:$M,13,FALSE)="","",VLOOKUP(A732,[6]PRIORIZADOS!$A:$M,13,FALSE)),"")</f>
        <v>45869</v>
      </c>
      <c r="N732" s="139">
        <f>IFERROR(IF(VLOOKUP(A732,[6]PRIORIZADOS!$A:$N,14,FALSE)="","",VLOOKUP(A732,[6]PRIORIZADOS!$A:$N,14,FALSE)),"")</f>
        <v>45999</v>
      </c>
      <c r="O732" s="139">
        <f>IFERROR(IF(VLOOKUP(A732,[6]PRIORIZADOS!$A:$O,15,FALSE)="","",VLOOKUP(A732,[6]PRIORIZADOS!$A:$O,15,FALSE)),"")</f>
        <v>45881</v>
      </c>
      <c r="P732" s="11" t="str">
        <f>IFERROR(IF(VLOOKUP(A732,[6]PRIORIZADOS!$A:$P,16,FALSE)="","",VLOOKUP(A732,[6]PRIORIZADOS!$A:$P,16,FALSE)),"")</f>
        <v>Visitas de evaluación con fines de seguimiento</v>
      </c>
      <c r="Q732" s="43" t="s">
        <v>139</v>
      </c>
      <c r="R732" s="11" t="str">
        <f>IFERROR(IF(VLOOKUP(A732,[6]PRIORIZADOS!$A:$R,18,FALSE)="","",VLOOKUP(A732,[6]PRIORIZADOS!$A:$R,18,FALSE)),"")</f>
        <v>Se evidencia que los espacios adminsitrativos y académicos se encuentran acorde para la prestación del servicio educativo.</v>
      </c>
      <c r="S732" s="11" t="str">
        <f>IFERROR(IF(VLOOKUP(A732,[6]PRIORIZADOS!$A:$S,19,FALSE)="","",VLOOKUP(A732,[6]PRIORIZADOS!$A:$S,19,FALSE)),"")</f>
        <v>Se sugiren continuar el mantenumiento de los espacios y dotación dispuesta para la prestación del servicio educativo</v>
      </c>
      <c r="T732" s="70" t="str">
        <f>IFERROR(IF(VLOOKUP(A732,[6]PRIORIZADOS!$A:$T,20,FALSE)="","",VLOOKUP(A732,[6]PRIORIZADOS!$A:$T,20,FALSE)),"")</f>
        <v>No</v>
      </c>
      <c r="U732" s="11" t="str">
        <f>IFERROR(IF(VLOOKUP(A732,[6]PRIORIZADOS!$A:$U,21,FALSE)="","",VLOOKUP(A732,[6]PRIORIZADOS!$A:$U,21,FALSE)),"")</f>
        <v>Se verificacrá en una actuación en otra vigencia o si se genera petición o queja ciudadana.</v>
      </c>
    </row>
    <row r="733" spans="1:21" s="1" customFormat="1" ht="48">
      <c r="A733" s="69">
        <f>IF([6]PRIORIZADOS!A99="","",[6]PRIORIZADOS!A99)</f>
        <v>671</v>
      </c>
      <c r="B733" s="70">
        <f>IFERROR(IF(VLOOKUP(A733,[6]PRIORIZADOS!$A:$B,2,FALSE)="","",VLOOKUP(A733,[6]PRIORIZADOS!$A:$B,2,FALSE)),"")</f>
        <v>11</v>
      </c>
      <c r="C733" s="11" t="str">
        <f>IFERROR(IF(VLOOKUP(A733,[6]PRIORIZADOS!$A:$C,3,FALSE)="","",VLOOKUP(A733,[6]PRIORIZADOS!$A:$C,3,FALSE)),"")</f>
        <v>ENGATIVÁ</v>
      </c>
      <c r="D733" s="11" t="str">
        <f>IFERROR(IF(VLOOKUP(A733,[6]PRIORIZADOS!$A:$D,4,FALSE)="","",VLOOKUP(A733,[6]PRIORIZADOS!$A:$D,4,FALSE)),"")</f>
        <v>PRIVADO</v>
      </c>
      <c r="E733" s="11" t="str">
        <f>IFERROR(IF(VLOOKUP(A733,[6]PRIORIZADOS!$A:$E,5,FALSE)="","",VLOOKUP(A733,[6]PRIORIZADOS!$A:$E,5,FALSE)),"")</f>
        <v>EPBM</v>
      </c>
      <c r="F733" s="11" t="str">
        <f>IFERROR(IF(VLOOKUP(A733,[6]PRIORIZADOS!$A:$F,6,FALSE)="","",VLOOKUP(A733,[6]PRIORIZADOS!$A:$F,6,FALSE)),"")</f>
        <v>INSTITUTO_JOSE_MARTINEZ_RUIZ</v>
      </c>
      <c r="G733" s="11" t="str">
        <f>IFERROR(IF(VLOOKUP(A733,[6]PRIORIZADOS!$A:$G,7,FALSE)="","",VLOOKUP(A733,[6]PRIORIZADOS!$A:$G,7,FALSE)),"")</f>
        <v>INSTITUTO_JOSE_MARTINEZ_RUIZ</v>
      </c>
      <c r="H733" s="11" t="str">
        <f>IFERROR(IF(VLOOKUP(A733,[6]PRIORIZADOS!$A:$H,8,FALSE)="","",VLOOKUP(A733,[6]PRIORIZADOS!$A:$H,8,FALSE)),"")</f>
        <v>Autoevaluación Institucional y Pruebas SABER 11</v>
      </c>
      <c r="I733" s="11" t="str">
        <f>IFERROR(IF(VLOOKUP(A733,[6]PRIORIZADOS!$A:$I,9,FALSE)="","",VLOOKUP(A733,[6]PRIORIZADOS!$A:$I,9,FALSE)),"")</f>
        <v>SEGUIMIENTO_Y_SUPERVISIÓN.</v>
      </c>
      <c r="J733" s="11" t="str">
        <f>IFERROR(IF(VLOOKUP(A733,[6]PRIORIZADOS!$A:$J,10,FALSE)="","",VLOOKUP(A733,[6]PRIORIZADOS!$A:$J,10,FALSE)),"")</f>
        <v>Realizar visitas para verificar la información registrada sobre la autoevaluación institucional en el aplicativo EVI, a los establecimientos de educación formal no oficial.</v>
      </c>
      <c r="K733" s="11" t="str">
        <f>IFERROR(IF(VLOOKUP(A733,[6]PRIORIZADOS!$A:$K,11,FALSE)="","",VLOOKUP(A733,[6]PRIORIZADOS!$A:$K,11,FALSE)),"")</f>
        <v>ANA MARÍA CASAS SANABRIA</v>
      </c>
      <c r="L733" s="11" t="str">
        <f>IFERROR(IF(VLOOKUP(A733,[6]PRIORIZADOS!$A:$L,12,FALSE)="","",VLOOKUP(A733,[6]PRIORIZADOS!$A:$L,12,FALSE)),"")</f>
        <v>JENIFER CATHERINE LEÓN ACOSTA</v>
      </c>
      <c r="M733" s="71">
        <f>IFERROR(IF(VLOOKUP(A733,[6]PRIORIZADOS!$A:$M,13,FALSE)="","",VLOOKUP(A733,[6]PRIORIZADOS!$A:$M,13,FALSE)),"")</f>
        <v>45860</v>
      </c>
      <c r="N733" s="139">
        <f>IFERROR(IF(VLOOKUP(A733,[6]PRIORIZADOS!$A:$N,14,FALSE)="","",VLOOKUP(A733,[6]PRIORIZADOS!$A:$N,14,FALSE)),"")</f>
        <v>45860</v>
      </c>
      <c r="O733" s="139">
        <f>IFERROR(IF(VLOOKUP(A733,[6]PRIORIZADOS!$A:$O,15,FALSE)="","",VLOOKUP(A733,[6]PRIORIZADOS!$A:$O,15,FALSE)),"")</f>
        <v>45860</v>
      </c>
      <c r="P733" s="11" t="str">
        <f>IFERROR(IF(VLOOKUP(A733,[6]PRIORIZADOS!$A:$P,16,FALSE)="","",VLOOKUP(A733,[6]PRIORIZADOS!$A:$P,16,FALSE)),"")</f>
        <v>Visitas de evaluación con fines de seguimiento</v>
      </c>
      <c r="Q733" s="107" t="s">
        <v>140</v>
      </c>
      <c r="R733" s="11" t="str">
        <f>IFERROR(IF(VLOOKUP(A733,[6]PRIORIZADOS!$A:$R,18,FALSE)="","",VLOOKUP(A733,[6]PRIORIZADOS!$A:$R,18,FALSE)),"")</f>
        <v>Se realizó verificación de la información registrada en el aplicativo EVI</v>
      </c>
      <c r="S733" s="11" t="str">
        <f>IFERROR(IF(VLOOKUP(A733,[6]PRIORIZADOS!$A:$S,19,FALSE)="","",VLOOKUP(A733,[6]PRIORIZADOS!$A:$S,19,FALSE)),"")</f>
        <v>La información reportada corresponde a la sumatoria de ambas sedes, sin embargo, se detectaron deficiencias en cuanto espacio en las aulas de clase</v>
      </c>
      <c r="T733" s="70" t="str">
        <f>IFERROR(IF(VLOOKUP(A733,[6]PRIORIZADOS!$A:$T,20,FALSE)="","",VLOOKUP(A733,[6]PRIORIZADOS!$A:$T,20,FALSE)),"")</f>
        <v>Si</v>
      </c>
      <c r="U733" s="11" t="str">
        <f>IFERROR(IF(VLOOKUP(A733,[6]PRIORIZADOS!$A:$U,21,FALSE)="","",VLOOKUP(A733,[6]PRIORIZADOS!$A:$U,21,FALSE)),"")</f>
        <v>Se requirió presentar Plan de Majoramiento con el fin de subsanar la situación actual. El PMI debe ser entregado al ELIV a más tardar el 15 de agosto de 2025</v>
      </c>
    </row>
    <row r="734" spans="1:21" s="1" customFormat="1" ht="60">
      <c r="A734" s="69">
        <f>IF([6]PRIORIZADOS!A100="","",[6]PRIORIZADOS!A100)</f>
        <v>672</v>
      </c>
      <c r="B734" s="70">
        <f>IFERROR(IF(VLOOKUP(A734,[6]PRIORIZADOS!$A:$B,2,FALSE)="","",VLOOKUP(A734,[6]PRIORIZADOS!$A:$B,2,FALSE)),"")</f>
        <v>11</v>
      </c>
      <c r="C734" s="11" t="str">
        <f>IFERROR(IF(VLOOKUP(A734,[6]PRIORIZADOS!$A:$C,3,FALSE)="","",VLOOKUP(A734,[6]PRIORIZADOS!$A:$C,3,FALSE)),"")</f>
        <v>ENGATIVÁ</v>
      </c>
      <c r="D734" s="11" t="str">
        <f>IFERROR(IF(VLOOKUP(A734,[6]PRIORIZADOS!$A:$D,4,FALSE)="","",VLOOKUP(A734,[6]PRIORIZADOS!$A:$D,4,FALSE)),"")</f>
        <v>PRIVADO</v>
      </c>
      <c r="E734" s="11" t="str">
        <f>IFERROR(IF(VLOOKUP(A734,[6]PRIORIZADOS!$A:$E,5,FALSE)="","",VLOOKUP(A734,[6]PRIORIZADOS!$A:$E,5,FALSE)),"")</f>
        <v>EPBM</v>
      </c>
      <c r="F734" s="11" t="str">
        <f>IFERROR(IF(VLOOKUP(A734,[6]PRIORIZADOS!$A:$F,6,FALSE)="","",VLOOKUP(A734,[6]PRIORIZADOS!$A:$F,6,FALSE)),"")</f>
        <v>INSTITUTO_JOSE_MARTINEZ_RUIZ</v>
      </c>
      <c r="G734" s="11" t="str">
        <f>IFERROR(IF(VLOOKUP(A734,[6]PRIORIZADOS!$A:$G,7,FALSE)="","",VLOOKUP(A734,[6]PRIORIZADOS!$A:$G,7,FALSE)),"")</f>
        <v>INSTITUTO_JOSE_MARTINEZ_RUIZ</v>
      </c>
      <c r="H734" s="11" t="str">
        <f>IFERROR(IF(VLOOKUP(A734,[6]PRIORIZADOS!$A:$H,8,FALSE)="","",VLOOKUP(A734,[6]PRIORIZADOS!$A:$H,8,FALSE)),"")</f>
        <v>Autoevaluación Institucional y Pruebas SABER 11</v>
      </c>
      <c r="I734" s="11" t="str">
        <f>IFERROR(IF(VLOOKUP(A734,[6]PRIORIZADOS!$A:$I,9,FALSE)="","",VLOOKUP(A734,[6]PRIORIZADOS!$A:$I,9,FALSE)),"")</f>
        <v>SEGUIMIENTO_Y_SUPERVISIÓN.</v>
      </c>
      <c r="J734" s="11" t="str">
        <f>IFERROR(IF(VLOOKUP(A734,[6]PRIORIZADOS!$A:$J,10,FALSE)="","",VLOOKUP(A734,[6]PRIORIZADOS!$A:$J,10,FALSE)),"")</f>
        <v>Proponer estrategias en la formulación, verificar su elaboración y realizar seguimiento semestral al desarrollo de  las acciones establecidas en los planes de mejoramiento por pruebas SABER 11 de los establecimientos de educación formal.</v>
      </c>
      <c r="K734" s="11" t="str">
        <f>IFERROR(IF(VLOOKUP(A734,[6]PRIORIZADOS!$A:$K,11,FALSE)="","",VLOOKUP(A734,[6]PRIORIZADOS!$A:$K,11,FALSE)),"")</f>
        <v>ANA MARÍA CASAS SANABRIA</v>
      </c>
      <c r="L734" s="11" t="str">
        <f>IFERROR(IF(VLOOKUP(A734,[6]PRIORIZADOS!$A:$L,12,FALSE)="","",VLOOKUP(A734,[6]PRIORIZADOS!$A:$L,12,FALSE)),"")</f>
        <v>JENIFER CATHERINE LEÓN ACOSTA</v>
      </c>
      <c r="M734" s="71">
        <f>IFERROR(IF(VLOOKUP(A734,[6]PRIORIZADOS!$A:$M,13,FALSE)="","",VLOOKUP(A734,[6]PRIORIZADOS!$A:$M,13,FALSE)),"")</f>
        <v>45860</v>
      </c>
      <c r="N734" s="139">
        <f>IFERROR(IF(VLOOKUP(A734,[6]PRIORIZADOS!$A:$N,14,FALSE)="","",VLOOKUP(A734,[6]PRIORIZADOS!$A:$N,14,FALSE)),"")</f>
        <v>45860</v>
      </c>
      <c r="O734" s="139">
        <f>IFERROR(IF(VLOOKUP(A734,[6]PRIORIZADOS!$A:$O,15,FALSE)="","",VLOOKUP(A734,[6]PRIORIZADOS!$A:$O,15,FALSE)),"")</f>
        <v>45860</v>
      </c>
      <c r="P734" s="11" t="str">
        <f>IFERROR(IF(VLOOKUP(A734,[6]PRIORIZADOS!$A:$P,16,FALSE)="","",VLOOKUP(A734,[6]PRIORIZADOS!$A:$P,16,FALSE)),"")</f>
        <v>Visitas de evaluación con fines de seguimiento</v>
      </c>
      <c r="Q734" s="107" t="s">
        <v>140</v>
      </c>
      <c r="R734" s="11" t="str">
        <f>IFERROR(IF(VLOOKUP(A734,[6]PRIORIZADOS!$A:$R,18,FALSE)="","",VLOOKUP(A734,[6]PRIORIZADOS!$A:$R,18,FALSE)),"")</f>
        <v xml:space="preserve">El establecimiento presenta algunas estrategias basadas en los resultados de las pruebas saber, como ajuste del curriculo de grado 11 </v>
      </c>
      <c r="S734" s="11" t="str">
        <f>IFERROR(IF(VLOOKUP(A734,[6]PRIORIZADOS!$A:$S,19,FALSE)="","",VLOOKUP(A734,[6]PRIORIZADOS!$A:$S,19,FALSE)),"")</f>
        <v>Se solicita tener encuenta la aprobacion de la estrategias por parte del consejo academico y directivo.</v>
      </c>
      <c r="T734" s="70" t="str">
        <f>IFERROR(IF(VLOOKUP(A734,[6]PRIORIZADOS!$A:$T,20,FALSE)="","",VLOOKUP(A734,[6]PRIORIZADOS!$A:$T,20,FALSE)),"")</f>
        <v>Si</v>
      </c>
      <c r="U734" s="11" t="str">
        <f>IFERROR(IF(VLOOKUP(A734,[6]PRIORIZADOS!$A:$U,21,FALSE)="","",VLOOKUP(A734,[6]PRIORIZADOS!$A:$U,21,FALSE)),"")</f>
        <v>Se requirió presentar Plan de Majoramiento con el fin de subsanar la situación actual. El PMI debe ser entregado al ELIV a más tardar el 15 de agosto de 2025</v>
      </c>
    </row>
    <row r="735" spans="1:21" s="1" customFormat="1" ht="48">
      <c r="A735" s="69">
        <f>IF([6]PRIORIZADOS!A101="","",[6]PRIORIZADOS!A101)</f>
        <v>673</v>
      </c>
      <c r="B735" s="70">
        <f>IFERROR(IF(VLOOKUP(A735,[6]PRIORIZADOS!$A:$B,2,FALSE)="","",VLOOKUP(A735,[6]PRIORIZADOS!$A:$B,2,FALSE)),"")</f>
        <v>11</v>
      </c>
      <c r="C735" s="11" t="str">
        <f>IFERROR(IF(VLOOKUP(A735,[6]PRIORIZADOS!$A:$C,3,FALSE)="","",VLOOKUP(A735,[6]PRIORIZADOS!$A:$C,3,FALSE)),"")</f>
        <v>ENGATIVÁ</v>
      </c>
      <c r="D735" s="11" t="str">
        <f>IFERROR(IF(VLOOKUP(A735,[6]PRIORIZADOS!$A:$D,4,FALSE)="","",VLOOKUP(A735,[6]PRIORIZADOS!$A:$D,4,FALSE)),"")</f>
        <v>PRIVADO</v>
      </c>
      <c r="E735" s="11" t="str">
        <f>IFERROR(IF(VLOOKUP(A735,[6]PRIORIZADOS!$A:$E,5,FALSE)="","",VLOOKUP(A735,[6]PRIORIZADOS!$A:$E,5,FALSE)),"")</f>
        <v>EPBM</v>
      </c>
      <c r="F735" s="11" t="str">
        <f>IFERROR(IF(VLOOKUP(A735,[6]PRIORIZADOS!$A:$F,6,FALSE)="","",VLOOKUP(A735,[6]PRIORIZADOS!$A:$F,6,FALSE)),"")</f>
        <v>INSTITUTO_JOSE_MARTINEZ_RUIZ</v>
      </c>
      <c r="G735" s="11" t="str">
        <f>IFERROR(IF(VLOOKUP(A735,[6]PRIORIZADOS!$A:$G,7,FALSE)="","",VLOOKUP(A735,[6]PRIORIZADOS!$A:$G,7,FALSE)),"")</f>
        <v>INSTITUTO_JOSE_MARTINEZ_RUIZ</v>
      </c>
      <c r="H735" s="11" t="str">
        <f>IFERROR(IF(VLOOKUP(A735,[6]PRIORIZADOS!$A:$H,8,FALSE)="","",VLOOKUP(A735,[6]PRIORIZADOS!$A:$H,8,FALSE)),"")</f>
        <v>Autoevaluación Institucional y Pruebas SABER 11</v>
      </c>
      <c r="I735" s="11" t="str">
        <f>IFERROR(IF(VLOOKUP(A735,[6]PRIORIZADOS!$A:$I,9,FALSE)="","",VLOOKUP(A735,[6]PRIORIZADOS!$A:$I,9,FALSE)),"")</f>
        <v>SEGUIMIENTO_Y_SUPERVISIÓN.</v>
      </c>
      <c r="J735" s="11" t="str">
        <f>IFERROR(IF(VLOOKUP(A735,[6]PRIORIZADOS!$A:$J,10,FALSE)="","",VLOOKUP(A735,[6]PRIORIZADOS!$A:$J,10,FALSE)),"")</f>
        <v xml:space="preserve">Verificar la implementación por parte de los colegios, de acciones realizadas para la prevención y atención de las situaciones de convivencia en el entorno escolar, según lo establecido en la Directiva 01 de 2022 del MEN. </v>
      </c>
      <c r="K735" s="11" t="str">
        <f>IFERROR(IF(VLOOKUP(A735,[6]PRIORIZADOS!$A:$K,11,FALSE)="","",VLOOKUP(A735,[6]PRIORIZADOS!$A:$K,11,FALSE)),"")</f>
        <v>ANA MARÍA CASAS SANABRIA</v>
      </c>
      <c r="L735" s="11" t="str">
        <f>IFERROR(IF(VLOOKUP(A735,[6]PRIORIZADOS!$A:$L,12,FALSE)="","",VLOOKUP(A735,[6]PRIORIZADOS!$A:$L,12,FALSE)),"")</f>
        <v>JENIFER CATHERINE LEÓN ACOSTA</v>
      </c>
      <c r="M735" s="71">
        <f>IFERROR(IF(VLOOKUP(A735,[6]PRIORIZADOS!$A:$M,13,FALSE)="","",VLOOKUP(A735,[6]PRIORIZADOS!$A:$M,13,FALSE)),"")</f>
        <v>45860</v>
      </c>
      <c r="N735" s="139">
        <f>IFERROR(IF(VLOOKUP(A735,[6]PRIORIZADOS!$A:$N,14,FALSE)="","",VLOOKUP(A735,[6]PRIORIZADOS!$A:$N,14,FALSE)),"")</f>
        <v>45860</v>
      </c>
      <c r="O735" s="139">
        <f>IFERROR(IF(VLOOKUP(A735,[6]PRIORIZADOS!$A:$O,15,FALSE)="","",VLOOKUP(A735,[6]PRIORIZADOS!$A:$O,15,FALSE)),"")</f>
        <v>45860</v>
      </c>
      <c r="P735" s="11" t="str">
        <f>IFERROR(IF(VLOOKUP(A735,[6]PRIORIZADOS!$A:$P,16,FALSE)="","",VLOOKUP(A735,[6]PRIORIZADOS!$A:$P,16,FALSE)),"")</f>
        <v>Visitas de evaluación con fines de seguimiento</v>
      </c>
      <c r="Q735" s="107" t="s">
        <v>140</v>
      </c>
      <c r="R735" s="11" t="str">
        <f>IFERROR(IF(VLOOKUP(A735,[6]PRIORIZADOS!$A:$R,18,FALSE)="","",VLOOKUP(A735,[6]PRIORIZADOS!$A:$R,18,FALSE)),"")</f>
        <v>El E.E. realiza verificación de inhabilidad por parte del personal contratado cada 4 meses.</v>
      </c>
      <c r="S735" s="11" t="str">
        <f>IFERROR(IF(VLOOKUP(A735,[6]PRIORIZADOS!$A:$S,19,FALSE)="","",VLOOKUP(A735,[6]PRIORIZADOS!$A:$S,19,FALSE)),"")</f>
        <v>Se recomienda tener encuenta todas las acciones que establece la directiva como estrategia de prevencion y atencion.</v>
      </c>
      <c r="T735" s="70" t="str">
        <f>IFERROR(IF(VLOOKUP(A735,[6]PRIORIZADOS!$A:$T,20,FALSE)="","",VLOOKUP(A735,[6]PRIORIZADOS!$A:$T,20,FALSE)),"")</f>
        <v>No</v>
      </c>
      <c r="U735" s="11" t="str">
        <f>IFERROR(IF(VLOOKUP(A735,[6]PRIORIZADOS!$A:$U,21,FALSE)="","",VLOOKUP(A735,[6]PRIORIZADOS!$A:$U,21,FALSE)),"")</f>
        <v>Se verificará en proximas visitas</v>
      </c>
    </row>
    <row r="736" spans="1:21" s="1" customFormat="1" ht="72">
      <c r="A736" s="69">
        <f>IF([6]PRIORIZADOS!A102="","",[6]PRIORIZADOS!A102)</f>
        <v>674</v>
      </c>
      <c r="B736" s="70">
        <f>IFERROR(IF(VLOOKUP(A736,[6]PRIORIZADOS!$A:$B,2,FALSE)="","",VLOOKUP(A736,[6]PRIORIZADOS!$A:$B,2,FALSE)),"")</f>
        <v>11</v>
      </c>
      <c r="C736" s="11" t="str">
        <f>IFERROR(IF(VLOOKUP(A736,[6]PRIORIZADOS!$A:$C,3,FALSE)="","",VLOOKUP(A736,[6]PRIORIZADOS!$A:$C,3,FALSE)),"")</f>
        <v>ENGATIVÁ</v>
      </c>
      <c r="D736" s="11" t="str">
        <f>IFERROR(IF(VLOOKUP(A736,[6]PRIORIZADOS!$A:$D,4,FALSE)="","",VLOOKUP(A736,[6]PRIORIZADOS!$A:$D,4,FALSE)),"")</f>
        <v>PRIVADO</v>
      </c>
      <c r="E736" s="11" t="str">
        <f>IFERROR(IF(VLOOKUP(A736,[6]PRIORIZADOS!$A:$E,5,FALSE)="","",VLOOKUP(A736,[6]PRIORIZADOS!$A:$E,5,FALSE)),"")</f>
        <v>EPBM</v>
      </c>
      <c r="F736" s="11" t="str">
        <f>IFERROR(IF(VLOOKUP(A736,[6]PRIORIZADOS!$A:$F,6,FALSE)="","",VLOOKUP(A736,[6]PRIORIZADOS!$A:$F,6,FALSE)),"")</f>
        <v>INSTITUTO_JOSE_MARTINEZ_RUIZ</v>
      </c>
      <c r="G736" s="11" t="str">
        <f>IFERROR(IF(VLOOKUP(A736,[6]PRIORIZADOS!$A:$G,7,FALSE)="","",VLOOKUP(A736,[6]PRIORIZADOS!$A:$G,7,FALSE)),"")</f>
        <v>INSTITUTO_JOSE_MARTINEZ_RUIZ</v>
      </c>
      <c r="H736" s="11" t="str">
        <f>IFERROR(IF(VLOOKUP(A736,[6]PRIORIZADOS!$A:$H,8,FALSE)="","",VLOOKUP(A736,[6]PRIORIZADOS!$A:$H,8,FALSE)),"")</f>
        <v>Autoevaluación Institucional y Pruebas SABER 11</v>
      </c>
      <c r="I736" s="11" t="str">
        <f>IFERROR(IF(VLOOKUP(A736,[6]PRIORIZADOS!$A:$I,9,FALSE)="","",VLOOKUP(A736,[6]PRIORIZADOS!$A:$I,9,FALSE)),"")</f>
        <v>SEGUIMIENTO_Y_SUPERVISIÓN.</v>
      </c>
      <c r="J736" s="11" t="str">
        <f>IFERROR(IF(VLOOKUP(A736,[6]PRIORIZADOS!$A:$J,10,FALSE)="","",VLOOKUP(A736,[6]PRIORIZADOS!$A:$J,10,FALSE)),"")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36" s="11" t="str">
        <f>IFERROR(IF(VLOOKUP(A736,[6]PRIORIZADOS!$A:$K,11,FALSE)="","",VLOOKUP(A736,[6]PRIORIZADOS!$A:$K,11,FALSE)),"")</f>
        <v>ANA MARÍA CASAS SANABRIA</v>
      </c>
      <c r="L736" s="11" t="str">
        <f>IFERROR(IF(VLOOKUP(A736,[6]PRIORIZADOS!$A:$L,12,FALSE)="","",VLOOKUP(A736,[6]PRIORIZADOS!$A:$L,12,FALSE)),"")</f>
        <v>JENIFER CATHERINE LEÓN ACOSTA</v>
      </c>
      <c r="M736" s="71">
        <f>IFERROR(IF(VLOOKUP(A736,[6]PRIORIZADOS!$A:$M,13,FALSE)="","",VLOOKUP(A736,[6]PRIORIZADOS!$A:$M,13,FALSE)),"")</f>
        <v>45860</v>
      </c>
      <c r="N736" s="139">
        <f>IFERROR(IF(VLOOKUP(A736,[6]PRIORIZADOS!$A:$N,14,FALSE)="","",VLOOKUP(A736,[6]PRIORIZADOS!$A:$N,14,FALSE)),"")</f>
        <v>45860</v>
      </c>
      <c r="O736" s="139">
        <f>IFERROR(IF(VLOOKUP(A736,[6]PRIORIZADOS!$A:$O,15,FALSE)="","",VLOOKUP(A736,[6]PRIORIZADOS!$A:$O,15,FALSE)),"")</f>
        <v>45860</v>
      </c>
      <c r="P736" s="11" t="str">
        <f>IFERROR(IF(VLOOKUP(A736,[6]PRIORIZADOS!$A:$P,16,FALSE)="","",VLOOKUP(A736,[6]PRIORIZADOS!$A:$P,16,FALSE)),"")</f>
        <v>Visitas de evaluación con fines de seguimiento</v>
      </c>
      <c r="Q736" s="107" t="s">
        <v>140</v>
      </c>
      <c r="R736" s="11" t="str">
        <f>IFERROR(IF(VLOOKUP(A736,[6]PRIORIZADOS!$A:$R,18,FALSE)="","",VLOOKUP(A736,[6]PRIORIZADOS!$A:$R,18,FALSE)),"")</f>
        <v>Se observa que diseña los  los PIAR  con acompañmiento de orientacion y los docentes de aula.</v>
      </c>
      <c r="S736" s="11" t="str">
        <f>IFERROR(IF(VLOOKUP(A736,[6]PRIORIZADOS!$A:$S,19,FALSE)="","",VLOOKUP(A736,[6]PRIORIZADOS!$A:$S,19,FALSE)),"")</f>
        <v>Se dan recomendaciones para el correcto diseño de los PIAR y se solciita verificar en el SIMAT algunops estudiantes que estan caracterizados, pero la insitucion no tiene conocimiento de diagnosticos.</v>
      </c>
      <c r="T736" s="70" t="str">
        <f>IFERROR(IF(VLOOKUP(A736,[6]PRIORIZADOS!$A:$T,20,FALSE)="","",VLOOKUP(A736,[6]PRIORIZADOS!$A:$T,20,FALSE)),"")</f>
        <v>Si</v>
      </c>
      <c r="U736" s="11" t="str">
        <f>IFERROR(IF(VLOOKUP(A736,[6]PRIORIZADOS!$A:$U,21,FALSE)="","",VLOOKUP(A736,[6]PRIORIZADOS!$A:$U,21,FALSE)),"")</f>
        <v>Se requirió presentar Plan de Majoramiento con el fin de subsanar la situación actual. El PMI debe ser entregado al ELIV a más tardar el 15 de agosto de 2025</v>
      </c>
    </row>
    <row r="737" spans="1:21" s="1" customFormat="1" ht="84">
      <c r="A737" s="69">
        <f>IF([6]PRIORIZADOS!A103="","",[6]PRIORIZADOS!A103)</f>
        <v>675</v>
      </c>
      <c r="B737" s="70">
        <f>IFERROR(IF(VLOOKUP(A737,[6]PRIORIZADOS!$A:$B,2,FALSE)="","",VLOOKUP(A737,[6]PRIORIZADOS!$A:$B,2,FALSE)),"")</f>
        <v>11</v>
      </c>
      <c r="C737" s="11" t="str">
        <f>IFERROR(IF(VLOOKUP(A737,[6]PRIORIZADOS!$A:$C,3,FALSE)="","",VLOOKUP(A737,[6]PRIORIZADOS!$A:$C,3,FALSE)),"")</f>
        <v>ENGATIVÁ</v>
      </c>
      <c r="D737" s="11" t="str">
        <f>IFERROR(IF(VLOOKUP(A737,[6]PRIORIZADOS!$A:$D,4,FALSE)="","",VLOOKUP(A737,[6]PRIORIZADOS!$A:$D,4,FALSE)),"")</f>
        <v>PRIVADO</v>
      </c>
      <c r="E737" s="11" t="str">
        <f>IFERROR(IF(VLOOKUP(A737,[6]PRIORIZADOS!$A:$E,5,FALSE)="","",VLOOKUP(A737,[6]PRIORIZADOS!$A:$E,5,FALSE)),"")</f>
        <v>EPBM</v>
      </c>
      <c r="F737" s="11" t="str">
        <f>IFERROR(IF(VLOOKUP(A737,[6]PRIORIZADOS!$A:$F,6,FALSE)="","",VLOOKUP(A737,[6]PRIORIZADOS!$A:$F,6,FALSE)),"")</f>
        <v>INSTITUTO_JOSE_MARTINEZ_RUIZ</v>
      </c>
      <c r="G737" s="11" t="str">
        <f>IFERROR(IF(VLOOKUP(A737,[6]PRIORIZADOS!$A:$G,7,FALSE)="","",VLOOKUP(A737,[6]PRIORIZADOS!$A:$G,7,FALSE)),"")</f>
        <v>INSTITUTO_JOSE_MARTINEZ_RUIZ</v>
      </c>
      <c r="H737" s="11" t="str">
        <f>IFERROR(IF(VLOOKUP(A737,[6]PRIORIZADOS!$A:$H,8,FALSE)="","",VLOOKUP(A737,[6]PRIORIZADOS!$A:$H,8,FALSE)),"")</f>
        <v>Autoevaluación Institucional y Pruebas SABER 11</v>
      </c>
      <c r="I737" s="11" t="str">
        <f>IFERROR(IF(VLOOKUP(A737,[6]PRIORIZADOS!$A:$I,9,FALSE)="","",VLOOKUP(A737,[6]PRIORIZADOS!$A:$I,9,FALSE)),"")</f>
        <v>EVALUACIÓN_CON_FINES_DE_MEJORAMIENTO.</v>
      </c>
      <c r="J737" s="11" t="str">
        <f>IFERROR(IF(VLOOKUP(A737,[6]PRIORIZADOS!$A:$J,10,FALSE)="","",VLOOKUP(A737,[6]PRIORIZADOS!$A:$J,10,FALSE)),"")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37" s="11" t="str">
        <f>IFERROR(IF(VLOOKUP(A737,[6]PRIORIZADOS!$A:$K,11,FALSE)="","",VLOOKUP(A737,[6]PRIORIZADOS!$A:$K,11,FALSE)),"")</f>
        <v>ANA MARÍA CASAS SANABRIA</v>
      </c>
      <c r="L737" s="11" t="str">
        <f>IFERROR(IF(VLOOKUP(A737,[6]PRIORIZADOS!$A:$L,12,FALSE)="","",VLOOKUP(A737,[6]PRIORIZADOS!$A:$L,12,FALSE)),"")</f>
        <v>JENIFER CATHERINE LEÓN ACOSTA</v>
      </c>
      <c r="M737" s="71">
        <f>IFERROR(IF(VLOOKUP(A737,[6]PRIORIZADOS!$A:$M,13,FALSE)="","",VLOOKUP(A737,[6]PRIORIZADOS!$A:$M,13,FALSE)),"")</f>
        <v>45860</v>
      </c>
      <c r="N737" s="139">
        <f>IFERROR(IF(VLOOKUP(A737,[6]PRIORIZADOS!$A:$N,14,FALSE)="","",VLOOKUP(A737,[6]PRIORIZADOS!$A:$N,14,FALSE)),"")</f>
        <v>45860</v>
      </c>
      <c r="O737" s="139">
        <f>IFERROR(IF(VLOOKUP(A737,[6]PRIORIZADOS!$A:$O,15,FALSE)="","",VLOOKUP(A737,[6]PRIORIZADOS!$A:$O,15,FALSE)),"")</f>
        <v>45860</v>
      </c>
      <c r="P737" s="11" t="str">
        <f>IFERROR(IF(VLOOKUP(A737,[6]PRIORIZADOS!$A:$P,16,FALSE)="","",VLOOKUP(A737,[6]PRIORIZADOS!$A:$P,16,FALSE)),"")</f>
        <v>Visitas de evaluación con fines de mejoramiento</v>
      </c>
      <c r="Q737" s="107" t="s">
        <v>140</v>
      </c>
      <c r="R737" s="11" t="str">
        <f>IFERROR(IF(VLOOKUP(A737,[6]PRIORIZADOS!$A:$R,18,FALSE)="","",VLOOKUP(A737,[6]PRIORIZADOS!$A:$R,18,FALSE)),"")</f>
        <v xml:space="preserve">la insitucion evidencia una participacion  por parte de la comunidad educativa en actualización del manual se evidencia confucion entre faltas y situaciones convivenciales </v>
      </c>
      <c r="S737" s="11" t="str">
        <f>IFERROR(IF(VLOOKUP(A737,[6]PRIORIZADOS!$A:$S,19,FALSE)="","",VLOOKUP(A737,[6]PRIORIZADOS!$A:$S,19,FALSE)),"")</f>
        <v xml:space="preserve">Se indica que debe quedar registrado en el manual el debido proceso y hacer diferenciacion entre faltas y situaciones convivenciales </v>
      </c>
      <c r="T737" s="70" t="str">
        <f>IFERROR(IF(VLOOKUP(A737,[6]PRIORIZADOS!$A:$T,20,FALSE)="","",VLOOKUP(A737,[6]PRIORIZADOS!$A:$T,20,FALSE)),"")</f>
        <v>Si</v>
      </c>
      <c r="U737" s="11" t="str">
        <f>IFERROR(IF(VLOOKUP(A737,[6]PRIORIZADOS!$A:$U,21,FALSE)="","",VLOOKUP(A737,[6]PRIORIZADOS!$A:$U,21,FALSE)),"")</f>
        <v>Se requirió presentar Plan de Majoramiento con el fin de subsanar la situación actual. El PMI debe ser entregado al ELIV a más tardar el 15 de agosto de 2025</v>
      </c>
    </row>
    <row r="738" spans="1:21" s="1" customFormat="1" ht="48">
      <c r="A738" s="69">
        <f>IF([6]PRIORIZADOS!A104="","",[6]PRIORIZADOS!A104)</f>
        <v>676</v>
      </c>
      <c r="B738" s="70">
        <f>IFERROR(IF(VLOOKUP(A738,[6]PRIORIZADOS!$A:$B,2,FALSE)="","",VLOOKUP(A738,[6]PRIORIZADOS!$A:$B,2,FALSE)),"")</f>
        <v>11</v>
      </c>
      <c r="C738" s="11" t="str">
        <f>IFERROR(IF(VLOOKUP(A738,[6]PRIORIZADOS!$A:$C,3,FALSE)="","",VLOOKUP(A738,[6]PRIORIZADOS!$A:$C,3,FALSE)),"")</f>
        <v>ENGATIVÁ</v>
      </c>
      <c r="D738" s="11" t="str">
        <f>IFERROR(IF(VLOOKUP(A738,[6]PRIORIZADOS!$A:$D,4,FALSE)="","",VLOOKUP(A738,[6]PRIORIZADOS!$A:$D,4,FALSE)),"")</f>
        <v>PRIVADO</v>
      </c>
      <c r="E738" s="11" t="str">
        <f>IFERROR(IF(VLOOKUP(A738,[6]PRIORIZADOS!$A:$E,5,FALSE)="","",VLOOKUP(A738,[6]PRIORIZADOS!$A:$E,5,FALSE)),"")</f>
        <v>EPBM</v>
      </c>
      <c r="F738" s="11" t="str">
        <f>IFERROR(IF(VLOOKUP(A738,[6]PRIORIZADOS!$A:$F,6,FALSE)="","",VLOOKUP(A738,[6]PRIORIZADOS!$A:$F,6,FALSE)),"")</f>
        <v>INSTITUTO_JOSE_MARTINEZ_RUIZ</v>
      </c>
      <c r="G738" s="11" t="str">
        <f>IFERROR(IF(VLOOKUP(A738,[6]PRIORIZADOS!$A:$G,7,FALSE)="","",VLOOKUP(A738,[6]PRIORIZADOS!$A:$G,7,FALSE)),"")</f>
        <v>INSTITUTO_JOSE_MARTINEZ_RUIZ</v>
      </c>
      <c r="H738" s="11" t="str">
        <f>IFERROR(IF(VLOOKUP(A738,[6]PRIORIZADOS!$A:$H,8,FALSE)="","",VLOOKUP(A738,[6]PRIORIZADOS!$A:$H,8,FALSE)),"")</f>
        <v>Autoevaluación Institucional y Pruebas SABER 11</v>
      </c>
      <c r="I738" s="11" t="str">
        <f>IFERROR(IF(VLOOKUP(A738,[6]PRIORIZADOS!$A:$I,9,FALSE)="","",VLOOKUP(A738,[6]PRIORIZADOS!$A:$I,9,FALSE)),"")</f>
        <v>EVALUACIÓN_CON_FINES_DE_MEJORAMIENTO.</v>
      </c>
      <c r="J738" s="11" t="str">
        <f>IFERROR(IF(VLOOKUP(A738,[6]PRIORIZADOS!$A:$J,10,FALSE)="","",VLOOKUP(A738,[6]PRIORIZADOS!$A:$J,10,FALSE)),"")</f>
        <v>Revisar la actualización, socialización e implementación del Sistema Institucional de Evaluación de Estudiantes - SIEE, en articulación con la actualización del PEI y la normatividad vigente.</v>
      </c>
      <c r="K738" s="11" t="str">
        <f>IFERROR(IF(VLOOKUP(A738,[6]PRIORIZADOS!$A:$K,11,FALSE)="","",VLOOKUP(A738,[6]PRIORIZADOS!$A:$K,11,FALSE)),"")</f>
        <v>ANA MARÍA CASAS SANABRIA</v>
      </c>
      <c r="L738" s="11" t="str">
        <f>IFERROR(IF(VLOOKUP(A738,[6]PRIORIZADOS!$A:$L,12,FALSE)="","",VLOOKUP(A738,[6]PRIORIZADOS!$A:$L,12,FALSE)),"")</f>
        <v>JENIFER CATHERINE LEÓN ACOSTA</v>
      </c>
      <c r="M738" s="71">
        <f>IFERROR(IF(VLOOKUP(A738,[6]PRIORIZADOS!$A:$M,13,FALSE)="","",VLOOKUP(A738,[6]PRIORIZADOS!$A:$M,13,FALSE)),"")</f>
        <v>45860</v>
      </c>
      <c r="N738" s="139">
        <f>IFERROR(IF(VLOOKUP(A738,[6]PRIORIZADOS!$A:$N,14,FALSE)="","",VLOOKUP(A738,[6]PRIORIZADOS!$A:$N,14,FALSE)),"")</f>
        <v>45860</v>
      </c>
      <c r="O738" s="139">
        <f>IFERROR(IF(VLOOKUP(A738,[6]PRIORIZADOS!$A:$O,15,FALSE)="","",VLOOKUP(A738,[6]PRIORIZADOS!$A:$O,15,FALSE)),"")</f>
        <v>45860</v>
      </c>
      <c r="P738" s="11" t="str">
        <f>IFERROR(IF(VLOOKUP(A738,[6]PRIORIZADOS!$A:$P,16,FALSE)="","",VLOOKUP(A738,[6]PRIORIZADOS!$A:$P,16,FALSE)),"")</f>
        <v>Visitas de evaluación con fines de mejoramiento</v>
      </c>
      <c r="Q738" s="107" t="s">
        <v>140</v>
      </c>
      <c r="R738" s="11" t="str">
        <f>IFERROR(IF(VLOOKUP(A738,[6]PRIORIZADOS!$A:$R,18,FALSE)="","",VLOOKUP(A738,[6]PRIORIZADOS!$A:$R,18,FALSE)),"")</f>
        <v xml:space="preserve">se evidencia que la institucion aprobo el SIEE en el consejo academico y se encuentra presente en el manual de convivencia </v>
      </c>
      <c r="S738" s="11" t="str">
        <f>IFERROR(IF(VLOOKUP(A738,[6]PRIORIZADOS!$A:$S,19,FALSE)="","",VLOOKUP(A738,[6]PRIORIZADOS!$A:$S,19,FALSE)),"")</f>
        <v xml:space="preserve">se recomienda revisar el manual de convivencia donde presentan un comite de convivencia como organo alterno a las comisiones de evaluacion y promoción </v>
      </c>
      <c r="T738" s="70" t="str">
        <f>IFERROR(IF(VLOOKUP(A738,[6]PRIORIZADOS!$A:$T,20,FALSE)="","",VLOOKUP(A738,[6]PRIORIZADOS!$A:$T,20,FALSE)),"")</f>
        <v>Si</v>
      </c>
      <c r="U738" s="11" t="str">
        <f>IFERROR(IF(VLOOKUP(A738,[6]PRIORIZADOS!$A:$U,21,FALSE)="","",VLOOKUP(A738,[6]PRIORIZADOS!$A:$U,21,FALSE)),"")</f>
        <v>Se requirió presentar Plan de Majoramiento con el fin de subsanar la situación actual. El PMI debe ser entregado al ELIV a más tardar el 15 de agosto de 2025</v>
      </c>
    </row>
    <row r="739" spans="1:21" s="1" customFormat="1" ht="48">
      <c r="A739" s="69">
        <f>IF([6]PRIORIZADOS!A105="","",[6]PRIORIZADOS!A105)</f>
        <v>677</v>
      </c>
      <c r="B739" s="70">
        <f>IFERROR(IF(VLOOKUP(A739,[6]PRIORIZADOS!$A:$B,2,FALSE)="","",VLOOKUP(A739,[6]PRIORIZADOS!$A:$B,2,FALSE)),"")</f>
        <v>11</v>
      </c>
      <c r="C739" s="11" t="str">
        <f>IFERROR(IF(VLOOKUP(A739,[6]PRIORIZADOS!$A:$C,3,FALSE)="","",VLOOKUP(A739,[6]PRIORIZADOS!$A:$C,3,FALSE)),"")</f>
        <v>ENGATIVÁ</v>
      </c>
      <c r="D739" s="11" t="str">
        <f>IFERROR(IF(VLOOKUP(A739,[6]PRIORIZADOS!$A:$D,4,FALSE)="","",VLOOKUP(A739,[6]PRIORIZADOS!$A:$D,4,FALSE)),"")</f>
        <v>PRIVADO</v>
      </c>
      <c r="E739" s="11" t="str">
        <f>IFERROR(IF(VLOOKUP(A739,[6]PRIORIZADOS!$A:$E,5,FALSE)="","",VLOOKUP(A739,[6]PRIORIZADOS!$A:$E,5,FALSE)),"")</f>
        <v>EPBM</v>
      </c>
      <c r="F739" s="11" t="str">
        <f>IFERROR(IF(VLOOKUP(A739,[6]PRIORIZADOS!$A:$F,6,FALSE)="","",VLOOKUP(A739,[6]PRIORIZADOS!$A:$F,6,FALSE)),"")</f>
        <v>INSTITUTO_JOSE_MARTINEZ_RUIZ</v>
      </c>
      <c r="G739" s="11" t="str">
        <f>IFERROR(IF(VLOOKUP(A739,[6]PRIORIZADOS!$A:$G,7,FALSE)="","",VLOOKUP(A739,[6]PRIORIZADOS!$A:$G,7,FALSE)),"")</f>
        <v>INSTITUTO_JOSE_MARTINEZ_RUIZ</v>
      </c>
      <c r="H739" s="11" t="str">
        <f>IFERROR(IF(VLOOKUP(A739,[6]PRIORIZADOS!$A:$H,8,FALSE)="","",VLOOKUP(A739,[6]PRIORIZADOS!$A:$H,8,FALSE)),"")</f>
        <v>Autoevaluación Institucional y Pruebas SABER 11</v>
      </c>
      <c r="I739" s="11" t="str">
        <f>IFERROR(IF(VLOOKUP(A739,[6]PRIORIZADOS!$A:$I,9,FALSE)="","",VLOOKUP(A739,[6]PRIORIZADOS!$A:$I,9,FALSE)),"")</f>
        <v>EVALUACIÓN_CON_FINES_DE_MEJORAMIENTO.</v>
      </c>
      <c r="J739" s="11" t="str">
        <f>IFERROR(IF(VLOOKUP(A739,[6]PRIORIZADOS!$A:$J,10,FALSE)="","",VLOOKUP(A739,[6]PRIORIZADOS!$A:$J,10,FALSE)),"")</f>
        <v>Revisar el calendario escolar, jornada escolar, la intensidad horaria mínima anual en cada nivel y las modificaciones que se realicen al mismo, de acuerdo con lo previsto en la normatividad vigente.</v>
      </c>
      <c r="K739" s="11" t="str">
        <f>IFERROR(IF(VLOOKUP(A739,[6]PRIORIZADOS!$A:$K,11,FALSE)="","",VLOOKUP(A739,[6]PRIORIZADOS!$A:$K,11,FALSE)),"")</f>
        <v>ANA MARÍA CASAS SANABRIA</v>
      </c>
      <c r="L739" s="11" t="str">
        <f>IFERROR(IF(VLOOKUP(A739,[6]PRIORIZADOS!$A:$L,12,FALSE)="","",VLOOKUP(A739,[6]PRIORIZADOS!$A:$L,12,FALSE)),"")</f>
        <v>JENIFER CATHERINE LEÓN ACOSTA</v>
      </c>
      <c r="M739" s="71">
        <f>IFERROR(IF(VLOOKUP(A739,[6]PRIORIZADOS!$A:$M,13,FALSE)="","",VLOOKUP(A739,[6]PRIORIZADOS!$A:$M,13,FALSE)),"")</f>
        <v>45860</v>
      </c>
      <c r="N739" s="139">
        <f>IFERROR(IF(VLOOKUP(A739,[6]PRIORIZADOS!$A:$N,14,FALSE)="","",VLOOKUP(A739,[6]PRIORIZADOS!$A:$N,14,FALSE)),"")</f>
        <v>45860</v>
      </c>
      <c r="O739" s="139">
        <f>IFERROR(IF(VLOOKUP(A739,[6]PRIORIZADOS!$A:$O,15,FALSE)="","",VLOOKUP(A739,[6]PRIORIZADOS!$A:$O,15,FALSE)),"")</f>
        <v>45860</v>
      </c>
      <c r="P739" s="11" t="str">
        <f>IFERROR(IF(VLOOKUP(A739,[6]PRIORIZADOS!$A:$P,16,FALSE)="","",VLOOKUP(A739,[6]PRIORIZADOS!$A:$P,16,FALSE)),"")</f>
        <v>Visitas de evaluación con fines de mejoramiento</v>
      </c>
      <c r="Q739" s="107" t="s">
        <v>140</v>
      </c>
      <c r="R739" s="11" t="str">
        <f>IFERROR(IF(VLOOKUP(A739,[6]PRIORIZADOS!$A:$R,18,FALSE)="","",VLOOKUP(A739,[6]PRIORIZADOS!$A:$R,18,FALSE)),"")</f>
        <v xml:space="preserve">Se revisa en el calendario escolar  horario de clases y docentes el cumplimiento de la intensidad horaria </v>
      </c>
      <c r="S739" s="11" t="str">
        <f>IFERROR(IF(VLOOKUP(A739,[6]PRIORIZADOS!$A:$S,19,FALSE)="","",VLOOKUP(A739,[6]PRIORIZADOS!$A:$S,19,FALSE)),"")</f>
        <v>El colegio cumple la intensidad horaria establecida por nivel según normativa vigente</v>
      </c>
      <c r="T739" s="70" t="str">
        <f>IFERROR(IF(VLOOKUP(A739,[6]PRIORIZADOS!$A:$T,20,FALSE)="","",VLOOKUP(A739,[6]PRIORIZADOS!$A:$T,20,FALSE)),"")</f>
        <v>No</v>
      </c>
      <c r="U739" s="11" t="str">
        <f>IFERROR(IF(VLOOKUP(A739,[6]PRIORIZADOS!$A:$U,21,FALSE)="","",VLOOKUP(A739,[6]PRIORIZADOS!$A:$U,21,FALSE)),"")</f>
        <v>Se verificará en proximas visitas</v>
      </c>
    </row>
    <row r="740" spans="1:21" s="1" customFormat="1" ht="72">
      <c r="A740" s="69">
        <f>IF([6]PRIORIZADOS!A106="","",[6]PRIORIZADOS!A106)</f>
        <v>678</v>
      </c>
      <c r="B740" s="70">
        <f>IFERROR(IF(VLOOKUP(A740,[6]PRIORIZADOS!$A:$B,2,FALSE)="","",VLOOKUP(A740,[6]PRIORIZADOS!$A:$B,2,FALSE)),"")</f>
        <v>11</v>
      </c>
      <c r="C740" s="11" t="str">
        <f>IFERROR(IF(VLOOKUP(A740,[6]PRIORIZADOS!$A:$C,3,FALSE)="","",VLOOKUP(A740,[6]PRIORIZADOS!$A:$C,3,FALSE)),"")</f>
        <v>ENGATIVÁ</v>
      </c>
      <c r="D740" s="11" t="str">
        <f>IFERROR(IF(VLOOKUP(A740,[6]PRIORIZADOS!$A:$D,4,FALSE)="","",VLOOKUP(A740,[6]PRIORIZADOS!$A:$D,4,FALSE)),"")</f>
        <v>PRIVADO</v>
      </c>
      <c r="E740" s="11" t="str">
        <f>IFERROR(IF(VLOOKUP(A740,[6]PRIORIZADOS!$A:$E,5,FALSE)="","",VLOOKUP(A740,[6]PRIORIZADOS!$A:$E,5,FALSE)),"")</f>
        <v>EPBM</v>
      </c>
      <c r="F740" s="11" t="str">
        <f>IFERROR(IF(VLOOKUP(A740,[6]PRIORIZADOS!$A:$F,6,FALSE)="","",VLOOKUP(A740,[6]PRIORIZADOS!$A:$F,6,FALSE)),"")</f>
        <v>INSTITUTO_JOSE_MARTINEZ_RUIZ</v>
      </c>
      <c r="G740" s="11" t="str">
        <f>IFERROR(IF(VLOOKUP(A740,[6]PRIORIZADOS!$A:$G,7,FALSE)="","",VLOOKUP(A740,[6]PRIORIZADOS!$A:$G,7,FALSE)),"")</f>
        <v>INSTITUTO_JOSE_MARTINEZ_RUIZ</v>
      </c>
      <c r="H740" s="11" t="str">
        <f>IFERROR(IF(VLOOKUP(A740,[6]PRIORIZADOS!$A:$H,8,FALSE)="","",VLOOKUP(A740,[6]PRIORIZADOS!$A:$H,8,FALSE)),"")</f>
        <v>Autoevaluación Institucional y Pruebas SABER 11</v>
      </c>
      <c r="I740" s="11" t="str">
        <f>IFERROR(IF(VLOOKUP(A740,[6]PRIORIZADOS!$A:$I,9,FALSE)="","",VLOOKUP(A740,[6]PRIORIZADOS!$A:$I,9,FALSE)),"")</f>
        <v>EVALUACIÓN_CON_FINES_DE_MEJORAMIENTO.</v>
      </c>
      <c r="J740" s="11" t="str">
        <f>IFERROR(IF(VLOOKUP(A740,[6]PRIORIZADOS!$A:$J,10,FALSE)="","",VLOOKUP(A740,[6]PRIORIZADOS!$A:$J,10,FALSE)),"")</f>
        <v>Verificar el funcionamiento del Gobierno Escolar e instancias de participación con base en la información sobre conformación reportada por la institución educativa.</v>
      </c>
      <c r="K740" s="11" t="str">
        <f>IFERROR(IF(VLOOKUP(A740,[6]PRIORIZADOS!$A:$K,11,FALSE)="","",VLOOKUP(A740,[6]PRIORIZADOS!$A:$K,11,FALSE)),"")</f>
        <v>ANA MARÍA CASAS SANABRIA</v>
      </c>
      <c r="L740" s="11" t="str">
        <f>IFERROR(IF(VLOOKUP(A740,[6]PRIORIZADOS!$A:$L,12,FALSE)="","",VLOOKUP(A740,[6]PRIORIZADOS!$A:$L,12,FALSE)),"")</f>
        <v>JENIFER CATHERINE LEÓN ACOSTA</v>
      </c>
      <c r="M740" s="71">
        <f>IFERROR(IF(VLOOKUP(A740,[6]PRIORIZADOS!$A:$M,13,FALSE)="","",VLOOKUP(A740,[6]PRIORIZADOS!$A:$M,13,FALSE)),"")</f>
        <v>45860</v>
      </c>
      <c r="N740" s="139">
        <f>IFERROR(IF(VLOOKUP(A740,[6]PRIORIZADOS!$A:$N,14,FALSE)="","",VLOOKUP(A740,[6]PRIORIZADOS!$A:$N,14,FALSE)),"")</f>
        <v>45860</v>
      </c>
      <c r="O740" s="139">
        <f>IFERROR(IF(VLOOKUP(A740,[6]PRIORIZADOS!$A:$O,15,FALSE)="","",VLOOKUP(A740,[6]PRIORIZADOS!$A:$O,15,FALSE)),"")</f>
        <v>45860</v>
      </c>
      <c r="P740" s="11" t="str">
        <f>IFERROR(IF(VLOOKUP(A740,[6]PRIORIZADOS!$A:$P,16,FALSE)="","",VLOOKUP(A740,[6]PRIORIZADOS!$A:$P,16,FALSE)),"")</f>
        <v>Visitas de evaluación con fines de mejoramiento</v>
      </c>
      <c r="Q740" s="126" t="s">
        <v>140</v>
      </c>
      <c r="R740" s="11" t="str">
        <f>IFERROR(IF(VLOOKUP(A740,[6]PRIORIZADOS!$A:$R,18,FALSE)="","",VLOOKUP(A740,[6]PRIORIZADOS!$A:$R,18,FALSE)),"")</f>
        <v xml:space="preserve">Se observa la conformación del Gobierno Escolar y las instancias de participación a traves de las carpetas y actas.
No se evidencia el funcionamiento del Comite de Convivencia Escolar
</v>
      </c>
      <c r="S740" s="11" t="str">
        <f>IFERROR(IF(VLOOKUP(A740,[6]PRIORIZADOS!$A:$S,19,FALSE)="","",VLOOKUP(A740,[6]PRIORIZADOS!$A:$S,19,FALSE)),"")</f>
        <v>La institución presento dificultades para subir las actas al aplicativo SAE, lo cual se subsano durante la visita</v>
      </c>
      <c r="T740" s="70" t="str">
        <f>IFERROR(IF(VLOOKUP(A740,[6]PRIORIZADOS!$A:$T,20,FALSE)="","",VLOOKUP(A740,[6]PRIORIZADOS!$A:$T,20,FALSE)),"")</f>
        <v>No</v>
      </c>
      <c r="U740" s="11" t="str">
        <f>IFERROR(IF(VLOOKUP(A740,[6]PRIORIZADOS!$A:$U,21,FALSE)="","",VLOOKUP(A740,[6]PRIORIZADOS!$A:$U,21,FALSE)),"")</f>
        <v>Se verificará en proximas visitas</v>
      </c>
    </row>
    <row r="741" spans="1:21" s="1" customFormat="1" ht="60">
      <c r="A741" s="69">
        <f>IF([6]PRIORIZADOS!A107="","",[6]PRIORIZADOS!A107)</f>
        <v>679</v>
      </c>
      <c r="B741" s="70">
        <f>IFERROR(IF(VLOOKUP(A741,[6]PRIORIZADOS!$A:$B,2,FALSE)="","",VLOOKUP(A741,[6]PRIORIZADOS!$A:$B,2,FALSE)),"")</f>
        <v>11</v>
      </c>
      <c r="C741" s="11" t="str">
        <f>IFERROR(IF(VLOOKUP(A741,[6]PRIORIZADOS!$A:$C,3,FALSE)="","",VLOOKUP(A741,[6]PRIORIZADOS!$A:$C,3,FALSE)),"")</f>
        <v>ENGATIVÁ</v>
      </c>
      <c r="D741" s="11" t="str">
        <f>IFERROR(IF(VLOOKUP(A741,[6]PRIORIZADOS!$A:$D,4,FALSE)="","",VLOOKUP(A741,[6]PRIORIZADOS!$A:$D,4,FALSE)),"")</f>
        <v>PRIVADO</v>
      </c>
      <c r="E741" s="11" t="str">
        <f>IFERROR(IF(VLOOKUP(A741,[6]PRIORIZADOS!$A:$E,5,FALSE)="","",VLOOKUP(A741,[6]PRIORIZADOS!$A:$E,5,FALSE)),"")</f>
        <v>EPBM</v>
      </c>
      <c r="F741" s="11" t="str">
        <f>IFERROR(IF(VLOOKUP(A741,[6]PRIORIZADOS!$A:$F,6,FALSE)="","",VLOOKUP(A741,[6]PRIORIZADOS!$A:$F,6,FALSE)),"")</f>
        <v>INSTITUTO_JOSE_MARTINEZ_RUIZ</v>
      </c>
      <c r="G741" s="11" t="str">
        <f>IFERROR(IF(VLOOKUP(A741,[6]PRIORIZADOS!$A:$G,7,FALSE)="","",VLOOKUP(A741,[6]PRIORIZADOS!$A:$G,7,FALSE)),"")</f>
        <v>INSTITUTO_JOSE_MARTINEZ_RUIZ</v>
      </c>
      <c r="H741" s="11" t="str">
        <f>IFERROR(IF(VLOOKUP(A741,[6]PRIORIZADOS!$A:$H,8,FALSE)="","",VLOOKUP(A741,[6]PRIORIZADOS!$A:$H,8,FALSE)),"")</f>
        <v>Autoevaluación Institucional y Pruebas SABER 11</v>
      </c>
      <c r="I741" s="11" t="str">
        <f>IFERROR(IF(VLOOKUP(A741,[6]PRIORIZADOS!$A:$I,9,FALSE)="","",VLOOKUP(A741,[6]PRIORIZADOS!$A:$I,9,FALSE)),"")</f>
        <v>EVALUACIÓN_CON_FINES_DE_MEJORAMIENTO.</v>
      </c>
      <c r="J741" s="11" t="str">
        <f>IFERROR(IF(VLOOKUP(A741,[6]PRIORIZADOS!$A:$J,10,FALSE)="","",VLOOKUP(A741,[6]PRIORIZADOS!$A:$J,10,FALSE)),"")</f>
        <v>Verificar las condiciones en cuanto a: la estructura administrativa, condiciones de la planta física y medios educativos adecuados.</v>
      </c>
      <c r="K741" s="11" t="str">
        <f>IFERROR(IF(VLOOKUP(A741,[6]PRIORIZADOS!$A:$K,11,FALSE)="","",VLOOKUP(A741,[6]PRIORIZADOS!$A:$K,11,FALSE)),"")</f>
        <v>ANA MARÍA CASAS SANABRIA</v>
      </c>
      <c r="L741" s="11" t="str">
        <f>IFERROR(IF(VLOOKUP(A741,[6]PRIORIZADOS!$A:$L,12,FALSE)="","",VLOOKUP(A741,[6]PRIORIZADOS!$A:$L,12,FALSE)),"")</f>
        <v>JENIFER CATHERINE LEÓN ACOSTA</v>
      </c>
      <c r="M741" s="71">
        <f>IFERROR(IF(VLOOKUP(A741,[6]PRIORIZADOS!$A:$M,13,FALSE)="","",VLOOKUP(A741,[6]PRIORIZADOS!$A:$M,13,FALSE)),"")</f>
        <v>45860</v>
      </c>
      <c r="N741" s="139">
        <f>IFERROR(IF(VLOOKUP(A741,[6]PRIORIZADOS!$A:$N,14,FALSE)="","",VLOOKUP(A741,[6]PRIORIZADOS!$A:$N,14,FALSE)),"")</f>
        <v>45860</v>
      </c>
      <c r="O741" s="139">
        <f>IFERROR(IF(VLOOKUP(A741,[6]PRIORIZADOS!$A:$O,15,FALSE)="","",VLOOKUP(A741,[6]PRIORIZADOS!$A:$O,15,FALSE)),"")</f>
        <v>45860</v>
      </c>
      <c r="P741" s="11" t="str">
        <f>IFERROR(IF(VLOOKUP(A741,[6]PRIORIZADOS!$A:$P,16,FALSE)="","",VLOOKUP(A741,[6]PRIORIZADOS!$A:$P,16,FALSE)),"")</f>
        <v>Visitas de evaluación con fines de mejoramiento</v>
      </c>
      <c r="Q741" s="126" t="s">
        <v>140</v>
      </c>
      <c r="R741" s="11" t="str">
        <f>IFERROR(IF(VLOOKUP(A741,[6]PRIORIZADOS!$A:$R,18,FALSE)="","",VLOOKUP(A741,[6]PRIORIZADOS!$A:$R,18,FALSE)),"")</f>
        <v xml:space="preserve">Se evidencia que los espacios administrativos son suficientes para las funciones que se deben desarrollar. Las aulas de clase  son pequeñas para la cantidad de estudiantes. </v>
      </c>
      <c r="S741" s="11" t="str">
        <f>IFERROR(IF(VLOOKUP(A741,[6]PRIORIZADOS!$A:$S,19,FALSE)="","",VLOOKUP(A741,[6]PRIORIZADOS!$A:$S,19,FALSE)),"")</f>
        <v>Se remite la capacidad de cada aula teniendo en cuenta  el área de cada una de ellas. (1.3 m por estudiante)</v>
      </c>
      <c r="T741" s="70" t="str">
        <f>IFERROR(IF(VLOOKUP(A741,[6]PRIORIZADOS!$A:$T,20,FALSE)="","",VLOOKUP(A741,[6]PRIORIZADOS!$A:$T,20,FALSE)),"")</f>
        <v>Si</v>
      </c>
      <c r="U741" s="11" t="str">
        <f>IFERROR(IF(VLOOKUP(A741,[6]PRIORIZADOS!$A:$U,21,FALSE)="","",VLOOKUP(A741,[6]PRIORIZADOS!$A:$U,21,FALSE)),"")</f>
        <v>Se requirió presentar Plan de Majoramiento con el fin de subsanar la situación actual. El PMI debe ser entregado al ELIV a más tardar el 15 de agosto de 2025</v>
      </c>
    </row>
    <row r="742" spans="1:21" s="1" customFormat="1" ht="48">
      <c r="A742" s="69">
        <f>IF([6]PRIORIZADOS!A108="","",[6]PRIORIZADOS!A108)</f>
        <v>680</v>
      </c>
      <c r="B742" s="70">
        <f>IFERROR(IF(VLOOKUP(A742,[6]PRIORIZADOS!$A:$B,2,FALSE)="","",VLOOKUP(A742,[6]PRIORIZADOS!$A:$B,2,FALSE)),"")</f>
        <v>12</v>
      </c>
      <c r="C742" s="11" t="str">
        <f>IFERROR(IF(VLOOKUP(A742,[6]PRIORIZADOS!$A:$C,3,FALSE)="","",VLOOKUP(A742,[6]PRIORIZADOS!$A:$C,3,FALSE)),"")</f>
        <v>ENGATIVÁ</v>
      </c>
      <c r="D742" s="11" t="str">
        <f>IFERROR(IF(VLOOKUP(A742,[6]PRIORIZADOS!$A:$D,4,FALSE)="","",VLOOKUP(A742,[6]PRIORIZADOS!$A:$D,4,FALSE)),"")</f>
        <v>PRIVADO</v>
      </c>
      <c r="E742" s="11" t="str">
        <f>IFERROR(IF(VLOOKUP(A742,[6]PRIORIZADOS!$A:$E,5,FALSE)="","",VLOOKUP(A742,[6]PRIORIZADOS!$A:$E,5,FALSE)),"")</f>
        <v>EPBM</v>
      </c>
      <c r="F742" s="11" t="str">
        <f>IFERROR(IF(VLOOKUP(A742,[6]PRIORIZADOS!$A:$F,6,FALSE)="","",VLOOKUP(A742,[6]PRIORIZADOS!$A:$F,6,FALSE)),"")</f>
        <v>LICEO_SAN_RAFAEL_DE_ALICANTE</v>
      </c>
      <c r="G742" s="11" t="str">
        <f>IFERROR(IF(VLOOKUP(A742,[6]PRIORIZADOS!$A:$G,7,FALSE)="","",VLOOKUP(A742,[6]PRIORIZADOS!$A:$G,7,FALSE)),"")</f>
        <v>LICEO_SAN_RAFAEL_DE_ALICANTE</v>
      </c>
      <c r="H742" s="11" t="str">
        <f>IFERROR(IF(VLOOKUP(A742,[6]PRIORIZADOS!$A:$H,8,FALSE)="","",VLOOKUP(A742,[6]PRIORIZADOS!$A:$H,8,FALSE)),"")</f>
        <v>Autoevaluación Institucional y Pruebas SABER 11</v>
      </c>
      <c r="I742" s="11" t="str">
        <f>IFERROR(IF(VLOOKUP(A742,[6]PRIORIZADOS!$A:$I,9,FALSE)="","",VLOOKUP(A742,[6]PRIORIZADOS!$A:$I,9,FALSE)),"")</f>
        <v>SEGUIMIENTO_Y_SUPERVISIÓN.</v>
      </c>
      <c r="J742" s="11" t="str">
        <f>IFERROR(IF(VLOOKUP(A742,[6]PRIORIZADOS!$A:$J,10,FALSE)="","",VLOOKUP(A742,[6]PRIORIZADOS!$A:$J,10,FALSE)),"")</f>
        <v>Realizar visitas para verificar la información registrada sobre la autoevaluación institucional en el aplicativo EVI, a los establecimientos de educación formal no oficial.</v>
      </c>
      <c r="K742" s="11" t="str">
        <f>IFERROR(IF(VLOOKUP(A742,[6]PRIORIZADOS!$A:$K,11,FALSE)="","",VLOOKUP(A742,[6]PRIORIZADOS!$A:$K,11,FALSE)),"")</f>
        <v>JENIFER CATHERINE LEÓN ACOSTA</v>
      </c>
      <c r="L742" s="11" t="str">
        <f>IFERROR(IF(VLOOKUP(A742,[6]PRIORIZADOS!$A:$L,12,FALSE)="","",VLOOKUP(A742,[6]PRIORIZADOS!$A:$L,12,FALSE)),"")</f>
        <v>ANA MARÍA CASAS SANABRIA</v>
      </c>
      <c r="M742" s="71">
        <f>IFERROR(IF(VLOOKUP(A742,[6]PRIORIZADOS!$A:$M,13,FALSE)="","",VLOOKUP(A742,[6]PRIORIZADOS!$A:$M,13,FALSE)),"")</f>
        <v>45862</v>
      </c>
      <c r="N742" s="139">
        <f>IFERROR(IF(VLOOKUP(A742,[6]PRIORIZADOS!$A:$N,14,FALSE)="","",VLOOKUP(A742,[6]PRIORIZADOS!$A:$N,14,FALSE)),"")</f>
        <v>45862</v>
      </c>
      <c r="O742" s="139">
        <f>IFERROR(IF(VLOOKUP(A742,[6]PRIORIZADOS!$A:$O,15,FALSE)="","",VLOOKUP(A742,[6]PRIORIZADOS!$A:$O,15,FALSE)),"")</f>
        <v>45862</v>
      </c>
      <c r="P742" s="11" t="str">
        <f>IFERROR(IF(VLOOKUP(A742,[6]PRIORIZADOS!$A:$P,16,FALSE)="","",VLOOKUP(A742,[6]PRIORIZADOS!$A:$P,16,FALSE)),"")</f>
        <v>Visitas de evaluación con fines de seguimiento</v>
      </c>
      <c r="Q742" s="107" t="s">
        <v>141</v>
      </c>
      <c r="R742" s="11" t="str">
        <f>IFERROR(IF(VLOOKUP(A742,[6]PRIORIZADOS!$A:$R,18,FALSE)="","",VLOOKUP(A742,[6]PRIORIZADOS!$A:$R,18,FALSE)),"")</f>
        <v>La información reportada no corresponde, puesto que las baterias de baños  y lavamanos no corresponden a las reportadas</v>
      </c>
      <c r="S742" s="11" t="str">
        <f>IFERROR(IF(VLOOKUP(A742,[6]PRIORIZADOS!$A:$S,19,FALSE)="","",VLOOKUP(A742,[6]PRIORIZADOS!$A:$S,19,FALSE)),"")</f>
        <v>Se recomendo realizar la corrección  en la plataforma EVI</v>
      </c>
      <c r="T742" s="70" t="str">
        <f>IFERROR(IF(VLOOKUP(A742,[6]PRIORIZADOS!$A:$T,20,FALSE)="","",VLOOKUP(A742,[6]PRIORIZADOS!$A:$T,20,FALSE)),"")</f>
        <v>Si</v>
      </c>
      <c r="U742" s="11" t="str">
        <f>IFERROR(IF(VLOOKUP(A742,[6]PRIORIZADOS!$A:$U,21,FALSE)="","",VLOOKUP(A742,[6]PRIORIZADOS!$A:$U,21,FALSE)),"")</f>
        <v>Se verificará en la autoevaluacion 2025 de la plataforma EVI</v>
      </c>
    </row>
    <row r="743" spans="1:21" s="1" customFormat="1" ht="154.5">
      <c r="A743" s="69">
        <f>IF([6]PRIORIZADOS!A109="","",[6]PRIORIZADOS!A109)</f>
        <v>681</v>
      </c>
      <c r="B743" s="70">
        <f>IFERROR(IF(VLOOKUP(A743,[6]PRIORIZADOS!$A:$B,2,FALSE)="","",VLOOKUP(A743,[6]PRIORIZADOS!$A:$B,2,FALSE)),"")</f>
        <v>12</v>
      </c>
      <c r="C743" s="11" t="str">
        <f>IFERROR(IF(VLOOKUP(A743,[6]PRIORIZADOS!$A:$C,3,FALSE)="","",VLOOKUP(A743,[6]PRIORIZADOS!$A:$C,3,FALSE)),"")</f>
        <v>ENGATIVÁ</v>
      </c>
      <c r="D743" s="11" t="str">
        <f>IFERROR(IF(VLOOKUP(A743,[6]PRIORIZADOS!$A:$D,4,FALSE)="","",VLOOKUP(A743,[6]PRIORIZADOS!$A:$D,4,FALSE)),"")</f>
        <v>PRIVADO</v>
      </c>
      <c r="E743" s="11" t="str">
        <f>IFERROR(IF(VLOOKUP(A743,[6]PRIORIZADOS!$A:$E,5,FALSE)="","",VLOOKUP(A743,[6]PRIORIZADOS!$A:$E,5,FALSE)),"")</f>
        <v>EPBM</v>
      </c>
      <c r="F743" s="11" t="str">
        <f>IFERROR(IF(VLOOKUP(A743,[6]PRIORIZADOS!$A:$F,6,FALSE)="","",VLOOKUP(A743,[6]PRIORIZADOS!$A:$F,6,FALSE)),"")</f>
        <v>LICEO_SAN_RAFAEL_DE_ALICANTE</v>
      </c>
      <c r="G743" s="11" t="str">
        <f>IFERROR(IF(VLOOKUP(A743,[6]PRIORIZADOS!$A:$G,7,FALSE)="","",VLOOKUP(A743,[6]PRIORIZADOS!$A:$G,7,FALSE)),"")</f>
        <v>LICEO_SAN_RAFAEL_DE_ALICANTE</v>
      </c>
      <c r="H743" s="11" t="str">
        <f>IFERROR(IF(VLOOKUP(A743,[6]PRIORIZADOS!$A:$H,8,FALSE)="","",VLOOKUP(A743,[6]PRIORIZADOS!$A:$H,8,FALSE)),"")</f>
        <v>Autoevaluación Institucional y Pruebas SABER 11</v>
      </c>
      <c r="I743" s="11" t="str">
        <f>IFERROR(IF(VLOOKUP(A743,[6]PRIORIZADOS!$A:$I,9,FALSE)="","",VLOOKUP(A743,[6]PRIORIZADOS!$A:$I,9,FALSE)),"")</f>
        <v>SEGUIMIENTO_Y_SUPERVISIÓN.</v>
      </c>
      <c r="J743" s="11" t="str">
        <f>IFERROR(IF(VLOOKUP(A743,[6]PRIORIZADOS!$A:$J,10,FALSE)="","",VLOOKUP(A743,[6]PRIORIZADOS!$A:$J,10,FALSE)),"")</f>
        <v>Proponer estrategias en la formulación, verificar su elaboración y realizar seguimiento semestral al desarrollo de  las acciones establecidas en los planes de mejoramiento por pruebas SABER 11 de los establecimientos de educación formal.</v>
      </c>
      <c r="K743" s="11" t="str">
        <f>IFERROR(IF(VLOOKUP(A743,[6]PRIORIZADOS!$A:$K,11,FALSE)="","",VLOOKUP(A743,[6]PRIORIZADOS!$A:$K,11,FALSE)),"")</f>
        <v>JENIFER CATHERINE LEÓN ACOSTA</v>
      </c>
      <c r="L743" s="11" t="str">
        <f>IFERROR(IF(VLOOKUP(A743,[6]PRIORIZADOS!$A:$L,12,FALSE)="","",VLOOKUP(A743,[6]PRIORIZADOS!$A:$L,12,FALSE)),"")</f>
        <v>ANA MARÍA CASAS SANABRIA</v>
      </c>
      <c r="M743" s="71">
        <f>IFERROR(IF(VLOOKUP(A743,[6]PRIORIZADOS!$A:$M,13,FALSE)="","",VLOOKUP(A743,[6]PRIORIZADOS!$A:$M,13,FALSE)),"")</f>
        <v>45862</v>
      </c>
      <c r="N743" s="139">
        <f>IFERROR(IF(VLOOKUP(A743,[6]PRIORIZADOS!$A:$N,14,FALSE)="","",VLOOKUP(A743,[6]PRIORIZADOS!$A:$N,14,FALSE)),"")</f>
        <v>45862</v>
      </c>
      <c r="O743" s="139">
        <f>IFERROR(IF(VLOOKUP(A743,[6]PRIORIZADOS!$A:$O,15,FALSE)="","",VLOOKUP(A743,[6]PRIORIZADOS!$A:$O,15,FALSE)),"")</f>
        <v>45862</v>
      </c>
      <c r="P743" s="11" t="str">
        <f>IFERROR(IF(VLOOKUP(A743,[6]PRIORIZADOS!$A:$P,16,FALSE)="","",VLOOKUP(A743,[6]PRIORIZADOS!$A:$P,16,FALSE)),"")</f>
        <v>Visitas de evaluación con fines de seguimiento</v>
      </c>
      <c r="Q743" s="107" t="s">
        <v>141</v>
      </c>
      <c r="R743" s="11" t="str">
        <f>IFERROR(IF(VLOOKUP(A743,[6]PRIORIZADOS!$A:$R,18,FALSE)="","",VLOOKUP(A743,[6]PRIORIZADOS!$A:$R,18,FALSE)),"")</f>
        <v>Tienen  informe realizado por la empresa Educate colombia. Pero solo se realiza informe con el fin de realizar un preicfes con los estudiantes de la institucion, por parte de la empresa.</v>
      </c>
      <c r="S743" s="11" t="str">
        <f>IFERROR(IF(VLOOKUP(A743,[6]PRIORIZADOS!$A:$S,19,FALSE)="","",VLOOKUP(A743,[6]PRIORIZADOS!$A:$S,19,FALSE)),"")</f>
        <v>El establecimiento se compromete a analizar e incorporar los resultados de las pruebas SABER en el plan de estudios, con el fin de fortalecer las áreas que lo requieran, previa aprobación del Consejo Académico y Directivo. Asimismo, se garantiza que las acciones de mejoramiento académico estarán incluidas en el servicio educativo cubierto por la matrícula, sin generar cobros adicionales ni prácticas excluyentes. Los cursos PreICFES ofrecidos por terceros no se desarrollarán en horario escolar.</v>
      </c>
      <c r="T743" s="70" t="str">
        <f>IFERROR(IF(VLOOKUP(A743,[6]PRIORIZADOS!$A:$T,20,FALSE)="","",VLOOKUP(A743,[6]PRIORIZADOS!$A:$T,20,FALSE)),"")</f>
        <v>Si</v>
      </c>
      <c r="U743" s="11" t="str">
        <f>IFERROR(IF(VLOOKUP(A743,[6]PRIORIZADOS!$A:$U,21,FALSE)="","",VLOOKUP(A743,[6]PRIORIZADOS!$A:$U,21,FALSE)),"")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44" spans="1:21" s="1" customFormat="1" ht="118.5">
      <c r="A744" s="69">
        <f>IF([6]PRIORIZADOS!A110="","",[6]PRIORIZADOS!A110)</f>
        <v>682</v>
      </c>
      <c r="B744" s="70">
        <f>IFERROR(IF(VLOOKUP(A744,[6]PRIORIZADOS!$A:$B,2,FALSE)="","",VLOOKUP(A744,[6]PRIORIZADOS!$A:$B,2,FALSE)),"")</f>
        <v>12</v>
      </c>
      <c r="C744" s="11" t="str">
        <f>IFERROR(IF(VLOOKUP(A744,[6]PRIORIZADOS!$A:$C,3,FALSE)="","",VLOOKUP(A744,[6]PRIORIZADOS!$A:$C,3,FALSE)),"")</f>
        <v>ENGATIVÁ</v>
      </c>
      <c r="D744" s="11" t="str">
        <f>IFERROR(IF(VLOOKUP(A744,[6]PRIORIZADOS!$A:$D,4,FALSE)="","",VLOOKUP(A744,[6]PRIORIZADOS!$A:$D,4,FALSE)),"")</f>
        <v>PRIVADO</v>
      </c>
      <c r="E744" s="11" t="str">
        <f>IFERROR(IF(VLOOKUP(A744,[6]PRIORIZADOS!$A:$E,5,FALSE)="","",VLOOKUP(A744,[6]PRIORIZADOS!$A:$E,5,FALSE)),"")</f>
        <v>EPBM</v>
      </c>
      <c r="F744" s="11" t="str">
        <f>IFERROR(IF(VLOOKUP(A744,[6]PRIORIZADOS!$A:$F,6,FALSE)="","",VLOOKUP(A744,[6]PRIORIZADOS!$A:$F,6,FALSE)),"")</f>
        <v>LICEO_SAN_RAFAEL_DE_ALICANTE</v>
      </c>
      <c r="G744" s="11" t="str">
        <f>IFERROR(IF(VLOOKUP(A744,[6]PRIORIZADOS!$A:$G,7,FALSE)="","",VLOOKUP(A744,[6]PRIORIZADOS!$A:$G,7,FALSE)),"")</f>
        <v>LICEO_SAN_RAFAEL_DE_ALICANTE</v>
      </c>
      <c r="H744" s="11" t="str">
        <f>IFERROR(IF(VLOOKUP(A744,[6]PRIORIZADOS!$A:$H,8,FALSE)="","",VLOOKUP(A744,[6]PRIORIZADOS!$A:$H,8,FALSE)),"")</f>
        <v>Autoevaluación Institucional y Pruebas SABER 11</v>
      </c>
      <c r="I744" s="11" t="str">
        <f>IFERROR(IF(VLOOKUP(A744,[6]PRIORIZADOS!$A:$I,9,FALSE)="","",VLOOKUP(A744,[6]PRIORIZADOS!$A:$I,9,FALSE)),"")</f>
        <v>SEGUIMIENTO_Y_SUPERVISIÓN.</v>
      </c>
      <c r="J744" s="11" t="str">
        <f>IFERROR(IF(VLOOKUP(A744,[6]PRIORIZADOS!$A:$J,10,FALSE)="","",VLOOKUP(A744,[6]PRIORIZADOS!$A:$J,10,FALSE)),"")</f>
        <v xml:space="preserve">Verificar la implementación por parte de los colegios, de acciones realizadas para la prevención y atención de las situaciones de convivencia en el entorno escolar, según lo establecido en la Directiva 01 de 2022 del MEN. </v>
      </c>
      <c r="K744" s="11" t="str">
        <f>IFERROR(IF(VLOOKUP(A744,[6]PRIORIZADOS!$A:$K,11,FALSE)="","",VLOOKUP(A744,[6]PRIORIZADOS!$A:$K,11,FALSE)),"")</f>
        <v>JENIFER CATHERINE LEÓN ACOSTA</v>
      </c>
      <c r="L744" s="11" t="str">
        <f>IFERROR(IF(VLOOKUP(A744,[6]PRIORIZADOS!$A:$L,12,FALSE)="","",VLOOKUP(A744,[6]PRIORIZADOS!$A:$L,12,FALSE)),"")</f>
        <v>ANA MARÍA CASAS SANABRIA</v>
      </c>
      <c r="M744" s="71">
        <f>IFERROR(IF(VLOOKUP(A744,[6]PRIORIZADOS!$A:$M,13,FALSE)="","",VLOOKUP(A744,[6]PRIORIZADOS!$A:$M,13,FALSE)),"")</f>
        <v>45862</v>
      </c>
      <c r="N744" s="139">
        <f>IFERROR(IF(VLOOKUP(A744,[6]PRIORIZADOS!$A:$N,14,FALSE)="","",VLOOKUP(A744,[6]PRIORIZADOS!$A:$N,14,FALSE)),"")</f>
        <v>45862</v>
      </c>
      <c r="O744" s="139">
        <f>IFERROR(IF(VLOOKUP(A744,[6]PRIORIZADOS!$A:$O,15,FALSE)="","",VLOOKUP(A744,[6]PRIORIZADOS!$A:$O,15,FALSE)),"")</f>
        <v>45862</v>
      </c>
      <c r="P744" s="11" t="str">
        <f>IFERROR(IF(VLOOKUP(A744,[6]PRIORIZADOS!$A:$P,16,FALSE)="","",VLOOKUP(A744,[6]PRIORIZADOS!$A:$P,16,FALSE)),"")</f>
        <v>Visitas de evaluación con fines de seguimiento</v>
      </c>
      <c r="Q744" s="107" t="s">
        <v>141</v>
      </c>
      <c r="R744" s="11" t="str">
        <f>IFERROR(IF(VLOOKUP(A744,[6]PRIORIZADOS!$A:$R,18,FALSE)="","",VLOOKUP(A744,[6]PRIORIZADOS!$A:$R,18,FALSE)),"")</f>
        <v>No se ha aplicado la directiva 001</v>
      </c>
      <c r="S744" s="11" t="str">
        <f>IFERROR(IF(VLOOKUP(A744,[6]PRIORIZADOS!$A:$S,19,FALSE)="","",VLOOKUP(A744,[6]PRIORIZADOS!$A:$S,19,FALSE)),"")</f>
        <v>Socializar la Directiva 01 del MEN de 2022, “Orientaciones para la prevención de la violencia sexual en entornos escolares”, con todos los miembros de la comunidad educativa. Asimismo, realizar la revisión de posibles inhabilidades de conformidad con la normatividad vigente y enviar las evidencias correspondientes que demuestren el cumplimiento de estas acciones.</v>
      </c>
      <c r="T744" s="70" t="str">
        <f>IFERROR(IF(VLOOKUP(A744,[6]PRIORIZADOS!$A:$T,20,FALSE)="","",VLOOKUP(A744,[6]PRIORIZADOS!$A:$T,20,FALSE)),"")</f>
        <v>Si</v>
      </c>
      <c r="U744" s="11" t="str">
        <f>IFERROR(IF(VLOOKUP(A744,[6]PRIORIZADOS!$A:$U,21,FALSE)="","",VLOOKUP(A744,[6]PRIORIZADOS!$A:$U,21,FALSE)),"")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45" spans="1:21" s="1" customFormat="1" ht="118.5">
      <c r="A745" s="69">
        <f>IF([6]PRIORIZADOS!A111="","",[6]PRIORIZADOS!A111)</f>
        <v>683</v>
      </c>
      <c r="B745" s="70">
        <f>IFERROR(IF(VLOOKUP(A745,[6]PRIORIZADOS!$A:$B,2,FALSE)="","",VLOOKUP(A745,[6]PRIORIZADOS!$A:$B,2,FALSE)),"")</f>
        <v>12</v>
      </c>
      <c r="C745" s="11" t="str">
        <f>IFERROR(IF(VLOOKUP(A745,[6]PRIORIZADOS!$A:$C,3,FALSE)="","",VLOOKUP(A745,[6]PRIORIZADOS!$A:$C,3,FALSE)),"")</f>
        <v>ENGATIVÁ</v>
      </c>
      <c r="D745" s="11" t="str">
        <f>IFERROR(IF(VLOOKUP(A745,[6]PRIORIZADOS!$A:$D,4,FALSE)="","",VLOOKUP(A745,[6]PRIORIZADOS!$A:$D,4,FALSE)),"")</f>
        <v>PRIVADO</v>
      </c>
      <c r="E745" s="11" t="str">
        <f>IFERROR(IF(VLOOKUP(A745,[6]PRIORIZADOS!$A:$E,5,FALSE)="","",VLOOKUP(A745,[6]PRIORIZADOS!$A:$E,5,FALSE)),"")</f>
        <v>EPBM</v>
      </c>
      <c r="F745" s="11" t="str">
        <f>IFERROR(IF(VLOOKUP(A745,[6]PRIORIZADOS!$A:$F,6,FALSE)="","",VLOOKUP(A745,[6]PRIORIZADOS!$A:$F,6,FALSE)),"")</f>
        <v>LICEO_SAN_RAFAEL_DE_ALICANTE</v>
      </c>
      <c r="G745" s="11" t="str">
        <f>IFERROR(IF(VLOOKUP(A745,[6]PRIORIZADOS!$A:$G,7,FALSE)="","",VLOOKUP(A745,[6]PRIORIZADOS!$A:$G,7,FALSE)),"")</f>
        <v>LICEO_SAN_RAFAEL_DE_ALICANTE</v>
      </c>
      <c r="H745" s="11" t="str">
        <f>IFERROR(IF(VLOOKUP(A745,[6]PRIORIZADOS!$A:$H,8,FALSE)="","",VLOOKUP(A745,[6]PRIORIZADOS!$A:$H,8,FALSE)),"")</f>
        <v>Autoevaluación Institucional y Pruebas SABER 11</v>
      </c>
      <c r="I745" s="11" t="str">
        <f>IFERROR(IF(VLOOKUP(A745,[6]PRIORIZADOS!$A:$I,9,FALSE)="","",VLOOKUP(A745,[6]PRIORIZADOS!$A:$I,9,FALSE)),"")</f>
        <v>SEGUIMIENTO_Y_SUPERVISIÓN.</v>
      </c>
      <c r="J745" s="11" t="str">
        <f>IFERROR(IF(VLOOKUP(A745,[6]PRIORIZADOS!$A:$J,10,FALSE)="","",VLOOKUP(A745,[6]PRIORIZADOS!$A:$J,10,FALSE)),"")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45" s="11" t="str">
        <f>IFERROR(IF(VLOOKUP(A745,[6]PRIORIZADOS!$A:$K,11,FALSE)="","",VLOOKUP(A745,[6]PRIORIZADOS!$A:$K,11,FALSE)),"")</f>
        <v>JENIFER CATHERINE LEÓN ACOSTA</v>
      </c>
      <c r="L745" s="11" t="str">
        <f>IFERROR(IF(VLOOKUP(A745,[6]PRIORIZADOS!$A:$L,12,FALSE)="","",VLOOKUP(A745,[6]PRIORIZADOS!$A:$L,12,FALSE)),"")</f>
        <v>ANA MARÍA CASAS SANABRIA</v>
      </c>
      <c r="M745" s="71">
        <f>IFERROR(IF(VLOOKUP(A745,[6]PRIORIZADOS!$A:$M,13,FALSE)="","",VLOOKUP(A745,[6]PRIORIZADOS!$A:$M,13,FALSE)),"")</f>
        <v>45862</v>
      </c>
      <c r="N745" s="139">
        <f>IFERROR(IF(VLOOKUP(A745,[6]PRIORIZADOS!$A:$N,14,FALSE)="","",VLOOKUP(A745,[6]PRIORIZADOS!$A:$N,14,FALSE)),"")</f>
        <v>45862</v>
      </c>
      <c r="O745" s="139">
        <f>IFERROR(IF(VLOOKUP(A745,[6]PRIORIZADOS!$A:$O,15,FALSE)="","",VLOOKUP(A745,[6]PRIORIZADOS!$A:$O,15,FALSE)),"")</f>
        <v>45862</v>
      </c>
      <c r="P745" s="11" t="str">
        <f>IFERROR(IF(VLOOKUP(A745,[6]PRIORIZADOS!$A:$P,16,FALSE)="","",VLOOKUP(A745,[6]PRIORIZADOS!$A:$P,16,FALSE)),"")</f>
        <v>Visitas de evaluación con fines de seguimiento</v>
      </c>
      <c r="Q745" s="107" t="s">
        <v>141</v>
      </c>
      <c r="R745" s="11" t="str">
        <f>IFERROR(IF(VLOOKUP(A745,[6]PRIORIZADOS!$A:$R,18,FALSE)="","",VLOOKUP(A745,[6]PRIORIZADOS!$A:$R,18,FALSE)),"")</f>
        <v>El colegio no cuenta con una identificación clara de los niños con discapacidad, trastornos o talentos. La información se debe organizar de tal manera que se puedan realizar los PIAR , de los estudiantes que lo requieran.</v>
      </c>
      <c r="S745" s="11" t="str">
        <f>IFERROR(IF(VLOOKUP(A745,[6]PRIORIZADOS!$A:$S,19,FALSE)="","",VLOOKUP(A745,[6]PRIORIZADOS!$A:$S,19,FALSE)),"")</f>
        <v>Se concluye que, actualmente, no se cuenta con ningún PIAR elaborado para los 19 estudiantes reportados en el SIMAT.
Se recomienda proceder con la elaboración de los respectivos PIAR, gestionar su firma por parte de los padres de familia y remitir las evidencias correspondientes que den cuenta del cumplimiento de este requerimiento.</v>
      </c>
      <c r="T745" s="70" t="str">
        <f>IFERROR(IF(VLOOKUP(A745,[6]PRIORIZADOS!$A:$T,20,FALSE)="","",VLOOKUP(A745,[6]PRIORIZADOS!$A:$T,20,FALSE)),"")</f>
        <v>Si</v>
      </c>
      <c r="U745" s="11" t="str">
        <f>IFERROR(IF(VLOOKUP(A745,[6]PRIORIZADOS!$A:$U,21,FALSE)="","",VLOOKUP(A745,[6]PRIORIZADOS!$A:$U,21,FALSE)),"")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46" spans="1:21" s="1" customFormat="1" ht="202.5">
      <c r="A746" s="69">
        <f>IF([6]PRIORIZADOS!A112="","",[6]PRIORIZADOS!A112)</f>
        <v>684</v>
      </c>
      <c r="B746" s="70">
        <f>IFERROR(IF(VLOOKUP(A746,[6]PRIORIZADOS!$A:$B,2,FALSE)="","",VLOOKUP(A746,[6]PRIORIZADOS!$A:$B,2,FALSE)),"")</f>
        <v>12</v>
      </c>
      <c r="C746" s="11" t="str">
        <f>IFERROR(IF(VLOOKUP(A746,[6]PRIORIZADOS!$A:$C,3,FALSE)="","",VLOOKUP(A746,[6]PRIORIZADOS!$A:$C,3,FALSE)),"")</f>
        <v>ENGATIVÁ</v>
      </c>
      <c r="D746" s="11" t="str">
        <f>IFERROR(IF(VLOOKUP(A746,[6]PRIORIZADOS!$A:$D,4,FALSE)="","",VLOOKUP(A746,[6]PRIORIZADOS!$A:$D,4,FALSE)),"")</f>
        <v>PRIVADO</v>
      </c>
      <c r="E746" s="11" t="str">
        <f>IFERROR(IF(VLOOKUP(A746,[6]PRIORIZADOS!$A:$E,5,FALSE)="","",VLOOKUP(A746,[6]PRIORIZADOS!$A:$E,5,FALSE)),"")</f>
        <v>EPBM</v>
      </c>
      <c r="F746" s="11" t="str">
        <f>IFERROR(IF(VLOOKUP(A746,[6]PRIORIZADOS!$A:$F,6,FALSE)="","",VLOOKUP(A746,[6]PRIORIZADOS!$A:$F,6,FALSE)),"")</f>
        <v>LICEO_SAN_RAFAEL_DE_ALICANTE</v>
      </c>
      <c r="G746" s="11" t="str">
        <f>IFERROR(IF(VLOOKUP(A746,[6]PRIORIZADOS!$A:$G,7,FALSE)="","",VLOOKUP(A746,[6]PRIORIZADOS!$A:$G,7,FALSE)),"")</f>
        <v>LICEO_SAN_RAFAEL_DE_ALICANTE</v>
      </c>
      <c r="H746" s="11" t="str">
        <f>IFERROR(IF(VLOOKUP(A746,[6]PRIORIZADOS!$A:$H,8,FALSE)="","",VLOOKUP(A746,[6]PRIORIZADOS!$A:$H,8,FALSE)),"")</f>
        <v>Autoevaluación Institucional y Pruebas SABER 11</v>
      </c>
      <c r="I746" s="11" t="str">
        <f>IFERROR(IF(VLOOKUP(A746,[6]PRIORIZADOS!$A:$I,9,FALSE)="","",VLOOKUP(A746,[6]PRIORIZADOS!$A:$I,9,FALSE)),"")</f>
        <v>EVALUACIÓN_CON_FINES_DE_MEJORAMIENTO.</v>
      </c>
      <c r="J746" s="11" t="str">
        <f>IFERROR(IF(VLOOKUP(A746,[6]PRIORIZADOS!$A:$J,10,FALSE)="","",VLOOKUP(A746,[6]PRIORIZADOS!$A:$J,10,FALSE)),"")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46" s="11" t="str">
        <f>IFERROR(IF(VLOOKUP(A746,[6]PRIORIZADOS!$A:$K,11,FALSE)="","",VLOOKUP(A746,[6]PRIORIZADOS!$A:$K,11,FALSE)),"")</f>
        <v>JENIFER CATHERINE LEÓN ACOSTA</v>
      </c>
      <c r="L746" s="11" t="str">
        <f>IFERROR(IF(VLOOKUP(A746,[6]PRIORIZADOS!$A:$L,12,FALSE)="","",VLOOKUP(A746,[6]PRIORIZADOS!$A:$L,12,FALSE)),"")</f>
        <v>ANA MARÍA CASAS SANABRIA</v>
      </c>
      <c r="M746" s="71">
        <f>IFERROR(IF(VLOOKUP(A746,[6]PRIORIZADOS!$A:$M,13,FALSE)="","",VLOOKUP(A746,[6]PRIORIZADOS!$A:$M,13,FALSE)),"")</f>
        <v>45862</v>
      </c>
      <c r="N746" s="139">
        <f>IFERROR(IF(VLOOKUP(A746,[6]PRIORIZADOS!$A:$N,14,FALSE)="","",VLOOKUP(A746,[6]PRIORIZADOS!$A:$N,14,FALSE)),"")</f>
        <v>45862</v>
      </c>
      <c r="O746" s="139">
        <f>IFERROR(IF(VLOOKUP(A746,[6]PRIORIZADOS!$A:$O,15,FALSE)="","",VLOOKUP(A746,[6]PRIORIZADOS!$A:$O,15,FALSE)),"")</f>
        <v>45862</v>
      </c>
      <c r="P746" s="11" t="str">
        <f>IFERROR(IF(VLOOKUP(A746,[6]PRIORIZADOS!$A:$P,16,FALSE)="","",VLOOKUP(A746,[6]PRIORIZADOS!$A:$P,16,FALSE)),"")</f>
        <v>Visitas de evaluación con fines de mejoramiento</v>
      </c>
      <c r="Q746" s="107" t="s">
        <v>141</v>
      </c>
      <c r="R746" s="11" t="str">
        <f>IFERROR(IF(VLOOKUP(A746,[6]PRIORIZADOS!$A:$R,18,FALSE)="","",VLOOKUP(A746,[6]PRIORIZADOS!$A:$R,18,FALSE)),"")</f>
        <v>No se tiene actualizó el manual de convivencia según la normatividad vigente.</v>
      </c>
      <c r="S746" s="11" t="str">
        <f>IFERROR(IF(VLOOKUP(A746,[6]PRIORIZADOS!$A:$S,19,FALSE)="","",VLOOKUP(A746,[6]PRIORIZADOS!$A:$S,19,FALSE)),"")</f>
        <v>Se requiere una actualización del Manual de Convivencia, dado que actualmente existe confusión entre las situaciones convivenciales y la aplicación de los protocolos 5.0. Es fundamental establecer un debido proceso claro y riguroso para el tratamiento de las faltas disciplinarias, garantizando así la transparencia y la equidad en su resolución. Además, se debe incorporar de manera explícita el enfoque de diversidad y el modelo restaurativo como ejes orientadores de las acciones pedagógicas y formativas, con el fin de promover una cultura escolar más inclusiva, participativa y respetuosa de los derechos de todos los miembros de la comunidad educativa.</v>
      </c>
      <c r="T746" s="70" t="str">
        <f>IFERROR(IF(VLOOKUP(A746,[6]PRIORIZADOS!$A:$T,20,FALSE)="","",VLOOKUP(A746,[6]PRIORIZADOS!$A:$T,20,FALSE)),"")</f>
        <v>Si</v>
      </c>
      <c r="U746" s="11" t="str">
        <f>IFERROR(IF(VLOOKUP(A746,[6]PRIORIZADOS!$A:$U,21,FALSE)="","",VLOOKUP(A746,[6]PRIORIZADOS!$A:$U,21,FALSE)),"")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47" spans="1:21" s="1" customFormat="1" ht="238.5">
      <c r="A747" s="69">
        <f>IF([6]PRIORIZADOS!A113="","",[6]PRIORIZADOS!A113)</f>
        <v>685</v>
      </c>
      <c r="B747" s="70">
        <f>IFERROR(IF(VLOOKUP(A747,[6]PRIORIZADOS!$A:$B,2,FALSE)="","",VLOOKUP(A747,[6]PRIORIZADOS!$A:$B,2,FALSE)),"")</f>
        <v>12</v>
      </c>
      <c r="C747" s="11" t="str">
        <f>IFERROR(IF(VLOOKUP(A747,[6]PRIORIZADOS!$A:$C,3,FALSE)="","",VLOOKUP(A747,[6]PRIORIZADOS!$A:$C,3,FALSE)),"")</f>
        <v>ENGATIVÁ</v>
      </c>
      <c r="D747" s="11" t="str">
        <f>IFERROR(IF(VLOOKUP(A747,[6]PRIORIZADOS!$A:$D,4,FALSE)="","",VLOOKUP(A747,[6]PRIORIZADOS!$A:$D,4,FALSE)),"")</f>
        <v>PRIVADO</v>
      </c>
      <c r="E747" s="11" t="str">
        <f>IFERROR(IF(VLOOKUP(A747,[6]PRIORIZADOS!$A:$E,5,FALSE)="","",VLOOKUP(A747,[6]PRIORIZADOS!$A:$E,5,FALSE)),"")</f>
        <v>EPBM</v>
      </c>
      <c r="F747" s="11" t="str">
        <f>IFERROR(IF(VLOOKUP(A747,[6]PRIORIZADOS!$A:$F,6,FALSE)="","",VLOOKUP(A747,[6]PRIORIZADOS!$A:$F,6,FALSE)),"")</f>
        <v>LICEO_SAN_RAFAEL_DE_ALICANTE</v>
      </c>
      <c r="G747" s="11" t="str">
        <f>IFERROR(IF(VLOOKUP(A747,[6]PRIORIZADOS!$A:$G,7,FALSE)="","",VLOOKUP(A747,[6]PRIORIZADOS!$A:$G,7,FALSE)),"")</f>
        <v>LICEO_SAN_RAFAEL_DE_ALICANTE</v>
      </c>
      <c r="H747" s="11" t="str">
        <f>IFERROR(IF(VLOOKUP(A747,[6]PRIORIZADOS!$A:$H,8,FALSE)="","",VLOOKUP(A747,[6]PRIORIZADOS!$A:$H,8,FALSE)),"")</f>
        <v>Autoevaluación Institucional y Pruebas SABER 11</v>
      </c>
      <c r="I747" s="11" t="str">
        <f>IFERROR(IF(VLOOKUP(A747,[6]PRIORIZADOS!$A:$I,9,FALSE)="","",VLOOKUP(A747,[6]PRIORIZADOS!$A:$I,9,FALSE)),"")</f>
        <v>EVALUACIÓN_CON_FINES_DE_MEJORAMIENTO.</v>
      </c>
      <c r="J747" s="11" t="str">
        <f>IFERROR(IF(VLOOKUP(A747,[6]PRIORIZADOS!$A:$J,10,FALSE)="","",VLOOKUP(A747,[6]PRIORIZADOS!$A:$J,10,FALSE)),"")</f>
        <v>Revisar la actualización, socialización e implementación del Sistema Institucional de Evaluación de Estudiantes - SIEE, en articulación con la actualización del PEI y la normatividad vigente.</v>
      </c>
      <c r="K747" s="11" t="str">
        <f>IFERROR(IF(VLOOKUP(A747,[6]PRIORIZADOS!$A:$K,11,FALSE)="","",VLOOKUP(A747,[6]PRIORIZADOS!$A:$K,11,FALSE)),"")</f>
        <v>JENIFER CATHERINE LEÓN ACOSTA</v>
      </c>
      <c r="L747" s="11" t="str">
        <f>IFERROR(IF(VLOOKUP(A747,[6]PRIORIZADOS!$A:$L,12,FALSE)="","",VLOOKUP(A747,[6]PRIORIZADOS!$A:$L,12,FALSE)),"")</f>
        <v>ANA MARÍA CASAS SANABRIA</v>
      </c>
      <c r="M747" s="71">
        <f>IFERROR(IF(VLOOKUP(A747,[6]PRIORIZADOS!$A:$M,13,FALSE)="","",VLOOKUP(A747,[6]PRIORIZADOS!$A:$M,13,FALSE)),"")</f>
        <v>45862</v>
      </c>
      <c r="N747" s="139">
        <f>IFERROR(IF(VLOOKUP(A747,[6]PRIORIZADOS!$A:$N,14,FALSE)="","",VLOOKUP(A747,[6]PRIORIZADOS!$A:$N,14,FALSE)),"")</f>
        <v>45862</v>
      </c>
      <c r="O747" s="139">
        <f>IFERROR(IF(VLOOKUP(A747,[6]PRIORIZADOS!$A:$O,15,FALSE)="","",VLOOKUP(A747,[6]PRIORIZADOS!$A:$O,15,FALSE)),"")</f>
        <v>45862</v>
      </c>
      <c r="P747" s="11" t="str">
        <f>IFERROR(IF(VLOOKUP(A747,[6]PRIORIZADOS!$A:$P,16,FALSE)="","",VLOOKUP(A747,[6]PRIORIZADOS!$A:$P,16,FALSE)),"")</f>
        <v>Visitas de evaluación con fines de mejoramiento</v>
      </c>
      <c r="Q747" s="107" t="s">
        <v>141</v>
      </c>
      <c r="R747" s="11" t="str">
        <f>IFERROR(IF(VLOOKUP(A747,[6]PRIORIZADOS!$A:$R,18,FALSE)="","",VLOOKUP(A747,[6]PRIORIZADOS!$A:$R,18,FALSE)),"")</f>
        <v xml:space="preserve"> Se debe armonizar el proceso de evaluación de   los niños de preescolar, ya que se esta  realizando por áreas y no por dimensiones.</v>
      </c>
      <c r="S747" s="11" t="str">
        <f>IFERROR(IF(VLOOKUP(A747,[6]PRIORIZADOS!$A:$S,19,FALSE)="","",VLOOKUP(A747,[6]PRIORIZADOS!$A:$S,19,FALSE)),"")</f>
        <v>Se identifica la necesidad de armonizar el proceso de evaluación en el nivel de preescolar, ya que actualmente se está realizando por áreas, lo cual no corresponde con el enfoque formativo e integral establecido para esta etapa educativa. En consecuencia, se debe unificar el proceso evaluativo en torno a las dimensiones del desarrollo infantil (corporal, comunicativa, socioafectiva, ética, estética y cognitiva), garantizando así una valoración coherente con el propósito pedagógico del nivel. Como compromiso institucional, se elaborará una guía orientadora para docentes, se brindará formación específica sobre evaluación por dimensiones y se ajustarán los instrumentos evaluativos en coherencia con los lineamientos del Ministerio de Educación Nacional.</v>
      </c>
      <c r="T747" s="70" t="str">
        <f>IFERROR(IF(VLOOKUP(A747,[6]PRIORIZADOS!$A:$T,20,FALSE)="","",VLOOKUP(A747,[6]PRIORIZADOS!$A:$T,20,FALSE)),"")</f>
        <v>Si</v>
      </c>
      <c r="U747" s="11" t="str">
        <f>IFERROR(IF(VLOOKUP(A747,[6]PRIORIZADOS!$A:$U,21,FALSE)="","",VLOOKUP(A747,[6]PRIORIZADOS!$A:$U,21,FALSE)),"")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48" spans="1:21" s="1" customFormat="1" ht="48">
      <c r="A748" s="69">
        <f>IF([6]PRIORIZADOS!A114="","",[6]PRIORIZADOS!A114)</f>
        <v>686</v>
      </c>
      <c r="B748" s="70">
        <f>IFERROR(IF(VLOOKUP(A748,[6]PRIORIZADOS!$A:$B,2,FALSE)="","",VLOOKUP(A748,[6]PRIORIZADOS!$A:$B,2,FALSE)),"")</f>
        <v>12</v>
      </c>
      <c r="C748" s="11" t="str">
        <f>IFERROR(IF(VLOOKUP(A748,[6]PRIORIZADOS!$A:$C,3,FALSE)="","",VLOOKUP(A748,[6]PRIORIZADOS!$A:$C,3,FALSE)),"")</f>
        <v>ENGATIVÁ</v>
      </c>
      <c r="D748" s="11" t="str">
        <f>IFERROR(IF(VLOOKUP(A748,[6]PRIORIZADOS!$A:$D,4,FALSE)="","",VLOOKUP(A748,[6]PRIORIZADOS!$A:$D,4,FALSE)),"")</f>
        <v>PRIVADO</v>
      </c>
      <c r="E748" s="11" t="str">
        <f>IFERROR(IF(VLOOKUP(A748,[6]PRIORIZADOS!$A:$E,5,FALSE)="","",VLOOKUP(A748,[6]PRIORIZADOS!$A:$E,5,FALSE)),"")</f>
        <v>EPBM</v>
      </c>
      <c r="F748" s="11" t="str">
        <f>IFERROR(IF(VLOOKUP(A748,[6]PRIORIZADOS!$A:$F,6,FALSE)="","",VLOOKUP(A748,[6]PRIORIZADOS!$A:$F,6,FALSE)),"")</f>
        <v>LICEO_SAN_RAFAEL_DE_ALICANTE</v>
      </c>
      <c r="G748" s="11" t="str">
        <f>IFERROR(IF(VLOOKUP(A748,[6]PRIORIZADOS!$A:$G,7,FALSE)="","",VLOOKUP(A748,[6]PRIORIZADOS!$A:$G,7,FALSE)),"")</f>
        <v>LICEO_SAN_RAFAEL_DE_ALICANTE</v>
      </c>
      <c r="H748" s="11" t="str">
        <f>IFERROR(IF(VLOOKUP(A748,[6]PRIORIZADOS!$A:$H,8,FALSE)="","",VLOOKUP(A748,[6]PRIORIZADOS!$A:$H,8,FALSE)),"")</f>
        <v>Autoevaluación Institucional y Pruebas SABER 11</v>
      </c>
      <c r="I748" s="11" t="str">
        <f>IFERROR(IF(VLOOKUP(A748,[6]PRIORIZADOS!$A:$I,9,FALSE)="","",VLOOKUP(A748,[6]PRIORIZADOS!$A:$I,9,FALSE)),"")</f>
        <v>EVALUACIÓN_CON_FINES_DE_MEJORAMIENTO.</v>
      </c>
      <c r="J748" s="11" t="str">
        <f>IFERROR(IF(VLOOKUP(A748,[6]PRIORIZADOS!$A:$J,10,FALSE)="","",VLOOKUP(A748,[6]PRIORIZADOS!$A:$J,10,FALSE)),"")</f>
        <v>Revisar el calendario escolar, jornada escolar, la intensidad horaria mínima anual en cada nivel y las modificaciones que se realicen al mismo, de acuerdo con lo previsto en la normatividad vigente.</v>
      </c>
      <c r="K748" s="11" t="str">
        <f>IFERROR(IF(VLOOKUP(A748,[6]PRIORIZADOS!$A:$K,11,FALSE)="","",VLOOKUP(A748,[6]PRIORIZADOS!$A:$K,11,FALSE)),"")</f>
        <v>JENIFER CATHERINE LEÓN ACOSTA</v>
      </c>
      <c r="L748" s="11" t="str">
        <f>IFERROR(IF(VLOOKUP(A748,[6]PRIORIZADOS!$A:$L,12,FALSE)="","",VLOOKUP(A748,[6]PRIORIZADOS!$A:$L,12,FALSE)),"")</f>
        <v>ANA MARÍA CASAS SANABRIA</v>
      </c>
      <c r="M748" s="71">
        <f>IFERROR(IF(VLOOKUP(A748,[6]PRIORIZADOS!$A:$M,13,FALSE)="","",VLOOKUP(A748,[6]PRIORIZADOS!$A:$M,13,FALSE)),"")</f>
        <v>45862</v>
      </c>
      <c r="N748" s="139">
        <f>IFERROR(IF(VLOOKUP(A748,[6]PRIORIZADOS!$A:$N,14,FALSE)="","",VLOOKUP(A748,[6]PRIORIZADOS!$A:$N,14,FALSE)),"")</f>
        <v>45862</v>
      </c>
      <c r="O748" s="139">
        <f>IFERROR(IF(VLOOKUP(A748,[6]PRIORIZADOS!$A:$O,15,FALSE)="","",VLOOKUP(A748,[6]PRIORIZADOS!$A:$O,15,FALSE)),"")</f>
        <v>45862</v>
      </c>
      <c r="P748" s="11" t="str">
        <f>IFERROR(IF(VLOOKUP(A748,[6]PRIORIZADOS!$A:$P,16,FALSE)="","",VLOOKUP(A748,[6]PRIORIZADOS!$A:$P,16,FALSE)),"")</f>
        <v>Visitas de evaluación con fines de mejoramiento</v>
      </c>
      <c r="Q748" s="107" t="s">
        <v>141</v>
      </c>
      <c r="R748" s="11" t="str">
        <f>IFERROR(IF(VLOOKUP(A748,[6]PRIORIZADOS!$A:$R,18,FALSE)="","",VLOOKUP(A748,[6]PRIORIZADOS!$A:$R,18,FALSE)),"")</f>
        <v>Tienen el calendrio escolar, y la itensidad horaria de acuerdo a la norma , Publicada en la pagina web del colegio y en su plataforma de informes</v>
      </c>
      <c r="S748" s="11" t="str">
        <f>IFERROR(IF(VLOOKUP(A748,[6]PRIORIZADOS!$A:$S,19,FALSE)="","",VLOOKUP(A748,[6]PRIORIZADOS!$A:$S,19,FALSE)),"")</f>
        <v>El colegio cumple con la implementación de su calendario escolar, con las semanas de desarrollo académico y las intensidades mínimas.</v>
      </c>
      <c r="T748" s="70" t="str">
        <f>IFERROR(IF(VLOOKUP(A748,[6]PRIORIZADOS!$A:$T,20,FALSE)="","",VLOOKUP(A748,[6]PRIORIZADOS!$A:$T,20,FALSE)),"")</f>
        <v>No</v>
      </c>
      <c r="U748" s="11" t="str">
        <f>IFERROR(IF(VLOOKUP(A748,[6]PRIORIZADOS!$A:$U,21,FALSE)="","",VLOOKUP(A748,[6]PRIORIZADOS!$A:$U,21,FALSE)),"")</f>
        <v>No se hace requerimiento</v>
      </c>
    </row>
    <row r="749" spans="1:21" s="1" customFormat="1" ht="130.5">
      <c r="A749" s="69">
        <f>IF([6]PRIORIZADOS!A115="","",[6]PRIORIZADOS!A115)</f>
        <v>687</v>
      </c>
      <c r="B749" s="70">
        <f>IFERROR(IF(VLOOKUP(A749,[6]PRIORIZADOS!$A:$B,2,FALSE)="","",VLOOKUP(A749,[6]PRIORIZADOS!$A:$B,2,FALSE)),"")</f>
        <v>12</v>
      </c>
      <c r="C749" s="11" t="str">
        <f>IFERROR(IF(VLOOKUP(A749,[6]PRIORIZADOS!$A:$C,3,FALSE)="","",VLOOKUP(A749,[6]PRIORIZADOS!$A:$C,3,FALSE)),"")</f>
        <v>ENGATIVÁ</v>
      </c>
      <c r="D749" s="11" t="str">
        <f>IFERROR(IF(VLOOKUP(A749,[6]PRIORIZADOS!$A:$D,4,FALSE)="","",VLOOKUP(A749,[6]PRIORIZADOS!$A:$D,4,FALSE)),"")</f>
        <v>PRIVADO</v>
      </c>
      <c r="E749" s="11" t="str">
        <f>IFERROR(IF(VLOOKUP(A749,[6]PRIORIZADOS!$A:$E,5,FALSE)="","",VLOOKUP(A749,[6]PRIORIZADOS!$A:$E,5,FALSE)),"")</f>
        <v>EPBM</v>
      </c>
      <c r="F749" s="11" t="str">
        <f>IFERROR(IF(VLOOKUP(A749,[6]PRIORIZADOS!$A:$F,6,FALSE)="","",VLOOKUP(A749,[6]PRIORIZADOS!$A:$F,6,FALSE)),"")</f>
        <v>LICEO_SAN_RAFAEL_DE_ALICANTE</v>
      </c>
      <c r="G749" s="11" t="str">
        <f>IFERROR(IF(VLOOKUP(A749,[6]PRIORIZADOS!$A:$G,7,FALSE)="","",VLOOKUP(A749,[6]PRIORIZADOS!$A:$G,7,FALSE)),"")</f>
        <v>LICEO_SAN_RAFAEL_DE_ALICANTE</v>
      </c>
      <c r="H749" s="11" t="str">
        <f>IFERROR(IF(VLOOKUP(A749,[6]PRIORIZADOS!$A:$H,8,FALSE)="","",VLOOKUP(A749,[6]PRIORIZADOS!$A:$H,8,FALSE)),"")</f>
        <v>Autoevaluación Institucional y Pruebas SABER 11</v>
      </c>
      <c r="I749" s="11" t="str">
        <f>IFERROR(IF(VLOOKUP(A749,[6]PRIORIZADOS!$A:$I,9,FALSE)="","",VLOOKUP(A749,[6]PRIORIZADOS!$A:$I,9,FALSE)),"")</f>
        <v>EVALUACIÓN_CON_FINES_DE_MEJORAMIENTO.</v>
      </c>
      <c r="J749" s="11" t="str">
        <f>IFERROR(IF(VLOOKUP(A749,[6]PRIORIZADOS!$A:$J,10,FALSE)="","",VLOOKUP(A749,[6]PRIORIZADOS!$A:$J,10,FALSE)),"")</f>
        <v>Verificar el funcionamiento del Gobierno Escolar e instancias de participación con base en la información sobre conformación reportada por la institución educativa.</v>
      </c>
      <c r="K749" s="11" t="str">
        <f>IFERROR(IF(VLOOKUP(A749,[6]PRIORIZADOS!$A:$K,11,FALSE)="","",VLOOKUP(A749,[6]PRIORIZADOS!$A:$K,11,FALSE)),"")</f>
        <v>JENIFER CATHERINE LEÓN ACOSTA</v>
      </c>
      <c r="L749" s="11" t="str">
        <f>IFERROR(IF(VLOOKUP(A749,[6]PRIORIZADOS!$A:$L,12,FALSE)="","",VLOOKUP(A749,[6]PRIORIZADOS!$A:$L,12,FALSE)),"")</f>
        <v>ANA MARÍA CASAS SANABRIA</v>
      </c>
      <c r="M749" s="71">
        <f>IFERROR(IF(VLOOKUP(A749,[6]PRIORIZADOS!$A:$M,13,FALSE)="","",VLOOKUP(A749,[6]PRIORIZADOS!$A:$M,13,FALSE)),"")</f>
        <v>45862</v>
      </c>
      <c r="N749" s="139">
        <f>IFERROR(IF(VLOOKUP(A749,[6]PRIORIZADOS!$A:$N,14,FALSE)="","",VLOOKUP(A749,[6]PRIORIZADOS!$A:$N,14,FALSE)),"")</f>
        <v>45862</v>
      </c>
      <c r="O749" s="139">
        <f>IFERROR(IF(VLOOKUP(A749,[6]PRIORIZADOS!$A:$O,15,FALSE)="","",VLOOKUP(A749,[6]PRIORIZADOS!$A:$O,15,FALSE)),"")</f>
        <v>45862</v>
      </c>
      <c r="P749" s="11" t="str">
        <f>IFERROR(IF(VLOOKUP(A749,[6]PRIORIZADOS!$A:$P,16,FALSE)="","",VLOOKUP(A749,[6]PRIORIZADOS!$A:$P,16,FALSE)),"")</f>
        <v>Visitas de evaluación con fines de mejoramiento</v>
      </c>
      <c r="Q749" s="126" t="s">
        <v>141</v>
      </c>
      <c r="R749" s="11" t="str">
        <f>IFERROR(IF(VLOOKUP(A749,[6]PRIORIZADOS!$A:$R,18,FALSE)="","",VLOOKUP(A749,[6]PRIORIZADOS!$A:$R,18,FALSE)),"")</f>
        <v>No se puede verificar funciinamiento, pues no existe archivos con la trazabilidad de las instancias de participacion.</v>
      </c>
      <c r="S749" s="11" t="str">
        <f>IFERROR(IF(VLOOKUP(A749,[6]PRIORIZADOS!$A:$S,19,FALSE)="","",VLOOKUP(A749,[6]PRIORIZADOS!$A:$S,19,FALSE)),"")</f>
        <v>Se debe organizar adecuadamente los archivos y evidencias de las instancias del gobierno escolar y la Comisión de Evaluación y Promoción. Cada una debe contar con acta de instalación, normatividad vigente y cronograma de trabajo, organizados por instancia y fecha. Como compromiso institucional, se implementará un sistema de archivo físico y/o digital que facilite el seguimiento y garantice la transparencia en los procesos.</v>
      </c>
      <c r="T749" s="70" t="str">
        <f>IFERROR(IF(VLOOKUP(A749,[6]PRIORIZADOS!$A:$T,20,FALSE)="","",VLOOKUP(A749,[6]PRIORIZADOS!$A:$T,20,FALSE)),"")</f>
        <v>Si</v>
      </c>
      <c r="U749" s="11" t="str">
        <f>IFERROR(IF(VLOOKUP(A749,[6]PRIORIZADOS!$A:$U,21,FALSE)="","",VLOOKUP(A749,[6]PRIORIZADOS!$A:$U,21,FALSE)),"")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50" spans="1:21" s="1" customFormat="1" ht="96">
      <c r="A750" s="69">
        <f>IF([6]PRIORIZADOS!A116="","",[6]PRIORIZADOS!A116)</f>
        <v>688</v>
      </c>
      <c r="B750" s="70">
        <f>IFERROR(IF(VLOOKUP(A750,[6]PRIORIZADOS!$A:$B,2,FALSE)="","",VLOOKUP(A750,[6]PRIORIZADOS!$A:$B,2,FALSE)),"")</f>
        <v>12</v>
      </c>
      <c r="C750" s="11" t="str">
        <f>IFERROR(IF(VLOOKUP(A750,[6]PRIORIZADOS!$A:$C,3,FALSE)="","",VLOOKUP(A750,[6]PRIORIZADOS!$A:$C,3,FALSE)),"")</f>
        <v>ENGATIVÁ</v>
      </c>
      <c r="D750" s="11" t="str">
        <f>IFERROR(IF(VLOOKUP(A750,[6]PRIORIZADOS!$A:$D,4,FALSE)="","",VLOOKUP(A750,[6]PRIORIZADOS!$A:$D,4,FALSE)),"")</f>
        <v>PRIVADO</v>
      </c>
      <c r="E750" s="11" t="str">
        <f>IFERROR(IF(VLOOKUP(A750,[6]PRIORIZADOS!$A:$E,5,FALSE)="","",VLOOKUP(A750,[6]PRIORIZADOS!$A:$E,5,FALSE)),"")</f>
        <v>EPBM</v>
      </c>
      <c r="F750" s="11" t="str">
        <f>IFERROR(IF(VLOOKUP(A750,[6]PRIORIZADOS!$A:$F,6,FALSE)="","",VLOOKUP(A750,[6]PRIORIZADOS!$A:$F,6,FALSE)),"")</f>
        <v>LICEO_SAN_RAFAEL_DE_ALICANTE</v>
      </c>
      <c r="G750" s="11" t="str">
        <f>IFERROR(IF(VLOOKUP(A750,[6]PRIORIZADOS!$A:$G,7,FALSE)="","",VLOOKUP(A750,[6]PRIORIZADOS!$A:$G,7,FALSE)),"")</f>
        <v>LICEO_SAN_RAFAEL_DE_ALICANTE</v>
      </c>
      <c r="H750" s="11" t="str">
        <f>IFERROR(IF(VLOOKUP(A750,[6]PRIORIZADOS!$A:$H,8,FALSE)="","",VLOOKUP(A750,[6]PRIORIZADOS!$A:$H,8,FALSE)),"")</f>
        <v>Autoevaluación Institucional y Pruebas SABER 11</v>
      </c>
      <c r="I750" s="11" t="str">
        <f>IFERROR(IF(VLOOKUP(A750,[6]PRIORIZADOS!$A:$I,9,FALSE)="","",VLOOKUP(A750,[6]PRIORIZADOS!$A:$I,9,FALSE)),"")</f>
        <v>EVALUACIÓN_CON_FINES_DE_MEJORAMIENTO.</v>
      </c>
      <c r="J750" s="11" t="str">
        <f>IFERROR(IF(VLOOKUP(A750,[6]PRIORIZADOS!$A:$J,10,FALSE)="","",VLOOKUP(A750,[6]PRIORIZADOS!$A:$J,10,FALSE)),"")</f>
        <v>Verificar las condiciones en cuanto a: la estructura administrativa, condiciones de la planta física y medios educativos adecuados.</v>
      </c>
      <c r="K750" s="11" t="str">
        <f>IFERROR(IF(VLOOKUP(A750,[6]PRIORIZADOS!$A:$K,11,FALSE)="","",VLOOKUP(A750,[6]PRIORIZADOS!$A:$K,11,FALSE)),"")</f>
        <v>JENIFER CATHERINE LEÓN ACOSTA</v>
      </c>
      <c r="L750" s="11" t="str">
        <f>IFERROR(IF(VLOOKUP(A750,[6]PRIORIZADOS!$A:$L,12,FALSE)="","",VLOOKUP(A750,[6]PRIORIZADOS!$A:$L,12,FALSE)),"")</f>
        <v>ANA MARÍA CASAS SANABRIA</v>
      </c>
      <c r="M750" s="71">
        <f>IFERROR(IF(VLOOKUP(A750,[6]PRIORIZADOS!$A:$M,13,FALSE)="","",VLOOKUP(A750,[6]PRIORIZADOS!$A:$M,13,FALSE)),"")</f>
        <v>45862</v>
      </c>
      <c r="N750" s="139">
        <f>IFERROR(IF(VLOOKUP(A750,[6]PRIORIZADOS!$A:$N,14,FALSE)="","",VLOOKUP(A750,[6]PRIORIZADOS!$A:$N,14,FALSE)),"")</f>
        <v>45862</v>
      </c>
      <c r="O750" s="139">
        <f>IFERROR(IF(VLOOKUP(A750,[6]PRIORIZADOS!$A:$O,15,FALSE)="","",VLOOKUP(A750,[6]PRIORIZADOS!$A:$O,15,FALSE)),"")</f>
        <v>45862</v>
      </c>
      <c r="P750" s="11" t="str">
        <f>IFERROR(IF(VLOOKUP(A750,[6]PRIORIZADOS!$A:$P,16,FALSE)="","",VLOOKUP(A750,[6]PRIORIZADOS!$A:$P,16,FALSE)),"")</f>
        <v>Visitas de evaluación con fines de mejoramiento</v>
      </c>
      <c r="Q750" s="126" t="s">
        <v>141</v>
      </c>
      <c r="R750" s="11" t="str">
        <f>IFERROR(IF(VLOOKUP(A750,[6]PRIORIZADOS!$A:$R,18,FALSE)="","",VLOOKUP(A750,[6]PRIORIZADOS!$A:$R,18,FALSE)),"")</f>
        <v>El establecimiento educativo  tiene una planta fisica buena y suficiente para  la atencion educativa, sin embargo, deben realizar organizaciones  administrativas para cumplir con la normatividad.</v>
      </c>
      <c r="S750" s="11" t="str">
        <f>IFERROR(IF(VLOOKUP(A750,[6]PRIORIZADOS!$A:$S,19,FALSE)="","",VLOOKUP(A750,[6]PRIORIZADOS!$A:$S,19,FALSE)),"")</f>
        <v>Se identifica la necesidad de atender de manera adecuada los cursos de prejardín y jardín, conforme a la normatividad vigente, dado que actualmente comparten un mismo espacio físico y cuentan con una sola docente para ambos niveles, lo cual puede afectar la calidad del acompañamiento pedagógico.</v>
      </c>
      <c r="T750" s="70" t="str">
        <f>IFERROR(IF(VLOOKUP(A750,[6]PRIORIZADOS!$A:$T,20,FALSE)="","",VLOOKUP(A750,[6]PRIORIZADOS!$A:$T,20,FALSE)),"")</f>
        <v>Si</v>
      </c>
      <c r="U750" s="11" t="str">
        <f>IFERROR(IF(VLOOKUP(A750,[6]PRIORIZADOS!$A:$U,21,FALSE)="","",VLOOKUP(A750,[6]PRIORIZADOS!$A:$U,21,FALSE)),"")</f>
        <v>Revisión del cumplimiento del compromiso mediante la verificación documental de la entrega del plan de mejoramiento por parte de la Institución Educativa, realizada dentro de los 10 días posteriores a la visita, de acuerdo con los registros institucionales (radicado de entrada, correo electrónico oficial, acta de entrega, entre otros).</v>
      </c>
    </row>
    <row r="751" spans="1:21" s="1" customFormat="1" ht="84">
      <c r="A751" s="69">
        <f>IF([6]PRIORIZADOS!A117="","",[6]PRIORIZADOS!A117)</f>
        <v>689</v>
      </c>
      <c r="B751" s="70">
        <f>IFERROR(IF(VLOOKUP(A751,[6]PRIORIZADOS!$A:$B,2,FALSE)="","",VLOOKUP(A751,[6]PRIORIZADOS!$A:$B,2,FALSE)),"")</f>
        <v>13</v>
      </c>
      <c r="C751" s="11" t="str">
        <f>IFERROR(IF(VLOOKUP(A751,[6]PRIORIZADOS!$A:$C,3,FALSE)="","",VLOOKUP(A751,[6]PRIORIZADOS!$A:$C,3,FALSE)),"")</f>
        <v>ENGATIVÁ</v>
      </c>
      <c r="D751" s="11" t="str">
        <f>IFERROR(IF(VLOOKUP(A751,[6]PRIORIZADOS!$A:$D,4,FALSE)="","",VLOOKUP(A751,[6]PRIORIZADOS!$A:$D,4,FALSE)),"")</f>
        <v>PRIVADO</v>
      </c>
      <c r="E751" s="11" t="str">
        <f>IFERROR(IF(VLOOKUP(A751,[6]PRIORIZADOS!$A:$E,5,FALSE)="","",VLOOKUP(A751,[6]PRIORIZADOS!$A:$E,5,FALSE)),"")</f>
        <v>EPBM</v>
      </c>
      <c r="F751" s="11" t="str">
        <f>IFERROR(IF(VLOOKUP(A751,[6]PRIORIZADOS!$A:$F,6,FALSE)="","",VLOOKUP(A751,[6]PRIORIZADOS!$A:$F,6,FALSE)),"")</f>
        <v>COLEGIO_REAL_DE_BOGOTA</v>
      </c>
      <c r="G751" s="11" t="str">
        <f>IFERROR(IF(VLOOKUP(A751,[6]PRIORIZADOS!$A:$G,7,FALSE)="","",VLOOKUP(A751,[6]PRIORIZADOS!$A:$G,7,FALSE)),"")</f>
        <v>COLEGIO_REAL_DE_BOGOTA</v>
      </c>
      <c r="H751" s="11" t="str">
        <f>IFERROR(IF(VLOOKUP(A751,[6]PRIORIZADOS!$A:$H,8,FALSE)="","",VLOOKUP(A751,[6]PRIORIZADOS!$A:$H,8,FALSE)),"")</f>
        <v>Autoevaluación Institucional y Pruebas SABER 11</v>
      </c>
      <c r="I751" s="11" t="str">
        <f>IFERROR(IF(VLOOKUP(A751,[6]PRIORIZADOS!$A:$I,9,FALSE)="","",VLOOKUP(A751,[6]PRIORIZADOS!$A:$I,9,FALSE)),"")</f>
        <v>SEGUIMIENTO_Y_SUPERVISIÓN.</v>
      </c>
      <c r="J751" s="11" t="str">
        <f>IFERROR(IF(VLOOKUP(A751,[6]PRIORIZADOS!$A:$J,10,FALSE)="","",VLOOKUP(A751,[6]PRIORIZADOS!$A:$J,10,FALSE)),"")</f>
        <v>Realizar visitas para verificar la información registrada sobre la autoevaluación institucional en el aplicativo EVI, a los establecimientos de educación formal no oficial.</v>
      </c>
      <c r="K751" s="11" t="str">
        <f>IFERROR(IF(VLOOKUP(A751,[6]PRIORIZADOS!$A:$K,11,FALSE)="","",VLOOKUP(A751,[6]PRIORIZADOS!$A:$K,11,FALSE)),"")</f>
        <v>LUZ MERY PARRA NOPE</v>
      </c>
      <c r="L751" s="11" t="str">
        <f>IFERROR(IF(VLOOKUP(A751,[6]PRIORIZADOS!$A:$L,12,FALSE)="","",VLOOKUP(A751,[6]PRIORIZADOS!$A:$L,12,FALSE)),"")</f>
        <v>JUAN AGUSTÍN RODRÍGUEZ ROZO</v>
      </c>
      <c r="M751" s="71">
        <f>IFERROR(IF(VLOOKUP(A751,[6]PRIORIZADOS!$A:$M,13,FALSE)="","",VLOOKUP(A751,[6]PRIORIZADOS!$A:$M,13,FALSE)),"")</f>
        <v>45868</v>
      </c>
      <c r="N751" s="139">
        <f>IFERROR(IF(VLOOKUP(A751,[6]PRIORIZADOS!$A:$N,14,FALSE)="","",VLOOKUP(A751,[6]PRIORIZADOS!$A:$N,14,FALSE)),"")</f>
        <v>45868</v>
      </c>
      <c r="O751" s="139">
        <f>IFERROR(IF(VLOOKUP(A751,[6]PRIORIZADOS!$A:$O,15,FALSE)="","",VLOOKUP(A751,[6]PRIORIZADOS!$A:$O,15,FALSE)),"")</f>
        <v>45868</v>
      </c>
      <c r="P751" s="11" t="str">
        <f>IFERROR(IF(VLOOKUP(A751,[6]PRIORIZADOS!$A:$P,16,FALSE)="","",VLOOKUP(A751,[6]PRIORIZADOS!$A:$P,16,FALSE)),"")</f>
        <v>Visitas de evaluación con fines de seguimiento</v>
      </c>
      <c r="Q751" s="142" t="s">
        <v>142</v>
      </c>
      <c r="R751" s="11" t="str">
        <f>IFERROR(IF(VLOOKUP(A751,[6]PRIORIZADOS!$A:$R,18,FALSE)="","",VLOOKUP(A751,[6]PRIORIZADOS!$A:$R,18,FALSE)),"")</f>
        <v>Durante el recorrido por la planta fisica del EE se evidencio los ambientes de aprendizaje, espacio administrativos y espacios recreativos, igualmente se revisa la maticula en SIMAT. En los ambientes compartidos el Colegio no cuenta con el permiso del IDRD para el uso del parque</v>
      </c>
      <c r="S751" s="11" t="str">
        <f>IFERROR(IF(VLOOKUP(A751,[6]PRIORIZADOS!$A:$S,19,FALSE)="","",VLOOKUP(A751,[6]PRIORIZADOS!$A:$S,19,FALSE)),"")</f>
        <v>Tramitar ante el IDRD autorización para uso del parque según lo establecido en Resolución1326 de 2023</v>
      </c>
      <c r="T751" s="70" t="str">
        <f>IFERROR(IF(VLOOKUP(A751,[6]PRIORIZADOS!$A:$T,20,FALSE)="","",VLOOKUP(A751,[6]PRIORIZADOS!$A:$T,20,FALSE)),"")</f>
        <v>Si</v>
      </c>
      <c r="U751" s="11" t="str">
        <f>IFERROR(IF(VLOOKUP(A751,[6]PRIORIZADOS!$A:$U,21,FALSE)="","",VLOOKUP(A751,[6]PRIORIZADOS!$A:$U,21,FALSE)),"")</f>
        <v xml:space="preserve">Presentar un plan de mejoramiento que subsane las observaciones realizadas, el plazo para la radicación de dicho plan es de 10 días hábiles posteriores a la visita. </v>
      </c>
    </row>
    <row r="752" spans="1:21" s="1" customFormat="1" ht="96">
      <c r="A752" s="69">
        <f>IF([6]PRIORIZADOS!A118="","",[6]PRIORIZADOS!A118)</f>
        <v>690</v>
      </c>
      <c r="B752" s="70">
        <f>IFERROR(IF(VLOOKUP(A752,[6]PRIORIZADOS!$A:$B,2,FALSE)="","",VLOOKUP(A752,[6]PRIORIZADOS!$A:$B,2,FALSE)),"")</f>
        <v>13</v>
      </c>
      <c r="C752" s="11" t="str">
        <f>IFERROR(IF(VLOOKUP(A752,[6]PRIORIZADOS!$A:$C,3,FALSE)="","",VLOOKUP(A752,[6]PRIORIZADOS!$A:$C,3,FALSE)),"")</f>
        <v>ENGATIVÁ</v>
      </c>
      <c r="D752" s="11" t="str">
        <f>IFERROR(IF(VLOOKUP(A752,[6]PRIORIZADOS!$A:$D,4,FALSE)="","",VLOOKUP(A752,[6]PRIORIZADOS!$A:$D,4,FALSE)),"")</f>
        <v>PRIVADO</v>
      </c>
      <c r="E752" s="11" t="str">
        <f>IFERROR(IF(VLOOKUP(A752,[6]PRIORIZADOS!$A:$E,5,FALSE)="","",VLOOKUP(A752,[6]PRIORIZADOS!$A:$E,5,FALSE)),"")</f>
        <v>EPBM</v>
      </c>
      <c r="F752" s="11" t="str">
        <f>IFERROR(IF(VLOOKUP(A752,[6]PRIORIZADOS!$A:$F,6,FALSE)="","",VLOOKUP(A752,[6]PRIORIZADOS!$A:$F,6,FALSE)),"")</f>
        <v>COLEGIO_REAL_DE_BOGOTA</v>
      </c>
      <c r="G752" s="11" t="str">
        <f>IFERROR(IF(VLOOKUP(A752,[6]PRIORIZADOS!$A:$G,7,FALSE)="","",VLOOKUP(A752,[6]PRIORIZADOS!$A:$G,7,FALSE)),"")</f>
        <v>COLEGIO_REAL_DE_BOGOTA</v>
      </c>
      <c r="H752" s="11" t="str">
        <f>IFERROR(IF(VLOOKUP(A752,[6]PRIORIZADOS!$A:$H,8,FALSE)="","",VLOOKUP(A752,[6]PRIORIZADOS!$A:$H,8,FALSE)),"")</f>
        <v>Autoevaluación Institucional y Pruebas SABER 11</v>
      </c>
      <c r="I752" s="11" t="str">
        <f>IFERROR(IF(VLOOKUP(A752,[6]PRIORIZADOS!$A:$I,9,FALSE)="","",VLOOKUP(A752,[6]PRIORIZADOS!$A:$I,9,FALSE)),"")</f>
        <v>SEGUIMIENTO_Y_SUPERVISIÓN.</v>
      </c>
      <c r="J752" s="11" t="str">
        <f>IFERROR(IF(VLOOKUP(A752,[6]PRIORIZADOS!$A:$J,10,FALSE)="","",VLOOKUP(A752,[6]PRIORIZADOS!$A:$J,10,FALSE)),"")</f>
        <v>Proponer estrategias en la formulación, verificar su elaboración y realizar seguimiento semestral al desarrollo de  las acciones establecidas en los planes de mejoramiento por pruebas SABER 11 de los establecimientos de educación formal.</v>
      </c>
      <c r="K752" s="11" t="str">
        <f>IFERROR(IF(VLOOKUP(A752,[6]PRIORIZADOS!$A:$K,11,FALSE)="","",VLOOKUP(A752,[6]PRIORIZADOS!$A:$K,11,FALSE)),"")</f>
        <v>LUZ MERY PARRA NOPE</v>
      </c>
      <c r="L752" s="11" t="str">
        <f>IFERROR(IF(VLOOKUP(A752,[6]PRIORIZADOS!$A:$L,12,FALSE)="","",VLOOKUP(A752,[6]PRIORIZADOS!$A:$L,12,FALSE)),"")</f>
        <v>JUAN AGUSTÍN RODRÍGUEZ ROZO</v>
      </c>
      <c r="M752" s="71">
        <f>IFERROR(IF(VLOOKUP(A752,[6]PRIORIZADOS!$A:$M,13,FALSE)="","",VLOOKUP(A752,[6]PRIORIZADOS!$A:$M,13,FALSE)),"")</f>
        <v>45868</v>
      </c>
      <c r="N752" s="139">
        <f>IFERROR(IF(VLOOKUP(A752,[6]PRIORIZADOS!$A:$N,14,FALSE)="","",VLOOKUP(A752,[6]PRIORIZADOS!$A:$N,14,FALSE)),"")</f>
        <v>45868</v>
      </c>
      <c r="O752" s="139">
        <f>IFERROR(IF(VLOOKUP(A752,[6]PRIORIZADOS!$A:$O,15,FALSE)="","",VLOOKUP(A752,[6]PRIORIZADOS!$A:$O,15,FALSE)),"")</f>
        <v>45868</v>
      </c>
      <c r="P752" s="11" t="str">
        <f>IFERROR(IF(VLOOKUP(A752,[6]PRIORIZADOS!$A:$P,16,FALSE)="","",VLOOKUP(A752,[6]PRIORIZADOS!$A:$P,16,FALSE)),"")</f>
        <v>Visitas de evaluación con fines de seguimiento</v>
      </c>
      <c r="Q752" s="142" t="s">
        <v>142</v>
      </c>
      <c r="R752" s="11" t="str">
        <f>IFERROR(IF(VLOOKUP(A752,[6]PRIORIZADOS!$A:$R,18,FALSE)="","",VLOOKUP(A752,[6]PRIORIZADOS!$A:$R,18,FALSE)),"")</f>
        <v xml:space="preserve">La EE se encuentra clasificada en las pruebas saber en B, no han realizado plan de mejoramiento.  </v>
      </c>
      <c r="S752" s="11" t="str">
        <f>IFERROR(IF(VLOOKUP(A752,[6]PRIORIZADOS!$A:$S,19,FALSE)="","",VLOOKUP(A752,[6]PRIORIZADOS!$A:$S,19,FALSE)),"")</f>
        <v>Con base en los resultados de las pruebas saber, realizar ajustes al currículo y plan de estudios, igualmente implementar acciones para mejorar los aprendizajes de los estudiantes en las áreas del plan de estudio con más bajo desempeño en las pruebas SABER 11: Matemáticas, sociales y ciudadanía, ciencias naturales e inglés.</v>
      </c>
      <c r="T752" s="70" t="str">
        <f>IFERROR(IF(VLOOKUP(A752,[6]PRIORIZADOS!$A:$T,20,FALSE)="","",VLOOKUP(A752,[6]PRIORIZADOS!$A:$T,20,FALSE)),"")</f>
        <v>Si</v>
      </c>
      <c r="U752" s="11" t="str">
        <f>IFERROR(IF(VLOOKUP(A752,[6]PRIORIZADOS!$A:$U,21,FALSE)="","",VLOOKUP(A752,[6]PRIORIZADOS!$A:$U,21,FALSE)),"")</f>
        <v xml:space="preserve">Presentar un plan de mejoramiento que subsane las observaciones realizadas, el plazo para la radicación de dicho plan es de 10 días hábiles posteriores a la visita. </v>
      </c>
    </row>
    <row r="753" spans="1:21" s="1" customFormat="1" ht="107.25">
      <c r="A753" s="69">
        <f>IF([6]PRIORIZADOS!A119="","",[6]PRIORIZADOS!A119)</f>
        <v>691</v>
      </c>
      <c r="B753" s="70">
        <f>IFERROR(IF(VLOOKUP(A753,[6]PRIORIZADOS!$A:$B,2,FALSE)="","",VLOOKUP(A753,[6]PRIORIZADOS!$A:$B,2,FALSE)),"")</f>
        <v>13</v>
      </c>
      <c r="C753" s="11" t="str">
        <f>IFERROR(IF(VLOOKUP(A753,[6]PRIORIZADOS!$A:$C,3,FALSE)="","",VLOOKUP(A753,[6]PRIORIZADOS!$A:$C,3,FALSE)),"")</f>
        <v>ENGATIVÁ</v>
      </c>
      <c r="D753" s="11" t="str">
        <f>IFERROR(IF(VLOOKUP(A753,[6]PRIORIZADOS!$A:$D,4,FALSE)="","",VLOOKUP(A753,[6]PRIORIZADOS!$A:$D,4,FALSE)),"")</f>
        <v>PRIVADO</v>
      </c>
      <c r="E753" s="11" t="str">
        <f>IFERROR(IF(VLOOKUP(A753,[6]PRIORIZADOS!$A:$E,5,FALSE)="","",VLOOKUP(A753,[6]PRIORIZADOS!$A:$E,5,FALSE)),"")</f>
        <v>EPBM</v>
      </c>
      <c r="F753" s="11" t="str">
        <f>IFERROR(IF(VLOOKUP(A753,[6]PRIORIZADOS!$A:$F,6,FALSE)="","",VLOOKUP(A753,[6]PRIORIZADOS!$A:$F,6,FALSE)),"")</f>
        <v>COLEGIO_REAL_DE_BOGOTA</v>
      </c>
      <c r="G753" s="11" t="str">
        <f>IFERROR(IF(VLOOKUP(A753,[6]PRIORIZADOS!$A:$G,7,FALSE)="","",VLOOKUP(A753,[6]PRIORIZADOS!$A:$G,7,FALSE)),"")</f>
        <v>COLEGIO_REAL_DE_BOGOTA</v>
      </c>
      <c r="H753" s="11" t="str">
        <f>IFERROR(IF(VLOOKUP(A753,[6]PRIORIZADOS!$A:$H,8,FALSE)="","",VLOOKUP(A753,[6]PRIORIZADOS!$A:$H,8,FALSE)),"")</f>
        <v>Autoevaluación Institucional y Pruebas SABER 11</v>
      </c>
      <c r="I753" s="11" t="str">
        <f>IFERROR(IF(VLOOKUP(A753,[6]PRIORIZADOS!$A:$I,9,FALSE)="","",VLOOKUP(A753,[6]PRIORIZADOS!$A:$I,9,FALSE)),"")</f>
        <v>SEGUIMIENTO_Y_SUPERVISIÓN.</v>
      </c>
      <c r="J753" s="11" t="str">
        <f>IFERROR(IF(VLOOKUP(A753,[6]PRIORIZADOS!$A:$J,10,FALSE)="","",VLOOKUP(A753,[6]PRIORIZADOS!$A:$J,10,FALSE)),"")</f>
        <v xml:space="preserve">Verificar la implementación por parte de los colegios, de acciones realizadas para la prevención y atención de las situaciones de convivencia en el entorno escolar, según lo establecido en la Directiva 01 de 2022 del MEN. </v>
      </c>
      <c r="K753" s="11" t="str">
        <f>IFERROR(IF(VLOOKUP(A753,[6]PRIORIZADOS!$A:$K,11,FALSE)="","",VLOOKUP(A753,[6]PRIORIZADOS!$A:$K,11,FALSE)),"")</f>
        <v>LUZ MERY PARRA NOPE</v>
      </c>
      <c r="L753" s="11" t="str">
        <f>IFERROR(IF(VLOOKUP(A753,[6]PRIORIZADOS!$A:$L,12,FALSE)="","",VLOOKUP(A753,[6]PRIORIZADOS!$A:$L,12,FALSE)),"")</f>
        <v>JUAN AGUSTÍN RODRÍGUEZ ROZO</v>
      </c>
      <c r="M753" s="71">
        <f>IFERROR(IF(VLOOKUP(A753,[6]PRIORIZADOS!$A:$M,13,FALSE)="","",VLOOKUP(A753,[6]PRIORIZADOS!$A:$M,13,FALSE)),"")</f>
        <v>45868</v>
      </c>
      <c r="N753" s="139">
        <f>IFERROR(IF(VLOOKUP(A753,[6]PRIORIZADOS!$A:$N,14,FALSE)="","",VLOOKUP(A753,[6]PRIORIZADOS!$A:$N,14,FALSE)),"")</f>
        <v>45868</v>
      </c>
      <c r="O753" s="139">
        <f>IFERROR(IF(VLOOKUP(A753,[6]PRIORIZADOS!$A:$O,15,FALSE)="","",VLOOKUP(A753,[6]PRIORIZADOS!$A:$O,15,FALSE)),"")</f>
        <v>45868</v>
      </c>
      <c r="P753" s="11" t="str">
        <f>IFERROR(IF(VLOOKUP(A753,[6]PRIORIZADOS!$A:$P,16,FALSE)="","",VLOOKUP(A753,[6]PRIORIZADOS!$A:$P,16,FALSE)),"")</f>
        <v>Visitas de evaluación con fines de seguimiento</v>
      </c>
      <c r="Q753" s="142" t="s">
        <v>142</v>
      </c>
      <c r="R753" s="11" t="str">
        <f>IFERROR(IF(VLOOKUP(A753,[6]PRIORIZADOS!$A:$R,18,FALSE)="","",VLOOKUP(A753,[6]PRIORIZADOS!$A:$R,18,FALSE)),"")</f>
        <v>LA EE no realiza activiación de alertas en los casos de convivencia según la Ley 1620 de 2013. No tienen orientador escolar, falta orientación en el abordaje de los protocolos.</v>
      </c>
      <c r="S753" s="11" t="str">
        <f>IFERROR(IF(VLOOKUP(A753,[6]PRIORIZADOS!$A:$S,19,FALSE)="","",VLOOKUP(A753,[6]PRIORIZADOS!$A:$S,19,FALSE)),"")</f>
        <v>Contratar un orientador escolar de planta tiempo completo para que atienda la totalidad de funciones que implica el cargo, ajustar en el manual de convivencia los elementos de ley que fomenten el enfoque restaurativo. Realizar un plan de trabajo para el comité de convivencia escolar que tenga en cuenta sus integrantes, funciones y reglamento interno.</v>
      </c>
      <c r="T753" s="70" t="str">
        <f>IFERROR(IF(VLOOKUP(A753,[6]PRIORIZADOS!$A:$T,20,FALSE)="","",VLOOKUP(A753,[6]PRIORIZADOS!$A:$T,20,FALSE)),"")</f>
        <v>Si</v>
      </c>
      <c r="U753" s="11" t="str">
        <f>IFERROR(IF(VLOOKUP(A753,[6]PRIORIZADOS!$A:$U,21,FALSE)="","",VLOOKUP(A753,[6]PRIORIZADOS!$A:$U,21,FALSE)),"")</f>
        <v xml:space="preserve">Presentar un plan de mejoramiento que subsane las observaciones realizadas, el plazo para la radicación de dicho plan es de 10 días hábiles posteriores a la visita. </v>
      </c>
    </row>
    <row r="754" spans="1:21" s="1" customFormat="1" ht="72">
      <c r="A754" s="69">
        <f>IF([6]PRIORIZADOS!A120="","",[6]PRIORIZADOS!A120)</f>
        <v>692</v>
      </c>
      <c r="B754" s="70">
        <f>IFERROR(IF(VLOOKUP(A754,[6]PRIORIZADOS!$A:$B,2,FALSE)="","",VLOOKUP(A754,[6]PRIORIZADOS!$A:$B,2,FALSE)),"")</f>
        <v>13</v>
      </c>
      <c r="C754" s="11" t="str">
        <f>IFERROR(IF(VLOOKUP(A754,[6]PRIORIZADOS!$A:$C,3,FALSE)="","",VLOOKUP(A754,[6]PRIORIZADOS!$A:$C,3,FALSE)),"")</f>
        <v>ENGATIVÁ</v>
      </c>
      <c r="D754" s="11" t="str">
        <f>IFERROR(IF(VLOOKUP(A754,[6]PRIORIZADOS!$A:$D,4,FALSE)="","",VLOOKUP(A754,[6]PRIORIZADOS!$A:$D,4,FALSE)),"")</f>
        <v>PRIVADO</v>
      </c>
      <c r="E754" s="11" t="str">
        <f>IFERROR(IF(VLOOKUP(A754,[6]PRIORIZADOS!$A:$E,5,FALSE)="","",VLOOKUP(A754,[6]PRIORIZADOS!$A:$E,5,FALSE)),"")</f>
        <v>EPBM</v>
      </c>
      <c r="F754" s="11" t="str">
        <f>IFERROR(IF(VLOOKUP(A754,[6]PRIORIZADOS!$A:$F,6,FALSE)="","",VLOOKUP(A754,[6]PRIORIZADOS!$A:$F,6,FALSE)),"")</f>
        <v>COLEGIO_REAL_DE_BOGOTA</v>
      </c>
      <c r="G754" s="11" t="str">
        <f>IFERROR(IF(VLOOKUP(A754,[6]PRIORIZADOS!$A:$G,7,FALSE)="","",VLOOKUP(A754,[6]PRIORIZADOS!$A:$G,7,FALSE)),"")</f>
        <v>COLEGIO_REAL_DE_BOGOTA</v>
      </c>
      <c r="H754" s="11" t="str">
        <f>IFERROR(IF(VLOOKUP(A754,[6]PRIORIZADOS!$A:$H,8,FALSE)="","",VLOOKUP(A754,[6]PRIORIZADOS!$A:$H,8,FALSE)),"")</f>
        <v>Autoevaluación Institucional y Pruebas SABER 11</v>
      </c>
      <c r="I754" s="11" t="str">
        <f>IFERROR(IF(VLOOKUP(A754,[6]PRIORIZADOS!$A:$I,9,FALSE)="","",VLOOKUP(A754,[6]PRIORIZADOS!$A:$I,9,FALSE)),"")</f>
        <v>SEGUIMIENTO_Y_SUPERVISIÓN.</v>
      </c>
      <c r="J754" s="11" t="str">
        <f>IFERROR(IF(VLOOKUP(A754,[6]PRIORIZADOS!$A:$J,10,FALSE)="","",VLOOKUP(A754,[6]PRIORIZADOS!$A:$J,10,FALSE)),"")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54" s="11" t="str">
        <f>IFERROR(IF(VLOOKUP(A754,[6]PRIORIZADOS!$A:$K,11,FALSE)="","",VLOOKUP(A754,[6]PRIORIZADOS!$A:$K,11,FALSE)),"")</f>
        <v>LUZ MERY PARRA NOPE</v>
      </c>
      <c r="L754" s="11" t="str">
        <f>IFERROR(IF(VLOOKUP(A754,[6]PRIORIZADOS!$A:$L,12,FALSE)="","",VLOOKUP(A754,[6]PRIORIZADOS!$A:$L,12,FALSE)),"")</f>
        <v>JUAN AGUSTÍN RODRÍGUEZ ROZO</v>
      </c>
      <c r="M754" s="71">
        <f>IFERROR(IF(VLOOKUP(A754,[6]PRIORIZADOS!$A:$M,13,FALSE)="","",VLOOKUP(A754,[6]PRIORIZADOS!$A:$M,13,FALSE)),"")</f>
        <v>45868</v>
      </c>
      <c r="N754" s="139">
        <f>IFERROR(IF(VLOOKUP(A754,[6]PRIORIZADOS!$A:$N,14,FALSE)="","",VLOOKUP(A754,[6]PRIORIZADOS!$A:$N,14,FALSE)),"")</f>
        <v>45868</v>
      </c>
      <c r="O754" s="139">
        <f>IFERROR(IF(VLOOKUP(A754,[6]PRIORIZADOS!$A:$O,15,FALSE)="","",VLOOKUP(A754,[6]PRIORIZADOS!$A:$O,15,FALSE)),"")</f>
        <v>45868</v>
      </c>
      <c r="P754" s="11" t="str">
        <f>IFERROR(IF(VLOOKUP(A754,[6]PRIORIZADOS!$A:$P,16,FALSE)="","",VLOOKUP(A754,[6]PRIORIZADOS!$A:$P,16,FALSE)),"")</f>
        <v>Visitas de evaluación con fines de seguimiento</v>
      </c>
      <c r="Q754" s="142" t="s">
        <v>142</v>
      </c>
      <c r="R754" s="11" t="str">
        <f>IFERROR(IF(VLOOKUP(A754,[6]PRIORIZADOS!$A:$R,18,FALSE)="","",VLOOKUP(A754,[6]PRIORIZADOS!$A:$R,18,FALSE)),"")</f>
        <v>La EE informa que no tiene estudiantes con discapacidad.</v>
      </c>
      <c r="S754" s="11" t="str">
        <f>IFERROR(IF(VLOOKUP(A754,[6]PRIORIZADOS!$A:$S,19,FALSE)="","",VLOOKUP(A754,[6]PRIORIZADOS!$A:$S,19,FALSE)),"")</f>
        <v>No se hace ninguna observación</v>
      </c>
      <c r="T754" s="70" t="str">
        <f>IFERROR(IF(VLOOKUP(A754,[6]PRIORIZADOS!$A:$T,20,FALSE)="","",VLOOKUP(A754,[6]PRIORIZADOS!$A:$T,20,FALSE)),"")</f>
        <v>No</v>
      </c>
      <c r="U754" s="11" t="str">
        <f>IFERROR(IF(VLOOKUP(A754,[6]PRIORIZADOS!$A:$U,21,FALSE)="","",VLOOKUP(A754,[6]PRIORIZADOS!$A:$U,21,FALSE)),"")</f>
        <v>Se hará verificación en caso de presentar solicitud o queja ciudadana.</v>
      </c>
    </row>
    <row r="755" spans="1:21" s="1" customFormat="1" ht="84">
      <c r="A755" s="69">
        <f>IF([6]PRIORIZADOS!A121="","",[6]PRIORIZADOS!A121)</f>
        <v>693</v>
      </c>
      <c r="B755" s="70">
        <f>IFERROR(IF(VLOOKUP(A755,[6]PRIORIZADOS!$A:$B,2,FALSE)="","",VLOOKUP(A755,[6]PRIORIZADOS!$A:$B,2,FALSE)),"")</f>
        <v>13</v>
      </c>
      <c r="C755" s="11" t="str">
        <f>IFERROR(IF(VLOOKUP(A755,[6]PRIORIZADOS!$A:$C,3,FALSE)="","",VLOOKUP(A755,[6]PRIORIZADOS!$A:$C,3,FALSE)),"")</f>
        <v>ENGATIVÁ</v>
      </c>
      <c r="D755" s="11" t="str">
        <f>IFERROR(IF(VLOOKUP(A755,[6]PRIORIZADOS!$A:$D,4,FALSE)="","",VLOOKUP(A755,[6]PRIORIZADOS!$A:$D,4,FALSE)),"")</f>
        <v>PRIVADO</v>
      </c>
      <c r="E755" s="11" t="str">
        <f>IFERROR(IF(VLOOKUP(A755,[6]PRIORIZADOS!$A:$E,5,FALSE)="","",VLOOKUP(A755,[6]PRIORIZADOS!$A:$E,5,FALSE)),"")</f>
        <v>EPBM</v>
      </c>
      <c r="F755" s="11" t="str">
        <f>IFERROR(IF(VLOOKUP(A755,[6]PRIORIZADOS!$A:$F,6,FALSE)="","",VLOOKUP(A755,[6]PRIORIZADOS!$A:$F,6,FALSE)),"")</f>
        <v>COLEGIO_REAL_DE_BOGOTA</v>
      </c>
      <c r="G755" s="11" t="str">
        <f>IFERROR(IF(VLOOKUP(A755,[6]PRIORIZADOS!$A:$G,7,FALSE)="","",VLOOKUP(A755,[6]PRIORIZADOS!$A:$G,7,FALSE)),"")</f>
        <v>COLEGIO_REAL_DE_BOGOTA</v>
      </c>
      <c r="H755" s="11" t="str">
        <f>IFERROR(IF(VLOOKUP(A755,[6]PRIORIZADOS!$A:$H,8,FALSE)="","",VLOOKUP(A755,[6]PRIORIZADOS!$A:$H,8,FALSE)),"")</f>
        <v>Autoevaluación Institucional y Pruebas SABER 11</v>
      </c>
      <c r="I755" s="11" t="str">
        <f>IFERROR(IF(VLOOKUP(A755,[6]PRIORIZADOS!$A:$I,9,FALSE)="","",VLOOKUP(A755,[6]PRIORIZADOS!$A:$I,9,FALSE)),"")</f>
        <v>EVALUACIÓN_CON_FINES_DE_MEJORAMIENTO.</v>
      </c>
      <c r="J755" s="11" t="str">
        <f>IFERROR(IF(VLOOKUP(A755,[6]PRIORIZADOS!$A:$J,10,FALSE)="","",VLOOKUP(A755,[6]PRIORIZADOS!$A:$J,10,FALSE)),"")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55" s="11" t="str">
        <f>IFERROR(IF(VLOOKUP(A755,[6]PRIORIZADOS!$A:$K,11,FALSE)="","",VLOOKUP(A755,[6]PRIORIZADOS!$A:$K,11,FALSE)),"")</f>
        <v>LUZ MERY PARRA NOPE</v>
      </c>
      <c r="L755" s="11" t="str">
        <f>IFERROR(IF(VLOOKUP(A755,[6]PRIORIZADOS!$A:$L,12,FALSE)="","",VLOOKUP(A755,[6]PRIORIZADOS!$A:$L,12,FALSE)),"")</f>
        <v>JUAN AGUSTÍN RODRÍGUEZ ROZO</v>
      </c>
      <c r="M755" s="71">
        <f>IFERROR(IF(VLOOKUP(A755,[6]PRIORIZADOS!$A:$M,13,FALSE)="","",VLOOKUP(A755,[6]PRIORIZADOS!$A:$M,13,FALSE)),"")</f>
        <v>45868</v>
      </c>
      <c r="N755" s="139">
        <f>IFERROR(IF(VLOOKUP(A755,[6]PRIORIZADOS!$A:$N,14,FALSE)="","",VLOOKUP(A755,[6]PRIORIZADOS!$A:$N,14,FALSE)),"")</f>
        <v>45868</v>
      </c>
      <c r="O755" s="139">
        <f>IFERROR(IF(VLOOKUP(A755,[6]PRIORIZADOS!$A:$O,15,FALSE)="","",VLOOKUP(A755,[6]PRIORIZADOS!$A:$O,15,FALSE)),"")</f>
        <v>45868</v>
      </c>
      <c r="P755" s="11" t="str">
        <f>IFERROR(IF(VLOOKUP(A755,[6]PRIORIZADOS!$A:$P,16,FALSE)="","",VLOOKUP(A755,[6]PRIORIZADOS!$A:$P,16,FALSE)),"")</f>
        <v>Visitas de evaluación con fines de mejoramiento</v>
      </c>
      <c r="Q755" s="142" t="s">
        <v>142</v>
      </c>
      <c r="R755" s="11" t="str">
        <f>IFERROR(IF(VLOOKUP(A755,[6]PRIORIZADOS!$A:$R,18,FALSE)="","",VLOOKUP(A755,[6]PRIORIZADOS!$A:$R,18,FALSE)),"")</f>
        <v>La EE manifiesta que el manual de convivencia se actualiza anualmente, pero no incluye a padres de familia ni estudiantes</v>
      </c>
      <c r="S755" s="11" t="str">
        <f>IFERROR(IF(VLOOKUP(A755,[6]PRIORIZADOS!$A:$S,19,FALSE)="","",VLOOKUP(A755,[6]PRIORIZADOS!$A:$S,19,FALSE)),"")</f>
        <v xml:space="preserve">Ajustar el manual de convivencia aplicando el debido proceso (consultar con los estamentos de la comunidad educativa la propuesta de reforma y acordar n consejo directivo las modificaciones) </v>
      </c>
      <c r="T755" s="70" t="str">
        <f>IFERROR(IF(VLOOKUP(A755,[6]PRIORIZADOS!$A:$T,20,FALSE)="","",VLOOKUP(A755,[6]PRIORIZADOS!$A:$T,20,FALSE)),"")</f>
        <v>Si</v>
      </c>
      <c r="U755" s="11" t="str">
        <f>IFERROR(IF(VLOOKUP(A755,[6]PRIORIZADOS!$A:$U,21,FALSE)="","",VLOOKUP(A755,[6]PRIORIZADOS!$A:$U,21,FALSE)),"")</f>
        <v xml:space="preserve">Presentar un plan de mejoramiento que subsane las observaciones realizadas, el plazo para la radicación de dicho plan es de 10 días hábiles posteriores a la visita. </v>
      </c>
    </row>
    <row r="756" spans="1:21" s="1" customFormat="1" ht="96">
      <c r="A756" s="69">
        <f>IF([6]PRIORIZADOS!A122="","",[6]PRIORIZADOS!A122)</f>
        <v>694</v>
      </c>
      <c r="B756" s="70">
        <f>IFERROR(IF(VLOOKUP(A756,[6]PRIORIZADOS!$A:$B,2,FALSE)="","",VLOOKUP(A756,[6]PRIORIZADOS!$A:$B,2,FALSE)),"")</f>
        <v>13</v>
      </c>
      <c r="C756" s="11" t="str">
        <f>IFERROR(IF(VLOOKUP(A756,[6]PRIORIZADOS!$A:$C,3,FALSE)="","",VLOOKUP(A756,[6]PRIORIZADOS!$A:$C,3,FALSE)),"")</f>
        <v>ENGATIVÁ</v>
      </c>
      <c r="D756" s="11" t="str">
        <f>IFERROR(IF(VLOOKUP(A756,[6]PRIORIZADOS!$A:$D,4,FALSE)="","",VLOOKUP(A756,[6]PRIORIZADOS!$A:$D,4,FALSE)),"")</f>
        <v>PRIVADO</v>
      </c>
      <c r="E756" s="11" t="str">
        <f>IFERROR(IF(VLOOKUP(A756,[6]PRIORIZADOS!$A:$E,5,FALSE)="","",VLOOKUP(A756,[6]PRIORIZADOS!$A:$E,5,FALSE)),"")</f>
        <v>EPBM</v>
      </c>
      <c r="F756" s="11" t="str">
        <f>IFERROR(IF(VLOOKUP(A756,[6]PRIORIZADOS!$A:$F,6,FALSE)="","",VLOOKUP(A756,[6]PRIORIZADOS!$A:$F,6,FALSE)),"")</f>
        <v>COLEGIO_REAL_DE_BOGOTA</v>
      </c>
      <c r="G756" s="11" t="str">
        <f>IFERROR(IF(VLOOKUP(A756,[6]PRIORIZADOS!$A:$G,7,FALSE)="","",VLOOKUP(A756,[6]PRIORIZADOS!$A:$G,7,FALSE)),"")</f>
        <v>COLEGIO_REAL_DE_BOGOTA</v>
      </c>
      <c r="H756" s="11" t="str">
        <f>IFERROR(IF(VLOOKUP(A756,[6]PRIORIZADOS!$A:$H,8,FALSE)="","",VLOOKUP(A756,[6]PRIORIZADOS!$A:$H,8,FALSE)),"")</f>
        <v>Autoevaluación Institucional y Pruebas SABER 11</v>
      </c>
      <c r="I756" s="11" t="str">
        <f>IFERROR(IF(VLOOKUP(A756,[6]PRIORIZADOS!$A:$I,9,FALSE)="","",VLOOKUP(A756,[6]PRIORIZADOS!$A:$I,9,FALSE)),"")</f>
        <v>EVALUACIÓN_CON_FINES_DE_MEJORAMIENTO.</v>
      </c>
      <c r="J756" s="11" t="str">
        <f>IFERROR(IF(VLOOKUP(A756,[6]PRIORIZADOS!$A:$J,10,FALSE)="","",VLOOKUP(A756,[6]PRIORIZADOS!$A:$J,10,FALSE)),"")</f>
        <v>Revisar la actualización, socialización e implementación del Sistema Institucional de Evaluación de Estudiantes - SIEE, en articulación con la actualización del PEI y la normatividad vigente.</v>
      </c>
      <c r="K756" s="11" t="str">
        <f>IFERROR(IF(VLOOKUP(A756,[6]PRIORIZADOS!$A:$K,11,FALSE)="","",VLOOKUP(A756,[6]PRIORIZADOS!$A:$K,11,FALSE)),"")</f>
        <v>LUZ MERY PARRA NOPE</v>
      </c>
      <c r="L756" s="11" t="str">
        <f>IFERROR(IF(VLOOKUP(A756,[6]PRIORIZADOS!$A:$L,12,FALSE)="","",VLOOKUP(A756,[6]PRIORIZADOS!$A:$L,12,FALSE)),"")</f>
        <v>JUAN AGUSTÍN RODRÍGUEZ ROZO</v>
      </c>
      <c r="M756" s="71">
        <f>IFERROR(IF(VLOOKUP(A756,[6]PRIORIZADOS!$A:$M,13,FALSE)="","",VLOOKUP(A756,[6]PRIORIZADOS!$A:$M,13,FALSE)),"")</f>
        <v>45868</v>
      </c>
      <c r="N756" s="139">
        <f>IFERROR(IF(VLOOKUP(A756,[6]PRIORIZADOS!$A:$N,14,FALSE)="","",VLOOKUP(A756,[6]PRIORIZADOS!$A:$N,14,FALSE)),"")</f>
        <v>45868</v>
      </c>
      <c r="O756" s="139">
        <f>IFERROR(IF(VLOOKUP(A756,[6]PRIORIZADOS!$A:$O,15,FALSE)="","",VLOOKUP(A756,[6]PRIORIZADOS!$A:$O,15,FALSE)),"")</f>
        <v>45868</v>
      </c>
      <c r="P756" s="11" t="str">
        <f>IFERROR(IF(VLOOKUP(A756,[6]PRIORIZADOS!$A:$P,16,FALSE)="","",VLOOKUP(A756,[6]PRIORIZADOS!$A:$P,16,FALSE)),"")</f>
        <v>Visitas de evaluación con fines de mejoramiento</v>
      </c>
      <c r="Q756" s="142" t="s">
        <v>142</v>
      </c>
      <c r="R756" s="11" t="str">
        <f>IFERROR(IF(VLOOKUP(A756,[6]PRIORIZADOS!$A:$R,18,FALSE)="","",VLOOKUP(A756,[6]PRIORIZADOS!$A:$R,18,FALSE)),"")</f>
        <v>Se evidencia en la EE informe de notas de los estudiantes, con estrategias de apoyo para los estudiantes que lo requieran. Se observa actas de reuniones con docentes y padres de familia para suscribir acuerdos de cooperación, al igual que la realización de trabajos especificos sobre temas de mejoramiento.</v>
      </c>
      <c r="S756" s="11" t="str">
        <f>IFERROR(IF(VLOOKUP(A756,[6]PRIORIZADOS!$A:$S,19,FALSE)="","",VLOOKUP(A756,[6]PRIORIZADOS!$A:$S,19,FALSE)),"")</f>
        <v>Continuar realizando estrategias que contribuyan al acompañamiento de los estudiantes que los requieran</v>
      </c>
      <c r="T756" s="70" t="str">
        <f>IFERROR(IF(VLOOKUP(A756,[6]PRIORIZADOS!$A:$T,20,FALSE)="","",VLOOKUP(A756,[6]PRIORIZADOS!$A:$T,20,FALSE)),"")</f>
        <v>No</v>
      </c>
      <c r="U756" s="11" t="str">
        <f>IFERROR(IF(VLOOKUP(A756,[6]PRIORIZADOS!$A:$U,21,FALSE)="","",VLOOKUP(A756,[6]PRIORIZADOS!$A:$U,21,FALSE)),"")</f>
        <v>Se hará verificación en caso de presentar solicitud o queja ciudadana.</v>
      </c>
    </row>
    <row r="757" spans="1:21" s="1" customFormat="1" ht="48">
      <c r="A757" s="69">
        <f>IF([6]PRIORIZADOS!A123="","",[6]PRIORIZADOS!A123)</f>
        <v>695</v>
      </c>
      <c r="B757" s="70">
        <f>IFERROR(IF(VLOOKUP(A757,[6]PRIORIZADOS!$A:$B,2,FALSE)="","",VLOOKUP(A757,[6]PRIORIZADOS!$A:$B,2,FALSE)),"")</f>
        <v>13</v>
      </c>
      <c r="C757" s="11" t="str">
        <f>IFERROR(IF(VLOOKUP(A757,[6]PRIORIZADOS!$A:$C,3,FALSE)="","",VLOOKUP(A757,[6]PRIORIZADOS!$A:$C,3,FALSE)),"")</f>
        <v>ENGATIVÁ</v>
      </c>
      <c r="D757" s="11" t="str">
        <f>IFERROR(IF(VLOOKUP(A757,[6]PRIORIZADOS!$A:$D,4,FALSE)="","",VLOOKUP(A757,[6]PRIORIZADOS!$A:$D,4,FALSE)),"")</f>
        <v>PRIVADO</v>
      </c>
      <c r="E757" s="11" t="str">
        <f>IFERROR(IF(VLOOKUP(A757,[6]PRIORIZADOS!$A:$E,5,FALSE)="","",VLOOKUP(A757,[6]PRIORIZADOS!$A:$E,5,FALSE)),"")</f>
        <v>EPBM</v>
      </c>
      <c r="F757" s="11" t="str">
        <f>IFERROR(IF(VLOOKUP(A757,[6]PRIORIZADOS!$A:$F,6,FALSE)="","",VLOOKUP(A757,[6]PRIORIZADOS!$A:$F,6,FALSE)),"")</f>
        <v>COLEGIO_REAL_DE_BOGOTA</v>
      </c>
      <c r="G757" s="11" t="str">
        <f>IFERROR(IF(VLOOKUP(A757,[6]PRIORIZADOS!$A:$G,7,FALSE)="","",VLOOKUP(A757,[6]PRIORIZADOS!$A:$G,7,FALSE)),"")</f>
        <v>COLEGIO_REAL_DE_BOGOTA</v>
      </c>
      <c r="H757" s="11" t="str">
        <f>IFERROR(IF(VLOOKUP(A757,[6]PRIORIZADOS!$A:$H,8,FALSE)="","",VLOOKUP(A757,[6]PRIORIZADOS!$A:$H,8,FALSE)),"")</f>
        <v>Autoevaluación Institucional y Pruebas SABER 11</v>
      </c>
      <c r="I757" s="11" t="str">
        <f>IFERROR(IF(VLOOKUP(A757,[6]PRIORIZADOS!$A:$I,9,FALSE)="","",VLOOKUP(A757,[6]PRIORIZADOS!$A:$I,9,FALSE)),"")</f>
        <v>EVALUACIÓN_CON_FINES_DE_MEJORAMIENTO.</v>
      </c>
      <c r="J757" s="11" t="str">
        <f>IFERROR(IF(VLOOKUP(A757,[6]PRIORIZADOS!$A:$J,10,FALSE)="","",VLOOKUP(A757,[6]PRIORIZADOS!$A:$J,10,FALSE)),"")</f>
        <v>Revisar el calendario escolar, jornada escolar, la intensidad horaria mínima anual en cada nivel y las modificaciones que se realicen al mismo, de acuerdo con lo previsto en la normatividad vigente.</v>
      </c>
      <c r="K757" s="11" t="str">
        <f>IFERROR(IF(VLOOKUP(A757,[6]PRIORIZADOS!$A:$K,11,FALSE)="","",VLOOKUP(A757,[6]PRIORIZADOS!$A:$K,11,FALSE)),"")</f>
        <v>LUZ MERY PARRA NOPE</v>
      </c>
      <c r="L757" s="11" t="str">
        <f>IFERROR(IF(VLOOKUP(A757,[6]PRIORIZADOS!$A:$L,12,FALSE)="","",VLOOKUP(A757,[6]PRIORIZADOS!$A:$L,12,FALSE)),"")</f>
        <v>JUAN AGUSTÍN RODRÍGUEZ ROZO</v>
      </c>
      <c r="M757" s="71">
        <f>IFERROR(IF(VLOOKUP(A757,[6]PRIORIZADOS!$A:$M,13,FALSE)="","",VLOOKUP(A757,[6]PRIORIZADOS!$A:$M,13,FALSE)),"")</f>
        <v>45868</v>
      </c>
      <c r="N757" s="139">
        <f>IFERROR(IF(VLOOKUP(A757,[6]PRIORIZADOS!$A:$N,14,FALSE)="","",VLOOKUP(A757,[6]PRIORIZADOS!$A:$N,14,FALSE)),"")</f>
        <v>45868</v>
      </c>
      <c r="O757" s="139">
        <f>IFERROR(IF(VLOOKUP(A757,[6]PRIORIZADOS!$A:$O,15,FALSE)="","",VLOOKUP(A757,[6]PRIORIZADOS!$A:$O,15,FALSE)),"")</f>
        <v>45868</v>
      </c>
      <c r="P757" s="11" t="str">
        <f>IFERROR(IF(VLOOKUP(A757,[6]PRIORIZADOS!$A:$P,16,FALSE)="","",VLOOKUP(A757,[6]PRIORIZADOS!$A:$P,16,FALSE)),"")</f>
        <v>Visitas de evaluación con fines de mejoramiento</v>
      </c>
      <c r="Q757" s="142" t="s">
        <v>142</v>
      </c>
      <c r="R757" s="11" t="str">
        <f>IFERROR(IF(VLOOKUP(A757,[6]PRIORIZADOS!$A:$R,18,FALSE)="","",VLOOKUP(A757,[6]PRIORIZADOS!$A:$R,18,FALSE)),"")</f>
        <v>Se observa que el calendario escolar, jornada escolar y la intensidad horaria minima requeida comple con la normatividad vigente</v>
      </c>
      <c r="S757" s="11" t="str">
        <f>IFERROR(IF(VLOOKUP(A757,[6]PRIORIZADOS!$A:$S,19,FALSE)="","",VLOOKUP(A757,[6]PRIORIZADOS!$A:$S,19,FALSE)),"")</f>
        <v>El EE cumple con la intensidad minima legal vigente para cada nivel ofrecido.</v>
      </c>
      <c r="T757" s="70" t="str">
        <f>IFERROR(IF(VLOOKUP(A757,[6]PRIORIZADOS!$A:$T,20,FALSE)="","",VLOOKUP(A757,[6]PRIORIZADOS!$A:$T,20,FALSE)),"")</f>
        <v>No</v>
      </c>
      <c r="U757" s="11" t="str">
        <f>IFERROR(IF(VLOOKUP(A757,[6]PRIORIZADOS!$A:$U,21,FALSE)="","",VLOOKUP(A757,[6]PRIORIZADOS!$A:$U,21,FALSE)),"")</f>
        <v>Se hará verificación en caso de presentar solicitud o queja ciudadana.</v>
      </c>
    </row>
    <row r="758" spans="1:21" s="1" customFormat="1" ht="48">
      <c r="A758" s="69">
        <f>IF([6]PRIORIZADOS!A124="","",[6]PRIORIZADOS!A124)</f>
        <v>696</v>
      </c>
      <c r="B758" s="70">
        <f>IFERROR(IF(VLOOKUP(A758,[6]PRIORIZADOS!$A:$B,2,FALSE)="","",VLOOKUP(A758,[6]PRIORIZADOS!$A:$B,2,FALSE)),"")</f>
        <v>13</v>
      </c>
      <c r="C758" s="11" t="str">
        <f>IFERROR(IF(VLOOKUP(A758,[6]PRIORIZADOS!$A:$C,3,FALSE)="","",VLOOKUP(A758,[6]PRIORIZADOS!$A:$C,3,FALSE)),"")</f>
        <v>ENGATIVÁ</v>
      </c>
      <c r="D758" s="11" t="str">
        <f>IFERROR(IF(VLOOKUP(A758,[6]PRIORIZADOS!$A:$D,4,FALSE)="","",VLOOKUP(A758,[6]PRIORIZADOS!$A:$D,4,FALSE)),"")</f>
        <v>PRIVADO</v>
      </c>
      <c r="E758" s="11" t="str">
        <f>IFERROR(IF(VLOOKUP(A758,[6]PRIORIZADOS!$A:$E,5,FALSE)="","",VLOOKUP(A758,[6]PRIORIZADOS!$A:$E,5,FALSE)),"")</f>
        <v>EPBM</v>
      </c>
      <c r="F758" s="11" t="str">
        <f>IFERROR(IF(VLOOKUP(A758,[6]PRIORIZADOS!$A:$F,6,FALSE)="","",VLOOKUP(A758,[6]PRIORIZADOS!$A:$F,6,FALSE)),"")</f>
        <v>COLEGIO_REAL_DE_BOGOTA</v>
      </c>
      <c r="G758" s="11" t="str">
        <f>IFERROR(IF(VLOOKUP(A758,[6]PRIORIZADOS!$A:$G,7,FALSE)="","",VLOOKUP(A758,[6]PRIORIZADOS!$A:$G,7,FALSE)),"")</f>
        <v>COLEGIO_REAL_DE_BOGOTA</v>
      </c>
      <c r="H758" s="11" t="str">
        <f>IFERROR(IF(VLOOKUP(A758,[6]PRIORIZADOS!$A:$H,8,FALSE)="","",VLOOKUP(A758,[6]PRIORIZADOS!$A:$H,8,FALSE)),"")</f>
        <v>Autoevaluación Institucional y Pruebas SABER 11</v>
      </c>
      <c r="I758" s="11" t="str">
        <f>IFERROR(IF(VLOOKUP(A758,[6]PRIORIZADOS!$A:$I,9,FALSE)="","",VLOOKUP(A758,[6]PRIORIZADOS!$A:$I,9,FALSE)),"")</f>
        <v>EVALUACIÓN_CON_FINES_DE_MEJORAMIENTO.</v>
      </c>
      <c r="J758" s="11" t="str">
        <f>IFERROR(IF(VLOOKUP(A758,[6]PRIORIZADOS!$A:$J,10,FALSE)="","",VLOOKUP(A758,[6]PRIORIZADOS!$A:$J,10,FALSE)),"")</f>
        <v>Verificar el funcionamiento del Gobierno Escolar e instancias de participación con base en la información sobre conformación reportada por la institución educativa.</v>
      </c>
      <c r="K758" s="11" t="str">
        <f>IFERROR(IF(VLOOKUP(A758,[6]PRIORIZADOS!$A:$K,11,FALSE)="","",VLOOKUP(A758,[6]PRIORIZADOS!$A:$K,11,FALSE)),"")</f>
        <v>LUZ MERY PARRA NOPE</v>
      </c>
      <c r="L758" s="11" t="str">
        <f>IFERROR(IF(VLOOKUP(A758,[6]PRIORIZADOS!$A:$L,12,FALSE)="","",VLOOKUP(A758,[6]PRIORIZADOS!$A:$L,12,FALSE)),"")</f>
        <v>JUAN AGUSTÍN RODRÍGUEZ ROZO</v>
      </c>
      <c r="M758" s="71">
        <f>IFERROR(IF(VLOOKUP(A758,[6]PRIORIZADOS!$A:$M,13,FALSE)="","",VLOOKUP(A758,[6]PRIORIZADOS!$A:$M,13,FALSE)),"")</f>
        <v>45868</v>
      </c>
      <c r="N758" s="139">
        <f>IFERROR(IF(VLOOKUP(A758,[6]PRIORIZADOS!$A:$N,14,FALSE)="","",VLOOKUP(A758,[6]PRIORIZADOS!$A:$N,14,FALSE)),"")</f>
        <v>45868</v>
      </c>
      <c r="O758" s="139">
        <f>IFERROR(IF(VLOOKUP(A758,[6]PRIORIZADOS!$A:$O,15,FALSE)="","",VLOOKUP(A758,[6]PRIORIZADOS!$A:$O,15,FALSE)),"")</f>
        <v>45868</v>
      </c>
      <c r="P758" s="11" t="str">
        <f>IFERROR(IF(VLOOKUP(A758,[6]PRIORIZADOS!$A:$P,16,FALSE)="","",VLOOKUP(A758,[6]PRIORIZADOS!$A:$P,16,FALSE)),"")</f>
        <v>Visitas de evaluación con fines de mejoramiento</v>
      </c>
      <c r="Q758" s="142" t="s">
        <v>142</v>
      </c>
      <c r="R758" s="11" t="str">
        <f>IFERROR(IF(VLOOKUP(A758,[6]PRIORIZADOS!$A:$R,18,FALSE)="","",VLOOKUP(A758,[6]PRIORIZADOS!$A:$R,18,FALSE)),"")</f>
        <v>Se eviencia a traves de actas la conformación de las instancias de participación del Gobierno Escolar, al igual que su seguimiento.</v>
      </c>
      <c r="S758" s="11" t="str">
        <f>IFERROR(IF(VLOOKUP(A758,[6]PRIORIZADOS!$A:$S,19,FALSE)="","",VLOOKUP(A758,[6]PRIORIZADOS!$A:$S,19,FALSE)),"")</f>
        <v>Cumple con la normatividad vigente.</v>
      </c>
      <c r="T758" s="70" t="str">
        <f>IFERROR(IF(VLOOKUP(A758,[6]PRIORIZADOS!$A:$T,20,FALSE)="","",VLOOKUP(A758,[6]PRIORIZADOS!$A:$T,20,FALSE)),"")</f>
        <v>No</v>
      </c>
      <c r="U758" s="11" t="str">
        <f>IFERROR(IF(VLOOKUP(A758,[6]PRIORIZADOS!$A:$U,21,FALSE)="","",VLOOKUP(A758,[6]PRIORIZADOS!$A:$U,21,FALSE)),"")</f>
        <v>Se hará verificación en caso de presentar solicitud o queja ciudadana.</v>
      </c>
    </row>
    <row r="759" spans="1:21" s="1" customFormat="1" ht="72">
      <c r="A759" s="69">
        <f>IF([6]PRIORIZADOS!A125="","",[6]PRIORIZADOS!A125)</f>
        <v>697</v>
      </c>
      <c r="B759" s="70">
        <f>IFERROR(IF(VLOOKUP(A759,[6]PRIORIZADOS!$A:$B,2,FALSE)="","",VLOOKUP(A759,[6]PRIORIZADOS!$A:$B,2,FALSE)),"")</f>
        <v>13</v>
      </c>
      <c r="C759" s="11" t="str">
        <f>IFERROR(IF(VLOOKUP(A759,[6]PRIORIZADOS!$A:$C,3,FALSE)="","",VLOOKUP(A759,[6]PRIORIZADOS!$A:$C,3,FALSE)),"")</f>
        <v>ENGATIVÁ</v>
      </c>
      <c r="D759" s="11" t="str">
        <f>IFERROR(IF(VLOOKUP(A759,[6]PRIORIZADOS!$A:$D,4,FALSE)="","",VLOOKUP(A759,[6]PRIORIZADOS!$A:$D,4,FALSE)),"")</f>
        <v>PRIVADO</v>
      </c>
      <c r="E759" s="11" t="str">
        <f>IFERROR(IF(VLOOKUP(A759,[6]PRIORIZADOS!$A:$E,5,FALSE)="","",VLOOKUP(A759,[6]PRIORIZADOS!$A:$E,5,FALSE)),"")</f>
        <v>EPBM</v>
      </c>
      <c r="F759" s="11" t="str">
        <f>IFERROR(IF(VLOOKUP(A759,[6]PRIORIZADOS!$A:$F,6,FALSE)="","",VLOOKUP(A759,[6]PRIORIZADOS!$A:$F,6,FALSE)),"")</f>
        <v>COLEGIO_REAL_DE_BOGOTA</v>
      </c>
      <c r="G759" s="11" t="str">
        <f>IFERROR(IF(VLOOKUP(A759,[6]PRIORIZADOS!$A:$G,7,FALSE)="","",VLOOKUP(A759,[6]PRIORIZADOS!$A:$G,7,FALSE)),"")</f>
        <v>COLEGIO_REAL_DE_BOGOTA</v>
      </c>
      <c r="H759" s="11" t="str">
        <f>IFERROR(IF(VLOOKUP(A759,[6]PRIORIZADOS!$A:$H,8,FALSE)="","",VLOOKUP(A759,[6]PRIORIZADOS!$A:$H,8,FALSE)),"")</f>
        <v>Autoevaluación Institucional y Pruebas SABER 11</v>
      </c>
      <c r="I759" s="11" t="str">
        <f>IFERROR(IF(VLOOKUP(A759,[6]PRIORIZADOS!$A:$I,9,FALSE)="","",VLOOKUP(A759,[6]PRIORIZADOS!$A:$I,9,FALSE)),"")</f>
        <v>EVALUACIÓN_CON_FINES_DE_MEJORAMIENTO.</v>
      </c>
      <c r="J759" s="11" t="str">
        <f>IFERROR(IF(VLOOKUP(A759,[6]PRIORIZADOS!$A:$J,10,FALSE)="","",VLOOKUP(A759,[6]PRIORIZADOS!$A:$J,10,FALSE)),"")</f>
        <v>Verificar las condiciones en cuanto a: la estructura administrativa, condiciones de la planta física y medios educativos adecuados.</v>
      </c>
      <c r="K759" s="11" t="str">
        <f>IFERROR(IF(VLOOKUP(A759,[6]PRIORIZADOS!$A:$K,11,FALSE)="","",VLOOKUP(A759,[6]PRIORIZADOS!$A:$K,11,FALSE)),"")</f>
        <v>LUZ MERY PARRA NOPE</v>
      </c>
      <c r="L759" s="11" t="str">
        <f>IFERROR(IF(VLOOKUP(A759,[6]PRIORIZADOS!$A:$L,12,FALSE)="","",VLOOKUP(A759,[6]PRIORIZADOS!$A:$L,12,FALSE)),"")</f>
        <v>JUAN AGUSTÍN RODRÍGUEZ ROZO</v>
      </c>
      <c r="M759" s="71">
        <f>IFERROR(IF(VLOOKUP(A759,[6]PRIORIZADOS!$A:$M,13,FALSE)="","",VLOOKUP(A759,[6]PRIORIZADOS!$A:$M,13,FALSE)),"")</f>
        <v>45868</v>
      </c>
      <c r="N759" s="139">
        <f>IFERROR(IF(VLOOKUP(A759,[6]PRIORIZADOS!$A:$N,14,FALSE)="","",VLOOKUP(A759,[6]PRIORIZADOS!$A:$N,14,FALSE)),"")</f>
        <v>45868</v>
      </c>
      <c r="O759" s="139">
        <f>IFERROR(IF(VLOOKUP(A759,[6]PRIORIZADOS!$A:$O,15,FALSE)="","",VLOOKUP(A759,[6]PRIORIZADOS!$A:$O,15,FALSE)),"")</f>
        <v>45868</v>
      </c>
      <c r="P759" s="11" t="str">
        <f>IFERROR(IF(VLOOKUP(A759,[6]PRIORIZADOS!$A:$P,16,FALSE)="","",VLOOKUP(A759,[6]PRIORIZADOS!$A:$P,16,FALSE)),"")</f>
        <v>Visitas de evaluación con fines de mejoramiento</v>
      </c>
      <c r="Q759" s="142" t="s">
        <v>142</v>
      </c>
      <c r="R759" s="11" t="str">
        <f>IFERROR(IF(VLOOKUP(A759,[6]PRIORIZADOS!$A:$R,18,FALSE)="","",VLOOKUP(A759,[6]PRIORIZADOS!$A:$R,18,FALSE)),"")</f>
        <v>Al realizar el recorrido por la planta fisica del EE se observa que se encuentra en buen estado. Sin embargo, se observa en un deposito materiales sobrantes como pintura, pupitres y mosbilario en desuso en tre otros.</v>
      </c>
      <c r="S759" s="11" t="str">
        <f>IFERROR(IF(VLOOKUP(A759,[6]PRIORIZADOS!$A:$S,19,FALSE)="","",VLOOKUP(A759,[6]PRIORIZADOS!$A:$S,19,FALSE)),"")</f>
        <v>Revisar y hacer un buen uso de los elementos que se encuentran en ese deposito.</v>
      </c>
      <c r="T759" s="70" t="str">
        <f>IFERROR(IF(VLOOKUP(A759,[6]PRIORIZADOS!$A:$T,20,FALSE)="","",VLOOKUP(A759,[6]PRIORIZADOS!$A:$T,20,FALSE)),"")</f>
        <v>Si</v>
      </c>
      <c r="U759" s="11" t="str">
        <f>IFERROR(IF(VLOOKUP(A759,[6]PRIORIZADOS!$A:$U,21,FALSE)="","",VLOOKUP(A759,[6]PRIORIZADOS!$A:$U,21,FALSE)),"")</f>
        <v xml:space="preserve">Presentar un plan de mejoramiento que subsane las observaciones realizadas, el plazo para la radicación de dicho plan es de 10 días hábiles posteriores a la visita. </v>
      </c>
    </row>
    <row r="760" spans="1:21" s="1" customFormat="1" ht="84">
      <c r="A760" s="69">
        <f>IF([6]PRIORIZADOS!A126="","",[6]PRIORIZADOS!A126)</f>
        <v>698</v>
      </c>
      <c r="B760" s="70">
        <f>IFERROR(IF(VLOOKUP(A760,[6]PRIORIZADOS!$A:$B,2,FALSE)="","",VLOOKUP(A760,[6]PRIORIZADOS!$A:$B,2,FALSE)),"")</f>
        <v>14</v>
      </c>
      <c r="C760" s="11" t="str">
        <f>IFERROR(IF(VLOOKUP(A760,[6]PRIORIZADOS!$A:$C,3,FALSE)="","",VLOOKUP(A760,[6]PRIORIZADOS!$A:$C,3,FALSE)),"")</f>
        <v>ENGATIVÁ</v>
      </c>
      <c r="D760" s="11" t="str">
        <f>IFERROR(IF(VLOOKUP(A760,[6]PRIORIZADOS!$A:$D,4,FALSE)="","",VLOOKUP(A760,[6]PRIORIZADOS!$A:$D,4,FALSE)),"")</f>
        <v>PRIVADO</v>
      </c>
      <c r="E760" s="11" t="str">
        <f>IFERROR(IF(VLOOKUP(A760,[6]PRIORIZADOS!$A:$E,5,FALSE)="","",VLOOKUP(A760,[6]PRIORIZADOS!$A:$E,5,FALSE)),"")</f>
        <v>EPBM</v>
      </c>
      <c r="F760" s="11" t="str">
        <f>IFERROR(IF(VLOOKUP(A760,[6]PRIORIZADOS!$A:$F,6,FALSE)="","",VLOOKUP(A760,[6]PRIORIZADOS!$A:$F,6,FALSE)),"")</f>
        <v>COLEGIO_PSICOPEDAGOGICO_EL_ARTE_DEL_SABER</v>
      </c>
      <c r="G760" s="11" t="str">
        <f>IFERROR(IF(VLOOKUP(A760,[6]PRIORIZADOS!$A:$G,7,FALSE)="","",VLOOKUP(A760,[6]PRIORIZADOS!$A:$G,7,FALSE)),"")</f>
        <v>COLEGIO_PSICOPEDAGOGICO_EL_ARTE_DEL_SABER</v>
      </c>
      <c r="H760" s="11" t="str">
        <f>IFERROR(IF(VLOOKUP(A760,[6]PRIORIZADOS!$A:$H,8,FALSE)="","",VLOOKUP(A760,[6]PRIORIZADOS!$A:$H,8,FALSE)),"")</f>
        <v>Autoevaluación Institucional y Pruebas SABER 11</v>
      </c>
      <c r="I760" s="11" t="str">
        <f>IFERROR(IF(VLOOKUP(A760,[6]PRIORIZADOS!$A:$I,9,FALSE)="","",VLOOKUP(A760,[6]PRIORIZADOS!$A:$I,9,FALSE)),"")</f>
        <v>SEGUIMIENTO_Y_SUPERVISIÓN.</v>
      </c>
      <c r="J760" s="11" t="str">
        <f>IFERROR(IF(VLOOKUP(A760,[6]PRIORIZADOS!$A:$J,10,FALSE)="","",VLOOKUP(A760,[6]PRIORIZADOS!$A:$J,10,FALSE)),"")</f>
        <v>Realizar visitas para verificar la información registrada sobre la autoevaluación institucional en el aplicativo EVI, a los establecimientos de educación formal no oficial.</v>
      </c>
      <c r="K760" s="11" t="str">
        <f>IFERROR(IF(VLOOKUP(A760,[6]PRIORIZADOS!$A:$K,11,FALSE)="","",VLOOKUP(A760,[6]PRIORIZADOS!$A:$K,11,FALSE)),"")</f>
        <v>SANDRA MILENA BUENAVENTURA RUEDA</v>
      </c>
      <c r="L760" s="11" t="str">
        <f>IFERROR(IF(VLOOKUP(A760,[6]PRIORIZADOS!$A:$L,12,FALSE)="","",VLOOKUP(A760,[6]PRIORIZADOS!$A:$L,12,FALSE)),"")</f>
        <v>ANA MARÍA CASAS SANABRIA</v>
      </c>
      <c r="M760" s="71">
        <f>IFERROR(IF(VLOOKUP(A760,[6]PRIORIZADOS!$A:$M,13,FALSE)="","",VLOOKUP(A760,[6]PRIORIZADOS!$A:$M,13,FALSE)),"")</f>
        <v>45756</v>
      </c>
      <c r="N760" s="139">
        <f>IFERROR(IF(VLOOKUP(A760,[6]PRIORIZADOS!$A:$N,14,FALSE)="","",VLOOKUP(A760,[6]PRIORIZADOS!$A:$N,14,FALSE)),"")</f>
        <v>45756</v>
      </c>
      <c r="O760" s="139">
        <f>IFERROR(IF(VLOOKUP(A760,[6]PRIORIZADOS!$A:$O,15,FALSE)="","",VLOOKUP(A760,[6]PRIORIZADOS!$A:$O,15,FALSE)),"")</f>
        <v>45756</v>
      </c>
      <c r="P760" s="11" t="str">
        <f>IFERROR(IF(VLOOKUP(A760,[6]PRIORIZADOS!$A:$P,16,FALSE)="","",VLOOKUP(A760,[6]PRIORIZADOS!$A:$P,16,FALSE)),"")</f>
        <v>Visitas de evaluación con fines de seguimiento</v>
      </c>
      <c r="Q760" s="121" t="s">
        <v>143</v>
      </c>
      <c r="R760" s="11" t="str">
        <f>IFERROR(IF(VLOOKUP(A760,[6]PRIORIZADOS!$A:$R,18,FALSE)="","",VLOOKUP(A760,[6]PRIORIZADOS!$A:$R,18,FALSE)),"")</f>
        <v>Se realiza recorrido a la planta física evidenciando falencias en los espacios motivo por el cual se encuentra en vigilado y se evidencia la prestación del servicio educativo para el grado preescolar en una sede no autorizada en licencia de funcionamiento.</v>
      </c>
      <c r="S760" s="11" t="str">
        <f>IFERROR(IF(VLOOKUP(A760,[6]PRIORIZADOS!$A:$S,19,FALSE)="","",VLOOKUP(A760,[6]PRIORIZADOS!$A:$S,19,FALSE)),"")</f>
        <v xml:space="preserve">
Se debe realizar un análisis de la capacidad instalada en salones de clase y baterías de baño para una posible intervención a la planta físicay la modificación de la Licencia de Funcionamiento por nueva sede</v>
      </c>
      <c r="T760" s="70" t="str">
        <f>IFERROR(IF(VLOOKUP(A760,[6]PRIORIZADOS!$A:$T,20,FALSE)="","",VLOOKUP(A760,[6]PRIORIZADOS!$A:$T,20,FALSE)),"")</f>
        <v>Si</v>
      </c>
      <c r="U760" s="11" t="str">
        <f>IFERROR(IF(VLOOKUP(A760,[6]PRIORIZADOS!$A:$U,21,FALSE)="","",VLOOKUP(A760,[6]PRIORIZADOS!$A:$U,21,FALSE)),"")</f>
        <v>La institución presentará plan de mejora con fecha máxima 07 de mayo con el fin de ser revisado por el equipo de Inspección y Vigilancia para hacer los ajustes y la trazabilidad correspondiente</v>
      </c>
    </row>
    <row r="761" spans="1:21" s="1" customFormat="1" ht="60">
      <c r="A761" s="69">
        <f>IF([6]PRIORIZADOS!A127="","",[6]PRIORIZADOS!A127)</f>
        <v>699</v>
      </c>
      <c r="B761" s="70">
        <f>IFERROR(IF(VLOOKUP(A761,[6]PRIORIZADOS!$A:$B,2,FALSE)="","",VLOOKUP(A761,[6]PRIORIZADOS!$A:$B,2,FALSE)),"")</f>
        <v>14</v>
      </c>
      <c r="C761" s="11" t="str">
        <f>IFERROR(IF(VLOOKUP(A761,[6]PRIORIZADOS!$A:$C,3,FALSE)="","",VLOOKUP(A761,[6]PRIORIZADOS!$A:$C,3,FALSE)),"")</f>
        <v>ENGATIVÁ</v>
      </c>
      <c r="D761" s="11" t="str">
        <f>IFERROR(IF(VLOOKUP(A761,[6]PRIORIZADOS!$A:$D,4,FALSE)="","",VLOOKUP(A761,[6]PRIORIZADOS!$A:$D,4,FALSE)),"")</f>
        <v>PRIVADO</v>
      </c>
      <c r="E761" s="11" t="str">
        <f>IFERROR(IF(VLOOKUP(A761,[6]PRIORIZADOS!$A:$E,5,FALSE)="","",VLOOKUP(A761,[6]PRIORIZADOS!$A:$E,5,FALSE)),"")</f>
        <v>EPBM</v>
      </c>
      <c r="F761" s="11" t="str">
        <f>IFERROR(IF(VLOOKUP(A761,[6]PRIORIZADOS!$A:$F,6,FALSE)="","",VLOOKUP(A761,[6]PRIORIZADOS!$A:$F,6,FALSE)),"")</f>
        <v>COLEGIO_PSICOPEDAGOGICO_EL_ARTE_DEL_SABER</v>
      </c>
      <c r="G761" s="11" t="str">
        <f>IFERROR(IF(VLOOKUP(A761,[6]PRIORIZADOS!$A:$G,7,FALSE)="","",VLOOKUP(A761,[6]PRIORIZADOS!$A:$G,7,FALSE)),"")</f>
        <v>COLEGIO_PSICOPEDAGOGICO_EL_ARTE_DEL_SABER</v>
      </c>
      <c r="H761" s="11" t="str">
        <f>IFERROR(IF(VLOOKUP(A761,[6]PRIORIZADOS!$A:$H,8,FALSE)="","",VLOOKUP(A761,[6]PRIORIZADOS!$A:$H,8,FALSE)),"")</f>
        <v>Autoevaluación Institucional y Pruebas SABER 11</v>
      </c>
      <c r="I761" s="11" t="str">
        <f>IFERROR(IF(VLOOKUP(A761,[6]PRIORIZADOS!$A:$I,9,FALSE)="","",VLOOKUP(A761,[6]PRIORIZADOS!$A:$I,9,FALSE)),"")</f>
        <v>SEGUIMIENTO_Y_SUPERVISIÓN.</v>
      </c>
      <c r="J761" s="11" t="str">
        <f>IFERROR(IF(VLOOKUP(A761,[6]PRIORIZADOS!$A:$J,10,FALSE)="","",VLOOKUP(A761,[6]PRIORIZADOS!$A:$J,10,FALSE)),"")</f>
        <v>Proponer estrategias en la formulación, verificar su elaboración y realizar seguimiento semestral al desarrollo de  las acciones establecidas en los planes de mejoramiento por pruebas SABER 11 de los establecimientos de educación formal.</v>
      </c>
      <c r="K761" s="11" t="str">
        <f>IFERROR(IF(VLOOKUP(A761,[6]PRIORIZADOS!$A:$K,11,FALSE)="","",VLOOKUP(A761,[6]PRIORIZADOS!$A:$K,11,FALSE)),"")</f>
        <v>SANDRA MILENA BUENAVENTURA RUEDA</v>
      </c>
      <c r="L761" s="11" t="str">
        <f>IFERROR(IF(VLOOKUP(A761,[6]PRIORIZADOS!$A:$L,12,FALSE)="","",VLOOKUP(A761,[6]PRIORIZADOS!$A:$L,12,FALSE)),"")</f>
        <v>ANA MARÍA CASAS SANABRIA</v>
      </c>
      <c r="M761" s="71">
        <f>IFERROR(IF(VLOOKUP(A761,[6]PRIORIZADOS!$A:$M,13,FALSE)="","",VLOOKUP(A761,[6]PRIORIZADOS!$A:$M,13,FALSE)),"")</f>
        <v>45756</v>
      </c>
      <c r="N761" s="139">
        <f>IFERROR(IF(VLOOKUP(A761,[6]PRIORIZADOS!$A:$N,14,FALSE)="","",VLOOKUP(A761,[6]PRIORIZADOS!$A:$N,14,FALSE)),"")</f>
        <v>45756</v>
      </c>
      <c r="O761" s="139">
        <f>IFERROR(IF(VLOOKUP(A761,[6]PRIORIZADOS!$A:$O,15,FALSE)="","",VLOOKUP(A761,[6]PRIORIZADOS!$A:$O,15,FALSE)),"")</f>
        <v>45756</v>
      </c>
      <c r="P761" s="11" t="str">
        <f>IFERROR(IF(VLOOKUP(A761,[6]PRIORIZADOS!$A:$P,16,FALSE)="","",VLOOKUP(A761,[6]PRIORIZADOS!$A:$P,16,FALSE)),"")</f>
        <v>Visitas de evaluación con fines de seguimiento</v>
      </c>
      <c r="Q761" s="121" t="s">
        <v>143</v>
      </c>
      <c r="R761" s="11" t="str">
        <f>IFERROR(IF(VLOOKUP(A761,[6]PRIORIZADOS!$A:$R,18,FALSE)="","",VLOOKUP(A761,[6]PRIORIZADOS!$A:$R,18,FALSE)),"")</f>
        <v>La IE se clasifica en A y los resultados los revisa el coordinador y el rector pero hasta el mes de abril se hara la primera reunión con los docentes</v>
      </c>
      <c r="S761" s="11" t="str">
        <f>IFERROR(IF(VLOOKUP(A761,[6]PRIORIZADOS!$A:$S,19,FALSE)="","",VLOOKUP(A761,[6]PRIORIZADOS!$A:$S,19,FALSE)),"")</f>
        <v>Se recomienda socializar los resultados con los docentes los resultados al inicio del año escolar.</v>
      </c>
      <c r="T761" s="70" t="str">
        <f>IFERROR(IF(VLOOKUP(A761,[6]PRIORIZADOS!$A:$T,20,FALSE)="","",VLOOKUP(A761,[6]PRIORIZADOS!$A:$T,20,FALSE)),"")</f>
        <v>No</v>
      </c>
      <c r="U761" s="11" t="str">
        <f>IFERROR(IF(VLOOKUP(A761,[6]PRIORIZADOS!$A:$U,21,FALSE)="","",VLOOKUP(A761,[6]PRIORIZADOS!$A:$U,21,FALSE)),"")</f>
        <v>Se hara el respectivo seguimiento en el último trimestre de 2025</v>
      </c>
    </row>
    <row r="762" spans="1:21" s="1" customFormat="1" ht="48">
      <c r="A762" s="69">
        <f>IF([6]PRIORIZADOS!A128="","",[6]PRIORIZADOS!A128)</f>
        <v>700</v>
      </c>
      <c r="B762" s="70">
        <f>IFERROR(IF(VLOOKUP(A762,[6]PRIORIZADOS!$A:$B,2,FALSE)="","",VLOOKUP(A762,[6]PRIORIZADOS!$A:$B,2,FALSE)),"")</f>
        <v>14</v>
      </c>
      <c r="C762" s="11" t="str">
        <f>IFERROR(IF(VLOOKUP(A762,[6]PRIORIZADOS!$A:$C,3,FALSE)="","",VLOOKUP(A762,[6]PRIORIZADOS!$A:$C,3,FALSE)),"")</f>
        <v>ENGATIVÁ</v>
      </c>
      <c r="D762" s="11" t="str">
        <f>IFERROR(IF(VLOOKUP(A762,[6]PRIORIZADOS!$A:$D,4,FALSE)="","",VLOOKUP(A762,[6]PRIORIZADOS!$A:$D,4,FALSE)),"")</f>
        <v>PRIVADO</v>
      </c>
      <c r="E762" s="11" t="str">
        <f>IFERROR(IF(VLOOKUP(A762,[6]PRIORIZADOS!$A:$E,5,FALSE)="","",VLOOKUP(A762,[6]PRIORIZADOS!$A:$E,5,FALSE)),"")</f>
        <v>EPBM</v>
      </c>
      <c r="F762" s="11" t="str">
        <f>IFERROR(IF(VLOOKUP(A762,[6]PRIORIZADOS!$A:$F,6,FALSE)="","",VLOOKUP(A762,[6]PRIORIZADOS!$A:$F,6,FALSE)),"")</f>
        <v>COLEGIO_PSICOPEDAGOGICO_EL_ARTE_DEL_SABER</v>
      </c>
      <c r="G762" s="11" t="str">
        <f>IFERROR(IF(VLOOKUP(A762,[6]PRIORIZADOS!$A:$G,7,FALSE)="","",VLOOKUP(A762,[6]PRIORIZADOS!$A:$G,7,FALSE)),"")</f>
        <v>COLEGIO_PSICOPEDAGOGICO_EL_ARTE_DEL_SABER</v>
      </c>
      <c r="H762" s="11" t="str">
        <f>IFERROR(IF(VLOOKUP(A762,[6]PRIORIZADOS!$A:$H,8,FALSE)="","",VLOOKUP(A762,[6]PRIORIZADOS!$A:$H,8,FALSE)),"")</f>
        <v>Autoevaluación Institucional y Pruebas SABER 11</v>
      </c>
      <c r="I762" s="11" t="str">
        <f>IFERROR(IF(VLOOKUP(A762,[6]PRIORIZADOS!$A:$I,9,FALSE)="","",VLOOKUP(A762,[6]PRIORIZADOS!$A:$I,9,FALSE)),"")</f>
        <v>SEGUIMIENTO_Y_SUPERVISIÓN.</v>
      </c>
      <c r="J762" s="11" t="str">
        <f>IFERROR(IF(VLOOKUP(A762,[6]PRIORIZADOS!$A:$J,10,FALSE)="","",VLOOKUP(A762,[6]PRIORIZADOS!$A:$J,10,FALSE)),"")</f>
        <v xml:space="preserve">Verificar la implementación por parte de los colegios, de acciones realizadas para la prevención y atención de las situaciones de convivencia en el entorno escolar, según lo establecido en la Directiva 01 de 2022 del MEN. </v>
      </c>
      <c r="K762" s="11" t="str">
        <f>IFERROR(IF(VLOOKUP(A762,[6]PRIORIZADOS!$A:$K,11,FALSE)="","",VLOOKUP(A762,[6]PRIORIZADOS!$A:$K,11,FALSE)),"")</f>
        <v>SANDRA MILENA BUENAVENTURA RUEDA</v>
      </c>
      <c r="L762" s="11" t="str">
        <f>IFERROR(IF(VLOOKUP(A762,[6]PRIORIZADOS!$A:$L,12,FALSE)="","",VLOOKUP(A762,[6]PRIORIZADOS!$A:$L,12,FALSE)),"")</f>
        <v>ANA MARÍA CASAS SANABRIA</v>
      </c>
      <c r="M762" s="71">
        <f>IFERROR(IF(VLOOKUP(A762,[6]PRIORIZADOS!$A:$M,13,FALSE)="","",VLOOKUP(A762,[6]PRIORIZADOS!$A:$M,13,FALSE)),"")</f>
        <v>45756</v>
      </c>
      <c r="N762" s="139">
        <f>IFERROR(IF(VLOOKUP(A762,[6]PRIORIZADOS!$A:$N,14,FALSE)="","",VLOOKUP(A762,[6]PRIORIZADOS!$A:$N,14,FALSE)),"")</f>
        <v>45756</v>
      </c>
      <c r="O762" s="139">
        <f>IFERROR(IF(VLOOKUP(A762,[6]PRIORIZADOS!$A:$O,15,FALSE)="","",VLOOKUP(A762,[6]PRIORIZADOS!$A:$O,15,FALSE)),"")</f>
        <v>45756</v>
      </c>
      <c r="P762" s="11" t="str">
        <f>IFERROR(IF(VLOOKUP(A762,[6]PRIORIZADOS!$A:$P,16,FALSE)="","",VLOOKUP(A762,[6]PRIORIZADOS!$A:$P,16,FALSE)),"")</f>
        <v>Visitas de evaluación con fines de seguimiento</v>
      </c>
      <c r="Q762" s="121" t="s">
        <v>143</v>
      </c>
      <c r="R762" s="11" t="str">
        <f>IFERROR(IF(VLOOKUP(A762,[6]PRIORIZADOS!$A:$R,18,FALSE)="","",VLOOKUP(A762,[6]PRIORIZADOS!$A:$R,18,FALSE)),"")</f>
        <v>Se evidencia consulta de estos antecedentes en años anteriores</v>
      </c>
      <c r="S762" s="11" t="str">
        <f>IFERROR(IF(VLOOKUP(A762,[6]PRIORIZADOS!$A:$S,19,FALSE)="","",VLOOKUP(A762,[6]PRIORIZADOS!$A:$S,19,FALSE)),"")</f>
        <v>Se les indica que esta verificación se debe hacer cada cuatro meses.</v>
      </c>
      <c r="T762" s="70" t="str">
        <f>IFERROR(IF(VLOOKUP(A762,[6]PRIORIZADOS!$A:$T,20,FALSE)="","",VLOOKUP(A762,[6]PRIORIZADOS!$A:$T,20,FALSE)),"")</f>
        <v>No</v>
      </c>
      <c r="U762" s="11" t="str">
        <f>IFERROR(IF(VLOOKUP(A762,[6]PRIORIZADOS!$A:$U,21,FALSE)="","",VLOOKUP(A762,[6]PRIORIZADOS!$A:$U,21,FALSE)),"")</f>
        <v>Se hara el respectivo seguimiento en el último trimestre de 2025</v>
      </c>
    </row>
    <row r="763" spans="1:21" s="1" customFormat="1" ht="72">
      <c r="A763" s="69">
        <f>IF([6]PRIORIZADOS!A129="","",[6]PRIORIZADOS!A129)</f>
        <v>701</v>
      </c>
      <c r="B763" s="70">
        <f>IFERROR(IF(VLOOKUP(A763,[6]PRIORIZADOS!$A:$B,2,FALSE)="","",VLOOKUP(A763,[6]PRIORIZADOS!$A:$B,2,FALSE)),"")</f>
        <v>14</v>
      </c>
      <c r="C763" s="11" t="str">
        <f>IFERROR(IF(VLOOKUP(A763,[6]PRIORIZADOS!$A:$C,3,FALSE)="","",VLOOKUP(A763,[6]PRIORIZADOS!$A:$C,3,FALSE)),"")</f>
        <v>ENGATIVÁ</v>
      </c>
      <c r="D763" s="11" t="str">
        <f>IFERROR(IF(VLOOKUP(A763,[6]PRIORIZADOS!$A:$D,4,FALSE)="","",VLOOKUP(A763,[6]PRIORIZADOS!$A:$D,4,FALSE)),"")</f>
        <v>PRIVADO</v>
      </c>
      <c r="E763" s="11" t="str">
        <f>IFERROR(IF(VLOOKUP(A763,[6]PRIORIZADOS!$A:$E,5,FALSE)="","",VLOOKUP(A763,[6]PRIORIZADOS!$A:$E,5,FALSE)),"")</f>
        <v>EPBM</v>
      </c>
      <c r="F763" s="11" t="str">
        <f>IFERROR(IF(VLOOKUP(A763,[6]PRIORIZADOS!$A:$F,6,FALSE)="","",VLOOKUP(A763,[6]PRIORIZADOS!$A:$F,6,FALSE)),"")</f>
        <v>COLEGIO_PSICOPEDAGOGICO_EL_ARTE_DEL_SABER</v>
      </c>
      <c r="G763" s="11" t="str">
        <f>IFERROR(IF(VLOOKUP(A763,[6]PRIORIZADOS!$A:$G,7,FALSE)="","",VLOOKUP(A763,[6]PRIORIZADOS!$A:$G,7,FALSE)),"")</f>
        <v>COLEGIO_PSICOPEDAGOGICO_EL_ARTE_DEL_SABER</v>
      </c>
      <c r="H763" s="11" t="str">
        <f>IFERROR(IF(VLOOKUP(A763,[6]PRIORIZADOS!$A:$H,8,FALSE)="","",VLOOKUP(A763,[6]PRIORIZADOS!$A:$H,8,FALSE)),"")</f>
        <v>Autoevaluación Institucional y Pruebas SABER 11</v>
      </c>
      <c r="I763" s="11" t="str">
        <f>IFERROR(IF(VLOOKUP(A763,[6]PRIORIZADOS!$A:$I,9,FALSE)="","",VLOOKUP(A763,[6]PRIORIZADOS!$A:$I,9,FALSE)),"")</f>
        <v>SEGUIMIENTO_Y_SUPERVISIÓN.</v>
      </c>
      <c r="J763" s="11" t="str">
        <f>IFERROR(IF(VLOOKUP(A763,[6]PRIORIZADOS!$A:$J,10,FALSE)="","",VLOOKUP(A763,[6]PRIORIZADOS!$A:$J,10,FALSE)),"")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63" s="11" t="str">
        <f>IFERROR(IF(VLOOKUP(A763,[6]PRIORIZADOS!$A:$K,11,FALSE)="","",VLOOKUP(A763,[6]PRIORIZADOS!$A:$K,11,FALSE)),"")</f>
        <v>SANDRA MILENA BUENAVENTURA RUEDA</v>
      </c>
      <c r="L763" s="11" t="str">
        <f>IFERROR(IF(VLOOKUP(A763,[6]PRIORIZADOS!$A:$L,12,FALSE)="","",VLOOKUP(A763,[6]PRIORIZADOS!$A:$L,12,FALSE)),"")</f>
        <v>ANA MARÍA CASAS SANABRIA</v>
      </c>
      <c r="M763" s="71">
        <f>IFERROR(IF(VLOOKUP(A763,[6]PRIORIZADOS!$A:$M,13,FALSE)="","",VLOOKUP(A763,[6]PRIORIZADOS!$A:$M,13,FALSE)),"")</f>
        <v>45756</v>
      </c>
      <c r="N763" s="139">
        <f>IFERROR(IF(VLOOKUP(A763,[6]PRIORIZADOS!$A:$N,14,FALSE)="","",VLOOKUP(A763,[6]PRIORIZADOS!$A:$N,14,FALSE)),"")</f>
        <v>45756</v>
      </c>
      <c r="O763" s="139">
        <f>IFERROR(IF(VLOOKUP(A763,[6]PRIORIZADOS!$A:$O,15,FALSE)="","",VLOOKUP(A763,[6]PRIORIZADOS!$A:$O,15,FALSE)),"")</f>
        <v>45756</v>
      </c>
      <c r="P763" s="11" t="str">
        <f>IFERROR(IF(VLOOKUP(A763,[6]PRIORIZADOS!$A:$P,16,FALSE)="","",VLOOKUP(A763,[6]PRIORIZADOS!$A:$P,16,FALSE)),"")</f>
        <v>Visitas de evaluación con fines de seguimiento</v>
      </c>
      <c r="Q763" s="121" t="s">
        <v>143</v>
      </c>
      <c r="R763" s="11" t="str">
        <f>IFERROR(IF(VLOOKUP(A763,[6]PRIORIZADOS!$A:$R,18,FALSE)="","",VLOOKUP(A763,[6]PRIORIZADOS!$A:$R,18,FALSE)),"")</f>
        <v>Se evidencian en SIMAT 2 estudiantes en proceso de elaboración por parte del área de orientación 8 nuevos PIAR.</v>
      </c>
      <c r="S763" s="11" t="str">
        <f>IFERROR(IF(VLOOKUP(A763,[6]PRIORIZADOS!$A:$S,19,FALSE)="","",VLOOKUP(A763,[6]PRIORIZADOS!$A:$S,19,FALSE)),"")</f>
        <v>Se le indica la debida actualización de los PIAR de los estudiantes registrados en el SIMAT</v>
      </c>
      <c r="T763" s="70" t="str">
        <f>IFERROR(IF(VLOOKUP(A763,[6]PRIORIZADOS!$A:$T,20,FALSE)="","",VLOOKUP(A763,[6]PRIORIZADOS!$A:$T,20,FALSE)),"")</f>
        <v>Si</v>
      </c>
      <c r="U763" s="11" t="str">
        <f>IFERROR(IF(VLOOKUP(A763,[6]PRIORIZADOS!$A:$U,21,FALSE)="","",VLOOKUP(A763,[6]PRIORIZADOS!$A:$U,21,FALSE)),"")</f>
        <v>La institución presentará plan de mejora con fecha máxima 07 de mayo con el fin de ser revisado por el equipo de Inspección y Vigilancia para hacer los ajustes y la trazabilidad correspondiente</v>
      </c>
    </row>
    <row r="764" spans="1:21" s="1" customFormat="1" ht="107.25">
      <c r="A764" s="69">
        <f>IF([6]PRIORIZADOS!A130="","",[6]PRIORIZADOS!A130)</f>
        <v>702</v>
      </c>
      <c r="B764" s="70">
        <f>IFERROR(IF(VLOOKUP(A764,[6]PRIORIZADOS!$A:$B,2,FALSE)="","",VLOOKUP(A764,[6]PRIORIZADOS!$A:$B,2,FALSE)),"")</f>
        <v>14</v>
      </c>
      <c r="C764" s="11" t="str">
        <f>IFERROR(IF(VLOOKUP(A764,[6]PRIORIZADOS!$A:$C,3,FALSE)="","",VLOOKUP(A764,[6]PRIORIZADOS!$A:$C,3,FALSE)),"")</f>
        <v>ENGATIVÁ</v>
      </c>
      <c r="D764" s="11" t="str">
        <f>IFERROR(IF(VLOOKUP(A764,[6]PRIORIZADOS!$A:$D,4,FALSE)="","",VLOOKUP(A764,[6]PRIORIZADOS!$A:$D,4,FALSE)),"")</f>
        <v>PRIVADO</v>
      </c>
      <c r="E764" s="11" t="str">
        <f>IFERROR(IF(VLOOKUP(A764,[6]PRIORIZADOS!$A:$E,5,FALSE)="","",VLOOKUP(A764,[6]PRIORIZADOS!$A:$E,5,FALSE)),"")</f>
        <v>EPBM</v>
      </c>
      <c r="F764" s="11" t="str">
        <f>IFERROR(IF(VLOOKUP(A764,[6]PRIORIZADOS!$A:$F,6,FALSE)="","",VLOOKUP(A764,[6]PRIORIZADOS!$A:$F,6,FALSE)),"")</f>
        <v>COLEGIO_PSICOPEDAGOGICO_EL_ARTE_DEL_SABER</v>
      </c>
      <c r="G764" s="11" t="str">
        <f>IFERROR(IF(VLOOKUP(A764,[6]PRIORIZADOS!$A:$G,7,FALSE)="","",VLOOKUP(A764,[6]PRIORIZADOS!$A:$G,7,FALSE)),"")</f>
        <v>COLEGIO_PSICOPEDAGOGICO_EL_ARTE_DEL_SABER</v>
      </c>
      <c r="H764" s="11" t="str">
        <f>IFERROR(IF(VLOOKUP(A764,[6]PRIORIZADOS!$A:$H,8,FALSE)="","",VLOOKUP(A764,[6]PRIORIZADOS!$A:$H,8,FALSE)),"")</f>
        <v>Autoevaluación Institucional y Pruebas SABER 11</v>
      </c>
      <c r="I764" s="11" t="str">
        <f>IFERROR(IF(VLOOKUP(A764,[6]PRIORIZADOS!$A:$I,9,FALSE)="","",VLOOKUP(A764,[6]PRIORIZADOS!$A:$I,9,FALSE)),"")</f>
        <v>EVALUACIÓN_CON_FINES_DE_MEJORAMIENTO.</v>
      </c>
      <c r="J764" s="11" t="str">
        <f>IFERROR(IF(VLOOKUP(A764,[6]PRIORIZADOS!$A:$J,10,FALSE)="","",VLOOKUP(A764,[6]PRIORIZADOS!$A:$J,10,FALSE)),"")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64" s="11" t="str">
        <f>IFERROR(IF(VLOOKUP(A764,[6]PRIORIZADOS!$A:$K,11,FALSE)="","",VLOOKUP(A764,[6]PRIORIZADOS!$A:$K,11,FALSE)),"")</f>
        <v>SANDRA MILENA BUENAVENTURA RUEDA</v>
      </c>
      <c r="L764" s="11" t="str">
        <f>IFERROR(IF(VLOOKUP(A764,[6]PRIORIZADOS!$A:$L,12,FALSE)="","",VLOOKUP(A764,[6]PRIORIZADOS!$A:$L,12,FALSE)),"")</f>
        <v>ANA MARÍA CASAS SANABRIA</v>
      </c>
      <c r="M764" s="71">
        <f>IFERROR(IF(VLOOKUP(A764,[6]PRIORIZADOS!$A:$M,13,FALSE)="","",VLOOKUP(A764,[6]PRIORIZADOS!$A:$M,13,FALSE)),"")</f>
        <v>45756</v>
      </c>
      <c r="N764" s="139">
        <f>IFERROR(IF(VLOOKUP(A764,[6]PRIORIZADOS!$A:$N,14,FALSE)="","",VLOOKUP(A764,[6]PRIORIZADOS!$A:$N,14,FALSE)),"")</f>
        <v>45756</v>
      </c>
      <c r="O764" s="139">
        <f>IFERROR(IF(VLOOKUP(A764,[6]PRIORIZADOS!$A:$O,15,FALSE)="","",VLOOKUP(A764,[6]PRIORIZADOS!$A:$O,15,FALSE)),"")</f>
        <v>45756</v>
      </c>
      <c r="P764" s="11" t="str">
        <f>IFERROR(IF(VLOOKUP(A764,[6]PRIORIZADOS!$A:$P,16,FALSE)="","",VLOOKUP(A764,[6]PRIORIZADOS!$A:$P,16,FALSE)),"")</f>
        <v>Visitas de evaluación con fines de mejoramiento</v>
      </c>
      <c r="Q764" s="121" t="s">
        <v>143</v>
      </c>
      <c r="R764" s="11" t="str">
        <f>IFERROR(IF(VLOOKUP(A764,[6]PRIORIZADOS!$A:$R,18,FALSE)="","",VLOOKUP(A764,[6]PRIORIZADOS!$A:$R,18,FALSE)),"")</f>
        <v>Se evidencia el Manual de Convivencia de la IE el cual consta de 140 páginas y define la Diversidad, Inclusión educativa, enfoque de genero, interseccionalidad, perspectiva intercultural. En el capitulo 9 Estategia para la solución pacifica de conflictos desarrolla el enfoque restaurativo, se llevan a cabo reuniones con el fin de actualizarlo en medio de las jornadas pedagógicas.</v>
      </c>
      <c r="S764" s="11" t="str">
        <f>IFERROR(IF(VLOOKUP(A764,[6]PRIORIZADOS!$A:$S,19,FALSE)="","",VLOOKUP(A764,[6]PRIORIZADOS!$A:$S,19,FALSE)),"")</f>
        <v>Se recuerda que la actualización debe ser anual y de forma participativa con toda la comunidad educativa.</v>
      </c>
      <c r="T764" s="70" t="str">
        <f>IFERROR(IF(VLOOKUP(A764,[6]PRIORIZADOS!$A:$T,20,FALSE)="","",VLOOKUP(A764,[6]PRIORIZADOS!$A:$T,20,FALSE)),"")</f>
        <v>No</v>
      </c>
      <c r="U764" s="11" t="str">
        <f>IFERROR(IF(VLOOKUP(A764,[6]PRIORIZADOS!$A:$U,21,FALSE)="","",VLOOKUP(A764,[6]PRIORIZADOS!$A:$U,21,FALSE)),"")</f>
        <v>Se hara el respectivo seguimiento en el último trimestre de 2025</v>
      </c>
    </row>
    <row r="765" spans="1:21" s="1" customFormat="1" ht="48">
      <c r="A765" s="69">
        <f>IF([6]PRIORIZADOS!A131="","",[6]PRIORIZADOS!A131)</f>
        <v>703</v>
      </c>
      <c r="B765" s="70">
        <f>IFERROR(IF(VLOOKUP(A765,[6]PRIORIZADOS!$A:$B,2,FALSE)="","",VLOOKUP(A765,[6]PRIORIZADOS!$A:$B,2,FALSE)),"")</f>
        <v>14</v>
      </c>
      <c r="C765" s="11" t="str">
        <f>IFERROR(IF(VLOOKUP(A765,[6]PRIORIZADOS!$A:$C,3,FALSE)="","",VLOOKUP(A765,[6]PRIORIZADOS!$A:$C,3,FALSE)),"")</f>
        <v>ENGATIVÁ</v>
      </c>
      <c r="D765" s="11" t="str">
        <f>IFERROR(IF(VLOOKUP(A765,[6]PRIORIZADOS!$A:$D,4,FALSE)="","",VLOOKUP(A765,[6]PRIORIZADOS!$A:$D,4,FALSE)),"")</f>
        <v>PRIVADO</v>
      </c>
      <c r="E765" s="11" t="str">
        <f>IFERROR(IF(VLOOKUP(A765,[6]PRIORIZADOS!$A:$E,5,FALSE)="","",VLOOKUP(A765,[6]PRIORIZADOS!$A:$E,5,FALSE)),"")</f>
        <v>EPBM</v>
      </c>
      <c r="F765" s="11" t="str">
        <f>IFERROR(IF(VLOOKUP(A765,[6]PRIORIZADOS!$A:$F,6,FALSE)="","",VLOOKUP(A765,[6]PRIORIZADOS!$A:$F,6,FALSE)),"")</f>
        <v>COLEGIO_PSICOPEDAGOGICO_EL_ARTE_DEL_SABER</v>
      </c>
      <c r="G765" s="11" t="str">
        <f>IFERROR(IF(VLOOKUP(A765,[6]PRIORIZADOS!$A:$G,7,FALSE)="","",VLOOKUP(A765,[6]PRIORIZADOS!$A:$G,7,FALSE)),"")</f>
        <v>COLEGIO_PSICOPEDAGOGICO_EL_ARTE_DEL_SABER</v>
      </c>
      <c r="H765" s="11" t="str">
        <f>IFERROR(IF(VLOOKUP(A765,[6]PRIORIZADOS!$A:$H,8,FALSE)="","",VLOOKUP(A765,[6]PRIORIZADOS!$A:$H,8,FALSE)),"")</f>
        <v>Autoevaluación Institucional y Pruebas SABER 11</v>
      </c>
      <c r="I765" s="11" t="str">
        <f>IFERROR(IF(VLOOKUP(A765,[6]PRIORIZADOS!$A:$I,9,FALSE)="","",VLOOKUP(A765,[6]PRIORIZADOS!$A:$I,9,FALSE)),"")</f>
        <v>EVALUACIÓN_CON_FINES_DE_MEJORAMIENTO.</v>
      </c>
      <c r="J765" s="11" t="str">
        <f>IFERROR(IF(VLOOKUP(A765,[6]PRIORIZADOS!$A:$J,10,FALSE)="","",VLOOKUP(A765,[6]PRIORIZADOS!$A:$J,10,FALSE)),"")</f>
        <v>Revisar la actualización, socialización e implementación del Sistema Institucional de Evaluación de Estudiantes - SIEE, en articulación con la actualización del PEI y la normatividad vigente.</v>
      </c>
      <c r="K765" s="11" t="str">
        <f>IFERROR(IF(VLOOKUP(A765,[6]PRIORIZADOS!$A:$K,11,FALSE)="","",VLOOKUP(A765,[6]PRIORIZADOS!$A:$K,11,FALSE)),"")</f>
        <v>SANDRA MILENA BUENAVENTURA RUEDA</v>
      </c>
      <c r="L765" s="11" t="str">
        <f>IFERROR(IF(VLOOKUP(A765,[6]PRIORIZADOS!$A:$L,12,FALSE)="","",VLOOKUP(A765,[6]PRIORIZADOS!$A:$L,12,FALSE)),"")</f>
        <v>ANA MARÍA CASAS SANABRIA</v>
      </c>
      <c r="M765" s="71">
        <f>IFERROR(IF(VLOOKUP(A765,[6]PRIORIZADOS!$A:$M,13,FALSE)="","",VLOOKUP(A765,[6]PRIORIZADOS!$A:$M,13,FALSE)),"")</f>
        <v>45756</v>
      </c>
      <c r="N765" s="139">
        <f>IFERROR(IF(VLOOKUP(A765,[6]PRIORIZADOS!$A:$N,14,FALSE)="","",VLOOKUP(A765,[6]PRIORIZADOS!$A:$N,14,FALSE)),"")</f>
        <v>45756</v>
      </c>
      <c r="O765" s="139">
        <f>IFERROR(IF(VLOOKUP(A765,[6]PRIORIZADOS!$A:$O,15,FALSE)="","",VLOOKUP(A765,[6]PRIORIZADOS!$A:$O,15,FALSE)),"")</f>
        <v>45756</v>
      </c>
      <c r="P765" s="11" t="str">
        <f>IFERROR(IF(VLOOKUP(A765,[6]PRIORIZADOS!$A:$P,16,FALSE)="","",VLOOKUP(A765,[6]PRIORIZADOS!$A:$P,16,FALSE)),"")</f>
        <v>Visitas de evaluación con fines de mejoramiento</v>
      </c>
      <c r="Q765" s="121" t="s">
        <v>143</v>
      </c>
      <c r="R765" s="11" t="str">
        <f>IFERROR(IF(VLOOKUP(A765,[6]PRIORIZADOS!$A:$R,18,FALSE)="","",VLOOKUP(A765,[6]PRIORIZADOS!$A:$R,18,FALSE)),"")</f>
        <v>La IE reporta al sistema de alertas las situaciones que lo amerite, en las actas del comité se evidencia acciones de prevención y promoción.</v>
      </c>
      <c r="S765" s="11" t="str">
        <f>IFERROR(IF(VLOOKUP(A765,[6]PRIORIZADOS!$A:$S,19,FALSE)="","",VLOOKUP(A765,[6]PRIORIZADOS!$A:$S,19,FALSE)),"")</f>
        <v>Se recuerda que pueden solicitar capacitación a los docentes por medio de la OCE.</v>
      </c>
      <c r="T765" s="70" t="str">
        <f>IFERROR(IF(VLOOKUP(A765,[6]PRIORIZADOS!$A:$T,20,FALSE)="","",VLOOKUP(A765,[6]PRIORIZADOS!$A:$T,20,FALSE)),"")</f>
        <v>No</v>
      </c>
      <c r="U765" s="11" t="str">
        <f>IFERROR(IF(VLOOKUP(A765,[6]PRIORIZADOS!$A:$U,21,FALSE)="","",VLOOKUP(A765,[6]PRIORIZADOS!$A:$U,21,FALSE)),"")</f>
        <v>Se hara el respectivo seguimiento en el último trimestre de 2025</v>
      </c>
    </row>
    <row r="766" spans="1:21" s="1" customFormat="1" ht="48">
      <c r="A766" s="69">
        <f>IF([6]PRIORIZADOS!A132="","",[6]PRIORIZADOS!A132)</f>
        <v>704</v>
      </c>
      <c r="B766" s="70">
        <f>IFERROR(IF(VLOOKUP(A766,[6]PRIORIZADOS!$A:$B,2,FALSE)="","",VLOOKUP(A766,[6]PRIORIZADOS!$A:$B,2,FALSE)),"")</f>
        <v>14</v>
      </c>
      <c r="C766" s="11" t="str">
        <f>IFERROR(IF(VLOOKUP(A766,[6]PRIORIZADOS!$A:$C,3,FALSE)="","",VLOOKUP(A766,[6]PRIORIZADOS!$A:$C,3,FALSE)),"")</f>
        <v>ENGATIVÁ</v>
      </c>
      <c r="D766" s="11" t="str">
        <f>IFERROR(IF(VLOOKUP(A766,[6]PRIORIZADOS!$A:$D,4,FALSE)="","",VLOOKUP(A766,[6]PRIORIZADOS!$A:$D,4,FALSE)),"")</f>
        <v>PRIVADO</v>
      </c>
      <c r="E766" s="11" t="str">
        <f>IFERROR(IF(VLOOKUP(A766,[6]PRIORIZADOS!$A:$E,5,FALSE)="","",VLOOKUP(A766,[6]PRIORIZADOS!$A:$E,5,FALSE)),"")</f>
        <v>EPBM</v>
      </c>
      <c r="F766" s="11" t="str">
        <f>IFERROR(IF(VLOOKUP(A766,[6]PRIORIZADOS!$A:$F,6,FALSE)="","",VLOOKUP(A766,[6]PRIORIZADOS!$A:$F,6,FALSE)),"")</f>
        <v>COLEGIO_PSICOPEDAGOGICO_EL_ARTE_DEL_SABER</v>
      </c>
      <c r="G766" s="11" t="str">
        <f>IFERROR(IF(VLOOKUP(A766,[6]PRIORIZADOS!$A:$G,7,FALSE)="","",VLOOKUP(A766,[6]PRIORIZADOS!$A:$G,7,FALSE)),"")</f>
        <v>COLEGIO_PSICOPEDAGOGICO_EL_ARTE_DEL_SABER</v>
      </c>
      <c r="H766" s="11" t="str">
        <f>IFERROR(IF(VLOOKUP(A766,[6]PRIORIZADOS!$A:$H,8,FALSE)="","",VLOOKUP(A766,[6]PRIORIZADOS!$A:$H,8,FALSE)),"")</f>
        <v>Autoevaluación Institucional y Pruebas SABER 11</v>
      </c>
      <c r="I766" s="11" t="str">
        <f>IFERROR(IF(VLOOKUP(A766,[6]PRIORIZADOS!$A:$I,9,FALSE)="","",VLOOKUP(A766,[6]PRIORIZADOS!$A:$I,9,FALSE)),"")</f>
        <v>EVALUACIÓN_CON_FINES_DE_MEJORAMIENTO.</v>
      </c>
      <c r="J766" s="11" t="str">
        <f>IFERROR(IF(VLOOKUP(A766,[6]PRIORIZADOS!$A:$J,10,FALSE)="","",VLOOKUP(A766,[6]PRIORIZADOS!$A:$J,10,FALSE)),"")</f>
        <v>Revisar el calendario escolar, jornada escolar, la intensidad horaria mínima anual en cada nivel y las modificaciones que se realicen al mismo, de acuerdo con lo previsto en la normatividad vigente.</v>
      </c>
      <c r="K766" s="11" t="str">
        <f>IFERROR(IF(VLOOKUP(A766,[6]PRIORIZADOS!$A:$K,11,FALSE)="","",VLOOKUP(A766,[6]PRIORIZADOS!$A:$K,11,FALSE)),"")</f>
        <v>SANDRA MILENA BUENAVENTURA RUEDA</v>
      </c>
      <c r="L766" s="11" t="str">
        <f>IFERROR(IF(VLOOKUP(A766,[6]PRIORIZADOS!$A:$L,12,FALSE)="","",VLOOKUP(A766,[6]PRIORIZADOS!$A:$L,12,FALSE)),"")</f>
        <v>ANA MARÍA CASAS SANABRIA</v>
      </c>
      <c r="M766" s="71">
        <f>IFERROR(IF(VLOOKUP(A766,[6]PRIORIZADOS!$A:$M,13,FALSE)="","",VLOOKUP(A766,[6]PRIORIZADOS!$A:$M,13,FALSE)),"")</f>
        <v>45756</v>
      </c>
      <c r="N766" s="139">
        <f>IFERROR(IF(VLOOKUP(A766,[6]PRIORIZADOS!$A:$N,14,FALSE)="","",VLOOKUP(A766,[6]PRIORIZADOS!$A:$N,14,FALSE)),"")</f>
        <v>45756</v>
      </c>
      <c r="O766" s="139">
        <f>IFERROR(IF(VLOOKUP(A766,[6]PRIORIZADOS!$A:$O,15,FALSE)="","",VLOOKUP(A766,[6]PRIORIZADOS!$A:$O,15,FALSE)),"")</f>
        <v>45756</v>
      </c>
      <c r="P766" s="11" t="str">
        <f>IFERROR(IF(VLOOKUP(A766,[6]PRIORIZADOS!$A:$P,16,FALSE)="","",VLOOKUP(A766,[6]PRIORIZADOS!$A:$P,16,FALSE)),"")</f>
        <v>Visitas de evaluación con fines de mejoramiento</v>
      </c>
      <c r="Q766" s="121" t="s">
        <v>143</v>
      </c>
      <c r="R766" s="11" t="str">
        <f>IFERROR(IF(VLOOKUP(A766,[6]PRIORIZADOS!$A:$R,18,FALSE)="","",VLOOKUP(A766,[6]PRIORIZADOS!$A:$R,18,FALSE)),"")</f>
        <v>Se evidencia en el calendario academico 2025 para preescolar 971 horas primaria 1141 horas secundaria 1202 horas y media 1202.</v>
      </c>
      <c r="S766" s="11" t="str">
        <f>IFERROR(IF(VLOOKUP(A766,[6]PRIORIZADOS!$A:$S,19,FALSE)="","",VLOOKUP(A766,[6]PRIORIZADOS!$A:$S,19,FALSE)),"")</f>
        <v>Cumple con la normatividad vigente</v>
      </c>
      <c r="T766" s="70" t="str">
        <f>IFERROR(IF(VLOOKUP(A766,[6]PRIORIZADOS!$A:$T,20,FALSE)="","",VLOOKUP(A766,[6]PRIORIZADOS!$A:$T,20,FALSE)),"")</f>
        <v>No</v>
      </c>
      <c r="U766" s="11" t="str">
        <f>IFERROR(IF(VLOOKUP(A766,[6]PRIORIZADOS!$A:$U,21,FALSE)="","",VLOOKUP(A766,[6]PRIORIZADOS!$A:$U,21,FALSE)),"")</f>
        <v>Se hara el respectivo seguimiento en el último trimestre de 2025</v>
      </c>
    </row>
    <row r="767" spans="1:21" s="1" customFormat="1" ht="72">
      <c r="A767" s="69">
        <f>IF([6]PRIORIZADOS!A133="","",[6]PRIORIZADOS!A133)</f>
        <v>705</v>
      </c>
      <c r="B767" s="70">
        <f>IFERROR(IF(VLOOKUP(A767,[6]PRIORIZADOS!$A:$B,2,FALSE)="","",VLOOKUP(A767,[6]PRIORIZADOS!$A:$B,2,FALSE)),"")</f>
        <v>14</v>
      </c>
      <c r="C767" s="11" t="str">
        <f>IFERROR(IF(VLOOKUP(A767,[6]PRIORIZADOS!$A:$C,3,FALSE)="","",VLOOKUP(A767,[6]PRIORIZADOS!$A:$C,3,FALSE)),"")</f>
        <v>ENGATIVÁ</v>
      </c>
      <c r="D767" s="11" t="str">
        <f>IFERROR(IF(VLOOKUP(A767,[6]PRIORIZADOS!$A:$D,4,FALSE)="","",VLOOKUP(A767,[6]PRIORIZADOS!$A:$D,4,FALSE)),"")</f>
        <v>PRIVADO</v>
      </c>
      <c r="E767" s="11" t="str">
        <f>IFERROR(IF(VLOOKUP(A767,[6]PRIORIZADOS!$A:$E,5,FALSE)="","",VLOOKUP(A767,[6]PRIORIZADOS!$A:$E,5,FALSE)),"")</f>
        <v>EPBM</v>
      </c>
      <c r="F767" s="11" t="str">
        <f>IFERROR(IF(VLOOKUP(A767,[6]PRIORIZADOS!$A:$F,6,FALSE)="","",VLOOKUP(A767,[6]PRIORIZADOS!$A:$F,6,FALSE)),"")</f>
        <v>COLEGIO_PSICOPEDAGOGICO_EL_ARTE_DEL_SABER</v>
      </c>
      <c r="G767" s="11" t="str">
        <f>IFERROR(IF(VLOOKUP(A767,[6]PRIORIZADOS!$A:$G,7,FALSE)="","",VLOOKUP(A767,[6]PRIORIZADOS!$A:$G,7,FALSE)),"")</f>
        <v>COLEGIO_PSICOPEDAGOGICO_EL_ARTE_DEL_SABER</v>
      </c>
      <c r="H767" s="11" t="str">
        <f>IFERROR(IF(VLOOKUP(A767,[6]PRIORIZADOS!$A:$H,8,FALSE)="","",VLOOKUP(A767,[6]PRIORIZADOS!$A:$H,8,FALSE)),"")</f>
        <v>Autoevaluación Institucional y Pruebas SABER 11</v>
      </c>
      <c r="I767" s="11" t="str">
        <f>IFERROR(IF(VLOOKUP(A767,[6]PRIORIZADOS!$A:$I,9,FALSE)="","",VLOOKUP(A767,[6]PRIORIZADOS!$A:$I,9,FALSE)),"")</f>
        <v>EVALUACIÓN_CON_FINES_DE_MEJORAMIENTO.</v>
      </c>
      <c r="J767" s="11" t="str">
        <f>IFERROR(IF(VLOOKUP(A767,[6]PRIORIZADOS!$A:$J,10,FALSE)="","",VLOOKUP(A767,[6]PRIORIZADOS!$A:$J,10,FALSE)),"")</f>
        <v>Verificar el funcionamiento del Gobierno Escolar e instancias de participación con base en la información sobre conformación reportada por la institución educativa.</v>
      </c>
      <c r="K767" s="11" t="str">
        <f>IFERROR(IF(VLOOKUP(A767,[6]PRIORIZADOS!$A:$K,11,FALSE)="","",VLOOKUP(A767,[6]PRIORIZADOS!$A:$K,11,FALSE)),"")</f>
        <v>SANDRA MILENA BUENAVENTURA RUEDA</v>
      </c>
      <c r="L767" s="11" t="str">
        <f>IFERROR(IF(VLOOKUP(A767,[6]PRIORIZADOS!$A:$L,12,FALSE)="","",VLOOKUP(A767,[6]PRIORIZADOS!$A:$L,12,FALSE)),"")</f>
        <v>ANA MARÍA CASAS SANABRIA</v>
      </c>
      <c r="M767" s="71">
        <f>IFERROR(IF(VLOOKUP(A767,[6]PRIORIZADOS!$A:$M,13,FALSE)="","",VLOOKUP(A767,[6]PRIORIZADOS!$A:$M,13,FALSE)),"")</f>
        <v>45756</v>
      </c>
      <c r="N767" s="139">
        <f>IFERROR(IF(VLOOKUP(A767,[6]PRIORIZADOS!$A:$N,14,FALSE)="","",VLOOKUP(A767,[6]PRIORIZADOS!$A:$N,14,FALSE)),"")</f>
        <v>45756</v>
      </c>
      <c r="O767" s="139">
        <f>IFERROR(IF(VLOOKUP(A767,[6]PRIORIZADOS!$A:$O,15,FALSE)="","",VLOOKUP(A767,[6]PRIORIZADOS!$A:$O,15,FALSE)),"")</f>
        <v>45756</v>
      </c>
      <c r="P767" s="11" t="str">
        <f>IFERROR(IF(VLOOKUP(A767,[6]PRIORIZADOS!$A:$P,16,FALSE)="","",VLOOKUP(A767,[6]PRIORIZADOS!$A:$P,16,FALSE)),"")</f>
        <v>Visitas de evaluación con fines de mejoramiento</v>
      </c>
      <c r="Q767" s="143" t="s">
        <v>143</v>
      </c>
      <c r="R767" s="11" t="str">
        <f>IFERROR(IF(VLOOKUP(A767,[6]PRIORIZADOS!$A:$R,18,FALSE)="","",VLOOKUP(A767,[6]PRIORIZADOS!$A:$R,18,FALSE)),"")</f>
        <v>Se evidencian las actas impresas y en One Drive del Consejo Académico y Consejo Directivo. Se encuentran debidamente suscritas, fechadas y numeradas. Se refiere temas que deben incluir en las reuniones y en el registro del acta.</v>
      </c>
      <c r="S767" s="11" t="str">
        <f>IFERROR(IF(VLOOKUP(A767,[6]PRIORIZADOS!$A:$S,19,FALSE)="","",VLOOKUP(A767,[6]PRIORIZADOS!$A:$S,19,FALSE)),"")</f>
        <v>Se le requiere verificar los miembros del consejo directivo el cual debe ser conformado por ocho representates de los diferentes estamentos de la comunidad educativa</v>
      </c>
      <c r="T767" s="70" t="str">
        <f>IFERROR(IF(VLOOKUP(A767,[6]PRIORIZADOS!$A:$T,20,FALSE)="","",VLOOKUP(A767,[6]PRIORIZADOS!$A:$T,20,FALSE)),"")</f>
        <v>Si</v>
      </c>
      <c r="U767" s="11" t="str">
        <f>IFERROR(IF(VLOOKUP(A767,[6]PRIORIZADOS!$A:$U,21,FALSE)="","",VLOOKUP(A767,[6]PRIORIZADOS!$A:$U,21,FALSE)),"")</f>
        <v>La institución presentará plan de mejora con fecha máxima 07 de mayo con el fin de ser revisado por el equipo de Inspección y Vigilancia para hacer los ajustes y la trazabilidad correspondiente</v>
      </c>
    </row>
    <row r="768" spans="1:21" s="1" customFormat="1" ht="72">
      <c r="A768" s="69">
        <f>IF([6]PRIORIZADOS!A134="","",[6]PRIORIZADOS!A134)</f>
        <v>706</v>
      </c>
      <c r="B768" s="70">
        <f>IFERROR(IF(VLOOKUP(A768,[6]PRIORIZADOS!$A:$B,2,FALSE)="","",VLOOKUP(A768,[6]PRIORIZADOS!$A:$B,2,FALSE)),"")</f>
        <v>14</v>
      </c>
      <c r="C768" s="11" t="str">
        <f>IFERROR(IF(VLOOKUP(A768,[6]PRIORIZADOS!$A:$C,3,FALSE)="","",VLOOKUP(A768,[6]PRIORIZADOS!$A:$C,3,FALSE)),"")</f>
        <v>ENGATIVÁ</v>
      </c>
      <c r="D768" s="11" t="str">
        <f>IFERROR(IF(VLOOKUP(A768,[6]PRIORIZADOS!$A:$D,4,FALSE)="","",VLOOKUP(A768,[6]PRIORIZADOS!$A:$D,4,FALSE)),"")</f>
        <v>PRIVADO</v>
      </c>
      <c r="E768" s="11" t="str">
        <f>IFERROR(IF(VLOOKUP(A768,[6]PRIORIZADOS!$A:$E,5,FALSE)="","",VLOOKUP(A768,[6]PRIORIZADOS!$A:$E,5,FALSE)),"")</f>
        <v>EPBM</v>
      </c>
      <c r="F768" s="11" t="str">
        <f>IFERROR(IF(VLOOKUP(A768,[6]PRIORIZADOS!$A:$F,6,FALSE)="","",VLOOKUP(A768,[6]PRIORIZADOS!$A:$F,6,FALSE)),"")</f>
        <v>COLEGIO_PSICOPEDAGOGICO_EL_ARTE_DEL_SABER</v>
      </c>
      <c r="G768" s="11" t="str">
        <f>IFERROR(IF(VLOOKUP(A768,[6]PRIORIZADOS!$A:$G,7,FALSE)="","",VLOOKUP(A768,[6]PRIORIZADOS!$A:$G,7,FALSE)),"")</f>
        <v>COLEGIO_PSICOPEDAGOGICO_EL_ARTE_DEL_SABER</v>
      </c>
      <c r="H768" s="11" t="str">
        <f>IFERROR(IF(VLOOKUP(A768,[6]PRIORIZADOS!$A:$H,8,FALSE)="","",VLOOKUP(A768,[6]PRIORIZADOS!$A:$H,8,FALSE)),"")</f>
        <v>Autoevaluación Institucional y Pruebas SABER 11</v>
      </c>
      <c r="I768" s="11" t="str">
        <f>IFERROR(IF(VLOOKUP(A768,[6]PRIORIZADOS!$A:$I,9,FALSE)="","",VLOOKUP(A768,[6]PRIORIZADOS!$A:$I,9,FALSE)),"")</f>
        <v>EVALUACIÓN_CON_FINES_DE_MEJORAMIENTO.</v>
      </c>
      <c r="J768" s="11" t="str">
        <f>IFERROR(IF(VLOOKUP(A768,[6]PRIORIZADOS!$A:$J,10,FALSE)="","",VLOOKUP(A768,[6]PRIORIZADOS!$A:$J,10,FALSE)),"")</f>
        <v>Verificar las condiciones en cuanto a: la estructura administrativa, condiciones de la planta física y medios educativos adecuados.</v>
      </c>
      <c r="K768" s="11" t="str">
        <f>IFERROR(IF(VLOOKUP(A768,[6]PRIORIZADOS!$A:$K,11,FALSE)="","",VLOOKUP(A768,[6]PRIORIZADOS!$A:$K,11,FALSE)),"")</f>
        <v>SANDRA MILENA BUENAVENTURA RUEDA</v>
      </c>
      <c r="L768" s="11" t="str">
        <f>IFERROR(IF(VLOOKUP(A768,[6]PRIORIZADOS!$A:$L,12,FALSE)="","",VLOOKUP(A768,[6]PRIORIZADOS!$A:$L,12,FALSE)),"")</f>
        <v>ANA MARÍA CASAS SANABRIA</v>
      </c>
      <c r="M768" s="71">
        <f>IFERROR(IF(VLOOKUP(A768,[6]PRIORIZADOS!$A:$M,13,FALSE)="","",VLOOKUP(A768,[6]PRIORIZADOS!$A:$M,13,FALSE)),"")</f>
        <v>45756</v>
      </c>
      <c r="N768" s="139">
        <f>IFERROR(IF(VLOOKUP(A768,[6]PRIORIZADOS!$A:$N,14,FALSE)="","",VLOOKUP(A768,[6]PRIORIZADOS!$A:$N,14,FALSE)),"")</f>
        <v>45756</v>
      </c>
      <c r="O768" s="139">
        <f>IFERROR(IF(VLOOKUP(A768,[6]PRIORIZADOS!$A:$O,15,FALSE)="","",VLOOKUP(A768,[6]PRIORIZADOS!$A:$O,15,FALSE)),"")</f>
        <v>45756</v>
      </c>
      <c r="P768" s="11" t="str">
        <f>IFERROR(IF(VLOOKUP(A768,[6]PRIORIZADOS!$A:$P,16,FALSE)="","",VLOOKUP(A768,[6]PRIORIZADOS!$A:$P,16,FALSE)),"")</f>
        <v>Visitas de evaluación con fines de mejoramiento</v>
      </c>
      <c r="Q768" s="143" t="s">
        <v>143</v>
      </c>
      <c r="R768" s="11" t="str">
        <f>IFERROR(IF(VLOOKUP(A768,[6]PRIORIZADOS!$A:$R,18,FALSE)="","",VLOOKUP(A768,[6]PRIORIZADOS!$A:$R,18,FALSE)),"")</f>
        <v>Se realiza recorrido a la planta física evidenciando falencias en los espacios motivo por el cual se encuentra en vigilado, no cuenta con suficientes baterias de baño y los espacios son muy reducidos y con poca accesibilidad.</v>
      </c>
      <c r="S768" s="11" t="str">
        <f>IFERROR(IF(VLOOKUP(A768,[6]PRIORIZADOS!$A:$S,19,FALSE)="","",VLOOKUP(A768,[6]PRIORIZADOS!$A:$S,19,FALSE)),"")</f>
        <v xml:space="preserve">
Se debe realizar un análisis de la capacidad instalada en salones de clase y baterías de baño para una posible intervención a la planta física</v>
      </c>
      <c r="T768" s="70" t="str">
        <f>IFERROR(IF(VLOOKUP(A768,[6]PRIORIZADOS!$A:$T,20,FALSE)="","",VLOOKUP(A768,[6]PRIORIZADOS!$A:$T,20,FALSE)),"")</f>
        <v>Si</v>
      </c>
      <c r="U768" s="11" t="str">
        <f>IFERROR(IF(VLOOKUP(A768,[6]PRIORIZADOS!$A:$U,21,FALSE)="","",VLOOKUP(A768,[6]PRIORIZADOS!$A:$U,21,FALSE)),"")</f>
        <v>La institución presentará plan de mejora con fecha máxima 07 de mayo con el fin de ser revisado por el equipo de Inspección y Vigilancia para hacer los ajustes y la trazabilidad correspondiente</v>
      </c>
    </row>
    <row r="769" spans="1:21" s="1" customFormat="1" ht="48">
      <c r="A769" s="69">
        <f>IF([6]PRIORIZADOS!A135="","",[6]PRIORIZADOS!A135)</f>
        <v>707</v>
      </c>
      <c r="B769" s="70">
        <f>IFERROR(IF(VLOOKUP(A769,[6]PRIORIZADOS!$A:$B,2,FALSE)="","",VLOOKUP(A769,[6]PRIORIZADOS!$A:$B,2,FALSE)),"")</f>
        <v>15</v>
      </c>
      <c r="C769" s="11" t="str">
        <f>IFERROR(IF(VLOOKUP(A769,[6]PRIORIZADOS!$A:$C,3,FALSE)="","",VLOOKUP(A769,[6]PRIORIZADOS!$A:$C,3,FALSE)),"")</f>
        <v>ENGATIVÁ</v>
      </c>
      <c r="D769" s="11" t="str">
        <f>IFERROR(IF(VLOOKUP(A769,[6]PRIORIZADOS!$A:$D,4,FALSE)="","",VLOOKUP(A769,[6]PRIORIZADOS!$A:$D,4,FALSE)),"")</f>
        <v>PRIVADO</v>
      </c>
      <c r="E769" s="11" t="str">
        <f>IFERROR(IF(VLOOKUP(A769,[6]PRIORIZADOS!$A:$E,5,FALSE)="","",VLOOKUP(A769,[6]PRIORIZADOS!$A:$E,5,FALSE)),"")</f>
        <v>EPBM</v>
      </c>
      <c r="F769" s="11" t="str">
        <f>IFERROR(IF(VLOOKUP(A769,[6]PRIORIZADOS!$A:$F,6,FALSE)="","",VLOOKUP(A769,[6]PRIORIZADOS!$A:$F,6,FALSE)),"")</f>
        <v>COLEGIO_JOSE_JOAQUIN_VARGAS</v>
      </c>
      <c r="G769" s="11" t="str">
        <f>IFERROR(IF(VLOOKUP(A769,[6]PRIORIZADOS!$A:$G,7,FALSE)="","",VLOOKUP(A769,[6]PRIORIZADOS!$A:$G,7,FALSE)),"")</f>
        <v>COLEGIO_JOSE_JOAQUIN_VARGAS</v>
      </c>
      <c r="H769" s="11" t="str">
        <f>IFERROR(IF(VLOOKUP(A769,[6]PRIORIZADOS!$A:$H,8,FALSE)="","",VLOOKUP(A769,[6]PRIORIZADOS!$A:$H,8,FALSE)),"")</f>
        <v>Autoevaluación Institucional y Pruebas SABER 11</v>
      </c>
      <c r="I769" s="11" t="str">
        <f>IFERROR(IF(VLOOKUP(A769,[6]PRIORIZADOS!$A:$I,9,FALSE)="","",VLOOKUP(A769,[6]PRIORIZADOS!$A:$I,9,FALSE)),"")</f>
        <v>SEGUIMIENTO_Y_SUPERVISIÓN.</v>
      </c>
      <c r="J769" s="11" t="str">
        <f>IFERROR(IF(VLOOKUP(A769,[6]PRIORIZADOS!$A:$J,10,FALSE)="","",VLOOKUP(A769,[6]PRIORIZADOS!$A:$J,10,FALSE)),"")</f>
        <v>Realizar visitas para verificar la información registrada sobre la autoevaluación institucional en el aplicativo EVI, a los establecimientos de educación formal no oficial.</v>
      </c>
      <c r="K769" s="11" t="str">
        <f>IFERROR(IF(VLOOKUP(A769,[6]PRIORIZADOS!$A:$K,11,FALSE)="","",VLOOKUP(A769,[6]PRIORIZADOS!$A:$K,11,FALSE)),"")</f>
        <v>ANA MARÍA CASAS SANABRIA</v>
      </c>
      <c r="L769" s="11" t="str">
        <f>IFERROR(IF(VLOOKUP(A769,[6]PRIORIZADOS!$A:$L,12,FALSE)="","",VLOOKUP(A769,[6]PRIORIZADOS!$A:$L,12,FALSE)),"")</f>
        <v>JENIFER CATHERINE LEÓN ACOSTA</v>
      </c>
      <c r="M769" s="71">
        <f>IFERROR(IF(VLOOKUP(A769,[6]PRIORIZADOS!$A:$M,13,FALSE)="","",VLOOKUP(A769,[6]PRIORIZADOS!$A:$M,13,FALSE)),"")</f>
        <v>45882</v>
      </c>
      <c r="N769" s="139">
        <f>IFERROR(IF(VLOOKUP(A769,[6]PRIORIZADOS!$A:$N,14,FALSE)="","",VLOOKUP(A769,[6]PRIORIZADOS!$A:$N,14,FALSE)),"")</f>
        <v>45882</v>
      </c>
      <c r="O769" s="139">
        <f>IFERROR(IF(VLOOKUP(A769,[6]PRIORIZADOS!$A:$O,15,FALSE)="","",VLOOKUP(A769,[6]PRIORIZADOS!$A:$O,15,FALSE)),"")</f>
        <v>45882</v>
      </c>
      <c r="P769" s="11" t="str">
        <f>IFERROR(IF(VLOOKUP(A769,[6]PRIORIZADOS!$A:$P,16,FALSE)="","",VLOOKUP(A769,[6]PRIORIZADOS!$A:$P,16,FALSE)),"")</f>
        <v>Visitas de evaluación con fines de seguimiento</v>
      </c>
      <c r="Q769" s="2" t="s">
        <v>144</v>
      </c>
      <c r="R769" s="11" t="str">
        <f>IFERROR(IF(VLOOKUP(A769,[6]PRIORIZADOS!$A:$R,18,FALSE)="","",VLOOKUP(A769,[6]PRIORIZADOS!$A:$R,18,FALSE)),"")</f>
        <v xml:space="preserve">Se realizó verificación de la información registrada en el aplicativo EVI Encontrando algunas incosistencias en el registro equipos de uso pedagogico </v>
      </c>
      <c r="S769" s="11" t="str">
        <f>IFERROR(IF(VLOOKUP(A769,[6]PRIORIZADOS!$A:$S,19,FALSE)="","",VLOOKUP(A769,[6]PRIORIZADOS!$A:$S,19,FALSE)),"")</f>
        <v xml:space="preserve">Se recomienda ampliar la capacidad de la sala de sistemas, ya que cuenta con pocos computadores respecto a la cantidad de estudaintes </v>
      </c>
      <c r="T769" s="70" t="str">
        <f>IFERROR(IF(VLOOKUP(A769,[6]PRIORIZADOS!$A:$T,20,FALSE)="","",VLOOKUP(A769,[6]PRIORIZADOS!$A:$T,20,FALSE)),"")</f>
        <v>No</v>
      </c>
      <c r="U769" s="11" t="str">
        <f>IFERROR(IF(VLOOKUP(A769,[6]PRIORIZADOS!$A:$U,21,FALSE)="","",VLOOKUP(A769,[6]PRIORIZADOS!$A:$U,21,FALSE)),"")</f>
        <v>Se verificará en la informacion que la institucion suba al EVI</v>
      </c>
    </row>
    <row r="770" spans="1:21" s="1" customFormat="1" ht="60">
      <c r="A770" s="69">
        <f>IF([6]PRIORIZADOS!A136="","",[6]PRIORIZADOS!A136)</f>
        <v>708</v>
      </c>
      <c r="B770" s="70">
        <f>IFERROR(IF(VLOOKUP(A770,[6]PRIORIZADOS!$A:$B,2,FALSE)="","",VLOOKUP(A770,[6]PRIORIZADOS!$A:$B,2,FALSE)),"")</f>
        <v>15</v>
      </c>
      <c r="C770" s="11" t="str">
        <f>IFERROR(IF(VLOOKUP(A770,[6]PRIORIZADOS!$A:$C,3,FALSE)="","",VLOOKUP(A770,[6]PRIORIZADOS!$A:$C,3,FALSE)),"")</f>
        <v>ENGATIVÁ</v>
      </c>
      <c r="D770" s="11" t="str">
        <f>IFERROR(IF(VLOOKUP(A770,[6]PRIORIZADOS!$A:$D,4,FALSE)="","",VLOOKUP(A770,[6]PRIORIZADOS!$A:$D,4,FALSE)),"")</f>
        <v>PRIVADO</v>
      </c>
      <c r="E770" s="11" t="str">
        <f>IFERROR(IF(VLOOKUP(A770,[6]PRIORIZADOS!$A:$E,5,FALSE)="","",VLOOKUP(A770,[6]PRIORIZADOS!$A:$E,5,FALSE)),"")</f>
        <v>EPBM</v>
      </c>
      <c r="F770" s="11" t="str">
        <f>IFERROR(IF(VLOOKUP(A770,[6]PRIORIZADOS!$A:$F,6,FALSE)="","",VLOOKUP(A770,[6]PRIORIZADOS!$A:$F,6,FALSE)),"")</f>
        <v>COLEGIO_JOSE_JOAQUIN_VARGAS</v>
      </c>
      <c r="G770" s="11" t="str">
        <f>IFERROR(IF(VLOOKUP(A770,[6]PRIORIZADOS!$A:$G,7,FALSE)="","",VLOOKUP(A770,[6]PRIORIZADOS!$A:$G,7,FALSE)),"")</f>
        <v>COLEGIO_JOSE_JOAQUIN_VARGAS</v>
      </c>
      <c r="H770" s="11" t="str">
        <f>IFERROR(IF(VLOOKUP(A770,[6]PRIORIZADOS!$A:$H,8,FALSE)="","",VLOOKUP(A770,[6]PRIORIZADOS!$A:$H,8,FALSE)),"")</f>
        <v>Autoevaluación Institucional y Pruebas SABER 11</v>
      </c>
      <c r="I770" s="11" t="str">
        <f>IFERROR(IF(VLOOKUP(A770,[6]PRIORIZADOS!$A:$I,9,FALSE)="","",VLOOKUP(A770,[6]PRIORIZADOS!$A:$I,9,FALSE)),"")</f>
        <v>SEGUIMIENTO_Y_SUPERVISIÓN.</v>
      </c>
      <c r="J770" s="11" t="str">
        <f>IFERROR(IF(VLOOKUP(A770,[6]PRIORIZADOS!$A:$J,10,FALSE)="","",VLOOKUP(A770,[6]PRIORIZADOS!$A:$J,10,FALSE)),"")</f>
        <v>Proponer estrategias en la formulación, verificar su elaboración y realizar seguimiento semestral al desarrollo de  las acciones establecidas en los planes de mejoramiento por pruebas SABER 11 de los establecimientos de educación formal.</v>
      </c>
      <c r="K770" s="11" t="str">
        <f>IFERROR(IF(VLOOKUP(A770,[6]PRIORIZADOS!$A:$K,11,FALSE)="","",VLOOKUP(A770,[6]PRIORIZADOS!$A:$K,11,FALSE)),"")</f>
        <v>ANA MARÍA CASAS SANABRIA</v>
      </c>
      <c r="L770" s="11" t="str">
        <f>IFERROR(IF(VLOOKUP(A770,[6]PRIORIZADOS!$A:$L,12,FALSE)="","",VLOOKUP(A770,[6]PRIORIZADOS!$A:$L,12,FALSE)),"")</f>
        <v>JENIFER CATHERINE LEÓN ACOSTA</v>
      </c>
      <c r="M770" s="71">
        <f>IFERROR(IF(VLOOKUP(A770,[6]PRIORIZADOS!$A:$M,13,FALSE)="","",VLOOKUP(A770,[6]PRIORIZADOS!$A:$M,13,FALSE)),"")</f>
        <v>45882</v>
      </c>
      <c r="N770" s="139">
        <f>IFERROR(IF(VLOOKUP(A770,[6]PRIORIZADOS!$A:$N,14,FALSE)="","",VLOOKUP(A770,[6]PRIORIZADOS!$A:$N,14,FALSE)),"")</f>
        <v>45882</v>
      </c>
      <c r="O770" s="139">
        <f>IFERROR(IF(VLOOKUP(A770,[6]PRIORIZADOS!$A:$O,15,FALSE)="","",VLOOKUP(A770,[6]PRIORIZADOS!$A:$O,15,FALSE)),"")</f>
        <v>45882</v>
      </c>
      <c r="P770" s="11" t="str">
        <f>IFERROR(IF(VLOOKUP(A770,[6]PRIORIZADOS!$A:$P,16,FALSE)="","",VLOOKUP(A770,[6]PRIORIZADOS!$A:$P,16,FALSE)),"")</f>
        <v>Visitas de evaluación con fines de seguimiento</v>
      </c>
      <c r="Q770" s="2" t="s">
        <v>144</v>
      </c>
      <c r="R770" s="11" t="str">
        <f>IFERROR(IF(VLOOKUP(A770,[6]PRIORIZADOS!$A:$R,18,FALSE)="","",VLOOKUP(A770,[6]PRIORIZADOS!$A:$R,18,FALSE)),"")</f>
        <v xml:space="preserve">El establecimiento no evidencia haber desarrollado  estrategias basadas en los resultados de las pruebas saber. </v>
      </c>
      <c r="S770" s="11" t="str">
        <f>IFERROR(IF(VLOOKUP(A770,[6]PRIORIZADOS!$A:$S,19,FALSE)="","",VLOOKUP(A770,[6]PRIORIZADOS!$A:$S,19,FALSE)),"")</f>
        <v>se sugiere que apartir de los resultados de pruebas saber 2025, el consejo academico se reuna, analice y establezca estrategias de mejora en las áreas con menor desempeño</v>
      </c>
      <c r="T770" s="70" t="str">
        <f>IFERROR(IF(VLOOKUP(A770,[6]PRIORIZADOS!$A:$T,20,FALSE)="","",VLOOKUP(A770,[6]PRIORIZADOS!$A:$T,20,FALSE)),"")</f>
        <v>Si</v>
      </c>
      <c r="U770" s="11" t="str">
        <f>IFERROR(IF(VLOOKUP(A770,[6]PRIORIZADOS!$A:$U,21,FALSE)="","",VLOOKUP(A770,[6]PRIORIZADOS!$A:$U,21,FALSE)),"")</f>
        <v>Se requirió presentar Plan de Majoramiento con el fin de subsanar la situación actual. El PMI debe ser entregado al ELIV a más tardar el 29 de agosto de 2025</v>
      </c>
    </row>
    <row r="771" spans="1:21" s="1" customFormat="1" ht="72">
      <c r="A771" s="69">
        <f>IF([6]PRIORIZADOS!A137="","",[6]PRIORIZADOS!A137)</f>
        <v>709</v>
      </c>
      <c r="B771" s="70">
        <f>IFERROR(IF(VLOOKUP(A771,[6]PRIORIZADOS!$A:$B,2,FALSE)="","",VLOOKUP(A771,[6]PRIORIZADOS!$A:$B,2,FALSE)),"")</f>
        <v>15</v>
      </c>
      <c r="C771" s="11" t="str">
        <f>IFERROR(IF(VLOOKUP(A771,[6]PRIORIZADOS!$A:$C,3,FALSE)="","",VLOOKUP(A771,[6]PRIORIZADOS!$A:$C,3,FALSE)),"")</f>
        <v>ENGATIVÁ</v>
      </c>
      <c r="D771" s="11" t="str">
        <f>IFERROR(IF(VLOOKUP(A771,[6]PRIORIZADOS!$A:$D,4,FALSE)="","",VLOOKUP(A771,[6]PRIORIZADOS!$A:$D,4,FALSE)),"")</f>
        <v>PRIVADO</v>
      </c>
      <c r="E771" s="11" t="str">
        <f>IFERROR(IF(VLOOKUP(A771,[6]PRIORIZADOS!$A:$E,5,FALSE)="","",VLOOKUP(A771,[6]PRIORIZADOS!$A:$E,5,FALSE)),"")</f>
        <v>EPBM</v>
      </c>
      <c r="F771" s="11" t="str">
        <f>IFERROR(IF(VLOOKUP(A771,[6]PRIORIZADOS!$A:$F,6,FALSE)="","",VLOOKUP(A771,[6]PRIORIZADOS!$A:$F,6,FALSE)),"")</f>
        <v>COLEGIO_JOSE_JOAQUIN_VARGAS</v>
      </c>
      <c r="G771" s="11" t="str">
        <f>IFERROR(IF(VLOOKUP(A771,[6]PRIORIZADOS!$A:$G,7,FALSE)="","",VLOOKUP(A771,[6]PRIORIZADOS!$A:$G,7,FALSE)),"")</f>
        <v>COLEGIO_JOSE_JOAQUIN_VARGAS</v>
      </c>
      <c r="H771" s="11" t="str">
        <f>IFERROR(IF(VLOOKUP(A771,[6]PRIORIZADOS!$A:$H,8,FALSE)="","",VLOOKUP(A771,[6]PRIORIZADOS!$A:$H,8,FALSE)),"")</f>
        <v>Autoevaluación Institucional y Pruebas SABER 11</v>
      </c>
      <c r="I771" s="11" t="str">
        <f>IFERROR(IF(VLOOKUP(A771,[6]PRIORIZADOS!$A:$I,9,FALSE)="","",VLOOKUP(A771,[6]PRIORIZADOS!$A:$I,9,FALSE)),"")</f>
        <v>SEGUIMIENTO_Y_SUPERVISIÓN.</v>
      </c>
      <c r="J771" s="11" t="str">
        <f>IFERROR(IF(VLOOKUP(A771,[6]PRIORIZADOS!$A:$J,10,FALSE)="","",VLOOKUP(A771,[6]PRIORIZADOS!$A:$J,10,FALSE)),"")</f>
        <v xml:space="preserve">Verificar la implementación por parte de los colegios, de acciones realizadas para la prevención y atención de las situaciones de convivencia en el entorno escolar, según lo establecido en la Directiva 01 de 2022 del MEN. </v>
      </c>
      <c r="K771" s="11" t="str">
        <f>IFERROR(IF(VLOOKUP(A771,[6]PRIORIZADOS!$A:$K,11,FALSE)="","",VLOOKUP(A771,[6]PRIORIZADOS!$A:$K,11,FALSE)),"")</f>
        <v>ANA MARÍA CASAS SANABRIA</v>
      </c>
      <c r="L771" s="11" t="str">
        <f>IFERROR(IF(VLOOKUP(A771,[6]PRIORIZADOS!$A:$L,12,FALSE)="","",VLOOKUP(A771,[6]PRIORIZADOS!$A:$L,12,FALSE)),"")</f>
        <v>JENIFER CATHERINE LEÓN ACOSTA</v>
      </c>
      <c r="M771" s="71">
        <f>IFERROR(IF(VLOOKUP(A771,[6]PRIORIZADOS!$A:$M,13,FALSE)="","",VLOOKUP(A771,[6]PRIORIZADOS!$A:$M,13,FALSE)),"")</f>
        <v>45882</v>
      </c>
      <c r="N771" s="139">
        <f>IFERROR(IF(VLOOKUP(A771,[6]PRIORIZADOS!$A:$N,14,FALSE)="","",VLOOKUP(A771,[6]PRIORIZADOS!$A:$N,14,FALSE)),"")</f>
        <v>45882</v>
      </c>
      <c r="O771" s="139">
        <f>IFERROR(IF(VLOOKUP(A771,[6]PRIORIZADOS!$A:$O,15,FALSE)="","",VLOOKUP(A771,[6]PRIORIZADOS!$A:$O,15,FALSE)),"")</f>
        <v>45882</v>
      </c>
      <c r="P771" s="11" t="str">
        <f>IFERROR(IF(VLOOKUP(A771,[6]PRIORIZADOS!$A:$P,16,FALSE)="","",VLOOKUP(A771,[6]PRIORIZADOS!$A:$P,16,FALSE)),"")</f>
        <v>Visitas de evaluación con fines de seguimiento</v>
      </c>
      <c r="Q771" s="2" t="s">
        <v>144</v>
      </c>
      <c r="R771" s="11" t="str">
        <f>IFERROR(IF(VLOOKUP(A771,[6]PRIORIZADOS!$A:$R,18,FALSE)="","",VLOOKUP(A771,[6]PRIORIZADOS!$A:$R,18,FALSE)),"")</f>
        <v xml:space="preserve">La institucion no evidencia realizar la verificacion e implementación, de acciones realizadas para la prevención y atención de las situaciones de convivencia en el entorno escolar, según lo establecido en la Directiva 01 de 2022 del MEN. </v>
      </c>
      <c r="S771" s="11" t="str">
        <f>IFERROR(IF(VLOOKUP(A771,[6]PRIORIZADOS!$A:$S,19,FALSE)="","",VLOOKUP(A771,[6]PRIORIZADOS!$A:$S,19,FALSE)),"")</f>
        <v>se sugiere hacer la verificación de antecedentes de delitos sexuales cada 4 meses para todo el pesonal de la institucion, Además de revisar las actividades presentadas en la Directiva</v>
      </c>
      <c r="T771" s="70" t="str">
        <f>IFERROR(IF(VLOOKUP(A771,[6]PRIORIZADOS!$A:$T,20,FALSE)="","",VLOOKUP(A771,[6]PRIORIZADOS!$A:$T,20,FALSE)),"")</f>
        <v>Si</v>
      </c>
      <c r="U771" s="11" t="str">
        <f>IFERROR(IF(VLOOKUP(A771,[6]PRIORIZADOS!$A:$U,21,FALSE)="","",VLOOKUP(A771,[6]PRIORIZADOS!$A:$U,21,FALSE)),"")</f>
        <v>Se requirió presentar Plan de Majoramiento con el fin de subsanar la situación actual. El PMI debe ser entregado al ELIV a más tardar el 29 de agosto de 2025</v>
      </c>
    </row>
    <row r="772" spans="1:21" s="1" customFormat="1" ht="72">
      <c r="A772" s="69">
        <f>IF([6]PRIORIZADOS!A138="","",[6]PRIORIZADOS!A138)</f>
        <v>710</v>
      </c>
      <c r="B772" s="70">
        <f>IFERROR(IF(VLOOKUP(A772,[6]PRIORIZADOS!$A:$B,2,FALSE)="","",VLOOKUP(A772,[6]PRIORIZADOS!$A:$B,2,FALSE)),"")</f>
        <v>15</v>
      </c>
      <c r="C772" s="11" t="str">
        <f>IFERROR(IF(VLOOKUP(A772,[6]PRIORIZADOS!$A:$C,3,FALSE)="","",VLOOKUP(A772,[6]PRIORIZADOS!$A:$C,3,FALSE)),"")</f>
        <v>ENGATIVÁ</v>
      </c>
      <c r="D772" s="11" t="str">
        <f>IFERROR(IF(VLOOKUP(A772,[6]PRIORIZADOS!$A:$D,4,FALSE)="","",VLOOKUP(A772,[6]PRIORIZADOS!$A:$D,4,FALSE)),"")</f>
        <v>PRIVADO</v>
      </c>
      <c r="E772" s="11" t="str">
        <f>IFERROR(IF(VLOOKUP(A772,[6]PRIORIZADOS!$A:$E,5,FALSE)="","",VLOOKUP(A772,[6]PRIORIZADOS!$A:$E,5,FALSE)),"")</f>
        <v>EPBM</v>
      </c>
      <c r="F772" s="11" t="str">
        <f>IFERROR(IF(VLOOKUP(A772,[6]PRIORIZADOS!$A:$F,6,FALSE)="","",VLOOKUP(A772,[6]PRIORIZADOS!$A:$F,6,FALSE)),"")</f>
        <v>COLEGIO_JOSE_JOAQUIN_VARGAS</v>
      </c>
      <c r="G772" s="11" t="str">
        <f>IFERROR(IF(VLOOKUP(A772,[6]PRIORIZADOS!$A:$G,7,FALSE)="","",VLOOKUP(A772,[6]PRIORIZADOS!$A:$G,7,FALSE)),"")</f>
        <v>COLEGIO_JOSE_JOAQUIN_VARGAS</v>
      </c>
      <c r="H772" s="11" t="str">
        <f>IFERROR(IF(VLOOKUP(A772,[6]PRIORIZADOS!$A:$H,8,FALSE)="","",VLOOKUP(A772,[6]PRIORIZADOS!$A:$H,8,FALSE)),"")</f>
        <v>Autoevaluación Institucional y Pruebas SABER 11</v>
      </c>
      <c r="I772" s="11" t="str">
        <f>IFERROR(IF(VLOOKUP(A772,[6]PRIORIZADOS!$A:$I,9,FALSE)="","",VLOOKUP(A772,[6]PRIORIZADOS!$A:$I,9,FALSE)),"")</f>
        <v>SEGUIMIENTO_Y_SUPERVISIÓN.</v>
      </c>
      <c r="J772" s="11" t="str">
        <f>IFERROR(IF(VLOOKUP(A772,[6]PRIORIZADOS!$A:$J,10,FALSE)="","",VLOOKUP(A772,[6]PRIORIZADOS!$A:$J,10,FALSE)),"")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72" s="11" t="str">
        <f>IFERROR(IF(VLOOKUP(A772,[6]PRIORIZADOS!$A:$K,11,FALSE)="","",VLOOKUP(A772,[6]PRIORIZADOS!$A:$K,11,FALSE)),"")</f>
        <v>ANA MARÍA CASAS SANABRIA</v>
      </c>
      <c r="L772" s="11" t="str">
        <f>IFERROR(IF(VLOOKUP(A772,[6]PRIORIZADOS!$A:$L,12,FALSE)="","",VLOOKUP(A772,[6]PRIORIZADOS!$A:$L,12,FALSE)),"")</f>
        <v>JENIFER CATHERINE LEÓN ACOSTA</v>
      </c>
      <c r="M772" s="71">
        <f>IFERROR(IF(VLOOKUP(A772,[6]PRIORIZADOS!$A:$M,13,FALSE)="","",VLOOKUP(A772,[6]PRIORIZADOS!$A:$M,13,FALSE)),"")</f>
        <v>45882</v>
      </c>
      <c r="N772" s="139">
        <f>IFERROR(IF(VLOOKUP(A772,[6]PRIORIZADOS!$A:$N,14,FALSE)="","",VLOOKUP(A772,[6]PRIORIZADOS!$A:$N,14,FALSE)),"")</f>
        <v>45882</v>
      </c>
      <c r="O772" s="139">
        <f>IFERROR(IF(VLOOKUP(A772,[6]PRIORIZADOS!$A:$O,15,FALSE)="","",VLOOKUP(A772,[6]PRIORIZADOS!$A:$O,15,FALSE)),"")</f>
        <v>45882</v>
      </c>
      <c r="P772" s="11" t="str">
        <f>IFERROR(IF(VLOOKUP(A772,[6]PRIORIZADOS!$A:$P,16,FALSE)="","",VLOOKUP(A772,[6]PRIORIZADOS!$A:$P,16,FALSE)),"")</f>
        <v>Visitas de evaluación con fines de seguimiento</v>
      </c>
      <c r="Q772" s="2" t="s">
        <v>144</v>
      </c>
      <c r="R772" s="11" t="str">
        <f>IFERROR(IF(VLOOKUP(A772,[6]PRIORIZADOS!$A:$R,18,FALSE)="","",VLOOKUP(A772,[6]PRIORIZADOS!$A:$R,18,FALSE)),"")</f>
        <v>La institución no evidencia la  actualización y desarrollo de los Planes Individuales de Ajustes Razonables -PIAR. del unico estudiante con Discapacidad matriculado</v>
      </c>
      <c r="S772" s="11" t="str">
        <f>IFERROR(IF(VLOOKUP(A772,[6]PRIORIZADOS!$A:$S,19,FALSE)="","",VLOOKUP(A772,[6]PRIORIZADOS!$A:$S,19,FALSE)),"")</f>
        <v>se solicita actualizar el PIAR del estudiante y hacerlo firmar por los padres de familia</v>
      </c>
      <c r="T772" s="70" t="str">
        <f>IFERROR(IF(VLOOKUP(A772,[6]PRIORIZADOS!$A:$T,20,FALSE)="","",VLOOKUP(A772,[6]PRIORIZADOS!$A:$T,20,FALSE)),"")</f>
        <v>Si</v>
      </c>
      <c r="U772" s="11" t="str">
        <f>IFERROR(IF(VLOOKUP(A772,[6]PRIORIZADOS!$A:$U,21,FALSE)="","",VLOOKUP(A772,[6]PRIORIZADOS!$A:$U,21,FALSE)),"")</f>
        <v>Se requirió presentar Plan de Majoramiento con el fin de subsanar la situación actual. El PMI debe ser entregado al ELIV a más tardar el 29 de agosto de 2025</v>
      </c>
    </row>
    <row r="773" spans="1:21" s="1" customFormat="1" ht="84">
      <c r="A773" s="69">
        <f>IF([6]PRIORIZADOS!A139="","",[6]PRIORIZADOS!A139)</f>
        <v>711</v>
      </c>
      <c r="B773" s="70">
        <f>IFERROR(IF(VLOOKUP(A773,[6]PRIORIZADOS!$A:$B,2,FALSE)="","",VLOOKUP(A773,[6]PRIORIZADOS!$A:$B,2,FALSE)),"")</f>
        <v>15</v>
      </c>
      <c r="C773" s="11" t="str">
        <f>IFERROR(IF(VLOOKUP(A773,[6]PRIORIZADOS!$A:$C,3,FALSE)="","",VLOOKUP(A773,[6]PRIORIZADOS!$A:$C,3,FALSE)),"")</f>
        <v>ENGATIVÁ</v>
      </c>
      <c r="D773" s="11" t="str">
        <f>IFERROR(IF(VLOOKUP(A773,[6]PRIORIZADOS!$A:$D,4,FALSE)="","",VLOOKUP(A773,[6]PRIORIZADOS!$A:$D,4,FALSE)),"")</f>
        <v>PRIVADO</v>
      </c>
      <c r="E773" s="11" t="str">
        <f>IFERROR(IF(VLOOKUP(A773,[6]PRIORIZADOS!$A:$E,5,FALSE)="","",VLOOKUP(A773,[6]PRIORIZADOS!$A:$E,5,FALSE)),"")</f>
        <v>EPBM</v>
      </c>
      <c r="F773" s="11" t="str">
        <f>IFERROR(IF(VLOOKUP(A773,[6]PRIORIZADOS!$A:$F,6,FALSE)="","",VLOOKUP(A773,[6]PRIORIZADOS!$A:$F,6,FALSE)),"")</f>
        <v>COLEGIO_JOSE_JOAQUIN_VARGAS</v>
      </c>
      <c r="G773" s="11" t="str">
        <f>IFERROR(IF(VLOOKUP(A773,[6]PRIORIZADOS!$A:$G,7,FALSE)="","",VLOOKUP(A773,[6]PRIORIZADOS!$A:$G,7,FALSE)),"")</f>
        <v>COLEGIO_JOSE_JOAQUIN_VARGAS</v>
      </c>
      <c r="H773" s="11" t="str">
        <f>IFERROR(IF(VLOOKUP(A773,[6]PRIORIZADOS!$A:$H,8,FALSE)="","",VLOOKUP(A773,[6]PRIORIZADOS!$A:$H,8,FALSE)),"")</f>
        <v>Autoevaluación Institucional y Pruebas SABER 11</v>
      </c>
      <c r="I773" s="11" t="str">
        <f>IFERROR(IF(VLOOKUP(A773,[6]PRIORIZADOS!$A:$I,9,FALSE)="","",VLOOKUP(A773,[6]PRIORIZADOS!$A:$I,9,FALSE)),"")</f>
        <v>EVALUACIÓN_CON_FINES_DE_MEJORAMIENTO.</v>
      </c>
      <c r="J773" s="11" t="str">
        <f>IFERROR(IF(VLOOKUP(A773,[6]PRIORIZADOS!$A:$J,10,FALSE)="","",VLOOKUP(A773,[6]PRIORIZADOS!$A:$J,10,FALSE)),"")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73" s="11" t="str">
        <f>IFERROR(IF(VLOOKUP(A773,[6]PRIORIZADOS!$A:$K,11,FALSE)="","",VLOOKUP(A773,[6]PRIORIZADOS!$A:$K,11,FALSE)),"")</f>
        <v>ANA MARÍA CASAS SANABRIA</v>
      </c>
      <c r="L773" s="11" t="str">
        <f>IFERROR(IF(VLOOKUP(A773,[6]PRIORIZADOS!$A:$L,12,FALSE)="","",VLOOKUP(A773,[6]PRIORIZADOS!$A:$L,12,FALSE)),"")</f>
        <v>JENIFER CATHERINE LEÓN ACOSTA</v>
      </c>
      <c r="M773" s="71">
        <f>IFERROR(IF(VLOOKUP(A773,[6]PRIORIZADOS!$A:$M,13,FALSE)="","",VLOOKUP(A773,[6]PRIORIZADOS!$A:$M,13,FALSE)),"")</f>
        <v>45882</v>
      </c>
      <c r="N773" s="139">
        <f>IFERROR(IF(VLOOKUP(A773,[6]PRIORIZADOS!$A:$N,14,FALSE)="","",VLOOKUP(A773,[6]PRIORIZADOS!$A:$N,14,FALSE)),"")</f>
        <v>45882</v>
      </c>
      <c r="O773" s="139">
        <f>IFERROR(IF(VLOOKUP(A773,[6]PRIORIZADOS!$A:$O,15,FALSE)="","",VLOOKUP(A773,[6]PRIORIZADOS!$A:$O,15,FALSE)),"")</f>
        <v>45882</v>
      </c>
      <c r="P773" s="11" t="str">
        <f>IFERROR(IF(VLOOKUP(A773,[6]PRIORIZADOS!$A:$P,16,FALSE)="","",VLOOKUP(A773,[6]PRIORIZADOS!$A:$P,16,FALSE)),"")</f>
        <v>Visitas de evaluación con fines de mejoramiento</v>
      </c>
      <c r="Q773" s="2" t="s">
        <v>144</v>
      </c>
      <c r="R773" s="11" t="str">
        <f>IFERROR(IF(VLOOKUP(A773,[6]PRIORIZADOS!$A:$R,18,FALSE)="","",VLOOKUP(A773,[6]PRIORIZADOS!$A:$R,18,FALSE)),"")</f>
        <v>La institucion no evidencia el proceso de actualización y socialización del manual de conviencia.</v>
      </c>
      <c r="S773" s="11" t="str">
        <f>IFERROR(IF(VLOOKUP(A773,[6]PRIORIZADOS!$A:$S,19,FALSE)="","",VLOOKUP(A773,[6]PRIORIZADOS!$A:$S,19,FALSE)),"")</f>
        <v xml:space="preserve">Se solicita realizar el proceso de construccion del Manual  con los miembros de la comunidad educativa, registrarlo. aprobarlo y socializarlo </v>
      </c>
      <c r="T773" s="70" t="str">
        <f>IFERROR(IF(VLOOKUP(A773,[6]PRIORIZADOS!$A:$T,20,FALSE)="","",VLOOKUP(A773,[6]PRIORIZADOS!$A:$T,20,FALSE)),"")</f>
        <v>Si</v>
      </c>
      <c r="U773" s="11" t="str">
        <f>IFERROR(IF(VLOOKUP(A773,[6]PRIORIZADOS!$A:$U,21,FALSE)="","",VLOOKUP(A773,[6]PRIORIZADOS!$A:$U,21,FALSE)),"")</f>
        <v>Se requirió presentar Plan de Majoramiento con el fin de subsanar la situación actual. El PMI debe ser entregado al ELIV a más tardar el 29 de agosto de 2025</v>
      </c>
    </row>
    <row r="774" spans="1:21" s="1" customFormat="1" ht="48">
      <c r="A774" s="69">
        <f>IF([6]PRIORIZADOS!A140="","",[6]PRIORIZADOS!A140)</f>
        <v>712</v>
      </c>
      <c r="B774" s="70">
        <f>IFERROR(IF(VLOOKUP(A774,[6]PRIORIZADOS!$A:$B,2,FALSE)="","",VLOOKUP(A774,[6]PRIORIZADOS!$A:$B,2,FALSE)),"")</f>
        <v>15</v>
      </c>
      <c r="C774" s="11" t="str">
        <f>IFERROR(IF(VLOOKUP(A774,[6]PRIORIZADOS!$A:$C,3,FALSE)="","",VLOOKUP(A774,[6]PRIORIZADOS!$A:$C,3,FALSE)),"")</f>
        <v>ENGATIVÁ</v>
      </c>
      <c r="D774" s="11" t="str">
        <f>IFERROR(IF(VLOOKUP(A774,[6]PRIORIZADOS!$A:$D,4,FALSE)="","",VLOOKUP(A774,[6]PRIORIZADOS!$A:$D,4,FALSE)),"")</f>
        <v>PRIVADO</v>
      </c>
      <c r="E774" s="11" t="str">
        <f>IFERROR(IF(VLOOKUP(A774,[6]PRIORIZADOS!$A:$E,5,FALSE)="","",VLOOKUP(A774,[6]PRIORIZADOS!$A:$E,5,FALSE)),"")</f>
        <v>EPBM</v>
      </c>
      <c r="F774" s="11" t="str">
        <f>IFERROR(IF(VLOOKUP(A774,[6]PRIORIZADOS!$A:$F,6,FALSE)="","",VLOOKUP(A774,[6]PRIORIZADOS!$A:$F,6,FALSE)),"")</f>
        <v>COLEGIO_JOSE_JOAQUIN_VARGAS</v>
      </c>
      <c r="G774" s="11" t="str">
        <f>IFERROR(IF(VLOOKUP(A774,[6]PRIORIZADOS!$A:$G,7,FALSE)="","",VLOOKUP(A774,[6]PRIORIZADOS!$A:$G,7,FALSE)),"")</f>
        <v>COLEGIO_JOSE_JOAQUIN_VARGAS</v>
      </c>
      <c r="H774" s="11" t="str">
        <f>IFERROR(IF(VLOOKUP(A774,[6]PRIORIZADOS!$A:$H,8,FALSE)="","",VLOOKUP(A774,[6]PRIORIZADOS!$A:$H,8,FALSE)),"")</f>
        <v>Autoevaluación Institucional y Pruebas SABER 11</v>
      </c>
      <c r="I774" s="11" t="str">
        <f>IFERROR(IF(VLOOKUP(A774,[6]PRIORIZADOS!$A:$I,9,FALSE)="","",VLOOKUP(A774,[6]PRIORIZADOS!$A:$I,9,FALSE)),"")</f>
        <v>EVALUACIÓN_CON_FINES_DE_MEJORAMIENTO.</v>
      </c>
      <c r="J774" s="11" t="str">
        <f>IFERROR(IF(VLOOKUP(A774,[6]PRIORIZADOS!$A:$J,10,FALSE)="","",VLOOKUP(A774,[6]PRIORIZADOS!$A:$J,10,FALSE)),"")</f>
        <v>Revisar la actualización, socialización e implementación del Sistema Institucional de Evaluación de Estudiantes - SIEE, en articulación con la actualización del PEI y la normatividad vigente.</v>
      </c>
      <c r="K774" s="11" t="str">
        <f>IFERROR(IF(VLOOKUP(A774,[6]PRIORIZADOS!$A:$K,11,FALSE)="","",VLOOKUP(A774,[6]PRIORIZADOS!$A:$K,11,FALSE)),"")</f>
        <v>ANA MARÍA CASAS SANABRIA</v>
      </c>
      <c r="L774" s="11" t="str">
        <f>IFERROR(IF(VLOOKUP(A774,[6]PRIORIZADOS!$A:$L,12,FALSE)="","",VLOOKUP(A774,[6]PRIORIZADOS!$A:$L,12,FALSE)),"")</f>
        <v>JENIFER CATHERINE LEÓN ACOSTA</v>
      </c>
      <c r="M774" s="71">
        <f>IFERROR(IF(VLOOKUP(A774,[6]PRIORIZADOS!$A:$M,13,FALSE)="","",VLOOKUP(A774,[6]PRIORIZADOS!$A:$M,13,FALSE)),"")</f>
        <v>45882</v>
      </c>
      <c r="N774" s="139">
        <f>IFERROR(IF(VLOOKUP(A774,[6]PRIORIZADOS!$A:$N,14,FALSE)="","",VLOOKUP(A774,[6]PRIORIZADOS!$A:$N,14,FALSE)),"")</f>
        <v>45882</v>
      </c>
      <c r="O774" s="139">
        <f>IFERROR(IF(VLOOKUP(A774,[6]PRIORIZADOS!$A:$O,15,FALSE)="","",VLOOKUP(A774,[6]PRIORIZADOS!$A:$O,15,FALSE)),"")</f>
        <v>45882</v>
      </c>
      <c r="P774" s="11" t="str">
        <f>IFERROR(IF(VLOOKUP(A774,[6]PRIORIZADOS!$A:$P,16,FALSE)="","",VLOOKUP(A774,[6]PRIORIZADOS!$A:$P,16,FALSE)),"")</f>
        <v>Visitas de evaluación con fines de mejoramiento</v>
      </c>
      <c r="Q774" s="2" t="s">
        <v>144</v>
      </c>
      <c r="R774" s="11" t="str">
        <f>IFERROR(IF(VLOOKUP(A774,[6]PRIORIZADOS!$A:$R,18,FALSE)="","",VLOOKUP(A774,[6]PRIORIZADOS!$A:$R,18,FALSE)),"")</f>
        <v>La institucion no evidencia el proceso de actualización y socialización del manual de conviencia.</v>
      </c>
      <c r="S774" s="11" t="str">
        <f>IFERROR(IF(VLOOKUP(A774,[6]PRIORIZADOS!$A:$S,19,FALSE)="","",VLOOKUP(A774,[6]PRIORIZADOS!$A:$S,19,FALSE)),"")</f>
        <v xml:space="preserve">Se solicita realizar el proceso de construccion del SIEcon los miembros de la comunidad educativa, registrarlo. aprobarlo y socializarlo </v>
      </c>
      <c r="T774" s="70" t="str">
        <f>IFERROR(IF(VLOOKUP(A774,[6]PRIORIZADOS!$A:$T,20,FALSE)="","",VLOOKUP(A774,[6]PRIORIZADOS!$A:$T,20,FALSE)),"")</f>
        <v>Si</v>
      </c>
      <c r="U774" s="11" t="str">
        <f>IFERROR(IF(VLOOKUP(A774,[6]PRIORIZADOS!$A:$U,21,FALSE)="","",VLOOKUP(A774,[6]PRIORIZADOS!$A:$U,21,FALSE)),"")</f>
        <v>Se requirió presentar Plan de Majoramiento con el fin de subsanar la situación actual. El PMI debe ser entregado al ELIV a más tardar el 29 de agosto de 2025</v>
      </c>
    </row>
    <row r="775" spans="1:21" s="1" customFormat="1" ht="48">
      <c r="A775" s="69">
        <f>IF([6]PRIORIZADOS!A141="","",[6]PRIORIZADOS!A141)</f>
        <v>713</v>
      </c>
      <c r="B775" s="70">
        <f>IFERROR(IF(VLOOKUP(A775,[6]PRIORIZADOS!$A:$B,2,FALSE)="","",VLOOKUP(A775,[6]PRIORIZADOS!$A:$B,2,FALSE)),"")</f>
        <v>15</v>
      </c>
      <c r="C775" s="11" t="str">
        <f>IFERROR(IF(VLOOKUP(A775,[6]PRIORIZADOS!$A:$C,3,FALSE)="","",VLOOKUP(A775,[6]PRIORIZADOS!$A:$C,3,FALSE)),"")</f>
        <v>ENGATIVÁ</v>
      </c>
      <c r="D775" s="11" t="str">
        <f>IFERROR(IF(VLOOKUP(A775,[6]PRIORIZADOS!$A:$D,4,FALSE)="","",VLOOKUP(A775,[6]PRIORIZADOS!$A:$D,4,FALSE)),"")</f>
        <v>PRIVADO</v>
      </c>
      <c r="E775" s="11" t="str">
        <f>IFERROR(IF(VLOOKUP(A775,[6]PRIORIZADOS!$A:$E,5,FALSE)="","",VLOOKUP(A775,[6]PRIORIZADOS!$A:$E,5,FALSE)),"")</f>
        <v>EPBM</v>
      </c>
      <c r="F775" s="11" t="str">
        <f>IFERROR(IF(VLOOKUP(A775,[6]PRIORIZADOS!$A:$F,6,FALSE)="","",VLOOKUP(A775,[6]PRIORIZADOS!$A:$F,6,FALSE)),"")</f>
        <v>COLEGIO_JOSE_JOAQUIN_VARGAS</v>
      </c>
      <c r="G775" s="11" t="str">
        <f>IFERROR(IF(VLOOKUP(A775,[6]PRIORIZADOS!$A:$G,7,FALSE)="","",VLOOKUP(A775,[6]PRIORIZADOS!$A:$G,7,FALSE)),"")</f>
        <v>COLEGIO_JOSE_JOAQUIN_VARGAS</v>
      </c>
      <c r="H775" s="11" t="str">
        <f>IFERROR(IF(VLOOKUP(A775,[6]PRIORIZADOS!$A:$H,8,FALSE)="","",VLOOKUP(A775,[6]PRIORIZADOS!$A:$H,8,FALSE)),"")</f>
        <v>Autoevaluación Institucional y Pruebas SABER 11</v>
      </c>
      <c r="I775" s="11" t="str">
        <f>IFERROR(IF(VLOOKUP(A775,[6]PRIORIZADOS!$A:$I,9,FALSE)="","",VLOOKUP(A775,[6]PRIORIZADOS!$A:$I,9,FALSE)),"")</f>
        <v>EVALUACIÓN_CON_FINES_DE_MEJORAMIENTO.</v>
      </c>
      <c r="J775" s="11" t="str">
        <f>IFERROR(IF(VLOOKUP(A775,[6]PRIORIZADOS!$A:$J,10,FALSE)="","",VLOOKUP(A775,[6]PRIORIZADOS!$A:$J,10,FALSE)),"")</f>
        <v>Revisar el calendario escolar, jornada escolar, la intensidad horaria mínima anual en cada nivel y las modificaciones que se realicen al mismo, de acuerdo con lo previsto en la normatividad vigente.</v>
      </c>
      <c r="K775" s="11" t="str">
        <f>IFERROR(IF(VLOOKUP(A775,[6]PRIORIZADOS!$A:$K,11,FALSE)="","",VLOOKUP(A775,[6]PRIORIZADOS!$A:$K,11,FALSE)),"")</f>
        <v>ANA MARÍA CASAS SANABRIA</v>
      </c>
      <c r="L775" s="11" t="str">
        <f>IFERROR(IF(VLOOKUP(A775,[6]PRIORIZADOS!$A:$L,12,FALSE)="","",VLOOKUP(A775,[6]PRIORIZADOS!$A:$L,12,FALSE)),"")</f>
        <v>JENIFER CATHERINE LEÓN ACOSTA</v>
      </c>
      <c r="M775" s="71">
        <f>IFERROR(IF(VLOOKUP(A775,[6]PRIORIZADOS!$A:$M,13,FALSE)="","",VLOOKUP(A775,[6]PRIORIZADOS!$A:$M,13,FALSE)),"")</f>
        <v>45882</v>
      </c>
      <c r="N775" s="139">
        <f>IFERROR(IF(VLOOKUP(A775,[6]PRIORIZADOS!$A:$N,14,FALSE)="","",VLOOKUP(A775,[6]PRIORIZADOS!$A:$N,14,FALSE)),"")</f>
        <v>45882</v>
      </c>
      <c r="O775" s="139">
        <f>IFERROR(IF(VLOOKUP(A775,[6]PRIORIZADOS!$A:$O,15,FALSE)="","",VLOOKUP(A775,[6]PRIORIZADOS!$A:$O,15,FALSE)),"")</f>
        <v>45882</v>
      </c>
      <c r="P775" s="11" t="str">
        <f>IFERROR(IF(VLOOKUP(A775,[6]PRIORIZADOS!$A:$P,16,FALSE)="","",VLOOKUP(A775,[6]PRIORIZADOS!$A:$P,16,FALSE)),"")</f>
        <v>Visitas de evaluación con fines de mejoramiento</v>
      </c>
      <c r="Q775" s="2" t="s">
        <v>144</v>
      </c>
      <c r="R775" s="11" t="str">
        <f>IFERROR(IF(VLOOKUP(A775,[6]PRIORIZADOS!$A:$R,18,FALSE)="","",VLOOKUP(A775,[6]PRIORIZADOS!$A:$R,18,FALSE)),"")</f>
        <v xml:space="preserve">Se revisa en el calendario escolar  horario de clases y docentes el cumplimiento de la intensidad horaria </v>
      </c>
      <c r="S775" s="11" t="str">
        <f>IFERROR(IF(VLOOKUP(A775,[6]PRIORIZADOS!$A:$S,19,FALSE)="","",VLOOKUP(A775,[6]PRIORIZADOS!$A:$S,19,FALSE)),"")</f>
        <v>El colegio cumple la intensidad horaria establecida por nivel según normativa vigente</v>
      </c>
      <c r="T775" s="70" t="str">
        <f>IFERROR(IF(VLOOKUP(A775,[6]PRIORIZADOS!$A:$T,20,FALSE)="","",VLOOKUP(A775,[6]PRIORIZADOS!$A:$T,20,FALSE)),"")</f>
        <v>No</v>
      </c>
      <c r="U775" s="11" t="str">
        <f>IFERROR(IF(VLOOKUP(A775,[6]PRIORIZADOS!$A:$U,21,FALSE)="","",VLOOKUP(A775,[6]PRIORIZADOS!$A:$U,21,FALSE)),"")</f>
        <v>Se verificará en proximas visitas</v>
      </c>
    </row>
    <row r="776" spans="1:21" s="1" customFormat="1" ht="48">
      <c r="A776" s="69">
        <f>IF([6]PRIORIZADOS!A142="","",[6]PRIORIZADOS!A142)</f>
        <v>714</v>
      </c>
      <c r="B776" s="70">
        <f>IFERROR(IF(VLOOKUP(A776,[6]PRIORIZADOS!$A:$B,2,FALSE)="","",VLOOKUP(A776,[6]PRIORIZADOS!$A:$B,2,FALSE)),"")</f>
        <v>15</v>
      </c>
      <c r="C776" s="11" t="str">
        <f>IFERROR(IF(VLOOKUP(A776,[6]PRIORIZADOS!$A:$C,3,FALSE)="","",VLOOKUP(A776,[6]PRIORIZADOS!$A:$C,3,FALSE)),"")</f>
        <v>ENGATIVÁ</v>
      </c>
      <c r="D776" s="11" t="str">
        <f>IFERROR(IF(VLOOKUP(A776,[6]PRIORIZADOS!$A:$D,4,FALSE)="","",VLOOKUP(A776,[6]PRIORIZADOS!$A:$D,4,FALSE)),"")</f>
        <v>PRIVADO</v>
      </c>
      <c r="E776" s="11" t="str">
        <f>IFERROR(IF(VLOOKUP(A776,[6]PRIORIZADOS!$A:$E,5,FALSE)="","",VLOOKUP(A776,[6]PRIORIZADOS!$A:$E,5,FALSE)),"")</f>
        <v>EPBM</v>
      </c>
      <c r="F776" s="11" t="str">
        <f>IFERROR(IF(VLOOKUP(A776,[6]PRIORIZADOS!$A:$F,6,FALSE)="","",VLOOKUP(A776,[6]PRIORIZADOS!$A:$F,6,FALSE)),"")</f>
        <v>COLEGIO_JOSE_JOAQUIN_VARGAS</v>
      </c>
      <c r="G776" s="11" t="str">
        <f>IFERROR(IF(VLOOKUP(A776,[6]PRIORIZADOS!$A:$G,7,FALSE)="","",VLOOKUP(A776,[6]PRIORIZADOS!$A:$G,7,FALSE)),"")</f>
        <v>COLEGIO_JOSE_JOAQUIN_VARGAS</v>
      </c>
      <c r="H776" s="11" t="str">
        <f>IFERROR(IF(VLOOKUP(A776,[6]PRIORIZADOS!$A:$H,8,FALSE)="","",VLOOKUP(A776,[6]PRIORIZADOS!$A:$H,8,FALSE)),"")</f>
        <v>Autoevaluación Institucional y Pruebas SABER 11</v>
      </c>
      <c r="I776" s="11" t="str">
        <f>IFERROR(IF(VLOOKUP(A776,[6]PRIORIZADOS!$A:$I,9,FALSE)="","",VLOOKUP(A776,[6]PRIORIZADOS!$A:$I,9,FALSE)),"")</f>
        <v>EVALUACIÓN_CON_FINES_DE_MEJORAMIENTO.</v>
      </c>
      <c r="J776" s="11" t="str">
        <f>IFERROR(IF(VLOOKUP(A776,[6]PRIORIZADOS!$A:$J,10,FALSE)="","",VLOOKUP(A776,[6]PRIORIZADOS!$A:$J,10,FALSE)),"")</f>
        <v>Verificar el funcionamiento del Gobierno Escolar e instancias de participación con base en la información sobre conformación reportada por la institución educativa.</v>
      </c>
      <c r="K776" s="11" t="str">
        <f>IFERROR(IF(VLOOKUP(A776,[6]PRIORIZADOS!$A:$K,11,FALSE)="","",VLOOKUP(A776,[6]PRIORIZADOS!$A:$K,11,FALSE)),"")</f>
        <v>ANA MARÍA CASAS SANABRIA</v>
      </c>
      <c r="L776" s="11" t="str">
        <f>IFERROR(IF(VLOOKUP(A776,[6]PRIORIZADOS!$A:$L,12,FALSE)="","",VLOOKUP(A776,[6]PRIORIZADOS!$A:$L,12,FALSE)),"")</f>
        <v>JENIFER CATHERINE LEÓN ACOSTA</v>
      </c>
      <c r="M776" s="71">
        <f>IFERROR(IF(VLOOKUP(A776,[6]PRIORIZADOS!$A:$M,13,FALSE)="","",VLOOKUP(A776,[6]PRIORIZADOS!$A:$M,13,FALSE)),"")</f>
        <v>45882</v>
      </c>
      <c r="N776" s="139">
        <f>IFERROR(IF(VLOOKUP(A776,[6]PRIORIZADOS!$A:$N,14,FALSE)="","",VLOOKUP(A776,[6]PRIORIZADOS!$A:$N,14,FALSE)),"")</f>
        <v>45882</v>
      </c>
      <c r="O776" s="139">
        <f>IFERROR(IF(VLOOKUP(A776,[6]PRIORIZADOS!$A:$O,15,FALSE)="","",VLOOKUP(A776,[6]PRIORIZADOS!$A:$O,15,FALSE)),"")</f>
        <v>45882</v>
      </c>
      <c r="P776" s="11" t="str">
        <f>IFERROR(IF(VLOOKUP(A776,[6]PRIORIZADOS!$A:$P,16,FALSE)="","",VLOOKUP(A776,[6]PRIORIZADOS!$A:$P,16,FALSE)),"")</f>
        <v>Visitas de evaluación con fines de mejoramiento</v>
      </c>
      <c r="Q776" s="2" t="s">
        <v>144</v>
      </c>
      <c r="R776" s="11" t="str">
        <f>IFERROR(IF(VLOOKUP(A776,[6]PRIORIZADOS!$A:$R,18,FALSE)="","",VLOOKUP(A776,[6]PRIORIZADOS!$A:$R,18,FALSE)),"")</f>
        <v>La insitucion no evidencia el funcionamiento normativo de las instancias de gobierno escolar.</v>
      </c>
      <c r="S776" s="11" t="str">
        <f>IFERROR(IF(VLOOKUP(A776,[6]PRIORIZADOS!$A:$S,19,FALSE)="","",VLOOKUP(A776,[6]PRIORIZADOS!$A:$S,19,FALSE)),"")</f>
        <v xml:space="preserve"> Se indica que debe quedar registrada la conformacion de los estamentos del gobierno escolar, con sus funciones y plna de trabajo para el año</v>
      </c>
      <c r="T776" s="70" t="str">
        <f>IFERROR(IF(VLOOKUP(A776,[6]PRIORIZADOS!$A:$T,20,FALSE)="","",VLOOKUP(A776,[6]PRIORIZADOS!$A:$T,20,FALSE)),"")</f>
        <v>Si</v>
      </c>
      <c r="U776" s="11" t="str">
        <f>IFERROR(IF(VLOOKUP(A776,[6]PRIORIZADOS!$A:$U,21,FALSE)="","",VLOOKUP(A776,[6]PRIORIZADOS!$A:$U,21,FALSE)),"")</f>
        <v>Se requirió presentar Plan de Majoramiento con el fin de subsanar la situación actual. El PMI debe ser entregado al ELIV a más tardar el 29 de agosto de 2025</v>
      </c>
    </row>
    <row r="777" spans="1:21" s="1" customFormat="1" ht="48">
      <c r="A777" s="69">
        <f>IF([6]PRIORIZADOS!A143="","",[6]PRIORIZADOS!A143)</f>
        <v>715</v>
      </c>
      <c r="B777" s="70">
        <f>IFERROR(IF(VLOOKUP(A777,[6]PRIORIZADOS!$A:$B,2,FALSE)="","",VLOOKUP(A777,[6]PRIORIZADOS!$A:$B,2,FALSE)),"")</f>
        <v>15</v>
      </c>
      <c r="C777" s="11" t="str">
        <f>IFERROR(IF(VLOOKUP(A777,[6]PRIORIZADOS!$A:$C,3,FALSE)="","",VLOOKUP(A777,[6]PRIORIZADOS!$A:$C,3,FALSE)),"")</f>
        <v>ENGATIVÁ</v>
      </c>
      <c r="D777" s="11" t="str">
        <f>IFERROR(IF(VLOOKUP(A777,[6]PRIORIZADOS!$A:$D,4,FALSE)="","",VLOOKUP(A777,[6]PRIORIZADOS!$A:$D,4,FALSE)),"")</f>
        <v>PRIVADO</v>
      </c>
      <c r="E777" s="11" t="str">
        <f>IFERROR(IF(VLOOKUP(A777,[6]PRIORIZADOS!$A:$E,5,FALSE)="","",VLOOKUP(A777,[6]PRIORIZADOS!$A:$E,5,FALSE)),"")</f>
        <v>EPBM</v>
      </c>
      <c r="F777" s="11" t="str">
        <f>IFERROR(IF(VLOOKUP(A777,[6]PRIORIZADOS!$A:$F,6,FALSE)="","",VLOOKUP(A777,[6]PRIORIZADOS!$A:$F,6,FALSE)),"")</f>
        <v>COLEGIO_JOSE_JOAQUIN_VARGAS</v>
      </c>
      <c r="G777" s="11" t="str">
        <f>IFERROR(IF(VLOOKUP(A777,[6]PRIORIZADOS!$A:$G,7,FALSE)="","",VLOOKUP(A777,[6]PRIORIZADOS!$A:$G,7,FALSE)),"")</f>
        <v>COLEGIO_JOSE_JOAQUIN_VARGAS</v>
      </c>
      <c r="H777" s="11" t="str">
        <f>IFERROR(IF(VLOOKUP(A777,[6]PRIORIZADOS!$A:$H,8,FALSE)="","",VLOOKUP(A777,[6]PRIORIZADOS!$A:$H,8,FALSE)),"")</f>
        <v>Autoevaluación Institucional y Pruebas SABER 11</v>
      </c>
      <c r="I777" s="11" t="str">
        <f>IFERROR(IF(VLOOKUP(A777,[6]PRIORIZADOS!$A:$I,9,FALSE)="","",VLOOKUP(A777,[6]PRIORIZADOS!$A:$I,9,FALSE)),"")</f>
        <v>EVALUACIÓN_CON_FINES_DE_MEJORAMIENTO.</v>
      </c>
      <c r="J777" s="11" t="str">
        <f>IFERROR(IF(VLOOKUP(A777,[6]PRIORIZADOS!$A:$J,10,FALSE)="","",VLOOKUP(A777,[6]PRIORIZADOS!$A:$J,10,FALSE)),"")</f>
        <v>Verificar las condiciones en cuanto a: la estructura administrativa, condiciones de la planta física y medios educativos adecuados.</v>
      </c>
      <c r="K777" s="11" t="str">
        <f>IFERROR(IF(VLOOKUP(A777,[6]PRIORIZADOS!$A:$K,11,FALSE)="","",VLOOKUP(A777,[6]PRIORIZADOS!$A:$K,11,FALSE)),"")</f>
        <v>ANA MARÍA CASAS SANABRIA</v>
      </c>
      <c r="L777" s="11" t="str">
        <f>IFERROR(IF(VLOOKUP(A777,[6]PRIORIZADOS!$A:$L,12,FALSE)="","",VLOOKUP(A777,[6]PRIORIZADOS!$A:$L,12,FALSE)),"")</f>
        <v>JENIFER CATHERINE LEÓN ACOSTA</v>
      </c>
      <c r="M777" s="71">
        <f>IFERROR(IF(VLOOKUP(A777,[6]PRIORIZADOS!$A:$M,13,FALSE)="","",VLOOKUP(A777,[6]PRIORIZADOS!$A:$M,13,FALSE)),"")</f>
        <v>45882</v>
      </c>
      <c r="N777" s="139">
        <f>IFERROR(IF(VLOOKUP(A777,[6]PRIORIZADOS!$A:$N,14,FALSE)="","",VLOOKUP(A777,[6]PRIORIZADOS!$A:$N,14,FALSE)),"")</f>
        <v>45882</v>
      </c>
      <c r="O777" s="139">
        <f>IFERROR(IF(VLOOKUP(A777,[6]PRIORIZADOS!$A:$O,15,FALSE)="","",VLOOKUP(A777,[6]PRIORIZADOS!$A:$O,15,FALSE)),"")</f>
        <v>45882</v>
      </c>
      <c r="P777" s="11" t="str">
        <f>IFERROR(IF(VLOOKUP(A777,[6]PRIORIZADOS!$A:$P,16,FALSE)="","",VLOOKUP(A777,[6]PRIORIZADOS!$A:$P,16,FALSE)),"")</f>
        <v>Visitas de evaluación con fines de mejoramiento</v>
      </c>
      <c r="Q777" s="2" t="s">
        <v>144</v>
      </c>
      <c r="R777" s="11" t="str">
        <f>IFERROR(IF(VLOOKUP(A777,[6]PRIORIZADOS!$A:$R,18,FALSE)="","",VLOOKUP(A777,[6]PRIORIZADOS!$A:$R,18,FALSE)),"")</f>
        <v xml:space="preserve">Se evidencia que los espacios administrativos son suficientes para las funciones que se deben desarrollar.  </v>
      </c>
      <c r="S777" s="11" t="str">
        <f>IFERROR(IF(VLOOKUP(A777,[6]PRIORIZADOS!$A:$S,19,FALSE)="","",VLOOKUP(A777,[6]PRIORIZADOS!$A:$S,19,FALSE)),"")</f>
        <v xml:space="preserve">Se recomienda ampliar la capacidad de la sala de sistemas, ya que cuenta con pocos computadores respecto a la cantidad de estudaintes </v>
      </c>
      <c r="T777" s="70" t="str">
        <f>IFERROR(IF(VLOOKUP(A777,[6]PRIORIZADOS!$A:$T,20,FALSE)="","",VLOOKUP(A777,[6]PRIORIZADOS!$A:$T,20,FALSE)),"")</f>
        <v>No</v>
      </c>
      <c r="U777" s="11" t="str">
        <f>IFERROR(IF(VLOOKUP(A777,[6]PRIORIZADOS!$A:$U,21,FALSE)="","",VLOOKUP(A777,[6]PRIORIZADOS!$A:$U,21,FALSE)),"")</f>
        <v/>
      </c>
    </row>
    <row r="778" spans="1:21" s="1" customFormat="1" ht="72">
      <c r="A778" s="69">
        <f>IF([6]PRIORIZADOS!A144="","",[6]PRIORIZADOS!A144)</f>
        <v>716</v>
      </c>
      <c r="B778" s="70">
        <f>IFERROR(IF(VLOOKUP(A778,[6]PRIORIZADOS!$A:$B,2,FALSE)="","",VLOOKUP(A778,[6]PRIORIZADOS!$A:$B,2,FALSE)),"")</f>
        <v>16</v>
      </c>
      <c r="C778" s="11" t="str">
        <f>IFERROR(IF(VLOOKUP(A778,[6]PRIORIZADOS!$A:$C,3,FALSE)="","",VLOOKUP(A778,[6]PRIORIZADOS!$A:$C,3,FALSE)),"")</f>
        <v>ENGATIVÁ</v>
      </c>
      <c r="D778" s="11" t="str">
        <f>IFERROR(IF(VLOOKUP(A778,[6]PRIORIZADOS!$A:$D,4,FALSE)="","",VLOOKUP(A778,[6]PRIORIZADOS!$A:$D,4,FALSE)),"")</f>
        <v>PRIVADO</v>
      </c>
      <c r="E778" s="11" t="str">
        <f>IFERROR(IF(VLOOKUP(A778,[6]PRIORIZADOS!$A:$E,5,FALSE)="","",VLOOKUP(A778,[6]PRIORIZADOS!$A:$E,5,FALSE)),"")</f>
        <v>EPBM</v>
      </c>
      <c r="F778" s="11" t="str">
        <f>IFERROR(IF(VLOOKUP(A778,[6]PRIORIZADOS!$A:$F,6,FALSE)="","",VLOOKUP(A778,[6]PRIORIZADOS!$A:$F,6,FALSE)),"")</f>
        <v>COLEGIO_MAYOR_DE_ENGATIVA</v>
      </c>
      <c r="G778" s="11" t="str">
        <f>IFERROR(IF(VLOOKUP(A778,[6]PRIORIZADOS!$A:$G,7,FALSE)="","",VLOOKUP(A778,[6]PRIORIZADOS!$A:$G,7,FALSE)),"")</f>
        <v>COLEGIO_MAYOR_DE_ENGATIVA</v>
      </c>
      <c r="H778" s="11" t="str">
        <f>IFERROR(IF(VLOOKUP(A778,[6]PRIORIZADOS!$A:$H,8,FALSE)="","",VLOOKUP(A778,[6]PRIORIZADOS!$A:$H,8,FALSE)),"")</f>
        <v>Autoevaluación Institucional y Pruebas SABER 11</v>
      </c>
      <c r="I778" s="11" t="str">
        <f>IFERROR(IF(VLOOKUP(A778,[6]PRIORIZADOS!$A:$I,9,FALSE)="","",VLOOKUP(A778,[6]PRIORIZADOS!$A:$I,9,FALSE)),"")</f>
        <v>SEGUIMIENTO_Y_SUPERVISIÓN.</v>
      </c>
      <c r="J778" s="11" t="str">
        <f>IFERROR(IF(VLOOKUP(A778,[6]PRIORIZADOS!$A:$J,10,FALSE)="","",VLOOKUP(A778,[6]PRIORIZADOS!$A:$J,10,FALSE)),"")</f>
        <v>Realizar visitas para verificar la información registrada sobre la autoevaluación institucional en el aplicativo EVI, a los establecimientos de educación formal no oficial.</v>
      </c>
      <c r="K778" s="11" t="str">
        <f>IFERROR(IF(VLOOKUP(A778,[6]PRIORIZADOS!$A:$K,11,FALSE)="","",VLOOKUP(A778,[6]PRIORIZADOS!$A:$K,11,FALSE)),"")</f>
        <v>MÓNICA JANNETH RAMÍREZ MORENO</v>
      </c>
      <c r="L778" s="11" t="str">
        <f>IFERROR(IF(VLOOKUP(A778,[6]PRIORIZADOS!$A:$L,12,FALSE)="","",VLOOKUP(A778,[6]PRIORIZADOS!$A:$L,12,FALSE)),"")</f>
        <v>ANA MARÍA CASAS SANABRIA</v>
      </c>
      <c r="M778" s="71">
        <f>IFERROR(IF(VLOOKUP(A778,[6]PRIORIZADOS!$A:$M,13,FALSE)="","",VLOOKUP(A778,[6]PRIORIZADOS!$A:$M,13,FALSE)),"")</f>
        <v>45814</v>
      </c>
      <c r="N778" s="139">
        <f>IFERROR(IF(VLOOKUP(A778,[6]PRIORIZADOS!$A:$N,14,FALSE)="","",VLOOKUP(A778,[6]PRIORIZADOS!$A:$N,14,FALSE)),"")</f>
        <v>45814</v>
      </c>
      <c r="O778" s="139">
        <f>IFERROR(IF(VLOOKUP(A778,[6]PRIORIZADOS!$A:$O,15,FALSE)="","",VLOOKUP(A778,[6]PRIORIZADOS!$A:$O,15,FALSE)),"")</f>
        <v>45814</v>
      </c>
      <c r="P778" s="11" t="str">
        <f>IFERROR(IF(VLOOKUP(A778,[6]PRIORIZADOS!$A:$P,16,FALSE)="","",VLOOKUP(A778,[6]PRIORIZADOS!$A:$P,16,FALSE)),"")</f>
        <v>Visitas de evaluación con fines de seguimiento</v>
      </c>
      <c r="Q778" s="121" t="s">
        <v>145</v>
      </c>
      <c r="R778" s="11" t="str">
        <f>IFERROR(IF(VLOOKUP(A778,[6]PRIORIZADOS!$A:$R,18,FALSE)="","",VLOOKUP(A778,[6]PRIORIZADOS!$A:$R,18,FALSE)),"")</f>
        <v xml:space="preserve">Se realizó verificacion de los ambientes de aprendizaje, medios educativos y espacios administrativos, lúdicos, recreativos y culturales reportados y el registro de la matricula en SIMAT encontrando diferencias  </v>
      </c>
      <c r="S778" s="11" t="str">
        <f>IFERROR(IF(VLOOKUP(A778,[6]PRIORIZADOS!$A:$S,19,FALSE)="","",VLOOKUP(A778,[6]PRIORIZADOS!$A:$S,19,FALSE)),"")</f>
        <v>Revisar la capacidad de las aulas, disponer espacio para coordinaciones, registrar novedades encontradas en SIMAT y solicitar autorización para uso del parque</v>
      </c>
      <c r="T778" s="70" t="str">
        <f>IFERROR(IF(VLOOKUP(A778,[6]PRIORIZADOS!$A:$T,20,FALSE)="","",VLOOKUP(A778,[6]PRIORIZADOS!$A:$T,20,FALSE)),"")</f>
        <v>Si</v>
      </c>
      <c r="U778" s="11" t="str">
        <f>IFERROR(IF(VLOOKUP(A778,[6]PRIORIZADOS!$A:$U,21,FALSE)="","",VLOOKUP(A778,[6]PRIORIZADOS!$A:$U,21,FALSE)),"")</f>
        <v>Presentar un plan de mejoramiento que de cuenta de las actividades a realizar para subsanar las observaciones, el cual debe allegar a má tardar el 20 de junio de 2025, para ser revisado y aprobado</v>
      </c>
    </row>
    <row r="779" spans="1:21" s="1" customFormat="1" ht="84">
      <c r="A779" s="69">
        <f>IF([6]PRIORIZADOS!A145="","",[6]PRIORIZADOS!A145)</f>
        <v>717</v>
      </c>
      <c r="B779" s="70">
        <f>IFERROR(IF(VLOOKUP(A779,[6]PRIORIZADOS!$A:$B,2,FALSE)="","",VLOOKUP(A779,[6]PRIORIZADOS!$A:$B,2,FALSE)),"")</f>
        <v>16</v>
      </c>
      <c r="C779" s="11" t="str">
        <f>IFERROR(IF(VLOOKUP(A779,[6]PRIORIZADOS!$A:$C,3,FALSE)="","",VLOOKUP(A779,[6]PRIORIZADOS!$A:$C,3,FALSE)),"")</f>
        <v>ENGATIVÁ</v>
      </c>
      <c r="D779" s="11" t="str">
        <f>IFERROR(IF(VLOOKUP(A779,[6]PRIORIZADOS!$A:$D,4,FALSE)="","",VLOOKUP(A779,[6]PRIORIZADOS!$A:$D,4,FALSE)),"")</f>
        <v>PRIVADO</v>
      </c>
      <c r="E779" s="11" t="str">
        <f>IFERROR(IF(VLOOKUP(A779,[6]PRIORIZADOS!$A:$E,5,FALSE)="","",VLOOKUP(A779,[6]PRIORIZADOS!$A:$E,5,FALSE)),"")</f>
        <v>EPBM</v>
      </c>
      <c r="F779" s="11" t="str">
        <f>IFERROR(IF(VLOOKUP(A779,[6]PRIORIZADOS!$A:$F,6,FALSE)="","",VLOOKUP(A779,[6]PRIORIZADOS!$A:$F,6,FALSE)),"")</f>
        <v>COLEGIO_MAYOR_DE_ENGATIVA</v>
      </c>
      <c r="G779" s="11" t="str">
        <f>IFERROR(IF(VLOOKUP(A779,[6]PRIORIZADOS!$A:$G,7,FALSE)="","",VLOOKUP(A779,[6]PRIORIZADOS!$A:$G,7,FALSE)),"")</f>
        <v>COLEGIO_MAYOR_DE_ENGATIVA</v>
      </c>
      <c r="H779" s="11" t="str">
        <f>IFERROR(IF(VLOOKUP(A779,[6]PRIORIZADOS!$A:$H,8,FALSE)="","",VLOOKUP(A779,[6]PRIORIZADOS!$A:$H,8,FALSE)),"")</f>
        <v>Autoevaluación Institucional y Pruebas SABER 11</v>
      </c>
      <c r="I779" s="11" t="str">
        <f>IFERROR(IF(VLOOKUP(A779,[6]PRIORIZADOS!$A:$I,9,FALSE)="","",VLOOKUP(A779,[6]PRIORIZADOS!$A:$I,9,FALSE)),"")</f>
        <v>SEGUIMIENTO_Y_SUPERVISIÓN.</v>
      </c>
      <c r="J779" s="11" t="str">
        <f>IFERROR(IF(VLOOKUP(A779,[6]PRIORIZADOS!$A:$J,10,FALSE)="","",VLOOKUP(A779,[6]PRIORIZADOS!$A:$J,10,FALSE)),"")</f>
        <v>Proponer estrategias en la formulación, verificar su elaboración y realizar seguimiento semestral al desarrollo de  las acciones establecidas en los planes de mejoramiento por pruebas SABER 11 de los establecimientos de educación formal.</v>
      </c>
      <c r="K779" s="11" t="str">
        <f>IFERROR(IF(VLOOKUP(A779,[6]PRIORIZADOS!$A:$K,11,FALSE)="","",VLOOKUP(A779,[6]PRIORIZADOS!$A:$K,11,FALSE)),"")</f>
        <v>MÓNICA JANNETH RAMÍREZ MORENO</v>
      </c>
      <c r="L779" s="11" t="str">
        <f>IFERROR(IF(VLOOKUP(A779,[6]PRIORIZADOS!$A:$L,12,FALSE)="","",VLOOKUP(A779,[6]PRIORIZADOS!$A:$L,12,FALSE)),"")</f>
        <v>ANA MARÍA CASAS SANABRIA</v>
      </c>
      <c r="M779" s="71">
        <f>IFERROR(IF(VLOOKUP(A779,[6]PRIORIZADOS!$A:$M,13,FALSE)="","",VLOOKUP(A779,[6]PRIORIZADOS!$A:$M,13,FALSE)),"")</f>
        <v>45814</v>
      </c>
      <c r="N779" s="139">
        <f>IFERROR(IF(VLOOKUP(A779,[6]PRIORIZADOS!$A:$N,14,FALSE)="","",VLOOKUP(A779,[6]PRIORIZADOS!$A:$N,14,FALSE)),"")</f>
        <v>45814</v>
      </c>
      <c r="O779" s="139">
        <f>IFERROR(IF(VLOOKUP(A779,[6]PRIORIZADOS!$A:$O,15,FALSE)="","",VLOOKUP(A779,[6]PRIORIZADOS!$A:$O,15,FALSE)),"")</f>
        <v>45814</v>
      </c>
      <c r="P779" s="11" t="str">
        <f>IFERROR(IF(VLOOKUP(A779,[6]PRIORIZADOS!$A:$P,16,FALSE)="","",VLOOKUP(A779,[6]PRIORIZADOS!$A:$P,16,FALSE)),"")</f>
        <v>Visitas de evaluación con fines de seguimiento</v>
      </c>
      <c r="Q779" s="121" t="s">
        <v>145</v>
      </c>
      <c r="R779" s="11" t="str">
        <f>IFERROR(IF(VLOOKUP(A779,[6]PRIORIZADOS!$A:$R,18,FALSE)="","",VLOOKUP(A779,[6]PRIORIZADOS!$A:$R,18,FALSE)),"")</f>
        <v>El colegio se encuentra clasificado según los resultados de las pruebas saber 2024 en categoria B y en visita presenta un plan de mejoramiento donde establece diagnóstico genera, estrategias metodologicas y evaluacion del proceso por areas</v>
      </c>
      <c r="S779" s="11" t="str">
        <f>IFERROR(IF(VLOOKUP(A779,[6]PRIORIZADOS!$A:$S,19,FALSE)="","",VLOOKUP(A779,[6]PRIORIZADOS!$A:$S,19,FALSE)),"")</f>
        <v>Presentar PMI y una propuesta de actualización curricular al Consejo académico y fortalecerlo con un cronograma de actividaes, fechas, temáticas y resultados concretos</v>
      </c>
      <c r="T779" s="70" t="str">
        <f>IFERROR(IF(VLOOKUP(A779,[6]PRIORIZADOS!$A:$T,20,FALSE)="","",VLOOKUP(A779,[6]PRIORIZADOS!$A:$T,20,FALSE)),"")</f>
        <v>Si</v>
      </c>
      <c r="U779" s="11" t="str">
        <f>IFERROR(IF(VLOOKUP(A779,[6]PRIORIZADOS!$A:$U,21,FALSE)="","",VLOOKUP(A779,[6]PRIORIZADOS!$A:$U,21,FALSE)),"")</f>
        <v>Presentar un plan de mejoramiento que de cuenta de las actividades a realizar para subsanar las observaciones, el cual debe allegar a má tardar el 20 de junio de 2025, para ser revisado y aprobado</v>
      </c>
    </row>
    <row r="780" spans="1:21" s="1" customFormat="1" ht="48">
      <c r="A780" s="69">
        <f>IF([6]PRIORIZADOS!A146="","",[6]PRIORIZADOS!A146)</f>
        <v>718</v>
      </c>
      <c r="B780" s="70">
        <f>IFERROR(IF(VLOOKUP(A780,[6]PRIORIZADOS!$A:$B,2,FALSE)="","",VLOOKUP(A780,[6]PRIORIZADOS!$A:$B,2,FALSE)),"")</f>
        <v>16</v>
      </c>
      <c r="C780" s="11" t="str">
        <f>IFERROR(IF(VLOOKUP(A780,[6]PRIORIZADOS!$A:$C,3,FALSE)="","",VLOOKUP(A780,[6]PRIORIZADOS!$A:$C,3,FALSE)),"")</f>
        <v>ENGATIVÁ</v>
      </c>
      <c r="D780" s="11" t="str">
        <f>IFERROR(IF(VLOOKUP(A780,[6]PRIORIZADOS!$A:$D,4,FALSE)="","",VLOOKUP(A780,[6]PRIORIZADOS!$A:$D,4,FALSE)),"")</f>
        <v>PRIVADO</v>
      </c>
      <c r="E780" s="11" t="str">
        <f>IFERROR(IF(VLOOKUP(A780,[6]PRIORIZADOS!$A:$E,5,FALSE)="","",VLOOKUP(A780,[6]PRIORIZADOS!$A:$E,5,FALSE)),"")</f>
        <v>EPBM</v>
      </c>
      <c r="F780" s="11" t="str">
        <f>IFERROR(IF(VLOOKUP(A780,[6]PRIORIZADOS!$A:$F,6,FALSE)="","",VLOOKUP(A780,[6]PRIORIZADOS!$A:$F,6,FALSE)),"")</f>
        <v>COLEGIO_MAYOR_DE_ENGATIVA</v>
      </c>
      <c r="G780" s="11" t="str">
        <f>IFERROR(IF(VLOOKUP(A780,[6]PRIORIZADOS!$A:$G,7,FALSE)="","",VLOOKUP(A780,[6]PRIORIZADOS!$A:$G,7,FALSE)),"")</f>
        <v>COLEGIO_MAYOR_DE_ENGATIVA</v>
      </c>
      <c r="H780" s="11" t="str">
        <f>IFERROR(IF(VLOOKUP(A780,[6]PRIORIZADOS!$A:$H,8,FALSE)="","",VLOOKUP(A780,[6]PRIORIZADOS!$A:$H,8,FALSE)),"")</f>
        <v>Autoevaluación Institucional y Pruebas SABER 11</v>
      </c>
      <c r="I780" s="11" t="str">
        <f>IFERROR(IF(VLOOKUP(A780,[6]PRIORIZADOS!$A:$I,9,FALSE)="","",VLOOKUP(A780,[6]PRIORIZADOS!$A:$I,9,FALSE)),"")</f>
        <v>SEGUIMIENTO_Y_SUPERVISIÓN.</v>
      </c>
      <c r="J780" s="11" t="str">
        <f>IFERROR(IF(VLOOKUP(A780,[6]PRIORIZADOS!$A:$J,10,FALSE)="","",VLOOKUP(A780,[6]PRIORIZADOS!$A:$J,10,FALSE)),"")</f>
        <v xml:space="preserve">Verificar la implementación por parte de los colegios, de acciones realizadas para la prevención y atención de las situaciones de convivencia en el entorno escolar, según lo establecido en la Directiva 01 de 2022 del MEN. </v>
      </c>
      <c r="K780" s="11" t="str">
        <f>IFERROR(IF(VLOOKUP(A780,[6]PRIORIZADOS!$A:$K,11,FALSE)="","",VLOOKUP(A780,[6]PRIORIZADOS!$A:$K,11,FALSE)),"")</f>
        <v>MÓNICA JANNETH RAMÍREZ MORENO</v>
      </c>
      <c r="L780" s="11" t="str">
        <f>IFERROR(IF(VLOOKUP(A780,[6]PRIORIZADOS!$A:$L,12,FALSE)="","",VLOOKUP(A780,[6]PRIORIZADOS!$A:$L,12,FALSE)),"")</f>
        <v>ANA MARÍA CASAS SANABRIA</v>
      </c>
      <c r="M780" s="71">
        <f>IFERROR(IF(VLOOKUP(A780,[6]PRIORIZADOS!$A:$M,13,FALSE)="","",VLOOKUP(A780,[6]PRIORIZADOS!$A:$M,13,FALSE)),"")</f>
        <v>45814</v>
      </c>
      <c r="N780" s="139">
        <f>IFERROR(IF(VLOOKUP(A780,[6]PRIORIZADOS!$A:$N,14,FALSE)="","",VLOOKUP(A780,[6]PRIORIZADOS!$A:$N,14,FALSE)),"")</f>
        <v>45814</v>
      </c>
      <c r="O780" s="139">
        <f>IFERROR(IF(VLOOKUP(A780,[6]PRIORIZADOS!$A:$O,15,FALSE)="","",VLOOKUP(A780,[6]PRIORIZADOS!$A:$O,15,FALSE)),"")</f>
        <v>45814</v>
      </c>
      <c r="P780" s="11" t="str">
        <f>IFERROR(IF(VLOOKUP(A780,[6]PRIORIZADOS!$A:$P,16,FALSE)="","",VLOOKUP(A780,[6]PRIORIZADOS!$A:$P,16,FALSE)),"")</f>
        <v>Visitas de evaluación con fines de seguimiento</v>
      </c>
      <c r="Q780" s="121" t="s">
        <v>145</v>
      </c>
      <c r="R780" s="11" t="str">
        <f>IFERROR(IF(VLOOKUP(A780,[6]PRIORIZADOS!$A:$R,18,FALSE)="","",VLOOKUP(A780,[6]PRIORIZADOS!$A:$R,18,FALSE)),"")</f>
        <v>No se realiza la verificación de antecedentes de las personas que laboran allí, solamente se encontraron 3 carpetas con antecedentes disciplinarios de 2025</v>
      </c>
      <c r="S780" s="11" t="str">
        <f>IFERROR(IF(VLOOKUP(A780,[6]PRIORIZADOS!$A:$S,19,FALSE)="","",VLOOKUP(A780,[6]PRIORIZADOS!$A:$S,19,FALSE)),"")</f>
        <v>Realizar la verificación de antecedentes disciplinarios y de inhabilidades al momento de la contratación y posteriormente cada 4 meses</v>
      </c>
      <c r="T780" s="70" t="str">
        <f>IFERROR(IF(VLOOKUP(A780,[6]PRIORIZADOS!$A:$T,20,FALSE)="","",VLOOKUP(A780,[6]PRIORIZADOS!$A:$T,20,FALSE)),"")</f>
        <v>Si</v>
      </c>
      <c r="U780" s="11" t="str">
        <f>IFERROR(IF(VLOOKUP(A780,[6]PRIORIZADOS!$A:$U,21,FALSE)="","",VLOOKUP(A780,[6]PRIORIZADOS!$A:$U,21,FALSE)),"")</f>
        <v>Presentar un plan de mejoramiento que de cuenta de las actividades a realizar para subsanar las observaciones, el cual debe allegar a má tardar el 20 de junio de 2025, para ser revisado y aprobado</v>
      </c>
    </row>
    <row r="781" spans="1:21" s="1" customFormat="1" ht="72">
      <c r="A781" s="69">
        <f>IF([6]PRIORIZADOS!A147="","",[6]PRIORIZADOS!A147)</f>
        <v>719</v>
      </c>
      <c r="B781" s="70">
        <f>IFERROR(IF(VLOOKUP(A781,[6]PRIORIZADOS!$A:$B,2,FALSE)="","",VLOOKUP(A781,[6]PRIORIZADOS!$A:$B,2,FALSE)),"")</f>
        <v>16</v>
      </c>
      <c r="C781" s="11" t="str">
        <f>IFERROR(IF(VLOOKUP(A781,[6]PRIORIZADOS!$A:$C,3,FALSE)="","",VLOOKUP(A781,[6]PRIORIZADOS!$A:$C,3,FALSE)),"")</f>
        <v>ENGATIVÁ</v>
      </c>
      <c r="D781" s="11" t="str">
        <f>IFERROR(IF(VLOOKUP(A781,[6]PRIORIZADOS!$A:$D,4,FALSE)="","",VLOOKUP(A781,[6]PRIORIZADOS!$A:$D,4,FALSE)),"")</f>
        <v>PRIVADO</v>
      </c>
      <c r="E781" s="11" t="str">
        <f>IFERROR(IF(VLOOKUP(A781,[6]PRIORIZADOS!$A:$E,5,FALSE)="","",VLOOKUP(A781,[6]PRIORIZADOS!$A:$E,5,FALSE)),"")</f>
        <v>EPBM</v>
      </c>
      <c r="F781" s="11" t="str">
        <f>IFERROR(IF(VLOOKUP(A781,[6]PRIORIZADOS!$A:$F,6,FALSE)="","",VLOOKUP(A781,[6]PRIORIZADOS!$A:$F,6,FALSE)),"")</f>
        <v>COLEGIO_MAYOR_DE_ENGATIVA</v>
      </c>
      <c r="G781" s="11" t="str">
        <f>IFERROR(IF(VLOOKUP(A781,[6]PRIORIZADOS!$A:$G,7,FALSE)="","",VLOOKUP(A781,[6]PRIORIZADOS!$A:$G,7,FALSE)),"")</f>
        <v>COLEGIO_MAYOR_DE_ENGATIVA</v>
      </c>
      <c r="H781" s="11" t="str">
        <f>IFERROR(IF(VLOOKUP(A781,[6]PRIORIZADOS!$A:$H,8,FALSE)="","",VLOOKUP(A781,[6]PRIORIZADOS!$A:$H,8,FALSE)),"")</f>
        <v>Autoevaluación Institucional y Pruebas SABER 11</v>
      </c>
      <c r="I781" s="11" t="str">
        <f>IFERROR(IF(VLOOKUP(A781,[6]PRIORIZADOS!$A:$I,9,FALSE)="","",VLOOKUP(A781,[6]PRIORIZADOS!$A:$I,9,FALSE)),"")</f>
        <v>SEGUIMIENTO_Y_SUPERVISIÓN.</v>
      </c>
      <c r="J781" s="11" t="str">
        <f>IFERROR(IF(VLOOKUP(A781,[6]PRIORIZADOS!$A:$J,10,FALSE)="","",VLOOKUP(A781,[6]PRIORIZADOS!$A:$J,10,FALSE)),"")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81" s="11" t="str">
        <f>IFERROR(IF(VLOOKUP(A781,[6]PRIORIZADOS!$A:$K,11,FALSE)="","",VLOOKUP(A781,[6]PRIORIZADOS!$A:$K,11,FALSE)),"")</f>
        <v>MÓNICA JANNETH RAMÍREZ MORENO</v>
      </c>
      <c r="L781" s="11" t="str">
        <f>IFERROR(IF(VLOOKUP(A781,[6]PRIORIZADOS!$A:$L,12,FALSE)="","",VLOOKUP(A781,[6]PRIORIZADOS!$A:$L,12,FALSE)),"")</f>
        <v>ANA MARÍA CASAS SANABRIA</v>
      </c>
      <c r="M781" s="71">
        <f>IFERROR(IF(VLOOKUP(A781,[6]PRIORIZADOS!$A:$M,13,FALSE)="","",VLOOKUP(A781,[6]PRIORIZADOS!$A:$M,13,FALSE)),"")</f>
        <v>45814</v>
      </c>
      <c r="N781" s="139">
        <f>IFERROR(IF(VLOOKUP(A781,[6]PRIORIZADOS!$A:$N,14,FALSE)="","",VLOOKUP(A781,[6]PRIORIZADOS!$A:$N,14,FALSE)),"")</f>
        <v>45814</v>
      </c>
      <c r="O781" s="139">
        <f>IFERROR(IF(VLOOKUP(A781,[6]PRIORIZADOS!$A:$O,15,FALSE)="","",VLOOKUP(A781,[6]PRIORIZADOS!$A:$O,15,FALSE)),"")</f>
        <v>45814</v>
      </c>
      <c r="P781" s="11" t="str">
        <f>IFERROR(IF(VLOOKUP(A781,[6]PRIORIZADOS!$A:$P,16,FALSE)="","",VLOOKUP(A781,[6]PRIORIZADOS!$A:$P,16,FALSE)),"")</f>
        <v>Visitas de evaluación con fines de seguimiento</v>
      </c>
      <c r="Q781" s="121" t="s">
        <v>145</v>
      </c>
      <c r="R781" s="11" t="str">
        <f>IFERROR(IF(VLOOKUP(A781,[6]PRIORIZADOS!$A:$R,18,FALSE)="","",VLOOKUP(A781,[6]PRIORIZADOS!$A:$R,18,FALSE)),"")</f>
        <v>Actualmente tiene 1 solo estudiante diagnosticado con discapacidad y presenta el documento PIAR diligenciado aunque sin firmas de los padres de familia</v>
      </c>
      <c r="S781" s="11" t="str">
        <f>IFERROR(IF(VLOOKUP(A781,[6]PRIORIZADOS!$A:$S,19,FALSE)="","",VLOOKUP(A781,[6]PRIORIZADOS!$A:$S,19,FALSE)),"")</f>
        <v xml:space="preserve">El PIAR diseñado debe estar debidamente suscrito por los padres y los docentes, de la cual se debe entregar copia a los padres. </v>
      </c>
      <c r="T781" s="70" t="str">
        <f>IFERROR(IF(VLOOKUP(A781,[6]PRIORIZADOS!$A:$T,20,FALSE)="","",VLOOKUP(A781,[6]PRIORIZADOS!$A:$T,20,FALSE)),"")</f>
        <v>Si</v>
      </c>
      <c r="U781" s="11" t="str">
        <f>IFERROR(IF(VLOOKUP(A781,[6]PRIORIZADOS!$A:$U,21,FALSE)="","",VLOOKUP(A781,[6]PRIORIZADOS!$A:$U,21,FALSE)),"")</f>
        <v>Presentar un plan de mejoramiento que de cuenta de las actividades a realizar para subsanar las observaciones, el cual debe allegar a má tardar el 20 de junio de 2025, para ser revisado y aprobado</v>
      </c>
    </row>
    <row r="782" spans="1:21" s="1" customFormat="1" ht="84">
      <c r="A782" s="69">
        <f>IF([6]PRIORIZADOS!A148="","",[6]PRIORIZADOS!A148)</f>
        <v>720</v>
      </c>
      <c r="B782" s="70">
        <f>IFERROR(IF(VLOOKUP(A782,[6]PRIORIZADOS!$A:$B,2,FALSE)="","",VLOOKUP(A782,[6]PRIORIZADOS!$A:$B,2,FALSE)),"")</f>
        <v>16</v>
      </c>
      <c r="C782" s="11" t="str">
        <f>IFERROR(IF(VLOOKUP(A782,[6]PRIORIZADOS!$A:$C,3,FALSE)="","",VLOOKUP(A782,[6]PRIORIZADOS!$A:$C,3,FALSE)),"")</f>
        <v>ENGATIVÁ</v>
      </c>
      <c r="D782" s="11" t="str">
        <f>IFERROR(IF(VLOOKUP(A782,[6]PRIORIZADOS!$A:$D,4,FALSE)="","",VLOOKUP(A782,[6]PRIORIZADOS!$A:$D,4,FALSE)),"")</f>
        <v>PRIVADO</v>
      </c>
      <c r="E782" s="11" t="str">
        <f>IFERROR(IF(VLOOKUP(A782,[6]PRIORIZADOS!$A:$E,5,FALSE)="","",VLOOKUP(A782,[6]PRIORIZADOS!$A:$E,5,FALSE)),"")</f>
        <v>EPBM</v>
      </c>
      <c r="F782" s="11" t="str">
        <f>IFERROR(IF(VLOOKUP(A782,[6]PRIORIZADOS!$A:$F,6,FALSE)="","",VLOOKUP(A782,[6]PRIORIZADOS!$A:$F,6,FALSE)),"")</f>
        <v>COLEGIO_MAYOR_DE_ENGATIVA</v>
      </c>
      <c r="G782" s="11" t="str">
        <f>IFERROR(IF(VLOOKUP(A782,[6]PRIORIZADOS!$A:$G,7,FALSE)="","",VLOOKUP(A782,[6]PRIORIZADOS!$A:$G,7,FALSE)),"")</f>
        <v>COLEGIO_MAYOR_DE_ENGATIVA</v>
      </c>
      <c r="H782" s="11" t="str">
        <f>IFERROR(IF(VLOOKUP(A782,[6]PRIORIZADOS!$A:$H,8,FALSE)="","",VLOOKUP(A782,[6]PRIORIZADOS!$A:$H,8,FALSE)),"")</f>
        <v>Autoevaluación Institucional y Pruebas SABER 11</v>
      </c>
      <c r="I782" s="11" t="str">
        <f>IFERROR(IF(VLOOKUP(A782,[6]PRIORIZADOS!$A:$I,9,FALSE)="","",VLOOKUP(A782,[6]PRIORIZADOS!$A:$I,9,FALSE)),"")</f>
        <v>EVALUACIÓN_CON_FINES_DE_MEJORAMIENTO.</v>
      </c>
      <c r="J782" s="11" t="str">
        <f>IFERROR(IF(VLOOKUP(A782,[6]PRIORIZADOS!$A:$J,10,FALSE)="","",VLOOKUP(A782,[6]PRIORIZADOS!$A:$J,10,FALSE)),"")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82" s="11" t="str">
        <f>IFERROR(IF(VLOOKUP(A782,[6]PRIORIZADOS!$A:$K,11,FALSE)="","",VLOOKUP(A782,[6]PRIORIZADOS!$A:$K,11,FALSE)),"")</f>
        <v>MÓNICA JANNETH RAMÍREZ MORENO</v>
      </c>
      <c r="L782" s="11" t="str">
        <f>IFERROR(IF(VLOOKUP(A782,[6]PRIORIZADOS!$A:$L,12,FALSE)="","",VLOOKUP(A782,[6]PRIORIZADOS!$A:$L,12,FALSE)),"")</f>
        <v>ANA MARÍA CASAS SANABRIA</v>
      </c>
      <c r="M782" s="71">
        <f>IFERROR(IF(VLOOKUP(A782,[6]PRIORIZADOS!$A:$M,13,FALSE)="","",VLOOKUP(A782,[6]PRIORIZADOS!$A:$M,13,FALSE)),"")</f>
        <v>45814</v>
      </c>
      <c r="N782" s="139">
        <f>IFERROR(IF(VLOOKUP(A782,[6]PRIORIZADOS!$A:$N,14,FALSE)="","",VLOOKUP(A782,[6]PRIORIZADOS!$A:$N,14,FALSE)),"")</f>
        <v>45814</v>
      </c>
      <c r="O782" s="139">
        <f>IFERROR(IF(VLOOKUP(A782,[6]PRIORIZADOS!$A:$O,15,FALSE)="","",VLOOKUP(A782,[6]PRIORIZADOS!$A:$O,15,FALSE)),"")</f>
        <v>45814</v>
      </c>
      <c r="P782" s="11" t="str">
        <f>IFERROR(IF(VLOOKUP(A782,[6]PRIORIZADOS!$A:$P,16,FALSE)="","",VLOOKUP(A782,[6]PRIORIZADOS!$A:$P,16,FALSE)),"")</f>
        <v>Visitas de evaluación con fines de mejoramiento</v>
      </c>
      <c r="Q782" s="121" t="s">
        <v>145</v>
      </c>
      <c r="R782" s="11" t="str">
        <f>IFERROR(IF(VLOOKUP(A782,[6]PRIORIZADOS!$A:$R,18,FALSE)="","",VLOOKUP(A782,[6]PRIORIZADOS!$A:$R,18,FALSE)),"")</f>
        <v>La actualización del manual se realiza cada dos años y no hay evidencia de participación de estudiantes y padres de familia. Contemplan la ruta de atencion integral y los protocolos, sin embargo, no estan actualizados</v>
      </c>
      <c r="S782" s="11" t="str">
        <f>IFERROR(IF(VLOOKUP(A782,[6]PRIORIZADOS!$A:$S,19,FALSE)="","",VLOOKUP(A782,[6]PRIORIZADOS!$A:$S,19,FALSE)),"")</f>
        <v>Actualizar el Manual de convivencia teniendo en cuenta las observaciones realizadas de participación de comunidad educativa, rutas de atención y los protocolos, el proceso de admisión y matrícula</v>
      </c>
      <c r="T782" s="70" t="str">
        <f>IFERROR(IF(VLOOKUP(A782,[6]PRIORIZADOS!$A:$T,20,FALSE)="","",VLOOKUP(A782,[6]PRIORIZADOS!$A:$T,20,FALSE)),"")</f>
        <v>Si</v>
      </c>
      <c r="U782" s="11" t="str">
        <f>IFERROR(IF(VLOOKUP(A782,[6]PRIORIZADOS!$A:$U,21,FALSE)="","",VLOOKUP(A782,[6]PRIORIZADOS!$A:$U,21,FALSE)),"")</f>
        <v>Presentar un plan de mejoramiento que de cuenta de las actividades a realizar para subsanar las observaciones, el cual debe allegar a má tardar el 20 de junio de 2025, para ser revisado y aprobado</v>
      </c>
    </row>
    <row r="783" spans="1:21" s="1" customFormat="1" ht="60">
      <c r="A783" s="69">
        <f>IF([6]PRIORIZADOS!A149="","",[6]PRIORIZADOS!A149)</f>
        <v>721</v>
      </c>
      <c r="B783" s="70">
        <f>IFERROR(IF(VLOOKUP(A783,[6]PRIORIZADOS!$A:$B,2,FALSE)="","",VLOOKUP(A783,[6]PRIORIZADOS!$A:$B,2,FALSE)),"")</f>
        <v>16</v>
      </c>
      <c r="C783" s="11" t="str">
        <f>IFERROR(IF(VLOOKUP(A783,[6]PRIORIZADOS!$A:$C,3,FALSE)="","",VLOOKUP(A783,[6]PRIORIZADOS!$A:$C,3,FALSE)),"")</f>
        <v>ENGATIVÁ</v>
      </c>
      <c r="D783" s="11" t="str">
        <f>IFERROR(IF(VLOOKUP(A783,[6]PRIORIZADOS!$A:$D,4,FALSE)="","",VLOOKUP(A783,[6]PRIORIZADOS!$A:$D,4,FALSE)),"")</f>
        <v>PRIVADO</v>
      </c>
      <c r="E783" s="11" t="str">
        <f>IFERROR(IF(VLOOKUP(A783,[6]PRIORIZADOS!$A:$E,5,FALSE)="","",VLOOKUP(A783,[6]PRIORIZADOS!$A:$E,5,FALSE)),"")</f>
        <v>EPBM</v>
      </c>
      <c r="F783" s="11" t="str">
        <f>IFERROR(IF(VLOOKUP(A783,[6]PRIORIZADOS!$A:$F,6,FALSE)="","",VLOOKUP(A783,[6]PRIORIZADOS!$A:$F,6,FALSE)),"")</f>
        <v>COLEGIO_MAYOR_DE_ENGATIVA</v>
      </c>
      <c r="G783" s="11" t="str">
        <f>IFERROR(IF(VLOOKUP(A783,[6]PRIORIZADOS!$A:$G,7,FALSE)="","",VLOOKUP(A783,[6]PRIORIZADOS!$A:$G,7,FALSE)),"")</f>
        <v>COLEGIO_MAYOR_DE_ENGATIVA</v>
      </c>
      <c r="H783" s="11" t="str">
        <f>IFERROR(IF(VLOOKUP(A783,[6]PRIORIZADOS!$A:$H,8,FALSE)="","",VLOOKUP(A783,[6]PRIORIZADOS!$A:$H,8,FALSE)),"")</f>
        <v>Autoevaluación Institucional y Pruebas SABER 11</v>
      </c>
      <c r="I783" s="11" t="str">
        <f>IFERROR(IF(VLOOKUP(A783,[6]PRIORIZADOS!$A:$I,9,FALSE)="","",VLOOKUP(A783,[6]PRIORIZADOS!$A:$I,9,FALSE)),"")</f>
        <v>EVALUACIÓN_CON_FINES_DE_MEJORAMIENTO.</v>
      </c>
      <c r="J783" s="11" t="str">
        <f>IFERROR(IF(VLOOKUP(A783,[6]PRIORIZADOS!$A:$J,10,FALSE)="","",VLOOKUP(A783,[6]PRIORIZADOS!$A:$J,10,FALSE)),"")</f>
        <v>Revisar la actualización, socialización e implementación del Sistema Institucional de Evaluación de Estudiantes - SIEE, en articulación con la actualización del PEI y la normatividad vigente.</v>
      </c>
      <c r="K783" s="11" t="str">
        <f>IFERROR(IF(VLOOKUP(A783,[6]PRIORIZADOS!$A:$K,11,FALSE)="","",VLOOKUP(A783,[6]PRIORIZADOS!$A:$K,11,FALSE)),"")</f>
        <v>MÓNICA JANNETH RAMÍREZ MORENO</v>
      </c>
      <c r="L783" s="11" t="str">
        <f>IFERROR(IF(VLOOKUP(A783,[6]PRIORIZADOS!$A:$L,12,FALSE)="","",VLOOKUP(A783,[6]PRIORIZADOS!$A:$L,12,FALSE)),"")</f>
        <v>ANA MARÍA CASAS SANABRIA</v>
      </c>
      <c r="M783" s="71">
        <f>IFERROR(IF(VLOOKUP(A783,[6]PRIORIZADOS!$A:$M,13,FALSE)="","",VLOOKUP(A783,[6]PRIORIZADOS!$A:$M,13,FALSE)),"")</f>
        <v>45814</v>
      </c>
      <c r="N783" s="139">
        <f>IFERROR(IF(VLOOKUP(A783,[6]PRIORIZADOS!$A:$N,14,FALSE)="","",VLOOKUP(A783,[6]PRIORIZADOS!$A:$N,14,FALSE)),"")</f>
        <v>45814</v>
      </c>
      <c r="O783" s="139">
        <f>IFERROR(IF(VLOOKUP(A783,[6]PRIORIZADOS!$A:$O,15,FALSE)="","",VLOOKUP(A783,[6]PRIORIZADOS!$A:$O,15,FALSE)),"")</f>
        <v>45814</v>
      </c>
      <c r="P783" s="11" t="str">
        <f>IFERROR(IF(VLOOKUP(A783,[6]PRIORIZADOS!$A:$P,16,FALSE)="","",VLOOKUP(A783,[6]PRIORIZADOS!$A:$P,16,FALSE)),"")</f>
        <v>Visitas de evaluación con fines de mejoramiento</v>
      </c>
      <c r="Q783" s="121" t="s">
        <v>145</v>
      </c>
      <c r="R783" s="11" t="str">
        <f>IFERROR(IF(VLOOKUP(A783,[6]PRIORIZADOS!$A:$R,18,FALSE)="","",VLOOKUP(A783,[6]PRIORIZADOS!$A:$R,18,FALSE)),"")</f>
        <v>El colegio cuenta con in SIEE socializado con padres de familia  través de pagina web, realizan un corte en cada periodo escolar para preinformar el desempeño de los estudiantes</v>
      </c>
      <c r="S783" s="11" t="str">
        <f>IFERROR(IF(VLOOKUP(A783,[6]PRIORIZADOS!$A:$S,19,FALSE)="","",VLOOKUP(A783,[6]PRIORIZADOS!$A:$S,19,FALSE)),"")</f>
        <v xml:space="preserve">Registrar en el SIEE el procedimiento de verificación de asistencia y genetar estrategias de atención para casos especiales y la estrategia de refuerzo escolar </v>
      </c>
      <c r="T783" s="70" t="str">
        <f>IFERROR(IF(VLOOKUP(A783,[6]PRIORIZADOS!$A:$T,20,FALSE)="","",VLOOKUP(A783,[6]PRIORIZADOS!$A:$T,20,FALSE)),"")</f>
        <v>Si</v>
      </c>
      <c r="U783" s="11" t="str">
        <f>IFERROR(IF(VLOOKUP(A783,[6]PRIORIZADOS!$A:$U,21,FALSE)="","",VLOOKUP(A783,[6]PRIORIZADOS!$A:$U,21,FALSE)),"")</f>
        <v>Presentar un plan de mejoramiento que de cuenta de las actividades a realizar para subsanar las observaciones, el cual debe allegar a má tardar el 20 de junio de 2025, para ser revisado y aprobado</v>
      </c>
    </row>
    <row r="784" spans="1:21" s="1" customFormat="1" ht="48">
      <c r="A784" s="69">
        <f>IF([6]PRIORIZADOS!A150="","",[6]PRIORIZADOS!A150)</f>
        <v>722</v>
      </c>
      <c r="B784" s="70">
        <f>IFERROR(IF(VLOOKUP(A784,[6]PRIORIZADOS!$A:$B,2,FALSE)="","",VLOOKUP(A784,[6]PRIORIZADOS!$A:$B,2,FALSE)),"")</f>
        <v>16</v>
      </c>
      <c r="C784" s="11" t="str">
        <f>IFERROR(IF(VLOOKUP(A784,[6]PRIORIZADOS!$A:$C,3,FALSE)="","",VLOOKUP(A784,[6]PRIORIZADOS!$A:$C,3,FALSE)),"")</f>
        <v>ENGATIVÁ</v>
      </c>
      <c r="D784" s="11" t="str">
        <f>IFERROR(IF(VLOOKUP(A784,[6]PRIORIZADOS!$A:$D,4,FALSE)="","",VLOOKUP(A784,[6]PRIORIZADOS!$A:$D,4,FALSE)),"")</f>
        <v>PRIVADO</v>
      </c>
      <c r="E784" s="11" t="str">
        <f>IFERROR(IF(VLOOKUP(A784,[6]PRIORIZADOS!$A:$E,5,FALSE)="","",VLOOKUP(A784,[6]PRIORIZADOS!$A:$E,5,FALSE)),"")</f>
        <v>EPBM</v>
      </c>
      <c r="F784" s="11" t="str">
        <f>IFERROR(IF(VLOOKUP(A784,[6]PRIORIZADOS!$A:$F,6,FALSE)="","",VLOOKUP(A784,[6]PRIORIZADOS!$A:$F,6,FALSE)),"")</f>
        <v>COLEGIO_MAYOR_DE_ENGATIVA</v>
      </c>
      <c r="G784" s="11" t="str">
        <f>IFERROR(IF(VLOOKUP(A784,[6]PRIORIZADOS!$A:$G,7,FALSE)="","",VLOOKUP(A784,[6]PRIORIZADOS!$A:$G,7,FALSE)),"")</f>
        <v>COLEGIO_MAYOR_DE_ENGATIVA</v>
      </c>
      <c r="H784" s="11" t="str">
        <f>IFERROR(IF(VLOOKUP(A784,[6]PRIORIZADOS!$A:$H,8,FALSE)="","",VLOOKUP(A784,[6]PRIORIZADOS!$A:$H,8,FALSE)),"")</f>
        <v>Autoevaluación Institucional y Pruebas SABER 11</v>
      </c>
      <c r="I784" s="11" t="str">
        <f>IFERROR(IF(VLOOKUP(A784,[6]PRIORIZADOS!$A:$I,9,FALSE)="","",VLOOKUP(A784,[6]PRIORIZADOS!$A:$I,9,FALSE)),"")</f>
        <v>EVALUACIÓN_CON_FINES_DE_MEJORAMIENTO.</v>
      </c>
      <c r="J784" s="11" t="str">
        <f>IFERROR(IF(VLOOKUP(A784,[6]PRIORIZADOS!$A:$J,10,FALSE)="","",VLOOKUP(A784,[6]PRIORIZADOS!$A:$J,10,FALSE)),"")</f>
        <v>Revisar el calendario escolar, jornada escolar, la intensidad horaria mínima anual en cada nivel y las modificaciones que se realicen al mismo, de acuerdo con lo previsto en la normatividad vigente.</v>
      </c>
      <c r="K784" s="11" t="str">
        <f>IFERROR(IF(VLOOKUP(A784,[6]PRIORIZADOS!$A:$K,11,FALSE)="","",VLOOKUP(A784,[6]PRIORIZADOS!$A:$K,11,FALSE)),"")</f>
        <v>MÓNICA JANNETH RAMÍREZ MORENO</v>
      </c>
      <c r="L784" s="11" t="str">
        <f>IFERROR(IF(VLOOKUP(A784,[6]PRIORIZADOS!$A:$L,12,FALSE)="","",VLOOKUP(A784,[6]PRIORIZADOS!$A:$L,12,FALSE)),"")</f>
        <v>ANA MARÍA CASAS SANABRIA</v>
      </c>
      <c r="M784" s="71">
        <f>IFERROR(IF(VLOOKUP(A784,[6]PRIORIZADOS!$A:$M,13,FALSE)="","",VLOOKUP(A784,[6]PRIORIZADOS!$A:$M,13,FALSE)),"")</f>
        <v>45814</v>
      </c>
      <c r="N784" s="139">
        <f>IFERROR(IF(VLOOKUP(A784,[6]PRIORIZADOS!$A:$N,14,FALSE)="","",VLOOKUP(A784,[6]PRIORIZADOS!$A:$N,14,FALSE)),"")</f>
        <v>45814</v>
      </c>
      <c r="O784" s="139">
        <f>IFERROR(IF(VLOOKUP(A784,[6]PRIORIZADOS!$A:$O,15,FALSE)="","",VLOOKUP(A784,[6]PRIORIZADOS!$A:$O,15,FALSE)),"")</f>
        <v>45814</v>
      </c>
      <c r="P784" s="11" t="str">
        <f>IFERROR(IF(VLOOKUP(A784,[6]PRIORIZADOS!$A:$P,16,FALSE)="","",VLOOKUP(A784,[6]PRIORIZADOS!$A:$P,16,FALSE)),"")</f>
        <v>Visitas de evaluación con fines de mejoramiento</v>
      </c>
      <c r="Q784" s="121" t="s">
        <v>145</v>
      </c>
      <c r="R784" s="11" t="str">
        <f>IFERROR(IF(VLOOKUP(A784,[6]PRIORIZADOS!$A:$R,18,FALSE)="","",VLOOKUP(A784,[6]PRIORIZADOS!$A:$R,18,FALSE)),"")</f>
        <v xml:space="preserve">El colegio tiene las intensidades minimas así: preescolar se  950 horas, Primaria: 1140 horas, secundaria y media: 1266 horas, </v>
      </c>
      <c r="S784" s="11" t="str">
        <f>IFERROR(IF(VLOOKUP(A784,[6]PRIORIZADOS!$A:$S,19,FALSE)="","",VLOOKUP(A784,[6]PRIORIZADOS!$A:$S,19,FALSE)),"")</f>
        <v>Se cumple con la intensidad minima legal vigente para cada nivel ofrecido</v>
      </c>
      <c r="T784" s="70" t="str">
        <f>IFERROR(IF(VLOOKUP(A784,[6]PRIORIZADOS!$A:$T,20,FALSE)="","",VLOOKUP(A784,[6]PRIORIZADOS!$A:$T,20,FALSE)),"")</f>
        <v>No</v>
      </c>
      <c r="U784" s="11" t="str">
        <f>IFERROR(IF(VLOOKUP(A784,[6]PRIORIZADOS!$A:$U,21,FALSE)="","",VLOOKUP(A784,[6]PRIORIZADOS!$A:$U,21,FALSE)),"")</f>
        <v>Se verificará cumplimiento del calendario académico según lo determinado</v>
      </c>
    </row>
    <row r="785" spans="1:21" s="1" customFormat="1" ht="96">
      <c r="A785" s="69">
        <f>IF([6]PRIORIZADOS!A151="","",[6]PRIORIZADOS!A151)</f>
        <v>723</v>
      </c>
      <c r="B785" s="70">
        <f>IFERROR(IF(VLOOKUP(A785,[6]PRIORIZADOS!$A:$B,2,FALSE)="","",VLOOKUP(A785,[6]PRIORIZADOS!$A:$B,2,FALSE)),"")</f>
        <v>16</v>
      </c>
      <c r="C785" s="11" t="str">
        <f>IFERROR(IF(VLOOKUP(A785,[6]PRIORIZADOS!$A:$C,3,FALSE)="","",VLOOKUP(A785,[6]PRIORIZADOS!$A:$C,3,FALSE)),"")</f>
        <v>ENGATIVÁ</v>
      </c>
      <c r="D785" s="11" t="str">
        <f>IFERROR(IF(VLOOKUP(A785,[6]PRIORIZADOS!$A:$D,4,FALSE)="","",VLOOKUP(A785,[6]PRIORIZADOS!$A:$D,4,FALSE)),"")</f>
        <v>PRIVADO</v>
      </c>
      <c r="E785" s="11" t="str">
        <f>IFERROR(IF(VLOOKUP(A785,[6]PRIORIZADOS!$A:$E,5,FALSE)="","",VLOOKUP(A785,[6]PRIORIZADOS!$A:$E,5,FALSE)),"")</f>
        <v>EPBM</v>
      </c>
      <c r="F785" s="11" t="str">
        <f>IFERROR(IF(VLOOKUP(A785,[6]PRIORIZADOS!$A:$F,6,FALSE)="","",VLOOKUP(A785,[6]PRIORIZADOS!$A:$F,6,FALSE)),"")</f>
        <v>COLEGIO_MAYOR_DE_ENGATIVA</v>
      </c>
      <c r="G785" s="11" t="str">
        <f>IFERROR(IF(VLOOKUP(A785,[6]PRIORIZADOS!$A:$G,7,FALSE)="","",VLOOKUP(A785,[6]PRIORIZADOS!$A:$G,7,FALSE)),"")</f>
        <v>COLEGIO_MAYOR_DE_ENGATIVA</v>
      </c>
      <c r="H785" s="11" t="str">
        <f>IFERROR(IF(VLOOKUP(A785,[6]PRIORIZADOS!$A:$H,8,FALSE)="","",VLOOKUP(A785,[6]PRIORIZADOS!$A:$H,8,FALSE)),"")</f>
        <v>Autoevaluación Institucional y Pruebas SABER 11</v>
      </c>
      <c r="I785" s="11" t="str">
        <f>IFERROR(IF(VLOOKUP(A785,[6]PRIORIZADOS!$A:$I,9,FALSE)="","",VLOOKUP(A785,[6]PRIORIZADOS!$A:$I,9,FALSE)),"")</f>
        <v>EVALUACIÓN_CON_FINES_DE_MEJORAMIENTO.</v>
      </c>
      <c r="J785" s="11" t="str">
        <f>IFERROR(IF(VLOOKUP(A785,[6]PRIORIZADOS!$A:$J,10,FALSE)="","",VLOOKUP(A785,[6]PRIORIZADOS!$A:$J,10,FALSE)),"")</f>
        <v>Verificar el funcionamiento del Gobierno Escolar e instancias de participación con base en la información sobre conformación reportada por la institución educativa.</v>
      </c>
      <c r="K785" s="11" t="str">
        <f>IFERROR(IF(VLOOKUP(A785,[6]PRIORIZADOS!$A:$K,11,FALSE)="","",VLOOKUP(A785,[6]PRIORIZADOS!$A:$K,11,FALSE)),"")</f>
        <v>MÓNICA JANNETH RAMÍREZ MORENO</v>
      </c>
      <c r="L785" s="11" t="str">
        <f>IFERROR(IF(VLOOKUP(A785,[6]PRIORIZADOS!$A:$L,12,FALSE)="","",VLOOKUP(A785,[6]PRIORIZADOS!$A:$L,12,FALSE)),"")</f>
        <v>ANA MARÍA CASAS SANABRIA</v>
      </c>
      <c r="M785" s="71">
        <f>IFERROR(IF(VLOOKUP(A785,[6]PRIORIZADOS!$A:$M,13,FALSE)="","",VLOOKUP(A785,[6]PRIORIZADOS!$A:$M,13,FALSE)),"")</f>
        <v>45814</v>
      </c>
      <c r="N785" s="139">
        <f>IFERROR(IF(VLOOKUP(A785,[6]PRIORIZADOS!$A:$N,14,FALSE)="","",VLOOKUP(A785,[6]PRIORIZADOS!$A:$N,14,FALSE)),"")</f>
        <v>45814</v>
      </c>
      <c r="O785" s="139">
        <f>IFERROR(IF(VLOOKUP(A785,[6]PRIORIZADOS!$A:$O,15,FALSE)="","",VLOOKUP(A785,[6]PRIORIZADOS!$A:$O,15,FALSE)),"")</f>
        <v>45814</v>
      </c>
      <c r="P785" s="11" t="str">
        <f>IFERROR(IF(VLOOKUP(A785,[6]PRIORIZADOS!$A:$P,16,FALSE)="","",VLOOKUP(A785,[6]PRIORIZADOS!$A:$P,16,FALSE)),"")</f>
        <v>Visitas de evaluación con fines de mejoramiento</v>
      </c>
      <c r="Q785" s="121" t="s">
        <v>145</v>
      </c>
      <c r="R785" s="11" t="str">
        <f>IFERROR(IF(VLOOKUP(A785,[6]PRIORIZADOS!$A:$R,18,FALSE)="","",VLOOKUP(A785,[6]PRIORIZADOS!$A:$R,18,FALSE)),"")</f>
        <v xml:space="preserve">No se presentaron actas de funcionamiento del Consejo Academico ni otras instancias de participación </v>
      </c>
      <c r="S785" s="11" t="str">
        <f>IFERROR(IF(VLOOKUP(A785,[6]PRIORIZADOS!$A:$S,19,FALSE)="","",VLOOKUP(A785,[6]PRIORIZADOS!$A:$S,19,FALSE)),"")</f>
        <v>Presentar las actas del Consejo Academico, de las comisiones de evaluaciòn, Comite de Convivencia Escolar y demàs instancias de participacion que den cuenta de su funcionamiento. 
Revisar las funciones propias de cada estamento y definir el cronograma de reuniones</v>
      </c>
      <c r="T785" s="70" t="str">
        <f>IFERROR(IF(VLOOKUP(A785,[6]PRIORIZADOS!$A:$T,20,FALSE)="","",VLOOKUP(A785,[6]PRIORIZADOS!$A:$T,20,FALSE)),"")</f>
        <v>Si</v>
      </c>
      <c r="U785" s="11" t="str">
        <f>IFERROR(IF(VLOOKUP(A785,[6]PRIORIZADOS!$A:$U,21,FALSE)="","",VLOOKUP(A785,[6]PRIORIZADOS!$A:$U,21,FALSE)),"")</f>
        <v>Presentar un plan de mejoramiento que de cuenta de las actividades a realizar para subsanar las observaciones, el cual debe allegar a má tardar el 20 de junio de 2025, para ser revisado y aprobado</v>
      </c>
    </row>
    <row r="786" spans="1:21" s="1" customFormat="1" ht="118.5">
      <c r="A786" s="69">
        <f>IF([6]PRIORIZADOS!A152="","",[6]PRIORIZADOS!A152)</f>
        <v>724</v>
      </c>
      <c r="B786" s="70">
        <f>IFERROR(IF(VLOOKUP(A786,[6]PRIORIZADOS!$A:$B,2,FALSE)="","",VLOOKUP(A786,[6]PRIORIZADOS!$A:$B,2,FALSE)),"")</f>
        <v>16</v>
      </c>
      <c r="C786" s="11" t="str">
        <f>IFERROR(IF(VLOOKUP(A786,[6]PRIORIZADOS!$A:$C,3,FALSE)="","",VLOOKUP(A786,[6]PRIORIZADOS!$A:$C,3,FALSE)),"")</f>
        <v>ENGATIVÁ</v>
      </c>
      <c r="D786" s="11" t="str">
        <f>IFERROR(IF(VLOOKUP(A786,[6]PRIORIZADOS!$A:$D,4,FALSE)="","",VLOOKUP(A786,[6]PRIORIZADOS!$A:$D,4,FALSE)),"")</f>
        <v>PRIVADO</v>
      </c>
      <c r="E786" s="11" t="str">
        <f>IFERROR(IF(VLOOKUP(A786,[6]PRIORIZADOS!$A:$E,5,FALSE)="","",VLOOKUP(A786,[6]PRIORIZADOS!$A:$E,5,FALSE)),"")</f>
        <v>EPBM</v>
      </c>
      <c r="F786" s="11" t="str">
        <f>IFERROR(IF(VLOOKUP(A786,[6]PRIORIZADOS!$A:$F,6,FALSE)="","",VLOOKUP(A786,[6]PRIORIZADOS!$A:$F,6,FALSE)),"")</f>
        <v>COLEGIO_MAYOR_DE_ENGATIVA</v>
      </c>
      <c r="G786" s="11" t="str">
        <f>IFERROR(IF(VLOOKUP(A786,[6]PRIORIZADOS!$A:$G,7,FALSE)="","",VLOOKUP(A786,[6]PRIORIZADOS!$A:$G,7,FALSE)),"")</f>
        <v>COLEGIO_MAYOR_DE_ENGATIVA</v>
      </c>
      <c r="H786" s="11" t="str">
        <f>IFERROR(IF(VLOOKUP(A786,[6]PRIORIZADOS!$A:$H,8,FALSE)="","",VLOOKUP(A786,[6]PRIORIZADOS!$A:$H,8,FALSE)),"")</f>
        <v>Autoevaluación Institucional y Pruebas SABER 11</v>
      </c>
      <c r="I786" s="11" t="str">
        <f>IFERROR(IF(VLOOKUP(A786,[6]PRIORIZADOS!$A:$I,9,FALSE)="","",VLOOKUP(A786,[6]PRIORIZADOS!$A:$I,9,FALSE)),"")</f>
        <v>EVALUACIÓN_CON_FINES_DE_MEJORAMIENTO.</v>
      </c>
      <c r="J786" s="11" t="str">
        <f>IFERROR(IF(VLOOKUP(A786,[6]PRIORIZADOS!$A:$J,10,FALSE)="","",VLOOKUP(A786,[6]PRIORIZADOS!$A:$J,10,FALSE)),"")</f>
        <v>Verificar las condiciones en cuanto a: la estructura administrativa, condiciones de la planta física y medios educativos adecuados.</v>
      </c>
      <c r="K786" s="11" t="str">
        <f>IFERROR(IF(VLOOKUP(A786,[6]PRIORIZADOS!$A:$K,11,FALSE)="","",VLOOKUP(A786,[6]PRIORIZADOS!$A:$K,11,FALSE)),"")</f>
        <v>MÓNICA JANNETH RAMÍREZ MORENO</v>
      </c>
      <c r="L786" s="11" t="str">
        <f>IFERROR(IF(VLOOKUP(A786,[6]PRIORIZADOS!$A:$L,12,FALSE)="","",VLOOKUP(A786,[6]PRIORIZADOS!$A:$L,12,FALSE)),"")</f>
        <v>ANA MARÍA CASAS SANABRIA</v>
      </c>
      <c r="M786" s="71">
        <f>IFERROR(IF(VLOOKUP(A786,[6]PRIORIZADOS!$A:$M,13,FALSE)="","",VLOOKUP(A786,[6]PRIORIZADOS!$A:$M,13,FALSE)),"")</f>
        <v>45814</v>
      </c>
      <c r="N786" s="139">
        <f>IFERROR(IF(VLOOKUP(A786,[6]PRIORIZADOS!$A:$N,14,FALSE)="","",VLOOKUP(A786,[6]PRIORIZADOS!$A:$N,14,FALSE)),"")</f>
        <v>45814</v>
      </c>
      <c r="O786" s="139">
        <f>IFERROR(IF(VLOOKUP(A786,[6]PRIORIZADOS!$A:$O,15,FALSE)="","",VLOOKUP(A786,[6]PRIORIZADOS!$A:$O,15,FALSE)),"")</f>
        <v>45814</v>
      </c>
      <c r="P786" s="11" t="str">
        <f>IFERROR(IF(VLOOKUP(A786,[6]PRIORIZADOS!$A:$P,16,FALSE)="","",VLOOKUP(A786,[6]PRIORIZADOS!$A:$P,16,FALSE)),"")</f>
        <v>Visitas de evaluación con fines de mejoramiento</v>
      </c>
      <c r="Q786" s="121" t="s">
        <v>145</v>
      </c>
      <c r="R786" s="11" t="str">
        <f>IFERROR(IF(VLOOKUP(A786,[6]PRIORIZADOS!$A:$R,18,FALSE)="","",VLOOKUP(A786,[6]PRIORIZADOS!$A:$R,18,FALSE)),"")</f>
        <v>Se verificó la estructura física encontrando espacios suficientes para los estudiantes, faltan oficinas para coordinadores, para educación física utilizan el parque del barrio y deben actualizar una parte de mobiliario de estudiantes</v>
      </c>
      <c r="S786" s="11" t="str">
        <f>IFERROR(IF(VLOOKUP(A786,[6]PRIORIZADOS!$A:$S,19,FALSE)="","",VLOOKUP(A786,[6]PRIORIZADOS!$A:$S,19,FALSE)),"")</f>
        <v>Dotar con mobiliario apropiado para los estudiantes teniendo en cuenta las horas que los ocupan
.Solicitar autorizaciòn del uso del parque a la SED, segùn procedimiento establecido en la guia que se envia por correo electronico.
.El ELIV remitirá la guía para obtener autorización para uso de parques del IDFD y la SED</v>
      </c>
      <c r="T786" s="70" t="str">
        <f>IFERROR(IF(VLOOKUP(A786,[6]PRIORIZADOS!$A:$T,20,FALSE)="","",VLOOKUP(A786,[6]PRIORIZADOS!$A:$T,20,FALSE)),"")</f>
        <v>Si</v>
      </c>
      <c r="U786" s="11" t="str">
        <f>IFERROR(IF(VLOOKUP(A786,[6]PRIORIZADOS!$A:$U,21,FALSE)="","",VLOOKUP(A786,[6]PRIORIZADOS!$A:$U,21,FALSE)),"")</f>
        <v>Presentar un plan de mejoramiento que de cuenta de las actividades a realizar para subsanar las observaciones, el cual debe allegar a má tardar el 20 de junio de 2025, para ser revisado y aprobado</v>
      </c>
    </row>
    <row r="787" spans="1:21" s="1" customFormat="1" ht="84">
      <c r="A787" s="69">
        <f>IF([6]PRIORIZADOS!A153="","",[6]PRIORIZADOS!A153)</f>
        <v>725</v>
      </c>
      <c r="B787" s="70">
        <f>IFERROR(IF(VLOOKUP(A787,[6]PRIORIZADOS!$A:$B,2,FALSE)="","",VLOOKUP(A787,[6]PRIORIZADOS!$A:$B,2,FALSE)),"")</f>
        <v>17</v>
      </c>
      <c r="C787" s="11" t="str">
        <f>IFERROR(IF(VLOOKUP(A787,[6]PRIORIZADOS!$A:$C,3,FALSE)="","",VLOOKUP(A787,[6]PRIORIZADOS!$A:$C,3,FALSE)),"")</f>
        <v>ENGATIVÁ</v>
      </c>
      <c r="D787" s="11" t="str">
        <f>IFERROR(IF(VLOOKUP(A787,[6]PRIORIZADOS!$A:$D,4,FALSE)="","",VLOOKUP(A787,[6]PRIORIZADOS!$A:$D,4,FALSE)),"")</f>
        <v>PRIVADO</v>
      </c>
      <c r="E787" s="11" t="str">
        <f>IFERROR(IF(VLOOKUP(A787,[6]PRIORIZADOS!$A:$E,5,FALSE)="","",VLOOKUP(A787,[6]PRIORIZADOS!$A:$E,5,FALSE)),"")</f>
        <v>EPBM</v>
      </c>
      <c r="F787" s="11" t="str">
        <f>IFERROR(IF(VLOOKUP(A787,[6]PRIORIZADOS!$A:$F,6,FALSE)="","",VLOOKUP(A787,[6]PRIORIZADOS!$A:$F,6,FALSE)),"")</f>
        <v>INSTITUTO_HENAO_Y_ARRUBLA</v>
      </c>
      <c r="G787" s="11" t="str">
        <f>IFERROR(IF(VLOOKUP(A787,[6]PRIORIZADOS!$A:$G,7,FALSE)="","",VLOOKUP(A787,[6]PRIORIZADOS!$A:$G,7,FALSE)),"")</f>
        <v>INSTITUTO_HENAO_Y_ARRUBLA</v>
      </c>
      <c r="H787" s="11" t="str">
        <f>IFERROR(IF(VLOOKUP(A787,[6]PRIORIZADOS!$A:$H,8,FALSE)="","",VLOOKUP(A787,[6]PRIORIZADOS!$A:$H,8,FALSE)),"")</f>
        <v>Autoevaluación Institucional y Pruebas SABER 11</v>
      </c>
      <c r="I787" s="11" t="str">
        <f>IFERROR(IF(VLOOKUP(A787,[6]PRIORIZADOS!$A:$I,9,FALSE)="","",VLOOKUP(A787,[6]PRIORIZADOS!$A:$I,9,FALSE)),"")</f>
        <v>SEGUIMIENTO_Y_SUPERVISIÓN.</v>
      </c>
      <c r="J787" s="11" t="str">
        <f>IFERROR(IF(VLOOKUP(A787,[6]PRIORIZADOS!$A:$J,10,FALSE)="","",VLOOKUP(A787,[6]PRIORIZADOS!$A:$J,10,FALSE)),"")</f>
        <v>Realizar visitas para verificar la información registrada sobre la autoevaluación institucional en el aplicativo EVI, a los establecimientos de educación formal no oficial.</v>
      </c>
      <c r="K787" s="11" t="str">
        <f>IFERROR(IF(VLOOKUP(A787,[6]PRIORIZADOS!$A:$K,11,FALSE)="","",VLOOKUP(A787,[6]PRIORIZADOS!$A:$K,11,FALSE)),"")</f>
        <v>MÓNICA JANNETH RAMÍREZ MORENO</v>
      </c>
      <c r="L787" s="11" t="str">
        <f>IFERROR(IF(VLOOKUP(A787,[6]PRIORIZADOS!$A:$L,12,FALSE)="","",VLOOKUP(A787,[6]PRIORIZADOS!$A:$L,12,FALSE)),"")</f>
        <v>LUZ MERY PARRA NOPE</v>
      </c>
      <c r="M787" s="71">
        <f>IFERROR(IF(VLOOKUP(A787,[6]PRIORIZADOS!$A:$M,13,FALSE)="","",VLOOKUP(A787,[6]PRIORIZADOS!$A:$M,13,FALSE)),"")</f>
        <v>45862</v>
      </c>
      <c r="N787" s="139">
        <f>IFERROR(IF(VLOOKUP(A787,[6]PRIORIZADOS!$A:$N,14,FALSE)="","",VLOOKUP(A787,[6]PRIORIZADOS!$A:$N,14,FALSE)),"")</f>
        <v>45863</v>
      </c>
      <c r="O787" s="139">
        <f>IFERROR(IF(VLOOKUP(A787,[6]PRIORIZADOS!$A:$O,15,FALSE)="","",VLOOKUP(A787,[6]PRIORIZADOS!$A:$O,15,FALSE)),"")</f>
        <v>45863</v>
      </c>
      <c r="P787" s="11" t="str">
        <f>IFERROR(IF(VLOOKUP(A787,[6]PRIORIZADOS!$A:$P,16,FALSE)="","",VLOOKUP(A787,[6]PRIORIZADOS!$A:$P,16,FALSE)),"")</f>
        <v>Visitas de evaluación con fines de seguimiento</v>
      </c>
      <c r="Q787" s="107" t="s">
        <v>146</v>
      </c>
      <c r="R787" s="11" t="str">
        <f>IFERROR(IF(VLOOKUP(A787,[6]PRIORIZADOS!$A:$R,18,FALSE)="","",VLOOKUP(A787,[6]PRIORIZADOS!$A:$R,18,FALSE)),"")</f>
        <v>Se realizó verificacion de los ambientes de aprendizaje, medios educativos y espacios administrativos, lúdicos, recreativos y culturales reportados y el registro de la matricula en SIMAT encontrando que no se ha formalizado el convenio para uso del parque</v>
      </c>
      <c r="S787" s="11" t="str">
        <f>IFERROR(IF(VLOOKUP(A787,[6]PRIORIZADOS!$A:$S,19,FALSE)="","",VLOOKUP(A787,[6]PRIORIZADOS!$A:$S,19,FALSE)),"")</f>
        <v>solicitar autorización para uso del parque y formalizar convenio de ambiente compartido según lo establecido en Resolución1326 de 2023</v>
      </c>
      <c r="T787" s="70" t="str">
        <f>IFERROR(IF(VLOOKUP(A787,[6]PRIORIZADOS!$A:$T,20,FALSE)="","",VLOOKUP(A787,[6]PRIORIZADOS!$A:$T,20,FALSE)),"")</f>
        <v>Si</v>
      </c>
      <c r="U787" s="11" t="str">
        <f>IFERROR(IF(VLOOKUP(A787,[6]PRIORIZADOS!$A:$U,21,FALSE)="","",VLOOKUP(A787,[6]PRIORIZADOS!$A:$U,21,FALSE)),"")</f>
        <v>Presentar un plan de mejoramiento que de cuenta de las actividades a realizar para subsanar las observaciones, el cual debe allegar a má tardar el 8 de agosto de 2025, para ser revisado y aprobado</v>
      </c>
    </row>
    <row r="788" spans="1:21" s="1" customFormat="1" ht="60">
      <c r="A788" s="69">
        <f>IF([6]PRIORIZADOS!A154="","",[6]PRIORIZADOS!A154)</f>
        <v>726</v>
      </c>
      <c r="B788" s="70">
        <f>IFERROR(IF(VLOOKUP(A788,[6]PRIORIZADOS!$A:$B,2,FALSE)="","",VLOOKUP(A788,[6]PRIORIZADOS!$A:$B,2,FALSE)),"")</f>
        <v>17</v>
      </c>
      <c r="C788" s="11" t="str">
        <f>IFERROR(IF(VLOOKUP(A788,[6]PRIORIZADOS!$A:$C,3,FALSE)="","",VLOOKUP(A788,[6]PRIORIZADOS!$A:$C,3,FALSE)),"")</f>
        <v>ENGATIVÁ</v>
      </c>
      <c r="D788" s="11" t="str">
        <f>IFERROR(IF(VLOOKUP(A788,[6]PRIORIZADOS!$A:$D,4,FALSE)="","",VLOOKUP(A788,[6]PRIORIZADOS!$A:$D,4,FALSE)),"")</f>
        <v>PRIVADO</v>
      </c>
      <c r="E788" s="11" t="str">
        <f>IFERROR(IF(VLOOKUP(A788,[6]PRIORIZADOS!$A:$E,5,FALSE)="","",VLOOKUP(A788,[6]PRIORIZADOS!$A:$E,5,FALSE)),"")</f>
        <v>EPBM</v>
      </c>
      <c r="F788" s="11" t="str">
        <f>IFERROR(IF(VLOOKUP(A788,[6]PRIORIZADOS!$A:$F,6,FALSE)="","",VLOOKUP(A788,[6]PRIORIZADOS!$A:$F,6,FALSE)),"")</f>
        <v>INSTITUTO_HENAO_Y_ARRUBLA</v>
      </c>
      <c r="G788" s="11" t="str">
        <f>IFERROR(IF(VLOOKUP(A788,[6]PRIORIZADOS!$A:$G,7,FALSE)="","",VLOOKUP(A788,[6]PRIORIZADOS!$A:$G,7,FALSE)),"")</f>
        <v>INSTITUTO_HENAO_Y_ARRUBLA</v>
      </c>
      <c r="H788" s="11" t="str">
        <f>IFERROR(IF(VLOOKUP(A788,[6]PRIORIZADOS!$A:$H,8,FALSE)="","",VLOOKUP(A788,[6]PRIORIZADOS!$A:$H,8,FALSE)),"")</f>
        <v>Autoevaluación Institucional y Pruebas SABER 11</v>
      </c>
      <c r="I788" s="11" t="str">
        <f>IFERROR(IF(VLOOKUP(A788,[6]PRIORIZADOS!$A:$I,9,FALSE)="","",VLOOKUP(A788,[6]PRIORIZADOS!$A:$I,9,FALSE)),"")</f>
        <v>SEGUIMIENTO_Y_SUPERVISIÓN.</v>
      </c>
      <c r="J788" s="11" t="str">
        <f>IFERROR(IF(VLOOKUP(A788,[6]PRIORIZADOS!$A:$J,10,FALSE)="","",VLOOKUP(A788,[6]PRIORIZADOS!$A:$J,10,FALSE)),"")</f>
        <v>Proponer estrategias en la formulación, verificar su elaboración y realizar seguimiento semestral al desarrollo de  las acciones establecidas en los planes de mejoramiento por pruebas SABER 11 de los establecimientos de educación formal.</v>
      </c>
      <c r="K788" s="11" t="str">
        <f>IFERROR(IF(VLOOKUP(A788,[6]PRIORIZADOS!$A:$K,11,FALSE)="","",VLOOKUP(A788,[6]PRIORIZADOS!$A:$K,11,FALSE)),"")</f>
        <v>MÓNICA JANNETH RAMÍREZ MORENO</v>
      </c>
      <c r="L788" s="11" t="str">
        <f>IFERROR(IF(VLOOKUP(A788,[6]PRIORIZADOS!$A:$L,12,FALSE)="","",VLOOKUP(A788,[6]PRIORIZADOS!$A:$L,12,FALSE)),"")</f>
        <v>LUZ MERY PARRA NOPE</v>
      </c>
      <c r="M788" s="71">
        <f>IFERROR(IF(VLOOKUP(A788,[6]PRIORIZADOS!$A:$M,13,FALSE)="","",VLOOKUP(A788,[6]PRIORIZADOS!$A:$M,13,FALSE)),"")</f>
        <v>45862</v>
      </c>
      <c r="N788" s="139">
        <f>IFERROR(IF(VLOOKUP(A788,[6]PRIORIZADOS!$A:$N,14,FALSE)="","",VLOOKUP(A788,[6]PRIORIZADOS!$A:$N,14,FALSE)),"")</f>
        <v>45863</v>
      </c>
      <c r="O788" s="139">
        <f>IFERROR(IF(VLOOKUP(A788,[6]PRIORIZADOS!$A:$O,15,FALSE)="","",VLOOKUP(A788,[6]PRIORIZADOS!$A:$O,15,FALSE)),"")</f>
        <v>45863</v>
      </c>
      <c r="P788" s="11" t="str">
        <f>IFERROR(IF(VLOOKUP(A788,[6]PRIORIZADOS!$A:$P,16,FALSE)="","",VLOOKUP(A788,[6]PRIORIZADOS!$A:$P,16,FALSE)),"")</f>
        <v>Visitas de evaluación con fines de seguimiento</v>
      </c>
      <c r="Q788" s="107" t="s">
        <v>146</v>
      </c>
      <c r="R788" s="11" t="str">
        <f>IFERROR(IF(VLOOKUP(A788,[6]PRIORIZADOS!$A:$R,18,FALSE)="","",VLOOKUP(A788,[6]PRIORIZADOS!$A:$R,18,FALSE)),"")</f>
        <v>El colegio se encuentra clasificado según los resultados de las pruebas saber 2024 en categoria A y en visita se evidencia que no hay un plan de mejoramiento para aquellas áreas con resultados bajos</v>
      </c>
      <c r="S788" s="11" t="str">
        <f>IFERROR(IF(VLOOKUP(A788,[6]PRIORIZADOS!$A:$S,19,FALSE)="","",VLOOKUP(A788,[6]PRIORIZADOS!$A:$S,19,FALSE)),"")</f>
        <v>Diseñar un PMI con base en el análisis de los resultados obtenidos en pruebas SABER y actualizar el PEI con las estrategias establecidas</v>
      </c>
      <c r="T788" s="70" t="str">
        <f>IFERROR(IF(VLOOKUP(A788,[6]PRIORIZADOS!$A:$T,20,FALSE)="","",VLOOKUP(A788,[6]PRIORIZADOS!$A:$T,20,FALSE)),"")</f>
        <v>Si</v>
      </c>
      <c r="U788" s="11" t="str">
        <f>IFERROR(IF(VLOOKUP(A788,[6]PRIORIZADOS!$A:$U,21,FALSE)="","",VLOOKUP(A788,[6]PRIORIZADOS!$A:$U,21,FALSE)),"")</f>
        <v>Presentar un plan de mejoramiento que de cuenta de las actividades a realizar para subsanar las observaciones, el cual debe allegar a má tardar el 8 de agosto de 2025, para ser revisado y aprobado</v>
      </c>
    </row>
    <row r="789" spans="1:21" s="1" customFormat="1" ht="60">
      <c r="A789" s="69">
        <f>IF([6]PRIORIZADOS!A155="","",[6]PRIORIZADOS!A155)</f>
        <v>727</v>
      </c>
      <c r="B789" s="70">
        <f>IFERROR(IF(VLOOKUP(A789,[6]PRIORIZADOS!$A:$B,2,FALSE)="","",VLOOKUP(A789,[6]PRIORIZADOS!$A:$B,2,FALSE)),"")</f>
        <v>17</v>
      </c>
      <c r="C789" s="11" t="str">
        <f>IFERROR(IF(VLOOKUP(A789,[6]PRIORIZADOS!$A:$C,3,FALSE)="","",VLOOKUP(A789,[6]PRIORIZADOS!$A:$C,3,FALSE)),"")</f>
        <v>ENGATIVÁ</v>
      </c>
      <c r="D789" s="11" t="str">
        <f>IFERROR(IF(VLOOKUP(A789,[6]PRIORIZADOS!$A:$D,4,FALSE)="","",VLOOKUP(A789,[6]PRIORIZADOS!$A:$D,4,FALSE)),"")</f>
        <v>PRIVADO</v>
      </c>
      <c r="E789" s="11" t="str">
        <f>IFERROR(IF(VLOOKUP(A789,[6]PRIORIZADOS!$A:$E,5,FALSE)="","",VLOOKUP(A789,[6]PRIORIZADOS!$A:$E,5,FALSE)),"")</f>
        <v>EPBM</v>
      </c>
      <c r="F789" s="11" t="str">
        <f>IFERROR(IF(VLOOKUP(A789,[6]PRIORIZADOS!$A:$F,6,FALSE)="","",VLOOKUP(A789,[6]PRIORIZADOS!$A:$F,6,FALSE)),"")</f>
        <v>INSTITUTO_HENAO_Y_ARRUBLA</v>
      </c>
      <c r="G789" s="11" t="str">
        <f>IFERROR(IF(VLOOKUP(A789,[6]PRIORIZADOS!$A:$G,7,FALSE)="","",VLOOKUP(A789,[6]PRIORIZADOS!$A:$G,7,FALSE)),"")</f>
        <v>INSTITUTO_HENAO_Y_ARRUBLA</v>
      </c>
      <c r="H789" s="11" t="str">
        <f>IFERROR(IF(VLOOKUP(A789,[6]PRIORIZADOS!$A:$H,8,FALSE)="","",VLOOKUP(A789,[6]PRIORIZADOS!$A:$H,8,FALSE)),"")</f>
        <v>Autoevaluación Institucional y Pruebas SABER 11</v>
      </c>
      <c r="I789" s="11" t="str">
        <f>IFERROR(IF(VLOOKUP(A789,[6]PRIORIZADOS!$A:$I,9,FALSE)="","",VLOOKUP(A789,[6]PRIORIZADOS!$A:$I,9,FALSE)),"")</f>
        <v>SEGUIMIENTO_Y_SUPERVISIÓN.</v>
      </c>
      <c r="J789" s="11" t="str">
        <f>IFERROR(IF(VLOOKUP(A789,[6]PRIORIZADOS!$A:$J,10,FALSE)="","",VLOOKUP(A789,[6]PRIORIZADOS!$A:$J,10,FALSE)),"")</f>
        <v xml:space="preserve">Verificar la implementación por parte de los colegios, de acciones realizadas para la prevención y atención de las situaciones de convivencia en el entorno escolar, según lo establecido en la Directiva 01 de 2022 del MEN. </v>
      </c>
      <c r="K789" s="11" t="str">
        <f>IFERROR(IF(VLOOKUP(A789,[6]PRIORIZADOS!$A:$K,11,FALSE)="","",VLOOKUP(A789,[6]PRIORIZADOS!$A:$K,11,FALSE)),"")</f>
        <v>MÓNICA JANNETH RAMÍREZ MORENO</v>
      </c>
      <c r="L789" s="11" t="str">
        <f>IFERROR(IF(VLOOKUP(A789,[6]PRIORIZADOS!$A:$L,12,FALSE)="","",VLOOKUP(A789,[6]PRIORIZADOS!$A:$L,12,FALSE)),"")</f>
        <v>LUZ MERY PARRA NOPE</v>
      </c>
      <c r="M789" s="71">
        <f>IFERROR(IF(VLOOKUP(A789,[6]PRIORIZADOS!$A:$M,13,FALSE)="","",VLOOKUP(A789,[6]PRIORIZADOS!$A:$M,13,FALSE)),"")</f>
        <v>45862</v>
      </c>
      <c r="N789" s="139">
        <f>IFERROR(IF(VLOOKUP(A789,[6]PRIORIZADOS!$A:$N,14,FALSE)="","",VLOOKUP(A789,[6]PRIORIZADOS!$A:$N,14,FALSE)),"")</f>
        <v>45863</v>
      </c>
      <c r="O789" s="139">
        <f>IFERROR(IF(VLOOKUP(A789,[6]PRIORIZADOS!$A:$O,15,FALSE)="","",VLOOKUP(A789,[6]PRIORIZADOS!$A:$O,15,FALSE)),"")</f>
        <v>45863</v>
      </c>
      <c r="P789" s="11" t="str">
        <f>IFERROR(IF(VLOOKUP(A789,[6]PRIORIZADOS!$A:$P,16,FALSE)="","",VLOOKUP(A789,[6]PRIORIZADOS!$A:$P,16,FALSE)),"")</f>
        <v>Visitas de evaluación con fines de seguimiento</v>
      </c>
      <c r="Q789" s="107" t="s">
        <v>146</v>
      </c>
      <c r="R789" s="11" t="str">
        <f>IFERROR(IF(VLOOKUP(A789,[6]PRIORIZADOS!$A:$R,18,FALSE)="","",VLOOKUP(A789,[6]PRIORIZADOS!$A:$R,18,FALSE)),"")</f>
        <v>El colegio realiza la verificación de antecedentes de las personas que laboran allí, para todo el personal, excepto 4 docentes</v>
      </c>
      <c r="S789" s="11" t="str">
        <f>IFERROR(IF(VLOOKUP(A789,[6]PRIORIZADOS!$A:$S,19,FALSE)="","",VLOOKUP(A789,[6]PRIORIZADOS!$A:$S,19,FALSE)),"")</f>
        <v>Realizar la verificación de antecedentes disciplinarios y de inhabilidades al momento de la contratación y posteriormente cada 4 meses a todo el personal contratado y dejar evidencia</v>
      </c>
      <c r="T789" s="70" t="str">
        <f>IFERROR(IF(VLOOKUP(A789,[6]PRIORIZADOS!$A:$T,20,FALSE)="","",VLOOKUP(A789,[6]PRIORIZADOS!$A:$T,20,FALSE)),"")</f>
        <v>Si</v>
      </c>
      <c r="U789" s="11" t="str">
        <f>IFERROR(IF(VLOOKUP(A789,[6]PRIORIZADOS!$A:$U,21,FALSE)="","",VLOOKUP(A789,[6]PRIORIZADOS!$A:$U,21,FALSE)),"")</f>
        <v>Presentar un plan de mejoramiento que de cuenta de las actividades a realizar para subsanar las observaciones, el cual debe allegar a má tardar el 8 de agosto de 2025, para ser revisado y aprobado</v>
      </c>
    </row>
    <row r="790" spans="1:21" s="1" customFormat="1" ht="72">
      <c r="A790" s="69">
        <f>IF([6]PRIORIZADOS!A156="","",[6]PRIORIZADOS!A156)</f>
        <v>728</v>
      </c>
      <c r="B790" s="70">
        <f>IFERROR(IF(VLOOKUP(A790,[6]PRIORIZADOS!$A:$B,2,FALSE)="","",VLOOKUP(A790,[6]PRIORIZADOS!$A:$B,2,FALSE)),"")</f>
        <v>17</v>
      </c>
      <c r="C790" s="11" t="str">
        <f>IFERROR(IF(VLOOKUP(A790,[6]PRIORIZADOS!$A:$C,3,FALSE)="","",VLOOKUP(A790,[6]PRIORIZADOS!$A:$C,3,FALSE)),"")</f>
        <v>ENGATIVÁ</v>
      </c>
      <c r="D790" s="11" t="str">
        <f>IFERROR(IF(VLOOKUP(A790,[6]PRIORIZADOS!$A:$D,4,FALSE)="","",VLOOKUP(A790,[6]PRIORIZADOS!$A:$D,4,FALSE)),"")</f>
        <v>PRIVADO</v>
      </c>
      <c r="E790" s="11" t="str">
        <f>IFERROR(IF(VLOOKUP(A790,[6]PRIORIZADOS!$A:$E,5,FALSE)="","",VLOOKUP(A790,[6]PRIORIZADOS!$A:$E,5,FALSE)),"")</f>
        <v>EPBM</v>
      </c>
      <c r="F790" s="11" t="str">
        <f>IFERROR(IF(VLOOKUP(A790,[6]PRIORIZADOS!$A:$F,6,FALSE)="","",VLOOKUP(A790,[6]PRIORIZADOS!$A:$F,6,FALSE)),"")</f>
        <v>INSTITUTO_HENAO_Y_ARRUBLA</v>
      </c>
      <c r="G790" s="11" t="str">
        <f>IFERROR(IF(VLOOKUP(A790,[6]PRIORIZADOS!$A:$G,7,FALSE)="","",VLOOKUP(A790,[6]PRIORIZADOS!$A:$G,7,FALSE)),"")</f>
        <v>INSTITUTO_HENAO_Y_ARRUBLA</v>
      </c>
      <c r="H790" s="11" t="str">
        <f>IFERROR(IF(VLOOKUP(A790,[6]PRIORIZADOS!$A:$H,8,FALSE)="","",VLOOKUP(A790,[6]PRIORIZADOS!$A:$H,8,FALSE)),"")</f>
        <v>Autoevaluación Institucional y Pruebas SABER 11</v>
      </c>
      <c r="I790" s="11" t="str">
        <f>IFERROR(IF(VLOOKUP(A790,[6]PRIORIZADOS!$A:$I,9,FALSE)="","",VLOOKUP(A790,[6]PRIORIZADOS!$A:$I,9,FALSE)),"")</f>
        <v>SEGUIMIENTO_Y_SUPERVISIÓN.</v>
      </c>
      <c r="J790" s="11" t="str">
        <f>IFERROR(IF(VLOOKUP(A790,[6]PRIORIZADOS!$A:$J,10,FALSE)="","",VLOOKUP(A790,[6]PRIORIZADOS!$A:$J,10,FALSE)),"")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90" s="11" t="str">
        <f>IFERROR(IF(VLOOKUP(A790,[6]PRIORIZADOS!$A:$K,11,FALSE)="","",VLOOKUP(A790,[6]PRIORIZADOS!$A:$K,11,FALSE)),"")</f>
        <v>MÓNICA JANNETH RAMÍREZ MORENO</v>
      </c>
      <c r="L790" s="11" t="str">
        <f>IFERROR(IF(VLOOKUP(A790,[6]PRIORIZADOS!$A:$L,12,FALSE)="","",VLOOKUP(A790,[6]PRIORIZADOS!$A:$L,12,FALSE)),"")</f>
        <v>LUZ MERY PARRA NOPE</v>
      </c>
      <c r="M790" s="71">
        <f>IFERROR(IF(VLOOKUP(A790,[6]PRIORIZADOS!$A:$M,13,FALSE)="","",VLOOKUP(A790,[6]PRIORIZADOS!$A:$M,13,FALSE)),"")</f>
        <v>45862</v>
      </c>
      <c r="N790" s="139">
        <f>IFERROR(IF(VLOOKUP(A790,[6]PRIORIZADOS!$A:$N,14,FALSE)="","",VLOOKUP(A790,[6]PRIORIZADOS!$A:$N,14,FALSE)),"")</f>
        <v>45863</v>
      </c>
      <c r="O790" s="139">
        <f>IFERROR(IF(VLOOKUP(A790,[6]PRIORIZADOS!$A:$O,15,FALSE)="","",VLOOKUP(A790,[6]PRIORIZADOS!$A:$O,15,FALSE)),"")</f>
        <v>45863</v>
      </c>
      <c r="P790" s="11" t="str">
        <f>IFERROR(IF(VLOOKUP(A790,[6]PRIORIZADOS!$A:$P,16,FALSE)="","",VLOOKUP(A790,[6]PRIORIZADOS!$A:$P,16,FALSE)),"")</f>
        <v>Visitas de evaluación con fines de seguimiento</v>
      </c>
      <c r="Q790" s="107" t="s">
        <v>146</v>
      </c>
      <c r="R790" s="11" t="str">
        <f>IFERROR(IF(VLOOKUP(A790,[6]PRIORIZADOS!$A:$R,18,FALSE)="","",VLOOKUP(A790,[6]PRIORIZADOS!$A:$R,18,FALSE)),"")</f>
        <v>Actualmente tiene 5 estudiantes diagnosticados con discapacidad o transtornos de comportamiento y presenta el documento PIAR en medio magnético sin firmas de los padres de familia</v>
      </c>
      <c r="S790" s="11" t="str">
        <f>IFERROR(IF(VLOOKUP(A790,[6]PRIORIZADOS!$A:$S,19,FALSE)="","",VLOOKUP(A790,[6]PRIORIZADOS!$A:$S,19,FALSE)),"")</f>
        <v xml:space="preserve">Los PIAR diseñados debe estar debidamente suscrito por los padres y los docentes, de la cual se debe entregar copia a los padres. </v>
      </c>
      <c r="T790" s="70" t="str">
        <f>IFERROR(IF(VLOOKUP(A790,[6]PRIORIZADOS!$A:$T,20,FALSE)="","",VLOOKUP(A790,[6]PRIORIZADOS!$A:$T,20,FALSE)),"")</f>
        <v>Si</v>
      </c>
      <c r="U790" s="11" t="str">
        <f>IFERROR(IF(VLOOKUP(A790,[6]PRIORIZADOS!$A:$U,21,FALSE)="","",VLOOKUP(A790,[6]PRIORIZADOS!$A:$U,21,FALSE)),"")</f>
        <v>Presentar un plan de mejoramiento que de cuenta de las actividades a realizar para subsanar las observaciones, el cual debe allegar a má tardar el 8 de agosto de 2025, para ser revisado y aprobado</v>
      </c>
    </row>
    <row r="791" spans="1:21" s="1" customFormat="1" ht="84">
      <c r="A791" s="69">
        <f>IF([6]PRIORIZADOS!A157="","",[6]PRIORIZADOS!A157)</f>
        <v>729</v>
      </c>
      <c r="B791" s="70">
        <f>IFERROR(IF(VLOOKUP(A791,[6]PRIORIZADOS!$A:$B,2,FALSE)="","",VLOOKUP(A791,[6]PRIORIZADOS!$A:$B,2,FALSE)),"")</f>
        <v>17</v>
      </c>
      <c r="C791" s="11" t="str">
        <f>IFERROR(IF(VLOOKUP(A791,[6]PRIORIZADOS!$A:$C,3,FALSE)="","",VLOOKUP(A791,[6]PRIORIZADOS!$A:$C,3,FALSE)),"")</f>
        <v>ENGATIVÁ</v>
      </c>
      <c r="D791" s="11" t="str">
        <f>IFERROR(IF(VLOOKUP(A791,[6]PRIORIZADOS!$A:$D,4,FALSE)="","",VLOOKUP(A791,[6]PRIORIZADOS!$A:$D,4,FALSE)),"")</f>
        <v>PRIVADO</v>
      </c>
      <c r="E791" s="11" t="str">
        <f>IFERROR(IF(VLOOKUP(A791,[6]PRIORIZADOS!$A:$E,5,FALSE)="","",VLOOKUP(A791,[6]PRIORIZADOS!$A:$E,5,FALSE)),"")</f>
        <v>EPBM</v>
      </c>
      <c r="F791" s="11" t="str">
        <f>IFERROR(IF(VLOOKUP(A791,[6]PRIORIZADOS!$A:$F,6,FALSE)="","",VLOOKUP(A791,[6]PRIORIZADOS!$A:$F,6,FALSE)),"")</f>
        <v>INSTITUTO_HENAO_Y_ARRUBLA</v>
      </c>
      <c r="G791" s="11" t="str">
        <f>IFERROR(IF(VLOOKUP(A791,[6]PRIORIZADOS!$A:$G,7,FALSE)="","",VLOOKUP(A791,[6]PRIORIZADOS!$A:$G,7,FALSE)),"")</f>
        <v>INSTITUTO_HENAO_Y_ARRUBLA</v>
      </c>
      <c r="H791" s="11" t="str">
        <f>IFERROR(IF(VLOOKUP(A791,[6]PRIORIZADOS!$A:$H,8,FALSE)="","",VLOOKUP(A791,[6]PRIORIZADOS!$A:$H,8,FALSE)),"")</f>
        <v>Autoevaluación Institucional y Pruebas SABER 11</v>
      </c>
      <c r="I791" s="11" t="str">
        <f>IFERROR(IF(VLOOKUP(A791,[6]PRIORIZADOS!$A:$I,9,FALSE)="","",VLOOKUP(A791,[6]PRIORIZADOS!$A:$I,9,FALSE)),"")</f>
        <v>EVALUACIÓN_CON_FINES_DE_MEJORAMIENTO.</v>
      </c>
      <c r="J791" s="11" t="str">
        <f>IFERROR(IF(VLOOKUP(A791,[6]PRIORIZADOS!$A:$J,10,FALSE)="","",VLOOKUP(A791,[6]PRIORIZADOS!$A:$J,10,FALSE)),"")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791" s="11" t="str">
        <f>IFERROR(IF(VLOOKUP(A791,[6]PRIORIZADOS!$A:$K,11,FALSE)="","",VLOOKUP(A791,[6]PRIORIZADOS!$A:$K,11,FALSE)),"")</f>
        <v>MÓNICA JANNETH RAMÍREZ MORENO</v>
      </c>
      <c r="L791" s="11" t="str">
        <f>IFERROR(IF(VLOOKUP(A791,[6]PRIORIZADOS!$A:$L,12,FALSE)="","",VLOOKUP(A791,[6]PRIORIZADOS!$A:$L,12,FALSE)),"")</f>
        <v>LUZ MERY PARRA NOPE</v>
      </c>
      <c r="M791" s="71">
        <f>IFERROR(IF(VLOOKUP(A791,[6]PRIORIZADOS!$A:$M,13,FALSE)="","",VLOOKUP(A791,[6]PRIORIZADOS!$A:$M,13,FALSE)),"")</f>
        <v>45862</v>
      </c>
      <c r="N791" s="139">
        <f>IFERROR(IF(VLOOKUP(A791,[6]PRIORIZADOS!$A:$N,14,FALSE)="","",VLOOKUP(A791,[6]PRIORIZADOS!$A:$N,14,FALSE)),"")</f>
        <v>45863</v>
      </c>
      <c r="O791" s="139">
        <f>IFERROR(IF(VLOOKUP(A791,[6]PRIORIZADOS!$A:$O,15,FALSE)="","",VLOOKUP(A791,[6]PRIORIZADOS!$A:$O,15,FALSE)),"")</f>
        <v>45863</v>
      </c>
      <c r="P791" s="11" t="str">
        <f>IFERROR(IF(VLOOKUP(A791,[6]PRIORIZADOS!$A:$P,16,FALSE)="","",VLOOKUP(A791,[6]PRIORIZADOS!$A:$P,16,FALSE)),"")</f>
        <v>Visitas de evaluación con fines de mejoramiento</v>
      </c>
      <c r="Q791" s="107" t="s">
        <v>146</v>
      </c>
      <c r="R791" s="11" t="str">
        <f>IFERROR(IF(VLOOKUP(A791,[6]PRIORIZADOS!$A:$R,18,FALSE)="","",VLOOKUP(A791,[6]PRIORIZADOS!$A:$R,18,FALSE)),"")</f>
        <v xml:space="preserve">Participan en los las directivas del colegio y los representantes del Consejo Directivo lo aprueban contemplan la ruta de atencion integral y los protocolos. Se tienen diferenciadas las faltas y las situaciones de convivencia. </v>
      </c>
      <c r="S791" s="11" t="str">
        <f>IFERROR(IF(VLOOKUP(A791,[6]PRIORIZADOS!$A:$S,19,FALSE)="","",VLOOKUP(A791,[6]PRIORIZADOS!$A:$S,19,FALSE)),"")</f>
        <v>Se recomienda que las sanciones sean de tipo pedagógico y formativo y establecer los canales de atencion de las PQR en el Manual de Convivencia
Debe ser participativo y contar con todos los estamentos de la comunidad educativa</v>
      </c>
      <c r="T791" s="70" t="str">
        <f>IFERROR(IF(VLOOKUP(A791,[6]PRIORIZADOS!$A:$T,20,FALSE)="","",VLOOKUP(A791,[6]PRIORIZADOS!$A:$T,20,FALSE)),"")</f>
        <v>Si</v>
      </c>
      <c r="U791" s="11" t="str">
        <f>IFERROR(IF(VLOOKUP(A791,[6]PRIORIZADOS!$A:$U,21,FALSE)="","",VLOOKUP(A791,[6]PRIORIZADOS!$A:$U,21,FALSE)),"")</f>
        <v>Presentar un plan de mejoramiento que de cuenta de las actividades a realizar para subsanar las observaciones, el cual debe allegar a má tardar el 8 de agosto de 2025, para ser revisado y aprobado</v>
      </c>
    </row>
    <row r="792" spans="1:21" s="1" customFormat="1" ht="118.5">
      <c r="A792" s="69">
        <f>IF([6]PRIORIZADOS!A158="","",[6]PRIORIZADOS!A158)</f>
        <v>730</v>
      </c>
      <c r="B792" s="70">
        <f>IFERROR(IF(VLOOKUP(A792,[6]PRIORIZADOS!$A:$B,2,FALSE)="","",VLOOKUP(A792,[6]PRIORIZADOS!$A:$B,2,FALSE)),"")</f>
        <v>17</v>
      </c>
      <c r="C792" s="11" t="str">
        <f>IFERROR(IF(VLOOKUP(A792,[6]PRIORIZADOS!$A:$C,3,FALSE)="","",VLOOKUP(A792,[6]PRIORIZADOS!$A:$C,3,FALSE)),"")</f>
        <v>ENGATIVÁ</v>
      </c>
      <c r="D792" s="11" t="str">
        <f>IFERROR(IF(VLOOKUP(A792,[6]PRIORIZADOS!$A:$D,4,FALSE)="","",VLOOKUP(A792,[6]PRIORIZADOS!$A:$D,4,FALSE)),"")</f>
        <v>PRIVADO</v>
      </c>
      <c r="E792" s="11" t="str">
        <f>IFERROR(IF(VLOOKUP(A792,[6]PRIORIZADOS!$A:$E,5,FALSE)="","",VLOOKUP(A792,[6]PRIORIZADOS!$A:$E,5,FALSE)),"")</f>
        <v>EPBM</v>
      </c>
      <c r="F792" s="11" t="str">
        <f>IFERROR(IF(VLOOKUP(A792,[6]PRIORIZADOS!$A:$F,6,FALSE)="","",VLOOKUP(A792,[6]PRIORIZADOS!$A:$F,6,FALSE)),"")</f>
        <v>INSTITUTO_HENAO_Y_ARRUBLA</v>
      </c>
      <c r="G792" s="11" t="str">
        <f>IFERROR(IF(VLOOKUP(A792,[6]PRIORIZADOS!$A:$G,7,FALSE)="","",VLOOKUP(A792,[6]PRIORIZADOS!$A:$G,7,FALSE)),"")</f>
        <v>INSTITUTO_HENAO_Y_ARRUBLA</v>
      </c>
      <c r="H792" s="11" t="str">
        <f>IFERROR(IF(VLOOKUP(A792,[6]PRIORIZADOS!$A:$H,8,FALSE)="","",VLOOKUP(A792,[6]PRIORIZADOS!$A:$H,8,FALSE)),"")</f>
        <v>Autoevaluación Institucional y Pruebas SABER 11</v>
      </c>
      <c r="I792" s="11" t="str">
        <f>IFERROR(IF(VLOOKUP(A792,[6]PRIORIZADOS!$A:$I,9,FALSE)="","",VLOOKUP(A792,[6]PRIORIZADOS!$A:$I,9,FALSE)),"")</f>
        <v>EVALUACIÓN_CON_FINES_DE_MEJORAMIENTO.</v>
      </c>
      <c r="J792" s="11" t="str">
        <f>IFERROR(IF(VLOOKUP(A792,[6]PRIORIZADOS!$A:$J,10,FALSE)="","",VLOOKUP(A792,[6]PRIORIZADOS!$A:$J,10,FALSE)),"")</f>
        <v>Revisar la actualización, socialización e implementación del Sistema Institucional de Evaluación de Estudiantes - SIEE, en articulación con la actualización del PEI y la normatividad vigente.</v>
      </c>
      <c r="K792" s="11" t="str">
        <f>IFERROR(IF(VLOOKUP(A792,[6]PRIORIZADOS!$A:$K,11,FALSE)="","",VLOOKUP(A792,[6]PRIORIZADOS!$A:$K,11,FALSE)),"")</f>
        <v>MÓNICA JANNETH RAMÍREZ MORENO</v>
      </c>
      <c r="L792" s="11" t="str">
        <f>IFERROR(IF(VLOOKUP(A792,[6]PRIORIZADOS!$A:$L,12,FALSE)="","",VLOOKUP(A792,[6]PRIORIZADOS!$A:$L,12,FALSE)),"")</f>
        <v>LUZ MERY PARRA NOPE</v>
      </c>
      <c r="M792" s="71">
        <f>IFERROR(IF(VLOOKUP(A792,[6]PRIORIZADOS!$A:$M,13,FALSE)="","",VLOOKUP(A792,[6]PRIORIZADOS!$A:$M,13,FALSE)),"")</f>
        <v>45862</v>
      </c>
      <c r="N792" s="139">
        <f>IFERROR(IF(VLOOKUP(A792,[6]PRIORIZADOS!$A:$N,14,FALSE)="","",VLOOKUP(A792,[6]PRIORIZADOS!$A:$N,14,FALSE)),"")</f>
        <v>45863</v>
      </c>
      <c r="O792" s="139">
        <f>IFERROR(IF(VLOOKUP(A792,[6]PRIORIZADOS!$A:$O,15,FALSE)="","",VLOOKUP(A792,[6]PRIORIZADOS!$A:$O,15,FALSE)),"")</f>
        <v>45863</v>
      </c>
      <c r="P792" s="11" t="str">
        <f>IFERROR(IF(VLOOKUP(A792,[6]PRIORIZADOS!$A:$P,16,FALSE)="","",VLOOKUP(A792,[6]PRIORIZADOS!$A:$P,16,FALSE)),"")</f>
        <v>Visitas de evaluación con fines de mejoramiento</v>
      </c>
      <c r="Q792" s="107" t="s">
        <v>146</v>
      </c>
      <c r="R792" s="11" t="str">
        <f>IFERROR(IF(VLOOKUP(A792,[6]PRIORIZADOS!$A:$R,18,FALSE)="","",VLOOKUP(A792,[6]PRIORIZADOS!$A:$R,18,FALSE)),"")</f>
        <v>El documento vigente pero falta registrar algunas estrategias que implementan para casos de inasistencias y deserción, se realizan nivelaciones para estudiantes que no han alcanzado los logros de forma semestral y de forma extemporanea cuando la situació lo amerita. Hacen cortes academicos cada 4 semanas y se informan resultados a los padres estableciendo niveles a presentar</v>
      </c>
      <c r="S792" s="11" t="str">
        <f>IFERROR(IF(VLOOKUP(A792,[6]PRIORIZADOS!$A:$S,19,FALSE)="","",VLOOKUP(A792,[6]PRIORIZADOS!$A:$S,19,FALSE)),"")</f>
        <v>Registrar en el SIEE las estrategias que implementan para casos de inasistencias y deserción</v>
      </c>
      <c r="T792" s="70" t="str">
        <f>IFERROR(IF(VLOOKUP(A792,[6]PRIORIZADOS!$A:$T,20,FALSE)="","",VLOOKUP(A792,[6]PRIORIZADOS!$A:$T,20,FALSE)),"")</f>
        <v>Si</v>
      </c>
      <c r="U792" s="11" t="str">
        <f>IFERROR(IF(VLOOKUP(A792,[6]PRIORIZADOS!$A:$U,21,FALSE)="","",VLOOKUP(A792,[6]PRIORIZADOS!$A:$U,21,FALSE)),"")</f>
        <v>Presentar un plan de mejoramiento que de cuenta de las actividades a realizar para subsanar las observaciones, el cual debe allegar a má tardar el 8 de agosto de 2025, para ser revisado y aprobado</v>
      </c>
    </row>
    <row r="793" spans="1:21" s="1" customFormat="1" ht="48">
      <c r="A793" s="69">
        <f>IF([6]PRIORIZADOS!A159="","",[6]PRIORIZADOS!A159)</f>
        <v>731</v>
      </c>
      <c r="B793" s="70">
        <f>IFERROR(IF(VLOOKUP(A793,[6]PRIORIZADOS!$A:$B,2,FALSE)="","",VLOOKUP(A793,[6]PRIORIZADOS!$A:$B,2,FALSE)),"")</f>
        <v>17</v>
      </c>
      <c r="C793" s="11" t="str">
        <f>IFERROR(IF(VLOOKUP(A793,[6]PRIORIZADOS!$A:$C,3,FALSE)="","",VLOOKUP(A793,[6]PRIORIZADOS!$A:$C,3,FALSE)),"")</f>
        <v>ENGATIVÁ</v>
      </c>
      <c r="D793" s="11" t="str">
        <f>IFERROR(IF(VLOOKUP(A793,[6]PRIORIZADOS!$A:$D,4,FALSE)="","",VLOOKUP(A793,[6]PRIORIZADOS!$A:$D,4,FALSE)),"")</f>
        <v>PRIVADO</v>
      </c>
      <c r="E793" s="11" t="str">
        <f>IFERROR(IF(VLOOKUP(A793,[6]PRIORIZADOS!$A:$E,5,FALSE)="","",VLOOKUP(A793,[6]PRIORIZADOS!$A:$E,5,FALSE)),"")</f>
        <v>EPBM</v>
      </c>
      <c r="F793" s="11" t="str">
        <f>IFERROR(IF(VLOOKUP(A793,[6]PRIORIZADOS!$A:$F,6,FALSE)="","",VLOOKUP(A793,[6]PRIORIZADOS!$A:$F,6,FALSE)),"")</f>
        <v>INSTITUTO_HENAO_Y_ARRUBLA</v>
      </c>
      <c r="G793" s="11" t="str">
        <f>IFERROR(IF(VLOOKUP(A793,[6]PRIORIZADOS!$A:$G,7,FALSE)="","",VLOOKUP(A793,[6]PRIORIZADOS!$A:$G,7,FALSE)),"")</f>
        <v>INSTITUTO_HENAO_Y_ARRUBLA</v>
      </c>
      <c r="H793" s="11" t="str">
        <f>IFERROR(IF(VLOOKUP(A793,[6]PRIORIZADOS!$A:$H,8,FALSE)="","",VLOOKUP(A793,[6]PRIORIZADOS!$A:$H,8,FALSE)),"")</f>
        <v>Autoevaluación Institucional y Pruebas SABER 11</v>
      </c>
      <c r="I793" s="11" t="str">
        <f>IFERROR(IF(VLOOKUP(A793,[6]PRIORIZADOS!$A:$I,9,FALSE)="","",VLOOKUP(A793,[6]PRIORIZADOS!$A:$I,9,FALSE)),"")</f>
        <v>EVALUACIÓN_CON_FINES_DE_MEJORAMIENTO.</v>
      </c>
      <c r="J793" s="11" t="str">
        <f>IFERROR(IF(VLOOKUP(A793,[6]PRIORIZADOS!$A:$J,10,FALSE)="","",VLOOKUP(A793,[6]PRIORIZADOS!$A:$J,10,FALSE)),"")</f>
        <v>Revisar el calendario escolar, jornada escolar, la intensidad horaria mínima anual en cada nivel y las modificaciones que se realicen al mismo, de acuerdo con lo previsto en la normatividad vigente.</v>
      </c>
      <c r="K793" s="11" t="str">
        <f>IFERROR(IF(VLOOKUP(A793,[6]PRIORIZADOS!$A:$K,11,FALSE)="","",VLOOKUP(A793,[6]PRIORIZADOS!$A:$K,11,FALSE)),"")</f>
        <v>MÓNICA JANNETH RAMÍREZ MORENO</v>
      </c>
      <c r="L793" s="11" t="str">
        <f>IFERROR(IF(VLOOKUP(A793,[6]PRIORIZADOS!$A:$L,12,FALSE)="","",VLOOKUP(A793,[6]PRIORIZADOS!$A:$L,12,FALSE)),"")</f>
        <v>LUZ MERY PARRA NOPE</v>
      </c>
      <c r="M793" s="71">
        <f>IFERROR(IF(VLOOKUP(A793,[6]PRIORIZADOS!$A:$M,13,FALSE)="","",VLOOKUP(A793,[6]PRIORIZADOS!$A:$M,13,FALSE)),"")</f>
        <v>45862</v>
      </c>
      <c r="N793" s="139">
        <f>IFERROR(IF(VLOOKUP(A793,[6]PRIORIZADOS!$A:$N,14,FALSE)="","",VLOOKUP(A793,[6]PRIORIZADOS!$A:$N,14,FALSE)),"")</f>
        <v>45863</v>
      </c>
      <c r="O793" s="139">
        <f>IFERROR(IF(VLOOKUP(A793,[6]PRIORIZADOS!$A:$O,15,FALSE)="","",VLOOKUP(A793,[6]PRIORIZADOS!$A:$O,15,FALSE)),"")</f>
        <v>45863</v>
      </c>
      <c r="P793" s="11" t="str">
        <f>IFERROR(IF(VLOOKUP(A793,[6]PRIORIZADOS!$A:$P,16,FALSE)="","",VLOOKUP(A793,[6]PRIORIZADOS!$A:$P,16,FALSE)),"")</f>
        <v>Visitas de evaluación con fines de mejoramiento</v>
      </c>
      <c r="Q793" s="107" t="s">
        <v>146</v>
      </c>
      <c r="R793" s="11" t="str">
        <f>IFERROR(IF(VLOOKUP(A793,[6]PRIORIZADOS!$A:$R,18,FALSE)="","",VLOOKUP(A793,[6]PRIORIZADOS!$A:$R,18,FALSE)),"")</f>
        <v xml:space="preserve">El colegio tiene las intensidades minimas de 1282 horas en todos los niveles </v>
      </c>
      <c r="S793" s="11" t="str">
        <f>IFERROR(IF(VLOOKUP(A793,[6]PRIORIZADOS!$A:$S,19,FALSE)="","",VLOOKUP(A793,[6]PRIORIZADOS!$A:$S,19,FALSE)),"")</f>
        <v>Se cumple con la intensidad minima legal vigente para cada nivel ofrecido</v>
      </c>
      <c r="T793" s="70" t="str">
        <f>IFERROR(IF(VLOOKUP(A793,[6]PRIORIZADOS!$A:$T,20,FALSE)="","",VLOOKUP(A793,[6]PRIORIZADOS!$A:$T,20,FALSE)),"")</f>
        <v>No</v>
      </c>
      <c r="U793" s="11" t="str">
        <f>IFERROR(IF(VLOOKUP(A793,[6]PRIORIZADOS!$A:$U,21,FALSE)="","",VLOOKUP(A793,[6]PRIORIZADOS!$A:$U,21,FALSE)),"")</f>
        <v>Se verificará cumplimiento del calendario académico según lo determinado</v>
      </c>
    </row>
    <row r="794" spans="1:21" s="1" customFormat="1" ht="60">
      <c r="A794" s="69">
        <f>IF([6]PRIORIZADOS!A160="","",[6]PRIORIZADOS!A160)</f>
        <v>732</v>
      </c>
      <c r="B794" s="70">
        <f>IFERROR(IF(VLOOKUP(A794,[6]PRIORIZADOS!$A:$B,2,FALSE)="","",VLOOKUP(A794,[6]PRIORIZADOS!$A:$B,2,FALSE)),"")</f>
        <v>17</v>
      </c>
      <c r="C794" s="11" t="str">
        <f>IFERROR(IF(VLOOKUP(A794,[6]PRIORIZADOS!$A:$C,3,FALSE)="","",VLOOKUP(A794,[6]PRIORIZADOS!$A:$C,3,FALSE)),"")</f>
        <v>ENGATIVÁ</v>
      </c>
      <c r="D794" s="11" t="str">
        <f>IFERROR(IF(VLOOKUP(A794,[6]PRIORIZADOS!$A:$D,4,FALSE)="","",VLOOKUP(A794,[6]PRIORIZADOS!$A:$D,4,FALSE)),"")</f>
        <v>PRIVADO</v>
      </c>
      <c r="E794" s="11" t="str">
        <f>IFERROR(IF(VLOOKUP(A794,[6]PRIORIZADOS!$A:$E,5,FALSE)="","",VLOOKUP(A794,[6]PRIORIZADOS!$A:$E,5,FALSE)),"")</f>
        <v>EPBM</v>
      </c>
      <c r="F794" s="11" t="str">
        <f>IFERROR(IF(VLOOKUP(A794,[6]PRIORIZADOS!$A:$F,6,FALSE)="","",VLOOKUP(A794,[6]PRIORIZADOS!$A:$F,6,FALSE)),"")</f>
        <v>INSTITUTO_HENAO_Y_ARRUBLA</v>
      </c>
      <c r="G794" s="11" t="str">
        <f>IFERROR(IF(VLOOKUP(A794,[6]PRIORIZADOS!$A:$G,7,FALSE)="","",VLOOKUP(A794,[6]PRIORIZADOS!$A:$G,7,FALSE)),"")</f>
        <v>INSTITUTO_HENAO_Y_ARRUBLA</v>
      </c>
      <c r="H794" s="11" t="str">
        <f>IFERROR(IF(VLOOKUP(A794,[6]PRIORIZADOS!$A:$H,8,FALSE)="","",VLOOKUP(A794,[6]PRIORIZADOS!$A:$H,8,FALSE)),"")</f>
        <v>Autoevaluación Institucional y Pruebas SABER 11</v>
      </c>
      <c r="I794" s="11" t="str">
        <f>IFERROR(IF(VLOOKUP(A794,[6]PRIORIZADOS!$A:$I,9,FALSE)="","",VLOOKUP(A794,[6]PRIORIZADOS!$A:$I,9,FALSE)),"")</f>
        <v>EVALUACIÓN_CON_FINES_DE_MEJORAMIENTO.</v>
      </c>
      <c r="J794" s="11" t="str">
        <f>IFERROR(IF(VLOOKUP(A794,[6]PRIORIZADOS!$A:$J,10,FALSE)="","",VLOOKUP(A794,[6]PRIORIZADOS!$A:$J,10,FALSE)),"")</f>
        <v>Verificar el funcionamiento del Gobierno Escolar e instancias de participación con base en la información sobre conformación reportada por la institución educativa.</v>
      </c>
      <c r="K794" s="11" t="str">
        <f>IFERROR(IF(VLOOKUP(A794,[6]PRIORIZADOS!$A:$K,11,FALSE)="","",VLOOKUP(A794,[6]PRIORIZADOS!$A:$K,11,FALSE)),"")</f>
        <v>MÓNICA JANNETH RAMÍREZ MORENO</v>
      </c>
      <c r="L794" s="11" t="str">
        <f>IFERROR(IF(VLOOKUP(A794,[6]PRIORIZADOS!$A:$L,12,FALSE)="","",VLOOKUP(A794,[6]PRIORIZADOS!$A:$L,12,FALSE)),"")</f>
        <v>LUZ MERY PARRA NOPE</v>
      </c>
      <c r="M794" s="71">
        <f>IFERROR(IF(VLOOKUP(A794,[6]PRIORIZADOS!$A:$M,13,FALSE)="","",VLOOKUP(A794,[6]PRIORIZADOS!$A:$M,13,FALSE)),"")</f>
        <v>45862</v>
      </c>
      <c r="N794" s="139">
        <f>IFERROR(IF(VLOOKUP(A794,[6]PRIORIZADOS!$A:$N,14,FALSE)="","",VLOOKUP(A794,[6]PRIORIZADOS!$A:$N,14,FALSE)),"")</f>
        <v>45863</v>
      </c>
      <c r="O794" s="139">
        <f>IFERROR(IF(VLOOKUP(A794,[6]PRIORIZADOS!$A:$O,15,FALSE)="","",VLOOKUP(A794,[6]PRIORIZADOS!$A:$O,15,FALSE)),"")</f>
        <v>45863</v>
      </c>
      <c r="P794" s="11" t="str">
        <f>IFERROR(IF(VLOOKUP(A794,[6]PRIORIZADOS!$A:$P,16,FALSE)="","",VLOOKUP(A794,[6]PRIORIZADOS!$A:$P,16,FALSE)),"")</f>
        <v>Visitas de evaluación con fines de mejoramiento</v>
      </c>
      <c r="Q794" s="107" t="s">
        <v>146</v>
      </c>
      <c r="R794" s="11" t="str">
        <f>IFERROR(IF(VLOOKUP(A794,[6]PRIORIZADOS!$A:$R,18,FALSE)="","",VLOOKUP(A794,[6]PRIORIZADOS!$A:$R,18,FALSE)),"")</f>
        <v>Se evidenció que los órganos del Gobierno Escolar y las instancias de participación no funcionan con la periodicidad que establece la norma</v>
      </c>
      <c r="S794" s="11" t="str">
        <f>IFERROR(IF(VLOOKUP(A794,[6]PRIORIZADOS!$A:$S,19,FALSE)="","",VLOOKUP(A794,[6]PRIORIZADOS!$A:$S,19,FALSE)),"")</f>
        <v>Realizar las reunión del Consejo Directivo cuando corresponden e incentivar el funcionamiento de las instancias de participación según la normativa, deben presentar las actas de los encuentros</v>
      </c>
      <c r="T794" s="70" t="str">
        <f>IFERROR(IF(VLOOKUP(A794,[6]PRIORIZADOS!$A:$T,20,FALSE)="","",VLOOKUP(A794,[6]PRIORIZADOS!$A:$T,20,FALSE)),"")</f>
        <v>Si</v>
      </c>
      <c r="U794" s="11" t="str">
        <f>IFERROR(IF(VLOOKUP(A794,[6]PRIORIZADOS!$A:$U,21,FALSE)="","",VLOOKUP(A794,[6]PRIORIZADOS!$A:$U,21,FALSE)),"")</f>
        <v>Presentar un plan de mejoramiento que de cuenta de las actividades a realizar para subsanar las observaciones, el cual debe allegar a má tardar el 8 de agosto de 2025, para ser revisado y aprobado</v>
      </c>
    </row>
    <row r="795" spans="1:21" s="1" customFormat="1" ht="72">
      <c r="A795" s="69">
        <f>IF([6]PRIORIZADOS!A161="","",[6]PRIORIZADOS!A161)</f>
        <v>733</v>
      </c>
      <c r="B795" s="70">
        <f>IFERROR(IF(VLOOKUP(A795,[6]PRIORIZADOS!$A:$B,2,FALSE)="","",VLOOKUP(A795,[6]PRIORIZADOS!$A:$B,2,FALSE)),"")</f>
        <v>17</v>
      </c>
      <c r="C795" s="11" t="str">
        <f>IFERROR(IF(VLOOKUP(A795,[6]PRIORIZADOS!$A:$C,3,FALSE)="","",VLOOKUP(A795,[6]PRIORIZADOS!$A:$C,3,FALSE)),"")</f>
        <v>ENGATIVÁ</v>
      </c>
      <c r="D795" s="11" t="str">
        <f>IFERROR(IF(VLOOKUP(A795,[6]PRIORIZADOS!$A:$D,4,FALSE)="","",VLOOKUP(A795,[6]PRIORIZADOS!$A:$D,4,FALSE)),"")</f>
        <v>PRIVADO</v>
      </c>
      <c r="E795" s="11" t="str">
        <f>IFERROR(IF(VLOOKUP(A795,[6]PRIORIZADOS!$A:$E,5,FALSE)="","",VLOOKUP(A795,[6]PRIORIZADOS!$A:$E,5,FALSE)),"")</f>
        <v>EPBM</v>
      </c>
      <c r="F795" s="11" t="str">
        <f>IFERROR(IF(VLOOKUP(A795,[6]PRIORIZADOS!$A:$F,6,FALSE)="","",VLOOKUP(A795,[6]PRIORIZADOS!$A:$F,6,FALSE)),"")</f>
        <v>INSTITUTO_HENAO_Y_ARRUBLA</v>
      </c>
      <c r="G795" s="11" t="str">
        <f>IFERROR(IF(VLOOKUP(A795,[6]PRIORIZADOS!$A:$G,7,FALSE)="","",VLOOKUP(A795,[6]PRIORIZADOS!$A:$G,7,FALSE)),"")</f>
        <v>INSTITUTO_HENAO_Y_ARRUBLA</v>
      </c>
      <c r="H795" s="11" t="str">
        <f>IFERROR(IF(VLOOKUP(A795,[6]PRIORIZADOS!$A:$H,8,FALSE)="","",VLOOKUP(A795,[6]PRIORIZADOS!$A:$H,8,FALSE)),"")</f>
        <v>Autoevaluación Institucional y Pruebas SABER 11</v>
      </c>
      <c r="I795" s="11" t="str">
        <f>IFERROR(IF(VLOOKUP(A795,[6]PRIORIZADOS!$A:$I,9,FALSE)="","",VLOOKUP(A795,[6]PRIORIZADOS!$A:$I,9,FALSE)),"")</f>
        <v>EVALUACIÓN_CON_FINES_DE_MEJORAMIENTO.</v>
      </c>
      <c r="J795" s="11" t="str">
        <f>IFERROR(IF(VLOOKUP(A795,[6]PRIORIZADOS!$A:$J,10,FALSE)="","",VLOOKUP(A795,[6]PRIORIZADOS!$A:$J,10,FALSE)),"")</f>
        <v>Verificar las condiciones en cuanto a: la estructura administrativa, condiciones de la planta física y medios educativos adecuados.</v>
      </c>
      <c r="K795" s="11" t="str">
        <f>IFERROR(IF(VLOOKUP(A795,[6]PRIORIZADOS!$A:$K,11,FALSE)="","",VLOOKUP(A795,[6]PRIORIZADOS!$A:$K,11,FALSE)),"")</f>
        <v>MÓNICA JANNETH RAMÍREZ MORENO</v>
      </c>
      <c r="L795" s="11" t="str">
        <f>IFERROR(IF(VLOOKUP(A795,[6]PRIORIZADOS!$A:$L,12,FALSE)="","",VLOOKUP(A795,[6]PRIORIZADOS!$A:$L,12,FALSE)),"")</f>
        <v>LUZ MERY PARRA NOPE</v>
      </c>
      <c r="M795" s="71">
        <f>IFERROR(IF(VLOOKUP(A795,[6]PRIORIZADOS!$A:$M,13,FALSE)="","",VLOOKUP(A795,[6]PRIORIZADOS!$A:$M,13,FALSE)),"")</f>
        <v>45862</v>
      </c>
      <c r="N795" s="139">
        <f>IFERROR(IF(VLOOKUP(A795,[6]PRIORIZADOS!$A:$N,14,FALSE)="","",VLOOKUP(A795,[6]PRIORIZADOS!$A:$N,14,FALSE)),"")</f>
        <v>45863</v>
      </c>
      <c r="O795" s="139">
        <f>IFERROR(IF(VLOOKUP(A795,[6]PRIORIZADOS!$A:$O,15,FALSE)="","",VLOOKUP(A795,[6]PRIORIZADOS!$A:$O,15,FALSE)),"")</f>
        <v>45863</v>
      </c>
      <c r="P795" s="11" t="str">
        <f>IFERROR(IF(VLOOKUP(A795,[6]PRIORIZADOS!$A:$P,16,FALSE)="","",VLOOKUP(A795,[6]PRIORIZADOS!$A:$P,16,FALSE)),"")</f>
        <v>Visitas de evaluación con fines de mejoramiento</v>
      </c>
      <c r="Q795" s="107" t="s">
        <v>146</v>
      </c>
      <c r="R795" s="11" t="str">
        <f>IFERROR(IF(VLOOKUP(A795,[6]PRIORIZADOS!$A:$R,18,FALSE)="","",VLOOKUP(A795,[6]PRIORIZADOS!$A:$R,18,FALSE)),"")</f>
        <v>Se verificó la estructura física encontrando espacios suficientes para los estudiantes, para educación física utilizan el parque del barrio y no tienen en cuenta accesos y espacios para la atención a estudiantes con discapacidad</v>
      </c>
      <c r="S795" s="11" t="str">
        <f>IFERROR(IF(VLOOKUP(A795,[6]PRIORIZADOS!$A:$S,19,FALSE)="","",VLOOKUP(A795,[6]PRIORIZADOS!$A:$S,19,FALSE)),"")</f>
        <v>.Solicitar autorizaciòn del uso del parque a la SED, segùn procedimiento establecido en la guia que se envia por correo electronico.
.Adecuar espacios para estudiantes con discapacidad</v>
      </c>
      <c r="T795" s="70" t="str">
        <f>IFERROR(IF(VLOOKUP(A795,[6]PRIORIZADOS!$A:$T,20,FALSE)="","",VLOOKUP(A795,[6]PRIORIZADOS!$A:$T,20,FALSE)),"")</f>
        <v>Si</v>
      </c>
      <c r="U795" s="11" t="str">
        <f>IFERROR(IF(VLOOKUP(A795,[6]PRIORIZADOS!$A:$U,21,FALSE)="","",VLOOKUP(A795,[6]PRIORIZADOS!$A:$U,21,FALSE)),"")</f>
        <v>Presentar un plan de mejoramiento que de cuenta de las actividades a realizar para subsanar las observaciones, el cual debe allegar a má tardar el 8 de agosto de 2025, para ser revisado y aprobado</v>
      </c>
    </row>
    <row r="796" spans="1:21" s="1" customFormat="1" ht="142.5">
      <c r="A796" s="69">
        <f>IF([6]PRIORIZADOS!A162="","",[6]PRIORIZADOS!A162)</f>
        <v>734</v>
      </c>
      <c r="B796" s="70">
        <f>IFERROR(IF(VLOOKUP(A796,[6]PRIORIZADOS!$A:$B,2,FALSE)="","",VLOOKUP(A796,[6]PRIORIZADOS!$A:$B,2,FALSE)),"")</f>
        <v>18</v>
      </c>
      <c r="C796" s="11" t="str">
        <f>IFERROR(IF(VLOOKUP(A796,[6]PRIORIZADOS!$A:$C,3,FALSE)="","",VLOOKUP(A796,[6]PRIORIZADOS!$A:$C,3,FALSE)),"")</f>
        <v>ENGATIVÁ</v>
      </c>
      <c r="D796" s="11" t="str">
        <f>IFERROR(IF(VLOOKUP(A796,[6]PRIORIZADOS!$A:$D,4,FALSE)="","",VLOOKUP(A796,[6]PRIORIZADOS!$A:$D,4,FALSE)),"")</f>
        <v>PRIVADO</v>
      </c>
      <c r="E796" s="11" t="str">
        <f>IFERROR(IF(VLOOKUP(A796,[6]PRIORIZADOS!$A:$E,5,FALSE)="","",VLOOKUP(A796,[6]PRIORIZADOS!$A:$E,5,FALSE)),"")</f>
        <v>EPBM</v>
      </c>
      <c r="F796" s="11" t="str">
        <f>IFERROR(IF(VLOOKUP(A796,[6]PRIORIZADOS!$A:$F,6,FALSE)="","",VLOOKUP(A796,[6]PRIORIZADOS!$A:$F,6,FALSE)),"")</f>
        <v>INSTITUTO_TECNICO_ANGELI</v>
      </c>
      <c r="G796" s="11" t="str">
        <f>IFERROR(IF(VLOOKUP(A796,[6]PRIORIZADOS!$A:$G,7,FALSE)="","",VLOOKUP(A796,[6]PRIORIZADOS!$A:$G,7,FALSE)),"")</f>
        <v>INSTITUTO_TECNICO_ANGELI</v>
      </c>
      <c r="H796" s="11" t="str">
        <f>IFERROR(IF(VLOOKUP(A796,[6]PRIORIZADOS!$A:$H,8,FALSE)="","",VLOOKUP(A796,[6]PRIORIZADOS!$A:$H,8,FALSE)),"")</f>
        <v>Autoevaluación Institucional y Pruebas SABER 11</v>
      </c>
      <c r="I796" s="11" t="str">
        <f>IFERROR(IF(VLOOKUP(A796,[6]PRIORIZADOS!$A:$I,9,FALSE)="","",VLOOKUP(A796,[6]PRIORIZADOS!$A:$I,9,FALSE)),"")</f>
        <v>SEGUIMIENTO_Y_SUPERVISIÓN.</v>
      </c>
      <c r="J796" s="11" t="str">
        <f>IFERROR(IF(VLOOKUP(A796,[6]PRIORIZADOS!$A:$J,10,FALSE)="","",VLOOKUP(A796,[6]PRIORIZADOS!$A:$J,10,FALSE)),"")</f>
        <v>Realizar visitas para verificar la información registrada sobre la autoevaluación institucional en el aplicativo EVI, a los establecimientos de educación formal no oficial.</v>
      </c>
      <c r="K796" s="11" t="str">
        <f>IFERROR(IF(VLOOKUP(A796,[6]PRIORIZADOS!$A:$K,11,FALSE)="","",VLOOKUP(A796,[6]PRIORIZADOS!$A:$K,11,FALSE)),"")</f>
        <v>LUZ MERY PARRA NOPE</v>
      </c>
      <c r="L796" s="11" t="str">
        <f>IFERROR(IF(VLOOKUP(A796,[6]PRIORIZADOS!$A:$L,12,FALSE)="","",VLOOKUP(A796,[6]PRIORIZADOS!$A:$L,12,FALSE)),"")</f>
        <v>JUAN AGUSTÍN RODRÍGUEZ ROZO</v>
      </c>
      <c r="M796" s="71">
        <f>IFERROR(IF(VLOOKUP(A796,[6]PRIORIZADOS!$A:$M,13,FALSE)="","",VLOOKUP(A796,[6]PRIORIZADOS!$A:$M,13,FALSE)),"")</f>
        <v>45873</v>
      </c>
      <c r="N796" s="139">
        <f>IFERROR(IF(VLOOKUP(A796,[6]PRIORIZADOS!$A:$N,14,FALSE)="","",VLOOKUP(A796,[6]PRIORIZADOS!$A:$N,14,FALSE)),"")</f>
        <v>45891</v>
      </c>
      <c r="O796" s="139">
        <f>IFERROR(IF(VLOOKUP(A796,[6]PRIORIZADOS!$A:$O,15,FALSE)="","",VLOOKUP(A796,[6]PRIORIZADOS!$A:$O,15,FALSE)),"")</f>
        <v>45891</v>
      </c>
      <c r="P796" s="11" t="str">
        <f>IFERROR(IF(VLOOKUP(A796,[6]PRIORIZADOS!$A:$P,16,FALSE)="","",VLOOKUP(A796,[6]PRIORIZADOS!$A:$P,16,FALSE)),"")</f>
        <v>Visitas de evaluación con fines de seguimiento</v>
      </c>
      <c r="Q796" s="60" t="s">
        <v>147</v>
      </c>
      <c r="R796" s="11" t="str">
        <f>IFERROR(IF(VLOOKUP(A796,[6]PRIORIZADOS!$A:$R,18,FALSE)="","",VLOOKUP(A796,[6]PRIORIZADOS!$A:$R,18,FALSE)),"")</f>
        <v>Durante el recorrido por la planta física del EE se evidencio los ambientes de aprendizaje, espacios administrativos y espacios recreativos, igualmente se revisa la matricula en SIMAT. En los ambientes compartidos el Colegio no cuenta con el permiso del IDRD para el uso del parque. Por otro lado, se evidencio falta de mantenimiento en los pasamanos de las escaleras, recipientes de almacenamiento de residuos sólidos, instalaciones eléctricas</v>
      </c>
      <c r="S796" s="11" t="str">
        <f>IFERROR(IF(VLOOKUP(A796,[6]PRIORIZADOS!$A:$S,19,FALSE)="","",VLOOKUP(A796,[6]PRIORIZADOS!$A:$S,19,FALSE)),"")</f>
        <v>Tramitar ante el IDRD autorización para uso del parque según lo establecido en Resolución 1326 de 2023. de otra parte, realizar mantenimiento a la planta física de acuerdo con lo encontrado en el recorrido.</v>
      </c>
      <c r="T796" s="70" t="str">
        <f>IFERROR(IF(VLOOKUP(A796,[6]PRIORIZADOS!$A:$T,20,FALSE)="","",VLOOKUP(A796,[6]PRIORIZADOS!$A:$T,20,FALSE)),"")</f>
        <v>SI</v>
      </c>
      <c r="U796" s="11" t="str">
        <f>IFERROR(IF(VLOOKUP(A796,[6]PRIORIZADOS!$A:$U,21,FALSE)="","",VLOOKUP(A796,[6]PRIORIZADOS!$A:$U,21,FALSE)),"")</f>
        <v xml:space="preserve">Presentar un plan de mejoramiento que subsane las observaciones realizadas, el plazo para la radicación de dicho plan es de 10 días hábiles posteriores a la visita. </v>
      </c>
    </row>
    <row r="797" spans="1:21" s="1" customFormat="1" ht="84">
      <c r="A797" s="69">
        <f>IF([6]PRIORIZADOS!A163="","",[6]PRIORIZADOS!A163)</f>
        <v>735</v>
      </c>
      <c r="B797" s="70">
        <f>IFERROR(IF(VLOOKUP(A797,[6]PRIORIZADOS!$A:$B,2,FALSE)="","",VLOOKUP(A797,[6]PRIORIZADOS!$A:$B,2,FALSE)),"")</f>
        <v>18</v>
      </c>
      <c r="C797" s="11" t="str">
        <f>IFERROR(IF(VLOOKUP(A797,[6]PRIORIZADOS!$A:$C,3,FALSE)="","",VLOOKUP(A797,[6]PRIORIZADOS!$A:$C,3,FALSE)),"")</f>
        <v>ENGATIVÁ</v>
      </c>
      <c r="D797" s="11" t="str">
        <f>IFERROR(IF(VLOOKUP(A797,[6]PRIORIZADOS!$A:$D,4,FALSE)="","",VLOOKUP(A797,[6]PRIORIZADOS!$A:$D,4,FALSE)),"")</f>
        <v>PRIVADO</v>
      </c>
      <c r="E797" s="11" t="str">
        <f>IFERROR(IF(VLOOKUP(A797,[6]PRIORIZADOS!$A:$E,5,FALSE)="","",VLOOKUP(A797,[6]PRIORIZADOS!$A:$E,5,FALSE)),"")</f>
        <v>EPBM</v>
      </c>
      <c r="F797" s="11" t="str">
        <f>IFERROR(IF(VLOOKUP(A797,[6]PRIORIZADOS!$A:$F,6,FALSE)="","",VLOOKUP(A797,[6]PRIORIZADOS!$A:$F,6,FALSE)),"")</f>
        <v>INSTITUTO_TECNICO_ANGELI</v>
      </c>
      <c r="G797" s="11" t="str">
        <f>IFERROR(IF(VLOOKUP(A797,[6]PRIORIZADOS!$A:$G,7,FALSE)="","",VLOOKUP(A797,[6]PRIORIZADOS!$A:$G,7,FALSE)),"")</f>
        <v>INSTITUTO_TECNICO_ANGELI</v>
      </c>
      <c r="H797" s="11" t="str">
        <f>IFERROR(IF(VLOOKUP(A797,[6]PRIORIZADOS!$A:$H,8,FALSE)="","",VLOOKUP(A797,[6]PRIORIZADOS!$A:$H,8,FALSE)),"")</f>
        <v>Autoevaluación Institucional y Pruebas SABER 11</v>
      </c>
      <c r="I797" s="11" t="str">
        <f>IFERROR(IF(VLOOKUP(A797,[6]PRIORIZADOS!$A:$I,9,FALSE)="","",VLOOKUP(A797,[6]PRIORIZADOS!$A:$I,9,FALSE)),"")</f>
        <v>SEGUIMIENTO_Y_SUPERVISIÓN.</v>
      </c>
      <c r="J797" s="11" t="str">
        <f>IFERROR(IF(VLOOKUP(A797,[6]PRIORIZADOS!$A:$J,10,FALSE)="","",VLOOKUP(A797,[6]PRIORIZADOS!$A:$J,10,FALSE)),"")</f>
        <v>Proponer estrategias en la formulación, verificar su elaboración y realizar seguimiento semestral al desarrollo de  las acciones establecidas en los planes de mejoramiento por pruebas SABER 11 de los establecimientos de educación formal.</v>
      </c>
      <c r="K797" s="11" t="str">
        <f>IFERROR(IF(VLOOKUP(A797,[6]PRIORIZADOS!$A:$K,11,FALSE)="","",VLOOKUP(A797,[6]PRIORIZADOS!$A:$K,11,FALSE)),"")</f>
        <v>LUZ MERY PARRA NOPE</v>
      </c>
      <c r="L797" s="11" t="str">
        <f>IFERROR(IF(VLOOKUP(A797,[6]PRIORIZADOS!$A:$L,12,FALSE)="","",VLOOKUP(A797,[6]PRIORIZADOS!$A:$L,12,FALSE)),"")</f>
        <v>JUAN AGUSTÍN RODRÍGUEZ ROZO</v>
      </c>
      <c r="M797" s="71">
        <f>IFERROR(IF(VLOOKUP(A797,[6]PRIORIZADOS!$A:$M,13,FALSE)="","",VLOOKUP(A797,[6]PRIORIZADOS!$A:$M,13,FALSE)),"")</f>
        <v>45873</v>
      </c>
      <c r="N797" s="139">
        <f>IFERROR(IF(VLOOKUP(A797,[6]PRIORIZADOS!$A:$N,14,FALSE)="","",VLOOKUP(A797,[6]PRIORIZADOS!$A:$N,14,FALSE)),"")</f>
        <v>45891</v>
      </c>
      <c r="O797" s="139">
        <f>IFERROR(IF(VLOOKUP(A797,[6]PRIORIZADOS!$A:$O,15,FALSE)="","",VLOOKUP(A797,[6]PRIORIZADOS!$A:$O,15,FALSE)),"")</f>
        <v>45891</v>
      </c>
      <c r="P797" s="11" t="str">
        <f>IFERROR(IF(VLOOKUP(A797,[6]PRIORIZADOS!$A:$P,16,FALSE)="","",VLOOKUP(A797,[6]PRIORIZADOS!$A:$P,16,FALSE)),"")</f>
        <v>Visitas de evaluación con fines de seguimiento</v>
      </c>
      <c r="Q797" s="60" t="s">
        <v>147</v>
      </c>
      <c r="R797" s="11" t="str">
        <f>IFERROR(IF(VLOOKUP(A797,[6]PRIORIZADOS!$A:$R,18,FALSE)="","",VLOOKUP(A797,[6]PRIORIZADOS!$A:$R,18,FALSE)),"")</f>
        <v>El EE se encuentra clasificado en las pruebas saber en A, a la fecha no han realizado un plan de acción para mejorar los aprendizajes en las áreas con más bajo desempeño</v>
      </c>
      <c r="S797" s="11" t="str">
        <f>IFERROR(IF(VLOOKUP(A797,[6]PRIORIZADOS!$A:$S,19,FALSE)="","",VLOOKUP(A797,[6]PRIORIZADOS!$A:$S,19,FALSE)),"")</f>
        <v>Realizar la revisión y análisis de los últimos resultados de las pruebas SABER 11. Formular acciones específicas basadas en estos resultados. Implementar acciones para mejorar los aprendizajes de los estudiantes en las áreas del plan de estudio con más bajo desempeño.</v>
      </c>
      <c r="T797" s="70" t="str">
        <f>IFERROR(IF(VLOOKUP(A797,[6]PRIORIZADOS!$A:$T,20,FALSE)="","",VLOOKUP(A797,[6]PRIORIZADOS!$A:$T,20,FALSE)),"")</f>
        <v>SI</v>
      </c>
      <c r="U797" s="11" t="str">
        <f>IFERROR(IF(VLOOKUP(A797,[6]PRIORIZADOS!$A:$U,21,FALSE)="","",VLOOKUP(A797,[6]PRIORIZADOS!$A:$U,21,FALSE)),"")</f>
        <v xml:space="preserve">Presentar un plan de mejoramiento que subsane las observaciones realizadas, el plazo para la radicación de dicho plan es de 10 días hábiles posteriores a la visita. </v>
      </c>
    </row>
    <row r="798" spans="1:21" s="1" customFormat="1" ht="60">
      <c r="A798" s="69">
        <f>IF([6]PRIORIZADOS!A164="","",[6]PRIORIZADOS!A164)</f>
        <v>736</v>
      </c>
      <c r="B798" s="70">
        <f>IFERROR(IF(VLOOKUP(A798,[6]PRIORIZADOS!$A:$B,2,FALSE)="","",VLOOKUP(A798,[6]PRIORIZADOS!$A:$B,2,FALSE)),"")</f>
        <v>18</v>
      </c>
      <c r="C798" s="11" t="str">
        <f>IFERROR(IF(VLOOKUP(A798,[6]PRIORIZADOS!$A:$C,3,FALSE)="","",VLOOKUP(A798,[6]PRIORIZADOS!$A:$C,3,FALSE)),"")</f>
        <v>ENGATIVÁ</v>
      </c>
      <c r="D798" s="11" t="str">
        <f>IFERROR(IF(VLOOKUP(A798,[6]PRIORIZADOS!$A:$D,4,FALSE)="","",VLOOKUP(A798,[6]PRIORIZADOS!$A:$D,4,FALSE)),"")</f>
        <v>PRIVADO</v>
      </c>
      <c r="E798" s="11" t="str">
        <f>IFERROR(IF(VLOOKUP(A798,[6]PRIORIZADOS!$A:$E,5,FALSE)="","",VLOOKUP(A798,[6]PRIORIZADOS!$A:$E,5,FALSE)),"")</f>
        <v>EPBM</v>
      </c>
      <c r="F798" s="11" t="str">
        <f>IFERROR(IF(VLOOKUP(A798,[6]PRIORIZADOS!$A:$F,6,FALSE)="","",VLOOKUP(A798,[6]PRIORIZADOS!$A:$F,6,FALSE)),"")</f>
        <v>INSTITUTO_TECNICO_ANGELI</v>
      </c>
      <c r="G798" s="11" t="str">
        <f>IFERROR(IF(VLOOKUP(A798,[6]PRIORIZADOS!$A:$G,7,FALSE)="","",VLOOKUP(A798,[6]PRIORIZADOS!$A:$G,7,FALSE)),"")</f>
        <v>INSTITUTO_TECNICO_ANGELI</v>
      </c>
      <c r="H798" s="11" t="str">
        <f>IFERROR(IF(VLOOKUP(A798,[6]PRIORIZADOS!$A:$H,8,FALSE)="","",VLOOKUP(A798,[6]PRIORIZADOS!$A:$H,8,FALSE)),"")</f>
        <v>Autoevaluación Institucional y Pruebas SABER 11</v>
      </c>
      <c r="I798" s="11" t="str">
        <f>IFERROR(IF(VLOOKUP(A798,[6]PRIORIZADOS!$A:$I,9,FALSE)="","",VLOOKUP(A798,[6]PRIORIZADOS!$A:$I,9,FALSE)),"")</f>
        <v>SEGUIMIENTO_Y_SUPERVISIÓN.</v>
      </c>
      <c r="J798" s="11" t="str">
        <f>IFERROR(IF(VLOOKUP(A798,[6]PRIORIZADOS!$A:$J,10,FALSE)="","",VLOOKUP(A798,[6]PRIORIZADOS!$A:$J,10,FALSE)),"")</f>
        <v xml:space="preserve">Verificar la implementación por parte de los colegios, de acciones realizadas para la prevención y atención de las situaciones de convivencia en el entorno escolar, según lo establecido en la Directiva 01 de 2022 del MEN. </v>
      </c>
      <c r="K798" s="11" t="str">
        <f>IFERROR(IF(VLOOKUP(A798,[6]PRIORIZADOS!$A:$K,11,FALSE)="","",VLOOKUP(A798,[6]PRIORIZADOS!$A:$K,11,FALSE)),"")</f>
        <v>LUZ MERY PARRA NOPE</v>
      </c>
      <c r="L798" s="11" t="str">
        <f>IFERROR(IF(VLOOKUP(A798,[6]PRIORIZADOS!$A:$L,12,FALSE)="","",VLOOKUP(A798,[6]PRIORIZADOS!$A:$L,12,FALSE)),"")</f>
        <v>JUAN AGUSTÍN RODRÍGUEZ ROZO</v>
      </c>
      <c r="M798" s="71">
        <f>IFERROR(IF(VLOOKUP(A798,[6]PRIORIZADOS!$A:$M,13,FALSE)="","",VLOOKUP(A798,[6]PRIORIZADOS!$A:$M,13,FALSE)),"")</f>
        <v>45873</v>
      </c>
      <c r="N798" s="139">
        <f>IFERROR(IF(VLOOKUP(A798,[6]PRIORIZADOS!$A:$N,14,FALSE)="","",VLOOKUP(A798,[6]PRIORIZADOS!$A:$N,14,FALSE)),"")</f>
        <v>45891</v>
      </c>
      <c r="O798" s="139">
        <f>IFERROR(IF(VLOOKUP(A798,[6]PRIORIZADOS!$A:$O,15,FALSE)="","",VLOOKUP(A798,[6]PRIORIZADOS!$A:$O,15,FALSE)),"")</f>
        <v>45891</v>
      </c>
      <c r="P798" s="11" t="str">
        <f>IFERROR(IF(VLOOKUP(A798,[6]PRIORIZADOS!$A:$P,16,FALSE)="","",VLOOKUP(A798,[6]PRIORIZADOS!$A:$P,16,FALSE)),"")</f>
        <v>Visitas de evaluación con fines de seguimiento</v>
      </c>
      <c r="Q798" s="60" t="s">
        <v>147</v>
      </c>
      <c r="R798" s="11" t="str">
        <f>IFERROR(IF(VLOOKUP(A798,[6]PRIORIZADOS!$A:$R,18,FALSE)="","",VLOOKUP(A798,[6]PRIORIZADOS!$A:$R,18,FALSE)),"")</f>
        <v xml:space="preserve">El EE realiza la activación de rutas y protocolos, de acuerdo con la Ley 1620 de 2013, de igual forma desde orientación escolar se realizan acciones de prevención y promoción. </v>
      </c>
      <c r="S798" s="11" t="str">
        <f>IFERROR(IF(VLOOKUP(A798,[6]PRIORIZADOS!$A:$S,19,FALSE)="","",VLOOKUP(A798,[6]PRIORIZADOS!$A:$S,19,FALSE)),"")</f>
        <v>Continuar realización actividades de prevención y promoción para las situaciones de convivencia escolar.</v>
      </c>
      <c r="T798" s="70" t="str">
        <f>IFERROR(IF(VLOOKUP(A798,[6]PRIORIZADOS!$A:$T,20,FALSE)="","",VLOOKUP(A798,[6]PRIORIZADOS!$A:$T,20,FALSE)),"")</f>
        <v>NO</v>
      </c>
      <c r="U798" s="11" t="str">
        <f>IFERROR(IF(VLOOKUP(A798,[6]PRIORIZADOS!$A:$U,21,FALSE)="","",VLOOKUP(A798,[6]PRIORIZADOS!$A:$U,21,FALSE)),"")</f>
        <v>Se hará verificación en caso de presentar solicitud o queja ciudadana.</v>
      </c>
    </row>
    <row r="799" spans="1:21" s="1" customFormat="1" ht="72">
      <c r="A799" s="69">
        <f>IF([6]PRIORIZADOS!A165="","",[6]PRIORIZADOS!A165)</f>
        <v>737</v>
      </c>
      <c r="B799" s="70">
        <f>IFERROR(IF(VLOOKUP(A799,[6]PRIORIZADOS!$A:$B,2,FALSE)="","",VLOOKUP(A799,[6]PRIORIZADOS!$A:$B,2,FALSE)),"")</f>
        <v>18</v>
      </c>
      <c r="C799" s="11" t="str">
        <f>IFERROR(IF(VLOOKUP(A799,[6]PRIORIZADOS!$A:$C,3,FALSE)="","",VLOOKUP(A799,[6]PRIORIZADOS!$A:$C,3,FALSE)),"")</f>
        <v>ENGATIVÁ</v>
      </c>
      <c r="D799" s="11" t="str">
        <f>IFERROR(IF(VLOOKUP(A799,[6]PRIORIZADOS!$A:$D,4,FALSE)="","",VLOOKUP(A799,[6]PRIORIZADOS!$A:$D,4,FALSE)),"")</f>
        <v>PRIVADO</v>
      </c>
      <c r="E799" s="11" t="str">
        <f>IFERROR(IF(VLOOKUP(A799,[6]PRIORIZADOS!$A:$E,5,FALSE)="","",VLOOKUP(A799,[6]PRIORIZADOS!$A:$E,5,FALSE)),"")</f>
        <v>EPBM</v>
      </c>
      <c r="F799" s="11" t="str">
        <f>IFERROR(IF(VLOOKUP(A799,[6]PRIORIZADOS!$A:$F,6,FALSE)="","",VLOOKUP(A799,[6]PRIORIZADOS!$A:$F,6,FALSE)),"")</f>
        <v>INSTITUTO_TECNICO_ANGELI</v>
      </c>
      <c r="G799" s="11" t="str">
        <f>IFERROR(IF(VLOOKUP(A799,[6]PRIORIZADOS!$A:$G,7,FALSE)="","",VLOOKUP(A799,[6]PRIORIZADOS!$A:$G,7,FALSE)),"")</f>
        <v>INSTITUTO_TECNICO_ANGELI</v>
      </c>
      <c r="H799" s="11" t="str">
        <f>IFERROR(IF(VLOOKUP(A799,[6]PRIORIZADOS!$A:$H,8,FALSE)="","",VLOOKUP(A799,[6]PRIORIZADOS!$A:$H,8,FALSE)),"")</f>
        <v>Autoevaluación Institucional y Pruebas SABER 11</v>
      </c>
      <c r="I799" s="11" t="str">
        <f>IFERROR(IF(VLOOKUP(A799,[6]PRIORIZADOS!$A:$I,9,FALSE)="","",VLOOKUP(A799,[6]PRIORIZADOS!$A:$I,9,FALSE)),"")</f>
        <v>SEGUIMIENTO_Y_SUPERVISIÓN.</v>
      </c>
      <c r="J799" s="11" t="str">
        <f>IFERROR(IF(VLOOKUP(A799,[6]PRIORIZADOS!$A:$J,10,FALSE)="","",VLOOKUP(A799,[6]PRIORIZADOS!$A:$J,10,FALSE)),"")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799" s="11" t="str">
        <f>IFERROR(IF(VLOOKUP(A799,[6]PRIORIZADOS!$A:$K,11,FALSE)="","",VLOOKUP(A799,[6]PRIORIZADOS!$A:$K,11,FALSE)),"")</f>
        <v>LUZ MERY PARRA NOPE</v>
      </c>
      <c r="L799" s="11" t="str">
        <f>IFERROR(IF(VLOOKUP(A799,[6]PRIORIZADOS!$A:$L,12,FALSE)="","",VLOOKUP(A799,[6]PRIORIZADOS!$A:$L,12,FALSE)),"")</f>
        <v>JUAN AGUSTÍN RODRÍGUEZ ROZO</v>
      </c>
      <c r="M799" s="71">
        <f>IFERROR(IF(VLOOKUP(A799,[6]PRIORIZADOS!$A:$M,13,FALSE)="","",VLOOKUP(A799,[6]PRIORIZADOS!$A:$M,13,FALSE)),"")</f>
        <v>45873</v>
      </c>
      <c r="N799" s="139">
        <f>IFERROR(IF(VLOOKUP(A799,[6]PRIORIZADOS!$A:$N,14,FALSE)="","",VLOOKUP(A799,[6]PRIORIZADOS!$A:$N,14,FALSE)),"")</f>
        <v>45891</v>
      </c>
      <c r="O799" s="139">
        <f>IFERROR(IF(VLOOKUP(A799,[6]PRIORIZADOS!$A:$O,15,FALSE)="","",VLOOKUP(A799,[6]PRIORIZADOS!$A:$O,15,FALSE)),"")</f>
        <v>45891</v>
      </c>
      <c r="P799" s="11" t="str">
        <f>IFERROR(IF(VLOOKUP(A799,[6]PRIORIZADOS!$A:$P,16,FALSE)="","",VLOOKUP(A799,[6]PRIORIZADOS!$A:$P,16,FALSE)),"")</f>
        <v>Visitas de evaluación con fines de seguimiento</v>
      </c>
      <c r="Q799" s="60" t="s">
        <v>147</v>
      </c>
      <c r="R799" s="11" t="str">
        <f>IFERROR(IF(VLOOKUP(A799,[6]PRIORIZADOS!$A:$R,18,FALSE)="","",VLOOKUP(A799,[6]PRIORIZADOS!$A:$R,18,FALSE)),"")</f>
        <v>El EE cuenta actualmente con 43 estudiantes con algún tipo de discapacidad, se observa la elaboración de todos los PIAR. Sin embargo, se realizan algunas observaciones de mejora.</v>
      </c>
      <c r="S799" s="11" t="str">
        <f>IFERROR(IF(VLOOKUP(A799,[6]PRIORIZADOS!$A:$S,19,FALSE)="","",VLOOKUP(A799,[6]PRIORIZADOS!$A:$S,19,FALSE)),"")</f>
        <v>Suscribir los PIAR con padres de familia, de tal manera que quede formalizado el compromiso de corresponsabilidad familia-colegio. Mantener los instrumentos de registro que dan cuenta de la implementación del PIAR.</v>
      </c>
      <c r="T799" s="70" t="str">
        <f>IFERROR(IF(VLOOKUP(A799,[6]PRIORIZADOS!$A:$T,20,FALSE)="","",VLOOKUP(A799,[6]PRIORIZADOS!$A:$T,20,FALSE)),"")</f>
        <v>SI</v>
      </c>
      <c r="U799" s="11" t="str">
        <f>IFERROR(IF(VLOOKUP(A799,[6]PRIORIZADOS!$A:$U,21,FALSE)="","",VLOOKUP(A799,[6]PRIORIZADOS!$A:$U,21,FALSE)),"")</f>
        <v xml:space="preserve">Presentar un plan de mejoramiento que subsane las observaciones realizadas, el plazo para la radicación de dicho plan es de 10 días hábiles posteriores a la visita. </v>
      </c>
    </row>
    <row r="800" spans="1:21" s="1" customFormat="1" ht="96">
      <c r="A800" s="69">
        <f>IF([6]PRIORIZADOS!A166="","",[6]PRIORIZADOS!A166)</f>
        <v>738</v>
      </c>
      <c r="B800" s="70">
        <f>IFERROR(IF(VLOOKUP(A800,[6]PRIORIZADOS!$A:$B,2,FALSE)="","",VLOOKUP(A800,[6]PRIORIZADOS!$A:$B,2,FALSE)),"")</f>
        <v>18</v>
      </c>
      <c r="C800" s="11" t="str">
        <f>IFERROR(IF(VLOOKUP(A800,[6]PRIORIZADOS!$A:$C,3,FALSE)="","",VLOOKUP(A800,[6]PRIORIZADOS!$A:$C,3,FALSE)),"")</f>
        <v>ENGATIVÁ</v>
      </c>
      <c r="D800" s="11" t="str">
        <f>IFERROR(IF(VLOOKUP(A800,[6]PRIORIZADOS!$A:$D,4,FALSE)="","",VLOOKUP(A800,[6]PRIORIZADOS!$A:$D,4,FALSE)),"")</f>
        <v>PRIVADO</v>
      </c>
      <c r="E800" s="11" t="str">
        <f>IFERROR(IF(VLOOKUP(A800,[6]PRIORIZADOS!$A:$E,5,FALSE)="","",VLOOKUP(A800,[6]PRIORIZADOS!$A:$E,5,FALSE)),"")</f>
        <v>EPBM</v>
      </c>
      <c r="F800" s="11" t="str">
        <f>IFERROR(IF(VLOOKUP(A800,[6]PRIORIZADOS!$A:$F,6,FALSE)="","",VLOOKUP(A800,[6]PRIORIZADOS!$A:$F,6,FALSE)),"")</f>
        <v>INSTITUTO_TECNICO_ANGELI</v>
      </c>
      <c r="G800" s="11" t="str">
        <f>IFERROR(IF(VLOOKUP(A800,[6]PRIORIZADOS!$A:$G,7,FALSE)="","",VLOOKUP(A800,[6]PRIORIZADOS!$A:$G,7,FALSE)),"")</f>
        <v>INSTITUTO_TECNICO_ANGELI</v>
      </c>
      <c r="H800" s="11" t="str">
        <f>IFERROR(IF(VLOOKUP(A800,[6]PRIORIZADOS!$A:$H,8,FALSE)="","",VLOOKUP(A800,[6]PRIORIZADOS!$A:$H,8,FALSE)),"")</f>
        <v>Autoevaluación Institucional y Pruebas SABER 11</v>
      </c>
      <c r="I800" s="11" t="str">
        <f>IFERROR(IF(VLOOKUP(A800,[6]PRIORIZADOS!$A:$I,9,FALSE)="","",VLOOKUP(A800,[6]PRIORIZADOS!$A:$I,9,FALSE)),"")</f>
        <v>EVALUACIÓN_CON_FINES_DE_MEJORAMIENTO.</v>
      </c>
      <c r="J800" s="11" t="str">
        <f>IFERROR(IF(VLOOKUP(A800,[6]PRIORIZADOS!$A:$J,10,FALSE)="","",VLOOKUP(A800,[6]PRIORIZADOS!$A:$J,10,FALSE)),"")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00" s="11" t="str">
        <f>IFERROR(IF(VLOOKUP(A800,[6]PRIORIZADOS!$A:$K,11,FALSE)="","",VLOOKUP(A800,[6]PRIORIZADOS!$A:$K,11,FALSE)),"")</f>
        <v>LUZ MERY PARRA NOPE</v>
      </c>
      <c r="L800" s="11" t="str">
        <f>IFERROR(IF(VLOOKUP(A800,[6]PRIORIZADOS!$A:$L,12,FALSE)="","",VLOOKUP(A800,[6]PRIORIZADOS!$A:$L,12,FALSE)),"")</f>
        <v>JUAN AGUSTÍN RODRÍGUEZ ROZO</v>
      </c>
      <c r="M800" s="71">
        <f>IFERROR(IF(VLOOKUP(A800,[6]PRIORIZADOS!$A:$M,13,FALSE)="","",VLOOKUP(A800,[6]PRIORIZADOS!$A:$M,13,FALSE)),"")</f>
        <v>45873</v>
      </c>
      <c r="N800" s="139">
        <f>IFERROR(IF(VLOOKUP(A800,[6]PRIORIZADOS!$A:$N,14,FALSE)="","",VLOOKUP(A800,[6]PRIORIZADOS!$A:$N,14,FALSE)),"")</f>
        <v>45891</v>
      </c>
      <c r="O800" s="139">
        <f>IFERROR(IF(VLOOKUP(A800,[6]PRIORIZADOS!$A:$O,15,FALSE)="","",VLOOKUP(A800,[6]PRIORIZADOS!$A:$O,15,FALSE)),"")</f>
        <v>45891</v>
      </c>
      <c r="P800" s="11" t="str">
        <f>IFERROR(IF(VLOOKUP(A800,[6]PRIORIZADOS!$A:$P,16,FALSE)="","",VLOOKUP(A800,[6]PRIORIZADOS!$A:$P,16,FALSE)),"")</f>
        <v>Visitas de evaluación con fines de mejoramiento</v>
      </c>
      <c r="Q800" s="60" t="s">
        <v>147</v>
      </c>
      <c r="R800" s="11" t="str">
        <f>IFERROR(IF(VLOOKUP(A800,[6]PRIORIZADOS!$A:$R,18,FALSE)="","",VLOOKUP(A800,[6]PRIORIZADOS!$A:$R,18,FALSE)),"")</f>
        <v>El EE manifiesta que anualmente realiza la actualización del Manual de Convivencia e incluye la participación de la comunidad educativa. Sin embargo, se realizan algunas observaciones.</v>
      </c>
      <c r="S800" s="11" t="str">
        <f>IFERROR(IF(VLOOKUP(A800,[6]PRIORIZADOS!$A:$S,19,FALSE)="","",VLOOKUP(A800,[6]PRIORIZADOS!$A:$S,19,FALSE)),"")</f>
        <v>Incluir en el manual de convivencia el enfoque restaurativo, igualmente incluir su reglamento interno y plan de trabajo. Incluir el debido proceso en todas sus etapas.  incluir los relacionados con: Promoción de derechos, prevención de vulneraciones y seguimiento de conformidad con la Ley 1620 y el decreto 1965, ambos de 2013.</v>
      </c>
      <c r="T800" s="70" t="str">
        <f>IFERROR(IF(VLOOKUP(A800,[6]PRIORIZADOS!$A:$T,20,FALSE)="","",VLOOKUP(A800,[6]PRIORIZADOS!$A:$T,20,FALSE)),"")</f>
        <v>SI</v>
      </c>
      <c r="U800" s="11" t="str">
        <f>IFERROR(IF(VLOOKUP(A800,[6]PRIORIZADOS!$A:$U,21,FALSE)="","",VLOOKUP(A800,[6]PRIORIZADOS!$A:$U,21,FALSE)),"")</f>
        <v xml:space="preserve">Presentar un plan de mejoramiento que subsane las observaciones realizadas, el plazo para la radicación de dicho plan es de 10 días hábiles posteriores a la visita. </v>
      </c>
    </row>
    <row r="801" spans="1:21" s="1" customFormat="1" ht="96">
      <c r="A801" s="69">
        <f>IF([6]PRIORIZADOS!A167="","",[6]PRIORIZADOS!A167)</f>
        <v>739</v>
      </c>
      <c r="B801" s="70">
        <f>IFERROR(IF(VLOOKUP(A801,[6]PRIORIZADOS!$A:$B,2,FALSE)="","",VLOOKUP(A801,[6]PRIORIZADOS!$A:$B,2,FALSE)),"")</f>
        <v>18</v>
      </c>
      <c r="C801" s="11" t="str">
        <f>IFERROR(IF(VLOOKUP(A801,[6]PRIORIZADOS!$A:$C,3,FALSE)="","",VLOOKUP(A801,[6]PRIORIZADOS!$A:$C,3,FALSE)),"")</f>
        <v>ENGATIVÁ</v>
      </c>
      <c r="D801" s="11" t="str">
        <f>IFERROR(IF(VLOOKUP(A801,[6]PRIORIZADOS!$A:$D,4,FALSE)="","",VLOOKUP(A801,[6]PRIORIZADOS!$A:$D,4,FALSE)),"")</f>
        <v>PRIVADO</v>
      </c>
      <c r="E801" s="11" t="str">
        <f>IFERROR(IF(VLOOKUP(A801,[6]PRIORIZADOS!$A:$E,5,FALSE)="","",VLOOKUP(A801,[6]PRIORIZADOS!$A:$E,5,FALSE)),"")</f>
        <v>EPBM</v>
      </c>
      <c r="F801" s="11" t="str">
        <f>IFERROR(IF(VLOOKUP(A801,[6]PRIORIZADOS!$A:$F,6,FALSE)="","",VLOOKUP(A801,[6]PRIORIZADOS!$A:$F,6,FALSE)),"")</f>
        <v>INSTITUTO_TECNICO_ANGELI</v>
      </c>
      <c r="G801" s="11" t="str">
        <f>IFERROR(IF(VLOOKUP(A801,[6]PRIORIZADOS!$A:$G,7,FALSE)="","",VLOOKUP(A801,[6]PRIORIZADOS!$A:$G,7,FALSE)),"")</f>
        <v>INSTITUTO_TECNICO_ANGELI</v>
      </c>
      <c r="H801" s="11" t="str">
        <f>IFERROR(IF(VLOOKUP(A801,[6]PRIORIZADOS!$A:$H,8,FALSE)="","",VLOOKUP(A801,[6]PRIORIZADOS!$A:$H,8,FALSE)),"")</f>
        <v>Autoevaluación Institucional y Pruebas SABER 11</v>
      </c>
      <c r="I801" s="11" t="str">
        <f>IFERROR(IF(VLOOKUP(A801,[6]PRIORIZADOS!$A:$I,9,FALSE)="","",VLOOKUP(A801,[6]PRIORIZADOS!$A:$I,9,FALSE)),"")</f>
        <v>EVALUACIÓN_CON_FINES_DE_MEJORAMIENTO.</v>
      </c>
      <c r="J801" s="11" t="str">
        <f>IFERROR(IF(VLOOKUP(A801,[6]PRIORIZADOS!$A:$J,10,FALSE)="","",VLOOKUP(A801,[6]PRIORIZADOS!$A:$J,10,FALSE)),"")</f>
        <v>Revisar la actualización, socialización e implementación del Sistema Institucional de Evaluación de Estudiantes - SIEE, en articulación con la actualización del PEI y la normatividad vigente.</v>
      </c>
      <c r="K801" s="11" t="str">
        <f>IFERROR(IF(VLOOKUP(A801,[6]PRIORIZADOS!$A:$K,11,FALSE)="","",VLOOKUP(A801,[6]PRIORIZADOS!$A:$K,11,FALSE)),"")</f>
        <v>LUZ MERY PARRA NOPE</v>
      </c>
      <c r="L801" s="11" t="str">
        <f>IFERROR(IF(VLOOKUP(A801,[6]PRIORIZADOS!$A:$L,12,FALSE)="","",VLOOKUP(A801,[6]PRIORIZADOS!$A:$L,12,FALSE)),"")</f>
        <v>JUAN AGUSTÍN RODRÍGUEZ ROZO</v>
      </c>
      <c r="M801" s="71">
        <f>IFERROR(IF(VLOOKUP(A801,[6]PRIORIZADOS!$A:$M,13,FALSE)="","",VLOOKUP(A801,[6]PRIORIZADOS!$A:$M,13,FALSE)),"")</f>
        <v>45873</v>
      </c>
      <c r="N801" s="139">
        <f>IFERROR(IF(VLOOKUP(A801,[6]PRIORIZADOS!$A:$N,14,FALSE)="","",VLOOKUP(A801,[6]PRIORIZADOS!$A:$N,14,FALSE)),"")</f>
        <v>45891</v>
      </c>
      <c r="O801" s="139">
        <f>IFERROR(IF(VLOOKUP(A801,[6]PRIORIZADOS!$A:$O,15,FALSE)="","",VLOOKUP(A801,[6]PRIORIZADOS!$A:$O,15,FALSE)),"")</f>
        <v>45891</v>
      </c>
      <c r="P801" s="11" t="str">
        <f>IFERROR(IF(VLOOKUP(A801,[6]PRIORIZADOS!$A:$P,16,FALSE)="","",VLOOKUP(A801,[6]PRIORIZADOS!$A:$P,16,FALSE)),"")</f>
        <v>Visitas de evaluación con fines de mejoramiento</v>
      </c>
      <c r="Q801" s="60" t="s">
        <v>147</v>
      </c>
      <c r="R801" s="11" t="str">
        <f>IFERROR(IF(VLOOKUP(A801,[6]PRIORIZADOS!$A:$R,18,FALSE)="","",VLOOKUP(A801,[6]PRIORIZADOS!$A:$R,18,FALSE)),"")</f>
        <v>Se encuentra boletines de cada periodo académico que incluye áreas de objeto de reforzamiento y compromiso con padres de familia, acta de compromiso familiar. El docente de aula nombra un tutor para desarrollar estrategias de aprendizaje colaborativo y actividades de refuerzo en coordinación con los padres de familia.</v>
      </c>
      <c r="S801" s="11" t="str">
        <f>IFERROR(IF(VLOOKUP(A801,[6]PRIORIZADOS!$A:$S,19,FALSE)="","",VLOOKUP(A801,[6]PRIORIZADOS!$A:$S,19,FALSE)),"")</f>
        <v>Seguir implementando estrategias pedagógicas y de apoyo con el respecto al mejoramiento y nivelación de los estudiantes.</v>
      </c>
      <c r="T801" s="70" t="str">
        <f>IFERROR(IF(VLOOKUP(A801,[6]PRIORIZADOS!$A:$T,20,FALSE)="","",VLOOKUP(A801,[6]PRIORIZADOS!$A:$T,20,FALSE)),"")</f>
        <v>NO</v>
      </c>
      <c r="U801" s="11" t="str">
        <f>IFERROR(IF(VLOOKUP(A801,[6]PRIORIZADOS!$A:$U,21,FALSE)="","",VLOOKUP(A801,[6]PRIORIZADOS!$A:$U,21,FALSE)),"")</f>
        <v>Se hará verificación en caso de presentar solicitud o queja ciudadana.</v>
      </c>
    </row>
    <row r="802" spans="1:21" s="1" customFormat="1" ht="48">
      <c r="A802" s="69">
        <f>IF([6]PRIORIZADOS!A168="","",[6]PRIORIZADOS!A168)</f>
        <v>740</v>
      </c>
      <c r="B802" s="70">
        <f>IFERROR(IF(VLOOKUP(A802,[6]PRIORIZADOS!$A:$B,2,FALSE)="","",VLOOKUP(A802,[6]PRIORIZADOS!$A:$B,2,FALSE)),"")</f>
        <v>18</v>
      </c>
      <c r="C802" s="11" t="str">
        <f>IFERROR(IF(VLOOKUP(A802,[6]PRIORIZADOS!$A:$C,3,FALSE)="","",VLOOKUP(A802,[6]PRIORIZADOS!$A:$C,3,FALSE)),"")</f>
        <v>ENGATIVÁ</v>
      </c>
      <c r="D802" s="11" t="str">
        <f>IFERROR(IF(VLOOKUP(A802,[6]PRIORIZADOS!$A:$D,4,FALSE)="","",VLOOKUP(A802,[6]PRIORIZADOS!$A:$D,4,FALSE)),"")</f>
        <v>PRIVADO</v>
      </c>
      <c r="E802" s="11" t="str">
        <f>IFERROR(IF(VLOOKUP(A802,[6]PRIORIZADOS!$A:$E,5,FALSE)="","",VLOOKUP(A802,[6]PRIORIZADOS!$A:$E,5,FALSE)),"")</f>
        <v>EPBM</v>
      </c>
      <c r="F802" s="11" t="str">
        <f>IFERROR(IF(VLOOKUP(A802,[6]PRIORIZADOS!$A:$F,6,FALSE)="","",VLOOKUP(A802,[6]PRIORIZADOS!$A:$F,6,FALSE)),"")</f>
        <v>INSTITUTO_TECNICO_ANGELI</v>
      </c>
      <c r="G802" s="11" t="str">
        <f>IFERROR(IF(VLOOKUP(A802,[6]PRIORIZADOS!$A:$G,7,FALSE)="","",VLOOKUP(A802,[6]PRIORIZADOS!$A:$G,7,FALSE)),"")</f>
        <v>INSTITUTO_TECNICO_ANGELI</v>
      </c>
      <c r="H802" s="11" t="str">
        <f>IFERROR(IF(VLOOKUP(A802,[6]PRIORIZADOS!$A:$H,8,FALSE)="","",VLOOKUP(A802,[6]PRIORIZADOS!$A:$H,8,FALSE)),"")</f>
        <v>Autoevaluación Institucional y Pruebas SABER 11</v>
      </c>
      <c r="I802" s="11" t="str">
        <f>IFERROR(IF(VLOOKUP(A802,[6]PRIORIZADOS!$A:$I,9,FALSE)="","",VLOOKUP(A802,[6]PRIORIZADOS!$A:$I,9,FALSE)),"")</f>
        <v>EVALUACIÓN_CON_FINES_DE_MEJORAMIENTO.</v>
      </c>
      <c r="J802" s="11" t="str">
        <f>IFERROR(IF(VLOOKUP(A802,[6]PRIORIZADOS!$A:$J,10,FALSE)="","",VLOOKUP(A802,[6]PRIORIZADOS!$A:$J,10,FALSE)),"")</f>
        <v>Revisar el calendario escolar, jornada escolar, la intensidad horaria mínima anual en cada nivel y las modificaciones que se realicen al mismo, de acuerdo con lo previsto en la normatividad vigente.</v>
      </c>
      <c r="K802" s="11" t="str">
        <f>IFERROR(IF(VLOOKUP(A802,[6]PRIORIZADOS!$A:$K,11,FALSE)="","",VLOOKUP(A802,[6]PRIORIZADOS!$A:$K,11,FALSE)),"")</f>
        <v>LUZ MERY PARRA NOPE</v>
      </c>
      <c r="L802" s="11" t="str">
        <f>IFERROR(IF(VLOOKUP(A802,[6]PRIORIZADOS!$A:$L,12,FALSE)="","",VLOOKUP(A802,[6]PRIORIZADOS!$A:$L,12,FALSE)),"")</f>
        <v>JUAN AGUSTÍN RODRÍGUEZ ROZO</v>
      </c>
      <c r="M802" s="71">
        <f>IFERROR(IF(VLOOKUP(A802,[6]PRIORIZADOS!$A:$M,13,FALSE)="","",VLOOKUP(A802,[6]PRIORIZADOS!$A:$M,13,FALSE)),"")</f>
        <v>45873</v>
      </c>
      <c r="N802" s="139">
        <f>IFERROR(IF(VLOOKUP(A802,[6]PRIORIZADOS!$A:$N,14,FALSE)="","",VLOOKUP(A802,[6]PRIORIZADOS!$A:$N,14,FALSE)),"")</f>
        <v>45891</v>
      </c>
      <c r="O802" s="139">
        <f>IFERROR(IF(VLOOKUP(A802,[6]PRIORIZADOS!$A:$O,15,FALSE)="","",VLOOKUP(A802,[6]PRIORIZADOS!$A:$O,15,FALSE)),"")</f>
        <v>45891</v>
      </c>
      <c r="P802" s="11" t="str">
        <f>IFERROR(IF(VLOOKUP(A802,[6]PRIORIZADOS!$A:$P,16,FALSE)="","",VLOOKUP(A802,[6]PRIORIZADOS!$A:$P,16,FALSE)),"")</f>
        <v>Visitas de evaluación con fines de mejoramiento</v>
      </c>
      <c r="Q802" s="144" t="s">
        <v>147</v>
      </c>
      <c r="R802" s="11" t="str">
        <f>IFERROR(IF(VLOOKUP(A802,[6]PRIORIZADOS!$A:$R,18,FALSE)="","",VLOOKUP(A802,[6]PRIORIZADOS!$A:$R,18,FALSE)),"")</f>
        <v>Se observa que el calendario escolar, jornada escolar y la intensidad horaria mínima requerida cumple con la normatividad vigente</v>
      </c>
      <c r="S802" s="11" t="str">
        <f>IFERROR(IF(VLOOKUP(A802,[6]PRIORIZADOS!$A:$S,19,FALSE)="","",VLOOKUP(A802,[6]PRIORIZADOS!$A:$S,19,FALSE)),"")</f>
        <v>El EE cumple con la intensidad mínima legal vigente para cada nivel ofrecido.</v>
      </c>
      <c r="T802" s="70" t="str">
        <f>IFERROR(IF(VLOOKUP(A802,[6]PRIORIZADOS!$A:$T,20,FALSE)="","",VLOOKUP(A802,[6]PRIORIZADOS!$A:$T,20,FALSE)),"")</f>
        <v>NO</v>
      </c>
      <c r="U802" s="11" t="str">
        <f>IFERROR(IF(VLOOKUP(A802,[6]PRIORIZADOS!$A:$U,21,FALSE)="","",VLOOKUP(A802,[6]PRIORIZADOS!$A:$U,21,FALSE)),"")</f>
        <v>Se hará verificación en caso de presentar solicitud o queja ciudadana.</v>
      </c>
    </row>
    <row r="803" spans="1:21" s="1" customFormat="1" ht="96">
      <c r="A803" s="69">
        <f>IF([6]PRIORIZADOS!A169="","",[6]PRIORIZADOS!A169)</f>
        <v>741</v>
      </c>
      <c r="B803" s="70">
        <f>IFERROR(IF(VLOOKUP(A803,[6]PRIORIZADOS!$A:$B,2,FALSE)="","",VLOOKUP(A803,[6]PRIORIZADOS!$A:$B,2,FALSE)),"")</f>
        <v>18</v>
      </c>
      <c r="C803" s="11" t="str">
        <f>IFERROR(IF(VLOOKUP(A803,[6]PRIORIZADOS!$A:$C,3,FALSE)="","",VLOOKUP(A803,[6]PRIORIZADOS!$A:$C,3,FALSE)),"")</f>
        <v>ENGATIVÁ</v>
      </c>
      <c r="D803" s="11" t="str">
        <f>IFERROR(IF(VLOOKUP(A803,[6]PRIORIZADOS!$A:$D,4,FALSE)="","",VLOOKUP(A803,[6]PRIORIZADOS!$A:$D,4,FALSE)),"")</f>
        <v>PRIVADO</v>
      </c>
      <c r="E803" s="11" t="str">
        <f>IFERROR(IF(VLOOKUP(A803,[6]PRIORIZADOS!$A:$E,5,FALSE)="","",VLOOKUP(A803,[6]PRIORIZADOS!$A:$E,5,FALSE)),"")</f>
        <v>EPBM</v>
      </c>
      <c r="F803" s="11" t="str">
        <f>IFERROR(IF(VLOOKUP(A803,[6]PRIORIZADOS!$A:$F,6,FALSE)="","",VLOOKUP(A803,[6]PRIORIZADOS!$A:$F,6,FALSE)),"")</f>
        <v>INSTITUTO_TECNICO_ANGELI</v>
      </c>
      <c r="G803" s="11" t="str">
        <f>IFERROR(IF(VLOOKUP(A803,[6]PRIORIZADOS!$A:$G,7,FALSE)="","",VLOOKUP(A803,[6]PRIORIZADOS!$A:$G,7,FALSE)),"")</f>
        <v>INSTITUTO_TECNICO_ANGELI</v>
      </c>
      <c r="H803" s="11" t="str">
        <f>IFERROR(IF(VLOOKUP(A803,[6]PRIORIZADOS!$A:$H,8,FALSE)="","",VLOOKUP(A803,[6]PRIORIZADOS!$A:$H,8,FALSE)),"")</f>
        <v>Autoevaluación Institucional y Pruebas SABER 11</v>
      </c>
      <c r="I803" s="11" t="str">
        <f>IFERROR(IF(VLOOKUP(A803,[6]PRIORIZADOS!$A:$I,9,FALSE)="","",VLOOKUP(A803,[6]PRIORIZADOS!$A:$I,9,FALSE)),"")</f>
        <v>EVALUACIÓN_CON_FINES_DE_MEJORAMIENTO.</v>
      </c>
      <c r="J803" s="11" t="str">
        <f>IFERROR(IF(VLOOKUP(A803,[6]PRIORIZADOS!$A:$J,10,FALSE)="","",VLOOKUP(A803,[6]PRIORIZADOS!$A:$J,10,FALSE)),"")</f>
        <v>Verificar el funcionamiento del Gobierno Escolar e instancias de participación con base en la información sobre conformación reportada por la institución educativa.</v>
      </c>
      <c r="K803" s="11" t="str">
        <f>IFERROR(IF(VLOOKUP(A803,[6]PRIORIZADOS!$A:$K,11,FALSE)="","",VLOOKUP(A803,[6]PRIORIZADOS!$A:$K,11,FALSE)),"")</f>
        <v>LUZ MERY PARRA NOPE</v>
      </c>
      <c r="L803" s="11" t="str">
        <f>IFERROR(IF(VLOOKUP(A803,[6]PRIORIZADOS!$A:$L,12,FALSE)="","",VLOOKUP(A803,[6]PRIORIZADOS!$A:$L,12,FALSE)),"")</f>
        <v>JUAN AGUSTÍN RODRÍGUEZ ROZO</v>
      </c>
      <c r="M803" s="71">
        <f>IFERROR(IF(VLOOKUP(A803,[6]PRIORIZADOS!$A:$M,13,FALSE)="","",VLOOKUP(A803,[6]PRIORIZADOS!$A:$M,13,FALSE)),"")</f>
        <v>45873</v>
      </c>
      <c r="N803" s="139">
        <f>IFERROR(IF(VLOOKUP(A803,[6]PRIORIZADOS!$A:$N,14,FALSE)="","",VLOOKUP(A803,[6]PRIORIZADOS!$A:$N,14,FALSE)),"")</f>
        <v>45891</v>
      </c>
      <c r="O803" s="139">
        <f>IFERROR(IF(VLOOKUP(A803,[6]PRIORIZADOS!$A:$O,15,FALSE)="","",VLOOKUP(A803,[6]PRIORIZADOS!$A:$O,15,FALSE)),"")</f>
        <v>45891</v>
      </c>
      <c r="P803" s="11" t="str">
        <f>IFERROR(IF(VLOOKUP(A803,[6]PRIORIZADOS!$A:$P,16,FALSE)="","",VLOOKUP(A803,[6]PRIORIZADOS!$A:$P,16,FALSE)),"")</f>
        <v>Visitas de evaluación con fines de mejoramiento</v>
      </c>
      <c r="Q803" s="144" t="s">
        <v>147</v>
      </c>
      <c r="R803" s="11" t="str">
        <f>IFERROR(IF(VLOOKUP(A803,[6]PRIORIZADOS!$A:$R,18,FALSE)="","",VLOOKUP(A803,[6]PRIORIZADOS!$A:$R,18,FALSE)),"")</f>
        <v>Se observa las actas de conformación y seguimiento de las diferentes instancias del gobierno escolar</v>
      </c>
      <c r="S803" s="11" t="str">
        <f>IFERROR(IF(VLOOKUP(A803,[6]PRIORIZADOS!$A:$S,19,FALSE)="","",VLOOKUP(A803,[6]PRIORIZADOS!$A:$S,19,FALSE)),"")</f>
        <v>Se recomienda incluir una agenda de cada reunión, que las actas se realicen en computador y se impriman. Con base en los resultados académicos de los estudiantes, formular planes de acción tendientes a solucionar vacíos o debilidades en el desarrollo de las mallas curriculares.</v>
      </c>
      <c r="T803" s="70" t="str">
        <f>IFERROR(IF(VLOOKUP(A803,[6]PRIORIZADOS!$A:$T,20,FALSE)="","",VLOOKUP(A803,[6]PRIORIZADOS!$A:$T,20,FALSE)),"")</f>
        <v>No</v>
      </c>
      <c r="U803" s="11" t="str">
        <f>IFERROR(IF(VLOOKUP(A803,[6]PRIORIZADOS!$A:$U,21,FALSE)="","",VLOOKUP(A803,[6]PRIORIZADOS!$A:$U,21,FALSE)),"")</f>
        <v>Se hará verificación en caso de presentar solicitud o queja ciudadana.</v>
      </c>
    </row>
    <row r="804" spans="1:21" s="1" customFormat="1" ht="60">
      <c r="A804" s="69">
        <f>IF([6]PRIORIZADOS!A170="","",[6]PRIORIZADOS!A170)</f>
        <v>742</v>
      </c>
      <c r="B804" s="70">
        <f>IFERROR(IF(VLOOKUP(A804,[6]PRIORIZADOS!$A:$B,2,FALSE)="","",VLOOKUP(A804,[6]PRIORIZADOS!$A:$B,2,FALSE)),"")</f>
        <v>18</v>
      </c>
      <c r="C804" s="11" t="str">
        <f>IFERROR(IF(VLOOKUP(A804,[6]PRIORIZADOS!$A:$C,3,FALSE)="","",VLOOKUP(A804,[6]PRIORIZADOS!$A:$C,3,FALSE)),"")</f>
        <v>ENGATIVÁ</v>
      </c>
      <c r="D804" s="11" t="str">
        <f>IFERROR(IF(VLOOKUP(A804,[6]PRIORIZADOS!$A:$D,4,FALSE)="","",VLOOKUP(A804,[6]PRIORIZADOS!$A:$D,4,FALSE)),"")</f>
        <v>PRIVADO</v>
      </c>
      <c r="E804" s="11" t="str">
        <f>IFERROR(IF(VLOOKUP(A804,[6]PRIORIZADOS!$A:$E,5,FALSE)="","",VLOOKUP(A804,[6]PRIORIZADOS!$A:$E,5,FALSE)),"")</f>
        <v>EPBM</v>
      </c>
      <c r="F804" s="11" t="str">
        <f>IFERROR(IF(VLOOKUP(A804,[6]PRIORIZADOS!$A:$F,6,FALSE)="","",VLOOKUP(A804,[6]PRIORIZADOS!$A:$F,6,FALSE)),"")</f>
        <v>INSTITUTO_TECNICO_ANGELI</v>
      </c>
      <c r="G804" s="11" t="str">
        <f>IFERROR(IF(VLOOKUP(A804,[6]PRIORIZADOS!$A:$G,7,FALSE)="","",VLOOKUP(A804,[6]PRIORIZADOS!$A:$G,7,FALSE)),"")</f>
        <v>INSTITUTO_TECNICO_ANGELI</v>
      </c>
      <c r="H804" s="11" t="str">
        <f>IFERROR(IF(VLOOKUP(A804,[6]PRIORIZADOS!$A:$H,8,FALSE)="","",VLOOKUP(A804,[6]PRIORIZADOS!$A:$H,8,FALSE)),"")</f>
        <v>Autoevaluación Institucional y Pruebas SABER 11</v>
      </c>
      <c r="I804" s="11" t="str">
        <f>IFERROR(IF(VLOOKUP(A804,[6]PRIORIZADOS!$A:$I,9,FALSE)="","",VLOOKUP(A804,[6]PRIORIZADOS!$A:$I,9,FALSE)),"")</f>
        <v>EVALUACIÓN_CON_FINES_DE_MEJORAMIENTO.</v>
      </c>
      <c r="J804" s="11" t="str">
        <f>IFERROR(IF(VLOOKUP(A804,[6]PRIORIZADOS!$A:$J,10,FALSE)="","",VLOOKUP(A804,[6]PRIORIZADOS!$A:$J,10,FALSE)),"")</f>
        <v>Verificar las condiciones en cuanto a: la estructura administrativa, condiciones de la planta física y medios educativos adecuados.</v>
      </c>
      <c r="K804" s="11" t="str">
        <f>IFERROR(IF(VLOOKUP(A804,[6]PRIORIZADOS!$A:$K,11,FALSE)="","",VLOOKUP(A804,[6]PRIORIZADOS!$A:$K,11,FALSE)),"")</f>
        <v>LUZ MERY PARRA NOPE</v>
      </c>
      <c r="L804" s="11" t="str">
        <f>IFERROR(IF(VLOOKUP(A804,[6]PRIORIZADOS!$A:$L,12,FALSE)="","",VLOOKUP(A804,[6]PRIORIZADOS!$A:$L,12,FALSE)),"")</f>
        <v>JUAN AGUSTÍN RODRÍGUEZ ROZO</v>
      </c>
      <c r="M804" s="71">
        <f>IFERROR(IF(VLOOKUP(A804,[6]PRIORIZADOS!$A:$M,13,FALSE)="","",VLOOKUP(A804,[6]PRIORIZADOS!$A:$M,13,FALSE)),"")</f>
        <v>45873</v>
      </c>
      <c r="N804" s="139">
        <f>IFERROR(IF(VLOOKUP(A804,[6]PRIORIZADOS!$A:$N,14,FALSE)="","",VLOOKUP(A804,[6]PRIORIZADOS!$A:$N,14,FALSE)),"")</f>
        <v>45891</v>
      </c>
      <c r="O804" s="139">
        <f>IFERROR(IF(VLOOKUP(A804,[6]PRIORIZADOS!$A:$O,15,FALSE)="","",VLOOKUP(A804,[6]PRIORIZADOS!$A:$O,15,FALSE)),"")</f>
        <v>45891</v>
      </c>
      <c r="P804" s="11" t="str">
        <f>IFERROR(IF(VLOOKUP(A804,[6]PRIORIZADOS!$A:$P,16,FALSE)="","",VLOOKUP(A804,[6]PRIORIZADOS!$A:$P,16,FALSE)),"")</f>
        <v>Visitas de evaluación con fines de mejoramiento</v>
      </c>
      <c r="Q804" s="145" t="s">
        <v>147</v>
      </c>
      <c r="R804" s="11" t="str">
        <f>IFERROR(IF(VLOOKUP(A804,[6]PRIORIZADOS!$A:$R,18,FALSE)="","",VLOOKUP(A804,[6]PRIORIZADOS!$A:$R,18,FALSE)),"")</f>
        <v>Al realizar el recorrido por la planta física del EE se observa que se encuentra en buen estado. Sin embargo, se observa falta de mantenimiento en algunos espacios al interior de la sede A.</v>
      </c>
      <c r="S804" s="11" t="str">
        <f>IFERROR(IF(VLOOKUP(A804,[6]PRIORIZADOS!$A:$S,19,FALSE)="","",VLOOKUP(A804,[6]PRIORIZADOS!$A:$S,19,FALSE)),"")</f>
        <v>Realizar mantenimiento preventivo y correctivo en algunas partes especificas del Colegio de la sede A.</v>
      </c>
      <c r="T804" s="70" t="str">
        <f>IFERROR(IF(VLOOKUP(A804,[6]PRIORIZADOS!$A:$T,20,FALSE)="","",VLOOKUP(A804,[6]PRIORIZADOS!$A:$T,20,FALSE)),"")</f>
        <v>Si</v>
      </c>
      <c r="U804" s="11" t="str">
        <f>IFERROR(IF(VLOOKUP(A804,[6]PRIORIZADOS!$A:$U,21,FALSE)="","",VLOOKUP(A804,[6]PRIORIZADOS!$A:$U,21,FALSE)),"")</f>
        <v xml:space="preserve">Presentar un plan de mejoramiento que subsane las observaciones realizadas, el plazo para la radicación de dicho plan es de 10 días hábiles posteriores a la visita. </v>
      </c>
    </row>
    <row r="805" spans="1:21" s="1" customFormat="1" ht="130.5">
      <c r="A805" s="69">
        <f>IF([6]PRIORIZADOS!A171="","",[6]PRIORIZADOS!A171)</f>
        <v>743</v>
      </c>
      <c r="B805" s="70">
        <f>IFERROR(IF(VLOOKUP(A805,[6]PRIORIZADOS!$A:$B,2,FALSE)="","",VLOOKUP(A805,[6]PRIORIZADOS!$A:$B,2,FALSE)),"")</f>
        <v>19</v>
      </c>
      <c r="C805" s="11" t="str">
        <f>IFERROR(IF(VLOOKUP(A805,[6]PRIORIZADOS!$A:$C,3,FALSE)="","",VLOOKUP(A805,[6]PRIORIZADOS!$A:$C,3,FALSE)),"")</f>
        <v>ENGATIVÁ</v>
      </c>
      <c r="D805" s="11" t="str">
        <f>IFERROR(IF(VLOOKUP(A805,[6]PRIORIZADOS!$A:$D,4,FALSE)="","",VLOOKUP(A805,[6]PRIORIZADOS!$A:$D,4,FALSE)),"")</f>
        <v>PRIVADO</v>
      </c>
      <c r="E805" s="11" t="str">
        <f>IFERROR(IF(VLOOKUP(A805,[6]PRIORIZADOS!$A:$E,5,FALSE)="","",VLOOKUP(A805,[6]PRIORIZADOS!$A:$E,5,FALSE)),"")</f>
        <v>Educación de Jóvenes y Adultos</v>
      </c>
      <c r="F805" s="11" t="str">
        <f>IFERROR(IF(VLOOKUP(A805,[6]PRIORIZADOS!$A:$F,6,FALSE)="","",VLOOKUP(A805,[6]PRIORIZADOS!$A:$F,6,FALSE)),"")</f>
        <v>ATENEO_JUAN_EUDES</v>
      </c>
      <c r="G805" s="11" t="str">
        <f>IFERROR(IF(VLOOKUP(A805,[6]PRIORIZADOS!$A:$G,7,FALSE)="","",VLOOKUP(A805,[6]PRIORIZADOS!$A:$G,7,FALSE)),"")</f>
        <v>ATENEO_JUAN_EUDES</v>
      </c>
      <c r="H805" s="11" t="str">
        <f>IFERROR(IF(VLOOKUP(A805,[6]PRIORIZADOS!$A:$H,8,FALSE)="","",VLOOKUP(A805,[6]PRIORIZADOS!$A:$H,8,FALSE)),"")</f>
        <v>Autoevaluación Institucional y Pruebas SABER 11</v>
      </c>
      <c r="I805" s="11" t="str">
        <f>IFERROR(IF(VLOOKUP(A805,[6]PRIORIZADOS!$A:$I,9,FALSE)="","",VLOOKUP(A805,[6]PRIORIZADOS!$A:$I,9,FALSE)),"")</f>
        <v>SEGUIMIENTO_Y_SUPERVISIÓN.</v>
      </c>
      <c r="J805" s="11" t="str">
        <f>IFERROR(IF(VLOOKUP(A805,[6]PRIORIZADOS!$A:$J,10,FALSE)="","",VLOOKUP(A805,[6]PRIORIZADOS!$A:$J,10,FALSE)),"")</f>
        <v>Realizar visitas para verificar la información registrada sobre la autoevaluación institucional en el aplicativo EVI, a los establecimientos de educación formal no oficial.</v>
      </c>
      <c r="K805" s="11" t="str">
        <f>IFERROR(IF(VLOOKUP(A805,[6]PRIORIZADOS!$A:$K,11,FALSE)="","",VLOOKUP(A805,[6]PRIORIZADOS!$A:$K,11,FALSE)),"")</f>
        <v>LUZ MERY PARRA NOPE</v>
      </c>
      <c r="L805" s="11" t="str">
        <f>IFERROR(IF(VLOOKUP(A805,[6]PRIORIZADOS!$A:$L,12,FALSE)="","",VLOOKUP(A805,[6]PRIORIZADOS!$A:$L,12,FALSE)),"")</f>
        <v>FREDDY CLAROS PEÑA</v>
      </c>
      <c r="M805" s="71">
        <f>IFERROR(IF(VLOOKUP(A805,[6]PRIORIZADOS!$A:$M,13,FALSE)="","",VLOOKUP(A805,[6]PRIORIZADOS!$A:$M,13,FALSE)),"")</f>
        <v>45744</v>
      </c>
      <c r="N805" s="139">
        <f>IFERROR(IF(VLOOKUP(A805,[6]PRIORIZADOS!$A:$N,14,FALSE)="","",VLOOKUP(A805,[6]PRIORIZADOS!$A:$N,14,FALSE)),"")</f>
        <v>45744</v>
      </c>
      <c r="O805" s="139">
        <f>IFERROR(IF(VLOOKUP(A805,[6]PRIORIZADOS!$A:$O,15,FALSE)="","",VLOOKUP(A805,[6]PRIORIZADOS!$A:$O,15,FALSE)),"")</f>
        <v>45744</v>
      </c>
      <c r="P805" s="11" t="str">
        <f>IFERROR(IF(VLOOKUP(A805,[6]PRIORIZADOS!$A:$P,16,FALSE)="","",VLOOKUP(A805,[6]PRIORIZADOS!$A:$P,16,FALSE)),"")</f>
        <v>Visitas de evaluación con fines de seguimiento</v>
      </c>
      <c r="Q805" s="107" t="s">
        <v>148</v>
      </c>
      <c r="R805" s="11" t="str">
        <f>IFERROR(IF(VLOOKUP(A805,[6]PRIORIZADOS!$A:$R,18,FALSE)="","",VLOOKUP(A805,[6]PRIORIZADOS!$A:$R,18,FALSE)),"")</f>
        <v>La información cargada en EVI coincide con lo registrado en EVI. Sin embargo, se observa que deben ajustar las baterias de baño e inventario de biblioteca. De otro lado, se observa en res de lic de funcionamiento jornada tarde, pero el colegio tiene jornada unica, se solicita modicar licencia.  Realizar actualización en SIMAT de matricula con estudiantes activos. 4 docentes con perfil profesional no cuentan con curso de pedagogia.</v>
      </c>
      <c r="S805" s="11" t="str">
        <f>IFERROR(IF(VLOOKUP(A805,[6]PRIORIZADOS!$A:$S,19,FALSE)="","",VLOOKUP(A805,[6]PRIORIZADOS!$A:$S,19,FALSE)),"")</f>
        <v>La IE se compromete a realizar los ajustes correspondientes.</v>
      </c>
      <c r="T805" s="70" t="str">
        <f>IFERROR(IF(VLOOKUP(A805,[6]PRIORIZADOS!$A:$T,20,FALSE)="","",VLOOKUP(A805,[6]PRIORIZADOS!$A:$T,20,FALSE)),"")</f>
        <v>No</v>
      </c>
      <c r="U805" s="11" t="str">
        <f>IFERROR(IF(VLOOKUP(A805,[6]PRIORIZADOS!$A:$U,21,FALSE)="","",VLOOKUP(A805,[6]PRIORIZADOS!$A:$U,21,FALSE)),"")</f>
        <v>Realizar seguimiento en autoevaluación de tarifas para el año 2026.</v>
      </c>
    </row>
    <row r="806" spans="1:21" s="1" customFormat="1" ht="60">
      <c r="A806" s="69">
        <f>IF([6]PRIORIZADOS!A172="","",[6]PRIORIZADOS!A172)</f>
        <v>744</v>
      </c>
      <c r="B806" s="70">
        <f>IFERROR(IF(VLOOKUP(A806,[6]PRIORIZADOS!$A:$B,2,FALSE)="","",VLOOKUP(A806,[6]PRIORIZADOS!$A:$B,2,FALSE)),"")</f>
        <v>19</v>
      </c>
      <c r="C806" s="11" t="str">
        <f>IFERROR(IF(VLOOKUP(A806,[6]PRIORIZADOS!$A:$C,3,FALSE)="","",VLOOKUP(A806,[6]PRIORIZADOS!$A:$C,3,FALSE)),"")</f>
        <v>ENGATIVÁ</v>
      </c>
      <c r="D806" s="11" t="str">
        <f>IFERROR(IF(VLOOKUP(A806,[6]PRIORIZADOS!$A:$D,4,FALSE)="","",VLOOKUP(A806,[6]PRIORIZADOS!$A:$D,4,FALSE)),"")</f>
        <v>PRIVADO</v>
      </c>
      <c r="E806" s="11" t="str">
        <f>IFERROR(IF(VLOOKUP(A806,[6]PRIORIZADOS!$A:$E,5,FALSE)="","",VLOOKUP(A806,[6]PRIORIZADOS!$A:$E,5,FALSE)),"")</f>
        <v>Educación de Jóvenes y Adultos</v>
      </c>
      <c r="F806" s="11" t="str">
        <f>IFERROR(IF(VLOOKUP(A806,[6]PRIORIZADOS!$A:$F,6,FALSE)="","",VLOOKUP(A806,[6]PRIORIZADOS!$A:$F,6,FALSE)),"")</f>
        <v>ATENEO_JUAN_EUDES</v>
      </c>
      <c r="G806" s="11" t="str">
        <f>IFERROR(IF(VLOOKUP(A806,[6]PRIORIZADOS!$A:$G,7,FALSE)="","",VLOOKUP(A806,[6]PRIORIZADOS!$A:$G,7,FALSE)),"")</f>
        <v>ATENEO_JUAN_EUDES</v>
      </c>
      <c r="H806" s="11" t="str">
        <f>IFERROR(IF(VLOOKUP(A806,[6]PRIORIZADOS!$A:$H,8,FALSE)="","",VLOOKUP(A806,[6]PRIORIZADOS!$A:$H,8,FALSE)),"")</f>
        <v>Autoevaluación Institucional y Pruebas SABER 11</v>
      </c>
      <c r="I806" s="11" t="str">
        <f>IFERROR(IF(VLOOKUP(A806,[6]PRIORIZADOS!$A:$I,9,FALSE)="","",VLOOKUP(A806,[6]PRIORIZADOS!$A:$I,9,FALSE)),"")</f>
        <v>SEGUIMIENTO_Y_SUPERVISIÓN.</v>
      </c>
      <c r="J806" s="11" t="str">
        <f>IFERROR(IF(VLOOKUP(A806,[6]PRIORIZADOS!$A:$J,10,FALSE)="","",VLOOKUP(A806,[6]PRIORIZADOS!$A:$J,10,FALSE)),"")</f>
        <v>Proponer estrategias en la formulación, verificar su elaboración y realizar seguimiento semestral al desarrollo de  las acciones establecidas en los planes de mejoramiento por pruebas SABER 11 de los establecimientos de educación formal.</v>
      </c>
      <c r="K806" s="11" t="str">
        <f>IFERROR(IF(VLOOKUP(A806,[6]PRIORIZADOS!$A:$K,11,FALSE)="","",VLOOKUP(A806,[6]PRIORIZADOS!$A:$K,11,FALSE)),"")</f>
        <v>LUZ MERY PARRA NOPE</v>
      </c>
      <c r="L806" s="11" t="str">
        <f>IFERROR(IF(VLOOKUP(A806,[6]PRIORIZADOS!$A:$L,12,FALSE)="","",VLOOKUP(A806,[6]PRIORIZADOS!$A:$L,12,FALSE)),"")</f>
        <v>FREDDY CLAROS PEÑA</v>
      </c>
      <c r="M806" s="71">
        <f>IFERROR(IF(VLOOKUP(A806,[6]PRIORIZADOS!$A:$M,13,FALSE)="","",VLOOKUP(A806,[6]PRIORIZADOS!$A:$M,13,FALSE)),"")</f>
        <v>45744</v>
      </c>
      <c r="N806" s="139">
        <f>IFERROR(IF(VLOOKUP(A806,[6]PRIORIZADOS!$A:$N,14,FALSE)="","",VLOOKUP(A806,[6]PRIORIZADOS!$A:$N,14,FALSE)),"")</f>
        <v>45744</v>
      </c>
      <c r="O806" s="139">
        <f>IFERROR(IF(VLOOKUP(A806,[6]PRIORIZADOS!$A:$O,15,FALSE)="","",VLOOKUP(A806,[6]PRIORIZADOS!$A:$O,15,FALSE)),"")</f>
        <v>45744</v>
      </c>
      <c r="P806" s="11" t="str">
        <f>IFERROR(IF(VLOOKUP(A806,[6]PRIORIZADOS!$A:$P,16,FALSE)="","",VLOOKUP(A806,[6]PRIORIZADOS!$A:$P,16,FALSE)),"")</f>
        <v>Visitas de evaluación con fines de seguimiento</v>
      </c>
      <c r="Q806" s="107" t="s">
        <v>148</v>
      </c>
      <c r="R806" s="11" t="str">
        <f>IFERROR(IF(VLOOKUP(A806,[6]PRIORIZADOS!$A:$R,18,FALSE)="","",VLOOKUP(A806,[6]PRIORIZADOS!$A:$R,18,FALSE)),"")</f>
        <v xml:space="preserve">La IE realizó un informe de los resultados de los ultimos 5 años, con base en esos resultados se realizan practivas tipo ICFES cada viernes </v>
      </c>
      <c r="S806" s="11" t="str">
        <f>IFERROR(IF(VLOOKUP(A806,[6]PRIORIZADOS!$A:$S,19,FALSE)="","",VLOOKUP(A806,[6]PRIORIZADOS!$A:$S,19,FALSE)),"")</f>
        <v xml:space="preserve">La IE realizará plan de mejoramiento con base en los resultados de 2024, estructurando acciones que mejores los resultados del 2025 </v>
      </c>
      <c r="T806" s="70" t="str">
        <f>IFERROR(IF(VLOOKUP(A806,[6]PRIORIZADOS!$A:$T,20,FALSE)="","",VLOOKUP(A806,[6]PRIORIZADOS!$A:$T,20,FALSE)),"")</f>
        <v>Si</v>
      </c>
      <c r="U806" s="11" t="str">
        <f>IFERROR(IF(VLOOKUP(A806,[6]PRIORIZADOS!$A:$U,21,FALSE)="","",VLOOKUP(A806,[6]PRIORIZADOS!$A:$U,21,FALSE)),"")</f>
        <v>La IE tiene plazo para radicación del plan de mejoramiento el 11 de abril. Una vez radicado procedemos con la revisión</v>
      </c>
    </row>
    <row r="807" spans="1:21" s="1" customFormat="1" ht="48">
      <c r="A807" s="69">
        <f>IF([6]PRIORIZADOS!A173="","",[6]PRIORIZADOS!A173)</f>
        <v>745</v>
      </c>
      <c r="B807" s="70">
        <f>IFERROR(IF(VLOOKUP(A807,[6]PRIORIZADOS!$A:$B,2,FALSE)="","",VLOOKUP(A807,[6]PRIORIZADOS!$A:$B,2,FALSE)),"")</f>
        <v>19</v>
      </c>
      <c r="C807" s="11" t="str">
        <f>IFERROR(IF(VLOOKUP(A807,[6]PRIORIZADOS!$A:$C,3,FALSE)="","",VLOOKUP(A807,[6]PRIORIZADOS!$A:$C,3,FALSE)),"")</f>
        <v>ENGATIVÁ</v>
      </c>
      <c r="D807" s="11" t="str">
        <f>IFERROR(IF(VLOOKUP(A807,[6]PRIORIZADOS!$A:$D,4,FALSE)="","",VLOOKUP(A807,[6]PRIORIZADOS!$A:$D,4,FALSE)),"")</f>
        <v>PRIVADO</v>
      </c>
      <c r="E807" s="11" t="str">
        <f>IFERROR(IF(VLOOKUP(A807,[6]PRIORIZADOS!$A:$E,5,FALSE)="","",VLOOKUP(A807,[6]PRIORIZADOS!$A:$E,5,FALSE)),"")</f>
        <v>Educación de Jóvenes y Adultos</v>
      </c>
      <c r="F807" s="11" t="str">
        <f>IFERROR(IF(VLOOKUP(A807,[6]PRIORIZADOS!$A:$F,6,FALSE)="","",VLOOKUP(A807,[6]PRIORIZADOS!$A:$F,6,FALSE)),"")</f>
        <v>ATENEO_JUAN_EUDES</v>
      </c>
      <c r="G807" s="11" t="str">
        <f>IFERROR(IF(VLOOKUP(A807,[6]PRIORIZADOS!$A:$G,7,FALSE)="","",VLOOKUP(A807,[6]PRIORIZADOS!$A:$G,7,FALSE)),"")</f>
        <v>ATENEO_JUAN_EUDES</v>
      </c>
      <c r="H807" s="11" t="str">
        <f>IFERROR(IF(VLOOKUP(A807,[6]PRIORIZADOS!$A:$H,8,FALSE)="","",VLOOKUP(A807,[6]PRIORIZADOS!$A:$H,8,FALSE)),"")</f>
        <v>Autoevaluación Institucional y Pruebas SABER 11</v>
      </c>
      <c r="I807" s="11" t="str">
        <f>IFERROR(IF(VLOOKUP(A807,[6]PRIORIZADOS!$A:$I,9,FALSE)="","",VLOOKUP(A807,[6]PRIORIZADOS!$A:$I,9,FALSE)),"")</f>
        <v>SEGUIMIENTO_Y_SUPERVISIÓN.</v>
      </c>
      <c r="J807" s="11" t="str">
        <f>IFERROR(IF(VLOOKUP(A807,[6]PRIORIZADOS!$A:$J,10,FALSE)="","",VLOOKUP(A807,[6]PRIORIZADOS!$A:$J,10,FALSE)),"")</f>
        <v xml:space="preserve">Verificar la implementación por parte de los colegios, de acciones realizadas para la prevención y atención de las situaciones de convivencia en el entorno escolar, según lo establecido en la Directiva 01 de 2022 del MEN. </v>
      </c>
      <c r="K807" s="11" t="str">
        <f>IFERROR(IF(VLOOKUP(A807,[6]PRIORIZADOS!$A:$K,11,FALSE)="","",VLOOKUP(A807,[6]PRIORIZADOS!$A:$K,11,FALSE)),"")</f>
        <v>LUZ MERY PARRA NOPE</v>
      </c>
      <c r="L807" s="11" t="str">
        <f>IFERROR(IF(VLOOKUP(A807,[6]PRIORIZADOS!$A:$L,12,FALSE)="","",VLOOKUP(A807,[6]PRIORIZADOS!$A:$L,12,FALSE)),"")</f>
        <v>FREDDY CLAROS PEÑA</v>
      </c>
      <c r="M807" s="71">
        <f>IFERROR(IF(VLOOKUP(A807,[6]PRIORIZADOS!$A:$M,13,FALSE)="","",VLOOKUP(A807,[6]PRIORIZADOS!$A:$M,13,FALSE)),"")</f>
        <v>45744</v>
      </c>
      <c r="N807" s="139">
        <f>IFERROR(IF(VLOOKUP(A807,[6]PRIORIZADOS!$A:$N,14,FALSE)="","",VLOOKUP(A807,[6]PRIORIZADOS!$A:$N,14,FALSE)),"")</f>
        <v>45744</v>
      </c>
      <c r="O807" s="139">
        <f>IFERROR(IF(VLOOKUP(A807,[6]PRIORIZADOS!$A:$O,15,FALSE)="","",VLOOKUP(A807,[6]PRIORIZADOS!$A:$O,15,FALSE)),"")</f>
        <v>45744</v>
      </c>
      <c r="P807" s="11" t="str">
        <f>IFERROR(IF(VLOOKUP(A807,[6]PRIORIZADOS!$A:$P,16,FALSE)="","",VLOOKUP(A807,[6]PRIORIZADOS!$A:$P,16,FALSE)),"")</f>
        <v>Visitas de evaluación con fines de seguimiento</v>
      </c>
      <c r="Q807" s="107" t="s">
        <v>148</v>
      </c>
      <c r="R807" s="11" t="str">
        <f>IFERROR(IF(VLOOKUP(A807,[6]PRIORIZADOS!$A:$R,18,FALSE)="","",VLOOKUP(A807,[6]PRIORIZADOS!$A:$R,18,FALSE)),"")</f>
        <v>la IE aporta evidencia de la verificación de consulta de  inhabilidades por delitos sexuales en la página de la Policía Nacional</v>
      </c>
      <c r="S807" s="11" t="str">
        <f>IFERROR(IF(VLOOKUP(A807,[6]PRIORIZADOS!$A:$S,19,FALSE)="","",VLOOKUP(A807,[6]PRIORIZADOS!$A:$S,19,FALSE)),"")</f>
        <v>La IE se compromete a realizar dicha consulta cada 4 meses</v>
      </c>
      <c r="T807" s="70" t="str">
        <f>IFERROR(IF(VLOOKUP(A807,[6]PRIORIZADOS!$A:$T,20,FALSE)="","",VLOOKUP(A807,[6]PRIORIZADOS!$A:$T,20,FALSE)),"")</f>
        <v>No</v>
      </c>
      <c r="U807" s="11" t="str">
        <f>IFERROR(IF(VLOOKUP(A807,[6]PRIORIZADOS!$A:$U,21,FALSE)="","",VLOOKUP(A807,[6]PRIORIZADOS!$A:$U,21,FALSE)),"")</f>
        <v>Se hará verificación en caso de presentar solicitud o queja ciudadana.</v>
      </c>
    </row>
    <row r="808" spans="1:21" s="1" customFormat="1" ht="72">
      <c r="A808" s="69">
        <f>IF([6]PRIORIZADOS!A174="","",[6]PRIORIZADOS!A174)</f>
        <v>746</v>
      </c>
      <c r="B808" s="70">
        <f>IFERROR(IF(VLOOKUP(A808,[6]PRIORIZADOS!$A:$B,2,FALSE)="","",VLOOKUP(A808,[6]PRIORIZADOS!$A:$B,2,FALSE)),"")</f>
        <v>19</v>
      </c>
      <c r="C808" s="11" t="str">
        <f>IFERROR(IF(VLOOKUP(A808,[6]PRIORIZADOS!$A:$C,3,FALSE)="","",VLOOKUP(A808,[6]PRIORIZADOS!$A:$C,3,FALSE)),"")</f>
        <v>ENGATIVÁ</v>
      </c>
      <c r="D808" s="11" t="str">
        <f>IFERROR(IF(VLOOKUP(A808,[6]PRIORIZADOS!$A:$D,4,FALSE)="","",VLOOKUP(A808,[6]PRIORIZADOS!$A:$D,4,FALSE)),"")</f>
        <v>PRIVADO</v>
      </c>
      <c r="E808" s="11" t="str">
        <f>IFERROR(IF(VLOOKUP(A808,[6]PRIORIZADOS!$A:$E,5,FALSE)="","",VLOOKUP(A808,[6]PRIORIZADOS!$A:$E,5,FALSE)),"")</f>
        <v>Educación de Jóvenes y Adultos</v>
      </c>
      <c r="F808" s="11" t="str">
        <f>IFERROR(IF(VLOOKUP(A808,[6]PRIORIZADOS!$A:$F,6,FALSE)="","",VLOOKUP(A808,[6]PRIORIZADOS!$A:$F,6,FALSE)),"")</f>
        <v>ATENEO_JUAN_EUDES</v>
      </c>
      <c r="G808" s="11" t="str">
        <f>IFERROR(IF(VLOOKUP(A808,[6]PRIORIZADOS!$A:$G,7,FALSE)="","",VLOOKUP(A808,[6]PRIORIZADOS!$A:$G,7,FALSE)),"")</f>
        <v>ATENEO_JUAN_EUDES</v>
      </c>
      <c r="H808" s="11" t="str">
        <f>IFERROR(IF(VLOOKUP(A808,[6]PRIORIZADOS!$A:$H,8,FALSE)="","",VLOOKUP(A808,[6]PRIORIZADOS!$A:$H,8,FALSE)),"")</f>
        <v>Autoevaluación Institucional y Pruebas SABER 11</v>
      </c>
      <c r="I808" s="11" t="str">
        <f>IFERROR(IF(VLOOKUP(A808,[6]PRIORIZADOS!$A:$I,9,FALSE)="","",VLOOKUP(A808,[6]PRIORIZADOS!$A:$I,9,FALSE)),"")</f>
        <v>SEGUIMIENTO_Y_SUPERVISIÓN.</v>
      </c>
      <c r="J808" s="11" t="str">
        <f>IFERROR(IF(VLOOKUP(A808,[6]PRIORIZADOS!$A:$J,10,FALSE)="","",VLOOKUP(A808,[6]PRIORIZADOS!$A:$J,10,FALSE)),"")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08" s="11" t="str">
        <f>IFERROR(IF(VLOOKUP(A808,[6]PRIORIZADOS!$A:$K,11,FALSE)="","",VLOOKUP(A808,[6]PRIORIZADOS!$A:$K,11,FALSE)),"")</f>
        <v>LUZ MERY PARRA NOPE</v>
      </c>
      <c r="L808" s="11" t="str">
        <f>IFERROR(IF(VLOOKUP(A808,[6]PRIORIZADOS!$A:$L,12,FALSE)="","",VLOOKUP(A808,[6]PRIORIZADOS!$A:$L,12,FALSE)),"")</f>
        <v>FREDDY CLAROS PEÑA</v>
      </c>
      <c r="M808" s="71">
        <f>IFERROR(IF(VLOOKUP(A808,[6]PRIORIZADOS!$A:$M,13,FALSE)="","",VLOOKUP(A808,[6]PRIORIZADOS!$A:$M,13,FALSE)),"")</f>
        <v>45744</v>
      </c>
      <c r="N808" s="139">
        <f>IFERROR(IF(VLOOKUP(A808,[6]PRIORIZADOS!$A:$N,14,FALSE)="","",VLOOKUP(A808,[6]PRIORIZADOS!$A:$N,14,FALSE)),"")</f>
        <v>45744</v>
      </c>
      <c r="O808" s="139">
        <f>IFERROR(IF(VLOOKUP(A808,[6]PRIORIZADOS!$A:$O,15,FALSE)="","",VLOOKUP(A808,[6]PRIORIZADOS!$A:$O,15,FALSE)),"")</f>
        <v>45744</v>
      </c>
      <c r="P808" s="11" t="str">
        <f>IFERROR(IF(VLOOKUP(A808,[6]PRIORIZADOS!$A:$P,16,FALSE)="","",VLOOKUP(A808,[6]PRIORIZADOS!$A:$P,16,FALSE)),"")</f>
        <v>Visitas de evaluación con fines de seguimiento</v>
      </c>
      <c r="Q808" s="107" t="s">
        <v>148</v>
      </c>
      <c r="R808" s="11" t="str">
        <f>IFERROR(IF(VLOOKUP(A808,[6]PRIORIZADOS!$A:$R,18,FALSE)="","",VLOOKUP(A808,[6]PRIORIZADOS!$A:$R,18,FALSE)),"")</f>
        <v>Se han realizado 7 PIAR, se observa el seguimiento realizado por la Orientadora a cada uno de ellos. No se observa estudiantes de inclusión en SIMAT</v>
      </c>
      <c r="S808" s="11" t="str">
        <f>IFERROR(IF(VLOOKUP(A808,[6]PRIORIZADOS!$A:$S,19,FALSE)="","",VLOOKUP(A808,[6]PRIORIZADOS!$A:$S,19,FALSE)),"")</f>
        <v>Actualizar SIMAT e incluir estudiantes de inclusión, dado que a la fecha no se encuentran registrado</v>
      </c>
      <c r="T808" s="70" t="str">
        <f>IFERROR(IF(VLOOKUP(A808,[6]PRIORIZADOS!$A:$T,20,FALSE)="","",VLOOKUP(A808,[6]PRIORIZADOS!$A:$T,20,FALSE)),"")</f>
        <v>Si</v>
      </c>
      <c r="U808" s="11" t="str">
        <f>IFERROR(IF(VLOOKUP(A808,[6]PRIORIZADOS!$A:$U,21,FALSE)="","",VLOOKUP(A808,[6]PRIORIZADOS!$A:$U,21,FALSE)),"")</f>
        <v>La IE tiene plazo para radicación del plan de mejoramiento el 11 de abril. Una vez radicado procedemos con la revisión</v>
      </c>
    </row>
    <row r="809" spans="1:21" s="1" customFormat="1" ht="84">
      <c r="A809" s="69">
        <f>IF([6]PRIORIZADOS!A175="","",[6]PRIORIZADOS!A175)</f>
        <v>747</v>
      </c>
      <c r="B809" s="70">
        <f>IFERROR(IF(VLOOKUP(A809,[6]PRIORIZADOS!$A:$B,2,FALSE)="","",VLOOKUP(A809,[6]PRIORIZADOS!$A:$B,2,FALSE)),"")</f>
        <v>19</v>
      </c>
      <c r="C809" s="11" t="str">
        <f>IFERROR(IF(VLOOKUP(A809,[6]PRIORIZADOS!$A:$C,3,FALSE)="","",VLOOKUP(A809,[6]PRIORIZADOS!$A:$C,3,FALSE)),"")</f>
        <v>ENGATIVÁ</v>
      </c>
      <c r="D809" s="11" t="str">
        <f>IFERROR(IF(VLOOKUP(A809,[6]PRIORIZADOS!$A:$D,4,FALSE)="","",VLOOKUP(A809,[6]PRIORIZADOS!$A:$D,4,FALSE)),"")</f>
        <v>PRIVADO</v>
      </c>
      <c r="E809" s="11" t="str">
        <f>IFERROR(IF(VLOOKUP(A809,[6]PRIORIZADOS!$A:$E,5,FALSE)="","",VLOOKUP(A809,[6]PRIORIZADOS!$A:$E,5,FALSE)),"")</f>
        <v>Educación de Jóvenes y Adultos</v>
      </c>
      <c r="F809" s="11" t="str">
        <f>IFERROR(IF(VLOOKUP(A809,[6]PRIORIZADOS!$A:$F,6,FALSE)="","",VLOOKUP(A809,[6]PRIORIZADOS!$A:$F,6,FALSE)),"")</f>
        <v>ATENEO_JUAN_EUDES</v>
      </c>
      <c r="G809" s="11" t="str">
        <f>IFERROR(IF(VLOOKUP(A809,[6]PRIORIZADOS!$A:$G,7,FALSE)="","",VLOOKUP(A809,[6]PRIORIZADOS!$A:$G,7,FALSE)),"")</f>
        <v>ATENEO_JUAN_EUDES</v>
      </c>
      <c r="H809" s="11" t="str">
        <f>IFERROR(IF(VLOOKUP(A809,[6]PRIORIZADOS!$A:$H,8,FALSE)="","",VLOOKUP(A809,[6]PRIORIZADOS!$A:$H,8,FALSE)),"")</f>
        <v>Autoevaluación Institucional y Pruebas SABER 11</v>
      </c>
      <c r="I809" s="11" t="str">
        <f>IFERROR(IF(VLOOKUP(A809,[6]PRIORIZADOS!$A:$I,9,FALSE)="","",VLOOKUP(A809,[6]PRIORIZADOS!$A:$I,9,FALSE)),"")</f>
        <v>EVALUACIÓN_CON_FINES_DE_MEJORAMIENTO.</v>
      </c>
      <c r="J809" s="11" t="str">
        <f>IFERROR(IF(VLOOKUP(A809,[6]PRIORIZADOS!$A:$J,10,FALSE)="","",VLOOKUP(A809,[6]PRIORIZADOS!$A:$J,10,FALSE)),"")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09" s="11" t="str">
        <f>IFERROR(IF(VLOOKUP(A809,[6]PRIORIZADOS!$A:$K,11,FALSE)="","",VLOOKUP(A809,[6]PRIORIZADOS!$A:$K,11,FALSE)),"")</f>
        <v>LUZ MERY PARRA NOPE</v>
      </c>
      <c r="L809" s="11" t="str">
        <f>IFERROR(IF(VLOOKUP(A809,[6]PRIORIZADOS!$A:$L,12,FALSE)="","",VLOOKUP(A809,[6]PRIORIZADOS!$A:$L,12,FALSE)),"")</f>
        <v>FREDDY CLAROS PEÑA</v>
      </c>
      <c r="M809" s="71">
        <f>IFERROR(IF(VLOOKUP(A809,[6]PRIORIZADOS!$A:$M,13,FALSE)="","",VLOOKUP(A809,[6]PRIORIZADOS!$A:$M,13,FALSE)),"")</f>
        <v>45744</v>
      </c>
      <c r="N809" s="139">
        <f>IFERROR(IF(VLOOKUP(A809,[6]PRIORIZADOS!$A:$N,14,FALSE)="","",VLOOKUP(A809,[6]PRIORIZADOS!$A:$N,14,FALSE)),"")</f>
        <v>45744</v>
      </c>
      <c r="O809" s="139">
        <f>IFERROR(IF(VLOOKUP(A809,[6]PRIORIZADOS!$A:$O,15,FALSE)="","",VLOOKUP(A809,[6]PRIORIZADOS!$A:$O,15,FALSE)),"")</f>
        <v>45744</v>
      </c>
      <c r="P809" s="11" t="str">
        <f>IFERROR(IF(VLOOKUP(A809,[6]PRIORIZADOS!$A:$P,16,FALSE)="","",VLOOKUP(A809,[6]PRIORIZADOS!$A:$P,16,FALSE)),"")</f>
        <v>Visitas de evaluación con fines de mejoramiento</v>
      </c>
      <c r="Q809" s="107" t="s">
        <v>148</v>
      </c>
      <c r="R809" s="11" t="str">
        <f>IFERROR(IF(VLOOKUP(A809,[6]PRIORIZADOS!$A:$R,18,FALSE)="","",VLOOKUP(A809,[6]PRIORIZADOS!$A:$R,18,FALSE)),"")</f>
        <v>El manual no contiene enfoques que fomentan el respeto, la valoración de la diversidad y el enfoque restaurativo. Tampoco se realiza de forma participativa</v>
      </c>
      <c r="S809" s="11" t="str">
        <f>IFERROR(IF(VLOOKUP(A809,[6]PRIORIZADOS!$A:$S,19,FALSE)="","",VLOOKUP(A809,[6]PRIORIZADOS!$A:$S,19,FALSE)),"")</f>
        <v>Actualizar manual de convivencia que incluya estos enfoques. Incluir servicio social.</v>
      </c>
      <c r="T809" s="70" t="str">
        <f>IFERROR(IF(VLOOKUP(A809,[6]PRIORIZADOS!$A:$T,20,FALSE)="","",VLOOKUP(A809,[6]PRIORIZADOS!$A:$T,20,FALSE)),"")</f>
        <v>Si</v>
      </c>
      <c r="U809" s="11" t="str">
        <f>IFERROR(IF(VLOOKUP(A809,[6]PRIORIZADOS!$A:$U,21,FALSE)="","",VLOOKUP(A809,[6]PRIORIZADOS!$A:$U,21,FALSE)),"")</f>
        <v>La IE tiene plazo para radicación del plan de mejoramiento el 11 de abril. Una vez radicado procedemos con la revisión</v>
      </c>
    </row>
    <row r="810" spans="1:21" s="1" customFormat="1" ht="60">
      <c r="A810" s="69">
        <f>IF([6]PRIORIZADOS!A176="","",[6]PRIORIZADOS!A176)</f>
        <v>748</v>
      </c>
      <c r="B810" s="70">
        <f>IFERROR(IF(VLOOKUP(A810,[6]PRIORIZADOS!$A:$B,2,FALSE)="","",VLOOKUP(A810,[6]PRIORIZADOS!$A:$B,2,FALSE)),"")</f>
        <v>19</v>
      </c>
      <c r="C810" s="11" t="str">
        <f>IFERROR(IF(VLOOKUP(A810,[6]PRIORIZADOS!$A:$C,3,FALSE)="","",VLOOKUP(A810,[6]PRIORIZADOS!$A:$C,3,FALSE)),"")</f>
        <v>ENGATIVÁ</v>
      </c>
      <c r="D810" s="11" t="str">
        <f>IFERROR(IF(VLOOKUP(A810,[6]PRIORIZADOS!$A:$D,4,FALSE)="","",VLOOKUP(A810,[6]PRIORIZADOS!$A:$D,4,FALSE)),"")</f>
        <v>PRIVADO</v>
      </c>
      <c r="E810" s="11" t="str">
        <f>IFERROR(IF(VLOOKUP(A810,[6]PRIORIZADOS!$A:$E,5,FALSE)="","",VLOOKUP(A810,[6]PRIORIZADOS!$A:$E,5,FALSE)),"")</f>
        <v>Educación de Jóvenes y Adultos</v>
      </c>
      <c r="F810" s="11" t="str">
        <f>IFERROR(IF(VLOOKUP(A810,[6]PRIORIZADOS!$A:$F,6,FALSE)="","",VLOOKUP(A810,[6]PRIORIZADOS!$A:$F,6,FALSE)),"")</f>
        <v>ATENEO_JUAN_EUDES</v>
      </c>
      <c r="G810" s="11" t="str">
        <f>IFERROR(IF(VLOOKUP(A810,[6]PRIORIZADOS!$A:$G,7,FALSE)="","",VLOOKUP(A810,[6]PRIORIZADOS!$A:$G,7,FALSE)),"")</f>
        <v>ATENEO_JUAN_EUDES</v>
      </c>
      <c r="H810" s="11" t="str">
        <f>IFERROR(IF(VLOOKUP(A810,[6]PRIORIZADOS!$A:$H,8,FALSE)="","",VLOOKUP(A810,[6]PRIORIZADOS!$A:$H,8,FALSE)),"")</f>
        <v>Autoevaluación Institucional y Pruebas SABER 11</v>
      </c>
      <c r="I810" s="11" t="str">
        <f>IFERROR(IF(VLOOKUP(A810,[6]PRIORIZADOS!$A:$I,9,FALSE)="","",VLOOKUP(A810,[6]PRIORIZADOS!$A:$I,9,FALSE)),"")</f>
        <v>EVALUACIÓN_CON_FINES_DE_MEJORAMIENTO.</v>
      </c>
      <c r="J810" s="11" t="str">
        <f>IFERROR(IF(VLOOKUP(A810,[6]PRIORIZADOS!$A:$J,10,FALSE)="","",VLOOKUP(A810,[6]PRIORIZADOS!$A:$J,10,FALSE)),"")</f>
        <v>Revisar la actualización, socialización e implementación del Sistema Institucional de Evaluación de Estudiantes - SIEE, en articulación con la actualización del PEI y la normatividad vigente.</v>
      </c>
      <c r="K810" s="11" t="str">
        <f>IFERROR(IF(VLOOKUP(A810,[6]PRIORIZADOS!$A:$K,11,FALSE)="","",VLOOKUP(A810,[6]PRIORIZADOS!$A:$K,11,FALSE)),"")</f>
        <v>LUZ MERY PARRA NOPE</v>
      </c>
      <c r="L810" s="11" t="str">
        <f>IFERROR(IF(VLOOKUP(A810,[6]PRIORIZADOS!$A:$L,12,FALSE)="","",VLOOKUP(A810,[6]PRIORIZADOS!$A:$L,12,FALSE)),"")</f>
        <v>FREDDY CLAROS PEÑA</v>
      </c>
      <c r="M810" s="71">
        <f>IFERROR(IF(VLOOKUP(A810,[6]PRIORIZADOS!$A:$M,13,FALSE)="","",VLOOKUP(A810,[6]PRIORIZADOS!$A:$M,13,FALSE)),"")</f>
        <v>45744</v>
      </c>
      <c r="N810" s="139">
        <f>IFERROR(IF(VLOOKUP(A810,[6]PRIORIZADOS!$A:$N,14,FALSE)="","",VLOOKUP(A810,[6]PRIORIZADOS!$A:$N,14,FALSE)),"")</f>
        <v>45744</v>
      </c>
      <c r="O810" s="139">
        <f>IFERROR(IF(VLOOKUP(A810,[6]PRIORIZADOS!$A:$O,15,FALSE)="","",VLOOKUP(A810,[6]PRIORIZADOS!$A:$O,15,FALSE)),"")</f>
        <v>45744</v>
      </c>
      <c r="P810" s="11" t="str">
        <f>IFERROR(IF(VLOOKUP(A810,[6]PRIORIZADOS!$A:$P,16,FALSE)="","",VLOOKUP(A810,[6]PRIORIZADOS!$A:$P,16,FALSE)),"")</f>
        <v>Visitas de evaluación con fines de mejoramiento</v>
      </c>
      <c r="Q810" s="107" t="s">
        <v>148</v>
      </c>
      <c r="R810" s="11" t="str">
        <f>IFERROR(IF(VLOOKUP(A810,[6]PRIORIZADOS!$A:$R,18,FALSE)="","",VLOOKUP(A810,[6]PRIORIZADOS!$A:$R,18,FALSE)),"")</f>
        <v>Se evidencia autoevaluación y co-evaluación en cuanto al SIEE. El PEI no se actualizado</v>
      </c>
      <c r="S810" s="11" t="str">
        <f>IFERROR(IF(VLOOKUP(A810,[6]PRIORIZADOS!$A:$S,19,FALSE)="","",VLOOKUP(A810,[6]PRIORIZADOS!$A:$S,19,FALSE)),"")</f>
        <v>Realizar actualización del PEI, en cuanto a  competencias básicas, ciudadanas, laborales generales y socioemocionales. Unir mallas curriculares con el PEI. Incluir orgranigrama en el PEI</v>
      </c>
      <c r="T810" s="70" t="str">
        <f>IFERROR(IF(VLOOKUP(A810,[6]PRIORIZADOS!$A:$T,20,FALSE)="","",VLOOKUP(A810,[6]PRIORIZADOS!$A:$T,20,FALSE)),"")</f>
        <v>Si</v>
      </c>
      <c r="U810" s="11" t="str">
        <f>IFERROR(IF(VLOOKUP(A810,[6]PRIORIZADOS!$A:$U,21,FALSE)="","",VLOOKUP(A810,[6]PRIORIZADOS!$A:$U,21,FALSE)),"")</f>
        <v>La IE tiene plazo para radicación del plan de mejoramiento el 11 de abril. Una vez radicado procedemos con la revisión</v>
      </c>
    </row>
    <row r="811" spans="1:21" s="1" customFormat="1" ht="60">
      <c r="A811" s="69">
        <f>IF([6]PRIORIZADOS!A177="","",[6]PRIORIZADOS!A177)</f>
        <v>749</v>
      </c>
      <c r="B811" s="70">
        <f>IFERROR(IF(VLOOKUP(A811,[6]PRIORIZADOS!$A:$B,2,FALSE)="","",VLOOKUP(A811,[6]PRIORIZADOS!$A:$B,2,FALSE)),"")</f>
        <v>19</v>
      </c>
      <c r="C811" s="11" t="str">
        <f>IFERROR(IF(VLOOKUP(A811,[6]PRIORIZADOS!$A:$C,3,FALSE)="","",VLOOKUP(A811,[6]PRIORIZADOS!$A:$C,3,FALSE)),"")</f>
        <v>ENGATIVÁ</v>
      </c>
      <c r="D811" s="11" t="str">
        <f>IFERROR(IF(VLOOKUP(A811,[6]PRIORIZADOS!$A:$D,4,FALSE)="","",VLOOKUP(A811,[6]PRIORIZADOS!$A:$D,4,FALSE)),"")</f>
        <v>PRIVADO</v>
      </c>
      <c r="E811" s="11" t="str">
        <f>IFERROR(IF(VLOOKUP(A811,[6]PRIORIZADOS!$A:$E,5,FALSE)="","",VLOOKUP(A811,[6]PRIORIZADOS!$A:$E,5,FALSE)),"")</f>
        <v>Educación de Jóvenes y Adultos</v>
      </c>
      <c r="F811" s="11" t="str">
        <f>IFERROR(IF(VLOOKUP(A811,[6]PRIORIZADOS!$A:$F,6,FALSE)="","",VLOOKUP(A811,[6]PRIORIZADOS!$A:$F,6,FALSE)),"")</f>
        <v>ATENEO_JUAN_EUDES</v>
      </c>
      <c r="G811" s="11" t="str">
        <f>IFERROR(IF(VLOOKUP(A811,[6]PRIORIZADOS!$A:$G,7,FALSE)="","",VLOOKUP(A811,[6]PRIORIZADOS!$A:$G,7,FALSE)),"")</f>
        <v>ATENEO_JUAN_EUDES</v>
      </c>
      <c r="H811" s="11" t="str">
        <f>IFERROR(IF(VLOOKUP(A811,[6]PRIORIZADOS!$A:$H,8,FALSE)="","",VLOOKUP(A811,[6]PRIORIZADOS!$A:$H,8,FALSE)),"")</f>
        <v>Autoevaluación Institucional y Pruebas SABER 11</v>
      </c>
      <c r="I811" s="11" t="str">
        <f>IFERROR(IF(VLOOKUP(A811,[6]PRIORIZADOS!$A:$I,9,FALSE)="","",VLOOKUP(A811,[6]PRIORIZADOS!$A:$I,9,FALSE)),"")</f>
        <v>EVALUACIÓN_CON_FINES_DE_MEJORAMIENTO.</v>
      </c>
      <c r="J811" s="11" t="str">
        <f>IFERROR(IF(VLOOKUP(A811,[6]PRIORIZADOS!$A:$J,10,FALSE)="","",VLOOKUP(A811,[6]PRIORIZADOS!$A:$J,10,FALSE)),"")</f>
        <v>Revisar el calendario escolar, jornada escolar, la intensidad horaria mínima anual en cada nivel y las modificaciones que se realicen al mismo, de acuerdo con lo previsto en la normatividad vigente.</v>
      </c>
      <c r="K811" s="11" t="str">
        <f>IFERROR(IF(VLOOKUP(A811,[6]PRIORIZADOS!$A:$K,11,FALSE)="","",VLOOKUP(A811,[6]PRIORIZADOS!$A:$K,11,FALSE)),"")</f>
        <v>LUZ MERY PARRA NOPE</v>
      </c>
      <c r="L811" s="11" t="str">
        <f>IFERROR(IF(VLOOKUP(A811,[6]PRIORIZADOS!$A:$L,12,FALSE)="","",VLOOKUP(A811,[6]PRIORIZADOS!$A:$L,12,FALSE)),"")</f>
        <v>FREDDY CLAROS PEÑA</v>
      </c>
      <c r="M811" s="71">
        <f>IFERROR(IF(VLOOKUP(A811,[6]PRIORIZADOS!$A:$M,13,FALSE)="","",VLOOKUP(A811,[6]PRIORIZADOS!$A:$M,13,FALSE)),"")</f>
        <v>45744</v>
      </c>
      <c r="N811" s="139">
        <f>IFERROR(IF(VLOOKUP(A811,[6]PRIORIZADOS!$A:$N,14,FALSE)="","",VLOOKUP(A811,[6]PRIORIZADOS!$A:$N,14,FALSE)),"")</f>
        <v>45744</v>
      </c>
      <c r="O811" s="139">
        <f>IFERROR(IF(VLOOKUP(A811,[6]PRIORIZADOS!$A:$O,15,FALSE)="","",VLOOKUP(A811,[6]PRIORIZADOS!$A:$O,15,FALSE)),"")</f>
        <v>45744</v>
      </c>
      <c r="P811" s="11" t="str">
        <f>IFERROR(IF(VLOOKUP(A811,[6]PRIORIZADOS!$A:$P,16,FALSE)="","",VLOOKUP(A811,[6]PRIORIZADOS!$A:$P,16,FALSE)),"")</f>
        <v>Visitas de evaluación con fines de mejoramiento</v>
      </c>
      <c r="Q811" s="107" t="s">
        <v>148</v>
      </c>
      <c r="R811" s="11" t="str">
        <f>IFERROR(IF(VLOOKUP(A811,[6]PRIORIZADOS!$A:$R,18,FALSE)="","",VLOOKUP(A811,[6]PRIORIZADOS!$A:$R,18,FALSE)),"")</f>
        <v xml:space="preserve">Se observa una intensidad horaria de 1.200 horas, al igual que horario extra, correspondiente a nivelaciones cuando algún estudiante lo requiera.
 </v>
      </c>
      <c r="S811" s="11" t="str">
        <f>IFERROR(IF(VLOOKUP(A811,[6]PRIORIZADOS!$A:$S,19,FALSE)="","",VLOOKUP(A811,[6]PRIORIZADOS!$A:$S,19,FALSE)),"")</f>
        <v/>
      </c>
      <c r="T811" s="70" t="str">
        <f>IFERROR(IF(VLOOKUP(A811,[6]PRIORIZADOS!$A:$T,20,FALSE)="","",VLOOKUP(A811,[6]PRIORIZADOS!$A:$T,20,FALSE)),"")</f>
        <v>No</v>
      </c>
      <c r="U811" s="11" t="str">
        <f>IFERROR(IF(VLOOKUP(A811,[6]PRIORIZADOS!$A:$U,21,FALSE)="","",VLOOKUP(A811,[6]PRIORIZADOS!$A:$U,21,FALSE)),"")</f>
        <v>Se hará verificación en caso de presentar solicitud o queja ciudadana.</v>
      </c>
    </row>
    <row r="812" spans="1:21" s="1" customFormat="1" ht="72">
      <c r="A812" s="69">
        <f>IF([6]PRIORIZADOS!A178="","",[6]PRIORIZADOS!A178)</f>
        <v>750</v>
      </c>
      <c r="B812" s="70">
        <f>IFERROR(IF(VLOOKUP(A812,[6]PRIORIZADOS!$A:$B,2,FALSE)="","",VLOOKUP(A812,[6]PRIORIZADOS!$A:$B,2,FALSE)),"")</f>
        <v>19</v>
      </c>
      <c r="C812" s="11" t="str">
        <f>IFERROR(IF(VLOOKUP(A812,[6]PRIORIZADOS!$A:$C,3,FALSE)="","",VLOOKUP(A812,[6]PRIORIZADOS!$A:$C,3,FALSE)),"")</f>
        <v>ENGATIVÁ</v>
      </c>
      <c r="D812" s="11" t="str">
        <f>IFERROR(IF(VLOOKUP(A812,[6]PRIORIZADOS!$A:$D,4,FALSE)="","",VLOOKUP(A812,[6]PRIORIZADOS!$A:$D,4,FALSE)),"")</f>
        <v>PRIVADO</v>
      </c>
      <c r="E812" s="11" t="str">
        <f>IFERROR(IF(VLOOKUP(A812,[6]PRIORIZADOS!$A:$E,5,FALSE)="","",VLOOKUP(A812,[6]PRIORIZADOS!$A:$E,5,FALSE)),"")</f>
        <v>Educación de Jóvenes y Adultos</v>
      </c>
      <c r="F812" s="11" t="str">
        <f>IFERROR(IF(VLOOKUP(A812,[6]PRIORIZADOS!$A:$F,6,FALSE)="","",VLOOKUP(A812,[6]PRIORIZADOS!$A:$F,6,FALSE)),"")</f>
        <v>ATENEO_JUAN_EUDES</v>
      </c>
      <c r="G812" s="11" t="str">
        <f>IFERROR(IF(VLOOKUP(A812,[6]PRIORIZADOS!$A:$G,7,FALSE)="","",VLOOKUP(A812,[6]PRIORIZADOS!$A:$G,7,FALSE)),"")</f>
        <v>ATENEO_JUAN_EUDES</v>
      </c>
      <c r="H812" s="11" t="str">
        <f>IFERROR(IF(VLOOKUP(A812,[6]PRIORIZADOS!$A:$H,8,FALSE)="","",VLOOKUP(A812,[6]PRIORIZADOS!$A:$H,8,FALSE)),"")</f>
        <v>Autoevaluación Institucional y Pruebas SABER 11</v>
      </c>
      <c r="I812" s="11" t="str">
        <f>IFERROR(IF(VLOOKUP(A812,[6]PRIORIZADOS!$A:$I,9,FALSE)="","",VLOOKUP(A812,[6]PRIORIZADOS!$A:$I,9,FALSE)),"")</f>
        <v>EVALUACIÓN_CON_FINES_DE_MEJORAMIENTO.</v>
      </c>
      <c r="J812" s="11" t="str">
        <f>IFERROR(IF(VLOOKUP(A812,[6]PRIORIZADOS!$A:$J,10,FALSE)="","",VLOOKUP(A812,[6]PRIORIZADOS!$A:$J,10,FALSE)),"")</f>
        <v>Verificar el funcionamiento del Gobierno Escolar e instancias de participación con base en la información sobre conformación reportada por la institución educativa.</v>
      </c>
      <c r="K812" s="11" t="str">
        <f>IFERROR(IF(VLOOKUP(A812,[6]PRIORIZADOS!$A:$K,11,FALSE)="","",VLOOKUP(A812,[6]PRIORIZADOS!$A:$K,11,FALSE)),"")</f>
        <v>LUZ MERY PARRA NOPE</v>
      </c>
      <c r="L812" s="11" t="str">
        <f>IFERROR(IF(VLOOKUP(A812,[6]PRIORIZADOS!$A:$L,12,FALSE)="","",VLOOKUP(A812,[6]PRIORIZADOS!$A:$L,12,FALSE)),"")</f>
        <v>FREDDY CLAROS PEÑA</v>
      </c>
      <c r="M812" s="71">
        <f>IFERROR(IF(VLOOKUP(A812,[6]PRIORIZADOS!$A:$M,13,FALSE)="","",VLOOKUP(A812,[6]PRIORIZADOS!$A:$M,13,FALSE)),"")</f>
        <v>45744</v>
      </c>
      <c r="N812" s="139">
        <f>IFERROR(IF(VLOOKUP(A812,[6]PRIORIZADOS!$A:$N,14,FALSE)="","",VLOOKUP(A812,[6]PRIORIZADOS!$A:$N,14,FALSE)),"")</f>
        <v>45744</v>
      </c>
      <c r="O812" s="139">
        <f>IFERROR(IF(VLOOKUP(A812,[6]PRIORIZADOS!$A:$O,15,FALSE)="","",VLOOKUP(A812,[6]PRIORIZADOS!$A:$O,15,FALSE)),"")</f>
        <v>45744</v>
      </c>
      <c r="P812" s="11" t="str">
        <f>IFERROR(IF(VLOOKUP(A812,[6]PRIORIZADOS!$A:$P,16,FALSE)="","",VLOOKUP(A812,[6]PRIORIZADOS!$A:$P,16,FALSE)),"")</f>
        <v>Visitas de evaluación con fines de mejoramiento</v>
      </c>
      <c r="Q812" s="107" t="s">
        <v>148</v>
      </c>
      <c r="R812" s="11" t="str">
        <f>IFERROR(IF(VLOOKUP(A812,[6]PRIORIZADOS!$A:$R,18,FALSE)="","",VLOOKUP(A812,[6]PRIORIZADOS!$A:$R,18,FALSE)),"")</f>
        <v>Se observa actas de conformación de Gobierno Escolar en los formatos establecidos, de igual forma se evidencia el cargue de estas en el SAE. Aportan cronograma de reuniones con todas las instancias.</v>
      </c>
      <c r="S812" s="11" t="str">
        <f>IFERROR(IF(VLOOKUP(A812,[6]PRIORIZADOS!$A:$S,19,FALSE)="","",VLOOKUP(A812,[6]PRIORIZADOS!$A:$S,19,FALSE)),"")</f>
        <v/>
      </c>
      <c r="T812" s="70" t="str">
        <f>IFERROR(IF(VLOOKUP(A812,[6]PRIORIZADOS!$A:$T,20,FALSE)="","",VLOOKUP(A812,[6]PRIORIZADOS!$A:$T,20,FALSE)),"")</f>
        <v>No</v>
      </c>
      <c r="U812" s="11" t="str">
        <f>IFERROR(IF(VLOOKUP(A812,[6]PRIORIZADOS!$A:$U,21,FALSE)="","",VLOOKUP(A812,[6]PRIORIZADOS!$A:$U,21,FALSE)),"")</f>
        <v>Se hará verificación en caso de presentar solicitud o queja ciudadana.</v>
      </c>
    </row>
    <row r="813" spans="1:21" s="1" customFormat="1" ht="72">
      <c r="A813" s="69">
        <f>IF([6]PRIORIZADOS!A179="","",[6]PRIORIZADOS!A179)</f>
        <v>751</v>
      </c>
      <c r="B813" s="70">
        <f>IFERROR(IF(VLOOKUP(A813,[6]PRIORIZADOS!$A:$B,2,FALSE)="","",VLOOKUP(A813,[6]PRIORIZADOS!$A:$B,2,FALSE)),"")</f>
        <v>19</v>
      </c>
      <c r="C813" s="11" t="str">
        <f>IFERROR(IF(VLOOKUP(A813,[6]PRIORIZADOS!$A:$C,3,FALSE)="","",VLOOKUP(A813,[6]PRIORIZADOS!$A:$C,3,FALSE)),"")</f>
        <v>ENGATIVÁ</v>
      </c>
      <c r="D813" s="11" t="str">
        <f>IFERROR(IF(VLOOKUP(A813,[6]PRIORIZADOS!$A:$D,4,FALSE)="","",VLOOKUP(A813,[6]PRIORIZADOS!$A:$D,4,FALSE)),"")</f>
        <v>PRIVADO</v>
      </c>
      <c r="E813" s="11" t="str">
        <f>IFERROR(IF(VLOOKUP(A813,[6]PRIORIZADOS!$A:$E,5,FALSE)="","",VLOOKUP(A813,[6]PRIORIZADOS!$A:$E,5,FALSE)),"")</f>
        <v>Educación de Jóvenes y Adultos</v>
      </c>
      <c r="F813" s="11" t="str">
        <f>IFERROR(IF(VLOOKUP(A813,[6]PRIORIZADOS!$A:$F,6,FALSE)="","",VLOOKUP(A813,[6]PRIORIZADOS!$A:$F,6,FALSE)),"")</f>
        <v>ATENEO_JUAN_EUDES</v>
      </c>
      <c r="G813" s="11" t="str">
        <f>IFERROR(IF(VLOOKUP(A813,[6]PRIORIZADOS!$A:$G,7,FALSE)="","",VLOOKUP(A813,[6]PRIORIZADOS!$A:$G,7,FALSE)),"")</f>
        <v>ATENEO_JUAN_EUDES</v>
      </c>
      <c r="H813" s="11" t="str">
        <f>IFERROR(IF(VLOOKUP(A813,[6]PRIORIZADOS!$A:$H,8,FALSE)="","",VLOOKUP(A813,[6]PRIORIZADOS!$A:$H,8,FALSE)),"")</f>
        <v>Autoevaluación Institucional y Pruebas SABER 11</v>
      </c>
      <c r="I813" s="11" t="str">
        <f>IFERROR(IF(VLOOKUP(A813,[6]PRIORIZADOS!$A:$I,9,FALSE)="","",VLOOKUP(A813,[6]PRIORIZADOS!$A:$I,9,FALSE)),"")</f>
        <v>EVALUACIÓN_CON_FINES_DE_MEJORAMIENTO.</v>
      </c>
      <c r="J813" s="11" t="str">
        <f>IFERROR(IF(VLOOKUP(A813,[6]PRIORIZADOS!$A:$J,10,FALSE)="","",VLOOKUP(A813,[6]PRIORIZADOS!$A:$J,10,FALSE)),"")</f>
        <v>Verificar las condiciones en cuanto a: la estructura administrativa, condiciones de la planta física y medios educativos adecuados.</v>
      </c>
      <c r="K813" s="11" t="str">
        <f>IFERROR(IF(VLOOKUP(A813,[6]PRIORIZADOS!$A:$K,11,FALSE)="","",VLOOKUP(A813,[6]PRIORIZADOS!$A:$K,11,FALSE)),"")</f>
        <v>LUZ MERY PARRA NOPE</v>
      </c>
      <c r="L813" s="11" t="str">
        <f>IFERROR(IF(VLOOKUP(A813,[6]PRIORIZADOS!$A:$L,12,FALSE)="","",VLOOKUP(A813,[6]PRIORIZADOS!$A:$L,12,FALSE)),"")</f>
        <v>FREDDY CLAROS PEÑA</v>
      </c>
      <c r="M813" s="71">
        <f>IFERROR(IF(VLOOKUP(A813,[6]PRIORIZADOS!$A:$M,13,FALSE)="","",VLOOKUP(A813,[6]PRIORIZADOS!$A:$M,13,FALSE)),"")</f>
        <v>45744</v>
      </c>
      <c r="N813" s="139">
        <f>IFERROR(IF(VLOOKUP(A813,[6]PRIORIZADOS!$A:$N,14,FALSE)="","",VLOOKUP(A813,[6]PRIORIZADOS!$A:$N,14,FALSE)),"")</f>
        <v>45744</v>
      </c>
      <c r="O813" s="139">
        <f>IFERROR(IF(VLOOKUP(A813,[6]PRIORIZADOS!$A:$O,15,FALSE)="","",VLOOKUP(A813,[6]PRIORIZADOS!$A:$O,15,FALSE)),"")</f>
        <v>45744</v>
      </c>
      <c r="P813" s="11" t="str">
        <f>IFERROR(IF(VLOOKUP(A813,[6]PRIORIZADOS!$A:$P,16,FALSE)="","",VLOOKUP(A813,[6]PRIORIZADOS!$A:$P,16,FALSE)),"")</f>
        <v>Visitas de evaluación con fines de mejoramiento</v>
      </c>
      <c r="Q813" s="107" t="s">
        <v>148</v>
      </c>
      <c r="R813" s="11" t="str">
        <f>IFERROR(IF(VLOOKUP(A813,[6]PRIORIZADOS!$A:$R,18,FALSE)="","",VLOOKUP(A813,[6]PRIORIZADOS!$A:$R,18,FALSE)),"")</f>
        <v xml:space="preserve">Se observa inventario de biblioteca desactualizado, la estructura administrativa, planta fisica y ambientes de aprendiaje se encuentran en buenas condiciones para la prestación del servicio educativo. </v>
      </c>
      <c r="S813" s="11" t="str">
        <f>IFERROR(IF(VLOOKUP(A813,[6]PRIORIZADOS!$A:$S,19,FALSE)="","",VLOOKUP(A813,[6]PRIORIZADOS!$A:$S,19,FALSE)),"")</f>
        <v>Acualizar inventario de biblioteca para emisión de tarifas 2026.</v>
      </c>
      <c r="T813" s="70" t="str">
        <f>IFERROR(IF(VLOOKUP(A813,[6]PRIORIZADOS!$A:$T,20,FALSE)="","",VLOOKUP(A813,[6]PRIORIZADOS!$A:$T,20,FALSE)),"")</f>
        <v>Si</v>
      </c>
      <c r="U813" s="11" t="str">
        <f>IFERROR(IF(VLOOKUP(A813,[6]PRIORIZADOS!$A:$U,21,FALSE)="","",VLOOKUP(A813,[6]PRIORIZADOS!$A:$U,21,FALSE)),"")</f>
        <v>La IE tiene plazo para radicación del plan de mejoramiento el 11 de abril. Una vez radicado procedemos con la revisión</v>
      </c>
    </row>
    <row r="814" spans="1:21" s="1" customFormat="1" ht="60">
      <c r="A814" s="69">
        <f>IF([6]PRIORIZADOS!A180="","",[6]PRIORIZADOS!A180)</f>
        <v>752</v>
      </c>
      <c r="B814" s="70">
        <f>IFERROR(IF(VLOOKUP(A814,[6]PRIORIZADOS!$A:$B,2,FALSE)="","",VLOOKUP(A814,[6]PRIORIZADOS!$A:$B,2,FALSE)),"")</f>
        <v>20</v>
      </c>
      <c r="C814" s="11" t="str">
        <f>IFERROR(IF(VLOOKUP(A814,[6]PRIORIZADOS!$A:$C,3,FALSE)="","",VLOOKUP(A814,[6]PRIORIZADOS!$A:$C,3,FALSE)),"")</f>
        <v>ENGATIVÁ</v>
      </c>
      <c r="D814" s="11" t="str">
        <f>IFERROR(IF(VLOOKUP(A814,[6]PRIORIZADOS!$A:$D,4,FALSE)="","",VLOOKUP(A814,[6]PRIORIZADOS!$A:$D,4,FALSE)),"")</f>
        <v>PRIVADO</v>
      </c>
      <c r="E814" s="11" t="str">
        <f>IFERROR(IF(VLOOKUP(A814,[6]PRIORIZADOS!$A:$E,5,FALSE)="","",VLOOKUP(A814,[6]PRIORIZADOS!$A:$E,5,FALSE)),"")</f>
        <v>EPBM</v>
      </c>
      <c r="F814" s="11" t="str">
        <f>IFERROR(IF(VLOOKUP(A814,[6]PRIORIZADOS!$A:$F,6,FALSE)="","",VLOOKUP(A814,[6]PRIORIZADOS!$A:$F,6,FALSE)),"")</f>
        <v>COLEGIO_MONTERREY</v>
      </c>
      <c r="G814" s="11" t="str">
        <f>IFERROR(IF(VLOOKUP(A814,[6]PRIORIZADOS!$A:$G,7,FALSE)="","",VLOOKUP(A814,[6]PRIORIZADOS!$A:$G,7,FALSE)),"")</f>
        <v>COLEGIO_MONTERREY</v>
      </c>
      <c r="H814" s="11" t="str">
        <f>IFERROR(IF(VLOOKUP(A814,[6]PRIORIZADOS!$A:$H,8,FALSE)="","",VLOOKUP(A814,[6]PRIORIZADOS!$A:$H,8,FALSE)),"")</f>
        <v>Autoevaluación Institucional y Pruebas SABER 11</v>
      </c>
      <c r="I814" s="11" t="str">
        <f>IFERROR(IF(VLOOKUP(A814,[6]PRIORIZADOS!$A:$I,9,FALSE)="","",VLOOKUP(A814,[6]PRIORIZADOS!$A:$I,9,FALSE)),"")</f>
        <v>SEGUIMIENTO_Y_SUPERVISIÓN.</v>
      </c>
      <c r="J814" s="11" t="str">
        <f>IFERROR(IF(VLOOKUP(A814,[6]PRIORIZADOS!$A:$J,10,FALSE)="","",VLOOKUP(A814,[6]PRIORIZADOS!$A:$J,10,FALSE)),"")</f>
        <v>Realizar visitas para verificar la información registrada sobre la autoevaluación institucional en el aplicativo EVI, a los establecimientos de educación formal no oficial.</v>
      </c>
      <c r="K814" s="11" t="str">
        <f>IFERROR(IF(VLOOKUP(A814,[6]PRIORIZADOS!$A:$K,11,FALSE)="","",VLOOKUP(A814,[6]PRIORIZADOS!$A:$K,11,FALSE)),"")</f>
        <v>JUAN AGUSTÍN RODRÍGUEZ ROZO</v>
      </c>
      <c r="L814" s="11" t="str">
        <f>IFERROR(IF(VLOOKUP(A814,[6]PRIORIZADOS!$A:$L,12,FALSE)="","",VLOOKUP(A814,[6]PRIORIZADOS!$A:$L,12,FALSE)),"")</f>
        <v>MÓNICA JANNETH RAMÍREZ MORENO</v>
      </c>
      <c r="M814" s="71">
        <f>IFERROR(IF(VLOOKUP(A814,[6]PRIORIZADOS!$A:$M,13,FALSE)="","",VLOOKUP(A814,[6]PRIORIZADOS!$A:$M,13,FALSE)),"")</f>
        <v>45776</v>
      </c>
      <c r="N814" s="139">
        <f>IFERROR(IF(VLOOKUP(A814,[6]PRIORIZADOS!$A:$N,14,FALSE)="","",VLOOKUP(A814,[6]PRIORIZADOS!$A:$N,14,FALSE)),"")</f>
        <v>45954</v>
      </c>
      <c r="O814" s="139">
        <f>IFERROR(IF(VLOOKUP(A814,[6]PRIORIZADOS!$A:$O,15,FALSE)="","",VLOOKUP(A814,[6]PRIORIZADOS!$A:$O,15,FALSE)),"")</f>
        <v>45954</v>
      </c>
      <c r="P814" s="11" t="str">
        <f>IFERROR(IF(VLOOKUP(A814,[6]PRIORIZADOS!$A:$P,16,FALSE)="","",VLOOKUP(A814,[6]PRIORIZADOS!$A:$P,16,FALSE)),"")</f>
        <v>Visitas de evaluación con fines de seguimiento</v>
      </c>
      <c r="Q814" s="146" t="s">
        <v>149</v>
      </c>
      <c r="R814" s="11" t="str">
        <f>IFERROR(IF(VLOOKUP(A814,[6]PRIORIZADOS!$A:$R,18,FALSE)="","",VLOOKUP(A814,[6]PRIORIZADOS!$A:$R,18,FALSE)),"")</f>
        <v>Se realizó recorrido por la planta física y se pudo establecer que el avance en la ejecución de suconstrucción va en el  95% y correspone con lo registrado en el aplicativo EVI en el año 2024</v>
      </c>
      <c r="S814" s="11" t="str">
        <f>IFERROR(IF(VLOOKUP(A814,[6]PRIORIZADOS!$A:$S,19,FALSE)="","",VLOOKUP(A814,[6]PRIORIZADOS!$A:$S,19,FALSE)),"")</f>
        <v>Diligenciar la autoevaluación en el aplicativo EVI para la vigencia 2026</v>
      </c>
      <c r="T814" s="70" t="str">
        <f>IFERROR(IF(VLOOKUP(A814,[6]PRIORIZADOS!$A:$T,20,FALSE)="","",VLOOKUP(A814,[6]PRIORIZADOS!$A:$T,20,FALSE)),"")</f>
        <v>No</v>
      </c>
      <c r="U814" s="11" t="str">
        <f>IFERROR(IF(VLOOKUP(A814,[6]PRIORIZADOS!$A:$U,21,FALSE)="","",VLOOKUP(A814,[6]PRIORIZADOS!$A:$U,21,FALSE)),"")</f>
        <v>Cuando aporte la documentación sobre planta física y actualización de propietario se procederá a emitir concepto para la modificación de la licencia de funcionamiento.</v>
      </c>
    </row>
    <row r="815" spans="1:21" s="1" customFormat="1" ht="60">
      <c r="A815" s="69">
        <f>IF([6]PRIORIZADOS!A181="","",[6]PRIORIZADOS!A181)</f>
        <v>754</v>
      </c>
      <c r="B815" s="70">
        <f>IFERROR(IF(VLOOKUP(A815,[6]PRIORIZADOS!$A:$B,2,FALSE)="","",VLOOKUP(A815,[6]PRIORIZADOS!$A:$B,2,FALSE)),"")</f>
        <v>20</v>
      </c>
      <c r="C815" s="11" t="str">
        <f>IFERROR(IF(VLOOKUP(A815,[6]PRIORIZADOS!$A:$C,3,FALSE)="","",VLOOKUP(A815,[6]PRIORIZADOS!$A:$C,3,FALSE)),"")</f>
        <v>ENGATIVÁ</v>
      </c>
      <c r="D815" s="11" t="str">
        <f>IFERROR(IF(VLOOKUP(A815,[6]PRIORIZADOS!$A:$D,4,FALSE)="","",VLOOKUP(A815,[6]PRIORIZADOS!$A:$D,4,FALSE)),"")</f>
        <v>PRIVADO</v>
      </c>
      <c r="E815" s="11" t="str">
        <f>IFERROR(IF(VLOOKUP(A815,[6]PRIORIZADOS!$A:$E,5,FALSE)="","",VLOOKUP(A815,[6]PRIORIZADOS!$A:$E,5,FALSE)),"")</f>
        <v>EPBM</v>
      </c>
      <c r="F815" s="11" t="str">
        <f>IFERROR(IF(VLOOKUP(A815,[6]PRIORIZADOS!$A:$F,6,FALSE)="","",VLOOKUP(A815,[6]PRIORIZADOS!$A:$F,6,FALSE)),"")</f>
        <v>COLEGIO_MONTERREY</v>
      </c>
      <c r="G815" s="11" t="str">
        <f>IFERROR(IF(VLOOKUP(A815,[6]PRIORIZADOS!$A:$G,7,FALSE)="","",VLOOKUP(A815,[6]PRIORIZADOS!$A:$G,7,FALSE)),"")</f>
        <v>COLEGIO_MONTERREY</v>
      </c>
      <c r="H815" s="11" t="str">
        <f>IFERROR(IF(VLOOKUP(A815,[6]PRIORIZADOS!$A:$H,8,FALSE)="","",VLOOKUP(A815,[6]PRIORIZADOS!$A:$H,8,FALSE)),"")</f>
        <v>Autoevaluación Institucional y Pruebas SABER 11</v>
      </c>
      <c r="I815" s="11" t="str">
        <f>IFERROR(IF(VLOOKUP(A815,[6]PRIORIZADOS!$A:$I,9,FALSE)="","",VLOOKUP(A815,[6]PRIORIZADOS!$A:$I,9,FALSE)),"")</f>
        <v>SEGUIMIENTO_Y_SUPERVISIÓN.</v>
      </c>
      <c r="J815" s="11" t="str">
        <f>IFERROR(IF(VLOOKUP(A815,[6]PRIORIZADOS!$A:$J,10,FALSE)="","",VLOOKUP(A815,[6]PRIORIZADOS!$A:$J,10,FALSE)),"")</f>
        <v>Proponer estrategias en la formulación, verificar su elaboración y realizar seguimiento semestral al desarrollo de  las acciones establecidas en los planes de mejoramiento por pruebas SABER 11 de los establecimientos de educación formal.</v>
      </c>
      <c r="K815" s="11" t="str">
        <f>IFERROR(IF(VLOOKUP(A815,[6]PRIORIZADOS!$A:$K,11,FALSE)="","",VLOOKUP(A815,[6]PRIORIZADOS!$A:$K,11,FALSE)),"")</f>
        <v>JUAN AGUSTÍN RODRÍGUEZ ROZO</v>
      </c>
      <c r="L815" s="11" t="str">
        <f>IFERROR(IF(VLOOKUP(A815,[6]PRIORIZADOS!$A:$L,12,FALSE)="","",VLOOKUP(A815,[6]PRIORIZADOS!$A:$L,12,FALSE)),"")</f>
        <v>MÓNICA JANNETH RAMÍREZ MORENO</v>
      </c>
      <c r="M815" s="71">
        <f>IFERROR(IF(VLOOKUP(A815,[6]PRIORIZADOS!$A:$M,13,FALSE)="","",VLOOKUP(A815,[6]PRIORIZADOS!$A:$M,13,FALSE)),"")</f>
        <v>45776</v>
      </c>
      <c r="N815" s="139">
        <f>IFERROR(IF(VLOOKUP(A815,[6]PRIORIZADOS!$A:$N,14,FALSE)="","",VLOOKUP(A815,[6]PRIORIZADOS!$A:$N,14,FALSE)),"")</f>
        <v>45954</v>
      </c>
      <c r="O815" s="139">
        <f>IFERROR(IF(VLOOKUP(A815,[6]PRIORIZADOS!$A:$O,15,FALSE)="","",VLOOKUP(A815,[6]PRIORIZADOS!$A:$O,15,FALSE)),"")</f>
        <v>45954</v>
      </c>
      <c r="P815" s="11" t="str">
        <f>IFERROR(IF(VLOOKUP(A815,[6]PRIORIZADOS!$A:$P,16,FALSE)="","",VLOOKUP(A815,[6]PRIORIZADOS!$A:$P,16,FALSE)),"")</f>
        <v>Visitas de evaluación con fines de seguimiento</v>
      </c>
      <c r="Q815" s="147" t="s">
        <v>149</v>
      </c>
      <c r="R815" s="11" t="str">
        <f>IFERROR(IF(VLOOKUP(A815,[6]PRIORIZADOS!$A:$R,18,FALSE)="","",VLOOKUP(A815,[6]PRIORIZADOS!$A:$R,18,FALSE)),"")</f>
        <v>El colegio hace la revisión desde rectoria y coordinación, pero no existen registros de esta actividad.</v>
      </c>
      <c r="S815" s="11" t="str">
        <f>IFERROR(IF(VLOOKUP(A815,[6]PRIORIZADOS!$A:$S,19,FALSE)="","",VLOOKUP(A815,[6]PRIORIZADOS!$A:$S,19,FALSE)),"")</f>
        <v>Se recomienda documentar esta actividad para que sirva como uno de los insumos de la autoevaluación institucional y de parte del trabajo en el Consejo Académico</v>
      </c>
      <c r="T815" s="70" t="str">
        <f>IFERROR(IF(VLOOKUP(A815,[6]PRIORIZADOS!$A:$T,20,FALSE)="","",VLOOKUP(A815,[6]PRIORIZADOS!$A:$T,20,FALSE)),"")</f>
        <v>Si</v>
      </c>
      <c r="U815" s="11" t="str">
        <f>IFERROR(IF(VLOOKUP(A815,[6]PRIORIZADOS!$A:$U,21,FALSE)="","",VLOOKUP(A815,[6]PRIORIZADOS!$A:$U,21,FALSE)),"")</f>
        <v>Se revisará el PMI que entregue el colegio el 5 de noviembre</v>
      </c>
    </row>
    <row r="816" spans="1:21" s="1" customFormat="1" ht="48">
      <c r="A816" s="69">
        <f>IF([6]PRIORIZADOS!A182="","",[6]PRIORIZADOS!A182)</f>
        <v>755</v>
      </c>
      <c r="B816" s="70">
        <f>IFERROR(IF(VLOOKUP(A816,[6]PRIORIZADOS!$A:$B,2,FALSE)="","",VLOOKUP(A816,[6]PRIORIZADOS!$A:$B,2,FALSE)),"")</f>
        <v>20</v>
      </c>
      <c r="C816" s="11" t="str">
        <f>IFERROR(IF(VLOOKUP(A816,[6]PRIORIZADOS!$A:$C,3,FALSE)="","",VLOOKUP(A816,[6]PRIORIZADOS!$A:$C,3,FALSE)),"")</f>
        <v>ENGATIVÁ</v>
      </c>
      <c r="D816" s="11" t="str">
        <f>IFERROR(IF(VLOOKUP(A816,[6]PRIORIZADOS!$A:$D,4,FALSE)="","",VLOOKUP(A816,[6]PRIORIZADOS!$A:$D,4,FALSE)),"")</f>
        <v>PRIVADO</v>
      </c>
      <c r="E816" s="11" t="str">
        <f>IFERROR(IF(VLOOKUP(A816,[6]PRIORIZADOS!$A:$E,5,FALSE)="","",VLOOKUP(A816,[6]PRIORIZADOS!$A:$E,5,FALSE)),"")</f>
        <v>EPBM</v>
      </c>
      <c r="F816" s="11" t="str">
        <f>IFERROR(IF(VLOOKUP(A816,[6]PRIORIZADOS!$A:$F,6,FALSE)="","",VLOOKUP(A816,[6]PRIORIZADOS!$A:$F,6,FALSE)),"")</f>
        <v>COLEGIO_MONTERREY</v>
      </c>
      <c r="G816" s="11" t="str">
        <f>IFERROR(IF(VLOOKUP(A816,[6]PRIORIZADOS!$A:$G,7,FALSE)="","",VLOOKUP(A816,[6]PRIORIZADOS!$A:$G,7,FALSE)),"")</f>
        <v>COLEGIO_MONTERREY</v>
      </c>
      <c r="H816" s="11" t="str">
        <f>IFERROR(IF(VLOOKUP(A816,[6]PRIORIZADOS!$A:$H,8,FALSE)="","",VLOOKUP(A816,[6]PRIORIZADOS!$A:$H,8,FALSE)),"")</f>
        <v>Autoevaluación Institucional y Pruebas SABER 11</v>
      </c>
      <c r="I816" s="11" t="str">
        <f>IFERROR(IF(VLOOKUP(A816,[6]PRIORIZADOS!$A:$I,9,FALSE)="","",VLOOKUP(A816,[6]PRIORIZADOS!$A:$I,9,FALSE)),"")</f>
        <v>SEGUIMIENTO_Y_SUPERVISIÓN.</v>
      </c>
      <c r="J816" s="11" t="str">
        <f>IFERROR(IF(VLOOKUP(A816,[6]PRIORIZADOS!$A:$J,10,FALSE)="","",VLOOKUP(A816,[6]PRIORIZADOS!$A:$J,10,FALSE)),"")</f>
        <v xml:space="preserve">Verificar la implementación por parte de los colegios, de acciones realizadas para la prevención y atención de las situaciones de convivencia en el entorno escolar, según lo establecido en la Directiva 01 de 2022 del MEN. </v>
      </c>
      <c r="K816" s="11" t="str">
        <f>IFERROR(IF(VLOOKUP(A816,[6]PRIORIZADOS!$A:$K,11,FALSE)="","",VLOOKUP(A816,[6]PRIORIZADOS!$A:$K,11,FALSE)),"")</f>
        <v>JUAN AGUSTÍN RODRÍGUEZ ROZO</v>
      </c>
      <c r="L816" s="11" t="str">
        <f>IFERROR(IF(VLOOKUP(A816,[6]PRIORIZADOS!$A:$L,12,FALSE)="","",VLOOKUP(A816,[6]PRIORIZADOS!$A:$L,12,FALSE)),"")</f>
        <v>MÓNICA JANNETH RAMÍREZ MORENO</v>
      </c>
      <c r="M816" s="71">
        <f>IFERROR(IF(VLOOKUP(A816,[6]PRIORIZADOS!$A:$M,13,FALSE)="","",VLOOKUP(A816,[6]PRIORIZADOS!$A:$M,13,FALSE)),"")</f>
        <v>45776</v>
      </c>
      <c r="N816" s="139">
        <f>IFERROR(IF(VLOOKUP(A816,[6]PRIORIZADOS!$A:$N,14,FALSE)="","",VLOOKUP(A816,[6]PRIORIZADOS!$A:$N,14,FALSE)),"")</f>
        <v>45954</v>
      </c>
      <c r="O816" s="139">
        <f>IFERROR(IF(VLOOKUP(A816,[6]PRIORIZADOS!$A:$O,15,FALSE)="","",VLOOKUP(A816,[6]PRIORIZADOS!$A:$O,15,FALSE)),"")</f>
        <v>45954</v>
      </c>
      <c r="P816" s="11" t="str">
        <f>IFERROR(IF(VLOOKUP(A816,[6]PRIORIZADOS!$A:$P,16,FALSE)="","",VLOOKUP(A816,[6]PRIORIZADOS!$A:$P,16,FALSE)),"")</f>
        <v>Visitas de evaluación con fines de seguimiento</v>
      </c>
      <c r="Q816" s="147" t="s">
        <v>149</v>
      </c>
      <c r="R816" s="11" t="str">
        <f>IFERROR(IF(VLOOKUP(A816,[6]PRIORIZADOS!$A:$R,18,FALSE)="","",VLOOKUP(A816,[6]PRIORIZADOS!$A:$R,18,FALSE)),"")</f>
        <v>El colegio realiza las consultas cada 4 meses sobre inhabilidades por delitos sexuales de cada trabajador y el resultado lo incorpora a cada carpeta</v>
      </c>
      <c r="S816" s="11" t="str">
        <f>IFERROR(IF(VLOOKUP(A816,[6]PRIORIZADOS!$A:$S,19,FALSE)="","",VLOOKUP(A816,[6]PRIORIZADOS!$A:$S,19,FALSE)),"")</f>
        <v>Cumple con la Directiva 01 de 2022</v>
      </c>
      <c r="T816" s="70" t="str">
        <f>IFERROR(IF(VLOOKUP(A816,[6]PRIORIZADOS!$A:$T,20,FALSE)="","",VLOOKUP(A816,[6]PRIORIZADOS!$A:$T,20,FALSE)),"")</f>
        <v>No</v>
      </c>
      <c r="U816" s="11" t="str">
        <f>IFERROR(IF(VLOOKUP(A816,[6]PRIORIZADOS!$A:$U,21,FALSE)="","",VLOOKUP(A816,[6]PRIORIZADOS!$A:$U,21,FALSE)),"")</f>
        <v>Se verificará en otra vigencia o si se presenta petición o queja de la comunidad educativa</v>
      </c>
    </row>
    <row r="817" spans="1:21" s="1" customFormat="1" ht="72">
      <c r="A817" s="69">
        <f>IF([6]PRIORIZADOS!A183="","",[6]PRIORIZADOS!A183)</f>
        <v>756</v>
      </c>
      <c r="B817" s="70">
        <f>IFERROR(IF(VLOOKUP(A817,[6]PRIORIZADOS!$A:$B,2,FALSE)="","",VLOOKUP(A817,[6]PRIORIZADOS!$A:$B,2,FALSE)),"")</f>
        <v>20</v>
      </c>
      <c r="C817" s="11" t="str">
        <f>IFERROR(IF(VLOOKUP(A817,[6]PRIORIZADOS!$A:$C,3,FALSE)="","",VLOOKUP(A817,[6]PRIORIZADOS!$A:$C,3,FALSE)),"")</f>
        <v>ENGATIVÁ</v>
      </c>
      <c r="D817" s="11" t="str">
        <f>IFERROR(IF(VLOOKUP(A817,[6]PRIORIZADOS!$A:$D,4,FALSE)="","",VLOOKUP(A817,[6]PRIORIZADOS!$A:$D,4,FALSE)),"")</f>
        <v>PRIVADO</v>
      </c>
      <c r="E817" s="11" t="str">
        <f>IFERROR(IF(VLOOKUP(A817,[6]PRIORIZADOS!$A:$E,5,FALSE)="","",VLOOKUP(A817,[6]PRIORIZADOS!$A:$E,5,FALSE)),"")</f>
        <v>EPBM</v>
      </c>
      <c r="F817" s="11" t="str">
        <f>IFERROR(IF(VLOOKUP(A817,[6]PRIORIZADOS!$A:$F,6,FALSE)="","",VLOOKUP(A817,[6]PRIORIZADOS!$A:$F,6,FALSE)),"")</f>
        <v>COLEGIO_MONTERREY</v>
      </c>
      <c r="G817" s="11" t="str">
        <f>IFERROR(IF(VLOOKUP(A817,[6]PRIORIZADOS!$A:$G,7,FALSE)="","",VLOOKUP(A817,[6]PRIORIZADOS!$A:$G,7,FALSE)),"")</f>
        <v>COLEGIO_MONTERREY</v>
      </c>
      <c r="H817" s="11" t="str">
        <f>IFERROR(IF(VLOOKUP(A817,[6]PRIORIZADOS!$A:$H,8,FALSE)="","",VLOOKUP(A817,[6]PRIORIZADOS!$A:$H,8,FALSE)),"")</f>
        <v>Autoevaluación Institucional y Pruebas SABER 11</v>
      </c>
      <c r="I817" s="11" t="str">
        <f>IFERROR(IF(VLOOKUP(A817,[6]PRIORIZADOS!$A:$I,9,FALSE)="","",VLOOKUP(A817,[6]PRIORIZADOS!$A:$I,9,FALSE)),"")</f>
        <v>SEGUIMIENTO_Y_SUPERVISIÓN.</v>
      </c>
      <c r="J817" s="11" t="str">
        <f>IFERROR(IF(VLOOKUP(A817,[6]PRIORIZADOS!$A:$J,10,FALSE)="","",VLOOKUP(A817,[6]PRIORIZADOS!$A:$J,10,FALSE)),"")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17" s="11" t="str">
        <f>IFERROR(IF(VLOOKUP(A817,[6]PRIORIZADOS!$A:$K,11,FALSE)="","",VLOOKUP(A817,[6]PRIORIZADOS!$A:$K,11,FALSE)),"")</f>
        <v>JUAN AGUSTÍN RODRÍGUEZ ROZO</v>
      </c>
      <c r="L817" s="11" t="str">
        <f>IFERROR(IF(VLOOKUP(A817,[6]PRIORIZADOS!$A:$L,12,FALSE)="","",VLOOKUP(A817,[6]PRIORIZADOS!$A:$L,12,FALSE)),"")</f>
        <v>MÓNICA JANNETH RAMÍREZ MORENO</v>
      </c>
      <c r="M817" s="71">
        <f>IFERROR(IF(VLOOKUP(A817,[6]PRIORIZADOS!$A:$M,13,FALSE)="","",VLOOKUP(A817,[6]PRIORIZADOS!$A:$M,13,FALSE)),"")</f>
        <v>45776</v>
      </c>
      <c r="N817" s="139">
        <f>IFERROR(IF(VLOOKUP(A817,[6]PRIORIZADOS!$A:$N,14,FALSE)="","",VLOOKUP(A817,[6]PRIORIZADOS!$A:$N,14,FALSE)),"")</f>
        <v>45954</v>
      </c>
      <c r="O817" s="139">
        <f>IFERROR(IF(VLOOKUP(A817,[6]PRIORIZADOS!$A:$O,15,FALSE)="","",VLOOKUP(A817,[6]PRIORIZADOS!$A:$O,15,FALSE)),"")</f>
        <v>45954</v>
      </c>
      <c r="P817" s="11" t="str">
        <f>IFERROR(IF(VLOOKUP(A817,[6]PRIORIZADOS!$A:$P,16,FALSE)="","",VLOOKUP(A817,[6]PRIORIZADOS!$A:$P,16,FALSE)),"")</f>
        <v>Visitas de evaluación con fines de seguimiento</v>
      </c>
      <c r="Q817" s="147" t="s">
        <v>149</v>
      </c>
      <c r="R817" s="11" t="str">
        <f>IFERROR(IF(VLOOKUP(A817,[6]PRIORIZADOS!$A:$R,18,FALSE)="","",VLOOKUP(A817,[6]PRIORIZADOS!$A:$R,18,FALSE)),"")</f>
        <v>Los PIAR se encuentran en el formato establecido por el MEN falta la firma de los padres de familia. Registrar los apoyos requeridos en los ajustes razonables definidos</v>
      </c>
      <c r="S817" s="11" t="str">
        <f>IFERROR(IF(VLOOKUP(A817,[6]PRIORIZADOS!$A:$S,19,FALSE)="","",VLOOKUP(A817,[6]PRIORIZADOS!$A:$S,19,FALSE)),"")</f>
        <v>Registrar en los PIAR los apoyos requeridos en los ajustes razonables y realizar la firma de compromisos con los padres de familia duarnte el primer trimestre</v>
      </c>
      <c r="T817" s="70" t="str">
        <f>IFERROR(IF(VLOOKUP(A817,[6]PRIORIZADOS!$A:$T,20,FALSE)="","",VLOOKUP(A817,[6]PRIORIZADOS!$A:$T,20,FALSE)),"")</f>
        <v>Si</v>
      </c>
      <c r="U817" s="11" t="str">
        <f>IFERROR(IF(VLOOKUP(A817,[6]PRIORIZADOS!$A:$U,21,FALSE)="","",VLOOKUP(A817,[6]PRIORIZADOS!$A:$U,21,FALSE)),"")</f>
        <v>Se revisará el PMI que entregue el colegio el 5 de noviembre</v>
      </c>
    </row>
    <row r="818" spans="1:21" s="1" customFormat="1" ht="118.5">
      <c r="A818" s="69">
        <f>IF([6]PRIORIZADOS!A184="","",[6]PRIORIZADOS!A184)</f>
        <v>757</v>
      </c>
      <c r="B818" s="70">
        <f>IFERROR(IF(VLOOKUP(A818,[6]PRIORIZADOS!$A:$B,2,FALSE)="","",VLOOKUP(A818,[6]PRIORIZADOS!$A:$B,2,FALSE)),"")</f>
        <v>20</v>
      </c>
      <c r="C818" s="11" t="str">
        <f>IFERROR(IF(VLOOKUP(A818,[6]PRIORIZADOS!$A:$C,3,FALSE)="","",VLOOKUP(A818,[6]PRIORIZADOS!$A:$C,3,FALSE)),"")</f>
        <v>ENGATIVÁ</v>
      </c>
      <c r="D818" s="11" t="str">
        <f>IFERROR(IF(VLOOKUP(A818,[6]PRIORIZADOS!$A:$D,4,FALSE)="","",VLOOKUP(A818,[6]PRIORIZADOS!$A:$D,4,FALSE)),"")</f>
        <v>PRIVADO</v>
      </c>
      <c r="E818" s="11" t="str">
        <f>IFERROR(IF(VLOOKUP(A818,[6]PRIORIZADOS!$A:$E,5,FALSE)="","",VLOOKUP(A818,[6]PRIORIZADOS!$A:$E,5,FALSE)),"")</f>
        <v>EPBM</v>
      </c>
      <c r="F818" s="11" t="str">
        <f>IFERROR(IF(VLOOKUP(A818,[6]PRIORIZADOS!$A:$F,6,FALSE)="","",VLOOKUP(A818,[6]PRIORIZADOS!$A:$F,6,FALSE)),"")</f>
        <v>COLEGIO_MONTERREY</v>
      </c>
      <c r="G818" s="11" t="str">
        <f>IFERROR(IF(VLOOKUP(A818,[6]PRIORIZADOS!$A:$G,7,FALSE)="","",VLOOKUP(A818,[6]PRIORIZADOS!$A:$G,7,FALSE)),"")</f>
        <v>COLEGIO_MONTERREY</v>
      </c>
      <c r="H818" s="11" t="str">
        <f>IFERROR(IF(VLOOKUP(A818,[6]PRIORIZADOS!$A:$H,8,FALSE)="","",VLOOKUP(A818,[6]PRIORIZADOS!$A:$H,8,FALSE)),"")</f>
        <v>Autoevaluación Institucional y Pruebas SABER 11</v>
      </c>
      <c r="I818" s="11" t="str">
        <f>IFERROR(IF(VLOOKUP(A818,[6]PRIORIZADOS!$A:$I,9,FALSE)="","",VLOOKUP(A818,[6]PRIORIZADOS!$A:$I,9,FALSE)),"")</f>
        <v>EVALUACIÓN_CON_FINES_DE_MEJORAMIENTO.</v>
      </c>
      <c r="J818" s="11" t="str">
        <f>IFERROR(IF(VLOOKUP(A818,[6]PRIORIZADOS!$A:$J,10,FALSE)="","",VLOOKUP(A818,[6]PRIORIZADOS!$A:$J,10,FALSE)),"")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18" s="11" t="str">
        <f>IFERROR(IF(VLOOKUP(A818,[6]PRIORIZADOS!$A:$K,11,FALSE)="","",VLOOKUP(A818,[6]PRIORIZADOS!$A:$K,11,FALSE)),"")</f>
        <v>JUAN AGUSTÍN RODRÍGUEZ ROZO</v>
      </c>
      <c r="L818" s="11" t="str">
        <f>IFERROR(IF(VLOOKUP(A818,[6]PRIORIZADOS!$A:$L,12,FALSE)="","",VLOOKUP(A818,[6]PRIORIZADOS!$A:$L,12,FALSE)),"")</f>
        <v>MÓNICA JANNETH RAMÍREZ MORENO</v>
      </c>
      <c r="M818" s="71">
        <f>IFERROR(IF(VLOOKUP(A818,[6]PRIORIZADOS!$A:$M,13,FALSE)="","",VLOOKUP(A818,[6]PRIORIZADOS!$A:$M,13,FALSE)),"")</f>
        <v>45776</v>
      </c>
      <c r="N818" s="139">
        <f>IFERROR(IF(VLOOKUP(A818,[6]PRIORIZADOS!$A:$N,14,FALSE)="","",VLOOKUP(A818,[6]PRIORIZADOS!$A:$N,14,FALSE)),"")</f>
        <v>45954</v>
      </c>
      <c r="O818" s="139">
        <f>IFERROR(IF(VLOOKUP(A818,[6]PRIORIZADOS!$A:$O,15,FALSE)="","",VLOOKUP(A818,[6]PRIORIZADOS!$A:$O,15,FALSE)),"")</f>
        <v>45954</v>
      </c>
      <c r="P818" s="11" t="str">
        <f>IFERROR(IF(VLOOKUP(A818,[6]PRIORIZADOS!$A:$P,16,FALSE)="","",VLOOKUP(A818,[6]PRIORIZADOS!$A:$P,16,FALSE)),"")</f>
        <v>Visitas de evaluación con fines de mejoramiento</v>
      </c>
      <c r="Q818" s="147" t="s">
        <v>149</v>
      </c>
      <c r="R818" s="11" t="str">
        <f>IFERROR(IF(VLOOKUP(A818,[6]PRIORIZADOS!$A:$R,18,FALSE)="","",VLOOKUP(A818,[6]PRIORIZADOS!$A:$R,18,FALSE)),"")</f>
        <v>El manual está vigente y fue aprobado siguiendo el debido proceso; sinembargo , falta incluir lo relacionado con los enfoques de género, inclusión y restaurativo y se deben diferenciar las situaciones que afectan la convivencia escolar de las faltas disciplanarias y su debido proceso para manejarlas e Incluir lo relacionado con el directorio de protocolos para atender las situaciones de convivencia.</v>
      </c>
      <c r="S818" s="11" t="str">
        <f>IFERROR(IF(VLOOKUP(A818,[6]PRIORIZADOS!$A:$S,19,FALSE)="","",VLOOKUP(A818,[6]PRIORIZADOS!$A:$S,19,FALSE)),"")</f>
        <v xml:space="preserve">Se debe revisar y ajustar el manual de convivencia con base en lo establecido en el Decreto 1075 de 2015, articulo 2.3.3.1.4.4. </v>
      </c>
      <c r="T818" s="70" t="str">
        <f>IFERROR(IF(VLOOKUP(A818,[6]PRIORIZADOS!$A:$T,20,FALSE)="","",VLOOKUP(A818,[6]PRIORIZADOS!$A:$T,20,FALSE)),"")</f>
        <v>Si</v>
      </c>
      <c r="U818" s="11" t="str">
        <f>IFERROR(IF(VLOOKUP(A818,[6]PRIORIZADOS!$A:$U,21,FALSE)="","",VLOOKUP(A818,[6]PRIORIZADOS!$A:$U,21,FALSE)),"")</f>
        <v>Se revisará el PMI que entregue el colegio el 5 de noviembre</v>
      </c>
    </row>
    <row r="819" spans="1:21" s="1" customFormat="1" ht="96">
      <c r="A819" s="69">
        <f>IF([6]PRIORIZADOS!A185="","",[6]PRIORIZADOS!A185)</f>
        <v>758</v>
      </c>
      <c r="B819" s="70">
        <f>IFERROR(IF(VLOOKUP(A819,[6]PRIORIZADOS!$A:$B,2,FALSE)="","",VLOOKUP(A819,[6]PRIORIZADOS!$A:$B,2,FALSE)),"")</f>
        <v>20</v>
      </c>
      <c r="C819" s="11" t="str">
        <f>IFERROR(IF(VLOOKUP(A819,[6]PRIORIZADOS!$A:$C,3,FALSE)="","",VLOOKUP(A819,[6]PRIORIZADOS!$A:$C,3,FALSE)),"")</f>
        <v>ENGATIVÁ</v>
      </c>
      <c r="D819" s="11" t="str">
        <f>IFERROR(IF(VLOOKUP(A819,[6]PRIORIZADOS!$A:$D,4,FALSE)="","",VLOOKUP(A819,[6]PRIORIZADOS!$A:$D,4,FALSE)),"")</f>
        <v>PRIVADO</v>
      </c>
      <c r="E819" s="11" t="str">
        <f>IFERROR(IF(VLOOKUP(A819,[6]PRIORIZADOS!$A:$E,5,FALSE)="","",VLOOKUP(A819,[6]PRIORIZADOS!$A:$E,5,FALSE)),"")</f>
        <v>EPBM</v>
      </c>
      <c r="F819" s="11" t="str">
        <f>IFERROR(IF(VLOOKUP(A819,[6]PRIORIZADOS!$A:$F,6,FALSE)="","",VLOOKUP(A819,[6]PRIORIZADOS!$A:$F,6,FALSE)),"")</f>
        <v>COLEGIO_MONTERREY</v>
      </c>
      <c r="G819" s="11" t="str">
        <f>IFERROR(IF(VLOOKUP(A819,[6]PRIORIZADOS!$A:$G,7,FALSE)="","",VLOOKUP(A819,[6]PRIORIZADOS!$A:$G,7,FALSE)),"")</f>
        <v>COLEGIO_MONTERREY</v>
      </c>
      <c r="H819" s="11" t="str">
        <f>IFERROR(IF(VLOOKUP(A819,[6]PRIORIZADOS!$A:$H,8,FALSE)="","",VLOOKUP(A819,[6]PRIORIZADOS!$A:$H,8,FALSE)),"")</f>
        <v>Autoevaluación Institucional y Pruebas SABER 11</v>
      </c>
      <c r="I819" s="11" t="str">
        <f>IFERROR(IF(VLOOKUP(A819,[6]PRIORIZADOS!$A:$I,9,FALSE)="","",VLOOKUP(A819,[6]PRIORIZADOS!$A:$I,9,FALSE)),"")</f>
        <v>EVALUACIÓN_CON_FINES_DE_MEJORAMIENTO.</v>
      </c>
      <c r="J819" s="11" t="str">
        <f>IFERROR(IF(VLOOKUP(A819,[6]PRIORIZADOS!$A:$J,10,FALSE)="","",VLOOKUP(A819,[6]PRIORIZADOS!$A:$J,10,FALSE)),"")</f>
        <v>Revisar la actualización, socialización e implementación del Sistema Institucional de Evaluación de Estudiantes - SIEE, en articulación con la actualización del PEI y la normatividad vigente.</v>
      </c>
      <c r="K819" s="11" t="str">
        <f>IFERROR(IF(VLOOKUP(A819,[6]PRIORIZADOS!$A:$K,11,FALSE)="","",VLOOKUP(A819,[6]PRIORIZADOS!$A:$K,11,FALSE)),"")</f>
        <v>JUAN AGUSTÍN RODRÍGUEZ ROZO</v>
      </c>
      <c r="L819" s="11" t="str">
        <f>IFERROR(IF(VLOOKUP(A819,[6]PRIORIZADOS!$A:$L,12,FALSE)="","",VLOOKUP(A819,[6]PRIORIZADOS!$A:$L,12,FALSE)),"")</f>
        <v>MÓNICA JANNETH RAMÍREZ MORENO</v>
      </c>
      <c r="M819" s="71">
        <f>IFERROR(IF(VLOOKUP(A819,[6]PRIORIZADOS!$A:$M,13,FALSE)="","",VLOOKUP(A819,[6]PRIORIZADOS!$A:$M,13,FALSE)),"")</f>
        <v>45776</v>
      </c>
      <c r="N819" s="139">
        <f>IFERROR(IF(VLOOKUP(A819,[6]PRIORIZADOS!$A:$N,14,FALSE)="","",VLOOKUP(A819,[6]PRIORIZADOS!$A:$N,14,FALSE)),"")</f>
        <v>45954</v>
      </c>
      <c r="O819" s="139">
        <f>IFERROR(IF(VLOOKUP(A819,[6]PRIORIZADOS!$A:$O,15,FALSE)="","",VLOOKUP(A819,[6]PRIORIZADOS!$A:$O,15,FALSE)),"")</f>
        <v>45954</v>
      </c>
      <c r="P819" s="11" t="str">
        <f>IFERROR(IF(VLOOKUP(A819,[6]PRIORIZADOS!$A:$P,16,FALSE)="","",VLOOKUP(A819,[6]PRIORIZADOS!$A:$P,16,FALSE)),"")</f>
        <v>Visitas de evaluación con fines de mejoramiento</v>
      </c>
      <c r="Q819" s="147" t="s">
        <v>149</v>
      </c>
      <c r="R819" s="11" t="str">
        <f>IFERROR(IF(VLOOKUP(A819,[6]PRIORIZADOS!$A:$R,18,FALSE)="","",VLOOKUP(A819,[6]PRIORIZADOS!$A:$R,18,FALSE)),"")</f>
        <v>El colegio cuenta con un sistema institucional de apoyo a estudiantes con dificultades academicas denominado SIAEDA, que se reune en la mitad de cada periodo para revisar los casos de bajo desempeño academico y establecer las actividades de nivelación correspondientes.</v>
      </c>
      <c r="S819" s="11" t="str">
        <f>IFERROR(IF(VLOOKUP(A819,[6]PRIORIZADOS!$A:$S,19,FALSE)="","",VLOOKUP(A819,[6]PRIORIZADOS!$A:$S,19,FALSE)),"")</f>
        <v>Tiene todos los componentes que establece el Decreto 1075 de 2015</v>
      </c>
      <c r="T819" s="70" t="str">
        <f>IFERROR(IF(VLOOKUP(A819,[6]PRIORIZADOS!$A:$T,20,FALSE)="","",VLOOKUP(A819,[6]PRIORIZADOS!$A:$T,20,FALSE)),"")</f>
        <v>No</v>
      </c>
      <c r="U819" s="11" t="str">
        <f>IFERROR(IF(VLOOKUP(A819,[6]PRIORIZADOS!$A:$U,21,FALSE)="","",VLOOKUP(A819,[6]PRIORIZADOS!$A:$U,21,FALSE)),"")</f>
        <v>Se verificará en otra vigencia o si se presenta petición o queja de la comunidad educativa</v>
      </c>
    </row>
    <row r="820" spans="1:21" s="1" customFormat="1" ht="84">
      <c r="A820" s="69">
        <f>IF([6]PRIORIZADOS!A186="","",[6]PRIORIZADOS!A186)</f>
        <v>759</v>
      </c>
      <c r="B820" s="70">
        <f>IFERROR(IF(VLOOKUP(A820,[6]PRIORIZADOS!$A:$B,2,FALSE)="","",VLOOKUP(A820,[6]PRIORIZADOS!$A:$B,2,FALSE)),"")</f>
        <v>20</v>
      </c>
      <c r="C820" s="11" t="str">
        <f>IFERROR(IF(VLOOKUP(A820,[6]PRIORIZADOS!$A:$C,3,FALSE)="","",VLOOKUP(A820,[6]PRIORIZADOS!$A:$C,3,FALSE)),"")</f>
        <v>ENGATIVÁ</v>
      </c>
      <c r="D820" s="11" t="str">
        <f>IFERROR(IF(VLOOKUP(A820,[6]PRIORIZADOS!$A:$D,4,FALSE)="","",VLOOKUP(A820,[6]PRIORIZADOS!$A:$D,4,FALSE)),"")</f>
        <v>PRIVADO</v>
      </c>
      <c r="E820" s="11" t="str">
        <f>IFERROR(IF(VLOOKUP(A820,[6]PRIORIZADOS!$A:$E,5,FALSE)="","",VLOOKUP(A820,[6]PRIORIZADOS!$A:$E,5,FALSE)),"")</f>
        <v>EPBM</v>
      </c>
      <c r="F820" s="11" t="str">
        <f>IFERROR(IF(VLOOKUP(A820,[6]PRIORIZADOS!$A:$F,6,FALSE)="","",VLOOKUP(A820,[6]PRIORIZADOS!$A:$F,6,FALSE)),"")</f>
        <v>COLEGIO_MONTERREY</v>
      </c>
      <c r="G820" s="11" t="str">
        <f>IFERROR(IF(VLOOKUP(A820,[6]PRIORIZADOS!$A:$G,7,FALSE)="","",VLOOKUP(A820,[6]PRIORIZADOS!$A:$G,7,FALSE)),"")</f>
        <v>COLEGIO_MONTERREY</v>
      </c>
      <c r="H820" s="11" t="str">
        <f>IFERROR(IF(VLOOKUP(A820,[6]PRIORIZADOS!$A:$H,8,FALSE)="","",VLOOKUP(A820,[6]PRIORIZADOS!$A:$H,8,FALSE)),"")</f>
        <v>Autoevaluación Institucional y Pruebas SABER 11</v>
      </c>
      <c r="I820" s="11" t="str">
        <f>IFERROR(IF(VLOOKUP(A820,[6]PRIORIZADOS!$A:$I,9,FALSE)="","",VLOOKUP(A820,[6]PRIORIZADOS!$A:$I,9,FALSE)),"")</f>
        <v>EVALUACIÓN_CON_FINES_DE_MEJORAMIENTO.</v>
      </c>
      <c r="J820" s="11" t="str">
        <f>IFERROR(IF(VLOOKUP(A820,[6]PRIORIZADOS!$A:$J,10,FALSE)="","",VLOOKUP(A820,[6]PRIORIZADOS!$A:$J,10,FALSE)),"")</f>
        <v>Revisar el calendario escolar, jornada escolar, la intensidad horaria mínima anual en cada nivel y las modificaciones que se realicen al mismo, de acuerdo con lo previsto en la normatividad vigente.</v>
      </c>
      <c r="K820" s="11" t="str">
        <f>IFERROR(IF(VLOOKUP(A820,[6]PRIORIZADOS!$A:$K,11,FALSE)="","",VLOOKUP(A820,[6]PRIORIZADOS!$A:$K,11,FALSE)),"")</f>
        <v>JUAN AGUSTÍN RODRÍGUEZ ROZO</v>
      </c>
      <c r="L820" s="11" t="str">
        <f>IFERROR(IF(VLOOKUP(A820,[6]PRIORIZADOS!$A:$L,12,FALSE)="","",VLOOKUP(A820,[6]PRIORIZADOS!$A:$L,12,FALSE)),"")</f>
        <v>MÓNICA JANNETH RAMÍREZ MORENO</v>
      </c>
      <c r="M820" s="71">
        <f>IFERROR(IF(VLOOKUP(A820,[6]PRIORIZADOS!$A:$M,13,FALSE)="","",VLOOKUP(A820,[6]PRIORIZADOS!$A:$M,13,FALSE)),"")</f>
        <v>45776</v>
      </c>
      <c r="N820" s="139">
        <f>IFERROR(IF(VLOOKUP(A820,[6]PRIORIZADOS!$A:$N,14,FALSE)="","",VLOOKUP(A820,[6]PRIORIZADOS!$A:$N,14,FALSE)),"")</f>
        <v>45954</v>
      </c>
      <c r="O820" s="139">
        <f>IFERROR(IF(VLOOKUP(A820,[6]PRIORIZADOS!$A:$O,15,FALSE)="","",VLOOKUP(A820,[6]PRIORIZADOS!$A:$O,15,FALSE)),"")</f>
        <v>45954</v>
      </c>
      <c r="P820" s="11" t="str">
        <f>IFERROR(IF(VLOOKUP(A820,[6]PRIORIZADOS!$A:$P,16,FALSE)="","",VLOOKUP(A820,[6]PRIORIZADOS!$A:$P,16,FALSE)),"")</f>
        <v>Visitas de evaluación con fines de mejoramiento</v>
      </c>
      <c r="Q820" s="147" t="s">
        <v>149</v>
      </c>
      <c r="R820" s="11" t="str">
        <f>IFERROR(IF(VLOOKUP(A820,[6]PRIORIZADOS!$A:$R,18,FALSE)="","",VLOOKUP(A820,[6]PRIORIZADOS!$A:$R,18,FALSE)),"")</f>
        <v>Con base en el horario de clases, el colegio umple la siguiente in tensidad horaria: 1267 en el nivel de Preescolar, 1365 en Básica y 1219 en media. En la educación formal regular para jóvenes y adultos: 871 en la  basica y 473 en la media</v>
      </c>
      <c r="S820" s="11" t="str">
        <f>IFERROR(IF(VLOOKUP(A820,[6]PRIORIZADOS!$A:$S,19,FALSE)="","",VLOOKUP(A820,[6]PRIORIZADOS!$A:$S,19,FALSE)),"")</f>
        <v>Se cumple con las horas establecidas para cada nivel y jornada</v>
      </c>
      <c r="T820" s="70" t="str">
        <f>IFERROR(IF(VLOOKUP(A820,[6]PRIORIZADOS!$A:$T,20,FALSE)="","",VLOOKUP(A820,[6]PRIORIZADOS!$A:$T,20,FALSE)),"")</f>
        <v>No</v>
      </c>
      <c r="U820" s="11" t="str">
        <f>IFERROR(IF(VLOOKUP(A820,[6]PRIORIZADOS!$A:$U,21,FALSE)="","",VLOOKUP(A820,[6]PRIORIZADOS!$A:$U,21,FALSE)),"")</f>
        <v>Se verificará en otra vigencia o si se presenta petición o queja de la comunidad educativa</v>
      </c>
    </row>
    <row r="821" spans="1:21" s="1" customFormat="1" ht="60">
      <c r="A821" s="69">
        <f>IF([6]PRIORIZADOS!A187="","",[6]PRIORIZADOS!A187)</f>
        <v>760</v>
      </c>
      <c r="B821" s="70">
        <f>IFERROR(IF(VLOOKUP(A821,[6]PRIORIZADOS!$A:$B,2,FALSE)="","",VLOOKUP(A821,[6]PRIORIZADOS!$A:$B,2,FALSE)),"")</f>
        <v>20</v>
      </c>
      <c r="C821" s="11" t="str">
        <f>IFERROR(IF(VLOOKUP(A821,[6]PRIORIZADOS!$A:$C,3,FALSE)="","",VLOOKUP(A821,[6]PRIORIZADOS!$A:$C,3,FALSE)),"")</f>
        <v>ENGATIVÁ</v>
      </c>
      <c r="D821" s="11" t="str">
        <f>IFERROR(IF(VLOOKUP(A821,[6]PRIORIZADOS!$A:$D,4,FALSE)="","",VLOOKUP(A821,[6]PRIORIZADOS!$A:$D,4,FALSE)),"")</f>
        <v>PRIVADO</v>
      </c>
      <c r="E821" s="11" t="str">
        <f>IFERROR(IF(VLOOKUP(A821,[6]PRIORIZADOS!$A:$E,5,FALSE)="","",VLOOKUP(A821,[6]PRIORIZADOS!$A:$E,5,FALSE)),"")</f>
        <v>EPBM</v>
      </c>
      <c r="F821" s="11" t="str">
        <f>IFERROR(IF(VLOOKUP(A821,[6]PRIORIZADOS!$A:$F,6,FALSE)="","",VLOOKUP(A821,[6]PRIORIZADOS!$A:$F,6,FALSE)),"")</f>
        <v>COLEGIO_MONTERREY</v>
      </c>
      <c r="G821" s="11" t="str">
        <f>IFERROR(IF(VLOOKUP(A821,[6]PRIORIZADOS!$A:$G,7,FALSE)="","",VLOOKUP(A821,[6]PRIORIZADOS!$A:$G,7,FALSE)),"")</f>
        <v>COLEGIO_MONTERREY</v>
      </c>
      <c r="H821" s="11" t="str">
        <f>IFERROR(IF(VLOOKUP(A821,[6]PRIORIZADOS!$A:$H,8,FALSE)="","",VLOOKUP(A821,[6]PRIORIZADOS!$A:$H,8,FALSE)),"")</f>
        <v>Autoevaluación Institucional y Pruebas SABER 11</v>
      </c>
      <c r="I821" s="11" t="str">
        <f>IFERROR(IF(VLOOKUP(A821,[6]PRIORIZADOS!$A:$I,9,FALSE)="","",VLOOKUP(A821,[6]PRIORIZADOS!$A:$I,9,FALSE)),"")</f>
        <v>EVALUACIÓN_CON_FINES_DE_MEJORAMIENTO.</v>
      </c>
      <c r="J821" s="11" t="str">
        <f>IFERROR(IF(VLOOKUP(A821,[6]PRIORIZADOS!$A:$J,10,FALSE)="","",VLOOKUP(A821,[6]PRIORIZADOS!$A:$J,10,FALSE)),"")</f>
        <v>Verificar el funcionamiento del Gobierno Escolar e instancias de participación con base en la información sobre conformación reportada por la institución educativa.</v>
      </c>
      <c r="K821" s="11" t="str">
        <f>IFERROR(IF(VLOOKUP(A821,[6]PRIORIZADOS!$A:$K,11,FALSE)="","",VLOOKUP(A821,[6]PRIORIZADOS!$A:$K,11,FALSE)),"")</f>
        <v>JUAN AGUSTÍN RODRÍGUEZ ROZO</v>
      </c>
      <c r="L821" s="11" t="str">
        <f>IFERROR(IF(VLOOKUP(A821,[6]PRIORIZADOS!$A:$L,12,FALSE)="","",VLOOKUP(A821,[6]PRIORIZADOS!$A:$L,12,FALSE)),"")</f>
        <v>MÓNICA JANNETH RAMÍREZ MORENO</v>
      </c>
      <c r="M821" s="71">
        <f>IFERROR(IF(VLOOKUP(A821,[6]PRIORIZADOS!$A:$M,13,FALSE)="","",VLOOKUP(A821,[6]PRIORIZADOS!$A:$M,13,FALSE)),"")</f>
        <v>45776</v>
      </c>
      <c r="N821" s="139">
        <f>IFERROR(IF(VLOOKUP(A821,[6]PRIORIZADOS!$A:$N,14,FALSE)="","",VLOOKUP(A821,[6]PRIORIZADOS!$A:$N,14,FALSE)),"")</f>
        <v>45954</v>
      </c>
      <c r="O821" s="139">
        <f>IFERROR(IF(VLOOKUP(A821,[6]PRIORIZADOS!$A:$O,15,FALSE)="","",VLOOKUP(A821,[6]PRIORIZADOS!$A:$O,15,FALSE)),"")</f>
        <v>45954</v>
      </c>
      <c r="P821" s="11" t="str">
        <f>IFERROR(IF(VLOOKUP(A821,[6]PRIORIZADOS!$A:$P,16,FALSE)="","",VLOOKUP(A821,[6]PRIORIZADOS!$A:$P,16,FALSE)),"")</f>
        <v>Visitas de evaluación con fines de mejoramiento</v>
      </c>
      <c r="Q821" s="148" t="s">
        <v>149</v>
      </c>
      <c r="R821" s="11" t="str">
        <f>IFERROR(IF(VLOOKUP(A821,[6]PRIORIZADOS!$A:$R,18,FALSE)="","",VLOOKUP(A821,[6]PRIORIZADOS!$A:$R,18,FALSE)),"")</f>
        <v>El Consejo Directivo se ha reunido dos veces para la presente vigencia, se indica que según la normativa vigente debe reunirse por lo menos cada dos meses y extraordinariamente cuando se amerite</v>
      </c>
      <c r="S821" s="11" t="str">
        <f>IFERROR(IF(VLOOKUP(A821,[6]PRIORIZADOS!$A:$S,19,FALSE)="","",VLOOKUP(A821,[6]PRIORIZADOS!$A:$S,19,FALSE)),"")</f>
        <v>La periodicidad de las reuniones debe ser la indicada en la norma</v>
      </c>
      <c r="T821" s="70" t="str">
        <f>IFERROR(IF(VLOOKUP(A821,[6]PRIORIZADOS!$A:$T,20,FALSE)="","",VLOOKUP(A821,[6]PRIORIZADOS!$A:$T,20,FALSE)),"")</f>
        <v>Si</v>
      </c>
      <c r="U821" s="11" t="str">
        <f>IFERROR(IF(VLOOKUP(A821,[6]PRIORIZADOS!$A:$U,21,FALSE)="","",VLOOKUP(A821,[6]PRIORIZADOS!$A:$U,21,FALSE)),"")</f>
        <v>Se revisará el PMI que entregue el colegio el 5 de noviembre</v>
      </c>
    </row>
    <row r="822" spans="1:21" s="1" customFormat="1" ht="72">
      <c r="A822" s="69">
        <f>IF([6]PRIORIZADOS!A188="","",[6]PRIORIZADOS!A188)</f>
        <v>761</v>
      </c>
      <c r="B822" s="70">
        <f>IFERROR(IF(VLOOKUP(A822,[6]PRIORIZADOS!$A:$B,2,FALSE)="","",VLOOKUP(A822,[6]PRIORIZADOS!$A:$B,2,FALSE)),"")</f>
        <v>20</v>
      </c>
      <c r="C822" s="11" t="str">
        <f>IFERROR(IF(VLOOKUP(A822,[6]PRIORIZADOS!$A:$C,3,FALSE)="","",VLOOKUP(A822,[6]PRIORIZADOS!$A:$C,3,FALSE)),"")</f>
        <v>ENGATIVÁ</v>
      </c>
      <c r="D822" s="11" t="str">
        <f>IFERROR(IF(VLOOKUP(A822,[6]PRIORIZADOS!$A:$D,4,FALSE)="","",VLOOKUP(A822,[6]PRIORIZADOS!$A:$D,4,FALSE)),"")</f>
        <v>PRIVADO</v>
      </c>
      <c r="E822" s="11" t="str">
        <f>IFERROR(IF(VLOOKUP(A822,[6]PRIORIZADOS!$A:$E,5,FALSE)="","",VLOOKUP(A822,[6]PRIORIZADOS!$A:$E,5,FALSE)),"")</f>
        <v>EPBM</v>
      </c>
      <c r="F822" s="11" t="str">
        <f>IFERROR(IF(VLOOKUP(A822,[6]PRIORIZADOS!$A:$F,6,FALSE)="","",VLOOKUP(A822,[6]PRIORIZADOS!$A:$F,6,FALSE)),"")</f>
        <v>COLEGIO_MONTERREY</v>
      </c>
      <c r="G822" s="11" t="str">
        <f>IFERROR(IF(VLOOKUP(A822,[6]PRIORIZADOS!$A:$G,7,FALSE)="","",VLOOKUP(A822,[6]PRIORIZADOS!$A:$G,7,FALSE)),"")</f>
        <v>COLEGIO_MONTERREY</v>
      </c>
      <c r="H822" s="11" t="str">
        <f>IFERROR(IF(VLOOKUP(A822,[6]PRIORIZADOS!$A:$H,8,FALSE)="","",VLOOKUP(A822,[6]PRIORIZADOS!$A:$H,8,FALSE)),"")</f>
        <v>Autoevaluación Institucional y Pruebas SABER 11</v>
      </c>
      <c r="I822" s="11" t="str">
        <f>IFERROR(IF(VLOOKUP(A822,[6]PRIORIZADOS!$A:$I,9,FALSE)="","",VLOOKUP(A822,[6]PRIORIZADOS!$A:$I,9,FALSE)),"")</f>
        <v>EVALUACIÓN_CON_FINES_DE_MEJORAMIENTO.</v>
      </c>
      <c r="J822" s="11" t="str">
        <f>IFERROR(IF(VLOOKUP(A822,[6]PRIORIZADOS!$A:$J,10,FALSE)="","",VLOOKUP(A822,[6]PRIORIZADOS!$A:$J,10,FALSE)),"")</f>
        <v>Verificar las condiciones en cuanto a: la estructura administrativa, condiciones de la planta física y medios educativos adecuados.</v>
      </c>
      <c r="K822" s="11" t="str">
        <f>IFERROR(IF(VLOOKUP(A822,[6]PRIORIZADOS!$A:$K,11,FALSE)="","",VLOOKUP(A822,[6]PRIORIZADOS!$A:$K,11,FALSE)),"")</f>
        <v>JUAN AGUSTÍN RODRÍGUEZ ROZO</v>
      </c>
      <c r="L822" s="11" t="str">
        <f>IFERROR(IF(VLOOKUP(A822,[6]PRIORIZADOS!$A:$L,12,FALSE)="","",VLOOKUP(A822,[6]PRIORIZADOS!$A:$L,12,FALSE)),"")</f>
        <v>MÓNICA JANNETH RAMÍREZ MORENO</v>
      </c>
      <c r="M822" s="71">
        <f>IFERROR(IF(VLOOKUP(A822,[6]PRIORIZADOS!$A:$M,13,FALSE)="","",VLOOKUP(A822,[6]PRIORIZADOS!$A:$M,13,FALSE)),"")</f>
        <v>45776</v>
      </c>
      <c r="N822" s="139">
        <f>IFERROR(IF(VLOOKUP(A822,[6]PRIORIZADOS!$A:$N,14,FALSE)="","",VLOOKUP(A822,[6]PRIORIZADOS!$A:$N,14,FALSE)),"")</f>
        <v>45954</v>
      </c>
      <c r="O822" s="139">
        <f>IFERROR(IF(VLOOKUP(A822,[6]PRIORIZADOS!$A:$O,15,FALSE)="","",VLOOKUP(A822,[6]PRIORIZADOS!$A:$O,15,FALSE)),"")</f>
        <v>45954</v>
      </c>
      <c r="P822" s="11" t="str">
        <f>IFERROR(IF(VLOOKUP(A822,[6]PRIORIZADOS!$A:$P,16,FALSE)="","",VLOOKUP(A822,[6]PRIORIZADOS!$A:$P,16,FALSE)),"")</f>
        <v>Visitas de evaluación con fines de mejoramiento</v>
      </c>
      <c r="Q822" s="149" t="s">
        <v>149</v>
      </c>
      <c r="R822" s="11" t="str">
        <f>IFERROR(IF(VLOOKUP(A822,[6]PRIORIZADOS!$A:$R,18,FALSE)="","",VLOOKUP(A822,[6]PRIORIZADOS!$A:$R,18,FALSE)),"")</f>
        <v>La señora Ana Mercedes Moreno de Gonzalez, quien figura como propietaria, falleció en el año 2022 y a la fecha no han realizado el juicio de sucesión correspondiente para determinar el actual propietario o propietarios.</v>
      </c>
      <c r="S822" s="11" t="str">
        <f>IFERROR(IF(VLOOKUP(A822,[6]PRIORIZADOS!$A:$S,19,FALSE)="","",VLOOKUP(A822,[6]PRIORIZADOS!$A:$S,19,FALSE)),"")</f>
        <v>El colegio debe aportar la documentación necesaria para definir la propiedad del establecimiento educativo</v>
      </c>
      <c r="T822" s="70" t="str">
        <f>IFERROR(IF(VLOOKUP(A822,[6]PRIORIZADOS!$A:$T,20,FALSE)="","",VLOOKUP(A822,[6]PRIORIZADOS!$A:$T,20,FALSE)),"")</f>
        <v>Si</v>
      </c>
      <c r="U822" s="11" t="str">
        <f>IFERROR(IF(VLOOKUP(A822,[6]PRIORIZADOS!$A:$U,21,FALSE)="","",VLOOKUP(A822,[6]PRIORIZADOS!$A:$U,21,FALSE)),"")</f>
        <v>Se revisará el PMI que entregue el colegio el 5 de noviembre</v>
      </c>
    </row>
    <row r="823" spans="1:21" s="1" customFormat="1" ht="60">
      <c r="A823" s="69">
        <f>IF([6]PRIORIZADOS!A189="","",[6]PRIORIZADOS!A189)</f>
        <v>762</v>
      </c>
      <c r="B823" s="70">
        <f>IFERROR(IF(VLOOKUP(A823,[6]PRIORIZADOS!$A:$B,2,FALSE)="","",VLOOKUP(A823,[6]PRIORIZADOS!$A:$B,2,FALSE)),"")</f>
        <v>21</v>
      </c>
      <c r="C823" s="11" t="str">
        <f>IFERROR(IF(VLOOKUP(A823,[6]PRIORIZADOS!$A:$C,3,FALSE)="","",VLOOKUP(A823,[6]PRIORIZADOS!$A:$C,3,FALSE)),"")</f>
        <v>ENGATIVÁ</v>
      </c>
      <c r="D823" s="11" t="str">
        <f>IFERROR(IF(VLOOKUP(A823,[6]PRIORIZADOS!$A:$D,4,FALSE)="","",VLOOKUP(A823,[6]PRIORIZADOS!$A:$D,4,FALSE)),"")</f>
        <v>PRIVADO</v>
      </c>
      <c r="E823" s="11" t="str">
        <f>IFERROR(IF(VLOOKUP(A823,[6]PRIORIZADOS!$A:$E,5,FALSE)="","",VLOOKUP(A823,[6]PRIORIZADOS!$A:$E,5,FALSE)),"")</f>
        <v>EPBM</v>
      </c>
      <c r="F823" s="11" t="str">
        <f>IFERROR(IF(VLOOKUP(A823,[6]PRIORIZADOS!$A:$F,6,FALSE)="","",VLOOKUP(A823,[6]PRIORIZADOS!$A:$F,6,FALSE)),"")</f>
        <v>LICEO_MODERNO_CELESTIN_FREINET</v>
      </c>
      <c r="G823" s="11" t="str">
        <f>IFERROR(IF(VLOOKUP(A823,[6]PRIORIZADOS!$A:$G,7,FALSE)="","",VLOOKUP(A823,[6]PRIORIZADOS!$A:$G,7,FALSE)),"")</f>
        <v>LICEO_MODERNO_CELESTIN_FREINET</v>
      </c>
      <c r="H823" s="11" t="str">
        <f>IFERROR(IF(VLOOKUP(A823,[6]PRIORIZADOS!$A:$H,8,FALSE)="","",VLOOKUP(A823,[6]PRIORIZADOS!$A:$H,8,FALSE)),"")</f>
        <v>Autoevaluación Institucional y Pruebas SABER 11</v>
      </c>
      <c r="I823" s="11" t="str">
        <f>IFERROR(IF(VLOOKUP(A823,[6]PRIORIZADOS!$A:$I,9,FALSE)="","",VLOOKUP(A823,[6]PRIORIZADOS!$A:$I,9,FALSE)),"")</f>
        <v>SEGUIMIENTO_Y_SUPERVISIÓN.</v>
      </c>
      <c r="J823" s="11" t="str">
        <f>IFERROR(IF(VLOOKUP(A823,[6]PRIORIZADOS!$A:$J,10,FALSE)="","",VLOOKUP(A823,[6]PRIORIZADOS!$A:$J,10,FALSE)),"")</f>
        <v>Proponer estrategias en la formulación, verificar su elaboración y realizar seguimiento semestral al desarrollo de  las acciones establecidas en los planes de mejoramiento por pruebas SABER 11 de los establecimientos de educación formal.</v>
      </c>
      <c r="K823" s="11" t="str">
        <f>IFERROR(IF(VLOOKUP(A823,[6]PRIORIZADOS!$A:$K,11,FALSE)="","",VLOOKUP(A823,[6]PRIORIZADOS!$A:$K,11,FALSE)),"")</f>
        <v>JUAN AGUSTÍN RODRÍGUEZ ROZO</v>
      </c>
      <c r="L823" s="11" t="str">
        <f>IFERROR(IF(VLOOKUP(A823,[6]PRIORIZADOS!$A:$L,12,FALSE)="","",VLOOKUP(A823,[6]PRIORIZADOS!$A:$L,12,FALSE)),"")</f>
        <v>SANDRA MILENA BUENAVENTURA RUEDA</v>
      </c>
      <c r="M823" s="71">
        <f>IFERROR(IF(VLOOKUP(A823,[6]PRIORIZADOS!$A:$M,13,FALSE)="","",VLOOKUP(A823,[6]PRIORIZADOS!$A:$M,13,FALSE)),"")</f>
        <v>45783</v>
      </c>
      <c r="N823" s="139">
        <f>IFERROR(IF(VLOOKUP(A823,[6]PRIORIZADOS!$A:$N,14,FALSE)="","",VLOOKUP(A823,[6]PRIORIZADOS!$A:$N,14,FALSE)),"")</f>
        <v>45783</v>
      </c>
      <c r="O823" s="139">
        <f>IFERROR(IF(VLOOKUP(A823,[6]PRIORIZADOS!$A:$O,15,FALSE)="","",VLOOKUP(A823,[6]PRIORIZADOS!$A:$O,15,FALSE)),"")</f>
        <v>45783</v>
      </c>
      <c r="P823" s="11" t="str">
        <f>IFERROR(IF(VLOOKUP(A823,[6]PRIORIZADOS!$A:$P,16,FALSE)="","",VLOOKUP(A823,[6]PRIORIZADOS!$A:$P,16,FALSE)),"")</f>
        <v>Visitas de evaluación con fines de seguimiento</v>
      </c>
      <c r="Q823" s="121" t="s">
        <v>150</v>
      </c>
      <c r="R823" s="11" t="str">
        <f>IFERROR(IF(VLOOKUP(A823,[6]PRIORIZADOS!$A:$R,18,FALSE)="","",VLOOKUP(A823,[6]PRIORIZADOS!$A:$R,18,FALSE)),"")</f>
        <v>El colegio expuso evidencias de realización de pruebas y de acciones de nivelación con estudiantes de bajo desempeño en horas de descanso</v>
      </c>
      <c r="S823" s="11" t="str">
        <f>IFERROR(IF(VLOOKUP(A823,[6]PRIORIZADOS!$A:$S,19,FALSE)="","",VLOOKUP(A823,[6]PRIORIZADOS!$A:$S,19,FALSE)),"")</f>
        <v xml:space="preserve">El colegio se compromete a realziar revisión y actualización periodica al plan de estudios </v>
      </c>
      <c r="T823" s="70" t="str">
        <f>IFERROR(IF(VLOOKUP(A823,[6]PRIORIZADOS!$A:$T,20,FALSE)="","",VLOOKUP(A823,[6]PRIORIZADOS!$A:$T,20,FALSE)),"")</f>
        <v>No</v>
      </c>
      <c r="U823" s="11" t="str">
        <f>IFERROR(IF(VLOOKUP(A823,[6]PRIORIZADOS!$A:$U,21,FALSE)="","",VLOOKUP(A823,[6]PRIORIZADOS!$A:$U,21,FALSE)),"")</f>
        <v>Revisión de acta del consejo académico donde se evidencie el proceso de actualziación</v>
      </c>
    </row>
    <row r="824" spans="1:21" s="1" customFormat="1" ht="48">
      <c r="A824" s="69">
        <f>IF([6]PRIORIZADOS!A190="","",[6]PRIORIZADOS!A190)</f>
        <v>763</v>
      </c>
      <c r="B824" s="70">
        <f>IFERROR(IF(VLOOKUP(A824,[6]PRIORIZADOS!$A:$B,2,FALSE)="","",VLOOKUP(A824,[6]PRIORIZADOS!$A:$B,2,FALSE)),"")</f>
        <v>21</v>
      </c>
      <c r="C824" s="11" t="str">
        <f>IFERROR(IF(VLOOKUP(A824,[6]PRIORIZADOS!$A:$C,3,FALSE)="","",VLOOKUP(A824,[6]PRIORIZADOS!$A:$C,3,FALSE)),"")</f>
        <v>ENGATIVÁ</v>
      </c>
      <c r="D824" s="11" t="str">
        <f>IFERROR(IF(VLOOKUP(A824,[6]PRIORIZADOS!$A:$D,4,FALSE)="","",VLOOKUP(A824,[6]PRIORIZADOS!$A:$D,4,FALSE)),"")</f>
        <v>PRIVADO</v>
      </c>
      <c r="E824" s="11" t="str">
        <f>IFERROR(IF(VLOOKUP(A824,[6]PRIORIZADOS!$A:$E,5,FALSE)="","",VLOOKUP(A824,[6]PRIORIZADOS!$A:$E,5,FALSE)),"")</f>
        <v>EPBM</v>
      </c>
      <c r="F824" s="11" t="str">
        <f>IFERROR(IF(VLOOKUP(A824,[6]PRIORIZADOS!$A:$F,6,FALSE)="","",VLOOKUP(A824,[6]PRIORIZADOS!$A:$F,6,FALSE)),"")</f>
        <v>LICEO_MODERNO_CELESTIN_FREINET</v>
      </c>
      <c r="G824" s="11" t="str">
        <f>IFERROR(IF(VLOOKUP(A824,[6]PRIORIZADOS!$A:$G,7,FALSE)="","",VLOOKUP(A824,[6]PRIORIZADOS!$A:$G,7,FALSE)),"")</f>
        <v>LICEO_MODERNO_CELESTIN_FREINET</v>
      </c>
      <c r="H824" s="11" t="str">
        <f>IFERROR(IF(VLOOKUP(A824,[6]PRIORIZADOS!$A:$H,8,FALSE)="","",VLOOKUP(A824,[6]PRIORIZADOS!$A:$H,8,FALSE)),"")</f>
        <v>Autoevaluación Institucional y Pruebas SABER 11</v>
      </c>
      <c r="I824" s="11" t="str">
        <f>IFERROR(IF(VLOOKUP(A824,[6]PRIORIZADOS!$A:$I,9,FALSE)="","",VLOOKUP(A824,[6]PRIORIZADOS!$A:$I,9,FALSE)),"")</f>
        <v>SEGUIMIENTO_Y_SUPERVISIÓN.</v>
      </c>
      <c r="J824" s="11" t="str">
        <f>IFERROR(IF(VLOOKUP(A824,[6]PRIORIZADOS!$A:$J,10,FALSE)="","",VLOOKUP(A824,[6]PRIORIZADOS!$A:$J,10,FALSE)),"")</f>
        <v xml:space="preserve">Verificar la implementación por parte de los colegios, de acciones realizadas para la prevención y atención de las situaciones de convivencia en el entorno escolar, según lo establecido en la Directiva 01 de 2022 del MEN. </v>
      </c>
      <c r="K824" s="11" t="str">
        <f>IFERROR(IF(VLOOKUP(A824,[6]PRIORIZADOS!$A:$K,11,FALSE)="","",VLOOKUP(A824,[6]PRIORIZADOS!$A:$K,11,FALSE)),"")</f>
        <v>JUAN AGUSTÍN RODRÍGUEZ ROZO</v>
      </c>
      <c r="L824" s="11" t="str">
        <f>IFERROR(IF(VLOOKUP(A824,[6]PRIORIZADOS!$A:$L,12,FALSE)="","",VLOOKUP(A824,[6]PRIORIZADOS!$A:$L,12,FALSE)),"")</f>
        <v>SANDRA MILENA BUENAVENTURA RUEDA</v>
      </c>
      <c r="M824" s="71">
        <f>IFERROR(IF(VLOOKUP(A824,[6]PRIORIZADOS!$A:$M,13,FALSE)="","",VLOOKUP(A824,[6]PRIORIZADOS!$A:$M,13,FALSE)),"")</f>
        <v>45783</v>
      </c>
      <c r="N824" s="139">
        <f>IFERROR(IF(VLOOKUP(A824,[6]PRIORIZADOS!$A:$N,14,FALSE)="","",VLOOKUP(A824,[6]PRIORIZADOS!$A:$N,14,FALSE)),"")</f>
        <v>45783</v>
      </c>
      <c r="O824" s="139">
        <f>IFERROR(IF(VLOOKUP(A824,[6]PRIORIZADOS!$A:$O,15,FALSE)="","",VLOOKUP(A824,[6]PRIORIZADOS!$A:$O,15,FALSE)),"")</f>
        <v>45783</v>
      </c>
      <c r="P824" s="11" t="str">
        <f>IFERROR(IF(VLOOKUP(A824,[6]PRIORIZADOS!$A:$P,16,FALSE)="","",VLOOKUP(A824,[6]PRIORIZADOS!$A:$P,16,FALSE)),"")</f>
        <v>Visitas de evaluación con fines de seguimiento</v>
      </c>
      <c r="Q824" s="121" t="s">
        <v>150</v>
      </c>
      <c r="R824" s="11" t="str">
        <f>IFERROR(IF(VLOOKUP(A824,[6]PRIORIZADOS!$A:$R,18,FALSE)="","",VLOOKUP(A824,[6]PRIORIZADOS!$A:$R,18,FALSE)),"")</f>
        <v>No se encontraron evidencias de la realización de las verificaciones cuatrimestrales</v>
      </c>
      <c r="S824" s="11" t="str">
        <f>IFERROR(IF(VLOOKUP(A824,[6]PRIORIZADOS!$A:$S,19,FALSE)="","",VLOOKUP(A824,[6]PRIORIZADOS!$A:$S,19,FALSE)),"")</f>
        <v>Se debe hacer las verificacioens con la periodicidad indicada</v>
      </c>
      <c r="T824" s="70" t="str">
        <f>IFERROR(IF(VLOOKUP(A824,[6]PRIORIZADOS!$A:$T,20,FALSE)="","",VLOOKUP(A824,[6]PRIORIZADOS!$A:$T,20,FALSE)),"")</f>
        <v>Si</v>
      </c>
      <c r="U824" s="11" t="str">
        <f>IFERROR(IF(VLOOKUP(A824,[6]PRIORIZADOS!$A:$U,21,FALSE)="","",VLOOKUP(A824,[6]PRIORIZADOS!$A:$U,21,FALSE)),"")</f>
        <v>Verificación en carperta sonbre resultados de las verificaciones</v>
      </c>
    </row>
    <row r="825" spans="1:21" s="1" customFormat="1" ht="72">
      <c r="A825" s="69">
        <f>IF([6]PRIORIZADOS!A191="","",[6]PRIORIZADOS!A191)</f>
        <v>764</v>
      </c>
      <c r="B825" s="70">
        <f>IFERROR(IF(VLOOKUP(A825,[6]PRIORIZADOS!$A:$B,2,FALSE)="","",VLOOKUP(A825,[6]PRIORIZADOS!$A:$B,2,FALSE)),"")</f>
        <v>21</v>
      </c>
      <c r="C825" s="11" t="str">
        <f>IFERROR(IF(VLOOKUP(A825,[6]PRIORIZADOS!$A:$C,3,FALSE)="","",VLOOKUP(A825,[6]PRIORIZADOS!$A:$C,3,FALSE)),"")</f>
        <v>ENGATIVÁ</v>
      </c>
      <c r="D825" s="11" t="str">
        <f>IFERROR(IF(VLOOKUP(A825,[6]PRIORIZADOS!$A:$D,4,FALSE)="","",VLOOKUP(A825,[6]PRIORIZADOS!$A:$D,4,FALSE)),"")</f>
        <v>PRIVADO</v>
      </c>
      <c r="E825" s="11" t="str">
        <f>IFERROR(IF(VLOOKUP(A825,[6]PRIORIZADOS!$A:$E,5,FALSE)="","",VLOOKUP(A825,[6]PRIORIZADOS!$A:$E,5,FALSE)),"")</f>
        <v>EPBM</v>
      </c>
      <c r="F825" s="11" t="str">
        <f>IFERROR(IF(VLOOKUP(A825,[6]PRIORIZADOS!$A:$F,6,FALSE)="","",VLOOKUP(A825,[6]PRIORIZADOS!$A:$F,6,FALSE)),"")</f>
        <v>LICEO_MODERNO_CELESTIN_FREINET</v>
      </c>
      <c r="G825" s="11" t="str">
        <f>IFERROR(IF(VLOOKUP(A825,[6]PRIORIZADOS!$A:$G,7,FALSE)="","",VLOOKUP(A825,[6]PRIORIZADOS!$A:$G,7,FALSE)),"")</f>
        <v>LICEO_MODERNO_CELESTIN_FREINET</v>
      </c>
      <c r="H825" s="11" t="str">
        <f>IFERROR(IF(VLOOKUP(A825,[6]PRIORIZADOS!$A:$H,8,FALSE)="","",VLOOKUP(A825,[6]PRIORIZADOS!$A:$H,8,FALSE)),"")</f>
        <v>Autoevaluación Institucional y Pruebas SABER 11</v>
      </c>
      <c r="I825" s="11" t="str">
        <f>IFERROR(IF(VLOOKUP(A825,[6]PRIORIZADOS!$A:$I,9,FALSE)="","",VLOOKUP(A825,[6]PRIORIZADOS!$A:$I,9,FALSE)),"")</f>
        <v>SEGUIMIENTO_Y_SUPERVISIÓN.</v>
      </c>
      <c r="J825" s="11" t="str">
        <f>IFERROR(IF(VLOOKUP(A825,[6]PRIORIZADOS!$A:$J,10,FALSE)="","",VLOOKUP(A825,[6]PRIORIZADOS!$A:$J,10,FALSE)),"")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25" s="11" t="str">
        <f>IFERROR(IF(VLOOKUP(A825,[6]PRIORIZADOS!$A:$K,11,FALSE)="","",VLOOKUP(A825,[6]PRIORIZADOS!$A:$K,11,FALSE)),"")</f>
        <v>JUAN AGUSTÍN RODRÍGUEZ ROZO</v>
      </c>
      <c r="L825" s="11" t="str">
        <f>IFERROR(IF(VLOOKUP(A825,[6]PRIORIZADOS!$A:$L,12,FALSE)="","",VLOOKUP(A825,[6]PRIORIZADOS!$A:$L,12,FALSE)),"")</f>
        <v>SANDRA MILENA BUENAVENTURA RUEDA</v>
      </c>
      <c r="M825" s="71">
        <f>IFERROR(IF(VLOOKUP(A825,[6]PRIORIZADOS!$A:$M,13,FALSE)="","",VLOOKUP(A825,[6]PRIORIZADOS!$A:$M,13,FALSE)),"")</f>
        <v>45783</v>
      </c>
      <c r="N825" s="139">
        <f>IFERROR(IF(VLOOKUP(A825,[6]PRIORIZADOS!$A:$N,14,FALSE)="","",VLOOKUP(A825,[6]PRIORIZADOS!$A:$N,14,FALSE)),"")</f>
        <v>45783</v>
      </c>
      <c r="O825" s="139">
        <f>IFERROR(IF(VLOOKUP(A825,[6]PRIORIZADOS!$A:$O,15,FALSE)="","",VLOOKUP(A825,[6]PRIORIZADOS!$A:$O,15,FALSE)),"")</f>
        <v>45783</v>
      </c>
      <c r="P825" s="11" t="str">
        <f>IFERROR(IF(VLOOKUP(A825,[6]PRIORIZADOS!$A:$P,16,FALSE)="","",VLOOKUP(A825,[6]PRIORIZADOS!$A:$P,16,FALSE)),"")</f>
        <v>Visitas de evaluación con fines de seguimiento</v>
      </c>
      <c r="Q825" s="121" t="s">
        <v>150</v>
      </c>
      <c r="R825" s="11" t="str">
        <f>IFERROR(IF(VLOOKUP(A825,[6]PRIORIZADOS!$A:$R,18,FALSE)="","",VLOOKUP(A825,[6]PRIORIZADOS!$A:$R,18,FALSE)),"")</f>
        <v>Se evidencia la elaboración de 7  PIAR y su socialización con los padres de familias y las remisiones necesarias al sector salud</v>
      </c>
      <c r="S825" s="11" t="str">
        <f>IFERROR(IF(VLOOKUP(A825,[6]PRIORIZADOS!$A:$S,19,FALSE)="","",VLOOKUP(A825,[6]PRIORIZADOS!$A:$S,19,FALSE)),"")</f>
        <v>El colegio se compromete a actualziar el SIMAT registrando estas novedades ya que solo se registran dos estudiantes</v>
      </c>
      <c r="T825" s="70" t="str">
        <f>IFERROR(IF(VLOOKUP(A825,[6]PRIORIZADOS!$A:$T,20,FALSE)="","",VLOOKUP(A825,[6]PRIORIZADOS!$A:$T,20,FALSE)),"")</f>
        <v>Si</v>
      </c>
      <c r="U825" s="11" t="str">
        <f>IFERROR(IF(VLOOKUP(A825,[6]PRIORIZADOS!$A:$U,21,FALSE)="","",VLOOKUP(A825,[6]PRIORIZADOS!$A:$U,21,FALSE)),"")</f>
        <v>Verificación en SIMAT de los estudiantes faltantes y completitud del diseño de los PIAR</v>
      </c>
    </row>
    <row r="826" spans="1:21" s="1" customFormat="1" ht="84">
      <c r="A826" s="69">
        <f>IF([6]PRIORIZADOS!A192="","",[6]PRIORIZADOS!A192)</f>
        <v>765</v>
      </c>
      <c r="B826" s="70">
        <f>IFERROR(IF(VLOOKUP(A826,[6]PRIORIZADOS!$A:$B,2,FALSE)="","",VLOOKUP(A826,[6]PRIORIZADOS!$A:$B,2,FALSE)),"")</f>
        <v>21</v>
      </c>
      <c r="C826" s="11" t="str">
        <f>IFERROR(IF(VLOOKUP(A826,[6]PRIORIZADOS!$A:$C,3,FALSE)="","",VLOOKUP(A826,[6]PRIORIZADOS!$A:$C,3,FALSE)),"")</f>
        <v>ENGATIVÁ</v>
      </c>
      <c r="D826" s="11" t="str">
        <f>IFERROR(IF(VLOOKUP(A826,[6]PRIORIZADOS!$A:$D,4,FALSE)="","",VLOOKUP(A826,[6]PRIORIZADOS!$A:$D,4,FALSE)),"")</f>
        <v>PRIVADO</v>
      </c>
      <c r="E826" s="11" t="str">
        <f>IFERROR(IF(VLOOKUP(A826,[6]PRIORIZADOS!$A:$E,5,FALSE)="","",VLOOKUP(A826,[6]PRIORIZADOS!$A:$E,5,FALSE)),"")</f>
        <v>EPBM</v>
      </c>
      <c r="F826" s="11" t="str">
        <f>IFERROR(IF(VLOOKUP(A826,[6]PRIORIZADOS!$A:$F,6,FALSE)="","",VLOOKUP(A826,[6]PRIORIZADOS!$A:$F,6,FALSE)),"")</f>
        <v>LICEO_MODERNO_CELESTIN_FREINET</v>
      </c>
      <c r="G826" s="11" t="str">
        <f>IFERROR(IF(VLOOKUP(A826,[6]PRIORIZADOS!$A:$G,7,FALSE)="","",VLOOKUP(A826,[6]PRIORIZADOS!$A:$G,7,FALSE)),"")</f>
        <v>LICEO_MODERNO_CELESTIN_FREINET</v>
      </c>
      <c r="H826" s="11" t="str">
        <f>IFERROR(IF(VLOOKUP(A826,[6]PRIORIZADOS!$A:$H,8,FALSE)="","",VLOOKUP(A826,[6]PRIORIZADOS!$A:$H,8,FALSE)),"")</f>
        <v>Autoevaluación Institucional y Pruebas SABER 11</v>
      </c>
      <c r="I826" s="11" t="str">
        <f>IFERROR(IF(VLOOKUP(A826,[6]PRIORIZADOS!$A:$I,9,FALSE)="","",VLOOKUP(A826,[6]PRIORIZADOS!$A:$I,9,FALSE)),"")</f>
        <v>EVALUACIÓN_CON_FINES_DE_MEJORAMIENTO.</v>
      </c>
      <c r="J826" s="11" t="str">
        <f>IFERROR(IF(VLOOKUP(A826,[6]PRIORIZADOS!$A:$J,10,FALSE)="","",VLOOKUP(A826,[6]PRIORIZADOS!$A:$J,10,FALSE)),"")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26" s="11" t="str">
        <f>IFERROR(IF(VLOOKUP(A826,[6]PRIORIZADOS!$A:$K,11,FALSE)="","",VLOOKUP(A826,[6]PRIORIZADOS!$A:$K,11,FALSE)),"")</f>
        <v>JUAN AGUSTÍN RODRÍGUEZ ROZO</v>
      </c>
      <c r="L826" s="11" t="str">
        <f>IFERROR(IF(VLOOKUP(A826,[6]PRIORIZADOS!$A:$L,12,FALSE)="","",VLOOKUP(A826,[6]PRIORIZADOS!$A:$L,12,FALSE)),"")</f>
        <v>SANDRA MILENA BUENAVENTURA RUEDA</v>
      </c>
      <c r="M826" s="71">
        <f>IFERROR(IF(VLOOKUP(A826,[6]PRIORIZADOS!$A:$M,13,FALSE)="","",VLOOKUP(A826,[6]PRIORIZADOS!$A:$M,13,FALSE)),"")</f>
        <v>45783</v>
      </c>
      <c r="N826" s="139">
        <f>IFERROR(IF(VLOOKUP(A826,[6]PRIORIZADOS!$A:$N,14,FALSE)="","",VLOOKUP(A826,[6]PRIORIZADOS!$A:$N,14,FALSE)),"")</f>
        <v>45783</v>
      </c>
      <c r="O826" s="139">
        <f>IFERROR(IF(VLOOKUP(A826,[6]PRIORIZADOS!$A:$O,15,FALSE)="","",VLOOKUP(A826,[6]PRIORIZADOS!$A:$O,15,FALSE)),"")</f>
        <v>45783</v>
      </c>
      <c r="P826" s="11" t="str">
        <f>IFERROR(IF(VLOOKUP(A826,[6]PRIORIZADOS!$A:$P,16,FALSE)="","",VLOOKUP(A826,[6]PRIORIZADOS!$A:$P,16,FALSE)),"")</f>
        <v>Visitas de evaluación con fines de mejoramiento</v>
      </c>
      <c r="Q826" s="121" t="s">
        <v>150</v>
      </c>
      <c r="R826" s="11" t="str">
        <f>IFERROR(IF(VLOOKUP(A826,[6]PRIORIZADOS!$A:$R,18,FALSE)="","",VLOOKUP(A826,[6]PRIORIZADOS!$A:$R,18,FALSE)),"")</f>
        <v>El colegio aporta evidencias de la socialización y actualización conforme a lo establecido a la normatividad vigente, publicandolo en su página web</v>
      </c>
      <c r="S826" s="11" t="str">
        <f>IFERROR(IF(VLOOKUP(A826,[6]PRIORIZADOS!$A:$S,19,FALSE)="","",VLOOKUP(A826,[6]PRIORIZADOS!$A:$S,19,FALSE)),"")</f>
        <v>El colegio dará continuidad a los procesos de actualización que viene adelantando</v>
      </c>
      <c r="T826" s="70" t="str">
        <f>IFERROR(IF(VLOOKUP(A826,[6]PRIORIZADOS!$A:$T,20,FALSE)="","",VLOOKUP(A826,[6]PRIORIZADOS!$A:$T,20,FALSE)),"")</f>
        <v>No</v>
      </c>
      <c r="U826" s="11" t="str">
        <f>IFERROR(IF(VLOOKUP(A826,[6]PRIORIZADOS!$A:$U,21,FALSE)="","",VLOOKUP(A826,[6]PRIORIZADOS!$A:$U,21,FALSE)),"")</f>
        <v>En el año 2026 confirmar la actualización respecto al año 2025</v>
      </c>
    </row>
    <row r="827" spans="1:21" s="1" customFormat="1" ht="48">
      <c r="A827" s="69">
        <f>IF([6]PRIORIZADOS!A193="","",[6]PRIORIZADOS!A193)</f>
        <v>766</v>
      </c>
      <c r="B827" s="70">
        <f>IFERROR(IF(VLOOKUP(A827,[6]PRIORIZADOS!$A:$B,2,FALSE)="","",VLOOKUP(A827,[6]PRIORIZADOS!$A:$B,2,FALSE)),"")</f>
        <v>21</v>
      </c>
      <c r="C827" s="11" t="str">
        <f>IFERROR(IF(VLOOKUP(A827,[6]PRIORIZADOS!$A:$C,3,FALSE)="","",VLOOKUP(A827,[6]PRIORIZADOS!$A:$C,3,FALSE)),"")</f>
        <v>ENGATIVÁ</v>
      </c>
      <c r="D827" s="11" t="str">
        <f>IFERROR(IF(VLOOKUP(A827,[6]PRIORIZADOS!$A:$D,4,FALSE)="","",VLOOKUP(A827,[6]PRIORIZADOS!$A:$D,4,FALSE)),"")</f>
        <v>PRIVADO</v>
      </c>
      <c r="E827" s="11" t="str">
        <f>IFERROR(IF(VLOOKUP(A827,[6]PRIORIZADOS!$A:$E,5,FALSE)="","",VLOOKUP(A827,[6]PRIORIZADOS!$A:$E,5,FALSE)),"")</f>
        <v>EPBM</v>
      </c>
      <c r="F827" s="11" t="str">
        <f>IFERROR(IF(VLOOKUP(A827,[6]PRIORIZADOS!$A:$F,6,FALSE)="","",VLOOKUP(A827,[6]PRIORIZADOS!$A:$F,6,FALSE)),"")</f>
        <v>LICEO_MODERNO_CELESTIN_FREINET</v>
      </c>
      <c r="G827" s="11" t="str">
        <f>IFERROR(IF(VLOOKUP(A827,[6]PRIORIZADOS!$A:$G,7,FALSE)="","",VLOOKUP(A827,[6]PRIORIZADOS!$A:$G,7,FALSE)),"")</f>
        <v>LICEO_MODERNO_CELESTIN_FREINET</v>
      </c>
      <c r="H827" s="11" t="str">
        <f>IFERROR(IF(VLOOKUP(A827,[6]PRIORIZADOS!$A:$H,8,FALSE)="","",VLOOKUP(A827,[6]PRIORIZADOS!$A:$H,8,FALSE)),"")</f>
        <v>Autoevaluación Institucional y Pruebas SABER 11</v>
      </c>
      <c r="I827" s="11" t="str">
        <f>IFERROR(IF(VLOOKUP(A827,[6]PRIORIZADOS!$A:$I,9,FALSE)="","",VLOOKUP(A827,[6]PRIORIZADOS!$A:$I,9,FALSE)),"")</f>
        <v>EVALUACIÓN_CON_FINES_DE_MEJORAMIENTO.</v>
      </c>
      <c r="J827" s="11" t="str">
        <f>IFERROR(IF(VLOOKUP(A827,[6]PRIORIZADOS!$A:$J,10,FALSE)="","",VLOOKUP(A827,[6]PRIORIZADOS!$A:$J,10,FALSE)),"")</f>
        <v>Revisar la actualización, socialización e implementación del Sistema Institucional de Evaluación de Estudiantes - SIEE, en articulación con la actualización del PEI y la normatividad vigente.</v>
      </c>
      <c r="K827" s="11" t="str">
        <f>IFERROR(IF(VLOOKUP(A827,[6]PRIORIZADOS!$A:$K,11,FALSE)="","",VLOOKUP(A827,[6]PRIORIZADOS!$A:$K,11,FALSE)),"")</f>
        <v>JUAN AGUSTÍN RODRÍGUEZ ROZO</v>
      </c>
      <c r="L827" s="11" t="str">
        <f>IFERROR(IF(VLOOKUP(A827,[6]PRIORIZADOS!$A:$L,12,FALSE)="","",VLOOKUP(A827,[6]PRIORIZADOS!$A:$L,12,FALSE)),"")</f>
        <v>SANDRA MILENA BUENAVENTURA RUEDA</v>
      </c>
      <c r="M827" s="71">
        <f>IFERROR(IF(VLOOKUP(A827,[6]PRIORIZADOS!$A:$M,13,FALSE)="","",VLOOKUP(A827,[6]PRIORIZADOS!$A:$M,13,FALSE)),"")</f>
        <v>45783</v>
      </c>
      <c r="N827" s="139">
        <f>IFERROR(IF(VLOOKUP(A827,[6]PRIORIZADOS!$A:$N,14,FALSE)="","",VLOOKUP(A827,[6]PRIORIZADOS!$A:$N,14,FALSE)),"")</f>
        <v>45783</v>
      </c>
      <c r="O827" s="139">
        <f>IFERROR(IF(VLOOKUP(A827,[6]PRIORIZADOS!$A:$O,15,FALSE)="","",VLOOKUP(A827,[6]PRIORIZADOS!$A:$O,15,FALSE)),"")</f>
        <v>45783</v>
      </c>
      <c r="P827" s="11" t="str">
        <f>IFERROR(IF(VLOOKUP(A827,[6]PRIORIZADOS!$A:$P,16,FALSE)="","",VLOOKUP(A827,[6]PRIORIZADOS!$A:$P,16,FALSE)),"")</f>
        <v>Visitas de evaluación con fines de mejoramiento</v>
      </c>
      <c r="Q827" s="121" t="s">
        <v>150</v>
      </c>
      <c r="R827" s="11" t="str">
        <f>IFERROR(IF(VLOOKUP(A827,[6]PRIORIZADOS!$A:$R,18,FALSE)="","",VLOOKUP(A827,[6]PRIORIZADOS!$A:$R,18,FALSE)),"")</f>
        <v xml:space="preserve">El colegio lo implementa através de la plataforma Q10, donde se evidenvcia socialización, ejecución y registro de la información </v>
      </c>
      <c r="S827" s="11" t="str">
        <f>IFERROR(IF(VLOOKUP(A827,[6]PRIORIZADOS!$A:$S,19,FALSE)="","",VLOOKUP(A827,[6]PRIORIZADOS!$A:$S,19,FALSE)),"")</f>
        <v xml:space="preserve">Continuar con el uso de la plataforma, con el trabajo colaborativo y los talleres de nivelación </v>
      </c>
      <c r="T827" s="70" t="str">
        <f>IFERROR(IF(VLOOKUP(A827,[6]PRIORIZADOS!$A:$T,20,FALSE)="","",VLOOKUP(A827,[6]PRIORIZADOS!$A:$T,20,FALSE)),"")</f>
        <v>No</v>
      </c>
      <c r="U827" s="11" t="str">
        <f>IFERROR(IF(VLOOKUP(A827,[6]PRIORIZADOS!$A:$U,21,FALSE)="","",VLOOKUP(A827,[6]PRIORIZADOS!$A:$U,21,FALSE)),"")</f>
        <v>En el año 2026 confirmar la continuidad en el uso  de la plataforma y la actualización de los registros</v>
      </c>
    </row>
    <row r="828" spans="1:21" s="1" customFormat="1" ht="48">
      <c r="A828" s="69">
        <f>IF([6]PRIORIZADOS!A194="","",[6]PRIORIZADOS!A194)</f>
        <v>767</v>
      </c>
      <c r="B828" s="70">
        <f>IFERROR(IF(VLOOKUP(A828,[6]PRIORIZADOS!$A:$B,2,FALSE)="","",VLOOKUP(A828,[6]PRIORIZADOS!$A:$B,2,FALSE)),"")</f>
        <v>21</v>
      </c>
      <c r="C828" s="11" t="str">
        <f>IFERROR(IF(VLOOKUP(A828,[6]PRIORIZADOS!$A:$C,3,FALSE)="","",VLOOKUP(A828,[6]PRIORIZADOS!$A:$C,3,FALSE)),"")</f>
        <v>ENGATIVÁ</v>
      </c>
      <c r="D828" s="11" t="str">
        <f>IFERROR(IF(VLOOKUP(A828,[6]PRIORIZADOS!$A:$D,4,FALSE)="","",VLOOKUP(A828,[6]PRIORIZADOS!$A:$D,4,FALSE)),"")</f>
        <v>PRIVADO</v>
      </c>
      <c r="E828" s="11" t="str">
        <f>IFERROR(IF(VLOOKUP(A828,[6]PRIORIZADOS!$A:$E,5,FALSE)="","",VLOOKUP(A828,[6]PRIORIZADOS!$A:$E,5,FALSE)),"")</f>
        <v>EPBM</v>
      </c>
      <c r="F828" s="11" t="str">
        <f>IFERROR(IF(VLOOKUP(A828,[6]PRIORIZADOS!$A:$F,6,FALSE)="","",VLOOKUP(A828,[6]PRIORIZADOS!$A:$F,6,FALSE)),"")</f>
        <v>LICEO_MODERNO_CELESTIN_FREINET</v>
      </c>
      <c r="G828" s="11" t="str">
        <f>IFERROR(IF(VLOOKUP(A828,[6]PRIORIZADOS!$A:$G,7,FALSE)="","",VLOOKUP(A828,[6]PRIORIZADOS!$A:$G,7,FALSE)),"")</f>
        <v>LICEO_MODERNO_CELESTIN_FREINET</v>
      </c>
      <c r="H828" s="11" t="str">
        <f>IFERROR(IF(VLOOKUP(A828,[6]PRIORIZADOS!$A:$H,8,FALSE)="","",VLOOKUP(A828,[6]PRIORIZADOS!$A:$H,8,FALSE)),"")</f>
        <v>Autoevaluación Institucional y Pruebas SABER 11</v>
      </c>
      <c r="I828" s="11" t="str">
        <f>IFERROR(IF(VLOOKUP(A828,[6]PRIORIZADOS!$A:$I,9,FALSE)="","",VLOOKUP(A828,[6]PRIORIZADOS!$A:$I,9,FALSE)),"")</f>
        <v>EVALUACIÓN_CON_FINES_DE_MEJORAMIENTO.</v>
      </c>
      <c r="J828" s="11" t="str">
        <f>IFERROR(IF(VLOOKUP(A828,[6]PRIORIZADOS!$A:$J,10,FALSE)="","",VLOOKUP(A828,[6]PRIORIZADOS!$A:$J,10,FALSE)),"")</f>
        <v>Revisar el calendario escolar, jornada escolar, la intensidad horaria mínima anual en cada nivel y las modificaciones que se realicen al mismo, de acuerdo con lo previsto en la normatividad vigente.</v>
      </c>
      <c r="K828" s="11" t="str">
        <f>IFERROR(IF(VLOOKUP(A828,[6]PRIORIZADOS!$A:$K,11,FALSE)="","",VLOOKUP(A828,[6]PRIORIZADOS!$A:$K,11,FALSE)),"")</f>
        <v>JUAN AGUSTÍN RODRÍGUEZ ROZO</v>
      </c>
      <c r="L828" s="11" t="str">
        <f>IFERROR(IF(VLOOKUP(A828,[6]PRIORIZADOS!$A:$L,12,FALSE)="","",VLOOKUP(A828,[6]PRIORIZADOS!$A:$L,12,FALSE)),"")</f>
        <v>SANDRA MILENA BUENAVENTURA RUEDA</v>
      </c>
      <c r="M828" s="71">
        <f>IFERROR(IF(VLOOKUP(A828,[6]PRIORIZADOS!$A:$M,13,FALSE)="","",VLOOKUP(A828,[6]PRIORIZADOS!$A:$M,13,FALSE)),"")</f>
        <v>45783</v>
      </c>
      <c r="N828" s="139">
        <f>IFERROR(IF(VLOOKUP(A828,[6]PRIORIZADOS!$A:$N,14,FALSE)="","",VLOOKUP(A828,[6]PRIORIZADOS!$A:$N,14,FALSE)),"")</f>
        <v>45783</v>
      </c>
      <c r="O828" s="139">
        <f>IFERROR(IF(VLOOKUP(A828,[6]PRIORIZADOS!$A:$O,15,FALSE)="","",VLOOKUP(A828,[6]PRIORIZADOS!$A:$O,15,FALSE)),"")</f>
        <v>45783</v>
      </c>
      <c r="P828" s="11" t="str">
        <f>IFERROR(IF(VLOOKUP(A828,[6]PRIORIZADOS!$A:$P,16,FALSE)="","",VLOOKUP(A828,[6]PRIORIZADOS!$A:$P,16,FALSE)),"")</f>
        <v>Visitas de evaluación con fines de mejoramiento</v>
      </c>
      <c r="Q828" s="121" t="s">
        <v>150</v>
      </c>
      <c r="R828" s="11" t="str">
        <f>IFERROR(IF(VLOOKUP(A828,[6]PRIORIZADOS!$A:$R,18,FALSE)="","",VLOOKUP(A828,[6]PRIORIZADOS!$A:$R,18,FALSE)),"")</f>
        <v>El colegio contiene el calendario escolar registrandolo en el ONE DRIVE y cumple las intensidades horarias requeridas</v>
      </c>
      <c r="S828" s="11" t="str">
        <f>IFERROR(IF(VLOOKUP(A828,[6]PRIORIZADOS!$A:$S,19,FALSE)="","",VLOOKUP(A828,[6]PRIORIZADOS!$A:$S,19,FALSE)),"")</f>
        <v>Continuar el cumplimiento de las horas mínimas en cada uno de los niveles</v>
      </c>
      <c r="T828" s="70" t="str">
        <f>IFERROR(IF(VLOOKUP(A828,[6]PRIORIZADOS!$A:$T,20,FALSE)="","",VLOOKUP(A828,[6]PRIORIZADOS!$A:$T,20,FALSE)),"")</f>
        <v>No</v>
      </c>
      <c r="U828" s="11" t="str">
        <f>IFERROR(IF(VLOOKUP(A828,[6]PRIORIZADOS!$A:$U,21,FALSE)="","",VLOOKUP(A828,[6]PRIORIZADOS!$A:$U,21,FALSE)),"")</f>
        <v>En el año 2026 confirmar la continuidad en el cumplimiento de las horas establecidas</v>
      </c>
    </row>
    <row r="829" spans="1:21" s="1" customFormat="1" ht="48">
      <c r="A829" s="69">
        <f>IF([6]PRIORIZADOS!A195="","",[6]PRIORIZADOS!A195)</f>
        <v>768</v>
      </c>
      <c r="B829" s="70">
        <f>IFERROR(IF(VLOOKUP(A829,[6]PRIORIZADOS!$A:$B,2,FALSE)="","",VLOOKUP(A829,[6]PRIORIZADOS!$A:$B,2,FALSE)),"")</f>
        <v>21</v>
      </c>
      <c r="C829" s="11" t="str">
        <f>IFERROR(IF(VLOOKUP(A829,[6]PRIORIZADOS!$A:$C,3,FALSE)="","",VLOOKUP(A829,[6]PRIORIZADOS!$A:$C,3,FALSE)),"")</f>
        <v>ENGATIVÁ</v>
      </c>
      <c r="D829" s="11" t="str">
        <f>IFERROR(IF(VLOOKUP(A829,[6]PRIORIZADOS!$A:$D,4,FALSE)="","",VLOOKUP(A829,[6]PRIORIZADOS!$A:$D,4,FALSE)),"")</f>
        <v>PRIVADO</v>
      </c>
      <c r="E829" s="11" t="str">
        <f>IFERROR(IF(VLOOKUP(A829,[6]PRIORIZADOS!$A:$E,5,FALSE)="","",VLOOKUP(A829,[6]PRIORIZADOS!$A:$E,5,FALSE)),"")</f>
        <v>EPBM</v>
      </c>
      <c r="F829" s="11" t="str">
        <f>IFERROR(IF(VLOOKUP(A829,[6]PRIORIZADOS!$A:$F,6,FALSE)="","",VLOOKUP(A829,[6]PRIORIZADOS!$A:$F,6,FALSE)),"")</f>
        <v>LICEO_MODERNO_CELESTIN_FREINET</v>
      </c>
      <c r="G829" s="11" t="str">
        <f>IFERROR(IF(VLOOKUP(A829,[6]PRIORIZADOS!$A:$G,7,FALSE)="","",VLOOKUP(A829,[6]PRIORIZADOS!$A:$G,7,FALSE)),"")</f>
        <v>LICEO_MODERNO_CELESTIN_FREINET</v>
      </c>
      <c r="H829" s="11" t="str">
        <f>IFERROR(IF(VLOOKUP(A829,[6]PRIORIZADOS!$A:$H,8,FALSE)="","",VLOOKUP(A829,[6]PRIORIZADOS!$A:$H,8,FALSE)),"")</f>
        <v>Autoevaluación Institucional y Pruebas SABER 11</v>
      </c>
      <c r="I829" s="11" t="str">
        <f>IFERROR(IF(VLOOKUP(A829,[6]PRIORIZADOS!$A:$I,9,FALSE)="","",VLOOKUP(A829,[6]PRIORIZADOS!$A:$I,9,FALSE)),"")</f>
        <v>EVALUACIÓN_CON_FINES_DE_MEJORAMIENTO.</v>
      </c>
      <c r="J829" s="11" t="str">
        <f>IFERROR(IF(VLOOKUP(A829,[6]PRIORIZADOS!$A:$J,10,FALSE)="","",VLOOKUP(A829,[6]PRIORIZADOS!$A:$J,10,FALSE)),"")</f>
        <v>Verificar el funcionamiento del Gobierno Escolar e instancias de participación con base en la información sobre conformación reportada por la institución educativa.</v>
      </c>
      <c r="K829" s="11" t="str">
        <f>IFERROR(IF(VLOOKUP(A829,[6]PRIORIZADOS!$A:$K,11,FALSE)="","",VLOOKUP(A829,[6]PRIORIZADOS!$A:$K,11,FALSE)),"")</f>
        <v>JUAN AGUSTÍN RODRÍGUEZ ROZO</v>
      </c>
      <c r="L829" s="11" t="str">
        <f>IFERROR(IF(VLOOKUP(A829,[6]PRIORIZADOS!$A:$L,12,FALSE)="","",VLOOKUP(A829,[6]PRIORIZADOS!$A:$L,12,FALSE)),"")</f>
        <v>SANDRA MILENA BUENAVENTURA RUEDA</v>
      </c>
      <c r="M829" s="71">
        <f>IFERROR(IF(VLOOKUP(A829,[6]PRIORIZADOS!$A:$M,13,FALSE)="","",VLOOKUP(A829,[6]PRIORIZADOS!$A:$M,13,FALSE)),"")</f>
        <v>45783</v>
      </c>
      <c r="N829" s="139">
        <f>IFERROR(IF(VLOOKUP(A829,[6]PRIORIZADOS!$A:$N,14,FALSE)="","",VLOOKUP(A829,[6]PRIORIZADOS!$A:$N,14,FALSE)),"")</f>
        <v>45783</v>
      </c>
      <c r="O829" s="139">
        <f>IFERROR(IF(VLOOKUP(A829,[6]PRIORIZADOS!$A:$O,15,FALSE)="","",VLOOKUP(A829,[6]PRIORIZADOS!$A:$O,15,FALSE)),"")</f>
        <v>45783</v>
      </c>
      <c r="P829" s="11" t="str">
        <f>IFERROR(IF(VLOOKUP(A829,[6]PRIORIZADOS!$A:$P,16,FALSE)="","",VLOOKUP(A829,[6]PRIORIZADOS!$A:$P,16,FALSE)),"")</f>
        <v>Visitas de evaluación con fines de mejoramiento</v>
      </c>
      <c r="Q829" s="121" t="s">
        <v>150</v>
      </c>
      <c r="R829" s="11" t="str">
        <f>IFERROR(IF(VLOOKUP(A829,[6]PRIORIZADOS!$A:$R,18,FALSE)="","",VLOOKUP(A829,[6]PRIORIZADOS!$A:$R,18,FALSE)),"")</f>
        <v>El colegio aportó carpea institucional con actas de conformación y funcionamiento del gobierno escolar</v>
      </c>
      <c r="S829" s="11" t="str">
        <f>IFERROR(IF(VLOOKUP(A829,[6]PRIORIZADOS!$A:$S,19,FALSE)="","",VLOOKUP(A829,[6]PRIORIZADOS!$A:$S,19,FALSE)),"")</f>
        <v>Dar continuidad a la periodicidad de las reuniones y al registro formal de sus decisiones</v>
      </c>
      <c r="T829" s="70" t="str">
        <f>IFERROR(IF(VLOOKUP(A829,[6]PRIORIZADOS!$A:$T,20,FALSE)="","",VLOOKUP(A829,[6]PRIORIZADOS!$A:$T,20,FALSE)),"")</f>
        <v>No</v>
      </c>
      <c r="U829" s="11" t="str">
        <f>IFERROR(IF(VLOOKUP(A829,[6]PRIORIZADOS!$A:$U,21,FALSE)="","",VLOOKUP(A829,[6]PRIORIZADOS!$A:$U,21,FALSE)),"")</f>
        <v>verificación de las actas de las sesiones realizadas</v>
      </c>
    </row>
    <row r="830" spans="1:21" s="1" customFormat="1" ht="36">
      <c r="A830" s="69">
        <f>IF([6]PRIORIZADOS!A196="","",[6]PRIORIZADOS!A196)</f>
        <v>769</v>
      </c>
      <c r="B830" s="70">
        <f>IFERROR(IF(VLOOKUP(A830,[6]PRIORIZADOS!$A:$B,2,FALSE)="","",VLOOKUP(A830,[6]PRIORIZADOS!$A:$B,2,FALSE)),"")</f>
        <v>21</v>
      </c>
      <c r="C830" s="11" t="str">
        <f>IFERROR(IF(VLOOKUP(A830,[6]PRIORIZADOS!$A:$C,3,FALSE)="","",VLOOKUP(A830,[6]PRIORIZADOS!$A:$C,3,FALSE)),"")</f>
        <v>ENGATIVÁ</v>
      </c>
      <c r="D830" s="11" t="str">
        <f>IFERROR(IF(VLOOKUP(A830,[6]PRIORIZADOS!$A:$D,4,FALSE)="","",VLOOKUP(A830,[6]PRIORIZADOS!$A:$D,4,FALSE)),"")</f>
        <v>PRIVADO</v>
      </c>
      <c r="E830" s="11" t="str">
        <f>IFERROR(IF(VLOOKUP(A830,[6]PRIORIZADOS!$A:$E,5,FALSE)="","",VLOOKUP(A830,[6]PRIORIZADOS!$A:$E,5,FALSE)),"")</f>
        <v>EPBM</v>
      </c>
      <c r="F830" s="11" t="str">
        <f>IFERROR(IF(VLOOKUP(A830,[6]PRIORIZADOS!$A:$F,6,FALSE)="","",VLOOKUP(A830,[6]PRIORIZADOS!$A:$F,6,FALSE)),"")</f>
        <v>LICEO_MODERNO_CELESTIN_FREINET</v>
      </c>
      <c r="G830" s="11" t="str">
        <f>IFERROR(IF(VLOOKUP(A830,[6]PRIORIZADOS!$A:$G,7,FALSE)="","",VLOOKUP(A830,[6]PRIORIZADOS!$A:$G,7,FALSE)),"")</f>
        <v>LICEO_MODERNO_CELESTIN_FREINET</v>
      </c>
      <c r="H830" s="11" t="str">
        <f>IFERROR(IF(VLOOKUP(A830,[6]PRIORIZADOS!$A:$H,8,FALSE)="","",VLOOKUP(A830,[6]PRIORIZADOS!$A:$H,8,FALSE)),"")</f>
        <v>Autoevaluación Institucional y Pruebas SABER 11</v>
      </c>
      <c r="I830" s="11" t="str">
        <f>IFERROR(IF(VLOOKUP(A830,[6]PRIORIZADOS!$A:$I,9,FALSE)="","",VLOOKUP(A830,[6]PRIORIZADOS!$A:$I,9,FALSE)),"")</f>
        <v>EVALUACIÓN_CON_FINES_DE_MEJORAMIENTO.</v>
      </c>
      <c r="J830" s="11" t="str">
        <f>IFERROR(IF(VLOOKUP(A830,[6]PRIORIZADOS!$A:$J,10,FALSE)="","",VLOOKUP(A830,[6]PRIORIZADOS!$A:$J,10,FALSE)),"")</f>
        <v>Verificar las condiciones en cuanto a: la estructura administrativa, condiciones de la planta física y medios educativos adecuados.</v>
      </c>
      <c r="K830" s="11" t="str">
        <f>IFERROR(IF(VLOOKUP(A830,[6]PRIORIZADOS!$A:$K,11,FALSE)="","",VLOOKUP(A830,[6]PRIORIZADOS!$A:$K,11,FALSE)),"")</f>
        <v>JUAN AGUSTÍN RODRÍGUEZ ROZO</v>
      </c>
      <c r="L830" s="11" t="str">
        <f>IFERROR(IF(VLOOKUP(A830,[6]PRIORIZADOS!$A:$L,12,FALSE)="","",VLOOKUP(A830,[6]PRIORIZADOS!$A:$L,12,FALSE)),"")</f>
        <v>SANDRA MILENA BUENAVENTURA RUEDA</v>
      </c>
      <c r="M830" s="71">
        <f>IFERROR(IF(VLOOKUP(A830,[6]PRIORIZADOS!$A:$M,13,FALSE)="","",VLOOKUP(A830,[6]PRIORIZADOS!$A:$M,13,FALSE)),"")</f>
        <v>45783</v>
      </c>
      <c r="N830" s="139">
        <f>IFERROR(IF(VLOOKUP(A830,[6]PRIORIZADOS!$A:$N,14,FALSE)="","",VLOOKUP(A830,[6]PRIORIZADOS!$A:$N,14,FALSE)),"")</f>
        <v>45783</v>
      </c>
      <c r="O830" s="139">
        <f>IFERROR(IF(VLOOKUP(A830,[6]PRIORIZADOS!$A:$O,15,FALSE)="","",VLOOKUP(A830,[6]PRIORIZADOS!$A:$O,15,FALSE)),"")</f>
        <v>45783</v>
      </c>
      <c r="P830" s="11" t="str">
        <f>IFERROR(IF(VLOOKUP(A830,[6]PRIORIZADOS!$A:$P,16,FALSE)="","",VLOOKUP(A830,[6]PRIORIZADOS!$A:$P,16,FALSE)),"")</f>
        <v>Visitas de evaluación con fines de mejoramiento</v>
      </c>
      <c r="Q830" s="121" t="s">
        <v>150</v>
      </c>
      <c r="R830" s="11" t="str">
        <f>IFERROR(IF(VLOOKUP(A830,[6]PRIORIZADOS!$A:$R,18,FALSE)="","",VLOOKUP(A830,[6]PRIORIZADOS!$A:$R,18,FALSE)),"")</f>
        <v>En el recorrido se evidenció el buen estado de la dotación y la suficiencia respecto a los ambientes aprendizaje</v>
      </c>
      <c r="S830" s="11" t="str">
        <f>IFERROR(IF(VLOOKUP(A830,[6]PRIORIZADOS!$A:$S,19,FALSE)="","",VLOOKUP(A830,[6]PRIORIZADOS!$A:$S,19,FALSE)),"")</f>
        <v>Continuar las políticas de mantenimiento preventivo y correctivo</v>
      </c>
      <c r="T830" s="70" t="str">
        <f>IFERROR(IF(VLOOKUP(A830,[6]PRIORIZADOS!$A:$T,20,FALSE)="","",VLOOKUP(A830,[6]PRIORIZADOS!$A:$T,20,FALSE)),"")</f>
        <v>No</v>
      </c>
      <c r="U830" s="11" t="str">
        <f>IFERROR(IF(VLOOKUP(A830,[6]PRIORIZADOS!$A:$U,21,FALSE)="","",VLOOKUP(A830,[6]PRIORIZADOS!$A:$U,21,FALSE)),"")</f>
        <v>Revisión del resultado de la visita de la Subred Norte sobre concepto sanitario</v>
      </c>
    </row>
    <row r="831" spans="1:21" s="1" customFormat="1" ht="60">
      <c r="A831" s="69">
        <f>IF([6]PRIORIZADOS!A197="","",[6]PRIORIZADOS!A197)</f>
        <v>770</v>
      </c>
      <c r="B831" s="70">
        <f>IFERROR(IF(VLOOKUP(A831,[6]PRIORIZADOS!$A:$B,2,FALSE)="","",VLOOKUP(A831,[6]PRIORIZADOS!$A:$B,2,FALSE)),"")</f>
        <v>22</v>
      </c>
      <c r="C831" s="11" t="str">
        <f>IFERROR(IF(VLOOKUP(A831,[6]PRIORIZADOS!$A:$C,3,FALSE)="","",VLOOKUP(A831,[6]PRIORIZADOS!$A:$C,3,FALSE)),"")</f>
        <v>ENGATIVÁ</v>
      </c>
      <c r="D831" s="11" t="str">
        <f>IFERROR(IF(VLOOKUP(A831,[6]PRIORIZADOS!$A:$D,4,FALSE)="","",VLOOKUP(A831,[6]PRIORIZADOS!$A:$D,4,FALSE)),"")</f>
        <v>PRIVADO</v>
      </c>
      <c r="E831" s="11" t="str">
        <f>IFERROR(IF(VLOOKUP(A831,[6]PRIORIZADOS!$A:$E,5,FALSE)="","",VLOOKUP(A831,[6]PRIORIZADOS!$A:$E,5,FALSE)),"")</f>
        <v>EPBM</v>
      </c>
      <c r="F831" s="11" t="str">
        <f>IFERROR(IF(VLOOKUP(A831,[6]PRIORIZADOS!$A:$F,6,FALSE)="","",VLOOKUP(A831,[6]PRIORIZADOS!$A:$F,6,FALSE)),"")</f>
        <v>COLEGIO_HENRY_WALLON</v>
      </c>
      <c r="G831" s="11" t="str">
        <f>IFERROR(IF(VLOOKUP(A831,[6]PRIORIZADOS!$A:$G,7,FALSE)="","",VLOOKUP(A831,[6]PRIORIZADOS!$A:$G,7,FALSE)),"")</f>
        <v>COLEGIO_HENRY_WALLON</v>
      </c>
      <c r="H831" s="11" t="str">
        <f>IFERROR(IF(VLOOKUP(A831,[6]PRIORIZADOS!$A:$H,8,FALSE)="","",VLOOKUP(A831,[6]PRIORIZADOS!$A:$H,8,FALSE)),"")</f>
        <v>Autoevaluación Institucional y Pruebas SABER 11</v>
      </c>
      <c r="I831" s="11" t="str">
        <f>IFERROR(IF(VLOOKUP(A831,[6]PRIORIZADOS!$A:$I,9,FALSE)="","",VLOOKUP(A831,[6]PRIORIZADOS!$A:$I,9,FALSE)),"")</f>
        <v>SEGUIMIENTO_Y_SUPERVISIÓN.</v>
      </c>
      <c r="J831" s="11" t="str">
        <f>IFERROR(IF(VLOOKUP(A831,[6]PRIORIZADOS!$A:$J,10,FALSE)="","",VLOOKUP(A831,[6]PRIORIZADOS!$A:$J,10,FALSE)),"")</f>
        <v>Proponer estrategias en la formulación, verificar su elaboración y realizar seguimiento semestral al desarrollo de  las acciones establecidas en los planes de mejoramiento por pruebas SABER 11 de los establecimientos de educación formal.</v>
      </c>
      <c r="K831" s="11" t="str">
        <f>IFERROR(IF(VLOOKUP(A831,[6]PRIORIZADOS!$A:$K,11,FALSE)="","",VLOOKUP(A831,[6]PRIORIZADOS!$A:$K,11,FALSE)),"")</f>
        <v>LUZ MERY PARRA NOPE</v>
      </c>
      <c r="L831" s="11" t="str">
        <f>IFERROR(IF(VLOOKUP(A831,[6]PRIORIZADOS!$A:$L,12,FALSE)="","",VLOOKUP(A831,[6]PRIORIZADOS!$A:$L,12,FALSE)),"")</f>
        <v>SANDRA MILENA BUENAVENTURA RUEDA</v>
      </c>
      <c r="M831" s="71">
        <f>IFERROR(IF(VLOOKUP(A831,[6]PRIORIZADOS!$A:$M,13,FALSE)="","",VLOOKUP(A831,[6]PRIORIZADOS!$A:$M,13,FALSE)),"")</f>
        <v>45772</v>
      </c>
      <c r="N831" s="139">
        <f>IFERROR(IF(VLOOKUP(A831,[6]PRIORIZADOS!$A:$N,14,FALSE)="","",VLOOKUP(A831,[6]PRIORIZADOS!$A:$N,14,FALSE)),"")</f>
        <v>45772</v>
      </c>
      <c r="O831" s="139">
        <f>IFERROR(IF(VLOOKUP(A831,[6]PRIORIZADOS!$A:$O,15,FALSE)="","",VLOOKUP(A831,[6]PRIORIZADOS!$A:$O,15,FALSE)),"")</f>
        <v>45772</v>
      </c>
      <c r="P831" s="11" t="str">
        <f>IFERROR(IF(VLOOKUP(A831,[6]PRIORIZADOS!$A:$P,16,FALSE)="","",VLOOKUP(A831,[6]PRIORIZADOS!$A:$P,16,FALSE)),"")</f>
        <v>Visitas de evaluación con fines de seguimiento</v>
      </c>
      <c r="Q831" s="107" t="s">
        <v>151</v>
      </c>
      <c r="R831" s="11" t="str">
        <f>IFERROR(IF(VLOOKUP(A831,[6]PRIORIZADOS!$A:$R,18,FALSE)="","",VLOOKUP(A831,[6]PRIORIZADOS!$A:$R,18,FALSE)),"")</f>
        <v xml:space="preserve">Se observa que la IE realizó la estadistica con los resultados de las puebas del año 2024a finales de noviembre de 2024, se conto con a participación de los docentes. </v>
      </c>
      <c r="S831" s="11" t="str">
        <f>IFERROR(IF(VLOOKUP(A831,[6]PRIORIZADOS!$A:$S,19,FALSE)="","",VLOOKUP(A831,[6]PRIORIZADOS!$A:$S,19,FALSE)),"")</f>
        <v>Implementan plan de mejoramiento y plan de estudios y pryectos realizados con los docentes con el fin de mejorar los puntajes para el año 2025</v>
      </c>
      <c r="T831" s="70" t="str">
        <f>IFERROR(IF(VLOOKUP(A831,[6]PRIORIZADOS!$A:$T,20,FALSE)="","",VLOOKUP(A831,[6]PRIORIZADOS!$A:$T,20,FALSE)),"")</f>
        <v>Si</v>
      </c>
      <c r="U831" s="11" t="str">
        <f>IFERROR(IF(VLOOKUP(A831,[6]PRIORIZADOS!$A:$U,21,FALSE)="","",VLOOKUP(A831,[6]PRIORIZADOS!$A:$U,21,FALSE)),"")</f>
        <v>La IE tiene plazo para radicación del plan de mejoramiento 10 días hábiles posteriores a la visita. Una vez radicado procedemos con la revisión</v>
      </c>
    </row>
    <row r="832" spans="1:21" s="1" customFormat="1" ht="72">
      <c r="A832" s="69">
        <f>IF([6]PRIORIZADOS!A198="","",[6]PRIORIZADOS!A198)</f>
        <v>771</v>
      </c>
      <c r="B832" s="70">
        <f>IFERROR(IF(VLOOKUP(A832,[6]PRIORIZADOS!$A:$B,2,FALSE)="","",VLOOKUP(A832,[6]PRIORIZADOS!$A:$B,2,FALSE)),"")</f>
        <v>22</v>
      </c>
      <c r="C832" s="11" t="str">
        <f>IFERROR(IF(VLOOKUP(A832,[6]PRIORIZADOS!$A:$C,3,FALSE)="","",VLOOKUP(A832,[6]PRIORIZADOS!$A:$C,3,FALSE)),"")</f>
        <v>ENGATIVÁ</v>
      </c>
      <c r="D832" s="11" t="str">
        <f>IFERROR(IF(VLOOKUP(A832,[6]PRIORIZADOS!$A:$D,4,FALSE)="","",VLOOKUP(A832,[6]PRIORIZADOS!$A:$D,4,FALSE)),"")</f>
        <v>PRIVADO</v>
      </c>
      <c r="E832" s="11" t="str">
        <f>IFERROR(IF(VLOOKUP(A832,[6]PRIORIZADOS!$A:$E,5,FALSE)="","",VLOOKUP(A832,[6]PRIORIZADOS!$A:$E,5,FALSE)),"")</f>
        <v>EPBM</v>
      </c>
      <c r="F832" s="11" t="str">
        <f>IFERROR(IF(VLOOKUP(A832,[6]PRIORIZADOS!$A:$F,6,FALSE)="","",VLOOKUP(A832,[6]PRIORIZADOS!$A:$F,6,FALSE)),"")</f>
        <v>COLEGIO_HENRY_WALLON</v>
      </c>
      <c r="G832" s="11" t="str">
        <f>IFERROR(IF(VLOOKUP(A832,[6]PRIORIZADOS!$A:$G,7,FALSE)="","",VLOOKUP(A832,[6]PRIORIZADOS!$A:$G,7,FALSE)),"")</f>
        <v>COLEGIO_HENRY_WALLON</v>
      </c>
      <c r="H832" s="11" t="str">
        <f>IFERROR(IF(VLOOKUP(A832,[6]PRIORIZADOS!$A:$H,8,FALSE)="","",VLOOKUP(A832,[6]PRIORIZADOS!$A:$H,8,FALSE)),"")</f>
        <v>Autoevaluación Institucional y Pruebas SABER 11</v>
      </c>
      <c r="I832" s="11" t="str">
        <f>IFERROR(IF(VLOOKUP(A832,[6]PRIORIZADOS!$A:$I,9,FALSE)="","",VLOOKUP(A832,[6]PRIORIZADOS!$A:$I,9,FALSE)),"")</f>
        <v>SEGUIMIENTO_Y_SUPERVISIÓN.</v>
      </c>
      <c r="J832" s="11" t="str">
        <f>IFERROR(IF(VLOOKUP(A832,[6]PRIORIZADOS!$A:$J,10,FALSE)="","",VLOOKUP(A832,[6]PRIORIZADOS!$A:$J,10,FALSE)),"")</f>
        <v xml:space="preserve">Verificar la implementación por parte de los colegios, de acciones realizadas para la prevención y atención de las situaciones de convivencia en el entorno escolar, según lo establecido en la Directiva 01 de 2022 del MEN. </v>
      </c>
      <c r="K832" s="11" t="str">
        <f>IFERROR(IF(VLOOKUP(A832,[6]PRIORIZADOS!$A:$K,11,FALSE)="","",VLOOKUP(A832,[6]PRIORIZADOS!$A:$K,11,FALSE)),"")</f>
        <v>LUZ MERY PARRA NOPE</v>
      </c>
      <c r="L832" s="11" t="str">
        <f>IFERROR(IF(VLOOKUP(A832,[6]PRIORIZADOS!$A:$L,12,FALSE)="","",VLOOKUP(A832,[6]PRIORIZADOS!$A:$L,12,FALSE)),"")</f>
        <v>SANDRA MILENA BUENAVENTURA RUEDA</v>
      </c>
      <c r="M832" s="71">
        <f>IFERROR(IF(VLOOKUP(A832,[6]PRIORIZADOS!$A:$M,13,FALSE)="","",VLOOKUP(A832,[6]PRIORIZADOS!$A:$M,13,FALSE)),"")</f>
        <v>45772</v>
      </c>
      <c r="N832" s="139">
        <f>IFERROR(IF(VLOOKUP(A832,[6]PRIORIZADOS!$A:$N,14,FALSE)="","",VLOOKUP(A832,[6]PRIORIZADOS!$A:$N,14,FALSE)),"")</f>
        <v>45772</v>
      </c>
      <c r="O832" s="139">
        <f>IFERROR(IF(VLOOKUP(A832,[6]PRIORIZADOS!$A:$O,15,FALSE)="","",VLOOKUP(A832,[6]PRIORIZADOS!$A:$O,15,FALSE)),"")</f>
        <v>45772</v>
      </c>
      <c r="P832" s="11" t="str">
        <f>IFERROR(IF(VLOOKUP(A832,[6]PRIORIZADOS!$A:$P,16,FALSE)="","",VLOOKUP(A832,[6]PRIORIZADOS!$A:$P,16,FALSE)),"")</f>
        <v>Visitas de evaluación con fines de seguimiento</v>
      </c>
      <c r="Q832" s="107" t="s">
        <v>151</v>
      </c>
      <c r="R832" s="11" t="str">
        <f>IFERROR(IF(VLOOKUP(A832,[6]PRIORIZADOS!$A:$R,18,FALSE)="","",VLOOKUP(A832,[6]PRIORIZADOS!$A:$R,18,FALSE)),"")</f>
        <v>Se evidencia en cada una de las hojas de vida de los docentes y personal de planta la IE la consulta realizada entre los meses de enero y febrero de 2025. Por tanto, se encuentra dentro de los 4 meses y cumple con la normativida</v>
      </c>
      <c r="S832" s="11" t="str">
        <f>IFERROR(IF(VLOOKUP(A832,[6]PRIORIZADOS!$A:$S,19,FALSE)="","",VLOOKUP(A832,[6]PRIORIZADOS!$A:$S,19,FALSE)),"")</f>
        <v>Seguir realizando la consulta cada 4 meses y archivar en hojas de vida.</v>
      </c>
      <c r="T832" s="70" t="str">
        <f>IFERROR(IF(VLOOKUP(A832,[6]PRIORIZADOS!$A:$T,20,FALSE)="","",VLOOKUP(A832,[6]PRIORIZADOS!$A:$T,20,FALSE)),"")</f>
        <v>No</v>
      </c>
      <c r="U832" s="11" t="str">
        <f>IFERROR(IF(VLOOKUP(A832,[6]PRIORIZADOS!$A:$U,21,FALSE)="","",VLOOKUP(A832,[6]PRIORIZADOS!$A:$U,21,FALSE)),"")</f>
        <v>Se hará verificación en caso de presentar solicitud o queja ciudadana.</v>
      </c>
    </row>
    <row r="833" spans="1:21" s="1" customFormat="1" ht="72">
      <c r="A833" s="69">
        <f>IF([6]PRIORIZADOS!A199="","",[6]PRIORIZADOS!A199)</f>
        <v>772</v>
      </c>
      <c r="B833" s="70">
        <f>IFERROR(IF(VLOOKUP(A833,[6]PRIORIZADOS!$A:$B,2,FALSE)="","",VLOOKUP(A833,[6]PRIORIZADOS!$A:$B,2,FALSE)),"")</f>
        <v>22</v>
      </c>
      <c r="C833" s="11" t="str">
        <f>IFERROR(IF(VLOOKUP(A833,[6]PRIORIZADOS!$A:$C,3,FALSE)="","",VLOOKUP(A833,[6]PRIORIZADOS!$A:$C,3,FALSE)),"")</f>
        <v>ENGATIVÁ</v>
      </c>
      <c r="D833" s="11" t="str">
        <f>IFERROR(IF(VLOOKUP(A833,[6]PRIORIZADOS!$A:$D,4,FALSE)="","",VLOOKUP(A833,[6]PRIORIZADOS!$A:$D,4,FALSE)),"")</f>
        <v>PRIVADO</v>
      </c>
      <c r="E833" s="11" t="str">
        <f>IFERROR(IF(VLOOKUP(A833,[6]PRIORIZADOS!$A:$E,5,FALSE)="","",VLOOKUP(A833,[6]PRIORIZADOS!$A:$E,5,FALSE)),"")</f>
        <v>EPBM</v>
      </c>
      <c r="F833" s="11" t="str">
        <f>IFERROR(IF(VLOOKUP(A833,[6]PRIORIZADOS!$A:$F,6,FALSE)="","",VLOOKUP(A833,[6]PRIORIZADOS!$A:$F,6,FALSE)),"")</f>
        <v>COLEGIO_HENRY_WALLON</v>
      </c>
      <c r="G833" s="11" t="str">
        <f>IFERROR(IF(VLOOKUP(A833,[6]PRIORIZADOS!$A:$G,7,FALSE)="","",VLOOKUP(A833,[6]PRIORIZADOS!$A:$G,7,FALSE)),"")</f>
        <v>COLEGIO_HENRY_WALLON</v>
      </c>
      <c r="H833" s="11" t="str">
        <f>IFERROR(IF(VLOOKUP(A833,[6]PRIORIZADOS!$A:$H,8,FALSE)="","",VLOOKUP(A833,[6]PRIORIZADOS!$A:$H,8,FALSE)),"")</f>
        <v>Autoevaluación Institucional y Pruebas SABER 11</v>
      </c>
      <c r="I833" s="11" t="str">
        <f>IFERROR(IF(VLOOKUP(A833,[6]PRIORIZADOS!$A:$I,9,FALSE)="","",VLOOKUP(A833,[6]PRIORIZADOS!$A:$I,9,FALSE)),"")</f>
        <v>SEGUIMIENTO_Y_SUPERVISIÓN.</v>
      </c>
      <c r="J833" s="11" t="str">
        <f>IFERROR(IF(VLOOKUP(A833,[6]PRIORIZADOS!$A:$J,10,FALSE)="","",VLOOKUP(A833,[6]PRIORIZADOS!$A:$J,10,FALSE)),"")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33" s="11" t="str">
        <f>IFERROR(IF(VLOOKUP(A833,[6]PRIORIZADOS!$A:$K,11,FALSE)="","",VLOOKUP(A833,[6]PRIORIZADOS!$A:$K,11,FALSE)),"")</f>
        <v>LUZ MERY PARRA NOPE</v>
      </c>
      <c r="L833" s="11" t="str">
        <f>IFERROR(IF(VLOOKUP(A833,[6]PRIORIZADOS!$A:$L,12,FALSE)="","",VLOOKUP(A833,[6]PRIORIZADOS!$A:$L,12,FALSE)),"")</f>
        <v>SANDRA MILENA BUENAVENTURA RUEDA</v>
      </c>
      <c r="M833" s="71">
        <f>IFERROR(IF(VLOOKUP(A833,[6]PRIORIZADOS!$A:$M,13,FALSE)="","",VLOOKUP(A833,[6]PRIORIZADOS!$A:$M,13,FALSE)),"")</f>
        <v>45772</v>
      </c>
      <c r="N833" s="139">
        <f>IFERROR(IF(VLOOKUP(A833,[6]PRIORIZADOS!$A:$N,14,FALSE)="","",VLOOKUP(A833,[6]PRIORIZADOS!$A:$N,14,FALSE)),"")</f>
        <v>45772</v>
      </c>
      <c r="O833" s="139">
        <f>IFERROR(IF(VLOOKUP(A833,[6]PRIORIZADOS!$A:$O,15,FALSE)="","",VLOOKUP(A833,[6]PRIORIZADOS!$A:$O,15,FALSE)),"")</f>
        <v>45772</v>
      </c>
      <c r="P833" s="11" t="str">
        <f>IFERROR(IF(VLOOKUP(A833,[6]PRIORIZADOS!$A:$P,16,FALSE)="","",VLOOKUP(A833,[6]PRIORIZADOS!$A:$P,16,FALSE)),"")</f>
        <v>Visitas de evaluación con fines de seguimiento</v>
      </c>
      <c r="Q833" s="107" t="s">
        <v>151</v>
      </c>
      <c r="R833" s="11" t="str">
        <f>IFERROR(IF(VLOOKUP(A833,[6]PRIORIZADOS!$A:$R,18,FALSE)="","",VLOOKUP(A833,[6]PRIORIZADOS!$A:$R,18,FALSE)),"")</f>
        <v>Aportan 2 PIAR de los estudiantes con algún tipo de incapacidad. Se encuentra en elaboración uno pendiente por entrega del diagnostico medico que deben aportar los padres de familia.</v>
      </c>
      <c r="S833" s="11" t="str">
        <f>IFERROR(IF(VLOOKUP(A833,[6]PRIORIZADOS!$A:$S,19,FALSE)="","",VLOOKUP(A833,[6]PRIORIZADOS!$A:$S,19,FALSE)),"")</f>
        <v>Una vez la familia aporte diagnostico del estudiante faltante, se comprometen a realizar PIAR y solcializarlo.</v>
      </c>
      <c r="T833" s="70" t="str">
        <f>IFERROR(IF(VLOOKUP(A833,[6]PRIORIZADOS!$A:$T,20,FALSE)="","",VLOOKUP(A833,[6]PRIORIZADOS!$A:$T,20,FALSE)),"")</f>
        <v>Si</v>
      </c>
      <c r="U833" s="11" t="str">
        <f>IFERROR(IF(VLOOKUP(A833,[6]PRIORIZADOS!$A:$U,21,FALSE)="","",VLOOKUP(A833,[6]PRIORIZADOS!$A:$U,21,FALSE)),"")</f>
        <v>La IE tiene plazo para radicación del plan de mejoramiento 10 días hábiles posteriores a la visita. Una vez radicado procedemos con la revisión</v>
      </c>
    </row>
    <row r="834" spans="1:21" s="1" customFormat="1" ht="107.25">
      <c r="A834" s="69">
        <f>IF([6]PRIORIZADOS!A200="","",[6]PRIORIZADOS!A200)</f>
        <v>773</v>
      </c>
      <c r="B834" s="70">
        <f>IFERROR(IF(VLOOKUP(A834,[6]PRIORIZADOS!$A:$B,2,FALSE)="","",VLOOKUP(A834,[6]PRIORIZADOS!$A:$B,2,FALSE)),"")</f>
        <v>22</v>
      </c>
      <c r="C834" s="11" t="str">
        <f>IFERROR(IF(VLOOKUP(A834,[6]PRIORIZADOS!$A:$C,3,FALSE)="","",VLOOKUP(A834,[6]PRIORIZADOS!$A:$C,3,FALSE)),"")</f>
        <v>ENGATIVÁ</v>
      </c>
      <c r="D834" s="11" t="str">
        <f>IFERROR(IF(VLOOKUP(A834,[6]PRIORIZADOS!$A:$D,4,FALSE)="","",VLOOKUP(A834,[6]PRIORIZADOS!$A:$D,4,FALSE)),"")</f>
        <v>PRIVADO</v>
      </c>
      <c r="E834" s="11" t="str">
        <f>IFERROR(IF(VLOOKUP(A834,[6]PRIORIZADOS!$A:$E,5,FALSE)="","",VLOOKUP(A834,[6]PRIORIZADOS!$A:$E,5,FALSE)),"")</f>
        <v>EPBM</v>
      </c>
      <c r="F834" s="11" t="str">
        <f>IFERROR(IF(VLOOKUP(A834,[6]PRIORIZADOS!$A:$F,6,FALSE)="","",VLOOKUP(A834,[6]PRIORIZADOS!$A:$F,6,FALSE)),"")</f>
        <v>COLEGIO_HENRY_WALLON</v>
      </c>
      <c r="G834" s="11" t="str">
        <f>IFERROR(IF(VLOOKUP(A834,[6]PRIORIZADOS!$A:$G,7,FALSE)="","",VLOOKUP(A834,[6]PRIORIZADOS!$A:$G,7,FALSE)),"")</f>
        <v>COLEGIO_HENRY_WALLON</v>
      </c>
      <c r="H834" s="11" t="str">
        <f>IFERROR(IF(VLOOKUP(A834,[6]PRIORIZADOS!$A:$H,8,FALSE)="","",VLOOKUP(A834,[6]PRIORIZADOS!$A:$H,8,FALSE)),"")</f>
        <v>Autoevaluación Institucional y Pruebas SABER 11</v>
      </c>
      <c r="I834" s="11" t="str">
        <f>IFERROR(IF(VLOOKUP(A834,[6]PRIORIZADOS!$A:$I,9,FALSE)="","",VLOOKUP(A834,[6]PRIORIZADOS!$A:$I,9,FALSE)),"")</f>
        <v>EVALUACIÓN_CON_FINES_DE_MEJORAMIENTO.</v>
      </c>
      <c r="J834" s="11" t="str">
        <f>IFERROR(IF(VLOOKUP(A834,[6]PRIORIZADOS!$A:$J,10,FALSE)="","",VLOOKUP(A834,[6]PRIORIZADOS!$A:$J,10,FALSE)),"")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34" s="11" t="str">
        <f>IFERROR(IF(VLOOKUP(A834,[6]PRIORIZADOS!$A:$K,11,FALSE)="","",VLOOKUP(A834,[6]PRIORIZADOS!$A:$K,11,FALSE)),"")</f>
        <v>LUZ MERY PARRA NOPE</v>
      </c>
      <c r="L834" s="11" t="str">
        <f>IFERROR(IF(VLOOKUP(A834,[6]PRIORIZADOS!$A:$L,12,FALSE)="","",VLOOKUP(A834,[6]PRIORIZADOS!$A:$L,12,FALSE)),"")</f>
        <v>SANDRA MILENA BUENAVENTURA RUEDA</v>
      </c>
      <c r="M834" s="71">
        <f>IFERROR(IF(VLOOKUP(A834,[6]PRIORIZADOS!$A:$M,13,FALSE)="","",VLOOKUP(A834,[6]PRIORIZADOS!$A:$M,13,FALSE)),"")</f>
        <v>45772</v>
      </c>
      <c r="N834" s="139">
        <f>IFERROR(IF(VLOOKUP(A834,[6]PRIORIZADOS!$A:$N,14,FALSE)="","",VLOOKUP(A834,[6]PRIORIZADOS!$A:$N,14,FALSE)),"")</f>
        <v>45772</v>
      </c>
      <c r="O834" s="139">
        <f>IFERROR(IF(VLOOKUP(A834,[6]PRIORIZADOS!$A:$O,15,FALSE)="","",VLOOKUP(A834,[6]PRIORIZADOS!$A:$O,15,FALSE)),"")</f>
        <v>45772</v>
      </c>
      <c r="P834" s="11" t="str">
        <f>IFERROR(IF(VLOOKUP(A834,[6]PRIORIZADOS!$A:$P,16,FALSE)="","",VLOOKUP(A834,[6]PRIORIZADOS!$A:$P,16,FALSE)),"")</f>
        <v>Visitas de evaluación con fines de mejoramiento</v>
      </c>
      <c r="Q834" s="107" t="s">
        <v>151</v>
      </c>
      <c r="R834" s="11" t="str">
        <f>IFERROR(IF(VLOOKUP(A834,[6]PRIORIZADOS!$A:$R,18,FALSE)="","",VLOOKUP(A834,[6]PRIORIZADOS!$A:$R,18,FALSE)),"")</f>
        <v>La ultima actualización al Manual de convivencia fue terminada el 02/12/2024. Mediante circular enviada a padres de familias se invito a realizar aportes para su actualización</v>
      </c>
      <c r="S834" s="11" t="str">
        <f>IFERROR(IF(VLOOKUP(A834,[6]PRIORIZADOS!$A:$S,19,FALSE)="","",VLOOKUP(A834,[6]PRIORIZADOS!$A:$S,19,FALSE)),"")</f>
        <v>No se evidencia en el Manual los elementos de ley y los diferentes enfoques que fomentan el respeto, la valoración de la diversidad y el enfoque restaurativo. Tipificar en el manual de convivencia situaciones y faltas. Definir estrategias de apoyo para familias y estudiantes con dificultades socio emocionales desde orientación</v>
      </c>
      <c r="T834" s="70" t="str">
        <f>IFERROR(IF(VLOOKUP(A834,[6]PRIORIZADOS!$A:$T,20,FALSE)="","",VLOOKUP(A834,[6]PRIORIZADOS!$A:$T,20,FALSE)),"")</f>
        <v>Si</v>
      </c>
      <c r="U834" s="11" t="str">
        <f>IFERROR(IF(VLOOKUP(A834,[6]PRIORIZADOS!$A:$U,21,FALSE)="","",VLOOKUP(A834,[6]PRIORIZADOS!$A:$U,21,FALSE)),"")</f>
        <v>La IE tiene plazo para radicación del plan de mejoramiento 10 días hábiles posteriores a la visita. Una vez radicado procedemos con la revisión</v>
      </c>
    </row>
    <row r="835" spans="1:21" s="1" customFormat="1" ht="96">
      <c r="A835" s="69">
        <f>IF([6]PRIORIZADOS!A201="","",[6]PRIORIZADOS!A201)</f>
        <v>774</v>
      </c>
      <c r="B835" s="70">
        <f>IFERROR(IF(VLOOKUP(A835,[6]PRIORIZADOS!$A:$B,2,FALSE)="","",VLOOKUP(A835,[6]PRIORIZADOS!$A:$B,2,FALSE)),"")</f>
        <v>22</v>
      </c>
      <c r="C835" s="11" t="str">
        <f>IFERROR(IF(VLOOKUP(A835,[6]PRIORIZADOS!$A:$C,3,FALSE)="","",VLOOKUP(A835,[6]PRIORIZADOS!$A:$C,3,FALSE)),"")</f>
        <v>ENGATIVÁ</v>
      </c>
      <c r="D835" s="11" t="str">
        <f>IFERROR(IF(VLOOKUP(A835,[6]PRIORIZADOS!$A:$D,4,FALSE)="","",VLOOKUP(A835,[6]PRIORIZADOS!$A:$D,4,FALSE)),"")</f>
        <v>PRIVADO</v>
      </c>
      <c r="E835" s="11" t="str">
        <f>IFERROR(IF(VLOOKUP(A835,[6]PRIORIZADOS!$A:$E,5,FALSE)="","",VLOOKUP(A835,[6]PRIORIZADOS!$A:$E,5,FALSE)),"")</f>
        <v>EPBM</v>
      </c>
      <c r="F835" s="11" t="str">
        <f>IFERROR(IF(VLOOKUP(A835,[6]PRIORIZADOS!$A:$F,6,FALSE)="","",VLOOKUP(A835,[6]PRIORIZADOS!$A:$F,6,FALSE)),"")</f>
        <v>COLEGIO_HENRY_WALLON</v>
      </c>
      <c r="G835" s="11" t="str">
        <f>IFERROR(IF(VLOOKUP(A835,[6]PRIORIZADOS!$A:$G,7,FALSE)="","",VLOOKUP(A835,[6]PRIORIZADOS!$A:$G,7,FALSE)),"")</f>
        <v>COLEGIO_HENRY_WALLON</v>
      </c>
      <c r="H835" s="11" t="str">
        <f>IFERROR(IF(VLOOKUP(A835,[6]PRIORIZADOS!$A:$H,8,FALSE)="","",VLOOKUP(A835,[6]PRIORIZADOS!$A:$H,8,FALSE)),"")</f>
        <v>Autoevaluación Institucional y Pruebas SABER 11</v>
      </c>
      <c r="I835" s="11" t="str">
        <f>IFERROR(IF(VLOOKUP(A835,[6]PRIORIZADOS!$A:$I,9,FALSE)="","",VLOOKUP(A835,[6]PRIORIZADOS!$A:$I,9,FALSE)),"")</f>
        <v>EVALUACIÓN_CON_FINES_DE_MEJORAMIENTO.</v>
      </c>
      <c r="J835" s="11" t="str">
        <f>IFERROR(IF(VLOOKUP(A835,[6]PRIORIZADOS!$A:$J,10,FALSE)="","",VLOOKUP(A835,[6]PRIORIZADOS!$A:$J,10,FALSE)),"")</f>
        <v>Revisar la actualización, socialización e implementación del Sistema Institucional de Evaluación de Estudiantes - SIEE, en articulación con la actualización del PEI y la normatividad vigente.</v>
      </c>
      <c r="K835" s="11" t="str">
        <f>IFERROR(IF(VLOOKUP(A835,[6]PRIORIZADOS!$A:$K,11,FALSE)="","",VLOOKUP(A835,[6]PRIORIZADOS!$A:$K,11,FALSE)),"")</f>
        <v>LUZ MERY PARRA NOPE</v>
      </c>
      <c r="L835" s="11" t="str">
        <f>IFERROR(IF(VLOOKUP(A835,[6]PRIORIZADOS!$A:$L,12,FALSE)="","",VLOOKUP(A835,[6]PRIORIZADOS!$A:$L,12,FALSE)),"")</f>
        <v>SANDRA MILENA BUENAVENTURA RUEDA</v>
      </c>
      <c r="M835" s="71">
        <f>IFERROR(IF(VLOOKUP(A835,[6]PRIORIZADOS!$A:$M,13,FALSE)="","",VLOOKUP(A835,[6]PRIORIZADOS!$A:$M,13,FALSE)),"")</f>
        <v>45772</v>
      </c>
      <c r="N835" s="139">
        <f>IFERROR(IF(VLOOKUP(A835,[6]PRIORIZADOS!$A:$N,14,FALSE)="","",VLOOKUP(A835,[6]PRIORIZADOS!$A:$N,14,FALSE)),"")</f>
        <v>45772</v>
      </c>
      <c r="O835" s="139">
        <f>IFERROR(IF(VLOOKUP(A835,[6]PRIORIZADOS!$A:$O,15,FALSE)="","",VLOOKUP(A835,[6]PRIORIZADOS!$A:$O,15,FALSE)),"")</f>
        <v>45772</v>
      </c>
      <c r="P835" s="11" t="str">
        <f>IFERROR(IF(VLOOKUP(A835,[6]PRIORIZADOS!$A:$P,16,FALSE)="","",VLOOKUP(A835,[6]PRIORIZADOS!$A:$P,16,FALSE)),"")</f>
        <v>Visitas de evaluación con fines de mejoramiento</v>
      </c>
      <c r="Q835" s="107" t="s">
        <v>151</v>
      </c>
      <c r="R835" s="11" t="str">
        <f>IFERROR(IF(VLOOKUP(A835,[6]PRIORIZADOS!$A:$R,18,FALSE)="","",VLOOKUP(A835,[6]PRIORIZADOS!$A:$R,18,FALSE)),"")</f>
        <v>El SIEE se encuentra registrado en la agenda del Colegio, de otro lado se evidencia que cada docente carga la información manuelamente en planillas de un excel y un onedrive, cuentan con planes y proyectos por acada area en fisico, igualmente con actas de recuperación y nivelaciones.</v>
      </c>
      <c r="S835" s="11" t="str">
        <f>IFERROR(IF(VLOOKUP(A835,[6]PRIORIZADOS!$A:$S,19,FALSE)="","",VLOOKUP(A835,[6]PRIORIZADOS!$A:$S,19,FALSE)),"")</f>
        <v>Seguir realizando estrategias de apoyo pedagogicas para su actualización según la normatividad vigente.</v>
      </c>
      <c r="T835" s="70" t="str">
        <f>IFERROR(IF(VLOOKUP(A835,[6]PRIORIZADOS!$A:$T,20,FALSE)="","",VLOOKUP(A835,[6]PRIORIZADOS!$A:$T,20,FALSE)),"")</f>
        <v>No</v>
      </c>
      <c r="U835" s="11" t="str">
        <f>IFERROR(IF(VLOOKUP(A835,[6]PRIORIZADOS!$A:$U,21,FALSE)="","",VLOOKUP(A835,[6]PRIORIZADOS!$A:$U,21,FALSE)),"")</f>
        <v>Se hará verificación en caso de presentar solicitud o queja ciudadana.</v>
      </c>
    </row>
    <row r="836" spans="1:21" s="1" customFormat="1" ht="84">
      <c r="A836" s="69">
        <f>IF([6]PRIORIZADOS!A202="","",[6]PRIORIZADOS!A202)</f>
        <v>775</v>
      </c>
      <c r="B836" s="70">
        <f>IFERROR(IF(VLOOKUP(A836,[6]PRIORIZADOS!$A:$B,2,FALSE)="","",VLOOKUP(A836,[6]PRIORIZADOS!$A:$B,2,FALSE)),"")</f>
        <v>22</v>
      </c>
      <c r="C836" s="11" t="str">
        <f>IFERROR(IF(VLOOKUP(A836,[6]PRIORIZADOS!$A:$C,3,FALSE)="","",VLOOKUP(A836,[6]PRIORIZADOS!$A:$C,3,FALSE)),"")</f>
        <v>ENGATIVÁ</v>
      </c>
      <c r="D836" s="11" t="str">
        <f>IFERROR(IF(VLOOKUP(A836,[6]PRIORIZADOS!$A:$D,4,FALSE)="","",VLOOKUP(A836,[6]PRIORIZADOS!$A:$D,4,FALSE)),"")</f>
        <v>PRIVADO</v>
      </c>
      <c r="E836" s="11" t="str">
        <f>IFERROR(IF(VLOOKUP(A836,[6]PRIORIZADOS!$A:$E,5,FALSE)="","",VLOOKUP(A836,[6]PRIORIZADOS!$A:$E,5,FALSE)),"")</f>
        <v>EPBM</v>
      </c>
      <c r="F836" s="11" t="str">
        <f>IFERROR(IF(VLOOKUP(A836,[6]PRIORIZADOS!$A:$F,6,FALSE)="","",VLOOKUP(A836,[6]PRIORIZADOS!$A:$F,6,FALSE)),"")</f>
        <v>COLEGIO_HENRY_WALLON</v>
      </c>
      <c r="G836" s="11" t="str">
        <f>IFERROR(IF(VLOOKUP(A836,[6]PRIORIZADOS!$A:$G,7,FALSE)="","",VLOOKUP(A836,[6]PRIORIZADOS!$A:$G,7,FALSE)),"")</f>
        <v>COLEGIO_HENRY_WALLON</v>
      </c>
      <c r="H836" s="11" t="str">
        <f>IFERROR(IF(VLOOKUP(A836,[6]PRIORIZADOS!$A:$H,8,FALSE)="","",VLOOKUP(A836,[6]PRIORIZADOS!$A:$H,8,FALSE)),"")</f>
        <v>Autoevaluación Institucional y Pruebas SABER 11</v>
      </c>
      <c r="I836" s="11" t="str">
        <f>IFERROR(IF(VLOOKUP(A836,[6]PRIORIZADOS!$A:$I,9,FALSE)="","",VLOOKUP(A836,[6]PRIORIZADOS!$A:$I,9,FALSE)),"")</f>
        <v>EVALUACIÓN_CON_FINES_DE_MEJORAMIENTO.</v>
      </c>
      <c r="J836" s="11" t="str">
        <f>IFERROR(IF(VLOOKUP(A836,[6]PRIORIZADOS!$A:$J,10,FALSE)="","",VLOOKUP(A836,[6]PRIORIZADOS!$A:$J,10,FALSE)),"")</f>
        <v>Revisar el calendario escolar, jornada escolar, la intensidad horaria mínima anual en cada nivel y las modificaciones que se realicen al mismo, de acuerdo con lo previsto en la normatividad vigente.</v>
      </c>
      <c r="K836" s="11" t="str">
        <f>IFERROR(IF(VLOOKUP(A836,[6]PRIORIZADOS!$A:$K,11,FALSE)="","",VLOOKUP(A836,[6]PRIORIZADOS!$A:$K,11,FALSE)),"")</f>
        <v>LUZ MERY PARRA NOPE</v>
      </c>
      <c r="L836" s="11" t="str">
        <f>IFERROR(IF(VLOOKUP(A836,[6]PRIORIZADOS!$A:$L,12,FALSE)="","",VLOOKUP(A836,[6]PRIORIZADOS!$A:$L,12,FALSE)),"")</f>
        <v>SANDRA MILENA BUENAVENTURA RUEDA</v>
      </c>
      <c r="M836" s="71">
        <f>IFERROR(IF(VLOOKUP(A836,[6]PRIORIZADOS!$A:$M,13,FALSE)="","",VLOOKUP(A836,[6]PRIORIZADOS!$A:$M,13,FALSE)),"")</f>
        <v>45772</v>
      </c>
      <c r="N836" s="139">
        <f>IFERROR(IF(VLOOKUP(A836,[6]PRIORIZADOS!$A:$N,14,FALSE)="","",VLOOKUP(A836,[6]PRIORIZADOS!$A:$N,14,FALSE)),"")</f>
        <v>45772</v>
      </c>
      <c r="O836" s="139">
        <f>IFERROR(IF(VLOOKUP(A836,[6]PRIORIZADOS!$A:$O,15,FALSE)="","",VLOOKUP(A836,[6]PRIORIZADOS!$A:$O,15,FALSE)),"")</f>
        <v>45772</v>
      </c>
      <c r="P836" s="11" t="str">
        <f>IFERROR(IF(VLOOKUP(A836,[6]PRIORIZADOS!$A:$P,16,FALSE)="","",VLOOKUP(A836,[6]PRIORIZADOS!$A:$P,16,FALSE)),"")</f>
        <v>Visitas de evaluación con fines de mejoramiento</v>
      </c>
      <c r="Q836" s="107" t="s">
        <v>151</v>
      </c>
      <c r="R836" s="11" t="str">
        <f>IFERROR(IF(VLOOKUP(A836,[6]PRIORIZADOS!$A:$R,18,FALSE)="","",VLOOKUP(A836,[6]PRIORIZADOS!$A:$R,18,FALSE)),"")</f>
        <v>Se observa en el calendario escolar la intesidad horaria minima anual en cada nivel.</v>
      </c>
      <c r="S836" s="11" t="str">
        <f>IFERROR(IF(VLOOKUP(A836,[6]PRIORIZADOS!$A:$S,19,FALSE)="","",VLOOKUP(A836,[6]PRIORIZADOS!$A:$S,19,FALSE)),"")</f>
        <v>Con respecto a las Jornadas pedagógicas y de formación docente realizar planeación de las fechas en que se realizarán, y registrarlas en calendario académico. Continuar garantizando el cumplliento de la intesidad horaria minima permitida según normatividad vigente.</v>
      </c>
      <c r="T836" s="70" t="str">
        <f>IFERROR(IF(VLOOKUP(A836,[6]PRIORIZADOS!$A:$T,20,FALSE)="","",VLOOKUP(A836,[6]PRIORIZADOS!$A:$T,20,FALSE)),"")</f>
        <v>Si</v>
      </c>
      <c r="U836" s="11" t="str">
        <f>IFERROR(IF(VLOOKUP(A836,[6]PRIORIZADOS!$A:$U,21,FALSE)="","",VLOOKUP(A836,[6]PRIORIZADOS!$A:$U,21,FALSE)),"")</f>
        <v>La IE tiene plazo para radicación del plan de mejoramiento 10 días hábiles posteriores a la visita. Una vez radicado procedemos con la revisión</v>
      </c>
    </row>
    <row r="837" spans="1:21" s="1" customFormat="1" ht="72">
      <c r="A837" s="69">
        <f>IF([6]PRIORIZADOS!A203="","",[6]PRIORIZADOS!A203)</f>
        <v>776</v>
      </c>
      <c r="B837" s="70">
        <f>IFERROR(IF(VLOOKUP(A837,[6]PRIORIZADOS!$A:$B,2,FALSE)="","",VLOOKUP(A837,[6]PRIORIZADOS!$A:$B,2,FALSE)),"")</f>
        <v>22</v>
      </c>
      <c r="C837" s="11" t="str">
        <f>IFERROR(IF(VLOOKUP(A837,[6]PRIORIZADOS!$A:$C,3,FALSE)="","",VLOOKUP(A837,[6]PRIORIZADOS!$A:$C,3,FALSE)),"")</f>
        <v>ENGATIVÁ</v>
      </c>
      <c r="D837" s="11" t="str">
        <f>IFERROR(IF(VLOOKUP(A837,[6]PRIORIZADOS!$A:$D,4,FALSE)="","",VLOOKUP(A837,[6]PRIORIZADOS!$A:$D,4,FALSE)),"")</f>
        <v>PRIVADO</v>
      </c>
      <c r="E837" s="11" t="str">
        <f>IFERROR(IF(VLOOKUP(A837,[6]PRIORIZADOS!$A:$E,5,FALSE)="","",VLOOKUP(A837,[6]PRIORIZADOS!$A:$E,5,FALSE)),"")</f>
        <v>EPBM</v>
      </c>
      <c r="F837" s="11" t="str">
        <f>IFERROR(IF(VLOOKUP(A837,[6]PRIORIZADOS!$A:$F,6,FALSE)="","",VLOOKUP(A837,[6]PRIORIZADOS!$A:$F,6,FALSE)),"")</f>
        <v>COLEGIO_HENRY_WALLON</v>
      </c>
      <c r="G837" s="11" t="str">
        <f>IFERROR(IF(VLOOKUP(A837,[6]PRIORIZADOS!$A:$G,7,FALSE)="","",VLOOKUP(A837,[6]PRIORIZADOS!$A:$G,7,FALSE)),"")</f>
        <v>COLEGIO_HENRY_WALLON</v>
      </c>
      <c r="H837" s="11" t="str">
        <f>IFERROR(IF(VLOOKUP(A837,[6]PRIORIZADOS!$A:$H,8,FALSE)="","",VLOOKUP(A837,[6]PRIORIZADOS!$A:$H,8,FALSE)),"")</f>
        <v>Autoevaluación Institucional y Pruebas SABER 11</v>
      </c>
      <c r="I837" s="11" t="str">
        <f>IFERROR(IF(VLOOKUP(A837,[6]PRIORIZADOS!$A:$I,9,FALSE)="","",VLOOKUP(A837,[6]PRIORIZADOS!$A:$I,9,FALSE)),"")</f>
        <v>EVALUACIÓN_CON_FINES_DE_MEJORAMIENTO.</v>
      </c>
      <c r="J837" s="11" t="str">
        <f>IFERROR(IF(VLOOKUP(A837,[6]PRIORIZADOS!$A:$J,10,FALSE)="","",VLOOKUP(A837,[6]PRIORIZADOS!$A:$J,10,FALSE)),"")</f>
        <v>Verificar el funcionamiento del Gobierno Escolar e instancias de participación con base en la información sobre conformación reportada por la institución educativa.</v>
      </c>
      <c r="K837" s="11" t="str">
        <f>IFERROR(IF(VLOOKUP(A837,[6]PRIORIZADOS!$A:$K,11,FALSE)="","",VLOOKUP(A837,[6]PRIORIZADOS!$A:$K,11,FALSE)),"")</f>
        <v>LUZ MERY PARRA NOPE</v>
      </c>
      <c r="L837" s="11" t="str">
        <f>IFERROR(IF(VLOOKUP(A837,[6]PRIORIZADOS!$A:$L,12,FALSE)="","",VLOOKUP(A837,[6]PRIORIZADOS!$A:$L,12,FALSE)),"")</f>
        <v>SANDRA MILENA BUENAVENTURA RUEDA</v>
      </c>
      <c r="M837" s="71">
        <f>IFERROR(IF(VLOOKUP(A837,[6]PRIORIZADOS!$A:$M,13,FALSE)="","",VLOOKUP(A837,[6]PRIORIZADOS!$A:$M,13,FALSE)),"")</f>
        <v>45772</v>
      </c>
      <c r="N837" s="139">
        <f>IFERROR(IF(VLOOKUP(A837,[6]PRIORIZADOS!$A:$N,14,FALSE)="","",VLOOKUP(A837,[6]PRIORIZADOS!$A:$N,14,FALSE)),"")</f>
        <v>45772</v>
      </c>
      <c r="O837" s="139">
        <f>IFERROR(IF(VLOOKUP(A837,[6]PRIORIZADOS!$A:$O,15,FALSE)="","",VLOOKUP(A837,[6]PRIORIZADOS!$A:$O,15,FALSE)),"")</f>
        <v>45772</v>
      </c>
      <c r="P837" s="11" t="str">
        <f>IFERROR(IF(VLOOKUP(A837,[6]PRIORIZADOS!$A:$P,16,FALSE)="","",VLOOKUP(A837,[6]PRIORIZADOS!$A:$P,16,FALSE)),"")</f>
        <v>Visitas de evaluación con fines de mejoramiento</v>
      </c>
      <c r="Q837" s="107" t="s">
        <v>151</v>
      </c>
      <c r="R837" s="11" t="str">
        <f>IFERROR(IF(VLOOKUP(A837,[6]PRIORIZADOS!$A:$R,18,FALSE)="","",VLOOKUP(A837,[6]PRIORIZADOS!$A:$R,18,FALSE)),"")</f>
        <v>Se observa actas de conformación de consejo directivo, academico, estudiantil, padres de familia. Actas de conformación de elección de personero, contralor y cabildantes. Las actas continuen sus fuciones respectivas.</v>
      </c>
      <c r="S837" s="11" t="str">
        <f>IFERROR(IF(VLOOKUP(A837,[6]PRIORIZADOS!$A:$S,19,FALSE)="","",VLOOKUP(A837,[6]PRIORIZADOS!$A:$S,19,FALSE)),"")</f>
        <v>Continuar con el funcionamiento y operatividad del Gobierno Escolar de conformidad con lo establecido en la normatividad vigente.</v>
      </c>
      <c r="T837" s="70" t="str">
        <f>IFERROR(IF(VLOOKUP(A837,[6]PRIORIZADOS!$A:$T,20,FALSE)="","",VLOOKUP(A837,[6]PRIORIZADOS!$A:$T,20,FALSE)),"")</f>
        <v>No</v>
      </c>
      <c r="U837" s="11" t="str">
        <f>IFERROR(IF(VLOOKUP(A837,[6]PRIORIZADOS!$A:$U,21,FALSE)="","",VLOOKUP(A837,[6]PRIORIZADOS!$A:$U,21,FALSE)),"")</f>
        <v>Se hará verificación en caso de presentar solicitud o queja ciudadana.</v>
      </c>
    </row>
    <row r="838" spans="1:21" s="1" customFormat="1" ht="84">
      <c r="A838" s="69">
        <f>IF([6]PRIORIZADOS!A204="","",[6]PRIORIZADOS!A204)</f>
        <v>777</v>
      </c>
      <c r="B838" s="70">
        <f>IFERROR(IF(VLOOKUP(A838,[6]PRIORIZADOS!$A:$B,2,FALSE)="","",VLOOKUP(A838,[6]PRIORIZADOS!$A:$B,2,FALSE)),"")</f>
        <v>22</v>
      </c>
      <c r="C838" s="11" t="str">
        <f>IFERROR(IF(VLOOKUP(A838,[6]PRIORIZADOS!$A:$C,3,FALSE)="","",VLOOKUP(A838,[6]PRIORIZADOS!$A:$C,3,FALSE)),"")</f>
        <v>ENGATIVÁ</v>
      </c>
      <c r="D838" s="11" t="str">
        <f>IFERROR(IF(VLOOKUP(A838,[6]PRIORIZADOS!$A:$D,4,FALSE)="","",VLOOKUP(A838,[6]PRIORIZADOS!$A:$D,4,FALSE)),"")</f>
        <v>PRIVADO</v>
      </c>
      <c r="E838" s="11" t="str">
        <f>IFERROR(IF(VLOOKUP(A838,[6]PRIORIZADOS!$A:$E,5,FALSE)="","",VLOOKUP(A838,[6]PRIORIZADOS!$A:$E,5,FALSE)),"")</f>
        <v>EPBM</v>
      </c>
      <c r="F838" s="11" t="str">
        <f>IFERROR(IF(VLOOKUP(A838,[6]PRIORIZADOS!$A:$F,6,FALSE)="","",VLOOKUP(A838,[6]PRIORIZADOS!$A:$F,6,FALSE)),"")</f>
        <v>COLEGIO_HENRY_WALLON</v>
      </c>
      <c r="G838" s="11" t="str">
        <f>IFERROR(IF(VLOOKUP(A838,[6]PRIORIZADOS!$A:$G,7,FALSE)="","",VLOOKUP(A838,[6]PRIORIZADOS!$A:$G,7,FALSE)),"")</f>
        <v>COLEGIO_HENRY_WALLON</v>
      </c>
      <c r="H838" s="11" t="str">
        <f>IFERROR(IF(VLOOKUP(A838,[6]PRIORIZADOS!$A:$H,8,FALSE)="","",VLOOKUP(A838,[6]PRIORIZADOS!$A:$H,8,FALSE)),"")</f>
        <v>Autoevaluación Institucional y Pruebas SABER 11</v>
      </c>
      <c r="I838" s="11" t="str">
        <f>IFERROR(IF(VLOOKUP(A838,[6]PRIORIZADOS!$A:$I,9,FALSE)="","",VLOOKUP(A838,[6]PRIORIZADOS!$A:$I,9,FALSE)),"")</f>
        <v>EVALUACIÓN_CON_FINES_DE_MEJORAMIENTO.</v>
      </c>
      <c r="J838" s="11" t="str">
        <f>IFERROR(IF(VLOOKUP(A838,[6]PRIORIZADOS!$A:$J,10,FALSE)="","",VLOOKUP(A838,[6]PRIORIZADOS!$A:$J,10,FALSE)),"")</f>
        <v>Verificar las condiciones en cuanto a: la estructura administrativa, condiciones de la planta física y medios educativos adecuados.</v>
      </c>
      <c r="K838" s="11" t="str">
        <f>IFERROR(IF(VLOOKUP(A838,[6]PRIORIZADOS!$A:$K,11,FALSE)="","",VLOOKUP(A838,[6]PRIORIZADOS!$A:$K,11,FALSE)),"")</f>
        <v>LUZ MERY PARRA NOPE</v>
      </c>
      <c r="L838" s="11" t="str">
        <f>IFERROR(IF(VLOOKUP(A838,[6]PRIORIZADOS!$A:$L,12,FALSE)="","",VLOOKUP(A838,[6]PRIORIZADOS!$A:$L,12,FALSE)),"")</f>
        <v>SANDRA MILENA BUENAVENTURA RUEDA</v>
      </c>
      <c r="M838" s="71">
        <f>IFERROR(IF(VLOOKUP(A838,[6]PRIORIZADOS!$A:$M,13,FALSE)="","",VLOOKUP(A838,[6]PRIORIZADOS!$A:$M,13,FALSE)),"")</f>
        <v>45772</v>
      </c>
      <c r="N838" s="139">
        <f>IFERROR(IF(VLOOKUP(A838,[6]PRIORIZADOS!$A:$N,14,FALSE)="","",VLOOKUP(A838,[6]PRIORIZADOS!$A:$N,14,FALSE)),"")</f>
        <v>45772</v>
      </c>
      <c r="O838" s="139">
        <f>IFERROR(IF(VLOOKUP(A838,[6]PRIORIZADOS!$A:$O,15,FALSE)="","",VLOOKUP(A838,[6]PRIORIZADOS!$A:$O,15,FALSE)),"")</f>
        <v>45772</v>
      </c>
      <c r="P838" s="11" t="str">
        <f>IFERROR(IF(VLOOKUP(A838,[6]PRIORIZADOS!$A:$P,16,FALSE)="","",VLOOKUP(A838,[6]PRIORIZADOS!$A:$P,16,FALSE)),"")</f>
        <v>Visitas de evaluación con fines de mejoramiento</v>
      </c>
      <c r="Q838" s="107" t="s">
        <v>151</v>
      </c>
      <c r="R838" s="11" t="str">
        <f>IFERROR(IF(VLOOKUP(A838,[6]PRIORIZADOS!$A:$R,18,FALSE)="","",VLOOKUP(A838,[6]PRIORIZADOS!$A:$R,18,FALSE)),"")</f>
        <v>Se observa en el recorrido en las instalaciones de la IE que cuentan con 13 aulas en buen estado, algunas con televisor y video beam, igualmente cuenta con aulas de apoyo. los espacios administrativos son suficientes y se encuntran en buen estado.</v>
      </c>
      <c r="S838" s="11" t="str">
        <f>IFERROR(IF(VLOOKUP(A838,[6]PRIORIZADOS!$A:$S,19,FALSE)="","",VLOOKUP(A838,[6]PRIORIZADOS!$A:$S,19,FALSE)),"")</f>
        <v>Revisar contratación del docente de educación física, dado que su contrato no se ajusta a la normatividad vigente. Afiliar a seguridad social a docentes faltantes</v>
      </c>
      <c r="T838" s="70" t="str">
        <f>IFERROR(IF(VLOOKUP(A838,[6]PRIORIZADOS!$A:$T,20,FALSE)="","",VLOOKUP(A838,[6]PRIORIZADOS!$A:$T,20,FALSE)),"")</f>
        <v>Si</v>
      </c>
      <c r="U838" s="11" t="str">
        <f>IFERROR(IF(VLOOKUP(A838,[6]PRIORIZADOS!$A:$U,21,FALSE)="","",VLOOKUP(A838,[6]PRIORIZADOS!$A:$U,21,FALSE)),"")</f>
        <v>La IE tiene plazo para radicación del plan de mejoramiento 10 días hábiles posteriores a la visita. Una vez radicado procedemos con la revisión</v>
      </c>
    </row>
    <row r="839" spans="1:21" s="1" customFormat="1" ht="72">
      <c r="A839" s="69">
        <f>IF([6]PRIORIZADOS!A205="","",[6]PRIORIZADOS!A205)</f>
        <v>778</v>
      </c>
      <c r="B839" s="70">
        <f>IFERROR(IF(VLOOKUP(A839,[6]PRIORIZADOS!$A:$B,2,FALSE)="","",VLOOKUP(A839,[6]PRIORIZADOS!$A:$B,2,FALSE)),"")</f>
        <v>23</v>
      </c>
      <c r="C839" s="11" t="str">
        <f>IFERROR(IF(VLOOKUP(A839,[6]PRIORIZADOS!$A:$C,3,FALSE)="","",VLOOKUP(A839,[6]PRIORIZADOS!$A:$C,3,FALSE)),"")</f>
        <v>ENGATIVÁ</v>
      </c>
      <c r="D839" s="11" t="str">
        <f>IFERROR(IF(VLOOKUP(A839,[6]PRIORIZADOS!$A:$D,4,FALSE)="","",VLOOKUP(A839,[6]PRIORIZADOS!$A:$D,4,FALSE)),"")</f>
        <v>PRIVADO</v>
      </c>
      <c r="E839" s="11" t="str">
        <f>IFERROR(IF(VLOOKUP(A839,[6]PRIORIZADOS!$A:$E,5,FALSE)="","",VLOOKUP(A839,[6]PRIORIZADOS!$A:$E,5,FALSE)),"")</f>
        <v>EPBM</v>
      </c>
      <c r="F839" s="11" t="str">
        <f>IFERROR(IF(VLOOKUP(A839,[6]PRIORIZADOS!$A:$F,6,FALSE)="","",VLOOKUP(A839,[6]PRIORIZADOS!$A:$F,6,FALSE)),"")</f>
        <v>LICEO_COMERCIAL_LAS_AMERICAS</v>
      </c>
      <c r="G839" s="11" t="str">
        <f>IFERROR(IF(VLOOKUP(A839,[6]PRIORIZADOS!$A:$G,7,FALSE)="","",VLOOKUP(A839,[6]PRIORIZADOS!$A:$G,7,FALSE)),"")</f>
        <v>LICEO_COMERCIAL_LAS_AMERICAS</v>
      </c>
      <c r="H839" s="11" t="str">
        <f>IFERROR(IF(VLOOKUP(A839,[6]PRIORIZADOS!$A:$H,8,FALSE)="","",VLOOKUP(A839,[6]PRIORIZADOS!$A:$H,8,FALSE)),"")</f>
        <v>Autoevaluación Institucional y Pruebas SABER 11</v>
      </c>
      <c r="I839" s="11" t="str">
        <f>IFERROR(IF(VLOOKUP(A839,[6]PRIORIZADOS!$A:$I,9,FALSE)="","",VLOOKUP(A839,[6]PRIORIZADOS!$A:$I,9,FALSE)),"")</f>
        <v>SEGUIMIENTO_Y_SUPERVISIÓN.</v>
      </c>
      <c r="J839" s="11" t="str">
        <f>IFERROR(IF(VLOOKUP(A839,[6]PRIORIZADOS!$A:$J,10,FALSE)="","",VLOOKUP(A839,[6]PRIORIZADOS!$A:$J,10,FALSE)),"")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839" s="11" t="str">
        <f>IFERROR(IF(VLOOKUP(A839,[6]PRIORIZADOS!$A:$K,11,FALSE)="","",VLOOKUP(A839,[6]PRIORIZADOS!$A:$K,11,FALSE)),"")</f>
        <v>JUAN AGUSTÍN RODRÍGUEZ ROZO</v>
      </c>
      <c r="L839" s="11" t="str">
        <f>IFERROR(IF(VLOOKUP(A839,[6]PRIORIZADOS!$A:$L,12,FALSE)="","",VLOOKUP(A839,[6]PRIORIZADOS!$A:$L,12,FALSE)),"")</f>
        <v>MÓNICA JANNETH RAMÍREZ MORENO</v>
      </c>
      <c r="M839" s="71">
        <f>IFERROR(IF(VLOOKUP(A839,[6]PRIORIZADOS!$A:$M,13,FALSE)="","",VLOOKUP(A839,[6]PRIORIZADOS!$A:$M,13,FALSE)),"")</f>
        <v>45790</v>
      </c>
      <c r="N839" s="139">
        <f>IFERROR(IF(VLOOKUP(A839,[6]PRIORIZADOS!$A:$N,14,FALSE)="","",VLOOKUP(A839,[6]PRIORIZADOS!$A:$N,14,FALSE)),"")</f>
        <v>45799</v>
      </c>
      <c r="O839" s="139">
        <f>IFERROR(IF(VLOOKUP(A839,[6]PRIORIZADOS!$A:$O,15,FALSE)="","",VLOOKUP(A839,[6]PRIORIZADOS!$A:$O,15,FALSE)),"")</f>
        <v>45799</v>
      </c>
      <c r="P839" s="11" t="str">
        <f>IFERROR(IF(VLOOKUP(A839,[6]PRIORIZADOS!$A:$P,16,FALSE)="","",VLOOKUP(A839,[6]PRIORIZADOS!$A:$P,16,FALSE)),"")</f>
        <v>Visitas de evaluación con fines de seguimiento</v>
      </c>
      <c r="Q839" s="121" t="s">
        <v>152</v>
      </c>
      <c r="R839" s="11" t="str">
        <f>IFERROR(IF(VLOOKUP(A839,[6]PRIORIZADOS!$A:$R,18,FALSE)="","",VLOOKUP(A839,[6]PRIORIZADOS!$A:$R,18,FALSE)),"")</f>
        <v>La información registrada en EVI corresponde a la realidad institucional</v>
      </c>
      <c r="S839" s="11" t="str">
        <f>IFERROR(IF(VLOOKUP(A839,[6]PRIORIZADOS!$A:$S,19,FALSE)="","",VLOOKUP(A839,[6]PRIORIZADOS!$A:$S,19,FALSE)),"")</f>
        <v>Continuar las políticas de mantenimiento preventivo y correctivo</v>
      </c>
      <c r="T839" s="70" t="str">
        <f>IFERROR(IF(VLOOKUP(A839,[6]PRIORIZADOS!$A:$T,20,FALSE)="","",VLOOKUP(A839,[6]PRIORIZADOS!$A:$T,20,FALSE)),"")</f>
        <v>No</v>
      </c>
      <c r="U839" s="11" t="str">
        <f>IFERROR(IF(VLOOKUP(A839,[6]PRIORIZADOS!$A:$U,21,FALSE)="","",VLOOKUP(A839,[6]PRIORIZADOS!$A:$U,21,FALSE)),"")</f>
        <v>Revisión del resultado de la visita de la Subred Norte sobre concepto sanitario</v>
      </c>
    </row>
    <row r="840" spans="1:21" s="1" customFormat="1" ht="60">
      <c r="A840" s="69">
        <f>IF([6]PRIORIZADOS!A206="","",[6]PRIORIZADOS!A206)</f>
        <v>779</v>
      </c>
      <c r="B840" s="70">
        <f>IFERROR(IF(VLOOKUP(A840,[6]PRIORIZADOS!$A:$B,2,FALSE)="","",VLOOKUP(A840,[6]PRIORIZADOS!$A:$B,2,FALSE)),"")</f>
        <v>23</v>
      </c>
      <c r="C840" s="11" t="str">
        <f>IFERROR(IF(VLOOKUP(A840,[6]PRIORIZADOS!$A:$C,3,FALSE)="","",VLOOKUP(A840,[6]PRIORIZADOS!$A:$C,3,FALSE)),"")</f>
        <v>ENGATIVÁ</v>
      </c>
      <c r="D840" s="11" t="str">
        <f>IFERROR(IF(VLOOKUP(A840,[6]PRIORIZADOS!$A:$D,4,FALSE)="","",VLOOKUP(A840,[6]PRIORIZADOS!$A:$D,4,FALSE)),"")</f>
        <v>PRIVADO</v>
      </c>
      <c r="E840" s="11" t="str">
        <f>IFERROR(IF(VLOOKUP(A840,[6]PRIORIZADOS!$A:$E,5,FALSE)="","",VLOOKUP(A840,[6]PRIORIZADOS!$A:$E,5,FALSE)),"")</f>
        <v>EPBM</v>
      </c>
      <c r="F840" s="11" t="str">
        <f>IFERROR(IF(VLOOKUP(A840,[6]PRIORIZADOS!$A:$F,6,FALSE)="","",VLOOKUP(A840,[6]PRIORIZADOS!$A:$F,6,FALSE)),"")</f>
        <v>LICEO_COMERCIAL_LAS_AMERICAS</v>
      </c>
      <c r="G840" s="11" t="str">
        <f>IFERROR(IF(VLOOKUP(A840,[6]PRIORIZADOS!$A:$G,7,FALSE)="","",VLOOKUP(A840,[6]PRIORIZADOS!$A:$G,7,FALSE)),"")</f>
        <v>LICEO_COMERCIAL_LAS_AMERICAS</v>
      </c>
      <c r="H840" s="11" t="str">
        <f>IFERROR(IF(VLOOKUP(A840,[6]PRIORIZADOS!$A:$H,8,FALSE)="","",VLOOKUP(A840,[6]PRIORIZADOS!$A:$H,8,FALSE)),"")</f>
        <v>Autoevaluación Institucional y Pruebas SABER 11</v>
      </c>
      <c r="I840" s="11" t="str">
        <f>IFERROR(IF(VLOOKUP(A840,[6]PRIORIZADOS!$A:$I,9,FALSE)="","",VLOOKUP(A840,[6]PRIORIZADOS!$A:$I,9,FALSE)),"")</f>
        <v>SEGUIMIENTO_Y_SUPERVISIÓN.</v>
      </c>
      <c r="J840" s="11" t="str">
        <f>IFERROR(IF(VLOOKUP(A840,[6]PRIORIZADOS!$A:$J,10,FALSE)="","",VLOOKUP(A840,[6]PRIORIZADOS!$A:$J,10,FALSE)),"")</f>
        <v>Proponer estrategias en la formulación, verificar su elaboración y realizar seguimiento semestral al desarrollo de  las acciones establecidas en los planes de mejoramiento por pruebas SABER 11 de los establecimientos de educación formal.</v>
      </c>
      <c r="K840" s="11" t="str">
        <f>IFERROR(IF(VLOOKUP(A840,[6]PRIORIZADOS!$A:$K,11,FALSE)="","",VLOOKUP(A840,[6]PRIORIZADOS!$A:$K,11,FALSE)),"")</f>
        <v>JUAN AGUSTÍN RODRÍGUEZ ROZO</v>
      </c>
      <c r="L840" s="11" t="str">
        <f>IFERROR(IF(VLOOKUP(A840,[6]PRIORIZADOS!$A:$L,12,FALSE)="","",VLOOKUP(A840,[6]PRIORIZADOS!$A:$L,12,FALSE)),"")</f>
        <v>MÓNICA JANNETH RAMÍREZ MORENO</v>
      </c>
      <c r="M840" s="71">
        <f>IFERROR(IF(VLOOKUP(A840,[6]PRIORIZADOS!$A:$M,13,FALSE)="","",VLOOKUP(A840,[6]PRIORIZADOS!$A:$M,13,FALSE)),"")</f>
        <v>45790</v>
      </c>
      <c r="N840" s="139">
        <f>IFERROR(IF(VLOOKUP(A840,[6]PRIORIZADOS!$A:$N,14,FALSE)="","",VLOOKUP(A840,[6]PRIORIZADOS!$A:$N,14,FALSE)),"")</f>
        <v>45799</v>
      </c>
      <c r="O840" s="139">
        <f>IFERROR(IF(VLOOKUP(A840,[6]PRIORIZADOS!$A:$O,15,FALSE)="","",VLOOKUP(A840,[6]PRIORIZADOS!$A:$O,15,FALSE)),"")</f>
        <v>45799</v>
      </c>
      <c r="P840" s="11" t="str">
        <f>IFERROR(IF(VLOOKUP(A840,[6]PRIORIZADOS!$A:$P,16,FALSE)="","",VLOOKUP(A840,[6]PRIORIZADOS!$A:$P,16,FALSE)),"")</f>
        <v>Visitas de evaluación con fines de seguimiento</v>
      </c>
      <c r="Q840" s="121" t="s">
        <v>152</v>
      </c>
      <c r="R840" s="11" t="str">
        <f>IFERROR(IF(VLOOKUP(A840,[6]PRIORIZADOS!$A:$R,18,FALSE)="","",VLOOKUP(A840,[6]PRIORIZADOS!$A:$R,18,FALSE)),"")</f>
        <v xml:space="preserve">El colegio cuenta con la asesoría de la entidad IMPROVE, para desarrollar acciones de mejora con base en los resultados </v>
      </c>
      <c r="S840" s="11" t="str">
        <f>IFERROR(IF(VLOOKUP(A840,[6]PRIORIZADOS!$A:$S,19,FALSE)="","",VLOOKUP(A840,[6]PRIORIZADOS!$A:$S,19,FALSE)),"")</f>
        <v>El colegio se compromete a dar continuidad a la asistencia técnica de IMPROVE</v>
      </c>
      <c r="T840" s="70" t="str">
        <f>IFERROR(IF(VLOOKUP(A840,[6]PRIORIZADOS!$A:$T,20,FALSE)="","",VLOOKUP(A840,[6]PRIORIZADOS!$A:$T,20,FALSE)),"")</f>
        <v>No</v>
      </c>
      <c r="U840" s="11" t="str">
        <f>IFERROR(IF(VLOOKUP(A840,[6]PRIORIZADOS!$A:$U,21,FALSE)="","",VLOOKUP(A840,[6]PRIORIZADOS!$A:$U,21,FALSE)),"")</f>
        <v>Comparar los resultados de los años 2024 y 2025 para detectar tendencias y generar recomendaciones</v>
      </c>
    </row>
    <row r="841" spans="1:21" s="1" customFormat="1" ht="48">
      <c r="A841" s="69">
        <f>IF([6]PRIORIZADOS!A207="","",[6]PRIORIZADOS!A207)</f>
        <v>780</v>
      </c>
      <c r="B841" s="70">
        <f>IFERROR(IF(VLOOKUP(A841,[6]PRIORIZADOS!$A:$B,2,FALSE)="","",VLOOKUP(A841,[6]PRIORIZADOS!$A:$B,2,FALSE)),"")</f>
        <v>23</v>
      </c>
      <c r="C841" s="11" t="str">
        <f>IFERROR(IF(VLOOKUP(A841,[6]PRIORIZADOS!$A:$C,3,FALSE)="","",VLOOKUP(A841,[6]PRIORIZADOS!$A:$C,3,FALSE)),"")</f>
        <v>ENGATIVÁ</v>
      </c>
      <c r="D841" s="11" t="str">
        <f>IFERROR(IF(VLOOKUP(A841,[6]PRIORIZADOS!$A:$D,4,FALSE)="","",VLOOKUP(A841,[6]PRIORIZADOS!$A:$D,4,FALSE)),"")</f>
        <v>PRIVADO</v>
      </c>
      <c r="E841" s="11" t="str">
        <f>IFERROR(IF(VLOOKUP(A841,[6]PRIORIZADOS!$A:$E,5,FALSE)="","",VLOOKUP(A841,[6]PRIORIZADOS!$A:$E,5,FALSE)),"")</f>
        <v>EPBM</v>
      </c>
      <c r="F841" s="11" t="str">
        <f>IFERROR(IF(VLOOKUP(A841,[6]PRIORIZADOS!$A:$F,6,FALSE)="","",VLOOKUP(A841,[6]PRIORIZADOS!$A:$F,6,FALSE)),"")</f>
        <v>LICEO_COMERCIAL_LAS_AMERICAS</v>
      </c>
      <c r="G841" s="11" t="str">
        <f>IFERROR(IF(VLOOKUP(A841,[6]PRIORIZADOS!$A:$G,7,FALSE)="","",VLOOKUP(A841,[6]PRIORIZADOS!$A:$G,7,FALSE)),"")</f>
        <v>LICEO_COMERCIAL_LAS_AMERICAS</v>
      </c>
      <c r="H841" s="11" t="str">
        <f>IFERROR(IF(VLOOKUP(A841,[6]PRIORIZADOS!$A:$H,8,FALSE)="","",VLOOKUP(A841,[6]PRIORIZADOS!$A:$H,8,FALSE)),"")</f>
        <v>Autoevaluación Institucional y Pruebas SABER 11</v>
      </c>
      <c r="I841" s="11" t="str">
        <f>IFERROR(IF(VLOOKUP(A841,[6]PRIORIZADOS!$A:$I,9,FALSE)="","",VLOOKUP(A841,[6]PRIORIZADOS!$A:$I,9,FALSE)),"")</f>
        <v>SEGUIMIENTO_Y_SUPERVISIÓN.</v>
      </c>
      <c r="J841" s="11" t="str">
        <f>IFERROR(IF(VLOOKUP(A841,[6]PRIORIZADOS!$A:$J,10,FALSE)="","",VLOOKUP(A841,[6]PRIORIZADOS!$A:$J,10,FALSE)),"")</f>
        <v xml:space="preserve">Verificar la implementación por parte de los colegios, de acciones realizadas para la prevención y atención de las situaciones de convivencia en el entorno escolar, según lo establecido en la Directiva 01 de 2022 del MEN. </v>
      </c>
      <c r="K841" s="11" t="str">
        <f>IFERROR(IF(VLOOKUP(A841,[6]PRIORIZADOS!$A:$K,11,FALSE)="","",VLOOKUP(A841,[6]PRIORIZADOS!$A:$K,11,FALSE)),"")</f>
        <v>JUAN AGUSTÍN RODRÍGUEZ ROZO</v>
      </c>
      <c r="L841" s="11" t="str">
        <f>IFERROR(IF(VLOOKUP(A841,[6]PRIORIZADOS!$A:$L,12,FALSE)="","",VLOOKUP(A841,[6]PRIORIZADOS!$A:$L,12,FALSE)),"")</f>
        <v>MÓNICA JANNETH RAMÍREZ MORENO</v>
      </c>
      <c r="M841" s="71">
        <f>IFERROR(IF(VLOOKUP(A841,[6]PRIORIZADOS!$A:$M,13,FALSE)="","",VLOOKUP(A841,[6]PRIORIZADOS!$A:$M,13,FALSE)),"")</f>
        <v>45790</v>
      </c>
      <c r="N841" s="139">
        <f>IFERROR(IF(VLOOKUP(A841,[6]PRIORIZADOS!$A:$N,14,FALSE)="","",VLOOKUP(A841,[6]PRIORIZADOS!$A:$N,14,FALSE)),"")</f>
        <v>45799</v>
      </c>
      <c r="O841" s="139">
        <f>IFERROR(IF(VLOOKUP(A841,[6]PRIORIZADOS!$A:$O,15,FALSE)="","",VLOOKUP(A841,[6]PRIORIZADOS!$A:$O,15,FALSE)),"")</f>
        <v>45799</v>
      </c>
      <c r="P841" s="11" t="str">
        <f>IFERROR(IF(VLOOKUP(A841,[6]PRIORIZADOS!$A:$P,16,FALSE)="","",VLOOKUP(A841,[6]PRIORIZADOS!$A:$P,16,FALSE)),"")</f>
        <v>Visitas de evaluación con fines de seguimiento</v>
      </c>
      <c r="Q841" s="121" t="s">
        <v>152</v>
      </c>
      <c r="R841" s="11" t="str">
        <f>IFERROR(IF(VLOOKUP(A841,[6]PRIORIZADOS!$A:$R,18,FALSE)="","",VLOOKUP(A841,[6]PRIORIZADOS!$A:$R,18,FALSE)),"")</f>
        <v>El colegio no realiza la verificación establecida</v>
      </c>
      <c r="S841" s="11" t="str">
        <f>IFERROR(IF(VLOOKUP(A841,[6]PRIORIZADOS!$A:$S,19,FALSE)="","",VLOOKUP(A841,[6]PRIORIZADOS!$A:$S,19,FALSE)),"")</f>
        <v xml:space="preserve">El colegio se compromete a ejecutar la revisión con la periodicidad indicada </v>
      </c>
      <c r="T841" s="70" t="str">
        <f>IFERROR(IF(VLOOKUP(A841,[6]PRIORIZADOS!$A:$T,20,FALSE)="","",VLOOKUP(A841,[6]PRIORIZADOS!$A:$T,20,FALSE)),"")</f>
        <v>Si</v>
      </c>
      <c r="U841" s="11" t="str">
        <f>IFERROR(IF(VLOOKUP(A841,[6]PRIORIZADOS!$A:$U,21,FALSE)="","",VLOOKUP(A841,[6]PRIORIZADOS!$A:$U,21,FALSE)),"")</f>
        <v>Revisión del informe generado por el colegio</v>
      </c>
    </row>
    <row r="842" spans="1:21" s="1" customFormat="1" ht="72">
      <c r="A842" s="69">
        <f>IF([6]PRIORIZADOS!A208="","",[6]PRIORIZADOS!A208)</f>
        <v>781</v>
      </c>
      <c r="B842" s="70">
        <f>IFERROR(IF(VLOOKUP(A842,[6]PRIORIZADOS!$A:$B,2,FALSE)="","",VLOOKUP(A842,[6]PRIORIZADOS!$A:$B,2,FALSE)),"")</f>
        <v>23</v>
      </c>
      <c r="C842" s="11" t="str">
        <f>IFERROR(IF(VLOOKUP(A842,[6]PRIORIZADOS!$A:$C,3,FALSE)="","",VLOOKUP(A842,[6]PRIORIZADOS!$A:$C,3,FALSE)),"")</f>
        <v>ENGATIVÁ</v>
      </c>
      <c r="D842" s="11" t="str">
        <f>IFERROR(IF(VLOOKUP(A842,[6]PRIORIZADOS!$A:$D,4,FALSE)="","",VLOOKUP(A842,[6]PRIORIZADOS!$A:$D,4,FALSE)),"")</f>
        <v>PRIVADO</v>
      </c>
      <c r="E842" s="11" t="str">
        <f>IFERROR(IF(VLOOKUP(A842,[6]PRIORIZADOS!$A:$E,5,FALSE)="","",VLOOKUP(A842,[6]PRIORIZADOS!$A:$E,5,FALSE)),"")</f>
        <v>EPBM</v>
      </c>
      <c r="F842" s="11" t="str">
        <f>IFERROR(IF(VLOOKUP(A842,[6]PRIORIZADOS!$A:$F,6,FALSE)="","",VLOOKUP(A842,[6]PRIORIZADOS!$A:$F,6,FALSE)),"")</f>
        <v>LICEO_COMERCIAL_LAS_AMERICAS</v>
      </c>
      <c r="G842" s="11" t="str">
        <f>IFERROR(IF(VLOOKUP(A842,[6]PRIORIZADOS!$A:$G,7,FALSE)="","",VLOOKUP(A842,[6]PRIORIZADOS!$A:$G,7,FALSE)),"")</f>
        <v>LICEO_COMERCIAL_LAS_AMERICAS</v>
      </c>
      <c r="H842" s="11" t="str">
        <f>IFERROR(IF(VLOOKUP(A842,[6]PRIORIZADOS!$A:$H,8,FALSE)="","",VLOOKUP(A842,[6]PRIORIZADOS!$A:$H,8,FALSE)),"")</f>
        <v>Autoevaluación Institucional y Pruebas SABER 11</v>
      </c>
      <c r="I842" s="11" t="str">
        <f>IFERROR(IF(VLOOKUP(A842,[6]PRIORIZADOS!$A:$I,9,FALSE)="","",VLOOKUP(A842,[6]PRIORIZADOS!$A:$I,9,FALSE)),"")</f>
        <v>SEGUIMIENTO_Y_SUPERVISIÓN.</v>
      </c>
      <c r="J842" s="11" t="str">
        <f>IFERROR(IF(VLOOKUP(A842,[6]PRIORIZADOS!$A:$J,10,FALSE)="","",VLOOKUP(A842,[6]PRIORIZADOS!$A:$J,10,FALSE)),"")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42" s="11" t="str">
        <f>IFERROR(IF(VLOOKUP(A842,[6]PRIORIZADOS!$A:$K,11,FALSE)="","",VLOOKUP(A842,[6]PRIORIZADOS!$A:$K,11,FALSE)),"")</f>
        <v>JUAN AGUSTÍN RODRÍGUEZ ROZO</v>
      </c>
      <c r="L842" s="11" t="str">
        <f>IFERROR(IF(VLOOKUP(A842,[6]PRIORIZADOS!$A:$L,12,FALSE)="","",VLOOKUP(A842,[6]PRIORIZADOS!$A:$L,12,FALSE)),"")</f>
        <v>MÓNICA JANNETH RAMÍREZ MORENO</v>
      </c>
      <c r="M842" s="71">
        <f>IFERROR(IF(VLOOKUP(A842,[6]PRIORIZADOS!$A:$M,13,FALSE)="","",VLOOKUP(A842,[6]PRIORIZADOS!$A:$M,13,FALSE)),"")</f>
        <v>45790</v>
      </c>
      <c r="N842" s="139">
        <f>IFERROR(IF(VLOOKUP(A842,[6]PRIORIZADOS!$A:$N,14,FALSE)="","",VLOOKUP(A842,[6]PRIORIZADOS!$A:$N,14,FALSE)),"")</f>
        <v>45799</v>
      </c>
      <c r="O842" s="139">
        <f>IFERROR(IF(VLOOKUP(A842,[6]PRIORIZADOS!$A:$O,15,FALSE)="","",VLOOKUP(A842,[6]PRIORIZADOS!$A:$O,15,FALSE)),"")</f>
        <v>45799</v>
      </c>
      <c r="P842" s="11" t="str">
        <f>IFERROR(IF(VLOOKUP(A842,[6]PRIORIZADOS!$A:$P,16,FALSE)="","",VLOOKUP(A842,[6]PRIORIZADOS!$A:$P,16,FALSE)),"")</f>
        <v>Visitas de evaluación con fines de seguimiento</v>
      </c>
      <c r="Q842" s="121" t="s">
        <v>152</v>
      </c>
      <c r="R842" s="11" t="str">
        <f>IFERROR(IF(VLOOKUP(A842,[6]PRIORIZADOS!$A:$R,18,FALSE)="","",VLOOKUP(A842,[6]PRIORIZADOS!$A:$R,18,FALSE)),"")</f>
        <v xml:space="preserve">Se evidencia la existencia de un PIAR </v>
      </c>
      <c r="S842" s="11" t="str">
        <f>IFERROR(IF(VLOOKUP(A842,[6]PRIORIZADOS!$A:$S,19,FALSE)="","",VLOOKUP(A842,[6]PRIORIZADOS!$A:$S,19,FALSE)),"")</f>
        <v>Cada docente debe aportar los ajustes requeridos en su área de trabajo</v>
      </c>
      <c r="T842" s="70" t="str">
        <f>IFERROR(IF(VLOOKUP(A842,[6]PRIORIZADOS!$A:$T,20,FALSE)="","",VLOOKUP(A842,[6]PRIORIZADOS!$A:$T,20,FALSE)),"")</f>
        <v>No</v>
      </c>
      <c r="U842" s="11" t="str">
        <f>IFERROR(IF(VLOOKUP(A842,[6]PRIORIZADOS!$A:$U,21,FALSE)="","",VLOOKUP(A842,[6]PRIORIZADOS!$A:$U,21,FALSE)),"")</f>
        <v>Analizar el informe de la orientadora escolar y/o docente de apoyo</v>
      </c>
    </row>
    <row r="843" spans="1:21" s="1" customFormat="1" ht="84">
      <c r="A843" s="69">
        <f>IF([6]PRIORIZADOS!A209="","",[6]PRIORIZADOS!A209)</f>
        <v>782</v>
      </c>
      <c r="B843" s="70">
        <f>IFERROR(IF(VLOOKUP(A843,[6]PRIORIZADOS!$A:$B,2,FALSE)="","",VLOOKUP(A843,[6]PRIORIZADOS!$A:$B,2,FALSE)),"")</f>
        <v>23</v>
      </c>
      <c r="C843" s="11" t="str">
        <f>IFERROR(IF(VLOOKUP(A843,[6]PRIORIZADOS!$A:$C,3,FALSE)="","",VLOOKUP(A843,[6]PRIORIZADOS!$A:$C,3,FALSE)),"")</f>
        <v>ENGATIVÁ</v>
      </c>
      <c r="D843" s="11" t="str">
        <f>IFERROR(IF(VLOOKUP(A843,[6]PRIORIZADOS!$A:$D,4,FALSE)="","",VLOOKUP(A843,[6]PRIORIZADOS!$A:$D,4,FALSE)),"")</f>
        <v>PRIVADO</v>
      </c>
      <c r="E843" s="11" t="str">
        <f>IFERROR(IF(VLOOKUP(A843,[6]PRIORIZADOS!$A:$E,5,FALSE)="","",VLOOKUP(A843,[6]PRIORIZADOS!$A:$E,5,FALSE)),"")</f>
        <v>EPBM</v>
      </c>
      <c r="F843" s="11" t="str">
        <f>IFERROR(IF(VLOOKUP(A843,[6]PRIORIZADOS!$A:$F,6,FALSE)="","",VLOOKUP(A843,[6]PRIORIZADOS!$A:$F,6,FALSE)),"")</f>
        <v>LICEO_COMERCIAL_LAS_AMERICAS</v>
      </c>
      <c r="G843" s="11" t="str">
        <f>IFERROR(IF(VLOOKUP(A843,[6]PRIORIZADOS!$A:$G,7,FALSE)="","",VLOOKUP(A843,[6]PRIORIZADOS!$A:$G,7,FALSE)),"")</f>
        <v>LICEO_COMERCIAL_LAS_AMERICAS</v>
      </c>
      <c r="H843" s="11" t="str">
        <f>IFERROR(IF(VLOOKUP(A843,[6]PRIORIZADOS!$A:$H,8,FALSE)="","",VLOOKUP(A843,[6]PRIORIZADOS!$A:$H,8,FALSE)),"")</f>
        <v>Autoevaluación Institucional y Pruebas SABER 11</v>
      </c>
      <c r="I843" s="11" t="str">
        <f>IFERROR(IF(VLOOKUP(A843,[6]PRIORIZADOS!$A:$I,9,FALSE)="","",VLOOKUP(A843,[6]PRIORIZADOS!$A:$I,9,FALSE)),"")</f>
        <v>EVALUACIÓN_CON_FINES_DE_MEJORAMIENTO.</v>
      </c>
      <c r="J843" s="11" t="str">
        <f>IFERROR(IF(VLOOKUP(A843,[6]PRIORIZADOS!$A:$J,10,FALSE)="","",VLOOKUP(A843,[6]PRIORIZADOS!$A:$J,10,FALSE)),"")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43" s="11" t="str">
        <f>IFERROR(IF(VLOOKUP(A843,[6]PRIORIZADOS!$A:$K,11,FALSE)="","",VLOOKUP(A843,[6]PRIORIZADOS!$A:$K,11,FALSE)),"")</f>
        <v>JUAN AGUSTÍN RODRÍGUEZ ROZO</v>
      </c>
      <c r="L843" s="11" t="str">
        <f>IFERROR(IF(VLOOKUP(A843,[6]PRIORIZADOS!$A:$L,12,FALSE)="","",VLOOKUP(A843,[6]PRIORIZADOS!$A:$L,12,FALSE)),"")</f>
        <v>MÓNICA JANNETH RAMÍREZ MORENO</v>
      </c>
      <c r="M843" s="71">
        <f>IFERROR(IF(VLOOKUP(A843,[6]PRIORIZADOS!$A:$M,13,FALSE)="","",VLOOKUP(A843,[6]PRIORIZADOS!$A:$M,13,FALSE)),"")</f>
        <v>45790</v>
      </c>
      <c r="N843" s="139">
        <f>IFERROR(IF(VLOOKUP(A843,[6]PRIORIZADOS!$A:$N,14,FALSE)="","",VLOOKUP(A843,[6]PRIORIZADOS!$A:$N,14,FALSE)),"")</f>
        <v>45799</v>
      </c>
      <c r="O843" s="139">
        <f>IFERROR(IF(VLOOKUP(A843,[6]PRIORIZADOS!$A:$O,15,FALSE)="","",VLOOKUP(A843,[6]PRIORIZADOS!$A:$O,15,FALSE)),"")</f>
        <v>45799</v>
      </c>
      <c r="P843" s="11" t="str">
        <f>IFERROR(IF(VLOOKUP(A843,[6]PRIORIZADOS!$A:$P,16,FALSE)="","",VLOOKUP(A843,[6]PRIORIZADOS!$A:$P,16,FALSE)),"")</f>
        <v>Visitas de evaluación con fines de mejoramiento</v>
      </c>
      <c r="Q843" s="121" t="s">
        <v>152</v>
      </c>
      <c r="R843" s="11" t="str">
        <f>IFERROR(IF(VLOOKUP(A843,[6]PRIORIZADOS!$A:$R,18,FALSE)="","",VLOOKUP(A843,[6]PRIORIZADOS!$A:$R,18,FALSE)),"")</f>
        <v>El colegio presenta soporte de la actualización anual aplicada mediante encuesta a padres de familia, docentes y estudiantes. Aplican el enfoque restaurativo aunque no esta explícito dentro del manual de convivencia</v>
      </c>
      <c r="S843" s="11" t="str">
        <f>IFERROR(IF(VLOOKUP(A843,[6]PRIORIZADOS!$A:$S,19,FALSE)="","",VLOOKUP(A843,[6]PRIORIZADOS!$A:$S,19,FALSE)),"")</f>
        <v>los directivos reafirman su compromiso para consultar a la comunidad educativa anualmente para garantizar la pertinencia en su actualización</v>
      </c>
      <c r="T843" s="70" t="str">
        <f>IFERROR(IF(VLOOKUP(A843,[6]PRIORIZADOS!$A:$T,20,FALSE)="","",VLOOKUP(A843,[6]PRIORIZADOS!$A:$T,20,FALSE)),"")</f>
        <v>No</v>
      </c>
      <c r="U843" s="11" t="str">
        <f>IFERROR(IF(VLOOKUP(A843,[6]PRIORIZADOS!$A:$U,21,FALSE)="","",VLOOKUP(A843,[6]PRIORIZADOS!$A:$U,21,FALSE)),"")</f>
        <v>verificación de la inclusión del enfoque restaurativo dentro del manual de convivencia</v>
      </c>
    </row>
    <row r="844" spans="1:21" s="1" customFormat="1" ht="48">
      <c r="A844" s="69">
        <f>IF([6]PRIORIZADOS!A210="","",[6]PRIORIZADOS!A210)</f>
        <v>783</v>
      </c>
      <c r="B844" s="70">
        <f>IFERROR(IF(VLOOKUP(A844,[6]PRIORIZADOS!$A:$B,2,FALSE)="","",VLOOKUP(A844,[6]PRIORIZADOS!$A:$B,2,FALSE)),"")</f>
        <v>23</v>
      </c>
      <c r="C844" s="11" t="str">
        <f>IFERROR(IF(VLOOKUP(A844,[6]PRIORIZADOS!$A:$C,3,FALSE)="","",VLOOKUP(A844,[6]PRIORIZADOS!$A:$C,3,FALSE)),"")</f>
        <v>ENGATIVÁ</v>
      </c>
      <c r="D844" s="11" t="str">
        <f>IFERROR(IF(VLOOKUP(A844,[6]PRIORIZADOS!$A:$D,4,FALSE)="","",VLOOKUP(A844,[6]PRIORIZADOS!$A:$D,4,FALSE)),"")</f>
        <v>PRIVADO</v>
      </c>
      <c r="E844" s="11" t="str">
        <f>IFERROR(IF(VLOOKUP(A844,[6]PRIORIZADOS!$A:$E,5,FALSE)="","",VLOOKUP(A844,[6]PRIORIZADOS!$A:$E,5,FALSE)),"")</f>
        <v>EPBM</v>
      </c>
      <c r="F844" s="11" t="str">
        <f>IFERROR(IF(VLOOKUP(A844,[6]PRIORIZADOS!$A:$F,6,FALSE)="","",VLOOKUP(A844,[6]PRIORIZADOS!$A:$F,6,FALSE)),"")</f>
        <v>LICEO_COMERCIAL_LAS_AMERICAS</v>
      </c>
      <c r="G844" s="11" t="str">
        <f>IFERROR(IF(VLOOKUP(A844,[6]PRIORIZADOS!$A:$G,7,FALSE)="","",VLOOKUP(A844,[6]PRIORIZADOS!$A:$G,7,FALSE)),"")</f>
        <v>LICEO_COMERCIAL_LAS_AMERICAS</v>
      </c>
      <c r="H844" s="11" t="str">
        <f>IFERROR(IF(VLOOKUP(A844,[6]PRIORIZADOS!$A:$H,8,FALSE)="","",VLOOKUP(A844,[6]PRIORIZADOS!$A:$H,8,FALSE)),"")</f>
        <v>Autoevaluación Institucional y Pruebas SABER 11</v>
      </c>
      <c r="I844" s="11" t="str">
        <f>IFERROR(IF(VLOOKUP(A844,[6]PRIORIZADOS!$A:$I,9,FALSE)="","",VLOOKUP(A844,[6]PRIORIZADOS!$A:$I,9,FALSE)),"")</f>
        <v>EVALUACIÓN_CON_FINES_DE_MEJORAMIENTO.</v>
      </c>
      <c r="J844" s="11" t="str">
        <f>IFERROR(IF(VLOOKUP(A844,[6]PRIORIZADOS!$A:$J,10,FALSE)="","",VLOOKUP(A844,[6]PRIORIZADOS!$A:$J,10,FALSE)),"")</f>
        <v>Revisar la actualización, socialización e implementación del Sistema Institucional de Evaluación de Estudiantes - SIEE, en articulación con la actualización del PEI y la normatividad vigente.</v>
      </c>
      <c r="K844" s="11" t="str">
        <f>IFERROR(IF(VLOOKUP(A844,[6]PRIORIZADOS!$A:$K,11,FALSE)="","",VLOOKUP(A844,[6]PRIORIZADOS!$A:$K,11,FALSE)),"")</f>
        <v>JUAN AGUSTÍN RODRÍGUEZ ROZO</v>
      </c>
      <c r="L844" s="11" t="str">
        <f>IFERROR(IF(VLOOKUP(A844,[6]PRIORIZADOS!$A:$L,12,FALSE)="","",VLOOKUP(A844,[6]PRIORIZADOS!$A:$L,12,FALSE)),"")</f>
        <v>MÓNICA JANNETH RAMÍREZ MORENO</v>
      </c>
      <c r="M844" s="71">
        <f>IFERROR(IF(VLOOKUP(A844,[6]PRIORIZADOS!$A:$M,13,FALSE)="","",VLOOKUP(A844,[6]PRIORIZADOS!$A:$M,13,FALSE)),"")</f>
        <v>45790</v>
      </c>
      <c r="N844" s="139">
        <f>IFERROR(IF(VLOOKUP(A844,[6]PRIORIZADOS!$A:$N,14,FALSE)="","",VLOOKUP(A844,[6]PRIORIZADOS!$A:$N,14,FALSE)),"")</f>
        <v>45799</v>
      </c>
      <c r="O844" s="139">
        <f>IFERROR(IF(VLOOKUP(A844,[6]PRIORIZADOS!$A:$O,15,FALSE)="","",VLOOKUP(A844,[6]PRIORIZADOS!$A:$O,15,FALSE)),"")</f>
        <v>45799</v>
      </c>
      <c r="P844" s="11" t="str">
        <f>IFERROR(IF(VLOOKUP(A844,[6]PRIORIZADOS!$A:$P,16,FALSE)="","",VLOOKUP(A844,[6]PRIORIZADOS!$A:$P,16,FALSE)),"")</f>
        <v>Visitas de evaluación con fines de mejoramiento</v>
      </c>
      <c r="Q844" s="121" t="s">
        <v>152</v>
      </c>
      <c r="R844" s="11" t="str">
        <f>IFERROR(IF(VLOOKUP(A844,[6]PRIORIZADOS!$A:$R,18,FALSE)="","",VLOOKUP(A844,[6]PRIORIZADOS!$A:$R,18,FALSE)),"")</f>
        <v xml:space="preserve">Se desarrollan tutorias y refuerzos académicos grupales por áreas y planes de mejoramiento individuales </v>
      </c>
      <c r="S844" s="11" t="str">
        <f>IFERROR(IF(VLOOKUP(A844,[6]PRIORIZADOS!$A:$S,19,FALSE)="","",VLOOKUP(A844,[6]PRIORIZADOS!$A:$S,19,FALSE)),"")</f>
        <v>Se debe incluir los mecanismos formales para las reclamaciones sobre los resultados de la evaluación del rendimiento académico</v>
      </c>
      <c r="T844" s="70" t="str">
        <f>IFERROR(IF(VLOOKUP(A844,[6]PRIORIZADOS!$A:$T,20,FALSE)="","",VLOOKUP(A844,[6]PRIORIZADOS!$A:$T,20,FALSE)),"")</f>
        <v>No</v>
      </c>
      <c r="U844" s="11" t="str">
        <f>IFERROR(IF(VLOOKUP(A844,[6]PRIORIZADOS!$A:$U,21,FALSE)="","",VLOOKUP(A844,[6]PRIORIZADOS!$A:$U,21,FALSE)),"")</f>
        <v xml:space="preserve">Verificación de la inclusión de los mecanismos formales de reclamación </v>
      </c>
    </row>
    <row r="845" spans="1:21" s="1" customFormat="1" ht="48">
      <c r="A845" s="69">
        <f>IF([6]PRIORIZADOS!A211="","",[6]PRIORIZADOS!A211)</f>
        <v>784</v>
      </c>
      <c r="B845" s="70">
        <f>IFERROR(IF(VLOOKUP(A845,[6]PRIORIZADOS!$A:$B,2,FALSE)="","",VLOOKUP(A845,[6]PRIORIZADOS!$A:$B,2,FALSE)),"")</f>
        <v>23</v>
      </c>
      <c r="C845" s="11" t="str">
        <f>IFERROR(IF(VLOOKUP(A845,[6]PRIORIZADOS!$A:$C,3,FALSE)="","",VLOOKUP(A845,[6]PRIORIZADOS!$A:$C,3,FALSE)),"")</f>
        <v>ENGATIVÁ</v>
      </c>
      <c r="D845" s="11" t="str">
        <f>IFERROR(IF(VLOOKUP(A845,[6]PRIORIZADOS!$A:$D,4,FALSE)="","",VLOOKUP(A845,[6]PRIORIZADOS!$A:$D,4,FALSE)),"")</f>
        <v>PRIVADO</v>
      </c>
      <c r="E845" s="11" t="str">
        <f>IFERROR(IF(VLOOKUP(A845,[6]PRIORIZADOS!$A:$E,5,FALSE)="","",VLOOKUP(A845,[6]PRIORIZADOS!$A:$E,5,FALSE)),"")</f>
        <v>EPBM</v>
      </c>
      <c r="F845" s="11" t="str">
        <f>IFERROR(IF(VLOOKUP(A845,[6]PRIORIZADOS!$A:$F,6,FALSE)="","",VLOOKUP(A845,[6]PRIORIZADOS!$A:$F,6,FALSE)),"")</f>
        <v>LICEO_COMERCIAL_LAS_AMERICAS</v>
      </c>
      <c r="G845" s="11" t="str">
        <f>IFERROR(IF(VLOOKUP(A845,[6]PRIORIZADOS!$A:$G,7,FALSE)="","",VLOOKUP(A845,[6]PRIORIZADOS!$A:$G,7,FALSE)),"")</f>
        <v>LICEO_COMERCIAL_LAS_AMERICAS</v>
      </c>
      <c r="H845" s="11" t="str">
        <f>IFERROR(IF(VLOOKUP(A845,[6]PRIORIZADOS!$A:$H,8,FALSE)="","",VLOOKUP(A845,[6]PRIORIZADOS!$A:$H,8,FALSE)),"")</f>
        <v>Autoevaluación Institucional y Pruebas SABER 11</v>
      </c>
      <c r="I845" s="11" t="str">
        <f>IFERROR(IF(VLOOKUP(A845,[6]PRIORIZADOS!$A:$I,9,FALSE)="","",VLOOKUP(A845,[6]PRIORIZADOS!$A:$I,9,FALSE)),"")</f>
        <v>EVALUACIÓN_CON_FINES_DE_MEJORAMIENTO.</v>
      </c>
      <c r="J845" s="11" t="str">
        <f>IFERROR(IF(VLOOKUP(A845,[6]PRIORIZADOS!$A:$J,10,FALSE)="","",VLOOKUP(A845,[6]PRIORIZADOS!$A:$J,10,FALSE)),"")</f>
        <v>Revisar el calendario escolar, jornada escolar, la intensidad horaria mínima anual en cada nivel y las modificaciones que se realicen al mismo, de acuerdo con lo previsto en la normatividad vigente.</v>
      </c>
      <c r="K845" s="11" t="str">
        <f>IFERROR(IF(VLOOKUP(A845,[6]PRIORIZADOS!$A:$K,11,FALSE)="","",VLOOKUP(A845,[6]PRIORIZADOS!$A:$K,11,FALSE)),"")</f>
        <v>JUAN AGUSTÍN RODRÍGUEZ ROZO</v>
      </c>
      <c r="L845" s="11" t="str">
        <f>IFERROR(IF(VLOOKUP(A845,[6]PRIORIZADOS!$A:$L,12,FALSE)="","",VLOOKUP(A845,[6]PRIORIZADOS!$A:$L,12,FALSE)),"")</f>
        <v>MÓNICA JANNETH RAMÍREZ MORENO</v>
      </c>
      <c r="M845" s="71">
        <f>IFERROR(IF(VLOOKUP(A845,[6]PRIORIZADOS!$A:$M,13,FALSE)="","",VLOOKUP(A845,[6]PRIORIZADOS!$A:$M,13,FALSE)),"")</f>
        <v>45790</v>
      </c>
      <c r="N845" s="139">
        <f>IFERROR(IF(VLOOKUP(A845,[6]PRIORIZADOS!$A:$N,14,FALSE)="","",VLOOKUP(A845,[6]PRIORIZADOS!$A:$N,14,FALSE)),"")</f>
        <v>45799</v>
      </c>
      <c r="O845" s="139">
        <f>IFERROR(IF(VLOOKUP(A845,[6]PRIORIZADOS!$A:$O,15,FALSE)="","",VLOOKUP(A845,[6]PRIORIZADOS!$A:$O,15,FALSE)),"")</f>
        <v>45799</v>
      </c>
      <c r="P845" s="11" t="str">
        <f>IFERROR(IF(VLOOKUP(A845,[6]PRIORIZADOS!$A:$P,16,FALSE)="","",VLOOKUP(A845,[6]PRIORIZADOS!$A:$P,16,FALSE)),"")</f>
        <v>Visitas de evaluación con fines de mejoramiento</v>
      </c>
      <c r="Q845" s="121" t="s">
        <v>152</v>
      </c>
      <c r="R845" s="11" t="str">
        <f>IFERROR(IF(VLOOKUP(A845,[6]PRIORIZADOS!$A:$R,18,FALSE)="","",VLOOKUP(A845,[6]PRIORIZADOS!$A:$R,18,FALSE)),"")</f>
        <v>El colegio desarrolla su calendario escolar, superando las intensidades horarias mínimas (preescolar 925, primaria 1110, secunday media 1249)</v>
      </c>
      <c r="S845" s="11" t="str">
        <f>IFERROR(IF(VLOOKUP(A845,[6]PRIORIZADOS!$A:$S,19,FALSE)="","",VLOOKUP(A845,[6]PRIORIZADOS!$A:$S,19,FALSE)),"")</f>
        <v>Continuar el cumplimiento de las horas en cada uno de los niveles</v>
      </c>
      <c r="T845" s="70" t="str">
        <f>IFERROR(IF(VLOOKUP(A845,[6]PRIORIZADOS!$A:$T,20,FALSE)="","",VLOOKUP(A845,[6]PRIORIZADOS!$A:$T,20,FALSE)),"")</f>
        <v>No</v>
      </c>
      <c r="U845" s="11" t="str">
        <f>IFERROR(IF(VLOOKUP(A845,[6]PRIORIZADOS!$A:$U,21,FALSE)="","",VLOOKUP(A845,[6]PRIORIZADOS!$A:$U,21,FALSE)),"")</f>
        <v>En el año 2026 confirmar la continuidad en el cumplimiento de las horas establecidas</v>
      </c>
    </row>
    <row r="846" spans="1:21" s="1" customFormat="1" ht="72">
      <c r="A846" s="69">
        <f>IF([6]PRIORIZADOS!A212="","",[6]PRIORIZADOS!A212)</f>
        <v>785</v>
      </c>
      <c r="B846" s="70">
        <f>IFERROR(IF(VLOOKUP(A846,[6]PRIORIZADOS!$A:$B,2,FALSE)="","",VLOOKUP(A846,[6]PRIORIZADOS!$A:$B,2,FALSE)),"")</f>
        <v>23</v>
      </c>
      <c r="C846" s="11" t="str">
        <f>IFERROR(IF(VLOOKUP(A846,[6]PRIORIZADOS!$A:$C,3,FALSE)="","",VLOOKUP(A846,[6]PRIORIZADOS!$A:$C,3,FALSE)),"")</f>
        <v>ENGATIVÁ</v>
      </c>
      <c r="D846" s="11" t="str">
        <f>IFERROR(IF(VLOOKUP(A846,[6]PRIORIZADOS!$A:$D,4,FALSE)="","",VLOOKUP(A846,[6]PRIORIZADOS!$A:$D,4,FALSE)),"")</f>
        <v>PRIVADO</v>
      </c>
      <c r="E846" s="11" t="str">
        <f>IFERROR(IF(VLOOKUP(A846,[6]PRIORIZADOS!$A:$E,5,FALSE)="","",VLOOKUP(A846,[6]PRIORIZADOS!$A:$E,5,FALSE)),"")</f>
        <v>EPBM</v>
      </c>
      <c r="F846" s="11" t="str">
        <f>IFERROR(IF(VLOOKUP(A846,[6]PRIORIZADOS!$A:$F,6,FALSE)="","",VLOOKUP(A846,[6]PRIORIZADOS!$A:$F,6,FALSE)),"")</f>
        <v>LICEO_COMERCIAL_LAS_AMERICAS</v>
      </c>
      <c r="G846" s="11" t="str">
        <f>IFERROR(IF(VLOOKUP(A846,[6]PRIORIZADOS!$A:$G,7,FALSE)="","",VLOOKUP(A846,[6]PRIORIZADOS!$A:$G,7,FALSE)),"")</f>
        <v>LICEO_COMERCIAL_LAS_AMERICAS</v>
      </c>
      <c r="H846" s="11" t="str">
        <f>IFERROR(IF(VLOOKUP(A846,[6]PRIORIZADOS!$A:$H,8,FALSE)="","",VLOOKUP(A846,[6]PRIORIZADOS!$A:$H,8,FALSE)),"")</f>
        <v>Autoevaluación Institucional y Pruebas SABER 11</v>
      </c>
      <c r="I846" s="11" t="str">
        <f>IFERROR(IF(VLOOKUP(A846,[6]PRIORIZADOS!$A:$I,9,FALSE)="","",VLOOKUP(A846,[6]PRIORIZADOS!$A:$I,9,FALSE)),"")</f>
        <v>EVALUACIÓN_CON_FINES_DE_MEJORAMIENTO.</v>
      </c>
      <c r="J846" s="11" t="str">
        <f>IFERROR(IF(VLOOKUP(A846,[6]PRIORIZADOS!$A:$J,10,FALSE)="","",VLOOKUP(A846,[6]PRIORIZADOS!$A:$J,10,FALSE)),"")</f>
        <v>Verificar el funcionamiento del Gobierno Escolar e instancias de participación con base en la información sobre conformación reportada por la institución educativa.</v>
      </c>
      <c r="K846" s="11" t="str">
        <f>IFERROR(IF(VLOOKUP(A846,[6]PRIORIZADOS!$A:$K,11,FALSE)="","",VLOOKUP(A846,[6]PRIORIZADOS!$A:$K,11,FALSE)),"")</f>
        <v>JUAN AGUSTÍN RODRÍGUEZ ROZO</v>
      </c>
      <c r="L846" s="11" t="str">
        <f>IFERROR(IF(VLOOKUP(A846,[6]PRIORIZADOS!$A:$L,12,FALSE)="","",VLOOKUP(A846,[6]PRIORIZADOS!$A:$L,12,FALSE)),"")</f>
        <v>MÓNICA JANNETH RAMÍREZ MORENO</v>
      </c>
      <c r="M846" s="71">
        <f>IFERROR(IF(VLOOKUP(A846,[6]PRIORIZADOS!$A:$M,13,FALSE)="","",VLOOKUP(A846,[6]PRIORIZADOS!$A:$M,13,FALSE)),"")</f>
        <v>45790</v>
      </c>
      <c r="N846" s="139">
        <f>IFERROR(IF(VLOOKUP(A846,[6]PRIORIZADOS!$A:$N,14,FALSE)="","",VLOOKUP(A846,[6]PRIORIZADOS!$A:$N,14,FALSE)),"")</f>
        <v>45799</v>
      </c>
      <c r="O846" s="139">
        <f>IFERROR(IF(VLOOKUP(A846,[6]PRIORIZADOS!$A:$O,15,FALSE)="","",VLOOKUP(A846,[6]PRIORIZADOS!$A:$O,15,FALSE)),"")</f>
        <v>45799</v>
      </c>
      <c r="P846" s="11" t="str">
        <f>IFERROR(IF(VLOOKUP(A846,[6]PRIORIZADOS!$A:$P,16,FALSE)="","",VLOOKUP(A846,[6]PRIORIZADOS!$A:$P,16,FALSE)),"")</f>
        <v>Visitas de evaluación con fines de mejoramiento</v>
      </c>
      <c r="Q846" s="121" t="s">
        <v>152</v>
      </c>
      <c r="R846" s="11" t="str">
        <f>IFERROR(IF(VLOOKUP(A846,[6]PRIORIZADOS!$A:$R,18,FALSE)="","",VLOOKUP(A846,[6]PRIORIZADOS!$A:$R,18,FALSE)),"")</f>
        <v>El colegio realizó la conformación, pero no realizó la instalación de los organos e instancias de participación, por lo cual los consejos directivo y académico no han iniciado su funcionamiento. No lo han reportado en el SAE</v>
      </c>
      <c r="S846" s="11" t="str">
        <f>IFERROR(IF(VLOOKUP(A846,[6]PRIORIZADOS!$A:$S,19,FALSE)="","",VLOOKUP(A846,[6]PRIORIZADOS!$A:$S,19,FALSE)),"")</f>
        <v>Poner en funcionamiento el gobierno escolar y sus instancias de participación y registrar la información en el SAE</v>
      </c>
      <c r="T846" s="70" t="str">
        <f>IFERROR(IF(VLOOKUP(A846,[6]PRIORIZADOS!$A:$T,20,FALSE)="","",VLOOKUP(A846,[6]PRIORIZADOS!$A:$T,20,FALSE)),"")</f>
        <v>Si</v>
      </c>
      <c r="U846" s="11" t="str">
        <f>IFERROR(IF(VLOOKUP(A846,[6]PRIORIZADOS!$A:$U,21,FALSE)="","",VLOOKUP(A846,[6]PRIORIZADOS!$A:$U,21,FALSE)),"")</f>
        <v>Verificar el funcionamiento y el registro en el SAE</v>
      </c>
    </row>
    <row r="847" spans="1:21" s="1" customFormat="1" ht="60">
      <c r="A847" s="69">
        <f>IF([6]PRIORIZADOS!A213="","",[6]PRIORIZADOS!A213)</f>
        <v>786</v>
      </c>
      <c r="B847" s="70">
        <f>IFERROR(IF(VLOOKUP(A847,[6]PRIORIZADOS!$A:$B,2,FALSE)="","",VLOOKUP(A847,[6]PRIORIZADOS!$A:$B,2,FALSE)),"")</f>
        <v>23</v>
      </c>
      <c r="C847" s="11" t="str">
        <f>IFERROR(IF(VLOOKUP(A847,[6]PRIORIZADOS!$A:$C,3,FALSE)="","",VLOOKUP(A847,[6]PRIORIZADOS!$A:$C,3,FALSE)),"")</f>
        <v>ENGATIVÁ</v>
      </c>
      <c r="D847" s="11" t="str">
        <f>IFERROR(IF(VLOOKUP(A847,[6]PRIORIZADOS!$A:$D,4,FALSE)="","",VLOOKUP(A847,[6]PRIORIZADOS!$A:$D,4,FALSE)),"")</f>
        <v>PRIVADO</v>
      </c>
      <c r="E847" s="11" t="str">
        <f>IFERROR(IF(VLOOKUP(A847,[6]PRIORIZADOS!$A:$E,5,FALSE)="","",VLOOKUP(A847,[6]PRIORIZADOS!$A:$E,5,FALSE)),"")</f>
        <v>EPBM</v>
      </c>
      <c r="F847" s="11" t="str">
        <f>IFERROR(IF(VLOOKUP(A847,[6]PRIORIZADOS!$A:$F,6,FALSE)="","",VLOOKUP(A847,[6]PRIORIZADOS!$A:$F,6,FALSE)),"")</f>
        <v>LICEO_COMERCIAL_LAS_AMERICAS</v>
      </c>
      <c r="G847" s="11" t="str">
        <f>IFERROR(IF(VLOOKUP(A847,[6]PRIORIZADOS!$A:$G,7,FALSE)="","",VLOOKUP(A847,[6]PRIORIZADOS!$A:$G,7,FALSE)),"")</f>
        <v>LICEO_COMERCIAL_LAS_AMERICAS</v>
      </c>
      <c r="H847" s="11" t="str">
        <f>IFERROR(IF(VLOOKUP(A847,[6]PRIORIZADOS!$A:$H,8,FALSE)="","",VLOOKUP(A847,[6]PRIORIZADOS!$A:$H,8,FALSE)),"")</f>
        <v>Autoevaluación Institucional y Pruebas SABER 11</v>
      </c>
      <c r="I847" s="11" t="str">
        <f>IFERROR(IF(VLOOKUP(A847,[6]PRIORIZADOS!$A:$I,9,FALSE)="","",VLOOKUP(A847,[6]PRIORIZADOS!$A:$I,9,FALSE)),"")</f>
        <v>EVALUACIÓN_CON_FINES_DE_MEJORAMIENTO.</v>
      </c>
      <c r="J847" s="11" t="str">
        <f>IFERROR(IF(VLOOKUP(A847,[6]PRIORIZADOS!$A:$J,10,FALSE)="","",VLOOKUP(A847,[6]PRIORIZADOS!$A:$J,10,FALSE)),"")</f>
        <v>Verificar las condiciones en cuanto a: la estructura administrativa, condiciones de la planta física y medios educativos adecuados.</v>
      </c>
      <c r="K847" s="11" t="str">
        <f>IFERROR(IF(VLOOKUP(A847,[6]PRIORIZADOS!$A:$K,11,FALSE)="","",VLOOKUP(A847,[6]PRIORIZADOS!$A:$K,11,FALSE)),"")</f>
        <v>JUAN AGUSTÍN RODRÍGUEZ ROZO</v>
      </c>
      <c r="L847" s="11" t="str">
        <f>IFERROR(IF(VLOOKUP(A847,[6]PRIORIZADOS!$A:$L,12,FALSE)="","",VLOOKUP(A847,[6]PRIORIZADOS!$A:$L,12,FALSE)),"")</f>
        <v>MÓNICA JANNETH RAMÍREZ MORENO</v>
      </c>
      <c r="M847" s="71">
        <f>IFERROR(IF(VLOOKUP(A847,[6]PRIORIZADOS!$A:$M,13,FALSE)="","",VLOOKUP(A847,[6]PRIORIZADOS!$A:$M,13,FALSE)),"")</f>
        <v>45790</v>
      </c>
      <c r="N847" s="139">
        <f>IFERROR(IF(VLOOKUP(A847,[6]PRIORIZADOS!$A:$N,14,FALSE)="","",VLOOKUP(A847,[6]PRIORIZADOS!$A:$N,14,FALSE)),"")</f>
        <v>45799</v>
      </c>
      <c r="O847" s="139">
        <f>IFERROR(IF(VLOOKUP(A847,[6]PRIORIZADOS!$A:$O,15,FALSE)="","",VLOOKUP(A847,[6]PRIORIZADOS!$A:$O,15,FALSE)),"")</f>
        <v>45799</v>
      </c>
      <c r="P847" s="11" t="str">
        <f>IFERROR(IF(VLOOKUP(A847,[6]PRIORIZADOS!$A:$P,16,FALSE)="","",VLOOKUP(A847,[6]PRIORIZADOS!$A:$P,16,FALSE)),"")</f>
        <v>Visitas de evaluación con fines de mejoramiento</v>
      </c>
      <c r="Q847" s="143" t="s">
        <v>152</v>
      </c>
      <c r="R847" s="11" t="str">
        <f>IFERROR(IF(VLOOKUP(A847,[6]PRIORIZADOS!$A:$R,18,FALSE)="","",VLOOKUP(A847,[6]PRIORIZADOS!$A:$R,18,FALSE)),"")</f>
        <v>Existe dotación suficiente en los diferentes ambientes de aprendizaje y están modernizando la dotación de pupitres, no existen espacios adecuados con población con discapacidad física</v>
      </c>
      <c r="S847" s="11" t="str">
        <f>IFERROR(IF(VLOOKUP(A847,[6]PRIORIZADOS!$A:$S,19,FALSE)="","",VLOOKUP(A847,[6]PRIORIZADOS!$A:$S,19,FALSE)),"")</f>
        <v>Se debe  continuar con la política de actualización del mobiliario para los estudiantes y la adecuación de espacios para discapacitados</v>
      </c>
      <c r="T847" s="70" t="str">
        <f>IFERROR(IF(VLOOKUP(A847,[6]PRIORIZADOS!$A:$T,20,FALSE)="","",VLOOKUP(A847,[6]PRIORIZADOS!$A:$T,20,FALSE)),"")</f>
        <v>No</v>
      </c>
      <c r="U847" s="11" t="str">
        <f>IFERROR(IF(VLOOKUP(A847,[6]PRIORIZADOS!$A:$U,21,FALSE)="","",VLOOKUP(A847,[6]PRIORIZADOS!$A:$U,21,FALSE)),"")</f>
        <v xml:space="preserve">Verificar las adecuaciones para atender pobalción discapacitada y la actualziación del mobiliario escolar </v>
      </c>
    </row>
    <row r="848" spans="1:21" s="1" customFormat="1" ht="84">
      <c r="A848" s="69">
        <f>IF([6]PRIORIZADOS!A214="","",[6]PRIORIZADOS!A214)</f>
        <v>788</v>
      </c>
      <c r="B848" s="70">
        <f>IFERROR(IF(VLOOKUP(A848,[6]PRIORIZADOS!$A:$B,2,FALSE)="","",VLOOKUP(A848,[6]PRIORIZADOS!$A:$B,2,FALSE)),"")</f>
        <v>24</v>
      </c>
      <c r="C848" s="11" t="str">
        <f>IFERROR(IF(VLOOKUP(A848,[6]PRIORIZADOS!$A:$C,3,FALSE)="","",VLOOKUP(A848,[6]PRIORIZADOS!$A:$C,3,FALSE)),"")</f>
        <v>ENGATIVÁ</v>
      </c>
      <c r="D848" s="11" t="str">
        <f>IFERROR(IF(VLOOKUP(A848,[6]PRIORIZADOS!$A:$D,4,FALSE)="","",VLOOKUP(A848,[6]PRIORIZADOS!$A:$D,4,FALSE)),"")</f>
        <v>PRIVADO</v>
      </c>
      <c r="E848" s="11" t="str">
        <f>IFERROR(IF(VLOOKUP(A848,[6]PRIORIZADOS!$A:$E,5,FALSE)="","",VLOOKUP(A848,[6]PRIORIZADOS!$A:$E,5,FALSE)),"")</f>
        <v>EPBM</v>
      </c>
      <c r="F848" s="11" t="str">
        <f>IFERROR(IF(VLOOKUP(A848,[6]PRIORIZADOS!$A:$F,6,FALSE)="","",VLOOKUP(A848,[6]PRIORIZADOS!$A:$F,6,FALSE)),"")</f>
        <v>COLEGIO_ESTRADA_DE_MARIA_AUXILIADORA</v>
      </c>
      <c r="G848" s="11" t="str">
        <f>IFERROR(IF(VLOOKUP(A848,[6]PRIORIZADOS!$A:$G,7,FALSE)="","",VLOOKUP(A848,[6]PRIORIZADOS!$A:$G,7,FALSE)),"")</f>
        <v>COLEGIO_ESTRADA_DE_MARIA_AUXILIADORA</v>
      </c>
      <c r="H848" s="11" t="str">
        <f>IFERROR(IF(VLOOKUP(A848,[6]PRIORIZADOS!$A:$H,8,FALSE)="","",VLOOKUP(A848,[6]PRIORIZADOS!$A:$H,8,FALSE)),"")</f>
        <v>Autoevaluación Institucional y Pruebas SABER 11</v>
      </c>
      <c r="I848" s="11" t="str">
        <f>IFERROR(IF(VLOOKUP(A848,[6]PRIORIZADOS!$A:$I,9,FALSE)="","",VLOOKUP(A848,[6]PRIORIZADOS!$A:$I,9,FALSE)),"")</f>
        <v>SEGUIMIENTO_Y_SUPERVISIÓN.</v>
      </c>
      <c r="J848" s="11" t="str">
        <f>IFERROR(IF(VLOOKUP(A848,[6]PRIORIZADOS!$A:$J,10,FALSE)="","",VLOOKUP(A848,[6]PRIORIZADOS!$A:$J,10,FALSE)),"")</f>
        <v>Proponer estrategias en la formulación, verificar su elaboración y realizar seguimiento semestral al desarrollo de  las acciones establecidas en los planes de mejoramiento por pruebas SABER 11 de los establecimientos de educación formal.</v>
      </c>
      <c r="K848" s="11" t="str">
        <f>IFERROR(IF(VLOOKUP(A848,[6]PRIORIZADOS!$A:$K,11,FALSE)="","",VLOOKUP(A848,[6]PRIORIZADOS!$A:$K,11,FALSE)),"")</f>
        <v>JENIFER CATHERINE LEÓN ACOSTA</v>
      </c>
      <c r="L848" s="11" t="str">
        <f>IFERROR(IF(VLOOKUP(A848,[6]PRIORIZADOS!$A:$L,12,FALSE)="","",VLOOKUP(A848,[6]PRIORIZADOS!$A:$L,12,FALSE)),"")</f>
        <v>MÓNICA JANNETH RAMÍREZ MORENO</v>
      </c>
      <c r="M848" s="71">
        <f>IFERROR(IF(VLOOKUP(A848,[6]PRIORIZADOS!$A:$M,13,FALSE)="","",VLOOKUP(A848,[6]PRIORIZADOS!$A:$M,13,FALSE)),"")</f>
        <v>45797</v>
      </c>
      <c r="N848" s="139">
        <f>IFERROR(IF(VLOOKUP(A848,[6]PRIORIZADOS!$A:$N,14,FALSE)="","",VLOOKUP(A848,[6]PRIORIZADOS!$A:$N,14,FALSE)),"")</f>
        <v>45811</v>
      </c>
      <c r="O848" s="139">
        <f>IFERROR(IF(VLOOKUP(A848,[6]PRIORIZADOS!$A:$O,15,FALSE)="","",VLOOKUP(A848,[6]PRIORIZADOS!$A:$O,15,FALSE)),"")</f>
        <v>45813</v>
      </c>
      <c r="P848" s="11" t="str">
        <f>IFERROR(IF(VLOOKUP(A848,[6]PRIORIZADOS!$A:$P,16,FALSE)="","",VLOOKUP(A848,[6]PRIORIZADOS!$A:$P,16,FALSE)),"")</f>
        <v>Visitas de evaluación con fines de seguimiento</v>
      </c>
      <c r="Q848" s="121" t="s">
        <v>153</v>
      </c>
      <c r="R848" s="11" t="str">
        <f>IFERROR(IF(VLOOKUP(A848,[6]PRIORIZADOS!$A:$R,18,FALSE)="","",VLOOKUP(A848,[6]PRIORIZADOS!$A:$R,18,FALSE)),"")</f>
        <v>El EE, realiza de manera diaria, acciones de formación y mejoramiento con los docentes, con el fin de  impactar en el curriculo y con ello en el resultado de las pruebas. Realizan los martes de prueba  en todos los grados con el fin de preparar a los estudiantes.</v>
      </c>
      <c r="S848" s="11" t="str">
        <f>IFERROR(IF(VLOOKUP(A848,[6]PRIORIZADOS!$A:$S,19,FALSE)="","",VLOOKUP(A848,[6]PRIORIZADOS!$A:$S,19,FALSE)),"")</f>
        <v>Las acciones  de mejoramiento  que realizan diariamente los docentes en su reunion, deben  tener una planeacion mas organizada para que puedan generar el impacto esperado</v>
      </c>
      <c r="T848" s="70" t="str">
        <f>IFERROR(IF(VLOOKUP(A848,[6]PRIORIZADOS!$A:$T,20,FALSE)="","",VLOOKUP(A848,[6]PRIORIZADOS!$A:$T,20,FALSE)),"")</f>
        <v>No</v>
      </c>
      <c r="U848" s="11" t="str">
        <f>IFERROR(IF(VLOOKUP(A848,[6]PRIORIZADOS!$A:$U,21,FALSE)="","",VLOOKUP(A848,[6]PRIORIZADOS!$A:$U,21,FALSE)),"")</f>
        <v>Se realizará verificacion en caso de presentarse una solicitud o queja al respecto de este apartado</v>
      </c>
    </row>
    <row r="849" spans="1:21" s="1" customFormat="1" ht="118.5">
      <c r="A849" s="69">
        <f>IF([6]PRIORIZADOS!A215="","",[6]PRIORIZADOS!A215)</f>
        <v>789</v>
      </c>
      <c r="B849" s="70">
        <f>IFERROR(IF(VLOOKUP(A849,[6]PRIORIZADOS!$A:$B,2,FALSE)="","",VLOOKUP(A849,[6]PRIORIZADOS!$A:$B,2,FALSE)),"")</f>
        <v>24</v>
      </c>
      <c r="C849" s="11" t="str">
        <f>IFERROR(IF(VLOOKUP(A849,[6]PRIORIZADOS!$A:$C,3,FALSE)="","",VLOOKUP(A849,[6]PRIORIZADOS!$A:$C,3,FALSE)),"")</f>
        <v>ENGATIVÁ</v>
      </c>
      <c r="D849" s="11" t="str">
        <f>IFERROR(IF(VLOOKUP(A849,[6]PRIORIZADOS!$A:$D,4,FALSE)="","",VLOOKUP(A849,[6]PRIORIZADOS!$A:$D,4,FALSE)),"")</f>
        <v>PRIVADO</v>
      </c>
      <c r="E849" s="11" t="str">
        <f>IFERROR(IF(VLOOKUP(A849,[6]PRIORIZADOS!$A:$E,5,FALSE)="","",VLOOKUP(A849,[6]PRIORIZADOS!$A:$E,5,FALSE)),"")</f>
        <v>EPBM</v>
      </c>
      <c r="F849" s="11" t="str">
        <f>IFERROR(IF(VLOOKUP(A849,[6]PRIORIZADOS!$A:$F,6,FALSE)="","",VLOOKUP(A849,[6]PRIORIZADOS!$A:$F,6,FALSE)),"")</f>
        <v>COLEGIO_ESTRADA_DE_MARIA_AUXILIADORA</v>
      </c>
      <c r="G849" s="11" t="str">
        <f>IFERROR(IF(VLOOKUP(A849,[6]PRIORIZADOS!$A:$G,7,FALSE)="","",VLOOKUP(A849,[6]PRIORIZADOS!$A:$G,7,FALSE)),"")</f>
        <v>COLEGIO_ESTRADA_DE_MARIA_AUXILIADORA</v>
      </c>
      <c r="H849" s="11" t="str">
        <f>IFERROR(IF(VLOOKUP(A849,[6]PRIORIZADOS!$A:$H,8,FALSE)="","",VLOOKUP(A849,[6]PRIORIZADOS!$A:$H,8,FALSE)),"")</f>
        <v>Autoevaluación Institucional y Pruebas SABER 11</v>
      </c>
      <c r="I849" s="11" t="str">
        <f>IFERROR(IF(VLOOKUP(A849,[6]PRIORIZADOS!$A:$I,9,FALSE)="","",VLOOKUP(A849,[6]PRIORIZADOS!$A:$I,9,FALSE)),"")</f>
        <v>SEGUIMIENTO_Y_SUPERVISIÓN.</v>
      </c>
      <c r="J849" s="11" t="str">
        <f>IFERROR(IF(VLOOKUP(A849,[6]PRIORIZADOS!$A:$J,10,FALSE)="","",VLOOKUP(A849,[6]PRIORIZADOS!$A:$J,10,FALSE)),"")</f>
        <v xml:space="preserve">Verificar la implementación por parte de los colegios, de acciones realizadas para la prevención y atención de las situaciones de convivencia en el entorno escolar, según lo establecido en la Directiva 01 de 2022 del MEN. </v>
      </c>
      <c r="K849" s="11" t="str">
        <f>IFERROR(IF(VLOOKUP(A849,[6]PRIORIZADOS!$A:$K,11,FALSE)="","",VLOOKUP(A849,[6]PRIORIZADOS!$A:$K,11,FALSE)),"")</f>
        <v>JENIFER CATHERINE LEÓN ACOSTA</v>
      </c>
      <c r="L849" s="11" t="str">
        <f>IFERROR(IF(VLOOKUP(A849,[6]PRIORIZADOS!$A:$L,12,FALSE)="","",VLOOKUP(A849,[6]PRIORIZADOS!$A:$L,12,FALSE)),"")</f>
        <v>MÓNICA JANNETH RAMÍREZ MORENO</v>
      </c>
      <c r="M849" s="71">
        <f>IFERROR(IF(VLOOKUP(A849,[6]PRIORIZADOS!$A:$M,13,FALSE)="","",VLOOKUP(A849,[6]PRIORIZADOS!$A:$M,13,FALSE)),"")</f>
        <v>45797</v>
      </c>
      <c r="N849" s="139">
        <f>IFERROR(IF(VLOOKUP(A849,[6]PRIORIZADOS!$A:$N,14,FALSE)="","",VLOOKUP(A849,[6]PRIORIZADOS!$A:$N,14,FALSE)),"")</f>
        <v>45811</v>
      </c>
      <c r="O849" s="139">
        <f>IFERROR(IF(VLOOKUP(A849,[6]PRIORIZADOS!$A:$O,15,FALSE)="","",VLOOKUP(A849,[6]PRIORIZADOS!$A:$O,15,FALSE)),"")</f>
        <v>45813</v>
      </c>
      <c r="P849" s="11" t="str">
        <f>IFERROR(IF(VLOOKUP(A849,[6]PRIORIZADOS!$A:$P,16,FALSE)="","",VLOOKUP(A849,[6]PRIORIZADOS!$A:$P,16,FALSE)),"")</f>
        <v>Visitas de evaluación con fines de seguimiento</v>
      </c>
      <c r="Q849" s="121" t="s">
        <v>153</v>
      </c>
      <c r="R849" s="11" t="str">
        <f>IFERROR(IF(VLOOKUP(A849,[6]PRIORIZADOS!$A:$R,18,FALSE)="","",VLOOKUP(A849,[6]PRIORIZADOS!$A:$R,18,FALSE)),"")</f>
        <v xml:space="preserve">Realizan trabajo desde las emociones para la prevencion de violencia sexual, desde los proyectos trasversales.
No se hace revision de las inhabilidades que puedan presentar docentes y administrativos cada 4 meses.
Se enfatiza en la importancia de trabajar la violencia sexual con enfoque de genero, por ello deben capacitarse en los enfoques a incluir en su manual de convivencia </v>
      </c>
      <c r="S849" s="11" t="str">
        <f>IFERROR(IF(VLOOKUP(A849,[6]PRIORIZADOS!$A:$S,19,FALSE)="","",VLOOKUP(A849,[6]PRIORIZADOS!$A:$S,19,FALSE)),"")</f>
        <v xml:space="preserve">Realizar la revision cada 4 meses de las ihabilidades.
Incluir en el manual de convivencia el enfoque de genero.
</v>
      </c>
      <c r="T849" s="70" t="str">
        <f>IFERROR(IF(VLOOKUP(A849,[6]PRIORIZADOS!$A:$T,20,FALSE)="","",VLOOKUP(A849,[6]PRIORIZADOS!$A:$T,20,FALSE)),"")</f>
        <v>Si</v>
      </c>
      <c r="U849" s="11" t="str">
        <f>IFERROR(IF(VLOOKUP(A849,[6]PRIORIZADOS!$A:$U,21,FALSE)="","",VLOOKUP(A849,[6]PRIORIZADOS!$A:$U,21,FALSE)),"")</f>
        <v>El EE presentara el plan de mejoramiento 10 dias depues de la visita</v>
      </c>
    </row>
    <row r="850" spans="1:21" s="1" customFormat="1" ht="84">
      <c r="A850" s="69">
        <f>IF([6]PRIORIZADOS!A216="","",[6]PRIORIZADOS!A216)</f>
        <v>790</v>
      </c>
      <c r="B850" s="70">
        <f>IFERROR(IF(VLOOKUP(A850,[6]PRIORIZADOS!$A:$B,2,FALSE)="","",VLOOKUP(A850,[6]PRIORIZADOS!$A:$B,2,FALSE)),"")</f>
        <v>24</v>
      </c>
      <c r="C850" s="11" t="str">
        <f>IFERROR(IF(VLOOKUP(A850,[6]PRIORIZADOS!$A:$C,3,FALSE)="","",VLOOKUP(A850,[6]PRIORIZADOS!$A:$C,3,FALSE)),"")</f>
        <v>ENGATIVÁ</v>
      </c>
      <c r="D850" s="11" t="str">
        <f>IFERROR(IF(VLOOKUP(A850,[6]PRIORIZADOS!$A:$D,4,FALSE)="","",VLOOKUP(A850,[6]PRIORIZADOS!$A:$D,4,FALSE)),"")</f>
        <v>PRIVADO</v>
      </c>
      <c r="E850" s="11" t="str">
        <f>IFERROR(IF(VLOOKUP(A850,[6]PRIORIZADOS!$A:$E,5,FALSE)="","",VLOOKUP(A850,[6]PRIORIZADOS!$A:$E,5,FALSE)),"")</f>
        <v>EPBM</v>
      </c>
      <c r="F850" s="11" t="str">
        <f>IFERROR(IF(VLOOKUP(A850,[6]PRIORIZADOS!$A:$F,6,FALSE)="","",VLOOKUP(A850,[6]PRIORIZADOS!$A:$F,6,FALSE)),"")</f>
        <v>COLEGIO_ESTRADA_DE_MARIA_AUXILIADORA</v>
      </c>
      <c r="G850" s="11" t="str">
        <f>IFERROR(IF(VLOOKUP(A850,[6]PRIORIZADOS!$A:$G,7,FALSE)="","",VLOOKUP(A850,[6]PRIORIZADOS!$A:$G,7,FALSE)),"")</f>
        <v>COLEGIO_ESTRADA_DE_MARIA_AUXILIADORA</v>
      </c>
      <c r="H850" s="11" t="str">
        <f>IFERROR(IF(VLOOKUP(A850,[6]PRIORIZADOS!$A:$H,8,FALSE)="","",VLOOKUP(A850,[6]PRIORIZADOS!$A:$H,8,FALSE)),"")</f>
        <v>Autoevaluación Institucional y Pruebas SABER 11</v>
      </c>
      <c r="I850" s="11" t="str">
        <f>IFERROR(IF(VLOOKUP(A850,[6]PRIORIZADOS!$A:$I,9,FALSE)="","",VLOOKUP(A850,[6]PRIORIZADOS!$A:$I,9,FALSE)),"")</f>
        <v>SEGUIMIENTO_Y_SUPERVISIÓN.</v>
      </c>
      <c r="J850" s="11" t="str">
        <f>IFERROR(IF(VLOOKUP(A850,[6]PRIORIZADOS!$A:$J,10,FALSE)="","",VLOOKUP(A850,[6]PRIORIZADOS!$A:$J,10,FALSE)),"")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50" s="11" t="str">
        <f>IFERROR(IF(VLOOKUP(A850,[6]PRIORIZADOS!$A:$K,11,FALSE)="","",VLOOKUP(A850,[6]PRIORIZADOS!$A:$K,11,FALSE)),"")</f>
        <v>JENIFER CATHERINE LEÓN ACOSTA</v>
      </c>
      <c r="L850" s="11" t="str">
        <f>IFERROR(IF(VLOOKUP(A850,[6]PRIORIZADOS!$A:$L,12,FALSE)="","",VLOOKUP(A850,[6]PRIORIZADOS!$A:$L,12,FALSE)),"")</f>
        <v>MÓNICA JANNETH RAMÍREZ MORENO</v>
      </c>
      <c r="M850" s="71">
        <f>IFERROR(IF(VLOOKUP(A850,[6]PRIORIZADOS!$A:$M,13,FALSE)="","",VLOOKUP(A850,[6]PRIORIZADOS!$A:$M,13,FALSE)),"")</f>
        <v>45797</v>
      </c>
      <c r="N850" s="139">
        <f>IFERROR(IF(VLOOKUP(A850,[6]PRIORIZADOS!$A:$N,14,FALSE)="","",VLOOKUP(A850,[6]PRIORIZADOS!$A:$N,14,FALSE)),"")</f>
        <v>45811</v>
      </c>
      <c r="O850" s="139">
        <f>IFERROR(IF(VLOOKUP(A850,[6]PRIORIZADOS!$A:$O,15,FALSE)="","",VLOOKUP(A850,[6]PRIORIZADOS!$A:$O,15,FALSE)),"")</f>
        <v>45813</v>
      </c>
      <c r="P850" s="11" t="str">
        <f>IFERROR(IF(VLOOKUP(A850,[6]PRIORIZADOS!$A:$P,16,FALSE)="","",VLOOKUP(A850,[6]PRIORIZADOS!$A:$P,16,FALSE)),"")</f>
        <v>Visitas de evaluación con fines de seguimiento</v>
      </c>
      <c r="Q850" s="121" t="s">
        <v>153</v>
      </c>
      <c r="R850" s="11" t="str">
        <f>IFERROR(IF(VLOOKUP(A850,[6]PRIORIZADOS!$A:$R,18,FALSE)="","",VLOOKUP(A850,[6]PRIORIZADOS!$A:$R,18,FALSE)),"")</f>
        <v>No se encuentran PIAR   firmados por parte de los padres de Familia. Sin embargo, desde la plataforma institucional, si hay descripción de la situacion inicial de los estudiantes y ajustes para cada una de las clases, que pueden ser observadas por la plataforma de los docentes y padres</v>
      </c>
      <c r="S850" s="11" t="str">
        <f>IFERROR(IF(VLOOKUP(A850,[6]PRIORIZADOS!$A:$S,19,FALSE)="","",VLOOKUP(A850,[6]PRIORIZADOS!$A:$S,19,FALSE)),"")</f>
        <v>Realizar  la socializacion y firma de los PIAR, por parte de los padres de familia.</v>
      </c>
      <c r="T850" s="70" t="str">
        <f>IFERROR(IF(VLOOKUP(A850,[6]PRIORIZADOS!$A:$T,20,FALSE)="","",VLOOKUP(A850,[6]PRIORIZADOS!$A:$T,20,FALSE)),"")</f>
        <v>Si</v>
      </c>
      <c r="U850" s="11" t="str">
        <f>IFERROR(IF(VLOOKUP(A850,[6]PRIORIZADOS!$A:$U,21,FALSE)="","",VLOOKUP(A850,[6]PRIORIZADOS!$A:$U,21,FALSE)),"")</f>
        <v>El EE presentara el plan de mejoramiento 10 dias depues de la visita</v>
      </c>
    </row>
    <row r="851" spans="1:21" s="1" customFormat="1" ht="118.5">
      <c r="A851" s="69">
        <f>IF([6]PRIORIZADOS!A217="","",[6]PRIORIZADOS!A217)</f>
        <v>791</v>
      </c>
      <c r="B851" s="70">
        <f>IFERROR(IF(VLOOKUP(A851,[6]PRIORIZADOS!$A:$B,2,FALSE)="","",VLOOKUP(A851,[6]PRIORIZADOS!$A:$B,2,FALSE)),"")</f>
        <v>24</v>
      </c>
      <c r="C851" s="11" t="str">
        <f>IFERROR(IF(VLOOKUP(A851,[6]PRIORIZADOS!$A:$C,3,FALSE)="","",VLOOKUP(A851,[6]PRIORIZADOS!$A:$C,3,FALSE)),"")</f>
        <v>ENGATIVÁ</v>
      </c>
      <c r="D851" s="11" t="str">
        <f>IFERROR(IF(VLOOKUP(A851,[6]PRIORIZADOS!$A:$D,4,FALSE)="","",VLOOKUP(A851,[6]PRIORIZADOS!$A:$D,4,FALSE)),"")</f>
        <v>PRIVADO</v>
      </c>
      <c r="E851" s="11" t="str">
        <f>IFERROR(IF(VLOOKUP(A851,[6]PRIORIZADOS!$A:$E,5,FALSE)="","",VLOOKUP(A851,[6]PRIORIZADOS!$A:$E,5,FALSE)),"")</f>
        <v>EPBM</v>
      </c>
      <c r="F851" s="11" t="str">
        <f>IFERROR(IF(VLOOKUP(A851,[6]PRIORIZADOS!$A:$F,6,FALSE)="","",VLOOKUP(A851,[6]PRIORIZADOS!$A:$F,6,FALSE)),"")</f>
        <v>COLEGIO_ESTRADA_DE_MARIA_AUXILIADORA</v>
      </c>
      <c r="G851" s="11" t="str">
        <f>IFERROR(IF(VLOOKUP(A851,[6]PRIORIZADOS!$A:$G,7,FALSE)="","",VLOOKUP(A851,[6]PRIORIZADOS!$A:$G,7,FALSE)),"")</f>
        <v>COLEGIO_ESTRADA_DE_MARIA_AUXILIADORA</v>
      </c>
      <c r="H851" s="11" t="str">
        <f>IFERROR(IF(VLOOKUP(A851,[6]PRIORIZADOS!$A:$H,8,FALSE)="","",VLOOKUP(A851,[6]PRIORIZADOS!$A:$H,8,FALSE)),"")</f>
        <v>Autoevaluación Institucional y Pruebas SABER 11</v>
      </c>
      <c r="I851" s="11" t="str">
        <f>IFERROR(IF(VLOOKUP(A851,[6]PRIORIZADOS!$A:$I,9,FALSE)="","",VLOOKUP(A851,[6]PRIORIZADOS!$A:$I,9,FALSE)),"")</f>
        <v>EVALUACIÓN_CON_FINES_DE_MEJORAMIENTO.</v>
      </c>
      <c r="J851" s="11" t="str">
        <f>IFERROR(IF(VLOOKUP(A851,[6]PRIORIZADOS!$A:$J,10,FALSE)="","",VLOOKUP(A851,[6]PRIORIZADOS!$A:$J,10,FALSE)),"")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51" s="11" t="str">
        <f>IFERROR(IF(VLOOKUP(A851,[6]PRIORIZADOS!$A:$K,11,FALSE)="","",VLOOKUP(A851,[6]PRIORIZADOS!$A:$K,11,FALSE)),"")</f>
        <v>JENIFER CATHERINE LEÓN ACOSTA</v>
      </c>
      <c r="L851" s="11" t="str">
        <f>IFERROR(IF(VLOOKUP(A851,[6]PRIORIZADOS!$A:$L,12,FALSE)="","",VLOOKUP(A851,[6]PRIORIZADOS!$A:$L,12,FALSE)),"")</f>
        <v>MÓNICA JANNETH RAMÍREZ MORENO</v>
      </c>
      <c r="M851" s="71">
        <f>IFERROR(IF(VLOOKUP(A851,[6]PRIORIZADOS!$A:$M,13,FALSE)="","",VLOOKUP(A851,[6]PRIORIZADOS!$A:$M,13,FALSE)),"")</f>
        <v>45797</v>
      </c>
      <c r="N851" s="139">
        <f>IFERROR(IF(VLOOKUP(A851,[6]PRIORIZADOS!$A:$N,14,FALSE)="","",VLOOKUP(A851,[6]PRIORIZADOS!$A:$N,14,FALSE)),"")</f>
        <v>45811</v>
      </c>
      <c r="O851" s="139">
        <f>IFERROR(IF(VLOOKUP(A851,[6]PRIORIZADOS!$A:$O,15,FALSE)="","",VLOOKUP(A851,[6]PRIORIZADOS!$A:$O,15,FALSE)),"")</f>
        <v>45813</v>
      </c>
      <c r="P851" s="11" t="str">
        <f>IFERROR(IF(VLOOKUP(A851,[6]PRIORIZADOS!$A:$P,16,FALSE)="","",VLOOKUP(A851,[6]PRIORIZADOS!$A:$P,16,FALSE)),"")</f>
        <v>Visitas de evaluación con fines de mejoramiento</v>
      </c>
      <c r="Q851" s="121" t="s">
        <v>153</v>
      </c>
      <c r="R851" s="11" t="str">
        <f>IFERROR(IF(VLOOKUP(A851,[6]PRIORIZADOS!$A:$R,18,FALSE)="","",VLOOKUP(A851,[6]PRIORIZADOS!$A:$R,18,FALSE)),"")</f>
        <v>Existe confusion entre las situaciones convivenciales y sus protocolos y las acciones disciplinares.
No se evidencia la inclusion del enfoque de género y restaurativo. Informan que es un manual que esta en constante construcción, sin embargo, en lo relacionado con la actualizacion de la normatividad, no se evidencia la inclusion del enfoque de género y restaurativo.</v>
      </c>
      <c r="S851" s="11" t="str">
        <f>IFERROR(IF(VLOOKUP(A851,[6]PRIORIZADOS!$A:$S,19,FALSE)="","",VLOOKUP(A851,[6]PRIORIZADOS!$A:$S,19,FALSE)),"")</f>
        <v xml:space="preserve"> Ajustar en el manual  de convivencia , las situaciones convivenciales y sus protocolos de atencion, diferenciando las acciones disciplinares y  las acciones pedagogicas para abordarlas.
Trabajar en conjunto la inclusion el enfoque de genero y restaurativo en el manual de convivencia.</v>
      </c>
      <c r="T851" s="70" t="str">
        <f>IFERROR(IF(VLOOKUP(A851,[6]PRIORIZADOS!$A:$T,20,FALSE)="","",VLOOKUP(A851,[6]PRIORIZADOS!$A:$T,20,FALSE)),"")</f>
        <v>Si</v>
      </c>
      <c r="U851" s="11" t="str">
        <f>IFERROR(IF(VLOOKUP(A851,[6]PRIORIZADOS!$A:$U,21,FALSE)="","",VLOOKUP(A851,[6]PRIORIZADOS!$A:$U,21,FALSE)),"")</f>
        <v>El EE presentara el plan de mejoramiento 10 dias depues de la visita</v>
      </c>
    </row>
    <row r="852" spans="1:21" s="1" customFormat="1" ht="48">
      <c r="A852" s="69">
        <f>IF([6]PRIORIZADOS!A218="","",[6]PRIORIZADOS!A218)</f>
        <v>792</v>
      </c>
      <c r="B852" s="70">
        <f>IFERROR(IF(VLOOKUP(A852,[6]PRIORIZADOS!$A:$B,2,FALSE)="","",VLOOKUP(A852,[6]PRIORIZADOS!$A:$B,2,FALSE)),"")</f>
        <v>24</v>
      </c>
      <c r="C852" s="11" t="str">
        <f>IFERROR(IF(VLOOKUP(A852,[6]PRIORIZADOS!$A:$C,3,FALSE)="","",VLOOKUP(A852,[6]PRIORIZADOS!$A:$C,3,FALSE)),"")</f>
        <v>ENGATIVÁ</v>
      </c>
      <c r="D852" s="11" t="str">
        <f>IFERROR(IF(VLOOKUP(A852,[6]PRIORIZADOS!$A:$D,4,FALSE)="","",VLOOKUP(A852,[6]PRIORIZADOS!$A:$D,4,FALSE)),"")</f>
        <v>PRIVADO</v>
      </c>
      <c r="E852" s="11" t="str">
        <f>IFERROR(IF(VLOOKUP(A852,[6]PRIORIZADOS!$A:$E,5,FALSE)="","",VLOOKUP(A852,[6]PRIORIZADOS!$A:$E,5,FALSE)),"")</f>
        <v>EPBM</v>
      </c>
      <c r="F852" s="11" t="str">
        <f>IFERROR(IF(VLOOKUP(A852,[6]PRIORIZADOS!$A:$F,6,FALSE)="","",VLOOKUP(A852,[6]PRIORIZADOS!$A:$F,6,FALSE)),"")</f>
        <v>COLEGIO_ESTRADA_DE_MARIA_AUXILIADORA</v>
      </c>
      <c r="G852" s="11" t="str">
        <f>IFERROR(IF(VLOOKUP(A852,[6]PRIORIZADOS!$A:$G,7,FALSE)="","",VLOOKUP(A852,[6]PRIORIZADOS!$A:$G,7,FALSE)),"")</f>
        <v>COLEGIO_ESTRADA_DE_MARIA_AUXILIADORA</v>
      </c>
      <c r="H852" s="11" t="str">
        <f>IFERROR(IF(VLOOKUP(A852,[6]PRIORIZADOS!$A:$H,8,FALSE)="","",VLOOKUP(A852,[6]PRIORIZADOS!$A:$H,8,FALSE)),"")</f>
        <v>Autoevaluación Institucional y Pruebas SABER 11</v>
      </c>
      <c r="I852" s="11" t="str">
        <f>IFERROR(IF(VLOOKUP(A852,[6]PRIORIZADOS!$A:$I,9,FALSE)="","",VLOOKUP(A852,[6]PRIORIZADOS!$A:$I,9,FALSE)),"")</f>
        <v>EVALUACIÓN_CON_FINES_DE_MEJORAMIENTO.</v>
      </c>
      <c r="J852" s="11" t="str">
        <f>IFERROR(IF(VLOOKUP(A852,[6]PRIORIZADOS!$A:$J,10,FALSE)="","",VLOOKUP(A852,[6]PRIORIZADOS!$A:$J,10,FALSE)),"")</f>
        <v>Revisar la actualización, socialización e implementación del Sistema Institucional de Evaluación de Estudiantes - SIEE, en articulación con la actualización del PEI y la normatividad vigente.</v>
      </c>
      <c r="K852" s="11" t="str">
        <f>IFERROR(IF(VLOOKUP(A852,[6]PRIORIZADOS!$A:$K,11,FALSE)="","",VLOOKUP(A852,[6]PRIORIZADOS!$A:$K,11,FALSE)),"")</f>
        <v>JENIFER CATHERINE LEÓN ACOSTA</v>
      </c>
      <c r="L852" s="11" t="str">
        <f>IFERROR(IF(VLOOKUP(A852,[6]PRIORIZADOS!$A:$L,12,FALSE)="","",VLOOKUP(A852,[6]PRIORIZADOS!$A:$L,12,FALSE)),"")</f>
        <v>MÓNICA JANNETH RAMÍREZ MORENO</v>
      </c>
      <c r="M852" s="71">
        <f>IFERROR(IF(VLOOKUP(A852,[6]PRIORIZADOS!$A:$M,13,FALSE)="","",VLOOKUP(A852,[6]PRIORIZADOS!$A:$M,13,FALSE)),"")</f>
        <v>45797</v>
      </c>
      <c r="N852" s="139">
        <f>IFERROR(IF(VLOOKUP(A852,[6]PRIORIZADOS!$A:$N,14,FALSE)="","",VLOOKUP(A852,[6]PRIORIZADOS!$A:$N,14,FALSE)),"")</f>
        <v>45811</v>
      </c>
      <c r="O852" s="139">
        <f>IFERROR(IF(VLOOKUP(A852,[6]PRIORIZADOS!$A:$O,15,FALSE)="","",VLOOKUP(A852,[6]PRIORIZADOS!$A:$O,15,FALSE)),"")</f>
        <v>45813</v>
      </c>
      <c r="P852" s="11" t="str">
        <f>IFERROR(IF(VLOOKUP(A852,[6]PRIORIZADOS!$A:$P,16,FALSE)="","",VLOOKUP(A852,[6]PRIORIZADOS!$A:$P,16,FALSE)),"")</f>
        <v>Visitas de evaluación con fines de mejoramiento</v>
      </c>
      <c r="Q852" s="121" t="s">
        <v>153</v>
      </c>
      <c r="R852" s="11" t="str">
        <f>IFERROR(IF(VLOOKUP(A852,[6]PRIORIZADOS!$A:$R,18,FALSE)="","",VLOOKUP(A852,[6]PRIORIZADOS!$A:$R,18,FALSE)),"")</f>
        <v xml:space="preserve">Esta claro, y publicado en la pagina del colegio de manera permanente. </v>
      </c>
      <c r="S852" s="11" t="str">
        <f>IFERROR(IF(VLOOKUP(A852,[6]PRIORIZADOS!$A:$S,19,FALSE)="","",VLOOKUP(A852,[6]PRIORIZADOS!$A:$S,19,FALSE)),"")</f>
        <v>No se hace requerimiento</v>
      </c>
      <c r="T852" s="70" t="str">
        <f>IFERROR(IF(VLOOKUP(A852,[6]PRIORIZADOS!$A:$T,20,FALSE)="","",VLOOKUP(A852,[6]PRIORIZADOS!$A:$T,20,FALSE)),"")</f>
        <v>No</v>
      </c>
      <c r="U852" s="11" t="str">
        <f>IFERROR(IF(VLOOKUP(A852,[6]PRIORIZADOS!$A:$U,21,FALSE)="","",VLOOKUP(A852,[6]PRIORIZADOS!$A:$U,21,FALSE)),"")</f>
        <v>Se realizará verificacion en caso de presentarse una solicitud o queja al respecto de este apartado</v>
      </c>
    </row>
    <row r="853" spans="1:21" s="1" customFormat="1" ht="60">
      <c r="A853" s="69">
        <f>IF([6]PRIORIZADOS!A219="","",[6]PRIORIZADOS!A219)</f>
        <v>793</v>
      </c>
      <c r="B853" s="70">
        <f>IFERROR(IF(VLOOKUP(A853,[6]PRIORIZADOS!$A:$B,2,FALSE)="","",VLOOKUP(A853,[6]PRIORIZADOS!$A:$B,2,FALSE)),"")</f>
        <v>24</v>
      </c>
      <c r="C853" s="11" t="str">
        <f>IFERROR(IF(VLOOKUP(A853,[6]PRIORIZADOS!$A:$C,3,FALSE)="","",VLOOKUP(A853,[6]PRIORIZADOS!$A:$C,3,FALSE)),"")</f>
        <v>ENGATIVÁ</v>
      </c>
      <c r="D853" s="11" t="str">
        <f>IFERROR(IF(VLOOKUP(A853,[6]PRIORIZADOS!$A:$D,4,FALSE)="","",VLOOKUP(A853,[6]PRIORIZADOS!$A:$D,4,FALSE)),"")</f>
        <v>PRIVADO</v>
      </c>
      <c r="E853" s="11" t="str">
        <f>IFERROR(IF(VLOOKUP(A853,[6]PRIORIZADOS!$A:$E,5,FALSE)="","",VLOOKUP(A853,[6]PRIORIZADOS!$A:$E,5,FALSE)),"")</f>
        <v>EPBM</v>
      </c>
      <c r="F853" s="11" t="str">
        <f>IFERROR(IF(VLOOKUP(A853,[6]PRIORIZADOS!$A:$F,6,FALSE)="","",VLOOKUP(A853,[6]PRIORIZADOS!$A:$F,6,FALSE)),"")</f>
        <v>COLEGIO_ESTRADA_DE_MARIA_AUXILIADORA</v>
      </c>
      <c r="G853" s="11" t="str">
        <f>IFERROR(IF(VLOOKUP(A853,[6]PRIORIZADOS!$A:$G,7,FALSE)="","",VLOOKUP(A853,[6]PRIORIZADOS!$A:$G,7,FALSE)),"")</f>
        <v>COLEGIO_ESTRADA_DE_MARIA_AUXILIADORA</v>
      </c>
      <c r="H853" s="11" t="str">
        <f>IFERROR(IF(VLOOKUP(A853,[6]PRIORIZADOS!$A:$H,8,FALSE)="","",VLOOKUP(A853,[6]PRIORIZADOS!$A:$H,8,FALSE)),"")</f>
        <v>Autoevaluación Institucional y Pruebas SABER 11</v>
      </c>
      <c r="I853" s="11" t="str">
        <f>IFERROR(IF(VLOOKUP(A853,[6]PRIORIZADOS!$A:$I,9,FALSE)="","",VLOOKUP(A853,[6]PRIORIZADOS!$A:$I,9,FALSE)),"")</f>
        <v>EVALUACIÓN_CON_FINES_DE_MEJORAMIENTO.</v>
      </c>
      <c r="J853" s="11" t="str">
        <f>IFERROR(IF(VLOOKUP(A853,[6]PRIORIZADOS!$A:$J,10,FALSE)="","",VLOOKUP(A853,[6]PRIORIZADOS!$A:$J,10,FALSE)),"")</f>
        <v>Revisar el calendario escolar, jornada escolar, la intensidad horaria mínima anual en cada nivel y las modificaciones que se realicen al mismo, de acuerdo con lo previsto en la normatividad vigente.</v>
      </c>
      <c r="K853" s="11" t="str">
        <f>IFERROR(IF(VLOOKUP(A853,[6]PRIORIZADOS!$A:$K,11,FALSE)="","",VLOOKUP(A853,[6]PRIORIZADOS!$A:$K,11,FALSE)),"")</f>
        <v>JENIFER CATHERINE LEÓN ACOSTA</v>
      </c>
      <c r="L853" s="11" t="str">
        <f>IFERROR(IF(VLOOKUP(A853,[6]PRIORIZADOS!$A:$L,12,FALSE)="","",VLOOKUP(A853,[6]PRIORIZADOS!$A:$L,12,FALSE)),"")</f>
        <v>MÓNICA JANNETH RAMÍREZ MORENO</v>
      </c>
      <c r="M853" s="71">
        <f>IFERROR(IF(VLOOKUP(A853,[6]PRIORIZADOS!$A:$M,13,FALSE)="","",VLOOKUP(A853,[6]PRIORIZADOS!$A:$M,13,FALSE)),"")</f>
        <v>45797</v>
      </c>
      <c r="N853" s="139">
        <f>IFERROR(IF(VLOOKUP(A853,[6]PRIORIZADOS!$A:$N,14,FALSE)="","",VLOOKUP(A853,[6]PRIORIZADOS!$A:$N,14,FALSE)),"")</f>
        <v>45811</v>
      </c>
      <c r="O853" s="139">
        <f>IFERROR(IF(VLOOKUP(A853,[6]PRIORIZADOS!$A:$O,15,FALSE)="","",VLOOKUP(A853,[6]PRIORIZADOS!$A:$O,15,FALSE)),"")</f>
        <v>45813</v>
      </c>
      <c r="P853" s="11" t="str">
        <f>IFERROR(IF(VLOOKUP(A853,[6]PRIORIZADOS!$A:$P,16,FALSE)="","",VLOOKUP(A853,[6]PRIORIZADOS!$A:$P,16,FALSE)),"")</f>
        <v>Visitas de evaluación con fines de mejoramiento</v>
      </c>
      <c r="Q853" s="121" t="s">
        <v>153</v>
      </c>
      <c r="R853" s="11" t="str">
        <f>IFERROR(IF(VLOOKUP(A853,[6]PRIORIZADOS!$A:$R,18,FALSE)="","",VLOOKUP(A853,[6]PRIORIZADOS!$A:$R,18,FALSE)),"")</f>
        <v>El calendario escolar, y la intensidad horaria , está publicado en la pagina del colegio y en el perfil de la plataforma  al cual tiene acceso todos los padres y estudiantes.</v>
      </c>
      <c r="S853" s="11" t="str">
        <f>IFERROR(IF(VLOOKUP(A853,[6]PRIORIZADOS!$A:$S,19,FALSE)="","",VLOOKUP(A853,[6]PRIORIZADOS!$A:$S,19,FALSE)),"")</f>
        <v>No se hace requerimiento</v>
      </c>
      <c r="T853" s="70" t="str">
        <f>IFERROR(IF(VLOOKUP(A853,[6]PRIORIZADOS!$A:$T,20,FALSE)="","",VLOOKUP(A853,[6]PRIORIZADOS!$A:$T,20,FALSE)),"")</f>
        <v>No</v>
      </c>
      <c r="U853" s="11" t="str">
        <f>IFERROR(IF(VLOOKUP(A853,[6]PRIORIZADOS!$A:$U,21,FALSE)="","",VLOOKUP(A853,[6]PRIORIZADOS!$A:$U,21,FALSE)),"")</f>
        <v>Se realizará verificacion en caso de presentarse una solicitud o queja al respecto de este apartado</v>
      </c>
    </row>
    <row r="854" spans="1:21" s="1" customFormat="1" ht="48">
      <c r="A854" s="69">
        <f>IF([6]PRIORIZADOS!A220="","",[6]PRIORIZADOS!A220)</f>
        <v>794</v>
      </c>
      <c r="B854" s="70">
        <f>IFERROR(IF(VLOOKUP(A854,[6]PRIORIZADOS!$A:$B,2,FALSE)="","",VLOOKUP(A854,[6]PRIORIZADOS!$A:$B,2,FALSE)),"")</f>
        <v>24</v>
      </c>
      <c r="C854" s="11" t="str">
        <f>IFERROR(IF(VLOOKUP(A854,[6]PRIORIZADOS!$A:$C,3,FALSE)="","",VLOOKUP(A854,[6]PRIORIZADOS!$A:$C,3,FALSE)),"")</f>
        <v>ENGATIVÁ</v>
      </c>
      <c r="D854" s="11" t="str">
        <f>IFERROR(IF(VLOOKUP(A854,[6]PRIORIZADOS!$A:$D,4,FALSE)="","",VLOOKUP(A854,[6]PRIORIZADOS!$A:$D,4,FALSE)),"")</f>
        <v>PRIVADO</v>
      </c>
      <c r="E854" s="11" t="str">
        <f>IFERROR(IF(VLOOKUP(A854,[6]PRIORIZADOS!$A:$E,5,FALSE)="","",VLOOKUP(A854,[6]PRIORIZADOS!$A:$E,5,FALSE)),"")</f>
        <v>EPBM</v>
      </c>
      <c r="F854" s="11" t="str">
        <f>IFERROR(IF(VLOOKUP(A854,[6]PRIORIZADOS!$A:$F,6,FALSE)="","",VLOOKUP(A854,[6]PRIORIZADOS!$A:$F,6,FALSE)),"")</f>
        <v>COLEGIO_ESTRADA_DE_MARIA_AUXILIADORA</v>
      </c>
      <c r="G854" s="11" t="str">
        <f>IFERROR(IF(VLOOKUP(A854,[6]PRIORIZADOS!$A:$G,7,FALSE)="","",VLOOKUP(A854,[6]PRIORIZADOS!$A:$G,7,FALSE)),"")</f>
        <v>COLEGIO_ESTRADA_DE_MARIA_AUXILIADORA</v>
      </c>
      <c r="H854" s="11" t="str">
        <f>IFERROR(IF(VLOOKUP(A854,[6]PRIORIZADOS!$A:$H,8,FALSE)="","",VLOOKUP(A854,[6]PRIORIZADOS!$A:$H,8,FALSE)),"")</f>
        <v>Autoevaluación Institucional y Pruebas SABER 11</v>
      </c>
      <c r="I854" s="11" t="str">
        <f>IFERROR(IF(VLOOKUP(A854,[6]PRIORIZADOS!$A:$I,9,FALSE)="","",VLOOKUP(A854,[6]PRIORIZADOS!$A:$I,9,FALSE)),"")</f>
        <v>EVALUACIÓN_CON_FINES_DE_MEJORAMIENTO.</v>
      </c>
      <c r="J854" s="11" t="str">
        <f>IFERROR(IF(VLOOKUP(A854,[6]PRIORIZADOS!$A:$J,10,FALSE)="","",VLOOKUP(A854,[6]PRIORIZADOS!$A:$J,10,FALSE)),"")</f>
        <v>Verificar el funcionamiento del Gobierno Escolar e instancias de participación con base en la información sobre conformación reportada por la institución educativa.</v>
      </c>
      <c r="K854" s="11" t="str">
        <f>IFERROR(IF(VLOOKUP(A854,[6]PRIORIZADOS!$A:$K,11,FALSE)="","",VLOOKUP(A854,[6]PRIORIZADOS!$A:$K,11,FALSE)),"")</f>
        <v>JENIFER CATHERINE LEÓN ACOSTA</v>
      </c>
      <c r="L854" s="11" t="str">
        <f>IFERROR(IF(VLOOKUP(A854,[6]PRIORIZADOS!$A:$L,12,FALSE)="","",VLOOKUP(A854,[6]PRIORIZADOS!$A:$L,12,FALSE)),"")</f>
        <v>MÓNICA JANNETH RAMÍREZ MORENO</v>
      </c>
      <c r="M854" s="71">
        <f>IFERROR(IF(VLOOKUP(A854,[6]PRIORIZADOS!$A:$M,13,FALSE)="","",VLOOKUP(A854,[6]PRIORIZADOS!$A:$M,13,FALSE)),"")</f>
        <v>45797</v>
      </c>
      <c r="N854" s="139">
        <f>IFERROR(IF(VLOOKUP(A854,[6]PRIORIZADOS!$A:$N,14,FALSE)="","",VLOOKUP(A854,[6]PRIORIZADOS!$A:$N,14,FALSE)),"")</f>
        <v>45811</v>
      </c>
      <c r="O854" s="139">
        <f>IFERROR(IF(VLOOKUP(A854,[6]PRIORIZADOS!$A:$O,15,FALSE)="","",VLOOKUP(A854,[6]PRIORIZADOS!$A:$O,15,FALSE)),"")</f>
        <v>45813</v>
      </c>
      <c r="P854" s="11" t="str">
        <f>IFERROR(IF(VLOOKUP(A854,[6]PRIORIZADOS!$A:$P,16,FALSE)="","",VLOOKUP(A854,[6]PRIORIZADOS!$A:$P,16,FALSE)),"")</f>
        <v>Visitas de evaluación con fines de mejoramiento</v>
      </c>
      <c r="Q854" s="121" t="s">
        <v>153</v>
      </c>
      <c r="R854" s="11" t="str">
        <f>IFERROR(IF(VLOOKUP(A854,[6]PRIORIZADOS!$A:$R,18,FALSE)="","",VLOOKUP(A854,[6]PRIORIZADOS!$A:$R,18,FALSE)),"")</f>
        <v>Se tienen las actas de conformación instalacion y en el manual de convivencia esta la descripción de las funciones de los miembros de las instancias.</v>
      </c>
      <c r="S854" s="11" t="str">
        <f>IFERROR(IF(VLOOKUP(A854,[6]PRIORIZADOS!$A:$S,19,FALSE)="","",VLOOKUP(A854,[6]PRIORIZADOS!$A:$S,19,FALSE)),"")</f>
        <v>No se hace requerimiento</v>
      </c>
      <c r="T854" s="70" t="str">
        <f>IFERROR(IF(VLOOKUP(A854,[6]PRIORIZADOS!$A:$T,20,FALSE)="","",VLOOKUP(A854,[6]PRIORIZADOS!$A:$T,20,FALSE)),"")</f>
        <v>No</v>
      </c>
      <c r="U854" s="11" t="str">
        <f>IFERROR(IF(VLOOKUP(A854,[6]PRIORIZADOS!$A:$U,21,FALSE)="","",VLOOKUP(A854,[6]PRIORIZADOS!$A:$U,21,FALSE)),"")</f>
        <v>Se realizará verificacion en caso de presentarse una solicitud o queja al respecto de este apartado</v>
      </c>
    </row>
    <row r="855" spans="1:21" s="1" customFormat="1" ht="118.5">
      <c r="A855" s="69">
        <f>IF([6]PRIORIZADOS!A221="","",[6]PRIORIZADOS!A221)</f>
        <v>795</v>
      </c>
      <c r="B855" s="70">
        <f>IFERROR(IF(VLOOKUP(A855,[6]PRIORIZADOS!$A:$B,2,FALSE)="","",VLOOKUP(A855,[6]PRIORIZADOS!$A:$B,2,FALSE)),"")</f>
        <v>24</v>
      </c>
      <c r="C855" s="11" t="str">
        <f>IFERROR(IF(VLOOKUP(A855,[6]PRIORIZADOS!$A:$C,3,FALSE)="","",VLOOKUP(A855,[6]PRIORIZADOS!$A:$C,3,FALSE)),"")</f>
        <v>ENGATIVÁ</v>
      </c>
      <c r="D855" s="11" t="str">
        <f>IFERROR(IF(VLOOKUP(A855,[6]PRIORIZADOS!$A:$D,4,FALSE)="","",VLOOKUP(A855,[6]PRIORIZADOS!$A:$D,4,FALSE)),"")</f>
        <v>PRIVADO</v>
      </c>
      <c r="E855" s="11" t="str">
        <f>IFERROR(IF(VLOOKUP(A855,[6]PRIORIZADOS!$A:$E,5,FALSE)="","",VLOOKUP(A855,[6]PRIORIZADOS!$A:$E,5,FALSE)),"")</f>
        <v>EPBM</v>
      </c>
      <c r="F855" s="11" t="str">
        <f>IFERROR(IF(VLOOKUP(A855,[6]PRIORIZADOS!$A:$F,6,FALSE)="","",VLOOKUP(A855,[6]PRIORIZADOS!$A:$F,6,FALSE)),"")</f>
        <v>COLEGIO_ESTRADA_DE_MARIA_AUXILIADORA</v>
      </c>
      <c r="G855" s="11" t="str">
        <f>IFERROR(IF(VLOOKUP(A855,[6]PRIORIZADOS!$A:$G,7,FALSE)="","",VLOOKUP(A855,[6]PRIORIZADOS!$A:$G,7,FALSE)),"")</f>
        <v>COLEGIO_ESTRADA_DE_MARIA_AUXILIADORA</v>
      </c>
      <c r="H855" s="11" t="str">
        <f>IFERROR(IF(VLOOKUP(A855,[6]PRIORIZADOS!$A:$H,8,FALSE)="","",VLOOKUP(A855,[6]PRIORIZADOS!$A:$H,8,FALSE)),"")</f>
        <v>Autoevaluación Institucional y Pruebas SABER 11</v>
      </c>
      <c r="I855" s="11" t="str">
        <f>IFERROR(IF(VLOOKUP(A855,[6]PRIORIZADOS!$A:$I,9,FALSE)="","",VLOOKUP(A855,[6]PRIORIZADOS!$A:$I,9,FALSE)),"")</f>
        <v>EVALUACIÓN_CON_FINES_DE_MEJORAMIENTO.</v>
      </c>
      <c r="J855" s="11" t="str">
        <f>IFERROR(IF(VLOOKUP(A855,[6]PRIORIZADOS!$A:$J,10,FALSE)="","",VLOOKUP(A855,[6]PRIORIZADOS!$A:$J,10,FALSE)),"")</f>
        <v>Verificar las condiciones en cuanto a: la estructura administrativa, condiciones de la planta física y medios educativos adecuados.</v>
      </c>
      <c r="K855" s="11" t="str">
        <f>IFERROR(IF(VLOOKUP(A855,[6]PRIORIZADOS!$A:$K,11,FALSE)="","",VLOOKUP(A855,[6]PRIORIZADOS!$A:$K,11,FALSE)),"")</f>
        <v>JENIFER CATHERINE LEÓN ACOSTA</v>
      </c>
      <c r="L855" s="11" t="str">
        <f>IFERROR(IF(VLOOKUP(A855,[6]PRIORIZADOS!$A:$L,12,FALSE)="","",VLOOKUP(A855,[6]PRIORIZADOS!$A:$L,12,FALSE)),"")</f>
        <v>MÓNICA JANNETH RAMÍREZ MORENO</v>
      </c>
      <c r="M855" s="71">
        <f>IFERROR(IF(VLOOKUP(A855,[6]PRIORIZADOS!$A:$M,13,FALSE)="","",VLOOKUP(A855,[6]PRIORIZADOS!$A:$M,13,FALSE)),"")</f>
        <v>45797</v>
      </c>
      <c r="N855" s="139">
        <f>IFERROR(IF(VLOOKUP(A855,[6]PRIORIZADOS!$A:$N,14,FALSE)="","",VLOOKUP(A855,[6]PRIORIZADOS!$A:$N,14,FALSE)),"")</f>
        <v>45811</v>
      </c>
      <c r="O855" s="139">
        <f>IFERROR(IF(VLOOKUP(A855,[6]PRIORIZADOS!$A:$O,15,FALSE)="","",VLOOKUP(A855,[6]PRIORIZADOS!$A:$O,15,FALSE)),"")</f>
        <v>45813</v>
      </c>
      <c r="P855" s="11" t="str">
        <f>IFERROR(IF(VLOOKUP(A855,[6]PRIORIZADOS!$A:$P,16,FALSE)="","",VLOOKUP(A855,[6]PRIORIZADOS!$A:$P,16,FALSE)),"")</f>
        <v>Visitas de evaluación con fines de mejoramiento</v>
      </c>
      <c r="Q855" s="121" t="s">
        <v>153</v>
      </c>
      <c r="R855" s="11" t="str">
        <f>IFERROR(IF(VLOOKUP(A855,[6]PRIORIZADOS!$A:$R,18,FALSE)="","",VLOOKUP(A855,[6]PRIORIZADOS!$A:$R,18,FALSE)),"")</f>
        <v>1. En algunos salones, los espacios no son los adecuados para la cantidad de estudiantes que atienden.
2. Existes insuficientes baterias de baños, ya que ellos cuentan sanitarios y orinales por aparte.
3. Todos los docentes y administrativos tambien hacen uso de los mismos baños de los estudiantes, no tienen un baño exclusivo para ellos como adultos.</v>
      </c>
      <c r="S855" s="11" t="str">
        <f>IFERROR(IF(VLOOKUP(A855,[6]PRIORIZADOS!$A:$S,19,FALSE)="","",VLOOKUP(A855,[6]PRIORIZADOS!$A:$S,19,FALSE)),"")</f>
        <v>El EE presentara el plan de mejoramiento 10 dias depues de la visita</v>
      </c>
      <c r="T855" s="70" t="str">
        <f>IFERROR(IF(VLOOKUP(A855,[6]PRIORIZADOS!$A:$T,20,FALSE)="","",VLOOKUP(A855,[6]PRIORIZADOS!$A:$T,20,FALSE)),"")</f>
        <v>Si</v>
      </c>
      <c r="U855" s="11" t="str">
        <f>IFERROR(IF(VLOOKUP(A855,[6]PRIORIZADOS!$A:$U,21,FALSE)="","",VLOOKUP(A855,[6]PRIORIZADOS!$A:$U,21,FALSE)),"")</f>
        <v>Revisar el plan de mejoramiento y la implementación de las acciones establecidas, una vez sea entregado por la IE.</v>
      </c>
    </row>
    <row r="856" spans="1:21" s="1" customFormat="1" ht="48">
      <c r="A856" s="69">
        <f>IF([6]PRIORIZADOS!A222="","",[6]PRIORIZADOS!A222)</f>
        <v>796</v>
      </c>
      <c r="B856" s="70">
        <f>IFERROR(IF(VLOOKUP(A856,[6]PRIORIZADOS!$A:$B,2,FALSE)="","",VLOOKUP(A856,[6]PRIORIZADOS!$A:$B,2,FALSE)),"")</f>
        <v>25</v>
      </c>
      <c r="C856" s="11" t="str">
        <f>IFERROR(IF(VLOOKUP(A856,[6]PRIORIZADOS!$A:$C,3,FALSE)="","",VLOOKUP(A856,[6]PRIORIZADOS!$A:$C,3,FALSE)),"")</f>
        <v>ENGATIVÁ</v>
      </c>
      <c r="D856" s="11" t="str">
        <f>IFERROR(IF(VLOOKUP(A856,[6]PRIORIZADOS!$A:$D,4,FALSE)="","",VLOOKUP(A856,[6]PRIORIZADOS!$A:$D,4,FALSE)),"")</f>
        <v>PRIVADO</v>
      </c>
      <c r="E856" s="11" t="str">
        <f>IFERROR(IF(VLOOKUP(A856,[6]PRIORIZADOS!$A:$E,5,FALSE)="","",VLOOKUP(A856,[6]PRIORIZADOS!$A:$E,5,FALSE)),"")</f>
        <v>EPBM</v>
      </c>
      <c r="F856" s="11" t="str">
        <f>IFERROR(IF(VLOOKUP(A856,[6]PRIORIZADOS!$A:$F,6,FALSE)="","",VLOOKUP(A856,[6]PRIORIZADOS!$A:$F,6,FALSE)),"")</f>
        <v>COLEGIO_COOPERATIVO_DE_LOS_ALAMOS</v>
      </c>
      <c r="G856" s="11" t="str">
        <f>IFERROR(IF(VLOOKUP(A856,[6]PRIORIZADOS!$A:$G,7,FALSE)="","",VLOOKUP(A856,[6]PRIORIZADOS!$A:$G,7,FALSE)),"")</f>
        <v>COLEGIO_COOPERATIVO_DE_LOS_ALAMOS</v>
      </c>
      <c r="H856" s="11" t="str">
        <f>IFERROR(IF(VLOOKUP(A856,[6]PRIORIZADOS!$A:$H,8,FALSE)="","",VLOOKUP(A856,[6]PRIORIZADOS!$A:$H,8,FALSE)),"")</f>
        <v>Autoevaluación Institucional y Pruebas SABER 11</v>
      </c>
      <c r="I856" s="11" t="str">
        <f>IFERROR(IF(VLOOKUP(A856,[6]PRIORIZADOS!$A:$I,9,FALSE)="","",VLOOKUP(A856,[6]PRIORIZADOS!$A:$I,9,FALSE)),"")</f>
        <v>SEGUIMIENTO_Y_SUPERVISIÓN.</v>
      </c>
      <c r="J856" s="11" t="str">
        <f>IFERROR(IF(VLOOKUP(A856,[6]PRIORIZADOS!$A:$J,10,FALSE)="","",VLOOKUP(A856,[6]PRIORIZADOS!$A:$J,10,FALSE)),"")</f>
        <v>Realizar visitas para verificar la información registrada sobre la autoevaluación institucional en el aplicativo EVI, a los establecimientos de educación formal no oficial.</v>
      </c>
      <c r="K856" s="11" t="str">
        <f>IFERROR(IF(VLOOKUP(A856,[6]PRIORIZADOS!$A:$K,11,FALSE)="","",VLOOKUP(A856,[6]PRIORIZADOS!$A:$K,11,FALSE)),"")</f>
        <v>SANDRA MILENA BUENAVENTURA RUEDA</v>
      </c>
      <c r="L856" s="11" t="str">
        <f>IFERROR(IF(VLOOKUP(A856,[6]PRIORIZADOS!$A:$L,12,FALSE)="","",VLOOKUP(A856,[6]PRIORIZADOS!$A:$L,12,FALSE)),"")</f>
        <v>JENIFER CATHERINE LEÓN ACOSTA</v>
      </c>
      <c r="M856" s="71">
        <f>IFERROR(IF(VLOOKUP(A856,[6]PRIORIZADOS!$A:$M,13,FALSE)="","",VLOOKUP(A856,[6]PRIORIZADOS!$A:$M,13,FALSE)),"")</f>
        <v>45819</v>
      </c>
      <c r="N856" s="139">
        <f>IFERROR(IF(VLOOKUP(A856,[6]PRIORIZADOS!$A:$N,14,FALSE)="","",VLOOKUP(A856,[6]PRIORIZADOS!$A:$N,14,FALSE)),"")</f>
        <v>45819</v>
      </c>
      <c r="O856" s="139">
        <f>IFERROR(IF(VLOOKUP(A856,[6]PRIORIZADOS!$A:$O,15,FALSE)="","",VLOOKUP(A856,[6]PRIORIZADOS!$A:$O,15,FALSE)),"")</f>
        <v>45819</v>
      </c>
      <c r="P856" s="11" t="str">
        <f>IFERROR(IF(VLOOKUP(A856,[6]PRIORIZADOS!$A:$P,16,FALSE)="","",VLOOKUP(A856,[6]PRIORIZADOS!$A:$P,16,FALSE)),"")</f>
        <v>Visitas de evaluación con fines de seguimiento</v>
      </c>
      <c r="Q856" s="125" t="s">
        <v>154</v>
      </c>
      <c r="R856" s="11" t="str">
        <f>IFERROR(IF(VLOOKUP(A856,[6]PRIORIZADOS!$A:$R,18,FALSE)="","",VLOOKUP(A856,[6]PRIORIZADOS!$A:$R,18,FALSE)),"")</f>
        <v>Se realiza recorrido a la planta física evidenciando que lo registrado en EVI coincide con la realidad</v>
      </c>
      <c r="S856" s="11" t="str">
        <f>IFERROR(IF(VLOOKUP(A856,[6]PRIORIZADOS!$A:$S,19,FALSE)="","",VLOOKUP(A856,[6]PRIORIZADOS!$A:$S,19,FALSE)),"")</f>
        <v xml:space="preserve">
Se debe realizar un análisis de la capacidad instalada en salones de clase de la parte antigua del colegio</v>
      </c>
      <c r="T856" s="70" t="str">
        <f>IFERROR(IF(VLOOKUP(A856,[6]PRIORIZADOS!$A:$T,20,FALSE)="","",VLOOKUP(A856,[6]PRIORIZADOS!$A:$T,20,FALSE)),"")</f>
        <v>Si</v>
      </c>
      <c r="U856" s="11" t="str">
        <f>IFERROR(IF(VLOOKUP(A856,[6]PRIORIZADOS!$A:$U,21,FALSE)="","",VLOOKUP(A856,[6]PRIORIZADOS!$A:$U,21,FALSE)),"")</f>
        <v>La institución presentará plan de mejora con fecha máxima 25 de junio con el fin de ser revisado por el equipo de Inspección y Vigilancia para hacer los ajustes y la trazabilidad correspondiente</v>
      </c>
    </row>
    <row r="857" spans="1:21" s="1" customFormat="1" ht="60">
      <c r="A857" s="69">
        <f>IF([6]PRIORIZADOS!A223="","",[6]PRIORIZADOS!A223)</f>
        <v>797</v>
      </c>
      <c r="B857" s="70">
        <f>IFERROR(IF(VLOOKUP(A857,[6]PRIORIZADOS!$A:$B,2,FALSE)="","",VLOOKUP(A857,[6]PRIORIZADOS!$A:$B,2,FALSE)),"")</f>
        <v>25</v>
      </c>
      <c r="C857" s="11" t="str">
        <f>IFERROR(IF(VLOOKUP(A857,[6]PRIORIZADOS!$A:$C,3,FALSE)="","",VLOOKUP(A857,[6]PRIORIZADOS!$A:$C,3,FALSE)),"")</f>
        <v>ENGATIVÁ</v>
      </c>
      <c r="D857" s="11" t="str">
        <f>IFERROR(IF(VLOOKUP(A857,[6]PRIORIZADOS!$A:$D,4,FALSE)="","",VLOOKUP(A857,[6]PRIORIZADOS!$A:$D,4,FALSE)),"")</f>
        <v>PRIVADO</v>
      </c>
      <c r="E857" s="11" t="str">
        <f>IFERROR(IF(VLOOKUP(A857,[6]PRIORIZADOS!$A:$E,5,FALSE)="","",VLOOKUP(A857,[6]PRIORIZADOS!$A:$E,5,FALSE)),"")</f>
        <v>EPBM</v>
      </c>
      <c r="F857" s="11" t="str">
        <f>IFERROR(IF(VLOOKUP(A857,[6]PRIORIZADOS!$A:$F,6,FALSE)="","",VLOOKUP(A857,[6]PRIORIZADOS!$A:$F,6,FALSE)),"")</f>
        <v>COLEGIO_COOPERATIVO_DE_LOS_ALAMOS</v>
      </c>
      <c r="G857" s="11" t="str">
        <f>IFERROR(IF(VLOOKUP(A857,[6]PRIORIZADOS!$A:$G,7,FALSE)="","",VLOOKUP(A857,[6]PRIORIZADOS!$A:$G,7,FALSE)),"")</f>
        <v>COLEGIO_COOPERATIVO_DE_LOS_ALAMOS</v>
      </c>
      <c r="H857" s="11" t="str">
        <f>IFERROR(IF(VLOOKUP(A857,[6]PRIORIZADOS!$A:$H,8,FALSE)="","",VLOOKUP(A857,[6]PRIORIZADOS!$A:$H,8,FALSE)),"")</f>
        <v>Autoevaluación Institucional y Pruebas SABER 11</v>
      </c>
      <c r="I857" s="11" t="str">
        <f>IFERROR(IF(VLOOKUP(A857,[6]PRIORIZADOS!$A:$I,9,FALSE)="","",VLOOKUP(A857,[6]PRIORIZADOS!$A:$I,9,FALSE)),"")</f>
        <v>SEGUIMIENTO_Y_SUPERVISIÓN.</v>
      </c>
      <c r="J857" s="11" t="str">
        <f>IFERROR(IF(VLOOKUP(A857,[6]PRIORIZADOS!$A:$J,10,FALSE)="","",VLOOKUP(A857,[6]PRIORIZADOS!$A:$J,10,FALSE)),"")</f>
        <v>Proponer estrategias en la formulación, verificar su elaboración y realizar seguimiento semestral al desarrollo de  las acciones establecidas en los planes de mejoramiento por pruebas SABER 11 de los establecimientos de educación formal.</v>
      </c>
      <c r="K857" s="11" t="str">
        <f>IFERROR(IF(VLOOKUP(A857,[6]PRIORIZADOS!$A:$K,11,FALSE)="","",VLOOKUP(A857,[6]PRIORIZADOS!$A:$K,11,FALSE)),"")</f>
        <v>SANDRA MILENA BUENAVENTURA RUEDA</v>
      </c>
      <c r="L857" s="11" t="str">
        <f>IFERROR(IF(VLOOKUP(A857,[6]PRIORIZADOS!$A:$L,12,FALSE)="","",VLOOKUP(A857,[6]PRIORIZADOS!$A:$L,12,FALSE)),"")</f>
        <v>JENIFER CATHERINE LEÓN ACOSTA</v>
      </c>
      <c r="M857" s="71">
        <f>IFERROR(IF(VLOOKUP(A857,[6]PRIORIZADOS!$A:$M,13,FALSE)="","",VLOOKUP(A857,[6]PRIORIZADOS!$A:$M,13,FALSE)),"")</f>
        <v>45819</v>
      </c>
      <c r="N857" s="139">
        <f>IFERROR(IF(VLOOKUP(A857,[6]PRIORIZADOS!$A:$N,14,FALSE)="","",VLOOKUP(A857,[6]PRIORIZADOS!$A:$N,14,FALSE)),"")</f>
        <v>45819</v>
      </c>
      <c r="O857" s="139">
        <f>IFERROR(IF(VLOOKUP(A857,[6]PRIORIZADOS!$A:$O,15,FALSE)="","",VLOOKUP(A857,[6]PRIORIZADOS!$A:$O,15,FALSE)),"")</f>
        <v>45819</v>
      </c>
      <c r="P857" s="11" t="str">
        <f>IFERROR(IF(VLOOKUP(A857,[6]PRIORIZADOS!$A:$P,16,FALSE)="","",VLOOKUP(A857,[6]PRIORIZADOS!$A:$P,16,FALSE)),"")</f>
        <v>Visitas de evaluación con fines de seguimiento</v>
      </c>
      <c r="Q857" s="125" t="s">
        <v>154</v>
      </c>
      <c r="R857" s="11" t="str">
        <f>IFERROR(IF(VLOOKUP(A857,[6]PRIORIZADOS!$A:$R,18,FALSE)="","",VLOOKUP(A857,[6]PRIORIZADOS!$A:$R,18,FALSE)),"")</f>
        <v>La IE se clasifica en A, contratan a la  empresa Milton Ochoa, quienes analizan por areas los resultados  y en relación a los años anteriores.</v>
      </c>
      <c r="S857" s="11" t="str">
        <f>IFERROR(IF(VLOOKUP(A857,[6]PRIORIZADOS!$A:$S,19,FALSE)="","",VLOOKUP(A857,[6]PRIORIZADOS!$A:$S,19,FALSE)),"")</f>
        <v>Los resultados se llevaron al consejo academico y quedaron registrados en acta.</v>
      </c>
      <c r="T857" s="70" t="str">
        <f>IFERROR(IF(VLOOKUP(A857,[6]PRIORIZADOS!$A:$T,20,FALSE)="","",VLOOKUP(A857,[6]PRIORIZADOS!$A:$T,20,FALSE)),"")</f>
        <v>No</v>
      </c>
      <c r="U857" s="11" t="str">
        <f>IFERROR(IF(VLOOKUP(A857,[6]PRIORIZADOS!$A:$U,21,FALSE)="","",VLOOKUP(A857,[6]PRIORIZADOS!$A:$U,21,FALSE)),"")</f>
        <v>Se hara el respectivo seguimiento en el último trimestre de 2025</v>
      </c>
    </row>
    <row r="858" spans="1:21" s="1" customFormat="1" ht="48">
      <c r="A858" s="69">
        <f>IF([6]PRIORIZADOS!A224="","",[6]PRIORIZADOS!A224)</f>
        <v>798</v>
      </c>
      <c r="B858" s="70">
        <f>IFERROR(IF(VLOOKUP(A858,[6]PRIORIZADOS!$A:$B,2,FALSE)="","",VLOOKUP(A858,[6]PRIORIZADOS!$A:$B,2,FALSE)),"")</f>
        <v>25</v>
      </c>
      <c r="C858" s="11" t="str">
        <f>IFERROR(IF(VLOOKUP(A858,[6]PRIORIZADOS!$A:$C,3,FALSE)="","",VLOOKUP(A858,[6]PRIORIZADOS!$A:$C,3,FALSE)),"")</f>
        <v>ENGATIVÁ</v>
      </c>
      <c r="D858" s="11" t="str">
        <f>IFERROR(IF(VLOOKUP(A858,[6]PRIORIZADOS!$A:$D,4,FALSE)="","",VLOOKUP(A858,[6]PRIORIZADOS!$A:$D,4,FALSE)),"")</f>
        <v>PRIVADO</v>
      </c>
      <c r="E858" s="11" t="str">
        <f>IFERROR(IF(VLOOKUP(A858,[6]PRIORIZADOS!$A:$E,5,FALSE)="","",VLOOKUP(A858,[6]PRIORIZADOS!$A:$E,5,FALSE)),"")</f>
        <v>EPBM</v>
      </c>
      <c r="F858" s="11" t="str">
        <f>IFERROR(IF(VLOOKUP(A858,[6]PRIORIZADOS!$A:$F,6,FALSE)="","",VLOOKUP(A858,[6]PRIORIZADOS!$A:$F,6,FALSE)),"")</f>
        <v>COLEGIO_COOPERATIVO_DE_LOS_ALAMOS</v>
      </c>
      <c r="G858" s="11" t="str">
        <f>IFERROR(IF(VLOOKUP(A858,[6]PRIORIZADOS!$A:$G,7,FALSE)="","",VLOOKUP(A858,[6]PRIORIZADOS!$A:$G,7,FALSE)),"")</f>
        <v>COLEGIO_COOPERATIVO_DE_LOS_ALAMOS</v>
      </c>
      <c r="H858" s="11" t="str">
        <f>IFERROR(IF(VLOOKUP(A858,[6]PRIORIZADOS!$A:$H,8,FALSE)="","",VLOOKUP(A858,[6]PRIORIZADOS!$A:$H,8,FALSE)),"")</f>
        <v>Autoevaluación Institucional y Pruebas SABER 11</v>
      </c>
      <c r="I858" s="11" t="str">
        <f>IFERROR(IF(VLOOKUP(A858,[6]PRIORIZADOS!$A:$I,9,FALSE)="","",VLOOKUP(A858,[6]PRIORIZADOS!$A:$I,9,FALSE)),"")</f>
        <v>SEGUIMIENTO_Y_SUPERVISIÓN.</v>
      </c>
      <c r="J858" s="11" t="str">
        <f>IFERROR(IF(VLOOKUP(A858,[6]PRIORIZADOS!$A:$J,10,FALSE)="","",VLOOKUP(A858,[6]PRIORIZADOS!$A:$J,10,FALSE)),"")</f>
        <v xml:space="preserve">Verificar la implementación por parte de los colegios, de acciones realizadas para la prevención y atención de las situaciones de convivencia en el entorno escolar, según lo establecido en la Directiva 01 de 2022 del MEN. </v>
      </c>
      <c r="K858" s="11" t="str">
        <f>IFERROR(IF(VLOOKUP(A858,[6]PRIORIZADOS!$A:$K,11,FALSE)="","",VLOOKUP(A858,[6]PRIORIZADOS!$A:$K,11,FALSE)),"")</f>
        <v>SANDRA MILENA BUENAVENTURA RUEDA</v>
      </c>
      <c r="L858" s="11" t="str">
        <f>IFERROR(IF(VLOOKUP(A858,[6]PRIORIZADOS!$A:$L,12,FALSE)="","",VLOOKUP(A858,[6]PRIORIZADOS!$A:$L,12,FALSE)),"")</f>
        <v>JENIFER CATHERINE LEÓN ACOSTA</v>
      </c>
      <c r="M858" s="71">
        <f>IFERROR(IF(VLOOKUP(A858,[6]PRIORIZADOS!$A:$M,13,FALSE)="","",VLOOKUP(A858,[6]PRIORIZADOS!$A:$M,13,FALSE)),"")</f>
        <v>45819</v>
      </c>
      <c r="N858" s="139">
        <f>IFERROR(IF(VLOOKUP(A858,[6]PRIORIZADOS!$A:$N,14,FALSE)="","",VLOOKUP(A858,[6]PRIORIZADOS!$A:$N,14,FALSE)),"")</f>
        <v>45819</v>
      </c>
      <c r="O858" s="139">
        <f>IFERROR(IF(VLOOKUP(A858,[6]PRIORIZADOS!$A:$O,15,FALSE)="","",VLOOKUP(A858,[6]PRIORIZADOS!$A:$O,15,FALSE)),"")</f>
        <v>45819</v>
      </c>
      <c r="P858" s="11" t="str">
        <f>IFERROR(IF(VLOOKUP(A858,[6]PRIORIZADOS!$A:$P,16,FALSE)="","",VLOOKUP(A858,[6]PRIORIZADOS!$A:$P,16,FALSE)),"")</f>
        <v>Visitas de evaluación con fines de seguimiento</v>
      </c>
      <c r="Q858" s="107" t="s">
        <v>154</v>
      </c>
      <c r="R858" s="11" t="str">
        <f>IFERROR(IF(VLOOKUP(A858,[6]PRIORIZADOS!$A:$R,18,FALSE)="","",VLOOKUP(A858,[6]PRIORIZADOS!$A:$R,18,FALSE)),"")</f>
        <v>Se evidencia consulta de antecedentes de manera parcial para la planta docente, no se evidencia para la parte administrativa del Colegio</v>
      </c>
      <c r="S858" s="11" t="str">
        <f>IFERROR(IF(VLOOKUP(A858,[6]PRIORIZADOS!$A:$S,19,FALSE)="","",VLOOKUP(A858,[6]PRIORIZADOS!$A:$S,19,FALSE)),"")</f>
        <v>Se les indica que esta verificación se debe hacer cada cuatro meses a todo el personal de la IE.</v>
      </c>
      <c r="T858" s="70" t="str">
        <f>IFERROR(IF(VLOOKUP(A858,[6]PRIORIZADOS!$A:$T,20,FALSE)="","",VLOOKUP(A858,[6]PRIORIZADOS!$A:$T,20,FALSE)),"")</f>
        <v>Si</v>
      </c>
      <c r="U858" s="11" t="str">
        <f>IFERROR(IF(VLOOKUP(A858,[6]PRIORIZADOS!$A:$U,21,FALSE)="","",VLOOKUP(A858,[6]PRIORIZADOS!$A:$U,21,FALSE)),"")</f>
        <v>La institución presentará plan de mejora con fecha máxima 25 de junio con el fin de ser revisado por el equipo de Inspección y Vigilancia para hacer los ajustes y la trazabilidad correspondiente</v>
      </c>
    </row>
    <row r="859" spans="1:21" s="1" customFormat="1" ht="72">
      <c r="A859" s="69">
        <f>IF([6]PRIORIZADOS!A225="","",[6]PRIORIZADOS!A225)</f>
        <v>799</v>
      </c>
      <c r="B859" s="70">
        <f>IFERROR(IF(VLOOKUP(A859,[6]PRIORIZADOS!$A:$B,2,FALSE)="","",VLOOKUP(A859,[6]PRIORIZADOS!$A:$B,2,FALSE)),"")</f>
        <v>25</v>
      </c>
      <c r="C859" s="11" t="str">
        <f>IFERROR(IF(VLOOKUP(A859,[6]PRIORIZADOS!$A:$C,3,FALSE)="","",VLOOKUP(A859,[6]PRIORIZADOS!$A:$C,3,FALSE)),"")</f>
        <v>ENGATIVÁ</v>
      </c>
      <c r="D859" s="11" t="str">
        <f>IFERROR(IF(VLOOKUP(A859,[6]PRIORIZADOS!$A:$D,4,FALSE)="","",VLOOKUP(A859,[6]PRIORIZADOS!$A:$D,4,FALSE)),"")</f>
        <v>PRIVADO</v>
      </c>
      <c r="E859" s="11" t="str">
        <f>IFERROR(IF(VLOOKUP(A859,[6]PRIORIZADOS!$A:$E,5,FALSE)="","",VLOOKUP(A859,[6]PRIORIZADOS!$A:$E,5,FALSE)),"")</f>
        <v>EPBM</v>
      </c>
      <c r="F859" s="11" t="str">
        <f>IFERROR(IF(VLOOKUP(A859,[6]PRIORIZADOS!$A:$F,6,FALSE)="","",VLOOKUP(A859,[6]PRIORIZADOS!$A:$F,6,FALSE)),"")</f>
        <v>COLEGIO_COOPERATIVO_DE_LOS_ALAMOS</v>
      </c>
      <c r="G859" s="11" t="str">
        <f>IFERROR(IF(VLOOKUP(A859,[6]PRIORIZADOS!$A:$G,7,FALSE)="","",VLOOKUP(A859,[6]PRIORIZADOS!$A:$G,7,FALSE)),"")</f>
        <v>COLEGIO_COOPERATIVO_DE_LOS_ALAMOS</v>
      </c>
      <c r="H859" s="11" t="str">
        <f>IFERROR(IF(VLOOKUP(A859,[6]PRIORIZADOS!$A:$H,8,FALSE)="","",VLOOKUP(A859,[6]PRIORIZADOS!$A:$H,8,FALSE)),"")</f>
        <v>Autoevaluación Institucional y Pruebas SABER 11</v>
      </c>
      <c r="I859" s="11" t="str">
        <f>IFERROR(IF(VLOOKUP(A859,[6]PRIORIZADOS!$A:$I,9,FALSE)="","",VLOOKUP(A859,[6]PRIORIZADOS!$A:$I,9,FALSE)),"")</f>
        <v>SEGUIMIENTO_Y_SUPERVISIÓN.</v>
      </c>
      <c r="J859" s="11" t="str">
        <f>IFERROR(IF(VLOOKUP(A859,[6]PRIORIZADOS!$A:$J,10,FALSE)="","",VLOOKUP(A859,[6]PRIORIZADOS!$A:$J,10,FALSE)),"")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59" s="11" t="str">
        <f>IFERROR(IF(VLOOKUP(A859,[6]PRIORIZADOS!$A:$K,11,FALSE)="","",VLOOKUP(A859,[6]PRIORIZADOS!$A:$K,11,FALSE)),"")</f>
        <v>SANDRA MILENA BUENAVENTURA RUEDA</v>
      </c>
      <c r="L859" s="11" t="str">
        <f>IFERROR(IF(VLOOKUP(A859,[6]PRIORIZADOS!$A:$L,12,FALSE)="","",VLOOKUP(A859,[6]PRIORIZADOS!$A:$L,12,FALSE)),"")</f>
        <v>JENIFER CATHERINE LEÓN ACOSTA</v>
      </c>
      <c r="M859" s="71">
        <f>IFERROR(IF(VLOOKUP(A859,[6]PRIORIZADOS!$A:$M,13,FALSE)="","",VLOOKUP(A859,[6]PRIORIZADOS!$A:$M,13,FALSE)),"")</f>
        <v>45819</v>
      </c>
      <c r="N859" s="139">
        <f>IFERROR(IF(VLOOKUP(A859,[6]PRIORIZADOS!$A:$N,14,FALSE)="","",VLOOKUP(A859,[6]PRIORIZADOS!$A:$N,14,FALSE)),"")</f>
        <v>45819</v>
      </c>
      <c r="O859" s="139">
        <f>IFERROR(IF(VLOOKUP(A859,[6]PRIORIZADOS!$A:$O,15,FALSE)="","",VLOOKUP(A859,[6]PRIORIZADOS!$A:$O,15,FALSE)),"")</f>
        <v>45819</v>
      </c>
      <c r="P859" s="11" t="str">
        <f>IFERROR(IF(VLOOKUP(A859,[6]PRIORIZADOS!$A:$P,16,FALSE)="","",VLOOKUP(A859,[6]PRIORIZADOS!$A:$P,16,FALSE)),"")</f>
        <v>Visitas de evaluación con fines de seguimiento</v>
      </c>
      <c r="Q859" s="107" t="s">
        <v>154</v>
      </c>
      <c r="R859" s="11" t="str">
        <f>IFERROR(IF(VLOOKUP(A859,[6]PRIORIZADOS!$A:$R,18,FALSE)="","",VLOOKUP(A859,[6]PRIORIZADOS!$A:$R,18,FALSE)),"")</f>
        <v>Se evidencia en carpeta fisica de Orientación 12 PIAR y 2 flexibilizaciones. Los planes cuentan con el desarrollo del plan de trabajo, diagnóstico, objetivos y estrategias.</v>
      </c>
      <c r="S859" s="11" t="str">
        <f>IFERROR(IF(VLOOKUP(A859,[6]PRIORIZADOS!$A:$S,19,FALSE)="","",VLOOKUP(A859,[6]PRIORIZADOS!$A:$S,19,FALSE)),"")</f>
        <v>Se les indica que se debe evidenciar la formalización de la entrega de los PIAR a los padres de familia.</v>
      </c>
      <c r="T859" s="70" t="str">
        <f>IFERROR(IF(VLOOKUP(A859,[6]PRIORIZADOS!$A:$T,20,FALSE)="","",VLOOKUP(A859,[6]PRIORIZADOS!$A:$T,20,FALSE)),"")</f>
        <v>No</v>
      </c>
      <c r="U859" s="11" t="str">
        <f>IFERROR(IF(VLOOKUP(A859,[6]PRIORIZADOS!$A:$U,21,FALSE)="","",VLOOKUP(A859,[6]PRIORIZADOS!$A:$U,21,FALSE)),"")</f>
        <v>Se hara el respectivo seguimiento en el último trimestre de 2025</v>
      </c>
    </row>
    <row r="860" spans="1:21" s="1" customFormat="1" ht="84">
      <c r="A860" s="69">
        <f>IF([6]PRIORIZADOS!A226="","",[6]PRIORIZADOS!A226)</f>
        <v>800</v>
      </c>
      <c r="B860" s="70">
        <f>IFERROR(IF(VLOOKUP(A860,[6]PRIORIZADOS!$A:$B,2,FALSE)="","",VLOOKUP(A860,[6]PRIORIZADOS!$A:$B,2,FALSE)),"")</f>
        <v>25</v>
      </c>
      <c r="C860" s="11" t="str">
        <f>IFERROR(IF(VLOOKUP(A860,[6]PRIORIZADOS!$A:$C,3,FALSE)="","",VLOOKUP(A860,[6]PRIORIZADOS!$A:$C,3,FALSE)),"")</f>
        <v>ENGATIVÁ</v>
      </c>
      <c r="D860" s="11" t="str">
        <f>IFERROR(IF(VLOOKUP(A860,[6]PRIORIZADOS!$A:$D,4,FALSE)="","",VLOOKUP(A860,[6]PRIORIZADOS!$A:$D,4,FALSE)),"")</f>
        <v>PRIVADO</v>
      </c>
      <c r="E860" s="11" t="str">
        <f>IFERROR(IF(VLOOKUP(A860,[6]PRIORIZADOS!$A:$E,5,FALSE)="","",VLOOKUP(A860,[6]PRIORIZADOS!$A:$E,5,FALSE)),"")</f>
        <v>EPBM</v>
      </c>
      <c r="F860" s="11" t="str">
        <f>IFERROR(IF(VLOOKUP(A860,[6]PRIORIZADOS!$A:$F,6,FALSE)="","",VLOOKUP(A860,[6]PRIORIZADOS!$A:$F,6,FALSE)),"")</f>
        <v>COLEGIO_COOPERATIVO_DE_LOS_ALAMOS</v>
      </c>
      <c r="G860" s="11" t="str">
        <f>IFERROR(IF(VLOOKUP(A860,[6]PRIORIZADOS!$A:$G,7,FALSE)="","",VLOOKUP(A860,[6]PRIORIZADOS!$A:$G,7,FALSE)),"")</f>
        <v>COLEGIO_COOPERATIVO_DE_LOS_ALAMOS</v>
      </c>
      <c r="H860" s="11" t="str">
        <f>IFERROR(IF(VLOOKUP(A860,[6]PRIORIZADOS!$A:$H,8,FALSE)="","",VLOOKUP(A860,[6]PRIORIZADOS!$A:$H,8,FALSE)),"")</f>
        <v>Autoevaluación Institucional y Pruebas SABER 11</v>
      </c>
      <c r="I860" s="11" t="str">
        <f>IFERROR(IF(VLOOKUP(A860,[6]PRIORIZADOS!$A:$I,9,FALSE)="","",VLOOKUP(A860,[6]PRIORIZADOS!$A:$I,9,FALSE)),"")</f>
        <v>EVALUACIÓN_CON_FINES_DE_MEJORAMIENTO.</v>
      </c>
      <c r="J860" s="11" t="str">
        <f>IFERROR(IF(VLOOKUP(A860,[6]PRIORIZADOS!$A:$J,10,FALSE)="","",VLOOKUP(A860,[6]PRIORIZADOS!$A:$J,10,FALSE)),"")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60" s="11" t="str">
        <f>IFERROR(IF(VLOOKUP(A860,[6]PRIORIZADOS!$A:$K,11,FALSE)="","",VLOOKUP(A860,[6]PRIORIZADOS!$A:$K,11,FALSE)),"")</f>
        <v>SANDRA MILENA BUENAVENTURA RUEDA</v>
      </c>
      <c r="L860" s="11" t="str">
        <f>IFERROR(IF(VLOOKUP(A860,[6]PRIORIZADOS!$A:$L,12,FALSE)="","",VLOOKUP(A860,[6]PRIORIZADOS!$A:$L,12,FALSE)),"")</f>
        <v>JENIFER CATHERINE LEÓN ACOSTA</v>
      </c>
      <c r="M860" s="71">
        <f>IFERROR(IF(VLOOKUP(A860,[6]PRIORIZADOS!$A:$M,13,FALSE)="","",VLOOKUP(A860,[6]PRIORIZADOS!$A:$M,13,FALSE)),"")</f>
        <v>45819</v>
      </c>
      <c r="N860" s="139">
        <f>IFERROR(IF(VLOOKUP(A860,[6]PRIORIZADOS!$A:$N,14,FALSE)="","",VLOOKUP(A860,[6]PRIORIZADOS!$A:$N,14,FALSE)),"")</f>
        <v>45819</v>
      </c>
      <c r="O860" s="139">
        <f>IFERROR(IF(VLOOKUP(A860,[6]PRIORIZADOS!$A:$O,15,FALSE)="","",VLOOKUP(A860,[6]PRIORIZADOS!$A:$O,15,FALSE)),"")</f>
        <v>45819</v>
      </c>
      <c r="P860" s="11" t="str">
        <f>IFERROR(IF(VLOOKUP(A860,[6]PRIORIZADOS!$A:$P,16,FALSE)="","",VLOOKUP(A860,[6]PRIORIZADOS!$A:$P,16,FALSE)),"")</f>
        <v>Visitas de evaluación con fines de mejoramiento</v>
      </c>
      <c r="Q860" s="107" t="s">
        <v>154</v>
      </c>
      <c r="R860" s="11" t="str">
        <f>IFERROR(IF(VLOOKUP(A860,[6]PRIORIZADOS!$A:$R,18,FALSE)="","",VLOOKUP(A860,[6]PRIORIZADOS!$A:$R,18,FALSE)),"")</f>
        <v>El Manual de Convivencia se actualizó en el mes de diciembre, se reunen los estamentos y se hace la revisión y aporte respectiva, el Manual de Convivencia de la IE el cual consta de 59 páginas. Se evidencia en PEI, agenda escolar y pagina Web.</v>
      </c>
      <c r="S860" s="11" t="str">
        <f>IFERROR(IF(VLOOKUP(A860,[6]PRIORIZADOS!$A:$S,19,FALSE)="","",VLOOKUP(A860,[6]PRIORIZADOS!$A:$S,19,FALSE)),"")</f>
        <v>Actualizar el manual incorporando los enfoque diferenciales  y la diferencia entre las situaciones convivenciales y las faltas disciplinarias.
La institución presentará plan de mejora con fecha máxima 25 de junio</v>
      </c>
      <c r="T860" s="70" t="str">
        <f>IFERROR(IF(VLOOKUP(A860,[6]PRIORIZADOS!$A:$T,20,FALSE)="","",VLOOKUP(A860,[6]PRIORIZADOS!$A:$T,20,FALSE)),"")</f>
        <v>Si</v>
      </c>
      <c r="U860" s="11" t="str">
        <f>IFERROR(IF(VLOOKUP(A860,[6]PRIORIZADOS!$A:$U,21,FALSE)="","",VLOOKUP(A860,[6]PRIORIZADOS!$A:$U,21,FALSE)),"")</f>
        <v xml:space="preserve"> Revisar el manual de convivencia y retroalimentar a la IE</v>
      </c>
    </row>
    <row r="861" spans="1:21" s="1" customFormat="1" ht="48">
      <c r="A861" s="69">
        <f>IF([6]PRIORIZADOS!A227="","",[6]PRIORIZADOS!A227)</f>
        <v>801</v>
      </c>
      <c r="B861" s="70">
        <f>IFERROR(IF(VLOOKUP(A861,[6]PRIORIZADOS!$A:$B,2,FALSE)="","",VLOOKUP(A861,[6]PRIORIZADOS!$A:$B,2,FALSE)),"")</f>
        <v>25</v>
      </c>
      <c r="C861" s="11" t="str">
        <f>IFERROR(IF(VLOOKUP(A861,[6]PRIORIZADOS!$A:$C,3,FALSE)="","",VLOOKUP(A861,[6]PRIORIZADOS!$A:$C,3,FALSE)),"")</f>
        <v>ENGATIVÁ</v>
      </c>
      <c r="D861" s="11" t="str">
        <f>IFERROR(IF(VLOOKUP(A861,[6]PRIORIZADOS!$A:$D,4,FALSE)="","",VLOOKUP(A861,[6]PRIORIZADOS!$A:$D,4,FALSE)),"")</f>
        <v>PRIVADO</v>
      </c>
      <c r="E861" s="11" t="str">
        <f>IFERROR(IF(VLOOKUP(A861,[6]PRIORIZADOS!$A:$E,5,FALSE)="","",VLOOKUP(A861,[6]PRIORIZADOS!$A:$E,5,FALSE)),"")</f>
        <v>EPBM</v>
      </c>
      <c r="F861" s="11" t="str">
        <f>IFERROR(IF(VLOOKUP(A861,[6]PRIORIZADOS!$A:$F,6,FALSE)="","",VLOOKUP(A861,[6]PRIORIZADOS!$A:$F,6,FALSE)),"")</f>
        <v>COLEGIO_COOPERATIVO_DE_LOS_ALAMOS</v>
      </c>
      <c r="G861" s="11" t="str">
        <f>IFERROR(IF(VLOOKUP(A861,[6]PRIORIZADOS!$A:$G,7,FALSE)="","",VLOOKUP(A861,[6]PRIORIZADOS!$A:$G,7,FALSE)),"")</f>
        <v>COLEGIO_COOPERATIVO_DE_LOS_ALAMOS</v>
      </c>
      <c r="H861" s="11" t="str">
        <f>IFERROR(IF(VLOOKUP(A861,[6]PRIORIZADOS!$A:$H,8,FALSE)="","",VLOOKUP(A861,[6]PRIORIZADOS!$A:$H,8,FALSE)),"")</f>
        <v>Autoevaluación Institucional y Pruebas SABER 11</v>
      </c>
      <c r="I861" s="11" t="str">
        <f>IFERROR(IF(VLOOKUP(A861,[6]PRIORIZADOS!$A:$I,9,FALSE)="","",VLOOKUP(A861,[6]PRIORIZADOS!$A:$I,9,FALSE)),"")</f>
        <v>EVALUACIÓN_CON_FINES_DE_MEJORAMIENTO.</v>
      </c>
      <c r="J861" s="11" t="str">
        <f>IFERROR(IF(VLOOKUP(A861,[6]PRIORIZADOS!$A:$J,10,FALSE)="","",VLOOKUP(A861,[6]PRIORIZADOS!$A:$J,10,FALSE)),"")</f>
        <v>Revisar la actualización, socialización e implementación del Sistema Institucional de Evaluación de Estudiantes - SIEE, en articulación con la actualización del PEI y la normatividad vigente.</v>
      </c>
      <c r="K861" s="11" t="str">
        <f>IFERROR(IF(VLOOKUP(A861,[6]PRIORIZADOS!$A:$K,11,FALSE)="","",VLOOKUP(A861,[6]PRIORIZADOS!$A:$K,11,FALSE)),"")</f>
        <v>SANDRA MILENA BUENAVENTURA RUEDA</v>
      </c>
      <c r="L861" s="11" t="str">
        <f>IFERROR(IF(VLOOKUP(A861,[6]PRIORIZADOS!$A:$L,12,FALSE)="","",VLOOKUP(A861,[6]PRIORIZADOS!$A:$L,12,FALSE)),"")</f>
        <v>JENIFER CATHERINE LEÓN ACOSTA</v>
      </c>
      <c r="M861" s="71">
        <f>IFERROR(IF(VLOOKUP(A861,[6]PRIORIZADOS!$A:$M,13,FALSE)="","",VLOOKUP(A861,[6]PRIORIZADOS!$A:$M,13,FALSE)),"")</f>
        <v>45819</v>
      </c>
      <c r="N861" s="139">
        <f>IFERROR(IF(VLOOKUP(A861,[6]PRIORIZADOS!$A:$N,14,FALSE)="","",VLOOKUP(A861,[6]PRIORIZADOS!$A:$N,14,FALSE)),"")</f>
        <v>45819</v>
      </c>
      <c r="O861" s="139">
        <f>IFERROR(IF(VLOOKUP(A861,[6]PRIORIZADOS!$A:$O,15,FALSE)="","",VLOOKUP(A861,[6]PRIORIZADOS!$A:$O,15,FALSE)),"")</f>
        <v>45819</v>
      </c>
      <c r="P861" s="11" t="str">
        <f>IFERROR(IF(VLOOKUP(A861,[6]PRIORIZADOS!$A:$P,16,FALSE)="","",VLOOKUP(A861,[6]PRIORIZADOS!$A:$P,16,FALSE)),"")</f>
        <v>Visitas de evaluación con fines de mejoramiento</v>
      </c>
      <c r="Q861" s="107" t="s">
        <v>154</v>
      </c>
      <c r="R861" s="11" t="str">
        <f>IFERROR(IF(VLOOKUP(A861,[6]PRIORIZADOS!$A:$R,18,FALSE)="","",VLOOKUP(A861,[6]PRIORIZADOS!$A:$R,18,FALSE)),"")</f>
        <v xml:space="preserve">Se maneja mediante la plataforma SISTEMA DE SABERES y se maneja en linea, cuenta con usuarios administrativo, docentes acudientes y estudiantes </v>
      </c>
      <c r="S861" s="11" t="str">
        <f>IFERROR(IF(VLOOKUP(A861,[6]PRIORIZADOS!$A:$S,19,FALSE)="","",VLOOKUP(A861,[6]PRIORIZADOS!$A:$S,19,FALSE)),"")</f>
        <v>Se debe especificar estas estrategias de manera detallada en el SIEE</v>
      </c>
      <c r="T861" s="70" t="str">
        <f>IFERROR(IF(VLOOKUP(A861,[6]PRIORIZADOS!$A:$T,20,FALSE)="","",VLOOKUP(A861,[6]PRIORIZADOS!$A:$T,20,FALSE)),"")</f>
        <v>Si</v>
      </c>
      <c r="U861" s="11" t="str">
        <f>IFERROR(IF(VLOOKUP(A861,[6]PRIORIZADOS!$A:$U,21,FALSE)="","",VLOOKUP(A861,[6]PRIORIZADOS!$A:$U,21,FALSE)),"")</f>
        <v>La institución presentará plan de mejora con fecha máxima 25 de junio con el fin de ser revisado por el equipo de Inspección y Vigilancia para hacer los ajustes y la trazabilidad correspondiente</v>
      </c>
    </row>
    <row r="862" spans="1:21" s="1" customFormat="1" ht="48">
      <c r="A862" s="69">
        <f>IF([6]PRIORIZADOS!A228="","",[6]PRIORIZADOS!A228)</f>
        <v>802</v>
      </c>
      <c r="B862" s="70">
        <f>IFERROR(IF(VLOOKUP(A862,[6]PRIORIZADOS!$A:$B,2,FALSE)="","",VLOOKUP(A862,[6]PRIORIZADOS!$A:$B,2,FALSE)),"")</f>
        <v>25</v>
      </c>
      <c r="C862" s="11" t="str">
        <f>IFERROR(IF(VLOOKUP(A862,[6]PRIORIZADOS!$A:$C,3,FALSE)="","",VLOOKUP(A862,[6]PRIORIZADOS!$A:$C,3,FALSE)),"")</f>
        <v>ENGATIVÁ</v>
      </c>
      <c r="D862" s="11" t="str">
        <f>IFERROR(IF(VLOOKUP(A862,[6]PRIORIZADOS!$A:$D,4,FALSE)="","",VLOOKUP(A862,[6]PRIORIZADOS!$A:$D,4,FALSE)),"")</f>
        <v>PRIVADO</v>
      </c>
      <c r="E862" s="11" t="str">
        <f>IFERROR(IF(VLOOKUP(A862,[6]PRIORIZADOS!$A:$E,5,FALSE)="","",VLOOKUP(A862,[6]PRIORIZADOS!$A:$E,5,FALSE)),"")</f>
        <v>EPBM</v>
      </c>
      <c r="F862" s="11" t="str">
        <f>IFERROR(IF(VLOOKUP(A862,[6]PRIORIZADOS!$A:$F,6,FALSE)="","",VLOOKUP(A862,[6]PRIORIZADOS!$A:$F,6,FALSE)),"")</f>
        <v>COLEGIO_COOPERATIVO_DE_LOS_ALAMOS</v>
      </c>
      <c r="G862" s="11" t="str">
        <f>IFERROR(IF(VLOOKUP(A862,[6]PRIORIZADOS!$A:$G,7,FALSE)="","",VLOOKUP(A862,[6]PRIORIZADOS!$A:$G,7,FALSE)),"")</f>
        <v>COLEGIO_COOPERATIVO_DE_LOS_ALAMOS</v>
      </c>
      <c r="H862" s="11" t="str">
        <f>IFERROR(IF(VLOOKUP(A862,[6]PRIORIZADOS!$A:$H,8,FALSE)="","",VLOOKUP(A862,[6]PRIORIZADOS!$A:$H,8,FALSE)),"")</f>
        <v>Autoevaluación Institucional y Pruebas SABER 11</v>
      </c>
      <c r="I862" s="11" t="str">
        <f>IFERROR(IF(VLOOKUP(A862,[6]PRIORIZADOS!$A:$I,9,FALSE)="","",VLOOKUP(A862,[6]PRIORIZADOS!$A:$I,9,FALSE)),"")</f>
        <v>EVALUACIÓN_CON_FINES_DE_MEJORAMIENTO.</v>
      </c>
      <c r="J862" s="11" t="str">
        <f>IFERROR(IF(VLOOKUP(A862,[6]PRIORIZADOS!$A:$J,10,FALSE)="","",VLOOKUP(A862,[6]PRIORIZADOS!$A:$J,10,FALSE)),"")</f>
        <v>Revisar el calendario escolar, jornada escolar, la intensidad horaria mínima anual en cada nivel y las modificaciones que se realicen al mismo, de acuerdo con lo previsto en la normatividad vigente.</v>
      </c>
      <c r="K862" s="11" t="str">
        <f>IFERROR(IF(VLOOKUP(A862,[6]PRIORIZADOS!$A:$K,11,FALSE)="","",VLOOKUP(A862,[6]PRIORIZADOS!$A:$K,11,FALSE)),"")</f>
        <v>SANDRA MILENA BUENAVENTURA RUEDA</v>
      </c>
      <c r="L862" s="11" t="str">
        <f>IFERROR(IF(VLOOKUP(A862,[6]PRIORIZADOS!$A:$L,12,FALSE)="","",VLOOKUP(A862,[6]PRIORIZADOS!$A:$L,12,FALSE)),"")</f>
        <v>JENIFER CATHERINE LEÓN ACOSTA</v>
      </c>
      <c r="M862" s="71">
        <f>IFERROR(IF(VLOOKUP(A862,[6]PRIORIZADOS!$A:$M,13,FALSE)="","",VLOOKUP(A862,[6]PRIORIZADOS!$A:$M,13,FALSE)),"")</f>
        <v>45819</v>
      </c>
      <c r="N862" s="139">
        <f>IFERROR(IF(VLOOKUP(A862,[6]PRIORIZADOS!$A:$N,14,FALSE)="","",VLOOKUP(A862,[6]PRIORIZADOS!$A:$N,14,FALSE)),"")</f>
        <v>45819</v>
      </c>
      <c r="O862" s="139">
        <f>IFERROR(IF(VLOOKUP(A862,[6]PRIORIZADOS!$A:$O,15,FALSE)="","",VLOOKUP(A862,[6]PRIORIZADOS!$A:$O,15,FALSE)),"")</f>
        <v>45819</v>
      </c>
      <c r="P862" s="11" t="str">
        <f>IFERROR(IF(VLOOKUP(A862,[6]PRIORIZADOS!$A:$P,16,FALSE)="","",VLOOKUP(A862,[6]PRIORIZADOS!$A:$P,16,FALSE)),"")</f>
        <v>Visitas de evaluación con fines de mejoramiento</v>
      </c>
      <c r="Q862" s="107" t="s">
        <v>154</v>
      </c>
      <c r="R862" s="11" t="str">
        <f>IFERROR(IF(VLOOKUP(A862,[6]PRIORIZADOS!$A:$R,18,FALSE)="","",VLOOKUP(A862,[6]PRIORIZADOS!$A:$R,18,FALSE)),"")</f>
        <v>Se evidencia en el calendario academico 2025 por niveles para preescolar 1102 horas primaria 1102 horas secundaria 1254 horas.</v>
      </c>
      <c r="S862" s="11" t="str">
        <f>IFERROR(IF(VLOOKUP(A862,[6]PRIORIZADOS!$A:$S,19,FALSE)="","",VLOOKUP(A862,[6]PRIORIZADOS!$A:$S,19,FALSE)),"")</f>
        <v>Cumple con la normatividad vigente</v>
      </c>
      <c r="T862" s="70" t="str">
        <f>IFERROR(IF(VLOOKUP(A862,[6]PRIORIZADOS!$A:$T,20,FALSE)="","",VLOOKUP(A862,[6]PRIORIZADOS!$A:$T,20,FALSE)),"")</f>
        <v>No</v>
      </c>
      <c r="U862" s="11" t="str">
        <f>IFERROR(IF(VLOOKUP(A862,[6]PRIORIZADOS!$A:$U,21,FALSE)="","",VLOOKUP(A862,[6]PRIORIZADOS!$A:$U,21,FALSE)),"")</f>
        <v>Se hara el respectivo seguimiento en el último trimestre de 2025</v>
      </c>
    </row>
    <row r="863" spans="1:21" s="1" customFormat="1" ht="72">
      <c r="A863" s="69">
        <f>IF([6]PRIORIZADOS!A229="","",[6]PRIORIZADOS!A229)</f>
        <v>803</v>
      </c>
      <c r="B863" s="70">
        <f>IFERROR(IF(VLOOKUP(A863,[6]PRIORIZADOS!$A:$B,2,FALSE)="","",VLOOKUP(A863,[6]PRIORIZADOS!$A:$B,2,FALSE)),"")</f>
        <v>25</v>
      </c>
      <c r="C863" s="11" t="str">
        <f>IFERROR(IF(VLOOKUP(A863,[6]PRIORIZADOS!$A:$C,3,FALSE)="","",VLOOKUP(A863,[6]PRIORIZADOS!$A:$C,3,FALSE)),"")</f>
        <v>ENGATIVÁ</v>
      </c>
      <c r="D863" s="11" t="str">
        <f>IFERROR(IF(VLOOKUP(A863,[6]PRIORIZADOS!$A:$D,4,FALSE)="","",VLOOKUP(A863,[6]PRIORIZADOS!$A:$D,4,FALSE)),"")</f>
        <v>PRIVADO</v>
      </c>
      <c r="E863" s="11" t="str">
        <f>IFERROR(IF(VLOOKUP(A863,[6]PRIORIZADOS!$A:$E,5,FALSE)="","",VLOOKUP(A863,[6]PRIORIZADOS!$A:$E,5,FALSE)),"")</f>
        <v>EPBM</v>
      </c>
      <c r="F863" s="11" t="str">
        <f>IFERROR(IF(VLOOKUP(A863,[6]PRIORIZADOS!$A:$F,6,FALSE)="","",VLOOKUP(A863,[6]PRIORIZADOS!$A:$F,6,FALSE)),"")</f>
        <v>COLEGIO_COOPERATIVO_DE_LOS_ALAMOS</v>
      </c>
      <c r="G863" s="11" t="str">
        <f>IFERROR(IF(VLOOKUP(A863,[6]PRIORIZADOS!$A:$G,7,FALSE)="","",VLOOKUP(A863,[6]PRIORIZADOS!$A:$G,7,FALSE)),"")</f>
        <v>COLEGIO_COOPERATIVO_DE_LOS_ALAMOS</v>
      </c>
      <c r="H863" s="11" t="str">
        <f>IFERROR(IF(VLOOKUP(A863,[6]PRIORIZADOS!$A:$H,8,FALSE)="","",VLOOKUP(A863,[6]PRIORIZADOS!$A:$H,8,FALSE)),"")</f>
        <v>Autoevaluación Institucional y Pruebas SABER 11</v>
      </c>
      <c r="I863" s="11" t="str">
        <f>IFERROR(IF(VLOOKUP(A863,[6]PRIORIZADOS!$A:$I,9,FALSE)="","",VLOOKUP(A863,[6]PRIORIZADOS!$A:$I,9,FALSE)),"")</f>
        <v>EVALUACIÓN_CON_FINES_DE_MEJORAMIENTO.</v>
      </c>
      <c r="J863" s="11" t="str">
        <f>IFERROR(IF(VLOOKUP(A863,[6]PRIORIZADOS!$A:$J,10,FALSE)="","",VLOOKUP(A863,[6]PRIORIZADOS!$A:$J,10,FALSE)),"")</f>
        <v>Verificar el funcionamiento del Gobierno Escolar e instancias de participación con base en la información sobre conformación reportada por la institución educativa.</v>
      </c>
      <c r="K863" s="11" t="str">
        <f>IFERROR(IF(VLOOKUP(A863,[6]PRIORIZADOS!$A:$K,11,FALSE)="","",VLOOKUP(A863,[6]PRIORIZADOS!$A:$K,11,FALSE)),"")</f>
        <v>SANDRA MILENA BUENAVENTURA RUEDA</v>
      </c>
      <c r="L863" s="11" t="str">
        <f>IFERROR(IF(VLOOKUP(A863,[6]PRIORIZADOS!$A:$L,12,FALSE)="","",VLOOKUP(A863,[6]PRIORIZADOS!$A:$L,12,FALSE)),"")</f>
        <v>JENIFER CATHERINE LEÓN ACOSTA</v>
      </c>
      <c r="M863" s="71">
        <f>IFERROR(IF(VLOOKUP(A863,[6]PRIORIZADOS!$A:$M,13,FALSE)="","",VLOOKUP(A863,[6]PRIORIZADOS!$A:$M,13,FALSE)),"")</f>
        <v>45819</v>
      </c>
      <c r="N863" s="139">
        <f>IFERROR(IF(VLOOKUP(A863,[6]PRIORIZADOS!$A:$N,14,FALSE)="","",VLOOKUP(A863,[6]PRIORIZADOS!$A:$N,14,FALSE)),"")</f>
        <v>45819</v>
      </c>
      <c r="O863" s="139">
        <f>IFERROR(IF(VLOOKUP(A863,[6]PRIORIZADOS!$A:$O,15,FALSE)="","",VLOOKUP(A863,[6]PRIORIZADOS!$A:$O,15,FALSE)),"")</f>
        <v>45819</v>
      </c>
      <c r="P863" s="11" t="str">
        <f>IFERROR(IF(VLOOKUP(A863,[6]PRIORIZADOS!$A:$P,16,FALSE)="","",VLOOKUP(A863,[6]PRIORIZADOS!$A:$P,16,FALSE)),"")</f>
        <v>Visitas de evaluación con fines de mejoramiento</v>
      </c>
      <c r="Q863" s="107" t="s">
        <v>154</v>
      </c>
      <c r="R863" s="11" t="str">
        <f>IFERROR(IF(VLOOKUP(A863,[6]PRIORIZADOS!$A:$R,18,FALSE)="","",VLOOKUP(A863,[6]PRIORIZADOS!$A:$R,18,FALSE)),"")</f>
        <v>Se evidencia las carpetas por cada instancia con las actas correspondientes, del mismo modo en la plataforma SAE y el ejercicio de elección y conformación de forma participativa de acuerdo con lo establecido en el PEI.</v>
      </c>
      <c r="S863" s="11" t="str">
        <f>IFERROR(IF(VLOOKUP(A863,[6]PRIORIZADOS!$A:$S,19,FALSE)="","",VLOOKUP(A863,[6]PRIORIZADOS!$A:$S,19,FALSE)),"")</f>
        <v>Se evidencias las funciones y reglamento interno en todas las instancias</v>
      </c>
      <c r="T863" s="70" t="str">
        <f>IFERROR(IF(VLOOKUP(A863,[6]PRIORIZADOS!$A:$T,20,FALSE)="","",VLOOKUP(A863,[6]PRIORIZADOS!$A:$T,20,FALSE)),"")</f>
        <v>No</v>
      </c>
      <c r="U863" s="11" t="str">
        <f>IFERROR(IF(VLOOKUP(A863,[6]PRIORIZADOS!$A:$U,21,FALSE)="","",VLOOKUP(A863,[6]PRIORIZADOS!$A:$U,21,FALSE)),"")</f>
        <v>Se hara el respectivo seguimiento en el último trimestre de 2025</v>
      </c>
    </row>
    <row r="864" spans="1:21" s="1" customFormat="1" ht="118.5">
      <c r="A864" s="69">
        <f>IF([6]PRIORIZADOS!A230="","",[6]PRIORIZADOS!A230)</f>
        <v>804</v>
      </c>
      <c r="B864" s="70">
        <f>IFERROR(IF(VLOOKUP(A864,[6]PRIORIZADOS!$A:$B,2,FALSE)="","",VLOOKUP(A864,[6]PRIORIZADOS!$A:$B,2,FALSE)),"")</f>
        <v>25</v>
      </c>
      <c r="C864" s="11" t="str">
        <f>IFERROR(IF(VLOOKUP(A864,[6]PRIORIZADOS!$A:$C,3,FALSE)="","",VLOOKUP(A864,[6]PRIORIZADOS!$A:$C,3,FALSE)),"")</f>
        <v>ENGATIVÁ</v>
      </c>
      <c r="D864" s="11" t="str">
        <f>IFERROR(IF(VLOOKUP(A864,[6]PRIORIZADOS!$A:$D,4,FALSE)="","",VLOOKUP(A864,[6]PRIORIZADOS!$A:$D,4,FALSE)),"")</f>
        <v>PRIVADO</v>
      </c>
      <c r="E864" s="11" t="str">
        <f>IFERROR(IF(VLOOKUP(A864,[6]PRIORIZADOS!$A:$E,5,FALSE)="","",VLOOKUP(A864,[6]PRIORIZADOS!$A:$E,5,FALSE)),"")</f>
        <v>EPBM</v>
      </c>
      <c r="F864" s="11" t="str">
        <f>IFERROR(IF(VLOOKUP(A864,[6]PRIORIZADOS!$A:$F,6,FALSE)="","",VLOOKUP(A864,[6]PRIORIZADOS!$A:$F,6,FALSE)),"")</f>
        <v>COLEGIO_COOPERATIVO_DE_LOS_ALAMOS</v>
      </c>
      <c r="G864" s="11" t="str">
        <f>IFERROR(IF(VLOOKUP(A864,[6]PRIORIZADOS!$A:$G,7,FALSE)="","",VLOOKUP(A864,[6]PRIORIZADOS!$A:$G,7,FALSE)),"")</f>
        <v>COLEGIO_COOPERATIVO_DE_LOS_ALAMOS</v>
      </c>
      <c r="H864" s="11" t="str">
        <f>IFERROR(IF(VLOOKUP(A864,[6]PRIORIZADOS!$A:$H,8,FALSE)="","",VLOOKUP(A864,[6]PRIORIZADOS!$A:$H,8,FALSE)),"")</f>
        <v>Autoevaluación Institucional y Pruebas SABER 11</v>
      </c>
      <c r="I864" s="11" t="str">
        <f>IFERROR(IF(VLOOKUP(A864,[6]PRIORIZADOS!$A:$I,9,FALSE)="","",VLOOKUP(A864,[6]PRIORIZADOS!$A:$I,9,FALSE)),"")</f>
        <v>EVALUACIÓN_CON_FINES_DE_MEJORAMIENTO.</v>
      </c>
      <c r="J864" s="11" t="str">
        <f>IFERROR(IF(VLOOKUP(A864,[6]PRIORIZADOS!$A:$J,10,FALSE)="","",VLOOKUP(A864,[6]PRIORIZADOS!$A:$J,10,FALSE)),"")</f>
        <v>Verificar las condiciones en cuanto a: la estructura administrativa, condiciones de la planta física y medios educativos adecuados.</v>
      </c>
      <c r="K864" s="11" t="str">
        <f>IFERROR(IF(VLOOKUP(A864,[6]PRIORIZADOS!$A:$K,11,FALSE)="","",VLOOKUP(A864,[6]PRIORIZADOS!$A:$K,11,FALSE)),"")</f>
        <v>SANDRA MILENA BUENAVENTURA RUEDA</v>
      </c>
      <c r="L864" s="11" t="str">
        <f>IFERROR(IF(VLOOKUP(A864,[6]PRIORIZADOS!$A:$L,12,FALSE)="","",VLOOKUP(A864,[6]PRIORIZADOS!$A:$L,12,FALSE)),"")</f>
        <v>JENIFER CATHERINE LEÓN ACOSTA</v>
      </c>
      <c r="M864" s="71">
        <f>IFERROR(IF(VLOOKUP(A864,[6]PRIORIZADOS!$A:$M,13,FALSE)="","",VLOOKUP(A864,[6]PRIORIZADOS!$A:$M,13,FALSE)),"")</f>
        <v>45819</v>
      </c>
      <c r="N864" s="139">
        <f>IFERROR(IF(VLOOKUP(A864,[6]PRIORIZADOS!$A:$N,14,FALSE)="","",VLOOKUP(A864,[6]PRIORIZADOS!$A:$N,14,FALSE)),"")</f>
        <v>45819</v>
      </c>
      <c r="O864" s="139">
        <f>IFERROR(IF(VLOOKUP(A864,[6]PRIORIZADOS!$A:$O,15,FALSE)="","",VLOOKUP(A864,[6]PRIORIZADOS!$A:$O,15,FALSE)),"")</f>
        <v>45819</v>
      </c>
      <c r="P864" s="11" t="str">
        <f>IFERROR(IF(VLOOKUP(A864,[6]PRIORIZADOS!$A:$P,16,FALSE)="","",VLOOKUP(A864,[6]PRIORIZADOS!$A:$P,16,FALSE)),"")</f>
        <v>Visitas de evaluación con fines de mejoramiento</v>
      </c>
      <c r="Q864" s="107" t="s">
        <v>154</v>
      </c>
      <c r="R864" s="11" t="str">
        <f>IFERROR(IF(VLOOKUP(A864,[6]PRIORIZADOS!$A:$R,18,FALSE)="","",VLOOKUP(A864,[6]PRIORIZADOS!$A:$R,18,FALSE)),"")</f>
        <v>La IE cuenta con 20 salones, 2 aulas de sistemas con 62 computadores con acceso a internet, 1 salón auxiliar de preescolar, salón de danzas, salón de música, 1 laboratorio, deposito para implementos deperotivos, zona de cafeteria, enfermeria con baño, 1 laboratorio y 33 sanitarios y 28 lavamanos para estudiantes ( separados por secciones primera infancia, primaria y bachillerato)</v>
      </c>
      <c r="S864" s="11" t="str">
        <f>IFERROR(IF(VLOOKUP(A864,[6]PRIORIZADOS!$A:$S,19,FALSE)="","",VLOOKUP(A864,[6]PRIORIZADOS!$A:$S,19,FALSE)),"")</f>
        <v xml:space="preserve">
Se debe realizar un análisis de la capacidad instalada en salones de clase de la parte antigua del colegio</v>
      </c>
      <c r="T864" s="70" t="str">
        <f>IFERROR(IF(VLOOKUP(A864,[6]PRIORIZADOS!$A:$T,20,FALSE)="","",VLOOKUP(A864,[6]PRIORIZADOS!$A:$T,20,FALSE)),"")</f>
        <v>Si</v>
      </c>
      <c r="U864" s="11" t="str">
        <f>IFERROR(IF(VLOOKUP(A864,[6]PRIORIZADOS!$A:$U,21,FALSE)="","",VLOOKUP(A864,[6]PRIORIZADOS!$A:$U,21,FALSE)),"")</f>
        <v>La institución presentará plan de mejora con fecha máxima 25 de junio con el fin de ser revisado por el equipo de Inspección y Vigilancia para hacer los ajustes y la trazabilidad correspondiente</v>
      </c>
    </row>
    <row r="865" spans="1:21" s="1" customFormat="1" ht="72">
      <c r="A865" s="69">
        <f>IF([6]PRIORIZADOS!A231="","",[6]PRIORIZADOS!A231)</f>
        <v>806</v>
      </c>
      <c r="B865" s="70">
        <f>IFERROR(IF(VLOOKUP(A865,[6]PRIORIZADOS!$A:$B,2,FALSE)="","",VLOOKUP(A865,[6]PRIORIZADOS!$A:$B,2,FALSE)),"")</f>
        <v>26</v>
      </c>
      <c r="C865" s="11" t="str">
        <f>IFERROR(IF(VLOOKUP(A865,[6]PRIORIZADOS!$A:$C,3,FALSE)="","",VLOOKUP(A865,[6]PRIORIZADOS!$A:$C,3,FALSE)),"")</f>
        <v>ENGATIVÁ</v>
      </c>
      <c r="D865" s="11" t="str">
        <f>IFERROR(IF(VLOOKUP(A865,[6]PRIORIZADOS!$A:$D,4,FALSE)="","",VLOOKUP(A865,[6]PRIORIZADOS!$A:$D,4,FALSE)),"")</f>
        <v>PRIVADO</v>
      </c>
      <c r="E865" s="11" t="str">
        <f>IFERROR(IF(VLOOKUP(A865,[6]PRIORIZADOS!$A:$E,5,FALSE)="","",VLOOKUP(A865,[6]PRIORIZADOS!$A:$E,5,FALSE)),"")</f>
        <v>EPBM</v>
      </c>
      <c r="F865" s="11" t="str">
        <f>IFERROR(IF(VLOOKUP(A865,[6]PRIORIZADOS!$A:$F,6,FALSE)="","",VLOOKUP(A865,[6]PRIORIZADOS!$A:$F,6,FALSE)),"")</f>
        <v>COLEGIO_REAL_DE_COLOMBIA</v>
      </c>
      <c r="G865" s="11" t="str">
        <f>IFERROR(IF(VLOOKUP(A865,[6]PRIORIZADOS!$A:$G,7,FALSE)="","",VLOOKUP(A865,[6]PRIORIZADOS!$A:$G,7,FALSE)),"")</f>
        <v>COLEGIO_REAL_DE_COLOMBIA</v>
      </c>
      <c r="H865" s="11" t="str">
        <f>IFERROR(IF(VLOOKUP(A865,[6]PRIORIZADOS!$A:$H,8,FALSE)="","",VLOOKUP(A865,[6]PRIORIZADOS!$A:$H,8,FALSE)),"")</f>
        <v>Autoevaluación Institucional y Pruebas SABER 11</v>
      </c>
      <c r="I865" s="11" t="str">
        <f>IFERROR(IF(VLOOKUP(A865,[6]PRIORIZADOS!$A:$I,9,FALSE)="","",VLOOKUP(A865,[6]PRIORIZADOS!$A:$I,9,FALSE)),"")</f>
        <v>SEGUIMIENTO_Y_SUPERVISIÓN.</v>
      </c>
      <c r="J865" s="11" t="str">
        <f>IFERROR(IF(VLOOKUP(A865,[6]PRIORIZADOS!$A:$J,10,FALSE)="","",VLOOKUP(A865,[6]PRIORIZADOS!$A:$J,10,FALSE)),"")</f>
        <v>Proponer estrategias en la formulación, verificar su elaboración y realizar seguimiento semestral al desarrollo de  las acciones establecidas en los planes de mejoramiento por pruebas SABER 11 de los establecimientos de educación formal.</v>
      </c>
      <c r="K865" s="11" t="str">
        <f>IFERROR(IF(VLOOKUP(A865,[6]PRIORIZADOS!$A:$K,11,FALSE)="","",VLOOKUP(A865,[6]PRIORIZADOS!$A:$K,11,FALSE)),"")</f>
        <v>JENIFER CATHERINE LEÓN ACOSTA</v>
      </c>
      <c r="L865" s="11" t="str">
        <f>IFERROR(IF(VLOOKUP(A865,[6]PRIORIZADOS!$A:$L,12,FALSE)="","",VLOOKUP(A865,[6]PRIORIZADOS!$A:$L,12,FALSE)),"")</f>
        <v>ANA MARÍA CASAS SANABRIA</v>
      </c>
      <c r="M865" s="71">
        <f>IFERROR(IF(VLOOKUP(A865,[6]PRIORIZADOS!$A:$M,13,FALSE)="","",VLOOKUP(A865,[6]PRIORIZADOS!$A:$M,13,FALSE)),"")</f>
        <v>45818</v>
      </c>
      <c r="N865" s="139">
        <f>IFERROR(IF(VLOOKUP(A865,[6]PRIORIZADOS!$A:$N,14,FALSE)="","",VLOOKUP(A865,[6]PRIORIZADOS!$A:$N,14,FALSE)),"")</f>
        <v>45818</v>
      </c>
      <c r="O865" s="139">
        <f>IFERROR(IF(VLOOKUP(A865,[6]PRIORIZADOS!$A:$O,15,FALSE)="","",VLOOKUP(A865,[6]PRIORIZADOS!$A:$O,15,FALSE)),"")</f>
        <v>45818</v>
      </c>
      <c r="P865" s="16" t="str">
        <f>IFERROR(IF(VLOOKUP(A865,[6]PRIORIZADOS!$A:$P,16,FALSE)="","",VLOOKUP(A865,[6]PRIORIZADOS!$A:$P,16,FALSE)),"")</f>
        <v>Visitas de evaluación con fines de seguimiento</v>
      </c>
      <c r="Q865" s="22" t="s">
        <v>155</v>
      </c>
      <c r="R865" s="90" t="str">
        <f>IFERROR(IF(VLOOKUP(A865,[6]PRIORIZADOS!$A:$R,18,FALSE)="","",VLOOKUP(A865,[6]PRIORIZADOS!$A:$R,18,FALSE)),"")</f>
        <v>Documento realizado por la empresar Formarte, en la cual se analiza los resultados por áreas y se comprara con el rendimiento académico en años anteriores</v>
      </c>
      <c r="S865" s="11" t="str">
        <f>IFERROR(IF(VLOOKUP(A865,[6]PRIORIZADOS!$A:$S,19,FALSE)="","",VLOOKUP(A865,[6]PRIORIZADOS!$A:$S,19,FALSE)),"")</f>
        <v>Se contrata empresa para realizar el Anàlisis de los resultados, en este caso es Formarte. Sin embargo, a el acta de proceso de socializaciòn de los resultados con docentes o consejo acadèmica y la planeación para los cambios curriculares.</v>
      </c>
      <c r="T865" s="70" t="str">
        <f>IFERROR(IF(VLOOKUP(A865,[6]PRIORIZADOS!$A:$T,20,FALSE)="","",VLOOKUP(A865,[6]PRIORIZADOS!$A:$T,20,FALSE)),"")</f>
        <v>Si</v>
      </c>
      <c r="U865" s="11" t="str">
        <f>IFERROR(IF(VLOOKUP(A865,[6]PRIORIZADOS!$A:$U,21,FALSE)="","",VLOOKUP(A865,[6]PRIORIZADOS!$A:$U,21,FALSE)),"")</f>
        <v>El EE presentara el plan de mejoramiento el 14 de Julio</v>
      </c>
    </row>
    <row r="866" spans="1:21" s="1" customFormat="1" ht="118.5">
      <c r="A866" s="69">
        <f>IF([6]PRIORIZADOS!A232="","",[6]PRIORIZADOS!A232)</f>
        <v>807</v>
      </c>
      <c r="B866" s="70">
        <f>IFERROR(IF(VLOOKUP(A866,[6]PRIORIZADOS!$A:$B,2,FALSE)="","",VLOOKUP(A866,[6]PRIORIZADOS!$A:$B,2,FALSE)),"")</f>
        <v>26</v>
      </c>
      <c r="C866" s="11" t="str">
        <f>IFERROR(IF(VLOOKUP(A866,[6]PRIORIZADOS!$A:$C,3,FALSE)="","",VLOOKUP(A866,[6]PRIORIZADOS!$A:$C,3,FALSE)),"")</f>
        <v>ENGATIVÁ</v>
      </c>
      <c r="D866" s="11" t="str">
        <f>IFERROR(IF(VLOOKUP(A866,[6]PRIORIZADOS!$A:$D,4,FALSE)="","",VLOOKUP(A866,[6]PRIORIZADOS!$A:$D,4,FALSE)),"")</f>
        <v>PRIVADO</v>
      </c>
      <c r="E866" s="11" t="str">
        <f>IFERROR(IF(VLOOKUP(A866,[6]PRIORIZADOS!$A:$E,5,FALSE)="","",VLOOKUP(A866,[6]PRIORIZADOS!$A:$E,5,FALSE)),"")</f>
        <v>EPBM</v>
      </c>
      <c r="F866" s="11" t="str">
        <f>IFERROR(IF(VLOOKUP(A866,[6]PRIORIZADOS!$A:$F,6,FALSE)="","",VLOOKUP(A866,[6]PRIORIZADOS!$A:$F,6,FALSE)),"")</f>
        <v>COLEGIO_REAL_DE_COLOMBIA</v>
      </c>
      <c r="G866" s="11" t="str">
        <f>IFERROR(IF(VLOOKUP(A866,[6]PRIORIZADOS!$A:$G,7,FALSE)="","",VLOOKUP(A866,[6]PRIORIZADOS!$A:$G,7,FALSE)),"")</f>
        <v>COLEGIO_REAL_DE_COLOMBIA</v>
      </c>
      <c r="H866" s="11" t="str">
        <f>IFERROR(IF(VLOOKUP(A866,[6]PRIORIZADOS!$A:$H,8,FALSE)="","",VLOOKUP(A866,[6]PRIORIZADOS!$A:$H,8,FALSE)),"")</f>
        <v>Autoevaluación Institucional y Pruebas SABER 11</v>
      </c>
      <c r="I866" s="11" t="str">
        <f>IFERROR(IF(VLOOKUP(A866,[6]PRIORIZADOS!$A:$I,9,FALSE)="","",VLOOKUP(A866,[6]PRIORIZADOS!$A:$I,9,FALSE)),"")</f>
        <v>SEGUIMIENTO_Y_SUPERVISIÓN.</v>
      </c>
      <c r="J866" s="11" t="str">
        <f>IFERROR(IF(VLOOKUP(A866,[6]PRIORIZADOS!$A:$J,10,FALSE)="","",VLOOKUP(A866,[6]PRIORIZADOS!$A:$J,10,FALSE)),"")</f>
        <v xml:space="preserve">Verificar la implementación por parte de los colegios, de acciones realizadas para la prevención y atención de las situaciones de convivencia en el entorno escolar, según lo establecido en la Directiva 01 de 2022 del MEN. </v>
      </c>
      <c r="K866" s="11" t="str">
        <f>IFERROR(IF(VLOOKUP(A866,[6]PRIORIZADOS!$A:$K,11,FALSE)="","",VLOOKUP(A866,[6]PRIORIZADOS!$A:$K,11,FALSE)),"")</f>
        <v>JENIFER CATHERINE LEÓN ACOSTA</v>
      </c>
      <c r="L866" s="11" t="str">
        <f>IFERROR(IF(VLOOKUP(A866,[6]PRIORIZADOS!$A:$L,12,FALSE)="","",VLOOKUP(A866,[6]PRIORIZADOS!$A:$L,12,FALSE)),"")</f>
        <v>ANA MARÍA CASAS SANABRIA</v>
      </c>
      <c r="M866" s="71">
        <f>IFERROR(IF(VLOOKUP(A866,[6]PRIORIZADOS!$A:$M,13,FALSE)="","",VLOOKUP(A866,[6]PRIORIZADOS!$A:$M,13,FALSE)),"")</f>
        <v>45818</v>
      </c>
      <c r="N866" s="139">
        <f>IFERROR(IF(VLOOKUP(A866,[6]PRIORIZADOS!$A:$N,14,FALSE)="","",VLOOKUP(A866,[6]PRIORIZADOS!$A:$N,14,FALSE)),"")</f>
        <v>45818</v>
      </c>
      <c r="O866" s="139">
        <f>IFERROR(IF(VLOOKUP(A866,[6]PRIORIZADOS!$A:$O,15,FALSE)="","",VLOOKUP(A866,[6]PRIORIZADOS!$A:$O,15,FALSE)),"")</f>
        <v>45818</v>
      </c>
      <c r="P866" s="16" t="str">
        <f>IFERROR(IF(VLOOKUP(A866,[6]PRIORIZADOS!$A:$P,16,FALSE)="","",VLOOKUP(A866,[6]PRIORIZADOS!$A:$P,16,FALSE)),"")</f>
        <v>Visitas de evaluación con fines de seguimiento</v>
      </c>
      <c r="Q866" s="22" t="s">
        <v>155</v>
      </c>
      <c r="R866" s="90" t="str">
        <f>IFERROR(IF(VLOOKUP(A866,[6]PRIORIZADOS!$A:$R,18,FALSE)="","",VLOOKUP(A866,[6]PRIORIZADOS!$A:$R,18,FALSE)),"")</f>
        <v xml:space="preserve">1, Realizan trabajo desde el area de orientación, con tematicas puntuales a estudiantes, docentes y padres de familia, que incluyen tematicas trasversales desde la prevención de violencia sexual. 
2,  No tienen revisión de inhabilidades.
3, No se tienen el enfoque de genero  en las capacitaciones sobre vioencia sexual, solo se tratan temas muy amplios.
</v>
      </c>
      <c r="S866" s="11" t="str">
        <f>IFERROR(IF(VLOOKUP(A866,[6]PRIORIZADOS!$A:$S,19,FALSE)="","",VLOOKUP(A866,[6]PRIORIZADOS!$A:$S,19,FALSE)),"")</f>
        <v xml:space="preserve">1. Se debe realizar la adopcion del manual de convivencia por parte del comité directivo.
2. se debe incluir los aspectos de ley en la actualizacion del manual  en el comite de convivencia escolar y la capacitacion a los docentes frente a los temas establecidos a incluir.
3, se debe Operativizar el comite de convivencia escolar.  </v>
      </c>
      <c r="T866" s="70" t="str">
        <f>IFERROR(IF(VLOOKUP(A866,[6]PRIORIZADOS!$A:$T,20,FALSE)="","",VLOOKUP(A866,[6]PRIORIZADOS!$A:$T,20,FALSE)),"")</f>
        <v>Si</v>
      </c>
      <c r="U866" s="11" t="str">
        <f>IFERROR(IF(VLOOKUP(A866,[6]PRIORIZADOS!$A:$U,21,FALSE)="","",VLOOKUP(A866,[6]PRIORIZADOS!$A:$U,21,FALSE)),"")</f>
        <v>El EE presentara el plan de mejoramiento el 14 de Julio</v>
      </c>
    </row>
    <row r="867" spans="1:21" s="1" customFormat="1" ht="72">
      <c r="A867" s="69">
        <f>IF([6]PRIORIZADOS!A233="","",[6]PRIORIZADOS!A233)</f>
        <v>808</v>
      </c>
      <c r="B867" s="70">
        <f>IFERROR(IF(VLOOKUP(A867,[6]PRIORIZADOS!$A:$B,2,FALSE)="","",VLOOKUP(A867,[6]PRIORIZADOS!$A:$B,2,FALSE)),"")</f>
        <v>26</v>
      </c>
      <c r="C867" s="11" t="str">
        <f>IFERROR(IF(VLOOKUP(A867,[6]PRIORIZADOS!$A:$C,3,FALSE)="","",VLOOKUP(A867,[6]PRIORIZADOS!$A:$C,3,FALSE)),"")</f>
        <v>ENGATIVÁ</v>
      </c>
      <c r="D867" s="11" t="str">
        <f>IFERROR(IF(VLOOKUP(A867,[6]PRIORIZADOS!$A:$D,4,FALSE)="","",VLOOKUP(A867,[6]PRIORIZADOS!$A:$D,4,FALSE)),"")</f>
        <v>PRIVADO</v>
      </c>
      <c r="E867" s="11" t="str">
        <f>IFERROR(IF(VLOOKUP(A867,[6]PRIORIZADOS!$A:$E,5,FALSE)="","",VLOOKUP(A867,[6]PRIORIZADOS!$A:$E,5,FALSE)),"")</f>
        <v>EPBM</v>
      </c>
      <c r="F867" s="11" t="str">
        <f>IFERROR(IF(VLOOKUP(A867,[6]PRIORIZADOS!$A:$F,6,FALSE)="","",VLOOKUP(A867,[6]PRIORIZADOS!$A:$F,6,FALSE)),"")</f>
        <v>COLEGIO_REAL_DE_COLOMBIA</v>
      </c>
      <c r="G867" s="11" t="str">
        <f>IFERROR(IF(VLOOKUP(A867,[6]PRIORIZADOS!$A:$G,7,FALSE)="","",VLOOKUP(A867,[6]PRIORIZADOS!$A:$G,7,FALSE)),"")</f>
        <v>COLEGIO_REAL_DE_COLOMBIA</v>
      </c>
      <c r="H867" s="11" t="str">
        <f>IFERROR(IF(VLOOKUP(A867,[6]PRIORIZADOS!$A:$H,8,FALSE)="","",VLOOKUP(A867,[6]PRIORIZADOS!$A:$H,8,FALSE)),"")</f>
        <v>Autoevaluación Institucional y Pruebas SABER 11</v>
      </c>
      <c r="I867" s="11" t="str">
        <f>IFERROR(IF(VLOOKUP(A867,[6]PRIORIZADOS!$A:$I,9,FALSE)="","",VLOOKUP(A867,[6]PRIORIZADOS!$A:$I,9,FALSE)),"")</f>
        <v>SEGUIMIENTO_Y_SUPERVISIÓN.</v>
      </c>
      <c r="J867" s="11" t="str">
        <f>IFERROR(IF(VLOOKUP(A867,[6]PRIORIZADOS!$A:$J,10,FALSE)="","",VLOOKUP(A867,[6]PRIORIZADOS!$A:$J,10,FALSE)),"")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67" s="11" t="str">
        <f>IFERROR(IF(VLOOKUP(A867,[6]PRIORIZADOS!$A:$K,11,FALSE)="","",VLOOKUP(A867,[6]PRIORIZADOS!$A:$K,11,FALSE)),"")</f>
        <v>JENIFER CATHERINE LEÓN ACOSTA</v>
      </c>
      <c r="L867" s="11" t="str">
        <f>IFERROR(IF(VLOOKUP(A867,[6]PRIORIZADOS!$A:$L,12,FALSE)="","",VLOOKUP(A867,[6]PRIORIZADOS!$A:$L,12,FALSE)),"")</f>
        <v>ANA MARÍA CASAS SANABRIA</v>
      </c>
      <c r="M867" s="71">
        <f>IFERROR(IF(VLOOKUP(A867,[6]PRIORIZADOS!$A:$M,13,FALSE)="","",VLOOKUP(A867,[6]PRIORIZADOS!$A:$M,13,FALSE)),"")</f>
        <v>45818</v>
      </c>
      <c r="N867" s="139">
        <f>IFERROR(IF(VLOOKUP(A867,[6]PRIORIZADOS!$A:$N,14,FALSE)="","",VLOOKUP(A867,[6]PRIORIZADOS!$A:$N,14,FALSE)),"")</f>
        <v>45818</v>
      </c>
      <c r="O867" s="139">
        <f>IFERROR(IF(VLOOKUP(A867,[6]PRIORIZADOS!$A:$O,15,FALSE)="","",VLOOKUP(A867,[6]PRIORIZADOS!$A:$O,15,FALSE)),"")</f>
        <v>45818</v>
      </c>
      <c r="P867" s="16" t="str">
        <f>IFERROR(IF(VLOOKUP(A867,[6]PRIORIZADOS!$A:$P,16,FALSE)="","",VLOOKUP(A867,[6]PRIORIZADOS!$A:$P,16,FALSE)),"")</f>
        <v>Visitas de evaluación con fines de seguimiento</v>
      </c>
      <c r="Q867" s="22" t="s">
        <v>155</v>
      </c>
      <c r="R867" s="90" t="str">
        <f>IFERROR(IF(VLOOKUP(A867,[6]PRIORIZADOS!$A:$R,18,FALSE)="","",VLOOKUP(A867,[6]PRIORIZADOS!$A:$R,18,FALSE)),"")</f>
        <v>Tres PIAR  de los estudiantes caracterizados  desde el SIMAT, que fueron actualizados el primer trimestre del año y estan debidamente firmados por los padres de familia.</v>
      </c>
      <c r="S867" s="11" t="str">
        <f>IFERROR(IF(VLOOKUP(A867,[6]PRIORIZADOS!$A:$S,19,FALSE)="","",VLOOKUP(A867,[6]PRIORIZADOS!$A:$S,19,FALSE)),"")</f>
        <v>Se realiza identificacion de la poblacion que requiere ajustes razonables, se esta realizando por parte del establecimiento educativo.</v>
      </c>
      <c r="T867" s="70" t="str">
        <f>IFERROR(IF(VLOOKUP(A867,[6]PRIORIZADOS!$A:$T,20,FALSE)="","",VLOOKUP(A867,[6]PRIORIZADOS!$A:$T,20,FALSE)),"")</f>
        <v>No</v>
      </c>
      <c r="U867" s="11" t="str">
        <f>IFERROR(IF(VLOOKUP(A867,[6]PRIORIZADOS!$A:$U,21,FALSE)="","",VLOOKUP(A867,[6]PRIORIZADOS!$A:$U,21,FALSE)),"")</f>
        <v>El seguimiento al cumplimiento  de identificacion y formalizacion de los ajustes razonables se realiza de manera constante.</v>
      </c>
    </row>
    <row r="868" spans="1:21" s="1" customFormat="1" ht="118.5">
      <c r="A868" s="69">
        <f>IF([6]PRIORIZADOS!A234="","",[6]PRIORIZADOS!A234)</f>
        <v>809</v>
      </c>
      <c r="B868" s="70">
        <f>IFERROR(IF(VLOOKUP(A868,[6]PRIORIZADOS!$A:$B,2,FALSE)="","",VLOOKUP(A868,[6]PRIORIZADOS!$A:$B,2,FALSE)),"")</f>
        <v>26</v>
      </c>
      <c r="C868" s="11" t="str">
        <f>IFERROR(IF(VLOOKUP(A868,[6]PRIORIZADOS!$A:$C,3,FALSE)="","",VLOOKUP(A868,[6]PRIORIZADOS!$A:$C,3,FALSE)),"")</f>
        <v>ENGATIVÁ</v>
      </c>
      <c r="D868" s="11" t="str">
        <f>IFERROR(IF(VLOOKUP(A868,[6]PRIORIZADOS!$A:$D,4,FALSE)="","",VLOOKUP(A868,[6]PRIORIZADOS!$A:$D,4,FALSE)),"")</f>
        <v>PRIVADO</v>
      </c>
      <c r="E868" s="11" t="str">
        <f>IFERROR(IF(VLOOKUP(A868,[6]PRIORIZADOS!$A:$E,5,FALSE)="","",VLOOKUP(A868,[6]PRIORIZADOS!$A:$E,5,FALSE)),"")</f>
        <v>EPBM</v>
      </c>
      <c r="F868" s="11" t="str">
        <f>IFERROR(IF(VLOOKUP(A868,[6]PRIORIZADOS!$A:$F,6,FALSE)="","",VLOOKUP(A868,[6]PRIORIZADOS!$A:$F,6,FALSE)),"")</f>
        <v>COLEGIO_REAL_DE_COLOMBIA</v>
      </c>
      <c r="G868" s="11" t="str">
        <f>IFERROR(IF(VLOOKUP(A868,[6]PRIORIZADOS!$A:$G,7,FALSE)="","",VLOOKUP(A868,[6]PRIORIZADOS!$A:$G,7,FALSE)),"")</f>
        <v>COLEGIO_REAL_DE_COLOMBIA</v>
      </c>
      <c r="H868" s="11" t="str">
        <f>IFERROR(IF(VLOOKUP(A868,[6]PRIORIZADOS!$A:$H,8,FALSE)="","",VLOOKUP(A868,[6]PRIORIZADOS!$A:$H,8,FALSE)),"")</f>
        <v>Autoevaluación Institucional y Pruebas SABER 11</v>
      </c>
      <c r="I868" s="11" t="str">
        <f>IFERROR(IF(VLOOKUP(A868,[6]PRIORIZADOS!$A:$I,9,FALSE)="","",VLOOKUP(A868,[6]PRIORIZADOS!$A:$I,9,FALSE)),"")</f>
        <v>EVALUACIÓN_CON_FINES_DE_MEJORAMIENTO.</v>
      </c>
      <c r="J868" s="11" t="str">
        <f>IFERROR(IF(VLOOKUP(A868,[6]PRIORIZADOS!$A:$J,10,FALSE)="","",VLOOKUP(A868,[6]PRIORIZADOS!$A:$J,10,FALSE)),"")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68" s="11" t="str">
        <f>IFERROR(IF(VLOOKUP(A868,[6]PRIORIZADOS!$A:$K,11,FALSE)="","",VLOOKUP(A868,[6]PRIORIZADOS!$A:$K,11,FALSE)),"")</f>
        <v>JENIFER CATHERINE LEÓN ACOSTA</v>
      </c>
      <c r="L868" s="11" t="str">
        <f>IFERROR(IF(VLOOKUP(A868,[6]PRIORIZADOS!$A:$L,12,FALSE)="","",VLOOKUP(A868,[6]PRIORIZADOS!$A:$L,12,FALSE)),"")</f>
        <v>ANA MARÍA CASAS SANABRIA</v>
      </c>
      <c r="M868" s="71">
        <f>IFERROR(IF(VLOOKUP(A868,[6]PRIORIZADOS!$A:$M,13,FALSE)="","",VLOOKUP(A868,[6]PRIORIZADOS!$A:$M,13,FALSE)),"")</f>
        <v>45818</v>
      </c>
      <c r="N868" s="139">
        <f>IFERROR(IF(VLOOKUP(A868,[6]PRIORIZADOS!$A:$N,14,FALSE)="","",VLOOKUP(A868,[6]PRIORIZADOS!$A:$N,14,FALSE)),"")</f>
        <v>45818</v>
      </c>
      <c r="O868" s="139">
        <f>IFERROR(IF(VLOOKUP(A868,[6]PRIORIZADOS!$A:$O,15,FALSE)="","",VLOOKUP(A868,[6]PRIORIZADOS!$A:$O,15,FALSE)),"")</f>
        <v>45818</v>
      </c>
      <c r="P868" s="16" t="str">
        <f>IFERROR(IF(VLOOKUP(A868,[6]PRIORIZADOS!$A:$P,16,FALSE)="","",VLOOKUP(A868,[6]PRIORIZADOS!$A:$P,16,FALSE)),"")</f>
        <v>Visitas de evaluación con fines de mejoramiento</v>
      </c>
      <c r="Q868" s="22" t="s">
        <v>155</v>
      </c>
      <c r="R868" s="90" t="str">
        <f>IFERROR(IF(VLOOKUP(A868,[6]PRIORIZADOS!$A:$R,18,FALSE)="","",VLOOKUP(A868,[6]PRIORIZADOS!$A:$R,18,FALSE)),"")</f>
        <v>Existe confusion entre las situaciones convivenciales y sus protocolos y las acciones disciplinares.
No se evidencia la inclusion del enfoque de género y restaurativo. Informan que es un manual que esta en constante construcción, sin embargo, en lo relacionado con la actualizacion de la normatividad, no se evidencia la inclusion del enfoque de género y restaurativo.</v>
      </c>
      <c r="S868" s="11" t="str">
        <f>IFERROR(IF(VLOOKUP(A868,[6]PRIORIZADOS!$A:$S,19,FALSE)="","",VLOOKUP(A868,[6]PRIORIZADOS!$A:$S,19,FALSE)),"")</f>
        <v xml:space="preserve">1. Se debe realizar la adopcion del manual de convivencia por parte del comité directivo.
2. se debe incluir los aspectos de ley en la actualizacion del manual  en el comite de convivencia escolar y la capacitacion a los docentes frente a los temas establecidos a incluir.
3, se debe Operativizar el comite de convivencia escolar.  </v>
      </c>
      <c r="T868" s="70" t="str">
        <f>IFERROR(IF(VLOOKUP(A868,[6]PRIORIZADOS!$A:$T,20,FALSE)="","",VLOOKUP(A868,[6]PRIORIZADOS!$A:$T,20,FALSE)),"")</f>
        <v/>
      </c>
      <c r="U868" s="11" t="str">
        <f>IFERROR(IF(VLOOKUP(A868,[6]PRIORIZADOS!$A:$U,21,FALSE)="","",VLOOKUP(A868,[6]PRIORIZADOS!$A:$U,21,FALSE)),"")</f>
        <v>El EE presentara el plan de mejoramiento el 14 de Julio</v>
      </c>
    </row>
    <row r="869" spans="1:21" s="1" customFormat="1" ht="72">
      <c r="A869" s="69">
        <f>IF([6]PRIORIZADOS!A235="","",[6]PRIORIZADOS!A235)</f>
        <v>810</v>
      </c>
      <c r="B869" s="70">
        <f>IFERROR(IF(VLOOKUP(A869,[6]PRIORIZADOS!$A:$B,2,FALSE)="","",VLOOKUP(A869,[6]PRIORIZADOS!$A:$B,2,FALSE)),"")</f>
        <v>26</v>
      </c>
      <c r="C869" s="11" t="str">
        <f>IFERROR(IF(VLOOKUP(A869,[6]PRIORIZADOS!$A:$C,3,FALSE)="","",VLOOKUP(A869,[6]PRIORIZADOS!$A:$C,3,FALSE)),"")</f>
        <v>ENGATIVÁ</v>
      </c>
      <c r="D869" s="11" t="str">
        <f>IFERROR(IF(VLOOKUP(A869,[6]PRIORIZADOS!$A:$D,4,FALSE)="","",VLOOKUP(A869,[6]PRIORIZADOS!$A:$D,4,FALSE)),"")</f>
        <v>PRIVADO</v>
      </c>
      <c r="E869" s="11" t="str">
        <f>IFERROR(IF(VLOOKUP(A869,[6]PRIORIZADOS!$A:$E,5,FALSE)="","",VLOOKUP(A869,[6]PRIORIZADOS!$A:$E,5,FALSE)),"")</f>
        <v>EPBM</v>
      </c>
      <c r="F869" s="11" t="str">
        <f>IFERROR(IF(VLOOKUP(A869,[6]PRIORIZADOS!$A:$F,6,FALSE)="","",VLOOKUP(A869,[6]PRIORIZADOS!$A:$F,6,FALSE)),"")</f>
        <v>COLEGIO_REAL_DE_COLOMBIA</v>
      </c>
      <c r="G869" s="11" t="str">
        <f>IFERROR(IF(VLOOKUP(A869,[6]PRIORIZADOS!$A:$G,7,FALSE)="","",VLOOKUP(A869,[6]PRIORIZADOS!$A:$G,7,FALSE)),"")</f>
        <v>COLEGIO_REAL_DE_COLOMBIA</v>
      </c>
      <c r="H869" s="11" t="str">
        <f>IFERROR(IF(VLOOKUP(A869,[6]PRIORIZADOS!$A:$H,8,FALSE)="","",VLOOKUP(A869,[6]PRIORIZADOS!$A:$H,8,FALSE)),"")</f>
        <v>Autoevaluación Institucional y Pruebas SABER 11</v>
      </c>
      <c r="I869" s="11" t="str">
        <f>IFERROR(IF(VLOOKUP(A869,[6]PRIORIZADOS!$A:$I,9,FALSE)="","",VLOOKUP(A869,[6]PRIORIZADOS!$A:$I,9,FALSE)),"")</f>
        <v>EVALUACIÓN_CON_FINES_DE_MEJORAMIENTO.</v>
      </c>
      <c r="J869" s="11" t="str">
        <f>IFERROR(IF(VLOOKUP(A869,[6]PRIORIZADOS!$A:$J,10,FALSE)="","",VLOOKUP(A869,[6]PRIORIZADOS!$A:$J,10,FALSE)),"")</f>
        <v>Revisar la actualización, socialización e implementación del Sistema Institucional de Evaluación de Estudiantes - SIEE, en articulación con la actualización del PEI y la normatividad vigente.</v>
      </c>
      <c r="K869" s="11" t="str">
        <f>IFERROR(IF(VLOOKUP(A869,[6]PRIORIZADOS!$A:$K,11,FALSE)="","",VLOOKUP(A869,[6]PRIORIZADOS!$A:$K,11,FALSE)),"")</f>
        <v>JENIFER CATHERINE LEÓN ACOSTA</v>
      </c>
      <c r="L869" s="11" t="str">
        <f>IFERROR(IF(VLOOKUP(A869,[6]PRIORIZADOS!$A:$L,12,FALSE)="","",VLOOKUP(A869,[6]PRIORIZADOS!$A:$L,12,FALSE)),"")</f>
        <v>ANA MARÍA CASAS SANABRIA</v>
      </c>
      <c r="M869" s="71">
        <f>IFERROR(IF(VLOOKUP(A869,[6]PRIORIZADOS!$A:$M,13,FALSE)="","",VLOOKUP(A869,[6]PRIORIZADOS!$A:$M,13,FALSE)),"")</f>
        <v>45818</v>
      </c>
      <c r="N869" s="139">
        <f>IFERROR(IF(VLOOKUP(A869,[6]PRIORIZADOS!$A:$N,14,FALSE)="","",VLOOKUP(A869,[6]PRIORIZADOS!$A:$N,14,FALSE)),"")</f>
        <v>45818</v>
      </c>
      <c r="O869" s="139">
        <f>IFERROR(IF(VLOOKUP(A869,[6]PRIORIZADOS!$A:$O,15,FALSE)="","",VLOOKUP(A869,[6]PRIORIZADOS!$A:$O,15,FALSE)),"")</f>
        <v>45818</v>
      </c>
      <c r="P869" s="16" t="str">
        <f>IFERROR(IF(VLOOKUP(A869,[6]PRIORIZADOS!$A:$P,16,FALSE)="","",VLOOKUP(A869,[6]PRIORIZADOS!$A:$P,16,FALSE)),"")</f>
        <v>Visitas de evaluación con fines de mejoramiento</v>
      </c>
      <c r="Q869" s="22" t="s">
        <v>155</v>
      </c>
      <c r="R869" s="90" t="str">
        <f>IFERROR(IF(VLOOKUP(A869,[6]PRIORIZADOS!$A:$R,18,FALSE)="","",VLOOKUP(A869,[6]PRIORIZADOS!$A:$R,18,FALSE)),"")</f>
        <v xml:space="preserve">Aunque tienen un capitulo amplio en el PEI y en el manual de convivencia. No existe un protocolo sobre el procedimiento de evaluación, nivelación y la atencion a la descercion escolar.
</v>
      </c>
      <c r="S869" s="11" t="str">
        <f>IFERROR(IF(VLOOKUP(A869,[6]PRIORIZADOS!$A:$S,19,FALSE)="","",VLOOKUP(A869,[6]PRIORIZADOS!$A:$S,19,FALSE)),"")</f>
        <v>Ajustar el SIEE conforme las observaciones realizadas y lo estblecido en la normatividad vigente.
El EE presentara el plan de mejoramiento el 14 de Julio</v>
      </c>
      <c r="T869" s="70" t="str">
        <f>IFERROR(IF(VLOOKUP(A869,[6]PRIORIZADOS!$A:$T,20,FALSE)="","",VLOOKUP(A869,[6]PRIORIZADOS!$A:$T,20,FALSE)),"")</f>
        <v>Si</v>
      </c>
      <c r="U869" s="11" t="str">
        <f>IFERROR(IF(VLOOKUP(A869,[6]PRIORIZADOS!$A:$U,21,FALSE)="","",VLOOKUP(A869,[6]PRIORIZADOS!$A:$U,21,FALSE)),"")</f>
        <v>Revisar el SIEE y retroalimentar a la IE</v>
      </c>
    </row>
    <row r="870" spans="1:21" s="1" customFormat="1" ht="48">
      <c r="A870" s="69">
        <f>IF([6]PRIORIZADOS!A236="","",[6]PRIORIZADOS!A236)</f>
        <v>811</v>
      </c>
      <c r="B870" s="70">
        <f>IFERROR(IF(VLOOKUP(A870,[6]PRIORIZADOS!$A:$B,2,FALSE)="","",VLOOKUP(A870,[6]PRIORIZADOS!$A:$B,2,FALSE)),"")</f>
        <v>26</v>
      </c>
      <c r="C870" s="11" t="str">
        <f>IFERROR(IF(VLOOKUP(A870,[6]PRIORIZADOS!$A:$C,3,FALSE)="","",VLOOKUP(A870,[6]PRIORIZADOS!$A:$C,3,FALSE)),"")</f>
        <v>ENGATIVÁ</v>
      </c>
      <c r="D870" s="11" t="str">
        <f>IFERROR(IF(VLOOKUP(A870,[6]PRIORIZADOS!$A:$D,4,FALSE)="","",VLOOKUP(A870,[6]PRIORIZADOS!$A:$D,4,FALSE)),"")</f>
        <v>PRIVADO</v>
      </c>
      <c r="E870" s="11" t="str">
        <f>IFERROR(IF(VLOOKUP(A870,[6]PRIORIZADOS!$A:$E,5,FALSE)="","",VLOOKUP(A870,[6]PRIORIZADOS!$A:$E,5,FALSE)),"")</f>
        <v>EPBM</v>
      </c>
      <c r="F870" s="11" t="str">
        <f>IFERROR(IF(VLOOKUP(A870,[6]PRIORIZADOS!$A:$F,6,FALSE)="","",VLOOKUP(A870,[6]PRIORIZADOS!$A:$F,6,FALSE)),"")</f>
        <v>COLEGIO_REAL_DE_COLOMBIA</v>
      </c>
      <c r="G870" s="11" t="str">
        <f>IFERROR(IF(VLOOKUP(A870,[6]PRIORIZADOS!$A:$G,7,FALSE)="","",VLOOKUP(A870,[6]PRIORIZADOS!$A:$G,7,FALSE)),"")</f>
        <v>COLEGIO_REAL_DE_COLOMBIA</v>
      </c>
      <c r="H870" s="11" t="str">
        <f>IFERROR(IF(VLOOKUP(A870,[6]PRIORIZADOS!$A:$H,8,FALSE)="","",VLOOKUP(A870,[6]PRIORIZADOS!$A:$H,8,FALSE)),"")</f>
        <v>Autoevaluación Institucional y Pruebas SABER 11</v>
      </c>
      <c r="I870" s="11" t="str">
        <f>IFERROR(IF(VLOOKUP(A870,[6]PRIORIZADOS!$A:$I,9,FALSE)="","",VLOOKUP(A870,[6]PRIORIZADOS!$A:$I,9,FALSE)),"")</f>
        <v>EVALUACIÓN_CON_FINES_DE_MEJORAMIENTO.</v>
      </c>
      <c r="J870" s="11" t="str">
        <f>IFERROR(IF(VLOOKUP(A870,[6]PRIORIZADOS!$A:$J,10,FALSE)="","",VLOOKUP(A870,[6]PRIORIZADOS!$A:$J,10,FALSE)),"")</f>
        <v>Revisar el calendario escolar, jornada escolar, la intensidad horaria mínima anual en cada nivel y las modificaciones que se realicen al mismo, de acuerdo con lo previsto en la normatividad vigente.</v>
      </c>
      <c r="K870" s="11" t="str">
        <f>IFERROR(IF(VLOOKUP(A870,[6]PRIORIZADOS!$A:$K,11,FALSE)="","",VLOOKUP(A870,[6]PRIORIZADOS!$A:$K,11,FALSE)),"")</f>
        <v>JENIFER CATHERINE LEÓN ACOSTA</v>
      </c>
      <c r="L870" s="11" t="str">
        <f>IFERROR(IF(VLOOKUP(A870,[6]PRIORIZADOS!$A:$L,12,FALSE)="","",VLOOKUP(A870,[6]PRIORIZADOS!$A:$L,12,FALSE)),"")</f>
        <v>ANA MARÍA CASAS SANABRIA</v>
      </c>
      <c r="M870" s="71">
        <f>IFERROR(IF(VLOOKUP(A870,[6]PRIORIZADOS!$A:$M,13,FALSE)="","",VLOOKUP(A870,[6]PRIORIZADOS!$A:$M,13,FALSE)),"")</f>
        <v>45818</v>
      </c>
      <c r="N870" s="139">
        <f>IFERROR(IF(VLOOKUP(A870,[6]PRIORIZADOS!$A:$N,14,FALSE)="","",VLOOKUP(A870,[6]PRIORIZADOS!$A:$N,14,FALSE)),"")</f>
        <v>45818</v>
      </c>
      <c r="O870" s="139">
        <f>IFERROR(IF(VLOOKUP(A870,[6]PRIORIZADOS!$A:$O,15,FALSE)="","",VLOOKUP(A870,[6]PRIORIZADOS!$A:$O,15,FALSE)),"")</f>
        <v>45818</v>
      </c>
      <c r="P870" s="16" t="str">
        <f>IFERROR(IF(VLOOKUP(A870,[6]PRIORIZADOS!$A:$P,16,FALSE)="","",VLOOKUP(A870,[6]PRIORIZADOS!$A:$P,16,FALSE)),"")</f>
        <v>Visitas de evaluación con fines de mejoramiento</v>
      </c>
      <c r="Q870" s="22" t="s">
        <v>155</v>
      </c>
      <c r="R870" s="90" t="str">
        <f>IFERROR(IF(VLOOKUP(A870,[6]PRIORIZADOS!$A:$R,18,FALSE)="","",VLOOKUP(A870,[6]PRIORIZADOS!$A:$R,18,FALSE)),"")</f>
        <v>Tienen el calendrio escolar, y la itensidad horaria de acuerdo a la norma , Publicada en la pagina web del colegio y en su plataforma de informes</v>
      </c>
      <c r="S870" s="11" t="str">
        <f>IFERROR(IF(VLOOKUP(A870,[6]PRIORIZADOS!$A:$S,19,FALSE)="","",VLOOKUP(A870,[6]PRIORIZADOS!$A:$S,19,FALSE)),"")</f>
        <v>No se hace requerimiento</v>
      </c>
      <c r="T870" s="70" t="str">
        <f>IFERROR(IF(VLOOKUP(A870,[6]PRIORIZADOS!$A:$T,20,FALSE)="","",VLOOKUP(A870,[6]PRIORIZADOS!$A:$T,20,FALSE)),"")</f>
        <v>No</v>
      </c>
      <c r="U870" s="11" t="str">
        <f>IFERROR(IF(VLOOKUP(A870,[6]PRIORIZADOS!$A:$U,21,FALSE)="","",VLOOKUP(A870,[6]PRIORIZADOS!$A:$U,21,FALSE)),"")</f>
        <v>Se realizará verificacion en caso de presentarse una solicitud o queja al respecto de este apartado</v>
      </c>
    </row>
    <row r="871" spans="1:21" s="1" customFormat="1" ht="72">
      <c r="A871" s="69">
        <f>IF([6]PRIORIZADOS!A237="","",[6]PRIORIZADOS!A237)</f>
        <v>812</v>
      </c>
      <c r="B871" s="70">
        <f>IFERROR(IF(VLOOKUP(A871,[6]PRIORIZADOS!$A:$B,2,FALSE)="","",VLOOKUP(A871,[6]PRIORIZADOS!$A:$B,2,FALSE)),"")</f>
        <v>26</v>
      </c>
      <c r="C871" s="11" t="str">
        <f>IFERROR(IF(VLOOKUP(A871,[6]PRIORIZADOS!$A:$C,3,FALSE)="","",VLOOKUP(A871,[6]PRIORIZADOS!$A:$C,3,FALSE)),"")</f>
        <v>ENGATIVÁ</v>
      </c>
      <c r="D871" s="11" t="str">
        <f>IFERROR(IF(VLOOKUP(A871,[6]PRIORIZADOS!$A:$D,4,FALSE)="","",VLOOKUP(A871,[6]PRIORIZADOS!$A:$D,4,FALSE)),"")</f>
        <v>PRIVADO</v>
      </c>
      <c r="E871" s="11" t="str">
        <f>IFERROR(IF(VLOOKUP(A871,[6]PRIORIZADOS!$A:$E,5,FALSE)="","",VLOOKUP(A871,[6]PRIORIZADOS!$A:$E,5,FALSE)),"")</f>
        <v>EPBM</v>
      </c>
      <c r="F871" s="11" t="str">
        <f>IFERROR(IF(VLOOKUP(A871,[6]PRIORIZADOS!$A:$F,6,FALSE)="","",VLOOKUP(A871,[6]PRIORIZADOS!$A:$F,6,FALSE)),"")</f>
        <v>COLEGIO_REAL_DE_COLOMBIA</v>
      </c>
      <c r="G871" s="11" t="str">
        <f>IFERROR(IF(VLOOKUP(A871,[6]PRIORIZADOS!$A:$G,7,FALSE)="","",VLOOKUP(A871,[6]PRIORIZADOS!$A:$G,7,FALSE)),"")</f>
        <v>COLEGIO_REAL_DE_COLOMBIA</v>
      </c>
      <c r="H871" s="11" t="str">
        <f>IFERROR(IF(VLOOKUP(A871,[6]PRIORIZADOS!$A:$H,8,FALSE)="","",VLOOKUP(A871,[6]PRIORIZADOS!$A:$H,8,FALSE)),"")</f>
        <v>Autoevaluación Institucional y Pruebas SABER 11</v>
      </c>
      <c r="I871" s="11" t="str">
        <f>IFERROR(IF(VLOOKUP(A871,[6]PRIORIZADOS!$A:$I,9,FALSE)="","",VLOOKUP(A871,[6]PRIORIZADOS!$A:$I,9,FALSE)),"")</f>
        <v>EVALUACIÓN_CON_FINES_DE_MEJORAMIENTO.</v>
      </c>
      <c r="J871" s="11" t="str">
        <f>IFERROR(IF(VLOOKUP(A871,[6]PRIORIZADOS!$A:$J,10,FALSE)="","",VLOOKUP(A871,[6]PRIORIZADOS!$A:$J,10,FALSE)),"")</f>
        <v>Verificar el funcionamiento del Gobierno Escolar e instancias de participación con base en la información sobre conformación reportada por la institución educativa.</v>
      </c>
      <c r="K871" s="11" t="str">
        <f>IFERROR(IF(VLOOKUP(A871,[6]PRIORIZADOS!$A:$K,11,FALSE)="","",VLOOKUP(A871,[6]PRIORIZADOS!$A:$K,11,FALSE)),"")</f>
        <v>JENIFER CATHERINE LEÓN ACOSTA</v>
      </c>
      <c r="L871" s="11" t="str">
        <f>IFERROR(IF(VLOOKUP(A871,[6]PRIORIZADOS!$A:$L,12,FALSE)="","",VLOOKUP(A871,[6]PRIORIZADOS!$A:$L,12,FALSE)),"")</f>
        <v>ANA MARÍA CASAS SANABRIA</v>
      </c>
      <c r="M871" s="71">
        <f>IFERROR(IF(VLOOKUP(A871,[6]PRIORIZADOS!$A:$M,13,FALSE)="","",VLOOKUP(A871,[6]PRIORIZADOS!$A:$M,13,FALSE)),"")</f>
        <v>45818</v>
      </c>
      <c r="N871" s="139">
        <f>IFERROR(IF(VLOOKUP(A871,[6]PRIORIZADOS!$A:$N,14,FALSE)="","",VLOOKUP(A871,[6]PRIORIZADOS!$A:$N,14,FALSE)),"")</f>
        <v>45818</v>
      </c>
      <c r="O871" s="139">
        <f>IFERROR(IF(VLOOKUP(A871,[6]PRIORIZADOS!$A:$O,15,FALSE)="","",VLOOKUP(A871,[6]PRIORIZADOS!$A:$O,15,FALSE)),"")</f>
        <v>45818</v>
      </c>
      <c r="P871" s="16" t="str">
        <f>IFERROR(IF(VLOOKUP(A871,[6]PRIORIZADOS!$A:$P,16,FALSE)="","",VLOOKUP(A871,[6]PRIORIZADOS!$A:$P,16,FALSE)),"")</f>
        <v>Visitas de evaluación con fines de mejoramiento</v>
      </c>
      <c r="Q871" s="22" t="s">
        <v>155</v>
      </c>
      <c r="R871" s="90" t="str">
        <f>IFERROR(IF(VLOOKUP(A871,[6]PRIORIZADOS!$A:$R,18,FALSE)="","",VLOOKUP(A871,[6]PRIORIZADOS!$A:$R,18,FALSE)),"")</f>
        <v xml:space="preserve">Solo se encuentras las actas de conformacion </v>
      </c>
      <c r="S871" s="11" t="str">
        <f>IFERROR(IF(VLOOKUP(A871,[6]PRIORIZADOS!$A:$S,19,FALSE)="","",VLOOKUP(A871,[6]PRIORIZADOS!$A:$S,19,FALSE)),"")</f>
        <v>1, Se debe generar un plan de accion de las instancias de Gobierno escolar.
2, Operativizar la accion de las inStancias de participación
El EE presentara el plan de mejoramiento el 14 de Julio</v>
      </c>
      <c r="T871" s="70" t="str">
        <f>IFERROR(IF(VLOOKUP(A871,[6]PRIORIZADOS!$A:$T,20,FALSE)="","",VLOOKUP(A871,[6]PRIORIZADOS!$A:$T,20,FALSE)),"")</f>
        <v>Si</v>
      </c>
      <c r="U871" s="11" t="str">
        <f>IFERROR(IF(VLOOKUP(A871,[6]PRIORIZADOS!$A:$U,21,FALSE)="","",VLOOKUP(A871,[6]PRIORIZADOS!$A:$U,21,FALSE)),"")</f>
        <v>Verificar la formulación y hacer seguimiento a las acciones establecidas en el plan de mejoramiento.</v>
      </c>
    </row>
    <row r="872" spans="1:21" s="1" customFormat="1" ht="107.25">
      <c r="A872" s="69">
        <f>IF([6]PRIORIZADOS!A238="","",[6]PRIORIZADOS!A238)</f>
        <v>813</v>
      </c>
      <c r="B872" s="70">
        <f>IFERROR(IF(VLOOKUP(A872,[6]PRIORIZADOS!$A:$B,2,FALSE)="","",VLOOKUP(A872,[6]PRIORIZADOS!$A:$B,2,FALSE)),"")</f>
        <v>26</v>
      </c>
      <c r="C872" s="11" t="str">
        <f>IFERROR(IF(VLOOKUP(A872,[6]PRIORIZADOS!$A:$C,3,FALSE)="","",VLOOKUP(A872,[6]PRIORIZADOS!$A:$C,3,FALSE)),"")</f>
        <v>ENGATIVÁ</v>
      </c>
      <c r="D872" s="11" t="str">
        <f>IFERROR(IF(VLOOKUP(A872,[6]PRIORIZADOS!$A:$D,4,FALSE)="","",VLOOKUP(A872,[6]PRIORIZADOS!$A:$D,4,FALSE)),"")</f>
        <v>PRIVADO</v>
      </c>
      <c r="E872" s="11" t="str">
        <f>IFERROR(IF(VLOOKUP(A872,[6]PRIORIZADOS!$A:$E,5,FALSE)="","",VLOOKUP(A872,[6]PRIORIZADOS!$A:$E,5,FALSE)),"")</f>
        <v>EPBM</v>
      </c>
      <c r="F872" s="11" t="str">
        <f>IFERROR(IF(VLOOKUP(A872,[6]PRIORIZADOS!$A:$F,6,FALSE)="","",VLOOKUP(A872,[6]PRIORIZADOS!$A:$F,6,FALSE)),"")</f>
        <v>COLEGIO_REAL_DE_COLOMBIA</v>
      </c>
      <c r="G872" s="11" t="str">
        <f>IFERROR(IF(VLOOKUP(A872,[6]PRIORIZADOS!$A:$G,7,FALSE)="","",VLOOKUP(A872,[6]PRIORIZADOS!$A:$G,7,FALSE)),"")</f>
        <v>COLEGIO_REAL_DE_COLOMBIA</v>
      </c>
      <c r="H872" s="11" t="str">
        <f>IFERROR(IF(VLOOKUP(A872,[6]PRIORIZADOS!$A:$H,8,FALSE)="","",VLOOKUP(A872,[6]PRIORIZADOS!$A:$H,8,FALSE)),"")</f>
        <v>Autoevaluación Institucional y Pruebas SABER 11</v>
      </c>
      <c r="I872" s="11" t="str">
        <f>IFERROR(IF(VLOOKUP(A872,[6]PRIORIZADOS!$A:$I,9,FALSE)="","",VLOOKUP(A872,[6]PRIORIZADOS!$A:$I,9,FALSE)),"")</f>
        <v>EVALUACIÓN_CON_FINES_DE_MEJORAMIENTO.</v>
      </c>
      <c r="J872" s="11" t="str">
        <f>IFERROR(IF(VLOOKUP(A872,[6]PRIORIZADOS!$A:$J,10,FALSE)="","",VLOOKUP(A872,[6]PRIORIZADOS!$A:$J,10,FALSE)),"")</f>
        <v>Verificar las condiciones en cuanto a: la estructura administrativa, condiciones de la planta física y medios educativos adecuados.</v>
      </c>
      <c r="K872" s="11" t="str">
        <f>IFERROR(IF(VLOOKUP(A872,[6]PRIORIZADOS!$A:$K,11,FALSE)="","",VLOOKUP(A872,[6]PRIORIZADOS!$A:$K,11,FALSE)),"")</f>
        <v>JENIFER CATHERINE LEÓN ACOSTA</v>
      </c>
      <c r="L872" s="11" t="str">
        <f>IFERROR(IF(VLOOKUP(A872,[6]PRIORIZADOS!$A:$L,12,FALSE)="","",VLOOKUP(A872,[6]PRIORIZADOS!$A:$L,12,FALSE)),"")</f>
        <v>ANA MARÍA CASAS SANABRIA</v>
      </c>
      <c r="M872" s="71">
        <f>IFERROR(IF(VLOOKUP(A872,[6]PRIORIZADOS!$A:$M,13,FALSE)="","",VLOOKUP(A872,[6]PRIORIZADOS!$A:$M,13,FALSE)),"")</f>
        <v>45818</v>
      </c>
      <c r="N872" s="139">
        <f>IFERROR(IF(VLOOKUP(A872,[6]PRIORIZADOS!$A:$N,14,FALSE)="","",VLOOKUP(A872,[6]PRIORIZADOS!$A:$N,14,FALSE)),"")</f>
        <v>45818</v>
      </c>
      <c r="O872" s="139">
        <f>IFERROR(IF(VLOOKUP(A872,[6]PRIORIZADOS!$A:$O,15,FALSE)="","",VLOOKUP(A872,[6]PRIORIZADOS!$A:$O,15,FALSE)),"")</f>
        <v>45818</v>
      </c>
      <c r="P872" s="16" t="str">
        <f>IFERROR(IF(VLOOKUP(A872,[6]PRIORIZADOS!$A:$P,16,FALSE)="","",VLOOKUP(A872,[6]PRIORIZADOS!$A:$P,16,FALSE)),"")</f>
        <v>Visitas de evaluación con fines de mejoramiento</v>
      </c>
      <c r="Q872" s="107" t="s">
        <v>156</v>
      </c>
      <c r="R872" s="90" t="str">
        <f>IFERROR(IF(VLOOKUP(A872,[6]PRIORIZADOS!$A:$R,18,FALSE)="","",VLOOKUP(A872,[6]PRIORIZADOS!$A:$R,18,FALSE)),"")</f>
        <v xml:space="preserve">1, Los espacios no son suficientes y se eviencia hacinamieto en algunas aulas.
2, Las baterias de baños no son sufientes para la cantidad de niños que estan matriculados.
3, No existe un baño para los adultos y estos ingresan a los de los niños
4,Falta Material de apoyo pedagogico en los salones de clase. </v>
      </c>
      <c r="S872" s="11" t="str">
        <f>IFERROR(IF(VLOOKUP(A872,[6]PRIORIZADOS!$A:$S,19,FALSE)="","",VLOOKUP(A872,[6]PRIORIZADOS!$A:$S,19,FALSE)),"")</f>
        <v>1, Generar estrategias para dar cumplimiento a la normatividad actual sobre espacios escolares.
El EE presentara el plan de mejoramiento el 14 de Julio</v>
      </c>
      <c r="T872" s="70" t="str">
        <f>IFERROR(IF(VLOOKUP(A872,[6]PRIORIZADOS!$A:$T,20,FALSE)="","",VLOOKUP(A872,[6]PRIORIZADOS!$A:$T,20,FALSE)),"")</f>
        <v>Si</v>
      </c>
      <c r="U872" s="11" t="str">
        <f>IFERROR(IF(VLOOKUP(A872,[6]PRIORIZADOS!$A:$U,21,FALSE)="","",VLOOKUP(A872,[6]PRIORIZADOS!$A:$U,21,FALSE)),"")</f>
        <v/>
      </c>
    </row>
    <row r="873" spans="1:21" s="1" customFormat="1" ht="72">
      <c r="A873" s="69">
        <f>IF([6]PRIORIZADOS!A239="","",[6]PRIORIZADOS!A239)</f>
        <v>814</v>
      </c>
      <c r="B873" s="70">
        <f>IFERROR(IF(VLOOKUP(A873,[6]PRIORIZADOS!$A:$B,2,FALSE)="","",VLOOKUP(A873,[6]PRIORIZADOS!$A:$B,2,FALSE)),"")</f>
        <v>27</v>
      </c>
      <c r="C873" s="11" t="str">
        <f>IFERROR(IF(VLOOKUP(A873,[6]PRIORIZADOS!$A:$C,3,FALSE)="","",VLOOKUP(A873,[6]PRIORIZADOS!$A:$C,3,FALSE)),"")</f>
        <v>ENGATIVÁ</v>
      </c>
      <c r="D873" s="11" t="str">
        <f>IFERROR(IF(VLOOKUP(A873,[6]PRIORIZADOS!$A:$D,4,FALSE)="","",VLOOKUP(A873,[6]PRIORIZADOS!$A:$D,4,FALSE)),"")</f>
        <v>PRIVADO</v>
      </c>
      <c r="E873" s="11" t="str">
        <f>IFERROR(IF(VLOOKUP(A873,[6]PRIORIZADOS!$A:$E,5,FALSE)="","",VLOOKUP(A873,[6]PRIORIZADOS!$A:$E,5,FALSE)),"")</f>
        <v>EPBM</v>
      </c>
      <c r="F873" s="11" t="str">
        <f>IFERROR(IF(VLOOKUP(A873,[6]PRIORIZADOS!$A:$F,6,FALSE)="","",VLOOKUP(A873,[6]PRIORIZADOS!$A:$F,6,FALSE)),"")</f>
        <v>LICEO_NORMANDIA</v>
      </c>
      <c r="G873" s="11" t="str">
        <f>IFERROR(IF(VLOOKUP(A873,[6]PRIORIZADOS!$A:$G,7,FALSE)="","",VLOOKUP(A873,[6]PRIORIZADOS!$A:$G,7,FALSE)),"")</f>
        <v>LICEO_NORMANDIA</v>
      </c>
      <c r="H873" s="11" t="str">
        <f>IFERROR(IF(VLOOKUP(A873,[6]PRIORIZADOS!$A:$H,8,FALSE)="","",VLOOKUP(A873,[6]PRIORIZADOS!$A:$H,8,FALSE)),"")</f>
        <v>Autoevaluación Institucional y Pruebas SABER 11</v>
      </c>
      <c r="I873" s="11" t="str">
        <f>IFERROR(IF(VLOOKUP(A873,[6]PRIORIZADOS!$A:$I,9,FALSE)="","",VLOOKUP(A873,[6]PRIORIZADOS!$A:$I,9,FALSE)),"")</f>
        <v>SEGUIMIENTO_Y_SUPERVISIÓN.</v>
      </c>
      <c r="J873" s="11" t="str">
        <f>IFERROR(IF(VLOOKUP(A873,[6]PRIORIZADOS!$A:$J,10,FALSE)="","",VLOOKUP(A873,[6]PRIORIZADOS!$A:$J,10,FALSE)),"")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873" s="11" t="str">
        <f>IFERROR(IF(VLOOKUP(A873,[6]PRIORIZADOS!$A:$K,11,FALSE)="","",VLOOKUP(A873,[6]PRIORIZADOS!$A:$K,11,FALSE)),"")</f>
        <v>ANA MARÍA CASAS SANABRIA</v>
      </c>
      <c r="L873" s="11" t="str">
        <f>IFERROR(IF(VLOOKUP(A873,[6]PRIORIZADOS!$A:$L,12,FALSE)="","",VLOOKUP(A873,[6]PRIORIZADOS!$A:$L,12,FALSE)),"")</f>
        <v>JAIME HUMBERTO RAMÍREZ LLANOS</v>
      </c>
      <c r="M873" s="71">
        <f>IFERROR(IF(VLOOKUP(A873,[6]PRIORIZADOS!$A:$M,13,FALSE)="","",VLOOKUP(A873,[6]PRIORIZADOS!$A:$M,13,FALSE)),"")</f>
        <v>45874</v>
      </c>
      <c r="N873" s="139">
        <f>IFERROR(IF(VLOOKUP(A873,[6]PRIORIZADOS!$A:$N,14,FALSE)="","",VLOOKUP(A873,[6]PRIORIZADOS!$A:$N,14,FALSE)),"")</f>
        <v>45874</v>
      </c>
      <c r="O873" s="139">
        <f>IFERROR(IF(VLOOKUP(A873,[6]PRIORIZADOS!$A:$O,15,FALSE)="","",VLOOKUP(A873,[6]PRIORIZADOS!$A:$O,15,FALSE)),"")</f>
        <v>45874</v>
      </c>
      <c r="P873" s="16" t="str">
        <f>IFERROR(IF(VLOOKUP(A873,[6]PRIORIZADOS!$A:$P,16,FALSE)="","",VLOOKUP(A873,[6]PRIORIZADOS!$A:$P,16,FALSE)),"")</f>
        <v>Visitas de evaluación con fines de seguimiento</v>
      </c>
      <c r="Q873" s="150" t="s">
        <v>157</v>
      </c>
      <c r="R873" s="90" t="str">
        <f>IFERROR(IF(VLOOKUP(A873,[6]PRIORIZADOS!$A:$R,18,FALSE)="","",VLOOKUP(A873,[6]PRIORIZADOS!$A:$R,18,FALSE)),"")</f>
        <v>Se realizó verificación de la información registrada en el aplicativo EVI</v>
      </c>
      <c r="S873" s="11" t="str">
        <f>IFERROR(IF(VLOOKUP(A873,[6]PRIORIZADOS!$A:$S,19,FALSE)="","",VLOOKUP(A873,[6]PRIORIZADOS!$A:$S,19,FALSE)),"")</f>
        <v>La información reportada corresponde a la reportada en el aplicativo EVI</v>
      </c>
      <c r="T873" s="70" t="str">
        <f>IFERROR(IF(VLOOKUP(A873,[6]PRIORIZADOS!$A:$T,20,FALSE)="","",VLOOKUP(A873,[6]PRIORIZADOS!$A:$T,20,FALSE)),"")</f>
        <v>No</v>
      </c>
      <c r="U873" s="11" t="str">
        <f>IFERROR(IF(VLOOKUP(A873,[6]PRIORIZADOS!$A:$U,21,FALSE)="","",VLOOKUP(A873,[6]PRIORIZADOS!$A:$U,21,FALSE)),"")</f>
        <v/>
      </c>
    </row>
    <row r="874" spans="1:21" s="1" customFormat="1" ht="60">
      <c r="A874" s="69">
        <f>IF([6]PRIORIZADOS!A240="","",[6]PRIORIZADOS!A240)</f>
        <v>815</v>
      </c>
      <c r="B874" s="70">
        <f>IFERROR(IF(VLOOKUP(A874,[6]PRIORIZADOS!$A:$B,2,FALSE)="","",VLOOKUP(A874,[6]PRIORIZADOS!$A:$B,2,FALSE)),"")</f>
        <v>27</v>
      </c>
      <c r="C874" s="11" t="str">
        <f>IFERROR(IF(VLOOKUP(A874,[6]PRIORIZADOS!$A:$C,3,FALSE)="","",VLOOKUP(A874,[6]PRIORIZADOS!$A:$C,3,FALSE)),"")</f>
        <v>ENGATIVÁ</v>
      </c>
      <c r="D874" s="11" t="str">
        <f>IFERROR(IF(VLOOKUP(A874,[6]PRIORIZADOS!$A:$D,4,FALSE)="","",VLOOKUP(A874,[6]PRIORIZADOS!$A:$D,4,FALSE)),"")</f>
        <v>PRIVADO</v>
      </c>
      <c r="E874" s="11" t="str">
        <f>IFERROR(IF(VLOOKUP(A874,[6]PRIORIZADOS!$A:$E,5,FALSE)="","",VLOOKUP(A874,[6]PRIORIZADOS!$A:$E,5,FALSE)),"")</f>
        <v>EPBM</v>
      </c>
      <c r="F874" s="11" t="str">
        <f>IFERROR(IF(VLOOKUP(A874,[6]PRIORIZADOS!$A:$F,6,FALSE)="","",VLOOKUP(A874,[6]PRIORIZADOS!$A:$F,6,FALSE)),"")</f>
        <v>LICEO_NORMANDIA</v>
      </c>
      <c r="G874" s="11" t="str">
        <f>IFERROR(IF(VLOOKUP(A874,[6]PRIORIZADOS!$A:$G,7,FALSE)="","",VLOOKUP(A874,[6]PRIORIZADOS!$A:$G,7,FALSE)),"")</f>
        <v>LICEO_NORMANDIA</v>
      </c>
      <c r="H874" s="11" t="str">
        <f>IFERROR(IF(VLOOKUP(A874,[6]PRIORIZADOS!$A:$H,8,FALSE)="","",VLOOKUP(A874,[6]PRIORIZADOS!$A:$H,8,FALSE)),"")</f>
        <v>Autoevaluación Institucional y Pruebas SABER 11</v>
      </c>
      <c r="I874" s="11" t="str">
        <f>IFERROR(IF(VLOOKUP(A874,[6]PRIORIZADOS!$A:$I,9,FALSE)="","",VLOOKUP(A874,[6]PRIORIZADOS!$A:$I,9,FALSE)),"")</f>
        <v>SEGUIMIENTO_Y_SUPERVISIÓN.</v>
      </c>
      <c r="J874" s="11" t="str">
        <f>IFERROR(IF(VLOOKUP(A874,[6]PRIORIZADOS!$A:$J,10,FALSE)="","",VLOOKUP(A874,[6]PRIORIZADOS!$A:$J,10,FALSE)),"")</f>
        <v>Proponer estrategias en la formulación, verificar su elaboración y realizar seguimiento semestral al desarrollo de  las acciones establecidas en los planes de mejoramiento por pruebas SABER 11 de los establecimientos de educación formal.</v>
      </c>
      <c r="K874" s="11" t="str">
        <f>IFERROR(IF(VLOOKUP(A874,[6]PRIORIZADOS!$A:$K,11,FALSE)="","",VLOOKUP(A874,[6]PRIORIZADOS!$A:$K,11,FALSE)),"")</f>
        <v>ANA MARÍA CASAS SANABRIA</v>
      </c>
      <c r="L874" s="11" t="str">
        <f>IFERROR(IF(VLOOKUP(A874,[6]PRIORIZADOS!$A:$L,12,FALSE)="","",VLOOKUP(A874,[6]PRIORIZADOS!$A:$L,12,FALSE)),"")</f>
        <v>JAIME HUMBERTO RAMÍREZ LLANOS</v>
      </c>
      <c r="M874" s="71">
        <f>IFERROR(IF(VLOOKUP(A874,[6]PRIORIZADOS!$A:$M,13,FALSE)="","",VLOOKUP(A874,[6]PRIORIZADOS!$A:$M,13,FALSE)),"")</f>
        <v>45874</v>
      </c>
      <c r="N874" s="139">
        <f>IFERROR(IF(VLOOKUP(A874,[6]PRIORIZADOS!$A:$N,14,FALSE)="","",VLOOKUP(A874,[6]PRIORIZADOS!$A:$N,14,FALSE)),"")</f>
        <v>45874</v>
      </c>
      <c r="O874" s="139">
        <f>IFERROR(IF(VLOOKUP(A874,[6]PRIORIZADOS!$A:$O,15,FALSE)="","",VLOOKUP(A874,[6]PRIORIZADOS!$A:$O,15,FALSE)),"")</f>
        <v>45874</v>
      </c>
      <c r="P874" s="16" t="str">
        <f>IFERROR(IF(VLOOKUP(A874,[6]PRIORIZADOS!$A:$P,16,FALSE)="","",VLOOKUP(A874,[6]PRIORIZADOS!$A:$P,16,FALSE)),"")</f>
        <v>Visitas de evaluación con fines de seguimiento</v>
      </c>
      <c r="Q874" s="142" t="s">
        <v>157</v>
      </c>
      <c r="R874" s="90" t="str">
        <f>IFERROR(IF(VLOOKUP(A874,[6]PRIORIZADOS!$A:$R,18,FALSE)="","",VLOOKUP(A874,[6]PRIORIZADOS!$A:$R,18,FALSE)),"")</f>
        <v xml:space="preserve">El establecimiento presenta algunas estrategias basadas en los resultados de las pruebas saber, como ajuste del curriculo desde grado 6 hasta 11 </v>
      </c>
      <c r="S874" s="11" t="str">
        <f>IFERROR(IF(VLOOKUP(A874,[6]PRIORIZADOS!$A:$S,19,FALSE)="","",VLOOKUP(A874,[6]PRIORIZADOS!$A:$S,19,FALSE)),"")</f>
        <v>Se solicita tener encuenta la aprobacion de la estrategias por parte del consejo academico y directivo.</v>
      </c>
      <c r="T874" s="70" t="str">
        <f>IFERROR(IF(VLOOKUP(A874,[6]PRIORIZADOS!$A:$T,20,FALSE)="","",VLOOKUP(A874,[6]PRIORIZADOS!$A:$T,20,FALSE)),"")</f>
        <v>Si</v>
      </c>
      <c r="U874" s="11" t="str">
        <f>IFERROR(IF(VLOOKUP(A874,[6]PRIORIZADOS!$A:$U,21,FALSE)="","",VLOOKUP(A874,[6]PRIORIZADOS!$A:$U,21,FALSE)),"")</f>
        <v>Se requirió presentar Plan de Majoramiento con el fin de subsanar la situación actual. El PMI debe ser entregado al ELIV a más tardar el 21 de agosto de 2025</v>
      </c>
    </row>
    <row r="875" spans="1:21" s="1" customFormat="1" ht="48">
      <c r="A875" s="69">
        <f>IF([6]PRIORIZADOS!A241="","",[6]PRIORIZADOS!A241)</f>
        <v>816</v>
      </c>
      <c r="B875" s="70">
        <f>IFERROR(IF(VLOOKUP(A875,[6]PRIORIZADOS!$A:$B,2,FALSE)="","",VLOOKUP(A875,[6]PRIORIZADOS!$A:$B,2,FALSE)),"")</f>
        <v>27</v>
      </c>
      <c r="C875" s="11" t="str">
        <f>IFERROR(IF(VLOOKUP(A875,[6]PRIORIZADOS!$A:$C,3,FALSE)="","",VLOOKUP(A875,[6]PRIORIZADOS!$A:$C,3,FALSE)),"")</f>
        <v>ENGATIVÁ</v>
      </c>
      <c r="D875" s="11" t="str">
        <f>IFERROR(IF(VLOOKUP(A875,[6]PRIORIZADOS!$A:$D,4,FALSE)="","",VLOOKUP(A875,[6]PRIORIZADOS!$A:$D,4,FALSE)),"")</f>
        <v>PRIVADO</v>
      </c>
      <c r="E875" s="11" t="str">
        <f>IFERROR(IF(VLOOKUP(A875,[6]PRIORIZADOS!$A:$E,5,FALSE)="","",VLOOKUP(A875,[6]PRIORIZADOS!$A:$E,5,FALSE)),"")</f>
        <v>EPBM</v>
      </c>
      <c r="F875" s="11" t="str">
        <f>IFERROR(IF(VLOOKUP(A875,[6]PRIORIZADOS!$A:$F,6,FALSE)="","",VLOOKUP(A875,[6]PRIORIZADOS!$A:$F,6,FALSE)),"")</f>
        <v>LICEO_NORMANDIA</v>
      </c>
      <c r="G875" s="11" t="str">
        <f>IFERROR(IF(VLOOKUP(A875,[6]PRIORIZADOS!$A:$G,7,FALSE)="","",VLOOKUP(A875,[6]PRIORIZADOS!$A:$G,7,FALSE)),"")</f>
        <v>LICEO_NORMANDIA</v>
      </c>
      <c r="H875" s="11" t="str">
        <f>IFERROR(IF(VLOOKUP(A875,[6]PRIORIZADOS!$A:$H,8,FALSE)="","",VLOOKUP(A875,[6]PRIORIZADOS!$A:$H,8,FALSE)),"")</f>
        <v>Autoevaluación Institucional y Pruebas SABER 11</v>
      </c>
      <c r="I875" s="11" t="str">
        <f>IFERROR(IF(VLOOKUP(A875,[6]PRIORIZADOS!$A:$I,9,FALSE)="","",VLOOKUP(A875,[6]PRIORIZADOS!$A:$I,9,FALSE)),"")</f>
        <v>SEGUIMIENTO_Y_SUPERVISIÓN.</v>
      </c>
      <c r="J875" s="11" t="str">
        <f>IFERROR(IF(VLOOKUP(A875,[6]PRIORIZADOS!$A:$J,10,FALSE)="","",VLOOKUP(A875,[6]PRIORIZADOS!$A:$J,10,FALSE)),"")</f>
        <v xml:space="preserve">Verificar la implementación por parte de los colegios, de acciones realizadas para la prevención y atención de las situaciones de convivencia en el entorno escolar, según lo establecido en la Directiva 01 de 2022 del MEN. </v>
      </c>
      <c r="K875" s="11" t="str">
        <f>IFERROR(IF(VLOOKUP(A875,[6]PRIORIZADOS!$A:$K,11,FALSE)="","",VLOOKUP(A875,[6]PRIORIZADOS!$A:$K,11,FALSE)),"")</f>
        <v>ANA MARÍA CASAS SANABRIA</v>
      </c>
      <c r="L875" s="11" t="str">
        <f>IFERROR(IF(VLOOKUP(A875,[6]PRIORIZADOS!$A:$L,12,FALSE)="","",VLOOKUP(A875,[6]PRIORIZADOS!$A:$L,12,FALSE)),"")</f>
        <v>JAIME HUMBERTO RAMÍREZ LLANOS</v>
      </c>
      <c r="M875" s="71">
        <f>IFERROR(IF(VLOOKUP(A875,[6]PRIORIZADOS!$A:$M,13,FALSE)="","",VLOOKUP(A875,[6]PRIORIZADOS!$A:$M,13,FALSE)),"")</f>
        <v>45874</v>
      </c>
      <c r="N875" s="139">
        <f>IFERROR(IF(VLOOKUP(A875,[6]PRIORIZADOS!$A:$N,14,FALSE)="","",VLOOKUP(A875,[6]PRIORIZADOS!$A:$N,14,FALSE)),"")</f>
        <v>45874</v>
      </c>
      <c r="O875" s="139">
        <f>IFERROR(IF(VLOOKUP(A875,[6]PRIORIZADOS!$A:$O,15,FALSE)="","",VLOOKUP(A875,[6]PRIORIZADOS!$A:$O,15,FALSE)),"")</f>
        <v>45874</v>
      </c>
      <c r="P875" s="16" t="str">
        <f>IFERROR(IF(VLOOKUP(A875,[6]PRIORIZADOS!$A:$P,16,FALSE)="","",VLOOKUP(A875,[6]PRIORIZADOS!$A:$P,16,FALSE)),"")</f>
        <v>Visitas de evaluación con fines de seguimiento</v>
      </c>
      <c r="Q875" s="142" t="s">
        <v>157</v>
      </c>
      <c r="R875" s="90" t="str">
        <f>IFERROR(IF(VLOOKUP(A875,[6]PRIORIZADOS!$A:$R,18,FALSE)="","",VLOOKUP(A875,[6]PRIORIZADOS!$A:$R,18,FALSE)),"")</f>
        <v>El E.E. realiza verificación de inhabilidad por parte del personal contratado cada 4 meses.</v>
      </c>
      <c r="S875" s="11" t="str">
        <f>IFERROR(IF(VLOOKUP(A875,[6]PRIORIZADOS!$A:$S,19,FALSE)="","",VLOOKUP(A875,[6]PRIORIZADOS!$A:$S,19,FALSE)),"")</f>
        <v>Se recomienda tener encuenta todas las acciones que establece la directiva como estrategia de prevencion y atencion.</v>
      </c>
      <c r="T875" s="70" t="str">
        <f>IFERROR(IF(VLOOKUP(A875,[6]PRIORIZADOS!$A:$T,20,FALSE)="","",VLOOKUP(A875,[6]PRIORIZADOS!$A:$T,20,FALSE)),"")</f>
        <v>Si</v>
      </c>
      <c r="U875" s="11" t="str">
        <f>IFERROR(IF(VLOOKUP(A875,[6]PRIORIZADOS!$A:$U,21,FALSE)="","",VLOOKUP(A875,[6]PRIORIZADOS!$A:$U,21,FALSE)),"")</f>
        <v>Se requirió presentar Plan de Majoramiento con el fin de subsanar la situación actual. El PMI debe ser entregado al ELIV a más tardar el 21 de agosto de 2025</v>
      </c>
    </row>
    <row r="876" spans="1:21" s="1" customFormat="1" ht="72">
      <c r="A876" s="69">
        <f>IF([6]PRIORIZADOS!A242="","",[6]PRIORIZADOS!A242)</f>
        <v>817</v>
      </c>
      <c r="B876" s="70">
        <f>IFERROR(IF(VLOOKUP(A876,[6]PRIORIZADOS!$A:$B,2,FALSE)="","",VLOOKUP(A876,[6]PRIORIZADOS!$A:$B,2,FALSE)),"")</f>
        <v>27</v>
      </c>
      <c r="C876" s="11" t="str">
        <f>IFERROR(IF(VLOOKUP(A876,[6]PRIORIZADOS!$A:$C,3,FALSE)="","",VLOOKUP(A876,[6]PRIORIZADOS!$A:$C,3,FALSE)),"")</f>
        <v>ENGATIVÁ</v>
      </c>
      <c r="D876" s="11" t="str">
        <f>IFERROR(IF(VLOOKUP(A876,[6]PRIORIZADOS!$A:$D,4,FALSE)="","",VLOOKUP(A876,[6]PRIORIZADOS!$A:$D,4,FALSE)),"")</f>
        <v>PRIVADO</v>
      </c>
      <c r="E876" s="11" t="str">
        <f>IFERROR(IF(VLOOKUP(A876,[6]PRIORIZADOS!$A:$E,5,FALSE)="","",VLOOKUP(A876,[6]PRIORIZADOS!$A:$E,5,FALSE)),"")</f>
        <v>EPBM</v>
      </c>
      <c r="F876" s="11" t="str">
        <f>IFERROR(IF(VLOOKUP(A876,[6]PRIORIZADOS!$A:$F,6,FALSE)="","",VLOOKUP(A876,[6]PRIORIZADOS!$A:$F,6,FALSE)),"")</f>
        <v>LICEO_NORMANDIA</v>
      </c>
      <c r="G876" s="11" t="str">
        <f>IFERROR(IF(VLOOKUP(A876,[6]PRIORIZADOS!$A:$G,7,FALSE)="","",VLOOKUP(A876,[6]PRIORIZADOS!$A:$G,7,FALSE)),"")</f>
        <v>LICEO_NORMANDIA</v>
      </c>
      <c r="H876" s="11" t="str">
        <f>IFERROR(IF(VLOOKUP(A876,[6]PRIORIZADOS!$A:$H,8,FALSE)="","",VLOOKUP(A876,[6]PRIORIZADOS!$A:$H,8,FALSE)),"")</f>
        <v>Autoevaluación Institucional y Pruebas SABER 11</v>
      </c>
      <c r="I876" s="11" t="str">
        <f>IFERROR(IF(VLOOKUP(A876,[6]PRIORIZADOS!$A:$I,9,FALSE)="","",VLOOKUP(A876,[6]PRIORIZADOS!$A:$I,9,FALSE)),"")</f>
        <v>SEGUIMIENTO_Y_SUPERVISIÓN.</v>
      </c>
      <c r="J876" s="11" t="str">
        <f>IFERROR(IF(VLOOKUP(A876,[6]PRIORIZADOS!$A:$J,10,FALSE)="","",VLOOKUP(A876,[6]PRIORIZADOS!$A:$J,10,FALSE)),"")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76" s="11" t="str">
        <f>IFERROR(IF(VLOOKUP(A876,[6]PRIORIZADOS!$A:$K,11,FALSE)="","",VLOOKUP(A876,[6]PRIORIZADOS!$A:$K,11,FALSE)),"")</f>
        <v>ANA MARÍA CASAS SANABRIA</v>
      </c>
      <c r="L876" s="11" t="str">
        <f>IFERROR(IF(VLOOKUP(A876,[6]PRIORIZADOS!$A:$L,12,FALSE)="","",VLOOKUP(A876,[6]PRIORIZADOS!$A:$L,12,FALSE)),"")</f>
        <v>JAIME HUMBERTO RAMÍREZ LLANOS</v>
      </c>
      <c r="M876" s="71">
        <f>IFERROR(IF(VLOOKUP(A876,[6]PRIORIZADOS!$A:$M,13,FALSE)="","",VLOOKUP(A876,[6]PRIORIZADOS!$A:$M,13,FALSE)),"")</f>
        <v>45874</v>
      </c>
      <c r="N876" s="139">
        <f>IFERROR(IF(VLOOKUP(A876,[6]PRIORIZADOS!$A:$N,14,FALSE)="","",VLOOKUP(A876,[6]PRIORIZADOS!$A:$N,14,FALSE)),"")</f>
        <v>45874</v>
      </c>
      <c r="O876" s="139">
        <f>IFERROR(IF(VLOOKUP(A876,[6]PRIORIZADOS!$A:$O,15,FALSE)="","",VLOOKUP(A876,[6]PRIORIZADOS!$A:$O,15,FALSE)),"")</f>
        <v>45874</v>
      </c>
      <c r="P876" s="16" t="str">
        <f>IFERROR(IF(VLOOKUP(A876,[6]PRIORIZADOS!$A:$P,16,FALSE)="","",VLOOKUP(A876,[6]PRIORIZADOS!$A:$P,16,FALSE)),"")</f>
        <v>Visitas de evaluación con fines de seguimiento</v>
      </c>
      <c r="Q876" s="142" t="s">
        <v>157</v>
      </c>
      <c r="R876" s="90" t="str">
        <f>IFERROR(IF(VLOOKUP(A876,[6]PRIORIZADOS!$A:$R,18,FALSE)="","",VLOOKUP(A876,[6]PRIORIZADOS!$A:$R,18,FALSE)),"")</f>
        <v>Se observa que diseña los  los PIAR  con acompañmiento de orientacion y los docentes de aula.</v>
      </c>
      <c r="S876" s="11" t="str">
        <f>IFERROR(IF(VLOOKUP(A876,[6]PRIORIZADOS!$A:$S,19,FALSE)="","",VLOOKUP(A876,[6]PRIORIZADOS!$A:$S,19,FALSE)),"")</f>
        <v>Se dan recomendaciones para el correcto diseño de los PIAR y se solciita verificar en el SIMAT algunops estudiantes que estan caracterizados, pero la insitucion no tiene conocimiento de diagnosticos.</v>
      </c>
      <c r="T876" s="70" t="str">
        <f>IFERROR(IF(VLOOKUP(A876,[6]PRIORIZADOS!$A:$T,20,FALSE)="","",VLOOKUP(A876,[6]PRIORIZADOS!$A:$T,20,FALSE)),"")</f>
        <v>Si</v>
      </c>
      <c r="U876" s="11" t="str">
        <f>IFERROR(IF(VLOOKUP(A876,[6]PRIORIZADOS!$A:$U,21,FALSE)="","",VLOOKUP(A876,[6]PRIORIZADOS!$A:$U,21,FALSE)),"")</f>
        <v>Se requirió presentar Plan de Majoramiento con el fin de subsanar la situación actual. El PMI debe ser entregado al ELIV a más tardar el 21 de agosto de 2025</v>
      </c>
    </row>
    <row r="877" spans="1:21" s="1" customFormat="1" ht="84">
      <c r="A877" s="69">
        <f>IF([6]PRIORIZADOS!A243="","",[6]PRIORIZADOS!A243)</f>
        <v>818</v>
      </c>
      <c r="B877" s="70">
        <f>IFERROR(IF(VLOOKUP(A877,[6]PRIORIZADOS!$A:$B,2,FALSE)="","",VLOOKUP(A877,[6]PRIORIZADOS!$A:$B,2,FALSE)),"")</f>
        <v>27</v>
      </c>
      <c r="C877" s="11" t="str">
        <f>IFERROR(IF(VLOOKUP(A877,[6]PRIORIZADOS!$A:$C,3,FALSE)="","",VLOOKUP(A877,[6]PRIORIZADOS!$A:$C,3,FALSE)),"")</f>
        <v>ENGATIVÁ</v>
      </c>
      <c r="D877" s="11" t="str">
        <f>IFERROR(IF(VLOOKUP(A877,[6]PRIORIZADOS!$A:$D,4,FALSE)="","",VLOOKUP(A877,[6]PRIORIZADOS!$A:$D,4,FALSE)),"")</f>
        <v>PRIVADO</v>
      </c>
      <c r="E877" s="11" t="str">
        <f>IFERROR(IF(VLOOKUP(A877,[6]PRIORIZADOS!$A:$E,5,FALSE)="","",VLOOKUP(A877,[6]PRIORIZADOS!$A:$E,5,FALSE)),"")</f>
        <v>EPBM</v>
      </c>
      <c r="F877" s="11" t="str">
        <f>IFERROR(IF(VLOOKUP(A877,[6]PRIORIZADOS!$A:$F,6,FALSE)="","",VLOOKUP(A877,[6]PRIORIZADOS!$A:$F,6,FALSE)),"")</f>
        <v>LICEO_NORMANDIA</v>
      </c>
      <c r="G877" s="11" t="str">
        <f>IFERROR(IF(VLOOKUP(A877,[6]PRIORIZADOS!$A:$G,7,FALSE)="","",VLOOKUP(A877,[6]PRIORIZADOS!$A:$G,7,FALSE)),"")</f>
        <v>LICEO_NORMANDIA</v>
      </c>
      <c r="H877" s="11" t="str">
        <f>IFERROR(IF(VLOOKUP(A877,[6]PRIORIZADOS!$A:$H,8,FALSE)="","",VLOOKUP(A877,[6]PRIORIZADOS!$A:$H,8,FALSE)),"")</f>
        <v>Autoevaluación Institucional y Pruebas SABER 11</v>
      </c>
      <c r="I877" s="11" t="str">
        <f>IFERROR(IF(VLOOKUP(A877,[6]PRIORIZADOS!$A:$I,9,FALSE)="","",VLOOKUP(A877,[6]PRIORIZADOS!$A:$I,9,FALSE)),"")</f>
        <v>EVALUACIÓN_CON_FINES_DE_MEJORAMIENTO.</v>
      </c>
      <c r="J877" s="11" t="str">
        <f>IFERROR(IF(VLOOKUP(A877,[6]PRIORIZADOS!$A:$J,10,FALSE)="","",VLOOKUP(A877,[6]PRIORIZADOS!$A:$J,10,FALSE)),"")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77" s="11" t="str">
        <f>IFERROR(IF(VLOOKUP(A877,[6]PRIORIZADOS!$A:$K,11,FALSE)="","",VLOOKUP(A877,[6]PRIORIZADOS!$A:$K,11,FALSE)),"")</f>
        <v>ANA MARÍA CASAS SANABRIA</v>
      </c>
      <c r="L877" s="11" t="str">
        <f>IFERROR(IF(VLOOKUP(A877,[6]PRIORIZADOS!$A:$L,12,FALSE)="","",VLOOKUP(A877,[6]PRIORIZADOS!$A:$L,12,FALSE)),"")</f>
        <v>JAIME HUMBERTO RAMÍREZ LLANOS</v>
      </c>
      <c r="M877" s="71">
        <f>IFERROR(IF(VLOOKUP(A877,[6]PRIORIZADOS!$A:$M,13,FALSE)="","",VLOOKUP(A877,[6]PRIORIZADOS!$A:$M,13,FALSE)),"")</f>
        <v>45874</v>
      </c>
      <c r="N877" s="139">
        <f>IFERROR(IF(VLOOKUP(A877,[6]PRIORIZADOS!$A:$N,14,FALSE)="","",VLOOKUP(A877,[6]PRIORIZADOS!$A:$N,14,FALSE)),"")</f>
        <v>45874</v>
      </c>
      <c r="O877" s="139">
        <f>IFERROR(IF(VLOOKUP(A877,[6]PRIORIZADOS!$A:$O,15,FALSE)="","",VLOOKUP(A877,[6]PRIORIZADOS!$A:$O,15,FALSE)),"")</f>
        <v>45874</v>
      </c>
      <c r="P877" s="16" t="str">
        <f>IFERROR(IF(VLOOKUP(A877,[6]PRIORIZADOS!$A:$P,16,FALSE)="","",VLOOKUP(A877,[6]PRIORIZADOS!$A:$P,16,FALSE)),"")</f>
        <v>Visitas de evaluación con fines de mejoramiento</v>
      </c>
      <c r="Q877" s="142" t="s">
        <v>157</v>
      </c>
      <c r="R877" s="90" t="str">
        <f>IFERROR(IF(VLOOKUP(A877,[6]PRIORIZADOS!$A:$R,18,FALSE)="","",VLOOKUP(A877,[6]PRIORIZADOS!$A:$R,18,FALSE)),"")</f>
        <v xml:space="preserve">la insitucion evidencia una participacion  por parte de la comunidad educativa en actualización del manual se evidencia confucion entre faltas y situaciones convivenciales </v>
      </c>
      <c r="S877" s="11" t="str">
        <f>IFERROR(IF(VLOOKUP(A877,[6]PRIORIZADOS!$A:$S,19,FALSE)="","",VLOOKUP(A877,[6]PRIORIZADOS!$A:$S,19,FALSE)),"")</f>
        <v>Se indica que debe quedar registrado la participacion de toda la comunidad  educativa en la actualización del manual de convivencia</v>
      </c>
      <c r="T877" s="70" t="str">
        <f>IFERROR(IF(VLOOKUP(A877,[6]PRIORIZADOS!$A:$T,20,FALSE)="","",VLOOKUP(A877,[6]PRIORIZADOS!$A:$T,20,FALSE)),"")</f>
        <v>Si</v>
      </c>
      <c r="U877" s="11" t="str">
        <f>IFERROR(IF(VLOOKUP(A877,[6]PRIORIZADOS!$A:$U,21,FALSE)="","",VLOOKUP(A877,[6]PRIORIZADOS!$A:$U,21,FALSE)),"")</f>
        <v>Se requirió presentar Plan de Majoramiento con el fin de subsanar la situación actual. El PMI debe ser entregado al ELIV a más tardar el 21 de agosto de 2025</v>
      </c>
    </row>
    <row r="878" spans="1:21" s="1" customFormat="1" ht="60">
      <c r="A878" s="69">
        <f>IF([6]PRIORIZADOS!A244="","",[6]PRIORIZADOS!A244)</f>
        <v>819</v>
      </c>
      <c r="B878" s="70">
        <f>IFERROR(IF(VLOOKUP(A878,[6]PRIORIZADOS!$A:$B,2,FALSE)="","",VLOOKUP(A878,[6]PRIORIZADOS!$A:$B,2,FALSE)),"")</f>
        <v>27</v>
      </c>
      <c r="C878" s="11" t="str">
        <f>IFERROR(IF(VLOOKUP(A878,[6]PRIORIZADOS!$A:$C,3,FALSE)="","",VLOOKUP(A878,[6]PRIORIZADOS!$A:$C,3,FALSE)),"")</f>
        <v>ENGATIVÁ</v>
      </c>
      <c r="D878" s="11" t="str">
        <f>IFERROR(IF(VLOOKUP(A878,[6]PRIORIZADOS!$A:$D,4,FALSE)="","",VLOOKUP(A878,[6]PRIORIZADOS!$A:$D,4,FALSE)),"")</f>
        <v>PRIVADO</v>
      </c>
      <c r="E878" s="11" t="str">
        <f>IFERROR(IF(VLOOKUP(A878,[6]PRIORIZADOS!$A:$E,5,FALSE)="","",VLOOKUP(A878,[6]PRIORIZADOS!$A:$E,5,FALSE)),"")</f>
        <v>EPBM</v>
      </c>
      <c r="F878" s="11" t="str">
        <f>IFERROR(IF(VLOOKUP(A878,[6]PRIORIZADOS!$A:$F,6,FALSE)="","",VLOOKUP(A878,[6]PRIORIZADOS!$A:$F,6,FALSE)),"")</f>
        <v>LICEO_NORMANDIA</v>
      </c>
      <c r="G878" s="11" t="str">
        <f>IFERROR(IF(VLOOKUP(A878,[6]PRIORIZADOS!$A:$G,7,FALSE)="","",VLOOKUP(A878,[6]PRIORIZADOS!$A:$G,7,FALSE)),"")</f>
        <v>LICEO_NORMANDIA</v>
      </c>
      <c r="H878" s="11" t="str">
        <f>IFERROR(IF(VLOOKUP(A878,[6]PRIORIZADOS!$A:$H,8,FALSE)="","",VLOOKUP(A878,[6]PRIORIZADOS!$A:$H,8,FALSE)),"")</f>
        <v>Autoevaluación Institucional y Pruebas SABER 11</v>
      </c>
      <c r="I878" s="11" t="str">
        <f>IFERROR(IF(VLOOKUP(A878,[6]PRIORIZADOS!$A:$I,9,FALSE)="","",VLOOKUP(A878,[6]PRIORIZADOS!$A:$I,9,FALSE)),"")</f>
        <v>EVALUACIÓN_CON_FINES_DE_MEJORAMIENTO.</v>
      </c>
      <c r="J878" s="11" t="str">
        <f>IFERROR(IF(VLOOKUP(A878,[6]PRIORIZADOS!$A:$J,10,FALSE)="","",VLOOKUP(A878,[6]PRIORIZADOS!$A:$J,10,FALSE)),"")</f>
        <v>Revisar la actualización, socialización e implementación del Sistema Institucional de Evaluación de Estudiantes - SIEE, en articulación con la actualización del PEI y la normatividad vigente.</v>
      </c>
      <c r="K878" s="11" t="str">
        <f>IFERROR(IF(VLOOKUP(A878,[6]PRIORIZADOS!$A:$K,11,FALSE)="","",VLOOKUP(A878,[6]PRIORIZADOS!$A:$K,11,FALSE)),"")</f>
        <v>ANA MARÍA CASAS SANABRIA</v>
      </c>
      <c r="L878" s="11" t="str">
        <f>IFERROR(IF(VLOOKUP(A878,[6]PRIORIZADOS!$A:$L,12,FALSE)="","",VLOOKUP(A878,[6]PRIORIZADOS!$A:$L,12,FALSE)),"")</f>
        <v>JAIME HUMBERTO RAMÍREZ LLANOS</v>
      </c>
      <c r="M878" s="71">
        <f>IFERROR(IF(VLOOKUP(A878,[6]PRIORIZADOS!$A:$M,13,FALSE)="","",VLOOKUP(A878,[6]PRIORIZADOS!$A:$M,13,FALSE)),"")</f>
        <v>45874</v>
      </c>
      <c r="N878" s="139">
        <f>IFERROR(IF(VLOOKUP(A878,[6]PRIORIZADOS!$A:$N,14,FALSE)="","",VLOOKUP(A878,[6]PRIORIZADOS!$A:$N,14,FALSE)),"")</f>
        <v>45874</v>
      </c>
      <c r="O878" s="139">
        <f>IFERROR(IF(VLOOKUP(A878,[6]PRIORIZADOS!$A:$O,15,FALSE)="","",VLOOKUP(A878,[6]PRIORIZADOS!$A:$O,15,FALSE)),"")</f>
        <v>45874</v>
      </c>
      <c r="P878" s="16" t="str">
        <f>IFERROR(IF(VLOOKUP(A878,[6]PRIORIZADOS!$A:$P,16,FALSE)="","",VLOOKUP(A878,[6]PRIORIZADOS!$A:$P,16,FALSE)),"")</f>
        <v>Visitas de evaluación con fines de mejoramiento</v>
      </c>
      <c r="Q878" s="142" t="s">
        <v>157</v>
      </c>
      <c r="R878" s="90" t="str">
        <f>IFERROR(IF(VLOOKUP(A878,[6]PRIORIZADOS!$A:$R,18,FALSE)="","",VLOOKUP(A878,[6]PRIORIZADOS!$A:$R,18,FALSE)),"")</f>
        <v xml:space="preserve">la insitucion evidencia una participacion  por parte de la comunidad educativa en actualización del manual se evidencia confucion entre faltas y situaciones convivenciales </v>
      </c>
      <c r="S878" s="11" t="str">
        <f>IFERROR(IF(VLOOKUP(A878,[6]PRIORIZADOS!$A:$S,19,FALSE)="","",VLOOKUP(A878,[6]PRIORIZADOS!$A:$S,19,FALSE)),"")</f>
        <v>Se indica que debe quedar registrado la participacion de toda la comunidad  educativa en la actualización del manual de convivencia</v>
      </c>
      <c r="T878" s="70" t="str">
        <f>IFERROR(IF(VLOOKUP(A878,[6]PRIORIZADOS!$A:$T,20,FALSE)="","",VLOOKUP(A878,[6]PRIORIZADOS!$A:$T,20,FALSE)),"")</f>
        <v>Si</v>
      </c>
      <c r="U878" s="11" t="str">
        <f>IFERROR(IF(VLOOKUP(A878,[6]PRIORIZADOS!$A:$U,21,FALSE)="","",VLOOKUP(A878,[6]PRIORIZADOS!$A:$U,21,FALSE)),"")</f>
        <v>Se requirió presentar Plan de Majoramiento con el fin de subsanar la situación actual. El PMI debe ser entregado al ELIV a más tardar el 21 de agosto de 2025</v>
      </c>
    </row>
    <row r="879" spans="1:21" s="1" customFormat="1" ht="48">
      <c r="A879" s="69">
        <f>IF([6]PRIORIZADOS!A245="","",[6]PRIORIZADOS!A245)</f>
        <v>820</v>
      </c>
      <c r="B879" s="70">
        <f>IFERROR(IF(VLOOKUP(A879,[6]PRIORIZADOS!$A:$B,2,FALSE)="","",VLOOKUP(A879,[6]PRIORIZADOS!$A:$B,2,FALSE)),"")</f>
        <v>27</v>
      </c>
      <c r="C879" s="11" t="str">
        <f>IFERROR(IF(VLOOKUP(A879,[6]PRIORIZADOS!$A:$C,3,FALSE)="","",VLOOKUP(A879,[6]PRIORIZADOS!$A:$C,3,FALSE)),"")</f>
        <v>ENGATIVÁ</v>
      </c>
      <c r="D879" s="11" t="str">
        <f>IFERROR(IF(VLOOKUP(A879,[6]PRIORIZADOS!$A:$D,4,FALSE)="","",VLOOKUP(A879,[6]PRIORIZADOS!$A:$D,4,FALSE)),"")</f>
        <v>PRIVADO</v>
      </c>
      <c r="E879" s="11" t="str">
        <f>IFERROR(IF(VLOOKUP(A879,[6]PRIORIZADOS!$A:$E,5,FALSE)="","",VLOOKUP(A879,[6]PRIORIZADOS!$A:$E,5,FALSE)),"")</f>
        <v>EPBM</v>
      </c>
      <c r="F879" s="11" t="str">
        <f>IFERROR(IF(VLOOKUP(A879,[6]PRIORIZADOS!$A:$F,6,FALSE)="","",VLOOKUP(A879,[6]PRIORIZADOS!$A:$F,6,FALSE)),"")</f>
        <v>LICEO_NORMANDIA</v>
      </c>
      <c r="G879" s="11" t="str">
        <f>IFERROR(IF(VLOOKUP(A879,[6]PRIORIZADOS!$A:$G,7,FALSE)="","",VLOOKUP(A879,[6]PRIORIZADOS!$A:$G,7,FALSE)),"")</f>
        <v>LICEO_NORMANDIA</v>
      </c>
      <c r="H879" s="11" t="str">
        <f>IFERROR(IF(VLOOKUP(A879,[6]PRIORIZADOS!$A:$H,8,FALSE)="","",VLOOKUP(A879,[6]PRIORIZADOS!$A:$H,8,FALSE)),"")</f>
        <v>Autoevaluación Institucional y Pruebas SABER 11</v>
      </c>
      <c r="I879" s="11" t="str">
        <f>IFERROR(IF(VLOOKUP(A879,[6]PRIORIZADOS!$A:$I,9,FALSE)="","",VLOOKUP(A879,[6]PRIORIZADOS!$A:$I,9,FALSE)),"")</f>
        <v>EVALUACIÓN_CON_FINES_DE_MEJORAMIENTO.</v>
      </c>
      <c r="J879" s="11" t="str">
        <f>IFERROR(IF(VLOOKUP(A879,[6]PRIORIZADOS!$A:$J,10,FALSE)="","",VLOOKUP(A879,[6]PRIORIZADOS!$A:$J,10,FALSE)),"")</f>
        <v>Revisar el calendario escolar, jornada escolar, la intensidad horaria mínima anual en cada nivel y las modificaciones que se realicen al mismo, de acuerdo con lo previsto en la normatividad vigente.</v>
      </c>
      <c r="K879" s="11" t="str">
        <f>IFERROR(IF(VLOOKUP(A879,[6]PRIORIZADOS!$A:$K,11,FALSE)="","",VLOOKUP(A879,[6]PRIORIZADOS!$A:$K,11,FALSE)),"")</f>
        <v>ANA MARÍA CASAS SANABRIA</v>
      </c>
      <c r="L879" s="11" t="str">
        <f>IFERROR(IF(VLOOKUP(A879,[6]PRIORIZADOS!$A:$L,12,FALSE)="","",VLOOKUP(A879,[6]PRIORIZADOS!$A:$L,12,FALSE)),"")</f>
        <v>JAIME HUMBERTO RAMÍREZ LLANOS</v>
      </c>
      <c r="M879" s="71">
        <f>IFERROR(IF(VLOOKUP(A879,[6]PRIORIZADOS!$A:$M,13,FALSE)="","",VLOOKUP(A879,[6]PRIORIZADOS!$A:$M,13,FALSE)),"")</f>
        <v>45874</v>
      </c>
      <c r="N879" s="139">
        <f>IFERROR(IF(VLOOKUP(A879,[6]PRIORIZADOS!$A:$N,14,FALSE)="","",VLOOKUP(A879,[6]PRIORIZADOS!$A:$N,14,FALSE)),"")</f>
        <v>45874</v>
      </c>
      <c r="O879" s="139">
        <f>IFERROR(IF(VLOOKUP(A879,[6]PRIORIZADOS!$A:$O,15,FALSE)="","",VLOOKUP(A879,[6]PRIORIZADOS!$A:$O,15,FALSE)),"")</f>
        <v>45874</v>
      </c>
      <c r="P879" s="16" t="str">
        <f>IFERROR(IF(VLOOKUP(A879,[6]PRIORIZADOS!$A:$P,16,FALSE)="","",VLOOKUP(A879,[6]PRIORIZADOS!$A:$P,16,FALSE)),"")</f>
        <v>Visitas de evaluación con fines de mejoramiento</v>
      </c>
      <c r="Q879" s="142" t="s">
        <v>157</v>
      </c>
      <c r="R879" s="90" t="str">
        <f>IFERROR(IF(VLOOKUP(A879,[6]PRIORIZADOS!$A:$R,18,FALSE)="","",VLOOKUP(A879,[6]PRIORIZADOS!$A:$R,18,FALSE)),"")</f>
        <v xml:space="preserve">Se revisa en el calendario escolar  horario de clases y docentes el cumplimiento de la intensidad horaria </v>
      </c>
      <c r="S879" s="11" t="str">
        <f>IFERROR(IF(VLOOKUP(A879,[6]PRIORIZADOS!$A:$S,19,FALSE)="","",VLOOKUP(A879,[6]PRIORIZADOS!$A:$S,19,FALSE)),"")</f>
        <v>El colegio cumple la intensidad horaria establecida por nivel según normativa vigente</v>
      </c>
      <c r="T879" s="70" t="str">
        <f>IFERROR(IF(VLOOKUP(A879,[6]PRIORIZADOS!$A:$T,20,FALSE)="","",VLOOKUP(A879,[6]PRIORIZADOS!$A:$T,20,FALSE)),"")</f>
        <v>No</v>
      </c>
      <c r="U879" s="11" t="str">
        <f>IFERROR(IF(VLOOKUP(A879,[6]PRIORIZADOS!$A:$U,21,FALSE)="","",VLOOKUP(A879,[6]PRIORIZADOS!$A:$U,21,FALSE)),"")</f>
        <v>Se verificará en proximas visitas</v>
      </c>
    </row>
    <row r="880" spans="1:21" s="1" customFormat="1" ht="72">
      <c r="A880" s="69">
        <f>IF([6]PRIORIZADOS!A246="","",[6]PRIORIZADOS!A246)</f>
        <v>821</v>
      </c>
      <c r="B880" s="70">
        <f>IFERROR(IF(VLOOKUP(A880,[6]PRIORIZADOS!$A:$B,2,FALSE)="","",VLOOKUP(A880,[6]PRIORIZADOS!$A:$B,2,FALSE)),"")</f>
        <v>27</v>
      </c>
      <c r="C880" s="11" t="str">
        <f>IFERROR(IF(VLOOKUP(A880,[6]PRIORIZADOS!$A:$C,3,FALSE)="","",VLOOKUP(A880,[6]PRIORIZADOS!$A:$C,3,FALSE)),"")</f>
        <v>ENGATIVÁ</v>
      </c>
      <c r="D880" s="11" t="str">
        <f>IFERROR(IF(VLOOKUP(A880,[6]PRIORIZADOS!$A:$D,4,FALSE)="","",VLOOKUP(A880,[6]PRIORIZADOS!$A:$D,4,FALSE)),"")</f>
        <v>PRIVADO</v>
      </c>
      <c r="E880" s="11" t="str">
        <f>IFERROR(IF(VLOOKUP(A880,[6]PRIORIZADOS!$A:$E,5,FALSE)="","",VLOOKUP(A880,[6]PRIORIZADOS!$A:$E,5,FALSE)),"")</f>
        <v>EPBM</v>
      </c>
      <c r="F880" s="11" t="str">
        <f>IFERROR(IF(VLOOKUP(A880,[6]PRIORIZADOS!$A:$F,6,FALSE)="","",VLOOKUP(A880,[6]PRIORIZADOS!$A:$F,6,FALSE)),"")</f>
        <v>LICEO_NORMANDIA</v>
      </c>
      <c r="G880" s="11" t="str">
        <f>IFERROR(IF(VLOOKUP(A880,[6]PRIORIZADOS!$A:$G,7,FALSE)="","",VLOOKUP(A880,[6]PRIORIZADOS!$A:$G,7,FALSE)),"")</f>
        <v>LICEO_NORMANDIA</v>
      </c>
      <c r="H880" s="11" t="str">
        <f>IFERROR(IF(VLOOKUP(A880,[6]PRIORIZADOS!$A:$H,8,FALSE)="","",VLOOKUP(A880,[6]PRIORIZADOS!$A:$H,8,FALSE)),"")</f>
        <v>Autoevaluación Institucional y Pruebas SABER 11</v>
      </c>
      <c r="I880" s="11" t="str">
        <f>IFERROR(IF(VLOOKUP(A880,[6]PRIORIZADOS!$A:$I,9,FALSE)="","",VLOOKUP(A880,[6]PRIORIZADOS!$A:$I,9,FALSE)),"")</f>
        <v>EVALUACIÓN_CON_FINES_DE_MEJORAMIENTO.</v>
      </c>
      <c r="J880" s="11" t="str">
        <f>IFERROR(IF(VLOOKUP(A880,[6]PRIORIZADOS!$A:$J,10,FALSE)="","",VLOOKUP(A880,[6]PRIORIZADOS!$A:$J,10,FALSE)),"")</f>
        <v>Verificar el funcionamiento del Gobierno Escolar e instancias de participación con base en la información sobre conformación reportada por la institución educativa.</v>
      </c>
      <c r="K880" s="11" t="str">
        <f>IFERROR(IF(VLOOKUP(A880,[6]PRIORIZADOS!$A:$K,11,FALSE)="","",VLOOKUP(A880,[6]PRIORIZADOS!$A:$K,11,FALSE)),"")</f>
        <v>ANA MARÍA CASAS SANABRIA</v>
      </c>
      <c r="L880" s="11" t="str">
        <f>IFERROR(IF(VLOOKUP(A880,[6]PRIORIZADOS!$A:$L,12,FALSE)="","",VLOOKUP(A880,[6]PRIORIZADOS!$A:$L,12,FALSE)),"")</f>
        <v>JAIME HUMBERTO RAMÍREZ LLANOS</v>
      </c>
      <c r="M880" s="71">
        <f>IFERROR(IF(VLOOKUP(A880,[6]PRIORIZADOS!$A:$M,13,FALSE)="","",VLOOKUP(A880,[6]PRIORIZADOS!$A:$M,13,FALSE)),"")</f>
        <v>45874</v>
      </c>
      <c r="N880" s="139">
        <f>IFERROR(IF(VLOOKUP(A880,[6]PRIORIZADOS!$A:$N,14,FALSE)="","",VLOOKUP(A880,[6]PRIORIZADOS!$A:$N,14,FALSE)),"")</f>
        <v>45874</v>
      </c>
      <c r="O880" s="139">
        <f>IFERROR(IF(VLOOKUP(A880,[6]PRIORIZADOS!$A:$O,15,FALSE)="","",VLOOKUP(A880,[6]PRIORIZADOS!$A:$O,15,FALSE)),"")</f>
        <v>45874</v>
      </c>
      <c r="P880" s="16" t="str">
        <f>IFERROR(IF(VLOOKUP(A880,[6]PRIORIZADOS!$A:$P,16,FALSE)="","",VLOOKUP(A880,[6]PRIORIZADOS!$A:$P,16,FALSE)),"")</f>
        <v>Visitas de evaluación con fines de mejoramiento</v>
      </c>
      <c r="Q880" s="142" t="s">
        <v>157</v>
      </c>
      <c r="R880" s="90" t="str">
        <f>IFERROR(IF(VLOOKUP(A880,[6]PRIORIZADOS!$A:$R,18,FALSE)="","",VLOOKUP(A880,[6]PRIORIZADOS!$A:$R,18,FALSE)),"")</f>
        <v xml:space="preserve">Se observa la conformación del Gobierno Escolar y las instancias de participación a traves de las carpetas y actas.
No se evidencia el funcionamiento del Comite de Convivencia Escolar
</v>
      </c>
      <c r="S880" s="11" t="str">
        <f>IFERROR(IF(VLOOKUP(A880,[6]PRIORIZADOS!$A:$S,19,FALSE)="","",VLOOKUP(A880,[6]PRIORIZADOS!$A:$S,19,FALSE)),"")</f>
        <v>Se indica que debe quedar registrada la conformacion de los estamentos del gobierno escolar, con sus funciones y plna de trabajo para el año</v>
      </c>
      <c r="T880" s="70" t="str">
        <f>IFERROR(IF(VLOOKUP(A880,[6]PRIORIZADOS!$A:$T,20,FALSE)="","",VLOOKUP(A880,[6]PRIORIZADOS!$A:$T,20,FALSE)),"")</f>
        <v>Si</v>
      </c>
      <c r="U880" s="11" t="str">
        <f>IFERROR(IF(VLOOKUP(A880,[6]PRIORIZADOS!$A:$U,21,FALSE)="","",VLOOKUP(A880,[6]PRIORIZADOS!$A:$U,21,FALSE)),"")</f>
        <v>Se requirió presentar Plan de Majoramiento con el fin de subsanar la situación actual. El PMI debe ser entregado al ELIV a más tardar el 21 de agosto de 2025</v>
      </c>
    </row>
    <row r="881" spans="1:21" s="1" customFormat="1" ht="36">
      <c r="A881" s="69">
        <f>IF([6]PRIORIZADOS!A247="","",[6]PRIORIZADOS!A247)</f>
        <v>822</v>
      </c>
      <c r="B881" s="70">
        <f>IFERROR(IF(VLOOKUP(A881,[6]PRIORIZADOS!$A:$B,2,FALSE)="","",VLOOKUP(A881,[6]PRIORIZADOS!$A:$B,2,FALSE)),"")</f>
        <v>27</v>
      </c>
      <c r="C881" s="11" t="str">
        <f>IFERROR(IF(VLOOKUP(A881,[6]PRIORIZADOS!$A:$C,3,FALSE)="","",VLOOKUP(A881,[6]PRIORIZADOS!$A:$C,3,FALSE)),"")</f>
        <v>ENGATIVÁ</v>
      </c>
      <c r="D881" s="11" t="str">
        <f>IFERROR(IF(VLOOKUP(A881,[6]PRIORIZADOS!$A:$D,4,FALSE)="","",VLOOKUP(A881,[6]PRIORIZADOS!$A:$D,4,FALSE)),"")</f>
        <v>PRIVADO</v>
      </c>
      <c r="E881" s="11" t="str">
        <f>IFERROR(IF(VLOOKUP(A881,[6]PRIORIZADOS!$A:$E,5,FALSE)="","",VLOOKUP(A881,[6]PRIORIZADOS!$A:$E,5,FALSE)),"")</f>
        <v>EPBM</v>
      </c>
      <c r="F881" s="11" t="str">
        <f>IFERROR(IF(VLOOKUP(A881,[6]PRIORIZADOS!$A:$F,6,FALSE)="","",VLOOKUP(A881,[6]PRIORIZADOS!$A:$F,6,FALSE)),"")</f>
        <v>LICEO_NORMANDIA</v>
      </c>
      <c r="G881" s="11" t="str">
        <f>IFERROR(IF(VLOOKUP(A881,[6]PRIORIZADOS!$A:$G,7,FALSE)="","",VLOOKUP(A881,[6]PRIORIZADOS!$A:$G,7,FALSE)),"")</f>
        <v>LICEO_NORMANDIA</v>
      </c>
      <c r="H881" s="11" t="str">
        <f>IFERROR(IF(VLOOKUP(A881,[6]PRIORIZADOS!$A:$H,8,FALSE)="","",VLOOKUP(A881,[6]PRIORIZADOS!$A:$H,8,FALSE)),"")</f>
        <v>Autoevaluación Institucional y Pruebas SABER 11</v>
      </c>
      <c r="I881" s="11" t="str">
        <f>IFERROR(IF(VLOOKUP(A881,[6]PRIORIZADOS!$A:$I,9,FALSE)="","",VLOOKUP(A881,[6]PRIORIZADOS!$A:$I,9,FALSE)),"")</f>
        <v>EVALUACIÓN_CON_FINES_DE_MEJORAMIENTO.</v>
      </c>
      <c r="J881" s="11" t="str">
        <f>IFERROR(IF(VLOOKUP(A881,[6]PRIORIZADOS!$A:$J,10,FALSE)="","",VLOOKUP(A881,[6]PRIORIZADOS!$A:$J,10,FALSE)),"")</f>
        <v>Verificar las condiciones en cuanto a: la estructura administrativa, condiciones de la planta física y medios educativos adecuados.</v>
      </c>
      <c r="K881" s="11" t="str">
        <f>IFERROR(IF(VLOOKUP(A881,[6]PRIORIZADOS!$A:$K,11,FALSE)="","",VLOOKUP(A881,[6]PRIORIZADOS!$A:$K,11,FALSE)),"")</f>
        <v>ANA MARÍA CASAS SANABRIA</v>
      </c>
      <c r="L881" s="11" t="str">
        <f>IFERROR(IF(VLOOKUP(A881,[6]PRIORIZADOS!$A:$L,12,FALSE)="","",VLOOKUP(A881,[6]PRIORIZADOS!$A:$L,12,FALSE)),"")</f>
        <v>JAIME HUMBERTO RAMÍREZ LLANOS</v>
      </c>
      <c r="M881" s="71">
        <f>IFERROR(IF(VLOOKUP(A881,[6]PRIORIZADOS!$A:$M,13,FALSE)="","",VLOOKUP(A881,[6]PRIORIZADOS!$A:$M,13,FALSE)),"")</f>
        <v>45874</v>
      </c>
      <c r="N881" s="139">
        <f>IFERROR(IF(VLOOKUP(A881,[6]PRIORIZADOS!$A:$N,14,FALSE)="","",VLOOKUP(A881,[6]PRIORIZADOS!$A:$N,14,FALSE)),"")</f>
        <v>45874</v>
      </c>
      <c r="O881" s="139">
        <f>IFERROR(IF(VLOOKUP(A881,[6]PRIORIZADOS!$A:$O,15,FALSE)="","",VLOOKUP(A881,[6]PRIORIZADOS!$A:$O,15,FALSE)),"")</f>
        <v>45874</v>
      </c>
      <c r="P881" s="16" t="str">
        <f>IFERROR(IF(VLOOKUP(A881,[6]PRIORIZADOS!$A:$P,16,FALSE)="","",VLOOKUP(A881,[6]PRIORIZADOS!$A:$P,16,FALSE)),"")</f>
        <v>Visitas de evaluación con fines de mejoramiento</v>
      </c>
      <c r="Q881" s="142" t="s">
        <v>157</v>
      </c>
      <c r="R881" s="90" t="str">
        <f>IFERROR(IF(VLOOKUP(A881,[6]PRIORIZADOS!$A:$R,18,FALSE)="","",VLOOKUP(A881,[6]PRIORIZADOS!$A:$R,18,FALSE)),"")</f>
        <v xml:space="preserve">Se evidencia que los espacios administrativos son suficientes para las funciones que se deben desarrollar.  </v>
      </c>
      <c r="S881" s="11" t="str">
        <f>IFERROR(IF(VLOOKUP(A881,[6]PRIORIZADOS!$A:$S,19,FALSE)="","",VLOOKUP(A881,[6]PRIORIZADOS!$A:$S,19,FALSE)),"")</f>
        <v>Se remite la capacidad de cada aula teniendo en cuenta  el área de cada una de ellas. (1.3 m por estudiante)</v>
      </c>
      <c r="T881" s="70" t="str">
        <f>IFERROR(IF(VLOOKUP(A881,[6]PRIORIZADOS!$A:$T,20,FALSE)="","",VLOOKUP(A881,[6]PRIORIZADOS!$A:$T,20,FALSE)),"")</f>
        <v>No</v>
      </c>
      <c r="U881" s="11" t="str">
        <f>IFERROR(IF(VLOOKUP(A881,[6]PRIORIZADOS!$A:$U,21,FALSE)="","",VLOOKUP(A881,[6]PRIORIZADOS!$A:$U,21,FALSE)),"")</f>
        <v>Se requirió presentar Plan de Majoramiento con el fin de subsanar la situación actual. El PMI debe ser entregado al ELIV a más tardar el 15 de agosto de 2025</v>
      </c>
    </row>
    <row r="882" spans="1:21" s="1" customFormat="1" ht="48">
      <c r="A882" s="69">
        <f>IF([6]PRIORIZADOS!A248="","",[6]PRIORIZADOS!A248)</f>
        <v>823</v>
      </c>
      <c r="B882" s="70">
        <f>IFERROR(IF(VLOOKUP(A882,[6]PRIORIZADOS!$A:$B,2,FALSE)="","",VLOOKUP(A882,[6]PRIORIZADOS!$A:$B,2,FALSE)),"")</f>
        <v>28</v>
      </c>
      <c r="C882" s="11" t="str">
        <f>IFERROR(IF(VLOOKUP(A882,[6]PRIORIZADOS!$A:$C,3,FALSE)="","",VLOOKUP(A882,[6]PRIORIZADOS!$A:$C,3,FALSE)),"")</f>
        <v>ENGATIVÁ</v>
      </c>
      <c r="D882" s="11" t="str">
        <f>IFERROR(IF(VLOOKUP(A882,[6]PRIORIZADOS!$A:$D,4,FALSE)="","",VLOOKUP(A882,[6]PRIORIZADOS!$A:$D,4,FALSE)),"")</f>
        <v>PRIVADO</v>
      </c>
      <c r="E882" s="11" t="str">
        <f>IFERROR(IF(VLOOKUP(A882,[6]PRIORIZADOS!$A:$E,5,FALSE)="","",VLOOKUP(A882,[6]PRIORIZADOS!$A:$E,5,FALSE)),"")</f>
        <v>EPBM</v>
      </c>
      <c r="F882" s="11" t="str">
        <f>IFERROR(IF(VLOOKUP(A882,[6]PRIORIZADOS!$A:$F,6,FALSE)="","",VLOOKUP(A882,[6]PRIORIZADOS!$A:$F,6,FALSE)),"")</f>
        <v>LICEO_LEONARDO_DAVINCI</v>
      </c>
      <c r="G882" s="11" t="str">
        <f>IFERROR(IF(VLOOKUP(A882,[6]PRIORIZADOS!$A:$G,7,FALSE)="","",VLOOKUP(A882,[6]PRIORIZADOS!$A:$G,7,FALSE)),"")</f>
        <v>LICEO_LEONARDO_DAVINCI</v>
      </c>
      <c r="H882" s="11" t="str">
        <f>IFERROR(IF(VLOOKUP(A882,[6]PRIORIZADOS!$A:$H,8,FALSE)="","",VLOOKUP(A882,[6]PRIORIZADOS!$A:$H,8,FALSE)),"")</f>
        <v>Colegios Nuevos (creados en los últimos 2 años) / Seguimiento a los PMI acordados en 2024</v>
      </c>
      <c r="I882" s="11" t="str">
        <f>IFERROR(IF(VLOOKUP(A882,[6]PRIORIZADOS!$A:$I,9,FALSE)="","",VLOOKUP(A882,[6]PRIORIZADOS!$A:$I,9,FALSE)),"")</f>
        <v>SEGUIMIENTO_Y_SUPERVISIÓN.</v>
      </c>
      <c r="J882" s="11" t="str">
        <f>IFERROR(IF(VLOOKUP(A882,[6]PRIORIZADOS!$A:$J,10,FALSE)="","",VLOOKUP(A882,[6]PRIORIZADOS!$A:$J,10,FALSE)),"")</f>
        <v>Realizar visitas para verificar la información registrada sobre la autoevaluación institucional en el aplicativo EVI, a los establecimientos de educación formal no oficial.</v>
      </c>
      <c r="K882" s="11" t="str">
        <f>IFERROR(IF(VLOOKUP(A882,[6]PRIORIZADOS!$A:$K,11,FALSE)="","",VLOOKUP(A882,[6]PRIORIZADOS!$A:$K,11,FALSE)),"")</f>
        <v>JAIME HUMBERTO RAMÍREZ LLANOS</v>
      </c>
      <c r="L882" s="11" t="str">
        <f>IFERROR(IF(VLOOKUP(A882,[6]PRIORIZADOS!$A:$L,12,FALSE)="","",VLOOKUP(A882,[6]PRIORIZADOS!$A:$L,12,FALSE)),"")</f>
        <v>SANDRA MILENA BUENAVENTURA RUEDA</v>
      </c>
      <c r="M882" s="71">
        <f>IFERROR(IF(VLOOKUP(A882,[6]PRIORIZADOS!$A:$M,13,FALSE)="","",VLOOKUP(A882,[6]PRIORIZADOS!$A:$M,13,FALSE)),"")</f>
        <v>45750</v>
      </c>
      <c r="N882" s="139">
        <f>IFERROR(IF(VLOOKUP(A882,[6]PRIORIZADOS!$A:$N,14,FALSE)="","",VLOOKUP(A882,[6]PRIORIZADOS!$A:$N,14,FALSE)),"")</f>
        <v>45750</v>
      </c>
      <c r="O882" s="139">
        <f>IFERROR(IF(VLOOKUP(A882,[6]PRIORIZADOS!$A:$O,15,FALSE)="","",VLOOKUP(A882,[6]PRIORIZADOS!$A:$O,15,FALSE)),"")</f>
        <v>45750</v>
      </c>
      <c r="P882" s="16" t="str">
        <f>IFERROR(IF(VLOOKUP(A882,[6]PRIORIZADOS!$A:$P,16,FALSE)="","",VLOOKUP(A882,[6]PRIORIZADOS!$A:$P,16,FALSE)),"")</f>
        <v>Visitas de evaluación con fines de seguimiento</v>
      </c>
      <c r="Q882" s="151" t="s">
        <v>158</v>
      </c>
      <c r="R882" s="90" t="str">
        <f>IFERROR(IF(VLOOKUP(A882,[6]PRIORIZADOS!$A:$R,18,FALSE)="","",VLOOKUP(A882,[6]PRIORIZADOS!$A:$R,18,FALSE)),"")</f>
        <v>Por dificultades con el código DANE, la institución aun no ha diligenciado el aplicativo EVI</v>
      </c>
      <c r="S882" s="11" t="str">
        <f>IFERROR(IF(VLOOKUP(A882,[6]PRIORIZADOS!$A:$S,19,FALSE)="","",VLOOKUP(A882,[6]PRIORIZADOS!$A:$S,19,FALSE)),"")</f>
        <v>Por dificultades con el código DANE, la institución aun no ha diligenciado el aplicativo EVI</v>
      </c>
      <c r="T882" s="70" t="str">
        <f>IFERROR(IF(VLOOKUP(A882,[6]PRIORIZADOS!$A:$T,20,FALSE)="","",VLOOKUP(A882,[6]PRIORIZADOS!$A:$T,20,FALSE)),"")</f>
        <v>No</v>
      </c>
      <c r="U882" s="11" t="str">
        <f>IFERROR(IF(VLOOKUP(A882,[6]PRIORIZADOS!$A:$U,21,FALSE)="","",VLOOKUP(A882,[6]PRIORIZADOS!$A:$U,21,FALSE)),"")</f>
        <v>Por dificultades con el código DANE, la institución aun no ha diligenciado el aplicativo EVI para costos 2025 diligenció adecuadamente aplicativo.</v>
      </c>
    </row>
    <row r="883" spans="1:21" s="1" customFormat="1" ht="60">
      <c r="A883" s="69">
        <f>IF([6]PRIORIZADOS!A249="","",[6]PRIORIZADOS!A249)</f>
        <v>824</v>
      </c>
      <c r="B883" s="70">
        <f>IFERROR(IF(VLOOKUP(A883,[6]PRIORIZADOS!$A:$B,2,FALSE)="","",VLOOKUP(A883,[6]PRIORIZADOS!$A:$B,2,FALSE)),"")</f>
        <v>28</v>
      </c>
      <c r="C883" s="11" t="str">
        <f>IFERROR(IF(VLOOKUP(A883,[6]PRIORIZADOS!$A:$C,3,FALSE)="","",VLOOKUP(A883,[6]PRIORIZADOS!$A:$C,3,FALSE)),"")</f>
        <v>ENGATIVÁ</v>
      </c>
      <c r="D883" s="11" t="str">
        <f>IFERROR(IF(VLOOKUP(A883,[6]PRIORIZADOS!$A:$D,4,FALSE)="","",VLOOKUP(A883,[6]PRIORIZADOS!$A:$D,4,FALSE)),"")</f>
        <v>PRIVADO</v>
      </c>
      <c r="E883" s="11" t="str">
        <f>IFERROR(IF(VLOOKUP(A883,[6]PRIORIZADOS!$A:$E,5,FALSE)="","",VLOOKUP(A883,[6]PRIORIZADOS!$A:$E,5,FALSE)),"")</f>
        <v>EPBM</v>
      </c>
      <c r="F883" s="11" t="str">
        <f>IFERROR(IF(VLOOKUP(A883,[6]PRIORIZADOS!$A:$F,6,FALSE)="","",VLOOKUP(A883,[6]PRIORIZADOS!$A:$F,6,FALSE)),"")</f>
        <v>LICEO_LEONARDO_DAVINCI</v>
      </c>
      <c r="G883" s="11" t="str">
        <f>IFERROR(IF(VLOOKUP(A883,[6]PRIORIZADOS!$A:$G,7,FALSE)="","",VLOOKUP(A883,[6]PRIORIZADOS!$A:$G,7,FALSE)),"")</f>
        <v>LICEO_LEONARDO_DAVINCI</v>
      </c>
      <c r="H883" s="11" t="str">
        <f>IFERROR(IF(VLOOKUP(A883,[6]PRIORIZADOS!$A:$H,8,FALSE)="","",VLOOKUP(A883,[6]PRIORIZADOS!$A:$H,8,FALSE)),"")</f>
        <v>Colegios Nuevos (creados en los últimos 2 años) / Seguimiento a los PMI acordados en 2024</v>
      </c>
      <c r="I883" s="11" t="str">
        <f>IFERROR(IF(VLOOKUP(A883,[6]PRIORIZADOS!$A:$I,9,FALSE)="","",VLOOKUP(A883,[6]PRIORIZADOS!$A:$I,9,FALSE)),"")</f>
        <v>SEGUIMIENTO_Y_SUPERVISIÓN.</v>
      </c>
      <c r="J883" s="11" t="str">
        <f>IFERROR(IF(VLOOKUP(A883,[6]PRIORIZADOS!$A:$J,10,FALSE)="","",VLOOKUP(A883,[6]PRIORIZADOS!$A:$J,10,FALSE)),"")</f>
        <v>Proponer estrategias en la formulación, verificar su elaboración y realizar seguimiento semestral al desarrollo de  las acciones establecidas en los planes de mejoramiento por pruebas SABER 11 de los establecimientos de educación formal.</v>
      </c>
      <c r="K883" s="11" t="str">
        <f>IFERROR(IF(VLOOKUP(A883,[6]PRIORIZADOS!$A:$K,11,FALSE)="","",VLOOKUP(A883,[6]PRIORIZADOS!$A:$K,11,FALSE)),"")</f>
        <v>JAIME HUMBERTO RAMÍREZ LLANOS</v>
      </c>
      <c r="L883" s="11" t="str">
        <f>IFERROR(IF(VLOOKUP(A883,[6]PRIORIZADOS!$A:$L,12,FALSE)="","",VLOOKUP(A883,[6]PRIORIZADOS!$A:$L,12,FALSE)),"")</f>
        <v>SANDRA MILENA BUENAVENTURA RUEDA</v>
      </c>
      <c r="M883" s="71">
        <f>IFERROR(IF(VLOOKUP(A883,[6]PRIORIZADOS!$A:$M,13,FALSE)="","",VLOOKUP(A883,[6]PRIORIZADOS!$A:$M,13,FALSE)),"")</f>
        <v>45750</v>
      </c>
      <c r="N883" s="139">
        <f>IFERROR(IF(VLOOKUP(A883,[6]PRIORIZADOS!$A:$N,14,FALSE)="","",VLOOKUP(A883,[6]PRIORIZADOS!$A:$N,14,FALSE)),"")</f>
        <v>45750</v>
      </c>
      <c r="O883" s="139">
        <f>IFERROR(IF(VLOOKUP(A883,[6]PRIORIZADOS!$A:$O,15,FALSE)="","",VLOOKUP(A883,[6]PRIORIZADOS!$A:$O,15,FALSE)),"")</f>
        <v>45750</v>
      </c>
      <c r="P883" s="16" t="str">
        <f>IFERROR(IF(VLOOKUP(A883,[6]PRIORIZADOS!$A:$P,16,FALSE)="","",VLOOKUP(A883,[6]PRIORIZADOS!$A:$P,16,FALSE)),"")</f>
        <v>Visitas de evaluación con fines de seguimiento</v>
      </c>
      <c r="Q883" s="151" t="s">
        <v>158</v>
      </c>
      <c r="R883" s="90" t="str">
        <f>IFERROR(IF(VLOOKUP(A883,[6]PRIORIZADOS!$A:$R,18,FALSE)="","",VLOOKUP(A883,[6]PRIORIZADOS!$A:$R,18,FALSE)),"")</f>
        <v>La institución aún no ha presentao pruebas saber</v>
      </c>
      <c r="S883" s="11" t="str">
        <f>IFERROR(IF(VLOOKUP(A883,[6]PRIORIZADOS!$A:$S,19,FALSE)="","",VLOOKUP(A883,[6]PRIORIZADOS!$A:$S,19,FALSE)),"")</f>
        <v>La institución aún no ha presentado pruebas saber</v>
      </c>
      <c r="T883" s="70" t="str">
        <f>IFERROR(IF(VLOOKUP(A883,[6]PRIORIZADOS!$A:$T,20,FALSE)="","",VLOOKUP(A883,[6]PRIORIZADOS!$A:$T,20,FALSE)),"")</f>
        <v>No</v>
      </c>
      <c r="U883" s="11" t="str">
        <f>IFERROR(IF(VLOOKUP(A883,[6]PRIORIZADOS!$A:$U,21,FALSE)="","",VLOOKUP(A883,[6]PRIORIZADOS!$A:$U,21,FALSE)),"")</f>
        <v>La institución aún no ha presentado pruebas saber. Se hará seguimiento en 2026</v>
      </c>
    </row>
    <row r="884" spans="1:21" s="1" customFormat="1" ht="48">
      <c r="A884" s="69">
        <f>IF([6]PRIORIZADOS!A250="","",[6]PRIORIZADOS!A250)</f>
        <v>825</v>
      </c>
      <c r="B884" s="70">
        <f>IFERROR(IF(VLOOKUP(A884,[6]PRIORIZADOS!$A:$B,2,FALSE)="","",VLOOKUP(A884,[6]PRIORIZADOS!$A:$B,2,FALSE)),"")</f>
        <v>28</v>
      </c>
      <c r="C884" s="11" t="str">
        <f>IFERROR(IF(VLOOKUP(A884,[6]PRIORIZADOS!$A:$C,3,FALSE)="","",VLOOKUP(A884,[6]PRIORIZADOS!$A:$C,3,FALSE)),"")</f>
        <v>ENGATIVÁ</v>
      </c>
      <c r="D884" s="11" t="str">
        <f>IFERROR(IF(VLOOKUP(A884,[6]PRIORIZADOS!$A:$D,4,FALSE)="","",VLOOKUP(A884,[6]PRIORIZADOS!$A:$D,4,FALSE)),"")</f>
        <v>PRIVADO</v>
      </c>
      <c r="E884" s="11" t="str">
        <f>IFERROR(IF(VLOOKUP(A884,[6]PRIORIZADOS!$A:$E,5,FALSE)="","",VLOOKUP(A884,[6]PRIORIZADOS!$A:$E,5,FALSE)),"")</f>
        <v>EPBM</v>
      </c>
      <c r="F884" s="11" t="str">
        <f>IFERROR(IF(VLOOKUP(A884,[6]PRIORIZADOS!$A:$F,6,FALSE)="","",VLOOKUP(A884,[6]PRIORIZADOS!$A:$F,6,FALSE)),"")</f>
        <v>LICEO_LEONARDO_DAVINCI</v>
      </c>
      <c r="G884" s="11" t="str">
        <f>IFERROR(IF(VLOOKUP(A884,[6]PRIORIZADOS!$A:$G,7,FALSE)="","",VLOOKUP(A884,[6]PRIORIZADOS!$A:$G,7,FALSE)),"")</f>
        <v>LICEO_LEONARDO_DAVINCI</v>
      </c>
      <c r="H884" s="11" t="str">
        <f>IFERROR(IF(VLOOKUP(A884,[6]PRIORIZADOS!$A:$H,8,FALSE)="","",VLOOKUP(A884,[6]PRIORIZADOS!$A:$H,8,FALSE)),"")</f>
        <v>Colegios Nuevos (creados en los últimos 2 años) / Seguimiento a los PMI acordados en 2024</v>
      </c>
      <c r="I884" s="11" t="str">
        <f>IFERROR(IF(VLOOKUP(A884,[6]PRIORIZADOS!$A:$I,9,FALSE)="","",VLOOKUP(A884,[6]PRIORIZADOS!$A:$I,9,FALSE)),"")</f>
        <v>SEGUIMIENTO_Y_SUPERVISIÓN.</v>
      </c>
      <c r="J884" s="11" t="str">
        <f>IFERROR(IF(VLOOKUP(A884,[6]PRIORIZADOS!$A:$J,10,FALSE)="","",VLOOKUP(A884,[6]PRIORIZADOS!$A:$J,10,FALSE)),"")</f>
        <v xml:space="preserve">Verificar la implementación por parte de los colegios, de acciones realizadas para la prevención y atención de las situaciones de convivencia en el entorno escolar, según lo establecido en la Directiva 01 de 2022 del MEN. </v>
      </c>
      <c r="K884" s="11" t="str">
        <f>IFERROR(IF(VLOOKUP(A884,[6]PRIORIZADOS!$A:$K,11,FALSE)="","",VLOOKUP(A884,[6]PRIORIZADOS!$A:$K,11,FALSE)),"")</f>
        <v>JAIME HUMBERTO RAMÍREZ LLANOS</v>
      </c>
      <c r="L884" s="11" t="str">
        <f>IFERROR(IF(VLOOKUP(A884,[6]PRIORIZADOS!$A:$L,12,FALSE)="","",VLOOKUP(A884,[6]PRIORIZADOS!$A:$L,12,FALSE)),"")</f>
        <v>SANDRA MILENA BUENAVENTURA RUEDA</v>
      </c>
      <c r="M884" s="71">
        <f>IFERROR(IF(VLOOKUP(A884,[6]PRIORIZADOS!$A:$M,13,FALSE)="","",VLOOKUP(A884,[6]PRIORIZADOS!$A:$M,13,FALSE)),"")</f>
        <v>45750</v>
      </c>
      <c r="N884" s="139">
        <f>IFERROR(IF(VLOOKUP(A884,[6]PRIORIZADOS!$A:$N,14,FALSE)="","",VLOOKUP(A884,[6]PRIORIZADOS!$A:$N,14,FALSE)),"")</f>
        <v>45750</v>
      </c>
      <c r="O884" s="139">
        <f>IFERROR(IF(VLOOKUP(A884,[6]PRIORIZADOS!$A:$O,15,FALSE)="","",VLOOKUP(A884,[6]PRIORIZADOS!$A:$O,15,FALSE)),"")</f>
        <v>45750</v>
      </c>
      <c r="P884" s="16" t="str">
        <f>IFERROR(IF(VLOOKUP(A884,[6]PRIORIZADOS!$A:$P,16,FALSE)="","",VLOOKUP(A884,[6]PRIORIZADOS!$A:$P,16,FALSE)),"")</f>
        <v>Visitas de evaluación con fines de seguimiento</v>
      </c>
      <c r="Q884" s="151" t="s">
        <v>158</v>
      </c>
      <c r="R884" s="90" t="str">
        <f>IFERROR(IF(VLOOKUP(A884,[6]PRIORIZADOS!$A:$R,18,FALSE)="","",VLOOKUP(A884,[6]PRIORIZADOS!$A:$R,18,FALSE)),"")</f>
        <v>Solo matricula estudiantes hasta grado quinto, no ha tenido situaciones graves de convivencia escolar</v>
      </c>
      <c r="S884" s="11" t="str">
        <f>IFERROR(IF(VLOOKUP(A884,[6]PRIORIZADOS!$A:$S,19,FALSE)="","",VLOOKUP(A884,[6]PRIORIZADOS!$A:$S,19,FALSE)),"")</f>
        <v>Solo matricula estudiantes hasta grado quinto, no ha tenido situaciones graves de convivencia escolar</v>
      </c>
      <c r="T884" s="70" t="str">
        <f>IFERROR(IF(VLOOKUP(A884,[6]PRIORIZADOS!$A:$T,20,FALSE)="","",VLOOKUP(A884,[6]PRIORIZADOS!$A:$T,20,FALSE)),"")</f>
        <v>No</v>
      </c>
      <c r="U884" s="11" t="str">
        <f>IFERROR(IF(VLOOKUP(A884,[6]PRIORIZADOS!$A:$U,21,FALSE)="","",VLOOKUP(A884,[6]PRIORIZADOS!$A:$U,21,FALSE)),"")</f>
        <v>Solo matricula estudiantes hasta grado quinto, no ha tenido situaciones graves de convivencia escolar</v>
      </c>
    </row>
    <row r="885" spans="1:21" s="1" customFormat="1" ht="72">
      <c r="A885" s="69">
        <f>IF([6]PRIORIZADOS!A251="","",[6]PRIORIZADOS!A251)</f>
        <v>826</v>
      </c>
      <c r="B885" s="70">
        <f>IFERROR(IF(VLOOKUP(A885,[6]PRIORIZADOS!$A:$B,2,FALSE)="","",VLOOKUP(A885,[6]PRIORIZADOS!$A:$B,2,FALSE)),"")</f>
        <v>28</v>
      </c>
      <c r="C885" s="11" t="str">
        <f>IFERROR(IF(VLOOKUP(A885,[6]PRIORIZADOS!$A:$C,3,FALSE)="","",VLOOKUP(A885,[6]PRIORIZADOS!$A:$C,3,FALSE)),"")</f>
        <v>ENGATIVÁ</v>
      </c>
      <c r="D885" s="11" t="str">
        <f>IFERROR(IF(VLOOKUP(A885,[6]PRIORIZADOS!$A:$D,4,FALSE)="","",VLOOKUP(A885,[6]PRIORIZADOS!$A:$D,4,FALSE)),"")</f>
        <v>PRIVADO</v>
      </c>
      <c r="E885" s="11" t="str">
        <f>IFERROR(IF(VLOOKUP(A885,[6]PRIORIZADOS!$A:$E,5,FALSE)="","",VLOOKUP(A885,[6]PRIORIZADOS!$A:$E,5,FALSE)),"")</f>
        <v>EPBM</v>
      </c>
      <c r="F885" s="11" t="str">
        <f>IFERROR(IF(VLOOKUP(A885,[6]PRIORIZADOS!$A:$F,6,FALSE)="","",VLOOKUP(A885,[6]PRIORIZADOS!$A:$F,6,FALSE)),"")</f>
        <v>LICEO_LEONARDO_DAVINCI</v>
      </c>
      <c r="G885" s="11" t="str">
        <f>IFERROR(IF(VLOOKUP(A885,[6]PRIORIZADOS!$A:$G,7,FALSE)="","",VLOOKUP(A885,[6]PRIORIZADOS!$A:$G,7,FALSE)),"")</f>
        <v>LICEO_LEONARDO_DAVINCI</v>
      </c>
      <c r="H885" s="11" t="str">
        <f>IFERROR(IF(VLOOKUP(A885,[6]PRIORIZADOS!$A:$H,8,FALSE)="","",VLOOKUP(A885,[6]PRIORIZADOS!$A:$H,8,FALSE)),"")</f>
        <v>Colegios Nuevos (creados en los últimos 2 años) / Seguimiento a los PMI acordados en 2024</v>
      </c>
      <c r="I885" s="11" t="str">
        <f>IFERROR(IF(VLOOKUP(A885,[6]PRIORIZADOS!$A:$I,9,FALSE)="","",VLOOKUP(A885,[6]PRIORIZADOS!$A:$I,9,FALSE)),"")</f>
        <v>SEGUIMIENTO_Y_SUPERVISIÓN.</v>
      </c>
      <c r="J885" s="11" t="str">
        <f>IFERROR(IF(VLOOKUP(A885,[6]PRIORIZADOS!$A:$J,10,FALSE)="","",VLOOKUP(A885,[6]PRIORIZADOS!$A:$J,10,FALSE)),"")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85" s="11" t="str">
        <f>IFERROR(IF(VLOOKUP(A885,[6]PRIORIZADOS!$A:$K,11,FALSE)="","",VLOOKUP(A885,[6]PRIORIZADOS!$A:$K,11,FALSE)),"")</f>
        <v>JAIME HUMBERTO RAMÍREZ LLANOS</v>
      </c>
      <c r="L885" s="11" t="str">
        <f>IFERROR(IF(VLOOKUP(A885,[6]PRIORIZADOS!$A:$L,12,FALSE)="","",VLOOKUP(A885,[6]PRIORIZADOS!$A:$L,12,FALSE)),"")</f>
        <v>SANDRA MILENA BUENAVENTURA RUEDA</v>
      </c>
      <c r="M885" s="71">
        <f>IFERROR(IF(VLOOKUP(A885,[6]PRIORIZADOS!$A:$M,13,FALSE)="","",VLOOKUP(A885,[6]PRIORIZADOS!$A:$M,13,FALSE)),"")</f>
        <v>45750</v>
      </c>
      <c r="N885" s="139">
        <f>IFERROR(IF(VLOOKUP(A885,[6]PRIORIZADOS!$A:$N,14,FALSE)="","",VLOOKUP(A885,[6]PRIORIZADOS!$A:$N,14,FALSE)),"")</f>
        <v>45750</v>
      </c>
      <c r="O885" s="139">
        <f>IFERROR(IF(VLOOKUP(A885,[6]PRIORIZADOS!$A:$O,15,FALSE)="","",VLOOKUP(A885,[6]PRIORIZADOS!$A:$O,15,FALSE)),"")</f>
        <v>45750</v>
      </c>
      <c r="P885" s="16" t="str">
        <f>IFERROR(IF(VLOOKUP(A885,[6]PRIORIZADOS!$A:$P,16,FALSE)="","",VLOOKUP(A885,[6]PRIORIZADOS!$A:$P,16,FALSE)),"")</f>
        <v>Visitas de evaluación con fines de seguimiento</v>
      </c>
      <c r="Q885" s="151" t="s">
        <v>158</v>
      </c>
      <c r="R885" s="90" t="str">
        <f>IFERROR(IF(VLOOKUP(A885,[6]PRIORIZADOS!$A:$R,18,FALSE)="","",VLOOKUP(A885,[6]PRIORIZADOS!$A:$R,18,FALSE)),"")</f>
        <v>Para la fecha no ha tenido estudiantes con discapacidad</v>
      </c>
      <c r="S885" s="11" t="str">
        <f>IFERROR(IF(VLOOKUP(A885,[6]PRIORIZADOS!$A:$S,19,FALSE)="","",VLOOKUP(A885,[6]PRIORIZADOS!$A:$S,19,FALSE)),"")</f>
        <v>Para la fecha no ha tenido estudiantes con discapacidad</v>
      </c>
      <c r="T885" s="70" t="str">
        <f>IFERROR(IF(VLOOKUP(A885,[6]PRIORIZADOS!$A:$T,20,FALSE)="","",VLOOKUP(A885,[6]PRIORIZADOS!$A:$T,20,FALSE)),"")</f>
        <v>No</v>
      </c>
      <c r="U885" s="11" t="str">
        <f>IFERROR(IF(VLOOKUP(A885,[6]PRIORIZADOS!$A:$U,21,FALSE)="","",VLOOKUP(A885,[6]PRIORIZADOS!$A:$U,21,FALSE)),"")</f>
        <v>Para la fecha no ha tenido estudiantes con discapacidad</v>
      </c>
    </row>
    <row r="886" spans="1:21" s="1" customFormat="1" ht="84">
      <c r="A886" s="69">
        <f>IF([6]PRIORIZADOS!A252="","",[6]PRIORIZADOS!A252)</f>
        <v>827</v>
      </c>
      <c r="B886" s="70">
        <f>IFERROR(IF(VLOOKUP(A886,[6]PRIORIZADOS!$A:$B,2,FALSE)="","",VLOOKUP(A886,[6]PRIORIZADOS!$A:$B,2,FALSE)),"")</f>
        <v>28</v>
      </c>
      <c r="C886" s="11" t="str">
        <f>IFERROR(IF(VLOOKUP(A886,[6]PRIORIZADOS!$A:$C,3,FALSE)="","",VLOOKUP(A886,[6]PRIORIZADOS!$A:$C,3,FALSE)),"")</f>
        <v>ENGATIVÁ</v>
      </c>
      <c r="D886" s="11" t="str">
        <f>IFERROR(IF(VLOOKUP(A886,[6]PRIORIZADOS!$A:$D,4,FALSE)="","",VLOOKUP(A886,[6]PRIORIZADOS!$A:$D,4,FALSE)),"")</f>
        <v>PRIVADO</v>
      </c>
      <c r="E886" s="11" t="str">
        <f>IFERROR(IF(VLOOKUP(A886,[6]PRIORIZADOS!$A:$E,5,FALSE)="","",VLOOKUP(A886,[6]PRIORIZADOS!$A:$E,5,FALSE)),"")</f>
        <v>EPBM</v>
      </c>
      <c r="F886" s="11" t="str">
        <f>IFERROR(IF(VLOOKUP(A886,[6]PRIORIZADOS!$A:$F,6,FALSE)="","",VLOOKUP(A886,[6]PRIORIZADOS!$A:$F,6,FALSE)),"")</f>
        <v>LICEO_LEONARDO_DAVINCI</v>
      </c>
      <c r="G886" s="11" t="str">
        <f>IFERROR(IF(VLOOKUP(A886,[6]PRIORIZADOS!$A:$G,7,FALSE)="","",VLOOKUP(A886,[6]PRIORIZADOS!$A:$G,7,FALSE)),"")</f>
        <v>LICEO_LEONARDO_DAVINCI</v>
      </c>
      <c r="H886" s="11" t="str">
        <f>IFERROR(IF(VLOOKUP(A886,[6]PRIORIZADOS!$A:$H,8,FALSE)="","",VLOOKUP(A886,[6]PRIORIZADOS!$A:$H,8,FALSE)),"")</f>
        <v>Colegios Nuevos (creados en los últimos 2 años) / Seguimiento a los PMI acordados en 2024</v>
      </c>
      <c r="I886" s="11" t="str">
        <f>IFERROR(IF(VLOOKUP(A886,[6]PRIORIZADOS!$A:$I,9,FALSE)="","",VLOOKUP(A886,[6]PRIORIZADOS!$A:$I,9,FALSE)),"")</f>
        <v>EVALUACIÓN_CON_FINES_DE_MEJORAMIENTO.</v>
      </c>
      <c r="J886" s="11" t="str">
        <f>IFERROR(IF(VLOOKUP(A886,[6]PRIORIZADOS!$A:$J,10,FALSE)="","",VLOOKUP(A886,[6]PRIORIZADOS!$A:$J,10,FALSE)),"")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86" s="11" t="str">
        <f>IFERROR(IF(VLOOKUP(A886,[6]PRIORIZADOS!$A:$K,11,FALSE)="","",VLOOKUP(A886,[6]PRIORIZADOS!$A:$K,11,FALSE)),"")</f>
        <v>JAIME HUMBERTO RAMÍREZ LLANOS</v>
      </c>
      <c r="L886" s="11" t="str">
        <f>IFERROR(IF(VLOOKUP(A886,[6]PRIORIZADOS!$A:$L,12,FALSE)="","",VLOOKUP(A886,[6]PRIORIZADOS!$A:$L,12,FALSE)),"")</f>
        <v>SANDRA MILENA BUENAVENTURA RUEDA</v>
      </c>
      <c r="M886" s="71">
        <f>IFERROR(IF(VLOOKUP(A886,[6]PRIORIZADOS!$A:$M,13,FALSE)="","",VLOOKUP(A886,[6]PRIORIZADOS!$A:$M,13,FALSE)),"")</f>
        <v>45750</v>
      </c>
      <c r="N886" s="139">
        <f>IFERROR(IF(VLOOKUP(A886,[6]PRIORIZADOS!$A:$N,14,FALSE)="","",VLOOKUP(A886,[6]PRIORIZADOS!$A:$N,14,FALSE)),"")</f>
        <v>45750</v>
      </c>
      <c r="O886" s="139">
        <f>IFERROR(IF(VLOOKUP(A886,[6]PRIORIZADOS!$A:$O,15,FALSE)="","",VLOOKUP(A886,[6]PRIORIZADOS!$A:$O,15,FALSE)),"")</f>
        <v>45750</v>
      </c>
      <c r="P886" s="16" t="str">
        <f>IFERROR(IF(VLOOKUP(A886,[6]PRIORIZADOS!$A:$P,16,FALSE)="","",VLOOKUP(A886,[6]PRIORIZADOS!$A:$P,16,FALSE)),"")</f>
        <v>Visitas de evaluación con fines de mejoramiento</v>
      </c>
      <c r="Q886" s="151" t="s">
        <v>158</v>
      </c>
      <c r="R886" s="90" t="str">
        <f>IFERROR(IF(VLOOKUP(A886,[6]PRIORIZADOS!$A:$R,18,FALSE)="","",VLOOKUP(A886,[6]PRIORIZADOS!$A:$R,18,FALSE)),"")</f>
        <v>La Institución dede elaborar y presentar plan de mejora</v>
      </c>
      <c r="S886" s="11" t="str">
        <f>IFERROR(IF(VLOOKUP(A886,[6]PRIORIZADOS!$A:$S,19,FALSE)="","",VLOOKUP(A886,[6]PRIORIZADOS!$A:$S,19,FALSE)),"")</f>
        <v>Se elaborará plan de mejora y preentará para aprobación de la DILE</v>
      </c>
      <c r="T886" s="70" t="str">
        <f>IFERROR(IF(VLOOKUP(A886,[6]PRIORIZADOS!$A:$T,20,FALSE)="","",VLOOKUP(A886,[6]PRIORIZADOS!$A:$T,20,FALSE)),"")</f>
        <v>Si</v>
      </c>
      <c r="U886" s="11" t="str">
        <f>IFERROR(IF(VLOOKUP(A886,[6]PRIORIZADOS!$A:$U,21,FALSE)="","",VLOOKUP(A886,[6]PRIORIZADOS!$A:$U,21,FALSE)),"")</f>
        <v>Una vez aprobado plan de mejoramiente se hará seguimiento se continuará con seguimiento den el 2026</v>
      </c>
    </row>
    <row r="887" spans="1:21" s="1" customFormat="1" ht="48">
      <c r="A887" s="69">
        <f>IF([6]PRIORIZADOS!A253="","",[6]PRIORIZADOS!A253)</f>
        <v>828</v>
      </c>
      <c r="B887" s="70">
        <f>IFERROR(IF(VLOOKUP(A887,[6]PRIORIZADOS!$A:$B,2,FALSE)="","",VLOOKUP(A887,[6]PRIORIZADOS!$A:$B,2,FALSE)),"")</f>
        <v>28</v>
      </c>
      <c r="C887" s="11" t="str">
        <f>IFERROR(IF(VLOOKUP(A887,[6]PRIORIZADOS!$A:$C,3,FALSE)="","",VLOOKUP(A887,[6]PRIORIZADOS!$A:$C,3,FALSE)),"")</f>
        <v>ENGATIVÁ</v>
      </c>
      <c r="D887" s="11" t="str">
        <f>IFERROR(IF(VLOOKUP(A887,[6]PRIORIZADOS!$A:$D,4,FALSE)="","",VLOOKUP(A887,[6]PRIORIZADOS!$A:$D,4,FALSE)),"")</f>
        <v>PRIVADO</v>
      </c>
      <c r="E887" s="11" t="str">
        <f>IFERROR(IF(VLOOKUP(A887,[6]PRIORIZADOS!$A:$E,5,FALSE)="","",VLOOKUP(A887,[6]PRIORIZADOS!$A:$E,5,FALSE)),"")</f>
        <v>EPBM</v>
      </c>
      <c r="F887" s="11" t="str">
        <f>IFERROR(IF(VLOOKUP(A887,[6]PRIORIZADOS!$A:$F,6,FALSE)="","",VLOOKUP(A887,[6]PRIORIZADOS!$A:$F,6,FALSE)),"")</f>
        <v>LICEO_LEONARDO_DAVINCI</v>
      </c>
      <c r="G887" s="11" t="str">
        <f>IFERROR(IF(VLOOKUP(A887,[6]PRIORIZADOS!$A:$G,7,FALSE)="","",VLOOKUP(A887,[6]PRIORIZADOS!$A:$G,7,FALSE)),"")</f>
        <v>LICEO_LEONARDO_DAVINCI</v>
      </c>
      <c r="H887" s="11" t="str">
        <f>IFERROR(IF(VLOOKUP(A887,[6]PRIORIZADOS!$A:$H,8,FALSE)="","",VLOOKUP(A887,[6]PRIORIZADOS!$A:$H,8,FALSE)),"")</f>
        <v>Colegios Nuevos (creados en los últimos 2 años) / Seguimiento a los PMI acordados en 2024</v>
      </c>
      <c r="I887" s="11" t="str">
        <f>IFERROR(IF(VLOOKUP(A887,[6]PRIORIZADOS!$A:$I,9,FALSE)="","",VLOOKUP(A887,[6]PRIORIZADOS!$A:$I,9,FALSE)),"")</f>
        <v>EVALUACIÓN_CON_FINES_DE_MEJORAMIENTO.</v>
      </c>
      <c r="J887" s="11" t="str">
        <f>IFERROR(IF(VLOOKUP(A887,[6]PRIORIZADOS!$A:$J,10,FALSE)="","",VLOOKUP(A887,[6]PRIORIZADOS!$A:$J,10,FALSE)),"")</f>
        <v>Revisar la actualización, socialización e implementación del Sistema Institucional de Evaluación de Estudiantes - SIEE, en articulación con la actualización del PEI y la normatividad vigente.</v>
      </c>
      <c r="K887" s="11" t="str">
        <f>IFERROR(IF(VLOOKUP(A887,[6]PRIORIZADOS!$A:$K,11,FALSE)="","",VLOOKUP(A887,[6]PRIORIZADOS!$A:$K,11,FALSE)),"")</f>
        <v>JAIME HUMBERTO RAMÍREZ LLANOS</v>
      </c>
      <c r="L887" s="11" t="str">
        <f>IFERROR(IF(VLOOKUP(A887,[6]PRIORIZADOS!$A:$L,12,FALSE)="","",VLOOKUP(A887,[6]PRIORIZADOS!$A:$L,12,FALSE)),"")</f>
        <v>SANDRA MILENA BUENAVENTURA RUEDA</v>
      </c>
      <c r="M887" s="71">
        <f>IFERROR(IF(VLOOKUP(A887,[6]PRIORIZADOS!$A:$M,13,FALSE)="","",VLOOKUP(A887,[6]PRIORIZADOS!$A:$M,13,FALSE)),"")</f>
        <v>45750</v>
      </c>
      <c r="N887" s="139">
        <f>IFERROR(IF(VLOOKUP(A887,[6]PRIORIZADOS!$A:$N,14,FALSE)="","",VLOOKUP(A887,[6]PRIORIZADOS!$A:$N,14,FALSE)),"")</f>
        <v>45750</v>
      </c>
      <c r="O887" s="139">
        <f>IFERROR(IF(VLOOKUP(A887,[6]PRIORIZADOS!$A:$O,15,FALSE)="","",VLOOKUP(A887,[6]PRIORIZADOS!$A:$O,15,FALSE)),"")</f>
        <v>45750</v>
      </c>
      <c r="P887" s="16" t="str">
        <f>IFERROR(IF(VLOOKUP(A887,[6]PRIORIZADOS!$A:$P,16,FALSE)="","",VLOOKUP(A887,[6]PRIORIZADOS!$A:$P,16,FALSE)),"")</f>
        <v>Visitas de evaluación con fines de mejoramiento</v>
      </c>
      <c r="Q887" s="151" t="s">
        <v>158</v>
      </c>
      <c r="R887" s="90" t="str">
        <f>IFERROR(IF(VLOOKUP(A887,[6]PRIORIZADOS!$A:$R,18,FALSE)="","",VLOOKUP(A887,[6]PRIORIZADOS!$A:$R,18,FALSE)),"")</f>
        <v>La Institución dede elaborar y presentar plan de mejora</v>
      </c>
      <c r="S887" s="11" t="str">
        <f>IFERROR(IF(VLOOKUP(A887,[6]PRIORIZADOS!$A:$S,19,FALSE)="","",VLOOKUP(A887,[6]PRIORIZADOS!$A:$S,19,FALSE)),"")</f>
        <v>Se elaborará plan de mejora y preentará para aprobación de la DILE</v>
      </c>
      <c r="T887" s="70" t="str">
        <f>IFERROR(IF(VLOOKUP(A887,[6]PRIORIZADOS!$A:$T,20,FALSE)="","",VLOOKUP(A887,[6]PRIORIZADOS!$A:$T,20,FALSE)),"")</f>
        <v>Si</v>
      </c>
      <c r="U887" s="11" t="str">
        <f>IFERROR(IF(VLOOKUP(A887,[6]PRIORIZADOS!$A:$U,21,FALSE)="","",VLOOKUP(A887,[6]PRIORIZADOS!$A:$U,21,FALSE)),"")</f>
        <v>Una vez aprobado plan de mejoramiente se hará seguimiento se continuará con seguimiento den el 2026</v>
      </c>
    </row>
    <row r="888" spans="1:21" s="1" customFormat="1" ht="48">
      <c r="A888" s="69">
        <f>IF([6]PRIORIZADOS!A254="","",[6]PRIORIZADOS!A254)</f>
        <v>829</v>
      </c>
      <c r="B888" s="70">
        <f>IFERROR(IF(VLOOKUP(A888,[6]PRIORIZADOS!$A:$B,2,FALSE)="","",VLOOKUP(A888,[6]PRIORIZADOS!$A:$B,2,FALSE)),"")</f>
        <v>28</v>
      </c>
      <c r="C888" s="11" t="str">
        <f>IFERROR(IF(VLOOKUP(A888,[6]PRIORIZADOS!$A:$C,3,FALSE)="","",VLOOKUP(A888,[6]PRIORIZADOS!$A:$C,3,FALSE)),"")</f>
        <v>ENGATIVÁ</v>
      </c>
      <c r="D888" s="11" t="str">
        <f>IFERROR(IF(VLOOKUP(A888,[6]PRIORIZADOS!$A:$D,4,FALSE)="","",VLOOKUP(A888,[6]PRIORIZADOS!$A:$D,4,FALSE)),"")</f>
        <v>PRIVADO</v>
      </c>
      <c r="E888" s="11" t="str">
        <f>IFERROR(IF(VLOOKUP(A888,[6]PRIORIZADOS!$A:$E,5,FALSE)="","",VLOOKUP(A888,[6]PRIORIZADOS!$A:$E,5,FALSE)),"")</f>
        <v>EPBM</v>
      </c>
      <c r="F888" s="11" t="str">
        <f>IFERROR(IF(VLOOKUP(A888,[6]PRIORIZADOS!$A:$F,6,FALSE)="","",VLOOKUP(A888,[6]PRIORIZADOS!$A:$F,6,FALSE)),"")</f>
        <v>LICEO_LEONARDO_DAVINCI</v>
      </c>
      <c r="G888" s="11" t="str">
        <f>IFERROR(IF(VLOOKUP(A888,[6]PRIORIZADOS!$A:$G,7,FALSE)="","",VLOOKUP(A888,[6]PRIORIZADOS!$A:$G,7,FALSE)),"")</f>
        <v>LICEO_LEONARDO_DAVINCI</v>
      </c>
      <c r="H888" s="11" t="str">
        <f>IFERROR(IF(VLOOKUP(A888,[6]PRIORIZADOS!$A:$H,8,FALSE)="","",VLOOKUP(A888,[6]PRIORIZADOS!$A:$H,8,FALSE)),"")</f>
        <v>Colegios Nuevos (creados en los últimos 2 años) / Seguimiento a los PMI acordados en 2024</v>
      </c>
      <c r="I888" s="11" t="str">
        <f>IFERROR(IF(VLOOKUP(A888,[6]PRIORIZADOS!$A:$I,9,FALSE)="","",VLOOKUP(A888,[6]PRIORIZADOS!$A:$I,9,FALSE)),"")</f>
        <v>EVALUACIÓN_CON_FINES_DE_MEJORAMIENTO.</v>
      </c>
      <c r="J888" s="11" t="str">
        <f>IFERROR(IF(VLOOKUP(A888,[6]PRIORIZADOS!$A:$J,10,FALSE)="","",VLOOKUP(A888,[6]PRIORIZADOS!$A:$J,10,FALSE)),"")</f>
        <v>Revisar el calendario escolar, jornada escolar, la intensidad horaria mínima anual en cada nivel y las modificaciones que se realicen al mismo, de acuerdo con lo previsto en la normatividad vigente.</v>
      </c>
      <c r="K888" s="11" t="str">
        <f>IFERROR(IF(VLOOKUP(A888,[6]PRIORIZADOS!$A:$K,11,FALSE)="","",VLOOKUP(A888,[6]PRIORIZADOS!$A:$K,11,FALSE)),"")</f>
        <v>JAIME HUMBERTO RAMÍREZ LLANOS</v>
      </c>
      <c r="L888" s="11" t="str">
        <f>IFERROR(IF(VLOOKUP(A888,[6]PRIORIZADOS!$A:$L,12,FALSE)="","",VLOOKUP(A888,[6]PRIORIZADOS!$A:$L,12,FALSE)),"")</f>
        <v>SANDRA MILENA BUENAVENTURA RUEDA</v>
      </c>
      <c r="M888" s="71">
        <f>IFERROR(IF(VLOOKUP(A888,[6]PRIORIZADOS!$A:$M,13,FALSE)="","",VLOOKUP(A888,[6]PRIORIZADOS!$A:$M,13,FALSE)),"")</f>
        <v>45750</v>
      </c>
      <c r="N888" s="139">
        <f>IFERROR(IF(VLOOKUP(A888,[6]PRIORIZADOS!$A:$N,14,FALSE)="","",VLOOKUP(A888,[6]PRIORIZADOS!$A:$N,14,FALSE)),"")</f>
        <v>45750</v>
      </c>
      <c r="O888" s="139">
        <f>IFERROR(IF(VLOOKUP(A888,[6]PRIORIZADOS!$A:$O,15,FALSE)="","",VLOOKUP(A888,[6]PRIORIZADOS!$A:$O,15,FALSE)),"")</f>
        <v>45750</v>
      </c>
      <c r="P888" s="16" t="str">
        <f>IFERROR(IF(VLOOKUP(A888,[6]PRIORIZADOS!$A:$P,16,FALSE)="","",VLOOKUP(A888,[6]PRIORIZADOS!$A:$P,16,FALSE)),"")</f>
        <v>Visitas de evaluación con fines de mejoramiento</v>
      </c>
      <c r="Q888" s="151" t="s">
        <v>158</v>
      </c>
      <c r="R888" s="90" t="str">
        <f>IFERROR(IF(VLOOKUP(A888,[6]PRIORIZADOS!$A:$R,18,FALSE)="","",VLOOKUP(A888,[6]PRIORIZADOS!$A:$R,18,FALSE)),"")</f>
        <v>El calendario y la jornada escolar se ajustan a la normaitividad vigente</v>
      </c>
      <c r="S888" s="11" t="str">
        <f>IFERROR(IF(VLOOKUP(A888,[6]PRIORIZADOS!$A:$S,19,FALSE)="","",VLOOKUP(A888,[6]PRIORIZADOS!$A:$S,19,FALSE)),"")</f>
        <v>El calendario y la jornada escolar se ajustan a la normaitividad vigente</v>
      </c>
      <c r="T888" s="70" t="str">
        <f>IFERROR(IF(VLOOKUP(A888,[6]PRIORIZADOS!$A:$T,20,FALSE)="","",VLOOKUP(A888,[6]PRIORIZADOS!$A:$T,20,FALSE)),"")</f>
        <v>No</v>
      </c>
      <c r="U888" s="11" t="str">
        <f>IFERROR(IF(VLOOKUP(A888,[6]PRIORIZADOS!$A:$U,21,FALSE)="","",VLOOKUP(A888,[6]PRIORIZADOS!$A:$U,21,FALSE)),"")</f>
        <v>Se hará verificación en las revisión de avances PEI</v>
      </c>
    </row>
    <row r="889" spans="1:21" s="1" customFormat="1" ht="48">
      <c r="A889" s="69">
        <f>IF([6]PRIORIZADOS!A255="","",[6]PRIORIZADOS!A255)</f>
        <v>830</v>
      </c>
      <c r="B889" s="70">
        <f>IFERROR(IF(VLOOKUP(A889,[6]PRIORIZADOS!$A:$B,2,FALSE)="","",VLOOKUP(A889,[6]PRIORIZADOS!$A:$B,2,FALSE)),"")</f>
        <v>28</v>
      </c>
      <c r="C889" s="11" t="str">
        <f>IFERROR(IF(VLOOKUP(A889,[6]PRIORIZADOS!$A:$C,3,FALSE)="","",VLOOKUP(A889,[6]PRIORIZADOS!$A:$C,3,FALSE)),"")</f>
        <v>ENGATIVÁ</v>
      </c>
      <c r="D889" s="11" t="str">
        <f>IFERROR(IF(VLOOKUP(A889,[6]PRIORIZADOS!$A:$D,4,FALSE)="","",VLOOKUP(A889,[6]PRIORIZADOS!$A:$D,4,FALSE)),"")</f>
        <v>PRIVADO</v>
      </c>
      <c r="E889" s="11" t="str">
        <f>IFERROR(IF(VLOOKUP(A889,[6]PRIORIZADOS!$A:$E,5,FALSE)="","",VLOOKUP(A889,[6]PRIORIZADOS!$A:$E,5,FALSE)),"")</f>
        <v>EPBM</v>
      </c>
      <c r="F889" s="11" t="str">
        <f>IFERROR(IF(VLOOKUP(A889,[6]PRIORIZADOS!$A:$F,6,FALSE)="","",VLOOKUP(A889,[6]PRIORIZADOS!$A:$F,6,FALSE)),"")</f>
        <v>LICEO_LEONARDO_DAVINCI</v>
      </c>
      <c r="G889" s="11" t="str">
        <f>IFERROR(IF(VLOOKUP(A889,[6]PRIORIZADOS!$A:$G,7,FALSE)="","",VLOOKUP(A889,[6]PRIORIZADOS!$A:$G,7,FALSE)),"")</f>
        <v>LICEO_LEONARDO_DAVINCI</v>
      </c>
      <c r="H889" s="11" t="str">
        <f>IFERROR(IF(VLOOKUP(A889,[6]PRIORIZADOS!$A:$H,8,FALSE)="","",VLOOKUP(A889,[6]PRIORIZADOS!$A:$H,8,FALSE)),"")</f>
        <v>Colegios Nuevos (creados en los últimos 2 años) / Seguimiento a los PMI acordados en 2024</v>
      </c>
      <c r="I889" s="11" t="str">
        <f>IFERROR(IF(VLOOKUP(A889,[6]PRIORIZADOS!$A:$I,9,FALSE)="","",VLOOKUP(A889,[6]PRIORIZADOS!$A:$I,9,FALSE)),"")</f>
        <v>EVALUACIÓN_CON_FINES_DE_MEJORAMIENTO.</v>
      </c>
      <c r="J889" s="11" t="str">
        <f>IFERROR(IF(VLOOKUP(A889,[6]PRIORIZADOS!$A:$J,10,FALSE)="","",VLOOKUP(A889,[6]PRIORIZADOS!$A:$J,10,FALSE)),"")</f>
        <v>Verificar el funcionamiento del Gobierno Escolar e instancias de participación con base en la información sobre conformación reportada por la institución educativa.</v>
      </c>
      <c r="K889" s="11" t="str">
        <f>IFERROR(IF(VLOOKUP(A889,[6]PRIORIZADOS!$A:$K,11,FALSE)="","",VLOOKUP(A889,[6]PRIORIZADOS!$A:$K,11,FALSE)),"")</f>
        <v>JAIME HUMBERTO RAMÍREZ LLANOS</v>
      </c>
      <c r="L889" s="11" t="str">
        <f>IFERROR(IF(VLOOKUP(A889,[6]PRIORIZADOS!$A:$L,12,FALSE)="","",VLOOKUP(A889,[6]PRIORIZADOS!$A:$L,12,FALSE)),"")</f>
        <v>SANDRA MILENA BUENAVENTURA RUEDA</v>
      </c>
      <c r="M889" s="71">
        <f>IFERROR(IF(VLOOKUP(A889,[6]PRIORIZADOS!$A:$M,13,FALSE)="","",VLOOKUP(A889,[6]PRIORIZADOS!$A:$M,13,FALSE)),"")</f>
        <v>45750</v>
      </c>
      <c r="N889" s="139">
        <f>IFERROR(IF(VLOOKUP(A889,[6]PRIORIZADOS!$A:$N,14,FALSE)="","",VLOOKUP(A889,[6]PRIORIZADOS!$A:$N,14,FALSE)),"")</f>
        <v>45750</v>
      </c>
      <c r="O889" s="139">
        <f>IFERROR(IF(VLOOKUP(A889,[6]PRIORIZADOS!$A:$O,15,FALSE)="","",VLOOKUP(A889,[6]PRIORIZADOS!$A:$O,15,FALSE)),"")</f>
        <v>45750</v>
      </c>
      <c r="P889" s="16" t="str">
        <f>IFERROR(IF(VLOOKUP(A889,[6]PRIORIZADOS!$A:$P,16,FALSE)="","",VLOOKUP(A889,[6]PRIORIZADOS!$A:$P,16,FALSE)),"")</f>
        <v>Visitas de evaluación con fines de mejoramiento</v>
      </c>
      <c r="Q889" s="151" t="s">
        <v>158</v>
      </c>
      <c r="R889" s="90" t="str">
        <f>IFERROR(IF(VLOOKUP(A889,[6]PRIORIZADOS!$A:$R,18,FALSE)="","",VLOOKUP(A889,[6]PRIORIZADOS!$A:$R,18,FALSE)),"")</f>
        <v>No se evidencia la realización de reuniones de gobierno escolar</v>
      </c>
      <c r="S889" s="11" t="str">
        <f>IFERROR(IF(VLOOKUP(A889,[6]PRIORIZADOS!$A:$S,19,FALSE)="","",VLOOKUP(A889,[6]PRIORIZADOS!$A:$S,19,FALSE)),"")</f>
        <v>La institución en plan de mejora fijará compromiso de actualización</v>
      </c>
      <c r="T889" s="70" t="str">
        <f>IFERROR(IF(VLOOKUP(A889,[6]PRIORIZADOS!$A:$T,20,FALSE)="","",VLOOKUP(A889,[6]PRIORIZADOS!$A:$T,20,FALSE)),"")</f>
        <v>Si</v>
      </c>
      <c r="U889" s="11" t="str">
        <f>IFERROR(IF(VLOOKUP(A889,[6]PRIORIZADOS!$A:$U,21,FALSE)="","",VLOOKUP(A889,[6]PRIORIZADOS!$A:$U,21,FALSE)),"")</f>
        <v>Una vez aprobado plan de mejoramiente se hará seguimiento se continuará con seguimiento den el 2026</v>
      </c>
    </row>
    <row r="890" spans="1:21" s="1" customFormat="1" ht="48">
      <c r="A890" s="69">
        <f>IF([6]PRIORIZADOS!A256="","",[6]PRIORIZADOS!A256)</f>
        <v>831</v>
      </c>
      <c r="B890" s="70">
        <f>IFERROR(IF(VLOOKUP(A890,[6]PRIORIZADOS!$A:$B,2,FALSE)="","",VLOOKUP(A890,[6]PRIORIZADOS!$A:$B,2,FALSE)),"")</f>
        <v>28</v>
      </c>
      <c r="C890" s="11" t="str">
        <f>IFERROR(IF(VLOOKUP(A890,[6]PRIORIZADOS!$A:$C,3,FALSE)="","",VLOOKUP(A890,[6]PRIORIZADOS!$A:$C,3,FALSE)),"")</f>
        <v>ENGATIVÁ</v>
      </c>
      <c r="D890" s="11" t="str">
        <f>IFERROR(IF(VLOOKUP(A890,[6]PRIORIZADOS!$A:$D,4,FALSE)="","",VLOOKUP(A890,[6]PRIORIZADOS!$A:$D,4,FALSE)),"")</f>
        <v>PRIVADO</v>
      </c>
      <c r="E890" s="11" t="str">
        <f>IFERROR(IF(VLOOKUP(A890,[6]PRIORIZADOS!$A:$E,5,FALSE)="","",VLOOKUP(A890,[6]PRIORIZADOS!$A:$E,5,FALSE)),"")</f>
        <v>EPBM</v>
      </c>
      <c r="F890" s="11" t="str">
        <f>IFERROR(IF(VLOOKUP(A890,[6]PRIORIZADOS!$A:$F,6,FALSE)="","",VLOOKUP(A890,[6]PRIORIZADOS!$A:$F,6,FALSE)),"")</f>
        <v>LICEO_LEONARDO_DAVINCI</v>
      </c>
      <c r="G890" s="11" t="str">
        <f>IFERROR(IF(VLOOKUP(A890,[6]PRIORIZADOS!$A:$G,7,FALSE)="","",VLOOKUP(A890,[6]PRIORIZADOS!$A:$G,7,FALSE)),"")</f>
        <v>LICEO_LEONARDO_DAVINCI</v>
      </c>
      <c r="H890" s="11" t="str">
        <f>IFERROR(IF(VLOOKUP(A890,[6]PRIORIZADOS!$A:$H,8,FALSE)="","",VLOOKUP(A890,[6]PRIORIZADOS!$A:$H,8,FALSE)),"")</f>
        <v>Colegios Nuevos (creados en los últimos 2 años) / Seguimiento a los PMI acordados en 2024</v>
      </c>
      <c r="I890" s="11" t="str">
        <f>IFERROR(IF(VLOOKUP(A890,[6]PRIORIZADOS!$A:$I,9,FALSE)="","",VLOOKUP(A890,[6]PRIORIZADOS!$A:$I,9,FALSE)),"")</f>
        <v>EVALUACIÓN_CON_FINES_DE_MEJORAMIENTO.</v>
      </c>
      <c r="J890" s="11" t="str">
        <f>IFERROR(IF(VLOOKUP(A890,[6]PRIORIZADOS!$A:$J,10,FALSE)="","",VLOOKUP(A890,[6]PRIORIZADOS!$A:$J,10,FALSE)),"")</f>
        <v>Verificar las condiciones en cuanto a: la estructura administrativa, condiciones de la planta física y medios educativos adecuados.</v>
      </c>
      <c r="K890" s="11" t="str">
        <f>IFERROR(IF(VLOOKUP(A890,[6]PRIORIZADOS!$A:$K,11,FALSE)="","",VLOOKUP(A890,[6]PRIORIZADOS!$A:$K,11,FALSE)),"")</f>
        <v>JAIME HUMBERTO RAMÍREZ LLANOS</v>
      </c>
      <c r="L890" s="11" t="str">
        <f>IFERROR(IF(VLOOKUP(A890,[6]PRIORIZADOS!$A:$L,12,FALSE)="","",VLOOKUP(A890,[6]PRIORIZADOS!$A:$L,12,FALSE)),"")</f>
        <v>SANDRA MILENA BUENAVENTURA RUEDA</v>
      </c>
      <c r="M890" s="71">
        <f>IFERROR(IF(VLOOKUP(A890,[6]PRIORIZADOS!$A:$M,13,FALSE)="","",VLOOKUP(A890,[6]PRIORIZADOS!$A:$M,13,FALSE)),"")</f>
        <v>45750</v>
      </c>
      <c r="N890" s="139">
        <f>IFERROR(IF(VLOOKUP(A890,[6]PRIORIZADOS!$A:$N,14,FALSE)="","",VLOOKUP(A890,[6]PRIORIZADOS!$A:$N,14,FALSE)),"")</f>
        <v>45750</v>
      </c>
      <c r="O890" s="139">
        <f>IFERROR(IF(VLOOKUP(A890,[6]PRIORIZADOS!$A:$O,15,FALSE)="","",VLOOKUP(A890,[6]PRIORIZADOS!$A:$O,15,FALSE)),"")</f>
        <v>45750</v>
      </c>
      <c r="P890" s="16" t="str">
        <f>IFERROR(IF(VLOOKUP(A890,[6]PRIORIZADOS!$A:$P,16,FALSE)="","",VLOOKUP(A890,[6]PRIORIZADOS!$A:$P,16,FALSE)),"")</f>
        <v>Visitas de evaluación con fines de mejoramiento</v>
      </c>
      <c r="Q890" s="151" t="s">
        <v>158</v>
      </c>
      <c r="R890" s="90" t="str">
        <f>IFERROR(IF(VLOOKUP(A890,[6]PRIORIZADOS!$A:$R,18,FALSE)="","",VLOOKUP(A890,[6]PRIORIZADOS!$A:$R,18,FALSE)),"")</f>
        <v>La planta física y áreas pedagógicas se ajustan a las normas establecidas</v>
      </c>
      <c r="S890" s="11" t="str">
        <f>IFERROR(IF(VLOOKUP(A890,[6]PRIORIZADOS!$A:$S,19,FALSE)="","",VLOOKUP(A890,[6]PRIORIZADOS!$A:$S,19,FALSE)),"")</f>
        <v>Deberán mantener su infraestructura</v>
      </c>
      <c r="T890" s="70" t="str">
        <f>IFERROR(IF(VLOOKUP(A890,[6]PRIORIZADOS!$A:$T,20,FALSE)="","",VLOOKUP(A890,[6]PRIORIZADOS!$A:$T,20,FALSE)),"")</f>
        <v>No</v>
      </c>
      <c r="U890" s="11" t="str">
        <f>IFERROR(IF(VLOOKUP(A890,[6]PRIORIZADOS!$A:$U,21,FALSE)="","",VLOOKUP(A890,[6]PRIORIZADOS!$A:$U,21,FALSE)),"")</f>
        <v>Se verificará en futura visita</v>
      </c>
    </row>
    <row r="891" spans="1:21" s="1" customFormat="1" ht="60">
      <c r="A891" s="69">
        <f>IF([6]PRIORIZADOS!A257="","",[6]PRIORIZADOS!A257)</f>
        <v>832</v>
      </c>
      <c r="B891" s="70">
        <f>IFERROR(IF(VLOOKUP(A891,[6]PRIORIZADOS!$A:$B,2,FALSE)="","",VLOOKUP(A891,[6]PRIORIZADOS!$A:$B,2,FALSE)),"")</f>
        <v>29</v>
      </c>
      <c r="C891" s="11" t="str">
        <f>IFERROR(IF(VLOOKUP(A891,[6]PRIORIZADOS!$A:$C,3,FALSE)="","",VLOOKUP(A891,[6]PRIORIZADOS!$A:$C,3,FALSE)),"")</f>
        <v>ENGATIVÁ</v>
      </c>
      <c r="D891" s="11" t="str">
        <f>IFERROR(IF(VLOOKUP(A891,[6]PRIORIZADOS!$A:$D,4,FALSE)="","",VLOOKUP(A891,[6]PRIORIZADOS!$A:$D,4,FALSE)),"")</f>
        <v>OFICIAL.</v>
      </c>
      <c r="E891" s="11" t="str">
        <f>IFERROR(IF(VLOOKUP(A891,[6]PRIORIZADOS!$A:$E,5,FALSE)="","",VLOOKUP(A891,[6]PRIORIZADOS!$A:$E,5,FALSE)),"")</f>
        <v>EPBM</v>
      </c>
      <c r="F891" s="11" t="str">
        <f>IFERROR(IF(VLOOKUP(A891,[6]PRIORIZADOS!$A:$F,6,FALSE)="","",VLOOKUP(A891,[6]PRIORIZADOS!$A:$F,6,FALSE)),"")</f>
        <v>COLEGIO_GENERAL_SANTANDER_IED</v>
      </c>
      <c r="G891" s="11" t="str">
        <f>IFERROR(IF(VLOOKUP(A891,[6]PRIORIZADOS!$A:$G,7,FALSE)="","",VLOOKUP(A891,[6]PRIORIZADOS!$A:$G,7,FALSE)),"")</f>
        <v>GENERAL_SANTANDER</v>
      </c>
      <c r="H891" s="11" t="str">
        <f>IFERROR(IF(VLOOKUP(A891,[6]PRIORIZADOS!$A:$H,8,FALSE)="","",VLOOKUP(A891,[6]PRIORIZADOS!$A:$H,8,FALSE)),"")</f>
        <v>Convivencia escolar</v>
      </c>
      <c r="I891" s="11" t="str">
        <f>IFERROR(IF(VLOOKUP(A891,[6]PRIORIZADOS!$A:$I,9,FALSE)="","",VLOOKUP(A891,[6]PRIORIZADOS!$A:$I,9,FALSE)),"")</f>
        <v>SEGUIMIENTO_Y_SUPERVISIÓN.</v>
      </c>
      <c r="J891" s="11" t="str">
        <f>IFERROR(IF(VLOOKUP(A891,[6]PRIORIZADOS!$A:$J,10,FALSE)="","",VLOOKUP(A891,[6]PRIORIZADOS!$A:$J,10,FALSE)),"")</f>
        <v xml:space="preserve">Verificar la implementación por parte de los colegios, de acciones realizadas para la prevención y atención de las situaciones de convivencia en el entorno escolar, según lo establecido en la Directiva 01 de 2022 del MEN. </v>
      </c>
      <c r="K891" s="11" t="str">
        <f>IFERROR(IF(VLOOKUP(A891,[6]PRIORIZADOS!$A:$K,11,FALSE)="","",VLOOKUP(A891,[6]PRIORIZADOS!$A:$K,11,FALSE)),"")</f>
        <v>JENIFER CATHERINE LEÓN ACOSTA</v>
      </c>
      <c r="L891" s="11" t="str">
        <f>IFERROR(IF(VLOOKUP(A891,[6]PRIORIZADOS!$A:$L,12,FALSE)="","",VLOOKUP(A891,[6]PRIORIZADOS!$A:$L,12,FALSE)),"")</f>
        <v>JAIME HUMBERTO RAMÍREZ LLANOS</v>
      </c>
      <c r="M891" s="71">
        <f>IFERROR(IF(VLOOKUP(A891,[6]PRIORIZADOS!$A:$M,13,FALSE)="","",VLOOKUP(A891,[6]PRIORIZADOS!$A:$M,13,FALSE)),"")</f>
        <v>45867</v>
      </c>
      <c r="N891" s="139">
        <f>IFERROR(IF(VLOOKUP(A891,[6]PRIORIZADOS!$A:$N,14,FALSE)="","",VLOOKUP(A891,[6]PRIORIZADOS!$A:$N,14,FALSE)),"")</f>
        <v>45867</v>
      </c>
      <c r="O891" s="139">
        <f>IFERROR(IF(VLOOKUP(A891,[6]PRIORIZADOS!$A:$O,15,FALSE)="","",VLOOKUP(A891,[6]PRIORIZADOS!$A:$O,15,FALSE)),"")</f>
        <v>45867</v>
      </c>
      <c r="P891" s="16" t="str">
        <f>IFERROR(IF(VLOOKUP(A891,[6]PRIORIZADOS!$A:$P,16,FALSE)="","",VLOOKUP(A891,[6]PRIORIZADOS!$A:$P,16,FALSE)),"")</f>
        <v>Visitas de evaluación con fines de seguimiento</v>
      </c>
      <c r="Q891" s="121" t="s">
        <v>159</v>
      </c>
      <c r="R891" s="90" t="str">
        <f>IFERROR(IF(VLOOKUP(A891,[6]PRIORIZADOS!$A:$R,18,FALSE)="","",VLOOKUP(A891,[6]PRIORIZADOS!$A:$R,18,FALSE)),"")</f>
        <v>Se conoce la directiva por parte de la rectoria ,pero por parte de la demas comunidad educativa no es asi. Se espera circular de la SED , Sobre la aplicación de la msisma en establecimientos públicos.</v>
      </c>
      <c r="S891" s="11" t="str">
        <f>IFERROR(IF(VLOOKUP(A891,[6]PRIORIZADOS!$A:$S,19,FALSE)="","",VLOOKUP(A891,[6]PRIORIZADOS!$A:$S,19,FALSE)),"")</f>
        <v>Se dara a conocer la Directiva 001 del MEN, mientras se realiza la directriz especifica desde la SED.</v>
      </c>
      <c r="T891" s="70" t="str">
        <f>IFERROR(IF(VLOOKUP(A891,[6]PRIORIZADOS!$A:$T,20,FALSE)="","",VLOOKUP(A891,[6]PRIORIZADOS!$A:$T,20,FALSE)),"")</f>
        <v>Si</v>
      </c>
      <c r="U891" s="11" t="str">
        <f>IFERROR(IF(VLOOKUP(A891,[6]PRIORIZADOS!$A:$U,21,FALSE)="","",VLOOKUP(A891,[6]PRIORIZADOS!$A:$U,21,FALSE)),"")</f>
        <v>El EE presentara el plan de mejoramiento el 14 de Agosto.</v>
      </c>
    </row>
    <row r="892" spans="1:21" s="1" customFormat="1" ht="72">
      <c r="A892" s="69">
        <f>IF([6]PRIORIZADOS!A258="","",[6]PRIORIZADOS!A258)</f>
        <v>833</v>
      </c>
      <c r="B892" s="70">
        <f>IFERROR(IF(VLOOKUP(A892,[6]PRIORIZADOS!$A:$B,2,FALSE)="","",VLOOKUP(A892,[6]PRIORIZADOS!$A:$B,2,FALSE)),"")</f>
        <v>29</v>
      </c>
      <c r="C892" s="11" t="str">
        <f>IFERROR(IF(VLOOKUP(A892,[6]PRIORIZADOS!$A:$C,3,FALSE)="","",VLOOKUP(A892,[6]PRIORIZADOS!$A:$C,3,FALSE)),"")</f>
        <v>ENGATIVÁ</v>
      </c>
      <c r="D892" s="11" t="str">
        <f>IFERROR(IF(VLOOKUP(A892,[6]PRIORIZADOS!$A:$D,4,FALSE)="","",VLOOKUP(A892,[6]PRIORIZADOS!$A:$D,4,FALSE)),"")</f>
        <v>OFICIAL.</v>
      </c>
      <c r="E892" s="11" t="str">
        <f>IFERROR(IF(VLOOKUP(A892,[6]PRIORIZADOS!$A:$E,5,FALSE)="","",VLOOKUP(A892,[6]PRIORIZADOS!$A:$E,5,FALSE)),"")</f>
        <v>EPBM</v>
      </c>
      <c r="F892" s="11" t="str">
        <f>IFERROR(IF(VLOOKUP(A892,[6]PRIORIZADOS!$A:$F,6,FALSE)="","",VLOOKUP(A892,[6]PRIORIZADOS!$A:$F,6,FALSE)),"")</f>
        <v>COLEGIO_GENERAL_SANTANDER_IED</v>
      </c>
      <c r="G892" s="11" t="str">
        <f>IFERROR(IF(VLOOKUP(A892,[6]PRIORIZADOS!$A:$G,7,FALSE)="","",VLOOKUP(A892,[6]PRIORIZADOS!$A:$G,7,FALSE)),"")</f>
        <v>GENERAL_SANTANDER</v>
      </c>
      <c r="H892" s="11" t="str">
        <f>IFERROR(IF(VLOOKUP(A892,[6]PRIORIZADOS!$A:$H,8,FALSE)="","",VLOOKUP(A892,[6]PRIORIZADOS!$A:$H,8,FALSE)),"")</f>
        <v>Convivencia escolar</v>
      </c>
      <c r="I892" s="11" t="str">
        <f>IFERROR(IF(VLOOKUP(A892,[6]PRIORIZADOS!$A:$I,9,FALSE)="","",VLOOKUP(A892,[6]PRIORIZADOS!$A:$I,9,FALSE)),"")</f>
        <v>SEGUIMIENTO_Y_SUPERVISIÓN.</v>
      </c>
      <c r="J892" s="11" t="str">
        <f>IFERROR(IF(VLOOKUP(A892,[6]PRIORIZADOS!$A:$J,10,FALSE)="","",VLOOKUP(A892,[6]PRIORIZADOS!$A:$J,10,FALSE)),"")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92" s="11" t="str">
        <f>IFERROR(IF(VLOOKUP(A892,[6]PRIORIZADOS!$A:$K,11,FALSE)="","",VLOOKUP(A892,[6]PRIORIZADOS!$A:$K,11,FALSE)),"")</f>
        <v>JENIFER CATHERINE LEÓN ACOSTA</v>
      </c>
      <c r="L892" s="11" t="str">
        <f>IFERROR(IF(VLOOKUP(A892,[6]PRIORIZADOS!$A:$L,12,FALSE)="","",VLOOKUP(A892,[6]PRIORIZADOS!$A:$L,12,FALSE)),"")</f>
        <v>JAIME HUMBERTO RAMÍREZ LLANOS</v>
      </c>
      <c r="M892" s="71">
        <f>IFERROR(IF(VLOOKUP(A892,[6]PRIORIZADOS!$A:$M,13,FALSE)="","",VLOOKUP(A892,[6]PRIORIZADOS!$A:$M,13,FALSE)),"")</f>
        <v>45867</v>
      </c>
      <c r="N892" s="139">
        <f>IFERROR(IF(VLOOKUP(A892,[6]PRIORIZADOS!$A:$N,14,FALSE)="","",VLOOKUP(A892,[6]PRIORIZADOS!$A:$N,14,FALSE)),"")</f>
        <v>45867</v>
      </c>
      <c r="O892" s="139">
        <f>IFERROR(IF(VLOOKUP(A892,[6]PRIORIZADOS!$A:$O,15,FALSE)="","",VLOOKUP(A892,[6]PRIORIZADOS!$A:$O,15,FALSE)),"")</f>
        <v>45867</v>
      </c>
      <c r="P892" s="16" t="str">
        <f>IFERROR(IF(VLOOKUP(A892,[6]PRIORIZADOS!$A:$P,16,FALSE)="","",VLOOKUP(A892,[6]PRIORIZADOS!$A:$P,16,FALSE)),"")</f>
        <v>Visitas de evaluación con fines de seguimiento</v>
      </c>
      <c r="Q892" s="121" t="s">
        <v>159</v>
      </c>
      <c r="R892" s="90" t="str">
        <f>IFERROR(IF(VLOOKUP(A892,[6]PRIORIZADOS!$A:$R,18,FALSE)="","",VLOOKUP(A892,[6]PRIORIZADOS!$A:$R,18,FALSE)),"")</f>
        <v>Se llevó a cabo la verificación de la elaboración, firma y seguimiento de los PIAR de los estudiantes registrados como población con necesidades educativas especiales en el SIMAT.</v>
      </c>
      <c r="S892" s="11" t="str">
        <f>IFERROR(IF(VLOOKUP(A892,[6]PRIORIZADOS!$A:$S,19,FALSE)="","",VLOOKUP(A892,[6]PRIORIZADOS!$A:$S,19,FALSE)),"")</f>
        <v>No se hace requerimiento</v>
      </c>
      <c r="T892" s="70" t="str">
        <f>IFERROR(IF(VLOOKUP(A892,[6]PRIORIZADOS!$A:$T,20,FALSE)="","",VLOOKUP(A892,[6]PRIORIZADOS!$A:$T,20,FALSE)),"")</f>
        <v>No</v>
      </c>
      <c r="U892" s="11" t="str">
        <f>IFERROR(IF(VLOOKUP(A892,[6]PRIORIZADOS!$A:$U,21,FALSE)="","",VLOOKUP(A892,[6]PRIORIZADOS!$A:$U,21,FALSE)),"")</f>
        <v>Se realizará verificacion en caso de presentarse una solicitud o queja al respecto de este apartado</v>
      </c>
    </row>
    <row r="893" spans="1:21" s="1" customFormat="1" ht="274.5">
      <c r="A893" s="69">
        <f>IF([6]PRIORIZADOS!A259="","",[6]PRIORIZADOS!A259)</f>
        <v>834</v>
      </c>
      <c r="B893" s="70">
        <f>IFERROR(IF(VLOOKUP(A893,[6]PRIORIZADOS!$A:$B,2,FALSE)="","",VLOOKUP(A893,[6]PRIORIZADOS!$A:$B,2,FALSE)),"")</f>
        <v>29</v>
      </c>
      <c r="C893" s="11" t="str">
        <f>IFERROR(IF(VLOOKUP(A893,[6]PRIORIZADOS!$A:$C,3,FALSE)="","",VLOOKUP(A893,[6]PRIORIZADOS!$A:$C,3,FALSE)),"")</f>
        <v>ENGATIVÁ</v>
      </c>
      <c r="D893" s="11" t="str">
        <f>IFERROR(IF(VLOOKUP(A893,[6]PRIORIZADOS!$A:$D,4,FALSE)="","",VLOOKUP(A893,[6]PRIORIZADOS!$A:$D,4,FALSE)),"")</f>
        <v>OFICIAL.</v>
      </c>
      <c r="E893" s="11" t="str">
        <f>IFERROR(IF(VLOOKUP(A893,[6]PRIORIZADOS!$A:$E,5,FALSE)="","",VLOOKUP(A893,[6]PRIORIZADOS!$A:$E,5,FALSE)),"")</f>
        <v>EPBM</v>
      </c>
      <c r="F893" s="11" t="str">
        <f>IFERROR(IF(VLOOKUP(A893,[6]PRIORIZADOS!$A:$F,6,FALSE)="","",VLOOKUP(A893,[6]PRIORIZADOS!$A:$F,6,FALSE)),"")</f>
        <v>COLEGIO_GENERAL_SANTANDER_IED</v>
      </c>
      <c r="G893" s="11" t="str">
        <f>IFERROR(IF(VLOOKUP(A893,[6]PRIORIZADOS!$A:$G,7,FALSE)="","",VLOOKUP(A893,[6]PRIORIZADOS!$A:$G,7,FALSE)),"")</f>
        <v>GENERAL_SANTANDER</v>
      </c>
      <c r="H893" s="11" t="str">
        <f>IFERROR(IF(VLOOKUP(A893,[6]PRIORIZADOS!$A:$H,8,FALSE)="","",VLOOKUP(A893,[6]PRIORIZADOS!$A:$H,8,FALSE)),"")</f>
        <v>Convivencia escolar</v>
      </c>
      <c r="I893" s="11" t="str">
        <f>IFERROR(IF(VLOOKUP(A893,[6]PRIORIZADOS!$A:$I,9,FALSE)="","",VLOOKUP(A893,[6]PRIORIZADOS!$A:$I,9,FALSE)),"")</f>
        <v>EVALUACIÓN_CON_FINES_DE_MEJORAMIENTO.</v>
      </c>
      <c r="J893" s="11" t="str">
        <f>IFERROR(IF(VLOOKUP(A893,[6]PRIORIZADOS!$A:$J,10,FALSE)="","",VLOOKUP(A893,[6]PRIORIZADOS!$A:$J,10,FALSE)),"")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893" s="11" t="str">
        <f>IFERROR(IF(VLOOKUP(A893,[6]PRIORIZADOS!$A:$K,11,FALSE)="","",VLOOKUP(A893,[6]PRIORIZADOS!$A:$K,11,FALSE)),"")</f>
        <v>JENIFER CATHERINE LEÓN ACOSTA</v>
      </c>
      <c r="L893" s="11" t="str">
        <f>IFERROR(IF(VLOOKUP(A893,[6]PRIORIZADOS!$A:$L,12,FALSE)="","",VLOOKUP(A893,[6]PRIORIZADOS!$A:$L,12,FALSE)),"")</f>
        <v>JAIME HUMBERTO RAMÍREZ LLANOS</v>
      </c>
      <c r="M893" s="71">
        <f>IFERROR(IF(VLOOKUP(A893,[6]PRIORIZADOS!$A:$M,13,FALSE)="","",VLOOKUP(A893,[6]PRIORIZADOS!$A:$M,13,FALSE)),"")</f>
        <v>45867</v>
      </c>
      <c r="N893" s="139">
        <f>IFERROR(IF(VLOOKUP(A893,[6]PRIORIZADOS!$A:$N,14,FALSE)="","",VLOOKUP(A893,[6]PRIORIZADOS!$A:$N,14,FALSE)),"")</f>
        <v>45867</v>
      </c>
      <c r="O893" s="139">
        <f>IFERROR(IF(VLOOKUP(A893,[6]PRIORIZADOS!$A:$O,15,FALSE)="","",VLOOKUP(A893,[6]PRIORIZADOS!$A:$O,15,FALSE)),"")</f>
        <v>45867</v>
      </c>
      <c r="P893" s="16" t="str">
        <f>IFERROR(IF(VLOOKUP(A893,[6]PRIORIZADOS!$A:$P,16,FALSE)="","",VLOOKUP(A893,[6]PRIORIZADOS!$A:$P,16,FALSE)),"")</f>
        <v>Visitas de evaluación con fines de mejoramiento</v>
      </c>
      <c r="Q893" s="121" t="s">
        <v>159</v>
      </c>
      <c r="R893" s="90" t="str">
        <f>IFERROR(IF(VLOOKUP(A893,[6]PRIORIZADOS!$A:$R,18,FALSE)="","",VLOOKUP(A893,[6]PRIORIZADOS!$A:$R,18,FALSE)),"")</f>
        <v>Se cuenta con un manual de convivencia robusto, con una conceptualización sólida. Sin embargo, no ha sido actualizado para el año 2025. Además, aún está pendiente la incorporación del enfoque de diversidad, así como la tipificación de las situaciones convivenciales y las acciones disciplinarias correspondientes.</v>
      </c>
      <c r="S893" s="11" t="str">
        <f>IFERROR(IF(VLOOKUP(A893,[6]PRIORIZADOS!$A:$S,19,FALSE)="","",VLOOKUP(A893,[6]PRIORIZADOS!$A:$S,19,FALSE)),"")</f>
        <v xml:space="preserve">Enviar el acta del Consejo Estudiantil donde conste la participación en la construcción del Sistema Institucional de Evaluación de los Estudiantes (SIEE) y la actualización del Manual de Convivencia.
Entregar las actas de reuniones realizadas con padres de familia, estudiantes y docentes que participaron en el proceso de actualización del Manual de Convivencia.
Capacitar y coordinar el funcionamiento del Comité de Convivencia Escolar, fortaleciendo su operatividad y garantizando el cumplimiento de sus funciones según la normatividad vigente.
Actualizar el Manual de Convivencia, reformulando de manera clara y precisa el debido proceso frente a situaciones convivenciales y las acciones formativas y disciplinarias correspondientes.
</v>
      </c>
      <c r="T893" s="70" t="str">
        <f>IFERROR(IF(VLOOKUP(A893,[6]PRIORIZADOS!$A:$T,20,FALSE)="","",VLOOKUP(A893,[6]PRIORIZADOS!$A:$T,20,FALSE)),"")</f>
        <v>Si</v>
      </c>
      <c r="U893" s="11" t="str">
        <f>IFERROR(IF(VLOOKUP(A893,[6]PRIORIZADOS!$A:$U,21,FALSE)="","",VLOOKUP(A893,[6]PRIORIZADOS!$A:$U,21,FALSE)),"")</f>
        <v>El EE presentara el plan de mejoramiento el 14 de Agosto.</v>
      </c>
    </row>
    <row r="894" spans="1:21" s="1" customFormat="1" ht="72">
      <c r="A894" s="69">
        <f>IF([6]PRIORIZADOS!A260="","",[6]PRIORIZADOS!A260)</f>
        <v>835</v>
      </c>
      <c r="B894" s="70">
        <f>IFERROR(IF(VLOOKUP(A894,[6]PRIORIZADOS!$A:$B,2,FALSE)="","",VLOOKUP(A894,[6]PRIORIZADOS!$A:$B,2,FALSE)),"")</f>
        <v>29</v>
      </c>
      <c r="C894" s="11" t="str">
        <f>IFERROR(IF(VLOOKUP(A894,[6]PRIORIZADOS!$A:$C,3,FALSE)="","",VLOOKUP(A894,[6]PRIORIZADOS!$A:$C,3,FALSE)),"")</f>
        <v>ENGATIVÁ</v>
      </c>
      <c r="D894" s="11" t="str">
        <f>IFERROR(IF(VLOOKUP(A894,[6]PRIORIZADOS!$A:$D,4,FALSE)="","",VLOOKUP(A894,[6]PRIORIZADOS!$A:$D,4,FALSE)),"")</f>
        <v>OFICIAL.</v>
      </c>
      <c r="E894" s="11" t="str">
        <f>IFERROR(IF(VLOOKUP(A894,[6]PRIORIZADOS!$A:$E,5,FALSE)="","",VLOOKUP(A894,[6]PRIORIZADOS!$A:$E,5,FALSE)),"")</f>
        <v>EPBM</v>
      </c>
      <c r="F894" s="11" t="str">
        <f>IFERROR(IF(VLOOKUP(A894,[6]PRIORIZADOS!$A:$F,6,FALSE)="","",VLOOKUP(A894,[6]PRIORIZADOS!$A:$F,6,FALSE)),"")</f>
        <v>COLEGIO_GENERAL_SANTANDER_IED</v>
      </c>
      <c r="G894" s="11" t="str">
        <f>IFERROR(IF(VLOOKUP(A894,[6]PRIORIZADOS!$A:$G,7,FALSE)="","",VLOOKUP(A894,[6]PRIORIZADOS!$A:$G,7,FALSE)),"")</f>
        <v>GENERAL_SANTANDER</v>
      </c>
      <c r="H894" s="11" t="str">
        <f>IFERROR(IF(VLOOKUP(A894,[6]PRIORIZADOS!$A:$H,8,FALSE)="","",VLOOKUP(A894,[6]PRIORIZADOS!$A:$H,8,FALSE)),"")</f>
        <v>Convivencia escolar</v>
      </c>
      <c r="I894" s="11" t="str">
        <f>IFERROR(IF(VLOOKUP(A894,[6]PRIORIZADOS!$A:$I,9,FALSE)="","",VLOOKUP(A894,[6]PRIORIZADOS!$A:$I,9,FALSE)),"")</f>
        <v>EVALUACIÓN_CON_FINES_DE_MEJORAMIENTO.</v>
      </c>
      <c r="J894" s="11" t="str">
        <f>IFERROR(IF(VLOOKUP(A894,[6]PRIORIZADOS!$A:$J,10,FALSE)="","",VLOOKUP(A894,[6]PRIORIZADOS!$A:$J,10,FALSE)),"")</f>
        <v>Revisar la actualización, socialización e implementación del Sistema Institucional de Evaluación de Estudiantes - SIEE, en articulación con la actualización del PEI y la normatividad vigente.</v>
      </c>
      <c r="K894" s="11" t="str">
        <f>IFERROR(IF(VLOOKUP(A894,[6]PRIORIZADOS!$A:$K,11,FALSE)="","",VLOOKUP(A894,[6]PRIORIZADOS!$A:$K,11,FALSE)),"")</f>
        <v>JENIFER CATHERINE LEÓN ACOSTA</v>
      </c>
      <c r="L894" s="11" t="str">
        <f>IFERROR(IF(VLOOKUP(A894,[6]PRIORIZADOS!$A:$L,12,FALSE)="","",VLOOKUP(A894,[6]PRIORIZADOS!$A:$L,12,FALSE)),"")</f>
        <v>JAIME HUMBERTO RAMÍREZ LLANOS</v>
      </c>
      <c r="M894" s="71">
        <f>IFERROR(IF(VLOOKUP(A894,[6]PRIORIZADOS!$A:$M,13,FALSE)="","",VLOOKUP(A894,[6]PRIORIZADOS!$A:$M,13,FALSE)),"")</f>
        <v>45867</v>
      </c>
      <c r="N894" s="139">
        <f>IFERROR(IF(VLOOKUP(A894,[6]PRIORIZADOS!$A:$N,14,FALSE)="","",VLOOKUP(A894,[6]PRIORIZADOS!$A:$N,14,FALSE)),"")</f>
        <v>45867</v>
      </c>
      <c r="O894" s="139">
        <f>IFERROR(IF(VLOOKUP(A894,[6]PRIORIZADOS!$A:$O,15,FALSE)="","",VLOOKUP(A894,[6]PRIORIZADOS!$A:$O,15,FALSE)),"")</f>
        <v>45867</v>
      </c>
      <c r="P894" s="16" t="str">
        <f>IFERROR(IF(VLOOKUP(A894,[6]PRIORIZADOS!$A:$P,16,FALSE)="","",VLOOKUP(A894,[6]PRIORIZADOS!$A:$P,16,FALSE)),"")</f>
        <v>Visitas de evaluación con fines de mejoramiento</v>
      </c>
      <c r="Q894" s="121" t="s">
        <v>159</v>
      </c>
      <c r="R894" s="90" t="str">
        <f>IFERROR(IF(VLOOKUP(A894,[6]PRIORIZADOS!$A:$R,18,FALSE)="","",VLOOKUP(A894,[6]PRIORIZADOS!$A:$R,18,FALSE)),"")</f>
        <v xml:space="preserve">En el Manual de Convivencia se estipula conceptualmente el SIEE , en concordancia con el SIEE y desde la comision de evaluacion y promoción se realiza el seguimiento a los casos reportados </v>
      </c>
      <c r="S894" s="11" t="str">
        <f>IFERROR(IF(VLOOKUP(A894,[6]PRIORIZADOS!$A:$S,19,FALSE)="","",VLOOKUP(A894,[6]PRIORIZADOS!$A:$S,19,FALSE)),"")</f>
        <v>No se hace requerimiento</v>
      </c>
      <c r="T894" s="70" t="str">
        <f>IFERROR(IF(VLOOKUP(A894,[6]PRIORIZADOS!$A:$T,20,FALSE)="","",VLOOKUP(A894,[6]PRIORIZADOS!$A:$T,20,FALSE)),"")</f>
        <v>No</v>
      </c>
      <c r="U894" s="11" t="str">
        <f>IFERROR(IF(VLOOKUP(A894,[6]PRIORIZADOS!$A:$U,21,FALSE)="","",VLOOKUP(A894,[6]PRIORIZADOS!$A:$U,21,FALSE)),"")</f>
        <v>Se realizará verificacion en caso de presentarse una solicitud o queja al respecto de este apartado</v>
      </c>
    </row>
    <row r="895" spans="1:21" s="1" customFormat="1" ht="48">
      <c r="A895" s="69">
        <f>IF([6]PRIORIZADOS!A261="","",[6]PRIORIZADOS!A261)</f>
        <v>836</v>
      </c>
      <c r="B895" s="70">
        <f>IFERROR(IF(VLOOKUP(A895,[6]PRIORIZADOS!$A:$B,2,FALSE)="","",VLOOKUP(A895,[6]PRIORIZADOS!$A:$B,2,FALSE)),"")</f>
        <v>29</v>
      </c>
      <c r="C895" s="11" t="str">
        <f>IFERROR(IF(VLOOKUP(A895,[6]PRIORIZADOS!$A:$C,3,FALSE)="","",VLOOKUP(A895,[6]PRIORIZADOS!$A:$C,3,FALSE)),"")</f>
        <v>ENGATIVÁ</v>
      </c>
      <c r="D895" s="11" t="str">
        <f>IFERROR(IF(VLOOKUP(A895,[6]PRIORIZADOS!$A:$D,4,FALSE)="","",VLOOKUP(A895,[6]PRIORIZADOS!$A:$D,4,FALSE)),"")</f>
        <v>OFICIAL.</v>
      </c>
      <c r="E895" s="11" t="str">
        <f>IFERROR(IF(VLOOKUP(A895,[6]PRIORIZADOS!$A:$E,5,FALSE)="","",VLOOKUP(A895,[6]PRIORIZADOS!$A:$E,5,FALSE)),"")</f>
        <v>EPBM</v>
      </c>
      <c r="F895" s="11" t="str">
        <f>IFERROR(IF(VLOOKUP(A895,[6]PRIORIZADOS!$A:$F,6,FALSE)="","",VLOOKUP(A895,[6]PRIORIZADOS!$A:$F,6,FALSE)),"")</f>
        <v>COLEGIO_GENERAL_SANTANDER_IED</v>
      </c>
      <c r="G895" s="11" t="str">
        <f>IFERROR(IF(VLOOKUP(A895,[6]PRIORIZADOS!$A:$G,7,FALSE)="","",VLOOKUP(A895,[6]PRIORIZADOS!$A:$G,7,FALSE)),"")</f>
        <v>GENERAL_SANTANDER</v>
      </c>
      <c r="H895" s="11" t="str">
        <f>IFERROR(IF(VLOOKUP(A895,[6]PRIORIZADOS!$A:$H,8,FALSE)="","",VLOOKUP(A895,[6]PRIORIZADOS!$A:$H,8,FALSE)),"")</f>
        <v>Convivencia escolar</v>
      </c>
      <c r="I895" s="11" t="str">
        <f>IFERROR(IF(VLOOKUP(A895,[6]PRIORIZADOS!$A:$I,9,FALSE)="","",VLOOKUP(A895,[6]PRIORIZADOS!$A:$I,9,FALSE)),"")</f>
        <v>EVALUACIÓN_CON_FINES_DE_MEJORAMIENTO.</v>
      </c>
      <c r="J895" s="11" t="str">
        <f>IFERROR(IF(VLOOKUP(A895,[6]PRIORIZADOS!$A:$J,10,FALSE)="","",VLOOKUP(A895,[6]PRIORIZADOS!$A:$J,10,FALSE)),"")</f>
        <v>Revisar el calendario escolar, jornada escolar, la intensidad horaria mínima anual en cada nivel y las modificaciones que se realicen al mismo, de acuerdo con lo previsto en la normatividad vigente.</v>
      </c>
      <c r="K895" s="11" t="str">
        <f>IFERROR(IF(VLOOKUP(A895,[6]PRIORIZADOS!$A:$K,11,FALSE)="","",VLOOKUP(A895,[6]PRIORIZADOS!$A:$K,11,FALSE)),"")</f>
        <v>JENIFER CATHERINE LEÓN ACOSTA</v>
      </c>
      <c r="L895" s="11" t="str">
        <f>IFERROR(IF(VLOOKUP(A895,[6]PRIORIZADOS!$A:$L,12,FALSE)="","",VLOOKUP(A895,[6]PRIORIZADOS!$A:$L,12,FALSE)),"")</f>
        <v>JAIME HUMBERTO RAMÍREZ LLANOS</v>
      </c>
      <c r="M895" s="71">
        <f>IFERROR(IF(VLOOKUP(A895,[6]PRIORIZADOS!$A:$M,13,FALSE)="","",VLOOKUP(A895,[6]PRIORIZADOS!$A:$M,13,FALSE)),"")</f>
        <v>45867</v>
      </c>
      <c r="N895" s="139">
        <f>IFERROR(IF(VLOOKUP(A895,[6]PRIORIZADOS!$A:$N,14,FALSE)="","",VLOOKUP(A895,[6]PRIORIZADOS!$A:$N,14,FALSE)),"")</f>
        <v>45867</v>
      </c>
      <c r="O895" s="139">
        <f>IFERROR(IF(VLOOKUP(A895,[6]PRIORIZADOS!$A:$O,15,FALSE)="","",VLOOKUP(A895,[6]PRIORIZADOS!$A:$O,15,FALSE)),"")</f>
        <v>45867</v>
      </c>
      <c r="P895" s="16" t="str">
        <f>IFERROR(IF(VLOOKUP(A895,[6]PRIORIZADOS!$A:$P,16,FALSE)="","",VLOOKUP(A895,[6]PRIORIZADOS!$A:$P,16,FALSE)),"")</f>
        <v>Visitas de evaluación con fines de mejoramiento</v>
      </c>
      <c r="Q895" s="121" t="s">
        <v>159</v>
      </c>
      <c r="R895" s="90" t="str">
        <f>IFERROR(IF(VLOOKUP(A895,[6]PRIORIZADOS!$A:$R,18,FALSE)="","",VLOOKUP(A895,[6]PRIORIZADOS!$A:$R,18,FALSE)),"")</f>
        <v>Tienen el calendrio escolar, y la itensidad horaria de acuerdo a la norma ,aprobado por el consejo directivo y publicado  en la pagina del Colegio</v>
      </c>
      <c r="S895" s="11" t="str">
        <f>IFERROR(IF(VLOOKUP(A895,[6]PRIORIZADOS!$A:$S,19,FALSE)="","",VLOOKUP(A895,[6]PRIORIZADOS!$A:$S,19,FALSE)),"")</f>
        <v>No se hace requerimiento</v>
      </c>
      <c r="T895" s="70" t="str">
        <f>IFERROR(IF(VLOOKUP(A895,[6]PRIORIZADOS!$A:$T,20,FALSE)="","",VLOOKUP(A895,[6]PRIORIZADOS!$A:$T,20,FALSE)),"")</f>
        <v>No</v>
      </c>
      <c r="U895" s="11" t="str">
        <f>IFERROR(IF(VLOOKUP(A895,[6]PRIORIZADOS!$A:$U,21,FALSE)="","",VLOOKUP(A895,[6]PRIORIZADOS!$A:$U,21,FALSE)),"")</f>
        <v>Se realizará verificacion en caso de presentarse una solicitud o queja al respecto de este apartado</v>
      </c>
    </row>
    <row r="896" spans="1:21" s="1" customFormat="1" ht="60">
      <c r="A896" s="69">
        <f>IF([6]PRIORIZADOS!A262="","",[6]PRIORIZADOS!A262)</f>
        <v>837</v>
      </c>
      <c r="B896" s="70">
        <f>IFERROR(IF(VLOOKUP(A896,[6]PRIORIZADOS!$A:$B,2,FALSE)="","",VLOOKUP(A896,[6]PRIORIZADOS!$A:$B,2,FALSE)),"")</f>
        <v>29</v>
      </c>
      <c r="C896" s="11" t="str">
        <f>IFERROR(IF(VLOOKUP(A896,[6]PRIORIZADOS!$A:$C,3,FALSE)="","",VLOOKUP(A896,[6]PRIORIZADOS!$A:$C,3,FALSE)),"")</f>
        <v>ENGATIVÁ</v>
      </c>
      <c r="D896" s="11" t="str">
        <f>IFERROR(IF(VLOOKUP(A896,[6]PRIORIZADOS!$A:$D,4,FALSE)="","",VLOOKUP(A896,[6]PRIORIZADOS!$A:$D,4,FALSE)),"")</f>
        <v>OFICIAL.</v>
      </c>
      <c r="E896" s="11" t="str">
        <f>IFERROR(IF(VLOOKUP(A896,[6]PRIORIZADOS!$A:$E,5,FALSE)="","",VLOOKUP(A896,[6]PRIORIZADOS!$A:$E,5,FALSE)),"")</f>
        <v>EPBM</v>
      </c>
      <c r="F896" s="11" t="str">
        <f>IFERROR(IF(VLOOKUP(A896,[6]PRIORIZADOS!$A:$F,6,FALSE)="","",VLOOKUP(A896,[6]PRIORIZADOS!$A:$F,6,FALSE)),"")</f>
        <v>COLEGIO_GENERAL_SANTANDER_IED</v>
      </c>
      <c r="G896" s="11" t="str">
        <f>IFERROR(IF(VLOOKUP(A896,[6]PRIORIZADOS!$A:$G,7,FALSE)="","",VLOOKUP(A896,[6]PRIORIZADOS!$A:$G,7,FALSE)),"")</f>
        <v>GENERAL_SANTANDER</v>
      </c>
      <c r="H896" s="11" t="str">
        <f>IFERROR(IF(VLOOKUP(A896,[6]PRIORIZADOS!$A:$H,8,FALSE)="","",VLOOKUP(A896,[6]PRIORIZADOS!$A:$H,8,FALSE)),"")</f>
        <v>Convivencia escolar</v>
      </c>
      <c r="I896" s="11" t="str">
        <f>IFERROR(IF(VLOOKUP(A896,[6]PRIORIZADOS!$A:$I,9,FALSE)="","",VLOOKUP(A896,[6]PRIORIZADOS!$A:$I,9,FALSE)),"")</f>
        <v>EVALUACIÓN_CON_FINES_DE_MEJORAMIENTO.</v>
      </c>
      <c r="J896" s="11" t="str">
        <f>IFERROR(IF(VLOOKUP(A896,[6]PRIORIZADOS!$A:$J,10,FALSE)="","",VLOOKUP(A896,[6]PRIORIZADOS!$A:$J,10,FALSE)),"")</f>
        <v>Verificar el funcionamiento del Gobierno Escolar e instancias de participación con base en la información sobre conformación reportada por la institución educativa.</v>
      </c>
      <c r="K896" s="11" t="str">
        <f>IFERROR(IF(VLOOKUP(A896,[6]PRIORIZADOS!$A:$K,11,FALSE)="","",VLOOKUP(A896,[6]PRIORIZADOS!$A:$K,11,FALSE)),"")</f>
        <v>JENIFER CATHERINE LEÓN ACOSTA</v>
      </c>
      <c r="L896" s="11" t="str">
        <f>IFERROR(IF(VLOOKUP(A896,[6]PRIORIZADOS!$A:$L,12,FALSE)="","",VLOOKUP(A896,[6]PRIORIZADOS!$A:$L,12,FALSE)),"")</f>
        <v>JAIME HUMBERTO RAMÍREZ LLANOS</v>
      </c>
      <c r="M896" s="71">
        <f>IFERROR(IF(VLOOKUP(A896,[6]PRIORIZADOS!$A:$M,13,FALSE)="","",VLOOKUP(A896,[6]PRIORIZADOS!$A:$M,13,FALSE)),"")</f>
        <v>45867</v>
      </c>
      <c r="N896" s="139">
        <f>IFERROR(IF(VLOOKUP(A896,[6]PRIORIZADOS!$A:$N,14,FALSE)="","",VLOOKUP(A896,[6]PRIORIZADOS!$A:$N,14,FALSE)),"")</f>
        <v>45867</v>
      </c>
      <c r="O896" s="139">
        <f>IFERROR(IF(VLOOKUP(A896,[6]PRIORIZADOS!$A:$O,15,FALSE)="","",VLOOKUP(A896,[6]PRIORIZADOS!$A:$O,15,FALSE)),"")</f>
        <v>45867</v>
      </c>
      <c r="P896" s="16" t="str">
        <f>IFERROR(IF(VLOOKUP(A896,[6]PRIORIZADOS!$A:$P,16,FALSE)="","",VLOOKUP(A896,[6]PRIORIZADOS!$A:$P,16,FALSE)),"")</f>
        <v>Visitas de evaluación con fines de mejoramiento</v>
      </c>
      <c r="Q896" s="121" t="s">
        <v>159</v>
      </c>
      <c r="R896" s="90" t="str">
        <f>IFERROR(IF(VLOOKUP(A896,[6]PRIORIZADOS!$A:$R,18,FALSE)="","",VLOOKUP(A896,[6]PRIORIZADOS!$A:$R,18,FALSE)),"")</f>
        <v>Se tienen las actas de conformación , instalación y sesiones según los calendrios estipulados de las instancias de participacio, sin embargo las actas no estan firmadas.</v>
      </c>
      <c r="S896" s="11" t="str">
        <f>IFERROR(IF(VLOOKUP(A896,[6]PRIORIZADOS!$A:$S,19,FALSE)="","",VLOOKUP(A896,[6]PRIORIZADOS!$A:$S,19,FALSE)),"")</f>
        <v>Se solicita que se firmen las actas de las sesiones realizadas y se ejecute un mejor procedimiento para la firma de las mismas.</v>
      </c>
      <c r="T896" s="70" t="str">
        <f>IFERROR(IF(VLOOKUP(A896,[6]PRIORIZADOS!$A:$T,20,FALSE)="","",VLOOKUP(A896,[6]PRIORIZADOS!$A:$T,20,FALSE)),"")</f>
        <v>Si</v>
      </c>
      <c r="U896" s="11" t="str">
        <f>IFERROR(IF(VLOOKUP(A896,[6]PRIORIZADOS!$A:$U,21,FALSE)="","",VLOOKUP(A896,[6]PRIORIZADOS!$A:$U,21,FALSE)),"")</f>
        <v>El EE presentara el plan de mejoramiento el 14 de Agosto.</v>
      </c>
    </row>
    <row r="897" spans="1:21" s="1" customFormat="1" ht="107.25">
      <c r="A897" s="69">
        <f>IF([6]PRIORIZADOS!A263="","",[6]PRIORIZADOS!A263)</f>
        <v>838</v>
      </c>
      <c r="B897" s="70">
        <f>IFERROR(IF(VLOOKUP(A897,[6]PRIORIZADOS!$A:$B,2,FALSE)="","",VLOOKUP(A897,[6]PRIORIZADOS!$A:$B,2,FALSE)),"")</f>
        <v>29</v>
      </c>
      <c r="C897" s="11" t="str">
        <f>IFERROR(IF(VLOOKUP(A897,[6]PRIORIZADOS!$A:$C,3,FALSE)="","",VLOOKUP(A897,[6]PRIORIZADOS!$A:$C,3,FALSE)),"")</f>
        <v>ENGATIVÁ</v>
      </c>
      <c r="D897" s="11" t="str">
        <f>IFERROR(IF(VLOOKUP(A897,[6]PRIORIZADOS!$A:$D,4,FALSE)="","",VLOOKUP(A897,[6]PRIORIZADOS!$A:$D,4,FALSE)),"")</f>
        <v>OFICIAL.</v>
      </c>
      <c r="E897" s="11" t="str">
        <f>IFERROR(IF(VLOOKUP(A897,[6]PRIORIZADOS!$A:$E,5,FALSE)="","",VLOOKUP(A897,[6]PRIORIZADOS!$A:$E,5,FALSE)),"")</f>
        <v>EPBM</v>
      </c>
      <c r="F897" s="11" t="str">
        <f>IFERROR(IF(VLOOKUP(A897,[6]PRIORIZADOS!$A:$F,6,FALSE)="","",VLOOKUP(A897,[6]PRIORIZADOS!$A:$F,6,FALSE)),"")</f>
        <v>COLEGIO_GENERAL_SANTANDER_IED</v>
      </c>
      <c r="G897" s="11" t="str">
        <f>IFERROR(IF(VLOOKUP(A897,[6]PRIORIZADOS!$A:$G,7,FALSE)="","",VLOOKUP(A897,[6]PRIORIZADOS!$A:$G,7,FALSE)),"")</f>
        <v>GENERAL_SANTANDER</v>
      </c>
      <c r="H897" s="11" t="str">
        <f>IFERROR(IF(VLOOKUP(A897,[6]PRIORIZADOS!$A:$H,8,FALSE)="","",VLOOKUP(A897,[6]PRIORIZADOS!$A:$H,8,FALSE)),"")</f>
        <v>Convivencia escolar</v>
      </c>
      <c r="I897" s="11" t="str">
        <f>IFERROR(IF(VLOOKUP(A897,[6]PRIORIZADOS!$A:$I,9,FALSE)="","",VLOOKUP(A897,[6]PRIORIZADOS!$A:$I,9,FALSE)),"")</f>
        <v>EVALUACIÓN_CON_FINES_DE_MEJORAMIENTO.</v>
      </c>
      <c r="J897" s="11" t="str">
        <f>IFERROR(IF(VLOOKUP(A897,[6]PRIORIZADOS!$A:$J,10,FALSE)="","",VLOOKUP(A897,[6]PRIORIZADOS!$A:$J,10,FALSE)),"")</f>
        <v>Verificar las condiciones en cuanto a: la estructura administrativa, condiciones de la planta física y medios educativos adecuados.</v>
      </c>
      <c r="K897" s="11" t="str">
        <f>IFERROR(IF(VLOOKUP(A897,[6]PRIORIZADOS!$A:$K,11,FALSE)="","",VLOOKUP(A897,[6]PRIORIZADOS!$A:$K,11,FALSE)),"")</f>
        <v>JENIFER CATHERINE LEÓN ACOSTA</v>
      </c>
      <c r="L897" s="11" t="str">
        <f>IFERROR(IF(VLOOKUP(A897,[6]PRIORIZADOS!$A:$L,12,FALSE)="","",VLOOKUP(A897,[6]PRIORIZADOS!$A:$L,12,FALSE)),"")</f>
        <v>JAIME HUMBERTO RAMÍREZ LLANOS</v>
      </c>
      <c r="M897" s="71">
        <f>IFERROR(IF(VLOOKUP(A897,[6]PRIORIZADOS!$A:$M,13,FALSE)="","",VLOOKUP(A897,[6]PRIORIZADOS!$A:$M,13,FALSE)),"")</f>
        <v>45867</v>
      </c>
      <c r="N897" s="139">
        <f>IFERROR(IF(VLOOKUP(A897,[6]PRIORIZADOS!$A:$N,14,FALSE)="","",VLOOKUP(A897,[6]PRIORIZADOS!$A:$N,14,FALSE)),"")</f>
        <v>45867</v>
      </c>
      <c r="O897" s="139">
        <f>IFERROR(IF(VLOOKUP(A897,[6]PRIORIZADOS!$A:$O,15,FALSE)="","",VLOOKUP(A897,[6]PRIORIZADOS!$A:$O,15,FALSE)),"")</f>
        <v>45867</v>
      </c>
      <c r="P897" s="16" t="str">
        <f>IFERROR(IF(VLOOKUP(A897,[6]PRIORIZADOS!$A:$P,16,FALSE)="","",VLOOKUP(A897,[6]PRIORIZADOS!$A:$P,16,FALSE)),"")</f>
        <v>Visitas de evaluación con fines de mejoramiento</v>
      </c>
      <c r="Q897" s="121" t="s">
        <v>159</v>
      </c>
      <c r="R897" s="90" t="str">
        <f>IFERROR(IF(VLOOKUP(A897,[6]PRIORIZADOS!$A:$R,18,FALSE)="","",VLOOKUP(A897,[6]PRIORIZADOS!$A:$R,18,FALSE)),"")</f>
        <v xml:space="preserve">Se encuentran en la Sede A Se tienen 36 Aulas 31 Baterias de baño,  dos laboratorio, dos salas de informatica,  una biblioteca y un comedor, 12 oficinas administrativas .
Sede B 35 Aulas, 2 aulas de informativa, 5 oficinas, 1 laboratorio, 22 baterias de baño.
Sede C 18 aulas, 20 baterias de balo, 1 sala de sistemas y 1 ludoteca . </v>
      </c>
      <c r="S897" s="11" t="str">
        <f>IFERROR(IF(VLOOKUP(A897,[6]PRIORIZADOS!$A:$S,19,FALSE)="","",VLOOKUP(A897,[6]PRIORIZADOS!$A:$S,19,FALSE)),"")</f>
        <v>No se hace requerimiento</v>
      </c>
      <c r="T897" s="70" t="str">
        <f>IFERROR(IF(VLOOKUP(A897,[6]PRIORIZADOS!$A:$T,20,FALSE)="","",VLOOKUP(A897,[6]PRIORIZADOS!$A:$T,20,FALSE)),"")</f>
        <v>No</v>
      </c>
      <c r="U897" s="11" t="str">
        <f>IFERROR(IF(VLOOKUP(A897,[6]PRIORIZADOS!$A:$U,21,FALSE)="","",VLOOKUP(A897,[6]PRIORIZADOS!$A:$U,21,FALSE)),"")</f>
        <v>Se realizará verificacion en caso de presentarse una solicitud o queja al respecto de este apartado</v>
      </c>
    </row>
    <row r="898" spans="1:21" s="1" customFormat="1" ht="48">
      <c r="A898" s="69">
        <f>IF([6]PRIORIZADOS!A264="","",[6]PRIORIZADOS!A264)</f>
        <v>839</v>
      </c>
      <c r="B898" s="70">
        <f>IFERROR(IF(VLOOKUP(A898,[6]PRIORIZADOS!$A:$B,2,FALSE)="","",VLOOKUP(A898,[6]PRIORIZADOS!$A:$B,2,FALSE)),"")</f>
        <v>30</v>
      </c>
      <c r="C898" s="11" t="str">
        <f>IFERROR(IF(VLOOKUP(A898,[6]PRIORIZADOS!$A:$C,3,FALSE)="","",VLOOKUP(A898,[6]PRIORIZADOS!$A:$C,3,FALSE)),"")</f>
        <v>ENGATIVÁ</v>
      </c>
      <c r="D898" s="11" t="str">
        <f>IFERROR(IF(VLOOKUP(A898,[6]PRIORIZADOS!$A:$D,4,FALSE)="","",VLOOKUP(A898,[6]PRIORIZADOS!$A:$D,4,FALSE)),"")</f>
        <v>OFICIAL.</v>
      </c>
      <c r="E898" s="11" t="str">
        <f>IFERROR(IF(VLOOKUP(A898,[6]PRIORIZADOS!$A:$E,5,FALSE)="","",VLOOKUP(A898,[6]PRIORIZADOS!$A:$E,5,FALSE)),"")</f>
        <v>EPBM</v>
      </c>
      <c r="F898" s="11" t="str">
        <f>IFERROR(IF(VLOOKUP(A898,[6]PRIORIZADOS!$A:$F,6,FALSE)="","",VLOOKUP(A898,[6]PRIORIZADOS!$A:$F,6,FALSE)),"")</f>
        <v>COLEGIO_ABEL_RODRIGUEZ_CESPEDES_IED</v>
      </c>
      <c r="G898" s="11" t="str">
        <f>IFERROR(IF(VLOOKUP(A898,[6]PRIORIZADOS!$A:$G,7,FALSE)="","",VLOOKUP(A898,[6]PRIORIZADOS!$A:$G,7,FALSE)),"")</f>
        <v>COLEGIO_ABEL_RODRIGUEZ_CESPEDES_IED</v>
      </c>
      <c r="H898" s="11" t="str">
        <f>IFERROR(IF(VLOOKUP(A898,[6]PRIORIZADOS!$A:$H,8,FALSE)="","",VLOOKUP(A898,[6]PRIORIZADOS!$A:$H,8,FALSE)),"")</f>
        <v>Convivencia escolar</v>
      </c>
      <c r="I898" s="11" t="str">
        <f>IFERROR(IF(VLOOKUP(A898,[6]PRIORIZADOS!$A:$I,9,FALSE)="","",VLOOKUP(A898,[6]PRIORIZADOS!$A:$I,9,FALSE)),"")</f>
        <v>SEGUIMIENTO_Y_SUPERVISIÓN.</v>
      </c>
      <c r="J898" s="11" t="str">
        <f>IFERROR(IF(VLOOKUP(A898,[6]PRIORIZADOS!$A:$J,10,FALSE)="","",VLOOKUP(A898,[6]PRIORIZADOS!$A:$J,10,FALSE)),"")</f>
        <v xml:space="preserve">Verificar la implementación por parte de los colegios, de acciones realizadas para la prevención y atención de las situaciones de convivencia en el entorno escolar, según lo establecido en la Directiva 01 de 2022 del MEN. </v>
      </c>
      <c r="K898" s="11" t="str">
        <f>IFERROR(IF(VLOOKUP(A898,[6]PRIORIZADOS!$A:$K,11,FALSE)="","",VLOOKUP(A898,[6]PRIORIZADOS!$A:$K,11,FALSE)),"")</f>
        <v>FREDDY CLAROS PEÑA</v>
      </c>
      <c r="L898" s="11" t="str">
        <f>IFERROR(IF(VLOOKUP(A898,[6]PRIORIZADOS!$A:$L,12,FALSE)="","",VLOOKUP(A898,[6]PRIORIZADOS!$A:$L,12,FALSE)),"")</f>
        <v>MÓNICA JANNETH RAMÍREZ MORENO</v>
      </c>
      <c r="M898" s="71">
        <f>IFERROR(IF(VLOOKUP(A898,[6]PRIORIZADOS!$A:$M,13,FALSE)="","",VLOOKUP(A898,[6]PRIORIZADOS!$A:$M,13,FALSE)),"")</f>
        <v>45881</v>
      </c>
      <c r="N898" s="139">
        <f>IFERROR(IF(VLOOKUP(A898,[6]PRIORIZADOS!$A:$N,14,FALSE)="","",VLOOKUP(A898,[6]PRIORIZADOS!$A:$N,14,FALSE)),"")</f>
        <v>45909</v>
      </c>
      <c r="O898" s="139">
        <f>IFERROR(IF(VLOOKUP(A898,[6]PRIORIZADOS!$A:$O,15,FALSE)="","",VLOOKUP(A898,[6]PRIORIZADOS!$A:$O,15,FALSE)),"")</f>
        <v>45909</v>
      </c>
      <c r="P898" s="16" t="str">
        <f>IFERROR(IF(VLOOKUP(A898,[6]PRIORIZADOS!$A:$P,16,FALSE)="","",VLOOKUP(A898,[6]PRIORIZADOS!$A:$P,16,FALSE)),"")</f>
        <v>Visitas de evaluación con fines de seguimiento</v>
      </c>
      <c r="Q898" s="61" t="s">
        <v>160</v>
      </c>
      <c r="R898" s="90" t="str">
        <f>IFERROR(IF(VLOOKUP(A898,[6]PRIORIZADOS!$A:$R,18,FALSE)="","",VLOOKUP(A898,[6]PRIORIZADOS!$A:$R,18,FALSE)),"")</f>
        <v>No se ha realizado la verificación dado que la IED no cuenta con las fechas de expedición de las cédulas de ciudadnia de los docentes y personal administrativo</v>
      </c>
      <c r="S898" s="11" t="str">
        <f>IFERROR(IF(VLOOKUP(A898,[6]PRIORIZADOS!$A:$S,19,FALSE)="","",VLOOKUP(A898,[6]PRIORIZADOS!$A:$S,19,FALSE)),"")</f>
        <v>Se debe hacer la consulta cada 4 meses de inhabilidades por delitos sexuales en la ágina de la policia, por ende se debe aportar evidencia de la consulta hecha</v>
      </c>
      <c r="T898" s="70" t="str">
        <f>IFERROR(IF(VLOOKUP(A898,[6]PRIORIZADOS!$A:$T,20,FALSE)="","",VLOOKUP(A898,[6]PRIORIZADOS!$A:$T,20,FALSE)),"")</f>
        <v>Si</v>
      </c>
      <c r="U898" s="11" t="str">
        <f>IFERROR(IF(VLOOKUP(A898,[6]PRIORIZADOS!$A:$U,21,FALSE)="","",VLOOKUP(A898,[6]PRIORIZADOS!$A:$U,21,FALSE)),"")</f>
        <v>Se debe aportar evidencia de la verficación establecida en la Directiva 01</v>
      </c>
    </row>
    <row r="899" spans="1:21" s="1" customFormat="1" ht="72">
      <c r="A899" s="69">
        <f>IF([6]PRIORIZADOS!A265="","",[6]PRIORIZADOS!A265)</f>
        <v>840</v>
      </c>
      <c r="B899" s="70">
        <f>IFERROR(IF(VLOOKUP(A899,[6]PRIORIZADOS!$A:$B,2,FALSE)="","",VLOOKUP(A899,[6]PRIORIZADOS!$A:$B,2,FALSE)),"")</f>
        <v>30</v>
      </c>
      <c r="C899" s="11" t="str">
        <f>IFERROR(IF(VLOOKUP(A899,[6]PRIORIZADOS!$A:$C,3,FALSE)="","",VLOOKUP(A899,[6]PRIORIZADOS!$A:$C,3,FALSE)),"")</f>
        <v>ENGATIVÁ</v>
      </c>
      <c r="D899" s="11" t="str">
        <f>IFERROR(IF(VLOOKUP(A899,[6]PRIORIZADOS!$A:$D,4,FALSE)="","",VLOOKUP(A899,[6]PRIORIZADOS!$A:$D,4,FALSE)),"")</f>
        <v>OFICIAL.</v>
      </c>
      <c r="E899" s="11" t="str">
        <f>IFERROR(IF(VLOOKUP(A899,[6]PRIORIZADOS!$A:$E,5,FALSE)="","",VLOOKUP(A899,[6]PRIORIZADOS!$A:$E,5,FALSE)),"")</f>
        <v>EPBM</v>
      </c>
      <c r="F899" s="11" t="str">
        <f>IFERROR(IF(VLOOKUP(A899,[6]PRIORIZADOS!$A:$F,6,FALSE)="","",VLOOKUP(A899,[6]PRIORIZADOS!$A:$F,6,FALSE)),"")</f>
        <v>COLEGIO_ABEL_RODRIGUEZ_CESPEDES_IED</v>
      </c>
      <c r="G899" s="11" t="str">
        <f>IFERROR(IF(VLOOKUP(A899,[6]PRIORIZADOS!$A:$G,7,FALSE)="","",VLOOKUP(A899,[6]PRIORIZADOS!$A:$G,7,FALSE)),"")</f>
        <v>COLEGIO_ABEL_RODRIGUEZ_CESPEDES_IED</v>
      </c>
      <c r="H899" s="11" t="str">
        <f>IFERROR(IF(VLOOKUP(A899,[6]PRIORIZADOS!$A:$H,8,FALSE)="","",VLOOKUP(A899,[6]PRIORIZADOS!$A:$H,8,FALSE)),"")</f>
        <v>Convivencia escolar</v>
      </c>
      <c r="I899" s="11" t="str">
        <f>IFERROR(IF(VLOOKUP(A899,[6]PRIORIZADOS!$A:$I,9,FALSE)="","",VLOOKUP(A899,[6]PRIORIZADOS!$A:$I,9,FALSE)),"")</f>
        <v>SEGUIMIENTO_Y_SUPERVISIÓN.</v>
      </c>
      <c r="J899" s="11" t="str">
        <f>IFERROR(IF(VLOOKUP(A899,[6]PRIORIZADOS!$A:$J,10,FALSE)="","",VLOOKUP(A899,[6]PRIORIZADOS!$A:$J,10,FALSE)),"")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899" s="11" t="str">
        <f>IFERROR(IF(VLOOKUP(A899,[6]PRIORIZADOS!$A:$K,11,FALSE)="","",VLOOKUP(A899,[6]PRIORIZADOS!$A:$K,11,FALSE)),"")</f>
        <v>FREDDY CLAROS PEÑA</v>
      </c>
      <c r="L899" s="11" t="str">
        <f>IFERROR(IF(VLOOKUP(A899,[6]PRIORIZADOS!$A:$L,12,FALSE)="","",VLOOKUP(A899,[6]PRIORIZADOS!$A:$L,12,FALSE)),"")</f>
        <v>MÓNICA JANNETH RAMÍREZ MORENO</v>
      </c>
      <c r="M899" s="71">
        <f>IFERROR(IF(VLOOKUP(A899,[6]PRIORIZADOS!$A:$M,13,FALSE)="","",VLOOKUP(A899,[6]PRIORIZADOS!$A:$M,13,FALSE)),"")</f>
        <v>45881</v>
      </c>
      <c r="N899" s="139">
        <f>IFERROR(IF(VLOOKUP(A899,[6]PRIORIZADOS!$A:$N,14,FALSE)="","",VLOOKUP(A899,[6]PRIORIZADOS!$A:$N,14,FALSE)),"")</f>
        <v>45909</v>
      </c>
      <c r="O899" s="139">
        <f>IFERROR(IF(VLOOKUP(A899,[6]PRIORIZADOS!$A:$O,15,FALSE)="","",VLOOKUP(A899,[6]PRIORIZADOS!$A:$O,15,FALSE)),"")</f>
        <v>45909</v>
      </c>
      <c r="P899" s="16" t="str">
        <f>IFERROR(IF(VLOOKUP(A899,[6]PRIORIZADOS!$A:$P,16,FALSE)="","",VLOOKUP(A899,[6]PRIORIZADOS!$A:$P,16,FALSE)),"")</f>
        <v>Visitas de evaluación con fines de seguimiento</v>
      </c>
      <c r="Q899" s="2" t="s">
        <v>160</v>
      </c>
      <c r="R899" s="90" t="str">
        <f>IFERROR(IF(VLOOKUP(A899,[6]PRIORIZADOS!$A:$R,18,FALSE)="","",VLOOKUP(A899,[6]PRIORIZADOS!$A:$R,18,FALSE)),"")</f>
        <v>Se evidencia PIAR de los 47 estudiantes con diagnóstico de discapacidad.</v>
      </c>
      <c r="S899" s="11" t="str">
        <f>IFERROR(IF(VLOOKUP(A899,[6]PRIORIZADOS!$A:$S,19,FALSE)="","",VLOOKUP(A899,[6]PRIORIZADOS!$A:$S,19,FALSE)),"")</f>
        <v>Se debe continuar socializando los PIAR con los padres de familia y docentes, dependiendo su diseño si es por trimestre o periodo acadèmico</v>
      </c>
      <c r="T899" s="70" t="str">
        <f>IFERROR(IF(VLOOKUP(A899,[6]PRIORIZADOS!$A:$T,20,FALSE)="","",VLOOKUP(A899,[6]PRIORIZADOS!$A:$T,20,FALSE)),"")</f>
        <v>No</v>
      </c>
      <c r="U899" s="11" t="str">
        <f>IFERROR(IF(VLOOKUP(A899,[6]PRIORIZADOS!$A:$U,21,FALSE)="","",VLOOKUP(A899,[6]PRIORIZADOS!$A:$U,21,FALSE)),"")</f>
        <v>Se verificará en una actuación en otra vigencia o si se genera petición o queja ciudadana.</v>
      </c>
    </row>
    <row r="900" spans="1:21" s="1" customFormat="1" ht="84">
      <c r="A900" s="69">
        <f>IF([6]PRIORIZADOS!A266="","",[6]PRIORIZADOS!A266)</f>
        <v>841</v>
      </c>
      <c r="B900" s="70">
        <f>IFERROR(IF(VLOOKUP(A900,[6]PRIORIZADOS!$A:$B,2,FALSE)="","",VLOOKUP(A900,[6]PRIORIZADOS!$A:$B,2,FALSE)),"")</f>
        <v>30</v>
      </c>
      <c r="C900" s="11" t="str">
        <f>IFERROR(IF(VLOOKUP(A900,[6]PRIORIZADOS!$A:$C,3,FALSE)="","",VLOOKUP(A900,[6]PRIORIZADOS!$A:$C,3,FALSE)),"")</f>
        <v>ENGATIVÁ</v>
      </c>
      <c r="D900" s="11" t="str">
        <f>IFERROR(IF(VLOOKUP(A900,[6]PRIORIZADOS!$A:$D,4,FALSE)="","",VLOOKUP(A900,[6]PRIORIZADOS!$A:$D,4,FALSE)),"")</f>
        <v>OFICIAL.</v>
      </c>
      <c r="E900" s="11" t="str">
        <f>IFERROR(IF(VLOOKUP(A900,[6]PRIORIZADOS!$A:$E,5,FALSE)="","",VLOOKUP(A900,[6]PRIORIZADOS!$A:$E,5,FALSE)),"")</f>
        <v>EPBM</v>
      </c>
      <c r="F900" s="11" t="str">
        <f>IFERROR(IF(VLOOKUP(A900,[6]PRIORIZADOS!$A:$F,6,FALSE)="","",VLOOKUP(A900,[6]PRIORIZADOS!$A:$F,6,FALSE)),"")</f>
        <v>COLEGIO_ABEL_RODRIGUEZ_CESPEDES_IED</v>
      </c>
      <c r="G900" s="11" t="str">
        <f>IFERROR(IF(VLOOKUP(A900,[6]PRIORIZADOS!$A:$G,7,FALSE)="","",VLOOKUP(A900,[6]PRIORIZADOS!$A:$G,7,FALSE)),"")</f>
        <v>COLEGIO_ABEL_RODRIGUEZ_CESPEDES_IED</v>
      </c>
      <c r="H900" s="11" t="str">
        <f>IFERROR(IF(VLOOKUP(A900,[6]PRIORIZADOS!$A:$H,8,FALSE)="","",VLOOKUP(A900,[6]PRIORIZADOS!$A:$H,8,FALSE)),"")</f>
        <v>Convivencia escolar</v>
      </c>
      <c r="I900" s="11" t="str">
        <f>IFERROR(IF(VLOOKUP(A900,[6]PRIORIZADOS!$A:$I,9,FALSE)="","",VLOOKUP(A900,[6]PRIORIZADOS!$A:$I,9,FALSE)),"")</f>
        <v>EVALUACIÓN_CON_FINES_DE_MEJORAMIENTO.</v>
      </c>
      <c r="J900" s="11" t="str">
        <f>IFERROR(IF(VLOOKUP(A900,[6]PRIORIZADOS!$A:$J,10,FALSE)="","",VLOOKUP(A900,[6]PRIORIZADOS!$A:$J,10,FALSE)),"")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00" s="11" t="str">
        <f>IFERROR(IF(VLOOKUP(A900,[6]PRIORIZADOS!$A:$K,11,FALSE)="","",VLOOKUP(A900,[6]PRIORIZADOS!$A:$K,11,FALSE)),"")</f>
        <v>FREDDY CLAROS PEÑA</v>
      </c>
      <c r="L900" s="11" t="str">
        <f>IFERROR(IF(VLOOKUP(A900,[6]PRIORIZADOS!$A:$L,12,FALSE)="","",VLOOKUP(A900,[6]PRIORIZADOS!$A:$L,12,FALSE)),"")</f>
        <v>MÓNICA JANNETH RAMÍREZ MORENO</v>
      </c>
      <c r="M900" s="71">
        <f>IFERROR(IF(VLOOKUP(A900,[6]PRIORIZADOS!$A:$M,13,FALSE)="","",VLOOKUP(A900,[6]PRIORIZADOS!$A:$M,13,FALSE)),"")</f>
        <v>45881</v>
      </c>
      <c r="N900" s="139">
        <f>IFERROR(IF(VLOOKUP(A900,[6]PRIORIZADOS!$A:$N,14,FALSE)="","",VLOOKUP(A900,[6]PRIORIZADOS!$A:$N,14,FALSE)),"")</f>
        <v>45909</v>
      </c>
      <c r="O900" s="139">
        <f>IFERROR(IF(VLOOKUP(A900,[6]PRIORIZADOS!$A:$O,15,FALSE)="","",VLOOKUP(A900,[6]PRIORIZADOS!$A:$O,15,FALSE)),"")</f>
        <v>45909</v>
      </c>
      <c r="P900" s="16" t="str">
        <f>IFERROR(IF(VLOOKUP(A900,[6]PRIORIZADOS!$A:$P,16,FALSE)="","",VLOOKUP(A900,[6]PRIORIZADOS!$A:$P,16,FALSE)),"")</f>
        <v>Visitas de evaluación con fines de mejoramiento</v>
      </c>
      <c r="Q900" s="2" t="s">
        <v>160</v>
      </c>
      <c r="R900" s="90" t="str">
        <f>IFERROR(IF(VLOOKUP(A900,[6]PRIORIZADOS!$A:$R,18,FALSE)="","",VLOOKUP(A900,[6]PRIORIZADOS!$A:$R,18,FALSE)),"")</f>
        <v>Dado que la IED es nueva, se inauguró en el año 2022, se inició con el manual de convivencia estipulado por la SED, se ha venido haciendo actualización participativa para la vigencia 2026, el 28 de agosto se hizo taller con padres de familia sobre sensibilización del manual de convivencia</v>
      </c>
      <c r="S900" s="11" t="str">
        <f>IFERROR(IF(VLOOKUP(A900,[6]PRIORIZADOS!$A:$S,19,FALSE)="","",VLOOKUP(A900,[6]PRIORIZADOS!$A:$S,19,FALSE)),"")</f>
        <v xml:space="preserve">Se debe continuar la actualización participativa de toda la comunidad educativa </v>
      </c>
      <c r="T900" s="70" t="str">
        <f>IFERROR(IF(VLOOKUP(A900,[6]PRIORIZADOS!$A:$T,20,FALSE)="","",VLOOKUP(A900,[6]PRIORIZADOS!$A:$T,20,FALSE)),"")</f>
        <v>No</v>
      </c>
      <c r="U900" s="11" t="str">
        <f>IFERROR(IF(VLOOKUP(A900,[6]PRIORIZADOS!$A:$U,21,FALSE)="","",VLOOKUP(A900,[6]PRIORIZADOS!$A:$U,21,FALSE)),"")</f>
        <v>Se verificará en una actuación en otra vigencia o si se genera petición o queja ciudadana.</v>
      </c>
    </row>
    <row r="901" spans="1:21" s="1" customFormat="1" ht="84">
      <c r="A901" s="69">
        <f>IF([6]PRIORIZADOS!A267="","",[6]PRIORIZADOS!A267)</f>
        <v>842</v>
      </c>
      <c r="B901" s="70">
        <f>IFERROR(IF(VLOOKUP(A901,[6]PRIORIZADOS!$A:$B,2,FALSE)="","",VLOOKUP(A901,[6]PRIORIZADOS!$A:$B,2,FALSE)),"")</f>
        <v>30</v>
      </c>
      <c r="C901" s="11" t="str">
        <f>IFERROR(IF(VLOOKUP(A901,[6]PRIORIZADOS!$A:$C,3,FALSE)="","",VLOOKUP(A901,[6]PRIORIZADOS!$A:$C,3,FALSE)),"")</f>
        <v>ENGATIVÁ</v>
      </c>
      <c r="D901" s="11" t="str">
        <f>IFERROR(IF(VLOOKUP(A901,[6]PRIORIZADOS!$A:$D,4,FALSE)="","",VLOOKUP(A901,[6]PRIORIZADOS!$A:$D,4,FALSE)),"")</f>
        <v>OFICIAL.</v>
      </c>
      <c r="E901" s="11" t="str">
        <f>IFERROR(IF(VLOOKUP(A901,[6]PRIORIZADOS!$A:$E,5,FALSE)="","",VLOOKUP(A901,[6]PRIORIZADOS!$A:$E,5,FALSE)),"")</f>
        <v>EPBM</v>
      </c>
      <c r="F901" s="11" t="str">
        <f>IFERROR(IF(VLOOKUP(A901,[6]PRIORIZADOS!$A:$F,6,FALSE)="","",VLOOKUP(A901,[6]PRIORIZADOS!$A:$F,6,FALSE)),"")</f>
        <v>COLEGIO_ABEL_RODRIGUEZ_CESPEDES_IED</v>
      </c>
      <c r="G901" s="11" t="str">
        <f>IFERROR(IF(VLOOKUP(A901,[6]PRIORIZADOS!$A:$G,7,FALSE)="","",VLOOKUP(A901,[6]PRIORIZADOS!$A:$G,7,FALSE)),"")</f>
        <v>COLEGIO_ABEL_RODRIGUEZ_CESPEDES_IED</v>
      </c>
      <c r="H901" s="11" t="str">
        <f>IFERROR(IF(VLOOKUP(A901,[6]PRIORIZADOS!$A:$H,8,FALSE)="","",VLOOKUP(A901,[6]PRIORIZADOS!$A:$H,8,FALSE)),"")</f>
        <v>Convivencia escolar</v>
      </c>
      <c r="I901" s="11" t="str">
        <f>IFERROR(IF(VLOOKUP(A901,[6]PRIORIZADOS!$A:$I,9,FALSE)="","",VLOOKUP(A901,[6]PRIORIZADOS!$A:$I,9,FALSE)),"")</f>
        <v>EVALUACIÓN_CON_FINES_DE_MEJORAMIENTO.</v>
      </c>
      <c r="J901" s="11" t="str">
        <f>IFERROR(IF(VLOOKUP(A901,[6]PRIORIZADOS!$A:$J,10,FALSE)="","",VLOOKUP(A901,[6]PRIORIZADOS!$A:$J,10,FALSE)),"")</f>
        <v>Revisar la actualización, socialización e implementación del Sistema Institucional de Evaluación de Estudiantes - SIEE, en articulación con la actualización del PEI y la normatividad vigente.</v>
      </c>
      <c r="K901" s="11" t="str">
        <f>IFERROR(IF(VLOOKUP(A901,[6]PRIORIZADOS!$A:$K,11,FALSE)="","",VLOOKUP(A901,[6]PRIORIZADOS!$A:$K,11,FALSE)),"")</f>
        <v>FREDDY CLAROS PEÑA</v>
      </c>
      <c r="L901" s="11" t="str">
        <f>IFERROR(IF(VLOOKUP(A901,[6]PRIORIZADOS!$A:$L,12,FALSE)="","",VLOOKUP(A901,[6]PRIORIZADOS!$A:$L,12,FALSE)),"")</f>
        <v>MÓNICA JANNETH RAMÍREZ MORENO</v>
      </c>
      <c r="M901" s="71">
        <f>IFERROR(IF(VLOOKUP(A901,[6]PRIORIZADOS!$A:$M,13,FALSE)="","",VLOOKUP(A901,[6]PRIORIZADOS!$A:$M,13,FALSE)),"")</f>
        <v>45881</v>
      </c>
      <c r="N901" s="139">
        <f>IFERROR(IF(VLOOKUP(A901,[6]PRIORIZADOS!$A:$N,14,FALSE)="","",VLOOKUP(A901,[6]PRIORIZADOS!$A:$N,14,FALSE)),"")</f>
        <v>45909</v>
      </c>
      <c r="O901" s="139">
        <f>IFERROR(IF(VLOOKUP(A901,[6]PRIORIZADOS!$A:$O,15,FALSE)="","",VLOOKUP(A901,[6]PRIORIZADOS!$A:$O,15,FALSE)),"")</f>
        <v>45909</v>
      </c>
      <c r="P901" s="16" t="str">
        <f>IFERROR(IF(VLOOKUP(A901,[6]PRIORIZADOS!$A:$P,16,FALSE)="","",VLOOKUP(A901,[6]PRIORIZADOS!$A:$P,16,FALSE)),"")</f>
        <v>Visitas de evaluación con fines de mejoramiento</v>
      </c>
      <c r="Q901" s="2" t="s">
        <v>160</v>
      </c>
      <c r="R901" s="90" t="str">
        <f>IFERROR(IF(VLOOKUP(A901,[6]PRIORIZADOS!$A:$R,18,FALSE)="","",VLOOKUP(A901,[6]PRIORIZADOS!$A:$R,18,FALSE)),"")</f>
        <v>Dado que la IED es nueva, se inauguró en el año 2022, se inició con el manual de convivenci estipulado por la SED, se ha venido haciendo actualización participativa para la vigencia 2026, el 28 de agosto se hizo taller con padres de familia sobre sensibilización del manual de convivencia</v>
      </c>
      <c r="S901" s="11" t="str">
        <f>IFERROR(IF(VLOOKUP(A901,[6]PRIORIZADOS!$A:$S,19,FALSE)="","",VLOOKUP(A901,[6]PRIORIZADOS!$A:$S,19,FALSE)),"")</f>
        <v xml:space="preserve">Se debe continuar la actualización participativa de toda la comunidad educativa </v>
      </c>
      <c r="T901" s="70" t="str">
        <f>IFERROR(IF(VLOOKUP(A901,[6]PRIORIZADOS!$A:$T,20,FALSE)="","",VLOOKUP(A901,[6]PRIORIZADOS!$A:$T,20,FALSE)),"")</f>
        <v>No</v>
      </c>
      <c r="U901" s="11" t="str">
        <f>IFERROR(IF(VLOOKUP(A901,[6]PRIORIZADOS!$A:$U,21,FALSE)="","",VLOOKUP(A901,[6]PRIORIZADOS!$A:$U,21,FALSE)),"")</f>
        <v>Se verificará en una actuación en otra vigencia o si se genera petición o queja ciudadana.</v>
      </c>
    </row>
    <row r="902" spans="1:21" s="1" customFormat="1" ht="48">
      <c r="A902" s="69">
        <f>IF([6]PRIORIZADOS!A268="","",[6]PRIORIZADOS!A268)</f>
        <v>843</v>
      </c>
      <c r="B902" s="70">
        <f>IFERROR(IF(VLOOKUP(A902,[6]PRIORIZADOS!$A:$B,2,FALSE)="","",VLOOKUP(A902,[6]PRIORIZADOS!$A:$B,2,FALSE)),"")</f>
        <v>30</v>
      </c>
      <c r="C902" s="11" t="str">
        <f>IFERROR(IF(VLOOKUP(A902,[6]PRIORIZADOS!$A:$C,3,FALSE)="","",VLOOKUP(A902,[6]PRIORIZADOS!$A:$C,3,FALSE)),"")</f>
        <v>ENGATIVÁ</v>
      </c>
      <c r="D902" s="11" t="str">
        <f>IFERROR(IF(VLOOKUP(A902,[6]PRIORIZADOS!$A:$D,4,FALSE)="","",VLOOKUP(A902,[6]PRIORIZADOS!$A:$D,4,FALSE)),"")</f>
        <v>OFICIAL.</v>
      </c>
      <c r="E902" s="11" t="str">
        <f>IFERROR(IF(VLOOKUP(A902,[6]PRIORIZADOS!$A:$E,5,FALSE)="","",VLOOKUP(A902,[6]PRIORIZADOS!$A:$E,5,FALSE)),"")</f>
        <v>EPBM</v>
      </c>
      <c r="F902" s="11" t="str">
        <f>IFERROR(IF(VLOOKUP(A902,[6]PRIORIZADOS!$A:$F,6,FALSE)="","",VLOOKUP(A902,[6]PRIORIZADOS!$A:$F,6,FALSE)),"")</f>
        <v>COLEGIO_ABEL_RODRIGUEZ_CESPEDES_IED</v>
      </c>
      <c r="G902" s="11" t="str">
        <f>IFERROR(IF(VLOOKUP(A902,[6]PRIORIZADOS!$A:$G,7,FALSE)="","",VLOOKUP(A902,[6]PRIORIZADOS!$A:$G,7,FALSE)),"")</f>
        <v>COLEGIO_ABEL_RODRIGUEZ_CESPEDES_IED</v>
      </c>
      <c r="H902" s="11" t="str">
        <f>IFERROR(IF(VLOOKUP(A902,[6]PRIORIZADOS!$A:$H,8,FALSE)="","",VLOOKUP(A902,[6]PRIORIZADOS!$A:$H,8,FALSE)),"")</f>
        <v>Convivencia escolar</v>
      </c>
      <c r="I902" s="11" t="str">
        <f>IFERROR(IF(VLOOKUP(A902,[6]PRIORIZADOS!$A:$I,9,FALSE)="","",VLOOKUP(A902,[6]PRIORIZADOS!$A:$I,9,FALSE)),"")</f>
        <v>EVALUACIÓN_CON_FINES_DE_MEJORAMIENTO.</v>
      </c>
      <c r="J902" s="11" t="str">
        <f>IFERROR(IF(VLOOKUP(A902,[6]PRIORIZADOS!$A:$J,10,FALSE)="","",VLOOKUP(A902,[6]PRIORIZADOS!$A:$J,10,FALSE)),"")</f>
        <v>Revisar el calendario escolar, jornada escolar, la intensidad horaria mínima anual en cada nivel y las modificaciones que se realicen al mismo, de acuerdo con lo previsto en la normatividad vigente.</v>
      </c>
      <c r="K902" s="11" t="str">
        <f>IFERROR(IF(VLOOKUP(A902,[6]PRIORIZADOS!$A:$K,11,FALSE)="","",VLOOKUP(A902,[6]PRIORIZADOS!$A:$K,11,FALSE)),"")</f>
        <v>FREDDY CLAROS PEÑA</v>
      </c>
      <c r="L902" s="11" t="str">
        <f>IFERROR(IF(VLOOKUP(A902,[6]PRIORIZADOS!$A:$L,12,FALSE)="","",VLOOKUP(A902,[6]PRIORIZADOS!$A:$L,12,FALSE)),"")</f>
        <v>MÓNICA JANNETH RAMÍREZ MORENO</v>
      </c>
      <c r="M902" s="71">
        <f>IFERROR(IF(VLOOKUP(A902,[6]PRIORIZADOS!$A:$M,13,FALSE)="","",VLOOKUP(A902,[6]PRIORIZADOS!$A:$M,13,FALSE)),"")</f>
        <v>45881</v>
      </c>
      <c r="N902" s="139">
        <f>IFERROR(IF(VLOOKUP(A902,[6]PRIORIZADOS!$A:$N,14,FALSE)="","",VLOOKUP(A902,[6]PRIORIZADOS!$A:$N,14,FALSE)),"")</f>
        <v>45909</v>
      </c>
      <c r="O902" s="139">
        <f>IFERROR(IF(VLOOKUP(A902,[6]PRIORIZADOS!$A:$O,15,FALSE)="","",VLOOKUP(A902,[6]PRIORIZADOS!$A:$O,15,FALSE)),"")</f>
        <v>45909</v>
      </c>
      <c r="P902" s="16" t="str">
        <f>IFERROR(IF(VLOOKUP(A902,[6]PRIORIZADOS!$A:$P,16,FALSE)="","",VLOOKUP(A902,[6]PRIORIZADOS!$A:$P,16,FALSE)),"")</f>
        <v>Visitas de evaluación con fines de mejoramiento</v>
      </c>
      <c r="Q902" s="2" t="s">
        <v>160</v>
      </c>
      <c r="R902" s="90" t="str">
        <f>IFERROR(IF(VLOOKUP(A902,[6]PRIORIZADOS!$A:$R,18,FALSE)="","",VLOOKUP(A902,[6]PRIORIZADOS!$A:$R,18,FALSE)),"")</f>
        <v xml:space="preserve">Se revisa en el formato establecido el cumplimiento de la intensidad horaria </v>
      </c>
      <c r="S902" s="11" t="str">
        <f>IFERROR(IF(VLOOKUP(A902,[6]PRIORIZADOS!$A:$S,19,FALSE)="","",VLOOKUP(A902,[6]PRIORIZADOS!$A:$S,19,FALSE)),"")</f>
        <v>El colegio cumple la intensidad horaria establecida por nivel según normativa vigente</v>
      </c>
      <c r="T902" s="70" t="str">
        <f>IFERROR(IF(VLOOKUP(A902,[6]PRIORIZADOS!$A:$T,20,FALSE)="","",VLOOKUP(A902,[6]PRIORIZADOS!$A:$T,20,FALSE)),"")</f>
        <v>No</v>
      </c>
      <c r="U902" s="11" t="str">
        <f>IFERROR(IF(VLOOKUP(A902,[6]PRIORIZADOS!$A:$U,21,FALSE)="","",VLOOKUP(A902,[6]PRIORIZADOS!$A:$U,21,FALSE)),"")</f>
        <v>Se verificará en una actuación en otra vigencia o si se genera petición o queja ciudadana.</v>
      </c>
    </row>
    <row r="903" spans="1:21" s="1" customFormat="1" ht="60">
      <c r="A903" s="69">
        <f>IF([6]PRIORIZADOS!A269="","",[6]PRIORIZADOS!A269)</f>
        <v>844</v>
      </c>
      <c r="B903" s="70">
        <f>IFERROR(IF(VLOOKUP(A903,[6]PRIORIZADOS!$A:$B,2,FALSE)="","",VLOOKUP(A903,[6]PRIORIZADOS!$A:$B,2,FALSE)),"")</f>
        <v>30</v>
      </c>
      <c r="C903" s="11" t="str">
        <f>IFERROR(IF(VLOOKUP(A903,[6]PRIORIZADOS!$A:$C,3,FALSE)="","",VLOOKUP(A903,[6]PRIORIZADOS!$A:$C,3,FALSE)),"")</f>
        <v>ENGATIVÁ</v>
      </c>
      <c r="D903" s="11" t="str">
        <f>IFERROR(IF(VLOOKUP(A903,[6]PRIORIZADOS!$A:$D,4,FALSE)="","",VLOOKUP(A903,[6]PRIORIZADOS!$A:$D,4,FALSE)),"")</f>
        <v>OFICIAL.</v>
      </c>
      <c r="E903" s="11" t="str">
        <f>IFERROR(IF(VLOOKUP(A903,[6]PRIORIZADOS!$A:$E,5,FALSE)="","",VLOOKUP(A903,[6]PRIORIZADOS!$A:$E,5,FALSE)),"")</f>
        <v>EPBM</v>
      </c>
      <c r="F903" s="11" t="str">
        <f>IFERROR(IF(VLOOKUP(A903,[6]PRIORIZADOS!$A:$F,6,FALSE)="","",VLOOKUP(A903,[6]PRIORIZADOS!$A:$F,6,FALSE)),"")</f>
        <v>COLEGIO_ABEL_RODRIGUEZ_CESPEDES_IED</v>
      </c>
      <c r="G903" s="11" t="str">
        <f>IFERROR(IF(VLOOKUP(A903,[6]PRIORIZADOS!$A:$G,7,FALSE)="","",VLOOKUP(A903,[6]PRIORIZADOS!$A:$G,7,FALSE)),"")</f>
        <v>COLEGIO_ABEL_RODRIGUEZ_CESPEDES_IED</v>
      </c>
      <c r="H903" s="11" t="str">
        <f>IFERROR(IF(VLOOKUP(A903,[6]PRIORIZADOS!$A:$H,8,FALSE)="","",VLOOKUP(A903,[6]PRIORIZADOS!$A:$H,8,FALSE)),"")</f>
        <v>Convivencia escolar</v>
      </c>
      <c r="I903" s="11" t="str">
        <f>IFERROR(IF(VLOOKUP(A903,[6]PRIORIZADOS!$A:$I,9,FALSE)="","",VLOOKUP(A903,[6]PRIORIZADOS!$A:$I,9,FALSE)),"")</f>
        <v>EVALUACIÓN_CON_FINES_DE_MEJORAMIENTO.</v>
      </c>
      <c r="J903" s="11" t="str">
        <f>IFERROR(IF(VLOOKUP(A903,[6]PRIORIZADOS!$A:$J,10,FALSE)="","",VLOOKUP(A903,[6]PRIORIZADOS!$A:$J,10,FALSE)),"")</f>
        <v>Verificar el funcionamiento del Gobierno Escolar e instancias de participación con base en la información sobre conformación reportada por la institución educativa.</v>
      </c>
      <c r="K903" s="11" t="str">
        <f>IFERROR(IF(VLOOKUP(A903,[6]PRIORIZADOS!$A:$K,11,FALSE)="","",VLOOKUP(A903,[6]PRIORIZADOS!$A:$K,11,FALSE)),"")</f>
        <v>FREDDY CLAROS PEÑA</v>
      </c>
      <c r="L903" s="11" t="str">
        <f>IFERROR(IF(VLOOKUP(A903,[6]PRIORIZADOS!$A:$L,12,FALSE)="","",VLOOKUP(A903,[6]PRIORIZADOS!$A:$L,12,FALSE)),"")</f>
        <v>MÓNICA JANNETH RAMÍREZ MORENO</v>
      </c>
      <c r="M903" s="71">
        <f>IFERROR(IF(VLOOKUP(A903,[6]PRIORIZADOS!$A:$M,13,FALSE)="","",VLOOKUP(A903,[6]PRIORIZADOS!$A:$M,13,FALSE)),"")</f>
        <v>45881</v>
      </c>
      <c r="N903" s="139">
        <f>IFERROR(IF(VLOOKUP(A903,[6]PRIORIZADOS!$A:$N,14,FALSE)="","",VLOOKUP(A903,[6]PRIORIZADOS!$A:$N,14,FALSE)),"")</f>
        <v>45909</v>
      </c>
      <c r="O903" s="139">
        <f>IFERROR(IF(VLOOKUP(A903,[6]PRIORIZADOS!$A:$O,15,FALSE)="","",VLOOKUP(A903,[6]PRIORIZADOS!$A:$O,15,FALSE)),"")</f>
        <v>45909</v>
      </c>
      <c r="P903" s="16" t="str">
        <f>IFERROR(IF(VLOOKUP(A903,[6]PRIORIZADOS!$A:$P,16,FALSE)="","",VLOOKUP(A903,[6]PRIORIZADOS!$A:$P,16,FALSE)),"")</f>
        <v>Visitas de evaluación con fines de mejoramiento</v>
      </c>
      <c r="Q903" s="2" t="s">
        <v>160</v>
      </c>
      <c r="R903" s="90" t="str">
        <f>IFERROR(IF(VLOOKUP(A903,[6]PRIORIZADOS!$A:$R,18,FALSE)="","",VLOOKUP(A903,[6]PRIORIZADOS!$A:$R,18,FALSE)),"")</f>
        <v>Se evidencian (10) actas que dan cuenta del funcionamiento del consejo directivo en el año 2025 y  Consejo académico (12), del consejo de padres (3) y del consejo de estudiantes (2)</v>
      </c>
      <c r="S903" s="11" t="str">
        <f>IFERROR(IF(VLOOKUP(A903,[6]PRIORIZADOS!$A:$S,19,FALSE)="","",VLOOKUP(A903,[6]PRIORIZADOS!$A:$S,19,FALSE)),"")</f>
        <v xml:space="preserve">Continuar desarollando las reuniones estipuladas de acuerdo a la norm </v>
      </c>
      <c r="T903" s="70" t="str">
        <f>IFERROR(IF(VLOOKUP(A903,[6]PRIORIZADOS!$A:$T,20,FALSE)="","",VLOOKUP(A903,[6]PRIORIZADOS!$A:$T,20,FALSE)),"")</f>
        <v>No</v>
      </c>
      <c r="U903" s="11" t="str">
        <f>IFERROR(IF(VLOOKUP(A903,[6]PRIORIZADOS!$A:$U,21,FALSE)="","",VLOOKUP(A903,[6]PRIORIZADOS!$A:$U,21,FALSE)),"")</f>
        <v>Se verificará en una actuación en otra vigencia o si se genera petición o queja ciudadana.</v>
      </c>
    </row>
    <row r="904" spans="1:21" s="1" customFormat="1" ht="60">
      <c r="A904" s="69">
        <f>IF([6]PRIORIZADOS!A270="","",[6]PRIORIZADOS!A270)</f>
        <v>845</v>
      </c>
      <c r="B904" s="70">
        <f>IFERROR(IF(VLOOKUP(A904,[6]PRIORIZADOS!$A:$B,2,FALSE)="","",VLOOKUP(A904,[6]PRIORIZADOS!$A:$B,2,FALSE)),"")</f>
        <v>30</v>
      </c>
      <c r="C904" s="11" t="str">
        <f>IFERROR(IF(VLOOKUP(A904,[6]PRIORIZADOS!$A:$C,3,FALSE)="","",VLOOKUP(A904,[6]PRIORIZADOS!$A:$C,3,FALSE)),"")</f>
        <v>ENGATIVÁ</v>
      </c>
      <c r="D904" s="11" t="str">
        <f>IFERROR(IF(VLOOKUP(A904,[6]PRIORIZADOS!$A:$D,4,FALSE)="","",VLOOKUP(A904,[6]PRIORIZADOS!$A:$D,4,FALSE)),"")</f>
        <v>OFICIAL.</v>
      </c>
      <c r="E904" s="11" t="str">
        <f>IFERROR(IF(VLOOKUP(A904,[6]PRIORIZADOS!$A:$E,5,FALSE)="","",VLOOKUP(A904,[6]PRIORIZADOS!$A:$E,5,FALSE)),"")</f>
        <v>EPBM</v>
      </c>
      <c r="F904" s="11" t="str">
        <f>IFERROR(IF(VLOOKUP(A904,[6]PRIORIZADOS!$A:$F,6,FALSE)="","",VLOOKUP(A904,[6]PRIORIZADOS!$A:$F,6,FALSE)),"")</f>
        <v>COLEGIO_ABEL_RODRIGUEZ_CESPEDES_IED</v>
      </c>
      <c r="G904" s="11" t="str">
        <f>IFERROR(IF(VLOOKUP(A904,[6]PRIORIZADOS!$A:$G,7,FALSE)="","",VLOOKUP(A904,[6]PRIORIZADOS!$A:$G,7,FALSE)),"")</f>
        <v>COLEGIO_ABEL_RODRIGUEZ_CESPEDES_IED</v>
      </c>
      <c r="H904" s="11" t="str">
        <f>IFERROR(IF(VLOOKUP(A904,[6]PRIORIZADOS!$A:$H,8,FALSE)="","",VLOOKUP(A904,[6]PRIORIZADOS!$A:$H,8,FALSE)),"")</f>
        <v>Convivencia escolar</v>
      </c>
      <c r="I904" s="11" t="str">
        <f>IFERROR(IF(VLOOKUP(A904,[6]PRIORIZADOS!$A:$I,9,FALSE)="","",VLOOKUP(A904,[6]PRIORIZADOS!$A:$I,9,FALSE)),"")</f>
        <v>EVALUACIÓN_CON_FINES_DE_MEJORAMIENTO.</v>
      </c>
      <c r="J904" s="11" t="str">
        <f>IFERROR(IF(VLOOKUP(A904,[6]PRIORIZADOS!$A:$J,10,FALSE)="","",VLOOKUP(A904,[6]PRIORIZADOS!$A:$J,10,FALSE)),"")</f>
        <v>Verificar las condiciones en cuanto a: la estructura administrativa, condiciones de la planta física y medios educativos adecuados.</v>
      </c>
      <c r="K904" s="11" t="str">
        <f>IFERROR(IF(VLOOKUP(A904,[6]PRIORIZADOS!$A:$K,11,FALSE)="","",VLOOKUP(A904,[6]PRIORIZADOS!$A:$K,11,FALSE)),"")</f>
        <v>FREDDY CLAROS PEÑA</v>
      </c>
      <c r="L904" s="11" t="str">
        <f>IFERROR(IF(VLOOKUP(A904,[6]PRIORIZADOS!$A:$L,12,FALSE)="","",VLOOKUP(A904,[6]PRIORIZADOS!$A:$L,12,FALSE)),"")</f>
        <v>MÓNICA JANNETH RAMÍREZ MORENO</v>
      </c>
      <c r="M904" s="71">
        <f>IFERROR(IF(VLOOKUP(A904,[6]PRIORIZADOS!$A:$M,13,FALSE)="","",VLOOKUP(A904,[6]PRIORIZADOS!$A:$M,13,FALSE)),"")</f>
        <v>45881</v>
      </c>
      <c r="N904" s="139">
        <f>IFERROR(IF(VLOOKUP(A904,[6]PRIORIZADOS!$A:$N,14,FALSE)="","",VLOOKUP(A904,[6]PRIORIZADOS!$A:$N,14,FALSE)),"")</f>
        <v>45909</v>
      </c>
      <c r="O904" s="139">
        <f>IFERROR(IF(VLOOKUP(A904,[6]PRIORIZADOS!$A:$O,15,FALSE)="","",VLOOKUP(A904,[6]PRIORIZADOS!$A:$O,15,FALSE)),"")</f>
        <v>45909</v>
      </c>
      <c r="P904" s="16" t="str">
        <f>IFERROR(IF(VLOOKUP(A904,[6]PRIORIZADOS!$A:$P,16,FALSE)="","",VLOOKUP(A904,[6]PRIORIZADOS!$A:$P,16,FALSE)),"")</f>
        <v>Visitas de evaluación con fines de mejoramiento</v>
      </c>
      <c r="Q904" s="43" t="s">
        <v>160</v>
      </c>
      <c r="R904" s="90" t="str">
        <f>IFERROR(IF(VLOOKUP(A904,[6]PRIORIZADOS!$A:$R,18,FALSE)="","",VLOOKUP(A904,[6]PRIORIZADOS!$A:$R,18,FALSE)),"")</f>
        <v xml:space="preserve">Se evidencia condiciones de planta física adecuadas, no obstante la planta física cuenta con 4 pisos con ascensor pero no cuenta con rampas para estudiantes con movilidad reducida </v>
      </c>
      <c r="S904" s="11" t="str">
        <f>IFERROR(IF(VLOOKUP(A904,[6]PRIORIZADOS!$A:$S,19,FALSE)="","",VLOOKUP(A904,[6]PRIORIZADOS!$A:$S,19,FALSE)),"")</f>
        <v>Continuar el mantenimiento de las instalaciones de la IED</v>
      </c>
      <c r="T904" s="70" t="str">
        <f>IFERROR(IF(VLOOKUP(A904,[6]PRIORIZADOS!$A:$T,20,FALSE)="","",VLOOKUP(A904,[6]PRIORIZADOS!$A:$T,20,FALSE)),"")</f>
        <v>No</v>
      </c>
      <c r="U904" s="11" t="str">
        <f>IFERROR(IF(VLOOKUP(A904,[6]PRIORIZADOS!$A:$U,21,FALSE)="","",VLOOKUP(A904,[6]PRIORIZADOS!$A:$U,21,FALSE)),"")</f>
        <v>Se verificará en una actuación en otra vigencia o si se genera petición o queja ciudadana.</v>
      </c>
    </row>
    <row r="905" spans="1:21" s="1" customFormat="1" ht="36">
      <c r="A905" s="69">
        <f>IF([6]PRIORIZADOS!A271="","",[6]PRIORIZADOS!A271)</f>
        <v>846</v>
      </c>
      <c r="B905" s="70">
        <f>IFERROR(IF(VLOOKUP(A905,[6]PRIORIZADOS!$A:$B,2,FALSE)="","",VLOOKUP(A905,[6]PRIORIZADOS!$A:$B,2,FALSE)),"")</f>
        <v>31</v>
      </c>
      <c r="C905" s="11" t="str">
        <f>IFERROR(IF(VLOOKUP(A905,[6]PRIORIZADOS!$A:$C,3,FALSE)="","",VLOOKUP(A905,[6]PRIORIZADOS!$A:$C,3,FALSE)),"")</f>
        <v>ENGATIVÁ</v>
      </c>
      <c r="D905" s="11" t="str">
        <f>IFERROR(IF(VLOOKUP(A905,[6]PRIORIZADOS!$A:$D,4,FALSE)="","",VLOOKUP(A905,[6]PRIORIZADOS!$A:$D,4,FALSE)),"")</f>
        <v>PRIVADO</v>
      </c>
      <c r="E905" s="11" t="str">
        <f>IFERROR(IF(VLOOKUP(A905,[6]PRIORIZADOS!$A:$E,5,FALSE)="","",VLOOKUP(A905,[6]PRIORIZADOS!$A:$E,5,FALSE)),"")</f>
        <v>Educación de Jóvenes y Adultos</v>
      </c>
      <c r="F905" s="11" t="str">
        <f>IFERROR(IF(VLOOKUP(A905,[6]PRIORIZADOS!$A:$F,6,FALSE)="","",VLOOKUP(A905,[6]PRIORIZADOS!$A:$F,6,FALSE)),"")</f>
        <v>INSTITUTO_TOMAS_MORO</v>
      </c>
      <c r="G905" s="11" t="str">
        <f>IFERROR(IF(VLOOKUP(A905,[6]PRIORIZADOS!$A:$G,7,FALSE)="","",VLOOKUP(A905,[6]PRIORIZADOS!$A:$G,7,FALSE)),"")</f>
        <v>INSTITUTO_TOMAS_MORO</v>
      </c>
      <c r="H905" s="11" t="str">
        <f>IFERROR(IF(VLOOKUP(A905,[6]PRIORIZADOS!$A:$H,8,FALSE)="","",VLOOKUP(A905,[6]PRIORIZADOS!$A:$H,8,FALSE)),"")</f>
        <v>Convivencia escolar</v>
      </c>
      <c r="I905" s="11" t="str">
        <f>IFERROR(IF(VLOOKUP(A905,[6]PRIORIZADOS!$A:$I,9,FALSE)="","",VLOOKUP(A905,[6]PRIORIZADOS!$A:$I,9,FALSE)),"")</f>
        <v>SEGUIMIENTO_Y_SUPERVISIÓN.</v>
      </c>
      <c r="J905" s="11" t="str">
        <f>IFERROR(IF(VLOOKUP(A905,[6]PRIORIZADOS!$A:$J,10,FALSE)="","",VLOOKUP(A905,[6]PRIORIZADOS!$A:$J,10,FALSE)),"")</f>
        <v>Realizar visitas para verificar la información registrada sobre la autoevaluación institucional en el aplicativo EVI, a los establecimientos de educación formal no oficial.</v>
      </c>
      <c r="K905" s="11" t="str">
        <f>IFERROR(IF(VLOOKUP(A905,[6]PRIORIZADOS!$A:$K,11,FALSE)="","",VLOOKUP(A905,[6]PRIORIZADOS!$A:$K,11,FALSE)),"")</f>
        <v>JAIME HUMBERTO RAMÍREZ LLANOS</v>
      </c>
      <c r="L905" s="11" t="str">
        <f>IFERROR(IF(VLOOKUP(A905,[6]PRIORIZADOS!$A:$L,12,FALSE)="","",VLOOKUP(A905,[6]PRIORIZADOS!$A:$L,12,FALSE)),"")</f>
        <v>SANDRA MILENA BUENAVENTURA RUEDA</v>
      </c>
      <c r="M905" s="71">
        <f>IFERROR(IF(VLOOKUP(A905,[6]PRIORIZADOS!$A:$M,13,FALSE)="","",VLOOKUP(A905,[6]PRIORIZADOS!$A:$M,13,FALSE)),"")</f>
        <v>45780</v>
      </c>
      <c r="N905" s="139">
        <f>IFERROR(IF(VLOOKUP(A905,[6]PRIORIZADOS!$A:$N,14,FALSE)="","",VLOOKUP(A905,[6]PRIORIZADOS!$A:$N,14,FALSE)),"")</f>
        <v>45780</v>
      </c>
      <c r="O905" s="139">
        <f>IFERROR(IF(VLOOKUP(A905,[6]PRIORIZADOS!$A:$O,15,FALSE)="","",VLOOKUP(A905,[6]PRIORIZADOS!$A:$O,15,FALSE)),"")</f>
        <v>45780</v>
      </c>
      <c r="P905" s="16" t="str">
        <f>IFERROR(IF(VLOOKUP(A905,[6]PRIORIZADOS!$A:$P,16,FALSE)="","",VLOOKUP(A905,[6]PRIORIZADOS!$A:$P,16,FALSE)),"")</f>
        <v>Visitas de evaluación con fines de seguimiento</v>
      </c>
      <c r="Q905" s="121" t="s">
        <v>161</v>
      </c>
      <c r="R905" s="90" t="str">
        <f>IFERROR(IF(VLOOKUP(A905,[6]PRIORIZADOS!$A:$R,18,FALSE)="","",VLOOKUP(A905,[6]PRIORIZADOS!$A:$R,18,FALSE)),"")</f>
        <v>Constratada información en aplicativo con la visita se encontraron al gunas consistencias</v>
      </c>
      <c r="S905" s="11" t="str">
        <f>IFERROR(IF(VLOOKUP(A905,[6]PRIORIZADOS!$A:$S,19,FALSE)="","",VLOOKUP(A905,[6]PRIORIZADOS!$A:$S,19,FALSE)),"")</f>
        <v>La institución presentará plan de trabajo a mas tardar el día 23 de mayo del 2025 con el fin de subsanar inconsistencias</v>
      </c>
      <c r="T905" s="70" t="str">
        <f>IFERROR(IF(VLOOKUP(A905,[6]PRIORIZADOS!$A:$T,20,FALSE)="","",VLOOKUP(A905,[6]PRIORIZADOS!$A:$T,20,FALSE)),"")</f>
        <v>Si</v>
      </c>
      <c r="U905" s="11" t="str">
        <f>IFERROR(IF(VLOOKUP(A905,[6]PRIORIZADOS!$A:$U,21,FALSE)="","",VLOOKUP(A905,[6]PRIORIZADOS!$A:$U,21,FALSE)),"")</f>
        <v>Una vez aprobado PMI se establecerá el seguimiento a llevar a cabo. Se hizo verificación de condiciones 08/11/2025 no ha cumplido se exige nuevo plan para seguimiento en el 2026</v>
      </c>
    </row>
    <row r="906" spans="1:21" s="1" customFormat="1" ht="48">
      <c r="A906" s="69">
        <f>IF([6]PRIORIZADOS!A272="","",[6]PRIORIZADOS!A272)</f>
        <v>847</v>
      </c>
      <c r="B906" s="70">
        <f>IFERROR(IF(VLOOKUP(A906,[6]PRIORIZADOS!$A:$B,2,FALSE)="","",VLOOKUP(A906,[6]PRIORIZADOS!$A:$B,2,FALSE)),"")</f>
        <v>31</v>
      </c>
      <c r="C906" s="11" t="str">
        <f>IFERROR(IF(VLOOKUP(A906,[6]PRIORIZADOS!$A:$C,3,FALSE)="","",VLOOKUP(A906,[6]PRIORIZADOS!$A:$C,3,FALSE)),"")</f>
        <v>ENGATIVÁ</v>
      </c>
      <c r="D906" s="11" t="str">
        <f>IFERROR(IF(VLOOKUP(A906,[6]PRIORIZADOS!$A:$D,4,FALSE)="","",VLOOKUP(A906,[6]PRIORIZADOS!$A:$D,4,FALSE)),"")</f>
        <v>PRIVADO</v>
      </c>
      <c r="E906" s="11" t="str">
        <f>IFERROR(IF(VLOOKUP(A906,[6]PRIORIZADOS!$A:$E,5,FALSE)="","",VLOOKUP(A906,[6]PRIORIZADOS!$A:$E,5,FALSE)),"")</f>
        <v>Educación de Jóvenes y Adultos</v>
      </c>
      <c r="F906" s="11" t="str">
        <f>IFERROR(IF(VLOOKUP(A906,[6]PRIORIZADOS!$A:$F,6,FALSE)="","",VLOOKUP(A906,[6]PRIORIZADOS!$A:$F,6,FALSE)),"")</f>
        <v>INSTITUTO_TOMAS_MORO</v>
      </c>
      <c r="G906" s="11" t="str">
        <f>IFERROR(IF(VLOOKUP(A906,[6]PRIORIZADOS!$A:$G,7,FALSE)="","",VLOOKUP(A906,[6]PRIORIZADOS!$A:$G,7,FALSE)),"")</f>
        <v>INSTITUTO_TOMAS_MORO</v>
      </c>
      <c r="H906" s="11" t="str">
        <f>IFERROR(IF(VLOOKUP(A906,[6]PRIORIZADOS!$A:$H,8,FALSE)="","",VLOOKUP(A906,[6]PRIORIZADOS!$A:$H,8,FALSE)),"")</f>
        <v>Convivencia escolar</v>
      </c>
      <c r="I906" s="11" t="str">
        <f>IFERROR(IF(VLOOKUP(A906,[6]PRIORIZADOS!$A:$I,9,FALSE)="","",VLOOKUP(A906,[6]PRIORIZADOS!$A:$I,9,FALSE)),"")</f>
        <v>SEGUIMIENTO_Y_SUPERVISIÓN.</v>
      </c>
      <c r="J906" s="11" t="str">
        <f>IFERROR(IF(VLOOKUP(A906,[6]PRIORIZADOS!$A:$J,10,FALSE)="","",VLOOKUP(A906,[6]PRIORIZADOS!$A:$J,10,FALSE)),"")</f>
        <v xml:space="preserve">Verificar la implementación por parte de los colegios, de acciones realizadas para la prevención y atención de las situaciones de convivencia en el entorno escolar, según lo establecido en la Directiva 01 de 2022 del MEN. </v>
      </c>
      <c r="K906" s="11" t="str">
        <f>IFERROR(IF(VLOOKUP(A906,[6]PRIORIZADOS!$A:$K,11,FALSE)="","",VLOOKUP(A906,[6]PRIORIZADOS!$A:$K,11,FALSE)),"")</f>
        <v>JAIME HUMBERTO RAMÍREZ LLANOS</v>
      </c>
      <c r="L906" s="11" t="str">
        <f>IFERROR(IF(VLOOKUP(A906,[6]PRIORIZADOS!$A:$L,12,FALSE)="","",VLOOKUP(A906,[6]PRIORIZADOS!$A:$L,12,FALSE)),"")</f>
        <v>SANDRA MILENA BUENAVENTURA RUEDA</v>
      </c>
      <c r="M906" s="71">
        <f>IFERROR(IF(VLOOKUP(A906,[6]PRIORIZADOS!$A:$M,13,FALSE)="","",VLOOKUP(A906,[6]PRIORIZADOS!$A:$M,13,FALSE)),"")</f>
        <v>45780</v>
      </c>
      <c r="N906" s="139">
        <f>IFERROR(IF(VLOOKUP(A906,[6]PRIORIZADOS!$A:$N,14,FALSE)="","",VLOOKUP(A906,[6]PRIORIZADOS!$A:$N,14,FALSE)),"")</f>
        <v>45780</v>
      </c>
      <c r="O906" s="139">
        <f>IFERROR(IF(VLOOKUP(A906,[6]PRIORIZADOS!$A:$O,15,FALSE)="","",VLOOKUP(A906,[6]PRIORIZADOS!$A:$O,15,FALSE)),"")</f>
        <v>45780</v>
      </c>
      <c r="P906" s="16" t="str">
        <f>IFERROR(IF(VLOOKUP(A906,[6]PRIORIZADOS!$A:$P,16,FALSE)="","",VLOOKUP(A906,[6]PRIORIZADOS!$A:$P,16,FALSE)),"")</f>
        <v>Visitas de evaluación con fines de seguimiento</v>
      </c>
      <c r="Q906" s="121" t="s">
        <v>161</v>
      </c>
      <c r="R906" s="90" t="str">
        <f>IFERROR(IF(VLOOKUP(A906,[6]PRIORIZADOS!$A:$R,18,FALSE)="","",VLOOKUP(A906,[6]PRIORIZADOS!$A:$R,18,FALSE)),"")</f>
        <v>No se evidencian acciones encaminadas a la prevención de temas de convivencia</v>
      </c>
      <c r="S906" s="11" t="str">
        <f>IFERROR(IF(VLOOKUP(A906,[6]PRIORIZADOS!$A:$S,19,FALSE)="","",VLOOKUP(A906,[6]PRIORIZADOS!$A:$S,19,FALSE)),"")</f>
        <v>La institución presentará plan de trabajo a mas tardar el día 23 de mayo del 2025 con el fin de subsanar inconsistencias</v>
      </c>
      <c r="T906" s="70" t="str">
        <f>IFERROR(IF(VLOOKUP(A906,[6]PRIORIZADOS!$A:$T,20,FALSE)="","",VLOOKUP(A906,[6]PRIORIZADOS!$A:$T,20,FALSE)),"")</f>
        <v>Si</v>
      </c>
      <c r="U906" s="11" t="str">
        <f>IFERROR(IF(VLOOKUP(A906,[6]PRIORIZADOS!$A:$U,21,FALSE)="","",VLOOKUP(A906,[6]PRIORIZADOS!$A:$U,21,FALSE)),"")</f>
        <v>Una vez aprobado PMI se establecerá el seguimiento a llevar a cabo se implementó verificación cada cuatro meses. Se hizo verificación de condiciones 08/11/2025 no ha cumplido se exige nuevo plan para seguimiento en el 2026</v>
      </c>
    </row>
    <row r="907" spans="1:21" s="1" customFormat="1" ht="72">
      <c r="A907" s="69">
        <f>IF([6]PRIORIZADOS!A273="","",[6]PRIORIZADOS!A273)</f>
        <v>848</v>
      </c>
      <c r="B907" s="70">
        <f>IFERROR(IF(VLOOKUP(A907,[6]PRIORIZADOS!$A:$B,2,FALSE)="","",VLOOKUP(A907,[6]PRIORIZADOS!$A:$B,2,FALSE)),"")</f>
        <v>31</v>
      </c>
      <c r="C907" s="11" t="str">
        <f>IFERROR(IF(VLOOKUP(A907,[6]PRIORIZADOS!$A:$C,3,FALSE)="","",VLOOKUP(A907,[6]PRIORIZADOS!$A:$C,3,FALSE)),"")</f>
        <v>ENGATIVÁ</v>
      </c>
      <c r="D907" s="11" t="str">
        <f>IFERROR(IF(VLOOKUP(A907,[6]PRIORIZADOS!$A:$D,4,FALSE)="","",VLOOKUP(A907,[6]PRIORIZADOS!$A:$D,4,FALSE)),"")</f>
        <v>PRIVADO</v>
      </c>
      <c r="E907" s="11" t="str">
        <f>IFERROR(IF(VLOOKUP(A907,[6]PRIORIZADOS!$A:$E,5,FALSE)="","",VLOOKUP(A907,[6]PRIORIZADOS!$A:$E,5,FALSE)),"")</f>
        <v>Educación de Jóvenes y Adultos</v>
      </c>
      <c r="F907" s="11" t="str">
        <f>IFERROR(IF(VLOOKUP(A907,[6]PRIORIZADOS!$A:$F,6,FALSE)="","",VLOOKUP(A907,[6]PRIORIZADOS!$A:$F,6,FALSE)),"")</f>
        <v>INSTITUTO_TOMAS_MORO</v>
      </c>
      <c r="G907" s="11" t="str">
        <f>IFERROR(IF(VLOOKUP(A907,[6]PRIORIZADOS!$A:$G,7,FALSE)="","",VLOOKUP(A907,[6]PRIORIZADOS!$A:$G,7,FALSE)),"")</f>
        <v>INSTITUTO_TOMAS_MORO</v>
      </c>
      <c r="H907" s="11" t="str">
        <f>IFERROR(IF(VLOOKUP(A907,[6]PRIORIZADOS!$A:$H,8,FALSE)="","",VLOOKUP(A907,[6]PRIORIZADOS!$A:$H,8,FALSE)),"")</f>
        <v>Convivencia escolar</v>
      </c>
      <c r="I907" s="11" t="str">
        <f>IFERROR(IF(VLOOKUP(A907,[6]PRIORIZADOS!$A:$I,9,FALSE)="","",VLOOKUP(A907,[6]PRIORIZADOS!$A:$I,9,FALSE)),"")</f>
        <v>SEGUIMIENTO_Y_SUPERVISIÓN.</v>
      </c>
      <c r="J907" s="11" t="str">
        <f>IFERROR(IF(VLOOKUP(A907,[6]PRIORIZADOS!$A:$J,10,FALSE)="","",VLOOKUP(A907,[6]PRIORIZADOS!$A:$J,10,FALSE)),"")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07" s="11" t="str">
        <f>IFERROR(IF(VLOOKUP(A907,[6]PRIORIZADOS!$A:$K,11,FALSE)="","",VLOOKUP(A907,[6]PRIORIZADOS!$A:$K,11,FALSE)),"")</f>
        <v>JAIME HUMBERTO RAMÍREZ LLANOS</v>
      </c>
      <c r="L907" s="11" t="str">
        <f>IFERROR(IF(VLOOKUP(A907,[6]PRIORIZADOS!$A:$L,12,FALSE)="","",VLOOKUP(A907,[6]PRIORIZADOS!$A:$L,12,FALSE)),"")</f>
        <v>SANDRA MILENA BUENAVENTURA RUEDA</v>
      </c>
      <c r="M907" s="71">
        <f>IFERROR(IF(VLOOKUP(A907,[6]PRIORIZADOS!$A:$M,13,FALSE)="","",VLOOKUP(A907,[6]PRIORIZADOS!$A:$M,13,FALSE)),"")</f>
        <v>45780</v>
      </c>
      <c r="N907" s="139">
        <f>IFERROR(IF(VLOOKUP(A907,[6]PRIORIZADOS!$A:$N,14,FALSE)="","",VLOOKUP(A907,[6]PRIORIZADOS!$A:$N,14,FALSE)),"")</f>
        <v>45780</v>
      </c>
      <c r="O907" s="139">
        <f>IFERROR(IF(VLOOKUP(A907,[6]PRIORIZADOS!$A:$O,15,FALSE)="","",VLOOKUP(A907,[6]PRIORIZADOS!$A:$O,15,FALSE)),"")</f>
        <v>45780</v>
      </c>
      <c r="P907" s="16" t="str">
        <f>IFERROR(IF(VLOOKUP(A907,[6]PRIORIZADOS!$A:$P,16,FALSE)="","",VLOOKUP(A907,[6]PRIORIZADOS!$A:$P,16,FALSE)),"")</f>
        <v>Visitas de evaluación con fines de seguimiento</v>
      </c>
      <c r="Q907" s="121" t="s">
        <v>161</v>
      </c>
      <c r="R907" s="90" t="str">
        <f>IFERROR(IF(VLOOKUP(A907,[6]PRIORIZADOS!$A:$R,18,FALSE)="","",VLOOKUP(A907,[6]PRIORIZADOS!$A:$R,18,FALSE)),"")</f>
        <v>La institución informa no tener estudiantes con discapacidad</v>
      </c>
      <c r="S907" s="11" t="str">
        <f>IFERROR(IF(VLOOKUP(A907,[6]PRIORIZADOS!$A:$S,19,FALSE)="","",VLOOKUP(A907,[6]PRIORIZADOS!$A:$S,19,FALSE)),"")</f>
        <v>No requiere presentar PIAR</v>
      </c>
      <c r="T907" s="70" t="str">
        <f>IFERROR(IF(VLOOKUP(A907,[6]PRIORIZADOS!$A:$T,20,FALSE)="","",VLOOKUP(A907,[6]PRIORIZADOS!$A:$T,20,FALSE)),"")</f>
        <v>No</v>
      </c>
      <c r="U907" s="11" t="str">
        <f>IFERROR(IF(VLOOKUP(A907,[6]PRIORIZADOS!$A:$U,21,FALSE)="","",VLOOKUP(A907,[6]PRIORIZADOS!$A:$U,21,FALSE)),"")</f>
        <v>En caso de reportar estudiantes con discapacidad, deberáb elaborar PIAR. Se hizo verificación de condiciones 08/11/2025 no ha cumplido se exige nuevo plan para seguimiento en el 2026</v>
      </c>
    </row>
    <row r="908" spans="1:21" s="1" customFormat="1" ht="84">
      <c r="A908" s="69">
        <f>IF([6]PRIORIZADOS!A274="","",[6]PRIORIZADOS!A274)</f>
        <v>849</v>
      </c>
      <c r="B908" s="70">
        <f>IFERROR(IF(VLOOKUP(A908,[6]PRIORIZADOS!$A:$B,2,FALSE)="","",VLOOKUP(A908,[6]PRIORIZADOS!$A:$B,2,FALSE)),"")</f>
        <v>31</v>
      </c>
      <c r="C908" s="11" t="str">
        <f>IFERROR(IF(VLOOKUP(A908,[6]PRIORIZADOS!$A:$C,3,FALSE)="","",VLOOKUP(A908,[6]PRIORIZADOS!$A:$C,3,FALSE)),"")</f>
        <v>ENGATIVÁ</v>
      </c>
      <c r="D908" s="11" t="str">
        <f>IFERROR(IF(VLOOKUP(A908,[6]PRIORIZADOS!$A:$D,4,FALSE)="","",VLOOKUP(A908,[6]PRIORIZADOS!$A:$D,4,FALSE)),"")</f>
        <v>PRIVADO</v>
      </c>
      <c r="E908" s="11" t="str">
        <f>IFERROR(IF(VLOOKUP(A908,[6]PRIORIZADOS!$A:$E,5,FALSE)="","",VLOOKUP(A908,[6]PRIORIZADOS!$A:$E,5,FALSE)),"")</f>
        <v>Educación de Jóvenes y Adultos</v>
      </c>
      <c r="F908" s="11" t="str">
        <f>IFERROR(IF(VLOOKUP(A908,[6]PRIORIZADOS!$A:$F,6,FALSE)="","",VLOOKUP(A908,[6]PRIORIZADOS!$A:$F,6,FALSE)),"")</f>
        <v>INSTITUTO_TOMAS_MORO</v>
      </c>
      <c r="G908" s="11" t="str">
        <f>IFERROR(IF(VLOOKUP(A908,[6]PRIORIZADOS!$A:$G,7,FALSE)="","",VLOOKUP(A908,[6]PRIORIZADOS!$A:$G,7,FALSE)),"")</f>
        <v>INSTITUTO_TOMAS_MORO</v>
      </c>
      <c r="H908" s="11" t="str">
        <f>IFERROR(IF(VLOOKUP(A908,[6]PRIORIZADOS!$A:$H,8,FALSE)="","",VLOOKUP(A908,[6]PRIORIZADOS!$A:$H,8,FALSE)),"")</f>
        <v>Convivencia escolar</v>
      </c>
      <c r="I908" s="11" t="str">
        <f>IFERROR(IF(VLOOKUP(A908,[6]PRIORIZADOS!$A:$I,9,FALSE)="","",VLOOKUP(A908,[6]PRIORIZADOS!$A:$I,9,FALSE)),"")</f>
        <v>EVALUACIÓN_CON_FINES_DE_MEJORAMIENTO.</v>
      </c>
      <c r="J908" s="11" t="str">
        <f>IFERROR(IF(VLOOKUP(A908,[6]PRIORIZADOS!$A:$J,10,FALSE)="","",VLOOKUP(A908,[6]PRIORIZADOS!$A:$J,10,FALSE)),"")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08" s="11" t="str">
        <f>IFERROR(IF(VLOOKUP(A908,[6]PRIORIZADOS!$A:$K,11,FALSE)="","",VLOOKUP(A908,[6]PRIORIZADOS!$A:$K,11,FALSE)),"")</f>
        <v>JAIME HUMBERTO RAMÍREZ LLANOS</v>
      </c>
      <c r="L908" s="11" t="str">
        <f>IFERROR(IF(VLOOKUP(A908,[6]PRIORIZADOS!$A:$L,12,FALSE)="","",VLOOKUP(A908,[6]PRIORIZADOS!$A:$L,12,FALSE)),"")</f>
        <v>SANDRA MILENA BUENAVENTURA RUEDA</v>
      </c>
      <c r="M908" s="71">
        <f>IFERROR(IF(VLOOKUP(A908,[6]PRIORIZADOS!$A:$M,13,FALSE)="","",VLOOKUP(A908,[6]PRIORIZADOS!$A:$M,13,FALSE)),"")</f>
        <v>45780</v>
      </c>
      <c r="N908" s="139">
        <f>IFERROR(IF(VLOOKUP(A908,[6]PRIORIZADOS!$A:$N,14,FALSE)="","",VLOOKUP(A908,[6]PRIORIZADOS!$A:$N,14,FALSE)),"")</f>
        <v>45780</v>
      </c>
      <c r="O908" s="139">
        <f>IFERROR(IF(VLOOKUP(A908,[6]PRIORIZADOS!$A:$O,15,FALSE)="","",VLOOKUP(A908,[6]PRIORIZADOS!$A:$O,15,FALSE)),"")</f>
        <v>45780</v>
      </c>
      <c r="P908" s="16" t="str">
        <f>IFERROR(IF(VLOOKUP(A908,[6]PRIORIZADOS!$A:$P,16,FALSE)="","",VLOOKUP(A908,[6]PRIORIZADOS!$A:$P,16,FALSE)),"")</f>
        <v>Visitas de evaluación con fines de mejoramiento</v>
      </c>
      <c r="Q908" s="121" t="s">
        <v>161</v>
      </c>
      <c r="R908" s="90" t="str">
        <f>IFERROR(IF(VLOOKUP(A908,[6]PRIORIZADOS!$A:$R,18,FALSE)="","",VLOOKUP(A908,[6]PRIORIZADOS!$A:$R,18,FALSE)),"")</f>
        <v>Verificado su manual de convivencia, se úede a´preciar que fue elaborado teniendo en cuenta lo solicitado por la normaitvidad actual</v>
      </c>
      <c r="S908" s="11" t="str">
        <f>IFERROR(IF(VLOOKUP(A908,[6]PRIORIZADOS!$A:$S,19,FALSE)="","",VLOOKUP(A908,[6]PRIORIZADOS!$A:$S,19,FALSE)),"")</f>
        <v>Deben matener actualizado</v>
      </c>
      <c r="T908" s="70" t="str">
        <f>IFERROR(IF(VLOOKUP(A908,[6]PRIORIZADOS!$A:$T,20,FALSE)="","",VLOOKUP(A908,[6]PRIORIZADOS!$A:$T,20,FALSE)),"")</f>
        <v>No</v>
      </c>
      <c r="U908" s="11" t="str">
        <f>IFERROR(IF(VLOOKUP(A908,[6]PRIORIZADOS!$A:$U,21,FALSE)="","",VLOOKUP(A908,[6]PRIORIZADOS!$A:$U,21,FALSE)),"")</f>
        <v>Anualmente se hará verificación. Se hizo verificación de condiciones 08/11/2025 no ha cumplido se exige nuevo plan para seguimiento en el 2026</v>
      </c>
    </row>
    <row r="909" spans="1:21" s="1" customFormat="1" ht="48">
      <c r="A909" s="69">
        <f>IF([6]PRIORIZADOS!A275="","",[6]PRIORIZADOS!A275)</f>
        <v>850</v>
      </c>
      <c r="B909" s="70">
        <f>IFERROR(IF(VLOOKUP(A909,[6]PRIORIZADOS!$A:$B,2,FALSE)="","",VLOOKUP(A909,[6]PRIORIZADOS!$A:$B,2,FALSE)),"")</f>
        <v>31</v>
      </c>
      <c r="C909" s="11" t="str">
        <f>IFERROR(IF(VLOOKUP(A909,[6]PRIORIZADOS!$A:$C,3,FALSE)="","",VLOOKUP(A909,[6]PRIORIZADOS!$A:$C,3,FALSE)),"")</f>
        <v>ENGATIVÁ</v>
      </c>
      <c r="D909" s="11" t="str">
        <f>IFERROR(IF(VLOOKUP(A909,[6]PRIORIZADOS!$A:$D,4,FALSE)="","",VLOOKUP(A909,[6]PRIORIZADOS!$A:$D,4,FALSE)),"")</f>
        <v>PRIVADO</v>
      </c>
      <c r="E909" s="11" t="str">
        <f>IFERROR(IF(VLOOKUP(A909,[6]PRIORIZADOS!$A:$E,5,FALSE)="","",VLOOKUP(A909,[6]PRIORIZADOS!$A:$E,5,FALSE)),"")</f>
        <v>Educación de Jóvenes y Adultos</v>
      </c>
      <c r="F909" s="11" t="str">
        <f>IFERROR(IF(VLOOKUP(A909,[6]PRIORIZADOS!$A:$F,6,FALSE)="","",VLOOKUP(A909,[6]PRIORIZADOS!$A:$F,6,FALSE)),"")</f>
        <v>INSTITUTO_TOMAS_MORO</v>
      </c>
      <c r="G909" s="11" t="str">
        <f>IFERROR(IF(VLOOKUP(A909,[6]PRIORIZADOS!$A:$G,7,FALSE)="","",VLOOKUP(A909,[6]PRIORIZADOS!$A:$G,7,FALSE)),"")</f>
        <v>INSTITUTO_TOMAS_MORO</v>
      </c>
      <c r="H909" s="11" t="str">
        <f>IFERROR(IF(VLOOKUP(A909,[6]PRIORIZADOS!$A:$H,8,FALSE)="","",VLOOKUP(A909,[6]PRIORIZADOS!$A:$H,8,FALSE)),"")</f>
        <v>Convivencia escolar</v>
      </c>
      <c r="I909" s="11" t="str">
        <f>IFERROR(IF(VLOOKUP(A909,[6]PRIORIZADOS!$A:$I,9,FALSE)="","",VLOOKUP(A909,[6]PRIORIZADOS!$A:$I,9,FALSE)),"")</f>
        <v>EVALUACIÓN_CON_FINES_DE_MEJORAMIENTO.</v>
      </c>
      <c r="J909" s="11" t="str">
        <f>IFERROR(IF(VLOOKUP(A909,[6]PRIORIZADOS!$A:$J,10,FALSE)="","",VLOOKUP(A909,[6]PRIORIZADOS!$A:$J,10,FALSE)),"")</f>
        <v>Revisar la actualización, socialización e implementación del Sistema Institucional de Evaluación de Estudiantes - SIEE, en articulación con la actualización del PEI y la normatividad vigente.</v>
      </c>
      <c r="K909" s="11" t="str">
        <f>IFERROR(IF(VLOOKUP(A909,[6]PRIORIZADOS!$A:$K,11,FALSE)="","",VLOOKUP(A909,[6]PRIORIZADOS!$A:$K,11,FALSE)),"")</f>
        <v>JAIME HUMBERTO RAMÍREZ LLANOS</v>
      </c>
      <c r="L909" s="11" t="str">
        <f>IFERROR(IF(VLOOKUP(A909,[6]PRIORIZADOS!$A:$L,12,FALSE)="","",VLOOKUP(A909,[6]PRIORIZADOS!$A:$L,12,FALSE)),"")</f>
        <v>SANDRA MILENA BUENAVENTURA RUEDA</v>
      </c>
      <c r="M909" s="71">
        <f>IFERROR(IF(VLOOKUP(A909,[6]PRIORIZADOS!$A:$M,13,FALSE)="","",VLOOKUP(A909,[6]PRIORIZADOS!$A:$M,13,FALSE)),"")</f>
        <v>45780</v>
      </c>
      <c r="N909" s="139">
        <f>IFERROR(IF(VLOOKUP(A909,[6]PRIORIZADOS!$A:$N,14,FALSE)="","",VLOOKUP(A909,[6]PRIORIZADOS!$A:$N,14,FALSE)),"")</f>
        <v>45780</v>
      </c>
      <c r="O909" s="139">
        <f>IFERROR(IF(VLOOKUP(A909,[6]PRIORIZADOS!$A:$O,15,FALSE)="","",VLOOKUP(A909,[6]PRIORIZADOS!$A:$O,15,FALSE)),"")</f>
        <v>45780</v>
      </c>
      <c r="P909" s="16" t="str">
        <f>IFERROR(IF(VLOOKUP(A909,[6]PRIORIZADOS!$A:$P,16,FALSE)="","",VLOOKUP(A909,[6]PRIORIZADOS!$A:$P,16,FALSE)),"")</f>
        <v>Visitas de evaluación con fines de mejoramiento</v>
      </c>
      <c r="Q909" s="121" t="s">
        <v>161</v>
      </c>
      <c r="R909" s="90" t="str">
        <f>IFERROR(IF(VLOOKUP(A909,[6]PRIORIZADOS!$A:$R,18,FALSE)="","",VLOOKUP(A909,[6]PRIORIZADOS!$A:$R,18,FALSE)),"")</f>
        <v>La institución tiene en su PEI el SIEE, aunque no es dado a conocer a sus estudiantes</v>
      </c>
      <c r="S909" s="11" t="str">
        <f>IFERROR(IF(VLOOKUP(A909,[6]PRIORIZADOS!$A:$S,19,FALSE)="","",VLOOKUP(A909,[6]PRIORIZADOS!$A:$S,19,FALSE)),"")</f>
        <v>La institución presentará plan de trabajo a mas tardar el día 23 de mayo del 2025 con el fin de subsanar inconsistencias</v>
      </c>
      <c r="T909" s="70" t="str">
        <f>IFERROR(IF(VLOOKUP(A909,[6]PRIORIZADOS!$A:$T,20,FALSE)="","",VLOOKUP(A909,[6]PRIORIZADOS!$A:$T,20,FALSE)),"")</f>
        <v>Si</v>
      </c>
      <c r="U909" s="11" t="str">
        <f>IFERROR(IF(VLOOKUP(A909,[6]PRIORIZADOS!$A:$U,21,FALSE)="","",VLOOKUP(A909,[6]PRIORIZADOS!$A:$U,21,FALSE)),"")</f>
        <v>Una vez aprobado PMI se establecerá el seguimiento a llevar a cabo. Se hizo verificación de condiciones 08/11/2025 no ha cumplido se exige nuevo plan para seguimiento en el 2026</v>
      </c>
    </row>
    <row r="910" spans="1:21" s="1" customFormat="1" ht="48">
      <c r="A910" s="69">
        <f>IF([6]PRIORIZADOS!A276="","",[6]PRIORIZADOS!A276)</f>
        <v>851</v>
      </c>
      <c r="B910" s="70">
        <f>IFERROR(IF(VLOOKUP(A910,[6]PRIORIZADOS!$A:$B,2,FALSE)="","",VLOOKUP(A910,[6]PRIORIZADOS!$A:$B,2,FALSE)),"")</f>
        <v>31</v>
      </c>
      <c r="C910" s="11" t="str">
        <f>IFERROR(IF(VLOOKUP(A910,[6]PRIORIZADOS!$A:$C,3,FALSE)="","",VLOOKUP(A910,[6]PRIORIZADOS!$A:$C,3,FALSE)),"")</f>
        <v>ENGATIVÁ</v>
      </c>
      <c r="D910" s="11" t="str">
        <f>IFERROR(IF(VLOOKUP(A910,[6]PRIORIZADOS!$A:$D,4,FALSE)="","",VLOOKUP(A910,[6]PRIORIZADOS!$A:$D,4,FALSE)),"")</f>
        <v>PRIVADO</v>
      </c>
      <c r="E910" s="11" t="str">
        <f>IFERROR(IF(VLOOKUP(A910,[6]PRIORIZADOS!$A:$E,5,FALSE)="","",VLOOKUP(A910,[6]PRIORIZADOS!$A:$E,5,FALSE)),"")</f>
        <v>Educación de Jóvenes y Adultos</v>
      </c>
      <c r="F910" s="11" t="str">
        <f>IFERROR(IF(VLOOKUP(A910,[6]PRIORIZADOS!$A:$F,6,FALSE)="","",VLOOKUP(A910,[6]PRIORIZADOS!$A:$F,6,FALSE)),"")</f>
        <v>INSTITUTO_TOMAS_MORO</v>
      </c>
      <c r="G910" s="11" t="str">
        <f>IFERROR(IF(VLOOKUP(A910,[6]PRIORIZADOS!$A:$G,7,FALSE)="","",VLOOKUP(A910,[6]PRIORIZADOS!$A:$G,7,FALSE)),"")</f>
        <v>INSTITUTO_TOMAS_MORO</v>
      </c>
      <c r="H910" s="11" t="str">
        <f>IFERROR(IF(VLOOKUP(A910,[6]PRIORIZADOS!$A:$H,8,FALSE)="","",VLOOKUP(A910,[6]PRIORIZADOS!$A:$H,8,FALSE)),"")</f>
        <v>Convivencia escolar</v>
      </c>
      <c r="I910" s="11" t="str">
        <f>IFERROR(IF(VLOOKUP(A910,[6]PRIORIZADOS!$A:$I,9,FALSE)="","",VLOOKUP(A910,[6]PRIORIZADOS!$A:$I,9,FALSE)),"")</f>
        <v>EVALUACIÓN_CON_FINES_DE_MEJORAMIENTO.</v>
      </c>
      <c r="J910" s="11" t="str">
        <f>IFERROR(IF(VLOOKUP(A910,[6]PRIORIZADOS!$A:$J,10,FALSE)="","",VLOOKUP(A910,[6]PRIORIZADOS!$A:$J,10,FALSE)),"")</f>
        <v>Revisar el calendario escolar, jornada escolar, la intensidad horaria mínima anual en cada nivel y las modificaciones que se realicen al mismo, de acuerdo con lo previsto en la normatividad vigente.</v>
      </c>
      <c r="K910" s="11" t="str">
        <f>IFERROR(IF(VLOOKUP(A910,[6]PRIORIZADOS!$A:$K,11,FALSE)="","",VLOOKUP(A910,[6]PRIORIZADOS!$A:$K,11,FALSE)),"")</f>
        <v>JAIME HUMBERTO RAMÍREZ LLANOS</v>
      </c>
      <c r="L910" s="11" t="str">
        <f>IFERROR(IF(VLOOKUP(A910,[6]PRIORIZADOS!$A:$L,12,FALSE)="","",VLOOKUP(A910,[6]PRIORIZADOS!$A:$L,12,FALSE)),"")</f>
        <v>SANDRA MILENA BUENAVENTURA RUEDA</v>
      </c>
      <c r="M910" s="71">
        <f>IFERROR(IF(VLOOKUP(A910,[6]PRIORIZADOS!$A:$M,13,FALSE)="","",VLOOKUP(A910,[6]PRIORIZADOS!$A:$M,13,FALSE)),"")</f>
        <v>45780</v>
      </c>
      <c r="N910" s="139">
        <f>IFERROR(IF(VLOOKUP(A910,[6]PRIORIZADOS!$A:$N,14,FALSE)="","",VLOOKUP(A910,[6]PRIORIZADOS!$A:$N,14,FALSE)),"")</f>
        <v>45780</v>
      </c>
      <c r="O910" s="139">
        <f>IFERROR(IF(VLOOKUP(A910,[6]PRIORIZADOS!$A:$O,15,FALSE)="","",VLOOKUP(A910,[6]PRIORIZADOS!$A:$O,15,FALSE)),"")</f>
        <v>45780</v>
      </c>
      <c r="P910" s="16" t="str">
        <f>IFERROR(IF(VLOOKUP(A910,[6]PRIORIZADOS!$A:$P,16,FALSE)="","",VLOOKUP(A910,[6]PRIORIZADOS!$A:$P,16,FALSE)),"")</f>
        <v>Visitas de evaluación con fines de mejoramiento</v>
      </c>
      <c r="Q910" s="121" t="s">
        <v>161</v>
      </c>
      <c r="R910" s="90" t="str">
        <f>IFERROR(IF(VLOOKUP(A910,[6]PRIORIZADOS!$A:$R,18,FALSE)="","",VLOOKUP(A910,[6]PRIORIZADOS!$A:$R,18,FALSE)),"")</f>
        <v>El calendario ecolar se ajusta a lo exigido por el MEN</v>
      </c>
      <c r="S910" s="11" t="str">
        <f>IFERROR(IF(VLOOKUP(A910,[6]PRIORIZADOS!$A:$S,19,FALSE)="","",VLOOKUP(A910,[6]PRIORIZADOS!$A:$S,19,FALSE)),"")</f>
        <v>Se deberá dar cumpliminento a su ejecución</v>
      </c>
      <c r="T910" s="70" t="str">
        <f>IFERROR(IF(VLOOKUP(A910,[6]PRIORIZADOS!$A:$T,20,FALSE)="","",VLOOKUP(A910,[6]PRIORIZADOS!$A:$T,20,FALSE)),"")</f>
        <v>No</v>
      </c>
      <c r="U910" s="11" t="str">
        <f>IFERROR(IF(VLOOKUP(A910,[6]PRIORIZADOS!$A:$U,21,FALSE)="","",VLOOKUP(A910,[6]PRIORIZADOS!$A:$U,21,FALSE)),"")</f>
        <v>En la verificación de avances PEI y calendario escolar se hará la verificación.. Se hizo verificación de condiciones 08/11/2025 no ha cumplido se exige nuevo plan para seguimiento en el 2026</v>
      </c>
    </row>
    <row r="911" spans="1:21" s="1" customFormat="1" ht="48">
      <c r="A911" s="69">
        <f>IF([6]PRIORIZADOS!A277="","",[6]PRIORIZADOS!A277)</f>
        <v>852</v>
      </c>
      <c r="B911" s="70">
        <f>IFERROR(IF(VLOOKUP(A911,[6]PRIORIZADOS!$A:$B,2,FALSE)="","",VLOOKUP(A911,[6]PRIORIZADOS!$A:$B,2,FALSE)),"")</f>
        <v>31</v>
      </c>
      <c r="C911" s="11" t="str">
        <f>IFERROR(IF(VLOOKUP(A911,[6]PRIORIZADOS!$A:$C,3,FALSE)="","",VLOOKUP(A911,[6]PRIORIZADOS!$A:$C,3,FALSE)),"")</f>
        <v>ENGATIVÁ</v>
      </c>
      <c r="D911" s="11" t="str">
        <f>IFERROR(IF(VLOOKUP(A911,[6]PRIORIZADOS!$A:$D,4,FALSE)="","",VLOOKUP(A911,[6]PRIORIZADOS!$A:$D,4,FALSE)),"")</f>
        <v>PRIVADO</v>
      </c>
      <c r="E911" s="11" t="str">
        <f>IFERROR(IF(VLOOKUP(A911,[6]PRIORIZADOS!$A:$E,5,FALSE)="","",VLOOKUP(A911,[6]PRIORIZADOS!$A:$E,5,FALSE)),"")</f>
        <v>Educación de Jóvenes y Adultos</v>
      </c>
      <c r="F911" s="11" t="str">
        <f>IFERROR(IF(VLOOKUP(A911,[6]PRIORIZADOS!$A:$F,6,FALSE)="","",VLOOKUP(A911,[6]PRIORIZADOS!$A:$F,6,FALSE)),"")</f>
        <v>INSTITUTO_TOMAS_MORO</v>
      </c>
      <c r="G911" s="11" t="str">
        <f>IFERROR(IF(VLOOKUP(A911,[6]PRIORIZADOS!$A:$G,7,FALSE)="","",VLOOKUP(A911,[6]PRIORIZADOS!$A:$G,7,FALSE)),"")</f>
        <v>INSTITUTO_TOMAS_MORO</v>
      </c>
      <c r="H911" s="11" t="str">
        <f>IFERROR(IF(VLOOKUP(A911,[6]PRIORIZADOS!$A:$H,8,FALSE)="","",VLOOKUP(A911,[6]PRIORIZADOS!$A:$H,8,FALSE)),"")</f>
        <v>Convivencia escolar</v>
      </c>
      <c r="I911" s="11" t="str">
        <f>IFERROR(IF(VLOOKUP(A911,[6]PRIORIZADOS!$A:$I,9,FALSE)="","",VLOOKUP(A911,[6]PRIORIZADOS!$A:$I,9,FALSE)),"")</f>
        <v>EVALUACIÓN_CON_FINES_DE_MEJORAMIENTO.</v>
      </c>
      <c r="J911" s="11" t="str">
        <f>IFERROR(IF(VLOOKUP(A911,[6]PRIORIZADOS!$A:$J,10,FALSE)="","",VLOOKUP(A911,[6]PRIORIZADOS!$A:$J,10,FALSE)),"")</f>
        <v>Verificar el funcionamiento del Gobierno Escolar e instancias de participación con base en la información sobre conformación reportada por la institución educativa.</v>
      </c>
      <c r="K911" s="11" t="str">
        <f>IFERROR(IF(VLOOKUP(A911,[6]PRIORIZADOS!$A:$K,11,FALSE)="","",VLOOKUP(A911,[6]PRIORIZADOS!$A:$K,11,FALSE)),"")</f>
        <v>JAIME HUMBERTO RAMÍREZ LLANOS</v>
      </c>
      <c r="L911" s="11" t="str">
        <f>IFERROR(IF(VLOOKUP(A911,[6]PRIORIZADOS!$A:$L,12,FALSE)="","",VLOOKUP(A911,[6]PRIORIZADOS!$A:$L,12,FALSE)),"")</f>
        <v>SANDRA MILENA BUENAVENTURA RUEDA</v>
      </c>
      <c r="M911" s="71">
        <f>IFERROR(IF(VLOOKUP(A911,[6]PRIORIZADOS!$A:$M,13,FALSE)="","",VLOOKUP(A911,[6]PRIORIZADOS!$A:$M,13,FALSE)),"")</f>
        <v>45780</v>
      </c>
      <c r="N911" s="139">
        <f>IFERROR(IF(VLOOKUP(A911,[6]PRIORIZADOS!$A:$N,14,FALSE)="","",VLOOKUP(A911,[6]PRIORIZADOS!$A:$N,14,FALSE)),"")</f>
        <v>45780</v>
      </c>
      <c r="O911" s="139">
        <f>IFERROR(IF(VLOOKUP(A911,[6]PRIORIZADOS!$A:$O,15,FALSE)="","",VLOOKUP(A911,[6]PRIORIZADOS!$A:$O,15,FALSE)),"")</f>
        <v>45780</v>
      </c>
      <c r="P911" s="16" t="str">
        <f>IFERROR(IF(VLOOKUP(A911,[6]PRIORIZADOS!$A:$P,16,FALSE)="","",VLOOKUP(A911,[6]PRIORIZADOS!$A:$P,16,FALSE)),"")</f>
        <v>Visitas de evaluación con fines de mejoramiento</v>
      </c>
      <c r="Q911" s="121" t="s">
        <v>161</v>
      </c>
      <c r="R911" s="90" t="str">
        <f>IFERROR(IF(VLOOKUP(A911,[6]PRIORIZADOS!$A:$R,18,FALSE)="","",VLOOKUP(A911,[6]PRIORIZADOS!$A:$R,18,FALSE)),"")</f>
        <v>No se evidencian reuniones de órganos de gobierrno escolar</v>
      </c>
      <c r="S911" s="11" t="str">
        <f>IFERROR(IF(VLOOKUP(A911,[6]PRIORIZADOS!$A:$S,19,FALSE)="","",VLOOKUP(A911,[6]PRIORIZADOS!$A:$S,19,FALSE)),"")</f>
        <v>La institución presentará plan de trabajo a mas tardar el día 23 de mayo del 2025 con el fin de subsanar inconsistencias</v>
      </c>
      <c r="T911" s="70" t="str">
        <f>IFERROR(IF(VLOOKUP(A911,[6]PRIORIZADOS!$A:$T,20,FALSE)="","",VLOOKUP(A911,[6]PRIORIZADOS!$A:$T,20,FALSE)),"")</f>
        <v>Si</v>
      </c>
      <c r="U911" s="11" t="str">
        <f>IFERROR(IF(VLOOKUP(A911,[6]PRIORIZADOS!$A:$U,21,FALSE)="","",VLOOKUP(A911,[6]PRIORIZADOS!$A:$U,21,FALSE)),"")</f>
        <v>Una vez aprobado PMI se establecerá el seguimiento a llevar a cabo. Se hizo verificación de condiciones 08/11/2025 no ha cumplido se exige nuevo plan para seguimiento en el 2026</v>
      </c>
    </row>
    <row r="912" spans="1:21" s="1" customFormat="1" ht="48">
      <c r="A912" s="69">
        <f>IF([6]PRIORIZADOS!A278="","",[6]PRIORIZADOS!A278)</f>
        <v>853</v>
      </c>
      <c r="B912" s="70">
        <f>IFERROR(IF(VLOOKUP(A912,[6]PRIORIZADOS!$A:$B,2,FALSE)="","",VLOOKUP(A912,[6]PRIORIZADOS!$A:$B,2,FALSE)),"")</f>
        <v>31</v>
      </c>
      <c r="C912" s="11" t="str">
        <f>IFERROR(IF(VLOOKUP(A912,[6]PRIORIZADOS!$A:$C,3,FALSE)="","",VLOOKUP(A912,[6]PRIORIZADOS!$A:$C,3,FALSE)),"")</f>
        <v>ENGATIVÁ</v>
      </c>
      <c r="D912" s="11" t="str">
        <f>IFERROR(IF(VLOOKUP(A912,[6]PRIORIZADOS!$A:$D,4,FALSE)="","",VLOOKUP(A912,[6]PRIORIZADOS!$A:$D,4,FALSE)),"")</f>
        <v>PRIVADO</v>
      </c>
      <c r="E912" s="11" t="str">
        <f>IFERROR(IF(VLOOKUP(A912,[6]PRIORIZADOS!$A:$E,5,FALSE)="","",VLOOKUP(A912,[6]PRIORIZADOS!$A:$E,5,FALSE)),"")</f>
        <v>Educación de Jóvenes y Adultos</v>
      </c>
      <c r="F912" s="11" t="str">
        <f>IFERROR(IF(VLOOKUP(A912,[6]PRIORIZADOS!$A:$F,6,FALSE)="","",VLOOKUP(A912,[6]PRIORIZADOS!$A:$F,6,FALSE)),"")</f>
        <v>INSTITUTO_TOMAS_MORO</v>
      </c>
      <c r="G912" s="11" t="str">
        <f>IFERROR(IF(VLOOKUP(A912,[6]PRIORIZADOS!$A:$G,7,FALSE)="","",VLOOKUP(A912,[6]PRIORIZADOS!$A:$G,7,FALSE)),"")</f>
        <v>INSTITUTO_TOMAS_MORO</v>
      </c>
      <c r="H912" s="11" t="str">
        <f>IFERROR(IF(VLOOKUP(A912,[6]PRIORIZADOS!$A:$H,8,FALSE)="","",VLOOKUP(A912,[6]PRIORIZADOS!$A:$H,8,FALSE)),"")</f>
        <v>Convivencia escolar</v>
      </c>
      <c r="I912" s="11" t="str">
        <f>IFERROR(IF(VLOOKUP(A912,[6]PRIORIZADOS!$A:$I,9,FALSE)="","",VLOOKUP(A912,[6]PRIORIZADOS!$A:$I,9,FALSE)),"")</f>
        <v>EVALUACIÓN_CON_FINES_DE_MEJORAMIENTO.</v>
      </c>
      <c r="J912" s="11" t="str">
        <f>IFERROR(IF(VLOOKUP(A912,[6]PRIORIZADOS!$A:$J,10,FALSE)="","",VLOOKUP(A912,[6]PRIORIZADOS!$A:$J,10,FALSE)),"")</f>
        <v>Verificar las condiciones en cuanto a: la estructura administrativa, condiciones de la planta física y medios educativos adecuados.</v>
      </c>
      <c r="K912" s="11" t="str">
        <f>IFERROR(IF(VLOOKUP(A912,[6]PRIORIZADOS!$A:$K,11,FALSE)="","",VLOOKUP(A912,[6]PRIORIZADOS!$A:$K,11,FALSE)),"")</f>
        <v>JAIME HUMBERTO RAMÍREZ LLANOS</v>
      </c>
      <c r="L912" s="11" t="str">
        <f>IFERROR(IF(VLOOKUP(A912,[6]PRIORIZADOS!$A:$L,12,FALSE)="","",VLOOKUP(A912,[6]PRIORIZADOS!$A:$L,12,FALSE)),"")</f>
        <v>SANDRA MILENA BUENAVENTURA RUEDA</v>
      </c>
      <c r="M912" s="71">
        <f>IFERROR(IF(VLOOKUP(A912,[6]PRIORIZADOS!$A:$M,13,FALSE)="","",VLOOKUP(A912,[6]PRIORIZADOS!$A:$M,13,FALSE)),"")</f>
        <v>45780</v>
      </c>
      <c r="N912" s="139">
        <f>IFERROR(IF(VLOOKUP(A912,[6]PRIORIZADOS!$A:$N,14,FALSE)="","",VLOOKUP(A912,[6]PRIORIZADOS!$A:$N,14,FALSE)),"")</f>
        <v>45780</v>
      </c>
      <c r="O912" s="139">
        <f>IFERROR(IF(VLOOKUP(A912,[6]PRIORIZADOS!$A:$O,15,FALSE)="","",VLOOKUP(A912,[6]PRIORIZADOS!$A:$O,15,FALSE)),"")</f>
        <v>45780</v>
      </c>
      <c r="P912" s="16" t="str">
        <f>IFERROR(IF(VLOOKUP(A912,[6]PRIORIZADOS!$A:$P,16,FALSE)="","",VLOOKUP(A912,[6]PRIORIZADOS!$A:$P,16,FALSE)),"")</f>
        <v>Visitas de evaluación con fines de mejoramiento</v>
      </c>
      <c r="Q912" s="121" t="s">
        <v>161</v>
      </c>
      <c r="R912" s="90" t="str">
        <f>IFERROR(IF(VLOOKUP(A912,[6]PRIORIZADOS!$A:$R,18,FALSE)="","",VLOOKUP(A912,[6]PRIORIZADOS!$A:$R,18,FALSE)),"")</f>
        <v>En general se cuentan con los espacios pedagógicos requeridos, se le sugiere reubicar los ciclos V y VI en aulas mas amplias</v>
      </c>
      <c r="S912" s="11" t="str">
        <f>IFERROR(IF(VLOOKUP(A912,[6]PRIORIZADOS!$A:$S,19,FALSE)="","",VLOOKUP(A912,[6]PRIORIZADOS!$A:$S,19,FALSE)),"")</f>
        <v>Deben reubicar los Ciclos V y VI en aulas mas grandes</v>
      </c>
      <c r="T912" s="70" t="str">
        <f>IFERROR(IF(VLOOKUP(A912,[6]PRIORIZADOS!$A:$T,20,FALSE)="","",VLOOKUP(A912,[6]PRIORIZADOS!$A:$T,20,FALSE)),"")</f>
        <v>Si</v>
      </c>
      <c r="U912" s="11" t="str">
        <f>IFERROR(IF(VLOOKUP(A912,[6]PRIORIZADOS!$A:$U,21,FALSE)="","",VLOOKUP(A912,[6]PRIORIZADOS!$A:$U,21,FALSE)),"")</f>
        <v>En próxima visita de verificación e hará revisión. Se hizo verificación de condiciones 08/11/2025 no ha cumplido se exige nuevo plan para seguimiento en el 2026</v>
      </c>
    </row>
    <row r="913" spans="1:21" s="1" customFormat="1" ht="48">
      <c r="A913" s="69">
        <f>IF([6]PRIORIZADOS!A279="","",[6]PRIORIZADOS!A279)</f>
        <v>854</v>
      </c>
      <c r="B913" s="70">
        <f>IFERROR(IF(VLOOKUP(A913,[6]PRIORIZADOS!$A:$B,2,FALSE)="","",VLOOKUP(A913,[6]PRIORIZADOS!$A:$B,2,FALSE)),"")</f>
        <v>32</v>
      </c>
      <c r="C913" s="11" t="str">
        <f>IFERROR(IF(VLOOKUP(A913,[6]PRIORIZADOS!$A:$C,3,FALSE)="","",VLOOKUP(A913,[6]PRIORIZADOS!$A:$C,3,FALSE)),"")</f>
        <v>ENGATIVÁ</v>
      </c>
      <c r="D913" s="11" t="str">
        <f>IFERROR(IF(VLOOKUP(A913,[6]PRIORIZADOS!$A:$D,4,FALSE)="","",VLOOKUP(A913,[6]PRIORIZADOS!$A:$D,4,FALSE)),"")</f>
        <v>OFICIAL.</v>
      </c>
      <c r="E913" s="11" t="str">
        <f>IFERROR(IF(VLOOKUP(A913,[6]PRIORIZADOS!$A:$E,5,FALSE)="","",VLOOKUP(A913,[6]PRIORIZADOS!$A:$E,5,FALSE)),"")</f>
        <v>EPBM</v>
      </c>
      <c r="F913" s="11" t="str">
        <f>IFERROR(IF(VLOOKUP(A913,[6]PRIORIZADOS!$A:$F,6,FALSE)="","",VLOOKUP(A913,[6]PRIORIZADOS!$A:$F,6,FALSE)),"")</f>
        <v>COLEGIO_SAN_JOSE_NORTE_IED</v>
      </c>
      <c r="G913" s="11" t="str">
        <f>IFERROR(IF(VLOOKUP(A913,[6]PRIORIZADOS!$A:$G,7,FALSE)="","",VLOOKUP(A913,[6]PRIORIZADOS!$A:$G,7,FALSE)),"")</f>
        <v>SAN_JOSE_NORTE</v>
      </c>
      <c r="H913" s="11" t="str">
        <f>IFERROR(IF(VLOOKUP(A913,[6]PRIORIZADOS!$A:$H,8,FALSE)="","",VLOOKUP(A913,[6]PRIORIZADOS!$A:$H,8,FALSE)),"")</f>
        <v>Convivencia escolar</v>
      </c>
      <c r="I913" s="11" t="str">
        <f>IFERROR(IF(VLOOKUP(A913,[6]PRIORIZADOS!$A:$I,9,FALSE)="","",VLOOKUP(A913,[6]PRIORIZADOS!$A:$I,9,FALSE)),"")</f>
        <v>SEGUIMIENTO_Y_SUPERVISIÓN.</v>
      </c>
      <c r="J913" s="11" t="str">
        <f>IFERROR(IF(VLOOKUP(A913,[6]PRIORIZADOS!$A:$J,10,FALSE)="","",VLOOKUP(A913,[6]PRIORIZADOS!$A:$J,10,FALSE)),"")</f>
        <v xml:space="preserve">Verificar la implementación por parte de los colegios, de acciones realizadas para la prevención y atención de las situaciones de convivencia en el entorno escolar, según lo establecido en la Directiva 01 de 2022 del MEN. </v>
      </c>
      <c r="K913" s="11" t="str">
        <f>IFERROR(IF(VLOOKUP(A913,[6]PRIORIZADOS!$A:$K,11,FALSE)="","",VLOOKUP(A913,[6]PRIORIZADOS!$A:$K,11,FALSE)),"")</f>
        <v>MÓNICA JANNETH RAMÍREZ MORENO</v>
      </c>
      <c r="L913" s="11" t="str">
        <f>IFERROR(IF(VLOOKUP(A913,[6]PRIORIZADOS!$A:$L,12,FALSE)="","",VLOOKUP(A913,[6]PRIORIZADOS!$A:$L,12,FALSE)),"")</f>
        <v>JUAN AGUSTÍN RODRÍGUEZ ROZO</v>
      </c>
      <c r="M913" s="71">
        <f>IFERROR(IF(VLOOKUP(A913,[6]PRIORIZADOS!$A:$M,13,FALSE)="","",VLOOKUP(A913,[6]PRIORIZADOS!$A:$M,13,FALSE)),"")</f>
        <v>45866</v>
      </c>
      <c r="N913" s="139">
        <f>IFERROR(IF(VLOOKUP(A913,[6]PRIORIZADOS!$A:$N,14,FALSE)="","",VLOOKUP(A913,[6]PRIORIZADOS!$A:$N,14,FALSE)),"")</f>
        <v>45929</v>
      </c>
      <c r="O913" s="139">
        <f>IFERROR(IF(VLOOKUP(A913,[6]PRIORIZADOS!$A:$O,15,FALSE)="","",VLOOKUP(A913,[6]PRIORIZADOS!$A:$O,15,FALSE)),"")</f>
        <v>45929</v>
      </c>
      <c r="P913" s="16" t="str">
        <f>IFERROR(IF(VLOOKUP(A913,[6]PRIORIZADOS!$A:$P,16,FALSE)="","",VLOOKUP(A913,[6]PRIORIZADOS!$A:$P,16,FALSE)),"")</f>
        <v>Visitas de evaluación con fines de seguimiento</v>
      </c>
      <c r="Q913" s="152" t="s">
        <v>162</v>
      </c>
      <c r="R913" s="90" t="str">
        <f>IFERROR(IF(VLOOKUP(A913,[6]PRIORIZADOS!$A:$R,18,FALSE)="","",VLOOKUP(A913,[6]PRIORIZADOS!$A:$R,18,FALSE)),"")</f>
        <v>El colegio no realiza la verificación de inhabilidades para el personal docente y administrativo</v>
      </c>
      <c r="S913" s="11" t="str">
        <f>IFERROR(IF(VLOOKUP(A913,[6]PRIORIZADOS!$A:$S,19,FALSE)="","",VLOOKUP(A913,[6]PRIORIZADOS!$A:$S,19,FALSE)),"")</f>
        <v>Verificar cada 4 meses las inhabilidades del personal vinculado a la IE por delitos sexuales en la página de la Policía Nacional</v>
      </c>
      <c r="T913" s="70" t="str">
        <f>IFERROR(IF(VLOOKUP(A913,[6]PRIORIZADOS!$A:$T,20,FALSE)="","",VLOOKUP(A913,[6]PRIORIZADOS!$A:$T,20,FALSE)),"")</f>
        <v>Si</v>
      </c>
      <c r="U913" s="11" t="str">
        <f>IFERROR(IF(VLOOKUP(A913,[6]PRIORIZADOS!$A:$U,21,FALSE)="","",VLOOKUP(A913,[6]PRIORIZADOS!$A:$U,21,FALSE)),"")</f>
        <v>Revisión del plan de mejoramiento institucional una vez sea presentado</v>
      </c>
    </row>
    <row r="914" spans="1:21" s="1" customFormat="1" ht="72">
      <c r="A914" s="69">
        <f>IF([6]PRIORIZADOS!A280="","",[6]PRIORIZADOS!A280)</f>
        <v>855</v>
      </c>
      <c r="B914" s="70">
        <f>IFERROR(IF(VLOOKUP(A914,[6]PRIORIZADOS!$A:$B,2,FALSE)="","",VLOOKUP(A914,[6]PRIORIZADOS!$A:$B,2,FALSE)),"")</f>
        <v>32</v>
      </c>
      <c r="C914" s="11" t="str">
        <f>IFERROR(IF(VLOOKUP(A914,[6]PRIORIZADOS!$A:$C,3,FALSE)="","",VLOOKUP(A914,[6]PRIORIZADOS!$A:$C,3,FALSE)),"")</f>
        <v>ENGATIVÁ</v>
      </c>
      <c r="D914" s="11" t="str">
        <f>IFERROR(IF(VLOOKUP(A914,[6]PRIORIZADOS!$A:$D,4,FALSE)="","",VLOOKUP(A914,[6]PRIORIZADOS!$A:$D,4,FALSE)),"")</f>
        <v>OFICIAL.</v>
      </c>
      <c r="E914" s="11" t="str">
        <f>IFERROR(IF(VLOOKUP(A914,[6]PRIORIZADOS!$A:$E,5,FALSE)="","",VLOOKUP(A914,[6]PRIORIZADOS!$A:$E,5,FALSE)),"")</f>
        <v>EPBM</v>
      </c>
      <c r="F914" s="11" t="str">
        <f>IFERROR(IF(VLOOKUP(A914,[6]PRIORIZADOS!$A:$F,6,FALSE)="","",VLOOKUP(A914,[6]PRIORIZADOS!$A:$F,6,FALSE)),"")</f>
        <v>COLEGIO_SAN_JOSE_NORTE_IED</v>
      </c>
      <c r="G914" s="11" t="str">
        <f>IFERROR(IF(VLOOKUP(A914,[6]PRIORIZADOS!$A:$G,7,FALSE)="","",VLOOKUP(A914,[6]PRIORIZADOS!$A:$G,7,FALSE)),"")</f>
        <v>SAN_JOSE_NORTE</v>
      </c>
      <c r="H914" s="11" t="str">
        <f>IFERROR(IF(VLOOKUP(A914,[6]PRIORIZADOS!$A:$H,8,FALSE)="","",VLOOKUP(A914,[6]PRIORIZADOS!$A:$H,8,FALSE)),"")</f>
        <v>Convivencia escolar</v>
      </c>
      <c r="I914" s="11" t="str">
        <f>IFERROR(IF(VLOOKUP(A914,[6]PRIORIZADOS!$A:$I,9,FALSE)="","",VLOOKUP(A914,[6]PRIORIZADOS!$A:$I,9,FALSE)),"")</f>
        <v>SEGUIMIENTO_Y_SUPERVISIÓN.</v>
      </c>
      <c r="J914" s="11" t="str">
        <f>IFERROR(IF(VLOOKUP(A914,[6]PRIORIZADOS!$A:$J,10,FALSE)="","",VLOOKUP(A914,[6]PRIORIZADOS!$A:$J,10,FALSE)),"")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14" s="11" t="str">
        <f>IFERROR(IF(VLOOKUP(A914,[6]PRIORIZADOS!$A:$K,11,FALSE)="","",VLOOKUP(A914,[6]PRIORIZADOS!$A:$K,11,FALSE)),"")</f>
        <v>MÓNICA JANNETH RAMÍREZ MORENO</v>
      </c>
      <c r="L914" s="11" t="str">
        <f>IFERROR(IF(VLOOKUP(A914,[6]PRIORIZADOS!$A:$L,12,FALSE)="","",VLOOKUP(A914,[6]PRIORIZADOS!$A:$L,12,FALSE)),"")</f>
        <v>JUAN AGUSTÍN RODRÍGUEZ ROZO</v>
      </c>
      <c r="M914" s="71">
        <f>IFERROR(IF(VLOOKUP(A914,[6]PRIORIZADOS!$A:$M,13,FALSE)="","",VLOOKUP(A914,[6]PRIORIZADOS!$A:$M,13,FALSE)),"")</f>
        <v>45866</v>
      </c>
      <c r="N914" s="139">
        <f>IFERROR(IF(VLOOKUP(A914,[6]PRIORIZADOS!$A:$N,14,FALSE)="","",VLOOKUP(A914,[6]PRIORIZADOS!$A:$N,14,FALSE)),"")</f>
        <v>45929</v>
      </c>
      <c r="O914" s="139">
        <f>IFERROR(IF(VLOOKUP(A914,[6]PRIORIZADOS!$A:$O,15,FALSE)="","",VLOOKUP(A914,[6]PRIORIZADOS!$A:$O,15,FALSE)),"")</f>
        <v>45929</v>
      </c>
      <c r="P914" s="16" t="str">
        <f>IFERROR(IF(VLOOKUP(A914,[6]PRIORIZADOS!$A:$P,16,FALSE)="","",VLOOKUP(A914,[6]PRIORIZADOS!$A:$P,16,FALSE)),"")</f>
        <v>Visitas de evaluación con fines de seguimiento</v>
      </c>
      <c r="Q914" s="153" t="s">
        <v>162</v>
      </c>
      <c r="R914" s="90" t="str">
        <f>IFERROR(IF(VLOOKUP(A914,[6]PRIORIZADOS!$A:$R,18,FALSE)="","",VLOOKUP(A914,[6]PRIORIZADOS!$A:$R,18,FALSE)),"")</f>
        <v>Se evidencia PIAR de los 43 estudiantes con diagnóstico de discapacidad, caracterizados en el SIMAT.</v>
      </c>
      <c r="S914" s="11" t="str">
        <f>IFERROR(IF(VLOOKUP(A914,[6]PRIORIZADOS!$A:$S,19,FALSE)="","",VLOOKUP(A914,[6]PRIORIZADOS!$A:$S,19,FALSE)),"")</f>
        <v>Los coordinadores revisan los PIAR realizados y se hace seguimiento en el one drive dispuesto para tal fin y las docentes de apoyo y orientadoras tienen formatos fisicos debidamente suscritos</v>
      </c>
      <c r="T914" s="70" t="str">
        <f>IFERROR(IF(VLOOKUP(A914,[6]PRIORIZADOS!$A:$T,20,FALSE)="","",VLOOKUP(A914,[6]PRIORIZADOS!$A:$T,20,FALSE)),"")</f>
        <v>No</v>
      </c>
      <c r="U914" s="11" t="str">
        <f>IFERROR(IF(VLOOKUP(A914,[6]PRIORIZADOS!$A:$U,21,FALSE)="","",VLOOKUP(A914,[6]PRIORIZADOS!$A:$U,21,FALSE)),"")</f>
        <v>Se verificará en una actuación en otra vigencia o si se genera petición o queja ciudadana.</v>
      </c>
    </row>
    <row r="915" spans="1:21" s="1" customFormat="1" ht="84">
      <c r="A915" s="69">
        <f>IF([6]PRIORIZADOS!A281="","",[6]PRIORIZADOS!A281)</f>
        <v>856</v>
      </c>
      <c r="B915" s="70">
        <f>IFERROR(IF(VLOOKUP(A915,[6]PRIORIZADOS!$A:$B,2,FALSE)="","",VLOOKUP(A915,[6]PRIORIZADOS!$A:$B,2,FALSE)),"")</f>
        <v>32</v>
      </c>
      <c r="C915" s="11" t="str">
        <f>IFERROR(IF(VLOOKUP(A915,[6]PRIORIZADOS!$A:$C,3,FALSE)="","",VLOOKUP(A915,[6]PRIORIZADOS!$A:$C,3,FALSE)),"")</f>
        <v>ENGATIVÁ</v>
      </c>
      <c r="D915" s="11" t="str">
        <f>IFERROR(IF(VLOOKUP(A915,[6]PRIORIZADOS!$A:$D,4,FALSE)="","",VLOOKUP(A915,[6]PRIORIZADOS!$A:$D,4,FALSE)),"")</f>
        <v>OFICIAL.</v>
      </c>
      <c r="E915" s="11" t="str">
        <f>IFERROR(IF(VLOOKUP(A915,[6]PRIORIZADOS!$A:$E,5,FALSE)="","",VLOOKUP(A915,[6]PRIORIZADOS!$A:$E,5,FALSE)),"")</f>
        <v>EPBM</v>
      </c>
      <c r="F915" s="11" t="str">
        <f>IFERROR(IF(VLOOKUP(A915,[6]PRIORIZADOS!$A:$F,6,FALSE)="","",VLOOKUP(A915,[6]PRIORIZADOS!$A:$F,6,FALSE)),"")</f>
        <v>COLEGIO_SAN_JOSE_NORTE_IED</v>
      </c>
      <c r="G915" s="11" t="str">
        <f>IFERROR(IF(VLOOKUP(A915,[6]PRIORIZADOS!$A:$G,7,FALSE)="","",VLOOKUP(A915,[6]PRIORIZADOS!$A:$G,7,FALSE)),"")</f>
        <v>SAN_JOSE_NORTE</v>
      </c>
      <c r="H915" s="11" t="str">
        <f>IFERROR(IF(VLOOKUP(A915,[6]PRIORIZADOS!$A:$H,8,FALSE)="","",VLOOKUP(A915,[6]PRIORIZADOS!$A:$H,8,FALSE)),"")</f>
        <v>Convivencia escolar</v>
      </c>
      <c r="I915" s="11" t="str">
        <f>IFERROR(IF(VLOOKUP(A915,[6]PRIORIZADOS!$A:$I,9,FALSE)="","",VLOOKUP(A915,[6]PRIORIZADOS!$A:$I,9,FALSE)),"")</f>
        <v>EVALUACIÓN_CON_FINES_DE_MEJORAMIENTO.</v>
      </c>
      <c r="J915" s="11" t="str">
        <f>IFERROR(IF(VLOOKUP(A915,[6]PRIORIZADOS!$A:$J,10,FALSE)="","",VLOOKUP(A915,[6]PRIORIZADOS!$A:$J,10,FALSE)),"")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15" s="11" t="str">
        <f>IFERROR(IF(VLOOKUP(A915,[6]PRIORIZADOS!$A:$K,11,FALSE)="","",VLOOKUP(A915,[6]PRIORIZADOS!$A:$K,11,FALSE)),"")</f>
        <v>MÓNICA JANNETH RAMÍREZ MORENO</v>
      </c>
      <c r="L915" s="11" t="str">
        <f>IFERROR(IF(VLOOKUP(A915,[6]PRIORIZADOS!$A:$L,12,FALSE)="","",VLOOKUP(A915,[6]PRIORIZADOS!$A:$L,12,FALSE)),"")</f>
        <v>JUAN AGUSTÍN RODRÍGUEZ ROZO</v>
      </c>
      <c r="M915" s="71">
        <f>IFERROR(IF(VLOOKUP(A915,[6]PRIORIZADOS!$A:$M,13,FALSE)="","",VLOOKUP(A915,[6]PRIORIZADOS!$A:$M,13,FALSE)),"")</f>
        <v>45866</v>
      </c>
      <c r="N915" s="139">
        <f>IFERROR(IF(VLOOKUP(A915,[6]PRIORIZADOS!$A:$N,14,FALSE)="","",VLOOKUP(A915,[6]PRIORIZADOS!$A:$N,14,FALSE)),"")</f>
        <v>45929</v>
      </c>
      <c r="O915" s="139">
        <f>IFERROR(IF(VLOOKUP(A915,[6]PRIORIZADOS!$A:$O,15,FALSE)="","",VLOOKUP(A915,[6]PRIORIZADOS!$A:$O,15,FALSE)),"")</f>
        <v>45929</v>
      </c>
      <c r="P915" s="16" t="str">
        <f>IFERROR(IF(VLOOKUP(A915,[6]PRIORIZADOS!$A:$P,16,FALSE)="","",VLOOKUP(A915,[6]PRIORIZADOS!$A:$P,16,FALSE)),"")</f>
        <v>Visitas de evaluación con fines de mejoramiento</v>
      </c>
      <c r="Q915" s="153" t="s">
        <v>162</v>
      </c>
      <c r="R915" s="90" t="str">
        <f>IFERROR(IF(VLOOKUP(A915,[6]PRIORIZADOS!$A:$R,18,FALSE)="","",VLOOKUP(A915,[6]PRIORIZADOS!$A:$R,18,FALSE)),"")</f>
        <v>El colegio realiza actualizaciones del manual cada 2 años y debe desarrollar los enfoques de genero, inclusión y restaurativo, contempla por separado las faltas disciplinarias y las situaciones que afectan la convivencia escolar</v>
      </c>
      <c r="S915" s="11" t="str">
        <f>IFERROR(IF(VLOOKUP(A915,[6]PRIORIZADOS!$A:$S,19,FALSE)="","",VLOOKUP(A915,[6]PRIORIZADOS!$A:$S,19,FALSE)),"")</f>
        <v xml:space="preserve">Se debe ajustar el manual de convivencia con base en observaciones realizadas incluyendo  el proceso establecido y los canales de atención para peticiónes, quejas, reclamos y felicitaciones por parte de la comunidad educativa </v>
      </c>
      <c r="T915" s="70" t="str">
        <f>IFERROR(IF(VLOOKUP(A915,[6]PRIORIZADOS!$A:$T,20,FALSE)="","",VLOOKUP(A915,[6]PRIORIZADOS!$A:$T,20,FALSE)),"")</f>
        <v>Si</v>
      </c>
      <c r="U915" s="11" t="str">
        <f>IFERROR(IF(VLOOKUP(A915,[6]PRIORIZADOS!$A:$U,21,FALSE)="","",VLOOKUP(A915,[6]PRIORIZADOS!$A:$U,21,FALSE)),"")</f>
        <v>Revisión del plan de mejoramiento institucional una vez sea presentado</v>
      </c>
    </row>
    <row r="916" spans="1:21" s="1" customFormat="1" ht="60">
      <c r="A916" s="69">
        <f>IF([6]PRIORIZADOS!A282="","",[6]PRIORIZADOS!A282)</f>
        <v>857</v>
      </c>
      <c r="B916" s="70">
        <f>IFERROR(IF(VLOOKUP(A916,[6]PRIORIZADOS!$A:$B,2,FALSE)="","",VLOOKUP(A916,[6]PRIORIZADOS!$A:$B,2,FALSE)),"")</f>
        <v>32</v>
      </c>
      <c r="C916" s="11" t="str">
        <f>IFERROR(IF(VLOOKUP(A916,[6]PRIORIZADOS!$A:$C,3,FALSE)="","",VLOOKUP(A916,[6]PRIORIZADOS!$A:$C,3,FALSE)),"")</f>
        <v>ENGATIVÁ</v>
      </c>
      <c r="D916" s="11" t="str">
        <f>IFERROR(IF(VLOOKUP(A916,[6]PRIORIZADOS!$A:$D,4,FALSE)="","",VLOOKUP(A916,[6]PRIORIZADOS!$A:$D,4,FALSE)),"")</f>
        <v>OFICIAL.</v>
      </c>
      <c r="E916" s="11" t="str">
        <f>IFERROR(IF(VLOOKUP(A916,[6]PRIORIZADOS!$A:$E,5,FALSE)="","",VLOOKUP(A916,[6]PRIORIZADOS!$A:$E,5,FALSE)),"")</f>
        <v>EPBM</v>
      </c>
      <c r="F916" s="11" t="str">
        <f>IFERROR(IF(VLOOKUP(A916,[6]PRIORIZADOS!$A:$F,6,FALSE)="","",VLOOKUP(A916,[6]PRIORIZADOS!$A:$F,6,FALSE)),"")</f>
        <v>COLEGIO_SAN_JOSE_NORTE_IED</v>
      </c>
      <c r="G916" s="11" t="str">
        <f>IFERROR(IF(VLOOKUP(A916,[6]PRIORIZADOS!$A:$G,7,FALSE)="","",VLOOKUP(A916,[6]PRIORIZADOS!$A:$G,7,FALSE)),"")</f>
        <v>SAN_JOSE_NORTE</v>
      </c>
      <c r="H916" s="11" t="str">
        <f>IFERROR(IF(VLOOKUP(A916,[6]PRIORIZADOS!$A:$H,8,FALSE)="","",VLOOKUP(A916,[6]PRIORIZADOS!$A:$H,8,FALSE)),"")</f>
        <v>Convivencia escolar</v>
      </c>
      <c r="I916" s="11" t="str">
        <f>IFERROR(IF(VLOOKUP(A916,[6]PRIORIZADOS!$A:$I,9,FALSE)="","",VLOOKUP(A916,[6]PRIORIZADOS!$A:$I,9,FALSE)),"")</f>
        <v>EVALUACIÓN_CON_FINES_DE_MEJORAMIENTO.</v>
      </c>
      <c r="J916" s="11" t="str">
        <f>IFERROR(IF(VLOOKUP(A916,[6]PRIORIZADOS!$A:$J,10,FALSE)="","",VLOOKUP(A916,[6]PRIORIZADOS!$A:$J,10,FALSE)),"")</f>
        <v>Revisar la actualización, socialización e implementación del Sistema Institucional de Evaluación de Estudiantes - SIEE, en articulación con la actualización del PEI y la normatividad vigente.</v>
      </c>
      <c r="K916" s="11" t="str">
        <f>IFERROR(IF(VLOOKUP(A916,[6]PRIORIZADOS!$A:$K,11,FALSE)="","",VLOOKUP(A916,[6]PRIORIZADOS!$A:$K,11,FALSE)),"")</f>
        <v>MÓNICA JANNETH RAMÍREZ MORENO</v>
      </c>
      <c r="L916" s="11" t="str">
        <f>IFERROR(IF(VLOOKUP(A916,[6]PRIORIZADOS!$A:$L,12,FALSE)="","",VLOOKUP(A916,[6]PRIORIZADOS!$A:$L,12,FALSE)),"")</f>
        <v>JUAN AGUSTÍN RODRÍGUEZ ROZO</v>
      </c>
      <c r="M916" s="71">
        <f>IFERROR(IF(VLOOKUP(A916,[6]PRIORIZADOS!$A:$M,13,FALSE)="","",VLOOKUP(A916,[6]PRIORIZADOS!$A:$M,13,FALSE)),"")</f>
        <v>45866</v>
      </c>
      <c r="N916" s="139">
        <f>IFERROR(IF(VLOOKUP(A916,[6]PRIORIZADOS!$A:$N,14,FALSE)="","",VLOOKUP(A916,[6]PRIORIZADOS!$A:$N,14,FALSE)),"")</f>
        <v>45929</v>
      </c>
      <c r="O916" s="139">
        <f>IFERROR(IF(VLOOKUP(A916,[6]PRIORIZADOS!$A:$O,15,FALSE)="","",VLOOKUP(A916,[6]PRIORIZADOS!$A:$O,15,FALSE)),"")</f>
        <v>45929</v>
      </c>
      <c r="P916" s="16" t="str">
        <f>IFERROR(IF(VLOOKUP(A916,[6]PRIORIZADOS!$A:$P,16,FALSE)="","",VLOOKUP(A916,[6]PRIORIZADOS!$A:$P,16,FALSE)),"")</f>
        <v>Visitas de evaluación con fines de mejoramiento</v>
      </c>
      <c r="Q916" s="153" t="s">
        <v>162</v>
      </c>
      <c r="R916" s="90" t="str">
        <f>IFERROR(IF(VLOOKUP(A916,[6]PRIORIZADOS!$A:$R,18,FALSE)="","",VLOOKUP(A916,[6]PRIORIZADOS!$A:$R,18,FALSE)),"")</f>
        <v>El SIEE se encuentra actualizado y socializado conforme lo requiere el programa de Bachillerato internacional, pero falta registrar las estrategias de apoyo que realizan</v>
      </c>
      <c r="S916" s="11" t="str">
        <f>IFERROR(IF(VLOOKUP(A916,[6]PRIORIZADOS!$A:$S,19,FALSE)="","",VLOOKUP(A916,[6]PRIORIZADOS!$A:$S,19,FALSE)),"")</f>
        <v>Se recomienda registrar las estrategias de apoyo en el SIEE como los informes parciales y actividades de refuerzo</v>
      </c>
      <c r="T916" s="70" t="str">
        <f>IFERROR(IF(VLOOKUP(A916,[6]PRIORIZADOS!$A:$T,20,FALSE)="","",VLOOKUP(A916,[6]PRIORIZADOS!$A:$T,20,FALSE)),"")</f>
        <v>Si</v>
      </c>
      <c r="U916" s="11" t="str">
        <f>IFERROR(IF(VLOOKUP(A916,[6]PRIORIZADOS!$A:$U,21,FALSE)="","",VLOOKUP(A916,[6]PRIORIZADOS!$A:$U,21,FALSE)),"")</f>
        <v>Revisión del plan de mejoramiento institucional una vez sea presentado</v>
      </c>
    </row>
    <row r="917" spans="1:21" s="1" customFormat="1" ht="48">
      <c r="A917" s="69">
        <f>IF([6]PRIORIZADOS!A283="","",[6]PRIORIZADOS!A283)</f>
        <v>858</v>
      </c>
      <c r="B917" s="70">
        <f>IFERROR(IF(VLOOKUP(A917,[6]PRIORIZADOS!$A:$B,2,FALSE)="","",VLOOKUP(A917,[6]PRIORIZADOS!$A:$B,2,FALSE)),"")</f>
        <v>32</v>
      </c>
      <c r="C917" s="11" t="str">
        <f>IFERROR(IF(VLOOKUP(A917,[6]PRIORIZADOS!$A:$C,3,FALSE)="","",VLOOKUP(A917,[6]PRIORIZADOS!$A:$C,3,FALSE)),"")</f>
        <v>ENGATIVÁ</v>
      </c>
      <c r="D917" s="11" t="str">
        <f>IFERROR(IF(VLOOKUP(A917,[6]PRIORIZADOS!$A:$D,4,FALSE)="","",VLOOKUP(A917,[6]PRIORIZADOS!$A:$D,4,FALSE)),"")</f>
        <v>OFICIAL.</v>
      </c>
      <c r="E917" s="11" t="str">
        <f>IFERROR(IF(VLOOKUP(A917,[6]PRIORIZADOS!$A:$E,5,FALSE)="","",VLOOKUP(A917,[6]PRIORIZADOS!$A:$E,5,FALSE)),"")</f>
        <v>EPBM</v>
      </c>
      <c r="F917" s="11" t="str">
        <f>IFERROR(IF(VLOOKUP(A917,[6]PRIORIZADOS!$A:$F,6,FALSE)="","",VLOOKUP(A917,[6]PRIORIZADOS!$A:$F,6,FALSE)),"")</f>
        <v>COLEGIO_SAN_JOSE_NORTE_IED</v>
      </c>
      <c r="G917" s="11" t="str">
        <f>IFERROR(IF(VLOOKUP(A917,[6]PRIORIZADOS!$A:$G,7,FALSE)="","",VLOOKUP(A917,[6]PRIORIZADOS!$A:$G,7,FALSE)),"")</f>
        <v>SAN_JOSE_NORTE</v>
      </c>
      <c r="H917" s="11" t="str">
        <f>IFERROR(IF(VLOOKUP(A917,[6]PRIORIZADOS!$A:$H,8,FALSE)="","",VLOOKUP(A917,[6]PRIORIZADOS!$A:$H,8,FALSE)),"")</f>
        <v>Convivencia escolar</v>
      </c>
      <c r="I917" s="11" t="str">
        <f>IFERROR(IF(VLOOKUP(A917,[6]PRIORIZADOS!$A:$I,9,FALSE)="","",VLOOKUP(A917,[6]PRIORIZADOS!$A:$I,9,FALSE)),"")</f>
        <v>EVALUACIÓN_CON_FINES_DE_MEJORAMIENTO.</v>
      </c>
      <c r="J917" s="11" t="str">
        <f>IFERROR(IF(VLOOKUP(A917,[6]PRIORIZADOS!$A:$J,10,FALSE)="","",VLOOKUP(A917,[6]PRIORIZADOS!$A:$J,10,FALSE)),"")</f>
        <v>Revisar el calendario escolar, jornada escolar, la intensidad horaria mínima anual en cada nivel y las modificaciones que se realicen al mismo, de acuerdo con lo previsto en la normatividad vigente.</v>
      </c>
      <c r="K917" s="11" t="str">
        <f>IFERROR(IF(VLOOKUP(A917,[6]PRIORIZADOS!$A:$K,11,FALSE)="","",VLOOKUP(A917,[6]PRIORIZADOS!$A:$K,11,FALSE)),"")</f>
        <v>MÓNICA JANNETH RAMÍREZ MORENO</v>
      </c>
      <c r="L917" s="11" t="str">
        <f>IFERROR(IF(VLOOKUP(A917,[6]PRIORIZADOS!$A:$L,12,FALSE)="","",VLOOKUP(A917,[6]PRIORIZADOS!$A:$L,12,FALSE)),"")</f>
        <v>JUAN AGUSTÍN RODRÍGUEZ ROZO</v>
      </c>
      <c r="M917" s="71">
        <f>IFERROR(IF(VLOOKUP(A917,[6]PRIORIZADOS!$A:$M,13,FALSE)="","",VLOOKUP(A917,[6]PRIORIZADOS!$A:$M,13,FALSE)),"")</f>
        <v>45866</v>
      </c>
      <c r="N917" s="139">
        <f>IFERROR(IF(VLOOKUP(A917,[6]PRIORIZADOS!$A:$N,14,FALSE)="","",VLOOKUP(A917,[6]PRIORIZADOS!$A:$N,14,FALSE)),"")</f>
        <v>45929</v>
      </c>
      <c r="O917" s="139">
        <f>IFERROR(IF(VLOOKUP(A917,[6]PRIORIZADOS!$A:$O,15,FALSE)="","",VLOOKUP(A917,[6]PRIORIZADOS!$A:$O,15,FALSE)),"")</f>
        <v>45929</v>
      </c>
      <c r="P917" s="16" t="str">
        <f>IFERROR(IF(VLOOKUP(A917,[6]PRIORIZADOS!$A:$P,16,FALSE)="","",VLOOKUP(A917,[6]PRIORIZADOS!$A:$P,16,FALSE)),"")</f>
        <v>Visitas de evaluación con fines de mejoramiento</v>
      </c>
      <c r="Q917" s="153" t="s">
        <v>162</v>
      </c>
      <c r="R917" s="90" t="str">
        <f>IFERROR(IF(VLOOKUP(A917,[6]PRIORIZADOS!$A:$R,18,FALSE)="","",VLOOKUP(A917,[6]PRIORIZADOS!$A:$R,18,FALSE)),"")</f>
        <v>El colegio cumple la intensidad horaria establecida por nivel según normativa vigente</v>
      </c>
      <c r="S917" s="11" t="str">
        <f>IFERROR(IF(VLOOKUP(A917,[6]PRIORIZADOS!$A:$S,19,FALSE)="","",VLOOKUP(A917,[6]PRIORIZADOS!$A:$S,19,FALSE)),"")</f>
        <v>Continuar el cumplimiento teniendo en cuenta la autorización de jornada única</v>
      </c>
      <c r="T917" s="70" t="str">
        <f>IFERROR(IF(VLOOKUP(A917,[6]PRIORIZADOS!$A:$T,20,FALSE)="","",VLOOKUP(A917,[6]PRIORIZADOS!$A:$T,20,FALSE)),"")</f>
        <v>No</v>
      </c>
      <c r="U917" s="11" t="str">
        <f>IFERROR(IF(VLOOKUP(A917,[6]PRIORIZADOS!$A:$U,21,FALSE)="","",VLOOKUP(A917,[6]PRIORIZADOS!$A:$U,21,FALSE)),"")</f>
        <v>Se verificará en una actuación en otra vigencia o si se genera petición o queja ciudadana.</v>
      </c>
    </row>
    <row r="918" spans="1:21" s="1" customFormat="1" ht="48">
      <c r="A918" s="69">
        <f>IF([6]PRIORIZADOS!A284="","",[6]PRIORIZADOS!A284)</f>
        <v>859</v>
      </c>
      <c r="B918" s="70">
        <f>IFERROR(IF(VLOOKUP(A918,[6]PRIORIZADOS!$A:$B,2,FALSE)="","",VLOOKUP(A918,[6]PRIORIZADOS!$A:$B,2,FALSE)),"")</f>
        <v>32</v>
      </c>
      <c r="C918" s="11" t="str">
        <f>IFERROR(IF(VLOOKUP(A918,[6]PRIORIZADOS!$A:$C,3,FALSE)="","",VLOOKUP(A918,[6]PRIORIZADOS!$A:$C,3,FALSE)),"")</f>
        <v>ENGATIVÁ</v>
      </c>
      <c r="D918" s="11" t="str">
        <f>IFERROR(IF(VLOOKUP(A918,[6]PRIORIZADOS!$A:$D,4,FALSE)="","",VLOOKUP(A918,[6]PRIORIZADOS!$A:$D,4,FALSE)),"")</f>
        <v>OFICIAL.</v>
      </c>
      <c r="E918" s="11" t="str">
        <f>IFERROR(IF(VLOOKUP(A918,[6]PRIORIZADOS!$A:$E,5,FALSE)="","",VLOOKUP(A918,[6]PRIORIZADOS!$A:$E,5,FALSE)),"")</f>
        <v>EPBM</v>
      </c>
      <c r="F918" s="11" t="str">
        <f>IFERROR(IF(VLOOKUP(A918,[6]PRIORIZADOS!$A:$F,6,FALSE)="","",VLOOKUP(A918,[6]PRIORIZADOS!$A:$F,6,FALSE)),"")</f>
        <v>COLEGIO_SAN_JOSE_NORTE_IED</v>
      </c>
      <c r="G918" s="11" t="str">
        <f>IFERROR(IF(VLOOKUP(A918,[6]PRIORIZADOS!$A:$G,7,FALSE)="","",VLOOKUP(A918,[6]PRIORIZADOS!$A:$G,7,FALSE)),"")</f>
        <v>SAN_JOSE_NORTE</v>
      </c>
      <c r="H918" s="11" t="str">
        <f>IFERROR(IF(VLOOKUP(A918,[6]PRIORIZADOS!$A:$H,8,FALSE)="","",VLOOKUP(A918,[6]PRIORIZADOS!$A:$H,8,FALSE)),"")</f>
        <v>Convivencia escolar</v>
      </c>
      <c r="I918" s="11" t="str">
        <f>IFERROR(IF(VLOOKUP(A918,[6]PRIORIZADOS!$A:$I,9,FALSE)="","",VLOOKUP(A918,[6]PRIORIZADOS!$A:$I,9,FALSE)),"")</f>
        <v>EVALUACIÓN_CON_FINES_DE_MEJORAMIENTO.</v>
      </c>
      <c r="J918" s="11" t="str">
        <f>IFERROR(IF(VLOOKUP(A918,[6]PRIORIZADOS!$A:$J,10,FALSE)="","",VLOOKUP(A918,[6]PRIORIZADOS!$A:$J,10,FALSE)),"")</f>
        <v>Verificar el funcionamiento del Gobierno Escolar e instancias de participación con base en la información sobre conformación reportada por la institución educativa.</v>
      </c>
      <c r="K918" s="11" t="str">
        <f>IFERROR(IF(VLOOKUP(A918,[6]PRIORIZADOS!$A:$K,11,FALSE)="","",VLOOKUP(A918,[6]PRIORIZADOS!$A:$K,11,FALSE)),"")</f>
        <v>MÓNICA JANNETH RAMÍREZ MORENO</v>
      </c>
      <c r="L918" s="11" t="str">
        <f>IFERROR(IF(VLOOKUP(A918,[6]PRIORIZADOS!$A:$L,12,FALSE)="","",VLOOKUP(A918,[6]PRIORIZADOS!$A:$L,12,FALSE)),"")</f>
        <v>JUAN AGUSTÍN RODRÍGUEZ ROZO</v>
      </c>
      <c r="M918" s="71">
        <f>IFERROR(IF(VLOOKUP(A918,[6]PRIORIZADOS!$A:$M,13,FALSE)="","",VLOOKUP(A918,[6]PRIORIZADOS!$A:$M,13,FALSE)),"")</f>
        <v>45866</v>
      </c>
      <c r="N918" s="139">
        <f>IFERROR(IF(VLOOKUP(A918,[6]PRIORIZADOS!$A:$N,14,FALSE)="","",VLOOKUP(A918,[6]PRIORIZADOS!$A:$N,14,FALSE)),"")</f>
        <v>45929</v>
      </c>
      <c r="O918" s="139">
        <f>IFERROR(IF(VLOOKUP(A918,[6]PRIORIZADOS!$A:$O,15,FALSE)="","",VLOOKUP(A918,[6]PRIORIZADOS!$A:$O,15,FALSE)),"")</f>
        <v>45929</v>
      </c>
      <c r="P918" s="16" t="str">
        <f>IFERROR(IF(VLOOKUP(A918,[6]PRIORIZADOS!$A:$P,16,FALSE)="","",VLOOKUP(A918,[6]PRIORIZADOS!$A:$P,16,FALSE)),"")</f>
        <v>Visitas de evaluación con fines de mejoramiento</v>
      </c>
      <c r="Q918" s="153" t="s">
        <v>162</v>
      </c>
      <c r="R918" s="90" t="str">
        <f>IFERROR(IF(VLOOKUP(A918,[6]PRIORIZADOS!$A:$R,18,FALSE)="","",VLOOKUP(A918,[6]PRIORIZADOS!$A:$R,18,FALSE)),"")</f>
        <v>Se verificaron las actas del gobierno escolar y las instancias de participación observándose su organización y cumplimiento</v>
      </c>
      <c r="S918" s="11" t="str">
        <f>IFERROR(IF(VLOOKUP(A918,[6]PRIORIZADOS!$A:$S,19,FALSE)="","",VLOOKUP(A918,[6]PRIORIZADOS!$A:$S,19,FALSE)),"")</f>
        <v>El Gobierno Escolar y las instancias de participación funcionan correctamente atendiendo la normativa vigente</v>
      </c>
      <c r="T918" s="70" t="str">
        <f>IFERROR(IF(VLOOKUP(A918,[6]PRIORIZADOS!$A:$T,20,FALSE)="","",VLOOKUP(A918,[6]PRIORIZADOS!$A:$T,20,FALSE)),"")</f>
        <v>No</v>
      </c>
      <c r="U918" s="11" t="str">
        <f>IFERROR(IF(VLOOKUP(A918,[6]PRIORIZADOS!$A:$U,21,FALSE)="","",VLOOKUP(A918,[6]PRIORIZADOS!$A:$U,21,FALSE)),"")</f>
        <v>Se verificará en una actuación en otra vigencia o si se genera petición o queja ciudadana.</v>
      </c>
    </row>
    <row r="919" spans="1:21" s="1" customFormat="1" ht="118.5">
      <c r="A919" s="69">
        <f>IF([6]PRIORIZADOS!A285="","",[6]PRIORIZADOS!A285)</f>
        <v>860</v>
      </c>
      <c r="B919" s="70">
        <f>IFERROR(IF(VLOOKUP(A919,[6]PRIORIZADOS!$A:$B,2,FALSE)="","",VLOOKUP(A919,[6]PRIORIZADOS!$A:$B,2,FALSE)),"")</f>
        <v>32</v>
      </c>
      <c r="C919" s="11" t="str">
        <f>IFERROR(IF(VLOOKUP(A919,[6]PRIORIZADOS!$A:$C,3,FALSE)="","",VLOOKUP(A919,[6]PRIORIZADOS!$A:$C,3,FALSE)),"")</f>
        <v>ENGATIVÁ</v>
      </c>
      <c r="D919" s="11" t="str">
        <f>IFERROR(IF(VLOOKUP(A919,[6]PRIORIZADOS!$A:$D,4,FALSE)="","",VLOOKUP(A919,[6]PRIORIZADOS!$A:$D,4,FALSE)),"")</f>
        <v>OFICIAL.</v>
      </c>
      <c r="E919" s="11" t="str">
        <f>IFERROR(IF(VLOOKUP(A919,[6]PRIORIZADOS!$A:$E,5,FALSE)="","",VLOOKUP(A919,[6]PRIORIZADOS!$A:$E,5,FALSE)),"")</f>
        <v>EPBM</v>
      </c>
      <c r="F919" s="11" t="str">
        <f>IFERROR(IF(VLOOKUP(A919,[6]PRIORIZADOS!$A:$F,6,FALSE)="","",VLOOKUP(A919,[6]PRIORIZADOS!$A:$F,6,FALSE)),"")</f>
        <v>COLEGIO_SAN_JOSE_NORTE_IED</v>
      </c>
      <c r="G919" s="11" t="str">
        <f>IFERROR(IF(VLOOKUP(A919,[6]PRIORIZADOS!$A:$G,7,FALSE)="","",VLOOKUP(A919,[6]PRIORIZADOS!$A:$G,7,FALSE)),"")</f>
        <v>SAN_JOSE_NORTE</v>
      </c>
      <c r="H919" s="11" t="str">
        <f>IFERROR(IF(VLOOKUP(A919,[6]PRIORIZADOS!$A:$H,8,FALSE)="","",VLOOKUP(A919,[6]PRIORIZADOS!$A:$H,8,FALSE)),"")</f>
        <v>Convivencia escolar</v>
      </c>
      <c r="I919" s="11" t="str">
        <f>IFERROR(IF(VLOOKUP(A919,[6]PRIORIZADOS!$A:$I,9,FALSE)="","",VLOOKUP(A919,[6]PRIORIZADOS!$A:$I,9,FALSE)),"")</f>
        <v>EVALUACIÓN_CON_FINES_DE_MEJORAMIENTO.</v>
      </c>
      <c r="J919" s="11" t="str">
        <f>IFERROR(IF(VLOOKUP(A919,[6]PRIORIZADOS!$A:$J,10,FALSE)="","",VLOOKUP(A919,[6]PRIORIZADOS!$A:$J,10,FALSE)),"")</f>
        <v>Verificar las condiciones en cuanto a: la estructura administrativa, condiciones de la planta física y medios educativos adecuados.</v>
      </c>
      <c r="K919" s="11" t="str">
        <f>IFERROR(IF(VLOOKUP(A919,[6]PRIORIZADOS!$A:$K,11,FALSE)="","",VLOOKUP(A919,[6]PRIORIZADOS!$A:$K,11,FALSE)),"")</f>
        <v>MÓNICA JANNETH RAMÍREZ MORENO</v>
      </c>
      <c r="L919" s="11" t="str">
        <f>IFERROR(IF(VLOOKUP(A919,[6]PRIORIZADOS!$A:$L,12,FALSE)="","",VLOOKUP(A919,[6]PRIORIZADOS!$A:$L,12,FALSE)),"")</f>
        <v>JUAN AGUSTÍN RODRÍGUEZ ROZO</v>
      </c>
      <c r="M919" s="71">
        <f>IFERROR(IF(VLOOKUP(A919,[6]PRIORIZADOS!$A:$M,13,FALSE)="","",VLOOKUP(A919,[6]PRIORIZADOS!$A:$M,13,FALSE)),"")</f>
        <v>45866</v>
      </c>
      <c r="N919" s="139">
        <f>IFERROR(IF(VLOOKUP(A919,[6]PRIORIZADOS!$A:$N,14,FALSE)="","",VLOOKUP(A919,[6]PRIORIZADOS!$A:$N,14,FALSE)),"")</f>
        <v>45929</v>
      </c>
      <c r="O919" s="139">
        <f>IFERROR(IF(VLOOKUP(A919,[6]PRIORIZADOS!$A:$O,15,FALSE)="","",VLOOKUP(A919,[6]PRIORIZADOS!$A:$O,15,FALSE)),"")</f>
        <v>45929</v>
      </c>
      <c r="P919" s="16" t="str">
        <f>IFERROR(IF(VLOOKUP(A919,[6]PRIORIZADOS!$A:$P,16,FALSE)="","",VLOOKUP(A919,[6]PRIORIZADOS!$A:$P,16,FALSE)),"")</f>
        <v>Visitas de evaluación con fines de mejoramiento</v>
      </c>
      <c r="Q919" s="153" t="s">
        <v>162</v>
      </c>
      <c r="R919" s="90" t="str">
        <f>IFERROR(IF(VLOOKUP(A919,[6]PRIORIZADOS!$A:$R,18,FALSE)="","",VLOOKUP(A919,[6]PRIORIZADOS!$A:$R,18,FALSE)),"")</f>
        <v>Hacen falta espacios para atender la oferta total de estudiantes actual
En la sede B no se cuentan con rampas de acceso ni ascensor
Existe inconformidad con la entrega de la obra por cuanto hay adecuaciones pendientes.
El colegio impulsa una política de "cuidado de lo público" que permite la conservación y cuidado de la dotación</v>
      </c>
      <c r="S919" s="11" t="str">
        <f>IFERROR(IF(VLOOKUP(A919,[6]PRIORIZADOS!$A:$S,19,FALSE)="","",VLOOKUP(A919,[6]PRIORIZADOS!$A:$S,19,FALSE)),"")</f>
        <v>Continuar proceso con Dirección de Construcciones para lograr culminar a satisfacción la obra</v>
      </c>
      <c r="T919" s="70" t="str">
        <f>IFERROR(IF(VLOOKUP(A919,[6]PRIORIZADOS!$A:$T,20,FALSE)="","",VLOOKUP(A919,[6]PRIORIZADOS!$A:$T,20,FALSE)),"")</f>
        <v>No</v>
      </c>
      <c r="U919" s="11" t="str">
        <f>IFERROR(IF(VLOOKUP(A919,[6]PRIORIZADOS!$A:$U,21,FALSE)="","",VLOOKUP(A919,[6]PRIORIZADOS!$A:$U,21,FALSE)),"")</f>
        <v>Se verificará en una actuación en otra vigencia o si se genera petición o queja ciudadana.</v>
      </c>
    </row>
    <row r="920" spans="1:21" s="1" customFormat="1" ht="60">
      <c r="A920" s="69">
        <f>IF([6]PRIORIZADOS!A286="","",[6]PRIORIZADOS!A286)</f>
        <v>861</v>
      </c>
      <c r="B920" s="70">
        <f>IFERROR(IF(VLOOKUP(A920,[6]PRIORIZADOS!$A:$B,2,FALSE)="","",VLOOKUP(A920,[6]PRIORIZADOS!$A:$B,2,FALSE)),"")</f>
        <v>33</v>
      </c>
      <c r="C920" s="11" t="str">
        <f>IFERROR(IF(VLOOKUP(A920,[6]PRIORIZADOS!$A:$C,3,FALSE)="","",VLOOKUP(A920,[6]PRIORIZADOS!$A:$C,3,FALSE)),"")</f>
        <v>ENGATIVÁ</v>
      </c>
      <c r="D920" s="11" t="str">
        <f>IFERROR(IF(VLOOKUP(A920,[6]PRIORIZADOS!$A:$D,4,FALSE)="","",VLOOKUP(A920,[6]PRIORIZADOS!$A:$D,4,FALSE)),"")</f>
        <v>OFICIAL.</v>
      </c>
      <c r="E920" s="11" t="str">
        <f>IFERROR(IF(VLOOKUP(A920,[6]PRIORIZADOS!$A:$E,5,FALSE)="","",VLOOKUP(A920,[6]PRIORIZADOS!$A:$E,5,FALSE)),"")</f>
        <v>EPBM</v>
      </c>
      <c r="F920" s="11" t="str">
        <f>IFERROR(IF(VLOOKUP(A920,[6]PRIORIZADOS!$A:$F,6,FALSE)="","",VLOOKUP(A920,[6]PRIORIZADOS!$A:$F,6,FALSE)),"")</f>
        <v>COLEGIO_LA_PALESTINA_IED</v>
      </c>
      <c r="G920" s="11" t="str">
        <f>IFERROR(IF(VLOOKUP(A920,[6]PRIORIZADOS!$A:$G,7,FALSE)="","",VLOOKUP(A920,[6]PRIORIZADOS!$A:$G,7,FALSE)),"")</f>
        <v>LA_PALESTINA</v>
      </c>
      <c r="H920" s="11" t="str">
        <f>IFERROR(IF(VLOOKUP(A920,[6]PRIORIZADOS!$A:$H,8,FALSE)="","",VLOOKUP(A920,[6]PRIORIZADOS!$A:$H,8,FALSE)),"")</f>
        <v>Convivencia escolar</v>
      </c>
      <c r="I920" s="11" t="str">
        <f>IFERROR(IF(VLOOKUP(A920,[6]PRIORIZADOS!$A:$I,9,FALSE)="","",VLOOKUP(A920,[6]PRIORIZADOS!$A:$I,9,FALSE)),"")</f>
        <v>SEGUIMIENTO_Y_SUPERVISIÓN.</v>
      </c>
      <c r="J920" s="11" t="str">
        <f>IFERROR(IF(VLOOKUP(A920,[6]PRIORIZADOS!$A:$J,10,FALSE)="","",VLOOKUP(A920,[6]PRIORIZADOS!$A:$J,10,FALSE)),"")</f>
        <v xml:space="preserve">Verificar la implementación por parte de los colegios, de acciones realizadas para la prevención y atención de las situaciones de convivencia en el entorno escolar, según lo establecido en la Directiva 01 de 2022 del MEN. </v>
      </c>
      <c r="K920" s="11" t="str">
        <f>IFERROR(IF(VLOOKUP(A920,[6]PRIORIZADOS!$A:$K,11,FALSE)="","",VLOOKUP(A920,[6]PRIORIZADOS!$A:$K,11,FALSE)),"")</f>
        <v>JUAN AGUSTÍN RODRÍGUEZ ROZO</v>
      </c>
      <c r="L920" s="11" t="str">
        <f>IFERROR(IF(VLOOKUP(A920,[6]PRIORIZADOS!$A:$L,12,FALSE)="","",VLOOKUP(A920,[6]PRIORIZADOS!$A:$L,12,FALSE)),"")</f>
        <v>JENIFER CATHERINE LEÓN ACOSTA</v>
      </c>
      <c r="M920" s="71">
        <f>IFERROR(IF(VLOOKUP(A920,[6]PRIORIZADOS!$A:$M,13,FALSE)="","",VLOOKUP(A920,[6]PRIORIZADOS!$A:$M,13,FALSE)),"")</f>
        <v>45748</v>
      </c>
      <c r="N920" s="139">
        <f>IFERROR(IF(VLOOKUP(A920,[6]PRIORIZADOS!$A:$N,14,FALSE)="","",VLOOKUP(A920,[6]PRIORIZADOS!$A:$N,14,FALSE)),"")</f>
        <v>45748</v>
      </c>
      <c r="O920" s="139">
        <f>IFERROR(IF(VLOOKUP(A920,[6]PRIORIZADOS!$A:$O,15,FALSE)="","",VLOOKUP(A920,[6]PRIORIZADOS!$A:$O,15,FALSE)),"")</f>
        <v>45748</v>
      </c>
      <c r="P920" s="16" t="str">
        <f>IFERROR(IF(VLOOKUP(A920,[6]PRIORIZADOS!$A:$P,16,FALSE)="","",VLOOKUP(A920,[6]PRIORIZADOS!$A:$P,16,FALSE)),"")</f>
        <v>Visitas de evaluación con fines de seguimiento</v>
      </c>
      <c r="Q920" s="107" t="s">
        <v>163</v>
      </c>
      <c r="R920" s="90" t="str">
        <f>IFERROR(IF(VLOOKUP(A920,[6]PRIORIZADOS!$A:$R,18,FALSE)="","",VLOOKUP(A920,[6]PRIORIZADOS!$A:$R,18,FALSE)),"")</f>
        <v>No se realiza la verificación cuatrienal establecida en la Directiva 01 en relación con la consulta de inhabilidad por delito sexual</v>
      </c>
      <c r="S920" s="11" t="str">
        <f>IFERROR(IF(VLOOKUP(A920,[6]PRIORIZADOS!$A:$S,19,FALSE)="","",VLOOKUP(A920,[6]PRIORIZADOS!$A:$S,19,FALSE)),"")</f>
        <v>Por intermedio del área de Talento Humano de la DILE se eleva consulta sobre quien debe hacer la verificación de antecedentes de delitos sexuales ante la Oficina de Personal de la SED</v>
      </c>
      <c r="T920" s="70" t="str">
        <f>IFERROR(IF(VLOOKUP(A920,[6]PRIORIZADOS!$A:$T,20,FALSE)="","",VLOOKUP(A920,[6]PRIORIZADOS!$A:$T,20,FALSE)),"")</f>
        <v>Si</v>
      </c>
      <c r="U920" s="11" t="str">
        <f>IFERROR(IF(VLOOKUP(A920,[6]PRIORIZADOS!$A:$U,21,FALSE)="","",VLOOKUP(A920,[6]PRIORIZADOS!$A:$U,21,FALSE)),"")</f>
        <v>Analizar la respuesta de la consulta y comunicarle al rector para que proceda de conformidad</v>
      </c>
    </row>
    <row r="921" spans="1:21" s="1" customFormat="1" ht="72">
      <c r="A921" s="69">
        <f>IF([6]PRIORIZADOS!A287="","",[6]PRIORIZADOS!A287)</f>
        <v>862</v>
      </c>
      <c r="B921" s="70">
        <f>IFERROR(IF(VLOOKUP(A921,[6]PRIORIZADOS!$A:$B,2,FALSE)="","",VLOOKUP(A921,[6]PRIORIZADOS!$A:$B,2,FALSE)),"")</f>
        <v>33</v>
      </c>
      <c r="C921" s="11" t="str">
        <f>IFERROR(IF(VLOOKUP(A921,[6]PRIORIZADOS!$A:$C,3,FALSE)="","",VLOOKUP(A921,[6]PRIORIZADOS!$A:$C,3,FALSE)),"")</f>
        <v>ENGATIVÁ</v>
      </c>
      <c r="D921" s="11" t="str">
        <f>IFERROR(IF(VLOOKUP(A921,[6]PRIORIZADOS!$A:$D,4,FALSE)="","",VLOOKUP(A921,[6]PRIORIZADOS!$A:$D,4,FALSE)),"")</f>
        <v>OFICIAL.</v>
      </c>
      <c r="E921" s="11" t="str">
        <f>IFERROR(IF(VLOOKUP(A921,[6]PRIORIZADOS!$A:$E,5,FALSE)="","",VLOOKUP(A921,[6]PRIORIZADOS!$A:$E,5,FALSE)),"")</f>
        <v>EPBM</v>
      </c>
      <c r="F921" s="11" t="str">
        <f>IFERROR(IF(VLOOKUP(A921,[6]PRIORIZADOS!$A:$F,6,FALSE)="","",VLOOKUP(A921,[6]PRIORIZADOS!$A:$F,6,FALSE)),"")</f>
        <v>COLEGIO_LA_PALESTINA_IED</v>
      </c>
      <c r="G921" s="11" t="str">
        <f>IFERROR(IF(VLOOKUP(A921,[6]PRIORIZADOS!$A:$G,7,FALSE)="","",VLOOKUP(A921,[6]PRIORIZADOS!$A:$G,7,FALSE)),"")</f>
        <v>LA_PALESTINA</v>
      </c>
      <c r="H921" s="11" t="str">
        <f>IFERROR(IF(VLOOKUP(A921,[6]PRIORIZADOS!$A:$H,8,FALSE)="","",VLOOKUP(A921,[6]PRIORIZADOS!$A:$H,8,FALSE)),"")</f>
        <v>Convivencia escolar</v>
      </c>
      <c r="I921" s="11" t="str">
        <f>IFERROR(IF(VLOOKUP(A921,[6]PRIORIZADOS!$A:$I,9,FALSE)="","",VLOOKUP(A921,[6]PRIORIZADOS!$A:$I,9,FALSE)),"")</f>
        <v>SEGUIMIENTO_Y_SUPERVISIÓN.</v>
      </c>
      <c r="J921" s="11" t="str">
        <f>IFERROR(IF(VLOOKUP(A921,[6]PRIORIZADOS!$A:$J,10,FALSE)="","",VLOOKUP(A921,[6]PRIORIZADOS!$A:$J,10,FALSE)),"")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21" s="11" t="str">
        <f>IFERROR(IF(VLOOKUP(A921,[6]PRIORIZADOS!$A:$K,11,FALSE)="","",VLOOKUP(A921,[6]PRIORIZADOS!$A:$K,11,FALSE)),"")</f>
        <v>JUAN AGUSTÍN RODRÍGUEZ ROZO</v>
      </c>
      <c r="L921" s="11" t="str">
        <f>IFERROR(IF(VLOOKUP(A921,[6]PRIORIZADOS!$A:$L,12,FALSE)="","",VLOOKUP(A921,[6]PRIORIZADOS!$A:$L,12,FALSE)),"")</f>
        <v>JENIFER CATHERINE LEÓN ACOSTA</v>
      </c>
      <c r="M921" s="71">
        <f>IFERROR(IF(VLOOKUP(A921,[6]PRIORIZADOS!$A:$M,13,FALSE)="","",VLOOKUP(A921,[6]PRIORIZADOS!$A:$M,13,FALSE)),"")</f>
        <v>45748</v>
      </c>
      <c r="N921" s="139">
        <f>IFERROR(IF(VLOOKUP(A921,[6]PRIORIZADOS!$A:$N,14,FALSE)="","",VLOOKUP(A921,[6]PRIORIZADOS!$A:$N,14,FALSE)),"")</f>
        <v>45748</v>
      </c>
      <c r="O921" s="139">
        <f>IFERROR(IF(VLOOKUP(A921,[6]PRIORIZADOS!$A:$O,15,FALSE)="","",VLOOKUP(A921,[6]PRIORIZADOS!$A:$O,15,FALSE)),"")</f>
        <v>45748</v>
      </c>
      <c r="P921" s="16" t="str">
        <f>IFERROR(IF(VLOOKUP(A921,[6]PRIORIZADOS!$A:$P,16,FALSE)="","",VLOOKUP(A921,[6]PRIORIZADOS!$A:$P,16,FALSE)),"")</f>
        <v>Visitas de evaluación con fines de seguimiento</v>
      </c>
      <c r="Q921" s="107" t="s">
        <v>163</v>
      </c>
      <c r="R921" s="90" t="str">
        <f>IFERROR(IF(VLOOKUP(A921,[6]PRIORIZADOS!$A:$R,18,FALSE)="","",VLOOKUP(A921,[6]PRIORIZADOS!$A:$R,18,FALSE)),"")</f>
        <v>Presentaron dos PIAR diligenciados parcialmente</v>
      </c>
      <c r="S921" s="11" t="str">
        <f>IFERROR(IF(VLOOKUP(A921,[6]PRIORIZADOS!$A:$S,19,FALSE)="","",VLOOKUP(A921,[6]PRIORIZADOS!$A:$S,19,FALSE)),"")</f>
        <v>Orgaizar los PIAR, puesto que no tienen todos los documentos y seguimientos. Trabajar en el procedimiento para el transito entre los ciclos.</v>
      </c>
      <c r="T921" s="70" t="str">
        <f>IFERROR(IF(VLOOKUP(A921,[6]PRIORIZADOS!$A:$T,20,FALSE)="","",VLOOKUP(A921,[6]PRIORIZADOS!$A:$T,20,FALSE)),"")</f>
        <v>La entrega se realizará el 30 de mayo de 2025</v>
      </c>
      <c r="U921" s="11" t="str">
        <f>IFERROR(IF(VLOOKUP(A921,[6]PRIORIZADOS!$A:$U,21,FALSE)="","",VLOOKUP(A921,[6]PRIORIZADOS!$A:$U,21,FALSE)),"")</f>
        <v>Se programará visita de verificación según cronograma del PMI</v>
      </c>
    </row>
    <row r="922" spans="1:21" s="1" customFormat="1" ht="84">
      <c r="A922" s="69">
        <f>IF([6]PRIORIZADOS!A288="","",[6]PRIORIZADOS!A288)</f>
        <v>863</v>
      </c>
      <c r="B922" s="70">
        <f>IFERROR(IF(VLOOKUP(A922,[6]PRIORIZADOS!$A:$B,2,FALSE)="","",VLOOKUP(A922,[6]PRIORIZADOS!$A:$B,2,FALSE)),"")</f>
        <v>33</v>
      </c>
      <c r="C922" s="11" t="str">
        <f>IFERROR(IF(VLOOKUP(A922,[6]PRIORIZADOS!$A:$C,3,FALSE)="","",VLOOKUP(A922,[6]PRIORIZADOS!$A:$C,3,FALSE)),"")</f>
        <v>ENGATIVÁ</v>
      </c>
      <c r="D922" s="11" t="str">
        <f>IFERROR(IF(VLOOKUP(A922,[6]PRIORIZADOS!$A:$D,4,FALSE)="","",VLOOKUP(A922,[6]PRIORIZADOS!$A:$D,4,FALSE)),"")</f>
        <v>OFICIAL.</v>
      </c>
      <c r="E922" s="11" t="str">
        <f>IFERROR(IF(VLOOKUP(A922,[6]PRIORIZADOS!$A:$E,5,FALSE)="","",VLOOKUP(A922,[6]PRIORIZADOS!$A:$E,5,FALSE)),"")</f>
        <v>EPBM</v>
      </c>
      <c r="F922" s="11" t="str">
        <f>IFERROR(IF(VLOOKUP(A922,[6]PRIORIZADOS!$A:$F,6,FALSE)="","",VLOOKUP(A922,[6]PRIORIZADOS!$A:$F,6,FALSE)),"")</f>
        <v>COLEGIO_LA_PALESTINA_IED</v>
      </c>
      <c r="G922" s="11" t="str">
        <f>IFERROR(IF(VLOOKUP(A922,[6]PRIORIZADOS!$A:$G,7,FALSE)="","",VLOOKUP(A922,[6]PRIORIZADOS!$A:$G,7,FALSE)),"")</f>
        <v>LA_PALESTINA</v>
      </c>
      <c r="H922" s="11" t="str">
        <f>IFERROR(IF(VLOOKUP(A922,[6]PRIORIZADOS!$A:$H,8,FALSE)="","",VLOOKUP(A922,[6]PRIORIZADOS!$A:$H,8,FALSE)),"")</f>
        <v>Convivencia escolar</v>
      </c>
      <c r="I922" s="11" t="str">
        <f>IFERROR(IF(VLOOKUP(A922,[6]PRIORIZADOS!$A:$I,9,FALSE)="","",VLOOKUP(A922,[6]PRIORIZADOS!$A:$I,9,FALSE)),"")</f>
        <v>EVALUACIÓN_CON_FINES_DE_MEJORAMIENTO.</v>
      </c>
      <c r="J922" s="11" t="str">
        <f>IFERROR(IF(VLOOKUP(A922,[6]PRIORIZADOS!$A:$J,10,FALSE)="","",VLOOKUP(A922,[6]PRIORIZADOS!$A:$J,10,FALSE)),"")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22" s="11" t="str">
        <f>IFERROR(IF(VLOOKUP(A922,[6]PRIORIZADOS!$A:$K,11,FALSE)="","",VLOOKUP(A922,[6]PRIORIZADOS!$A:$K,11,FALSE)),"")</f>
        <v>JUAN AGUSTÍN RODRÍGUEZ ROZO</v>
      </c>
      <c r="L922" s="11" t="str">
        <f>IFERROR(IF(VLOOKUP(A922,[6]PRIORIZADOS!$A:$L,12,FALSE)="","",VLOOKUP(A922,[6]PRIORIZADOS!$A:$L,12,FALSE)),"")</f>
        <v>JENIFER CATHERINE LEÓN ACOSTA</v>
      </c>
      <c r="M922" s="71">
        <f>IFERROR(IF(VLOOKUP(A922,[6]PRIORIZADOS!$A:$M,13,FALSE)="","",VLOOKUP(A922,[6]PRIORIZADOS!$A:$M,13,FALSE)),"")</f>
        <v>45748</v>
      </c>
      <c r="N922" s="139">
        <f>IFERROR(IF(VLOOKUP(A922,[6]PRIORIZADOS!$A:$N,14,FALSE)="","",VLOOKUP(A922,[6]PRIORIZADOS!$A:$N,14,FALSE)),"")</f>
        <v>45748</v>
      </c>
      <c r="O922" s="139">
        <f>IFERROR(IF(VLOOKUP(A922,[6]PRIORIZADOS!$A:$O,15,FALSE)="","",VLOOKUP(A922,[6]PRIORIZADOS!$A:$O,15,FALSE)),"")</f>
        <v>45748</v>
      </c>
      <c r="P922" s="16" t="str">
        <f>IFERROR(IF(VLOOKUP(A922,[6]PRIORIZADOS!$A:$P,16,FALSE)="","",VLOOKUP(A922,[6]PRIORIZADOS!$A:$P,16,FALSE)),"")</f>
        <v>Visitas de evaluación con fines de mejoramiento</v>
      </c>
      <c r="Q922" s="107" t="s">
        <v>163</v>
      </c>
      <c r="R922" s="90" t="str">
        <f>IFERROR(IF(VLOOKUP(A922,[6]PRIORIZADOS!$A:$R,18,FALSE)="","",VLOOKUP(A922,[6]PRIORIZADOS!$A:$R,18,FALSE)),"")</f>
        <v>No aportaron evidencias sobre la elaboración participativa del Manual.</v>
      </c>
      <c r="S922" s="11" t="str">
        <f>IFERROR(IF(VLOOKUP(A922,[6]PRIORIZADOS!$A:$S,19,FALSE)="","",VLOOKUP(A922,[6]PRIORIZADOS!$A:$S,19,FALSE)),"")</f>
        <v xml:space="preserve">Entregar actas de reunion de padres, estudiantes y maestros que participaron en la actualizacion del manual de convivencia. </v>
      </c>
      <c r="T922" s="70" t="str">
        <f>IFERROR(IF(VLOOKUP(A922,[6]PRIORIZADOS!$A:$T,20,FALSE)="","",VLOOKUP(A922,[6]PRIORIZADOS!$A:$T,20,FALSE)),"")</f>
        <v>La entrega se realizará el 30 de mayo de 2025</v>
      </c>
      <c r="U922" s="11" t="str">
        <f>IFERROR(IF(VLOOKUP(A922,[6]PRIORIZADOS!$A:$U,21,FALSE)="","",VLOOKUP(A922,[6]PRIORIZADOS!$A:$U,21,FALSE)),"")</f>
        <v>Se programará visita de verificación según cronograma del PMI</v>
      </c>
    </row>
    <row r="923" spans="1:21" s="1" customFormat="1" ht="48">
      <c r="A923" s="69">
        <f>IF([6]PRIORIZADOS!A289="","",[6]PRIORIZADOS!A289)</f>
        <v>864</v>
      </c>
      <c r="B923" s="70">
        <f>IFERROR(IF(VLOOKUP(A923,[6]PRIORIZADOS!$A:$B,2,FALSE)="","",VLOOKUP(A923,[6]PRIORIZADOS!$A:$B,2,FALSE)),"")</f>
        <v>33</v>
      </c>
      <c r="C923" s="11" t="str">
        <f>IFERROR(IF(VLOOKUP(A923,[6]PRIORIZADOS!$A:$C,3,FALSE)="","",VLOOKUP(A923,[6]PRIORIZADOS!$A:$C,3,FALSE)),"")</f>
        <v>ENGATIVÁ</v>
      </c>
      <c r="D923" s="11" t="str">
        <f>IFERROR(IF(VLOOKUP(A923,[6]PRIORIZADOS!$A:$D,4,FALSE)="","",VLOOKUP(A923,[6]PRIORIZADOS!$A:$D,4,FALSE)),"")</f>
        <v>OFICIAL.</v>
      </c>
      <c r="E923" s="11" t="str">
        <f>IFERROR(IF(VLOOKUP(A923,[6]PRIORIZADOS!$A:$E,5,FALSE)="","",VLOOKUP(A923,[6]PRIORIZADOS!$A:$E,5,FALSE)),"")</f>
        <v>EPBM</v>
      </c>
      <c r="F923" s="11" t="str">
        <f>IFERROR(IF(VLOOKUP(A923,[6]PRIORIZADOS!$A:$F,6,FALSE)="","",VLOOKUP(A923,[6]PRIORIZADOS!$A:$F,6,FALSE)),"")</f>
        <v>COLEGIO_LA_PALESTINA_IED</v>
      </c>
      <c r="G923" s="11" t="str">
        <f>IFERROR(IF(VLOOKUP(A923,[6]PRIORIZADOS!$A:$G,7,FALSE)="","",VLOOKUP(A923,[6]PRIORIZADOS!$A:$G,7,FALSE)),"")</f>
        <v>LA_PALESTINA</v>
      </c>
      <c r="H923" s="11" t="str">
        <f>IFERROR(IF(VLOOKUP(A923,[6]PRIORIZADOS!$A:$H,8,FALSE)="","",VLOOKUP(A923,[6]PRIORIZADOS!$A:$H,8,FALSE)),"")</f>
        <v>Convivencia escolar</v>
      </c>
      <c r="I923" s="11" t="str">
        <f>IFERROR(IF(VLOOKUP(A923,[6]PRIORIZADOS!$A:$I,9,FALSE)="","",VLOOKUP(A923,[6]PRIORIZADOS!$A:$I,9,FALSE)),"")</f>
        <v>EVALUACIÓN_CON_FINES_DE_MEJORAMIENTO.</v>
      </c>
      <c r="J923" s="11" t="str">
        <f>IFERROR(IF(VLOOKUP(A923,[6]PRIORIZADOS!$A:$J,10,FALSE)="","",VLOOKUP(A923,[6]PRIORIZADOS!$A:$J,10,FALSE)),"")</f>
        <v>Revisar la actualización, socialización e implementación del Sistema Institucional de Evaluación de Estudiantes - SIEE, en articulación con la actualización del PEI y la normatividad vigente.</v>
      </c>
      <c r="K923" s="11" t="str">
        <f>IFERROR(IF(VLOOKUP(A923,[6]PRIORIZADOS!$A:$K,11,FALSE)="","",VLOOKUP(A923,[6]PRIORIZADOS!$A:$K,11,FALSE)),"")</f>
        <v>JUAN AGUSTÍN RODRÍGUEZ ROZO</v>
      </c>
      <c r="L923" s="11" t="str">
        <f>IFERROR(IF(VLOOKUP(A923,[6]PRIORIZADOS!$A:$L,12,FALSE)="","",VLOOKUP(A923,[6]PRIORIZADOS!$A:$L,12,FALSE)),"")</f>
        <v>JENIFER CATHERINE LEÓN ACOSTA</v>
      </c>
      <c r="M923" s="71">
        <f>IFERROR(IF(VLOOKUP(A923,[6]PRIORIZADOS!$A:$M,13,FALSE)="","",VLOOKUP(A923,[6]PRIORIZADOS!$A:$M,13,FALSE)),"")</f>
        <v>45748</v>
      </c>
      <c r="N923" s="139">
        <f>IFERROR(IF(VLOOKUP(A923,[6]PRIORIZADOS!$A:$N,14,FALSE)="","",VLOOKUP(A923,[6]PRIORIZADOS!$A:$N,14,FALSE)),"")</f>
        <v>45748</v>
      </c>
      <c r="O923" s="139">
        <f>IFERROR(IF(VLOOKUP(A923,[6]PRIORIZADOS!$A:$O,15,FALSE)="","",VLOOKUP(A923,[6]PRIORIZADOS!$A:$O,15,FALSE)),"")</f>
        <v>45748</v>
      </c>
      <c r="P923" s="16" t="str">
        <f>IFERROR(IF(VLOOKUP(A923,[6]PRIORIZADOS!$A:$P,16,FALSE)="","",VLOOKUP(A923,[6]PRIORIZADOS!$A:$P,16,FALSE)),"")</f>
        <v>Visitas de evaluación con fines de mejoramiento</v>
      </c>
      <c r="Q923" s="107" t="s">
        <v>163</v>
      </c>
      <c r="R923" s="90" t="str">
        <f>IFERROR(IF(VLOOKUP(A923,[6]PRIORIZADOS!$A:$R,18,FALSE)="","",VLOOKUP(A923,[6]PRIORIZADOS!$A:$R,18,FALSE)),"")</f>
        <v>Está planteado con los componentes establecidos en la regulación vigente e implementado</v>
      </c>
      <c r="S923" s="11" t="str">
        <f>IFERROR(IF(VLOOKUP(A923,[6]PRIORIZADOS!$A:$S,19,FALSE)="","",VLOOKUP(A923,[6]PRIORIZADOS!$A:$S,19,FALSE)),"")</f>
        <v>Continuarán la revisión en la comuidad educativa</v>
      </c>
      <c r="T923" s="70" t="str">
        <f>IFERROR(IF(VLOOKUP(A923,[6]PRIORIZADOS!$A:$T,20,FALSE)="","",VLOOKUP(A923,[6]PRIORIZADOS!$A:$T,20,FALSE)),"")</f>
        <v>No</v>
      </c>
      <c r="U923" s="11" t="str">
        <f>IFERROR(IF(VLOOKUP(A923,[6]PRIORIZADOS!$A:$U,21,FALSE)="","",VLOOKUP(A923,[6]PRIORIZADOS!$A:$U,21,FALSE)),"")</f>
        <v>No</v>
      </c>
    </row>
    <row r="924" spans="1:21" s="1" customFormat="1" ht="72">
      <c r="A924" s="69">
        <f>IF([6]PRIORIZADOS!A290="","",[6]PRIORIZADOS!A290)</f>
        <v>865</v>
      </c>
      <c r="B924" s="70">
        <f>IFERROR(IF(VLOOKUP(A924,[6]PRIORIZADOS!$A:$B,2,FALSE)="","",VLOOKUP(A924,[6]PRIORIZADOS!$A:$B,2,FALSE)),"")</f>
        <v>33</v>
      </c>
      <c r="C924" s="11" t="str">
        <f>IFERROR(IF(VLOOKUP(A924,[6]PRIORIZADOS!$A:$C,3,FALSE)="","",VLOOKUP(A924,[6]PRIORIZADOS!$A:$C,3,FALSE)),"")</f>
        <v>ENGATIVÁ</v>
      </c>
      <c r="D924" s="11" t="str">
        <f>IFERROR(IF(VLOOKUP(A924,[6]PRIORIZADOS!$A:$D,4,FALSE)="","",VLOOKUP(A924,[6]PRIORIZADOS!$A:$D,4,FALSE)),"")</f>
        <v>OFICIAL.</v>
      </c>
      <c r="E924" s="11" t="str">
        <f>IFERROR(IF(VLOOKUP(A924,[6]PRIORIZADOS!$A:$E,5,FALSE)="","",VLOOKUP(A924,[6]PRIORIZADOS!$A:$E,5,FALSE)),"")</f>
        <v>EPBM</v>
      </c>
      <c r="F924" s="11" t="str">
        <f>IFERROR(IF(VLOOKUP(A924,[6]PRIORIZADOS!$A:$F,6,FALSE)="","",VLOOKUP(A924,[6]PRIORIZADOS!$A:$F,6,FALSE)),"")</f>
        <v>COLEGIO_LA_PALESTINA_IED</v>
      </c>
      <c r="G924" s="11" t="str">
        <f>IFERROR(IF(VLOOKUP(A924,[6]PRIORIZADOS!$A:$G,7,FALSE)="","",VLOOKUP(A924,[6]PRIORIZADOS!$A:$G,7,FALSE)),"")</f>
        <v>LA_PALESTINA</v>
      </c>
      <c r="H924" s="11" t="str">
        <f>IFERROR(IF(VLOOKUP(A924,[6]PRIORIZADOS!$A:$H,8,FALSE)="","",VLOOKUP(A924,[6]PRIORIZADOS!$A:$H,8,FALSE)),"")</f>
        <v>Convivencia escolar</v>
      </c>
      <c r="I924" s="11" t="str">
        <f>IFERROR(IF(VLOOKUP(A924,[6]PRIORIZADOS!$A:$I,9,FALSE)="","",VLOOKUP(A924,[6]PRIORIZADOS!$A:$I,9,FALSE)),"")</f>
        <v>EVALUACIÓN_CON_FINES_DE_MEJORAMIENTO.</v>
      </c>
      <c r="J924" s="11" t="str">
        <f>IFERROR(IF(VLOOKUP(A924,[6]PRIORIZADOS!$A:$J,10,FALSE)="","",VLOOKUP(A924,[6]PRIORIZADOS!$A:$J,10,FALSE)),"")</f>
        <v>Revisar el calendario escolar, jornada escolar, la intensidad horaria mínima anual en cada nivel y las modificaciones que se realicen al mismo, de acuerdo con lo previsto en la normatividad vigente.</v>
      </c>
      <c r="K924" s="11" t="str">
        <f>IFERROR(IF(VLOOKUP(A924,[6]PRIORIZADOS!$A:$K,11,FALSE)="","",VLOOKUP(A924,[6]PRIORIZADOS!$A:$K,11,FALSE)),"")</f>
        <v>JUAN AGUSTÍN RODRÍGUEZ ROZO</v>
      </c>
      <c r="L924" s="11" t="str">
        <f>IFERROR(IF(VLOOKUP(A924,[6]PRIORIZADOS!$A:$L,12,FALSE)="","",VLOOKUP(A924,[6]PRIORIZADOS!$A:$L,12,FALSE)),"")</f>
        <v>JENIFER CATHERINE LEÓN ACOSTA</v>
      </c>
      <c r="M924" s="71">
        <f>IFERROR(IF(VLOOKUP(A924,[6]PRIORIZADOS!$A:$M,13,FALSE)="","",VLOOKUP(A924,[6]PRIORIZADOS!$A:$M,13,FALSE)),"")</f>
        <v>45748</v>
      </c>
      <c r="N924" s="139">
        <f>IFERROR(IF(VLOOKUP(A924,[6]PRIORIZADOS!$A:$N,14,FALSE)="","",VLOOKUP(A924,[6]PRIORIZADOS!$A:$N,14,FALSE)),"")</f>
        <v>45748</v>
      </c>
      <c r="O924" s="139">
        <f>IFERROR(IF(VLOOKUP(A924,[6]PRIORIZADOS!$A:$O,15,FALSE)="","",VLOOKUP(A924,[6]PRIORIZADOS!$A:$O,15,FALSE)),"")</f>
        <v>45748</v>
      </c>
      <c r="P924" s="16" t="str">
        <f>IFERROR(IF(VLOOKUP(A924,[6]PRIORIZADOS!$A:$P,16,FALSE)="","",VLOOKUP(A924,[6]PRIORIZADOS!$A:$P,16,FALSE)),"")</f>
        <v>Visitas de evaluación con fines de mejoramiento</v>
      </c>
      <c r="Q924" s="107" t="s">
        <v>163</v>
      </c>
      <c r="R924" s="90" t="str">
        <f>IFERROR(IF(VLOOKUP(A924,[6]PRIORIZADOS!$A:$R,18,FALSE)="","",VLOOKUP(A924,[6]PRIORIZADOS!$A:$R,18,FALSE)),"")</f>
        <v>La IED tiene jornada Unica y los docentes asumen jornada laboral de seis horas ingresando en horarios diferentes para lograr la atención de los estudiantes en su jornada escolar</v>
      </c>
      <c r="S924" s="11" t="str">
        <f>IFERROR(IF(VLOOKUP(A924,[6]PRIORIZADOS!$A:$S,19,FALSE)="","",VLOOKUP(A924,[6]PRIORIZADOS!$A:$S,19,FALSE)),"")</f>
        <v>Se hace necesrio que la Dirección de Educación Media y la Dirección de Colegios Distritales se pronuncien sobre la aplicación de la resolución N° 0277 de marzo 12 de 2025 en las IED de jornada única</v>
      </c>
      <c r="T924" s="70" t="str">
        <f>IFERROR(IF(VLOOKUP(A924,[6]PRIORIZADOS!$A:$T,20,FALSE)="","",VLOOKUP(A924,[6]PRIORIZADOS!$A:$T,20,FALSE)),"")</f>
        <v>No</v>
      </c>
      <c r="U924" s="11" t="str">
        <f>IFERROR(IF(VLOOKUP(A924,[6]PRIORIZADOS!$A:$U,21,FALSE)="","",VLOOKUP(A924,[6]PRIORIZADOS!$A:$U,21,FALSE)),"")</f>
        <v xml:space="preserve">Ver resultado de la mesa de trabajo que conformaron los rectores de todas las IED de jornada unica de Bogfotá </v>
      </c>
    </row>
    <row r="925" spans="1:21" s="1" customFormat="1" ht="48">
      <c r="A925" s="69">
        <f>IF([6]PRIORIZADOS!A291="","",[6]PRIORIZADOS!A291)</f>
        <v>866</v>
      </c>
      <c r="B925" s="70">
        <f>IFERROR(IF(VLOOKUP(A925,[6]PRIORIZADOS!$A:$B,2,FALSE)="","",VLOOKUP(A925,[6]PRIORIZADOS!$A:$B,2,FALSE)),"")</f>
        <v>33</v>
      </c>
      <c r="C925" s="11" t="str">
        <f>IFERROR(IF(VLOOKUP(A925,[6]PRIORIZADOS!$A:$C,3,FALSE)="","",VLOOKUP(A925,[6]PRIORIZADOS!$A:$C,3,FALSE)),"")</f>
        <v>ENGATIVÁ</v>
      </c>
      <c r="D925" s="11" t="str">
        <f>IFERROR(IF(VLOOKUP(A925,[6]PRIORIZADOS!$A:$D,4,FALSE)="","",VLOOKUP(A925,[6]PRIORIZADOS!$A:$D,4,FALSE)),"")</f>
        <v>OFICIAL.</v>
      </c>
      <c r="E925" s="11" t="str">
        <f>IFERROR(IF(VLOOKUP(A925,[6]PRIORIZADOS!$A:$E,5,FALSE)="","",VLOOKUP(A925,[6]PRIORIZADOS!$A:$E,5,FALSE)),"")</f>
        <v>EPBM</v>
      </c>
      <c r="F925" s="11" t="str">
        <f>IFERROR(IF(VLOOKUP(A925,[6]PRIORIZADOS!$A:$F,6,FALSE)="","",VLOOKUP(A925,[6]PRIORIZADOS!$A:$F,6,FALSE)),"")</f>
        <v>COLEGIO_LA_PALESTINA_IED</v>
      </c>
      <c r="G925" s="11" t="str">
        <f>IFERROR(IF(VLOOKUP(A925,[6]PRIORIZADOS!$A:$G,7,FALSE)="","",VLOOKUP(A925,[6]PRIORIZADOS!$A:$G,7,FALSE)),"")</f>
        <v>LA_PALESTINA</v>
      </c>
      <c r="H925" s="11" t="str">
        <f>IFERROR(IF(VLOOKUP(A925,[6]PRIORIZADOS!$A:$H,8,FALSE)="","",VLOOKUP(A925,[6]PRIORIZADOS!$A:$H,8,FALSE)),"")</f>
        <v>Convivencia escolar</v>
      </c>
      <c r="I925" s="11" t="str">
        <f>IFERROR(IF(VLOOKUP(A925,[6]PRIORIZADOS!$A:$I,9,FALSE)="","",VLOOKUP(A925,[6]PRIORIZADOS!$A:$I,9,FALSE)),"")</f>
        <v>EVALUACIÓN_CON_FINES_DE_MEJORAMIENTO.</v>
      </c>
      <c r="J925" s="11" t="str">
        <f>IFERROR(IF(VLOOKUP(A925,[6]PRIORIZADOS!$A:$J,10,FALSE)="","",VLOOKUP(A925,[6]PRIORIZADOS!$A:$J,10,FALSE)),"")</f>
        <v>Verificar el funcionamiento del Gobierno Escolar e instancias de participación con base en la información sobre conformación reportada por la institución educativa.</v>
      </c>
      <c r="K925" s="11" t="str">
        <f>IFERROR(IF(VLOOKUP(A925,[6]PRIORIZADOS!$A:$K,11,FALSE)="","",VLOOKUP(A925,[6]PRIORIZADOS!$A:$K,11,FALSE)),"")</f>
        <v>JUAN AGUSTÍN RODRÍGUEZ ROZO</v>
      </c>
      <c r="L925" s="11" t="str">
        <f>IFERROR(IF(VLOOKUP(A925,[6]PRIORIZADOS!$A:$L,12,FALSE)="","",VLOOKUP(A925,[6]PRIORIZADOS!$A:$L,12,FALSE)),"")</f>
        <v>JENIFER CATHERINE LEÓN ACOSTA</v>
      </c>
      <c r="M925" s="71">
        <f>IFERROR(IF(VLOOKUP(A925,[6]PRIORIZADOS!$A:$M,13,FALSE)="","",VLOOKUP(A925,[6]PRIORIZADOS!$A:$M,13,FALSE)),"")</f>
        <v>45748</v>
      </c>
      <c r="N925" s="139">
        <f>IFERROR(IF(VLOOKUP(A925,[6]PRIORIZADOS!$A:$N,14,FALSE)="","",VLOOKUP(A925,[6]PRIORIZADOS!$A:$N,14,FALSE)),"")</f>
        <v>45748</v>
      </c>
      <c r="O925" s="139">
        <f>IFERROR(IF(VLOOKUP(A925,[6]PRIORIZADOS!$A:$O,15,FALSE)="","",VLOOKUP(A925,[6]PRIORIZADOS!$A:$O,15,FALSE)),"")</f>
        <v>45748</v>
      </c>
      <c r="P925" s="16" t="str">
        <f>IFERROR(IF(VLOOKUP(A925,[6]PRIORIZADOS!$A:$P,16,FALSE)="","",VLOOKUP(A925,[6]PRIORIZADOS!$A:$P,16,FALSE)),"")</f>
        <v>Visitas de evaluación con fines de mejoramiento</v>
      </c>
      <c r="Q925" s="107" t="s">
        <v>163</v>
      </c>
      <c r="R925" s="90" t="str">
        <f>IFERROR(IF(VLOOKUP(A925,[6]PRIORIZADOS!$A:$R,18,FALSE)="","",VLOOKUP(A925,[6]PRIORIZADOS!$A:$R,18,FALSE)),"")</f>
        <v>Se encuenra conformado y entrando en funcionamiento, dado el avance del año lectivo</v>
      </c>
      <c r="S925" s="11" t="str">
        <f>IFERROR(IF(VLOOKUP(A925,[6]PRIORIZADOS!$A:$S,19,FALSE)="","",VLOOKUP(A925,[6]PRIORIZADOS!$A:$S,19,FALSE)),"")</f>
        <v>Es necesario que culminen los reglamentos internos de los comnités</v>
      </c>
      <c r="T925" s="70" t="str">
        <f>IFERROR(IF(VLOOKUP(A925,[6]PRIORIZADOS!$A:$T,20,FALSE)="","",VLOOKUP(A925,[6]PRIORIZADOS!$A:$T,20,FALSE)),"")</f>
        <v>No</v>
      </c>
      <c r="U925" s="11" t="str">
        <f>IFERROR(IF(VLOOKUP(A925,[6]PRIORIZADOS!$A:$U,21,FALSE)="","",VLOOKUP(A925,[6]PRIORIZADOS!$A:$U,21,FALSE)),"")</f>
        <v/>
      </c>
    </row>
    <row r="926" spans="1:21" s="1" customFormat="1" ht="48">
      <c r="A926" s="69">
        <f>IF([6]PRIORIZADOS!A292="","",[6]PRIORIZADOS!A292)</f>
        <v>867</v>
      </c>
      <c r="B926" s="70">
        <f>IFERROR(IF(VLOOKUP(A926,[6]PRIORIZADOS!$A:$B,2,FALSE)="","",VLOOKUP(A926,[6]PRIORIZADOS!$A:$B,2,FALSE)),"")</f>
        <v>34</v>
      </c>
      <c r="C926" s="11" t="str">
        <f>IFERROR(IF(VLOOKUP(A926,[6]PRIORIZADOS!$A:$C,3,FALSE)="","",VLOOKUP(A926,[6]PRIORIZADOS!$A:$C,3,FALSE)),"")</f>
        <v>ENGATIVÁ</v>
      </c>
      <c r="D926" s="11" t="str">
        <f>IFERROR(IF(VLOOKUP(A926,[6]PRIORIZADOS!$A:$D,4,FALSE)="","",VLOOKUP(A926,[6]PRIORIZADOS!$A:$D,4,FALSE)),"")</f>
        <v>OFICIAL.</v>
      </c>
      <c r="E926" s="11" t="str">
        <f>IFERROR(IF(VLOOKUP(A926,[6]PRIORIZADOS!$A:$E,5,FALSE)="","",VLOOKUP(A926,[6]PRIORIZADOS!$A:$E,5,FALSE)),"")</f>
        <v>EPBM</v>
      </c>
      <c r="F926" s="11" t="str">
        <f>IFERROR(IF(VLOOKUP(A926,[6]PRIORIZADOS!$A:$F,6,FALSE)="","",VLOOKUP(A926,[6]PRIORIZADOS!$A:$F,6,FALSE)),"")</f>
        <v>COLEGIO_NACIONES_UNIDAS_IED</v>
      </c>
      <c r="G926" s="11" t="str">
        <f>IFERROR(IF(VLOOKUP(A926,[6]PRIORIZADOS!$A:$G,7,FALSE)="","",VLOOKUP(A926,[6]PRIORIZADOS!$A:$G,7,FALSE)),"")</f>
        <v>NACIONES_UNIDAS</v>
      </c>
      <c r="H926" s="11" t="str">
        <f>IFERROR(IF(VLOOKUP(A926,[6]PRIORIZADOS!$A:$H,8,FALSE)="","",VLOOKUP(A926,[6]PRIORIZADOS!$A:$H,8,FALSE)),"")</f>
        <v>Convivencia escolar</v>
      </c>
      <c r="I926" s="11" t="str">
        <f>IFERROR(IF(VLOOKUP(A926,[6]PRIORIZADOS!$A:$I,9,FALSE)="","",VLOOKUP(A926,[6]PRIORIZADOS!$A:$I,9,FALSE)),"")</f>
        <v>SEGUIMIENTO_Y_SUPERVISIÓN.</v>
      </c>
      <c r="J926" s="11" t="str">
        <f>IFERROR(IF(VLOOKUP(A926,[6]PRIORIZADOS!$A:$J,10,FALSE)="","",VLOOKUP(A926,[6]PRIORIZADOS!$A:$J,10,FALSE)),"")</f>
        <v xml:space="preserve">Verificar la implementación por parte de los colegios, de acciones realizadas para la prevención y atención de las situaciones de convivencia en el entorno escolar, según lo establecido en la Directiva 01 de 2022 del MEN. </v>
      </c>
      <c r="K926" s="11" t="str">
        <f>IFERROR(IF(VLOOKUP(A926,[6]PRIORIZADOS!$A:$K,11,FALSE)="","",VLOOKUP(A926,[6]PRIORIZADOS!$A:$K,11,FALSE)),"")</f>
        <v>JAIME HUMBERTO RAMÍREZ LLANOS</v>
      </c>
      <c r="L926" s="11" t="str">
        <f>IFERROR(IF(VLOOKUP(A926,[6]PRIORIZADOS!$A:$L,12,FALSE)="","",VLOOKUP(A926,[6]PRIORIZADOS!$A:$L,12,FALSE)),"")</f>
        <v>JUAN AGUSTÍN RODRÍGUEZ ROZO</v>
      </c>
      <c r="M926" s="71">
        <f>IFERROR(IF(VLOOKUP(A926,[6]PRIORIZADOS!$A:$M,13,FALSE)="","",VLOOKUP(A926,[6]PRIORIZADOS!$A:$M,13,FALSE)),"")</f>
        <v>45904</v>
      </c>
      <c r="N926" s="139">
        <f>IFERROR(IF(VLOOKUP(A926,[6]PRIORIZADOS!$A:$N,14,FALSE)="","",VLOOKUP(A926,[6]PRIORIZADOS!$A:$N,14,FALSE)),"")</f>
        <v>45915</v>
      </c>
      <c r="O926" s="139">
        <f>IFERROR(IF(VLOOKUP(A926,[6]PRIORIZADOS!$A:$O,15,FALSE)="","",VLOOKUP(A926,[6]PRIORIZADOS!$A:$O,15,FALSE)),"")</f>
        <v>45915</v>
      </c>
      <c r="P926" s="16" t="str">
        <f>IFERROR(IF(VLOOKUP(A926,[6]PRIORIZADOS!$A:$P,16,FALSE)="","",VLOOKUP(A926,[6]PRIORIZADOS!$A:$P,16,FALSE)),"")</f>
        <v>Visitas de evaluación con fines de seguimiento</v>
      </c>
      <c r="Q926" s="154" t="s">
        <v>164</v>
      </c>
      <c r="R926" s="90" t="str">
        <f>IFERROR(IF(VLOOKUP(A926,[6]PRIORIZADOS!$A:$R,18,FALSE)="","",VLOOKUP(A926,[6]PRIORIZADOS!$A:$R,18,FALSE)),"")</f>
        <v>En espera circular de la SED , Sobre la aplicación de la directiva en establecimientos públicos.</v>
      </c>
      <c r="S926" s="11" t="str">
        <f>IFERROR(IF(VLOOKUP(A926,[6]PRIORIZADOS!$A:$S,19,FALSE)="","",VLOOKUP(A926,[6]PRIORIZADOS!$A:$S,19,FALSE)),"")</f>
        <v>Hacer seguimiento a publicación de circular de la SED</v>
      </c>
      <c r="T926" s="70" t="str">
        <f>IFERROR(IF(VLOOKUP(A926,[6]PRIORIZADOS!$A:$T,20,FALSE)="","",VLOOKUP(A926,[6]PRIORIZADOS!$A:$T,20,FALSE)),"")</f>
        <v>No</v>
      </c>
      <c r="U926" s="11" t="str">
        <f>IFERROR(IF(VLOOKUP(A926,[6]PRIORIZADOS!$A:$U,21,FALSE)="","",VLOOKUP(A926,[6]PRIORIZADOS!$A:$U,21,FALSE)),"")</f>
        <v>S.E.D. no ha aclarado responsable.Pendiente verficación 2026</v>
      </c>
    </row>
    <row r="927" spans="1:21" s="1" customFormat="1" ht="72">
      <c r="A927" s="69">
        <f>IF([6]PRIORIZADOS!A293="","",[6]PRIORIZADOS!A293)</f>
        <v>868</v>
      </c>
      <c r="B927" s="70">
        <f>IFERROR(IF(VLOOKUP(A927,[6]PRIORIZADOS!$A:$B,2,FALSE)="","",VLOOKUP(A927,[6]PRIORIZADOS!$A:$B,2,FALSE)),"")</f>
        <v>34</v>
      </c>
      <c r="C927" s="11" t="str">
        <f>IFERROR(IF(VLOOKUP(A927,[6]PRIORIZADOS!$A:$C,3,FALSE)="","",VLOOKUP(A927,[6]PRIORIZADOS!$A:$C,3,FALSE)),"")</f>
        <v>ENGATIVÁ</v>
      </c>
      <c r="D927" s="11" t="str">
        <f>IFERROR(IF(VLOOKUP(A927,[6]PRIORIZADOS!$A:$D,4,FALSE)="","",VLOOKUP(A927,[6]PRIORIZADOS!$A:$D,4,FALSE)),"")</f>
        <v>OFICIAL.</v>
      </c>
      <c r="E927" s="11" t="str">
        <f>IFERROR(IF(VLOOKUP(A927,[6]PRIORIZADOS!$A:$E,5,FALSE)="","",VLOOKUP(A927,[6]PRIORIZADOS!$A:$E,5,FALSE)),"")</f>
        <v>EPBM</v>
      </c>
      <c r="F927" s="11" t="str">
        <f>IFERROR(IF(VLOOKUP(A927,[6]PRIORIZADOS!$A:$F,6,FALSE)="","",VLOOKUP(A927,[6]PRIORIZADOS!$A:$F,6,FALSE)),"")</f>
        <v>COLEGIO_NACIONES_UNIDAS_IED</v>
      </c>
      <c r="G927" s="11" t="str">
        <f>IFERROR(IF(VLOOKUP(A927,[6]PRIORIZADOS!$A:$G,7,FALSE)="","",VLOOKUP(A927,[6]PRIORIZADOS!$A:$G,7,FALSE)),"")</f>
        <v>NACIONES_UNIDAS</v>
      </c>
      <c r="H927" s="11" t="str">
        <f>IFERROR(IF(VLOOKUP(A927,[6]PRIORIZADOS!$A:$H,8,FALSE)="","",VLOOKUP(A927,[6]PRIORIZADOS!$A:$H,8,FALSE)),"")</f>
        <v>Convivencia escolar</v>
      </c>
      <c r="I927" s="11" t="str">
        <f>IFERROR(IF(VLOOKUP(A927,[6]PRIORIZADOS!$A:$I,9,FALSE)="","",VLOOKUP(A927,[6]PRIORIZADOS!$A:$I,9,FALSE)),"")</f>
        <v>SEGUIMIENTO_Y_SUPERVISIÓN.</v>
      </c>
      <c r="J927" s="11" t="str">
        <f>IFERROR(IF(VLOOKUP(A927,[6]PRIORIZADOS!$A:$J,10,FALSE)="","",VLOOKUP(A927,[6]PRIORIZADOS!$A:$J,10,FALSE)),"")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27" s="11" t="str">
        <f>IFERROR(IF(VLOOKUP(A927,[6]PRIORIZADOS!$A:$K,11,FALSE)="","",VLOOKUP(A927,[6]PRIORIZADOS!$A:$K,11,FALSE)),"")</f>
        <v>JAIME HUMBERTO RAMÍREZ LLANOS</v>
      </c>
      <c r="L927" s="11" t="str">
        <f>IFERROR(IF(VLOOKUP(A927,[6]PRIORIZADOS!$A:$L,12,FALSE)="","",VLOOKUP(A927,[6]PRIORIZADOS!$A:$L,12,FALSE)),"")</f>
        <v>JUAN AGUSTÍN RODRÍGUEZ ROZO</v>
      </c>
      <c r="M927" s="71">
        <f>IFERROR(IF(VLOOKUP(A927,[6]PRIORIZADOS!$A:$M,13,FALSE)="","",VLOOKUP(A927,[6]PRIORIZADOS!$A:$M,13,FALSE)),"")</f>
        <v>45904</v>
      </c>
      <c r="N927" s="139">
        <f>IFERROR(IF(VLOOKUP(A927,[6]PRIORIZADOS!$A:$N,14,FALSE)="","",VLOOKUP(A927,[6]PRIORIZADOS!$A:$N,14,FALSE)),"")</f>
        <v>45915</v>
      </c>
      <c r="O927" s="139">
        <f>IFERROR(IF(VLOOKUP(A927,[6]PRIORIZADOS!$A:$O,15,FALSE)="","",VLOOKUP(A927,[6]PRIORIZADOS!$A:$O,15,FALSE)),"")</f>
        <v>45915</v>
      </c>
      <c r="P927" s="16" t="str">
        <f>IFERROR(IF(VLOOKUP(A927,[6]PRIORIZADOS!$A:$P,16,FALSE)="","",VLOOKUP(A927,[6]PRIORIZADOS!$A:$P,16,FALSE)),"")</f>
        <v>Visitas de evaluación con fines de seguimiento</v>
      </c>
      <c r="Q927" s="154" t="s">
        <v>164</v>
      </c>
      <c r="R927" s="90" t="str">
        <f>IFERROR(IF(VLOOKUP(A927,[6]PRIORIZADOS!$A:$R,18,FALSE)="","",VLOOKUP(A927,[6]PRIORIZADOS!$A:$R,18,FALSE)),"")</f>
        <v>Se pudo evidenciar un debido registro y seguimiento a 41 estudiantes con PIAR en la institución</v>
      </c>
      <c r="S927" s="11" t="str">
        <f>IFERROR(IF(VLOOKUP(A927,[6]PRIORIZADOS!$A:$S,19,FALSE)="","",VLOOKUP(A927,[6]PRIORIZADOS!$A:$S,19,FALSE)),"")</f>
        <v>Los PIAR deben estar firmados por los acudientes en el anexo uno</v>
      </c>
      <c r="T927" s="70" t="str">
        <f>IFERROR(IF(VLOOKUP(A927,[6]PRIORIZADOS!$A:$T,20,FALSE)="","",VLOOKUP(A927,[6]PRIORIZADOS!$A:$T,20,FALSE)),"")</f>
        <v>Si</v>
      </c>
      <c r="U927" s="11" t="str">
        <f>IFERROR(IF(VLOOKUP(A927,[6]PRIORIZADOS!$A:$U,21,FALSE)="","",VLOOKUP(A927,[6]PRIORIZADOS!$A:$U,21,FALSE)),"")</f>
        <v>Se espera radicación de plan de mejora para verificar la subsanación debida. Pendiente verficación 2026</v>
      </c>
    </row>
    <row r="928" spans="1:21" s="1" customFormat="1" ht="84">
      <c r="A928" s="69">
        <f>IF([6]PRIORIZADOS!A294="","",[6]PRIORIZADOS!A294)</f>
        <v>869</v>
      </c>
      <c r="B928" s="70">
        <f>IFERROR(IF(VLOOKUP(A928,[6]PRIORIZADOS!$A:$B,2,FALSE)="","",VLOOKUP(A928,[6]PRIORIZADOS!$A:$B,2,FALSE)),"")</f>
        <v>34</v>
      </c>
      <c r="C928" s="11" t="str">
        <f>IFERROR(IF(VLOOKUP(A928,[6]PRIORIZADOS!$A:$C,3,FALSE)="","",VLOOKUP(A928,[6]PRIORIZADOS!$A:$C,3,FALSE)),"")</f>
        <v>ENGATIVÁ</v>
      </c>
      <c r="D928" s="11" t="str">
        <f>IFERROR(IF(VLOOKUP(A928,[6]PRIORIZADOS!$A:$D,4,FALSE)="","",VLOOKUP(A928,[6]PRIORIZADOS!$A:$D,4,FALSE)),"")</f>
        <v>OFICIAL.</v>
      </c>
      <c r="E928" s="11" t="str">
        <f>IFERROR(IF(VLOOKUP(A928,[6]PRIORIZADOS!$A:$E,5,FALSE)="","",VLOOKUP(A928,[6]PRIORIZADOS!$A:$E,5,FALSE)),"")</f>
        <v>EPBM</v>
      </c>
      <c r="F928" s="11" t="str">
        <f>IFERROR(IF(VLOOKUP(A928,[6]PRIORIZADOS!$A:$F,6,FALSE)="","",VLOOKUP(A928,[6]PRIORIZADOS!$A:$F,6,FALSE)),"")</f>
        <v>COLEGIO_NACIONES_UNIDAS_IED</v>
      </c>
      <c r="G928" s="11" t="str">
        <f>IFERROR(IF(VLOOKUP(A928,[6]PRIORIZADOS!$A:$G,7,FALSE)="","",VLOOKUP(A928,[6]PRIORIZADOS!$A:$G,7,FALSE)),"")</f>
        <v>NACIONES_UNIDAS</v>
      </c>
      <c r="H928" s="11" t="str">
        <f>IFERROR(IF(VLOOKUP(A928,[6]PRIORIZADOS!$A:$H,8,FALSE)="","",VLOOKUP(A928,[6]PRIORIZADOS!$A:$H,8,FALSE)),"")</f>
        <v>Convivencia escolar</v>
      </c>
      <c r="I928" s="11" t="str">
        <f>IFERROR(IF(VLOOKUP(A928,[6]PRIORIZADOS!$A:$I,9,FALSE)="","",VLOOKUP(A928,[6]PRIORIZADOS!$A:$I,9,FALSE)),"")</f>
        <v>EVALUACIÓN_CON_FINES_DE_MEJORAMIENTO.</v>
      </c>
      <c r="J928" s="11" t="str">
        <f>IFERROR(IF(VLOOKUP(A928,[6]PRIORIZADOS!$A:$J,10,FALSE)="","",VLOOKUP(A928,[6]PRIORIZADOS!$A:$J,10,FALSE)),"")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28" s="11" t="str">
        <f>IFERROR(IF(VLOOKUP(A928,[6]PRIORIZADOS!$A:$K,11,FALSE)="","",VLOOKUP(A928,[6]PRIORIZADOS!$A:$K,11,FALSE)),"")</f>
        <v>JAIME HUMBERTO RAMÍREZ LLANOS</v>
      </c>
      <c r="L928" s="11" t="str">
        <f>IFERROR(IF(VLOOKUP(A928,[6]PRIORIZADOS!$A:$L,12,FALSE)="","",VLOOKUP(A928,[6]PRIORIZADOS!$A:$L,12,FALSE)),"")</f>
        <v>JUAN AGUSTÍN RODRÍGUEZ ROZO</v>
      </c>
      <c r="M928" s="71">
        <f>IFERROR(IF(VLOOKUP(A928,[6]PRIORIZADOS!$A:$M,13,FALSE)="","",VLOOKUP(A928,[6]PRIORIZADOS!$A:$M,13,FALSE)),"")</f>
        <v>45904</v>
      </c>
      <c r="N928" s="139">
        <f>IFERROR(IF(VLOOKUP(A928,[6]PRIORIZADOS!$A:$N,14,FALSE)="","",VLOOKUP(A928,[6]PRIORIZADOS!$A:$N,14,FALSE)),"")</f>
        <v>45915</v>
      </c>
      <c r="O928" s="139">
        <f>IFERROR(IF(VLOOKUP(A928,[6]PRIORIZADOS!$A:$O,15,FALSE)="","",VLOOKUP(A928,[6]PRIORIZADOS!$A:$O,15,FALSE)),"")</f>
        <v>45915</v>
      </c>
      <c r="P928" s="16" t="str">
        <f>IFERROR(IF(VLOOKUP(A928,[6]PRIORIZADOS!$A:$P,16,FALSE)="","",VLOOKUP(A928,[6]PRIORIZADOS!$A:$P,16,FALSE)),"")</f>
        <v>Visitas de evaluación con fines de mejoramiento</v>
      </c>
      <c r="Q928" s="2" t="s">
        <v>164</v>
      </c>
      <c r="R928" s="90" t="str">
        <f>IFERROR(IF(VLOOKUP(A928,[6]PRIORIZADOS!$A:$R,18,FALSE)="","",VLOOKUP(A928,[6]PRIORIZADOS!$A:$R,18,FALSE)),"")</f>
        <v>Hecha la verificación del Manual de convivencia se pudo evidenciar el cumplimiento de las normas básicas establecidas en la Ley 1620 del 2013</v>
      </c>
      <c r="S928" s="11" t="str">
        <f>IFERROR(IF(VLOOKUP(A928,[6]PRIORIZADOS!$A:$S,19,FALSE)="","",VLOOKUP(A928,[6]PRIORIZADOS!$A:$S,19,FALSE)),"")</f>
        <v>NO APLICA</v>
      </c>
      <c r="T928" s="70" t="str">
        <f>IFERROR(IF(VLOOKUP(A928,[6]PRIORIZADOS!$A:$T,20,FALSE)="","",VLOOKUP(A928,[6]PRIORIZADOS!$A:$T,20,FALSE)),"")</f>
        <v>No</v>
      </c>
      <c r="U928" s="11" t="str">
        <f>IFERROR(IF(VLOOKUP(A928,[6]PRIORIZADOS!$A:$U,21,FALSE)="","",VLOOKUP(A928,[6]PRIORIZADOS!$A:$U,21,FALSE)),"")</f>
        <v/>
      </c>
    </row>
    <row r="929" spans="1:21" s="1" customFormat="1" ht="48">
      <c r="A929" s="69">
        <f>IF([6]PRIORIZADOS!A295="","",[6]PRIORIZADOS!A295)</f>
        <v>870</v>
      </c>
      <c r="B929" s="70">
        <f>IFERROR(IF(VLOOKUP(A929,[6]PRIORIZADOS!$A:$B,2,FALSE)="","",VLOOKUP(A929,[6]PRIORIZADOS!$A:$B,2,FALSE)),"")</f>
        <v>34</v>
      </c>
      <c r="C929" s="11" t="str">
        <f>IFERROR(IF(VLOOKUP(A929,[6]PRIORIZADOS!$A:$C,3,FALSE)="","",VLOOKUP(A929,[6]PRIORIZADOS!$A:$C,3,FALSE)),"")</f>
        <v>ENGATIVÁ</v>
      </c>
      <c r="D929" s="11" t="str">
        <f>IFERROR(IF(VLOOKUP(A929,[6]PRIORIZADOS!$A:$D,4,FALSE)="","",VLOOKUP(A929,[6]PRIORIZADOS!$A:$D,4,FALSE)),"")</f>
        <v>OFICIAL.</v>
      </c>
      <c r="E929" s="11" t="str">
        <f>IFERROR(IF(VLOOKUP(A929,[6]PRIORIZADOS!$A:$E,5,FALSE)="","",VLOOKUP(A929,[6]PRIORIZADOS!$A:$E,5,FALSE)),"")</f>
        <v>EPBM</v>
      </c>
      <c r="F929" s="11" t="str">
        <f>IFERROR(IF(VLOOKUP(A929,[6]PRIORIZADOS!$A:$F,6,FALSE)="","",VLOOKUP(A929,[6]PRIORIZADOS!$A:$F,6,FALSE)),"")</f>
        <v>COLEGIO_NACIONES_UNIDAS_IED</v>
      </c>
      <c r="G929" s="11" t="str">
        <f>IFERROR(IF(VLOOKUP(A929,[6]PRIORIZADOS!$A:$G,7,FALSE)="","",VLOOKUP(A929,[6]PRIORIZADOS!$A:$G,7,FALSE)),"")</f>
        <v>NACIONES_UNIDAS</v>
      </c>
      <c r="H929" s="11" t="str">
        <f>IFERROR(IF(VLOOKUP(A929,[6]PRIORIZADOS!$A:$H,8,FALSE)="","",VLOOKUP(A929,[6]PRIORIZADOS!$A:$H,8,FALSE)),"")</f>
        <v>Convivencia escolar</v>
      </c>
      <c r="I929" s="11" t="str">
        <f>IFERROR(IF(VLOOKUP(A929,[6]PRIORIZADOS!$A:$I,9,FALSE)="","",VLOOKUP(A929,[6]PRIORIZADOS!$A:$I,9,FALSE)),"")</f>
        <v>EVALUACIÓN_CON_FINES_DE_MEJORAMIENTO.</v>
      </c>
      <c r="J929" s="11" t="str">
        <f>IFERROR(IF(VLOOKUP(A929,[6]PRIORIZADOS!$A:$J,10,FALSE)="","",VLOOKUP(A929,[6]PRIORIZADOS!$A:$J,10,FALSE)),"")</f>
        <v>Revisar la actualización, socialización e implementación del Sistema Institucional de Evaluación de Estudiantes - SIEE, en articulación con la actualización del PEI y la normatividad vigente.</v>
      </c>
      <c r="K929" s="11" t="str">
        <f>IFERROR(IF(VLOOKUP(A929,[6]PRIORIZADOS!$A:$K,11,FALSE)="","",VLOOKUP(A929,[6]PRIORIZADOS!$A:$K,11,FALSE)),"")</f>
        <v>JAIME HUMBERTO RAMÍREZ LLANOS</v>
      </c>
      <c r="L929" s="11" t="str">
        <f>IFERROR(IF(VLOOKUP(A929,[6]PRIORIZADOS!$A:$L,12,FALSE)="","",VLOOKUP(A929,[6]PRIORIZADOS!$A:$L,12,FALSE)),"")</f>
        <v>JUAN AGUSTÍN RODRÍGUEZ ROZO</v>
      </c>
      <c r="M929" s="71">
        <f>IFERROR(IF(VLOOKUP(A929,[6]PRIORIZADOS!$A:$M,13,FALSE)="","",VLOOKUP(A929,[6]PRIORIZADOS!$A:$M,13,FALSE)),"")</f>
        <v>45904</v>
      </c>
      <c r="N929" s="139">
        <f>IFERROR(IF(VLOOKUP(A929,[6]PRIORIZADOS!$A:$N,14,FALSE)="","",VLOOKUP(A929,[6]PRIORIZADOS!$A:$N,14,FALSE)),"")</f>
        <v>45915</v>
      </c>
      <c r="O929" s="139">
        <f>IFERROR(IF(VLOOKUP(A929,[6]PRIORIZADOS!$A:$O,15,FALSE)="","",VLOOKUP(A929,[6]PRIORIZADOS!$A:$O,15,FALSE)),"")</f>
        <v>45915</v>
      </c>
      <c r="P929" s="16" t="str">
        <f>IFERROR(IF(VLOOKUP(A929,[6]PRIORIZADOS!$A:$P,16,FALSE)="","",VLOOKUP(A929,[6]PRIORIZADOS!$A:$P,16,FALSE)),"")</f>
        <v>Visitas de evaluación con fines de mejoramiento</v>
      </c>
      <c r="Q929" s="154" t="s">
        <v>164</v>
      </c>
      <c r="R929" s="90" t="str">
        <f>IFERROR(IF(VLOOKUP(A929,[6]PRIORIZADOS!$A:$R,18,FALSE)="","",VLOOKUP(A929,[6]PRIORIZADOS!$A:$R,18,FALSE)),"")</f>
        <v>Verificada planilla del grado 7-01 se evidencia su debida aplicación</v>
      </c>
      <c r="S929" s="11" t="str">
        <f>IFERROR(IF(VLOOKUP(A929,[6]PRIORIZADOS!$A:$S,19,FALSE)="","",VLOOKUP(A929,[6]PRIORIZADOS!$A:$S,19,FALSE)),"")</f>
        <v>Se sugiere continuar aplicación</v>
      </c>
      <c r="T929" s="70" t="str">
        <f>IFERROR(IF(VLOOKUP(A929,[6]PRIORIZADOS!$A:$T,20,FALSE)="","",VLOOKUP(A929,[6]PRIORIZADOS!$A:$T,20,FALSE)),"")</f>
        <v>No</v>
      </c>
      <c r="U929" s="11" t="str">
        <f>IFERROR(IF(VLOOKUP(A929,[6]PRIORIZADOS!$A:$U,21,FALSE)="","",VLOOKUP(A929,[6]PRIORIZADOS!$A:$U,21,FALSE)),"")</f>
        <v/>
      </c>
    </row>
    <row r="930" spans="1:21" s="1" customFormat="1" ht="48">
      <c r="A930" s="69">
        <f>IF([6]PRIORIZADOS!A296="","",[6]PRIORIZADOS!A296)</f>
        <v>871</v>
      </c>
      <c r="B930" s="70">
        <f>IFERROR(IF(VLOOKUP(A930,[6]PRIORIZADOS!$A:$B,2,FALSE)="","",VLOOKUP(A930,[6]PRIORIZADOS!$A:$B,2,FALSE)),"")</f>
        <v>34</v>
      </c>
      <c r="C930" s="11" t="str">
        <f>IFERROR(IF(VLOOKUP(A930,[6]PRIORIZADOS!$A:$C,3,FALSE)="","",VLOOKUP(A930,[6]PRIORIZADOS!$A:$C,3,FALSE)),"")</f>
        <v>ENGATIVÁ</v>
      </c>
      <c r="D930" s="11" t="str">
        <f>IFERROR(IF(VLOOKUP(A930,[6]PRIORIZADOS!$A:$D,4,FALSE)="","",VLOOKUP(A930,[6]PRIORIZADOS!$A:$D,4,FALSE)),"")</f>
        <v>OFICIAL.</v>
      </c>
      <c r="E930" s="11" t="str">
        <f>IFERROR(IF(VLOOKUP(A930,[6]PRIORIZADOS!$A:$E,5,FALSE)="","",VLOOKUP(A930,[6]PRIORIZADOS!$A:$E,5,FALSE)),"")</f>
        <v>EPBM</v>
      </c>
      <c r="F930" s="11" t="str">
        <f>IFERROR(IF(VLOOKUP(A930,[6]PRIORIZADOS!$A:$F,6,FALSE)="","",VLOOKUP(A930,[6]PRIORIZADOS!$A:$F,6,FALSE)),"")</f>
        <v>COLEGIO_NACIONES_UNIDAS_IED</v>
      </c>
      <c r="G930" s="11" t="str">
        <f>IFERROR(IF(VLOOKUP(A930,[6]PRIORIZADOS!$A:$G,7,FALSE)="","",VLOOKUP(A930,[6]PRIORIZADOS!$A:$G,7,FALSE)),"")</f>
        <v>NACIONES_UNIDAS</v>
      </c>
      <c r="H930" s="11" t="str">
        <f>IFERROR(IF(VLOOKUP(A930,[6]PRIORIZADOS!$A:$H,8,FALSE)="","",VLOOKUP(A930,[6]PRIORIZADOS!$A:$H,8,FALSE)),"")</f>
        <v>Convivencia escolar</v>
      </c>
      <c r="I930" s="11" t="str">
        <f>IFERROR(IF(VLOOKUP(A930,[6]PRIORIZADOS!$A:$I,9,FALSE)="","",VLOOKUP(A930,[6]PRIORIZADOS!$A:$I,9,FALSE)),"")</f>
        <v>EVALUACIÓN_CON_FINES_DE_MEJORAMIENTO.</v>
      </c>
      <c r="J930" s="11" t="str">
        <f>IFERROR(IF(VLOOKUP(A930,[6]PRIORIZADOS!$A:$J,10,FALSE)="","",VLOOKUP(A930,[6]PRIORIZADOS!$A:$J,10,FALSE)),"")</f>
        <v>Revisar el calendario escolar, jornada escolar, la intensidad horaria mínima anual en cada nivel y las modificaciones que se realicen al mismo, de acuerdo con lo previsto en la normatividad vigente.</v>
      </c>
      <c r="K930" s="11" t="str">
        <f>IFERROR(IF(VLOOKUP(A930,[6]PRIORIZADOS!$A:$K,11,FALSE)="","",VLOOKUP(A930,[6]PRIORIZADOS!$A:$K,11,FALSE)),"")</f>
        <v>JAIME HUMBERTO RAMÍREZ LLANOS</v>
      </c>
      <c r="L930" s="11" t="str">
        <f>IFERROR(IF(VLOOKUP(A930,[6]PRIORIZADOS!$A:$L,12,FALSE)="","",VLOOKUP(A930,[6]PRIORIZADOS!$A:$L,12,FALSE)),"")</f>
        <v>JUAN AGUSTÍN RODRÍGUEZ ROZO</v>
      </c>
      <c r="M930" s="71">
        <f>IFERROR(IF(VLOOKUP(A930,[6]PRIORIZADOS!$A:$M,13,FALSE)="","",VLOOKUP(A930,[6]PRIORIZADOS!$A:$M,13,FALSE)),"")</f>
        <v>45904</v>
      </c>
      <c r="N930" s="139">
        <f>IFERROR(IF(VLOOKUP(A930,[6]PRIORIZADOS!$A:$N,14,FALSE)="","",VLOOKUP(A930,[6]PRIORIZADOS!$A:$N,14,FALSE)),"")</f>
        <v>45915</v>
      </c>
      <c r="O930" s="139">
        <f>IFERROR(IF(VLOOKUP(A930,[6]PRIORIZADOS!$A:$O,15,FALSE)="","",VLOOKUP(A930,[6]PRIORIZADOS!$A:$O,15,FALSE)),"")</f>
        <v>45915</v>
      </c>
      <c r="P930" s="16" t="str">
        <f>IFERROR(IF(VLOOKUP(A930,[6]PRIORIZADOS!$A:$P,16,FALSE)="","",VLOOKUP(A930,[6]PRIORIZADOS!$A:$P,16,FALSE)),"")</f>
        <v>Visitas de evaluación con fines de mejoramiento</v>
      </c>
      <c r="Q930" s="154" t="s">
        <v>164</v>
      </c>
      <c r="R930" s="90" t="str">
        <f>IFERROR(IF(VLOOKUP(A930,[6]PRIORIZADOS!$A:$R,18,FALSE)="","",VLOOKUP(A930,[6]PRIORIZADOS!$A:$R,18,FALSE)),"")</f>
        <v>Se ajusta al calendario establecido por la SED</v>
      </c>
      <c r="S930" s="11" t="str">
        <f>IFERROR(IF(VLOOKUP(A930,[6]PRIORIZADOS!$A:$S,19,FALSE)="","",VLOOKUP(A930,[6]PRIORIZADOS!$A:$S,19,FALSE)),"")</f>
        <v>Se sugiere continuar aplicación</v>
      </c>
      <c r="T930" s="70" t="str">
        <f>IFERROR(IF(VLOOKUP(A930,[6]PRIORIZADOS!$A:$T,20,FALSE)="","",VLOOKUP(A930,[6]PRIORIZADOS!$A:$T,20,FALSE)),"")</f>
        <v>No</v>
      </c>
      <c r="U930" s="11" t="str">
        <f>IFERROR(IF(VLOOKUP(A930,[6]PRIORIZADOS!$A:$U,21,FALSE)="","",VLOOKUP(A930,[6]PRIORIZADOS!$A:$U,21,FALSE)),"")</f>
        <v/>
      </c>
    </row>
    <row r="931" spans="1:21" s="1" customFormat="1" ht="48">
      <c r="A931" s="69">
        <f>IF([6]PRIORIZADOS!A297="","",[6]PRIORIZADOS!A297)</f>
        <v>872</v>
      </c>
      <c r="B931" s="70">
        <f>IFERROR(IF(VLOOKUP(A931,[6]PRIORIZADOS!$A:$B,2,FALSE)="","",VLOOKUP(A931,[6]PRIORIZADOS!$A:$B,2,FALSE)),"")</f>
        <v>34</v>
      </c>
      <c r="C931" s="11" t="str">
        <f>IFERROR(IF(VLOOKUP(A931,[6]PRIORIZADOS!$A:$C,3,FALSE)="","",VLOOKUP(A931,[6]PRIORIZADOS!$A:$C,3,FALSE)),"")</f>
        <v>ENGATIVÁ</v>
      </c>
      <c r="D931" s="11" t="str">
        <f>IFERROR(IF(VLOOKUP(A931,[6]PRIORIZADOS!$A:$D,4,FALSE)="","",VLOOKUP(A931,[6]PRIORIZADOS!$A:$D,4,FALSE)),"")</f>
        <v>OFICIAL.</v>
      </c>
      <c r="E931" s="11" t="str">
        <f>IFERROR(IF(VLOOKUP(A931,[6]PRIORIZADOS!$A:$E,5,FALSE)="","",VLOOKUP(A931,[6]PRIORIZADOS!$A:$E,5,FALSE)),"")</f>
        <v>EPBM</v>
      </c>
      <c r="F931" s="11" t="str">
        <f>IFERROR(IF(VLOOKUP(A931,[6]PRIORIZADOS!$A:$F,6,FALSE)="","",VLOOKUP(A931,[6]PRIORIZADOS!$A:$F,6,FALSE)),"")</f>
        <v>COLEGIO_NACIONES_UNIDAS_IED</v>
      </c>
      <c r="G931" s="11" t="str">
        <f>IFERROR(IF(VLOOKUP(A931,[6]PRIORIZADOS!$A:$G,7,FALSE)="","",VLOOKUP(A931,[6]PRIORIZADOS!$A:$G,7,FALSE)),"")</f>
        <v>NACIONES_UNIDAS</v>
      </c>
      <c r="H931" s="11" t="str">
        <f>IFERROR(IF(VLOOKUP(A931,[6]PRIORIZADOS!$A:$H,8,FALSE)="","",VLOOKUP(A931,[6]PRIORIZADOS!$A:$H,8,FALSE)),"")</f>
        <v>Convivencia escolar</v>
      </c>
      <c r="I931" s="11" t="str">
        <f>IFERROR(IF(VLOOKUP(A931,[6]PRIORIZADOS!$A:$I,9,FALSE)="","",VLOOKUP(A931,[6]PRIORIZADOS!$A:$I,9,FALSE)),"")</f>
        <v>EVALUACIÓN_CON_FINES_DE_MEJORAMIENTO.</v>
      </c>
      <c r="J931" s="11" t="str">
        <f>IFERROR(IF(VLOOKUP(A931,[6]PRIORIZADOS!$A:$J,10,FALSE)="","",VLOOKUP(A931,[6]PRIORIZADOS!$A:$J,10,FALSE)),"")</f>
        <v>Verificar el funcionamiento del Gobierno Escolar e instancias de participación con base en la información sobre conformación reportada por la institución educativa.</v>
      </c>
      <c r="K931" s="11" t="str">
        <f>IFERROR(IF(VLOOKUP(A931,[6]PRIORIZADOS!$A:$K,11,FALSE)="","",VLOOKUP(A931,[6]PRIORIZADOS!$A:$K,11,FALSE)),"")</f>
        <v>JAIME HUMBERTO RAMÍREZ LLANOS</v>
      </c>
      <c r="L931" s="11" t="str">
        <f>IFERROR(IF(VLOOKUP(A931,[6]PRIORIZADOS!$A:$L,12,FALSE)="","",VLOOKUP(A931,[6]PRIORIZADOS!$A:$L,12,FALSE)),"")</f>
        <v>JUAN AGUSTÍN RODRÍGUEZ ROZO</v>
      </c>
      <c r="M931" s="71">
        <f>IFERROR(IF(VLOOKUP(A931,[6]PRIORIZADOS!$A:$M,13,FALSE)="","",VLOOKUP(A931,[6]PRIORIZADOS!$A:$M,13,FALSE)),"")</f>
        <v>45904</v>
      </c>
      <c r="N931" s="139">
        <f>IFERROR(IF(VLOOKUP(A931,[6]PRIORIZADOS!$A:$N,14,FALSE)="","",VLOOKUP(A931,[6]PRIORIZADOS!$A:$N,14,FALSE)),"")</f>
        <v>45915</v>
      </c>
      <c r="O931" s="139">
        <f>IFERROR(IF(VLOOKUP(A931,[6]PRIORIZADOS!$A:$O,15,FALSE)="","",VLOOKUP(A931,[6]PRIORIZADOS!$A:$O,15,FALSE)),"")</f>
        <v>45915</v>
      </c>
      <c r="P931" s="16" t="str">
        <f>IFERROR(IF(VLOOKUP(A931,[6]PRIORIZADOS!$A:$P,16,FALSE)="","",VLOOKUP(A931,[6]PRIORIZADOS!$A:$P,16,FALSE)),"")</f>
        <v>Visitas de evaluación con fines de mejoramiento</v>
      </c>
      <c r="Q931" s="154" t="s">
        <v>164</v>
      </c>
      <c r="R931" s="90" t="str">
        <f>IFERROR(IF(VLOOKUP(A931,[6]PRIORIZADOS!$A:$R,18,FALSE)="","",VLOOKUP(A931,[6]PRIORIZADOS!$A:$R,18,FALSE)),"")</f>
        <v>Información subida al SAE fue verificado su cumplimiento</v>
      </c>
      <c r="S931" s="11" t="str">
        <f>IFERROR(IF(VLOOKUP(A931,[6]PRIORIZADOS!$A:$S,19,FALSE)="","",VLOOKUP(A931,[6]PRIORIZADOS!$A:$S,19,FALSE)),"")</f>
        <v>Se encuentran archivadas actas de confromación y reuniones periódicas</v>
      </c>
      <c r="T931" s="70" t="str">
        <f>IFERROR(IF(VLOOKUP(A931,[6]PRIORIZADOS!$A:$T,20,FALSE)="","",VLOOKUP(A931,[6]PRIORIZADOS!$A:$T,20,FALSE)),"")</f>
        <v>No</v>
      </c>
      <c r="U931" s="11" t="str">
        <f>IFERROR(IF(VLOOKUP(A931,[6]PRIORIZADOS!$A:$U,21,FALSE)="","",VLOOKUP(A931,[6]PRIORIZADOS!$A:$U,21,FALSE)),"")</f>
        <v/>
      </c>
    </row>
    <row r="932" spans="1:21" s="1" customFormat="1" ht="36">
      <c r="A932" s="69">
        <f>IF([6]PRIORIZADOS!A298="","",[6]PRIORIZADOS!A298)</f>
        <v>873</v>
      </c>
      <c r="B932" s="70">
        <f>IFERROR(IF(VLOOKUP(A932,[6]PRIORIZADOS!$A:$B,2,FALSE)="","",VLOOKUP(A932,[6]PRIORIZADOS!$A:$B,2,FALSE)),"")</f>
        <v>34</v>
      </c>
      <c r="C932" s="11" t="str">
        <f>IFERROR(IF(VLOOKUP(A932,[6]PRIORIZADOS!$A:$C,3,FALSE)="","",VLOOKUP(A932,[6]PRIORIZADOS!$A:$C,3,FALSE)),"")</f>
        <v>ENGATIVÁ</v>
      </c>
      <c r="D932" s="11" t="str">
        <f>IFERROR(IF(VLOOKUP(A932,[6]PRIORIZADOS!$A:$D,4,FALSE)="","",VLOOKUP(A932,[6]PRIORIZADOS!$A:$D,4,FALSE)),"")</f>
        <v>OFICIAL.</v>
      </c>
      <c r="E932" s="11" t="str">
        <f>IFERROR(IF(VLOOKUP(A932,[6]PRIORIZADOS!$A:$E,5,FALSE)="","",VLOOKUP(A932,[6]PRIORIZADOS!$A:$E,5,FALSE)),"")</f>
        <v>EPBM</v>
      </c>
      <c r="F932" s="11" t="str">
        <f>IFERROR(IF(VLOOKUP(A932,[6]PRIORIZADOS!$A:$F,6,FALSE)="","",VLOOKUP(A932,[6]PRIORIZADOS!$A:$F,6,FALSE)),"")</f>
        <v>COLEGIO_NACIONES_UNIDAS_IED</v>
      </c>
      <c r="G932" s="11" t="str">
        <f>IFERROR(IF(VLOOKUP(A932,[6]PRIORIZADOS!$A:$G,7,FALSE)="","",VLOOKUP(A932,[6]PRIORIZADOS!$A:$G,7,FALSE)),"")</f>
        <v>NACIONES_UNIDAS</v>
      </c>
      <c r="H932" s="11" t="str">
        <f>IFERROR(IF(VLOOKUP(A932,[6]PRIORIZADOS!$A:$H,8,FALSE)="","",VLOOKUP(A932,[6]PRIORIZADOS!$A:$H,8,FALSE)),"")</f>
        <v>Convivencia escolar</v>
      </c>
      <c r="I932" s="11" t="str">
        <f>IFERROR(IF(VLOOKUP(A932,[6]PRIORIZADOS!$A:$I,9,FALSE)="","",VLOOKUP(A932,[6]PRIORIZADOS!$A:$I,9,FALSE)),"")</f>
        <v>EVALUACIÓN_CON_FINES_DE_MEJORAMIENTO.</v>
      </c>
      <c r="J932" s="11" t="str">
        <f>IFERROR(IF(VLOOKUP(A932,[6]PRIORIZADOS!$A:$J,10,FALSE)="","",VLOOKUP(A932,[6]PRIORIZADOS!$A:$J,10,FALSE)),"")</f>
        <v>Verificar las condiciones en cuanto a: la estructura administrativa, condiciones de la planta física y medios educativos adecuados.</v>
      </c>
      <c r="K932" s="11" t="str">
        <f>IFERROR(IF(VLOOKUP(A932,[6]PRIORIZADOS!$A:$K,11,FALSE)="","",VLOOKUP(A932,[6]PRIORIZADOS!$A:$K,11,FALSE)),"")</f>
        <v>JAIME HUMBERTO RAMÍREZ LLANOS</v>
      </c>
      <c r="L932" s="11" t="str">
        <f>IFERROR(IF(VLOOKUP(A932,[6]PRIORIZADOS!$A:$L,12,FALSE)="","",VLOOKUP(A932,[6]PRIORIZADOS!$A:$L,12,FALSE)),"")</f>
        <v>JUAN AGUSTÍN RODRÍGUEZ ROZO</v>
      </c>
      <c r="M932" s="71">
        <f>IFERROR(IF(VLOOKUP(A932,[6]PRIORIZADOS!$A:$M,13,FALSE)="","",VLOOKUP(A932,[6]PRIORIZADOS!$A:$M,13,FALSE)),"")</f>
        <v>45904</v>
      </c>
      <c r="N932" s="139">
        <f>IFERROR(IF(VLOOKUP(A932,[6]PRIORIZADOS!$A:$N,14,FALSE)="","",VLOOKUP(A932,[6]PRIORIZADOS!$A:$N,14,FALSE)),"")</f>
        <v>45915</v>
      </c>
      <c r="O932" s="139">
        <f>IFERROR(IF(VLOOKUP(A932,[6]PRIORIZADOS!$A:$O,15,FALSE)="","",VLOOKUP(A932,[6]PRIORIZADOS!$A:$O,15,FALSE)),"")</f>
        <v>45915</v>
      </c>
      <c r="P932" s="16" t="str">
        <f>IFERROR(IF(VLOOKUP(A932,[6]PRIORIZADOS!$A:$P,16,FALSE)="","",VLOOKUP(A932,[6]PRIORIZADOS!$A:$P,16,FALSE)),"")</f>
        <v>Visitas de evaluación con fines de mejoramiento</v>
      </c>
      <c r="Q932" s="154" t="s">
        <v>164</v>
      </c>
      <c r="R932" s="90" t="str">
        <f>IFERROR(IF(VLOOKUP(A932,[6]PRIORIZADOS!$A:$R,18,FALSE)="","",VLOOKUP(A932,[6]PRIORIZADOS!$A:$R,18,FALSE)),"")</f>
        <v>Las sedes A y B por ser construidas por la SED cuentan con lo recursos que se le han proveido, mas completa la sede B</v>
      </c>
      <c r="S932" s="11" t="str">
        <f>IFERROR(IF(VLOOKUP(A932,[6]PRIORIZADOS!$A:$S,19,FALSE)="","",VLOOKUP(A932,[6]PRIORIZADOS!$A:$S,19,FALSE)),"")</f>
        <v>Adecuadas por la SED</v>
      </c>
      <c r="T932" s="70" t="str">
        <f>IFERROR(IF(VLOOKUP(A932,[6]PRIORIZADOS!$A:$T,20,FALSE)="","",VLOOKUP(A932,[6]PRIORIZADOS!$A:$T,20,FALSE)),"")</f>
        <v>No</v>
      </c>
      <c r="U932" s="11" t="str">
        <f>IFERROR(IF(VLOOKUP(A932,[6]PRIORIZADOS!$A:$U,21,FALSE)="","",VLOOKUP(A932,[6]PRIORIZADOS!$A:$U,21,FALSE)),"")</f>
        <v/>
      </c>
    </row>
    <row r="933" spans="1:21" s="1" customFormat="1" ht="107.25">
      <c r="A933" s="69">
        <f>IF([6]PRIORIZADOS!A299="","",[6]PRIORIZADOS!A299)</f>
        <v>874</v>
      </c>
      <c r="B933" s="70">
        <f>IFERROR(IF(VLOOKUP(A933,[6]PRIORIZADOS!$A:$B,2,FALSE)="","",VLOOKUP(A933,[6]PRIORIZADOS!$A:$B,2,FALSE)),"")</f>
        <v>35</v>
      </c>
      <c r="C933" s="11" t="str">
        <f>IFERROR(IF(VLOOKUP(A933,[6]PRIORIZADOS!$A:$C,3,FALSE)="","",VLOOKUP(A933,[6]PRIORIZADOS!$A:$C,3,FALSE)),"")</f>
        <v>ENGATIVÁ</v>
      </c>
      <c r="D933" s="11" t="str">
        <f>IFERROR(IF(VLOOKUP(A933,[6]PRIORIZADOS!$A:$D,4,FALSE)="","",VLOOKUP(A933,[6]PRIORIZADOS!$A:$D,4,FALSE)),"")</f>
        <v>PRIVADO_IETDH</v>
      </c>
      <c r="E933" s="11" t="str">
        <f>IFERROR(IF(VLOOKUP(A933,[6]PRIORIZADOS!$A:$E,5,FALSE)="","",VLOOKUP(A933,[6]PRIORIZADOS!$A:$E,5,FALSE)),"")</f>
        <v>IETDH</v>
      </c>
      <c r="F933" s="11" t="str">
        <f>IFERROR(IF(VLOOKUP(A933,[6]PRIORIZADOS!$A:$F,6,FALSE)="","",VLOOKUP(A933,[6]PRIORIZADOS!$A:$F,6,FALSE)),"")</f>
        <v>INSTITUTO_SIDEP_SAS</v>
      </c>
      <c r="G933" s="11" t="str">
        <f>IFERROR(IF(VLOOKUP(A933,[6]PRIORIZADOS!$A:$G,7,FALSE)="","",VLOOKUP(A933,[6]PRIORIZADOS!$A:$G,7,FALSE)),"")</f>
        <v>INSTITUTO_SIDEP_SAS</v>
      </c>
      <c r="H933" s="11" t="str">
        <f>IFERROR(IF(VLOOKUP(A933,[6]PRIORIZADOS!$A:$H,8,FALSE)="","",VLOOKUP(A933,[6]PRIORIZADOS!$A:$H,8,FALSE)),"")</f>
        <v>IETDH priorizadas por cada ELIV (seguimiento a PMI, que no se hayan visitado en los últimos 3 años)</v>
      </c>
      <c r="I933" s="11" t="str">
        <f>IFERROR(IF(VLOOKUP(A933,[6]PRIORIZADOS!$A:$I,9,FALSE)="","",VLOOKUP(A933,[6]PRIORIZADOS!$A:$I,9,FALSE)),"")</f>
        <v>SEGUIMIENTO_Y_SUPERVISIÓN.</v>
      </c>
      <c r="J933" s="11" t="str">
        <f>IFERROR(IF(VLOOKUP(A933,[6]PRIORIZADOS!$A:$J,10,FALSE)="","",VLOOKUP(A933,[6]PRIORIZADOS!$A:$J,10,FALSE)),"")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933" s="11" t="str">
        <f>IFERROR(IF(VLOOKUP(A933,[6]PRIORIZADOS!$A:$K,11,FALSE)="","",VLOOKUP(A933,[6]PRIORIZADOS!$A:$K,11,FALSE)),"")</f>
        <v>SANDRA MILENA BUENAVENTURA RUEDA</v>
      </c>
      <c r="L933" s="11" t="str">
        <f>IFERROR(IF(VLOOKUP(A933,[6]PRIORIZADOS!$A:$L,12,FALSE)="","",VLOOKUP(A933,[6]PRIORIZADOS!$A:$L,12,FALSE)),"")</f>
        <v>JAIME HUMBERTO RAMÍREZ LLANOS</v>
      </c>
      <c r="M933" s="71">
        <f>IFERROR(IF(VLOOKUP(A933,[6]PRIORIZADOS!$A:$M,13,FALSE)="","",VLOOKUP(A933,[6]PRIORIZADOS!$A:$M,13,FALSE)),"")</f>
        <v>45843</v>
      </c>
      <c r="N933" s="139">
        <f>IFERROR(IF(VLOOKUP(A933,[6]PRIORIZADOS!$A:$N,14,FALSE)="","",VLOOKUP(A933,[6]PRIORIZADOS!$A:$N,14,FALSE)),"")</f>
        <v>45850</v>
      </c>
      <c r="O933" s="139">
        <f>IFERROR(IF(VLOOKUP(A933,[6]PRIORIZADOS!$A:$O,15,FALSE)="","",VLOOKUP(A933,[6]PRIORIZADOS!$A:$O,15,FALSE)),"")</f>
        <v>45850</v>
      </c>
      <c r="P933" s="16" t="str">
        <f>IFERROR(IF(VLOOKUP(A933,[6]PRIORIZADOS!$A:$P,16,FALSE)="","",VLOOKUP(A933,[6]PRIORIZADOS!$A:$P,16,FALSE)),"")</f>
        <v>Visitas de evaluación con fines de seguimiento</v>
      </c>
      <c r="Q933" s="155" t="s">
        <v>165</v>
      </c>
      <c r="R933" s="90" t="str">
        <f>IFERROR(IF(VLOOKUP(A933,[6]PRIORIZADOS!$A:$R,18,FALSE)="","",VLOOKUP(A933,[6]PRIORIZADOS!$A:$R,18,FALSE)),"")</f>
        <v xml:space="preserve">
Para el mes de mayo en SIET la IE no contaba con estudiantes matriculados ni certificados en julio registra 9 estudiantes matriculados y 0 certificados, no realizaron el incremento de costos ni tampoco informaron a la DLE, el contrato no tiene claridad en cuanto al valor de los programas.</v>
      </c>
      <c r="S933" s="11" t="str">
        <f>IFERROR(IF(VLOOKUP(A933,[6]PRIORIZADOS!$A:$S,19,FALSE)="","",VLOOKUP(A933,[6]PRIORIZADOS!$A:$S,19,FALSE)),"")</f>
        <v>Verificar el registro de estudiantes matriculados y fechas establecidas para reportes. Radicar en cada vigencia radicar ante la Dirección Local el aumento del costo sobre el IPC en cada uno de los programas ofrecidos. Ajustar a el valor total del programa en el contrato de prestación de servicio educativo.</v>
      </c>
      <c r="T933" s="70" t="str">
        <f>IFERROR(IF(VLOOKUP(A933,[6]PRIORIZADOS!$A:$T,20,FALSE)="","",VLOOKUP(A933,[6]PRIORIZADOS!$A:$T,20,FALSE)),"")</f>
        <v>Si</v>
      </c>
      <c r="U933" s="11" t="str">
        <f>IFERROR(IF(VLOOKUP(A933,[6]PRIORIZADOS!$A:$U,21,FALSE)="","",VLOOKUP(A933,[6]PRIORIZADOS!$A:$U,21,FALSE)),"")</f>
        <v>La institución presentará plan de mejora con fecha máxima 24 de julio con el fin de ser revisado por el equipo de Inspección y Vigilancia para hacer los ajustes y la trazabilidad correspondiente</v>
      </c>
    </row>
    <row r="934" spans="1:21" s="1" customFormat="1" ht="107.25">
      <c r="A934" s="69">
        <f>IF([6]PRIORIZADOS!A300="","",[6]PRIORIZADOS!A300)</f>
        <v>875</v>
      </c>
      <c r="B934" s="70">
        <f>IFERROR(IF(VLOOKUP(A934,[6]PRIORIZADOS!$A:$B,2,FALSE)="","",VLOOKUP(A934,[6]PRIORIZADOS!$A:$B,2,FALSE)),"")</f>
        <v>35</v>
      </c>
      <c r="C934" s="11" t="str">
        <f>IFERROR(IF(VLOOKUP(A934,[6]PRIORIZADOS!$A:$C,3,FALSE)="","",VLOOKUP(A934,[6]PRIORIZADOS!$A:$C,3,FALSE)),"")</f>
        <v>ENGATIVÁ</v>
      </c>
      <c r="D934" s="11" t="str">
        <f>IFERROR(IF(VLOOKUP(A934,[6]PRIORIZADOS!$A:$D,4,FALSE)="","",VLOOKUP(A934,[6]PRIORIZADOS!$A:$D,4,FALSE)),"")</f>
        <v>PRIVADO_IETDH</v>
      </c>
      <c r="E934" s="11" t="str">
        <f>IFERROR(IF(VLOOKUP(A934,[6]PRIORIZADOS!$A:$E,5,FALSE)="","",VLOOKUP(A934,[6]PRIORIZADOS!$A:$E,5,FALSE)),"")</f>
        <v>IETDH</v>
      </c>
      <c r="F934" s="11" t="str">
        <f>IFERROR(IF(VLOOKUP(A934,[6]PRIORIZADOS!$A:$F,6,FALSE)="","",VLOOKUP(A934,[6]PRIORIZADOS!$A:$F,6,FALSE)),"")</f>
        <v>INSTITUTO_SIDEP_SAS</v>
      </c>
      <c r="G934" s="11" t="str">
        <f>IFERROR(IF(VLOOKUP(A934,[6]PRIORIZADOS!$A:$G,7,FALSE)="","",VLOOKUP(A934,[6]PRIORIZADOS!$A:$G,7,FALSE)),"")</f>
        <v>INSTITUTO_SIDEP_SAS</v>
      </c>
      <c r="H934" s="11" t="str">
        <f>IFERROR(IF(VLOOKUP(A934,[6]PRIORIZADOS!$A:$H,8,FALSE)="","",VLOOKUP(A934,[6]PRIORIZADOS!$A:$H,8,FALSE)),"")</f>
        <v>IETDH priorizadas por cada ELIV (seguimiento a PMI, que no se hayan visitado en los últimos 3 años)</v>
      </c>
      <c r="I934" s="11" t="str">
        <f>IFERROR(IF(VLOOKUP(A934,[6]PRIORIZADOS!$A:$I,9,FALSE)="","",VLOOKUP(A934,[6]PRIORIZADOS!$A:$I,9,FALSE)),"")</f>
        <v>SEGUIMIENTO_Y_SUPERVISIÓN.</v>
      </c>
      <c r="J934" s="11" t="str">
        <f>IFERROR(IF(VLOOKUP(A934,[6]PRIORIZADOS!$A:$J,10,FALSE)="","",VLOOKUP(A934,[6]PRIORIZADOS!$A:$J,10,FALSE)),"")</f>
        <v>Adelantar visitas para verificar que el desarrollo de los programas de ETDH, esté de acuerdo con lo autorizado y la normatividad vigente, para propender por su pertinencia, legalidad y actualización constante.</v>
      </c>
      <c r="K934" s="11" t="str">
        <f>IFERROR(IF(VLOOKUP(A934,[6]PRIORIZADOS!$A:$K,11,FALSE)="","",VLOOKUP(A934,[6]PRIORIZADOS!$A:$K,11,FALSE)),"")</f>
        <v>SANDRA MILENA BUENAVENTURA RUEDA</v>
      </c>
      <c r="L934" s="11" t="str">
        <f>IFERROR(IF(VLOOKUP(A934,[6]PRIORIZADOS!$A:$L,12,FALSE)="","",VLOOKUP(A934,[6]PRIORIZADOS!$A:$L,12,FALSE)),"")</f>
        <v>JAIME HUMBERTO RAMÍREZ LLANOS</v>
      </c>
      <c r="M934" s="71">
        <f>IFERROR(IF(VLOOKUP(A934,[6]PRIORIZADOS!$A:$M,13,FALSE)="","",VLOOKUP(A934,[6]PRIORIZADOS!$A:$M,13,FALSE)),"")</f>
        <v>45843</v>
      </c>
      <c r="N934" s="139">
        <f>IFERROR(IF(VLOOKUP(A934,[6]PRIORIZADOS!$A:$N,14,FALSE)="","",VLOOKUP(A934,[6]PRIORIZADOS!$A:$N,14,FALSE)),"")</f>
        <v>45850</v>
      </c>
      <c r="O934" s="139">
        <f>IFERROR(IF(VLOOKUP(A934,[6]PRIORIZADOS!$A:$O,15,FALSE)="","",VLOOKUP(A934,[6]PRIORIZADOS!$A:$O,15,FALSE)),"")</f>
        <v>45850</v>
      </c>
      <c r="P934" s="16" t="str">
        <f>IFERROR(IF(VLOOKUP(A934,[6]PRIORIZADOS!$A:$P,16,FALSE)="","",VLOOKUP(A934,[6]PRIORIZADOS!$A:$P,16,FALSE)),"")</f>
        <v>Visitas de evaluación con fines de seguimiento</v>
      </c>
      <c r="Q934" s="155" t="s">
        <v>165</v>
      </c>
      <c r="R934" s="90" t="str">
        <f>IFERROR(IF(VLOOKUP(A934,[6]PRIORIZADOS!$A:$R,18,FALSE)="","",VLOOKUP(A934,[6]PRIORIZADOS!$A:$R,18,FALSE)),"")</f>
        <v xml:space="preserve">
De los seis programas ofrecidos, dos técnicos laborales no se encuentran denominados adecuadamente y están elevados a educación superior, asi mismo, solo cuentan con dos convenios para prácticas. Los programas no cumplen con la intensidad horaria reglamentaria y el plan de estudios no es coherente.</v>
      </c>
      <c r="S934" s="11" t="str">
        <f>IFERROR(IF(VLOOKUP(A934,[6]PRIORIZADOS!$A:$S,19,FALSE)="","",VLOOKUP(A934,[6]PRIORIZADOS!$A:$S,19,FALSE)),"")</f>
        <v>Se deben adaptar los programas elevados a superior de acuerdo con CUOC y MNC, modificar la estructura curricular de los técnicos que no cumplen con la intensidad horaria, actualizar el plan de estudios y el Manual de Convivencia, aclarar la modalidad y metodologia dado que ofrecen virtualidad y en el PEI indican modalidad presencial y a Distancia</v>
      </c>
      <c r="T934" s="70" t="str">
        <f>IFERROR(IF(VLOOKUP(A934,[6]PRIORIZADOS!$A:$T,20,FALSE)="","",VLOOKUP(A934,[6]PRIORIZADOS!$A:$T,20,FALSE)),"")</f>
        <v>Si</v>
      </c>
      <c r="U934" s="11" t="str">
        <f>IFERROR(IF(VLOOKUP(A934,[6]PRIORIZADOS!$A:$U,21,FALSE)="","",VLOOKUP(A934,[6]PRIORIZADOS!$A:$U,21,FALSE)),"")</f>
        <v>La institución presentará plan de mejora con fecha máxima 24 de julio con el fin de ser revisado por el equipo de Inspección y Vigilancia para hacer los ajustes y la trazabilidad correspondiente</v>
      </c>
    </row>
    <row r="935" spans="1:21" s="1" customFormat="1" ht="96">
      <c r="A935" s="69">
        <f>IF([7]PRIORIZADOS!A8="","",[7]PRIORIZADOS!A8)</f>
        <v>877</v>
      </c>
      <c r="B935" s="87">
        <f>IFERROR(IF(VLOOKUP(A935,[7]PRIORIZADOS!$A:$B,2,FALSE)="","",VLOOKUP(A935,[7]PRIORIZADOS!$A:$B,2,FALSE)),"")</f>
        <v>1</v>
      </c>
      <c r="C935" s="11" t="str">
        <f>IFERROR(IF(VLOOKUP(A935,[7]PRIORIZADOS!$A:$C,3,FALSE)="","",VLOOKUP(A935,[7]PRIORIZADOS!$A:$C,3,FALSE)),"")</f>
        <v>FONTIBÓN</v>
      </c>
      <c r="D935" s="69" t="str">
        <f>IFERROR(IF(VLOOKUP(A935,[7]PRIORIZADOS!$A:$D,4,FALSE)="","",VLOOKUP(A935,[7]PRIORIZADOS!$A:$D,4,FALSE)),"")</f>
        <v>PRIVADO</v>
      </c>
      <c r="E935" s="69" t="str">
        <f>IFERROR(IF(VLOOKUP(A935,[7]PRIORIZADOS!$A:$E,5,FALSE)="","",VLOOKUP(A935,[7]PRIORIZADOS!$A:$E,5,FALSE)),"")</f>
        <v>Educación de Jóvenes y Adultos</v>
      </c>
      <c r="F935" s="11" t="str">
        <f>IFERROR(IF(VLOOKUP(A935,[7]PRIORIZADOS!$A:$F,6,FALSE)="","",VLOOKUP(A935,[7]PRIORIZADOS!$A:$F,6,FALSE)),"")</f>
        <v>POLITECNICO_MAYOR_ANDINO</v>
      </c>
      <c r="G935" s="69" t="str">
        <f>IFERROR(IF(VLOOKUP(A935,[7]PRIORIZADOS!$A:$G,7,FALSE)="","",VLOOKUP(A935,[7]PRIORIZADOS!$A:$G,7,FALSE)),"")</f>
        <v>POLITECNICO_MAYOR_ANDINO</v>
      </c>
      <c r="H935" s="11" t="str">
        <f>IFERROR(IF(VLOOKUP(A935,[7]PRIORIZADOS!$A:$H,8,FALSE)="","",VLOOKUP(A935,[7]PRIORIZADOS!$A:$H,8,FALSE)),"")</f>
        <v>Autoevaluación Institucional y Pruebas SABER 11</v>
      </c>
      <c r="I935" s="11" t="str">
        <f>IFERROR(IF(VLOOKUP(A935,[7]PRIORIZADOS!$A:$I,9,FALSE)="","",VLOOKUP(A935,[7]PRIORIZADOS!$A:$I,9,FALSE)),"")</f>
        <v>SEGUIMIENTO_Y_SUPERVISIÓN.</v>
      </c>
      <c r="J935" s="11" t="str">
        <f>IFERROR(IF(VLOOKUP(A935,[7]PRIORIZADOS!$A:$J,10,FALSE)="","",VLOOKUP(A935,[7]PRIORIZADOS!$A:$J,10,FALSE)),"")</f>
        <v>Proponer estrategias en la formulación, verificar su elaboración y realizar seguimiento semestral al desarrollo de  las acciones establecidas en los planes de mejoramiento por pruebas SABER 11 de los establecimientos de educación formal.</v>
      </c>
      <c r="K935" s="11" t="str">
        <f>IFERROR(IF(VLOOKUP(A935,[7]PRIORIZADOS!$A:$K,11,FALSE)="","",VLOOKUP(A935,[7]PRIORIZADOS!$A:$K,11,FALSE)),"")</f>
        <v>JAIME GABRIEL GONZÁLEZ GAMBOA</v>
      </c>
      <c r="L935" s="11" t="str">
        <f>IFERROR(IF(VLOOKUP(A935,[7]PRIORIZADOS!$A:$L,12,FALSE)="","",VLOOKUP(A935,[7]PRIORIZADOS!$A:$L,12,FALSE)),"")</f>
        <v>JOSÉ GUILLERMO ALARCÓN CUALLA</v>
      </c>
      <c r="M935" s="156">
        <f>IFERROR(IF(VLOOKUP(A935,[7]PRIORIZADOS!$A:$M,13,FALSE)="","",VLOOKUP(A935,[7]PRIORIZADOS!$A:$M,13,FALSE)),"")</f>
        <v>45769</v>
      </c>
      <c r="N935" s="156">
        <f>IFERROR(IF(VLOOKUP(A935,[7]PRIORIZADOS!$A:$N,14,FALSE)="","",VLOOKUP(A935,[7]PRIORIZADOS!$A:$N,14,FALSE)),"")</f>
        <v>45807</v>
      </c>
      <c r="O935" s="156">
        <f>IFERROR(IF(VLOOKUP(A935,[7]PRIORIZADOS!$A:$O,15,FALSE)="","",VLOOKUP(A935,[7]PRIORIZADOS!$A:$O,15,FALSE)),"")</f>
        <v>45807</v>
      </c>
      <c r="P935" s="69" t="str">
        <f>IFERROR(IF(VLOOKUP(A935,[7]PRIORIZADOS!$A:$P,16,FALSE)="","",VLOOKUP(A935,[7]PRIORIZADOS!$A:$P,16,FALSE)),"")</f>
        <v>Visitas de evaluación con fines de mejoramiento</v>
      </c>
      <c r="Q935" s="157"/>
      <c r="R935" s="11" t="str">
        <f>IFERROR(IF(VLOOKUP(A935,[7]PRIORIZADOS!$A:$R,18,FALSE)="","",VLOOKUP(A935,[7]PRIORIZADOS!$A:$R,18,FALSE)),"")</f>
        <v>La institución no ha implementado acciones para mejorar los aprendizajes de los estudiantes en las áreas del plan de estudio con más bajo desempeño en las pruebas SABER 11, ni  actualizado el currículo y plan de estudios  con base en los resultados obtenidos en las pruebas SABER 11?</v>
      </c>
      <c r="S935" s="11" t="str">
        <f>IFERROR(IF(VLOOKUP(A935,[7]PRIORIZADOS!$A:$S,19,FALSE)="","",VLOOKUP(A935,[7]PRIORIZADOS!$A:$S,19,FALSE)),"")</f>
        <v xml:space="preserve">Se debe llevar a Consejo Académico el Plan de Mejoramiento, donde se involucre el PEI, el Currículo en relación con el desempeño institucional de las pruebas saber </v>
      </c>
      <c r="T935" s="70" t="str">
        <f>IFERROR(IF(VLOOKUP(A935,[7]PRIORIZADOS!$A:$T,20,FALSE)="","",VLOOKUP(A935,[7]PRIORIZADOS!$A:$T,20,FALSE)),"")</f>
        <v>Si</v>
      </c>
      <c r="U935" s="11" t="str">
        <f>IFERROR(IF(VLOOKUP(A935,[7]PRIORIZADOS!$A:$U,21,FALSE)="","",VLOOKUP(A935,[7]PRIORIZADOS!$A:$U,21,FALSE)),"")</f>
        <v>Revisión y análisis del plan de trabajo a presentar a finales del mes de agosto del 2025.</v>
      </c>
    </row>
    <row r="936" spans="1:21" s="1" customFormat="1" ht="72">
      <c r="A936" s="69">
        <f>IF([7]PRIORIZADOS!A9="","",[7]PRIORIZADOS!A9)</f>
        <v>878</v>
      </c>
      <c r="B936" s="87">
        <f>IFERROR(IF(VLOOKUP(A936,[7]PRIORIZADOS!$A:$B,2,FALSE)="","",VLOOKUP(A936,[7]PRIORIZADOS!$A:$B,2,FALSE)),"")</f>
        <v>1</v>
      </c>
      <c r="C936" s="11" t="str">
        <f>IFERROR(IF(VLOOKUP(A936,[7]PRIORIZADOS!$A:$C,3,FALSE)="","",VLOOKUP(A936,[7]PRIORIZADOS!$A:$C,3,FALSE)),"")</f>
        <v>FONTIBÓN</v>
      </c>
      <c r="D936" s="69" t="str">
        <f>IFERROR(IF(VLOOKUP(A936,[7]PRIORIZADOS!$A:$D,4,FALSE)="","",VLOOKUP(A936,[7]PRIORIZADOS!$A:$D,4,FALSE)),"")</f>
        <v>PRIVADO</v>
      </c>
      <c r="E936" s="69" t="str">
        <f>IFERROR(IF(VLOOKUP(A936,[7]PRIORIZADOS!$A:$E,5,FALSE)="","",VLOOKUP(A936,[7]PRIORIZADOS!$A:$E,5,FALSE)),"")</f>
        <v>Educación de Jóvenes y Adultos</v>
      </c>
      <c r="F936" s="11" t="str">
        <f>IFERROR(IF(VLOOKUP(A936,[7]PRIORIZADOS!$A:$F,6,FALSE)="","",VLOOKUP(A936,[7]PRIORIZADOS!$A:$F,6,FALSE)),"")</f>
        <v>POLITECNICO_MAYOR_ANDINO</v>
      </c>
      <c r="G936" s="69" t="str">
        <f>IFERROR(IF(VLOOKUP(A936,[7]PRIORIZADOS!$A:$G,7,FALSE)="","",VLOOKUP(A936,[7]PRIORIZADOS!$A:$G,7,FALSE)),"")</f>
        <v>POLITECNICO_MAYOR_ANDINO</v>
      </c>
      <c r="H936" s="11" t="str">
        <f>IFERROR(IF(VLOOKUP(A936,[7]PRIORIZADOS!$A:$H,8,FALSE)="","",VLOOKUP(A936,[7]PRIORIZADOS!$A:$H,8,FALSE)),"")</f>
        <v>Autoevaluación Institucional y Pruebas SABER 11</v>
      </c>
      <c r="I936" s="11" t="str">
        <f>IFERROR(IF(VLOOKUP(A936,[7]PRIORIZADOS!$A:$I,9,FALSE)="","",VLOOKUP(A936,[7]PRIORIZADOS!$A:$I,9,FALSE)),"")</f>
        <v>SEGUIMIENTO_Y_SUPERVISIÓN.</v>
      </c>
      <c r="J936" s="11" t="str">
        <f>IFERROR(IF(VLOOKUP(A936,[7]PRIORIZADOS!$A:$J,10,FALSE)="","",VLOOKUP(A936,[7]PRIORIZADOS!$A:$J,10,FALSE)),"")</f>
        <v xml:space="preserve">Verificar la implementación por parte de los colegios, de acciones realizadas para la prevención y atención de las situaciones de convivencia en el entorno escolar, según lo establecido en la Directiva 01 de 2022 del MEN. </v>
      </c>
      <c r="K936" s="11" t="str">
        <f>IFERROR(IF(VLOOKUP(A936,[7]PRIORIZADOS!$A:$K,11,FALSE)="","",VLOOKUP(A936,[7]PRIORIZADOS!$A:$K,11,FALSE)),"")</f>
        <v>JAIME GABRIEL GONZÁLEZ GAMBOA</v>
      </c>
      <c r="L936" s="11" t="str">
        <f>IFERROR(IF(VLOOKUP(A936,[7]PRIORIZADOS!$A:$L,12,FALSE)="","",VLOOKUP(A936,[7]PRIORIZADOS!$A:$L,12,FALSE)),"")</f>
        <v>JOSÉ GUILLERMO ALARCÓN CUALLA</v>
      </c>
      <c r="M936" s="156">
        <f>IFERROR(IF(VLOOKUP(A936,[7]PRIORIZADOS!$A:$M,13,FALSE)="","",VLOOKUP(A936,[7]PRIORIZADOS!$A:$M,13,FALSE)),"")</f>
        <v>45769</v>
      </c>
      <c r="N936" s="156">
        <f>IFERROR(IF(VLOOKUP(A936,[7]PRIORIZADOS!$A:$N,14,FALSE)="","",VLOOKUP(A936,[7]PRIORIZADOS!$A:$N,14,FALSE)),"")</f>
        <v>45807</v>
      </c>
      <c r="O936" s="156">
        <f>IFERROR(IF(VLOOKUP(A936,[7]PRIORIZADOS!$A:$O,15,FALSE)="","",VLOOKUP(A936,[7]PRIORIZADOS!$A:$O,15,FALSE)),"")</f>
        <v>45807</v>
      </c>
      <c r="P936" s="11" t="str">
        <f>IFERROR(IF(VLOOKUP(A936,[7]PRIORIZADOS!$A:$P,16,FALSE)="","",VLOOKUP(A936,[7]PRIORIZADOS!$A:$P,16,FALSE)),"")</f>
        <v>Visitas de evaluación con fines de control</v>
      </c>
      <c r="Q936" s="107" t="s">
        <v>166</v>
      </c>
      <c r="R936" s="11" t="str">
        <f>IFERROR(IF(VLOOKUP(A936,[7]PRIORIZADOS!$A:$R,18,FALSE)="","",VLOOKUP(A936,[7]PRIORIZADOS!$A:$R,18,FALSE)),"")</f>
        <v>No hay acciones del Comité de Convivencia Escolar en el marco de la Ruta de Atención integral, que tiendan a generar acciones encaminadas a la previsión y prevención en materia convivencial.</v>
      </c>
      <c r="S936" s="11" t="str">
        <f>IFERROR(IF(VLOOKUP(A936,[7]PRIORIZADOS!$A:$S,19,FALSE)="","",VLOOKUP(A936,[7]PRIORIZADOS!$A:$S,19,FALSE)),"")</f>
        <v>Se deben desarrollar jornadas lideradas por el Comité de convivencia escolar encaminadas a la previsión y promoción de la convivencia escolar.</v>
      </c>
      <c r="T936" s="70" t="str">
        <f>IFERROR(IF(VLOOKUP(A936,[7]PRIORIZADOS!$A:$T,20,FALSE)="","",VLOOKUP(A936,[7]PRIORIZADOS!$A:$T,20,FALSE)),"")</f>
        <v>Si</v>
      </c>
      <c r="U936" s="11" t="str">
        <f>IFERROR(IF(VLOOKUP(A936,[7]PRIORIZADOS!$A:$U,21,FALSE)="","",VLOOKUP(A936,[7]PRIORIZADOS!$A:$U,21,FALSE)),"")</f>
        <v>Revisión y análisis del plan trabajo a presentar finales del mes de agosto del 2025</v>
      </c>
    </row>
    <row r="937" spans="1:21" s="1" customFormat="1" ht="72">
      <c r="A937" s="69">
        <f>IF([7]PRIORIZADOS!A10="","",[7]PRIORIZADOS!A10)</f>
        <v>879</v>
      </c>
      <c r="B937" s="87">
        <f>IFERROR(IF(VLOOKUP(A937,[7]PRIORIZADOS!$A:$B,2,FALSE)="","",VLOOKUP(A937,[7]PRIORIZADOS!$A:$B,2,FALSE)),"")</f>
        <v>1</v>
      </c>
      <c r="C937" s="11" t="str">
        <f>IFERROR(IF(VLOOKUP(A937,[7]PRIORIZADOS!$A:$C,3,FALSE)="","",VLOOKUP(A937,[7]PRIORIZADOS!$A:$C,3,FALSE)),"")</f>
        <v>FONTIBÓN</v>
      </c>
      <c r="D937" s="69" t="str">
        <f>IFERROR(IF(VLOOKUP(A937,[7]PRIORIZADOS!$A:$D,4,FALSE)="","",VLOOKUP(A937,[7]PRIORIZADOS!$A:$D,4,FALSE)),"")</f>
        <v>PRIVADO</v>
      </c>
      <c r="E937" s="69" t="str">
        <f>IFERROR(IF(VLOOKUP(A937,[7]PRIORIZADOS!$A:$E,5,FALSE)="","",VLOOKUP(A937,[7]PRIORIZADOS!$A:$E,5,FALSE)),"")</f>
        <v>Educación de Jóvenes y Adultos</v>
      </c>
      <c r="F937" s="11" t="str">
        <f>IFERROR(IF(VLOOKUP(A937,[7]PRIORIZADOS!$A:$F,6,FALSE)="","",VLOOKUP(A937,[7]PRIORIZADOS!$A:$F,6,FALSE)),"")</f>
        <v>POLITECNICO_MAYOR_ANDINO</v>
      </c>
      <c r="G937" s="69" t="str">
        <f>IFERROR(IF(VLOOKUP(A937,[7]PRIORIZADOS!$A:$G,7,FALSE)="","",VLOOKUP(A937,[7]PRIORIZADOS!$A:$G,7,FALSE)),"")</f>
        <v>POLITECNICO_MAYOR_ANDINO</v>
      </c>
      <c r="H937" s="11" t="str">
        <f>IFERROR(IF(VLOOKUP(A937,[7]PRIORIZADOS!$A:$H,8,FALSE)="","",VLOOKUP(A937,[7]PRIORIZADOS!$A:$H,8,FALSE)),"")</f>
        <v>Autoevaluación Institucional y Pruebas SABER 11</v>
      </c>
      <c r="I937" s="11" t="str">
        <f>IFERROR(IF(VLOOKUP(A937,[7]PRIORIZADOS!$A:$I,9,FALSE)="","",VLOOKUP(A937,[7]PRIORIZADOS!$A:$I,9,FALSE)),"")</f>
        <v>SEGUIMIENTO_Y_SUPERVISIÓN.</v>
      </c>
      <c r="J937" s="11" t="str">
        <f>IFERROR(IF(VLOOKUP(A937,[7]PRIORIZADOS!$A:$J,10,FALSE)="","",VLOOKUP(A937,[7]PRIORIZADOS!$A:$J,10,FALSE)),"")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37" s="11" t="str">
        <f>IFERROR(IF(VLOOKUP(A937,[7]PRIORIZADOS!$A:$K,11,FALSE)="","",VLOOKUP(A937,[7]PRIORIZADOS!$A:$K,11,FALSE)),"")</f>
        <v>JAIME GABRIEL GONZÁLEZ GAMBOA</v>
      </c>
      <c r="L937" s="11" t="str">
        <f>IFERROR(IF(VLOOKUP(A937,[7]PRIORIZADOS!$A:$L,12,FALSE)="","",VLOOKUP(A937,[7]PRIORIZADOS!$A:$L,12,FALSE)),"")</f>
        <v>JOSÉ GUILLERMO ALARCÓN CUALLA</v>
      </c>
      <c r="M937" s="156">
        <f>IFERROR(IF(VLOOKUP(A937,[7]PRIORIZADOS!$A:$M,13,FALSE)="","",VLOOKUP(A937,[7]PRIORIZADOS!$A:$M,13,FALSE)),"")</f>
        <v>45769</v>
      </c>
      <c r="N937" s="156">
        <f>IFERROR(IF(VLOOKUP(A937,[7]PRIORIZADOS!$A:$N,14,FALSE)="","",VLOOKUP(A937,[7]PRIORIZADOS!$A:$N,14,FALSE)),"")</f>
        <v>45807</v>
      </c>
      <c r="O937" s="156">
        <f>IFERROR(IF(VLOOKUP(A937,[7]PRIORIZADOS!$A:$O,15,FALSE)="","",VLOOKUP(A937,[7]PRIORIZADOS!$A:$O,15,FALSE)),"")</f>
        <v>45807</v>
      </c>
      <c r="P937" s="11" t="str">
        <f>IFERROR(IF(VLOOKUP(A937,[7]PRIORIZADOS!$A:$P,16,FALSE)="","",VLOOKUP(A937,[7]PRIORIZADOS!$A:$P,16,FALSE)),"")</f>
        <v>Visitas de evaluación con fines de mejoramiento</v>
      </c>
      <c r="Q937" s="107" t="s">
        <v>166</v>
      </c>
      <c r="R937" s="11" t="str">
        <f>IFERROR(IF(VLOOKUP(A937,[7]PRIORIZADOS!$A:$R,18,FALSE)="","",VLOOKUP(A937,[7]PRIORIZADOS!$A:$R,18,FALSE)),"")</f>
        <v>La institución no registra  estudiantes en condición de discapacidad; sin embargo, en el SIMAT se registran algunos estudiantes en dicha situación.</v>
      </c>
      <c r="S937" s="11" t="str">
        <f>IFERROR(IF(VLOOKUP(A937,[7]PRIORIZADOS!$A:$S,19,FALSE)="","",VLOOKUP(A937,[7]PRIORIZADOS!$A:$S,19,FALSE)),"")</f>
        <v>La institución debe dirigir comunicación a los padres de familia y a la institución educativa anterior, para que se actualice la información registrada en el SIMAT, el estado y la cifra real de esta población.</v>
      </c>
      <c r="T937" s="70" t="str">
        <f>IFERROR(IF(VLOOKUP(A937,[7]PRIORIZADOS!$A:$T,20,FALSE)="","",VLOOKUP(A937,[7]PRIORIZADOS!$A:$T,20,FALSE)),"")</f>
        <v>Si</v>
      </c>
      <c r="U937" s="11" t="str">
        <f>IFERROR(IF(VLOOKUP(A937,[7]PRIORIZADOS!$A:$U,21,FALSE)="","",VLOOKUP(A937,[7]PRIORIZADOS!$A:$U,21,FALSE)),"")</f>
        <v>Revisión y análisis del plan trabajo a presentar finales del mes de agosto del 2025</v>
      </c>
    </row>
    <row r="938" spans="1:21" s="1" customFormat="1" ht="84">
      <c r="A938" s="69">
        <f>IF([7]PRIORIZADOS!A11="","",[7]PRIORIZADOS!A11)</f>
        <v>880</v>
      </c>
      <c r="B938" s="87">
        <f>IFERROR(IF(VLOOKUP(A938,[7]PRIORIZADOS!$A:$B,2,FALSE)="","",VLOOKUP(A938,[7]PRIORIZADOS!$A:$B,2,FALSE)),"")</f>
        <v>1</v>
      </c>
      <c r="C938" s="11" t="str">
        <f>IFERROR(IF(VLOOKUP(A938,[7]PRIORIZADOS!$A:$C,3,FALSE)="","",VLOOKUP(A938,[7]PRIORIZADOS!$A:$C,3,FALSE)),"")</f>
        <v>FONTIBÓN</v>
      </c>
      <c r="D938" s="69" t="str">
        <f>IFERROR(IF(VLOOKUP(A938,[7]PRIORIZADOS!$A:$D,4,FALSE)="","",VLOOKUP(A938,[7]PRIORIZADOS!$A:$D,4,FALSE)),"")</f>
        <v>PRIVADO</v>
      </c>
      <c r="E938" s="69" t="str">
        <f>IFERROR(IF(VLOOKUP(A938,[7]PRIORIZADOS!$A:$E,5,FALSE)="","",VLOOKUP(A938,[7]PRIORIZADOS!$A:$E,5,FALSE)),"")</f>
        <v>Educación de Jóvenes y Adultos</v>
      </c>
      <c r="F938" s="11" t="str">
        <f>IFERROR(IF(VLOOKUP(A938,[7]PRIORIZADOS!$A:$F,6,FALSE)="","",VLOOKUP(A938,[7]PRIORIZADOS!$A:$F,6,FALSE)),"")</f>
        <v>POLITECNICO_MAYOR_ANDINO</v>
      </c>
      <c r="G938" s="69" t="str">
        <f>IFERROR(IF(VLOOKUP(A938,[7]PRIORIZADOS!$A:$G,7,FALSE)="","",VLOOKUP(A938,[7]PRIORIZADOS!$A:$G,7,FALSE)),"")</f>
        <v>POLITECNICO_MAYOR_ANDINO</v>
      </c>
      <c r="H938" s="11" t="str">
        <f>IFERROR(IF(VLOOKUP(A938,[7]PRIORIZADOS!$A:$H,8,FALSE)="","",VLOOKUP(A938,[7]PRIORIZADOS!$A:$H,8,FALSE)),"")</f>
        <v>Autoevaluación Institucional y Pruebas SABER 11</v>
      </c>
      <c r="I938" s="11" t="str">
        <f>IFERROR(IF(VLOOKUP(A938,[7]PRIORIZADOS!$A:$I,9,FALSE)="","",VLOOKUP(A938,[7]PRIORIZADOS!$A:$I,9,FALSE)),"")</f>
        <v>EVALUACIÓN_CON_FINES_DE_MEJORAMIENTO.</v>
      </c>
      <c r="J938" s="11" t="str">
        <f>IFERROR(IF(VLOOKUP(A938,[7]PRIORIZADOS!$A:$J,10,FALSE)="","",VLOOKUP(A938,[7]PRIORIZADOS!$A:$J,10,FALSE)),"")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38" s="11" t="str">
        <f>IFERROR(IF(VLOOKUP(A938,[7]PRIORIZADOS!$A:$K,11,FALSE)="","",VLOOKUP(A938,[7]PRIORIZADOS!$A:$K,11,FALSE)),"")</f>
        <v>JAIME GABRIEL GONZÁLEZ GAMBOA</v>
      </c>
      <c r="L938" s="11" t="str">
        <f>IFERROR(IF(VLOOKUP(A938,[7]PRIORIZADOS!$A:$L,12,FALSE)="","",VLOOKUP(A938,[7]PRIORIZADOS!$A:$L,12,FALSE)),"")</f>
        <v>JOSÉ GUILLERMO ALARCÓN CUALLA</v>
      </c>
      <c r="M938" s="156">
        <f>IFERROR(IF(VLOOKUP(A938,[7]PRIORIZADOS!$A:$M,13,FALSE)="","",VLOOKUP(A938,[7]PRIORIZADOS!$A:$M,13,FALSE)),"")</f>
        <v>45769</v>
      </c>
      <c r="N938" s="156">
        <f>IFERROR(IF(VLOOKUP(A938,[7]PRIORIZADOS!$A:$N,14,FALSE)="","",VLOOKUP(A938,[7]PRIORIZADOS!$A:$N,14,FALSE)),"")</f>
        <v>45807</v>
      </c>
      <c r="O938" s="156">
        <f>IFERROR(IF(VLOOKUP(A938,[7]PRIORIZADOS!$A:$O,15,FALSE)="","",VLOOKUP(A938,[7]PRIORIZADOS!$A:$O,15,FALSE)),"")</f>
        <v>45807</v>
      </c>
      <c r="P938" s="11" t="str">
        <f>IFERROR(IF(VLOOKUP(A938,[7]PRIORIZADOS!$A:$P,16,FALSE)="","",VLOOKUP(A938,[7]PRIORIZADOS!$A:$P,16,FALSE)),"")</f>
        <v>Visitas de evaluación con fines de mejoramiento</v>
      </c>
      <c r="Q938" s="107" t="s">
        <v>166</v>
      </c>
      <c r="R938" s="11" t="str">
        <f>IFERROR(IF(VLOOKUP(A938,[7]PRIORIZADOS!$A:$R,18,FALSE)="","",VLOOKUP(A938,[7]PRIORIZADOS!$A:$R,18,FALSE)),"")</f>
        <v xml:space="preserve">El manual de convivencia fue construido de manera participativa, pero es necesario que sea conocido por toda la comunidad con énfasis en el enfoque restaurativo y en los mecanismos de previsión y prevención en materia de convivencia.  </v>
      </c>
      <c r="S938" s="11" t="str">
        <f>IFERROR(IF(VLOOKUP(A938,[7]PRIORIZADOS!$A:$S,19,FALSE)="","",VLOOKUP(A938,[7]PRIORIZADOS!$A:$S,19,FALSE)),"")</f>
        <v>Planear y ejecutar programas de sensibilización en torno a la convivencia escolar dirigido a la comunidad educativa.</v>
      </c>
      <c r="T938" s="70" t="str">
        <f>IFERROR(IF(VLOOKUP(A938,[7]PRIORIZADOS!$A:$T,20,FALSE)="","",VLOOKUP(A938,[7]PRIORIZADOS!$A:$T,20,FALSE)),"")</f>
        <v>Si</v>
      </c>
      <c r="U938" s="11" t="str">
        <f>IFERROR(IF(VLOOKUP(A938,[7]PRIORIZADOS!$A:$U,21,FALSE)="","",VLOOKUP(A938,[7]PRIORIZADOS!$A:$U,21,FALSE)),"")</f>
        <v>Revisión y análisis del plan trabajo a presentar finales del mes de agosto del 2025</v>
      </c>
    </row>
    <row r="939" spans="1:21" s="1" customFormat="1" ht="48">
      <c r="A939" s="69">
        <f>IF([7]PRIORIZADOS!A12="","",[7]PRIORIZADOS!A12)</f>
        <v>881</v>
      </c>
      <c r="B939" s="87">
        <f>IFERROR(IF(VLOOKUP(A939,[7]PRIORIZADOS!$A:$B,2,FALSE)="","",VLOOKUP(A939,[7]PRIORIZADOS!$A:$B,2,FALSE)),"")</f>
        <v>1</v>
      </c>
      <c r="C939" s="11" t="str">
        <f>IFERROR(IF(VLOOKUP(A939,[7]PRIORIZADOS!$A:$C,3,FALSE)="","",VLOOKUP(A939,[7]PRIORIZADOS!$A:$C,3,FALSE)),"")</f>
        <v>FONTIBÓN</v>
      </c>
      <c r="D939" s="69" t="str">
        <f>IFERROR(IF(VLOOKUP(A939,[7]PRIORIZADOS!$A:$D,4,FALSE)="","",VLOOKUP(A939,[7]PRIORIZADOS!$A:$D,4,FALSE)),"")</f>
        <v>PRIVADO</v>
      </c>
      <c r="E939" s="69" t="str">
        <f>IFERROR(IF(VLOOKUP(A939,[7]PRIORIZADOS!$A:$E,5,FALSE)="","",VLOOKUP(A939,[7]PRIORIZADOS!$A:$E,5,FALSE)),"")</f>
        <v>Educación de Jóvenes y Adultos</v>
      </c>
      <c r="F939" s="11" t="str">
        <f>IFERROR(IF(VLOOKUP(A939,[7]PRIORIZADOS!$A:$F,6,FALSE)="","",VLOOKUP(A939,[7]PRIORIZADOS!$A:$F,6,FALSE)),"")</f>
        <v>POLITECNICO_MAYOR_ANDINO</v>
      </c>
      <c r="G939" s="69" t="str">
        <f>IFERROR(IF(VLOOKUP(A939,[7]PRIORIZADOS!$A:$G,7,FALSE)="","",VLOOKUP(A939,[7]PRIORIZADOS!$A:$G,7,FALSE)),"")</f>
        <v>POLITECNICO_MAYOR_ANDINO</v>
      </c>
      <c r="H939" s="11" t="str">
        <f>IFERROR(IF(VLOOKUP(A939,[7]PRIORIZADOS!$A:$H,8,FALSE)="","",VLOOKUP(A939,[7]PRIORIZADOS!$A:$H,8,FALSE)),"")</f>
        <v>Autoevaluación Institucional y Pruebas SABER 11</v>
      </c>
      <c r="I939" s="11" t="str">
        <f>IFERROR(IF(VLOOKUP(A939,[7]PRIORIZADOS!$A:$I,9,FALSE)="","",VLOOKUP(A939,[7]PRIORIZADOS!$A:$I,9,FALSE)),"")</f>
        <v>EVALUACIÓN_CON_FINES_DE_MEJORAMIENTO.</v>
      </c>
      <c r="J939" s="11" t="str">
        <f>IFERROR(IF(VLOOKUP(A939,[7]PRIORIZADOS!$A:$J,10,FALSE)="","",VLOOKUP(A939,[7]PRIORIZADOS!$A:$J,10,FALSE)),"")</f>
        <v>Revisar la actualización, socialización e implementación del Sistema Institucional de Evaluación de Estudiantes - SIEE, en articulación con la actualización del PEI y la normatividad vigente.</v>
      </c>
      <c r="K939" s="11" t="str">
        <f>IFERROR(IF(VLOOKUP(A939,[7]PRIORIZADOS!$A:$K,11,FALSE)="","",VLOOKUP(A939,[7]PRIORIZADOS!$A:$K,11,FALSE)),"")</f>
        <v>JAIME GABRIEL GONZÁLEZ GAMBOA</v>
      </c>
      <c r="L939" s="11" t="str">
        <f>IFERROR(IF(VLOOKUP(A939,[7]PRIORIZADOS!$A:$L,12,FALSE)="","",VLOOKUP(A939,[7]PRIORIZADOS!$A:$L,12,FALSE)),"")</f>
        <v>JOSÉ GUILLERMO ALARCÓN CUALLA</v>
      </c>
      <c r="M939" s="156">
        <f>IFERROR(IF(VLOOKUP(A939,[7]PRIORIZADOS!$A:$M,13,FALSE)="","",VLOOKUP(A939,[7]PRIORIZADOS!$A:$M,13,FALSE)),"")</f>
        <v>45769</v>
      </c>
      <c r="N939" s="156">
        <f>IFERROR(IF(VLOOKUP(A939,[7]PRIORIZADOS!$A:$N,14,FALSE)="","",VLOOKUP(A939,[7]PRIORIZADOS!$A:$N,14,FALSE)),"")</f>
        <v>45807</v>
      </c>
      <c r="O939" s="156">
        <f>IFERROR(IF(VLOOKUP(A939,[7]PRIORIZADOS!$A:$O,15,FALSE)="","",VLOOKUP(A939,[7]PRIORIZADOS!$A:$O,15,FALSE)),"")</f>
        <v>45807</v>
      </c>
      <c r="P939" s="11" t="str">
        <f>IFERROR(IF(VLOOKUP(A939,[7]PRIORIZADOS!$A:$P,16,FALSE)="","",VLOOKUP(A939,[7]PRIORIZADOS!$A:$P,16,FALSE)),"")</f>
        <v>Visitas de evaluación con fines de mejoramiento</v>
      </c>
      <c r="Q939" s="107" t="s">
        <v>166</v>
      </c>
      <c r="R939" s="11" t="str">
        <f>IFERROR(IF(VLOOKUP(A939,[7]PRIORIZADOS!$A:$R,18,FALSE)="","",VLOOKUP(A939,[7]PRIORIZADOS!$A:$R,18,FALSE)),"")</f>
        <v>El sistema institucional de evaluación estudiantil se debe revisar, en razón a que la institución solo emite un informe académico durante el ciclo.</v>
      </c>
      <c r="S939" s="11" t="str">
        <f>IFERROR(IF(VLOOKUP(A939,[7]PRIORIZADOS!$A:$S,19,FALSE)="","",VLOOKUP(A939,[7]PRIORIZADOS!$A:$S,19,FALSE)),"")</f>
        <v>La institución debe generar informes académicos periódicos del desempeño de los estudiantes y documentarlo en el SIEE.</v>
      </c>
      <c r="T939" s="70" t="str">
        <f>IFERROR(IF(VLOOKUP(A939,[7]PRIORIZADOS!$A:$T,20,FALSE)="","",VLOOKUP(A939,[7]PRIORIZADOS!$A:$T,20,FALSE)),"")</f>
        <v>Si</v>
      </c>
      <c r="U939" s="11" t="str">
        <f>IFERROR(IF(VLOOKUP(A939,[7]PRIORIZADOS!$A:$U,21,FALSE)="","",VLOOKUP(A939,[7]PRIORIZADOS!$A:$U,21,FALSE)),"")</f>
        <v>Revisión y análisis del plan trabajo a presentar finales del mes de agosto del 2025</v>
      </c>
    </row>
    <row r="940" spans="1:21" s="1" customFormat="1" ht="99.75" customHeight="1">
      <c r="A940" s="69">
        <f>IF([7]PRIORIZADOS!A13="","",[7]PRIORIZADOS!A13)</f>
        <v>882</v>
      </c>
      <c r="B940" s="87">
        <f>IFERROR(IF(VLOOKUP(A940,[7]PRIORIZADOS!$A:$B,2,FALSE)="","",VLOOKUP(A940,[7]PRIORIZADOS!$A:$B,2,FALSE)),"")</f>
        <v>1</v>
      </c>
      <c r="C940" s="11" t="str">
        <f>IFERROR(IF(VLOOKUP(A940,[7]PRIORIZADOS!$A:$C,3,FALSE)="","",VLOOKUP(A940,[7]PRIORIZADOS!$A:$C,3,FALSE)),"")</f>
        <v>FONTIBÓN</v>
      </c>
      <c r="D940" s="69" t="str">
        <f>IFERROR(IF(VLOOKUP(A940,[7]PRIORIZADOS!$A:$D,4,FALSE)="","",VLOOKUP(A940,[7]PRIORIZADOS!$A:$D,4,FALSE)),"")</f>
        <v>PRIVADO</v>
      </c>
      <c r="E940" s="69" t="str">
        <f>IFERROR(IF(VLOOKUP(A940,[7]PRIORIZADOS!$A:$E,5,FALSE)="","",VLOOKUP(A940,[7]PRIORIZADOS!$A:$E,5,FALSE)),"")</f>
        <v>Educación de Jóvenes y Adultos</v>
      </c>
      <c r="F940" s="11" t="str">
        <f>IFERROR(IF(VLOOKUP(A940,[7]PRIORIZADOS!$A:$F,6,FALSE)="","",VLOOKUP(A940,[7]PRIORIZADOS!$A:$F,6,FALSE)),"")</f>
        <v>POLITECNICO_MAYOR_ANDINO</v>
      </c>
      <c r="G940" s="69" t="str">
        <f>IFERROR(IF(VLOOKUP(A940,[7]PRIORIZADOS!$A:$G,7,FALSE)="","",VLOOKUP(A940,[7]PRIORIZADOS!$A:$G,7,FALSE)),"")</f>
        <v>POLITECNICO_MAYOR_ANDINO</v>
      </c>
      <c r="H940" s="11" t="str">
        <f>IFERROR(IF(VLOOKUP(A940,[7]PRIORIZADOS!$A:$H,8,FALSE)="","",VLOOKUP(A940,[7]PRIORIZADOS!$A:$H,8,FALSE)),"")</f>
        <v>Autoevaluación Institucional y Pruebas SABER 11</v>
      </c>
      <c r="I940" s="11" t="str">
        <f>IFERROR(IF(VLOOKUP(A940,[7]PRIORIZADOS!$A:$I,9,FALSE)="","",VLOOKUP(A940,[7]PRIORIZADOS!$A:$I,9,FALSE)),"")</f>
        <v>EVALUACIÓN_CON_FINES_DE_MEJORAMIENTO.</v>
      </c>
      <c r="J940" s="11" t="str">
        <f>IFERROR(IF(VLOOKUP(A940,[7]PRIORIZADOS!$A:$J,10,FALSE)="","",VLOOKUP(A940,[7]PRIORIZADOS!$A:$J,10,FALSE)),"")</f>
        <v>Revisar el calendario escolar, jornada escolar, la intensidad horaria mínima anual en cada nivel y las modificaciones que se realicen al mismo, de acuerdo con lo previsto en la normatividad vigente.</v>
      </c>
      <c r="K940" s="11" t="str">
        <f>IFERROR(IF(VLOOKUP(A940,[7]PRIORIZADOS!$A:$K,11,FALSE)="","",VLOOKUP(A940,[7]PRIORIZADOS!$A:$K,11,FALSE)),"")</f>
        <v>JAIME GABRIEL GONZÁLEZ GAMBOA</v>
      </c>
      <c r="L940" s="11" t="str">
        <f>IFERROR(IF(VLOOKUP(A940,[7]PRIORIZADOS!$A:$L,12,FALSE)="","",VLOOKUP(A940,[7]PRIORIZADOS!$A:$L,12,FALSE)),"")</f>
        <v>JOSÉ GUILLERMO ALARCÓN CUALLA</v>
      </c>
      <c r="M940" s="156">
        <f>IFERROR(IF(VLOOKUP(A940,[7]PRIORIZADOS!$A:$M,13,FALSE)="","",VLOOKUP(A940,[7]PRIORIZADOS!$A:$M,13,FALSE)),"")</f>
        <v>45769</v>
      </c>
      <c r="N940" s="156">
        <f>IFERROR(IF(VLOOKUP(A940,[7]PRIORIZADOS!$A:$N,14,FALSE)="","",VLOOKUP(A940,[7]PRIORIZADOS!$A:$N,14,FALSE)),"")</f>
        <v>45807</v>
      </c>
      <c r="O940" s="156">
        <f>IFERROR(IF(VLOOKUP(A940,[7]PRIORIZADOS!$A:$O,15,FALSE)="","",VLOOKUP(A940,[7]PRIORIZADOS!$A:$O,15,FALSE)),"")</f>
        <v>45807</v>
      </c>
      <c r="P940" s="11" t="str">
        <f>IFERROR(IF(VLOOKUP(A940,[7]PRIORIZADOS!$A:$P,16,FALSE)="","",VLOOKUP(A940,[7]PRIORIZADOS!$A:$P,16,FALSE)),"")</f>
        <v>Visitas de evaluación con fines de mejoramiento</v>
      </c>
      <c r="Q940" s="107" t="s">
        <v>166</v>
      </c>
      <c r="R940" s="11" t="str">
        <f>IFERROR(IF(VLOOKUP(A940,[7]PRIORIZADOS!$A:$R,18,FALSE)="","",VLOOKUP(A940,[7]PRIORIZADOS!$A:$R,18,FALSE)),"")</f>
        <v>La institución educativa debe realizar la evaluación y ajuste de la intensidad horaria mínima para cada área académica del respectivo nivel, el cual debe ser informado oportunamente a los estudiantes y/o acudientes.</v>
      </c>
      <c r="S940" s="11" t="str">
        <f>IFERROR(IF(VLOOKUP(A940,[7]PRIORIZADOS!$A:$S,19,FALSE)="","",VLOOKUP(A940,[7]PRIORIZADOS!$A:$S,19,FALSE)),"")</f>
        <v>Evaluación y ajuste de los tiempos escolares en garantía del servicio educativo.</v>
      </c>
      <c r="T940" s="70" t="str">
        <f>IFERROR(IF(VLOOKUP(A940,[7]PRIORIZADOS!$A:$T,20,FALSE)="","",VLOOKUP(A940,[7]PRIORIZADOS!$A:$T,20,FALSE)),"")</f>
        <v>Si</v>
      </c>
      <c r="U940" s="11" t="str">
        <f>IFERROR(IF(VLOOKUP(A940,[7]PRIORIZADOS!$A:$U,21,FALSE)="","",VLOOKUP(A940,[7]PRIORIZADOS!$A:$U,21,FALSE)),"")</f>
        <v>Revisión y análisis del plan trabajo a presentar finales del mes de agosto del 2025</v>
      </c>
    </row>
    <row r="941" spans="1:21" s="1" customFormat="1" ht="48">
      <c r="A941" s="69">
        <f>IF([7]PRIORIZADOS!A14="","",[7]PRIORIZADOS!A14)</f>
        <v>883</v>
      </c>
      <c r="B941" s="87">
        <f>IFERROR(IF(VLOOKUP(A941,[7]PRIORIZADOS!$A:$B,2,FALSE)="","",VLOOKUP(A941,[7]PRIORIZADOS!$A:$B,2,FALSE)),"")</f>
        <v>1</v>
      </c>
      <c r="C941" s="11" t="str">
        <f>IFERROR(IF(VLOOKUP(A941,[7]PRIORIZADOS!$A:$C,3,FALSE)="","",VLOOKUP(A941,[7]PRIORIZADOS!$A:$C,3,FALSE)),"")</f>
        <v>FONTIBÓN</v>
      </c>
      <c r="D941" s="69" t="str">
        <f>IFERROR(IF(VLOOKUP(A941,[7]PRIORIZADOS!$A:$D,4,FALSE)="","",VLOOKUP(A941,[7]PRIORIZADOS!$A:$D,4,FALSE)),"")</f>
        <v>PRIVADO</v>
      </c>
      <c r="E941" s="69" t="str">
        <f>IFERROR(IF(VLOOKUP(A941,[7]PRIORIZADOS!$A:$E,5,FALSE)="","",VLOOKUP(A941,[7]PRIORIZADOS!$A:$E,5,FALSE)),"")</f>
        <v>Educación de Jóvenes y Adultos</v>
      </c>
      <c r="F941" s="11" t="str">
        <f>IFERROR(IF(VLOOKUP(A941,[7]PRIORIZADOS!$A:$F,6,FALSE)="","",VLOOKUP(A941,[7]PRIORIZADOS!$A:$F,6,FALSE)),"")</f>
        <v>POLITECNICO_MAYOR_ANDINO</v>
      </c>
      <c r="G941" s="69" t="str">
        <f>IFERROR(IF(VLOOKUP(A941,[7]PRIORIZADOS!$A:$G,7,FALSE)="","",VLOOKUP(A941,[7]PRIORIZADOS!$A:$G,7,FALSE)),"")</f>
        <v>POLITECNICO_MAYOR_ANDINO</v>
      </c>
      <c r="H941" s="11" t="str">
        <f>IFERROR(IF(VLOOKUP(A941,[7]PRIORIZADOS!$A:$H,8,FALSE)="","",VLOOKUP(A941,[7]PRIORIZADOS!$A:$H,8,FALSE)),"")</f>
        <v>Autoevaluación Institucional y Pruebas SABER 11</v>
      </c>
      <c r="I941" s="11" t="str">
        <f>IFERROR(IF(VLOOKUP(A941,[7]PRIORIZADOS!$A:$I,9,FALSE)="","",VLOOKUP(A941,[7]PRIORIZADOS!$A:$I,9,FALSE)),"")</f>
        <v>EVALUACIÓN_CON_FINES_DE_MEJORAMIENTO.</v>
      </c>
      <c r="J941" s="11" t="str">
        <f>IFERROR(IF(VLOOKUP(A941,[7]PRIORIZADOS!$A:$J,10,FALSE)="","",VLOOKUP(A941,[7]PRIORIZADOS!$A:$J,10,FALSE)),"")</f>
        <v>Verificar el funcionamiento del Gobierno Escolar e instancias de participación con base en la información sobre conformación reportada por la institución educativa.</v>
      </c>
      <c r="K941" s="11" t="str">
        <f>IFERROR(IF(VLOOKUP(A941,[7]PRIORIZADOS!$A:$K,11,FALSE)="","",VLOOKUP(A941,[7]PRIORIZADOS!$A:$K,11,FALSE)),"")</f>
        <v>JAIME GABRIEL GONZÁLEZ GAMBOA</v>
      </c>
      <c r="L941" s="11" t="str">
        <f>IFERROR(IF(VLOOKUP(A941,[7]PRIORIZADOS!$A:$L,12,FALSE)="","",VLOOKUP(A941,[7]PRIORIZADOS!$A:$L,12,FALSE)),"")</f>
        <v>JOSÉ GUILLERMO ALARCÓN CUALLA</v>
      </c>
      <c r="M941" s="156">
        <f>IFERROR(IF(VLOOKUP(A941,[7]PRIORIZADOS!$A:$M,13,FALSE)="","",VLOOKUP(A941,[7]PRIORIZADOS!$A:$M,13,FALSE)),"")</f>
        <v>45769</v>
      </c>
      <c r="N941" s="156">
        <f>IFERROR(IF(VLOOKUP(A941,[7]PRIORIZADOS!$A:$N,14,FALSE)="","",VLOOKUP(A941,[7]PRIORIZADOS!$A:$N,14,FALSE)),"")</f>
        <v>45807</v>
      </c>
      <c r="O941" s="156">
        <f>IFERROR(IF(VLOOKUP(A941,[7]PRIORIZADOS!$A:$O,15,FALSE)="","",VLOOKUP(A941,[7]PRIORIZADOS!$A:$O,15,FALSE)),"")</f>
        <v>45807</v>
      </c>
      <c r="P941" s="11" t="str">
        <f>IFERROR(IF(VLOOKUP(A941,[7]PRIORIZADOS!$A:$P,16,FALSE)="","",VLOOKUP(A941,[7]PRIORIZADOS!$A:$P,16,FALSE)),"")</f>
        <v>Visitas de evaluación con fines de mejoramiento</v>
      </c>
      <c r="Q941" s="107" t="s">
        <v>166</v>
      </c>
      <c r="R941" s="11" t="str">
        <f>IFERROR(IF(VLOOKUP(A941,[7]PRIORIZADOS!$A:$R,18,FALSE)="","",VLOOKUP(A941,[7]PRIORIZADOS!$A:$R,18,FALSE)),"")</f>
        <v>El Gobierno escolar está constituido de acuerdo a lo establecido en norma y soportado en actas, pero en el primer trimestre no se había reunido .</v>
      </c>
      <c r="S941" s="11" t="str">
        <f>IFERROR(IF(VLOOKUP(A941,[7]PRIORIZADOS!$A:$S,19,FALSE)="","",VLOOKUP(A941,[7]PRIORIZADOS!$A:$S,19,FALSE)),"")</f>
        <v>Se debe convocar a las diferentes instancias del gobierno escolar para lo  de su competencia.</v>
      </c>
      <c r="T941" s="70" t="str">
        <f>IFERROR(IF(VLOOKUP(A941,[7]PRIORIZADOS!$A:$T,20,FALSE)="","",VLOOKUP(A941,[7]PRIORIZADOS!$A:$T,20,FALSE)),"")</f>
        <v>Si</v>
      </c>
      <c r="U941" s="11" t="str">
        <f>IFERROR(IF(VLOOKUP(A941,[7]PRIORIZADOS!$A:$U,21,FALSE)="","",VLOOKUP(A941,[7]PRIORIZADOS!$A:$U,21,FALSE)),"")</f>
        <v>Revisión y análisis del plan trabajo a presentar finales del mes de agosto del 2025</v>
      </c>
    </row>
    <row r="942" spans="1:21" s="1" customFormat="1" ht="99.75" customHeight="1">
      <c r="A942" s="69">
        <f>IF([7]PRIORIZADOS!A15="","",[7]PRIORIZADOS!A15)</f>
        <v>884</v>
      </c>
      <c r="B942" s="87">
        <f>IFERROR(IF(VLOOKUP(A942,[7]PRIORIZADOS!$A:$B,2,FALSE)="","",VLOOKUP(A942,[7]PRIORIZADOS!$A:$B,2,FALSE)),"")</f>
        <v>1</v>
      </c>
      <c r="C942" s="11" t="str">
        <f>IFERROR(IF(VLOOKUP(A942,[7]PRIORIZADOS!$A:$C,3,FALSE)="","",VLOOKUP(A942,[7]PRIORIZADOS!$A:$C,3,FALSE)),"")</f>
        <v>FONTIBÓN</v>
      </c>
      <c r="D942" s="69" t="str">
        <f>IFERROR(IF(VLOOKUP(A942,[7]PRIORIZADOS!$A:$D,4,FALSE)="","",VLOOKUP(A942,[7]PRIORIZADOS!$A:$D,4,FALSE)),"")</f>
        <v>PRIVADO</v>
      </c>
      <c r="E942" s="69" t="str">
        <f>IFERROR(IF(VLOOKUP(A942,[7]PRIORIZADOS!$A:$E,5,FALSE)="","",VLOOKUP(A942,[7]PRIORIZADOS!$A:$E,5,FALSE)),"")</f>
        <v>Educación de Jóvenes y Adultos</v>
      </c>
      <c r="F942" s="11" t="str">
        <f>IFERROR(IF(VLOOKUP(A942,[7]PRIORIZADOS!$A:$F,6,FALSE)="","",VLOOKUP(A942,[7]PRIORIZADOS!$A:$F,6,FALSE)),"")</f>
        <v>POLITECNICO_MAYOR_ANDINO</v>
      </c>
      <c r="G942" s="69" t="str">
        <f>IFERROR(IF(VLOOKUP(A942,[7]PRIORIZADOS!$A:$G,7,FALSE)="","",VLOOKUP(A942,[7]PRIORIZADOS!$A:$G,7,FALSE)),"")</f>
        <v>POLITECNICO_MAYOR_ANDINO</v>
      </c>
      <c r="H942" s="11" t="str">
        <f>IFERROR(IF(VLOOKUP(A942,[7]PRIORIZADOS!$A:$H,8,FALSE)="","",VLOOKUP(A942,[7]PRIORIZADOS!$A:$H,8,FALSE)),"")</f>
        <v>Autoevaluación Institucional y Pruebas SABER 11</v>
      </c>
      <c r="I942" s="11" t="str">
        <f>IFERROR(IF(VLOOKUP(A942,[7]PRIORIZADOS!$A:$I,9,FALSE)="","",VLOOKUP(A942,[7]PRIORIZADOS!$A:$I,9,FALSE)),"")</f>
        <v>EVALUACIÓN_CON_FINES_DE_MEJORAMIENTO.</v>
      </c>
      <c r="J942" s="11" t="str">
        <f>IFERROR(IF(VLOOKUP(A942,[7]PRIORIZADOS!$A:$J,10,FALSE)="","",VLOOKUP(A942,[7]PRIORIZADOS!$A:$J,10,FALSE)),"")</f>
        <v>Verificar las condiciones en cuanto a: la estructura administrativa, condiciones de la planta física y medios educativos adecuados.</v>
      </c>
      <c r="K942" s="11" t="str">
        <f>IFERROR(IF(VLOOKUP(A942,[7]PRIORIZADOS!$A:$K,11,FALSE)="","",VLOOKUP(A942,[7]PRIORIZADOS!$A:$K,11,FALSE)),"")</f>
        <v>JAIME GABRIEL GONZÁLEZ GAMBOA</v>
      </c>
      <c r="L942" s="11" t="str">
        <f>IFERROR(IF(VLOOKUP(A942,[7]PRIORIZADOS!$A:$L,12,FALSE)="","",VLOOKUP(A942,[7]PRIORIZADOS!$A:$L,12,FALSE)),"")</f>
        <v>JOSÉ GUILLERMO ALARCÓN CUALLA</v>
      </c>
      <c r="M942" s="156">
        <f>IFERROR(IF(VLOOKUP(A942,[7]PRIORIZADOS!$A:$M,13,FALSE)="","",VLOOKUP(A942,[7]PRIORIZADOS!$A:$M,13,FALSE)),"")</f>
        <v>45769</v>
      </c>
      <c r="N942" s="156">
        <f>IFERROR(IF(VLOOKUP(A942,[7]PRIORIZADOS!$A:$N,14,FALSE)="","",VLOOKUP(A942,[7]PRIORIZADOS!$A:$N,14,FALSE)),"")</f>
        <v>45807</v>
      </c>
      <c r="O942" s="156">
        <f>IFERROR(IF(VLOOKUP(A942,[7]PRIORIZADOS!$A:$O,15,FALSE)="","",VLOOKUP(A942,[7]PRIORIZADOS!$A:$O,15,FALSE)),"")</f>
        <v>45807</v>
      </c>
      <c r="P942" s="11" t="str">
        <f>IFERROR(IF(VLOOKUP(A942,[7]PRIORIZADOS!$A:$P,16,FALSE)="","",VLOOKUP(A942,[7]PRIORIZADOS!$A:$P,16,FALSE)),"")</f>
        <v>Visitas de evaluación con fines de mejoramiento</v>
      </c>
      <c r="Q942" s="107" t="s">
        <v>166</v>
      </c>
      <c r="R942" s="11" t="str">
        <f>IFERROR(IF(VLOOKUP(A942,[7]PRIORIZADOS!$A:$R,18,FALSE)="","",VLOOKUP(A942,[7]PRIORIZADOS!$A:$R,18,FALSE)),"")</f>
        <v>El mobiliario se encuentra funcional y en buen estado, no tiene escenarios habilitados para actividades recreativas, lúdicas o deportivas.</v>
      </c>
      <c r="S942" s="11" t="str">
        <f>IFERROR(IF(VLOOKUP(A942,[7]PRIORIZADOS!$A:$S,19,FALSE)="","",VLOOKUP(A942,[7]PRIORIZADOS!$A:$S,19,FALSE)),"")</f>
        <v>Se deben activar y adecuar áreas que no están en servicio, para el desarrollo de las actividades lúdicas, recreativas y culturales.</v>
      </c>
      <c r="T942" s="70" t="str">
        <f>IFERROR(IF(VLOOKUP(A942,[7]PRIORIZADOS!$A:$T,20,FALSE)="","",VLOOKUP(A942,[7]PRIORIZADOS!$A:$T,20,FALSE)),"")</f>
        <v>Si</v>
      </c>
      <c r="U942" s="11" t="str">
        <f>IFERROR(IF(VLOOKUP(A942,[7]PRIORIZADOS!$A:$U,21,FALSE)="","",VLOOKUP(A942,[7]PRIORIZADOS!$A:$U,21,FALSE)),"")</f>
        <v>Revisión y análisis del plan trabajo a presentar finales del mes de agosto del 2025</v>
      </c>
    </row>
    <row r="943" spans="1:21" s="1" customFormat="1" ht="99.75" customHeight="1">
      <c r="A943" s="69">
        <f>IF([7]PRIORIZADOS!A16="","",[7]PRIORIZADOS!A16)</f>
        <v>886</v>
      </c>
      <c r="B943" s="87">
        <f>IFERROR(IF(VLOOKUP(A943,[7]PRIORIZADOS!$A:$B,2,FALSE)="","",VLOOKUP(A943,[7]PRIORIZADOS!$A:$B,2,FALSE)),"")</f>
        <v>2</v>
      </c>
      <c r="C943" s="11" t="str">
        <f>IFERROR(IF(VLOOKUP(A943,[7]PRIORIZADOS!$A:$C,3,FALSE)="","",VLOOKUP(A943,[7]PRIORIZADOS!$A:$C,3,FALSE)),"")</f>
        <v>FONTIBÓN</v>
      </c>
      <c r="D943" s="69" t="str">
        <f>IFERROR(IF(VLOOKUP(A943,[7]PRIORIZADOS!$A:$D,4,FALSE)="","",VLOOKUP(A943,[7]PRIORIZADOS!$A:$D,4,FALSE)),"")</f>
        <v>PRIVADO</v>
      </c>
      <c r="E943" s="69" t="str">
        <f>IFERROR(IF(VLOOKUP(A943,[7]PRIORIZADOS!$A:$E,5,FALSE)="","",VLOOKUP(A943,[7]PRIORIZADOS!$A:$E,5,FALSE)),"")</f>
        <v>Educación de Jóvenes y Adultos</v>
      </c>
      <c r="F943" s="11" t="str">
        <f>IFERROR(IF(VLOOKUP(A943,[7]PRIORIZADOS!$A:$F,6,FALSE)="","",VLOOKUP(A943,[7]PRIORIZADOS!$A:$F,6,FALSE)),"")</f>
        <v>COLEGIO_TECNISISTEMAS</v>
      </c>
      <c r="G943" s="69" t="str">
        <f>IFERROR(IF(VLOOKUP(A943,[7]PRIORIZADOS!$A:$G,7,FALSE)="","",VLOOKUP(A943,[7]PRIORIZADOS!$A:$G,7,FALSE)),"")</f>
        <v>COLEGIO_TECNISISTEMAS</v>
      </c>
      <c r="H943" s="11" t="str">
        <f>IFERROR(IF(VLOOKUP(A943,[7]PRIORIZADOS!$A:$H,8,FALSE)="","",VLOOKUP(A943,[7]PRIORIZADOS!$A:$H,8,FALSE)),"")</f>
        <v>Autoevaluación Institucional y Pruebas SABER 11</v>
      </c>
      <c r="I943" s="11" t="str">
        <f>IFERROR(IF(VLOOKUP(A943,[7]PRIORIZADOS!$A:$I,9,FALSE)="","",VLOOKUP(A943,[7]PRIORIZADOS!$A:$I,9,FALSE)),"")</f>
        <v>SEGUIMIENTO_Y_SUPERVISIÓN.</v>
      </c>
      <c r="J943" s="11" t="str">
        <f>IFERROR(IF(VLOOKUP(A943,[7]PRIORIZADOS!$A:$J,10,FALSE)="","",VLOOKUP(A943,[7]PRIORIZADOS!$A:$J,10,FALSE)),"")</f>
        <v>Proponer estrategias en la formulación, verificar su elaboración y realizar seguimiento semestral al desarrollo de  las acciones establecidas en los planes de mejoramiento por pruebas SABER 11 de los establecimientos de educación formal.</v>
      </c>
      <c r="K943" s="11" t="str">
        <f>IFERROR(IF(VLOOKUP(A943,[7]PRIORIZADOS!$A:$K,11,FALSE)="","",VLOOKUP(A943,[7]PRIORIZADOS!$A:$K,11,FALSE)),"")</f>
        <v>JOSÉ GUILLERMO ALARCÓN CUALLA</v>
      </c>
      <c r="L943" s="11" t="str">
        <f>IFERROR(IF(VLOOKUP(A943,[7]PRIORIZADOS!$A:$L,12,FALSE)="","",VLOOKUP(A943,[7]PRIORIZADOS!$A:$L,12,FALSE)),"")</f>
        <v>JAIME GABRIEL GONZÁLEZ GAMBOA</v>
      </c>
      <c r="M943" s="156">
        <f>IFERROR(IF(VLOOKUP(A943,[7]PRIORIZADOS!$A:$M,13,FALSE)="","",VLOOKUP(A943,[7]PRIORIZADOS!$A:$M,13,FALSE)),"")</f>
        <v>45799</v>
      </c>
      <c r="N943" s="156">
        <f>IFERROR(IF(VLOOKUP(A943,[7]PRIORIZADOS!$A:$N,14,FALSE)="","",VLOOKUP(A943,[7]PRIORIZADOS!$A:$N,14,FALSE)),"")</f>
        <v>45783</v>
      </c>
      <c r="O943" s="156">
        <f>IFERROR(IF(VLOOKUP(A943,[7]PRIORIZADOS!$A:$O,15,FALSE)="","",VLOOKUP(A943,[7]PRIORIZADOS!$A:$O,15,FALSE)),"")</f>
        <v>45783</v>
      </c>
      <c r="P943" s="11" t="str">
        <f>IFERROR(IF(VLOOKUP(A943,[7]PRIORIZADOS!$A:$P,16,FALSE)="","",VLOOKUP(A943,[7]PRIORIZADOS!$A:$P,16,FALSE)),"")</f>
        <v>Visitas de evaluación con fines de mejoramiento</v>
      </c>
      <c r="Q943" s="107" t="s">
        <v>167</v>
      </c>
      <c r="R943" s="11" t="str">
        <f>IFERROR(IF(VLOOKUP(A943,[7]PRIORIZADOS!$A:$R,18,FALSE)="","",VLOOKUP(A943,[7]PRIORIZADOS!$A:$R,18,FALSE)),"")</f>
        <v>La IE se encuentra clasificada pruebas SABER 11 vigencia 2024 – NIVEL C., se identifica que es necesario hacer reflexión de los resultados por área de valoración.</v>
      </c>
      <c r="S943" s="11" t="str">
        <f>IFERROR(IF(VLOOKUP(A943,[7]PRIORIZADOS!$A:$S,19,FALSE)="","",VLOOKUP(A943,[7]PRIORIZADOS!$A:$S,19,FALSE)),"")</f>
        <v>Generar el análisis institucional por área de estudio y resultados, con el fin de potenciar estrategias académicas de evaluación.</v>
      </c>
      <c r="T943" s="70" t="str">
        <f>IFERROR(IF(VLOOKUP(A943,[7]PRIORIZADOS!$A:$T,20,FALSE)="","",VLOOKUP(A943,[7]PRIORIZADOS!$A:$T,20,FALSE)),"")</f>
        <v>Si</v>
      </c>
      <c r="U943" s="11" t="str">
        <f>IFERROR(IF(VLOOKUP(A943,[7]PRIORIZADOS!$A:$U,21,FALSE)="","",VLOOKUP(A943,[7]PRIORIZADOS!$A:$U,21,FALSE)),"")</f>
        <v>Revisión y análisis de la  proyección de mejoramiento con base en el análisis de resultados, el 15 de agosto.</v>
      </c>
    </row>
    <row r="944" spans="1:21" s="1" customFormat="1" ht="99.75" customHeight="1">
      <c r="A944" s="69">
        <f>IF([7]PRIORIZADOS!A17="","",[7]PRIORIZADOS!A17)</f>
        <v>887</v>
      </c>
      <c r="B944" s="87">
        <f>IFERROR(IF(VLOOKUP(A944,[7]PRIORIZADOS!$A:$B,2,FALSE)="","",VLOOKUP(A944,[7]PRIORIZADOS!$A:$B,2,FALSE)),"")</f>
        <v>2</v>
      </c>
      <c r="C944" s="11" t="str">
        <f>IFERROR(IF(VLOOKUP(A944,[7]PRIORIZADOS!$A:$C,3,FALSE)="","",VLOOKUP(A944,[7]PRIORIZADOS!$A:$C,3,FALSE)),"")</f>
        <v>FONTIBÓN</v>
      </c>
      <c r="D944" s="69" t="str">
        <f>IFERROR(IF(VLOOKUP(A944,[7]PRIORIZADOS!$A:$D,4,FALSE)="","",VLOOKUP(A944,[7]PRIORIZADOS!$A:$D,4,FALSE)),"")</f>
        <v>PRIVADO</v>
      </c>
      <c r="E944" s="69" t="str">
        <f>IFERROR(IF(VLOOKUP(A944,[7]PRIORIZADOS!$A:$E,5,FALSE)="","",VLOOKUP(A944,[7]PRIORIZADOS!$A:$E,5,FALSE)),"")</f>
        <v>Educación de Jóvenes y Adultos</v>
      </c>
      <c r="F944" s="11" t="str">
        <f>IFERROR(IF(VLOOKUP(A944,[7]PRIORIZADOS!$A:$F,6,FALSE)="","",VLOOKUP(A944,[7]PRIORIZADOS!$A:$F,6,FALSE)),"")</f>
        <v>COLEGIO_TECNISISTEMAS</v>
      </c>
      <c r="G944" s="69" t="str">
        <f>IFERROR(IF(VLOOKUP(A944,[7]PRIORIZADOS!$A:$G,7,FALSE)="","",VLOOKUP(A944,[7]PRIORIZADOS!$A:$G,7,FALSE)),"")</f>
        <v>COLEGIO_TECNISISTEMAS</v>
      </c>
      <c r="H944" s="11" t="str">
        <f>IFERROR(IF(VLOOKUP(A944,[7]PRIORIZADOS!$A:$H,8,FALSE)="","",VLOOKUP(A944,[7]PRIORIZADOS!$A:$H,8,FALSE)),"")</f>
        <v>Autoevaluación Institucional y Pruebas SABER 11</v>
      </c>
      <c r="I944" s="11" t="str">
        <f>IFERROR(IF(VLOOKUP(A944,[7]PRIORIZADOS!$A:$I,9,FALSE)="","",VLOOKUP(A944,[7]PRIORIZADOS!$A:$I,9,FALSE)),"")</f>
        <v>SEGUIMIENTO_Y_SUPERVISIÓN.</v>
      </c>
      <c r="J944" s="11" t="str">
        <f>IFERROR(IF(VLOOKUP(A944,[7]PRIORIZADOS!$A:$J,10,FALSE)="","",VLOOKUP(A944,[7]PRIORIZADOS!$A:$J,10,FALSE)),"")</f>
        <v xml:space="preserve">Verificar la implementación por parte de los colegios, de acciones realizadas para la prevención y atención de las situaciones de convivencia en el entorno escolar, según lo establecido en la Directiva 01 de 2022 del MEN. </v>
      </c>
      <c r="K944" s="11" t="str">
        <f>IFERROR(IF(VLOOKUP(A944,[7]PRIORIZADOS!$A:$K,11,FALSE)="","",VLOOKUP(A944,[7]PRIORIZADOS!$A:$K,11,FALSE)),"")</f>
        <v>JOSÉ GUILLERMO ALARCÓN CUALLA</v>
      </c>
      <c r="L944" s="11" t="str">
        <f>IFERROR(IF(VLOOKUP(A944,[7]PRIORIZADOS!$A:$L,12,FALSE)="","",VLOOKUP(A944,[7]PRIORIZADOS!$A:$L,12,FALSE)),"")</f>
        <v>JAIME GABRIEL GONZÁLEZ GAMBOA</v>
      </c>
      <c r="M944" s="156">
        <f>IFERROR(IF(VLOOKUP(A944,[7]PRIORIZADOS!$A:$M,13,FALSE)="","",VLOOKUP(A944,[7]PRIORIZADOS!$A:$M,13,FALSE)),"")</f>
        <v>45799</v>
      </c>
      <c r="N944" s="156">
        <f>IFERROR(IF(VLOOKUP(A944,[7]PRIORIZADOS!$A:$N,14,FALSE)="","",VLOOKUP(A944,[7]PRIORIZADOS!$A:$N,14,FALSE)),"")</f>
        <v>45783</v>
      </c>
      <c r="O944" s="156">
        <f>IFERROR(IF(VLOOKUP(A944,[7]PRIORIZADOS!$A:$O,15,FALSE)="","",VLOOKUP(A944,[7]PRIORIZADOS!$A:$O,15,FALSE)),"")</f>
        <v>45783</v>
      </c>
      <c r="P944" s="11" t="str">
        <f>IFERROR(IF(VLOOKUP(A944,[7]PRIORIZADOS!$A:$P,16,FALSE)="","",VLOOKUP(A944,[7]PRIORIZADOS!$A:$P,16,FALSE)),"")</f>
        <v>Visitas de evaluación con fines de mejoramiento</v>
      </c>
      <c r="Q944" s="107" t="s">
        <v>167</v>
      </c>
      <c r="R944" s="11" t="str">
        <f>IFERROR(IF(VLOOKUP(A944,[7]PRIORIZADOS!$A:$R,18,FALSE)="","",VLOOKUP(A944,[7]PRIORIZADOS!$A:$R,18,FALSE)),"")</f>
        <v>Se realiza la consulta y registro permanente de inhabilidades por delitos sexuales en el sistema de la Policía Nacional.</v>
      </c>
      <c r="S944" s="11" t="str">
        <f>IFERROR(IF(VLOOKUP(A944,[7]PRIORIZADOS!$A:$S,19,FALSE)="","",VLOOKUP(A944,[7]PRIORIZADOS!$A:$S,19,FALSE)),"")</f>
        <v>El sistema de personal de la IE, mantiene la observación continua y la anotación individual en las hojas de vida.</v>
      </c>
      <c r="T944" s="70" t="str">
        <f>IFERROR(IF(VLOOKUP(A944,[7]PRIORIZADOS!$A:$T,20,FALSE)="","",VLOOKUP(A944,[7]PRIORIZADOS!$A:$T,20,FALSE)),"")</f>
        <v>No</v>
      </c>
      <c r="U944" s="11" t="str">
        <f>IFERROR(IF(VLOOKUP(A944,[7]PRIORIZADOS!$A:$U,21,FALSE)="","",VLOOKUP(A944,[7]PRIORIZADOS!$A:$U,21,FALSE)),"")</f>
        <v>Promover en reuniones de Directivos acciones de seguimiento y prevención sobre la temática.</v>
      </c>
    </row>
    <row r="945" spans="1:21" s="1" customFormat="1" ht="72">
      <c r="A945" s="69">
        <f>IF([7]PRIORIZADOS!A18="","",[7]PRIORIZADOS!A18)</f>
        <v>888</v>
      </c>
      <c r="B945" s="87">
        <f>IFERROR(IF(VLOOKUP(A945,[7]PRIORIZADOS!$A:$B,2,FALSE)="","",VLOOKUP(A945,[7]PRIORIZADOS!$A:$B,2,FALSE)),"")</f>
        <v>2</v>
      </c>
      <c r="C945" s="11" t="str">
        <f>IFERROR(IF(VLOOKUP(A945,[7]PRIORIZADOS!$A:$C,3,FALSE)="","",VLOOKUP(A945,[7]PRIORIZADOS!$A:$C,3,FALSE)),"")</f>
        <v>FONTIBÓN</v>
      </c>
      <c r="D945" s="69" t="str">
        <f>IFERROR(IF(VLOOKUP(A945,[7]PRIORIZADOS!$A:$D,4,FALSE)="","",VLOOKUP(A945,[7]PRIORIZADOS!$A:$D,4,FALSE)),"")</f>
        <v>PRIVADO</v>
      </c>
      <c r="E945" s="69" t="str">
        <f>IFERROR(IF(VLOOKUP(A945,[7]PRIORIZADOS!$A:$E,5,FALSE)="","",VLOOKUP(A945,[7]PRIORIZADOS!$A:$E,5,FALSE)),"")</f>
        <v>Educación de Jóvenes y Adultos</v>
      </c>
      <c r="F945" s="11" t="str">
        <f>IFERROR(IF(VLOOKUP(A945,[7]PRIORIZADOS!$A:$F,6,FALSE)="","",VLOOKUP(A945,[7]PRIORIZADOS!$A:$F,6,FALSE)),"")</f>
        <v>COLEGIO_TECNISISTEMAS</v>
      </c>
      <c r="G945" s="69" t="str">
        <f>IFERROR(IF(VLOOKUP(A945,[7]PRIORIZADOS!$A:$G,7,FALSE)="","",VLOOKUP(A945,[7]PRIORIZADOS!$A:$G,7,FALSE)),"")</f>
        <v>COLEGIO_TECNISISTEMAS</v>
      </c>
      <c r="H945" s="11" t="str">
        <f>IFERROR(IF(VLOOKUP(A945,[7]PRIORIZADOS!$A:$H,8,FALSE)="","",VLOOKUP(A945,[7]PRIORIZADOS!$A:$H,8,FALSE)),"")</f>
        <v>Autoevaluación Institucional y Pruebas SABER 11</v>
      </c>
      <c r="I945" s="11" t="str">
        <f>IFERROR(IF(VLOOKUP(A945,[7]PRIORIZADOS!$A:$I,9,FALSE)="","",VLOOKUP(A945,[7]PRIORIZADOS!$A:$I,9,FALSE)),"")</f>
        <v>SEGUIMIENTO_Y_SUPERVISIÓN.</v>
      </c>
      <c r="J945" s="11" t="str">
        <f>IFERROR(IF(VLOOKUP(A945,[7]PRIORIZADOS!$A:$J,10,FALSE)="","",VLOOKUP(A945,[7]PRIORIZADOS!$A:$J,10,FALSE)),"")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45" s="11" t="str">
        <f>IFERROR(IF(VLOOKUP(A945,[7]PRIORIZADOS!$A:$K,11,FALSE)="","",VLOOKUP(A945,[7]PRIORIZADOS!$A:$K,11,FALSE)),"")</f>
        <v>JOSÉ GUILLERMO ALARCÓN CUALLA</v>
      </c>
      <c r="L945" s="11" t="str">
        <f>IFERROR(IF(VLOOKUP(A945,[7]PRIORIZADOS!$A:$L,12,FALSE)="","",VLOOKUP(A945,[7]PRIORIZADOS!$A:$L,12,FALSE)),"")</f>
        <v>JAIME GABRIEL GONZÁLEZ GAMBOA</v>
      </c>
      <c r="M945" s="156">
        <f>IFERROR(IF(VLOOKUP(A945,[7]PRIORIZADOS!$A:$M,13,FALSE)="","",VLOOKUP(A945,[7]PRIORIZADOS!$A:$M,13,FALSE)),"")</f>
        <v>45799</v>
      </c>
      <c r="N945" s="156">
        <f>IFERROR(IF(VLOOKUP(A945,[7]PRIORIZADOS!$A:$N,14,FALSE)="","",VLOOKUP(A945,[7]PRIORIZADOS!$A:$N,14,FALSE)),"")</f>
        <v>45783</v>
      </c>
      <c r="O945" s="156">
        <f>IFERROR(IF(VLOOKUP(A945,[7]PRIORIZADOS!$A:$O,15,FALSE)="","",VLOOKUP(A945,[7]PRIORIZADOS!$A:$O,15,FALSE)),"")</f>
        <v>45783</v>
      </c>
      <c r="P945" s="11" t="str">
        <f>IFERROR(IF(VLOOKUP(A945,[7]PRIORIZADOS!$A:$P,16,FALSE)="","",VLOOKUP(A945,[7]PRIORIZADOS!$A:$P,16,FALSE)),"")</f>
        <v>Visitas de evaluación con fines de mejoramiento</v>
      </c>
      <c r="Q945" s="107" t="s">
        <v>167</v>
      </c>
      <c r="R945" s="11" t="str">
        <f>IFERROR(IF(VLOOKUP(A945,[7]PRIORIZADOS!$A:$R,18,FALSE)="","",VLOOKUP(A945,[7]PRIORIZADOS!$A:$R,18,FALSE)),"")</f>
        <v>Cada escolar en condición de inclusión cuenta con PIAR formalizado y es de conocimiento familiar. Se registra el diagnóstico y proyecta el sistema de atención pedagógica.</v>
      </c>
      <c r="S945" s="11" t="str">
        <f>IFERROR(IF(VLOOKUP(A945,[7]PRIORIZADOS!$A:$S,19,FALSE)="","",VLOOKUP(A945,[7]PRIORIZADOS!$A:$S,19,FALSE)),"")</f>
        <v xml:space="preserve">Continuar con el seguimiento y los ajustes que se requieran en el proceso académico y convivencial de los estudiantes. </v>
      </c>
      <c r="T945" s="70" t="str">
        <f>IFERROR(IF(VLOOKUP(A945,[7]PRIORIZADOS!$A:$T,20,FALSE)="","",VLOOKUP(A945,[7]PRIORIZADOS!$A:$T,20,FALSE)),"")</f>
        <v>No</v>
      </c>
      <c r="U945" s="11" t="str">
        <f>IFERROR(IF(VLOOKUP(A945,[7]PRIORIZADOS!$A:$U,21,FALSE)="","",VLOOKUP(A945,[7]PRIORIZADOS!$A:$U,21,FALSE)),"")</f>
        <v xml:space="preserve">En seguimiento se solicitará informe al finalizar el tercer periodo escolar, sobre la atención a los escolares. </v>
      </c>
    </row>
    <row r="946" spans="1:21" s="1" customFormat="1" ht="84">
      <c r="A946" s="69">
        <f>IF([7]PRIORIZADOS!A19="","",[7]PRIORIZADOS!A19)</f>
        <v>889</v>
      </c>
      <c r="B946" s="87">
        <f>IFERROR(IF(VLOOKUP(A946,[7]PRIORIZADOS!$A:$B,2,FALSE)="","",VLOOKUP(A946,[7]PRIORIZADOS!$A:$B,2,FALSE)),"")</f>
        <v>2</v>
      </c>
      <c r="C946" s="11" t="str">
        <f>IFERROR(IF(VLOOKUP(A946,[7]PRIORIZADOS!$A:$C,3,FALSE)="","",VLOOKUP(A946,[7]PRIORIZADOS!$A:$C,3,FALSE)),"")</f>
        <v>FONTIBÓN</v>
      </c>
      <c r="D946" s="69" t="str">
        <f>IFERROR(IF(VLOOKUP(A946,[7]PRIORIZADOS!$A:$D,4,FALSE)="","",VLOOKUP(A946,[7]PRIORIZADOS!$A:$D,4,FALSE)),"")</f>
        <v>PRIVADO</v>
      </c>
      <c r="E946" s="69" t="str">
        <f>IFERROR(IF(VLOOKUP(A946,[7]PRIORIZADOS!$A:$E,5,FALSE)="","",VLOOKUP(A946,[7]PRIORIZADOS!$A:$E,5,FALSE)),"")</f>
        <v>Educación de Jóvenes y Adultos</v>
      </c>
      <c r="F946" s="11" t="str">
        <f>IFERROR(IF(VLOOKUP(A946,[7]PRIORIZADOS!$A:$F,6,FALSE)="","",VLOOKUP(A946,[7]PRIORIZADOS!$A:$F,6,FALSE)),"")</f>
        <v>COLEGIO_TECNISISTEMAS</v>
      </c>
      <c r="G946" s="69" t="str">
        <f>IFERROR(IF(VLOOKUP(A946,[7]PRIORIZADOS!$A:$G,7,FALSE)="","",VLOOKUP(A946,[7]PRIORIZADOS!$A:$G,7,FALSE)),"")</f>
        <v>COLEGIO_TECNISISTEMAS</v>
      </c>
      <c r="H946" s="11" t="str">
        <f>IFERROR(IF(VLOOKUP(A946,[7]PRIORIZADOS!$A:$H,8,FALSE)="","",VLOOKUP(A946,[7]PRIORIZADOS!$A:$H,8,FALSE)),"")</f>
        <v>Autoevaluación Institucional y Pruebas SABER 11</v>
      </c>
      <c r="I946" s="11" t="str">
        <f>IFERROR(IF(VLOOKUP(A946,[7]PRIORIZADOS!$A:$I,9,FALSE)="","",VLOOKUP(A946,[7]PRIORIZADOS!$A:$I,9,FALSE)),"")</f>
        <v>EVALUACIÓN_CON_FINES_DE_MEJORAMIENTO.</v>
      </c>
      <c r="J946" s="11" t="str">
        <f>IFERROR(IF(VLOOKUP(A946,[7]PRIORIZADOS!$A:$J,10,FALSE)="","",VLOOKUP(A946,[7]PRIORIZADOS!$A:$J,10,FALSE)),"")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46" s="11" t="str">
        <f>IFERROR(IF(VLOOKUP(A946,[7]PRIORIZADOS!$A:$K,11,FALSE)="","",VLOOKUP(A946,[7]PRIORIZADOS!$A:$K,11,FALSE)),"")</f>
        <v>JOSÉ GUILLERMO ALARCÓN CUALLA</v>
      </c>
      <c r="L946" s="11" t="str">
        <f>IFERROR(IF(VLOOKUP(A946,[7]PRIORIZADOS!$A:$L,12,FALSE)="","",VLOOKUP(A946,[7]PRIORIZADOS!$A:$L,12,FALSE)),"")</f>
        <v>JAIME GABRIEL GONZÁLEZ GAMBOA</v>
      </c>
      <c r="M946" s="156">
        <f>IFERROR(IF(VLOOKUP(A946,[7]PRIORIZADOS!$A:$M,13,FALSE)="","",VLOOKUP(A946,[7]PRIORIZADOS!$A:$M,13,FALSE)),"")</f>
        <v>45799</v>
      </c>
      <c r="N946" s="156">
        <f>IFERROR(IF(VLOOKUP(A946,[7]PRIORIZADOS!$A:$N,14,FALSE)="","",VLOOKUP(A946,[7]PRIORIZADOS!$A:$N,14,FALSE)),"")</f>
        <v>45783</v>
      </c>
      <c r="O946" s="156">
        <f>IFERROR(IF(VLOOKUP(A946,[7]PRIORIZADOS!$A:$O,15,FALSE)="","",VLOOKUP(A946,[7]PRIORIZADOS!$A:$O,15,FALSE)),"")</f>
        <v>45783</v>
      </c>
      <c r="P946" s="11" t="str">
        <f>IFERROR(IF(VLOOKUP(A946,[7]PRIORIZADOS!$A:$P,16,FALSE)="","",VLOOKUP(A946,[7]PRIORIZADOS!$A:$P,16,FALSE)),"")</f>
        <v>Visitas de evaluación con fines de mejoramiento</v>
      </c>
      <c r="Q946" s="107" t="s">
        <v>167</v>
      </c>
      <c r="R946" s="11" t="str">
        <f>IFERROR(IF(VLOOKUP(A946,[7]PRIORIZADOS!$A:$R,18,FALSE)="","",VLOOKUP(A946,[7]PRIORIZADOS!$A:$R,18,FALSE)),"")</f>
        <v>Se encuentra publicado, se socializa en cada uno de los ciclos y su contenido registra los elementos de ley. En seguimiento se solicita informe al finalizar el tercer periodo escolar, sobre la atención a los escolares.</v>
      </c>
      <c r="S946" s="11" t="str">
        <f>IFERROR(IF(VLOOKUP(A946,[7]PRIORIZADOS!$A:$S,19,FALSE)="","",VLOOKUP(A946,[7]PRIORIZADOS!$A:$S,19,FALSE)),"")</f>
        <v>Continuar los proceso de revisión y actualización anual del manual</v>
      </c>
      <c r="T946" s="70" t="str">
        <f>IFERROR(IF(VLOOKUP(A946,[7]PRIORIZADOS!$A:$T,20,FALSE)="","",VLOOKUP(A946,[7]PRIORIZADOS!$A:$T,20,FALSE)),"")</f>
        <v>No</v>
      </c>
      <c r="U946" s="11" t="str">
        <f>IFERROR(IF(VLOOKUP(A946,[7]PRIORIZADOS!$A:$U,21,FALSE)="","",VLOOKUP(A946,[7]PRIORIZADOS!$A:$U,21,FALSE)),"")</f>
        <v>. Se efectuará mesa de gestión a finalizar el tercer periodo escolar. Fecha: cuarto trimestre.</v>
      </c>
    </row>
    <row r="947" spans="1:21" s="1" customFormat="1" ht="72">
      <c r="A947" s="69">
        <f>IF([7]PRIORIZADOS!A20="","",[7]PRIORIZADOS!A20)</f>
        <v>890</v>
      </c>
      <c r="B947" s="87">
        <f>IFERROR(IF(VLOOKUP(A947,[7]PRIORIZADOS!$A:$B,2,FALSE)="","",VLOOKUP(A947,[7]PRIORIZADOS!$A:$B,2,FALSE)),"")</f>
        <v>2</v>
      </c>
      <c r="C947" s="11" t="str">
        <f>IFERROR(IF(VLOOKUP(A947,[7]PRIORIZADOS!$A:$C,3,FALSE)="","",VLOOKUP(A947,[7]PRIORIZADOS!$A:$C,3,FALSE)),"")</f>
        <v>FONTIBÓN</v>
      </c>
      <c r="D947" s="69" t="str">
        <f>IFERROR(IF(VLOOKUP(A947,[7]PRIORIZADOS!$A:$D,4,FALSE)="","",VLOOKUP(A947,[7]PRIORIZADOS!$A:$D,4,FALSE)),"")</f>
        <v>PRIVADO</v>
      </c>
      <c r="E947" s="69" t="str">
        <f>IFERROR(IF(VLOOKUP(A947,[7]PRIORIZADOS!$A:$E,5,FALSE)="","",VLOOKUP(A947,[7]PRIORIZADOS!$A:$E,5,FALSE)),"")</f>
        <v>Educación de Jóvenes y Adultos</v>
      </c>
      <c r="F947" s="11" t="str">
        <f>IFERROR(IF(VLOOKUP(A947,[7]PRIORIZADOS!$A:$F,6,FALSE)="","",VLOOKUP(A947,[7]PRIORIZADOS!$A:$F,6,FALSE)),"")</f>
        <v>COLEGIO_TECNISISTEMAS</v>
      </c>
      <c r="G947" s="69" t="str">
        <f>IFERROR(IF(VLOOKUP(A947,[7]PRIORIZADOS!$A:$G,7,FALSE)="","",VLOOKUP(A947,[7]PRIORIZADOS!$A:$G,7,FALSE)),"")</f>
        <v>COLEGIO_TECNISISTEMAS</v>
      </c>
      <c r="H947" s="11" t="str">
        <f>IFERROR(IF(VLOOKUP(A947,[7]PRIORIZADOS!$A:$H,8,FALSE)="","",VLOOKUP(A947,[7]PRIORIZADOS!$A:$H,8,FALSE)),"")</f>
        <v>Autoevaluación Institucional y Pruebas SABER 11</v>
      </c>
      <c r="I947" s="11" t="str">
        <f>IFERROR(IF(VLOOKUP(A947,[7]PRIORIZADOS!$A:$I,9,FALSE)="","",VLOOKUP(A947,[7]PRIORIZADOS!$A:$I,9,FALSE)),"")</f>
        <v>EVALUACIÓN_CON_FINES_DE_MEJORAMIENTO.</v>
      </c>
      <c r="J947" s="11" t="str">
        <f>IFERROR(IF(VLOOKUP(A947,[7]PRIORIZADOS!$A:$J,10,FALSE)="","",VLOOKUP(A947,[7]PRIORIZADOS!$A:$J,10,FALSE)),"")</f>
        <v>Revisar la actualización, socialización e implementación del Sistema Institucional de Evaluación de Estudiantes - SIEE, en articulación con la actualización del PEI y la normatividad vigente.</v>
      </c>
      <c r="K947" s="11" t="str">
        <f>IFERROR(IF(VLOOKUP(A947,[7]PRIORIZADOS!$A:$K,11,FALSE)="","",VLOOKUP(A947,[7]PRIORIZADOS!$A:$K,11,FALSE)),"")</f>
        <v>JOSÉ GUILLERMO ALARCÓN CUALLA</v>
      </c>
      <c r="L947" s="11" t="str">
        <f>IFERROR(IF(VLOOKUP(A947,[7]PRIORIZADOS!$A:$L,12,FALSE)="","",VLOOKUP(A947,[7]PRIORIZADOS!$A:$L,12,FALSE)),"")</f>
        <v>JAIME GABRIEL GONZÁLEZ GAMBOA</v>
      </c>
      <c r="M947" s="156">
        <f>IFERROR(IF(VLOOKUP(A947,[7]PRIORIZADOS!$A:$M,13,FALSE)="","",VLOOKUP(A947,[7]PRIORIZADOS!$A:$M,13,FALSE)),"")</f>
        <v>45799</v>
      </c>
      <c r="N947" s="156">
        <f>IFERROR(IF(VLOOKUP(A947,[7]PRIORIZADOS!$A:$N,14,FALSE)="","",VLOOKUP(A947,[7]PRIORIZADOS!$A:$N,14,FALSE)),"")</f>
        <v>45783</v>
      </c>
      <c r="O947" s="156">
        <f>IFERROR(IF(VLOOKUP(A947,[7]PRIORIZADOS!$A:$O,15,FALSE)="","",VLOOKUP(A947,[7]PRIORIZADOS!$A:$O,15,FALSE)),"")</f>
        <v>45783</v>
      </c>
      <c r="P947" s="11" t="str">
        <f>IFERROR(IF(VLOOKUP(A947,[7]PRIORIZADOS!$A:$P,16,FALSE)="","",VLOOKUP(A947,[7]PRIORIZADOS!$A:$P,16,FALSE)),"")</f>
        <v>Visitas de evaluación con fines de mejoramiento</v>
      </c>
      <c r="Q947" s="107" t="s">
        <v>167</v>
      </c>
      <c r="R947" s="11" t="str">
        <f>IFERROR(IF(VLOOKUP(A947,[7]PRIORIZADOS!$A:$R,18,FALSE)="","",VLOOKUP(A947,[7]PRIORIZADOS!$A:$R,18,FALSE)),"")</f>
        <v>Esta publicado, es de conocimiento de la comunidad y se soporta en un sistema de registro de resultados académicos.
Se emiten resultados académicos periódicos y desarrollan planes de mejoramiento preventivos.</v>
      </c>
      <c r="S947" s="11" t="str">
        <f>IFERROR(IF(VLOOKUP(A947,[7]PRIORIZADOS!$A:$S,19,FALSE)="","",VLOOKUP(A947,[7]PRIORIZADOS!$A:$S,19,FALSE)),"")</f>
        <v>Continuar con la implementación de las acciones definidas en el SIEE.</v>
      </c>
      <c r="T947" s="70" t="str">
        <f>IFERROR(IF(VLOOKUP(A947,[7]PRIORIZADOS!$A:$T,20,FALSE)="","",VLOOKUP(A947,[7]PRIORIZADOS!$A:$T,20,FALSE)),"")</f>
        <v>No</v>
      </c>
      <c r="U947" s="11" t="str">
        <f>IFERROR(IF(VLOOKUP(A947,[7]PRIORIZADOS!$A:$U,21,FALSE)="","",VLOOKUP(A947,[7]PRIORIZADOS!$A:$U,21,FALSE)),"")</f>
        <v>Se efectuará mesa de gestión a finalizar el tercer periodo escolar. Fecha: cuarto trimestre.</v>
      </c>
    </row>
    <row r="948" spans="1:21" s="1" customFormat="1" ht="48">
      <c r="A948" s="69">
        <f>IF([7]PRIORIZADOS!A21="","",[7]PRIORIZADOS!A21)</f>
        <v>891</v>
      </c>
      <c r="B948" s="87">
        <f>IFERROR(IF(VLOOKUP(A948,[7]PRIORIZADOS!$A:$B,2,FALSE)="","",VLOOKUP(A948,[7]PRIORIZADOS!$A:$B,2,FALSE)),"")</f>
        <v>2</v>
      </c>
      <c r="C948" s="11" t="str">
        <f>IFERROR(IF(VLOOKUP(A948,[7]PRIORIZADOS!$A:$C,3,FALSE)="","",VLOOKUP(A948,[7]PRIORIZADOS!$A:$C,3,FALSE)),"")</f>
        <v>FONTIBÓN</v>
      </c>
      <c r="D948" s="69" t="str">
        <f>IFERROR(IF(VLOOKUP(A948,[7]PRIORIZADOS!$A:$D,4,FALSE)="","",VLOOKUP(A948,[7]PRIORIZADOS!$A:$D,4,FALSE)),"")</f>
        <v>PRIVADO</v>
      </c>
      <c r="E948" s="69" t="str">
        <f>IFERROR(IF(VLOOKUP(A948,[7]PRIORIZADOS!$A:$E,5,FALSE)="","",VLOOKUP(A948,[7]PRIORIZADOS!$A:$E,5,FALSE)),"")</f>
        <v>Educación de Jóvenes y Adultos</v>
      </c>
      <c r="F948" s="11" t="str">
        <f>IFERROR(IF(VLOOKUP(A948,[7]PRIORIZADOS!$A:$F,6,FALSE)="","",VLOOKUP(A948,[7]PRIORIZADOS!$A:$F,6,FALSE)),"")</f>
        <v>COLEGIO_TECNISISTEMAS</v>
      </c>
      <c r="G948" s="69" t="str">
        <f>IFERROR(IF(VLOOKUP(A948,[7]PRIORIZADOS!$A:$G,7,FALSE)="","",VLOOKUP(A948,[7]PRIORIZADOS!$A:$G,7,FALSE)),"")</f>
        <v>COLEGIO_TECNISISTEMAS</v>
      </c>
      <c r="H948" s="11" t="str">
        <f>IFERROR(IF(VLOOKUP(A948,[7]PRIORIZADOS!$A:$H,8,FALSE)="","",VLOOKUP(A948,[7]PRIORIZADOS!$A:$H,8,FALSE)),"")</f>
        <v>Autoevaluación Institucional y Pruebas SABER 11</v>
      </c>
      <c r="I948" s="11" t="str">
        <f>IFERROR(IF(VLOOKUP(A948,[7]PRIORIZADOS!$A:$I,9,FALSE)="","",VLOOKUP(A948,[7]PRIORIZADOS!$A:$I,9,FALSE)),"")</f>
        <v>EVALUACIÓN_CON_FINES_DE_MEJORAMIENTO.</v>
      </c>
      <c r="J948" s="11" t="str">
        <f>IFERROR(IF(VLOOKUP(A948,[7]PRIORIZADOS!$A:$J,10,FALSE)="","",VLOOKUP(A948,[7]PRIORIZADOS!$A:$J,10,FALSE)),"")</f>
        <v>Revisar el calendario escolar, jornada escolar, la intensidad horaria mínima anual en cada nivel y las modificaciones que se realicen al mismo, de acuerdo con lo previsto en la normatividad vigente.</v>
      </c>
      <c r="K948" s="11" t="str">
        <f>IFERROR(IF(VLOOKUP(A948,[7]PRIORIZADOS!$A:$K,11,FALSE)="","",VLOOKUP(A948,[7]PRIORIZADOS!$A:$K,11,FALSE)),"")</f>
        <v>JOSÉ GUILLERMO ALARCÓN CUALLA</v>
      </c>
      <c r="L948" s="11" t="str">
        <f>IFERROR(IF(VLOOKUP(A948,[7]PRIORIZADOS!$A:$L,12,FALSE)="","",VLOOKUP(A948,[7]PRIORIZADOS!$A:$L,12,FALSE)),"")</f>
        <v>JAIME GABRIEL GONZÁLEZ GAMBOA</v>
      </c>
      <c r="M948" s="156">
        <f>IFERROR(IF(VLOOKUP(A948,[7]PRIORIZADOS!$A:$M,13,FALSE)="","",VLOOKUP(A948,[7]PRIORIZADOS!$A:$M,13,FALSE)),"")</f>
        <v>45799</v>
      </c>
      <c r="N948" s="156">
        <f>IFERROR(IF(VLOOKUP(A948,[7]PRIORIZADOS!$A:$N,14,FALSE)="","",VLOOKUP(A948,[7]PRIORIZADOS!$A:$N,14,FALSE)),"")</f>
        <v>45783</v>
      </c>
      <c r="O948" s="156">
        <f>IFERROR(IF(VLOOKUP(A948,[7]PRIORIZADOS!$A:$O,15,FALSE)="","",VLOOKUP(A948,[7]PRIORIZADOS!$A:$O,15,FALSE)),"")</f>
        <v>45783</v>
      </c>
      <c r="P948" s="11" t="str">
        <f>IFERROR(IF(VLOOKUP(A948,[7]PRIORIZADOS!$A:$P,16,FALSE)="","",VLOOKUP(A948,[7]PRIORIZADOS!$A:$P,16,FALSE)),"")</f>
        <v>Visitas de evaluación con fines de mejoramiento</v>
      </c>
      <c r="Q948" s="107" t="s">
        <v>167</v>
      </c>
      <c r="R948" s="11" t="str">
        <f>IFERROR(IF(VLOOKUP(A948,[7]PRIORIZADOS!$A:$R,18,FALSE)="","",VLOOKUP(A948,[7]PRIORIZADOS!$A:$R,18,FALSE)),"")</f>
        <v>Esta publicado, es de conocimiento institucional.</v>
      </c>
      <c r="S948" s="11" t="str">
        <f>IFERROR(IF(VLOOKUP(A948,[7]PRIORIZADOS!$A:$S,19,FALSE)="","",VLOOKUP(A948,[7]PRIORIZADOS!$A:$S,19,FALSE)),"")</f>
        <v>Efectuar revisión del concepto sabatino VS fin de semana, que permita ajustar el tiempo académico.</v>
      </c>
      <c r="T948" s="70" t="str">
        <f>IFERROR(IF(VLOOKUP(A948,[7]PRIORIZADOS!$A:$T,20,FALSE)="","",VLOOKUP(A948,[7]PRIORIZADOS!$A:$T,20,FALSE)),"")</f>
        <v>Si</v>
      </c>
      <c r="U948" s="11" t="str">
        <f>IFERROR(IF(VLOOKUP(A948,[7]PRIORIZADOS!$A:$U,21,FALSE)="","",VLOOKUP(A948,[7]PRIORIZADOS!$A:$U,21,FALSE)),"")</f>
        <v>Se efectuará mesa de gestión a finalizar el tercer periodo escolar, para alorar el tiempo académico y su ajuste. Fecha: cuarto trimestre.</v>
      </c>
    </row>
    <row r="949" spans="1:21" s="1" customFormat="1" ht="99.75" customHeight="1">
      <c r="A949" s="69">
        <f>IF([7]PRIORIZADOS!A22="","",[7]PRIORIZADOS!A22)</f>
        <v>892</v>
      </c>
      <c r="B949" s="87">
        <f>IFERROR(IF(VLOOKUP(A949,[7]PRIORIZADOS!$A:$B,2,FALSE)="","",VLOOKUP(A949,[7]PRIORIZADOS!$A:$B,2,FALSE)),"")</f>
        <v>2</v>
      </c>
      <c r="C949" s="11" t="str">
        <f>IFERROR(IF(VLOOKUP(A949,[7]PRIORIZADOS!$A:$C,3,FALSE)="","",VLOOKUP(A949,[7]PRIORIZADOS!$A:$C,3,FALSE)),"")</f>
        <v>FONTIBÓN</v>
      </c>
      <c r="D949" s="69" t="str">
        <f>IFERROR(IF(VLOOKUP(A949,[7]PRIORIZADOS!$A:$D,4,FALSE)="","",VLOOKUP(A949,[7]PRIORIZADOS!$A:$D,4,FALSE)),"")</f>
        <v>PRIVADO</v>
      </c>
      <c r="E949" s="69" t="str">
        <f>IFERROR(IF(VLOOKUP(A949,[7]PRIORIZADOS!$A:$E,5,FALSE)="","",VLOOKUP(A949,[7]PRIORIZADOS!$A:$E,5,FALSE)),"")</f>
        <v>Educación de Jóvenes y Adultos</v>
      </c>
      <c r="F949" s="11" t="str">
        <f>IFERROR(IF(VLOOKUP(A949,[7]PRIORIZADOS!$A:$F,6,FALSE)="","",VLOOKUP(A949,[7]PRIORIZADOS!$A:$F,6,FALSE)),"")</f>
        <v>COLEGIO_TECNISISTEMAS</v>
      </c>
      <c r="G949" s="69" t="str">
        <f>IFERROR(IF(VLOOKUP(A949,[7]PRIORIZADOS!$A:$G,7,FALSE)="","",VLOOKUP(A949,[7]PRIORIZADOS!$A:$G,7,FALSE)),"")</f>
        <v>COLEGIO_TECNISISTEMAS</v>
      </c>
      <c r="H949" s="11" t="str">
        <f>IFERROR(IF(VLOOKUP(A949,[7]PRIORIZADOS!$A:$H,8,FALSE)="","",VLOOKUP(A949,[7]PRIORIZADOS!$A:$H,8,FALSE)),"")</f>
        <v>Autoevaluación Institucional y Pruebas SABER 11</v>
      </c>
      <c r="I949" s="11" t="str">
        <f>IFERROR(IF(VLOOKUP(A949,[7]PRIORIZADOS!$A:$I,9,FALSE)="","",VLOOKUP(A949,[7]PRIORIZADOS!$A:$I,9,FALSE)),"")</f>
        <v>EVALUACIÓN_CON_FINES_DE_MEJORAMIENTO.</v>
      </c>
      <c r="J949" s="11" t="str">
        <f>IFERROR(IF(VLOOKUP(A949,[7]PRIORIZADOS!$A:$J,10,FALSE)="","",VLOOKUP(A949,[7]PRIORIZADOS!$A:$J,10,FALSE)),"")</f>
        <v>Verificar el funcionamiento del Gobierno Escolar e instancias de participación con base en la información sobre conformación reportada por la institución educativa.</v>
      </c>
      <c r="K949" s="11" t="str">
        <f>IFERROR(IF(VLOOKUP(A949,[7]PRIORIZADOS!$A:$K,11,FALSE)="","",VLOOKUP(A949,[7]PRIORIZADOS!$A:$K,11,FALSE)),"")</f>
        <v>JOSÉ GUILLERMO ALARCÓN CUALLA</v>
      </c>
      <c r="L949" s="11" t="str">
        <f>IFERROR(IF(VLOOKUP(A949,[7]PRIORIZADOS!$A:$L,12,FALSE)="","",VLOOKUP(A949,[7]PRIORIZADOS!$A:$L,12,FALSE)),"")</f>
        <v>JAIME GABRIEL GONZÁLEZ GAMBOA</v>
      </c>
      <c r="M949" s="156">
        <f>IFERROR(IF(VLOOKUP(A949,[7]PRIORIZADOS!$A:$M,13,FALSE)="","",VLOOKUP(A949,[7]PRIORIZADOS!$A:$M,13,FALSE)),"")</f>
        <v>45799</v>
      </c>
      <c r="N949" s="156">
        <f>IFERROR(IF(VLOOKUP(A949,[7]PRIORIZADOS!$A:$N,14,FALSE)="","",VLOOKUP(A949,[7]PRIORIZADOS!$A:$N,14,FALSE)),"")</f>
        <v>45783</v>
      </c>
      <c r="O949" s="156">
        <f>IFERROR(IF(VLOOKUP(A949,[7]PRIORIZADOS!$A:$O,15,FALSE)="","",VLOOKUP(A949,[7]PRIORIZADOS!$A:$O,15,FALSE)),"")</f>
        <v>45783</v>
      </c>
      <c r="P949" s="11" t="str">
        <f>IFERROR(IF(VLOOKUP(A949,[7]PRIORIZADOS!$A:$P,16,FALSE)="","",VLOOKUP(A949,[7]PRIORIZADOS!$A:$P,16,FALSE)),"")</f>
        <v>Visitas de evaluación con fines de mejoramiento</v>
      </c>
      <c r="Q949" s="107" t="s">
        <v>167</v>
      </c>
      <c r="R949" s="11" t="str">
        <f>IFERROR(IF(VLOOKUP(A949,[7]PRIORIZADOS!$A:$R,18,FALSE)="","",VLOOKUP(A949,[7]PRIORIZADOS!$A:$R,18,FALSE)),"")</f>
        <v>Se encuentra registrado en plataforma SAE y en funcionamiento</v>
      </c>
      <c r="S949" s="11" t="str">
        <f>IFERROR(IF(VLOOKUP(A949,[7]PRIORIZADOS!$A:$S,19,FALSE)="","",VLOOKUP(A949,[7]PRIORIZADOS!$A:$S,19,FALSE)),"")</f>
        <v>Los colegiados están en actividad y sesionan con regularidad.</v>
      </c>
      <c r="T949" s="70" t="str">
        <f>IFERROR(IF(VLOOKUP(A949,[7]PRIORIZADOS!$A:$T,20,FALSE)="","",VLOOKUP(A949,[7]PRIORIZADOS!$A:$T,20,FALSE)),"")</f>
        <v>No</v>
      </c>
      <c r="U949" s="11" t="str">
        <f>IFERROR(IF(VLOOKUP(A949,[7]PRIORIZADOS!$A:$U,21,FALSE)="","",VLOOKUP(A949,[7]PRIORIZADOS!$A:$U,21,FALSE)),"")</f>
        <v>Se efectuará mesa de gestión a finalizar el tercer periodo escolar. Fecha: cuarto trimestre.</v>
      </c>
    </row>
    <row r="950" spans="1:21" s="1" customFormat="1" ht="99.75" customHeight="1">
      <c r="A950" s="69">
        <f>IF([7]PRIORIZADOS!A23="","",[7]PRIORIZADOS!A23)</f>
        <v>893</v>
      </c>
      <c r="B950" s="87">
        <f>IFERROR(IF(VLOOKUP(A950,[7]PRIORIZADOS!$A:$B,2,FALSE)="","",VLOOKUP(A950,[7]PRIORIZADOS!$A:$B,2,FALSE)),"")</f>
        <v>2</v>
      </c>
      <c r="C950" s="11" t="str">
        <f>IFERROR(IF(VLOOKUP(A950,[7]PRIORIZADOS!$A:$C,3,FALSE)="","",VLOOKUP(A950,[7]PRIORIZADOS!$A:$C,3,FALSE)),"")</f>
        <v>FONTIBÓN</v>
      </c>
      <c r="D950" s="69" t="str">
        <f>IFERROR(IF(VLOOKUP(A950,[7]PRIORIZADOS!$A:$D,4,FALSE)="","",VLOOKUP(A950,[7]PRIORIZADOS!$A:$D,4,FALSE)),"")</f>
        <v>PRIVADO</v>
      </c>
      <c r="E950" s="69" t="str">
        <f>IFERROR(IF(VLOOKUP(A950,[7]PRIORIZADOS!$A:$E,5,FALSE)="","",VLOOKUP(A950,[7]PRIORIZADOS!$A:$E,5,FALSE)),"")</f>
        <v>Educación de Jóvenes y Adultos</v>
      </c>
      <c r="F950" s="11" t="str">
        <f>IFERROR(IF(VLOOKUP(A950,[7]PRIORIZADOS!$A:$F,6,FALSE)="","",VLOOKUP(A950,[7]PRIORIZADOS!$A:$F,6,FALSE)),"")</f>
        <v>COLEGIO_TECNISISTEMAS</v>
      </c>
      <c r="G950" s="69" t="str">
        <f>IFERROR(IF(VLOOKUP(A950,[7]PRIORIZADOS!$A:$G,7,FALSE)="","",VLOOKUP(A950,[7]PRIORIZADOS!$A:$G,7,FALSE)),"")</f>
        <v>COLEGIO_TECNISISTEMAS</v>
      </c>
      <c r="H950" s="11" t="str">
        <f>IFERROR(IF(VLOOKUP(A950,[7]PRIORIZADOS!$A:$H,8,FALSE)="","",VLOOKUP(A950,[7]PRIORIZADOS!$A:$H,8,FALSE)),"")</f>
        <v>Autoevaluación Institucional y Pruebas SABER 11</v>
      </c>
      <c r="I950" s="11" t="str">
        <f>IFERROR(IF(VLOOKUP(A950,[7]PRIORIZADOS!$A:$I,9,FALSE)="","",VLOOKUP(A950,[7]PRIORIZADOS!$A:$I,9,FALSE)),"")</f>
        <v>EVALUACIÓN_CON_FINES_DE_MEJORAMIENTO.</v>
      </c>
      <c r="J950" s="11" t="str">
        <f>IFERROR(IF(VLOOKUP(A950,[7]PRIORIZADOS!$A:$J,10,FALSE)="","",VLOOKUP(A950,[7]PRIORIZADOS!$A:$J,10,FALSE)),"")</f>
        <v>Verificar las condiciones en cuanto a: la estructura administrativa, condiciones de la planta física y medios educativos adecuados.</v>
      </c>
      <c r="K950" s="11" t="str">
        <f>IFERROR(IF(VLOOKUP(A950,[7]PRIORIZADOS!$A:$K,11,FALSE)="","",VLOOKUP(A950,[7]PRIORIZADOS!$A:$K,11,FALSE)),"")</f>
        <v>JOSÉ GUILLERMO ALARCÓN CUALLA</v>
      </c>
      <c r="L950" s="11" t="str">
        <f>IFERROR(IF(VLOOKUP(A950,[7]PRIORIZADOS!$A:$L,12,FALSE)="","",VLOOKUP(A950,[7]PRIORIZADOS!$A:$L,12,FALSE)),"")</f>
        <v>JAIME GABRIEL GONZÁLEZ GAMBOA</v>
      </c>
      <c r="M950" s="156">
        <f>IFERROR(IF(VLOOKUP(A950,[7]PRIORIZADOS!$A:$M,13,FALSE)="","",VLOOKUP(A950,[7]PRIORIZADOS!$A:$M,13,FALSE)),"")</f>
        <v>45799</v>
      </c>
      <c r="N950" s="156">
        <f>IFERROR(IF(VLOOKUP(A950,[7]PRIORIZADOS!$A:$N,14,FALSE)="","",VLOOKUP(A950,[7]PRIORIZADOS!$A:$N,14,FALSE)),"")</f>
        <v>45783</v>
      </c>
      <c r="O950" s="156">
        <f>IFERROR(IF(VLOOKUP(A950,[7]PRIORIZADOS!$A:$O,15,FALSE)="","",VLOOKUP(A950,[7]PRIORIZADOS!$A:$O,15,FALSE)),"")</f>
        <v>45783</v>
      </c>
      <c r="P950" s="11" t="str">
        <f>IFERROR(IF(VLOOKUP(A950,[7]PRIORIZADOS!$A:$P,16,FALSE)="","",VLOOKUP(A950,[7]PRIORIZADOS!$A:$P,16,FALSE)),"")</f>
        <v>Visitas de evaluación con fines de mejoramiento</v>
      </c>
      <c r="Q950" s="107" t="s">
        <v>167</v>
      </c>
      <c r="R950" s="11" t="str">
        <f>IFERROR(IF(VLOOKUP(A950,[7]PRIORIZADOS!$A:$R,18,FALSE)="","",VLOOKUP(A950,[7]PRIORIZADOS!$A:$R,18,FALSE)),"")</f>
        <v>Cuenta con espacios, administrativos, académicos y de bienestar. Se requiere valorar la disposición de espacios y proyectar una renovación de los académicos – pedagógicos</v>
      </c>
      <c r="S950" s="11" t="str">
        <f>IFERROR(IF(VLOOKUP(A950,[7]PRIORIZADOS!$A:$S,19,FALSE)="","",VLOOKUP(A950,[7]PRIORIZADOS!$A:$S,19,FALSE)),"")</f>
        <v>Realizar valoración de áreas administrativas, de servicio académico, soporte didáctico y de bienestar. Entregar propuesta a 15 de agosto.</v>
      </c>
      <c r="T950" s="70" t="str">
        <f>IFERROR(IF(VLOOKUP(A950,[7]PRIORIZADOS!$A:$T,20,FALSE)="","",VLOOKUP(A950,[7]PRIORIZADOS!$A:$T,20,FALSE)),"")</f>
        <v>Si</v>
      </c>
      <c r="U950" s="11" t="str">
        <f>IFERROR(IF(VLOOKUP(A950,[7]PRIORIZADOS!$A:$U,21,FALSE)="","",VLOOKUP(A950,[7]PRIORIZADOS!$A:$U,21,FALSE)),"")</f>
        <v>Se efectuará mesa de gestión a finalizar el tercer periodo escolar. Fecha: cuarto trimestre.</v>
      </c>
    </row>
    <row r="951" spans="1:21" s="1" customFormat="1" ht="99.75" customHeight="1">
      <c r="A951" s="69">
        <f>IF([7]PRIORIZADOS!A24="","",[7]PRIORIZADOS!A24)</f>
        <v>895</v>
      </c>
      <c r="B951" s="87">
        <f>IFERROR(IF(VLOOKUP(A951,[7]PRIORIZADOS!$A:$B,2,FALSE)="","",VLOOKUP(A951,[7]PRIORIZADOS!$A:$B,2,FALSE)),"")</f>
        <v>3</v>
      </c>
      <c r="C951" s="11" t="str">
        <f>IFERROR(IF(VLOOKUP(A951,[7]PRIORIZADOS!$A:$C,3,FALSE)="","",VLOOKUP(A951,[7]PRIORIZADOS!$A:$C,3,FALSE)),"")</f>
        <v>FONTIBÓN</v>
      </c>
      <c r="D951" s="69" t="str">
        <f>IFERROR(IF(VLOOKUP(A951,[7]PRIORIZADOS!$A:$D,4,FALSE)="","",VLOOKUP(A951,[7]PRIORIZADOS!$A:$D,4,FALSE)),"")</f>
        <v>PRIVADO</v>
      </c>
      <c r="E951" s="69" t="str">
        <f>IFERROR(IF(VLOOKUP(A951,[7]PRIORIZADOS!$A:$E,5,FALSE)="","",VLOOKUP(A951,[7]PRIORIZADOS!$A:$E,5,FALSE)),"")</f>
        <v>EPBM</v>
      </c>
      <c r="F951" s="11" t="str">
        <f>IFERROR(IF(VLOOKUP(A951,[7]PRIORIZADOS!$A:$F,6,FALSE)="","",VLOOKUP(A951,[7]PRIORIZADOS!$A:$F,6,FALSE)),"")</f>
        <v>UNIDAD_EDUCATIVA_BAHIA_SOLANO</v>
      </c>
      <c r="G951" s="69" t="str">
        <f>IFERROR(IF(VLOOKUP(A951,[7]PRIORIZADOS!$A:$G,7,FALSE)="","",VLOOKUP(A951,[7]PRIORIZADOS!$A:$G,7,FALSE)),"")</f>
        <v>UNIDAD_EDUCATIVA_BAHIA_SOLANO</v>
      </c>
      <c r="H951" s="11" t="str">
        <f>IFERROR(IF(VLOOKUP(A951,[7]PRIORIZADOS!$A:$H,8,FALSE)="","",VLOOKUP(A951,[7]PRIORIZADOS!$A:$H,8,FALSE)),"")</f>
        <v>Autoevaluación Institucional y Pruebas SABER 11</v>
      </c>
      <c r="I951" s="11" t="str">
        <f>IFERROR(IF(VLOOKUP(A951,[7]PRIORIZADOS!$A:$I,9,FALSE)="","",VLOOKUP(A951,[7]PRIORIZADOS!$A:$I,9,FALSE)),"")</f>
        <v>SEGUIMIENTO_Y_SUPERVISIÓN.</v>
      </c>
      <c r="J951" s="11" t="str">
        <f>IFERROR(IF(VLOOKUP(A951,[7]PRIORIZADOS!$A:$J,10,FALSE)="","",VLOOKUP(A951,[7]PRIORIZADOS!$A:$J,10,FALSE)),"")</f>
        <v>Proponer estrategias en la formulación, verificar su elaboración y realizar seguimiento semestral al desarrollo de  las acciones establecidas en los planes de mejoramiento por pruebas SABER 11 de los establecimientos de educación formal.</v>
      </c>
      <c r="K951" s="11" t="str">
        <f>IFERROR(IF(VLOOKUP(A951,[7]PRIORIZADOS!$A:$K,11,FALSE)="","",VLOOKUP(A951,[7]PRIORIZADOS!$A:$K,11,FALSE)),"")</f>
        <v>MARITZA SARMIENTO VANEGAS</v>
      </c>
      <c r="L951" s="11" t="str">
        <f>IFERROR(IF(VLOOKUP(A951,[7]PRIORIZADOS!$A:$L,12,FALSE)="","",VLOOKUP(A951,[7]PRIORIZADOS!$A:$L,12,FALSE)),"")</f>
        <v>GLORIA INES AMAYA RAMÍREZ</v>
      </c>
      <c r="M951" s="156">
        <f>IFERROR(IF(VLOOKUP(A951,[7]PRIORIZADOS!$A:$M,13,FALSE)="","",VLOOKUP(A951,[7]PRIORIZADOS!$A:$M,13,FALSE)),"")</f>
        <v>45776</v>
      </c>
      <c r="N951" s="156">
        <f>IFERROR(IF(VLOOKUP(A951,[7]PRIORIZADOS!$A:$N,14,FALSE)="","",VLOOKUP(A951,[7]PRIORIZADOS!$A:$N,14,FALSE)),"")</f>
        <v>45863</v>
      </c>
      <c r="O951" s="156">
        <f>IFERROR(IF(VLOOKUP(A951,[7]PRIORIZADOS!$A:$O,15,FALSE)="","",VLOOKUP(A951,[7]PRIORIZADOS!$A:$O,15,FALSE)),"")</f>
        <v>45863</v>
      </c>
      <c r="P951" s="11" t="str">
        <f>IFERROR(IF(VLOOKUP(A951,[7]PRIORIZADOS!$A:$P,16,FALSE)="","",VLOOKUP(A951,[7]PRIORIZADOS!$A:$P,16,FALSE)),"")</f>
        <v>Visitas de evaluación con fines de mejoramiento</v>
      </c>
      <c r="Q951" s="107" t="s">
        <v>167</v>
      </c>
      <c r="R951" s="11" t="str">
        <f>IFERROR(IF(VLOOKUP(A951,[7]PRIORIZADOS!$A:$R,18,FALSE)="","",VLOOKUP(A951,[7]PRIORIZADOS!$A:$R,18,FALSE)),"")</f>
        <v>Análisis de resultados, diseño de estrategias, aplicación de simulacros, repaso de contenidos, asistencia a refuerzo en contra jornada, participación de todos los estudiantes matriculados en grado once a las diferentes actividades.</v>
      </c>
      <c r="S951" s="11" t="str">
        <f>IFERROR(IF(VLOOKUP(A951,[7]PRIORIZADOS!$A:$S,19,FALSE)="","",VLOOKUP(A951,[7]PRIORIZADOS!$A:$S,19,FALSE)),"")</f>
        <v>Continuar con la implementación de estrategias, que fortalecen los resultados de la pruebas SABER 11</v>
      </c>
      <c r="T951" s="70" t="str">
        <f>IFERROR(IF(VLOOKUP(A951,[7]PRIORIZADOS!$A:$T,20,FALSE)="","",VLOOKUP(A951,[7]PRIORIZADOS!$A:$T,20,FALSE)),"")</f>
        <v>No</v>
      </c>
      <c r="U951" s="11" t="str">
        <f>IFERROR(IF(VLOOKUP(A951,[7]PRIORIZADOS!$A:$U,21,FALSE)="","",VLOOKUP(A951,[7]PRIORIZADOS!$A:$U,21,FALSE)),"")</f>
        <v>Se realizará revisión frente a los resultados de la Institución en la pruebas SABER 11 2025</v>
      </c>
    </row>
    <row r="952" spans="1:21" s="1" customFormat="1" ht="99.75" customHeight="1">
      <c r="A952" s="69">
        <f>IF([7]PRIORIZADOS!A25="","",[7]PRIORIZADOS!A25)</f>
        <v>896</v>
      </c>
      <c r="B952" s="87">
        <f>IFERROR(IF(VLOOKUP(A952,[7]PRIORIZADOS!$A:$B,2,FALSE)="","",VLOOKUP(A952,[7]PRIORIZADOS!$A:$B,2,FALSE)),"")</f>
        <v>3</v>
      </c>
      <c r="C952" s="11" t="str">
        <f>IFERROR(IF(VLOOKUP(A952,[7]PRIORIZADOS!$A:$C,3,FALSE)="","",VLOOKUP(A952,[7]PRIORIZADOS!$A:$C,3,FALSE)),"")</f>
        <v>FONTIBÓN</v>
      </c>
      <c r="D952" s="69" t="str">
        <f>IFERROR(IF(VLOOKUP(A952,[7]PRIORIZADOS!$A:$D,4,FALSE)="","",VLOOKUP(A952,[7]PRIORIZADOS!$A:$D,4,FALSE)),"")</f>
        <v>PRIVADO</v>
      </c>
      <c r="E952" s="69" t="str">
        <f>IFERROR(IF(VLOOKUP(A952,[7]PRIORIZADOS!$A:$E,5,FALSE)="","",VLOOKUP(A952,[7]PRIORIZADOS!$A:$E,5,FALSE)),"")</f>
        <v>EPBM</v>
      </c>
      <c r="F952" s="11" t="str">
        <f>IFERROR(IF(VLOOKUP(A952,[7]PRIORIZADOS!$A:$F,6,FALSE)="","",VLOOKUP(A952,[7]PRIORIZADOS!$A:$F,6,FALSE)),"")</f>
        <v>UNIDAD_EDUCATIVA_BAHIA_SOLANO</v>
      </c>
      <c r="G952" s="69" t="str">
        <f>IFERROR(IF(VLOOKUP(A952,[7]PRIORIZADOS!$A:$G,7,FALSE)="","",VLOOKUP(A952,[7]PRIORIZADOS!$A:$G,7,FALSE)),"")</f>
        <v>UNIDAD_EDUCATIVA_BAHIA_SOLANO</v>
      </c>
      <c r="H952" s="11" t="str">
        <f>IFERROR(IF(VLOOKUP(A952,[7]PRIORIZADOS!$A:$H,8,FALSE)="","",VLOOKUP(A952,[7]PRIORIZADOS!$A:$H,8,FALSE)),"")</f>
        <v>Autoevaluación Institucional y Pruebas SABER 11</v>
      </c>
      <c r="I952" s="11" t="str">
        <f>IFERROR(IF(VLOOKUP(A952,[7]PRIORIZADOS!$A:$I,9,FALSE)="","",VLOOKUP(A952,[7]PRIORIZADOS!$A:$I,9,FALSE)),"")</f>
        <v>SEGUIMIENTO_Y_SUPERVISIÓN.</v>
      </c>
      <c r="J952" s="11" t="str">
        <f>IFERROR(IF(VLOOKUP(A952,[7]PRIORIZADOS!$A:$J,10,FALSE)="","",VLOOKUP(A952,[7]PRIORIZADOS!$A:$J,10,FALSE)),"")</f>
        <v xml:space="preserve">Verificar la implementación por parte de los colegios, de acciones realizadas para la prevención y atención de las situaciones de convivencia en el entorno escolar, según lo establecido en la Directiva 01 de 2022 del MEN. </v>
      </c>
      <c r="K952" s="11" t="str">
        <f>IFERROR(IF(VLOOKUP(A952,[7]PRIORIZADOS!$A:$K,11,FALSE)="","",VLOOKUP(A952,[7]PRIORIZADOS!$A:$K,11,FALSE)),"")</f>
        <v>MARITZA SARMIENTO VANEGAS</v>
      </c>
      <c r="L952" s="11" t="str">
        <f>IFERROR(IF(VLOOKUP(A952,[7]PRIORIZADOS!$A:$L,12,FALSE)="","",VLOOKUP(A952,[7]PRIORIZADOS!$A:$L,12,FALSE)),"")</f>
        <v>GLORIA INES AMAYA RAMÍREZ</v>
      </c>
      <c r="M952" s="156">
        <f>IFERROR(IF(VLOOKUP(A952,[7]PRIORIZADOS!$A:$M,13,FALSE)="","",VLOOKUP(A952,[7]PRIORIZADOS!$A:$M,13,FALSE)),"")</f>
        <v>45776</v>
      </c>
      <c r="N952" s="156">
        <f>IFERROR(IF(VLOOKUP(A952,[7]PRIORIZADOS!$A:$N,14,FALSE)="","",VLOOKUP(A952,[7]PRIORIZADOS!$A:$N,14,FALSE)),"")</f>
        <v>45863</v>
      </c>
      <c r="O952" s="156">
        <f>IFERROR(IF(VLOOKUP(A952,[7]PRIORIZADOS!$A:$O,15,FALSE)="","",VLOOKUP(A952,[7]PRIORIZADOS!$A:$O,15,FALSE)),"")</f>
        <v>45863</v>
      </c>
      <c r="P952" s="11" t="str">
        <f>IFERROR(IF(VLOOKUP(A952,[7]PRIORIZADOS!$A:$P,16,FALSE)="","",VLOOKUP(A952,[7]PRIORIZADOS!$A:$P,16,FALSE)),"")</f>
        <v>Visitas de evaluación con fines de mejoramiento</v>
      </c>
      <c r="Q952" s="126" t="s">
        <v>167</v>
      </c>
      <c r="R952" s="11" t="str">
        <f>IFERROR(IF(VLOOKUP(A952,[7]PRIORIZADOS!$A:$R,18,FALSE)="","",VLOOKUP(A952,[7]PRIORIZADOS!$A:$R,18,FALSE)),"")</f>
        <v>Se realizan actividades pedagógico formativas del componente de prevención y promoción de la ruta de atención integral. se han atendido los casos presentados aplicando protocolos y ruta.
La institución presento los certificados de consulta de delitos sexuales de los docentes contratados.</v>
      </c>
      <c r="S952" s="11" t="str">
        <f>IFERROR(IF(VLOOKUP(A952,[7]PRIORIZADOS!$A:$S,19,FALSE)="","",VLOOKUP(A952,[7]PRIORIZADOS!$A:$S,19,FALSE)),"")</f>
        <v>Continuar con la aplicación de las estrategias de prevención, promoción y seguimiento por parte del Comité de Convivencia Escolar.</v>
      </c>
      <c r="T952" s="70" t="str">
        <f>IFERROR(IF(VLOOKUP(A952,[7]PRIORIZADOS!$A:$T,20,FALSE)="","",VLOOKUP(A952,[7]PRIORIZADOS!$A:$T,20,FALSE)),"")</f>
        <v>No</v>
      </c>
      <c r="U952" s="11" t="str">
        <f>IFERROR(IF(VLOOKUP(A952,[7]PRIORIZADOS!$A:$U,21,FALSE)="","",VLOOKUP(A952,[7]PRIORIZADOS!$A:$U,21,FALSE)),"")</f>
        <v>Revisar el cumplimiento y actualización de certificados en el cuarto trimestre del año.</v>
      </c>
    </row>
    <row r="953" spans="1:21" s="1" customFormat="1" ht="72">
      <c r="A953" s="69">
        <f>IF([7]PRIORIZADOS!A26="","",[7]PRIORIZADOS!A26)</f>
        <v>897</v>
      </c>
      <c r="B953" s="87">
        <f>IFERROR(IF(VLOOKUP(A953,[7]PRIORIZADOS!$A:$B,2,FALSE)="","",VLOOKUP(A953,[7]PRIORIZADOS!$A:$B,2,FALSE)),"")</f>
        <v>3</v>
      </c>
      <c r="C953" s="11" t="str">
        <f>IFERROR(IF(VLOOKUP(A953,[7]PRIORIZADOS!$A:$C,3,FALSE)="","",VLOOKUP(A953,[7]PRIORIZADOS!$A:$C,3,FALSE)),"")</f>
        <v>FONTIBÓN</v>
      </c>
      <c r="D953" s="69" t="str">
        <f>IFERROR(IF(VLOOKUP(A953,[7]PRIORIZADOS!$A:$D,4,FALSE)="","",VLOOKUP(A953,[7]PRIORIZADOS!$A:$D,4,FALSE)),"")</f>
        <v>PRIVADO</v>
      </c>
      <c r="E953" s="69" t="str">
        <f>IFERROR(IF(VLOOKUP(A953,[7]PRIORIZADOS!$A:$E,5,FALSE)="","",VLOOKUP(A953,[7]PRIORIZADOS!$A:$E,5,FALSE)),"")</f>
        <v>EPBM</v>
      </c>
      <c r="F953" s="11" t="str">
        <f>IFERROR(IF(VLOOKUP(A953,[7]PRIORIZADOS!$A:$F,6,FALSE)="","",VLOOKUP(A953,[7]PRIORIZADOS!$A:$F,6,FALSE)),"")</f>
        <v>UNIDAD_EDUCATIVA_BAHIA_SOLANO</v>
      </c>
      <c r="G953" s="69" t="str">
        <f>IFERROR(IF(VLOOKUP(A953,[7]PRIORIZADOS!$A:$G,7,FALSE)="","",VLOOKUP(A953,[7]PRIORIZADOS!$A:$G,7,FALSE)),"")</f>
        <v>UNIDAD_EDUCATIVA_BAHIA_SOLANO</v>
      </c>
      <c r="H953" s="11" t="str">
        <f>IFERROR(IF(VLOOKUP(A953,[7]PRIORIZADOS!$A:$H,8,FALSE)="","",VLOOKUP(A953,[7]PRIORIZADOS!$A:$H,8,FALSE)),"")</f>
        <v>Autoevaluación Institucional y Pruebas SABER 11</v>
      </c>
      <c r="I953" s="11" t="str">
        <f>IFERROR(IF(VLOOKUP(A953,[7]PRIORIZADOS!$A:$I,9,FALSE)="","",VLOOKUP(A953,[7]PRIORIZADOS!$A:$I,9,FALSE)),"")</f>
        <v>SEGUIMIENTO_Y_SUPERVISIÓN.</v>
      </c>
      <c r="J953" s="11" t="str">
        <f>IFERROR(IF(VLOOKUP(A953,[7]PRIORIZADOS!$A:$J,10,FALSE)="","",VLOOKUP(A953,[7]PRIORIZADOS!$A:$J,10,FALSE)),"")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53" s="11" t="str">
        <f>IFERROR(IF(VLOOKUP(A953,[7]PRIORIZADOS!$A:$K,11,FALSE)="","",VLOOKUP(A953,[7]PRIORIZADOS!$A:$K,11,FALSE)),"")</f>
        <v>MARITZA SARMIENTO VANEGAS</v>
      </c>
      <c r="L953" s="11" t="str">
        <f>IFERROR(IF(VLOOKUP(A953,[7]PRIORIZADOS!$A:$L,12,FALSE)="","",VLOOKUP(A953,[7]PRIORIZADOS!$A:$L,12,FALSE)),"")</f>
        <v>GLORIA INES AMAYA RAMÍREZ</v>
      </c>
      <c r="M953" s="156">
        <f>IFERROR(IF(VLOOKUP(A953,[7]PRIORIZADOS!$A:$M,13,FALSE)="","",VLOOKUP(A953,[7]PRIORIZADOS!$A:$M,13,FALSE)),"")</f>
        <v>45776</v>
      </c>
      <c r="N953" s="156">
        <f>IFERROR(IF(VLOOKUP(A953,[7]PRIORIZADOS!$A:$N,14,FALSE)="","",VLOOKUP(A953,[7]PRIORIZADOS!$A:$N,14,FALSE)),"")</f>
        <v>45863</v>
      </c>
      <c r="O953" s="156">
        <f>IFERROR(IF(VLOOKUP(A953,[7]PRIORIZADOS!$A:$O,15,FALSE)="","",VLOOKUP(A953,[7]PRIORIZADOS!$A:$O,15,FALSE)),"")</f>
        <v>45863</v>
      </c>
      <c r="P953" s="11" t="str">
        <f>IFERROR(IF(VLOOKUP(A953,[7]PRIORIZADOS!$A:$P,16,FALSE)="","",VLOOKUP(A953,[7]PRIORIZADOS!$A:$P,16,FALSE)),"")</f>
        <v>Visitas de evaluación con fines de mejoramiento</v>
      </c>
      <c r="Q953" s="157"/>
      <c r="R953" s="11" t="str">
        <f>IFERROR(IF(VLOOKUP(A953,[7]PRIORIZADOS!$A:$R,18,FALSE)="","",VLOOKUP(A953,[7]PRIORIZADOS!$A:$R,18,FALSE)),"")</f>
        <v>Se elaboraron y se está implementando el PIAR para cada uno de los 6 estudiantes en Condición de discapacidad</v>
      </c>
      <c r="S953" s="11" t="str">
        <f>IFERROR(IF(VLOOKUP(A953,[7]PRIORIZADOS!$A:$S,19,FALSE)="","",VLOOKUP(A953,[7]PRIORIZADOS!$A:$S,19,FALSE)),"")</f>
        <v>Continuar con la implementación de las acciones definidas en los PIAR y los ajustes que se requieran en los procesos académicos de los estudiantes.</v>
      </c>
      <c r="T953" s="70" t="str">
        <f>IFERROR(IF(VLOOKUP(A953,[7]PRIORIZADOS!$A:$T,20,FALSE)="","",VLOOKUP(A953,[7]PRIORIZADOS!$A:$T,20,FALSE)),"")</f>
        <v>No</v>
      </c>
      <c r="U953" s="11" t="str">
        <f>IFERROR(IF(VLOOKUP(A953,[7]PRIORIZADOS!$A:$U,21,FALSE)="","",VLOOKUP(A953,[7]PRIORIZADOS!$A:$U,21,FALSE)),"")</f>
        <v>Se realizará revisión de los PIAR en caso de presentarse queja.</v>
      </c>
    </row>
    <row r="954" spans="1:21" s="1" customFormat="1" ht="84">
      <c r="A954" s="69">
        <f>IF([7]PRIORIZADOS!A27="","",[7]PRIORIZADOS!A27)</f>
        <v>898</v>
      </c>
      <c r="B954" s="87">
        <f>IFERROR(IF(VLOOKUP(A954,[7]PRIORIZADOS!$A:$B,2,FALSE)="","",VLOOKUP(A954,[7]PRIORIZADOS!$A:$B,2,FALSE)),"")</f>
        <v>3</v>
      </c>
      <c r="C954" s="11" t="str">
        <f>IFERROR(IF(VLOOKUP(A954,[7]PRIORIZADOS!$A:$C,3,FALSE)="","",VLOOKUP(A954,[7]PRIORIZADOS!$A:$C,3,FALSE)),"")</f>
        <v>FONTIBÓN</v>
      </c>
      <c r="D954" s="69" t="str">
        <f>IFERROR(IF(VLOOKUP(A954,[7]PRIORIZADOS!$A:$D,4,FALSE)="","",VLOOKUP(A954,[7]PRIORIZADOS!$A:$D,4,FALSE)),"")</f>
        <v>PRIVADO</v>
      </c>
      <c r="E954" s="69" t="str">
        <f>IFERROR(IF(VLOOKUP(A954,[7]PRIORIZADOS!$A:$E,5,FALSE)="","",VLOOKUP(A954,[7]PRIORIZADOS!$A:$E,5,FALSE)),"")</f>
        <v>EPBM</v>
      </c>
      <c r="F954" s="11" t="str">
        <f>IFERROR(IF(VLOOKUP(A954,[7]PRIORIZADOS!$A:$F,6,FALSE)="","",VLOOKUP(A954,[7]PRIORIZADOS!$A:$F,6,FALSE)),"")</f>
        <v>UNIDAD_EDUCATIVA_BAHIA_SOLANO</v>
      </c>
      <c r="G954" s="69" t="str">
        <f>IFERROR(IF(VLOOKUP(A954,[7]PRIORIZADOS!$A:$G,7,FALSE)="","",VLOOKUP(A954,[7]PRIORIZADOS!$A:$G,7,FALSE)),"")</f>
        <v>UNIDAD_EDUCATIVA_BAHIA_SOLANO</v>
      </c>
      <c r="H954" s="11" t="str">
        <f>IFERROR(IF(VLOOKUP(A954,[7]PRIORIZADOS!$A:$H,8,FALSE)="","",VLOOKUP(A954,[7]PRIORIZADOS!$A:$H,8,FALSE)),"")</f>
        <v>Autoevaluación Institucional y Pruebas SABER 11</v>
      </c>
      <c r="I954" s="11" t="str">
        <f>IFERROR(IF(VLOOKUP(A954,[7]PRIORIZADOS!$A:$I,9,FALSE)="","",VLOOKUP(A954,[7]PRIORIZADOS!$A:$I,9,FALSE)),"")</f>
        <v>EVALUACIÓN_CON_FINES_DE_MEJORAMIENTO.</v>
      </c>
      <c r="J954" s="11" t="str">
        <f>IFERROR(IF(VLOOKUP(A954,[7]PRIORIZADOS!$A:$J,10,FALSE)="","",VLOOKUP(A954,[7]PRIORIZADOS!$A:$J,10,FALSE)),"")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54" s="11" t="str">
        <f>IFERROR(IF(VLOOKUP(A954,[7]PRIORIZADOS!$A:$K,11,FALSE)="","",VLOOKUP(A954,[7]PRIORIZADOS!$A:$K,11,FALSE)),"")</f>
        <v>MARITZA SARMIENTO VANEGAS</v>
      </c>
      <c r="L954" s="11" t="str">
        <f>IFERROR(IF(VLOOKUP(A954,[7]PRIORIZADOS!$A:$L,12,FALSE)="","",VLOOKUP(A954,[7]PRIORIZADOS!$A:$L,12,FALSE)),"")</f>
        <v>GLORIA INES AMAYA RAMÍREZ</v>
      </c>
      <c r="M954" s="156">
        <f>IFERROR(IF(VLOOKUP(A954,[7]PRIORIZADOS!$A:$M,13,FALSE)="","",VLOOKUP(A954,[7]PRIORIZADOS!$A:$M,13,FALSE)),"")</f>
        <v>45776</v>
      </c>
      <c r="N954" s="156">
        <f>IFERROR(IF(VLOOKUP(A954,[7]PRIORIZADOS!$A:$N,14,FALSE)="","",VLOOKUP(A954,[7]PRIORIZADOS!$A:$N,14,FALSE)),"")</f>
        <v>45863</v>
      </c>
      <c r="O954" s="156">
        <f>IFERROR(IF(VLOOKUP(A954,[7]PRIORIZADOS!$A:$O,15,FALSE)="","",VLOOKUP(A954,[7]PRIORIZADOS!$A:$O,15,FALSE)),"")</f>
        <v>45863</v>
      </c>
      <c r="P954" s="11" t="str">
        <f>IFERROR(IF(VLOOKUP(A954,[7]PRIORIZADOS!$A:$P,16,FALSE)="","",VLOOKUP(A954,[7]PRIORIZADOS!$A:$P,16,FALSE)),"")</f>
        <v>Visitas de evaluación con fines de mejoramiento</v>
      </c>
      <c r="Q954" s="107" t="s">
        <v>168</v>
      </c>
      <c r="R954" s="11" t="str">
        <f>IFERROR(IF(VLOOKUP(A954,[7]PRIORIZADOS!$A:$R,18,FALSE)="","",VLOOKUP(A954,[7]PRIORIZADOS!$A:$R,18,FALSE)),"")</f>
        <v>Manual de convivencia actualizado, socializado con los miembros de la comunidad educativa. Debe ser ajustado en cuanto a lo requerido por los enfoques de género y restaurativo y marco legal.</v>
      </c>
      <c r="S954" s="11" t="str">
        <f>IFERROR(IF(VLOOKUP(A954,[7]PRIORIZADOS!$A:$S,19,FALSE)="","",VLOOKUP(A954,[7]PRIORIZADOS!$A:$S,19,FALSE)),"")</f>
        <v>Actualizar y ajustar el manual incorporando los enfoques diferenciales.</v>
      </c>
      <c r="T954" s="70" t="str">
        <f>IFERROR(IF(VLOOKUP(A954,[7]PRIORIZADOS!$A:$T,20,FALSE)="","",VLOOKUP(A954,[7]PRIORIZADOS!$A:$T,20,FALSE)),"")</f>
        <v>Si</v>
      </c>
      <c r="U954" s="11" t="str">
        <f>IFERROR(IF(VLOOKUP(A954,[7]PRIORIZADOS!$A:$U,21,FALSE)="","",VLOOKUP(A954,[7]PRIORIZADOS!$A:$U,21,FALSE)),"")</f>
        <v>Realizar revisión del primer avance en la actualización del manual de convivencia, en el segundo semestre de la presente vigencia.</v>
      </c>
    </row>
    <row r="955" spans="1:21" s="1" customFormat="1" ht="48">
      <c r="A955" s="69">
        <f>IF([7]PRIORIZADOS!A28="","",[7]PRIORIZADOS!A28)</f>
        <v>899</v>
      </c>
      <c r="B955" s="87">
        <f>IFERROR(IF(VLOOKUP(A955,[7]PRIORIZADOS!$A:$B,2,FALSE)="","",VLOOKUP(A955,[7]PRIORIZADOS!$A:$B,2,FALSE)),"")</f>
        <v>3</v>
      </c>
      <c r="C955" s="11" t="str">
        <f>IFERROR(IF(VLOOKUP(A955,[7]PRIORIZADOS!$A:$C,3,FALSE)="","",VLOOKUP(A955,[7]PRIORIZADOS!$A:$C,3,FALSE)),"")</f>
        <v>FONTIBÓN</v>
      </c>
      <c r="D955" s="69" t="str">
        <f>IFERROR(IF(VLOOKUP(A955,[7]PRIORIZADOS!$A:$D,4,FALSE)="","",VLOOKUP(A955,[7]PRIORIZADOS!$A:$D,4,FALSE)),"")</f>
        <v>PRIVADO</v>
      </c>
      <c r="E955" s="69" t="str">
        <f>IFERROR(IF(VLOOKUP(A955,[7]PRIORIZADOS!$A:$E,5,FALSE)="","",VLOOKUP(A955,[7]PRIORIZADOS!$A:$E,5,FALSE)),"")</f>
        <v>EPBM</v>
      </c>
      <c r="F955" s="11" t="str">
        <f>IFERROR(IF(VLOOKUP(A955,[7]PRIORIZADOS!$A:$F,6,FALSE)="","",VLOOKUP(A955,[7]PRIORIZADOS!$A:$F,6,FALSE)),"")</f>
        <v>UNIDAD_EDUCATIVA_BAHIA_SOLANO</v>
      </c>
      <c r="G955" s="69" t="str">
        <f>IFERROR(IF(VLOOKUP(A955,[7]PRIORIZADOS!$A:$G,7,FALSE)="","",VLOOKUP(A955,[7]PRIORIZADOS!$A:$G,7,FALSE)),"")</f>
        <v>UNIDAD_EDUCATIVA_BAHIA_SOLANO</v>
      </c>
      <c r="H955" s="11" t="str">
        <f>IFERROR(IF(VLOOKUP(A955,[7]PRIORIZADOS!$A:$H,8,FALSE)="","",VLOOKUP(A955,[7]PRIORIZADOS!$A:$H,8,FALSE)),"")</f>
        <v>Autoevaluación Institucional y Pruebas SABER 11</v>
      </c>
      <c r="I955" s="11" t="str">
        <f>IFERROR(IF(VLOOKUP(A955,[7]PRIORIZADOS!$A:$I,9,FALSE)="","",VLOOKUP(A955,[7]PRIORIZADOS!$A:$I,9,FALSE)),"")</f>
        <v>EVALUACIÓN_CON_FINES_DE_MEJORAMIENTO.</v>
      </c>
      <c r="J955" s="11" t="str">
        <f>IFERROR(IF(VLOOKUP(A955,[7]PRIORIZADOS!$A:$J,10,FALSE)="","",VLOOKUP(A955,[7]PRIORIZADOS!$A:$J,10,FALSE)),"")</f>
        <v>Revisar la actualización, socialización e implementación del Sistema Institucional de Evaluación de Estudiantes - SIEE, en articulación con la actualización del PEI y la normatividad vigente.</v>
      </c>
      <c r="K955" s="11" t="str">
        <f>IFERROR(IF(VLOOKUP(A955,[7]PRIORIZADOS!$A:$K,11,FALSE)="","",VLOOKUP(A955,[7]PRIORIZADOS!$A:$K,11,FALSE)),"")</f>
        <v>MARITZA SARMIENTO VANEGAS</v>
      </c>
      <c r="L955" s="11" t="str">
        <f>IFERROR(IF(VLOOKUP(A955,[7]PRIORIZADOS!$A:$L,12,FALSE)="","",VLOOKUP(A955,[7]PRIORIZADOS!$A:$L,12,FALSE)),"")</f>
        <v>GLORIA INES AMAYA RAMÍREZ</v>
      </c>
      <c r="M955" s="156">
        <f>IFERROR(IF(VLOOKUP(A955,[7]PRIORIZADOS!$A:$M,13,FALSE)="","",VLOOKUP(A955,[7]PRIORIZADOS!$A:$M,13,FALSE)),"")</f>
        <v>45776</v>
      </c>
      <c r="N955" s="156">
        <f>IFERROR(IF(VLOOKUP(A955,[7]PRIORIZADOS!$A:$N,14,FALSE)="","",VLOOKUP(A955,[7]PRIORIZADOS!$A:$N,14,FALSE)),"")</f>
        <v>45863</v>
      </c>
      <c r="O955" s="156">
        <f>IFERROR(IF(VLOOKUP(A955,[7]PRIORIZADOS!$A:$O,15,FALSE)="","",VLOOKUP(A955,[7]PRIORIZADOS!$A:$O,15,FALSE)),"")</f>
        <v>45863</v>
      </c>
      <c r="P955" s="11" t="str">
        <f>IFERROR(IF(VLOOKUP(A955,[7]PRIORIZADOS!$A:$P,16,FALSE)="","",VLOOKUP(A955,[7]PRIORIZADOS!$A:$P,16,FALSE)),"")</f>
        <v>Visitas de evaluación con fines de mejoramiento</v>
      </c>
      <c r="Q955" s="107" t="s">
        <v>168</v>
      </c>
      <c r="R955" s="11" t="str">
        <f>IFERROR(IF(VLOOKUP(A955,[7]PRIORIZADOS!$A:$R,18,FALSE)="","",VLOOKUP(A955,[7]PRIORIZADOS!$A:$R,18,FALSE)),"")</f>
        <v>SIEE actualizado y coherente con el modelo pedagógico</v>
      </c>
      <c r="S955" s="11" t="str">
        <f>IFERROR(IF(VLOOKUP(A955,[7]PRIORIZADOS!$A:$S,19,FALSE)="","",VLOOKUP(A955,[7]PRIORIZADOS!$A:$S,19,FALSE)),"")</f>
        <v>Continuar con la implementación de las acciones definidas en el SIEE.</v>
      </c>
      <c r="T955" s="70" t="str">
        <f>IFERROR(IF(VLOOKUP(A955,[7]PRIORIZADOS!$A:$T,20,FALSE)="","",VLOOKUP(A955,[7]PRIORIZADOS!$A:$T,20,FALSE)),"")</f>
        <v>No</v>
      </c>
      <c r="U955" s="11" t="str">
        <f>IFERROR(IF(VLOOKUP(A955,[7]PRIORIZADOS!$A:$U,21,FALSE)="","",VLOOKUP(A955,[7]PRIORIZADOS!$A:$U,21,FALSE)),"")</f>
        <v>Verificar la socialización del SIEE para la siguiente vigencia o en caso de presentarse queja.</v>
      </c>
    </row>
    <row r="956" spans="1:21" s="1" customFormat="1" ht="48">
      <c r="A956" s="69">
        <f>IF([7]PRIORIZADOS!A29="","",[7]PRIORIZADOS!A29)</f>
        <v>900</v>
      </c>
      <c r="B956" s="87">
        <f>IFERROR(IF(VLOOKUP(A956,[7]PRIORIZADOS!$A:$B,2,FALSE)="","",VLOOKUP(A956,[7]PRIORIZADOS!$A:$B,2,FALSE)),"")</f>
        <v>3</v>
      </c>
      <c r="C956" s="11" t="str">
        <f>IFERROR(IF(VLOOKUP(A956,[7]PRIORIZADOS!$A:$C,3,FALSE)="","",VLOOKUP(A956,[7]PRIORIZADOS!$A:$C,3,FALSE)),"")</f>
        <v>FONTIBÓN</v>
      </c>
      <c r="D956" s="69" t="str">
        <f>IFERROR(IF(VLOOKUP(A956,[7]PRIORIZADOS!$A:$D,4,FALSE)="","",VLOOKUP(A956,[7]PRIORIZADOS!$A:$D,4,FALSE)),"")</f>
        <v>PRIVADO</v>
      </c>
      <c r="E956" s="69" t="str">
        <f>IFERROR(IF(VLOOKUP(A956,[7]PRIORIZADOS!$A:$E,5,FALSE)="","",VLOOKUP(A956,[7]PRIORIZADOS!$A:$E,5,FALSE)),"")</f>
        <v>EPBM</v>
      </c>
      <c r="F956" s="11" t="str">
        <f>IFERROR(IF(VLOOKUP(A956,[7]PRIORIZADOS!$A:$F,6,FALSE)="","",VLOOKUP(A956,[7]PRIORIZADOS!$A:$F,6,FALSE)),"")</f>
        <v>UNIDAD_EDUCATIVA_BAHIA_SOLANO</v>
      </c>
      <c r="G956" s="69" t="str">
        <f>IFERROR(IF(VLOOKUP(A956,[7]PRIORIZADOS!$A:$G,7,FALSE)="","",VLOOKUP(A956,[7]PRIORIZADOS!$A:$G,7,FALSE)),"")</f>
        <v>UNIDAD_EDUCATIVA_BAHIA_SOLANO</v>
      </c>
      <c r="H956" s="11" t="str">
        <f>IFERROR(IF(VLOOKUP(A956,[7]PRIORIZADOS!$A:$H,8,FALSE)="","",VLOOKUP(A956,[7]PRIORIZADOS!$A:$H,8,FALSE)),"")</f>
        <v>Autoevaluación Institucional y Pruebas SABER 11</v>
      </c>
      <c r="I956" s="11" t="str">
        <f>IFERROR(IF(VLOOKUP(A956,[7]PRIORIZADOS!$A:$I,9,FALSE)="","",VLOOKUP(A956,[7]PRIORIZADOS!$A:$I,9,FALSE)),"")</f>
        <v>EVALUACIÓN_CON_FINES_DE_MEJORAMIENTO.</v>
      </c>
      <c r="J956" s="11" t="str">
        <f>IFERROR(IF(VLOOKUP(A956,[7]PRIORIZADOS!$A:$J,10,FALSE)="","",VLOOKUP(A956,[7]PRIORIZADOS!$A:$J,10,FALSE)),"")</f>
        <v>Revisar el calendario escolar, jornada escolar, la intensidad horaria mínima anual en cada nivel y las modificaciones que se realicen al mismo, de acuerdo con lo previsto en la normatividad vigente.</v>
      </c>
      <c r="K956" s="11" t="str">
        <f>IFERROR(IF(VLOOKUP(A956,[7]PRIORIZADOS!$A:$K,11,FALSE)="","",VLOOKUP(A956,[7]PRIORIZADOS!$A:$K,11,FALSE)),"")</f>
        <v>MARITZA SARMIENTO VANEGAS</v>
      </c>
      <c r="L956" s="11" t="str">
        <f>IFERROR(IF(VLOOKUP(A956,[7]PRIORIZADOS!$A:$L,12,FALSE)="","",VLOOKUP(A956,[7]PRIORIZADOS!$A:$L,12,FALSE)),"")</f>
        <v>GLORIA INES AMAYA RAMÍREZ</v>
      </c>
      <c r="M956" s="156">
        <f>IFERROR(IF(VLOOKUP(A956,[7]PRIORIZADOS!$A:$M,13,FALSE)="","",VLOOKUP(A956,[7]PRIORIZADOS!$A:$M,13,FALSE)),"")</f>
        <v>45776</v>
      </c>
      <c r="N956" s="156">
        <f>IFERROR(IF(VLOOKUP(A956,[7]PRIORIZADOS!$A:$N,14,FALSE)="","",VLOOKUP(A956,[7]PRIORIZADOS!$A:$N,14,FALSE)),"")</f>
        <v>45863</v>
      </c>
      <c r="O956" s="156">
        <f>IFERROR(IF(VLOOKUP(A956,[7]PRIORIZADOS!$A:$O,15,FALSE)="","",VLOOKUP(A956,[7]PRIORIZADOS!$A:$O,15,FALSE)),"")</f>
        <v>45863</v>
      </c>
      <c r="P956" s="11" t="str">
        <f>IFERROR(IF(VLOOKUP(A956,[7]PRIORIZADOS!$A:$P,16,FALSE)="","",VLOOKUP(A956,[7]PRIORIZADOS!$A:$P,16,FALSE)),"")</f>
        <v>Visitas de evaluación con fines de mejoramiento</v>
      </c>
      <c r="Q956" s="107" t="s">
        <v>168</v>
      </c>
      <c r="R956" s="11" t="str">
        <f>IFERROR(IF(VLOOKUP(A956,[7]PRIORIZADOS!$A:$R,18,FALSE)="","",VLOOKUP(A956,[7]PRIORIZADOS!$A:$R,18,FALSE)),"")</f>
        <v>Calendario escolar ajustado a norma para los niveles de  preescolar básica y media</v>
      </c>
      <c r="S956" s="11" t="str">
        <f>IFERROR(IF(VLOOKUP(A956,[7]PRIORIZADOS!$A:$S,19,FALSE)="","",VLOOKUP(A956,[7]PRIORIZADOS!$A:$S,19,FALSE)),"")</f>
        <v>Continuar con la implementación del calendario según las fechas definidas para los períodos de desarrollo académico y recesos.</v>
      </c>
      <c r="T956" s="70" t="str">
        <f>IFERROR(IF(VLOOKUP(A956,[7]PRIORIZADOS!$A:$T,20,FALSE)="","",VLOOKUP(A956,[7]PRIORIZADOS!$A:$T,20,FALSE)),"")</f>
        <v>No</v>
      </c>
      <c r="U956" s="11" t="str">
        <f>IFERROR(IF(VLOOKUP(A956,[7]PRIORIZADOS!$A:$U,21,FALSE)="","",VLOOKUP(A956,[7]PRIORIZADOS!$A:$U,21,FALSE)),"")</f>
        <v>Verificar la elaboración y socialización del calendario para la siguiente vigencia o en caso de presentarse queja.</v>
      </c>
    </row>
    <row r="957" spans="1:21" s="1" customFormat="1" ht="48">
      <c r="A957" s="69">
        <f>IF([7]PRIORIZADOS!A30="","",[7]PRIORIZADOS!A30)</f>
        <v>901</v>
      </c>
      <c r="B957" s="87">
        <f>IFERROR(IF(VLOOKUP(A957,[7]PRIORIZADOS!$A:$B,2,FALSE)="","",VLOOKUP(A957,[7]PRIORIZADOS!$A:$B,2,FALSE)),"")</f>
        <v>3</v>
      </c>
      <c r="C957" s="11" t="str">
        <f>IFERROR(IF(VLOOKUP(A957,[7]PRIORIZADOS!$A:$C,3,FALSE)="","",VLOOKUP(A957,[7]PRIORIZADOS!$A:$C,3,FALSE)),"")</f>
        <v>FONTIBÓN</v>
      </c>
      <c r="D957" s="69" t="str">
        <f>IFERROR(IF(VLOOKUP(A957,[7]PRIORIZADOS!$A:$D,4,FALSE)="","",VLOOKUP(A957,[7]PRIORIZADOS!$A:$D,4,FALSE)),"")</f>
        <v>PRIVADO</v>
      </c>
      <c r="E957" s="69" t="str">
        <f>IFERROR(IF(VLOOKUP(A957,[7]PRIORIZADOS!$A:$E,5,FALSE)="","",VLOOKUP(A957,[7]PRIORIZADOS!$A:$E,5,FALSE)),"")</f>
        <v>EPBM</v>
      </c>
      <c r="F957" s="11" t="str">
        <f>IFERROR(IF(VLOOKUP(A957,[7]PRIORIZADOS!$A:$F,6,FALSE)="","",VLOOKUP(A957,[7]PRIORIZADOS!$A:$F,6,FALSE)),"")</f>
        <v>UNIDAD_EDUCATIVA_BAHIA_SOLANO</v>
      </c>
      <c r="G957" s="69" t="str">
        <f>IFERROR(IF(VLOOKUP(A957,[7]PRIORIZADOS!$A:$G,7,FALSE)="","",VLOOKUP(A957,[7]PRIORIZADOS!$A:$G,7,FALSE)),"")</f>
        <v>UNIDAD_EDUCATIVA_BAHIA_SOLANO</v>
      </c>
      <c r="H957" s="11" t="str">
        <f>IFERROR(IF(VLOOKUP(A957,[7]PRIORIZADOS!$A:$H,8,FALSE)="","",VLOOKUP(A957,[7]PRIORIZADOS!$A:$H,8,FALSE)),"")</f>
        <v>Autoevaluación Institucional y Pruebas SABER 11</v>
      </c>
      <c r="I957" s="11" t="str">
        <f>IFERROR(IF(VLOOKUP(A957,[7]PRIORIZADOS!$A:$I,9,FALSE)="","",VLOOKUP(A957,[7]PRIORIZADOS!$A:$I,9,FALSE)),"")</f>
        <v>EVALUACIÓN_CON_FINES_DE_MEJORAMIENTO.</v>
      </c>
      <c r="J957" s="11" t="str">
        <f>IFERROR(IF(VLOOKUP(A957,[7]PRIORIZADOS!$A:$J,10,FALSE)="","",VLOOKUP(A957,[7]PRIORIZADOS!$A:$J,10,FALSE)),"")</f>
        <v>Verificar el funcionamiento del Gobierno Escolar e instancias de participación con base en la información sobre conformación reportada por la institución educativa.</v>
      </c>
      <c r="K957" s="11" t="str">
        <f>IFERROR(IF(VLOOKUP(A957,[7]PRIORIZADOS!$A:$K,11,FALSE)="","",VLOOKUP(A957,[7]PRIORIZADOS!$A:$K,11,FALSE)),"")</f>
        <v>MARITZA SARMIENTO VANEGAS</v>
      </c>
      <c r="L957" s="11" t="str">
        <f>IFERROR(IF(VLOOKUP(A957,[7]PRIORIZADOS!$A:$L,12,FALSE)="","",VLOOKUP(A957,[7]PRIORIZADOS!$A:$L,12,FALSE)),"")</f>
        <v>GLORIA INES AMAYA RAMÍREZ</v>
      </c>
      <c r="M957" s="156">
        <f>IFERROR(IF(VLOOKUP(A957,[7]PRIORIZADOS!$A:$M,13,FALSE)="","",VLOOKUP(A957,[7]PRIORIZADOS!$A:$M,13,FALSE)),"")</f>
        <v>45776</v>
      </c>
      <c r="N957" s="156">
        <f>IFERROR(IF(VLOOKUP(A957,[7]PRIORIZADOS!$A:$N,14,FALSE)="","",VLOOKUP(A957,[7]PRIORIZADOS!$A:$N,14,FALSE)),"")</f>
        <v>45863</v>
      </c>
      <c r="O957" s="156">
        <f>IFERROR(IF(VLOOKUP(A957,[7]PRIORIZADOS!$A:$O,15,FALSE)="","",VLOOKUP(A957,[7]PRIORIZADOS!$A:$O,15,FALSE)),"")</f>
        <v>45863</v>
      </c>
      <c r="P957" s="11" t="str">
        <f>IFERROR(IF(VLOOKUP(A957,[7]PRIORIZADOS!$A:$P,16,FALSE)="","",VLOOKUP(A957,[7]PRIORIZADOS!$A:$P,16,FALSE)),"")</f>
        <v>Visitas de evaluación con fines de mejoramiento</v>
      </c>
      <c r="Q957" s="107" t="s">
        <v>168</v>
      </c>
      <c r="R957" s="11" t="str">
        <f>IFERROR(IF(VLOOKUP(A957,[7]PRIORIZADOS!$A:$R,18,FALSE)="","",VLOOKUP(A957,[7]PRIORIZADOS!$A:$R,18,FALSE)),"")</f>
        <v>Conformación y funcionamiento del gobierno escolar  y  las instancia de participación  de acuerdo a lo establecido en la normatividad</v>
      </c>
      <c r="S957" s="11" t="str">
        <f>IFERROR(IF(VLOOKUP(A957,[7]PRIORIZADOS!$A:$S,19,FALSE)="","",VLOOKUP(A957,[7]PRIORIZADOS!$A:$S,19,FALSE)),"")</f>
        <v>Continuar con la operatividad del gobierno y las instancias de participación cada dos meses o según corresponda.</v>
      </c>
      <c r="T957" s="70" t="str">
        <f>IFERROR(IF(VLOOKUP(A957,[7]PRIORIZADOS!$A:$T,20,FALSE)="","",VLOOKUP(A957,[7]PRIORIZADOS!$A:$T,20,FALSE)),"")</f>
        <v>No</v>
      </c>
      <c r="U957" s="11" t="str">
        <f>IFERROR(IF(VLOOKUP(A957,[7]PRIORIZADOS!$A:$U,21,FALSE)="","",VLOOKUP(A957,[7]PRIORIZADOS!$A:$U,21,FALSE)),"")</f>
        <v>Se verificará la conformación del gobierno escolar para la siguiente vigencia.</v>
      </c>
    </row>
    <row r="958" spans="1:21" s="1" customFormat="1" ht="99.75" customHeight="1">
      <c r="A958" s="69">
        <f>IF([7]PRIORIZADOS!A31="","",[7]PRIORIZADOS!A31)</f>
        <v>902</v>
      </c>
      <c r="B958" s="87">
        <f>IFERROR(IF(VLOOKUP(A958,[7]PRIORIZADOS!$A:$B,2,FALSE)="","",VLOOKUP(A958,[7]PRIORIZADOS!$A:$B,2,FALSE)),"")</f>
        <v>3</v>
      </c>
      <c r="C958" s="11" t="str">
        <f>IFERROR(IF(VLOOKUP(A958,[7]PRIORIZADOS!$A:$C,3,FALSE)="","",VLOOKUP(A958,[7]PRIORIZADOS!$A:$C,3,FALSE)),"")</f>
        <v>FONTIBÓN</v>
      </c>
      <c r="D958" s="69" t="str">
        <f>IFERROR(IF(VLOOKUP(A958,[7]PRIORIZADOS!$A:$D,4,FALSE)="","",VLOOKUP(A958,[7]PRIORIZADOS!$A:$D,4,FALSE)),"")</f>
        <v>PRIVADO</v>
      </c>
      <c r="E958" s="69" t="str">
        <f>IFERROR(IF(VLOOKUP(A958,[7]PRIORIZADOS!$A:$E,5,FALSE)="","",VLOOKUP(A958,[7]PRIORIZADOS!$A:$E,5,FALSE)),"")</f>
        <v>EPBM</v>
      </c>
      <c r="F958" s="11" t="str">
        <f>IFERROR(IF(VLOOKUP(A958,[7]PRIORIZADOS!$A:$F,6,FALSE)="","",VLOOKUP(A958,[7]PRIORIZADOS!$A:$F,6,FALSE)),"")</f>
        <v>UNIDAD_EDUCATIVA_BAHIA_SOLANO</v>
      </c>
      <c r="G958" s="69" t="str">
        <f>IFERROR(IF(VLOOKUP(A958,[7]PRIORIZADOS!$A:$G,7,FALSE)="","",VLOOKUP(A958,[7]PRIORIZADOS!$A:$G,7,FALSE)),"")</f>
        <v>UNIDAD_EDUCATIVA_BAHIA_SOLANO</v>
      </c>
      <c r="H958" s="11" t="str">
        <f>IFERROR(IF(VLOOKUP(A958,[7]PRIORIZADOS!$A:$H,8,FALSE)="","",VLOOKUP(A958,[7]PRIORIZADOS!$A:$H,8,FALSE)),"")</f>
        <v>Autoevaluación Institucional y Pruebas SABER 11</v>
      </c>
      <c r="I958" s="11" t="str">
        <f>IFERROR(IF(VLOOKUP(A958,[7]PRIORIZADOS!$A:$I,9,FALSE)="","",VLOOKUP(A958,[7]PRIORIZADOS!$A:$I,9,FALSE)),"")</f>
        <v>EVALUACIÓN_CON_FINES_DE_MEJORAMIENTO.</v>
      </c>
      <c r="J958" s="11" t="str">
        <f>IFERROR(IF(VLOOKUP(A958,[7]PRIORIZADOS!$A:$J,10,FALSE)="","",VLOOKUP(A958,[7]PRIORIZADOS!$A:$J,10,FALSE)),"")</f>
        <v>Verificar las condiciones en cuanto a: la estructura administrativa, condiciones de la planta física y medios educativos adecuados.</v>
      </c>
      <c r="K958" s="11" t="str">
        <f>IFERROR(IF(VLOOKUP(A958,[7]PRIORIZADOS!$A:$K,11,FALSE)="","",VLOOKUP(A958,[7]PRIORIZADOS!$A:$K,11,FALSE)),"")</f>
        <v>MARITZA SARMIENTO VANEGAS</v>
      </c>
      <c r="L958" s="11" t="str">
        <f>IFERROR(IF(VLOOKUP(A958,[7]PRIORIZADOS!$A:$L,12,FALSE)="","",VLOOKUP(A958,[7]PRIORIZADOS!$A:$L,12,FALSE)),"")</f>
        <v>GLORIA INES AMAYA RAMÍREZ</v>
      </c>
      <c r="M958" s="156">
        <f>IFERROR(IF(VLOOKUP(A958,[7]PRIORIZADOS!$A:$M,13,FALSE)="","",VLOOKUP(A958,[7]PRIORIZADOS!$A:$M,13,FALSE)),"")</f>
        <v>45776</v>
      </c>
      <c r="N958" s="156">
        <f>IFERROR(IF(VLOOKUP(A958,[7]PRIORIZADOS!$A:$N,14,FALSE)="","",VLOOKUP(A958,[7]PRIORIZADOS!$A:$N,14,FALSE)),"")</f>
        <v>45863</v>
      </c>
      <c r="O958" s="156">
        <f>IFERROR(IF(VLOOKUP(A958,[7]PRIORIZADOS!$A:$O,15,FALSE)="","",VLOOKUP(A958,[7]PRIORIZADOS!$A:$O,15,FALSE)),"")</f>
        <v>45863</v>
      </c>
      <c r="P958" s="11" t="str">
        <f>IFERROR(IF(VLOOKUP(A958,[7]PRIORIZADOS!$A:$P,16,FALSE)="","",VLOOKUP(A958,[7]PRIORIZADOS!$A:$P,16,FALSE)),"")</f>
        <v>Visitas de evaluación con fines de mejoramiento</v>
      </c>
      <c r="Q958" s="107" t="s">
        <v>168</v>
      </c>
      <c r="R958" s="11" t="str">
        <f>IFERROR(IF(VLOOKUP(A958,[7]PRIORIZADOS!$A:$R,18,FALSE)="","",VLOOKUP(A958,[7]PRIORIZADOS!$A:$R,18,FALSE)),"")</f>
        <v xml:space="preserve">Las condiciones presentadas en cuanto infraestructura y estructura administrativa cumple con lo exigido por la normatividad vigente    </v>
      </c>
      <c r="S958" s="11" t="str">
        <f>IFERROR(IF(VLOOKUP(A958,[7]PRIORIZADOS!$A:$S,19,FALSE)="","",VLOOKUP(A958,[7]PRIORIZADOS!$A:$S,19,FALSE)),"")</f>
        <v>Continuar con las gestiones necesarias para mantener el nivel del servicio educativo en relación con la planta física y demás recursos.</v>
      </c>
      <c r="T958" s="70" t="str">
        <f>IFERROR(IF(VLOOKUP(A958,[7]PRIORIZADOS!$A:$T,20,FALSE)="","",VLOOKUP(A958,[7]PRIORIZADOS!$A:$T,20,FALSE)),"")</f>
        <v>No</v>
      </c>
      <c r="U958" s="11" t="str">
        <f>IFERROR(IF(VLOOKUP(A958,[7]PRIORIZADOS!$A:$U,21,FALSE)="","",VLOOKUP(A958,[7]PRIORIZADOS!$A:$U,21,FALSE)),"")</f>
        <v>Se hará nueva verificación de esta actividad en caso de presentarse queja.</v>
      </c>
    </row>
    <row r="959" spans="1:21" s="1" customFormat="1" ht="99.75" customHeight="1">
      <c r="A959" s="69">
        <f>IF([7]PRIORIZADOS!A32="","",[7]PRIORIZADOS!A32)</f>
        <v>904</v>
      </c>
      <c r="B959" s="87">
        <f>IFERROR(IF(VLOOKUP(A959,[7]PRIORIZADOS!$A:$B,2,FALSE)="","",VLOOKUP(A959,[7]PRIORIZADOS!$A:$B,2,FALSE)),"")</f>
        <v>4</v>
      </c>
      <c r="C959" s="11" t="str">
        <f>IFERROR(IF(VLOOKUP(A959,[7]PRIORIZADOS!$A:$C,3,FALSE)="","",VLOOKUP(A959,[7]PRIORIZADOS!$A:$C,3,FALSE)),"")</f>
        <v>FONTIBÓN</v>
      </c>
      <c r="D959" s="69" t="str">
        <f>IFERROR(IF(VLOOKUP(A959,[7]PRIORIZADOS!$A:$D,4,FALSE)="","",VLOOKUP(A959,[7]PRIORIZADOS!$A:$D,4,FALSE)),"")</f>
        <v>PRIVADO</v>
      </c>
      <c r="E959" s="69" t="str">
        <f>IFERROR(IF(VLOOKUP(A959,[7]PRIORIZADOS!$A:$E,5,FALSE)="","",VLOOKUP(A959,[7]PRIORIZADOS!$A:$E,5,FALSE)),"")</f>
        <v>EPBM</v>
      </c>
      <c r="F959" s="11" t="str">
        <f>IFERROR(IF(VLOOKUP(A959,[7]PRIORIZADOS!$A:$F,6,FALSE)="","",VLOOKUP(A959,[7]PRIORIZADOS!$A:$F,6,FALSE)),"")</f>
        <v>COLEGIO_NUEVO_MONTESSORIANO</v>
      </c>
      <c r="G959" s="69" t="str">
        <f>IFERROR(IF(VLOOKUP(A959,[7]PRIORIZADOS!$A:$G,7,FALSE)="","",VLOOKUP(A959,[7]PRIORIZADOS!$A:$G,7,FALSE)),"")</f>
        <v>COLEGIO_NUEVO_MONTESSORIANO</v>
      </c>
      <c r="H959" s="11" t="str">
        <f>IFERROR(IF(VLOOKUP(A959,[7]PRIORIZADOS!$A:$H,8,FALSE)="","",VLOOKUP(A959,[7]PRIORIZADOS!$A:$H,8,FALSE)),"")</f>
        <v>Autoevaluación Institucional y Pruebas SABER 11</v>
      </c>
      <c r="I959" s="11" t="str">
        <f>IFERROR(IF(VLOOKUP(A959,[7]PRIORIZADOS!$A:$I,9,FALSE)="","",VLOOKUP(A959,[7]PRIORIZADOS!$A:$I,9,FALSE)),"")</f>
        <v>SEGUIMIENTO_Y_SUPERVISIÓN.</v>
      </c>
      <c r="J959" s="11" t="str">
        <f>IFERROR(IF(VLOOKUP(A959,[7]PRIORIZADOS!$A:$J,10,FALSE)="","",VLOOKUP(A959,[7]PRIORIZADOS!$A:$J,10,FALSE)),"")</f>
        <v>Proponer estrategias en la formulación, verificar su elaboración y realizar seguimiento semestral al desarrollo de  las acciones establecidas en los planes de mejoramiento por pruebas SABER 11 de los establecimientos de educación formal.</v>
      </c>
      <c r="K959" s="11" t="str">
        <f>IFERROR(IF(VLOOKUP(A959,[7]PRIORIZADOS!$A:$K,11,FALSE)="","",VLOOKUP(A959,[7]PRIORIZADOS!$A:$K,11,FALSE)),"")</f>
        <v>GLORIA INES AMAYA RAMÍREZ</v>
      </c>
      <c r="L959" s="11" t="str">
        <f>IFERROR(IF(VLOOKUP(A959,[7]PRIORIZADOS!$A:$L,12,FALSE)="","",VLOOKUP(A959,[7]PRIORIZADOS!$A:$L,12,FALSE)),"")</f>
        <v>MARITZA SARMIENTO VANEGAS</v>
      </c>
      <c r="M959" s="156">
        <f>IFERROR(IF(VLOOKUP(A959,[7]PRIORIZADOS!$A:$M,13,FALSE)="","",VLOOKUP(A959,[7]PRIORIZADOS!$A:$M,13,FALSE)),"")</f>
        <v>45772</v>
      </c>
      <c r="N959" s="156">
        <f>IFERROR(IF(VLOOKUP(A959,[7]PRIORIZADOS!$A:$N,14,FALSE)="","",VLOOKUP(A959,[7]PRIORIZADOS!$A:$N,14,FALSE)),"")</f>
        <v>45799</v>
      </c>
      <c r="O959" s="156">
        <f>IFERROR(IF(VLOOKUP(A959,[7]PRIORIZADOS!$A:$O,15,FALSE)="","",VLOOKUP(A959,[7]PRIORIZADOS!$A:$O,15,FALSE)),"")</f>
        <v>45799</v>
      </c>
      <c r="P959" s="11" t="str">
        <f>IFERROR(IF(VLOOKUP(A959,[7]PRIORIZADOS!$A:$P,16,FALSE)="","",VLOOKUP(A959,[7]PRIORIZADOS!$A:$P,16,FALSE)),"")</f>
        <v>Visitas de evaluación con fines de mejoramiento</v>
      </c>
      <c r="Q959" s="6" t="s">
        <v>169</v>
      </c>
      <c r="R959" s="11" t="str">
        <f>IFERROR(IF(VLOOKUP(A959,[7]PRIORIZADOS!$A:$R,18,FALSE)="","",VLOOKUP(A959,[7]PRIORIZADOS!$A:$R,18,FALSE)),"")</f>
        <v xml:space="preserve">Se evidencia que la Institución con su Consejo Académico ha implementado estrategias de fortalecimiento en el desarrollo de las clases y simulacros que incluye los estudiantes en condición de discapacidad; basados en el diagnóstico médico. </v>
      </c>
      <c r="S959" s="11" t="str">
        <f>IFERROR(IF(VLOOKUP(A959,[7]PRIORIZADOS!$A:$S,19,FALSE)="","",VLOOKUP(A959,[7]PRIORIZADOS!$A:$S,19,FALSE)),"")</f>
        <v>Elaborar plan de mejoramiento institucional que incorpore las estrategias adelantadas, y entregar el 25 de agosto al ELIV.</v>
      </c>
      <c r="T959" s="70" t="str">
        <f>IFERROR(IF(VLOOKUP(A959,[7]PRIORIZADOS!$A:$T,20,FALSE)="","",VLOOKUP(A959,[7]PRIORIZADOS!$A:$T,20,FALSE)),"")</f>
        <v>Si</v>
      </c>
      <c r="U959" s="11" t="str">
        <f>IFERROR(IF(VLOOKUP(A959,[7]PRIORIZADOS!$A:$U,21,FALSE)="","",VLOOKUP(A959,[7]PRIORIZADOS!$A:$U,21,FALSE)),"")</f>
        <v>Revisar la entrega de  PMI el 25 de agosto y las acciones establecidas con los respectivos seguimientos.</v>
      </c>
    </row>
    <row r="960" spans="1:21" s="1" customFormat="1" ht="99.75" customHeight="1">
      <c r="A960" s="69">
        <f>IF([7]PRIORIZADOS!A33="","",[7]PRIORIZADOS!A33)</f>
        <v>905</v>
      </c>
      <c r="B960" s="87">
        <f>IFERROR(IF(VLOOKUP(A960,[7]PRIORIZADOS!$A:$B,2,FALSE)="","",VLOOKUP(A960,[7]PRIORIZADOS!$A:$B,2,FALSE)),"")</f>
        <v>4</v>
      </c>
      <c r="C960" s="11" t="str">
        <f>IFERROR(IF(VLOOKUP(A960,[7]PRIORIZADOS!$A:$C,3,FALSE)="","",VLOOKUP(A960,[7]PRIORIZADOS!$A:$C,3,FALSE)),"")</f>
        <v>FONTIBÓN</v>
      </c>
      <c r="D960" s="69" t="str">
        <f>IFERROR(IF(VLOOKUP(A960,[7]PRIORIZADOS!$A:$D,4,FALSE)="","",VLOOKUP(A960,[7]PRIORIZADOS!$A:$D,4,FALSE)),"")</f>
        <v>PRIVADO</v>
      </c>
      <c r="E960" s="69" t="str">
        <f>IFERROR(IF(VLOOKUP(A960,[7]PRIORIZADOS!$A:$E,5,FALSE)="","",VLOOKUP(A960,[7]PRIORIZADOS!$A:$E,5,FALSE)),"")</f>
        <v>EPBM</v>
      </c>
      <c r="F960" s="11" t="str">
        <f>IFERROR(IF(VLOOKUP(A960,[7]PRIORIZADOS!$A:$F,6,FALSE)="","",VLOOKUP(A960,[7]PRIORIZADOS!$A:$F,6,FALSE)),"")</f>
        <v>COLEGIO_NUEVO_MONTESSORIANO</v>
      </c>
      <c r="G960" s="69" t="str">
        <f>IFERROR(IF(VLOOKUP(A960,[7]PRIORIZADOS!$A:$G,7,FALSE)="","",VLOOKUP(A960,[7]PRIORIZADOS!$A:$G,7,FALSE)),"")</f>
        <v>COLEGIO_NUEVO_MONTESSORIANO</v>
      </c>
      <c r="H960" s="11" t="str">
        <f>IFERROR(IF(VLOOKUP(A960,[7]PRIORIZADOS!$A:$H,8,FALSE)="","",VLOOKUP(A960,[7]PRIORIZADOS!$A:$H,8,FALSE)),"")</f>
        <v>Autoevaluación Institucional y Pruebas SABER 11</v>
      </c>
      <c r="I960" s="11" t="str">
        <f>IFERROR(IF(VLOOKUP(A960,[7]PRIORIZADOS!$A:$I,9,FALSE)="","",VLOOKUP(A960,[7]PRIORIZADOS!$A:$I,9,FALSE)),"")</f>
        <v>SEGUIMIENTO_Y_SUPERVISIÓN.</v>
      </c>
      <c r="J960" s="11" t="str">
        <f>IFERROR(IF(VLOOKUP(A960,[7]PRIORIZADOS!$A:$J,10,FALSE)="","",VLOOKUP(A960,[7]PRIORIZADOS!$A:$J,10,FALSE)),"")</f>
        <v xml:space="preserve">Verificar la implementación por parte de los colegios, de acciones realizadas para la prevención y atención de las situaciones de convivencia en el entorno escolar, según lo establecido en la Directiva 01 de 2022 del MEN. </v>
      </c>
      <c r="K960" s="11" t="str">
        <f>IFERROR(IF(VLOOKUP(A960,[7]PRIORIZADOS!$A:$K,11,FALSE)="","",VLOOKUP(A960,[7]PRIORIZADOS!$A:$K,11,FALSE)),"")</f>
        <v>GLORIA INES AMAYA RAMÍREZ</v>
      </c>
      <c r="L960" s="11" t="str">
        <f>IFERROR(IF(VLOOKUP(A960,[7]PRIORIZADOS!$A:$L,12,FALSE)="","",VLOOKUP(A960,[7]PRIORIZADOS!$A:$L,12,FALSE)),"")</f>
        <v>MARITZA SARMIENTO VANEGAS</v>
      </c>
      <c r="M960" s="156">
        <f>IFERROR(IF(VLOOKUP(A960,[7]PRIORIZADOS!$A:$M,13,FALSE)="","",VLOOKUP(A960,[7]PRIORIZADOS!$A:$M,13,FALSE)),"")</f>
        <v>45772</v>
      </c>
      <c r="N960" s="156">
        <f>IFERROR(IF(VLOOKUP(A960,[7]PRIORIZADOS!$A:$N,14,FALSE)="","",VLOOKUP(A960,[7]PRIORIZADOS!$A:$N,14,FALSE)),"")</f>
        <v>45799</v>
      </c>
      <c r="O960" s="156">
        <f>IFERROR(IF(VLOOKUP(A960,[7]PRIORIZADOS!$A:$O,15,FALSE)="","",VLOOKUP(A960,[7]PRIORIZADOS!$A:$O,15,FALSE)),"")</f>
        <v>45799</v>
      </c>
      <c r="P960" s="11" t="str">
        <f>IFERROR(IF(VLOOKUP(A960,[7]PRIORIZADOS!$A:$P,16,FALSE)="","",VLOOKUP(A960,[7]PRIORIZADOS!$A:$P,16,FALSE)),"")</f>
        <v>Visitas de evaluación con fines de mejoramiento</v>
      </c>
      <c r="Q960" s="7" t="s">
        <v>169</v>
      </c>
      <c r="R960" s="11" t="str">
        <f>IFERROR(IF(VLOOKUP(A960,[7]PRIORIZADOS!$A:$R,18,FALSE)="","",VLOOKUP(A960,[7]PRIORIZADOS!$A:$R,18,FALSE)),"")</f>
        <v>Se realizan actividades pedagógico formativas del componente de  prevención y promoción de la ruta de atención integral, sin embargo no ha realizado la verificación de antecedentes por delitos sexuales del personal vinculado.</v>
      </c>
      <c r="S960" s="11" t="str">
        <f>IFERROR(IF(VLOOKUP(A960,[7]PRIORIZADOS!$A:$S,19,FALSE)="","",VLOOKUP(A960,[7]PRIORIZADOS!$A:$S,19,FALSE)),"")</f>
        <v>Continuar con la aplicación de las estrategias de prevención, promoción y seguimiento por parte del Comité de Convivencia Escolar, y realizar la velicación de antecedentes cada cuatro meses de todo el personal (directivo, docente y administrativo) vinculado.</v>
      </c>
      <c r="T960" s="70" t="str">
        <f>IFERROR(IF(VLOOKUP(A960,[7]PRIORIZADOS!$A:$T,20,FALSE)="","",VLOOKUP(A960,[7]PRIORIZADOS!$A:$T,20,FALSE)),"")</f>
        <v>Si</v>
      </c>
      <c r="U960" s="11" t="str">
        <f>IFERROR(IF(VLOOKUP(A960,[7]PRIORIZADOS!$A:$U,21,FALSE)="","",VLOOKUP(A960,[7]PRIORIZADOS!$A:$U,21,FALSE)),"")</f>
        <v>Revisar la entrega de  PMI el 25 de agosto y las acciones establecidas con los respectivos seguimientos.</v>
      </c>
    </row>
    <row r="961" spans="1:21" s="1" customFormat="1" ht="99.75" customHeight="1">
      <c r="A961" s="69">
        <f>IF([7]PRIORIZADOS!A34="","",[7]PRIORIZADOS!A34)</f>
        <v>906</v>
      </c>
      <c r="B961" s="87">
        <f>IFERROR(IF(VLOOKUP(A961,[7]PRIORIZADOS!$A:$B,2,FALSE)="","",VLOOKUP(A961,[7]PRIORIZADOS!$A:$B,2,FALSE)),"")</f>
        <v>4</v>
      </c>
      <c r="C961" s="11" t="str">
        <f>IFERROR(IF(VLOOKUP(A961,[7]PRIORIZADOS!$A:$C,3,FALSE)="","",VLOOKUP(A961,[7]PRIORIZADOS!$A:$C,3,FALSE)),"")</f>
        <v>FONTIBÓN</v>
      </c>
      <c r="D961" s="69" t="str">
        <f>IFERROR(IF(VLOOKUP(A961,[7]PRIORIZADOS!$A:$D,4,FALSE)="","",VLOOKUP(A961,[7]PRIORIZADOS!$A:$D,4,FALSE)),"")</f>
        <v>PRIVADO</v>
      </c>
      <c r="E961" s="69" t="str">
        <f>IFERROR(IF(VLOOKUP(A961,[7]PRIORIZADOS!$A:$E,5,FALSE)="","",VLOOKUP(A961,[7]PRIORIZADOS!$A:$E,5,FALSE)),"")</f>
        <v>EPBM</v>
      </c>
      <c r="F961" s="11" t="str">
        <f>IFERROR(IF(VLOOKUP(A961,[7]PRIORIZADOS!$A:$F,6,FALSE)="","",VLOOKUP(A961,[7]PRIORIZADOS!$A:$F,6,FALSE)),"")</f>
        <v>COLEGIO_NUEVO_MONTESSORIANO</v>
      </c>
      <c r="G961" s="69" t="str">
        <f>IFERROR(IF(VLOOKUP(A961,[7]PRIORIZADOS!$A:$G,7,FALSE)="","",VLOOKUP(A961,[7]PRIORIZADOS!$A:$G,7,FALSE)),"")</f>
        <v>COLEGIO_NUEVO_MONTESSORIANO</v>
      </c>
      <c r="H961" s="11" t="str">
        <f>IFERROR(IF(VLOOKUP(A961,[7]PRIORIZADOS!$A:$H,8,FALSE)="","",VLOOKUP(A961,[7]PRIORIZADOS!$A:$H,8,FALSE)),"")</f>
        <v>Autoevaluación Institucional y Pruebas SABER 11</v>
      </c>
      <c r="I961" s="11" t="str">
        <f>IFERROR(IF(VLOOKUP(A961,[7]PRIORIZADOS!$A:$I,9,FALSE)="","",VLOOKUP(A961,[7]PRIORIZADOS!$A:$I,9,FALSE)),"")</f>
        <v>SEGUIMIENTO_Y_SUPERVISIÓN.</v>
      </c>
      <c r="J961" s="11" t="str">
        <f>IFERROR(IF(VLOOKUP(A961,[7]PRIORIZADOS!$A:$J,10,FALSE)="","",VLOOKUP(A961,[7]PRIORIZADOS!$A:$J,10,FALSE)),"")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61" s="11" t="str">
        <f>IFERROR(IF(VLOOKUP(A961,[7]PRIORIZADOS!$A:$K,11,FALSE)="","",VLOOKUP(A961,[7]PRIORIZADOS!$A:$K,11,FALSE)),"")</f>
        <v>GLORIA INES AMAYA RAMÍREZ</v>
      </c>
      <c r="L961" s="11" t="str">
        <f>IFERROR(IF(VLOOKUP(A961,[7]PRIORIZADOS!$A:$L,12,FALSE)="","",VLOOKUP(A961,[7]PRIORIZADOS!$A:$L,12,FALSE)),"")</f>
        <v>MARITZA SARMIENTO VANEGAS</v>
      </c>
      <c r="M961" s="156">
        <f>IFERROR(IF(VLOOKUP(A961,[7]PRIORIZADOS!$A:$M,13,FALSE)="","",VLOOKUP(A961,[7]PRIORIZADOS!$A:$M,13,FALSE)),"")</f>
        <v>45772</v>
      </c>
      <c r="N961" s="156">
        <f>IFERROR(IF(VLOOKUP(A961,[7]PRIORIZADOS!$A:$N,14,FALSE)="","",VLOOKUP(A961,[7]PRIORIZADOS!$A:$N,14,FALSE)),"")</f>
        <v>45799</v>
      </c>
      <c r="O961" s="156">
        <f>IFERROR(IF(VLOOKUP(A961,[7]PRIORIZADOS!$A:$O,15,FALSE)="","",VLOOKUP(A961,[7]PRIORIZADOS!$A:$O,15,FALSE)),"")</f>
        <v>45799</v>
      </c>
      <c r="P961" s="11" t="str">
        <f>IFERROR(IF(VLOOKUP(A961,[7]PRIORIZADOS!$A:$P,16,FALSE)="","",VLOOKUP(A961,[7]PRIORIZADOS!$A:$P,16,FALSE)),"")</f>
        <v>Visitas de evaluación con fines de mejoramiento</v>
      </c>
      <c r="Q961" s="7" t="s">
        <v>169</v>
      </c>
      <c r="R961" s="11" t="str">
        <f>IFERROR(IF(VLOOKUP(A961,[7]PRIORIZADOS!$A:$R,18,FALSE)="","",VLOOKUP(A961,[7]PRIORIZADOS!$A:$R,18,FALSE)),"")</f>
        <v xml:space="preserve">La Institución elaboró el PIAR de los  dos estudiantes en condición de discapacidad. </v>
      </c>
      <c r="S961" s="11" t="str">
        <f>IFERROR(IF(VLOOKUP(A961,[7]PRIORIZADOS!$A:$S,19,FALSE)="","",VLOOKUP(A961,[7]PRIORIZADOS!$A:$S,19,FALSE)),"")</f>
        <v>Continuar con la implementación de las acciones definidas en los PIAR y los ajustes que se requieran en los procesos académicos de los estudiantes.</v>
      </c>
      <c r="T961" s="70" t="str">
        <f>IFERROR(IF(VLOOKUP(A961,[7]PRIORIZADOS!$A:$T,20,FALSE)="","",VLOOKUP(A961,[7]PRIORIZADOS!$A:$T,20,FALSE)),"")</f>
        <v>No</v>
      </c>
      <c r="U961" s="11" t="str">
        <f>IFERROR(IF(VLOOKUP(A961,[7]PRIORIZADOS!$A:$U,21,FALSE)="","",VLOOKUP(A961,[7]PRIORIZADOS!$A:$U,21,FALSE)),"")</f>
        <v>Se realizará revisión de los PIAR en caso de presentarse queja.</v>
      </c>
    </row>
    <row r="962" spans="1:21" s="1" customFormat="1" ht="84">
      <c r="A962" s="69">
        <f>IF([7]PRIORIZADOS!A35="","",[7]PRIORIZADOS!A35)</f>
        <v>907</v>
      </c>
      <c r="B962" s="87">
        <f>IFERROR(IF(VLOOKUP(A962,[7]PRIORIZADOS!$A:$B,2,FALSE)="","",VLOOKUP(A962,[7]PRIORIZADOS!$A:$B,2,FALSE)),"")</f>
        <v>4</v>
      </c>
      <c r="C962" s="11" t="str">
        <f>IFERROR(IF(VLOOKUP(A962,[7]PRIORIZADOS!$A:$C,3,FALSE)="","",VLOOKUP(A962,[7]PRIORIZADOS!$A:$C,3,FALSE)),"")</f>
        <v>FONTIBÓN</v>
      </c>
      <c r="D962" s="69" t="str">
        <f>IFERROR(IF(VLOOKUP(A962,[7]PRIORIZADOS!$A:$D,4,FALSE)="","",VLOOKUP(A962,[7]PRIORIZADOS!$A:$D,4,FALSE)),"")</f>
        <v>PRIVADO</v>
      </c>
      <c r="E962" s="69" t="str">
        <f>IFERROR(IF(VLOOKUP(A962,[7]PRIORIZADOS!$A:$E,5,FALSE)="","",VLOOKUP(A962,[7]PRIORIZADOS!$A:$E,5,FALSE)),"")</f>
        <v>EPBM</v>
      </c>
      <c r="F962" s="11" t="str">
        <f>IFERROR(IF(VLOOKUP(A962,[7]PRIORIZADOS!$A:$F,6,FALSE)="","",VLOOKUP(A962,[7]PRIORIZADOS!$A:$F,6,FALSE)),"")</f>
        <v>COLEGIO_NUEVO_MONTESSORIANO</v>
      </c>
      <c r="G962" s="69" t="str">
        <f>IFERROR(IF(VLOOKUP(A962,[7]PRIORIZADOS!$A:$G,7,FALSE)="","",VLOOKUP(A962,[7]PRIORIZADOS!$A:$G,7,FALSE)),"")</f>
        <v>COLEGIO_NUEVO_MONTESSORIANO</v>
      </c>
      <c r="H962" s="11" t="str">
        <f>IFERROR(IF(VLOOKUP(A962,[7]PRIORIZADOS!$A:$H,8,FALSE)="","",VLOOKUP(A962,[7]PRIORIZADOS!$A:$H,8,FALSE)),"")</f>
        <v>Autoevaluación Institucional y Pruebas SABER 11</v>
      </c>
      <c r="I962" s="11" t="str">
        <f>IFERROR(IF(VLOOKUP(A962,[7]PRIORIZADOS!$A:$I,9,FALSE)="","",VLOOKUP(A962,[7]PRIORIZADOS!$A:$I,9,FALSE)),"")</f>
        <v>EVALUACIÓN_CON_FINES_DE_MEJORAMIENTO.</v>
      </c>
      <c r="J962" s="11" t="str">
        <f>IFERROR(IF(VLOOKUP(A962,[7]PRIORIZADOS!$A:$J,10,FALSE)="","",VLOOKUP(A962,[7]PRIORIZADOS!$A:$J,10,FALSE)),"")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62" s="11" t="str">
        <f>IFERROR(IF(VLOOKUP(A962,[7]PRIORIZADOS!$A:$K,11,FALSE)="","",VLOOKUP(A962,[7]PRIORIZADOS!$A:$K,11,FALSE)),"")</f>
        <v>GLORIA INES AMAYA RAMÍREZ</v>
      </c>
      <c r="L962" s="11" t="str">
        <f>IFERROR(IF(VLOOKUP(A962,[7]PRIORIZADOS!$A:$L,12,FALSE)="","",VLOOKUP(A962,[7]PRIORIZADOS!$A:$L,12,FALSE)),"")</f>
        <v>MARITZA SARMIENTO VANEGAS</v>
      </c>
      <c r="M962" s="156">
        <f>IFERROR(IF(VLOOKUP(A962,[7]PRIORIZADOS!$A:$M,13,FALSE)="","",VLOOKUP(A962,[7]PRIORIZADOS!$A:$M,13,FALSE)),"")</f>
        <v>45772</v>
      </c>
      <c r="N962" s="156">
        <f>IFERROR(IF(VLOOKUP(A962,[7]PRIORIZADOS!$A:$N,14,FALSE)="","",VLOOKUP(A962,[7]PRIORIZADOS!$A:$N,14,FALSE)),"")</f>
        <v>45799</v>
      </c>
      <c r="O962" s="156">
        <f>IFERROR(IF(VLOOKUP(A962,[7]PRIORIZADOS!$A:$O,15,FALSE)="","",VLOOKUP(A962,[7]PRIORIZADOS!$A:$O,15,FALSE)),"")</f>
        <v>45799</v>
      </c>
      <c r="P962" s="11" t="str">
        <f>IFERROR(IF(VLOOKUP(A962,[7]PRIORIZADOS!$A:$P,16,FALSE)="","",VLOOKUP(A962,[7]PRIORIZADOS!$A:$P,16,FALSE)),"")</f>
        <v>Visitas de evaluación con fines de mejoramiento</v>
      </c>
      <c r="Q962" s="7" t="s">
        <v>169</v>
      </c>
      <c r="R962" s="11" t="str">
        <f>IFERROR(IF(VLOOKUP(A962,[7]PRIORIZADOS!$A:$R,18,FALSE)="","",VLOOKUP(A962,[7]PRIORIZADOS!$A:$R,18,FALSE)),"")</f>
        <v>El manual de convivencia esta actualizado pero requiere incorporar los componentes diferenciales.</v>
      </c>
      <c r="S962" s="11" t="str">
        <f>IFERROR(IF(VLOOKUP(A962,[7]PRIORIZADOS!$A:$S,19,FALSE)="","",VLOOKUP(A962,[7]PRIORIZADOS!$A:$S,19,FALSE)),"")</f>
        <v>Debe ser ajustado en cuanto a lo requerido por los enfoques de género y restaurativo y marco legal vigente.</v>
      </c>
      <c r="T962" s="70" t="str">
        <f>IFERROR(IF(VLOOKUP(A962,[7]PRIORIZADOS!$A:$T,20,FALSE)="","",VLOOKUP(A962,[7]PRIORIZADOS!$A:$T,20,FALSE)),"")</f>
        <v>Si</v>
      </c>
      <c r="U962" s="11" t="str">
        <f>IFERROR(IF(VLOOKUP(A962,[7]PRIORIZADOS!$A:$U,21,FALSE)="","",VLOOKUP(A962,[7]PRIORIZADOS!$A:$U,21,FALSE)),"")</f>
        <v>Realizar revisión del primer avance en la actualización del manual de convivencia, en el segundo semestre de la presente vigencia.</v>
      </c>
    </row>
    <row r="963" spans="1:21" s="1" customFormat="1" ht="48">
      <c r="A963" s="69">
        <f>IF([7]PRIORIZADOS!A36="","",[7]PRIORIZADOS!A36)</f>
        <v>908</v>
      </c>
      <c r="B963" s="87">
        <f>IFERROR(IF(VLOOKUP(A963,[7]PRIORIZADOS!$A:$B,2,FALSE)="","",VLOOKUP(A963,[7]PRIORIZADOS!$A:$B,2,FALSE)),"")</f>
        <v>4</v>
      </c>
      <c r="C963" s="11" t="str">
        <f>IFERROR(IF(VLOOKUP(A963,[7]PRIORIZADOS!$A:$C,3,FALSE)="","",VLOOKUP(A963,[7]PRIORIZADOS!$A:$C,3,FALSE)),"")</f>
        <v>FONTIBÓN</v>
      </c>
      <c r="D963" s="69" t="str">
        <f>IFERROR(IF(VLOOKUP(A963,[7]PRIORIZADOS!$A:$D,4,FALSE)="","",VLOOKUP(A963,[7]PRIORIZADOS!$A:$D,4,FALSE)),"")</f>
        <v>PRIVADO</v>
      </c>
      <c r="E963" s="69" t="str">
        <f>IFERROR(IF(VLOOKUP(A963,[7]PRIORIZADOS!$A:$E,5,FALSE)="","",VLOOKUP(A963,[7]PRIORIZADOS!$A:$E,5,FALSE)),"")</f>
        <v>EPBM</v>
      </c>
      <c r="F963" s="11" t="str">
        <f>IFERROR(IF(VLOOKUP(A963,[7]PRIORIZADOS!$A:$F,6,FALSE)="","",VLOOKUP(A963,[7]PRIORIZADOS!$A:$F,6,FALSE)),"")</f>
        <v>COLEGIO_NUEVO_MONTESSORIANO</v>
      </c>
      <c r="G963" s="69" t="str">
        <f>IFERROR(IF(VLOOKUP(A963,[7]PRIORIZADOS!$A:$G,7,FALSE)="","",VLOOKUP(A963,[7]PRIORIZADOS!$A:$G,7,FALSE)),"")</f>
        <v>COLEGIO_NUEVO_MONTESSORIANO</v>
      </c>
      <c r="H963" s="11" t="str">
        <f>IFERROR(IF(VLOOKUP(A963,[7]PRIORIZADOS!$A:$H,8,FALSE)="","",VLOOKUP(A963,[7]PRIORIZADOS!$A:$H,8,FALSE)),"")</f>
        <v>Autoevaluación Institucional y Pruebas SABER 11</v>
      </c>
      <c r="I963" s="11" t="str">
        <f>IFERROR(IF(VLOOKUP(A963,[7]PRIORIZADOS!$A:$I,9,FALSE)="","",VLOOKUP(A963,[7]PRIORIZADOS!$A:$I,9,FALSE)),"")</f>
        <v>EVALUACIÓN_CON_FINES_DE_MEJORAMIENTO.</v>
      </c>
      <c r="J963" s="11" t="str">
        <f>IFERROR(IF(VLOOKUP(A963,[7]PRIORIZADOS!$A:$J,10,FALSE)="","",VLOOKUP(A963,[7]PRIORIZADOS!$A:$J,10,FALSE)),"")</f>
        <v>Revisar la actualización, socialización e implementación del Sistema Institucional de Evaluación de Estudiantes - SIEE, en articulación con la actualización del PEI y la normatividad vigente.</v>
      </c>
      <c r="K963" s="11" t="str">
        <f>IFERROR(IF(VLOOKUP(A963,[7]PRIORIZADOS!$A:$K,11,FALSE)="","",VLOOKUP(A963,[7]PRIORIZADOS!$A:$K,11,FALSE)),"")</f>
        <v>GLORIA INES AMAYA RAMÍREZ</v>
      </c>
      <c r="L963" s="11" t="str">
        <f>IFERROR(IF(VLOOKUP(A963,[7]PRIORIZADOS!$A:$L,12,FALSE)="","",VLOOKUP(A963,[7]PRIORIZADOS!$A:$L,12,FALSE)),"")</f>
        <v>MARITZA SARMIENTO VANEGAS</v>
      </c>
      <c r="M963" s="156">
        <f>IFERROR(IF(VLOOKUP(A963,[7]PRIORIZADOS!$A:$M,13,FALSE)="","",VLOOKUP(A963,[7]PRIORIZADOS!$A:$M,13,FALSE)),"")</f>
        <v>45772</v>
      </c>
      <c r="N963" s="156">
        <f>IFERROR(IF(VLOOKUP(A963,[7]PRIORIZADOS!$A:$N,14,FALSE)="","",VLOOKUP(A963,[7]PRIORIZADOS!$A:$N,14,FALSE)),"")</f>
        <v>45799</v>
      </c>
      <c r="O963" s="156">
        <f>IFERROR(IF(VLOOKUP(A963,[7]PRIORIZADOS!$A:$O,15,FALSE)="","",VLOOKUP(A963,[7]PRIORIZADOS!$A:$O,15,FALSE)),"")</f>
        <v>45799</v>
      </c>
      <c r="P963" s="11" t="str">
        <f>IFERROR(IF(VLOOKUP(A963,[7]PRIORIZADOS!$A:$P,16,FALSE)="","",VLOOKUP(A963,[7]PRIORIZADOS!$A:$P,16,FALSE)),"")</f>
        <v>Visitas de evaluación con fines de mejoramiento</v>
      </c>
      <c r="Q963" s="7" t="s">
        <v>169</v>
      </c>
      <c r="R963" s="11" t="str">
        <f>IFERROR(IF(VLOOKUP(A963,[7]PRIORIZADOS!$A:$R,18,FALSE)="","",VLOOKUP(A963,[7]PRIORIZADOS!$A:$R,18,FALSE)),"")</f>
        <v>El SIEE se encuentra actualizado y contiene los elementos normativos, pero se requiere documentar las actividades de nivelación de aprendizajes en aula.</v>
      </c>
      <c r="S963" s="11" t="str">
        <f>IFERROR(IF(VLOOKUP(A963,[7]PRIORIZADOS!$A:$S,19,FALSE)="","",VLOOKUP(A963,[7]PRIORIZADOS!$A:$S,19,FALSE)),"")</f>
        <v>Actualizar el SIEE incorporando las actividades de nivelación de aprendizajes y entregar avances de la gestión el 25 de agosto</v>
      </c>
      <c r="T963" s="70" t="str">
        <f>IFERROR(IF(VLOOKUP(A963,[7]PRIORIZADOS!$A:$T,20,FALSE)="","",VLOOKUP(A963,[7]PRIORIZADOS!$A:$T,20,FALSE)),"")</f>
        <v>Si</v>
      </c>
      <c r="U963" s="11" t="str">
        <f>IFERROR(IF(VLOOKUP(A963,[7]PRIORIZADOS!$A:$U,21,FALSE)="","",VLOOKUP(A963,[7]PRIORIZADOS!$A:$U,21,FALSE)),"")</f>
        <v>Realizar revisión del primer avance en la actualización del SIEE, en el segundo semestre de la presente vigencia.</v>
      </c>
    </row>
    <row r="964" spans="1:21" s="1" customFormat="1" ht="48">
      <c r="A964" s="69">
        <f>IF([7]PRIORIZADOS!A37="","",[7]PRIORIZADOS!A37)</f>
        <v>909</v>
      </c>
      <c r="B964" s="87">
        <f>IFERROR(IF(VLOOKUP(A964,[7]PRIORIZADOS!$A:$B,2,FALSE)="","",VLOOKUP(A964,[7]PRIORIZADOS!$A:$B,2,FALSE)),"")</f>
        <v>4</v>
      </c>
      <c r="C964" s="11" t="str">
        <f>IFERROR(IF(VLOOKUP(A964,[7]PRIORIZADOS!$A:$C,3,FALSE)="","",VLOOKUP(A964,[7]PRIORIZADOS!$A:$C,3,FALSE)),"")</f>
        <v>FONTIBÓN</v>
      </c>
      <c r="D964" s="69" t="str">
        <f>IFERROR(IF(VLOOKUP(A964,[7]PRIORIZADOS!$A:$D,4,FALSE)="","",VLOOKUP(A964,[7]PRIORIZADOS!$A:$D,4,FALSE)),"")</f>
        <v>PRIVADO</v>
      </c>
      <c r="E964" s="69" t="str">
        <f>IFERROR(IF(VLOOKUP(A964,[7]PRIORIZADOS!$A:$E,5,FALSE)="","",VLOOKUP(A964,[7]PRIORIZADOS!$A:$E,5,FALSE)),"")</f>
        <v>EPBM</v>
      </c>
      <c r="F964" s="11" t="str">
        <f>IFERROR(IF(VLOOKUP(A964,[7]PRIORIZADOS!$A:$F,6,FALSE)="","",VLOOKUP(A964,[7]PRIORIZADOS!$A:$F,6,FALSE)),"")</f>
        <v>COLEGIO_NUEVO_MONTESSORIANO</v>
      </c>
      <c r="G964" s="69" t="str">
        <f>IFERROR(IF(VLOOKUP(A964,[7]PRIORIZADOS!$A:$G,7,FALSE)="","",VLOOKUP(A964,[7]PRIORIZADOS!$A:$G,7,FALSE)),"")</f>
        <v>COLEGIO_NUEVO_MONTESSORIANO</v>
      </c>
      <c r="H964" s="11" t="str">
        <f>IFERROR(IF(VLOOKUP(A964,[7]PRIORIZADOS!$A:$H,8,FALSE)="","",VLOOKUP(A964,[7]PRIORIZADOS!$A:$H,8,FALSE)),"")</f>
        <v>Autoevaluación Institucional y Pruebas SABER 11</v>
      </c>
      <c r="I964" s="11" t="str">
        <f>IFERROR(IF(VLOOKUP(A964,[7]PRIORIZADOS!$A:$I,9,FALSE)="","",VLOOKUP(A964,[7]PRIORIZADOS!$A:$I,9,FALSE)),"")</f>
        <v>EVALUACIÓN_CON_FINES_DE_MEJORAMIENTO.</v>
      </c>
      <c r="J964" s="11" t="str">
        <f>IFERROR(IF(VLOOKUP(A964,[7]PRIORIZADOS!$A:$J,10,FALSE)="","",VLOOKUP(A964,[7]PRIORIZADOS!$A:$J,10,FALSE)),"")</f>
        <v>Revisar el calendario escolar, jornada escolar, la intensidad horaria mínima anual en cada nivel y las modificaciones que se realicen al mismo, de acuerdo con lo previsto en la normatividad vigente.</v>
      </c>
      <c r="K964" s="11" t="str">
        <f>IFERROR(IF(VLOOKUP(A964,[7]PRIORIZADOS!$A:$K,11,FALSE)="","",VLOOKUP(A964,[7]PRIORIZADOS!$A:$K,11,FALSE)),"")</f>
        <v>GLORIA INES AMAYA RAMÍREZ</v>
      </c>
      <c r="L964" s="11" t="str">
        <f>IFERROR(IF(VLOOKUP(A964,[7]PRIORIZADOS!$A:$L,12,FALSE)="","",VLOOKUP(A964,[7]PRIORIZADOS!$A:$L,12,FALSE)),"")</f>
        <v>MARITZA SARMIENTO VANEGAS</v>
      </c>
      <c r="M964" s="156">
        <f>IFERROR(IF(VLOOKUP(A964,[7]PRIORIZADOS!$A:$M,13,FALSE)="","",VLOOKUP(A964,[7]PRIORIZADOS!$A:$M,13,FALSE)),"")</f>
        <v>45772</v>
      </c>
      <c r="N964" s="156">
        <f>IFERROR(IF(VLOOKUP(A964,[7]PRIORIZADOS!$A:$N,14,FALSE)="","",VLOOKUP(A964,[7]PRIORIZADOS!$A:$N,14,FALSE)),"")</f>
        <v>45799</v>
      </c>
      <c r="O964" s="156">
        <f>IFERROR(IF(VLOOKUP(A964,[7]PRIORIZADOS!$A:$O,15,FALSE)="","",VLOOKUP(A964,[7]PRIORIZADOS!$A:$O,15,FALSE)),"")</f>
        <v>45799</v>
      </c>
      <c r="P964" s="11" t="str">
        <f>IFERROR(IF(VLOOKUP(A964,[7]PRIORIZADOS!$A:$P,16,FALSE)="","",VLOOKUP(A964,[7]PRIORIZADOS!$A:$P,16,FALSE)),"")</f>
        <v>Visitas de evaluación con fines de mejoramiento</v>
      </c>
      <c r="Q964" s="7" t="s">
        <v>169</v>
      </c>
      <c r="R964" s="11" t="str">
        <f>IFERROR(IF(VLOOKUP(A964,[7]PRIORIZADOS!$A:$R,18,FALSE)="","",VLOOKUP(A964,[7]PRIORIZADOS!$A:$R,18,FALSE)),"")</f>
        <v>Calendario escolar ajustado a norma para los niveles de básica y media</v>
      </c>
      <c r="S964" s="11" t="str">
        <f>IFERROR(IF(VLOOKUP(A964,[7]PRIORIZADOS!$A:$S,19,FALSE)="","",VLOOKUP(A964,[7]PRIORIZADOS!$A:$S,19,FALSE)),"")</f>
        <v>Continuar con la implementación del calendario según las fechas definidas para los períodos de desarrollo académico y recesos.</v>
      </c>
      <c r="T964" s="70" t="str">
        <f>IFERROR(IF(VLOOKUP(A964,[7]PRIORIZADOS!$A:$T,20,FALSE)="","",VLOOKUP(A964,[7]PRIORIZADOS!$A:$T,20,FALSE)),"")</f>
        <v>No</v>
      </c>
      <c r="U964" s="11" t="str">
        <f>IFERROR(IF(VLOOKUP(A964,[7]PRIORIZADOS!$A:$U,21,FALSE)="","",VLOOKUP(A964,[7]PRIORIZADOS!$A:$U,21,FALSE)),"")</f>
        <v>Verificar la elaboración y socialización del calendario para la siguiente vigencia o en caso de presentarse queja.</v>
      </c>
    </row>
    <row r="965" spans="1:21" s="1" customFormat="1" ht="72">
      <c r="A965" s="69">
        <f>IF([7]PRIORIZADOS!A38="","",[7]PRIORIZADOS!A38)</f>
        <v>910</v>
      </c>
      <c r="B965" s="87">
        <f>IFERROR(IF(VLOOKUP(A965,[7]PRIORIZADOS!$A:$B,2,FALSE)="","",VLOOKUP(A965,[7]PRIORIZADOS!$A:$B,2,FALSE)),"")</f>
        <v>4</v>
      </c>
      <c r="C965" s="11" t="str">
        <f>IFERROR(IF(VLOOKUP(A965,[7]PRIORIZADOS!$A:$C,3,FALSE)="","",VLOOKUP(A965,[7]PRIORIZADOS!$A:$C,3,FALSE)),"")</f>
        <v>FONTIBÓN</v>
      </c>
      <c r="D965" s="69" t="str">
        <f>IFERROR(IF(VLOOKUP(A965,[7]PRIORIZADOS!$A:$D,4,FALSE)="","",VLOOKUP(A965,[7]PRIORIZADOS!$A:$D,4,FALSE)),"")</f>
        <v>PRIVADO</v>
      </c>
      <c r="E965" s="69" t="str">
        <f>IFERROR(IF(VLOOKUP(A965,[7]PRIORIZADOS!$A:$E,5,FALSE)="","",VLOOKUP(A965,[7]PRIORIZADOS!$A:$E,5,FALSE)),"")</f>
        <v>EPBM</v>
      </c>
      <c r="F965" s="11" t="str">
        <f>IFERROR(IF(VLOOKUP(A965,[7]PRIORIZADOS!$A:$F,6,FALSE)="","",VLOOKUP(A965,[7]PRIORIZADOS!$A:$F,6,FALSE)),"")</f>
        <v>COLEGIO_NUEVO_MONTESSORIANO</v>
      </c>
      <c r="G965" s="69" t="str">
        <f>IFERROR(IF(VLOOKUP(A965,[7]PRIORIZADOS!$A:$G,7,FALSE)="","",VLOOKUP(A965,[7]PRIORIZADOS!$A:$G,7,FALSE)),"")</f>
        <v>COLEGIO_NUEVO_MONTESSORIANO</v>
      </c>
      <c r="H965" s="11" t="str">
        <f>IFERROR(IF(VLOOKUP(A965,[7]PRIORIZADOS!$A:$H,8,FALSE)="","",VLOOKUP(A965,[7]PRIORIZADOS!$A:$H,8,FALSE)),"")</f>
        <v>Autoevaluación Institucional y Pruebas SABER 11</v>
      </c>
      <c r="I965" s="11" t="str">
        <f>IFERROR(IF(VLOOKUP(A965,[7]PRIORIZADOS!$A:$I,9,FALSE)="","",VLOOKUP(A965,[7]PRIORIZADOS!$A:$I,9,FALSE)),"")</f>
        <v>EVALUACIÓN_CON_FINES_DE_MEJORAMIENTO.</v>
      </c>
      <c r="J965" s="11" t="str">
        <f>IFERROR(IF(VLOOKUP(A965,[7]PRIORIZADOS!$A:$J,10,FALSE)="","",VLOOKUP(A965,[7]PRIORIZADOS!$A:$J,10,FALSE)),"")</f>
        <v>Verificar el funcionamiento del Gobierno Escolar e instancias de participación con base en la información sobre conformación reportada por la institución educativa.</v>
      </c>
      <c r="K965" s="11" t="str">
        <f>IFERROR(IF(VLOOKUP(A965,[7]PRIORIZADOS!$A:$K,11,FALSE)="","",VLOOKUP(A965,[7]PRIORIZADOS!$A:$K,11,FALSE)),"")</f>
        <v>GLORIA INES AMAYA RAMÍREZ</v>
      </c>
      <c r="L965" s="11" t="str">
        <f>IFERROR(IF(VLOOKUP(A965,[7]PRIORIZADOS!$A:$L,12,FALSE)="","",VLOOKUP(A965,[7]PRIORIZADOS!$A:$L,12,FALSE)),"")</f>
        <v>MARITZA SARMIENTO VANEGAS</v>
      </c>
      <c r="M965" s="156">
        <f>IFERROR(IF(VLOOKUP(A965,[7]PRIORIZADOS!$A:$M,13,FALSE)="","",VLOOKUP(A965,[7]PRIORIZADOS!$A:$M,13,FALSE)),"")</f>
        <v>45772</v>
      </c>
      <c r="N965" s="156">
        <f>IFERROR(IF(VLOOKUP(A965,[7]PRIORIZADOS!$A:$N,14,FALSE)="","",VLOOKUP(A965,[7]PRIORIZADOS!$A:$N,14,FALSE)),"")</f>
        <v>45799</v>
      </c>
      <c r="O965" s="156">
        <f>IFERROR(IF(VLOOKUP(A965,[7]PRIORIZADOS!$A:$O,15,FALSE)="","",VLOOKUP(A965,[7]PRIORIZADOS!$A:$O,15,FALSE)),"")</f>
        <v>45799</v>
      </c>
      <c r="P965" s="11" t="str">
        <f>IFERROR(IF(VLOOKUP(A965,[7]PRIORIZADOS!$A:$P,16,FALSE)="","",VLOOKUP(A965,[7]PRIORIZADOS!$A:$P,16,FALSE)),"")</f>
        <v>Visitas de evaluación con fines de mejoramiento</v>
      </c>
      <c r="Q965" s="7" t="s">
        <v>169</v>
      </c>
      <c r="R965" s="11" t="str">
        <f>IFERROR(IF(VLOOKUP(A965,[7]PRIORIZADOS!$A:$R,18,FALSE)="","",VLOOKUP(A965,[7]PRIORIZADOS!$A:$R,18,FALSE)),"")</f>
        <v>La conformación y funcionamiento del gobierno escolar y las instancia de participación se ha realizado de acuerdo con lo establecido en la normatividad, se evidencian dos actas de Consejos Directivo y Académico.</v>
      </c>
      <c r="S965" s="11" t="str">
        <f>IFERROR(IF(VLOOKUP(A965,[7]PRIORIZADOS!$A:$S,19,FALSE)="","",VLOOKUP(A965,[7]PRIORIZADOS!$A:$S,19,FALSE)),"")</f>
        <v>Continuar con la operatividad del gobierno y las instancias de participación cada dos meses o según corresponda.</v>
      </c>
      <c r="T965" s="70" t="str">
        <f>IFERROR(IF(VLOOKUP(A965,[7]PRIORIZADOS!$A:$T,20,FALSE)="","",VLOOKUP(A965,[7]PRIORIZADOS!$A:$T,20,FALSE)),"")</f>
        <v>No</v>
      </c>
      <c r="U965" s="11" t="str">
        <f>IFERROR(IF(VLOOKUP(A965,[7]PRIORIZADOS!$A:$U,21,FALSE)="","",VLOOKUP(A965,[7]PRIORIZADOS!$A:$U,21,FALSE)),"")</f>
        <v>Se verificará la conformación del gobierno escolar para la siguiente vigencia.</v>
      </c>
    </row>
    <row r="966" spans="1:21" s="1" customFormat="1" ht="48">
      <c r="A966" s="69">
        <f>IF([7]PRIORIZADOS!A39="","",[7]PRIORIZADOS!A39)</f>
        <v>911</v>
      </c>
      <c r="B966" s="87">
        <f>IFERROR(IF(VLOOKUP(A966,[7]PRIORIZADOS!$A:$B,2,FALSE)="","",VLOOKUP(A966,[7]PRIORIZADOS!$A:$B,2,FALSE)),"")</f>
        <v>4</v>
      </c>
      <c r="C966" s="11" t="str">
        <f>IFERROR(IF(VLOOKUP(A966,[7]PRIORIZADOS!$A:$C,3,FALSE)="","",VLOOKUP(A966,[7]PRIORIZADOS!$A:$C,3,FALSE)),"")</f>
        <v>FONTIBÓN</v>
      </c>
      <c r="D966" s="69" t="str">
        <f>IFERROR(IF(VLOOKUP(A966,[7]PRIORIZADOS!$A:$D,4,FALSE)="","",VLOOKUP(A966,[7]PRIORIZADOS!$A:$D,4,FALSE)),"")</f>
        <v>PRIVADO</v>
      </c>
      <c r="E966" s="69" t="str">
        <f>IFERROR(IF(VLOOKUP(A966,[7]PRIORIZADOS!$A:$E,5,FALSE)="","",VLOOKUP(A966,[7]PRIORIZADOS!$A:$E,5,FALSE)),"")</f>
        <v>EPBM</v>
      </c>
      <c r="F966" s="11" t="str">
        <f>IFERROR(IF(VLOOKUP(A966,[7]PRIORIZADOS!$A:$F,6,FALSE)="","",VLOOKUP(A966,[7]PRIORIZADOS!$A:$F,6,FALSE)),"")</f>
        <v>COLEGIO_NUEVO_MONTESSORIANO</v>
      </c>
      <c r="G966" s="69" t="str">
        <f>IFERROR(IF(VLOOKUP(A966,[7]PRIORIZADOS!$A:$G,7,FALSE)="","",VLOOKUP(A966,[7]PRIORIZADOS!$A:$G,7,FALSE)),"")</f>
        <v>COLEGIO_NUEVO_MONTESSORIANO</v>
      </c>
      <c r="H966" s="11" t="str">
        <f>IFERROR(IF(VLOOKUP(A966,[7]PRIORIZADOS!$A:$H,8,FALSE)="","",VLOOKUP(A966,[7]PRIORIZADOS!$A:$H,8,FALSE)),"")</f>
        <v>Autoevaluación Institucional y Pruebas SABER 11</v>
      </c>
      <c r="I966" s="11" t="str">
        <f>IFERROR(IF(VLOOKUP(A966,[7]PRIORIZADOS!$A:$I,9,FALSE)="","",VLOOKUP(A966,[7]PRIORIZADOS!$A:$I,9,FALSE)),"")</f>
        <v>EVALUACIÓN_CON_FINES_DE_MEJORAMIENTO.</v>
      </c>
      <c r="J966" s="11" t="str">
        <f>IFERROR(IF(VLOOKUP(A966,[7]PRIORIZADOS!$A:$J,10,FALSE)="","",VLOOKUP(A966,[7]PRIORIZADOS!$A:$J,10,FALSE)),"")</f>
        <v>Verificar las condiciones en cuanto a: la estructura administrativa, condiciones de la planta física y medios educativos adecuados.</v>
      </c>
      <c r="K966" s="11" t="str">
        <f>IFERROR(IF(VLOOKUP(A966,[7]PRIORIZADOS!$A:$K,11,FALSE)="","",VLOOKUP(A966,[7]PRIORIZADOS!$A:$K,11,FALSE)),"")</f>
        <v>GLORIA INES AMAYA RAMÍREZ</v>
      </c>
      <c r="L966" s="11" t="str">
        <f>IFERROR(IF(VLOOKUP(A966,[7]PRIORIZADOS!$A:$L,12,FALSE)="","",VLOOKUP(A966,[7]PRIORIZADOS!$A:$L,12,FALSE)),"")</f>
        <v>MARITZA SARMIENTO VANEGAS</v>
      </c>
      <c r="M966" s="156">
        <f>IFERROR(IF(VLOOKUP(A966,[7]PRIORIZADOS!$A:$M,13,FALSE)="","",VLOOKUP(A966,[7]PRIORIZADOS!$A:$M,13,FALSE)),"")</f>
        <v>45772</v>
      </c>
      <c r="N966" s="156">
        <f>IFERROR(IF(VLOOKUP(A966,[7]PRIORIZADOS!$A:$N,14,FALSE)="","",VLOOKUP(A966,[7]PRIORIZADOS!$A:$N,14,FALSE)),"")</f>
        <v>45799</v>
      </c>
      <c r="O966" s="156">
        <f>IFERROR(IF(VLOOKUP(A966,[7]PRIORIZADOS!$A:$O,15,FALSE)="","",VLOOKUP(A966,[7]PRIORIZADOS!$A:$O,15,FALSE)),"")</f>
        <v>45799</v>
      </c>
      <c r="P966" s="11" t="str">
        <f>IFERROR(IF(VLOOKUP(A966,[7]PRIORIZADOS!$A:$P,16,FALSE)="","",VLOOKUP(A966,[7]PRIORIZADOS!$A:$P,16,FALSE)),"")</f>
        <v>Visitas de evaluación con fines de mejoramiento</v>
      </c>
      <c r="Q966" s="7" t="s">
        <v>169</v>
      </c>
      <c r="R966" s="11" t="str">
        <f>IFERROR(IF(VLOOKUP(A966,[7]PRIORIZADOS!$A:$R,18,FALSE)="","",VLOOKUP(A966,[7]PRIORIZADOS!$A:$R,18,FALSE)),"")</f>
        <v xml:space="preserve">Las condiciones de planta física y dotación cumple con lo exigido por la normatividad vigente.    </v>
      </c>
      <c r="S966" s="11" t="str">
        <f>IFERROR(IF(VLOOKUP(A966,[7]PRIORIZADOS!$A:$S,19,FALSE)="","",VLOOKUP(A966,[7]PRIORIZADOS!$A:$S,19,FALSE)),"")</f>
        <v>Continuar con las gestiones necesarias para mantener el nivel del servicio educativo en relación con la planta física y demás recursos.</v>
      </c>
      <c r="T966" s="70" t="str">
        <f>IFERROR(IF(VLOOKUP(A966,[7]PRIORIZADOS!$A:$T,20,FALSE)="","",VLOOKUP(A966,[7]PRIORIZADOS!$A:$T,20,FALSE)),"")</f>
        <v>No</v>
      </c>
      <c r="U966" s="11" t="str">
        <f>IFERROR(IF(VLOOKUP(A966,[7]PRIORIZADOS!$A:$U,21,FALSE)="","",VLOOKUP(A966,[7]PRIORIZADOS!$A:$U,21,FALSE)),"")</f>
        <v>Se hará nueva verificación de esta actividad en caso de presentarse queja.</v>
      </c>
    </row>
    <row r="967" spans="1:21" s="1" customFormat="1" ht="99.75" customHeight="1">
      <c r="A967" s="69">
        <f>IF([7]PRIORIZADOS!A40="","",[7]PRIORIZADOS!A40)</f>
        <v>913</v>
      </c>
      <c r="B967" s="87">
        <f>IFERROR(IF(VLOOKUP(A967,[7]PRIORIZADOS!$A:$B,2,FALSE)="","",VLOOKUP(A967,[7]PRIORIZADOS!$A:$B,2,FALSE)),"")</f>
        <v>5</v>
      </c>
      <c r="C967" s="11" t="str">
        <f>IFERROR(IF(VLOOKUP(A967,[7]PRIORIZADOS!$A:$C,3,FALSE)="","",VLOOKUP(A967,[7]PRIORIZADOS!$A:$C,3,FALSE)),"")</f>
        <v>FONTIBÓN</v>
      </c>
      <c r="D967" s="69" t="str">
        <f>IFERROR(IF(VLOOKUP(A967,[7]PRIORIZADOS!$A:$D,4,FALSE)="","",VLOOKUP(A967,[7]PRIORIZADOS!$A:$D,4,FALSE)),"")</f>
        <v>PRIVADO</v>
      </c>
      <c r="E967" s="69" t="str">
        <f>IFERROR(IF(VLOOKUP(A967,[7]PRIORIZADOS!$A:$E,5,FALSE)="","",VLOOKUP(A967,[7]PRIORIZADOS!$A:$E,5,FALSE)),"")</f>
        <v>EPBM</v>
      </c>
      <c r="F967" s="11" t="str">
        <f>IFERROR(IF(VLOOKUP(A967,[7]PRIORIZADOS!$A:$F,6,FALSE)="","",VLOOKUP(A967,[7]PRIORIZADOS!$A:$F,6,FALSE)),"")</f>
        <v>INSTITUTO_NAZARENO_MODELIA</v>
      </c>
      <c r="G967" s="69" t="str">
        <f>IFERROR(IF(VLOOKUP(A967,[7]PRIORIZADOS!$A:$G,7,FALSE)="","",VLOOKUP(A967,[7]PRIORIZADOS!$A:$G,7,FALSE)),"")</f>
        <v>INSTITUTO_NAZARENO_MODELIA</v>
      </c>
      <c r="H967" s="11" t="str">
        <f>IFERROR(IF(VLOOKUP(A967,[7]PRIORIZADOS!$A:$H,8,FALSE)="","",VLOOKUP(A967,[7]PRIORIZADOS!$A:$H,8,FALSE)),"")</f>
        <v>Autoevaluación Institucional y Pruebas SABER 11</v>
      </c>
      <c r="I967" s="11" t="str">
        <f>IFERROR(IF(VLOOKUP(A967,[7]PRIORIZADOS!$A:$I,9,FALSE)="","",VLOOKUP(A967,[7]PRIORIZADOS!$A:$I,9,FALSE)),"")</f>
        <v>SEGUIMIENTO_Y_SUPERVISIÓN.</v>
      </c>
      <c r="J967" s="11" t="str">
        <f>IFERROR(IF(VLOOKUP(A967,[7]PRIORIZADOS!$A:$J,10,FALSE)="","",VLOOKUP(A967,[7]PRIORIZADOS!$A:$J,10,FALSE)),"")</f>
        <v>Proponer estrategias en la formulación, verificar su elaboración y realizar seguimiento semestral al desarrollo de  las acciones establecidas en los planes de mejoramiento por pruebas SABER 11 de los establecimientos de educación formal.</v>
      </c>
      <c r="K967" s="11" t="str">
        <f>IFERROR(IF(VLOOKUP(A967,[7]PRIORIZADOS!$A:$K,11,FALSE)="","",VLOOKUP(A967,[7]PRIORIZADOS!$A:$K,11,FALSE)),"")</f>
        <v>MARITZA SARMIENTO VANEGAS</v>
      </c>
      <c r="L967" s="11" t="str">
        <f>IFERROR(IF(VLOOKUP(A967,[7]PRIORIZADOS!$A:$L,12,FALSE)="","",VLOOKUP(A967,[7]PRIORIZADOS!$A:$L,12,FALSE)),"")</f>
        <v>GLORIA INES AMAYA RAMÍREZ</v>
      </c>
      <c r="M967" s="156">
        <f>IFERROR(IF(VLOOKUP(A967,[7]PRIORIZADOS!$A:$M,13,FALSE)="","",VLOOKUP(A967,[7]PRIORIZADOS!$A:$M,13,FALSE)),"")</f>
        <v>45776</v>
      </c>
      <c r="N967" s="156">
        <f>IFERROR(IF(VLOOKUP(A967,[7]PRIORIZADOS!$A:$N,14,FALSE)="","",VLOOKUP(A967,[7]PRIORIZADOS!$A:$N,14,FALSE)),"")</f>
        <v>45793</v>
      </c>
      <c r="O967" s="156">
        <f>IFERROR(IF(VLOOKUP(A967,[7]PRIORIZADOS!$A:$O,15,FALSE)="","",VLOOKUP(A967,[7]PRIORIZADOS!$A:$O,15,FALSE)),"")</f>
        <v>45793</v>
      </c>
      <c r="P967" s="11" t="str">
        <f>IFERROR(IF(VLOOKUP(A967,[7]PRIORIZADOS!$A:$P,16,FALSE)="","",VLOOKUP(A967,[7]PRIORIZADOS!$A:$P,16,FALSE)),"")</f>
        <v>Visitas de evaluación con fines de mejoramiento</v>
      </c>
      <c r="Q967" s="7" t="s">
        <v>170</v>
      </c>
      <c r="R967" s="11" t="str">
        <f>IFERROR(IF(VLOOKUP(A967,[7]PRIORIZADOS!$A:$R,18,FALSE)="","",VLOOKUP(A967,[7]PRIORIZADOS!$A:$R,18,FALSE)),"")</f>
        <v>Análisis de resultados, diseño de estrategias, aplicación de simulacros, repaso de contenidos, asistencia a refuerzo en contra jornada, participación de todos los estudiantes matriculados en grado once a las diferentes actividades</v>
      </c>
      <c r="S967" s="11" t="str">
        <f>IFERROR(IF(VLOOKUP(A967,[7]PRIORIZADOS!$A:$S,19,FALSE)="","",VLOOKUP(A967,[7]PRIORIZADOS!$A:$S,19,FALSE)),"")</f>
        <v>Continuar con la implementación de estrategias, que fortalecen los resultados de la pruebas SABER 11</v>
      </c>
      <c r="T967" s="70" t="str">
        <f>IFERROR(IF(VLOOKUP(A967,[7]PRIORIZADOS!$A:$T,20,FALSE)="","",VLOOKUP(A967,[7]PRIORIZADOS!$A:$T,20,FALSE)),"")</f>
        <v>No</v>
      </c>
      <c r="U967" s="11" t="str">
        <f>IFERROR(IF(VLOOKUP(A967,[7]PRIORIZADOS!$A:$U,21,FALSE)="","",VLOOKUP(A967,[7]PRIORIZADOS!$A:$U,21,FALSE)),"")</f>
        <v>Se realizará revisión frente a los resultados de la Institución en la pruebas SABER 11 2025</v>
      </c>
    </row>
    <row r="968" spans="1:21" s="1" customFormat="1" ht="99.75" customHeight="1">
      <c r="A968" s="69">
        <f>IF([7]PRIORIZADOS!A41="","",[7]PRIORIZADOS!A41)</f>
        <v>914</v>
      </c>
      <c r="B968" s="87">
        <f>IFERROR(IF(VLOOKUP(A968,[7]PRIORIZADOS!$A:$B,2,FALSE)="","",VLOOKUP(A968,[7]PRIORIZADOS!$A:$B,2,FALSE)),"")</f>
        <v>5</v>
      </c>
      <c r="C968" s="11" t="str">
        <f>IFERROR(IF(VLOOKUP(A968,[7]PRIORIZADOS!$A:$C,3,FALSE)="","",VLOOKUP(A968,[7]PRIORIZADOS!$A:$C,3,FALSE)),"")</f>
        <v>FONTIBÓN</v>
      </c>
      <c r="D968" s="69" t="str">
        <f>IFERROR(IF(VLOOKUP(A968,[7]PRIORIZADOS!$A:$D,4,FALSE)="","",VLOOKUP(A968,[7]PRIORIZADOS!$A:$D,4,FALSE)),"")</f>
        <v>PRIVADO</v>
      </c>
      <c r="E968" s="69" t="str">
        <f>IFERROR(IF(VLOOKUP(A968,[7]PRIORIZADOS!$A:$E,5,FALSE)="","",VLOOKUP(A968,[7]PRIORIZADOS!$A:$E,5,FALSE)),"")</f>
        <v>EPBM</v>
      </c>
      <c r="F968" s="11" t="str">
        <f>IFERROR(IF(VLOOKUP(A968,[7]PRIORIZADOS!$A:$F,6,FALSE)="","",VLOOKUP(A968,[7]PRIORIZADOS!$A:$F,6,FALSE)),"")</f>
        <v>INSTITUTO_NAZARENO_MODELIA</v>
      </c>
      <c r="G968" s="69" t="str">
        <f>IFERROR(IF(VLOOKUP(A968,[7]PRIORIZADOS!$A:$G,7,FALSE)="","",VLOOKUP(A968,[7]PRIORIZADOS!$A:$G,7,FALSE)),"")</f>
        <v>INSTITUTO_NAZARENO_MODELIA</v>
      </c>
      <c r="H968" s="11" t="str">
        <f>IFERROR(IF(VLOOKUP(A968,[7]PRIORIZADOS!$A:$H,8,FALSE)="","",VLOOKUP(A968,[7]PRIORIZADOS!$A:$H,8,FALSE)),"")</f>
        <v>Autoevaluación Institucional y Pruebas SABER 11</v>
      </c>
      <c r="I968" s="11" t="str">
        <f>IFERROR(IF(VLOOKUP(A968,[7]PRIORIZADOS!$A:$I,9,FALSE)="","",VLOOKUP(A968,[7]PRIORIZADOS!$A:$I,9,FALSE)),"")</f>
        <v>SEGUIMIENTO_Y_SUPERVISIÓN.</v>
      </c>
      <c r="J968" s="11" t="str">
        <f>IFERROR(IF(VLOOKUP(A968,[7]PRIORIZADOS!$A:$J,10,FALSE)="","",VLOOKUP(A968,[7]PRIORIZADOS!$A:$J,10,FALSE)),"")</f>
        <v xml:space="preserve">Verificar la implementación por parte de los colegios, de acciones realizadas para la prevención y atención de las situaciones de convivencia en el entorno escolar, según lo establecido en la Directiva 01 de 2022 del MEN. </v>
      </c>
      <c r="K968" s="11" t="str">
        <f>IFERROR(IF(VLOOKUP(A968,[7]PRIORIZADOS!$A:$K,11,FALSE)="","",VLOOKUP(A968,[7]PRIORIZADOS!$A:$K,11,FALSE)),"")</f>
        <v>MARITZA SARMIENTO VANEGAS</v>
      </c>
      <c r="L968" s="11" t="str">
        <f>IFERROR(IF(VLOOKUP(A968,[7]PRIORIZADOS!$A:$L,12,FALSE)="","",VLOOKUP(A968,[7]PRIORIZADOS!$A:$L,12,FALSE)),"")</f>
        <v>GLORIA INES AMAYA RAMÍREZ</v>
      </c>
      <c r="M968" s="156">
        <f>IFERROR(IF(VLOOKUP(A968,[7]PRIORIZADOS!$A:$M,13,FALSE)="","",VLOOKUP(A968,[7]PRIORIZADOS!$A:$M,13,FALSE)),"")</f>
        <v>45776</v>
      </c>
      <c r="N968" s="156">
        <f>IFERROR(IF(VLOOKUP(A968,[7]PRIORIZADOS!$A:$N,14,FALSE)="","",VLOOKUP(A968,[7]PRIORIZADOS!$A:$N,14,FALSE)),"")</f>
        <v>45793</v>
      </c>
      <c r="O968" s="156">
        <f>IFERROR(IF(VLOOKUP(A968,[7]PRIORIZADOS!$A:$O,15,FALSE)="","",VLOOKUP(A968,[7]PRIORIZADOS!$A:$O,15,FALSE)),"")</f>
        <v>45793</v>
      </c>
      <c r="P968" s="11" t="str">
        <f>IFERROR(IF(VLOOKUP(A968,[7]PRIORIZADOS!$A:$P,16,FALSE)="","",VLOOKUP(A968,[7]PRIORIZADOS!$A:$P,16,FALSE)),"")</f>
        <v>Visitas de evaluación con fines de mejoramiento</v>
      </c>
      <c r="Q968" s="7" t="s">
        <v>170</v>
      </c>
      <c r="R968" s="11" t="str">
        <f>IFERROR(IF(VLOOKUP(A968,[7]PRIORIZADOS!$A:$R,18,FALSE)="","",VLOOKUP(A968,[7]PRIORIZADOS!$A:$R,18,FALSE)),"")</f>
        <v>Se realizan actividades pedagógico formativas del componente de  prevención y promoción de la ruta de atención integral, sin embargo no ha realizado la verificación de antecedentes por delitos sexuales del personal vinculado.</v>
      </c>
      <c r="S968" s="11" t="str">
        <f>IFERROR(IF(VLOOKUP(A968,[7]PRIORIZADOS!$A:$S,19,FALSE)="","",VLOOKUP(A968,[7]PRIORIZADOS!$A:$S,19,FALSE)),"")</f>
        <v>Continuar con la aplicación de las estrategias de prevención, promoción y seguimiento por parte del Comité de Convivencia Escolar, y realizar la velicación de intendentes cada cuatro meses de todo el personal (directivo, docente y administrativo) vinculado.</v>
      </c>
      <c r="T968" s="70" t="str">
        <f>IFERROR(IF(VLOOKUP(A968,[7]PRIORIZADOS!$A:$T,20,FALSE)="","",VLOOKUP(A968,[7]PRIORIZADOS!$A:$T,20,FALSE)),"")</f>
        <v>Si</v>
      </c>
      <c r="U968" s="11" t="str">
        <f>IFERROR(IF(VLOOKUP(A968,[7]PRIORIZADOS!$A:$U,21,FALSE)="","",VLOOKUP(A968,[7]PRIORIZADOS!$A:$U,21,FALSE)),"")</f>
        <v>Revisar la entrega de  PMI el 20 de agosto y las acciones establecidas con los respectivos seguimientos.</v>
      </c>
    </row>
    <row r="969" spans="1:21" s="1" customFormat="1" ht="72">
      <c r="A969" s="69">
        <f>IF([7]PRIORIZADOS!A42="","",[7]PRIORIZADOS!A42)</f>
        <v>915</v>
      </c>
      <c r="B969" s="87">
        <f>IFERROR(IF(VLOOKUP(A969,[7]PRIORIZADOS!$A:$B,2,FALSE)="","",VLOOKUP(A969,[7]PRIORIZADOS!$A:$B,2,FALSE)),"")</f>
        <v>5</v>
      </c>
      <c r="C969" s="11" t="str">
        <f>IFERROR(IF(VLOOKUP(A969,[7]PRIORIZADOS!$A:$C,3,FALSE)="","",VLOOKUP(A969,[7]PRIORIZADOS!$A:$C,3,FALSE)),"")</f>
        <v>FONTIBÓN</v>
      </c>
      <c r="D969" s="69" t="str">
        <f>IFERROR(IF(VLOOKUP(A969,[7]PRIORIZADOS!$A:$D,4,FALSE)="","",VLOOKUP(A969,[7]PRIORIZADOS!$A:$D,4,FALSE)),"")</f>
        <v>PRIVADO</v>
      </c>
      <c r="E969" s="69" t="str">
        <f>IFERROR(IF(VLOOKUP(A969,[7]PRIORIZADOS!$A:$E,5,FALSE)="","",VLOOKUP(A969,[7]PRIORIZADOS!$A:$E,5,FALSE)),"")</f>
        <v>EPBM</v>
      </c>
      <c r="F969" s="11" t="str">
        <f>IFERROR(IF(VLOOKUP(A969,[7]PRIORIZADOS!$A:$F,6,FALSE)="","",VLOOKUP(A969,[7]PRIORIZADOS!$A:$F,6,FALSE)),"")</f>
        <v>INSTITUTO_NAZARENO_MODELIA</v>
      </c>
      <c r="G969" s="69" t="str">
        <f>IFERROR(IF(VLOOKUP(A969,[7]PRIORIZADOS!$A:$G,7,FALSE)="","",VLOOKUP(A969,[7]PRIORIZADOS!$A:$G,7,FALSE)),"")</f>
        <v>INSTITUTO_NAZARENO_MODELIA</v>
      </c>
      <c r="H969" s="11" t="str">
        <f>IFERROR(IF(VLOOKUP(A969,[7]PRIORIZADOS!$A:$H,8,FALSE)="","",VLOOKUP(A969,[7]PRIORIZADOS!$A:$H,8,FALSE)),"")</f>
        <v>Autoevaluación Institucional y Pruebas SABER 11</v>
      </c>
      <c r="I969" s="11" t="str">
        <f>IFERROR(IF(VLOOKUP(A969,[7]PRIORIZADOS!$A:$I,9,FALSE)="","",VLOOKUP(A969,[7]PRIORIZADOS!$A:$I,9,FALSE)),"")</f>
        <v>SEGUIMIENTO_Y_SUPERVISIÓN.</v>
      </c>
      <c r="J969" s="11" t="str">
        <f>IFERROR(IF(VLOOKUP(A969,[7]PRIORIZADOS!$A:$J,10,FALSE)="","",VLOOKUP(A969,[7]PRIORIZADOS!$A:$J,10,FALSE)),"")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69" s="11" t="str">
        <f>IFERROR(IF(VLOOKUP(A969,[7]PRIORIZADOS!$A:$K,11,FALSE)="","",VLOOKUP(A969,[7]PRIORIZADOS!$A:$K,11,FALSE)),"")</f>
        <v>MARITZA SARMIENTO VANEGAS</v>
      </c>
      <c r="L969" s="11" t="str">
        <f>IFERROR(IF(VLOOKUP(A969,[7]PRIORIZADOS!$A:$L,12,FALSE)="","",VLOOKUP(A969,[7]PRIORIZADOS!$A:$L,12,FALSE)),"")</f>
        <v>GLORIA INES AMAYA RAMÍREZ</v>
      </c>
      <c r="M969" s="156">
        <f>IFERROR(IF(VLOOKUP(A969,[7]PRIORIZADOS!$A:$M,13,FALSE)="","",VLOOKUP(A969,[7]PRIORIZADOS!$A:$M,13,FALSE)),"")</f>
        <v>45776</v>
      </c>
      <c r="N969" s="156">
        <f>IFERROR(IF(VLOOKUP(A969,[7]PRIORIZADOS!$A:$N,14,FALSE)="","",VLOOKUP(A969,[7]PRIORIZADOS!$A:$N,14,FALSE)),"")</f>
        <v>45793</v>
      </c>
      <c r="O969" s="156">
        <f>IFERROR(IF(VLOOKUP(A969,[7]PRIORIZADOS!$A:$O,15,FALSE)="","",VLOOKUP(A969,[7]PRIORIZADOS!$A:$O,15,FALSE)),"")</f>
        <v>45793</v>
      </c>
      <c r="P969" s="11" t="str">
        <f>IFERROR(IF(VLOOKUP(A969,[7]PRIORIZADOS!$A:$P,16,FALSE)="","",VLOOKUP(A969,[7]PRIORIZADOS!$A:$P,16,FALSE)),"")</f>
        <v>Visitas de evaluación con fines de mejoramiento</v>
      </c>
      <c r="Q969" s="7" t="s">
        <v>170</v>
      </c>
      <c r="R969" s="11" t="str">
        <f>IFERROR(IF(VLOOKUP(A969,[7]PRIORIZADOS!$A:$R,18,FALSE)="","",VLOOKUP(A969,[7]PRIORIZADOS!$A:$R,18,FALSE)),"")</f>
        <v>Se encontró el respectivo formato de documento PIAR de los estudiantes, con ajustes y flexibilización de acuerdo con la necesidad de cada uno. en algunos no se registra la firma del acudiente.</v>
      </c>
      <c r="S969" s="11" t="str">
        <f>IFERROR(IF(VLOOKUP(A969,[7]PRIORIZADOS!$A:$S,19,FALSE)="","",VLOOKUP(A969,[7]PRIORIZADOS!$A:$S,19,FALSE)),"")</f>
        <v>Registrar la firma de los padres cada vez que socialice su contenido y avances.
Continuar con la implementación de las acciones definidas en los PIAR y los ajustes que se requieran en los procesos académicos de los estudiantes.</v>
      </c>
      <c r="T969" s="70" t="str">
        <f>IFERROR(IF(VLOOKUP(A969,[7]PRIORIZADOS!$A:$T,20,FALSE)="","",VLOOKUP(A969,[7]PRIORIZADOS!$A:$T,20,FALSE)),"")</f>
        <v>Si</v>
      </c>
      <c r="U969" s="11" t="str">
        <f>IFERROR(IF(VLOOKUP(A969,[7]PRIORIZADOS!$A:$U,21,FALSE)="","",VLOOKUP(A969,[7]PRIORIZADOS!$A:$U,21,FALSE)),"")</f>
        <v>Solicitud de entrega de avance  PMI el 20 de agosto</v>
      </c>
    </row>
    <row r="970" spans="1:21" s="1" customFormat="1" ht="99.75" customHeight="1">
      <c r="A970" s="69">
        <f>IF([7]PRIORIZADOS!A43="","",[7]PRIORIZADOS!A43)</f>
        <v>916</v>
      </c>
      <c r="B970" s="87">
        <f>IFERROR(IF(VLOOKUP(A970,[7]PRIORIZADOS!$A:$B,2,FALSE)="","",VLOOKUP(A970,[7]PRIORIZADOS!$A:$B,2,FALSE)),"")</f>
        <v>5</v>
      </c>
      <c r="C970" s="11" t="str">
        <f>IFERROR(IF(VLOOKUP(A970,[7]PRIORIZADOS!$A:$C,3,FALSE)="","",VLOOKUP(A970,[7]PRIORIZADOS!$A:$C,3,FALSE)),"")</f>
        <v>FONTIBÓN</v>
      </c>
      <c r="D970" s="69" t="str">
        <f>IFERROR(IF(VLOOKUP(A970,[7]PRIORIZADOS!$A:$D,4,FALSE)="","",VLOOKUP(A970,[7]PRIORIZADOS!$A:$D,4,FALSE)),"")</f>
        <v>PRIVADO</v>
      </c>
      <c r="E970" s="69" t="str">
        <f>IFERROR(IF(VLOOKUP(A970,[7]PRIORIZADOS!$A:$E,5,FALSE)="","",VLOOKUP(A970,[7]PRIORIZADOS!$A:$E,5,FALSE)),"")</f>
        <v>EPBM</v>
      </c>
      <c r="F970" s="11" t="str">
        <f>IFERROR(IF(VLOOKUP(A970,[7]PRIORIZADOS!$A:$F,6,FALSE)="","",VLOOKUP(A970,[7]PRIORIZADOS!$A:$F,6,FALSE)),"")</f>
        <v>INSTITUTO_NAZARENO_MODELIA</v>
      </c>
      <c r="G970" s="69" t="str">
        <f>IFERROR(IF(VLOOKUP(A970,[7]PRIORIZADOS!$A:$G,7,FALSE)="","",VLOOKUP(A970,[7]PRIORIZADOS!$A:$G,7,FALSE)),"")</f>
        <v>INSTITUTO_NAZARENO_MODELIA</v>
      </c>
      <c r="H970" s="11" t="str">
        <f>IFERROR(IF(VLOOKUP(A970,[7]PRIORIZADOS!$A:$H,8,FALSE)="","",VLOOKUP(A970,[7]PRIORIZADOS!$A:$H,8,FALSE)),"")</f>
        <v>Autoevaluación Institucional y Pruebas SABER 11</v>
      </c>
      <c r="I970" s="11" t="str">
        <f>IFERROR(IF(VLOOKUP(A970,[7]PRIORIZADOS!$A:$I,9,FALSE)="","",VLOOKUP(A970,[7]PRIORIZADOS!$A:$I,9,FALSE)),"")</f>
        <v>EVALUACIÓN_CON_FINES_DE_MEJORAMIENTO.</v>
      </c>
      <c r="J970" s="11" t="str">
        <f>IFERROR(IF(VLOOKUP(A970,[7]PRIORIZADOS!$A:$J,10,FALSE)="","",VLOOKUP(A970,[7]PRIORIZADOS!$A:$J,10,FALSE)),"")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70" s="11" t="str">
        <f>IFERROR(IF(VLOOKUP(A970,[7]PRIORIZADOS!$A:$K,11,FALSE)="","",VLOOKUP(A970,[7]PRIORIZADOS!$A:$K,11,FALSE)),"")</f>
        <v>MARITZA SARMIENTO VANEGAS</v>
      </c>
      <c r="L970" s="11" t="str">
        <f>IFERROR(IF(VLOOKUP(A970,[7]PRIORIZADOS!$A:$L,12,FALSE)="","",VLOOKUP(A970,[7]PRIORIZADOS!$A:$L,12,FALSE)),"")</f>
        <v>GLORIA INES AMAYA RAMÍREZ</v>
      </c>
      <c r="M970" s="156">
        <f>IFERROR(IF(VLOOKUP(A970,[7]PRIORIZADOS!$A:$M,13,FALSE)="","",VLOOKUP(A970,[7]PRIORIZADOS!$A:$M,13,FALSE)),"")</f>
        <v>45776</v>
      </c>
      <c r="N970" s="156">
        <f>IFERROR(IF(VLOOKUP(A970,[7]PRIORIZADOS!$A:$N,14,FALSE)="","",VLOOKUP(A970,[7]PRIORIZADOS!$A:$N,14,FALSE)),"")</f>
        <v>45793</v>
      </c>
      <c r="O970" s="156">
        <f>IFERROR(IF(VLOOKUP(A970,[7]PRIORIZADOS!$A:$O,15,FALSE)="","",VLOOKUP(A970,[7]PRIORIZADOS!$A:$O,15,FALSE)),"")</f>
        <v>45793</v>
      </c>
      <c r="P970" s="11" t="str">
        <f>IFERROR(IF(VLOOKUP(A970,[7]PRIORIZADOS!$A:$P,16,FALSE)="","",VLOOKUP(A970,[7]PRIORIZADOS!$A:$P,16,FALSE)),"")</f>
        <v>Visitas de evaluación con fines de mejoramiento</v>
      </c>
      <c r="Q970" s="7" t="s">
        <v>170</v>
      </c>
      <c r="R970" s="11" t="str">
        <f>IFERROR(IF(VLOOKUP(A970,[7]PRIORIZADOS!$A:$R,18,FALSE)="","",VLOOKUP(A970,[7]PRIORIZADOS!$A:$R,18,FALSE)),"")</f>
        <v>El manual de convivencia esta actualizado pero requiere incluir los diferentes enfoques que fomentan el respeto, la valoración de la diversidad y el enfoque restaurativo así como el debido proceso disciplinario</v>
      </c>
      <c r="S970" s="11" t="str">
        <f>IFERROR(IF(VLOOKUP(A970,[7]PRIORIZADOS!$A:$S,19,FALSE)="","",VLOOKUP(A970,[7]PRIORIZADOS!$A:$S,19,FALSE)),"")</f>
        <v>Debe ser ajustado en cuanto a lo requerido en la normatividad vigente</v>
      </c>
      <c r="T970" s="70" t="str">
        <f>IFERROR(IF(VLOOKUP(A970,[7]PRIORIZADOS!$A:$T,20,FALSE)="","",VLOOKUP(A970,[7]PRIORIZADOS!$A:$T,20,FALSE)),"")</f>
        <v>Si</v>
      </c>
      <c r="U970" s="11" t="str">
        <f>IFERROR(IF(VLOOKUP(A970,[7]PRIORIZADOS!$A:$U,21,FALSE)="","",VLOOKUP(A970,[7]PRIORIZADOS!$A:$U,21,FALSE)),"")</f>
        <v>Realizar revisión del primer avance en los ajustes del manual de convivencia, en el segundo semestre de la presente vigencia.</v>
      </c>
    </row>
    <row r="971" spans="1:21" s="1" customFormat="1" ht="72">
      <c r="A971" s="69">
        <f>IF([7]PRIORIZADOS!A44="","",[7]PRIORIZADOS!A44)</f>
        <v>917</v>
      </c>
      <c r="B971" s="87">
        <f>IFERROR(IF(VLOOKUP(A971,[7]PRIORIZADOS!$A:$B,2,FALSE)="","",VLOOKUP(A971,[7]PRIORIZADOS!$A:$B,2,FALSE)),"")</f>
        <v>5</v>
      </c>
      <c r="C971" s="11" t="str">
        <f>IFERROR(IF(VLOOKUP(A971,[7]PRIORIZADOS!$A:$C,3,FALSE)="","",VLOOKUP(A971,[7]PRIORIZADOS!$A:$C,3,FALSE)),"")</f>
        <v>FONTIBÓN</v>
      </c>
      <c r="D971" s="69" t="str">
        <f>IFERROR(IF(VLOOKUP(A971,[7]PRIORIZADOS!$A:$D,4,FALSE)="","",VLOOKUP(A971,[7]PRIORIZADOS!$A:$D,4,FALSE)),"")</f>
        <v>PRIVADO</v>
      </c>
      <c r="E971" s="69" t="str">
        <f>IFERROR(IF(VLOOKUP(A971,[7]PRIORIZADOS!$A:$E,5,FALSE)="","",VLOOKUP(A971,[7]PRIORIZADOS!$A:$E,5,FALSE)),"")</f>
        <v>EPBM</v>
      </c>
      <c r="F971" s="11" t="str">
        <f>IFERROR(IF(VLOOKUP(A971,[7]PRIORIZADOS!$A:$F,6,FALSE)="","",VLOOKUP(A971,[7]PRIORIZADOS!$A:$F,6,FALSE)),"")</f>
        <v>INSTITUTO_NAZARENO_MODELIA</v>
      </c>
      <c r="G971" s="69" t="str">
        <f>IFERROR(IF(VLOOKUP(A971,[7]PRIORIZADOS!$A:$G,7,FALSE)="","",VLOOKUP(A971,[7]PRIORIZADOS!$A:$G,7,FALSE)),"")</f>
        <v>INSTITUTO_NAZARENO_MODELIA</v>
      </c>
      <c r="H971" s="11" t="str">
        <f>IFERROR(IF(VLOOKUP(A971,[7]PRIORIZADOS!$A:$H,8,FALSE)="","",VLOOKUP(A971,[7]PRIORIZADOS!$A:$H,8,FALSE)),"")</f>
        <v>Autoevaluación Institucional y Pruebas SABER 11</v>
      </c>
      <c r="I971" s="11" t="str">
        <f>IFERROR(IF(VLOOKUP(A971,[7]PRIORIZADOS!$A:$I,9,FALSE)="","",VLOOKUP(A971,[7]PRIORIZADOS!$A:$I,9,FALSE)),"")</f>
        <v>EVALUACIÓN_CON_FINES_DE_MEJORAMIENTO.</v>
      </c>
      <c r="J971" s="11" t="str">
        <f>IFERROR(IF(VLOOKUP(A971,[7]PRIORIZADOS!$A:$J,10,FALSE)="","",VLOOKUP(A971,[7]PRIORIZADOS!$A:$J,10,FALSE)),"")</f>
        <v>Revisar la actualización, socialización e implementación del Sistema Institucional de Evaluación de Estudiantes - SIEE, en articulación con la actualización del PEI y la normatividad vigente.</v>
      </c>
      <c r="K971" s="11" t="str">
        <f>IFERROR(IF(VLOOKUP(A971,[7]PRIORIZADOS!$A:$K,11,FALSE)="","",VLOOKUP(A971,[7]PRIORIZADOS!$A:$K,11,FALSE)),"")</f>
        <v>MARITZA SARMIENTO VANEGAS</v>
      </c>
      <c r="L971" s="11" t="str">
        <f>IFERROR(IF(VLOOKUP(A971,[7]PRIORIZADOS!$A:$L,12,FALSE)="","",VLOOKUP(A971,[7]PRIORIZADOS!$A:$L,12,FALSE)),"")</f>
        <v>GLORIA INES AMAYA RAMÍREZ</v>
      </c>
      <c r="M971" s="156">
        <f>IFERROR(IF(VLOOKUP(A971,[7]PRIORIZADOS!$A:$M,13,FALSE)="","",VLOOKUP(A971,[7]PRIORIZADOS!$A:$M,13,FALSE)),"")</f>
        <v>45776</v>
      </c>
      <c r="N971" s="156">
        <f>IFERROR(IF(VLOOKUP(A971,[7]PRIORIZADOS!$A:$N,14,FALSE)="","",VLOOKUP(A971,[7]PRIORIZADOS!$A:$N,14,FALSE)),"")</f>
        <v>45793</v>
      </c>
      <c r="O971" s="156">
        <f>IFERROR(IF(VLOOKUP(A971,[7]PRIORIZADOS!$A:$O,15,FALSE)="","",VLOOKUP(A971,[7]PRIORIZADOS!$A:$O,15,FALSE)),"")</f>
        <v>45793</v>
      </c>
      <c r="P971" s="11" t="str">
        <f>IFERROR(IF(VLOOKUP(A971,[7]PRIORIZADOS!$A:$P,16,FALSE)="","",VLOOKUP(A971,[7]PRIORIZADOS!$A:$P,16,FALSE)),"")</f>
        <v>Visitas de evaluación con fines de mejoramiento</v>
      </c>
      <c r="Q971" s="7" t="s">
        <v>170</v>
      </c>
      <c r="R971" s="11" t="str">
        <f>IFERROR(IF(VLOOKUP(A971,[7]PRIORIZADOS!$A:$R,18,FALSE)="","",VLOOKUP(A971,[7]PRIORIZADOS!$A:$R,18,FALSE)),"")</f>
        <v>El SIEE no es coherente con el PEI en lo relacionado con el modelo pedagógico adoptado por la Institución.  Requiere estructurar un capítulo con el tema de la inclusión en el marco de lo establecido en el decreto 1421 de 2017</v>
      </c>
      <c r="S971" s="11" t="str">
        <f>IFERROR(IF(VLOOKUP(A971,[7]PRIORIZADOS!$A:$S,19,FALSE)="","",VLOOKUP(A971,[7]PRIORIZADOS!$A:$S,19,FALSE)),"")</f>
        <v>Revisar  el SIEE y ajustarlo en concordancia con el PEI, estructurar capitulo teniendo en cuenta el decreto 1421 de 2017</v>
      </c>
      <c r="T971" s="70" t="str">
        <f>IFERROR(IF(VLOOKUP(A971,[7]PRIORIZADOS!$A:$T,20,FALSE)="","",VLOOKUP(A971,[7]PRIORIZADOS!$A:$T,20,FALSE)),"")</f>
        <v>Si</v>
      </c>
      <c r="U971" s="11" t="str">
        <f>IFERROR(IF(VLOOKUP(A971,[7]PRIORIZADOS!$A:$U,21,FALSE)="","",VLOOKUP(A971,[7]PRIORIZADOS!$A:$U,21,FALSE)),"")</f>
        <v>Solicitud de entrega de avance  PMI el 20 de agosto</v>
      </c>
    </row>
    <row r="972" spans="1:21" s="1" customFormat="1" ht="48">
      <c r="A972" s="69">
        <f>IF([7]PRIORIZADOS!A45="","",[7]PRIORIZADOS!A45)</f>
        <v>918</v>
      </c>
      <c r="B972" s="87">
        <f>IFERROR(IF(VLOOKUP(A972,[7]PRIORIZADOS!$A:$B,2,FALSE)="","",VLOOKUP(A972,[7]PRIORIZADOS!$A:$B,2,FALSE)),"")</f>
        <v>5</v>
      </c>
      <c r="C972" s="11" t="str">
        <f>IFERROR(IF(VLOOKUP(A972,[7]PRIORIZADOS!$A:$C,3,FALSE)="","",VLOOKUP(A972,[7]PRIORIZADOS!$A:$C,3,FALSE)),"")</f>
        <v>FONTIBÓN</v>
      </c>
      <c r="D972" s="69" t="str">
        <f>IFERROR(IF(VLOOKUP(A972,[7]PRIORIZADOS!$A:$D,4,FALSE)="","",VLOOKUP(A972,[7]PRIORIZADOS!$A:$D,4,FALSE)),"")</f>
        <v>PRIVADO</v>
      </c>
      <c r="E972" s="69" t="str">
        <f>IFERROR(IF(VLOOKUP(A972,[7]PRIORIZADOS!$A:$E,5,FALSE)="","",VLOOKUP(A972,[7]PRIORIZADOS!$A:$E,5,FALSE)),"")</f>
        <v>EPBM</v>
      </c>
      <c r="F972" s="11" t="str">
        <f>IFERROR(IF(VLOOKUP(A972,[7]PRIORIZADOS!$A:$F,6,FALSE)="","",VLOOKUP(A972,[7]PRIORIZADOS!$A:$F,6,FALSE)),"")</f>
        <v>INSTITUTO_NAZARENO_MODELIA</v>
      </c>
      <c r="G972" s="69" t="str">
        <f>IFERROR(IF(VLOOKUP(A972,[7]PRIORIZADOS!$A:$G,7,FALSE)="","",VLOOKUP(A972,[7]PRIORIZADOS!$A:$G,7,FALSE)),"")</f>
        <v>INSTITUTO_NAZARENO_MODELIA</v>
      </c>
      <c r="H972" s="11" t="str">
        <f>IFERROR(IF(VLOOKUP(A972,[7]PRIORIZADOS!$A:$H,8,FALSE)="","",VLOOKUP(A972,[7]PRIORIZADOS!$A:$H,8,FALSE)),"")</f>
        <v>Autoevaluación Institucional y Pruebas SABER 11</v>
      </c>
      <c r="I972" s="11" t="str">
        <f>IFERROR(IF(VLOOKUP(A972,[7]PRIORIZADOS!$A:$I,9,FALSE)="","",VLOOKUP(A972,[7]PRIORIZADOS!$A:$I,9,FALSE)),"")</f>
        <v>EVALUACIÓN_CON_FINES_DE_MEJORAMIENTO.</v>
      </c>
      <c r="J972" s="11" t="str">
        <f>IFERROR(IF(VLOOKUP(A972,[7]PRIORIZADOS!$A:$J,10,FALSE)="","",VLOOKUP(A972,[7]PRIORIZADOS!$A:$J,10,FALSE)),"")</f>
        <v>Revisar el calendario escolar, jornada escolar, la intensidad horaria mínima anual en cada nivel y las modificaciones que se realicen al mismo, de acuerdo con lo previsto en la normatividad vigente.</v>
      </c>
      <c r="K972" s="11" t="str">
        <f>IFERROR(IF(VLOOKUP(A972,[7]PRIORIZADOS!$A:$K,11,FALSE)="","",VLOOKUP(A972,[7]PRIORIZADOS!$A:$K,11,FALSE)),"")</f>
        <v>MARITZA SARMIENTO VANEGAS</v>
      </c>
      <c r="L972" s="11" t="str">
        <f>IFERROR(IF(VLOOKUP(A972,[7]PRIORIZADOS!$A:$L,12,FALSE)="","",VLOOKUP(A972,[7]PRIORIZADOS!$A:$L,12,FALSE)),"")</f>
        <v>GLORIA INES AMAYA RAMÍREZ</v>
      </c>
      <c r="M972" s="156">
        <f>IFERROR(IF(VLOOKUP(A972,[7]PRIORIZADOS!$A:$M,13,FALSE)="","",VLOOKUP(A972,[7]PRIORIZADOS!$A:$M,13,FALSE)),"")</f>
        <v>45776</v>
      </c>
      <c r="N972" s="156">
        <f>IFERROR(IF(VLOOKUP(A972,[7]PRIORIZADOS!$A:$N,14,FALSE)="","",VLOOKUP(A972,[7]PRIORIZADOS!$A:$N,14,FALSE)),"")</f>
        <v>45793</v>
      </c>
      <c r="O972" s="156">
        <f>IFERROR(IF(VLOOKUP(A972,[7]PRIORIZADOS!$A:$O,15,FALSE)="","",VLOOKUP(A972,[7]PRIORIZADOS!$A:$O,15,FALSE)),"")</f>
        <v>45793</v>
      </c>
      <c r="P972" s="11" t="str">
        <f>IFERROR(IF(VLOOKUP(A972,[7]PRIORIZADOS!$A:$P,16,FALSE)="","",VLOOKUP(A972,[7]PRIORIZADOS!$A:$P,16,FALSE)),"")</f>
        <v>Visitas de evaluación con fines de mejoramiento</v>
      </c>
      <c r="Q972" s="7" t="s">
        <v>170</v>
      </c>
      <c r="R972" s="11" t="str">
        <f>IFERROR(IF(VLOOKUP(A972,[7]PRIORIZADOS!$A:$R,18,FALSE)="","",VLOOKUP(A972,[7]PRIORIZADOS!$A:$R,18,FALSE)),"")</f>
        <v>Calendario escolar ajustado a norma para los niveles de básica y media</v>
      </c>
      <c r="S972" s="11" t="str">
        <f>IFERROR(IF(VLOOKUP(A972,[7]PRIORIZADOS!$A:$S,19,FALSE)="","",VLOOKUP(A972,[7]PRIORIZADOS!$A:$S,19,FALSE)),"")</f>
        <v>Continuar con la implementación del calendario según las fechas definidas para los períodos de desarrollo académico y recesos.</v>
      </c>
      <c r="T972" s="70" t="str">
        <f>IFERROR(IF(VLOOKUP(A972,[7]PRIORIZADOS!$A:$T,20,FALSE)="","",VLOOKUP(A972,[7]PRIORIZADOS!$A:$T,20,FALSE)),"")</f>
        <v>No</v>
      </c>
      <c r="U972" s="11" t="str">
        <f>IFERROR(IF(VLOOKUP(A972,[7]PRIORIZADOS!$A:$U,21,FALSE)="","",VLOOKUP(A972,[7]PRIORIZADOS!$A:$U,21,FALSE)),"")</f>
        <v>Verificar la elaboración y socialización del calendario para la siguiente vigencia o en caso de presentarse queja.</v>
      </c>
    </row>
    <row r="973" spans="1:21" s="1" customFormat="1" ht="48">
      <c r="A973" s="69">
        <f>IF([7]PRIORIZADOS!A46="","",[7]PRIORIZADOS!A46)</f>
        <v>919</v>
      </c>
      <c r="B973" s="87">
        <f>IFERROR(IF(VLOOKUP(A973,[7]PRIORIZADOS!$A:$B,2,FALSE)="","",VLOOKUP(A973,[7]PRIORIZADOS!$A:$B,2,FALSE)),"")</f>
        <v>5</v>
      </c>
      <c r="C973" s="11" t="str">
        <f>IFERROR(IF(VLOOKUP(A973,[7]PRIORIZADOS!$A:$C,3,FALSE)="","",VLOOKUP(A973,[7]PRIORIZADOS!$A:$C,3,FALSE)),"")</f>
        <v>FONTIBÓN</v>
      </c>
      <c r="D973" s="69" t="str">
        <f>IFERROR(IF(VLOOKUP(A973,[7]PRIORIZADOS!$A:$D,4,FALSE)="","",VLOOKUP(A973,[7]PRIORIZADOS!$A:$D,4,FALSE)),"")</f>
        <v>PRIVADO</v>
      </c>
      <c r="E973" s="69" t="str">
        <f>IFERROR(IF(VLOOKUP(A973,[7]PRIORIZADOS!$A:$E,5,FALSE)="","",VLOOKUP(A973,[7]PRIORIZADOS!$A:$E,5,FALSE)),"")</f>
        <v>EPBM</v>
      </c>
      <c r="F973" s="11" t="str">
        <f>IFERROR(IF(VLOOKUP(A973,[7]PRIORIZADOS!$A:$F,6,FALSE)="","",VLOOKUP(A973,[7]PRIORIZADOS!$A:$F,6,FALSE)),"")</f>
        <v>INSTITUTO_NAZARENO_MODELIA</v>
      </c>
      <c r="G973" s="69" t="str">
        <f>IFERROR(IF(VLOOKUP(A973,[7]PRIORIZADOS!$A:$G,7,FALSE)="","",VLOOKUP(A973,[7]PRIORIZADOS!$A:$G,7,FALSE)),"")</f>
        <v>INSTITUTO_NAZARENO_MODELIA</v>
      </c>
      <c r="H973" s="11" t="str">
        <f>IFERROR(IF(VLOOKUP(A973,[7]PRIORIZADOS!$A:$H,8,FALSE)="","",VLOOKUP(A973,[7]PRIORIZADOS!$A:$H,8,FALSE)),"")</f>
        <v>Autoevaluación Institucional y Pruebas SABER 11</v>
      </c>
      <c r="I973" s="11" t="str">
        <f>IFERROR(IF(VLOOKUP(A973,[7]PRIORIZADOS!$A:$I,9,FALSE)="","",VLOOKUP(A973,[7]PRIORIZADOS!$A:$I,9,FALSE)),"")</f>
        <v>EVALUACIÓN_CON_FINES_DE_MEJORAMIENTO.</v>
      </c>
      <c r="J973" s="11" t="str">
        <f>IFERROR(IF(VLOOKUP(A973,[7]PRIORIZADOS!$A:$J,10,FALSE)="","",VLOOKUP(A973,[7]PRIORIZADOS!$A:$J,10,FALSE)),"")</f>
        <v>Verificar el funcionamiento del Gobierno Escolar e instancias de participación con base en la información sobre conformación reportada por la institución educativa.</v>
      </c>
      <c r="K973" s="11" t="str">
        <f>IFERROR(IF(VLOOKUP(A973,[7]PRIORIZADOS!$A:$K,11,FALSE)="","",VLOOKUP(A973,[7]PRIORIZADOS!$A:$K,11,FALSE)),"")</f>
        <v>MARITZA SARMIENTO VANEGAS</v>
      </c>
      <c r="L973" s="11" t="str">
        <f>IFERROR(IF(VLOOKUP(A973,[7]PRIORIZADOS!$A:$L,12,FALSE)="","",VLOOKUP(A973,[7]PRIORIZADOS!$A:$L,12,FALSE)),"")</f>
        <v>GLORIA INES AMAYA RAMÍREZ</v>
      </c>
      <c r="M973" s="156">
        <f>IFERROR(IF(VLOOKUP(A973,[7]PRIORIZADOS!$A:$M,13,FALSE)="","",VLOOKUP(A973,[7]PRIORIZADOS!$A:$M,13,FALSE)),"")</f>
        <v>45776</v>
      </c>
      <c r="N973" s="156">
        <f>IFERROR(IF(VLOOKUP(A973,[7]PRIORIZADOS!$A:$N,14,FALSE)="","",VLOOKUP(A973,[7]PRIORIZADOS!$A:$N,14,FALSE)),"")</f>
        <v>45793</v>
      </c>
      <c r="O973" s="156">
        <f>IFERROR(IF(VLOOKUP(A973,[7]PRIORIZADOS!$A:$O,15,FALSE)="","",VLOOKUP(A973,[7]PRIORIZADOS!$A:$O,15,FALSE)),"")</f>
        <v>45793</v>
      </c>
      <c r="P973" s="11" t="str">
        <f>IFERROR(IF(VLOOKUP(A973,[7]PRIORIZADOS!$A:$P,16,FALSE)="","",VLOOKUP(A973,[7]PRIORIZADOS!$A:$P,16,FALSE)),"")</f>
        <v>Visitas de evaluación con fines de mejoramiento</v>
      </c>
      <c r="Q973" s="7" t="s">
        <v>170</v>
      </c>
      <c r="R973" s="11" t="str">
        <f>IFERROR(IF(VLOOKUP(A973,[7]PRIORIZADOS!$A:$R,18,FALSE)="","",VLOOKUP(A973,[7]PRIORIZADOS!$A:$R,18,FALSE)),"")</f>
        <v>Conformación y operatividad del gobierno escolar  y las instancia de participación  de acuerdo a lo establecido en la normatividad</v>
      </c>
      <c r="S973" s="11" t="str">
        <f>IFERROR(IF(VLOOKUP(A973,[7]PRIORIZADOS!$A:$S,19,FALSE)="","",VLOOKUP(A973,[7]PRIORIZADOS!$A:$S,19,FALSE)),"")</f>
        <v>Continuar con la operatividad del gobierno escolar y las instancias de participación cada dos meses o según corresponda.</v>
      </c>
      <c r="T973" s="70" t="str">
        <f>IFERROR(IF(VLOOKUP(A973,[7]PRIORIZADOS!$A:$T,20,FALSE)="","",VLOOKUP(A973,[7]PRIORIZADOS!$A:$T,20,FALSE)),"")</f>
        <v>No</v>
      </c>
      <c r="U973" s="11" t="str">
        <f>IFERROR(IF(VLOOKUP(A973,[7]PRIORIZADOS!$A:$U,21,FALSE)="","",VLOOKUP(A973,[7]PRIORIZADOS!$A:$U,21,FALSE)),"")</f>
        <v>Se verificará la conformación del gobierno escolar para la siguiente vigencia.</v>
      </c>
    </row>
    <row r="974" spans="1:21" s="1" customFormat="1" ht="48">
      <c r="A974" s="69">
        <f>IF([7]PRIORIZADOS!A47="","",[7]PRIORIZADOS!A47)</f>
        <v>920</v>
      </c>
      <c r="B974" s="87">
        <f>IFERROR(IF(VLOOKUP(A974,[7]PRIORIZADOS!$A:$B,2,FALSE)="","",VLOOKUP(A974,[7]PRIORIZADOS!$A:$B,2,FALSE)),"")</f>
        <v>5</v>
      </c>
      <c r="C974" s="11" t="str">
        <f>IFERROR(IF(VLOOKUP(A974,[7]PRIORIZADOS!$A:$C,3,FALSE)="","",VLOOKUP(A974,[7]PRIORIZADOS!$A:$C,3,FALSE)),"")</f>
        <v>FONTIBÓN</v>
      </c>
      <c r="D974" s="69" t="str">
        <f>IFERROR(IF(VLOOKUP(A974,[7]PRIORIZADOS!$A:$D,4,FALSE)="","",VLOOKUP(A974,[7]PRIORIZADOS!$A:$D,4,FALSE)),"")</f>
        <v>PRIVADO</v>
      </c>
      <c r="E974" s="69" t="str">
        <f>IFERROR(IF(VLOOKUP(A974,[7]PRIORIZADOS!$A:$E,5,FALSE)="","",VLOOKUP(A974,[7]PRIORIZADOS!$A:$E,5,FALSE)),"")</f>
        <v>EPBM</v>
      </c>
      <c r="F974" s="11" t="str">
        <f>IFERROR(IF(VLOOKUP(A974,[7]PRIORIZADOS!$A:$F,6,FALSE)="","",VLOOKUP(A974,[7]PRIORIZADOS!$A:$F,6,FALSE)),"")</f>
        <v>INSTITUTO_NAZARENO_MODELIA</v>
      </c>
      <c r="G974" s="69" t="str">
        <f>IFERROR(IF(VLOOKUP(A974,[7]PRIORIZADOS!$A:$G,7,FALSE)="","",VLOOKUP(A974,[7]PRIORIZADOS!$A:$G,7,FALSE)),"")</f>
        <v>INSTITUTO_NAZARENO_MODELIA</v>
      </c>
      <c r="H974" s="11" t="str">
        <f>IFERROR(IF(VLOOKUP(A974,[7]PRIORIZADOS!$A:$H,8,FALSE)="","",VLOOKUP(A974,[7]PRIORIZADOS!$A:$H,8,FALSE)),"")</f>
        <v>Autoevaluación Institucional y Pruebas SABER 11</v>
      </c>
      <c r="I974" s="11" t="str">
        <f>IFERROR(IF(VLOOKUP(A974,[7]PRIORIZADOS!$A:$I,9,FALSE)="","",VLOOKUP(A974,[7]PRIORIZADOS!$A:$I,9,FALSE)),"")</f>
        <v>EVALUACIÓN_CON_FINES_DE_MEJORAMIENTO.</v>
      </c>
      <c r="J974" s="11" t="str">
        <f>IFERROR(IF(VLOOKUP(A974,[7]PRIORIZADOS!$A:$J,10,FALSE)="","",VLOOKUP(A974,[7]PRIORIZADOS!$A:$J,10,FALSE)),"")</f>
        <v>Verificar las condiciones en cuanto a: la estructura administrativa, condiciones de la planta física y medios educativos adecuados.</v>
      </c>
      <c r="K974" s="11" t="str">
        <f>IFERROR(IF(VLOOKUP(A974,[7]PRIORIZADOS!$A:$K,11,FALSE)="","",VLOOKUP(A974,[7]PRIORIZADOS!$A:$K,11,FALSE)),"")</f>
        <v>MARITZA SARMIENTO VANEGAS</v>
      </c>
      <c r="L974" s="11" t="str">
        <f>IFERROR(IF(VLOOKUP(A974,[7]PRIORIZADOS!$A:$L,12,FALSE)="","",VLOOKUP(A974,[7]PRIORIZADOS!$A:$L,12,FALSE)),"")</f>
        <v>GLORIA INES AMAYA RAMÍREZ</v>
      </c>
      <c r="M974" s="156">
        <f>IFERROR(IF(VLOOKUP(A974,[7]PRIORIZADOS!$A:$M,13,FALSE)="","",VLOOKUP(A974,[7]PRIORIZADOS!$A:$M,13,FALSE)),"")</f>
        <v>45776</v>
      </c>
      <c r="N974" s="156">
        <f>IFERROR(IF(VLOOKUP(A974,[7]PRIORIZADOS!$A:$N,14,FALSE)="","",VLOOKUP(A974,[7]PRIORIZADOS!$A:$N,14,FALSE)),"")</f>
        <v>45793</v>
      </c>
      <c r="O974" s="156">
        <f>IFERROR(IF(VLOOKUP(A974,[7]PRIORIZADOS!$A:$O,15,FALSE)="","",VLOOKUP(A974,[7]PRIORIZADOS!$A:$O,15,FALSE)),"")</f>
        <v>45793</v>
      </c>
      <c r="P974" s="11" t="str">
        <f>IFERROR(IF(VLOOKUP(A974,[7]PRIORIZADOS!$A:$P,16,FALSE)="","",VLOOKUP(A974,[7]PRIORIZADOS!$A:$P,16,FALSE)),"")</f>
        <v>Visitas de evaluación con fines de mejoramiento</v>
      </c>
      <c r="Q974" s="8" t="s">
        <v>170</v>
      </c>
      <c r="R974" s="11" t="str">
        <f>IFERROR(IF(VLOOKUP(A974,[7]PRIORIZADOS!$A:$R,18,FALSE)="","",VLOOKUP(A974,[7]PRIORIZADOS!$A:$R,18,FALSE)),"")</f>
        <v>Las condiciones presentadas cumple con lo exigido por la normatividad vigente  para la prestación del servicio educativo</v>
      </c>
      <c r="S974" s="11" t="str">
        <f>IFERROR(IF(VLOOKUP(A974,[7]PRIORIZADOS!$A:$S,19,FALSE)="","",VLOOKUP(A974,[7]PRIORIZADOS!$A:$S,19,FALSE)),"")</f>
        <v>Continuar con las gestiones necesarias para mantener el nivel del servicio educativo en relación con la planta física y demás recursos.</v>
      </c>
      <c r="T974" s="70" t="str">
        <f>IFERROR(IF(VLOOKUP(A974,[7]PRIORIZADOS!$A:$T,20,FALSE)="","",VLOOKUP(A974,[7]PRIORIZADOS!$A:$T,20,FALSE)),"")</f>
        <v>No</v>
      </c>
      <c r="U974" s="11" t="str">
        <f>IFERROR(IF(VLOOKUP(A974,[7]PRIORIZADOS!$A:$U,21,FALSE)="","",VLOOKUP(A974,[7]PRIORIZADOS!$A:$U,21,FALSE)),"")</f>
        <v>Se hará nueva verificación de esta actividad en caso de presentarse queja.</v>
      </c>
    </row>
    <row r="975" spans="1:21" s="1" customFormat="1" ht="72">
      <c r="A975" s="69">
        <f>IF([7]PRIORIZADOS!A48="","",[7]PRIORIZADOS!A48)</f>
        <v>922</v>
      </c>
      <c r="B975" s="87">
        <f>IFERROR(IF(VLOOKUP(A975,[7]PRIORIZADOS!$A:$B,2,FALSE)="","",VLOOKUP(A975,[7]PRIORIZADOS!$A:$B,2,FALSE)),"")</f>
        <v>6</v>
      </c>
      <c r="C975" s="11" t="str">
        <f>IFERROR(IF(VLOOKUP(A975,[7]PRIORIZADOS!$A:$C,3,FALSE)="","",VLOOKUP(A975,[7]PRIORIZADOS!$A:$C,3,FALSE)),"")</f>
        <v>FONTIBÓN</v>
      </c>
      <c r="D975" s="69" t="str">
        <f>IFERROR(IF(VLOOKUP(A975,[7]PRIORIZADOS!$A:$D,4,FALSE)="","",VLOOKUP(A975,[7]PRIORIZADOS!$A:$D,4,FALSE)),"")</f>
        <v>PRIVADO</v>
      </c>
      <c r="E975" s="69" t="str">
        <f>IFERROR(IF(VLOOKUP(A975,[7]PRIORIZADOS!$A:$E,5,FALSE)="","",VLOOKUP(A975,[7]PRIORIZADOS!$A:$E,5,FALSE)),"")</f>
        <v>EPBM</v>
      </c>
      <c r="F975" s="11" t="str">
        <f>IFERROR(IF(VLOOKUP(A975,[7]PRIORIZADOS!$A:$F,6,FALSE)="","",VLOOKUP(A975,[7]PRIORIZADOS!$A:$F,6,FALSE)),"")</f>
        <v>COLEGIO_MILITAR_JOSE_ANTONIO_GALAN</v>
      </c>
      <c r="G975" s="69" t="str">
        <f>IFERROR(IF(VLOOKUP(A975,[7]PRIORIZADOS!$A:$G,7,FALSE)="","",VLOOKUP(A975,[7]PRIORIZADOS!$A:$G,7,FALSE)),"")</f>
        <v>COLEGIO_MILITAR_JOSE_ANTONIO_GALAN</v>
      </c>
      <c r="H975" s="11" t="str">
        <f>IFERROR(IF(VLOOKUP(A975,[7]PRIORIZADOS!$A:$H,8,FALSE)="","",VLOOKUP(A975,[7]PRIORIZADOS!$A:$H,8,FALSE)),"")</f>
        <v>Autoevaluación Institucional y Pruebas SABER 11</v>
      </c>
      <c r="I975" s="11" t="str">
        <f>IFERROR(IF(VLOOKUP(A975,[7]PRIORIZADOS!$A:$I,9,FALSE)="","",VLOOKUP(A975,[7]PRIORIZADOS!$A:$I,9,FALSE)),"")</f>
        <v>SEGUIMIENTO_Y_SUPERVISIÓN.</v>
      </c>
      <c r="J975" s="11" t="str">
        <f>IFERROR(IF(VLOOKUP(A975,[7]PRIORIZADOS!$A:$J,10,FALSE)="","",VLOOKUP(A975,[7]PRIORIZADOS!$A:$J,10,FALSE)),"")</f>
        <v>Proponer estrategias en la formulación, verificar su elaboración y realizar seguimiento semestral al desarrollo de  las acciones establecidas en los planes de mejoramiento por pruebas SABER 11 de los establecimientos de educación formal.</v>
      </c>
      <c r="K975" s="11" t="str">
        <f>IFERROR(IF(VLOOKUP(A975,[7]PRIORIZADOS!$A:$K,11,FALSE)="","",VLOOKUP(A975,[7]PRIORIZADOS!$A:$K,11,FALSE)),"")</f>
        <v>JOSÉ GUILLERMO ALARCÓN CUALLA</v>
      </c>
      <c r="L975" s="11" t="str">
        <f>IFERROR(IF(VLOOKUP(A975,[7]PRIORIZADOS!$A:$L,12,FALSE)="","",VLOOKUP(A975,[7]PRIORIZADOS!$A:$L,12,FALSE)),"")</f>
        <v>JAIME GABRIEL GONZÁLEZ GAMBOA</v>
      </c>
      <c r="M975" s="156">
        <f>IFERROR(IF(VLOOKUP(A975,[7]PRIORIZADOS!$A:$M,13,FALSE)="","",VLOOKUP(A975,[7]PRIORIZADOS!$A:$M,13,FALSE)),"")</f>
        <v>45806</v>
      </c>
      <c r="N975" s="156">
        <f>IFERROR(IF(VLOOKUP(A975,[7]PRIORIZADOS!$A:$N,14,FALSE)="","",VLOOKUP(A975,[7]PRIORIZADOS!$A:$N,14,FALSE)),"")</f>
        <v>45804</v>
      </c>
      <c r="O975" s="156">
        <f>IFERROR(IF(VLOOKUP(A975,[7]PRIORIZADOS!$A:$O,15,FALSE)="","",VLOOKUP(A975,[7]PRIORIZADOS!$A:$O,15,FALSE)),"")</f>
        <v>45804</v>
      </c>
      <c r="P975" s="11" t="str">
        <f>IFERROR(IF(VLOOKUP(A975,[7]PRIORIZADOS!$A:$P,16,FALSE)="","",VLOOKUP(A975,[7]PRIORIZADOS!$A:$P,16,FALSE)),"")</f>
        <v>Visitas de evaluación con fines de mejoramiento</v>
      </c>
      <c r="Q975" s="2" t="s">
        <v>171</v>
      </c>
      <c r="R975" s="11" t="str">
        <f>IFERROR(IF(VLOOKUP(A975,[7]PRIORIZADOS!$A:$R,18,FALSE)="","",VLOOKUP(A975,[7]PRIORIZADOS!$A:$R,18,FALSE)),"")</f>
        <v>La institución educativa tiene una estrategia de preparación para las pruebas saber y manifiesta que sus logros se deben al desarrollo de esta y a los compromisos de los docentes. Se encuentra clasificado en la categoría A.</v>
      </c>
      <c r="S975" s="11" t="str">
        <f>IFERROR(IF(VLOOKUP(A975,[7]PRIORIZADOS!$A:$S,19,FALSE)="","",VLOOKUP(A975,[7]PRIORIZADOS!$A:$S,19,FALSE)),"")</f>
        <v>Seguir implementando esta estrategia para lograr mayores avances en estas pruebas</v>
      </c>
      <c r="T975" s="70" t="str">
        <f>IFERROR(IF(VLOOKUP(A975,[7]PRIORIZADOS!$A:$T,20,FALSE)="","",VLOOKUP(A975,[7]PRIORIZADOS!$A:$T,20,FALSE)),"")</f>
        <v>No</v>
      </c>
      <c r="U975" s="11" t="str">
        <f>IFERROR(IF(VLOOKUP(A975,[7]PRIORIZADOS!$A:$U,21,FALSE)="","",VLOOKUP(A975,[7]PRIORIZADOS!$A:$U,21,FALSE)),"")</f>
        <v>Se verificará el desempeño de los estudiantes en las pruebas SABER 2025.</v>
      </c>
    </row>
    <row r="976" spans="1:21" s="1" customFormat="1" ht="99.75" customHeight="1">
      <c r="A976" s="69">
        <f>IF([7]PRIORIZADOS!A49="","",[7]PRIORIZADOS!A49)</f>
        <v>923</v>
      </c>
      <c r="B976" s="87">
        <f>IFERROR(IF(VLOOKUP(A976,[7]PRIORIZADOS!$A:$B,2,FALSE)="","",VLOOKUP(A976,[7]PRIORIZADOS!$A:$B,2,FALSE)),"")</f>
        <v>6</v>
      </c>
      <c r="C976" s="11" t="str">
        <f>IFERROR(IF(VLOOKUP(A976,[7]PRIORIZADOS!$A:$C,3,FALSE)="","",VLOOKUP(A976,[7]PRIORIZADOS!$A:$C,3,FALSE)),"")</f>
        <v>FONTIBÓN</v>
      </c>
      <c r="D976" s="69" t="str">
        <f>IFERROR(IF(VLOOKUP(A976,[7]PRIORIZADOS!$A:$D,4,FALSE)="","",VLOOKUP(A976,[7]PRIORIZADOS!$A:$D,4,FALSE)),"")</f>
        <v>PRIVADO</v>
      </c>
      <c r="E976" s="69" t="str">
        <f>IFERROR(IF(VLOOKUP(A976,[7]PRIORIZADOS!$A:$E,5,FALSE)="","",VLOOKUP(A976,[7]PRIORIZADOS!$A:$E,5,FALSE)),"")</f>
        <v>EPBM</v>
      </c>
      <c r="F976" s="11" t="str">
        <f>IFERROR(IF(VLOOKUP(A976,[7]PRIORIZADOS!$A:$F,6,FALSE)="","",VLOOKUP(A976,[7]PRIORIZADOS!$A:$F,6,FALSE)),"")</f>
        <v>COLEGIO_MILITAR_JOSE_ANTONIO_GALAN</v>
      </c>
      <c r="G976" s="69" t="str">
        <f>IFERROR(IF(VLOOKUP(A976,[7]PRIORIZADOS!$A:$G,7,FALSE)="","",VLOOKUP(A976,[7]PRIORIZADOS!$A:$G,7,FALSE)),"")</f>
        <v>COLEGIO_MILITAR_JOSE_ANTONIO_GALAN</v>
      </c>
      <c r="H976" s="11" t="str">
        <f>IFERROR(IF(VLOOKUP(A976,[7]PRIORIZADOS!$A:$H,8,FALSE)="","",VLOOKUP(A976,[7]PRIORIZADOS!$A:$H,8,FALSE)),"")</f>
        <v>Autoevaluación Institucional y Pruebas SABER 11</v>
      </c>
      <c r="I976" s="11" t="str">
        <f>IFERROR(IF(VLOOKUP(A976,[7]PRIORIZADOS!$A:$I,9,FALSE)="","",VLOOKUP(A976,[7]PRIORIZADOS!$A:$I,9,FALSE)),"")</f>
        <v>SEGUIMIENTO_Y_SUPERVISIÓN.</v>
      </c>
      <c r="J976" s="11" t="str">
        <f>IFERROR(IF(VLOOKUP(A976,[7]PRIORIZADOS!$A:$J,10,FALSE)="","",VLOOKUP(A976,[7]PRIORIZADOS!$A:$J,10,FALSE)),"")</f>
        <v xml:space="preserve">Verificar la implementación por parte de los colegios, de acciones realizadas para la prevención y atención de las situaciones de convivencia en el entorno escolar, según lo establecido en la Directiva 01 de 2022 del MEN. </v>
      </c>
      <c r="K976" s="11" t="str">
        <f>IFERROR(IF(VLOOKUP(A976,[7]PRIORIZADOS!$A:$K,11,FALSE)="","",VLOOKUP(A976,[7]PRIORIZADOS!$A:$K,11,FALSE)),"")</f>
        <v>JOSÉ GUILLERMO ALARCÓN CUALLA</v>
      </c>
      <c r="L976" s="11" t="str">
        <f>IFERROR(IF(VLOOKUP(A976,[7]PRIORIZADOS!$A:$L,12,FALSE)="","",VLOOKUP(A976,[7]PRIORIZADOS!$A:$L,12,FALSE)),"")</f>
        <v>JAIME GABRIEL GONZÁLEZ GAMBOA</v>
      </c>
      <c r="M976" s="156">
        <f>IFERROR(IF(VLOOKUP(A976,[7]PRIORIZADOS!$A:$M,13,FALSE)="","",VLOOKUP(A976,[7]PRIORIZADOS!$A:$M,13,FALSE)),"")</f>
        <v>45806</v>
      </c>
      <c r="N976" s="156">
        <f>IFERROR(IF(VLOOKUP(A976,[7]PRIORIZADOS!$A:$N,14,FALSE)="","",VLOOKUP(A976,[7]PRIORIZADOS!$A:$N,14,FALSE)),"")</f>
        <v>45804</v>
      </c>
      <c r="O976" s="156">
        <f>IFERROR(IF(VLOOKUP(A976,[7]PRIORIZADOS!$A:$O,15,FALSE)="","",VLOOKUP(A976,[7]PRIORIZADOS!$A:$O,15,FALSE)),"")</f>
        <v>45804</v>
      </c>
      <c r="P976" s="11" t="str">
        <f>IFERROR(IF(VLOOKUP(A976,[7]PRIORIZADOS!$A:$P,16,FALSE)="","",VLOOKUP(A976,[7]PRIORIZADOS!$A:$P,16,FALSE)),"")</f>
        <v>Visitas de evaluación con fines de mejoramiento</v>
      </c>
      <c r="Q976" s="2" t="s">
        <v>171</v>
      </c>
      <c r="R976" s="11" t="str">
        <f>IFERROR(IF(VLOOKUP(A976,[7]PRIORIZADOS!$A:$R,18,FALSE)="","",VLOOKUP(A976,[7]PRIORIZADOS!$A:$R,18,FALSE)),"")</f>
        <v>Se desarrollan actividades pedagógico - formativas en los  componente de prevención y promoción de la ruta de atención integral.
La institución periódicamente realiza la verificación sobre reporte de delitos sexuales del personal contratado.</v>
      </c>
      <c r="S976" s="11" t="str">
        <f>IFERROR(IF(VLOOKUP(A976,[7]PRIORIZADOS!$A:$S,19,FALSE)="","",VLOOKUP(A976,[7]PRIORIZADOS!$A:$S,19,FALSE)),"")</f>
        <v>Continuar con la aplicación de las estrategias de prevención, promoción y seguimiento por parte del Comité de Convivencia Escolar. Así mismo, la actualización de certificados, los cuales se deben realizar en los términos establecidos en la norma.</v>
      </c>
      <c r="T976" s="70" t="str">
        <f>IFERROR(IF(VLOOKUP(A976,[7]PRIORIZADOS!$A:$T,20,FALSE)="","",VLOOKUP(A976,[7]PRIORIZADOS!$A:$T,20,FALSE)),"")</f>
        <v>No</v>
      </c>
      <c r="U976" s="11" t="str">
        <f>IFERROR(IF(VLOOKUP(A976,[7]PRIORIZADOS!$A:$U,21,FALSE)="","",VLOOKUP(A976,[7]PRIORIZADOS!$A:$U,21,FALSE)),"")</f>
        <v>Se verificarán nuevamente los componentes de la Directa 01 de 2022 en caso de presentarse queja.</v>
      </c>
    </row>
    <row r="977" spans="1:21" s="1" customFormat="1" ht="99.75" customHeight="1">
      <c r="A977" s="69">
        <f>IF([7]PRIORIZADOS!A50="","",[7]PRIORIZADOS!A50)</f>
        <v>924</v>
      </c>
      <c r="B977" s="87">
        <f>IFERROR(IF(VLOOKUP(A977,[7]PRIORIZADOS!$A:$B,2,FALSE)="","",VLOOKUP(A977,[7]PRIORIZADOS!$A:$B,2,FALSE)),"")</f>
        <v>6</v>
      </c>
      <c r="C977" s="11" t="str">
        <f>IFERROR(IF(VLOOKUP(A977,[7]PRIORIZADOS!$A:$C,3,FALSE)="","",VLOOKUP(A977,[7]PRIORIZADOS!$A:$C,3,FALSE)),"")</f>
        <v>FONTIBÓN</v>
      </c>
      <c r="D977" s="69" t="str">
        <f>IFERROR(IF(VLOOKUP(A977,[7]PRIORIZADOS!$A:$D,4,FALSE)="","",VLOOKUP(A977,[7]PRIORIZADOS!$A:$D,4,FALSE)),"")</f>
        <v>PRIVADO</v>
      </c>
      <c r="E977" s="69" t="str">
        <f>IFERROR(IF(VLOOKUP(A977,[7]PRIORIZADOS!$A:$E,5,FALSE)="","",VLOOKUP(A977,[7]PRIORIZADOS!$A:$E,5,FALSE)),"")</f>
        <v>EPBM</v>
      </c>
      <c r="F977" s="11" t="str">
        <f>IFERROR(IF(VLOOKUP(A977,[7]PRIORIZADOS!$A:$F,6,FALSE)="","",VLOOKUP(A977,[7]PRIORIZADOS!$A:$F,6,FALSE)),"")</f>
        <v>COLEGIO_MILITAR_JOSE_ANTONIO_GALAN</v>
      </c>
      <c r="G977" s="69" t="str">
        <f>IFERROR(IF(VLOOKUP(A977,[7]PRIORIZADOS!$A:$G,7,FALSE)="","",VLOOKUP(A977,[7]PRIORIZADOS!$A:$G,7,FALSE)),"")</f>
        <v>COLEGIO_MILITAR_JOSE_ANTONIO_GALAN</v>
      </c>
      <c r="H977" s="11" t="str">
        <f>IFERROR(IF(VLOOKUP(A977,[7]PRIORIZADOS!$A:$H,8,FALSE)="","",VLOOKUP(A977,[7]PRIORIZADOS!$A:$H,8,FALSE)),"")</f>
        <v>Autoevaluación Institucional y Pruebas SABER 11</v>
      </c>
      <c r="I977" s="11" t="str">
        <f>IFERROR(IF(VLOOKUP(A977,[7]PRIORIZADOS!$A:$I,9,FALSE)="","",VLOOKUP(A977,[7]PRIORIZADOS!$A:$I,9,FALSE)),"")</f>
        <v>SEGUIMIENTO_Y_SUPERVISIÓN.</v>
      </c>
      <c r="J977" s="11" t="str">
        <f>IFERROR(IF(VLOOKUP(A977,[7]PRIORIZADOS!$A:$J,10,FALSE)="","",VLOOKUP(A977,[7]PRIORIZADOS!$A:$J,10,FALSE)),"")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77" s="11" t="str">
        <f>IFERROR(IF(VLOOKUP(A977,[7]PRIORIZADOS!$A:$K,11,FALSE)="","",VLOOKUP(A977,[7]PRIORIZADOS!$A:$K,11,FALSE)),"")</f>
        <v>JOSÉ GUILLERMO ALARCÓN CUALLA</v>
      </c>
      <c r="L977" s="11" t="str">
        <f>IFERROR(IF(VLOOKUP(A977,[7]PRIORIZADOS!$A:$L,12,FALSE)="","",VLOOKUP(A977,[7]PRIORIZADOS!$A:$L,12,FALSE)),"")</f>
        <v>JAIME GABRIEL GONZÁLEZ GAMBOA</v>
      </c>
      <c r="M977" s="156">
        <f>IFERROR(IF(VLOOKUP(A977,[7]PRIORIZADOS!$A:$M,13,FALSE)="","",VLOOKUP(A977,[7]PRIORIZADOS!$A:$M,13,FALSE)),"")</f>
        <v>45806</v>
      </c>
      <c r="N977" s="156">
        <f>IFERROR(IF(VLOOKUP(A977,[7]PRIORIZADOS!$A:$N,14,FALSE)="","",VLOOKUP(A977,[7]PRIORIZADOS!$A:$N,14,FALSE)),"")</f>
        <v>45804</v>
      </c>
      <c r="O977" s="156">
        <f>IFERROR(IF(VLOOKUP(A977,[7]PRIORIZADOS!$A:$O,15,FALSE)="","",VLOOKUP(A977,[7]PRIORIZADOS!$A:$O,15,FALSE)),"")</f>
        <v>45804</v>
      </c>
      <c r="P977" s="11" t="str">
        <f>IFERROR(IF(VLOOKUP(A977,[7]PRIORIZADOS!$A:$P,16,FALSE)="","",VLOOKUP(A977,[7]PRIORIZADOS!$A:$P,16,FALSE)),"")</f>
        <v>Visitas de evaluación con fines de mejoramiento</v>
      </c>
      <c r="Q977" s="2" t="s">
        <v>171</v>
      </c>
      <c r="R977" s="11" t="str">
        <f>IFERROR(IF(VLOOKUP(A977,[7]PRIORIZADOS!$A:$R,18,FALSE)="","",VLOOKUP(A977,[7]PRIORIZADOS!$A:$R,18,FALSE)),"")</f>
        <v>La institución no registra  estudiantes en condición de discapacidad; sin embargo, en el SIMAT se registran algunos estudiantes en dicha situación.</v>
      </c>
      <c r="S977" s="11" t="str">
        <f>IFERROR(IF(VLOOKUP(A977,[7]PRIORIZADOS!$A:$S,19,FALSE)="","",VLOOKUP(A977,[7]PRIORIZADOS!$A:$S,19,FALSE)),"")</f>
        <v>La institución debe dirigir comunicación a los padres de familia y a la institución educativa anterior, para que se actualice la información registrada en el SIMAT, el estado y la cifra real de esta población.</v>
      </c>
      <c r="T977" s="70" t="str">
        <f>IFERROR(IF(VLOOKUP(A977,[7]PRIORIZADOS!$A:$T,20,FALSE)="","",VLOOKUP(A977,[7]PRIORIZADOS!$A:$T,20,FALSE)),"")</f>
        <v>No</v>
      </c>
      <c r="U977" s="11" t="str">
        <f>IFERROR(IF(VLOOKUP(A977,[7]PRIORIZADOS!$A:$U,21,FALSE)="","",VLOOKUP(A977,[7]PRIORIZADOS!$A:$U,21,FALSE)),"")</f>
        <v>Revisión de la información actualiza en SIMAT, para la siguiente vigencia.</v>
      </c>
    </row>
    <row r="978" spans="1:21" s="1" customFormat="1" ht="99.75" customHeight="1">
      <c r="A978" s="69">
        <f>IF([7]PRIORIZADOS!A51="","",[7]PRIORIZADOS!A51)</f>
        <v>925</v>
      </c>
      <c r="B978" s="87">
        <f>IFERROR(IF(VLOOKUP(A978,[7]PRIORIZADOS!$A:$B,2,FALSE)="","",VLOOKUP(A978,[7]PRIORIZADOS!$A:$B,2,FALSE)),"")</f>
        <v>6</v>
      </c>
      <c r="C978" s="11" t="str">
        <f>IFERROR(IF(VLOOKUP(A978,[7]PRIORIZADOS!$A:$C,3,FALSE)="","",VLOOKUP(A978,[7]PRIORIZADOS!$A:$C,3,FALSE)),"")</f>
        <v>FONTIBÓN</v>
      </c>
      <c r="D978" s="69" t="str">
        <f>IFERROR(IF(VLOOKUP(A978,[7]PRIORIZADOS!$A:$D,4,FALSE)="","",VLOOKUP(A978,[7]PRIORIZADOS!$A:$D,4,FALSE)),"")</f>
        <v>PRIVADO</v>
      </c>
      <c r="E978" s="69" t="str">
        <f>IFERROR(IF(VLOOKUP(A978,[7]PRIORIZADOS!$A:$E,5,FALSE)="","",VLOOKUP(A978,[7]PRIORIZADOS!$A:$E,5,FALSE)),"")</f>
        <v>EPBM</v>
      </c>
      <c r="F978" s="11" t="str">
        <f>IFERROR(IF(VLOOKUP(A978,[7]PRIORIZADOS!$A:$F,6,FALSE)="","",VLOOKUP(A978,[7]PRIORIZADOS!$A:$F,6,FALSE)),"")</f>
        <v>COLEGIO_MILITAR_JOSE_ANTONIO_GALAN</v>
      </c>
      <c r="G978" s="69" t="str">
        <f>IFERROR(IF(VLOOKUP(A978,[7]PRIORIZADOS!$A:$G,7,FALSE)="","",VLOOKUP(A978,[7]PRIORIZADOS!$A:$G,7,FALSE)),"")</f>
        <v>COLEGIO_MILITAR_JOSE_ANTONIO_GALAN</v>
      </c>
      <c r="H978" s="11" t="str">
        <f>IFERROR(IF(VLOOKUP(A978,[7]PRIORIZADOS!$A:$H,8,FALSE)="","",VLOOKUP(A978,[7]PRIORIZADOS!$A:$H,8,FALSE)),"")</f>
        <v>Autoevaluación Institucional y Pruebas SABER 11</v>
      </c>
      <c r="I978" s="11" t="str">
        <f>IFERROR(IF(VLOOKUP(A978,[7]PRIORIZADOS!$A:$I,9,FALSE)="","",VLOOKUP(A978,[7]PRIORIZADOS!$A:$I,9,FALSE)),"")</f>
        <v>EVALUACIÓN_CON_FINES_DE_MEJORAMIENTO.</v>
      </c>
      <c r="J978" s="11" t="str">
        <f>IFERROR(IF(VLOOKUP(A978,[7]PRIORIZADOS!$A:$J,10,FALSE)="","",VLOOKUP(A978,[7]PRIORIZADOS!$A:$J,10,FALSE)),"")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78" s="11" t="str">
        <f>IFERROR(IF(VLOOKUP(A978,[7]PRIORIZADOS!$A:$K,11,FALSE)="","",VLOOKUP(A978,[7]PRIORIZADOS!$A:$K,11,FALSE)),"")</f>
        <v>JOSÉ GUILLERMO ALARCÓN CUALLA</v>
      </c>
      <c r="L978" s="11" t="str">
        <f>IFERROR(IF(VLOOKUP(A978,[7]PRIORIZADOS!$A:$L,12,FALSE)="","",VLOOKUP(A978,[7]PRIORIZADOS!$A:$L,12,FALSE)),"")</f>
        <v>JAIME GABRIEL GONZÁLEZ GAMBOA</v>
      </c>
      <c r="M978" s="156">
        <f>IFERROR(IF(VLOOKUP(A978,[7]PRIORIZADOS!$A:$M,13,FALSE)="","",VLOOKUP(A978,[7]PRIORIZADOS!$A:$M,13,FALSE)),"")</f>
        <v>45806</v>
      </c>
      <c r="N978" s="156">
        <f>IFERROR(IF(VLOOKUP(A978,[7]PRIORIZADOS!$A:$N,14,FALSE)="","",VLOOKUP(A978,[7]PRIORIZADOS!$A:$N,14,FALSE)),"")</f>
        <v>45804</v>
      </c>
      <c r="O978" s="156">
        <f>IFERROR(IF(VLOOKUP(A978,[7]PRIORIZADOS!$A:$O,15,FALSE)="","",VLOOKUP(A978,[7]PRIORIZADOS!$A:$O,15,FALSE)),"")</f>
        <v>45804</v>
      </c>
      <c r="P978" s="11" t="str">
        <f>IFERROR(IF(VLOOKUP(A978,[7]PRIORIZADOS!$A:$P,16,FALSE)="","",VLOOKUP(A978,[7]PRIORIZADOS!$A:$P,16,FALSE)),"")</f>
        <v>Visitas de evaluación con fines de mejoramiento</v>
      </c>
      <c r="Q978" s="2" t="s">
        <v>171</v>
      </c>
      <c r="R978" s="11" t="str">
        <f>IFERROR(IF(VLOOKUP(A978,[7]PRIORIZADOS!$A:$R,18,FALSE)="","",VLOOKUP(A978,[7]PRIORIZADOS!$A:$R,18,FALSE)),"")</f>
        <v>El manual de convivencia está actualizado para el 2025, se debe ajustar la conformación del Comité de Convivencia, respeto a sus integrantes, de acuerdo con lo establecido en la normatividad vigente.</v>
      </c>
      <c r="S978" s="11" t="str">
        <f>IFERROR(IF(VLOOKUP(A978,[7]PRIORIZADOS!$A:$S,19,FALSE)="","",VLOOKUP(A978,[7]PRIORIZADOS!$A:$S,19,FALSE)),"")</f>
        <v>El manual debe ser ajustado en lo permitente al Comité de Convivencia  y entregar la última semana de agosto.</v>
      </c>
      <c r="T978" s="70" t="str">
        <f>IFERROR(IF(VLOOKUP(A978,[7]PRIORIZADOS!$A:$T,20,FALSE)="","",VLOOKUP(A978,[7]PRIORIZADOS!$A:$T,20,FALSE)),"")</f>
        <v>Si</v>
      </c>
      <c r="U978" s="11" t="str">
        <f>IFERROR(IF(VLOOKUP(A978,[7]PRIORIZADOS!$A:$U,21,FALSE)="","",VLOOKUP(A978,[7]PRIORIZADOS!$A:$U,21,FALSE)),"")</f>
        <v>Revisar la propuesta de mejora institucional presentada y hacer seguimiento de acuerdo a fecha planteada.</v>
      </c>
    </row>
    <row r="979" spans="1:21" s="1" customFormat="1" ht="99.75" customHeight="1">
      <c r="A979" s="69">
        <f>IF([7]PRIORIZADOS!A52="","",[7]PRIORIZADOS!A52)</f>
        <v>926</v>
      </c>
      <c r="B979" s="87">
        <f>IFERROR(IF(VLOOKUP(A979,[7]PRIORIZADOS!$A:$B,2,FALSE)="","",VLOOKUP(A979,[7]PRIORIZADOS!$A:$B,2,FALSE)),"")</f>
        <v>6</v>
      </c>
      <c r="C979" s="11" t="str">
        <f>IFERROR(IF(VLOOKUP(A979,[7]PRIORIZADOS!$A:$C,3,FALSE)="","",VLOOKUP(A979,[7]PRIORIZADOS!$A:$C,3,FALSE)),"")</f>
        <v>FONTIBÓN</v>
      </c>
      <c r="D979" s="69" t="str">
        <f>IFERROR(IF(VLOOKUP(A979,[7]PRIORIZADOS!$A:$D,4,FALSE)="","",VLOOKUP(A979,[7]PRIORIZADOS!$A:$D,4,FALSE)),"")</f>
        <v>PRIVADO</v>
      </c>
      <c r="E979" s="69" t="str">
        <f>IFERROR(IF(VLOOKUP(A979,[7]PRIORIZADOS!$A:$E,5,FALSE)="","",VLOOKUP(A979,[7]PRIORIZADOS!$A:$E,5,FALSE)),"")</f>
        <v>EPBM</v>
      </c>
      <c r="F979" s="11" t="str">
        <f>IFERROR(IF(VLOOKUP(A979,[7]PRIORIZADOS!$A:$F,6,FALSE)="","",VLOOKUP(A979,[7]PRIORIZADOS!$A:$F,6,FALSE)),"")</f>
        <v>COLEGIO_MILITAR_JOSE_ANTONIO_GALAN</v>
      </c>
      <c r="G979" s="69" t="str">
        <f>IFERROR(IF(VLOOKUP(A979,[7]PRIORIZADOS!$A:$G,7,FALSE)="","",VLOOKUP(A979,[7]PRIORIZADOS!$A:$G,7,FALSE)),"")</f>
        <v>COLEGIO_MILITAR_JOSE_ANTONIO_GALAN</v>
      </c>
      <c r="H979" s="11" t="str">
        <f>IFERROR(IF(VLOOKUP(A979,[7]PRIORIZADOS!$A:$H,8,FALSE)="","",VLOOKUP(A979,[7]PRIORIZADOS!$A:$H,8,FALSE)),"")</f>
        <v>Autoevaluación Institucional y Pruebas SABER 11</v>
      </c>
      <c r="I979" s="11" t="str">
        <f>IFERROR(IF(VLOOKUP(A979,[7]PRIORIZADOS!$A:$I,9,FALSE)="","",VLOOKUP(A979,[7]PRIORIZADOS!$A:$I,9,FALSE)),"")</f>
        <v>EVALUACIÓN_CON_FINES_DE_MEJORAMIENTO.</v>
      </c>
      <c r="J979" s="11" t="str">
        <f>IFERROR(IF(VLOOKUP(A979,[7]PRIORIZADOS!$A:$J,10,FALSE)="","",VLOOKUP(A979,[7]PRIORIZADOS!$A:$J,10,FALSE)),"")</f>
        <v>Revisar la actualización, socialización e implementación del Sistema Institucional de Evaluación de Estudiantes - SIEE, en articulación con la actualización del PEI y la normatividad vigente.</v>
      </c>
      <c r="K979" s="11" t="str">
        <f>IFERROR(IF(VLOOKUP(A979,[7]PRIORIZADOS!$A:$K,11,FALSE)="","",VLOOKUP(A979,[7]PRIORIZADOS!$A:$K,11,FALSE)),"")</f>
        <v>JOSÉ GUILLERMO ALARCÓN CUALLA</v>
      </c>
      <c r="L979" s="11" t="str">
        <f>IFERROR(IF(VLOOKUP(A979,[7]PRIORIZADOS!$A:$L,12,FALSE)="","",VLOOKUP(A979,[7]PRIORIZADOS!$A:$L,12,FALSE)),"")</f>
        <v>JAIME GABRIEL GONZÁLEZ GAMBOA</v>
      </c>
      <c r="M979" s="156">
        <f>IFERROR(IF(VLOOKUP(A979,[7]PRIORIZADOS!$A:$M,13,FALSE)="","",VLOOKUP(A979,[7]PRIORIZADOS!$A:$M,13,FALSE)),"")</f>
        <v>45806</v>
      </c>
      <c r="N979" s="156">
        <f>IFERROR(IF(VLOOKUP(A979,[7]PRIORIZADOS!$A:$N,14,FALSE)="","",VLOOKUP(A979,[7]PRIORIZADOS!$A:$N,14,FALSE)),"")</f>
        <v>45804</v>
      </c>
      <c r="O979" s="156">
        <f>IFERROR(IF(VLOOKUP(A979,[7]PRIORIZADOS!$A:$O,15,FALSE)="","",VLOOKUP(A979,[7]PRIORIZADOS!$A:$O,15,FALSE)),"")</f>
        <v>45804</v>
      </c>
      <c r="P979" s="11" t="str">
        <f>IFERROR(IF(VLOOKUP(A979,[7]PRIORIZADOS!$A:$P,16,FALSE)="","",VLOOKUP(A979,[7]PRIORIZADOS!$A:$P,16,FALSE)),"")</f>
        <v>Visitas de evaluación con fines de mejoramiento</v>
      </c>
      <c r="Q979" s="2" t="s">
        <v>171</v>
      </c>
      <c r="R979" s="11" t="str">
        <f>IFERROR(IF(VLOOKUP(A979,[7]PRIORIZADOS!$A:$R,18,FALSE)="","",VLOOKUP(A979,[7]PRIORIZADOS!$A:$R,18,FALSE)),"")</f>
        <v>El SIEE actualizado y coherente con el modelo pedagógico y con las características de formación militar.</v>
      </c>
      <c r="S979" s="11" t="str">
        <f>IFERROR(IF(VLOOKUP(A979,[7]PRIORIZADOS!$A:$S,19,FALSE)="","",VLOOKUP(A979,[7]PRIORIZADOS!$A:$S,19,FALSE)),"")</f>
        <v>Continuar con la implementación de las acciones definidas en el SIEE.</v>
      </c>
      <c r="T979" s="70" t="str">
        <f>IFERROR(IF(VLOOKUP(A979,[7]PRIORIZADOS!$A:$T,20,FALSE)="","",VLOOKUP(A979,[7]PRIORIZADOS!$A:$T,20,FALSE)),"")</f>
        <v>No</v>
      </c>
      <c r="U979" s="11" t="str">
        <f>IFERROR(IF(VLOOKUP(A979,[7]PRIORIZADOS!$A:$U,21,FALSE)="","",VLOOKUP(A979,[7]PRIORIZADOS!$A:$U,21,FALSE)),"")</f>
        <v>Revisar nuevamente el SIEE en caso de presentarse queja.</v>
      </c>
    </row>
    <row r="980" spans="1:21" s="1" customFormat="1" ht="48">
      <c r="A980" s="69">
        <f>IF([7]PRIORIZADOS!A53="","",[7]PRIORIZADOS!A53)</f>
        <v>927</v>
      </c>
      <c r="B980" s="87">
        <f>IFERROR(IF(VLOOKUP(A980,[7]PRIORIZADOS!$A:$B,2,FALSE)="","",VLOOKUP(A980,[7]PRIORIZADOS!$A:$B,2,FALSE)),"")</f>
        <v>6</v>
      </c>
      <c r="C980" s="11" t="str">
        <f>IFERROR(IF(VLOOKUP(A980,[7]PRIORIZADOS!$A:$C,3,FALSE)="","",VLOOKUP(A980,[7]PRIORIZADOS!$A:$C,3,FALSE)),"")</f>
        <v>FONTIBÓN</v>
      </c>
      <c r="D980" s="69" t="str">
        <f>IFERROR(IF(VLOOKUP(A980,[7]PRIORIZADOS!$A:$D,4,FALSE)="","",VLOOKUP(A980,[7]PRIORIZADOS!$A:$D,4,FALSE)),"")</f>
        <v>PRIVADO</v>
      </c>
      <c r="E980" s="69" t="str">
        <f>IFERROR(IF(VLOOKUP(A980,[7]PRIORIZADOS!$A:$E,5,FALSE)="","",VLOOKUP(A980,[7]PRIORIZADOS!$A:$E,5,FALSE)),"")</f>
        <v>EPBM</v>
      </c>
      <c r="F980" s="11" t="str">
        <f>IFERROR(IF(VLOOKUP(A980,[7]PRIORIZADOS!$A:$F,6,FALSE)="","",VLOOKUP(A980,[7]PRIORIZADOS!$A:$F,6,FALSE)),"")</f>
        <v>COLEGIO_MILITAR_JOSE_ANTONIO_GALAN</v>
      </c>
      <c r="G980" s="69" t="str">
        <f>IFERROR(IF(VLOOKUP(A980,[7]PRIORIZADOS!$A:$G,7,FALSE)="","",VLOOKUP(A980,[7]PRIORIZADOS!$A:$G,7,FALSE)),"")</f>
        <v>COLEGIO_MILITAR_JOSE_ANTONIO_GALAN</v>
      </c>
      <c r="H980" s="11" t="str">
        <f>IFERROR(IF(VLOOKUP(A980,[7]PRIORIZADOS!$A:$H,8,FALSE)="","",VLOOKUP(A980,[7]PRIORIZADOS!$A:$H,8,FALSE)),"")</f>
        <v>Autoevaluación Institucional y Pruebas SABER 11</v>
      </c>
      <c r="I980" s="11" t="str">
        <f>IFERROR(IF(VLOOKUP(A980,[7]PRIORIZADOS!$A:$I,9,FALSE)="","",VLOOKUP(A980,[7]PRIORIZADOS!$A:$I,9,FALSE)),"")</f>
        <v>EVALUACIÓN_CON_FINES_DE_MEJORAMIENTO.</v>
      </c>
      <c r="J980" s="11" t="str">
        <f>IFERROR(IF(VLOOKUP(A980,[7]PRIORIZADOS!$A:$J,10,FALSE)="","",VLOOKUP(A980,[7]PRIORIZADOS!$A:$J,10,FALSE)),"")</f>
        <v>Revisar el calendario escolar, jornada escolar, la intensidad horaria mínima anual en cada nivel y las modificaciones que se realicen al mismo, de acuerdo con lo previsto en la normatividad vigente.</v>
      </c>
      <c r="K980" s="11" t="str">
        <f>IFERROR(IF(VLOOKUP(A980,[7]PRIORIZADOS!$A:$K,11,FALSE)="","",VLOOKUP(A980,[7]PRIORIZADOS!$A:$K,11,FALSE)),"")</f>
        <v>JOSÉ GUILLERMO ALARCÓN CUALLA</v>
      </c>
      <c r="L980" s="11" t="str">
        <f>IFERROR(IF(VLOOKUP(A980,[7]PRIORIZADOS!$A:$L,12,FALSE)="","",VLOOKUP(A980,[7]PRIORIZADOS!$A:$L,12,FALSE)),"")</f>
        <v>JAIME GABRIEL GONZÁLEZ GAMBOA</v>
      </c>
      <c r="M980" s="156">
        <f>IFERROR(IF(VLOOKUP(A980,[7]PRIORIZADOS!$A:$M,13,FALSE)="","",VLOOKUP(A980,[7]PRIORIZADOS!$A:$M,13,FALSE)),"")</f>
        <v>45806</v>
      </c>
      <c r="N980" s="156">
        <f>IFERROR(IF(VLOOKUP(A980,[7]PRIORIZADOS!$A:$N,14,FALSE)="","",VLOOKUP(A980,[7]PRIORIZADOS!$A:$N,14,FALSE)),"")</f>
        <v>45804</v>
      </c>
      <c r="O980" s="156">
        <f>IFERROR(IF(VLOOKUP(A980,[7]PRIORIZADOS!$A:$O,15,FALSE)="","",VLOOKUP(A980,[7]PRIORIZADOS!$A:$O,15,FALSE)),"")</f>
        <v>45804</v>
      </c>
      <c r="P980" s="11" t="str">
        <f>IFERROR(IF(VLOOKUP(A980,[7]PRIORIZADOS!$A:$P,16,FALSE)="","",VLOOKUP(A980,[7]PRIORIZADOS!$A:$P,16,FALSE)),"")</f>
        <v>Visitas de evaluación con fines de mejoramiento</v>
      </c>
      <c r="Q980" s="2" t="s">
        <v>171</v>
      </c>
      <c r="R980" s="69" t="str">
        <f>IFERROR(IF(VLOOKUP(A980,[7]PRIORIZADOS!$A:$R,18,FALSE)="","",VLOOKUP(A980,[7]PRIORIZADOS!$A:$R,18,FALSE)),"")</f>
        <v xml:space="preserve">En calendario escolar se encuentra  ajustado a norma para los niveles de educación ofertados por la institución educativa. </v>
      </c>
      <c r="S980" s="69" t="str">
        <f>IFERROR(IF(VLOOKUP(A980,[7]PRIORIZADOS!$A:$S,19,FALSE)="","",VLOOKUP(A980,[7]PRIORIZADOS!$A:$S,19,FALSE)),"")</f>
        <v>Se debe continuar con la implementación del calendario  escolar según las fechas definidas para los períodos de desarrollo académico y recesos.</v>
      </c>
      <c r="T980" s="87" t="str">
        <f>IFERROR(IF(VLOOKUP(A980,[7]PRIORIZADOS!$A:$T,20,FALSE)="","",VLOOKUP(A980,[7]PRIORIZADOS!$A:$T,20,FALSE)),"")</f>
        <v>No</v>
      </c>
      <c r="U980" s="69" t="str">
        <f>IFERROR(IF(VLOOKUP(A980,[7]PRIORIZADOS!$A:$U,21,FALSE)="","",VLOOKUP(A980,[7]PRIORIZADOS!$A:$U,21,FALSE)),"")</f>
        <v>Verificar la elaboración y socialización del calendario para la siguiente vigencia o en caso de presentarse queja.</v>
      </c>
    </row>
    <row r="981" spans="1:21" s="1" customFormat="1" ht="48">
      <c r="A981" s="69">
        <f>IF([7]PRIORIZADOS!A54="","",[7]PRIORIZADOS!A54)</f>
        <v>928</v>
      </c>
      <c r="B981" s="87">
        <f>IFERROR(IF(VLOOKUP(A981,[7]PRIORIZADOS!$A:$B,2,FALSE)="","",VLOOKUP(A981,[7]PRIORIZADOS!$A:$B,2,FALSE)),"")</f>
        <v>6</v>
      </c>
      <c r="C981" s="11" t="str">
        <f>IFERROR(IF(VLOOKUP(A981,[7]PRIORIZADOS!$A:$C,3,FALSE)="","",VLOOKUP(A981,[7]PRIORIZADOS!$A:$C,3,FALSE)),"")</f>
        <v>FONTIBÓN</v>
      </c>
      <c r="D981" s="69" t="str">
        <f>IFERROR(IF(VLOOKUP(A981,[7]PRIORIZADOS!$A:$D,4,FALSE)="","",VLOOKUP(A981,[7]PRIORIZADOS!$A:$D,4,FALSE)),"")</f>
        <v>PRIVADO</v>
      </c>
      <c r="E981" s="69" t="str">
        <f>IFERROR(IF(VLOOKUP(A981,[7]PRIORIZADOS!$A:$E,5,FALSE)="","",VLOOKUP(A981,[7]PRIORIZADOS!$A:$E,5,FALSE)),"")</f>
        <v>EPBM</v>
      </c>
      <c r="F981" s="11" t="str">
        <f>IFERROR(IF(VLOOKUP(A981,[7]PRIORIZADOS!$A:$F,6,FALSE)="","",VLOOKUP(A981,[7]PRIORIZADOS!$A:$F,6,FALSE)),"")</f>
        <v>COLEGIO_MILITAR_JOSE_ANTONIO_GALAN</v>
      </c>
      <c r="G981" s="69" t="str">
        <f>IFERROR(IF(VLOOKUP(A981,[7]PRIORIZADOS!$A:$G,7,FALSE)="","",VLOOKUP(A981,[7]PRIORIZADOS!$A:$G,7,FALSE)),"")</f>
        <v>COLEGIO_MILITAR_JOSE_ANTONIO_GALAN</v>
      </c>
      <c r="H981" s="11" t="str">
        <f>IFERROR(IF(VLOOKUP(A981,[7]PRIORIZADOS!$A:$H,8,FALSE)="","",VLOOKUP(A981,[7]PRIORIZADOS!$A:$H,8,FALSE)),"")</f>
        <v>Autoevaluación Institucional y Pruebas SABER 11</v>
      </c>
      <c r="I981" s="11" t="str">
        <f>IFERROR(IF(VLOOKUP(A981,[7]PRIORIZADOS!$A:$I,9,FALSE)="","",VLOOKUP(A981,[7]PRIORIZADOS!$A:$I,9,FALSE)),"")</f>
        <v>EVALUACIÓN_CON_FINES_DE_MEJORAMIENTO.</v>
      </c>
      <c r="J981" s="11" t="str">
        <f>IFERROR(IF(VLOOKUP(A981,[7]PRIORIZADOS!$A:$J,10,FALSE)="","",VLOOKUP(A981,[7]PRIORIZADOS!$A:$J,10,FALSE)),"")</f>
        <v>Verificar el funcionamiento del Gobierno Escolar e instancias de participación con base en la información sobre conformación reportada por la institución educativa.</v>
      </c>
      <c r="K981" s="11" t="str">
        <f>IFERROR(IF(VLOOKUP(A981,[7]PRIORIZADOS!$A:$K,11,FALSE)="","",VLOOKUP(A981,[7]PRIORIZADOS!$A:$K,11,FALSE)),"")</f>
        <v>JOSÉ GUILLERMO ALARCÓN CUALLA</v>
      </c>
      <c r="L981" s="11" t="str">
        <f>IFERROR(IF(VLOOKUP(A981,[7]PRIORIZADOS!$A:$L,12,FALSE)="","",VLOOKUP(A981,[7]PRIORIZADOS!$A:$L,12,FALSE)),"")</f>
        <v>JAIME GABRIEL GONZÁLEZ GAMBOA</v>
      </c>
      <c r="M981" s="156">
        <f>IFERROR(IF(VLOOKUP(A981,[7]PRIORIZADOS!$A:$M,13,FALSE)="","",VLOOKUP(A981,[7]PRIORIZADOS!$A:$M,13,FALSE)),"")</f>
        <v>45806</v>
      </c>
      <c r="N981" s="156">
        <f>IFERROR(IF(VLOOKUP(A981,[7]PRIORIZADOS!$A:$N,14,FALSE)="","",VLOOKUP(A981,[7]PRIORIZADOS!$A:$N,14,FALSE)),"")</f>
        <v>45804</v>
      </c>
      <c r="O981" s="156">
        <f>IFERROR(IF(VLOOKUP(A981,[7]PRIORIZADOS!$A:$O,15,FALSE)="","",VLOOKUP(A981,[7]PRIORIZADOS!$A:$O,15,FALSE)),"")</f>
        <v>45804</v>
      </c>
      <c r="P981" s="11" t="str">
        <f>IFERROR(IF(VLOOKUP(A981,[7]PRIORIZADOS!$A:$P,16,FALSE)="","",VLOOKUP(A981,[7]PRIORIZADOS!$A:$P,16,FALSE)),"")</f>
        <v>Visitas de evaluación con fines de mejoramiento</v>
      </c>
      <c r="Q981" s="2" t="s">
        <v>171</v>
      </c>
      <c r="R981" s="69" t="str">
        <f>IFERROR(IF(VLOOKUP(A981,[7]PRIORIZADOS!$A:$R,18,FALSE)="","",VLOOKUP(A981,[7]PRIORIZADOS!$A:$R,18,FALSE)),"")</f>
        <v>La institución conformo el gobierno escolar  y  las instancia de participación  de acuerdo a lo establecido en la normatividad y subió la información en el SAE.</v>
      </c>
      <c r="S981" s="69" t="str">
        <f>IFERROR(IF(VLOOKUP(A981,[7]PRIORIZADOS!$A:$S,19,FALSE)="","",VLOOKUP(A981,[7]PRIORIZADOS!$A:$S,19,FALSE)),"")</f>
        <v xml:space="preserve">Continuar la operatividad del gobierno escolar  y las instancias de participación, buscando cumplir con el cronograma propuesto. </v>
      </c>
      <c r="T981" s="87" t="str">
        <f>IFERROR(IF(VLOOKUP(A981,[7]PRIORIZADOS!$A:$T,20,FALSE)="","",VLOOKUP(A981,[7]PRIORIZADOS!$A:$T,20,FALSE)),"")</f>
        <v>No</v>
      </c>
      <c r="U981" s="69" t="str">
        <f>IFERROR(IF(VLOOKUP(A981,[7]PRIORIZADOS!$A:$U,21,FALSE)="","",VLOOKUP(A981,[7]PRIORIZADOS!$A:$U,21,FALSE)),"")</f>
        <v>Se verificará la operatividad del gobierno escolar en lo que resta del año lectivo.</v>
      </c>
    </row>
    <row r="982" spans="1:21" s="1" customFormat="1" ht="36">
      <c r="A982" s="69">
        <f>IF([7]PRIORIZADOS!A55="","",[7]PRIORIZADOS!A55)</f>
        <v>929</v>
      </c>
      <c r="B982" s="87">
        <f>IFERROR(IF(VLOOKUP(A982,[7]PRIORIZADOS!$A:$B,2,FALSE)="","",VLOOKUP(A982,[7]PRIORIZADOS!$A:$B,2,FALSE)),"")</f>
        <v>6</v>
      </c>
      <c r="C982" s="11" t="str">
        <f>IFERROR(IF(VLOOKUP(A982,[7]PRIORIZADOS!$A:$C,3,FALSE)="","",VLOOKUP(A982,[7]PRIORIZADOS!$A:$C,3,FALSE)),"")</f>
        <v>FONTIBÓN</v>
      </c>
      <c r="D982" s="69" t="str">
        <f>IFERROR(IF(VLOOKUP(A982,[7]PRIORIZADOS!$A:$D,4,FALSE)="","",VLOOKUP(A982,[7]PRIORIZADOS!$A:$D,4,FALSE)),"")</f>
        <v>PRIVADO</v>
      </c>
      <c r="E982" s="69" t="str">
        <f>IFERROR(IF(VLOOKUP(A982,[7]PRIORIZADOS!$A:$E,5,FALSE)="","",VLOOKUP(A982,[7]PRIORIZADOS!$A:$E,5,FALSE)),"")</f>
        <v>EPBM</v>
      </c>
      <c r="F982" s="11" t="str">
        <f>IFERROR(IF(VLOOKUP(A982,[7]PRIORIZADOS!$A:$F,6,FALSE)="","",VLOOKUP(A982,[7]PRIORIZADOS!$A:$F,6,FALSE)),"")</f>
        <v>COLEGIO_MILITAR_JOSE_ANTONIO_GALAN</v>
      </c>
      <c r="G982" s="69" t="str">
        <f>IFERROR(IF(VLOOKUP(A982,[7]PRIORIZADOS!$A:$G,7,FALSE)="","",VLOOKUP(A982,[7]PRIORIZADOS!$A:$G,7,FALSE)),"")</f>
        <v>COLEGIO_MILITAR_JOSE_ANTONIO_GALAN</v>
      </c>
      <c r="H982" s="11" t="str">
        <f>IFERROR(IF(VLOOKUP(A982,[7]PRIORIZADOS!$A:$H,8,FALSE)="","",VLOOKUP(A982,[7]PRIORIZADOS!$A:$H,8,FALSE)),"")</f>
        <v>Autoevaluación Institucional y Pruebas SABER 11</v>
      </c>
      <c r="I982" s="11" t="str">
        <f>IFERROR(IF(VLOOKUP(A982,[7]PRIORIZADOS!$A:$I,9,FALSE)="","",VLOOKUP(A982,[7]PRIORIZADOS!$A:$I,9,FALSE)),"")</f>
        <v>EVALUACIÓN_CON_FINES_DE_MEJORAMIENTO.</v>
      </c>
      <c r="J982" s="11" t="str">
        <f>IFERROR(IF(VLOOKUP(A982,[7]PRIORIZADOS!$A:$J,10,FALSE)="","",VLOOKUP(A982,[7]PRIORIZADOS!$A:$J,10,FALSE)),"")</f>
        <v>Verificar las condiciones en cuanto a: la estructura administrativa, condiciones de la planta física y medios educativos adecuados.</v>
      </c>
      <c r="K982" s="11" t="str">
        <f>IFERROR(IF(VLOOKUP(A982,[7]PRIORIZADOS!$A:$K,11,FALSE)="","",VLOOKUP(A982,[7]PRIORIZADOS!$A:$K,11,FALSE)),"")</f>
        <v>JOSÉ GUILLERMO ALARCÓN CUALLA</v>
      </c>
      <c r="L982" s="11" t="str">
        <f>IFERROR(IF(VLOOKUP(A982,[7]PRIORIZADOS!$A:$L,12,FALSE)="","",VLOOKUP(A982,[7]PRIORIZADOS!$A:$L,12,FALSE)),"")</f>
        <v>JAIME GABRIEL GONZÁLEZ GAMBOA</v>
      </c>
      <c r="M982" s="156">
        <f>IFERROR(IF(VLOOKUP(A982,[7]PRIORIZADOS!$A:$M,13,FALSE)="","",VLOOKUP(A982,[7]PRIORIZADOS!$A:$M,13,FALSE)),"")</f>
        <v>45806</v>
      </c>
      <c r="N982" s="156">
        <f>IFERROR(IF(VLOOKUP(A982,[7]PRIORIZADOS!$A:$N,14,FALSE)="","",VLOOKUP(A982,[7]PRIORIZADOS!$A:$N,14,FALSE)),"")</f>
        <v>45804</v>
      </c>
      <c r="O982" s="156">
        <f>IFERROR(IF(VLOOKUP(A982,[7]PRIORIZADOS!$A:$O,15,FALSE)="","",VLOOKUP(A982,[7]PRIORIZADOS!$A:$O,15,FALSE)),"")</f>
        <v>45804</v>
      </c>
      <c r="P982" s="11" t="str">
        <f>IFERROR(IF(VLOOKUP(A982,[7]PRIORIZADOS!$A:$P,16,FALSE)="","",VLOOKUP(A982,[7]PRIORIZADOS!$A:$P,16,FALSE)),"")</f>
        <v>Visitas de evaluación con fines de mejoramiento</v>
      </c>
      <c r="Q982" s="2" t="s">
        <v>171</v>
      </c>
      <c r="R982" s="69" t="str">
        <f>IFERROR(IF(VLOOKUP(A982,[7]PRIORIZADOS!$A:$R,18,FALSE)="","",VLOOKUP(A982,[7]PRIORIZADOS!$A:$R,18,FALSE)),"")</f>
        <v>La institución educativa cuenta con espacios, administrativos, académicos y de bienestar, con buen nivel de mantenimiento.</v>
      </c>
      <c r="S982" s="69" t="str">
        <f>IFERROR(IF(VLOOKUP(A982,[7]PRIORIZADOS!$A:$S,19,FALSE)="","",VLOOKUP(A982,[7]PRIORIZADOS!$A:$S,19,FALSE)),"")</f>
        <v>La institución tiene un programa de mantenimiento de la infraestructura, el cual se compromete a continuar desarrollándolo.</v>
      </c>
      <c r="T982" s="87" t="str">
        <f>IFERROR(IF(VLOOKUP(A982,[7]PRIORIZADOS!$A:$T,20,FALSE)="","",VLOOKUP(A982,[7]PRIORIZADOS!$A:$T,20,FALSE)),"")</f>
        <v>No</v>
      </c>
      <c r="U982" s="69" t="str">
        <f>IFERROR(IF(VLOOKUP(A982,[7]PRIORIZADOS!$A:$U,21,FALSE)="","",VLOOKUP(A982,[7]PRIORIZADOS!$A:$U,21,FALSE)),"")</f>
        <v>Verificar que el mantenimiento establecido en el cronograma se está cumpliendo.</v>
      </c>
    </row>
    <row r="983" spans="1:21" s="1" customFormat="1" ht="60">
      <c r="A983" s="69">
        <f>IF([7]PRIORIZADOS!A56="","",[7]PRIORIZADOS!A56)</f>
        <v>931</v>
      </c>
      <c r="B983" s="87">
        <f>IFERROR(IF(VLOOKUP(A983,[7]PRIORIZADOS!$A:$B,2,FALSE)="","",VLOOKUP(A983,[7]PRIORIZADOS!$A:$B,2,FALSE)),"")</f>
        <v>7</v>
      </c>
      <c r="C983" s="11" t="str">
        <f>IFERROR(IF(VLOOKUP(A983,[7]PRIORIZADOS!$A:$C,3,FALSE)="","",VLOOKUP(A983,[7]PRIORIZADOS!$A:$C,3,FALSE)),"")</f>
        <v>FONTIBÓN</v>
      </c>
      <c r="D983" s="69" t="str">
        <f>IFERROR(IF(VLOOKUP(A983,[7]PRIORIZADOS!$A:$D,4,FALSE)="","",VLOOKUP(A983,[7]PRIORIZADOS!$A:$D,4,FALSE)),"")</f>
        <v>PRIVADO</v>
      </c>
      <c r="E983" s="69" t="str">
        <f>IFERROR(IF(VLOOKUP(A983,[7]PRIORIZADOS!$A:$E,5,FALSE)="","",VLOOKUP(A983,[7]PRIORIZADOS!$A:$E,5,FALSE)),"")</f>
        <v>EPBM</v>
      </c>
      <c r="F983" s="11" t="str">
        <f>IFERROR(IF(VLOOKUP(A983,[7]PRIORIZADOS!$A:$F,6,FALSE)="","",VLOOKUP(A983,[7]PRIORIZADOS!$A:$F,6,FALSE)),"")</f>
        <v>UNIDAD_EDUCATIVA_PRADOS_DE_ALAMEDA</v>
      </c>
      <c r="G983" s="69" t="str">
        <f>IFERROR(IF(VLOOKUP(A983,[7]PRIORIZADOS!$A:$G,7,FALSE)="","",VLOOKUP(A983,[7]PRIORIZADOS!$A:$G,7,FALSE)),"")</f>
        <v>UNIDAD_EDUCATIVA_PRADOS_DE_ALAMEDA</v>
      </c>
      <c r="H983" s="11" t="str">
        <f>IFERROR(IF(VLOOKUP(A983,[7]PRIORIZADOS!$A:$H,8,FALSE)="","",VLOOKUP(A983,[7]PRIORIZADOS!$A:$H,8,FALSE)),"")</f>
        <v>Autoevaluación Institucional y Pruebas SABER 11</v>
      </c>
      <c r="I983" s="11" t="str">
        <f>IFERROR(IF(VLOOKUP(A983,[7]PRIORIZADOS!$A:$I,9,FALSE)="","",VLOOKUP(A983,[7]PRIORIZADOS!$A:$I,9,FALSE)),"")</f>
        <v>SEGUIMIENTO_Y_SUPERVISIÓN.</v>
      </c>
      <c r="J983" s="11" t="str">
        <f>IFERROR(IF(VLOOKUP(A983,[7]PRIORIZADOS!$A:$J,10,FALSE)="","",VLOOKUP(A983,[7]PRIORIZADOS!$A:$J,10,FALSE)),"")</f>
        <v>Proponer estrategias en la formulación, verificar su elaboración y realizar seguimiento semestral al desarrollo de  las acciones establecidas en los planes de mejoramiento por pruebas SABER 11 de los establecimientos de educación formal.</v>
      </c>
      <c r="K983" s="11" t="str">
        <f>IFERROR(IF(VLOOKUP(A983,[7]PRIORIZADOS!$A:$K,11,FALSE)="","",VLOOKUP(A983,[7]PRIORIZADOS!$A:$K,11,FALSE)),"")</f>
        <v>JAIME GABRIEL GONZÁLEZ GAMBOA</v>
      </c>
      <c r="L983" s="11" t="str">
        <f>IFERROR(IF(VLOOKUP(A983,[7]PRIORIZADOS!$A:$L,12,FALSE)="","",VLOOKUP(A983,[7]PRIORIZADOS!$A:$L,12,FALSE)),"")</f>
        <v>JOSÉ GUILLERMO ALARCÓN CUALLA</v>
      </c>
      <c r="M983" s="156">
        <f>IFERROR(IF(VLOOKUP(A983,[7]PRIORIZADOS!$A:$M,13,FALSE)="","",VLOOKUP(A983,[7]PRIORIZADOS!$A:$M,13,FALSE)),"")</f>
        <v>45771</v>
      </c>
      <c r="N983" s="156">
        <f>IFERROR(IF(VLOOKUP(A983,[7]PRIORIZADOS!$A:$N,14,FALSE)="","",VLOOKUP(A983,[7]PRIORIZADOS!$A:$N,14,FALSE)),"")</f>
        <v>45806</v>
      </c>
      <c r="O983" s="156">
        <f>IFERROR(IF(VLOOKUP(A983,[7]PRIORIZADOS!$A:$O,15,FALSE)="","",VLOOKUP(A983,[7]PRIORIZADOS!$A:$O,15,FALSE)),"")</f>
        <v>45806</v>
      </c>
      <c r="P983" s="11" t="str">
        <f>IFERROR(IF(VLOOKUP(A983,[7]PRIORIZADOS!$A:$P,16,FALSE)="","",VLOOKUP(A983,[7]PRIORIZADOS!$A:$P,16,FALSE)),"")</f>
        <v>Visitas de evaluación con fines de mejoramiento</v>
      </c>
      <c r="Q983" s="7" t="s">
        <v>172</v>
      </c>
      <c r="R983" s="69" t="str">
        <f>IFERROR(IF(VLOOKUP(A983,[7]PRIORIZADOS!$A:$R,18,FALSE)="","",VLOOKUP(A983,[7]PRIORIZADOS!$A:$R,18,FALSE)),"")</f>
        <v>El nivel alcanzado en pruebas SABER 11 corresponde al nivel A y se mantiene en constante autoevaluación. Como estrategia, trabaja con el acompañamiento de una  empresa externa para la preparación de los estudiantes y docentes.</v>
      </c>
      <c r="S983" s="69" t="str">
        <f>IFERROR(IF(VLOOKUP(A983,[7]PRIORIZADOS!$A:$S,19,FALSE)="","",VLOOKUP(A983,[7]PRIORIZADOS!$A:$S,19,FALSE)),"")</f>
        <v>Continuar implementando las capacitaciones, simulacros y preguntas tipo SABER 11.</v>
      </c>
      <c r="T983" s="87" t="str">
        <f>IFERROR(IF(VLOOKUP(A983,[7]PRIORIZADOS!$A:$T,20,FALSE)="","",VLOOKUP(A983,[7]PRIORIZADOS!$A:$T,20,FALSE)),"")</f>
        <v>No</v>
      </c>
      <c r="U983" s="69" t="str">
        <f>IFERROR(IF(VLOOKUP(A983,[7]PRIORIZADOS!$A:$U,21,FALSE)="","",VLOOKUP(A983,[7]PRIORIZADOS!$A:$U,21,FALSE)),"")</f>
        <v>Se realizara revisión frente a resultados en pruebas saber 11 en el próximo periodo académico.</v>
      </c>
    </row>
    <row r="984" spans="1:21" s="1" customFormat="1" ht="48">
      <c r="A984" s="69">
        <f>IF([7]PRIORIZADOS!A57="","",[7]PRIORIZADOS!A57)</f>
        <v>932</v>
      </c>
      <c r="B984" s="87">
        <f>IFERROR(IF(VLOOKUP(A984,[7]PRIORIZADOS!$A:$B,2,FALSE)="","",VLOOKUP(A984,[7]PRIORIZADOS!$A:$B,2,FALSE)),"")</f>
        <v>7</v>
      </c>
      <c r="C984" s="11" t="str">
        <f>IFERROR(IF(VLOOKUP(A984,[7]PRIORIZADOS!$A:$C,3,FALSE)="","",VLOOKUP(A984,[7]PRIORIZADOS!$A:$C,3,FALSE)),"")</f>
        <v>FONTIBÓN</v>
      </c>
      <c r="D984" s="69" t="str">
        <f>IFERROR(IF(VLOOKUP(A984,[7]PRIORIZADOS!$A:$D,4,FALSE)="","",VLOOKUP(A984,[7]PRIORIZADOS!$A:$D,4,FALSE)),"")</f>
        <v>PRIVADO</v>
      </c>
      <c r="E984" s="69" t="str">
        <f>IFERROR(IF(VLOOKUP(A984,[7]PRIORIZADOS!$A:$E,5,FALSE)="","",VLOOKUP(A984,[7]PRIORIZADOS!$A:$E,5,FALSE)),"")</f>
        <v>EPBM</v>
      </c>
      <c r="F984" s="11" t="str">
        <f>IFERROR(IF(VLOOKUP(A984,[7]PRIORIZADOS!$A:$F,6,FALSE)="","",VLOOKUP(A984,[7]PRIORIZADOS!$A:$F,6,FALSE)),"")</f>
        <v>UNIDAD_EDUCATIVA_PRADOS_DE_ALAMEDA</v>
      </c>
      <c r="G984" s="69" t="str">
        <f>IFERROR(IF(VLOOKUP(A984,[7]PRIORIZADOS!$A:$G,7,FALSE)="","",VLOOKUP(A984,[7]PRIORIZADOS!$A:$G,7,FALSE)),"")</f>
        <v>UNIDAD_EDUCATIVA_PRADOS_DE_ALAMEDA</v>
      </c>
      <c r="H984" s="11" t="str">
        <f>IFERROR(IF(VLOOKUP(A984,[7]PRIORIZADOS!$A:$H,8,FALSE)="","",VLOOKUP(A984,[7]PRIORIZADOS!$A:$H,8,FALSE)),"")</f>
        <v>Autoevaluación Institucional y Pruebas SABER 11</v>
      </c>
      <c r="I984" s="11" t="str">
        <f>IFERROR(IF(VLOOKUP(A984,[7]PRIORIZADOS!$A:$I,9,FALSE)="","",VLOOKUP(A984,[7]PRIORIZADOS!$A:$I,9,FALSE)),"")</f>
        <v>SEGUIMIENTO_Y_SUPERVISIÓN.</v>
      </c>
      <c r="J984" s="11" t="str">
        <f>IFERROR(IF(VLOOKUP(A984,[7]PRIORIZADOS!$A:$J,10,FALSE)="","",VLOOKUP(A984,[7]PRIORIZADOS!$A:$J,10,FALSE)),"")</f>
        <v xml:space="preserve">Verificar la implementación por parte de los colegios, de acciones realizadas para la prevención y atención de las situaciones de convivencia en el entorno escolar, según lo establecido en la Directiva 01 de 2022 del MEN. </v>
      </c>
      <c r="K984" s="11" t="str">
        <f>IFERROR(IF(VLOOKUP(A984,[7]PRIORIZADOS!$A:$K,11,FALSE)="","",VLOOKUP(A984,[7]PRIORIZADOS!$A:$K,11,FALSE)),"")</f>
        <v>JAIME GABRIEL GONZÁLEZ GAMBOA</v>
      </c>
      <c r="L984" s="11" t="str">
        <f>IFERROR(IF(VLOOKUP(A984,[7]PRIORIZADOS!$A:$L,12,FALSE)="","",VLOOKUP(A984,[7]PRIORIZADOS!$A:$L,12,FALSE)),"")</f>
        <v>JOSÉ GUILLERMO ALARCÓN CUALLA</v>
      </c>
      <c r="M984" s="156">
        <f>IFERROR(IF(VLOOKUP(A984,[7]PRIORIZADOS!$A:$M,13,FALSE)="","",VLOOKUP(A984,[7]PRIORIZADOS!$A:$M,13,FALSE)),"")</f>
        <v>45771</v>
      </c>
      <c r="N984" s="156">
        <f>IFERROR(IF(VLOOKUP(A984,[7]PRIORIZADOS!$A:$N,14,FALSE)="","",VLOOKUP(A984,[7]PRIORIZADOS!$A:$N,14,FALSE)),"")</f>
        <v>45806</v>
      </c>
      <c r="O984" s="156">
        <f>IFERROR(IF(VLOOKUP(A984,[7]PRIORIZADOS!$A:$O,15,FALSE)="","",VLOOKUP(A984,[7]PRIORIZADOS!$A:$O,15,FALSE)),"")</f>
        <v>45806</v>
      </c>
      <c r="P984" s="11" t="str">
        <f>IFERROR(IF(VLOOKUP(A984,[7]PRIORIZADOS!$A:$P,16,FALSE)="","",VLOOKUP(A984,[7]PRIORIZADOS!$A:$P,16,FALSE)),"")</f>
        <v>Visitas de evaluación con fines de mejoramiento</v>
      </c>
      <c r="Q984" s="7" t="s">
        <v>172</v>
      </c>
      <c r="R984" s="69" t="str">
        <f>IFERROR(IF(VLOOKUP(A984,[7]PRIORIZADOS!$A:$R,18,FALSE)="","",VLOOKUP(A984,[7]PRIORIZADOS!$A:$R,18,FALSE)),"")</f>
        <v>La institución educativa no realiza la implementación de la Directiva, frente a la verificación de antecedentes en el sistema de la Policía Nacional.</v>
      </c>
      <c r="S984" s="69" t="str">
        <f>IFERROR(IF(VLOOKUP(A984,[7]PRIORIZADOS!$A:$S,19,FALSE)="","",VLOOKUP(A984,[7]PRIORIZADOS!$A:$S,19,FALSE)),"")</f>
        <v xml:space="preserve">Realizar la consulta del personal vinculado cada 4 meses, en el sistema de inhabilidades por delitos sexuales.  </v>
      </c>
      <c r="T984" s="87" t="str">
        <f>IFERROR(IF(VLOOKUP(A984,[7]PRIORIZADOS!$A:$T,20,FALSE)="","",VLOOKUP(A984,[7]PRIORIZADOS!$A:$T,20,FALSE)),"")</f>
        <v>Si</v>
      </c>
      <c r="U984" s="69" t="str">
        <f>IFERROR(IF(VLOOKUP(A984,[7]PRIORIZADOS!$A:$U,21,FALSE)="","",VLOOKUP(A984,[7]PRIORIZADOS!$A:$U,21,FALSE)),"")</f>
        <v>Solicitar informe al finalizar el tercer periodo escolar.</v>
      </c>
    </row>
    <row r="985" spans="1:21" s="1" customFormat="1" ht="72">
      <c r="A985" s="69">
        <f>IF([7]PRIORIZADOS!A58="","",[7]PRIORIZADOS!A58)</f>
        <v>933</v>
      </c>
      <c r="B985" s="87">
        <f>IFERROR(IF(VLOOKUP(A985,[7]PRIORIZADOS!$A:$B,2,FALSE)="","",VLOOKUP(A985,[7]PRIORIZADOS!$A:$B,2,FALSE)),"")</f>
        <v>7</v>
      </c>
      <c r="C985" s="11" t="str">
        <f>IFERROR(IF(VLOOKUP(A985,[7]PRIORIZADOS!$A:$C,3,FALSE)="","",VLOOKUP(A985,[7]PRIORIZADOS!$A:$C,3,FALSE)),"")</f>
        <v>FONTIBÓN</v>
      </c>
      <c r="D985" s="69" t="str">
        <f>IFERROR(IF(VLOOKUP(A985,[7]PRIORIZADOS!$A:$D,4,FALSE)="","",VLOOKUP(A985,[7]PRIORIZADOS!$A:$D,4,FALSE)),"")</f>
        <v>PRIVADO</v>
      </c>
      <c r="E985" s="69" t="str">
        <f>IFERROR(IF(VLOOKUP(A985,[7]PRIORIZADOS!$A:$E,5,FALSE)="","",VLOOKUP(A985,[7]PRIORIZADOS!$A:$E,5,FALSE)),"")</f>
        <v>EPBM</v>
      </c>
      <c r="F985" s="11" t="str">
        <f>IFERROR(IF(VLOOKUP(A985,[7]PRIORIZADOS!$A:$F,6,FALSE)="","",VLOOKUP(A985,[7]PRIORIZADOS!$A:$F,6,FALSE)),"")</f>
        <v>UNIDAD_EDUCATIVA_PRADOS_DE_ALAMEDA</v>
      </c>
      <c r="G985" s="69" t="str">
        <f>IFERROR(IF(VLOOKUP(A985,[7]PRIORIZADOS!$A:$G,7,FALSE)="","",VLOOKUP(A985,[7]PRIORIZADOS!$A:$G,7,FALSE)),"")</f>
        <v>UNIDAD_EDUCATIVA_PRADOS_DE_ALAMEDA</v>
      </c>
      <c r="H985" s="11" t="str">
        <f>IFERROR(IF(VLOOKUP(A985,[7]PRIORIZADOS!$A:$H,8,FALSE)="","",VLOOKUP(A985,[7]PRIORIZADOS!$A:$H,8,FALSE)),"")</f>
        <v>Autoevaluación Institucional y Pruebas SABER 11</v>
      </c>
      <c r="I985" s="11" t="str">
        <f>IFERROR(IF(VLOOKUP(A985,[7]PRIORIZADOS!$A:$I,9,FALSE)="","",VLOOKUP(A985,[7]PRIORIZADOS!$A:$I,9,FALSE)),"")</f>
        <v>SEGUIMIENTO_Y_SUPERVISIÓN.</v>
      </c>
      <c r="J985" s="11" t="str">
        <f>IFERROR(IF(VLOOKUP(A985,[7]PRIORIZADOS!$A:$J,10,FALSE)="","",VLOOKUP(A985,[7]PRIORIZADOS!$A:$J,10,FALSE)),"")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85" s="11" t="str">
        <f>IFERROR(IF(VLOOKUP(A985,[7]PRIORIZADOS!$A:$K,11,FALSE)="","",VLOOKUP(A985,[7]PRIORIZADOS!$A:$K,11,FALSE)),"")</f>
        <v>JAIME GABRIEL GONZÁLEZ GAMBOA</v>
      </c>
      <c r="L985" s="11" t="str">
        <f>IFERROR(IF(VLOOKUP(A985,[7]PRIORIZADOS!$A:$L,12,FALSE)="","",VLOOKUP(A985,[7]PRIORIZADOS!$A:$L,12,FALSE)),"")</f>
        <v>JOSÉ GUILLERMO ALARCÓN CUALLA</v>
      </c>
      <c r="M985" s="156">
        <f>IFERROR(IF(VLOOKUP(A985,[7]PRIORIZADOS!$A:$M,13,FALSE)="","",VLOOKUP(A985,[7]PRIORIZADOS!$A:$M,13,FALSE)),"")</f>
        <v>45771</v>
      </c>
      <c r="N985" s="156">
        <f>IFERROR(IF(VLOOKUP(A985,[7]PRIORIZADOS!$A:$N,14,FALSE)="","",VLOOKUP(A985,[7]PRIORIZADOS!$A:$N,14,FALSE)),"")</f>
        <v>45806</v>
      </c>
      <c r="O985" s="156">
        <f>IFERROR(IF(VLOOKUP(A985,[7]PRIORIZADOS!$A:$O,15,FALSE)="","",VLOOKUP(A985,[7]PRIORIZADOS!$A:$O,15,FALSE)),"")</f>
        <v>45806</v>
      </c>
      <c r="P985" s="11" t="str">
        <f>IFERROR(IF(VLOOKUP(A985,[7]PRIORIZADOS!$A:$P,16,FALSE)="","",VLOOKUP(A985,[7]PRIORIZADOS!$A:$P,16,FALSE)),"")</f>
        <v>Visitas de evaluación con fines de mejoramiento</v>
      </c>
      <c r="Q985" s="7" t="s">
        <v>172</v>
      </c>
      <c r="R985" s="69" t="str">
        <f>IFERROR(IF(VLOOKUP(A985,[7]PRIORIZADOS!$A:$R,18,FALSE)="","",VLOOKUP(A985,[7]PRIORIZADOS!$A:$R,18,FALSE)),"")</f>
        <v>Cada escolar en condición de inclusión, cuenta con PIAR, formalizado y es de conocimiento familiar. La institución educativa a partir del diagnóstico documenta y efectúa atención académica y seguimiento en orientación a los15 escolares en inclusión.</v>
      </c>
      <c r="S985" s="69" t="str">
        <f>IFERROR(IF(VLOOKUP(A985,[7]PRIORIZADOS!$A:$S,19,FALSE)="","",VLOOKUP(A985,[7]PRIORIZADOS!$A:$S,19,FALSE)),"")</f>
        <v>Continuar con el seguimiento y ajustes que se requieran a los PIAR</v>
      </c>
      <c r="T985" s="87" t="str">
        <f>IFERROR(IF(VLOOKUP(A985,[7]PRIORIZADOS!$A:$T,20,FALSE)="","",VLOOKUP(A985,[7]PRIORIZADOS!$A:$T,20,FALSE)),"")</f>
        <v>No</v>
      </c>
      <c r="U985" s="69" t="str">
        <f>IFERROR(IF(VLOOKUP(A985,[7]PRIORIZADOS!$A:$U,21,FALSE)="","",VLOOKUP(A985,[7]PRIORIZADOS!$A:$U,21,FALSE)),"")</f>
        <v>. Solicitar informe al finalizar el tercer periodo escolar, sobre la atención a los escolares.</v>
      </c>
    </row>
    <row r="986" spans="1:21" s="1" customFormat="1" ht="84">
      <c r="A986" s="69">
        <f>IF([7]PRIORIZADOS!A59="","",[7]PRIORIZADOS!A59)</f>
        <v>934</v>
      </c>
      <c r="B986" s="87">
        <f>IFERROR(IF(VLOOKUP(A986,[7]PRIORIZADOS!$A:$B,2,FALSE)="","",VLOOKUP(A986,[7]PRIORIZADOS!$A:$B,2,FALSE)),"")</f>
        <v>7</v>
      </c>
      <c r="C986" s="11" t="str">
        <f>IFERROR(IF(VLOOKUP(A986,[7]PRIORIZADOS!$A:$C,3,FALSE)="","",VLOOKUP(A986,[7]PRIORIZADOS!$A:$C,3,FALSE)),"")</f>
        <v>FONTIBÓN</v>
      </c>
      <c r="D986" s="69" t="str">
        <f>IFERROR(IF(VLOOKUP(A986,[7]PRIORIZADOS!$A:$D,4,FALSE)="","",VLOOKUP(A986,[7]PRIORIZADOS!$A:$D,4,FALSE)),"")</f>
        <v>PRIVADO</v>
      </c>
      <c r="E986" s="69" t="str">
        <f>IFERROR(IF(VLOOKUP(A986,[7]PRIORIZADOS!$A:$E,5,FALSE)="","",VLOOKUP(A986,[7]PRIORIZADOS!$A:$E,5,FALSE)),"")</f>
        <v>EPBM</v>
      </c>
      <c r="F986" s="11" t="str">
        <f>IFERROR(IF(VLOOKUP(A986,[7]PRIORIZADOS!$A:$F,6,FALSE)="","",VLOOKUP(A986,[7]PRIORIZADOS!$A:$F,6,FALSE)),"")</f>
        <v>UNIDAD_EDUCATIVA_PRADOS_DE_ALAMEDA</v>
      </c>
      <c r="G986" s="69" t="str">
        <f>IFERROR(IF(VLOOKUP(A986,[7]PRIORIZADOS!$A:$G,7,FALSE)="","",VLOOKUP(A986,[7]PRIORIZADOS!$A:$G,7,FALSE)),"")</f>
        <v>UNIDAD_EDUCATIVA_PRADOS_DE_ALAMEDA</v>
      </c>
      <c r="H986" s="11" t="str">
        <f>IFERROR(IF(VLOOKUP(A986,[7]PRIORIZADOS!$A:$H,8,FALSE)="","",VLOOKUP(A986,[7]PRIORIZADOS!$A:$H,8,FALSE)),"")</f>
        <v>Autoevaluación Institucional y Pruebas SABER 11</v>
      </c>
      <c r="I986" s="11" t="str">
        <f>IFERROR(IF(VLOOKUP(A986,[7]PRIORIZADOS!$A:$I,9,FALSE)="","",VLOOKUP(A986,[7]PRIORIZADOS!$A:$I,9,FALSE)),"")</f>
        <v>EVALUACIÓN_CON_FINES_DE_MEJORAMIENTO.</v>
      </c>
      <c r="J986" s="11" t="str">
        <f>IFERROR(IF(VLOOKUP(A986,[7]PRIORIZADOS!$A:$J,10,FALSE)="","",VLOOKUP(A986,[7]PRIORIZADOS!$A:$J,10,FALSE)),"")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86" s="11" t="str">
        <f>IFERROR(IF(VLOOKUP(A986,[7]PRIORIZADOS!$A:$K,11,FALSE)="","",VLOOKUP(A986,[7]PRIORIZADOS!$A:$K,11,FALSE)),"")</f>
        <v>JAIME GABRIEL GONZÁLEZ GAMBOA</v>
      </c>
      <c r="L986" s="11" t="str">
        <f>IFERROR(IF(VLOOKUP(A986,[7]PRIORIZADOS!$A:$L,12,FALSE)="","",VLOOKUP(A986,[7]PRIORIZADOS!$A:$L,12,FALSE)),"")</f>
        <v>JOSÉ GUILLERMO ALARCÓN CUALLA</v>
      </c>
      <c r="M986" s="156">
        <f>IFERROR(IF(VLOOKUP(A986,[7]PRIORIZADOS!$A:$M,13,FALSE)="","",VLOOKUP(A986,[7]PRIORIZADOS!$A:$M,13,FALSE)),"")</f>
        <v>45771</v>
      </c>
      <c r="N986" s="156">
        <f>IFERROR(IF(VLOOKUP(A986,[7]PRIORIZADOS!$A:$N,14,FALSE)="","",VLOOKUP(A986,[7]PRIORIZADOS!$A:$N,14,FALSE)),"")</f>
        <v>45806</v>
      </c>
      <c r="O986" s="156">
        <f>IFERROR(IF(VLOOKUP(A986,[7]PRIORIZADOS!$A:$O,15,FALSE)="","",VLOOKUP(A986,[7]PRIORIZADOS!$A:$O,15,FALSE)),"")</f>
        <v>45806</v>
      </c>
      <c r="P986" s="11" t="str">
        <f>IFERROR(IF(VLOOKUP(A986,[7]PRIORIZADOS!$A:$P,16,FALSE)="","",VLOOKUP(A986,[7]PRIORIZADOS!$A:$P,16,FALSE)),"")</f>
        <v>Visitas de evaluación con fines de mejoramiento</v>
      </c>
      <c r="Q986" s="8" t="s">
        <v>172</v>
      </c>
      <c r="R986" s="69" t="str">
        <f>IFERROR(IF(VLOOKUP(A986,[7]PRIORIZADOS!$A:$R,18,FALSE)="","",VLOOKUP(A986,[7]PRIORIZADOS!$A:$R,18,FALSE)),"")</f>
        <v>Se encuentra publicado, se desarrolló con la participación de la comunidad y su contenido registra los elementos de ley.</v>
      </c>
      <c r="S986" s="69" t="str">
        <f>IFERROR(IF(VLOOKUP(A986,[7]PRIORIZADOS!$A:$S,19,FALSE)="","",VLOOKUP(A986,[7]PRIORIZADOS!$A:$S,19,FALSE)),"")</f>
        <v>El manual de convivencia se revisó y ajusto en el año 2024 y es de conocimiento y aplicación en la institución educativa.</v>
      </c>
      <c r="T986" s="87" t="str">
        <f>IFERROR(IF(VLOOKUP(A986,[7]PRIORIZADOS!$A:$T,20,FALSE)="","",VLOOKUP(A986,[7]PRIORIZADOS!$A:$T,20,FALSE)),"")</f>
        <v>No</v>
      </c>
      <c r="U986" s="69" t="str">
        <f>IFERROR(IF(VLOOKUP(A986,[7]PRIORIZADOS!$A:$U,21,FALSE)="","",VLOOKUP(A986,[7]PRIORIZADOS!$A:$U,21,FALSE)),"")</f>
        <v>Se efectuará revisión en caso de presentarse queja.</v>
      </c>
    </row>
    <row r="987" spans="1:21" s="1" customFormat="1" ht="48">
      <c r="A987" s="69">
        <f>IF([7]PRIORIZADOS!A60="","",[7]PRIORIZADOS!A60)</f>
        <v>935</v>
      </c>
      <c r="B987" s="87">
        <f>IFERROR(IF(VLOOKUP(A987,[7]PRIORIZADOS!$A:$B,2,FALSE)="","",VLOOKUP(A987,[7]PRIORIZADOS!$A:$B,2,FALSE)),"")</f>
        <v>7</v>
      </c>
      <c r="C987" s="11" t="str">
        <f>IFERROR(IF(VLOOKUP(A987,[7]PRIORIZADOS!$A:$C,3,FALSE)="","",VLOOKUP(A987,[7]PRIORIZADOS!$A:$C,3,FALSE)),"")</f>
        <v>FONTIBÓN</v>
      </c>
      <c r="D987" s="69" t="str">
        <f>IFERROR(IF(VLOOKUP(A987,[7]PRIORIZADOS!$A:$D,4,FALSE)="","",VLOOKUP(A987,[7]PRIORIZADOS!$A:$D,4,FALSE)),"")</f>
        <v>PRIVADO</v>
      </c>
      <c r="E987" s="69" t="str">
        <f>IFERROR(IF(VLOOKUP(A987,[7]PRIORIZADOS!$A:$E,5,FALSE)="","",VLOOKUP(A987,[7]PRIORIZADOS!$A:$E,5,FALSE)),"")</f>
        <v>EPBM</v>
      </c>
      <c r="F987" s="11" t="str">
        <f>IFERROR(IF(VLOOKUP(A987,[7]PRIORIZADOS!$A:$F,6,FALSE)="","",VLOOKUP(A987,[7]PRIORIZADOS!$A:$F,6,FALSE)),"")</f>
        <v>UNIDAD_EDUCATIVA_PRADOS_DE_ALAMEDA</v>
      </c>
      <c r="G987" s="69" t="str">
        <f>IFERROR(IF(VLOOKUP(A987,[7]PRIORIZADOS!$A:$G,7,FALSE)="","",VLOOKUP(A987,[7]PRIORIZADOS!$A:$G,7,FALSE)),"")</f>
        <v>UNIDAD_EDUCATIVA_PRADOS_DE_ALAMEDA</v>
      </c>
      <c r="H987" s="11" t="str">
        <f>IFERROR(IF(VLOOKUP(A987,[7]PRIORIZADOS!$A:$H,8,FALSE)="","",VLOOKUP(A987,[7]PRIORIZADOS!$A:$H,8,FALSE)),"")</f>
        <v>Autoevaluación Institucional y Pruebas SABER 11</v>
      </c>
      <c r="I987" s="11" t="str">
        <f>IFERROR(IF(VLOOKUP(A987,[7]PRIORIZADOS!$A:$I,9,FALSE)="","",VLOOKUP(A987,[7]PRIORIZADOS!$A:$I,9,FALSE)),"")</f>
        <v>EVALUACIÓN_CON_FINES_DE_MEJORAMIENTO.</v>
      </c>
      <c r="J987" s="11" t="str">
        <f>IFERROR(IF(VLOOKUP(A987,[7]PRIORIZADOS!$A:$J,10,FALSE)="","",VLOOKUP(A987,[7]PRIORIZADOS!$A:$J,10,FALSE)),"")</f>
        <v>Revisar la actualización, socialización e implementación del Sistema Institucional de Evaluación de Estudiantes - SIEE, en articulación con la actualización del PEI y la normatividad vigente.</v>
      </c>
      <c r="K987" s="11" t="str">
        <f>IFERROR(IF(VLOOKUP(A987,[7]PRIORIZADOS!$A:$K,11,FALSE)="","",VLOOKUP(A987,[7]PRIORIZADOS!$A:$K,11,FALSE)),"")</f>
        <v>JAIME GABRIEL GONZÁLEZ GAMBOA</v>
      </c>
      <c r="L987" s="11" t="str">
        <f>IFERROR(IF(VLOOKUP(A987,[7]PRIORIZADOS!$A:$L,12,FALSE)="","",VLOOKUP(A987,[7]PRIORIZADOS!$A:$L,12,FALSE)),"")</f>
        <v>JOSÉ GUILLERMO ALARCÓN CUALLA</v>
      </c>
      <c r="M987" s="156">
        <f>IFERROR(IF(VLOOKUP(A987,[7]PRIORIZADOS!$A:$M,13,FALSE)="","",VLOOKUP(A987,[7]PRIORIZADOS!$A:$M,13,FALSE)),"")</f>
        <v>45771</v>
      </c>
      <c r="N987" s="156">
        <f>IFERROR(IF(VLOOKUP(A987,[7]PRIORIZADOS!$A:$N,14,FALSE)="","",VLOOKUP(A987,[7]PRIORIZADOS!$A:$N,14,FALSE)),"")</f>
        <v>45806</v>
      </c>
      <c r="O987" s="156">
        <f>IFERROR(IF(VLOOKUP(A987,[7]PRIORIZADOS!$A:$O,15,FALSE)="","",VLOOKUP(A987,[7]PRIORIZADOS!$A:$O,15,FALSE)),"")</f>
        <v>45806</v>
      </c>
      <c r="P987" s="11" t="str">
        <f>IFERROR(IF(VLOOKUP(A987,[7]PRIORIZADOS!$A:$P,16,FALSE)="","",VLOOKUP(A987,[7]PRIORIZADOS!$A:$P,16,FALSE)),"")</f>
        <v>Visitas de evaluación con fines de mejoramiento</v>
      </c>
      <c r="Q987" s="7" t="s">
        <v>172</v>
      </c>
      <c r="R987" s="69" t="str">
        <f>IFERROR(IF(VLOOKUP(A987,[7]PRIORIZADOS!$A:$R,18,FALSE)="","",VLOOKUP(A987,[7]PRIORIZADOS!$A:$R,18,FALSE)),"")</f>
        <v>Esta publicado, es de conocimiento de la comunidad y se soporta en un sistema de registro de resultados académicos.</v>
      </c>
      <c r="S987" s="69" t="str">
        <f>IFERROR(IF(VLOOKUP(A987,[7]PRIORIZADOS!$A:$S,19,FALSE)="","",VLOOKUP(A987,[7]PRIORIZADOS!$A:$S,19,FALSE)),"")</f>
        <v>. La institución cuenta con un sistema de valoración académica, de consulta en plataforma y atienda oportunamente las dificultades en los resultados escolares</v>
      </c>
      <c r="T987" s="87" t="str">
        <f>IFERROR(IF(VLOOKUP(A987,[7]PRIORIZADOS!$A:$T,20,FALSE)="","",VLOOKUP(A987,[7]PRIORIZADOS!$A:$T,20,FALSE)),"")</f>
        <v>No</v>
      </c>
      <c r="U987" s="69" t="str">
        <f>IFERROR(IF(VLOOKUP(A987,[7]PRIORIZADOS!$A:$U,21,FALSE)="","",VLOOKUP(A987,[7]PRIORIZADOS!$A:$U,21,FALSE)),"")</f>
        <v>Se efectuará revisión en caso de presentarse queja.</v>
      </c>
    </row>
    <row r="988" spans="1:21" s="1" customFormat="1" ht="48">
      <c r="A988" s="69">
        <f>IF([7]PRIORIZADOS!A61="","",[7]PRIORIZADOS!A61)</f>
        <v>936</v>
      </c>
      <c r="B988" s="87">
        <f>IFERROR(IF(VLOOKUP(A988,[7]PRIORIZADOS!$A:$B,2,FALSE)="","",VLOOKUP(A988,[7]PRIORIZADOS!$A:$B,2,FALSE)),"")</f>
        <v>7</v>
      </c>
      <c r="C988" s="11" t="str">
        <f>IFERROR(IF(VLOOKUP(A988,[7]PRIORIZADOS!$A:$C,3,FALSE)="","",VLOOKUP(A988,[7]PRIORIZADOS!$A:$C,3,FALSE)),"")</f>
        <v>FONTIBÓN</v>
      </c>
      <c r="D988" s="69" t="str">
        <f>IFERROR(IF(VLOOKUP(A988,[7]PRIORIZADOS!$A:$D,4,FALSE)="","",VLOOKUP(A988,[7]PRIORIZADOS!$A:$D,4,FALSE)),"")</f>
        <v>PRIVADO</v>
      </c>
      <c r="E988" s="69" t="str">
        <f>IFERROR(IF(VLOOKUP(A988,[7]PRIORIZADOS!$A:$E,5,FALSE)="","",VLOOKUP(A988,[7]PRIORIZADOS!$A:$E,5,FALSE)),"")</f>
        <v>EPBM</v>
      </c>
      <c r="F988" s="11" t="str">
        <f>IFERROR(IF(VLOOKUP(A988,[7]PRIORIZADOS!$A:$F,6,FALSE)="","",VLOOKUP(A988,[7]PRIORIZADOS!$A:$F,6,FALSE)),"")</f>
        <v>UNIDAD_EDUCATIVA_PRADOS_DE_ALAMEDA</v>
      </c>
      <c r="G988" s="69" t="str">
        <f>IFERROR(IF(VLOOKUP(A988,[7]PRIORIZADOS!$A:$G,7,FALSE)="","",VLOOKUP(A988,[7]PRIORIZADOS!$A:$G,7,FALSE)),"")</f>
        <v>UNIDAD_EDUCATIVA_PRADOS_DE_ALAMEDA</v>
      </c>
      <c r="H988" s="11" t="str">
        <f>IFERROR(IF(VLOOKUP(A988,[7]PRIORIZADOS!$A:$H,8,FALSE)="","",VLOOKUP(A988,[7]PRIORIZADOS!$A:$H,8,FALSE)),"")</f>
        <v>Autoevaluación Institucional y Pruebas SABER 11</v>
      </c>
      <c r="I988" s="11" t="str">
        <f>IFERROR(IF(VLOOKUP(A988,[7]PRIORIZADOS!$A:$I,9,FALSE)="","",VLOOKUP(A988,[7]PRIORIZADOS!$A:$I,9,FALSE)),"")</f>
        <v>EVALUACIÓN_CON_FINES_DE_MEJORAMIENTO.</v>
      </c>
      <c r="J988" s="11" t="str">
        <f>IFERROR(IF(VLOOKUP(A988,[7]PRIORIZADOS!$A:$J,10,FALSE)="","",VLOOKUP(A988,[7]PRIORIZADOS!$A:$J,10,FALSE)),"")</f>
        <v>Revisar el calendario escolar, jornada escolar, la intensidad horaria mínima anual en cada nivel y las modificaciones que se realicen al mismo, de acuerdo con lo previsto en la normatividad vigente.</v>
      </c>
      <c r="K988" s="11" t="str">
        <f>IFERROR(IF(VLOOKUP(A988,[7]PRIORIZADOS!$A:$K,11,FALSE)="","",VLOOKUP(A988,[7]PRIORIZADOS!$A:$K,11,FALSE)),"")</f>
        <v>JAIME GABRIEL GONZÁLEZ GAMBOA</v>
      </c>
      <c r="L988" s="11" t="str">
        <f>IFERROR(IF(VLOOKUP(A988,[7]PRIORIZADOS!$A:$L,12,FALSE)="","",VLOOKUP(A988,[7]PRIORIZADOS!$A:$L,12,FALSE)),"")</f>
        <v>JOSÉ GUILLERMO ALARCÓN CUALLA</v>
      </c>
      <c r="M988" s="156">
        <f>IFERROR(IF(VLOOKUP(A988,[7]PRIORIZADOS!$A:$M,13,FALSE)="","",VLOOKUP(A988,[7]PRIORIZADOS!$A:$M,13,FALSE)),"")</f>
        <v>45771</v>
      </c>
      <c r="N988" s="156">
        <f>IFERROR(IF(VLOOKUP(A988,[7]PRIORIZADOS!$A:$N,14,FALSE)="","",VLOOKUP(A988,[7]PRIORIZADOS!$A:$N,14,FALSE)),"")</f>
        <v>45806</v>
      </c>
      <c r="O988" s="156">
        <f>IFERROR(IF(VLOOKUP(A988,[7]PRIORIZADOS!$A:$O,15,FALSE)="","",VLOOKUP(A988,[7]PRIORIZADOS!$A:$O,15,FALSE)),"")</f>
        <v>45806</v>
      </c>
      <c r="P988" s="11" t="str">
        <f>IFERROR(IF(VLOOKUP(A988,[7]PRIORIZADOS!$A:$P,16,FALSE)="","",VLOOKUP(A988,[7]PRIORIZADOS!$A:$P,16,FALSE)),"")</f>
        <v>Visitas de evaluación con fines de mejoramiento</v>
      </c>
      <c r="Q988" s="7" t="s">
        <v>172</v>
      </c>
      <c r="R988" s="69" t="str">
        <f>IFERROR(IF(VLOOKUP(A988,[7]PRIORIZADOS!$A:$R,18,FALSE)="","",VLOOKUP(A988,[7]PRIORIZADOS!$A:$R,18,FALSE)),"")</f>
        <v>Está publicado, es de conocimiento institucional y acorde con la normatividad.</v>
      </c>
      <c r="S988" s="69" t="str">
        <f>IFERROR(IF(VLOOKUP(A988,[7]PRIORIZADOS!$A:$S,19,FALSE)="","",VLOOKUP(A988,[7]PRIORIZADOS!$A:$S,19,FALSE)),"")</f>
        <v>Continuar su desarrollo e implementación</v>
      </c>
      <c r="T988" s="87" t="str">
        <f>IFERROR(IF(VLOOKUP(A988,[7]PRIORIZADOS!$A:$T,20,FALSE)="","",VLOOKUP(A988,[7]PRIORIZADOS!$A:$T,20,FALSE)),"")</f>
        <v>No</v>
      </c>
      <c r="U988" s="69" t="str">
        <f>IFERROR(IF(VLOOKUP(A988,[7]PRIORIZADOS!$A:$U,21,FALSE)="","",VLOOKUP(A988,[7]PRIORIZADOS!$A:$U,21,FALSE)),"")</f>
        <v>Se efectuará revisión en caso de presentarse queja.</v>
      </c>
    </row>
    <row r="989" spans="1:21" s="1" customFormat="1" ht="48">
      <c r="A989" s="69">
        <f>IF([7]PRIORIZADOS!A62="","",[7]PRIORIZADOS!A62)</f>
        <v>937</v>
      </c>
      <c r="B989" s="87">
        <f>IFERROR(IF(VLOOKUP(A989,[7]PRIORIZADOS!$A:$B,2,FALSE)="","",VLOOKUP(A989,[7]PRIORIZADOS!$A:$B,2,FALSE)),"")</f>
        <v>7</v>
      </c>
      <c r="C989" s="11" t="str">
        <f>IFERROR(IF(VLOOKUP(A989,[7]PRIORIZADOS!$A:$C,3,FALSE)="","",VLOOKUP(A989,[7]PRIORIZADOS!$A:$C,3,FALSE)),"")</f>
        <v>FONTIBÓN</v>
      </c>
      <c r="D989" s="69" t="str">
        <f>IFERROR(IF(VLOOKUP(A989,[7]PRIORIZADOS!$A:$D,4,FALSE)="","",VLOOKUP(A989,[7]PRIORIZADOS!$A:$D,4,FALSE)),"")</f>
        <v>PRIVADO</v>
      </c>
      <c r="E989" s="69" t="str">
        <f>IFERROR(IF(VLOOKUP(A989,[7]PRIORIZADOS!$A:$E,5,FALSE)="","",VLOOKUP(A989,[7]PRIORIZADOS!$A:$E,5,FALSE)),"")</f>
        <v>EPBM</v>
      </c>
      <c r="F989" s="11" t="str">
        <f>IFERROR(IF(VLOOKUP(A989,[7]PRIORIZADOS!$A:$F,6,FALSE)="","",VLOOKUP(A989,[7]PRIORIZADOS!$A:$F,6,FALSE)),"")</f>
        <v>UNIDAD_EDUCATIVA_PRADOS_DE_ALAMEDA</v>
      </c>
      <c r="G989" s="69" t="str">
        <f>IFERROR(IF(VLOOKUP(A989,[7]PRIORIZADOS!$A:$G,7,FALSE)="","",VLOOKUP(A989,[7]PRIORIZADOS!$A:$G,7,FALSE)),"")</f>
        <v>UNIDAD_EDUCATIVA_PRADOS_DE_ALAMEDA</v>
      </c>
      <c r="H989" s="11" t="str">
        <f>IFERROR(IF(VLOOKUP(A989,[7]PRIORIZADOS!$A:$H,8,FALSE)="","",VLOOKUP(A989,[7]PRIORIZADOS!$A:$H,8,FALSE)),"")</f>
        <v>Autoevaluación Institucional y Pruebas SABER 11</v>
      </c>
      <c r="I989" s="11" t="str">
        <f>IFERROR(IF(VLOOKUP(A989,[7]PRIORIZADOS!$A:$I,9,FALSE)="","",VLOOKUP(A989,[7]PRIORIZADOS!$A:$I,9,FALSE)),"")</f>
        <v>EVALUACIÓN_CON_FINES_DE_MEJORAMIENTO.</v>
      </c>
      <c r="J989" s="11" t="str">
        <f>IFERROR(IF(VLOOKUP(A989,[7]PRIORIZADOS!$A:$J,10,FALSE)="","",VLOOKUP(A989,[7]PRIORIZADOS!$A:$J,10,FALSE)),"")</f>
        <v>Verificar el funcionamiento del Gobierno Escolar e instancias de participación con base en la información sobre conformación reportada por la institución educativa.</v>
      </c>
      <c r="K989" s="11" t="str">
        <f>IFERROR(IF(VLOOKUP(A989,[7]PRIORIZADOS!$A:$K,11,FALSE)="","",VLOOKUP(A989,[7]PRIORIZADOS!$A:$K,11,FALSE)),"")</f>
        <v>JAIME GABRIEL GONZÁLEZ GAMBOA</v>
      </c>
      <c r="L989" s="11" t="str">
        <f>IFERROR(IF(VLOOKUP(A989,[7]PRIORIZADOS!$A:$L,12,FALSE)="","",VLOOKUP(A989,[7]PRIORIZADOS!$A:$L,12,FALSE)),"")</f>
        <v>JOSÉ GUILLERMO ALARCÓN CUALLA</v>
      </c>
      <c r="M989" s="156">
        <f>IFERROR(IF(VLOOKUP(A989,[7]PRIORIZADOS!$A:$M,13,FALSE)="","",VLOOKUP(A989,[7]PRIORIZADOS!$A:$M,13,FALSE)),"")</f>
        <v>45771</v>
      </c>
      <c r="N989" s="156">
        <f>IFERROR(IF(VLOOKUP(A989,[7]PRIORIZADOS!$A:$N,14,FALSE)="","",VLOOKUP(A989,[7]PRIORIZADOS!$A:$N,14,FALSE)),"")</f>
        <v>45806</v>
      </c>
      <c r="O989" s="156">
        <f>IFERROR(IF(VLOOKUP(A989,[7]PRIORIZADOS!$A:$O,15,FALSE)="","",VLOOKUP(A989,[7]PRIORIZADOS!$A:$O,15,FALSE)),"")</f>
        <v>45806</v>
      </c>
      <c r="P989" s="11" t="str">
        <f>IFERROR(IF(VLOOKUP(A989,[7]PRIORIZADOS!$A:$P,16,FALSE)="","",VLOOKUP(A989,[7]PRIORIZADOS!$A:$P,16,FALSE)),"")</f>
        <v>Visitas de evaluación con fines de mejoramiento</v>
      </c>
      <c r="Q989" s="7" t="s">
        <v>172</v>
      </c>
      <c r="R989" s="69" t="str">
        <f>IFERROR(IF(VLOOKUP(A989,[7]PRIORIZADOS!$A:$R,18,FALSE)="","",VLOOKUP(A989,[7]PRIORIZADOS!$A:$R,18,FALSE)),"")</f>
        <v>Se encuentra registrado en plataforma SAE y en funcionamiento.</v>
      </c>
      <c r="S989" s="69" t="str">
        <f>IFERROR(IF(VLOOKUP(A989,[7]PRIORIZADOS!$A:$S,19,FALSE)="","",VLOOKUP(A989,[7]PRIORIZADOS!$A:$S,19,FALSE)),"")</f>
        <v>Los colegiados están en actividad y sesionan con regularidad.</v>
      </c>
      <c r="T989" s="87" t="str">
        <f>IFERROR(IF(VLOOKUP(A989,[7]PRIORIZADOS!$A:$T,20,FALSE)="","",VLOOKUP(A989,[7]PRIORIZADOS!$A:$T,20,FALSE)),"")</f>
        <v>No</v>
      </c>
      <c r="U989" s="69" t="str">
        <f>IFERROR(IF(VLOOKUP(A989,[7]PRIORIZADOS!$A:$U,21,FALSE)="","",VLOOKUP(A989,[7]PRIORIZADOS!$A:$U,21,FALSE)),"")</f>
        <v>Se verificará la conformación del gobierno e instancias para la siguiente vigencia.</v>
      </c>
    </row>
    <row r="990" spans="1:21" s="1" customFormat="1" ht="36">
      <c r="A990" s="69">
        <f>IF([7]PRIORIZADOS!A63="","",[7]PRIORIZADOS!A63)</f>
        <v>938</v>
      </c>
      <c r="B990" s="87">
        <f>IFERROR(IF(VLOOKUP(A990,[7]PRIORIZADOS!$A:$B,2,FALSE)="","",VLOOKUP(A990,[7]PRIORIZADOS!$A:$B,2,FALSE)),"")</f>
        <v>7</v>
      </c>
      <c r="C990" s="11" t="str">
        <f>IFERROR(IF(VLOOKUP(A990,[7]PRIORIZADOS!$A:$C,3,FALSE)="","",VLOOKUP(A990,[7]PRIORIZADOS!$A:$C,3,FALSE)),"")</f>
        <v>FONTIBÓN</v>
      </c>
      <c r="D990" s="69" t="str">
        <f>IFERROR(IF(VLOOKUP(A990,[7]PRIORIZADOS!$A:$D,4,FALSE)="","",VLOOKUP(A990,[7]PRIORIZADOS!$A:$D,4,FALSE)),"")</f>
        <v>PRIVADO</v>
      </c>
      <c r="E990" s="69" t="str">
        <f>IFERROR(IF(VLOOKUP(A990,[7]PRIORIZADOS!$A:$E,5,FALSE)="","",VLOOKUP(A990,[7]PRIORIZADOS!$A:$E,5,FALSE)),"")</f>
        <v>EPBM</v>
      </c>
      <c r="F990" s="11" t="str">
        <f>IFERROR(IF(VLOOKUP(A990,[7]PRIORIZADOS!$A:$F,6,FALSE)="","",VLOOKUP(A990,[7]PRIORIZADOS!$A:$F,6,FALSE)),"")</f>
        <v>UNIDAD_EDUCATIVA_PRADOS_DE_ALAMEDA</v>
      </c>
      <c r="G990" s="69" t="str">
        <f>IFERROR(IF(VLOOKUP(A990,[7]PRIORIZADOS!$A:$G,7,FALSE)="","",VLOOKUP(A990,[7]PRIORIZADOS!$A:$G,7,FALSE)),"")</f>
        <v>UNIDAD_EDUCATIVA_PRADOS_DE_ALAMEDA</v>
      </c>
      <c r="H990" s="11" t="str">
        <f>IFERROR(IF(VLOOKUP(A990,[7]PRIORIZADOS!$A:$H,8,FALSE)="","",VLOOKUP(A990,[7]PRIORIZADOS!$A:$H,8,FALSE)),"")</f>
        <v>Autoevaluación Institucional y Pruebas SABER 11</v>
      </c>
      <c r="I990" s="11" t="str">
        <f>IFERROR(IF(VLOOKUP(A990,[7]PRIORIZADOS!$A:$I,9,FALSE)="","",VLOOKUP(A990,[7]PRIORIZADOS!$A:$I,9,FALSE)),"")</f>
        <v>EVALUACIÓN_CON_FINES_DE_MEJORAMIENTO.</v>
      </c>
      <c r="J990" s="11" t="str">
        <f>IFERROR(IF(VLOOKUP(A990,[7]PRIORIZADOS!$A:$J,10,FALSE)="","",VLOOKUP(A990,[7]PRIORIZADOS!$A:$J,10,FALSE)),"")</f>
        <v>Verificar las condiciones en cuanto a: la estructura administrativa, condiciones de la planta física y medios educativos adecuados.</v>
      </c>
      <c r="K990" s="11" t="str">
        <f>IFERROR(IF(VLOOKUP(A990,[7]PRIORIZADOS!$A:$K,11,FALSE)="","",VLOOKUP(A990,[7]PRIORIZADOS!$A:$K,11,FALSE)),"")</f>
        <v>JAIME GABRIEL GONZÁLEZ GAMBOA</v>
      </c>
      <c r="L990" s="11" t="str">
        <f>IFERROR(IF(VLOOKUP(A990,[7]PRIORIZADOS!$A:$L,12,FALSE)="","",VLOOKUP(A990,[7]PRIORIZADOS!$A:$L,12,FALSE)),"")</f>
        <v>JOSÉ GUILLERMO ALARCÓN CUALLA</v>
      </c>
      <c r="M990" s="156">
        <f>IFERROR(IF(VLOOKUP(A990,[7]PRIORIZADOS!$A:$M,13,FALSE)="","",VLOOKUP(A990,[7]PRIORIZADOS!$A:$M,13,FALSE)),"")</f>
        <v>45771</v>
      </c>
      <c r="N990" s="156">
        <f>IFERROR(IF(VLOOKUP(A990,[7]PRIORIZADOS!$A:$N,14,FALSE)="","",VLOOKUP(A990,[7]PRIORIZADOS!$A:$N,14,FALSE)),"")</f>
        <v>45806</v>
      </c>
      <c r="O990" s="156">
        <f>IFERROR(IF(VLOOKUP(A990,[7]PRIORIZADOS!$A:$O,15,FALSE)="","",VLOOKUP(A990,[7]PRIORIZADOS!$A:$O,15,FALSE)),"")</f>
        <v>45806</v>
      </c>
      <c r="P990" s="11" t="str">
        <f>IFERROR(IF(VLOOKUP(A990,[7]PRIORIZADOS!$A:$P,16,FALSE)="","",VLOOKUP(A990,[7]PRIORIZADOS!$A:$P,16,FALSE)),"")</f>
        <v>Visitas de evaluación con fines de mejoramiento</v>
      </c>
      <c r="Q990" s="9" t="s">
        <v>172</v>
      </c>
      <c r="R990" s="11" t="str">
        <f>IFERROR(IF(VLOOKUP(A990,[7]PRIORIZADOS!$A:$R,18,FALSE)="","",VLOOKUP(A990,[7]PRIORIZADOS!$A:$R,18,FALSE)),"")</f>
        <v>Cuenta con espacios suficientes, administrativos, académicos y de bienestar.</v>
      </c>
      <c r="S990" s="11" t="str">
        <f>IFERROR(IF(VLOOKUP(A990,[7]PRIORIZADOS!$A:$S,19,FALSE)="","",VLOOKUP(A990,[7]PRIORIZADOS!$A:$S,19,FALSE)),"")</f>
        <v>Los espacios académicos – pedagógicos brindan a la población escolar un buen campo de desarrollo cognitivo y social.</v>
      </c>
      <c r="T990" s="70" t="str">
        <f>IFERROR(IF(VLOOKUP(A990,[7]PRIORIZADOS!$A:$T,20,FALSE)="","",VLOOKUP(A990,[7]PRIORIZADOS!$A:$T,20,FALSE)),"")</f>
        <v>No</v>
      </c>
      <c r="U990" s="11" t="str">
        <f>IFERROR(IF(VLOOKUP(A990,[7]PRIORIZADOS!$A:$U,21,FALSE)="","",VLOOKUP(A990,[7]PRIORIZADOS!$A:$U,21,FALSE)),"")</f>
        <v>Se efectuara revisión en caso de presentarse queja</v>
      </c>
    </row>
    <row r="991" spans="1:21" s="1" customFormat="1" ht="96">
      <c r="A991" s="69">
        <f>IF([7]PRIORIZADOS!A65="","",[7]PRIORIZADOS!A65)</f>
        <v>940</v>
      </c>
      <c r="B991" s="87">
        <f>IFERROR(IF(VLOOKUP(A991,[7]PRIORIZADOS!$A:$B,2,FALSE)="","",VLOOKUP(A991,[7]PRIORIZADOS!$A:$B,2,FALSE)),"")</f>
        <v>8</v>
      </c>
      <c r="C991" s="11" t="str">
        <f>IFERROR(IF(VLOOKUP(A991,[7]PRIORIZADOS!$A:$C,3,FALSE)="","",VLOOKUP(A991,[7]PRIORIZADOS!$A:$C,3,FALSE)),"")</f>
        <v>FONTIBÓN</v>
      </c>
      <c r="D991" s="69" t="str">
        <f>IFERROR(IF(VLOOKUP(A991,[7]PRIORIZADOS!$A:$D,4,FALSE)="","",VLOOKUP(A991,[7]PRIORIZADOS!$A:$D,4,FALSE)),"")</f>
        <v>PRIVADO</v>
      </c>
      <c r="E991" s="69" t="str">
        <f>IFERROR(IF(VLOOKUP(A991,[7]PRIORIZADOS!$A:$E,5,FALSE)="","",VLOOKUP(A991,[7]PRIORIZADOS!$A:$E,5,FALSE)),"")</f>
        <v>Educación de Jóvenes y Adultos</v>
      </c>
      <c r="F991" s="11" t="str">
        <f>IFERROR(IF(VLOOKUP(A991,[7]PRIORIZADOS!$A:$F,6,FALSE)="","",VLOOKUP(A991,[7]PRIORIZADOS!$A:$F,6,FALSE)),"")</f>
        <v>COLEGIO_MARCO_AURELIO</v>
      </c>
      <c r="G991" s="69" t="str">
        <f>IFERROR(IF(VLOOKUP(A991,[7]PRIORIZADOS!$A:$G,7,FALSE)="","",VLOOKUP(A991,[7]PRIORIZADOS!$A:$G,7,FALSE)),"")</f>
        <v>COLEGIO_MARCO_AURELIO</v>
      </c>
      <c r="H991" s="11" t="str">
        <f>IFERROR(IF(VLOOKUP(A991,[7]PRIORIZADOS!$A:$H,8,FALSE)="","",VLOOKUP(A991,[7]PRIORIZADOS!$A:$H,8,FALSE)),"")</f>
        <v>Autoevaluación Institucional y Pruebas SABER 11</v>
      </c>
      <c r="I991" s="11" t="str">
        <f>IFERROR(IF(VLOOKUP(A991,[7]PRIORIZADOS!$A:$I,9,FALSE)="","",VLOOKUP(A991,[7]PRIORIZADOS!$A:$I,9,FALSE)),"")</f>
        <v>SEGUIMIENTO_Y_SUPERVISIÓN.</v>
      </c>
      <c r="J991" s="11" t="str">
        <f>IFERROR(IF(VLOOKUP(A991,[7]PRIORIZADOS!$A:$J,10,FALSE)="","",VLOOKUP(A991,[7]PRIORIZADOS!$A:$J,10,FALSE)),"")</f>
        <v>Proponer estrategias en la formulación, verificar su elaboración y realizar seguimiento semestral al desarrollo de  las acciones establecidas en los planes de mejoramiento por pruebas SABER 11 de los establecimientos de educación formal.</v>
      </c>
      <c r="K991" s="11" t="str">
        <f>IFERROR(IF(VLOOKUP(A991,[7]PRIORIZADOS!$A:$K,11,FALSE)="","",VLOOKUP(A991,[7]PRIORIZADOS!$A:$K,11,FALSE)),"")</f>
        <v>JAIME GABRIEL GONZÁLEZ GAMBOA</v>
      </c>
      <c r="L991" s="11" t="str">
        <f>IFERROR(IF(VLOOKUP(A991,[7]PRIORIZADOS!$A:$L,12,FALSE)="","",VLOOKUP(A991,[7]PRIORIZADOS!$A:$L,12,FALSE)),"")</f>
        <v>JOSÉ GUILLERMO ALARCÓN CUALLA</v>
      </c>
      <c r="M991" s="156">
        <f>IFERROR(IF(VLOOKUP(A991,[7]PRIORIZADOS!$A:$M,13,FALSE)="","",VLOOKUP(A991,[7]PRIORIZADOS!$A:$M,13,FALSE)),"")</f>
        <v>45790</v>
      </c>
      <c r="N991" s="156">
        <f>IFERROR(IF(VLOOKUP(A991,[7]PRIORIZADOS!$A:$N,14,FALSE)="","",VLOOKUP(A991,[7]PRIORIZADOS!$A:$N,14,FALSE)),"")</f>
        <v>45864</v>
      </c>
      <c r="O991" s="156">
        <f>IFERROR(IF(VLOOKUP(A991,[7]PRIORIZADOS!$A:$O,15,FALSE)="","",VLOOKUP(A991,[7]PRIORIZADOS!$A:$O,15,FALSE)),"")</f>
        <v>45864</v>
      </c>
      <c r="P991" s="11" t="str">
        <f>IFERROR(IF(VLOOKUP(A991,[7]PRIORIZADOS!$A:$P,16,FALSE)="","",VLOOKUP(A991,[7]PRIORIZADOS!$A:$P,16,FALSE)),"")</f>
        <v>Visitas de evaluación con fines de mejoramiento</v>
      </c>
      <c r="Q991" s="142" t="s">
        <v>173</v>
      </c>
      <c r="R991" s="11" t="str">
        <f>IFERROR(IF(VLOOKUP(A991,[7]PRIORIZADOS!$A:$R,18,FALSE)="","",VLOOKUP(A991,[7]PRIORIZADOS!$A:$R,18,FALSE)),"")</f>
        <v>La institución no ha implementado acciones para mejorar los aprendizajes de los estudiantes en las áreas del plan de estudio con más bajo desempeño en las pruebas SABER 11, ni  actualizado el currículo y plan de estudios  con base en los resultados obtenidos en las pruebas SABER 11?</v>
      </c>
      <c r="S991" s="11" t="str">
        <f>IFERROR(IF(VLOOKUP(A991,[7]PRIORIZADOS!$A:$S,19,FALSE)="","",VLOOKUP(A991,[7]PRIORIZADOS!$A:$S,19,FALSE)),"")</f>
        <v xml:space="preserve">Se debe llevar a Consejo Académico el Plan de Mejoramiento, donde se involucre el PEI, el Currículo en relación con el desempeño institucional de las pruebas saber </v>
      </c>
      <c r="T991" s="70" t="str">
        <f>IFERROR(IF(VLOOKUP(A991,[7]PRIORIZADOS!$A:$T,20,FALSE)="","",VLOOKUP(A991,[7]PRIORIZADOS!$A:$T,20,FALSE)),"")</f>
        <v>Si</v>
      </c>
      <c r="U991" s="11" t="str">
        <f>IFERROR(IF(VLOOKUP(A991,[7]PRIORIZADOS!$A:$U,21,FALSE)="","",VLOOKUP(A991,[7]PRIORIZADOS!$A:$U,21,FALSE)),"")</f>
        <v>Presentará plan de trabajo en el mes de  agosto del 2025</v>
      </c>
    </row>
    <row r="992" spans="1:21" s="1" customFormat="1" ht="84">
      <c r="A992" s="69">
        <f>IF([7]PRIORIZADOS!A66="","",[7]PRIORIZADOS!A66)</f>
        <v>941</v>
      </c>
      <c r="B992" s="87">
        <f>IFERROR(IF(VLOOKUP(A992,[7]PRIORIZADOS!$A:$B,2,FALSE)="","",VLOOKUP(A992,[7]PRIORIZADOS!$A:$B,2,FALSE)),"")</f>
        <v>8</v>
      </c>
      <c r="C992" s="11" t="str">
        <f>IFERROR(IF(VLOOKUP(A992,[7]PRIORIZADOS!$A:$C,3,FALSE)="","",VLOOKUP(A992,[7]PRIORIZADOS!$A:$C,3,FALSE)),"")</f>
        <v>FONTIBÓN</v>
      </c>
      <c r="D992" s="69" t="str">
        <f>IFERROR(IF(VLOOKUP(A992,[7]PRIORIZADOS!$A:$D,4,FALSE)="","",VLOOKUP(A992,[7]PRIORIZADOS!$A:$D,4,FALSE)),"")</f>
        <v>PRIVADO</v>
      </c>
      <c r="E992" s="69" t="str">
        <f>IFERROR(IF(VLOOKUP(A992,[7]PRIORIZADOS!$A:$E,5,FALSE)="","",VLOOKUP(A992,[7]PRIORIZADOS!$A:$E,5,FALSE)),"")</f>
        <v>Educación de Jóvenes y Adultos</v>
      </c>
      <c r="F992" s="11" t="str">
        <f>IFERROR(IF(VLOOKUP(A992,[7]PRIORIZADOS!$A:$F,6,FALSE)="","",VLOOKUP(A992,[7]PRIORIZADOS!$A:$F,6,FALSE)),"")</f>
        <v>COLEGIO_MARCO_AURELIO</v>
      </c>
      <c r="G992" s="69" t="str">
        <f>IFERROR(IF(VLOOKUP(A992,[7]PRIORIZADOS!$A:$G,7,FALSE)="","",VLOOKUP(A992,[7]PRIORIZADOS!$A:$G,7,FALSE)),"")</f>
        <v>COLEGIO_MARCO_AURELIO</v>
      </c>
      <c r="H992" s="11" t="str">
        <f>IFERROR(IF(VLOOKUP(A992,[7]PRIORIZADOS!$A:$H,8,FALSE)="","",VLOOKUP(A992,[7]PRIORIZADOS!$A:$H,8,FALSE)),"")</f>
        <v>Autoevaluación Institucional y Pruebas SABER 11</v>
      </c>
      <c r="I992" s="11" t="str">
        <f>IFERROR(IF(VLOOKUP(A992,[7]PRIORIZADOS!$A:$I,9,FALSE)="","",VLOOKUP(A992,[7]PRIORIZADOS!$A:$I,9,FALSE)),"")</f>
        <v>SEGUIMIENTO_Y_SUPERVISIÓN.</v>
      </c>
      <c r="J992" s="11" t="str">
        <f>IFERROR(IF(VLOOKUP(A992,[7]PRIORIZADOS!$A:$J,10,FALSE)="","",VLOOKUP(A992,[7]PRIORIZADOS!$A:$J,10,FALSE)),"")</f>
        <v xml:space="preserve">Verificar la implementación por parte de los colegios, de acciones realizadas para la prevención y atención de las situaciones de convivencia en el entorno escolar, según lo establecido en la Directiva 01 de 2022 del MEN. </v>
      </c>
      <c r="K992" s="11" t="str">
        <f>IFERROR(IF(VLOOKUP(A992,[7]PRIORIZADOS!$A:$K,11,FALSE)="","",VLOOKUP(A992,[7]PRIORIZADOS!$A:$K,11,FALSE)),"")</f>
        <v>JAIME GABRIEL GONZÁLEZ GAMBOA</v>
      </c>
      <c r="L992" s="11" t="str">
        <f>IFERROR(IF(VLOOKUP(A992,[7]PRIORIZADOS!$A:$L,12,FALSE)="","",VLOOKUP(A992,[7]PRIORIZADOS!$A:$L,12,FALSE)),"")</f>
        <v>JOSÉ GUILLERMO ALARCÓN CUALLA</v>
      </c>
      <c r="M992" s="156">
        <f>IFERROR(IF(VLOOKUP(A992,[7]PRIORIZADOS!$A:$M,13,FALSE)="","",VLOOKUP(A992,[7]PRIORIZADOS!$A:$M,13,FALSE)),"")</f>
        <v>45790</v>
      </c>
      <c r="N992" s="156">
        <f>IFERROR(IF(VLOOKUP(A992,[7]PRIORIZADOS!$A:$N,14,FALSE)="","",VLOOKUP(A992,[7]PRIORIZADOS!$A:$N,14,FALSE)),"")</f>
        <v>45864</v>
      </c>
      <c r="O992" s="156">
        <f>IFERROR(IF(VLOOKUP(A992,[7]PRIORIZADOS!$A:$O,15,FALSE)="","",VLOOKUP(A992,[7]PRIORIZADOS!$A:$O,15,FALSE)),"")</f>
        <v>45864</v>
      </c>
      <c r="P992" s="11" t="str">
        <f>IFERROR(IF(VLOOKUP(A992,[7]PRIORIZADOS!$A:$P,16,FALSE)="","",VLOOKUP(A992,[7]PRIORIZADOS!$A:$P,16,FALSE)),"")</f>
        <v>Visitas de evaluación con fines de mejoramiento</v>
      </c>
      <c r="Q992" s="142" t="s">
        <v>173</v>
      </c>
      <c r="R992" s="11" t="str">
        <f>IFERROR(IF(VLOOKUP(A992,[7]PRIORIZADOS!$A:$R,18,FALSE)="","",VLOOKUP(A992,[7]PRIORIZADOS!$A:$R,18,FALSE)),"")</f>
        <v xml:space="preserve">La institución realiza actividades pedagógico formativas del componente de  prevención y promoción de la ruta de atención integral  y verifica antecedentes por delitos sexuales.  </v>
      </c>
      <c r="S992" s="11" t="str">
        <f>IFERROR(IF(VLOOKUP(A992,[7]PRIORIZADOS!$A:$S,19,FALSE)="","",VLOOKUP(A992,[7]PRIORIZADOS!$A:$S,19,FALSE)),"")</f>
        <v>Continuar con la aplicación de las estrategias de prevención, promoción y seguimiento por parte del Comité de Convivencia Escolar, y continuar realizando la verificación de antecedentes de acuerdo a los tiempos establecidos en norma.</v>
      </c>
      <c r="T992" s="70" t="str">
        <f>IFERROR(IF(VLOOKUP(A992,[7]PRIORIZADOS!$A:$T,20,FALSE)="","",VLOOKUP(A992,[7]PRIORIZADOS!$A:$T,20,FALSE)),"")</f>
        <v>Si</v>
      </c>
      <c r="U992" s="11" t="str">
        <f>IFERROR(IF(VLOOKUP(A992,[7]PRIORIZADOS!$A:$U,21,FALSE)="","",VLOOKUP(A992,[7]PRIORIZADOS!$A:$U,21,FALSE)),"")</f>
        <v>Presentará plan de trabajo y mejoramiento en el mes de agosto de 2025</v>
      </c>
    </row>
    <row r="993" spans="1:21" s="1" customFormat="1" ht="99.75" customHeight="1">
      <c r="A993" s="69">
        <f>IF([7]PRIORIZADOS!A67="","",[7]PRIORIZADOS!A67)</f>
        <v>942</v>
      </c>
      <c r="B993" s="87">
        <f>IFERROR(IF(VLOOKUP(A993,[7]PRIORIZADOS!$A:$B,2,FALSE)="","",VLOOKUP(A993,[7]PRIORIZADOS!$A:$B,2,FALSE)),"")</f>
        <v>8</v>
      </c>
      <c r="C993" s="11" t="str">
        <f>IFERROR(IF(VLOOKUP(A993,[7]PRIORIZADOS!$A:$C,3,FALSE)="","",VLOOKUP(A993,[7]PRIORIZADOS!$A:$C,3,FALSE)),"")</f>
        <v>FONTIBÓN</v>
      </c>
      <c r="D993" s="69" t="str">
        <f>IFERROR(IF(VLOOKUP(A993,[7]PRIORIZADOS!$A:$D,4,FALSE)="","",VLOOKUP(A993,[7]PRIORIZADOS!$A:$D,4,FALSE)),"")</f>
        <v>PRIVADO</v>
      </c>
      <c r="E993" s="69" t="str">
        <f>IFERROR(IF(VLOOKUP(A993,[7]PRIORIZADOS!$A:$E,5,FALSE)="","",VLOOKUP(A993,[7]PRIORIZADOS!$A:$E,5,FALSE)),"")</f>
        <v>Educación de Jóvenes y Adultos</v>
      </c>
      <c r="F993" s="11" t="str">
        <f>IFERROR(IF(VLOOKUP(A993,[7]PRIORIZADOS!$A:$F,6,FALSE)="","",VLOOKUP(A993,[7]PRIORIZADOS!$A:$F,6,FALSE)),"")</f>
        <v>COLEGIO_MARCO_AURELIO</v>
      </c>
      <c r="G993" s="69" t="str">
        <f>IFERROR(IF(VLOOKUP(A993,[7]PRIORIZADOS!$A:$G,7,FALSE)="","",VLOOKUP(A993,[7]PRIORIZADOS!$A:$G,7,FALSE)),"")</f>
        <v>COLEGIO_MARCO_AURELIO</v>
      </c>
      <c r="H993" s="11" t="str">
        <f>IFERROR(IF(VLOOKUP(A993,[7]PRIORIZADOS!$A:$H,8,FALSE)="","",VLOOKUP(A993,[7]PRIORIZADOS!$A:$H,8,FALSE)),"")</f>
        <v>Autoevaluación Institucional y Pruebas SABER 11</v>
      </c>
      <c r="I993" s="11" t="str">
        <f>IFERROR(IF(VLOOKUP(A993,[7]PRIORIZADOS!$A:$I,9,FALSE)="","",VLOOKUP(A993,[7]PRIORIZADOS!$A:$I,9,FALSE)),"")</f>
        <v>SEGUIMIENTO_Y_SUPERVISIÓN.</v>
      </c>
      <c r="J993" s="11" t="str">
        <f>IFERROR(IF(VLOOKUP(A993,[7]PRIORIZADOS!$A:$J,10,FALSE)="","",VLOOKUP(A993,[7]PRIORIZADOS!$A:$J,10,FALSE)),"")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993" s="11" t="str">
        <f>IFERROR(IF(VLOOKUP(A993,[7]PRIORIZADOS!$A:$K,11,FALSE)="","",VLOOKUP(A993,[7]PRIORIZADOS!$A:$K,11,FALSE)),"")</f>
        <v>JAIME GABRIEL GONZÁLEZ GAMBOA</v>
      </c>
      <c r="L993" s="11" t="str">
        <f>IFERROR(IF(VLOOKUP(A993,[7]PRIORIZADOS!$A:$L,12,FALSE)="","",VLOOKUP(A993,[7]PRIORIZADOS!$A:$L,12,FALSE)),"")</f>
        <v>JOSÉ GUILLERMO ALARCÓN CUALLA</v>
      </c>
      <c r="M993" s="156">
        <f>IFERROR(IF(VLOOKUP(A993,[7]PRIORIZADOS!$A:$M,13,FALSE)="","",VLOOKUP(A993,[7]PRIORIZADOS!$A:$M,13,FALSE)),"")</f>
        <v>45790</v>
      </c>
      <c r="N993" s="156">
        <f>IFERROR(IF(VLOOKUP(A993,[7]PRIORIZADOS!$A:$N,14,FALSE)="","",VLOOKUP(A993,[7]PRIORIZADOS!$A:$N,14,FALSE)),"")</f>
        <v>45864</v>
      </c>
      <c r="O993" s="156">
        <f>IFERROR(IF(VLOOKUP(A993,[7]PRIORIZADOS!$A:$O,15,FALSE)="","",VLOOKUP(A993,[7]PRIORIZADOS!$A:$O,15,FALSE)),"")</f>
        <v>45864</v>
      </c>
      <c r="P993" s="11" t="str">
        <f>IFERROR(IF(VLOOKUP(A993,[7]PRIORIZADOS!$A:$P,16,FALSE)="","",VLOOKUP(A993,[7]PRIORIZADOS!$A:$P,16,FALSE)),"")</f>
        <v>Visitas de evaluación con fines de mejoramiento</v>
      </c>
      <c r="Q993" s="142" t="s">
        <v>173</v>
      </c>
      <c r="R993" s="11" t="str">
        <f>IFERROR(IF(VLOOKUP(A993,[7]PRIORIZADOS!$A:$R,18,FALSE)="","",VLOOKUP(A993,[7]PRIORIZADOS!$A:$R,18,FALSE)),"")</f>
        <v>La institución debe dirigir comunicación a los padres de familia y a la institución educativa anterior, para que informen sobre el seguimiento a la información registrada en el SIMAT.</v>
      </c>
      <c r="S993" s="11" t="str">
        <f>IFERROR(IF(VLOOKUP(A993,[7]PRIORIZADOS!$A:$S,19,FALSE)="","",VLOOKUP(A993,[7]PRIORIZADOS!$A:$S,19,FALSE)),"")</f>
        <v>La institución presentara plan de trabajo de acuerdo a la poblacion que se encuentre en lo establecido en el Decreto 1421 de 2017.</v>
      </c>
      <c r="T993" s="70" t="str">
        <f>IFERROR(IF(VLOOKUP(A993,[7]PRIORIZADOS!$A:$T,20,FALSE)="","",VLOOKUP(A993,[7]PRIORIZADOS!$A:$T,20,FALSE)),"")</f>
        <v>si</v>
      </c>
      <c r="U993" s="11" t="str">
        <f>IFERROR(IF(VLOOKUP(A993,[7]PRIORIZADOS!$A:$U,21,FALSE)="","",VLOOKUP(A993,[7]PRIORIZADOS!$A:$U,21,FALSE)),"")</f>
        <v>Presentará plan de trabajo a finales del mes de agosto del 2025, al cual se le realizara el respectivo seguimiento.</v>
      </c>
    </row>
    <row r="994" spans="1:21" s="1" customFormat="1" ht="99.75" customHeight="1">
      <c r="A994" s="69">
        <f>IF([7]PRIORIZADOS!A68="","",[7]PRIORIZADOS!A68)</f>
        <v>943</v>
      </c>
      <c r="B994" s="87">
        <f>IFERROR(IF(VLOOKUP(A994,[7]PRIORIZADOS!$A:$B,2,FALSE)="","",VLOOKUP(A994,[7]PRIORIZADOS!$A:$B,2,FALSE)),"")</f>
        <v>8</v>
      </c>
      <c r="C994" s="11" t="str">
        <f>IFERROR(IF(VLOOKUP(A994,[7]PRIORIZADOS!$A:$C,3,FALSE)="","",VLOOKUP(A994,[7]PRIORIZADOS!$A:$C,3,FALSE)),"")</f>
        <v>FONTIBÓN</v>
      </c>
      <c r="D994" s="69" t="str">
        <f>IFERROR(IF(VLOOKUP(A994,[7]PRIORIZADOS!$A:$D,4,FALSE)="","",VLOOKUP(A994,[7]PRIORIZADOS!$A:$D,4,FALSE)),"")</f>
        <v>PRIVADO</v>
      </c>
      <c r="E994" s="69" t="str">
        <f>IFERROR(IF(VLOOKUP(A994,[7]PRIORIZADOS!$A:$E,5,FALSE)="","",VLOOKUP(A994,[7]PRIORIZADOS!$A:$E,5,FALSE)),"")</f>
        <v>Educación de Jóvenes y Adultos</v>
      </c>
      <c r="F994" s="11" t="str">
        <f>IFERROR(IF(VLOOKUP(A994,[7]PRIORIZADOS!$A:$F,6,FALSE)="","",VLOOKUP(A994,[7]PRIORIZADOS!$A:$F,6,FALSE)),"")</f>
        <v>COLEGIO_MARCO_AURELIO</v>
      </c>
      <c r="G994" s="69" t="str">
        <f>IFERROR(IF(VLOOKUP(A994,[7]PRIORIZADOS!$A:$G,7,FALSE)="","",VLOOKUP(A994,[7]PRIORIZADOS!$A:$G,7,FALSE)),"")</f>
        <v>COLEGIO_MARCO_AURELIO</v>
      </c>
      <c r="H994" s="11" t="str">
        <f>IFERROR(IF(VLOOKUP(A994,[7]PRIORIZADOS!$A:$H,8,FALSE)="","",VLOOKUP(A994,[7]PRIORIZADOS!$A:$H,8,FALSE)),"")</f>
        <v>Autoevaluación Institucional y Pruebas SABER 11</v>
      </c>
      <c r="I994" s="11" t="str">
        <f>IFERROR(IF(VLOOKUP(A994,[7]PRIORIZADOS!$A:$I,9,FALSE)="","",VLOOKUP(A994,[7]PRIORIZADOS!$A:$I,9,FALSE)),"")</f>
        <v>EVALUACIÓN_CON_FINES_DE_MEJORAMIENTO.</v>
      </c>
      <c r="J994" s="11" t="str">
        <f>IFERROR(IF(VLOOKUP(A994,[7]PRIORIZADOS!$A:$J,10,FALSE)="","",VLOOKUP(A994,[7]PRIORIZADOS!$A:$J,10,FALSE)),"")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994" s="11" t="str">
        <f>IFERROR(IF(VLOOKUP(A994,[7]PRIORIZADOS!$A:$K,11,FALSE)="","",VLOOKUP(A994,[7]PRIORIZADOS!$A:$K,11,FALSE)),"")</f>
        <v>JAIME GABRIEL GONZÁLEZ GAMBOA</v>
      </c>
      <c r="L994" s="11" t="str">
        <f>IFERROR(IF(VLOOKUP(A994,[7]PRIORIZADOS!$A:$L,12,FALSE)="","",VLOOKUP(A994,[7]PRIORIZADOS!$A:$L,12,FALSE)),"")</f>
        <v>JOSÉ GUILLERMO ALARCÓN CUALLA</v>
      </c>
      <c r="M994" s="156">
        <f>IFERROR(IF(VLOOKUP(A994,[7]PRIORIZADOS!$A:$M,13,FALSE)="","",VLOOKUP(A994,[7]PRIORIZADOS!$A:$M,13,FALSE)),"")</f>
        <v>45790</v>
      </c>
      <c r="N994" s="156">
        <f>IFERROR(IF(VLOOKUP(A994,[7]PRIORIZADOS!$A:$N,14,FALSE)="","",VLOOKUP(A994,[7]PRIORIZADOS!$A:$N,14,FALSE)),"")</f>
        <v>45864</v>
      </c>
      <c r="O994" s="156">
        <f>IFERROR(IF(VLOOKUP(A994,[7]PRIORIZADOS!$A:$O,15,FALSE)="","",VLOOKUP(A994,[7]PRIORIZADOS!$A:$O,15,FALSE)),"")</f>
        <v>45864</v>
      </c>
      <c r="P994" s="11" t="str">
        <f>IFERROR(IF(VLOOKUP(A994,[7]PRIORIZADOS!$A:$P,16,FALSE)="","",VLOOKUP(A994,[7]PRIORIZADOS!$A:$P,16,FALSE)),"")</f>
        <v>Visitas de evaluación con fines de mejoramiento</v>
      </c>
      <c r="Q994" s="142" t="s">
        <v>173</v>
      </c>
      <c r="R994" s="11" t="str">
        <f>IFERROR(IF(VLOOKUP(A994,[7]PRIORIZADOS!$A:$R,18,FALSE)="","",VLOOKUP(A994,[7]PRIORIZADOS!$A:$R,18,FALSE)),"")</f>
        <v>Su contenido establece los elementos de norma. esta publicado en la página institucional  y se desarrolló con la participación de la comunidad y su contenido registra los elementos de ley.</v>
      </c>
      <c r="S994" s="11" t="str">
        <f>IFERROR(IF(VLOOKUP(A994,[7]PRIORIZADOS!$A:$S,19,FALSE)="","",VLOOKUP(A994,[7]PRIORIZADOS!$A:$S,19,FALSE)),"")</f>
        <v>El manual de convivencia se revisó y ajusto en el año 2025 y es de conocimiento y aplicación en la institución educativa</v>
      </c>
      <c r="T994" s="70" t="str">
        <f>IFERROR(IF(VLOOKUP(A994,[7]PRIORIZADOS!$A:$T,20,FALSE)="","",VLOOKUP(A994,[7]PRIORIZADOS!$A:$T,20,FALSE)),"")</f>
        <v>No</v>
      </c>
      <c r="U994" s="11" t="str">
        <f>IFERROR(IF(VLOOKUP(A994,[7]PRIORIZADOS!$A:$U,21,FALSE)="","",VLOOKUP(A994,[7]PRIORIZADOS!$A:$U,21,FALSE)),"")</f>
        <v>Finalizando este período académico se iniciara el proceso de revisión y adecuación para el 2026.</v>
      </c>
    </row>
    <row r="995" spans="1:21" s="1" customFormat="1" ht="99.75" customHeight="1">
      <c r="A995" s="69">
        <f>IF([7]PRIORIZADOS!A69="","",[7]PRIORIZADOS!A69)</f>
        <v>944</v>
      </c>
      <c r="B995" s="87">
        <f>IFERROR(IF(VLOOKUP(A995,[7]PRIORIZADOS!$A:$B,2,FALSE)="","",VLOOKUP(A995,[7]PRIORIZADOS!$A:$B,2,FALSE)),"")</f>
        <v>8</v>
      </c>
      <c r="C995" s="11" t="str">
        <f>IFERROR(IF(VLOOKUP(A995,[7]PRIORIZADOS!$A:$C,3,FALSE)="","",VLOOKUP(A995,[7]PRIORIZADOS!$A:$C,3,FALSE)),"")</f>
        <v>FONTIBÓN</v>
      </c>
      <c r="D995" s="69" t="str">
        <f>IFERROR(IF(VLOOKUP(A995,[7]PRIORIZADOS!$A:$D,4,FALSE)="","",VLOOKUP(A995,[7]PRIORIZADOS!$A:$D,4,FALSE)),"")</f>
        <v>PRIVADO</v>
      </c>
      <c r="E995" s="69" t="str">
        <f>IFERROR(IF(VLOOKUP(A995,[7]PRIORIZADOS!$A:$E,5,FALSE)="","",VLOOKUP(A995,[7]PRIORIZADOS!$A:$E,5,FALSE)),"")</f>
        <v>Educación de Jóvenes y Adultos</v>
      </c>
      <c r="F995" s="11" t="str">
        <f>IFERROR(IF(VLOOKUP(A995,[7]PRIORIZADOS!$A:$F,6,FALSE)="","",VLOOKUP(A995,[7]PRIORIZADOS!$A:$F,6,FALSE)),"")</f>
        <v>COLEGIO_MARCO_AURELIO</v>
      </c>
      <c r="G995" s="69" t="str">
        <f>IFERROR(IF(VLOOKUP(A995,[7]PRIORIZADOS!$A:$G,7,FALSE)="","",VLOOKUP(A995,[7]PRIORIZADOS!$A:$G,7,FALSE)),"")</f>
        <v>COLEGIO_MARCO_AURELIO</v>
      </c>
      <c r="H995" s="11" t="str">
        <f>IFERROR(IF(VLOOKUP(A995,[7]PRIORIZADOS!$A:$H,8,FALSE)="","",VLOOKUP(A995,[7]PRIORIZADOS!$A:$H,8,FALSE)),"")</f>
        <v>Autoevaluación Institucional y Pruebas SABER 11</v>
      </c>
      <c r="I995" s="11" t="str">
        <f>IFERROR(IF(VLOOKUP(A995,[7]PRIORIZADOS!$A:$I,9,FALSE)="","",VLOOKUP(A995,[7]PRIORIZADOS!$A:$I,9,FALSE)),"")</f>
        <v>EVALUACIÓN_CON_FINES_DE_MEJORAMIENTO.</v>
      </c>
      <c r="J995" s="11" t="str">
        <f>IFERROR(IF(VLOOKUP(A995,[7]PRIORIZADOS!$A:$J,10,FALSE)="","",VLOOKUP(A995,[7]PRIORIZADOS!$A:$J,10,FALSE)),"")</f>
        <v>Revisar la actualización, socialización e implementación del Sistema Institucional de Evaluación de Estudiantes - SIEE, en articulación con la actualización del PEI y la normatividad vigente.</v>
      </c>
      <c r="K995" s="11" t="str">
        <f>IFERROR(IF(VLOOKUP(A995,[7]PRIORIZADOS!$A:$K,11,FALSE)="","",VLOOKUP(A995,[7]PRIORIZADOS!$A:$K,11,FALSE)),"")</f>
        <v>JAIME GABRIEL GONZÁLEZ GAMBOA</v>
      </c>
      <c r="L995" s="11" t="str">
        <f>IFERROR(IF(VLOOKUP(A995,[7]PRIORIZADOS!$A:$L,12,FALSE)="","",VLOOKUP(A995,[7]PRIORIZADOS!$A:$L,12,FALSE)),"")</f>
        <v>JOSÉ GUILLERMO ALARCÓN CUALLA</v>
      </c>
      <c r="M995" s="156">
        <f>IFERROR(IF(VLOOKUP(A995,[7]PRIORIZADOS!$A:$M,13,FALSE)="","",VLOOKUP(A995,[7]PRIORIZADOS!$A:$M,13,FALSE)),"")</f>
        <v>45790</v>
      </c>
      <c r="N995" s="156">
        <f>IFERROR(IF(VLOOKUP(A995,[7]PRIORIZADOS!$A:$N,14,FALSE)="","",VLOOKUP(A995,[7]PRIORIZADOS!$A:$N,14,FALSE)),"")</f>
        <v>45864</v>
      </c>
      <c r="O995" s="156">
        <f>IFERROR(IF(VLOOKUP(A995,[7]PRIORIZADOS!$A:$O,15,FALSE)="","",VLOOKUP(A995,[7]PRIORIZADOS!$A:$O,15,FALSE)),"")</f>
        <v>45864</v>
      </c>
      <c r="P995" s="11" t="str">
        <f>IFERROR(IF(VLOOKUP(A995,[7]PRIORIZADOS!$A:$P,16,FALSE)="","",VLOOKUP(A995,[7]PRIORIZADOS!$A:$P,16,FALSE)),"")</f>
        <v>Visitas de evaluación con fines de mejoramiento</v>
      </c>
      <c r="Q995" s="142" t="s">
        <v>173</v>
      </c>
      <c r="R995" s="11" t="str">
        <f>IFERROR(IF(VLOOKUP(A995,[7]PRIORIZADOS!$A:$R,18,FALSE)="","",VLOOKUP(A995,[7]PRIORIZADOS!$A:$R,18,FALSE)),"")</f>
        <v>Esta publicado, es de conocimiento de la comunidad y se soporta en un sistema de registro de resultados académicos.</v>
      </c>
      <c r="S995" s="11" t="str">
        <f>IFERROR(IF(VLOOKUP(A995,[7]PRIORIZADOS!$A:$S,19,FALSE)="","",VLOOKUP(A995,[7]PRIORIZADOS!$A:$S,19,FALSE)),"")</f>
        <v>Se emite n resultados académicos periódicos y desarrollan planes de mejoramiento preventivos, dirigidos a los estudiantes con deficiencias.</v>
      </c>
      <c r="T995" s="70" t="str">
        <f>IFERROR(IF(VLOOKUP(A995,[7]PRIORIZADOS!$A:$T,20,FALSE)="","",VLOOKUP(A995,[7]PRIORIZADOS!$A:$T,20,FALSE)),"")</f>
        <v>No</v>
      </c>
      <c r="U995" s="11" t="str">
        <f>IFERROR(IF(VLOOKUP(A995,[7]PRIORIZADOS!$A:$U,21,FALSE)="","",VLOOKUP(A995,[7]PRIORIZADOS!$A:$U,21,FALSE)),"")</f>
        <v>Se generara observación del proceso al finalizar el tercer período</v>
      </c>
    </row>
    <row r="996" spans="1:21" s="1" customFormat="1" ht="99.75" customHeight="1">
      <c r="A996" s="69">
        <f>IF([7]PRIORIZADOS!A70="","",[7]PRIORIZADOS!A70)</f>
        <v>945</v>
      </c>
      <c r="B996" s="87">
        <f>IFERROR(IF(VLOOKUP(A996,[7]PRIORIZADOS!$A:$B,2,FALSE)="","",VLOOKUP(A996,[7]PRIORIZADOS!$A:$B,2,FALSE)),"")</f>
        <v>8</v>
      </c>
      <c r="C996" s="11" t="str">
        <f>IFERROR(IF(VLOOKUP(A996,[7]PRIORIZADOS!$A:$C,3,FALSE)="","",VLOOKUP(A996,[7]PRIORIZADOS!$A:$C,3,FALSE)),"")</f>
        <v>FONTIBÓN</v>
      </c>
      <c r="D996" s="69" t="str">
        <f>IFERROR(IF(VLOOKUP(A996,[7]PRIORIZADOS!$A:$D,4,FALSE)="","",VLOOKUP(A996,[7]PRIORIZADOS!$A:$D,4,FALSE)),"")</f>
        <v>PRIVADO</v>
      </c>
      <c r="E996" s="69" t="str">
        <f>IFERROR(IF(VLOOKUP(A996,[7]PRIORIZADOS!$A:$E,5,FALSE)="","",VLOOKUP(A996,[7]PRIORIZADOS!$A:$E,5,FALSE)),"")</f>
        <v>Educación de Jóvenes y Adultos</v>
      </c>
      <c r="F996" s="11" t="str">
        <f>IFERROR(IF(VLOOKUP(A996,[7]PRIORIZADOS!$A:$F,6,FALSE)="","",VLOOKUP(A996,[7]PRIORIZADOS!$A:$F,6,FALSE)),"")</f>
        <v>COLEGIO_MARCO_AURELIO</v>
      </c>
      <c r="G996" s="69" t="str">
        <f>IFERROR(IF(VLOOKUP(A996,[7]PRIORIZADOS!$A:$G,7,FALSE)="","",VLOOKUP(A996,[7]PRIORIZADOS!$A:$G,7,FALSE)),"")</f>
        <v>COLEGIO_MARCO_AURELIO</v>
      </c>
      <c r="H996" s="11" t="str">
        <f>IFERROR(IF(VLOOKUP(A996,[7]PRIORIZADOS!$A:$H,8,FALSE)="","",VLOOKUP(A996,[7]PRIORIZADOS!$A:$H,8,FALSE)),"")</f>
        <v>Autoevaluación Institucional y Pruebas SABER 11</v>
      </c>
      <c r="I996" s="11" t="str">
        <f>IFERROR(IF(VLOOKUP(A996,[7]PRIORIZADOS!$A:$I,9,FALSE)="","",VLOOKUP(A996,[7]PRIORIZADOS!$A:$I,9,FALSE)),"")</f>
        <v>EVALUACIÓN_CON_FINES_DE_MEJORAMIENTO.</v>
      </c>
      <c r="J996" s="11" t="str">
        <f>IFERROR(IF(VLOOKUP(A996,[7]PRIORIZADOS!$A:$J,10,FALSE)="","",VLOOKUP(A996,[7]PRIORIZADOS!$A:$J,10,FALSE)),"")</f>
        <v>Revisar el calendario escolar, jornada escolar, la intensidad horaria mínima anual en cada nivel y las modificaciones que se realicen al mismo, de acuerdo con lo previsto en la normatividad vigente.</v>
      </c>
      <c r="K996" s="11" t="str">
        <f>IFERROR(IF(VLOOKUP(A996,[7]PRIORIZADOS!$A:$K,11,FALSE)="","",VLOOKUP(A996,[7]PRIORIZADOS!$A:$K,11,FALSE)),"")</f>
        <v>JAIME GABRIEL GONZÁLEZ GAMBOA</v>
      </c>
      <c r="L996" s="11" t="str">
        <f>IFERROR(IF(VLOOKUP(A996,[7]PRIORIZADOS!$A:$L,12,FALSE)="","",VLOOKUP(A996,[7]PRIORIZADOS!$A:$L,12,FALSE)),"")</f>
        <v>JOSÉ GUILLERMO ALARCÓN CUALLA</v>
      </c>
      <c r="M996" s="156">
        <f>IFERROR(IF(VLOOKUP(A996,[7]PRIORIZADOS!$A:$M,13,FALSE)="","",VLOOKUP(A996,[7]PRIORIZADOS!$A:$M,13,FALSE)),"")</f>
        <v>45790</v>
      </c>
      <c r="N996" s="156">
        <f>IFERROR(IF(VLOOKUP(A996,[7]PRIORIZADOS!$A:$N,14,FALSE)="","",VLOOKUP(A996,[7]PRIORIZADOS!$A:$N,14,FALSE)),"")</f>
        <v>45864</v>
      </c>
      <c r="O996" s="156">
        <f>IFERROR(IF(VLOOKUP(A996,[7]PRIORIZADOS!$A:$O,15,FALSE)="","",VLOOKUP(A996,[7]PRIORIZADOS!$A:$O,15,FALSE)),"")</f>
        <v>45864</v>
      </c>
      <c r="P996" s="11" t="str">
        <f>IFERROR(IF(VLOOKUP(A996,[7]PRIORIZADOS!$A:$P,16,FALSE)="","",VLOOKUP(A996,[7]PRIORIZADOS!$A:$P,16,FALSE)),"")</f>
        <v>Visitas de evaluación con fines de mejoramiento</v>
      </c>
      <c r="Q996" s="142" t="s">
        <v>173</v>
      </c>
      <c r="R996" s="11" t="str">
        <f>IFERROR(IF(VLOOKUP(A996,[7]PRIORIZADOS!$A:$R,18,FALSE)="","",VLOOKUP(A996,[7]PRIORIZADOS!$A:$R,18,FALSE)),"")</f>
        <v>Esta publicado en la oficina en la cual prestan el servicio y es de conocimiento institucional.</v>
      </c>
      <c r="S996" s="11" t="str">
        <f>IFERROR(IF(VLOOKUP(A996,[7]PRIORIZADOS!$A:$S,19,FALSE)="","",VLOOKUP(A996,[7]PRIORIZADOS!$A:$S,19,FALSE)),"")</f>
        <v>La propuesta de calendario se realiza de acuerdo a lo contemplado en la normatividad.</v>
      </c>
      <c r="T996" s="70" t="str">
        <f>IFERROR(IF(VLOOKUP(A996,[7]PRIORIZADOS!$A:$T,20,FALSE)="","",VLOOKUP(A996,[7]PRIORIZADOS!$A:$T,20,FALSE)),"")</f>
        <v>No</v>
      </c>
      <c r="U996" s="11" t="str">
        <f>IFERROR(IF(VLOOKUP(A996,[7]PRIORIZADOS!$A:$U,21,FALSE)="","",VLOOKUP(A996,[7]PRIORIZADOS!$A:$U,21,FALSE)),"")</f>
        <v>Se consultará su aplicación al finalizar el tercer período</v>
      </c>
    </row>
    <row r="997" spans="1:21" s="1" customFormat="1" ht="48">
      <c r="A997" s="69">
        <f>IF([7]PRIORIZADOS!A71="","",[7]PRIORIZADOS!A71)</f>
        <v>946</v>
      </c>
      <c r="B997" s="87">
        <f>IFERROR(IF(VLOOKUP(A997,[7]PRIORIZADOS!$A:$B,2,FALSE)="","",VLOOKUP(A997,[7]PRIORIZADOS!$A:$B,2,FALSE)),"")</f>
        <v>8</v>
      </c>
      <c r="C997" s="11" t="str">
        <f>IFERROR(IF(VLOOKUP(A997,[7]PRIORIZADOS!$A:$C,3,FALSE)="","",VLOOKUP(A997,[7]PRIORIZADOS!$A:$C,3,FALSE)),"")</f>
        <v>FONTIBÓN</v>
      </c>
      <c r="D997" s="69" t="str">
        <f>IFERROR(IF(VLOOKUP(A997,[7]PRIORIZADOS!$A:$D,4,FALSE)="","",VLOOKUP(A997,[7]PRIORIZADOS!$A:$D,4,FALSE)),"")</f>
        <v>PRIVADO</v>
      </c>
      <c r="E997" s="69" t="str">
        <f>IFERROR(IF(VLOOKUP(A997,[7]PRIORIZADOS!$A:$E,5,FALSE)="","",VLOOKUP(A997,[7]PRIORIZADOS!$A:$E,5,FALSE)),"")</f>
        <v>Educación de Jóvenes y Adultos</v>
      </c>
      <c r="F997" s="11" t="str">
        <f>IFERROR(IF(VLOOKUP(A997,[7]PRIORIZADOS!$A:$F,6,FALSE)="","",VLOOKUP(A997,[7]PRIORIZADOS!$A:$F,6,FALSE)),"")</f>
        <v>COLEGIO_MARCO_AURELIO</v>
      </c>
      <c r="G997" s="69" t="str">
        <f>IFERROR(IF(VLOOKUP(A997,[7]PRIORIZADOS!$A:$G,7,FALSE)="","",VLOOKUP(A997,[7]PRIORIZADOS!$A:$G,7,FALSE)),"")</f>
        <v>COLEGIO_MARCO_AURELIO</v>
      </c>
      <c r="H997" s="11" t="str">
        <f>IFERROR(IF(VLOOKUP(A997,[7]PRIORIZADOS!$A:$H,8,FALSE)="","",VLOOKUP(A997,[7]PRIORIZADOS!$A:$H,8,FALSE)),"")</f>
        <v>Autoevaluación Institucional y Pruebas SABER 11</v>
      </c>
      <c r="I997" s="11" t="str">
        <f>IFERROR(IF(VLOOKUP(A997,[7]PRIORIZADOS!$A:$I,9,FALSE)="","",VLOOKUP(A997,[7]PRIORIZADOS!$A:$I,9,FALSE)),"")</f>
        <v>EVALUACIÓN_CON_FINES_DE_MEJORAMIENTO.</v>
      </c>
      <c r="J997" s="11" t="str">
        <f>IFERROR(IF(VLOOKUP(A997,[7]PRIORIZADOS!$A:$J,10,FALSE)="","",VLOOKUP(A997,[7]PRIORIZADOS!$A:$J,10,FALSE)),"")</f>
        <v>Verificar el funcionamiento del Gobierno Escolar e instancias de participación con base en la información sobre conformación reportada por la institución educativa.</v>
      </c>
      <c r="K997" s="11" t="str">
        <f>IFERROR(IF(VLOOKUP(A997,[7]PRIORIZADOS!$A:$K,11,FALSE)="","",VLOOKUP(A997,[7]PRIORIZADOS!$A:$K,11,FALSE)),"")</f>
        <v>JAIME GABRIEL GONZÁLEZ GAMBOA</v>
      </c>
      <c r="L997" s="11" t="str">
        <f>IFERROR(IF(VLOOKUP(A997,[7]PRIORIZADOS!$A:$L,12,FALSE)="","",VLOOKUP(A997,[7]PRIORIZADOS!$A:$L,12,FALSE)),"")</f>
        <v>JOSÉ GUILLERMO ALARCÓN CUALLA</v>
      </c>
      <c r="M997" s="156">
        <f>IFERROR(IF(VLOOKUP(A997,[7]PRIORIZADOS!$A:$M,13,FALSE)="","",VLOOKUP(A997,[7]PRIORIZADOS!$A:$M,13,FALSE)),"")</f>
        <v>45790</v>
      </c>
      <c r="N997" s="156">
        <f>IFERROR(IF(VLOOKUP(A997,[7]PRIORIZADOS!$A:$N,14,FALSE)="","",VLOOKUP(A997,[7]PRIORIZADOS!$A:$N,14,FALSE)),"")</f>
        <v>45864</v>
      </c>
      <c r="O997" s="156">
        <f>IFERROR(IF(VLOOKUP(A997,[7]PRIORIZADOS!$A:$O,15,FALSE)="","",VLOOKUP(A997,[7]PRIORIZADOS!$A:$O,15,FALSE)),"")</f>
        <v>45864</v>
      </c>
      <c r="P997" s="11" t="str">
        <f>IFERROR(IF(VLOOKUP(A997,[7]PRIORIZADOS!$A:$P,16,FALSE)="","",VLOOKUP(A997,[7]PRIORIZADOS!$A:$P,16,FALSE)),"")</f>
        <v>Visitas de evaluación con fines de mejoramiento</v>
      </c>
      <c r="Q997" s="142" t="s">
        <v>173</v>
      </c>
      <c r="R997" s="11" t="str">
        <f>IFERROR(IF(VLOOKUP(A997,[7]PRIORIZADOS!$A:$R,18,FALSE)="","",VLOOKUP(A997,[7]PRIORIZADOS!$A:$R,18,FALSE)),"")</f>
        <v>La conformación del Gobierno Escolar en sus diferentes instancias se encuentra registrado en plataforma SAE y está en funcionamiento.</v>
      </c>
      <c r="S997" s="11" t="str">
        <f>IFERROR(IF(VLOOKUP(A997,[7]PRIORIZADOS!$A:$S,19,FALSE)="","",VLOOKUP(A997,[7]PRIORIZADOS!$A:$S,19,FALSE)),"")</f>
        <v>Los colegiados están en actividad y seccionan con regularidad.</v>
      </c>
      <c r="T997" s="70" t="str">
        <f>IFERROR(IF(VLOOKUP(A997,[7]PRIORIZADOS!$A:$T,20,FALSE)="","",VLOOKUP(A997,[7]PRIORIZADOS!$A:$T,20,FALSE)),"")</f>
        <v>No</v>
      </c>
      <c r="U997" s="11" t="str">
        <f>IFERROR(IF(VLOOKUP(A997,[7]PRIORIZADOS!$A:$U,21,FALSE)="","",VLOOKUP(A997,[7]PRIORIZADOS!$A:$U,21,FALSE)),"")</f>
        <v>En seguimiento de proceso, se consultará su actividad al finalizar el tercer período académico.</v>
      </c>
    </row>
    <row r="998" spans="1:21" s="1" customFormat="1" ht="48">
      <c r="A998" s="69">
        <v>947</v>
      </c>
      <c r="B998" s="87">
        <v>8</v>
      </c>
      <c r="C998" s="10" t="s">
        <v>174</v>
      </c>
      <c r="D998" s="11" t="s">
        <v>175</v>
      </c>
      <c r="E998" s="12" t="s">
        <v>176</v>
      </c>
      <c r="F998" s="11" t="s">
        <v>177</v>
      </c>
      <c r="G998" s="11" t="s">
        <v>177</v>
      </c>
      <c r="H998" s="11" t="s">
        <v>178</v>
      </c>
      <c r="I998" s="11" t="s">
        <v>179</v>
      </c>
      <c r="J998" s="11" t="s">
        <v>180</v>
      </c>
      <c r="K998" s="11" t="s">
        <v>181</v>
      </c>
      <c r="L998" s="11" t="s">
        <v>182</v>
      </c>
      <c r="M998" s="13">
        <v>45790</v>
      </c>
      <c r="N998" s="14">
        <v>45864</v>
      </c>
      <c r="O998" s="15">
        <v>45864</v>
      </c>
      <c r="P998" s="16" t="s">
        <v>101</v>
      </c>
      <c r="Q998" s="142" t="s">
        <v>173</v>
      </c>
      <c r="R998" s="17" t="s">
        <v>183</v>
      </c>
      <c r="S998" s="18" t="s">
        <v>184</v>
      </c>
      <c r="T998" s="19" t="s">
        <v>185</v>
      </c>
      <c r="U998" s="20" t="s">
        <v>186</v>
      </c>
    </row>
    <row r="999" spans="1:21" s="1" customFormat="1" ht="84">
      <c r="A999" s="69">
        <f>IF([7]PRIORIZADOS!A73="","",[7]PRIORIZADOS!A73)</f>
        <v>949</v>
      </c>
      <c r="B999" s="87">
        <f>IFERROR(IF(VLOOKUP(A999,[7]PRIORIZADOS!$A:$B,2,FALSE)="","",VLOOKUP(A999,[7]PRIORIZADOS!$A:$B,2,FALSE)),"")</f>
        <v>9</v>
      </c>
      <c r="C999" s="11" t="str">
        <f>IFERROR(IF(VLOOKUP(A999,[7]PRIORIZADOS!$A:$C,3,FALSE)="","",VLOOKUP(A999,[7]PRIORIZADOS!$A:$C,3,FALSE)),"")</f>
        <v>FONTIBÓN</v>
      </c>
      <c r="D999" s="69" t="str">
        <f>IFERROR(IF(VLOOKUP(A999,[7]PRIORIZADOS!$A:$D,4,FALSE)="","",VLOOKUP(A999,[7]PRIORIZADOS!$A:$D,4,FALSE)),"")</f>
        <v>PRIVADO</v>
      </c>
      <c r="E999" s="69" t="str">
        <f>IFERROR(IF(VLOOKUP(A999,[7]PRIORIZADOS!$A:$E,5,FALSE)="","",VLOOKUP(A999,[7]PRIORIZADOS!$A:$E,5,FALSE)),"")</f>
        <v>EPBM</v>
      </c>
      <c r="F999" s="11" t="str">
        <f>IFERROR(IF(VLOOKUP(A999,[7]PRIORIZADOS!$A:$F,6,FALSE)="","",VLOOKUP(A999,[7]PRIORIZADOS!$A:$F,6,FALSE)),"")</f>
        <v>COLEGIO_PARROQUIAL_SAN_JOSE</v>
      </c>
      <c r="G999" s="69" t="str">
        <f>IFERROR(IF(VLOOKUP(A999,[7]PRIORIZADOS!$A:$G,7,FALSE)="","",VLOOKUP(A999,[7]PRIORIZADOS!$A:$G,7,FALSE)),"")</f>
        <v>COLEGIO_PARROQUIAL_SAN_JOSE</v>
      </c>
      <c r="H999" s="11" t="str">
        <f>IFERROR(IF(VLOOKUP(A999,[7]PRIORIZADOS!$A:$H,8,FALSE)="","",VLOOKUP(A999,[7]PRIORIZADOS!$A:$H,8,FALSE)),"")</f>
        <v>Autoevaluación Institucional y Pruebas SABER 11</v>
      </c>
      <c r="I999" s="11" t="str">
        <f>IFERROR(IF(VLOOKUP(A999,[7]PRIORIZADOS!$A:$I,9,FALSE)="","",VLOOKUP(A999,[7]PRIORIZADOS!$A:$I,9,FALSE)),"")</f>
        <v>SEGUIMIENTO_Y_SUPERVISIÓN.</v>
      </c>
      <c r="J999" s="11" t="str">
        <f>IFERROR(IF(VLOOKUP(A999,[7]PRIORIZADOS!$A:$J,10,FALSE)="","",VLOOKUP(A999,[7]PRIORIZADOS!$A:$J,10,FALSE)),"")</f>
        <v>Proponer estrategias en la formulación, verificar su elaboración y realizar seguimiento semestral al desarrollo de  las acciones establecidas en los planes de mejoramiento por pruebas SABER 11 de los establecimientos de educación formal.</v>
      </c>
      <c r="K999" s="11" t="str">
        <f>IFERROR(IF(VLOOKUP(A999,[7]PRIORIZADOS!$A:$K,11,FALSE)="","",VLOOKUP(A999,[7]PRIORIZADOS!$A:$K,11,FALSE)),"")</f>
        <v>GLORIA INES AMAYA RAMÍREZ</v>
      </c>
      <c r="L999" s="11" t="str">
        <f>IFERROR(IF(VLOOKUP(A999,[7]PRIORIZADOS!$A:$L,12,FALSE)="","",VLOOKUP(A999,[7]PRIORIZADOS!$A:$L,12,FALSE)),"")</f>
        <v>MARITZA SARMIENTO VANEGAS</v>
      </c>
      <c r="M999" s="156">
        <f>IFERROR(IF(VLOOKUP(A999,[7]PRIORIZADOS!$A:$M,13,FALSE)="","",VLOOKUP(A999,[7]PRIORIZADOS!$A:$M,13,FALSE)),"")</f>
        <v>45770</v>
      </c>
      <c r="N999" s="156">
        <f>IFERROR(IF(VLOOKUP(A999,[7]PRIORIZADOS!$A:$N,14,FALSE)="","",VLOOKUP(A999,[7]PRIORIZADOS!$A:$N,14,FALSE)),"")</f>
        <v>45805</v>
      </c>
      <c r="O999" s="156">
        <f>IFERROR(IF(VLOOKUP(A999,[7]PRIORIZADOS!$A:$O,15,FALSE)="","",VLOOKUP(A999,[7]PRIORIZADOS!$A:$O,15,FALSE)),"")</f>
        <v>45805</v>
      </c>
      <c r="P999" s="11" t="str">
        <f>IFERROR(IF(VLOOKUP(A999,[7]PRIORIZADOS!$A:$P,16,FALSE)="","",VLOOKUP(A999,[7]PRIORIZADOS!$A:$P,16,FALSE)),"")</f>
        <v>Visitas de evaluación con fines de mejoramiento</v>
      </c>
      <c r="Q999" s="21" t="s">
        <v>187</v>
      </c>
      <c r="R999" s="11" t="str">
        <f>IFERROR(IF(VLOOKUP(A999,[7]PRIORIZADOS!$A:$R,18,FALSE)="","",VLOOKUP(A999,[7]PRIORIZADOS!$A:$R,18,FALSE)),"")</f>
        <v>Análisis de resultados, diseño de estrategias, repasos. aplicación de simulacros, asistencia a refuerzo en contra jornada, participación de  los estudiantes matriculados en grado once a las diferentes actividades, apoyo empresa externa.</v>
      </c>
      <c r="S999" s="11" t="str">
        <f>IFERROR(IF(VLOOKUP(A999,[7]PRIORIZADOS!$A:$S,19,FALSE)="","",VLOOKUP(A999,[7]PRIORIZADOS!$A:$S,19,FALSE)),"")</f>
        <v>Continuar con la implementación de estrategias, que fortalecen los resultados de la pruebas SABER 11</v>
      </c>
      <c r="T999" s="70" t="str">
        <f>IFERROR(IF(VLOOKUP(A999,[7]PRIORIZADOS!$A:$T,20,FALSE)="","",VLOOKUP(A999,[7]PRIORIZADOS!$A:$T,20,FALSE)),"")</f>
        <v>No</v>
      </c>
      <c r="U999" s="11" t="str">
        <f>IFERROR(IF(VLOOKUP(A999,[7]PRIORIZADOS!$A:$U,21,FALSE)="","",VLOOKUP(A999,[7]PRIORIZADOS!$A:$U,21,FALSE)),"")</f>
        <v>verificar resultados de la Institución pruebas SABER 11 2025</v>
      </c>
    </row>
    <row r="1000" spans="1:21" s="1" customFormat="1" ht="96">
      <c r="A1000" s="69">
        <f>IF([7]PRIORIZADOS!A74="","",[7]PRIORIZADOS!A74)</f>
        <v>950</v>
      </c>
      <c r="B1000" s="87">
        <f>IFERROR(IF(VLOOKUP(A1000,[7]PRIORIZADOS!$A:$B,2,FALSE)="","",VLOOKUP(A1000,[7]PRIORIZADOS!$A:$B,2,FALSE)),"")</f>
        <v>9</v>
      </c>
      <c r="C1000" s="11" t="str">
        <f>IFERROR(IF(VLOOKUP(A1000,[7]PRIORIZADOS!$A:$C,3,FALSE)="","",VLOOKUP(A1000,[7]PRIORIZADOS!$A:$C,3,FALSE)),"")</f>
        <v>FONTIBÓN</v>
      </c>
      <c r="D1000" s="69" t="str">
        <f>IFERROR(IF(VLOOKUP(A1000,[7]PRIORIZADOS!$A:$D,4,FALSE)="","",VLOOKUP(A1000,[7]PRIORIZADOS!$A:$D,4,FALSE)),"")</f>
        <v>PRIVADO</v>
      </c>
      <c r="E1000" s="69" t="str">
        <f>IFERROR(IF(VLOOKUP(A1000,[7]PRIORIZADOS!$A:$E,5,FALSE)="","",VLOOKUP(A1000,[7]PRIORIZADOS!$A:$E,5,FALSE)),"")</f>
        <v>EPBM</v>
      </c>
      <c r="F1000" s="11" t="str">
        <f>IFERROR(IF(VLOOKUP(A1000,[7]PRIORIZADOS!$A:$F,6,FALSE)="","",VLOOKUP(A1000,[7]PRIORIZADOS!$A:$F,6,FALSE)),"")</f>
        <v>COLEGIO_PARROQUIAL_SAN_JOSE</v>
      </c>
      <c r="G1000" s="69" t="str">
        <f>IFERROR(IF(VLOOKUP(A1000,[7]PRIORIZADOS!$A:$G,7,FALSE)="","",VLOOKUP(A1000,[7]PRIORIZADOS!$A:$G,7,FALSE)),"")</f>
        <v>COLEGIO_PARROQUIAL_SAN_JOSE</v>
      </c>
      <c r="H1000" s="11" t="str">
        <f>IFERROR(IF(VLOOKUP(A1000,[7]PRIORIZADOS!$A:$H,8,FALSE)="","",VLOOKUP(A1000,[7]PRIORIZADOS!$A:$H,8,FALSE)),"")</f>
        <v>Autoevaluación Institucional y Pruebas SABER 11</v>
      </c>
      <c r="I1000" s="11" t="str">
        <f>IFERROR(IF(VLOOKUP(A1000,[7]PRIORIZADOS!$A:$I,9,FALSE)="","",VLOOKUP(A1000,[7]PRIORIZADOS!$A:$I,9,FALSE)),"")</f>
        <v>SEGUIMIENTO_Y_SUPERVISIÓN.</v>
      </c>
      <c r="J1000" s="11" t="str">
        <f>IFERROR(IF(VLOOKUP(A1000,[7]PRIORIZADOS!$A:$J,10,FALSE)="","",VLOOKUP(A1000,[7]PRIORIZADOS!$A:$J,10,FALSE)),"")</f>
        <v xml:space="preserve">Verificar la implementación por parte de los colegios, de acciones realizadas para la prevención y atención de las situaciones de convivencia en el entorno escolar, según lo establecido en la Directiva 01 de 2022 del MEN. </v>
      </c>
      <c r="K1000" s="11" t="str">
        <f>IFERROR(IF(VLOOKUP(A1000,[7]PRIORIZADOS!$A:$K,11,FALSE)="","",VLOOKUP(A1000,[7]PRIORIZADOS!$A:$K,11,FALSE)),"")</f>
        <v>GLORIA INES AMAYA RAMÍREZ</v>
      </c>
      <c r="L1000" s="11" t="str">
        <f>IFERROR(IF(VLOOKUP(A1000,[7]PRIORIZADOS!$A:$L,12,FALSE)="","",VLOOKUP(A1000,[7]PRIORIZADOS!$A:$L,12,FALSE)),"")</f>
        <v>MARITZA SARMIENTO VANEGAS</v>
      </c>
      <c r="M1000" s="156">
        <f>IFERROR(IF(VLOOKUP(A1000,[7]PRIORIZADOS!$A:$M,13,FALSE)="","",VLOOKUP(A1000,[7]PRIORIZADOS!$A:$M,13,FALSE)),"")</f>
        <v>45770</v>
      </c>
      <c r="N1000" s="156">
        <f>IFERROR(IF(VLOOKUP(A1000,[7]PRIORIZADOS!$A:$N,14,FALSE)="","",VLOOKUP(A1000,[7]PRIORIZADOS!$A:$N,14,FALSE)),"")</f>
        <v>45805</v>
      </c>
      <c r="O1000" s="156">
        <f>IFERROR(IF(VLOOKUP(A1000,[7]PRIORIZADOS!$A:$O,15,FALSE)="","",VLOOKUP(A1000,[7]PRIORIZADOS!$A:$O,15,FALSE)),"")</f>
        <v>45805</v>
      </c>
      <c r="P1000" s="11" t="str">
        <f>IFERROR(IF(VLOOKUP(A1000,[7]PRIORIZADOS!$A:$P,16,FALSE)="","",VLOOKUP(A1000,[7]PRIORIZADOS!$A:$P,16,FALSE)),"")</f>
        <v>Visitas de evaluación con fines de mejoramiento</v>
      </c>
      <c r="Q1000" s="22" t="s">
        <v>187</v>
      </c>
      <c r="R1000" s="11" t="str">
        <f>IFERROR(IF(VLOOKUP(A1000,[7]PRIORIZADOS!$A:$R,18,FALSE)="","",VLOOKUP(A1000,[7]PRIORIZADOS!$A:$R,18,FALSE)),"")</f>
        <v>Se realizan actividades pedagógico formativas del componente de  prevención y promoción de la ruta de atención integral. se han atendido los casos presentados aplicando protocolos y ruta.
La institución presento los certificados de consulta de delitos sexuales de los docentes contratados</v>
      </c>
      <c r="S1000" s="11" t="str">
        <f>IFERROR(IF(VLOOKUP(A1000,[7]PRIORIZADOS!$A:$S,19,FALSE)="","",VLOOKUP(A1000,[7]PRIORIZADOS!$A:$S,19,FALSE)),"")</f>
        <v>Continuar con la aplicación de las estrategias de prevención, promoción y seguimiento por parte del Comité de Convivencia Escolar, y realizar la verificación de antecedentes cada cuatro meses de todo el personal (directivo, docente y administrativo) vinculado.</v>
      </c>
      <c r="T1000" s="70" t="str">
        <f>IFERROR(IF(VLOOKUP(A1000,[7]PRIORIZADOS!$A:$T,20,FALSE)="","",VLOOKUP(A1000,[7]PRIORIZADOS!$A:$T,20,FALSE)),"")</f>
        <v>No</v>
      </c>
      <c r="U1000" s="11" t="str">
        <f>IFERROR(IF(VLOOKUP(A1000,[7]PRIORIZADOS!$A:$U,21,FALSE)="","",VLOOKUP(A1000,[7]PRIORIZADOS!$A:$U,21,FALSE)),"")</f>
        <v>se verificara el cumplimiento de la directiva  01 de 2022 del MEN, en caso de presentarse alguna queja.</v>
      </c>
    </row>
    <row r="1001" spans="1:21" s="1" customFormat="1" ht="72">
      <c r="A1001" s="69">
        <f>IF([7]PRIORIZADOS!A75="","",[7]PRIORIZADOS!A75)</f>
        <v>951</v>
      </c>
      <c r="B1001" s="87">
        <f>IFERROR(IF(VLOOKUP(A1001,[7]PRIORIZADOS!$A:$B,2,FALSE)="","",VLOOKUP(A1001,[7]PRIORIZADOS!$A:$B,2,FALSE)),"")</f>
        <v>9</v>
      </c>
      <c r="C1001" s="11" t="str">
        <f>IFERROR(IF(VLOOKUP(A1001,[7]PRIORIZADOS!$A:$C,3,FALSE)="","",VLOOKUP(A1001,[7]PRIORIZADOS!$A:$C,3,FALSE)),"")</f>
        <v>FONTIBÓN</v>
      </c>
      <c r="D1001" s="69" t="str">
        <f>IFERROR(IF(VLOOKUP(A1001,[7]PRIORIZADOS!$A:$D,4,FALSE)="","",VLOOKUP(A1001,[7]PRIORIZADOS!$A:$D,4,FALSE)),"")</f>
        <v>PRIVADO</v>
      </c>
      <c r="E1001" s="69" t="str">
        <f>IFERROR(IF(VLOOKUP(A1001,[7]PRIORIZADOS!$A:$E,5,FALSE)="","",VLOOKUP(A1001,[7]PRIORIZADOS!$A:$E,5,FALSE)),"")</f>
        <v>EPBM</v>
      </c>
      <c r="F1001" s="11" t="str">
        <f>IFERROR(IF(VLOOKUP(A1001,[7]PRIORIZADOS!$A:$F,6,FALSE)="","",VLOOKUP(A1001,[7]PRIORIZADOS!$A:$F,6,FALSE)),"")</f>
        <v>COLEGIO_PARROQUIAL_SAN_JOSE</v>
      </c>
      <c r="G1001" s="69" t="str">
        <f>IFERROR(IF(VLOOKUP(A1001,[7]PRIORIZADOS!$A:$G,7,FALSE)="","",VLOOKUP(A1001,[7]PRIORIZADOS!$A:$G,7,FALSE)),"")</f>
        <v>COLEGIO_PARROQUIAL_SAN_JOSE</v>
      </c>
      <c r="H1001" s="11" t="str">
        <f>IFERROR(IF(VLOOKUP(A1001,[7]PRIORIZADOS!$A:$H,8,FALSE)="","",VLOOKUP(A1001,[7]PRIORIZADOS!$A:$H,8,FALSE)),"")</f>
        <v>Autoevaluación Institucional y Pruebas SABER 11</v>
      </c>
      <c r="I1001" s="11" t="str">
        <f>IFERROR(IF(VLOOKUP(A1001,[7]PRIORIZADOS!$A:$I,9,FALSE)="","",VLOOKUP(A1001,[7]PRIORIZADOS!$A:$I,9,FALSE)),"")</f>
        <v>SEGUIMIENTO_Y_SUPERVISIÓN.</v>
      </c>
      <c r="J1001" s="11" t="str">
        <f>IFERROR(IF(VLOOKUP(A1001,[7]PRIORIZADOS!$A:$J,10,FALSE)="","",VLOOKUP(A1001,[7]PRIORIZADOS!$A:$J,10,FALSE)),"")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01" s="11" t="str">
        <f>IFERROR(IF(VLOOKUP(A1001,[7]PRIORIZADOS!$A:$K,11,FALSE)="","",VLOOKUP(A1001,[7]PRIORIZADOS!$A:$K,11,FALSE)),"")</f>
        <v>GLORIA INES AMAYA RAMÍREZ</v>
      </c>
      <c r="L1001" s="11" t="str">
        <f>IFERROR(IF(VLOOKUP(A1001,[7]PRIORIZADOS!$A:$L,12,FALSE)="","",VLOOKUP(A1001,[7]PRIORIZADOS!$A:$L,12,FALSE)),"")</f>
        <v>MARITZA SARMIENTO VANEGAS</v>
      </c>
      <c r="M1001" s="156">
        <f>IFERROR(IF(VLOOKUP(A1001,[7]PRIORIZADOS!$A:$M,13,FALSE)="","",VLOOKUP(A1001,[7]PRIORIZADOS!$A:$M,13,FALSE)),"")</f>
        <v>45770</v>
      </c>
      <c r="N1001" s="156">
        <f>IFERROR(IF(VLOOKUP(A1001,[7]PRIORIZADOS!$A:$N,14,FALSE)="","",VLOOKUP(A1001,[7]PRIORIZADOS!$A:$N,14,FALSE)),"")</f>
        <v>45805</v>
      </c>
      <c r="O1001" s="156">
        <f>IFERROR(IF(VLOOKUP(A1001,[7]PRIORIZADOS!$A:$O,15,FALSE)="","",VLOOKUP(A1001,[7]PRIORIZADOS!$A:$O,15,FALSE)),"")</f>
        <v>45805</v>
      </c>
      <c r="P1001" s="11" t="str">
        <f>IFERROR(IF(VLOOKUP(A1001,[7]PRIORIZADOS!$A:$P,16,FALSE)="","",VLOOKUP(A1001,[7]PRIORIZADOS!$A:$P,16,FALSE)),"")</f>
        <v>Visitas de evaluación con fines de mejoramiento</v>
      </c>
      <c r="Q1001" s="22" t="s">
        <v>187</v>
      </c>
      <c r="R1001" s="11" t="str">
        <f>IFERROR(IF(VLOOKUP(A1001,[7]PRIORIZADOS!$A:$R,18,FALSE)="","",VLOOKUP(A1001,[7]PRIORIZADOS!$A:$R,18,FALSE)),"")</f>
        <v>Se elaboraron y se están implementando el PIAR para cada uno de los 16 estudiantes en Condición de discapacidad</v>
      </c>
      <c r="S1001" s="11" t="str">
        <f>IFERROR(IF(VLOOKUP(A1001,[7]PRIORIZADOS!$A:$S,19,FALSE)="","",VLOOKUP(A1001,[7]PRIORIZADOS!$A:$S,19,FALSE)),"")</f>
        <v>Continuar con la implementación de las acciones definidas en los PIAR y los ajustes que se requieran en los procesos académicos de los estudiantes.</v>
      </c>
      <c r="T1001" s="70" t="str">
        <f>IFERROR(IF(VLOOKUP(A1001,[7]PRIORIZADOS!$A:$T,20,FALSE)="","",VLOOKUP(A1001,[7]PRIORIZADOS!$A:$T,20,FALSE)),"")</f>
        <v>No</v>
      </c>
      <c r="U1001" s="11" t="str">
        <f>IFERROR(IF(VLOOKUP(A1001,[7]PRIORIZADOS!$A:$U,21,FALSE)="","",VLOOKUP(A1001,[7]PRIORIZADOS!$A:$U,21,FALSE)),"")</f>
        <v>Se realizará revisión de los PIAR en caso de presentarse queja.</v>
      </c>
    </row>
    <row r="1002" spans="1:21" s="1" customFormat="1" ht="84">
      <c r="A1002" s="69">
        <f>IF([7]PRIORIZADOS!A76="","",[7]PRIORIZADOS!A76)</f>
        <v>952</v>
      </c>
      <c r="B1002" s="87">
        <f>IFERROR(IF(VLOOKUP(A1002,[7]PRIORIZADOS!$A:$B,2,FALSE)="","",VLOOKUP(A1002,[7]PRIORIZADOS!$A:$B,2,FALSE)),"")</f>
        <v>9</v>
      </c>
      <c r="C1002" s="11" t="str">
        <f>IFERROR(IF(VLOOKUP(A1002,[7]PRIORIZADOS!$A:$C,3,FALSE)="","",VLOOKUP(A1002,[7]PRIORIZADOS!$A:$C,3,FALSE)),"")</f>
        <v>FONTIBÓN</v>
      </c>
      <c r="D1002" s="69" t="str">
        <f>IFERROR(IF(VLOOKUP(A1002,[7]PRIORIZADOS!$A:$D,4,FALSE)="","",VLOOKUP(A1002,[7]PRIORIZADOS!$A:$D,4,FALSE)),"")</f>
        <v>PRIVADO</v>
      </c>
      <c r="E1002" s="69" t="str">
        <f>IFERROR(IF(VLOOKUP(A1002,[7]PRIORIZADOS!$A:$E,5,FALSE)="","",VLOOKUP(A1002,[7]PRIORIZADOS!$A:$E,5,FALSE)),"")</f>
        <v>EPBM</v>
      </c>
      <c r="F1002" s="11" t="str">
        <f>IFERROR(IF(VLOOKUP(A1002,[7]PRIORIZADOS!$A:$F,6,FALSE)="","",VLOOKUP(A1002,[7]PRIORIZADOS!$A:$F,6,FALSE)),"")</f>
        <v>COLEGIO_PARROQUIAL_SAN_JOSE</v>
      </c>
      <c r="G1002" s="69" t="str">
        <f>IFERROR(IF(VLOOKUP(A1002,[7]PRIORIZADOS!$A:$G,7,FALSE)="","",VLOOKUP(A1002,[7]PRIORIZADOS!$A:$G,7,FALSE)),"")</f>
        <v>COLEGIO_PARROQUIAL_SAN_JOSE</v>
      </c>
      <c r="H1002" s="11" t="str">
        <f>IFERROR(IF(VLOOKUP(A1002,[7]PRIORIZADOS!$A:$H,8,FALSE)="","",VLOOKUP(A1002,[7]PRIORIZADOS!$A:$H,8,FALSE)),"")</f>
        <v>Autoevaluación Institucional y Pruebas SABER 11</v>
      </c>
      <c r="I1002" s="11" t="str">
        <f>IFERROR(IF(VLOOKUP(A1002,[7]PRIORIZADOS!$A:$I,9,FALSE)="","",VLOOKUP(A1002,[7]PRIORIZADOS!$A:$I,9,FALSE)),"")</f>
        <v>EVALUACIÓN_CON_FINES_DE_MEJORAMIENTO.</v>
      </c>
      <c r="J1002" s="11" t="str">
        <f>IFERROR(IF(VLOOKUP(A1002,[7]PRIORIZADOS!$A:$J,10,FALSE)="","",VLOOKUP(A1002,[7]PRIORIZADOS!$A:$J,10,FALSE)),"")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02" s="11" t="str">
        <f>IFERROR(IF(VLOOKUP(A1002,[7]PRIORIZADOS!$A:$K,11,FALSE)="","",VLOOKUP(A1002,[7]PRIORIZADOS!$A:$K,11,FALSE)),"")</f>
        <v>GLORIA INES AMAYA RAMÍREZ</v>
      </c>
      <c r="L1002" s="11" t="str">
        <f>IFERROR(IF(VLOOKUP(A1002,[7]PRIORIZADOS!$A:$L,12,FALSE)="","",VLOOKUP(A1002,[7]PRIORIZADOS!$A:$L,12,FALSE)),"")</f>
        <v>MARITZA SARMIENTO VANEGAS</v>
      </c>
      <c r="M1002" s="156">
        <f>IFERROR(IF(VLOOKUP(A1002,[7]PRIORIZADOS!$A:$M,13,FALSE)="","",VLOOKUP(A1002,[7]PRIORIZADOS!$A:$M,13,FALSE)),"")</f>
        <v>45770</v>
      </c>
      <c r="N1002" s="156">
        <f>IFERROR(IF(VLOOKUP(A1002,[7]PRIORIZADOS!$A:$N,14,FALSE)="","",VLOOKUP(A1002,[7]PRIORIZADOS!$A:$N,14,FALSE)),"")</f>
        <v>45805</v>
      </c>
      <c r="O1002" s="156">
        <f>IFERROR(IF(VLOOKUP(A1002,[7]PRIORIZADOS!$A:$O,15,FALSE)="","",VLOOKUP(A1002,[7]PRIORIZADOS!$A:$O,15,FALSE)),"")</f>
        <v>45805</v>
      </c>
      <c r="P1002" s="11" t="str">
        <f>IFERROR(IF(VLOOKUP(A1002,[7]PRIORIZADOS!$A:$P,16,FALSE)="","",VLOOKUP(A1002,[7]PRIORIZADOS!$A:$P,16,FALSE)),"")</f>
        <v>Visitas de evaluación con fines de mejoramiento</v>
      </c>
      <c r="Q1002" s="22" t="s">
        <v>187</v>
      </c>
      <c r="R1002" s="11" t="str">
        <f>IFERROR(IF(VLOOKUP(A1002,[7]PRIORIZADOS!$A:$R,18,FALSE)="","",VLOOKUP(A1002,[7]PRIORIZADOS!$A:$R,18,FALSE)),"")</f>
        <v>Manual de convivencia actualizado, socializado con los miembros de la comunidad educativa</v>
      </c>
      <c r="S1002" s="11" t="str">
        <f>IFERROR(IF(VLOOKUP(A1002,[7]PRIORIZADOS!$A:$S,19,FALSE)="","",VLOOKUP(A1002,[7]PRIORIZADOS!$A:$S,19,FALSE)),"")</f>
        <v xml:space="preserve">Ajustar  los marcos conceptuales del  enfoques de género, justicia escolar restaurativa. </v>
      </c>
      <c r="T1002" s="70" t="str">
        <f>IFERROR(IF(VLOOKUP(A1002,[7]PRIORIZADOS!$A:$T,20,FALSE)="","",VLOOKUP(A1002,[7]PRIORIZADOS!$A:$T,20,FALSE)),"")</f>
        <v>Si</v>
      </c>
      <c r="U1002" s="11" t="str">
        <f>IFERROR(IF(VLOOKUP(A1002,[7]PRIORIZADOS!$A:$U,21,FALSE)="","",VLOOKUP(A1002,[7]PRIORIZADOS!$A:$U,21,FALSE)),"")</f>
        <v>Realizar revisión del primer avance en la actualización del manual de convivencia, en el segundo semestre de la presente vigencia.</v>
      </c>
    </row>
    <row r="1003" spans="1:21" s="1" customFormat="1" ht="57.75">
      <c r="A1003" s="69">
        <f>IF([7]PRIORIZADOS!A77="","",[7]PRIORIZADOS!A77)</f>
        <v>953</v>
      </c>
      <c r="B1003" s="87">
        <f>IFERROR(IF(VLOOKUP(A1003,[7]PRIORIZADOS!$A:$B,2,FALSE)="","",VLOOKUP(A1003,[7]PRIORIZADOS!$A:$B,2,FALSE)),"")</f>
        <v>9</v>
      </c>
      <c r="C1003" s="11" t="str">
        <f>IFERROR(IF(VLOOKUP(A1003,[7]PRIORIZADOS!$A:$C,3,FALSE)="","",VLOOKUP(A1003,[7]PRIORIZADOS!$A:$C,3,FALSE)),"")</f>
        <v>FONTIBÓN</v>
      </c>
      <c r="D1003" s="69" t="str">
        <f>IFERROR(IF(VLOOKUP(A1003,[7]PRIORIZADOS!$A:$D,4,FALSE)="","",VLOOKUP(A1003,[7]PRIORIZADOS!$A:$D,4,FALSE)),"")</f>
        <v>PRIVADO</v>
      </c>
      <c r="E1003" s="69" t="str">
        <f>IFERROR(IF(VLOOKUP(A1003,[7]PRIORIZADOS!$A:$E,5,FALSE)="","",VLOOKUP(A1003,[7]PRIORIZADOS!$A:$E,5,FALSE)),"")</f>
        <v>EPBM</v>
      </c>
      <c r="F1003" s="11" t="str">
        <f>IFERROR(IF(VLOOKUP(A1003,[7]PRIORIZADOS!$A:$F,6,FALSE)="","",VLOOKUP(A1003,[7]PRIORIZADOS!$A:$F,6,FALSE)),"")</f>
        <v>COLEGIO_PARROQUIAL_SAN_JOSE</v>
      </c>
      <c r="G1003" s="69" t="str">
        <f>IFERROR(IF(VLOOKUP(A1003,[7]PRIORIZADOS!$A:$G,7,FALSE)="","",VLOOKUP(A1003,[7]PRIORIZADOS!$A:$G,7,FALSE)),"")</f>
        <v>COLEGIO_PARROQUIAL_SAN_JOSE</v>
      </c>
      <c r="H1003" s="11" t="str">
        <f>IFERROR(IF(VLOOKUP(A1003,[7]PRIORIZADOS!$A:$H,8,FALSE)="","",VLOOKUP(A1003,[7]PRIORIZADOS!$A:$H,8,FALSE)),"")</f>
        <v>Autoevaluación Institucional y Pruebas SABER 11</v>
      </c>
      <c r="I1003" s="11" t="str">
        <f>IFERROR(IF(VLOOKUP(A1003,[7]PRIORIZADOS!$A:$I,9,FALSE)="","",VLOOKUP(A1003,[7]PRIORIZADOS!$A:$I,9,FALSE)),"")</f>
        <v>EVALUACIÓN_CON_FINES_DE_MEJORAMIENTO.</v>
      </c>
      <c r="J1003" s="11" t="str">
        <f>IFERROR(IF(VLOOKUP(A1003,[7]PRIORIZADOS!$A:$J,10,FALSE)="","",VLOOKUP(A1003,[7]PRIORIZADOS!$A:$J,10,FALSE)),"")</f>
        <v>Revisar la actualización, socialización e implementación del Sistema Institucional de Evaluación de Estudiantes - SIEE, en articulación con la actualización del PEI y la normatividad vigente.</v>
      </c>
      <c r="K1003" s="11" t="str">
        <f>IFERROR(IF(VLOOKUP(A1003,[7]PRIORIZADOS!$A:$K,11,FALSE)="","",VLOOKUP(A1003,[7]PRIORIZADOS!$A:$K,11,FALSE)),"")</f>
        <v>GLORIA INES AMAYA RAMÍREZ</v>
      </c>
      <c r="L1003" s="11" t="str">
        <f>IFERROR(IF(VLOOKUP(A1003,[7]PRIORIZADOS!$A:$L,12,FALSE)="","",VLOOKUP(A1003,[7]PRIORIZADOS!$A:$L,12,FALSE)),"")</f>
        <v>MARITZA SARMIENTO VANEGAS</v>
      </c>
      <c r="M1003" s="156">
        <f>IFERROR(IF(VLOOKUP(A1003,[7]PRIORIZADOS!$A:$M,13,FALSE)="","",VLOOKUP(A1003,[7]PRIORIZADOS!$A:$M,13,FALSE)),"")</f>
        <v>45770</v>
      </c>
      <c r="N1003" s="156">
        <f>IFERROR(IF(VLOOKUP(A1003,[7]PRIORIZADOS!$A:$N,14,FALSE)="","",VLOOKUP(A1003,[7]PRIORIZADOS!$A:$N,14,FALSE)),"")</f>
        <v>45805</v>
      </c>
      <c r="O1003" s="156">
        <f>IFERROR(IF(VLOOKUP(A1003,[7]PRIORIZADOS!$A:$O,15,FALSE)="","",VLOOKUP(A1003,[7]PRIORIZADOS!$A:$O,15,FALSE)),"")</f>
        <v>45805</v>
      </c>
      <c r="P1003" s="11" t="str">
        <f>IFERROR(IF(VLOOKUP(A1003,[7]PRIORIZADOS!$A:$P,16,FALSE)="","",VLOOKUP(A1003,[7]PRIORIZADOS!$A:$P,16,FALSE)),"")</f>
        <v>Visitas de evaluación con fines de mejoramiento</v>
      </c>
      <c r="Q1003" s="23" t="s">
        <v>187</v>
      </c>
      <c r="R1003" s="11" t="str">
        <f>IFERROR(IF(VLOOKUP(A1003,[7]PRIORIZADOS!$A:$R,18,FALSE)="","",VLOOKUP(A1003,[7]PRIORIZADOS!$A:$R,18,FALSE)),"")</f>
        <v>SIEE actualizado y coherente con el modelo pedagógico</v>
      </c>
      <c r="S1003" s="11" t="str">
        <f>IFERROR(IF(VLOOKUP(A1003,[7]PRIORIZADOS!$A:$S,19,FALSE)="","",VLOOKUP(A1003,[7]PRIORIZADOS!$A:$S,19,FALSE)),"")</f>
        <v>Continuar con la implementación de las acciones definidas en el SIEE.</v>
      </c>
      <c r="T1003" s="70" t="str">
        <f>IFERROR(IF(VLOOKUP(A1003,[7]PRIORIZADOS!$A:$T,20,FALSE)="","",VLOOKUP(A1003,[7]PRIORIZADOS!$A:$T,20,FALSE)),"")</f>
        <v>No</v>
      </c>
      <c r="U1003" s="11" t="str">
        <f>IFERROR(IF(VLOOKUP(A1003,[7]PRIORIZADOS!$A:$U,21,FALSE)="","",VLOOKUP(A1003,[7]PRIORIZADOS!$A:$U,21,FALSE)),"")</f>
        <v>Verificar la socialización del SIEE para la siguiente vigencia o en caso de presentarse queja.</v>
      </c>
    </row>
    <row r="1004" spans="1:21" s="1" customFormat="1" ht="57.75">
      <c r="A1004" s="69">
        <f>IF([7]PRIORIZADOS!A78="","",[7]PRIORIZADOS!A78)</f>
        <v>954</v>
      </c>
      <c r="B1004" s="87">
        <f>IFERROR(IF(VLOOKUP(A1004,[7]PRIORIZADOS!$A:$B,2,FALSE)="","",VLOOKUP(A1004,[7]PRIORIZADOS!$A:$B,2,FALSE)),"")</f>
        <v>9</v>
      </c>
      <c r="C1004" s="11" t="str">
        <f>IFERROR(IF(VLOOKUP(A1004,[7]PRIORIZADOS!$A:$C,3,FALSE)="","",VLOOKUP(A1004,[7]PRIORIZADOS!$A:$C,3,FALSE)),"")</f>
        <v>FONTIBÓN</v>
      </c>
      <c r="D1004" s="69" t="str">
        <f>IFERROR(IF(VLOOKUP(A1004,[7]PRIORIZADOS!$A:$D,4,FALSE)="","",VLOOKUP(A1004,[7]PRIORIZADOS!$A:$D,4,FALSE)),"")</f>
        <v>PRIVADO</v>
      </c>
      <c r="E1004" s="69" t="str">
        <f>IFERROR(IF(VLOOKUP(A1004,[7]PRIORIZADOS!$A:$E,5,FALSE)="","",VLOOKUP(A1004,[7]PRIORIZADOS!$A:$E,5,FALSE)),"")</f>
        <v>EPBM</v>
      </c>
      <c r="F1004" s="11" t="str">
        <f>IFERROR(IF(VLOOKUP(A1004,[7]PRIORIZADOS!$A:$F,6,FALSE)="","",VLOOKUP(A1004,[7]PRIORIZADOS!$A:$F,6,FALSE)),"")</f>
        <v>COLEGIO_PARROQUIAL_SAN_JOSE</v>
      </c>
      <c r="G1004" s="69" t="str">
        <f>IFERROR(IF(VLOOKUP(A1004,[7]PRIORIZADOS!$A:$G,7,FALSE)="","",VLOOKUP(A1004,[7]PRIORIZADOS!$A:$G,7,FALSE)),"")</f>
        <v>COLEGIO_PARROQUIAL_SAN_JOSE</v>
      </c>
      <c r="H1004" s="11" t="str">
        <f>IFERROR(IF(VLOOKUP(A1004,[7]PRIORIZADOS!$A:$H,8,FALSE)="","",VLOOKUP(A1004,[7]PRIORIZADOS!$A:$H,8,FALSE)),"")</f>
        <v>Autoevaluación Institucional y Pruebas SABER 11</v>
      </c>
      <c r="I1004" s="11" t="str">
        <f>IFERROR(IF(VLOOKUP(A1004,[7]PRIORIZADOS!$A:$I,9,FALSE)="","",VLOOKUP(A1004,[7]PRIORIZADOS!$A:$I,9,FALSE)),"")</f>
        <v>EVALUACIÓN_CON_FINES_DE_MEJORAMIENTO.</v>
      </c>
      <c r="J1004" s="11" t="str">
        <f>IFERROR(IF(VLOOKUP(A1004,[7]PRIORIZADOS!$A:$J,10,FALSE)="","",VLOOKUP(A1004,[7]PRIORIZADOS!$A:$J,10,FALSE)),"")</f>
        <v>Revisar el calendario escolar, jornada escolar, la intensidad horaria mínima anual en cada nivel y las modificaciones que se realicen al mismo, de acuerdo con lo previsto en la normatividad vigente.</v>
      </c>
      <c r="K1004" s="11" t="str">
        <f>IFERROR(IF(VLOOKUP(A1004,[7]PRIORIZADOS!$A:$K,11,FALSE)="","",VLOOKUP(A1004,[7]PRIORIZADOS!$A:$K,11,FALSE)),"")</f>
        <v>GLORIA INES AMAYA RAMÍREZ</v>
      </c>
      <c r="L1004" s="11" t="str">
        <f>IFERROR(IF(VLOOKUP(A1004,[7]PRIORIZADOS!$A:$L,12,FALSE)="","",VLOOKUP(A1004,[7]PRIORIZADOS!$A:$L,12,FALSE)),"")</f>
        <v>MARITZA SARMIENTO VANEGAS</v>
      </c>
      <c r="M1004" s="156">
        <f>IFERROR(IF(VLOOKUP(A1004,[7]PRIORIZADOS!$A:$M,13,FALSE)="","",VLOOKUP(A1004,[7]PRIORIZADOS!$A:$M,13,FALSE)),"")</f>
        <v>45770</v>
      </c>
      <c r="N1004" s="156">
        <f>IFERROR(IF(VLOOKUP(A1004,[7]PRIORIZADOS!$A:$N,14,FALSE)="","",VLOOKUP(A1004,[7]PRIORIZADOS!$A:$N,14,FALSE)),"")</f>
        <v>45805</v>
      </c>
      <c r="O1004" s="156">
        <f>IFERROR(IF(VLOOKUP(A1004,[7]PRIORIZADOS!$A:$O,15,FALSE)="","",VLOOKUP(A1004,[7]PRIORIZADOS!$A:$O,15,FALSE)),"")</f>
        <v>45805</v>
      </c>
      <c r="P1004" s="11" t="str">
        <f>IFERROR(IF(VLOOKUP(A1004,[7]PRIORIZADOS!$A:$P,16,FALSE)="","",VLOOKUP(A1004,[7]PRIORIZADOS!$A:$P,16,FALSE)),"")</f>
        <v>Visitas de evaluación con fines de mejoramiento</v>
      </c>
      <c r="Q1004" s="22" t="s">
        <v>187</v>
      </c>
      <c r="R1004" s="11" t="str">
        <f>IFERROR(IF(VLOOKUP(A1004,[7]PRIORIZADOS!$A:$R,18,FALSE)="","",VLOOKUP(A1004,[7]PRIORIZADOS!$A:$R,18,FALSE)),"")</f>
        <v>Calendario escolar ajustado a norma para los niveles de  preescolar básica y media</v>
      </c>
      <c r="S1004" s="11" t="str">
        <f>IFERROR(IF(VLOOKUP(A1004,[7]PRIORIZADOS!$A:$S,19,FALSE)="","",VLOOKUP(A1004,[7]PRIORIZADOS!$A:$S,19,FALSE)),"")</f>
        <v>Continuar con la implementación del calendario según las fechas definidas para los períodos de desarrollo académico y recesos.</v>
      </c>
      <c r="T1004" s="70" t="str">
        <f>IFERROR(IF(VLOOKUP(A1004,[7]PRIORIZADOS!$A:$T,20,FALSE)="","",VLOOKUP(A1004,[7]PRIORIZADOS!$A:$T,20,FALSE)),"")</f>
        <v>No</v>
      </c>
      <c r="U1004" s="11" t="str">
        <f>IFERROR(IF(VLOOKUP(A1004,[7]PRIORIZADOS!$A:$U,21,FALSE)="","",VLOOKUP(A1004,[7]PRIORIZADOS!$A:$U,21,FALSE)),"")</f>
        <v>Verificar la elaboración y socialización del calendario para la siguiente vigencia o en caso de presentarse queja.</v>
      </c>
    </row>
    <row r="1005" spans="1:21" s="1" customFormat="1" ht="57.75">
      <c r="A1005" s="69">
        <f>IF([7]PRIORIZADOS!A79="","",[7]PRIORIZADOS!A79)</f>
        <v>955</v>
      </c>
      <c r="B1005" s="87">
        <f>IFERROR(IF(VLOOKUP(A1005,[7]PRIORIZADOS!$A:$B,2,FALSE)="","",VLOOKUP(A1005,[7]PRIORIZADOS!$A:$B,2,FALSE)),"")</f>
        <v>9</v>
      </c>
      <c r="C1005" s="11" t="str">
        <f>IFERROR(IF(VLOOKUP(A1005,[7]PRIORIZADOS!$A:$C,3,FALSE)="","",VLOOKUP(A1005,[7]PRIORIZADOS!$A:$C,3,FALSE)),"")</f>
        <v>FONTIBÓN</v>
      </c>
      <c r="D1005" s="69" t="str">
        <f>IFERROR(IF(VLOOKUP(A1005,[7]PRIORIZADOS!$A:$D,4,FALSE)="","",VLOOKUP(A1005,[7]PRIORIZADOS!$A:$D,4,FALSE)),"")</f>
        <v>PRIVADO</v>
      </c>
      <c r="E1005" s="69" t="str">
        <f>IFERROR(IF(VLOOKUP(A1005,[7]PRIORIZADOS!$A:$E,5,FALSE)="","",VLOOKUP(A1005,[7]PRIORIZADOS!$A:$E,5,FALSE)),"")</f>
        <v>EPBM</v>
      </c>
      <c r="F1005" s="11" t="str">
        <f>IFERROR(IF(VLOOKUP(A1005,[7]PRIORIZADOS!$A:$F,6,FALSE)="","",VLOOKUP(A1005,[7]PRIORIZADOS!$A:$F,6,FALSE)),"")</f>
        <v>COLEGIO_PARROQUIAL_SAN_JOSE</v>
      </c>
      <c r="G1005" s="69" t="str">
        <f>IFERROR(IF(VLOOKUP(A1005,[7]PRIORIZADOS!$A:$G,7,FALSE)="","",VLOOKUP(A1005,[7]PRIORIZADOS!$A:$G,7,FALSE)),"")</f>
        <v>COLEGIO_PARROQUIAL_SAN_JOSE</v>
      </c>
      <c r="H1005" s="11" t="str">
        <f>IFERROR(IF(VLOOKUP(A1005,[7]PRIORIZADOS!$A:$H,8,FALSE)="","",VLOOKUP(A1005,[7]PRIORIZADOS!$A:$H,8,FALSE)),"")</f>
        <v>Autoevaluación Institucional y Pruebas SABER 11</v>
      </c>
      <c r="I1005" s="11" t="str">
        <f>IFERROR(IF(VLOOKUP(A1005,[7]PRIORIZADOS!$A:$I,9,FALSE)="","",VLOOKUP(A1005,[7]PRIORIZADOS!$A:$I,9,FALSE)),"")</f>
        <v>EVALUACIÓN_CON_FINES_DE_MEJORAMIENTO.</v>
      </c>
      <c r="J1005" s="11" t="str">
        <f>IFERROR(IF(VLOOKUP(A1005,[7]PRIORIZADOS!$A:$J,10,FALSE)="","",VLOOKUP(A1005,[7]PRIORIZADOS!$A:$J,10,FALSE)),"")</f>
        <v>Verificar el funcionamiento del Gobierno Escolar e instancias de participación con base en la información sobre conformación reportada por la institución educativa.</v>
      </c>
      <c r="K1005" s="11" t="str">
        <f>IFERROR(IF(VLOOKUP(A1005,[7]PRIORIZADOS!$A:$K,11,FALSE)="","",VLOOKUP(A1005,[7]PRIORIZADOS!$A:$K,11,FALSE)),"")</f>
        <v>GLORIA INES AMAYA RAMÍREZ</v>
      </c>
      <c r="L1005" s="11" t="str">
        <f>IFERROR(IF(VLOOKUP(A1005,[7]PRIORIZADOS!$A:$L,12,FALSE)="","",VLOOKUP(A1005,[7]PRIORIZADOS!$A:$L,12,FALSE)),"")</f>
        <v>MARITZA SARMIENTO VANEGAS</v>
      </c>
      <c r="M1005" s="156">
        <f>IFERROR(IF(VLOOKUP(A1005,[7]PRIORIZADOS!$A:$M,13,FALSE)="","",VLOOKUP(A1005,[7]PRIORIZADOS!$A:$M,13,FALSE)),"")</f>
        <v>45770</v>
      </c>
      <c r="N1005" s="156">
        <f>IFERROR(IF(VLOOKUP(A1005,[7]PRIORIZADOS!$A:$N,14,FALSE)="","",VLOOKUP(A1005,[7]PRIORIZADOS!$A:$N,14,FALSE)),"")</f>
        <v>45805</v>
      </c>
      <c r="O1005" s="156">
        <f>IFERROR(IF(VLOOKUP(A1005,[7]PRIORIZADOS!$A:$O,15,FALSE)="","",VLOOKUP(A1005,[7]PRIORIZADOS!$A:$O,15,FALSE)),"")</f>
        <v>45805</v>
      </c>
      <c r="P1005" s="11" t="str">
        <f>IFERROR(IF(VLOOKUP(A1005,[7]PRIORIZADOS!$A:$P,16,FALSE)="","",VLOOKUP(A1005,[7]PRIORIZADOS!$A:$P,16,FALSE)),"")</f>
        <v>Visitas de evaluación con fines de mejoramiento</v>
      </c>
      <c r="Q1005" s="22" t="s">
        <v>187</v>
      </c>
      <c r="R1005" s="11" t="str">
        <f>IFERROR(IF(VLOOKUP(A1005,[7]PRIORIZADOS!$A:$R,18,FALSE)="","",VLOOKUP(A1005,[7]PRIORIZADOS!$A:$R,18,FALSE)),"")</f>
        <v>Conformación y funcionamiento del gobierno escolar  y  las instancia de participación  de acuerdo a lo establecido en la normatividad</v>
      </c>
      <c r="S1005" s="11" t="str">
        <f>IFERROR(IF(VLOOKUP(A1005,[7]PRIORIZADOS!$A:$S,19,FALSE)="","",VLOOKUP(A1005,[7]PRIORIZADOS!$A:$S,19,FALSE)),"")</f>
        <v>Continuar con la operatividad del gobierno y las instancias de participación cada dos meses o según corresponda.</v>
      </c>
      <c r="T1005" s="70" t="str">
        <f>IFERROR(IF(VLOOKUP(A1005,[7]PRIORIZADOS!$A:$T,20,FALSE)="","",VLOOKUP(A1005,[7]PRIORIZADOS!$A:$T,20,FALSE)),"")</f>
        <v>No</v>
      </c>
      <c r="U1005" s="11" t="str">
        <f>IFERROR(IF(VLOOKUP(A1005,[7]PRIORIZADOS!$A:$U,21,FALSE)="","",VLOOKUP(A1005,[7]PRIORIZADOS!$A:$U,21,FALSE)),"")</f>
        <v>Se verificará la conformación del gobierno escolar para la siguiente vigencia.</v>
      </c>
    </row>
    <row r="1006" spans="1:21" s="1" customFormat="1" ht="72">
      <c r="A1006" s="69">
        <f>IF([7]PRIORIZADOS!A80="","",[7]PRIORIZADOS!A80)</f>
        <v>956</v>
      </c>
      <c r="B1006" s="87">
        <f>IFERROR(IF(VLOOKUP(A1006,[7]PRIORIZADOS!$A:$B,2,FALSE)="","",VLOOKUP(A1006,[7]PRIORIZADOS!$A:$B,2,FALSE)),"")</f>
        <v>9</v>
      </c>
      <c r="C1006" s="11" t="str">
        <f>IFERROR(IF(VLOOKUP(A1006,[7]PRIORIZADOS!$A:$C,3,FALSE)="","",VLOOKUP(A1006,[7]PRIORIZADOS!$A:$C,3,FALSE)),"")</f>
        <v>FONTIBÓN</v>
      </c>
      <c r="D1006" s="69" t="str">
        <f>IFERROR(IF(VLOOKUP(A1006,[7]PRIORIZADOS!$A:$D,4,FALSE)="","",VLOOKUP(A1006,[7]PRIORIZADOS!$A:$D,4,FALSE)),"")</f>
        <v>PRIVADO</v>
      </c>
      <c r="E1006" s="69" t="str">
        <f>IFERROR(IF(VLOOKUP(A1006,[7]PRIORIZADOS!$A:$E,5,FALSE)="","",VLOOKUP(A1006,[7]PRIORIZADOS!$A:$E,5,FALSE)),"")</f>
        <v>EPBM</v>
      </c>
      <c r="F1006" s="11" t="str">
        <f>IFERROR(IF(VLOOKUP(A1006,[7]PRIORIZADOS!$A:$F,6,FALSE)="","",VLOOKUP(A1006,[7]PRIORIZADOS!$A:$F,6,FALSE)),"")</f>
        <v>COLEGIO_PARROQUIAL_SAN_JOSE</v>
      </c>
      <c r="G1006" s="69" t="str">
        <f>IFERROR(IF(VLOOKUP(A1006,[7]PRIORIZADOS!$A:$G,7,FALSE)="","",VLOOKUP(A1006,[7]PRIORIZADOS!$A:$G,7,FALSE)),"")</f>
        <v>COLEGIO_PARROQUIAL_SAN_JOSE</v>
      </c>
      <c r="H1006" s="11" t="str">
        <f>IFERROR(IF(VLOOKUP(A1006,[7]PRIORIZADOS!$A:$H,8,FALSE)="","",VLOOKUP(A1006,[7]PRIORIZADOS!$A:$H,8,FALSE)),"")</f>
        <v>Autoevaluación Institucional y Pruebas SABER 11</v>
      </c>
      <c r="I1006" s="11" t="str">
        <f>IFERROR(IF(VLOOKUP(A1006,[7]PRIORIZADOS!$A:$I,9,FALSE)="","",VLOOKUP(A1006,[7]PRIORIZADOS!$A:$I,9,FALSE)),"")</f>
        <v>EVALUACIÓN_CON_FINES_DE_MEJORAMIENTO.</v>
      </c>
      <c r="J1006" s="11" t="str">
        <f>IFERROR(IF(VLOOKUP(A1006,[7]PRIORIZADOS!$A:$J,10,FALSE)="","",VLOOKUP(A1006,[7]PRIORIZADOS!$A:$J,10,FALSE)),"")</f>
        <v>Verificar las condiciones en cuanto a: la estructura administrativa, condiciones de la planta física y medios educativos adecuados.</v>
      </c>
      <c r="K1006" s="11" t="str">
        <f>IFERROR(IF(VLOOKUP(A1006,[7]PRIORIZADOS!$A:$K,11,FALSE)="","",VLOOKUP(A1006,[7]PRIORIZADOS!$A:$K,11,FALSE)),"")</f>
        <v>GLORIA INES AMAYA RAMÍREZ</v>
      </c>
      <c r="L1006" s="11" t="str">
        <f>IFERROR(IF(VLOOKUP(A1006,[7]PRIORIZADOS!$A:$L,12,FALSE)="","",VLOOKUP(A1006,[7]PRIORIZADOS!$A:$L,12,FALSE)),"")</f>
        <v>MARITZA SARMIENTO VANEGAS</v>
      </c>
      <c r="M1006" s="156">
        <f>IFERROR(IF(VLOOKUP(A1006,[7]PRIORIZADOS!$A:$M,13,FALSE)="","",VLOOKUP(A1006,[7]PRIORIZADOS!$A:$M,13,FALSE)),"")</f>
        <v>45770</v>
      </c>
      <c r="N1006" s="156">
        <f>IFERROR(IF(VLOOKUP(A1006,[7]PRIORIZADOS!$A:$N,14,FALSE)="","",VLOOKUP(A1006,[7]PRIORIZADOS!$A:$N,14,FALSE)),"")</f>
        <v>45805</v>
      </c>
      <c r="O1006" s="156">
        <f>IFERROR(IF(VLOOKUP(A1006,[7]PRIORIZADOS!$A:$O,15,FALSE)="","",VLOOKUP(A1006,[7]PRIORIZADOS!$A:$O,15,FALSE)),"")</f>
        <v>45805</v>
      </c>
      <c r="P1006" s="11" t="str">
        <f>IFERROR(IF(VLOOKUP(A1006,[7]PRIORIZADOS!$A:$P,16,FALSE)="","",VLOOKUP(A1006,[7]PRIORIZADOS!$A:$P,16,FALSE)),"")</f>
        <v>Visitas de evaluación con fines de mejoramiento</v>
      </c>
      <c r="Q1006" s="22" t="s">
        <v>187</v>
      </c>
      <c r="R1006" s="11" t="str">
        <f>IFERROR(IF(VLOOKUP(A1006,[7]PRIORIZADOS!$A:$R,18,FALSE)="","",VLOOKUP(A1006,[7]PRIORIZADOS!$A:$R,18,FALSE)),"")</f>
        <v>estructura administrativa y medios educativos pertinentes 
Los salones de 3,4° y 5° presentan deficiencia en iluminación, ventilación cruza, acústica y  pisos requieren mantenimiento</v>
      </c>
      <c r="S1006" s="11" t="str">
        <f>IFERROR(IF(VLOOKUP(A1006,[7]PRIORIZADOS!$A:$S,19,FALSE)="","",VLOOKUP(A1006,[7]PRIORIZADOS!$A:$S,19,FALSE)),"")</f>
        <v>realizar adecuaciones pertinentes en 
Los salones de 3,4° y 5°.</v>
      </c>
      <c r="T1006" s="70" t="str">
        <f>IFERROR(IF(VLOOKUP(A1006,[7]PRIORIZADOS!$A:$T,20,FALSE)="","",VLOOKUP(A1006,[7]PRIORIZADOS!$A:$T,20,FALSE)),"")</f>
        <v>Si</v>
      </c>
      <c r="U1006" s="11" t="str">
        <f>IFERROR(IF(VLOOKUP(A1006,[7]PRIORIZADOS!$A:$U,21,FALSE)="","",VLOOKUP(A1006,[7]PRIORIZADOS!$A:$U,21,FALSE)),"")</f>
        <v>Se verificara  en la  entrega de avance  PMI el 25 de agosto,  el inicio del proceso de adecuación.</v>
      </c>
    </row>
    <row r="1007" spans="1:21" s="1" customFormat="1" ht="60">
      <c r="A1007" s="69">
        <f>IF([7]PRIORIZADOS!A81="","",[7]PRIORIZADOS!A81)</f>
        <v>958</v>
      </c>
      <c r="B1007" s="87">
        <f>IFERROR(IF(VLOOKUP(A1007,[7]PRIORIZADOS!$A:$B,2,FALSE)="","",VLOOKUP(A1007,[7]PRIORIZADOS!$A:$B,2,FALSE)),"")</f>
        <v>10</v>
      </c>
      <c r="C1007" s="11" t="str">
        <f>IFERROR(IF(VLOOKUP(A1007,[7]PRIORIZADOS!$A:$C,3,FALSE)="","",VLOOKUP(A1007,[7]PRIORIZADOS!$A:$C,3,FALSE)),"")</f>
        <v>FONTIBÓN</v>
      </c>
      <c r="D1007" s="69" t="str">
        <f>IFERROR(IF(VLOOKUP(A1007,[7]PRIORIZADOS!$A:$D,4,FALSE)="","",VLOOKUP(A1007,[7]PRIORIZADOS!$A:$D,4,FALSE)),"")</f>
        <v>PRIVADO</v>
      </c>
      <c r="E1007" s="69" t="str">
        <f>IFERROR(IF(VLOOKUP(A1007,[7]PRIORIZADOS!$A:$E,5,FALSE)="","",VLOOKUP(A1007,[7]PRIORIZADOS!$A:$E,5,FALSE)),"")</f>
        <v>EPBM</v>
      </c>
      <c r="F1007" s="11" t="str">
        <f>IFERROR(IF(VLOOKUP(A1007,[7]PRIORIZADOS!$A:$F,6,FALSE)="","",VLOOKUP(A1007,[7]PRIORIZADOS!$A:$F,6,FALSE)),"")</f>
        <v>COLEGIO_MADRE_MATILDE</v>
      </c>
      <c r="G1007" s="69" t="str">
        <f>IFERROR(IF(VLOOKUP(A1007,[7]PRIORIZADOS!$A:$G,7,FALSE)="","",VLOOKUP(A1007,[7]PRIORIZADOS!$A:$G,7,FALSE)),"")</f>
        <v>COLEGIO_MADRE_MATILDE</v>
      </c>
      <c r="H1007" s="11" t="str">
        <f>IFERROR(IF(VLOOKUP(A1007,[7]PRIORIZADOS!$A:$H,8,FALSE)="","",VLOOKUP(A1007,[7]PRIORIZADOS!$A:$H,8,FALSE)),"")</f>
        <v>Autoevaluación Institucional y Pruebas SABER 11</v>
      </c>
      <c r="I1007" s="11" t="str">
        <f>IFERROR(IF(VLOOKUP(A1007,[7]PRIORIZADOS!$A:$I,9,FALSE)="","",VLOOKUP(A1007,[7]PRIORIZADOS!$A:$I,9,FALSE)),"")</f>
        <v>SEGUIMIENTO_Y_SUPERVISIÓN.</v>
      </c>
      <c r="J1007" s="11" t="str">
        <f>IFERROR(IF(VLOOKUP(A1007,[7]PRIORIZADOS!$A:$J,10,FALSE)="","",VLOOKUP(A1007,[7]PRIORIZADOS!$A:$J,10,FALSE)),"")</f>
        <v>Proponer estrategias en la formulación, verificar su elaboración y realizar seguimiento semestral al desarrollo de  las acciones establecidas en los planes de mejoramiento por pruebas SABER 11 de los establecimientos de educación formal.</v>
      </c>
      <c r="K1007" s="11" t="str">
        <f>IFERROR(IF(VLOOKUP(A1007,[7]PRIORIZADOS!$A:$K,11,FALSE)="","",VLOOKUP(A1007,[7]PRIORIZADOS!$A:$K,11,FALSE)),"")</f>
        <v>MARITZA SARMIENTO VANEGAS</v>
      </c>
      <c r="L1007" s="11" t="str">
        <f>IFERROR(IF(VLOOKUP(A1007,[7]PRIORIZADOS!$A:$L,12,FALSE)="","",VLOOKUP(A1007,[7]PRIORIZADOS!$A:$L,12,FALSE)),"")</f>
        <v>GLORIA INES AMAYA RAMÍREZ</v>
      </c>
      <c r="M1007" s="156">
        <f>IFERROR(IF(VLOOKUP(A1007,[7]PRIORIZADOS!$A:$M,13,FALSE)="","",VLOOKUP(A1007,[7]PRIORIZADOS!$A:$M,13,FALSE)),"")</f>
        <v>45799</v>
      </c>
      <c r="N1007" s="156">
        <f>IFERROR(IF(VLOOKUP(A1007,[7]PRIORIZADOS!$A:$N,14,FALSE)="","",VLOOKUP(A1007,[7]PRIORIZADOS!$A:$N,14,FALSE)),"")</f>
        <v>45825</v>
      </c>
      <c r="O1007" s="156">
        <f>IFERROR(IF(VLOOKUP(A1007,[7]PRIORIZADOS!$A:$O,15,FALSE)="","",VLOOKUP(A1007,[7]PRIORIZADOS!$A:$O,15,FALSE)),"")</f>
        <v>45825</v>
      </c>
      <c r="P1007" s="11" t="str">
        <f>IFERROR(IF(VLOOKUP(A1007,[7]PRIORIZADOS!$A:$P,16,FALSE)="","",VLOOKUP(A1007,[7]PRIORIZADOS!$A:$P,16,FALSE)),"")</f>
        <v>Visitas de evaluación con fines de mejoramiento</v>
      </c>
      <c r="Q1007" s="22" t="s">
        <v>188</v>
      </c>
      <c r="R1007" s="11" t="str">
        <f>IFERROR(IF(VLOOKUP(A1007,[7]PRIORIZADOS!$A:$R,18,FALSE)="","",VLOOKUP(A1007,[7]PRIORIZADOS!$A:$R,18,FALSE)),"")</f>
        <v>Lectura de resultados de pruebas SABER, retroalimentación de resultados generación planes de mejoramiento.
implementación de cartillas, talleres de exploración institucional, simulacros</v>
      </c>
      <c r="S1007" s="11" t="str">
        <f>IFERROR(IF(VLOOKUP(A1007,[7]PRIORIZADOS!$A:$S,19,FALSE)="","",VLOOKUP(A1007,[7]PRIORIZADOS!$A:$S,19,FALSE)),"")</f>
        <v>Continuar con la implementación de estrategias, que coadyuvan en la mejora de los resultados de la pruebas SABER 11</v>
      </c>
      <c r="T1007" s="70" t="str">
        <f>IFERROR(IF(VLOOKUP(A1007,[7]PRIORIZADOS!$A:$T,20,FALSE)="","",VLOOKUP(A1007,[7]PRIORIZADOS!$A:$T,20,FALSE)),"")</f>
        <v>No</v>
      </c>
      <c r="U1007" s="11" t="str">
        <f>IFERROR(IF(VLOOKUP(A1007,[7]PRIORIZADOS!$A:$U,21,FALSE)="","",VLOOKUP(A1007,[7]PRIORIZADOS!$A:$U,21,FALSE)),"")</f>
        <v>Verificar resultados de la Institución pruebas SABER 11 2025</v>
      </c>
    </row>
    <row r="1008" spans="1:21" s="1" customFormat="1" ht="84">
      <c r="A1008" s="69">
        <f>IF([7]PRIORIZADOS!A82="","",[7]PRIORIZADOS!A82)</f>
        <v>959</v>
      </c>
      <c r="B1008" s="87">
        <f>IFERROR(IF(VLOOKUP(A1008,[7]PRIORIZADOS!$A:$B,2,FALSE)="","",VLOOKUP(A1008,[7]PRIORIZADOS!$A:$B,2,FALSE)),"")</f>
        <v>10</v>
      </c>
      <c r="C1008" s="11" t="str">
        <f>IFERROR(IF(VLOOKUP(A1008,[7]PRIORIZADOS!$A:$C,3,FALSE)="","",VLOOKUP(A1008,[7]PRIORIZADOS!$A:$C,3,FALSE)),"")</f>
        <v>FONTIBÓN</v>
      </c>
      <c r="D1008" s="69" t="str">
        <f>IFERROR(IF(VLOOKUP(A1008,[7]PRIORIZADOS!$A:$D,4,FALSE)="","",VLOOKUP(A1008,[7]PRIORIZADOS!$A:$D,4,FALSE)),"")</f>
        <v>PRIVADO</v>
      </c>
      <c r="E1008" s="69" t="str">
        <f>IFERROR(IF(VLOOKUP(A1008,[7]PRIORIZADOS!$A:$E,5,FALSE)="","",VLOOKUP(A1008,[7]PRIORIZADOS!$A:$E,5,FALSE)),"")</f>
        <v>EPBM</v>
      </c>
      <c r="F1008" s="11" t="str">
        <f>IFERROR(IF(VLOOKUP(A1008,[7]PRIORIZADOS!$A:$F,6,FALSE)="","",VLOOKUP(A1008,[7]PRIORIZADOS!$A:$F,6,FALSE)),"")</f>
        <v>COLEGIO_MADRE_MATILDE</v>
      </c>
      <c r="G1008" s="69" t="str">
        <f>IFERROR(IF(VLOOKUP(A1008,[7]PRIORIZADOS!$A:$G,7,FALSE)="","",VLOOKUP(A1008,[7]PRIORIZADOS!$A:$G,7,FALSE)),"")</f>
        <v>COLEGIO_MADRE_MATILDE</v>
      </c>
      <c r="H1008" s="11" t="str">
        <f>IFERROR(IF(VLOOKUP(A1008,[7]PRIORIZADOS!$A:$H,8,FALSE)="","",VLOOKUP(A1008,[7]PRIORIZADOS!$A:$H,8,FALSE)),"")</f>
        <v>Autoevaluación Institucional y Pruebas SABER 11</v>
      </c>
      <c r="I1008" s="11" t="str">
        <f>IFERROR(IF(VLOOKUP(A1008,[7]PRIORIZADOS!$A:$I,9,FALSE)="","",VLOOKUP(A1008,[7]PRIORIZADOS!$A:$I,9,FALSE)),"")</f>
        <v>SEGUIMIENTO_Y_SUPERVISIÓN.</v>
      </c>
      <c r="J1008" s="11" t="str">
        <f>IFERROR(IF(VLOOKUP(A1008,[7]PRIORIZADOS!$A:$J,10,FALSE)="","",VLOOKUP(A1008,[7]PRIORIZADOS!$A:$J,10,FALSE)),"")</f>
        <v xml:space="preserve">Verificar la implementación por parte de los colegios, de acciones realizadas para la prevención y atención de las situaciones de convivencia en el entorno escolar, según lo establecido en la Directiva 01 de 2022 del MEN. </v>
      </c>
      <c r="K1008" s="11" t="str">
        <f>IFERROR(IF(VLOOKUP(A1008,[7]PRIORIZADOS!$A:$K,11,FALSE)="","",VLOOKUP(A1008,[7]PRIORIZADOS!$A:$K,11,FALSE)),"")</f>
        <v>MARITZA SARMIENTO VANEGAS</v>
      </c>
      <c r="L1008" s="11" t="str">
        <f>IFERROR(IF(VLOOKUP(A1008,[7]PRIORIZADOS!$A:$L,12,FALSE)="","",VLOOKUP(A1008,[7]PRIORIZADOS!$A:$L,12,FALSE)),"")</f>
        <v>GLORIA INES AMAYA RAMÍREZ</v>
      </c>
      <c r="M1008" s="156">
        <f>IFERROR(IF(VLOOKUP(A1008,[7]PRIORIZADOS!$A:$M,13,FALSE)="","",VLOOKUP(A1008,[7]PRIORIZADOS!$A:$M,13,FALSE)),"")</f>
        <v>45799</v>
      </c>
      <c r="N1008" s="156">
        <f>IFERROR(IF(VLOOKUP(A1008,[7]PRIORIZADOS!$A:$N,14,FALSE)="","",VLOOKUP(A1008,[7]PRIORIZADOS!$A:$N,14,FALSE)),"")</f>
        <v>45825</v>
      </c>
      <c r="O1008" s="156">
        <f>IFERROR(IF(VLOOKUP(A1008,[7]PRIORIZADOS!$A:$O,15,FALSE)="","",VLOOKUP(A1008,[7]PRIORIZADOS!$A:$O,15,FALSE)),"")</f>
        <v>45825</v>
      </c>
      <c r="P1008" s="11" t="str">
        <f>IFERROR(IF(VLOOKUP(A1008,[7]PRIORIZADOS!$A:$P,16,FALSE)="","",VLOOKUP(A1008,[7]PRIORIZADOS!$A:$P,16,FALSE)),"")</f>
        <v>Visitas de evaluación con fines de mejoramiento</v>
      </c>
      <c r="Q1008" s="24" t="s">
        <v>188</v>
      </c>
      <c r="R1008" s="11" t="str">
        <f>IFERROR(IF(VLOOKUP(A1008,[7]PRIORIZADOS!$A:$R,18,FALSE)="","",VLOOKUP(A1008,[7]PRIORIZADOS!$A:$R,18,FALSE)),"")</f>
        <v>Se realizan actividades pedagógico formativas del componente de  prevención y promoción de la ruta de atención integral. 
La institución presento los certificados de consulta de delitos sexuales de los docentes contratados</v>
      </c>
      <c r="S1008" s="11" t="str">
        <f>IFERROR(IF(VLOOKUP(A1008,[7]PRIORIZADOS!$A:$S,19,FALSE)="","",VLOOKUP(A1008,[7]PRIORIZADOS!$A:$S,19,FALSE)),"")</f>
        <v>Continuar con la aplicación de las estrategias de prevención, promoción y seguimiento por parte del Comité de Convivencia Escolar, y realizar la verificación de antecedentes cada cuatro meses de todo el personal (directivo, docente y administrativo) vinculado.</v>
      </c>
      <c r="T1008" s="70" t="str">
        <f>IFERROR(IF(VLOOKUP(A1008,[7]PRIORIZADOS!$A:$T,20,FALSE)="","",VLOOKUP(A1008,[7]PRIORIZADOS!$A:$T,20,FALSE)),"")</f>
        <v>No</v>
      </c>
      <c r="U1008" s="11" t="str">
        <f>IFERROR(IF(VLOOKUP(A1008,[7]PRIORIZADOS!$A:$U,21,FALSE)="","",VLOOKUP(A1008,[7]PRIORIZADOS!$A:$U,21,FALSE)),"")</f>
        <v>se verificara el cumplimiento de la directiva  01 de 2022 del MEN, en caso de presentarse alguna queja.</v>
      </c>
    </row>
    <row r="1009" spans="1:21" s="1" customFormat="1" ht="72">
      <c r="A1009" s="69">
        <f>IF([7]PRIORIZADOS!A83="","",[7]PRIORIZADOS!A83)</f>
        <v>960</v>
      </c>
      <c r="B1009" s="87">
        <f>IFERROR(IF(VLOOKUP(A1009,[7]PRIORIZADOS!$A:$B,2,FALSE)="","",VLOOKUP(A1009,[7]PRIORIZADOS!$A:$B,2,FALSE)),"")</f>
        <v>10</v>
      </c>
      <c r="C1009" s="11" t="str">
        <f>IFERROR(IF(VLOOKUP(A1009,[7]PRIORIZADOS!$A:$C,3,FALSE)="","",VLOOKUP(A1009,[7]PRIORIZADOS!$A:$C,3,FALSE)),"")</f>
        <v>FONTIBÓN</v>
      </c>
      <c r="D1009" s="69" t="str">
        <f>IFERROR(IF(VLOOKUP(A1009,[7]PRIORIZADOS!$A:$D,4,FALSE)="","",VLOOKUP(A1009,[7]PRIORIZADOS!$A:$D,4,FALSE)),"")</f>
        <v>PRIVADO</v>
      </c>
      <c r="E1009" s="69" t="str">
        <f>IFERROR(IF(VLOOKUP(A1009,[7]PRIORIZADOS!$A:$E,5,FALSE)="","",VLOOKUP(A1009,[7]PRIORIZADOS!$A:$E,5,FALSE)),"")</f>
        <v>EPBM</v>
      </c>
      <c r="F1009" s="11" t="str">
        <f>IFERROR(IF(VLOOKUP(A1009,[7]PRIORIZADOS!$A:$F,6,FALSE)="","",VLOOKUP(A1009,[7]PRIORIZADOS!$A:$F,6,FALSE)),"")</f>
        <v>COLEGIO_MADRE_MATILDE</v>
      </c>
      <c r="G1009" s="69" t="str">
        <f>IFERROR(IF(VLOOKUP(A1009,[7]PRIORIZADOS!$A:$G,7,FALSE)="","",VLOOKUP(A1009,[7]PRIORIZADOS!$A:$G,7,FALSE)),"")</f>
        <v>COLEGIO_MADRE_MATILDE</v>
      </c>
      <c r="H1009" s="11" t="str">
        <f>IFERROR(IF(VLOOKUP(A1009,[7]PRIORIZADOS!$A:$H,8,FALSE)="","",VLOOKUP(A1009,[7]PRIORIZADOS!$A:$H,8,FALSE)),"")</f>
        <v>Autoevaluación Institucional y Pruebas SABER 11</v>
      </c>
      <c r="I1009" s="11" t="str">
        <f>IFERROR(IF(VLOOKUP(A1009,[7]PRIORIZADOS!$A:$I,9,FALSE)="","",VLOOKUP(A1009,[7]PRIORIZADOS!$A:$I,9,FALSE)),"")</f>
        <v>SEGUIMIENTO_Y_SUPERVISIÓN.</v>
      </c>
      <c r="J1009" s="11" t="str">
        <f>IFERROR(IF(VLOOKUP(A1009,[7]PRIORIZADOS!$A:$J,10,FALSE)="","",VLOOKUP(A1009,[7]PRIORIZADOS!$A:$J,10,FALSE)),"")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09" s="11" t="str">
        <f>IFERROR(IF(VLOOKUP(A1009,[7]PRIORIZADOS!$A:$K,11,FALSE)="","",VLOOKUP(A1009,[7]PRIORIZADOS!$A:$K,11,FALSE)),"")</f>
        <v>MARITZA SARMIENTO VANEGAS</v>
      </c>
      <c r="L1009" s="11" t="str">
        <f>IFERROR(IF(VLOOKUP(A1009,[7]PRIORIZADOS!$A:$L,12,FALSE)="","",VLOOKUP(A1009,[7]PRIORIZADOS!$A:$L,12,FALSE)),"")</f>
        <v>GLORIA INES AMAYA RAMÍREZ</v>
      </c>
      <c r="M1009" s="156">
        <f>IFERROR(IF(VLOOKUP(A1009,[7]PRIORIZADOS!$A:$M,13,FALSE)="","",VLOOKUP(A1009,[7]PRIORIZADOS!$A:$M,13,FALSE)),"")</f>
        <v>45799</v>
      </c>
      <c r="N1009" s="156">
        <f>IFERROR(IF(VLOOKUP(A1009,[7]PRIORIZADOS!$A:$N,14,FALSE)="","",VLOOKUP(A1009,[7]PRIORIZADOS!$A:$N,14,FALSE)),"")</f>
        <v>45825</v>
      </c>
      <c r="O1009" s="156">
        <f>IFERROR(IF(VLOOKUP(A1009,[7]PRIORIZADOS!$A:$O,15,FALSE)="","",VLOOKUP(A1009,[7]PRIORIZADOS!$A:$O,15,FALSE)),"")</f>
        <v>45825</v>
      </c>
      <c r="P1009" s="11" t="str">
        <f>IFERROR(IF(VLOOKUP(A1009,[7]PRIORIZADOS!$A:$P,16,FALSE)="","",VLOOKUP(A1009,[7]PRIORIZADOS!$A:$P,16,FALSE)),"")</f>
        <v>Visitas de evaluación con fines de mejoramiento</v>
      </c>
      <c r="Q1009" s="22" t="s">
        <v>188</v>
      </c>
      <c r="R1009" s="11" t="str">
        <f>IFERROR(IF(VLOOKUP(A1009,[7]PRIORIZADOS!$A:$R,18,FALSE)="","",VLOOKUP(A1009,[7]PRIORIZADOS!$A:$R,18,FALSE)),"")</f>
        <v>Se elaboró y  se implementó el PIAR para el  estudiante en Condición de discapacidad</v>
      </c>
      <c r="S1009" s="11" t="str">
        <f>IFERROR(IF(VLOOKUP(A1009,[7]PRIORIZADOS!$A:$S,19,FALSE)="","",VLOOKUP(A1009,[7]PRIORIZADOS!$A:$S,19,FALSE)),"")</f>
        <v>Continuar con la implementación de las acciones definidas en los PIAR y los ajustes que se requieran en los procesos académicos de los estudiantes.</v>
      </c>
      <c r="T1009" s="70" t="str">
        <f>IFERROR(IF(VLOOKUP(A1009,[7]PRIORIZADOS!$A:$T,20,FALSE)="","",VLOOKUP(A1009,[7]PRIORIZADOS!$A:$T,20,FALSE)),"")</f>
        <v>No</v>
      </c>
      <c r="U1009" s="11" t="str">
        <f>IFERROR(IF(VLOOKUP(A1009,[7]PRIORIZADOS!$A:$U,21,FALSE)="","",VLOOKUP(A1009,[7]PRIORIZADOS!$A:$U,21,FALSE)),"")</f>
        <v>Se realizará revisión de los PIAR en caso de presentarse queja.</v>
      </c>
    </row>
    <row r="1010" spans="1:21" s="1" customFormat="1" ht="84">
      <c r="A1010" s="69">
        <f>IF([7]PRIORIZADOS!A84="","",[7]PRIORIZADOS!A84)</f>
        <v>961</v>
      </c>
      <c r="B1010" s="87">
        <f>IFERROR(IF(VLOOKUP(A1010,[7]PRIORIZADOS!$A:$B,2,FALSE)="","",VLOOKUP(A1010,[7]PRIORIZADOS!$A:$B,2,FALSE)),"")</f>
        <v>10</v>
      </c>
      <c r="C1010" s="11" t="str">
        <f>IFERROR(IF(VLOOKUP(A1010,[7]PRIORIZADOS!$A:$C,3,FALSE)="","",VLOOKUP(A1010,[7]PRIORIZADOS!$A:$C,3,FALSE)),"")</f>
        <v>FONTIBÓN</v>
      </c>
      <c r="D1010" s="69" t="str">
        <f>IFERROR(IF(VLOOKUP(A1010,[7]PRIORIZADOS!$A:$D,4,FALSE)="","",VLOOKUP(A1010,[7]PRIORIZADOS!$A:$D,4,FALSE)),"")</f>
        <v>PRIVADO</v>
      </c>
      <c r="E1010" s="69" t="str">
        <f>IFERROR(IF(VLOOKUP(A1010,[7]PRIORIZADOS!$A:$E,5,FALSE)="","",VLOOKUP(A1010,[7]PRIORIZADOS!$A:$E,5,FALSE)),"")</f>
        <v>EPBM</v>
      </c>
      <c r="F1010" s="11" t="str">
        <f>IFERROR(IF(VLOOKUP(A1010,[7]PRIORIZADOS!$A:$F,6,FALSE)="","",VLOOKUP(A1010,[7]PRIORIZADOS!$A:$F,6,FALSE)),"")</f>
        <v>COLEGIO_MADRE_MATILDE</v>
      </c>
      <c r="G1010" s="69" t="str">
        <f>IFERROR(IF(VLOOKUP(A1010,[7]PRIORIZADOS!$A:$G,7,FALSE)="","",VLOOKUP(A1010,[7]PRIORIZADOS!$A:$G,7,FALSE)),"")</f>
        <v>COLEGIO_MADRE_MATILDE</v>
      </c>
      <c r="H1010" s="11" t="str">
        <f>IFERROR(IF(VLOOKUP(A1010,[7]PRIORIZADOS!$A:$H,8,FALSE)="","",VLOOKUP(A1010,[7]PRIORIZADOS!$A:$H,8,FALSE)),"")</f>
        <v>Autoevaluación Institucional y Pruebas SABER 11</v>
      </c>
      <c r="I1010" s="11" t="str">
        <f>IFERROR(IF(VLOOKUP(A1010,[7]PRIORIZADOS!$A:$I,9,FALSE)="","",VLOOKUP(A1010,[7]PRIORIZADOS!$A:$I,9,FALSE)),"")</f>
        <v>EVALUACIÓN_CON_FINES_DE_MEJORAMIENTO.</v>
      </c>
      <c r="J1010" s="11" t="str">
        <f>IFERROR(IF(VLOOKUP(A1010,[7]PRIORIZADOS!$A:$J,10,FALSE)="","",VLOOKUP(A1010,[7]PRIORIZADOS!$A:$J,10,FALSE)),"")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10" s="11" t="str">
        <f>IFERROR(IF(VLOOKUP(A1010,[7]PRIORIZADOS!$A:$K,11,FALSE)="","",VLOOKUP(A1010,[7]PRIORIZADOS!$A:$K,11,FALSE)),"")</f>
        <v>MARITZA SARMIENTO VANEGAS</v>
      </c>
      <c r="L1010" s="11" t="str">
        <f>IFERROR(IF(VLOOKUP(A1010,[7]PRIORIZADOS!$A:$L,12,FALSE)="","",VLOOKUP(A1010,[7]PRIORIZADOS!$A:$L,12,FALSE)),"")</f>
        <v>GLORIA INES AMAYA RAMÍREZ</v>
      </c>
      <c r="M1010" s="156">
        <f>IFERROR(IF(VLOOKUP(A1010,[7]PRIORIZADOS!$A:$M,13,FALSE)="","",VLOOKUP(A1010,[7]PRIORIZADOS!$A:$M,13,FALSE)),"")</f>
        <v>45799</v>
      </c>
      <c r="N1010" s="156">
        <f>IFERROR(IF(VLOOKUP(A1010,[7]PRIORIZADOS!$A:$N,14,FALSE)="","",VLOOKUP(A1010,[7]PRIORIZADOS!$A:$N,14,FALSE)),"")</f>
        <v>45825</v>
      </c>
      <c r="O1010" s="156">
        <f>IFERROR(IF(VLOOKUP(A1010,[7]PRIORIZADOS!$A:$O,15,FALSE)="","",VLOOKUP(A1010,[7]PRIORIZADOS!$A:$O,15,FALSE)),"")</f>
        <v>45825</v>
      </c>
      <c r="P1010" s="11" t="str">
        <f>IFERROR(IF(VLOOKUP(A1010,[7]PRIORIZADOS!$A:$P,16,FALSE)="","",VLOOKUP(A1010,[7]PRIORIZADOS!$A:$P,16,FALSE)),"")</f>
        <v>Visitas de evaluación con fines de mejoramiento</v>
      </c>
      <c r="Q1010" s="22" t="s">
        <v>188</v>
      </c>
      <c r="R1010" s="11" t="str">
        <f>IFERROR(IF(VLOOKUP(A1010,[7]PRIORIZADOS!$A:$R,18,FALSE)="","",VLOOKUP(A1010,[7]PRIORIZADOS!$A:$R,18,FALSE)),"")</f>
        <v>Manual de convivencia actualizado, socializado con los miembros de la comunidad educativa</v>
      </c>
      <c r="S1010" s="11" t="str">
        <f>IFERROR(IF(VLOOKUP(A1010,[7]PRIORIZADOS!$A:$S,19,FALSE)="","",VLOOKUP(A1010,[7]PRIORIZADOS!$A:$S,19,FALSE)),"")</f>
        <v>Debe ser ajustado en cuanto a lo requerido por  los  enfoques de género y restaurativo</v>
      </c>
      <c r="T1010" s="70" t="str">
        <f>IFERROR(IF(VLOOKUP(A1010,[7]PRIORIZADOS!$A:$T,20,FALSE)="","",VLOOKUP(A1010,[7]PRIORIZADOS!$A:$T,20,FALSE)),"")</f>
        <v>Si</v>
      </c>
      <c r="U1010" s="11" t="str">
        <f>IFERROR(IF(VLOOKUP(A1010,[7]PRIORIZADOS!$A:$U,21,FALSE)="","",VLOOKUP(A1010,[7]PRIORIZADOS!$A:$U,21,FALSE)),"")</f>
        <v>Realizar revisión del primer avance en la actualización del manual de convivencia, en el segundo semestre de la presente vigencia.</v>
      </c>
    </row>
    <row r="1011" spans="1:21" s="1" customFormat="1" ht="72">
      <c r="A1011" s="69">
        <f>IF([7]PRIORIZADOS!A85="","",[7]PRIORIZADOS!A85)</f>
        <v>962</v>
      </c>
      <c r="B1011" s="87">
        <f>IFERROR(IF(VLOOKUP(A1011,[7]PRIORIZADOS!$A:$B,2,FALSE)="","",VLOOKUP(A1011,[7]PRIORIZADOS!$A:$B,2,FALSE)),"")</f>
        <v>10</v>
      </c>
      <c r="C1011" s="11" t="str">
        <f>IFERROR(IF(VLOOKUP(A1011,[7]PRIORIZADOS!$A:$C,3,FALSE)="","",VLOOKUP(A1011,[7]PRIORIZADOS!$A:$C,3,FALSE)),"")</f>
        <v>FONTIBÓN</v>
      </c>
      <c r="D1011" s="69" t="str">
        <f>IFERROR(IF(VLOOKUP(A1011,[7]PRIORIZADOS!$A:$D,4,FALSE)="","",VLOOKUP(A1011,[7]PRIORIZADOS!$A:$D,4,FALSE)),"")</f>
        <v>PRIVADO</v>
      </c>
      <c r="E1011" s="69" t="str">
        <f>IFERROR(IF(VLOOKUP(A1011,[7]PRIORIZADOS!$A:$E,5,FALSE)="","",VLOOKUP(A1011,[7]PRIORIZADOS!$A:$E,5,FALSE)),"")</f>
        <v>EPBM</v>
      </c>
      <c r="F1011" s="11" t="str">
        <f>IFERROR(IF(VLOOKUP(A1011,[7]PRIORIZADOS!$A:$F,6,FALSE)="","",VLOOKUP(A1011,[7]PRIORIZADOS!$A:$F,6,FALSE)),"")</f>
        <v>COLEGIO_MADRE_MATILDE</v>
      </c>
      <c r="G1011" s="69" t="str">
        <f>IFERROR(IF(VLOOKUP(A1011,[7]PRIORIZADOS!$A:$G,7,FALSE)="","",VLOOKUP(A1011,[7]PRIORIZADOS!$A:$G,7,FALSE)),"")</f>
        <v>COLEGIO_MADRE_MATILDE</v>
      </c>
      <c r="H1011" s="11" t="str">
        <f>IFERROR(IF(VLOOKUP(A1011,[7]PRIORIZADOS!$A:$H,8,FALSE)="","",VLOOKUP(A1011,[7]PRIORIZADOS!$A:$H,8,FALSE)),"")</f>
        <v>Autoevaluación Institucional y Pruebas SABER 11</v>
      </c>
      <c r="I1011" s="11" t="str">
        <f>IFERROR(IF(VLOOKUP(A1011,[7]PRIORIZADOS!$A:$I,9,FALSE)="","",VLOOKUP(A1011,[7]PRIORIZADOS!$A:$I,9,FALSE)),"")</f>
        <v>EVALUACIÓN_CON_FINES_DE_MEJORAMIENTO.</v>
      </c>
      <c r="J1011" s="11" t="str">
        <f>IFERROR(IF(VLOOKUP(A1011,[7]PRIORIZADOS!$A:$J,10,FALSE)="","",VLOOKUP(A1011,[7]PRIORIZADOS!$A:$J,10,FALSE)),"")</f>
        <v>Revisar la actualización, socialización e implementación del Sistema Institucional de Evaluación de Estudiantes - SIEE, en articulación con la actualización del PEI y la normatividad vigente.</v>
      </c>
      <c r="K1011" s="11" t="str">
        <f>IFERROR(IF(VLOOKUP(A1011,[7]PRIORIZADOS!$A:$K,11,FALSE)="","",VLOOKUP(A1011,[7]PRIORIZADOS!$A:$K,11,FALSE)),"")</f>
        <v>MARITZA SARMIENTO VANEGAS</v>
      </c>
      <c r="L1011" s="11" t="str">
        <f>IFERROR(IF(VLOOKUP(A1011,[7]PRIORIZADOS!$A:$L,12,FALSE)="","",VLOOKUP(A1011,[7]PRIORIZADOS!$A:$L,12,FALSE)),"")</f>
        <v>GLORIA INES AMAYA RAMÍREZ</v>
      </c>
      <c r="M1011" s="156">
        <f>IFERROR(IF(VLOOKUP(A1011,[7]PRIORIZADOS!$A:$M,13,FALSE)="","",VLOOKUP(A1011,[7]PRIORIZADOS!$A:$M,13,FALSE)),"")</f>
        <v>45799</v>
      </c>
      <c r="N1011" s="156">
        <f>IFERROR(IF(VLOOKUP(A1011,[7]PRIORIZADOS!$A:$N,14,FALSE)="","",VLOOKUP(A1011,[7]PRIORIZADOS!$A:$N,14,FALSE)),"")</f>
        <v>45825</v>
      </c>
      <c r="O1011" s="156">
        <f>IFERROR(IF(VLOOKUP(A1011,[7]PRIORIZADOS!$A:$O,15,FALSE)="","",VLOOKUP(A1011,[7]PRIORIZADOS!$A:$O,15,FALSE)),"")</f>
        <v>45825</v>
      </c>
      <c r="P1011" s="11" t="str">
        <f>IFERROR(IF(VLOOKUP(A1011,[7]PRIORIZADOS!$A:$P,16,FALSE)="","",VLOOKUP(A1011,[7]PRIORIZADOS!$A:$P,16,FALSE)),"")</f>
        <v>Visitas de evaluación con fines de mejoramiento</v>
      </c>
      <c r="Q1011" s="22" t="s">
        <v>188</v>
      </c>
      <c r="R1011" s="11" t="str">
        <f>IFERROR(IF(VLOOKUP(A1011,[7]PRIORIZADOS!$A:$R,18,FALSE)="","",VLOOKUP(A1011,[7]PRIORIZADOS!$A:$R,18,FALSE)),"")</f>
        <v xml:space="preserve">Se  evidencia  un SIEE actualizado, aunque es necesario realizar ajustes en lo relacionado con los   procesos de autoevaluación, coevaluación y heteroevaluación. </v>
      </c>
      <c r="S1011" s="11" t="str">
        <f>IFERROR(IF(VLOOKUP(A1011,[7]PRIORIZADOS!$A:$S,19,FALSE)="","",VLOOKUP(A1011,[7]PRIORIZADOS!$A:$S,19,FALSE)),"")</f>
        <v>Ajustar  en el SIEE el proceso evaluativo del preescolar y  Revisar la pertinencia  de la figura “ habilitación” e incluir las evidencias que dan cuenta de los procesos de autoevaluación, coevaluación y heteroevaluación.</v>
      </c>
      <c r="T1011" s="70" t="str">
        <f>IFERROR(IF(VLOOKUP(A1011,[7]PRIORIZADOS!$A:$T,20,FALSE)="","",VLOOKUP(A1011,[7]PRIORIZADOS!$A:$T,20,FALSE)),"")</f>
        <v>Si</v>
      </c>
      <c r="U1011" s="11" t="str">
        <f>IFERROR(IF(VLOOKUP(A1011,[7]PRIORIZADOS!$A:$U,21,FALSE)="","",VLOOKUP(A1011,[7]PRIORIZADOS!$A:$U,21,FALSE)),"")</f>
        <v>Solicitud de entrega de avance  PMI el 8 de septiembre</v>
      </c>
    </row>
    <row r="1012" spans="1:21" s="1" customFormat="1" ht="99.75" customHeight="1">
      <c r="A1012" s="69">
        <f>IF([7]PRIORIZADOS!A86="","",[7]PRIORIZADOS!A86)</f>
        <v>963</v>
      </c>
      <c r="B1012" s="87">
        <f>IFERROR(IF(VLOOKUP(A1012,[7]PRIORIZADOS!$A:$B,2,FALSE)="","",VLOOKUP(A1012,[7]PRIORIZADOS!$A:$B,2,FALSE)),"")</f>
        <v>10</v>
      </c>
      <c r="C1012" s="11" t="str">
        <f>IFERROR(IF(VLOOKUP(A1012,[7]PRIORIZADOS!$A:$C,3,FALSE)="","",VLOOKUP(A1012,[7]PRIORIZADOS!$A:$C,3,FALSE)),"")</f>
        <v>FONTIBÓN</v>
      </c>
      <c r="D1012" s="69" t="str">
        <f>IFERROR(IF(VLOOKUP(A1012,[7]PRIORIZADOS!$A:$D,4,FALSE)="","",VLOOKUP(A1012,[7]PRIORIZADOS!$A:$D,4,FALSE)),"")</f>
        <v>PRIVADO</v>
      </c>
      <c r="E1012" s="69" t="str">
        <f>IFERROR(IF(VLOOKUP(A1012,[7]PRIORIZADOS!$A:$E,5,FALSE)="","",VLOOKUP(A1012,[7]PRIORIZADOS!$A:$E,5,FALSE)),"")</f>
        <v>EPBM</v>
      </c>
      <c r="F1012" s="11" t="str">
        <f>IFERROR(IF(VLOOKUP(A1012,[7]PRIORIZADOS!$A:$F,6,FALSE)="","",VLOOKUP(A1012,[7]PRIORIZADOS!$A:$F,6,FALSE)),"")</f>
        <v>COLEGIO_MADRE_MATILDE</v>
      </c>
      <c r="G1012" s="69" t="str">
        <f>IFERROR(IF(VLOOKUP(A1012,[7]PRIORIZADOS!$A:$G,7,FALSE)="","",VLOOKUP(A1012,[7]PRIORIZADOS!$A:$G,7,FALSE)),"")</f>
        <v>COLEGIO_MADRE_MATILDE</v>
      </c>
      <c r="H1012" s="11" t="str">
        <f>IFERROR(IF(VLOOKUP(A1012,[7]PRIORIZADOS!$A:$H,8,FALSE)="","",VLOOKUP(A1012,[7]PRIORIZADOS!$A:$H,8,FALSE)),"")</f>
        <v>Autoevaluación Institucional y Pruebas SABER 11</v>
      </c>
      <c r="I1012" s="11" t="str">
        <f>IFERROR(IF(VLOOKUP(A1012,[7]PRIORIZADOS!$A:$I,9,FALSE)="","",VLOOKUP(A1012,[7]PRIORIZADOS!$A:$I,9,FALSE)),"")</f>
        <v>EVALUACIÓN_CON_FINES_DE_MEJORAMIENTO.</v>
      </c>
      <c r="J1012" s="11" t="str">
        <f>IFERROR(IF(VLOOKUP(A1012,[7]PRIORIZADOS!$A:$J,10,FALSE)="","",VLOOKUP(A1012,[7]PRIORIZADOS!$A:$J,10,FALSE)),"")</f>
        <v>Revisar el calendario escolar, jornada escolar, la intensidad horaria mínima anual en cada nivel y las modificaciones que se realicen al mismo, de acuerdo con lo previsto en la normatividad vigente.</v>
      </c>
      <c r="K1012" s="11" t="str">
        <f>IFERROR(IF(VLOOKUP(A1012,[7]PRIORIZADOS!$A:$K,11,FALSE)="","",VLOOKUP(A1012,[7]PRIORIZADOS!$A:$K,11,FALSE)),"")</f>
        <v>MARITZA SARMIENTO VANEGAS</v>
      </c>
      <c r="L1012" s="11" t="str">
        <f>IFERROR(IF(VLOOKUP(A1012,[7]PRIORIZADOS!$A:$L,12,FALSE)="","",VLOOKUP(A1012,[7]PRIORIZADOS!$A:$L,12,FALSE)),"")</f>
        <v>GLORIA INES AMAYA RAMÍREZ</v>
      </c>
      <c r="M1012" s="156">
        <f>IFERROR(IF(VLOOKUP(A1012,[7]PRIORIZADOS!$A:$M,13,FALSE)="","",VLOOKUP(A1012,[7]PRIORIZADOS!$A:$M,13,FALSE)),"")</f>
        <v>45799</v>
      </c>
      <c r="N1012" s="156">
        <f>IFERROR(IF(VLOOKUP(A1012,[7]PRIORIZADOS!$A:$N,14,FALSE)="","",VLOOKUP(A1012,[7]PRIORIZADOS!$A:$N,14,FALSE)),"")</f>
        <v>45825</v>
      </c>
      <c r="O1012" s="156">
        <f>IFERROR(IF(VLOOKUP(A1012,[7]PRIORIZADOS!$A:$O,15,FALSE)="","",VLOOKUP(A1012,[7]PRIORIZADOS!$A:$O,15,FALSE)),"")</f>
        <v>45825</v>
      </c>
      <c r="P1012" s="11" t="str">
        <f>IFERROR(IF(VLOOKUP(A1012,[7]PRIORIZADOS!$A:$P,16,FALSE)="","",VLOOKUP(A1012,[7]PRIORIZADOS!$A:$P,16,FALSE)),"")</f>
        <v>Visitas de evaluación con fines de mejoramiento</v>
      </c>
      <c r="Q1012" s="23" t="s">
        <v>188</v>
      </c>
      <c r="R1012" s="11" t="str">
        <f>IFERROR(IF(VLOOKUP(A1012,[7]PRIORIZADOS!$A:$R,18,FALSE)="","",VLOOKUP(A1012,[7]PRIORIZADOS!$A:$R,18,FALSE)),"")</f>
        <v>Calendario escolar ajustado a norma para los niveles de  preescolar básica y media</v>
      </c>
      <c r="S1012" s="11" t="str">
        <f>IFERROR(IF(VLOOKUP(A1012,[7]PRIORIZADOS!$A:$S,19,FALSE)="","",VLOOKUP(A1012,[7]PRIORIZADOS!$A:$S,19,FALSE)),"")</f>
        <v>Continuar con la implementación del calendario según las fechas definidas para los períodos de desarrollo académico y recesos.</v>
      </c>
      <c r="T1012" s="70" t="str">
        <f>IFERROR(IF(VLOOKUP(A1012,[7]PRIORIZADOS!$A:$T,20,FALSE)="","",VLOOKUP(A1012,[7]PRIORIZADOS!$A:$T,20,FALSE)),"")</f>
        <v>No</v>
      </c>
      <c r="U1012" s="11" t="str">
        <f>IFERROR(IF(VLOOKUP(A1012,[7]PRIORIZADOS!$A:$U,21,FALSE)="","",VLOOKUP(A1012,[7]PRIORIZADOS!$A:$U,21,FALSE)),"")</f>
        <v>Verificar la elaboración y socialización del calendario para la siguiente vigencia o en caso de presentarse queja.</v>
      </c>
    </row>
    <row r="1013" spans="1:21" s="1" customFormat="1" ht="99.75" customHeight="1">
      <c r="A1013" s="69">
        <f>IF([7]PRIORIZADOS!A87="","",[7]PRIORIZADOS!A87)</f>
        <v>964</v>
      </c>
      <c r="B1013" s="87">
        <f>IFERROR(IF(VLOOKUP(A1013,[7]PRIORIZADOS!$A:$B,2,FALSE)="","",VLOOKUP(A1013,[7]PRIORIZADOS!$A:$B,2,FALSE)),"")</f>
        <v>10</v>
      </c>
      <c r="C1013" s="11" t="str">
        <f>IFERROR(IF(VLOOKUP(A1013,[7]PRIORIZADOS!$A:$C,3,FALSE)="","",VLOOKUP(A1013,[7]PRIORIZADOS!$A:$C,3,FALSE)),"")</f>
        <v>FONTIBÓN</v>
      </c>
      <c r="D1013" s="69" t="str">
        <f>IFERROR(IF(VLOOKUP(A1013,[7]PRIORIZADOS!$A:$D,4,FALSE)="","",VLOOKUP(A1013,[7]PRIORIZADOS!$A:$D,4,FALSE)),"")</f>
        <v>PRIVADO</v>
      </c>
      <c r="E1013" s="69" t="str">
        <f>IFERROR(IF(VLOOKUP(A1013,[7]PRIORIZADOS!$A:$E,5,FALSE)="","",VLOOKUP(A1013,[7]PRIORIZADOS!$A:$E,5,FALSE)),"")</f>
        <v>EPBM</v>
      </c>
      <c r="F1013" s="11" t="str">
        <f>IFERROR(IF(VLOOKUP(A1013,[7]PRIORIZADOS!$A:$F,6,FALSE)="","",VLOOKUP(A1013,[7]PRIORIZADOS!$A:$F,6,FALSE)),"")</f>
        <v>COLEGIO_MADRE_MATILDE</v>
      </c>
      <c r="G1013" s="69" t="str">
        <f>IFERROR(IF(VLOOKUP(A1013,[7]PRIORIZADOS!$A:$G,7,FALSE)="","",VLOOKUP(A1013,[7]PRIORIZADOS!$A:$G,7,FALSE)),"")</f>
        <v>COLEGIO_MADRE_MATILDE</v>
      </c>
      <c r="H1013" s="11" t="str">
        <f>IFERROR(IF(VLOOKUP(A1013,[7]PRIORIZADOS!$A:$H,8,FALSE)="","",VLOOKUP(A1013,[7]PRIORIZADOS!$A:$H,8,FALSE)),"")</f>
        <v>Autoevaluación Institucional y Pruebas SABER 11</v>
      </c>
      <c r="I1013" s="11" t="str">
        <f>IFERROR(IF(VLOOKUP(A1013,[7]PRIORIZADOS!$A:$I,9,FALSE)="","",VLOOKUP(A1013,[7]PRIORIZADOS!$A:$I,9,FALSE)),"")</f>
        <v>EVALUACIÓN_CON_FINES_DE_MEJORAMIENTO.</v>
      </c>
      <c r="J1013" s="11" t="str">
        <f>IFERROR(IF(VLOOKUP(A1013,[7]PRIORIZADOS!$A:$J,10,FALSE)="","",VLOOKUP(A1013,[7]PRIORIZADOS!$A:$J,10,FALSE)),"")</f>
        <v>Verificar el funcionamiento del Gobierno Escolar e instancias de participación con base en la información sobre conformación reportada por la institución educativa.</v>
      </c>
      <c r="K1013" s="11" t="str">
        <f>IFERROR(IF(VLOOKUP(A1013,[7]PRIORIZADOS!$A:$K,11,FALSE)="","",VLOOKUP(A1013,[7]PRIORIZADOS!$A:$K,11,FALSE)),"")</f>
        <v>MARITZA SARMIENTO VANEGAS</v>
      </c>
      <c r="L1013" s="11" t="str">
        <f>IFERROR(IF(VLOOKUP(A1013,[7]PRIORIZADOS!$A:$L,12,FALSE)="","",VLOOKUP(A1013,[7]PRIORIZADOS!$A:$L,12,FALSE)),"")</f>
        <v>GLORIA INES AMAYA RAMÍREZ</v>
      </c>
      <c r="M1013" s="156">
        <f>IFERROR(IF(VLOOKUP(A1013,[7]PRIORIZADOS!$A:$M,13,FALSE)="","",VLOOKUP(A1013,[7]PRIORIZADOS!$A:$M,13,FALSE)),"")</f>
        <v>45799</v>
      </c>
      <c r="N1013" s="156">
        <f>IFERROR(IF(VLOOKUP(A1013,[7]PRIORIZADOS!$A:$N,14,FALSE)="","",VLOOKUP(A1013,[7]PRIORIZADOS!$A:$N,14,FALSE)),"")</f>
        <v>45825</v>
      </c>
      <c r="O1013" s="156">
        <f>IFERROR(IF(VLOOKUP(A1013,[7]PRIORIZADOS!$A:$O,15,FALSE)="","",VLOOKUP(A1013,[7]PRIORIZADOS!$A:$O,15,FALSE)),"")</f>
        <v>45825</v>
      </c>
      <c r="P1013" s="11" t="str">
        <f>IFERROR(IF(VLOOKUP(A1013,[7]PRIORIZADOS!$A:$P,16,FALSE)="","",VLOOKUP(A1013,[7]PRIORIZADOS!$A:$P,16,FALSE)),"")</f>
        <v>Visitas de evaluación con fines de mejoramiento</v>
      </c>
      <c r="Q1013" s="22" t="s">
        <v>188</v>
      </c>
      <c r="R1013" s="11" t="str">
        <f>IFERROR(IF(VLOOKUP(A1013,[7]PRIORIZADOS!$A:$R,18,FALSE)="","",VLOOKUP(A1013,[7]PRIORIZADOS!$A:$R,18,FALSE)),"")</f>
        <v>Conformación y funcionamiento del gobierno escolar  y  las instancia de participación  de acuerdo a lo establecido en la normatividad</v>
      </c>
      <c r="S1013" s="11" t="str">
        <f>IFERROR(IF(VLOOKUP(A1013,[7]PRIORIZADOS!$A:$S,19,FALSE)="","",VLOOKUP(A1013,[7]PRIORIZADOS!$A:$S,19,FALSE)),"")</f>
        <v>Continuar con la operatividad del gobierno y las instancias de participación cada dos meses o según corresponda.</v>
      </c>
      <c r="T1013" s="70" t="str">
        <f>IFERROR(IF(VLOOKUP(A1013,[7]PRIORIZADOS!$A:$T,20,FALSE)="","",VLOOKUP(A1013,[7]PRIORIZADOS!$A:$T,20,FALSE)),"")</f>
        <v>No</v>
      </c>
      <c r="U1013" s="11" t="str">
        <f>IFERROR(IF(VLOOKUP(A1013,[7]PRIORIZADOS!$A:$U,21,FALSE)="","",VLOOKUP(A1013,[7]PRIORIZADOS!$A:$U,21,FALSE)),"")</f>
        <v>Se verificará la conformación del gobierno escolar para la siguiente vigencia.</v>
      </c>
    </row>
    <row r="1014" spans="1:21" s="1" customFormat="1" ht="99.75" customHeight="1">
      <c r="A1014" s="69">
        <f>IF([7]PRIORIZADOS!A88="","",[7]PRIORIZADOS!A88)</f>
        <v>965</v>
      </c>
      <c r="B1014" s="87">
        <f>IFERROR(IF(VLOOKUP(A1014,[7]PRIORIZADOS!$A:$B,2,FALSE)="","",VLOOKUP(A1014,[7]PRIORIZADOS!$A:$B,2,FALSE)),"")</f>
        <v>10</v>
      </c>
      <c r="C1014" s="11" t="str">
        <f>IFERROR(IF(VLOOKUP(A1014,[7]PRIORIZADOS!$A:$C,3,FALSE)="","",VLOOKUP(A1014,[7]PRIORIZADOS!$A:$C,3,FALSE)),"")</f>
        <v>FONTIBÓN</v>
      </c>
      <c r="D1014" s="69" t="str">
        <f>IFERROR(IF(VLOOKUP(A1014,[7]PRIORIZADOS!$A:$D,4,FALSE)="","",VLOOKUP(A1014,[7]PRIORIZADOS!$A:$D,4,FALSE)),"")</f>
        <v>PRIVADO</v>
      </c>
      <c r="E1014" s="69" t="str">
        <f>IFERROR(IF(VLOOKUP(A1014,[7]PRIORIZADOS!$A:$E,5,FALSE)="","",VLOOKUP(A1014,[7]PRIORIZADOS!$A:$E,5,FALSE)),"")</f>
        <v>EPBM</v>
      </c>
      <c r="F1014" s="11" t="str">
        <f>IFERROR(IF(VLOOKUP(A1014,[7]PRIORIZADOS!$A:$F,6,FALSE)="","",VLOOKUP(A1014,[7]PRIORIZADOS!$A:$F,6,FALSE)),"")</f>
        <v>COLEGIO_MADRE_MATILDE</v>
      </c>
      <c r="G1014" s="69" t="str">
        <f>IFERROR(IF(VLOOKUP(A1014,[7]PRIORIZADOS!$A:$G,7,FALSE)="","",VLOOKUP(A1014,[7]PRIORIZADOS!$A:$G,7,FALSE)),"")</f>
        <v>COLEGIO_MADRE_MATILDE</v>
      </c>
      <c r="H1014" s="11" t="str">
        <f>IFERROR(IF(VLOOKUP(A1014,[7]PRIORIZADOS!$A:$H,8,FALSE)="","",VLOOKUP(A1014,[7]PRIORIZADOS!$A:$H,8,FALSE)),"")</f>
        <v>Autoevaluación Institucional y Pruebas SABER 11</v>
      </c>
      <c r="I1014" s="11" t="str">
        <f>IFERROR(IF(VLOOKUP(A1014,[7]PRIORIZADOS!$A:$I,9,FALSE)="","",VLOOKUP(A1014,[7]PRIORIZADOS!$A:$I,9,FALSE)),"")</f>
        <v>EVALUACIÓN_CON_FINES_DE_MEJORAMIENTO.</v>
      </c>
      <c r="J1014" s="11" t="str">
        <f>IFERROR(IF(VLOOKUP(A1014,[7]PRIORIZADOS!$A:$J,10,FALSE)="","",VLOOKUP(A1014,[7]PRIORIZADOS!$A:$J,10,FALSE)),"")</f>
        <v>Verificar las condiciones en cuanto a: la estructura administrativa, condiciones de la planta física y medios educativos adecuados.</v>
      </c>
      <c r="K1014" s="11" t="str">
        <f>IFERROR(IF(VLOOKUP(A1014,[7]PRIORIZADOS!$A:$K,11,FALSE)="","",VLOOKUP(A1014,[7]PRIORIZADOS!$A:$K,11,FALSE)),"")</f>
        <v>MARITZA SARMIENTO VANEGAS</v>
      </c>
      <c r="L1014" s="11" t="str">
        <f>IFERROR(IF(VLOOKUP(A1014,[7]PRIORIZADOS!$A:$L,12,FALSE)="","",VLOOKUP(A1014,[7]PRIORIZADOS!$A:$L,12,FALSE)),"")</f>
        <v>GLORIA INES AMAYA RAMÍREZ</v>
      </c>
      <c r="M1014" s="156">
        <f>IFERROR(IF(VLOOKUP(A1014,[7]PRIORIZADOS!$A:$M,13,FALSE)="","",VLOOKUP(A1014,[7]PRIORIZADOS!$A:$M,13,FALSE)),"")</f>
        <v>45799</v>
      </c>
      <c r="N1014" s="156">
        <f>IFERROR(IF(VLOOKUP(A1014,[7]PRIORIZADOS!$A:$N,14,FALSE)="","",VLOOKUP(A1014,[7]PRIORIZADOS!$A:$N,14,FALSE)),"")</f>
        <v>45825</v>
      </c>
      <c r="O1014" s="156">
        <f>IFERROR(IF(VLOOKUP(A1014,[7]PRIORIZADOS!$A:$O,15,FALSE)="","",VLOOKUP(A1014,[7]PRIORIZADOS!$A:$O,15,FALSE)),"")</f>
        <v>45825</v>
      </c>
      <c r="P1014" s="11" t="str">
        <f>IFERROR(IF(VLOOKUP(A1014,[7]PRIORIZADOS!$A:$P,16,FALSE)="","",VLOOKUP(A1014,[7]PRIORIZADOS!$A:$P,16,FALSE)),"")</f>
        <v>Visitas de evaluación con fines de mejoramiento</v>
      </c>
      <c r="Q1014" s="22" t="s">
        <v>188</v>
      </c>
      <c r="R1014" s="11" t="str">
        <f>IFERROR(IF(VLOOKUP(A1014,[7]PRIORIZADOS!$A:$R,18,FALSE)="","",VLOOKUP(A1014,[7]PRIORIZADOS!$A:$R,18,FALSE)),"")</f>
        <v xml:space="preserve">Las condiciones presentadas cumple con lo exigido por la normatividad vigente    </v>
      </c>
      <c r="S1014" s="11" t="str">
        <f>IFERROR(IF(VLOOKUP(A1014,[7]PRIORIZADOS!$A:$S,19,FALSE)="","",VLOOKUP(A1014,[7]PRIORIZADOS!$A:$S,19,FALSE)),"")</f>
        <v>Continuar con las gestiones necesarias para mantener el nivel del servicio educativo en relación con la planta física y demás recursos.</v>
      </c>
      <c r="T1014" s="70" t="str">
        <f>IFERROR(IF(VLOOKUP(A1014,[7]PRIORIZADOS!$A:$T,20,FALSE)="","",VLOOKUP(A1014,[7]PRIORIZADOS!$A:$T,20,FALSE)),"")</f>
        <v>No</v>
      </c>
      <c r="U1014" s="11" t="str">
        <f>IFERROR(IF(VLOOKUP(A1014,[7]PRIORIZADOS!$A:$U,21,FALSE)="","",VLOOKUP(A1014,[7]PRIORIZADOS!$A:$U,21,FALSE)),"")</f>
        <v>Se hará nueva verificación de esta actividad en caso de presentarse queja.</v>
      </c>
    </row>
    <row r="1015" spans="1:21" s="1" customFormat="1" ht="99.75" customHeight="1">
      <c r="A1015" s="69">
        <f>IF([7]PRIORIZADOS!A89="","",[7]PRIORIZADOS!A89)</f>
        <v>967</v>
      </c>
      <c r="B1015" s="87">
        <f>IFERROR(IF(VLOOKUP(A1015,[7]PRIORIZADOS!$A:$B,2,FALSE)="","",VLOOKUP(A1015,[7]PRIORIZADOS!$A:$B,2,FALSE)),"")</f>
        <v>11</v>
      </c>
      <c r="C1015" s="11" t="str">
        <f>IFERROR(IF(VLOOKUP(A1015,[7]PRIORIZADOS!$A:$C,3,FALSE)="","",VLOOKUP(A1015,[7]PRIORIZADOS!$A:$C,3,FALSE)),"")</f>
        <v>FONTIBÓN</v>
      </c>
      <c r="D1015" s="69" t="str">
        <f>IFERROR(IF(VLOOKUP(A1015,[7]PRIORIZADOS!$A:$D,4,FALSE)="","",VLOOKUP(A1015,[7]PRIORIZADOS!$A:$D,4,FALSE)),"")</f>
        <v>OFICIAL.</v>
      </c>
      <c r="E1015" s="69" t="str">
        <f>IFERROR(IF(VLOOKUP(A1015,[7]PRIORIZADOS!$A:$E,5,FALSE)="","",VLOOKUP(A1015,[7]PRIORIZADOS!$A:$E,5,FALSE)),"")</f>
        <v>EPBM</v>
      </c>
      <c r="F1015" s="11" t="str">
        <f>IFERROR(IF(VLOOKUP(A1015,[7]PRIORIZADOS!$A:$F,6,FALSE)="","",VLOOKUP(A1015,[7]PRIORIZADOS!$A:$F,6,FALSE)),"")</f>
        <v>COLEGIO_MARIA_JOSEFA_CANELONES_IED</v>
      </c>
      <c r="G1015" s="69" t="str">
        <f>IFERROR(IF(VLOOKUP(A1015,[7]PRIORIZADOS!$A:$G,7,FALSE)="","",VLOOKUP(A1015,[7]PRIORIZADOS!$A:$G,7,FALSE)),"")</f>
        <v>COLEGIO_MARIA_JOSEFA_CANELONES_(IED)</v>
      </c>
      <c r="H1015" s="11" t="str">
        <f>IFERROR(IF(VLOOKUP(A1015,[7]PRIORIZADOS!$A:$H,8,FALSE)="","",VLOOKUP(A1015,[7]PRIORIZADOS!$A:$H,8,FALSE)),"")</f>
        <v>Autoevaluación Institucional y Pruebas SABER 11</v>
      </c>
      <c r="I1015" s="11" t="str">
        <f>IFERROR(IF(VLOOKUP(A1015,[7]PRIORIZADOS!$A:$I,9,FALSE)="","",VLOOKUP(A1015,[7]PRIORIZADOS!$A:$I,9,FALSE)),"")</f>
        <v>SEGUIMIENTO_Y_SUPERVISIÓN.</v>
      </c>
      <c r="J1015" s="11" t="str">
        <f>IFERROR(IF(VLOOKUP(A1015,[7]PRIORIZADOS!$A:$J,10,FALSE)="","",VLOOKUP(A1015,[7]PRIORIZADOS!$A:$J,10,FALSE)),"")</f>
        <v xml:space="preserve">Verificar la implementación por parte de los colegios, de acciones realizadas para la prevención y atención de las situaciones de convivencia en el entorno escolar, según lo establecido en la Directiva 01 de 2022 del MEN. </v>
      </c>
      <c r="K1015" s="11" t="str">
        <f>IFERROR(IF(VLOOKUP(A1015,[7]PRIORIZADOS!$A:$K,11,FALSE)="","",VLOOKUP(A1015,[7]PRIORIZADOS!$A:$K,11,FALSE)),"")</f>
        <v>MARITZA SARMIENTO VANEGAS</v>
      </c>
      <c r="L1015" s="11" t="str">
        <f>IFERROR(IF(VLOOKUP(A1015,[7]PRIORIZADOS!$A:$L,12,FALSE)="","",VLOOKUP(A1015,[7]PRIORIZADOS!$A:$L,12,FALSE)),"")</f>
        <v>JOSÉ GUILLERMO ALARCÓN CUALLA</v>
      </c>
      <c r="M1015" s="156">
        <f>IFERROR(IF(VLOOKUP(A1015,[7]PRIORIZADOS!$A:$M,13,FALSE)="","",VLOOKUP(A1015,[7]PRIORIZADOS!$A:$M,13,FALSE)),"")</f>
        <v>45813</v>
      </c>
      <c r="N1015" s="156">
        <f>IFERROR(IF(VLOOKUP(A1015,[7]PRIORIZADOS!$A:$N,14,FALSE)="","",VLOOKUP(A1015,[7]PRIORIZADOS!$A:$N,14,FALSE)),"")</f>
        <v>45898</v>
      </c>
      <c r="O1015" s="156">
        <f>IFERROR(IF(VLOOKUP(A1015,[7]PRIORIZADOS!$A:$O,15,FALSE)="","",VLOOKUP(A1015,[7]PRIORIZADOS!$A:$O,15,FALSE)),"")</f>
        <v>45898</v>
      </c>
      <c r="P1015" s="11" t="str">
        <f>IFERROR(IF(VLOOKUP(A1015,[7]PRIORIZADOS!$A:$P,16,FALSE)="","",VLOOKUP(A1015,[7]PRIORIZADOS!$A:$P,16,FALSE)),"")</f>
        <v>Visitas de evaluación con fines de seguimiento</v>
      </c>
      <c r="Q1015" s="151" t="s">
        <v>189</v>
      </c>
      <c r="R1015" s="11" t="str">
        <f>IFERROR(IF(VLOOKUP(A1015,[7]PRIORIZADOS!$A:$R,18,FALSE)="","",VLOOKUP(A1015,[7]PRIORIZADOS!$A:$R,18,FALSE)),"")</f>
        <v xml:space="preserve">La institución educativa  está Implementando acciones de promoción, prevención  y atención,  frente a situaciones de violencia sexual en el entorno escolar y el   Nivel central de la Secretaría de Educación realiza la verificación de las personas vinculadas a la institución educativa, en relación a inhabilidades por delitos sexuales contra la libertad e integridad de niños, niñas y adolescentes </v>
      </c>
      <c r="S1015" s="11" t="str">
        <f>IFERROR(IF(VLOOKUP(A1015,[7]PRIORIZADOS!$A:$S,19,FALSE)="","",VLOOKUP(A1015,[7]PRIORIZADOS!$A:$S,19,FALSE)),"")</f>
        <v>Continuar con la Implementación de acciones de  prevención y atención  frente a situaciones de violencia sexual en el entorno escolar.</v>
      </c>
      <c r="T1015" s="70" t="str">
        <f>IFERROR(IF(VLOOKUP(A1015,[7]PRIORIZADOS!$A:$T,20,FALSE)="","",VLOOKUP(A1015,[7]PRIORIZADOS!$A:$T,20,FALSE)),"")</f>
        <v>No</v>
      </c>
      <c r="U1015" s="11" t="str">
        <f>IFERROR(IF(VLOOKUP(A1015,[7]PRIORIZADOS!$A:$U,21,FALSE)="","",VLOOKUP(A1015,[7]PRIORIZADOS!$A:$U,21,FALSE)),"")</f>
        <v>Se verificara el cumplimiento de la Directiva 01 del 2022 del MEN, en caso de presentarse alguna queja.</v>
      </c>
    </row>
    <row r="1016" spans="1:21" s="1" customFormat="1" ht="72">
      <c r="A1016" s="69">
        <f>IF([7]PRIORIZADOS!A90="","",[7]PRIORIZADOS!A90)</f>
        <v>968</v>
      </c>
      <c r="B1016" s="87">
        <f>IFERROR(IF(VLOOKUP(A1016,[7]PRIORIZADOS!$A:$B,2,FALSE)="","",VLOOKUP(A1016,[7]PRIORIZADOS!$A:$B,2,FALSE)),"")</f>
        <v>11</v>
      </c>
      <c r="C1016" s="11" t="str">
        <f>IFERROR(IF(VLOOKUP(A1016,[7]PRIORIZADOS!$A:$C,3,FALSE)="","",VLOOKUP(A1016,[7]PRIORIZADOS!$A:$C,3,FALSE)),"")</f>
        <v>FONTIBÓN</v>
      </c>
      <c r="D1016" s="69" t="str">
        <f>IFERROR(IF(VLOOKUP(A1016,[7]PRIORIZADOS!$A:$D,4,FALSE)="","",VLOOKUP(A1016,[7]PRIORIZADOS!$A:$D,4,FALSE)),"")</f>
        <v>OFICIAL.</v>
      </c>
      <c r="E1016" s="69" t="str">
        <f>IFERROR(IF(VLOOKUP(A1016,[7]PRIORIZADOS!$A:$E,5,FALSE)="","",VLOOKUP(A1016,[7]PRIORIZADOS!$A:$E,5,FALSE)),"")</f>
        <v>EPBM</v>
      </c>
      <c r="F1016" s="11" t="str">
        <f>IFERROR(IF(VLOOKUP(A1016,[7]PRIORIZADOS!$A:$F,6,FALSE)="","",VLOOKUP(A1016,[7]PRIORIZADOS!$A:$F,6,FALSE)),"")</f>
        <v>COLEGIO_MARIA_JOSEFA_CANELONES_IED</v>
      </c>
      <c r="G1016" s="69" t="str">
        <f>IFERROR(IF(VLOOKUP(A1016,[7]PRIORIZADOS!$A:$G,7,FALSE)="","",VLOOKUP(A1016,[7]PRIORIZADOS!$A:$G,7,FALSE)),"")</f>
        <v>COLEGIO_MARIA_JOSEFA_CANELONES_(IED)</v>
      </c>
      <c r="H1016" s="11" t="str">
        <f>IFERROR(IF(VLOOKUP(A1016,[7]PRIORIZADOS!$A:$H,8,FALSE)="","",VLOOKUP(A1016,[7]PRIORIZADOS!$A:$H,8,FALSE)),"")</f>
        <v>Autoevaluación Institucional y Pruebas SABER 11</v>
      </c>
      <c r="I1016" s="11" t="str">
        <f>IFERROR(IF(VLOOKUP(A1016,[7]PRIORIZADOS!$A:$I,9,FALSE)="","",VLOOKUP(A1016,[7]PRIORIZADOS!$A:$I,9,FALSE)),"")</f>
        <v>SEGUIMIENTO_Y_SUPERVISIÓN.</v>
      </c>
      <c r="J1016" s="11" t="str">
        <f>IFERROR(IF(VLOOKUP(A1016,[7]PRIORIZADOS!$A:$J,10,FALSE)="","",VLOOKUP(A1016,[7]PRIORIZADOS!$A:$J,10,FALSE)),"")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16" s="11" t="str">
        <f>IFERROR(IF(VLOOKUP(A1016,[7]PRIORIZADOS!$A:$K,11,FALSE)="","",VLOOKUP(A1016,[7]PRIORIZADOS!$A:$K,11,FALSE)),"")</f>
        <v>MARITZA SARMIENTO VANEGAS</v>
      </c>
      <c r="L1016" s="11" t="str">
        <f>IFERROR(IF(VLOOKUP(A1016,[7]PRIORIZADOS!$A:$L,12,FALSE)="","",VLOOKUP(A1016,[7]PRIORIZADOS!$A:$L,12,FALSE)),"")</f>
        <v>JAIME GABRIEL GONZÁLEZ GAMBOA</v>
      </c>
      <c r="M1016" s="156">
        <f>IFERROR(IF(VLOOKUP(A1016,[7]PRIORIZADOS!$A:$M,13,FALSE)="","",VLOOKUP(A1016,[7]PRIORIZADOS!$A:$M,13,FALSE)),"")</f>
        <v>45813</v>
      </c>
      <c r="N1016" s="156">
        <f>IFERROR(IF(VLOOKUP(A1016,[7]PRIORIZADOS!$A:$N,14,FALSE)="","",VLOOKUP(A1016,[7]PRIORIZADOS!$A:$N,14,FALSE)),"")</f>
        <v>45898</v>
      </c>
      <c r="O1016" s="156">
        <f>IFERROR(IF(VLOOKUP(A1016,[7]PRIORIZADOS!$A:$O,15,FALSE)="","",VLOOKUP(A1016,[7]PRIORIZADOS!$A:$O,15,FALSE)),"")</f>
        <v>45898</v>
      </c>
      <c r="P1016" s="11" t="str">
        <f>IFERROR(IF(VLOOKUP(A1016,[7]PRIORIZADOS!$A:$P,16,FALSE)="","",VLOOKUP(A1016,[7]PRIORIZADOS!$A:$P,16,FALSE)),"")</f>
        <v>Visitas de evaluación con fines de seguimiento</v>
      </c>
      <c r="Q1016" s="151" t="s">
        <v>189</v>
      </c>
      <c r="R1016" s="11" t="str">
        <f>IFERROR(IF(VLOOKUP(A1016,[7]PRIORIZADOS!$A:$R,18,FALSE)="","",VLOOKUP(A1016,[7]PRIORIZADOS!$A:$R,18,FALSE)),"")</f>
        <v>La Institución elabora los planes individuales de ajuste razonable de acuerdo a lo establecido en la norma.</v>
      </c>
      <c r="S1016" s="11" t="str">
        <f>IFERROR(IF(VLOOKUP(A1016,[7]PRIORIZADOS!$A:$S,19,FALSE)="","",VLOOKUP(A1016,[7]PRIORIZADOS!$A:$S,19,FALSE)),"")</f>
        <v>Continuar con el seguimiento y actualización de los PIAR, y la identificación de talentos excepcionales.</v>
      </c>
      <c r="T1016" s="70" t="str">
        <f>IFERROR(IF(VLOOKUP(A1016,[7]PRIORIZADOS!$A:$T,20,FALSE)="","",VLOOKUP(A1016,[7]PRIORIZADOS!$A:$T,20,FALSE)),"")</f>
        <v>No</v>
      </c>
      <c r="U1016" s="11" t="str">
        <f>IFERROR(IF(VLOOKUP(A1016,[7]PRIORIZADOS!$A:$U,21,FALSE)="","",VLOOKUP(A1016,[7]PRIORIZADOS!$A:$U,21,FALSE)),"")</f>
        <v>A demanda se realizara el proceso de acompañamiento a la institución, en lo relacionado con lo establecido en el Decreto 1421 de 2017.</v>
      </c>
    </row>
    <row r="1017" spans="1:21" s="1" customFormat="1" ht="84">
      <c r="A1017" s="69">
        <f>IF([7]PRIORIZADOS!A91="","",[7]PRIORIZADOS!A91)</f>
        <v>969</v>
      </c>
      <c r="B1017" s="87">
        <f>IFERROR(IF(VLOOKUP(A1017,[7]PRIORIZADOS!$A:$B,2,FALSE)="","",VLOOKUP(A1017,[7]PRIORIZADOS!$A:$B,2,FALSE)),"")</f>
        <v>11</v>
      </c>
      <c r="C1017" s="11" t="str">
        <f>IFERROR(IF(VLOOKUP(A1017,[7]PRIORIZADOS!$A:$C,3,FALSE)="","",VLOOKUP(A1017,[7]PRIORIZADOS!$A:$C,3,FALSE)),"")</f>
        <v>FONTIBÓN</v>
      </c>
      <c r="D1017" s="69" t="str">
        <f>IFERROR(IF(VLOOKUP(A1017,[7]PRIORIZADOS!$A:$D,4,FALSE)="","",VLOOKUP(A1017,[7]PRIORIZADOS!$A:$D,4,FALSE)),"")</f>
        <v>OFICIAL.</v>
      </c>
      <c r="E1017" s="69" t="str">
        <f>IFERROR(IF(VLOOKUP(A1017,[7]PRIORIZADOS!$A:$E,5,FALSE)="","",VLOOKUP(A1017,[7]PRIORIZADOS!$A:$E,5,FALSE)),"")</f>
        <v>EPBM</v>
      </c>
      <c r="F1017" s="11" t="str">
        <f>IFERROR(IF(VLOOKUP(A1017,[7]PRIORIZADOS!$A:$F,6,FALSE)="","",VLOOKUP(A1017,[7]PRIORIZADOS!$A:$F,6,FALSE)),"")</f>
        <v>COLEGIO_MARIA_JOSEFA_CANELONES_IED</v>
      </c>
      <c r="G1017" s="69" t="str">
        <f>IFERROR(IF(VLOOKUP(A1017,[7]PRIORIZADOS!$A:$G,7,FALSE)="","",VLOOKUP(A1017,[7]PRIORIZADOS!$A:$G,7,FALSE)),"")</f>
        <v>COLEGIO_MARIA_JOSEFA_CANELONES_(IED)</v>
      </c>
      <c r="H1017" s="11" t="str">
        <f>IFERROR(IF(VLOOKUP(A1017,[7]PRIORIZADOS!$A:$H,8,FALSE)="","",VLOOKUP(A1017,[7]PRIORIZADOS!$A:$H,8,FALSE)),"")</f>
        <v>Autoevaluación Institucional y Pruebas SABER 11</v>
      </c>
      <c r="I1017" s="11" t="str">
        <f>IFERROR(IF(VLOOKUP(A1017,[7]PRIORIZADOS!$A:$I,9,FALSE)="","",VLOOKUP(A1017,[7]PRIORIZADOS!$A:$I,9,FALSE)),"")</f>
        <v>EVALUACIÓN_CON_FINES_DE_MEJORAMIENTO.</v>
      </c>
      <c r="J1017" s="11" t="str">
        <f>IFERROR(IF(VLOOKUP(A1017,[7]PRIORIZADOS!$A:$J,10,FALSE)="","",VLOOKUP(A1017,[7]PRIORIZADOS!$A:$J,10,FALSE)),"")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17" s="11" t="str">
        <f>IFERROR(IF(VLOOKUP(A1017,[7]PRIORIZADOS!$A:$K,11,FALSE)="","",VLOOKUP(A1017,[7]PRIORIZADOS!$A:$K,11,FALSE)),"")</f>
        <v>MARITZA SARMIENTO VANEGAS</v>
      </c>
      <c r="L1017" s="11" t="str">
        <f>IFERROR(IF(VLOOKUP(A1017,[7]PRIORIZADOS!$A:$L,12,FALSE)="","",VLOOKUP(A1017,[7]PRIORIZADOS!$A:$L,12,FALSE)),"")</f>
        <v>JOSÉ GUILLERMO ALARCÓN CUALLA</v>
      </c>
      <c r="M1017" s="156">
        <f>IFERROR(IF(VLOOKUP(A1017,[7]PRIORIZADOS!$A:$M,13,FALSE)="","",VLOOKUP(A1017,[7]PRIORIZADOS!$A:$M,13,FALSE)),"")</f>
        <v>45813</v>
      </c>
      <c r="N1017" s="156">
        <f>IFERROR(IF(VLOOKUP(A1017,[7]PRIORIZADOS!$A:$N,14,FALSE)="","",VLOOKUP(A1017,[7]PRIORIZADOS!$A:$N,14,FALSE)),"")</f>
        <v>45898</v>
      </c>
      <c r="O1017" s="156">
        <f>IFERROR(IF(VLOOKUP(A1017,[7]PRIORIZADOS!$A:$O,15,FALSE)="","",VLOOKUP(A1017,[7]PRIORIZADOS!$A:$O,15,FALSE)),"")</f>
        <v>45898</v>
      </c>
      <c r="P1017" s="11" t="str">
        <f>IFERROR(IF(VLOOKUP(A1017,[7]PRIORIZADOS!$A:$P,16,FALSE)="","",VLOOKUP(A1017,[7]PRIORIZADOS!$A:$P,16,FALSE)),"")</f>
        <v>Visitas de evaluación con fines de seguimiento</v>
      </c>
      <c r="Q1017" s="151" t="s">
        <v>189</v>
      </c>
      <c r="R1017" s="11" t="str">
        <f>IFERROR(IF(VLOOKUP(A1017,[7]PRIORIZADOS!$A:$R,18,FALSE)="","",VLOOKUP(A1017,[7]PRIORIZADOS!$A:$R,18,FALSE)),"")</f>
        <v>El Consejo académico se reúne periódicamente a través de mesas sectoriales, las cuales están en el proceso de construcción de este documento</v>
      </c>
      <c r="S1017" s="11" t="str">
        <f>IFERROR(IF(VLOOKUP(A1017,[7]PRIORIZADOS!$A:$S,19,FALSE)="","",VLOOKUP(A1017,[7]PRIORIZADOS!$A:$S,19,FALSE)),"")</f>
        <v xml:space="preserve">la mesa responsable de la construcción de este documento tiene proyectado realizar la primera entrega para el mes de octubre
</v>
      </c>
      <c r="T1017" s="70" t="str">
        <f>IFERROR(IF(VLOOKUP(A1017,[7]PRIORIZADOS!$A:$T,20,FALSE)="","",VLOOKUP(A1017,[7]PRIORIZADOS!$A:$T,20,FALSE)),"")</f>
        <v>No</v>
      </c>
      <c r="U1017" s="11" t="str">
        <f>IFERROR(IF(VLOOKUP(A1017,[7]PRIORIZADOS!$A:$U,21,FALSE)="","",VLOOKUP(A1017,[7]PRIORIZADOS!$A:$U,21,FALSE)),"")</f>
        <v>En noviembre se solicitara copia del documento Manual de Convivencia,  que la institución va a implementar en el 2026.</v>
      </c>
    </row>
    <row r="1018" spans="1:21" s="1" customFormat="1" ht="48">
      <c r="A1018" s="69">
        <f>IF([7]PRIORIZADOS!A92="","",[7]PRIORIZADOS!A92)</f>
        <v>970</v>
      </c>
      <c r="B1018" s="87">
        <f>IFERROR(IF(VLOOKUP(A1018,[7]PRIORIZADOS!$A:$B,2,FALSE)="","",VLOOKUP(A1018,[7]PRIORIZADOS!$A:$B,2,FALSE)),"")</f>
        <v>11</v>
      </c>
      <c r="C1018" s="11" t="str">
        <f>IFERROR(IF(VLOOKUP(A1018,[7]PRIORIZADOS!$A:$C,3,FALSE)="","",VLOOKUP(A1018,[7]PRIORIZADOS!$A:$C,3,FALSE)),"")</f>
        <v>FONTIBÓN</v>
      </c>
      <c r="D1018" s="69" t="str">
        <f>IFERROR(IF(VLOOKUP(A1018,[7]PRIORIZADOS!$A:$D,4,FALSE)="","",VLOOKUP(A1018,[7]PRIORIZADOS!$A:$D,4,FALSE)),"")</f>
        <v>OFICIAL.</v>
      </c>
      <c r="E1018" s="69" t="str">
        <f>IFERROR(IF(VLOOKUP(A1018,[7]PRIORIZADOS!$A:$E,5,FALSE)="","",VLOOKUP(A1018,[7]PRIORIZADOS!$A:$E,5,FALSE)),"")</f>
        <v>EPBM</v>
      </c>
      <c r="F1018" s="11" t="str">
        <f>IFERROR(IF(VLOOKUP(A1018,[7]PRIORIZADOS!$A:$F,6,FALSE)="","",VLOOKUP(A1018,[7]PRIORIZADOS!$A:$F,6,FALSE)),"")</f>
        <v>COLEGIO_MARIA_JOSEFA_CANELONES_IED</v>
      </c>
      <c r="G1018" s="69" t="str">
        <f>IFERROR(IF(VLOOKUP(A1018,[7]PRIORIZADOS!$A:$G,7,FALSE)="","",VLOOKUP(A1018,[7]PRIORIZADOS!$A:$G,7,FALSE)),"")</f>
        <v>COLEGIO_MARIA_JOSEFA_CANELONES_(IED)</v>
      </c>
      <c r="H1018" s="11" t="str">
        <f>IFERROR(IF(VLOOKUP(A1018,[7]PRIORIZADOS!$A:$H,8,FALSE)="","",VLOOKUP(A1018,[7]PRIORIZADOS!$A:$H,8,FALSE)),"")</f>
        <v>Autoevaluación Institucional y Pruebas SABER 11</v>
      </c>
      <c r="I1018" s="11" t="str">
        <f>IFERROR(IF(VLOOKUP(A1018,[7]PRIORIZADOS!$A:$I,9,FALSE)="","",VLOOKUP(A1018,[7]PRIORIZADOS!$A:$I,9,FALSE)),"")</f>
        <v>EVALUACIÓN_CON_FINES_DE_MEJORAMIENTO.</v>
      </c>
      <c r="J1018" s="11" t="str">
        <f>IFERROR(IF(VLOOKUP(A1018,[7]PRIORIZADOS!$A:$J,10,FALSE)="","",VLOOKUP(A1018,[7]PRIORIZADOS!$A:$J,10,FALSE)),"")</f>
        <v>Revisar la actualización, socialización e implementación del Sistema Institucional de Evaluación de Estudiantes - SIEE, en articulación con la actualización del PEI y la normatividad vigente.</v>
      </c>
      <c r="K1018" s="11" t="str">
        <f>IFERROR(IF(VLOOKUP(A1018,[7]PRIORIZADOS!$A:$K,11,FALSE)="","",VLOOKUP(A1018,[7]PRIORIZADOS!$A:$K,11,FALSE)),"")</f>
        <v>MARITZA SARMIENTO VANEGAS</v>
      </c>
      <c r="L1018" s="11" t="str">
        <f>IFERROR(IF(VLOOKUP(A1018,[7]PRIORIZADOS!$A:$L,12,FALSE)="","",VLOOKUP(A1018,[7]PRIORIZADOS!$A:$L,12,FALSE)),"")</f>
        <v>JOSÉ GUILLERMO ALARCÓN CUALLA</v>
      </c>
      <c r="M1018" s="156">
        <f>IFERROR(IF(VLOOKUP(A1018,[7]PRIORIZADOS!$A:$M,13,FALSE)="","",VLOOKUP(A1018,[7]PRIORIZADOS!$A:$M,13,FALSE)),"")</f>
        <v>45813</v>
      </c>
      <c r="N1018" s="156">
        <f>IFERROR(IF(VLOOKUP(A1018,[7]PRIORIZADOS!$A:$N,14,FALSE)="","",VLOOKUP(A1018,[7]PRIORIZADOS!$A:$N,14,FALSE)),"")</f>
        <v>45898</v>
      </c>
      <c r="O1018" s="156">
        <f>IFERROR(IF(VLOOKUP(A1018,[7]PRIORIZADOS!$A:$O,15,FALSE)="","",VLOOKUP(A1018,[7]PRIORIZADOS!$A:$O,15,FALSE)),"")</f>
        <v>45898</v>
      </c>
      <c r="P1018" s="11" t="str">
        <f>IFERROR(IF(VLOOKUP(A1018,[7]PRIORIZADOS!$A:$P,16,FALSE)="","",VLOOKUP(A1018,[7]PRIORIZADOS!$A:$P,16,FALSE)),"")</f>
        <v>Visitas de evaluación con fines de seguimiento</v>
      </c>
      <c r="Q1018" s="151" t="s">
        <v>189</v>
      </c>
      <c r="R1018" s="11" t="str">
        <f>IFERROR(IF(VLOOKUP(A1018,[7]PRIORIZADOS!$A:$R,18,FALSE)="","",VLOOKUP(A1018,[7]PRIORIZADOS!$A:$R,18,FALSE)),"")</f>
        <v xml:space="preserve">Se proyecta implementar un sistema de evaluación escolar cualitativo, lo cual se está construyendo  a través de mesas de trabajo en el Consejo Académico </v>
      </c>
      <c r="S1018" s="11" t="str">
        <f>IFERROR(IF(VLOOKUP(A1018,[7]PRIORIZADOS!$A:$S,19,FALSE)="","",VLOOKUP(A1018,[7]PRIORIZADOS!$A:$S,19,FALSE)),"")</f>
        <v xml:space="preserve">la mesa responsable de la construcción de este documento tiene proyectado realizar la primera entrega para el mes de octubre
</v>
      </c>
      <c r="T1018" s="70" t="str">
        <f>IFERROR(IF(VLOOKUP(A1018,[7]PRIORIZADOS!$A:$T,20,FALSE)="","",VLOOKUP(A1018,[7]PRIORIZADOS!$A:$T,20,FALSE)),"")</f>
        <v>No</v>
      </c>
      <c r="U1018" s="11" t="str">
        <f>IFERROR(IF(VLOOKUP(A1018,[7]PRIORIZADOS!$A:$U,21,FALSE)="","",VLOOKUP(A1018,[7]PRIORIZADOS!$A:$U,21,FALSE)),"")</f>
        <v>En noviembre se solicitara copia del documento SIEE,  que la institución va a implementar en el 2026.</v>
      </c>
    </row>
    <row r="1019" spans="1:21" s="1" customFormat="1" ht="48">
      <c r="A1019" s="69">
        <f>IF([7]PRIORIZADOS!A93="","",[7]PRIORIZADOS!A93)</f>
        <v>971</v>
      </c>
      <c r="B1019" s="87">
        <f>IFERROR(IF(VLOOKUP(A1019,[7]PRIORIZADOS!$A:$B,2,FALSE)="","",VLOOKUP(A1019,[7]PRIORIZADOS!$A:$B,2,FALSE)),"")</f>
        <v>11</v>
      </c>
      <c r="C1019" s="11" t="str">
        <f>IFERROR(IF(VLOOKUP(A1019,[7]PRIORIZADOS!$A:$C,3,FALSE)="","",VLOOKUP(A1019,[7]PRIORIZADOS!$A:$C,3,FALSE)),"")</f>
        <v>FONTIBÓN</v>
      </c>
      <c r="D1019" s="69" t="str">
        <f>IFERROR(IF(VLOOKUP(A1019,[7]PRIORIZADOS!$A:$D,4,FALSE)="","",VLOOKUP(A1019,[7]PRIORIZADOS!$A:$D,4,FALSE)),"")</f>
        <v>OFICIAL.</v>
      </c>
      <c r="E1019" s="69" t="str">
        <f>IFERROR(IF(VLOOKUP(A1019,[7]PRIORIZADOS!$A:$E,5,FALSE)="","",VLOOKUP(A1019,[7]PRIORIZADOS!$A:$E,5,FALSE)),"")</f>
        <v>EPBM</v>
      </c>
      <c r="F1019" s="11" t="str">
        <f>IFERROR(IF(VLOOKUP(A1019,[7]PRIORIZADOS!$A:$F,6,FALSE)="","",VLOOKUP(A1019,[7]PRIORIZADOS!$A:$F,6,FALSE)),"")</f>
        <v>COLEGIO_MARIA_JOSEFA_CANELONES_IED</v>
      </c>
      <c r="G1019" s="69" t="str">
        <f>IFERROR(IF(VLOOKUP(A1019,[7]PRIORIZADOS!$A:$G,7,FALSE)="","",VLOOKUP(A1019,[7]PRIORIZADOS!$A:$G,7,FALSE)),"")</f>
        <v>COLEGIO_MARIA_JOSEFA_CANELONES_(IED)</v>
      </c>
      <c r="H1019" s="11" t="str">
        <f>IFERROR(IF(VLOOKUP(A1019,[7]PRIORIZADOS!$A:$H,8,FALSE)="","",VLOOKUP(A1019,[7]PRIORIZADOS!$A:$H,8,FALSE)),"")</f>
        <v>Autoevaluación Institucional y Pruebas SABER 11</v>
      </c>
      <c r="I1019" s="11" t="str">
        <f>IFERROR(IF(VLOOKUP(A1019,[7]PRIORIZADOS!$A:$I,9,FALSE)="","",VLOOKUP(A1019,[7]PRIORIZADOS!$A:$I,9,FALSE)),"")</f>
        <v>EVALUACIÓN_CON_FINES_DE_MEJORAMIENTO.</v>
      </c>
      <c r="J1019" s="11" t="str">
        <f>IFERROR(IF(VLOOKUP(A1019,[7]PRIORIZADOS!$A:$J,10,FALSE)="","",VLOOKUP(A1019,[7]PRIORIZADOS!$A:$J,10,FALSE)),"")</f>
        <v>Revisar el calendario escolar, jornada escolar, la intensidad horaria mínima anual en cada nivel y las modificaciones que se realicen al mismo, de acuerdo con lo previsto en la normatividad vigente.</v>
      </c>
      <c r="K1019" s="11" t="str">
        <f>IFERROR(IF(VLOOKUP(A1019,[7]PRIORIZADOS!$A:$K,11,FALSE)="","",VLOOKUP(A1019,[7]PRIORIZADOS!$A:$K,11,FALSE)),"")</f>
        <v>MARITZA SARMIENTO VANEGAS</v>
      </c>
      <c r="L1019" s="11" t="str">
        <f>IFERROR(IF(VLOOKUP(A1019,[7]PRIORIZADOS!$A:$L,12,FALSE)="","",VLOOKUP(A1019,[7]PRIORIZADOS!$A:$L,12,FALSE)),"")</f>
        <v>JOSÉ GUILLERMO ALARCÓN CUALLA</v>
      </c>
      <c r="M1019" s="156">
        <f>IFERROR(IF(VLOOKUP(A1019,[7]PRIORIZADOS!$A:$M,13,FALSE)="","",VLOOKUP(A1019,[7]PRIORIZADOS!$A:$M,13,FALSE)),"")</f>
        <v>45813</v>
      </c>
      <c r="N1019" s="156">
        <f>IFERROR(IF(VLOOKUP(A1019,[7]PRIORIZADOS!$A:$N,14,FALSE)="","",VLOOKUP(A1019,[7]PRIORIZADOS!$A:$N,14,FALSE)),"")</f>
        <v>45898</v>
      </c>
      <c r="O1019" s="156">
        <f>IFERROR(IF(VLOOKUP(A1019,[7]PRIORIZADOS!$A:$O,15,FALSE)="","",VLOOKUP(A1019,[7]PRIORIZADOS!$A:$O,15,FALSE)),"")</f>
        <v>45898</v>
      </c>
      <c r="P1019" s="11" t="str">
        <f>IFERROR(IF(VLOOKUP(A1019,[7]PRIORIZADOS!$A:$P,16,FALSE)="","",VLOOKUP(A1019,[7]PRIORIZADOS!$A:$P,16,FALSE)),"")</f>
        <v>Visitas de evaluación con fines de seguimiento</v>
      </c>
      <c r="Q1019" s="151" t="s">
        <v>189</v>
      </c>
      <c r="R1019" s="11" t="str">
        <f>IFERROR(IF(VLOOKUP(A1019,[7]PRIORIZADOS!$A:$R,18,FALSE)="","",VLOOKUP(A1019,[7]PRIORIZADOS!$A:$R,18,FALSE)),"")</f>
        <v xml:space="preserve">La Institución educativa se rige por el acto administrativo de la SED, que establece el calendario escolar. </v>
      </c>
      <c r="S1019" s="11" t="str">
        <f>IFERROR(IF(VLOOKUP(A1019,[7]PRIORIZADOS!$A:$S,19,FALSE)="","",VLOOKUP(A1019,[7]PRIORIZADOS!$A:$S,19,FALSE)),"")</f>
        <v>Continuar cumpliendo lo normado en la Resolución de la SED</v>
      </c>
      <c r="T1019" s="70" t="str">
        <f>IFERROR(IF(VLOOKUP(A1019,[7]PRIORIZADOS!$A:$T,20,FALSE)="","",VLOOKUP(A1019,[7]PRIORIZADOS!$A:$T,20,FALSE)),"")</f>
        <v>No</v>
      </c>
      <c r="U1019" s="11" t="str">
        <f>IFERROR(IF(VLOOKUP(A1019,[7]PRIORIZADOS!$A:$U,21,FALSE)="","",VLOOKUP(A1019,[7]PRIORIZADOS!$A:$U,21,FALSE)),"")</f>
        <v>Verificar la implementación del calendario escolar en caso de presentarse queja.</v>
      </c>
    </row>
    <row r="1020" spans="1:21" s="1" customFormat="1" ht="60">
      <c r="A1020" s="69">
        <f>IF([7]PRIORIZADOS!A94="","",[7]PRIORIZADOS!A94)</f>
        <v>972</v>
      </c>
      <c r="B1020" s="87">
        <f>IFERROR(IF(VLOOKUP(A1020,[7]PRIORIZADOS!$A:$B,2,FALSE)="","",VLOOKUP(A1020,[7]PRIORIZADOS!$A:$B,2,FALSE)),"")</f>
        <v>11</v>
      </c>
      <c r="C1020" s="11" t="str">
        <f>IFERROR(IF(VLOOKUP(A1020,[7]PRIORIZADOS!$A:$C,3,FALSE)="","",VLOOKUP(A1020,[7]PRIORIZADOS!$A:$C,3,FALSE)),"")</f>
        <v>FONTIBÓN</v>
      </c>
      <c r="D1020" s="69" t="str">
        <f>IFERROR(IF(VLOOKUP(A1020,[7]PRIORIZADOS!$A:$D,4,FALSE)="","",VLOOKUP(A1020,[7]PRIORIZADOS!$A:$D,4,FALSE)),"")</f>
        <v>OFICIAL.</v>
      </c>
      <c r="E1020" s="69" t="str">
        <f>IFERROR(IF(VLOOKUP(A1020,[7]PRIORIZADOS!$A:$E,5,FALSE)="","",VLOOKUP(A1020,[7]PRIORIZADOS!$A:$E,5,FALSE)),"")</f>
        <v>EPBM</v>
      </c>
      <c r="F1020" s="11" t="str">
        <f>IFERROR(IF(VLOOKUP(A1020,[7]PRIORIZADOS!$A:$F,6,FALSE)="","",VLOOKUP(A1020,[7]PRIORIZADOS!$A:$F,6,FALSE)),"")</f>
        <v>COLEGIO_MARIA_JOSEFA_CANELONES_IED</v>
      </c>
      <c r="G1020" s="69" t="str">
        <f>IFERROR(IF(VLOOKUP(A1020,[7]PRIORIZADOS!$A:$G,7,FALSE)="","",VLOOKUP(A1020,[7]PRIORIZADOS!$A:$G,7,FALSE)),"")</f>
        <v>COLEGIO_MARIA_JOSEFA_CANELONES_(IED)</v>
      </c>
      <c r="H1020" s="11" t="str">
        <f>IFERROR(IF(VLOOKUP(A1020,[7]PRIORIZADOS!$A:$H,8,FALSE)="","",VLOOKUP(A1020,[7]PRIORIZADOS!$A:$H,8,FALSE)),"")</f>
        <v>Autoevaluación Institucional y Pruebas SABER 11</v>
      </c>
      <c r="I1020" s="11" t="str">
        <f>IFERROR(IF(VLOOKUP(A1020,[7]PRIORIZADOS!$A:$I,9,FALSE)="","",VLOOKUP(A1020,[7]PRIORIZADOS!$A:$I,9,FALSE)),"")</f>
        <v>EVALUACIÓN_CON_FINES_DE_MEJORAMIENTO.</v>
      </c>
      <c r="J1020" s="11" t="str">
        <f>IFERROR(IF(VLOOKUP(A1020,[7]PRIORIZADOS!$A:$J,10,FALSE)="","",VLOOKUP(A1020,[7]PRIORIZADOS!$A:$J,10,FALSE)),"")</f>
        <v>Verificar el funcionamiento del Gobierno Escolar e instancias de participación con base en la información sobre conformación reportada por la institución educativa.</v>
      </c>
      <c r="K1020" s="11" t="str">
        <f>IFERROR(IF(VLOOKUP(A1020,[7]PRIORIZADOS!$A:$K,11,FALSE)="","",VLOOKUP(A1020,[7]PRIORIZADOS!$A:$K,11,FALSE)),"")</f>
        <v>MARITZA SARMIENTO VANEGAS</v>
      </c>
      <c r="L1020" s="11" t="str">
        <f>IFERROR(IF(VLOOKUP(A1020,[7]PRIORIZADOS!$A:$L,12,FALSE)="","",VLOOKUP(A1020,[7]PRIORIZADOS!$A:$L,12,FALSE)),"")</f>
        <v>JOSÉ GUILLERMO ALARCÓN CUALLA</v>
      </c>
      <c r="M1020" s="156">
        <f>IFERROR(IF(VLOOKUP(A1020,[7]PRIORIZADOS!$A:$M,13,FALSE)="","",VLOOKUP(A1020,[7]PRIORIZADOS!$A:$M,13,FALSE)),"")</f>
        <v>45813</v>
      </c>
      <c r="N1020" s="156">
        <f>IFERROR(IF(VLOOKUP(A1020,[7]PRIORIZADOS!$A:$N,14,FALSE)="","",VLOOKUP(A1020,[7]PRIORIZADOS!$A:$N,14,FALSE)),"")</f>
        <v>45898</v>
      </c>
      <c r="O1020" s="156">
        <f>IFERROR(IF(VLOOKUP(A1020,[7]PRIORIZADOS!$A:$O,15,FALSE)="","",VLOOKUP(A1020,[7]PRIORIZADOS!$A:$O,15,FALSE)),"")</f>
        <v>45898</v>
      </c>
      <c r="P1020" s="11" t="str">
        <f>IFERROR(IF(VLOOKUP(A1020,[7]PRIORIZADOS!$A:$P,16,FALSE)="","",VLOOKUP(A1020,[7]PRIORIZADOS!$A:$P,16,FALSE)),"")</f>
        <v>Visitas de evaluación con fines de seguimiento</v>
      </c>
      <c r="Q1020" s="151" t="s">
        <v>189</v>
      </c>
      <c r="R1020" s="11" t="str">
        <f>IFERROR(IF(VLOOKUP(A1020,[7]PRIORIZADOS!$A:$R,18,FALSE)="","",VLOOKUP(A1020,[7]PRIORIZADOS!$A:$R,18,FALSE)),"")</f>
        <v>El Gobierno Escolar e instancias de participación fueron registradas en plataforma SAE,  se  reúnen periódicamente y participan en las decisiones de la institución.</v>
      </c>
      <c r="S1020" s="11" t="str">
        <f>IFERROR(IF(VLOOKUP(A1020,[7]PRIORIZADOS!$A:$S,19,FALSE)="","",VLOOKUP(A1020,[7]PRIORIZADOS!$A:$S,19,FALSE)),"")</f>
        <v>Avanzar en la construcción de los diferentes documentos institucionales.</v>
      </c>
      <c r="T1020" s="70" t="str">
        <f>IFERROR(IF(VLOOKUP(A1020,[7]PRIORIZADOS!$A:$T,20,FALSE)="","",VLOOKUP(A1020,[7]PRIORIZADOS!$A:$T,20,FALSE)),"")</f>
        <v>No</v>
      </c>
      <c r="U1020" s="11" t="str">
        <f>IFERROR(IF(VLOOKUP(A1020,[7]PRIORIZADOS!$A:$U,21,FALSE)="","",VLOOKUP(A1020,[7]PRIORIZADOS!$A:$U,21,FALSE)),"")</f>
        <v xml:space="preserve">A demanda de la institución se continuará con el acompañamiento del Gobierno Escolar e instancias de participación, </v>
      </c>
    </row>
    <row r="1021" spans="1:21" s="1" customFormat="1" ht="36">
      <c r="A1021" s="69">
        <f>IF([7]PRIORIZADOS!A95="","",[7]PRIORIZADOS!A95)</f>
        <v>973</v>
      </c>
      <c r="B1021" s="87">
        <f>IFERROR(IF(VLOOKUP(A1021,[7]PRIORIZADOS!$A:$B,2,FALSE)="","",VLOOKUP(A1021,[7]PRIORIZADOS!$A:$B,2,FALSE)),"")</f>
        <v>11</v>
      </c>
      <c r="C1021" s="11" t="str">
        <f>IFERROR(IF(VLOOKUP(A1021,[7]PRIORIZADOS!$A:$C,3,FALSE)="","",VLOOKUP(A1021,[7]PRIORIZADOS!$A:$C,3,FALSE)),"")</f>
        <v>FONTIBÓN</v>
      </c>
      <c r="D1021" s="69" t="str">
        <f>IFERROR(IF(VLOOKUP(A1021,[7]PRIORIZADOS!$A:$D,4,FALSE)="","",VLOOKUP(A1021,[7]PRIORIZADOS!$A:$D,4,FALSE)),"")</f>
        <v>OFICIAL.</v>
      </c>
      <c r="E1021" s="69" t="str">
        <f>IFERROR(IF(VLOOKUP(A1021,[7]PRIORIZADOS!$A:$E,5,FALSE)="","",VLOOKUP(A1021,[7]PRIORIZADOS!$A:$E,5,FALSE)),"")</f>
        <v>EPBM</v>
      </c>
      <c r="F1021" s="11" t="str">
        <f>IFERROR(IF(VLOOKUP(A1021,[7]PRIORIZADOS!$A:$F,6,FALSE)="","",VLOOKUP(A1021,[7]PRIORIZADOS!$A:$F,6,FALSE)),"")</f>
        <v>COLEGIO_MARIA_JOSEFA_CANELONES_IED</v>
      </c>
      <c r="G1021" s="69" t="str">
        <f>IFERROR(IF(VLOOKUP(A1021,[7]PRIORIZADOS!$A:$G,7,FALSE)="","",VLOOKUP(A1021,[7]PRIORIZADOS!$A:$G,7,FALSE)),"")</f>
        <v>COLEGIO_MARIA_JOSEFA_CANELONES_(IED)</v>
      </c>
      <c r="H1021" s="11" t="str">
        <f>IFERROR(IF(VLOOKUP(A1021,[7]PRIORIZADOS!$A:$H,8,FALSE)="","",VLOOKUP(A1021,[7]PRIORIZADOS!$A:$H,8,FALSE)),"")</f>
        <v>Autoevaluación Institucional y Pruebas SABER 11</v>
      </c>
      <c r="I1021" s="11" t="str">
        <f>IFERROR(IF(VLOOKUP(A1021,[7]PRIORIZADOS!$A:$I,9,FALSE)="","",VLOOKUP(A1021,[7]PRIORIZADOS!$A:$I,9,FALSE)),"")</f>
        <v>EVALUACIÓN_CON_FINES_DE_MEJORAMIENTO.</v>
      </c>
      <c r="J1021" s="11" t="str">
        <f>IFERROR(IF(VLOOKUP(A1021,[7]PRIORIZADOS!$A:$J,10,FALSE)="","",VLOOKUP(A1021,[7]PRIORIZADOS!$A:$J,10,FALSE)),"")</f>
        <v>Verificar las condiciones en cuanto a: la estructura administrativa, condiciones de la planta física y medios educativos adecuados.</v>
      </c>
      <c r="K1021" s="11" t="str">
        <f>IFERROR(IF(VLOOKUP(A1021,[7]PRIORIZADOS!$A:$K,11,FALSE)="","",VLOOKUP(A1021,[7]PRIORIZADOS!$A:$K,11,FALSE)),"")</f>
        <v>MARITZA SARMIENTO VANEGAS</v>
      </c>
      <c r="L1021" s="11" t="str">
        <f>IFERROR(IF(VLOOKUP(A1021,[7]PRIORIZADOS!$A:$L,12,FALSE)="","",VLOOKUP(A1021,[7]PRIORIZADOS!$A:$L,12,FALSE)),"")</f>
        <v>JOSÉ GUILLERMO ALARCÓN CUALLA</v>
      </c>
      <c r="M1021" s="156">
        <f>IFERROR(IF(VLOOKUP(A1021,[7]PRIORIZADOS!$A:$M,13,FALSE)="","",VLOOKUP(A1021,[7]PRIORIZADOS!$A:$M,13,FALSE)),"")</f>
        <v>45813</v>
      </c>
      <c r="N1021" s="156">
        <f>IFERROR(IF(VLOOKUP(A1021,[7]PRIORIZADOS!$A:$N,14,FALSE)="","",VLOOKUP(A1021,[7]PRIORIZADOS!$A:$N,14,FALSE)),"")</f>
        <v>45898</v>
      </c>
      <c r="O1021" s="156">
        <f>IFERROR(IF(VLOOKUP(A1021,[7]PRIORIZADOS!$A:$O,15,FALSE)="","",VLOOKUP(A1021,[7]PRIORIZADOS!$A:$O,15,FALSE)),"")</f>
        <v>45898</v>
      </c>
      <c r="P1021" s="11" t="str">
        <f>IFERROR(IF(VLOOKUP(A1021,[7]PRIORIZADOS!$A:$P,16,FALSE)="","",VLOOKUP(A1021,[7]PRIORIZADOS!$A:$P,16,FALSE)),"")</f>
        <v>Visitas de evaluación con fines de seguimiento</v>
      </c>
      <c r="Q1021" s="151" t="s">
        <v>189</v>
      </c>
      <c r="R1021" s="11" t="str">
        <f>IFERROR(IF(VLOOKUP(A1021,[7]PRIORIZADOS!$A:$R,18,FALSE)="","",VLOOKUP(A1021,[7]PRIORIZADOS!$A:$R,18,FALSE)),"")</f>
        <v>La planta física a la fecha no ha sido entregada a las Directivas de la institución educativa.</v>
      </c>
      <c r="S1021" s="11" t="str">
        <f>IFERROR(IF(VLOOKUP(A1021,[7]PRIORIZADOS!$A:$S,19,FALSE)="","",VLOOKUP(A1021,[7]PRIORIZADOS!$A:$S,19,FALSE)),"")</f>
        <v>La institución gestionara la dotación de diferentes ambientes pedagógicos y que se provean cargos como el de Bibliotecólogo.</v>
      </c>
      <c r="T1021" s="70" t="str">
        <f>IFERROR(IF(VLOOKUP(A1021,[7]PRIORIZADOS!$A:$T,20,FALSE)="","",VLOOKUP(A1021,[7]PRIORIZADOS!$A:$T,20,FALSE)),"")</f>
        <v>No</v>
      </c>
      <c r="U1021" s="11" t="str">
        <f>IFERROR(IF(VLOOKUP(A1021,[7]PRIORIZADOS!$A:$U,21,FALSE)="","",VLOOKUP(A1021,[7]PRIORIZADOS!$A:$U,21,FALSE)),"")</f>
        <v>En caso de presentarse queja, se verificará los compromisos adquiridos por la Institución.</v>
      </c>
    </row>
    <row r="1022" spans="1:21" s="1" customFormat="1" ht="99.75" customHeight="1">
      <c r="A1022" s="69">
        <f>IF([7]PRIORIZADOS!A96="","",[7]PRIORIZADOS!A96)</f>
        <v>974</v>
      </c>
      <c r="B1022" s="87">
        <f>IFERROR(IF(VLOOKUP(A1022,[7]PRIORIZADOS!$A:$B,2,FALSE)="","",VLOOKUP(A1022,[7]PRIORIZADOS!$A:$B,2,FALSE)),"")</f>
        <v>12</v>
      </c>
      <c r="C1022" s="11" t="str">
        <f>IFERROR(IF(VLOOKUP(A1022,[7]PRIORIZADOS!$A:$C,3,FALSE)="","",VLOOKUP(A1022,[7]PRIORIZADOS!$A:$C,3,FALSE)),"")</f>
        <v>FONTIBÓN</v>
      </c>
      <c r="D1022" s="69" t="str">
        <f>IFERROR(IF(VLOOKUP(A1022,[7]PRIORIZADOS!$A:$D,4,FALSE)="","",VLOOKUP(A1022,[7]PRIORIZADOS!$A:$D,4,FALSE)),"")</f>
        <v>PRIVADO</v>
      </c>
      <c r="E1022" s="69" t="str">
        <f>IFERROR(IF(VLOOKUP(A1022,[7]PRIORIZADOS!$A:$E,5,FALSE)="","",VLOOKUP(A1022,[7]PRIORIZADOS!$A:$E,5,FALSE)),"")</f>
        <v>EPBM</v>
      </c>
      <c r="F1022" s="11" t="str">
        <f>IFERROR(IF(VLOOKUP(A1022,[7]PRIORIZADOS!$A:$F,6,FALSE)="","",VLOOKUP(A1022,[7]PRIORIZADOS!$A:$F,6,FALSE)),"")</f>
        <v>COLEGIO_LIDERES_DEL_MAÑANA</v>
      </c>
      <c r="G1022" s="69" t="str">
        <f>IFERROR(IF(VLOOKUP(A1022,[7]PRIORIZADOS!$A:$G,7,FALSE)="","",VLOOKUP(A1022,[7]PRIORIZADOS!$A:$G,7,FALSE)),"")</f>
        <v>COLEGIO_LIDERES_DEL_MAÑANA</v>
      </c>
      <c r="H1022" s="11" t="str">
        <f>IFERROR(IF(VLOOKUP(A1022,[7]PRIORIZADOS!$A:$H,8,FALSE)="","",VLOOKUP(A1022,[7]PRIORIZADOS!$A:$H,8,FALSE)),"")</f>
        <v>Autoevaluación Institucional y Pruebas SABER 11</v>
      </c>
      <c r="I1022" s="11" t="str">
        <f>IFERROR(IF(VLOOKUP(A1022,[7]PRIORIZADOS!$A:$I,9,FALSE)="","",VLOOKUP(A1022,[7]PRIORIZADOS!$A:$I,9,FALSE)),"")</f>
        <v>SEGUIMIENTO_Y_SUPERVISIÓN.</v>
      </c>
      <c r="J1022" s="11" t="str">
        <f>IFERROR(IF(VLOOKUP(A1022,[7]PRIORIZADOS!$A:$J,10,FALSE)="","",VLOOKUP(A1022,[7]PRIORIZADOS!$A:$J,10,FALSE)),"")</f>
        <v xml:space="preserve">Verificar la implementación por parte de los colegios, de acciones realizadas para la prevención y atención de las situaciones de convivencia en el entorno escolar, según lo establecido en la Directiva 01 de 2022 del MEN. </v>
      </c>
      <c r="K1022" s="11" t="str">
        <f>IFERROR(IF(VLOOKUP(A1022,[7]PRIORIZADOS!$A:$K,11,FALSE)="","",VLOOKUP(A1022,[7]PRIORIZADOS!$A:$K,11,FALSE)),"")</f>
        <v>GLORIA INES AMAYA RAMÍREZ</v>
      </c>
      <c r="L1022" s="11" t="str">
        <f>IFERROR(IF(VLOOKUP(A1022,[7]PRIORIZADOS!$A:$L,12,FALSE)="","",VLOOKUP(A1022,[7]PRIORIZADOS!$A:$L,12,FALSE)),"")</f>
        <v>JORGE WILLIAM BONILLA ROMERO</v>
      </c>
      <c r="M1022" s="156">
        <f>IFERROR(IF(VLOOKUP(A1022,[7]PRIORIZADOS!$A:$M,13,FALSE)="","",VLOOKUP(A1022,[7]PRIORIZADOS!$A:$M,13,FALSE)),"")</f>
        <v>45758</v>
      </c>
      <c r="N1022" s="156">
        <f>IFERROR(IF(VLOOKUP(A1022,[7]PRIORIZADOS!$A:$N,14,FALSE)="","",VLOOKUP(A1022,[7]PRIORIZADOS!$A:$N,14,FALSE)),"")</f>
        <v>45772</v>
      </c>
      <c r="O1022" s="156">
        <f>IFERROR(IF(VLOOKUP(A1022,[7]PRIORIZADOS!$A:$O,15,FALSE)="","",VLOOKUP(A1022,[7]PRIORIZADOS!$A:$O,15,FALSE)),"")</f>
        <v>45772</v>
      </c>
      <c r="P1022" s="11" t="str">
        <f>IFERROR(IF(VLOOKUP(A1022,[7]PRIORIZADOS!$A:$P,16,FALSE)="","",VLOOKUP(A1022,[7]PRIORIZADOS!$A:$P,16,FALSE)),"")</f>
        <v>Visitas de evaluación con fines de seguimiento</v>
      </c>
      <c r="Q1022" s="7" t="s">
        <v>190</v>
      </c>
      <c r="R1022" s="11" t="str">
        <f>IFERROR(IF(VLOOKUP(A1022,[7]PRIORIZADOS!$A:$R,18,FALSE)="","",VLOOKUP(A1022,[7]PRIORIZADOS!$A:$R,18,FALSE)),"")</f>
        <v>La EE desarrolla talleres  con temáticas de prevención y promoción con todos los miembros de la comunidad educativa. Aportan registro de antecedentes del personal vinculado</v>
      </c>
      <c r="S1022" s="11" t="str">
        <f>IFERROR(IF(VLOOKUP(A1022,[7]PRIORIZADOS!$A:$S,19,FALSE)="","",VLOOKUP(A1022,[7]PRIORIZADOS!$A:$S,19,FALSE)),"")</f>
        <v>Dar continuidad a las actividades  prevención y/o promoción establecidas en la planeación</v>
      </c>
      <c r="T1022" s="70" t="str">
        <f>IFERROR(IF(VLOOKUP(A1022,[7]PRIORIZADOS!$A:$T,20,FALSE)="","",VLOOKUP(A1022,[7]PRIORIZADOS!$A:$T,20,FALSE)),"")</f>
        <v>No</v>
      </c>
      <c r="U1022" s="11" t="str">
        <f>IFERROR(IF(VLOOKUP(A1022,[7]PRIORIZADOS!$A:$U,21,FALSE)="","",VLOOKUP(A1022,[7]PRIORIZADOS!$A:$U,21,FALSE)),"")</f>
        <v>En visita de seguimiento en el mes de octubre de  2025, se verificara la ejecución de estas acciones.</v>
      </c>
    </row>
    <row r="1023" spans="1:21" s="1" customFormat="1" ht="99.75" customHeight="1">
      <c r="A1023" s="69">
        <f>IF([7]PRIORIZADOS!A97="","",[7]PRIORIZADOS!A97)</f>
        <v>975</v>
      </c>
      <c r="B1023" s="87">
        <f>IFERROR(IF(VLOOKUP(A1023,[7]PRIORIZADOS!$A:$B,2,FALSE)="","",VLOOKUP(A1023,[7]PRIORIZADOS!$A:$B,2,FALSE)),"")</f>
        <v>12</v>
      </c>
      <c r="C1023" s="11" t="str">
        <f>IFERROR(IF(VLOOKUP(A1023,[7]PRIORIZADOS!$A:$C,3,FALSE)="","",VLOOKUP(A1023,[7]PRIORIZADOS!$A:$C,3,FALSE)),"")</f>
        <v>FONTIBÓN</v>
      </c>
      <c r="D1023" s="69" t="str">
        <f>IFERROR(IF(VLOOKUP(A1023,[7]PRIORIZADOS!$A:$D,4,FALSE)="","",VLOOKUP(A1023,[7]PRIORIZADOS!$A:$D,4,FALSE)),"")</f>
        <v>PRIVADO</v>
      </c>
      <c r="E1023" s="69" t="str">
        <f>IFERROR(IF(VLOOKUP(A1023,[7]PRIORIZADOS!$A:$E,5,FALSE)="","",VLOOKUP(A1023,[7]PRIORIZADOS!$A:$E,5,FALSE)),"")</f>
        <v>EPBM</v>
      </c>
      <c r="F1023" s="11" t="str">
        <f>IFERROR(IF(VLOOKUP(A1023,[7]PRIORIZADOS!$A:$F,6,FALSE)="","",VLOOKUP(A1023,[7]PRIORIZADOS!$A:$F,6,FALSE)),"")</f>
        <v>COLEGIO_LIDERES_DEL_MAÑANA</v>
      </c>
      <c r="G1023" s="69" t="str">
        <f>IFERROR(IF(VLOOKUP(A1023,[7]PRIORIZADOS!$A:$G,7,FALSE)="","",VLOOKUP(A1023,[7]PRIORIZADOS!$A:$G,7,FALSE)),"")</f>
        <v>COLEGIO_LIDERES_DEL_MAÑANA</v>
      </c>
      <c r="H1023" s="11" t="str">
        <f>IFERROR(IF(VLOOKUP(A1023,[7]PRIORIZADOS!$A:$H,8,FALSE)="","",VLOOKUP(A1023,[7]PRIORIZADOS!$A:$H,8,FALSE)),"")</f>
        <v>Autoevaluación Institucional y Pruebas SABER 11</v>
      </c>
      <c r="I1023" s="11" t="str">
        <f>IFERROR(IF(VLOOKUP(A1023,[7]PRIORIZADOS!$A:$I,9,FALSE)="","",VLOOKUP(A1023,[7]PRIORIZADOS!$A:$I,9,FALSE)),"")</f>
        <v>SEGUIMIENTO_Y_SUPERVISIÓN.</v>
      </c>
      <c r="J1023" s="11" t="str">
        <f>IFERROR(IF(VLOOKUP(A1023,[7]PRIORIZADOS!$A:$J,10,FALSE)="","",VLOOKUP(A1023,[7]PRIORIZADOS!$A:$J,10,FALSE)),"")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23" s="11" t="str">
        <f>IFERROR(IF(VLOOKUP(A1023,[7]PRIORIZADOS!$A:$K,11,FALSE)="","",VLOOKUP(A1023,[7]PRIORIZADOS!$A:$K,11,FALSE)),"")</f>
        <v>GLORIA INES AMAYA RAMÍREZ</v>
      </c>
      <c r="L1023" s="11" t="str">
        <f>IFERROR(IF(VLOOKUP(A1023,[7]PRIORIZADOS!$A:$L,12,FALSE)="","",VLOOKUP(A1023,[7]PRIORIZADOS!$A:$L,12,FALSE)),"")</f>
        <v>JORGE WILLIAM BONILLA ROMERO</v>
      </c>
      <c r="M1023" s="156">
        <f>IFERROR(IF(VLOOKUP(A1023,[7]PRIORIZADOS!$A:$M,13,FALSE)="","",VLOOKUP(A1023,[7]PRIORIZADOS!$A:$M,13,FALSE)),"")</f>
        <v>45758</v>
      </c>
      <c r="N1023" s="156">
        <f>IFERROR(IF(VLOOKUP(A1023,[7]PRIORIZADOS!$A:$N,14,FALSE)="","",VLOOKUP(A1023,[7]PRIORIZADOS!$A:$N,14,FALSE)),"")</f>
        <v>45772</v>
      </c>
      <c r="O1023" s="156">
        <f>IFERROR(IF(VLOOKUP(A1023,[7]PRIORIZADOS!$A:$O,15,FALSE)="","",VLOOKUP(A1023,[7]PRIORIZADOS!$A:$O,15,FALSE)),"")</f>
        <v>45772</v>
      </c>
      <c r="P1023" s="11" t="str">
        <f>IFERROR(IF(VLOOKUP(A1023,[7]PRIORIZADOS!$A:$P,16,FALSE)="","",VLOOKUP(A1023,[7]PRIORIZADOS!$A:$P,16,FALSE)),"")</f>
        <v>Visitas de evaluación con fines de seguimiento</v>
      </c>
      <c r="Q1023" s="7" t="s">
        <v>190</v>
      </c>
      <c r="R1023" s="11" t="str">
        <f>IFERROR(IF(VLOOKUP(A1023,[7]PRIORIZADOS!$A:$R,18,FALSE)="","",VLOOKUP(A1023,[7]PRIORIZADOS!$A:$R,18,FALSE)),"")</f>
        <v>El EE aportó las evidencias de la construcción e implementación de los PIAR.</v>
      </c>
      <c r="S1023" s="11" t="str">
        <f>IFERROR(IF(VLOOKUP(A1023,[7]PRIORIZADOS!$A:$S,19,FALSE)="","",VLOOKUP(A1023,[7]PRIORIZADOS!$A:$S,19,FALSE)),"")</f>
        <v>Se está dando cumplimiento a la normatividad relacionada, continuar con su implementación y los ajustes que se requieran.</v>
      </c>
      <c r="T1023" s="70" t="str">
        <f>IFERROR(IF(VLOOKUP(A1023,[7]PRIORIZADOS!$A:$T,20,FALSE)="","",VLOOKUP(A1023,[7]PRIORIZADOS!$A:$T,20,FALSE)),"")</f>
        <v>No</v>
      </c>
      <c r="U1023" s="11" t="str">
        <f>IFERROR(IF(VLOOKUP(A1023,[7]PRIORIZADOS!$A:$U,21,FALSE)="","",VLOOKUP(A1023,[7]PRIORIZADOS!$A:$U,21,FALSE)),"")</f>
        <v>En visita de seguimiento en el mes de octubre de  2025, se verificara la ejecución de estas acciones.</v>
      </c>
    </row>
    <row r="1024" spans="1:21" s="1" customFormat="1" ht="99.75" customHeight="1">
      <c r="A1024" s="69">
        <f>IF([7]PRIORIZADOS!A98="","",[7]PRIORIZADOS!A98)</f>
        <v>976</v>
      </c>
      <c r="B1024" s="87">
        <f>IFERROR(IF(VLOOKUP(A1024,[7]PRIORIZADOS!$A:$B,2,FALSE)="","",VLOOKUP(A1024,[7]PRIORIZADOS!$A:$B,2,FALSE)),"")</f>
        <v>12</v>
      </c>
      <c r="C1024" s="11" t="str">
        <f>IFERROR(IF(VLOOKUP(A1024,[7]PRIORIZADOS!$A:$C,3,FALSE)="","",VLOOKUP(A1024,[7]PRIORIZADOS!$A:$C,3,FALSE)),"")</f>
        <v>FONTIBÓN</v>
      </c>
      <c r="D1024" s="69" t="str">
        <f>IFERROR(IF(VLOOKUP(A1024,[7]PRIORIZADOS!$A:$D,4,FALSE)="","",VLOOKUP(A1024,[7]PRIORIZADOS!$A:$D,4,FALSE)),"")</f>
        <v>PRIVADO</v>
      </c>
      <c r="E1024" s="69" t="str">
        <f>IFERROR(IF(VLOOKUP(A1024,[7]PRIORIZADOS!$A:$E,5,FALSE)="","",VLOOKUP(A1024,[7]PRIORIZADOS!$A:$E,5,FALSE)),"")</f>
        <v>EPBM</v>
      </c>
      <c r="F1024" s="11" t="str">
        <f>IFERROR(IF(VLOOKUP(A1024,[7]PRIORIZADOS!$A:$F,6,FALSE)="","",VLOOKUP(A1024,[7]PRIORIZADOS!$A:$F,6,FALSE)),"")</f>
        <v>COLEGIO_LIDERES_DEL_MAÑANA</v>
      </c>
      <c r="G1024" s="69" t="str">
        <f>IFERROR(IF(VLOOKUP(A1024,[7]PRIORIZADOS!$A:$G,7,FALSE)="","",VLOOKUP(A1024,[7]PRIORIZADOS!$A:$G,7,FALSE)),"")</f>
        <v>COLEGIO_LIDERES_DEL_MAÑANA</v>
      </c>
      <c r="H1024" s="11" t="str">
        <f>IFERROR(IF(VLOOKUP(A1024,[7]PRIORIZADOS!$A:$H,8,FALSE)="","",VLOOKUP(A1024,[7]PRIORIZADOS!$A:$H,8,FALSE)),"")</f>
        <v>Autoevaluación Institucional y Pruebas SABER 11</v>
      </c>
      <c r="I1024" s="11" t="str">
        <f>IFERROR(IF(VLOOKUP(A1024,[7]PRIORIZADOS!$A:$I,9,FALSE)="","",VLOOKUP(A1024,[7]PRIORIZADOS!$A:$I,9,FALSE)),"")</f>
        <v>EVALUACIÓN_CON_FINES_DE_MEJORAMIENTO.</v>
      </c>
      <c r="J1024" s="11" t="str">
        <f>IFERROR(IF(VLOOKUP(A1024,[7]PRIORIZADOS!$A:$J,10,FALSE)="","",VLOOKUP(A1024,[7]PRIORIZADOS!$A:$J,10,FALSE)),"")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24" s="11" t="str">
        <f>IFERROR(IF(VLOOKUP(A1024,[7]PRIORIZADOS!$A:$K,11,FALSE)="","",VLOOKUP(A1024,[7]PRIORIZADOS!$A:$K,11,FALSE)),"")</f>
        <v>GLORIA INES AMAYA RAMÍREZ</v>
      </c>
      <c r="L1024" s="11" t="str">
        <f>IFERROR(IF(VLOOKUP(A1024,[7]PRIORIZADOS!$A:$L,12,FALSE)="","",VLOOKUP(A1024,[7]PRIORIZADOS!$A:$L,12,FALSE)),"")</f>
        <v>JORGE WILLIAM BONILLA ROMERO</v>
      </c>
      <c r="M1024" s="156">
        <f>IFERROR(IF(VLOOKUP(A1024,[7]PRIORIZADOS!$A:$M,13,FALSE)="","",VLOOKUP(A1024,[7]PRIORIZADOS!$A:$M,13,FALSE)),"")</f>
        <v>45758</v>
      </c>
      <c r="N1024" s="156">
        <f>IFERROR(IF(VLOOKUP(A1024,[7]PRIORIZADOS!$A:$N,14,FALSE)="","",VLOOKUP(A1024,[7]PRIORIZADOS!$A:$N,14,FALSE)),"")</f>
        <v>45772</v>
      </c>
      <c r="O1024" s="156">
        <f>IFERROR(IF(VLOOKUP(A1024,[7]PRIORIZADOS!$A:$O,15,FALSE)="","",VLOOKUP(A1024,[7]PRIORIZADOS!$A:$O,15,FALSE)),"")</f>
        <v>45772</v>
      </c>
      <c r="P1024" s="11" t="str">
        <f>IFERROR(IF(VLOOKUP(A1024,[7]PRIORIZADOS!$A:$P,16,FALSE)="","",VLOOKUP(A1024,[7]PRIORIZADOS!$A:$P,16,FALSE)),"")</f>
        <v>Visitas de evaluación con fines de mejoramiento</v>
      </c>
      <c r="Q1024" s="7" t="s">
        <v>190</v>
      </c>
      <c r="R1024" s="11" t="str">
        <f>IFERROR(IF(VLOOKUP(A1024,[7]PRIORIZADOS!$A:$R,18,FALSE)="","",VLOOKUP(A1024,[7]PRIORIZADOS!$A:$R,18,FALSE)),"")</f>
        <v xml:space="preserve">Manual de convivencia socializado a la comunidad educativa mediante la charla de inducción y la agenda escolar. </v>
      </c>
      <c r="S1024" s="11" t="str">
        <f>IFERROR(IF(VLOOKUP(A1024,[7]PRIORIZADOS!$A:$S,19,FALSE)="","",VLOOKUP(A1024,[7]PRIORIZADOS!$A:$S,19,FALSE)),"")</f>
        <v>Incluir la temática de justicia escolar restaurativa, reglamento del comité de convivencia y procedimiento para la  atención de PQRS.</v>
      </c>
      <c r="T1024" s="70" t="str">
        <f>IFERROR(IF(VLOOKUP(A1024,[7]PRIORIZADOS!$A:$T,20,FALSE)="","",VLOOKUP(A1024,[7]PRIORIZADOS!$A:$T,20,FALSE)),"")</f>
        <v>No</v>
      </c>
      <c r="U1024" s="11" t="str">
        <f>IFERROR(IF(VLOOKUP(A1024,[7]PRIORIZADOS!$A:$U,21,FALSE)="","",VLOOKUP(A1024,[7]PRIORIZADOS!$A:$U,21,FALSE)),"")</f>
        <v>En visita de seguimiento en el mes de octubre de  2025, se verificara la ejecución de estas acciones.</v>
      </c>
    </row>
    <row r="1025" spans="1:21" s="1" customFormat="1" ht="57.75">
      <c r="A1025" s="69">
        <f>IF([7]PRIORIZADOS!A99="","",[7]PRIORIZADOS!A99)</f>
        <v>977</v>
      </c>
      <c r="B1025" s="87">
        <f>IFERROR(IF(VLOOKUP(A1025,[7]PRIORIZADOS!$A:$B,2,FALSE)="","",VLOOKUP(A1025,[7]PRIORIZADOS!$A:$B,2,FALSE)),"")</f>
        <v>12</v>
      </c>
      <c r="C1025" s="11" t="str">
        <f>IFERROR(IF(VLOOKUP(A1025,[7]PRIORIZADOS!$A:$C,3,FALSE)="","",VLOOKUP(A1025,[7]PRIORIZADOS!$A:$C,3,FALSE)),"")</f>
        <v>FONTIBÓN</v>
      </c>
      <c r="D1025" s="69" t="str">
        <f>IFERROR(IF(VLOOKUP(A1025,[7]PRIORIZADOS!$A:$D,4,FALSE)="","",VLOOKUP(A1025,[7]PRIORIZADOS!$A:$D,4,FALSE)),"")</f>
        <v>PRIVADO</v>
      </c>
      <c r="E1025" s="69" t="str">
        <f>IFERROR(IF(VLOOKUP(A1025,[7]PRIORIZADOS!$A:$E,5,FALSE)="","",VLOOKUP(A1025,[7]PRIORIZADOS!$A:$E,5,FALSE)),"")</f>
        <v>EPBM</v>
      </c>
      <c r="F1025" s="11" t="str">
        <f>IFERROR(IF(VLOOKUP(A1025,[7]PRIORIZADOS!$A:$F,6,FALSE)="","",VLOOKUP(A1025,[7]PRIORIZADOS!$A:$F,6,FALSE)),"")</f>
        <v>COLEGIO_LIDERES_DEL_MAÑANA</v>
      </c>
      <c r="G1025" s="69" t="str">
        <f>IFERROR(IF(VLOOKUP(A1025,[7]PRIORIZADOS!$A:$G,7,FALSE)="","",VLOOKUP(A1025,[7]PRIORIZADOS!$A:$G,7,FALSE)),"")</f>
        <v>COLEGIO_LIDERES_DEL_MAÑANA</v>
      </c>
      <c r="H1025" s="11" t="str">
        <f>IFERROR(IF(VLOOKUP(A1025,[7]PRIORIZADOS!$A:$H,8,FALSE)="","",VLOOKUP(A1025,[7]PRIORIZADOS!$A:$H,8,FALSE)),"")</f>
        <v>Autoevaluación Institucional y Pruebas SABER 11</v>
      </c>
      <c r="I1025" s="11" t="str">
        <f>IFERROR(IF(VLOOKUP(A1025,[7]PRIORIZADOS!$A:$I,9,FALSE)="","",VLOOKUP(A1025,[7]PRIORIZADOS!$A:$I,9,FALSE)),"")</f>
        <v>EVALUACIÓN_CON_FINES_DE_MEJORAMIENTO.</v>
      </c>
      <c r="J1025" s="11" t="str">
        <f>IFERROR(IF(VLOOKUP(A1025,[7]PRIORIZADOS!$A:$J,10,FALSE)="","",VLOOKUP(A1025,[7]PRIORIZADOS!$A:$J,10,FALSE)),"")</f>
        <v>Revisar la actualización, socialización e implementación del Sistema Institucional de Evaluación de Estudiantes - SIEE, en articulación con la actualización del PEI y la normatividad vigente.</v>
      </c>
      <c r="K1025" s="11" t="str">
        <f>IFERROR(IF(VLOOKUP(A1025,[7]PRIORIZADOS!$A:$K,11,FALSE)="","",VLOOKUP(A1025,[7]PRIORIZADOS!$A:$K,11,FALSE)),"")</f>
        <v>GLORIA INES AMAYA RAMÍREZ</v>
      </c>
      <c r="L1025" s="11" t="str">
        <f>IFERROR(IF(VLOOKUP(A1025,[7]PRIORIZADOS!$A:$L,12,FALSE)="","",VLOOKUP(A1025,[7]PRIORIZADOS!$A:$L,12,FALSE)),"")</f>
        <v>JORGE WILLIAM BONILLA ROMERO</v>
      </c>
      <c r="M1025" s="156">
        <f>IFERROR(IF(VLOOKUP(A1025,[7]PRIORIZADOS!$A:$M,13,FALSE)="","",VLOOKUP(A1025,[7]PRIORIZADOS!$A:$M,13,FALSE)),"")</f>
        <v>45758</v>
      </c>
      <c r="N1025" s="156">
        <f>IFERROR(IF(VLOOKUP(A1025,[7]PRIORIZADOS!$A:$N,14,FALSE)="","",VLOOKUP(A1025,[7]PRIORIZADOS!$A:$N,14,FALSE)),"")</f>
        <v>45772</v>
      </c>
      <c r="O1025" s="156">
        <f>IFERROR(IF(VLOOKUP(A1025,[7]PRIORIZADOS!$A:$O,15,FALSE)="","",VLOOKUP(A1025,[7]PRIORIZADOS!$A:$O,15,FALSE)),"")</f>
        <v>45772</v>
      </c>
      <c r="P1025" s="11" t="str">
        <f>IFERROR(IF(VLOOKUP(A1025,[7]PRIORIZADOS!$A:$P,16,FALSE)="","",VLOOKUP(A1025,[7]PRIORIZADOS!$A:$P,16,FALSE)),"")</f>
        <v>Visitas de evaluación con fines de seguimiento</v>
      </c>
      <c r="Q1025" s="7" t="s">
        <v>190</v>
      </c>
      <c r="R1025" s="11" t="str">
        <f>IFERROR(IF(VLOOKUP(A1025,[7]PRIORIZADOS!$A:$R,18,FALSE)="","",VLOOKUP(A1025,[7]PRIORIZADOS!$A:$R,18,FALSE)),"")</f>
        <v>Sistema institucional de evaluación ajustado a norma.</v>
      </c>
      <c r="S1025" s="11" t="str">
        <f>IFERROR(IF(VLOOKUP(A1025,[7]PRIORIZADOS!$A:$S,19,FALSE)="","",VLOOKUP(A1025,[7]PRIORIZADOS!$A:$S,19,FALSE)),"")</f>
        <v>Está en construcción, dando cumplimiento a la normatividad relacionada.</v>
      </c>
      <c r="T1025" s="70" t="str">
        <f>IFERROR(IF(VLOOKUP(A1025,[7]PRIORIZADOS!$A:$T,20,FALSE)="","",VLOOKUP(A1025,[7]PRIORIZADOS!$A:$T,20,FALSE)),"")</f>
        <v>No</v>
      </c>
      <c r="U1025" s="11" t="str">
        <f>IFERROR(IF(VLOOKUP(A1025,[7]PRIORIZADOS!$A:$U,21,FALSE)="","",VLOOKUP(A1025,[7]PRIORIZADOS!$A:$U,21,FALSE)),"")</f>
        <v>En visita de seguimiento en el mes de octubre de  2025, se verificara la ejecución de estas acciones.</v>
      </c>
    </row>
    <row r="1026" spans="1:21" s="1" customFormat="1" ht="57.75">
      <c r="A1026" s="69">
        <f>IF([7]PRIORIZADOS!A100="","",[7]PRIORIZADOS!A100)</f>
        <v>978</v>
      </c>
      <c r="B1026" s="87">
        <f>IFERROR(IF(VLOOKUP(A1026,[7]PRIORIZADOS!$A:$B,2,FALSE)="","",VLOOKUP(A1026,[7]PRIORIZADOS!$A:$B,2,FALSE)),"")</f>
        <v>12</v>
      </c>
      <c r="C1026" s="11" t="str">
        <f>IFERROR(IF(VLOOKUP(A1026,[7]PRIORIZADOS!$A:$C,3,FALSE)="","",VLOOKUP(A1026,[7]PRIORIZADOS!$A:$C,3,FALSE)),"")</f>
        <v>FONTIBÓN</v>
      </c>
      <c r="D1026" s="69" t="str">
        <f>IFERROR(IF(VLOOKUP(A1026,[7]PRIORIZADOS!$A:$D,4,FALSE)="","",VLOOKUP(A1026,[7]PRIORIZADOS!$A:$D,4,FALSE)),"")</f>
        <v>PRIVADO</v>
      </c>
      <c r="E1026" s="69" t="str">
        <f>IFERROR(IF(VLOOKUP(A1026,[7]PRIORIZADOS!$A:$E,5,FALSE)="","",VLOOKUP(A1026,[7]PRIORIZADOS!$A:$E,5,FALSE)),"")</f>
        <v>EPBM</v>
      </c>
      <c r="F1026" s="11" t="str">
        <f>IFERROR(IF(VLOOKUP(A1026,[7]PRIORIZADOS!$A:$F,6,FALSE)="","",VLOOKUP(A1026,[7]PRIORIZADOS!$A:$F,6,FALSE)),"")</f>
        <v>COLEGIO_LIDERES_DEL_MAÑANA</v>
      </c>
      <c r="G1026" s="69" t="str">
        <f>IFERROR(IF(VLOOKUP(A1026,[7]PRIORIZADOS!$A:$G,7,FALSE)="","",VLOOKUP(A1026,[7]PRIORIZADOS!$A:$G,7,FALSE)),"")</f>
        <v>COLEGIO_LIDERES_DEL_MAÑANA</v>
      </c>
      <c r="H1026" s="11" t="str">
        <f>IFERROR(IF(VLOOKUP(A1026,[7]PRIORIZADOS!$A:$H,8,FALSE)="","",VLOOKUP(A1026,[7]PRIORIZADOS!$A:$H,8,FALSE)),"")</f>
        <v>Autoevaluación Institucional y Pruebas SABER 11</v>
      </c>
      <c r="I1026" s="11" t="str">
        <f>IFERROR(IF(VLOOKUP(A1026,[7]PRIORIZADOS!$A:$I,9,FALSE)="","",VLOOKUP(A1026,[7]PRIORIZADOS!$A:$I,9,FALSE)),"")</f>
        <v>EVALUACIÓN_CON_FINES_DE_MEJORAMIENTO.</v>
      </c>
      <c r="J1026" s="11" t="str">
        <f>IFERROR(IF(VLOOKUP(A1026,[7]PRIORIZADOS!$A:$J,10,FALSE)="","",VLOOKUP(A1026,[7]PRIORIZADOS!$A:$J,10,FALSE)),"")</f>
        <v>Revisar el calendario escolar, jornada escolar, la intensidad horaria mínima anual en cada nivel y las modificaciones que se realicen al mismo, de acuerdo con lo previsto en la normatividad vigente.</v>
      </c>
      <c r="K1026" s="11" t="str">
        <f>IFERROR(IF(VLOOKUP(A1026,[7]PRIORIZADOS!$A:$K,11,FALSE)="","",VLOOKUP(A1026,[7]PRIORIZADOS!$A:$K,11,FALSE)),"")</f>
        <v>GLORIA INES AMAYA RAMÍREZ</v>
      </c>
      <c r="L1026" s="11" t="str">
        <f>IFERROR(IF(VLOOKUP(A1026,[7]PRIORIZADOS!$A:$L,12,FALSE)="","",VLOOKUP(A1026,[7]PRIORIZADOS!$A:$L,12,FALSE)),"")</f>
        <v>JORGE WILLIAM BONILLA ROMERO</v>
      </c>
      <c r="M1026" s="156">
        <f>IFERROR(IF(VLOOKUP(A1026,[7]PRIORIZADOS!$A:$M,13,FALSE)="","",VLOOKUP(A1026,[7]PRIORIZADOS!$A:$M,13,FALSE)),"")</f>
        <v>45758</v>
      </c>
      <c r="N1026" s="156">
        <f>IFERROR(IF(VLOOKUP(A1026,[7]PRIORIZADOS!$A:$N,14,FALSE)="","",VLOOKUP(A1026,[7]PRIORIZADOS!$A:$N,14,FALSE)),"")</f>
        <v>45772</v>
      </c>
      <c r="O1026" s="156">
        <f>IFERROR(IF(VLOOKUP(A1026,[7]PRIORIZADOS!$A:$O,15,FALSE)="","",VLOOKUP(A1026,[7]PRIORIZADOS!$A:$O,15,FALSE)),"")</f>
        <v>45772</v>
      </c>
      <c r="P1026" s="11" t="str">
        <f>IFERROR(IF(VLOOKUP(A1026,[7]PRIORIZADOS!$A:$P,16,FALSE)="","",VLOOKUP(A1026,[7]PRIORIZADOS!$A:$P,16,FALSE)),"")</f>
        <v>Visitas de evaluación con fines de seguimiento</v>
      </c>
      <c r="Q1026" s="7" t="s">
        <v>190</v>
      </c>
      <c r="R1026" s="11" t="str">
        <f>IFERROR(IF(VLOOKUP(A1026,[7]PRIORIZADOS!$A:$R,18,FALSE)="","",VLOOKUP(A1026,[7]PRIORIZADOS!$A:$R,18,FALSE)),"")</f>
        <v>Calendario escolar ajustado a norma para los niveles de preescolar y básica primaria.</v>
      </c>
      <c r="S1026" s="11" t="str">
        <f>IFERROR(IF(VLOOKUP(A1026,[7]PRIORIZADOS!$A:$S,19,FALSE)="","",VLOOKUP(A1026,[7]PRIORIZADOS!$A:$S,19,FALSE)),"")</f>
        <v>Se está dando cumplimiento a la normatividad relacionada.</v>
      </c>
      <c r="T1026" s="70" t="str">
        <f>IFERROR(IF(VLOOKUP(A1026,[7]PRIORIZADOS!$A:$T,20,FALSE)="","",VLOOKUP(A1026,[7]PRIORIZADOS!$A:$T,20,FALSE)),"")</f>
        <v>No</v>
      </c>
      <c r="U1026" s="11" t="str">
        <f>IFERROR(IF(VLOOKUP(A1026,[7]PRIORIZADOS!$A:$U,21,FALSE)="","",VLOOKUP(A1026,[7]PRIORIZADOS!$A:$U,21,FALSE)),"")</f>
        <v>En visita de seguimiento en el mes de octubre de  2025, se verificara la ejecución de estas acciones.</v>
      </c>
    </row>
    <row r="1027" spans="1:21" s="1" customFormat="1" ht="57.75">
      <c r="A1027" s="69">
        <f>IF([7]PRIORIZADOS!A101="","",[7]PRIORIZADOS!A101)</f>
        <v>979</v>
      </c>
      <c r="B1027" s="87">
        <f>IFERROR(IF(VLOOKUP(A1027,[7]PRIORIZADOS!$A:$B,2,FALSE)="","",VLOOKUP(A1027,[7]PRIORIZADOS!$A:$B,2,FALSE)),"")</f>
        <v>12</v>
      </c>
      <c r="C1027" s="11" t="str">
        <f>IFERROR(IF(VLOOKUP(A1027,[7]PRIORIZADOS!$A:$C,3,FALSE)="","",VLOOKUP(A1027,[7]PRIORIZADOS!$A:$C,3,FALSE)),"")</f>
        <v>FONTIBÓN</v>
      </c>
      <c r="D1027" s="69" t="str">
        <f>IFERROR(IF(VLOOKUP(A1027,[7]PRIORIZADOS!$A:$D,4,FALSE)="","",VLOOKUP(A1027,[7]PRIORIZADOS!$A:$D,4,FALSE)),"")</f>
        <v>PRIVADO</v>
      </c>
      <c r="E1027" s="69" t="str">
        <f>IFERROR(IF(VLOOKUP(A1027,[7]PRIORIZADOS!$A:$E,5,FALSE)="","",VLOOKUP(A1027,[7]PRIORIZADOS!$A:$E,5,FALSE)),"")</f>
        <v>EPBM</v>
      </c>
      <c r="F1027" s="11" t="str">
        <f>IFERROR(IF(VLOOKUP(A1027,[7]PRIORIZADOS!$A:$F,6,FALSE)="","",VLOOKUP(A1027,[7]PRIORIZADOS!$A:$F,6,FALSE)),"")</f>
        <v>COLEGIO_LIDERES_DEL_MAÑANA</v>
      </c>
      <c r="G1027" s="69" t="str">
        <f>IFERROR(IF(VLOOKUP(A1027,[7]PRIORIZADOS!$A:$G,7,FALSE)="","",VLOOKUP(A1027,[7]PRIORIZADOS!$A:$G,7,FALSE)),"")</f>
        <v>COLEGIO_LIDERES_DEL_MAÑANA</v>
      </c>
      <c r="H1027" s="11" t="str">
        <f>IFERROR(IF(VLOOKUP(A1027,[7]PRIORIZADOS!$A:$H,8,FALSE)="","",VLOOKUP(A1027,[7]PRIORIZADOS!$A:$H,8,FALSE)),"")</f>
        <v>Autoevaluación Institucional y Pruebas SABER 11</v>
      </c>
      <c r="I1027" s="11" t="str">
        <f>IFERROR(IF(VLOOKUP(A1027,[7]PRIORIZADOS!$A:$I,9,FALSE)="","",VLOOKUP(A1027,[7]PRIORIZADOS!$A:$I,9,FALSE)),"")</f>
        <v>EVALUACIÓN_CON_FINES_DE_MEJORAMIENTO.</v>
      </c>
      <c r="J1027" s="11" t="str">
        <f>IFERROR(IF(VLOOKUP(A1027,[7]PRIORIZADOS!$A:$J,10,FALSE)="","",VLOOKUP(A1027,[7]PRIORIZADOS!$A:$J,10,FALSE)),"")</f>
        <v>Verificar el funcionamiento del Gobierno Escolar e instancias de participación con base en la información sobre conformación reportada por la institución educativa.</v>
      </c>
      <c r="K1027" s="11" t="str">
        <f>IFERROR(IF(VLOOKUP(A1027,[7]PRIORIZADOS!$A:$K,11,FALSE)="","",VLOOKUP(A1027,[7]PRIORIZADOS!$A:$K,11,FALSE)),"")</f>
        <v>GLORIA INES AMAYA RAMÍREZ</v>
      </c>
      <c r="L1027" s="11" t="str">
        <f>IFERROR(IF(VLOOKUP(A1027,[7]PRIORIZADOS!$A:$L,12,FALSE)="","",VLOOKUP(A1027,[7]PRIORIZADOS!$A:$L,12,FALSE)),"")</f>
        <v>JORGE WILLIAM BONILLA ROMERO</v>
      </c>
      <c r="M1027" s="156">
        <f>IFERROR(IF(VLOOKUP(A1027,[7]PRIORIZADOS!$A:$M,13,FALSE)="","",VLOOKUP(A1027,[7]PRIORIZADOS!$A:$M,13,FALSE)),"")</f>
        <v>45758</v>
      </c>
      <c r="N1027" s="156">
        <f>IFERROR(IF(VLOOKUP(A1027,[7]PRIORIZADOS!$A:$N,14,FALSE)="","",VLOOKUP(A1027,[7]PRIORIZADOS!$A:$N,14,FALSE)),"")</f>
        <v>45772</v>
      </c>
      <c r="O1027" s="156">
        <f>IFERROR(IF(VLOOKUP(A1027,[7]PRIORIZADOS!$A:$O,15,FALSE)="","",VLOOKUP(A1027,[7]PRIORIZADOS!$A:$O,15,FALSE)),"")</f>
        <v>45772</v>
      </c>
      <c r="P1027" s="11" t="str">
        <f>IFERROR(IF(VLOOKUP(A1027,[7]PRIORIZADOS!$A:$P,16,FALSE)="","",VLOOKUP(A1027,[7]PRIORIZADOS!$A:$P,16,FALSE)),"")</f>
        <v>Visitas de evaluación con fines de seguimiento</v>
      </c>
      <c r="Q1027" s="7" t="s">
        <v>190</v>
      </c>
      <c r="R1027" s="11" t="str">
        <f>IFERROR(IF(VLOOKUP(A1027,[7]PRIORIZADOS!$A:$R,18,FALSE)="","",VLOOKUP(A1027,[7]PRIORIZADOS!$A:$R,18,FALSE)),"")</f>
        <v xml:space="preserve">Se evidencia conformación de las instancias de gobierno escolar. </v>
      </c>
      <c r="S1027" s="11" t="str">
        <f>IFERROR(IF(VLOOKUP(A1027,[7]PRIORIZADOS!$A:$S,19,FALSE)="","",VLOOKUP(A1027,[7]PRIORIZADOS!$A:$S,19,FALSE)),"")</f>
        <v>Luego de conformarse el gobierno escolar e instancias pudo tramitar el ingreso a la plataforma SAE, para el cargue de las respectivas actas.</v>
      </c>
      <c r="T1027" s="70" t="str">
        <f>IFERROR(IF(VLOOKUP(A1027,[7]PRIORIZADOS!$A:$T,20,FALSE)="","",VLOOKUP(A1027,[7]PRIORIZADOS!$A:$T,20,FALSE)),"")</f>
        <v>No</v>
      </c>
      <c r="U1027" s="11" t="str">
        <f>IFERROR(IF(VLOOKUP(A1027,[7]PRIORIZADOS!$A:$U,21,FALSE)="","",VLOOKUP(A1027,[7]PRIORIZADOS!$A:$U,21,FALSE)),"")</f>
        <v>En visita de seguimiento en el mes de octubre 2025 se verificara su avance en el desarrollo del plan de trabajo de cada una de las instancias del gobierno escolar.</v>
      </c>
    </row>
    <row r="1028" spans="1:21" s="1" customFormat="1" ht="57.75">
      <c r="A1028" s="69">
        <f>IF([7]PRIORIZADOS!A102="","",[7]PRIORIZADOS!A102)</f>
        <v>980</v>
      </c>
      <c r="B1028" s="87">
        <f>IFERROR(IF(VLOOKUP(A1028,[7]PRIORIZADOS!$A:$B,2,FALSE)="","",VLOOKUP(A1028,[7]PRIORIZADOS!$A:$B,2,FALSE)),"")</f>
        <v>12</v>
      </c>
      <c r="C1028" s="11" t="str">
        <f>IFERROR(IF(VLOOKUP(A1028,[7]PRIORIZADOS!$A:$C,3,FALSE)="","",VLOOKUP(A1028,[7]PRIORIZADOS!$A:$C,3,FALSE)),"")</f>
        <v>FONTIBÓN</v>
      </c>
      <c r="D1028" s="69" t="str">
        <f>IFERROR(IF(VLOOKUP(A1028,[7]PRIORIZADOS!$A:$D,4,FALSE)="","",VLOOKUP(A1028,[7]PRIORIZADOS!$A:$D,4,FALSE)),"")</f>
        <v>PRIVADO</v>
      </c>
      <c r="E1028" s="69" t="str">
        <f>IFERROR(IF(VLOOKUP(A1028,[7]PRIORIZADOS!$A:$E,5,FALSE)="","",VLOOKUP(A1028,[7]PRIORIZADOS!$A:$E,5,FALSE)),"")</f>
        <v>EPBM</v>
      </c>
      <c r="F1028" s="11" t="str">
        <f>IFERROR(IF(VLOOKUP(A1028,[7]PRIORIZADOS!$A:$F,6,FALSE)="","",VLOOKUP(A1028,[7]PRIORIZADOS!$A:$F,6,FALSE)),"")</f>
        <v>COLEGIO_LIDERES_DEL_MAÑANA</v>
      </c>
      <c r="G1028" s="69" t="str">
        <f>IFERROR(IF(VLOOKUP(A1028,[7]PRIORIZADOS!$A:$G,7,FALSE)="","",VLOOKUP(A1028,[7]PRIORIZADOS!$A:$G,7,FALSE)),"")</f>
        <v>COLEGIO_LIDERES_DEL_MAÑANA</v>
      </c>
      <c r="H1028" s="11" t="str">
        <f>IFERROR(IF(VLOOKUP(A1028,[7]PRIORIZADOS!$A:$H,8,FALSE)="","",VLOOKUP(A1028,[7]PRIORIZADOS!$A:$H,8,FALSE)),"")</f>
        <v>Autoevaluación Institucional y Pruebas SABER 11</v>
      </c>
      <c r="I1028" s="11" t="str">
        <f>IFERROR(IF(VLOOKUP(A1028,[7]PRIORIZADOS!$A:$I,9,FALSE)="","",VLOOKUP(A1028,[7]PRIORIZADOS!$A:$I,9,FALSE)),"")</f>
        <v>EVALUACIÓN_CON_FINES_DE_MEJORAMIENTO.</v>
      </c>
      <c r="J1028" s="11" t="str">
        <f>IFERROR(IF(VLOOKUP(A1028,[7]PRIORIZADOS!$A:$J,10,FALSE)="","",VLOOKUP(A1028,[7]PRIORIZADOS!$A:$J,10,FALSE)),"")</f>
        <v>Verificar las condiciones en cuanto a: la estructura administrativa, condiciones de la planta física y medios educativos adecuados.</v>
      </c>
      <c r="K1028" s="11" t="str">
        <f>IFERROR(IF(VLOOKUP(A1028,[7]PRIORIZADOS!$A:$K,11,FALSE)="","",VLOOKUP(A1028,[7]PRIORIZADOS!$A:$K,11,FALSE)),"")</f>
        <v>GLORIA INES AMAYA RAMÍREZ</v>
      </c>
      <c r="L1028" s="11" t="str">
        <f>IFERROR(IF(VLOOKUP(A1028,[7]PRIORIZADOS!$A:$L,12,FALSE)="","",VLOOKUP(A1028,[7]PRIORIZADOS!$A:$L,12,FALSE)),"")</f>
        <v>JORGE WILLIAM BONILLA ROMERO</v>
      </c>
      <c r="M1028" s="156">
        <f>IFERROR(IF(VLOOKUP(A1028,[7]PRIORIZADOS!$A:$M,13,FALSE)="","",VLOOKUP(A1028,[7]PRIORIZADOS!$A:$M,13,FALSE)),"")</f>
        <v>45758</v>
      </c>
      <c r="N1028" s="156">
        <f>IFERROR(IF(VLOOKUP(A1028,[7]PRIORIZADOS!$A:$N,14,FALSE)="","",VLOOKUP(A1028,[7]PRIORIZADOS!$A:$N,14,FALSE)),"")</f>
        <v>45772</v>
      </c>
      <c r="O1028" s="156">
        <f>IFERROR(IF(VLOOKUP(A1028,[7]PRIORIZADOS!$A:$O,15,FALSE)="","",VLOOKUP(A1028,[7]PRIORIZADOS!$A:$O,15,FALSE)),"")</f>
        <v>45772</v>
      </c>
      <c r="P1028" s="11" t="str">
        <f>IFERROR(IF(VLOOKUP(A1028,[7]PRIORIZADOS!$A:$P,16,FALSE)="","",VLOOKUP(A1028,[7]PRIORIZADOS!$A:$P,16,FALSE)),"")</f>
        <v>Visitas de evaluación con fines de seguimiento</v>
      </c>
      <c r="Q1028" s="7" t="s">
        <v>190</v>
      </c>
      <c r="R1028" s="11" t="str">
        <f>IFERROR(IF(VLOOKUP(A1028,[7]PRIORIZADOS!$A:$R,18,FALSE)="","",VLOOKUP(A1028,[7]PRIORIZADOS!$A:$R,18,FALSE)),"")</f>
        <v>Cumple con los requisitos legales.</v>
      </c>
      <c r="S1028" s="11" t="str">
        <f>IFERROR(IF(VLOOKUP(A1028,[7]PRIORIZADOS!$A:$S,19,FALSE)="","",VLOOKUP(A1028,[7]PRIORIZADOS!$A:$S,19,FALSE)),"")</f>
        <v>Se está dando cumplimiento a la normatividad relacionada.</v>
      </c>
      <c r="T1028" s="70" t="str">
        <f>IFERROR(IF(VLOOKUP(A1028,[7]PRIORIZADOS!$A:$T,20,FALSE)="","",VLOOKUP(A1028,[7]PRIORIZADOS!$A:$T,20,FALSE)),"")</f>
        <v>No</v>
      </c>
      <c r="U1028" s="11" t="str">
        <f>IFERROR(IF(VLOOKUP(A1028,[7]PRIORIZADOS!$A:$U,21,FALSE)="","",VLOOKUP(A1028,[7]PRIORIZADOS!$A:$U,21,FALSE)),"")</f>
        <v>Se verificarán estos aspectos en caso de queja o solicitud de la IE.</v>
      </c>
    </row>
    <row r="1029" spans="1:21" s="1" customFormat="1" ht="114" customHeight="1">
      <c r="A1029" s="69">
        <f>IF([8]PRIORIZADOS!A8="","",[8]PRIORIZADOS!A8)</f>
        <v>980</v>
      </c>
      <c r="B1029" s="70">
        <f>IFERROR(IF(VLOOKUP(A1029,[8]PRIORIZADOS!$A:$B,2,FALSE)="","",VLOOKUP(A1029,[8]PRIORIZADOS!$A:$B,2,FALSE)),"")</f>
        <v>1</v>
      </c>
      <c r="C1029" s="11" t="str">
        <f>IFERROR(IF(VLOOKUP(A1029,[8]PRIORIZADOS!$A:$C,3,FALSE)="","",VLOOKUP(A1029,[8]PRIORIZADOS!$A:$C,3,FALSE)),"")</f>
        <v>KENNEDY</v>
      </c>
      <c r="D1029" s="11" t="str">
        <f>IFERROR(IF(VLOOKUP(A1029,[8]PRIORIZADOS!$A:$D,4,FALSE)="","",VLOOKUP(A1029,[8]PRIORIZADOS!$A:$D,4,FALSE)),"")</f>
        <v>PRIVADO</v>
      </c>
      <c r="E1029" s="11" t="str">
        <f>IFERROR(IF(VLOOKUP(A1029,[8]PRIORIZADOS!$A:$E,5,FALSE)="","",VLOOKUP(A1029,[8]PRIORIZADOS!$A:$E,5,FALSE)),"")</f>
        <v>Educación de Jóvenes y Adultos</v>
      </c>
      <c r="F1029" s="11" t="str">
        <f>IFERROR(IF(VLOOKUP(A1029,[8]PRIORIZADOS!$A:$F,6,FALSE)="","",VLOOKUP(A1029,[8]PRIORIZADOS!$A:$F,6,FALSE)),"")</f>
        <v>CENTRO_DE_EDUCACION_ROBERT_HOOKE</v>
      </c>
      <c r="G1029" s="11" t="str">
        <f>IFERROR(IF(VLOOKUP(A1029,[8]PRIORIZADOS!$A:$G,7,FALSE)="","",VLOOKUP(A1029,[8]PRIORIZADOS!$A:$G,7,FALSE)),"")</f>
        <v>CENTRO DE EDUCACION ROBERT HOOKE</v>
      </c>
      <c r="H1029" s="11" t="str">
        <f>IFERROR(IF(VLOOKUP(A1029,[8]PRIORIZADOS!$A:$H,8,FALSE)="","",VLOOKUP(A1029,[8]PRIORIZADOS!$A:$H,8,FALSE)),"")</f>
        <v>Autoevaluación Institucional y Pruebas SABER 11</v>
      </c>
      <c r="I1029" s="11" t="str">
        <f>IFERROR(IF(VLOOKUP(A1029,[8]PRIORIZADOS!$A:$I,9,FALSE)="","",VLOOKUP(A1029,[8]PRIORIZADOS!$A:$I,9,FALSE)),"")</f>
        <v>SEGUIMIENTO_Y_SUPERVISIÓN.</v>
      </c>
      <c r="J1029" s="11" t="str">
        <f>IFERROR(IF(VLOOKUP(A1029,[8]PRIORIZADOS!$A:$J,10,FALSE)="","",VLOOKUP(A1029,[8]PRIORIZADOS!$A:$J,10,FALSE)),"")</f>
        <v>Realizar visitas para verificar la información registrada sobre la autoevaluación institucional en el aplicativo EVI, a los establecimientos de educación formal no oficial.</v>
      </c>
      <c r="K1029" s="11" t="str">
        <f>IFERROR(IF(VLOOKUP(A1029,[8]PRIORIZADOS!$A:$K,11,FALSE)="","",VLOOKUP(A1029,[8]PRIORIZADOS!$A:$K,11,FALSE)),"")</f>
        <v>LUCY GONZÁLEZ LERMA</v>
      </c>
      <c r="L1029" s="11" t="str">
        <f>IFERROR(IF(VLOOKUP(A1029,[8]PRIORIZADOS!$A:$L,12,FALSE)="","",VLOOKUP(A1029,[8]PRIORIZADOS!$A:$L,12,FALSE)),"")</f>
        <v>VIVANA PILAR BOHÓRQUEZ DÍAZ</v>
      </c>
      <c r="M1029" s="71">
        <f>IFERROR(IF(VLOOKUP(A1029,[8]PRIORIZADOS!$A:$M,13,FALSE)="","",VLOOKUP(A1029,[8]PRIORIZADOS!$A:$M,13,FALSE)),"")</f>
        <v>45734</v>
      </c>
      <c r="N1029" s="71">
        <f>IFERROR(IF(VLOOKUP(A1029,[8]PRIORIZADOS!$A:$N,14,FALSE)="","",VLOOKUP(A1029,[8]PRIORIZADOS!$A:$N,14,FALSE)),"")</f>
        <v>45751</v>
      </c>
      <c r="O1029" s="71">
        <f>IFERROR(IF(VLOOKUP(A1029,[8]PRIORIZADOS!$A:$O,15,FALSE)="","",VLOOKUP(A1029,[8]PRIORIZADOS!$A:$O,15,FALSE)),"")</f>
        <v>45751</v>
      </c>
      <c r="P1029" s="11" t="str">
        <f>IFERROR(IF(VLOOKUP(A1029,[8]PRIORIZADOS!$A:$P,16,FALSE)="","",VLOOKUP(A1029,[8]PRIORIZADOS!$A:$P,16,FALSE)),"")</f>
        <v>Visitas de evaluación con fines de mejoramiento</v>
      </c>
      <c r="Q1029" s="107" t="s">
        <v>191</v>
      </c>
      <c r="R1029" s="11" t="str">
        <f>IFERROR(IF(VLOOKUP(A1029,[8]PRIORIZADOS!$A:$R,18,FALSE)="","",VLOOKUP(A1029,[8]PRIORIZADOS!$A:$R,18,FALSE)),"")</f>
        <v xml:space="preserve">La información referenciada en el EVI es incoherente en relación con los aspectos identificados en relación con la infraestructura, el mobiliario, la organización administrativa y académica.  Gran parte de lo declarado carece de soportes documentales. </v>
      </c>
      <c r="S1029" s="11" t="str">
        <f>IFERROR(IF(VLOOKUP(A1029,[8]PRIORIZADOS!$A:$S,19,FALSE)="","",VLOOKUP(A1029,[8]PRIORIZADOS!$A:$S,19,FALSE)),"")</f>
        <v>La Institución Educativa debe validar la información de tal manera que lo registrado en el EVI sea coherente con la realidad institucional.</v>
      </c>
      <c r="T1029" s="70" t="str">
        <f>IFERROR(IF(VLOOKUP(A1029,[8]PRIORIZADOS!$A:$T,20,FALSE)="","",VLOOKUP(A1029,[8]PRIORIZADOS!$A:$T,20,FALSE)),"")</f>
        <v>Si</v>
      </c>
      <c r="U1029" s="11" t="str">
        <f>IFERROR(IF(VLOOKUP(A1029,[8]PRIORIZADOS!$A:$U,21,FALSE)="","",VLOOKUP(A1029,[8]PRIORIZADOS!$A:$U,21,FALSE)),"")</f>
        <v>Seguimiento al cumplimiento del plan de mejoramiento, en la próxima vigencia.</v>
      </c>
    </row>
    <row r="1030" spans="1:21" s="1" customFormat="1" ht="84">
      <c r="A1030" s="69">
        <f>IF([8]PRIORIZADOS!A9="","",[8]PRIORIZADOS!A9)</f>
        <v>981</v>
      </c>
      <c r="B1030" s="70">
        <v>1</v>
      </c>
      <c r="C1030" s="11" t="str">
        <f>IFERROR(IF(VLOOKUP(A1030,[8]PRIORIZADOS!$A:$C,3,FALSE)="","",VLOOKUP(A1030,[8]PRIORIZADOS!$A:$C,3,FALSE)),"")</f>
        <v>KENNEDY</v>
      </c>
      <c r="D1030" s="11" t="str">
        <f>IFERROR(IF(VLOOKUP(A1030,[8]PRIORIZADOS!$A:$D,4,FALSE)="","",VLOOKUP(A1030,[8]PRIORIZADOS!$A:$D,4,FALSE)),"")</f>
        <v>PRIVADO</v>
      </c>
      <c r="E1030" s="11" t="str">
        <f>IFERROR(IF(VLOOKUP(A1030,[8]PRIORIZADOS!$A:$E,5,FALSE)="","",VLOOKUP(A1030,[8]PRIORIZADOS!$A:$E,5,FALSE)),"")</f>
        <v>Educación de Jóvenes y Adultos</v>
      </c>
      <c r="F1030" s="11" t="str">
        <f>IFERROR(IF(VLOOKUP(A1030,[8]PRIORIZADOS!$A:$F,6,FALSE)="","",VLOOKUP(A1030,[8]PRIORIZADOS!$A:$F,6,FALSE)),"")</f>
        <v>CENTRO_DE_EDUCACION_ROBERT_HOOKE</v>
      </c>
      <c r="G1030" s="11" t="str">
        <f>IFERROR(IF(VLOOKUP(A1030,[8]PRIORIZADOS!$A:$G,7,FALSE)="","",VLOOKUP(A1030,[8]PRIORIZADOS!$A:$G,7,FALSE)),"")</f>
        <v>CENTRO DE EDUCACION ROBERT HOOKE</v>
      </c>
      <c r="H1030" s="11" t="str">
        <f>IFERROR(IF(VLOOKUP(A1030,[8]PRIORIZADOS!$A:$H,8,FALSE)="","",VLOOKUP(A1030,[8]PRIORIZADOS!$A:$H,8,FALSE)),"")</f>
        <v>Autoevaluación Institucional y Pruebas SABER 11</v>
      </c>
      <c r="I1030" s="11" t="str">
        <f>IFERROR(IF(VLOOKUP(A1030,[8]PRIORIZADOS!$A:$I,9,FALSE)="","",VLOOKUP(A1030,[8]PRIORIZADOS!$A:$I,9,FALSE)),"")</f>
        <v>SEGUIMIENTO_Y_SUPERVISIÓN.</v>
      </c>
      <c r="J1030" s="11" t="str">
        <f>IFERROR(IF(VLOOKUP(A1030,[8]PRIORIZADOS!$A:$J,10,FALSE)="","",VLOOKUP(A1030,[8]PRIORIZADOS!$A:$J,10,FALSE)),"")</f>
        <v>Proponer estrategias en la formulación, verificar su elaboración y realizar seguimiento semestral al desarrollo de  las acciones establecidas en los planes de mejoramiento por pruebas SABER 11 de los establecimientos de educación formal.</v>
      </c>
      <c r="K1030" s="11" t="str">
        <f>IFERROR(IF(VLOOKUP(A1030,[8]PRIORIZADOS!$A:$K,11,FALSE)="","",VLOOKUP(A1030,[8]PRIORIZADOS!$A:$K,11,FALSE)),"")</f>
        <v>LUCY GONZÁLEZ LERMA</v>
      </c>
      <c r="L1030" s="11" t="str">
        <f>IFERROR(IF(VLOOKUP(A1030,[8]PRIORIZADOS!$A:$L,12,FALSE)="","",VLOOKUP(A1030,[8]PRIORIZADOS!$A:$L,12,FALSE)),"")</f>
        <v>VIVANA PILAR BOHÓRQUEZ DÍAZ</v>
      </c>
      <c r="M1030" s="71">
        <f>IFERROR(IF(VLOOKUP(A1030,[8]PRIORIZADOS!$A:$M,13,FALSE)="","",VLOOKUP(A1030,[8]PRIORIZADOS!$A:$M,13,FALSE)),"")</f>
        <v>45734</v>
      </c>
      <c r="N1030" s="71">
        <f>IFERROR(IF(VLOOKUP(A1030,[8]PRIORIZADOS!$A:$N,14,FALSE)="","",VLOOKUP(A1030,[8]PRIORIZADOS!$A:$N,14,FALSE)),"")</f>
        <v>45751</v>
      </c>
      <c r="O1030" s="71">
        <f>IFERROR(IF(VLOOKUP(A1030,[8]PRIORIZADOS!$A:$O,15,FALSE)="","",VLOOKUP(A1030,[8]PRIORIZADOS!$A:$O,15,FALSE)),"")</f>
        <v>45751</v>
      </c>
      <c r="P1030" s="11" t="str">
        <f>IFERROR(IF(VLOOKUP(A1030,[8]PRIORIZADOS!$A:$P,16,FALSE)="","",VLOOKUP(A1030,[8]PRIORIZADOS!$A:$P,16,FALSE)),"")</f>
        <v>Visitas de evaluación con fines de mejoramiento</v>
      </c>
      <c r="Q1030" s="107" t="s">
        <v>191</v>
      </c>
      <c r="R1030" s="11" t="str">
        <f>IFERROR(IF(VLOOKUP(A1030,[8]PRIORIZADOS!$A:$R,18,FALSE)="","",VLOOKUP(A1030,[8]PRIORIZADOS!$A:$R,18,FALSE)),"")</f>
        <v xml:space="preserve">El establecimiento educativo identifica que se encuentra en la categoría D en las pruebas SABER 11; sin embargo, no ha realizado el análisis de estos resultados, por lo que no ha elaborado un plan de mejoramiento que le permita avanzar en la consolidación de mejores resultados.  </v>
      </c>
      <c r="S1030" s="11" t="str">
        <f>IFERROR(IF(VLOOKUP(A1030,[8]PRIORIZADOS!$A:$S,19,FALSE)="","",VLOOKUP(A1030,[8]PRIORIZADOS!$A:$S,19,FALSE)),"")</f>
        <v>Realizar el análisis de los resultados de las pruebas SABER 11, elaborar e implementar el respectivo plan de mejoramiento.</v>
      </c>
      <c r="T1030" s="70" t="str">
        <f>IFERROR(IF(VLOOKUP(A1030,[8]PRIORIZADOS!$A:$T,20,FALSE)="","",VLOOKUP(A1030,[8]PRIORIZADOS!$A:$T,20,FALSE)),"")</f>
        <v>Si</v>
      </c>
      <c r="U1030" s="11" t="str">
        <f>IFERROR(IF(VLOOKUP(A1030,[8]PRIORIZADOS!$A:$U,21,FALSE)="","",VLOOKUP(A1030,[8]PRIORIZADOS!$A:$U,21,FALSE)),"")</f>
        <v>Seguimiento al cumplimiento del plan de mejoramiento.</v>
      </c>
    </row>
    <row r="1031" spans="1:21" s="1" customFormat="1" ht="84">
      <c r="A1031" s="69">
        <f>IF([8]PRIORIZADOS!A10="","",[8]PRIORIZADOS!A10)</f>
        <v>982</v>
      </c>
      <c r="B1031" s="70">
        <v>1</v>
      </c>
      <c r="C1031" s="11" t="str">
        <f>IFERROR(IF(VLOOKUP(A1031,[8]PRIORIZADOS!$A:$C,3,FALSE)="","",VLOOKUP(A1031,[8]PRIORIZADOS!$A:$C,3,FALSE)),"")</f>
        <v>KENNEDY</v>
      </c>
      <c r="D1031" s="11" t="str">
        <f>IFERROR(IF(VLOOKUP(A1031,[8]PRIORIZADOS!$A:$D,4,FALSE)="","",VLOOKUP(A1031,[8]PRIORIZADOS!$A:$D,4,FALSE)),"")</f>
        <v>PRIVADO</v>
      </c>
      <c r="E1031" s="11" t="str">
        <f>IFERROR(IF(VLOOKUP(A1031,[8]PRIORIZADOS!$A:$E,5,FALSE)="","",VLOOKUP(A1031,[8]PRIORIZADOS!$A:$E,5,FALSE)),"")</f>
        <v>Educación de Jóvenes y Adultos</v>
      </c>
      <c r="F1031" s="11" t="str">
        <f>IFERROR(IF(VLOOKUP(A1031,[8]PRIORIZADOS!$A:$F,6,FALSE)="","",VLOOKUP(A1031,[8]PRIORIZADOS!$A:$F,6,FALSE)),"")</f>
        <v>CENTRO_DE_EDUCACION_ROBERT_HOOKE</v>
      </c>
      <c r="G1031" s="11" t="str">
        <f>IFERROR(IF(VLOOKUP(A1031,[8]PRIORIZADOS!$A:$G,7,FALSE)="","",VLOOKUP(A1031,[8]PRIORIZADOS!$A:$G,7,FALSE)),"")</f>
        <v>CENTRO DE EDUCACION ROBERT HOOKE</v>
      </c>
      <c r="H1031" s="11" t="str">
        <f>IFERROR(IF(VLOOKUP(A1031,[8]PRIORIZADOS!$A:$H,8,FALSE)="","",VLOOKUP(A1031,[8]PRIORIZADOS!$A:$H,8,FALSE)),"")</f>
        <v>Autoevaluación Institucional y Pruebas SABER 11</v>
      </c>
      <c r="I1031" s="11" t="str">
        <f>IFERROR(IF(VLOOKUP(A1031,[8]PRIORIZADOS!$A:$I,9,FALSE)="","",VLOOKUP(A1031,[8]PRIORIZADOS!$A:$I,9,FALSE)),"")</f>
        <v>SEGUIMIENTO_Y_SUPERVISIÓN.</v>
      </c>
      <c r="J1031" s="11" t="str">
        <f>IFERROR(IF(VLOOKUP(A1031,[8]PRIORIZADOS!$A:$J,10,FALSE)="","",VLOOKUP(A1031,[8]PRIORIZADOS!$A:$J,10,FALSE)),"")</f>
        <v xml:space="preserve">Verificar la implementación por parte de los colegios, de acciones realizadas para la prevención y atención de las situaciones de convivencia en el entorno escolar, según lo establecido en la Directiva 01 de 2022 del MEN. </v>
      </c>
      <c r="K1031" s="11" t="str">
        <f>IFERROR(IF(VLOOKUP(A1031,[8]PRIORIZADOS!$A:$K,11,FALSE)="","",VLOOKUP(A1031,[8]PRIORIZADOS!$A:$K,11,FALSE)),"")</f>
        <v>LUCY GONZÁLEZ LERMA</v>
      </c>
      <c r="L1031" s="11" t="str">
        <f>IFERROR(IF(VLOOKUP(A1031,[8]PRIORIZADOS!$A:$L,12,FALSE)="","",VLOOKUP(A1031,[8]PRIORIZADOS!$A:$L,12,FALSE)),"")</f>
        <v>VIVANA PILAR BOHÓRQUEZ DÍAZ</v>
      </c>
      <c r="M1031" s="71">
        <f>IFERROR(IF(VLOOKUP(A1031,[8]PRIORIZADOS!$A:$M,13,FALSE)="","",VLOOKUP(A1031,[8]PRIORIZADOS!$A:$M,13,FALSE)),"")</f>
        <v>45734</v>
      </c>
      <c r="N1031" s="71">
        <f>IFERROR(IF(VLOOKUP(A1031,[8]PRIORIZADOS!$A:$N,14,FALSE)="","",VLOOKUP(A1031,[8]PRIORIZADOS!$A:$N,14,FALSE)),"")</f>
        <v>45751</v>
      </c>
      <c r="O1031" s="71">
        <f>IFERROR(IF(VLOOKUP(A1031,[8]PRIORIZADOS!$A:$O,15,FALSE)="","",VLOOKUP(A1031,[8]PRIORIZADOS!$A:$O,15,FALSE)),"")</f>
        <v>45751</v>
      </c>
      <c r="P1031" s="11" t="str">
        <f>IFERROR(IF(VLOOKUP(A1031,[8]PRIORIZADOS!$A:$P,16,FALSE)="","",VLOOKUP(A1031,[8]PRIORIZADOS!$A:$P,16,FALSE)),"")</f>
        <v>Visitas de evaluación con fines de mejoramiento</v>
      </c>
      <c r="Q1031" s="125" t="s">
        <v>191</v>
      </c>
      <c r="R1031" s="11" t="str">
        <f>IFERROR(IF(VLOOKUP(A1031,[8]PRIORIZADOS!$A:$R,18,FALSE)="","",VLOOKUP(A1031,[8]PRIORIZADOS!$A:$R,18,FALSE)),"")</f>
        <v xml:space="preserve">El servicio de orientación escolar no se cumple de acuerdo con la normatividad vigente, puesto que la profesional designada acompaña a la institución educativa una vez a la semana y algunas de las estrategias previstas desde esta área las asume la coordinadora de la sede. </v>
      </c>
      <c r="S1031" s="11" t="str">
        <f>IFERROR(IF(VLOOKUP(A1031,[8]PRIORIZADOS!$A:$S,19,FALSE)="","",VLOOKUP(A1031,[8]PRIORIZADOS!$A:$S,19,FALSE)),"")</f>
        <v>Fortalecer el ejercicio de la orientación escolar y organizar el archivo requerido en sus procesos de acompañamiento.</v>
      </c>
      <c r="T1031" s="70" t="str">
        <f>IFERROR(IF(VLOOKUP(A1031,[8]PRIORIZADOS!$A:$T,20,FALSE)="","",VLOOKUP(A1031,[8]PRIORIZADOS!$A:$T,20,FALSE)),"")</f>
        <v>Si</v>
      </c>
      <c r="U1031" s="11" t="str">
        <f>IFERROR(IF(VLOOKUP(A1031,[8]PRIORIZADOS!$A:$U,21,FALSE)="","",VLOOKUP(A1031,[8]PRIORIZADOS!$A:$U,21,FALSE)),"")</f>
        <v>Seguimiento al cumplimiento del plan de mejoramiento.</v>
      </c>
    </row>
    <row r="1032" spans="1:21" s="1" customFormat="1" ht="84">
      <c r="A1032" s="69">
        <f>IF([8]PRIORIZADOS!A11="","",[8]PRIORIZADOS!A11)</f>
        <v>983</v>
      </c>
      <c r="B1032" s="70">
        <v>1</v>
      </c>
      <c r="C1032" s="11" t="str">
        <f>IFERROR(IF(VLOOKUP(A1032,[8]PRIORIZADOS!$A:$C,3,FALSE)="","",VLOOKUP(A1032,[8]PRIORIZADOS!$A:$C,3,FALSE)),"")</f>
        <v>KENNEDY</v>
      </c>
      <c r="D1032" s="11" t="str">
        <f>IFERROR(IF(VLOOKUP(A1032,[8]PRIORIZADOS!$A:$D,4,FALSE)="","",VLOOKUP(A1032,[8]PRIORIZADOS!$A:$D,4,FALSE)),"")</f>
        <v>PRIVADO</v>
      </c>
      <c r="E1032" s="11" t="str">
        <f>IFERROR(IF(VLOOKUP(A1032,[8]PRIORIZADOS!$A:$E,5,FALSE)="","",VLOOKUP(A1032,[8]PRIORIZADOS!$A:$E,5,FALSE)),"")</f>
        <v>Educación de Jóvenes y Adultos</v>
      </c>
      <c r="F1032" s="11" t="str">
        <f>IFERROR(IF(VLOOKUP(A1032,[8]PRIORIZADOS!$A:$F,6,FALSE)="","",VLOOKUP(A1032,[8]PRIORIZADOS!$A:$F,6,FALSE)),"")</f>
        <v>CENTRO_DE_EDUCACION_ROBERT_HOOKE</v>
      </c>
      <c r="G1032" s="11" t="str">
        <f>IFERROR(IF(VLOOKUP(A1032,[8]PRIORIZADOS!$A:$G,7,FALSE)="","",VLOOKUP(A1032,[8]PRIORIZADOS!$A:$G,7,FALSE)),"")</f>
        <v>CENTRO DE EDUCACION ROBERT HOOKE</v>
      </c>
      <c r="H1032" s="11" t="str">
        <f>IFERROR(IF(VLOOKUP(A1032,[8]PRIORIZADOS!$A:$H,8,FALSE)="","",VLOOKUP(A1032,[8]PRIORIZADOS!$A:$H,8,FALSE)),"")</f>
        <v>Autoevaluación Institucional y Pruebas SABER 11</v>
      </c>
      <c r="I1032" s="11" t="str">
        <f>IFERROR(IF(VLOOKUP(A1032,[8]PRIORIZADOS!$A:$I,9,FALSE)="","",VLOOKUP(A1032,[8]PRIORIZADOS!$A:$I,9,FALSE)),"")</f>
        <v>EVALUACIÓN_CON_FINES_DE_MEJORAMIENTO.</v>
      </c>
      <c r="J1032" s="11" t="str">
        <f>IFERROR(IF(VLOOKUP(A1032,[8]PRIORIZADOS!$A:$J,10,FALSE)="","",VLOOKUP(A1032,[8]PRIORIZADOS!$A:$J,10,FALSE)),"")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32" s="11" t="str">
        <f>IFERROR(IF(VLOOKUP(A1032,[8]PRIORIZADOS!$A:$K,11,FALSE)="","",VLOOKUP(A1032,[8]PRIORIZADOS!$A:$K,11,FALSE)),"")</f>
        <v>LUCY GONZÁLEZ LERMA</v>
      </c>
      <c r="L1032" s="11" t="str">
        <f>IFERROR(IF(VLOOKUP(A1032,[8]PRIORIZADOS!$A:$L,12,FALSE)="","",VLOOKUP(A1032,[8]PRIORIZADOS!$A:$L,12,FALSE)),"")</f>
        <v>VIVANA PILAR BOHÓRQUEZ DÍAZ</v>
      </c>
      <c r="M1032" s="71">
        <f>IFERROR(IF(VLOOKUP(A1032,[8]PRIORIZADOS!$A:$M,13,FALSE)="","",VLOOKUP(A1032,[8]PRIORIZADOS!$A:$M,13,FALSE)),"")</f>
        <v>45734</v>
      </c>
      <c r="N1032" s="71">
        <f>IFERROR(IF(VLOOKUP(A1032,[8]PRIORIZADOS!$A:$N,14,FALSE)="","",VLOOKUP(A1032,[8]PRIORIZADOS!$A:$N,14,FALSE)),"")</f>
        <v>45751</v>
      </c>
      <c r="O1032" s="71">
        <f>IFERROR(IF(VLOOKUP(A1032,[8]PRIORIZADOS!$A:$O,15,FALSE)="","",VLOOKUP(A1032,[8]PRIORIZADOS!$A:$O,15,FALSE)),"")</f>
        <v>45751</v>
      </c>
      <c r="P1032" s="11" t="str">
        <f>IFERROR(IF(VLOOKUP(A1032,[8]PRIORIZADOS!$A:$P,16,FALSE)="","",VLOOKUP(A1032,[8]PRIORIZADOS!$A:$P,16,FALSE)),"")</f>
        <v>Visitas de evaluación con fines de mejoramiento</v>
      </c>
      <c r="Q1032" s="107" t="s">
        <v>191</v>
      </c>
      <c r="R1032" s="11" t="str">
        <f>IFERROR(IF(VLOOKUP(A1032,[8]PRIORIZADOS!$A:$R,18,FALSE)="","",VLOOKUP(A1032,[8]PRIORIZADOS!$A:$R,18,FALSE)),"")</f>
        <v>El manual de convivencia no  incluye la comprensión de las diversidades, el enfoque restaurativo ni las condiciones para el servicio social obligatorio. De igual modo no refleja la representación de todos los estamentos.</v>
      </c>
      <c r="S1032" s="11" t="str">
        <f>IFERROR(IF(VLOOKUP(A1032,[8]PRIORIZADOS!$A:$S,19,FALSE)="","",VLOOKUP(A1032,[8]PRIORIZADOS!$A:$S,19,FALSE)),"")</f>
        <v xml:space="preserve">Realizar la actualización del manual de convivencia desde los enfoques previstos en la normatividad vigente y para este proceso se debe convocar a la comunidad educativa. </v>
      </c>
      <c r="T1032" s="70" t="str">
        <f>IFERROR(IF(VLOOKUP(A1032,[8]PRIORIZADOS!$A:$T,20,FALSE)="","",VLOOKUP(A1032,[8]PRIORIZADOS!$A:$T,20,FALSE)),"")</f>
        <v>Si</v>
      </c>
      <c r="U1032" s="11" t="str">
        <f>IFERROR(IF(VLOOKUP(A1032,[8]PRIORIZADOS!$A:$U,21,FALSE)="","",VLOOKUP(A1032,[8]PRIORIZADOS!$A:$U,21,FALSE)),"")</f>
        <v>Seguimiento al cumplimiento del plan de mejoramiento.</v>
      </c>
    </row>
    <row r="1033" spans="1:21" s="1" customFormat="1" ht="60">
      <c r="A1033" s="69">
        <f>IF([8]PRIORIZADOS!A12="","",[8]PRIORIZADOS!A12)</f>
        <v>984</v>
      </c>
      <c r="B1033" s="70">
        <v>1</v>
      </c>
      <c r="C1033" s="11" t="str">
        <f>IFERROR(IF(VLOOKUP(A1033,[8]PRIORIZADOS!$A:$C,3,FALSE)="","",VLOOKUP(A1033,[8]PRIORIZADOS!$A:$C,3,FALSE)),"")</f>
        <v>KENNEDY</v>
      </c>
      <c r="D1033" s="11" t="str">
        <f>IFERROR(IF(VLOOKUP(A1033,[8]PRIORIZADOS!$A:$D,4,FALSE)="","",VLOOKUP(A1033,[8]PRIORIZADOS!$A:$D,4,FALSE)),"")</f>
        <v>PRIVADO</v>
      </c>
      <c r="E1033" s="11" t="str">
        <f>IFERROR(IF(VLOOKUP(A1033,[8]PRIORIZADOS!$A:$E,5,FALSE)="","",VLOOKUP(A1033,[8]PRIORIZADOS!$A:$E,5,FALSE)),"")</f>
        <v>Educación de Jóvenes y Adultos</v>
      </c>
      <c r="F1033" s="11" t="str">
        <f>IFERROR(IF(VLOOKUP(A1033,[8]PRIORIZADOS!$A:$F,6,FALSE)="","",VLOOKUP(A1033,[8]PRIORIZADOS!$A:$F,6,FALSE)),"")</f>
        <v>CENTRO_DE_EDUCACION_ROBERT_HOOKE</v>
      </c>
      <c r="G1033" s="11" t="str">
        <f>IFERROR(IF(VLOOKUP(A1033,[8]PRIORIZADOS!$A:$G,7,FALSE)="","",VLOOKUP(A1033,[8]PRIORIZADOS!$A:$G,7,FALSE)),"")</f>
        <v>CENTRO DE EDUCACION ROBERT HOOKE</v>
      </c>
      <c r="H1033" s="11" t="str">
        <f>IFERROR(IF(VLOOKUP(A1033,[8]PRIORIZADOS!$A:$H,8,FALSE)="","",VLOOKUP(A1033,[8]PRIORIZADOS!$A:$H,8,FALSE)),"")</f>
        <v>Autoevaluación Institucional y Pruebas SABER 11</v>
      </c>
      <c r="I1033" s="11" t="str">
        <f>IFERROR(IF(VLOOKUP(A1033,[8]PRIORIZADOS!$A:$I,9,FALSE)="","",VLOOKUP(A1033,[8]PRIORIZADOS!$A:$I,9,FALSE)),"")</f>
        <v>EVALUACIÓN_CON_FINES_DE_MEJORAMIENTO.</v>
      </c>
      <c r="J1033" s="11" t="str">
        <f>IFERROR(IF(VLOOKUP(A1033,[8]PRIORIZADOS!$A:$J,10,FALSE)="","",VLOOKUP(A1033,[8]PRIORIZADOS!$A:$J,10,FALSE)),"")</f>
        <v>Verificar el funcionamiento del Gobierno Escolar e instancias de participación con base en la información sobre conformación reportada por la institución educativa.</v>
      </c>
      <c r="K1033" s="11" t="str">
        <f>IFERROR(IF(VLOOKUP(A1033,[8]PRIORIZADOS!$A:$K,11,FALSE)="","",VLOOKUP(A1033,[8]PRIORIZADOS!$A:$K,11,FALSE)),"")</f>
        <v>LUCY GONZÁLEZ LERMA</v>
      </c>
      <c r="L1033" s="11" t="str">
        <f>IFERROR(IF(VLOOKUP(A1033,[8]PRIORIZADOS!$A:$L,12,FALSE)="","",VLOOKUP(A1033,[8]PRIORIZADOS!$A:$L,12,FALSE)),"")</f>
        <v>VIVANA PILAR BOHÓRQUEZ DÍAZ</v>
      </c>
      <c r="M1033" s="71">
        <f>IFERROR(IF(VLOOKUP(A1033,[8]PRIORIZADOS!$A:$M,13,FALSE)="","",VLOOKUP(A1033,[8]PRIORIZADOS!$A:$M,13,FALSE)),"")</f>
        <v>45734</v>
      </c>
      <c r="N1033" s="71">
        <f>IFERROR(IF(VLOOKUP(A1033,[8]PRIORIZADOS!$A:$N,14,FALSE)="","",VLOOKUP(A1033,[8]PRIORIZADOS!$A:$N,14,FALSE)),"")</f>
        <v>45751</v>
      </c>
      <c r="O1033" s="71">
        <f>IFERROR(IF(VLOOKUP(A1033,[8]PRIORIZADOS!$A:$O,15,FALSE)="","",VLOOKUP(A1033,[8]PRIORIZADOS!$A:$O,15,FALSE)),"")</f>
        <v>45751</v>
      </c>
      <c r="P1033" s="11" t="str">
        <f>IFERROR(IF(VLOOKUP(A1033,[8]PRIORIZADOS!$A:$P,16,FALSE)="","",VLOOKUP(A1033,[8]PRIORIZADOS!$A:$P,16,FALSE)),"")</f>
        <v>Visitas de evaluación con fines de mejoramiento</v>
      </c>
      <c r="Q1033" s="126" t="s">
        <v>191</v>
      </c>
      <c r="R1033" s="11" t="str">
        <f>IFERROR(IF(VLOOKUP(A1033,[8]PRIORIZADOS!$A:$R,18,FALSE)="","",VLOOKUP(A1033,[8]PRIORIZADOS!$A:$R,18,FALSE)),"")</f>
        <v xml:space="preserve">Se encuentran las actas de conformación de las instancias del gobierno escolar. Se encuentra reglamento interno, plan de acción y convocatorias durante esta vigencia. </v>
      </c>
      <c r="S1033" s="11" t="str">
        <f>IFERROR(IF(VLOOKUP(A1033,[8]PRIORIZADOS!$A:$S,19,FALSE)="","",VLOOKUP(A1033,[8]PRIORIZADOS!$A:$S,19,FALSE)),"")</f>
        <v xml:space="preserve">Convocar a las instancias del gobierno escolar para el diseño de los planes de acción y adelantar el primer consejo académico para la actualización de los planes de estudio. </v>
      </c>
      <c r="T1033" s="70" t="str">
        <f>IFERROR(IF(VLOOKUP(A1033,[8]PRIORIZADOS!$A:$T,20,FALSE)="","",VLOOKUP(A1033,[8]PRIORIZADOS!$A:$T,20,FALSE)),"")</f>
        <v>Si</v>
      </c>
      <c r="U1033" s="11" t="str">
        <f>IFERROR(IF(VLOOKUP(A1033,[8]PRIORIZADOS!$A:$U,21,FALSE)="","",VLOOKUP(A1033,[8]PRIORIZADOS!$A:$U,21,FALSE)),"")</f>
        <v>Seguimiento al cumplimiento del plan de mejoramiento.</v>
      </c>
    </row>
    <row r="1034" spans="1:21" s="1" customFormat="1" ht="96">
      <c r="A1034" s="69">
        <f>IF([8]PRIORIZADOS!A13="","",[8]PRIORIZADOS!A13)</f>
        <v>985</v>
      </c>
      <c r="B1034" s="70">
        <v>1</v>
      </c>
      <c r="C1034" s="11" t="str">
        <f>IFERROR(IF(VLOOKUP(A1034,[8]PRIORIZADOS!$A:$C,3,FALSE)="","",VLOOKUP(A1034,[8]PRIORIZADOS!$A:$C,3,FALSE)),"")</f>
        <v>KENNEDY</v>
      </c>
      <c r="D1034" s="11" t="str">
        <f>IFERROR(IF(VLOOKUP(A1034,[8]PRIORIZADOS!$A:$D,4,FALSE)="","",VLOOKUP(A1034,[8]PRIORIZADOS!$A:$D,4,FALSE)),"")</f>
        <v>PRIVADO</v>
      </c>
      <c r="E1034" s="11" t="str">
        <f>IFERROR(IF(VLOOKUP(A1034,[8]PRIORIZADOS!$A:$E,5,FALSE)="","",VLOOKUP(A1034,[8]PRIORIZADOS!$A:$E,5,FALSE)),"")</f>
        <v>Educación de Jóvenes y Adultos</v>
      </c>
      <c r="F1034" s="11" t="str">
        <f>IFERROR(IF(VLOOKUP(A1034,[8]PRIORIZADOS!$A:$F,6,FALSE)="","",VLOOKUP(A1034,[8]PRIORIZADOS!$A:$F,6,FALSE)),"")</f>
        <v>CENTRO_DE_EDUCACION_ROBERT_HOOKE</v>
      </c>
      <c r="G1034" s="11" t="str">
        <f>IFERROR(IF(VLOOKUP(A1034,[8]PRIORIZADOS!$A:$G,7,FALSE)="","",VLOOKUP(A1034,[8]PRIORIZADOS!$A:$G,7,FALSE)),"")</f>
        <v>CENTRO DE EDUCACION ROBERT HOOKE</v>
      </c>
      <c r="H1034" s="11" t="str">
        <f>IFERROR(IF(VLOOKUP(A1034,[8]PRIORIZADOS!$A:$H,8,FALSE)="","",VLOOKUP(A1034,[8]PRIORIZADOS!$A:$H,8,FALSE)),"")</f>
        <v>Autoevaluación Institucional y Pruebas SABER 11</v>
      </c>
      <c r="I1034" s="11" t="str">
        <f>IFERROR(IF(VLOOKUP(A1034,[8]PRIORIZADOS!$A:$I,9,FALSE)="","",VLOOKUP(A1034,[8]PRIORIZADOS!$A:$I,9,FALSE)),"")</f>
        <v>EVALUACIÓN_CON_FINES_DE_MEJORAMIENTO.</v>
      </c>
      <c r="J1034" s="11" t="str">
        <f>IFERROR(IF(VLOOKUP(A1034,[8]PRIORIZADOS!$A:$J,10,FALSE)="","",VLOOKUP(A1034,[8]PRIORIZADOS!$A:$J,10,FALSE)),"")</f>
        <v>Verificar las condiciones en cuanto a: la estructura administrativa, condiciones de la planta física y medios educativos adecuados.</v>
      </c>
      <c r="K1034" s="11" t="str">
        <f>IFERROR(IF(VLOOKUP(A1034,[8]PRIORIZADOS!$A:$K,11,FALSE)="","",VLOOKUP(A1034,[8]PRIORIZADOS!$A:$K,11,FALSE)),"")</f>
        <v>LUCY GONZÁLEZ LERMA</v>
      </c>
      <c r="L1034" s="11" t="str">
        <f>IFERROR(IF(VLOOKUP(A1034,[8]PRIORIZADOS!$A:$L,12,FALSE)="","",VLOOKUP(A1034,[8]PRIORIZADOS!$A:$L,12,FALSE)),"")</f>
        <v>VIVANA PILAR BOHÓRQUEZ DÍAZ</v>
      </c>
      <c r="M1034" s="71">
        <f>IFERROR(IF(VLOOKUP(A1034,[8]PRIORIZADOS!$A:$M,13,FALSE)="","",VLOOKUP(A1034,[8]PRIORIZADOS!$A:$M,13,FALSE)),"")</f>
        <v>45734</v>
      </c>
      <c r="N1034" s="71">
        <f>IFERROR(IF(VLOOKUP(A1034,[8]PRIORIZADOS!$A:$N,14,FALSE)="","",VLOOKUP(A1034,[8]PRIORIZADOS!$A:$N,14,FALSE)),"")</f>
        <v>45751</v>
      </c>
      <c r="O1034" s="71">
        <f>IFERROR(IF(VLOOKUP(A1034,[8]PRIORIZADOS!$A:$O,15,FALSE)="","",VLOOKUP(A1034,[8]PRIORIZADOS!$A:$O,15,FALSE)),"")</f>
        <v>45751</v>
      </c>
      <c r="P1034" s="11" t="str">
        <f>IFERROR(IF(VLOOKUP(A1034,[8]PRIORIZADOS!$A:$P,16,FALSE)="","",VLOOKUP(A1034,[8]PRIORIZADOS!$A:$P,16,FALSE)),"")</f>
        <v>Visitas de evaluación con fines de mejoramiento</v>
      </c>
      <c r="Q1034" s="107" t="s">
        <v>191</v>
      </c>
      <c r="R1034" s="11" t="str">
        <f>IFERROR(IF(VLOOKUP(A1034,[8]PRIORIZADOS!$A:$R,18,FALSE)="","",VLOOKUP(A1034,[8]PRIORIZADOS!$A:$R,18,FALSE)),"")</f>
        <v xml:space="preserve">Las condiciones de aseo, organización y mantenimiento de los espacios son regulares.
Hay presencia de fisuras, humedades, daños de luminarias, deterioro de pintura. No disponen de espacios lúdicos y recreativos y gran parte de los recursos pedagógicos están deteriorados. </v>
      </c>
      <c r="S1034" s="11" t="str">
        <f>IFERROR(IF(VLOOKUP(A1034,[8]PRIORIZADOS!$A:$S,19,FALSE)="","",VLOOKUP(A1034,[8]PRIORIZADOS!$A:$S,19,FALSE)),"")</f>
        <v>Realizar las mejoras locativas y de mantenimiento requeridos para garantizar las condiciones de infraestructura acordes con el servicio prestado.</v>
      </c>
      <c r="T1034" s="70" t="str">
        <f>IFERROR(IF(VLOOKUP(A1034,[8]PRIORIZADOS!$A:$T,20,FALSE)="","",VLOOKUP(A1034,[8]PRIORIZADOS!$A:$T,20,FALSE)),"")</f>
        <v>Si</v>
      </c>
      <c r="U1034" s="11" t="str">
        <f>IFERROR(IF(VLOOKUP(A1034,[8]PRIORIZADOS!$A:$U,21,FALSE)="","",VLOOKUP(A1034,[8]PRIORIZADOS!$A:$U,21,FALSE)),"")</f>
        <v>Seguimiento al cumplimiento del plan de mejoramiento.</v>
      </c>
    </row>
    <row r="1035" spans="1:21" s="1" customFormat="1" ht="36">
      <c r="A1035" s="69">
        <f>IF([8]PRIORIZADOS!A14="","",[8]PRIORIZADOS!A14)</f>
        <v>986</v>
      </c>
      <c r="B1035" s="70">
        <f>IFERROR(IF(VLOOKUP(A1035,[8]PRIORIZADOS!$A:$B,2,FALSE)="","",VLOOKUP(A1035,[8]PRIORIZADOS!$A:$B,2,FALSE)),"")</f>
        <v>2</v>
      </c>
      <c r="C1035" s="11" t="str">
        <f>IFERROR(IF(VLOOKUP(A1035,[8]PRIORIZADOS!$A:$C,3,FALSE)="","",VLOOKUP(A1035,[8]PRIORIZADOS!$A:$C,3,FALSE)),"")</f>
        <v>KENNEDY</v>
      </c>
      <c r="D1035" s="11" t="str">
        <f>IFERROR(IF(VLOOKUP(A1035,[8]PRIORIZADOS!$A:$D,4,FALSE)="","",VLOOKUP(A1035,[8]PRIORIZADOS!$A:$D,4,FALSE)),"")</f>
        <v>PRIVADO</v>
      </c>
      <c r="E1035" s="11" t="str">
        <f>IFERROR(IF(VLOOKUP(A1035,[8]PRIORIZADOS!$A:$E,5,FALSE)="","",VLOOKUP(A1035,[8]PRIORIZADOS!$A:$E,5,FALSE)),"")</f>
        <v>EPBM</v>
      </c>
      <c r="F1035" s="11" t="str">
        <f>IFERROR(IF(VLOOKUP(A1035,[8]PRIORIZADOS!$A:$F,6,FALSE)="","",VLOOKUP(A1035,[8]PRIORIZADOS!$A:$F,6,FALSE)),"")</f>
        <v>COLEGIO_ALEXANDER_FLEMING</v>
      </c>
      <c r="G1035" s="11" t="str">
        <f>IFERROR(IF(VLOOKUP(A1035,[8]PRIORIZADOS!$A:$G,7,FALSE)="","",VLOOKUP(A1035,[8]PRIORIZADOS!$A:$G,7,FALSE)),"")</f>
        <v>COLEGIO ALEXANDER FLEMING</v>
      </c>
      <c r="H1035" s="11" t="str">
        <f>IFERROR(IF(VLOOKUP(A1035,[8]PRIORIZADOS!$A:$H,8,FALSE)="","",VLOOKUP(A1035,[8]PRIORIZADOS!$A:$H,8,FALSE)),"")</f>
        <v>Autoevaluación Institucional y Pruebas SABER 11</v>
      </c>
      <c r="I1035" s="11" t="str">
        <f>IFERROR(IF(VLOOKUP(A1035,[8]PRIORIZADOS!$A:$I,9,FALSE)="","",VLOOKUP(A1035,[8]PRIORIZADOS!$A:$I,9,FALSE)),"")</f>
        <v>SEGUIMIENTO_Y_SUPERVISIÓN.</v>
      </c>
      <c r="J1035" s="11" t="str">
        <f>IFERROR(IF(VLOOKUP(A1035,[8]PRIORIZADOS!$A:$J,10,FALSE)="","",VLOOKUP(A1035,[8]PRIORIZADOS!$A:$J,10,FALSE)),"")</f>
        <v>Realizar visitas para verificar la información registrada sobre la autoevaluación institucional en el aplicativo EVI, a los establecimientos de educación formal no oficial.</v>
      </c>
      <c r="K1035" s="11" t="str">
        <f>IFERROR(IF(VLOOKUP(A1035,[8]PRIORIZADOS!$A:$K,11,FALSE)="","",VLOOKUP(A1035,[8]PRIORIZADOS!$A:$K,11,FALSE)),"")</f>
        <v>LUCY GONZÁLEZ LERMA</v>
      </c>
      <c r="L1035" s="11" t="str">
        <f>IFERROR(IF(VLOOKUP(A1035,[8]PRIORIZADOS!$A:$L,12,FALSE)="","",VLOOKUP(A1035,[8]PRIORIZADOS!$A:$L,12,FALSE)),"")</f>
        <v xml:space="preserve">DIANA ZULAY HUERTAS ORTÍZ </v>
      </c>
      <c r="M1035" s="71">
        <f>IFERROR(IF(VLOOKUP(A1035,[8]PRIORIZADOS!$A:$M,13,FALSE)="","",VLOOKUP(A1035,[8]PRIORIZADOS!$A:$M,13,FALSE)),"")</f>
        <v>45735</v>
      </c>
      <c r="N1035" s="71">
        <f>IFERROR(IF(VLOOKUP(A1035,[8]PRIORIZADOS!$A:$N,14,FALSE)="","",VLOOKUP(A1035,[8]PRIORIZADOS!$A:$N,14,FALSE)),"")</f>
        <v>45895</v>
      </c>
      <c r="O1035" s="71">
        <f>IFERROR(IF(VLOOKUP(A1035,[8]PRIORIZADOS!$A:$O,15,FALSE)="","",VLOOKUP(A1035,[8]PRIORIZADOS!$A:$O,15,FALSE)),"")</f>
        <v>45896</v>
      </c>
      <c r="P1035" s="11" t="str">
        <f>IFERROR(IF(VLOOKUP(A1035,[8]PRIORIZADOS!$A:$P,16,FALSE)="","",VLOOKUP(A1035,[8]PRIORIZADOS!$A:$P,16,FALSE)),"")</f>
        <v>Visitas de evaluación con fines de mejoramiento</v>
      </c>
      <c r="Q1035" s="27" t="s">
        <v>192</v>
      </c>
      <c r="R1035" s="11" t="str">
        <f>IFERROR(IF(VLOOKUP(A1035,[8]PRIORIZADOS!$A:$R,18,FALSE)="","",VLOOKUP(A1035,[8]PRIORIZADOS!$A:$R,18,FALSE)),"")</f>
        <v>La  información registrada en el aplicativo EVI da cuenta de la realidad institucional</v>
      </c>
      <c r="S1035" s="11" t="str">
        <f>IFERROR(IF(VLOOKUP(A1035,[8]PRIORIZADOS!$A:$S,19,FALSE)="","",VLOOKUP(A1035,[8]PRIORIZADOS!$A:$S,19,FALSE)),"")</f>
        <v>Continuar reportando en el aplicativo la información  institucional.</v>
      </c>
      <c r="T1035" s="70" t="str">
        <f>IFERROR(IF(VLOOKUP(A1035,[8]PRIORIZADOS!$A:$T,20,FALSE)="","",VLOOKUP(A1035,[8]PRIORIZADOS!$A:$T,20,FALSE)),"")</f>
        <v>No</v>
      </c>
      <c r="U1035" s="11" t="str">
        <f>IFERROR(IF(VLOOKUP(A1035,[8]PRIORIZADOS!$A:$U,21,FALSE)="","",VLOOKUP(A1035,[8]PRIORIZADOS!$A:$U,21,FALSE)),"")</f>
        <v>El ELIV, verificará en la próxima vigencia que la información registrada en el EVI da cuenta de la realidad institucional. Se realiza mesa de seguimiento el día 23 de septiembre 2025.</v>
      </c>
    </row>
    <row r="1036" spans="1:21" s="1" customFormat="1" ht="60">
      <c r="A1036" s="69">
        <f>IF([8]PRIORIZADOS!A15="","",[8]PRIORIZADOS!A15)</f>
        <v>987</v>
      </c>
      <c r="B1036" s="70">
        <v>2</v>
      </c>
      <c r="C1036" s="11" t="str">
        <f>IFERROR(IF(VLOOKUP(A1036,[8]PRIORIZADOS!$A:$C,3,FALSE)="","",VLOOKUP(A1036,[8]PRIORIZADOS!$A:$C,3,FALSE)),"")</f>
        <v>KENNEDY</v>
      </c>
      <c r="D1036" s="11" t="str">
        <f>IFERROR(IF(VLOOKUP(A1036,[8]PRIORIZADOS!$A:$D,4,FALSE)="","",VLOOKUP(A1036,[8]PRIORIZADOS!$A:$D,4,FALSE)),"")</f>
        <v>PRIVADO</v>
      </c>
      <c r="E1036" s="11" t="str">
        <f>IFERROR(IF(VLOOKUP(A1036,[8]PRIORIZADOS!$A:$E,5,FALSE)="","",VLOOKUP(A1036,[8]PRIORIZADOS!$A:$E,5,FALSE)),"")</f>
        <v>EPBM</v>
      </c>
      <c r="F1036" s="11" t="str">
        <f>IFERROR(IF(VLOOKUP(A1036,[8]PRIORIZADOS!$A:$F,6,FALSE)="","",VLOOKUP(A1036,[8]PRIORIZADOS!$A:$F,6,FALSE)),"")</f>
        <v>COLEGIO_ALEXANDER_FLEMING</v>
      </c>
      <c r="G1036" s="11" t="str">
        <f>IFERROR(IF(VLOOKUP(A1036,[8]PRIORIZADOS!$A:$G,7,FALSE)="","",VLOOKUP(A1036,[8]PRIORIZADOS!$A:$G,7,FALSE)),"")</f>
        <v>COLEGIO ALEXANDER FLEMING</v>
      </c>
      <c r="H1036" s="11" t="str">
        <f>IFERROR(IF(VLOOKUP(A1036,[8]PRIORIZADOS!$A:$H,8,FALSE)="","",VLOOKUP(A1036,[8]PRIORIZADOS!$A:$H,8,FALSE)),"")</f>
        <v>Autoevaluación Institucional y Pruebas SABER 11</v>
      </c>
      <c r="I1036" s="11" t="str">
        <f>IFERROR(IF(VLOOKUP(A1036,[8]PRIORIZADOS!$A:$I,9,FALSE)="","",VLOOKUP(A1036,[8]PRIORIZADOS!$A:$I,9,FALSE)),"")</f>
        <v>SEGUIMIENTO_Y_SUPERVISIÓN.</v>
      </c>
      <c r="J1036" s="11" t="str">
        <f>IFERROR(IF(VLOOKUP(A1036,[8]PRIORIZADOS!$A:$J,10,FALSE)="","",VLOOKUP(A1036,[8]PRIORIZADOS!$A:$J,10,FALSE)),"")</f>
        <v>Proponer estrategias en la formulación, verificar su elaboración y realizar seguimiento semestral al desarrollo de  las acciones establecidas en los planes de mejoramiento por pruebas SABER 11 de los establecimientos de educación formal.</v>
      </c>
      <c r="K1036" s="11" t="str">
        <f>IFERROR(IF(VLOOKUP(A1036,[8]PRIORIZADOS!$A:$K,11,FALSE)="","",VLOOKUP(A1036,[8]PRIORIZADOS!$A:$K,11,FALSE)),"")</f>
        <v>LUCY GONZÁLEZ LERMA</v>
      </c>
      <c r="L1036" s="11" t="str">
        <f>IFERROR(IF(VLOOKUP(A1036,[8]PRIORIZADOS!$A:$L,12,FALSE)="","",VLOOKUP(A1036,[8]PRIORIZADOS!$A:$L,12,FALSE)),"")</f>
        <v xml:space="preserve">DIANA ZULAY HUERTAS ORTÍZ </v>
      </c>
      <c r="M1036" s="71">
        <f>IFERROR(IF(VLOOKUP(A1036,[8]PRIORIZADOS!$A:$M,13,FALSE)="","",VLOOKUP(A1036,[8]PRIORIZADOS!$A:$M,13,FALSE)),"")</f>
        <v>45735</v>
      </c>
      <c r="N1036" s="71">
        <f>IFERROR(IF(VLOOKUP(A1036,[8]PRIORIZADOS!$A:$N,14,FALSE)="","",VLOOKUP(A1036,[8]PRIORIZADOS!$A:$N,14,FALSE)),"")</f>
        <v>45895</v>
      </c>
      <c r="O1036" s="71">
        <f>IFERROR(IF(VLOOKUP(A1036,[8]PRIORIZADOS!$A:$O,15,FALSE)="","",VLOOKUP(A1036,[8]PRIORIZADOS!$A:$O,15,FALSE)),"")</f>
        <v>45896</v>
      </c>
      <c r="P1036" s="11" t="str">
        <f>IFERROR(IF(VLOOKUP(A1036,[8]PRIORIZADOS!$A:$P,16,FALSE)="","",VLOOKUP(A1036,[8]PRIORIZADOS!$A:$P,16,FALSE)),"")</f>
        <v>Visitas de evaluación con fines de mejoramiento</v>
      </c>
      <c r="Q1036" s="27" t="s">
        <v>192</v>
      </c>
      <c r="R1036" s="11" t="str">
        <f>IFERROR(IF(VLOOKUP(A1036,[8]PRIORIZADOS!$A:$R,18,FALSE)="","",VLOOKUP(A1036,[8]PRIORIZADOS!$A:$R,18,FALSE)),"")</f>
        <v xml:space="preserve">Las estrategias previstas para avanzar en los resultados de las pruebas SABER 11 no están avaladas por el Consejo Directivo ni el Consejo Académico. </v>
      </c>
      <c r="S1036" s="11" t="str">
        <f>IFERROR(IF(VLOOKUP(A1036,[8]PRIORIZADOS!$A:$S,19,FALSE)="","",VLOOKUP(A1036,[8]PRIORIZADOS!$A:$S,19,FALSE)),"")</f>
        <v xml:space="preserve">Convocar al Consejo Académico y al Consejo Directivo para socializar las acciones de mejora que se prevén para el avance en los resultados de las pruebas SABER 11. </v>
      </c>
      <c r="T1036" s="70" t="str">
        <f>IFERROR(IF(VLOOKUP(A1036,[8]PRIORIZADOS!$A:$T,20,FALSE)="","",VLOOKUP(A1036,[8]PRIORIZADOS!$A:$T,20,FALSE)),"")</f>
        <v>Si</v>
      </c>
      <c r="U1036" s="11" t="str">
        <f>IFERROR(IF(VLOOKUP(A1036,[8]PRIORIZADOS!$A:$U,21,FALSE)="","",VLOOKUP(A1036,[8]PRIORIZADOS!$A:$U,21,FALSE)),"")</f>
        <v>Verificar el cumplimiento del plan de mejoramiento y de los resultados obtenidos en su implementación.  Se realiza mesa de seguimiento el día 23 de septiembre 2025.</v>
      </c>
    </row>
    <row r="1037" spans="1:21" s="1" customFormat="1" ht="60">
      <c r="A1037" s="69">
        <f>IF([8]PRIORIZADOS!A16="","",[8]PRIORIZADOS!A16)</f>
        <v>988</v>
      </c>
      <c r="B1037" s="70">
        <v>2</v>
      </c>
      <c r="C1037" s="11" t="str">
        <f>IFERROR(IF(VLOOKUP(A1037,[8]PRIORIZADOS!$A:$C,3,FALSE)="","",VLOOKUP(A1037,[8]PRIORIZADOS!$A:$C,3,FALSE)),"")</f>
        <v>KENNEDY</v>
      </c>
      <c r="D1037" s="11" t="str">
        <f>IFERROR(IF(VLOOKUP(A1037,[8]PRIORIZADOS!$A:$D,4,FALSE)="","",VLOOKUP(A1037,[8]PRIORIZADOS!$A:$D,4,FALSE)),"")</f>
        <v>PRIVADO</v>
      </c>
      <c r="E1037" s="11" t="str">
        <f>IFERROR(IF(VLOOKUP(A1037,[8]PRIORIZADOS!$A:$E,5,FALSE)="","",VLOOKUP(A1037,[8]PRIORIZADOS!$A:$E,5,FALSE)),"")</f>
        <v>EPBM</v>
      </c>
      <c r="F1037" s="11" t="str">
        <f>IFERROR(IF(VLOOKUP(A1037,[8]PRIORIZADOS!$A:$F,6,FALSE)="","",VLOOKUP(A1037,[8]PRIORIZADOS!$A:$F,6,FALSE)),"")</f>
        <v>COLEGIO_ALEXANDER_FLEMING</v>
      </c>
      <c r="G1037" s="11" t="str">
        <f>IFERROR(IF(VLOOKUP(A1037,[8]PRIORIZADOS!$A:$G,7,FALSE)="","",VLOOKUP(A1037,[8]PRIORIZADOS!$A:$G,7,FALSE)),"")</f>
        <v>COLEGIO ALEXANDER FLEMING</v>
      </c>
      <c r="H1037" s="11" t="str">
        <f>IFERROR(IF(VLOOKUP(A1037,[8]PRIORIZADOS!$A:$H,8,FALSE)="","",VLOOKUP(A1037,[8]PRIORIZADOS!$A:$H,8,FALSE)),"")</f>
        <v>Autoevaluación Institucional y Pruebas SABER 11</v>
      </c>
      <c r="I1037" s="11" t="str">
        <f>IFERROR(IF(VLOOKUP(A1037,[8]PRIORIZADOS!$A:$I,9,FALSE)="","",VLOOKUP(A1037,[8]PRIORIZADOS!$A:$I,9,FALSE)),"")</f>
        <v>SEGUIMIENTO_Y_SUPERVISIÓN.</v>
      </c>
      <c r="J1037" s="11" t="str">
        <f>IFERROR(IF(VLOOKUP(A1037,[8]PRIORIZADOS!$A:$J,10,FALSE)="","",VLOOKUP(A1037,[8]PRIORIZADOS!$A:$J,10,FALSE)),"")</f>
        <v xml:space="preserve">Verificar la implementación por parte de los colegios, de acciones realizadas para la prevención y atención de las situaciones de convivencia en el entorno escolar, según lo establecido en la Directiva 01 de 2022 del MEN. </v>
      </c>
      <c r="K1037" s="11" t="str">
        <f>IFERROR(IF(VLOOKUP(A1037,[8]PRIORIZADOS!$A:$K,11,FALSE)="","",VLOOKUP(A1037,[8]PRIORIZADOS!$A:$K,11,FALSE)),"")</f>
        <v>LUCY GONZÁLEZ LERMA</v>
      </c>
      <c r="L1037" s="11" t="str">
        <f>IFERROR(IF(VLOOKUP(A1037,[8]PRIORIZADOS!$A:$L,12,FALSE)="","",VLOOKUP(A1037,[8]PRIORIZADOS!$A:$L,12,FALSE)),"")</f>
        <v xml:space="preserve">DIANA ZULAY HUERTAS ORTÍZ </v>
      </c>
      <c r="M1037" s="71">
        <f>IFERROR(IF(VLOOKUP(A1037,[8]PRIORIZADOS!$A:$M,13,FALSE)="","",VLOOKUP(A1037,[8]PRIORIZADOS!$A:$M,13,FALSE)),"")</f>
        <v>45735</v>
      </c>
      <c r="N1037" s="71">
        <f>IFERROR(IF(VLOOKUP(A1037,[8]PRIORIZADOS!$A:$N,14,FALSE)="","",VLOOKUP(A1037,[8]PRIORIZADOS!$A:$N,14,FALSE)),"")</f>
        <v>45895</v>
      </c>
      <c r="O1037" s="71">
        <f>IFERROR(IF(VLOOKUP(A1037,[8]PRIORIZADOS!$A:$O,15,FALSE)="","",VLOOKUP(A1037,[8]PRIORIZADOS!$A:$O,15,FALSE)),"")</f>
        <v>45896</v>
      </c>
      <c r="P1037" s="11" t="str">
        <f>IFERROR(IF(VLOOKUP(A1037,[8]PRIORIZADOS!$A:$P,16,FALSE)="","",VLOOKUP(A1037,[8]PRIORIZADOS!$A:$P,16,FALSE)),"")</f>
        <v>Visitas de evaluación con fines de mejoramiento</v>
      </c>
      <c r="Q1037" s="27" t="s">
        <v>192</v>
      </c>
      <c r="R1037" s="11" t="str">
        <f>IFERROR(IF(VLOOKUP(A1037,[8]PRIORIZADOS!$A:$R,18,FALSE)="","",VLOOKUP(A1037,[8]PRIORIZADOS!$A:$R,18,FALSE)),"")</f>
        <v xml:space="preserve">La institución no cuenta con documentación que soporte las acciones de promoción y prevención  frente a las situaciones de convivencia que se presentan con mayor regularidad. </v>
      </c>
      <c r="S1037" s="11" t="str">
        <f>IFERROR(IF(VLOOKUP(A1037,[8]PRIORIZADOS!$A:$S,19,FALSE)="","",VLOOKUP(A1037,[8]PRIORIZADOS!$A:$S,19,FALSE)),"")</f>
        <v xml:space="preserve">Documentar las acciones de promoción y prevención realizadas con ocasión de las situaciones de convivencia presentadas con mayor frecuencia. </v>
      </c>
      <c r="T1037" s="70" t="str">
        <f>IFERROR(IF(VLOOKUP(A1037,[8]PRIORIZADOS!$A:$T,20,FALSE)="","",VLOOKUP(A1037,[8]PRIORIZADOS!$A:$T,20,FALSE)),"")</f>
        <v>Si</v>
      </c>
      <c r="U1037" s="11" t="str">
        <f>IFERROR(IF(VLOOKUP(A1037,[8]PRIORIZADOS!$A:$U,21,FALSE)="","",VLOOKUP(A1037,[8]PRIORIZADOS!$A:$U,21,FALSE)),"")</f>
        <v>Verificar la realización de actividades de promoción y prevención. Se realiza mesa de seguimiento el día 23 de septiembre 2025.</v>
      </c>
    </row>
    <row r="1038" spans="1:21" s="1" customFormat="1" ht="72">
      <c r="A1038" s="69">
        <f>IF([8]PRIORIZADOS!A17="","",[8]PRIORIZADOS!A17)</f>
        <v>989</v>
      </c>
      <c r="B1038" s="70">
        <v>2</v>
      </c>
      <c r="C1038" s="11" t="str">
        <f>IFERROR(IF(VLOOKUP(A1038,[8]PRIORIZADOS!$A:$C,3,FALSE)="","",VLOOKUP(A1038,[8]PRIORIZADOS!$A:$C,3,FALSE)),"")</f>
        <v>KENNEDY</v>
      </c>
      <c r="D1038" s="11" t="str">
        <f>IFERROR(IF(VLOOKUP(A1038,[8]PRIORIZADOS!$A:$D,4,FALSE)="","",VLOOKUP(A1038,[8]PRIORIZADOS!$A:$D,4,FALSE)),"")</f>
        <v>PRIVADO</v>
      </c>
      <c r="E1038" s="11" t="str">
        <f>IFERROR(IF(VLOOKUP(A1038,[8]PRIORIZADOS!$A:$E,5,FALSE)="","",VLOOKUP(A1038,[8]PRIORIZADOS!$A:$E,5,FALSE)),"")</f>
        <v>EPBM</v>
      </c>
      <c r="F1038" s="11" t="str">
        <f>IFERROR(IF(VLOOKUP(A1038,[8]PRIORIZADOS!$A:$F,6,FALSE)="","",VLOOKUP(A1038,[8]PRIORIZADOS!$A:$F,6,FALSE)),"")</f>
        <v>COLEGIO_ALEXANDER_FLEMING</v>
      </c>
      <c r="G1038" s="11" t="str">
        <f>IFERROR(IF(VLOOKUP(A1038,[8]PRIORIZADOS!$A:$G,7,FALSE)="","",VLOOKUP(A1038,[8]PRIORIZADOS!$A:$G,7,FALSE)),"")</f>
        <v>COLEGIO ALEXANDER FLEMING</v>
      </c>
      <c r="H1038" s="11" t="str">
        <f>IFERROR(IF(VLOOKUP(A1038,[8]PRIORIZADOS!$A:$H,8,FALSE)="","",VLOOKUP(A1038,[8]PRIORIZADOS!$A:$H,8,FALSE)),"")</f>
        <v>Autoevaluación Institucional y Pruebas SABER 11</v>
      </c>
      <c r="I1038" s="11" t="str">
        <f>IFERROR(IF(VLOOKUP(A1038,[8]PRIORIZADOS!$A:$I,9,FALSE)="","",VLOOKUP(A1038,[8]PRIORIZADOS!$A:$I,9,FALSE)),"")</f>
        <v>SEGUIMIENTO_Y_SUPERVISIÓN.</v>
      </c>
      <c r="J1038" s="11" t="str">
        <f>IFERROR(IF(VLOOKUP(A1038,[8]PRIORIZADOS!$A:$J,10,FALSE)="","",VLOOKUP(A1038,[8]PRIORIZADOS!$A:$J,10,FALSE)),"")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38" s="11" t="str">
        <f>IFERROR(IF(VLOOKUP(A1038,[8]PRIORIZADOS!$A:$K,11,FALSE)="","",VLOOKUP(A1038,[8]PRIORIZADOS!$A:$K,11,FALSE)),"")</f>
        <v>LUCY GONZÁLEZ LERMA</v>
      </c>
      <c r="L1038" s="11" t="str">
        <f>IFERROR(IF(VLOOKUP(A1038,[8]PRIORIZADOS!$A:$L,12,FALSE)="","",VLOOKUP(A1038,[8]PRIORIZADOS!$A:$L,12,FALSE)),"")</f>
        <v xml:space="preserve">DIANA ZULAY HUERTAS ORTÍZ </v>
      </c>
      <c r="M1038" s="71">
        <f>IFERROR(IF(VLOOKUP(A1038,[8]PRIORIZADOS!$A:$M,13,FALSE)="","",VLOOKUP(A1038,[8]PRIORIZADOS!$A:$M,13,FALSE)),"")</f>
        <v>45735</v>
      </c>
      <c r="N1038" s="71">
        <f>IFERROR(IF(VLOOKUP(A1038,[8]PRIORIZADOS!$A:$N,14,FALSE)="","",VLOOKUP(A1038,[8]PRIORIZADOS!$A:$N,14,FALSE)),"")</f>
        <v>45895</v>
      </c>
      <c r="O1038" s="71">
        <f>IFERROR(IF(VLOOKUP(A1038,[8]PRIORIZADOS!$A:$O,15,FALSE)="","",VLOOKUP(A1038,[8]PRIORIZADOS!$A:$O,15,FALSE)),"")</f>
        <v>45896</v>
      </c>
      <c r="P1038" s="11" t="str">
        <f>IFERROR(IF(VLOOKUP(A1038,[8]PRIORIZADOS!$A:$P,16,FALSE)="","",VLOOKUP(A1038,[8]PRIORIZADOS!$A:$P,16,FALSE)),"")</f>
        <v>Visitas de evaluación con fines de mejoramiento</v>
      </c>
      <c r="Q1038" s="27" t="s">
        <v>192</v>
      </c>
      <c r="R1038" s="11" t="str">
        <f>IFERROR(IF(VLOOKUP(A1038,[8]PRIORIZADOS!$A:$R,18,FALSE)="","",VLOOKUP(A1038,[8]PRIORIZADOS!$A:$R,18,FALSE)),"")</f>
        <v xml:space="preserve">La institución educativa tiene estudiantes con discapacidad y cada uno de ellos cuenta con el Plan Individual de Ajustes Razonables -PIAR y el respectivo seguimiento. </v>
      </c>
      <c r="S1038" s="11" t="str">
        <f>IFERROR(IF(VLOOKUP(A1038,[8]PRIORIZADOS!$A:$S,19,FALSE)="","",VLOOKUP(A1038,[8]PRIORIZADOS!$A:$S,19,FALSE)),"")</f>
        <v>Continuar adelantando seguimiento periódico (acorde con el sistema institucional de evaluación)  y actualización anual a los Planes Individuales de Ajustes Razonables -PIAR</v>
      </c>
      <c r="T1038" s="70" t="str">
        <f>IFERROR(IF(VLOOKUP(A1038,[8]PRIORIZADOS!$A:$T,20,FALSE)="","",VLOOKUP(A1038,[8]PRIORIZADOS!$A:$T,20,FALSE)),"")</f>
        <v>No</v>
      </c>
      <c r="U1038" s="11" t="str">
        <f>IFERROR(IF(VLOOKUP(A1038,[8]PRIORIZADOS!$A:$U,21,FALSE)="","",VLOOKUP(A1038,[8]PRIORIZADOS!$A:$U,21,FALSE)),"")</f>
        <v>Verificar que se sigan implementando los PIAR para los estudiantes nuevos que lleguen a la institución educativa. Se realiza mesa de seguimiento el día 23 de septiembre 2025.</v>
      </c>
    </row>
    <row r="1039" spans="1:21" s="1" customFormat="1" ht="84">
      <c r="A1039" s="69">
        <f>IF([8]PRIORIZADOS!A18="","",[8]PRIORIZADOS!A18)</f>
        <v>990</v>
      </c>
      <c r="B1039" s="70">
        <v>2</v>
      </c>
      <c r="C1039" s="11" t="str">
        <f>IFERROR(IF(VLOOKUP(A1039,[8]PRIORIZADOS!$A:$C,3,FALSE)="","",VLOOKUP(A1039,[8]PRIORIZADOS!$A:$C,3,FALSE)),"")</f>
        <v>KENNEDY</v>
      </c>
      <c r="D1039" s="11" t="str">
        <f>IFERROR(IF(VLOOKUP(A1039,[8]PRIORIZADOS!$A:$D,4,FALSE)="","",VLOOKUP(A1039,[8]PRIORIZADOS!$A:$D,4,FALSE)),"")</f>
        <v>PRIVADO</v>
      </c>
      <c r="E1039" s="11" t="str">
        <f>IFERROR(IF(VLOOKUP(A1039,[8]PRIORIZADOS!$A:$E,5,FALSE)="","",VLOOKUP(A1039,[8]PRIORIZADOS!$A:$E,5,FALSE)),"")</f>
        <v>EPBM</v>
      </c>
      <c r="F1039" s="11" t="str">
        <f>IFERROR(IF(VLOOKUP(A1039,[8]PRIORIZADOS!$A:$F,6,FALSE)="","",VLOOKUP(A1039,[8]PRIORIZADOS!$A:$F,6,FALSE)),"")</f>
        <v>COLEGIO_ALEXANDER_FLEMING</v>
      </c>
      <c r="G1039" s="11" t="str">
        <f>IFERROR(IF(VLOOKUP(A1039,[8]PRIORIZADOS!$A:$G,7,FALSE)="","",VLOOKUP(A1039,[8]PRIORIZADOS!$A:$G,7,FALSE)),"")</f>
        <v>COLEGIO ALEXANDER FLEMING</v>
      </c>
      <c r="H1039" s="11" t="str">
        <f>IFERROR(IF(VLOOKUP(A1039,[8]PRIORIZADOS!$A:$H,8,FALSE)="","",VLOOKUP(A1039,[8]PRIORIZADOS!$A:$H,8,FALSE)),"")</f>
        <v>Autoevaluación Institucional y Pruebas SABER 11</v>
      </c>
      <c r="I1039" s="11" t="str">
        <f>IFERROR(IF(VLOOKUP(A1039,[8]PRIORIZADOS!$A:$I,9,FALSE)="","",VLOOKUP(A1039,[8]PRIORIZADOS!$A:$I,9,FALSE)),"")</f>
        <v>EVALUACIÓN_CON_FINES_DE_MEJORAMIENTO.</v>
      </c>
      <c r="J1039" s="11" t="str">
        <f>IFERROR(IF(VLOOKUP(A1039,[8]PRIORIZADOS!$A:$J,10,FALSE)="","",VLOOKUP(A1039,[8]PRIORIZADOS!$A:$J,10,FALSE)),"")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39" s="11" t="str">
        <f>IFERROR(IF(VLOOKUP(A1039,[8]PRIORIZADOS!$A:$K,11,FALSE)="","",VLOOKUP(A1039,[8]PRIORIZADOS!$A:$K,11,FALSE)),"")</f>
        <v>LUCY GONZÁLEZ LERMA</v>
      </c>
      <c r="L1039" s="11" t="str">
        <f>IFERROR(IF(VLOOKUP(A1039,[8]PRIORIZADOS!$A:$L,12,FALSE)="","",VLOOKUP(A1039,[8]PRIORIZADOS!$A:$L,12,FALSE)),"")</f>
        <v xml:space="preserve">DIANA ZULAY HUERTAS ORTÍZ </v>
      </c>
      <c r="M1039" s="71">
        <f>IFERROR(IF(VLOOKUP(A1039,[8]PRIORIZADOS!$A:$M,13,FALSE)="","",VLOOKUP(A1039,[8]PRIORIZADOS!$A:$M,13,FALSE)),"")</f>
        <v>45735</v>
      </c>
      <c r="N1039" s="71">
        <f>IFERROR(IF(VLOOKUP(A1039,[8]PRIORIZADOS!$A:$N,14,FALSE)="","",VLOOKUP(A1039,[8]PRIORIZADOS!$A:$N,14,FALSE)),"")</f>
        <v>45895</v>
      </c>
      <c r="O1039" s="71">
        <f>IFERROR(IF(VLOOKUP(A1039,[8]PRIORIZADOS!$A:$O,15,FALSE)="","",VLOOKUP(A1039,[8]PRIORIZADOS!$A:$O,15,FALSE)),"")</f>
        <v>45896</v>
      </c>
      <c r="P1039" s="11" t="str">
        <f>IFERROR(IF(VLOOKUP(A1039,[8]PRIORIZADOS!$A:$P,16,FALSE)="","",VLOOKUP(A1039,[8]PRIORIZADOS!$A:$P,16,FALSE)),"")</f>
        <v>Visitas de evaluación con fines de mejoramiento</v>
      </c>
      <c r="Q1039" s="27" t="s">
        <v>192</v>
      </c>
      <c r="R1039" s="11" t="str">
        <f>IFERROR(IF(VLOOKUP(A1039,[8]PRIORIZADOS!$A:$R,18,FALSE)="","",VLOOKUP(A1039,[8]PRIORIZADOS!$A:$R,18,FALSE)),"")</f>
        <v>La IE debe actualizar el manual de convivencia de acuerdo  con la normatividad vigente.</v>
      </c>
      <c r="S1039" s="11" t="str">
        <f>IFERROR(IF(VLOOKUP(A1039,[8]PRIORIZADOS!$A:$S,19,FALSE)="","",VLOOKUP(A1039,[8]PRIORIZADOS!$A:$S,19,FALSE)),"")</f>
        <v xml:space="preserve"> Actualizar de manera participativa el manual de convivencia de la institución teniendo los enfoques, la tipificación de situaciones y las faltas de acuerdo a la ley 1620 y decreto 1965.</v>
      </c>
      <c r="T1039" s="70" t="str">
        <f>IFERROR(IF(VLOOKUP(A1039,[8]PRIORIZADOS!$A:$T,20,FALSE)="","",VLOOKUP(A1039,[8]PRIORIZADOS!$A:$T,20,FALSE)),"")</f>
        <v>Si</v>
      </c>
      <c r="U1039" s="11" t="str">
        <f>IFERROR(IF(VLOOKUP(A1039,[8]PRIORIZADOS!$A:$U,21,FALSE)="","",VLOOKUP(A1039,[8]PRIORIZADOS!$A:$U,21,FALSE)),"")</f>
        <v>El ELIV verificará la actualización del manual de convivencia. Se realiza mesa de seguimiento el día 23 de septiembre 2025.</v>
      </c>
    </row>
    <row r="1040" spans="1:21" s="1" customFormat="1" ht="48">
      <c r="A1040" s="69">
        <f>IF([8]PRIORIZADOS!A19="","",[8]PRIORIZADOS!A19)</f>
        <v>991</v>
      </c>
      <c r="B1040" s="70">
        <v>2</v>
      </c>
      <c r="C1040" s="11" t="str">
        <f>IFERROR(IF(VLOOKUP(A1040,[8]PRIORIZADOS!$A:$C,3,FALSE)="","",VLOOKUP(A1040,[8]PRIORIZADOS!$A:$C,3,FALSE)),"")</f>
        <v>KENNEDY</v>
      </c>
      <c r="D1040" s="11" t="str">
        <f>IFERROR(IF(VLOOKUP(A1040,[8]PRIORIZADOS!$A:$D,4,FALSE)="","",VLOOKUP(A1040,[8]PRIORIZADOS!$A:$D,4,FALSE)),"")</f>
        <v>PRIVADO</v>
      </c>
      <c r="E1040" s="11" t="str">
        <f>IFERROR(IF(VLOOKUP(A1040,[8]PRIORIZADOS!$A:$E,5,FALSE)="","",VLOOKUP(A1040,[8]PRIORIZADOS!$A:$E,5,FALSE)),"")</f>
        <v>EPBM</v>
      </c>
      <c r="F1040" s="11" t="str">
        <f>IFERROR(IF(VLOOKUP(A1040,[8]PRIORIZADOS!$A:$F,6,FALSE)="","",VLOOKUP(A1040,[8]PRIORIZADOS!$A:$F,6,FALSE)),"")</f>
        <v>COLEGIO_ALEXANDER_FLEMING</v>
      </c>
      <c r="G1040" s="11" t="str">
        <f>IFERROR(IF(VLOOKUP(A1040,[8]PRIORIZADOS!$A:$G,7,FALSE)="","",VLOOKUP(A1040,[8]PRIORIZADOS!$A:$G,7,FALSE)),"")</f>
        <v>COLEGIO ALEXANDER FLEMING</v>
      </c>
      <c r="H1040" s="11" t="str">
        <f>IFERROR(IF(VLOOKUP(A1040,[8]PRIORIZADOS!$A:$H,8,FALSE)="","",VLOOKUP(A1040,[8]PRIORIZADOS!$A:$H,8,FALSE)),"")</f>
        <v>Autoevaluación Institucional y Pruebas SABER 11</v>
      </c>
      <c r="I1040" s="11" t="str">
        <f>IFERROR(IF(VLOOKUP(A1040,[8]PRIORIZADOS!$A:$I,9,FALSE)="","",VLOOKUP(A1040,[8]PRIORIZADOS!$A:$I,9,FALSE)),"")</f>
        <v>EVALUACIÓN_CON_FINES_DE_MEJORAMIENTO.</v>
      </c>
      <c r="J1040" s="11" t="str">
        <f>IFERROR(IF(VLOOKUP(A1040,[8]PRIORIZADOS!$A:$J,10,FALSE)="","",VLOOKUP(A1040,[8]PRIORIZADOS!$A:$J,10,FALSE)),"")</f>
        <v>Revisar la actualización, socialización e implementación del Sistema Institucional de Evaluación de Estudiantes - SIEE, en articulación con la actualización del PEI y la normatividad vigente.</v>
      </c>
      <c r="K1040" s="11" t="str">
        <f>IFERROR(IF(VLOOKUP(A1040,[8]PRIORIZADOS!$A:$K,11,FALSE)="","",VLOOKUP(A1040,[8]PRIORIZADOS!$A:$K,11,FALSE)),"")</f>
        <v>LUCY GONZÁLEZ LERMA</v>
      </c>
      <c r="L1040" s="11" t="str">
        <f>IFERROR(IF(VLOOKUP(A1040,[8]PRIORIZADOS!$A:$L,12,FALSE)="","",VLOOKUP(A1040,[8]PRIORIZADOS!$A:$L,12,FALSE)),"")</f>
        <v xml:space="preserve">DIANA ZULAY HUERTAS ORTÍZ </v>
      </c>
      <c r="M1040" s="71">
        <f>IFERROR(IF(VLOOKUP(A1040,[8]PRIORIZADOS!$A:$M,13,FALSE)="","",VLOOKUP(A1040,[8]PRIORIZADOS!$A:$M,13,FALSE)),"")</f>
        <v>45735</v>
      </c>
      <c r="N1040" s="71">
        <f>IFERROR(IF(VLOOKUP(A1040,[8]PRIORIZADOS!$A:$N,14,FALSE)="","",VLOOKUP(A1040,[8]PRIORIZADOS!$A:$N,14,FALSE)),"")</f>
        <v>45895</v>
      </c>
      <c r="O1040" s="71">
        <f>IFERROR(IF(VLOOKUP(A1040,[8]PRIORIZADOS!$A:$O,15,FALSE)="","",VLOOKUP(A1040,[8]PRIORIZADOS!$A:$O,15,FALSE)),"")</f>
        <v>45896</v>
      </c>
      <c r="P1040" s="11" t="str">
        <f>IFERROR(IF(VLOOKUP(A1040,[8]PRIORIZADOS!$A:$P,16,FALSE)="","",VLOOKUP(A1040,[8]PRIORIZADOS!$A:$P,16,FALSE)),"")</f>
        <v>Visitas de evaluación con fines de mejoramiento</v>
      </c>
      <c r="Q1040" s="27" t="s">
        <v>192</v>
      </c>
      <c r="R1040" s="11" t="str">
        <f>IFERROR(IF(VLOOKUP(A1040,[8]PRIORIZADOS!$A:$R,18,FALSE)="","",VLOOKUP(A1040,[8]PRIORIZADOS!$A:$R,18,FALSE)),"")</f>
        <v>El SIEE incorpora los elementos de ley e incluye las estrategias de apoyo para acompañar los procesos de los estudiantes con dificultades académicas</v>
      </c>
      <c r="S1040" s="11" t="str">
        <f>IFERROR(IF(VLOOKUP(A1040,[8]PRIORIZADOS!$A:$S,19,FALSE)="","",VLOOKUP(A1040,[8]PRIORIZADOS!$A:$S,19,FALSE)),"")</f>
        <v>Continuar con la socialización para la comunidad educativa del SIIE  en cada vigencias y cuando se actualice el mismo.</v>
      </c>
      <c r="T1040" s="70" t="str">
        <f>IFERROR(IF(VLOOKUP(A1040,[8]PRIORIZADOS!$A:$T,20,FALSE)="","",VLOOKUP(A1040,[8]PRIORIZADOS!$A:$T,20,FALSE)),"")</f>
        <v>No</v>
      </c>
      <c r="U1040" s="11" t="str">
        <f>IFERROR(IF(VLOOKUP(A1040,[8]PRIORIZADOS!$A:$U,21,FALSE)="","",VLOOKUP(A1040,[8]PRIORIZADOS!$A:$U,21,FALSE)),"")</f>
        <v>Validar las acciones planificadas por la institución educativa en su plan de mejora. Se realiza mesa de seguimiento el día 23 de septiembre 2025.</v>
      </c>
    </row>
    <row r="1041" spans="1:21" s="1" customFormat="1" ht="48">
      <c r="A1041" s="69">
        <f>IF([8]PRIORIZADOS!A20="","",[8]PRIORIZADOS!A20)</f>
        <v>992</v>
      </c>
      <c r="B1041" s="70">
        <v>2</v>
      </c>
      <c r="C1041" s="11" t="str">
        <f>IFERROR(IF(VLOOKUP(A1041,[8]PRIORIZADOS!$A:$C,3,FALSE)="","",VLOOKUP(A1041,[8]PRIORIZADOS!$A:$C,3,FALSE)),"")</f>
        <v>KENNEDY</v>
      </c>
      <c r="D1041" s="11" t="str">
        <f>IFERROR(IF(VLOOKUP(A1041,[8]PRIORIZADOS!$A:$D,4,FALSE)="","",VLOOKUP(A1041,[8]PRIORIZADOS!$A:$D,4,FALSE)),"")</f>
        <v>PRIVADO</v>
      </c>
      <c r="E1041" s="11" t="str">
        <f>IFERROR(IF(VLOOKUP(A1041,[8]PRIORIZADOS!$A:$E,5,FALSE)="","",VLOOKUP(A1041,[8]PRIORIZADOS!$A:$E,5,FALSE)),"")</f>
        <v>EPBM</v>
      </c>
      <c r="F1041" s="11" t="str">
        <f>IFERROR(IF(VLOOKUP(A1041,[8]PRIORIZADOS!$A:$F,6,FALSE)="","",VLOOKUP(A1041,[8]PRIORIZADOS!$A:$F,6,FALSE)),"")</f>
        <v>COLEGIO_ALEXANDER_FLEMING</v>
      </c>
      <c r="G1041" s="11" t="str">
        <f>IFERROR(IF(VLOOKUP(A1041,[8]PRIORIZADOS!$A:$G,7,FALSE)="","",VLOOKUP(A1041,[8]PRIORIZADOS!$A:$G,7,FALSE)),"")</f>
        <v>COLEGIO ALEXANDER FLEMING</v>
      </c>
      <c r="H1041" s="11" t="str">
        <f>IFERROR(IF(VLOOKUP(A1041,[8]PRIORIZADOS!$A:$H,8,FALSE)="","",VLOOKUP(A1041,[8]PRIORIZADOS!$A:$H,8,FALSE)),"")</f>
        <v>Autoevaluación Institucional y Pruebas SABER 11</v>
      </c>
      <c r="I1041" s="11" t="str">
        <f>IFERROR(IF(VLOOKUP(A1041,[8]PRIORIZADOS!$A:$I,9,FALSE)="","",VLOOKUP(A1041,[8]PRIORIZADOS!$A:$I,9,FALSE)),"")</f>
        <v>EVALUACIÓN_CON_FINES_DE_MEJORAMIENTO.</v>
      </c>
      <c r="J1041" s="11" t="str">
        <f>IFERROR(IF(VLOOKUP(A1041,[8]PRIORIZADOS!$A:$J,10,FALSE)="","",VLOOKUP(A1041,[8]PRIORIZADOS!$A:$J,10,FALSE)),"")</f>
        <v>Revisar el calendario escolar, jornada escolar, la intensidad horaria mínima anual en cada nivel y las modificaciones que se realicen al mismo, de acuerdo con lo previsto en la normatividad vigente.</v>
      </c>
      <c r="K1041" s="11" t="str">
        <f>IFERROR(IF(VLOOKUP(A1041,[8]PRIORIZADOS!$A:$K,11,FALSE)="","",VLOOKUP(A1041,[8]PRIORIZADOS!$A:$K,11,FALSE)),"")</f>
        <v>LUCY GONZÁLEZ LERMA</v>
      </c>
      <c r="L1041" s="11" t="str">
        <f>IFERROR(IF(VLOOKUP(A1041,[8]PRIORIZADOS!$A:$L,12,FALSE)="","",VLOOKUP(A1041,[8]PRIORIZADOS!$A:$L,12,FALSE)),"")</f>
        <v xml:space="preserve">DIANA ZULAY HUERTAS ORTÍZ </v>
      </c>
      <c r="M1041" s="71">
        <f>IFERROR(IF(VLOOKUP(A1041,[8]PRIORIZADOS!$A:$M,13,FALSE)="","",VLOOKUP(A1041,[8]PRIORIZADOS!$A:$M,13,FALSE)),"")</f>
        <v>45735</v>
      </c>
      <c r="N1041" s="71">
        <f>IFERROR(IF(VLOOKUP(A1041,[8]PRIORIZADOS!$A:$N,14,FALSE)="","",VLOOKUP(A1041,[8]PRIORIZADOS!$A:$N,14,FALSE)),"")</f>
        <v>45895</v>
      </c>
      <c r="O1041" s="71">
        <f>IFERROR(IF(VLOOKUP(A1041,[8]PRIORIZADOS!$A:$O,15,FALSE)="","",VLOOKUP(A1041,[8]PRIORIZADOS!$A:$O,15,FALSE)),"")</f>
        <v>45896</v>
      </c>
      <c r="P1041" s="11" t="str">
        <f>IFERROR(IF(VLOOKUP(A1041,[8]PRIORIZADOS!$A:$P,16,FALSE)="","",VLOOKUP(A1041,[8]PRIORIZADOS!$A:$P,16,FALSE)),"")</f>
        <v>Visitas de evaluación con fines de mejoramiento</v>
      </c>
      <c r="Q1041" s="26" t="s">
        <v>192</v>
      </c>
      <c r="R1041" s="158" t="s">
        <v>193</v>
      </c>
      <c r="S1041" s="11" t="str">
        <f>IFERROR(IF(VLOOKUP(A1041,[8]PRIORIZADOS!$A:$S,19,FALSE)="","",VLOOKUP(A1041,[8]PRIORIZADOS!$A:$S,19,FALSE)),"")</f>
        <v>Implementar el horario socializado y  revisado por el ELIV.</v>
      </c>
      <c r="T1041" s="70" t="str">
        <f>IFERROR(IF(VLOOKUP(A1041,[8]PRIORIZADOS!$A:$T,20,FALSE)="","",VLOOKUP(A1041,[8]PRIORIZADOS!$A:$T,20,FALSE)),"")</f>
        <v>No</v>
      </c>
      <c r="U1041" s="11" t="str">
        <f>IFERROR(IF(VLOOKUP(A1041,[8]PRIORIZADOS!$A:$U,21,FALSE)="","",VLOOKUP(A1041,[8]PRIORIZADOS!$A:$U,21,FALSE)),"")</f>
        <v>Verificar que el calendario escolar sea socializado con la comunidad educativa. Se realiza mesa de seguimiento el día 23 de septiembre 2025.</v>
      </c>
    </row>
    <row r="1042" spans="1:21" s="1" customFormat="1" ht="57.75">
      <c r="A1042" s="69">
        <f>IF([8]PRIORIZADOS!A21="","",[8]PRIORIZADOS!A21)</f>
        <v>993</v>
      </c>
      <c r="B1042" s="70">
        <v>2</v>
      </c>
      <c r="C1042" s="11" t="str">
        <f>IFERROR(IF(VLOOKUP(A1042,[8]PRIORIZADOS!$A:$C,3,FALSE)="","",VLOOKUP(A1042,[8]PRIORIZADOS!$A:$C,3,FALSE)),"")</f>
        <v>KENNEDY</v>
      </c>
      <c r="D1042" s="11" t="str">
        <f>IFERROR(IF(VLOOKUP(A1042,[8]PRIORIZADOS!$A:$D,4,FALSE)="","",VLOOKUP(A1042,[8]PRIORIZADOS!$A:$D,4,FALSE)),"")</f>
        <v>PRIVADO</v>
      </c>
      <c r="E1042" s="11" t="str">
        <f>IFERROR(IF(VLOOKUP(A1042,[8]PRIORIZADOS!$A:$E,5,FALSE)="","",VLOOKUP(A1042,[8]PRIORIZADOS!$A:$E,5,FALSE)),"")</f>
        <v>EPBM</v>
      </c>
      <c r="F1042" s="11" t="str">
        <f>IFERROR(IF(VLOOKUP(A1042,[8]PRIORIZADOS!$A:$F,6,FALSE)="","",VLOOKUP(A1042,[8]PRIORIZADOS!$A:$F,6,FALSE)),"")</f>
        <v>COLEGIO_ALEXANDER_FLEMING</v>
      </c>
      <c r="G1042" s="11" t="str">
        <f>IFERROR(IF(VLOOKUP(A1042,[8]PRIORIZADOS!$A:$G,7,FALSE)="","",VLOOKUP(A1042,[8]PRIORIZADOS!$A:$G,7,FALSE)),"")</f>
        <v>COLEGIO ALEXANDER FLEMING</v>
      </c>
      <c r="H1042" s="11" t="str">
        <f>IFERROR(IF(VLOOKUP(A1042,[8]PRIORIZADOS!$A:$H,8,FALSE)="","",VLOOKUP(A1042,[8]PRIORIZADOS!$A:$H,8,FALSE)),"")</f>
        <v>Autoevaluación Institucional y Pruebas SABER 11</v>
      </c>
      <c r="I1042" s="11" t="str">
        <f>IFERROR(IF(VLOOKUP(A1042,[8]PRIORIZADOS!$A:$I,9,FALSE)="","",VLOOKUP(A1042,[8]PRIORIZADOS!$A:$I,9,FALSE)),"")</f>
        <v>EVALUACIÓN_CON_FINES_DE_MEJORAMIENTO.</v>
      </c>
      <c r="J1042" s="11" t="str">
        <f>IFERROR(IF(VLOOKUP(A1042,[8]PRIORIZADOS!$A:$J,10,FALSE)="","",VLOOKUP(A1042,[8]PRIORIZADOS!$A:$J,10,FALSE)),"")</f>
        <v>Verificar el funcionamiento del Gobierno Escolar e instancias de participación con base en la información sobre conformación reportada por la institución educativa.</v>
      </c>
      <c r="K1042" s="11" t="str">
        <f>IFERROR(IF(VLOOKUP(A1042,[8]PRIORIZADOS!$A:$K,11,FALSE)="","",VLOOKUP(A1042,[8]PRIORIZADOS!$A:$K,11,FALSE)),"")</f>
        <v>LUCY GONZÁLEZ LERMA</v>
      </c>
      <c r="L1042" s="11" t="str">
        <f>IFERROR(IF(VLOOKUP(A1042,[8]PRIORIZADOS!$A:$L,12,FALSE)="","",VLOOKUP(A1042,[8]PRIORIZADOS!$A:$L,12,FALSE)),"")</f>
        <v xml:space="preserve">DIANA ZULAY HUERTAS ORTÍZ </v>
      </c>
      <c r="M1042" s="71">
        <f>IFERROR(IF(VLOOKUP(A1042,[8]PRIORIZADOS!$A:$M,13,FALSE)="","",VLOOKUP(A1042,[8]PRIORIZADOS!$A:$M,13,FALSE)),"")</f>
        <v>45735</v>
      </c>
      <c r="N1042" s="71">
        <f>IFERROR(IF(VLOOKUP(A1042,[8]PRIORIZADOS!$A:$N,14,FALSE)="","",VLOOKUP(A1042,[8]PRIORIZADOS!$A:$N,14,FALSE)),"")</f>
        <v>45895</v>
      </c>
      <c r="O1042" s="71">
        <f>IFERROR(IF(VLOOKUP(A1042,[8]PRIORIZADOS!$A:$O,15,FALSE)="","",VLOOKUP(A1042,[8]PRIORIZADOS!$A:$O,15,FALSE)),"")</f>
        <v>45896</v>
      </c>
      <c r="P1042" s="11" t="str">
        <f>IFERROR(IF(VLOOKUP(A1042,[8]PRIORIZADOS!$A:$P,16,FALSE)="","",VLOOKUP(A1042,[8]PRIORIZADOS!$A:$P,16,FALSE)),"")</f>
        <v>Visitas de evaluación con fines de mejoramiento</v>
      </c>
      <c r="Q1042" s="27" t="s">
        <v>192</v>
      </c>
      <c r="R1042" s="159" t="s">
        <v>194</v>
      </c>
      <c r="S1042" s="11" t="str">
        <f>IFERROR(IF(VLOOKUP(A1042,[8]PRIORIZADOS!$A:$S,19,FALSE)="","",VLOOKUP(A1042,[8]PRIORIZADOS!$A:$S,19,FALSE)),"")</f>
        <v>Mantener y ejecutar los procesos de participación por parte de los diferentes estamentos.</v>
      </c>
      <c r="T1042" s="70" t="str">
        <f>IFERROR(IF(VLOOKUP(A1042,[8]PRIORIZADOS!$A:$T,20,FALSE)="","",VLOOKUP(A1042,[8]PRIORIZADOS!$A:$T,20,FALSE)),"")</f>
        <v>No</v>
      </c>
      <c r="U1042" s="11" t="str">
        <f>IFERROR(IF(VLOOKUP(A1042,[8]PRIORIZADOS!$A:$U,21,FALSE)="","",VLOOKUP(A1042,[8]PRIORIZADOS!$A:$U,21,FALSE)),"")</f>
        <v>Verificar la operatividad  de los diferentes órganos de participación. Se realiza mesa de seguimiento el día 23 de septiembre 2025.</v>
      </c>
    </row>
    <row r="1043" spans="1:21" s="1" customFormat="1" ht="60.75" customHeight="1">
      <c r="A1043" s="69">
        <f>IF([8]PRIORIZADOS!A22="","",[8]PRIORIZADOS!A22)</f>
        <v>2785</v>
      </c>
      <c r="B1043" s="70">
        <v>2</v>
      </c>
      <c r="C1043" s="11" t="str">
        <f>IFERROR(IF(VLOOKUP(A1043,[8]PRIORIZADOS!$A:$C,3,FALSE)="","",VLOOKUP(A1043,[8]PRIORIZADOS!$A:$C,3,FALSE)),"")</f>
        <v>KENNEDY</v>
      </c>
      <c r="D1043" s="11" t="str">
        <f>IFERROR(IF(VLOOKUP(A1043,[8]PRIORIZADOS!$A:$D,4,FALSE)="","",VLOOKUP(A1043,[8]PRIORIZADOS!$A:$D,4,FALSE)),"")</f>
        <v>PRIVADO</v>
      </c>
      <c r="E1043" s="11" t="str">
        <f>IFERROR(IF(VLOOKUP(A1043,[8]PRIORIZADOS!$A:$E,5,FALSE)="","",VLOOKUP(A1043,[8]PRIORIZADOS!$A:$E,5,FALSE)),"")</f>
        <v>EPBM</v>
      </c>
      <c r="F1043" s="11" t="str">
        <f>IFERROR(IF(VLOOKUP(A1043,[8]PRIORIZADOS!$A:$F,6,FALSE)="","",VLOOKUP(A1043,[8]PRIORIZADOS!$A:$F,6,FALSE)),"")</f>
        <v>COLEGIO_ALEXANDER_FLEMING</v>
      </c>
      <c r="G1043" s="11" t="str">
        <f>IFERROR(IF(VLOOKUP(A1043,[8]PRIORIZADOS!$A:$G,7,FALSE)="","",VLOOKUP(A1043,[8]PRIORIZADOS!$A:$G,7,FALSE)),"")</f>
        <v>COLEGIO ALEXANDER FLEMING</v>
      </c>
      <c r="H1043" s="11" t="str">
        <f>IFERROR(IF(VLOOKUP(A1043,[8]PRIORIZADOS!$A:$H,8,FALSE)="","",VLOOKUP(A1043,[8]PRIORIZADOS!$A:$H,8,FALSE)),"")</f>
        <v>Autoevaluación Institucional y Pruebas SABER 11</v>
      </c>
      <c r="I1043" s="11" t="str">
        <f>IFERROR(IF(VLOOKUP(A1043,[8]PRIORIZADOS!$A:$I,9,FALSE)="","",VLOOKUP(A1043,[8]PRIORIZADOS!$A:$I,9,FALSE)),"")</f>
        <v>EVALUACIÓN_CON_FINES_DE_MEJORAMIENTO.</v>
      </c>
      <c r="J1043" s="11" t="str">
        <f>IFERROR(IF(VLOOKUP(A1043,[8]PRIORIZADOS!$A:$J,10,FALSE)="","",VLOOKUP(A1043,[8]PRIORIZADOS!$A:$J,10,FALSE)),"")</f>
        <v>Verificar las condiciones en cuanto a: la estructura administrativa, condiciones de la planta física y medios educativos adecuados.</v>
      </c>
      <c r="K1043" s="11" t="str">
        <f>IFERROR(IF(VLOOKUP(A1043,[8]PRIORIZADOS!$A:$K,11,FALSE)="","",VLOOKUP(A1043,[8]PRIORIZADOS!$A:$K,11,FALSE)),"")</f>
        <v>GERMÁN EDUARDO TORO ROSERO</v>
      </c>
      <c r="L1043" s="11" t="str">
        <f>IFERROR(IF(VLOOKUP(A1043,[8]PRIORIZADOS!$A:$L,12,FALSE)="","",VLOOKUP(A1043,[8]PRIORIZADOS!$A:$L,12,FALSE)),"")</f>
        <v xml:space="preserve">DIANA ZULAY HUERTAS ORTÍZ </v>
      </c>
      <c r="M1043" s="71">
        <f>IFERROR(IF(VLOOKUP(A1043,[8]PRIORIZADOS!$A:$M,13,FALSE)="","",VLOOKUP(A1043,[8]PRIORIZADOS!$A:$M,13,FALSE)),"")</f>
        <v>45735</v>
      </c>
      <c r="N1043" s="71">
        <f>IFERROR(IF(VLOOKUP(A1043,[8]PRIORIZADOS!$A:$N,14,FALSE)="","",VLOOKUP(A1043,[8]PRIORIZADOS!$A:$N,14,FALSE)),"")</f>
        <v>45895</v>
      </c>
      <c r="O1043" s="71">
        <f>IFERROR(IF(VLOOKUP(A1043,[8]PRIORIZADOS!$A:$O,15,FALSE)="","",VLOOKUP(A1043,[8]PRIORIZADOS!$A:$O,15,FALSE)),"")</f>
        <v>45896</v>
      </c>
      <c r="P1043" s="11" t="str">
        <f>IFERROR(IF(VLOOKUP(A1043,[8]PRIORIZADOS!$A:$P,16,FALSE)="","",VLOOKUP(A1043,[8]PRIORIZADOS!$A:$P,16,FALSE)),"")</f>
        <v>Visitas de evaluación con fines de mejoramiento</v>
      </c>
      <c r="Q1043" s="27" t="s">
        <v>192</v>
      </c>
      <c r="R1043" s="158" t="s">
        <v>195</v>
      </c>
      <c r="S1043" s="11" t="str">
        <f>IFERROR(IF(VLOOKUP(A1043,[8]PRIORIZADOS!$A:$S,19,FALSE)="","",VLOOKUP(A1043,[8]PRIORIZADOS!$A:$S,19,FALSE)),"")</f>
        <v>Ajustar el organigrama de la instrucción educativa de acuerdo a los perfiles que se encuentran en la institución y verificar que todos los perfiles incluidos en el organigrama estén documentados.</v>
      </c>
      <c r="T1043" s="70" t="str">
        <f>IFERROR(IF(VLOOKUP(A1043,[8]PRIORIZADOS!$A:$T,20,FALSE)="","",VLOOKUP(A1043,[8]PRIORIZADOS!$A:$T,20,FALSE)),"")</f>
        <v>Si</v>
      </c>
      <c r="U1043" s="11" t="str">
        <f>IFERROR(IF(VLOOKUP(A1043,[8]PRIORIZADOS!$A:$U,21,FALSE)="","",VLOOKUP(A1043,[8]PRIORIZADOS!$A:$U,21,FALSE)),"")</f>
        <v>Revisar el organigrama institucional y verificar que los perfiles descritos estén documentados. Se realiza mesa de seguimiento el día 23 de septiembre 2025.</v>
      </c>
    </row>
    <row r="1044" spans="1:21" s="1" customFormat="1" ht="115.5">
      <c r="A1044" s="69">
        <f>IF([8]PRIORIZADOS!A23="","",[8]PRIORIZADOS!A23)</f>
        <v>994</v>
      </c>
      <c r="B1044" s="70">
        <f>IFERROR(IF(VLOOKUP(A1044,[8]PRIORIZADOS!$A:$B,2,FALSE)="","",VLOOKUP(A1044,[8]PRIORIZADOS!$A:$B,2,FALSE)),"")</f>
        <v>3</v>
      </c>
      <c r="C1044" s="11" t="str">
        <f>IFERROR(IF(VLOOKUP(A1044,[8]PRIORIZADOS!$A:$C,3,FALSE)="","",VLOOKUP(A1044,[8]PRIORIZADOS!$A:$C,3,FALSE)),"")</f>
        <v>KENNEDY</v>
      </c>
      <c r="D1044" s="11" t="str">
        <f>IFERROR(IF(VLOOKUP(A1044,[8]PRIORIZADOS!$A:$D,4,FALSE)="","",VLOOKUP(A1044,[8]PRIORIZADOS!$A:$D,4,FALSE)),"")</f>
        <v>PRIVADO</v>
      </c>
      <c r="E1044" s="11" t="str">
        <f>IFERROR(IF(VLOOKUP(A1044,[8]PRIORIZADOS!$A:$E,5,FALSE)="","",VLOOKUP(A1044,[8]PRIORIZADOS!$A:$E,5,FALSE)),"")</f>
        <v>EPBM</v>
      </c>
      <c r="F1044" s="11" t="str">
        <f>IFERROR(IF(VLOOKUP(A1044,[8]PRIORIZADOS!$A:$F,6,FALSE)="","",VLOOKUP(A1044,[8]PRIORIZADOS!$A:$F,6,FALSE)),"")</f>
        <v>COLEGIO_ANTARES</v>
      </c>
      <c r="G1044" s="11" t="str">
        <f>IFERROR(IF(VLOOKUP(A1044,[8]PRIORIZADOS!$A:$G,7,FALSE)="","",VLOOKUP(A1044,[8]PRIORIZADOS!$A:$G,7,FALSE)),"")</f>
        <v>COLEGIO ANTARES</v>
      </c>
      <c r="H1044" s="11" t="str">
        <f>IFERROR(IF(VLOOKUP(A1044,[8]PRIORIZADOS!$A:$H,8,FALSE)="","",VLOOKUP(A1044,[8]PRIORIZADOS!$A:$H,8,FALSE)),"")</f>
        <v>Autoevaluación Institucional y Pruebas SABER 11</v>
      </c>
      <c r="I1044" s="11" t="str">
        <f>IFERROR(IF(VLOOKUP(A1044,[8]PRIORIZADOS!$A:$I,9,FALSE)="","",VLOOKUP(A1044,[8]PRIORIZADOS!$A:$I,9,FALSE)),"")</f>
        <v>SEGUIMIENTO_Y_SUPERVISIÓN.</v>
      </c>
      <c r="J1044" s="11" t="str">
        <f>IFERROR(IF(VLOOKUP(A1044,[8]PRIORIZADOS!$A:$J,10,FALSE)="","",VLOOKUP(A1044,[8]PRIORIZADOS!$A:$J,10,FALSE)),"")</f>
        <v>Realizar visitas para verificar la información registrada sobre la autoevaluación institucional en el aplicativo EVI, a los establecimientos de educación formal no oficial.</v>
      </c>
      <c r="K1044" s="11" t="str">
        <f>IFERROR(IF(VLOOKUP(A1044,[8]PRIORIZADOS!$A:$K,11,FALSE)="","",VLOOKUP(A1044,[8]PRIORIZADOS!$A:$K,11,FALSE)),"")</f>
        <v>INGRID VIVIANA DÁVILA ÁVILA</v>
      </c>
      <c r="L1044" s="11" t="str">
        <f>IFERROR(IF(VLOOKUP(A1044,[8]PRIORIZADOS!$A:$L,12,FALSE)="","",VLOOKUP(A1044,[8]PRIORIZADOS!$A:$L,12,FALSE)),"")</f>
        <v>LUIS FERNANDO CÁRDENAS URAN</v>
      </c>
      <c r="M1044" s="71">
        <f>IFERROR(IF(VLOOKUP(A1044,[8]PRIORIZADOS!$A:$M,13,FALSE)="","",VLOOKUP(A1044,[8]PRIORIZADOS!$A:$M,13,FALSE)),"")</f>
        <v>45736</v>
      </c>
      <c r="N1044" s="71">
        <f>IFERROR(IF(VLOOKUP(A1044,[8]PRIORIZADOS!$A:$N,14,FALSE)="","",VLOOKUP(A1044,[8]PRIORIZADOS!$A:$N,14,FALSE)),"")</f>
        <v>45896</v>
      </c>
      <c r="O1044" s="71">
        <f>IFERROR(IF(VLOOKUP(A1044,[8]PRIORIZADOS!$A:$O,15,FALSE)="","",VLOOKUP(A1044,[8]PRIORIZADOS!$A:$O,15,FALSE)),"")</f>
        <v>45896</v>
      </c>
      <c r="P1044" s="11" t="str">
        <f>IFERROR(IF(VLOOKUP(A1044,[8]PRIORIZADOS!$A:$P,16,FALSE)="","",VLOOKUP(A1044,[8]PRIORIZADOS!$A:$P,16,FALSE)),"")</f>
        <v>Visitas de evaluación con fines de mejoramiento</v>
      </c>
      <c r="Q1044" s="160" t="s">
        <v>196</v>
      </c>
      <c r="R1044" s="158" t="s">
        <v>197</v>
      </c>
      <c r="S1044" s="11" t="str">
        <f>IFERROR(IF(VLOOKUP(A1044,[8]PRIORIZADOS!$A:$S,19,FALSE)="","",VLOOKUP(A1044,[8]PRIORIZADOS!$A:$S,19,FALSE)),"")</f>
        <v>Continuar registrado la información en la autoevaluación institucional acorde a las capacidades y realidades de la institución</v>
      </c>
      <c r="T1044" s="70" t="str">
        <f>IFERROR(IF(VLOOKUP(A1044,[8]PRIORIZADOS!$A:$T,20,FALSE)="","",VLOOKUP(A1044,[8]PRIORIZADOS!$A:$T,20,FALSE)),"")</f>
        <v>No</v>
      </c>
      <c r="U1044" s="11" t="str">
        <f>IFERROR(IF(VLOOKUP(A1044,[8]PRIORIZADOS!$A:$U,21,FALSE)="","",VLOOKUP(A1044,[8]PRIORIZADOS!$A:$U,21,FALSE)),"")</f>
        <v xml:space="preserve">Validar las acciones planificadas por la institución educativa en su plan de mejora. </v>
      </c>
    </row>
    <row r="1045" spans="1:21" s="1" customFormat="1" ht="60">
      <c r="A1045" s="69">
        <f>IF([8]PRIORIZADOS!A24="","",[8]PRIORIZADOS!A24)</f>
        <v>995</v>
      </c>
      <c r="B1045" s="70">
        <v>3</v>
      </c>
      <c r="C1045" s="11" t="str">
        <f>IFERROR(IF(VLOOKUP(A1045,[8]PRIORIZADOS!$A:$C,3,FALSE)="","",VLOOKUP(A1045,[8]PRIORIZADOS!$A:$C,3,FALSE)),"")</f>
        <v>KENNEDY</v>
      </c>
      <c r="D1045" s="11" t="str">
        <f>IFERROR(IF(VLOOKUP(A1045,[8]PRIORIZADOS!$A:$D,4,FALSE)="","",VLOOKUP(A1045,[8]PRIORIZADOS!$A:$D,4,FALSE)),"")</f>
        <v>PRIVADO</v>
      </c>
      <c r="E1045" s="11" t="str">
        <f>IFERROR(IF(VLOOKUP(A1045,[8]PRIORIZADOS!$A:$E,5,FALSE)="","",VLOOKUP(A1045,[8]PRIORIZADOS!$A:$E,5,FALSE)),"")</f>
        <v>EPBM</v>
      </c>
      <c r="F1045" s="11" t="str">
        <f>IFERROR(IF(VLOOKUP(A1045,[8]PRIORIZADOS!$A:$F,6,FALSE)="","",VLOOKUP(A1045,[8]PRIORIZADOS!$A:$F,6,FALSE)),"")</f>
        <v>COLEGIO_ANTARES</v>
      </c>
      <c r="G1045" s="11" t="str">
        <f>IFERROR(IF(VLOOKUP(A1045,[8]PRIORIZADOS!$A:$G,7,FALSE)="","",VLOOKUP(A1045,[8]PRIORIZADOS!$A:$G,7,FALSE)),"")</f>
        <v>COLEGIO ANTARES</v>
      </c>
      <c r="H1045" s="11" t="str">
        <f>IFERROR(IF(VLOOKUP(A1045,[8]PRIORIZADOS!$A:$H,8,FALSE)="","",VLOOKUP(A1045,[8]PRIORIZADOS!$A:$H,8,FALSE)),"")</f>
        <v>Autoevaluación Institucional y Pruebas SABER 11</v>
      </c>
      <c r="I1045" s="11" t="str">
        <f>IFERROR(IF(VLOOKUP(A1045,[8]PRIORIZADOS!$A:$I,9,FALSE)="","",VLOOKUP(A1045,[8]PRIORIZADOS!$A:$I,9,FALSE)),"")</f>
        <v>SEGUIMIENTO_Y_SUPERVISIÓN.</v>
      </c>
      <c r="J1045" s="11" t="str">
        <f>IFERROR(IF(VLOOKUP(A1045,[8]PRIORIZADOS!$A:$J,10,FALSE)="","",VLOOKUP(A1045,[8]PRIORIZADOS!$A:$J,10,FALSE)),"")</f>
        <v>Proponer estrategias en la formulación, verificar su elaboración y realizar seguimiento semestral al desarrollo de  las acciones establecidas en los planes de mejoramiento por pruebas SABER 11 de los establecimientos de educación formal.</v>
      </c>
      <c r="K1045" s="11" t="str">
        <f>IFERROR(IF(VLOOKUP(A1045,[8]PRIORIZADOS!$A:$K,11,FALSE)="","",VLOOKUP(A1045,[8]PRIORIZADOS!$A:$K,11,FALSE)),"")</f>
        <v>INGRID VIVIANA DÁVILA ÁVILA</v>
      </c>
      <c r="L1045" s="11" t="str">
        <f>IFERROR(IF(VLOOKUP(A1045,[8]PRIORIZADOS!$A:$L,12,FALSE)="","",VLOOKUP(A1045,[8]PRIORIZADOS!$A:$L,12,FALSE)),"")</f>
        <v>LUIS FERNANDO CÁRDENAS URAN</v>
      </c>
      <c r="M1045" s="71">
        <f>IFERROR(IF(VLOOKUP(A1045,[8]PRIORIZADOS!$A:$M,13,FALSE)="","",VLOOKUP(A1045,[8]PRIORIZADOS!$A:$M,13,FALSE)),"")</f>
        <v>45736</v>
      </c>
      <c r="N1045" s="71">
        <f>IFERROR(IF(VLOOKUP(A1045,[8]PRIORIZADOS!$A:$N,14,FALSE)="","",VLOOKUP(A1045,[8]PRIORIZADOS!$A:$N,14,FALSE)),"")</f>
        <v>45896</v>
      </c>
      <c r="O1045" s="71">
        <f>IFERROR(IF(VLOOKUP(A1045,[8]PRIORIZADOS!$A:$O,15,FALSE)="","",VLOOKUP(A1045,[8]PRIORIZADOS!$A:$O,15,FALSE)),"")</f>
        <v>45896</v>
      </c>
      <c r="P1045" s="11" t="str">
        <f>IFERROR(IF(VLOOKUP(A1045,[8]PRIORIZADOS!$A:$P,16,FALSE)="","",VLOOKUP(A1045,[8]PRIORIZADOS!$A:$P,16,FALSE)),"")</f>
        <v>Visitas de evaluación con fines de mejoramiento</v>
      </c>
      <c r="Q1045" s="161" t="s">
        <v>196</v>
      </c>
      <c r="R1045" s="11" t="str">
        <f>IFERROR(IF(VLOOKUP(A1045,[8]PRIORIZADOS!$A:$R,18,FALSE)="","",VLOOKUP(A1045,[8]PRIORIZADOS!$A:$R,18,FALSE)),"")</f>
        <v>El colegio indica que ha implementado estrategias sin embargo no se encuentran documentadas y avaladas por el consejo directivo y académico</v>
      </c>
      <c r="S1045" s="11" t="str">
        <f>IFERROR(IF(VLOOKUP(A1045,[8]PRIORIZADOS!$A:$S,19,FALSE)="","",VLOOKUP(A1045,[8]PRIORIZADOS!$A:$S,19,FALSE)),"")</f>
        <v>Realizar análisis, formulación y plan de mejora en las pruebas saber 11,  las cuales deben estar avaladas por consejo directivo y académico</v>
      </c>
      <c r="T1045" s="70" t="str">
        <f>IFERROR(IF(VLOOKUP(A1045,[8]PRIORIZADOS!$A:$T,20,FALSE)="","",VLOOKUP(A1045,[8]PRIORIZADOS!$A:$T,20,FALSE)),"")</f>
        <v>Si</v>
      </c>
      <c r="U1045" s="11" t="str">
        <f>IFERROR(IF(VLOOKUP(A1045,[8]PRIORIZADOS!$A:$U,21,FALSE)="","",VLOOKUP(A1045,[8]PRIORIZADOS!$A:$U,21,FALSE)),"")</f>
        <v xml:space="preserve">Validar las acciones planificadas por la institución educativa en su plan de mejora  Se realiza mesa de seguimiento el día 23 de septiembre 2025. De acuerdo al acta se validará el 23 de enero el cumplimiento de los compromisos faltantes. </v>
      </c>
    </row>
    <row r="1046" spans="1:21" s="1" customFormat="1" ht="48">
      <c r="A1046" s="69">
        <f>IF([8]PRIORIZADOS!A25="","",[8]PRIORIZADOS!A25)</f>
        <v>996</v>
      </c>
      <c r="B1046" s="70">
        <v>3</v>
      </c>
      <c r="C1046" s="11" t="str">
        <f>IFERROR(IF(VLOOKUP(A1046,[8]PRIORIZADOS!$A:$C,3,FALSE)="","",VLOOKUP(A1046,[8]PRIORIZADOS!$A:$C,3,FALSE)),"")</f>
        <v>KENNEDY</v>
      </c>
      <c r="D1046" s="11" t="str">
        <f>IFERROR(IF(VLOOKUP(A1046,[8]PRIORIZADOS!$A:$D,4,FALSE)="","",VLOOKUP(A1046,[8]PRIORIZADOS!$A:$D,4,FALSE)),"")</f>
        <v>PRIVADO</v>
      </c>
      <c r="E1046" s="11" t="str">
        <f>IFERROR(IF(VLOOKUP(A1046,[8]PRIORIZADOS!$A:$E,5,FALSE)="","",VLOOKUP(A1046,[8]PRIORIZADOS!$A:$E,5,FALSE)),"")</f>
        <v>EPBM</v>
      </c>
      <c r="F1046" s="11" t="str">
        <f>IFERROR(IF(VLOOKUP(A1046,[8]PRIORIZADOS!$A:$F,6,FALSE)="","",VLOOKUP(A1046,[8]PRIORIZADOS!$A:$F,6,FALSE)),"")</f>
        <v>COLEGIO_ANTARES</v>
      </c>
      <c r="G1046" s="11" t="str">
        <f>IFERROR(IF(VLOOKUP(A1046,[8]PRIORIZADOS!$A:$G,7,FALSE)="","",VLOOKUP(A1046,[8]PRIORIZADOS!$A:$G,7,FALSE)),"")</f>
        <v>COLEGIO ANTARES</v>
      </c>
      <c r="H1046" s="11" t="str">
        <f>IFERROR(IF(VLOOKUP(A1046,[8]PRIORIZADOS!$A:$H,8,FALSE)="","",VLOOKUP(A1046,[8]PRIORIZADOS!$A:$H,8,FALSE)),"")</f>
        <v>Autoevaluación Institucional y Pruebas SABER 11</v>
      </c>
      <c r="I1046" s="11" t="str">
        <f>IFERROR(IF(VLOOKUP(A1046,[8]PRIORIZADOS!$A:$I,9,FALSE)="","",VLOOKUP(A1046,[8]PRIORIZADOS!$A:$I,9,FALSE)),"")</f>
        <v>SEGUIMIENTO_Y_SUPERVISIÓN.</v>
      </c>
      <c r="J1046" s="11" t="str">
        <f>IFERROR(IF(VLOOKUP(A1046,[8]PRIORIZADOS!$A:$J,10,FALSE)="","",VLOOKUP(A1046,[8]PRIORIZADOS!$A:$J,10,FALSE)),"")</f>
        <v xml:space="preserve">Verificar la implementación por parte de los colegios, de acciones realizadas para la prevención y atención de las situaciones de convivencia en el entorno escolar, según lo establecido en la Directiva 01 de 2022 del MEN. </v>
      </c>
      <c r="K1046" s="11" t="str">
        <f>IFERROR(IF(VLOOKUP(A1046,[8]PRIORIZADOS!$A:$K,11,FALSE)="","",VLOOKUP(A1046,[8]PRIORIZADOS!$A:$K,11,FALSE)),"")</f>
        <v>INGRID VIVIANA DÁVILA ÁVILA</v>
      </c>
      <c r="L1046" s="11" t="str">
        <f>IFERROR(IF(VLOOKUP(A1046,[8]PRIORIZADOS!$A:$L,12,FALSE)="","",VLOOKUP(A1046,[8]PRIORIZADOS!$A:$L,12,FALSE)),"")</f>
        <v>LUIS FERNANDO CÁRDENAS URAN</v>
      </c>
      <c r="M1046" s="71">
        <f>IFERROR(IF(VLOOKUP(A1046,[8]PRIORIZADOS!$A:$M,13,FALSE)="","",VLOOKUP(A1046,[8]PRIORIZADOS!$A:$M,13,FALSE)),"")</f>
        <v>45736</v>
      </c>
      <c r="N1046" s="71">
        <f>IFERROR(IF(VLOOKUP(A1046,[8]PRIORIZADOS!$A:$N,14,FALSE)="","",VLOOKUP(A1046,[8]PRIORIZADOS!$A:$N,14,FALSE)),"")</f>
        <v>45896</v>
      </c>
      <c r="O1046" s="71">
        <f>IFERROR(IF(VLOOKUP(A1046,[8]PRIORIZADOS!$A:$O,15,FALSE)="","",VLOOKUP(A1046,[8]PRIORIZADOS!$A:$O,15,FALSE)),"")</f>
        <v>45896</v>
      </c>
      <c r="P1046" s="11" t="str">
        <f>IFERROR(IF(VLOOKUP(A1046,[8]PRIORIZADOS!$A:$P,16,FALSE)="","",VLOOKUP(A1046,[8]PRIORIZADOS!$A:$P,16,FALSE)),"")</f>
        <v>Visitas de evaluación con fines de mejoramiento</v>
      </c>
      <c r="Q1046" s="161" t="s">
        <v>196</v>
      </c>
      <c r="R1046" s="11" t="str">
        <f>IFERROR(IF(VLOOKUP(A1046,[8]PRIORIZADOS!$A:$R,18,FALSE)="","",VLOOKUP(A1046,[8]PRIORIZADOS!$A:$R,18,FALSE)),"")</f>
        <v>El colegio realiza jornadas de promoción y prevención en temas de convivencia escolar</v>
      </c>
      <c r="S1046" s="11" t="str">
        <f>IFERROR(IF(VLOOKUP(A1046,[8]PRIORIZADOS!$A:$S,19,FALSE)="","",VLOOKUP(A1046,[8]PRIORIZADOS!$A:$S,19,FALSE)),"")</f>
        <v>Continuar con las actividades de promoción y prevención y activar los protocolos de convivencia escolar en caso que se requiera</v>
      </c>
      <c r="T1046" s="70" t="str">
        <f>IFERROR(IF(VLOOKUP(A1046,[8]PRIORIZADOS!$A:$T,20,FALSE)="","",VLOOKUP(A1046,[8]PRIORIZADOS!$A:$T,20,FALSE)),"")</f>
        <v>No</v>
      </c>
      <c r="U1046" s="11" t="str">
        <f>IFERROR(IF(VLOOKUP(A1046,[8]PRIORIZADOS!$A:$U,21,FALSE)="","",VLOOKUP(A1046,[8]PRIORIZADOS!$A:$U,21,FALSE)),"")</f>
        <v>Validar las acciones planificadas por la institución educativa en su plan de mejora</v>
      </c>
    </row>
    <row r="1047" spans="1:21" s="1" customFormat="1" ht="72">
      <c r="A1047" s="69">
        <f>IF([8]PRIORIZADOS!A26="","",[8]PRIORIZADOS!A26)</f>
        <v>997</v>
      </c>
      <c r="B1047" s="70">
        <v>3</v>
      </c>
      <c r="C1047" s="11" t="str">
        <f>IFERROR(IF(VLOOKUP(A1047,[8]PRIORIZADOS!$A:$C,3,FALSE)="","",VLOOKUP(A1047,[8]PRIORIZADOS!$A:$C,3,FALSE)),"")</f>
        <v>KENNEDY</v>
      </c>
      <c r="D1047" s="11" t="str">
        <f>IFERROR(IF(VLOOKUP(A1047,[8]PRIORIZADOS!$A:$D,4,FALSE)="","",VLOOKUP(A1047,[8]PRIORIZADOS!$A:$D,4,FALSE)),"")</f>
        <v>PRIVADO</v>
      </c>
      <c r="E1047" s="11" t="str">
        <f>IFERROR(IF(VLOOKUP(A1047,[8]PRIORIZADOS!$A:$E,5,FALSE)="","",VLOOKUP(A1047,[8]PRIORIZADOS!$A:$E,5,FALSE)),"")</f>
        <v>EPBM</v>
      </c>
      <c r="F1047" s="11" t="str">
        <f>IFERROR(IF(VLOOKUP(A1047,[8]PRIORIZADOS!$A:$F,6,FALSE)="","",VLOOKUP(A1047,[8]PRIORIZADOS!$A:$F,6,FALSE)),"")</f>
        <v>COLEGIO_ANTARES</v>
      </c>
      <c r="G1047" s="11" t="str">
        <f>IFERROR(IF(VLOOKUP(A1047,[8]PRIORIZADOS!$A:$G,7,FALSE)="","",VLOOKUP(A1047,[8]PRIORIZADOS!$A:$G,7,FALSE)),"")</f>
        <v>COLEGIO ANTARES</v>
      </c>
      <c r="H1047" s="11" t="str">
        <f>IFERROR(IF(VLOOKUP(A1047,[8]PRIORIZADOS!$A:$H,8,FALSE)="","",VLOOKUP(A1047,[8]PRIORIZADOS!$A:$H,8,FALSE)),"")</f>
        <v>Autoevaluación Institucional y Pruebas SABER 11</v>
      </c>
      <c r="I1047" s="11" t="str">
        <f>IFERROR(IF(VLOOKUP(A1047,[8]PRIORIZADOS!$A:$I,9,FALSE)="","",VLOOKUP(A1047,[8]PRIORIZADOS!$A:$I,9,FALSE)),"")</f>
        <v>SEGUIMIENTO_Y_SUPERVISIÓN.</v>
      </c>
      <c r="J1047" s="11" t="str">
        <f>IFERROR(IF(VLOOKUP(A1047,[8]PRIORIZADOS!$A:$J,10,FALSE)="","",VLOOKUP(A1047,[8]PRIORIZADOS!$A:$J,10,FALSE)),"")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47" s="11" t="str">
        <f>IFERROR(IF(VLOOKUP(A1047,[8]PRIORIZADOS!$A:$K,11,FALSE)="","",VLOOKUP(A1047,[8]PRIORIZADOS!$A:$K,11,FALSE)),"")</f>
        <v>INGRID VIVIANA DÁVILA ÁVILA</v>
      </c>
      <c r="L1047" s="11" t="str">
        <f>IFERROR(IF(VLOOKUP(A1047,[8]PRIORIZADOS!$A:$L,12,FALSE)="","",VLOOKUP(A1047,[8]PRIORIZADOS!$A:$L,12,FALSE)),"")</f>
        <v>LUIS FERNANDO CÁRDENAS URAN</v>
      </c>
      <c r="M1047" s="71">
        <f>IFERROR(IF(VLOOKUP(A1047,[8]PRIORIZADOS!$A:$M,13,FALSE)="","",VLOOKUP(A1047,[8]PRIORIZADOS!$A:$M,13,FALSE)),"")</f>
        <v>45736</v>
      </c>
      <c r="N1047" s="71">
        <f>IFERROR(IF(VLOOKUP(A1047,[8]PRIORIZADOS!$A:$N,14,FALSE)="","",VLOOKUP(A1047,[8]PRIORIZADOS!$A:$N,14,FALSE)),"")</f>
        <v>45896</v>
      </c>
      <c r="O1047" s="71">
        <f>IFERROR(IF(VLOOKUP(A1047,[8]PRIORIZADOS!$A:$O,15,FALSE)="","",VLOOKUP(A1047,[8]PRIORIZADOS!$A:$O,15,FALSE)),"")</f>
        <v>45896</v>
      </c>
      <c r="P1047" s="11" t="str">
        <f>IFERROR(IF(VLOOKUP(A1047,[8]PRIORIZADOS!$A:$P,16,FALSE)="","",VLOOKUP(A1047,[8]PRIORIZADOS!$A:$P,16,FALSE)),"")</f>
        <v>Visitas de evaluación con fines de mejoramiento</v>
      </c>
      <c r="Q1047" s="161" t="s">
        <v>196</v>
      </c>
      <c r="R1047" s="11" t="str">
        <f>IFERROR(IF(VLOOKUP(A1047,[8]PRIORIZADOS!$A:$R,18,FALSE)="","",VLOOKUP(A1047,[8]PRIORIZADOS!$A:$R,18,FALSE)),"")</f>
        <v>Cuenta con PIAR para los 5 estudiantes de inclusión que se encuentran matriculados</v>
      </c>
      <c r="S1047" s="11" t="str">
        <f>IFERROR(IF(VLOOKUP(A1047,[8]PRIORIZADOS!$A:$S,19,FALSE)="","",VLOOKUP(A1047,[8]PRIORIZADOS!$A:$S,19,FALSE)),"")</f>
        <v>Realizar los ajustes al PIAR en los casos que sean pertinentes</v>
      </c>
      <c r="T1047" s="70" t="str">
        <f>IFERROR(IF(VLOOKUP(A1047,[8]PRIORIZADOS!$A:$T,20,FALSE)="","",VLOOKUP(A1047,[8]PRIORIZADOS!$A:$T,20,FALSE)),"")</f>
        <v>No</v>
      </c>
      <c r="U1047" s="11" t="str">
        <f>IFERROR(IF(VLOOKUP(A1047,[8]PRIORIZADOS!$A:$U,21,FALSE)="","",VLOOKUP(A1047,[8]PRIORIZADOS!$A:$U,21,FALSE)),"")</f>
        <v>Validar las acciones planificadas por la institución educativa en su plan de mejora</v>
      </c>
    </row>
    <row r="1048" spans="1:21" s="1" customFormat="1" ht="84">
      <c r="A1048" s="69">
        <f>IF([8]PRIORIZADOS!A27="","",[8]PRIORIZADOS!A27)</f>
        <v>998</v>
      </c>
      <c r="B1048" s="70">
        <v>3</v>
      </c>
      <c r="C1048" s="11" t="str">
        <f>IFERROR(IF(VLOOKUP(A1048,[8]PRIORIZADOS!$A:$C,3,FALSE)="","",VLOOKUP(A1048,[8]PRIORIZADOS!$A:$C,3,FALSE)),"")</f>
        <v>KENNEDY</v>
      </c>
      <c r="D1048" s="11" t="str">
        <f>IFERROR(IF(VLOOKUP(A1048,[8]PRIORIZADOS!$A:$D,4,FALSE)="","",VLOOKUP(A1048,[8]PRIORIZADOS!$A:$D,4,FALSE)),"")</f>
        <v>PRIVADO</v>
      </c>
      <c r="E1048" s="11" t="str">
        <f>IFERROR(IF(VLOOKUP(A1048,[8]PRIORIZADOS!$A:$E,5,FALSE)="","",VLOOKUP(A1048,[8]PRIORIZADOS!$A:$E,5,FALSE)),"")</f>
        <v>EPBM</v>
      </c>
      <c r="F1048" s="11" t="str">
        <f>IFERROR(IF(VLOOKUP(A1048,[8]PRIORIZADOS!$A:$F,6,FALSE)="","",VLOOKUP(A1048,[8]PRIORIZADOS!$A:$F,6,FALSE)),"")</f>
        <v>COLEGIO_ANTARES</v>
      </c>
      <c r="G1048" s="11" t="str">
        <f>IFERROR(IF(VLOOKUP(A1048,[8]PRIORIZADOS!$A:$G,7,FALSE)="","",VLOOKUP(A1048,[8]PRIORIZADOS!$A:$G,7,FALSE)),"")</f>
        <v>COLEGIO ANTARES</v>
      </c>
      <c r="H1048" s="11" t="str">
        <f>IFERROR(IF(VLOOKUP(A1048,[8]PRIORIZADOS!$A:$H,8,FALSE)="","",VLOOKUP(A1048,[8]PRIORIZADOS!$A:$H,8,FALSE)),"")</f>
        <v>Autoevaluación Institucional y Pruebas SABER 11</v>
      </c>
      <c r="I1048" s="11" t="str">
        <f>IFERROR(IF(VLOOKUP(A1048,[8]PRIORIZADOS!$A:$I,9,FALSE)="","",VLOOKUP(A1048,[8]PRIORIZADOS!$A:$I,9,FALSE)),"")</f>
        <v>EVALUACIÓN_CON_FINES_DE_MEJORAMIENTO.</v>
      </c>
      <c r="J1048" s="11" t="str">
        <f>IFERROR(IF(VLOOKUP(A1048,[8]PRIORIZADOS!$A:$J,10,FALSE)="","",VLOOKUP(A1048,[8]PRIORIZADOS!$A:$J,10,FALSE)),"")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48" s="11" t="str">
        <f>IFERROR(IF(VLOOKUP(A1048,[8]PRIORIZADOS!$A:$K,11,FALSE)="","",VLOOKUP(A1048,[8]PRIORIZADOS!$A:$K,11,FALSE)),"")</f>
        <v>INGRID VIVIANA DÁVILA ÁVILA</v>
      </c>
      <c r="L1048" s="11" t="str">
        <f>IFERROR(IF(VLOOKUP(A1048,[8]PRIORIZADOS!$A:$L,12,FALSE)="","",VLOOKUP(A1048,[8]PRIORIZADOS!$A:$L,12,FALSE)),"")</f>
        <v>LUIS FERNANDO CÁRDENAS URAN</v>
      </c>
      <c r="M1048" s="71">
        <f>IFERROR(IF(VLOOKUP(A1048,[8]PRIORIZADOS!$A:$M,13,FALSE)="","",VLOOKUP(A1048,[8]PRIORIZADOS!$A:$M,13,FALSE)),"")</f>
        <v>45736</v>
      </c>
      <c r="N1048" s="71">
        <f>IFERROR(IF(VLOOKUP(A1048,[8]PRIORIZADOS!$A:$N,14,FALSE)="","",VLOOKUP(A1048,[8]PRIORIZADOS!$A:$N,14,FALSE)),"")</f>
        <v>45896</v>
      </c>
      <c r="O1048" s="71">
        <f>IFERROR(IF(VLOOKUP(A1048,[8]PRIORIZADOS!$A:$O,15,FALSE)="","",VLOOKUP(A1048,[8]PRIORIZADOS!$A:$O,15,FALSE)),"")</f>
        <v>45896</v>
      </c>
      <c r="P1048" s="11" t="str">
        <f>IFERROR(IF(VLOOKUP(A1048,[8]PRIORIZADOS!$A:$P,16,FALSE)="","",VLOOKUP(A1048,[8]PRIORIZADOS!$A:$P,16,FALSE)),"")</f>
        <v>Visitas de evaluación con fines de mejoramiento</v>
      </c>
      <c r="Q1048" s="161" t="s">
        <v>196</v>
      </c>
      <c r="R1048" s="11" t="str">
        <f>IFERROR(IF(VLOOKUP(A1048,[8]PRIORIZADOS!$A:$R,18,FALSE)="","",VLOOKUP(A1048,[8]PRIORIZADOS!$A:$R,18,FALSE)),"")</f>
        <v xml:space="preserve">No se encontró evidencia que permita verificar la construcción y actualización participativa del manual de convivencia </v>
      </c>
      <c r="S1048" s="11" t="str">
        <f>IFERROR(IF(VLOOKUP(A1048,[8]PRIORIZADOS!$A:$S,19,FALSE)="","",VLOOKUP(A1048,[8]PRIORIZADOS!$A:$S,19,FALSE)),"")</f>
        <v>Construir de forma participativa con la comunidad educativa la construcción del manual de convivencia y dejar evidencia de esta participación</v>
      </c>
      <c r="T1048" s="70" t="str">
        <f>IFERROR(IF(VLOOKUP(A1048,[8]PRIORIZADOS!$A:$T,20,FALSE)="","",VLOOKUP(A1048,[8]PRIORIZADOS!$A:$T,20,FALSE)),"")</f>
        <v>Si</v>
      </c>
      <c r="U1048" s="11" t="str">
        <f>IFERROR(IF(VLOOKUP(A1048,[8]PRIORIZADOS!$A:$U,21,FALSE)="","",VLOOKUP(A1048,[8]PRIORIZADOS!$A:$U,21,FALSE)),"")</f>
        <v xml:space="preserve">Validar las acciones planificadas por la institución educativa en su plan de mejora.  Se realiza mesa de seguimiento el día 23 de septiembre 2025. De acuerdo al acta se validará el 23 de enero el cumplimiento de los compromisos faltantes. </v>
      </c>
    </row>
    <row r="1049" spans="1:21" s="1" customFormat="1" ht="48">
      <c r="A1049" s="69">
        <f>IF([8]PRIORIZADOS!A28="","",[8]PRIORIZADOS!A28)</f>
        <v>999</v>
      </c>
      <c r="B1049" s="70">
        <v>3</v>
      </c>
      <c r="C1049" s="11" t="str">
        <f>IFERROR(IF(VLOOKUP(A1049,[8]PRIORIZADOS!$A:$C,3,FALSE)="","",VLOOKUP(A1049,[8]PRIORIZADOS!$A:$C,3,FALSE)),"")</f>
        <v>KENNEDY</v>
      </c>
      <c r="D1049" s="11" t="str">
        <f>IFERROR(IF(VLOOKUP(A1049,[8]PRIORIZADOS!$A:$D,4,FALSE)="","",VLOOKUP(A1049,[8]PRIORIZADOS!$A:$D,4,FALSE)),"")</f>
        <v>PRIVADO</v>
      </c>
      <c r="E1049" s="11" t="str">
        <f>IFERROR(IF(VLOOKUP(A1049,[8]PRIORIZADOS!$A:$E,5,FALSE)="","",VLOOKUP(A1049,[8]PRIORIZADOS!$A:$E,5,FALSE)),"")</f>
        <v>EPBM</v>
      </c>
      <c r="F1049" s="11" t="str">
        <f>IFERROR(IF(VLOOKUP(A1049,[8]PRIORIZADOS!$A:$F,6,FALSE)="","",VLOOKUP(A1049,[8]PRIORIZADOS!$A:$F,6,FALSE)),"")</f>
        <v>COLEGIO_ANTARES</v>
      </c>
      <c r="G1049" s="11" t="str">
        <f>IFERROR(IF(VLOOKUP(A1049,[8]PRIORIZADOS!$A:$G,7,FALSE)="","",VLOOKUP(A1049,[8]PRIORIZADOS!$A:$G,7,FALSE)),"")</f>
        <v>COLEGIO ANTARES</v>
      </c>
      <c r="H1049" s="11" t="str">
        <f>IFERROR(IF(VLOOKUP(A1049,[8]PRIORIZADOS!$A:$H,8,FALSE)="","",VLOOKUP(A1049,[8]PRIORIZADOS!$A:$H,8,FALSE)),"")</f>
        <v>Autoevaluación Institucional y Pruebas SABER 11</v>
      </c>
      <c r="I1049" s="11" t="str">
        <f>IFERROR(IF(VLOOKUP(A1049,[8]PRIORIZADOS!$A:$I,9,FALSE)="","",VLOOKUP(A1049,[8]PRIORIZADOS!$A:$I,9,FALSE)),"")</f>
        <v>EVALUACIÓN_CON_FINES_DE_MEJORAMIENTO.</v>
      </c>
      <c r="J1049" s="11" t="str">
        <f>IFERROR(IF(VLOOKUP(A1049,[8]PRIORIZADOS!$A:$J,10,FALSE)="","",VLOOKUP(A1049,[8]PRIORIZADOS!$A:$J,10,FALSE)),"")</f>
        <v>Revisar la actualización, socialización e implementación del Sistema Institucional de Evaluación de Estudiantes - SIEE, en articulación con la actualización del PEI y la normatividad vigente.</v>
      </c>
      <c r="K1049" s="11" t="str">
        <f>IFERROR(IF(VLOOKUP(A1049,[8]PRIORIZADOS!$A:$K,11,FALSE)="","",VLOOKUP(A1049,[8]PRIORIZADOS!$A:$K,11,FALSE)),"")</f>
        <v>INGRID VIVIANA DÁVILA ÁVILA</v>
      </c>
      <c r="L1049" s="11" t="str">
        <f>IFERROR(IF(VLOOKUP(A1049,[8]PRIORIZADOS!$A:$L,12,FALSE)="","",VLOOKUP(A1049,[8]PRIORIZADOS!$A:$L,12,FALSE)),"")</f>
        <v>LUIS FERNANDO CÁRDENAS URAN</v>
      </c>
      <c r="M1049" s="71">
        <f>IFERROR(IF(VLOOKUP(A1049,[8]PRIORIZADOS!$A:$M,13,FALSE)="","",VLOOKUP(A1049,[8]PRIORIZADOS!$A:$M,13,FALSE)),"")</f>
        <v>45736</v>
      </c>
      <c r="N1049" s="71">
        <f>IFERROR(IF(VLOOKUP(A1049,[8]PRIORIZADOS!$A:$N,14,FALSE)="","",VLOOKUP(A1049,[8]PRIORIZADOS!$A:$N,14,FALSE)),"")</f>
        <v>45896</v>
      </c>
      <c r="O1049" s="71">
        <f>IFERROR(IF(VLOOKUP(A1049,[8]PRIORIZADOS!$A:$O,15,FALSE)="","",VLOOKUP(A1049,[8]PRIORIZADOS!$A:$O,15,FALSE)),"")</f>
        <v>45896</v>
      </c>
      <c r="P1049" s="11" t="str">
        <f>IFERROR(IF(VLOOKUP(A1049,[8]PRIORIZADOS!$A:$P,16,FALSE)="","",VLOOKUP(A1049,[8]PRIORIZADOS!$A:$P,16,FALSE)),"")</f>
        <v>Visitas de evaluación con fines de mejoramiento</v>
      </c>
      <c r="Q1049" s="161" t="s">
        <v>196</v>
      </c>
      <c r="R1049" s="11" t="str">
        <f>IFERROR(IF(VLOOKUP(A1049,[8]PRIORIZADOS!$A:$R,18,FALSE)="","",VLOOKUP(A1049,[8]PRIORIZADOS!$A:$R,18,FALSE)),"")</f>
        <v>Se encontró que la información reportada en la autoevaluación institucional guarda relación con la realidad institucional.</v>
      </c>
      <c r="S1049" s="11" t="str">
        <f>IFERROR(IF(VLOOKUP(A1049,[8]PRIORIZADOS!$A:$S,19,FALSE)="","",VLOOKUP(A1049,[8]PRIORIZADOS!$A:$S,19,FALSE)),"")</f>
        <v>Continuar registrado la información en la autoevaluación institucional acorde a las capacidades y realidades de la institución</v>
      </c>
      <c r="T1049" s="70" t="str">
        <f>IFERROR(IF(VLOOKUP(A1049,[8]PRIORIZADOS!$A:$T,20,FALSE)="","",VLOOKUP(A1049,[8]PRIORIZADOS!$A:$T,20,FALSE)),"")</f>
        <v>No</v>
      </c>
      <c r="U1049" s="11" t="str">
        <f>IFERROR(IF(VLOOKUP(A1049,[8]PRIORIZADOS!$A:$U,21,FALSE)="","",VLOOKUP(A1049,[8]PRIORIZADOS!$A:$U,21,FALSE)),"")</f>
        <v>Validar las acciones planificadas por la institución educativa en su plan de mejora</v>
      </c>
    </row>
    <row r="1050" spans="1:21" s="1" customFormat="1" ht="60">
      <c r="A1050" s="69">
        <f>IF([8]PRIORIZADOS!A29="","",[8]PRIORIZADOS!A29)</f>
        <v>1000</v>
      </c>
      <c r="B1050" s="70">
        <v>3</v>
      </c>
      <c r="C1050" s="11" t="str">
        <f>IFERROR(IF(VLOOKUP(A1050,[8]PRIORIZADOS!$A:$C,3,FALSE)="","",VLOOKUP(A1050,[8]PRIORIZADOS!$A:$C,3,FALSE)),"")</f>
        <v>KENNEDY</v>
      </c>
      <c r="D1050" s="11" t="str">
        <f>IFERROR(IF(VLOOKUP(A1050,[8]PRIORIZADOS!$A:$D,4,FALSE)="","",VLOOKUP(A1050,[8]PRIORIZADOS!$A:$D,4,FALSE)),"")</f>
        <v>PRIVADO</v>
      </c>
      <c r="E1050" s="11" t="str">
        <f>IFERROR(IF(VLOOKUP(A1050,[8]PRIORIZADOS!$A:$E,5,FALSE)="","",VLOOKUP(A1050,[8]PRIORIZADOS!$A:$E,5,FALSE)),"")</f>
        <v>EPBM</v>
      </c>
      <c r="F1050" s="11" t="str">
        <f>IFERROR(IF(VLOOKUP(A1050,[8]PRIORIZADOS!$A:$F,6,FALSE)="","",VLOOKUP(A1050,[8]PRIORIZADOS!$A:$F,6,FALSE)),"")</f>
        <v>COLEGIO_ANTARES</v>
      </c>
      <c r="G1050" s="11" t="str">
        <f>IFERROR(IF(VLOOKUP(A1050,[8]PRIORIZADOS!$A:$G,7,FALSE)="","",VLOOKUP(A1050,[8]PRIORIZADOS!$A:$G,7,FALSE)),"")</f>
        <v>COLEGIO ANTARES</v>
      </c>
      <c r="H1050" s="11" t="str">
        <f>IFERROR(IF(VLOOKUP(A1050,[8]PRIORIZADOS!$A:$H,8,FALSE)="","",VLOOKUP(A1050,[8]PRIORIZADOS!$A:$H,8,FALSE)),"")</f>
        <v>Autoevaluación Institucional y Pruebas SABER 11</v>
      </c>
      <c r="I1050" s="11" t="str">
        <f>IFERROR(IF(VLOOKUP(A1050,[8]PRIORIZADOS!$A:$I,9,FALSE)="","",VLOOKUP(A1050,[8]PRIORIZADOS!$A:$I,9,FALSE)),"")</f>
        <v>EVALUACIÓN_CON_FINES_DE_MEJORAMIENTO.</v>
      </c>
      <c r="J1050" s="11" t="str">
        <f>IFERROR(IF(VLOOKUP(A1050,[8]PRIORIZADOS!$A:$J,10,FALSE)="","",VLOOKUP(A1050,[8]PRIORIZADOS!$A:$J,10,FALSE)),"")</f>
        <v>Revisar el calendario escolar, jornada escolar, la intensidad horaria mínima anual en cada nivel y las modificaciones que se realicen al mismo, de acuerdo con lo previsto en la normatividad vigente.</v>
      </c>
      <c r="K1050" s="11" t="str">
        <f>IFERROR(IF(VLOOKUP(A1050,[8]PRIORIZADOS!$A:$K,11,FALSE)="","",VLOOKUP(A1050,[8]PRIORIZADOS!$A:$K,11,FALSE)),"")</f>
        <v>INGRID VIVIANA DÁVILA ÁVILA</v>
      </c>
      <c r="L1050" s="11" t="str">
        <f>IFERROR(IF(VLOOKUP(A1050,[8]PRIORIZADOS!$A:$L,12,FALSE)="","",VLOOKUP(A1050,[8]PRIORIZADOS!$A:$L,12,FALSE)),"")</f>
        <v>LUIS FERNANDO CÁRDENAS URAN</v>
      </c>
      <c r="M1050" s="71">
        <f>IFERROR(IF(VLOOKUP(A1050,[8]PRIORIZADOS!$A:$M,13,FALSE)="","",VLOOKUP(A1050,[8]PRIORIZADOS!$A:$M,13,FALSE)),"")</f>
        <v>45736</v>
      </c>
      <c r="N1050" s="71">
        <f>IFERROR(IF(VLOOKUP(A1050,[8]PRIORIZADOS!$A:$N,14,FALSE)="","",VLOOKUP(A1050,[8]PRIORIZADOS!$A:$N,14,FALSE)),"")</f>
        <v>45896</v>
      </c>
      <c r="O1050" s="71">
        <f>IFERROR(IF(VLOOKUP(A1050,[8]PRIORIZADOS!$A:$O,15,FALSE)="","",VLOOKUP(A1050,[8]PRIORIZADOS!$A:$O,15,FALSE)),"")</f>
        <v>45896</v>
      </c>
      <c r="P1050" s="11" t="str">
        <f>IFERROR(IF(VLOOKUP(A1050,[8]PRIORIZADOS!$A:$P,16,FALSE)="","",VLOOKUP(A1050,[8]PRIORIZADOS!$A:$P,16,FALSE)),"")</f>
        <v>Visitas de evaluación con fines de mejoramiento</v>
      </c>
      <c r="Q1050" s="161" t="s">
        <v>196</v>
      </c>
      <c r="R1050" s="11" t="str">
        <f>IFERROR(IF(VLOOKUP(A1050,[8]PRIORIZADOS!$A:$R,18,FALSE)="","",VLOOKUP(A1050,[8]PRIORIZADOS!$A:$R,18,FALSE)),"")</f>
        <v>El colegio no radicado el calendario escolar en la dirección local al revisar la resolución rectoral se observa que para bachillerato se debe realizar ajuste para completar las horas mínimas</v>
      </c>
      <c r="S1050" s="11" t="str">
        <f>IFERROR(IF(VLOOKUP(A1050,[8]PRIORIZADOS!$A:$S,19,FALSE)="","",VLOOKUP(A1050,[8]PRIORIZADOS!$A:$S,19,FALSE)),"")</f>
        <v>Presentar calendario escolar para la próxima vigencia  en la Dirección Local de Educación</v>
      </c>
      <c r="T1050" s="70" t="str">
        <f>IFERROR(IF(VLOOKUP(A1050,[8]PRIORIZADOS!$A:$T,20,FALSE)="","",VLOOKUP(A1050,[8]PRIORIZADOS!$A:$T,20,FALSE)),"")</f>
        <v>Si</v>
      </c>
      <c r="U1050" s="11" t="str">
        <f>IFERROR(IF(VLOOKUP(A1050,[8]PRIORIZADOS!$A:$U,21,FALSE)="","",VLOOKUP(A1050,[8]PRIORIZADOS!$A:$U,21,FALSE)),"")</f>
        <v xml:space="preserve">Validar las acciones planificadas por la institución educativa en su plan de mejora.  Se realiza mesa de seguimiento el día 23 de septiembre 2025. De acuerdo al acta se validará el 23 de enero el cumplimiento de los compromisos faltantes. </v>
      </c>
    </row>
    <row r="1051" spans="1:21" s="1" customFormat="1" ht="48">
      <c r="A1051" s="69">
        <f>IF([8]PRIORIZADOS!A30="","",[8]PRIORIZADOS!A30)</f>
        <v>1001</v>
      </c>
      <c r="B1051" s="70">
        <v>3</v>
      </c>
      <c r="C1051" s="11" t="str">
        <f>IFERROR(IF(VLOOKUP(A1051,[8]PRIORIZADOS!$A:$C,3,FALSE)="","",VLOOKUP(A1051,[8]PRIORIZADOS!$A:$C,3,FALSE)),"")</f>
        <v>KENNEDY</v>
      </c>
      <c r="D1051" s="11" t="str">
        <f>IFERROR(IF(VLOOKUP(A1051,[8]PRIORIZADOS!$A:$D,4,FALSE)="","",VLOOKUP(A1051,[8]PRIORIZADOS!$A:$D,4,FALSE)),"")</f>
        <v>PRIVADO</v>
      </c>
      <c r="E1051" s="11" t="str">
        <f>IFERROR(IF(VLOOKUP(A1051,[8]PRIORIZADOS!$A:$E,5,FALSE)="","",VLOOKUP(A1051,[8]PRIORIZADOS!$A:$E,5,FALSE)),"")</f>
        <v>EPBM</v>
      </c>
      <c r="F1051" s="11" t="str">
        <f>IFERROR(IF(VLOOKUP(A1051,[8]PRIORIZADOS!$A:$F,6,FALSE)="","",VLOOKUP(A1051,[8]PRIORIZADOS!$A:$F,6,FALSE)),"")</f>
        <v>COLEGIO_ANTARES</v>
      </c>
      <c r="G1051" s="11" t="str">
        <f>IFERROR(IF(VLOOKUP(A1051,[8]PRIORIZADOS!$A:$G,7,FALSE)="","",VLOOKUP(A1051,[8]PRIORIZADOS!$A:$G,7,FALSE)),"")</f>
        <v>COLEGIO ANTARES</v>
      </c>
      <c r="H1051" s="11" t="str">
        <f>IFERROR(IF(VLOOKUP(A1051,[8]PRIORIZADOS!$A:$H,8,FALSE)="","",VLOOKUP(A1051,[8]PRIORIZADOS!$A:$H,8,FALSE)),"")</f>
        <v>Autoevaluación Institucional y Pruebas SABER 11</v>
      </c>
      <c r="I1051" s="11" t="str">
        <f>IFERROR(IF(VLOOKUP(A1051,[8]PRIORIZADOS!$A:$I,9,FALSE)="","",VLOOKUP(A1051,[8]PRIORIZADOS!$A:$I,9,FALSE)),"")</f>
        <v>EVALUACIÓN_CON_FINES_DE_MEJORAMIENTO.</v>
      </c>
      <c r="J1051" s="11" t="str">
        <f>IFERROR(IF(VLOOKUP(A1051,[8]PRIORIZADOS!$A:$J,10,FALSE)="","",VLOOKUP(A1051,[8]PRIORIZADOS!$A:$J,10,FALSE)),"")</f>
        <v>Verificar el funcionamiento del Gobierno Escolar e instancias de participación con base en la información sobre conformación reportada por la institución educativa.</v>
      </c>
      <c r="K1051" s="11" t="str">
        <f>IFERROR(IF(VLOOKUP(A1051,[8]PRIORIZADOS!$A:$K,11,FALSE)="","",VLOOKUP(A1051,[8]PRIORIZADOS!$A:$K,11,FALSE)),"")</f>
        <v>INGRID VIVIANA DÁVILA ÁVILA</v>
      </c>
      <c r="L1051" s="11" t="str">
        <f>IFERROR(IF(VLOOKUP(A1051,[8]PRIORIZADOS!$A:$L,12,FALSE)="","",VLOOKUP(A1051,[8]PRIORIZADOS!$A:$L,12,FALSE)),"")</f>
        <v>LUIS FERNANDO CÁRDENAS URAN</v>
      </c>
      <c r="M1051" s="71">
        <f>IFERROR(IF(VLOOKUP(A1051,[8]PRIORIZADOS!$A:$M,13,FALSE)="","",VLOOKUP(A1051,[8]PRIORIZADOS!$A:$M,13,FALSE)),"")</f>
        <v>45736</v>
      </c>
      <c r="N1051" s="71">
        <f>IFERROR(IF(VLOOKUP(A1051,[8]PRIORIZADOS!$A:$N,14,FALSE)="","",VLOOKUP(A1051,[8]PRIORIZADOS!$A:$N,14,FALSE)),"")</f>
        <v>45896</v>
      </c>
      <c r="O1051" s="71">
        <f>IFERROR(IF(VLOOKUP(A1051,[8]PRIORIZADOS!$A:$O,15,FALSE)="","",VLOOKUP(A1051,[8]PRIORIZADOS!$A:$O,15,FALSE)),"")</f>
        <v>45896</v>
      </c>
      <c r="P1051" s="11" t="str">
        <f>IFERROR(IF(VLOOKUP(A1051,[8]PRIORIZADOS!$A:$P,16,FALSE)="","",VLOOKUP(A1051,[8]PRIORIZADOS!$A:$P,16,FALSE)),"")</f>
        <v>Visitas de evaluación con fines de mejoramiento</v>
      </c>
      <c r="Q1051" s="161" t="s">
        <v>196</v>
      </c>
      <c r="R1051" s="11" t="str">
        <f>IFERROR(IF(VLOOKUP(A1051,[8]PRIORIZADOS!$A:$R,18,FALSE)="","",VLOOKUP(A1051,[8]PRIORIZADOS!$A:$R,18,FALSE)),"")</f>
        <v>El colegio realizo la conformación de su gobierno escolar sin embargo las actas no se encuentran se encuentra cargadas en el SAE</v>
      </c>
      <c r="S1051" s="11" t="str">
        <f>IFERROR(IF(VLOOKUP(A1051,[8]PRIORIZADOS!$A:$S,19,FALSE)="","",VLOOKUP(A1051,[8]PRIORIZADOS!$A:$S,19,FALSE)),"")</f>
        <v>Realizar el cargue de las actas en el SAE</v>
      </c>
      <c r="T1051" s="70" t="str">
        <f>IFERROR(IF(VLOOKUP(A1051,[8]PRIORIZADOS!$A:$T,20,FALSE)="","",VLOOKUP(A1051,[8]PRIORIZADOS!$A:$T,20,FALSE)),"")</f>
        <v>No</v>
      </c>
      <c r="U1051" s="11" t="str">
        <f>IFERROR(IF(VLOOKUP(A1051,[8]PRIORIZADOS!$A:$U,21,FALSE)="","",VLOOKUP(A1051,[8]PRIORIZADOS!$A:$U,21,FALSE)),"")</f>
        <v>Validar el cargue de las actas en el SAE</v>
      </c>
    </row>
    <row r="1052" spans="1:21" s="1" customFormat="1" ht="45.75" customHeight="1">
      <c r="A1052" s="69">
        <f>IF([8]PRIORIZADOS!A31="","",[8]PRIORIZADOS!A31)</f>
        <v>2786</v>
      </c>
      <c r="B1052" s="70">
        <v>3</v>
      </c>
      <c r="C1052" s="11" t="str">
        <f>IFERROR(IF(VLOOKUP(A1052,[8]PRIORIZADOS!$A:$C,3,FALSE)="","",VLOOKUP(A1052,[8]PRIORIZADOS!$A:$C,3,FALSE)),"")</f>
        <v>KENNEDY</v>
      </c>
      <c r="D1052" s="11" t="str">
        <f>IFERROR(IF(VLOOKUP(A1052,[8]PRIORIZADOS!$A:$D,4,FALSE)="","",VLOOKUP(A1052,[8]PRIORIZADOS!$A:$D,4,FALSE)),"")</f>
        <v>PRIVADO</v>
      </c>
      <c r="E1052" s="11" t="str">
        <f>IFERROR(IF(VLOOKUP(A1052,[8]PRIORIZADOS!$A:$E,5,FALSE)="","",VLOOKUP(A1052,[8]PRIORIZADOS!$A:$E,5,FALSE)),"")</f>
        <v>EPBM</v>
      </c>
      <c r="F1052" s="11" t="str">
        <f>IFERROR(IF(VLOOKUP(A1052,[8]PRIORIZADOS!$A:$F,6,FALSE)="","",VLOOKUP(A1052,[8]PRIORIZADOS!$A:$F,6,FALSE)),"")</f>
        <v>COLEGIO_ANTARES</v>
      </c>
      <c r="G1052" s="11" t="str">
        <f>IFERROR(IF(VLOOKUP(A1052,[8]PRIORIZADOS!$A:$G,7,FALSE)="","",VLOOKUP(A1052,[8]PRIORIZADOS!$A:$G,7,FALSE)),"")</f>
        <v>COLEGIO ANTARES</v>
      </c>
      <c r="H1052" s="11" t="str">
        <f>IFERROR(IF(VLOOKUP(A1052,[8]PRIORIZADOS!$A:$H,8,FALSE)="","",VLOOKUP(A1052,[8]PRIORIZADOS!$A:$H,8,FALSE)),"")</f>
        <v>Autoevaluación Institucional y Pruebas SABER 11</v>
      </c>
      <c r="I1052" s="11" t="str">
        <f>IFERROR(IF(VLOOKUP(A1052,[8]PRIORIZADOS!$A:$I,9,FALSE)="","",VLOOKUP(A1052,[8]PRIORIZADOS!$A:$I,9,FALSE)),"")</f>
        <v>EVALUACIÓN_CON_FINES_DE_MEJORAMIENTO.</v>
      </c>
      <c r="J1052" s="11" t="str">
        <f>IFERROR(IF(VLOOKUP(A1052,[8]PRIORIZADOS!$A:$J,10,FALSE)="","",VLOOKUP(A1052,[8]PRIORIZADOS!$A:$J,10,FALSE)),"")</f>
        <v>Verificar las condiciones en cuanto a: la estructura administrativa, condiciones de la planta física y medios educativos adecuados.</v>
      </c>
      <c r="K1052" s="11" t="str">
        <f>IFERROR(IF(VLOOKUP(A1052,[8]PRIORIZADOS!$A:$K,11,FALSE)="","",VLOOKUP(A1052,[8]PRIORIZADOS!$A:$K,11,FALSE)),"")</f>
        <v>INGRID VIVIANA DÁVILA ÁVILA</v>
      </c>
      <c r="L1052" s="11" t="str">
        <f>IFERROR(IF(VLOOKUP(A1052,[8]PRIORIZADOS!$A:$L,12,FALSE)="","",VLOOKUP(A1052,[8]PRIORIZADOS!$A:$L,12,FALSE)),"")</f>
        <v>LUIS FERNANDO CÁRDENAS URAN</v>
      </c>
      <c r="M1052" s="71">
        <f>IFERROR(IF(VLOOKUP(A1052,[8]PRIORIZADOS!$A:$M,13,FALSE)="","",VLOOKUP(A1052,[8]PRIORIZADOS!$A:$M,13,FALSE)),"")</f>
        <v>45736</v>
      </c>
      <c r="N1052" s="71">
        <f>IFERROR(IF(VLOOKUP(A1052,[8]PRIORIZADOS!$A:$N,14,FALSE)="","",VLOOKUP(A1052,[8]PRIORIZADOS!$A:$N,14,FALSE)),"")</f>
        <v>45896</v>
      </c>
      <c r="O1052" s="71">
        <f>IFERROR(IF(VLOOKUP(A1052,[8]PRIORIZADOS!$A:$O,15,FALSE)="","",VLOOKUP(A1052,[8]PRIORIZADOS!$A:$O,15,FALSE)),"")</f>
        <v>45896</v>
      </c>
      <c r="P1052" s="11" t="str">
        <f>IFERROR(IF(VLOOKUP(A1052,[8]PRIORIZADOS!$A:$P,16,FALSE)="","",VLOOKUP(A1052,[8]PRIORIZADOS!$A:$P,16,FALSE)),"")</f>
        <v>Visitas de evaluación con fines de mejoramiento</v>
      </c>
      <c r="Q1052" s="161" t="s">
        <v>196</v>
      </c>
      <c r="R1052" s="11" t="str">
        <f>IFERROR(IF(VLOOKUP(A1052,[8]PRIORIZADOS!$A:$R,18,FALSE)="","",VLOOKUP(A1052,[8]PRIORIZADOS!$A:$R,18,FALSE)),"")</f>
        <v>La institución cuenta con las condiciones de estructura administrativa, planta física y medios educativos adecuados.</v>
      </c>
      <c r="S1052" s="11" t="str">
        <f>IFERROR(IF(VLOOKUP(A1052,[8]PRIORIZADOS!$A:$S,19,FALSE)="","",VLOOKUP(A1052,[8]PRIORIZADOS!$A:$S,19,FALSE)),"")</f>
        <v>Mantener  las condiciones de estructura administrativa, planta física y medios educativos adecuados, para atender a la población matriculada en la IE.</v>
      </c>
      <c r="T1052" s="70" t="str">
        <f>IFERROR(IF(VLOOKUP(A1052,[8]PRIORIZADOS!$A:$T,20,FALSE)="","",VLOOKUP(A1052,[8]PRIORIZADOS!$A:$T,20,FALSE)),"")</f>
        <v>No</v>
      </c>
      <c r="U1052" s="11" t="str">
        <f>IFERROR(IF(VLOOKUP(A1052,[8]PRIORIZADOS!$A:$U,21,FALSE)="","",VLOOKUP(A1052,[8]PRIORIZADOS!$A:$U,21,FALSE)),"")</f>
        <v>El ELIV, verificará que la institución continua prestando el servicio con las condiciones adecuadas de estructura administrativa, planta física y medios educativos.</v>
      </c>
    </row>
    <row r="1053" spans="1:21" s="1" customFormat="1" ht="60">
      <c r="A1053" s="69">
        <f>IF([8]PRIORIZADOS!A32="","",[8]PRIORIZADOS!A32)</f>
        <v>1002</v>
      </c>
      <c r="B1053" s="70">
        <f>IFERROR(IF(VLOOKUP(A1053,[8]PRIORIZADOS!$A:$B,2,FALSE)="","",VLOOKUP(A1053,[8]PRIORIZADOS!$A:$B,2,FALSE)),"")</f>
        <v>4</v>
      </c>
      <c r="C1053" s="11" t="str">
        <f>IFERROR(IF(VLOOKUP(A1053,[8]PRIORIZADOS!$A:$C,3,FALSE)="","",VLOOKUP(A1053,[8]PRIORIZADOS!$A:$C,3,FALSE)),"")</f>
        <v>KENNEDY</v>
      </c>
      <c r="D1053" s="11" t="str">
        <f>IFERROR(IF(VLOOKUP(A1053,[8]PRIORIZADOS!$A:$D,4,FALSE)="","",VLOOKUP(A1053,[8]PRIORIZADOS!$A:$D,4,FALSE)),"")</f>
        <v>PRIVADO</v>
      </c>
      <c r="E1053" s="11" t="str">
        <f>IFERROR(IF(VLOOKUP(A1053,[8]PRIORIZADOS!$A:$E,5,FALSE)="","",VLOOKUP(A1053,[8]PRIORIZADOS!$A:$E,5,FALSE)),"")</f>
        <v>EPBM</v>
      </c>
      <c r="F1053" s="11" t="str">
        <f>IFERROR(IF(VLOOKUP(A1053,[8]PRIORIZADOS!$A:$F,6,FALSE)="","",VLOOKUP(A1053,[8]PRIORIZADOS!$A:$F,6,FALSE)),"")</f>
        <v>COLEGIO_ATENIENSE</v>
      </c>
      <c r="G1053" s="11" t="str">
        <f>IFERROR(IF(VLOOKUP(A1053,[8]PRIORIZADOS!$A:$G,7,FALSE)="","",VLOOKUP(A1053,[8]PRIORIZADOS!$A:$G,7,FALSE)),"")</f>
        <v>COLEGIO ATENIENSE</v>
      </c>
      <c r="H1053" s="11" t="str">
        <f>IFERROR(IF(VLOOKUP(A1053,[8]PRIORIZADOS!$A:$H,8,FALSE)="","",VLOOKUP(A1053,[8]PRIORIZADOS!$A:$H,8,FALSE)),"")</f>
        <v>Autoevaluación Institucional y Pruebas SABER 11</v>
      </c>
      <c r="I1053" s="11" t="str">
        <f>IFERROR(IF(VLOOKUP(A1053,[8]PRIORIZADOS!$A:$I,9,FALSE)="","",VLOOKUP(A1053,[8]PRIORIZADOS!$A:$I,9,FALSE)),"")</f>
        <v>SEGUIMIENTO_Y_SUPERVISIÓN.</v>
      </c>
      <c r="J1053" s="11" t="str">
        <f>IFERROR(IF(VLOOKUP(A1053,[8]PRIORIZADOS!$A:$J,10,FALSE)="","",VLOOKUP(A1053,[8]PRIORIZADOS!$A:$J,10,FALSE)),"")</f>
        <v>Proponer estrategias en la formulación, verificar su elaboración y realizar seguimiento semestral al desarrollo de  las acciones establecidas en los planes de mejoramiento por pruebas SABER 11 de los establecimientos de educación formal.</v>
      </c>
      <c r="K1053" s="11" t="str">
        <f>IFERROR(IF(VLOOKUP(A1053,[8]PRIORIZADOS!$A:$K,11,FALSE)="","",VLOOKUP(A1053,[8]PRIORIZADOS!$A:$K,11,FALSE)),"")</f>
        <v>INGRID VIVIANA DÁVILA ÁVILA</v>
      </c>
      <c r="L1053" s="11" t="str">
        <f>IFERROR(IF(VLOOKUP(A1053,[8]PRIORIZADOS!$A:$L,12,FALSE)="","",VLOOKUP(A1053,[8]PRIORIZADOS!$A:$L,12,FALSE)),"")</f>
        <v>LUIS FERNANDO CÁRDENAS URAN</v>
      </c>
      <c r="M1053" s="71">
        <f>IFERROR(IF(VLOOKUP(A1053,[8]PRIORIZADOS!$A:$M,13,FALSE)="","",VLOOKUP(A1053,[8]PRIORIZADOS!$A:$M,13,FALSE)),"")</f>
        <v>45741</v>
      </c>
      <c r="N1053" s="71">
        <f>IFERROR(IF(VLOOKUP(A1053,[8]PRIORIZADOS!$A:$N,14,FALSE)="","",VLOOKUP(A1053,[8]PRIORIZADOS!$A:$N,14,FALSE)),"")</f>
        <v>45745</v>
      </c>
      <c r="O1053" s="71">
        <f>IFERROR(IF(VLOOKUP(A1053,[8]PRIORIZADOS!$A:$O,15,FALSE)="","",VLOOKUP(A1053,[8]PRIORIZADOS!$A:$O,15,FALSE)),"")</f>
        <v>45745</v>
      </c>
      <c r="P1053" s="11" t="str">
        <f>IFERROR(IF(VLOOKUP(A1053,[8]PRIORIZADOS!$A:$P,16,FALSE)="","",VLOOKUP(A1053,[8]PRIORIZADOS!$A:$P,16,FALSE)),"")</f>
        <v>Visitas de evaluación con fines de mejoramiento</v>
      </c>
      <c r="Q1053" s="125" t="s">
        <v>198</v>
      </c>
      <c r="R1053" s="11" t="str">
        <f>IFERROR(IF(VLOOKUP(A1053,[8]PRIORIZADOS!$A:$R,18,FALSE)="","",VLOOKUP(A1053,[8]PRIORIZADOS!$A:$R,18,FALSE)),"")</f>
        <v xml:space="preserve">El Colegio no ha revisado los puntajes globales de las pruebas saber 11, por lo que no hay claridad en los aspectos sobre los cuales debe trabajar. </v>
      </c>
      <c r="S1053" s="11" t="str">
        <f>IFERROR(IF(VLOOKUP(A1053,[8]PRIORIZADOS!$A:$S,19,FALSE)="","",VLOOKUP(A1053,[8]PRIORIZADOS!$A:$S,19,FALSE)),"")</f>
        <v xml:space="preserve">El establecimiento educativo debe adelantar un análisis detallado de los resultados de las pruebas saber 11, lo que les permitirá definir las estrategias pedagógicas para subir la clasificación. </v>
      </c>
      <c r="T1053" s="70" t="str">
        <f>IFERROR(IF(VLOOKUP(A1053,[8]PRIORIZADOS!$A:$T,20,FALSE)="","",VLOOKUP(A1053,[8]PRIORIZADOS!$A:$T,20,FALSE)),"")</f>
        <v>Si</v>
      </c>
      <c r="U1053" s="11" t="str">
        <f>IFERROR(IF(VLOOKUP(A1053,[8]PRIORIZADOS!$A:$U,21,FALSE)="","",VLOOKUP(A1053,[8]PRIORIZADOS!$A:$U,21,FALSE)),"")</f>
        <v xml:space="preserve">Revisión de las acciones ejecutadas por la institución educativa con respecto al análisis realizado de las pruebas saber.  Se realiza mesa de seguimiento el día 30 de septiembre 2025. </v>
      </c>
    </row>
    <row r="1054" spans="1:21" s="1" customFormat="1" ht="72">
      <c r="A1054" s="69">
        <f>IF([8]PRIORIZADOS!A33="","",[8]PRIORIZADOS!A33)</f>
        <v>1003</v>
      </c>
      <c r="B1054" s="70">
        <v>4</v>
      </c>
      <c r="C1054" s="11" t="str">
        <f>IFERROR(IF(VLOOKUP(A1054,[8]PRIORIZADOS!$A:$C,3,FALSE)="","",VLOOKUP(A1054,[8]PRIORIZADOS!$A:$C,3,FALSE)),"")</f>
        <v>KENNEDY</v>
      </c>
      <c r="D1054" s="11" t="str">
        <f>IFERROR(IF(VLOOKUP(A1054,[8]PRIORIZADOS!$A:$D,4,FALSE)="","",VLOOKUP(A1054,[8]PRIORIZADOS!$A:$D,4,FALSE)),"")</f>
        <v>PRIVADO</v>
      </c>
      <c r="E1054" s="11" t="str">
        <f>IFERROR(IF(VLOOKUP(A1054,[8]PRIORIZADOS!$A:$E,5,FALSE)="","",VLOOKUP(A1054,[8]PRIORIZADOS!$A:$E,5,FALSE)),"")</f>
        <v>EPBM</v>
      </c>
      <c r="F1054" s="11" t="str">
        <f>IFERROR(IF(VLOOKUP(A1054,[8]PRIORIZADOS!$A:$F,6,FALSE)="","",VLOOKUP(A1054,[8]PRIORIZADOS!$A:$F,6,FALSE)),"")</f>
        <v>COLEGIO_ATENIENSE</v>
      </c>
      <c r="G1054" s="11" t="str">
        <f>IFERROR(IF(VLOOKUP(A1054,[8]PRIORIZADOS!$A:$G,7,FALSE)="","",VLOOKUP(A1054,[8]PRIORIZADOS!$A:$G,7,FALSE)),"")</f>
        <v>COLEGIO ATENIENSE</v>
      </c>
      <c r="H1054" s="11" t="str">
        <f>IFERROR(IF(VLOOKUP(A1054,[8]PRIORIZADOS!$A:$H,8,FALSE)="","",VLOOKUP(A1054,[8]PRIORIZADOS!$A:$H,8,FALSE)),"")</f>
        <v>Autoevaluación Institucional y Pruebas SABER 11</v>
      </c>
      <c r="I1054" s="11" t="str">
        <f>IFERROR(IF(VLOOKUP(A1054,[8]PRIORIZADOS!$A:$I,9,FALSE)="","",VLOOKUP(A1054,[8]PRIORIZADOS!$A:$I,9,FALSE)),"")</f>
        <v>SEGUIMIENTO_Y_SUPERVISIÓN.</v>
      </c>
      <c r="J1054" s="11" t="str">
        <f>IFERROR(IF(VLOOKUP(A1054,[8]PRIORIZADOS!$A:$J,10,FALSE)="","",VLOOKUP(A1054,[8]PRIORIZADOS!$A:$J,10,FALSE)),"")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54" s="11" t="str">
        <f>IFERROR(IF(VLOOKUP(A1054,[8]PRIORIZADOS!$A:$K,11,FALSE)="","",VLOOKUP(A1054,[8]PRIORIZADOS!$A:$K,11,FALSE)),"")</f>
        <v>INGRID VIVIANA DÁVILA ÁVILA</v>
      </c>
      <c r="L1054" s="11" t="str">
        <f>IFERROR(IF(VLOOKUP(A1054,[8]PRIORIZADOS!$A:$L,12,FALSE)="","",VLOOKUP(A1054,[8]PRIORIZADOS!$A:$L,12,FALSE)),"")</f>
        <v>LUIS FERNANDO CÁRDENAS URAN</v>
      </c>
      <c r="M1054" s="71">
        <f>IFERROR(IF(VLOOKUP(A1054,[8]PRIORIZADOS!$A:$M,13,FALSE)="","",VLOOKUP(A1054,[8]PRIORIZADOS!$A:$M,13,FALSE)),"")</f>
        <v>45741</v>
      </c>
      <c r="N1054" s="71">
        <f>IFERROR(IF(VLOOKUP(A1054,[8]PRIORIZADOS!$A:$N,14,FALSE)="","",VLOOKUP(A1054,[8]PRIORIZADOS!$A:$N,14,FALSE)),"")</f>
        <v>45745</v>
      </c>
      <c r="O1054" s="71">
        <f>IFERROR(IF(VLOOKUP(A1054,[8]PRIORIZADOS!$A:$O,15,FALSE)="","",VLOOKUP(A1054,[8]PRIORIZADOS!$A:$O,15,FALSE)),"")</f>
        <v>45745</v>
      </c>
      <c r="P1054" s="11" t="str">
        <f>IFERROR(IF(VLOOKUP(A1054,[8]PRIORIZADOS!$A:$P,16,FALSE)="","",VLOOKUP(A1054,[8]PRIORIZADOS!$A:$P,16,FALSE)),"")</f>
        <v>Visitas de evaluación con fines de mejoramiento</v>
      </c>
      <c r="Q1054" s="125" t="s">
        <v>198</v>
      </c>
      <c r="R1054" s="11" t="str">
        <f>IFERROR(IF(VLOOKUP(A1054,[8]PRIORIZADOS!$A:$R,18,FALSE)="","",VLOOKUP(A1054,[8]PRIORIZADOS!$A:$R,18,FALSE)),"")</f>
        <v xml:space="preserve">La institución educativa tiene 5 estudiantes con discapacidad y cada uno de ellos cuenta con el Plan Individual de Ajustes Razonables -PIAR y el respectivo seguimiento. </v>
      </c>
      <c r="S1054" s="11" t="str">
        <f>IFERROR(IF(VLOOKUP(A1054,[8]PRIORIZADOS!$A:$S,19,FALSE)="","",VLOOKUP(A1054,[8]PRIORIZADOS!$A:$S,19,FALSE)),"")</f>
        <v>Continuar adelantando seguimiento periódico (acorde con el sistema institucional de evaluación)  y actualización anual a los Planes Individuales de Ajustes Razonables -PIAR</v>
      </c>
      <c r="T1054" s="70" t="str">
        <f>IFERROR(IF(VLOOKUP(A1054,[8]PRIORIZADOS!$A:$T,20,FALSE)="","",VLOOKUP(A1054,[8]PRIORIZADOS!$A:$T,20,FALSE)),"")</f>
        <v>No</v>
      </c>
      <c r="U1054" s="11" t="str">
        <f>IFERROR(IF(VLOOKUP(A1054,[8]PRIORIZADOS!$A:$U,21,FALSE)="","",VLOOKUP(A1054,[8]PRIORIZADOS!$A:$U,21,FALSE)),"")</f>
        <v>Verificar que se sigan implementando los PIAR para los estudiantes nuevos que lleguen a la institución educativa</v>
      </c>
    </row>
    <row r="1055" spans="1:21" s="1" customFormat="1" ht="84">
      <c r="A1055" s="69">
        <f>IF([8]PRIORIZADOS!A34="","",[8]PRIORIZADOS!A34)</f>
        <v>1004</v>
      </c>
      <c r="B1055" s="70">
        <v>4</v>
      </c>
      <c r="C1055" s="11" t="str">
        <f>IFERROR(IF(VLOOKUP(A1055,[8]PRIORIZADOS!$A:$C,3,FALSE)="","",VLOOKUP(A1055,[8]PRIORIZADOS!$A:$C,3,FALSE)),"")</f>
        <v>KENNEDY</v>
      </c>
      <c r="D1055" s="11" t="str">
        <f>IFERROR(IF(VLOOKUP(A1055,[8]PRIORIZADOS!$A:$D,4,FALSE)="","",VLOOKUP(A1055,[8]PRIORIZADOS!$A:$D,4,FALSE)),"")</f>
        <v>PRIVADO</v>
      </c>
      <c r="E1055" s="11" t="str">
        <f>IFERROR(IF(VLOOKUP(A1055,[8]PRIORIZADOS!$A:$E,5,FALSE)="","",VLOOKUP(A1055,[8]PRIORIZADOS!$A:$E,5,FALSE)),"")</f>
        <v>EPBM</v>
      </c>
      <c r="F1055" s="11" t="str">
        <f>IFERROR(IF(VLOOKUP(A1055,[8]PRIORIZADOS!$A:$F,6,FALSE)="","",VLOOKUP(A1055,[8]PRIORIZADOS!$A:$F,6,FALSE)),"")</f>
        <v>COLEGIO_ATENIENSE</v>
      </c>
      <c r="G1055" s="11" t="str">
        <f>IFERROR(IF(VLOOKUP(A1055,[8]PRIORIZADOS!$A:$G,7,FALSE)="","",VLOOKUP(A1055,[8]PRIORIZADOS!$A:$G,7,FALSE)),"")</f>
        <v>COLEGIO ATENIENSE</v>
      </c>
      <c r="H1055" s="11" t="str">
        <f>IFERROR(IF(VLOOKUP(A1055,[8]PRIORIZADOS!$A:$H,8,FALSE)="","",VLOOKUP(A1055,[8]PRIORIZADOS!$A:$H,8,FALSE)),"")</f>
        <v>Autoevaluación Institucional y Pruebas SABER 11</v>
      </c>
      <c r="I1055" s="11" t="str">
        <f>IFERROR(IF(VLOOKUP(A1055,[8]PRIORIZADOS!$A:$I,9,FALSE)="","",VLOOKUP(A1055,[8]PRIORIZADOS!$A:$I,9,FALSE)),"")</f>
        <v>EVALUACIÓN_CON_FINES_DE_MEJORAMIENTO.</v>
      </c>
      <c r="J1055" s="11" t="str">
        <f>IFERROR(IF(VLOOKUP(A1055,[8]PRIORIZADOS!$A:$J,10,FALSE)="","",VLOOKUP(A1055,[8]PRIORIZADOS!$A:$J,10,FALSE)),"")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55" s="11" t="str">
        <f>IFERROR(IF(VLOOKUP(A1055,[8]PRIORIZADOS!$A:$K,11,FALSE)="","",VLOOKUP(A1055,[8]PRIORIZADOS!$A:$K,11,FALSE)),"")</f>
        <v>INGRID VIVIANA DÁVILA ÁVILA</v>
      </c>
      <c r="L1055" s="11" t="str">
        <f>IFERROR(IF(VLOOKUP(A1055,[8]PRIORIZADOS!$A:$L,12,FALSE)="","",VLOOKUP(A1055,[8]PRIORIZADOS!$A:$L,12,FALSE)),"")</f>
        <v>LUIS FERNANDO CÁRDENAS URAN</v>
      </c>
      <c r="M1055" s="71">
        <f>IFERROR(IF(VLOOKUP(A1055,[8]PRIORIZADOS!$A:$M,13,FALSE)="","",VLOOKUP(A1055,[8]PRIORIZADOS!$A:$M,13,FALSE)),"")</f>
        <v>45741</v>
      </c>
      <c r="N1055" s="71">
        <f>IFERROR(IF(VLOOKUP(A1055,[8]PRIORIZADOS!$A:$N,14,FALSE)="","",VLOOKUP(A1055,[8]PRIORIZADOS!$A:$N,14,FALSE)),"")</f>
        <v>45745</v>
      </c>
      <c r="O1055" s="71">
        <f>IFERROR(IF(VLOOKUP(A1055,[8]PRIORIZADOS!$A:$O,15,FALSE)="","",VLOOKUP(A1055,[8]PRIORIZADOS!$A:$O,15,FALSE)),"")</f>
        <v>45745</v>
      </c>
      <c r="P1055" s="11" t="str">
        <f>IFERROR(IF(VLOOKUP(A1055,[8]PRIORIZADOS!$A:$P,16,FALSE)="","",VLOOKUP(A1055,[8]PRIORIZADOS!$A:$P,16,FALSE)),"")</f>
        <v>Visitas de evaluación con fines de mejoramiento</v>
      </c>
      <c r="Q1055" s="126" t="s">
        <v>198</v>
      </c>
      <c r="R1055" s="11" t="str">
        <f>IFERROR(IF(VLOOKUP(A1055,[8]PRIORIZADOS!$A:$R,18,FALSE)="","",VLOOKUP(A1055,[8]PRIORIZADOS!$A:$R,18,FALSE)),"")</f>
        <v xml:space="preserve">La institución educativa cuenta con los soportes del proceso de elaboración, socialización e implementación del manual de convivencia. </v>
      </c>
      <c r="S1055" s="11" t="str">
        <f>IFERROR(IF(VLOOKUP(A1055,[8]PRIORIZADOS!$A:$S,19,FALSE)="","",VLOOKUP(A1055,[8]PRIORIZADOS!$A:$S,19,FALSE)),"")</f>
        <v xml:space="preserve">Mantener el proceso participativo para la actualización del manual de convivencia. </v>
      </c>
      <c r="T1055" s="70" t="str">
        <f>IFERROR(IF(VLOOKUP(A1055,[8]PRIORIZADOS!$A:$T,20,FALSE)="","",VLOOKUP(A1055,[8]PRIORIZADOS!$A:$T,20,FALSE)),"")</f>
        <v>No</v>
      </c>
      <c r="U1055" s="11" t="str">
        <f>IFERROR(IF(VLOOKUP(A1055,[8]PRIORIZADOS!$A:$U,21,FALSE)="","",VLOOKUP(A1055,[8]PRIORIZADOS!$A:$U,21,FALSE)),"")</f>
        <v>Validar que la institución continua construyendo el manual de convivencia en conjunto con la comunidad educativa</v>
      </c>
    </row>
    <row r="1056" spans="1:21" s="1" customFormat="1" ht="36">
      <c r="A1056" s="69">
        <f>IF([8]PRIORIZADOS!A35="","",[8]PRIORIZADOS!A35)</f>
        <v>1005</v>
      </c>
      <c r="B1056" s="70">
        <v>4</v>
      </c>
      <c r="C1056" s="11" t="str">
        <f>IFERROR(IF(VLOOKUP(A1056,[8]PRIORIZADOS!$A:$C,3,FALSE)="","",VLOOKUP(A1056,[8]PRIORIZADOS!$A:$C,3,FALSE)),"")</f>
        <v>KENNEDY</v>
      </c>
      <c r="D1056" s="11" t="str">
        <f>IFERROR(IF(VLOOKUP(A1056,[8]PRIORIZADOS!$A:$D,4,FALSE)="","",VLOOKUP(A1056,[8]PRIORIZADOS!$A:$D,4,FALSE)),"")</f>
        <v>PRIVADO</v>
      </c>
      <c r="E1056" s="11" t="str">
        <f>IFERROR(IF(VLOOKUP(A1056,[8]PRIORIZADOS!$A:$E,5,FALSE)="","",VLOOKUP(A1056,[8]PRIORIZADOS!$A:$E,5,FALSE)),"")</f>
        <v>EPBM</v>
      </c>
      <c r="F1056" s="11" t="str">
        <f>IFERROR(IF(VLOOKUP(A1056,[8]PRIORIZADOS!$A:$F,6,FALSE)="","",VLOOKUP(A1056,[8]PRIORIZADOS!$A:$F,6,FALSE)),"")</f>
        <v>COLEGIO_ATENIENSE</v>
      </c>
      <c r="G1056" s="11" t="str">
        <f>IFERROR(IF(VLOOKUP(A1056,[8]PRIORIZADOS!$A:$G,7,FALSE)="","",VLOOKUP(A1056,[8]PRIORIZADOS!$A:$G,7,FALSE)),"")</f>
        <v>COLEGIO ATENIENSE</v>
      </c>
      <c r="H1056" s="11" t="str">
        <f>IFERROR(IF(VLOOKUP(A1056,[8]PRIORIZADOS!$A:$H,8,FALSE)="","",VLOOKUP(A1056,[8]PRIORIZADOS!$A:$H,8,FALSE)),"")</f>
        <v>Autoevaluación Institucional y Pruebas SABER 11</v>
      </c>
      <c r="I1056" s="11" t="str">
        <f>IFERROR(IF(VLOOKUP(A1056,[8]PRIORIZADOS!$A:$I,9,FALSE)="","",VLOOKUP(A1056,[8]PRIORIZADOS!$A:$I,9,FALSE)),"")</f>
        <v>EVALUACIÓN_CON_FINES_DE_MEJORAMIENTO.</v>
      </c>
      <c r="J1056" s="11" t="str">
        <f>IFERROR(IF(VLOOKUP(A1056,[8]PRIORIZADOS!$A:$J,10,FALSE)="","",VLOOKUP(A1056,[8]PRIORIZADOS!$A:$J,10,FALSE)),"")</f>
        <v>Verificar las condiciones en cuanto a: la estructura administrativa, condiciones de la planta física y medios educativos adecuados.</v>
      </c>
      <c r="K1056" s="11" t="str">
        <f>IFERROR(IF(VLOOKUP(A1056,[8]PRIORIZADOS!$A:$K,11,FALSE)="","",VLOOKUP(A1056,[8]PRIORIZADOS!$A:$K,11,FALSE)),"")</f>
        <v>ADRIANA VENEGAS VALERA</v>
      </c>
      <c r="L1056" s="11" t="str">
        <f>IFERROR(IF(VLOOKUP(A1056,[8]PRIORIZADOS!$A:$L,12,FALSE)="","",VLOOKUP(A1056,[8]PRIORIZADOS!$A:$L,12,FALSE)),"")</f>
        <v>LUIS FERNANDO CÁRDENAS URAN</v>
      </c>
      <c r="M1056" s="71">
        <f>IFERROR(IF(VLOOKUP(A1056,[8]PRIORIZADOS!$A:$M,13,FALSE)="","",VLOOKUP(A1056,[8]PRIORIZADOS!$A:$M,13,FALSE)),"")</f>
        <v>45741</v>
      </c>
      <c r="N1056" s="71">
        <f>IFERROR(IF(VLOOKUP(A1056,[8]PRIORIZADOS!$A:$N,14,FALSE)="","",VLOOKUP(A1056,[8]PRIORIZADOS!$A:$N,14,FALSE)),"")</f>
        <v>45745</v>
      </c>
      <c r="O1056" s="71">
        <f>IFERROR(IF(VLOOKUP(A1056,[8]PRIORIZADOS!$A:$O,15,FALSE)="","",VLOOKUP(A1056,[8]PRIORIZADOS!$A:$O,15,FALSE)),"")</f>
        <v>45745</v>
      </c>
      <c r="P1056" s="11" t="str">
        <f>IFERROR(IF(VLOOKUP(A1056,[8]PRIORIZADOS!$A:$P,16,FALSE)="","",VLOOKUP(A1056,[8]PRIORIZADOS!$A:$P,16,FALSE)),"")</f>
        <v>Visitas de evaluación con fines de mejoramiento</v>
      </c>
      <c r="Q1056" s="107" t="s">
        <v>198</v>
      </c>
      <c r="R1056" s="11" t="str">
        <f>IFERROR(IF(VLOOKUP(A1056,[8]PRIORIZADOS!$A:$R,18,FALSE)="","",VLOOKUP(A1056,[8]PRIORIZADOS!$A:$R,18,FALSE)),"")</f>
        <v xml:space="preserve">No se encontró que estén documentados los perfiles de cargo del personal relacionado en el organigrama. </v>
      </c>
      <c r="S1056" s="11" t="str">
        <f>IFERROR(IF(VLOOKUP(A1056,[8]PRIORIZADOS!$A:$S,19,FALSE)="","",VLOOKUP(A1056,[8]PRIORIZADOS!$A:$S,19,FALSE)),"")</f>
        <v xml:space="preserve">Elaborar el manual de funciones que permita identificar los perfiles de cargo según el organigrama. </v>
      </c>
      <c r="T1056" s="70" t="str">
        <f>IFERROR(IF(VLOOKUP(A1056,[8]PRIORIZADOS!$A:$T,20,FALSE)="","",VLOOKUP(A1056,[8]PRIORIZADOS!$A:$T,20,FALSE)),"")</f>
        <v>Si</v>
      </c>
      <c r="U1056" s="11" t="str">
        <f>IFERROR(IF(VLOOKUP(A1056,[8]PRIORIZADOS!$A:$U,21,FALSE)="","",VLOOKUP(A1056,[8]PRIORIZADOS!$A:$U,21,FALSE)),"")</f>
        <v xml:space="preserve">Revisar los perfiles de cargo y contrastarlos con el organigrama institucional.  Se realiza mesa de seguimiento el día 30 de septiembre 2025. </v>
      </c>
    </row>
    <row r="1057" spans="1:21" s="1" customFormat="1" ht="96">
      <c r="A1057" s="69">
        <f>IF([8]PRIORIZADOS!A36="","",[8]PRIORIZADOS!A36)</f>
        <v>1006</v>
      </c>
      <c r="B1057" s="70">
        <f>IFERROR(IF(VLOOKUP(A1057,[8]PRIORIZADOS!$A:$B,2,FALSE)="","",VLOOKUP(A1057,[8]PRIORIZADOS!$A:$B,2,FALSE)),"")</f>
        <v>5</v>
      </c>
      <c r="C1057" s="11" t="str">
        <f>IFERROR(IF(VLOOKUP(A1057,[8]PRIORIZADOS!$A:$C,3,FALSE)="","",VLOOKUP(A1057,[8]PRIORIZADOS!$A:$C,3,FALSE)),"")</f>
        <v>KENNEDY</v>
      </c>
      <c r="D1057" s="11" t="str">
        <f>IFERROR(IF(VLOOKUP(A1057,[8]PRIORIZADOS!$A:$D,4,FALSE)="","",VLOOKUP(A1057,[8]PRIORIZADOS!$A:$D,4,FALSE)),"")</f>
        <v>PRIVADO</v>
      </c>
      <c r="E1057" s="11" t="str">
        <f>IFERROR(IF(VLOOKUP(A1057,[8]PRIORIZADOS!$A:$E,5,FALSE)="","",VLOOKUP(A1057,[8]PRIORIZADOS!$A:$E,5,FALSE)),"")</f>
        <v>Educación de Jóvenes y Adultos</v>
      </c>
      <c r="F1057" s="11" t="str">
        <f>IFERROR(IF(VLOOKUP(A1057,[8]PRIORIZADOS!$A:$F,6,FALSE)="","",VLOOKUP(A1057,[8]PRIORIZADOS!$A:$F,6,FALSE)),"")</f>
        <v>COLEGIO_BRITANICO</v>
      </c>
      <c r="G1057" s="11" t="str">
        <f>IFERROR(IF(VLOOKUP(A1057,[8]PRIORIZADOS!$A:$G,7,FALSE)="","",VLOOKUP(A1057,[8]PRIORIZADOS!$A:$G,7,FALSE)),"")</f>
        <v>COLEGIO BRITANICO</v>
      </c>
      <c r="H1057" s="11" t="str">
        <f>IFERROR(IF(VLOOKUP(A1057,[8]PRIORIZADOS!$A:$H,8,FALSE)="","",VLOOKUP(A1057,[8]PRIORIZADOS!$A:$H,8,FALSE)),"")</f>
        <v>Autoevaluación Institucional y Pruebas SABER 11</v>
      </c>
      <c r="I1057" s="11" t="str">
        <f>IFERROR(IF(VLOOKUP(A1057,[8]PRIORIZADOS!$A:$I,9,FALSE)="","",VLOOKUP(A1057,[8]PRIORIZADOS!$A:$I,9,FALSE)),"")</f>
        <v>SEGUIMIENTO_Y_SUPERVISIÓN.</v>
      </c>
      <c r="J1057" s="11" t="str">
        <f>IFERROR(IF(VLOOKUP(A1057,[8]PRIORIZADOS!$A:$J,10,FALSE)="","",VLOOKUP(A1057,[8]PRIORIZADOS!$A:$J,10,FALSE)),"")</f>
        <v>Realizar visitas para verificar la información registrada sobre la autoevaluación institucional en el aplicativo EVI, a los establecimientos de educación formal no oficial.</v>
      </c>
      <c r="K1057" s="11" t="str">
        <f>IFERROR(IF(VLOOKUP(A1057,[8]PRIORIZADOS!$A:$K,11,FALSE)="","",VLOOKUP(A1057,[8]PRIORIZADOS!$A:$K,11,FALSE)),"")</f>
        <v>GERMÁN EDUARDO TORO ROSERO</v>
      </c>
      <c r="L1057" s="11" t="str">
        <f>IFERROR(IF(VLOOKUP(A1057,[8]PRIORIZADOS!$A:$L,12,FALSE)="","",VLOOKUP(A1057,[8]PRIORIZADOS!$A:$L,12,FALSE)),"")</f>
        <v xml:space="preserve">ELIZABETH QUIRÓZ MARTÍNEZ </v>
      </c>
      <c r="M1057" s="71">
        <f>IFERROR(IF(VLOOKUP(A1057,[8]PRIORIZADOS!$A:$M,13,FALSE)="","",VLOOKUP(A1057,[8]PRIORIZADOS!$A:$M,13,FALSE)),"")</f>
        <v>45742</v>
      </c>
      <c r="N1057" s="71">
        <f>IFERROR(IF(VLOOKUP(A1057,[8]PRIORIZADOS!$A:$N,14,FALSE)="","",VLOOKUP(A1057,[8]PRIORIZADOS!$A:$N,14,FALSE)),"")</f>
        <v>45752</v>
      </c>
      <c r="O1057" s="71">
        <f>IFERROR(IF(VLOOKUP(A1057,[8]PRIORIZADOS!$A:$O,15,FALSE)="","",VLOOKUP(A1057,[8]PRIORIZADOS!$A:$O,15,FALSE)),"")</f>
        <v>45752</v>
      </c>
      <c r="P1057" s="11" t="str">
        <f>IFERROR(IF(VLOOKUP(A1057,[8]PRIORIZADOS!$A:$P,16,FALSE)="","",VLOOKUP(A1057,[8]PRIORIZADOS!$A:$P,16,FALSE)),"")</f>
        <v>Visitas de evaluación con fines de mejoramiento</v>
      </c>
      <c r="Q1057" s="125" t="s">
        <v>199</v>
      </c>
      <c r="R1057" s="11" t="str">
        <f>IFERROR(IF(VLOOKUP(A1057,[8]PRIORIZADOS!$A:$R,18,FALSE)="","",VLOOKUP(A1057,[8]PRIORIZADOS!$A:$R,18,FALSE)),"")</f>
        <v xml:space="preserve">EE no cuenta con espacios, dotación, ni convenios para los laboratorios de ciencias naturales (biología, física y química) biblioteca ni sala de sistemas, espacios que según la norma son necesarios para el desarrollo de aprendizaje de los estudiantes y que se encuentran reportados en el EVI. </v>
      </c>
      <c r="S1057" s="11" t="str">
        <f>IFERROR(IF(VLOOKUP(A1057,[8]PRIORIZADOS!$A:$S,19,FALSE)="","",VLOOKUP(A1057,[8]PRIORIZADOS!$A:$S,19,FALSE)),"")</f>
        <v>Adecuar espacios y dotación o establecer convenios para los laboratorios de ciencias naturales (biología, física y química) biblioteca, sala de sistemas.</v>
      </c>
      <c r="T1057" s="70" t="str">
        <f>IFERROR(IF(VLOOKUP(A1057,[8]PRIORIZADOS!$A:$T,20,FALSE)="","",VLOOKUP(A1057,[8]PRIORIZADOS!$A:$T,20,FALSE)),"")</f>
        <v>Si</v>
      </c>
      <c r="U1057" s="11" t="str">
        <f>IFERROR(IF(VLOOKUP(A1057,[8]PRIORIZADOS!$A:$U,21,FALSE)="","",VLOOKUP(A1057,[8]PRIORIZADOS!$A:$U,21,FALSE)),"")</f>
        <v xml:space="preserve">Seguimiento al cumplimiento del plan de mejoramiento. Se realiza mesa de seguimiento el día 19 de septiembre 2025. De acuerdo al acta se validará el 22 de enero el cumplimiento de los compromisos faltantes. </v>
      </c>
    </row>
    <row r="1058" spans="1:21" s="1" customFormat="1" ht="96">
      <c r="A1058" s="69">
        <f>IF([8]PRIORIZADOS!A37="","",[8]PRIORIZADOS!A37)</f>
        <v>1007</v>
      </c>
      <c r="B1058" s="70">
        <v>5</v>
      </c>
      <c r="C1058" s="11" t="str">
        <f>IFERROR(IF(VLOOKUP(A1058,[8]PRIORIZADOS!$A:$C,3,FALSE)="","",VLOOKUP(A1058,[8]PRIORIZADOS!$A:$C,3,FALSE)),"")</f>
        <v>KENNEDY</v>
      </c>
      <c r="D1058" s="11" t="str">
        <f>IFERROR(IF(VLOOKUP(A1058,[8]PRIORIZADOS!$A:$D,4,FALSE)="","",VLOOKUP(A1058,[8]PRIORIZADOS!$A:$D,4,FALSE)),"")</f>
        <v>PRIVADO</v>
      </c>
      <c r="E1058" s="11" t="str">
        <f>IFERROR(IF(VLOOKUP(A1058,[8]PRIORIZADOS!$A:$E,5,FALSE)="","",VLOOKUP(A1058,[8]PRIORIZADOS!$A:$E,5,FALSE)),"")</f>
        <v>Educación de Jóvenes y Adultos</v>
      </c>
      <c r="F1058" s="11" t="str">
        <f>IFERROR(IF(VLOOKUP(A1058,[8]PRIORIZADOS!$A:$F,6,FALSE)="","",VLOOKUP(A1058,[8]PRIORIZADOS!$A:$F,6,FALSE)),"")</f>
        <v>COLEGIO_BRITANICO</v>
      </c>
      <c r="G1058" s="11" t="str">
        <f>IFERROR(IF(VLOOKUP(A1058,[8]PRIORIZADOS!$A:$G,7,FALSE)="","",VLOOKUP(A1058,[8]PRIORIZADOS!$A:$G,7,FALSE)),"")</f>
        <v>COLEGIO BRITANICO</v>
      </c>
      <c r="H1058" s="11" t="str">
        <f>IFERROR(IF(VLOOKUP(A1058,[8]PRIORIZADOS!$A:$H,8,FALSE)="","",VLOOKUP(A1058,[8]PRIORIZADOS!$A:$H,8,FALSE)),"")</f>
        <v>Autoevaluación Institucional y Pruebas SABER 11</v>
      </c>
      <c r="I1058" s="11" t="str">
        <f>IFERROR(IF(VLOOKUP(A1058,[8]PRIORIZADOS!$A:$I,9,FALSE)="","",VLOOKUP(A1058,[8]PRIORIZADOS!$A:$I,9,FALSE)),"")</f>
        <v>SEGUIMIENTO_Y_SUPERVISIÓN.</v>
      </c>
      <c r="J1058" s="11" t="str">
        <f>IFERROR(IF(VLOOKUP(A1058,[8]PRIORIZADOS!$A:$J,10,FALSE)="","",VLOOKUP(A1058,[8]PRIORIZADOS!$A:$J,10,FALSE)),"")</f>
        <v>Proponer estrategias en la formulación, verificar su elaboración y realizar seguimiento semestral al desarrollo de  las acciones establecidas en los planes de mejoramiento por pruebas SABER 11 de los establecimientos de educación formal.</v>
      </c>
      <c r="K1058" s="11" t="str">
        <f>IFERROR(IF(VLOOKUP(A1058,[8]PRIORIZADOS!$A:$K,11,FALSE)="","",VLOOKUP(A1058,[8]PRIORIZADOS!$A:$K,11,FALSE)),"")</f>
        <v>GERMÁN EDUARDO TORO ROSERO</v>
      </c>
      <c r="L1058" s="11" t="str">
        <f>IFERROR(IF(VLOOKUP(A1058,[8]PRIORIZADOS!$A:$L,12,FALSE)="","",VLOOKUP(A1058,[8]PRIORIZADOS!$A:$L,12,FALSE)),"")</f>
        <v xml:space="preserve">ELIZABETH QUIRÓZ MARTÍNEZ </v>
      </c>
      <c r="M1058" s="71">
        <f>IFERROR(IF(VLOOKUP(A1058,[8]PRIORIZADOS!$A:$M,13,FALSE)="","",VLOOKUP(A1058,[8]PRIORIZADOS!$A:$M,13,FALSE)),"")</f>
        <v>45742</v>
      </c>
      <c r="N1058" s="71">
        <f>IFERROR(IF(VLOOKUP(A1058,[8]PRIORIZADOS!$A:$N,14,FALSE)="","",VLOOKUP(A1058,[8]PRIORIZADOS!$A:$N,14,FALSE)),"")</f>
        <v>45752</v>
      </c>
      <c r="O1058" s="71">
        <f>IFERROR(IF(VLOOKUP(A1058,[8]PRIORIZADOS!$A:$O,15,FALSE)="","",VLOOKUP(A1058,[8]PRIORIZADOS!$A:$O,15,FALSE)),"")</f>
        <v>45752</v>
      </c>
      <c r="P1058" s="11" t="str">
        <f>IFERROR(IF(VLOOKUP(A1058,[8]PRIORIZADOS!$A:$P,16,FALSE)="","",VLOOKUP(A1058,[8]PRIORIZADOS!$A:$P,16,FALSE)),"")</f>
        <v>Visitas de evaluación con fines de mejoramiento</v>
      </c>
      <c r="Q1058" s="125" t="s">
        <v>199</v>
      </c>
      <c r="R1058" s="11" t="str">
        <f>IFERROR(IF(VLOOKUP(A1058,[8]PRIORIZADOS!$A:$R,18,FALSE)="","",VLOOKUP(A1058,[8]PRIORIZADOS!$A:$R,18,FALSE)),"")</f>
        <v>No se encuentran evidencias de la revisión y análisis de los últimos resultados de las pruebas SABER 11, que  formulen acciones específicas basadas en estos resultados, ni de actualización del currículo, plan de estudios y planes de aula.</v>
      </c>
      <c r="S1058" s="11" t="str">
        <f>IFERROR(IF(VLOOKUP(A1058,[8]PRIORIZADOS!$A:$S,19,FALSE)="","",VLOOKUP(A1058,[8]PRIORIZADOS!$A:$S,19,FALSE)),"")</f>
        <v>Realizar la revisión y análisis de los últimos resultados de las pruebas SABER 11, formulando acciones específicas basadas en estos resultados, actualizando el currículo, plan de estudios y planes de aula, teniendo en cuenta que las mismas sean avaladas por el Consejo Directivo y Consejo Académico.</v>
      </c>
      <c r="T1058" s="70" t="str">
        <f>IFERROR(IF(VLOOKUP(A1058,[8]PRIORIZADOS!$A:$T,20,FALSE)="","",VLOOKUP(A1058,[8]PRIORIZADOS!$A:$T,20,FALSE)),"")</f>
        <v>Si</v>
      </c>
      <c r="U1058" s="11" t="str">
        <f>IFERROR(IF(VLOOKUP(A1058,[8]PRIORIZADOS!$A:$U,21,FALSE)="","",VLOOKUP(A1058,[8]PRIORIZADOS!$A:$U,21,FALSE)),"")</f>
        <v xml:space="preserve">Seguimiento al cumplimiento del plan de mejoramiento. Se realiza mesa de seguimiento el día 19 de septiembre 2025. De acuerdo al acta se validará el 22 de enero el cumplimiento de los compromisos faltantes. </v>
      </c>
    </row>
    <row r="1059" spans="1:21" s="1" customFormat="1" ht="72">
      <c r="A1059" s="69">
        <f>IF([8]PRIORIZADOS!A38="","",[8]PRIORIZADOS!A38)</f>
        <v>1008</v>
      </c>
      <c r="B1059" s="70">
        <v>5</v>
      </c>
      <c r="C1059" s="11" t="str">
        <f>IFERROR(IF(VLOOKUP(A1059,[8]PRIORIZADOS!$A:$C,3,FALSE)="","",VLOOKUP(A1059,[8]PRIORIZADOS!$A:$C,3,FALSE)),"")</f>
        <v>KENNEDY</v>
      </c>
      <c r="D1059" s="11" t="str">
        <f>IFERROR(IF(VLOOKUP(A1059,[8]PRIORIZADOS!$A:$D,4,FALSE)="","",VLOOKUP(A1059,[8]PRIORIZADOS!$A:$D,4,FALSE)),"")</f>
        <v>PRIVADO</v>
      </c>
      <c r="E1059" s="11" t="str">
        <f>IFERROR(IF(VLOOKUP(A1059,[8]PRIORIZADOS!$A:$E,5,FALSE)="","",VLOOKUP(A1059,[8]PRIORIZADOS!$A:$E,5,FALSE)),"")</f>
        <v>Educación de Jóvenes y Adultos</v>
      </c>
      <c r="F1059" s="11" t="str">
        <f>IFERROR(IF(VLOOKUP(A1059,[8]PRIORIZADOS!$A:$F,6,FALSE)="","",VLOOKUP(A1059,[8]PRIORIZADOS!$A:$F,6,FALSE)),"")</f>
        <v>COLEGIO_BRITANICO</v>
      </c>
      <c r="G1059" s="11" t="str">
        <f>IFERROR(IF(VLOOKUP(A1059,[8]PRIORIZADOS!$A:$G,7,FALSE)="","",VLOOKUP(A1059,[8]PRIORIZADOS!$A:$G,7,FALSE)),"")</f>
        <v>COLEGIO BRITANICO</v>
      </c>
      <c r="H1059" s="11" t="str">
        <f>IFERROR(IF(VLOOKUP(A1059,[8]PRIORIZADOS!$A:$H,8,FALSE)="","",VLOOKUP(A1059,[8]PRIORIZADOS!$A:$H,8,FALSE)),"")</f>
        <v>Autoevaluación Institucional y Pruebas SABER 11</v>
      </c>
      <c r="I1059" s="11" t="str">
        <f>IFERROR(IF(VLOOKUP(A1059,[8]PRIORIZADOS!$A:$I,9,FALSE)="","",VLOOKUP(A1059,[8]PRIORIZADOS!$A:$I,9,FALSE)),"")</f>
        <v>SEGUIMIENTO_Y_SUPERVISIÓN.</v>
      </c>
      <c r="J1059" s="11" t="str">
        <f>IFERROR(IF(VLOOKUP(A1059,[8]PRIORIZADOS!$A:$J,10,FALSE)="","",VLOOKUP(A1059,[8]PRIORIZADOS!$A:$J,10,FALSE)),"")</f>
        <v xml:space="preserve">Verificar la implementación por parte de los colegios, de acciones realizadas para la prevención y atención de las situaciones de convivencia en el entorno escolar, según lo establecido en la Directiva 01 de 2022 del MEN. </v>
      </c>
      <c r="K1059" s="11" t="str">
        <f>IFERROR(IF(VLOOKUP(A1059,[8]PRIORIZADOS!$A:$K,11,FALSE)="","",VLOOKUP(A1059,[8]PRIORIZADOS!$A:$K,11,FALSE)),"")</f>
        <v>GERMÁN EDUARDO TORO ROSERO</v>
      </c>
      <c r="L1059" s="11" t="str">
        <f>IFERROR(IF(VLOOKUP(A1059,[8]PRIORIZADOS!$A:$L,12,FALSE)="","",VLOOKUP(A1059,[8]PRIORIZADOS!$A:$L,12,FALSE)),"")</f>
        <v xml:space="preserve">ELIZABETH QUIRÓZ MARTÍNEZ </v>
      </c>
      <c r="M1059" s="71">
        <f>IFERROR(IF(VLOOKUP(A1059,[8]PRIORIZADOS!$A:$M,13,FALSE)="","",VLOOKUP(A1059,[8]PRIORIZADOS!$A:$M,13,FALSE)),"")</f>
        <v>45742</v>
      </c>
      <c r="N1059" s="71">
        <f>IFERROR(IF(VLOOKUP(A1059,[8]PRIORIZADOS!$A:$N,14,FALSE)="","",VLOOKUP(A1059,[8]PRIORIZADOS!$A:$N,14,FALSE)),"")</f>
        <v>45752</v>
      </c>
      <c r="O1059" s="71">
        <f>IFERROR(IF(VLOOKUP(A1059,[8]PRIORIZADOS!$A:$O,15,FALSE)="","",VLOOKUP(A1059,[8]PRIORIZADOS!$A:$O,15,FALSE)),"")</f>
        <v>45752</v>
      </c>
      <c r="P1059" s="11" t="str">
        <f>IFERROR(IF(VLOOKUP(A1059,[8]PRIORIZADOS!$A:$P,16,FALSE)="","",VLOOKUP(A1059,[8]PRIORIZADOS!$A:$P,16,FALSE)),"")</f>
        <v>Visitas de evaluación con fines de mejoramiento</v>
      </c>
      <c r="Q1059" s="125" t="s">
        <v>199</v>
      </c>
      <c r="R1059" s="11" t="str">
        <f>IFERROR(IF(VLOOKUP(A1059,[8]PRIORIZADOS!$A:$R,18,FALSE)="","",VLOOKUP(A1059,[8]PRIORIZADOS!$A:$R,18,FALSE)),"")</f>
        <v>EE no ha elaborado ni ejecutado un plan que contenga acciones de promoción, prevención, atención y seguimiento de situaciones convivenciales y disciplinarias  de acuerdo a lo establecido a la Ley 1620 y su Decreto reglamentario.</v>
      </c>
      <c r="S1059" s="11" t="str">
        <f>IFERROR(IF(VLOOKUP(A1059,[8]PRIORIZADOS!$A:$S,19,FALSE)="","",VLOOKUP(A1059,[8]PRIORIZADOS!$A:$S,19,FALSE)),"")</f>
        <v>Establecer el plan de acción de convivencia escolar que contenga acciones de promoción, prevención, atención y seguimiento de situaciones convivenciales de acuerdo a lo establecido a la Ley 1620 y su Decreto reglamentario.</v>
      </c>
      <c r="T1059" s="70" t="str">
        <f>IFERROR(IF(VLOOKUP(A1059,[8]PRIORIZADOS!$A:$T,20,FALSE)="","",VLOOKUP(A1059,[8]PRIORIZADOS!$A:$T,20,FALSE)),"")</f>
        <v>Si</v>
      </c>
      <c r="U1059" s="11" t="str">
        <f>IFERROR(IF(VLOOKUP(A1059,[8]PRIORIZADOS!$A:$U,21,FALSE)="","",VLOOKUP(A1059,[8]PRIORIZADOS!$A:$U,21,FALSE)),"")</f>
        <v xml:space="preserve">Seguimiento al cumplimiento del plan de mejoramiento. Se realiza mesa de seguimiento el día 19 de septiembre 2025. De acuerdo al acta se validará el 22 de enero el cumplimiento de los compromisos faltantes. </v>
      </c>
    </row>
    <row r="1060" spans="1:21" s="1" customFormat="1" ht="72">
      <c r="A1060" s="69">
        <f>IF([8]PRIORIZADOS!A39="","",[8]PRIORIZADOS!A39)</f>
        <v>1009</v>
      </c>
      <c r="B1060" s="70">
        <v>5</v>
      </c>
      <c r="C1060" s="11" t="str">
        <f>IFERROR(IF(VLOOKUP(A1060,[8]PRIORIZADOS!$A:$C,3,FALSE)="","",VLOOKUP(A1060,[8]PRIORIZADOS!$A:$C,3,FALSE)),"")</f>
        <v>KENNEDY</v>
      </c>
      <c r="D1060" s="11" t="str">
        <f>IFERROR(IF(VLOOKUP(A1060,[8]PRIORIZADOS!$A:$D,4,FALSE)="","",VLOOKUP(A1060,[8]PRIORIZADOS!$A:$D,4,FALSE)),"")</f>
        <v>PRIVADO</v>
      </c>
      <c r="E1060" s="11" t="str">
        <f>IFERROR(IF(VLOOKUP(A1060,[8]PRIORIZADOS!$A:$E,5,FALSE)="","",VLOOKUP(A1060,[8]PRIORIZADOS!$A:$E,5,FALSE)),"")</f>
        <v>Educación de Jóvenes y Adultos</v>
      </c>
      <c r="F1060" s="11" t="str">
        <f>IFERROR(IF(VLOOKUP(A1060,[8]PRIORIZADOS!$A:$F,6,FALSE)="","",VLOOKUP(A1060,[8]PRIORIZADOS!$A:$F,6,FALSE)),"")</f>
        <v>COLEGIO_BRITANICO</v>
      </c>
      <c r="G1060" s="11" t="str">
        <f>IFERROR(IF(VLOOKUP(A1060,[8]PRIORIZADOS!$A:$G,7,FALSE)="","",VLOOKUP(A1060,[8]PRIORIZADOS!$A:$G,7,FALSE)),"")</f>
        <v>COLEGIO BRITANICO</v>
      </c>
      <c r="H1060" s="11" t="str">
        <f>IFERROR(IF(VLOOKUP(A1060,[8]PRIORIZADOS!$A:$H,8,FALSE)="","",VLOOKUP(A1060,[8]PRIORIZADOS!$A:$H,8,FALSE)),"")</f>
        <v>Autoevaluación Institucional y Pruebas SABER 11</v>
      </c>
      <c r="I1060" s="11" t="str">
        <f>IFERROR(IF(VLOOKUP(A1060,[8]PRIORIZADOS!$A:$I,9,FALSE)="","",VLOOKUP(A1060,[8]PRIORIZADOS!$A:$I,9,FALSE)),"")</f>
        <v>EVALUACIÓN_CON_FINES_DE_MEJORAMIENTO.</v>
      </c>
      <c r="J1060" s="11" t="str">
        <f>IFERROR(IF(VLOOKUP(A1060,[8]PRIORIZADOS!$A:$J,10,FALSE)="","",VLOOKUP(A1060,[8]PRIORIZADOS!$A:$J,10,FALSE)),"")</f>
        <v>Verificar el funcionamiento del Gobierno Escolar e instancias de participación con base en la información sobre conformación reportada por la institución educativa.</v>
      </c>
      <c r="K1060" s="11" t="str">
        <f>IFERROR(IF(VLOOKUP(A1060,[8]PRIORIZADOS!$A:$K,11,FALSE)="","",VLOOKUP(A1060,[8]PRIORIZADOS!$A:$K,11,FALSE)),"")</f>
        <v>GERMÁN EDUARDO TORO ROSERO</v>
      </c>
      <c r="L1060" s="11" t="str">
        <f>IFERROR(IF(VLOOKUP(A1060,[8]PRIORIZADOS!$A:$L,12,FALSE)="","",VLOOKUP(A1060,[8]PRIORIZADOS!$A:$L,12,FALSE)),"")</f>
        <v xml:space="preserve">ELIZABETH QUIRÓZ MARTÍNEZ </v>
      </c>
      <c r="M1060" s="71">
        <f>IFERROR(IF(VLOOKUP(A1060,[8]PRIORIZADOS!$A:$M,13,FALSE)="","",VLOOKUP(A1060,[8]PRIORIZADOS!$A:$M,13,FALSE)),"")</f>
        <v>45742</v>
      </c>
      <c r="N1060" s="71">
        <f>IFERROR(IF(VLOOKUP(A1060,[8]PRIORIZADOS!$A:$N,14,FALSE)="","",VLOOKUP(A1060,[8]PRIORIZADOS!$A:$N,14,FALSE)),"")</f>
        <v>45752</v>
      </c>
      <c r="O1060" s="71">
        <f>IFERROR(IF(VLOOKUP(A1060,[8]PRIORIZADOS!$A:$O,15,FALSE)="","",VLOOKUP(A1060,[8]PRIORIZADOS!$A:$O,15,FALSE)),"")</f>
        <v>45752</v>
      </c>
      <c r="P1060" s="11" t="str">
        <f>IFERROR(IF(VLOOKUP(A1060,[8]PRIORIZADOS!$A:$P,16,FALSE)="","",VLOOKUP(A1060,[8]PRIORIZADOS!$A:$P,16,FALSE)),"")</f>
        <v>Visitas de evaluación con fines de mejoramiento</v>
      </c>
      <c r="Q1060" s="126" t="s">
        <v>199</v>
      </c>
      <c r="R1060" s="11" t="str">
        <f>IFERROR(IF(VLOOKUP(A1060,[8]PRIORIZADOS!$A:$R,18,FALSE)="","",VLOOKUP(A1060,[8]PRIORIZADOS!$A:$R,18,FALSE)),"")</f>
        <v xml:space="preserve">EE, cuenta con evidencias de la conformación del gobierno escolar y demás instancias de participación, sin embargo no cuenta con evidencias del funcionamiento de las instancias de participación.  </v>
      </c>
      <c r="S1060" s="11" t="str">
        <f>IFERROR(IF(VLOOKUP(A1060,[8]PRIORIZADOS!$A:$S,19,FALSE)="","",VLOOKUP(A1060,[8]PRIORIZADOS!$A:$S,19,FALSE)),"")</f>
        <v>Operativizar las instancias de participación, dejando constancia de su funcionamiento y seguimiento.</v>
      </c>
      <c r="T1060" s="70" t="str">
        <f>IFERROR(IF(VLOOKUP(A1060,[8]PRIORIZADOS!$A:$T,20,FALSE)="","",VLOOKUP(A1060,[8]PRIORIZADOS!$A:$T,20,FALSE)),"")</f>
        <v>Si</v>
      </c>
      <c r="U1060" s="11" t="str">
        <f>IFERROR(IF(VLOOKUP(A1060,[8]PRIORIZADOS!$A:$U,21,FALSE)="","",VLOOKUP(A1060,[8]PRIORIZADOS!$A:$U,21,FALSE)),"")</f>
        <v xml:space="preserve">Seguimiento a la operatividad del gobierno escolar e instancias de participación de acuerdo al plan de mejoramiento presentado. Se realiza mesa de seguimiento el día 19 de septiembre 2025. De acuerdo al acta se validará el 22 de enero el cumplimiento de los compromisos faltantes. </v>
      </c>
    </row>
    <row r="1061" spans="1:21" s="1" customFormat="1" ht="60">
      <c r="A1061" s="69">
        <f>IF([8]PRIORIZADOS!A40="","",[8]PRIORIZADOS!A40)</f>
        <v>1010</v>
      </c>
      <c r="B1061" s="70">
        <v>6</v>
      </c>
      <c r="C1061" s="11" t="str">
        <f>IFERROR(IF(VLOOKUP(A1061,[8]PRIORIZADOS!$A:$C,3,FALSE)="","",VLOOKUP(A1061,[8]PRIORIZADOS!$A:$C,3,FALSE)),"")</f>
        <v>KENNEDY</v>
      </c>
      <c r="D1061" s="11" t="str">
        <f>IFERROR(IF(VLOOKUP(A1061,[8]PRIORIZADOS!$A:$D,4,FALSE)="","",VLOOKUP(A1061,[8]PRIORIZADOS!$A:$D,4,FALSE)),"")</f>
        <v>PRIVADO</v>
      </c>
      <c r="E1061" s="11" t="str">
        <f>IFERROR(IF(VLOOKUP(A1061,[8]PRIORIZADOS!$A:$E,5,FALSE)="","",VLOOKUP(A1061,[8]PRIORIZADOS!$A:$E,5,FALSE)),"")</f>
        <v>Educación de Jóvenes y Adultos</v>
      </c>
      <c r="F1061" s="11" t="str">
        <f>IFERROR(IF(VLOOKUP(A1061,[8]PRIORIZADOS!$A:$F,6,FALSE)="","",VLOOKUP(A1061,[8]PRIORIZADOS!$A:$F,6,FALSE)),"")</f>
        <v>COLEGIO_CENTRO_DE_INSTRUCCION_SISTEMATIZADA_CEIS</v>
      </c>
      <c r="G1061" s="11" t="str">
        <f>IFERROR(IF(VLOOKUP(A1061,[8]PRIORIZADOS!$A:$G,7,FALSE)="","",VLOOKUP(A1061,[8]PRIORIZADOS!$A:$G,7,FALSE)),"")</f>
        <v>COLEGIO CENTRO DE INSTRUCCION SISTEMATIZADA - CEIS</v>
      </c>
      <c r="H1061" s="11" t="str">
        <f>IFERROR(IF(VLOOKUP(A1061,[8]PRIORIZADOS!$A:$H,8,FALSE)="","",VLOOKUP(A1061,[8]PRIORIZADOS!$A:$H,8,FALSE)),"")</f>
        <v>Autoevaluación Institucional y Pruebas SABER 11</v>
      </c>
      <c r="I1061" s="11" t="str">
        <f>IFERROR(IF(VLOOKUP(A1061,[8]PRIORIZADOS!$A:$I,9,FALSE)="","",VLOOKUP(A1061,[8]PRIORIZADOS!$A:$I,9,FALSE)),"")</f>
        <v>SEGUIMIENTO_Y_SUPERVISIÓN.</v>
      </c>
      <c r="J1061" s="11" t="str">
        <f>IFERROR(IF(VLOOKUP(A1061,[8]PRIORIZADOS!$A:$J,10,FALSE)="","",VLOOKUP(A1061,[8]PRIORIZADOS!$A:$J,10,FALSE)),"")</f>
        <v>Proponer estrategias en la formulación, verificar su elaboración y realizar seguimiento semestral al desarrollo de  las acciones establecidas en los planes de mejoramiento por pruebas SABER 11 de los establecimientos de educación formal.</v>
      </c>
      <c r="K1061" s="11" t="str">
        <f>IFERROR(IF(VLOOKUP(A1061,[8]PRIORIZADOS!$A:$K,11,FALSE)="","",VLOOKUP(A1061,[8]PRIORIZADOS!$A:$K,11,FALSE)),"")</f>
        <v>INGRID VIVIANA DÁVILA ÁVILA</v>
      </c>
      <c r="L1061" s="11" t="str">
        <f>IFERROR(IF(VLOOKUP(A1061,[8]PRIORIZADOS!$A:$L,12,FALSE)="","",VLOOKUP(A1061,[8]PRIORIZADOS!$A:$L,12,FALSE)),"")</f>
        <v>VIVANA PILAR BOHÓRQUEZ DÍAZ</v>
      </c>
      <c r="M1061" s="71">
        <f>IFERROR(IF(VLOOKUP(A1061,[8]PRIORIZADOS!$A:$M,13,FALSE)="","",VLOOKUP(A1061,[8]PRIORIZADOS!$A:$M,13,FALSE)),"")</f>
        <v>45743</v>
      </c>
      <c r="N1061" s="71">
        <f>IFERROR(IF(VLOOKUP(A1061,[8]PRIORIZADOS!$A:$N,14,FALSE)="","",VLOOKUP(A1061,[8]PRIORIZADOS!$A:$N,14,FALSE)),"")</f>
        <v>45752</v>
      </c>
      <c r="O1061" s="71">
        <f>IFERROR(IF(VLOOKUP(A1061,[8]PRIORIZADOS!$A:$O,15,FALSE)="","",VLOOKUP(A1061,[8]PRIORIZADOS!$A:$O,15,FALSE)),"")</f>
        <v>45752</v>
      </c>
      <c r="P1061" s="11" t="str">
        <f>IFERROR(IF(VLOOKUP(A1061,[8]PRIORIZADOS!$A:$P,16,FALSE)="","",VLOOKUP(A1061,[8]PRIORIZADOS!$A:$P,16,FALSE)),"")</f>
        <v>Visitas de evaluación con fines de mejoramiento</v>
      </c>
      <c r="Q1061" s="107" t="s">
        <v>200</v>
      </c>
      <c r="R1061" s="11" t="str">
        <f>IFERROR(IF(VLOOKUP(A1061,[8]PRIORIZADOS!$A:$R,18,FALSE)="","",VLOOKUP(A1061,[8]PRIORIZADOS!$A:$R,18,FALSE)),"")</f>
        <v>La institución educativa no ha realizado el análisis de los últimos resultados de las pruebas saber 11 , tampoco ha establecido acciones tendientes a mejorar los resultados para la presente vigencia.</v>
      </c>
      <c r="S1061" s="11" t="str">
        <f>IFERROR(IF(VLOOKUP(A1061,[8]PRIORIZADOS!$A:$S,19,FALSE)="","",VLOOKUP(A1061,[8]PRIORIZADOS!$A:$S,19,FALSE)),"")</f>
        <v>Establecer un plan de mejoramiento que contemple estrategias académicas y pedagógicas que permita subir la clasificación en las pruebas de estado.</v>
      </c>
      <c r="T1061" s="70" t="str">
        <f>IFERROR(IF(VLOOKUP(A1061,[8]PRIORIZADOS!$A:$T,20,FALSE)="","",VLOOKUP(A1061,[8]PRIORIZADOS!$A:$T,20,FALSE)),"")</f>
        <v>Si</v>
      </c>
      <c r="U1061" s="11" t="str">
        <f>IFERROR(IF(VLOOKUP(A1061,[8]PRIORIZADOS!$A:$U,21,FALSE)="","",VLOOKUP(A1061,[8]PRIORIZADOS!$A:$U,21,FALSE)),"")</f>
        <v xml:space="preserve">Verificar el plan de acción de la institución educativa y la ejecución de las actividades propuestas. Se realiza mesa de seguimiento el día 22 de septiembre 2025. De acuerdo al acta se validará el 27 de febrero el cumplimiento de los compromisos faltantes. </v>
      </c>
    </row>
    <row r="1062" spans="1:21" s="1" customFormat="1" ht="84">
      <c r="A1062" s="69">
        <f>IF([8]PRIORIZADOS!A41="","",[8]PRIORIZADOS!A41)</f>
        <v>1011</v>
      </c>
      <c r="B1062" s="70">
        <v>6</v>
      </c>
      <c r="C1062" s="11" t="str">
        <f>IFERROR(IF(VLOOKUP(A1062,[8]PRIORIZADOS!$A:$C,3,FALSE)="","",VLOOKUP(A1062,[8]PRIORIZADOS!$A:$C,3,FALSE)),"")</f>
        <v>KENNEDY</v>
      </c>
      <c r="D1062" s="11" t="str">
        <f>IFERROR(IF(VLOOKUP(A1062,[8]PRIORIZADOS!$A:$D,4,FALSE)="","",VLOOKUP(A1062,[8]PRIORIZADOS!$A:$D,4,FALSE)),"")</f>
        <v>PRIVADO</v>
      </c>
      <c r="E1062" s="11" t="str">
        <f>IFERROR(IF(VLOOKUP(A1062,[8]PRIORIZADOS!$A:$E,5,FALSE)="","",VLOOKUP(A1062,[8]PRIORIZADOS!$A:$E,5,FALSE)),"")</f>
        <v>Educación de Jóvenes y Adultos</v>
      </c>
      <c r="F1062" s="11" t="str">
        <f>IFERROR(IF(VLOOKUP(A1062,[8]PRIORIZADOS!$A:$F,6,FALSE)="","",VLOOKUP(A1062,[8]PRIORIZADOS!$A:$F,6,FALSE)),"")</f>
        <v>COLEGIO_CENTRO_DE_INSTRUCCION_SISTEMATIZADA_CEIS</v>
      </c>
      <c r="G1062" s="11" t="str">
        <f>IFERROR(IF(VLOOKUP(A1062,[8]PRIORIZADOS!$A:$G,7,FALSE)="","",VLOOKUP(A1062,[8]PRIORIZADOS!$A:$G,7,FALSE)),"")</f>
        <v>COLEGIO CENTRO DE INSTRUCCION SISTEMATIZADA - CEIS</v>
      </c>
      <c r="H1062" s="11" t="str">
        <f>IFERROR(IF(VLOOKUP(A1062,[8]PRIORIZADOS!$A:$H,8,FALSE)="","",VLOOKUP(A1062,[8]PRIORIZADOS!$A:$H,8,FALSE)),"")</f>
        <v>Autoevaluación Institucional y Pruebas SABER 11</v>
      </c>
      <c r="I1062" s="11" t="str">
        <f>IFERROR(IF(VLOOKUP(A1062,[8]PRIORIZADOS!$A:$I,9,FALSE)="","",VLOOKUP(A1062,[8]PRIORIZADOS!$A:$I,9,FALSE)),"")</f>
        <v>EVALUACIÓN_CON_FINES_DE_MEJORAMIENTO.</v>
      </c>
      <c r="J1062" s="11" t="str">
        <f>IFERROR(IF(VLOOKUP(A1062,[8]PRIORIZADOS!$A:$J,10,FALSE)="","",VLOOKUP(A1062,[8]PRIORIZADOS!$A:$J,10,FALSE)),"")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62" s="11" t="str">
        <f>IFERROR(IF(VLOOKUP(A1062,[8]PRIORIZADOS!$A:$K,11,FALSE)="","",VLOOKUP(A1062,[8]PRIORIZADOS!$A:$K,11,FALSE)),"")</f>
        <v>INGRID VIVIANA DÁVILA ÁVILA</v>
      </c>
      <c r="L1062" s="11" t="str">
        <f>IFERROR(IF(VLOOKUP(A1062,[8]PRIORIZADOS!$A:$L,12,FALSE)="","",VLOOKUP(A1062,[8]PRIORIZADOS!$A:$L,12,FALSE)),"")</f>
        <v>VIVANA PILAR BOHÓRQUEZ DÍAZ</v>
      </c>
      <c r="M1062" s="71">
        <f>IFERROR(IF(VLOOKUP(A1062,[8]PRIORIZADOS!$A:$M,13,FALSE)="","",VLOOKUP(A1062,[8]PRIORIZADOS!$A:$M,13,FALSE)),"")</f>
        <v>45743</v>
      </c>
      <c r="N1062" s="71">
        <f>IFERROR(IF(VLOOKUP(A1062,[8]PRIORIZADOS!$A:$N,14,FALSE)="","",VLOOKUP(A1062,[8]PRIORIZADOS!$A:$N,14,FALSE)),"")</f>
        <v>45752</v>
      </c>
      <c r="O1062" s="71">
        <f>IFERROR(IF(VLOOKUP(A1062,[8]PRIORIZADOS!$A:$O,15,FALSE)="","",VLOOKUP(A1062,[8]PRIORIZADOS!$A:$O,15,FALSE)),"")</f>
        <v>45752</v>
      </c>
      <c r="P1062" s="11" t="str">
        <f>IFERROR(IF(VLOOKUP(A1062,[8]PRIORIZADOS!$A:$P,16,FALSE)="","",VLOOKUP(A1062,[8]PRIORIZADOS!$A:$P,16,FALSE)),"")</f>
        <v>Visitas de evaluación con fines de mejoramiento</v>
      </c>
      <c r="Q1062" s="125" t="s">
        <v>200</v>
      </c>
      <c r="R1062" s="11" t="str">
        <f>IFERROR(IF(VLOOKUP(A1062,[8]PRIORIZADOS!$A:$R,18,FALSE)="","",VLOOKUP(A1062,[8]PRIORIZADOS!$A:$R,18,FALSE)),"")</f>
        <v>Se encontró que la institución educativa no documenta la participación de la comunidad educativa en la  construcción del manual de convivencia</v>
      </c>
      <c r="S1062" s="11" t="str">
        <f>IFERROR(IF(VLOOKUP(A1062,[8]PRIORIZADOS!$A:$S,19,FALSE)="","",VLOOKUP(A1062,[8]PRIORIZADOS!$A:$S,19,FALSE)),"")</f>
        <v>Garantizar la participación de la comunidad educativa en la construcción del manual de convivencia y socializar las actualizaciones respectivas junto con las evidencias que permitan validar las acciones tomadas</v>
      </c>
      <c r="T1062" s="70" t="str">
        <f>IFERROR(IF(VLOOKUP(A1062,[8]PRIORIZADOS!$A:$T,20,FALSE)="","",VLOOKUP(A1062,[8]PRIORIZADOS!$A:$T,20,FALSE)),"")</f>
        <v>Si</v>
      </c>
      <c r="U1062" s="11" t="str">
        <f>IFERROR(IF(VLOOKUP(A1062,[8]PRIORIZADOS!$A:$U,21,FALSE)="","",VLOOKUP(A1062,[8]PRIORIZADOS!$A:$U,21,FALSE)),"")</f>
        <v xml:space="preserve">Revisar las acciones realizadas por la institución educativa que permita verificar la aplicación de las acciones ejecutadas. Se realiza mesa de seguimiento el día 22 de septiembre 2025. De acuerdo al acta se validará el 27 de febrero el cumplimiento de los compromisos faltantes. </v>
      </c>
    </row>
    <row r="1063" spans="1:21" s="1" customFormat="1" ht="48">
      <c r="A1063" s="69">
        <f>IF([8]PRIORIZADOS!A42="","",[8]PRIORIZADOS!A42)</f>
        <v>1012</v>
      </c>
      <c r="B1063" s="70">
        <v>6</v>
      </c>
      <c r="C1063" s="11" t="str">
        <f>IFERROR(IF(VLOOKUP(A1063,[8]PRIORIZADOS!$A:$C,3,FALSE)="","",VLOOKUP(A1063,[8]PRIORIZADOS!$A:$C,3,FALSE)),"")</f>
        <v>KENNEDY</v>
      </c>
      <c r="D1063" s="11" t="str">
        <f>IFERROR(IF(VLOOKUP(A1063,[8]PRIORIZADOS!$A:$D,4,FALSE)="","",VLOOKUP(A1063,[8]PRIORIZADOS!$A:$D,4,FALSE)),"")</f>
        <v>PRIVADO</v>
      </c>
      <c r="E1063" s="11" t="str">
        <f>IFERROR(IF(VLOOKUP(A1063,[8]PRIORIZADOS!$A:$E,5,FALSE)="","",VLOOKUP(A1063,[8]PRIORIZADOS!$A:$E,5,FALSE)),"")</f>
        <v>Educación de Jóvenes y Adultos</v>
      </c>
      <c r="F1063" s="11" t="str">
        <f>IFERROR(IF(VLOOKUP(A1063,[8]PRIORIZADOS!$A:$F,6,FALSE)="","",VLOOKUP(A1063,[8]PRIORIZADOS!$A:$F,6,FALSE)),"")</f>
        <v>COLEGIO_CENTRO_DE_INSTRUCCION_SISTEMATIZADA_CEIS</v>
      </c>
      <c r="G1063" s="11" t="str">
        <f>IFERROR(IF(VLOOKUP(A1063,[8]PRIORIZADOS!$A:$G,7,FALSE)="","",VLOOKUP(A1063,[8]PRIORIZADOS!$A:$G,7,FALSE)),"")</f>
        <v>COLEGIO CENTRO DE INSTRUCCION SISTEMATIZADA - CEIS</v>
      </c>
      <c r="H1063" s="11" t="str">
        <f>IFERROR(IF(VLOOKUP(A1063,[8]PRIORIZADOS!$A:$H,8,FALSE)="","",VLOOKUP(A1063,[8]PRIORIZADOS!$A:$H,8,FALSE)),"")</f>
        <v>Autoevaluación Institucional y Pruebas SABER 11</v>
      </c>
      <c r="I1063" s="11" t="str">
        <f>IFERROR(IF(VLOOKUP(A1063,[8]PRIORIZADOS!$A:$I,9,FALSE)="","",VLOOKUP(A1063,[8]PRIORIZADOS!$A:$I,9,FALSE)),"")</f>
        <v>EVALUACIÓN_CON_FINES_DE_MEJORAMIENTO.</v>
      </c>
      <c r="J1063" s="11" t="str">
        <f>IFERROR(IF(VLOOKUP(A1063,[8]PRIORIZADOS!$A:$J,10,FALSE)="","",VLOOKUP(A1063,[8]PRIORIZADOS!$A:$J,10,FALSE)),"")</f>
        <v>Verificar el funcionamiento del Gobierno Escolar e instancias de participación con base en la información sobre conformación reportada por la institución educativa.</v>
      </c>
      <c r="K1063" s="11" t="str">
        <f>IFERROR(IF(VLOOKUP(A1063,[8]PRIORIZADOS!$A:$K,11,FALSE)="","",VLOOKUP(A1063,[8]PRIORIZADOS!$A:$K,11,FALSE)),"")</f>
        <v>INGRID VIVIANA DÁVILA ÁVILA</v>
      </c>
      <c r="L1063" s="11" t="str">
        <f>IFERROR(IF(VLOOKUP(A1063,[8]PRIORIZADOS!$A:$L,12,FALSE)="","",VLOOKUP(A1063,[8]PRIORIZADOS!$A:$L,12,FALSE)),"")</f>
        <v>VIVANA PILAR BOHÓRQUEZ DÍAZ</v>
      </c>
      <c r="M1063" s="71">
        <f>IFERROR(IF(VLOOKUP(A1063,[8]PRIORIZADOS!$A:$M,13,FALSE)="","",VLOOKUP(A1063,[8]PRIORIZADOS!$A:$M,13,FALSE)),"")</f>
        <v>45743</v>
      </c>
      <c r="N1063" s="71">
        <f>IFERROR(IF(VLOOKUP(A1063,[8]PRIORIZADOS!$A:$N,14,FALSE)="","",VLOOKUP(A1063,[8]PRIORIZADOS!$A:$N,14,FALSE)),"")</f>
        <v>45752</v>
      </c>
      <c r="O1063" s="71">
        <f>IFERROR(IF(VLOOKUP(A1063,[8]PRIORIZADOS!$A:$O,15,FALSE)="","",VLOOKUP(A1063,[8]PRIORIZADOS!$A:$O,15,FALSE)),"")</f>
        <v>45752</v>
      </c>
      <c r="P1063" s="11" t="str">
        <f>IFERROR(IF(VLOOKUP(A1063,[8]PRIORIZADOS!$A:$P,16,FALSE)="","",VLOOKUP(A1063,[8]PRIORIZADOS!$A:$P,16,FALSE)),"")</f>
        <v>Visitas de evaluación con fines de mejoramiento</v>
      </c>
      <c r="Q1063" s="126" t="s">
        <v>200</v>
      </c>
      <c r="R1063" s="11" t="str">
        <f>IFERROR(IF(VLOOKUP(A1063,[8]PRIORIZADOS!$A:$R,18,FALSE)="","",VLOOKUP(A1063,[8]PRIORIZADOS!$A:$R,18,FALSE)),"")</f>
        <v>Se evidenció la conformación del gobierno escolar, el cual contó con las instancias de participación de la comunidad educativa</v>
      </c>
      <c r="S1063" s="11" t="str">
        <f>IFERROR(IF(VLOOKUP(A1063,[8]PRIORIZADOS!$A:$S,19,FALSE)="","",VLOOKUP(A1063,[8]PRIORIZADOS!$A:$S,19,FALSE)),"")</f>
        <v>Mantener y ejecutar los procesos de participación por parte de los diferentes estamentos.</v>
      </c>
      <c r="T1063" s="70" t="str">
        <f>IFERROR(IF(VLOOKUP(A1063,[8]PRIORIZADOS!$A:$T,20,FALSE)="","",VLOOKUP(A1063,[8]PRIORIZADOS!$A:$T,20,FALSE)),"")</f>
        <v>No</v>
      </c>
      <c r="U1063" s="11" t="str">
        <f>IFERROR(IF(VLOOKUP(A1063,[8]PRIORIZADOS!$A:$U,21,FALSE)="","",VLOOKUP(A1063,[8]PRIORIZADOS!$A:$U,21,FALSE)),"")</f>
        <v xml:space="preserve">Verificar la operatividad  de los diferentes órganos de participación. Se realiza mesa de seguimiento el día 22 de septiembre 2025. De acuerdo al acta se validará el 27 de febrero el cumplimiento de los compromisos faltantes. </v>
      </c>
    </row>
    <row r="1064" spans="1:21" s="1" customFormat="1" ht="60">
      <c r="A1064" s="69">
        <f>IF([8]PRIORIZADOS!A43="","",[8]PRIORIZADOS!A43)</f>
        <v>1013</v>
      </c>
      <c r="B1064" s="70">
        <v>6</v>
      </c>
      <c r="C1064" s="11" t="str">
        <f>IFERROR(IF(VLOOKUP(A1064,[8]PRIORIZADOS!$A:$C,3,FALSE)="","",VLOOKUP(A1064,[8]PRIORIZADOS!$A:$C,3,FALSE)),"")</f>
        <v>KENNEDY</v>
      </c>
      <c r="D1064" s="11" t="str">
        <f>IFERROR(IF(VLOOKUP(A1064,[8]PRIORIZADOS!$A:$D,4,FALSE)="","",VLOOKUP(A1064,[8]PRIORIZADOS!$A:$D,4,FALSE)),"")</f>
        <v>PRIVADO</v>
      </c>
      <c r="E1064" s="11" t="str">
        <f>IFERROR(IF(VLOOKUP(A1064,[8]PRIORIZADOS!$A:$E,5,FALSE)="","",VLOOKUP(A1064,[8]PRIORIZADOS!$A:$E,5,FALSE)),"")</f>
        <v>Educación de Jóvenes y Adultos</v>
      </c>
      <c r="F1064" s="11" t="str">
        <f>IFERROR(IF(VLOOKUP(A1064,[8]PRIORIZADOS!$A:$F,6,FALSE)="","",VLOOKUP(A1064,[8]PRIORIZADOS!$A:$F,6,FALSE)),"")</f>
        <v>COLEGIO_CENTRO_DE_INSTRUCCION_SISTEMATIZADA_CEIS</v>
      </c>
      <c r="G1064" s="11" t="str">
        <f>IFERROR(IF(VLOOKUP(A1064,[8]PRIORIZADOS!$A:$G,7,FALSE)="","",VLOOKUP(A1064,[8]PRIORIZADOS!$A:$G,7,FALSE)),"")</f>
        <v>COLEGIO CENTRO DE INSTRUCCION SISTEMATIZADA - CEIS</v>
      </c>
      <c r="H1064" s="11" t="str">
        <f>IFERROR(IF(VLOOKUP(A1064,[8]PRIORIZADOS!$A:$H,8,FALSE)="","",VLOOKUP(A1064,[8]PRIORIZADOS!$A:$H,8,FALSE)),"")</f>
        <v>Autoevaluación Institucional y Pruebas SABER 11</v>
      </c>
      <c r="I1064" s="11" t="str">
        <f>IFERROR(IF(VLOOKUP(A1064,[8]PRIORIZADOS!$A:$I,9,FALSE)="","",VLOOKUP(A1064,[8]PRIORIZADOS!$A:$I,9,FALSE)),"")</f>
        <v>EVALUACIÓN_CON_FINES_DE_MEJORAMIENTO.</v>
      </c>
      <c r="J1064" s="11" t="str">
        <f>IFERROR(IF(VLOOKUP(A1064,[8]PRIORIZADOS!$A:$J,10,FALSE)="","",VLOOKUP(A1064,[8]PRIORIZADOS!$A:$J,10,FALSE)),"")</f>
        <v>Verificar las condiciones en cuanto a: la estructura administrativa, condiciones de la planta física y medios educativos adecuados.</v>
      </c>
      <c r="K1064" s="11" t="str">
        <f>IFERROR(IF(VLOOKUP(A1064,[8]PRIORIZADOS!$A:$K,11,FALSE)="","",VLOOKUP(A1064,[8]PRIORIZADOS!$A:$K,11,FALSE)),"")</f>
        <v>INGRID VIVIANA DÁVILA ÁVILA</v>
      </c>
      <c r="L1064" s="11" t="str">
        <f>IFERROR(IF(VLOOKUP(A1064,[8]PRIORIZADOS!$A:$L,12,FALSE)="","",VLOOKUP(A1064,[8]PRIORIZADOS!$A:$L,12,FALSE)),"")</f>
        <v>VIVANA PILAR BOHÓRQUEZ DÍAZ</v>
      </c>
      <c r="M1064" s="71">
        <f>IFERROR(IF(VLOOKUP(A1064,[8]PRIORIZADOS!$A:$M,13,FALSE)="","",VLOOKUP(A1064,[8]PRIORIZADOS!$A:$M,13,FALSE)),"")</f>
        <v>45743</v>
      </c>
      <c r="N1064" s="71">
        <f>IFERROR(IF(VLOOKUP(A1064,[8]PRIORIZADOS!$A:$N,14,FALSE)="","",VLOOKUP(A1064,[8]PRIORIZADOS!$A:$N,14,FALSE)),"")</f>
        <v>45752</v>
      </c>
      <c r="O1064" s="71">
        <f>IFERROR(IF(VLOOKUP(A1064,[8]PRIORIZADOS!$A:$O,15,FALSE)="","",VLOOKUP(A1064,[8]PRIORIZADOS!$A:$O,15,FALSE)),"")</f>
        <v>45752</v>
      </c>
      <c r="P1064" s="11" t="str">
        <f>IFERROR(IF(VLOOKUP(A1064,[8]PRIORIZADOS!$A:$P,16,FALSE)="","",VLOOKUP(A1064,[8]PRIORIZADOS!$A:$P,16,FALSE)),"")</f>
        <v>Visitas de evaluación con fines de mejoramiento</v>
      </c>
      <c r="Q1064" s="107" t="s">
        <v>200</v>
      </c>
      <c r="R1064" s="11" t="str">
        <f>IFERROR(IF(VLOOKUP(A1064,[8]PRIORIZADOS!$A:$R,18,FALSE)="","",VLOOKUP(A1064,[8]PRIORIZADOS!$A:$R,18,FALSE)),"")</f>
        <v>El organigrama que se encuentra documentado en el PEI no tiene concordancia con los perfiles de la realidad institucional del colegio</v>
      </c>
      <c r="S1064" s="11" t="str">
        <f>IFERROR(IF(VLOOKUP(A1064,[8]PRIORIZADOS!$A:$S,19,FALSE)="","",VLOOKUP(A1064,[8]PRIORIZADOS!$A:$S,19,FALSE)),"")</f>
        <v>Ajustar el organigrama de la instrucción educativa de acuerdo a los perfiles que se encuentran en la institución y verificar que todos los perfiles incluidos en el organigrama estén documentados.</v>
      </c>
      <c r="T1064" s="70" t="str">
        <f>IFERROR(IF(VLOOKUP(A1064,[8]PRIORIZADOS!$A:$T,20,FALSE)="","",VLOOKUP(A1064,[8]PRIORIZADOS!$A:$T,20,FALSE)),"")</f>
        <v>Si</v>
      </c>
      <c r="U1064" s="11" t="str">
        <f>IFERROR(IF(VLOOKUP(A1064,[8]PRIORIZADOS!$A:$U,21,FALSE)="","",VLOOKUP(A1064,[8]PRIORIZADOS!$A:$U,21,FALSE)),"")</f>
        <v xml:space="preserve">Revisar el organigrama institucional y verificar que los perfiles descritos estén documentados. Se realiza mesa de seguimiento el día 22 de septiembre 2025. De acuerdo al acta se validará el 27 de febrero el cumplimiento de los compromisos faltantes. </v>
      </c>
    </row>
    <row r="1065" spans="1:21" s="1" customFormat="1" ht="48">
      <c r="A1065" s="69">
        <f>IF([8]PRIORIZADOS!A44="","",[8]PRIORIZADOS!A44)</f>
        <v>1014</v>
      </c>
      <c r="B1065" s="70">
        <f>IFERROR(IF(VLOOKUP(A1065,[8]PRIORIZADOS!$A:$B,2,FALSE)="","",VLOOKUP(A1065,[8]PRIORIZADOS!$A:$B,2,FALSE)),"")</f>
        <v>7</v>
      </c>
      <c r="C1065" s="11" t="str">
        <f>IFERROR(IF(VLOOKUP(A1065,[8]PRIORIZADOS!$A:$C,3,FALSE)="","",VLOOKUP(A1065,[8]PRIORIZADOS!$A:$C,3,FALSE)),"")</f>
        <v>KENNEDY</v>
      </c>
      <c r="D1065" s="11" t="str">
        <f>IFERROR(IF(VLOOKUP(A1065,[8]PRIORIZADOS!$A:$D,4,FALSE)="","",VLOOKUP(A1065,[8]PRIORIZADOS!$A:$D,4,FALSE)),"")</f>
        <v>PRIVADO</v>
      </c>
      <c r="E1065" s="11" t="str">
        <f>IFERROR(IF(VLOOKUP(A1065,[8]PRIORIZADOS!$A:$E,5,FALSE)="","",VLOOKUP(A1065,[8]PRIORIZADOS!$A:$E,5,FALSE)),"")</f>
        <v>Educación de Jóvenes y Adultos</v>
      </c>
      <c r="F1065" s="11" t="str">
        <f>IFERROR(IF(VLOOKUP(A1065,[8]PRIORIZADOS!$A:$F,6,FALSE)="","",VLOOKUP(A1065,[8]PRIORIZADOS!$A:$F,6,FALSE)),"")</f>
        <v>COLEGIO_CHARLES_BABBAGGE</v>
      </c>
      <c r="G1065" s="11" t="str">
        <f>IFERROR(IF(VLOOKUP(A1065,[8]PRIORIZADOS!$A:$G,7,FALSE)="","",VLOOKUP(A1065,[8]PRIORIZADOS!$A:$G,7,FALSE)),"")</f>
        <v>COLEGIO CHARLES BABBAGGE</v>
      </c>
      <c r="H1065" s="11" t="str">
        <f>IFERROR(IF(VLOOKUP(A1065,[8]PRIORIZADOS!$A:$H,8,FALSE)="","",VLOOKUP(A1065,[8]PRIORIZADOS!$A:$H,8,FALSE)),"")</f>
        <v>Autoevaluación Institucional y Pruebas SABER 11</v>
      </c>
      <c r="I1065" s="11" t="str">
        <f>IFERROR(IF(VLOOKUP(A1065,[8]PRIORIZADOS!$A:$I,9,FALSE)="","",VLOOKUP(A1065,[8]PRIORIZADOS!$A:$I,9,FALSE)),"")</f>
        <v>SEGUIMIENTO_Y_SUPERVISIÓN.</v>
      </c>
      <c r="J1065" s="11" t="str">
        <f>IFERROR(IF(VLOOKUP(A1065,[8]PRIORIZADOS!$A:$J,10,FALSE)="","",VLOOKUP(A1065,[8]PRIORIZADOS!$A:$J,10,FALSE)),"")</f>
        <v>Realizar visitas para verificar la información registrada sobre la autoevaluación institucional en el aplicativo EVI, a los establecimientos de educación formal no oficial.</v>
      </c>
      <c r="K1065" s="11" t="str">
        <f>IFERROR(IF(VLOOKUP(A1065,[8]PRIORIZADOS!$A:$K,11,FALSE)="","",VLOOKUP(A1065,[8]PRIORIZADOS!$A:$K,11,FALSE)),"")</f>
        <v>ADRIANA VENEGAS VALERA</v>
      </c>
      <c r="L1065" s="11" t="str">
        <f>IFERROR(IF(VLOOKUP(A1065,[8]PRIORIZADOS!$A:$L,12,FALSE)="","",VLOOKUP(A1065,[8]PRIORIZADOS!$A:$L,12,FALSE)),"")</f>
        <v xml:space="preserve">DIANA ZULAY HUERTAS ORTÍZ </v>
      </c>
      <c r="M1065" s="71">
        <f>IFERROR(IF(VLOOKUP(A1065,[8]PRIORIZADOS!$A:$M,13,FALSE)="","",VLOOKUP(A1065,[8]PRIORIZADOS!$A:$M,13,FALSE)),"")</f>
        <v>45748</v>
      </c>
      <c r="N1065" s="71">
        <f>IFERROR(IF(VLOOKUP(A1065,[8]PRIORIZADOS!$A:$N,14,FALSE)="","",VLOOKUP(A1065,[8]PRIORIZADOS!$A:$N,14,FALSE)),"")</f>
        <v>45748</v>
      </c>
      <c r="O1065" s="71">
        <f>IFERROR(IF(VLOOKUP(A1065,[8]PRIORIZADOS!$A:$O,15,FALSE)="","",VLOOKUP(A1065,[8]PRIORIZADOS!$A:$O,15,FALSE)),"")</f>
        <v>45748</v>
      </c>
      <c r="P1065" s="11" t="str">
        <f>IFERROR(IF(VLOOKUP(A1065,[8]PRIORIZADOS!$A:$P,16,FALSE)="","",VLOOKUP(A1065,[8]PRIORIZADOS!$A:$P,16,FALSE)),"")</f>
        <v>Visitas de evaluación con fines de legalización</v>
      </c>
      <c r="Q1065" s="125" t="s">
        <v>201</v>
      </c>
      <c r="R1065" s="11" t="str">
        <f>IFERROR(IF(VLOOKUP(A1065,[8]PRIORIZADOS!$A:$R,18,FALSE)="","",VLOOKUP(A1065,[8]PRIORIZADOS!$A:$R,18,FALSE)),"")</f>
        <v>El EVI no está acorde con la realidad de la EE, debido a que no cuenta con los recursos, como libros, laboratorios y contratación de personal registrados.</v>
      </c>
      <c r="S1065" s="11" t="str">
        <f>IFERROR(IF(VLOOKUP(A1065,[8]PRIORIZADOS!$A:$S,19,FALSE)="","",VLOOKUP(A1065,[8]PRIORIZADOS!$A:$S,19,FALSE)),"")</f>
        <v xml:space="preserve">Actualizar la información registrada sobre la autoevaluación institucional en el aplicativo EVI. </v>
      </c>
      <c r="T1065" s="70" t="str">
        <f>IFERROR(IF(VLOOKUP(A1065,[8]PRIORIZADOS!$A:$T,20,FALSE)="","",VLOOKUP(A1065,[8]PRIORIZADOS!$A:$T,20,FALSE)),"")</f>
        <v>Si</v>
      </c>
      <c r="U1065" s="11" t="str">
        <f>IFERROR(IF(VLOOKUP(A1065,[8]PRIORIZADOS!$A:$U,21,FALSE)="","",VLOOKUP(A1065,[8]PRIORIZADOS!$A:$U,21,FALSE)),"")</f>
        <v xml:space="preserve">El  LIV verificará la información en el aplicativo.  Se realiza mesa de seguimiento el 15 de octubre. </v>
      </c>
    </row>
    <row r="1066" spans="1:21" s="1" customFormat="1" ht="60">
      <c r="A1066" s="69">
        <f>IF([8]PRIORIZADOS!A45="","",[8]PRIORIZADOS!A45)</f>
        <v>1015</v>
      </c>
      <c r="B1066" s="70">
        <v>7</v>
      </c>
      <c r="C1066" s="11" t="str">
        <f>IFERROR(IF(VLOOKUP(A1066,[8]PRIORIZADOS!$A:$C,3,FALSE)="","",VLOOKUP(A1066,[8]PRIORIZADOS!$A:$C,3,FALSE)),"")</f>
        <v>KENNEDY</v>
      </c>
      <c r="D1066" s="11" t="str">
        <f>IFERROR(IF(VLOOKUP(A1066,[8]PRIORIZADOS!$A:$D,4,FALSE)="","",VLOOKUP(A1066,[8]PRIORIZADOS!$A:$D,4,FALSE)),"")</f>
        <v>PRIVADO</v>
      </c>
      <c r="E1066" s="11" t="str">
        <f>IFERROR(IF(VLOOKUP(A1066,[8]PRIORIZADOS!$A:$E,5,FALSE)="","",VLOOKUP(A1066,[8]PRIORIZADOS!$A:$E,5,FALSE)),"")</f>
        <v>Educación de Jóvenes y Adultos</v>
      </c>
      <c r="F1066" s="11" t="str">
        <f>IFERROR(IF(VLOOKUP(A1066,[8]PRIORIZADOS!$A:$F,6,FALSE)="","",VLOOKUP(A1066,[8]PRIORIZADOS!$A:$F,6,FALSE)),"")</f>
        <v>COLEGIO_CHARLES_BABBAGGE</v>
      </c>
      <c r="G1066" s="11" t="str">
        <f>IFERROR(IF(VLOOKUP(A1066,[8]PRIORIZADOS!$A:$G,7,FALSE)="","",VLOOKUP(A1066,[8]PRIORIZADOS!$A:$G,7,FALSE)),"")</f>
        <v>COLEGIO CHARLES BABBAGGE</v>
      </c>
      <c r="H1066" s="11" t="str">
        <f>IFERROR(IF(VLOOKUP(A1066,[8]PRIORIZADOS!$A:$H,8,FALSE)="","",VLOOKUP(A1066,[8]PRIORIZADOS!$A:$H,8,FALSE)),"")</f>
        <v>Autoevaluación Institucional y Pruebas SABER 11</v>
      </c>
      <c r="I1066" s="11" t="str">
        <f>IFERROR(IF(VLOOKUP(A1066,[8]PRIORIZADOS!$A:$I,9,FALSE)="","",VLOOKUP(A1066,[8]PRIORIZADOS!$A:$I,9,FALSE)),"")</f>
        <v>SEGUIMIENTO_Y_SUPERVISIÓN.</v>
      </c>
      <c r="J1066" s="11" t="str">
        <f>IFERROR(IF(VLOOKUP(A1066,[8]PRIORIZADOS!$A:$J,10,FALSE)="","",VLOOKUP(A1066,[8]PRIORIZADOS!$A:$J,10,FALSE)),"")</f>
        <v>Proponer estrategias en la formulación, verificar su elaboración y realizar seguimiento semestral al desarrollo de  las acciones establecidas en los planes de mejoramiento por pruebas SABER 11 de los establecimientos de educación formal.</v>
      </c>
      <c r="K1066" s="11" t="str">
        <f>IFERROR(IF(VLOOKUP(A1066,[8]PRIORIZADOS!$A:$K,11,FALSE)="","",VLOOKUP(A1066,[8]PRIORIZADOS!$A:$K,11,FALSE)),"")</f>
        <v>ADRIANA VENEGAS VALERA</v>
      </c>
      <c r="L1066" s="11" t="str">
        <f>IFERROR(IF(VLOOKUP(A1066,[8]PRIORIZADOS!$A:$L,12,FALSE)="","",VLOOKUP(A1066,[8]PRIORIZADOS!$A:$L,12,FALSE)),"")</f>
        <v xml:space="preserve">DIANA ZULAY HUERTAS ORTÍZ </v>
      </c>
      <c r="M1066" s="71">
        <f>IFERROR(IF(VLOOKUP(A1066,[8]PRIORIZADOS!$A:$M,13,FALSE)="","",VLOOKUP(A1066,[8]PRIORIZADOS!$A:$M,13,FALSE)),"")</f>
        <v>45748</v>
      </c>
      <c r="N1066" s="71">
        <f>IFERROR(IF(VLOOKUP(A1066,[8]PRIORIZADOS!$A:$N,14,FALSE)="","",VLOOKUP(A1066,[8]PRIORIZADOS!$A:$N,14,FALSE)),"")</f>
        <v>45748</v>
      </c>
      <c r="O1066" s="71">
        <f>IFERROR(IF(VLOOKUP(A1066,[8]PRIORIZADOS!$A:$O,15,FALSE)="","",VLOOKUP(A1066,[8]PRIORIZADOS!$A:$O,15,FALSE)),"")</f>
        <v>45748</v>
      </c>
      <c r="P1066" s="11" t="str">
        <f>IFERROR(IF(VLOOKUP(A1066,[8]PRIORIZADOS!$A:$P,16,FALSE)="","",VLOOKUP(A1066,[8]PRIORIZADOS!$A:$P,16,FALSE)),"")</f>
        <v>Visitas de evaluación con fines de legalización</v>
      </c>
      <c r="Q1066" s="125" t="s">
        <v>201</v>
      </c>
      <c r="R1066" s="11" t="str">
        <f>IFERROR(IF(VLOOKUP(A1066,[8]PRIORIZADOS!$A:$R,18,FALSE)="","",VLOOKUP(A1066,[8]PRIORIZADOS!$A:$R,18,FALSE)),"")</f>
        <v xml:space="preserve">Se evidenció que la institución carece de un plan de mejoramiento sobre sus resultados de pruebas saber. </v>
      </c>
      <c r="S1066" s="11" t="str">
        <f>IFERROR(IF(VLOOKUP(A1066,[8]PRIORIZADOS!$A:$S,19,FALSE)="","",VLOOKUP(A1066,[8]PRIORIZADOS!$A:$S,19,FALSE)),"")</f>
        <v xml:space="preserve">EE debe adelantar un análisis detallado de los resultados de las pruebas saber 11, lo que les permitirá definir las estrategias pedagógicas para subir la clasificación. </v>
      </c>
      <c r="T1066" s="70" t="str">
        <f>IFERROR(IF(VLOOKUP(A1066,[8]PRIORIZADOS!$A:$T,20,FALSE)="","",VLOOKUP(A1066,[8]PRIORIZADOS!$A:$T,20,FALSE)),"")</f>
        <v>Si</v>
      </c>
      <c r="U1066" s="11" t="str">
        <f>IFERROR(IF(VLOOKUP(A1066,[8]PRIORIZADOS!$A:$U,21,FALSE)="","",VLOOKUP(A1066,[8]PRIORIZADOS!$A:$U,21,FALSE)),"")</f>
        <v xml:space="preserve">Revisión de las acciones ejecutadas por la EE con respecto al análisis realizado de las pruebas saber, por parte del ELIV.  Se realiza mesa de seguimiento el 15 de octubre.  </v>
      </c>
    </row>
    <row r="1067" spans="1:21" s="1" customFormat="1" ht="48">
      <c r="A1067" s="69">
        <f>IF([8]PRIORIZADOS!A46="","",[8]PRIORIZADOS!A46)</f>
        <v>1016</v>
      </c>
      <c r="B1067" s="70">
        <v>7</v>
      </c>
      <c r="C1067" s="11" t="str">
        <f>IFERROR(IF(VLOOKUP(A1067,[8]PRIORIZADOS!$A:$C,3,FALSE)="","",VLOOKUP(A1067,[8]PRIORIZADOS!$A:$C,3,FALSE)),"")</f>
        <v>KENNEDY</v>
      </c>
      <c r="D1067" s="11" t="str">
        <f>IFERROR(IF(VLOOKUP(A1067,[8]PRIORIZADOS!$A:$D,4,FALSE)="","",VLOOKUP(A1067,[8]PRIORIZADOS!$A:$D,4,FALSE)),"")</f>
        <v>PRIVADO</v>
      </c>
      <c r="E1067" s="11" t="str">
        <f>IFERROR(IF(VLOOKUP(A1067,[8]PRIORIZADOS!$A:$E,5,FALSE)="","",VLOOKUP(A1067,[8]PRIORIZADOS!$A:$E,5,FALSE)),"")</f>
        <v>Educación de Jóvenes y Adultos</v>
      </c>
      <c r="F1067" s="11" t="str">
        <f>IFERROR(IF(VLOOKUP(A1067,[8]PRIORIZADOS!$A:$F,6,FALSE)="","",VLOOKUP(A1067,[8]PRIORIZADOS!$A:$F,6,FALSE)),"")</f>
        <v>COLEGIO_CHARLES_BABBAGGE</v>
      </c>
      <c r="G1067" s="11" t="str">
        <f>IFERROR(IF(VLOOKUP(A1067,[8]PRIORIZADOS!$A:$G,7,FALSE)="","",VLOOKUP(A1067,[8]PRIORIZADOS!$A:$G,7,FALSE)),"")</f>
        <v>COLEGIO CHARLES BABBAGGE</v>
      </c>
      <c r="H1067" s="11" t="str">
        <f>IFERROR(IF(VLOOKUP(A1067,[8]PRIORIZADOS!$A:$H,8,FALSE)="","",VLOOKUP(A1067,[8]PRIORIZADOS!$A:$H,8,FALSE)),"")</f>
        <v>Autoevaluación Institucional y Pruebas SABER 11</v>
      </c>
      <c r="I1067" s="11" t="str">
        <f>IFERROR(IF(VLOOKUP(A1067,[8]PRIORIZADOS!$A:$I,9,FALSE)="","",VLOOKUP(A1067,[8]PRIORIZADOS!$A:$I,9,FALSE)),"")</f>
        <v>SEGUIMIENTO_Y_SUPERVISIÓN.</v>
      </c>
      <c r="J1067" s="11" t="str">
        <f>IFERROR(IF(VLOOKUP(A1067,[8]PRIORIZADOS!$A:$J,10,FALSE)="","",VLOOKUP(A1067,[8]PRIORIZADOS!$A:$J,10,FALSE)),"")</f>
        <v xml:space="preserve">Verificar la implementación por parte de los colegios, de acciones realizadas para la prevención y atención de las situaciones de convivencia en el entorno escolar, según lo establecido en la Directiva 01 de 2022 del MEN. </v>
      </c>
      <c r="K1067" s="11" t="str">
        <f>IFERROR(IF(VLOOKUP(A1067,[8]PRIORIZADOS!$A:$K,11,FALSE)="","",VLOOKUP(A1067,[8]PRIORIZADOS!$A:$K,11,FALSE)),"")</f>
        <v>ADRIANA VENEGAS VALERA</v>
      </c>
      <c r="L1067" s="11" t="str">
        <f>IFERROR(IF(VLOOKUP(A1067,[8]PRIORIZADOS!$A:$L,12,FALSE)="","",VLOOKUP(A1067,[8]PRIORIZADOS!$A:$L,12,FALSE)),"")</f>
        <v xml:space="preserve">DIANA ZULAY HUERTAS ORTÍZ </v>
      </c>
      <c r="M1067" s="71">
        <f>IFERROR(IF(VLOOKUP(A1067,[8]PRIORIZADOS!$A:$M,13,FALSE)="","",VLOOKUP(A1067,[8]PRIORIZADOS!$A:$M,13,FALSE)),"")</f>
        <v>45748</v>
      </c>
      <c r="N1067" s="71">
        <f>IFERROR(IF(VLOOKUP(A1067,[8]PRIORIZADOS!$A:$N,14,FALSE)="","",VLOOKUP(A1067,[8]PRIORIZADOS!$A:$N,14,FALSE)),"")</f>
        <v>45748</v>
      </c>
      <c r="O1067" s="71">
        <f>IFERROR(IF(VLOOKUP(A1067,[8]PRIORIZADOS!$A:$O,15,FALSE)="","",VLOOKUP(A1067,[8]PRIORIZADOS!$A:$O,15,FALSE)),"")</f>
        <v>45748</v>
      </c>
      <c r="P1067" s="11" t="str">
        <f>IFERROR(IF(VLOOKUP(A1067,[8]PRIORIZADOS!$A:$P,16,FALSE)="","",VLOOKUP(A1067,[8]PRIORIZADOS!$A:$P,16,FALSE)),"")</f>
        <v>Visitas de evaluación con fines de legalización</v>
      </c>
      <c r="Q1067" s="125" t="s">
        <v>201</v>
      </c>
      <c r="R1067" s="11" t="str">
        <f>IFERROR(IF(VLOOKUP(A1067,[8]PRIORIZADOS!$A:$R,18,FALSE)="","",VLOOKUP(A1067,[8]PRIORIZADOS!$A:$R,18,FALSE)),"")</f>
        <v xml:space="preserve">La IE no presenta evidencia de la implementación de acciones realizadas para la prevención y atención de situaciones de convivencia escolar. </v>
      </c>
      <c r="S1067" s="11" t="str">
        <f>IFERROR(IF(VLOOKUP(A1067,[8]PRIORIZADOS!$A:$S,19,FALSE)="","",VLOOKUP(A1067,[8]PRIORIZADOS!$A:$S,19,FALSE)),"")</f>
        <v xml:space="preserve">Documentar la acciones de prevención  de situaciones de convivencia escolar. </v>
      </c>
      <c r="T1067" s="70" t="str">
        <f>IFERROR(IF(VLOOKUP(A1067,[8]PRIORIZADOS!$A:$T,20,FALSE)="","",VLOOKUP(A1067,[8]PRIORIZADOS!$A:$T,20,FALSE)),"")</f>
        <v>Si</v>
      </c>
      <c r="U1067" s="11" t="str">
        <f>IFERROR(IF(VLOOKUP(A1067,[8]PRIORIZADOS!$A:$U,21,FALSE)="","",VLOOKUP(A1067,[8]PRIORIZADOS!$A:$U,21,FALSE)),"")</f>
        <v xml:space="preserve">Revisión por parte del ELIV, de evidencias de la prevención e implementación de situaciones de convivencia escolar.  Se realiza mesa de seguimiento el 15 de octubre. </v>
      </c>
    </row>
    <row r="1068" spans="1:21" s="1" customFormat="1" ht="48">
      <c r="A1068" s="69">
        <f>IF([8]PRIORIZADOS!A47="","",[8]PRIORIZADOS!A47)</f>
        <v>1017</v>
      </c>
      <c r="B1068" s="70">
        <v>7</v>
      </c>
      <c r="C1068" s="11" t="str">
        <f>IFERROR(IF(VLOOKUP(A1068,[8]PRIORIZADOS!$A:$C,3,FALSE)="","",VLOOKUP(A1068,[8]PRIORIZADOS!$A:$C,3,FALSE)),"")</f>
        <v>KENNEDY</v>
      </c>
      <c r="D1068" s="11" t="str">
        <f>IFERROR(IF(VLOOKUP(A1068,[8]PRIORIZADOS!$A:$D,4,FALSE)="","",VLOOKUP(A1068,[8]PRIORIZADOS!$A:$D,4,FALSE)),"")</f>
        <v>PRIVADO</v>
      </c>
      <c r="E1068" s="11" t="str">
        <f>IFERROR(IF(VLOOKUP(A1068,[8]PRIORIZADOS!$A:$E,5,FALSE)="","",VLOOKUP(A1068,[8]PRIORIZADOS!$A:$E,5,FALSE)),"")</f>
        <v>Educación de Jóvenes y Adultos</v>
      </c>
      <c r="F1068" s="11" t="str">
        <f>IFERROR(IF(VLOOKUP(A1068,[8]PRIORIZADOS!$A:$F,6,FALSE)="","",VLOOKUP(A1068,[8]PRIORIZADOS!$A:$F,6,FALSE)),"")</f>
        <v>COLEGIO_CHARLES_BABBAGGE</v>
      </c>
      <c r="G1068" s="11" t="str">
        <f>IFERROR(IF(VLOOKUP(A1068,[8]PRIORIZADOS!$A:$G,7,FALSE)="","",VLOOKUP(A1068,[8]PRIORIZADOS!$A:$G,7,FALSE)),"")</f>
        <v>COLEGIO CHARLES BABBAGGE</v>
      </c>
      <c r="H1068" s="11" t="str">
        <f>IFERROR(IF(VLOOKUP(A1068,[8]PRIORIZADOS!$A:$H,8,FALSE)="","",VLOOKUP(A1068,[8]PRIORIZADOS!$A:$H,8,FALSE)),"")</f>
        <v>Autoevaluación Institucional y Pruebas SABER 11</v>
      </c>
      <c r="I1068" s="11" t="str">
        <f>IFERROR(IF(VLOOKUP(A1068,[8]PRIORIZADOS!$A:$I,9,FALSE)="","",VLOOKUP(A1068,[8]PRIORIZADOS!$A:$I,9,FALSE)),"")</f>
        <v>EVALUACIÓN_CON_FINES_DE_MEJORAMIENTO.</v>
      </c>
      <c r="J1068" s="11" t="str">
        <f>IFERROR(IF(VLOOKUP(A1068,[8]PRIORIZADOS!$A:$J,10,FALSE)="","",VLOOKUP(A1068,[8]PRIORIZADOS!$A:$J,10,FALSE)),"")</f>
        <v>Revisar el calendario escolar, jornada escolar, la intensidad horaria mínima anual en cada nivel y las modificaciones que se realicen al mismo, de acuerdo con lo previsto en la normatividad vigente.</v>
      </c>
      <c r="K1068" s="11" t="str">
        <f>IFERROR(IF(VLOOKUP(A1068,[8]PRIORIZADOS!$A:$K,11,FALSE)="","",VLOOKUP(A1068,[8]PRIORIZADOS!$A:$K,11,FALSE)),"")</f>
        <v>ADRIANA VENEGAS VALERA</v>
      </c>
      <c r="L1068" s="11" t="str">
        <f>IFERROR(IF(VLOOKUP(A1068,[8]PRIORIZADOS!$A:$L,12,FALSE)="","",VLOOKUP(A1068,[8]PRIORIZADOS!$A:$L,12,FALSE)),"")</f>
        <v xml:space="preserve">DIANA ZULAY HUERTAS ORTÍZ </v>
      </c>
      <c r="M1068" s="71">
        <f>IFERROR(IF(VLOOKUP(A1068,[8]PRIORIZADOS!$A:$M,13,FALSE)="","",VLOOKUP(A1068,[8]PRIORIZADOS!$A:$M,13,FALSE)),"")</f>
        <v>45748</v>
      </c>
      <c r="N1068" s="71">
        <f>IFERROR(IF(VLOOKUP(A1068,[8]PRIORIZADOS!$A:$N,14,FALSE)="","",VLOOKUP(A1068,[8]PRIORIZADOS!$A:$N,14,FALSE)),"")</f>
        <v>45748</v>
      </c>
      <c r="O1068" s="71">
        <f>IFERROR(IF(VLOOKUP(A1068,[8]PRIORIZADOS!$A:$O,15,FALSE)="","",VLOOKUP(A1068,[8]PRIORIZADOS!$A:$O,15,FALSE)),"")</f>
        <v>45748</v>
      </c>
      <c r="P1068" s="11" t="str">
        <f>IFERROR(IF(VLOOKUP(A1068,[8]PRIORIZADOS!$A:$P,16,FALSE)="","",VLOOKUP(A1068,[8]PRIORIZADOS!$A:$P,16,FALSE)),"")</f>
        <v>Visitas de evaluación con fines de legalización</v>
      </c>
      <c r="Q1068" s="126" t="s">
        <v>201</v>
      </c>
      <c r="R1068" s="11" t="str">
        <f>IFERROR(IF(VLOOKUP(A1068,[8]PRIORIZADOS!$A:$R,18,FALSE)="","",VLOOKUP(A1068,[8]PRIORIZADOS!$A:$R,18,FALSE)),"")</f>
        <v>Se evidencia que cumple con la intensidad horaria mínima anual.</v>
      </c>
      <c r="S1068" s="11" t="str">
        <f>IFERROR(IF(VLOOKUP(A1068,[8]PRIORIZADOS!$A:$S,19,FALSE)="","",VLOOKUP(A1068,[8]PRIORIZADOS!$A:$S,19,FALSE)),"")</f>
        <v>Implementar el horario socializado y  revisado por el ELIV.</v>
      </c>
      <c r="T1068" s="70" t="str">
        <f>IFERROR(IF(VLOOKUP(A1068,[8]PRIORIZADOS!$A:$T,20,FALSE)="","",VLOOKUP(A1068,[8]PRIORIZADOS!$A:$T,20,FALSE)),"")</f>
        <v>No</v>
      </c>
      <c r="U1068" s="11" t="str">
        <f>IFERROR(IF(VLOOKUP(A1068,[8]PRIORIZADOS!$A:$U,21,FALSE)="","",VLOOKUP(A1068,[8]PRIORIZADOS!$A:$U,21,FALSE)),"")</f>
        <v>Verificar que el calendario escolar sea socializado con la comunidad educativa.</v>
      </c>
    </row>
    <row r="1069" spans="1:21" s="1" customFormat="1" ht="72">
      <c r="A1069" s="69">
        <f>IF([8]PRIORIZADOS!A48="","",[8]PRIORIZADOS!A48)</f>
        <v>1018</v>
      </c>
      <c r="B1069" s="70">
        <v>7</v>
      </c>
      <c r="C1069" s="11" t="str">
        <f>IFERROR(IF(VLOOKUP(A1069,[8]PRIORIZADOS!$A:$C,3,FALSE)="","",VLOOKUP(A1069,[8]PRIORIZADOS!$A:$C,3,FALSE)),"")</f>
        <v>KENNEDY</v>
      </c>
      <c r="D1069" s="11" t="str">
        <f>IFERROR(IF(VLOOKUP(A1069,[8]PRIORIZADOS!$A:$D,4,FALSE)="","",VLOOKUP(A1069,[8]PRIORIZADOS!$A:$D,4,FALSE)),"")</f>
        <v>PRIVADO</v>
      </c>
      <c r="E1069" s="11" t="str">
        <f>IFERROR(IF(VLOOKUP(A1069,[8]PRIORIZADOS!$A:$E,5,FALSE)="","",VLOOKUP(A1069,[8]PRIORIZADOS!$A:$E,5,FALSE)),"")</f>
        <v>Educación de Jóvenes y Adultos</v>
      </c>
      <c r="F1069" s="11" t="str">
        <f>IFERROR(IF(VLOOKUP(A1069,[8]PRIORIZADOS!$A:$F,6,FALSE)="","",VLOOKUP(A1069,[8]PRIORIZADOS!$A:$F,6,FALSE)),"")</f>
        <v>COLEGIO_CHARLES_BABBAGGE</v>
      </c>
      <c r="G1069" s="11" t="str">
        <f>IFERROR(IF(VLOOKUP(A1069,[8]PRIORIZADOS!$A:$G,7,FALSE)="","",VLOOKUP(A1069,[8]PRIORIZADOS!$A:$G,7,FALSE)),"")</f>
        <v>COLEGIO CHARLES BABBAGGE</v>
      </c>
      <c r="H1069" s="11" t="str">
        <f>IFERROR(IF(VLOOKUP(A1069,[8]PRIORIZADOS!$A:$H,8,FALSE)="","",VLOOKUP(A1069,[8]PRIORIZADOS!$A:$H,8,FALSE)),"")</f>
        <v>Autoevaluación Institucional y Pruebas SABER 11</v>
      </c>
      <c r="I1069" s="11" t="str">
        <f>IFERROR(IF(VLOOKUP(A1069,[8]PRIORIZADOS!$A:$I,9,FALSE)="","",VLOOKUP(A1069,[8]PRIORIZADOS!$A:$I,9,FALSE)),"")</f>
        <v>EVALUACIÓN_CON_FINES_DE_MEJORAMIENTO.</v>
      </c>
      <c r="J1069" s="11" t="str">
        <f>IFERROR(IF(VLOOKUP(A1069,[8]PRIORIZADOS!$A:$J,10,FALSE)="","",VLOOKUP(A1069,[8]PRIORIZADOS!$A:$J,10,FALSE)),"")</f>
        <v>Verificar las condiciones en cuanto a: la estructura administrativa, condiciones de la planta física y medios educativos adecuados.</v>
      </c>
      <c r="K1069" s="11" t="str">
        <f>IFERROR(IF(VLOOKUP(A1069,[8]PRIORIZADOS!$A:$K,11,FALSE)="","",VLOOKUP(A1069,[8]PRIORIZADOS!$A:$K,11,FALSE)),"")</f>
        <v>ADRIANA VENEGAS VALERA</v>
      </c>
      <c r="L1069" s="11" t="str">
        <f>IFERROR(IF(VLOOKUP(A1069,[8]PRIORIZADOS!$A:$L,12,FALSE)="","",VLOOKUP(A1069,[8]PRIORIZADOS!$A:$L,12,FALSE)),"")</f>
        <v xml:space="preserve">DIANA ZULAY HUERTAS ORTÍZ </v>
      </c>
      <c r="M1069" s="71">
        <f>IFERROR(IF(VLOOKUP(A1069,[8]PRIORIZADOS!$A:$M,13,FALSE)="","",VLOOKUP(A1069,[8]PRIORIZADOS!$A:$M,13,FALSE)),"")</f>
        <v>45748</v>
      </c>
      <c r="N1069" s="71">
        <f>IFERROR(IF(VLOOKUP(A1069,[8]PRIORIZADOS!$A:$N,14,FALSE)="","",VLOOKUP(A1069,[8]PRIORIZADOS!$A:$N,14,FALSE)),"")</f>
        <v>45748</v>
      </c>
      <c r="O1069" s="71">
        <f>IFERROR(IF(VLOOKUP(A1069,[8]PRIORIZADOS!$A:$O,15,FALSE)="","",VLOOKUP(A1069,[8]PRIORIZADOS!$A:$O,15,FALSE)),"")</f>
        <v>45748</v>
      </c>
      <c r="P1069" s="11" t="str">
        <f>IFERROR(IF(VLOOKUP(A1069,[8]PRIORIZADOS!$A:$P,16,FALSE)="","",VLOOKUP(A1069,[8]PRIORIZADOS!$A:$P,16,FALSE)),"")</f>
        <v>Visitas de evaluación con fines de legalización</v>
      </c>
      <c r="Q1069" s="107" t="s">
        <v>201</v>
      </c>
      <c r="R1069" s="11" t="str">
        <f>IFERROR(IF(VLOOKUP(A1069,[8]PRIORIZADOS!$A:$R,18,FALSE)="","",VLOOKUP(A1069,[8]PRIORIZADOS!$A:$R,18,FALSE)),"")</f>
        <v>La IE carece de una  estructura administrativa, que le permita una adecuada gestión. Cuenta con las condiciones de planta física y medios educativos adecuados para atender a la población matriculada.</v>
      </c>
      <c r="S1069" s="11" t="str">
        <f>IFERROR(IF(VLOOKUP(A1069,[8]PRIORIZADOS!$A:$S,19,FALSE)="","",VLOOKUP(A1069,[8]PRIORIZADOS!$A:$S,19,FALSE)),"")</f>
        <v>Adecuar la estructura administrativa que permita el debido desarrollo de la EE   conforme  a la población matriculada</v>
      </c>
      <c r="T1069" s="70" t="str">
        <f>IFERROR(IF(VLOOKUP(A1069,[8]PRIORIZADOS!$A:$T,20,FALSE)="","",VLOOKUP(A1069,[8]PRIORIZADOS!$A:$T,20,FALSE)),"")</f>
        <v>Si</v>
      </c>
      <c r="U1069" s="11" t="str">
        <f>IFERROR(IF(VLOOKUP(A1069,[8]PRIORIZADOS!$A:$U,21,FALSE)="","",VLOOKUP(A1069,[8]PRIORIZADOS!$A:$U,21,FALSE)),"")</f>
        <v xml:space="preserve">ELIV realizará seguimiento al cumplimiento de este compromiso.  Se realiza mesa de seguimiento el 15 de octubre. </v>
      </c>
    </row>
    <row r="1070" spans="1:21" s="1" customFormat="1" ht="84">
      <c r="A1070" s="69">
        <f>IF([8]PRIORIZADOS!A49="","",[8]PRIORIZADOS!A49)</f>
        <v>1019</v>
      </c>
      <c r="B1070" s="70">
        <v>8</v>
      </c>
      <c r="C1070" s="11" t="str">
        <f>IFERROR(IF(VLOOKUP(A1070,[8]PRIORIZADOS!$A:$C,3,FALSE)="","",VLOOKUP(A1070,[8]PRIORIZADOS!$A:$C,3,FALSE)),"")</f>
        <v>KENNEDY</v>
      </c>
      <c r="D1070" s="11" t="str">
        <f>IFERROR(IF(VLOOKUP(A1070,[8]PRIORIZADOS!$A:$D,4,FALSE)="","",VLOOKUP(A1070,[8]PRIORIZADOS!$A:$D,4,FALSE)),"")</f>
        <v>PRIVADO</v>
      </c>
      <c r="E1070" s="11" t="str">
        <f>IFERROR(IF(VLOOKUP(A1070,[8]PRIORIZADOS!$A:$E,5,FALSE)="","",VLOOKUP(A1070,[8]PRIORIZADOS!$A:$E,5,FALSE)),"")</f>
        <v>EPBM</v>
      </c>
      <c r="F1070" s="11" t="str">
        <f>IFERROR(IF(VLOOKUP(A1070,[8]PRIORIZADOS!$A:$F,6,FALSE)="","",VLOOKUP(A1070,[8]PRIORIZADOS!$A:$F,6,FALSE)),"")</f>
        <v>COLEGIO_CIUDAD_DE_CALI</v>
      </c>
      <c r="G1070" s="11" t="str">
        <f>IFERROR(IF(VLOOKUP(A1070,[8]PRIORIZADOS!$A:$G,7,FALSE)="","",VLOOKUP(A1070,[8]PRIORIZADOS!$A:$G,7,FALSE)),"")</f>
        <v>COLEGIO CIUDAD DE CALI</v>
      </c>
      <c r="H1070" s="11" t="str">
        <f>IFERROR(IF(VLOOKUP(A1070,[8]PRIORIZADOS!$A:$H,8,FALSE)="","",VLOOKUP(A1070,[8]PRIORIZADOS!$A:$H,8,FALSE)),"")</f>
        <v>Autoevaluación Institucional y Pruebas SABER 11</v>
      </c>
      <c r="I1070" s="11" t="str">
        <f>IFERROR(IF(VLOOKUP(A1070,[8]PRIORIZADOS!$A:$I,9,FALSE)="","",VLOOKUP(A1070,[8]PRIORIZADOS!$A:$I,9,FALSE)),"")</f>
        <v>SEGUIMIENTO_Y_SUPERVISIÓN.</v>
      </c>
      <c r="J1070" s="11" t="str">
        <f>IFERROR(IF(VLOOKUP(A1070,[8]PRIORIZADOS!$A:$J,10,FALSE)="","",VLOOKUP(A1070,[8]PRIORIZADOS!$A:$J,10,FALSE)),"")</f>
        <v>Proponer estrategias en la formulación, verificar su elaboración y realizar seguimiento semestral al desarrollo de  las acciones establecidas en los planes de mejoramiento por pruebas SABER 11 de los establecimientos de educación formal.</v>
      </c>
      <c r="K1070" s="11" t="str">
        <f>IFERROR(IF(VLOOKUP(A1070,[8]PRIORIZADOS!$A:$K,11,FALSE)="","",VLOOKUP(A1070,[8]PRIORIZADOS!$A:$K,11,FALSE)),"")</f>
        <v>GERMÁN EDUARDO TORO ROSERO</v>
      </c>
      <c r="L1070" s="11" t="str">
        <f>IFERROR(IF(VLOOKUP(A1070,[8]PRIORIZADOS!$A:$L,12,FALSE)="","",VLOOKUP(A1070,[8]PRIORIZADOS!$A:$L,12,FALSE)),"")</f>
        <v>LUIS FERNANDO CÁRDENAS URAN</v>
      </c>
      <c r="M1070" s="71">
        <f>IFERROR(IF(VLOOKUP(A1070,[8]PRIORIZADOS!$A:$M,13,FALSE)="","",VLOOKUP(A1070,[8]PRIORIZADOS!$A:$M,13,FALSE)),"")</f>
        <v>45749</v>
      </c>
      <c r="N1070" s="71">
        <f>IFERROR(IF(VLOOKUP(A1070,[8]PRIORIZADOS!$A:$N,14,FALSE)="","",VLOOKUP(A1070,[8]PRIORIZADOS!$A:$N,14,FALSE)),"")</f>
        <v>45749</v>
      </c>
      <c r="O1070" s="71">
        <f>IFERROR(IF(VLOOKUP(A1070,[8]PRIORIZADOS!$A:$O,15,FALSE)="","",VLOOKUP(A1070,[8]PRIORIZADOS!$A:$O,15,FALSE)),"")</f>
        <v>45749</v>
      </c>
      <c r="P1070" s="11" t="str">
        <f>IFERROR(IF(VLOOKUP(A1070,[8]PRIORIZADOS!$A:$P,16,FALSE)="","",VLOOKUP(A1070,[8]PRIORIZADOS!$A:$P,16,FALSE)),"")</f>
        <v>Visitas de evaluación con fines de mejoramiento</v>
      </c>
      <c r="Q1070" s="125" t="s">
        <v>202</v>
      </c>
      <c r="R1070" s="11" t="str">
        <f>IFERROR(IF(VLOOKUP(A1070,[8]PRIORIZADOS!$A:$R,18,FALSE)="","",VLOOKUP(A1070,[8]PRIORIZADOS!$A:$R,18,FALSE)),"")</f>
        <v>Se evidenció que a la institución le falta documentar el análisis  y revisión de los últimos resultados  de las pruebas saber 11 y formular acciones específicas basadas en los resultados  que incluya a la población con discapacidad en caso de que exista.</v>
      </c>
      <c r="S1070" s="11" t="str">
        <f>IFERROR(IF(VLOOKUP(A1070,[8]PRIORIZADOS!$A:$S,19,FALSE)="","",VLOOKUP(A1070,[8]PRIORIZADOS!$A:$S,19,FALSE)),"")</f>
        <v xml:space="preserve">EE debe adelantar un análisis detallado de los resultados de las pruebas saber 11, lo que les permitirá definir las estrategias pedagógicas para subir la clasificación. </v>
      </c>
      <c r="T1070" s="70" t="str">
        <f>IFERROR(IF(VLOOKUP(A1070,[8]PRIORIZADOS!$A:$T,20,FALSE)="","",VLOOKUP(A1070,[8]PRIORIZADOS!$A:$T,20,FALSE)),"")</f>
        <v>Si</v>
      </c>
      <c r="U1070" s="11" t="str">
        <f>IFERROR(IF(VLOOKUP(A1070,[8]PRIORIZADOS!$A:$U,21,FALSE)="","",VLOOKUP(A1070,[8]PRIORIZADOS!$A:$U,21,FALSE)),"")</f>
        <v xml:space="preserve">Revisión de las acciones ejecutadas por la EE con respecto al análisis realizado de las pruebas saber, por parte del ELIV.  se realiza mesa de seguimiento el día 23 de septiembre 2025. </v>
      </c>
    </row>
    <row r="1071" spans="1:21" s="1" customFormat="1" ht="72">
      <c r="A1071" s="69">
        <f>IF([8]PRIORIZADOS!A50="","",[8]PRIORIZADOS!A50)</f>
        <v>1020</v>
      </c>
      <c r="B1071" s="70">
        <v>8</v>
      </c>
      <c r="C1071" s="11" t="str">
        <f>IFERROR(IF(VLOOKUP(A1071,[8]PRIORIZADOS!$A:$C,3,FALSE)="","",VLOOKUP(A1071,[8]PRIORIZADOS!$A:$C,3,FALSE)),"")</f>
        <v>KENNEDY</v>
      </c>
      <c r="D1071" s="11" t="str">
        <f>IFERROR(IF(VLOOKUP(A1071,[8]PRIORIZADOS!$A:$D,4,FALSE)="","",VLOOKUP(A1071,[8]PRIORIZADOS!$A:$D,4,FALSE)),"")</f>
        <v>PRIVADO</v>
      </c>
      <c r="E1071" s="11" t="str">
        <f>IFERROR(IF(VLOOKUP(A1071,[8]PRIORIZADOS!$A:$E,5,FALSE)="","",VLOOKUP(A1071,[8]PRIORIZADOS!$A:$E,5,FALSE)),"")</f>
        <v>EPBM</v>
      </c>
      <c r="F1071" s="11" t="str">
        <f>IFERROR(IF(VLOOKUP(A1071,[8]PRIORIZADOS!$A:$F,6,FALSE)="","",VLOOKUP(A1071,[8]PRIORIZADOS!$A:$F,6,FALSE)),"")</f>
        <v>COLEGIO_CIUDAD_DE_CALI</v>
      </c>
      <c r="G1071" s="11" t="str">
        <f>IFERROR(IF(VLOOKUP(A1071,[8]PRIORIZADOS!$A:$G,7,FALSE)="","",VLOOKUP(A1071,[8]PRIORIZADOS!$A:$G,7,FALSE)),"")</f>
        <v>COLEGIO CIUDAD DE CALI</v>
      </c>
      <c r="H1071" s="11" t="str">
        <f>IFERROR(IF(VLOOKUP(A1071,[8]PRIORIZADOS!$A:$H,8,FALSE)="","",VLOOKUP(A1071,[8]PRIORIZADOS!$A:$H,8,FALSE)),"")</f>
        <v>Autoevaluación Institucional y Pruebas SABER 11</v>
      </c>
      <c r="I1071" s="11" t="str">
        <f>IFERROR(IF(VLOOKUP(A1071,[8]PRIORIZADOS!$A:$I,9,FALSE)="","",VLOOKUP(A1071,[8]PRIORIZADOS!$A:$I,9,FALSE)),"")</f>
        <v>SEGUIMIENTO_Y_SUPERVISIÓN.</v>
      </c>
      <c r="J1071" s="11" t="str">
        <f>IFERROR(IF(VLOOKUP(A1071,[8]PRIORIZADOS!$A:$J,10,FALSE)="","",VLOOKUP(A1071,[8]PRIORIZADOS!$A:$J,10,FALSE)),"")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71" s="11" t="str">
        <f>IFERROR(IF(VLOOKUP(A1071,[8]PRIORIZADOS!$A:$K,11,FALSE)="","",VLOOKUP(A1071,[8]PRIORIZADOS!$A:$K,11,FALSE)),"")</f>
        <v>GERMÁN EDUARDO TORO ROSERO</v>
      </c>
      <c r="L1071" s="11" t="str">
        <f>IFERROR(IF(VLOOKUP(A1071,[8]PRIORIZADOS!$A:$L,12,FALSE)="","",VLOOKUP(A1071,[8]PRIORIZADOS!$A:$L,12,FALSE)),"")</f>
        <v>LUIS FERNANDO CÁRDENAS URAN</v>
      </c>
      <c r="M1071" s="71">
        <f>IFERROR(IF(VLOOKUP(A1071,[8]PRIORIZADOS!$A:$M,13,FALSE)="","",VLOOKUP(A1071,[8]PRIORIZADOS!$A:$M,13,FALSE)),"")</f>
        <v>45749</v>
      </c>
      <c r="N1071" s="71">
        <f>IFERROR(IF(VLOOKUP(A1071,[8]PRIORIZADOS!$A:$N,14,FALSE)="","",VLOOKUP(A1071,[8]PRIORIZADOS!$A:$N,14,FALSE)),"")</f>
        <v>45749</v>
      </c>
      <c r="O1071" s="71">
        <f>IFERROR(IF(VLOOKUP(A1071,[8]PRIORIZADOS!$A:$O,15,FALSE)="","",VLOOKUP(A1071,[8]PRIORIZADOS!$A:$O,15,FALSE)),"")</f>
        <v>45749</v>
      </c>
      <c r="P1071" s="11" t="str">
        <f>IFERROR(IF(VLOOKUP(A1071,[8]PRIORIZADOS!$A:$P,16,FALSE)="","",VLOOKUP(A1071,[8]PRIORIZADOS!$A:$P,16,FALSE)),"")</f>
        <v>Visitas de evaluación con fines de mejoramiento</v>
      </c>
      <c r="Q1071" s="125" t="s">
        <v>202</v>
      </c>
      <c r="R1071" s="11" t="str">
        <f>IFERROR(IF(VLOOKUP(A1071,[8]PRIORIZADOS!$A:$R,18,FALSE)="","",VLOOKUP(A1071,[8]PRIORIZADOS!$A:$R,18,FALSE)),"")</f>
        <v>La EE no presentó PIAR para el estudiante de grado 11 con discapacidad física D.T</v>
      </c>
      <c r="S1071" s="11" t="str">
        <f>IFERROR(IF(VLOOKUP(A1071,[8]PRIORIZADOS!$A:$S,19,FALSE)="","",VLOOKUP(A1071,[8]PRIORIZADOS!$A:$S,19,FALSE)),"")</f>
        <v>La institución debe elaborar PIAR para el estudiante de grado 11 con discapacidad física D.T</v>
      </c>
      <c r="T1071" s="70" t="str">
        <f>IFERROR(IF(VLOOKUP(A1071,[8]PRIORIZADOS!$A:$T,20,FALSE)="","",VLOOKUP(A1071,[8]PRIORIZADOS!$A:$T,20,FALSE)),"")</f>
        <v>Si</v>
      </c>
      <c r="U1071" s="11" t="str">
        <f>IFERROR(IF(VLOOKUP(A1071,[8]PRIORIZADOS!$A:$U,21,FALSE)="","",VLOOKUP(A1071,[8]PRIORIZADOS!$A:$U,21,FALSE)),"")</f>
        <v xml:space="preserve">Revisión de las acciones ejecutadas por la EE con respecto al PIAR del estudiante de grado 11 , por parte del ELIV.Se realiza mesa de seguimiento el día 23 de septiembre 2025. </v>
      </c>
    </row>
    <row r="1072" spans="1:21" s="1" customFormat="1" ht="84">
      <c r="A1072" s="69">
        <f>IF([8]PRIORIZADOS!A51="","",[8]PRIORIZADOS!A51)</f>
        <v>1021</v>
      </c>
      <c r="B1072" s="70">
        <v>8</v>
      </c>
      <c r="C1072" s="11" t="str">
        <f>IFERROR(IF(VLOOKUP(A1072,[8]PRIORIZADOS!$A:$C,3,FALSE)="","",VLOOKUP(A1072,[8]PRIORIZADOS!$A:$C,3,FALSE)),"")</f>
        <v>KENNEDY</v>
      </c>
      <c r="D1072" s="11" t="str">
        <f>IFERROR(IF(VLOOKUP(A1072,[8]PRIORIZADOS!$A:$D,4,FALSE)="","",VLOOKUP(A1072,[8]PRIORIZADOS!$A:$D,4,FALSE)),"")</f>
        <v>PRIVADO</v>
      </c>
      <c r="E1072" s="11" t="str">
        <f>IFERROR(IF(VLOOKUP(A1072,[8]PRIORIZADOS!$A:$E,5,FALSE)="","",VLOOKUP(A1072,[8]PRIORIZADOS!$A:$E,5,FALSE)),"")</f>
        <v>EPBM</v>
      </c>
      <c r="F1072" s="11" t="str">
        <f>IFERROR(IF(VLOOKUP(A1072,[8]PRIORIZADOS!$A:$F,6,FALSE)="","",VLOOKUP(A1072,[8]PRIORIZADOS!$A:$F,6,FALSE)),"")</f>
        <v>COLEGIO_CIUDAD_DE_CALI</v>
      </c>
      <c r="G1072" s="11" t="str">
        <f>IFERROR(IF(VLOOKUP(A1072,[8]PRIORIZADOS!$A:$G,7,FALSE)="","",VLOOKUP(A1072,[8]PRIORIZADOS!$A:$G,7,FALSE)),"")</f>
        <v>COLEGIO CIUDAD DE CALI</v>
      </c>
      <c r="H1072" s="11" t="str">
        <f>IFERROR(IF(VLOOKUP(A1072,[8]PRIORIZADOS!$A:$H,8,FALSE)="","",VLOOKUP(A1072,[8]PRIORIZADOS!$A:$H,8,FALSE)),"")</f>
        <v>Autoevaluación Institucional y Pruebas SABER 11</v>
      </c>
      <c r="I1072" s="11" t="str">
        <f>IFERROR(IF(VLOOKUP(A1072,[8]PRIORIZADOS!$A:$I,9,FALSE)="","",VLOOKUP(A1072,[8]PRIORIZADOS!$A:$I,9,FALSE)),"")</f>
        <v>EVALUACIÓN_CON_FINES_DE_MEJORAMIENTO.</v>
      </c>
      <c r="J1072" s="11" t="str">
        <f>IFERROR(IF(VLOOKUP(A1072,[8]PRIORIZADOS!$A:$J,10,FALSE)="","",VLOOKUP(A1072,[8]PRIORIZADOS!$A:$J,10,FALSE)),"")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72" s="11" t="str">
        <f>IFERROR(IF(VLOOKUP(A1072,[8]PRIORIZADOS!$A:$K,11,FALSE)="","",VLOOKUP(A1072,[8]PRIORIZADOS!$A:$K,11,FALSE)),"")</f>
        <v>GERMÁN EDUARDO TORO ROSERO</v>
      </c>
      <c r="L1072" s="11" t="str">
        <f>IFERROR(IF(VLOOKUP(A1072,[8]PRIORIZADOS!$A:$L,12,FALSE)="","",VLOOKUP(A1072,[8]PRIORIZADOS!$A:$L,12,FALSE)),"")</f>
        <v>LUIS FERNANDO CÁRDENAS URAN</v>
      </c>
      <c r="M1072" s="71">
        <f>IFERROR(IF(VLOOKUP(A1072,[8]PRIORIZADOS!$A:$M,13,FALSE)="","",VLOOKUP(A1072,[8]PRIORIZADOS!$A:$M,13,FALSE)),"")</f>
        <v>45749</v>
      </c>
      <c r="N1072" s="71">
        <f>IFERROR(IF(VLOOKUP(A1072,[8]PRIORIZADOS!$A:$N,14,FALSE)="","",VLOOKUP(A1072,[8]PRIORIZADOS!$A:$N,14,FALSE)),"")</f>
        <v>45749</v>
      </c>
      <c r="O1072" s="71">
        <f>IFERROR(IF(VLOOKUP(A1072,[8]PRIORIZADOS!$A:$O,15,FALSE)="","",VLOOKUP(A1072,[8]PRIORIZADOS!$A:$O,15,FALSE)),"")</f>
        <v>45749</v>
      </c>
      <c r="P1072" s="11" t="str">
        <f>IFERROR(IF(VLOOKUP(A1072,[8]PRIORIZADOS!$A:$P,16,FALSE)="","",VLOOKUP(A1072,[8]PRIORIZADOS!$A:$P,16,FALSE)),"")</f>
        <v>Visitas de evaluación con fines de mejoramiento</v>
      </c>
      <c r="Q1072" s="107" t="s">
        <v>202</v>
      </c>
      <c r="R1072" s="11" t="str">
        <f>IFERROR(IF(VLOOKUP(A1072,[8]PRIORIZADOS!$A:$R,18,FALSE)="","",VLOOKUP(A1072,[8]PRIORIZADOS!$A:$R,18,FALSE)),"")</f>
        <v>El manual de convivencia está conformado de acuerdo a lo establecido en la normatividad vigente</v>
      </c>
      <c r="S1072" s="11" t="str">
        <f>IFERROR(IF(VLOOKUP(A1072,[8]PRIORIZADOS!$A:$S,19,FALSE)="","",VLOOKUP(A1072,[8]PRIORIZADOS!$A:$S,19,FALSE)),"")</f>
        <v>La institución adoptó  en su manual de convivencia  los protocolos de atención integral de la Secretaria de Educación.</v>
      </c>
      <c r="T1072" s="70" t="str">
        <f>IFERROR(IF(VLOOKUP(A1072,[8]PRIORIZADOS!$A:$T,20,FALSE)="","",VLOOKUP(A1072,[8]PRIORIZADOS!$A:$T,20,FALSE)),"")</f>
        <v>No</v>
      </c>
      <c r="U1072" s="11" t="str">
        <f>IFERROR(IF(VLOOKUP(A1072,[8]PRIORIZADOS!$A:$U,21,FALSE)="","",VLOOKUP(A1072,[8]PRIORIZADOS!$A:$U,21,FALSE)),"")</f>
        <v>Con relación a este ítem, por parte del ELIV se le informa a la EE que ante cualquier inquietud con referencia al manual de convivencia estará atento a brindar la orientación que requiera.</v>
      </c>
    </row>
    <row r="1073" spans="1:21" s="1" customFormat="1" ht="48">
      <c r="A1073" s="69">
        <f>IF([8]PRIORIZADOS!A52="","",[8]PRIORIZADOS!A52)</f>
        <v>1022</v>
      </c>
      <c r="B1073" s="70">
        <v>8</v>
      </c>
      <c r="C1073" s="11" t="str">
        <f>IFERROR(IF(VLOOKUP(A1073,[8]PRIORIZADOS!$A:$C,3,FALSE)="","",VLOOKUP(A1073,[8]PRIORIZADOS!$A:$C,3,FALSE)),"")</f>
        <v>KENNEDY</v>
      </c>
      <c r="D1073" s="11" t="str">
        <f>IFERROR(IF(VLOOKUP(A1073,[8]PRIORIZADOS!$A:$D,4,FALSE)="","",VLOOKUP(A1073,[8]PRIORIZADOS!$A:$D,4,FALSE)),"")</f>
        <v>PRIVADO</v>
      </c>
      <c r="E1073" s="11" t="str">
        <f>IFERROR(IF(VLOOKUP(A1073,[8]PRIORIZADOS!$A:$E,5,FALSE)="","",VLOOKUP(A1073,[8]PRIORIZADOS!$A:$E,5,FALSE)),"")</f>
        <v>EPBM</v>
      </c>
      <c r="F1073" s="11" t="str">
        <f>IFERROR(IF(VLOOKUP(A1073,[8]PRIORIZADOS!$A:$F,6,FALSE)="","",VLOOKUP(A1073,[8]PRIORIZADOS!$A:$F,6,FALSE)),"")</f>
        <v>COLEGIO_CIUDAD_DE_CALI</v>
      </c>
      <c r="G1073" s="11" t="str">
        <f>IFERROR(IF(VLOOKUP(A1073,[8]PRIORIZADOS!$A:$G,7,FALSE)="","",VLOOKUP(A1073,[8]PRIORIZADOS!$A:$G,7,FALSE)),"")</f>
        <v>COLEGIO CIUDAD DE CALI</v>
      </c>
      <c r="H1073" s="11" t="str">
        <f>IFERROR(IF(VLOOKUP(A1073,[8]PRIORIZADOS!$A:$H,8,FALSE)="","",VLOOKUP(A1073,[8]PRIORIZADOS!$A:$H,8,FALSE)),"")</f>
        <v>Autoevaluación Institucional y Pruebas SABER 11</v>
      </c>
      <c r="I1073" s="11" t="str">
        <f>IFERROR(IF(VLOOKUP(A1073,[8]PRIORIZADOS!$A:$I,9,FALSE)="","",VLOOKUP(A1073,[8]PRIORIZADOS!$A:$I,9,FALSE)),"")</f>
        <v>EVALUACIÓN_CON_FINES_DE_MEJORAMIENTO.</v>
      </c>
      <c r="J1073" s="11" t="str">
        <f>IFERROR(IF(VLOOKUP(A1073,[8]PRIORIZADOS!$A:$J,10,FALSE)="","",VLOOKUP(A1073,[8]PRIORIZADOS!$A:$J,10,FALSE)),"")</f>
        <v>Revisar el calendario escolar, jornada escolar, la intensidad horaria mínima anual en cada nivel y las modificaciones que se realicen al mismo, de acuerdo con lo previsto en la normatividad vigente.</v>
      </c>
      <c r="K1073" s="11" t="str">
        <f>IFERROR(IF(VLOOKUP(A1073,[8]PRIORIZADOS!$A:$K,11,FALSE)="","",VLOOKUP(A1073,[8]PRIORIZADOS!$A:$K,11,FALSE)),"")</f>
        <v>GERMÁN EDUARDO TORO ROSERO</v>
      </c>
      <c r="L1073" s="11" t="str">
        <f>IFERROR(IF(VLOOKUP(A1073,[8]PRIORIZADOS!$A:$L,12,FALSE)="","",VLOOKUP(A1073,[8]PRIORIZADOS!$A:$L,12,FALSE)),"")</f>
        <v>LUIS FERNANDO CÁRDENAS URAN</v>
      </c>
      <c r="M1073" s="71">
        <f>IFERROR(IF(VLOOKUP(A1073,[8]PRIORIZADOS!$A:$M,13,FALSE)="","",VLOOKUP(A1073,[8]PRIORIZADOS!$A:$M,13,FALSE)),"")</f>
        <v>45749</v>
      </c>
      <c r="N1073" s="71">
        <f>IFERROR(IF(VLOOKUP(A1073,[8]PRIORIZADOS!$A:$N,14,FALSE)="","",VLOOKUP(A1073,[8]PRIORIZADOS!$A:$N,14,FALSE)),"")</f>
        <v>45749</v>
      </c>
      <c r="O1073" s="71">
        <f>IFERROR(IF(VLOOKUP(A1073,[8]PRIORIZADOS!$A:$O,15,FALSE)="","",VLOOKUP(A1073,[8]PRIORIZADOS!$A:$O,15,FALSE)),"")</f>
        <v>45749</v>
      </c>
      <c r="P1073" s="11" t="str">
        <f>IFERROR(IF(VLOOKUP(A1073,[8]PRIORIZADOS!$A:$P,16,FALSE)="","",VLOOKUP(A1073,[8]PRIORIZADOS!$A:$P,16,FALSE)),"")</f>
        <v>Visitas de evaluación con fines de mejoramiento</v>
      </c>
      <c r="Q1073" s="107" t="s">
        <v>202</v>
      </c>
      <c r="R1073" s="11" t="str">
        <f>IFERROR(IF(VLOOKUP(A1073,[8]PRIORIZADOS!$A:$R,18,FALSE)="","",VLOOKUP(A1073,[8]PRIORIZADOS!$A:$R,18,FALSE)),"")</f>
        <v>Se evidencia que cumple con la intensidad horaria mínima anual.</v>
      </c>
      <c r="S1073" s="11" t="str">
        <f>IFERROR(IF(VLOOKUP(A1073,[8]PRIORIZADOS!$A:$S,19,FALSE)="","",VLOOKUP(A1073,[8]PRIORIZADOS!$A:$S,19,FALSE)),"")</f>
        <v>Implementar el horario socializado y  revisado por el ELIV.</v>
      </c>
      <c r="T1073" s="70" t="str">
        <f>IFERROR(IF(VLOOKUP(A1073,[8]PRIORIZADOS!$A:$T,20,FALSE)="","",VLOOKUP(A1073,[8]PRIORIZADOS!$A:$T,20,FALSE)),"")</f>
        <v>No</v>
      </c>
      <c r="U1073" s="11" t="str">
        <f>IFERROR(IF(VLOOKUP(A1073,[8]PRIORIZADOS!$A:$U,21,FALSE)="","",VLOOKUP(A1073,[8]PRIORIZADOS!$A:$U,21,FALSE)),"")</f>
        <v>Verificar que el calendario escolar sea socializado con la comunidad educativa.</v>
      </c>
    </row>
    <row r="1074" spans="1:21" s="1" customFormat="1" ht="84">
      <c r="A1074" s="69">
        <f>IF([8]PRIORIZADOS!A53="","",[8]PRIORIZADOS!A53)</f>
        <v>1023</v>
      </c>
      <c r="B1074" s="70">
        <v>8</v>
      </c>
      <c r="C1074" s="11" t="str">
        <f>IFERROR(IF(VLOOKUP(A1074,[8]PRIORIZADOS!$A:$C,3,FALSE)="","",VLOOKUP(A1074,[8]PRIORIZADOS!$A:$C,3,FALSE)),"")</f>
        <v>KENNEDY</v>
      </c>
      <c r="D1074" s="11" t="str">
        <f>IFERROR(IF(VLOOKUP(A1074,[8]PRIORIZADOS!$A:$D,4,FALSE)="","",VLOOKUP(A1074,[8]PRIORIZADOS!$A:$D,4,FALSE)),"")</f>
        <v>PRIVADO</v>
      </c>
      <c r="E1074" s="11" t="str">
        <f>IFERROR(IF(VLOOKUP(A1074,[8]PRIORIZADOS!$A:$E,5,FALSE)="","",VLOOKUP(A1074,[8]PRIORIZADOS!$A:$E,5,FALSE)),"")</f>
        <v>EPBM</v>
      </c>
      <c r="F1074" s="11" t="str">
        <f>IFERROR(IF(VLOOKUP(A1074,[8]PRIORIZADOS!$A:$F,6,FALSE)="","",VLOOKUP(A1074,[8]PRIORIZADOS!$A:$F,6,FALSE)),"")</f>
        <v>COLEGIO_CIUDAD_DE_CALI</v>
      </c>
      <c r="G1074" s="11" t="str">
        <f>IFERROR(IF(VLOOKUP(A1074,[8]PRIORIZADOS!$A:$G,7,FALSE)="","",VLOOKUP(A1074,[8]PRIORIZADOS!$A:$G,7,FALSE)),"")</f>
        <v>COLEGIO CIUDAD DE CALI</v>
      </c>
      <c r="H1074" s="11" t="str">
        <f>IFERROR(IF(VLOOKUP(A1074,[8]PRIORIZADOS!$A:$H,8,FALSE)="","",VLOOKUP(A1074,[8]PRIORIZADOS!$A:$H,8,FALSE)),"")</f>
        <v>Autoevaluación Institucional y Pruebas SABER 11</v>
      </c>
      <c r="I1074" s="11" t="str">
        <f>IFERROR(IF(VLOOKUP(A1074,[8]PRIORIZADOS!$A:$I,9,FALSE)="","",VLOOKUP(A1074,[8]PRIORIZADOS!$A:$I,9,FALSE)),"")</f>
        <v>EVALUACIÓN_CON_FINES_DE_MEJORAMIENTO.</v>
      </c>
      <c r="J1074" s="11" t="str">
        <f>IFERROR(IF(VLOOKUP(A1074,[8]PRIORIZADOS!$A:$J,10,FALSE)="","",VLOOKUP(A1074,[8]PRIORIZADOS!$A:$J,10,FALSE)),"")</f>
        <v>Verificar el funcionamiento del Gobierno Escolar e instancias de participación con base en la información sobre conformación reportada por la institución educativa.</v>
      </c>
      <c r="K1074" s="11" t="str">
        <f>IFERROR(IF(VLOOKUP(A1074,[8]PRIORIZADOS!$A:$K,11,FALSE)="","",VLOOKUP(A1074,[8]PRIORIZADOS!$A:$K,11,FALSE)),"")</f>
        <v>GERMÁN EDUARDO TORO ROSERO</v>
      </c>
      <c r="L1074" s="11" t="str">
        <f>IFERROR(IF(VLOOKUP(A1074,[8]PRIORIZADOS!$A:$L,12,FALSE)="","",VLOOKUP(A1074,[8]PRIORIZADOS!$A:$L,12,FALSE)),"")</f>
        <v>LUIS FERNANDO CÁRDENAS URAN</v>
      </c>
      <c r="M1074" s="71">
        <f>IFERROR(IF(VLOOKUP(A1074,[8]PRIORIZADOS!$A:$M,13,FALSE)="","",VLOOKUP(A1074,[8]PRIORIZADOS!$A:$M,13,FALSE)),"")</f>
        <v>45749</v>
      </c>
      <c r="N1074" s="71">
        <f>IFERROR(IF(VLOOKUP(A1074,[8]PRIORIZADOS!$A:$N,14,FALSE)="","",VLOOKUP(A1074,[8]PRIORIZADOS!$A:$N,14,FALSE)),"")</f>
        <v>45749</v>
      </c>
      <c r="O1074" s="71">
        <f>IFERROR(IF(VLOOKUP(A1074,[8]PRIORIZADOS!$A:$O,15,FALSE)="","",VLOOKUP(A1074,[8]PRIORIZADOS!$A:$O,15,FALSE)),"")</f>
        <v>45749</v>
      </c>
      <c r="P1074" s="11" t="str">
        <f>IFERROR(IF(VLOOKUP(A1074,[8]PRIORIZADOS!$A:$P,16,FALSE)="","",VLOOKUP(A1074,[8]PRIORIZADOS!$A:$P,16,FALSE)),"")</f>
        <v>Visitas de evaluación con fines de mejoramiento</v>
      </c>
      <c r="Q1074" s="126" t="s">
        <v>202</v>
      </c>
      <c r="R1074" s="11" t="str">
        <f>IFERROR(IF(VLOOKUP(A1074,[8]PRIORIZADOS!$A:$R,18,FALSE)="","",VLOOKUP(A1074,[8]PRIORIZADOS!$A:$R,18,FALSE)),"")</f>
        <v>La institución educativa presenta actas de conformación y funcionamiento, evidenciándose todo lo relacionado con el proceso de convocatoria y elección del gobierno escolar y demás instancias de participación. Las actas están subidas al SAE</v>
      </c>
      <c r="S1074" s="11" t="str">
        <f>IFERROR(IF(VLOOKUP(A1074,[8]PRIORIZADOS!$A:$S,19,FALSE)="","",VLOOKUP(A1074,[8]PRIORIZADOS!$A:$S,19,FALSE)),"")</f>
        <v>Seguir garantizado la aplicación del Debido proceso en todas las instancias de la comunidad educativa  en todas sus actuaciones.</v>
      </c>
      <c r="T1074" s="70" t="str">
        <f>IFERROR(IF(VLOOKUP(A1074,[8]PRIORIZADOS!$A:$T,20,FALSE)="","",VLOOKUP(A1074,[8]PRIORIZADOS!$A:$T,20,FALSE)),"")</f>
        <v>No</v>
      </c>
      <c r="U1074" s="11" t="str">
        <f>IFERROR(IF(VLOOKUP(A1074,[8]PRIORIZADOS!$A:$U,21,FALSE)="","",VLOOKUP(A1074,[8]PRIORIZADOS!$A:$U,21,FALSE)),"")</f>
        <v>Verificar que la información subida en el SAE se encuentre completa y acorde a lo solicitado.</v>
      </c>
    </row>
    <row r="1075" spans="1:21" s="1" customFormat="1" ht="130.5">
      <c r="A1075" s="69">
        <f>IF([8]PRIORIZADOS!A54="","",[8]PRIORIZADOS!A54)</f>
        <v>1024</v>
      </c>
      <c r="B1075" s="70">
        <v>8</v>
      </c>
      <c r="C1075" s="11" t="str">
        <f>IFERROR(IF(VLOOKUP(A1075,[8]PRIORIZADOS!$A:$C,3,FALSE)="","",VLOOKUP(A1075,[8]PRIORIZADOS!$A:$C,3,FALSE)),"")</f>
        <v>KENNEDY</v>
      </c>
      <c r="D1075" s="11" t="str">
        <f>IFERROR(IF(VLOOKUP(A1075,[8]PRIORIZADOS!$A:$D,4,FALSE)="","",VLOOKUP(A1075,[8]PRIORIZADOS!$A:$D,4,FALSE)),"")</f>
        <v>PRIVADO</v>
      </c>
      <c r="E1075" s="11" t="str">
        <f>IFERROR(IF(VLOOKUP(A1075,[8]PRIORIZADOS!$A:$E,5,FALSE)="","",VLOOKUP(A1075,[8]PRIORIZADOS!$A:$E,5,FALSE)),"")</f>
        <v>EPBM</v>
      </c>
      <c r="F1075" s="11" t="str">
        <f>IFERROR(IF(VLOOKUP(A1075,[8]PRIORIZADOS!$A:$F,6,FALSE)="","",VLOOKUP(A1075,[8]PRIORIZADOS!$A:$F,6,FALSE)),"")</f>
        <v>COLEGIO_CIUDAD_DE_CALI</v>
      </c>
      <c r="G1075" s="11" t="str">
        <f>IFERROR(IF(VLOOKUP(A1075,[8]PRIORIZADOS!$A:$G,7,FALSE)="","",VLOOKUP(A1075,[8]PRIORIZADOS!$A:$G,7,FALSE)),"")</f>
        <v>COLEGIO CIUDAD DE CALI</v>
      </c>
      <c r="H1075" s="11" t="str">
        <f>IFERROR(IF(VLOOKUP(A1075,[8]PRIORIZADOS!$A:$H,8,FALSE)="","",VLOOKUP(A1075,[8]PRIORIZADOS!$A:$H,8,FALSE)),"")</f>
        <v>Autoevaluación Institucional y Pruebas SABER 11</v>
      </c>
      <c r="I1075" s="11" t="str">
        <f>IFERROR(IF(VLOOKUP(A1075,[8]PRIORIZADOS!$A:$I,9,FALSE)="","",VLOOKUP(A1075,[8]PRIORIZADOS!$A:$I,9,FALSE)),"")</f>
        <v>EVALUACIÓN_CON_FINES_DE_MEJORAMIENTO.</v>
      </c>
      <c r="J1075" s="11" t="str">
        <f>IFERROR(IF(VLOOKUP(A1075,[8]PRIORIZADOS!$A:$J,10,FALSE)="","",VLOOKUP(A1075,[8]PRIORIZADOS!$A:$J,10,FALSE)),"")</f>
        <v>Verificar las condiciones en cuanto a: la estructura administrativa, condiciones de la planta física y medios educativos adecuados.</v>
      </c>
      <c r="K1075" s="11" t="str">
        <f>IFERROR(IF(VLOOKUP(A1075,[8]PRIORIZADOS!$A:$K,11,FALSE)="","",VLOOKUP(A1075,[8]PRIORIZADOS!$A:$K,11,FALSE)),"")</f>
        <v>GERMÁN EDUARDO TORO ROSERO</v>
      </c>
      <c r="L1075" s="11" t="str">
        <f>IFERROR(IF(VLOOKUP(A1075,[8]PRIORIZADOS!$A:$L,12,FALSE)="","",VLOOKUP(A1075,[8]PRIORIZADOS!$A:$L,12,FALSE)),"")</f>
        <v>LUIS FERNANDO CÁRDENAS URAN</v>
      </c>
      <c r="M1075" s="71">
        <f>IFERROR(IF(VLOOKUP(A1075,[8]PRIORIZADOS!$A:$M,13,FALSE)="","",VLOOKUP(A1075,[8]PRIORIZADOS!$A:$M,13,FALSE)),"")</f>
        <v>45749</v>
      </c>
      <c r="N1075" s="71">
        <f>IFERROR(IF(VLOOKUP(A1075,[8]PRIORIZADOS!$A:$N,14,FALSE)="","",VLOOKUP(A1075,[8]PRIORIZADOS!$A:$N,14,FALSE)),"")</f>
        <v>45749</v>
      </c>
      <c r="O1075" s="71">
        <f>IFERROR(IF(VLOOKUP(A1075,[8]PRIORIZADOS!$A:$O,15,FALSE)="","",VLOOKUP(A1075,[8]PRIORIZADOS!$A:$O,15,FALSE)),"")</f>
        <v>45749</v>
      </c>
      <c r="P1075" s="11" t="str">
        <f>IFERROR(IF(VLOOKUP(A1075,[8]PRIORIZADOS!$A:$P,16,FALSE)="","",VLOOKUP(A1075,[8]PRIORIZADOS!$A:$P,16,FALSE)),"")</f>
        <v>Visitas de evaluación con fines de mejoramiento</v>
      </c>
      <c r="Q1075" s="107" t="s">
        <v>202</v>
      </c>
      <c r="R1075" s="11" t="str">
        <f>IFERROR(IF(VLOOKUP(A1075,[8]PRIORIZADOS!$A:$R,18,FALSE)="","",VLOOKUP(A1075,[8]PRIORIZADOS!$A:$R,18,FALSE)),"")</f>
        <v>La EE cuenta con laboratorio de ciencias naturales, robótica, dos salas de sistemas, biblioteca, sala de danzas, sala de profesores ,enfermería, oficinas administrativas, zona de archivo y dos aulas múltiples. Todos los salones  están dotados de televisor ,internet, tablero acrílico y el inmobiliario se encuentra en buen estado. Pero no tiene acondiciona la infraestructura  física  para atender población con alguna discapacidad .</v>
      </c>
      <c r="S1075" s="11" t="str">
        <f>IFERROR(IF(VLOOKUP(A1075,[8]PRIORIZADOS!$A:$S,19,FALSE)="","",VLOOKUP(A1075,[8]PRIORIZADOS!$A:$S,19,FALSE)),"")</f>
        <v xml:space="preserve">Seguir realizando el mantenimiento preventivo de la estructura administrativa, condiciones de la planta física y medios educativos . Acondicionar la infraestructura  física con el propósito  de atender la población con alguna discapacidad </v>
      </c>
      <c r="T1075" s="70" t="str">
        <f>IFERROR(IF(VLOOKUP(A1075,[8]PRIORIZADOS!$A:$T,20,FALSE)="","",VLOOKUP(A1075,[8]PRIORIZADOS!$A:$T,20,FALSE)),"")</f>
        <v>Si</v>
      </c>
      <c r="U1075" s="11" t="str">
        <f>IFERROR(IF(VLOOKUP(A1075,[8]PRIORIZADOS!$A:$U,21,FALSE)="","",VLOOKUP(A1075,[8]PRIORIZADOS!$A:$U,21,FALSE)),"")</f>
        <v>Revisión de las acciones ejecutadas por la EE con respecto mantenimiento preventivo de estructura administrativa, y condiciones de la planta física y medios educativos . Revisión de las acciones ejecutadas por la EE con respecto al acondicionamiento de  la infraestructura física con el propósito  de atender la población con alguna discapacidad por parte del ELIV según el cronograma de ejecución indicado por la institución.</v>
      </c>
    </row>
    <row r="1076" spans="1:21" s="1" customFormat="1" ht="84">
      <c r="A1076" s="69">
        <f>IF([8]PRIORIZADOS!A55="","",[8]PRIORIZADOS!A55)</f>
        <v>1025</v>
      </c>
      <c r="B1076" s="70">
        <f>IFERROR(IF(VLOOKUP(A1076,[8]PRIORIZADOS!$A:$B,2,FALSE)="","",VLOOKUP(A1076,[8]PRIORIZADOS!$A:$B,2,FALSE)),"")</f>
        <v>9</v>
      </c>
      <c r="C1076" s="11" t="str">
        <f>IFERROR(IF(VLOOKUP(A1076,[8]PRIORIZADOS!$A:$C,3,FALSE)="","",VLOOKUP(A1076,[8]PRIORIZADOS!$A:$C,3,FALSE)),"")</f>
        <v>KENNEDY</v>
      </c>
      <c r="D1076" s="11" t="str">
        <f>IFERROR(IF(VLOOKUP(A1076,[8]PRIORIZADOS!$A:$D,4,FALSE)="","",VLOOKUP(A1076,[8]PRIORIZADOS!$A:$D,4,FALSE)),"")</f>
        <v>PRIVADO</v>
      </c>
      <c r="E1076" s="11" t="str">
        <f>IFERROR(IF(VLOOKUP(A1076,[8]PRIORIZADOS!$A:$E,5,FALSE)="","",VLOOKUP(A1076,[8]PRIORIZADOS!$A:$E,5,FALSE)),"")</f>
        <v>EPBM</v>
      </c>
      <c r="F1076" s="11" t="str">
        <f>IFERROR(IF(VLOOKUP(A1076,[8]PRIORIZADOS!$A:$F,6,FALSE)="","",VLOOKUP(A1076,[8]PRIORIZADOS!$A:$F,6,FALSE)),"")</f>
        <v>COLEGIO_CIUDAD_DE_FOMEQUE</v>
      </c>
      <c r="G1076" s="11" t="str">
        <f>IFERROR(IF(VLOOKUP(A1076,[8]PRIORIZADOS!$A:$G,7,FALSE)="","",VLOOKUP(A1076,[8]PRIORIZADOS!$A:$G,7,FALSE)),"")</f>
        <v>COLEGIO CIUDAD DE FOMEQUE</v>
      </c>
      <c r="H1076" s="11" t="str">
        <f>IFERROR(IF(VLOOKUP(A1076,[8]PRIORIZADOS!$A:$H,8,FALSE)="","",VLOOKUP(A1076,[8]PRIORIZADOS!$A:$H,8,FALSE)),"")</f>
        <v>Autoevaluación Institucional y Pruebas SABER 11</v>
      </c>
      <c r="I1076" s="11" t="str">
        <f>IFERROR(IF(VLOOKUP(A1076,[8]PRIORIZADOS!$A:$I,9,FALSE)="","",VLOOKUP(A1076,[8]PRIORIZADOS!$A:$I,9,FALSE)),"")</f>
        <v>SEGUIMIENTO_Y_SUPERVISIÓN.</v>
      </c>
      <c r="J1076" s="11" t="str">
        <f>IFERROR(IF(VLOOKUP(A1076,[8]PRIORIZADOS!$A:$J,10,FALSE)="","",VLOOKUP(A1076,[8]PRIORIZADOS!$A:$J,10,FALSE)),"")</f>
        <v>Realizar visitas para verificar la información registrada sobre la autoevaluación institucional en el aplicativo EVI, a los establecimientos de educación formal no oficial.</v>
      </c>
      <c r="K1076" s="11" t="str">
        <f>IFERROR(IF(VLOOKUP(A1076,[8]PRIORIZADOS!$A:$K,11,FALSE)="","",VLOOKUP(A1076,[8]PRIORIZADOS!$A:$K,11,FALSE)),"")</f>
        <v>LUCY GONZÁLEZ LERMA</v>
      </c>
      <c r="L1076" s="11" t="str">
        <f>IFERROR(IF(VLOOKUP(A1076,[8]PRIORIZADOS!$A:$L,12,FALSE)="","",VLOOKUP(A1076,[8]PRIORIZADOS!$A:$L,12,FALSE)),"")</f>
        <v>VIVANA PILAR BOHÓRQUEZ DÍAZ</v>
      </c>
      <c r="M1076" s="71">
        <f>IFERROR(IF(VLOOKUP(A1076,[8]PRIORIZADOS!$A:$M,13,FALSE)="","",VLOOKUP(A1076,[8]PRIORIZADOS!$A:$M,13,FALSE)),"")</f>
        <v>45750</v>
      </c>
      <c r="N1076" s="71">
        <f>IFERROR(IF(VLOOKUP(A1076,[8]PRIORIZADOS!$A:$N,14,FALSE)="","",VLOOKUP(A1076,[8]PRIORIZADOS!$A:$N,14,FALSE)),"")</f>
        <v>45750</v>
      </c>
      <c r="O1076" s="71">
        <f>IFERROR(IF(VLOOKUP(A1076,[8]PRIORIZADOS!$A:$O,15,FALSE)="","",VLOOKUP(A1076,[8]PRIORIZADOS!$A:$O,15,FALSE)),"")</f>
        <v>45750</v>
      </c>
      <c r="P1076" s="11" t="str">
        <f>IFERROR(IF(VLOOKUP(A1076,[8]PRIORIZADOS!$A:$P,16,FALSE)="","",VLOOKUP(A1076,[8]PRIORIZADOS!$A:$P,16,FALSE)),"")</f>
        <v>Visitas de evaluación con fines de mejoramiento</v>
      </c>
      <c r="Q1076" s="136" t="s">
        <v>203</v>
      </c>
      <c r="R1076" s="11" t="str">
        <f>IFERROR(IF(VLOOKUP(A1076,[8]PRIORIZADOS!$A:$R,18,FALSE)="","",VLOOKUP(A1076,[8]PRIORIZADOS!$A:$R,18,FALSE)),"")</f>
        <v>El colegio cuenta con reporte de autoevaluación 2024, se observó publicación tarifas en oficina y puerta principal.  El contrato de prestación de servicios cuenta con una  cláusula que  refiere la acción judicial que se desencadena con la morosidad.</v>
      </c>
      <c r="S1076" s="11" t="str">
        <f>IFERROR(IF(VLOOKUP(A1076,[8]PRIORIZADOS!$A:$S,19,FALSE)="","",VLOOKUP(A1076,[8]PRIORIZADOS!$A:$S,19,FALSE)),"")</f>
        <v>Instalar en algunos espacios la señalización requerida, extintores y planos de evacuación. (De acuerdo con lo informado las instalaciones fueron pintadas y se retiraron). Avanzar en adecuaciones para las niñas y los niños con discapacidad o alteraciones del desarrollo.</v>
      </c>
      <c r="T1076" s="70" t="str">
        <f>IFERROR(IF(VLOOKUP(A1076,[8]PRIORIZADOS!$A:$T,20,FALSE)="","",VLOOKUP(A1076,[8]PRIORIZADOS!$A:$T,20,FALSE)),"")</f>
        <v>Si</v>
      </c>
      <c r="U1076" s="11" t="str">
        <f>IFERROR(IF(VLOOKUP(A1076,[8]PRIORIZADOS!$A:$U,21,FALSE)="","",VLOOKUP(A1076,[8]PRIORIZADOS!$A:$U,21,FALSE)),"")</f>
        <v>Seguimiento al cumplimiento del plan de mejoramiento. Se realiza visita de seguimiento el 30 de septiembre 2025.</v>
      </c>
    </row>
    <row r="1077" spans="1:21" s="1" customFormat="1" ht="84">
      <c r="A1077" s="69">
        <f>IF([8]PRIORIZADOS!A56="","",[8]PRIORIZADOS!A56)</f>
        <v>1026</v>
      </c>
      <c r="B1077" s="70">
        <v>9</v>
      </c>
      <c r="C1077" s="11" t="str">
        <f>IFERROR(IF(VLOOKUP(A1077,[8]PRIORIZADOS!$A:$C,3,FALSE)="","",VLOOKUP(A1077,[8]PRIORIZADOS!$A:$C,3,FALSE)),"")</f>
        <v>KENNEDY</v>
      </c>
      <c r="D1077" s="11" t="str">
        <f>IFERROR(IF(VLOOKUP(A1077,[8]PRIORIZADOS!$A:$D,4,FALSE)="","",VLOOKUP(A1077,[8]PRIORIZADOS!$A:$D,4,FALSE)),"")</f>
        <v>PRIVADO</v>
      </c>
      <c r="E1077" s="11" t="str">
        <f>IFERROR(IF(VLOOKUP(A1077,[8]PRIORIZADOS!$A:$E,5,FALSE)="","",VLOOKUP(A1077,[8]PRIORIZADOS!$A:$E,5,FALSE)),"")</f>
        <v>EPBM</v>
      </c>
      <c r="F1077" s="11" t="str">
        <f>IFERROR(IF(VLOOKUP(A1077,[8]PRIORIZADOS!$A:$F,6,FALSE)="","",VLOOKUP(A1077,[8]PRIORIZADOS!$A:$F,6,FALSE)),"")</f>
        <v>COLEGIO_CIUDAD_DE_FOMEQUE</v>
      </c>
      <c r="G1077" s="11" t="str">
        <f>IFERROR(IF(VLOOKUP(A1077,[8]PRIORIZADOS!$A:$G,7,FALSE)="","",VLOOKUP(A1077,[8]PRIORIZADOS!$A:$G,7,FALSE)),"")</f>
        <v>COLEGIO CIUDAD DE FOMEQUE</v>
      </c>
      <c r="H1077" s="11" t="str">
        <f>IFERROR(IF(VLOOKUP(A1077,[8]PRIORIZADOS!$A:$H,8,FALSE)="","",VLOOKUP(A1077,[8]PRIORIZADOS!$A:$H,8,FALSE)),"")</f>
        <v>Autoevaluación Institucional y Pruebas SABER 11</v>
      </c>
      <c r="I1077" s="11" t="str">
        <f>IFERROR(IF(VLOOKUP(A1077,[8]PRIORIZADOS!$A:$I,9,FALSE)="","",VLOOKUP(A1077,[8]PRIORIZADOS!$A:$I,9,FALSE)),"")</f>
        <v>SEGUIMIENTO_Y_SUPERVISIÓN.</v>
      </c>
      <c r="J1077" s="11" t="str">
        <f>IFERROR(IF(VLOOKUP(A1077,[8]PRIORIZADOS!$A:$J,10,FALSE)="","",VLOOKUP(A1077,[8]PRIORIZADOS!$A:$J,10,FALSE)),"")</f>
        <v>Proponer estrategias en la formulación, verificar su elaboración y realizar seguimiento semestral al desarrollo de  las acciones establecidas en los planes de mejoramiento por pruebas SABER 11 de los establecimientos de educación formal.</v>
      </c>
      <c r="K1077" s="11" t="str">
        <f>IFERROR(IF(VLOOKUP(A1077,[8]PRIORIZADOS!$A:$K,11,FALSE)="","",VLOOKUP(A1077,[8]PRIORIZADOS!$A:$K,11,FALSE)),"")</f>
        <v>LUCY GONZÁLEZ LERMA</v>
      </c>
      <c r="L1077" s="11" t="str">
        <f>IFERROR(IF(VLOOKUP(A1077,[8]PRIORIZADOS!$A:$L,12,FALSE)="","",VLOOKUP(A1077,[8]PRIORIZADOS!$A:$L,12,FALSE)),"")</f>
        <v>VIVANA PILAR BOHÓRQUEZ DÍAZ</v>
      </c>
      <c r="M1077" s="71">
        <f>IFERROR(IF(VLOOKUP(A1077,[8]PRIORIZADOS!$A:$M,13,FALSE)="","",VLOOKUP(A1077,[8]PRIORIZADOS!$A:$M,13,FALSE)),"")</f>
        <v>45750</v>
      </c>
      <c r="N1077" s="71">
        <f>IFERROR(IF(VLOOKUP(A1077,[8]PRIORIZADOS!$A:$N,14,FALSE)="","",VLOOKUP(A1077,[8]PRIORIZADOS!$A:$N,14,FALSE)),"")</f>
        <v>45750</v>
      </c>
      <c r="O1077" s="71">
        <f>IFERROR(IF(VLOOKUP(A1077,[8]PRIORIZADOS!$A:$O,15,FALSE)="","",VLOOKUP(A1077,[8]PRIORIZADOS!$A:$O,15,FALSE)),"")</f>
        <v>45750</v>
      </c>
      <c r="P1077" s="11" t="str">
        <f>IFERROR(IF(VLOOKUP(A1077,[8]PRIORIZADOS!$A:$P,16,FALSE)="","",VLOOKUP(A1077,[8]PRIORIZADOS!$A:$P,16,FALSE)),"")</f>
        <v>Visitas de evaluación con fines de mejoramiento</v>
      </c>
      <c r="Q1077" s="107" t="s">
        <v>203</v>
      </c>
      <c r="R1077" s="11" t="str">
        <f>IFERROR(IF(VLOOKUP(A1077,[8]PRIORIZADOS!$A:$R,18,FALSE)="","",VLOOKUP(A1077,[8]PRIORIZADOS!$A:$R,18,FALSE)),"")</f>
        <v xml:space="preserve">El colegio contrato una empresa privada para analizar de manera conjunta los resultados de las pruebas SABER 11 de la vigencia 2023 y 2024 y a partir de esto ha generado acciones de mejora con el equipo de maestros y estudiantes de los últimos grados. </v>
      </c>
      <c r="S1077" s="11" t="str">
        <f>IFERROR(IF(VLOOKUP(A1077,[8]PRIORIZADOS!$A:$S,19,FALSE)="","",VLOOKUP(A1077,[8]PRIORIZADOS!$A:$S,19,FALSE)),"")</f>
        <v xml:space="preserve">Ajustar, actualizar o modificar los planes de estudio en correlación con las asignaturas que se encuentran en bajo puntaje en las pruebas SABER 11. </v>
      </c>
      <c r="T1077" s="70" t="str">
        <f>IFERROR(IF(VLOOKUP(A1077,[8]PRIORIZADOS!$A:$T,20,FALSE)="","",VLOOKUP(A1077,[8]PRIORIZADOS!$A:$T,20,FALSE)),"")</f>
        <v>Si</v>
      </c>
      <c r="U1077" s="11" t="str">
        <f>IFERROR(IF(VLOOKUP(A1077,[8]PRIORIZADOS!$A:$U,21,FALSE)="","",VLOOKUP(A1077,[8]PRIORIZADOS!$A:$U,21,FALSE)),"")</f>
        <v>Seguimiento al cumplimiento del plan de mejoramiento. Se realiza visita de seguimiento el 30 de septiembre 2025.</v>
      </c>
    </row>
    <row r="1078" spans="1:21" s="1" customFormat="1" ht="48">
      <c r="A1078" s="69">
        <f>IF([8]PRIORIZADOS!A57="","",[8]PRIORIZADOS!A57)</f>
        <v>1027</v>
      </c>
      <c r="B1078" s="70">
        <v>9</v>
      </c>
      <c r="C1078" s="11" t="str">
        <f>IFERROR(IF(VLOOKUP(A1078,[8]PRIORIZADOS!$A:$C,3,FALSE)="","",VLOOKUP(A1078,[8]PRIORIZADOS!$A:$C,3,FALSE)),"")</f>
        <v>KENNEDY</v>
      </c>
      <c r="D1078" s="11" t="str">
        <f>IFERROR(IF(VLOOKUP(A1078,[8]PRIORIZADOS!$A:$D,4,FALSE)="","",VLOOKUP(A1078,[8]PRIORIZADOS!$A:$D,4,FALSE)),"")</f>
        <v>PRIVADO</v>
      </c>
      <c r="E1078" s="11" t="str">
        <f>IFERROR(IF(VLOOKUP(A1078,[8]PRIORIZADOS!$A:$E,5,FALSE)="","",VLOOKUP(A1078,[8]PRIORIZADOS!$A:$E,5,FALSE)),"")</f>
        <v>EPBM</v>
      </c>
      <c r="F1078" s="11" t="str">
        <f>IFERROR(IF(VLOOKUP(A1078,[8]PRIORIZADOS!$A:$F,6,FALSE)="","",VLOOKUP(A1078,[8]PRIORIZADOS!$A:$F,6,FALSE)),"")</f>
        <v>COLEGIO_CIUDAD_DE_FOMEQUE</v>
      </c>
      <c r="G1078" s="11" t="str">
        <f>IFERROR(IF(VLOOKUP(A1078,[8]PRIORIZADOS!$A:$G,7,FALSE)="","",VLOOKUP(A1078,[8]PRIORIZADOS!$A:$G,7,FALSE)),"")</f>
        <v>COLEGIO CIUDAD DE FOMEQUE</v>
      </c>
      <c r="H1078" s="11" t="str">
        <f>IFERROR(IF(VLOOKUP(A1078,[8]PRIORIZADOS!$A:$H,8,FALSE)="","",VLOOKUP(A1078,[8]PRIORIZADOS!$A:$H,8,FALSE)),"")</f>
        <v>Autoevaluación Institucional y Pruebas SABER 11</v>
      </c>
      <c r="I1078" s="11" t="str">
        <f>IFERROR(IF(VLOOKUP(A1078,[8]PRIORIZADOS!$A:$I,9,FALSE)="","",VLOOKUP(A1078,[8]PRIORIZADOS!$A:$I,9,FALSE)),"")</f>
        <v>SEGUIMIENTO_Y_SUPERVISIÓN.</v>
      </c>
      <c r="J1078" s="11" t="str">
        <f>IFERROR(IF(VLOOKUP(A1078,[8]PRIORIZADOS!$A:$J,10,FALSE)="","",VLOOKUP(A1078,[8]PRIORIZADOS!$A:$J,10,FALSE)),"")</f>
        <v xml:space="preserve">Verificar la implementación por parte de los colegios, de acciones realizadas para la prevención y atención de las situaciones de convivencia en el entorno escolar, según lo establecido en la Directiva 01 de 2022 del MEN. </v>
      </c>
      <c r="K1078" s="11" t="str">
        <f>IFERROR(IF(VLOOKUP(A1078,[8]PRIORIZADOS!$A:$K,11,FALSE)="","",VLOOKUP(A1078,[8]PRIORIZADOS!$A:$K,11,FALSE)),"")</f>
        <v>LUCY GONZÁLEZ LERMA</v>
      </c>
      <c r="L1078" s="11" t="str">
        <f>IFERROR(IF(VLOOKUP(A1078,[8]PRIORIZADOS!$A:$L,12,FALSE)="","",VLOOKUP(A1078,[8]PRIORIZADOS!$A:$L,12,FALSE)),"")</f>
        <v>VIVANA PILAR BOHÓRQUEZ DÍAZ</v>
      </c>
      <c r="M1078" s="71">
        <f>IFERROR(IF(VLOOKUP(A1078,[8]PRIORIZADOS!$A:$M,13,FALSE)="","",VLOOKUP(A1078,[8]PRIORIZADOS!$A:$M,13,FALSE)),"")</f>
        <v>45750</v>
      </c>
      <c r="N1078" s="71">
        <f>IFERROR(IF(VLOOKUP(A1078,[8]PRIORIZADOS!$A:$N,14,FALSE)="","",VLOOKUP(A1078,[8]PRIORIZADOS!$A:$N,14,FALSE)),"")</f>
        <v>45750</v>
      </c>
      <c r="O1078" s="71">
        <f>IFERROR(IF(VLOOKUP(A1078,[8]PRIORIZADOS!$A:$O,15,FALSE)="","",VLOOKUP(A1078,[8]PRIORIZADOS!$A:$O,15,FALSE)),"")</f>
        <v>45750</v>
      </c>
      <c r="P1078" s="11" t="str">
        <f>IFERROR(IF(VLOOKUP(A1078,[8]PRIORIZADOS!$A:$P,16,FALSE)="","",VLOOKUP(A1078,[8]PRIORIZADOS!$A:$P,16,FALSE)),"")</f>
        <v>Visitas de evaluación con fines de mejoramiento</v>
      </c>
      <c r="Q1078" s="125" t="s">
        <v>203</v>
      </c>
      <c r="R1078" s="11" t="str">
        <f>IFERROR(IF(VLOOKUP(A1078,[8]PRIORIZADOS!$A:$R,18,FALSE)="","",VLOOKUP(A1078,[8]PRIORIZADOS!$A:$R,18,FALSE)),"")</f>
        <v xml:space="preserve">La rectora del colegio refiere que el reporte de delitos sexuales se encuentra en poder de la psicóloga de INNOVAR SA quien adelanto el proceso de selección. </v>
      </c>
      <c r="S1078" s="11" t="str">
        <f>IFERROR(IF(VLOOKUP(A1078,[8]PRIORIZADOS!$A:$S,19,FALSE)="","",VLOOKUP(A1078,[8]PRIORIZADOS!$A:$S,19,FALSE)),"")</f>
        <v xml:space="preserve">Anexar en las  carpetas del personal vinculado el certificado de delitos sexuales. </v>
      </c>
      <c r="T1078" s="70" t="str">
        <f>IFERROR(IF(VLOOKUP(A1078,[8]PRIORIZADOS!$A:$T,20,FALSE)="","",VLOOKUP(A1078,[8]PRIORIZADOS!$A:$T,20,FALSE)),"")</f>
        <v>Si</v>
      </c>
      <c r="U1078" s="11" t="str">
        <f>IFERROR(IF(VLOOKUP(A1078,[8]PRIORIZADOS!$A:$U,21,FALSE)="","",VLOOKUP(A1078,[8]PRIORIZADOS!$A:$U,21,FALSE)),"")</f>
        <v>Seguimiento al cumplimiento del plan de mejoramiento. Se realiza visita de seguimiento el 30 de septiembre 2025.</v>
      </c>
    </row>
    <row r="1079" spans="1:21" s="1" customFormat="1" ht="72">
      <c r="A1079" s="69">
        <f>IF([8]PRIORIZADOS!A58="","",[8]PRIORIZADOS!A58)</f>
        <v>1028</v>
      </c>
      <c r="B1079" s="70">
        <v>9</v>
      </c>
      <c r="C1079" s="11" t="str">
        <f>IFERROR(IF(VLOOKUP(A1079,[8]PRIORIZADOS!$A:$C,3,FALSE)="","",VLOOKUP(A1079,[8]PRIORIZADOS!$A:$C,3,FALSE)),"")</f>
        <v>KENNEDY</v>
      </c>
      <c r="D1079" s="11" t="str">
        <f>IFERROR(IF(VLOOKUP(A1079,[8]PRIORIZADOS!$A:$D,4,FALSE)="","",VLOOKUP(A1079,[8]PRIORIZADOS!$A:$D,4,FALSE)),"")</f>
        <v>PRIVADO</v>
      </c>
      <c r="E1079" s="11" t="str">
        <f>IFERROR(IF(VLOOKUP(A1079,[8]PRIORIZADOS!$A:$E,5,FALSE)="","",VLOOKUP(A1079,[8]PRIORIZADOS!$A:$E,5,FALSE)),"")</f>
        <v>EPBM</v>
      </c>
      <c r="F1079" s="11" t="str">
        <f>IFERROR(IF(VLOOKUP(A1079,[8]PRIORIZADOS!$A:$F,6,FALSE)="","",VLOOKUP(A1079,[8]PRIORIZADOS!$A:$F,6,FALSE)),"")</f>
        <v>COLEGIO_CIUDAD_DE_FOMEQUE</v>
      </c>
      <c r="G1079" s="11" t="str">
        <f>IFERROR(IF(VLOOKUP(A1079,[8]PRIORIZADOS!$A:$G,7,FALSE)="","",VLOOKUP(A1079,[8]PRIORIZADOS!$A:$G,7,FALSE)),"")</f>
        <v>COLEGIO CIUDAD DE FOMEQUE</v>
      </c>
      <c r="H1079" s="11" t="str">
        <f>IFERROR(IF(VLOOKUP(A1079,[8]PRIORIZADOS!$A:$H,8,FALSE)="","",VLOOKUP(A1079,[8]PRIORIZADOS!$A:$H,8,FALSE)),"")</f>
        <v>Autoevaluación Institucional y Pruebas SABER 11</v>
      </c>
      <c r="I1079" s="11" t="str">
        <f>IFERROR(IF(VLOOKUP(A1079,[8]PRIORIZADOS!$A:$I,9,FALSE)="","",VLOOKUP(A1079,[8]PRIORIZADOS!$A:$I,9,FALSE)),"")</f>
        <v>SEGUIMIENTO_Y_SUPERVISIÓN.</v>
      </c>
      <c r="J1079" s="11" t="str">
        <f>IFERROR(IF(VLOOKUP(A1079,[8]PRIORIZADOS!$A:$J,10,FALSE)="","",VLOOKUP(A1079,[8]PRIORIZADOS!$A:$J,10,FALSE)),"")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79" s="11" t="str">
        <f>IFERROR(IF(VLOOKUP(A1079,[8]PRIORIZADOS!$A:$K,11,FALSE)="","",VLOOKUP(A1079,[8]PRIORIZADOS!$A:$K,11,FALSE)),"")</f>
        <v>LUCY GONZÁLEZ LERMA</v>
      </c>
      <c r="L1079" s="11" t="str">
        <f>IFERROR(IF(VLOOKUP(A1079,[8]PRIORIZADOS!$A:$L,12,FALSE)="","",VLOOKUP(A1079,[8]PRIORIZADOS!$A:$L,12,FALSE)),"")</f>
        <v>VIVANA PILAR BOHÓRQUEZ DÍAZ</v>
      </c>
      <c r="M1079" s="71">
        <f>IFERROR(IF(VLOOKUP(A1079,[8]PRIORIZADOS!$A:$M,13,FALSE)="","",VLOOKUP(A1079,[8]PRIORIZADOS!$A:$M,13,FALSE)),"")</f>
        <v>45750</v>
      </c>
      <c r="N1079" s="71">
        <f>IFERROR(IF(VLOOKUP(A1079,[8]PRIORIZADOS!$A:$N,14,FALSE)="","",VLOOKUP(A1079,[8]PRIORIZADOS!$A:$N,14,FALSE)),"")</f>
        <v>45750</v>
      </c>
      <c r="O1079" s="71">
        <f>IFERROR(IF(VLOOKUP(A1079,[8]PRIORIZADOS!$A:$O,15,FALSE)="","",VLOOKUP(A1079,[8]PRIORIZADOS!$A:$O,15,FALSE)),"")</f>
        <v>45750</v>
      </c>
      <c r="P1079" s="11" t="str">
        <f>IFERROR(IF(VLOOKUP(A1079,[8]PRIORIZADOS!$A:$P,16,FALSE)="","",VLOOKUP(A1079,[8]PRIORIZADOS!$A:$P,16,FALSE)),"")</f>
        <v>Visitas de evaluación con fines de mejoramiento</v>
      </c>
      <c r="Q1079" s="107" t="s">
        <v>203</v>
      </c>
      <c r="R1079" s="11" t="str">
        <f>IFERROR(IF(VLOOKUP(A1079,[8]PRIORIZADOS!$A:$R,18,FALSE)="","",VLOOKUP(A1079,[8]PRIORIZADOS!$A:$R,18,FALSE)),"")</f>
        <v>El Colegio cuenta con el PIAR de 4 estudiantes con diagnóstico diferencial. La orientadora escolar acompaña el proceso de caracterización de las niñas y los niños, elaboración del PIAR, socialización a las familias y el respectivo seguimiento.</v>
      </c>
      <c r="S1079" s="11" t="str">
        <f>IFERROR(IF(VLOOKUP(A1079,[8]PRIORIZADOS!$A:$S,19,FALSE)="","",VLOOKUP(A1079,[8]PRIORIZADOS!$A:$S,19,FALSE)),"")</f>
        <v>Continuar con el seguimiento de los PIAR y la retroalimentación a las familias respecto a los avances en el proceso de desarrollo de los estudiantes</v>
      </c>
      <c r="T1079" s="70" t="str">
        <f>IFERROR(IF(VLOOKUP(A1079,[8]PRIORIZADOS!$A:$T,20,FALSE)="","",VLOOKUP(A1079,[8]PRIORIZADOS!$A:$T,20,FALSE)),"")</f>
        <v>No</v>
      </c>
      <c r="U1079" s="11" t="str">
        <f>IFERROR(IF(VLOOKUP(A1079,[8]PRIORIZADOS!$A:$U,21,FALSE)="","",VLOOKUP(A1079,[8]PRIORIZADOS!$A:$U,21,FALSE)),"")</f>
        <v>Seguimiento al cumplimiento del plan de mejoramiento.</v>
      </c>
    </row>
    <row r="1080" spans="1:21" s="1" customFormat="1" ht="84">
      <c r="A1080" s="69">
        <f>IF([8]PRIORIZADOS!A59="","",[8]PRIORIZADOS!A59)</f>
        <v>1029</v>
      </c>
      <c r="B1080" s="70">
        <v>9</v>
      </c>
      <c r="C1080" s="11" t="str">
        <f>IFERROR(IF(VLOOKUP(A1080,[8]PRIORIZADOS!$A:$C,3,FALSE)="","",VLOOKUP(A1080,[8]PRIORIZADOS!$A:$C,3,FALSE)),"")</f>
        <v>KENNEDY</v>
      </c>
      <c r="D1080" s="11" t="str">
        <f>IFERROR(IF(VLOOKUP(A1080,[8]PRIORIZADOS!$A:$D,4,FALSE)="","",VLOOKUP(A1080,[8]PRIORIZADOS!$A:$D,4,FALSE)),"")</f>
        <v>PRIVADO</v>
      </c>
      <c r="E1080" s="11" t="str">
        <f>IFERROR(IF(VLOOKUP(A1080,[8]PRIORIZADOS!$A:$E,5,FALSE)="","",VLOOKUP(A1080,[8]PRIORIZADOS!$A:$E,5,FALSE)),"")</f>
        <v>EPBM</v>
      </c>
      <c r="F1080" s="11" t="str">
        <f>IFERROR(IF(VLOOKUP(A1080,[8]PRIORIZADOS!$A:$F,6,FALSE)="","",VLOOKUP(A1080,[8]PRIORIZADOS!$A:$F,6,FALSE)),"")</f>
        <v>COLEGIO_CIUDAD_DE_FOMEQUE</v>
      </c>
      <c r="G1080" s="11" t="str">
        <f>IFERROR(IF(VLOOKUP(A1080,[8]PRIORIZADOS!$A:$G,7,FALSE)="","",VLOOKUP(A1080,[8]PRIORIZADOS!$A:$G,7,FALSE)),"")</f>
        <v>COLEGIO CIUDAD DE FOMEQUE</v>
      </c>
      <c r="H1080" s="11" t="str">
        <f>IFERROR(IF(VLOOKUP(A1080,[8]PRIORIZADOS!$A:$H,8,FALSE)="","",VLOOKUP(A1080,[8]PRIORIZADOS!$A:$H,8,FALSE)),"")</f>
        <v>Autoevaluación Institucional y Pruebas SABER 11</v>
      </c>
      <c r="I1080" s="11" t="str">
        <f>IFERROR(IF(VLOOKUP(A1080,[8]PRIORIZADOS!$A:$I,9,FALSE)="","",VLOOKUP(A1080,[8]PRIORIZADOS!$A:$I,9,FALSE)),"")</f>
        <v>EVALUACIÓN_CON_FINES_DE_MEJORAMIENTO.</v>
      </c>
      <c r="J1080" s="11" t="str">
        <f>IFERROR(IF(VLOOKUP(A1080,[8]PRIORIZADOS!$A:$J,10,FALSE)="","",VLOOKUP(A1080,[8]PRIORIZADOS!$A:$J,10,FALSE)),"")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80" s="11" t="str">
        <f>IFERROR(IF(VLOOKUP(A1080,[8]PRIORIZADOS!$A:$K,11,FALSE)="","",VLOOKUP(A1080,[8]PRIORIZADOS!$A:$K,11,FALSE)),"")</f>
        <v>LUCY GONZÁLEZ LERMA</v>
      </c>
      <c r="L1080" s="11" t="str">
        <f>IFERROR(IF(VLOOKUP(A1080,[8]PRIORIZADOS!$A:$L,12,FALSE)="","",VLOOKUP(A1080,[8]PRIORIZADOS!$A:$L,12,FALSE)),"")</f>
        <v>VIVANA PILAR BOHÓRQUEZ DÍAZ</v>
      </c>
      <c r="M1080" s="71">
        <f>IFERROR(IF(VLOOKUP(A1080,[8]PRIORIZADOS!$A:$M,13,FALSE)="","",VLOOKUP(A1080,[8]PRIORIZADOS!$A:$M,13,FALSE)),"")</f>
        <v>45750</v>
      </c>
      <c r="N1080" s="71">
        <f>IFERROR(IF(VLOOKUP(A1080,[8]PRIORIZADOS!$A:$N,14,FALSE)="","",VLOOKUP(A1080,[8]PRIORIZADOS!$A:$N,14,FALSE)),"")</f>
        <v>45750</v>
      </c>
      <c r="O1080" s="71">
        <f>IFERROR(IF(VLOOKUP(A1080,[8]PRIORIZADOS!$A:$O,15,FALSE)="","",VLOOKUP(A1080,[8]PRIORIZADOS!$A:$O,15,FALSE)),"")</f>
        <v>45750</v>
      </c>
      <c r="P1080" s="11" t="str">
        <f>IFERROR(IF(VLOOKUP(A1080,[8]PRIORIZADOS!$A:$P,16,FALSE)="","",VLOOKUP(A1080,[8]PRIORIZADOS!$A:$P,16,FALSE)),"")</f>
        <v>Visitas de evaluación con fines de mejoramiento</v>
      </c>
      <c r="Q1080" s="107" t="s">
        <v>203</v>
      </c>
      <c r="R1080" s="11" t="str">
        <f>IFERROR(IF(VLOOKUP(A1080,[8]PRIORIZADOS!$A:$R,18,FALSE)="","",VLOOKUP(A1080,[8]PRIORIZADOS!$A:$R,18,FALSE)),"")</f>
        <v>El colegio cuenta con el manual de convivencia y las actas que evidencian el último proceso de actualización y su implementación.</v>
      </c>
      <c r="S1080" s="11" t="str">
        <f>IFERROR(IF(VLOOKUP(A1080,[8]PRIORIZADOS!$A:$S,19,FALSE)="","",VLOOKUP(A1080,[8]PRIORIZADOS!$A:$S,19,FALSE)),"")</f>
        <v xml:space="preserve">Incluir en el manual de convivencia la comprensión de la diversidad y el enfoque restaurativo, adicionalmente vincular a las familias en el proceso de actualización. </v>
      </c>
      <c r="T1080" s="70" t="str">
        <f>IFERROR(IF(VLOOKUP(A1080,[8]PRIORIZADOS!$A:$T,20,FALSE)="","",VLOOKUP(A1080,[8]PRIORIZADOS!$A:$T,20,FALSE)),"")</f>
        <v>Si</v>
      </c>
      <c r="U1080" s="11" t="str">
        <f>IFERROR(IF(VLOOKUP(A1080,[8]PRIORIZADOS!$A:$U,21,FALSE)="","",VLOOKUP(A1080,[8]PRIORIZADOS!$A:$U,21,FALSE)),"")</f>
        <v>Realizar seguimiento a partir de las nuevas evidencias que aporte el colegio respecto a las situaciones de mejora sugeridas. Se realiza visita de seguimiento el 30 de septiembre 2025.</v>
      </c>
    </row>
    <row r="1081" spans="1:21" s="1" customFormat="1" ht="48">
      <c r="A1081" s="69">
        <f>IF([8]PRIORIZADOS!A60="","",[8]PRIORIZADOS!A60)</f>
        <v>1030</v>
      </c>
      <c r="B1081" s="70">
        <v>9</v>
      </c>
      <c r="C1081" s="11" t="str">
        <f>IFERROR(IF(VLOOKUP(A1081,[8]PRIORIZADOS!$A:$C,3,FALSE)="","",VLOOKUP(A1081,[8]PRIORIZADOS!$A:$C,3,FALSE)),"")</f>
        <v>KENNEDY</v>
      </c>
      <c r="D1081" s="11" t="str">
        <f>IFERROR(IF(VLOOKUP(A1081,[8]PRIORIZADOS!$A:$D,4,FALSE)="","",VLOOKUP(A1081,[8]PRIORIZADOS!$A:$D,4,FALSE)),"")</f>
        <v>PRIVADO</v>
      </c>
      <c r="E1081" s="11" t="str">
        <f>IFERROR(IF(VLOOKUP(A1081,[8]PRIORIZADOS!$A:$E,5,FALSE)="","",VLOOKUP(A1081,[8]PRIORIZADOS!$A:$E,5,FALSE)),"")</f>
        <v>EPBM</v>
      </c>
      <c r="F1081" s="11" t="str">
        <f>IFERROR(IF(VLOOKUP(A1081,[8]PRIORIZADOS!$A:$F,6,FALSE)="","",VLOOKUP(A1081,[8]PRIORIZADOS!$A:$F,6,FALSE)),"")</f>
        <v>COLEGIO_CIUDAD_DE_FOMEQUE</v>
      </c>
      <c r="G1081" s="11" t="str">
        <f>IFERROR(IF(VLOOKUP(A1081,[8]PRIORIZADOS!$A:$G,7,FALSE)="","",VLOOKUP(A1081,[8]PRIORIZADOS!$A:$G,7,FALSE)),"")</f>
        <v>COLEGIO CIUDAD DE FOMEQUE</v>
      </c>
      <c r="H1081" s="11" t="str">
        <f>IFERROR(IF(VLOOKUP(A1081,[8]PRIORIZADOS!$A:$H,8,FALSE)="","",VLOOKUP(A1081,[8]PRIORIZADOS!$A:$H,8,FALSE)),"")</f>
        <v>Autoevaluación Institucional y Pruebas SABER 11</v>
      </c>
      <c r="I1081" s="11" t="str">
        <f>IFERROR(IF(VLOOKUP(A1081,[8]PRIORIZADOS!$A:$I,9,FALSE)="","",VLOOKUP(A1081,[8]PRIORIZADOS!$A:$I,9,FALSE)),"")</f>
        <v>EVALUACIÓN_CON_FINES_DE_MEJORAMIENTO.</v>
      </c>
      <c r="J1081" s="11" t="str">
        <f>IFERROR(IF(VLOOKUP(A1081,[8]PRIORIZADOS!$A:$J,10,FALSE)="","",VLOOKUP(A1081,[8]PRIORIZADOS!$A:$J,10,FALSE)),"")</f>
        <v>Revisar el calendario escolar, jornada escolar, la intensidad horaria mínima anual en cada nivel y las modificaciones que se realicen al mismo, de acuerdo con lo previsto en la normatividad vigente.</v>
      </c>
      <c r="K1081" s="11" t="str">
        <f>IFERROR(IF(VLOOKUP(A1081,[8]PRIORIZADOS!$A:$K,11,FALSE)="","",VLOOKUP(A1081,[8]PRIORIZADOS!$A:$K,11,FALSE)),"")</f>
        <v>LUCY GONZÁLEZ LERMA</v>
      </c>
      <c r="L1081" s="11" t="str">
        <f>IFERROR(IF(VLOOKUP(A1081,[8]PRIORIZADOS!$A:$L,12,FALSE)="","",VLOOKUP(A1081,[8]PRIORIZADOS!$A:$L,12,FALSE)),"")</f>
        <v>VIVANA PILAR BOHÓRQUEZ DÍAZ</v>
      </c>
      <c r="M1081" s="71">
        <f>IFERROR(IF(VLOOKUP(A1081,[8]PRIORIZADOS!$A:$M,13,FALSE)="","",VLOOKUP(A1081,[8]PRIORIZADOS!$A:$M,13,FALSE)),"")</f>
        <v>45750</v>
      </c>
      <c r="N1081" s="71">
        <f>IFERROR(IF(VLOOKUP(A1081,[8]PRIORIZADOS!$A:$N,14,FALSE)="","",VLOOKUP(A1081,[8]PRIORIZADOS!$A:$N,14,FALSE)),"")</f>
        <v>45750</v>
      </c>
      <c r="O1081" s="71">
        <f>IFERROR(IF(VLOOKUP(A1081,[8]PRIORIZADOS!$A:$O,15,FALSE)="","",VLOOKUP(A1081,[8]PRIORIZADOS!$A:$O,15,FALSE)),"")</f>
        <v>45750</v>
      </c>
      <c r="P1081" s="11" t="str">
        <f>IFERROR(IF(VLOOKUP(A1081,[8]PRIORIZADOS!$A:$P,16,FALSE)="","",VLOOKUP(A1081,[8]PRIORIZADOS!$A:$P,16,FALSE)),"")</f>
        <v>Visitas de evaluación con fines de mejoramiento</v>
      </c>
      <c r="Q1081" s="162" t="s">
        <v>203</v>
      </c>
      <c r="R1081" s="11" t="str">
        <f>IFERROR(IF(VLOOKUP(A1081,[8]PRIORIZADOS!$A:$R,18,FALSE)="","",VLOOKUP(A1081,[8]PRIORIZADOS!$A:$R,18,FALSE)),"")</f>
        <v>Se evidencia que cumple con la intensidad horaria mínima anual.</v>
      </c>
      <c r="S1081" s="11" t="str">
        <f>IFERROR(IF(VLOOKUP(A1081,[8]PRIORIZADOS!$A:$S,19,FALSE)="","",VLOOKUP(A1081,[8]PRIORIZADOS!$A:$S,19,FALSE)),"")</f>
        <v>Implementar el calendario revisado por el ELIV.</v>
      </c>
      <c r="T1081" s="70" t="str">
        <f>IFERROR(IF(VLOOKUP(A1081,[8]PRIORIZADOS!$A:$T,20,FALSE)="","",VLOOKUP(A1081,[8]PRIORIZADOS!$A:$T,20,FALSE)),"")</f>
        <v>No</v>
      </c>
      <c r="U1081" s="11" t="str">
        <f>IFERROR(IF(VLOOKUP(A1081,[8]PRIORIZADOS!$A:$U,21,FALSE)="","",VLOOKUP(A1081,[8]PRIORIZADOS!$A:$U,21,FALSE)),"")</f>
        <v>Verificar el cumplimiento de las horas mínimas en la próxima vigencia.</v>
      </c>
    </row>
    <row r="1082" spans="1:21" s="1" customFormat="1" ht="60">
      <c r="A1082" s="69">
        <f>IF([8]PRIORIZADOS!A61="","",[8]PRIORIZADOS!A61)</f>
        <v>1031</v>
      </c>
      <c r="B1082" s="70">
        <v>9</v>
      </c>
      <c r="C1082" s="11" t="str">
        <f>IFERROR(IF(VLOOKUP(A1082,[8]PRIORIZADOS!$A:$C,3,FALSE)="","",VLOOKUP(A1082,[8]PRIORIZADOS!$A:$C,3,FALSE)),"")</f>
        <v>KENNEDY</v>
      </c>
      <c r="D1082" s="11" t="str">
        <f>IFERROR(IF(VLOOKUP(A1082,[8]PRIORIZADOS!$A:$D,4,FALSE)="","",VLOOKUP(A1082,[8]PRIORIZADOS!$A:$D,4,FALSE)),"")</f>
        <v>PRIVADO</v>
      </c>
      <c r="E1082" s="11" t="str">
        <f>IFERROR(IF(VLOOKUP(A1082,[8]PRIORIZADOS!$A:$E,5,FALSE)="","",VLOOKUP(A1082,[8]PRIORIZADOS!$A:$E,5,FALSE)),"")</f>
        <v>EPBM</v>
      </c>
      <c r="F1082" s="11" t="str">
        <f>IFERROR(IF(VLOOKUP(A1082,[8]PRIORIZADOS!$A:$F,6,FALSE)="","",VLOOKUP(A1082,[8]PRIORIZADOS!$A:$F,6,FALSE)),"")</f>
        <v>COLEGIO_CIUDAD_DE_FOMEQUE</v>
      </c>
      <c r="G1082" s="11" t="str">
        <f>IFERROR(IF(VLOOKUP(A1082,[8]PRIORIZADOS!$A:$G,7,FALSE)="","",VLOOKUP(A1082,[8]PRIORIZADOS!$A:$G,7,FALSE)),"")</f>
        <v>COLEGIO CIUDAD DE FOMEQUE</v>
      </c>
      <c r="H1082" s="11" t="str">
        <f>IFERROR(IF(VLOOKUP(A1082,[8]PRIORIZADOS!$A:$H,8,FALSE)="","",VLOOKUP(A1082,[8]PRIORIZADOS!$A:$H,8,FALSE)),"")</f>
        <v>Autoevaluación Institucional y Pruebas SABER 11</v>
      </c>
      <c r="I1082" s="11" t="str">
        <f>IFERROR(IF(VLOOKUP(A1082,[8]PRIORIZADOS!$A:$I,9,FALSE)="","",VLOOKUP(A1082,[8]PRIORIZADOS!$A:$I,9,FALSE)),"")</f>
        <v>EVALUACIÓN_CON_FINES_DE_MEJORAMIENTO.</v>
      </c>
      <c r="J1082" s="11" t="str">
        <f>IFERROR(IF(VLOOKUP(A1082,[8]PRIORIZADOS!$A:$J,10,FALSE)="","",VLOOKUP(A1082,[8]PRIORIZADOS!$A:$J,10,FALSE)),"")</f>
        <v>Verificar el funcionamiento del Gobierno Escolar e instancias de participación con base en la información sobre conformación reportada por la institución educativa.</v>
      </c>
      <c r="K1082" s="11" t="str">
        <f>IFERROR(IF(VLOOKUP(A1082,[8]PRIORIZADOS!$A:$K,11,FALSE)="","",VLOOKUP(A1082,[8]PRIORIZADOS!$A:$K,11,FALSE)),"")</f>
        <v>LUCY GONZÁLEZ LERMA</v>
      </c>
      <c r="L1082" s="11" t="str">
        <f>IFERROR(IF(VLOOKUP(A1082,[8]PRIORIZADOS!$A:$L,12,FALSE)="","",VLOOKUP(A1082,[8]PRIORIZADOS!$A:$L,12,FALSE)),"")</f>
        <v>VIVANA PILAR BOHÓRQUEZ DÍAZ</v>
      </c>
      <c r="M1082" s="71">
        <f>IFERROR(IF(VLOOKUP(A1082,[8]PRIORIZADOS!$A:$M,13,FALSE)="","",VLOOKUP(A1082,[8]PRIORIZADOS!$A:$M,13,FALSE)),"")</f>
        <v>45750</v>
      </c>
      <c r="N1082" s="71">
        <f>IFERROR(IF(VLOOKUP(A1082,[8]PRIORIZADOS!$A:$N,14,FALSE)="","",VLOOKUP(A1082,[8]PRIORIZADOS!$A:$N,14,FALSE)),"")</f>
        <v>45750</v>
      </c>
      <c r="O1082" s="71">
        <f>IFERROR(IF(VLOOKUP(A1082,[8]PRIORIZADOS!$A:$O,15,FALSE)="","",VLOOKUP(A1082,[8]PRIORIZADOS!$A:$O,15,FALSE)),"")</f>
        <v>45750</v>
      </c>
      <c r="P1082" s="11" t="str">
        <f>IFERROR(IF(VLOOKUP(A1082,[8]PRIORIZADOS!$A:$P,16,FALSE)="","",VLOOKUP(A1082,[8]PRIORIZADOS!$A:$P,16,FALSE)),"")</f>
        <v>Visitas de evaluación con fines de mejoramiento</v>
      </c>
      <c r="Q1082" s="127" t="s">
        <v>203</v>
      </c>
      <c r="R1082" s="11" t="str">
        <f>IFERROR(IF(VLOOKUP(A1082,[8]PRIORIZADOS!$A:$R,18,FALSE)="","",VLOOKUP(A1082,[8]PRIORIZADOS!$A:$R,18,FALSE)),"")</f>
        <v>El colegio cuenta con las actas de conformación e implementación del gobierno escolar vigencias 2024 y 2025. En la primera reunión de cada estamento se socializan las funciones.</v>
      </c>
      <c r="S1082" s="11" t="str">
        <f>IFERROR(IF(VLOOKUP(A1082,[8]PRIORIZADOS!$A:$S,19,FALSE)="","",VLOOKUP(A1082,[8]PRIORIZADOS!$A:$S,19,FALSE)),"")</f>
        <v>Continuar con el proceso y actualización en cada vigencia.</v>
      </c>
      <c r="T1082" s="70" t="str">
        <f>IFERROR(IF(VLOOKUP(A1082,[8]PRIORIZADOS!$A:$T,20,FALSE)="","",VLOOKUP(A1082,[8]PRIORIZADOS!$A:$T,20,FALSE)),"")</f>
        <v>No</v>
      </c>
      <c r="U1082" s="11" t="str">
        <f>IFERROR(IF(VLOOKUP(A1082,[8]PRIORIZADOS!$A:$U,21,FALSE)="","",VLOOKUP(A1082,[8]PRIORIZADOS!$A:$U,21,FALSE)),"")</f>
        <v>Seguimiento al cumplimiento del plan de mejoramiento.</v>
      </c>
    </row>
    <row r="1083" spans="1:21" s="1" customFormat="1" ht="48">
      <c r="A1083" s="69">
        <f>IF([8]PRIORIZADOS!A62="","",[8]PRIORIZADOS!A62)</f>
        <v>1032</v>
      </c>
      <c r="B1083" s="70">
        <v>9</v>
      </c>
      <c r="C1083" s="11" t="str">
        <f>IFERROR(IF(VLOOKUP(A1083,[8]PRIORIZADOS!$A:$C,3,FALSE)="","",VLOOKUP(A1083,[8]PRIORIZADOS!$A:$C,3,FALSE)),"")</f>
        <v>KENNEDY</v>
      </c>
      <c r="D1083" s="11" t="str">
        <f>IFERROR(IF(VLOOKUP(A1083,[8]PRIORIZADOS!$A:$D,4,FALSE)="","",VLOOKUP(A1083,[8]PRIORIZADOS!$A:$D,4,FALSE)),"")</f>
        <v>PRIVADO</v>
      </c>
      <c r="E1083" s="11" t="str">
        <f>IFERROR(IF(VLOOKUP(A1083,[8]PRIORIZADOS!$A:$E,5,FALSE)="","",VLOOKUP(A1083,[8]PRIORIZADOS!$A:$E,5,FALSE)),"")</f>
        <v>EPBM</v>
      </c>
      <c r="F1083" s="11" t="str">
        <f>IFERROR(IF(VLOOKUP(A1083,[8]PRIORIZADOS!$A:$F,6,FALSE)="","",VLOOKUP(A1083,[8]PRIORIZADOS!$A:$F,6,FALSE)),"")</f>
        <v>COLEGIO_CIUDAD_DE_FOMEQUE</v>
      </c>
      <c r="G1083" s="11" t="str">
        <f>IFERROR(IF(VLOOKUP(A1083,[8]PRIORIZADOS!$A:$G,7,FALSE)="","",VLOOKUP(A1083,[8]PRIORIZADOS!$A:$G,7,FALSE)),"")</f>
        <v>COLEGIO CIUDAD DE FOMEQUE</v>
      </c>
      <c r="H1083" s="11" t="str">
        <f>IFERROR(IF(VLOOKUP(A1083,[8]PRIORIZADOS!$A:$H,8,FALSE)="","",VLOOKUP(A1083,[8]PRIORIZADOS!$A:$H,8,FALSE)),"")</f>
        <v>Autoevaluación Institucional y Pruebas SABER 11</v>
      </c>
      <c r="I1083" s="11" t="str">
        <f>IFERROR(IF(VLOOKUP(A1083,[8]PRIORIZADOS!$A:$I,9,FALSE)="","",VLOOKUP(A1083,[8]PRIORIZADOS!$A:$I,9,FALSE)),"")</f>
        <v>EVALUACIÓN_CON_FINES_DE_MEJORAMIENTO.</v>
      </c>
      <c r="J1083" s="11" t="str">
        <f>IFERROR(IF(VLOOKUP(A1083,[8]PRIORIZADOS!$A:$J,10,FALSE)="","",VLOOKUP(A1083,[8]PRIORIZADOS!$A:$J,10,FALSE)),"")</f>
        <v>Verificar las condiciones en cuanto a: la estructura administrativa, condiciones de la planta física y medios educativos adecuados.</v>
      </c>
      <c r="K1083" s="11" t="str">
        <f>IFERROR(IF(VLOOKUP(A1083,[8]PRIORIZADOS!$A:$K,11,FALSE)="","",VLOOKUP(A1083,[8]PRIORIZADOS!$A:$K,11,FALSE)),"")</f>
        <v>LUCY GONZÁLEZ LERMA</v>
      </c>
      <c r="L1083" s="11" t="str">
        <f>IFERROR(IF(VLOOKUP(A1083,[8]PRIORIZADOS!$A:$L,12,FALSE)="","",VLOOKUP(A1083,[8]PRIORIZADOS!$A:$L,12,FALSE)),"")</f>
        <v>VIVANA PILAR BOHÓRQUEZ DÍAZ</v>
      </c>
      <c r="M1083" s="71">
        <f>IFERROR(IF(VLOOKUP(A1083,[8]PRIORIZADOS!$A:$M,13,FALSE)="","",VLOOKUP(A1083,[8]PRIORIZADOS!$A:$M,13,FALSE)),"")</f>
        <v>45750</v>
      </c>
      <c r="N1083" s="71">
        <f>IFERROR(IF(VLOOKUP(A1083,[8]PRIORIZADOS!$A:$N,14,FALSE)="","",VLOOKUP(A1083,[8]PRIORIZADOS!$A:$N,14,FALSE)),"")</f>
        <v>45750</v>
      </c>
      <c r="O1083" s="71">
        <f>IFERROR(IF(VLOOKUP(A1083,[8]PRIORIZADOS!$A:$O,15,FALSE)="","",VLOOKUP(A1083,[8]PRIORIZADOS!$A:$O,15,FALSE)),"")</f>
        <v>45750</v>
      </c>
      <c r="P1083" s="11" t="str">
        <f>IFERROR(IF(VLOOKUP(A1083,[8]PRIORIZADOS!$A:$P,16,FALSE)="","",VLOOKUP(A1083,[8]PRIORIZADOS!$A:$P,16,FALSE)),"")</f>
        <v>Visitas de evaluación con fines de seguimiento</v>
      </c>
      <c r="Q1083" s="107" t="s">
        <v>203</v>
      </c>
      <c r="R1083" s="11" t="str">
        <f>IFERROR(IF(VLOOKUP(A1083,[8]PRIORIZADOS!$A:$R,18,FALSE)="","",VLOOKUP(A1083,[8]PRIORIZADOS!$A:$R,18,FALSE)),"")</f>
        <v xml:space="preserve">La planta física no  cuenta con ajustes razonables para la inclusión de población con discapacidad o alteraciones del desarrollo. </v>
      </c>
      <c r="S1083" s="11" t="str">
        <f>IFERROR(IF(VLOOKUP(A1083,[8]PRIORIZADOS!$A:$S,19,FALSE)="","",VLOOKUP(A1083,[8]PRIORIZADOS!$A:$S,19,FALSE)),"")</f>
        <v xml:space="preserve">Avanzar en adecuaciones pequeñas para las niñas y los niños con discapacidad o alteraciones del desarrollo. </v>
      </c>
      <c r="T1083" s="70" t="str">
        <f>IFERROR(IF(VLOOKUP(A1083,[8]PRIORIZADOS!$A:$T,20,FALSE)="","",VLOOKUP(A1083,[8]PRIORIZADOS!$A:$T,20,FALSE)),"")</f>
        <v>Si</v>
      </c>
      <c r="U1083" s="11" t="str">
        <f>IFERROR(IF(VLOOKUP(A1083,[8]PRIORIZADOS!$A:$U,21,FALSE)="","",VLOOKUP(A1083,[8]PRIORIZADOS!$A:$U,21,FALSE)),"")</f>
        <v>Seguimiento al cumplimiento del plan de mejoramiento. Se realiza visita de seguimiento el 30 de septiembre 2025.</v>
      </c>
    </row>
    <row r="1084" spans="1:21" s="1" customFormat="1" ht="60">
      <c r="A1084" s="69">
        <f>IF([8]PRIORIZADOS!A63="","",[8]PRIORIZADOS!A63)</f>
        <v>1033</v>
      </c>
      <c r="B1084" s="70">
        <v>10</v>
      </c>
      <c r="C1084" s="11" t="str">
        <f>IFERROR(IF(VLOOKUP(A1084,[8]PRIORIZADOS!$A:$C,3,FALSE)="","",VLOOKUP(A1084,[8]PRIORIZADOS!$A:$C,3,FALSE)),"")</f>
        <v>KENNEDY</v>
      </c>
      <c r="D1084" s="11" t="str">
        <f>IFERROR(IF(VLOOKUP(A1084,[8]PRIORIZADOS!$A:$D,4,FALSE)="","",VLOOKUP(A1084,[8]PRIORIZADOS!$A:$D,4,FALSE)),"")</f>
        <v>PRIVADO</v>
      </c>
      <c r="E1084" s="11" t="str">
        <f>IFERROR(IF(VLOOKUP(A1084,[8]PRIORIZADOS!$A:$E,5,FALSE)="","",VLOOKUP(A1084,[8]PRIORIZADOS!$A:$E,5,FALSE)),"")</f>
        <v>EPBM</v>
      </c>
      <c r="F1084" s="11" t="str">
        <f>IFERROR(IF(VLOOKUP(A1084,[8]PRIORIZADOS!$A:$F,6,FALSE)="","",VLOOKUP(A1084,[8]PRIORIZADOS!$A:$F,6,FALSE)),"")</f>
        <v>COLEGIO_CIUDAD_PATIO_BONITO</v>
      </c>
      <c r="G1084" s="11" t="str">
        <f>IFERROR(IF(VLOOKUP(A1084,[8]PRIORIZADOS!$A:$G,7,FALSE)="","",VLOOKUP(A1084,[8]PRIORIZADOS!$A:$G,7,FALSE)),"")</f>
        <v>COLEGIO CIUDAD PATIO BONITO</v>
      </c>
      <c r="H1084" s="11" t="str">
        <f>IFERROR(IF(VLOOKUP(A1084,[8]PRIORIZADOS!$A:$H,8,FALSE)="","",VLOOKUP(A1084,[8]PRIORIZADOS!$A:$H,8,FALSE)),"")</f>
        <v>Autoevaluación Institucional y Pruebas SABER 11</v>
      </c>
      <c r="I1084" s="11" t="str">
        <f>IFERROR(IF(VLOOKUP(A1084,[8]PRIORIZADOS!$A:$I,9,FALSE)="","",VLOOKUP(A1084,[8]PRIORIZADOS!$A:$I,9,FALSE)),"")</f>
        <v>SEGUIMIENTO_Y_SUPERVISIÓN.</v>
      </c>
      <c r="J1084" s="11" t="str">
        <f>IFERROR(IF(VLOOKUP(A1084,[8]PRIORIZADOS!$A:$J,10,FALSE)="","",VLOOKUP(A1084,[8]PRIORIZADOS!$A:$J,10,FALSE)),"")</f>
        <v>Proponer estrategias en la formulación, verificar su elaboración y realizar seguimiento semestral al desarrollo de  las acciones establecidas en los planes de mejoramiento por pruebas SABER 11 de los establecimientos de educación formal.</v>
      </c>
      <c r="K1084" s="11" t="str">
        <f>IFERROR(IF(VLOOKUP(A1084,[8]PRIORIZADOS!$A:$K,11,FALSE)="","",VLOOKUP(A1084,[8]PRIORIZADOS!$A:$K,11,FALSE)),"")</f>
        <v>ADRIANA VENEGAS VALERA</v>
      </c>
      <c r="L1084" s="11" t="str">
        <f>IFERROR(IF(VLOOKUP(A1084,[8]PRIORIZADOS!$A:$L,12,FALSE)="","",VLOOKUP(A1084,[8]PRIORIZADOS!$A:$L,12,FALSE)),"")</f>
        <v xml:space="preserve">DIANA ZULAY HUERTAS ORTÍZ </v>
      </c>
      <c r="M1084" s="71">
        <f>IFERROR(IF(VLOOKUP(A1084,[8]PRIORIZADOS!$A:$M,13,FALSE)="","",VLOOKUP(A1084,[8]PRIORIZADOS!$A:$M,13,FALSE)),"")</f>
        <v>45755</v>
      </c>
      <c r="N1084" s="71">
        <f>IFERROR(IF(VLOOKUP(A1084,[8]PRIORIZADOS!$A:$N,14,FALSE)="","",VLOOKUP(A1084,[8]PRIORIZADOS!$A:$N,14,FALSE)),"")</f>
        <v>45755</v>
      </c>
      <c r="O1084" s="71">
        <f>IFERROR(IF(VLOOKUP(A1084,[8]PRIORIZADOS!$A:$O,15,FALSE)="","",VLOOKUP(A1084,[8]PRIORIZADOS!$A:$O,15,FALSE)),"")</f>
        <v>45755</v>
      </c>
      <c r="P1084" s="11" t="str">
        <f>IFERROR(IF(VLOOKUP(A1084,[8]PRIORIZADOS!$A:$P,16,FALSE)="","",VLOOKUP(A1084,[8]PRIORIZADOS!$A:$P,16,FALSE)),"")</f>
        <v>Visitas de evaluación con fines de mejoramiento</v>
      </c>
      <c r="Q1084" s="125" t="s">
        <v>204</v>
      </c>
      <c r="R1084" s="11" t="str">
        <f>IFERROR(IF(VLOOKUP(A1084,[8]PRIORIZADOS!$A:$R,18,FALSE)="","",VLOOKUP(A1084,[8]PRIORIZADOS!$A:$R,18,FALSE)),"")</f>
        <v>EE desarrolla estrategias para analizar y realizar seguimiento a los resultados de prueba SABER 11.</v>
      </c>
      <c r="S1084" s="11" t="str">
        <f>IFERROR(IF(VLOOKUP(A1084,[8]PRIORIZADOS!$A:$S,19,FALSE)="","",VLOOKUP(A1084,[8]PRIORIZADOS!$A:$S,19,FALSE)),"")</f>
        <v xml:space="preserve">Continuar desarrollando estrategias en pro del mejoramiento de los resultados de las pruebas SABER. </v>
      </c>
      <c r="T1084" s="70" t="str">
        <f>IFERROR(IF(VLOOKUP(A1084,[8]PRIORIZADOS!$A:$T,20,FALSE)="","",VLOOKUP(A1084,[8]PRIORIZADOS!$A:$T,20,FALSE)),"")</f>
        <v>No</v>
      </c>
      <c r="U1084" s="11" t="str">
        <f>IFERROR(IF(VLOOKUP(A1084,[8]PRIORIZADOS!$A:$U,21,FALSE)="","",VLOOKUP(A1084,[8]PRIORIZADOS!$A:$U,21,FALSE)),"")</f>
        <v>ELIV, verificará el desarrollo de las estrategias planteadas por EE y el análisis de sus resultados.</v>
      </c>
    </row>
    <row r="1085" spans="1:21" s="1" customFormat="1" ht="72">
      <c r="A1085" s="69">
        <f>IF([8]PRIORIZADOS!A64="","",[8]PRIORIZADOS!A64)</f>
        <v>1034</v>
      </c>
      <c r="B1085" s="70">
        <v>10</v>
      </c>
      <c r="C1085" s="11" t="str">
        <f>IFERROR(IF(VLOOKUP(A1085,[8]PRIORIZADOS!$A:$C,3,FALSE)="","",VLOOKUP(A1085,[8]PRIORIZADOS!$A:$C,3,FALSE)),"")</f>
        <v>KENNEDY</v>
      </c>
      <c r="D1085" s="11" t="str">
        <f>IFERROR(IF(VLOOKUP(A1085,[8]PRIORIZADOS!$A:$D,4,FALSE)="","",VLOOKUP(A1085,[8]PRIORIZADOS!$A:$D,4,FALSE)),"")</f>
        <v>PRIVADO</v>
      </c>
      <c r="E1085" s="11" t="str">
        <f>IFERROR(IF(VLOOKUP(A1085,[8]PRIORIZADOS!$A:$E,5,FALSE)="","",VLOOKUP(A1085,[8]PRIORIZADOS!$A:$E,5,FALSE)),"")</f>
        <v>EPBM</v>
      </c>
      <c r="F1085" s="11" t="str">
        <f>IFERROR(IF(VLOOKUP(A1085,[8]PRIORIZADOS!$A:$F,6,FALSE)="","",VLOOKUP(A1085,[8]PRIORIZADOS!$A:$F,6,FALSE)),"")</f>
        <v>COLEGIO_CIUDAD_PATIO_BONITO</v>
      </c>
      <c r="G1085" s="11" t="str">
        <f>IFERROR(IF(VLOOKUP(A1085,[8]PRIORIZADOS!$A:$G,7,FALSE)="","",VLOOKUP(A1085,[8]PRIORIZADOS!$A:$G,7,FALSE)),"")</f>
        <v>COLEGIO CIUDAD PATIO BONITO</v>
      </c>
      <c r="H1085" s="11" t="str">
        <f>IFERROR(IF(VLOOKUP(A1085,[8]PRIORIZADOS!$A:$H,8,FALSE)="","",VLOOKUP(A1085,[8]PRIORIZADOS!$A:$H,8,FALSE)),"")</f>
        <v>Autoevaluación Institucional y Pruebas SABER 11</v>
      </c>
      <c r="I1085" s="11" t="str">
        <f>IFERROR(IF(VLOOKUP(A1085,[8]PRIORIZADOS!$A:$I,9,FALSE)="","",VLOOKUP(A1085,[8]PRIORIZADOS!$A:$I,9,FALSE)),"")</f>
        <v>SEGUIMIENTO_Y_SUPERVISIÓN.</v>
      </c>
      <c r="J1085" s="11" t="str">
        <f>IFERROR(IF(VLOOKUP(A1085,[8]PRIORIZADOS!$A:$J,10,FALSE)="","",VLOOKUP(A1085,[8]PRIORIZADOS!$A:$J,10,FALSE)),"")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85" s="11" t="str">
        <f>IFERROR(IF(VLOOKUP(A1085,[8]PRIORIZADOS!$A:$K,11,FALSE)="","",VLOOKUP(A1085,[8]PRIORIZADOS!$A:$K,11,FALSE)),"")</f>
        <v>ADRIANA VENEGAS VALERA</v>
      </c>
      <c r="L1085" s="11" t="str">
        <f>IFERROR(IF(VLOOKUP(A1085,[8]PRIORIZADOS!$A:$L,12,FALSE)="","",VLOOKUP(A1085,[8]PRIORIZADOS!$A:$L,12,FALSE)),"")</f>
        <v xml:space="preserve">DIANA ZULAY HUERTAS ORTÍZ </v>
      </c>
      <c r="M1085" s="71">
        <f>IFERROR(IF(VLOOKUP(A1085,[8]PRIORIZADOS!$A:$M,13,FALSE)="","",VLOOKUP(A1085,[8]PRIORIZADOS!$A:$M,13,FALSE)),"")</f>
        <v>45755</v>
      </c>
      <c r="N1085" s="71">
        <f>IFERROR(IF(VLOOKUP(A1085,[8]PRIORIZADOS!$A:$N,14,FALSE)="","",VLOOKUP(A1085,[8]PRIORIZADOS!$A:$N,14,FALSE)),"")</f>
        <v>45755</v>
      </c>
      <c r="O1085" s="71">
        <f>IFERROR(IF(VLOOKUP(A1085,[8]PRIORIZADOS!$A:$O,15,FALSE)="","",VLOOKUP(A1085,[8]PRIORIZADOS!$A:$O,15,FALSE)),"")</f>
        <v>45755</v>
      </c>
      <c r="P1085" s="11" t="str">
        <f>IFERROR(IF(VLOOKUP(A1085,[8]PRIORIZADOS!$A:$P,16,FALSE)="","",VLOOKUP(A1085,[8]PRIORIZADOS!$A:$P,16,FALSE)),"")</f>
        <v>Visitas de evaluación con fines de mejoramiento</v>
      </c>
      <c r="Q1085" s="125" t="s">
        <v>204</v>
      </c>
      <c r="R1085" s="11" t="str">
        <f>IFERROR(IF(VLOOKUP(A1085,[8]PRIORIZADOS!$A:$R,18,FALSE)="","",VLOOKUP(A1085,[8]PRIORIZADOS!$A:$R,18,FALSE)),"")</f>
        <v>Se evidenció el desarrollo de  PIAR para un estudiante, con los soportes necesarios.</v>
      </c>
      <c r="S1085" s="11" t="str">
        <f>IFERROR(IF(VLOOKUP(A1085,[8]PRIORIZADOS!$A:$S,19,FALSE)="","",VLOOKUP(A1085,[8]PRIORIZADOS!$A:$S,19,FALSE)),"")</f>
        <v>Continuar desarrollando e implementando PIAR, para estudiantes que lo necesiten de acuerdo a la caracterización e identificación institucional.</v>
      </c>
      <c r="T1085" s="70" t="str">
        <f>IFERROR(IF(VLOOKUP(A1085,[8]PRIORIZADOS!$A:$T,20,FALSE)="","",VLOOKUP(A1085,[8]PRIORIZADOS!$A:$T,20,FALSE)),"")</f>
        <v>No</v>
      </c>
      <c r="U1085" s="11" t="str">
        <f>IFERROR(IF(VLOOKUP(A1085,[8]PRIORIZADOS!$A:$U,21,FALSE)="","",VLOOKUP(A1085,[8]PRIORIZADOS!$A:$U,21,FALSE)),"")</f>
        <v xml:space="preserve">Verificar el desarrollo y la implementación de PIAR, de acuerdo a la necesidad. </v>
      </c>
    </row>
    <row r="1086" spans="1:21" s="1" customFormat="1" ht="48">
      <c r="A1086" s="69">
        <f>IF([8]PRIORIZADOS!A65="","",[8]PRIORIZADOS!A65)</f>
        <v>1035</v>
      </c>
      <c r="B1086" s="70">
        <v>10</v>
      </c>
      <c r="C1086" s="11" t="str">
        <f>IFERROR(IF(VLOOKUP(A1086,[8]PRIORIZADOS!$A:$C,3,FALSE)="","",VLOOKUP(A1086,[8]PRIORIZADOS!$A:$C,3,FALSE)),"")</f>
        <v>KENNEDY</v>
      </c>
      <c r="D1086" s="11" t="str">
        <f>IFERROR(IF(VLOOKUP(A1086,[8]PRIORIZADOS!$A:$D,4,FALSE)="","",VLOOKUP(A1086,[8]PRIORIZADOS!$A:$D,4,FALSE)),"")</f>
        <v>PRIVADO</v>
      </c>
      <c r="E1086" s="11" t="str">
        <f>IFERROR(IF(VLOOKUP(A1086,[8]PRIORIZADOS!$A:$E,5,FALSE)="","",VLOOKUP(A1086,[8]PRIORIZADOS!$A:$E,5,FALSE)),"")</f>
        <v>EPBM</v>
      </c>
      <c r="F1086" s="11" t="str">
        <f>IFERROR(IF(VLOOKUP(A1086,[8]PRIORIZADOS!$A:$F,6,FALSE)="","",VLOOKUP(A1086,[8]PRIORIZADOS!$A:$F,6,FALSE)),"")</f>
        <v>COLEGIO_CIUDAD_PATIO_BONITO</v>
      </c>
      <c r="G1086" s="11" t="str">
        <f>IFERROR(IF(VLOOKUP(A1086,[8]PRIORIZADOS!$A:$G,7,FALSE)="","",VLOOKUP(A1086,[8]PRIORIZADOS!$A:$G,7,FALSE)),"")</f>
        <v>COLEGIO CIUDAD PATIO BONITO</v>
      </c>
      <c r="H1086" s="11" t="str">
        <f>IFERROR(IF(VLOOKUP(A1086,[8]PRIORIZADOS!$A:$H,8,FALSE)="","",VLOOKUP(A1086,[8]PRIORIZADOS!$A:$H,8,FALSE)),"")</f>
        <v>Autoevaluación Institucional y Pruebas SABER 11</v>
      </c>
      <c r="I1086" s="11" t="str">
        <f>IFERROR(IF(VLOOKUP(A1086,[8]PRIORIZADOS!$A:$I,9,FALSE)="","",VLOOKUP(A1086,[8]PRIORIZADOS!$A:$I,9,FALSE)),"")</f>
        <v>EVALUACIÓN_CON_FINES_DE_MEJORAMIENTO.</v>
      </c>
      <c r="J1086" s="11" t="str">
        <f>IFERROR(IF(VLOOKUP(A1086,[8]PRIORIZADOS!$A:$J,10,FALSE)="","",VLOOKUP(A1086,[8]PRIORIZADOS!$A:$J,10,FALSE)),"")</f>
        <v>Revisar el calendario escolar, jornada escolar, la intensidad horaria mínima anual en cada nivel y las modificaciones que se realicen al mismo, de acuerdo con lo previsto en la normatividad vigente.</v>
      </c>
      <c r="K1086" s="11" t="str">
        <f>IFERROR(IF(VLOOKUP(A1086,[8]PRIORIZADOS!$A:$K,11,FALSE)="","",VLOOKUP(A1086,[8]PRIORIZADOS!$A:$K,11,FALSE)),"")</f>
        <v>ADRIANA VENEGAS VALERA</v>
      </c>
      <c r="L1086" s="11" t="str">
        <f>IFERROR(IF(VLOOKUP(A1086,[8]PRIORIZADOS!$A:$L,12,FALSE)="","",VLOOKUP(A1086,[8]PRIORIZADOS!$A:$L,12,FALSE)),"")</f>
        <v xml:space="preserve">DIANA ZULAY HUERTAS ORTÍZ </v>
      </c>
      <c r="M1086" s="71">
        <f>IFERROR(IF(VLOOKUP(A1086,[8]PRIORIZADOS!$A:$M,13,FALSE)="","",VLOOKUP(A1086,[8]PRIORIZADOS!$A:$M,13,FALSE)),"")</f>
        <v>45755</v>
      </c>
      <c r="N1086" s="71">
        <f>IFERROR(IF(VLOOKUP(A1086,[8]PRIORIZADOS!$A:$N,14,FALSE)="","",VLOOKUP(A1086,[8]PRIORIZADOS!$A:$N,14,FALSE)),"")</f>
        <v>45755</v>
      </c>
      <c r="O1086" s="71">
        <f>IFERROR(IF(VLOOKUP(A1086,[8]PRIORIZADOS!$A:$O,15,FALSE)="","",VLOOKUP(A1086,[8]PRIORIZADOS!$A:$O,15,FALSE)),"")</f>
        <v>45755</v>
      </c>
      <c r="P1086" s="11" t="str">
        <f>IFERROR(IF(VLOOKUP(A1086,[8]PRIORIZADOS!$A:$P,16,FALSE)="","",VLOOKUP(A1086,[8]PRIORIZADOS!$A:$P,16,FALSE)),"")</f>
        <v>Visitas de evaluación con fines de mejoramiento</v>
      </c>
      <c r="Q1086" s="126" t="s">
        <v>204</v>
      </c>
      <c r="R1086" s="11" t="str">
        <f>IFERROR(IF(VLOOKUP(A1086,[8]PRIORIZADOS!$A:$R,18,FALSE)="","",VLOOKUP(A1086,[8]PRIORIZADOS!$A:$R,18,FALSE)),"")</f>
        <v>Se evidenció que EE, cumple con la intensidad mínima anual en cada nivel, de acuerdo a lo previsto en la normatividad vigente.</v>
      </c>
      <c r="S1086" s="11" t="str">
        <f>IFERROR(IF(VLOOKUP(A1086,[8]PRIORIZADOS!$A:$S,19,FALSE)="","",VLOOKUP(A1086,[8]PRIORIZADOS!$A:$S,19,FALSE)),"")</f>
        <v xml:space="preserve">Continuar cumpliendo con la normatividad vigente, sobre la intensidad horaria mínima anual. </v>
      </c>
      <c r="T1086" s="70" t="str">
        <f>IFERROR(IF(VLOOKUP(A1086,[8]PRIORIZADOS!$A:$T,20,FALSE)="","",VLOOKUP(A1086,[8]PRIORIZADOS!$A:$T,20,FALSE)),"")</f>
        <v>No</v>
      </c>
      <c r="U1086" s="11" t="str">
        <f>IFERROR(IF(VLOOKUP(A1086,[8]PRIORIZADOS!$A:$U,21,FALSE)="","",VLOOKUP(A1086,[8]PRIORIZADOS!$A:$U,21,FALSE)),"")</f>
        <v xml:space="preserve">El ELIV, verificará el cumplimiento del calendario escolar. </v>
      </c>
    </row>
    <row r="1087" spans="1:21" s="1" customFormat="1" ht="60">
      <c r="A1087" s="69">
        <f>IF([8]PRIORIZADOS!A66="","",[8]PRIORIZADOS!A66)</f>
        <v>1036</v>
      </c>
      <c r="B1087" s="70">
        <v>10</v>
      </c>
      <c r="C1087" s="11" t="str">
        <f>IFERROR(IF(VLOOKUP(A1087,[8]PRIORIZADOS!$A:$C,3,FALSE)="","",VLOOKUP(A1087,[8]PRIORIZADOS!$A:$C,3,FALSE)),"")</f>
        <v>KENNEDY</v>
      </c>
      <c r="D1087" s="11" t="str">
        <f>IFERROR(IF(VLOOKUP(A1087,[8]PRIORIZADOS!$A:$D,4,FALSE)="","",VLOOKUP(A1087,[8]PRIORIZADOS!$A:$D,4,FALSE)),"")</f>
        <v>PRIVADO</v>
      </c>
      <c r="E1087" s="11" t="str">
        <f>IFERROR(IF(VLOOKUP(A1087,[8]PRIORIZADOS!$A:$E,5,FALSE)="","",VLOOKUP(A1087,[8]PRIORIZADOS!$A:$E,5,FALSE)),"")</f>
        <v>EPBM</v>
      </c>
      <c r="F1087" s="11" t="str">
        <f>IFERROR(IF(VLOOKUP(A1087,[8]PRIORIZADOS!$A:$F,6,FALSE)="","",VLOOKUP(A1087,[8]PRIORIZADOS!$A:$F,6,FALSE)),"")</f>
        <v>COLEGIO_CIUDAD_PATIO_BONITO</v>
      </c>
      <c r="G1087" s="11" t="str">
        <f>IFERROR(IF(VLOOKUP(A1087,[8]PRIORIZADOS!$A:$G,7,FALSE)="","",VLOOKUP(A1087,[8]PRIORIZADOS!$A:$G,7,FALSE)),"")</f>
        <v>COLEGIO CIUDAD PATIO BONITO</v>
      </c>
      <c r="H1087" s="11" t="str">
        <f>IFERROR(IF(VLOOKUP(A1087,[8]PRIORIZADOS!$A:$H,8,FALSE)="","",VLOOKUP(A1087,[8]PRIORIZADOS!$A:$H,8,FALSE)),"")</f>
        <v>Autoevaluación Institucional y Pruebas SABER 11</v>
      </c>
      <c r="I1087" s="11" t="str">
        <f>IFERROR(IF(VLOOKUP(A1087,[8]PRIORIZADOS!$A:$I,9,FALSE)="","",VLOOKUP(A1087,[8]PRIORIZADOS!$A:$I,9,FALSE)),"")</f>
        <v>EVALUACIÓN_CON_FINES_DE_MEJORAMIENTO.</v>
      </c>
      <c r="J1087" s="11" t="str">
        <f>IFERROR(IF(VLOOKUP(A1087,[8]PRIORIZADOS!$A:$J,10,FALSE)="","",VLOOKUP(A1087,[8]PRIORIZADOS!$A:$J,10,FALSE)),"")</f>
        <v>Verificar las condiciones en cuanto a: la estructura administrativa, condiciones de la planta física y medios educativos adecuados.</v>
      </c>
      <c r="K1087" s="11" t="str">
        <f>IFERROR(IF(VLOOKUP(A1087,[8]PRIORIZADOS!$A:$K,11,FALSE)="","",VLOOKUP(A1087,[8]PRIORIZADOS!$A:$K,11,FALSE)),"")</f>
        <v>ADRIANA VENEGAS VALERA</v>
      </c>
      <c r="L1087" s="11" t="str">
        <f>IFERROR(IF(VLOOKUP(A1087,[8]PRIORIZADOS!$A:$L,12,FALSE)="","",VLOOKUP(A1087,[8]PRIORIZADOS!$A:$L,12,FALSE)),"")</f>
        <v xml:space="preserve">DIANA ZULAY HUERTAS ORTÍZ </v>
      </c>
      <c r="M1087" s="71">
        <f>IFERROR(IF(VLOOKUP(A1087,[8]PRIORIZADOS!$A:$M,13,FALSE)="","",VLOOKUP(A1087,[8]PRIORIZADOS!$A:$M,13,FALSE)),"")</f>
        <v>45755</v>
      </c>
      <c r="N1087" s="71">
        <f>IFERROR(IF(VLOOKUP(A1087,[8]PRIORIZADOS!$A:$N,14,FALSE)="","",VLOOKUP(A1087,[8]PRIORIZADOS!$A:$N,14,FALSE)),"")</f>
        <v>45755</v>
      </c>
      <c r="O1087" s="71">
        <f>IFERROR(IF(VLOOKUP(A1087,[8]PRIORIZADOS!$A:$O,15,FALSE)="","",VLOOKUP(A1087,[8]PRIORIZADOS!$A:$O,15,FALSE)),"")</f>
        <v>45755</v>
      </c>
      <c r="P1087" s="11" t="str">
        <f>IFERROR(IF(VLOOKUP(A1087,[8]PRIORIZADOS!$A:$P,16,FALSE)="","",VLOOKUP(A1087,[8]PRIORIZADOS!$A:$P,16,FALSE)),"")</f>
        <v>Visitas de evaluación con fines de seguimiento</v>
      </c>
      <c r="Q1087" s="107" t="s">
        <v>204</v>
      </c>
      <c r="R1087" s="11" t="str">
        <f>IFERROR(IF(VLOOKUP(A1087,[8]PRIORIZADOS!$A:$R,18,FALSE)="","",VLOOKUP(A1087,[8]PRIORIZADOS!$A:$R,18,FALSE)),"")</f>
        <v xml:space="preserve">EE cuenta con espacios suficiente y adecuados para la atención de la población matriculada, sin embargo carece de espacios para la atención de población con condiciones especiales. </v>
      </c>
      <c r="S1087" s="11" t="str">
        <f>IFERROR(IF(VLOOKUP(A1087,[8]PRIORIZADOS!$A:$S,19,FALSE)="","",VLOOKUP(A1087,[8]PRIORIZADOS!$A:$S,19,FALSE)),"")</f>
        <v xml:space="preserve">Adecuar espacios para personas con discapacidad en el marco de la inclusión. </v>
      </c>
      <c r="T1087" s="70" t="str">
        <f>IFERROR(IF(VLOOKUP(A1087,[8]PRIORIZADOS!$A:$T,20,FALSE)="","",VLOOKUP(A1087,[8]PRIORIZADOS!$A:$T,20,FALSE)),"")</f>
        <v>Si</v>
      </c>
      <c r="U1087" s="11" t="str">
        <f>IFERROR(IF(VLOOKUP(A1087,[8]PRIORIZADOS!$A:$U,21,FALSE)="","",VLOOKUP(A1087,[8]PRIORIZADOS!$A:$U,21,FALSE)),"")</f>
        <v>El ELIV, verificará el cumplimiento del plan de mejoramiento.</v>
      </c>
    </row>
    <row r="1088" spans="1:21" s="1" customFormat="1" ht="72">
      <c r="A1088" s="69">
        <f>IF([8]PRIORIZADOS!A67="","",[8]PRIORIZADOS!A67)</f>
        <v>1037</v>
      </c>
      <c r="B1088" s="70">
        <f>IFERROR(IF(VLOOKUP(A1088,[8]PRIORIZADOS!$A:$B,2,FALSE)="","",VLOOKUP(A1088,[8]PRIORIZADOS!$A:$B,2,FALSE)),"")</f>
        <v>11</v>
      </c>
      <c r="C1088" s="11" t="str">
        <f>IFERROR(IF(VLOOKUP(A1088,[8]PRIORIZADOS!$A:$C,3,FALSE)="","",VLOOKUP(A1088,[8]PRIORIZADOS!$A:$C,3,FALSE)),"")</f>
        <v>KENNEDY</v>
      </c>
      <c r="D1088" s="11" t="str">
        <f>IFERROR(IF(VLOOKUP(A1088,[8]PRIORIZADOS!$A:$D,4,FALSE)="","",VLOOKUP(A1088,[8]PRIORIZADOS!$A:$D,4,FALSE)),"")</f>
        <v>PRIVADO</v>
      </c>
      <c r="E1088" s="11" t="str">
        <f>IFERROR(IF(VLOOKUP(A1088,[8]PRIORIZADOS!$A:$E,5,FALSE)="","",VLOOKUP(A1088,[8]PRIORIZADOS!$A:$E,5,FALSE)),"")</f>
        <v>Educación de Jóvenes y Adultos</v>
      </c>
      <c r="F1088" s="11" t="str">
        <f>IFERROR(IF(VLOOKUP(A1088,[8]PRIORIZADOS!$A:$F,6,FALSE)="","",VLOOKUP(A1088,[8]PRIORIZADOS!$A:$F,6,FALSE)),"")</f>
        <v>COLEGIO_INCADE_KENNEDY</v>
      </c>
      <c r="G1088" s="11" t="str">
        <f>IFERROR(IF(VLOOKUP(A1088,[8]PRIORIZADOS!$A:$G,7,FALSE)="","",VLOOKUP(A1088,[8]PRIORIZADOS!$A:$G,7,FALSE)),"")</f>
        <v>COLEGIO INCADE KENNEDY</v>
      </c>
      <c r="H1088" s="11" t="str">
        <f>IFERROR(IF(VLOOKUP(A1088,[8]PRIORIZADOS!$A:$H,8,FALSE)="","",VLOOKUP(A1088,[8]PRIORIZADOS!$A:$H,8,FALSE)),"")</f>
        <v>Autoevaluación Institucional y Pruebas SABER 11</v>
      </c>
      <c r="I1088" s="11" t="str">
        <f>IFERROR(IF(VLOOKUP(A1088,[8]PRIORIZADOS!$A:$I,9,FALSE)="","",VLOOKUP(A1088,[8]PRIORIZADOS!$A:$I,9,FALSE)),"")</f>
        <v>SEGUIMIENTO_Y_SUPERVISIÓN.</v>
      </c>
      <c r="J1088" s="11" t="str">
        <f>IFERROR(IF(VLOOKUP(A1088,[8]PRIORIZADOS!$A:$J,10,FALSE)="","",VLOOKUP(A1088,[8]PRIORIZADOS!$A:$J,10,FALSE)),"")</f>
        <v>Proponer estrategias en la formulación, verificar su elaboración y realizar seguimiento semestral al desarrollo de  las acciones establecidas en los planes de mejoramiento por pruebas SABER 11 de los establecimientos de educación formal.</v>
      </c>
      <c r="K1088" s="11" t="str">
        <f>IFERROR(IF(VLOOKUP(A1088,[8]PRIORIZADOS!$A:$K,11,FALSE)="","",VLOOKUP(A1088,[8]PRIORIZADOS!$A:$K,11,FALSE)),"")</f>
        <v>GERMÁN EDUARDO TORO ROSERO</v>
      </c>
      <c r="L1088" s="11" t="str">
        <f>IFERROR(IF(VLOOKUP(A1088,[8]PRIORIZADOS!$A:$L,12,FALSE)="","",VLOOKUP(A1088,[8]PRIORIZADOS!$A:$L,12,FALSE)),"")</f>
        <v>VIVANA PILAR BOHÓRQUEZ DÍAZ</v>
      </c>
      <c r="M1088" s="71">
        <f>IFERROR(IF(VLOOKUP(A1088,[8]PRIORIZADOS!$A:$M,13,FALSE)="","",VLOOKUP(A1088,[8]PRIORIZADOS!$A:$M,13,FALSE)),"")</f>
        <v>45756</v>
      </c>
      <c r="N1088" s="71">
        <f>IFERROR(IF(VLOOKUP(A1088,[8]PRIORIZADOS!$A:$N,14,FALSE)="","",VLOOKUP(A1088,[8]PRIORIZADOS!$A:$N,14,FALSE)),"")</f>
        <v>45756</v>
      </c>
      <c r="O1088" s="71">
        <f>IFERROR(IF(VLOOKUP(A1088,[8]PRIORIZADOS!$A:$O,15,FALSE)="","",VLOOKUP(A1088,[8]PRIORIZADOS!$A:$O,15,FALSE)),"")</f>
        <v>45756</v>
      </c>
      <c r="P1088" s="11" t="str">
        <f>IFERROR(IF(VLOOKUP(A1088,[8]PRIORIZADOS!$A:$P,16,FALSE)="","",VLOOKUP(A1088,[8]PRIORIZADOS!$A:$P,16,FALSE)),"")</f>
        <v>Visitas de evaluación con fines de seguimiento</v>
      </c>
      <c r="Q1088" s="125" t="s">
        <v>205</v>
      </c>
      <c r="R1088" s="11" t="str">
        <f>IFERROR(IF(VLOOKUP(A1088,[8]PRIORIZADOS!$A:$R,18,FALSE)="","",VLOOKUP(A1088,[8]PRIORIZADOS!$A:$R,18,FALSE)),"")</f>
        <v xml:space="preserve">El establecimiento educativo no ha realizado el  balance de los resultados de las pruebas SABER 11, por lo que no ha identificado en que áreas debe intensificar su acompañamiento para obtener mejoras. </v>
      </c>
      <c r="S1088" s="11" t="str">
        <f>IFERROR(IF(VLOOKUP(A1088,[8]PRIORIZADOS!$A:$S,19,FALSE)="","",VLOOKUP(A1088,[8]PRIORIZADOS!$A:$S,19,FALSE)),"")</f>
        <v xml:space="preserve">Realizar el balance de los resultados de las pruebas SABER 11 y derivado de lo identificado establecer un plan de mejoramiento que les permita establecer ajustes en sus planes de estudio y estrategias pedagógicas. </v>
      </c>
      <c r="T1088" s="70" t="str">
        <f>IFERROR(IF(VLOOKUP(A1088,[8]PRIORIZADOS!$A:$T,20,FALSE)="","",VLOOKUP(A1088,[8]PRIORIZADOS!$A:$T,20,FALSE)),"")</f>
        <v>Si</v>
      </c>
      <c r="U1088" s="11" t="str">
        <f>IFERROR(IF(VLOOKUP(A1088,[8]PRIORIZADOS!$A:$U,21,FALSE)="","",VLOOKUP(A1088,[8]PRIORIZADOS!$A:$U,21,FALSE)),"")</f>
        <v>El ELIV, verificará el cumplimiento del plan de mejoramiento.</v>
      </c>
    </row>
    <row r="1089" spans="1:21" s="1" customFormat="1" ht="60">
      <c r="A1089" s="69">
        <f>IF([8]PRIORIZADOS!A68="","",[8]PRIORIZADOS!A68)</f>
        <v>1038</v>
      </c>
      <c r="B1089" s="70">
        <v>11</v>
      </c>
      <c r="C1089" s="11" t="str">
        <f>IFERROR(IF(VLOOKUP(A1089,[8]PRIORIZADOS!$A:$C,3,FALSE)="","",VLOOKUP(A1089,[8]PRIORIZADOS!$A:$C,3,FALSE)),"")</f>
        <v>KENNEDY</v>
      </c>
      <c r="D1089" s="11" t="str">
        <f>IFERROR(IF(VLOOKUP(A1089,[8]PRIORIZADOS!$A:$D,4,FALSE)="","",VLOOKUP(A1089,[8]PRIORIZADOS!$A:$D,4,FALSE)),"")</f>
        <v>PRIVADO</v>
      </c>
      <c r="E1089" s="11" t="str">
        <f>IFERROR(IF(VLOOKUP(A1089,[8]PRIORIZADOS!$A:$E,5,FALSE)="","",VLOOKUP(A1089,[8]PRIORIZADOS!$A:$E,5,FALSE)),"")</f>
        <v>Educación de Jóvenes y Adultos</v>
      </c>
      <c r="F1089" s="11" t="str">
        <f>IFERROR(IF(VLOOKUP(A1089,[8]PRIORIZADOS!$A:$F,6,FALSE)="","",VLOOKUP(A1089,[8]PRIORIZADOS!$A:$F,6,FALSE)),"")</f>
        <v>COLEGIO_INCADE_KENNEDY</v>
      </c>
      <c r="G1089" s="11" t="str">
        <f>IFERROR(IF(VLOOKUP(A1089,[8]PRIORIZADOS!$A:$G,7,FALSE)="","",VLOOKUP(A1089,[8]PRIORIZADOS!$A:$G,7,FALSE)),"")</f>
        <v>COLEGIO INCADE KENNEDY</v>
      </c>
      <c r="H1089" s="11" t="str">
        <f>IFERROR(IF(VLOOKUP(A1089,[8]PRIORIZADOS!$A:$H,8,FALSE)="","",VLOOKUP(A1089,[8]PRIORIZADOS!$A:$H,8,FALSE)),"")</f>
        <v>Autoevaluación Institucional y Pruebas SABER 11</v>
      </c>
      <c r="I1089" s="11" t="str">
        <f>IFERROR(IF(VLOOKUP(A1089,[8]PRIORIZADOS!$A:$I,9,FALSE)="","",VLOOKUP(A1089,[8]PRIORIZADOS!$A:$I,9,FALSE)),"")</f>
        <v>SEGUIMIENTO_Y_SUPERVISIÓN.</v>
      </c>
      <c r="J1089" s="11" t="str">
        <f>IFERROR(IF(VLOOKUP(A1089,[8]PRIORIZADOS!$A:$J,10,FALSE)="","",VLOOKUP(A1089,[8]PRIORIZADOS!$A:$J,10,FALSE)),"")</f>
        <v xml:space="preserve">Verificar la implementación por parte de los colegios, de acciones realizadas para la prevención y atención de las situaciones de convivencia en el entorno escolar, según lo establecido en la Directiva 01 de 2022 del MEN. </v>
      </c>
      <c r="K1089" s="11" t="str">
        <f>IFERROR(IF(VLOOKUP(A1089,[8]PRIORIZADOS!$A:$K,11,FALSE)="","",VLOOKUP(A1089,[8]PRIORIZADOS!$A:$K,11,FALSE)),"")</f>
        <v>GERMÁN EDUARDO TORO ROSERO</v>
      </c>
      <c r="L1089" s="11" t="str">
        <f>IFERROR(IF(VLOOKUP(A1089,[8]PRIORIZADOS!$A:$L,12,FALSE)="","",VLOOKUP(A1089,[8]PRIORIZADOS!$A:$L,12,FALSE)),"")</f>
        <v>VIVANA PILAR BOHÓRQUEZ DÍAZ</v>
      </c>
      <c r="M1089" s="71">
        <f>IFERROR(IF(VLOOKUP(A1089,[8]PRIORIZADOS!$A:$M,13,FALSE)="","",VLOOKUP(A1089,[8]PRIORIZADOS!$A:$M,13,FALSE)),"")</f>
        <v>45756</v>
      </c>
      <c r="N1089" s="71">
        <f>IFERROR(IF(VLOOKUP(A1089,[8]PRIORIZADOS!$A:$N,14,FALSE)="","",VLOOKUP(A1089,[8]PRIORIZADOS!$A:$N,14,FALSE)),"")</f>
        <v>45756</v>
      </c>
      <c r="O1089" s="71">
        <f>IFERROR(IF(VLOOKUP(A1089,[8]PRIORIZADOS!$A:$O,15,FALSE)="","",VLOOKUP(A1089,[8]PRIORIZADOS!$A:$O,15,FALSE)),"")</f>
        <v>45756</v>
      </c>
      <c r="P1089" s="11" t="str">
        <f>IFERROR(IF(VLOOKUP(A1089,[8]PRIORIZADOS!$A:$P,16,FALSE)="","",VLOOKUP(A1089,[8]PRIORIZADOS!$A:$P,16,FALSE)),"")</f>
        <v>Visitas de evaluación con fines de seguimiento</v>
      </c>
      <c r="Q1089" s="125" t="s">
        <v>205</v>
      </c>
      <c r="R1089" s="11" t="str">
        <f>IFERROR(IF(VLOOKUP(A1089,[8]PRIORIZADOS!$A:$R,18,FALSE)="","",VLOOKUP(A1089,[8]PRIORIZADOS!$A:$R,18,FALSE)),"")</f>
        <v xml:space="preserve">La orientadora escolar cuenta con un archivo organizado de las acciones planeadas e implementadas para la prevención y atención de situaciones de convivencia escolar. </v>
      </c>
      <c r="S1089" s="11" t="str">
        <f>IFERROR(IF(VLOOKUP(A1089,[8]PRIORIZADOS!$A:$S,19,FALSE)="","",VLOOKUP(A1089,[8]PRIORIZADOS!$A:$S,19,FALSE)),"")</f>
        <v xml:space="preserve">Mantener las estrategias de prevención y promoción para minimizar las situaciones de convivencia escolar. </v>
      </c>
      <c r="T1089" s="70" t="str">
        <f>IFERROR(IF(VLOOKUP(A1089,[8]PRIORIZADOS!$A:$T,20,FALSE)="","",VLOOKUP(A1089,[8]PRIORIZADOS!$A:$T,20,FALSE)),"")</f>
        <v>No</v>
      </c>
      <c r="U1089" s="11" t="str">
        <f>IFERROR(IF(VLOOKUP(A1089,[8]PRIORIZADOS!$A:$U,21,FALSE)="","",VLOOKUP(A1089,[8]PRIORIZADOS!$A:$U,21,FALSE)),"")</f>
        <v>El ELIV, verificará que el programa de orientación siga cumpliendo con el plan de prevención y promoción.</v>
      </c>
    </row>
    <row r="1090" spans="1:21" s="1" customFormat="1" ht="84">
      <c r="A1090" s="69">
        <f>IF([8]PRIORIZADOS!A69="","",[8]PRIORIZADOS!A69)</f>
        <v>1039</v>
      </c>
      <c r="B1090" s="70">
        <v>11</v>
      </c>
      <c r="C1090" s="11" t="str">
        <f>IFERROR(IF(VLOOKUP(A1090,[8]PRIORIZADOS!$A:$C,3,FALSE)="","",VLOOKUP(A1090,[8]PRIORIZADOS!$A:$C,3,FALSE)),"")</f>
        <v>KENNEDY</v>
      </c>
      <c r="D1090" s="11" t="str">
        <f>IFERROR(IF(VLOOKUP(A1090,[8]PRIORIZADOS!$A:$D,4,FALSE)="","",VLOOKUP(A1090,[8]PRIORIZADOS!$A:$D,4,FALSE)),"")</f>
        <v>PRIVADO</v>
      </c>
      <c r="E1090" s="11" t="str">
        <f>IFERROR(IF(VLOOKUP(A1090,[8]PRIORIZADOS!$A:$E,5,FALSE)="","",VLOOKUP(A1090,[8]PRIORIZADOS!$A:$E,5,FALSE)),"")</f>
        <v>Educación de Jóvenes y Adultos</v>
      </c>
      <c r="F1090" s="11" t="str">
        <f>IFERROR(IF(VLOOKUP(A1090,[8]PRIORIZADOS!$A:$F,6,FALSE)="","",VLOOKUP(A1090,[8]PRIORIZADOS!$A:$F,6,FALSE)),"")</f>
        <v>COLEGIO_INCADE_KENNEDY</v>
      </c>
      <c r="G1090" s="11" t="str">
        <f>IFERROR(IF(VLOOKUP(A1090,[8]PRIORIZADOS!$A:$G,7,FALSE)="","",VLOOKUP(A1090,[8]PRIORIZADOS!$A:$G,7,FALSE)),"")</f>
        <v>COLEGIO INCADE KENNEDY</v>
      </c>
      <c r="H1090" s="11" t="str">
        <f>IFERROR(IF(VLOOKUP(A1090,[8]PRIORIZADOS!$A:$H,8,FALSE)="","",VLOOKUP(A1090,[8]PRIORIZADOS!$A:$H,8,FALSE)),"")</f>
        <v>Autoevaluación Institucional y Pruebas SABER 11</v>
      </c>
      <c r="I1090" s="11" t="str">
        <f>IFERROR(IF(VLOOKUP(A1090,[8]PRIORIZADOS!$A:$I,9,FALSE)="","",VLOOKUP(A1090,[8]PRIORIZADOS!$A:$I,9,FALSE)),"")</f>
        <v>EVALUACIÓN_CON_FINES_DE_MEJORAMIENTO.</v>
      </c>
      <c r="J1090" s="11" t="str">
        <f>IFERROR(IF(VLOOKUP(A1090,[8]PRIORIZADOS!$A:$J,10,FALSE)="","",VLOOKUP(A1090,[8]PRIORIZADOS!$A:$J,10,FALSE)),"")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090" s="11" t="str">
        <f>IFERROR(IF(VLOOKUP(A1090,[8]PRIORIZADOS!$A:$K,11,FALSE)="","",VLOOKUP(A1090,[8]PRIORIZADOS!$A:$K,11,FALSE)),"")</f>
        <v>GERMÁN EDUARDO TORO ROSERO</v>
      </c>
      <c r="L1090" s="11" t="str">
        <f>IFERROR(IF(VLOOKUP(A1090,[8]PRIORIZADOS!$A:$L,12,FALSE)="","",VLOOKUP(A1090,[8]PRIORIZADOS!$A:$L,12,FALSE)),"")</f>
        <v>VIVANA PILAR BOHÓRQUEZ DÍAZ</v>
      </c>
      <c r="M1090" s="71">
        <f>IFERROR(IF(VLOOKUP(A1090,[8]PRIORIZADOS!$A:$M,13,FALSE)="","",VLOOKUP(A1090,[8]PRIORIZADOS!$A:$M,13,FALSE)),"")</f>
        <v>45756</v>
      </c>
      <c r="N1090" s="71">
        <f>IFERROR(IF(VLOOKUP(A1090,[8]PRIORIZADOS!$A:$N,14,FALSE)="","",VLOOKUP(A1090,[8]PRIORIZADOS!$A:$N,14,FALSE)),"")</f>
        <v>45756</v>
      </c>
      <c r="O1090" s="71">
        <f>IFERROR(IF(VLOOKUP(A1090,[8]PRIORIZADOS!$A:$O,15,FALSE)="","",VLOOKUP(A1090,[8]PRIORIZADOS!$A:$O,15,FALSE)),"")</f>
        <v>45756</v>
      </c>
      <c r="P1090" s="11" t="str">
        <f>IFERROR(IF(VLOOKUP(A1090,[8]PRIORIZADOS!$A:$P,16,FALSE)="","",VLOOKUP(A1090,[8]PRIORIZADOS!$A:$P,16,FALSE)),"")</f>
        <v>Visitas de evaluación con fines de seguimiento</v>
      </c>
      <c r="Q1090" s="107" t="s">
        <v>205</v>
      </c>
      <c r="R1090" s="11" t="str">
        <f>IFERROR(IF(VLOOKUP(A1090,[8]PRIORIZADOS!$A:$R,18,FALSE)="","",VLOOKUP(A1090,[8]PRIORIZADOS!$A:$R,18,FALSE)),"")</f>
        <v xml:space="preserve">El manual de convivencia cuenta con los aspectos definidos en la normatividad vigente, sin embargo carece del enfoque restaurativo. </v>
      </c>
      <c r="S1090" s="11" t="str">
        <f>IFERROR(IF(VLOOKUP(A1090,[8]PRIORIZADOS!$A:$S,19,FALSE)="","",VLOOKUP(A1090,[8]PRIORIZADOS!$A:$S,19,FALSE)),"")</f>
        <v xml:space="preserve">Actualizar el manual de convivencia, analizando el enfoque restaurativo y los aportes que dicho enfoque le puede brindar para movilizar acciones pedagógicas. </v>
      </c>
      <c r="T1090" s="70" t="str">
        <f>IFERROR(IF(VLOOKUP(A1090,[8]PRIORIZADOS!$A:$T,20,FALSE)="","",VLOOKUP(A1090,[8]PRIORIZADOS!$A:$T,20,FALSE)),"")</f>
        <v>Si</v>
      </c>
      <c r="U1090" s="11" t="str">
        <f>IFERROR(IF(VLOOKUP(A1090,[8]PRIORIZADOS!$A:$U,21,FALSE)="","",VLOOKUP(A1090,[8]PRIORIZADOS!$A:$U,21,FALSE)),"")</f>
        <v>El ELIV, verificará el cumplimiento del plan de mejoramiento de acuerdo a la fecha determinada en el acta.</v>
      </c>
    </row>
    <row r="1091" spans="1:21" s="1" customFormat="1" ht="48">
      <c r="A1091" s="69">
        <f>IF([8]PRIORIZADOS!A70="","",[8]PRIORIZADOS!A70)</f>
        <v>1040</v>
      </c>
      <c r="B1091" s="70">
        <v>11</v>
      </c>
      <c r="C1091" s="11" t="str">
        <f>IFERROR(IF(VLOOKUP(A1091,[8]PRIORIZADOS!$A:$C,3,FALSE)="","",VLOOKUP(A1091,[8]PRIORIZADOS!$A:$C,3,FALSE)),"")</f>
        <v>KENNEDY</v>
      </c>
      <c r="D1091" s="11" t="str">
        <f>IFERROR(IF(VLOOKUP(A1091,[8]PRIORIZADOS!$A:$D,4,FALSE)="","",VLOOKUP(A1091,[8]PRIORIZADOS!$A:$D,4,FALSE)),"")</f>
        <v>PRIVADO</v>
      </c>
      <c r="E1091" s="11" t="str">
        <f>IFERROR(IF(VLOOKUP(A1091,[8]PRIORIZADOS!$A:$E,5,FALSE)="","",VLOOKUP(A1091,[8]PRIORIZADOS!$A:$E,5,FALSE)),"")</f>
        <v>Educación de Jóvenes y Adultos</v>
      </c>
      <c r="F1091" s="11" t="str">
        <f>IFERROR(IF(VLOOKUP(A1091,[8]PRIORIZADOS!$A:$F,6,FALSE)="","",VLOOKUP(A1091,[8]PRIORIZADOS!$A:$F,6,FALSE)),"")</f>
        <v>COLEGIO_INCADE_KENNEDY</v>
      </c>
      <c r="G1091" s="11" t="str">
        <f>IFERROR(IF(VLOOKUP(A1091,[8]PRIORIZADOS!$A:$G,7,FALSE)="","",VLOOKUP(A1091,[8]PRIORIZADOS!$A:$G,7,FALSE)),"")</f>
        <v>COLEGIO INCADE KENNEDY</v>
      </c>
      <c r="H1091" s="11" t="str">
        <f>IFERROR(IF(VLOOKUP(A1091,[8]PRIORIZADOS!$A:$H,8,FALSE)="","",VLOOKUP(A1091,[8]PRIORIZADOS!$A:$H,8,FALSE)),"")</f>
        <v>Autoevaluación Institucional y Pruebas SABER 11</v>
      </c>
      <c r="I1091" s="11" t="str">
        <f>IFERROR(IF(VLOOKUP(A1091,[8]PRIORIZADOS!$A:$I,9,FALSE)="","",VLOOKUP(A1091,[8]PRIORIZADOS!$A:$I,9,FALSE)),"")</f>
        <v>EVALUACIÓN_CON_FINES_DE_MEJORAMIENTO.</v>
      </c>
      <c r="J1091" s="11" t="str">
        <f>IFERROR(IF(VLOOKUP(A1091,[8]PRIORIZADOS!$A:$J,10,FALSE)="","",VLOOKUP(A1091,[8]PRIORIZADOS!$A:$J,10,FALSE)),"")</f>
        <v>Revisar el calendario escolar, jornada escolar, la intensidad horaria mínima anual en cada nivel y las modificaciones que se realicen al mismo, de acuerdo con lo previsto en la normatividad vigente.</v>
      </c>
      <c r="K1091" s="11" t="str">
        <f>IFERROR(IF(VLOOKUP(A1091,[8]PRIORIZADOS!$A:$K,11,FALSE)="","",VLOOKUP(A1091,[8]PRIORIZADOS!$A:$K,11,FALSE)),"")</f>
        <v>GERMÁN EDUARDO TORO ROSERO</v>
      </c>
      <c r="L1091" s="11" t="str">
        <f>IFERROR(IF(VLOOKUP(A1091,[8]PRIORIZADOS!$A:$L,12,FALSE)="","",VLOOKUP(A1091,[8]PRIORIZADOS!$A:$L,12,FALSE)),"")</f>
        <v>VIVANA PILAR BOHÓRQUEZ DÍAZ</v>
      </c>
      <c r="M1091" s="71">
        <f>IFERROR(IF(VLOOKUP(A1091,[8]PRIORIZADOS!$A:$M,13,FALSE)="","",VLOOKUP(A1091,[8]PRIORIZADOS!$A:$M,13,FALSE)),"")</f>
        <v>45756</v>
      </c>
      <c r="N1091" s="71">
        <f>IFERROR(IF(VLOOKUP(A1091,[8]PRIORIZADOS!$A:$N,14,FALSE)="","",VLOOKUP(A1091,[8]PRIORIZADOS!$A:$N,14,FALSE)),"")</f>
        <v>45756</v>
      </c>
      <c r="O1091" s="71">
        <f>IFERROR(IF(VLOOKUP(A1091,[8]PRIORIZADOS!$A:$O,15,FALSE)="","",VLOOKUP(A1091,[8]PRIORIZADOS!$A:$O,15,FALSE)),"")</f>
        <v>45756</v>
      </c>
      <c r="P1091" s="11" t="str">
        <f>IFERROR(IF(VLOOKUP(A1091,[8]PRIORIZADOS!$A:$P,16,FALSE)="","",VLOOKUP(A1091,[8]PRIORIZADOS!$A:$P,16,FALSE)),"")</f>
        <v>Visitas de evaluación con fines de seguimiento</v>
      </c>
      <c r="Q1091" s="107" t="s">
        <v>205</v>
      </c>
      <c r="R1091" s="11" t="str">
        <f>IFERROR(IF(VLOOKUP(A1091,[8]PRIORIZADOS!$A:$R,18,FALSE)="","",VLOOKUP(A1091,[8]PRIORIZADOS!$A:$R,18,FALSE)),"")</f>
        <v>El calendario escolar cumple con la intensidad mínima anual en cada ciclo, de acuerdo a lo previsto en la normatividad vigente.</v>
      </c>
      <c r="S1091" s="11" t="str">
        <f>IFERROR(IF(VLOOKUP(A1091,[8]PRIORIZADOS!$A:$S,19,FALSE)="","",VLOOKUP(A1091,[8]PRIORIZADOS!$A:$S,19,FALSE)),"")</f>
        <v xml:space="preserve">Mantener el cumplimiento de los tiempos e intensidad horaria establecida en el calendario escolar. </v>
      </c>
      <c r="T1091" s="70" t="str">
        <f>IFERROR(IF(VLOOKUP(A1091,[8]PRIORIZADOS!$A:$T,20,FALSE)="","",VLOOKUP(A1091,[8]PRIORIZADOS!$A:$T,20,FALSE)),"")</f>
        <v>No</v>
      </c>
      <c r="U1091" s="11" t="str">
        <f>IFERROR(IF(VLOOKUP(A1091,[8]PRIORIZADOS!$A:$U,21,FALSE)="","",VLOOKUP(A1091,[8]PRIORIZADOS!$A:$U,21,FALSE)),"")</f>
        <v xml:space="preserve">El ELIV, verificará el cumplimiento del calendario escolar. </v>
      </c>
    </row>
    <row r="1092" spans="1:21" s="1" customFormat="1" ht="72">
      <c r="A1092" s="69">
        <f>IF([8]PRIORIZADOS!A71="","",[8]PRIORIZADOS!A71)</f>
        <v>1041</v>
      </c>
      <c r="B1092" s="70">
        <v>11</v>
      </c>
      <c r="C1092" s="11" t="str">
        <f>IFERROR(IF(VLOOKUP(A1092,[8]PRIORIZADOS!$A:$C,3,FALSE)="","",VLOOKUP(A1092,[8]PRIORIZADOS!$A:$C,3,FALSE)),"")</f>
        <v>KENNEDY</v>
      </c>
      <c r="D1092" s="11" t="str">
        <f>IFERROR(IF(VLOOKUP(A1092,[8]PRIORIZADOS!$A:$D,4,FALSE)="","",VLOOKUP(A1092,[8]PRIORIZADOS!$A:$D,4,FALSE)),"")</f>
        <v>PRIVADO</v>
      </c>
      <c r="E1092" s="11" t="str">
        <f>IFERROR(IF(VLOOKUP(A1092,[8]PRIORIZADOS!$A:$E,5,FALSE)="","",VLOOKUP(A1092,[8]PRIORIZADOS!$A:$E,5,FALSE)),"")</f>
        <v>Educación de Jóvenes y Adultos</v>
      </c>
      <c r="F1092" s="11" t="str">
        <f>IFERROR(IF(VLOOKUP(A1092,[8]PRIORIZADOS!$A:$F,6,FALSE)="","",VLOOKUP(A1092,[8]PRIORIZADOS!$A:$F,6,FALSE)),"")</f>
        <v>COLEGIO_INCADE_KENNEDY</v>
      </c>
      <c r="G1092" s="11" t="str">
        <f>IFERROR(IF(VLOOKUP(A1092,[8]PRIORIZADOS!$A:$G,7,FALSE)="","",VLOOKUP(A1092,[8]PRIORIZADOS!$A:$G,7,FALSE)),"")</f>
        <v>COLEGIO INCADE KENNEDY</v>
      </c>
      <c r="H1092" s="11" t="str">
        <f>IFERROR(IF(VLOOKUP(A1092,[8]PRIORIZADOS!$A:$H,8,FALSE)="","",VLOOKUP(A1092,[8]PRIORIZADOS!$A:$H,8,FALSE)),"")</f>
        <v>Autoevaluación Institucional y Pruebas SABER 11</v>
      </c>
      <c r="I1092" s="11" t="str">
        <f>IFERROR(IF(VLOOKUP(A1092,[8]PRIORIZADOS!$A:$I,9,FALSE)="","",VLOOKUP(A1092,[8]PRIORIZADOS!$A:$I,9,FALSE)),"")</f>
        <v>EVALUACIÓN_CON_FINES_DE_MEJORAMIENTO.</v>
      </c>
      <c r="J1092" s="11" t="str">
        <f>IFERROR(IF(VLOOKUP(A1092,[8]PRIORIZADOS!$A:$J,10,FALSE)="","",VLOOKUP(A1092,[8]PRIORIZADOS!$A:$J,10,FALSE)),"")</f>
        <v>Verificar el funcionamiento del Gobierno Escolar e instancias de participación con base en la información sobre conformación reportada por la institución educativa.</v>
      </c>
      <c r="K1092" s="11" t="str">
        <f>IFERROR(IF(VLOOKUP(A1092,[8]PRIORIZADOS!$A:$K,11,FALSE)="","",VLOOKUP(A1092,[8]PRIORIZADOS!$A:$K,11,FALSE)),"")</f>
        <v>GERMÁN EDUARDO TORO ROSERO</v>
      </c>
      <c r="L1092" s="11" t="str">
        <f>IFERROR(IF(VLOOKUP(A1092,[8]PRIORIZADOS!$A:$L,12,FALSE)="","",VLOOKUP(A1092,[8]PRIORIZADOS!$A:$L,12,FALSE)),"")</f>
        <v>VIVANA PILAR BOHÓRQUEZ DÍAZ</v>
      </c>
      <c r="M1092" s="71">
        <f>IFERROR(IF(VLOOKUP(A1092,[8]PRIORIZADOS!$A:$M,13,FALSE)="","",VLOOKUP(A1092,[8]PRIORIZADOS!$A:$M,13,FALSE)),"")</f>
        <v>45756</v>
      </c>
      <c r="N1092" s="71">
        <f>IFERROR(IF(VLOOKUP(A1092,[8]PRIORIZADOS!$A:$N,14,FALSE)="","",VLOOKUP(A1092,[8]PRIORIZADOS!$A:$N,14,FALSE)),"")</f>
        <v>45756</v>
      </c>
      <c r="O1092" s="71">
        <f>IFERROR(IF(VLOOKUP(A1092,[8]PRIORIZADOS!$A:$O,15,FALSE)="","",VLOOKUP(A1092,[8]PRIORIZADOS!$A:$O,15,FALSE)),"")</f>
        <v>45756</v>
      </c>
      <c r="P1092" s="11" t="str">
        <f>IFERROR(IF(VLOOKUP(A1092,[8]PRIORIZADOS!$A:$P,16,FALSE)="","",VLOOKUP(A1092,[8]PRIORIZADOS!$A:$P,16,FALSE)),"")</f>
        <v>Visitas de evaluación con fines de seguimiento</v>
      </c>
      <c r="Q1092" s="126" t="s">
        <v>205</v>
      </c>
      <c r="R1092" s="11" t="str">
        <f>IFERROR(IF(VLOOKUP(A1092,[8]PRIORIZADOS!$A:$R,18,FALSE)="","",VLOOKUP(A1092,[8]PRIORIZADOS!$A:$R,18,FALSE)),"")</f>
        <v xml:space="preserve">El colegio cuenta con las actas de conformación del gobierno escolar para la vigencia 2025; sin embargo, no se evidencia alguna sección que les permita identificar sus funciones y las acciones que van adelantar.  </v>
      </c>
      <c r="S1092" s="11" t="str">
        <f>IFERROR(IF(VLOOKUP(A1092,[8]PRIORIZADOS!$A:$S,19,FALSE)="","",VLOOKUP(A1092,[8]PRIORIZADOS!$A:$S,19,FALSE)),"")</f>
        <v xml:space="preserve">Movilizar las instancias de participación del gobierno escolar, con la revisión de sus reglamentos internos y sus planes de acción. </v>
      </c>
      <c r="T1092" s="70" t="str">
        <f>IFERROR(IF(VLOOKUP(A1092,[8]PRIORIZADOS!$A:$T,20,FALSE)="","",VLOOKUP(A1092,[8]PRIORIZADOS!$A:$T,20,FALSE)),"")</f>
        <v>Si</v>
      </c>
      <c r="U1092" s="11" t="str">
        <f>IFERROR(IF(VLOOKUP(A1092,[8]PRIORIZADOS!$A:$U,21,FALSE)="","",VLOOKUP(A1092,[8]PRIORIZADOS!$A:$U,21,FALSE)),"")</f>
        <v>El ELIV, verificará el cumplimiento del plan de mejoramiento.</v>
      </c>
    </row>
    <row r="1093" spans="1:21" s="1" customFormat="1" ht="36">
      <c r="A1093" s="69">
        <f>IF([8]PRIORIZADOS!A72="","",[8]PRIORIZADOS!A72)</f>
        <v>1042</v>
      </c>
      <c r="B1093" s="70">
        <v>11</v>
      </c>
      <c r="C1093" s="11" t="str">
        <f>IFERROR(IF(VLOOKUP(A1093,[8]PRIORIZADOS!$A:$C,3,FALSE)="","",VLOOKUP(A1093,[8]PRIORIZADOS!$A:$C,3,FALSE)),"")</f>
        <v>KENNEDY</v>
      </c>
      <c r="D1093" s="11" t="str">
        <f>IFERROR(IF(VLOOKUP(A1093,[8]PRIORIZADOS!$A:$D,4,FALSE)="","",VLOOKUP(A1093,[8]PRIORIZADOS!$A:$D,4,FALSE)),"")</f>
        <v>PRIVADO</v>
      </c>
      <c r="E1093" s="11" t="str">
        <f>IFERROR(IF(VLOOKUP(A1093,[8]PRIORIZADOS!$A:$E,5,FALSE)="","",VLOOKUP(A1093,[8]PRIORIZADOS!$A:$E,5,FALSE)),"")</f>
        <v>Educación de Jóvenes y Adultos</v>
      </c>
      <c r="F1093" s="11" t="str">
        <f>IFERROR(IF(VLOOKUP(A1093,[8]PRIORIZADOS!$A:$F,6,FALSE)="","",VLOOKUP(A1093,[8]PRIORIZADOS!$A:$F,6,FALSE)),"")</f>
        <v>COLEGIO_INCADE_KENNEDY</v>
      </c>
      <c r="G1093" s="11" t="str">
        <f>IFERROR(IF(VLOOKUP(A1093,[8]PRIORIZADOS!$A:$G,7,FALSE)="","",VLOOKUP(A1093,[8]PRIORIZADOS!$A:$G,7,FALSE)),"")</f>
        <v>COLEGIO INCADE KENNEDY</v>
      </c>
      <c r="H1093" s="11" t="str">
        <f>IFERROR(IF(VLOOKUP(A1093,[8]PRIORIZADOS!$A:$H,8,FALSE)="","",VLOOKUP(A1093,[8]PRIORIZADOS!$A:$H,8,FALSE)),"")</f>
        <v>Autoevaluación Institucional y Pruebas SABER 11</v>
      </c>
      <c r="I1093" s="11" t="str">
        <f>IFERROR(IF(VLOOKUP(A1093,[8]PRIORIZADOS!$A:$I,9,FALSE)="","",VLOOKUP(A1093,[8]PRIORIZADOS!$A:$I,9,FALSE)),"")</f>
        <v>EVALUACIÓN_CON_FINES_DE_MEJORAMIENTO.</v>
      </c>
      <c r="J1093" s="11" t="str">
        <f>IFERROR(IF(VLOOKUP(A1093,[8]PRIORIZADOS!$A:$J,10,FALSE)="","",VLOOKUP(A1093,[8]PRIORIZADOS!$A:$J,10,FALSE)),"")</f>
        <v>Verificar las condiciones en cuanto a: la estructura administrativa, condiciones de la planta física y medios educativos adecuados.</v>
      </c>
      <c r="K1093" s="11" t="str">
        <f>IFERROR(IF(VLOOKUP(A1093,[8]PRIORIZADOS!$A:$K,11,FALSE)="","",VLOOKUP(A1093,[8]PRIORIZADOS!$A:$K,11,FALSE)),"")</f>
        <v>GERMÁN EDUARDO TORO ROSERO</v>
      </c>
      <c r="L1093" s="11" t="str">
        <f>IFERROR(IF(VLOOKUP(A1093,[8]PRIORIZADOS!$A:$L,12,FALSE)="","",VLOOKUP(A1093,[8]PRIORIZADOS!$A:$L,12,FALSE)),"")</f>
        <v>VIVANA PILAR BOHÓRQUEZ DÍAZ</v>
      </c>
      <c r="M1093" s="71">
        <f>IFERROR(IF(VLOOKUP(A1093,[8]PRIORIZADOS!$A:$M,13,FALSE)="","",VLOOKUP(A1093,[8]PRIORIZADOS!$A:$M,13,FALSE)),"")</f>
        <v>45756</v>
      </c>
      <c r="N1093" s="71">
        <f>IFERROR(IF(VLOOKUP(A1093,[8]PRIORIZADOS!$A:$N,14,FALSE)="","",VLOOKUP(A1093,[8]PRIORIZADOS!$A:$N,14,FALSE)),"")</f>
        <v>45756</v>
      </c>
      <c r="O1093" s="71">
        <f>IFERROR(IF(VLOOKUP(A1093,[8]PRIORIZADOS!$A:$O,15,FALSE)="","",VLOOKUP(A1093,[8]PRIORIZADOS!$A:$O,15,FALSE)),"")</f>
        <v>45756</v>
      </c>
      <c r="P1093" s="11" t="str">
        <f>IFERROR(IF(VLOOKUP(A1093,[8]PRIORIZADOS!$A:$P,16,FALSE)="","",VLOOKUP(A1093,[8]PRIORIZADOS!$A:$P,16,FALSE)),"")</f>
        <v>Visitas de evaluación con fines de seguimiento</v>
      </c>
      <c r="Q1093" s="107" t="s">
        <v>205</v>
      </c>
      <c r="R1093" s="11" t="str">
        <f>IFERROR(IF(VLOOKUP(A1093,[8]PRIORIZADOS!$A:$R,18,FALSE)="","",VLOOKUP(A1093,[8]PRIORIZADOS!$A:$R,18,FALSE)),"")</f>
        <v xml:space="preserve">Hay elementos del mobiliario y recursos pedagógicos que se encuentran deteriorados y desactualizados. </v>
      </c>
      <c r="S1093" s="11" t="str">
        <f>IFERROR(IF(VLOOKUP(A1093,[8]PRIORIZADOS!$A:$S,19,FALSE)="","",VLOOKUP(A1093,[8]PRIORIZADOS!$A:$S,19,FALSE)),"")</f>
        <v xml:space="preserve">Avanzar progresivamente en el cambio o ajuste de algunos elementos del mobiliario. </v>
      </c>
      <c r="T1093" s="70" t="str">
        <f>IFERROR(IF(VLOOKUP(A1093,[8]PRIORIZADOS!$A:$T,20,FALSE)="","",VLOOKUP(A1093,[8]PRIORIZADOS!$A:$T,20,FALSE)),"")</f>
        <v>Si</v>
      </c>
      <c r="U1093" s="11" t="str">
        <f>IFERROR(IF(VLOOKUP(A1093,[8]PRIORIZADOS!$A:$U,21,FALSE)="","",VLOOKUP(A1093,[8]PRIORIZADOS!$A:$U,21,FALSE)),"")</f>
        <v>El ELIV, verificará el cumplimiento del plan de mejoramiento.</v>
      </c>
    </row>
    <row r="1094" spans="1:21" s="1" customFormat="1" ht="60">
      <c r="A1094" s="69">
        <f>IF([8]PRIORIZADOS!A73="","",[8]PRIORIZADOS!A73)</f>
        <v>1043</v>
      </c>
      <c r="B1094" s="70">
        <v>12</v>
      </c>
      <c r="C1094" s="11" t="str">
        <f>IFERROR(IF(VLOOKUP(A1094,[8]PRIORIZADOS!$A:$C,3,FALSE)="","",VLOOKUP(A1094,[8]PRIORIZADOS!$A:$C,3,FALSE)),"")</f>
        <v>KENNEDY</v>
      </c>
      <c r="D1094" s="11" t="str">
        <f>IFERROR(IF(VLOOKUP(A1094,[8]PRIORIZADOS!$A:$D,4,FALSE)="","",VLOOKUP(A1094,[8]PRIORIZADOS!$A:$D,4,FALSE)),"")</f>
        <v>PRIVADO</v>
      </c>
      <c r="E1094" s="11" t="str">
        <f>IFERROR(IF(VLOOKUP(A1094,[8]PRIORIZADOS!$A:$E,5,FALSE)="","",VLOOKUP(A1094,[8]PRIORIZADOS!$A:$E,5,FALSE)),"")</f>
        <v>EPBM</v>
      </c>
      <c r="F1094" s="11" t="str">
        <f>IFERROR(IF(VLOOKUP(A1094,[8]PRIORIZADOS!$A:$F,6,FALSE)="","",VLOOKUP(A1094,[8]PRIORIZADOS!$A:$F,6,FALSE)),"")</f>
        <v>COLEGIO_JAIME_QUIJANO_CABALLERO</v>
      </c>
      <c r="G1094" s="11" t="str">
        <f>IFERROR(IF(VLOOKUP(A1094,[8]PRIORIZADOS!$A:$G,7,FALSE)="","",VLOOKUP(A1094,[8]PRIORIZADOS!$A:$G,7,FALSE)),"")</f>
        <v>COLEGIO JAIME QUIJANO CABALLERO</v>
      </c>
      <c r="H1094" s="11" t="str">
        <f>IFERROR(IF(VLOOKUP(A1094,[8]PRIORIZADOS!$A:$H,8,FALSE)="","",VLOOKUP(A1094,[8]PRIORIZADOS!$A:$H,8,FALSE)),"")</f>
        <v>Autoevaluación Institucional y Pruebas SABER 11</v>
      </c>
      <c r="I1094" s="11" t="str">
        <f>IFERROR(IF(VLOOKUP(A1094,[8]PRIORIZADOS!$A:$I,9,FALSE)="","",VLOOKUP(A1094,[8]PRIORIZADOS!$A:$I,9,FALSE)),"")</f>
        <v>SEGUIMIENTO_Y_SUPERVISIÓN.</v>
      </c>
      <c r="J1094" s="11" t="str">
        <f>IFERROR(IF(VLOOKUP(A1094,[8]PRIORIZADOS!$A:$J,10,FALSE)="","",VLOOKUP(A1094,[8]PRIORIZADOS!$A:$J,10,FALSE)),"")</f>
        <v>Proponer estrategias en la formulación, verificar su elaboración y realizar seguimiento semestral al desarrollo de  las acciones establecidas en los planes de mejoramiento por pruebas SABER 11 de los establecimientos de educación formal.</v>
      </c>
      <c r="K1094" s="11" t="str">
        <f>IFERROR(IF(VLOOKUP(A1094,[8]PRIORIZADOS!$A:$K,11,FALSE)="","",VLOOKUP(A1094,[8]PRIORIZADOS!$A:$K,11,FALSE)),"")</f>
        <v>INGRID VIVIANA DÁVILA ÁVILA</v>
      </c>
      <c r="L1094" s="11" t="str">
        <f>IFERROR(IF(VLOOKUP(A1094,[8]PRIORIZADOS!$A:$L,12,FALSE)="","",VLOOKUP(A1094,[8]PRIORIZADOS!$A:$L,12,FALSE)),"")</f>
        <v>LUIS FERNANDO CÁRDENAS URAN</v>
      </c>
      <c r="M1094" s="71">
        <f>IFERROR(IF(VLOOKUP(A1094,[8]PRIORIZADOS!$A:$M,13,FALSE)="","",VLOOKUP(A1094,[8]PRIORIZADOS!$A:$M,13,FALSE)),"")</f>
        <v>45757</v>
      </c>
      <c r="N1094" s="71">
        <f>IFERROR(IF(VLOOKUP(A1094,[8]PRIORIZADOS!$A:$N,14,FALSE)="","",VLOOKUP(A1094,[8]PRIORIZADOS!$A:$N,14,FALSE)),"")</f>
        <v>45756</v>
      </c>
      <c r="O1094" s="71">
        <f>IFERROR(IF(VLOOKUP(A1094,[8]PRIORIZADOS!$A:$O,15,FALSE)="","",VLOOKUP(A1094,[8]PRIORIZADOS!$A:$O,15,FALSE)),"")</f>
        <v>45756</v>
      </c>
      <c r="P1094" s="11" t="str">
        <f>IFERROR(IF(VLOOKUP(A1094,[8]PRIORIZADOS!$A:$P,16,FALSE)="","",VLOOKUP(A1094,[8]PRIORIZADOS!$A:$P,16,FALSE)),"")</f>
        <v>Visitas de evaluación con fines de mejoramiento</v>
      </c>
      <c r="Q1094" s="125" t="s">
        <v>206</v>
      </c>
      <c r="R1094" s="11" t="str">
        <f>IFERROR(IF(VLOOKUP(A1094,[8]PRIORIZADOS!$A:$R,18,FALSE)="","",VLOOKUP(A1094,[8]PRIORIZADOS!$A:$R,18,FALSE)),"")</f>
        <v xml:space="preserve">El Colegio no ha revisado los puntajes globales de las pruebas saber 11, por lo que no hay claridad en los aspectos sobre los cuales debe trabajar. </v>
      </c>
      <c r="S1094" s="11" t="str">
        <f>IFERROR(IF(VLOOKUP(A1094,[8]PRIORIZADOS!$A:$S,19,FALSE)="","",VLOOKUP(A1094,[8]PRIORIZADOS!$A:$S,19,FALSE)),"")</f>
        <v xml:space="preserve">El establecimiento educativo debe adelantar un análisis detallado de los resultados de las pruebas saber 11, lo que les permitirá definir las estrategias pedagógicas para subir la clasificación. </v>
      </c>
      <c r="T1094" s="70" t="str">
        <f>IFERROR(IF(VLOOKUP(A1094,[8]PRIORIZADOS!$A:$T,20,FALSE)="","",VLOOKUP(A1094,[8]PRIORIZADOS!$A:$T,20,FALSE)),"")</f>
        <v>Si</v>
      </c>
      <c r="U1094" s="11" t="str">
        <f>IFERROR(IF(VLOOKUP(A1094,[8]PRIORIZADOS!$A:$U,21,FALSE)="","",VLOOKUP(A1094,[8]PRIORIZADOS!$A:$U,21,FALSE)),"")</f>
        <v xml:space="preserve">Revisión de las acciones ejecutadas por la institución educativa con respecto al análisis realizado de las pruebas saber.  Se realiza mesa de seguimiento el día 23 de septiembre 2025. El día 24 de octubre se validará el cumplimiento de los compromisos pendientes. </v>
      </c>
    </row>
    <row r="1095" spans="1:21" s="1" customFormat="1" ht="72">
      <c r="A1095" s="69">
        <f>IF([8]PRIORIZADOS!A74="","",[8]PRIORIZADOS!A74)</f>
        <v>1044</v>
      </c>
      <c r="B1095" s="70">
        <v>12</v>
      </c>
      <c r="C1095" s="11" t="str">
        <f>IFERROR(IF(VLOOKUP(A1095,[8]PRIORIZADOS!$A:$C,3,FALSE)="","",VLOOKUP(A1095,[8]PRIORIZADOS!$A:$C,3,FALSE)),"")</f>
        <v>KENNEDY</v>
      </c>
      <c r="D1095" s="11" t="str">
        <f>IFERROR(IF(VLOOKUP(A1095,[8]PRIORIZADOS!$A:$D,4,FALSE)="","",VLOOKUP(A1095,[8]PRIORIZADOS!$A:$D,4,FALSE)),"")</f>
        <v>PRIVADO</v>
      </c>
      <c r="E1095" s="11" t="str">
        <f>IFERROR(IF(VLOOKUP(A1095,[8]PRIORIZADOS!$A:$E,5,FALSE)="","",VLOOKUP(A1095,[8]PRIORIZADOS!$A:$E,5,FALSE)),"")</f>
        <v>EPBM</v>
      </c>
      <c r="F1095" s="11" t="str">
        <f>IFERROR(IF(VLOOKUP(A1095,[8]PRIORIZADOS!$A:$F,6,FALSE)="","",VLOOKUP(A1095,[8]PRIORIZADOS!$A:$F,6,FALSE)),"")</f>
        <v>COLEGIO_JAIME_QUIJANO_CABALLERO</v>
      </c>
      <c r="G1095" s="11" t="str">
        <f>IFERROR(IF(VLOOKUP(A1095,[8]PRIORIZADOS!$A:$G,7,FALSE)="","",VLOOKUP(A1095,[8]PRIORIZADOS!$A:$G,7,FALSE)),"")</f>
        <v>COLEGIO JAIME QUIJANO CABALLERO</v>
      </c>
      <c r="H1095" s="11" t="str">
        <f>IFERROR(IF(VLOOKUP(A1095,[8]PRIORIZADOS!$A:$H,8,FALSE)="","",VLOOKUP(A1095,[8]PRIORIZADOS!$A:$H,8,FALSE)),"")</f>
        <v>Autoevaluación Institucional y Pruebas SABER 11</v>
      </c>
      <c r="I1095" s="11" t="str">
        <f>IFERROR(IF(VLOOKUP(A1095,[8]PRIORIZADOS!$A:$I,9,FALSE)="","",VLOOKUP(A1095,[8]PRIORIZADOS!$A:$I,9,FALSE)),"")</f>
        <v>SEGUIMIENTO_Y_SUPERVISIÓN.</v>
      </c>
      <c r="J1095" s="11" t="str">
        <f>IFERROR(IF(VLOOKUP(A1095,[8]PRIORIZADOS!$A:$J,10,FALSE)="","",VLOOKUP(A1095,[8]PRIORIZADOS!$A:$J,10,FALSE)),"")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95" s="11" t="str">
        <f>IFERROR(IF(VLOOKUP(A1095,[8]PRIORIZADOS!$A:$K,11,FALSE)="","",VLOOKUP(A1095,[8]PRIORIZADOS!$A:$K,11,FALSE)),"")</f>
        <v>INGRID VIVIANA DÁVILA ÁVILA</v>
      </c>
      <c r="L1095" s="11" t="str">
        <f>IFERROR(IF(VLOOKUP(A1095,[8]PRIORIZADOS!$A:$L,12,FALSE)="","",VLOOKUP(A1095,[8]PRIORIZADOS!$A:$L,12,FALSE)),"")</f>
        <v>LUIS FERNANDO CÁRDENAS URAN</v>
      </c>
      <c r="M1095" s="71">
        <f>IFERROR(IF(VLOOKUP(A1095,[8]PRIORIZADOS!$A:$M,13,FALSE)="","",VLOOKUP(A1095,[8]PRIORIZADOS!$A:$M,13,FALSE)),"")</f>
        <v>45757</v>
      </c>
      <c r="N1095" s="71">
        <f>IFERROR(IF(VLOOKUP(A1095,[8]PRIORIZADOS!$A:$N,14,FALSE)="","",VLOOKUP(A1095,[8]PRIORIZADOS!$A:$N,14,FALSE)),"")</f>
        <v>45756</v>
      </c>
      <c r="O1095" s="71">
        <f>IFERROR(IF(VLOOKUP(A1095,[8]PRIORIZADOS!$A:$O,15,FALSE)="","",VLOOKUP(A1095,[8]PRIORIZADOS!$A:$O,15,FALSE)),"")</f>
        <v>45756</v>
      </c>
      <c r="P1095" s="11" t="str">
        <f>IFERROR(IF(VLOOKUP(A1095,[8]PRIORIZADOS!$A:$P,16,FALSE)="","",VLOOKUP(A1095,[8]PRIORIZADOS!$A:$P,16,FALSE)),"")</f>
        <v>Visitas de evaluación con fines de mejoramiento</v>
      </c>
      <c r="Q1095" s="113" t="s">
        <v>206</v>
      </c>
      <c r="R1095" s="11" t="str">
        <f>IFERROR(IF(VLOOKUP(A1095,[8]PRIORIZADOS!$A:$R,18,FALSE)="","",VLOOKUP(A1095,[8]PRIORIZADOS!$A:$R,18,FALSE)),"")</f>
        <v xml:space="preserve">Se evidencio que no se está subiendo la información de situaciones tipo II y III de convivencia escolar en el sistema de alertas </v>
      </c>
      <c r="S1095" s="11" t="str">
        <f>IFERROR(IF(VLOOKUP(A1095,[8]PRIORIZADOS!$A:$S,19,FALSE)="","",VLOOKUP(A1095,[8]PRIORIZADOS!$A:$S,19,FALSE)),"")</f>
        <v>El colegio realiza un seguimiento de los casos de convivencia escolar sin embargo no se está realizando las actividades según protocolo de atención integral para la convivencia escolar</v>
      </c>
      <c r="T1095" s="70" t="str">
        <f>IFERROR(IF(VLOOKUP(A1095,[8]PRIORIZADOS!$A:$T,20,FALSE)="","",VLOOKUP(A1095,[8]PRIORIZADOS!$A:$T,20,FALSE)),"")</f>
        <v>Si</v>
      </c>
      <c r="U1095" s="11" t="str">
        <f>IFERROR(IF(VLOOKUP(A1095,[8]PRIORIZADOS!$A:$U,21,FALSE)="","",VLOOKUP(A1095,[8]PRIORIZADOS!$A:$U,21,FALSE)),"")</f>
        <v xml:space="preserve">Revisar que la institución educativa realice los reportes en el sistema de alertas y active el protocolo de forma adecuada siguiendo los lineamientos  de atención integral para la convivencia escolar versión 5 Se realiza mesa de seguimiento el día 23 de septiembre 2025. El día 24 de octubre se validará el cumplimiento de los compromisos pendientes. </v>
      </c>
    </row>
    <row r="1096" spans="1:21" s="1" customFormat="1" ht="84">
      <c r="A1096" s="69">
        <f>IF([8]PRIORIZADOS!A75="","",[8]PRIORIZADOS!A75)</f>
        <v>1045</v>
      </c>
      <c r="B1096" s="70">
        <v>12</v>
      </c>
      <c r="C1096" s="11" t="str">
        <f>IFERROR(IF(VLOOKUP(A1096,[8]PRIORIZADOS!$A:$C,3,FALSE)="","",VLOOKUP(A1096,[8]PRIORIZADOS!$A:$C,3,FALSE)),"")</f>
        <v>KENNEDY</v>
      </c>
      <c r="D1096" s="11" t="str">
        <f>IFERROR(IF(VLOOKUP(A1096,[8]PRIORIZADOS!$A:$D,4,FALSE)="","",VLOOKUP(A1096,[8]PRIORIZADOS!$A:$D,4,FALSE)),"")</f>
        <v>PRIVADO</v>
      </c>
      <c r="E1096" s="11" t="str">
        <f>IFERROR(IF(VLOOKUP(A1096,[8]PRIORIZADOS!$A:$E,5,FALSE)="","",VLOOKUP(A1096,[8]PRIORIZADOS!$A:$E,5,FALSE)),"")</f>
        <v>EPBM</v>
      </c>
      <c r="F1096" s="11" t="str">
        <f>IFERROR(IF(VLOOKUP(A1096,[8]PRIORIZADOS!$A:$F,6,FALSE)="","",VLOOKUP(A1096,[8]PRIORIZADOS!$A:$F,6,FALSE)),"")</f>
        <v>COLEGIO_JAIME_QUIJANO_CABALLERO</v>
      </c>
      <c r="G1096" s="11" t="str">
        <f>IFERROR(IF(VLOOKUP(A1096,[8]PRIORIZADOS!$A:$G,7,FALSE)="","",VLOOKUP(A1096,[8]PRIORIZADOS!$A:$G,7,FALSE)),"")</f>
        <v>COLEGIO JAIME QUIJANO CABALLERO</v>
      </c>
      <c r="H1096" s="11" t="str">
        <f>IFERROR(IF(VLOOKUP(A1096,[8]PRIORIZADOS!$A:$H,8,FALSE)="","",VLOOKUP(A1096,[8]PRIORIZADOS!$A:$H,8,FALSE)),"")</f>
        <v>Autoevaluación Institucional y Pruebas SABER 11</v>
      </c>
      <c r="I1096" s="11" t="str">
        <f>IFERROR(IF(VLOOKUP(A1096,[8]PRIORIZADOS!$A:$I,9,FALSE)="","",VLOOKUP(A1096,[8]PRIORIZADOS!$A:$I,9,FALSE)),"")</f>
        <v>EVALUACIÓN_CON_FINES_DE_MEJORAMIENTO.</v>
      </c>
      <c r="J1096" s="11" t="str">
        <f>IFERROR(IF(VLOOKUP(A1096,[8]PRIORIZADOS!$A:$J,10,FALSE)="","",VLOOKUP(A1096,[8]PRIORIZADOS!$A:$J,10,FALSE)),"")</f>
        <v>Verificar el funcionamiento del Gobierno Escolar e instancias de participación con base en la información sobre conformación reportada por la institución educativa.</v>
      </c>
      <c r="K1096" s="11" t="str">
        <f>IFERROR(IF(VLOOKUP(A1096,[8]PRIORIZADOS!$A:$K,11,FALSE)="","",VLOOKUP(A1096,[8]PRIORIZADOS!$A:$K,11,FALSE)),"")</f>
        <v>INGRID VIVIANA DÁVILA ÁVILA</v>
      </c>
      <c r="L1096" s="11" t="str">
        <f>IFERROR(IF(VLOOKUP(A1096,[8]PRIORIZADOS!$A:$L,12,FALSE)="","",VLOOKUP(A1096,[8]PRIORIZADOS!$A:$L,12,FALSE)),"")</f>
        <v>LUIS FERNANDO CÁRDENAS URAN</v>
      </c>
      <c r="M1096" s="71">
        <f>IFERROR(IF(VLOOKUP(A1096,[8]PRIORIZADOS!$A:$M,13,FALSE)="","",VLOOKUP(A1096,[8]PRIORIZADOS!$A:$M,13,FALSE)),"")</f>
        <v>45757</v>
      </c>
      <c r="N1096" s="71">
        <f>IFERROR(IF(VLOOKUP(A1096,[8]PRIORIZADOS!$A:$N,14,FALSE)="","",VLOOKUP(A1096,[8]PRIORIZADOS!$A:$N,14,FALSE)),"")</f>
        <v>45756</v>
      </c>
      <c r="O1096" s="71">
        <f>IFERROR(IF(VLOOKUP(A1096,[8]PRIORIZADOS!$A:$O,15,FALSE)="","",VLOOKUP(A1096,[8]PRIORIZADOS!$A:$O,15,FALSE)),"")</f>
        <v>45756</v>
      </c>
      <c r="P1096" s="11" t="str">
        <f>IFERROR(IF(VLOOKUP(A1096,[8]PRIORIZADOS!$A:$P,16,FALSE)="","",VLOOKUP(A1096,[8]PRIORIZADOS!$A:$P,16,FALSE)),"")</f>
        <v>Visitas de evaluación con fines de mejoramiento</v>
      </c>
      <c r="Q1096" s="104" t="s">
        <v>206</v>
      </c>
      <c r="R1096" s="11" t="str">
        <f>IFERROR(IF(VLOOKUP(A1096,[8]PRIORIZADOS!$A:$R,18,FALSE)="","",VLOOKUP(A1096,[8]PRIORIZADOS!$A:$R,18,FALSE)),"")</f>
        <v xml:space="preserve">
Al realizar verificación de las actas de consejo académico  no se encontró que se proponga la actualización del currículo y plan de estudio siguiendo las funciones de este órgano de participación</v>
      </c>
      <c r="S1096" s="11" t="str">
        <f>IFERROR(IF(VLOOKUP(A1096,[8]PRIORIZADOS!$A:$S,19,FALSE)="","",VLOOKUP(A1096,[8]PRIORIZADOS!$A:$S,19,FALSE)),"")</f>
        <v>En concordancia con el articulo 145 de la ley 115 se establece las funciones del consejo académico dentro de las cuales se encuentra la actualización del currículo y plan de estudios, por lo tanto es necesario que la institución educativa de cumplimiento al mismo.</v>
      </c>
      <c r="T1096" s="70" t="str">
        <f>IFERROR(IF(VLOOKUP(A1096,[8]PRIORIZADOS!$A:$T,20,FALSE)="","",VLOOKUP(A1096,[8]PRIORIZADOS!$A:$T,20,FALSE)),"")</f>
        <v>Si</v>
      </c>
      <c r="U1096" s="11" t="str">
        <f>IFERROR(IF(VLOOKUP(A1096,[8]PRIORIZADOS!$A:$U,21,FALSE)="","",VLOOKUP(A1096,[8]PRIORIZADOS!$A:$U,21,FALSE)),"")</f>
        <v xml:space="preserve">Documentar en las reuniones con consejo académico la actualización del currículo y plan de estudios. Se realiza mesa de seguimiento el día 23 de septiembre 2025. El día 24 de octubre se validará el cumplimiento d ellos compromisos pendientes. </v>
      </c>
    </row>
    <row r="1097" spans="1:21" s="1" customFormat="1" ht="60">
      <c r="A1097" s="69">
        <f>IF([8]PRIORIZADOS!A76="","",[8]PRIORIZADOS!A76)</f>
        <v>1046</v>
      </c>
      <c r="B1097" s="70">
        <v>12</v>
      </c>
      <c r="C1097" s="11" t="str">
        <f>IFERROR(IF(VLOOKUP(A1097,[8]PRIORIZADOS!$A:$C,3,FALSE)="","",VLOOKUP(A1097,[8]PRIORIZADOS!$A:$C,3,FALSE)),"")</f>
        <v>KENNEDY</v>
      </c>
      <c r="D1097" s="11" t="str">
        <f>IFERROR(IF(VLOOKUP(A1097,[8]PRIORIZADOS!$A:$D,4,FALSE)="","",VLOOKUP(A1097,[8]PRIORIZADOS!$A:$D,4,FALSE)),"")</f>
        <v>PRIVADO</v>
      </c>
      <c r="E1097" s="11" t="str">
        <f>IFERROR(IF(VLOOKUP(A1097,[8]PRIORIZADOS!$A:$E,5,FALSE)="","",VLOOKUP(A1097,[8]PRIORIZADOS!$A:$E,5,FALSE)),"")</f>
        <v>EPBM</v>
      </c>
      <c r="F1097" s="11" t="str">
        <f>IFERROR(IF(VLOOKUP(A1097,[8]PRIORIZADOS!$A:$F,6,FALSE)="","",VLOOKUP(A1097,[8]PRIORIZADOS!$A:$F,6,FALSE)),"")</f>
        <v>COLEGIO_JAIME_QUIJANO_CABALLERO</v>
      </c>
      <c r="G1097" s="11" t="str">
        <f>IFERROR(IF(VLOOKUP(A1097,[8]PRIORIZADOS!$A:$G,7,FALSE)="","",VLOOKUP(A1097,[8]PRIORIZADOS!$A:$G,7,FALSE)),"")</f>
        <v>COLEGIO JAIME QUIJANO CABALLERO</v>
      </c>
      <c r="H1097" s="11" t="str">
        <f>IFERROR(IF(VLOOKUP(A1097,[8]PRIORIZADOS!$A:$H,8,FALSE)="","",VLOOKUP(A1097,[8]PRIORIZADOS!$A:$H,8,FALSE)),"")</f>
        <v>Autoevaluación Institucional y Pruebas SABER 11</v>
      </c>
      <c r="I1097" s="11" t="str">
        <f>IFERROR(IF(VLOOKUP(A1097,[8]PRIORIZADOS!$A:$I,9,FALSE)="","",VLOOKUP(A1097,[8]PRIORIZADOS!$A:$I,9,FALSE)),"")</f>
        <v>EVALUACIÓN_CON_FINES_DE_MEJORAMIENTO.</v>
      </c>
      <c r="J1097" s="11" t="str">
        <f>IFERROR(IF(VLOOKUP(A1097,[8]PRIORIZADOS!$A:$J,10,FALSE)="","",VLOOKUP(A1097,[8]PRIORIZADOS!$A:$J,10,FALSE)),"")</f>
        <v>Verificar las condiciones en cuanto a: la estructura administrativa, condiciones de la planta física y medios educativos adecuados.</v>
      </c>
      <c r="K1097" s="11" t="str">
        <f>IFERROR(IF(VLOOKUP(A1097,[8]PRIORIZADOS!$A:$K,11,FALSE)="","",VLOOKUP(A1097,[8]PRIORIZADOS!$A:$K,11,FALSE)),"")</f>
        <v>INGRID VIVIANA DÁVILA ÁVILA</v>
      </c>
      <c r="L1097" s="11" t="str">
        <f>IFERROR(IF(VLOOKUP(A1097,[8]PRIORIZADOS!$A:$L,12,FALSE)="","",VLOOKUP(A1097,[8]PRIORIZADOS!$A:$L,12,FALSE)),"")</f>
        <v>LUIS FERNANDO CÁRDENAS URAN</v>
      </c>
      <c r="M1097" s="71">
        <f>IFERROR(IF(VLOOKUP(A1097,[8]PRIORIZADOS!$A:$M,13,FALSE)="","",VLOOKUP(A1097,[8]PRIORIZADOS!$A:$M,13,FALSE)),"")</f>
        <v>45757</v>
      </c>
      <c r="N1097" s="71">
        <f>IFERROR(IF(VLOOKUP(A1097,[8]PRIORIZADOS!$A:$N,14,FALSE)="","",VLOOKUP(A1097,[8]PRIORIZADOS!$A:$N,14,FALSE)),"")</f>
        <v>45756</v>
      </c>
      <c r="O1097" s="71">
        <f>IFERROR(IF(VLOOKUP(A1097,[8]PRIORIZADOS!$A:$O,15,FALSE)="","",VLOOKUP(A1097,[8]PRIORIZADOS!$A:$O,15,FALSE)),"")</f>
        <v>45756</v>
      </c>
      <c r="P1097" s="11" t="str">
        <f>IFERROR(IF(VLOOKUP(A1097,[8]PRIORIZADOS!$A:$P,16,FALSE)="","",VLOOKUP(A1097,[8]PRIORIZADOS!$A:$P,16,FALSE)),"")</f>
        <v>Visitas de evaluación con fines de mejoramiento</v>
      </c>
      <c r="Q1097" s="107" t="s">
        <v>206</v>
      </c>
      <c r="R1097" s="11" t="str">
        <f>IFERROR(IF(VLOOKUP(A1097,[8]PRIORIZADOS!$A:$R,18,FALSE)="","",VLOOKUP(A1097,[8]PRIORIZADOS!$A:$R,18,FALSE)),"")</f>
        <v>Al contrastar el  organigrama con los perfiles de cargo se evidencio que no todos los cargos presentan manual de funciones o perfiles de cargo</v>
      </c>
      <c r="S1097" s="11" t="str">
        <f>IFERROR(IF(VLOOKUP(A1097,[8]PRIORIZADOS!$A:$S,19,FALSE)="","",VLOOKUP(A1097,[8]PRIORIZADOS!$A:$S,19,FALSE)),"")</f>
        <v>Ajustar el organigrama de la instrucción educativa de acuerdo a los perfiles que se encuentran en la institución y verificar que todos los perfiles incluidos en el organigrama estén documentados.</v>
      </c>
      <c r="T1097" s="70" t="str">
        <f>IFERROR(IF(VLOOKUP(A1097,[8]PRIORIZADOS!$A:$T,20,FALSE)="","",VLOOKUP(A1097,[8]PRIORIZADOS!$A:$T,20,FALSE)),"")</f>
        <v>Si</v>
      </c>
      <c r="U1097" s="11" t="str">
        <f>IFERROR(IF(VLOOKUP(A1097,[8]PRIORIZADOS!$A:$U,21,FALSE)="","",VLOOKUP(A1097,[8]PRIORIZADOS!$A:$U,21,FALSE)),"")</f>
        <v xml:space="preserve">Revisar el organigrama institucional y verificar que los perfiles descritos estén documentados. Se realiza mesa de seguimiento el día 23 de septiembre 2025. El día 24 de octubre se validará el cumplimiento de los compromisos pendientes. </v>
      </c>
    </row>
    <row r="1098" spans="1:21" s="1" customFormat="1" ht="60">
      <c r="A1098" s="69">
        <f>IF([8]PRIORIZADOS!A77="","",[8]PRIORIZADOS!A77)</f>
        <v>1047</v>
      </c>
      <c r="B1098" s="70">
        <v>13</v>
      </c>
      <c r="C1098" s="11" t="str">
        <f>IFERROR(IF(VLOOKUP(A1098,[8]PRIORIZADOS!$A:$C,3,FALSE)="","",VLOOKUP(A1098,[8]PRIORIZADOS!$A:$C,3,FALSE)),"")</f>
        <v>KENNEDY</v>
      </c>
      <c r="D1098" s="11" t="str">
        <f>IFERROR(IF(VLOOKUP(A1098,[8]PRIORIZADOS!$A:$D,4,FALSE)="","",VLOOKUP(A1098,[8]PRIORIZADOS!$A:$D,4,FALSE)),"")</f>
        <v>PRIVADO</v>
      </c>
      <c r="E1098" s="11" t="str">
        <f>IFERROR(IF(VLOOKUP(A1098,[8]PRIORIZADOS!$A:$E,5,FALSE)="","",VLOOKUP(A1098,[8]PRIORIZADOS!$A:$E,5,FALSE)),"")</f>
        <v>EPBM</v>
      </c>
      <c r="F1098" s="11" t="str">
        <f>IFERROR(IF(VLOOKUP(A1098,[8]PRIORIZADOS!$A:$F,6,FALSE)="","",VLOOKUP(A1098,[8]PRIORIZADOS!$A:$F,6,FALSE)),"")</f>
        <v>COLEGIO_JAZMIN_OCCIDENTAL</v>
      </c>
      <c r="G1098" s="11" t="str">
        <f>IFERROR(IF(VLOOKUP(A1098,[8]PRIORIZADOS!$A:$G,7,FALSE)="","",VLOOKUP(A1098,[8]PRIORIZADOS!$A:$G,7,FALSE)),"")</f>
        <v>COLEGIO JAZMIN OCCIDENTAL</v>
      </c>
      <c r="H1098" s="11" t="str">
        <f>IFERROR(IF(VLOOKUP(A1098,[8]PRIORIZADOS!$A:$H,8,FALSE)="","",VLOOKUP(A1098,[8]PRIORIZADOS!$A:$H,8,FALSE)),"")</f>
        <v>Autoevaluación Institucional y Pruebas SABER 11</v>
      </c>
      <c r="I1098" s="11" t="str">
        <f>IFERROR(IF(VLOOKUP(A1098,[8]PRIORIZADOS!$A:$I,9,FALSE)="","",VLOOKUP(A1098,[8]PRIORIZADOS!$A:$I,9,FALSE)),"")</f>
        <v>SEGUIMIENTO_Y_SUPERVISIÓN.</v>
      </c>
      <c r="J1098" s="11" t="str">
        <f>IFERROR(IF(VLOOKUP(A1098,[8]PRIORIZADOS!$A:$J,10,FALSE)="","",VLOOKUP(A1098,[8]PRIORIZADOS!$A:$J,10,FALSE)),"")</f>
        <v>Proponer estrategias en la formulación, verificar su elaboración y realizar seguimiento semestral al desarrollo de  las acciones establecidas en los planes de mejoramiento por pruebas SABER 11 de los establecimientos de educación formal.</v>
      </c>
      <c r="K1098" s="11" t="str">
        <f>IFERROR(IF(VLOOKUP(A1098,[8]PRIORIZADOS!$A:$K,11,FALSE)="","",VLOOKUP(A1098,[8]PRIORIZADOS!$A:$K,11,FALSE)),"")</f>
        <v>LUCY GONZÁLEZ LERMA</v>
      </c>
      <c r="L1098" s="11" t="str">
        <f>IFERROR(IF(VLOOKUP(A1098,[8]PRIORIZADOS!$A:$L,12,FALSE)="","",VLOOKUP(A1098,[8]PRIORIZADOS!$A:$L,12,FALSE)),"")</f>
        <v>LUIS FERNANDO CÁRDENAS URAN</v>
      </c>
      <c r="M1098" s="71">
        <f>IFERROR(IF(VLOOKUP(A1098,[8]PRIORIZADOS!$A:$M,13,FALSE)="","",VLOOKUP(A1098,[8]PRIORIZADOS!$A:$M,13,FALSE)),"")</f>
        <v>45776</v>
      </c>
      <c r="N1098" s="71">
        <f>IFERROR(IF(VLOOKUP(A1098,[8]PRIORIZADOS!$A:$N,14,FALSE)="","",VLOOKUP(A1098,[8]PRIORIZADOS!$A:$N,14,FALSE)),"")</f>
        <v>45776</v>
      </c>
      <c r="O1098" s="71">
        <f>IFERROR(IF(VLOOKUP(A1098,[8]PRIORIZADOS!$A:$O,15,FALSE)="","",VLOOKUP(A1098,[8]PRIORIZADOS!$A:$O,15,FALSE)),"")</f>
        <v>45776</v>
      </c>
      <c r="P1098" s="11" t="str">
        <f>IFERROR(IF(VLOOKUP(A1098,[8]PRIORIZADOS!$A:$P,16,FALSE)="","",VLOOKUP(A1098,[8]PRIORIZADOS!$A:$P,16,FALSE)),"")</f>
        <v>Visitas de evaluación con fines de mejoramiento</v>
      </c>
      <c r="Q1098" s="125" t="s">
        <v>207</v>
      </c>
      <c r="R1098" s="11" t="str">
        <f>IFERROR(IF(VLOOKUP(A1098,[8]PRIORIZADOS!$A:$R,18,FALSE)="","",VLOOKUP(A1098,[8]PRIORIZADOS!$A:$R,18,FALSE)),"")</f>
        <v>En libro del consejo directivo en el acta número 175 del 01 /03/25 se evidencia formulación y análisis de los resultados de las pruebas SABER.</v>
      </c>
      <c r="S1098" s="11" t="str">
        <f>IFERROR(IF(VLOOKUP(A1098,[8]PRIORIZADOS!$A:$S,19,FALSE)="","",VLOOKUP(A1098,[8]PRIORIZADOS!$A:$S,19,FALSE)),"")</f>
        <v>La IE se compromete a realizar  cursos de preicfes en contra jornada y realizar  simulacros virtuales y físicos por medio de cuadernillos.</v>
      </c>
      <c r="T1098" s="70" t="str">
        <f>IFERROR(IF(VLOOKUP(A1098,[8]PRIORIZADOS!$A:$T,20,FALSE)="","",VLOOKUP(A1098,[8]PRIORIZADOS!$A:$T,20,FALSE)),"")</f>
        <v>No</v>
      </c>
      <c r="U1098" s="11" t="str">
        <f>IFERROR(IF(VLOOKUP(A1098,[8]PRIORIZADOS!$A:$U,21,FALSE)="","",VLOOKUP(A1098,[8]PRIORIZADOS!$A:$U,21,FALSE)),"")</f>
        <v>El ELIV, verificara los resultados de las Pruebas Saber en la siguiente vigencia</v>
      </c>
    </row>
    <row r="1099" spans="1:21" s="1" customFormat="1" ht="72">
      <c r="A1099" s="69">
        <f>IF([8]PRIORIZADOS!A78="","",[8]PRIORIZADOS!A78)</f>
        <v>1048</v>
      </c>
      <c r="B1099" s="70">
        <v>13</v>
      </c>
      <c r="C1099" s="11" t="str">
        <f>IFERROR(IF(VLOOKUP(A1099,[8]PRIORIZADOS!$A:$C,3,FALSE)="","",VLOOKUP(A1099,[8]PRIORIZADOS!$A:$C,3,FALSE)),"")</f>
        <v>KENNEDY</v>
      </c>
      <c r="D1099" s="11" t="str">
        <f>IFERROR(IF(VLOOKUP(A1099,[8]PRIORIZADOS!$A:$D,4,FALSE)="","",VLOOKUP(A1099,[8]PRIORIZADOS!$A:$D,4,FALSE)),"")</f>
        <v>PRIVADO</v>
      </c>
      <c r="E1099" s="11" t="str">
        <f>IFERROR(IF(VLOOKUP(A1099,[8]PRIORIZADOS!$A:$E,5,FALSE)="","",VLOOKUP(A1099,[8]PRIORIZADOS!$A:$E,5,FALSE)),"")</f>
        <v>EPBM</v>
      </c>
      <c r="F1099" s="11" t="str">
        <f>IFERROR(IF(VLOOKUP(A1099,[8]PRIORIZADOS!$A:$F,6,FALSE)="","",VLOOKUP(A1099,[8]PRIORIZADOS!$A:$F,6,FALSE)),"")</f>
        <v>COLEGIO_JAZMIN_OCCIDENTAL</v>
      </c>
      <c r="G1099" s="11" t="str">
        <f>IFERROR(IF(VLOOKUP(A1099,[8]PRIORIZADOS!$A:$G,7,FALSE)="","",VLOOKUP(A1099,[8]PRIORIZADOS!$A:$G,7,FALSE)),"")</f>
        <v>COLEGIO JAZMIN OCCIDENTAL</v>
      </c>
      <c r="H1099" s="11" t="str">
        <f>IFERROR(IF(VLOOKUP(A1099,[8]PRIORIZADOS!$A:$H,8,FALSE)="","",VLOOKUP(A1099,[8]PRIORIZADOS!$A:$H,8,FALSE)),"")</f>
        <v>Autoevaluación Institucional y Pruebas SABER 11</v>
      </c>
      <c r="I1099" s="11" t="str">
        <f>IFERROR(IF(VLOOKUP(A1099,[8]PRIORIZADOS!$A:$I,9,FALSE)="","",VLOOKUP(A1099,[8]PRIORIZADOS!$A:$I,9,FALSE)),"")</f>
        <v>SEGUIMIENTO_Y_SUPERVISIÓN.</v>
      </c>
      <c r="J1099" s="11" t="str">
        <f>IFERROR(IF(VLOOKUP(A1099,[8]PRIORIZADOS!$A:$J,10,FALSE)="","",VLOOKUP(A1099,[8]PRIORIZADOS!$A:$J,10,FALSE)),"")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099" s="11" t="str">
        <f>IFERROR(IF(VLOOKUP(A1099,[8]PRIORIZADOS!$A:$K,11,FALSE)="","",VLOOKUP(A1099,[8]PRIORIZADOS!$A:$K,11,FALSE)),"")</f>
        <v>LUCY GONZÁLEZ LERMA</v>
      </c>
      <c r="L1099" s="11" t="str">
        <f>IFERROR(IF(VLOOKUP(A1099,[8]PRIORIZADOS!$A:$L,12,FALSE)="","",VLOOKUP(A1099,[8]PRIORIZADOS!$A:$L,12,FALSE)),"")</f>
        <v>LUIS FERNANDO CÁRDENAS URAN</v>
      </c>
      <c r="M1099" s="71">
        <f>IFERROR(IF(VLOOKUP(A1099,[8]PRIORIZADOS!$A:$M,13,FALSE)="","",VLOOKUP(A1099,[8]PRIORIZADOS!$A:$M,13,FALSE)),"")</f>
        <v>45776</v>
      </c>
      <c r="N1099" s="71">
        <f>IFERROR(IF(VLOOKUP(A1099,[8]PRIORIZADOS!$A:$N,14,FALSE)="","",VLOOKUP(A1099,[8]PRIORIZADOS!$A:$N,14,FALSE)),"")</f>
        <v>45776</v>
      </c>
      <c r="O1099" s="71">
        <f>IFERROR(IF(VLOOKUP(A1099,[8]PRIORIZADOS!$A:$O,15,FALSE)="","",VLOOKUP(A1099,[8]PRIORIZADOS!$A:$O,15,FALSE)),"")</f>
        <v>45776</v>
      </c>
      <c r="P1099" s="11" t="str">
        <f>IFERROR(IF(VLOOKUP(A1099,[8]PRIORIZADOS!$A:$P,16,FALSE)="","",VLOOKUP(A1099,[8]PRIORIZADOS!$A:$P,16,FALSE)),"")</f>
        <v>Visitas de evaluación con fines de mejoramiento</v>
      </c>
      <c r="Q1099" s="125" t="s">
        <v>207</v>
      </c>
      <c r="R1099" s="11" t="str">
        <f>IFERROR(IF(VLOOKUP(A1099,[8]PRIORIZADOS!$A:$R,18,FALSE)="","",VLOOKUP(A1099,[8]PRIORIZADOS!$A:$R,18,FALSE)),"")</f>
        <v>Se realizó la  elaboración Planes Individuales de Ajustes Razonables  de 20 PIAR  en coherencia con el decreto 1421 de 2017 debidamente Caracterizados Organizados , documentados  soportados.</v>
      </c>
      <c r="S1099" s="11" t="str">
        <f>IFERROR(IF(VLOOKUP(A1099,[8]PRIORIZADOS!$A:$S,19,FALSE)="","",VLOOKUP(A1099,[8]PRIORIZADOS!$A:$S,19,FALSE)),"")</f>
        <v>La IE dará cumplimiento y seguimiento a los PIAR realizados.</v>
      </c>
      <c r="T1099" s="70" t="str">
        <f>IFERROR(IF(VLOOKUP(A1099,[8]PRIORIZADOS!$A:$T,20,FALSE)="","",VLOOKUP(A1099,[8]PRIORIZADOS!$A:$T,20,FALSE)),"")</f>
        <v>No</v>
      </c>
      <c r="U1099" s="11" t="str">
        <f>IFERROR(IF(VLOOKUP(A1099,[8]PRIORIZADOS!$A:$U,21,FALSE)="","",VLOOKUP(A1099,[8]PRIORIZADOS!$A:$U,21,FALSE)),"")</f>
        <v>Verificar que se sigan implementando los PIAR para los estudiantes nuevos que lleguen a la institución educativa</v>
      </c>
    </row>
    <row r="1100" spans="1:21" s="1" customFormat="1" ht="84">
      <c r="A1100" s="69">
        <f>IF([8]PRIORIZADOS!A79="","",[8]PRIORIZADOS!A79)</f>
        <v>1049</v>
      </c>
      <c r="B1100" s="70">
        <v>13</v>
      </c>
      <c r="C1100" s="11" t="str">
        <f>IFERROR(IF(VLOOKUP(A1100,[8]PRIORIZADOS!$A:$C,3,FALSE)="","",VLOOKUP(A1100,[8]PRIORIZADOS!$A:$C,3,FALSE)),"")</f>
        <v>KENNEDY</v>
      </c>
      <c r="D1100" s="11" t="str">
        <f>IFERROR(IF(VLOOKUP(A1100,[8]PRIORIZADOS!$A:$D,4,FALSE)="","",VLOOKUP(A1100,[8]PRIORIZADOS!$A:$D,4,FALSE)),"")</f>
        <v>PRIVADO</v>
      </c>
      <c r="E1100" s="11" t="str">
        <f>IFERROR(IF(VLOOKUP(A1100,[8]PRIORIZADOS!$A:$E,5,FALSE)="","",VLOOKUP(A1100,[8]PRIORIZADOS!$A:$E,5,FALSE)),"")</f>
        <v>EPBM</v>
      </c>
      <c r="F1100" s="11" t="str">
        <f>IFERROR(IF(VLOOKUP(A1100,[8]PRIORIZADOS!$A:$F,6,FALSE)="","",VLOOKUP(A1100,[8]PRIORIZADOS!$A:$F,6,FALSE)),"")</f>
        <v>COLEGIO_JAZMIN_OCCIDENTAL</v>
      </c>
      <c r="G1100" s="11" t="str">
        <f>IFERROR(IF(VLOOKUP(A1100,[8]PRIORIZADOS!$A:$G,7,FALSE)="","",VLOOKUP(A1100,[8]PRIORIZADOS!$A:$G,7,FALSE)),"")</f>
        <v>COLEGIO JAZMIN OCCIDENTAL</v>
      </c>
      <c r="H1100" s="11" t="str">
        <f>IFERROR(IF(VLOOKUP(A1100,[8]PRIORIZADOS!$A:$H,8,FALSE)="","",VLOOKUP(A1100,[8]PRIORIZADOS!$A:$H,8,FALSE)),"")</f>
        <v>Autoevaluación Institucional y Pruebas SABER 11</v>
      </c>
      <c r="I1100" s="11" t="str">
        <f>IFERROR(IF(VLOOKUP(A1100,[8]PRIORIZADOS!$A:$I,9,FALSE)="","",VLOOKUP(A1100,[8]PRIORIZADOS!$A:$I,9,FALSE)),"")</f>
        <v>EVALUACIÓN_CON_FINES_DE_MEJORAMIENTO.</v>
      </c>
      <c r="J1100" s="11" t="str">
        <f>IFERROR(IF(VLOOKUP(A1100,[8]PRIORIZADOS!$A:$J,10,FALSE)="","",VLOOKUP(A1100,[8]PRIORIZADOS!$A:$J,10,FALSE)),"")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00" s="11" t="str">
        <f>IFERROR(IF(VLOOKUP(A1100,[8]PRIORIZADOS!$A:$K,11,FALSE)="","",VLOOKUP(A1100,[8]PRIORIZADOS!$A:$K,11,FALSE)),"")</f>
        <v>LUCY GONZÁLEZ LERMA</v>
      </c>
      <c r="L1100" s="11" t="str">
        <f>IFERROR(IF(VLOOKUP(A1100,[8]PRIORIZADOS!$A:$L,12,FALSE)="","",VLOOKUP(A1100,[8]PRIORIZADOS!$A:$L,12,FALSE)),"")</f>
        <v>LUIS FERNANDO CÁRDENAS URAN</v>
      </c>
      <c r="M1100" s="71">
        <f>IFERROR(IF(VLOOKUP(A1100,[8]PRIORIZADOS!$A:$M,13,FALSE)="","",VLOOKUP(A1100,[8]PRIORIZADOS!$A:$M,13,FALSE)),"")</f>
        <v>45776</v>
      </c>
      <c r="N1100" s="71">
        <f>IFERROR(IF(VLOOKUP(A1100,[8]PRIORIZADOS!$A:$N,14,FALSE)="","",VLOOKUP(A1100,[8]PRIORIZADOS!$A:$N,14,FALSE)),"")</f>
        <v>45776</v>
      </c>
      <c r="O1100" s="71">
        <f>IFERROR(IF(VLOOKUP(A1100,[8]PRIORIZADOS!$A:$O,15,FALSE)="","",VLOOKUP(A1100,[8]PRIORIZADOS!$A:$O,15,FALSE)),"")</f>
        <v>45776</v>
      </c>
      <c r="P1100" s="11" t="str">
        <f>IFERROR(IF(VLOOKUP(A1100,[8]PRIORIZADOS!$A:$P,16,FALSE)="","",VLOOKUP(A1100,[8]PRIORIZADOS!$A:$P,16,FALSE)),"")</f>
        <v>Visitas de evaluación con fines de mejoramiento</v>
      </c>
      <c r="Q1100" s="107" t="s">
        <v>207</v>
      </c>
      <c r="R1100" s="11" t="str">
        <f>IFERROR(IF(VLOOKUP(A1100,[8]PRIORIZADOS!$A:$R,18,FALSE)="","",VLOOKUP(A1100,[8]PRIORIZADOS!$A:$R,18,FALSE)),"")</f>
        <v xml:space="preserve">Aunque se evidencia participación en la elaboración Manual de Convivencia  no hay evidencia que exprese  la materialización  frente a la garantía de que el estudiante está siendo  escuchado bajo presunción. </v>
      </c>
      <c r="S1100" s="11" t="str">
        <f>IFERROR(IF(VLOOKUP(A1100,[8]PRIORIZADOS!$A:$S,19,FALSE)="","",VLOOKUP(A1100,[8]PRIORIZADOS!$A:$S,19,FALSE)),"")</f>
        <v>Documentar  el proceso de construcción participativa del  Manual de Convivencia.</v>
      </c>
      <c r="T1100" s="70" t="str">
        <f>IFERROR(IF(VLOOKUP(A1100,[8]PRIORIZADOS!$A:$T,20,FALSE)="","",VLOOKUP(A1100,[8]PRIORIZADOS!$A:$T,20,FALSE)),"")</f>
        <v>Si</v>
      </c>
      <c r="U1100" s="11" t="str">
        <f>IFERROR(IF(VLOOKUP(A1100,[8]PRIORIZADOS!$A:$U,21,FALSE)="","",VLOOKUP(A1100,[8]PRIORIZADOS!$A:$U,21,FALSE)),"")</f>
        <v>El  ELIV  verificará  que se realice  el ajuste  al  manual de convivencia  en el aspecto de escuchar a los estudiantes debido a que esto  promueve un ambiente escolar más democrático, respetuoso y participativo también  fomenta la confianza, mejora la convivencia al interior de la institución  y permite identificar conflictos o necesidades antes de que se escalen. Se realiza mesa de seguimiento el día 22 de septiembre 2025.</v>
      </c>
    </row>
    <row r="1101" spans="1:21" s="1" customFormat="1" ht="48">
      <c r="A1101" s="69">
        <f>IF([8]PRIORIZADOS!A80="","",[8]PRIORIZADOS!A80)</f>
        <v>1050</v>
      </c>
      <c r="B1101" s="70">
        <v>13</v>
      </c>
      <c r="C1101" s="11" t="str">
        <f>IFERROR(IF(VLOOKUP(A1101,[8]PRIORIZADOS!$A:$C,3,FALSE)="","",VLOOKUP(A1101,[8]PRIORIZADOS!$A:$C,3,FALSE)),"")</f>
        <v>KENNEDY</v>
      </c>
      <c r="D1101" s="11" t="str">
        <f>IFERROR(IF(VLOOKUP(A1101,[8]PRIORIZADOS!$A:$D,4,FALSE)="","",VLOOKUP(A1101,[8]PRIORIZADOS!$A:$D,4,FALSE)),"")</f>
        <v>PRIVADO</v>
      </c>
      <c r="E1101" s="11" t="str">
        <f>IFERROR(IF(VLOOKUP(A1101,[8]PRIORIZADOS!$A:$E,5,FALSE)="","",VLOOKUP(A1101,[8]PRIORIZADOS!$A:$E,5,FALSE)),"")</f>
        <v>EPBM</v>
      </c>
      <c r="F1101" s="11" t="str">
        <f>IFERROR(IF(VLOOKUP(A1101,[8]PRIORIZADOS!$A:$F,6,FALSE)="","",VLOOKUP(A1101,[8]PRIORIZADOS!$A:$F,6,FALSE)),"")</f>
        <v>COLEGIO_JAZMIN_OCCIDENTAL</v>
      </c>
      <c r="G1101" s="11" t="str">
        <f>IFERROR(IF(VLOOKUP(A1101,[8]PRIORIZADOS!$A:$G,7,FALSE)="","",VLOOKUP(A1101,[8]PRIORIZADOS!$A:$G,7,FALSE)),"")</f>
        <v>COLEGIO JAZMIN OCCIDENTAL</v>
      </c>
      <c r="H1101" s="11" t="str">
        <f>IFERROR(IF(VLOOKUP(A1101,[8]PRIORIZADOS!$A:$H,8,FALSE)="","",VLOOKUP(A1101,[8]PRIORIZADOS!$A:$H,8,FALSE)),"")</f>
        <v>Autoevaluación Institucional y Pruebas SABER 11</v>
      </c>
      <c r="I1101" s="11" t="str">
        <f>IFERROR(IF(VLOOKUP(A1101,[8]PRIORIZADOS!$A:$I,9,FALSE)="","",VLOOKUP(A1101,[8]PRIORIZADOS!$A:$I,9,FALSE)),"")</f>
        <v>EVALUACIÓN_CON_FINES_DE_MEJORAMIENTO.</v>
      </c>
      <c r="J1101" s="11" t="str">
        <f>IFERROR(IF(VLOOKUP(A1101,[8]PRIORIZADOS!$A:$J,10,FALSE)="","",VLOOKUP(A1101,[8]PRIORIZADOS!$A:$J,10,FALSE)),"")</f>
        <v>Verificar el funcionamiento del Gobierno Escolar e instancias de participación con base en la información sobre conformación reportada por la institución educativa.</v>
      </c>
      <c r="K1101" s="11" t="str">
        <f>IFERROR(IF(VLOOKUP(A1101,[8]PRIORIZADOS!$A:$K,11,FALSE)="","",VLOOKUP(A1101,[8]PRIORIZADOS!$A:$K,11,FALSE)),"")</f>
        <v>LUCY GONZÁLEZ LERMA</v>
      </c>
      <c r="L1101" s="11" t="str">
        <f>IFERROR(IF(VLOOKUP(A1101,[8]PRIORIZADOS!$A:$L,12,FALSE)="","",VLOOKUP(A1101,[8]PRIORIZADOS!$A:$L,12,FALSE)),"")</f>
        <v>LUIS FERNANDO CÁRDENAS URAN</v>
      </c>
      <c r="M1101" s="71">
        <f>IFERROR(IF(VLOOKUP(A1101,[8]PRIORIZADOS!$A:$M,13,FALSE)="","",VLOOKUP(A1101,[8]PRIORIZADOS!$A:$M,13,FALSE)),"")</f>
        <v>45776</v>
      </c>
      <c r="N1101" s="71">
        <f>IFERROR(IF(VLOOKUP(A1101,[8]PRIORIZADOS!$A:$N,14,FALSE)="","",VLOOKUP(A1101,[8]PRIORIZADOS!$A:$N,14,FALSE)),"")</f>
        <v>45776</v>
      </c>
      <c r="O1101" s="71">
        <f>IFERROR(IF(VLOOKUP(A1101,[8]PRIORIZADOS!$A:$O,15,FALSE)="","",VLOOKUP(A1101,[8]PRIORIZADOS!$A:$O,15,FALSE)),"")</f>
        <v>45776</v>
      </c>
      <c r="P1101" s="11" t="str">
        <f>IFERROR(IF(VLOOKUP(A1101,[8]PRIORIZADOS!$A:$P,16,FALSE)="","",VLOOKUP(A1101,[8]PRIORIZADOS!$A:$P,16,FALSE)),"")</f>
        <v>Visitas de evaluación con fines de mejoramiento</v>
      </c>
      <c r="Q1101" s="126" t="s">
        <v>207</v>
      </c>
      <c r="R1101" s="11" t="str">
        <f>IFERROR(IF(VLOOKUP(A1101,[8]PRIORIZADOS!$A:$R,18,FALSE)="","",VLOOKUP(A1101,[8]PRIORIZADOS!$A:$R,18,FALSE)),"")</f>
        <v>Se evidenciaron actas ,Libro de Actas, Actas del Sistema de Apoyo Escolar.</v>
      </c>
      <c r="S1101" s="11" t="str">
        <f>IFERROR(IF(VLOOKUP(A1101,[8]PRIORIZADOS!$A:$S,19,FALSE)="","",VLOOKUP(A1101,[8]PRIORIZADOS!$A:$S,19,FALSE)),"")</f>
        <v>El gobierno escolar y las instancias de participación deben seguir funcionando de acuerdo a la normatividad vigente</v>
      </c>
      <c r="T1101" s="70" t="str">
        <f>IFERROR(IF(VLOOKUP(A1101,[8]PRIORIZADOS!$A:$T,20,FALSE)="","",VLOOKUP(A1101,[8]PRIORIZADOS!$A:$T,20,FALSE)),"")</f>
        <v>No</v>
      </c>
      <c r="U1101" s="11" t="str">
        <f>IFERROR(IF(VLOOKUP(A1101,[8]PRIORIZADOS!$A:$U,21,FALSE)="","",VLOOKUP(A1101,[8]PRIORIZADOS!$A:$U,21,FALSE)),"")</f>
        <v>El ELIV verificará que  de forma sistemática y continua  la institución educativa garantice condiciones efectivas para la participación activa, informada y representativa de los estudiantes en los distintos espacios del Gobierno Escolar, conforme a lo establecido en la normatividad educativa vigente.</v>
      </c>
    </row>
    <row r="1102" spans="1:21" s="1" customFormat="1" ht="60">
      <c r="A1102" s="69">
        <f>IF([8]PRIORIZADOS!A81="","",[8]PRIORIZADOS!A81)</f>
        <v>1051</v>
      </c>
      <c r="B1102" s="70">
        <v>14</v>
      </c>
      <c r="C1102" s="11" t="str">
        <f>IFERROR(IF(VLOOKUP(A1102,[8]PRIORIZADOS!$A:$C,3,FALSE)="","",VLOOKUP(A1102,[8]PRIORIZADOS!$A:$C,3,FALSE)),"")</f>
        <v>KENNEDY</v>
      </c>
      <c r="D1102" s="11" t="str">
        <f>IFERROR(IF(VLOOKUP(A1102,[8]PRIORIZADOS!$A:$D,4,FALSE)="","",VLOOKUP(A1102,[8]PRIORIZADOS!$A:$D,4,FALSE)),"")</f>
        <v>PRIVADO</v>
      </c>
      <c r="E1102" s="11" t="str">
        <f>IFERROR(IF(VLOOKUP(A1102,[8]PRIORIZADOS!$A:$E,5,FALSE)="","",VLOOKUP(A1102,[8]PRIORIZADOS!$A:$E,5,FALSE)),"")</f>
        <v>EPBM</v>
      </c>
      <c r="F1102" s="11" t="str">
        <f>IFERROR(IF(VLOOKUP(A1102,[8]PRIORIZADOS!$A:$F,6,FALSE)="","",VLOOKUP(A1102,[8]PRIORIZADOS!$A:$F,6,FALSE)),"")</f>
        <v>COLEGIO_LAZARILLO_DE_TORMES</v>
      </c>
      <c r="G1102" s="11" t="str">
        <f>IFERROR(IF(VLOOKUP(A1102,[8]PRIORIZADOS!$A:$G,7,FALSE)="","",VLOOKUP(A1102,[8]PRIORIZADOS!$A:$G,7,FALSE)),"")</f>
        <v>COLEGIO LAZARILLO DE TORMES</v>
      </c>
      <c r="H1102" s="11" t="str">
        <f>IFERROR(IF(VLOOKUP(A1102,[8]PRIORIZADOS!$A:$H,8,FALSE)="","",VLOOKUP(A1102,[8]PRIORIZADOS!$A:$H,8,FALSE)),"")</f>
        <v>Autoevaluación Institucional y Pruebas SABER 11</v>
      </c>
      <c r="I1102" s="11" t="str">
        <f>IFERROR(IF(VLOOKUP(A1102,[8]PRIORIZADOS!$A:$I,9,FALSE)="","",VLOOKUP(A1102,[8]PRIORIZADOS!$A:$I,9,FALSE)),"")</f>
        <v>SEGUIMIENTO_Y_SUPERVISIÓN.</v>
      </c>
      <c r="J1102" s="11" t="str">
        <f>IFERROR(IF(VLOOKUP(A1102,[8]PRIORIZADOS!$A:$J,10,FALSE)="","",VLOOKUP(A1102,[8]PRIORIZADOS!$A:$J,10,FALSE)),"")</f>
        <v>Proponer estrategias en la formulación, verificar su elaboración y realizar seguimiento semestral al desarrollo de  las acciones establecidas en los planes de mejoramiento por pruebas SABER 11 de los establecimientos de educación formal.</v>
      </c>
      <c r="K1102" s="11" t="str">
        <f>IFERROR(IF(VLOOKUP(A1102,[8]PRIORIZADOS!$A:$K,11,FALSE)="","",VLOOKUP(A1102,[8]PRIORIZADOS!$A:$K,11,FALSE)),"")</f>
        <v>GERMÁN EDUARDO TORO ROSERO</v>
      </c>
      <c r="L1102" s="11" t="str">
        <f>IFERROR(IF(VLOOKUP(A1102,[8]PRIORIZADOS!$A:$L,12,FALSE)="","",VLOOKUP(A1102,[8]PRIORIZADOS!$A:$L,12,FALSE)),"")</f>
        <v>VIVANA PILAR BOHÓRQUEZ DÍAZ</v>
      </c>
      <c r="M1102" s="71">
        <f>IFERROR(IF(VLOOKUP(A1102,[8]PRIORIZADOS!$A:$M,13,FALSE)="","",VLOOKUP(A1102,[8]PRIORIZADOS!$A:$M,13,FALSE)),"")</f>
        <v>45777</v>
      </c>
      <c r="N1102" s="71">
        <f>IFERROR(IF(VLOOKUP(A1102,[8]PRIORIZADOS!$A:$N,14,FALSE)="","",VLOOKUP(A1102,[8]PRIORIZADOS!$A:$N,14,FALSE)),"")</f>
        <v>45797</v>
      </c>
      <c r="O1102" s="71">
        <f>IFERROR(IF(VLOOKUP(A1102,[8]PRIORIZADOS!$A:$O,15,FALSE)="","",VLOOKUP(A1102,[8]PRIORIZADOS!$A:$O,15,FALSE)),"")</f>
        <v>45797</v>
      </c>
      <c r="P1102" s="11" t="str">
        <f>IFERROR(IF(VLOOKUP(A1102,[8]PRIORIZADOS!$A:$P,16,FALSE)="","",VLOOKUP(A1102,[8]PRIORIZADOS!$A:$P,16,FALSE)),"")</f>
        <v>Visitas de evaluación con fines de mejoramiento</v>
      </c>
      <c r="Q1102" s="107" t="s">
        <v>208</v>
      </c>
      <c r="R1102" s="11" t="str">
        <f>IFERROR(IF(VLOOKUP(A1102,[8]PRIORIZADOS!$A:$R,18,FALSE)="","",VLOOKUP(A1102,[8]PRIORIZADOS!$A:$R,18,FALSE)),"")</f>
        <v>La IE no presenta evidencias de la ejecución del plan de mejoramiento de las pruebas saber 11, tampoco contempla la población con discapacidad</v>
      </c>
      <c r="S1102" s="11" t="str">
        <f>IFERROR(IF(VLOOKUP(A1102,[8]PRIORIZADOS!$A:$S,19,FALSE)="","",VLOOKUP(A1102,[8]PRIORIZADOS!$A:$S,19,FALSE)),"")</f>
        <v>Teniendo en cuenta el análisis y la revisión de los resultados de las pruebas saber 11, la IE debe presentar plan de mejoramiento y evidencias de ejecución que contemple   la población con discapacidad</v>
      </c>
      <c r="T1102" s="70" t="str">
        <f>IFERROR(IF(VLOOKUP(A1102,[8]PRIORIZADOS!$A:$T,20,FALSE)="","",VLOOKUP(A1102,[8]PRIORIZADOS!$A:$T,20,FALSE)),"")</f>
        <v>Si</v>
      </c>
      <c r="U1102" s="11" t="str">
        <f>IFERROR(IF(VLOOKUP(A1102,[8]PRIORIZADOS!$A:$U,21,FALSE)="","",VLOOKUP(A1102,[8]PRIORIZADOS!$A:$U,21,FALSE)),"")</f>
        <v>Seguimiento al cumplimiento del plan de mejoramiento. Se realiza mesa de seguimiento el día 22 de septiembre 2025.Se validará el cumplimiento de las actividades pendientes el 5 de diciembre.</v>
      </c>
    </row>
    <row r="1103" spans="1:21" s="1" customFormat="1" ht="84">
      <c r="A1103" s="69">
        <f>IF([8]PRIORIZADOS!A82="","",[8]PRIORIZADOS!A82)</f>
        <v>1052</v>
      </c>
      <c r="B1103" s="70">
        <v>14</v>
      </c>
      <c r="C1103" s="11" t="str">
        <f>IFERROR(IF(VLOOKUP(A1103,[8]PRIORIZADOS!$A:$C,3,FALSE)="","",VLOOKUP(A1103,[8]PRIORIZADOS!$A:$C,3,FALSE)),"")</f>
        <v>KENNEDY</v>
      </c>
      <c r="D1103" s="11" t="str">
        <f>IFERROR(IF(VLOOKUP(A1103,[8]PRIORIZADOS!$A:$D,4,FALSE)="","",VLOOKUP(A1103,[8]PRIORIZADOS!$A:$D,4,FALSE)),"")</f>
        <v>PRIVADO</v>
      </c>
      <c r="E1103" s="11" t="str">
        <f>IFERROR(IF(VLOOKUP(A1103,[8]PRIORIZADOS!$A:$E,5,FALSE)="","",VLOOKUP(A1103,[8]PRIORIZADOS!$A:$E,5,FALSE)),"")</f>
        <v>EPBM</v>
      </c>
      <c r="F1103" s="11" t="str">
        <f>IFERROR(IF(VLOOKUP(A1103,[8]PRIORIZADOS!$A:$F,6,FALSE)="","",VLOOKUP(A1103,[8]PRIORIZADOS!$A:$F,6,FALSE)),"")</f>
        <v>COLEGIO_LAZARILLO_DE_TORMES</v>
      </c>
      <c r="G1103" s="11" t="str">
        <f>IFERROR(IF(VLOOKUP(A1103,[8]PRIORIZADOS!$A:$G,7,FALSE)="","",VLOOKUP(A1103,[8]PRIORIZADOS!$A:$G,7,FALSE)),"")</f>
        <v>COLEGIO LAZARILLO DE TORMES</v>
      </c>
      <c r="H1103" s="11" t="str">
        <f>IFERROR(IF(VLOOKUP(A1103,[8]PRIORIZADOS!$A:$H,8,FALSE)="","",VLOOKUP(A1103,[8]PRIORIZADOS!$A:$H,8,FALSE)),"")</f>
        <v>Autoevaluación Institucional y Pruebas SABER 11</v>
      </c>
      <c r="I1103" s="11" t="str">
        <f>IFERROR(IF(VLOOKUP(A1103,[8]PRIORIZADOS!$A:$I,9,FALSE)="","",VLOOKUP(A1103,[8]PRIORIZADOS!$A:$I,9,FALSE)),"")</f>
        <v>SEGUIMIENTO_Y_SUPERVISIÓN.</v>
      </c>
      <c r="J1103" s="11" t="str">
        <f>IFERROR(IF(VLOOKUP(A1103,[8]PRIORIZADOS!$A:$J,10,FALSE)="","",VLOOKUP(A1103,[8]PRIORIZADOS!$A:$J,10,FALSE)),"")</f>
        <v xml:space="preserve">Verificar la implementación por parte de los colegios, de acciones realizadas para la prevención y atención de las situaciones de convivencia en el entorno escolar, según lo establecido en la Directiva 01 de 2022 del MEN. </v>
      </c>
      <c r="K1103" s="11" t="str">
        <f>IFERROR(IF(VLOOKUP(A1103,[8]PRIORIZADOS!$A:$K,11,FALSE)="","",VLOOKUP(A1103,[8]PRIORIZADOS!$A:$K,11,FALSE)),"")</f>
        <v>GERMÁN EDUARDO TORO ROSERO</v>
      </c>
      <c r="L1103" s="11" t="str">
        <f>IFERROR(IF(VLOOKUP(A1103,[8]PRIORIZADOS!$A:$L,12,FALSE)="","",VLOOKUP(A1103,[8]PRIORIZADOS!$A:$L,12,FALSE)),"")</f>
        <v>VIVANA PILAR BOHÓRQUEZ DÍAZ</v>
      </c>
      <c r="M1103" s="71">
        <f>IFERROR(IF(VLOOKUP(A1103,[8]PRIORIZADOS!$A:$M,13,FALSE)="","",VLOOKUP(A1103,[8]PRIORIZADOS!$A:$M,13,FALSE)),"")</f>
        <v>45777</v>
      </c>
      <c r="N1103" s="71">
        <f>IFERROR(IF(VLOOKUP(A1103,[8]PRIORIZADOS!$A:$N,14,FALSE)="","",VLOOKUP(A1103,[8]PRIORIZADOS!$A:$N,14,FALSE)),"")</f>
        <v>45797</v>
      </c>
      <c r="O1103" s="71">
        <f>IFERROR(IF(VLOOKUP(A1103,[8]PRIORIZADOS!$A:$O,15,FALSE)="","",VLOOKUP(A1103,[8]PRIORIZADOS!$A:$O,15,FALSE)),"")</f>
        <v>45797</v>
      </c>
      <c r="P1103" s="11" t="str">
        <f>IFERROR(IF(VLOOKUP(A1103,[8]PRIORIZADOS!$A:$P,16,FALSE)="","",VLOOKUP(A1103,[8]PRIORIZADOS!$A:$P,16,FALSE)),"")</f>
        <v>Visitas de evaluación con fines de mejoramiento</v>
      </c>
      <c r="Q1103" s="125" t="s">
        <v>208</v>
      </c>
      <c r="R1103" s="11" t="str">
        <f>IFERROR(IF(VLOOKUP(A1103,[8]PRIORIZADOS!$A:$R,18,FALSE)="","",VLOOKUP(A1103,[8]PRIORIZADOS!$A:$R,18,FALSE)),"")</f>
        <v xml:space="preserve">La IE no cuenta con la clave para el acceso al Sistema de Alertas de la SED para reportar casos de convivencia escolar, los protocolos de atención están incompletos si tomamos como referencia los establecidos por la Secretaría de Educación. </v>
      </c>
      <c r="S1103" s="11" t="str">
        <f>IFERROR(IF(VLOOKUP(A1103,[8]PRIORIZADOS!$A:$S,19,FALSE)="","",VLOOKUP(A1103,[8]PRIORIZADOS!$A:$S,19,FALSE)),"")</f>
        <v>Solicitar la clave de acceso en el sistema de Alertas para reportar situaciones tipo II y III.</v>
      </c>
      <c r="T1103" s="70" t="str">
        <f>IFERROR(IF(VLOOKUP(A1103,[8]PRIORIZADOS!$A:$T,20,FALSE)="","",VLOOKUP(A1103,[8]PRIORIZADOS!$A:$T,20,FALSE)),"")</f>
        <v>Si</v>
      </c>
      <c r="U1103" s="11" t="str">
        <f>IFERROR(IF(VLOOKUP(A1103,[8]PRIORIZADOS!$A:$U,21,FALSE)="","",VLOOKUP(A1103,[8]PRIORIZADOS!$A:$U,21,FALSE)),"")</f>
        <v>Seguimiento al cumplimiento del plan de mejoramiento.  Se realiza mesa de seguimiento el día 22 de septiembre 2025.Se validará el cumplimiento de las actividades pendientes el 5 de diciembre.</v>
      </c>
    </row>
    <row r="1104" spans="1:21" s="1" customFormat="1" ht="72">
      <c r="A1104" s="69">
        <f>IF([8]PRIORIZADOS!A83="","",[8]PRIORIZADOS!A83)</f>
        <v>1053</v>
      </c>
      <c r="B1104" s="70">
        <v>14</v>
      </c>
      <c r="C1104" s="11" t="str">
        <f>IFERROR(IF(VLOOKUP(A1104,[8]PRIORIZADOS!$A:$C,3,FALSE)="","",VLOOKUP(A1104,[8]PRIORIZADOS!$A:$C,3,FALSE)),"")</f>
        <v>KENNEDY</v>
      </c>
      <c r="D1104" s="11" t="str">
        <f>IFERROR(IF(VLOOKUP(A1104,[8]PRIORIZADOS!$A:$D,4,FALSE)="","",VLOOKUP(A1104,[8]PRIORIZADOS!$A:$D,4,FALSE)),"")</f>
        <v>PRIVADO</v>
      </c>
      <c r="E1104" s="11" t="str">
        <f>IFERROR(IF(VLOOKUP(A1104,[8]PRIORIZADOS!$A:$E,5,FALSE)="","",VLOOKUP(A1104,[8]PRIORIZADOS!$A:$E,5,FALSE)),"")</f>
        <v>EPBM</v>
      </c>
      <c r="F1104" s="11" t="str">
        <f>IFERROR(IF(VLOOKUP(A1104,[8]PRIORIZADOS!$A:$F,6,FALSE)="","",VLOOKUP(A1104,[8]PRIORIZADOS!$A:$F,6,FALSE)),"")</f>
        <v>COLEGIO_LAZARILLO_DE_TORMES</v>
      </c>
      <c r="G1104" s="11" t="str">
        <f>IFERROR(IF(VLOOKUP(A1104,[8]PRIORIZADOS!$A:$G,7,FALSE)="","",VLOOKUP(A1104,[8]PRIORIZADOS!$A:$G,7,FALSE)),"")</f>
        <v>COLEGIO LAZARILLO DE TORMES</v>
      </c>
      <c r="H1104" s="11" t="str">
        <f>IFERROR(IF(VLOOKUP(A1104,[8]PRIORIZADOS!$A:$H,8,FALSE)="","",VLOOKUP(A1104,[8]PRIORIZADOS!$A:$H,8,FALSE)),"")</f>
        <v>Autoevaluación Institucional y Pruebas SABER 11</v>
      </c>
      <c r="I1104" s="11" t="str">
        <f>IFERROR(IF(VLOOKUP(A1104,[8]PRIORIZADOS!$A:$I,9,FALSE)="","",VLOOKUP(A1104,[8]PRIORIZADOS!$A:$I,9,FALSE)),"")</f>
        <v>SEGUIMIENTO_Y_SUPERVISIÓN.</v>
      </c>
      <c r="J1104" s="11" t="str">
        <f>IFERROR(IF(VLOOKUP(A1104,[8]PRIORIZADOS!$A:$J,10,FALSE)="","",VLOOKUP(A1104,[8]PRIORIZADOS!$A:$J,10,FALSE)),"")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04" s="11" t="str">
        <f>IFERROR(IF(VLOOKUP(A1104,[8]PRIORIZADOS!$A:$K,11,FALSE)="","",VLOOKUP(A1104,[8]PRIORIZADOS!$A:$K,11,FALSE)),"")</f>
        <v>GERMÁN EDUARDO TORO ROSERO</v>
      </c>
      <c r="L1104" s="11" t="str">
        <f>IFERROR(IF(VLOOKUP(A1104,[8]PRIORIZADOS!$A:$L,12,FALSE)="","",VLOOKUP(A1104,[8]PRIORIZADOS!$A:$L,12,FALSE)),"")</f>
        <v>VIVANA PILAR BOHÓRQUEZ DÍAZ</v>
      </c>
      <c r="M1104" s="71">
        <f>IFERROR(IF(VLOOKUP(A1104,[8]PRIORIZADOS!$A:$M,13,FALSE)="","",VLOOKUP(A1104,[8]PRIORIZADOS!$A:$M,13,FALSE)),"")</f>
        <v>45777</v>
      </c>
      <c r="N1104" s="71">
        <f>IFERROR(IF(VLOOKUP(A1104,[8]PRIORIZADOS!$A:$N,14,FALSE)="","",VLOOKUP(A1104,[8]PRIORIZADOS!$A:$N,14,FALSE)),"")</f>
        <v>45797</v>
      </c>
      <c r="O1104" s="71">
        <f>IFERROR(IF(VLOOKUP(A1104,[8]PRIORIZADOS!$A:$O,15,FALSE)="","",VLOOKUP(A1104,[8]PRIORIZADOS!$A:$O,15,FALSE)),"")</f>
        <v>45797</v>
      </c>
      <c r="P1104" s="11" t="str">
        <f>IFERROR(IF(VLOOKUP(A1104,[8]PRIORIZADOS!$A:$P,16,FALSE)="","",VLOOKUP(A1104,[8]PRIORIZADOS!$A:$P,16,FALSE)),"")</f>
        <v>Visitas de evaluación con fines de mejoramiento</v>
      </c>
      <c r="Q1104" s="107" t="s">
        <v>208</v>
      </c>
      <c r="R1104" s="11" t="str">
        <f>IFERROR(IF(VLOOKUP(A1104,[8]PRIORIZADOS!$A:$R,18,FALSE)="","",VLOOKUP(A1104,[8]PRIORIZADOS!$A:$R,18,FALSE)),"")</f>
        <v xml:space="preserve">El colegio realiza la caracterización de los estudiantes de inclusión, así mismo elabora e implementa los Planes Individuales de Ajustes Razonables. </v>
      </c>
      <c r="S1104" s="11" t="str">
        <f>IFERROR(IF(VLOOKUP(A1104,[8]PRIORIZADOS!$A:$S,19,FALSE)="","",VLOOKUP(A1104,[8]PRIORIZADOS!$A:$S,19,FALSE)),"")</f>
        <v xml:space="preserve">Mantener el proceso de acompañamiento pedagógico y hacer seguimiento a los casos identificados. </v>
      </c>
      <c r="T1104" s="70" t="str">
        <f>IFERROR(IF(VLOOKUP(A1104,[8]PRIORIZADOS!$A:$T,20,FALSE)="","",VLOOKUP(A1104,[8]PRIORIZADOS!$A:$T,20,FALSE)),"")</f>
        <v>No</v>
      </c>
      <c r="U1104" s="11" t="str">
        <f>IFERROR(IF(VLOOKUP(A1104,[8]PRIORIZADOS!$A:$U,21,FALSE)="","",VLOOKUP(A1104,[8]PRIORIZADOS!$A:$U,21,FALSE)),"")</f>
        <v xml:space="preserve">No requiere plan de mejoramiento, puesto que esta adelantado su acompañamiento conforme al Decreto 1421. </v>
      </c>
    </row>
    <row r="1105" spans="1:21" s="1" customFormat="1" ht="107.25">
      <c r="A1105" s="69">
        <f>IF([8]PRIORIZADOS!A84="","",[8]PRIORIZADOS!A84)</f>
        <v>1054</v>
      </c>
      <c r="B1105" s="70">
        <v>14</v>
      </c>
      <c r="C1105" s="11" t="str">
        <f>IFERROR(IF(VLOOKUP(A1105,[8]PRIORIZADOS!$A:$C,3,FALSE)="","",VLOOKUP(A1105,[8]PRIORIZADOS!$A:$C,3,FALSE)),"")</f>
        <v>KENNEDY</v>
      </c>
      <c r="D1105" s="11" t="str">
        <f>IFERROR(IF(VLOOKUP(A1105,[8]PRIORIZADOS!$A:$D,4,FALSE)="","",VLOOKUP(A1105,[8]PRIORIZADOS!$A:$D,4,FALSE)),"")</f>
        <v>PRIVADO</v>
      </c>
      <c r="E1105" s="11" t="str">
        <f>IFERROR(IF(VLOOKUP(A1105,[8]PRIORIZADOS!$A:$E,5,FALSE)="","",VLOOKUP(A1105,[8]PRIORIZADOS!$A:$E,5,FALSE)),"")</f>
        <v>EPBM</v>
      </c>
      <c r="F1105" s="11" t="str">
        <f>IFERROR(IF(VLOOKUP(A1105,[8]PRIORIZADOS!$A:$F,6,FALSE)="","",VLOOKUP(A1105,[8]PRIORIZADOS!$A:$F,6,FALSE)),"")</f>
        <v>COLEGIO_LAZARILLO_DE_TORMES</v>
      </c>
      <c r="G1105" s="11" t="str">
        <f>IFERROR(IF(VLOOKUP(A1105,[8]PRIORIZADOS!$A:$G,7,FALSE)="","",VLOOKUP(A1105,[8]PRIORIZADOS!$A:$G,7,FALSE)),"")</f>
        <v>COLEGIO LAZARILLO DE TORMES</v>
      </c>
      <c r="H1105" s="11" t="str">
        <f>IFERROR(IF(VLOOKUP(A1105,[8]PRIORIZADOS!$A:$H,8,FALSE)="","",VLOOKUP(A1105,[8]PRIORIZADOS!$A:$H,8,FALSE)),"")</f>
        <v>Autoevaluación Institucional y Pruebas SABER 11</v>
      </c>
      <c r="I1105" s="11" t="str">
        <f>IFERROR(IF(VLOOKUP(A1105,[8]PRIORIZADOS!$A:$I,9,FALSE)="","",VLOOKUP(A1105,[8]PRIORIZADOS!$A:$I,9,FALSE)),"")</f>
        <v>EVALUACIÓN_CON_FINES_DE_MEJORAMIENTO.</v>
      </c>
      <c r="J1105" s="11" t="str">
        <f>IFERROR(IF(VLOOKUP(A1105,[8]PRIORIZADOS!$A:$J,10,FALSE)="","",VLOOKUP(A1105,[8]PRIORIZADOS!$A:$J,10,FALSE)),"")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05" s="11" t="str">
        <f>IFERROR(IF(VLOOKUP(A1105,[8]PRIORIZADOS!$A:$K,11,FALSE)="","",VLOOKUP(A1105,[8]PRIORIZADOS!$A:$K,11,FALSE)),"")</f>
        <v>GERMÁN EDUARDO TORO ROSERO</v>
      </c>
      <c r="L1105" s="11" t="str">
        <f>IFERROR(IF(VLOOKUP(A1105,[8]PRIORIZADOS!$A:$L,12,FALSE)="","",VLOOKUP(A1105,[8]PRIORIZADOS!$A:$L,12,FALSE)),"")</f>
        <v>VIVANA PILAR BOHÓRQUEZ DÍAZ</v>
      </c>
      <c r="M1105" s="71">
        <f>IFERROR(IF(VLOOKUP(A1105,[8]PRIORIZADOS!$A:$M,13,FALSE)="","",VLOOKUP(A1105,[8]PRIORIZADOS!$A:$M,13,FALSE)),"")</f>
        <v>45777</v>
      </c>
      <c r="N1105" s="71">
        <f>IFERROR(IF(VLOOKUP(A1105,[8]PRIORIZADOS!$A:$N,14,FALSE)="","",VLOOKUP(A1105,[8]PRIORIZADOS!$A:$N,14,FALSE)),"")</f>
        <v>45797</v>
      </c>
      <c r="O1105" s="71">
        <f>IFERROR(IF(VLOOKUP(A1105,[8]PRIORIZADOS!$A:$O,15,FALSE)="","",VLOOKUP(A1105,[8]PRIORIZADOS!$A:$O,15,FALSE)),"")</f>
        <v>45797</v>
      </c>
      <c r="P1105" s="11" t="str">
        <f>IFERROR(IF(VLOOKUP(A1105,[8]PRIORIZADOS!$A:$P,16,FALSE)="","",VLOOKUP(A1105,[8]PRIORIZADOS!$A:$P,16,FALSE)),"")</f>
        <v>Visitas de evaluación con fines de mejoramiento</v>
      </c>
      <c r="Q1105" s="126" t="s">
        <v>208</v>
      </c>
      <c r="R1105" s="11" t="str">
        <f>IFERROR(IF(VLOOKUP(A1105,[8]PRIORIZADOS!$A:$R,18,FALSE)="","",VLOOKUP(A1105,[8]PRIORIZADOS!$A:$R,18,FALSE)),"")</f>
        <v xml:space="preserve">El manual de convivencia de la IE se encuentra desactualizado y en muchos de sus apartes es contrario a la norma. </v>
      </c>
      <c r="S1105" s="11" t="str">
        <f>IFERROR(IF(VLOOKUP(A1105,[8]PRIORIZADOS!$A:$S,19,FALSE)="","",VLOOKUP(A1105,[8]PRIORIZADOS!$A:$S,19,FALSE)),"")</f>
        <v>La IE debe actualizar y ajustar el manual de convivencia, especialmente en lo relacionado a debido proceso, otros cobros periódicos, protocolos de atención a situaciones de convivencia escolar, condiciones del servicio social obligatorio e incluir los enfoques de derechos humanos, diversidad, inclusión y enfoque restaurativo.</v>
      </c>
      <c r="T1105" s="70" t="str">
        <f>IFERROR(IF(VLOOKUP(A1105,[8]PRIORIZADOS!$A:$T,20,FALSE)="","",VLOOKUP(A1105,[8]PRIORIZADOS!$A:$T,20,FALSE)),"")</f>
        <v>Si</v>
      </c>
      <c r="U1105" s="11" t="str">
        <f>IFERROR(IF(VLOOKUP(A1105,[8]PRIORIZADOS!$A:$U,21,FALSE)="","",VLOOKUP(A1105,[8]PRIORIZADOS!$A:$U,21,FALSE)),"")</f>
        <v>Seguimiento al cumplimiento del plan de mejoramiento.  Se realiza mesa de seguimiento el día 22 de septiembre 2025.Se validará el cumplimiento de las actividades pendientes el 5 de diciembre.</v>
      </c>
    </row>
    <row r="1106" spans="1:21" s="1" customFormat="1" ht="36">
      <c r="A1106" s="69">
        <f>IF([8]PRIORIZADOS!A85="","",[8]PRIORIZADOS!A85)</f>
        <v>1055</v>
      </c>
      <c r="B1106" s="70">
        <v>14</v>
      </c>
      <c r="C1106" s="11" t="str">
        <f>IFERROR(IF(VLOOKUP(A1106,[8]PRIORIZADOS!$A:$C,3,FALSE)="","",VLOOKUP(A1106,[8]PRIORIZADOS!$A:$C,3,FALSE)),"")</f>
        <v>KENNEDY</v>
      </c>
      <c r="D1106" s="11" t="str">
        <f>IFERROR(IF(VLOOKUP(A1106,[8]PRIORIZADOS!$A:$D,4,FALSE)="","",VLOOKUP(A1106,[8]PRIORIZADOS!$A:$D,4,FALSE)),"")</f>
        <v>PRIVADO</v>
      </c>
      <c r="E1106" s="11" t="str">
        <f>IFERROR(IF(VLOOKUP(A1106,[8]PRIORIZADOS!$A:$E,5,FALSE)="","",VLOOKUP(A1106,[8]PRIORIZADOS!$A:$E,5,FALSE)),"")</f>
        <v>EPBM</v>
      </c>
      <c r="F1106" s="11" t="str">
        <f>IFERROR(IF(VLOOKUP(A1106,[8]PRIORIZADOS!$A:$F,6,FALSE)="","",VLOOKUP(A1106,[8]PRIORIZADOS!$A:$F,6,FALSE)),"")</f>
        <v>COLEGIO_LAZARILLO_DE_TORMES</v>
      </c>
      <c r="G1106" s="11" t="str">
        <f>IFERROR(IF(VLOOKUP(A1106,[8]PRIORIZADOS!$A:$G,7,FALSE)="","",VLOOKUP(A1106,[8]PRIORIZADOS!$A:$G,7,FALSE)),"")</f>
        <v>COLEGIO LAZARILLO DE TORMES</v>
      </c>
      <c r="H1106" s="11" t="str">
        <f>IFERROR(IF(VLOOKUP(A1106,[8]PRIORIZADOS!$A:$H,8,FALSE)="","",VLOOKUP(A1106,[8]PRIORIZADOS!$A:$H,8,FALSE)),"")</f>
        <v>Autoevaluación Institucional y Pruebas SABER 11</v>
      </c>
      <c r="I1106" s="11" t="str">
        <f>IFERROR(IF(VLOOKUP(A1106,[8]PRIORIZADOS!$A:$I,9,FALSE)="","",VLOOKUP(A1106,[8]PRIORIZADOS!$A:$I,9,FALSE)),"")</f>
        <v>EVALUACIÓN_CON_FINES_DE_MEJORAMIENTO.</v>
      </c>
      <c r="J1106" s="11" t="str">
        <f>IFERROR(IF(VLOOKUP(A1106,[8]PRIORIZADOS!$A:$J,10,FALSE)="","",VLOOKUP(A1106,[8]PRIORIZADOS!$A:$J,10,FALSE)),"")</f>
        <v>Verificar las condiciones en cuanto a: la estructura administrativa, condiciones de la planta física y medios educativos adecuados.</v>
      </c>
      <c r="K1106" s="11" t="str">
        <f>IFERROR(IF(VLOOKUP(A1106,[8]PRIORIZADOS!$A:$K,11,FALSE)="","",VLOOKUP(A1106,[8]PRIORIZADOS!$A:$K,11,FALSE)),"")</f>
        <v>GERMÁN EDUARDO TORO ROSERO</v>
      </c>
      <c r="L1106" s="11" t="str">
        <f>IFERROR(IF(VLOOKUP(A1106,[8]PRIORIZADOS!$A:$L,12,FALSE)="","",VLOOKUP(A1106,[8]PRIORIZADOS!$A:$L,12,FALSE)),"")</f>
        <v>VIVANA PILAR BOHÓRQUEZ DÍAZ</v>
      </c>
      <c r="M1106" s="71">
        <f>IFERROR(IF(VLOOKUP(A1106,[8]PRIORIZADOS!$A:$M,13,FALSE)="","",VLOOKUP(A1106,[8]PRIORIZADOS!$A:$M,13,FALSE)),"")</f>
        <v>45777</v>
      </c>
      <c r="N1106" s="71">
        <f>IFERROR(IF(VLOOKUP(A1106,[8]PRIORIZADOS!$A:$N,14,FALSE)="","",VLOOKUP(A1106,[8]PRIORIZADOS!$A:$N,14,FALSE)),"")</f>
        <v>45797</v>
      </c>
      <c r="O1106" s="71">
        <f>IFERROR(IF(VLOOKUP(A1106,[8]PRIORIZADOS!$A:$O,15,FALSE)="","",VLOOKUP(A1106,[8]PRIORIZADOS!$A:$O,15,FALSE)),"")</f>
        <v>45797</v>
      </c>
      <c r="P1106" s="11" t="str">
        <f>IFERROR(IF(VLOOKUP(A1106,[8]PRIORIZADOS!$A:$P,16,FALSE)="","",VLOOKUP(A1106,[8]PRIORIZADOS!$A:$P,16,FALSE)),"")</f>
        <v>Visitas de evaluación con fines de mejoramiento</v>
      </c>
      <c r="Q1106" s="107" t="s">
        <v>208</v>
      </c>
      <c r="R1106" s="11" t="str">
        <f>IFERROR(IF(VLOOKUP(A1106,[8]PRIORIZADOS!$A:$R,18,FALSE)="","",VLOOKUP(A1106,[8]PRIORIZADOS!$A:$R,18,FALSE)),"")</f>
        <v>Algunos elementos del mobiliario se encuentran deteriorados (pupitres, colchonetas, balones, libros, entre otros)</v>
      </c>
      <c r="S1106" s="11" t="str">
        <f>IFERROR(IF(VLOOKUP(A1106,[8]PRIORIZADOS!$A:$S,19,FALSE)="","",VLOOKUP(A1106,[8]PRIORIZADOS!$A:$S,19,FALSE)),"")</f>
        <v xml:space="preserve">La IE debe proyectar a mediano plazo un plan para reposición de mobiliario. </v>
      </c>
      <c r="T1106" s="70" t="str">
        <f>IFERROR(IF(VLOOKUP(A1106,[8]PRIORIZADOS!$A:$T,20,FALSE)="","",VLOOKUP(A1106,[8]PRIORIZADOS!$A:$T,20,FALSE)),"")</f>
        <v>Si</v>
      </c>
      <c r="U1106" s="11" t="str">
        <f>IFERROR(IF(VLOOKUP(A1106,[8]PRIORIZADOS!$A:$U,21,FALSE)="","",VLOOKUP(A1106,[8]PRIORIZADOS!$A:$U,21,FALSE)),"")</f>
        <v>Seguimiento al cumplimiento del plan de mejoramiento.  Se realiza mesa de seguimiento el día 22 de septiembre 2025.Se validará el cumplimiento de las actividades pendientes el 5 de diciembre.</v>
      </c>
    </row>
    <row r="1107" spans="1:21" s="1" customFormat="1" ht="60">
      <c r="A1107" s="69">
        <f>IF([8]PRIORIZADOS!A86="","",[8]PRIORIZADOS!A86)</f>
        <v>1056</v>
      </c>
      <c r="B1107" s="70">
        <v>15</v>
      </c>
      <c r="C1107" s="11" t="str">
        <f>IFERROR(IF(VLOOKUP(A1107,[8]PRIORIZADOS!$A:$C,3,FALSE)="","",VLOOKUP(A1107,[8]PRIORIZADOS!$A:$C,3,FALSE)),"")</f>
        <v>KENNEDY</v>
      </c>
      <c r="D1107" s="11" t="str">
        <f>IFERROR(IF(VLOOKUP(A1107,[8]PRIORIZADOS!$A:$D,4,FALSE)="","",VLOOKUP(A1107,[8]PRIORIZADOS!$A:$D,4,FALSE)),"")</f>
        <v>PRIVADO</v>
      </c>
      <c r="E1107" s="11" t="str">
        <f>IFERROR(IF(VLOOKUP(A1107,[8]PRIORIZADOS!$A:$E,5,FALSE)="","",VLOOKUP(A1107,[8]PRIORIZADOS!$A:$E,5,FALSE)),"")</f>
        <v>EPBM</v>
      </c>
      <c r="F1107" s="11" t="str">
        <f>IFERROR(IF(VLOOKUP(A1107,[8]PRIORIZADOS!$A:$F,6,FALSE)="","",VLOOKUP(A1107,[8]PRIORIZADOS!$A:$F,6,FALSE)),"")</f>
        <v>COLEGIO_MANDALAY</v>
      </c>
      <c r="G1107" s="11" t="str">
        <f>IFERROR(IF(VLOOKUP(A1107,[8]PRIORIZADOS!$A:$G,7,FALSE)="","",VLOOKUP(A1107,[8]PRIORIZADOS!$A:$G,7,FALSE)),"")</f>
        <v>COLEGIO MANDALAY</v>
      </c>
      <c r="H1107" s="11" t="str">
        <f>IFERROR(IF(VLOOKUP(A1107,[8]PRIORIZADOS!$A:$H,8,FALSE)="","",VLOOKUP(A1107,[8]PRIORIZADOS!$A:$H,8,FALSE)),"")</f>
        <v>Autoevaluación Institucional y Pruebas SABER 11</v>
      </c>
      <c r="I1107" s="11" t="str">
        <f>IFERROR(IF(VLOOKUP(A1107,[8]PRIORIZADOS!$A:$I,9,FALSE)="","",VLOOKUP(A1107,[8]PRIORIZADOS!$A:$I,9,FALSE)),"")</f>
        <v>SEGUIMIENTO_Y_SUPERVISIÓN.</v>
      </c>
      <c r="J1107" s="11" t="str">
        <f>IFERROR(IF(VLOOKUP(A1107,[8]PRIORIZADOS!$A:$J,10,FALSE)="","",VLOOKUP(A1107,[8]PRIORIZADOS!$A:$J,10,FALSE)),"")</f>
        <v>Proponer estrategias en la formulación, verificar su elaboración y realizar seguimiento semestral al desarrollo de  las acciones establecidas en los planes de mejoramiento por pruebas SABER 11 de los establecimientos de educación formal.</v>
      </c>
      <c r="K1107" s="11" t="str">
        <f>IFERROR(IF(VLOOKUP(A1107,[8]PRIORIZADOS!$A:$K,11,FALSE)="","",VLOOKUP(A1107,[8]PRIORIZADOS!$A:$K,11,FALSE)),"")</f>
        <v>INGRID VIVIANA DÁVILA ÁVILA</v>
      </c>
      <c r="L1107" s="11" t="str">
        <f>IFERROR(IF(VLOOKUP(A1107,[8]PRIORIZADOS!$A:$L,12,FALSE)="","",VLOOKUP(A1107,[8]PRIORIZADOS!$A:$L,12,FALSE)),"")</f>
        <v xml:space="preserve">DIANA ZULAY HUERTAS ORTÍZ </v>
      </c>
      <c r="M1107" s="71">
        <f>IFERROR(IF(VLOOKUP(A1107,[8]PRIORIZADOS!$A:$M,13,FALSE)="","",VLOOKUP(A1107,[8]PRIORIZADOS!$A:$M,13,FALSE)),"")</f>
        <v>45783</v>
      </c>
      <c r="N1107" s="71">
        <f>IFERROR(IF(VLOOKUP(A1107,[8]PRIORIZADOS!$A:$N,14,FALSE)="","",VLOOKUP(A1107,[8]PRIORIZADOS!$A:$N,14,FALSE)),"")</f>
        <v>45783</v>
      </c>
      <c r="O1107" s="71">
        <f>IFERROR(IF(VLOOKUP(A1107,[8]PRIORIZADOS!$A:$O,15,FALSE)="","",VLOOKUP(A1107,[8]PRIORIZADOS!$A:$O,15,FALSE)),"")</f>
        <v>45783</v>
      </c>
      <c r="P1107" s="11" t="str">
        <f>IFERROR(IF(VLOOKUP(A1107,[8]PRIORIZADOS!$A:$P,16,FALSE)="","",VLOOKUP(A1107,[8]PRIORIZADOS!$A:$P,16,FALSE)),"")</f>
        <v>Visitas de evaluación con fines de mejoramiento</v>
      </c>
      <c r="Q1107" s="125" t="s">
        <v>209</v>
      </c>
      <c r="R1107" s="11" t="str">
        <f>IFERROR(IF(VLOOKUP(A1107,[8]PRIORIZADOS!$A:$R,18,FALSE)="","",VLOOKUP(A1107,[8]PRIORIZADOS!$A:$R,18,FALSE)),"")</f>
        <v>No se encontró la actualización el currículo, plan de estudios y análisis de resultados de pruebas Saber 11</v>
      </c>
      <c r="S1107" s="11" t="str">
        <f>IFERROR(IF(VLOOKUP(A1107,[8]PRIORIZADOS!$A:$S,19,FALSE)="","",VLOOKUP(A1107,[8]PRIORIZADOS!$A:$S,19,FALSE)),"")</f>
        <v xml:space="preserve">Reunir al consejo académico y realizar análisis y actualización del currículo plan de estudios y análisis de resultados de pruebas </v>
      </c>
      <c r="T1107" s="70" t="str">
        <f>IFERROR(IF(VLOOKUP(A1107,[8]PRIORIZADOS!$A:$T,20,FALSE)="","",VLOOKUP(A1107,[8]PRIORIZADOS!$A:$T,20,FALSE)),"")</f>
        <v>Si</v>
      </c>
      <c r="U1107" s="11" t="str">
        <f>IFERROR(IF(VLOOKUP(A1107,[8]PRIORIZADOS!$A:$U,21,FALSE)="","",VLOOKUP(A1107,[8]PRIORIZADOS!$A:$U,21,FALSE)),"")</f>
        <v>Revisión de las acciones ejecutadas por la institución educativa con respecto al análisis realizado.  Se realiza mesa de seguimiento el día 26 de septiembre 2025.Se validará el cumplimiento de las actividades pendientes el 30 de octubre.</v>
      </c>
    </row>
    <row r="1108" spans="1:21" s="1" customFormat="1" ht="72">
      <c r="A1108" s="69">
        <f>IF([8]PRIORIZADOS!A87="","",[8]PRIORIZADOS!A87)</f>
        <v>1057</v>
      </c>
      <c r="B1108" s="70">
        <v>15</v>
      </c>
      <c r="C1108" s="11" t="str">
        <f>IFERROR(IF(VLOOKUP(A1108,[8]PRIORIZADOS!$A:$C,3,FALSE)="","",VLOOKUP(A1108,[8]PRIORIZADOS!$A:$C,3,FALSE)),"")</f>
        <v>KENNEDY</v>
      </c>
      <c r="D1108" s="11" t="str">
        <f>IFERROR(IF(VLOOKUP(A1108,[8]PRIORIZADOS!$A:$D,4,FALSE)="","",VLOOKUP(A1108,[8]PRIORIZADOS!$A:$D,4,FALSE)),"")</f>
        <v>PRIVADO</v>
      </c>
      <c r="E1108" s="11" t="str">
        <f>IFERROR(IF(VLOOKUP(A1108,[8]PRIORIZADOS!$A:$E,5,FALSE)="","",VLOOKUP(A1108,[8]PRIORIZADOS!$A:$E,5,FALSE)),"")</f>
        <v>EPBM</v>
      </c>
      <c r="F1108" s="11" t="str">
        <f>IFERROR(IF(VLOOKUP(A1108,[8]PRIORIZADOS!$A:$F,6,FALSE)="","",VLOOKUP(A1108,[8]PRIORIZADOS!$A:$F,6,FALSE)),"")</f>
        <v>COLEGIO_MANDALAY</v>
      </c>
      <c r="G1108" s="11" t="str">
        <f>IFERROR(IF(VLOOKUP(A1108,[8]PRIORIZADOS!$A:$G,7,FALSE)="","",VLOOKUP(A1108,[8]PRIORIZADOS!$A:$G,7,FALSE)),"")</f>
        <v>COLEGIO MANDALAY</v>
      </c>
      <c r="H1108" s="11" t="str">
        <f>IFERROR(IF(VLOOKUP(A1108,[8]PRIORIZADOS!$A:$H,8,FALSE)="","",VLOOKUP(A1108,[8]PRIORIZADOS!$A:$H,8,FALSE)),"")</f>
        <v>Autoevaluación Institucional y Pruebas SABER 11</v>
      </c>
      <c r="I1108" s="11" t="str">
        <f>IFERROR(IF(VLOOKUP(A1108,[8]PRIORIZADOS!$A:$I,9,FALSE)="","",VLOOKUP(A1108,[8]PRIORIZADOS!$A:$I,9,FALSE)),"")</f>
        <v>SEGUIMIENTO_Y_SUPERVISIÓN.</v>
      </c>
      <c r="J1108" s="11" t="str">
        <f>IFERROR(IF(VLOOKUP(A1108,[8]PRIORIZADOS!$A:$J,10,FALSE)="","",VLOOKUP(A1108,[8]PRIORIZADOS!$A:$J,10,FALSE)),"")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08" s="11" t="str">
        <f>IFERROR(IF(VLOOKUP(A1108,[8]PRIORIZADOS!$A:$K,11,FALSE)="","",VLOOKUP(A1108,[8]PRIORIZADOS!$A:$K,11,FALSE)),"")</f>
        <v>INGRID VIVIANA DÁVILA ÁVILA</v>
      </c>
      <c r="L1108" s="11" t="str">
        <f>IFERROR(IF(VLOOKUP(A1108,[8]PRIORIZADOS!$A:$L,12,FALSE)="","",VLOOKUP(A1108,[8]PRIORIZADOS!$A:$L,12,FALSE)),"")</f>
        <v xml:space="preserve">DIANA ZULAY HUERTAS ORTÍZ </v>
      </c>
      <c r="M1108" s="71">
        <f>IFERROR(IF(VLOOKUP(A1108,[8]PRIORIZADOS!$A:$M,13,FALSE)="","",VLOOKUP(A1108,[8]PRIORIZADOS!$A:$M,13,FALSE)),"")</f>
        <v>45783</v>
      </c>
      <c r="N1108" s="71">
        <f>IFERROR(IF(VLOOKUP(A1108,[8]PRIORIZADOS!$A:$N,14,FALSE)="","",VLOOKUP(A1108,[8]PRIORIZADOS!$A:$N,14,FALSE)),"")</f>
        <v>45783</v>
      </c>
      <c r="O1108" s="71">
        <f>IFERROR(IF(VLOOKUP(A1108,[8]PRIORIZADOS!$A:$O,15,FALSE)="","",VLOOKUP(A1108,[8]PRIORIZADOS!$A:$O,15,FALSE)),"")</f>
        <v>45783</v>
      </c>
      <c r="P1108" s="11" t="str">
        <f>IFERROR(IF(VLOOKUP(A1108,[8]PRIORIZADOS!$A:$P,16,FALSE)="","",VLOOKUP(A1108,[8]PRIORIZADOS!$A:$P,16,FALSE)),"")</f>
        <v>Visitas de evaluación con fines de mejoramiento</v>
      </c>
      <c r="Q1108" s="125" t="s">
        <v>209</v>
      </c>
      <c r="R1108" s="11" t="str">
        <f>IFERROR(IF(VLOOKUP(A1108,[8]PRIORIZADOS!$A:$R,18,FALSE)="","",VLOOKUP(A1108,[8]PRIORIZADOS!$A:$R,18,FALSE)),"")</f>
        <v xml:space="preserve">La institución educativa tiene 6 estudiantes con discapacidad y cada uno de ellos cuenta con el Plan Individual de Ajustes Razonables -PIAR y el respectivo seguimiento. </v>
      </c>
      <c r="S1108" s="11" t="str">
        <f>IFERROR(IF(VLOOKUP(A1108,[8]PRIORIZADOS!$A:$S,19,FALSE)="","",VLOOKUP(A1108,[8]PRIORIZADOS!$A:$S,19,FALSE)),"")</f>
        <v>Continuar adelantando seguimiento periódico (acorde con el sistema institucional de evaluación)  y actualización anual a los Planes Individuales de Ajustes Razonables -PIAR</v>
      </c>
      <c r="T1108" s="70" t="str">
        <f>IFERROR(IF(VLOOKUP(A1108,[8]PRIORIZADOS!$A:$T,20,FALSE)="","",VLOOKUP(A1108,[8]PRIORIZADOS!$A:$T,20,FALSE)),"")</f>
        <v>No</v>
      </c>
      <c r="U1108" s="11" t="str">
        <f>IFERROR(IF(VLOOKUP(A1108,[8]PRIORIZADOS!$A:$U,21,FALSE)="","",VLOOKUP(A1108,[8]PRIORIZADOS!$A:$U,21,FALSE)),"")</f>
        <v>Verificar que se sigan implementando los PIAR para los estudiantes nuevos que lleguen a la institución educativa</v>
      </c>
    </row>
    <row r="1109" spans="1:21" s="1" customFormat="1" ht="84">
      <c r="A1109" s="69">
        <f>IF([8]PRIORIZADOS!A88="","",[8]PRIORIZADOS!A88)</f>
        <v>1058</v>
      </c>
      <c r="B1109" s="70">
        <v>15</v>
      </c>
      <c r="C1109" s="11" t="str">
        <f>IFERROR(IF(VLOOKUP(A1109,[8]PRIORIZADOS!$A:$C,3,FALSE)="","",VLOOKUP(A1109,[8]PRIORIZADOS!$A:$C,3,FALSE)),"")</f>
        <v>KENNEDY</v>
      </c>
      <c r="D1109" s="11" t="str">
        <f>IFERROR(IF(VLOOKUP(A1109,[8]PRIORIZADOS!$A:$D,4,FALSE)="","",VLOOKUP(A1109,[8]PRIORIZADOS!$A:$D,4,FALSE)),"")</f>
        <v>PRIVADO</v>
      </c>
      <c r="E1109" s="11" t="str">
        <f>IFERROR(IF(VLOOKUP(A1109,[8]PRIORIZADOS!$A:$E,5,FALSE)="","",VLOOKUP(A1109,[8]PRIORIZADOS!$A:$E,5,FALSE)),"")</f>
        <v>EPBM</v>
      </c>
      <c r="F1109" s="11" t="str">
        <f>IFERROR(IF(VLOOKUP(A1109,[8]PRIORIZADOS!$A:$F,6,FALSE)="","",VLOOKUP(A1109,[8]PRIORIZADOS!$A:$F,6,FALSE)),"")</f>
        <v>COLEGIO_MANDALAY</v>
      </c>
      <c r="G1109" s="11" t="str">
        <f>IFERROR(IF(VLOOKUP(A1109,[8]PRIORIZADOS!$A:$G,7,FALSE)="","",VLOOKUP(A1109,[8]PRIORIZADOS!$A:$G,7,FALSE)),"")</f>
        <v>COLEGIO MANDALAY</v>
      </c>
      <c r="H1109" s="11" t="str">
        <f>IFERROR(IF(VLOOKUP(A1109,[8]PRIORIZADOS!$A:$H,8,FALSE)="","",VLOOKUP(A1109,[8]PRIORIZADOS!$A:$H,8,FALSE)),"")</f>
        <v>Autoevaluación Institucional y Pruebas SABER 11</v>
      </c>
      <c r="I1109" s="11" t="str">
        <f>IFERROR(IF(VLOOKUP(A1109,[8]PRIORIZADOS!$A:$I,9,FALSE)="","",VLOOKUP(A1109,[8]PRIORIZADOS!$A:$I,9,FALSE)),"")</f>
        <v>EVALUACIÓN_CON_FINES_DE_MEJORAMIENTO.</v>
      </c>
      <c r="J1109" s="11" t="str">
        <f>IFERROR(IF(VLOOKUP(A1109,[8]PRIORIZADOS!$A:$J,10,FALSE)="","",VLOOKUP(A1109,[8]PRIORIZADOS!$A:$J,10,FALSE)),"")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09" s="11" t="str">
        <f>IFERROR(IF(VLOOKUP(A1109,[8]PRIORIZADOS!$A:$K,11,FALSE)="","",VLOOKUP(A1109,[8]PRIORIZADOS!$A:$K,11,FALSE)),"")</f>
        <v>INGRID VIVIANA DÁVILA ÁVILA</v>
      </c>
      <c r="L1109" s="11" t="str">
        <f>IFERROR(IF(VLOOKUP(A1109,[8]PRIORIZADOS!$A:$L,12,FALSE)="","",VLOOKUP(A1109,[8]PRIORIZADOS!$A:$L,12,FALSE)),"")</f>
        <v xml:space="preserve">DIANA ZULAY HUERTAS ORTÍZ </v>
      </c>
      <c r="M1109" s="71">
        <f>IFERROR(IF(VLOOKUP(A1109,[8]PRIORIZADOS!$A:$M,13,FALSE)="","",VLOOKUP(A1109,[8]PRIORIZADOS!$A:$M,13,FALSE)),"")</f>
        <v>45783</v>
      </c>
      <c r="N1109" s="71">
        <f>IFERROR(IF(VLOOKUP(A1109,[8]PRIORIZADOS!$A:$N,14,FALSE)="","",VLOOKUP(A1109,[8]PRIORIZADOS!$A:$N,14,FALSE)),"")</f>
        <v>45783</v>
      </c>
      <c r="O1109" s="71">
        <f>IFERROR(IF(VLOOKUP(A1109,[8]PRIORIZADOS!$A:$O,15,FALSE)="","",VLOOKUP(A1109,[8]PRIORIZADOS!$A:$O,15,FALSE)),"")</f>
        <v>45783</v>
      </c>
      <c r="P1109" s="11" t="str">
        <f>IFERROR(IF(VLOOKUP(A1109,[8]PRIORIZADOS!$A:$P,16,FALSE)="","",VLOOKUP(A1109,[8]PRIORIZADOS!$A:$P,16,FALSE)),"")</f>
        <v>Visitas de evaluación con fines de mejoramiento</v>
      </c>
      <c r="Q1109" s="107" t="s">
        <v>209</v>
      </c>
      <c r="R1109" s="11" t="str">
        <f>IFERROR(IF(VLOOKUP(A1109,[8]PRIORIZADOS!$A:$R,18,FALSE)="","",VLOOKUP(A1109,[8]PRIORIZADOS!$A:$R,18,FALSE)),"")</f>
        <v>Se encontró en el manual de convivencia algunas faltas de convivencia tipificadas como situaciones tipo I, II y III, teniendo en cuenta que no siempre una falta representa una situación.</v>
      </c>
      <c r="S1109" s="11" t="str">
        <f>IFERROR(IF(VLOOKUP(A1109,[8]PRIORIZADOS!$A:$S,19,FALSE)="","",VLOOKUP(A1109,[8]PRIORIZADOS!$A:$S,19,FALSE)),"")</f>
        <v>Realizar revisión del manual de convivencia en cuanto a la tipificación de faltas y situaciones</v>
      </c>
      <c r="T1109" s="70" t="str">
        <f>IFERROR(IF(VLOOKUP(A1109,[8]PRIORIZADOS!$A:$T,20,FALSE)="","",VLOOKUP(A1109,[8]PRIORIZADOS!$A:$T,20,FALSE)),"")</f>
        <v>Si</v>
      </c>
      <c r="U1109" s="11" t="str">
        <f>IFERROR(IF(VLOOKUP(A1109,[8]PRIORIZADOS!$A:$U,21,FALSE)="","",VLOOKUP(A1109,[8]PRIORIZADOS!$A:$U,21,FALSE)),"")</f>
        <v>Verificar la revisión y actualización del manual de convivencia.  Se realiza mesa de seguimiento el día 26 de septiembre 2025.Se validará el cumplimiento de las actividades pendientes el 30 de octubre.</v>
      </c>
    </row>
    <row r="1110" spans="1:21" s="1" customFormat="1" ht="48">
      <c r="A1110" s="69">
        <f>IF([8]PRIORIZADOS!A89="","",[8]PRIORIZADOS!A89)</f>
        <v>1059</v>
      </c>
      <c r="B1110" s="70">
        <v>15</v>
      </c>
      <c r="C1110" s="11" t="str">
        <f>IFERROR(IF(VLOOKUP(A1110,[8]PRIORIZADOS!$A:$C,3,FALSE)="","",VLOOKUP(A1110,[8]PRIORIZADOS!$A:$C,3,FALSE)),"")</f>
        <v>KENNEDY</v>
      </c>
      <c r="D1110" s="11" t="str">
        <f>IFERROR(IF(VLOOKUP(A1110,[8]PRIORIZADOS!$A:$D,4,FALSE)="","",VLOOKUP(A1110,[8]PRIORIZADOS!$A:$D,4,FALSE)),"")</f>
        <v>PRIVADO</v>
      </c>
      <c r="E1110" s="11" t="str">
        <f>IFERROR(IF(VLOOKUP(A1110,[8]PRIORIZADOS!$A:$E,5,FALSE)="","",VLOOKUP(A1110,[8]PRIORIZADOS!$A:$E,5,FALSE)),"")</f>
        <v>EPBM</v>
      </c>
      <c r="F1110" s="11" t="str">
        <f>IFERROR(IF(VLOOKUP(A1110,[8]PRIORIZADOS!$A:$F,6,FALSE)="","",VLOOKUP(A1110,[8]PRIORIZADOS!$A:$F,6,FALSE)),"")</f>
        <v>COLEGIO_MANDALAY</v>
      </c>
      <c r="G1110" s="11" t="str">
        <f>IFERROR(IF(VLOOKUP(A1110,[8]PRIORIZADOS!$A:$G,7,FALSE)="","",VLOOKUP(A1110,[8]PRIORIZADOS!$A:$G,7,FALSE)),"")</f>
        <v>COLEGIO MANDALAY</v>
      </c>
      <c r="H1110" s="11" t="str">
        <f>IFERROR(IF(VLOOKUP(A1110,[8]PRIORIZADOS!$A:$H,8,FALSE)="","",VLOOKUP(A1110,[8]PRIORIZADOS!$A:$H,8,FALSE)),"")</f>
        <v>Autoevaluación Institucional y Pruebas SABER 11</v>
      </c>
      <c r="I1110" s="11" t="str">
        <f>IFERROR(IF(VLOOKUP(A1110,[8]PRIORIZADOS!$A:$I,9,FALSE)="","",VLOOKUP(A1110,[8]PRIORIZADOS!$A:$I,9,FALSE)),"")</f>
        <v>EVALUACIÓN_CON_FINES_DE_MEJORAMIENTO.</v>
      </c>
      <c r="J1110" s="11" t="str">
        <f>IFERROR(IF(VLOOKUP(A1110,[8]PRIORIZADOS!$A:$J,10,FALSE)="","",VLOOKUP(A1110,[8]PRIORIZADOS!$A:$J,10,FALSE)),"")</f>
        <v>Verificar el funcionamiento del Gobierno Escolar e instancias de participación con base en la información sobre conformación reportada por la institución educativa.</v>
      </c>
      <c r="K1110" s="11" t="str">
        <f>IFERROR(IF(VLOOKUP(A1110,[8]PRIORIZADOS!$A:$K,11,FALSE)="","",VLOOKUP(A1110,[8]PRIORIZADOS!$A:$K,11,FALSE)),"")</f>
        <v>INGRID VIVIANA DÁVILA ÁVILA</v>
      </c>
      <c r="L1110" s="11" t="str">
        <f>IFERROR(IF(VLOOKUP(A1110,[8]PRIORIZADOS!$A:$L,12,FALSE)="","",VLOOKUP(A1110,[8]PRIORIZADOS!$A:$L,12,FALSE)),"")</f>
        <v xml:space="preserve">DIANA ZULAY HUERTAS ORTÍZ </v>
      </c>
      <c r="M1110" s="71">
        <f>IFERROR(IF(VLOOKUP(A1110,[8]PRIORIZADOS!$A:$M,13,FALSE)="","",VLOOKUP(A1110,[8]PRIORIZADOS!$A:$M,13,FALSE)),"")</f>
        <v>45783</v>
      </c>
      <c r="N1110" s="71">
        <f>IFERROR(IF(VLOOKUP(A1110,[8]PRIORIZADOS!$A:$N,14,FALSE)="","",VLOOKUP(A1110,[8]PRIORIZADOS!$A:$N,14,FALSE)),"")</f>
        <v>45783</v>
      </c>
      <c r="O1110" s="71">
        <f>IFERROR(IF(VLOOKUP(A1110,[8]PRIORIZADOS!$A:$O,15,FALSE)="","",VLOOKUP(A1110,[8]PRIORIZADOS!$A:$O,15,FALSE)),"")</f>
        <v>45783</v>
      </c>
      <c r="P1110" s="11" t="str">
        <f>IFERROR(IF(VLOOKUP(A1110,[8]PRIORIZADOS!$A:$P,16,FALSE)="","",VLOOKUP(A1110,[8]PRIORIZADOS!$A:$P,16,FALSE)),"")</f>
        <v>Visitas de evaluación con fines de mejoramiento</v>
      </c>
      <c r="Q1110" s="126" t="s">
        <v>209</v>
      </c>
      <c r="R1110" s="11" t="str">
        <f>IFERROR(IF(VLOOKUP(A1110,[8]PRIORIZADOS!$A:$R,18,FALSE)="","",VLOOKUP(A1110,[8]PRIORIZADOS!$A:$R,18,FALSE)),"")</f>
        <v>Al revisar las actas de consejo directivo de 2025 este órgano de participación solo se ha reunido en una oportunidad para su conformación.</v>
      </c>
      <c r="S1110" s="11" t="str">
        <f>IFERROR(IF(VLOOKUP(A1110,[8]PRIORIZADOS!$A:$S,19,FALSE)="","",VLOOKUP(A1110,[8]PRIORIZADOS!$A:$S,19,FALSE)),"")</f>
        <v>Reunir al consejo directivo de manera mensual, según lo indica el decreto 1075.</v>
      </c>
      <c r="T1110" s="70" t="str">
        <f>IFERROR(IF(VLOOKUP(A1110,[8]PRIORIZADOS!$A:$T,20,FALSE)="","",VLOOKUP(A1110,[8]PRIORIZADOS!$A:$T,20,FALSE)),"")</f>
        <v>Si</v>
      </c>
      <c r="U1110" s="11" t="str">
        <f>IFERROR(IF(VLOOKUP(A1110,[8]PRIORIZADOS!$A:$U,21,FALSE)="","",VLOOKUP(A1110,[8]PRIORIZADOS!$A:$U,21,FALSE)),"")</f>
        <v>Revisar las actas del consejo directivo y verificar la frecuencia con que se reúne y los temas abordados.  Se realiza mesa de seguimiento el día 26 de septiembre 2025.Se validará el cumplimiento de las actividades pendientes el 30 de octubre.</v>
      </c>
    </row>
    <row r="1111" spans="1:21" s="1" customFormat="1" ht="36">
      <c r="A1111" s="69">
        <f>IF([8]PRIORIZADOS!A90="","",[8]PRIORIZADOS!A90)</f>
        <v>1060</v>
      </c>
      <c r="B1111" s="70">
        <f>IFERROR(IF(VLOOKUP(A1111,[8]PRIORIZADOS!$A:$B,2,FALSE)="","",VLOOKUP(A1111,[8]PRIORIZADOS!$A:$B,2,FALSE)),"")</f>
        <v>16</v>
      </c>
      <c r="C1111" s="11" t="str">
        <f>IFERROR(IF(VLOOKUP(A1111,[8]PRIORIZADOS!$A:$C,3,FALSE)="","",VLOOKUP(A1111,[8]PRIORIZADOS!$A:$C,3,FALSE)),"")</f>
        <v>KENNEDY</v>
      </c>
      <c r="D1111" s="11" t="str">
        <f>IFERROR(IF(VLOOKUP(A1111,[8]PRIORIZADOS!$A:$D,4,FALSE)="","",VLOOKUP(A1111,[8]PRIORIZADOS!$A:$D,4,FALSE)),"")</f>
        <v>PRIVADO</v>
      </c>
      <c r="E1111" s="11" t="str">
        <f>IFERROR(IF(VLOOKUP(A1111,[8]PRIORIZADOS!$A:$E,5,FALSE)="","",VLOOKUP(A1111,[8]PRIORIZADOS!$A:$E,5,FALSE)),"")</f>
        <v>EPBM</v>
      </c>
      <c r="F1111" s="11" t="str">
        <f>IFERROR(IF(VLOOKUP(A1111,[8]PRIORIZADOS!$A:$F,6,FALSE)="","",VLOOKUP(A1111,[8]PRIORIZADOS!$A:$F,6,FALSE)),"")</f>
        <v>GIMNASIO_MODERNO_SAN_FRANCISCO_EL_TINTAL</v>
      </c>
      <c r="G1111" s="11" t="str">
        <f>IFERROR(IF(VLOOKUP(A1111,[8]PRIORIZADOS!$A:$G,7,FALSE)="","",VLOOKUP(A1111,[8]PRIORIZADOS!$A:$G,7,FALSE)),"")</f>
        <v>GIMNASIO MODERNO SAN FRANCISCO EL TINTAL</v>
      </c>
      <c r="H1111" s="11" t="str">
        <f>IFERROR(IF(VLOOKUP(A1111,[8]PRIORIZADOS!$A:$H,8,FALSE)="","",VLOOKUP(A1111,[8]PRIORIZADOS!$A:$H,8,FALSE)),"")</f>
        <v>Autoevaluación Institucional y Pruebas SABER 11</v>
      </c>
      <c r="I1111" s="11" t="str">
        <f>IFERROR(IF(VLOOKUP(A1111,[8]PRIORIZADOS!$A:$I,9,FALSE)="","",VLOOKUP(A1111,[8]PRIORIZADOS!$A:$I,9,FALSE)),"")</f>
        <v>SEGUIMIENTO_Y_SUPERVISIÓN.</v>
      </c>
      <c r="J1111" s="11" t="str">
        <f>IFERROR(IF(VLOOKUP(A1111,[8]PRIORIZADOS!$A:$J,10,FALSE)="","",VLOOKUP(A1111,[8]PRIORIZADOS!$A:$J,10,FALSE)),"")</f>
        <v>Realizar visitas para verificar la información registrada sobre la autoevaluación institucional en el aplicativo EVI, a los establecimientos de educación formal no oficial.</v>
      </c>
      <c r="K1111" s="11" t="str">
        <f>IFERROR(IF(VLOOKUP(A1111,[8]PRIORIZADOS!$A:$K,11,FALSE)="","",VLOOKUP(A1111,[8]PRIORIZADOS!$A:$K,11,FALSE)),"")</f>
        <v>ADRIANA VENEGAS VALERA</v>
      </c>
      <c r="L1111" s="11" t="str">
        <f>IFERROR(IF(VLOOKUP(A1111,[8]PRIORIZADOS!$A:$L,12,FALSE)="","",VLOOKUP(A1111,[8]PRIORIZADOS!$A:$L,12,FALSE)),"")</f>
        <v>VIVANA PILAR BOHÓRQUEZ DÍAZ</v>
      </c>
      <c r="M1111" s="71">
        <f>IFERROR(IF(VLOOKUP(A1111,[8]PRIORIZADOS!$A:$M,13,FALSE)="","",VLOOKUP(A1111,[8]PRIORIZADOS!$A:$M,13,FALSE)),"")</f>
        <v>45784</v>
      </c>
      <c r="N1111" s="71">
        <f>IFERROR(IF(VLOOKUP(A1111,[8]PRIORIZADOS!$A:$N,14,FALSE)="","",VLOOKUP(A1111,[8]PRIORIZADOS!$A:$N,14,FALSE)),"")</f>
        <v>45784</v>
      </c>
      <c r="O1111" s="71">
        <f>IFERROR(IF(VLOOKUP(A1111,[8]PRIORIZADOS!$A:$O,15,FALSE)="","",VLOOKUP(A1111,[8]PRIORIZADOS!$A:$O,15,FALSE)),"")</f>
        <v>45784</v>
      </c>
      <c r="P1111" s="11" t="str">
        <f>IFERROR(IF(VLOOKUP(A1111,[8]PRIORIZADOS!$A:$P,16,FALSE)="","",VLOOKUP(A1111,[8]PRIORIZADOS!$A:$P,16,FALSE)),"")</f>
        <v>Visitas de evaluación con fines de mejoramiento</v>
      </c>
      <c r="Q1111" s="107" t="s">
        <v>210</v>
      </c>
      <c r="R1111" s="11" t="str">
        <f>IFERROR(IF(VLOOKUP(A1111,[8]PRIORIZADOS!$A:$R,18,FALSE)="","",VLOOKUP(A1111,[8]PRIORIZADOS!$A:$R,18,FALSE)),"")</f>
        <v>La EE, registra información en el aplicativo EVI, que da cuenta de la realidad institucional</v>
      </c>
      <c r="S1111" s="11" t="str">
        <f>IFERROR(IF(VLOOKUP(A1111,[8]PRIORIZADOS!$A:$S,19,FALSE)="","",VLOOKUP(A1111,[8]PRIORIZADOS!$A:$S,19,FALSE)),"")</f>
        <v>Continuar reportando en el aplicativo información que da cuenta de la realidad institucional.</v>
      </c>
      <c r="T1111" s="70" t="str">
        <f>IFERROR(IF(VLOOKUP(A1111,[8]PRIORIZADOS!$A:$T,20,FALSE)="","",VLOOKUP(A1111,[8]PRIORIZADOS!$A:$T,20,FALSE)),"")</f>
        <v>No</v>
      </c>
      <c r="U1111" s="11" t="str">
        <f>IFERROR(IF(VLOOKUP(A1111,[8]PRIORIZADOS!$A:$U,21,FALSE)="","",VLOOKUP(A1111,[8]PRIORIZADOS!$A:$U,21,FALSE)),"")</f>
        <v>El ELIV, verificará en la próxima vigencia que la información registrada en el EVI da cuenta de la realidad institucional.</v>
      </c>
    </row>
    <row r="1112" spans="1:21" s="1" customFormat="1" ht="60">
      <c r="A1112" s="69">
        <f>IF([8]PRIORIZADOS!A91="","",[8]PRIORIZADOS!A91)</f>
        <v>1061</v>
      </c>
      <c r="B1112" s="70">
        <v>16</v>
      </c>
      <c r="C1112" s="11" t="str">
        <f>IFERROR(IF(VLOOKUP(A1112,[8]PRIORIZADOS!$A:$C,3,FALSE)="","",VLOOKUP(A1112,[8]PRIORIZADOS!$A:$C,3,FALSE)),"")</f>
        <v>KENNEDY</v>
      </c>
      <c r="D1112" s="11" t="str">
        <f>IFERROR(IF(VLOOKUP(A1112,[8]PRIORIZADOS!$A:$D,4,FALSE)="","",VLOOKUP(A1112,[8]PRIORIZADOS!$A:$D,4,FALSE)),"")</f>
        <v>PRIVADO</v>
      </c>
      <c r="E1112" s="11" t="str">
        <f>IFERROR(IF(VLOOKUP(A1112,[8]PRIORIZADOS!$A:$E,5,FALSE)="","",VLOOKUP(A1112,[8]PRIORIZADOS!$A:$E,5,FALSE)),"")</f>
        <v>EPBM</v>
      </c>
      <c r="F1112" s="11" t="str">
        <f>IFERROR(IF(VLOOKUP(A1112,[8]PRIORIZADOS!$A:$F,6,FALSE)="","",VLOOKUP(A1112,[8]PRIORIZADOS!$A:$F,6,FALSE)),"")</f>
        <v>GIMNASIO_MODERNO_SAN_FRANCISCO_EL_TINTAL</v>
      </c>
      <c r="G1112" s="11" t="str">
        <f>IFERROR(IF(VLOOKUP(A1112,[8]PRIORIZADOS!$A:$G,7,FALSE)="","",VLOOKUP(A1112,[8]PRIORIZADOS!$A:$G,7,FALSE)),"")</f>
        <v>GIMNASIO MODERNO SAN FRANCISCO EL TINTAL</v>
      </c>
      <c r="H1112" s="11" t="str">
        <f>IFERROR(IF(VLOOKUP(A1112,[8]PRIORIZADOS!$A:$H,8,FALSE)="","",VLOOKUP(A1112,[8]PRIORIZADOS!$A:$H,8,FALSE)),"")</f>
        <v>Autoevaluación Institucional y Pruebas SABER 11</v>
      </c>
      <c r="I1112" s="11" t="str">
        <f>IFERROR(IF(VLOOKUP(A1112,[8]PRIORIZADOS!$A:$I,9,FALSE)="","",VLOOKUP(A1112,[8]PRIORIZADOS!$A:$I,9,FALSE)),"")</f>
        <v>SEGUIMIENTO_Y_SUPERVISIÓN.</v>
      </c>
      <c r="J1112" s="11" t="str">
        <f>IFERROR(IF(VLOOKUP(A1112,[8]PRIORIZADOS!$A:$J,10,FALSE)="","",VLOOKUP(A1112,[8]PRIORIZADOS!$A:$J,10,FALSE)),"")</f>
        <v xml:space="preserve">Verificar la implementación por parte de los colegios, de acciones realizadas para la prevención y atención de las situaciones de convivencia en el entorno escolar, según lo establecido en la Directiva 01 de 2022 del MEN. </v>
      </c>
      <c r="K1112" s="11" t="str">
        <f>IFERROR(IF(VLOOKUP(A1112,[8]PRIORIZADOS!$A:$K,11,FALSE)="","",VLOOKUP(A1112,[8]PRIORIZADOS!$A:$K,11,FALSE)),"")</f>
        <v>ADRIANA VENEGAS VALERA</v>
      </c>
      <c r="L1112" s="11" t="str">
        <f>IFERROR(IF(VLOOKUP(A1112,[8]PRIORIZADOS!$A:$L,12,FALSE)="","",VLOOKUP(A1112,[8]PRIORIZADOS!$A:$L,12,FALSE)),"")</f>
        <v>VIVANA PILAR BOHÓRQUEZ DÍAZ</v>
      </c>
      <c r="M1112" s="71">
        <f>IFERROR(IF(VLOOKUP(A1112,[8]PRIORIZADOS!$A:$M,13,FALSE)="","",VLOOKUP(A1112,[8]PRIORIZADOS!$A:$M,13,FALSE)),"")</f>
        <v>45784</v>
      </c>
      <c r="N1112" s="71">
        <f>IFERROR(IF(VLOOKUP(A1112,[8]PRIORIZADOS!$A:$N,14,FALSE)="","",VLOOKUP(A1112,[8]PRIORIZADOS!$A:$N,14,FALSE)),"")</f>
        <v>45784</v>
      </c>
      <c r="O1112" s="71">
        <f>IFERROR(IF(VLOOKUP(A1112,[8]PRIORIZADOS!$A:$O,15,FALSE)="","",VLOOKUP(A1112,[8]PRIORIZADOS!$A:$O,15,FALSE)),"")</f>
        <v>45784</v>
      </c>
      <c r="P1112" s="11" t="str">
        <f>IFERROR(IF(VLOOKUP(A1112,[8]PRIORIZADOS!$A:$P,16,FALSE)="","",VLOOKUP(A1112,[8]PRIORIZADOS!$A:$P,16,FALSE)),"")</f>
        <v>Visitas de evaluación con fines de mejoramiento</v>
      </c>
      <c r="Q1112" s="107" t="s">
        <v>210</v>
      </c>
      <c r="R1112" s="11" t="str">
        <f>IFERROR(IF(VLOOKUP(A1112,[8]PRIORIZADOS!$A:$R,18,FALSE)="","",VLOOKUP(A1112,[8]PRIORIZADOS!$A:$R,18,FALSE)),"")</f>
        <v>La EE, no cuenta con un programa de promoción y prevención de situaciones que afectan la convivencia escolar, articulado con el manual de convivencia escolar.</v>
      </c>
      <c r="S1112" s="11" t="str">
        <f>IFERROR(IF(VLOOKUP(A1112,[8]PRIORIZADOS!$A:$S,19,FALSE)="","",VLOOKUP(A1112,[8]PRIORIZADOS!$A:$S,19,FALSE)),"")</f>
        <v xml:space="preserve">Realizar una actualización de manera participativa del manual de convivencia teniendo en cuenta la ruta de atención integral y protocolos paralas situaciones de convivencia escolar. </v>
      </c>
      <c r="T1112" s="70" t="str">
        <f>IFERROR(IF(VLOOKUP(A1112,[8]PRIORIZADOS!$A:$T,20,FALSE)="","",VLOOKUP(A1112,[8]PRIORIZADOS!$A:$T,20,FALSE)),"")</f>
        <v>Si</v>
      </c>
      <c r="U1112" s="11" t="str">
        <f>IFERROR(IF(VLOOKUP(A1112,[8]PRIORIZADOS!$A:$U,21,FALSE)="","",VLOOKUP(A1112,[8]PRIORIZADOS!$A:$U,21,FALSE)),"")</f>
        <v>El ELIV  verificará la actualización de manera participativa del manual de convivencia.  Se realiza mesa de seguimiento el día 23 de septiembre 2025.Se validará el cumplimiento de las actividades pendientes el  7 de noviembre.</v>
      </c>
    </row>
    <row r="1113" spans="1:21" s="1" customFormat="1" ht="72">
      <c r="A1113" s="69">
        <f>IF([8]PRIORIZADOS!A92="","",[8]PRIORIZADOS!A92)</f>
        <v>1062</v>
      </c>
      <c r="B1113" s="70">
        <v>16</v>
      </c>
      <c r="C1113" s="11" t="str">
        <f>IFERROR(IF(VLOOKUP(A1113,[8]PRIORIZADOS!$A:$C,3,FALSE)="","",VLOOKUP(A1113,[8]PRIORIZADOS!$A:$C,3,FALSE)),"")</f>
        <v>KENNEDY</v>
      </c>
      <c r="D1113" s="11" t="str">
        <f>IFERROR(IF(VLOOKUP(A1113,[8]PRIORIZADOS!$A:$D,4,FALSE)="","",VLOOKUP(A1113,[8]PRIORIZADOS!$A:$D,4,FALSE)),"")</f>
        <v>PRIVADO</v>
      </c>
      <c r="E1113" s="11" t="str">
        <f>IFERROR(IF(VLOOKUP(A1113,[8]PRIORIZADOS!$A:$E,5,FALSE)="","",VLOOKUP(A1113,[8]PRIORIZADOS!$A:$E,5,FALSE)),"")</f>
        <v>EPBM</v>
      </c>
      <c r="F1113" s="11" t="str">
        <f>IFERROR(IF(VLOOKUP(A1113,[8]PRIORIZADOS!$A:$F,6,FALSE)="","",VLOOKUP(A1113,[8]PRIORIZADOS!$A:$F,6,FALSE)),"")</f>
        <v>GIMNASIO_MODERNO_SAN_FRANCISCO_EL_TINTAL</v>
      </c>
      <c r="G1113" s="11" t="str">
        <f>IFERROR(IF(VLOOKUP(A1113,[8]PRIORIZADOS!$A:$G,7,FALSE)="","",VLOOKUP(A1113,[8]PRIORIZADOS!$A:$G,7,FALSE)),"")</f>
        <v>GIMNASIO MODERNO SAN FRANCISCO EL TINTAL</v>
      </c>
      <c r="H1113" s="11" t="str">
        <f>IFERROR(IF(VLOOKUP(A1113,[8]PRIORIZADOS!$A:$H,8,FALSE)="","",VLOOKUP(A1113,[8]PRIORIZADOS!$A:$H,8,FALSE)),"")</f>
        <v>Autoevaluación Institucional y Pruebas SABER 11</v>
      </c>
      <c r="I1113" s="11" t="str">
        <f>IFERROR(IF(VLOOKUP(A1113,[8]PRIORIZADOS!$A:$I,9,FALSE)="","",VLOOKUP(A1113,[8]PRIORIZADOS!$A:$I,9,FALSE)),"")</f>
        <v>EVALUACIÓN_CON_FINES_DE_MEJORAMIENTO.</v>
      </c>
      <c r="J1113" s="11" t="str">
        <f>IFERROR(IF(VLOOKUP(A1113,[8]PRIORIZADOS!$A:$J,10,FALSE)="","",VLOOKUP(A1113,[8]PRIORIZADOS!$A:$J,10,FALSE)),"")</f>
        <v>Verificar el funcionamiento del Gobierno Escolar e instancias de participación con base en la información sobre conformación reportada por la institución educativa.</v>
      </c>
      <c r="K1113" s="11" t="str">
        <f>IFERROR(IF(VLOOKUP(A1113,[8]PRIORIZADOS!$A:$K,11,FALSE)="","",VLOOKUP(A1113,[8]PRIORIZADOS!$A:$K,11,FALSE)),"")</f>
        <v>ADRIANA VENEGAS VALERA</v>
      </c>
      <c r="L1113" s="11" t="str">
        <f>IFERROR(IF(VLOOKUP(A1113,[8]PRIORIZADOS!$A:$L,12,FALSE)="","",VLOOKUP(A1113,[8]PRIORIZADOS!$A:$L,12,FALSE)),"")</f>
        <v>VIVANA PILAR BOHÓRQUEZ DÍAZ</v>
      </c>
      <c r="M1113" s="71">
        <f>IFERROR(IF(VLOOKUP(A1113,[8]PRIORIZADOS!$A:$M,13,FALSE)="","",VLOOKUP(A1113,[8]PRIORIZADOS!$A:$M,13,FALSE)),"")</f>
        <v>45784</v>
      </c>
      <c r="N1113" s="71">
        <f>IFERROR(IF(VLOOKUP(A1113,[8]PRIORIZADOS!$A:$N,14,FALSE)="","",VLOOKUP(A1113,[8]PRIORIZADOS!$A:$N,14,FALSE)),"")</f>
        <v>45784</v>
      </c>
      <c r="O1113" s="71">
        <f>IFERROR(IF(VLOOKUP(A1113,[8]PRIORIZADOS!$A:$O,15,FALSE)="","",VLOOKUP(A1113,[8]PRIORIZADOS!$A:$O,15,FALSE)),"")</f>
        <v>45784</v>
      </c>
      <c r="P1113" s="11" t="str">
        <f>IFERROR(IF(VLOOKUP(A1113,[8]PRIORIZADOS!$A:$P,16,FALSE)="","",VLOOKUP(A1113,[8]PRIORIZADOS!$A:$P,16,FALSE)),"")</f>
        <v>Visitas de evaluación con fines de mejoramiento</v>
      </c>
      <c r="Q1113" s="126" t="s">
        <v>210</v>
      </c>
      <c r="R1113" s="11" t="str">
        <f>IFERROR(IF(VLOOKUP(A1113,[8]PRIORIZADOS!$A:$R,18,FALSE)="","",VLOOKUP(A1113,[8]PRIORIZADOS!$A:$R,18,FALSE)),"")</f>
        <v xml:space="preserve">La institución educativa cuenta con las actas de conformación del gobierno escolar, sin embargo no ha sido convocado el consejo académico y se requiere la actualización de los planes de estudio. </v>
      </c>
      <c r="S1113" s="11" t="str">
        <f>IFERROR(IF(VLOOKUP(A1113,[8]PRIORIZADOS!$A:$S,19,FALSE)="","",VLOOKUP(A1113,[8]PRIORIZADOS!$A:$S,19,FALSE)),"")</f>
        <v xml:space="preserve">Actualización de los planes de estudio de educación preescolar de conformidad con el lineamiento pedagógico y curricular para la educación inicial, así como la inclusión del proyecto transversal del uso del tiempo libre. </v>
      </c>
      <c r="T1113" s="70" t="str">
        <f>IFERROR(IF(VLOOKUP(A1113,[8]PRIORIZADOS!$A:$T,20,FALSE)="","",VLOOKUP(A1113,[8]PRIORIZADOS!$A:$T,20,FALSE)),"")</f>
        <v>Si</v>
      </c>
      <c r="U1113" s="11" t="str">
        <f>IFERROR(IF(VLOOKUP(A1113,[8]PRIORIZADOS!$A:$U,21,FALSE)="","",VLOOKUP(A1113,[8]PRIORIZADOS!$A:$U,21,FALSE)),"")</f>
        <v>Verificar la operatividad del consejo académico en la actualización de planes de estudio y demás gestión académica de la institución. Se realiza mesa de seguimiento el día 23 de septiembre 2025.Se validará el cumplimiento de las actividades pendientes el  7 de noviembre.</v>
      </c>
    </row>
    <row r="1114" spans="1:21" s="1" customFormat="1" ht="48">
      <c r="A1114" s="69">
        <f>IF([8]PRIORIZADOS!A93="","",[8]PRIORIZADOS!A93)</f>
        <v>1063</v>
      </c>
      <c r="B1114" s="70">
        <v>16</v>
      </c>
      <c r="C1114" s="11" t="str">
        <f>IFERROR(IF(VLOOKUP(A1114,[8]PRIORIZADOS!$A:$C,3,FALSE)="","",VLOOKUP(A1114,[8]PRIORIZADOS!$A:$C,3,FALSE)),"")</f>
        <v>KENNEDY</v>
      </c>
      <c r="D1114" s="11" t="str">
        <f>IFERROR(IF(VLOOKUP(A1114,[8]PRIORIZADOS!$A:$D,4,FALSE)="","",VLOOKUP(A1114,[8]PRIORIZADOS!$A:$D,4,FALSE)),"")</f>
        <v>PRIVADO</v>
      </c>
      <c r="E1114" s="11" t="str">
        <f>IFERROR(IF(VLOOKUP(A1114,[8]PRIORIZADOS!$A:$E,5,FALSE)="","",VLOOKUP(A1114,[8]PRIORIZADOS!$A:$E,5,FALSE)),"")</f>
        <v>EPBM</v>
      </c>
      <c r="F1114" s="11" t="str">
        <f>IFERROR(IF(VLOOKUP(A1114,[8]PRIORIZADOS!$A:$F,6,FALSE)="","",VLOOKUP(A1114,[8]PRIORIZADOS!$A:$F,6,FALSE)),"")</f>
        <v>GIMNASIO_MODERNO_SAN_FRANCISCO_EL_TINTAL</v>
      </c>
      <c r="G1114" s="11" t="str">
        <f>IFERROR(IF(VLOOKUP(A1114,[8]PRIORIZADOS!$A:$G,7,FALSE)="","",VLOOKUP(A1114,[8]PRIORIZADOS!$A:$G,7,FALSE)),"")</f>
        <v>GIMNASIO MODERNO SAN FRANCISCO EL TINTAL</v>
      </c>
      <c r="H1114" s="11" t="str">
        <f>IFERROR(IF(VLOOKUP(A1114,[8]PRIORIZADOS!$A:$H,8,FALSE)="","",VLOOKUP(A1114,[8]PRIORIZADOS!$A:$H,8,FALSE)),"")</f>
        <v>Autoevaluación Institucional y Pruebas SABER 11</v>
      </c>
      <c r="I1114" s="11" t="str">
        <f>IFERROR(IF(VLOOKUP(A1114,[8]PRIORIZADOS!$A:$I,9,FALSE)="","",VLOOKUP(A1114,[8]PRIORIZADOS!$A:$I,9,FALSE)),"")</f>
        <v>EVALUACIÓN_CON_FINES_DE_MEJORAMIENTO.</v>
      </c>
      <c r="J1114" s="11" t="str">
        <f>IFERROR(IF(VLOOKUP(A1114,[8]PRIORIZADOS!$A:$J,10,FALSE)="","",VLOOKUP(A1114,[8]PRIORIZADOS!$A:$J,10,FALSE)),"")</f>
        <v>Verificar las condiciones en cuanto a: la estructura administrativa, condiciones de la planta física y medios educativos adecuados.</v>
      </c>
      <c r="K1114" s="11" t="str">
        <f>IFERROR(IF(VLOOKUP(A1114,[8]PRIORIZADOS!$A:$K,11,FALSE)="","",VLOOKUP(A1114,[8]PRIORIZADOS!$A:$K,11,FALSE)),"")</f>
        <v>ADRIANA VENEGAS VALERA</v>
      </c>
      <c r="L1114" s="11" t="str">
        <f>IFERROR(IF(VLOOKUP(A1114,[8]PRIORIZADOS!$A:$L,12,FALSE)="","",VLOOKUP(A1114,[8]PRIORIZADOS!$A:$L,12,FALSE)),"")</f>
        <v>VIVANA PILAR BOHÓRQUEZ DÍAZ</v>
      </c>
      <c r="M1114" s="71">
        <f>IFERROR(IF(VLOOKUP(A1114,[8]PRIORIZADOS!$A:$M,13,FALSE)="","",VLOOKUP(A1114,[8]PRIORIZADOS!$A:$M,13,FALSE)),"")</f>
        <v>45784</v>
      </c>
      <c r="N1114" s="71">
        <f>IFERROR(IF(VLOOKUP(A1114,[8]PRIORIZADOS!$A:$N,14,FALSE)="","",VLOOKUP(A1114,[8]PRIORIZADOS!$A:$N,14,FALSE)),"")</f>
        <v>45784</v>
      </c>
      <c r="O1114" s="71">
        <f>IFERROR(IF(VLOOKUP(A1114,[8]PRIORIZADOS!$A:$O,15,FALSE)="","",VLOOKUP(A1114,[8]PRIORIZADOS!$A:$O,15,FALSE)),"")</f>
        <v>45784</v>
      </c>
      <c r="P1114" s="11" t="str">
        <f>IFERROR(IF(VLOOKUP(A1114,[8]PRIORIZADOS!$A:$P,16,FALSE)="","",VLOOKUP(A1114,[8]PRIORIZADOS!$A:$P,16,FALSE)),"")</f>
        <v>Visitas de evaluación con fines de mejoramiento</v>
      </c>
      <c r="Q1114" s="107" t="s">
        <v>210</v>
      </c>
      <c r="R1114" s="11" t="str">
        <f>IFERROR(IF(VLOOKUP(A1114,[8]PRIORIZADOS!$A:$R,18,FALSE)="","",VLOOKUP(A1114,[8]PRIORIZADOS!$A:$R,18,FALSE)),"")</f>
        <v>La institución cuenta con la condiciones de estructura administrativa, planta física y medios educativos adecuados.</v>
      </c>
      <c r="S1114" s="11" t="str">
        <f>IFERROR(IF(VLOOKUP(A1114,[8]PRIORIZADOS!$A:$S,19,FALSE)="","",VLOOKUP(A1114,[8]PRIORIZADOS!$A:$S,19,FALSE)),"")</f>
        <v>Mantener  las condiciones de estructura administrativa, planta física y medios educativos adecuados, para atender a la población matriculada en le EE.</v>
      </c>
      <c r="T1114" s="70" t="str">
        <f>IFERROR(IF(VLOOKUP(A1114,[8]PRIORIZADOS!$A:$T,20,FALSE)="","",VLOOKUP(A1114,[8]PRIORIZADOS!$A:$T,20,FALSE)),"")</f>
        <v>No</v>
      </c>
      <c r="U1114" s="11" t="str">
        <f>IFERROR(IF(VLOOKUP(A1114,[8]PRIORIZADOS!$A:$U,21,FALSE)="","",VLOOKUP(A1114,[8]PRIORIZADOS!$A:$U,21,FALSE)),"")</f>
        <v>El ELIV, verificará que la institución continua prestando el servicio con las condiciones adecuadas de estructura administrativa, planta física y medios educativos.</v>
      </c>
    </row>
    <row r="1115" spans="1:21" s="1" customFormat="1" ht="142.5">
      <c r="A1115" s="69">
        <f>IF([8]PRIORIZADOS!A94="","",[8]PRIORIZADOS!A94)</f>
        <v>1064</v>
      </c>
      <c r="B1115" s="70">
        <f>IFERROR(IF(VLOOKUP(A1115,[8]PRIORIZADOS!$A:$B,2,FALSE)="","",VLOOKUP(A1115,[8]PRIORIZADOS!$A:$B,2,FALSE)),"")</f>
        <v>17</v>
      </c>
      <c r="C1115" s="11" t="str">
        <f>IFERROR(IF(VLOOKUP(A1115,[8]PRIORIZADOS!$A:$C,3,FALSE)="","",VLOOKUP(A1115,[8]PRIORIZADOS!$A:$C,3,FALSE)),"")</f>
        <v>KENNEDY</v>
      </c>
      <c r="D1115" s="11" t="str">
        <f>IFERROR(IF(VLOOKUP(A1115,[8]PRIORIZADOS!$A:$D,4,FALSE)="","",VLOOKUP(A1115,[8]PRIORIZADOS!$A:$D,4,FALSE)),"")</f>
        <v>PRIVADO</v>
      </c>
      <c r="E1115" s="11" t="str">
        <f>IFERROR(IF(VLOOKUP(A1115,[8]PRIORIZADOS!$A:$E,5,FALSE)="","",VLOOKUP(A1115,[8]PRIORIZADOS!$A:$E,5,FALSE)),"")</f>
        <v>EPBM</v>
      </c>
      <c r="F1115" s="11" t="str">
        <f>IFERROR(IF(VLOOKUP(A1115,[8]PRIORIZADOS!$A:$F,6,FALSE)="","",VLOOKUP(A1115,[8]PRIORIZADOS!$A:$F,6,FALSE)),"")</f>
        <v>COLEGIO_MI_PATRIA</v>
      </c>
      <c r="G1115" s="11" t="str">
        <f>IFERROR(IF(VLOOKUP(A1115,[8]PRIORIZADOS!$A:$G,7,FALSE)="","",VLOOKUP(A1115,[8]PRIORIZADOS!$A:$G,7,FALSE)),"")</f>
        <v>COLEGIO MI PATRIA</v>
      </c>
      <c r="H1115" s="11" t="str">
        <f>IFERROR(IF(VLOOKUP(A1115,[8]PRIORIZADOS!$A:$H,8,FALSE)="","",VLOOKUP(A1115,[8]PRIORIZADOS!$A:$H,8,FALSE)),"")</f>
        <v>Autoevaluación Institucional y Pruebas SABER 11</v>
      </c>
      <c r="I1115" s="11" t="str">
        <f>IFERROR(IF(VLOOKUP(A1115,[8]PRIORIZADOS!$A:$I,9,FALSE)="","",VLOOKUP(A1115,[8]PRIORIZADOS!$A:$I,9,FALSE)),"")</f>
        <v>SEGUIMIENTO_Y_SUPERVISIÓN.</v>
      </c>
      <c r="J1115" s="11" t="str">
        <f>IFERROR(IF(VLOOKUP(A1115,[8]PRIORIZADOS!$A:$J,10,FALSE)="","",VLOOKUP(A1115,[8]PRIORIZADOS!$A:$J,10,FALSE)),"")</f>
        <v>Realizar visitas para verificar la información registrada sobre la autoevaluación institucional en el aplicativo EVI, a los establecimientos de educación formal no oficial.</v>
      </c>
      <c r="K1115" s="11" t="str">
        <f>IFERROR(IF(VLOOKUP(A1115,[8]PRIORIZADOS!$A:$K,11,FALSE)="","",VLOOKUP(A1115,[8]PRIORIZADOS!$A:$K,11,FALSE)),"")</f>
        <v>GERMÁN EDUARDO TORO ROSERO</v>
      </c>
      <c r="L1115" s="11" t="str">
        <f>IFERROR(IF(VLOOKUP(A1115,[8]PRIORIZADOS!$A:$L,12,FALSE)="","",VLOOKUP(A1115,[8]PRIORIZADOS!$A:$L,12,FALSE)),"")</f>
        <v>LUIS FERNANDO CÁRDENAS URAN</v>
      </c>
      <c r="M1115" s="71">
        <f>IFERROR(IF(VLOOKUP(A1115,[8]PRIORIZADOS!$A:$M,13,FALSE)="","",VLOOKUP(A1115,[8]PRIORIZADOS!$A:$M,13,FALSE)),"")</f>
        <v>45785</v>
      </c>
      <c r="N1115" s="71">
        <f>IFERROR(IF(VLOOKUP(A1115,[8]PRIORIZADOS!$A:$N,14,FALSE)="","",VLOOKUP(A1115,[8]PRIORIZADOS!$A:$N,14,FALSE)),"")</f>
        <v>45785</v>
      </c>
      <c r="O1115" s="71">
        <f>IFERROR(IF(VLOOKUP(A1115,[8]PRIORIZADOS!$A:$O,15,FALSE)="","",VLOOKUP(A1115,[8]PRIORIZADOS!$A:$O,15,FALSE)),"")</f>
        <v>45785</v>
      </c>
      <c r="P1115" s="11" t="str">
        <f>IFERROR(IF(VLOOKUP(A1115,[8]PRIORIZADOS!$A:$P,16,FALSE)="","",VLOOKUP(A1115,[8]PRIORIZADOS!$A:$P,16,FALSE)),"")</f>
        <v>Visitas de evaluación con fines de mejoramiento</v>
      </c>
      <c r="Q1115" s="136" t="s">
        <v>211</v>
      </c>
      <c r="R1115" s="11" t="str">
        <f>IFERROR(IF(VLOOKUP(A1115,[8]PRIORIZADOS!$A:$R,18,FALSE)="","",VLOOKUP(A1115,[8]PRIORIZADOS!$A:$R,18,FALSE)),"")</f>
        <v xml:space="preserve">
En la visita se observa que la institución educativa está operando en dos plantas físicas diferentes, una en la autorizada en la Resolución 2404 del 27 de agosto de 2003 donde funcionan los grados 7, 8, 9, 10 y 11, además de las oficinas administrativas y la otra planta física que se encuentra al frente de ésta, ubicada en la Cra 68D No. 21 - 92 sur donde funcionan los grados Transición, 1, 2, 3, 4, 5, y 6, además de la sala de informática.  </v>
      </c>
      <c r="S1115" s="11" t="str">
        <f>IFERROR(IF(VLOOKUP(A1115,[8]PRIORIZADOS!$A:$S,19,FALSE)="","",VLOOKUP(A1115,[8]PRIORIZADOS!$A:$S,19,FALSE)),"")</f>
        <v>ELIV citará a la institución educativa para analizar el caso de la planta física que no está autorizada en la licencia de funcionamiento y proceder a su legalización en el caso de que cumpla con los requisitos establecidos en la norma. IE debe explicar el funcionamiento en la otra dirección y presentar la documentación correspondiente para la legalización, si es el caso.</v>
      </c>
      <c r="T1115" s="70" t="str">
        <f>IFERROR(IF(VLOOKUP(A1115,[8]PRIORIZADOS!$A:$T,20,FALSE)="","",VLOOKUP(A1115,[8]PRIORIZADOS!$A:$T,20,FALSE)),"")</f>
        <v>Si</v>
      </c>
      <c r="U1115" s="11" t="str">
        <f>IFERROR(IF(VLOOKUP(A1115,[8]PRIORIZADOS!$A:$U,21,FALSE)="","",VLOOKUP(A1115,[8]PRIORIZADOS!$A:$U,21,FALSE)),"")</f>
        <v>Seguimiento al cumplimiento del plan de mejoramiento. Se realiza visita de seguimiento el 1 de octubre y se establece envío de documentos para el día 5 de diciembre.</v>
      </c>
    </row>
    <row r="1116" spans="1:21" s="1" customFormat="1" ht="60">
      <c r="A1116" s="69">
        <f>IF([8]PRIORIZADOS!A95="","",[8]PRIORIZADOS!A95)</f>
        <v>1065</v>
      </c>
      <c r="B1116" s="70">
        <v>17</v>
      </c>
      <c r="C1116" s="11" t="str">
        <f>IFERROR(IF(VLOOKUP(A1116,[8]PRIORIZADOS!$A:$C,3,FALSE)="","",VLOOKUP(A1116,[8]PRIORIZADOS!$A:$C,3,FALSE)),"")</f>
        <v>KENNEDY</v>
      </c>
      <c r="D1116" s="11" t="str">
        <f>IFERROR(IF(VLOOKUP(A1116,[8]PRIORIZADOS!$A:$D,4,FALSE)="","",VLOOKUP(A1116,[8]PRIORIZADOS!$A:$D,4,FALSE)),"")</f>
        <v>PRIVADO</v>
      </c>
      <c r="E1116" s="11" t="str">
        <f>IFERROR(IF(VLOOKUP(A1116,[8]PRIORIZADOS!$A:$E,5,FALSE)="","",VLOOKUP(A1116,[8]PRIORIZADOS!$A:$E,5,FALSE)),"")</f>
        <v>EPBM</v>
      </c>
      <c r="F1116" s="11" t="str">
        <f>IFERROR(IF(VLOOKUP(A1116,[8]PRIORIZADOS!$A:$F,6,FALSE)="","",VLOOKUP(A1116,[8]PRIORIZADOS!$A:$F,6,FALSE)),"")</f>
        <v>COLEGIO_MI_PATRIA</v>
      </c>
      <c r="G1116" s="11" t="str">
        <f>IFERROR(IF(VLOOKUP(A1116,[8]PRIORIZADOS!$A:$G,7,FALSE)="","",VLOOKUP(A1116,[8]PRIORIZADOS!$A:$G,7,FALSE)),"")</f>
        <v>COLEGIO MI PATRIA</v>
      </c>
      <c r="H1116" s="11" t="str">
        <f>IFERROR(IF(VLOOKUP(A1116,[8]PRIORIZADOS!$A:$H,8,FALSE)="","",VLOOKUP(A1116,[8]PRIORIZADOS!$A:$H,8,FALSE)),"")</f>
        <v>Autoevaluación Institucional y Pruebas SABER 11</v>
      </c>
      <c r="I1116" s="11" t="str">
        <f>IFERROR(IF(VLOOKUP(A1116,[8]PRIORIZADOS!$A:$I,9,FALSE)="","",VLOOKUP(A1116,[8]PRIORIZADOS!$A:$I,9,FALSE)),"")</f>
        <v>SEGUIMIENTO_Y_SUPERVISIÓN.</v>
      </c>
      <c r="J1116" s="11" t="str">
        <f>IFERROR(IF(VLOOKUP(A1116,[8]PRIORIZADOS!$A:$J,10,FALSE)="","",VLOOKUP(A1116,[8]PRIORIZADOS!$A:$J,10,FALSE)),"")</f>
        <v>Proponer estrategias en la formulación, verificar su elaboración y realizar seguimiento semestral al desarrollo de  las acciones establecidas en los planes de mejoramiento por pruebas SABER 11 de los establecimientos de educación formal.</v>
      </c>
      <c r="K1116" s="11" t="str">
        <f>IFERROR(IF(VLOOKUP(A1116,[8]PRIORIZADOS!$A:$K,11,FALSE)="","",VLOOKUP(A1116,[8]PRIORIZADOS!$A:$K,11,FALSE)),"")</f>
        <v>GERMÁN EDUARDO TORO ROSERO</v>
      </c>
      <c r="L1116" s="11" t="str">
        <f>IFERROR(IF(VLOOKUP(A1116,[8]PRIORIZADOS!$A:$L,12,FALSE)="","",VLOOKUP(A1116,[8]PRIORIZADOS!$A:$L,12,FALSE)),"")</f>
        <v>LUIS FERNANDO CÁRDENAS URAN</v>
      </c>
      <c r="M1116" s="71">
        <f>IFERROR(IF(VLOOKUP(A1116,[8]PRIORIZADOS!$A:$M,13,FALSE)="","",VLOOKUP(A1116,[8]PRIORIZADOS!$A:$M,13,FALSE)),"")</f>
        <v>45785</v>
      </c>
      <c r="N1116" s="71">
        <f>IFERROR(IF(VLOOKUP(A1116,[8]PRIORIZADOS!$A:$N,14,FALSE)="","",VLOOKUP(A1116,[8]PRIORIZADOS!$A:$N,14,FALSE)),"")</f>
        <v>45785</v>
      </c>
      <c r="O1116" s="71">
        <f>IFERROR(IF(VLOOKUP(A1116,[8]PRIORIZADOS!$A:$O,15,FALSE)="","",VLOOKUP(A1116,[8]PRIORIZADOS!$A:$O,15,FALSE)),"")</f>
        <v>45785</v>
      </c>
      <c r="P1116" s="11" t="str">
        <f>IFERROR(IF(VLOOKUP(A1116,[8]PRIORIZADOS!$A:$P,16,FALSE)="","",VLOOKUP(A1116,[8]PRIORIZADOS!$A:$P,16,FALSE)),"")</f>
        <v>Visitas de evaluación con fines de mejoramiento</v>
      </c>
      <c r="Q1116" s="107" t="s">
        <v>211</v>
      </c>
      <c r="R1116" s="11" t="str">
        <f>IFERROR(IF(VLOOKUP(A1116,[8]PRIORIZADOS!$A:$R,18,FALSE)="","",VLOOKUP(A1116,[8]PRIORIZADOS!$A:$R,18,FALSE)),"")</f>
        <v>La institución no presenta evidencias de la revisión y análisis de los últimos resultados de las pruebas SABER 11</v>
      </c>
      <c r="S1116" s="11" t="str">
        <f>IFERROR(IF(VLOOKUP(A1116,[8]PRIORIZADOS!$A:$S,19,FALSE)="","",VLOOKUP(A1116,[8]PRIORIZADOS!$A:$S,19,FALSE)),"")</f>
        <v>La IE debe realizar la revisión y análisis de las pruebas saber 11 y formular acciones de mejoramiento mediante un plan de acción</v>
      </c>
      <c r="T1116" s="70" t="str">
        <f>IFERROR(IF(VLOOKUP(A1116,[8]PRIORIZADOS!$A:$T,20,FALSE)="","",VLOOKUP(A1116,[8]PRIORIZADOS!$A:$T,20,FALSE)),"")</f>
        <v>Si</v>
      </c>
      <c r="U1116" s="11" t="str">
        <f>IFERROR(IF(VLOOKUP(A1116,[8]PRIORIZADOS!$A:$U,21,FALSE)="","",VLOOKUP(A1116,[8]PRIORIZADOS!$A:$U,21,FALSE)),"")</f>
        <v>Seguimiento al cumplimiento del plan de mejoramiento. Se realiza visita de seguimiento el 1 de octubre y se establece envío de documentos para el día 5 de diciembre.</v>
      </c>
    </row>
    <row r="1117" spans="1:21" s="1" customFormat="1" ht="107.25">
      <c r="A1117" s="69">
        <f>IF([8]PRIORIZADOS!A96="","",[8]PRIORIZADOS!A96)</f>
        <v>1066</v>
      </c>
      <c r="B1117" s="70">
        <v>17</v>
      </c>
      <c r="C1117" s="11" t="str">
        <f>IFERROR(IF(VLOOKUP(A1117,[8]PRIORIZADOS!$A:$C,3,FALSE)="","",VLOOKUP(A1117,[8]PRIORIZADOS!$A:$C,3,FALSE)),"")</f>
        <v>KENNEDY</v>
      </c>
      <c r="D1117" s="11" t="str">
        <f>IFERROR(IF(VLOOKUP(A1117,[8]PRIORIZADOS!$A:$D,4,FALSE)="","",VLOOKUP(A1117,[8]PRIORIZADOS!$A:$D,4,FALSE)),"")</f>
        <v>PRIVADO</v>
      </c>
      <c r="E1117" s="11" t="str">
        <f>IFERROR(IF(VLOOKUP(A1117,[8]PRIORIZADOS!$A:$E,5,FALSE)="","",VLOOKUP(A1117,[8]PRIORIZADOS!$A:$E,5,FALSE)),"")</f>
        <v>EPBM</v>
      </c>
      <c r="F1117" s="11" t="str">
        <f>IFERROR(IF(VLOOKUP(A1117,[8]PRIORIZADOS!$A:$F,6,FALSE)="","",VLOOKUP(A1117,[8]PRIORIZADOS!$A:$F,6,FALSE)),"")</f>
        <v>COLEGIO_MI_PATRIA</v>
      </c>
      <c r="G1117" s="11" t="str">
        <f>IFERROR(IF(VLOOKUP(A1117,[8]PRIORIZADOS!$A:$G,7,FALSE)="","",VLOOKUP(A1117,[8]PRIORIZADOS!$A:$G,7,FALSE)),"")</f>
        <v>COLEGIO MI PATRIA</v>
      </c>
      <c r="H1117" s="11" t="str">
        <f>IFERROR(IF(VLOOKUP(A1117,[8]PRIORIZADOS!$A:$H,8,FALSE)="","",VLOOKUP(A1117,[8]PRIORIZADOS!$A:$H,8,FALSE)),"")</f>
        <v>Autoevaluación Institucional y Pruebas SABER 11</v>
      </c>
      <c r="I1117" s="11" t="str">
        <f>IFERROR(IF(VLOOKUP(A1117,[8]PRIORIZADOS!$A:$I,9,FALSE)="","",VLOOKUP(A1117,[8]PRIORIZADOS!$A:$I,9,FALSE)),"")</f>
        <v>EVALUACIÓN_CON_FINES_DE_MEJORAMIENTO.</v>
      </c>
      <c r="J1117" s="11" t="str">
        <f>IFERROR(IF(VLOOKUP(A1117,[8]PRIORIZADOS!$A:$J,10,FALSE)="","",VLOOKUP(A1117,[8]PRIORIZADOS!$A:$J,10,FALSE)),"")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17" s="11" t="str">
        <f>IFERROR(IF(VLOOKUP(A1117,[8]PRIORIZADOS!$A:$K,11,FALSE)="","",VLOOKUP(A1117,[8]PRIORIZADOS!$A:$K,11,FALSE)),"")</f>
        <v>GERMÁN EDUARDO TORO ROSERO</v>
      </c>
      <c r="L1117" s="11" t="str">
        <f>IFERROR(IF(VLOOKUP(A1117,[8]PRIORIZADOS!$A:$L,12,FALSE)="","",VLOOKUP(A1117,[8]PRIORIZADOS!$A:$L,12,FALSE)),"")</f>
        <v>LUIS FERNANDO CÁRDENAS URAN</v>
      </c>
      <c r="M1117" s="71">
        <f>IFERROR(IF(VLOOKUP(A1117,[8]PRIORIZADOS!$A:$M,13,FALSE)="","",VLOOKUP(A1117,[8]PRIORIZADOS!$A:$M,13,FALSE)),"")</f>
        <v>45785</v>
      </c>
      <c r="N1117" s="71">
        <f>IFERROR(IF(VLOOKUP(A1117,[8]PRIORIZADOS!$A:$N,14,FALSE)="","",VLOOKUP(A1117,[8]PRIORIZADOS!$A:$N,14,FALSE)),"")</f>
        <v>45785</v>
      </c>
      <c r="O1117" s="71">
        <f>IFERROR(IF(VLOOKUP(A1117,[8]PRIORIZADOS!$A:$O,15,FALSE)="","",VLOOKUP(A1117,[8]PRIORIZADOS!$A:$O,15,FALSE)),"")</f>
        <v>45785</v>
      </c>
      <c r="P1117" s="11" t="str">
        <f>IFERROR(IF(VLOOKUP(A1117,[8]PRIORIZADOS!$A:$P,16,FALSE)="","",VLOOKUP(A1117,[8]PRIORIZADOS!$A:$P,16,FALSE)),"")</f>
        <v>Visitas de evaluación con fines de mejoramiento</v>
      </c>
      <c r="Q1117" s="136" t="s">
        <v>211</v>
      </c>
      <c r="R1117" s="11" t="str">
        <f>IFERROR(IF(VLOOKUP(A1117,[8]PRIORIZADOS!$A:$R,18,FALSE)="","",VLOOKUP(A1117,[8]PRIORIZADOS!$A:$R,18,FALSE)),"")</f>
        <v>La IE no presenta evidencias de que el manual de convivencia haya sido elaborado y actualizado con la participación de toda la comunidad educativa, de igual manera el manual no presenta una estructura organizada y no incluye los enfoques de derechos humanos, genero, diversidad y enfoque restaurativo.</v>
      </c>
      <c r="S1117" s="11" t="str">
        <f>IFERROR(IF(VLOOKUP(A1117,[8]PRIORIZADOS!$A:$S,19,FALSE)="","",VLOOKUP(A1117,[8]PRIORIZADOS!$A:$S,19,FALSE)),"")</f>
        <v>La IE debe actualizar su manual de convivencia con la participación de toda la comunidad educativa y debe tener en cuenta el artículo 2.3.3.1.4.4. del Decreto 1075 de 2015, además de incluir los enfoques de derechos humanos, genero, diversidad y enfoque restaurativo.</v>
      </c>
      <c r="T1117" s="70" t="str">
        <f>IFERROR(IF(VLOOKUP(A1117,[8]PRIORIZADOS!$A:$T,20,FALSE)="","",VLOOKUP(A1117,[8]PRIORIZADOS!$A:$T,20,FALSE)),"")</f>
        <v>Si</v>
      </c>
      <c r="U1117" s="11" t="str">
        <f>IFERROR(IF(VLOOKUP(A1117,[8]PRIORIZADOS!$A:$U,21,FALSE)="","",VLOOKUP(A1117,[8]PRIORIZADOS!$A:$U,21,FALSE)),"")</f>
        <v>Seguimiento al cumplimiento del plan de mejoramiento. Se realiza visita de seguimiento el 1 de octubre y se establece envío de documentos para el día 5 de diciembre.</v>
      </c>
    </row>
    <row r="1118" spans="1:21" s="1" customFormat="1" ht="48">
      <c r="A1118" s="69">
        <f>IF([8]PRIORIZADOS!A97="","",[8]PRIORIZADOS!A97)</f>
        <v>1067</v>
      </c>
      <c r="B1118" s="70">
        <v>17</v>
      </c>
      <c r="C1118" s="11" t="str">
        <f>IFERROR(IF(VLOOKUP(A1118,[8]PRIORIZADOS!$A:$C,3,FALSE)="","",VLOOKUP(A1118,[8]PRIORIZADOS!$A:$C,3,FALSE)),"")</f>
        <v>KENNEDY</v>
      </c>
      <c r="D1118" s="11" t="str">
        <f>IFERROR(IF(VLOOKUP(A1118,[8]PRIORIZADOS!$A:$D,4,FALSE)="","",VLOOKUP(A1118,[8]PRIORIZADOS!$A:$D,4,FALSE)),"")</f>
        <v>PRIVADO</v>
      </c>
      <c r="E1118" s="11" t="str">
        <f>IFERROR(IF(VLOOKUP(A1118,[8]PRIORIZADOS!$A:$E,5,FALSE)="","",VLOOKUP(A1118,[8]PRIORIZADOS!$A:$E,5,FALSE)),"")</f>
        <v>EPBM</v>
      </c>
      <c r="F1118" s="11" t="str">
        <f>IFERROR(IF(VLOOKUP(A1118,[8]PRIORIZADOS!$A:$F,6,FALSE)="","",VLOOKUP(A1118,[8]PRIORIZADOS!$A:$F,6,FALSE)),"")</f>
        <v>COLEGIO_MI_PATRIA</v>
      </c>
      <c r="G1118" s="11" t="str">
        <f>IFERROR(IF(VLOOKUP(A1118,[8]PRIORIZADOS!$A:$G,7,FALSE)="","",VLOOKUP(A1118,[8]PRIORIZADOS!$A:$G,7,FALSE)),"")</f>
        <v>COLEGIO MI PATRIA</v>
      </c>
      <c r="H1118" s="11" t="str">
        <f>IFERROR(IF(VLOOKUP(A1118,[8]PRIORIZADOS!$A:$H,8,FALSE)="","",VLOOKUP(A1118,[8]PRIORIZADOS!$A:$H,8,FALSE)),"")</f>
        <v>Autoevaluación Institucional y Pruebas SABER 11</v>
      </c>
      <c r="I1118" s="11" t="str">
        <f>IFERROR(IF(VLOOKUP(A1118,[8]PRIORIZADOS!$A:$I,9,FALSE)="","",VLOOKUP(A1118,[8]PRIORIZADOS!$A:$I,9,FALSE)),"")</f>
        <v>EVALUACIÓN_CON_FINES_DE_MEJORAMIENTO.</v>
      </c>
      <c r="J1118" s="11" t="str">
        <f>IFERROR(IF(VLOOKUP(A1118,[8]PRIORIZADOS!$A:$J,10,FALSE)="","",VLOOKUP(A1118,[8]PRIORIZADOS!$A:$J,10,FALSE)),"")</f>
        <v>Verificar el funcionamiento del Gobierno Escolar e instancias de participación con base en la información sobre conformación reportada por la institución educativa.</v>
      </c>
      <c r="K1118" s="11" t="str">
        <f>IFERROR(IF(VLOOKUP(A1118,[8]PRIORIZADOS!$A:$K,11,FALSE)="","",VLOOKUP(A1118,[8]PRIORIZADOS!$A:$K,11,FALSE)),"")</f>
        <v>GERMÁN EDUARDO TORO ROSERO</v>
      </c>
      <c r="L1118" s="11" t="str">
        <f>IFERROR(IF(VLOOKUP(A1118,[8]PRIORIZADOS!$A:$L,12,FALSE)="","",VLOOKUP(A1118,[8]PRIORIZADOS!$A:$L,12,FALSE)),"")</f>
        <v>LUIS FERNANDO CÁRDENAS URAN</v>
      </c>
      <c r="M1118" s="71">
        <f>IFERROR(IF(VLOOKUP(A1118,[8]PRIORIZADOS!$A:$M,13,FALSE)="","",VLOOKUP(A1118,[8]PRIORIZADOS!$A:$M,13,FALSE)),"")</f>
        <v>45785</v>
      </c>
      <c r="N1118" s="71">
        <f>IFERROR(IF(VLOOKUP(A1118,[8]PRIORIZADOS!$A:$N,14,FALSE)="","",VLOOKUP(A1118,[8]PRIORIZADOS!$A:$N,14,FALSE)),"")</f>
        <v>45785</v>
      </c>
      <c r="O1118" s="71">
        <f>IFERROR(IF(VLOOKUP(A1118,[8]PRIORIZADOS!$A:$O,15,FALSE)="","",VLOOKUP(A1118,[8]PRIORIZADOS!$A:$O,15,FALSE)),"")</f>
        <v>45785</v>
      </c>
      <c r="P1118" s="11" t="str">
        <f>IFERROR(IF(VLOOKUP(A1118,[8]PRIORIZADOS!$A:$P,16,FALSE)="","",VLOOKUP(A1118,[8]PRIORIZADOS!$A:$P,16,FALSE)),"")</f>
        <v>Visitas de evaluación con fines de mejoramiento</v>
      </c>
      <c r="Q1118" s="107" t="s">
        <v>211</v>
      </c>
      <c r="R1118" s="11" t="str">
        <f>IFERROR(IF(VLOOKUP(A1118,[8]PRIORIZADOS!$A:$R,18,FALSE)="","",VLOOKUP(A1118,[8]PRIORIZADOS!$A:$R,18,FALSE)),"")</f>
        <v>La IE no evidencia el funcionamiento del gobierno escolar y demás instancias de participación</v>
      </c>
      <c r="S1118" s="11" t="str">
        <f>IFERROR(IF(VLOOKUP(A1118,[8]PRIORIZADOS!$A:$S,19,FALSE)="","",VLOOKUP(A1118,[8]PRIORIZADOS!$A:$S,19,FALSE)),"")</f>
        <v xml:space="preserve">La IE debe operativizar el gobierno escolar y demás instancias de participación dejando las respectivas evidencias. </v>
      </c>
      <c r="T1118" s="70" t="str">
        <f>IFERROR(IF(VLOOKUP(A1118,[8]PRIORIZADOS!$A:$T,20,FALSE)="","",VLOOKUP(A1118,[8]PRIORIZADOS!$A:$T,20,FALSE)),"")</f>
        <v>Si</v>
      </c>
      <c r="U1118" s="11" t="str">
        <f>IFERROR(IF(VLOOKUP(A1118,[8]PRIORIZADOS!$A:$U,21,FALSE)="","",VLOOKUP(A1118,[8]PRIORIZADOS!$A:$U,21,FALSE)),"")</f>
        <v>Seguimiento al cumplimiento del plan de mejoramiento. Se realiza visita de seguimiento el 1 de octubre y se establece envío de documentos para el día 5 de diciembre.</v>
      </c>
    </row>
    <row r="1119" spans="1:21" s="1" customFormat="1" ht="48">
      <c r="A1119" s="69">
        <f>IF([8]PRIORIZADOS!A98="","",[8]PRIORIZADOS!A98)</f>
        <v>1068</v>
      </c>
      <c r="B1119" s="70">
        <f>IFERROR(IF(VLOOKUP(A1119,[8]PRIORIZADOS!$A:$B,2,FALSE)="","",VLOOKUP(A1119,[8]PRIORIZADOS!$A:$B,2,FALSE)),"")</f>
        <v>18</v>
      </c>
      <c r="C1119" s="11" t="str">
        <f>IFERROR(IF(VLOOKUP(A1119,[8]PRIORIZADOS!$A:$C,3,FALSE)="","",VLOOKUP(A1119,[8]PRIORIZADOS!$A:$C,3,FALSE)),"")</f>
        <v>KENNEDY</v>
      </c>
      <c r="D1119" s="11" t="str">
        <f>IFERROR(IF(VLOOKUP(A1119,[8]PRIORIZADOS!$A:$D,4,FALSE)="","",VLOOKUP(A1119,[8]PRIORIZADOS!$A:$D,4,FALSE)),"")</f>
        <v>PRIVADO</v>
      </c>
      <c r="E1119" s="11" t="str">
        <f>IFERROR(IF(VLOOKUP(A1119,[8]PRIORIZADOS!$A:$E,5,FALSE)="","",VLOOKUP(A1119,[8]PRIORIZADOS!$A:$E,5,FALSE)),"")</f>
        <v>EPBM</v>
      </c>
      <c r="F1119" s="11" t="str">
        <f>IFERROR(IF(VLOOKUP(A1119,[8]PRIORIZADOS!$A:$F,6,FALSE)="","",VLOOKUP(A1119,[8]PRIORIZADOS!$A:$F,6,FALSE)),"")</f>
        <v>COLEGIO_MILITAR_ANTONIA_SANTOS</v>
      </c>
      <c r="G1119" s="11" t="str">
        <f>IFERROR(IF(VLOOKUP(A1119,[8]PRIORIZADOS!$A:$G,7,FALSE)="","",VLOOKUP(A1119,[8]PRIORIZADOS!$A:$G,7,FALSE)),"")</f>
        <v>COLEGIO MILITAR ANTONIA SANTOS</v>
      </c>
      <c r="H1119" s="11" t="str">
        <f>IFERROR(IF(VLOOKUP(A1119,[8]PRIORIZADOS!$A:$H,8,FALSE)="","",VLOOKUP(A1119,[8]PRIORIZADOS!$A:$H,8,FALSE)),"")</f>
        <v>Autoevaluación Institucional y Pruebas SABER 11</v>
      </c>
      <c r="I1119" s="11" t="str">
        <f>IFERROR(IF(VLOOKUP(A1119,[8]PRIORIZADOS!$A:$I,9,FALSE)="","",VLOOKUP(A1119,[8]PRIORIZADOS!$A:$I,9,FALSE)),"")</f>
        <v>SEGUIMIENTO_Y_SUPERVISIÓN.</v>
      </c>
      <c r="J1119" s="11" t="str">
        <f>IFERROR(IF(VLOOKUP(A1119,[8]PRIORIZADOS!$A:$J,10,FALSE)="","",VLOOKUP(A1119,[8]PRIORIZADOS!$A:$J,10,FALSE)),"")</f>
        <v>Realizar visitas para verificar la información registrada sobre la autoevaluación institucional en el aplicativo EVI, a los establecimientos de educación formal no oficial.</v>
      </c>
      <c r="K1119" s="11" t="str">
        <f>IFERROR(IF(VLOOKUP(A1119,[8]PRIORIZADOS!$A:$K,11,FALSE)="","",VLOOKUP(A1119,[8]PRIORIZADOS!$A:$K,11,FALSE)),"")</f>
        <v>INGRID VIVIANA DÁVILA ÁVILA</v>
      </c>
      <c r="L1119" s="11" t="str">
        <f>IFERROR(IF(VLOOKUP(A1119,[8]PRIORIZADOS!$A:$L,12,FALSE)="","",VLOOKUP(A1119,[8]PRIORIZADOS!$A:$L,12,FALSE)),"")</f>
        <v xml:space="preserve">DIANA ZULAY HUERTAS ORTÍZ </v>
      </c>
      <c r="M1119" s="71">
        <f>IFERROR(IF(VLOOKUP(A1119,[8]PRIORIZADOS!$A:$M,13,FALSE)="","",VLOOKUP(A1119,[8]PRIORIZADOS!$A:$M,13,FALSE)),"")</f>
        <v>45790</v>
      </c>
      <c r="N1119" s="71">
        <f>IFERROR(IF(VLOOKUP(A1119,[8]PRIORIZADOS!$A:$N,14,FALSE)="","",VLOOKUP(A1119,[8]PRIORIZADOS!$A:$N,14,FALSE)),"")</f>
        <v>45790</v>
      </c>
      <c r="O1119" s="71">
        <f>IFERROR(IF(VLOOKUP(A1119,[8]PRIORIZADOS!$A:$O,15,FALSE)="","",VLOOKUP(A1119,[8]PRIORIZADOS!$A:$O,15,FALSE)),"")</f>
        <v>45790</v>
      </c>
      <c r="P1119" s="11" t="str">
        <f>IFERROR(IF(VLOOKUP(A1119,[8]PRIORIZADOS!$A:$P,16,FALSE)="","",VLOOKUP(A1119,[8]PRIORIZADOS!$A:$P,16,FALSE)),"")</f>
        <v>Visitas de evaluación con fines de mejoramiento</v>
      </c>
      <c r="Q1119" s="126" t="s">
        <v>212</v>
      </c>
      <c r="R1119" s="11" t="str">
        <f>IFERROR(IF(VLOOKUP(A1119,[8]PRIORIZADOS!$A:$R,18,FALSE)="","",VLOOKUP(A1119,[8]PRIORIZADOS!$A:$R,18,FALSE)),"")</f>
        <v>La EE, registra información que da cuenta de la realidad institucional, En cuanto los espacios físicos, gestión administrativa y recursos.</v>
      </c>
      <c r="S1119" s="11" t="str">
        <f>IFERROR(IF(VLOOKUP(A1119,[8]PRIORIZADOS!$A:$S,19,FALSE)="","",VLOOKUP(A1119,[8]PRIORIZADOS!$A:$S,19,FALSE)),"")</f>
        <v>Seguir registrando la información que da cuenta de la realidad institucional.</v>
      </c>
      <c r="T1119" s="70" t="str">
        <f>IFERROR(IF(VLOOKUP(A1119,[8]PRIORIZADOS!$A:$T,20,FALSE)="","",VLOOKUP(A1119,[8]PRIORIZADOS!$A:$T,20,FALSE)),"")</f>
        <v>No</v>
      </c>
      <c r="U1119" s="11" t="str">
        <f>IFERROR(IF(VLOOKUP(A1119,[8]PRIORIZADOS!$A:$U,21,FALSE)="","",VLOOKUP(A1119,[8]PRIORIZADOS!$A:$U,21,FALSE)),"")</f>
        <v>Verificar en el aplicativo EVI, la información registrada.</v>
      </c>
    </row>
    <row r="1120" spans="1:21" s="1" customFormat="1" ht="60">
      <c r="A1120" s="69">
        <f>IF([8]PRIORIZADOS!A99="","",[8]PRIORIZADOS!A99)</f>
        <v>1069</v>
      </c>
      <c r="B1120" s="70">
        <v>18</v>
      </c>
      <c r="C1120" s="11" t="str">
        <f>IFERROR(IF(VLOOKUP(A1120,[8]PRIORIZADOS!$A:$C,3,FALSE)="","",VLOOKUP(A1120,[8]PRIORIZADOS!$A:$C,3,FALSE)),"")</f>
        <v>KENNEDY</v>
      </c>
      <c r="D1120" s="11" t="str">
        <f>IFERROR(IF(VLOOKUP(A1120,[8]PRIORIZADOS!$A:$D,4,FALSE)="","",VLOOKUP(A1120,[8]PRIORIZADOS!$A:$D,4,FALSE)),"")</f>
        <v>PRIVADO</v>
      </c>
      <c r="E1120" s="11" t="str">
        <f>IFERROR(IF(VLOOKUP(A1120,[8]PRIORIZADOS!$A:$E,5,FALSE)="","",VLOOKUP(A1120,[8]PRIORIZADOS!$A:$E,5,FALSE)),"")</f>
        <v>EPBM</v>
      </c>
      <c r="F1120" s="11" t="str">
        <f>IFERROR(IF(VLOOKUP(A1120,[8]PRIORIZADOS!$A:$F,6,FALSE)="","",VLOOKUP(A1120,[8]PRIORIZADOS!$A:$F,6,FALSE)),"")</f>
        <v>COLEGIO_MILITAR_ANTONIA_SANTOS</v>
      </c>
      <c r="G1120" s="11" t="str">
        <f>IFERROR(IF(VLOOKUP(A1120,[8]PRIORIZADOS!$A:$G,7,FALSE)="","",VLOOKUP(A1120,[8]PRIORIZADOS!$A:$G,7,FALSE)),"")</f>
        <v>COLEGIO MILITAR ANTONIA SANTOS</v>
      </c>
      <c r="H1120" s="11" t="str">
        <f>IFERROR(IF(VLOOKUP(A1120,[8]PRIORIZADOS!$A:$H,8,FALSE)="","",VLOOKUP(A1120,[8]PRIORIZADOS!$A:$H,8,FALSE)),"")</f>
        <v>Autoevaluación Institucional y Pruebas SABER 11</v>
      </c>
      <c r="I1120" s="11" t="str">
        <f>IFERROR(IF(VLOOKUP(A1120,[8]PRIORIZADOS!$A:$I,9,FALSE)="","",VLOOKUP(A1120,[8]PRIORIZADOS!$A:$I,9,FALSE)),"")</f>
        <v>SEGUIMIENTO_Y_SUPERVISIÓN.</v>
      </c>
      <c r="J1120" s="11" t="str">
        <f>IFERROR(IF(VLOOKUP(A1120,[8]PRIORIZADOS!$A:$J,10,FALSE)="","",VLOOKUP(A1120,[8]PRIORIZADOS!$A:$J,10,FALSE)),"")</f>
        <v>Proponer estrategias en la formulación, verificar su elaboración y realizar seguimiento semestral al desarrollo de  las acciones establecidas en los planes de mejoramiento por pruebas SABER 11 de los establecimientos de educación formal.</v>
      </c>
      <c r="K1120" s="11" t="str">
        <f>IFERROR(IF(VLOOKUP(A1120,[8]PRIORIZADOS!$A:$K,11,FALSE)="","",VLOOKUP(A1120,[8]PRIORIZADOS!$A:$K,11,FALSE)),"")</f>
        <v>INGRID VIVIANA DÁVILA ÁVILA</v>
      </c>
      <c r="L1120" s="11" t="str">
        <f>IFERROR(IF(VLOOKUP(A1120,[8]PRIORIZADOS!$A:$L,12,FALSE)="","",VLOOKUP(A1120,[8]PRIORIZADOS!$A:$L,12,FALSE)),"")</f>
        <v xml:space="preserve">DIANA ZULAY HUERTAS ORTÍZ </v>
      </c>
      <c r="M1120" s="71">
        <f>IFERROR(IF(VLOOKUP(A1120,[8]PRIORIZADOS!$A:$M,13,FALSE)="","",VLOOKUP(A1120,[8]PRIORIZADOS!$A:$M,13,FALSE)),"")</f>
        <v>45790</v>
      </c>
      <c r="N1120" s="71">
        <f>IFERROR(IF(VLOOKUP(A1120,[8]PRIORIZADOS!$A:$N,14,FALSE)="","",VLOOKUP(A1120,[8]PRIORIZADOS!$A:$N,14,FALSE)),"")</f>
        <v>45790</v>
      </c>
      <c r="O1120" s="71">
        <f>IFERROR(IF(VLOOKUP(A1120,[8]PRIORIZADOS!$A:$O,15,FALSE)="","",VLOOKUP(A1120,[8]PRIORIZADOS!$A:$O,15,FALSE)),"")</f>
        <v>45790</v>
      </c>
      <c r="P1120" s="11" t="str">
        <f>IFERROR(IF(VLOOKUP(A1120,[8]PRIORIZADOS!$A:$P,16,FALSE)="","",VLOOKUP(A1120,[8]PRIORIZADOS!$A:$P,16,FALSE)),"")</f>
        <v>Visitas de evaluación con fines de mejoramiento</v>
      </c>
      <c r="Q1120" s="107" t="s">
        <v>212</v>
      </c>
      <c r="R1120" s="11" t="str">
        <f>IFERROR(IF(VLOOKUP(A1120,[8]PRIORIZADOS!$A:$R,18,FALSE)="","",VLOOKUP(A1120,[8]PRIORIZADOS!$A:$R,18,FALSE)),"")</f>
        <v>La EE, no cuenta con un análisis de los resultados de pruebas SABER 11, que le permita establecer estrategias y actualizar su plan de estudios con acciones para mejorar.</v>
      </c>
      <c r="S1120" s="11" t="str">
        <f>IFERROR(IF(VLOOKUP(A1120,[8]PRIORIZADOS!$A:$S,19,FALSE)="","",VLOOKUP(A1120,[8]PRIORIZADOS!$A:$S,19,FALSE)),"")</f>
        <v>Realizar un análisis de los resultado de últimas pruebas SABER 11 y establecer las acciones de mejoramiento junto con el consejo académico e involucrarla en la actualización de los planes de estudio</v>
      </c>
      <c r="T1120" s="70" t="str">
        <f>IFERROR(IF(VLOOKUP(A1120,[8]PRIORIZADOS!$A:$T,20,FALSE)="","",VLOOKUP(A1120,[8]PRIORIZADOS!$A:$T,20,FALSE)),"")</f>
        <v>Si</v>
      </c>
      <c r="U1120" s="11" t="str">
        <f>IFERROR(IF(VLOOKUP(A1120,[8]PRIORIZADOS!$A:$U,21,FALSE)="","",VLOOKUP(A1120,[8]PRIORIZADOS!$A:$U,21,FALSE)),"")</f>
        <v>Verificar el cumplimiento del plan de mejoramiento y de los resultados obtenidos en su implementación. Se realiza mesa de seguimiento el día 26 de septiembre 2025.Se validará el cumplimiento de las actividades pendientes el  5 de diciembre.</v>
      </c>
    </row>
    <row r="1121" spans="1:21" s="1" customFormat="1" ht="48">
      <c r="A1121" s="69">
        <f>IF([8]PRIORIZADOS!A100="","",[8]PRIORIZADOS!A100)</f>
        <v>1070</v>
      </c>
      <c r="B1121" s="70">
        <v>18</v>
      </c>
      <c r="C1121" s="11" t="str">
        <f>IFERROR(IF(VLOOKUP(A1121,[8]PRIORIZADOS!$A:$C,3,FALSE)="","",VLOOKUP(A1121,[8]PRIORIZADOS!$A:$C,3,FALSE)),"")</f>
        <v>KENNEDY</v>
      </c>
      <c r="D1121" s="11" t="str">
        <f>IFERROR(IF(VLOOKUP(A1121,[8]PRIORIZADOS!$A:$D,4,FALSE)="","",VLOOKUP(A1121,[8]PRIORIZADOS!$A:$D,4,FALSE)),"")</f>
        <v>PRIVADO</v>
      </c>
      <c r="E1121" s="11" t="str">
        <f>IFERROR(IF(VLOOKUP(A1121,[8]PRIORIZADOS!$A:$E,5,FALSE)="","",VLOOKUP(A1121,[8]PRIORIZADOS!$A:$E,5,FALSE)),"")</f>
        <v>EPBM</v>
      </c>
      <c r="F1121" s="11" t="str">
        <f>IFERROR(IF(VLOOKUP(A1121,[8]PRIORIZADOS!$A:$F,6,FALSE)="","",VLOOKUP(A1121,[8]PRIORIZADOS!$A:$F,6,FALSE)),"")</f>
        <v>COLEGIO_MILITAR_ANTONIA_SANTOS</v>
      </c>
      <c r="G1121" s="11" t="str">
        <f>IFERROR(IF(VLOOKUP(A1121,[8]PRIORIZADOS!$A:$G,7,FALSE)="","",VLOOKUP(A1121,[8]PRIORIZADOS!$A:$G,7,FALSE)),"")</f>
        <v>COLEGIO MILITAR ANTONIA SANTOS</v>
      </c>
      <c r="H1121" s="11" t="str">
        <f>IFERROR(IF(VLOOKUP(A1121,[8]PRIORIZADOS!$A:$H,8,FALSE)="","",VLOOKUP(A1121,[8]PRIORIZADOS!$A:$H,8,FALSE)),"")</f>
        <v>Autoevaluación Institucional y Pruebas SABER 11</v>
      </c>
      <c r="I1121" s="11" t="str">
        <f>IFERROR(IF(VLOOKUP(A1121,[8]PRIORIZADOS!$A:$I,9,FALSE)="","",VLOOKUP(A1121,[8]PRIORIZADOS!$A:$I,9,FALSE)),"")</f>
        <v>SEGUIMIENTO_Y_SUPERVISIÓN.</v>
      </c>
      <c r="J1121" s="11" t="str">
        <f>IFERROR(IF(VLOOKUP(A1121,[8]PRIORIZADOS!$A:$J,10,FALSE)="","",VLOOKUP(A1121,[8]PRIORIZADOS!$A:$J,10,FALSE)),"")</f>
        <v xml:space="preserve">Verificar la implementación por parte de los colegios, de acciones realizadas para la prevención y atención de las situaciones de convivencia en el entorno escolar, según lo establecido en la Directiva 01 de 2022 del MEN. </v>
      </c>
      <c r="K1121" s="11" t="str">
        <f>IFERROR(IF(VLOOKUP(A1121,[8]PRIORIZADOS!$A:$K,11,FALSE)="","",VLOOKUP(A1121,[8]PRIORIZADOS!$A:$K,11,FALSE)),"")</f>
        <v>INGRID VIVIANA DÁVILA ÁVILA</v>
      </c>
      <c r="L1121" s="11" t="str">
        <f>IFERROR(IF(VLOOKUP(A1121,[8]PRIORIZADOS!$A:$L,12,FALSE)="","",VLOOKUP(A1121,[8]PRIORIZADOS!$A:$L,12,FALSE)),"")</f>
        <v xml:space="preserve">DIANA ZULAY HUERTAS ORTÍZ </v>
      </c>
      <c r="M1121" s="71">
        <f>IFERROR(IF(VLOOKUP(A1121,[8]PRIORIZADOS!$A:$M,13,FALSE)="","",VLOOKUP(A1121,[8]PRIORIZADOS!$A:$M,13,FALSE)),"")</f>
        <v>45790</v>
      </c>
      <c r="N1121" s="71">
        <f>IFERROR(IF(VLOOKUP(A1121,[8]PRIORIZADOS!$A:$N,14,FALSE)="","",VLOOKUP(A1121,[8]PRIORIZADOS!$A:$N,14,FALSE)),"")</f>
        <v>45790</v>
      </c>
      <c r="O1121" s="71">
        <f>IFERROR(IF(VLOOKUP(A1121,[8]PRIORIZADOS!$A:$O,15,FALSE)="","",VLOOKUP(A1121,[8]PRIORIZADOS!$A:$O,15,FALSE)),"")</f>
        <v>45790</v>
      </c>
      <c r="P1121" s="11" t="str">
        <f>IFERROR(IF(VLOOKUP(A1121,[8]PRIORIZADOS!$A:$P,16,FALSE)="","",VLOOKUP(A1121,[8]PRIORIZADOS!$A:$P,16,FALSE)),"")</f>
        <v>Visitas de evaluación con fines de mejoramiento</v>
      </c>
      <c r="Q1121" s="125" t="s">
        <v>212</v>
      </c>
      <c r="R1121" s="11" t="str">
        <f>IFERROR(IF(VLOOKUP(A1121,[8]PRIORIZADOS!$A:$R,18,FALSE)="","",VLOOKUP(A1121,[8]PRIORIZADOS!$A:$R,18,FALSE)),"")</f>
        <v xml:space="preserve">La EE, cuenta con un plan de promoción y prevención de situaciones que afectan la convivencia. </v>
      </c>
      <c r="S1121" s="11" t="str">
        <f>IFERROR(IF(VLOOKUP(A1121,[8]PRIORIZADOS!$A:$S,19,FALSE)="","",VLOOKUP(A1121,[8]PRIORIZADOS!$A:$S,19,FALSE)),"")</f>
        <v>Planear y ejecutar anualmente un plan de acción que dé cuenta de las acciones de promoción y prevención de situaciones que afectan la convivencia .</v>
      </c>
      <c r="T1121" s="70" t="str">
        <f>IFERROR(IF(VLOOKUP(A1121,[8]PRIORIZADOS!$A:$T,20,FALSE)="","",VLOOKUP(A1121,[8]PRIORIZADOS!$A:$T,20,FALSE)),"")</f>
        <v>No</v>
      </c>
      <c r="U1121" s="11" t="str">
        <f>IFERROR(IF(VLOOKUP(A1121,[8]PRIORIZADOS!$A:$U,21,FALSE)="","",VLOOKUP(A1121,[8]PRIORIZADOS!$A:$U,21,FALSE)),"")</f>
        <v xml:space="preserve">El ELIV, verificará la ejecución y evaluación del plan de acción para la promoción de la convivencia escolar. </v>
      </c>
    </row>
    <row r="1122" spans="1:21" s="1" customFormat="1" ht="84">
      <c r="A1122" s="69">
        <f>IF([8]PRIORIZADOS!A101="","",[8]PRIORIZADOS!A101)</f>
        <v>1071</v>
      </c>
      <c r="B1122" s="70">
        <v>18</v>
      </c>
      <c r="C1122" s="11" t="str">
        <f>IFERROR(IF(VLOOKUP(A1122,[8]PRIORIZADOS!$A:$C,3,FALSE)="","",VLOOKUP(A1122,[8]PRIORIZADOS!$A:$C,3,FALSE)),"")</f>
        <v>KENNEDY</v>
      </c>
      <c r="D1122" s="11" t="str">
        <f>IFERROR(IF(VLOOKUP(A1122,[8]PRIORIZADOS!$A:$D,4,FALSE)="","",VLOOKUP(A1122,[8]PRIORIZADOS!$A:$D,4,FALSE)),"")</f>
        <v>PRIVADO</v>
      </c>
      <c r="E1122" s="11" t="str">
        <f>IFERROR(IF(VLOOKUP(A1122,[8]PRIORIZADOS!$A:$E,5,FALSE)="","",VLOOKUP(A1122,[8]PRIORIZADOS!$A:$E,5,FALSE)),"")</f>
        <v>EPBM</v>
      </c>
      <c r="F1122" s="11" t="str">
        <f>IFERROR(IF(VLOOKUP(A1122,[8]PRIORIZADOS!$A:$F,6,FALSE)="","",VLOOKUP(A1122,[8]PRIORIZADOS!$A:$F,6,FALSE)),"")</f>
        <v>COLEGIO_MILITAR_ANTONIA_SANTOS</v>
      </c>
      <c r="G1122" s="11" t="str">
        <f>IFERROR(IF(VLOOKUP(A1122,[8]PRIORIZADOS!$A:$G,7,FALSE)="","",VLOOKUP(A1122,[8]PRIORIZADOS!$A:$G,7,FALSE)),"")</f>
        <v>COLEGIO MILITAR ANTONIA SANTOS</v>
      </c>
      <c r="H1122" s="11" t="str">
        <f>IFERROR(IF(VLOOKUP(A1122,[8]PRIORIZADOS!$A:$H,8,FALSE)="","",VLOOKUP(A1122,[8]PRIORIZADOS!$A:$H,8,FALSE)),"")</f>
        <v>Autoevaluación Institucional y Pruebas SABER 11</v>
      </c>
      <c r="I1122" s="11" t="str">
        <f>IFERROR(IF(VLOOKUP(A1122,[8]PRIORIZADOS!$A:$I,9,FALSE)="","",VLOOKUP(A1122,[8]PRIORIZADOS!$A:$I,9,FALSE)),"")</f>
        <v>EVALUACIÓN_CON_FINES_DE_MEJORAMIENTO.</v>
      </c>
      <c r="J1122" s="11" t="str">
        <f>IFERROR(IF(VLOOKUP(A1122,[8]PRIORIZADOS!$A:$J,10,FALSE)="","",VLOOKUP(A1122,[8]PRIORIZADOS!$A:$J,10,FALSE)),"")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22" s="11" t="str">
        <f>IFERROR(IF(VLOOKUP(A1122,[8]PRIORIZADOS!$A:$K,11,FALSE)="","",VLOOKUP(A1122,[8]PRIORIZADOS!$A:$K,11,FALSE)),"")</f>
        <v>INGRID VIVIANA DÁVILA ÁVILA</v>
      </c>
      <c r="L1122" s="11" t="str">
        <f>IFERROR(IF(VLOOKUP(A1122,[8]PRIORIZADOS!$A:$L,12,FALSE)="","",VLOOKUP(A1122,[8]PRIORIZADOS!$A:$L,12,FALSE)),"")</f>
        <v xml:space="preserve">DIANA ZULAY HUERTAS ORTÍZ </v>
      </c>
      <c r="M1122" s="71">
        <f>IFERROR(IF(VLOOKUP(A1122,[8]PRIORIZADOS!$A:$M,13,FALSE)="","",VLOOKUP(A1122,[8]PRIORIZADOS!$A:$M,13,FALSE)),"")</f>
        <v>45790</v>
      </c>
      <c r="N1122" s="71">
        <f>IFERROR(IF(VLOOKUP(A1122,[8]PRIORIZADOS!$A:$N,14,FALSE)="","",VLOOKUP(A1122,[8]PRIORIZADOS!$A:$N,14,FALSE)),"")</f>
        <v>45790</v>
      </c>
      <c r="O1122" s="71">
        <f>IFERROR(IF(VLOOKUP(A1122,[8]PRIORIZADOS!$A:$O,15,FALSE)="","",VLOOKUP(A1122,[8]PRIORIZADOS!$A:$O,15,FALSE)),"")</f>
        <v>45790</v>
      </c>
      <c r="P1122" s="11" t="str">
        <f>IFERROR(IF(VLOOKUP(A1122,[8]PRIORIZADOS!$A:$P,16,FALSE)="","",VLOOKUP(A1122,[8]PRIORIZADOS!$A:$P,16,FALSE)),"")</f>
        <v>Visitas de evaluación con fines de mejoramiento</v>
      </c>
      <c r="Q1122" s="107" t="s">
        <v>212</v>
      </c>
      <c r="R1122" s="11" t="str">
        <f>IFERROR(IF(VLOOKUP(A1122,[8]PRIORIZADOS!$A:$R,18,FALSE)="","",VLOOKUP(A1122,[8]PRIORIZADOS!$A:$R,18,FALSE)),"")</f>
        <v>La EE, debe actualizar el manual de convivencia de acuerdo a la normatividad vigente.</v>
      </c>
      <c r="S1122" s="11" t="str">
        <f>IFERROR(IF(VLOOKUP(A1122,[8]PRIORIZADOS!$A:$S,19,FALSE)="","",VLOOKUP(A1122,[8]PRIORIZADOS!$A:$S,19,FALSE)),"")</f>
        <v xml:space="preserve"> Actualizar de manera participativa el manual de convivencia de la institución teniendo los enfoques, la tipificación de situaciones y las faltas de acuerdo a la ley 1620 y decreto 1965.</v>
      </c>
      <c r="T1122" s="70" t="str">
        <f>IFERROR(IF(VLOOKUP(A1122,[8]PRIORIZADOS!$A:$T,20,FALSE)="","",VLOOKUP(A1122,[8]PRIORIZADOS!$A:$T,20,FALSE)),"")</f>
        <v>Si</v>
      </c>
      <c r="U1122" s="11" t="str">
        <f>IFERROR(IF(VLOOKUP(A1122,[8]PRIORIZADOS!$A:$U,21,FALSE)="","",VLOOKUP(A1122,[8]PRIORIZADOS!$A:$U,21,FALSE)),"")</f>
        <v>El ELIV verificará la actualización del manual de convivencia. Se realiza mesa de seguimiento el día 26 de septiembre 2025.Se validará el cumplimiento de las actividades pendientes el  5 de diciembre.</v>
      </c>
    </row>
    <row r="1123" spans="1:21" s="1" customFormat="1" ht="48">
      <c r="A1123" s="69">
        <f>IF([8]PRIORIZADOS!A102="","",[8]PRIORIZADOS!A102)</f>
        <v>1072</v>
      </c>
      <c r="B1123" s="70">
        <v>18</v>
      </c>
      <c r="C1123" s="11" t="str">
        <f>IFERROR(IF(VLOOKUP(A1123,[8]PRIORIZADOS!$A:$C,3,FALSE)="","",VLOOKUP(A1123,[8]PRIORIZADOS!$A:$C,3,FALSE)),"")</f>
        <v>KENNEDY</v>
      </c>
      <c r="D1123" s="11" t="str">
        <f>IFERROR(IF(VLOOKUP(A1123,[8]PRIORIZADOS!$A:$D,4,FALSE)="","",VLOOKUP(A1123,[8]PRIORIZADOS!$A:$D,4,FALSE)),"")</f>
        <v>PRIVADO</v>
      </c>
      <c r="E1123" s="11" t="str">
        <f>IFERROR(IF(VLOOKUP(A1123,[8]PRIORIZADOS!$A:$E,5,FALSE)="","",VLOOKUP(A1123,[8]PRIORIZADOS!$A:$E,5,FALSE)),"")</f>
        <v>EPBM</v>
      </c>
      <c r="F1123" s="11" t="str">
        <f>IFERROR(IF(VLOOKUP(A1123,[8]PRIORIZADOS!$A:$F,6,FALSE)="","",VLOOKUP(A1123,[8]PRIORIZADOS!$A:$F,6,FALSE)),"")</f>
        <v>COLEGIO_MILITAR_ANTONIA_SANTOS</v>
      </c>
      <c r="G1123" s="11" t="str">
        <f>IFERROR(IF(VLOOKUP(A1123,[8]PRIORIZADOS!$A:$G,7,FALSE)="","",VLOOKUP(A1123,[8]PRIORIZADOS!$A:$G,7,FALSE)),"")</f>
        <v>COLEGIO MILITAR ANTONIA SANTOS</v>
      </c>
      <c r="H1123" s="11" t="str">
        <f>IFERROR(IF(VLOOKUP(A1123,[8]PRIORIZADOS!$A:$H,8,FALSE)="","",VLOOKUP(A1123,[8]PRIORIZADOS!$A:$H,8,FALSE)),"")</f>
        <v>Autoevaluación Institucional y Pruebas SABER 11</v>
      </c>
      <c r="I1123" s="11" t="str">
        <f>IFERROR(IF(VLOOKUP(A1123,[8]PRIORIZADOS!$A:$I,9,FALSE)="","",VLOOKUP(A1123,[8]PRIORIZADOS!$A:$I,9,FALSE)),"")</f>
        <v>EVALUACIÓN_CON_FINES_DE_MEJORAMIENTO.</v>
      </c>
      <c r="J1123" s="11" t="str">
        <f>IFERROR(IF(VLOOKUP(A1123,[8]PRIORIZADOS!$A:$J,10,FALSE)="","",VLOOKUP(A1123,[8]PRIORIZADOS!$A:$J,10,FALSE)),"")</f>
        <v>Revisar el calendario escolar, jornada escolar, la intensidad horaria mínima anual en cada nivel y las modificaciones que se realicen al mismo, de acuerdo con lo previsto en la normatividad vigente.</v>
      </c>
      <c r="K1123" s="11" t="str">
        <f>IFERROR(IF(VLOOKUP(A1123,[8]PRIORIZADOS!$A:$K,11,FALSE)="","",VLOOKUP(A1123,[8]PRIORIZADOS!$A:$K,11,FALSE)),"")</f>
        <v>INGRID VIVIANA DÁVILA ÁVILA</v>
      </c>
      <c r="L1123" s="11" t="str">
        <f>IFERROR(IF(VLOOKUP(A1123,[8]PRIORIZADOS!$A:$L,12,FALSE)="","",VLOOKUP(A1123,[8]PRIORIZADOS!$A:$L,12,FALSE)),"")</f>
        <v xml:space="preserve">DIANA ZULAY HUERTAS ORTÍZ </v>
      </c>
      <c r="M1123" s="71">
        <f>IFERROR(IF(VLOOKUP(A1123,[8]PRIORIZADOS!$A:$M,13,FALSE)="","",VLOOKUP(A1123,[8]PRIORIZADOS!$A:$M,13,FALSE)),"")</f>
        <v>45790</v>
      </c>
      <c r="N1123" s="71">
        <f>IFERROR(IF(VLOOKUP(A1123,[8]PRIORIZADOS!$A:$N,14,FALSE)="","",VLOOKUP(A1123,[8]PRIORIZADOS!$A:$N,14,FALSE)),"")</f>
        <v>45790</v>
      </c>
      <c r="O1123" s="71">
        <f>IFERROR(IF(VLOOKUP(A1123,[8]PRIORIZADOS!$A:$O,15,FALSE)="","",VLOOKUP(A1123,[8]PRIORIZADOS!$A:$O,15,FALSE)),"")</f>
        <v>45790</v>
      </c>
      <c r="P1123" s="11" t="str">
        <f>IFERROR(IF(VLOOKUP(A1123,[8]PRIORIZADOS!$A:$P,16,FALSE)="","",VLOOKUP(A1123,[8]PRIORIZADOS!$A:$P,16,FALSE)),"")</f>
        <v>Visitas de evaluación con fines de mejoramiento</v>
      </c>
      <c r="Q1123" s="107" t="s">
        <v>212</v>
      </c>
      <c r="R1123" s="11" t="str">
        <f>IFERROR(IF(VLOOKUP(A1123,[8]PRIORIZADOS!$A:$R,18,FALSE)="","",VLOOKUP(A1123,[8]PRIORIZADOS!$A:$R,18,FALSE)),"")</f>
        <v>La EE, cumple con la intensidad horaria mínima anual para cada nivel.</v>
      </c>
      <c r="S1123" s="11" t="str">
        <f>IFERROR(IF(VLOOKUP(A1123,[8]PRIORIZADOS!$A:$S,19,FALSE)="","",VLOOKUP(A1123,[8]PRIORIZADOS!$A:$S,19,FALSE)),"")</f>
        <v xml:space="preserve">La EE, debe seguir cumpliendo con la intensidad horaria mínima. </v>
      </c>
      <c r="T1123" s="70" t="str">
        <f>IFERROR(IF(VLOOKUP(A1123,[8]PRIORIZADOS!$A:$T,20,FALSE)="","",VLOOKUP(A1123,[8]PRIORIZADOS!$A:$T,20,FALSE)),"")</f>
        <v>No</v>
      </c>
      <c r="U1123" s="11" t="str">
        <f>IFERROR(IF(VLOOKUP(A1123,[8]PRIORIZADOS!$A:$U,21,FALSE)="","",VLOOKUP(A1123,[8]PRIORIZADOS!$A:$U,21,FALSE)),"")</f>
        <v xml:space="preserve">El ELIV verificará en la próxima vigencia el cumplimiento del calendario escolar. </v>
      </c>
    </row>
    <row r="1124" spans="1:21" s="1" customFormat="1" ht="72">
      <c r="A1124" s="69">
        <f>IF([8]PRIORIZADOS!A103="","",[8]PRIORIZADOS!A103)</f>
        <v>1073</v>
      </c>
      <c r="B1124" s="70">
        <v>18</v>
      </c>
      <c r="C1124" s="11" t="str">
        <f>IFERROR(IF(VLOOKUP(A1124,[8]PRIORIZADOS!$A:$C,3,FALSE)="","",VLOOKUP(A1124,[8]PRIORIZADOS!$A:$C,3,FALSE)),"")</f>
        <v>KENNEDY</v>
      </c>
      <c r="D1124" s="11" t="str">
        <f>IFERROR(IF(VLOOKUP(A1124,[8]PRIORIZADOS!$A:$D,4,FALSE)="","",VLOOKUP(A1124,[8]PRIORIZADOS!$A:$D,4,FALSE)),"")</f>
        <v>PRIVADO</v>
      </c>
      <c r="E1124" s="11" t="str">
        <f>IFERROR(IF(VLOOKUP(A1124,[8]PRIORIZADOS!$A:$E,5,FALSE)="","",VLOOKUP(A1124,[8]PRIORIZADOS!$A:$E,5,FALSE)),"")</f>
        <v>EPBM</v>
      </c>
      <c r="F1124" s="11" t="str">
        <f>IFERROR(IF(VLOOKUP(A1124,[8]PRIORIZADOS!$A:$F,6,FALSE)="","",VLOOKUP(A1124,[8]PRIORIZADOS!$A:$F,6,FALSE)),"")</f>
        <v>COLEGIO_MILITAR_ANTONIA_SANTOS</v>
      </c>
      <c r="G1124" s="11" t="str">
        <f>IFERROR(IF(VLOOKUP(A1124,[8]PRIORIZADOS!$A:$G,7,FALSE)="","",VLOOKUP(A1124,[8]PRIORIZADOS!$A:$G,7,FALSE)),"")</f>
        <v>COLEGIO MILITAR ANTONIA SANTOS</v>
      </c>
      <c r="H1124" s="11" t="str">
        <f>IFERROR(IF(VLOOKUP(A1124,[8]PRIORIZADOS!$A:$H,8,FALSE)="","",VLOOKUP(A1124,[8]PRIORIZADOS!$A:$H,8,FALSE)),"")</f>
        <v>Autoevaluación Institucional y Pruebas SABER 11</v>
      </c>
      <c r="I1124" s="11" t="str">
        <f>IFERROR(IF(VLOOKUP(A1124,[8]PRIORIZADOS!$A:$I,9,FALSE)="","",VLOOKUP(A1124,[8]PRIORIZADOS!$A:$I,9,FALSE)),"")</f>
        <v>EVALUACIÓN_CON_FINES_DE_MEJORAMIENTO.</v>
      </c>
      <c r="J1124" s="11" t="str">
        <f>IFERROR(IF(VLOOKUP(A1124,[8]PRIORIZADOS!$A:$J,10,FALSE)="","",VLOOKUP(A1124,[8]PRIORIZADOS!$A:$J,10,FALSE)),"")</f>
        <v>Verificar el funcionamiento del Gobierno Escolar e instancias de participación con base en la información sobre conformación reportada por la institución educativa.</v>
      </c>
      <c r="K1124" s="11" t="str">
        <f>IFERROR(IF(VLOOKUP(A1124,[8]PRIORIZADOS!$A:$K,11,FALSE)="","",VLOOKUP(A1124,[8]PRIORIZADOS!$A:$K,11,FALSE)),"")</f>
        <v>INGRID VIVIANA DÁVILA ÁVILA</v>
      </c>
      <c r="L1124" s="11" t="str">
        <f>IFERROR(IF(VLOOKUP(A1124,[8]PRIORIZADOS!$A:$L,12,FALSE)="","",VLOOKUP(A1124,[8]PRIORIZADOS!$A:$L,12,FALSE)),"")</f>
        <v xml:space="preserve">DIANA ZULAY HUERTAS ORTÍZ </v>
      </c>
      <c r="M1124" s="71">
        <f>IFERROR(IF(VLOOKUP(A1124,[8]PRIORIZADOS!$A:$M,13,FALSE)="","",VLOOKUP(A1124,[8]PRIORIZADOS!$A:$M,13,FALSE)),"")</f>
        <v>45790</v>
      </c>
      <c r="N1124" s="71">
        <f>IFERROR(IF(VLOOKUP(A1124,[8]PRIORIZADOS!$A:$N,14,FALSE)="","",VLOOKUP(A1124,[8]PRIORIZADOS!$A:$N,14,FALSE)),"")</f>
        <v>45790</v>
      </c>
      <c r="O1124" s="71">
        <f>IFERROR(IF(VLOOKUP(A1124,[8]PRIORIZADOS!$A:$O,15,FALSE)="","",VLOOKUP(A1124,[8]PRIORIZADOS!$A:$O,15,FALSE)),"")</f>
        <v>45790</v>
      </c>
      <c r="P1124" s="11" t="str">
        <f>IFERROR(IF(VLOOKUP(A1124,[8]PRIORIZADOS!$A:$P,16,FALSE)="","",VLOOKUP(A1124,[8]PRIORIZADOS!$A:$P,16,FALSE)),"")</f>
        <v>Visitas de evaluación con fines de mejoramiento</v>
      </c>
      <c r="Q1124" s="126" t="s">
        <v>212</v>
      </c>
      <c r="R1124" s="11" t="str">
        <f>IFERROR(IF(VLOOKUP(A1124,[8]PRIORIZADOS!$A:$R,18,FALSE)="","",VLOOKUP(A1124,[8]PRIORIZADOS!$A:$R,18,FALSE)),"")</f>
        <v>La EE, cumple con la conformación y funcionamiento del gobierno escolar y las instancias de participación.</v>
      </c>
      <c r="S1124" s="11" t="str">
        <f>IFERROR(IF(VLOOKUP(A1124,[8]PRIORIZADOS!$A:$S,19,FALSE)="","",VLOOKUP(A1124,[8]PRIORIZADOS!$A:$S,19,FALSE)),"")</f>
        <v>La EE, debe seguir cumpliendo con la  conformación y funcionamiento del gobierno escolar y las instancias de participación.  Debe reunir el consejo directivo de acuerdo a la normatividad vigente.</v>
      </c>
      <c r="T1124" s="70" t="str">
        <f>IFERROR(IF(VLOOKUP(A1124,[8]PRIORIZADOS!$A:$T,20,FALSE)="","",VLOOKUP(A1124,[8]PRIORIZADOS!$A:$T,20,FALSE)),"")</f>
        <v>No</v>
      </c>
      <c r="U1124" s="11" t="str">
        <f>IFERROR(IF(VLOOKUP(A1124,[8]PRIORIZADOS!$A:$U,21,FALSE)="","",VLOOKUP(A1124,[8]PRIORIZADOS!$A:$U,21,FALSE)),"")</f>
        <v xml:space="preserve">El ELIV verificará la operatividad del gobierno escolar. </v>
      </c>
    </row>
    <row r="1125" spans="1:21" s="1" customFormat="1" ht="48">
      <c r="A1125" s="69">
        <f>IF([8]PRIORIZADOS!A104="","",[8]PRIORIZADOS!A104)</f>
        <v>1074</v>
      </c>
      <c r="B1125" s="70">
        <v>18</v>
      </c>
      <c r="C1125" s="11" t="str">
        <f>IFERROR(IF(VLOOKUP(A1125,[8]PRIORIZADOS!$A:$C,3,FALSE)="","",VLOOKUP(A1125,[8]PRIORIZADOS!$A:$C,3,FALSE)),"")</f>
        <v>KENNEDY</v>
      </c>
      <c r="D1125" s="11" t="str">
        <f>IFERROR(IF(VLOOKUP(A1125,[8]PRIORIZADOS!$A:$D,4,FALSE)="","",VLOOKUP(A1125,[8]PRIORIZADOS!$A:$D,4,FALSE)),"")</f>
        <v>PRIVADO</v>
      </c>
      <c r="E1125" s="11" t="str">
        <f>IFERROR(IF(VLOOKUP(A1125,[8]PRIORIZADOS!$A:$E,5,FALSE)="","",VLOOKUP(A1125,[8]PRIORIZADOS!$A:$E,5,FALSE)),"")</f>
        <v>EPBM</v>
      </c>
      <c r="F1125" s="11" t="str">
        <f>IFERROR(IF(VLOOKUP(A1125,[8]PRIORIZADOS!$A:$F,6,FALSE)="","",VLOOKUP(A1125,[8]PRIORIZADOS!$A:$F,6,FALSE)),"")</f>
        <v>COLEGIO_MILITAR_ANTONIA_SANTOS</v>
      </c>
      <c r="G1125" s="11" t="str">
        <f>IFERROR(IF(VLOOKUP(A1125,[8]PRIORIZADOS!$A:$G,7,FALSE)="","",VLOOKUP(A1125,[8]PRIORIZADOS!$A:$G,7,FALSE)),"")</f>
        <v>COLEGIO MILITAR ANTONIA SANTOS</v>
      </c>
      <c r="H1125" s="11" t="str">
        <f>IFERROR(IF(VLOOKUP(A1125,[8]PRIORIZADOS!$A:$H,8,FALSE)="","",VLOOKUP(A1125,[8]PRIORIZADOS!$A:$H,8,FALSE)),"")</f>
        <v>Autoevaluación Institucional y Pruebas SABER 11</v>
      </c>
      <c r="I1125" s="11" t="str">
        <f>IFERROR(IF(VLOOKUP(A1125,[8]PRIORIZADOS!$A:$I,9,FALSE)="","",VLOOKUP(A1125,[8]PRIORIZADOS!$A:$I,9,FALSE)),"")</f>
        <v>EVALUACIÓN_CON_FINES_DE_MEJORAMIENTO.</v>
      </c>
      <c r="J1125" s="11" t="str">
        <f>IFERROR(IF(VLOOKUP(A1125,[8]PRIORIZADOS!$A:$J,10,FALSE)="","",VLOOKUP(A1125,[8]PRIORIZADOS!$A:$J,10,FALSE)),"")</f>
        <v>Verificar las condiciones en cuanto a: la estructura administrativa, condiciones de la planta física y medios educativos adecuados.</v>
      </c>
      <c r="K1125" s="11" t="str">
        <f>IFERROR(IF(VLOOKUP(A1125,[8]PRIORIZADOS!$A:$K,11,FALSE)="","",VLOOKUP(A1125,[8]PRIORIZADOS!$A:$K,11,FALSE)),"")</f>
        <v>INGRID VIVIANA DÁVILA ÁVILA</v>
      </c>
      <c r="L1125" s="11" t="str">
        <f>IFERROR(IF(VLOOKUP(A1125,[8]PRIORIZADOS!$A:$L,12,FALSE)="","",VLOOKUP(A1125,[8]PRIORIZADOS!$A:$L,12,FALSE)),"")</f>
        <v xml:space="preserve">DIANA ZULAY HUERTAS ORTÍZ </v>
      </c>
      <c r="M1125" s="71">
        <f>IFERROR(IF(VLOOKUP(A1125,[8]PRIORIZADOS!$A:$M,13,FALSE)="","",VLOOKUP(A1125,[8]PRIORIZADOS!$A:$M,13,FALSE)),"")</f>
        <v>45790</v>
      </c>
      <c r="N1125" s="71">
        <f>IFERROR(IF(VLOOKUP(A1125,[8]PRIORIZADOS!$A:$N,14,FALSE)="","",VLOOKUP(A1125,[8]PRIORIZADOS!$A:$N,14,FALSE)),"")</f>
        <v>45790</v>
      </c>
      <c r="O1125" s="71">
        <f>IFERROR(IF(VLOOKUP(A1125,[8]PRIORIZADOS!$A:$O,15,FALSE)="","",VLOOKUP(A1125,[8]PRIORIZADOS!$A:$O,15,FALSE)),"")</f>
        <v>45790</v>
      </c>
      <c r="P1125" s="11" t="str">
        <f>IFERROR(IF(VLOOKUP(A1125,[8]PRIORIZADOS!$A:$P,16,FALSE)="","",VLOOKUP(A1125,[8]PRIORIZADOS!$A:$P,16,FALSE)),"")</f>
        <v>Visitas de evaluación con fines de mejoramiento</v>
      </c>
      <c r="Q1125" s="107" t="s">
        <v>212</v>
      </c>
      <c r="R1125" s="11" t="str">
        <f>IFERROR(IF(VLOOKUP(A1125,[8]PRIORIZADOS!$A:$R,18,FALSE)="","",VLOOKUP(A1125,[8]PRIORIZADOS!$A:$R,18,FALSE)),"")</f>
        <v>La EE, cumple con las condiciones de estructura administrativa, condiciones de la planta física y medios educativos adecuados.</v>
      </c>
      <c r="S1125" s="11" t="str">
        <f>IFERROR(IF(VLOOKUP(A1125,[8]PRIORIZADOS!$A:$S,19,FALSE)="","",VLOOKUP(A1125,[8]PRIORIZADOS!$A:$S,19,FALSE)),"")</f>
        <v xml:space="preserve">La EE debe mantener las condiciones de prestación del servicio, en cuanto estructura administrativa, planta física y medios educativos. </v>
      </c>
      <c r="T1125" s="70" t="str">
        <f>IFERROR(IF(VLOOKUP(A1125,[8]PRIORIZADOS!$A:$T,20,FALSE)="","",VLOOKUP(A1125,[8]PRIORIZADOS!$A:$T,20,FALSE)),"")</f>
        <v>No</v>
      </c>
      <c r="U1125" s="11" t="str">
        <f>IFERROR(IF(VLOOKUP(A1125,[8]PRIORIZADOS!$A:$U,21,FALSE)="","",VLOOKUP(A1125,[8]PRIORIZADOS!$A:$U,21,FALSE)),"")</f>
        <v xml:space="preserve">El ELIV verificará que se mantengan las condiciones de prestación del servicio. </v>
      </c>
    </row>
    <row r="1126" spans="1:21" s="1" customFormat="1" ht="84">
      <c r="A1126" s="69">
        <f>IF([8]PRIORIZADOS!A105="","",[8]PRIORIZADOS!A105)</f>
        <v>1075</v>
      </c>
      <c r="B1126" s="70">
        <f>IFERROR(IF(VLOOKUP(A1126,[8]PRIORIZADOS!$A:$B,2,FALSE)="","",VLOOKUP(A1126,[8]PRIORIZADOS!$A:$B,2,FALSE)),"")</f>
        <v>19</v>
      </c>
      <c r="C1126" s="11" t="str">
        <f>IFERROR(IF(VLOOKUP(A1126,[8]PRIORIZADOS!$A:$C,3,FALSE)="","",VLOOKUP(A1126,[8]PRIORIZADOS!$A:$C,3,FALSE)),"")</f>
        <v>KENNEDY</v>
      </c>
      <c r="D1126" s="11" t="str">
        <f>IFERROR(IF(VLOOKUP(A1126,[8]PRIORIZADOS!$A:$D,4,FALSE)="","",VLOOKUP(A1126,[8]PRIORIZADOS!$A:$D,4,FALSE)),"")</f>
        <v>PRIVADO</v>
      </c>
      <c r="E1126" s="11" t="str">
        <f>IFERROR(IF(VLOOKUP(A1126,[8]PRIORIZADOS!$A:$E,5,FALSE)="","",VLOOKUP(A1126,[8]PRIORIZADOS!$A:$E,5,FALSE)),"")</f>
        <v>EPBM</v>
      </c>
      <c r="F1126" s="11" t="str">
        <f>IFERROR(IF(VLOOKUP(A1126,[8]PRIORIZADOS!$A:$F,6,FALSE)="","",VLOOKUP(A1126,[8]PRIORIZADOS!$A:$F,6,FALSE)),"")</f>
        <v>COLEGIO_MILITAR_COOPERATIVO_JUSTINIANO_QUIÑONEZ_ANGULO</v>
      </c>
      <c r="G1126" s="11" t="str">
        <f>IFERROR(IF(VLOOKUP(A1126,[8]PRIORIZADOS!$A:$G,7,FALSE)="","",VLOOKUP(A1126,[8]PRIORIZADOS!$A:$G,7,FALSE)),"")</f>
        <v>COLEGIO MILITAR COOPERATIVO JUSTINIANO QUIÑONEZ ANGULO</v>
      </c>
      <c r="H1126" s="11" t="str">
        <f>IFERROR(IF(VLOOKUP(A1126,[8]PRIORIZADOS!$A:$H,8,FALSE)="","",VLOOKUP(A1126,[8]PRIORIZADOS!$A:$H,8,FALSE)),"")</f>
        <v>Autoevaluación Institucional y Pruebas SABER 11</v>
      </c>
      <c r="I1126" s="11" t="str">
        <f>IFERROR(IF(VLOOKUP(A1126,[8]PRIORIZADOS!$A:$I,9,FALSE)="","",VLOOKUP(A1126,[8]PRIORIZADOS!$A:$I,9,FALSE)),"")</f>
        <v>SEGUIMIENTO_Y_SUPERVISIÓN.</v>
      </c>
      <c r="J1126" s="11" t="str">
        <f>IFERROR(IF(VLOOKUP(A1126,[8]PRIORIZADOS!$A:$J,10,FALSE)="","",VLOOKUP(A1126,[8]PRIORIZADOS!$A:$J,10,FALSE)),"")</f>
        <v>Realizar visitas para verificar la información registrada sobre la autoevaluación institucional en el aplicativo EVI, a los establecimientos de educación formal no oficial.</v>
      </c>
      <c r="K1126" s="11" t="str">
        <f>IFERROR(IF(VLOOKUP(A1126,[8]PRIORIZADOS!$A:$K,11,FALSE)="","",VLOOKUP(A1126,[8]PRIORIZADOS!$A:$K,11,FALSE)),"")</f>
        <v>ADRIANA VENEGAS VALERA</v>
      </c>
      <c r="L1126" s="11" t="str">
        <f>IFERROR(IF(VLOOKUP(A1126,[8]PRIORIZADOS!$A:$L,12,FALSE)="","",VLOOKUP(A1126,[8]PRIORIZADOS!$A:$L,12,FALSE)),"")</f>
        <v>VIVANA PILAR BOHÓRQUEZ DÍAZ</v>
      </c>
      <c r="M1126" s="71">
        <f>IFERROR(IF(VLOOKUP(A1126,[8]PRIORIZADOS!$A:$M,13,FALSE)="","",VLOOKUP(A1126,[8]PRIORIZADOS!$A:$M,13,FALSE)),"")</f>
        <v>45791</v>
      </c>
      <c r="N1126" s="71">
        <f>IFERROR(IF(VLOOKUP(A1126,[8]PRIORIZADOS!$A:$N,14,FALSE)="","",VLOOKUP(A1126,[8]PRIORIZADOS!$A:$N,14,FALSE)),"")</f>
        <v>45792</v>
      </c>
      <c r="O1126" s="71">
        <f>IFERROR(IF(VLOOKUP(A1126,[8]PRIORIZADOS!$A:$O,15,FALSE)="","",VLOOKUP(A1126,[8]PRIORIZADOS!$A:$O,15,FALSE)),"")</f>
        <v>45792</v>
      </c>
      <c r="P1126" s="11" t="str">
        <f>IFERROR(IF(VLOOKUP(A1126,[8]PRIORIZADOS!$A:$P,16,FALSE)="","",VLOOKUP(A1126,[8]PRIORIZADOS!$A:$P,16,FALSE)),"")</f>
        <v>Visitas de evaluación con fines de mejoramiento</v>
      </c>
      <c r="Q1126" s="136" t="s">
        <v>213</v>
      </c>
      <c r="R1126" s="11" t="str">
        <f>IFERROR(IF(VLOOKUP(A1126,[8]PRIORIZADOS!$A:$R,18,FALSE)="","",VLOOKUP(A1126,[8]PRIORIZADOS!$A:$R,18,FALSE)),"")</f>
        <v xml:space="preserve">La autoevaluación institucional reporta datos que no son coherentes con lo identificado en la visita administrativa. Tal es el caso del número de unidades sanitarias, la dotación de la biblioteca y el número de estudiantes, entre otros aspectos. </v>
      </c>
      <c r="S1126" s="11" t="str">
        <f>IFERROR(IF(VLOOKUP(A1126,[8]PRIORIZADOS!$A:$S,19,FALSE)="","",VLOOKUP(A1126,[8]PRIORIZADOS!$A:$S,19,FALSE)),"")</f>
        <v xml:space="preserve">Una vez se disponga la actualización del EVI realizarlo conforme con la realidad institucional. </v>
      </c>
      <c r="T1126" s="70" t="str">
        <f>IFERROR(IF(VLOOKUP(A1126,[8]PRIORIZADOS!$A:$T,20,FALSE)="","",VLOOKUP(A1126,[8]PRIORIZADOS!$A:$T,20,FALSE)),"")</f>
        <v>Si</v>
      </c>
      <c r="U1126" s="11" t="str">
        <f>IFERROR(IF(VLOOKUP(A1126,[8]PRIORIZADOS!$A:$U,21,FALSE)="","",VLOOKUP(A1126,[8]PRIORIZADOS!$A:$U,21,FALSE)),"")</f>
        <v>Verificar en el aplicativo EVI, la información registrada. Se realiza mesa de seguimiento el 30 de octubre 2025.</v>
      </c>
    </row>
    <row r="1127" spans="1:21" s="1" customFormat="1" ht="60">
      <c r="A1127" s="69">
        <f>IF([8]PRIORIZADOS!A106="","",[8]PRIORIZADOS!A106)</f>
        <v>1076</v>
      </c>
      <c r="B1127" s="70">
        <v>19</v>
      </c>
      <c r="C1127" s="11" t="str">
        <f>IFERROR(IF(VLOOKUP(A1127,[8]PRIORIZADOS!$A:$C,3,FALSE)="","",VLOOKUP(A1127,[8]PRIORIZADOS!$A:$C,3,FALSE)),"")</f>
        <v>KENNEDY</v>
      </c>
      <c r="D1127" s="11" t="str">
        <f>IFERROR(IF(VLOOKUP(A1127,[8]PRIORIZADOS!$A:$D,4,FALSE)="","",VLOOKUP(A1127,[8]PRIORIZADOS!$A:$D,4,FALSE)),"")</f>
        <v>PRIVADO</v>
      </c>
      <c r="E1127" s="11" t="str">
        <f>IFERROR(IF(VLOOKUP(A1127,[8]PRIORIZADOS!$A:$E,5,FALSE)="","",VLOOKUP(A1127,[8]PRIORIZADOS!$A:$E,5,FALSE)),"")</f>
        <v>EPBM</v>
      </c>
      <c r="F1127" s="11" t="str">
        <f>IFERROR(IF(VLOOKUP(A1127,[8]PRIORIZADOS!$A:$F,6,FALSE)="","",VLOOKUP(A1127,[8]PRIORIZADOS!$A:$F,6,FALSE)),"")</f>
        <v>COLEGIO_MILITAR_COOPERATIVO_JUSTINIANO_QUIÑONEZ_ANGULO</v>
      </c>
      <c r="G1127" s="11" t="str">
        <f>IFERROR(IF(VLOOKUP(A1127,[8]PRIORIZADOS!$A:$G,7,FALSE)="","",VLOOKUP(A1127,[8]PRIORIZADOS!$A:$G,7,FALSE)),"")</f>
        <v>COLEGIO MILITAR COOPERATIVO JUSTINIANO QUIÑONEZ ANGULO</v>
      </c>
      <c r="H1127" s="11" t="str">
        <f>IFERROR(IF(VLOOKUP(A1127,[8]PRIORIZADOS!$A:$H,8,FALSE)="","",VLOOKUP(A1127,[8]PRIORIZADOS!$A:$H,8,FALSE)),"")</f>
        <v>Autoevaluación Institucional y Pruebas SABER 11</v>
      </c>
      <c r="I1127" s="11" t="str">
        <f>IFERROR(IF(VLOOKUP(A1127,[8]PRIORIZADOS!$A:$I,9,FALSE)="","",VLOOKUP(A1127,[8]PRIORIZADOS!$A:$I,9,FALSE)),"")</f>
        <v>SEGUIMIENTO_Y_SUPERVISIÓN.</v>
      </c>
      <c r="J1127" s="11" t="str">
        <f>IFERROR(IF(VLOOKUP(A1127,[8]PRIORIZADOS!$A:$J,10,FALSE)="","",VLOOKUP(A1127,[8]PRIORIZADOS!$A:$J,10,FALSE)),"")</f>
        <v>Proponer estrategias en la formulación, verificar su elaboración y realizar seguimiento semestral al desarrollo de  las acciones establecidas en los planes de mejoramiento por pruebas SABER 11 de los establecimientos de educación formal.</v>
      </c>
      <c r="K1127" s="11" t="str">
        <f>IFERROR(IF(VLOOKUP(A1127,[8]PRIORIZADOS!$A:$K,11,FALSE)="","",VLOOKUP(A1127,[8]PRIORIZADOS!$A:$K,11,FALSE)),"")</f>
        <v>ADRIANA VENEGAS VALERA</v>
      </c>
      <c r="L1127" s="11" t="str">
        <f>IFERROR(IF(VLOOKUP(A1127,[8]PRIORIZADOS!$A:$L,12,FALSE)="","",VLOOKUP(A1127,[8]PRIORIZADOS!$A:$L,12,FALSE)),"")</f>
        <v>VIVANA PILAR BOHÓRQUEZ DÍAZ</v>
      </c>
      <c r="M1127" s="71">
        <f>IFERROR(IF(VLOOKUP(A1127,[8]PRIORIZADOS!$A:$M,13,FALSE)="","",VLOOKUP(A1127,[8]PRIORIZADOS!$A:$M,13,FALSE)),"")</f>
        <v>45791</v>
      </c>
      <c r="N1127" s="71">
        <f>IFERROR(IF(VLOOKUP(A1127,[8]PRIORIZADOS!$A:$N,14,FALSE)="","",VLOOKUP(A1127,[8]PRIORIZADOS!$A:$N,14,FALSE)),"")</f>
        <v>45792</v>
      </c>
      <c r="O1127" s="71">
        <f>IFERROR(IF(VLOOKUP(A1127,[8]PRIORIZADOS!$A:$O,15,FALSE)="","",VLOOKUP(A1127,[8]PRIORIZADOS!$A:$O,15,FALSE)),"")</f>
        <v>45792</v>
      </c>
      <c r="P1127" s="11" t="str">
        <f>IFERROR(IF(VLOOKUP(A1127,[8]PRIORIZADOS!$A:$P,16,FALSE)="","",VLOOKUP(A1127,[8]PRIORIZADOS!$A:$P,16,FALSE)),"")</f>
        <v>Visitas de evaluación con fines de mejoramiento</v>
      </c>
      <c r="Q1127" s="107" t="s">
        <v>213</v>
      </c>
      <c r="R1127" s="11" t="str">
        <f>IFERROR(IF(VLOOKUP(A1127,[8]PRIORIZADOS!$A:$R,18,FALSE)="","",VLOOKUP(A1127,[8]PRIORIZADOS!$A:$R,18,FALSE)),"")</f>
        <v xml:space="preserve">Las estrategias previstas para avanzar en los resultados de las pruebas SABER 11 no están avaladas por el Consejo Directivo ni el Consejo Académico. </v>
      </c>
      <c r="S1127" s="11" t="str">
        <f>IFERROR(IF(VLOOKUP(A1127,[8]PRIORIZADOS!$A:$S,19,FALSE)="","",VLOOKUP(A1127,[8]PRIORIZADOS!$A:$S,19,FALSE)),"")</f>
        <v xml:space="preserve">Convocar al Consejo Académico y al Consejo Directivo para socializar las acciones de mejora que se prevén para el avance en los resultados de las pruebas SABER 11. </v>
      </c>
      <c r="T1127" s="70" t="str">
        <f>IFERROR(IF(VLOOKUP(A1127,[8]PRIORIZADOS!$A:$T,20,FALSE)="","",VLOOKUP(A1127,[8]PRIORIZADOS!$A:$T,20,FALSE)),"")</f>
        <v>Si</v>
      </c>
      <c r="U1127" s="11" t="str">
        <f>IFERROR(IF(VLOOKUP(A1127,[8]PRIORIZADOS!$A:$U,21,FALSE)="","",VLOOKUP(A1127,[8]PRIORIZADOS!$A:$U,21,FALSE)),"")</f>
        <v>Verificar el cumplimiento del plan de mejoramiento y de los resultados obtenidos en su implementación.  Se realiza mesa de seguimiento el 30 de octubre 2025.</v>
      </c>
    </row>
    <row r="1128" spans="1:21" s="1" customFormat="1" ht="48">
      <c r="A1128" s="69">
        <f>IF([8]PRIORIZADOS!A107="","",[8]PRIORIZADOS!A107)</f>
        <v>1077</v>
      </c>
      <c r="B1128" s="70">
        <v>19</v>
      </c>
      <c r="C1128" s="11" t="str">
        <f>IFERROR(IF(VLOOKUP(A1128,[8]PRIORIZADOS!$A:$C,3,FALSE)="","",VLOOKUP(A1128,[8]PRIORIZADOS!$A:$C,3,FALSE)),"")</f>
        <v>KENNEDY</v>
      </c>
      <c r="D1128" s="11" t="str">
        <f>IFERROR(IF(VLOOKUP(A1128,[8]PRIORIZADOS!$A:$D,4,FALSE)="","",VLOOKUP(A1128,[8]PRIORIZADOS!$A:$D,4,FALSE)),"")</f>
        <v>PRIVADO</v>
      </c>
      <c r="E1128" s="11" t="str">
        <f>IFERROR(IF(VLOOKUP(A1128,[8]PRIORIZADOS!$A:$E,5,FALSE)="","",VLOOKUP(A1128,[8]PRIORIZADOS!$A:$E,5,FALSE)),"")</f>
        <v>EPBM</v>
      </c>
      <c r="F1128" s="11" t="str">
        <f>IFERROR(IF(VLOOKUP(A1128,[8]PRIORIZADOS!$A:$F,6,FALSE)="","",VLOOKUP(A1128,[8]PRIORIZADOS!$A:$F,6,FALSE)),"")</f>
        <v>COLEGIO_MILITAR_COOPERATIVO_JUSTINIANO_QUIÑONEZ_ANGULO</v>
      </c>
      <c r="G1128" s="11" t="str">
        <f>IFERROR(IF(VLOOKUP(A1128,[8]PRIORIZADOS!$A:$G,7,FALSE)="","",VLOOKUP(A1128,[8]PRIORIZADOS!$A:$G,7,FALSE)),"")</f>
        <v>COLEGIO MILITAR COOPERATIVO JUSTINIANO QUIÑONEZ ANGULO</v>
      </c>
      <c r="H1128" s="11" t="str">
        <f>IFERROR(IF(VLOOKUP(A1128,[8]PRIORIZADOS!$A:$H,8,FALSE)="","",VLOOKUP(A1128,[8]PRIORIZADOS!$A:$H,8,FALSE)),"")</f>
        <v>Autoevaluación Institucional y Pruebas SABER 11</v>
      </c>
      <c r="I1128" s="11" t="str">
        <f>IFERROR(IF(VLOOKUP(A1128,[8]PRIORIZADOS!$A:$I,9,FALSE)="","",VLOOKUP(A1128,[8]PRIORIZADOS!$A:$I,9,FALSE)),"")</f>
        <v>SEGUIMIENTO_Y_SUPERVISIÓN.</v>
      </c>
      <c r="J1128" s="11" t="str">
        <f>IFERROR(IF(VLOOKUP(A1128,[8]PRIORIZADOS!$A:$J,10,FALSE)="","",VLOOKUP(A1128,[8]PRIORIZADOS!$A:$J,10,FALSE)),"")</f>
        <v xml:space="preserve">Verificar la implementación por parte de los colegios, de acciones realizadas para la prevención y atención de las situaciones de convivencia en el entorno escolar, según lo establecido en la Directiva 01 de 2022 del MEN. </v>
      </c>
      <c r="K1128" s="11" t="str">
        <f>IFERROR(IF(VLOOKUP(A1128,[8]PRIORIZADOS!$A:$K,11,FALSE)="","",VLOOKUP(A1128,[8]PRIORIZADOS!$A:$K,11,FALSE)),"")</f>
        <v>ADRIANA VENEGAS VALERA</v>
      </c>
      <c r="L1128" s="11" t="str">
        <f>IFERROR(IF(VLOOKUP(A1128,[8]PRIORIZADOS!$A:$L,12,FALSE)="","",VLOOKUP(A1128,[8]PRIORIZADOS!$A:$L,12,FALSE)),"")</f>
        <v>VIVANA PILAR BOHÓRQUEZ DÍAZ</v>
      </c>
      <c r="M1128" s="71">
        <f>IFERROR(IF(VLOOKUP(A1128,[8]PRIORIZADOS!$A:$M,13,FALSE)="","",VLOOKUP(A1128,[8]PRIORIZADOS!$A:$M,13,FALSE)),"")</f>
        <v>45791</v>
      </c>
      <c r="N1128" s="71">
        <f>IFERROR(IF(VLOOKUP(A1128,[8]PRIORIZADOS!$A:$N,14,FALSE)="","",VLOOKUP(A1128,[8]PRIORIZADOS!$A:$N,14,FALSE)),"")</f>
        <v>45792</v>
      </c>
      <c r="O1128" s="71">
        <f>IFERROR(IF(VLOOKUP(A1128,[8]PRIORIZADOS!$A:$O,15,FALSE)="","",VLOOKUP(A1128,[8]PRIORIZADOS!$A:$O,15,FALSE)),"")</f>
        <v>45792</v>
      </c>
      <c r="P1128" s="11" t="str">
        <f>IFERROR(IF(VLOOKUP(A1128,[8]PRIORIZADOS!$A:$P,16,FALSE)="","",VLOOKUP(A1128,[8]PRIORIZADOS!$A:$P,16,FALSE)),"")</f>
        <v>Visitas de evaluación con fines de mejoramiento</v>
      </c>
      <c r="Q1128" s="125" t="s">
        <v>213</v>
      </c>
      <c r="R1128" s="11" t="str">
        <f>IFERROR(IF(VLOOKUP(A1128,[8]PRIORIZADOS!$A:$R,18,FALSE)="","",VLOOKUP(A1128,[8]PRIORIZADOS!$A:$R,18,FALSE)),"")</f>
        <v xml:space="preserve">Las carpetas del personal vinculado no cuenta con el certificado de inhabilidades por delitos sexuales, de acuerdo con la Directiva Ministerial. </v>
      </c>
      <c r="S1128" s="11" t="str">
        <f>IFERROR(IF(VLOOKUP(A1128,[8]PRIORIZADOS!$A:$S,19,FALSE)="","",VLOOKUP(A1128,[8]PRIORIZADOS!$A:$S,19,FALSE)),"")</f>
        <v xml:space="preserve">Realizar la consulta de inhabilidades por delitos sexuales del talento humano del colegio, previa autorización del tratamiento de datos personales. </v>
      </c>
      <c r="T1128" s="70" t="str">
        <f>IFERROR(IF(VLOOKUP(A1128,[8]PRIORIZADOS!$A:$T,20,FALSE)="","",VLOOKUP(A1128,[8]PRIORIZADOS!$A:$T,20,FALSE)),"")</f>
        <v>Si</v>
      </c>
      <c r="U1128" s="11" t="str">
        <f>IFERROR(IF(VLOOKUP(A1128,[8]PRIORIZADOS!$A:$U,21,FALSE)="","",VLOOKUP(A1128,[8]PRIORIZADOS!$A:$U,21,FALSE)),"")</f>
        <v>Verificar las carpetas institucional con el respectivo soporte vigente.  Se realiza mesa de seguimiento el 30 de octubre 2025.</v>
      </c>
    </row>
    <row r="1129" spans="1:21" s="1" customFormat="1" ht="84">
      <c r="A1129" s="69">
        <f>IF([8]PRIORIZADOS!A108="","",[8]PRIORIZADOS!A108)</f>
        <v>1078</v>
      </c>
      <c r="B1129" s="70">
        <v>19</v>
      </c>
      <c r="C1129" s="11" t="str">
        <f>IFERROR(IF(VLOOKUP(A1129,[8]PRIORIZADOS!$A:$C,3,FALSE)="","",VLOOKUP(A1129,[8]PRIORIZADOS!$A:$C,3,FALSE)),"")</f>
        <v>KENNEDY</v>
      </c>
      <c r="D1129" s="11" t="str">
        <f>IFERROR(IF(VLOOKUP(A1129,[8]PRIORIZADOS!$A:$D,4,FALSE)="","",VLOOKUP(A1129,[8]PRIORIZADOS!$A:$D,4,FALSE)),"")</f>
        <v>PRIVADO</v>
      </c>
      <c r="E1129" s="11" t="str">
        <f>IFERROR(IF(VLOOKUP(A1129,[8]PRIORIZADOS!$A:$E,5,FALSE)="","",VLOOKUP(A1129,[8]PRIORIZADOS!$A:$E,5,FALSE)),"")</f>
        <v>EPBM</v>
      </c>
      <c r="F1129" s="11" t="str">
        <f>IFERROR(IF(VLOOKUP(A1129,[8]PRIORIZADOS!$A:$F,6,FALSE)="","",VLOOKUP(A1129,[8]PRIORIZADOS!$A:$F,6,FALSE)),"")</f>
        <v>COLEGIO_MILITAR_COOPERATIVO_JUSTINIANO_QUIÑONEZ_ANGULO</v>
      </c>
      <c r="G1129" s="11" t="str">
        <f>IFERROR(IF(VLOOKUP(A1129,[8]PRIORIZADOS!$A:$G,7,FALSE)="","",VLOOKUP(A1129,[8]PRIORIZADOS!$A:$G,7,FALSE)),"")</f>
        <v>COLEGIO MILITAR COOPERATIVO JUSTINIANO QUIÑONEZ ANGULO</v>
      </c>
      <c r="H1129" s="11" t="str">
        <f>IFERROR(IF(VLOOKUP(A1129,[8]PRIORIZADOS!$A:$H,8,FALSE)="","",VLOOKUP(A1129,[8]PRIORIZADOS!$A:$H,8,FALSE)),"")</f>
        <v>Autoevaluación Institucional y Pruebas SABER 11</v>
      </c>
      <c r="I1129" s="11" t="str">
        <f>IFERROR(IF(VLOOKUP(A1129,[8]PRIORIZADOS!$A:$I,9,FALSE)="","",VLOOKUP(A1129,[8]PRIORIZADOS!$A:$I,9,FALSE)),"")</f>
        <v>EVALUACIÓN_CON_FINES_DE_MEJORAMIENTO.</v>
      </c>
      <c r="J1129" s="11" t="str">
        <f>IFERROR(IF(VLOOKUP(A1129,[8]PRIORIZADOS!$A:$J,10,FALSE)="","",VLOOKUP(A1129,[8]PRIORIZADOS!$A:$J,10,FALSE)),"")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29" s="11" t="str">
        <f>IFERROR(IF(VLOOKUP(A1129,[8]PRIORIZADOS!$A:$K,11,FALSE)="","",VLOOKUP(A1129,[8]PRIORIZADOS!$A:$K,11,FALSE)),"")</f>
        <v>ADRIANA VENEGAS VALERA</v>
      </c>
      <c r="L1129" s="11" t="str">
        <f>IFERROR(IF(VLOOKUP(A1129,[8]PRIORIZADOS!$A:$L,12,FALSE)="","",VLOOKUP(A1129,[8]PRIORIZADOS!$A:$L,12,FALSE)),"")</f>
        <v>VIVANA PILAR BOHÓRQUEZ DÍAZ</v>
      </c>
      <c r="M1129" s="71">
        <f>IFERROR(IF(VLOOKUP(A1129,[8]PRIORIZADOS!$A:$M,13,FALSE)="","",VLOOKUP(A1129,[8]PRIORIZADOS!$A:$M,13,FALSE)),"")</f>
        <v>45791</v>
      </c>
      <c r="N1129" s="71">
        <f>IFERROR(IF(VLOOKUP(A1129,[8]PRIORIZADOS!$A:$N,14,FALSE)="","",VLOOKUP(A1129,[8]PRIORIZADOS!$A:$N,14,FALSE)),"")</f>
        <v>45792</v>
      </c>
      <c r="O1129" s="71">
        <f>IFERROR(IF(VLOOKUP(A1129,[8]PRIORIZADOS!$A:$O,15,FALSE)="","",VLOOKUP(A1129,[8]PRIORIZADOS!$A:$O,15,FALSE)),"")</f>
        <v>45792</v>
      </c>
      <c r="P1129" s="11" t="str">
        <f>IFERROR(IF(VLOOKUP(A1129,[8]PRIORIZADOS!$A:$P,16,FALSE)="","",VLOOKUP(A1129,[8]PRIORIZADOS!$A:$P,16,FALSE)),"")</f>
        <v>Visitas de evaluación con fines de mejoramiento</v>
      </c>
      <c r="Q1129" s="125" t="s">
        <v>213</v>
      </c>
      <c r="R1129" s="11" t="str">
        <f>IFERROR(IF(VLOOKUP(A1129,[8]PRIORIZADOS!$A:$R,18,FALSE)="","",VLOOKUP(A1129,[8]PRIORIZADOS!$A:$R,18,FALSE)),"")</f>
        <v>El manual de convivencia incorpora algunas orientaciones de la SED, pero no implementa lo relacionado en los Protocolos de Atención Integral Para La Convivencia Escolar Versión 5.0</v>
      </c>
      <c r="S1129" s="11" t="str">
        <f>IFERROR(IF(VLOOKUP(A1129,[8]PRIORIZADOS!$A:$S,19,FALSE)="","",VLOOKUP(A1129,[8]PRIORIZADOS!$A:$S,19,FALSE)),"")</f>
        <v>Actualizar el manual de convivencia escolar incluyendo los enfoques restaurativo y de diversidad, así como también las orientaciones técnicas de los   Protocolos de Atención Integral Para La Convivencia Escolar Versión 5.0</v>
      </c>
      <c r="T1129" s="70" t="str">
        <f>IFERROR(IF(VLOOKUP(A1129,[8]PRIORIZADOS!$A:$T,20,FALSE)="","",VLOOKUP(A1129,[8]PRIORIZADOS!$A:$T,20,FALSE)),"")</f>
        <v>Si</v>
      </c>
      <c r="U1129" s="11" t="str">
        <f>IFERROR(IF(VLOOKUP(A1129,[8]PRIORIZADOS!$A:$U,21,FALSE)="","",VLOOKUP(A1129,[8]PRIORIZADOS!$A:$U,21,FALSE)),"")</f>
        <v>Verificar la construcción participativa del manual de convivencia y sus ajustes.  Se realiza mesa de seguimiento el 30 de octubre 2025.</v>
      </c>
    </row>
    <row r="1130" spans="1:21" s="1" customFormat="1" ht="72">
      <c r="A1130" s="69">
        <f>IF([8]PRIORIZADOS!A109="","",[8]PRIORIZADOS!A109)</f>
        <v>1079</v>
      </c>
      <c r="B1130" s="70">
        <v>19</v>
      </c>
      <c r="C1130" s="11" t="str">
        <f>IFERROR(IF(VLOOKUP(A1130,[8]PRIORIZADOS!$A:$C,3,FALSE)="","",VLOOKUP(A1130,[8]PRIORIZADOS!$A:$C,3,FALSE)),"")</f>
        <v>KENNEDY</v>
      </c>
      <c r="D1130" s="11" t="str">
        <f>IFERROR(IF(VLOOKUP(A1130,[8]PRIORIZADOS!$A:$D,4,FALSE)="","",VLOOKUP(A1130,[8]PRIORIZADOS!$A:$D,4,FALSE)),"")</f>
        <v>PRIVADO</v>
      </c>
      <c r="E1130" s="11" t="str">
        <f>IFERROR(IF(VLOOKUP(A1130,[8]PRIORIZADOS!$A:$E,5,FALSE)="","",VLOOKUP(A1130,[8]PRIORIZADOS!$A:$E,5,FALSE)),"")</f>
        <v>EPBM</v>
      </c>
      <c r="F1130" s="11" t="str">
        <f>IFERROR(IF(VLOOKUP(A1130,[8]PRIORIZADOS!$A:$F,6,FALSE)="","",VLOOKUP(A1130,[8]PRIORIZADOS!$A:$F,6,FALSE)),"")</f>
        <v>COLEGIO_MILITAR_COOPERATIVO_JUSTINIANO_QUIÑONEZ_ANGULO</v>
      </c>
      <c r="G1130" s="11" t="str">
        <f>IFERROR(IF(VLOOKUP(A1130,[8]PRIORIZADOS!$A:$G,7,FALSE)="","",VLOOKUP(A1130,[8]PRIORIZADOS!$A:$G,7,FALSE)),"")</f>
        <v>COLEGIO MILITAR COOPERATIVO JUSTINIANO QUIÑONEZ ANGULO</v>
      </c>
      <c r="H1130" s="11" t="str">
        <f>IFERROR(IF(VLOOKUP(A1130,[8]PRIORIZADOS!$A:$H,8,FALSE)="","",VLOOKUP(A1130,[8]PRIORIZADOS!$A:$H,8,FALSE)),"")</f>
        <v>Autoevaluación Institucional y Pruebas SABER 11</v>
      </c>
      <c r="I1130" s="11" t="str">
        <f>IFERROR(IF(VLOOKUP(A1130,[8]PRIORIZADOS!$A:$I,9,FALSE)="","",VLOOKUP(A1130,[8]PRIORIZADOS!$A:$I,9,FALSE)),"")</f>
        <v>EVALUACIÓN_CON_FINES_DE_MEJORAMIENTO.</v>
      </c>
      <c r="J1130" s="11" t="str">
        <f>IFERROR(IF(VLOOKUP(A1130,[8]PRIORIZADOS!$A:$J,10,FALSE)="","",VLOOKUP(A1130,[8]PRIORIZADOS!$A:$J,10,FALSE)),"")</f>
        <v>Verificar el funcionamiento del Gobierno Escolar e instancias de participación con base en la información sobre conformación reportada por la institución educativa.</v>
      </c>
      <c r="K1130" s="11" t="str">
        <f>IFERROR(IF(VLOOKUP(A1130,[8]PRIORIZADOS!$A:$K,11,FALSE)="","",VLOOKUP(A1130,[8]PRIORIZADOS!$A:$K,11,FALSE)),"")</f>
        <v>ADRIANA VENEGAS VALERA</v>
      </c>
      <c r="L1130" s="11" t="str">
        <f>IFERROR(IF(VLOOKUP(A1130,[8]PRIORIZADOS!$A:$L,12,FALSE)="","",VLOOKUP(A1130,[8]PRIORIZADOS!$A:$L,12,FALSE)),"")</f>
        <v>VIVANA PILAR BOHÓRQUEZ DÍAZ</v>
      </c>
      <c r="M1130" s="71">
        <f>IFERROR(IF(VLOOKUP(A1130,[8]PRIORIZADOS!$A:$M,13,FALSE)="","",VLOOKUP(A1130,[8]PRIORIZADOS!$A:$M,13,FALSE)),"")</f>
        <v>45791</v>
      </c>
      <c r="N1130" s="71">
        <f>IFERROR(IF(VLOOKUP(A1130,[8]PRIORIZADOS!$A:$N,14,FALSE)="","",VLOOKUP(A1130,[8]PRIORIZADOS!$A:$N,14,FALSE)),"")</f>
        <v>45792</v>
      </c>
      <c r="O1130" s="71">
        <f>IFERROR(IF(VLOOKUP(A1130,[8]PRIORIZADOS!$A:$O,15,FALSE)="","",VLOOKUP(A1130,[8]PRIORIZADOS!$A:$O,15,FALSE)),"")</f>
        <v>45792</v>
      </c>
      <c r="P1130" s="11" t="str">
        <f>IFERROR(IF(VLOOKUP(A1130,[8]PRIORIZADOS!$A:$P,16,FALSE)="","",VLOOKUP(A1130,[8]PRIORIZADOS!$A:$P,16,FALSE)),"")</f>
        <v>Visitas de evaluación con fines de mejoramiento</v>
      </c>
      <c r="Q1130" s="126" t="s">
        <v>213</v>
      </c>
      <c r="R1130" s="11" t="str">
        <f>IFERROR(IF(VLOOKUP(A1130,[8]PRIORIZADOS!$A:$R,18,FALSE)="","",VLOOKUP(A1130,[8]PRIORIZADOS!$A:$R,18,FALSE)),"")</f>
        <v xml:space="preserve">No se ha propuesto la actualización del currículo y el plan de estudios en el Consejo académico. </v>
      </c>
      <c r="S1130" s="11" t="str">
        <f>IFERROR(IF(VLOOKUP(A1130,[8]PRIORIZADOS!$A:$S,19,FALSE)="","",VLOOKUP(A1130,[8]PRIORIZADOS!$A:$S,19,FALSE)),"")</f>
        <v xml:space="preserve">Actualizar el PEI, el plan de estudios de educación preescolar conforme al lineamiento pedagógico y curricular para la educación inicial y los demás planes de estudios conforme a las acciones de mejora de las pruebas SABER 11. </v>
      </c>
      <c r="T1130" s="70" t="str">
        <f>IFERROR(IF(VLOOKUP(A1130,[8]PRIORIZADOS!$A:$T,20,FALSE)="","",VLOOKUP(A1130,[8]PRIORIZADOS!$A:$T,20,FALSE)),"")</f>
        <v>Si</v>
      </c>
      <c r="U1130" s="11" t="str">
        <f>IFERROR(IF(VLOOKUP(A1130,[8]PRIORIZADOS!$A:$U,21,FALSE)="","",VLOOKUP(A1130,[8]PRIORIZADOS!$A:$U,21,FALSE)),"")</f>
        <v>Verificar la actualización de los planes de estudio.  Se realiza mesa de seguimiento el 30 de octubre 2025.</v>
      </c>
    </row>
    <row r="1131" spans="1:21" s="1" customFormat="1" ht="48">
      <c r="A1131" s="69">
        <f>IF([8]PRIORIZADOS!A110="","",[8]PRIORIZADOS!A110)</f>
        <v>1080</v>
      </c>
      <c r="B1131" s="70">
        <v>19</v>
      </c>
      <c r="C1131" s="11" t="str">
        <f>IFERROR(IF(VLOOKUP(A1131,[8]PRIORIZADOS!$A:$C,3,FALSE)="","",VLOOKUP(A1131,[8]PRIORIZADOS!$A:$C,3,FALSE)),"")</f>
        <v>KENNEDY</v>
      </c>
      <c r="D1131" s="11" t="str">
        <f>IFERROR(IF(VLOOKUP(A1131,[8]PRIORIZADOS!$A:$D,4,FALSE)="","",VLOOKUP(A1131,[8]PRIORIZADOS!$A:$D,4,FALSE)),"")</f>
        <v>PRIVADO</v>
      </c>
      <c r="E1131" s="11" t="str">
        <f>IFERROR(IF(VLOOKUP(A1131,[8]PRIORIZADOS!$A:$E,5,FALSE)="","",VLOOKUP(A1131,[8]PRIORIZADOS!$A:$E,5,FALSE)),"")</f>
        <v>EPBM</v>
      </c>
      <c r="F1131" s="11" t="str">
        <f>IFERROR(IF(VLOOKUP(A1131,[8]PRIORIZADOS!$A:$F,6,FALSE)="","",VLOOKUP(A1131,[8]PRIORIZADOS!$A:$F,6,FALSE)),"")</f>
        <v>COLEGIO_MILITAR_COOPERATIVO_JUSTINIANO_QUIÑONEZ_ANGULO</v>
      </c>
      <c r="G1131" s="11" t="str">
        <f>IFERROR(IF(VLOOKUP(A1131,[8]PRIORIZADOS!$A:$G,7,FALSE)="","",VLOOKUP(A1131,[8]PRIORIZADOS!$A:$G,7,FALSE)),"")</f>
        <v>COLEGIO MILITAR COOPERATIVO JUSTINIANO QUIÑONEZ ANGULO</v>
      </c>
      <c r="H1131" s="11" t="str">
        <f>IFERROR(IF(VLOOKUP(A1131,[8]PRIORIZADOS!$A:$H,8,FALSE)="","",VLOOKUP(A1131,[8]PRIORIZADOS!$A:$H,8,FALSE)),"")</f>
        <v>Autoevaluación Institucional y Pruebas SABER 11</v>
      </c>
      <c r="I1131" s="11" t="str">
        <f>IFERROR(IF(VLOOKUP(A1131,[8]PRIORIZADOS!$A:$I,9,FALSE)="","",VLOOKUP(A1131,[8]PRIORIZADOS!$A:$I,9,FALSE)),"")</f>
        <v>EVALUACIÓN_CON_FINES_DE_MEJORAMIENTO.</v>
      </c>
      <c r="J1131" s="11" t="str">
        <f>IFERROR(IF(VLOOKUP(A1131,[8]PRIORIZADOS!$A:$J,10,FALSE)="","",VLOOKUP(A1131,[8]PRIORIZADOS!$A:$J,10,FALSE)),"")</f>
        <v>Verificar las condiciones en cuanto a: la estructura administrativa, condiciones de la planta física y medios educativos adecuados.</v>
      </c>
      <c r="K1131" s="11" t="str">
        <f>IFERROR(IF(VLOOKUP(A1131,[8]PRIORIZADOS!$A:$K,11,FALSE)="","",VLOOKUP(A1131,[8]PRIORIZADOS!$A:$K,11,FALSE)),"")</f>
        <v>ADRIANA VENEGAS VALERA</v>
      </c>
      <c r="L1131" s="11" t="str">
        <f>IFERROR(IF(VLOOKUP(A1131,[8]PRIORIZADOS!$A:$L,12,FALSE)="","",VLOOKUP(A1131,[8]PRIORIZADOS!$A:$L,12,FALSE)),"")</f>
        <v>VIVANA PILAR BOHÓRQUEZ DÍAZ</v>
      </c>
      <c r="M1131" s="71">
        <f>IFERROR(IF(VLOOKUP(A1131,[8]PRIORIZADOS!$A:$M,13,FALSE)="","",VLOOKUP(A1131,[8]PRIORIZADOS!$A:$M,13,FALSE)),"")</f>
        <v>45791</v>
      </c>
      <c r="N1131" s="71">
        <f>IFERROR(IF(VLOOKUP(A1131,[8]PRIORIZADOS!$A:$N,14,FALSE)="","",VLOOKUP(A1131,[8]PRIORIZADOS!$A:$N,14,FALSE)),"")</f>
        <v>45792</v>
      </c>
      <c r="O1131" s="71">
        <f>IFERROR(IF(VLOOKUP(A1131,[8]PRIORIZADOS!$A:$O,15,FALSE)="","",VLOOKUP(A1131,[8]PRIORIZADOS!$A:$O,15,FALSE)),"")</f>
        <v>45792</v>
      </c>
      <c r="P1131" s="11" t="str">
        <f>IFERROR(IF(VLOOKUP(A1131,[8]PRIORIZADOS!$A:$P,16,FALSE)="","",VLOOKUP(A1131,[8]PRIORIZADOS!$A:$P,16,FALSE)),"")</f>
        <v>Visitas de evaluación con fines de mejoramiento</v>
      </c>
      <c r="Q1131" s="107" t="s">
        <v>213</v>
      </c>
      <c r="R1131" s="11" t="str">
        <f>IFERROR(IF(VLOOKUP(A1131,[8]PRIORIZADOS!$A:$R,18,FALSE)="","",VLOOKUP(A1131,[8]PRIORIZADOS!$A:$R,18,FALSE)),"")</f>
        <v xml:space="preserve">La planta física no cuenta con ajustes razonables de planta física para la población con discapacidad. </v>
      </c>
      <c r="S1131" s="11" t="str">
        <f>IFERROR(IF(VLOOKUP(A1131,[8]PRIORIZADOS!$A:$S,19,FALSE)="","",VLOOKUP(A1131,[8]PRIORIZADOS!$A:$S,19,FALSE)),"")</f>
        <v xml:space="preserve">Realizar adecuaciones menores para que la infraestructura responda a las necesidades de la población con discapacidad. </v>
      </c>
      <c r="T1131" s="70" t="str">
        <f>IFERROR(IF(VLOOKUP(A1131,[8]PRIORIZADOS!$A:$T,20,FALSE)="","",VLOOKUP(A1131,[8]PRIORIZADOS!$A:$T,20,FALSE)),"")</f>
        <v>Si</v>
      </c>
      <c r="U1131" s="11" t="str">
        <f>IFERROR(IF(VLOOKUP(A1131,[8]PRIORIZADOS!$A:$U,21,FALSE)="","",VLOOKUP(A1131,[8]PRIORIZADOS!$A:$U,21,FALSE)),"")</f>
        <v>Verificar las condiciones de mejora de la planta física.   Se realiza mesa de seguimiento el 30 de octubre 2025.</v>
      </c>
    </row>
    <row r="1132" spans="1:21" s="1" customFormat="1" ht="84">
      <c r="A1132" s="69">
        <f>IF([8]PRIORIZADOS!A111="","",[8]PRIORIZADOS!A111)</f>
        <v>1081</v>
      </c>
      <c r="B1132" s="70">
        <v>20</v>
      </c>
      <c r="C1132" s="11" t="str">
        <f>IFERROR(IF(VLOOKUP(A1132,[8]PRIORIZADOS!$A:$C,3,FALSE)="","",VLOOKUP(A1132,[8]PRIORIZADOS!$A:$C,3,FALSE)),"")</f>
        <v>KENNEDY</v>
      </c>
      <c r="D1132" s="11" t="str">
        <f>IFERROR(IF(VLOOKUP(A1132,[8]PRIORIZADOS!$A:$D,4,FALSE)="","",VLOOKUP(A1132,[8]PRIORIZADOS!$A:$D,4,FALSE)),"")</f>
        <v>PRIVADO</v>
      </c>
      <c r="E1132" s="11" t="str">
        <f>IFERROR(IF(VLOOKUP(A1132,[8]PRIORIZADOS!$A:$E,5,FALSE)="","",VLOOKUP(A1132,[8]PRIORIZADOS!$A:$E,5,FALSE)),"")</f>
        <v>EPBM</v>
      </c>
      <c r="F1132" s="11" t="str">
        <f>IFERROR(IF(VLOOKUP(A1132,[8]PRIORIZADOS!$A:$F,6,FALSE)="","",VLOOKUP(A1132,[8]PRIORIZADOS!$A:$F,6,FALSE)),"")</f>
        <v>COLEGIO_RAFAEL_GOBERNA</v>
      </c>
      <c r="G1132" s="11" t="str">
        <f>IFERROR(IF(VLOOKUP(A1132,[8]PRIORIZADOS!$A:$G,7,FALSE)="","",VLOOKUP(A1132,[8]PRIORIZADOS!$A:$G,7,FALSE)),"")</f>
        <v>COLEGIO RAFAEL GOBERNA</v>
      </c>
      <c r="H1132" s="11" t="str">
        <f>IFERROR(IF(VLOOKUP(A1132,[8]PRIORIZADOS!$A:$H,8,FALSE)="","",VLOOKUP(A1132,[8]PRIORIZADOS!$A:$H,8,FALSE)),"")</f>
        <v>Autoevaluación Institucional y Pruebas SABER 11</v>
      </c>
      <c r="I1132" s="11" t="str">
        <f>IFERROR(IF(VLOOKUP(A1132,[8]PRIORIZADOS!$A:$I,9,FALSE)="","",VLOOKUP(A1132,[8]PRIORIZADOS!$A:$I,9,FALSE)),"")</f>
        <v>SEGUIMIENTO_Y_SUPERVISIÓN.</v>
      </c>
      <c r="J1132" s="11" t="str">
        <f>IFERROR(IF(VLOOKUP(A1132,[8]PRIORIZADOS!$A:$J,10,FALSE)="","",VLOOKUP(A1132,[8]PRIORIZADOS!$A:$J,10,FALSE)),"")</f>
        <v>Proponer estrategias en la formulación, verificar su elaboración y realizar seguimiento semestral al desarrollo de  las acciones establecidas en los planes de mejoramiento por pruebas SABER 11 de los establecimientos de educación formal.</v>
      </c>
      <c r="K1132" s="11" t="str">
        <f>IFERROR(IF(VLOOKUP(A1132,[8]PRIORIZADOS!$A:$K,11,FALSE)="","",VLOOKUP(A1132,[8]PRIORIZADOS!$A:$K,11,FALSE)),"")</f>
        <v>GERMÁN EDUARDO TORO ROSERO</v>
      </c>
      <c r="L1132" s="11" t="str">
        <f>IFERROR(IF(VLOOKUP(A1132,[8]PRIORIZADOS!$A:$L,12,FALSE)="","",VLOOKUP(A1132,[8]PRIORIZADOS!$A:$L,12,FALSE)),"")</f>
        <v xml:space="preserve">DIANA ZULAY HUERTAS ORTÍZ </v>
      </c>
      <c r="M1132" s="71">
        <f>IFERROR(IF(VLOOKUP(A1132,[8]PRIORIZADOS!$A:$M,13,FALSE)="","",VLOOKUP(A1132,[8]PRIORIZADOS!$A:$M,13,FALSE)),"")</f>
        <v>45792</v>
      </c>
      <c r="N1132" s="71">
        <f>IFERROR(IF(VLOOKUP(A1132,[8]PRIORIZADOS!$A:$N,14,FALSE)="","",VLOOKUP(A1132,[8]PRIORIZADOS!$A:$N,14,FALSE)),"")</f>
        <v>45792</v>
      </c>
      <c r="O1132" s="71">
        <f>IFERROR(IF(VLOOKUP(A1132,[8]PRIORIZADOS!$A:$O,15,FALSE)="","",VLOOKUP(A1132,[8]PRIORIZADOS!$A:$O,15,FALSE)),"")</f>
        <v>45792</v>
      </c>
      <c r="P1132" s="11" t="str">
        <f>IFERROR(IF(VLOOKUP(A1132,[8]PRIORIZADOS!$A:$P,16,FALSE)="","",VLOOKUP(A1132,[8]PRIORIZADOS!$A:$P,16,FALSE)),"")</f>
        <v>Visitas de evaluación con fines de mejoramiento</v>
      </c>
      <c r="Q1132" s="125" t="s">
        <v>214</v>
      </c>
      <c r="R1132" s="11" t="str">
        <f>IFERROR(IF(VLOOKUP(A1132,[8]PRIORIZADOS!$A:$R,18,FALSE)="","",VLOOKUP(A1132,[8]PRIORIZADOS!$A:$R,18,FALSE)),"")</f>
        <v>La IE no ha realizado revisión, análisis ni ha implementado acciones específicas basadas en los resultados de las pruebas saber 11</v>
      </c>
      <c r="S1132" s="11" t="str">
        <f>IFERROR(IF(VLOOKUP(A1132,[8]PRIORIZADOS!$A:$S,19,FALSE)="","",VLOOKUP(A1132,[8]PRIORIZADOS!$A:$S,19,FALSE)),"")</f>
        <v>La IE debe analizar los resultados de las pruebas saber 11 y establecer un plan de mejoramiento para superar dichos resultados, que incluya estrategias en el plan de estudios y el análisis del consejo académico dejando las respetivas evidencias.</v>
      </c>
      <c r="T1132" s="70" t="str">
        <f>IFERROR(IF(VLOOKUP(A1132,[8]PRIORIZADOS!$A:$T,20,FALSE)="","",VLOOKUP(A1132,[8]PRIORIZADOS!$A:$T,20,FALSE)),"")</f>
        <v>Si</v>
      </c>
      <c r="U1132" s="11" t="str">
        <f>IFERROR(IF(VLOOKUP(A1132,[8]PRIORIZADOS!$A:$U,21,FALSE)="","",VLOOKUP(A1132,[8]PRIORIZADOS!$A:$U,21,FALSE)),"")</f>
        <v>Seguimiento al cumplimiento del plan de mejoramiento. Se realiza mesa de seguimiento el día 22 de septiembre 2025.Se validará el cumplimiento de las actividades pendientes el  5 de diciembre.</v>
      </c>
    </row>
    <row r="1133" spans="1:21" s="1" customFormat="1" ht="72">
      <c r="A1133" s="69">
        <f>IF([8]PRIORIZADOS!A112="","",[8]PRIORIZADOS!A112)</f>
        <v>1082</v>
      </c>
      <c r="B1133" s="70">
        <v>20</v>
      </c>
      <c r="C1133" s="11" t="str">
        <f>IFERROR(IF(VLOOKUP(A1133,[8]PRIORIZADOS!$A:$C,3,FALSE)="","",VLOOKUP(A1133,[8]PRIORIZADOS!$A:$C,3,FALSE)),"")</f>
        <v>KENNEDY</v>
      </c>
      <c r="D1133" s="11" t="str">
        <f>IFERROR(IF(VLOOKUP(A1133,[8]PRIORIZADOS!$A:$D,4,FALSE)="","",VLOOKUP(A1133,[8]PRIORIZADOS!$A:$D,4,FALSE)),"")</f>
        <v>PRIVADO</v>
      </c>
      <c r="E1133" s="11" t="str">
        <f>IFERROR(IF(VLOOKUP(A1133,[8]PRIORIZADOS!$A:$E,5,FALSE)="","",VLOOKUP(A1133,[8]PRIORIZADOS!$A:$E,5,FALSE)),"")</f>
        <v>EPBM</v>
      </c>
      <c r="F1133" s="11" t="str">
        <f>IFERROR(IF(VLOOKUP(A1133,[8]PRIORIZADOS!$A:$F,6,FALSE)="","",VLOOKUP(A1133,[8]PRIORIZADOS!$A:$F,6,FALSE)),"")</f>
        <v>COLEGIO_RAFAEL_GOBERNA</v>
      </c>
      <c r="G1133" s="11" t="str">
        <f>IFERROR(IF(VLOOKUP(A1133,[8]PRIORIZADOS!$A:$G,7,FALSE)="","",VLOOKUP(A1133,[8]PRIORIZADOS!$A:$G,7,FALSE)),"")</f>
        <v>COLEGIO RAFAEL GOBERNA</v>
      </c>
      <c r="H1133" s="11" t="str">
        <f>IFERROR(IF(VLOOKUP(A1133,[8]PRIORIZADOS!$A:$H,8,FALSE)="","",VLOOKUP(A1133,[8]PRIORIZADOS!$A:$H,8,FALSE)),"")</f>
        <v>Autoevaluación Institucional y Pruebas SABER 11</v>
      </c>
      <c r="I1133" s="11" t="str">
        <f>IFERROR(IF(VLOOKUP(A1133,[8]PRIORIZADOS!$A:$I,9,FALSE)="","",VLOOKUP(A1133,[8]PRIORIZADOS!$A:$I,9,FALSE)),"")</f>
        <v>SEGUIMIENTO_Y_SUPERVISIÓN.</v>
      </c>
      <c r="J1133" s="11" t="str">
        <f>IFERROR(IF(VLOOKUP(A1133,[8]PRIORIZADOS!$A:$J,10,FALSE)="","",VLOOKUP(A1133,[8]PRIORIZADOS!$A:$J,10,FALSE)),"")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33" s="11" t="str">
        <f>IFERROR(IF(VLOOKUP(A1133,[8]PRIORIZADOS!$A:$K,11,FALSE)="","",VLOOKUP(A1133,[8]PRIORIZADOS!$A:$K,11,FALSE)),"")</f>
        <v>GERMÁN EDUARDO TORO ROSERO</v>
      </c>
      <c r="L1133" s="11" t="str">
        <f>IFERROR(IF(VLOOKUP(A1133,[8]PRIORIZADOS!$A:$L,12,FALSE)="","",VLOOKUP(A1133,[8]PRIORIZADOS!$A:$L,12,FALSE)),"")</f>
        <v xml:space="preserve">DIANA ZULAY HUERTAS ORTÍZ </v>
      </c>
      <c r="M1133" s="71">
        <f>IFERROR(IF(VLOOKUP(A1133,[8]PRIORIZADOS!$A:$M,13,FALSE)="","",VLOOKUP(A1133,[8]PRIORIZADOS!$A:$M,13,FALSE)),"")</f>
        <v>45792</v>
      </c>
      <c r="N1133" s="71">
        <f>IFERROR(IF(VLOOKUP(A1133,[8]PRIORIZADOS!$A:$N,14,FALSE)="","",VLOOKUP(A1133,[8]PRIORIZADOS!$A:$N,14,FALSE)),"")</f>
        <v>45792</v>
      </c>
      <c r="O1133" s="71">
        <f>IFERROR(IF(VLOOKUP(A1133,[8]PRIORIZADOS!$A:$O,15,FALSE)="","",VLOOKUP(A1133,[8]PRIORIZADOS!$A:$O,15,FALSE)),"")</f>
        <v>45792</v>
      </c>
      <c r="P1133" s="11" t="str">
        <f>IFERROR(IF(VLOOKUP(A1133,[8]PRIORIZADOS!$A:$P,16,FALSE)="","",VLOOKUP(A1133,[8]PRIORIZADOS!$A:$P,16,FALSE)),"")</f>
        <v>Visitas de evaluación con fines de mejoramiento</v>
      </c>
      <c r="Q1133" s="125" t="s">
        <v>214</v>
      </c>
      <c r="R1133" s="11" t="str">
        <f>IFERROR(IF(VLOOKUP(A1133,[8]PRIORIZADOS!$A:$R,18,FALSE)="","",VLOOKUP(A1133,[8]PRIORIZADOS!$A:$R,18,FALSE)),"")</f>
        <v xml:space="preserve">La IE no ha caracterizado ni ha identificado la población con trastornos de aprendizaje y talento excepcionales </v>
      </c>
      <c r="S1133" s="11" t="str">
        <f>IFERROR(IF(VLOOKUP(A1133,[8]PRIORIZADOS!$A:$S,19,FALSE)="","",VLOOKUP(A1133,[8]PRIORIZADOS!$A:$S,19,FALSE)),"")</f>
        <v>La IE debe identificar y caracterizar a población estudiantil con trastornos de aprendizaje y talento excepcionales y formular el respectivo PIAR en caso de ser necesario.</v>
      </c>
      <c r="T1133" s="70" t="str">
        <f>IFERROR(IF(VLOOKUP(A1133,[8]PRIORIZADOS!$A:$T,20,FALSE)="","",VLOOKUP(A1133,[8]PRIORIZADOS!$A:$T,20,FALSE)),"")</f>
        <v>Si</v>
      </c>
      <c r="U1133" s="11" t="str">
        <f>IFERROR(IF(VLOOKUP(A1133,[8]PRIORIZADOS!$A:$U,21,FALSE)="","",VLOOKUP(A1133,[8]PRIORIZADOS!$A:$U,21,FALSE)),"")</f>
        <v>Seguimiento al cumplimiento del plan de mejoramiento.  Se realiza mesa de seguimiento el día 22 de septiembre 2025.Se validará el cumplimiento de las actividades pendientes el  5 de diciembre.</v>
      </c>
    </row>
    <row r="1134" spans="1:21" s="1" customFormat="1" ht="96">
      <c r="A1134" s="69">
        <f>IF([8]PRIORIZADOS!A113="","",[8]PRIORIZADOS!A113)</f>
        <v>1083</v>
      </c>
      <c r="B1134" s="70">
        <v>20</v>
      </c>
      <c r="C1134" s="11" t="str">
        <f>IFERROR(IF(VLOOKUP(A1134,[8]PRIORIZADOS!$A:$C,3,FALSE)="","",VLOOKUP(A1134,[8]PRIORIZADOS!$A:$C,3,FALSE)),"")</f>
        <v>KENNEDY</v>
      </c>
      <c r="D1134" s="11" t="str">
        <f>IFERROR(IF(VLOOKUP(A1134,[8]PRIORIZADOS!$A:$D,4,FALSE)="","",VLOOKUP(A1134,[8]PRIORIZADOS!$A:$D,4,FALSE)),"")</f>
        <v>PRIVADO</v>
      </c>
      <c r="E1134" s="11" t="str">
        <f>IFERROR(IF(VLOOKUP(A1134,[8]PRIORIZADOS!$A:$E,5,FALSE)="","",VLOOKUP(A1134,[8]PRIORIZADOS!$A:$E,5,FALSE)),"")</f>
        <v>EPBM</v>
      </c>
      <c r="F1134" s="11" t="str">
        <f>IFERROR(IF(VLOOKUP(A1134,[8]PRIORIZADOS!$A:$F,6,FALSE)="","",VLOOKUP(A1134,[8]PRIORIZADOS!$A:$F,6,FALSE)),"")</f>
        <v>COLEGIO_RAFAEL_GOBERNA</v>
      </c>
      <c r="G1134" s="11" t="str">
        <f>IFERROR(IF(VLOOKUP(A1134,[8]PRIORIZADOS!$A:$G,7,FALSE)="","",VLOOKUP(A1134,[8]PRIORIZADOS!$A:$G,7,FALSE)),"")</f>
        <v>COLEGIO RAFAEL GOBERNA</v>
      </c>
      <c r="H1134" s="11" t="str">
        <f>IFERROR(IF(VLOOKUP(A1134,[8]PRIORIZADOS!$A:$H,8,FALSE)="","",VLOOKUP(A1134,[8]PRIORIZADOS!$A:$H,8,FALSE)),"")</f>
        <v>Autoevaluación Institucional y Pruebas SABER 11</v>
      </c>
      <c r="I1134" s="11" t="str">
        <f>IFERROR(IF(VLOOKUP(A1134,[8]PRIORIZADOS!$A:$I,9,FALSE)="","",VLOOKUP(A1134,[8]PRIORIZADOS!$A:$I,9,FALSE)),"")</f>
        <v>EVALUACIÓN_CON_FINES_DE_MEJORAMIENTO.</v>
      </c>
      <c r="J1134" s="11" t="str">
        <f>IFERROR(IF(VLOOKUP(A1134,[8]PRIORIZADOS!$A:$J,10,FALSE)="","",VLOOKUP(A1134,[8]PRIORIZADOS!$A:$J,10,FALSE)),"")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34" s="11" t="str">
        <f>IFERROR(IF(VLOOKUP(A1134,[8]PRIORIZADOS!$A:$K,11,FALSE)="","",VLOOKUP(A1134,[8]PRIORIZADOS!$A:$K,11,FALSE)),"")</f>
        <v>GERMÁN EDUARDO TORO ROSERO</v>
      </c>
      <c r="L1134" s="11" t="str">
        <f>IFERROR(IF(VLOOKUP(A1134,[8]PRIORIZADOS!$A:$L,12,FALSE)="","",VLOOKUP(A1134,[8]PRIORIZADOS!$A:$L,12,FALSE)),"")</f>
        <v xml:space="preserve">DIANA ZULAY HUERTAS ORTÍZ </v>
      </c>
      <c r="M1134" s="71">
        <f>IFERROR(IF(VLOOKUP(A1134,[8]PRIORIZADOS!$A:$M,13,FALSE)="","",VLOOKUP(A1134,[8]PRIORIZADOS!$A:$M,13,FALSE)),"")</f>
        <v>45792</v>
      </c>
      <c r="N1134" s="71">
        <f>IFERROR(IF(VLOOKUP(A1134,[8]PRIORIZADOS!$A:$N,14,FALSE)="","",VLOOKUP(A1134,[8]PRIORIZADOS!$A:$N,14,FALSE)),"")</f>
        <v>45792</v>
      </c>
      <c r="O1134" s="71">
        <f>IFERROR(IF(VLOOKUP(A1134,[8]PRIORIZADOS!$A:$O,15,FALSE)="","",VLOOKUP(A1134,[8]PRIORIZADOS!$A:$O,15,FALSE)),"")</f>
        <v>45792</v>
      </c>
      <c r="P1134" s="11" t="str">
        <f>IFERROR(IF(VLOOKUP(A1134,[8]PRIORIZADOS!$A:$P,16,FALSE)="","",VLOOKUP(A1134,[8]PRIORIZADOS!$A:$P,16,FALSE)),"")</f>
        <v>Visitas de evaluación con fines de mejoramiento</v>
      </c>
      <c r="Q1134" s="126" t="s">
        <v>214</v>
      </c>
      <c r="R1134" s="11" t="str">
        <f>IFERROR(IF(VLOOKUP(A1134,[8]PRIORIZADOS!$A:$R,18,FALSE)="","",VLOOKUP(A1134,[8]PRIORIZADOS!$A:$R,18,FALSE)),"")</f>
        <v>La IE no presenta evidencias de la construcción participativa del manual de convivencia y no ha incorporado los enfoques que fomentan el respeto, la valoración de la diversidad y el enfoque restaurativo.</v>
      </c>
      <c r="S1134" s="11" t="str">
        <f>IFERROR(IF(VLOOKUP(A1134,[8]PRIORIZADOS!$A:$S,19,FALSE)="","",VLOOKUP(A1134,[8]PRIORIZADOS!$A:$S,19,FALSE)),"")</f>
        <v>La IE debe ajustar el manual de convivencia de manera participativa, de acuerdo a lo establecido en el artículo 2.3.3.1.4.4. del Decreto 1075 de 2015, la Ley 1620 y el Decreto 1965. además de incorporar   los enfoques que fomentan el respeto, la valoración de la diversidad y el enfoque restaurativo.</v>
      </c>
      <c r="T1134" s="70" t="str">
        <f>IFERROR(IF(VLOOKUP(A1134,[8]PRIORIZADOS!$A:$T,20,FALSE)="","",VLOOKUP(A1134,[8]PRIORIZADOS!$A:$T,20,FALSE)),"")</f>
        <v>Si</v>
      </c>
      <c r="U1134" s="11" t="str">
        <f>IFERROR(IF(VLOOKUP(A1134,[8]PRIORIZADOS!$A:$U,21,FALSE)="","",VLOOKUP(A1134,[8]PRIORIZADOS!$A:$U,21,FALSE)),"")</f>
        <v>Seguimiento al cumplimiento del plan de mejoramiento.  Se realiza mesa de seguimiento el día 22 de septiembre 2025.Se validará el cumplimiento de las actividades pendientes el  5 de diciembre.</v>
      </c>
    </row>
    <row r="1135" spans="1:21" s="1" customFormat="1" ht="60">
      <c r="A1135" s="69">
        <f>IF([8]PRIORIZADOS!A114="","",[8]PRIORIZADOS!A114)</f>
        <v>1084</v>
      </c>
      <c r="B1135" s="70">
        <v>20</v>
      </c>
      <c r="C1135" s="11" t="str">
        <f>IFERROR(IF(VLOOKUP(A1135,[8]PRIORIZADOS!$A:$C,3,FALSE)="","",VLOOKUP(A1135,[8]PRIORIZADOS!$A:$C,3,FALSE)),"")</f>
        <v>KENNEDY</v>
      </c>
      <c r="D1135" s="11" t="str">
        <f>IFERROR(IF(VLOOKUP(A1135,[8]PRIORIZADOS!$A:$D,4,FALSE)="","",VLOOKUP(A1135,[8]PRIORIZADOS!$A:$D,4,FALSE)),"")</f>
        <v>PRIVADO</v>
      </c>
      <c r="E1135" s="11" t="str">
        <f>IFERROR(IF(VLOOKUP(A1135,[8]PRIORIZADOS!$A:$E,5,FALSE)="","",VLOOKUP(A1135,[8]PRIORIZADOS!$A:$E,5,FALSE)),"")</f>
        <v>EPBM</v>
      </c>
      <c r="F1135" s="11" t="str">
        <f>IFERROR(IF(VLOOKUP(A1135,[8]PRIORIZADOS!$A:$F,6,FALSE)="","",VLOOKUP(A1135,[8]PRIORIZADOS!$A:$F,6,FALSE)),"")</f>
        <v>COLEGIO_RAFAEL_GOBERNA</v>
      </c>
      <c r="G1135" s="11" t="str">
        <f>IFERROR(IF(VLOOKUP(A1135,[8]PRIORIZADOS!$A:$G,7,FALSE)="","",VLOOKUP(A1135,[8]PRIORIZADOS!$A:$G,7,FALSE)),"")</f>
        <v>COLEGIO RAFAEL GOBERNA</v>
      </c>
      <c r="H1135" s="11" t="str">
        <f>IFERROR(IF(VLOOKUP(A1135,[8]PRIORIZADOS!$A:$H,8,FALSE)="","",VLOOKUP(A1135,[8]PRIORIZADOS!$A:$H,8,FALSE)),"")</f>
        <v>Autoevaluación Institucional y Pruebas SABER 11</v>
      </c>
      <c r="I1135" s="11" t="str">
        <f>IFERROR(IF(VLOOKUP(A1135,[8]PRIORIZADOS!$A:$I,9,FALSE)="","",VLOOKUP(A1135,[8]PRIORIZADOS!$A:$I,9,FALSE)),"")</f>
        <v>EVALUACIÓN_CON_FINES_DE_MEJORAMIENTO.</v>
      </c>
      <c r="J1135" s="11" t="str">
        <f>IFERROR(IF(VLOOKUP(A1135,[8]PRIORIZADOS!$A:$J,10,FALSE)="","",VLOOKUP(A1135,[8]PRIORIZADOS!$A:$J,10,FALSE)),"")</f>
        <v>Verificar las condiciones en cuanto a: la estructura administrativa, condiciones de la planta física y medios educativos adecuados.</v>
      </c>
      <c r="K1135" s="11" t="str">
        <f>IFERROR(IF(VLOOKUP(A1135,[8]PRIORIZADOS!$A:$K,11,FALSE)="","",VLOOKUP(A1135,[8]PRIORIZADOS!$A:$K,11,FALSE)),"")</f>
        <v>GERMÁN EDUARDO TORO ROSERO</v>
      </c>
      <c r="L1135" s="11" t="str">
        <f>IFERROR(IF(VLOOKUP(A1135,[8]PRIORIZADOS!$A:$L,12,FALSE)="","",VLOOKUP(A1135,[8]PRIORIZADOS!$A:$L,12,FALSE)),"")</f>
        <v xml:space="preserve">DIANA ZULAY HUERTAS ORTÍZ </v>
      </c>
      <c r="M1135" s="71">
        <f>IFERROR(IF(VLOOKUP(A1135,[8]PRIORIZADOS!$A:$M,13,FALSE)="","",VLOOKUP(A1135,[8]PRIORIZADOS!$A:$M,13,FALSE)),"")</f>
        <v>45792</v>
      </c>
      <c r="N1135" s="71">
        <f>IFERROR(IF(VLOOKUP(A1135,[8]PRIORIZADOS!$A:$N,14,FALSE)="","",VLOOKUP(A1135,[8]PRIORIZADOS!$A:$N,14,FALSE)),"")</f>
        <v>45792</v>
      </c>
      <c r="O1135" s="71">
        <f>IFERROR(IF(VLOOKUP(A1135,[8]PRIORIZADOS!$A:$O,15,FALSE)="","",VLOOKUP(A1135,[8]PRIORIZADOS!$A:$O,15,FALSE)),"")</f>
        <v>45792</v>
      </c>
      <c r="P1135" s="11" t="str">
        <f>IFERROR(IF(VLOOKUP(A1135,[8]PRIORIZADOS!$A:$P,16,FALSE)="","",VLOOKUP(A1135,[8]PRIORIZADOS!$A:$P,16,FALSE)),"")</f>
        <v>Visitas de evaluación con fines de mejoramiento</v>
      </c>
      <c r="Q1135" s="107" t="s">
        <v>214</v>
      </c>
      <c r="R1135" s="11" t="str">
        <f>IFERROR(IF(VLOOKUP(A1135,[8]PRIORIZADOS!$A:$R,18,FALSE)="","",VLOOKUP(A1135,[8]PRIORIZADOS!$A:$R,18,FALSE)),"")</f>
        <v>Las condiciones de los medios educativos no son adecuados para la prestación del servicio educativo (pupitres, tableros y medios tecnológicos)</v>
      </c>
      <c r="S1135" s="11" t="str">
        <f>IFERROR(IF(VLOOKUP(A1135,[8]PRIORIZADOS!$A:$S,19,FALSE)="","",VLOOKUP(A1135,[8]PRIORIZADOS!$A:$S,19,FALSE)),"")</f>
        <v xml:space="preserve">La IE debe implementar un plan de mantenimiento, mejora o cambio del inmobiliario (pupitres, tableros y medios tecnológicos), con el propósito de prestar un servicio educativo de calidad. </v>
      </c>
      <c r="T1135" s="70" t="str">
        <f>IFERROR(IF(VLOOKUP(A1135,[8]PRIORIZADOS!$A:$T,20,FALSE)="","",VLOOKUP(A1135,[8]PRIORIZADOS!$A:$T,20,FALSE)),"")</f>
        <v>Si</v>
      </c>
      <c r="U1135" s="11" t="str">
        <f>IFERROR(IF(VLOOKUP(A1135,[8]PRIORIZADOS!$A:$U,21,FALSE)="","",VLOOKUP(A1135,[8]PRIORIZADOS!$A:$U,21,FALSE)),"")</f>
        <v>Seguimiento al cumplimiento del plan de mejoramiento.  Se realiza mesa de seguimiento el día 22 de septiembre 2025.Se validará el cumplimiento de las actividades pendientes el  5 de diciembre.</v>
      </c>
    </row>
    <row r="1136" spans="1:21" s="1" customFormat="1" ht="48">
      <c r="A1136" s="69">
        <f>IF([8]PRIORIZADOS!A115="","",[8]PRIORIZADOS!A115)</f>
        <v>1085</v>
      </c>
      <c r="B1136" s="70">
        <f>IFERROR(IF(VLOOKUP(A1136,[8]PRIORIZADOS!$A:$B,2,FALSE)="","",VLOOKUP(A1136,[8]PRIORIZADOS!$A:$B,2,FALSE)),"")</f>
        <v>21</v>
      </c>
      <c r="C1136" s="11" t="str">
        <f>IFERROR(IF(VLOOKUP(A1136,[8]PRIORIZADOS!$A:$C,3,FALSE)="","",VLOOKUP(A1136,[8]PRIORIZADOS!$A:$C,3,FALSE)),"")</f>
        <v>KENNEDY</v>
      </c>
      <c r="D1136" s="11" t="str">
        <f>IFERROR(IF(VLOOKUP(A1136,[8]PRIORIZADOS!$A:$D,4,FALSE)="","",VLOOKUP(A1136,[8]PRIORIZADOS!$A:$D,4,FALSE)),"")</f>
        <v>PRIVADO</v>
      </c>
      <c r="E1136" s="11" t="str">
        <f>IFERROR(IF(VLOOKUP(A1136,[8]PRIORIZADOS!$A:$E,5,FALSE)="","",VLOOKUP(A1136,[8]PRIORIZADOS!$A:$E,5,FALSE)),"")</f>
        <v>EPBM</v>
      </c>
      <c r="F1136" s="11" t="str">
        <f>IFERROR(IF(VLOOKUP(A1136,[8]PRIORIZADOS!$A:$F,6,FALSE)="","",VLOOKUP(A1136,[8]PRIORIZADOS!$A:$F,6,FALSE)),"")</f>
        <v>COLEGIO_SAGRADO_CORAZON</v>
      </c>
      <c r="G1136" s="11" t="str">
        <f>IFERROR(IF(VLOOKUP(A1136,[8]PRIORIZADOS!$A:$G,7,FALSE)="","",VLOOKUP(A1136,[8]PRIORIZADOS!$A:$G,7,FALSE)),"")</f>
        <v>COLEGIO SAGRADO CORAZON</v>
      </c>
      <c r="H1136" s="11" t="str">
        <f>IFERROR(IF(VLOOKUP(A1136,[8]PRIORIZADOS!$A:$H,8,FALSE)="","",VLOOKUP(A1136,[8]PRIORIZADOS!$A:$H,8,FALSE)),"")</f>
        <v>Autoevaluación Institucional y Pruebas SABER 11</v>
      </c>
      <c r="I1136" s="11" t="str">
        <f>IFERROR(IF(VLOOKUP(A1136,[8]PRIORIZADOS!$A:$I,9,FALSE)="","",VLOOKUP(A1136,[8]PRIORIZADOS!$A:$I,9,FALSE)),"")</f>
        <v>SEGUIMIENTO_Y_SUPERVISIÓN.</v>
      </c>
      <c r="J1136" s="11" t="str">
        <f>IFERROR(IF(VLOOKUP(A1136,[8]PRIORIZADOS!$A:$J,10,FALSE)="","",VLOOKUP(A1136,[8]PRIORIZADOS!$A:$J,10,FALSE)),"")</f>
        <v>Realizar visitas para verificar la información registrada sobre la autoevaluación institucional en el aplicativo EVI, a los establecimientos de educación formal no oficial.</v>
      </c>
      <c r="K1136" s="11" t="str">
        <f>IFERROR(IF(VLOOKUP(A1136,[8]PRIORIZADOS!$A:$K,11,FALSE)="","",VLOOKUP(A1136,[8]PRIORIZADOS!$A:$K,11,FALSE)),"")</f>
        <v>INGRID VIVIANA DÁVILA ÁVILA</v>
      </c>
      <c r="L1136" s="11" t="str">
        <f>IFERROR(IF(VLOOKUP(A1136,[8]PRIORIZADOS!$A:$L,12,FALSE)="","",VLOOKUP(A1136,[8]PRIORIZADOS!$A:$L,12,FALSE)),"")</f>
        <v>LUIS FERNANDO CÁRDENAS URAN</v>
      </c>
      <c r="M1136" s="71">
        <f>IFERROR(IF(VLOOKUP(A1136,[8]PRIORIZADOS!$A:$M,13,FALSE)="","",VLOOKUP(A1136,[8]PRIORIZADOS!$A:$M,13,FALSE)),"")</f>
        <v>45797</v>
      </c>
      <c r="N1136" s="71">
        <f>IFERROR(IF(VLOOKUP(A1136,[8]PRIORIZADOS!$A:$N,14,FALSE)="","",VLOOKUP(A1136,[8]PRIORIZADOS!$A:$N,14,FALSE)),"")</f>
        <v>45797</v>
      </c>
      <c r="O1136" s="71">
        <f>IFERROR(IF(VLOOKUP(A1136,[8]PRIORIZADOS!$A:$O,15,FALSE)="","",VLOOKUP(A1136,[8]PRIORIZADOS!$A:$O,15,FALSE)),"")</f>
        <v>45797</v>
      </c>
      <c r="P1136" s="11" t="str">
        <f>IFERROR(IF(VLOOKUP(A1136,[8]PRIORIZADOS!$A:$P,16,FALSE)="","",VLOOKUP(A1136,[8]PRIORIZADOS!$A:$P,16,FALSE)),"")</f>
        <v>Visitas de evaluación con fines de mejoramiento</v>
      </c>
      <c r="Q1136" s="136" t="s">
        <v>215</v>
      </c>
      <c r="R1136" s="11" t="str">
        <f>IFERROR(IF(VLOOKUP(A1136,[8]PRIORIZADOS!$A:$R,18,FALSE)="","",VLOOKUP(A1136,[8]PRIORIZADOS!$A:$R,18,FALSE)),"")</f>
        <v>Existe correspondencia entre la información registrada en EVI y la realidad institucional para la definición de régimen y tarifas</v>
      </c>
      <c r="S1136" s="11" t="str">
        <f>IFERROR(IF(VLOOKUP(A1136,[8]PRIORIZADOS!$A:$S,19,FALSE)="","",VLOOKUP(A1136,[8]PRIORIZADOS!$A:$S,19,FALSE)),"")</f>
        <v>La IE debe seguir reportando la información que da cuenta de la realidad  institucional en el  aplicativo EVI</v>
      </c>
      <c r="T1136" s="70" t="str">
        <f>IFERROR(IF(VLOOKUP(A1136,[8]PRIORIZADOS!$A:$T,20,FALSE)="","",VLOOKUP(A1136,[8]PRIORIZADOS!$A:$T,20,FALSE)),"")</f>
        <v>No</v>
      </c>
      <c r="U1136" s="11" t="str">
        <f>IFERROR(IF(VLOOKUP(A1136,[8]PRIORIZADOS!$A:$U,21,FALSE)="","",VLOOKUP(A1136,[8]PRIORIZADOS!$A:$U,21,FALSE)),"")</f>
        <v>El ELIV verificará en la próxima vigencia que el aplicativo EVI da cuenta de la realidad institucional</v>
      </c>
    </row>
    <row r="1137" spans="1:21" s="1" customFormat="1" ht="60">
      <c r="A1137" s="69">
        <f>IF([8]PRIORIZADOS!A116="","",[8]PRIORIZADOS!A116)</f>
        <v>1086</v>
      </c>
      <c r="B1137" s="70">
        <v>21</v>
      </c>
      <c r="C1137" s="11" t="str">
        <f>IFERROR(IF(VLOOKUP(A1137,[8]PRIORIZADOS!$A:$C,3,FALSE)="","",VLOOKUP(A1137,[8]PRIORIZADOS!$A:$C,3,FALSE)),"")</f>
        <v>KENNEDY</v>
      </c>
      <c r="D1137" s="11" t="str">
        <f>IFERROR(IF(VLOOKUP(A1137,[8]PRIORIZADOS!$A:$D,4,FALSE)="","",VLOOKUP(A1137,[8]PRIORIZADOS!$A:$D,4,FALSE)),"")</f>
        <v>PRIVADO</v>
      </c>
      <c r="E1137" s="11" t="str">
        <f>IFERROR(IF(VLOOKUP(A1137,[8]PRIORIZADOS!$A:$E,5,FALSE)="","",VLOOKUP(A1137,[8]PRIORIZADOS!$A:$E,5,FALSE)),"")</f>
        <v>EPBM</v>
      </c>
      <c r="F1137" s="11" t="str">
        <f>IFERROR(IF(VLOOKUP(A1137,[8]PRIORIZADOS!$A:$F,6,FALSE)="","",VLOOKUP(A1137,[8]PRIORIZADOS!$A:$F,6,FALSE)),"")</f>
        <v>COLEGIO_SAGRADO_CORAZON</v>
      </c>
      <c r="G1137" s="11" t="str">
        <f>IFERROR(IF(VLOOKUP(A1137,[8]PRIORIZADOS!$A:$G,7,FALSE)="","",VLOOKUP(A1137,[8]PRIORIZADOS!$A:$G,7,FALSE)),"")</f>
        <v>COLEGIO SAGRADO CORAZON</v>
      </c>
      <c r="H1137" s="11" t="str">
        <f>IFERROR(IF(VLOOKUP(A1137,[8]PRIORIZADOS!$A:$H,8,FALSE)="","",VLOOKUP(A1137,[8]PRIORIZADOS!$A:$H,8,FALSE)),"")</f>
        <v>Autoevaluación Institucional y Pruebas SABER 11</v>
      </c>
      <c r="I1137" s="11" t="str">
        <f>IFERROR(IF(VLOOKUP(A1137,[8]PRIORIZADOS!$A:$I,9,FALSE)="","",VLOOKUP(A1137,[8]PRIORIZADOS!$A:$I,9,FALSE)),"")</f>
        <v>SEGUIMIENTO_Y_SUPERVISIÓN.</v>
      </c>
      <c r="J1137" s="11" t="str">
        <f>IFERROR(IF(VLOOKUP(A1137,[8]PRIORIZADOS!$A:$J,10,FALSE)="","",VLOOKUP(A1137,[8]PRIORIZADOS!$A:$J,10,FALSE)),"")</f>
        <v>Proponer estrategias en la formulación, verificar su elaboración y realizar seguimiento semestral al desarrollo de  las acciones establecidas en los planes de mejoramiento por pruebas SABER 11 de los establecimientos de educación formal.</v>
      </c>
      <c r="K1137" s="11" t="str">
        <f>IFERROR(IF(VLOOKUP(A1137,[8]PRIORIZADOS!$A:$K,11,FALSE)="","",VLOOKUP(A1137,[8]PRIORIZADOS!$A:$K,11,FALSE)),"")</f>
        <v>INGRID VIVIANA DÁVILA ÁVILA</v>
      </c>
      <c r="L1137" s="11" t="str">
        <f>IFERROR(IF(VLOOKUP(A1137,[8]PRIORIZADOS!$A:$L,12,FALSE)="","",VLOOKUP(A1137,[8]PRIORIZADOS!$A:$L,12,FALSE)),"")</f>
        <v>LUIS FERNANDO CÁRDENAS URAN</v>
      </c>
      <c r="M1137" s="71">
        <f>IFERROR(IF(VLOOKUP(A1137,[8]PRIORIZADOS!$A:$M,13,FALSE)="","",VLOOKUP(A1137,[8]PRIORIZADOS!$A:$M,13,FALSE)),"")</f>
        <v>45797</v>
      </c>
      <c r="N1137" s="71">
        <f>IFERROR(IF(VLOOKUP(A1137,[8]PRIORIZADOS!$A:$N,14,FALSE)="","",VLOOKUP(A1137,[8]PRIORIZADOS!$A:$N,14,FALSE)),"")</f>
        <v>45797</v>
      </c>
      <c r="O1137" s="71">
        <f>IFERROR(IF(VLOOKUP(A1137,[8]PRIORIZADOS!$A:$O,15,FALSE)="","",VLOOKUP(A1137,[8]PRIORIZADOS!$A:$O,15,FALSE)),"")</f>
        <v>45797</v>
      </c>
      <c r="P1137" s="11" t="str">
        <f>IFERROR(IF(VLOOKUP(A1137,[8]PRIORIZADOS!$A:$P,16,FALSE)="","",VLOOKUP(A1137,[8]PRIORIZADOS!$A:$P,16,FALSE)),"")</f>
        <v>Visitas de evaluación con fines de mejoramiento</v>
      </c>
      <c r="Q1137" s="107" t="s">
        <v>215</v>
      </c>
      <c r="R1137" s="11" t="str">
        <f>IFERROR(IF(VLOOKUP(A1137,[8]PRIORIZADOS!$A:$R,18,FALSE)="","",VLOOKUP(A1137,[8]PRIORIZADOS!$A:$R,18,FALSE)),"")</f>
        <v>Se evidencia que  no se han implementado acciones para mejorar los aprendizajes de los estudiantes en las áreas del plan de estudio con más bajo desempeño en las pruebas SABER 11.</v>
      </c>
      <c r="S1137" s="11" t="str">
        <f>IFERROR(IF(VLOOKUP(A1137,[8]PRIORIZADOS!$A:$S,19,FALSE)="","",VLOOKUP(A1137,[8]PRIORIZADOS!$A:$S,19,FALSE)),"")</f>
        <v>La IE debe implementar  estrategias  pedagógicas  y establecer el plan de mejoramiento  en las áreas  de estudio con más bajo desempeño en las pruebas SABER 11</v>
      </c>
      <c r="T1137" s="70" t="str">
        <f>IFERROR(IF(VLOOKUP(A1137,[8]PRIORIZADOS!$A:$T,20,FALSE)="","",VLOOKUP(A1137,[8]PRIORIZADOS!$A:$T,20,FALSE)),"")</f>
        <v>No</v>
      </c>
      <c r="U1137" s="11" t="str">
        <f>IFERROR(IF(VLOOKUP(A1137,[8]PRIORIZADOS!$A:$U,21,FALSE)="","",VLOOKUP(A1137,[8]PRIORIZADOS!$A:$U,21,FALSE)),"")</f>
        <v xml:space="preserve">Verificar la actualización de los planes de estudio. </v>
      </c>
    </row>
    <row r="1138" spans="1:21" s="1" customFormat="1" ht="84">
      <c r="A1138" s="69">
        <f>IF([8]PRIORIZADOS!A117="","",[8]PRIORIZADOS!A117)</f>
        <v>1087</v>
      </c>
      <c r="B1138" s="70">
        <v>21</v>
      </c>
      <c r="C1138" s="11" t="str">
        <f>IFERROR(IF(VLOOKUP(A1138,[8]PRIORIZADOS!$A:$C,3,FALSE)="","",VLOOKUP(A1138,[8]PRIORIZADOS!$A:$C,3,FALSE)),"")</f>
        <v>KENNEDY</v>
      </c>
      <c r="D1138" s="11" t="str">
        <f>IFERROR(IF(VLOOKUP(A1138,[8]PRIORIZADOS!$A:$D,4,FALSE)="","",VLOOKUP(A1138,[8]PRIORIZADOS!$A:$D,4,FALSE)),"")</f>
        <v>PRIVADO</v>
      </c>
      <c r="E1138" s="11" t="str">
        <f>IFERROR(IF(VLOOKUP(A1138,[8]PRIORIZADOS!$A:$E,5,FALSE)="","",VLOOKUP(A1138,[8]PRIORIZADOS!$A:$E,5,FALSE)),"")</f>
        <v>EPBM</v>
      </c>
      <c r="F1138" s="11" t="str">
        <f>IFERROR(IF(VLOOKUP(A1138,[8]PRIORIZADOS!$A:$F,6,FALSE)="","",VLOOKUP(A1138,[8]PRIORIZADOS!$A:$F,6,FALSE)),"")</f>
        <v>COLEGIO_SAGRADO_CORAZON</v>
      </c>
      <c r="G1138" s="11" t="str">
        <f>IFERROR(IF(VLOOKUP(A1138,[8]PRIORIZADOS!$A:$G,7,FALSE)="","",VLOOKUP(A1138,[8]PRIORIZADOS!$A:$G,7,FALSE)),"")</f>
        <v>COLEGIO SAGRADO CORAZON</v>
      </c>
      <c r="H1138" s="11" t="str">
        <f>IFERROR(IF(VLOOKUP(A1138,[8]PRIORIZADOS!$A:$H,8,FALSE)="","",VLOOKUP(A1138,[8]PRIORIZADOS!$A:$H,8,FALSE)),"")</f>
        <v>Autoevaluación Institucional y Pruebas SABER 11</v>
      </c>
      <c r="I1138" s="11" t="str">
        <f>IFERROR(IF(VLOOKUP(A1138,[8]PRIORIZADOS!$A:$I,9,FALSE)="","",VLOOKUP(A1138,[8]PRIORIZADOS!$A:$I,9,FALSE)),"")</f>
        <v>EVALUACIÓN_CON_FINES_DE_MEJORAMIENTO.</v>
      </c>
      <c r="J1138" s="11" t="str">
        <f>IFERROR(IF(VLOOKUP(A1138,[8]PRIORIZADOS!$A:$J,10,FALSE)="","",VLOOKUP(A1138,[8]PRIORIZADOS!$A:$J,10,FALSE)),"")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38" s="11" t="str">
        <f>IFERROR(IF(VLOOKUP(A1138,[8]PRIORIZADOS!$A:$K,11,FALSE)="","",VLOOKUP(A1138,[8]PRIORIZADOS!$A:$K,11,FALSE)),"")</f>
        <v>INGRID VIVIANA DÁVILA ÁVILA</v>
      </c>
      <c r="L1138" s="11" t="str">
        <f>IFERROR(IF(VLOOKUP(A1138,[8]PRIORIZADOS!$A:$L,12,FALSE)="","",VLOOKUP(A1138,[8]PRIORIZADOS!$A:$L,12,FALSE)),"")</f>
        <v>LUIS FERNANDO CÁRDENAS URAN</v>
      </c>
      <c r="M1138" s="71">
        <f>IFERROR(IF(VLOOKUP(A1138,[8]PRIORIZADOS!$A:$M,13,FALSE)="","",VLOOKUP(A1138,[8]PRIORIZADOS!$A:$M,13,FALSE)),"")</f>
        <v>45797</v>
      </c>
      <c r="N1138" s="71">
        <f>IFERROR(IF(VLOOKUP(A1138,[8]PRIORIZADOS!$A:$N,14,FALSE)="","",VLOOKUP(A1138,[8]PRIORIZADOS!$A:$N,14,FALSE)),"")</f>
        <v>45797</v>
      </c>
      <c r="O1138" s="71">
        <f>IFERROR(IF(VLOOKUP(A1138,[8]PRIORIZADOS!$A:$O,15,FALSE)="","",VLOOKUP(A1138,[8]PRIORIZADOS!$A:$O,15,FALSE)),"")</f>
        <v>45797</v>
      </c>
      <c r="P1138" s="11" t="str">
        <f>IFERROR(IF(VLOOKUP(A1138,[8]PRIORIZADOS!$A:$P,16,FALSE)="","",VLOOKUP(A1138,[8]PRIORIZADOS!$A:$P,16,FALSE)),"")</f>
        <v>Visitas de evaluación con fines de mejoramiento</v>
      </c>
      <c r="Q1138" s="136" t="s">
        <v>215</v>
      </c>
      <c r="R1138" s="11" t="str">
        <f>IFERROR(IF(VLOOKUP(A1138,[8]PRIORIZADOS!$A:$R,18,FALSE)="","",VLOOKUP(A1138,[8]PRIORIZADOS!$A:$R,18,FALSE)),"")</f>
        <v>El manual de convivencia  no evidencia  ,  ni documenta  la  participación  a la comunidad educativa  en y con relación  a las situaciones y faltas referenciadas en el mismo.</v>
      </c>
      <c r="S1138" s="11" t="str">
        <f>IFERROR(IF(VLOOKUP(A1138,[8]PRIORIZADOS!$A:$S,19,FALSE)="","",VLOOKUP(A1138,[8]PRIORIZADOS!$A:$S,19,FALSE)),"")</f>
        <v>Actualizar el manual de convivencia y hacer partícipe a la comunidad educativa, igualmente revisar las situaciones y faltas, esto en garantía del debido proceso de los  miembros de la comunidad educativa.</v>
      </c>
      <c r="T1138" s="70" t="str">
        <f>IFERROR(IF(VLOOKUP(A1138,[8]PRIORIZADOS!$A:$T,20,FALSE)="","",VLOOKUP(A1138,[8]PRIORIZADOS!$A:$T,20,FALSE)),"")</f>
        <v>Si</v>
      </c>
      <c r="U1138" s="11" t="str">
        <f>IFERROR(IF(VLOOKUP(A1138,[8]PRIORIZADOS!$A:$U,21,FALSE)="","",VLOOKUP(A1138,[8]PRIORIZADOS!$A:$U,21,FALSE)),"")</f>
        <v>Verificar la construcción participativa del manual de convivencia y sus ajustes.  Se realiza mesa de seguimiento el día 22 de septiembre 2025.Se validará el cumplimiento de las actividades pendientes el  15 de octubre.</v>
      </c>
    </row>
    <row r="1139" spans="1:21" s="1" customFormat="1" ht="84">
      <c r="A1139" s="69">
        <f>IF([8]PRIORIZADOS!A118="","",[8]PRIORIZADOS!A118)</f>
        <v>1088</v>
      </c>
      <c r="B1139" s="70">
        <v>21</v>
      </c>
      <c r="C1139" s="11" t="str">
        <f>IFERROR(IF(VLOOKUP(A1139,[8]PRIORIZADOS!$A:$C,3,FALSE)="","",VLOOKUP(A1139,[8]PRIORIZADOS!$A:$C,3,FALSE)),"")</f>
        <v>KENNEDY</v>
      </c>
      <c r="D1139" s="11" t="str">
        <f>IFERROR(IF(VLOOKUP(A1139,[8]PRIORIZADOS!$A:$D,4,FALSE)="","",VLOOKUP(A1139,[8]PRIORIZADOS!$A:$D,4,FALSE)),"")</f>
        <v>PRIVADO</v>
      </c>
      <c r="E1139" s="11" t="str">
        <f>IFERROR(IF(VLOOKUP(A1139,[8]PRIORIZADOS!$A:$E,5,FALSE)="","",VLOOKUP(A1139,[8]PRIORIZADOS!$A:$E,5,FALSE)),"")</f>
        <v>EPBM</v>
      </c>
      <c r="F1139" s="11" t="str">
        <f>IFERROR(IF(VLOOKUP(A1139,[8]PRIORIZADOS!$A:$F,6,FALSE)="","",VLOOKUP(A1139,[8]PRIORIZADOS!$A:$F,6,FALSE)),"")</f>
        <v>COLEGIO_SAGRADO_CORAZON</v>
      </c>
      <c r="G1139" s="11" t="str">
        <f>IFERROR(IF(VLOOKUP(A1139,[8]PRIORIZADOS!$A:$G,7,FALSE)="","",VLOOKUP(A1139,[8]PRIORIZADOS!$A:$G,7,FALSE)),"")</f>
        <v>COLEGIO SAGRADO CORAZON</v>
      </c>
      <c r="H1139" s="11" t="str">
        <f>IFERROR(IF(VLOOKUP(A1139,[8]PRIORIZADOS!$A:$H,8,FALSE)="","",VLOOKUP(A1139,[8]PRIORIZADOS!$A:$H,8,FALSE)),"")</f>
        <v>Autoevaluación Institucional y Pruebas SABER 11</v>
      </c>
      <c r="I1139" s="11" t="str">
        <f>IFERROR(IF(VLOOKUP(A1139,[8]PRIORIZADOS!$A:$I,9,FALSE)="","",VLOOKUP(A1139,[8]PRIORIZADOS!$A:$I,9,FALSE)),"")</f>
        <v>EVALUACIÓN_CON_FINES_DE_MEJORAMIENTO.</v>
      </c>
      <c r="J1139" s="11" t="str">
        <f>IFERROR(IF(VLOOKUP(A1139,[8]PRIORIZADOS!$A:$J,10,FALSE)="","",VLOOKUP(A1139,[8]PRIORIZADOS!$A:$J,10,FALSE)),"")</f>
        <v>Verificar las condiciones en cuanto a: la estructura administrativa, condiciones de la planta física y medios educativos adecuados.</v>
      </c>
      <c r="K1139" s="11" t="str">
        <f>IFERROR(IF(VLOOKUP(A1139,[8]PRIORIZADOS!$A:$K,11,FALSE)="","",VLOOKUP(A1139,[8]PRIORIZADOS!$A:$K,11,FALSE)),"")</f>
        <v>INGRID VIVIANA DÁVILA ÁVILA</v>
      </c>
      <c r="L1139" s="11" t="str">
        <f>IFERROR(IF(VLOOKUP(A1139,[8]PRIORIZADOS!$A:$L,12,FALSE)="","",VLOOKUP(A1139,[8]PRIORIZADOS!$A:$L,12,FALSE)),"")</f>
        <v>LUIS FERNANDO CÁRDENAS URAN</v>
      </c>
      <c r="M1139" s="71">
        <f>IFERROR(IF(VLOOKUP(A1139,[8]PRIORIZADOS!$A:$M,13,FALSE)="","",VLOOKUP(A1139,[8]PRIORIZADOS!$A:$M,13,FALSE)),"")</f>
        <v>45797</v>
      </c>
      <c r="N1139" s="71">
        <f>IFERROR(IF(VLOOKUP(A1139,[8]PRIORIZADOS!$A:$N,14,FALSE)="","",VLOOKUP(A1139,[8]PRIORIZADOS!$A:$N,14,FALSE)),"")</f>
        <v>45797</v>
      </c>
      <c r="O1139" s="71">
        <f>IFERROR(IF(VLOOKUP(A1139,[8]PRIORIZADOS!$A:$O,15,FALSE)="","",VLOOKUP(A1139,[8]PRIORIZADOS!$A:$O,15,FALSE)),"")</f>
        <v>45797</v>
      </c>
      <c r="P1139" s="11" t="str">
        <f>IFERROR(IF(VLOOKUP(A1139,[8]PRIORIZADOS!$A:$P,16,FALSE)="","",VLOOKUP(A1139,[8]PRIORIZADOS!$A:$P,16,FALSE)),"")</f>
        <v>Visitas de evaluación con fines de mejoramiento</v>
      </c>
      <c r="Q1139" s="107" t="s">
        <v>215</v>
      </c>
      <c r="R1139" s="11" t="str">
        <f>IFERROR(IF(VLOOKUP(A1139,[8]PRIORIZADOS!$A:$R,18,FALSE)="","",VLOOKUP(A1139,[8]PRIORIZADOS!$A:$R,18,FALSE)),"")</f>
        <v>La EE  en el piso superior (terraza) tiene  las mallas que cubren el perímetro  pueden generar  riesgo de accidentes para los niños, niñas, jóvenes y adolescentes,  junto con las tapas  de los tacos de luz</v>
      </c>
      <c r="S1139" s="11" t="str">
        <f>IFERROR(IF(VLOOKUP(A1139,[8]PRIORIZADOS!$A:$S,19,FALSE)="","",VLOOKUP(A1139,[8]PRIORIZADOS!$A:$S,19,FALSE)),"")</f>
        <v>Realizar el mantenimiento locativo en el piso superior (terraza)  de las mallas que cubren el perímetro de este espacio con el fin de prevenir riesgo de accidentes para los niños, niñas, jóvenes y adolescentes, igualmente verificar las tapas de los tacos de luz</v>
      </c>
      <c r="T1139" s="70" t="str">
        <f>IFERROR(IF(VLOOKUP(A1139,[8]PRIORIZADOS!$A:$T,20,FALSE)="","",VLOOKUP(A1139,[8]PRIORIZADOS!$A:$T,20,FALSE)),"")</f>
        <v>Si</v>
      </c>
      <c r="U1139" s="11" t="str">
        <f>IFERROR(IF(VLOOKUP(A1139,[8]PRIORIZADOS!$A:$U,21,FALSE)="","",VLOOKUP(A1139,[8]PRIORIZADOS!$A:$U,21,FALSE)),"")</f>
        <v>Seguimiento al cumplimiento del plan de mejoramiento con referencia al mantenimiento locativo. Se realiza mesa de seguimiento el día 22 de septiembre 2025.Se validará el cumplimiento de las actividades pendientes el  15 de octubre.</v>
      </c>
    </row>
    <row r="1140" spans="1:21" s="1" customFormat="1" ht="60">
      <c r="A1140" s="69">
        <f>IF([8]PRIORIZADOS!A119="","",[8]PRIORIZADOS!A119)</f>
        <v>1089</v>
      </c>
      <c r="B1140" s="70">
        <v>22</v>
      </c>
      <c r="C1140" s="11" t="str">
        <f>IFERROR(IF(VLOOKUP(A1140,[8]PRIORIZADOS!$A:$C,3,FALSE)="","",VLOOKUP(A1140,[8]PRIORIZADOS!$A:$C,3,FALSE)),"")</f>
        <v>KENNEDY</v>
      </c>
      <c r="D1140" s="11" t="str">
        <f>IFERROR(IF(VLOOKUP(A1140,[8]PRIORIZADOS!$A:$D,4,FALSE)="","",VLOOKUP(A1140,[8]PRIORIZADOS!$A:$D,4,FALSE)),"")</f>
        <v>PRIVADO</v>
      </c>
      <c r="E1140" s="11" t="str">
        <f>IFERROR(IF(VLOOKUP(A1140,[8]PRIORIZADOS!$A:$E,5,FALSE)="","",VLOOKUP(A1140,[8]PRIORIZADOS!$A:$E,5,FALSE)),"")</f>
        <v>EPBM</v>
      </c>
      <c r="F1140" s="11" t="str">
        <f>IFERROR(IF(VLOOKUP(A1140,[8]PRIORIZADOS!$A:$F,6,FALSE)="","",VLOOKUP(A1140,[8]PRIORIZADOS!$A:$F,6,FALSE)),"")</f>
        <v>COLEGIO_SAN_ANGEL</v>
      </c>
      <c r="G1140" s="11" t="str">
        <f>IFERROR(IF(VLOOKUP(A1140,[8]PRIORIZADOS!$A:$G,7,FALSE)="","",VLOOKUP(A1140,[8]PRIORIZADOS!$A:$G,7,FALSE)),"")</f>
        <v>COLEGIO SAN ANGEL</v>
      </c>
      <c r="H1140" s="11" t="str">
        <f>IFERROR(IF(VLOOKUP(A1140,[8]PRIORIZADOS!$A:$H,8,FALSE)="","",VLOOKUP(A1140,[8]PRIORIZADOS!$A:$H,8,FALSE)),"")</f>
        <v>Autoevaluación Institucional y Pruebas SABER 11</v>
      </c>
      <c r="I1140" s="11" t="str">
        <f>IFERROR(IF(VLOOKUP(A1140,[8]PRIORIZADOS!$A:$I,9,FALSE)="","",VLOOKUP(A1140,[8]PRIORIZADOS!$A:$I,9,FALSE)),"")</f>
        <v>SEGUIMIENTO_Y_SUPERVISIÓN.</v>
      </c>
      <c r="J1140" s="11" t="str">
        <f>IFERROR(IF(VLOOKUP(A1140,[8]PRIORIZADOS!$A:$J,10,FALSE)="","",VLOOKUP(A1140,[8]PRIORIZADOS!$A:$J,10,FALSE)),"")</f>
        <v>Proponer estrategias en la formulación, verificar su elaboración y realizar seguimiento semestral al desarrollo de  las acciones establecidas en los planes de mejoramiento por pruebas SABER 11 de los establecimientos de educación formal.</v>
      </c>
      <c r="K1140" s="11" t="str">
        <f>IFERROR(IF(VLOOKUP(A1140,[8]PRIORIZADOS!$A:$K,11,FALSE)="","",VLOOKUP(A1140,[8]PRIORIZADOS!$A:$K,11,FALSE)),"")</f>
        <v>ADRIANA VENEGAS VALERA</v>
      </c>
      <c r="L1140" s="11" t="str">
        <f>IFERROR(IF(VLOOKUP(A1140,[8]PRIORIZADOS!$A:$L,12,FALSE)="","",VLOOKUP(A1140,[8]PRIORIZADOS!$A:$L,12,FALSE)),"")</f>
        <v>LUIS FERNANDO CÁRDENAS URAN</v>
      </c>
      <c r="M1140" s="71">
        <f>IFERROR(IF(VLOOKUP(A1140,[8]PRIORIZADOS!$A:$M,13,FALSE)="","",VLOOKUP(A1140,[8]PRIORIZADOS!$A:$M,13,FALSE)),"")</f>
        <v>45798</v>
      </c>
      <c r="N1140" s="71">
        <f>IFERROR(IF(VLOOKUP(A1140,[8]PRIORIZADOS!$A:$N,14,FALSE)="","",VLOOKUP(A1140,[8]PRIORIZADOS!$A:$N,14,FALSE)),"")</f>
        <v>45804</v>
      </c>
      <c r="O1140" s="71">
        <f>IFERROR(IF(VLOOKUP(A1140,[8]PRIORIZADOS!$A:$O,15,FALSE)="","",VLOOKUP(A1140,[8]PRIORIZADOS!$A:$O,15,FALSE)),"")</f>
        <v>45804</v>
      </c>
      <c r="P1140" s="11" t="str">
        <f>IFERROR(IF(VLOOKUP(A1140,[8]PRIORIZADOS!$A:$P,16,FALSE)="","",VLOOKUP(A1140,[8]PRIORIZADOS!$A:$P,16,FALSE)),"")</f>
        <v>Visitas de evaluación con fines de mejoramiento</v>
      </c>
      <c r="Q1140" s="125" t="s">
        <v>216</v>
      </c>
      <c r="R1140" s="11" t="str">
        <f>IFERROR(IF(VLOOKUP(A1140,[8]PRIORIZADOS!$A:$R,18,FALSE)="","",VLOOKUP(A1140,[8]PRIORIZADOS!$A:$R,18,FALSE)),"")</f>
        <v>La IE no ha realizado  estrategias en la formulación, verificación  y elaboración  en los planes de mejoramiento por pruebas SABER 11</v>
      </c>
      <c r="S1140" s="11" t="str">
        <f>IFERROR(IF(VLOOKUP(A1140,[8]PRIORIZADOS!$A:$S,19,FALSE)="","",VLOOKUP(A1140,[8]PRIORIZADOS!$A:$S,19,FALSE)),"")</f>
        <v xml:space="preserve">Formular , ejecutar y realizar  seguimiento al plan de mejoramiento por pruebas Saber 11 </v>
      </c>
      <c r="T1140" s="70" t="str">
        <f>IFERROR(IF(VLOOKUP(A1140,[8]PRIORIZADOS!$A:$T,20,FALSE)="","",VLOOKUP(A1140,[8]PRIORIZADOS!$A:$T,20,FALSE)),"")</f>
        <v>Si</v>
      </c>
      <c r="U1140" s="11" t="str">
        <f>IFERROR(IF(VLOOKUP(A1140,[8]PRIORIZADOS!$A:$U,21,FALSE)="","",VLOOKUP(A1140,[8]PRIORIZADOS!$A:$U,21,FALSE)),"")</f>
        <v>El ELIV, verificará el  plan de mejoramiento propuesto y su efectivo cumplimiento  en coherencia con la actualización del Currículo que propongan. Se realiza mesa de seguimiento el día 3 de octubre 2025 donde se establece el compromiso del cumplimiento total para el 30 de octubre.</v>
      </c>
    </row>
    <row r="1141" spans="1:21" s="1" customFormat="1" ht="72">
      <c r="A1141" s="69">
        <f>IF([8]PRIORIZADOS!A120="","",[8]PRIORIZADOS!A120)</f>
        <v>1090</v>
      </c>
      <c r="B1141" s="70">
        <v>22</v>
      </c>
      <c r="C1141" s="11" t="str">
        <f>IFERROR(IF(VLOOKUP(A1141,[8]PRIORIZADOS!$A:$C,3,FALSE)="","",VLOOKUP(A1141,[8]PRIORIZADOS!$A:$C,3,FALSE)),"")</f>
        <v>KENNEDY</v>
      </c>
      <c r="D1141" s="11" t="str">
        <f>IFERROR(IF(VLOOKUP(A1141,[8]PRIORIZADOS!$A:$D,4,FALSE)="","",VLOOKUP(A1141,[8]PRIORIZADOS!$A:$D,4,FALSE)),"")</f>
        <v>PRIVADO</v>
      </c>
      <c r="E1141" s="11" t="str">
        <f>IFERROR(IF(VLOOKUP(A1141,[8]PRIORIZADOS!$A:$E,5,FALSE)="","",VLOOKUP(A1141,[8]PRIORIZADOS!$A:$E,5,FALSE)),"")</f>
        <v>EPBM</v>
      </c>
      <c r="F1141" s="11" t="str">
        <f>IFERROR(IF(VLOOKUP(A1141,[8]PRIORIZADOS!$A:$F,6,FALSE)="","",VLOOKUP(A1141,[8]PRIORIZADOS!$A:$F,6,FALSE)),"")</f>
        <v>COLEGIO_SAN_ANGEL</v>
      </c>
      <c r="G1141" s="11" t="str">
        <f>IFERROR(IF(VLOOKUP(A1141,[8]PRIORIZADOS!$A:$G,7,FALSE)="","",VLOOKUP(A1141,[8]PRIORIZADOS!$A:$G,7,FALSE)),"")</f>
        <v>COLEGIO SAN ANGEL</v>
      </c>
      <c r="H1141" s="11" t="str">
        <f>IFERROR(IF(VLOOKUP(A1141,[8]PRIORIZADOS!$A:$H,8,FALSE)="","",VLOOKUP(A1141,[8]PRIORIZADOS!$A:$H,8,FALSE)),"")</f>
        <v>Autoevaluación Institucional y Pruebas SABER 11</v>
      </c>
      <c r="I1141" s="11" t="str">
        <f>IFERROR(IF(VLOOKUP(A1141,[8]PRIORIZADOS!$A:$I,9,FALSE)="","",VLOOKUP(A1141,[8]PRIORIZADOS!$A:$I,9,FALSE)),"")</f>
        <v>SEGUIMIENTO_Y_SUPERVISIÓN.</v>
      </c>
      <c r="J1141" s="11" t="str">
        <f>IFERROR(IF(VLOOKUP(A1141,[8]PRIORIZADOS!$A:$J,10,FALSE)="","",VLOOKUP(A1141,[8]PRIORIZADOS!$A:$J,10,FALSE)),"")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41" s="11" t="str">
        <f>IFERROR(IF(VLOOKUP(A1141,[8]PRIORIZADOS!$A:$K,11,FALSE)="","",VLOOKUP(A1141,[8]PRIORIZADOS!$A:$K,11,FALSE)),"")</f>
        <v>ADRIANA VENEGAS VALERA</v>
      </c>
      <c r="L1141" s="11" t="str">
        <f>IFERROR(IF(VLOOKUP(A1141,[8]PRIORIZADOS!$A:$L,12,FALSE)="","",VLOOKUP(A1141,[8]PRIORIZADOS!$A:$L,12,FALSE)),"")</f>
        <v>LUIS FERNANDO CÁRDENAS URAN</v>
      </c>
      <c r="M1141" s="71">
        <f>IFERROR(IF(VLOOKUP(A1141,[8]PRIORIZADOS!$A:$M,13,FALSE)="","",VLOOKUP(A1141,[8]PRIORIZADOS!$A:$M,13,FALSE)),"")</f>
        <v>45798</v>
      </c>
      <c r="N1141" s="71">
        <f>IFERROR(IF(VLOOKUP(A1141,[8]PRIORIZADOS!$A:$N,14,FALSE)="","",VLOOKUP(A1141,[8]PRIORIZADOS!$A:$N,14,FALSE)),"")</f>
        <v>45804</v>
      </c>
      <c r="O1141" s="71">
        <f>IFERROR(IF(VLOOKUP(A1141,[8]PRIORIZADOS!$A:$O,15,FALSE)="","",VLOOKUP(A1141,[8]PRIORIZADOS!$A:$O,15,FALSE)),"")</f>
        <v>45804</v>
      </c>
      <c r="P1141" s="11" t="str">
        <f>IFERROR(IF(VLOOKUP(A1141,[8]PRIORIZADOS!$A:$P,16,FALSE)="","",VLOOKUP(A1141,[8]PRIORIZADOS!$A:$P,16,FALSE)),"")</f>
        <v>Visitas de evaluación con fines de mejoramiento</v>
      </c>
      <c r="Q1141" s="125" t="s">
        <v>216</v>
      </c>
      <c r="R1141" s="11" t="str">
        <f>IFERROR(IF(VLOOKUP(A1141,[8]PRIORIZADOS!$A:$R,18,FALSE)="","",VLOOKUP(A1141,[8]PRIORIZADOS!$A:$R,18,FALSE)),"")</f>
        <v>La IE presenta  PIAR y evidencian su cumplimiento</v>
      </c>
      <c r="S1141" s="11" t="str">
        <f>IFERROR(IF(VLOOKUP(A1141,[8]PRIORIZADOS!$A:$S,19,FALSE)="","",VLOOKUP(A1141,[8]PRIORIZADOS!$A:$S,19,FALSE)),"")</f>
        <v>La IE debe seguir garantizando el cumplimiento de lo propuesto en los PIAR,  esto en garantía de derechos a los NNA</v>
      </c>
      <c r="T1141" s="70" t="str">
        <f>IFERROR(IF(VLOOKUP(A1141,[8]PRIORIZADOS!$A:$T,20,FALSE)="","",VLOOKUP(A1141,[8]PRIORIZADOS!$A:$T,20,FALSE)),"")</f>
        <v>No</v>
      </c>
      <c r="U1141" s="11" t="str">
        <f>IFERROR(IF(VLOOKUP(A1141,[8]PRIORIZADOS!$A:$U,21,FALSE)="","",VLOOKUP(A1141,[8]PRIORIZADOS!$A:$U,21,FALSE)),"")</f>
        <v>El ELIV  verificará  el cumplimiento de lo propuesto en los PIAR</v>
      </c>
    </row>
    <row r="1142" spans="1:21" s="1" customFormat="1" ht="84">
      <c r="A1142" s="69">
        <f>IF([8]PRIORIZADOS!A121="","",[8]PRIORIZADOS!A121)</f>
        <v>1091</v>
      </c>
      <c r="B1142" s="70">
        <v>22</v>
      </c>
      <c r="C1142" s="11" t="str">
        <f>IFERROR(IF(VLOOKUP(A1142,[8]PRIORIZADOS!$A:$C,3,FALSE)="","",VLOOKUP(A1142,[8]PRIORIZADOS!$A:$C,3,FALSE)),"")</f>
        <v>KENNEDY</v>
      </c>
      <c r="D1142" s="11" t="str">
        <f>IFERROR(IF(VLOOKUP(A1142,[8]PRIORIZADOS!$A:$D,4,FALSE)="","",VLOOKUP(A1142,[8]PRIORIZADOS!$A:$D,4,FALSE)),"")</f>
        <v>PRIVADO</v>
      </c>
      <c r="E1142" s="11" t="str">
        <f>IFERROR(IF(VLOOKUP(A1142,[8]PRIORIZADOS!$A:$E,5,FALSE)="","",VLOOKUP(A1142,[8]PRIORIZADOS!$A:$E,5,FALSE)),"")</f>
        <v>EPBM</v>
      </c>
      <c r="F1142" s="11" t="str">
        <f>IFERROR(IF(VLOOKUP(A1142,[8]PRIORIZADOS!$A:$F,6,FALSE)="","",VLOOKUP(A1142,[8]PRIORIZADOS!$A:$F,6,FALSE)),"")</f>
        <v>COLEGIO_SAN_ANGEL</v>
      </c>
      <c r="G1142" s="11" t="str">
        <f>IFERROR(IF(VLOOKUP(A1142,[8]PRIORIZADOS!$A:$G,7,FALSE)="","",VLOOKUP(A1142,[8]PRIORIZADOS!$A:$G,7,FALSE)),"")</f>
        <v>COLEGIO SAN ANGEL</v>
      </c>
      <c r="H1142" s="11" t="str">
        <f>IFERROR(IF(VLOOKUP(A1142,[8]PRIORIZADOS!$A:$H,8,FALSE)="","",VLOOKUP(A1142,[8]PRIORIZADOS!$A:$H,8,FALSE)),"")</f>
        <v>Autoevaluación Institucional y Pruebas SABER 11</v>
      </c>
      <c r="I1142" s="11" t="str">
        <f>IFERROR(IF(VLOOKUP(A1142,[8]PRIORIZADOS!$A:$I,9,FALSE)="","",VLOOKUP(A1142,[8]PRIORIZADOS!$A:$I,9,FALSE)),"")</f>
        <v>EVALUACIÓN_CON_FINES_DE_MEJORAMIENTO.</v>
      </c>
      <c r="J1142" s="11" t="str">
        <f>IFERROR(IF(VLOOKUP(A1142,[8]PRIORIZADOS!$A:$J,10,FALSE)="","",VLOOKUP(A1142,[8]PRIORIZADOS!$A:$J,10,FALSE)),"")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42" s="11" t="str">
        <f>IFERROR(IF(VLOOKUP(A1142,[8]PRIORIZADOS!$A:$K,11,FALSE)="","",VLOOKUP(A1142,[8]PRIORIZADOS!$A:$K,11,FALSE)),"")</f>
        <v>ADRIANA VENEGAS VALERA</v>
      </c>
      <c r="L1142" s="11" t="str">
        <f>IFERROR(IF(VLOOKUP(A1142,[8]PRIORIZADOS!$A:$L,12,FALSE)="","",VLOOKUP(A1142,[8]PRIORIZADOS!$A:$L,12,FALSE)),"")</f>
        <v>LUIS FERNANDO CÁRDENAS URAN</v>
      </c>
      <c r="M1142" s="71">
        <f>IFERROR(IF(VLOOKUP(A1142,[8]PRIORIZADOS!$A:$M,13,FALSE)="","",VLOOKUP(A1142,[8]PRIORIZADOS!$A:$M,13,FALSE)),"")</f>
        <v>45798</v>
      </c>
      <c r="N1142" s="71">
        <f>IFERROR(IF(VLOOKUP(A1142,[8]PRIORIZADOS!$A:$N,14,FALSE)="","",VLOOKUP(A1142,[8]PRIORIZADOS!$A:$N,14,FALSE)),"")</f>
        <v>45804</v>
      </c>
      <c r="O1142" s="71">
        <f>IFERROR(IF(VLOOKUP(A1142,[8]PRIORIZADOS!$A:$O,15,FALSE)="","",VLOOKUP(A1142,[8]PRIORIZADOS!$A:$O,15,FALSE)),"")</f>
        <v>45804</v>
      </c>
      <c r="P1142" s="11" t="str">
        <f>IFERROR(IF(VLOOKUP(A1142,[8]PRIORIZADOS!$A:$P,16,FALSE)="","",VLOOKUP(A1142,[8]PRIORIZADOS!$A:$P,16,FALSE)),"")</f>
        <v>Visitas de evaluación con fines de mejoramiento</v>
      </c>
      <c r="Q1142" s="107" t="s">
        <v>216</v>
      </c>
      <c r="R1142" s="11" t="str">
        <f>IFERROR(IF(VLOOKUP(A1142,[8]PRIORIZADOS!$A:$R,18,FALSE)="","",VLOOKUP(A1142,[8]PRIORIZADOS!$A:$R,18,FALSE)),"")</f>
        <v>La IE presenta evaluación, actualización del Manual de Convivencia, y su implementación conforme a lo establecido en el PEI.</v>
      </c>
      <c r="S1142" s="11" t="str">
        <f>IFERROR(IF(VLOOKUP(A1142,[8]PRIORIZADOS!$A:$S,19,FALSE)="","",VLOOKUP(A1142,[8]PRIORIZADOS!$A:$S,19,FALSE)),"")</f>
        <v>La IE debe seguir garantizando las plataforma de participación que permiten a los estudiantes expresar sus opiniones, involucrarse en la toma de decisiones y contribuir a la mejora de la comunidad escolar.</v>
      </c>
      <c r="T1142" s="70" t="str">
        <f>IFERROR(IF(VLOOKUP(A1142,[8]PRIORIZADOS!$A:$T,20,FALSE)="","",VLOOKUP(A1142,[8]PRIORIZADOS!$A:$T,20,FALSE)),"")</f>
        <v>No</v>
      </c>
      <c r="U1142" s="11" t="str">
        <f>IFERROR(IF(VLOOKUP(A1142,[8]PRIORIZADOS!$A:$U,21,FALSE)="","",VLOOKUP(A1142,[8]PRIORIZADOS!$A:$U,21,FALSE)),"")</f>
        <v xml:space="preserve">El ELIV, verificará que la IE de cumplimiento en su Manual de Convivencia conforme  a lo establecido a la normatividad vigente </v>
      </c>
    </row>
    <row r="1143" spans="1:21" s="1" customFormat="1" ht="107.25">
      <c r="A1143" s="69">
        <f>IF([8]PRIORIZADOS!A122="","",[8]PRIORIZADOS!A122)</f>
        <v>1092</v>
      </c>
      <c r="B1143" s="70">
        <v>22</v>
      </c>
      <c r="C1143" s="11" t="str">
        <f>IFERROR(IF(VLOOKUP(A1143,[8]PRIORIZADOS!$A:$C,3,FALSE)="","",VLOOKUP(A1143,[8]PRIORIZADOS!$A:$C,3,FALSE)),"")</f>
        <v>KENNEDY</v>
      </c>
      <c r="D1143" s="11" t="str">
        <f>IFERROR(IF(VLOOKUP(A1143,[8]PRIORIZADOS!$A:$D,4,FALSE)="","",VLOOKUP(A1143,[8]PRIORIZADOS!$A:$D,4,FALSE)),"")</f>
        <v>PRIVADO</v>
      </c>
      <c r="E1143" s="11" t="str">
        <f>IFERROR(IF(VLOOKUP(A1143,[8]PRIORIZADOS!$A:$E,5,FALSE)="","",VLOOKUP(A1143,[8]PRIORIZADOS!$A:$E,5,FALSE)),"")</f>
        <v>EPBM</v>
      </c>
      <c r="F1143" s="11" t="str">
        <f>IFERROR(IF(VLOOKUP(A1143,[8]PRIORIZADOS!$A:$F,6,FALSE)="","",VLOOKUP(A1143,[8]PRIORIZADOS!$A:$F,6,FALSE)),"")</f>
        <v>COLEGIO_SAN_ANGEL</v>
      </c>
      <c r="G1143" s="11" t="str">
        <f>IFERROR(IF(VLOOKUP(A1143,[8]PRIORIZADOS!$A:$G,7,FALSE)="","",VLOOKUP(A1143,[8]PRIORIZADOS!$A:$G,7,FALSE)),"")</f>
        <v>COLEGIO SAN ANGEL</v>
      </c>
      <c r="H1143" s="11" t="str">
        <f>IFERROR(IF(VLOOKUP(A1143,[8]PRIORIZADOS!$A:$H,8,FALSE)="","",VLOOKUP(A1143,[8]PRIORIZADOS!$A:$H,8,FALSE)),"")</f>
        <v>Autoevaluación Institucional y Pruebas SABER 11</v>
      </c>
      <c r="I1143" s="11" t="str">
        <f>IFERROR(IF(VLOOKUP(A1143,[8]PRIORIZADOS!$A:$I,9,FALSE)="","",VLOOKUP(A1143,[8]PRIORIZADOS!$A:$I,9,FALSE)),"")</f>
        <v>EVALUACIÓN_CON_FINES_DE_MEJORAMIENTO.</v>
      </c>
      <c r="J1143" s="11" t="str">
        <f>IFERROR(IF(VLOOKUP(A1143,[8]PRIORIZADOS!$A:$J,10,FALSE)="","",VLOOKUP(A1143,[8]PRIORIZADOS!$A:$J,10,FALSE)),"")</f>
        <v>Verificar el funcionamiento del Gobierno Escolar e instancias de participación con base en la información sobre conformación reportada por la institución educativa.</v>
      </c>
      <c r="K1143" s="11" t="str">
        <f>IFERROR(IF(VLOOKUP(A1143,[8]PRIORIZADOS!$A:$K,11,FALSE)="","",VLOOKUP(A1143,[8]PRIORIZADOS!$A:$K,11,FALSE)),"")</f>
        <v>ADRIANA VENEGAS VALERA</v>
      </c>
      <c r="L1143" s="11" t="str">
        <f>IFERROR(IF(VLOOKUP(A1143,[8]PRIORIZADOS!$A:$L,12,FALSE)="","",VLOOKUP(A1143,[8]PRIORIZADOS!$A:$L,12,FALSE)),"")</f>
        <v>LUIS FERNANDO CÁRDENAS URAN</v>
      </c>
      <c r="M1143" s="71">
        <f>IFERROR(IF(VLOOKUP(A1143,[8]PRIORIZADOS!$A:$M,13,FALSE)="","",VLOOKUP(A1143,[8]PRIORIZADOS!$A:$M,13,FALSE)),"")</f>
        <v>45798</v>
      </c>
      <c r="N1143" s="71">
        <f>IFERROR(IF(VLOOKUP(A1143,[8]PRIORIZADOS!$A:$N,14,FALSE)="","",VLOOKUP(A1143,[8]PRIORIZADOS!$A:$N,14,FALSE)),"")</f>
        <v>45804</v>
      </c>
      <c r="O1143" s="71">
        <f>IFERROR(IF(VLOOKUP(A1143,[8]PRIORIZADOS!$A:$O,15,FALSE)="","",VLOOKUP(A1143,[8]PRIORIZADOS!$A:$O,15,FALSE)),"")</f>
        <v>45804</v>
      </c>
      <c r="P1143" s="11" t="str">
        <f>IFERROR(IF(VLOOKUP(A1143,[8]PRIORIZADOS!$A:$P,16,FALSE)="","",VLOOKUP(A1143,[8]PRIORIZADOS!$A:$P,16,FALSE)),"")</f>
        <v>Visitas de evaluación con fines de mejoramiento</v>
      </c>
      <c r="Q1143" s="126" t="s">
        <v>216</v>
      </c>
      <c r="R1143" s="11" t="str">
        <f>IFERROR(IF(VLOOKUP(A1143,[8]PRIORIZADOS!$A:$R,18,FALSE)="","",VLOOKUP(A1143,[8]PRIORIZADOS!$A:$R,18,FALSE)),"")</f>
        <v>La IE  evidencia el  funcionamiento del Gobierno Escolar e instancias de participación</v>
      </c>
      <c r="S1143" s="11" t="str">
        <f>IFERROR(IF(VLOOKUP(A1143,[8]PRIORIZADOS!$A:$S,19,FALSE)="","",VLOOKUP(A1143,[8]PRIORIZADOS!$A:$S,19,FALSE)),"")</f>
        <v xml:space="preserve">La IE debe seguir garantizando la participación de todos los estamentos de la comunidad educativa (estudiantes, docentes, padres de familia, egresados). Es crucial que cada estamento tenga voz y voto en las decisiones que afectan a la institución educativa, promoviendo la transparencia y el cumplimiento de las normas. </v>
      </c>
      <c r="T1143" s="70" t="str">
        <f>IFERROR(IF(VLOOKUP(A1143,[8]PRIORIZADOS!$A:$T,20,FALSE)="","",VLOOKUP(A1143,[8]PRIORIZADOS!$A:$T,20,FALSE)),"")</f>
        <v>No</v>
      </c>
      <c r="U1143" s="11" t="str">
        <f>IFERROR(IF(VLOOKUP(A1143,[8]PRIORIZADOS!$A:$U,21,FALSE)="","",VLOOKUP(A1143,[8]PRIORIZADOS!$A:$U,21,FALSE)),"")</f>
        <v>el ELIV, verificará que la IE de cumplimiento conforme  a lo establecido a la normatividad vigente con relación a las instancias de participación.</v>
      </c>
    </row>
    <row r="1144" spans="1:21" s="1" customFormat="1" ht="60">
      <c r="A1144" s="69">
        <f>IF([8]PRIORIZADOS!A123="","",[8]PRIORIZADOS!A123)</f>
        <v>1093</v>
      </c>
      <c r="B1144" s="70">
        <v>22</v>
      </c>
      <c r="C1144" s="11" t="str">
        <f>IFERROR(IF(VLOOKUP(A1144,[8]PRIORIZADOS!$A:$C,3,FALSE)="","",VLOOKUP(A1144,[8]PRIORIZADOS!$A:$C,3,FALSE)),"")</f>
        <v>KENNEDY</v>
      </c>
      <c r="D1144" s="11" t="str">
        <f>IFERROR(IF(VLOOKUP(A1144,[8]PRIORIZADOS!$A:$D,4,FALSE)="","",VLOOKUP(A1144,[8]PRIORIZADOS!$A:$D,4,FALSE)),"")</f>
        <v>PRIVADO</v>
      </c>
      <c r="E1144" s="11" t="str">
        <f>IFERROR(IF(VLOOKUP(A1144,[8]PRIORIZADOS!$A:$E,5,FALSE)="","",VLOOKUP(A1144,[8]PRIORIZADOS!$A:$E,5,FALSE)),"")</f>
        <v>EPBM</v>
      </c>
      <c r="F1144" s="11" t="str">
        <f>IFERROR(IF(VLOOKUP(A1144,[8]PRIORIZADOS!$A:$F,6,FALSE)="","",VLOOKUP(A1144,[8]PRIORIZADOS!$A:$F,6,FALSE)),"")</f>
        <v>COLEGIO_SAN_ANGEL</v>
      </c>
      <c r="G1144" s="11" t="str">
        <f>IFERROR(IF(VLOOKUP(A1144,[8]PRIORIZADOS!$A:$G,7,FALSE)="","",VLOOKUP(A1144,[8]PRIORIZADOS!$A:$G,7,FALSE)),"")</f>
        <v>COLEGIO SAN ANGEL</v>
      </c>
      <c r="H1144" s="11" t="str">
        <f>IFERROR(IF(VLOOKUP(A1144,[8]PRIORIZADOS!$A:$H,8,FALSE)="","",VLOOKUP(A1144,[8]PRIORIZADOS!$A:$H,8,FALSE)),"")</f>
        <v>Autoevaluación Institucional y Pruebas SABER 11</v>
      </c>
      <c r="I1144" s="11" t="str">
        <f>IFERROR(IF(VLOOKUP(A1144,[8]PRIORIZADOS!$A:$I,9,FALSE)="","",VLOOKUP(A1144,[8]PRIORIZADOS!$A:$I,9,FALSE)),"")</f>
        <v>EVALUACIÓN_CON_FINES_DE_MEJORAMIENTO.</v>
      </c>
      <c r="J1144" s="11" t="str">
        <f>IFERROR(IF(VLOOKUP(A1144,[8]PRIORIZADOS!$A:$J,10,FALSE)="","",VLOOKUP(A1144,[8]PRIORIZADOS!$A:$J,10,FALSE)),"")</f>
        <v>Verificar las condiciones en cuanto a: la estructura administrativa, condiciones de la planta física y medios educativos adecuados.</v>
      </c>
      <c r="K1144" s="11" t="str">
        <f>IFERROR(IF(VLOOKUP(A1144,[8]PRIORIZADOS!$A:$K,11,FALSE)="","",VLOOKUP(A1144,[8]PRIORIZADOS!$A:$K,11,FALSE)),"")</f>
        <v>ADRIANA VENEGAS VALERA</v>
      </c>
      <c r="L1144" s="11" t="str">
        <f>IFERROR(IF(VLOOKUP(A1144,[8]PRIORIZADOS!$A:$L,12,FALSE)="","",VLOOKUP(A1144,[8]PRIORIZADOS!$A:$L,12,FALSE)),"")</f>
        <v>LUIS FERNANDO CÁRDENAS URAN</v>
      </c>
      <c r="M1144" s="71">
        <f>IFERROR(IF(VLOOKUP(A1144,[8]PRIORIZADOS!$A:$M,13,FALSE)="","",VLOOKUP(A1144,[8]PRIORIZADOS!$A:$M,13,FALSE)),"")</f>
        <v>45798</v>
      </c>
      <c r="N1144" s="71">
        <f>IFERROR(IF(VLOOKUP(A1144,[8]PRIORIZADOS!$A:$N,14,FALSE)="","",VLOOKUP(A1144,[8]PRIORIZADOS!$A:$N,14,FALSE)),"")</f>
        <v>45804</v>
      </c>
      <c r="O1144" s="71">
        <f>IFERROR(IF(VLOOKUP(A1144,[8]PRIORIZADOS!$A:$O,15,FALSE)="","",VLOOKUP(A1144,[8]PRIORIZADOS!$A:$O,15,FALSE)),"")</f>
        <v>45804</v>
      </c>
      <c r="P1144" s="11" t="str">
        <f>IFERROR(IF(VLOOKUP(A1144,[8]PRIORIZADOS!$A:$P,16,FALSE)="","",VLOOKUP(A1144,[8]PRIORIZADOS!$A:$P,16,FALSE)),"")</f>
        <v>Visitas de evaluación con fines de mejoramiento</v>
      </c>
      <c r="Q1144" s="107" t="s">
        <v>216</v>
      </c>
      <c r="R1144" s="11" t="str">
        <f>IFERROR(IF(VLOOKUP(A1144,[8]PRIORIZADOS!$A:$R,18,FALSE)="","",VLOOKUP(A1144,[8]PRIORIZADOS!$A:$R,18,FALSE)),"")</f>
        <v>En el recorrido a la institución se evidencia que las condiciones en cuanto a: la estructura administrativa, condiciones de la planta física y medios educativos adecuados.</v>
      </c>
      <c r="S1144" s="11" t="str">
        <f>IFERROR(IF(VLOOKUP(A1144,[8]PRIORIZADOS!$A:$S,19,FALSE)="","",VLOOKUP(A1144,[8]PRIORIZADOS!$A:$S,19,FALSE)),"")</f>
        <v>La IE debe seguir garantizando que la estructura administrativa, condiciones de la planta física y medios educativos estén adecuados para la prestación del servicio educativo con calidad.</v>
      </c>
      <c r="T1144" s="70" t="str">
        <f>IFERROR(IF(VLOOKUP(A1144,[8]PRIORIZADOS!$A:$T,20,FALSE)="","",VLOOKUP(A1144,[8]PRIORIZADOS!$A:$T,20,FALSE)),"")</f>
        <v>No</v>
      </c>
      <c r="U1144" s="11" t="str">
        <f>IFERROR(IF(VLOOKUP(A1144,[8]PRIORIZADOS!$A:$U,21,FALSE)="","",VLOOKUP(A1144,[8]PRIORIZADOS!$A:$U,21,FALSE)),"")</f>
        <v>El ELIV  verificará  el cumplimiento  y que este sea Coherente con lo consignado en el EVI</v>
      </c>
    </row>
    <row r="1145" spans="1:21" s="1" customFormat="1" ht="48">
      <c r="A1145" s="69">
        <f>IF([8]PRIORIZADOS!A124="","",[8]PRIORIZADOS!A124)</f>
        <v>1094</v>
      </c>
      <c r="B1145" s="70">
        <f>IFERROR(IF(VLOOKUP(A1145,[8]PRIORIZADOS!$A:$B,2,FALSE)="","",VLOOKUP(A1145,[8]PRIORIZADOS!$A:$B,2,FALSE)),"")</f>
        <v>23</v>
      </c>
      <c r="C1145" s="11" t="str">
        <f>IFERROR(IF(VLOOKUP(A1145,[8]PRIORIZADOS!$A:$C,3,FALSE)="","",VLOOKUP(A1145,[8]PRIORIZADOS!$A:$C,3,FALSE)),"")</f>
        <v>KENNEDY</v>
      </c>
      <c r="D1145" s="11" t="str">
        <f>IFERROR(IF(VLOOKUP(A1145,[8]PRIORIZADOS!$A:$D,4,FALSE)="","",VLOOKUP(A1145,[8]PRIORIZADOS!$A:$D,4,FALSE)),"")</f>
        <v>PRIVADO</v>
      </c>
      <c r="E1145" s="11" t="str">
        <f>IFERROR(IF(VLOOKUP(A1145,[8]PRIORIZADOS!$A:$E,5,FALSE)="","",VLOOKUP(A1145,[8]PRIORIZADOS!$A:$E,5,FALSE)),"")</f>
        <v>EPBM</v>
      </c>
      <c r="F1145" s="11" t="str">
        <f>IFERROR(IF(VLOOKUP(A1145,[8]PRIORIZADOS!$A:$F,6,FALSE)="","",VLOOKUP(A1145,[8]PRIORIZADOS!$A:$F,6,FALSE)),"")</f>
        <v>COLEGIO_SUPERIOR_DE_OCCIDENTE</v>
      </c>
      <c r="G1145" s="11" t="str">
        <f>IFERROR(IF(VLOOKUP(A1145,[8]PRIORIZADOS!$A:$G,7,FALSE)="","",VLOOKUP(A1145,[8]PRIORIZADOS!$A:$G,7,FALSE)),"")</f>
        <v>COLEGIO SUPERIOR DE OCCIDENTE</v>
      </c>
      <c r="H1145" s="11" t="str">
        <f>IFERROR(IF(VLOOKUP(A1145,[8]PRIORIZADOS!$A:$H,8,FALSE)="","",VLOOKUP(A1145,[8]PRIORIZADOS!$A:$H,8,FALSE)),"")</f>
        <v>Autoevaluación Institucional y Pruebas SABER 11</v>
      </c>
      <c r="I1145" s="11" t="str">
        <f>IFERROR(IF(VLOOKUP(A1145,[8]PRIORIZADOS!$A:$I,9,FALSE)="","",VLOOKUP(A1145,[8]PRIORIZADOS!$A:$I,9,FALSE)),"")</f>
        <v>SEGUIMIENTO_Y_SUPERVISIÓN.</v>
      </c>
      <c r="J1145" s="11" t="str">
        <f>IFERROR(IF(VLOOKUP(A1145,[8]PRIORIZADOS!$A:$J,10,FALSE)="","",VLOOKUP(A1145,[8]PRIORIZADOS!$A:$J,10,FALSE)),"")</f>
        <v>Realizar visitas para verificar la información registrada sobre la autoevaluación institucional en el aplicativo EVI, a los establecimientos de educación formal no oficial.</v>
      </c>
      <c r="K1145" s="11" t="str">
        <f>IFERROR(IF(VLOOKUP(A1145,[8]PRIORIZADOS!$A:$K,11,FALSE)="","",VLOOKUP(A1145,[8]PRIORIZADOS!$A:$K,11,FALSE)),"")</f>
        <v>GERMÁN EDUARDO TORO ROSERO</v>
      </c>
      <c r="L1145" s="11" t="str">
        <f>IFERROR(IF(VLOOKUP(A1145,[8]PRIORIZADOS!$A:$L,12,FALSE)="","",VLOOKUP(A1145,[8]PRIORIZADOS!$A:$L,12,FALSE)),"")</f>
        <v xml:space="preserve">DIANA ZULAY HUERTAS ORTÍZ </v>
      </c>
      <c r="M1145" s="71">
        <f>IFERROR(IF(VLOOKUP(A1145,[8]PRIORIZADOS!$A:$M,13,FALSE)="","",VLOOKUP(A1145,[8]PRIORIZADOS!$A:$M,13,FALSE)),"")</f>
        <v>45799</v>
      </c>
      <c r="N1145" s="71">
        <f>IFERROR(IF(VLOOKUP(A1145,[8]PRIORIZADOS!$A:$N,14,FALSE)="","",VLOOKUP(A1145,[8]PRIORIZADOS!$A:$N,14,FALSE)),"")</f>
        <v>45799</v>
      </c>
      <c r="O1145" s="71">
        <f>IFERROR(IF(VLOOKUP(A1145,[8]PRIORIZADOS!$A:$O,15,FALSE)="","",VLOOKUP(A1145,[8]PRIORIZADOS!$A:$O,15,FALSE)),"")</f>
        <v>45799</v>
      </c>
      <c r="P1145" s="11" t="str">
        <f>IFERROR(IF(VLOOKUP(A1145,[8]PRIORIZADOS!$A:$P,16,FALSE)="","",VLOOKUP(A1145,[8]PRIORIZADOS!$A:$P,16,FALSE)),"")</f>
        <v>Visitas de evaluación con fines de mejoramiento</v>
      </c>
      <c r="Q1145" s="136" t="s">
        <v>217</v>
      </c>
      <c r="R1145" s="11" t="str">
        <f>IFERROR(IF(VLOOKUP(A1145,[8]PRIORIZADOS!$A:$R,18,FALSE)="","",VLOOKUP(A1145,[8]PRIORIZADOS!$A:$R,18,FALSE)),"")</f>
        <v xml:space="preserve">La EE, registra información que da cuenta de la realidad institucional, en los espacios físicos, medios educativos, gestión administrativa y recursos. </v>
      </c>
      <c r="S1145" s="11" t="str">
        <f>IFERROR(IF(VLOOKUP(A1145,[8]PRIORIZADOS!$A:$S,19,FALSE)="","",VLOOKUP(A1145,[8]PRIORIZADOS!$A:$S,19,FALSE)),"")</f>
        <v>Seguir registrando la información que da cuenta de la realidad institucional.</v>
      </c>
      <c r="T1145" s="70" t="str">
        <f>IFERROR(IF(VLOOKUP(A1145,[8]PRIORIZADOS!$A:$T,20,FALSE)="","",VLOOKUP(A1145,[8]PRIORIZADOS!$A:$T,20,FALSE)),"")</f>
        <v>No</v>
      </c>
      <c r="U1145" s="11" t="str">
        <f>IFERROR(IF(VLOOKUP(A1145,[8]PRIORIZADOS!$A:$U,21,FALSE)="","",VLOOKUP(A1145,[8]PRIORIZADOS!$A:$U,21,FALSE)),"")</f>
        <v>Verificar en el aplicativo EVI, la información registrada.</v>
      </c>
    </row>
    <row r="1146" spans="1:21" s="1" customFormat="1" ht="60">
      <c r="A1146" s="69">
        <f>IF([8]PRIORIZADOS!A125="","",[8]PRIORIZADOS!A125)</f>
        <v>1095</v>
      </c>
      <c r="B1146" s="70">
        <v>23</v>
      </c>
      <c r="C1146" s="11" t="str">
        <f>IFERROR(IF(VLOOKUP(A1146,[8]PRIORIZADOS!$A:$C,3,FALSE)="","",VLOOKUP(A1146,[8]PRIORIZADOS!$A:$C,3,FALSE)),"")</f>
        <v>KENNEDY</v>
      </c>
      <c r="D1146" s="11" t="str">
        <f>IFERROR(IF(VLOOKUP(A1146,[8]PRIORIZADOS!$A:$D,4,FALSE)="","",VLOOKUP(A1146,[8]PRIORIZADOS!$A:$D,4,FALSE)),"")</f>
        <v>PRIVADO</v>
      </c>
      <c r="E1146" s="11" t="str">
        <f>IFERROR(IF(VLOOKUP(A1146,[8]PRIORIZADOS!$A:$E,5,FALSE)="","",VLOOKUP(A1146,[8]PRIORIZADOS!$A:$E,5,FALSE)),"")</f>
        <v>EPBM</v>
      </c>
      <c r="F1146" s="11" t="str">
        <f>IFERROR(IF(VLOOKUP(A1146,[8]PRIORIZADOS!$A:$F,6,FALSE)="","",VLOOKUP(A1146,[8]PRIORIZADOS!$A:$F,6,FALSE)),"")</f>
        <v>COLEGIO_SUPERIOR_DE_OCCIDENTE</v>
      </c>
      <c r="G1146" s="11" t="str">
        <f>IFERROR(IF(VLOOKUP(A1146,[8]PRIORIZADOS!$A:$G,7,FALSE)="","",VLOOKUP(A1146,[8]PRIORIZADOS!$A:$G,7,FALSE)),"")</f>
        <v>COLEGIO SUPERIOR DE OCCIDENTE</v>
      </c>
      <c r="H1146" s="11" t="str">
        <f>IFERROR(IF(VLOOKUP(A1146,[8]PRIORIZADOS!$A:$H,8,FALSE)="","",VLOOKUP(A1146,[8]PRIORIZADOS!$A:$H,8,FALSE)),"")</f>
        <v>Autoevaluación Institucional y Pruebas SABER 11</v>
      </c>
      <c r="I1146" s="11" t="str">
        <f>IFERROR(IF(VLOOKUP(A1146,[8]PRIORIZADOS!$A:$I,9,FALSE)="","",VLOOKUP(A1146,[8]PRIORIZADOS!$A:$I,9,FALSE)),"")</f>
        <v>SEGUIMIENTO_Y_SUPERVISIÓN.</v>
      </c>
      <c r="J1146" s="11" t="str">
        <f>IFERROR(IF(VLOOKUP(A1146,[8]PRIORIZADOS!$A:$J,10,FALSE)="","",VLOOKUP(A1146,[8]PRIORIZADOS!$A:$J,10,FALSE)),"")</f>
        <v>Proponer estrategias en la formulación, verificar su elaboración y realizar seguimiento semestral al desarrollo de  las acciones establecidas en los planes de mejoramiento por pruebas SABER 11 de los establecimientos de educación formal.</v>
      </c>
      <c r="K1146" s="11" t="str">
        <f>IFERROR(IF(VLOOKUP(A1146,[8]PRIORIZADOS!$A:$K,11,FALSE)="","",VLOOKUP(A1146,[8]PRIORIZADOS!$A:$K,11,FALSE)),"")</f>
        <v>GERMÁN EDUARDO TORO ROSERO</v>
      </c>
      <c r="L1146" s="11" t="str">
        <f>IFERROR(IF(VLOOKUP(A1146,[8]PRIORIZADOS!$A:$L,12,FALSE)="","",VLOOKUP(A1146,[8]PRIORIZADOS!$A:$L,12,FALSE)),"")</f>
        <v xml:space="preserve">DIANA ZULAY HUERTAS ORTÍZ </v>
      </c>
      <c r="M1146" s="71">
        <f>IFERROR(IF(VLOOKUP(A1146,[8]PRIORIZADOS!$A:$M,13,FALSE)="","",VLOOKUP(A1146,[8]PRIORIZADOS!$A:$M,13,FALSE)),"")</f>
        <v>45799</v>
      </c>
      <c r="N1146" s="71">
        <f>IFERROR(IF(VLOOKUP(A1146,[8]PRIORIZADOS!$A:$N,14,FALSE)="","",VLOOKUP(A1146,[8]PRIORIZADOS!$A:$N,14,FALSE)),"")</f>
        <v>45799</v>
      </c>
      <c r="O1146" s="71">
        <f>IFERROR(IF(VLOOKUP(A1146,[8]PRIORIZADOS!$A:$O,15,FALSE)="","",VLOOKUP(A1146,[8]PRIORIZADOS!$A:$O,15,FALSE)),"")</f>
        <v>45799</v>
      </c>
      <c r="P1146" s="11" t="str">
        <f>IFERROR(IF(VLOOKUP(A1146,[8]PRIORIZADOS!$A:$P,16,FALSE)="","",VLOOKUP(A1146,[8]PRIORIZADOS!$A:$P,16,FALSE)),"")</f>
        <v>Visitas de evaluación con fines de mejoramiento</v>
      </c>
      <c r="Q1146" s="107" t="s">
        <v>217</v>
      </c>
      <c r="R1146" s="11" t="str">
        <f>IFERROR(IF(VLOOKUP(A1146,[8]PRIORIZADOS!$A:$R,18,FALSE)="","",VLOOKUP(A1146,[8]PRIORIZADOS!$A:$R,18,FALSE)),"")</f>
        <v>EE desarrolla análisis y seguimiento a los resultados de prueba SABER 11, por medio de un proyecto institucional destinado a la verificación de resultados por componente y comparación por año.</v>
      </c>
      <c r="S1146" s="11" t="str">
        <f>IFERROR(IF(VLOOKUP(A1146,[8]PRIORIZADOS!$A:$S,19,FALSE)="","",VLOOKUP(A1146,[8]PRIORIZADOS!$A:$S,19,FALSE)),"")</f>
        <v xml:space="preserve">Continuar desarrollando estrategias en pro del mejoramiento de los resultados de las pruebas SABER. </v>
      </c>
      <c r="T1146" s="70" t="str">
        <f>IFERROR(IF(VLOOKUP(A1146,[8]PRIORIZADOS!$A:$T,20,FALSE)="","",VLOOKUP(A1146,[8]PRIORIZADOS!$A:$T,20,FALSE)),"")</f>
        <v>No</v>
      </c>
      <c r="U1146" s="11" t="str">
        <f>IFERROR(IF(VLOOKUP(A1146,[8]PRIORIZADOS!$A:$U,21,FALSE)="","",VLOOKUP(A1146,[8]PRIORIZADOS!$A:$U,21,FALSE)),"")</f>
        <v>ELIV, verificará el desarrollo de las estrategias planteadas por EE y el análisis de sus resultados.</v>
      </c>
    </row>
    <row r="1147" spans="1:21" s="1" customFormat="1" ht="72">
      <c r="A1147" s="69">
        <f>IF([8]PRIORIZADOS!A126="","",[8]PRIORIZADOS!A126)</f>
        <v>1096</v>
      </c>
      <c r="B1147" s="70">
        <v>23</v>
      </c>
      <c r="C1147" s="11" t="str">
        <f>IFERROR(IF(VLOOKUP(A1147,[8]PRIORIZADOS!$A:$C,3,FALSE)="","",VLOOKUP(A1147,[8]PRIORIZADOS!$A:$C,3,FALSE)),"")</f>
        <v>KENNEDY</v>
      </c>
      <c r="D1147" s="11" t="str">
        <f>IFERROR(IF(VLOOKUP(A1147,[8]PRIORIZADOS!$A:$D,4,FALSE)="","",VLOOKUP(A1147,[8]PRIORIZADOS!$A:$D,4,FALSE)),"")</f>
        <v>PRIVADO</v>
      </c>
      <c r="E1147" s="11" t="str">
        <f>IFERROR(IF(VLOOKUP(A1147,[8]PRIORIZADOS!$A:$E,5,FALSE)="","",VLOOKUP(A1147,[8]PRIORIZADOS!$A:$E,5,FALSE)),"")</f>
        <v>EPBM</v>
      </c>
      <c r="F1147" s="11" t="str">
        <f>IFERROR(IF(VLOOKUP(A1147,[8]PRIORIZADOS!$A:$F,6,FALSE)="","",VLOOKUP(A1147,[8]PRIORIZADOS!$A:$F,6,FALSE)),"")</f>
        <v>COLEGIO_SUPERIOR_DE_OCCIDENTE</v>
      </c>
      <c r="G1147" s="11" t="str">
        <f>IFERROR(IF(VLOOKUP(A1147,[8]PRIORIZADOS!$A:$G,7,FALSE)="","",VLOOKUP(A1147,[8]PRIORIZADOS!$A:$G,7,FALSE)),"")</f>
        <v>COLEGIO SUPERIOR DE OCCIDENTE</v>
      </c>
      <c r="H1147" s="11" t="str">
        <f>IFERROR(IF(VLOOKUP(A1147,[8]PRIORIZADOS!$A:$H,8,FALSE)="","",VLOOKUP(A1147,[8]PRIORIZADOS!$A:$H,8,FALSE)),"")</f>
        <v>Autoevaluación Institucional y Pruebas SABER 11</v>
      </c>
      <c r="I1147" s="11" t="str">
        <f>IFERROR(IF(VLOOKUP(A1147,[8]PRIORIZADOS!$A:$I,9,FALSE)="","",VLOOKUP(A1147,[8]PRIORIZADOS!$A:$I,9,FALSE)),"")</f>
        <v>SEGUIMIENTO_Y_SUPERVISIÓN.</v>
      </c>
      <c r="J1147" s="11" t="str">
        <f>IFERROR(IF(VLOOKUP(A1147,[8]PRIORIZADOS!$A:$J,10,FALSE)="","",VLOOKUP(A1147,[8]PRIORIZADOS!$A:$J,10,FALSE)),"")</f>
        <v xml:space="preserve">Verificar la implementación por parte de los colegios, de acciones realizadas para la prevención y atención de las situaciones de convivencia en el entorno escolar, según lo establecido en la Directiva 01 de 2022 del MEN. </v>
      </c>
      <c r="K1147" s="11" t="str">
        <f>IFERROR(IF(VLOOKUP(A1147,[8]PRIORIZADOS!$A:$K,11,FALSE)="","",VLOOKUP(A1147,[8]PRIORIZADOS!$A:$K,11,FALSE)),"")</f>
        <v>GERMÁN EDUARDO TORO ROSERO</v>
      </c>
      <c r="L1147" s="11" t="str">
        <f>IFERROR(IF(VLOOKUP(A1147,[8]PRIORIZADOS!$A:$L,12,FALSE)="","",VLOOKUP(A1147,[8]PRIORIZADOS!$A:$L,12,FALSE)),"")</f>
        <v xml:space="preserve">DIANA ZULAY HUERTAS ORTÍZ </v>
      </c>
      <c r="M1147" s="71">
        <f>IFERROR(IF(VLOOKUP(A1147,[8]PRIORIZADOS!$A:$M,13,FALSE)="","",VLOOKUP(A1147,[8]PRIORIZADOS!$A:$M,13,FALSE)),"")</f>
        <v>45799</v>
      </c>
      <c r="N1147" s="71">
        <f>IFERROR(IF(VLOOKUP(A1147,[8]PRIORIZADOS!$A:$N,14,FALSE)="","",VLOOKUP(A1147,[8]PRIORIZADOS!$A:$N,14,FALSE)),"")</f>
        <v>45799</v>
      </c>
      <c r="O1147" s="71">
        <f>IFERROR(IF(VLOOKUP(A1147,[8]PRIORIZADOS!$A:$O,15,FALSE)="","",VLOOKUP(A1147,[8]PRIORIZADOS!$A:$O,15,FALSE)),"")</f>
        <v>45799</v>
      </c>
      <c r="P1147" s="11" t="str">
        <f>IFERROR(IF(VLOOKUP(A1147,[8]PRIORIZADOS!$A:$P,16,FALSE)="","",VLOOKUP(A1147,[8]PRIORIZADOS!$A:$P,16,FALSE)),"")</f>
        <v>Visitas de evaluación con fines de mejoramiento</v>
      </c>
      <c r="Q1147" s="125" t="s">
        <v>217</v>
      </c>
      <c r="R1147" s="11" t="str">
        <f>IFERROR(IF(VLOOKUP(A1147,[8]PRIORIZADOS!$A:$R,18,FALSE)="","",VLOOKUP(A1147,[8]PRIORIZADOS!$A:$R,18,FALSE)),"")</f>
        <v xml:space="preserve">La EE cuenta con proyectos que evidencian la implementación de acciones de prevención y promoción de situaciones de convivencia en el entorno escolar, como talleres, campañas de sensibilización e información a toda la comunidad educativa. </v>
      </c>
      <c r="S1147" s="11" t="str">
        <f>IFERROR(IF(VLOOKUP(A1147,[8]PRIORIZADOS!$A:$S,19,FALSE)="","",VLOOKUP(A1147,[8]PRIORIZADOS!$A:$S,19,FALSE)),"")</f>
        <v xml:space="preserve">Continuar con la implementación de acciones de promoción y prevención de la convivencia escolar. </v>
      </c>
      <c r="T1147" s="70" t="str">
        <f>IFERROR(IF(VLOOKUP(A1147,[8]PRIORIZADOS!$A:$T,20,FALSE)="","",VLOOKUP(A1147,[8]PRIORIZADOS!$A:$T,20,FALSE)),"")</f>
        <v>No</v>
      </c>
      <c r="U1147" s="11" t="str">
        <f>IFERROR(IF(VLOOKUP(A1147,[8]PRIORIZADOS!$A:$U,21,FALSE)="","",VLOOKUP(A1147,[8]PRIORIZADOS!$A:$U,21,FALSE)),"")</f>
        <v xml:space="preserve">El ELIV verificará en la próxima vigencia el desarrollo de acciones de promoción y prevención. </v>
      </c>
    </row>
    <row r="1148" spans="1:21" s="1" customFormat="1" ht="72">
      <c r="A1148" s="69">
        <f>IF([8]PRIORIZADOS!A127="","",[8]PRIORIZADOS!A127)</f>
        <v>1097</v>
      </c>
      <c r="B1148" s="70">
        <v>23</v>
      </c>
      <c r="C1148" s="11" t="str">
        <f>IFERROR(IF(VLOOKUP(A1148,[8]PRIORIZADOS!$A:$C,3,FALSE)="","",VLOOKUP(A1148,[8]PRIORIZADOS!$A:$C,3,FALSE)),"")</f>
        <v>KENNEDY</v>
      </c>
      <c r="D1148" s="11" t="str">
        <f>IFERROR(IF(VLOOKUP(A1148,[8]PRIORIZADOS!$A:$D,4,FALSE)="","",VLOOKUP(A1148,[8]PRIORIZADOS!$A:$D,4,FALSE)),"")</f>
        <v>PRIVADO</v>
      </c>
      <c r="E1148" s="11" t="str">
        <f>IFERROR(IF(VLOOKUP(A1148,[8]PRIORIZADOS!$A:$E,5,FALSE)="","",VLOOKUP(A1148,[8]PRIORIZADOS!$A:$E,5,FALSE)),"")</f>
        <v>EPBM</v>
      </c>
      <c r="F1148" s="11" t="str">
        <f>IFERROR(IF(VLOOKUP(A1148,[8]PRIORIZADOS!$A:$F,6,FALSE)="","",VLOOKUP(A1148,[8]PRIORIZADOS!$A:$F,6,FALSE)),"")</f>
        <v>COLEGIO_SUPERIOR_DE_OCCIDENTE</v>
      </c>
      <c r="G1148" s="11" t="str">
        <f>IFERROR(IF(VLOOKUP(A1148,[8]PRIORIZADOS!$A:$G,7,FALSE)="","",VLOOKUP(A1148,[8]PRIORIZADOS!$A:$G,7,FALSE)),"")</f>
        <v>COLEGIO SUPERIOR DE OCCIDENTE</v>
      </c>
      <c r="H1148" s="11" t="str">
        <f>IFERROR(IF(VLOOKUP(A1148,[8]PRIORIZADOS!$A:$H,8,FALSE)="","",VLOOKUP(A1148,[8]PRIORIZADOS!$A:$H,8,FALSE)),"")</f>
        <v>Autoevaluación Institucional y Pruebas SABER 11</v>
      </c>
      <c r="I1148" s="11" t="str">
        <f>IFERROR(IF(VLOOKUP(A1148,[8]PRIORIZADOS!$A:$I,9,FALSE)="","",VLOOKUP(A1148,[8]PRIORIZADOS!$A:$I,9,FALSE)),"")</f>
        <v>SEGUIMIENTO_Y_SUPERVISIÓN.</v>
      </c>
      <c r="J1148" s="11" t="str">
        <f>IFERROR(IF(VLOOKUP(A1148,[8]PRIORIZADOS!$A:$J,10,FALSE)="","",VLOOKUP(A1148,[8]PRIORIZADOS!$A:$J,10,FALSE)),"")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48" s="11" t="str">
        <f>IFERROR(IF(VLOOKUP(A1148,[8]PRIORIZADOS!$A:$K,11,FALSE)="","",VLOOKUP(A1148,[8]PRIORIZADOS!$A:$K,11,FALSE)),"")</f>
        <v>GERMÁN EDUARDO TORO ROSERO</v>
      </c>
      <c r="L1148" s="11" t="str">
        <f>IFERROR(IF(VLOOKUP(A1148,[8]PRIORIZADOS!$A:$L,12,FALSE)="","",VLOOKUP(A1148,[8]PRIORIZADOS!$A:$L,12,FALSE)),"")</f>
        <v xml:space="preserve">DIANA ZULAY HUERTAS ORTÍZ </v>
      </c>
      <c r="M1148" s="71">
        <f>IFERROR(IF(VLOOKUP(A1148,[8]PRIORIZADOS!$A:$M,13,FALSE)="","",VLOOKUP(A1148,[8]PRIORIZADOS!$A:$M,13,FALSE)),"")</f>
        <v>45799</v>
      </c>
      <c r="N1148" s="71">
        <f>IFERROR(IF(VLOOKUP(A1148,[8]PRIORIZADOS!$A:$N,14,FALSE)="","",VLOOKUP(A1148,[8]PRIORIZADOS!$A:$N,14,FALSE)),"")</f>
        <v>45799</v>
      </c>
      <c r="O1148" s="71">
        <f>IFERROR(IF(VLOOKUP(A1148,[8]PRIORIZADOS!$A:$O,15,FALSE)="","",VLOOKUP(A1148,[8]PRIORIZADOS!$A:$O,15,FALSE)),"")</f>
        <v>45799</v>
      </c>
      <c r="P1148" s="11" t="str">
        <f>IFERROR(IF(VLOOKUP(A1148,[8]PRIORIZADOS!$A:$P,16,FALSE)="","",VLOOKUP(A1148,[8]PRIORIZADOS!$A:$P,16,FALSE)),"")</f>
        <v>Visitas de evaluación con fines de mejoramiento</v>
      </c>
      <c r="Q1148" s="107" t="s">
        <v>217</v>
      </c>
      <c r="R1148" s="11" t="str">
        <f>IFERROR(IF(VLOOKUP(A1148,[8]PRIORIZADOS!$A:$R,18,FALSE)="","",VLOOKUP(A1148,[8]PRIORIZADOS!$A:$R,18,FALSE)),"")</f>
        <v>Se evidenció el desarrollo de  PIAR, para un estudiante, con los soportes necesarios.</v>
      </c>
      <c r="S1148" s="11" t="str">
        <f>IFERROR(IF(VLOOKUP(A1148,[8]PRIORIZADOS!$A:$S,19,FALSE)="","",VLOOKUP(A1148,[8]PRIORIZADOS!$A:$S,19,FALSE)),"")</f>
        <v>Continuar desarrollando e implementando PIAR, para estudiantes que lo necesiten de acuerdo a la caracterización e identificación institucional.</v>
      </c>
      <c r="T1148" s="70" t="str">
        <f>IFERROR(IF(VLOOKUP(A1148,[8]PRIORIZADOS!$A:$T,20,FALSE)="","",VLOOKUP(A1148,[8]PRIORIZADOS!$A:$T,20,FALSE)),"")</f>
        <v>No</v>
      </c>
      <c r="U1148" s="11" t="str">
        <f>IFERROR(IF(VLOOKUP(A1148,[8]PRIORIZADOS!$A:$U,21,FALSE)="","",VLOOKUP(A1148,[8]PRIORIZADOS!$A:$U,21,FALSE)),"")</f>
        <v xml:space="preserve">Verificar el desarrollo y la implementación de PIAR, de acuerdo a la necesidad. </v>
      </c>
    </row>
    <row r="1149" spans="1:21" s="1" customFormat="1" ht="84">
      <c r="A1149" s="69">
        <f>IF([8]PRIORIZADOS!A128="","",[8]PRIORIZADOS!A128)</f>
        <v>1098</v>
      </c>
      <c r="B1149" s="70">
        <v>23</v>
      </c>
      <c r="C1149" s="11" t="str">
        <f>IFERROR(IF(VLOOKUP(A1149,[8]PRIORIZADOS!$A:$C,3,FALSE)="","",VLOOKUP(A1149,[8]PRIORIZADOS!$A:$C,3,FALSE)),"")</f>
        <v>KENNEDY</v>
      </c>
      <c r="D1149" s="11" t="str">
        <f>IFERROR(IF(VLOOKUP(A1149,[8]PRIORIZADOS!$A:$D,4,FALSE)="","",VLOOKUP(A1149,[8]PRIORIZADOS!$A:$D,4,FALSE)),"")</f>
        <v>PRIVADO</v>
      </c>
      <c r="E1149" s="11" t="str">
        <f>IFERROR(IF(VLOOKUP(A1149,[8]PRIORIZADOS!$A:$E,5,FALSE)="","",VLOOKUP(A1149,[8]PRIORIZADOS!$A:$E,5,FALSE)),"")</f>
        <v>EPBM</v>
      </c>
      <c r="F1149" s="11" t="str">
        <f>IFERROR(IF(VLOOKUP(A1149,[8]PRIORIZADOS!$A:$F,6,FALSE)="","",VLOOKUP(A1149,[8]PRIORIZADOS!$A:$F,6,FALSE)),"")</f>
        <v>COLEGIO_SUPERIOR_DE_OCCIDENTE</v>
      </c>
      <c r="G1149" s="11" t="str">
        <f>IFERROR(IF(VLOOKUP(A1149,[8]PRIORIZADOS!$A:$G,7,FALSE)="","",VLOOKUP(A1149,[8]PRIORIZADOS!$A:$G,7,FALSE)),"")</f>
        <v>COLEGIO SUPERIOR DE OCCIDENTE</v>
      </c>
      <c r="H1149" s="11" t="str">
        <f>IFERROR(IF(VLOOKUP(A1149,[8]PRIORIZADOS!$A:$H,8,FALSE)="","",VLOOKUP(A1149,[8]PRIORIZADOS!$A:$H,8,FALSE)),"")</f>
        <v>Autoevaluación Institucional y Pruebas SABER 11</v>
      </c>
      <c r="I1149" s="11" t="str">
        <f>IFERROR(IF(VLOOKUP(A1149,[8]PRIORIZADOS!$A:$I,9,FALSE)="","",VLOOKUP(A1149,[8]PRIORIZADOS!$A:$I,9,FALSE)),"")</f>
        <v>EVALUACIÓN_CON_FINES_DE_MEJORAMIENTO.</v>
      </c>
      <c r="J1149" s="11" t="str">
        <f>IFERROR(IF(VLOOKUP(A1149,[8]PRIORIZADOS!$A:$J,10,FALSE)="","",VLOOKUP(A1149,[8]PRIORIZADOS!$A:$J,10,FALSE)),"")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49" s="11" t="str">
        <f>IFERROR(IF(VLOOKUP(A1149,[8]PRIORIZADOS!$A:$K,11,FALSE)="","",VLOOKUP(A1149,[8]PRIORIZADOS!$A:$K,11,FALSE)),"")</f>
        <v>GERMÁN EDUARDO TORO ROSERO</v>
      </c>
      <c r="L1149" s="11" t="str">
        <f>IFERROR(IF(VLOOKUP(A1149,[8]PRIORIZADOS!$A:$L,12,FALSE)="","",VLOOKUP(A1149,[8]PRIORIZADOS!$A:$L,12,FALSE)),"")</f>
        <v xml:space="preserve">DIANA ZULAY HUERTAS ORTÍZ </v>
      </c>
      <c r="M1149" s="71">
        <f>IFERROR(IF(VLOOKUP(A1149,[8]PRIORIZADOS!$A:$M,13,FALSE)="","",VLOOKUP(A1149,[8]PRIORIZADOS!$A:$M,13,FALSE)),"")</f>
        <v>45799</v>
      </c>
      <c r="N1149" s="71">
        <f>IFERROR(IF(VLOOKUP(A1149,[8]PRIORIZADOS!$A:$N,14,FALSE)="","",VLOOKUP(A1149,[8]PRIORIZADOS!$A:$N,14,FALSE)),"")</f>
        <v>45799</v>
      </c>
      <c r="O1149" s="71">
        <f>IFERROR(IF(VLOOKUP(A1149,[8]PRIORIZADOS!$A:$O,15,FALSE)="","",VLOOKUP(A1149,[8]PRIORIZADOS!$A:$O,15,FALSE)),"")</f>
        <v>45799</v>
      </c>
      <c r="P1149" s="11" t="str">
        <f>IFERROR(IF(VLOOKUP(A1149,[8]PRIORIZADOS!$A:$P,16,FALSE)="","",VLOOKUP(A1149,[8]PRIORIZADOS!$A:$P,16,FALSE)),"")</f>
        <v>Visitas de evaluación con fines de mejoramiento</v>
      </c>
      <c r="Q1149" s="107" t="s">
        <v>217</v>
      </c>
      <c r="R1149" s="11" t="str">
        <f>IFERROR(IF(VLOOKUP(A1149,[8]PRIORIZADOS!$A:$R,18,FALSE)="","",VLOOKUP(A1149,[8]PRIORIZADOS!$A:$R,18,FALSE)),"")</f>
        <v>La EE, debe actualizar el manual de convivencia de acuerdo a la normatividad vigente.</v>
      </c>
      <c r="S1149" s="11" t="str">
        <f>IFERROR(IF(VLOOKUP(A1149,[8]PRIORIZADOS!$A:$S,19,FALSE)="","",VLOOKUP(A1149,[8]PRIORIZADOS!$A:$S,19,FALSE)),"")</f>
        <v>Actualizar de manera participativa el manual de convivencia de la institución teniendo los enfoques, la tipificación de situaciones y las faltas de acuerdo a la ley 1620 y decreto 1965.</v>
      </c>
      <c r="T1149" s="70" t="str">
        <f>IFERROR(IF(VLOOKUP(A1149,[8]PRIORIZADOS!$A:$T,20,FALSE)="","",VLOOKUP(A1149,[8]PRIORIZADOS!$A:$T,20,FALSE)),"")</f>
        <v>Si</v>
      </c>
      <c r="U1149" s="11" t="str">
        <f>IFERROR(IF(VLOOKUP(A1149,[8]PRIORIZADOS!$A:$U,21,FALSE)="","",VLOOKUP(A1149,[8]PRIORIZADOS!$A:$U,21,FALSE)),"")</f>
        <v>El ELIV verificará la actualización del manual de convivencia. Se realiza mesa de seguimiento el día 22 de septiembre 2025.Se validará el cumplimiento de las actividades pendientes el  5 de diciembre.</v>
      </c>
    </row>
    <row r="1150" spans="1:21" s="1" customFormat="1" ht="48">
      <c r="A1150" s="69">
        <f>IF([8]PRIORIZADOS!A129="","",[8]PRIORIZADOS!A129)</f>
        <v>1099</v>
      </c>
      <c r="B1150" s="70">
        <v>23</v>
      </c>
      <c r="C1150" s="11" t="str">
        <f>IFERROR(IF(VLOOKUP(A1150,[8]PRIORIZADOS!$A:$C,3,FALSE)="","",VLOOKUP(A1150,[8]PRIORIZADOS!$A:$C,3,FALSE)),"")</f>
        <v>KENNEDY</v>
      </c>
      <c r="D1150" s="11" t="str">
        <f>IFERROR(IF(VLOOKUP(A1150,[8]PRIORIZADOS!$A:$D,4,FALSE)="","",VLOOKUP(A1150,[8]PRIORIZADOS!$A:$D,4,FALSE)),"")</f>
        <v>PRIVADO</v>
      </c>
      <c r="E1150" s="11" t="str">
        <f>IFERROR(IF(VLOOKUP(A1150,[8]PRIORIZADOS!$A:$E,5,FALSE)="","",VLOOKUP(A1150,[8]PRIORIZADOS!$A:$E,5,FALSE)),"")</f>
        <v>EPBM</v>
      </c>
      <c r="F1150" s="11" t="str">
        <f>IFERROR(IF(VLOOKUP(A1150,[8]PRIORIZADOS!$A:$F,6,FALSE)="","",VLOOKUP(A1150,[8]PRIORIZADOS!$A:$F,6,FALSE)),"")</f>
        <v>COLEGIO_SUPERIOR_DE_OCCIDENTE</v>
      </c>
      <c r="G1150" s="11" t="str">
        <f>IFERROR(IF(VLOOKUP(A1150,[8]PRIORIZADOS!$A:$G,7,FALSE)="","",VLOOKUP(A1150,[8]PRIORIZADOS!$A:$G,7,FALSE)),"")</f>
        <v>COLEGIO SUPERIOR DE OCCIDENTE</v>
      </c>
      <c r="H1150" s="11" t="str">
        <f>IFERROR(IF(VLOOKUP(A1150,[8]PRIORIZADOS!$A:$H,8,FALSE)="","",VLOOKUP(A1150,[8]PRIORIZADOS!$A:$H,8,FALSE)),"")</f>
        <v>Autoevaluación Institucional y Pruebas SABER 11</v>
      </c>
      <c r="I1150" s="11" t="str">
        <f>IFERROR(IF(VLOOKUP(A1150,[8]PRIORIZADOS!$A:$I,9,FALSE)="","",VLOOKUP(A1150,[8]PRIORIZADOS!$A:$I,9,FALSE)),"")</f>
        <v>EVALUACIÓN_CON_FINES_DE_MEJORAMIENTO.</v>
      </c>
      <c r="J1150" s="11" t="str">
        <f>IFERROR(IF(VLOOKUP(A1150,[8]PRIORIZADOS!$A:$J,10,FALSE)="","",VLOOKUP(A1150,[8]PRIORIZADOS!$A:$J,10,FALSE)),"")</f>
        <v>Revisar el calendario escolar, jornada escolar, la intensidad horaria mínima anual en cada nivel y las modificaciones que se realicen al mismo, de acuerdo con lo previsto en la normatividad vigente.</v>
      </c>
      <c r="K1150" s="11" t="str">
        <f>IFERROR(IF(VLOOKUP(A1150,[8]PRIORIZADOS!$A:$K,11,FALSE)="","",VLOOKUP(A1150,[8]PRIORIZADOS!$A:$K,11,FALSE)),"")</f>
        <v>GERMÁN EDUARDO TORO ROSERO</v>
      </c>
      <c r="L1150" s="11" t="str">
        <f>IFERROR(IF(VLOOKUP(A1150,[8]PRIORIZADOS!$A:$L,12,FALSE)="","",VLOOKUP(A1150,[8]PRIORIZADOS!$A:$L,12,FALSE)),"")</f>
        <v xml:space="preserve">DIANA ZULAY HUERTAS ORTÍZ </v>
      </c>
      <c r="M1150" s="71">
        <f>IFERROR(IF(VLOOKUP(A1150,[8]PRIORIZADOS!$A:$M,13,FALSE)="","",VLOOKUP(A1150,[8]PRIORIZADOS!$A:$M,13,FALSE)),"")</f>
        <v>45799</v>
      </c>
      <c r="N1150" s="71">
        <f>IFERROR(IF(VLOOKUP(A1150,[8]PRIORIZADOS!$A:$N,14,FALSE)="","",VLOOKUP(A1150,[8]PRIORIZADOS!$A:$N,14,FALSE)),"")</f>
        <v>45799</v>
      </c>
      <c r="O1150" s="71">
        <f>IFERROR(IF(VLOOKUP(A1150,[8]PRIORIZADOS!$A:$O,15,FALSE)="","",VLOOKUP(A1150,[8]PRIORIZADOS!$A:$O,15,FALSE)),"")</f>
        <v>45799</v>
      </c>
      <c r="P1150" s="11" t="str">
        <f>IFERROR(IF(VLOOKUP(A1150,[8]PRIORIZADOS!$A:$P,16,FALSE)="","",VLOOKUP(A1150,[8]PRIORIZADOS!$A:$P,16,FALSE)),"")</f>
        <v>Visitas de evaluación con fines de mejoramiento</v>
      </c>
      <c r="Q1150" s="126" t="s">
        <v>217</v>
      </c>
      <c r="R1150" s="11" t="str">
        <f>IFERROR(IF(VLOOKUP(A1150,[8]PRIORIZADOS!$A:$R,18,FALSE)="","",VLOOKUP(A1150,[8]PRIORIZADOS!$A:$R,18,FALSE)),"")</f>
        <v>La EE, cumple con la intensidad horaria mínima anual para cada nivel.</v>
      </c>
      <c r="S1150" s="11" t="str">
        <f>IFERROR(IF(VLOOKUP(A1150,[8]PRIORIZADOS!$A:$S,19,FALSE)="","",VLOOKUP(A1150,[8]PRIORIZADOS!$A:$S,19,FALSE)),"")</f>
        <v xml:space="preserve">La EE, debe seguir cumpliendo con la intensidad horaria mínima. </v>
      </c>
      <c r="T1150" s="70" t="str">
        <f>IFERROR(IF(VLOOKUP(A1150,[8]PRIORIZADOS!$A:$T,20,FALSE)="","",VLOOKUP(A1150,[8]PRIORIZADOS!$A:$T,20,FALSE)),"")</f>
        <v>No</v>
      </c>
      <c r="U1150" s="11" t="str">
        <f>IFERROR(IF(VLOOKUP(A1150,[8]PRIORIZADOS!$A:$U,21,FALSE)="","",VLOOKUP(A1150,[8]PRIORIZADOS!$A:$U,21,FALSE)),"")</f>
        <v xml:space="preserve">El ELIV verificará en la próxima vigencia el cumplimiento del calendario escolar. </v>
      </c>
    </row>
    <row r="1151" spans="1:21" s="1" customFormat="1" ht="60">
      <c r="A1151" s="69">
        <f>IF([8]PRIORIZADOS!A130="","",[8]PRIORIZADOS!A130)</f>
        <v>1100</v>
      </c>
      <c r="B1151" s="70">
        <v>23</v>
      </c>
      <c r="C1151" s="11" t="str">
        <f>IFERROR(IF(VLOOKUP(A1151,[8]PRIORIZADOS!$A:$C,3,FALSE)="","",VLOOKUP(A1151,[8]PRIORIZADOS!$A:$C,3,FALSE)),"")</f>
        <v>KENNEDY</v>
      </c>
      <c r="D1151" s="11" t="str">
        <f>IFERROR(IF(VLOOKUP(A1151,[8]PRIORIZADOS!$A:$D,4,FALSE)="","",VLOOKUP(A1151,[8]PRIORIZADOS!$A:$D,4,FALSE)),"")</f>
        <v>PRIVADO</v>
      </c>
      <c r="E1151" s="11" t="str">
        <f>IFERROR(IF(VLOOKUP(A1151,[8]PRIORIZADOS!$A:$E,5,FALSE)="","",VLOOKUP(A1151,[8]PRIORIZADOS!$A:$E,5,FALSE)),"")</f>
        <v>EPBM</v>
      </c>
      <c r="F1151" s="11" t="str">
        <f>IFERROR(IF(VLOOKUP(A1151,[8]PRIORIZADOS!$A:$F,6,FALSE)="","",VLOOKUP(A1151,[8]PRIORIZADOS!$A:$F,6,FALSE)),"")</f>
        <v>COLEGIO_SUPERIOR_DE_OCCIDENTE</v>
      </c>
      <c r="G1151" s="11" t="str">
        <f>IFERROR(IF(VLOOKUP(A1151,[8]PRIORIZADOS!$A:$G,7,FALSE)="","",VLOOKUP(A1151,[8]PRIORIZADOS!$A:$G,7,FALSE)),"")</f>
        <v>COLEGIO SUPERIOR DE OCCIDENTE</v>
      </c>
      <c r="H1151" s="11" t="str">
        <f>IFERROR(IF(VLOOKUP(A1151,[8]PRIORIZADOS!$A:$H,8,FALSE)="","",VLOOKUP(A1151,[8]PRIORIZADOS!$A:$H,8,FALSE)),"")</f>
        <v>Autoevaluación Institucional y Pruebas SABER 11</v>
      </c>
      <c r="I1151" s="11" t="str">
        <f>IFERROR(IF(VLOOKUP(A1151,[8]PRIORIZADOS!$A:$I,9,FALSE)="","",VLOOKUP(A1151,[8]PRIORIZADOS!$A:$I,9,FALSE)),"")</f>
        <v>EVALUACIÓN_CON_FINES_DE_MEJORAMIENTO.</v>
      </c>
      <c r="J1151" s="11" t="str">
        <f>IFERROR(IF(VLOOKUP(A1151,[8]PRIORIZADOS!$A:$J,10,FALSE)="","",VLOOKUP(A1151,[8]PRIORIZADOS!$A:$J,10,FALSE)),"")</f>
        <v>Verificar las condiciones en cuanto a: la estructura administrativa, condiciones de la planta física y medios educativos adecuados.</v>
      </c>
      <c r="K1151" s="11" t="str">
        <f>IFERROR(IF(VLOOKUP(A1151,[8]PRIORIZADOS!$A:$K,11,FALSE)="","",VLOOKUP(A1151,[8]PRIORIZADOS!$A:$K,11,FALSE)),"")</f>
        <v>GERMÁN EDUARDO TORO ROSERO</v>
      </c>
      <c r="L1151" s="11" t="str">
        <f>IFERROR(IF(VLOOKUP(A1151,[8]PRIORIZADOS!$A:$L,12,FALSE)="","",VLOOKUP(A1151,[8]PRIORIZADOS!$A:$L,12,FALSE)),"")</f>
        <v xml:space="preserve">DIANA ZULAY HUERTAS ORTÍZ </v>
      </c>
      <c r="M1151" s="71">
        <f>IFERROR(IF(VLOOKUP(A1151,[8]PRIORIZADOS!$A:$M,13,FALSE)="","",VLOOKUP(A1151,[8]PRIORIZADOS!$A:$M,13,FALSE)),"")</f>
        <v>45799</v>
      </c>
      <c r="N1151" s="71">
        <f>IFERROR(IF(VLOOKUP(A1151,[8]PRIORIZADOS!$A:$N,14,FALSE)="","",VLOOKUP(A1151,[8]PRIORIZADOS!$A:$N,14,FALSE)),"")</f>
        <v>45799</v>
      </c>
      <c r="O1151" s="71">
        <f>IFERROR(IF(VLOOKUP(A1151,[8]PRIORIZADOS!$A:$O,15,FALSE)="","",VLOOKUP(A1151,[8]PRIORIZADOS!$A:$O,15,FALSE)),"")</f>
        <v>45799</v>
      </c>
      <c r="P1151" s="11" t="str">
        <f>IFERROR(IF(VLOOKUP(A1151,[8]PRIORIZADOS!$A:$P,16,FALSE)="","",VLOOKUP(A1151,[8]PRIORIZADOS!$A:$P,16,FALSE)),"")</f>
        <v>Visitas de evaluación con fines de mejoramiento</v>
      </c>
      <c r="Q1151" s="126" t="s">
        <v>217</v>
      </c>
      <c r="R1151" s="11" t="str">
        <f>IFERROR(IF(VLOOKUP(A1151,[8]PRIORIZADOS!$A:$R,18,FALSE)="","",VLOOKUP(A1151,[8]PRIORIZADOS!$A:$R,18,FALSE)),"")</f>
        <v>Las condiciones de los medios educativos no son adecuados para la prestación del servicio educativo (pupitres, tableros y medios tecnológicos)</v>
      </c>
      <c r="S1151" s="11" t="str">
        <f>IFERROR(IF(VLOOKUP(A1151,[8]PRIORIZADOS!$A:$S,19,FALSE)="","",VLOOKUP(A1151,[8]PRIORIZADOS!$A:$S,19,FALSE)),"")</f>
        <v xml:space="preserve">La IE debe implementar un plan de mantenimiento, mejora o cambio del inmobiliario (pupitres, tableros y medios tecnológicos), con el propósito de prestar un servicio educativo de calidad. </v>
      </c>
      <c r="T1151" s="70" t="str">
        <f>IFERROR(IF(VLOOKUP(A1151,[8]PRIORIZADOS!$A:$T,20,FALSE)="","",VLOOKUP(A1151,[8]PRIORIZADOS!$A:$T,20,FALSE)),"")</f>
        <v>Si</v>
      </c>
      <c r="U1151" s="11" t="str">
        <f>IFERROR(IF(VLOOKUP(A1151,[8]PRIORIZADOS!$A:$U,21,FALSE)="","",VLOOKUP(A1151,[8]PRIORIZADOS!$A:$U,21,FALSE)),"")</f>
        <v>Seguimiento al cumplimiento del plan de mejoramiento. Se realiza mesa de seguimiento el día 22 de septiembre 2025.Se validará el cumplimiento de las actividades pendientes el  5 de diciembre.</v>
      </c>
    </row>
    <row r="1152" spans="1:21" s="1" customFormat="1" ht="48">
      <c r="A1152" s="69">
        <f>IF([8]PRIORIZADOS!A131="","",[8]PRIORIZADOS!A131)</f>
        <v>1101</v>
      </c>
      <c r="B1152" s="70">
        <f>IFERROR(IF(VLOOKUP(A1152,[8]PRIORIZADOS!$A:$B,2,FALSE)="","",VLOOKUP(A1152,[8]PRIORIZADOS!$A:$B,2,FALSE)),"")</f>
        <v>24</v>
      </c>
      <c r="C1152" s="11" t="str">
        <f>IFERROR(IF(VLOOKUP(A1152,[8]PRIORIZADOS!$A:$C,3,FALSE)="","",VLOOKUP(A1152,[8]PRIORIZADOS!$A:$C,3,FALSE)),"")</f>
        <v>KENNEDY</v>
      </c>
      <c r="D1152" s="11" t="str">
        <f>IFERROR(IF(VLOOKUP(A1152,[8]PRIORIZADOS!$A:$D,4,FALSE)="","",VLOOKUP(A1152,[8]PRIORIZADOS!$A:$D,4,FALSE)),"")</f>
        <v>PRIVADO</v>
      </c>
      <c r="E1152" s="11" t="str">
        <f>IFERROR(IF(VLOOKUP(A1152,[8]PRIORIZADOS!$A:$E,5,FALSE)="","",VLOOKUP(A1152,[8]PRIORIZADOS!$A:$E,5,FALSE)),"")</f>
        <v>EPBM</v>
      </c>
      <c r="F1152" s="11" t="str">
        <f>IFERROR(IF(VLOOKUP(A1152,[8]PRIORIZADOS!$A:$F,6,FALSE)="","",VLOOKUP(A1152,[8]PRIORIZADOS!$A:$F,6,FALSE)),"")</f>
        <v>COLEGIO_TALENTOS</v>
      </c>
      <c r="G1152" s="11" t="str">
        <f>IFERROR(IF(VLOOKUP(A1152,[8]PRIORIZADOS!$A:$G,7,FALSE)="","",VLOOKUP(A1152,[8]PRIORIZADOS!$A:$G,7,FALSE)),"")</f>
        <v>COLEGIO TALENTOS</v>
      </c>
      <c r="H1152" s="11" t="str">
        <f>IFERROR(IF(VLOOKUP(A1152,[8]PRIORIZADOS!$A:$H,8,FALSE)="","",VLOOKUP(A1152,[8]PRIORIZADOS!$A:$H,8,FALSE)),"")</f>
        <v>Autoevaluación Institucional y Pruebas SABER 11</v>
      </c>
      <c r="I1152" s="11" t="str">
        <f>IFERROR(IF(VLOOKUP(A1152,[8]PRIORIZADOS!$A:$I,9,FALSE)="","",VLOOKUP(A1152,[8]PRIORIZADOS!$A:$I,9,FALSE)),"")</f>
        <v>SEGUIMIENTO_Y_SUPERVISIÓN.</v>
      </c>
      <c r="J1152" s="11" t="str">
        <f>IFERROR(IF(VLOOKUP(A1152,[8]PRIORIZADOS!$A:$J,10,FALSE)="","",VLOOKUP(A1152,[8]PRIORIZADOS!$A:$J,10,FALSE)),"")</f>
        <v>Realizar visitas para verificar la información registrada sobre la autoevaluación institucional en el aplicativo EVI, a los establecimientos de educación formal no oficial.</v>
      </c>
      <c r="K1152" s="11" t="str">
        <f>IFERROR(IF(VLOOKUP(A1152,[8]PRIORIZADOS!$A:$K,11,FALSE)="","",VLOOKUP(A1152,[8]PRIORIZADOS!$A:$K,11,FALSE)),"")</f>
        <v>INGRID VIVIANA DÁVILA ÁVILA</v>
      </c>
      <c r="L1152" s="11" t="str">
        <f>IFERROR(IF(VLOOKUP(A1152,[8]PRIORIZADOS!$A:$L,12,FALSE)="","",VLOOKUP(A1152,[8]PRIORIZADOS!$A:$L,12,FALSE)),"")</f>
        <v>VIVANA PILAR BOHÓRQUEZ DÍAZ</v>
      </c>
      <c r="M1152" s="71">
        <f>IFERROR(IF(VLOOKUP(A1152,[8]PRIORIZADOS!$A:$M,13,FALSE)="","",VLOOKUP(A1152,[8]PRIORIZADOS!$A:$M,13,FALSE)),"")</f>
        <v>45804</v>
      </c>
      <c r="N1152" s="71">
        <f>IFERROR(IF(VLOOKUP(A1152,[8]PRIORIZADOS!$A:$N,14,FALSE)="","",VLOOKUP(A1152,[8]PRIORIZADOS!$A:$N,14,FALSE)),"")</f>
        <v>45804</v>
      </c>
      <c r="O1152" s="71">
        <f>IFERROR(IF(VLOOKUP(A1152,[8]PRIORIZADOS!$A:$O,15,FALSE)="","",VLOOKUP(A1152,[8]PRIORIZADOS!$A:$O,15,FALSE)),"")</f>
        <v>45804</v>
      </c>
      <c r="P1152" s="16" t="str">
        <f>IFERROR(IF(VLOOKUP(A1152,[8]PRIORIZADOS!$A:$P,16,FALSE)="","",VLOOKUP(A1152,[8]PRIORIZADOS!$A:$P,16,FALSE)),"")</f>
        <v>Visitas de evaluación con fines de mejoramiento</v>
      </c>
      <c r="Q1152" s="138" t="s">
        <v>218</v>
      </c>
      <c r="R1152" s="90" t="str">
        <f>IFERROR(IF(VLOOKUP(A1152,[8]PRIORIZADOS!$A:$R,18,FALSE)="","",VLOOKUP(A1152,[8]PRIORIZADOS!$A:$R,18,FALSE)),"")</f>
        <v xml:space="preserve">La información relacionada en el EVI es coherente con los aspectos identificados en la visita como infraestructura, mobiliario,  organización administrativa y académica.  </v>
      </c>
      <c r="S1152" s="11" t="str">
        <f>IFERROR(IF(VLOOKUP(A1152,[8]PRIORIZADOS!$A:$S,19,FALSE)="","",VLOOKUP(A1152,[8]PRIORIZADOS!$A:$S,19,FALSE)),"")</f>
        <v>Para la vigencia 2026 la Institución Educativa debe validar la información de tal manera que lo registrado en el EVI sea coherente con la realidad institucional.</v>
      </c>
      <c r="T1152" s="70" t="str">
        <f>IFERROR(IF(VLOOKUP(A1152,[8]PRIORIZADOS!$A:$T,20,FALSE)="","",VLOOKUP(A1152,[8]PRIORIZADOS!$A:$T,20,FALSE)),"")</f>
        <v>No</v>
      </c>
      <c r="U1152" s="11" t="str">
        <f>IFERROR(IF(VLOOKUP(A1152,[8]PRIORIZADOS!$A:$U,21,FALSE)="","",VLOOKUP(A1152,[8]PRIORIZADOS!$A:$U,21,FALSE)),"")</f>
        <v>Seguimiento al EVI en la próxima vigencia.</v>
      </c>
    </row>
    <row r="1153" spans="1:21" s="1" customFormat="1" ht="72">
      <c r="A1153" s="69">
        <f>IF([8]PRIORIZADOS!A132="","",[8]PRIORIZADOS!A132)</f>
        <v>1102</v>
      </c>
      <c r="B1153" s="70">
        <v>24</v>
      </c>
      <c r="C1153" s="11" t="str">
        <f>IFERROR(IF(VLOOKUP(A1153,[8]PRIORIZADOS!$A:$C,3,FALSE)="","",VLOOKUP(A1153,[8]PRIORIZADOS!$A:$C,3,FALSE)),"")</f>
        <v>KENNEDY</v>
      </c>
      <c r="D1153" s="11" t="str">
        <f>IFERROR(IF(VLOOKUP(A1153,[8]PRIORIZADOS!$A:$D,4,FALSE)="","",VLOOKUP(A1153,[8]PRIORIZADOS!$A:$D,4,FALSE)),"")</f>
        <v>PRIVADO</v>
      </c>
      <c r="E1153" s="11" t="str">
        <f>IFERROR(IF(VLOOKUP(A1153,[8]PRIORIZADOS!$A:$E,5,FALSE)="","",VLOOKUP(A1153,[8]PRIORIZADOS!$A:$E,5,FALSE)),"")</f>
        <v>EPBM</v>
      </c>
      <c r="F1153" s="11" t="str">
        <f>IFERROR(IF(VLOOKUP(A1153,[8]PRIORIZADOS!$A:$F,6,FALSE)="","",VLOOKUP(A1153,[8]PRIORIZADOS!$A:$F,6,FALSE)),"")</f>
        <v>COLEGIO_TALENTOS</v>
      </c>
      <c r="G1153" s="11" t="str">
        <f>IFERROR(IF(VLOOKUP(A1153,[8]PRIORIZADOS!$A:$G,7,FALSE)="","",VLOOKUP(A1153,[8]PRIORIZADOS!$A:$G,7,FALSE)),"")</f>
        <v>COLEGIO TALENTOS</v>
      </c>
      <c r="H1153" s="11" t="str">
        <f>IFERROR(IF(VLOOKUP(A1153,[8]PRIORIZADOS!$A:$H,8,FALSE)="","",VLOOKUP(A1153,[8]PRIORIZADOS!$A:$H,8,FALSE)),"")</f>
        <v>Autoevaluación Institucional y Pruebas SABER 11</v>
      </c>
      <c r="I1153" s="11" t="str">
        <f>IFERROR(IF(VLOOKUP(A1153,[8]PRIORIZADOS!$A:$I,9,FALSE)="","",VLOOKUP(A1153,[8]PRIORIZADOS!$A:$I,9,FALSE)),"")</f>
        <v>SEGUIMIENTO_Y_SUPERVISIÓN.</v>
      </c>
      <c r="J1153" s="11" t="str">
        <f>IFERROR(IF(VLOOKUP(A1153,[8]PRIORIZADOS!$A:$J,10,FALSE)="","",VLOOKUP(A1153,[8]PRIORIZADOS!$A:$J,10,FALSE)),"")</f>
        <v>Proponer estrategias en la formulación, verificar su elaboración y realizar seguimiento semestral al desarrollo de  las acciones establecidas en los planes de mejoramiento por pruebas SABER 11 de los establecimientos de educación formal.</v>
      </c>
      <c r="K1153" s="11" t="str">
        <f>IFERROR(IF(VLOOKUP(A1153,[8]PRIORIZADOS!$A:$K,11,FALSE)="","",VLOOKUP(A1153,[8]PRIORIZADOS!$A:$K,11,FALSE)),"")</f>
        <v>INGRID VIVIANA DÁVILA ÁVILA</v>
      </c>
      <c r="L1153" s="11" t="str">
        <f>IFERROR(IF(VLOOKUP(A1153,[8]PRIORIZADOS!$A:$L,12,FALSE)="","",VLOOKUP(A1153,[8]PRIORIZADOS!$A:$L,12,FALSE)),"")</f>
        <v>VIVANA PILAR BOHÓRQUEZ DÍAZ</v>
      </c>
      <c r="M1153" s="71">
        <f>IFERROR(IF(VLOOKUP(A1153,[8]PRIORIZADOS!$A:$M,13,FALSE)="","",VLOOKUP(A1153,[8]PRIORIZADOS!$A:$M,13,FALSE)),"")</f>
        <v>45804</v>
      </c>
      <c r="N1153" s="71">
        <f>IFERROR(IF(VLOOKUP(A1153,[8]PRIORIZADOS!$A:$N,14,FALSE)="","",VLOOKUP(A1153,[8]PRIORIZADOS!$A:$N,14,FALSE)),"")</f>
        <v>45804</v>
      </c>
      <c r="O1153" s="71">
        <f>IFERROR(IF(VLOOKUP(A1153,[8]PRIORIZADOS!$A:$O,15,FALSE)="","",VLOOKUP(A1153,[8]PRIORIZADOS!$A:$O,15,FALSE)),"")</f>
        <v>45804</v>
      </c>
      <c r="P1153" s="16" t="str">
        <f>IFERROR(IF(VLOOKUP(A1153,[8]PRIORIZADOS!$A:$P,16,FALSE)="","",VLOOKUP(A1153,[8]PRIORIZADOS!$A:$P,16,FALSE)),"")</f>
        <v>Visitas de evaluación con fines de mejoramiento</v>
      </c>
      <c r="Q1153" s="138" t="s">
        <v>218</v>
      </c>
      <c r="R1153" s="90" t="str">
        <f>IFERROR(IF(VLOOKUP(A1153,[8]PRIORIZADOS!$A:$R,18,FALSE)="","",VLOOKUP(A1153,[8]PRIORIZADOS!$A:$R,18,FALSE)),"")</f>
        <v xml:space="preserve">La institución educativa no ha realizado el análisis de los resultados de las pruebas SABER 11 y no ha formulado ningún plan de trabajo para avanzar en la mejora de estos resultados. </v>
      </c>
      <c r="S1153" s="11" t="str">
        <f>IFERROR(IF(VLOOKUP(A1153,[8]PRIORIZADOS!$A:$S,19,FALSE)="","",VLOOKUP(A1153,[8]PRIORIZADOS!$A:$S,19,FALSE)),"")</f>
        <v xml:space="preserve">Realizar el análisis de los resultados de las pruebas SABER 11, diseñar un plan de mejoramiento, aprobado por el Consejo Directivo y el Consejo Académico e implementar acciones precisas para contribuir al incremento de los resultados. </v>
      </c>
      <c r="T1153" s="70" t="str">
        <f>IFERROR(IF(VLOOKUP(A1153,[8]PRIORIZADOS!$A:$T,20,FALSE)="","",VLOOKUP(A1153,[8]PRIORIZADOS!$A:$T,20,FALSE)),"")</f>
        <v>Si</v>
      </c>
      <c r="U1153" s="11" t="str">
        <f>IFERROR(IF(VLOOKUP(A1153,[8]PRIORIZADOS!$A:$U,21,FALSE)="","",VLOOKUP(A1153,[8]PRIORIZADOS!$A:$U,21,FALSE)),"")</f>
        <v>Seguimiento a las acciones definidas en el plan de mejoramiento. Se realiza visita de seguimiento el 3 de octubre y se establece envío de documentos para el día 30 de noviembre.</v>
      </c>
    </row>
    <row r="1154" spans="1:21" s="1" customFormat="1" ht="48">
      <c r="A1154" s="69">
        <f>IF([8]PRIORIZADOS!A133="","",[8]PRIORIZADOS!A133)</f>
        <v>1103</v>
      </c>
      <c r="B1154" s="70">
        <v>24</v>
      </c>
      <c r="C1154" s="11" t="str">
        <f>IFERROR(IF(VLOOKUP(A1154,[8]PRIORIZADOS!$A:$C,3,FALSE)="","",VLOOKUP(A1154,[8]PRIORIZADOS!$A:$C,3,FALSE)),"")</f>
        <v>KENNEDY</v>
      </c>
      <c r="D1154" s="11" t="str">
        <f>IFERROR(IF(VLOOKUP(A1154,[8]PRIORIZADOS!$A:$D,4,FALSE)="","",VLOOKUP(A1154,[8]PRIORIZADOS!$A:$D,4,FALSE)),"")</f>
        <v>PRIVADO</v>
      </c>
      <c r="E1154" s="11" t="str">
        <f>IFERROR(IF(VLOOKUP(A1154,[8]PRIORIZADOS!$A:$E,5,FALSE)="","",VLOOKUP(A1154,[8]PRIORIZADOS!$A:$E,5,FALSE)),"")</f>
        <v>EPBM</v>
      </c>
      <c r="F1154" s="11" t="str">
        <f>IFERROR(IF(VLOOKUP(A1154,[8]PRIORIZADOS!$A:$F,6,FALSE)="","",VLOOKUP(A1154,[8]PRIORIZADOS!$A:$F,6,FALSE)),"")</f>
        <v>COLEGIO_TALENTOS</v>
      </c>
      <c r="G1154" s="11" t="str">
        <f>IFERROR(IF(VLOOKUP(A1154,[8]PRIORIZADOS!$A:$G,7,FALSE)="","",VLOOKUP(A1154,[8]PRIORIZADOS!$A:$G,7,FALSE)),"")</f>
        <v>COLEGIO TALENTOS</v>
      </c>
      <c r="H1154" s="11" t="str">
        <f>IFERROR(IF(VLOOKUP(A1154,[8]PRIORIZADOS!$A:$H,8,FALSE)="","",VLOOKUP(A1154,[8]PRIORIZADOS!$A:$H,8,FALSE)),"")</f>
        <v>Autoevaluación Institucional y Pruebas SABER 11</v>
      </c>
      <c r="I1154" s="11" t="str">
        <f>IFERROR(IF(VLOOKUP(A1154,[8]PRIORIZADOS!$A:$I,9,FALSE)="","",VLOOKUP(A1154,[8]PRIORIZADOS!$A:$I,9,FALSE)),"")</f>
        <v>SEGUIMIENTO_Y_SUPERVISIÓN.</v>
      </c>
      <c r="J1154" s="11" t="str">
        <f>IFERROR(IF(VLOOKUP(A1154,[8]PRIORIZADOS!$A:$J,10,FALSE)="","",VLOOKUP(A1154,[8]PRIORIZADOS!$A:$J,10,FALSE)),"")</f>
        <v xml:space="preserve">Verificar la implementación por parte de los colegios, de acciones realizadas para la prevención y atención de las situaciones de convivencia en el entorno escolar, según lo establecido en la Directiva 01 de 2022 del MEN. </v>
      </c>
      <c r="K1154" s="11" t="str">
        <f>IFERROR(IF(VLOOKUP(A1154,[8]PRIORIZADOS!$A:$K,11,FALSE)="","",VLOOKUP(A1154,[8]PRIORIZADOS!$A:$K,11,FALSE)),"")</f>
        <v>INGRID VIVIANA DÁVILA ÁVILA</v>
      </c>
      <c r="L1154" s="11" t="str">
        <f>IFERROR(IF(VLOOKUP(A1154,[8]PRIORIZADOS!$A:$L,12,FALSE)="","",VLOOKUP(A1154,[8]PRIORIZADOS!$A:$L,12,FALSE)),"")</f>
        <v>VIVANA PILAR BOHÓRQUEZ DÍAZ</v>
      </c>
      <c r="M1154" s="71">
        <f>IFERROR(IF(VLOOKUP(A1154,[8]PRIORIZADOS!$A:$M,13,FALSE)="","",VLOOKUP(A1154,[8]PRIORIZADOS!$A:$M,13,FALSE)),"")</f>
        <v>45804</v>
      </c>
      <c r="N1154" s="71">
        <f>IFERROR(IF(VLOOKUP(A1154,[8]PRIORIZADOS!$A:$N,14,FALSE)="","",VLOOKUP(A1154,[8]PRIORIZADOS!$A:$N,14,FALSE)),"")</f>
        <v>45804</v>
      </c>
      <c r="O1154" s="71">
        <f>IFERROR(IF(VLOOKUP(A1154,[8]PRIORIZADOS!$A:$O,15,FALSE)="","",VLOOKUP(A1154,[8]PRIORIZADOS!$A:$O,15,FALSE)),"")</f>
        <v>45804</v>
      </c>
      <c r="P1154" s="16" t="str">
        <f>IFERROR(IF(VLOOKUP(A1154,[8]PRIORIZADOS!$A:$P,16,FALSE)="","",VLOOKUP(A1154,[8]PRIORIZADOS!$A:$P,16,FALSE)),"")</f>
        <v>Visitas de evaluación con fines de mejoramiento</v>
      </c>
      <c r="Q1154" s="138" t="s">
        <v>218</v>
      </c>
      <c r="R1154" s="90" t="str">
        <f>IFERROR(IF(VLOOKUP(A1154,[8]PRIORIZADOS!$A:$R,18,FALSE)="","",VLOOKUP(A1154,[8]PRIORIZADOS!$A:$R,18,FALSE)),"")</f>
        <v xml:space="preserve">Las carpetas del personal vinculado no cuenta con el certificado de inhabilidades por delitos sexuales, de acuerdo con la Directiva Ministerial. </v>
      </c>
      <c r="S1154" s="11" t="str">
        <f>IFERROR(IF(VLOOKUP(A1154,[8]PRIORIZADOS!$A:$S,19,FALSE)="","",VLOOKUP(A1154,[8]PRIORIZADOS!$A:$S,19,FALSE)),"")</f>
        <v xml:space="preserve">Realizar la consulta de inhabilidades por delitos sexuales del talento humano del colegio, previa autorización del tratamiento de datos personales. </v>
      </c>
      <c r="T1154" s="70" t="str">
        <f>IFERROR(IF(VLOOKUP(A1154,[8]PRIORIZADOS!$A:$T,20,FALSE)="","",VLOOKUP(A1154,[8]PRIORIZADOS!$A:$T,20,FALSE)),"")</f>
        <v>Si</v>
      </c>
      <c r="U1154" s="11" t="str">
        <f>IFERROR(IF(VLOOKUP(A1154,[8]PRIORIZADOS!$A:$U,21,FALSE)="","",VLOOKUP(A1154,[8]PRIORIZADOS!$A:$U,21,FALSE)),"")</f>
        <v>Verificar las carpetas institucional con el respectivo soporte vigente. Se realiza visita de seguimiento el 1 de octubre y se establece envío de documentos para el día 5 de diciembre.</v>
      </c>
    </row>
    <row r="1155" spans="1:21" s="1" customFormat="1" ht="72">
      <c r="A1155" s="69">
        <f>IF([8]PRIORIZADOS!A134="","",[8]PRIORIZADOS!A134)</f>
        <v>1104</v>
      </c>
      <c r="B1155" s="70">
        <v>24</v>
      </c>
      <c r="C1155" s="11" t="str">
        <f>IFERROR(IF(VLOOKUP(A1155,[8]PRIORIZADOS!$A:$C,3,FALSE)="","",VLOOKUP(A1155,[8]PRIORIZADOS!$A:$C,3,FALSE)),"")</f>
        <v>KENNEDY</v>
      </c>
      <c r="D1155" s="11" t="str">
        <f>IFERROR(IF(VLOOKUP(A1155,[8]PRIORIZADOS!$A:$D,4,FALSE)="","",VLOOKUP(A1155,[8]PRIORIZADOS!$A:$D,4,FALSE)),"")</f>
        <v>PRIVADO</v>
      </c>
      <c r="E1155" s="11" t="str">
        <f>IFERROR(IF(VLOOKUP(A1155,[8]PRIORIZADOS!$A:$E,5,FALSE)="","",VLOOKUP(A1155,[8]PRIORIZADOS!$A:$E,5,FALSE)),"")</f>
        <v>EPBM</v>
      </c>
      <c r="F1155" s="11" t="str">
        <f>IFERROR(IF(VLOOKUP(A1155,[8]PRIORIZADOS!$A:$F,6,FALSE)="","",VLOOKUP(A1155,[8]PRIORIZADOS!$A:$F,6,FALSE)),"")</f>
        <v>COLEGIO_TALENTOS</v>
      </c>
      <c r="G1155" s="11" t="str">
        <f>IFERROR(IF(VLOOKUP(A1155,[8]PRIORIZADOS!$A:$G,7,FALSE)="","",VLOOKUP(A1155,[8]PRIORIZADOS!$A:$G,7,FALSE)),"")</f>
        <v>COLEGIO TALENTOS</v>
      </c>
      <c r="H1155" s="11" t="str">
        <f>IFERROR(IF(VLOOKUP(A1155,[8]PRIORIZADOS!$A:$H,8,FALSE)="","",VLOOKUP(A1155,[8]PRIORIZADOS!$A:$H,8,FALSE)),"")</f>
        <v>Autoevaluación Institucional y Pruebas SABER 11</v>
      </c>
      <c r="I1155" s="11" t="str">
        <f>IFERROR(IF(VLOOKUP(A1155,[8]PRIORIZADOS!$A:$I,9,FALSE)="","",VLOOKUP(A1155,[8]PRIORIZADOS!$A:$I,9,FALSE)),"")</f>
        <v>SEGUIMIENTO_Y_SUPERVISIÓN.</v>
      </c>
      <c r="J1155" s="11" t="str">
        <f>IFERROR(IF(VLOOKUP(A1155,[8]PRIORIZADOS!$A:$J,10,FALSE)="","",VLOOKUP(A1155,[8]PRIORIZADOS!$A:$J,10,FALSE)),"")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55" s="11" t="str">
        <f>IFERROR(IF(VLOOKUP(A1155,[8]PRIORIZADOS!$A:$K,11,FALSE)="","",VLOOKUP(A1155,[8]PRIORIZADOS!$A:$K,11,FALSE)),"")</f>
        <v>INGRID VIVIANA DÁVILA ÁVILA</v>
      </c>
      <c r="L1155" s="11" t="str">
        <f>IFERROR(IF(VLOOKUP(A1155,[8]PRIORIZADOS!$A:$L,12,FALSE)="","",VLOOKUP(A1155,[8]PRIORIZADOS!$A:$L,12,FALSE)),"")</f>
        <v>VIVANA PILAR BOHÓRQUEZ DÍAZ</v>
      </c>
      <c r="M1155" s="71">
        <f>IFERROR(IF(VLOOKUP(A1155,[8]PRIORIZADOS!$A:$M,13,FALSE)="","",VLOOKUP(A1155,[8]PRIORIZADOS!$A:$M,13,FALSE)),"")</f>
        <v>45804</v>
      </c>
      <c r="N1155" s="71">
        <f>IFERROR(IF(VLOOKUP(A1155,[8]PRIORIZADOS!$A:$N,14,FALSE)="","",VLOOKUP(A1155,[8]PRIORIZADOS!$A:$N,14,FALSE)),"")</f>
        <v>45804</v>
      </c>
      <c r="O1155" s="71">
        <f>IFERROR(IF(VLOOKUP(A1155,[8]PRIORIZADOS!$A:$O,15,FALSE)="","",VLOOKUP(A1155,[8]PRIORIZADOS!$A:$O,15,FALSE)),"")</f>
        <v>45804</v>
      </c>
      <c r="P1155" s="16" t="str">
        <f>IFERROR(IF(VLOOKUP(A1155,[8]PRIORIZADOS!$A:$P,16,FALSE)="","",VLOOKUP(A1155,[8]PRIORIZADOS!$A:$P,16,FALSE)),"")</f>
        <v>Visitas de evaluación con fines de mejoramiento</v>
      </c>
      <c r="Q1155" s="138" t="s">
        <v>218</v>
      </c>
      <c r="R1155" s="90" t="str">
        <f>IFERROR(IF(VLOOKUP(A1155,[8]PRIORIZADOS!$A:$R,18,FALSE)="","",VLOOKUP(A1155,[8]PRIORIZADOS!$A:$R,18,FALSE)),"")</f>
        <v xml:space="preserve">La institución educativa tiene estudiantes con discapacidad y no tiene soportes del Plan Individual de Ajustes Razonables -PIAR y el respectivo seguimiento. </v>
      </c>
      <c r="S1155" s="11" t="str">
        <f>IFERROR(IF(VLOOKUP(A1155,[8]PRIORIZADOS!$A:$S,19,FALSE)="","",VLOOKUP(A1155,[8]PRIORIZADOS!$A:$S,19,FALSE)),"")</f>
        <v xml:space="preserve">Elaborar los Planes Individuales de Ajustes Razonables -PIAR de cada uno de los estudiantes caracterizados y realizar el respectivo seguimiento. </v>
      </c>
      <c r="T1155" s="70" t="str">
        <f>IFERROR(IF(VLOOKUP(A1155,[8]PRIORIZADOS!$A:$T,20,FALSE)="","",VLOOKUP(A1155,[8]PRIORIZADOS!$A:$T,20,FALSE)),"")</f>
        <v>Si</v>
      </c>
      <c r="U1155" s="11" t="str">
        <f>IFERROR(IF(VLOOKUP(A1155,[8]PRIORIZADOS!$A:$U,21,FALSE)="","",VLOOKUP(A1155,[8]PRIORIZADOS!$A:$U,21,FALSE)),"")</f>
        <v>Verificar que el cumplimiento de los  PIAR. Se realiza visita de seguimiento el 1 de octubre y se establece envío de documentos para el día 5 de diciembre.</v>
      </c>
    </row>
    <row r="1156" spans="1:21" s="1" customFormat="1" ht="84">
      <c r="A1156" s="69">
        <f>IF([8]PRIORIZADOS!A135="","",[8]PRIORIZADOS!A135)</f>
        <v>1105</v>
      </c>
      <c r="B1156" s="70">
        <v>24</v>
      </c>
      <c r="C1156" s="11" t="str">
        <f>IFERROR(IF(VLOOKUP(A1156,[8]PRIORIZADOS!$A:$C,3,FALSE)="","",VLOOKUP(A1156,[8]PRIORIZADOS!$A:$C,3,FALSE)),"")</f>
        <v>KENNEDY</v>
      </c>
      <c r="D1156" s="11" t="str">
        <f>IFERROR(IF(VLOOKUP(A1156,[8]PRIORIZADOS!$A:$D,4,FALSE)="","",VLOOKUP(A1156,[8]PRIORIZADOS!$A:$D,4,FALSE)),"")</f>
        <v>PRIVADO</v>
      </c>
      <c r="E1156" s="11" t="str">
        <f>IFERROR(IF(VLOOKUP(A1156,[8]PRIORIZADOS!$A:$E,5,FALSE)="","",VLOOKUP(A1156,[8]PRIORIZADOS!$A:$E,5,FALSE)),"")</f>
        <v>EPBM</v>
      </c>
      <c r="F1156" s="11" t="str">
        <f>IFERROR(IF(VLOOKUP(A1156,[8]PRIORIZADOS!$A:$F,6,FALSE)="","",VLOOKUP(A1156,[8]PRIORIZADOS!$A:$F,6,FALSE)),"")</f>
        <v>COLEGIO_TALENTOS</v>
      </c>
      <c r="G1156" s="11" t="str">
        <f>IFERROR(IF(VLOOKUP(A1156,[8]PRIORIZADOS!$A:$G,7,FALSE)="","",VLOOKUP(A1156,[8]PRIORIZADOS!$A:$G,7,FALSE)),"")</f>
        <v>COLEGIO TALENTOS</v>
      </c>
      <c r="H1156" s="11" t="str">
        <f>IFERROR(IF(VLOOKUP(A1156,[8]PRIORIZADOS!$A:$H,8,FALSE)="","",VLOOKUP(A1156,[8]PRIORIZADOS!$A:$H,8,FALSE)),"")</f>
        <v>Autoevaluación Institucional y Pruebas SABER 11</v>
      </c>
      <c r="I1156" s="11" t="str">
        <f>IFERROR(IF(VLOOKUP(A1156,[8]PRIORIZADOS!$A:$I,9,FALSE)="","",VLOOKUP(A1156,[8]PRIORIZADOS!$A:$I,9,FALSE)),"")</f>
        <v>EVALUACIÓN_CON_FINES_DE_MEJORAMIENTO.</v>
      </c>
      <c r="J1156" s="11" t="str">
        <f>IFERROR(IF(VLOOKUP(A1156,[8]PRIORIZADOS!$A:$J,10,FALSE)="","",VLOOKUP(A1156,[8]PRIORIZADOS!$A:$J,10,FALSE)),"")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56" s="11" t="str">
        <f>IFERROR(IF(VLOOKUP(A1156,[8]PRIORIZADOS!$A:$K,11,FALSE)="","",VLOOKUP(A1156,[8]PRIORIZADOS!$A:$K,11,FALSE)),"")</f>
        <v>INGRID VIVIANA DÁVILA ÁVILA</v>
      </c>
      <c r="L1156" s="11" t="str">
        <f>IFERROR(IF(VLOOKUP(A1156,[8]PRIORIZADOS!$A:$L,12,FALSE)="","",VLOOKUP(A1156,[8]PRIORIZADOS!$A:$L,12,FALSE)),"")</f>
        <v>VIVANA PILAR BOHÓRQUEZ DÍAZ</v>
      </c>
      <c r="M1156" s="71">
        <f>IFERROR(IF(VLOOKUP(A1156,[8]PRIORIZADOS!$A:$M,13,FALSE)="","",VLOOKUP(A1156,[8]PRIORIZADOS!$A:$M,13,FALSE)),"")</f>
        <v>45804</v>
      </c>
      <c r="N1156" s="71">
        <f>IFERROR(IF(VLOOKUP(A1156,[8]PRIORIZADOS!$A:$N,14,FALSE)="","",VLOOKUP(A1156,[8]PRIORIZADOS!$A:$N,14,FALSE)),"")</f>
        <v>45804</v>
      </c>
      <c r="O1156" s="71">
        <f>IFERROR(IF(VLOOKUP(A1156,[8]PRIORIZADOS!$A:$O,15,FALSE)="","",VLOOKUP(A1156,[8]PRIORIZADOS!$A:$O,15,FALSE)),"")</f>
        <v>45804</v>
      </c>
      <c r="P1156" s="16" t="str">
        <f>IFERROR(IF(VLOOKUP(A1156,[8]PRIORIZADOS!$A:$P,16,FALSE)="","",VLOOKUP(A1156,[8]PRIORIZADOS!$A:$P,16,FALSE)),"")</f>
        <v>Visitas de evaluación con fines de mejoramiento</v>
      </c>
      <c r="Q1156" s="138" t="s">
        <v>218</v>
      </c>
      <c r="R1156" s="90" t="str">
        <f>IFERROR(IF(VLOOKUP(A1156,[8]PRIORIZADOS!$A:$R,18,FALSE)="","",VLOOKUP(A1156,[8]PRIORIZADOS!$A:$R,18,FALSE)),"")</f>
        <v>La IE no presenta evidencias de que el manual de convivencia haya sido elaborado y actualizado con la participación de toda la comunidad educativa, de igual manera no incluye los enfoques de derechos humanos, genero, diversidad y enfoque restaurativo.</v>
      </c>
      <c r="S1156" s="11" t="str">
        <f>IFERROR(IF(VLOOKUP(A1156,[8]PRIORIZADOS!$A:$S,19,FALSE)="","",VLOOKUP(A1156,[8]PRIORIZADOS!$A:$S,19,FALSE)),"")</f>
        <v>La IE debe actualizar su manual de convivencia con la participación de toda la comunidad educativa e incluir los enfoques de derechos humanos, genero, diversidad y enfoque restaurativo.</v>
      </c>
      <c r="T1156" s="70" t="str">
        <f>IFERROR(IF(VLOOKUP(A1156,[8]PRIORIZADOS!$A:$T,20,FALSE)="","",VLOOKUP(A1156,[8]PRIORIZADOS!$A:$T,20,FALSE)),"")</f>
        <v>Si</v>
      </c>
      <c r="U1156" s="11" t="str">
        <f>IFERROR(IF(VLOOKUP(A1156,[8]PRIORIZADOS!$A:$U,21,FALSE)="","",VLOOKUP(A1156,[8]PRIORIZADOS!$A:$U,21,FALSE)),"")</f>
        <v>Seguimiento al cumplimiento del plan de mejoramiento. Se realiza visita de seguimiento el 1 de octubre y se establece envío de documentos para el día 5 de diciembre.</v>
      </c>
    </row>
    <row r="1157" spans="1:21" s="1" customFormat="1" ht="48">
      <c r="A1157" s="69">
        <f>IF([8]PRIORIZADOS!A136="","",[8]PRIORIZADOS!A136)</f>
        <v>1107</v>
      </c>
      <c r="B1157" s="70">
        <v>24</v>
      </c>
      <c r="C1157" s="11" t="str">
        <f>IFERROR(IF(VLOOKUP(A1157,[8]PRIORIZADOS!$A:$C,3,FALSE)="","",VLOOKUP(A1157,[8]PRIORIZADOS!$A:$C,3,FALSE)),"")</f>
        <v>KENNEDY</v>
      </c>
      <c r="D1157" s="11" t="str">
        <f>IFERROR(IF(VLOOKUP(A1157,[8]PRIORIZADOS!$A:$D,4,FALSE)="","",VLOOKUP(A1157,[8]PRIORIZADOS!$A:$D,4,FALSE)),"")</f>
        <v>PRIVADO</v>
      </c>
      <c r="E1157" s="11" t="str">
        <f>IFERROR(IF(VLOOKUP(A1157,[8]PRIORIZADOS!$A:$E,5,FALSE)="","",VLOOKUP(A1157,[8]PRIORIZADOS!$A:$E,5,FALSE)),"")</f>
        <v>EPBM</v>
      </c>
      <c r="F1157" s="11" t="str">
        <f>IFERROR(IF(VLOOKUP(A1157,[8]PRIORIZADOS!$A:$F,6,FALSE)="","",VLOOKUP(A1157,[8]PRIORIZADOS!$A:$F,6,FALSE)),"")</f>
        <v>COLEGIO_TALENTOS</v>
      </c>
      <c r="G1157" s="11" t="str">
        <f>IFERROR(IF(VLOOKUP(A1157,[8]PRIORIZADOS!$A:$G,7,FALSE)="","",VLOOKUP(A1157,[8]PRIORIZADOS!$A:$G,7,FALSE)),"")</f>
        <v>COLEGIO TALENTOS</v>
      </c>
      <c r="H1157" s="11" t="str">
        <f>IFERROR(IF(VLOOKUP(A1157,[8]PRIORIZADOS!$A:$H,8,FALSE)="","",VLOOKUP(A1157,[8]PRIORIZADOS!$A:$H,8,FALSE)),"")</f>
        <v>Autoevaluación Institucional y Pruebas SABER 11</v>
      </c>
      <c r="I1157" s="11" t="str">
        <f>IFERROR(IF(VLOOKUP(A1157,[8]PRIORIZADOS!$A:$I,9,FALSE)="","",VLOOKUP(A1157,[8]PRIORIZADOS!$A:$I,9,FALSE)),"")</f>
        <v>EVALUACIÓN_CON_FINES_DE_MEJORAMIENTO.</v>
      </c>
      <c r="J1157" s="11" t="str">
        <f>IFERROR(IF(VLOOKUP(A1157,[8]PRIORIZADOS!$A:$J,10,FALSE)="","",VLOOKUP(A1157,[8]PRIORIZADOS!$A:$J,10,FALSE)),"")</f>
        <v>Verificar el funcionamiento del Gobierno Escolar e instancias de participación con base en la información sobre conformación reportada por la institución educativa.</v>
      </c>
      <c r="K1157" s="11" t="str">
        <f>IFERROR(IF(VLOOKUP(A1157,[8]PRIORIZADOS!$A:$K,11,FALSE)="","",VLOOKUP(A1157,[8]PRIORIZADOS!$A:$K,11,FALSE)),"")</f>
        <v>INGRID VIVIANA DÁVILA ÁVILA</v>
      </c>
      <c r="L1157" s="11" t="str">
        <f>IFERROR(IF(VLOOKUP(A1157,[8]PRIORIZADOS!$A:$L,12,FALSE)="","",VLOOKUP(A1157,[8]PRIORIZADOS!$A:$L,12,FALSE)),"")</f>
        <v>VIVANA PILAR BOHÓRQUEZ DÍAZ</v>
      </c>
      <c r="M1157" s="71">
        <f>IFERROR(IF(VLOOKUP(A1157,[8]PRIORIZADOS!$A:$M,13,FALSE)="","",VLOOKUP(A1157,[8]PRIORIZADOS!$A:$M,13,FALSE)),"")</f>
        <v>45804</v>
      </c>
      <c r="N1157" s="71">
        <f>IFERROR(IF(VLOOKUP(A1157,[8]PRIORIZADOS!$A:$N,14,FALSE)="","",VLOOKUP(A1157,[8]PRIORIZADOS!$A:$N,14,FALSE)),"")</f>
        <v>45804</v>
      </c>
      <c r="O1157" s="71">
        <f>IFERROR(IF(VLOOKUP(A1157,[8]PRIORIZADOS!$A:$O,15,FALSE)="","",VLOOKUP(A1157,[8]PRIORIZADOS!$A:$O,15,FALSE)),"")</f>
        <v>45804</v>
      </c>
      <c r="P1157" s="16" t="str">
        <f>IFERROR(IF(VLOOKUP(A1157,[8]PRIORIZADOS!$A:$P,16,FALSE)="","",VLOOKUP(A1157,[8]PRIORIZADOS!$A:$P,16,FALSE)),"")</f>
        <v>Visitas de evaluación con fines de mejoramiento</v>
      </c>
      <c r="Q1157" s="138" t="s">
        <v>218</v>
      </c>
      <c r="R1157" s="90" t="str">
        <f>IFERROR(IF(VLOOKUP(A1157,[8]PRIORIZADOS!$A:$R,18,FALSE)="","",VLOOKUP(A1157,[8]PRIORIZADOS!$A:$R,18,FALSE)),"")</f>
        <v xml:space="preserve">No hay reporte en el Sistema de Apoyo Escolar de las actas de la institución educativa  y las actas que se encuentran en la institución están incompletas </v>
      </c>
      <c r="S1157" s="11" t="str">
        <f>IFERROR(IF(VLOOKUP(A1157,[8]PRIORIZADOS!$A:$S,19,FALSE)="","",VLOOKUP(A1157,[8]PRIORIZADOS!$A:$S,19,FALSE)),"")</f>
        <v xml:space="preserve">Adelantar los ajustes requeridos en las actas de gobierno escolar y realizar el respectivo cargue en el SAE </v>
      </c>
      <c r="T1157" s="70" t="str">
        <f>IFERROR(IF(VLOOKUP(A1157,[8]PRIORIZADOS!$A:$T,20,FALSE)="","",VLOOKUP(A1157,[8]PRIORIZADOS!$A:$T,20,FALSE)),"")</f>
        <v>Si</v>
      </c>
      <c r="U1157" s="11" t="str">
        <f>IFERROR(IF(VLOOKUP(A1157,[8]PRIORIZADOS!$A:$U,21,FALSE)="","",VLOOKUP(A1157,[8]PRIORIZADOS!$A:$U,21,FALSE)),"")</f>
        <v>Seguimiento al cumplimiento del plan de mejoramiento. Se realiza visita de seguimiento el 1 de octubre y se establece envío de documentos para el día 5 de diciembre.</v>
      </c>
    </row>
    <row r="1158" spans="1:21" s="1" customFormat="1" ht="36">
      <c r="A1158" s="69">
        <f>IF([8]PRIORIZADOS!A137="","",[8]PRIORIZADOS!A137)</f>
        <v>1109</v>
      </c>
      <c r="B1158" s="70">
        <f>IFERROR(IF(VLOOKUP(A1158,[8]PRIORIZADOS!$A:$B,2,FALSE)="","",VLOOKUP(A1158,[8]PRIORIZADOS!$A:$B,2,FALSE)),"")</f>
        <v>25</v>
      </c>
      <c r="C1158" s="11" t="str">
        <f>IFERROR(IF(VLOOKUP(A1158,[8]PRIORIZADOS!$A:$C,3,FALSE)="","",VLOOKUP(A1158,[8]PRIORIZADOS!$A:$C,3,FALSE)),"")</f>
        <v>KENNEDY</v>
      </c>
      <c r="D1158" s="11" t="str">
        <f>IFERROR(IF(VLOOKUP(A1158,[8]PRIORIZADOS!$A:$D,4,FALSE)="","",VLOOKUP(A1158,[8]PRIORIZADOS!$A:$D,4,FALSE)),"")</f>
        <v>PRIVADO</v>
      </c>
      <c r="E1158" s="11" t="str">
        <f>IFERROR(IF(VLOOKUP(A1158,[8]PRIORIZADOS!$A:$E,5,FALSE)="","",VLOOKUP(A1158,[8]PRIORIZADOS!$A:$E,5,FALSE)),"")</f>
        <v>Educación de Jóvenes y Adultos</v>
      </c>
      <c r="F1158" s="11" t="str">
        <f>IFERROR(IF(VLOOKUP(A1158,[8]PRIORIZADOS!$A:$F,6,FALSE)="","",VLOOKUP(A1158,[8]PRIORIZADOS!$A:$F,6,FALSE)),"")</f>
        <v>COLEGIO_TECNISISTEMAS</v>
      </c>
      <c r="G1158" s="11" t="str">
        <f>IFERROR(IF(VLOOKUP(A1158,[8]PRIORIZADOS!$A:$G,7,FALSE)="","",VLOOKUP(A1158,[8]PRIORIZADOS!$A:$G,7,FALSE)),"")</f>
        <v>COLEGIO TECNISISTEMAS</v>
      </c>
      <c r="H1158" s="11" t="str">
        <f>IFERROR(IF(VLOOKUP(A1158,[8]PRIORIZADOS!$A:$H,8,FALSE)="","",VLOOKUP(A1158,[8]PRIORIZADOS!$A:$H,8,FALSE)),"")</f>
        <v>Autoevaluación Institucional y Pruebas SABER 11</v>
      </c>
      <c r="I1158" s="11" t="str">
        <f>IFERROR(IF(VLOOKUP(A1158,[8]PRIORIZADOS!$A:$I,9,FALSE)="","",VLOOKUP(A1158,[8]PRIORIZADOS!$A:$I,9,FALSE)),"")</f>
        <v>SEGUIMIENTO_Y_SUPERVISIÓN.</v>
      </c>
      <c r="J1158" s="11" t="str">
        <f>IFERROR(IF(VLOOKUP(A1158,[8]PRIORIZADOS!$A:$J,10,FALSE)="","",VLOOKUP(A1158,[8]PRIORIZADOS!$A:$J,10,FALSE)),"")</f>
        <v>Realizar visitas para verificar la información registrada sobre la autoevaluación institucional en el aplicativo EVI, a los establecimientos de educación formal no oficial.</v>
      </c>
      <c r="K1158" s="11" t="str">
        <f>IFERROR(IF(VLOOKUP(A1158,[8]PRIORIZADOS!$A:$K,11,FALSE)="","",VLOOKUP(A1158,[8]PRIORIZADOS!$A:$K,11,FALSE)),"")</f>
        <v>ADRIANA VENEGAS VALERA</v>
      </c>
      <c r="L1158" s="11" t="str">
        <f>IFERROR(IF(VLOOKUP(A1158,[8]PRIORIZADOS!$A:$L,12,FALSE)="","",VLOOKUP(A1158,[8]PRIORIZADOS!$A:$L,12,FALSE)),"")</f>
        <v xml:space="preserve">DIANA ZULAY HUERTAS ORTÍZ </v>
      </c>
      <c r="M1158" s="71">
        <f>IFERROR(IF(VLOOKUP(A1158,[8]PRIORIZADOS!$A:$M,13,FALSE)="","",VLOOKUP(A1158,[8]PRIORIZADOS!$A:$M,13,FALSE)),"")</f>
        <v>45805</v>
      </c>
      <c r="N1158" s="71">
        <f>IFERROR(IF(VLOOKUP(A1158,[8]PRIORIZADOS!$A:$N,14,FALSE)="","",VLOOKUP(A1158,[8]PRIORIZADOS!$A:$N,14,FALSE)),"")</f>
        <v>45805</v>
      </c>
      <c r="O1158" s="71">
        <f>IFERROR(IF(VLOOKUP(A1158,[8]PRIORIZADOS!$A:$O,15,FALSE)="","",VLOOKUP(A1158,[8]PRIORIZADOS!$A:$O,15,FALSE)),"")</f>
        <v>45805</v>
      </c>
      <c r="P1158" s="11" t="str">
        <f>IFERROR(IF(VLOOKUP(A1158,[8]PRIORIZADOS!$A:$P,16,FALSE)="","",VLOOKUP(A1158,[8]PRIORIZADOS!$A:$P,16,FALSE)),"")</f>
        <v>Visitas de evaluación con fines de mejoramiento</v>
      </c>
      <c r="Q1158" s="136" t="s">
        <v>219</v>
      </c>
      <c r="R1158" s="11" t="str">
        <f>IFERROR(IF(VLOOKUP(A1158,[8]PRIORIZADOS!$A:$R,18,FALSE)="","",VLOOKUP(A1158,[8]PRIORIZADOS!$A:$R,18,FALSE)),"")</f>
        <v xml:space="preserve">La EE, registra información que da cuenta de la realidad institucional. </v>
      </c>
      <c r="S1158" s="11" t="str">
        <f>IFERROR(IF(VLOOKUP(A1158,[8]PRIORIZADOS!$A:$S,19,FALSE)="","",VLOOKUP(A1158,[8]PRIORIZADOS!$A:$S,19,FALSE)),"")</f>
        <v>Seguir registrando la información que da cuenta de la realidad institucional.</v>
      </c>
      <c r="T1158" s="70" t="str">
        <f>IFERROR(IF(VLOOKUP(A1158,[8]PRIORIZADOS!$A:$T,20,FALSE)="","",VLOOKUP(A1158,[8]PRIORIZADOS!$A:$T,20,FALSE)),"")</f>
        <v>No</v>
      </c>
      <c r="U1158" s="11" t="str">
        <f>IFERROR(IF(VLOOKUP(A1158,[8]PRIORIZADOS!$A:$U,21,FALSE)="","",VLOOKUP(A1158,[8]PRIORIZADOS!$A:$U,21,FALSE)),"")</f>
        <v>Verificar en el aplicativo EVI, la información registrada.</v>
      </c>
    </row>
    <row r="1159" spans="1:21" s="1" customFormat="1" ht="60">
      <c r="A1159" s="69">
        <f>IF([8]PRIORIZADOS!A138="","",[8]PRIORIZADOS!A138)</f>
        <v>1110</v>
      </c>
      <c r="B1159" s="70">
        <v>25</v>
      </c>
      <c r="C1159" s="11" t="str">
        <f>IFERROR(IF(VLOOKUP(A1159,[8]PRIORIZADOS!$A:$C,3,FALSE)="","",VLOOKUP(A1159,[8]PRIORIZADOS!$A:$C,3,FALSE)),"")</f>
        <v>KENNEDY</v>
      </c>
      <c r="D1159" s="11" t="str">
        <f>IFERROR(IF(VLOOKUP(A1159,[8]PRIORIZADOS!$A:$D,4,FALSE)="","",VLOOKUP(A1159,[8]PRIORIZADOS!$A:$D,4,FALSE)),"")</f>
        <v>PRIVADO</v>
      </c>
      <c r="E1159" s="11" t="str">
        <f>IFERROR(IF(VLOOKUP(A1159,[8]PRIORIZADOS!$A:$E,5,FALSE)="","",VLOOKUP(A1159,[8]PRIORIZADOS!$A:$E,5,FALSE)),"")</f>
        <v>Educación de Jóvenes y Adultos</v>
      </c>
      <c r="F1159" s="11" t="str">
        <f>IFERROR(IF(VLOOKUP(A1159,[8]PRIORIZADOS!$A:$F,6,FALSE)="","",VLOOKUP(A1159,[8]PRIORIZADOS!$A:$F,6,FALSE)),"")</f>
        <v>COLEGIO_TECNISISTEMAS</v>
      </c>
      <c r="G1159" s="11" t="str">
        <f>IFERROR(IF(VLOOKUP(A1159,[8]PRIORIZADOS!$A:$G,7,FALSE)="","",VLOOKUP(A1159,[8]PRIORIZADOS!$A:$G,7,FALSE)),"")</f>
        <v>COLEGIO TECNISISTEMAS</v>
      </c>
      <c r="H1159" s="11" t="str">
        <f>IFERROR(IF(VLOOKUP(A1159,[8]PRIORIZADOS!$A:$H,8,FALSE)="","",VLOOKUP(A1159,[8]PRIORIZADOS!$A:$H,8,FALSE)),"")</f>
        <v>Autoevaluación Institucional y Pruebas SABER 11</v>
      </c>
      <c r="I1159" s="11" t="str">
        <f>IFERROR(IF(VLOOKUP(A1159,[8]PRIORIZADOS!$A:$I,9,FALSE)="","",VLOOKUP(A1159,[8]PRIORIZADOS!$A:$I,9,FALSE)),"")</f>
        <v>SEGUIMIENTO_Y_SUPERVISIÓN.</v>
      </c>
      <c r="J1159" s="11" t="str">
        <f>IFERROR(IF(VLOOKUP(A1159,[8]PRIORIZADOS!$A:$J,10,FALSE)="","",VLOOKUP(A1159,[8]PRIORIZADOS!$A:$J,10,FALSE)),"")</f>
        <v>Proponer estrategias en la formulación, verificar su elaboración y realizar seguimiento semestral al desarrollo de  las acciones establecidas en los planes de mejoramiento por pruebas SABER 11 de los establecimientos de educación formal.</v>
      </c>
      <c r="K1159" s="11" t="str">
        <f>IFERROR(IF(VLOOKUP(A1159,[8]PRIORIZADOS!$A:$K,11,FALSE)="","",VLOOKUP(A1159,[8]PRIORIZADOS!$A:$K,11,FALSE)),"")</f>
        <v>ADRIANA VENEGAS VALERA</v>
      </c>
      <c r="L1159" s="11" t="str">
        <f>IFERROR(IF(VLOOKUP(A1159,[8]PRIORIZADOS!$A:$L,12,FALSE)="","",VLOOKUP(A1159,[8]PRIORIZADOS!$A:$L,12,FALSE)),"")</f>
        <v xml:space="preserve">DIANA ZULAY HUERTAS ORTÍZ </v>
      </c>
      <c r="M1159" s="71">
        <f>IFERROR(IF(VLOOKUP(A1159,[8]PRIORIZADOS!$A:$M,13,FALSE)="","",VLOOKUP(A1159,[8]PRIORIZADOS!$A:$M,13,FALSE)),"")</f>
        <v>45805</v>
      </c>
      <c r="N1159" s="71">
        <f>IFERROR(IF(VLOOKUP(A1159,[8]PRIORIZADOS!$A:$N,14,FALSE)="","",VLOOKUP(A1159,[8]PRIORIZADOS!$A:$N,14,FALSE)),"")</f>
        <v>45805</v>
      </c>
      <c r="O1159" s="71">
        <f>IFERROR(IF(VLOOKUP(A1159,[8]PRIORIZADOS!$A:$O,15,FALSE)="","",VLOOKUP(A1159,[8]PRIORIZADOS!$A:$O,15,FALSE)),"")</f>
        <v>45805</v>
      </c>
      <c r="P1159" s="11" t="str">
        <f>IFERROR(IF(VLOOKUP(A1159,[8]PRIORIZADOS!$A:$P,16,FALSE)="","",VLOOKUP(A1159,[8]PRIORIZADOS!$A:$P,16,FALSE)),"")</f>
        <v>Visitas de evaluación con fines de mejoramiento</v>
      </c>
      <c r="Q1159" s="107" t="s">
        <v>219</v>
      </c>
      <c r="R1159" s="11" t="str">
        <f>IFERROR(IF(VLOOKUP(A1159,[8]PRIORIZADOS!$A:$R,18,FALSE)="","",VLOOKUP(A1159,[8]PRIORIZADOS!$A:$R,18,FALSE)),"")</f>
        <v>EE desarrolla estrategias para analizar y realizar seguimiento a los resultados de prueba SABER 11.</v>
      </c>
      <c r="S1159" s="11" t="str">
        <f>IFERROR(IF(VLOOKUP(A1159,[8]PRIORIZADOS!$A:$S,19,FALSE)="","",VLOOKUP(A1159,[8]PRIORIZADOS!$A:$S,19,FALSE)),"")</f>
        <v xml:space="preserve">Continuar desarrollando estrategias en pro del mejoramiento de los resultados de las pruebas SABER. </v>
      </c>
      <c r="T1159" s="70" t="str">
        <f>IFERROR(IF(VLOOKUP(A1159,[8]PRIORIZADOS!$A:$T,20,FALSE)="","",VLOOKUP(A1159,[8]PRIORIZADOS!$A:$T,20,FALSE)),"")</f>
        <v>No</v>
      </c>
      <c r="U1159" s="11" t="str">
        <f>IFERROR(IF(VLOOKUP(A1159,[8]PRIORIZADOS!$A:$U,21,FALSE)="","",VLOOKUP(A1159,[8]PRIORIZADOS!$A:$U,21,FALSE)),"")</f>
        <v>ELIV, verificará el desarrollo de las estrategias planteadas por EE y el análisis de sus resultados.</v>
      </c>
    </row>
    <row r="1160" spans="1:21" s="1" customFormat="1" ht="48">
      <c r="A1160" s="69">
        <f>IF([8]PRIORIZADOS!A139="","",[8]PRIORIZADOS!A139)</f>
        <v>1111</v>
      </c>
      <c r="B1160" s="70">
        <v>25</v>
      </c>
      <c r="C1160" s="11" t="str">
        <f>IFERROR(IF(VLOOKUP(A1160,[8]PRIORIZADOS!$A:$C,3,FALSE)="","",VLOOKUP(A1160,[8]PRIORIZADOS!$A:$C,3,FALSE)),"")</f>
        <v>KENNEDY</v>
      </c>
      <c r="D1160" s="11" t="str">
        <f>IFERROR(IF(VLOOKUP(A1160,[8]PRIORIZADOS!$A:$D,4,FALSE)="","",VLOOKUP(A1160,[8]PRIORIZADOS!$A:$D,4,FALSE)),"")</f>
        <v>PRIVADO</v>
      </c>
      <c r="E1160" s="11" t="str">
        <f>IFERROR(IF(VLOOKUP(A1160,[8]PRIORIZADOS!$A:$E,5,FALSE)="","",VLOOKUP(A1160,[8]PRIORIZADOS!$A:$E,5,FALSE)),"")</f>
        <v>Educación de Jóvenes y Adultos</v>
      </c>
      <c r="F1160" s="11" t="str">
        <f>IFERROR(IF(VLOOKUP(A1160,[8]PRIORIZADOS!$A:$F,6,FALSE)="","",VLOOKUP(A1160,[8]PRIORIZADOS!$A:$F,6,FALSE)),"")</f>
        <v>COLEGIO_TECNISISTEMAS</v>
      </c>
      <c r="G1160" s="11" t="str">
        <f>IFERROR(IF(VLOOKUP(A1160,[8]PRIORIZADOS!$A:$G,7,FALSE)="","",VLOOKUP(A1160,[8]PRIORIZADOS!$A:$G,7,FALSE)),"")</f>
        <v>COLEGIO TECNISISTEMAS</v>
      </c>
      <c r="H1160" s="11" t="str">
        <f>IFERROR(IF(VLOOKUP(A1160,[8]PRIORIZADOS!$A:$H,8,FALSE)="","",VLOOKUP(A1160,[8]PRIORIZADOS!$A:$H,8,FALSE)),"")</f>
        <v>Autoevaluación Institucional y Pruebas SABER 11</v>
      </c>
      <c r="I1160" s="11" t="str">
        <f>IFERROR(IF(VLOOKUP(A1160,[8]PRIORIZADOS!$A:$I,9,FALSE)="","",VLOOKUP(A1160,[8]PRIORIZADOS!$A:$I,9,FALSE)),"")</f>
        <v>SEGUIMIENTO_Y_SUPERVISIÓN.</v>
      </c>
      <c r="J1160" s="11" t="str">
        <f>IFERROR(IF(VLOOKUP(A1160,[8]PRIORIZADOS!$A:$J,10,FALSE)="","",VLOOKUP(A1160,[8]PRIORIZADOS!$A:$J,10,FALSE)),"")</f>
        <v xml:space="preserve">Verificar la implementación por parte de los colegios, de acciones realizadas para la prevención y atención de las situaciones de convivencia en el entorno escolar, según lo establecido en la Directiva 01 de 2022 del MEN. </v>
      </c>
      <c r="K1160" s="11" t="str">
        <f>IFERROR(IF(VLOOKUP(A1160,[8]PRIORIZADOS!$A:$K,11,FALSE)="","",VLOOKUP(A1160,[8]PRIORIZADOS!$A:$K,11,FALSE)),"")</f>
        <v>ADRIANA VENEGAS VALERA</v>
      </c>
      <c r="L1160" s="11" t="str">
        <f>IFERROR(IF(VLOOKUP(A1160,[8]PRIORIZADOS!$A:$L,12,FALSE)="","",VLOOKUP(A1160,[8]PRIORIZADOS!$A:$L,12,FALSE)),"")</f>
        <v xml:space="preserve">DIANA ZULAY HUERTAS ORTÍZ </v>
      </c>
      <c r="M1160" s="71">
        <f>IFERROR(IF(VLOOKUP(A1160,[8]PRIORIZADOS!$A:$M,13,FALSE)="","",VLOOKUP(A1160,[8]PRIORIZADOS!$A:$M,13,FALSE)),"")</f>
        <v>45805</v>
      </c>
      <c r="N1160" s="71">
        <f>IFERROR(IF(VLOOKUP(A1160,[8]PRIORIZADOS!$A:$N,14,FALSE)="","",VLOOKUP(A1160,[8]PRIORIZADOS!$A:$N,14,FALSE)),"")</f>
        <v>45805</v>
      </c>
      <c r="O1160" s="71">
        <f>IFERROR(IF(VLOOKUP(A1160,[8]PRIORIZADOS!$A:$O,15,FALSE)="","",VLOOKUP(A1160,[8]PRIORIZADOS!$A:$O,15,FALSE)),"")</f>
        <v>45805</v>
      </c>
      <c r="P1160" s="11" t="str">
        <f>IFERROR(IF(VLOOKUP(A1160,[8]PRIORIZADOS!$A:$P,16,FALSE)="","",VLOOKUP(A1160,[8]PRIORIZADOS!$A:$P,16,FALSE)),"")</f>
        <v>Visitas de evaluación con fines de mejoramiento</v>
      </c>
      <c r="Q1160" s="125" t="s">
        <v>219</v>
      </c>
      <c r="R1160" s="11" t="str">
        <f>IFERROR(IF(VLOOKUP(A1160,[8]PRIORIZADOS!$A:$R,18,FALSE)="","",VLOOKUP(A1160,[8]PRIORIZADOS!$A:$R,18,FALSE)),"")</f>
        <v>La EE no cuenta con evidencia de las acciones de prevención, promoción y atención de las situaciones de convivencia en el entorno escolar.</v>
      </c>
      <c r="S1160" s="11" t="str">
        <f>IFERROR(IF(VLOOKUP(A1160,[8]PRIORIZADOS!$A:$S,19,FALSE)="","",VLOOKUP(A1160,[8]PRIORIZADOS!$A:$S,19,FALSE)),"")</f>
        <v>Presentar informe de las acciones de prevención, promoción y atención de las situaciones de convivencia en el entorno escolar más comunes.</v>
      </c>
      <c r="T1160" s="70" t="str">
        <f>IFERROR(IF(VLOOKUP(A1160,[8]PRIORIZADOS!$A:$T,20,FALSE)="","",VLOOKUP(A1160,[8]PRIORIZADOS!$A:$T,20,FALSE)),"")</f>
        <v>Si</v>
      </c>
      <c r="U1160" s="11" t="str">
        <f>IFERROR(IF(VLOOKUP(A1160,[8]PRIORIZADOS!$A:$U,21,FALSE)="","",VLOOKUP(A1160,[8]PRIORIZADOS!$A:$U,21,FALSE)),"")</f>
        <v>ELIV, revisará el informe que contempla las acciones realizadas. Se realiza mesa de seguimiento el 20 de agosto de 2025.</v>
      </c>
    </row>
    <row r="1161" spans="1:21" s="1" customFormat="1" ht="72">
      <c r="A1161" s="69">
        <f>IF([8]PRIORIZADOS!A140="","",[8]PRIORIZADOS!A140)</f>
        <v>1112</v>
      </c>
      <c r="B1161" s="70">
        <v>25</v>
      </c>
      <c r="C1161" s="11" t="str">
        <f>IFERROR(IF(VLOOKUP(A1161,[8]PRIORIZADOS!$A:$C,3,FALSE)="","",VLOOKUP(A1161,[8]PRIORIZADOS!$A:$C,3,FALSE)),"")</f>
        <v>KENNEDY</v>
      </c>
      <c r="D1161" s="11" t="str">
        <f>IFERROR(IF(VLOOKUP(A1161,[8]PRIORIZADOS!$A:$D,4,FALSE)="","",VLOOKUP(A1161,[8]PRIORIZADOS!$A:$D,4,FALSE)),"")</f>
        <v>PRIVADO</v>
      </c>
      <c r="E1161" s="11" t="str">
        <f>IFERROR(IF(VLOOKUP(A1161,[8]PRIORIZADOS!$A:$E,5,FALSE)="","",VLOOKUP(A1161,[8]PRIORIZADOS!$A:$E,5,FALSE)),"")</f>
        <v>Educación de Jóvenes y Adultos</v>
      </c>
      <c r="F1161" s="11" t="str">
        <f>IFERROR(IF(VLOOKUP(A1161,[8]PRIORIZADOS!$A:$F,6,FALSE)="","",VLOOKUP(A1161,[8]PRIORIZADOS!$A:$F,6,FALSE)),"")</f>
        <v>COLEGIO_TECNISISTEMAS</v>
      </c>
      <c r="G1161" s="11" t="str">
        <f>IFERROR(IF(VLOOKUP(A1161,[8]PRIORIZADOS!$A:$G,7,FALSE)="","",VLOOKUP(A1161,[8]PRIORIZADOS!$A:$G,7,FALSE)),"")</f>
        <v>COLEGIO TECNISISTEMAS</v>
      </c>
      <c r="H1161" s="11" t="str">
        <f>IFERROR(IF(VLOOKUP(A1161,[8]PRIORIZADOS!$A:$H,8,FALSE)="","",VLOOKUP(A1161,[8]PRIORIZADOS!$A:$H,8,FALSE)),"")</f>
        <v>Autoevaluación Institucional y Pruebas SABER 11</v>
      </c>
      <c r="I1161" s="11" t="str">
        <f>IFERROR(IF(VLOOKUP(A1161,[8]PRIORIZADOS!$A:$I,9,FALSE)="","",VLOOKUP(A1161,[8]PRIORIZADOS!$A:$I,9,FALSE)),"")</f>
        <v>SEGUIMIENTO_Y_SUPERVISIÓN.</v>
      </c>
      <c r="J1161" s="11" t="str">
        <f>IFERROR(IF(VLOOKUP(A1161,[8]PRIORIZADOS!$A:$J,10,FALSE)="","",VLOOKUP(A1161,[8]PRIORIZADOS!$A:$J,10,FALSE)),"")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61" s="11" t="str">
        <f>IFERROR(IF(VLOOKUP(A1161,[8]PRIORIZADOS!$A:$K,11,FALSE)="","",VLOOKUP(A1161,[8]PRIORIZADOS!$A:$K,11,FALSE)),"")</f>
        <v>ADRIANA VENEGAS VALERA</v>
      </c>
      <c r="L1161" s="11" t="str">
        <f>IFERROR(IF(VLOOKUP(A1161,[8]PRIORIZADOS!$A:$L,12,FALSE)="","",VLOOKUP(A1161,[8]PRIORIZADOS!$A:$L,12,FALSE)),"")</f>
        <v xml:space="preserve">DIANA ZULAY HUERTAS ORTÍZ </v>
      </c>
      <c r="M1161" s="71">
        <f>IFERROR(IF(VLOOKUP(A1161,[8]PRIORIZADOS!$A:$M,13,FALSE)="","",VLOOKUP(A1161,[8]PRIORIZADOS!$A:$M,13,FALSE)),"")</f>
        <v>45805</v>
      </c>
      <c r="N1161" s="71">
        <f>IFERROR(IF(VLOOKUP(A1161,[8]PRIORIZADOS!$A:$N,14,FALSE)="","",VLOOKUP(A1161,[8]PRIORIZADOS!$A:$N,14,FALSE)),"")</f>
        <v>45805</v>
      </c>
      <c r="O1161" s="71">
        <f>IFERROR(IF(VLOOKUP(A1161,[8]PRIORIZADOS!$A:$O,15,FALSE)="","",VLOOKUP(A1161,[8]PRIORIZADOS!$A:$O,15,FALSE)),"")</f>
        <v>45805</v>
      </c>
      <c r="P1161" s="11" t="str">
        <f>IFERROR(IF(VLOOKUP(A1161,[8]PRIORIZADOS!$A:$P,16,FALSE)="","",VLOOKUP(A1161,[8]PRIORIZADOS!$A:$P,16,FALSE)),"")</f>
        <v>Visitas de evaluación con fines de mejoramiento</v>
      </c>
      <c r="Q1161" s="107" t="s">
        <v>219</v>
      </c>
      <c r="R1161" s="11" t="str">
        <f>IFERROR(IF(VLOOKUP(A1161,[8]PRIORIZADOS!$A:$R,18,FALSE)="","",VLOOKUP(A1161,[8]PRIORIZADOS!$A:$R,18,FALSE)),"")</f>
        <v>Se evidenció el desarrollo de  PIAR, para  estudiantes, con los soportes necesarios.</v>
      </c>
      <c r="S1161" s="11" t="str">
        <f>IFERROR(IF(VLOOKUP(A1161,[8]PRIORIZADOS!$A:$S,19,FALSE)="","",VLOOKUP(A1161,[8]PRIORIZADOS!$A:$S,19,FALSE)),"")</f>
        <v>Continuar desarrollando e implementando PIAR, para estudiantes que lo necesiten de acuerdo a la caracterización e identificación institucional.</v>
      </c>
      <c r="T1161" s="70" t="str">
        <f>IFERROR(IF(VLOOKUP(A1161,[8]PRIORIZADOS!$A:$T,20,FALSE)="","",VLOOKUP(A1161,[8]PRIORIZADOS!$A:$T,20,FALSE)),"")</f>
        <v>No</v>
      </c>
      <c r="U1161" s="11" t="str">
        <f>IFERROR(IF(VLOOKUP(A1161,[8]PRIORIZADOS!$A:$U,21,FALSE)="","",VLOOKUP(A1161,[8]PRIORIZADOS!$A:$U,21,FALSE)),"")</f>
        <v xml:space="preserve">Verificar el desarrollo y la implementación de PIAR, de acuerdo a la necesidad. </v>
      </c>
    </row>
    <row r="1162" spans="1:21" s="1" customFormat="1" ht="84">
      <c r="A1162" s="69">
        <f>IF([8]PRIORIZADOS!A141="","",[8]PRIORIZADOS!A141)</f>
        <v>1113</v>
      </c>
      <c r="B1162" s="70">
        <v>25</v>
      </c>
      <c r="C1162" s="11" t="str">
        <f>IFERROR(IF(VLOOKUP(A1162,[8]PRIORIZADOS!$A:$C,3,FALSE)="","",VLOOKUP(A1162,[8]PRIORIZADOS!$A:$C,3,FALSE)),"")</f>
        <v>KENNEDY</v>
      </c>
      <c r="D1162" s="11" t="str">
        <f>IFERROR(IF(VLOOKUP(A1162,[8]PRIORIZADOS!$A:$D,4,FALSE)="","",VLOOKUP(A1162,[8]PRIORIZADOS!$A:$D,4,FALSE)),"")</f>
        <v>PRIVADO</v>
      </c>
      <c r="E1162" s="11" t="str">
        <f>IFERROR(IF(VLOOKUP(A1162,[8]PRIORIZADOS!$A:$E,5,FALSE)="","",VLOOKUP(A1162,[8]PRIORIZADOS!$A:$E,5,FALSE)),"")</f>
        <v>Educación de Jóvenes y Adultos</v>
      </c>
      <c r="F1162" s="11" t="str">
        <f>IFERROR(IF(VLOOKUP(A1162,[8]PRIORIZADOS!$A:$F,6,FALSE)="","",VLOOKUP(A1162,[8]PRIORIZADOS!$A:$F,6,FALSE)),"")</f>
        <v>COLEGIO_TECNISISTEMAS</v>
      </c>
      <c r="G1162" s="11" t="str">
        <f>IFERROR(IF(VLOOKUP(A1162,[8]PRIORIZADOS!$A:$G,7,FALSE)="","",VLOOKUP(A1162,[8]PRIORIZADOS!$A:$G,7,FALSE)),"")</f>
        <v>COLEGIO TECNISISTEMAS</v>
      </c>
      <c r="H1162" s="11" t="str">
        <f>IFERROR(IF(VLOOKUP(A1162,[8]PRIORIZADOS!$A:$H,8,FALSE)="","",VLOOKUP(A1162,[8]PRIORIZADOS!$A:$H,8,FALSE)),"")</f>
        <v>Autoevaluación Institucional y Pruebas SABER 11</v>
      </c>
      <c r="I1162" s="11" t="str">
        <f>IFERROR(IF(VLOOKUP(A1162,[8]PRIORIZADOS!$A:$I,9,FALSE)="","",VLOOKUP(A1162,[8]PRIORIZADOS!$A:$I,9,FALSE)),"")</f>
        <v>EVALUACIÓN_CON_FINES_DE_MEJORAMIENTO.</v>
      </c>
      <c r="J1162" s="11" t="str">
        <f>IFERROR(IF(VLOOKUP(A1162,[8]PRIORIZADOS!$A:$J,10,FALSE)="","",VLOOKUP(A1162,[8]PRIORIZADOS!$A:$J,10,FALSE)),"")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62" s="11" t="str">
        <f>IFERROR(IF(VLOOKUP(A1162,[8]PRIORIZADOS!$A:$K,11,FALSE)="","",VLOOKUP(A1162,[8]PRIORIZADOS!$A:$K,11,FALSE)),"")</f>
        <v>ADRIANA VENEGAS VALERA</v>
      </c>
      <c r="L1162" s="11" t="str">
        <f>IFERROR(IF(VLOOKUP(A1162,[8]PRIORIZADOS!$A:$L,12,FALSE)="","",VLOOKUP(A1162,[8]PRIORIZADOS!$A:$L,12,FALSE)),"")</f>
        <v xml:space="preserve">DIANA ZULAY HUERTAS ORTÍZ </v>
      </c>
      <c r="M1162" s="71">
        <f>IFERROR(IF(VLOOKUP(A1162,[8]PRIORIZADOS!$A:$M,13,FALSE)="","",VLOOKUP(A1162,[8]PRIORIZADOS!$A:$M,13,FALSE)),"")</f>
        <v>45805</v>
      </c>
      <c r="N1162" s="71">
        <f>IFERROR(IF(VLOOKUP(A1162,[8]PRIORIZADOS!$A:$N,14,FALSE)="","",VLOOKUP(A1162,[8]PRIORIZADOS!$A:$N,14,FALSE)),"")</f>
        <v>45805</v>
      </c>
      <c r="O1162" s="71">
        <f>IFERROR(IF(VLOOKUP(A1162,[8]PRIORIZADOS!$A:$O,15,FALSE)="","",VLOOKUP(A1162,[8]PRIORIZADOS!$A:$O,15,FALSE)),"")</f>
        <v>45805</v>
      </c>
      <c r="P1162" s="11" t="str">
        <f>IFERROR(IF(VLOOKUP(A1162,[8]PRIORIZADOS!$A:$P,16,FALSE)="","",VLOOKUP(A1162,[8]PRIORIZADOS!$A:$P,16,FALSE)),"")</f>
        <v>Visitas de evaluación con fines de mejoramiento</v>
      </c>
      <c r="Q1162" s="107" t="s">
        <v>219</v>
      </c>
      <c r="R1162" s="11" t="str">
        <f>IFERROR(IF(VLOOKUP(A1162,[8]PRIORIZADOS!$A:$R,18,FALSE)="","",VLOOKUP(A1162,[8]PRIORIZADOS!$A:$R,18,FALSE)),"")</f>
        <v>La EE debe aclarar en el manual de convivencia los protocolos de atención de situaciones y faltas.</v>
      </c>
      <c r="S1162" s="11" t="str">
        <f>IFERROR(IF(VLOOKUP(A1162,[8]PRIORIZADOS!$A:$S,19,FALSE)="","",VLOOKUP(A1162,[8]PRIORIZADOS!$A:$S,19,FALSE)),"")</f>
        <v>Actualizar en el manual de convivencia los protocolos de atención para las situaciones y faltas.</v>
      </c>
      <c r="T1162" s="70" t="str">
        <f>IFERROR(IF(VLOOKUP(A1162,[8]PRIORIZADOS!$A:$T,20,FALSE)="","",VLOOKUP(A1162,[8]PRIORIZADOS!$A:$T,20,FALSE)),"")</f>
        <v>Si</v>
      </c>
      <c r="U1162" s="11" t="str">
        <f>IFERROR(IF(VLOOKUP(A1162,[8]PRIORIZADOS!$A:$U,21,FALSE)="","",VLOOKUP(A1162,[8]PRIORIZADOS!$A:$U,21,FALSE)),"")</f>
        <v>ELIV, revisará la aclaración del manual de convivencia. Se realiza mesa de seguimiento el 20 de agosto de 2025.</v>
      </c>
    </row>
    <row r="1163" spans="1:21" s="1" customFormat="1" ht="48">
      <c r="A1163" s="69">
        <f>IF([8]PRIORIZADOS!A142="","",[8]PRIORIZADOS!A142)</f>
        <v>1114</v>
      </c>
      <c r="B1163" s="70">
        <v>25</v>
      </c>
      <c r="C1163" s="11" t="str">
        <f>IFERROR(IF(VLOOKUP(A1163,[8]PRIORIZADOS!$A:$C,3,FALSE)="","",VLOOKUP(A1163,[8]PRIORIZADOS!$A:$C,3,FALSE)),"")</f>
        <v>KENNEDY</v>
      </c>
      <c r="D1163" s="11" t="str">
        <f>IFERROR(IF(VLOOKUP(A1163,[8]PRIORIZADOS!$A:$D,4,FALSE)="","",VLOOKUP(A1163,[8]PRIORIZADOS!$A:$D,4,FALSE)),"")</f>
        <v>PRIVADO</v>
      </c>
      <c r="E1163" s="11" t="str">
        <f>IFERROR(IF(VLOOKUP(A1163,[8]PRIORIZADOS!$A:$E,5,FALSE)="","",VLOOKUP(A1163,[8]PRIORIZADOS!$A:$E,5,FALSE)),"")</f>
        <v>Educación de Jóvenes y Adultos</v>
      </c>
      <c r="F1163" s="11" t="str">
        <f>IFERROR(IF(VLOOKUP(A1163,[8]PRIORIZADOS!$A:$F,6,FALSE)="","",VLOOKUP(A1163,[8]PRIORIZADOS!$A:$F,6,FALSE)),"")</f>
        <v>COLEGIO_TECNISISTEMAS</v>
      </c>
      <c r="G1163" s="11" t="str">
        <f>IFERROR(IF(VLOOKUP(A1163,[8]PRIORIZADOS!$A:$G,7,FALSE)="","",VLOOKUP(A1163,[8]PRIORIZADOS!$A:$G,7,FALSE)),"")</f>
        <v>COLEGIO TECNISISTEMAS</v>
      </c>
      <c r="H1163" s="11" t="str">
        <f>IFERROR(IF(VLOOKUP(A1163,[8]PRIORIZADOS!$A:$H,8,FALSE)="","",VLOOKUP(A1163,[8]PRIORIZADOS!$A:$H,8,FALSE)),"")</f>
        <v>Autoevaluación Institucional y Pruebas SABER 11</v>
      </c>
      <c r="I1163" s="11" t="str">
        <f>IFERROR(IF(VLOOKUP(A1163,[8]PRIORIZADOS!$A:$I,9,FALSE)="","",VLOOKUP(A1163,[8]PRIORIZADOS!$A:$I,9,FALSE)),"")</f>
        <v>EVALUACIÓN_CON_FINES_DE_MEJORAMIENTO.</v>
      </c>
      <c r="J1163" s="11" t="str">
        <f>IFERROR(IF(VLOOKUP(A1163,[8]PRIORIZADOS!$A:$J,10,FALSE)="","",VLOOKUP(A1163,[8]PRIORIZADOS!$A:$J,10,FALSE)),"")</f>
        <v>Revisar el calendario escolar, jornada escolar, la intensidad horaria mínima anual en cada nivel y las modificaciones que se realicen al mismo, de acuerdo con lo previsto en la normatividad vigente.</v>
      </c>
      <c r="K1163" s="11" t="str">
        <f>IFERROR(IF(VLOOKUP(A1163,[8]PRIORIZADOS!$A:$K,11,FALSE)="","",VLOOKUP(A1163,[8]PRIORIZADOS!$A:$K,11,FALSE)),"")</f>
        <v>ADRIANA VENEGAS VALERA</v>
      </c>
      <c r="L1163" s="11" t="str">
        <f>IFERROR(IF(VLOOKUP(A1163,[8]PRIORIZADOS!$A:$L,12,FALSE)="","",VLOOKUP(A1163,[8]PRIORIZADOS!$A:$L,12,FALSE)),"")</f>
        <v xml:space="preserve">DIANA ZULAY HUERTAS ORTÍZ </v>
      </c>
      <c r="M1163" s="71">
        <f>IFERROR(IF(VLOOKUP(A1163,[8]PRIORIZADOS!$A:$M,13,FALSE)="","",VLOOKUP(A1163,[8]PRIORIZADOS!$A:$M,13,FALSE)),"")</f>
        <v>45805</v>
      </c>
      <c r="N1163" s="71">
        <f>IFERROR(IF(VLOOKUP(A1163,[8]PRIORIZADOS!$A:$N,14,FALSE)="","",VLOOKUP(A1163,[8]PRIORIZADOS!$A:$N,14,FALSE)),"")</f>
        <v>45805</v>
      </c>
      <c r="O1163" s="71">
        <f>IFERROR(IF(VLOOKUP(A1163,[8]PRIORIZADOS!$A:$O,15,FALSE)="","",VLOOKUP(A1163,[8]PRIORIZADOS!$A:$O,15,FALSE)),"")</f>
        <v>45805</v>
      </c>
      <c r="P1163" s="11" t="str">
        <f>IFERROR(IF(VLOOKUP(A1163,[8]PRIORIZADOS!$A:$P,16,FALSE)="","",VLOOKUP(A1163,[8]PRIORIZADOS!$A:$P,16,FALSE)),"")</f>
        <v>Visitas de evaluación con fines de mejoramiento</v>
      </c>
      <c r="Q1163" s="107" t="s">
        <v>219</v>
      </c>
      <c r="R1163" s="11" t="str">
        <f>IFERROR(IF(VLOOKUP(A1163,[8]PRIORIZADOS!$A:$R,18,FALSE)="","",VLOOKUP(A1163,[8]PRIORIZADOS!$A:$R,18,FALSE)),"")</f>
        <v>La EE, cumple con la intensidad horaria mínima anual para cada nivel.</v>
      </c>
      <c r="S1163" s="11" t="str">
        <f>IFERROR(IF(VLOOKUP(A1163,[8]PRIORIZADOS!$A:$S,19,FALSE)="","",VLOOKUP(A1163,[8]PRIORIZADOS!$A:$S,19,FALSE)),"")</f>
        <v xml:space="preserve">La EE, debe seguir cumpliendo con la intensidad horaria mínima. </v>
      </c>
      <c r="T1163" s="70" t="str">
        <f>IFERROR(IF(VLOOKUP(A1163,[8]PRIORIZADOS!$A:$T,20,FALSE)="","",VLOOKUP(A1163,[8]PRIORIZADOS!$A:$T,20,FALSE)),"")</f>
        <v>No</v>
      </c>
      <c r="U1163" s="11" t="str">
        <f>IFERROR(IF(VLOOKUP(A1163,[8]PRIORIZADOS!$A:$U,21,FALSE)="","",VLOOKUP(A1163,[8]PRIORIZADOS!$A:$U,21,FALSE)),"")</f>
        <v xml:space="preserve">El ELIV verificará en la próxima vigencia el cumplimiento del calendario escolar. </v>
      </c>
    </row>
    <row r="1164" spans="1:21" s="1" customFormat="1" ht="60">
      <c r="A1164" s="69">
        <f>IF([8]PRIORIZADOS!A143="","",[8]PRIORIZADOS!A143)</f>
        <v>1115</v>
      </c>
      <c r="B1164" s="70">
        <v>25</v>
      </c>
      <c r="C1164" s="11" t="str">
        <f>IFERROR(IF(VLOOKUP(A1164,[8]PRIORIZADOS!$A:$C,3,FALSE)="","",VLOOKUP(A1164,[8]PRIORIZADOS!$A:$C,3,FALSE)),"")</f>
        <v>KENNEDY</v>
      </c>
      <c r="D1164" s="11" t="str">
        <f>IFERROR(IF(VLOOKUP(A1164,[8]PRIORIZADOS!$A:$D,4,FALSE)="","",VLOOKUP(A1164,[8]PRIORIZADOS!$A:$D,4,FALSE)),"")</f>
        <v>PRIVADO</v>
      </c>
      <c r="E1164" s="11" t="str">
        <f>IFERROR(IF(VLOOKUP(A1164,[8]PRIORIZADOS!$A:$E,5,FALSE)="","",VLOOKUP(A1164,[8]PRIORIZADOS!$A:$E,5,FALSE)),"")</f>
        <v>Educación de Jóvenes y Adultos</v>
      </c>
      <c r="F1164" s="11" t="str">
        <f>IFERROR(IF(VLOOKUP(A1164,[8]PRIORIZADOS!$A:$F,6,FALSE)="","",VLOOKUP(A1164,[8]PRIORIZADOS!$A:$F,6,FALSE)),"")</f>
        <v>COLEGIO_TECNISISTEMAS</v>
      </c>
      <c r="G1164" s="11" t="str">
        <f>IFERROR(IF(VLOOKUP(A1164,[8]PRIORIZADOS!$A:$G,7,FALSE)="","",VLOOKUP(A1164,[8]PRIORIZADOS!$A:$G,7,FALSE)),"")</f>
        <v>COLEGIO TECNISISTEMAS</v>
      </c>
      <c r="H1164" s="11" t="str">
        <f>IFERROR(IF(VLOOKUP(A1164,[8]PRIORIZADOS!$A:$H,8,FALSE)="","",VLOOKUP(A1164,[8]PRIORIZADOS!$A:$H,8,FALSE)),"")</f>
        <v>Autoevaluación Institucional y Pruebas SABER 11</v>
      </c>
      <c r="I1164" s="11" t="str">
        <f>IFERROR(IF(VLOOKUP(A1164,[8]PRIORIZADOS!$A:$I,9,FALSE)="","",VLOOKUP(A1164,[8]PRIORIZADOS!$A:$I,9,FALSE)),"")</f>
        <v>EVALUACIÓN_CON_FINES_DE_MEJORAMIENTO.</v>
      </c>
      <c r="J1164" s="11" t="str">
        <f>IFERROR(IF(VLOOKUP(A1164,[8]PRIORIZADOS!$A:$J,10,FALSE)="","",VLOOKUP(A1164,[8]PRIORIZADOS!$A:$J,10,FALSE)),"")</f>
        <v>Verificar el funcionamiento del Gobierno Escolar e instancias de participación con base en la información sobre conformación reportada por la institución educativa.</v>
      </c>
      <c r="K1164" s="11" t="str">
        <f>IFERROR(IF(VLOOKUP(A1164,[8]PRIORIZADOS!$A:$K,11,FALSE)="","",VLOOKUP(A1164,[8]PRIORIZADOS!$A:$K,11,FALSE)),"")</f>
        <v>ADRIANA VENEGAS VALERA</v>
      </c>
      <c r="L1164" s="11" t="str">
        <f>IFERROR(IF(VLOOKUP(A1164,[8]PRIORIZADOS!$A:$L,12,FALSE)="","",VLOOKUP(A1164,[8]PRIORIZADOS!$A:$L,12,FALSE)),"")</f>
        <v xml:space="preserve">DIANA ZULAY HUERTAS ORTÍZ </v>
      </c>
      <c r="M1164" s="71">
        <f>IFERROR(IF(VLOOKUP(A1164,[8]PRIORIZADOS!$A:$M,13,FALSE)="","",VLOOKUP(A1164,[8]PRIORIZADOS!$A:$M,13,FALSE)),"")</f>
        <v>45805</v>
      </c>
      <c r="N1164" s="71">
        <f>IFERROR(IF(VLOOKUP(A1164,[8]PRIORIZADOS!$A:$N,14,FALSE)="","",VLOOKUP(A1164,[8]PRIORIZADOS!$A:$N,14,FALSE)),"")</f>
        <v>45805</v>
      </c>
      <c r="O1164" s="71">
        <f>IFERROR(IF(VLOOKUP(A1164,[8]PRIORIZADOS!$A:$O,15,FALSE)="","",VLOOKUP(A1164,[8]PRIORIZADOS!$A:$O,15,FALSE)),"")</f>
        <v>45805</v>
      </c>
      <c r="P1164" s="11" t="str">
        <f>IFERROR(IF(VLOOKUP(A1164,[8]PRIORIZADOS!$A:$P,16,FALSE)="","",VLOOKUP(A1164,[8]PRIORIZADOS!$A:$P,16,FALSE)),"")</f>
        <v>Visitas de evaluación con fines de mejoramiento</v>
      </c>
      <c r="Q1164" s="126" t="s">
        <v>219</v>
      </c>
      <c r="R1164" s="11" t="str">
        <f>IFERROR(IF(VLOOKUP(A1164,[8]PRIORIZADOS!$A:$R,18,FALSE)="","",VLOOKUP(A1164,[8]PRIORIZADOS!$A:$R,18,FALSE)),"")</f>
        <v>La EE, cumple con el funcionamiento del gobierno escolar y las instancias de participación.</v>
      </c>
      <c r="S1164" s="11" t="str">
        <f>IFERROR(IF(VLOOKUP(A1164,[8]PRIORIZADOS!$A:$S,19,FALSE)="","",VLOOKUP(A1164,[8]PRIORIZADOS!$A:$S,19,FALSE)),"")</f>
        <v>La EE, debe seguir cumpliendo con el funcionamiento del gobierno escolar y las instancias de participación.  Debe reunir el consejo directivo de acuerdo a la normatividad vigente.</v>
      </c>
      <c r="T1164" s="70" t="str">
        <f>IFERROR(IF(VLOOKUP(A1164,[8]PRIORIZADOS!$A:$T,20,FALSE)="","",VLOOKUP(A1164,[8]PRIORIZADOS!$A:$T,20,FALSE)),"")</f>
        <v>Si</v>
      </c>
      <c r="U1164" s="11" t="str">
        <f>IFERROR(IF(VLOOKUP(A1164,[8]PRIORIZADOS!$A:$U,21,FALSE)="","",VLOOKUP(A1164,[8]PRIORIZADOS!$A:$U,21,FALSE)),"")</f>
        <v>El ELIV verificará la operatividad del gobierno escolar. Se realiza mesa de seguimiento el 20 de agosto de 2025.</v>
      </c>
    </row>
    <row r="1165" spans="1:21" s="1" customFormat="1" ht="72">
      <c r="A1165" s="69">
        <f>IF([8]PRIORIZADOS!A144="","",[8]PRIORIZADOS!A144)</f>
        <v>1116</v>
      </c>
      <c r="B1165" s="70">
        <v>25</v>
      </c>
      <c r="C1165" s="11" t="str">
        <f>IFERROR(IF(VLOOKUP(A1165,[8]PRIORIZADOS!$A:$C,3,FALSE)="","",VLOOKUP(A1165,[8]PRIORIZADOS!$A:$C,3,FALSE)),"")</f>
        <v>KENNEDY</v>
      </c>
      <c r="D1165" s="11" t="str">
        <f>IFERROR(IF(VLOOKUP(A1165,[8]PRIORIZADOS!$A:$D,4,FALSE)="","",VLOOKUP(A1165,[8]PRIORIZADOS!$A:$D,4,FALSE)),"")</f>
        <v>PRIVADO</v>
      </c>
      <c r="E1165" s="11" t="str">
        <f>IFERROR(IF(VLOOKUP(A1165,[8]PRIORIZADOS!$A:$E,5,FALSE)="","",VLOOKUP(A1165,[8]PRIORIZADOS!$A:$E,5,FALSE)),"")</f>
        <v>Educación de Jóvenes y Adultos</v>
      </c>
      <c r="F1165" s="11" t="str">
        <f>IFERROR(IF(VLOOKUP(A1165,[8]PRIORIZADOS!$A:$F,6,FALSE)="","",VLOOKUP(A1165,[8]PRIORIZADOS!$A:$F,6,FALSE)),"")</f>
        <v>COLEGIO_TECNISISTEMAS</v>
      </c>
      <c r="G1165" s="11" t="str">
        <f>IFERROR(IF(VLOOKUP(A1165,[8]PRIORIZADOS!$A:$G,7,FALSE)="","",VLOOKUP(A1165,[8]PRIORIZADOS!$A:$G,7,FALSE)),"")</f>
        <v>COLEGIO TECNISISTEMAS</v>
      </c>
      <c r="H1165" s="11" t="str">
        <f>IFERROR(IF(VLOOKUP(A1165,[8]PRIORIZADOS!$A:$H,8,FALSE)="","",VLOOKUP(A1165,[8]PRIORIZADOS!$A:$H,8,FALSE)),"")</f>
        <v>Autoevaluación Institucional y Pruebas SABER 11</v>
      </c>
      <c r="I1165" s="11" t="str">
        <f>IFERROR(IF(VLOOKUP(A1165,[8]PRIORIZADOS!$A:$I,9,FALSE)="","",VLOOKUP(A1165,[8]PRIORIZADOS!$A:$I,9,FALSE)),"")</f>
        <v>EVALUACIÓN_CON_FINES_DE_MEJORAMIENTO.</v>
      </c>
      <c r="J1165" s="11" t="str">
        <f>IFERROR(IF(VLOOKUP(A1165,[8]PRIORIZADOS!$A:$J,10,FALSE)="","",VLOOKUP(A1165,[8]PRIORIZADOS!$A:$J,10,FALSE)),"")</f>
        <v>Verificar las condiciones en cuanto a: la estructura administrativa, condiciones de la planta física y medios educativos adecuados.</v>
      </c>
      <c r="K1165" s="11" t="str">
        <f>IFERROR(IF(VLOOKUP(A1165,[8]PRIORIZADOS!$A:$K,11,FALSE)="","",VLOOKUP(A1165,[8]PRIORIZADOS!$A:$K,11,FALSE)),"")</f>
        <v>ADRIANA VENEGAS VALERA</v>
      </c>
      <c r="L1165" s="11" t="str">
        <f>IFERROR(IF(VLOOKUP(A1165,[8]PRIORIZADOS!$A:$L,12,FALSE)="","",VLOOKUP(A1165,[8]PRIORIZADOS!$A:$L,12,FALSE)),"")</f>
        <v xml:space="preserve">DIANA ZULAY HUERTAS ORTÍZ </v>
      </c>
      <c r="M1165" s="71">
        <f>IFERROR(IF(VLOOKUP(A1165,[8]PRIORIZADOS!$A:$M,13,FALSE)="","",VLOOKUP(A1165,[8]PRIORIZADOS!$A:$M,13,FALSE)),"")</f>
        <v>45805</v>
      </c>
      <c r="N1165" s="71">
        <f>IFERROR(IF(VLOOKUP(A1165,[8]PRIORIZADOS!$A:$N,14,FALSE)="","",VLOOKUP(A1165,[8]PRIORIZADOS!$A:$N,14,FALSE)),"")</f>
        <v>45805</v>
      </c>
      <c r="O1165" s="71">
        <f>IFERROR(IF(VLOOKUP(A1165,[8]PRIORIZADOS!$A:$O,15,FALSE)="","",VLOOKUP(A1165,[8]PRIORIZADOS!$A:$O,15,FALSE)),"")</f>
        <v>45805</v>
      </c>
      <c r="P1165" s="11" t="str">
        <f>IFERROR(IF(VLOOKUP(A1165,[8]PRIORIZADOS!$A:$P,16,FALSE)="","",VLOOKUP(A1165,[8]PRIORIZADOS!$A:$P,16,FALSE)),"")</f>
        <v>Visitas de evaluación con fines de mejoramiento</v>
      </c>
      <c r="Q1165" s="107" t="s">
        <v>219</v>
      </c>
      <c r="R1165" s="11" t="str">
        <f>IFERROR(IF(VLOOKUP(A1165,[8]PRIORIZADOS!$A:$R,18,FALSE)="","",VLOOKUP(A1165,[8]PRIORIZADOS!$A:$R,18,FALSE)),"")</f>
        <v>La EE, cumple con las condiciones de estructura administrativa, condiciones de la planta física y medios educativos adecuados, ya que cuenta con espacios en condiciones adecuados de iluminación y ventilación.</v>
      </c>
      <c r="S1165" s="11" t="str">
        <f>IFERROR(IF(VLOOKUP(A1165,[8]PRIORIZADOS!$A:$S,19,FALSE)="","",VLOOKUP(A1165,[8]PRIORIZADOS!$A:$S,19,FALSE)),"")</f>
        <v xml:space="preserve">La EE debe mantener las condiciones de prestación del servicio, en cuanto estructura administrativa, planta física y medios educativos. </v>
      </c>
      <c r="T1165" s="70" t="str">
        <f>IFERROR(IF(VLOOKUP(A1165,[8]PRIORIZADOS!$A:$T,20,FALSE)="","",VLOOKUP(A1165,[8]PRIORIZADOS!$A:$T,20,FALSE)),"")</f>
        <v>No</v>
      </c>
      <c r="U1165" s="11" t="str">
        <f>IFERROR(IF(VLOOKUP(A1165,[8]PRIORIZADOS!$A:$U,21,FALSE)="","",VLOOKUP(A1165,[8]PRIORIZADOS!$A:$U,21,FALSE)),"")</f>
        <v xml:space="preserve">El ELIV verificará que se mantengan las condiciones de prestación del servicio. </v>
      </c>
    </row>
    <row r="1166" spans="1:21" s="1" customFormat="1" ht="60">
      <c r="A1166" s="69">
        <f>IF([8]PRIORIZADOS!A145="","",[8]PRIORIZADOS!A145)</f>
        <v>1117</v>
      </c>
      <c r="B1166" s="70">
        <f>IFERROR(IF(VLOOKUP(A1166,[8]PRIORIZADOS!$A:$B,2,FALSE)="","",VLOOKUP(A1166,[8]PRIORIZADOS!$A:$B,2,FALSE)),"")</f>
        <v>26</v>
      </c>
      <c r="C1166" s="11" t="str">
        <f>IFERROR(IF(VLOOKUP(A1166,[8]PRIORIZADOS!$A:$C,3,FALSE)="","",VLOOKUP(A1166,[8]PRIORIZADOS!$A:$C,3,FALSE)),"")</f>
        <v>KENNEDY</v>
      </c>
      <c r="D1166" s="11" t="str">
        <f>IFERROR(IF(VLOOKUP(A1166,[8]PRIORIZADOS!$A:$D,4,FALSE)="","",VLOOKUP(A1166,[8]PRIORIZADOS!$A:$D,4,FALSE)),"")</f>
        <v>PRIVADO</v>
      </c>
      <c r="E1166" s="11" t="str">
        <f>IFERROR(IF(VLOOKUP(A1166,[8]PRIORIZADOS!$A:$E,5,FALSE)="","",VLOOKUP(A1166,[8]PRIORIZADOS!$A:$E,5,FALSE)),"")</f>
        <v>Educación de Jóvenes y Adultos</v>
      </c>
      <c r="F1166" s="11" t="str">
        <f>IFERROR(IF(VLOOKUP(A1166,[8]PRIORIZADOS!$A:$F,6,FALSE)="","",VLOOKUP(A1166,[8]PRIORIZADOS!$A:$F,6,FALSE)),"")</f>
        <v>COLEGIO_TRIANGULO_KENNEDY</v>
      </c>
      <c r="G1166" s="11" t="str">
        <f>IFERROR(IF(VLOOKUP(A1166,[8]PRIORIZADOS!$A:$G,7,FALSE)="","",VLOOKUP(A1166,[8]PRIORIZADOS!$A:$G,7,FALSE)),"")</f>
        <v>COLEGIO TRIANGULO KENNEDY</v>
      </c>
      <c r="H1166" s="11" t="str">
        <f>IFERROR(IF(VLOOKUP(A1166,[8]PRIORIZADOS!$A:$H,8,FALSE)="","",VLOOKUP(A1166,[8]PRIORIZADOS!$A:$H,8,FALSE)),"")</f>
        <v>Autoevaluación Institucional y Pruebas SABER 11</v>
      </c>
      <c r="I1166" s="11" t="str">
        <f>IFERROR(IF(VLOOKUP(A1166,[8]PRIORIZADOS!$A:$I,9,FALSE)="","",VLOOKUP(A1166,[8]PRIORIZADOS!$A:$I,9,FALSE)),"")</f>
        <v>SEGUIMIENTO_Y_SUPERVISIÓN.</v>
      </c>
      <c r="J1166" s="11" t="str">
        <f>IFERROR(IF(VLOOKUP(A1166,[8]PRIORIZADOS!$A:$J,10,FALSE)="","",VLOOKUP(A1166,[8]PRIORIZADOS!$A:$J,10,FALSE)),"")</f>
        <v>Realizar visitas para verificar la información registrada sobre la autoevaluación institucional en el aplicativo EVI, a los establecimientos de educación formal no oficial.</v>
      </c>
      <c r="K1166" s="11" t="str">
        <f>IFERROR(IF(VLOOKUP(A1166,[8]PRIORIZADOS!$A:$K,11,FALSE)="","",VLOOKUP(A1166,[8]PRIORIZADOS!$A:$K,11,FALSE)),"")</f>
        <v>LUCY GONZÁLEZ LERMA</v>
      </c>
      <c r="L1166" s="11" t="str">
        <f>IFERROR(IF(VLOOKUP(A1166,[8]PRIORIZADOS!$A:$L,12,FALSE)="","",VLOOKUP(A1166,[8]PRIORIZADOS!$A:$L,12,FALSE)),"")</f>
        <v>LUIS FERNANDO CÁRDENAS URAN</v>
      </c>
      <c r="M1166" s="71">
        <f>IFERROR(IF(VLOOKUP(A1166,[8]PRIORIZADOS!$A:$M,13,FALSE)="","",VLOOKUP(A1166,[8]PRIORIZADOS!$A:$M,13,FALSE)),"")</f>
        <v>45806</v>
      </c>
      <c r="N1166" s="71">
        <f>IFERROR(IF(VLOOKUP(A1166,[8]PRIORIZADOS!$A:$N,14,FALSE)="","",VLOOKUP(A1166,[8]PRIORIZADOS!$A:$N,14,FALSE)),"")</f>
        <v>45805</v>
      </c>
      <c r="O1166" s="71">
        <f>IFERROR(IF(VLOOKUP(A1166,[8]PRIORIZADOS!$A:$O,15,FALSE)="","",VLOOKUP(A1166,[8]PRIORIZADOS!$A:$O,15,FALSE)),"")</f>
        <v>45805</v>
      </c>
      <c r="P1166" s="11" t="str">
        <f>IFERROR(IF(VLOOKUP(A1166,[8]PRIORIZADOS!$A:$P,16,FALSE)="","",VLOOKUP(A1166,[8]PRIORIZADOS!$A:$P,16,FALSE)),"")</f>
        <v>Visitas de evaluación con fines de mejoramiento</v>
      </c>
      <c r="Q1166" s="136" t="s">
        <v>220</v>
      </c>
      <c r="R1166" s="11" t="str">
        <f>IFERROR(IF(VLOOKUP(A1166,[8]PRIORIZADOS!$A:$R,18,FALSE)="","",VLOOKUP(A1166,[8]PRIORIZADOS!$A:$R,18,FALSE)),"")</f>
        <v>La autoevaluación es coherente con la realidad institucional .  Se evidencia organización y cumplimento en cuanto a idoneidad de docentes, panta física y pago de seguridad social y parafiscales.</v>
      </c>
      <c r="S1166" s="11" t="str">
        <f>IFERROR(IF(VLOOKUP(A1166,[8]PRIORIZADOS!$A:$S,19,FALSE)="","",VLOOKUP(A1166,[8]PRIORIZADOS!$A:$S,19,FALSE)),"")</f>
        <v>Mantener los indicadores y procedimientos y realizar la autoevaluación para la presente vigencia.</v>
      </c>
      <c r="T1166" s="70" t="str">
        <f>IFERROR(IF(VLOOKUP(A1166,[8]PRIORIZADOS!$A:$T,20,FALSE)="","",VLOOKUP(A1166,[8]PRIORIZADOS!$A:$T,20,FALSE)),"")</f>
        <v>No</v>
      </c>
      <c r="U1166" s="11" t="str">
        <f>IFERROR(IF(VLOOKUP(A1166,[8]PRIORIZADOS!$A:$U,21,FALSE)="","",VLOOKUP(A1166,[8]PRIORIZADOS!$A:$U,21,FALSE)),"")</f>
        <v xml:space="preserve">Verificar la autoevaluación institucional para la vigencia 2025. </v>
      </c>
    </row>
    <row r="1167" spans="1:21" s="1" customFormat="1" ht="72">
      <c r="A1167" s="69">
        <f>IF([8]PRIORIZADOS!A146="","",[8]PRIORIZADOS!A146)</f>
        <v>1118</v>
      </c>
      <c r="B1167" s="70">
        <v>26</v>
      </c>
      <c r="C1167" s="11" t="str">
        <f>IFERROR(IF(VLOOKUP(A1167,[8]PRIORIZADOS!$A:$C,3,FALSE)="","",VLOOKUP(A1167,[8]PRIORIZADOS!$A:$C,3,FALSE)),"")</f>
        <v>KENNEDY</v>
      </c>
      <c r="D1167" s="11" t="str">
        <f>IFERROR(IF(VLOOKUP(A1167,[8]PRIORIZADOS!$A:$D,4,FALSE)="","",VLOOKUP(A1167,[8]PRIORIZADOS!$A:$D,4,FALSE)),"")</f>
        <v>PRIVADO</v>
      </c>
      <c r="E1167" s="11" t="str">
        <f>IFERROR(IF(VLOOKUP(A1167,[8]PRIORIZADOS!$A:$E,5,FALSE)="","",VLOOKUP(A1167,[8]PRIORIZADOS!$A:$E,5,FALSE)),"")</f>
        <v>Educación de Jóvenes y Adultos</v>
      </c>
      <c r="F1167" s="11" t="str">
        <f>IFERROR(IF(VLOOKUP(A1167,[8]PRIORIZADOS!$A:$F,6,FALSE)="","",VLOOKUP(A1167,[8]PRIORIZADOS!$A:$F,6,FALSE)),"")</f>
        <v>COLEGIO_TRIANGULO_KENNEDY</v>
      </c>
      <c r="G1167" s="11" t="str">
        <f>IFERROR(IF(VLOOKUP(A1167,[8]PRIORIZADOS!$A:$G,7,FALSE)="","",VLOOKUP(A1167,[8]PRIORIZADOS!$A:$G,7,FALSE)),"")</f>
        <v>COLEGIO TRIANGULO KENNEDY</v>
      </c>
      <c r="H1167" s="11" t="str">
        <f>IFERROR(IF(VLOOKUP(A1167,[8]PRIORIZADOS!$A:$H,8,FALSE)="","",VLOOKUP(A1167,[8]PRIORIZADOS!$A:$H,8,FALSE)),"")</f>
        <v>Autoevaluación Institucional y Pruebas SABER 11</v>
      </c>
      <c r="I1167" s="11" t="str">
        <f>IFERROR(IF(VLOOKUP(A1167,[8]PRIORIZADOS!$A:$I,9,FALSE)="","",VLOOKUP(A1167,[8]PRIORIZADOS!$A:$I,9,FALSE)),"")</f>
        <v>SEGUIMIENTO_Y_SUPERVISIÓN.</v>
      </c>
      <c r="J1167" s="11" t="str">
        <f>IFERROR(IF(VLOOKUP(A1167,[8]PRIORIZADOS!$A:$J,10,FALSE)="","",VLOOKUP(A1167,[8]PRIORIZADOS!$A:$J,10,FALSE)),"")</f>
        <v>Proponer estrategias en la formulación, verificar su elaboración y realizar seguimiento semestral al desarrollo de  las acciones establecidas en los planes de mejoramiento por pruebas SABER 11 de los establecimientos de educación formal.</v>
      </c>
      <c r="K1167" s="11" t="str">
        <f>IFERROR(IF(VLOOKUP(A1167,[8]PRIORIZADOS!$A:$K,11,FALSE)="","",VLOOKUP(A1167,[8]PRIORIZADOS!$A:$K,11,FALSE)),"")</f>
        <v>LUCY GONZÁLEZ LERMA</v>
      </c>
      <c r="L1167" s="11" t="str">
        <f>IFERROR(IF(VLOOKUP(A1167,[8]PRIORIZADOS!$A:$L,12,FALSE)="","",VLOOKUP(A1167,[8]PRIORIZADOS!$A:$L,12,FALSE)),"")</f>
        <v>LUIS FERNANDO CÁRDENAS URAN</v>
      </c>
      <c r="M1167" s="71">
        <f>IFERROR(IF(VLOOKUP(A1167,[8]PRIORIZADOS!$A:$M,13,FALSE)="","",VLOOKUP(A1167,[8]PRIORIZADOS!$A:$M,13,FALSE)),"")</f>
        <v>45806</v>
      </c>
      <c r="N1167" s="71">
        <f>IFERROR(IF(VLOOKUP(A1167,[8]PRIORIZADOS!$A:$N,14,FALSE)="","",VLOOKUP(A1167,[8]PRIORIZADOS!$A:$N,14,FALSE)),"")</f>
        <v>45805</v>
      </c>
      <c r="O1167" s="71">
        <f>IFERROR(IF(VLOOKUP(A1167,[8]PRIORIZADOS!$A:$O,15,FALSE)="","",VLOOKUP(A1167,[8]PRIORIZADOS!$A:$O,15,FALSE)),"")</f>
        <v>45805</v>
      </c>
      <c r="P1167" s="11" t="str">
        <f>IFERROR(IF(VLOOKUP(A1167,[8]PRIORIZADOS!$A:$P,16,FALSE)="","",VLOOKUP(A1167,[8]PRIORIZADOS!$A:$P,16,FALSE)),"")</f>
        <v>Visitas de evaluación con fines de mejoramiento</v>
      </c>
      <c r="Q1167" s="107" t="s">
        <v>220</v>
      </c>
      <c r="R1167" s="11" t="str">
        <f>IFERROR(IF(VLOOKUP(A1167,[8]PRIORIZADOS!$A:$R,18,FALSE)="","",VLOOKUP(A1167,[8]PRIORIZADOS!$A:$R,18,FALSE)),"")</f>
        <v>La IE establece un plan de mejoramiento para las 5 áreas  evaluadas en las pruebas Saber 11. El plan contempla diagnóstico inicial  proceso de autoformación encuentro presencial y evaluación de impacto.</v>
      </c>
      <c r="S1167" s="11" t="str">
        <f>IFERROR(IF(VLOOKUP(A1167,[8]PRIORIZADOS!$A:$S,19,FALSE)="","",VLOOKUP(A1167,[8]PRIORIZADOS!$A:$S,19,FALSE)),"")</f>
        <v>Continuar con la implementación de acciones del plan de mejoramiento y que sea aprobado  por el Consejo Directivo y  Académico</v>
      </c>
      <c r="T1167" s="70" t="str">
        <f>IFERROR(IF(VLOOKUP(A1167,[8]PRIORIZADOS!$A:$T,20,FALSE)="","",VLOOKUP(A1167,[8]PRIORIZADOS!$A:$T,20,FALSE)),"")</f>
        <v>No</v>
      </c>
      <c r="U1167" s="11" t="str">
        <f>IFERROR(IF(VLOOKUP(A1167,[8]PRIORIZADOS!$A:$U,21,FALSE)="","",VLOOKUP(A1167,[8]PRIORIZADOS!$A:$U,21,FALSE)),"")</f>
        <v>Verificar que la implementación del Plan y su aprobación por parte del Consejo Directivo y Académico.</v>
      </c>
    </row>
    <row r="1168" spans="1:21" s="1" customFormat="1" ht="72">
      <c r="A1168" s="69">
        <f>IF([8]PRIORIZADOS!A147="","",[8]PRIORIZADOS!A147)</f>
        <v>1119</v>
      </c>
      <c r="B1168" s="70">
        <v>26</v>
      </c>
      <c r="C1168" s="11" t="str">
        <f>IFERROR(IF(VLOOKUP(A1168,[8]PRIORIZADOS!$A:$C,3,FALSE)="","",VLOOKUP(A1168,[8]PRIORIZADOS!$A:$C,3,FALSE)),"")</f>
        <v>KENNEDY</v>
      </c>
      <c r="D1168" s="11" t="str">
        <f>IFERROR(IF(VLOOKUP(A1168,[8]PRIORIZADOS!$A:$D,4,FALSE)="","",VLOOKUP(A1168,[8]PRIORIZADOS!$A:$D,4,FALSE)),"")</f>
        <v>PRIVADO</v>
      </c>
      <c r="E1168" s="11" t="str">
        <f>IFERROR(IF(VLOOKUP(A1168,[8]PRIORIZADOS!$A:$E,5,FALSE)="","",VLOOKUP(A1168,[8]PRIORIZADOS!$A:$E,5,FALSE)),"")</f>
        <v>Educación de Jóvenes y Adultos</v>
      </c>
      <c r="F1168" s="11" t="str">
        <f>IFERROR(IF(VLOOKUP(A1168,[8]PRIORIZADOS!$A:$F,6,FALSE)="","",VLOOKUP(A1168,[8]PRIORIZADOS!$A:$F,6,FALSE)),"")</f>
        <v>COLEGIO_TRIANGULO_KENNEDY</v>
      </c>
      <c r="G1168" s="11" t="str">
        <f>IFERROR(IF(VLOOKUP(A1168,[8]PRIORIZADOS!$A:$G,7,FALSE)="","",VLOOKUP(A1168,[8]PRIORIZADOS!$A:$G,7,FALSE)),"")</f>
        <v>COLEGIO TRIANGULO KENNEDY</v>
      </c>
      <c r="H1168" s="11" t="str">
        <f>IFERROR(IF(VLOOKUP(A1168,[8]PRIORIZADOS!$A:$H,8,FALSE)="","",VLOOKUP(A1168,[8]PRIORIZADOS!$A:$H,8,FALSE)),"")</f>
        <v>Autoevaluación Institucional y Pruebas SABER 11</v>
      </c>
      <c r="I1168" s="11" t="str">
        <f>IFERROR(IF(VLOOKUP(A1168,[8]PRIORIZADOS!$A:$I,9,FALSE)="","",VLOOKUP(A1168,[8]PRIORIZADOS!$A:$I,9,FALSE)),"")</f>
        <v>SEGUIMIENTO_Y_SUPERVISIÓN.</v>
      </c>
      <c r="J1168" s="11" t="str">
        <f>IFERROR(IF(VLOOKUP(A1168,[8]PRIORIZADOS!$A:$J,10,FALSE)="","",VLOOKUP(A1168,[8]PRIORIZADOS!$A:$J,10,FALSE)),"")</f>
        <v xml:space="preserve">Verificar la implementación por parte de los colegios, de acciones realizadas para la prevención y atención de las situaciones de convivencia en el entorno escolar, según lo establecido en la Directiva 01 de 2022 del MEN. </v>
      </c>
      <c r="K1168" s="11" t="str">
        <f>IFERROR(IF(VLOOKUP(A1168,[8]PRIORIZADOS!$A:$K,11,FALSE)="","",VLOOKUP(A1168,[8]PRIORIZADOS!$A:$K,11,FALSE)),"")</f>
        <v>LUCY GONZÁLEZ LERMA</v>
      </c>
      <c r="L1168" s="11" t="str">
        <f>IFERROR(IF(VLOOKUP(A1168,[8]PRIORIZADOS!$A:$L,12,FALSE)="","",VLOOKUP(A1168,[8]PRIORIZADOS!$A:$L,12,FALSE)),"")</f>
        <v>LUIS FERNANDO CÁRDENAS URAN</v>
      </c>
      <c r="M1168" s="71">
        <f>IFERROR(IF(VLOOKUP(A1168,[8]PRIORIZADOS!$A:$M,13,FALSE)="","",VLOOKUP(A1168,[8]PRIORIZADOS!$A:$M,13,FALSE)),"")</f>
        <v>45806</v>
      </c>
      <c r="N1168" s="71">
        <f>IFERROR(IF(VLOOKUP(A1168,[8]PRIORIZADOS!$A:$N,14,FALSE)="","",VLOOKUP(A1168,[8]PRIORIZADOS!$A:$N,14,FALSE)),"")</f>
        <v>45805</v>
      </c>
      <c r="O1168" s="71">
        <f>IFERROR(IF(VLOOKUP(A1168,[8]PRIORIZADOS!$A:$O,15,FALSE)="","",VLOOKUP(A1168,[8]PRIORIZADOS!$A:$O,15,FALSE)),"")</f>
        <v>45805</v>
      </c>
      <c r="P1168" s="11" t="str">
        <f>IFERROR(IF(VLOOKUP(A1168,[8]PRIORIZADOS!$A:$P,16,FALSE)="","",VLOOKUP(A1168,[8]PRIORIZADOS!$A:$P,16,FALSE)),"")</f>
        <v>Visitas de evaluación con fines de mejoramiento</v>
      </c>
      <c r="Q1168" s="125" t="s">
        <v>220</v>
      </c>
      <c r="R1168" s="11" t="str">
        <f>IFERROR(IF(VLOOKUP(A1168,[8]PRIORIZADOS!$A:$R,18,FALSE)="","",VLOOKUP(A1168,[8]PRIORIZADOS!$A:$R,18,FALSE)),"")</f>
        <v>Se encuentra  documentada la ruta de atención y protocolos de atención en el manual de convivencia. La IE manifiesta que no se han presentado casos que requieran el reporte en el sistema  de alertas.</v>
      </c>
      <c r="S1168" s="11" t="str">
        <f>IFERROR(IF(VLOOKUP(A1168,[8]PRIORIZADOS!$A:$S,19,FALSE)="","",VLOOKUP(A1168,[8]PRIORIZADOS!$A:$S,19,FALSE)),"")</f>
        <v>Continuar con el monitoreo de las situaciones de convivencia en el entorno escolar y con las acciones de prevención. Realizar el reporte en el sistema de alertas en caso de presentarse una situación de tipo II o III</v>
      </c>
      <c r="T1168" s="70" t="str">
        <f>IFERROR(IF(VLOOKUP(A1168,[8]PRIORIZADOS!$A:$T,20,FALSE)="","",VLOOKUP(A1168,[8]PRIORIZADOS!$A:$T,20,FALSE)),"")</f>
        <v>No</v>
      </c>
      <c r="U1168" s="11" t="str">
        <f>IFERROR(IF(VLOOKUP(A1168,[8]PRIORIZADOS!$A:$U,21,FALSE)="","",VLOOKUP(A1168,[8]PRIORIZADOS!$A:$U,21,FALSE)),"")</f>
        <v>En caso de presentarse una situación convivencial verificar la activación de ruta y el reporte en el sistema de alertas</v>
      </c>
    </row>
    <row r="1169" spans="1:21" s="1" customFormat="1" ht="72">
      <c r="A1169" s="69">
        <f>IF([8]PRIORIZADOS!A148="","",[8]PRIORIZADOS!A148)</f>
        <v>1120</v>
      </c>
      <c r="B1169" s="70">
        <v>26</v>
      </c>
      <c r="C1169" s="11" t="str">
        <f>IFERROR(IF(VLOOKUP(A1169,[8]PRIORIZADOS!$A:$C,3,FALSE)="","",VLOOKUP(A1169,[8]PRIORIZADOS!$A:$C,3,FALSE)),"")</f>
        <v>KENNEDY</v>
      </c>
      <c r="D1169" s="11" t="str">
        <f>IFERROR(IF(VLOOKUP(A1169,[8]PRIORIZADOS!$A:$D,4,FALSE)="","",VLOOKUP(A1169,[8]PRIORIZADOS!$A:$D,4,FALSE)),"")</f>
        <v>PRIVADO</v>
      </c>
      <c r="E1169" s="11" t="str">
        <f>IFERROR(IF(VLOOKUP(A1169,[8]PRIORIZADOS!$A:$E,5,FALSE)="","",VLOOKUP(A1169,[8]PRIORIZADOS!$A:$E,5,FALSE)),"")</f>
        <v>Educación de Jóvenes y Adultos</v>
      </c>
      <c r="F1169" s="11" t="str">
        <f>IFERROR(IF(VLOOKUP(A1169,[8]PRIORIZADOS!$A:$F,6,FALSE)="","",VLOOKUP(A1169,[8]PRIORIZADOS!$A:$F,6,FALSE)),"")</f>
        <v>COLEGIO_TRIANGULO_KENNEDY</v>
      </c>
      <c r="G1169" s="11" t="str">
        <f>IFERROR(IF(VLOOKUP(A1169,[8]PRIORIZADOS!$A:$G,7,FALSE)="","",VLOOKUP(A1169,[8]PRIORIZADOS!$A:$G,7,FALSE)),"")</f>
        <v>COLEGIO TRIANGULO KENNEDY</v>
      </c>
      <c r="H1169" s="11" t="str">
        <f>IFERROR(IF(VLOOKUP(A1169,[8]PRIORIZADOS!$A:$H,8,FALSE)="","",VLOOKUP(A1169,[8]PRIORIZADOS!$A:$H,8,FALSE)),"")</f>
        <v>Autoevaluación Institucional y Pruebas SABER 11</v>
      </c>
      <c r="I1169" s="11" t="str">
        <f>IFERROR(IF(VLOOKUP(A1169,[8]PRIORIZADOS!$A:$I,9,FALSE)="","",VLOOKUP(A1169,[8]PRIORIZADOS!$A:$I,9,FALSE)),"")</f>
        <v>SEGUIMIENTO_Y_SUPERVISIÓN.</v>
      </c>
      <c r="J1169" s="11" t="str">
        <f>IFERROR(IF(VLOOKUP(A1169,[8]PRIORIZADOS!$A:$J,10,FALSE)="","",VLOOKUP(A1169,[8]PRIORIZADOS!$A:$J,10,FALSE)),"")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69" s="11" t="str">
        <f>IFERROR(IF(VLOOKUP(A1169,[8]PRIORIZADOS!$A:$K,11,FALSE)="","",VLOOKUP(A1169,[8]PRIORIZADOS!$A:$K,11,FALSE)),"")</f>
        <v>LUCY GONZÁLEZ LERMA</v>
      </c>
      <c r="L1169" s="11" t="str">
        <f>IFERROR(IF(VLOOKUP(A1169,[8]PRIORIZADOS!$A:$L,12,FALSE)="","",VLOOKUP(A1169,[8]PRIORIZADOS!$A:$L,12,FALSE)),"")</f>
        <v>LUIS FERNANDO CÁRDENAS URAN</v>
      </c>
      <c r="M1169" s="71">
        <f>IFERROR(IF(VLOOKUP(A1169,[8]PRIORIZADOS!$A:$M,13,FALSE)="","",VLOOKUP(A1169,[8]PRIORIZADOS!$A:$M,13,FALSE)),"")</f>
        <v>45806</v>
      </c>
      <c r="N1169" s="71">
        <f>IFERROR(IF(VLOOKUP(A1169,[8]PRIORIZADOS!$A:$N,14,FALSE)="","",VLOOKUP(A1169,[8]PRIORIZADOS!$A:$N,14,FALSE)),"")</f>
        <v>45805</v>
      </c>
      <c r="O1169" s="71">
        <f>IFERROR(IF(VLOOKUP(A1169,[8]PRIORIZADOS!$A:$O,15,FALSE)="","",VLOOKUP(A1169,[8]PRIORIZADOS!$A:$O,15,FALSE)),"")</f>
        <v>45805</v>
      </c>
      <c r="P1169" s="11" t="str">
        <f>IFERROR(IF(VLOOKUP(A1169,[8]PRIORIZADOS!$A:$P,16,FALSE)="","",VLOOKUP(A1169,[8]PRIORIZADOS!$A:$P,16,FALSE)),"")</f>
        <v>Visitas de evaluación con fines de mejoramiento</v>
      </c>
      <c r="Q1169" s="107" t="s">
        <v>220</v>
      </c>
      <c r="R1169" s="11" t="str">
        <f>IFERROR(IF(VLOOKUP(A1169,[8]PRIORIZADOS!$A:$R,18,FALSE)="","",VLOOKUP(A1169,[8]PRIORIZADOS!$A:$R,18,FALSE)),"")</f>
        <v>No tienen estudiantes con discapacidad que requieran el PIAR</v>
      </c>
      <c r="S1169" s="11" t="str">
        <f>IFERROR(IF(VLOOKUP(A1169,[8]PRIORIZADOS!$A:$S,19,FALSE)="","",VLOOKUP(A1169,[8]PRIORIZADOS!$A:$S,19,FALSE)),"")</f>
        <v>En caso de tener estudiantes con discapacidad, diseñar el correspondiente PIAR</v>
      </c>
      <c r="T1169" s="70" t="str">
        <f>IFERROR(IF(VLOOKUP(A1169,[8]PRIORIZADOS!$A:$T,20,FALSE)="","",VLOOKUP(A1169,[8]PRIORIZADOS!$A:$T,20,FALSE)),"")</f>
        <v>No</v>
      </c>
      <c r="U1169" s="11" t="str">
        <f>IFERROR(IF(VLOOKUP(A1169,[8]PRIORIZADOS!$A:$U,21,FALSE)="","",VLOOKUP(A1169,[8]PRIORIZADOS!$A:$U,21,FALSE)),"")</f>
        <v>Verificar la pertinencia de la aplicación.</v>
      </c>
    </row>
    <row r="1170" spans="1:21" s="1" customFormat="1" ht="84">
      <c r="A1170" s="69">
        <f>IF([8]PRIORIZADOS!A149="","",[8]PRIORIZADOS!A149)</f>
        <v>1121</v>
      </c>
      <c r="B1170" s="70">
        <v>26</v>
      </c>
      <c r="C1170" s="11" t="str">
        <f>IFERROR(IF(VLOOKUP(A1170,[8]PRIORIZADOS!$A:$C,3,FALSE)="","",VLOOKUP(A1170,[8]PRIORIZADOS!$A:$C,3,FALSE)),"")</f>
        <v>KENNEDY</v>
      </c>
      <c r="D1170" s="11" t="str">
        <f>IFERROR(IF(VLOOKUP(A1170,[8]PRIORIZADOS!$A:$D,4,FALSE)="","",VLOOKUP(A1170,[8]PRIORIZADOS!$A:$D,4,FALSE)),"")</f>
        <v>PRIVADO</v>
      </c>
      <c r="E1170" s="11" t="str">
        <f>IFERROR(IF(VLOOKUP(A1170,[8]PRIORIZADOS!$A:$E,5,FALSE)="","",VLOOKUP(A1170,[8]PRIORIZADOS!$A:$E,5,FALSE)),"")</f>
        <v>Educación de Jóvenes y Adultos</v>
      </c>
      <c r="F1170" s="11" t="str">
        <f>IFERROR(IF(VLOOKUP(A1170,[8]PRIORIZADOS!$A:$F,6,FALSE)="","",VLOOKUP(A1170,[8]PRIORIZADOS!$A:$F,6,FALSE)),"")</f>
        <v>COLEGIO_TRIANGULO_KENNEDY</v>
      </c>
      <c r="G1170" s="11" t="str">
        <f>IFERROR(IF(VLOOKUP(A1170,[8]PRIORIZADOS!$A:$G,7,FALSE)="","",VLOOKUP(A1170,[8]PRIORIZADOS!$A:$G,7,FALSE)),"")</f>
        <v>COLEGIO TRIANGULO KENNEDY</v>
      </c>
      <c r="H1170" s="11" t="str">
        <f>IFERROR(IF(VLOOKUP(A1170,[8]PRIORIZADOS!$A:$H,8,FALSE)="","",VLOOKUP(A1170,[8]PRIORIZADOS!$A:$H,8,FALSE)),"")</f>
        <v>Autoevaluación Institucional y Pruebas SABER 11</v>
      </c>
      <c r="I1170" s="11" t="str">
        <f>IFERROR(IF(VLOOKUP(A1170,[8]PRIORIZADOS!$A:$I,9,FALSE)="","",VLOOKUP(A1170,[8]PRIORIZADOS!$A:$I,9,FALSE)),"")</f>
        <v>EVALUACIÓN_CON_FINES_DE_MEJORAMIENTO.</v>
      </c>
      <c r="J1170" s="11" t="str">
        <f>IFERROR(IF(VLOOKUP(A1170,[8]PRIORIZADOS!$A:$J,10,FALSE)="","",VLOOKUP(A1170,[8]PRIORIZADOS!$A:$J,10,FALSE)),"")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70" s="11" t="str">
        <f>IFERROR(IF(VLOOKUP(A1170,[8]PRIORIZADOS!$A:$K,11,FALSE)="","",VLOOKUP(A1170,[8]PRIORIZADOS!$A:$K,11,FALSE)),"")</f>
        <v>LUCY GONZÁLEZ LERMA</v>
      </c>
      <c r="L1170" s="11" t="str">
        <f>IFERROR(IF(VLOOKUP(A1170,[8]PRIORIZADOS!$A:$L,12,FALSE)="","",VLOOKUP(A1170,[8]PRIORIZADOS!$A:$L,12,FALSE)),"")</f>
        <v>LUIS FERNANDO CÁRDENAS URAN</v>
      </c>
      <c r="M1170" s="71">
        <f>IFERROR(IF(VLOOKUP(A1170,[8]PRIORIZADOS!$A:$M,13,FALSE)="","",VLOOKUP(A1170,[8]PRIORIZADOS!$A:$M,13,FALSE)),"")</f>
        <v>45806</v>
      </c>
      <c r="N1170" s="71">
        <f>IFERROR(IF(VLOOKUP(A1170,[8]PRIORIZADOS!$A:$N,14,FALSE)="","",VLOOKUP(A1170,[8]PRIORIZADOS!$A:$N,14,FALSE)),"")</f>
        <v>45805</v>
      </c>
      <c r="O1170" s="71">
        <f>IFERROR(IF(VLOOKUP(A1170,[8]PRIORIZADOS!$A:$O,15,FALSE)="","",VLOOKUP(A1170,[8]PRIORIZADOS!$A:$O,15,FALSE)),"")</f>
        <v>45805</v>
      </c>
      <c r="P1170" s="11" t="str">
        <f>IFERROR(IF(VLOOKUP(A1170,[8]PRIORIZADOS!$A:$P,16,FALSE)="","",VLOOKUP(A1170,[8]PRIORIZADOS!$A:$P,16,FALSE)),"")</f>
        <v>Visitas de evaluación con fines de mejoramiento</v>
      </c>
      <c r="Q1170" s="107" t="s">
        <v>220</v>
      </c>
      <c r="R1170" s="11" t="str">
        <f>IFERROR(IF(VLOOKUP(A1170,[8]PRIORIZADOS!$A:$R,18,FALSE)="","",VLOOKUP(A1170,[8]PRIORIZADOS!$A:$R,18,FALSE)),"")</f>
        <v xml:space="preserve">El manual se actualiza anualmente; no obstante, no fue construido de forma participativa </v>
      </c>
      <c r="S1170" s="11" t="str">
        <f>IFERROR(IF(VLOOKUP(A1170,[8]PRIORIZADOS!$A:$S,19,FALSE)="","",VLOOKUP(A1170,[8]PRIORIZADOS!$A:$S,19,FALSE)),"")</f>
        <v>Convocar al Gobierno Escolar e Instancias de Participación para la actualización del manual de convivencia.</v>
      </c>
      <c r="T1170" s="70" t="str">
        <f>IFERROR(IF(VLOOKUP(A1170,[8]PRIORIZADOS!$A:$T,20,FALSE)="","",VLOOKUP(A1170,[8]PRIORIZADOS!$A:$T,20,FALSE)),"")</f>
        <v>Si</v>
      </c>
      <c r="U1170" s="11" t="str">
        <f>IFERROR(IF(VLOOKUP(A1170,[8]PRIORIZADOS!$A:$U,21,FALSE)="","",VLOOKUP(A1170,[8]PRIORIZADOS!$A:$U,21,FALSE)),"")</f>
        <v>Revisará la actualización del manual para la vigencia 2026.Se realiza mesa de seguimiento el 6 de octubre.</v>
      </c>
    </row>
    <row r="1171" spans="1:21" s="1" customFormat="1" ht="84">
      <c r="A1171" s="69">
        <f>IF([8]PRIORIZADOS!A150="","",[8]PRIORIZADOS!A150)</f>
        <v>1122</v>
      </c>
      <c r="B1171" s="70">
        <v>26</v>
      </c>
      <c r="C1171" s="11" t="str">
        <f>IFERROR(IF(VLOOKUP(A1171,[8]PRIORIZADOS!$A:$C,3,FALSE)="","",VLOOKUP(A1171,[8]PRIORIZADOS!$A:$C,3,FALSE)),"")</f>
        <v>KENNEDY</v>
      </c>
      <c r="D1171" s="11" t="str">
        <f>IFERROR(IF(VLOOKUP(A1171,[8]PRIORIZADOS!$A:$D,4,FALSE)="","",VLOOKUP(A1171,[8]PRIORIZADOS!$A:$D,4,FALSE)),"")</f>
        <v>PRIVADO</v>
      </c>
      <c r="E1171" s="11" t="str">
        <f>IFERROR(IF(VLOOKUP(A1171,[8]PRIORIZADOS!$A:$E,5,FALSE)="","",VLOOKUP(A1171,[8]PRIORIZADOS!$A:$E,5,FALSE)),"")</f>
        <v>Educación de Jóvenes y Adultos</v>
      </c>
      <c r="F1171" s="11" t="str">
        <f>IFERROR(IF(VLOOKUP(A1171,[8]PRIORIZADOS!$A:$F,6,FALSE)="","",VLOOKUP(A1171,[8]PRIORIZADOS!$A:$F,6,FALSE)),"")</f>
        <v>COLEGIO_TRIANGULO_KENNEDY</v>
      </c>
      <c r="G1171" s="11" t="str">
        <f>IFERROR(IF(VLOOKUP(A1171,[8]PRIORIZADOS!$A:$G,7,FALSE)="","",VLOOKUP(A1171,[8]PRIORIZADOS!$A:$G,7,FALSE)),"")</f>
        <v>COLEGIO TRIANGULO KENNEDY</v>
      </c>
      <c r="H1171" s="11" t="str">
        <f>IFERROR(IF(VLOOKUP(A1171,[8]PRIORIZADOS!$A:$H,8,FALSE)="","",VLOOKUP(A1171,[8]PRIORIZADOS!$A:$H,8,FALSE)),"")</f>
        <v>Autoevaluación Institucional y Pruebas SABER 11</v>
      </c>
      <c r="I1171" s="11" t="str">
        <f>IFERROR(IF(VLOOKUP(A1171,[8]PRIORIZADOS!$A:$I,9,FALSE)="","",VLOOKUP(A1171,[8]PRIORIZADOS!$A:$I,9,FALSE)),"")</f>
        <v>EVALUACIÓN_CON_FINES_DE_MEJORAMIENTO.</v>
      </c>
      <c r="J1171" s="11" t="str">
        <f>IFERROR(IF(VLOOKUP(A1171,[8]PRIORIZADOS!$A:$J,10,FALSE)="","",VLOOKUP(A1171,[8]PRIORIZADOS!$A:$J,10,FALSE)),"")</f>
        <v>Revisar la actualización, socialización e implementación del Sistema Institucional de Evaluación de Estudiantes - SIEE, en articulación con la actualización del PEI y la normatividad vigente.</v>
      </c>
      <c r="K1171" s="11" t="str">
        <f>IFERROR(IF(VLOOKUP(A1171,[8]PRIORIZADOS!$A:$K,11,FALSE)="","",VLOOKUP(A1171,[8]PRIORIZADOS!$A:$K,11,FALSE)),"")</f>
        <v>LUCY GONZÁLEZ LERMA</v>
      </c>
      <c r="L1171" s="11" t="str">
        <f>IFERROR(IF(VLOOKUP(A1171,[8]PRIORIZADOS!$A:$L,12,FALSE)="","",VLOOKUP(A1171,[8]PRIORIZADOS!$A:$L,12,FALSE)),"")</f>
        <v>LUIS FERNANDO CÁRDENAS URAN</v>
      </c>
      <c r="M1171" s="71">
        <f>IFERROR(IF(VLOOKUP(A1171,[8]PRIORIZADOS!$A:$M,13,FALSE)="","",VLOOKUP(A1171,[8]PRIORIZADOS!$A:$M,13,FALSE)),"")</f>
        <v>45806</v>
      </c>
      <c r="N1171" s="71">
        <f>IFERROR(IF(VLOOKUP(A1171,[8]PRIORIZADOS!$A:$N,14,FALSE)="","",VLOOKUP(A1171,[8]PRIORIZADOS!$A:$N,14,FALSE)),"")</f>
        <v>45805</v>
      </c>
      <c r="O1171" s="71">
        <f>IFERROR(IF(VLOOKUP(A1171,[8]PRIORIZADOS!$A:$O,15,FALSE)="","",VLOOKUP(A1171,[8]PRIORIZADOS!$A:$O,15,FALSE)),"")</f>
        <v>45805</v>
      </c>
      <c r="P1171" s="11" t="str">
        <f>IFERROR(IF(VLOOKUP(A1171,[8]PRIORIZADOS!$A:$P,16,FALSE)="","",VLOOKUP(A1171,[8]PRIORIZADOS!$A:$P,16,FALSE)),"")</f>
        <v>Visitas de evaluación con fines de mejoramiento</v>
      </c>
      <c r="Q1171" s="107" t="s">
        <v>220</v>
      </c>
      <c r="R1171" s="11" t="str">
        <f>IFERROR(IF(VLOOKUP(A1171,[8]PRIORIZADOS!$A:$R,18,FALSE)="","",VLOOKUP(A1171,[8]PRIORIZADOS!$A:$R,18,FALSE)),"")</f>
        <v xml:space="preserve">Se evidencio que el SIEE está cargado en una plataforma denominada Q10, que establece la métrica de evaluación y el seguimiento académico a los estudiantes.
No está conformada la Comisión de evaluación para el seguimiento a los procesos. </v>
      </c>
      <c r="S1171" s="11" t="str">
        <f>IFERROR(IF(VLOOKUP(A1171,[8]PRIORIZADOS!$A:$S,19,FALSE)="","",VLOOKUP(A1171,[8]PRIORIZADOS!$A:$S,19,FALSE)),"")</f>
        <v>Documentar la conformación de la comisión de evaluación acorde al PEI y para realizar seguimiento al proceso de evaluación de los estudiantes</v>
      </c>
      <c r="T1171" s="70" t="str">
        <f>IFERROR(IF(VLOOKUP(A1171,[8]PRIORIZADOS!$A:$T,20,FALSE)="","",VLOOKUP(A1171,[8]PRIORIZADOS!$A:$T,20,FALSE)),"")</f>
        <v>Si</v>
      </c>
      <c r="U1171" s="11" t="str">
        <f>IFERROR(IF(VLOOKUP(A1171,[8]PRIORIZADOS!$A:$U,21,FALSE)="","",VLOOKUP(A1171,[8]PRIORIZADOS!$A:$U,21,FALSE)),"")</f>
        <v>Se verificará con la actualización del SIEE la incorporación de la Comisión de Evaluación.  Y las acciones en el plan de mejoramiento en septiembre. Se realiza mesa de seguimiento el 6 de octubre.</v>
      </c>
    </row>
    <row r="1172" spans="1:21" s="1" customFormat="1" ht="48">
      <c r="A1172" s="69">
        <f>IF([8]PRIORIZADOS!A151="","",[8]PRIORIZADOS!A151)</f>
        <v>1123</v>
      </c>
      <c r="B1172" s="70">
        <v>26</v>
      </c>
      <c r="C1172" s="11" t="str">
        <f>IFERROR(IF(VLOOKUP(A1172,[8]PRIORIZADOS!$A:$C,3,FALSE)="","",VLOOKUP(A1172,[8]PRIORIZADOS!$A:$C,3,FALSE)),"")</f>
        <v>KENNEDY</v>
      </c>
      <c r="D1172" s="11" t="str">
        <f>IFERROR(IF(VLOOKUP(A1172,[8]PRIORIZADOS!$A:$D,4,FALSE)="","",VLOOKUP(A1172,[8]PRIORIZADOS!$A:$D,4,FALSE)),"")</f>
        <v>PRIVADO</v>
      </c>
      <c r="E1172" s="11" t="str">
        <f>IFERROR(IF(VLOOKUP(A1172,[8]PRIORIZADOS!$A:$E,5,FALSE)="","",VLOOKUP(A1172,[8]PRIORIZADOS!$A:$E,5,FALSE)),"")</f>
        <v>Educación de Jóvenes y Adultos</v>
      </c>
      <c r="F1172" s="11" t="str">
        <f>IFERROR(IF(VLOOKUP(A1172,[8]PRIORIZADOS!$A:$F,6,FALSE)="","",VLOOKUP(A1172,[8]PRIORIZADOS!$A:$F,6,FALSE)),"")</f>
        <v>COLEGIO_TRIANGULO_KENNEDY</v>
      </c>
      <c r="G1172" s="11" t="str">
        <f>IFERROR(IF(VLOOKUP(A1172,[8]PRIORIZADOS!$A:$G,7,FALSE)="","",VLOOKUP(A1172,[8]PRIORIZADOS!$A:$G,7,FALSE)),"")</f>
        <v>COLEGIO TRIANGULO KENNEDY</v>
      </c>
      <c r="H1172" s="11" t="str">
        <f>IFERROR(IF(VLOOKUP(A1172,[8]PRIORIZADOS!$A:$H,8,FALSE)="","",VLOOKUP(A1172,[8]PRIORIZADOS!$A:$H,8,FALSE)),"")</f>
        <v>Autoevaluación Institucional y Pruebas SABER 11</v>
      </c>
      <c r="I1172" s="11" t="str">
        <f>IFERROR(IF(VLOOKUP(A1172,[8]PRIORIZADOS!$A:$I,9,FALSE)="","",VLOOKUP(A1172,[8]PRIORIZADOS!$A:$I,9,FALSE)),"")</f>
        <v>EVALUACIÓN_CON_FINES_DE_MEJORAMIENTO.</v>
      </c>
      <c r="J1172" s="11" t="str">
        <f>IFERROR(IF(VLOOKUP(A1172,[8]PRIORIZADOS!$A:$J,10,FALSE)="","",VLOOKUP(A1172,[8]PRIORIZADOS!$A:$J,10,FALSE)),"")</f>
        <v>Revisar el calendario escolar, jornada escolar, la intensidad horaria mínima anual en cada nivel y las modificaciones que se realicen al mismo, de acuerdo con lo previsto en la normatividad vigente.</v>
      </c>
      <c r="K1172" s="11" t="str">
        <f>IFERROR(IF(VLOOKUP(A1172,[8]PRIORIZADOS!$A:$K,11,FALSE)="","",VLOOKUP(A1172,[8]PRIORIZADOS!$A:$K,11,FALSE)),"")</f>
        <v>LUCY GONZÁLEZ LERMA</v>
      </c>
      <c r="L1172" s="11" t="str">
        <f>IFERROR(IF(VLOOKUP(A1172,[8]PRIORIZADOS!$A:$L,12,FALSE)="","",VLOOKUP(A1172,[8]PRIORIZADOS!$A:$L,12,FALSE)),"")</f>
        <v>LUIS FERNANDO CÁRDENAS URAN</v>
      </c>
      <c r="M1172" s="71">
        <f>IFERROR(IF(VLOOKUP(A1172,[8]PRIORIZADOS!$A:$M,13,FALSE)="","",VLOOKUP(A1172,[8]PRIORIZADOS!$A:$M,13,FALSE)),"")</f>
        <v>45806</v>
      </c>
      <c r="N1172" s="71">
        <f>IFERROR(IF(VLOOKUP(A1172,[8]PRIORIZADOS!$A:$N,14,FALSE)="","",VLOOKUP(A1172,[8]PRIORIZADOS!$A:$N,14,FALSE)),"")</f>
        <v>45805</v>
      </c>
      <c r="O1172" s="71">
        <f>IFERROR(IF(VLOOKUP(A1172,[8]PRIORIZADOS!$A:$O,15,FALSE)="","",VLOOKUP(A1172,[8]PRIORIZADOS!$A:$O,15,FALSE)),"")</f>
        <v>45805</v>
      </c>
      <c r="P1172" s="11" t="str">
        <f>IFERROR(IF(VLOOKUP(A1172,[8]PRIORIZADOS!$A:$P,16,FALSE)="","",VLOOKUP(A1172,[8]PRIORIZADOS!$A:$P,16,FALSE)),"")</f>
        <v>Visitas de evaluación con fines de mejoramiento</v>
      </c>
      <c r="Q1172" s="107" t="s">
        <v>220</v>
      </c>
      <c r="R1172" s="11" t="str">
        <f>IFERROR(IF(VLOOKUP(A1172,[8]PRIORIZADOS!$A:$R,18,FALSE)="","",VLOOKUP(A1172,[8]PRIORIZADOS!$A:$R,18,FALSE)),"")</f>
        <v xml:space="preserve">El calendario no contiene de manera clara la intensidad horaria de las áreas fundamentales y optativas para los niveles que ofrece. </v>
      </c>
      <c r="S1172" s="11" t="str">
        <f>IFERROR(IF(VLOOKUP(A1172,[8]PRIORIZADOS!$A:$S,19,FALSE)="","",VLOOKUP(A1172,[8]PRIORIZADOS!$A:$S,19,FALSE)),"")</f>
        <v xml:space="preserve">Subsanar y radicar el calendario escolar según las observaciones realizadas </v>
      </c>
      <c r="T1172" s="70" t="str">
        <f>IFERROR(IF(VLOOKUP(A1172,[8]PRIORIZADOS!$A:$T,20,FALSE)="","",VLOOKUP(A1172,[8]PRIORIZADOS!$A:$T,20,FALSE)),"")</f>
        <v>Si</v>
      </c>
      <c r="U1172" s="11" t="str">
        <f>IFERROR(IF(VLOOKUP(A1172,[8]PRIORIZADOS!$A:$U,21,FALSE)="","",VLOOKUP(A1172,[8]PRIORIZADOS!$A:$U,21,FALSE)),"")</f>
        <v>Se verificó el cumplimiento de la intensidad horaria en el calendario aportado por la IE en la primera semana de junio. Se realiza mesa de seguimiento el 6 de octubre.</v>
      </c>
    </row>
    <row r="1173" spans="1:21" s="1" customFormat="1" ht="61.5" customHeight="1">
      <c r="A1173" s="69">
        <f>IF([8]PRIORIZADOS!A152="","",[8]PRIORIZADOS!A152)</f>
        <v>1124</v>
      </c>
      <c r="B1173" s="70">
        <v>26</v>
      </c>
      <c r="C1173" s="11" t="s">
        <v>221</v>
      </c>
      <c r="D1173" s="11" t="str">
        <f>IFERROR(IF(VLOOKUP(A1173,[8]PRIORIZADOS!$A:$D,4,FALSE)="","",VLOOKUP(A1173,[8]PRIORIZADOS!$A:$D,4,FALSE)),"")</f>
        <v>PRIVADO</v>
      </c>
      <c r="E1173" s="11" t="str">
        <f>IFERROR(IF(VLOOKUP(A1173,[8]PRIORIZADOS!$A:$E,5,FALSE)="","",VLOOKUP(A1173,[8]PRIORIZADOS!$A:$E,5,FALSE)),"")</f>
        <v>Educación de Jóvenes y Adultos</v>
      </c>
      <c r="F1173" s="11" t="str">
        <f>IFERROR(IF(VLOOKUP(A1173,[8]PRIORIZADOS!$A:$F,6,FALSE)="","",VLOOKUP(A1173,[8]PRIORIZADOS!$A:$F,6,FALSE)),"")</f>
        <v>COLEGIO_TRIANGULO_KENNEDY</v>
      </c>
      <c r="G1173" s="11" t="str">
        <f>IFERROR(IF(VLOOKUP(A1173,[8]PRIORIZADOS!$A:$G,7,FALSE)="","",VLOOKUP(A1173,[8]PRIORIZADOS!$A:$G,7,FALSE)),"")</f>
        <v>COLEGIO TRIANGULO KENNEDY</v>
      </c>
      <c r="H1173" s="11" t="str">
        <f>IFERROR(IF(VLOOKUP(A1173,[8]PRIORIZADOS!$A:$H,8,FALSE)="","",VLOOKUP(A1173,[8]PRIORIZADOS!$A:$H,8,FALSE)),"")</f>
        <v>Autoevaluación Institucional y Pruebas SABER 11</v>
      </c>
      <c r="I1173" s="11" t="str">
        <f>IFERROR(IF(VLOOKUP(A1173,[8]PRIORIZADOS!$A:$I,9,FALSE)="","",VLOOKUP(A1173,[8]PRIORIZADOS!$A:$I,9,FALSE)),"")</f>
        <v>EVALUACIÓN_CON_FINES_DE_MEJORAMIENTO.</v>
      </c>
      <c r="J1173" s="11" t="str">
        <f>IFERROR(IF(VLOOKUP(A1173,[8]PRIORIZADOS!$A:$J,10,FALSE)="","",VLOOKUP(A1173,[8]PRIORIZADOS!$A:$J,10,FALSE)),"")</f>
        <v>Verificar el funcionamiento del Gobierno Escolar e instancias de participación con base en la información sobre conformación reportada por la institución educativa.</v>
      </c>
      <c r="K1173" s="11" t="str">
        <f>IFERROR(IF(VLOOKUP(A1173,[8]PRIORIZADOS!$A:$K,11,FALSE)="","",VLOOKUP(A1173,[8]PRIORIZADOS!$A:$K,11,FALSE)),"")</f>
        <v>LUCY GONZÁLEZ LERMA</v>
      </c>
      <c r="L1173" s="11" t="str">
        <f>IFERROR(IF(VLOOKUP(A1173,[8]PRIORIZADOS!$A:$L,12,FALSE)="","",VLOOKUP(A1173,[8]PRIORIZADOS!$A:$L,12,FALSE)),"")</f>
        <v>LUIS FERNANDO CÁRDENAS URAN</v>
      </c>
      <c r="M1173" s="71">
        <f>IFERROR(IF(VLOOKUP(A1173,[8]PRIORIZADOS!$A:$M,13,FALSE)="","",VLOOKUP(A1173,[8]PRIORIZADOS!$A:$M,13,FALSE)),"")</f>
        <v>45806</v>
      </c>
      <c r="N1173" s="71">
        <f>IFERROR(IF(VLOOKUP(A1173,[8]PRIORIZADOS!$A:$N,14,FALSE)="","",VLOOKUP(A1173,[8]PRIORIZADOS!$A:$N,14,FALSE)),"")</f>
        <v>45805</v>
      </c>
      <c r="O1173" s="71">
        <f>IFERROR(IF(VLOOKUP(A1173,[8]PRIORIZADOS!$A:$O,15,FALSE)="","",VLOOKUP(A1173,[8]PRIORIZADOS!$A:$O,15,FALSE)),"")</f>
        <v>45805</v>
      </c>
      <c r="P1173" s="11" t="str">
        <f>IFERROR(IF(VLOOKUP(A1173,[8]PRIORIZADOS!$A:$P,16,FALSE)="","",VLOOKUP(A1173,[8]PRIORIZADOS!$A:$P,16,FALSE)),"")</f>
        <v>Visitas de evaluación con fines de mejoramiento</v>
      </c>
      <c r="Q1173" s="126" t="s">
        <v>220</v>
      </c>
      <c r="R1173" s="11" t="str">
        <f>IFERROR(IF(VLOOKUP(A1173,[8]PRIORIZADOS!$A:$R,18,FALSE)="","",VLOOKUP(A1173,[8]PRIORIZADOS!$A:$R,18,FALSE)),"")</f>
        <v xml:space="preserve">Se encuentra conformado el gobierno escolar, pero, no se evidencia su operatividad. </v>
      </c>
      <c r="S1173" s="11" t="str">
        <f>IFERROR(IF(VLOOKUP(A1173,[8]PRIORIZADOS!$A:$S,19,FALSE)="","",VLOOKUP(A1173,[8]PRIORIZADOS!$A:$S,19,FALSE)),"")</f>
        <v>Garantizar la operatividad del Gobierno Escolar</v>
      </c>
      <c r="T1173" s="70" t="str">
        <f>IFERROR(IF(VLOOKUP(A1173,[8]PRIORIZADOS!$A:$T,20,FALSE)="","",VLOOKUP(A1173,[8]PRIORIZADOS!$A:$T,20,FALSE)),"")</f>
        <v>Si</v>
      </c>
      <c r="U1173" s="11" t="str">
        <f>IFERROR(IF(VLOOKUP(A1173,[8]PRIORIZADOS!$A:$U,21,FALSE)="","",VLOOKUP(A1173,[8]PRIORIZADOS!$A:$U,21,FALSE)),"")</f>
        <v>Se verificará en el plan de mejoramiento en septiembre. Se realiza mesa de seguimiento el 6 de octubre.</v>
      </c>
    </row>
    <row r="1174" spans="1:21" s="1" customFormat="1" ht="118.5">
      <c r="A1174" s="69">
        <f>IF([8]PRIORIZADOS!A153="","",[8]PRIORIZADOS!A153)</f>
        <v>1125</v>
      </c>
      <c r="B1174" s="70">
        <v>26</v>
      </c>
      <c r="C1174" s="11" t="str">
        <f>IFERROR(IF(VLOOKUP(A1174,[8]PRIORIZADOS!$A:$C,3,FALSE)="","",VLOOKUP(A1174,[8]PRIORIZADOS!$A:$C,3,FALSE)),"")</f>
        <v>KENNEDY</v>
      </c>
      <c r="D1174" s="11" t="str">
        <f>IFERROR(IF(VLOOKUP(A1174,[8]PRIORIZADOS!$A:$D,4,FALSE)="","",VLOOKUP(A1174,[8]PRIORIZADOS!$A:$D,4,FALSE)),"")</f>
        <v>PRIVADO</v>
      </c>
      <c r="E1174" s="11" t="str">
        <f>IFERROR(IF(VLOOKUP(A1174,[8]PRIORIZADOS!$A:$E,5,FALSE)="","",VLOOKUP(A1174,[8]PRIORIZADOS!$A:$E,5,FALSE)),"")</f>
        <v>Educación de Jóvenes y Adultos</v>
      </c>
      <c r="F1174" s="11" t="str">
        <f>IFERROR(IF(VLOOKUP(A1174,[8]PRIORIZADOS!$A:$F,6,FALSE)="","",VLOOKUP(A1174,[8]PRIORIZADOS!$A:$F,6,FALSE)),"")</f>
        <v>COLEGIO_TRIANGULO_KENNEDY</v>
      </c>
      <c r="G1174" s="11" t="str">
        <f>IFERROR(IF(VLOOKUP(A1174,[8]PRIORIZADOS!$A:$G,7,FALSE)="","",VLOOKUP(A1174,[8]PRIORIZADOS!$A:$G,7,FALSE)),"")</f>
        <v>COLEGIO TRIANGULO KENNEDY</v>
      </c>
      <c r="H1174" s="11" t="str">
        <f>IFERROR(IF(VLOOKUP(A1174,[8]PRIORIZADOS!$A:$H,8,FALSE)="","",VLOOKUP(A1174,[8]PRIORIZADOS!$A:$H,8,FALSE)),"")</f>
        <v>Autoevaluación Institucional y Pruebas SABER 11</v>
      </c>
      <c r="I1174" s="11" t="str">
        <f>IFERROR(IF(VLOOKUP(A1174,[8]PRIORIZADOS!$A:$I,9,FALSE)="","",VLOOKUP(A1174,[8]PRIORIZADOS!$A:$I,9,FALSE)),"")</f>
        <v>EVALUACIÓN_CON_FINES_DE_MEJORAMIENTO.</v>
      </c>
      <c r="J1174" s="11" t="str">
        <f>IFERROR(IF(VLOOKUP(A1174,[8]PRIORIZADOS!$A:$J,10,FALSE)="","",VLOOKUP(A1174,[8]PRIORIZADOS!$A:$J,10,FALSE)),"")</f>
        <v>Verificar las condiciones en cuanto a: la estructura administrativa, condiciones de la planta física y medios educativos adecuados.</v>
      </c>
      <c r="K1174" s="11" t="str">
        <f>IFERROR(IF(VLOOKUP(A1174,[8]PRIORIZADOS!$A:$K,11,FALSE)="","",VLOOKUP(A1174,[8]PRIORIZADOS!$A:$K,11,FALSE)),"")</f>
        <v>LUCY GONZÁLEZ LERMA</v>
      </c>
      <c r="L1174" s="11" t="str">
        <f>IFERROR(IF(VLOOKUP(A1174,[8]PRIORIZADOS!$A:$L,12,FALSE)="","",VLOOKUP(A1174,[8]PRIORIZADOS!$A:$L,12,FALSE)),"")</f>
        <v>LUIS FERNANDO CÁRDENAS URAN</v>
      </c>
      <c r="M1174" s="71">
        <f>IFERROR(IF(VLOOKUP(A1174,[8]PRIORIZADOS!$A:$M,13,FALSE)="","",VLOOKUP(A1174,[8]PRIORIZADOS!$A:$M,13,FALSE)),"")</f>
        <v>45806</v>
      </c>
      <c r="N1174" s="71">
        <f>IFERROR(IF(VLOOKUP(A1174,[8]PRIORIZADOS!$A:$N,14,FALSE)="","",VLOOKUP(A1174,[8]PRIORIZADOS!$A:$N,14,FALSE)),"")</f>
        <v>45805</v>
      </c>
      <c r="O1174" s="71">
        <f>IFERROR(IF(VLOOKUP(A1174,[8]PRIORIZADOS!$A:$O,15,FALSE)="","",VLOOKUP(A1174,[8]PRIORIZADOS!$A:$O,15,FALSE)),"")</f>
        <v>45805</v>
      </c>
      <c r="P1174" s="11" t="str">
        <f>IFERROR(IF(VLOOKUP(A1174,[8]PRIORIZADOS!$A:$P,16,FALSE)="","",VLOOKUP(A1174,[8]PRIORIZADOS!$A:$P,16,FALSE)),"")</f>
        <v>Visitas de evaluación con fines de mejoramiento</v>
      </c>
      <c r="Q1174" s="107" t="s">
        <v>220</v>
      </c>
      <c r="R1174" s="11" t="str">
        <f>IFERROR(IF(VLOOKUP(A1174,[8]PRIORIZADOS!$A:$R,18,FALSE)="","",VLOOKUP(A1174,[8]PRIORIZADOS!$A:$R,18,FALSE)),"")</f>
        <v>Cumple con las condiciones de estructura administrativa, de la planta física, mobiliario, equipos de cómputo, medios educativos y tecnológicos  adecuadas  condiciones iluminación y ventilación.  La IE no cuenta con  espacios lúdicos, recreativos  y culturales, por lo que ha optado por la suscripción de un convenio con la Fundación  de Educación Superior San José.</v>
      </c>
      <c r="S1174" s="11" t="str">
        <f>IFERROR(IF(VLOOKUP(A1174,[8]PRIORIZADOS!$A:$S,19,FALSE)="","",VLOOKUP(A1174,[8]PRIORIZADOS!$A:$S,19,FALSE)),"")</f>
        <v>Mantener las condiciones de estructura física, mobiliario, equipos y recursos.</v>
      </c>
      <c r="T1174" s="70" t="str">
        <f>IFERROR(IF(VLOOKUP(A1174,[8]PRIORIZADOS!$A:$T,20,FALSE)="","",VLOOKUP(A1174,[8]PRIORIZADOS!$A:$T,20,FALSE)),"")</f>
        <v>No</v>
      </c>
      <c r="U1174" s="11" t="str">
        <f>IFERROR(IF(VLOOKUP(A1174,[8]PRIORIZADOS!$A:$U,21,FALSE)="","",VLOOKUP(A1174,[8]PRIORIZADOS!$A:$U,21,FALSE)),"")</f>
        <v>Verificar que se mantengan las condiciones de prestación del servicio.</v>
      </c>
    </row>
    <row r="1175" spans="1:21" s="1" customFormat="1" ht="84">
      <c r="A1175" s="69">
        <f>IF([8]PRIORIZADOS!A154="","",[8]PRIORIZADOS!A154)</f>
        <v>2787</v>
      </c>
      <c r="B1175" s="70">
        <f>IFERROR(IF(VLOOKUP(A1175,[8]PRIORIZADOS!$A:$B,2,FALSE)="","",VLOOKUP(A1175,[8]PRIORIZADOS!$A:$B,2,FALSE)),"")</f>
        <v>27</v>
      </c>
      <c r="C1175" s="11" t="str">
        <f>IFERROR(IF(VLOOKUP(A1175,[8]PRIORIZADOS!$A:$C,3,FALSE)="","",VLOOKUP(A1175,[8]PRIORIZADOS!$A:$C,3,FALSE)),"")</f>
        <v>KENNEDY</v>
      </c>
      <c r="D1175" s="11" t="str">
        <f>IFERROR(IF(VLOOKUP(A1175,[8]PRIORIZADOS!$A:$D,4,FALSE)="","",VLOOKUP(A1175,[8]PRIORIZADOS!$A:$D,4,FALSE)),"")</f>
        <v>PRIVADO</v>
      </c>
      <c r="E1175" s="11" t="str">
        <f>IFERROR(IF(VLOOKUP(A1175,[8]PRIORIZADOS!$A:$E,5,FALSE)="","",VLOOKUP(A1175,[8]PRIORIZADOS!$A:$E,5,FALSE)),"")</f>
        <v>Educación de Jóvenes y Adultos</v>
      </c>
      <c r="F1175" s="11" t="str">
        <f>IFERROR(IF(VLOOKUP(A1175,[8]PRIORIZADOS!$A:$F,6,FALSE)="","",VLOOKUP(A1175,[8]PRIORIZADOS!$A:$F,6,FALSE)),"")</f>
        <v>COLEGIO_TRIANGULO_PATIO_BONITO</v>
      </c>
      <c r="G1175" s="11" t="str">
        <f>IFERROR(IF(VLOOKUP(A1175,[8]PRIORIZADOS!$A:$G,7,FALSE)="","",VLOOKUP(A1175,[8]PRIORIZADOS!$A:$G,7,FALSE)),"")</f>
        <v>COLEGIO TRIANGULO PATIO BONITO</v>
      </c>
      <c r="H1175" s="11" t="str">
        <f>IFERROR(IF(VLOOKUP(A1175,[8]PRIORIZADOS!$A:$H,8,FALSE)="","",VLOOKUP(A1175,[8]PRIORIZADOS!$A:$H,8,FALSE)),"")</f>
        <v>Autoevaluación Institucional y Pruebas SABER 11</v>
      </c>
      <c r="I1175" s="11" t="str">
        <f>IFERROR(IF(VLOOKUP(A1175,[8]PRIORIZADOS!$A:$I,9,FALSE)="","",VLOOKUP(A1175,[8]PRIORIZADOS!$A:$I,9,FALSE)),"")</f>
        <v>SEGUIMIENTO_Y_SUPERVISIÓN.</v>
      </c>
      <c r="J1175" s="11" t="str">
        <f>IFERROR(IF(VLOOKUP(A1175,[8]PRIORIZADOS!$A:$J,10,FALSE)="","",VLOOKUP(A1175,[8]PRIORIZADOS!$A:$J,10,FALSE)),"")</f>
        <v>Proponer estrategias en la formulación, verificar su elaboración y realizar seguimiento semestral al desarrollo de  las acciones establecidas en los planes de mejoramiento por pruebas SABER 11 de los establecimientos de educación formal.</v>
      </c>
      <c r="K1175" s="11" t="str">
        <f>IFERROR(IF(VLOOKUP(A1175,[8]PRIORIZADOS!$A:$K,11,FALSE)="","",VLOOKUP(A1175,[8]PRIORIZADOS!$A:$K,11,FALSE)),"")</f>
        <v>INGRID VIVIANA DÁVILA ÁVILA</v>
      </c>
      <c r="L1175" s="11" t="str">
        <f>IFERROR(IF(VLOOKUP(A1175,[8]PRIORIZADOS!$A:$L,12,FALSE)="","",VLOOKUP(A1175,[8]PRIORIZADOS!$A:$L,12,FALSE)),"")</f>
        <v>VIVANA PILAR BOHÓRQUEZ DÍAZ</v>
      </c>
      <c r="M1175" s="71">
        <f>IFERROR(IF(VLOOKUP(A1175,[8]PRIORIZADOS!$A:$M,13,FALSE)="","",VLOOKUP(A1175,[8]PRIORIZADOS!$A:$M,13,FALSE)),"")</f>
        <v>45811</v>
      </c>
      <c r="N1175" s="71">
        <f>IFERROR(IF(VLOOKUP(A1175,[8]PRIORIZADOS!$A:$N,14,FALSE)="","",VLOOKUP(A1175,[8]PRIORIZADOS!$A:$N,14,FALSE)),"")</f>
        <v>45811</v>
      </c>
      <c r="O1175" s="71">
        <f>IFERROR(IF(VLOOKUP(A1175,[8]PRIORIZADOS!$A:$O,15,FALSE)="","",VLOOKUP(A1175,[8]PRIORIZADOS!$A:$O,15,FALSE)),"")</f>
        <v>45811</v>
      </c>
      <c r="P1175" s="11" t="str">
        <f>IFERROR(IF(VLOOKUP(A1175,[8]PRIORIZADOS!$A:$P,16,FALSE)="","",VLOOKUP(A1175,[8]PRIORIZADOS!$A:$P,16,FALSE)),"")</f>
        <v>Visitas de evaluación con fines de mejoramiento</v>
      </c>
      <c r="Q1175" s="125" t="s">
        <v>222</v>
      </c>
      <c r="R1175" s="11" t="str">
        <f>IFERROR(IF(VLOOKUP(A1175,[8]PRIORIZADOS!$A:$R,18,FALSE)="","",VLOOKUP(A1175,[8]PRIORIZADOS!$A:$R,18,FALSE)),"")</f>
        <v>La IE realizó análisis de cada uno de los resultados obtenidos por estudiante y estableció  un plan de acción para mejorar en las áreas con mayor dificultad, igualmente,  cuenta con una plataforma de refuerzo que trabaja temas relacionados con las pruebas SABER 11</v>
      </c>
      <c r="S1175" s="11" t="str">
        <f>IFERROR(IF(VLOOKUP(A1175,[8]PRIORIZADOS!$A:$S,19,FALSE)="","",VLOOKUP(A1175,[8]PRIORIZADOS!$A:$S,19,FALSE)),"")</f>
        <v>Continuar con la implementación de acciones del plan de mejoramiento y que sea aprobado  por el Consejo Directivo y  Académico</v>
      </c>
      <c r="T1175" s="70" t="str">
        <f>IFERROR(IF(VLOOKUP(A1175,[8]PRIORIZADOS!$A:$T,20,FALSE)="","",VLOOKUP(A1175,[8]PRIORIZADOS!$A:$T,20,FALSE)),"")</f>
        <v>No</v>
      </c>
      <c r="U1175" s="11" t="str">
        <f>IFERROR(IF(VLOOKUP(A1175,[8]PRIORIZADOS!$A:$U,21,FALSE)="","",VLOOKUP(A1175,[8]PRIORIZADOS!$A:$U,21,FALSE)),"")</f>
        <v>Verificar que la implementación del Plan y su aprobación por parte del Consejo Directivo y Académico.</v>
      </c>
    </row>
    <row r="1176" spans="1:21" s="1" customFormat="1" ht="48">
      <c r="A1176" s="69">
        <f>IF([8]PRIORIZADOS!A155="","",[8]PRIORIZADOS!A155)</f>
        <v>1126</v>
      </c>
      <c r="B1176" s="70">
        <v>27</v>
      </c>
      <c r="C1176" s="11" t="str">
        <f>IFERROR(IF(VLOOKUP(A1176,[8]PRIORIZADOS!$A:$C,3,FALSE)="","",VLOOKUP(A1176,[8]PRIORIZADOS!$A:$C,3,FALSE)),"")</f>
        <v>KENNEDY</v>
      </c>
      <c r="D1176" s="11" t="str">
        <f>IFERROR(IF(VLOOKUP(A1176,[8]PRIORIZADOS!$A:$D,4,FALSE)="","",VLOOKUP(A1176,[8]PRIORIZADOS!$A:$D,4,FALSE)),"")</f>
        <v>PRIVADO</v>
      </c>
      <c r="E1176" s="11" t="str">
        <f>IFERROR(IF(VLOOKUP(A1176,[8]PRIORIZADOS!$A:$E,5,FALSE)="","",VLOOKUP(A1176,[8]PRIORIZADOS!$A:$E,5,FALSE)),"")</f>
        <v>Educación de Jóvenes y Adultos</v>
      </c>
      <c r="F1176" s="11" t="str">
        <f>IFERROR(IF(VLOOKUP(A1176,[8]PRIORIZADOS!$A:$F,6,FALSE)="","",VLOOKUP(A1176,[8]PRIORIZADOS!$A:$F,6,FALSE)),"")</f>
        <v>COLEGIO_TRIANGULO_PATIO_BONITO</v>
      </c>
      <c r="G1176" s="11" t="str">
        <f>IFERROR(IF(VLOOKUP(A1176,[8]PRIORIZADOS!$A:$G,7,FALSE)="","",VLOOKUP(A1176,[8]PRIORIZADOS!$A:$G,7,FALSE)),"")</f>
        <v>COLEGIO TRIANGULO PATIO BONITO</v>
      </c>
      <c r="H1176" s="11" t="str">
        <f>IFERROR(IF(VLOOKUP(A1176,[8]PRIORIZADOS!$A:$H,8,FALSE)="","",VLOOKUP(A1176,[8]PRIORIZADOS!$A:$H,8,FALSE)),"")</f>
        <v>Autoevaluación Institucional y Pruebas SABER 11</v>
      </c>
      <c r="I1176" s="11" t="str">
        <f>IFERROR(IF(VLOOKUP(A1176,[8]PRIORIZADOS!$A:$I,9,FALSE)="","",VLOOKUP(A1176,[8]PRIORIZADOS!$A:$I,9,FALSE)),"")</f>
        <v>SEGUIMIENTO_Y_SUPERVISIÓN.</v>
      </c>
      <c r="J1176" s="11" t="str">
        <f>IFERROR(IF(VLOOKUP(A1176,[8]PRIORIZADOS!$A:$J,10,FALSE)="","",VLOOKUP(A1176,[8]PRIORIZADOS!$A:$J,10,FALSE)),"")</f>
        <v>Realizar visitas para verificar la información registrada sobre la autoevaluación institucional en el aplicativo EVI, a los establecimientos de educación formal no oficial.</v>
      </c>
      <c r="K1176" s="11" t="str">
        <f>IFERROR(IF(VLOOKUP(A1176,[8]PRIORIZADOS!$A:$K,11,FALSE)="","",VLOOKUP(A1176,[8]PRIORIZADOS!$A:$K,11,FALSE)),"")</f>
        <v>INGRID VIVIANA DÁVILA ÁVILA</v>
      </c>
      <c r="L1176" s="11" t="str">
        <f>IFERROR(IF(VLOOKUP(A1176,[8]PRIORIZADOS!$A:$L,12,FALSE)="","",VLOOKUP(A1176,[8]PRIORIZADOS!$A:$L,12,FALSE)),"")</f>
        <v>VIVANA PILAR BOHÓRQUEZ DÍAZ</v>
      </c>
      <c r="M1176" s="71">
        <f>IFERROR(IF(VLOOKUP(A1176,[8]PRIORIZADOS!$A:$M,13,FALSE)="","",VLOOKUP(A1176,[8]PRIORIZADOS!$A:$M,13,FALSE)),"")</f>
        <v>45811</v>
      </c>
      <c r="N1176" s="71">
        <f>IFERROR(IF(VLOOKUP(A1176,[8]PRIORIZADOS!$A:$N,14,FALSE)="","",VLOOKUP(A1176,[8]PRIORIZADOS!$A:$N,14,FALSE)),"")</f>
        <v>45811</v>
      </c>
      <c r="O1176" s="71">
        <f>IFERROR(IF(VLOOKUP(A1176,[8]PRIORIZADOS!$A:$O,15,FALSE)="","",VLOOKUP(A1176,[8]PRIORIZADOS!$A:$O,15,FALSE)),"")</f>
        <v>45811</v>
      </c>
      <c r="P1176" s="11" t="str">
        <f>IFERROR(IF(VLOOKUP(A1176,[8]PRIORIZADOS!$A:$P,16,FALSE)="","",VLOOKUP(A1176,[8]PRIORIZADOS!$A:$P,16,FALSE)),"")</f>
        <v>Visitas de evaluación con fines de mejoramiento</v>
      </c>
      <c r="Q1176" s="125" t="s">
        <v>222</v>
      </c>
      <c r="R1176" s="11" t="str">
        <f>IFERROR(IF(VLOOKUP(A1176,[8]PRIORIZADOS!$A:$R,18,FALSE)="","",VLOOKUP(A1176,[8]PRIORIZADOS!$A:$R,18,FALSE)),"")</f>
        <v>Al revisar la información reportada en el EVI y contrastar con la visita realizada a la institución educativa se puedo encontrar coherencia con la información registrada</v>
      </c>
      <c r="S1176" s="11" t="str">
        <f>IFERROR(IF(VLOOKUP(A1176,[8]PRIORIZADOS!$A:$S,19,FALSE)="","",VLOOKUP(A1176,[8]PRIORIZADOS!$A:$S,19,FALSE)),"")</f>
        <v>Seguir registrando la información que da cuenta de la realidad institucional.</v>
      </c>
      <c r="T1176" s="70" t="str">
        <f>IFERROR(IF(VLOOKUP(A1176,[8]PRIORIZADOS!$A:$T,20,FALSE)="","",VLOOKUP(A1176,[8]PRIORIZADOS!$A:$T,20,FALSE)),"")</f>
        <v>No</v>
      </c>
      <c r="U1176" s="11" t="str">
        <f>IFERROR(IF(VLOOKUP(A1176,[8]PRIORIZADOS!$A:$U,21,FALSE)="","",VLOOKUP(A1176,[8]PRIORIZADOS!$A:$U,21,FALSE)),"")</f>
        <v>Verificar en el aplicativo EVI, la información registrada.</v>
      </c>
    </row>
    <row r="1177" spans="1:21" s="1" customFormat="1" ht="60">
      <c r="A1177" s="69">
        <f>IF([8]PRIORIZADOS!A156="","",[8]PRIORIZADOS!A156)</f>
        <v>1127</v>
      </c>
      <c r="B1177" s="70">
        <v>27</v>
      </c>
      <c r="C1177" s="11" t="str">
        <f>IFERROR(IF(VLOOKUP(A1177,[8]PRIORIZADOS!$A:$C,3,FALSE)="","",VLOOKUP(A1177,[8]PRIORIZADOS!$A:$C,3,FALSE)),"")</f>
        <v>KENNEDY</v>
      </c>
      <c r="D1177" s="11" t="str">
        <f>IFERROR(IF(VLOOKUP(A1177,[8]PRIORIZADOS!$A:$D,4,FALSE)="","",VLOOKUP(A1177,[8]PRIORIZADOS!$A:$D,4,FALSE)),"")</f>
        <v>PRIVADO</v>
      </c>
      <c r="E1177" s="11" t="str">
        <f>IFERROR(IF(VLOOKUP(A1177,[8]PRIORIZADOS!$A:$E,5,FALSE)="","",VLOOKUP(A1177,[8]PRIORIZADOS!$A:$E,5,FALSE)),"")</f>
        <v>Educación de Jóvenes y Adultos</v>
      </c>
      <c r="F1177" s="11" t="str">
        <f>IFERROR(IF(VLOOKUP(A1177,[8]PRIORIZADOS!$A:$F,6,FALSE)="","",VLOOKUP(A1177,[8]PRIORIZADOS!$A:$F,6,FALSE)),"")</f>
        <v>COLEGIO_TRIANGULO_PATIO_BONITO</v>
      </c>
      <c r="G1177" s="11" t="str">
        <f>IFERROR(IF(VLOOKUP(A1177,[8]PRIORIZADOS!$A:$G,7,FALSE)="","",VLOOKUP(A1177,[8]PRIORIZADOS!$A:$G,7,FALSE)),"")</f>
        <v>COLEGIO TRIANGULO PATIO BONITO</v>
      </c>
      <c r="H1177" s="11" t="str">
        <f>IFERROR(IF(VLOOKUP(A1177,[8]PRIORIZADOS!$A:$H,8,FALSE)="","",VLOOKUP(A1177,[8]PRIORIZADOS!$A:$H,8,FALSE)),"")</f>
        <v>Autoevaluación Institucional y Pruebas SABER 11</v>
      </c>
      <c r="I1177" s="11" t="str">
        <f>IFERROR(IF(VLOOKUP(A1177,[8]PRIORIZADOS!$A:$I,9,FALSE)="","",VLOOKUP(A1177,[8]PRIORIZADOS!$A:$I,9,FALSE)),"")</f>
        <v>SEGUIMIENTO_Y_SUPERVISIÓN.</v>
      </c>
      <c r="J1177" s="11" t="str">
        <f>IFERROR(IF(VLOOKUP(A1177,[8]PRIORIZADOS!$A:$J,10,FALSE)="","",VLOOKUP(A1177,[8]PRIORIZADOS!$A:$J,10,FALSE)),"")</f>
        <v xml:space="preserve">Verificar la implementación por parte de los colegios, de acciones realizadas para la prevención y atención de las situaciones de convivencia en el entorno escolar, según lo establecido en la Directiva 01 de 2022 del MEN. </v>
      </c>
      <c r="K1177" s="11" t="str">
        <f>IFERROR(IF(VLOOKUP(A1177,[8]PRIORIZADOS!$A:$K,11,FALSE)="","",VLOOKUP(A1177,[8]PRIORIZADOS!$A:$K,11,FALSE)),"")</f>
        <v>INGRID VIVIANA DÁVILA ÁVILA</v>
      </c>
      <c r="L1177" s="11" t="str">
        <f>IFERROR(IF(VLOOKUP(A1177,[8]PRIORIZADOS!$A:$L,12,FALSE)="","",VLOOKUP(A1177,[8]PRIORIZADOS!$A:$L,12,FALSE)),"")</f>
        <v>VIVANA PILAR BOHÓRQUEZ DÍAZ</v>
      </c>
      <c r="M1177" s="71">
        <f>IFERROR(IF(VLOOKUP(A1177,[8]PRIORIZADOS!$A:$M,13,FALSE)="","",VLOOKUP(A1177,[8]PRIORIZADOS!$A:$M,13,FALSE)),"")</f>
        <v>45811</v>
      </c>
      <c r="N1177" s="71">
        <f>IFERROR(IF(VLOOKUP(A1177,[8]PRIORIZADOS!$A:$N,14,FALSE)="","",VLOOKUP(A1177,[8]PRIORIZADOS!$A:$N,14,FALSE)),"")</f>
        <v>45811</v>
      </c>
      <c r="O1177" s="71">
        <f>IFERROR(IF(VLOOKUP(A1177,[8]PRIORIZADOS!$A:$O,15,FALSE)="","",VLOOKUP(A1177,[8]PRIORIZADOS!$A:$O,15,FALSE)),"")</f>
        <v>45811</v>
      </c>
      <c r="P1177" s="11" t="str">
        <f>IFERROR(IF(VLOOKUP(A1177,[8]PRIORIZADOS!$A:$P,16,FALSE)="","",VLOOKUP(A1177,[8]PRIORIZADOS!$A:$P,16,FALSE)),"")</f>
        <v>Visitas de evaluación con fines de mejoramiento</v>
      </c>
      <c r="Q1177" s="107" t="s">
        <v>222</v>
      </c>
      <c r="R1177" s="11" t="str">
        <f>IFERROR(IF(VLOOKUP(A1177,[8]PRIORIZADOS!$A:$R,18,FALSE)="","",VLOOKUP(A1177,[8]PRIORIZADOS!$A:$R,18,FALSE)),"")</f>
        <v>Al momento de indagar las estrategias de apoyo socioemocional el rector manifiesta que existe un acompañamiento por orientación sin embargo por los tiempos se concentra en los académico</v>
      </c>
      <c r="S1177" s="11" t="str">
        <f>IFERROR(IF(VLOOKUP(A1177,[8]PRIORIZADOS!$A:$S,19,FALSE)="","",VLOOKUP(A1177,[8]PRIORIZADOS!$A:$S,19,FALSE)),"")</f>
        <v>Diseñar estrategias de apoyo para familias y estudiantes con dificultades socio emocionales.</v>
      </c>
      <c r="T1177" s="70" t="str">
        <f>IFERROR(IF(VLOOKUP(A1177,[8]PRIORIZADOS!$A:$T,20,FALSE)="","",VLOOKUP(A1177,[8]PRIORIZADOS!$A:$T,20,FALSE)),"")</f>
        <v>Si</v>
      </c>
      <c r="U1177" s="11" t="str">
        <f>IFERROR(IF(VLOOKUP(A1177,[8]PRIORIZADOS!$A:$U,21,FALSE)="","",VLOOKUP(A1177,[8]PRIORIZADOS!$A:$U,21,FALSE)),"")</f>
        <v xml:space="preserve">Validar las acciones realizadas por la institución educativa con respecto al acompañamiento de los estudiantes en temas socioemocionales Se realiza mesa de seguimiento el 6 de octubre. </v>
      </c>
    </row>
    <row r="1178" spans="1:21" s="1" customFormat="1" ht="84">
      <c r="A1178" s="69">
        <f>IF([8]PRIORIZADOS!A157="","",[8]PRIORIZADOS!A157)</f>
        <v>1128</v>
      </c>
      <c r="B1178" s="70">
        <v>27</v>
      </c>
      <c r="C1178" s="11" t="str">
        <f>IFERROR(IF(VLOOKUP(A1178,[8]PRIORIZADOS!$A:$C,3,FALSE)="","",VLOOKUP(A1178,[8]PRIORIZADOS!$A:$C,3,FALSE)),"")</f>
        <v>KENNEDY</v>
      </c>
      <c r="D1178" s="11" t="str">
        <f>IFERROR(IF(VLOOKUP(A1178,[8]PRIORIZADOS!$A:$D,4,FALSE)="","",VLOOKUP(A1178,[8]PRIORIZADOS!$A:$D,4,FALSE)),"")</f>
        <v>PRIVADO</v>
      </c>
      <c r="E1178" s="11" t="str">
        <f>IFERROR(IF(VLOOKUP(A1178,[8]PRIORIZADOS!$A:$E,5,FALSE)="","",VLOOKUP(A1178,[8]PRIORIZADOS!$A:$E,5,FALSE)),"")</f>
        <v>Educación de Jóvenes y Adultos</v>
      </c>
      <c r="F1178" s="11" t="str">
        <f>IFERROR(IF(VLOOKUP(A1178,[8]PRIORIZADOS!$A:$F,6,FALSE)="","",VLOOKUP(A1178,[8]PRIORIZADOS!$A:$F,6,FALSE)),"")</f>
        <v>COLEGIO_TRIANGULO_PATIO_BONITO</v>
      </c>
      <c r="G1178" s="11" t="str">
        <f>IFERROR(IF(VLOOKUP(A1178,[8]PRIORIZADOS!$A:$G,7,FALSE)="","",VLOOKUP(A1178,[8]PRIORIZADOS!$A:$G,7,FALSE)),"")</f>
        <v>COLEGIO TRIANGULO PATIO BONITO</v>
      </c>
      <c r="H1178" s="11" t="str">
        <f>IFERROR(IF(VLOOKUP(A1178,[8]PRIORIZADOS!$A:$H,8,FALSE)="","",VLOOKUP(A1178,[8]PRIORIZADOS!$A:$H,8,FALSE)),"")</f>
        <v>Autoevaluación Institucional y Pruebas SABER 11</v>
      </c>
      <c r="I1178" s="11" t="str">
        <f>IFERROR(IF(VLOOKUP(A1178,[8]PRIORIZADOS!$A:$I,9,FALSE)="","",VLOOKUP(A1178,[8]PRIORIZADOS!$A:$I,9,FALSE)),"")</f>
        <v>EVALUACIÓN_CON_FINES_DE_MEJORAMIENTO.</v>
      </c>
      <c r="J1178" s="11" t="str">
        <f>IFERROR(IF(VLOOKUP(A1178,[8]PRIORIZADOS!$A:$J,10,FALSE)="","",VLOOKUP(A1178,[8]PRIORIZADOS!$A:$J,10,FALSE)),"")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78" s="11" t="str">
        <f>IFERROR(IF(VLOOKUP(A1178,[8]PRIORIZADOS!$A:$K,11,FALSE)="","",VLOOKUP(A1178,[8]PRIORIZADOS!$A:$K,11,FALSE)),"")</f>
        <v>INGRID VIVIANA DÁVILA ÁVILA</v>
      </c>
      <c r="L1178" s="11" t="str">
        <f>IFERROR(IF(VLOOKUP(A1178,[8]PRIORIZADOS!$A:$L,12,FALSE)="","",VLOOKUP(A1178,[8]PRIORIZADOS!$A:$L,12,FALSE)),"")</f>
        <v>VIVANA PILAR BOHÓRQUEZ DÍAZ</v>
      </c>
      <c r="M1178" s="71">
        <f>IFERROR(IF(VLOOKUP(A1178,[8]PRIORIZADOS!$A:$M,13,FALSE)="","",VLOOKUP(A1178,[8]PRIORIZADOS!$A:$M,13,FALSE)),"")</f>
        <v>45811</v>
      </c>
      <c r="N1178" s="71">
        <f>IFERROR(IF(VLOOKUP(A1178,[8]PRIORIZADOS!$A:$N,14,FALSE)="","",VLOOKUP(A1178,[8]PRIORIZADOS!$A:$N,14,FALSE)),"")</f>
        <v>45811</v>
      </c>
      <c r="O1178" s="71">
        <f>IFERROR(IF(VLOOKUP(A1178,[8]PRIORIZADOS!$A:$O,15,FALSE)="","",VLOOKUP(A1178,[8]PRIORIZADOS!$A:$O,15,FALSE)),"")</f>
        <v>45811</v>
      </c>
      <c r="P1178" s="11" t="str">
        <f>IFERROR(IF(VLOOKUP(A1178,[8]PRIORIZADOS!$A:$P,16,FALSE)="","",VLOOKUP(A1178,[8]PRIORIZADOS!$A:$P,16,FALSE)),"")</f>
        <v>Visitas de evaluación con fines de mejoramiento</v>
      </c>
      <c r="Q1178" s="126" t="s">
        <v>222</v>
      </c>
      <c r="R1178" s="11" t="str">
        <f>IFERROR(IF(VLOOKUP(A1178,[8]PRIORIZADOS!$A:$R,18,FALSE)="","",VLOOKUP(A1178,[8]PRIORIZADOS!$A:$R,18,FALSE)),"")</f>
        <v>El manual de convivencia con contempla el enfoque restaurativo y tampoco se logró evidenciar la construcción participativa por parte de la comunidad educativa</v>
      </c>
      <c r="S1178" s="11" t="str">
        <f>IFERROR(IF(VLOOKUP(A1178,[8]PRIORIZADOS!$A:$S,19,FALSE)="","",VLOOKUP(A1178,[8]PRIORIZADOS!$A:$S,19,FALSE)),"")</f>
        <v>Actualizar el manual de convivencia incluyendo el enfoque restaurativo y con la participación de todos los estamentos.</v>
      </c>
      <c r="T1178" s="70" t="str">
        <f>IFERROR(IF(VLOOKUP(A1178,[8]PRIORIZADOS!$A:$T,20,FALSE)="","",VLOOKUP(A1178,[8]PRIORIZADOS!$A:$T,20,FALSE)),"")</f>
        <v>Si</v>
      </c>
      <c r="U1178" s="11" t="str">
        <f>IFERROR(IF(VLOOKUP(A1178,[8]PRIORIZADOS!$A:$U,21,FALSE)="","",VLOOKUP(A1178,[8]PRIORIZADOS!$A:$U,21,FALSE)),"")</f>
        <v xml:space="preserve">El ELIV verificará y hará seguimiento. Se realiza mesa de seguimiento el 6 de octubre. </v>
      </c>
    </row>
    <row r="1179" spans="1:21" s="1" customFormat="1" ht="48">
      <c r="A1179" s="69">
        <f>IF([8]PRIORIZADOS!A158="","",[8]PRIORIZADOS!A158)</f>
        <v>1129</v>
      </c>
      <c r="B1179" s="70">
        <v>27</v>
      </c>
      <c r="C1179" s="11" t="str">
        <f>IFERROR(IF(VLOOKUP(A1179,[8]PRIORIZADOS!$A:$C,3,FALSE)="","",VLOOKUP(A1179,[8]PRIORIZADOS!$A:$C,3,FALSE)),"")</f>
        <v>KENNEDY</v>
      </c>
      <c r="D1179" s="11" t="str">
        <f>IFERROR(IF(VLOOKUP(A1179,[8]PRIORIZADOS!$A:$D,4,FALSE)="","",VLOOKUP(A1179,[8]PRIORIZADOS!$A:$D,4,FALSE)),"")</f>
        <v>PRIVADO</v>
      </c>
      <c r="E1179" s="11" t="str">
        <f>IFERROR(IF(VLOOKUP(A1179,[8]PRIORIZADOS!$A:$E,5,FALSE)="","",VLOOKUP(A1179,[8]PRIORIZADOS!$A:$E,5,FALSE)),"")</f>
        <v>Educación de Jóvenes y Adultos</v>
      </c>
      <c r="F1179" s="11" t="str">
        <f>IFERROR(IF(VLOOKUP(A1179,[8]PRIORIZADOS!$A:$F,6,FALSE)="","",VLOOKUP(A1179,[8]PRIORIZADOS!$A:$F,6,FALSE)),"")</f>
        <v>COLEGIO_TRIANGULO_PATIO_BONITO</v>
      </c>
      <c r="G1179" s="11" t="str">
        <f>IFERROR(IF(VLOOKUP(A1179,[8]PRIORIZADOS!$A:$G,7,FALSE)="","",VLOOKUP(A1179,[8]PRIORIZADOS!$A:$G,7,FALSE)),"")</f>
        <v>COLEGIO TRIANGULO PATIO BONITO</v>
      </c>
      <c r="H1179" s="11" t="str">
        <f>IFERROR(IF(VLOOKUP(A1179,[8]PRIORIZADOS!$A:$H,8,FALSE)="","",VLOOKUP(A1179,[8]PRIORIZADOS!$A:$H,8,FALSE)),"")</f>
        <v>Autoevaluación Institucional y Pruebas SABER 11</v>
      </c>
      <c r="I1179" s="11" t="str">
        <f>IFERROR(IF(VLOOKUP(A1179,[8]PRIORIZADOS!$A:$I,9,FALSE)="","",VLOOKUP(A1179,[8]PRIORIZADOS!$A:$I,9,FALSE)),"")</f>
        <v>EVALUACIÓN_CON_FINES_DE_MEJORAMIENTO.</v>
      </c>
      <c r="J1179" s="11" t="str">
        <f>IFERROR(IF(VLOOKUP(A1179,[8]PRIORIZADOS!$A:$J,10,FALSE)="","",VLOOKUP(A1179,[8]PRIORIZADOS!$A:$J,10,FALSE)),"")</f>
        <v>Verificar el funcionamiento del Gobierno Escolar e instancias de participación con base en la información sobre conformación reportada por la institución educativa.</v>
      </c>
      <c r="K1179" s="11" t="str">
        <f>IFERROR(IF(VLOOKUP(A1179,[8]PRIORIZADOS!$A:$K,11,FALSE)="","",VLOOKUP(A1179,[8]PRIORIZADOS!$A:$K,11,FALSE)),"")</f>
        <v>INGRID VIVIANA DÁVILA ÁVILA</v>
      </c>
      <c r="L1179" s="11" t="str">
        <f>IFERROR(IF(VLOOKUP(A1179,[8]PRIORIZADOS!$A:$L,12,FALSE)="","",VLOOKUP(A1179,[8]PRIORIZADOS!$A:$L,12,FALSE)),"")</f>
        <v>VIVANA PILAR BOHÓRQUEZ DÍAZ</v>
      </c>
      <c r="M1179" s="71">
        <f>IFERROR(IF(VLOOKUP(A1179,[8]PRIORIZADOS!$A:$M,13,FALSE)="","",VLOOKUP(A1179,[8]PRIORIZADOS!$A:$M,13,FALSE)),"")</f>
        <v>45811</v>
      </c>
      <c r="N1179" s="71">
        <f>IFERROR(IF(VLOOKUP(A1179,[8]PRIORIZADOS!$A:$N,14,FALSE)="","",VLOOKUP(A1179,[8]PRIORIZADOS!$A:$N,14,FALSE)),"")</f>
        <v>45811</v>
      </c>
      <c r="O1179" s="71">
        <f>IFERROR(IF(VLOOKUP(A1179,[8]PRIORIZADOS!$A:$O,15,FALSE)="","",VLOOKUP(A1179,[8]PRIORIZADOS!$A:$O,15,FALSE)),"")</f>
        <v>45811</v>
      </c>
      <c r="P1179" s="11" t="str">
        <f>IFERROR(IF(VLOOKUP(A1179,[8]PRIORIZADOS!$A:$P,16,FALSE)="","",VLOOKUP(A1179,[8]PRIORIZADOS!$A:$P,16,FALSE)),"")</f>
        <v>Visitas de evaluación con fines de mejoramiento</v>
      </c>
      <c r="Q1179" s="107" t="s">
        <v>222</v>
      </c>
      <c r="R1179" s="11" t="str">
        <f>IFERROR(IF(VLOOKUP(A1179,[8]PRIORIZADOS!$A:$R,18,FALSE)="","",VLOOKUP(A1179,[8]PRIORIZADOS!$A:$R,18,FALSE)),"")</f>
        <v>Al revisar las actas de  consejo académico y consejo directivo se encontró que solo se han reunido para la conformación del mismo.</v>
      </c>
      <c r="S1179" s="11" t="str">
        <f>IFERROR(IF(VLOOKUP(A1179,[8]PRIORIZADOS!$A:$S,19,FALSE)="","",VLOOKUP(A1179,[8]PRIORIZADOS!$A:$S,19,FALSE)),"")</f>
        <v>Movilizar las instancias de gobierno escolar, como la aprobación del plan de mejoramiento de las pruebas SABER en el consejo directivo y académico.</v>
      </c>
      <c r="T1179" s="70" t="str">
        <f>IFERROR(IF(VLOOKUP(A1179,[8]PRIORIZADOS!$A:$T,20,FALSE)="","",VLOOKUP(A1179,[8]PRIORIZADOS!$A:$T,20,FALSE)),"")</f>
        <v>Si</v>
      </c>
      <c r="U1179" s="11" t="str">
        <f>IFERROR(IF(VLOOKUP(A1179,[8]PRIORIZADOS!$A:$U,21,FALSE)="","",VLOOKUP(A1179,[8]PRIORIZADOS!$A:$U,21,FALSE)),"")</f>
        <v xml:space="preserve">Verificar la actualización del manual de convivencia y la construcción participativa del mismo.  Se realiza mesa de seguimiento el 6 de octubre. </v>
      </c>
    </row>
    <row r="1180" spans="1:21" s="1" customFormat="1" ht="48">
      <c r="A1180" s="69">
        <f>IF([8]PRIORIZADOS!A159="","",[8]PRIORIZADOS!A159)</f>
        <v>1130</v>
      </c>
      <c r="B1180" s="70">
        <f>IFERROR(IF(VLOOKUP(A1180,[8]PRIORIZADOS!$A:$B,2,FALSE)="","",VLOOKUP(A1180,[8]PRIORIZADOS!$A:$B,2,FALSE)),"")</f>
        <v>28</v>
      </c>
      <c r="C1180" s="11" t="str">
        <f>IFERROR(IF(VLOOKUP(A1180,[8]PRIORIZADOS!$A:$C,3,FALSE)="","",VLOOKUP(A1180,[8]PRIORIZADOS!$A:$C,3,FALSE)),"")</f>
        <v>KENNEDY</v>
      </c>
      <c r="D1180" s="11" t="str">
        <f>IFERROR(IF(VLOOKUP(A1180,[8]PRIORIZADOS!$A:$D,4,FALSE)="","",VLOOKUP(A1180,[8]PRIORIZADOS!$A:$D,4,FALSE)),"")</f>
        <v>PRIVADO</v>
      </c>
      <c r="E1180" s="11" t="str">
        <f>IFERROR(IF(VLOOKUP(A1180,[8]PRIORIZADOS!$A:$E,5,FALSE)="","",VLOOKUP(A1180,[8]PRIORIZADOS!$A:$E,5,FALSE)),"")</f>
        <v>EPBM</v>
      </c>
      <c r="F1180" s="11" t="str">
        <f>IFERROR(IF(VLOOKUP(A1180,[8]PRIORIZADOS!$A:$F,6,FALSE)="","",VLOOKUP(A1180,[8]PRIORIZADOS!$A:$F,6,FALSE)),"")</f>
        <v>GIMNASIO_IMPERIAL_IGNACIA_CAMACHO_DE_CIFUENTES</v>
      </c>
      <c r="G1180" s="11" t="str">
        <f>IFERROR(IF(VLOOKUP(A1180,[8]PRIORIZADOS!$A:$G,7,FALSE)="","",VLOOKUP(A1180,[8]PRIORIZADOS!$A:$G,7,FALSE)),"")</f>
        <v>GIMNASIO IMPERIAL IGNACIA CAMACHO DE CIFUENTES</v>
      </c>
      <c r="H1180" s="11" t="str">
        <f>IFERROR(IF(VLOOKUP(A1180,[8]PRIORIZADOS!$A:$H,8,FALSE)="","",VLOOKUP(A1180,[8]PRIORIZADOS!$A:$H,8,FALSE)),"")</f>
        <v>Autoevaluación Institucional y Pruebas SABER 11</v>
      </c>
      <c r="I1180" s="11" t="str">
        <f>IFERROR(IF(VLOOKUP(A1180,[8]PRIORIZADOS!$A:$I,9,FALSE)="","",VLOOKUP(A1180,[8]PRIORIZADOS!$A:$I,9,FALSE)),"")</f>
        <v>SEGUIMIENTO_Y_SUPERVISIÓN.</v>
      </c>
      <c r="J1180" s="11" t="str">
        <f>IFERROR(IF(VLOOKUP(A1180,[8]PRIORIZADOS!$A:$J,10,FALSE)="","",VLOOKUP(A1180,[8]PRIORIZADOS!$A:$J,10,FALSE)),"")</f>
        <v>Realizar visitas para verificar la información registrada sobre la autoevaluación institucional en el aplicativo EVI, a los establecimientos de educación formal no oficial.</v>
      </c>
      <c r="K1180" s="11" t="str">
        <f>IFERROR(IF(VLOOKUP(A1180,[8]PRIORIZADOS!$A:$K,11,FALSE)="","",VLOOKUP(A1180,[8]PRIORIZADOS!$A:$K,11,FALSE)),"")</f>
        <v>ADRIANA VENEGAS VALERA</v>
      </c>
      <c r="L1180" s="11" t="str">
        <f>IFERROR(IF(VLOOKUP(A1180,[8]PRIORIZADOS!$A:$L,12,FALSE)="","",VLOOKUP(A1180,[8]PRIORIZADOS!$A:$L,12,FALSE)),"")</f>
        <v xml:space="preserve">DIANA ZULAY HUERTAS ORTÍZ </v>
      </c>
      <c r="M1180" s="71">
        <f>IFERROR(IF(VLOOKUP(A1180,[8]PRIORIZADOS!$A:$M,13,FALSE)="","",VLOOKUP(A1180,[8]PRIORIZADOS!$A:$M,13,FALSE)),"")</f>
        <v>45812</v>
      </c>
      <c r="N1180" s="71">
        <f>IFERROR(IF(VLOOKUP(A1180,[8]PRIORIZADOS!$A:$N,14,FALSE)="","",VLOOKUP(A1180,[8]PRIORIZADOS!$A:$N,14,FALSE)),"")</f>
        <v>45812</v>
      </c>
      <c r="O1180" s="71">
        <f>IFERROR(IF(VLOOKUP(A1180,[8]PRIORIZADOS!$A:$O,15,FALSE)="","",VLOOKUP(A1180,[8]PRIORIZADOS!$A:$O,15,FALSE)),"")</f>
        <v>45812</v>
      </c>
      <c r="P1180" s="11" t="str">
        <f>IFERROR(IF(VLOOKUP(A1180,[8]PRIORIZADOS!$A:$P,16,FALSE)="","",VLOOKUP(A1180,[8]PRIORIZADOS!$A:$P,16,FALSE)),"")</f>
        <v>Visitas de evaluación con fines de mejoramiento</v>
      </c>
      <c r="Q1180" s="126" t="s">
        <v>223</v>
      </c>
      <c r="R1180" s="11" t="str">
        <f>IFERROR(IF(VLOOKUP(A1180,[8]PRIORIZADOS!$A:$R,18,FALSE)="","",VLOOKUP(A1180,[8]PRIORIZADOS!$A:$R,18,FALSE)),"")</f>
        <v xml:space="preserve">La IE reporta en el EVI, información diferente a la observada, registra una cantidad diferente de lavamanos, espacios de atención, convenios no existentes. </v>
      </c>
      <c r="S1180" s="11" t="str">
        <f>IFERROR(IF(VLOOKUP(A1180,[8]PRIORIZADOS!$A:$S,19,FALSE)="","",VLOOKUP(A1180,[8]PRIORIZADOS!$A:$S,19,FALSE)),"")</f>
        <v xml:space="preserve">Registrar en el EVI, información que dé cuenta de la realidad institucional. </v>
      </c>
      <c r="T1180" s="70" t="str">
        <f>IFERROR(IF(VLOOKUP(A1180,[8]PRIORIZADOS!$A:$T,20,FALSE)="","",VLOOKUP(A1180,[8]PRIORIZADOS!$A:$T,20,FALSE)),"")</f>
        <v>Si</v>
      </c>
      <c r="U1180" s="11" t="str">
        <f>IFERROR(IF(VLOOKUP(A1180,[8]PRIORIZADOS!$A:$U,21,FALSE)="","",VLOOKUP(A1180,[8]PRIORIZADOS!$A:$U,21,FALSE)),"")</f>
        <v>Verificar en el aplicativo EVI, la información registrada, para la vigencia actual.</v>
      </c>
    </row>
    <row r="1181" spans="1:21" s="1" customFormat="1" ht="72">
      <c r="A1181" s="69">
        <f>IF([8]PRIORIZADOS!A160="","",[8]PRIORIZADOS!A160)</f>
        <v>1131</v>
      </c>
      <c r="B1181" s="70">
        <v>28</v>
      </c>
      <c r="C1181" s="11" t="str">
        <f>IFERROR(IF(VLOOKUP(A1181,[8]PRIORIZADOS!$A:$C,3,FALSE)="","",VLOOKUP(A1181,[8]PRIORIZADOS!$A:$C,3,FALSE)),"")</f>
        <v>KENNEDY</v>
      </c>
      <c r="D1181" s="11" t="str">
        <f>IFERROR(IF(VLOOKUP(A1181,[8]PRIORIZADOS!$A:$D,4,FALSE)="","",VLOOKUP(A1181,[8]PRIORIZADOS!$A:$D,4,FALSE)),"")</f>
        <v>PRIVADO</v>
      </c>
      <c r="E1181" s="11" t="str">
        <f>IFERROR(IF(VLOOKUP(A1181,[8]PRIORIZADOS!$A:$E,5,FALSE)="","",VLOOKUP(A1181,[8]PRIORIZADOS!$A:$E,5,FALSE)),"")</f>
        <v>EPBM</v>
      </c>
      <c r="F1181" s="11" t="str">
        <f>IFERROR(IF(VLOOKUP(A1181,[8]PRIORIZADOS!$A:$F,6,FALSE)="","",VLOOKUP(A1181,[8]PRIORIZADOS!$A:$F,6,FALSE)),"")</f>
        <v>GIMNASIO_IMPERIAL_IGNACIA_CAMACHO_DE_CIFUENTES</v>
      </c>
      <c r="G1181" s="11" t="str">
        <f>IFERROR(IF(VLOOKUP(A1181,[8]PRIORIZADOS!$A:$G,7,FALSE)="","",VLOOKUP(A1181,[8]PRIORIZADOS!$A:$G,7,FALSE)),"")</f>
        <v>GIMNASIO IMPERIAL IGNACIA CAMACHO DE CIFUENTES</v>
      </c>
      <c r="H1181" s="11" t="str">
        <f>IFERROR(IF(VLOOKUP(A1181,[8]PRIORIZADOS!$A:$H,8,FALSE)="","",VLOOKUP(A1181,[8]PRIORIZADOS!$A:$H,8,FALSE)),"")</f>
        <v>Autoevaluación Institucional y Pruebas SABER 11</v>
      </c>
      <c r="I1181" s="11" t="str">
        <f>IFERROR(IF(VLOOKUP(A1181,[8]PRIORIZADOS!$A:$I,9,FALSE)="","",VLOOKUP(A1181,[8]PRIORIZADOS!$A:$I,9,FALSE)),"")</f>
        <v>SEGUIMIENTO_Y_SUPERVISIÓN.</v>
      </c>
      <c r="J1181" s="11" t="str">
        <f>IFERROR(IF(VLOOKUP(A1181,[8]PRIORIZADOS!$A:$J,10,FALSE)="","",VLOOKUP(A1181,[8]PRIORIZADOS!$A:$J,10,FALSE)),"")</f>
        <v>Proponer estrategias en la formulación, verificar su elaboración y realizar seguimiento semestral al desarrollo de  las acciones establecidas en los planes de mejoramiento por pruebas SABER 11 de los establecimientos de educación formal.</v>
      </c>
      <c r="K1181" s="11" t="str">
        <f>IFERROR(IF(VLOOKUP(A1181,[8]PRIORIZADOS!$A:$K,11,FALSE)="","",VLOOKUP(A1181,[8]PRIORIZADOS!$A:$K,11,FALSE)),"")</f>
        <v>ADRIANA VENEGAS VALERA</v>
      </c>
      <c r="L1181" s="11" t="str">
        <f>IFERROR(IF(VLOOKUP(A1181,[8]PRIORIZADOS!$A:$L,12,FALSE)="","",VLOOKUP(A1181,[8]PRIORIZADOS!$A:$L,12,FALSE)),"")</f>
        <v xml:space="preserve">DIANA ZULAY HUERTAS ORTÍZ </v>
      </c>
      <c r="M1181" s="71">
        <f>IFERROR(IF(VLOOKUP(A1181,[8]PRIORIZADOS!$A:$M,13,FALSE)="","",VLOOKUP(A1181,[8]PRIORIZADOS!$A:$M,13,FALSE)),"")</f>
        <v>45812</v>
      </c>
      <c r="N1181" s="71">
        <f>IFERROR(IF(VLOOKUP(A1181,[8]PRIORIZADOS!$A:$N,14,FALSE)="","",VLOOKUP(A1181,[8]PRIORIZADOS!$A:$N,14,FALSE)),"")</f>
        <v>45812</v>
      </c>
      <c r="O1181" s="71">
        <f>IFERROR(IF(VLOOKUP(A1181,[8]PRIORIZADOS!$A:$O,15,FALSE)="","",VLOOKUP(A1181,[8]PRIORIZADOS!$A:$O,15,FALSE)),"")</f>
        <v>45812</v>
      </c>
      <c r="P1181" s="11" t="str">
        <f>IFERROR(IF(VLOOKUP(A1181,[8]PRIORIZADOS!$A:$P,16,FALSE)="","",VLOOKUP(A1181,[8]PRIORIZADOS!$A:$P,16,FALSE)),"")</f>
        <v>Visitas de evaluación con fines de mejoramiento</v>
      </c>
      <c r="Q1181" s="107" t="s">
        <v>223</v>
      </c>
      <c r="R1181" s="11" t="str">
        <f>IFERROR(IF(VLOOKUP(A1181,[8]PRIORIZADOS!$A:$R,18,FALSE)="","",VLOOKUP(A1181,[8]PRIORIZADOS!$A:$R,18,FALSE)),"")</f>
        <v>La IE, no ha realizado un análisis de los últimos resultados de pruebas SABER 11. No se han propuesto estrategias de mejoramiento desde el consejo académico.</v>
      </c>
      <c r="S1181" s="11" t="str">
        <f>IFERROR(IF(VLOOKUP(A1181,[8]PRIORIZADOS!$A:$S,19,FALSE)="","",VLOOKUP(A1181,[8]PRIORIZADOS!$A:$S,19,FALSE)),"")</f>
        <v>Realizar el análisis de los últimos resultados de pruebas SABER 11 y establecer estrategias de mejoramiento para superar esos resultados que incluya estrategias en el plan de estudios y el análisis del consejo académico.</v>
      </c>
      <c r="T1181" s="70" t="str">
        <f>IFERROR(IF(VLOOKUP(A1181,[8]PRIORIZADOS!$A:$T,20,FALSE)="","",VLOOKUP(A1181,[8]PRIORIZADOS!$A:$T,20,FALSE)),"")</f>
        <v>Si</v>
      </c>
      <c r="U1181" s="11" t="str">
        <f>IFERROR(IF(VLOOKUP(A1181,[8]PRIORIZADOS!$A:$U,21,FALSE)="","",VLOOKUP(A1181,[8]PRIORIZADOS!$A:$U,21,FALSE)),"")</f>
        <v>Validar las acciones realizadas por la institución educativa con respecto al análisis de los resultados pruebas SABER 11 y estrategias de mejoramiento. Se realiza visita de seguimiento el 1 de octubre y se establece envío de documentos para el día 5 de diciembre.</v>
      </c>
    </row>
    <row r="1182" spans="1:21" s="1" customFormat="1" ht="48">
      <c r="A1182" s="69">
        <f>IF([8]PRIORIZADOS!A161="","",[8]PRIORIZADOS!A161)</f>
        <v>1132</v>
      </c>
      <c r="B1182" s="70">
        <v>28</v>
      </c>
      <c r="C1182" s="11" t="str">
        <f>IFERROR(IF(VLOOKUP(A1182,[8]PRIORIZADOS!$A:$C,3,FALSE)="","",VLOOKUP(A1182,[8]PRIORIZADOS!$A:$C,3,FALSE)),"")</f>
        <v>KENNEDY</v>
      </c>
      <c r="D1182" s="11" t="str">
        <f>IFERROR(IF(VLOOKUP(A1182,[8]PRIORIZADOS!$A:$D,4,FALSE)="","",VLOOKUP(A1182,[8]PRIORIZADOS!$A:$D,4,FALSE)),"")</f>
        <v>PRIVADO</v>
      </c>
      <c r="E1182" s="11" t="str">
        <f>IFERROR(IF(VLOOKUP(A1182,[8]PRIORIZADOS!$A:$E,5,FALSE)="","",VLOOKUP(A1182,[8]PRIORIZADOS!$A:$E,5,FALSE)),"")</f>
        <v>EPBM</v>
      </c>
      <c r="F1182" s="11" t="str">
        <f>IFERROR(IF(VLOOKUP(A1182,[8]PRIORIZADOS!$A:$F,6,FALSE)="","",VLOOKUP(A1182,[8]PRIORIZADOS!$A:$F,6,FALSE)),"")</f>
        <v>GIMNASIO_IMPERIAL_IGNACIA_CAMACHO_DE_CIFUENTES</v>
      </c>
      <c r="G1182" s="11" t="str">
        <f>IFERROR(IF(VLOOKUP(A1182,[8]PRIORIZADOS!$A:$G,7,FALSE)="","",VLOOKUP(A1182,[8]PRIORIZADOS!$A:$G,7,FALSE)),"")</f>
        <v>GIMNASIO IMPERIAL IGNACIA CAMACHO DE CIFUENTES</v>
      </c>
      <c r="H1182" s="11" t="str">
        <f>IFERROR(IF(VLOOKUP(A1182,[8]PRIORIZADOS!$A:$H,8,FALSE)="","",VLOOKUP(A1182,[8]PRIORIZADOS!$A:$H,8,FALSE)),"")</f>
        <v>Autoevaluación Institucional y Pruebas SABER 11</v>
      </c>
      <c r="I1182" s="11" t="str">
        <f>IFERROR(IF(VLOOKUP(A1182,[8]PRIORIZADOS!$A:$I,9,FALSE)="","",VLOOKUP(A1182,[8]PRIORIZADOS!$A:$I,9,FALSE)),"")</f>
        <v>SEGUIMIENTO_Y_SUPERVISIÓN.</v>
      </c>
      <c r="J1182" s="11" t="str">
        <f>IFERROR(IF(VLOOKUP(A1182,[8]PRIORIZADOS!$A:$J,10,FALSE)="","",VLOOKUP(A1182,[8]PRIORIZADOS!$A:$J,10,FALSE)),"")</f>
        <v xml:space="preserve">Verificar la implementación por parte de los colegios, de acciones realizadas para la prevención y atención de las situaciones de convivencia en el entorno escolar, según lo establecido en la Directiva 01 de 2022 del MEN. </v>
      </c>
      <c r="K1182" s="11" t="str">
        <f>IFERROR(IF(VLOOKUP(A1182,[8]PRIORIZADOS!$A:$K,11,FALSE)="","",VLOOKUP(A1182,[8]PRIORIZADOS!$A:$K,11,FALSE)),"")</f>
        <v>ADRIANA VENEGAS VALERA</v>
      </c>
      <c r="L1182" s="11" t="str">
        <f>IFERROR(IF(VLOOKUP(A1182,[8]PRIORIZADOS!$A:$L,12,FALSE)="","",VLOOKUP(A1182,[8]PRIORIZADOS!$A:$L,12,FALSE)),"")</f>
        <v xml:space="preserve">DIANA ZULAY HUERTAS ORTÍZ </v>
      </c>
      <c r="M1182" s="71">
        <f>IFERROR(IF(VLOOKUP(A1182,[8]PRIORIZADOS!$A:$M,13,FALSE)="","",VLOOKUP(A1182,[8]PRIORIZADOS!$A:$M,13,FALSE)),"")</f>
        <v>45812</v>
      </c>
      <c r="N1182" s="71">
        <f>IFERROR(IF(VLOOKUP(A1182,[8]PRIORIZADOS!$A:$N,14,FALSE)="","",VLOOKUP(A1182,[8]PRIORIZADOS!$A:$N,14,FALSE)),"")</f>
        <v>45812</v>
      </c>
      <c r="O1182" s="71">
        <f>IFERROR(IF(VLOOKUP(A1182,[8]PRIORIZADOS!$A:$O,15,FALSE)="","",VLOOKUP(A1182,[8]PRIORIZADOS!$A:$O,15,FALSE)),"")</f>
        <v>45812</v>
      </c>
      <c r="P1182" s="11" t="str">
        <f>IFERROR(IF(VLOOKUP(A1182,[8]PRIORIZADOS!$A:$P,16,FALSE)="","",VLOOKUP(A1182,[8]PRIORIZADOS!$A:$P,16,FALSE)),"")</f>
        <v>Visitas de evaluación con fines de mejoramiento</v>
      </c>
      <c r="Q1182" s="125" t="s">
        <v>223</v>
      </c>
      <c r="R1182" s="11" t="str">
        <f>IFERROR(IF(VLOOKUP(A1182,[8]PRIORIZADOS!$A:$R,18,FALSE)="","",VLOOKUP(A1182,[8]PRIORIZADOS!$A:$R,18,FALSE)),"")</f>
        <v xml:space="preserve">La institución no cuenta con un plan de acciones de prevención y promoción de convivencia escolar basado en las situaciones más presentadas. </v>
      </c>
      <c r="S1182" s="11" t="str">
        <f>IFERROR(IF(VLOOKUP(A1182,[8]PRIORIZADOS!$A:$S,19,FALSE)="","",VLOOKUP(A1182,[8]PRIORIZADOS!$A:$S,19,FALSE)),"")</f>
        <v>Establecer y documentar un plan de acción de promoción y prevención de la convivencia escolar.</v>
      </c>
      <c r="T1182" s="70" t="str">
        <f>IFERROR(IF(VLOOKUP(A1182,[8]PRIORIZADOS!$A:$T,20,FALSE)="","",VLOOKUP(A1182,[8]PRIORIZADOS!$A:$T,20,FALSE)),"")</f>
        <v>Si</v>
      </c>
      <c r="U1182" s="11" t="str">
        <f>IFERROR(IF(VLOOKUP(A1182,[8]PRIORIZADOS!$A:$U,21,FALSE)="","",VLOOKUP(A1182,[8]PRIORIZADOS!$A:$U,21,FALSE)),"")</f>
        <v>El ELIV, verificará de acuerdo a la fecha establecida en el cronograma de plan de mejoramiento  que se entregará  el 11 de agosto de 2025. Se realiza visita de seguimiento el 1 de octubre y se establece envío de documentos para el día 5 de diciembre.</v>
      </c>
    </row>
    <row r="1183" spans="1:21" s="1" customFormat="1" ht="72">
      <c r="A1183" s="69">
        <f>IF([8]PRIORIZADOS!A162="","",[8]PRIORIZADOS!A162)</f>
        <v>1133</v>
      </c>
      <c r="B1183" s="70">
        <v>28</v>
      </c>
      <c r="C1183" s="11" t="str">
        <f>IFERROR(IF(VLOOKUP(A1183,[8]PRIORIZADOS!$A:$C,3,FALSE)="","",VLOOKUP(A1183,[8]PRIORIZADOS!$A:$C,3,FALSE)),"")</f>
        <v>KENNEDY</v>
      </c>
      <c r="D1183" s="11" t="str">
        <f>IFERROR(IF(VLOOKUP(A1183,[8]PRIORIZADOS!$A:$D,4,FALSE)="","",VLOOKUP(A1183,[8]PRIORIZADOS!$A:$D,4,FALSE)),"")</f>
        <v>PRIVADO</v>
      </c>
      <c r="E1183" s="11" t="str">
        <f>IFERROR(IF(VLOOKUP(A1183,[8]PRIORIZADOS!$A:$E,5,FALSE)="","",VLOOKUP(A1183,[8]PRIORIZADOS!$A:$E,5,FALSE)),"")</f>
        <v>EPBM</v>
      </c>
      <c r="F1183" s="11" t="str">
        <f>IFERROR(IF(VLOOKUP(A1183,[8]PRIORIZADOS!$A:$F,6,FALSE)="","",VLOOKUP(A1183,[8]PRIORIZADOS!$A:$F,6,FALSE)),"")</f>
        <v>GIMNASIO_IMPERIAL_IGNACIA_CAMACHO_DE_CIFUENTES</v>
      </c>
      <c r="G1183" s="11" t="str">
        <f>IFERROR(IF(VLOOKUP(A1183,[8]PRIORIZADOS!$A:$G,7,FALSE)="","",VLOOKUP(A1183,[8]PRIORIZADOS!$A:$G,7,FALSE)),"")</f>
        <v>GIMNASIO IMPERIAL IGNACIA CAMACHO DE CIFUENTES</v>
      </c>
      <c r="H1183" s="11" t="str">
        <f>IFERROR(IF(VLOOKUP(A1183,[8]PRIORIZADOS!$A:$H,8,FALSE)="","",VLOOKUP(A1183,[8]PRIORIZADOS!$A:$H,8,FALSE)),"")</f>
        <v>Autoevaluación Institucional y Pruebas SABER 11</v>
      </c>
      <c r="I1183" s="11" t="str">
        <f>IFERROR(IF(VLOOKUP(A1183,[8]PRIORIZADOS!$A:$I,9,FALSE)="","",VLOOKUP(A1183,[8]PRIORIZADOS!$A:$I,9,FALSE)),"")</f>
        <v>SEGUIMIENTO_Y_SUPERVISIÓN.</v>
      </c>
      <c r="J1183" s="11" t="str">
        <f>IFERROR(IF(VLOOKUP(A1183,[8]PRIORIZADOS!$A:$J,10,FALSE)="","",VLOOKUP(A1183,[8]PRIORIZADOS!$A:$J,10,FALSE)),"")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83" s="11" t="str">
        <f>IFERROR(IF(VLOOKUP(A1183,[8]PRIORIZADOS!$A:$K,11,FALSE)="","",VLOOKUP(A1183,[8]PRIORIZADOS!$A:$K,11,FALSE)),"")</f>
        <v>ADRIANA VENEGAS VALERA</v>
      </c>
      <c r="L1183" s="11" t="str">
        <f>IFERROR(IF(VLOOKUP(A1183,[8]PRIORIZADOS!$A:$L,12,FALSE)="","",VLOOKUP(A1183,[8]PRIORIZADOS!$A:$L,12,FALSE)),"")</f>
        <v xml:space="preserve">DIANA ZULAY HUERTAS ORTÍZ </v>
      </c>
      <c r="M1183" s="71">
        <f>IFERROR(IF(VLOOKUP(A1183,[8]PRIORIZADOS!$A:$M,13,FALSE)="","",VLOOKUP(A1183,[8]PRIORIZADOS!$A:$M,13,FALSE)),"")</f>
        <v>45812</v>
      </c>
      <c r="N1183" s="71">
        <f>IFERROR(IF(VLOOKUP(A1183,[8]PRIORIZADOS!$A:$N,14,FALSE)="","",VLOOKUP(A1183,[8]PRIORIZADOS!$A:$N,14,FALSE)),"")</f>
        <v>45812</v>
      </c>
      <c r="O1183" s="71">
        <f>IFERROR(IF(VLOOKUP(A1183,[8]PRIORIZADOS!$A:$O,15,FALSE)="","",VLOOKUP(A1183,[8]PRIORIZADOS!$A:$O,15,FALSE)),"")</f>
        <v>45812</v>
      </c>
      <c r="P1183" s="11" t="str">
        <f>IFERROR(IF(VLOOKUP(A1183,[8]PRIORIZADOS!$A:$P,16,FALSE)="","",VLOOKUP(A1183,[8]PRIORIZADOS!$A:$P,16,FALSE)),"")</f>
        <v>Visitas de evaluación con fines de mejoramiento</v>
      </c>
      <c r="Q1183" s="107" t="s">
        <v>223</v>
      </c>
      <c r="R1183" s="11" t="str">
        <f>IFERROR(IF(VLOOKUP(A1183,[8]PRIORIZADOS!$A:$R,18,FALSE)="","",VLOOKUP(A1183,[8]PRIORIZADOS!$A:$R,18,FALSE)),"")</f>
        <v xml:space="preserve">La institución educativa tiene estudiantes con discapacidad y cada uno de ellos cuenta con el Plan Individual de Ajustes Razonables -PIAR y el respectivo seguimiento. </v>
      </c>
      <c r="S1183" s="11" t="str">
        <f>IFERROR(IF(VLOOKUP(A1183,[8]PRIORIZADOS!$A:$S,19,FALSE)="","",VLOOKUP(A1183,[8]PRIORIZADOS!$A:$S,19,FALSE)),"")</f>
        <v>Continuar adelantando seguimiento periódico (acorde con el sistema institucional de evaluación)  y actualización anual a los Planes Individuales de Ajustes Razonables -PIAR</v>
      </c>
      <c r="T1183" s="70" t="str">
        <f>IFERROR(IF(VLOOKUP(A1183,[8]PRIORIZADOS!$A:$T,20,FALSE)="","",VLOOKUP(A1183,[8]PRIORIZADOS!$A:$T,20,FALSE)),"")</f>
        <v>No</v>
      </c>
      <c r="U1183" s="11" t="str">
        <f>IFERROR(IF(VLOOKUP(A1183,[8]PRIORIZADOS!$A:$U,21,FALSE)="","",VLOOKUP(A1183,[8]PRIORIZADOS!$A:$U,21,FALSE)),"")</f>
        <v>Verificar que se sigan implementando los PIAR para los estudiantes nuevos que lleguen a la institución educativa</v>
      </c>
    </row>
    <row r="1184" spans="1:21" s="1" customFormat="1" ht="84">
      <c r="A1184" s="69">
        <f>IF([8]PRIORIZADOS!A163="","",[8]PRIORIZADOS!A163)</f>
        <v>1134</v>
      </c>
      <c r="B1184" s="70">
        <v>28</v>
      </c>
      <c r="C1184" s="11" t="str">
        <f>IFERROR(IF(VLOOKUP(A1184,[8]PRIORIZADOS!$A:$C,3,FALSE)="","",VLOOKUP(A1184,[8]PRIORIZADOS!$A:$C,3,FALSE)),"")</f>
        <v>KENNEDY</v>
      </c>
      <c r="D1184" s="11" t="str">
        <f>IFERROR(IF(VLOOKUP(A1184,[8]PRIORIZADOS!$A:$D,4,FALSE)="","",VLOOKUP(A1184,[8]PRIORIZADOS!$A:$D,4,FALSE)),"")</f>
        <v>PRIVADO</v>
      </c>
      <c r="E1184" s="11" t="str">
        <f>IFERROR(IF(VLOOKUP(A1184,[8]PRIORIZADOS!$A:$E,5,FALSE)="","",VLOOKUP(A1184,[8]PRIORIZADOS!$A:$E,5,FALSE)),"")</f>
        <v>EPBM</v>
      </c>
      <c r="F1184" s="11" t="str">
        <f>IFERROR(IF(VLOOKUP(A1184,[8]PRIORIZADOS!$A:$F,6,FALSE)="","",VLOOKUP(A1184,[8]PRIORIZADOS!$A:$F,6,FALSE)),"")</f>
        <v>GIMNASIO_IMPERIAL_IGNACIA_CAMACHO_DE_CIFUENTES</v>
      </c>
      <c r="G1184" s="11" t="str">
        <f>IFERROR(IF(VLOOKUP(A1184,[8]PRIORIZADOS!$A:$G,7,FALSE)="","",VLOOKUP(A1184,[8]PRIORIZADOS!$A:$G,7,FALSE)),"")</f>
        <v>GIMNASIO IMPERIAL IGNACIA CAMACHO DE CIFUENTES</v>
      </c>
      <c r="H1184" s="11" t="str">
        <f>IFERROR(IF(VLOOKUP(A1184,[8]PRIORIZADOS!$A:$H,8,FALSE)="","",VLOOKUP(A1184,[8]PRIORIZADOS!$A:$H,8,FALSE)),"")</f>
        <v>Autoevaluación Institucional y Pruebas SABER 11</v>
      </c>
      <c r="I1184" s="11" t="str">
        <f>IFERROR(IF(VLOOKUP(A1184,[8]PRIORIZADOS!$A:$I,9,FALSE)="","",VLOOKUP(A1184,[8]PRIORIZADOS!$A:$I,9,FALSE)),"")</f>
        <v>EVALUACIÓN_CON_FINES_DE_MEJORAMIENTO.</v>
      </c>
      <c r="J1184" s="11" t="str">
        <f>IFERROR(IF(VLOOKUP(A1184,[8]PRIORIZADOS!$A:$J,10,FALSE)="","",VLOOKUP(A1184,[8]PRIORIZADOS!$A:$J,10,FALSE)),"")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84" s="11" t="str">
        <f>IFERROR(IF(VLOOKUP(A1184,[8]PRIORIZADOS!$A:$K,11,FALSE)="","",VLOOKUP(A1184,[8]PRIORIZADOS!$A:$K,11,FALSE)),"")</f>
        <v>ADRIANA VENEGAS VALERA</v>
      </c>
      <c r="L1184" s="11" t="str">
        <f>IFERROR(IF(VLOOKUP(A1184,[8]PRIORIZADOS!$A:$L,12,FALSE)="","",VLOOKUP(A1184,[8]PRIORIZADOS!$A:$L,12,FALSE)),"")</f>
        <v xml:space="preserve">DIANA ZULAY HUERTAS ORTÍZ </v>
      </c>
      <c r="M1184" s="71">
        <f>IFERROR(IF(VLOOKUP(A1184,[8]PRIORIZADOS!$A:$M,13,FALSE)="","",VLOOKUP(A1184,[8]PRIORIZADOS!$A:$M,13,FALSE)),"")</f>
        <v>45812</v>
      </c>
      <c r="N1184" s="71">
        <f>IFERROR(IF(VLOOKUP(A1184,[8]PRIORIZADOS!$A:$N,14,FALSE)="","",VLOOKUP(A1184,[8]PRIORIZADOS!$A:$N,14,FALSE)),"")</f>
        <v>45812</v>
      </c>
      <c r="O1184" s="71">
        <f>IFERROR(IF(VLOOKUP(A1184,[8]PRIORIZADOS!$A:$O,15,FALSE)="","",VLOOKUP(A1184,[8]PRIORIZADOS!$A:$O,15,FALSE)),"")</f>
        <v>45812</v>
      </c>
      <c r="P1184" s="11" t="str">
        <f>IFERROR(IF(VLOOKUP(A1184,[8]PRIORIZADOS!$A:$P,16,FALSE)="","",VLOOKUP(A1184,[8]PRIORIZADOS!$A:$P,16,FALSE)),"")</f>
        <v>Visitas de evaluación con fines de mejoramiento</v>
      </c>
      <c r="Q1184" s="107" t="s">
        <v>223</v>
      </c>
      <c r="R1184" s="11" t="str">
        <f>IFERROR(IF(VLOOKUP(A1184,[8]PRIORIZADOS!$A:$R,18,FALSE)="","",VLOOKUP(A1184,[8]PRIORIZADOS!$A:$R,18,FALSE)),"")</f>
        <v xml:space="preserve">La EE, debe actualizar el manual de convivencia de acuerdo a la normatividad vigente, revisando aspectos relacionados con los protocolos de atención y el debido proceso. </v>
      </c>
      <c r="S1184" s="11" t="str">
        <f>IFERROR(IF(VLOOKUP(A1184,[8]PRIORIZADOS!$A:$S,19,FALSE)="","",VLOOKUP(A1184,[8]PRIORIZADOS!$A:$S,19,FALSE)),"")</f>
        <v>Actualizar de manera participativa el manual de convivencia de la institución teniendo los enfoques, la tipificación de situaciones y las faltas de acuerdo a la ley 1620 y decreto 1965.</v>
      </c>
      <c r="T1184" s="70" t="str">
        <f>IFERROR(IF(VLOOKUP(A1184,[8]PRIORIZADOS!$A:$T,20,FALSE)="","",VLOOKUP(A1184,[8]PRIORIZADOS!$A:$T,20,FALSE)),"")</f>
        <v>Si</v>
      </c>
      <c r="U1184" s="11" t="str">
        <f>IFERROR(IF(VLOOKUP(A1184,[8]PRIORIZADOS!$A:$U,21,FALSE)="","",VLOOKUP(A1184,[8]PRIORIZADOS!$A:$U,21,FALSE)),"")</f>
        <v>El ELIV verificará la actualización del manual de convivencia. Se realiza visita de seguimiento el 1 de octubre y se establece envío de documentos para el día 5 de diciembre.</v>
      </c>
    </row>
    <row r="1185" spans="1:21" s="1" customFormat="1" ht="48">
      <c r="A1185" s="69">
        <f>IF([8]PRIORIZADOS!A164="","",[8]PRIORIZADOS!A164)</f>
        <v>1135</v>
      </c>
      <c r="B1185" s="70">
        <v>28</v>
      </c>
      <c r="C1185" s="11" t="str">
        <f>IFERROR(IF(VLOOKUP(A1185,[8]PRIORIZADOS!$A:$C,3,FALSE)="","",VLOOKUP(A1185,[8]PRIORIZADOS!$A:$C,3,FALSE)),"")</f>
        <v>KENNEDY</v>
      </c>
      <c r="D1185" s="11" t="str">
        <f>IFERROR(IF(VLOOKUP(A1185,[8]PRIORIZADOS!$A:$D,4,FALSE)="","",VLOOKUP(A1185,[8]PRIORIZADOS!$A:$D,4,FALSE)),"")</f>
        <v>PRIVADO</v>
      </c>
      <c r="E1185" s="11" t="str">
        <f>IFERROR(IF(VLOOKUP(A1185,[8]PRIORIZADOS!$A:$E,5,FALSE)="","",VLOOKUP(A1185,[8]PRIORIZADOS!$A:$E,5,FALSE)),"")</f>
        <v>EPBM</v>
      </c>
      <c r="F1185" s="11" t="str">
        <f>IFERROR(IF(VLOOKUP(A1185,[8]PRIORIZADOS!$A:$F,6,FALSE)="","",VLOOKUP(A1185,[8]PRIORIZADOS!$A:$F,6,FALSE)),"")</f>
        <v>GIMNASIO_IMPERIAL_IGNACIA_CAMACHO_DE_CIFUENTES</v>
      </c>
      <c r="G1185" s="11" t="str">
        <f>IFERROR(IF(VLOOKUP(A1185,[8]PRIORIZADOS!$A:$G,7,FALSE)="","",VLOOKUP(A1185,[8]PRIORIZADOS!$A:$G,7,FALSE)),"")</f>
        <v>GIMNASIO IMPERIAL IGNACIA CAMACHO DE CIFUENTES</v>
      </c>
      <c r="H1185" s="11" t="str">
        <f>IFERROR(IF(VLOOKUP(A1185,[8]PRIORIZADOS!$A:$H,8,FALSE)="","",VLOOKUP(A1185,[8]PRIORIZADOS!$A:$H,8,FALSE)),"")</f>
        <v>Autoevaluación Institucional y Pruebas SABER 11</v>
      </c>
      <c r="I1185" s="11" t="str">
        <f>IFERROR(IF(VLOOKUP(A1185,[8]PRIORIZADOS!$A:$I,9,FALSE)="","",VLOOKUP(A1185,[8]PRIORIZADOS!$A:$I,9,FALSE)),"")</f>
        <v>EVALUACIÓN_CON_FINES_DE_MEJORAMIENTO.</v>
      </c>
      <c r="J1185" s="11" t="str">
        <f>IFERROR(IF(VLOOKUP(A1185,[8]PRIORIZADOS!$A:$J,10,FALSE)="","",VLOOKUP(A1185,[8]PRIORIZADOS!$A:$J,10,FALSE)),"")</f>
        <v>Revisar el calendario escolar, jornada escolar, la intensidad horaria mínima anual en cada nivel y las modificaciones que se realicen al mismo, de acuerdo con lo previsto en la normatividad vigente.</v>
      </c>
      <c r="K1185" s="11" t="str">
        <f>IFERROR(IF(VLOOKUP(A1185,[8]PRIORIZADOS!$A:$K,11,FALSE)="","",VLOOKUP(A1185,[8]PRIORIZADOS!$A:$K,11,FALSE)),"")</f>
        <v>ADRIANA VENEGAS VALERA</v>
      </c>
      <c r="L1185" s="11" t="str">
        <f>IFERROR(IF(VLOOKUP(A1185,[8]PRIORIZADOS!$A:$L,12,FALSE)="","",VLOOKUP(A1185,[8]PRIORIZADOS!$A:$L,12,FALSE)),"")</f>
        <v xml:space="preserve">DIANA ZULAY HUERTAS ORTÍZ </v>
      </c>
      <c r="M1185" s="71">
        <f>IFERROR(IF(VLOOKUP(A1185,[8]PRIORIZADOS!$A:$M,13,FALSE)="","",VLOOKUP(A1185,[8]PRIORIZADOS!$A:$M,13,FALSE)),"")</f>
        <v>45812</v>
      </c>
      <c r="N1185" s="71">
        <f>IFERROR(IF(VLOOKUP(A1185,[8]PRIORIZADOS!$A:$N,14,FALSE)="","",VLOOKUP(A1185,[8]PRIORIZADOS!$A:$N,14,FALSE)),"")</f>
        <v>45812</v>
      </c>
      <c r="O1185" s="71">
        <f>IFERROR(IF(VLOOKUP(A1185,[8]PRIORIZADOS!$A:$O,15,FALSE)="","",VLOOKUP(A1185,[8]PRIORIZADOS!$A:$O,15,FALSE)),"")</f>
        <v>45812</v>
      </c>
      <c r="P1185" s="11" t="str">
        <f>IFERROR(IF(VLOOKUP(A1185,[8]PRIORIZADOS!$A:$P,16,FALSE)="","",VLOOKUP(A1185,[8]PRIORIZADOS!$A:$P,16,FALSE)),"")</f>
        <v>Visitas de evaluación con fines de mejoramiento</v>
      </c>
      <c r="Q1185" s="107" t="s">
        <v>223</v>
      </c>
      <c r="R1185" s="11" t="str">
        <f>IFERROR(IF(VLOOKUP(A1185,[8]PRIORIZADOS!$A:$R,18,FALSE)="","",VLOOKUP(A1185,[8]PRIORIZADOS!$A:$R,18,FALSE)),"")</f>
        <v>La EE, cumple con la intensidad horaria mínima anual para cada nivel.</v>
      </c>
      <c r="S1185" s="11" t="str">
        <f>IFERROR(IF(VLOOKUP(A1185,[8]PRIORIZADOS!$A:$S,19,FALSE)="","",VLOOKUP(A1185,[8]PRIORIZADOS!$A:$S,19,FALSE)),"")</f>
        <v xml:space="preserve">La EE, debe seguir cumpliendo con la intensidad horaria mínima. </v>
      </c>
      <c r="T1185" s="70" t="str">
        <f>IFERROR(IF(VLOOKUP(A1185,[8]PRIORIZADOS!$A:$T,20,FALSE)="","",VLOOKUP(A1185,[8]PRIORIZADOS!$A:$T,20,FALSE)),"")</f>
        <v>No</v>
      </c>
      <c r="U1185" s="11" t="str">
        <f>IFERROR(IF(VLOOKUP(A1185,[8]PRIORIZADOS!$A:$U,21,FALSE)="","",VLOOKUP(A1185,[8]PRIORIZADOS!$A:$U,21,FALSE)),"")</f>
        <v xml:space="preserve">El ELIV verificará en la próxima vigencia el cumplimiento del calendario escolar. </v>
      </c>
    </row>
    <row r="1186" spans="1:21" s="1" customFormat="1" ht="48">
      <c r="A1186" s="69">
        <f>IF([8]PRIORIZADOS!A165="","",[8]PRIORIZADOS!A165)</f>
        <v>1136</v>
      </c>
      <c r="B1186" s="70">
        <v>28</v>
      </c>
      <c r="C1186" s="11" t="str">
        <f>IFERROR(IF(VLOOKUP(A1186,[8]PRIORIZADOS!$A:$C,3,FALSE)="","",VLOOKUP(A1186,[8]PRIORIZADOS!$A:$C,3,FALSE)),"")</f>
        <v>KENNEDY</v>
      </c>
      <c r="D1186" s="11" t="str">
        <f>IFERROR(IF(VLOOKUP(A1186,[8]PRIORIZADOS!$A:$D,4,FALSE)="","",VLOOKUP(A1186,[8]PRIORIZADOS!$A:$D,4,FALSE)),"")</f>
        <v>PRIVADO</v>
      </c>
      <c r="E1186" s="11" t="str">
        <f>IFERROR(IF(VLOOKUP(A1186,[8]PRIORIZADOS!$A:$E,5,FALSE)="","",VLOOKUP(A1186,[8]PRIORIZADOS!$A:$E,5,FALSE)),"")</f>
        <v>EPBM</v>
      </c>
      <c r="F1186" s="11" t="str">
        <f>IFERROR(IF(VLOOKUP(A1186,[8]PRIORIZADOS!$A:$F,6,FALSE)="","",VLOOKUP(A1186,[8]PRIORIZADOS!$A:$F,6,FALSE)),"")</f>
        <v>GIMNASIO_IMPERIAL_IGNACIA_CAMACHO_DE_CIFUENTES</v>
      </c>
      <c r="G1186" s="11" t="str">
        <f>IFERROR(IF(VLOOKUP(A1186,[8]PRIORIZADOS!$A:$G,7,FALSE)="","",VLOOKUP(A1186,[8]PRIORIZADOS!$A:$G,7,FALSE)),"")</f>
        <v>GIMNASIO IMPERIAL IGNACIA CAMACHO DE CIFUENTES</v>
      </c>
      <c r="H1186" s="11" t="str">
        <f>IFERROR(IF(VLOOKUP(A1186,[8]PRIORIZADOS!$A:$H,8,FALSE)="","",VLOOKUP(A1186,[8]PRIORIZADOS!$A:$H,8,FALSE)),"")</f>
        <v>Autoevaluación Institucional y Pruebas SABER 11</v>
      </c>
      <c r="I1186" s="11" t="str">
        <f>IFERROR(IF(VLOOKUP(A1186,[8]PRIORIZADOS!$A:$I,9,FALSE)="","",VLOOKUP(A1186,[8]PRIORIZADOS!$A:$I,9,FALSE)),"")</f>
        <v>EVALUACIÓN_CON_FINES_DE_MEJORAMIENTO.</v>
      </c>
      <c r="J1186" s="11" t="str">
        <f>IFERROR(IF(VLOOKUP(A1186,[8]PRIORIZADOS!$A:$J,10,FALSE)="","",VLOOKUP(A1186,[8]PRIORIZADOS!$A:$J,10,FALSE)),"")</f>
        <v>Verificar el funcionamiento del Gobierno Escolar e instancias de participación con base en la información sobre conformación reportada por la institución educativa.</v>
      </c>
      <c r="K1186" s="11" t="str">
        <f>IFERROR(IF(VLOOKUP(A1186,[8]PRIORIZADOS!$A:$K,11,FALSE)="","",VLOOKUP(A1186,[8]PRIORIZADOS!$A:$K,11,FALSE)),"")</f>
        <v>ADRIANA VENEGAS VALERA</v>
      </c>
      <c r="L1186" s="11" t="str">
        <f>IFERROR(IF(VLOOKUP(A1186,[8]PRIORIZADOS!$A:$L,12,FALSE)="","",VLOOKUP(A1186,[8]PRIORIZADOS!$A:$L,12,FALSE)),"")</f>
        <v xml:space="preserve">DIANA ZULAY HUERTAS ORTÍZ </v>
      </c>
      <c r="M1186" s="71">
        <f>IFERROR(IF(VLOOKUP(A1186,[8]PRIORIZADOS!$A:$M,13,FALSE)="","",VLOOKUP(A1186,[8]PRIORIZADOS!$A:$M,13,FALSE)),"")</f>
        <v>45812</v>
      </c>
      <c r="N1186" s="71">
        <f>IFERROR(IF(VLOOKUP(A1186,[8]PRIORIZADOS!$A:$N,14,FALSE)="","",VLOOKUP(A1186,[8]PRIORIZADOS!$A:$N,14,FALSE)),"")</f>
        <v>45812</v>
      </c>
      <c r="O1186" s="71">
        <f>IFERROR(IF(VLOOKUP(A1186,[8]PRIORIZADOS!$A:$O,15,FALSE)="","",VLOOKUP(A1186,[8]PRIORIZADOS!$A:$O,15,FALSE)),"")</f>
        <v>45812</v>
      </c>
      <c r="P1186" s="11" t="str">
        <f>IFERROR(IF(VLOOKUP(A1186,[8]PRIORIZADOS!$A:$P,16,FALSE)="","",VLOOKUP(A1186,[8]PRIORIZADOS!$A:$P,16,FALSE)),"")</f>
        <v>Visitas de evaluación con fines de mejoramiento</v>
      </c>
      <c r="Q1186" s="126" t="s">
        <v>223</v>
      </c>
      <c r="R1186" s="11" t="str">
        <f>IFERROR(IF(VLOOKUP(A1186,[8]PRIORIZADOS!$A:$R,18,FALSE)="","",VLOOKUP(A1186,[8]PRIORIZADOS!$A:$R,18,FALSE)),"")</f>
        <v xml:space="preserve">Se encuentra conformado el gobierno escolar, pero, no se evidencia su operatividad. </v>
      </c>
      <c r="S1186" s="11" t="str">
        <f>IFERROR(IF(VLOOKUP(A1186,[8]PRIORIZADOS!$A:$S,19,FALSE)="","",VLOOKUP(A1186,[8]PRIORIZADOS!$A:$S,19,FALSE)),"")</f>
        <v>Garantizar la operatividad del Gobierno Escolar</v>
      </c>
      <c r="T1186" s="70" t="str">
        <f>IFERROR(IF(VLOOKUP(A1186,[8]PRIORIZADOS!$A:$T,20,FALSE)="","",VLOOKUP(A1186,[8]PRIORIZADOS!$A:$T,20,FALSE)),"")</f>
        <v>Si</v>
      </c>
      <c r="U1186" s="11" t="str">
        <f>IFERROR(IF(VLOOKUP(A1186,[8]PRIORIZADOS!$A:$U,21,FALSE)="","",VLOOKUP(A1186,[8]PRIORIZADOS!$A:$U,21,FALSE)),"")</f>
        <v>Se verificará en el plan de mejoramiento en septiembre. Se realiza visita de seguimiento el 1 de octubre y se establece envío de documentos para el día 5 de diciembre.</v>
      </c>
    </row>
    <row r="1187" spans="1:21" s="1" customFormat="1" ht="60">
      <c r="A1187" s="69">
        <f>IF([8]PRIORIZADOS!A166="","",[8]PRIORIZADOS!A166)</f>
        <v>1137</v>
      </c>
      <c r="B1187" s="70">
        <v>28</v>
      </c>
      <c r="C1187" s="11" t="str">
        <f>IFERROR(IF(VLOOKUP(A1187,[8]PRIORIZADOS!$A:$C,3,FALSE)="","",VLOOKUP(A1187,[8]PRIORIZADOS!$A:$C,3,FALSE)),"")</f>
        <v>KENNEDY</v>
      </c>
      <c r="D1187" s="11" t="str">
        <f>IFERROR(IF(VLOOKUP(A1187,[8]PRIORIZADOS!$A:$D,4,FALSE)="","",VLOOKUP(A1187,[8]PRIORIZADOS!$A:$D,4,FALSE)),"")</f>
        <v>PRIVADO</v>
      </c>
      <c r="E1187" s="11" t="str">
        <f>IFERROR(IF(VLOOKUP(A1187,[8]PRIORIZADOS!$A:$E,5,FALSE)="","",VLOOKUP(A1187,[8]PRIORIZADOS!$A:$E,5,FALSE)),"")</f>
        <v>EPBM</v>
      </c>
      <c r="F1187" s="11" t="str">
        <f>IFERROR(IF(VLOOKUP(A1187,[8]PRIORIZADOS!$A:$F,6,FALSE)="","",VLOOKUP(A1187,[8]PRIORIZADOS!$A:$F,6,FALSE)),"")</f>
        <v>GIMNASIO_IMPERIAL_IGNACIA_CAMACHO_DE_CIFUENTES</v>
      </c>
      <c r="G1187" s="11" t="str">
        <f>IFERROR(IF(VLOOKUP(A1187,[8]PRIORIZADOS!$A:$G,7,FALSE)="","",VLOOKUP(A1187,[8]PRIORIZADOS!$A:$G,7,FALSE)),"")</f>
        <v>GIMNASIO IMPERIAL IGNACIA CAMACHO DE CIFUENTES</v>
      </c>
      <c r="H1187" s="11" t="str">
        <f>IFERROR(IF(VLOOKUP(A1187,[8]PRIORIZADOS!$A:$H,8,FALSE)="","",VLOOKUP(A1187,[8]PRIORIZADOS!$A:$H,8,FALSE)),"")</f>
        <v>Autoevaluación Institucional y Pruebas SABER 11</v>
      </c>
      <c r="I1187" s="11" t="str">
        <f>IFERROR(IF(VLOOKUP(A1187,[8]PRIORIZADOS!$A:$I,9,FALSE)="","",VLOOKUP(A1187,[8]PRIORIZADOS!$A:$I,9,FALSE)),"")</f>
        <v>EVALUACIÓN_CON_FINES_DE_MEJORAMIENTO.</v>
      </c>
      <c r="J1187" s="11" t="str">
        <f>IFERROR(IF(VLOOKUP(A1187,[8]PRIORIZADOS!$A:$J,10,FALSE)="","",VLOOKUP(A1187,[8]PRIORIZADOS!$A:$J,10,FALSE)),"")</f>
        <v>Verificar las condiciones en cuanto a: la estructura administrativa, condiciones de la planta física y medios educativos adecuados.</v>
      </c>
      <c r="K1187" s="11" t="str">
        <f>IFERROR(IF(VLOOKUP(A1187,[8]PRIORIZADOS!$A:$K,11,FALSE)="","",VLOOKUP(A1187,[8]PRIORIZADOS!$A:$K,11,FALSE)),"")</f>
        <v>ADRIANA VENEGAS VALERA</v>
      </c>
      <c r="L1187" s="11" t="str">
        <f>IFERROR(IF(VLOOKUP(A1187,[8]PRIORIZADOS!$A:$L,12,FALSE)="","",VLOOKUP(A1187,[8]PRIORIZADOS!$A:$L,12,FALSE)),"")</f>
        <v xml:space="preserve">DIANA ZULAY HUERTAS ORTÍZ </v>
      </c>
      <c r="M1187" s="71">
        <f>IFERROR(IF(VLOOKUP(A1187,[8]PRIORIZADOS!$A:$M,13,FALSE)="","",VLOOKUP(A1187,[8]PRIORIZADOS!$A:$M,13,FALSE)),"")</f>
        <v>45812</v>
      </c>
      <c r="N1187" s="71">
        <f>IFERROR(IF(VLOOKUP(A1187,[8]PRIORIZADOS!$A:$N,14,FALSE)="","",VLOOKUP(A1187,[8]PRIORIZADOS!$A:$N,14,FALSE)),"")</f>
        <v>45812</v>
      </c>
      <c r="O1187" s="71">
        <f>IFERROR(IF(VLOOKUP(A1187,[8]PRIORIZADOS!$A:$O,15,FALSE)="","",VLOOKUP(A1187,[8]PRIORIZADOS!$A:$O,15,FALSE)),"")</f>
        <v>45812</v>
      </c>
      <c r="P1187" s="11" t="str">
        <f>IFERROR(IF(VLOOKUP(A1187,[8]PRIORIZADOS!$A:$P,16,FALSE)="","",VLOOKUP(A1187,[8]PRIORIZADOS!$A:$P,16,FALSE)),"")</f>
        <v>Visitas de evaluación con fines de mejoramiento</v>
      </c>
      <c r="Q1187" s="107" t="s">
        <v>223</v>
      </c>
      <c r="R1187" s="11" t="str">
        <f>IFERROR(IF(VLOOKUP(A1187,[8]PRIORIZADOS!$A:$R,18,FALSE)="","",VLOOKUP(A1187,[8]PRIORIZADOS!$A:$R,18,FALSE)),"")</f>
        <v>Las condiciones de los espacios no son adecuados para la prestación del servicio educativo.</v>
      </c>
      <c r="S1187" s="11" t="str">
        <f>IFERROR(IF(VLOOKUP(A1187,[8]PRIORIZADOS!$A:$S,19,FALSE)="","",VLOOKUP(A1187,[8]PRIORIZADOS!$A:$S,19,FALSE)),"")</f>
        <v xml:space="preserve">La IE debe implementar un plan de mantenimiento general de los espacios y redistribuir de acuerdo a la capacidad, con el propósito de prestar un servicio educativo de calidad. </v>
      </c>
      <c r="T1187" s="70" t="str">
        <f>IFERROR(IF(VLOOKUP(A1187,[8]PRIORIZADOS!$A:$T,20,FALSE)="","",VLOOKUP(A1187,[8]PRIORIZADOS!$A:$T,20,FALSE)),"")</f>
        <v>Si</v>
      </c>
      <c r="U1187" s="11" t="str">
        <f>IFERROR(IF(VLOOKUP(A1187,[8]PRIORIZADOS!$A:$U,21,FALSE)="","",VLOOKUP(A1187,[8]PRIORIZADOS!$A:$U,21,FALSE)),"")</f>
        <v>Seguimiento al cumplimiento del plan de mejoramiento.</v>
      </c>
    </row>
    <row r="1188" spans="1:21" s="1" customFormat="1" ht="72">
      <c r="A1188" s="69">
        <f>IF([8]PRIORIZADOS!A167="","",[8]PRIORIZADOS!A167)</f>
        <v>1138</v>
      </c>
      <c r="B1188" s="70">
        <f>IFERROR(IF(VLOOKUP(A1188,[8]PRIORIZADOS!$A:$B,2,FALSE)="","",VLOOKUP(A1188,[8]PRIORIZADOS!$A:$B,2,FALSE)),"")</f>
        <v>29</v>
      </c>
      <c r="C1188" s="11" t="str">
        <f>IFERROR(IF(VLOOKUP(A1188,[8]PRIORIZADOS!$A:$C,3,FALSE)="","",VLOOKUP(A1188,[8]PRIORIZADOS!$A:$C,3,FALSE)),"")</f>
        <v>KENNEDY</v>
      </c>
      <c r="D1188" s="11" t="str">
        <f>IFERROR(IF(VLOOKUP(A1188,[8]PRIORIZADOS!$A:$D,4,FALSE)="","",VLOOKUP(A1188,[8]PRIORIZADOS!$A:$D,4,FALSE)),"")</f>
        <v>PRIVADO</v>
      </c>
      <c r="E1188" s="11" t="str">
        <f>IFERROR(IF(VLOOKUP(A1188,[8]PRIORIZADOS!$A:$E,5,FALSE)="","",VLOOKUP(A1188,[8]PRIORIZADOS!$A:$E,5,FALSE)),"")</f>
        <v>EPBM</v>
      </c>
      <c r="F1188" s="11" t="str">
        <f>IFERROR(IF(VLOOKUP(A1188,[8]PRIORIZADOS!$A:$F,6,FALSE)="","",VLOOKUP(A1188,[8]PRIORIZADOS!$A:$F,6,FALSE)),"")</f>
        <v>INSTITUTO_COMERCIAL_LORETO_SEDE_B</v>
      </c>
      <c r="G1188" s="11" t="str">
        <f>IFERROR(IF(VLOOKUP(A1188,[8]PRIORIZADOS!$A:$G,7,FALSE)="","",VLOOKUP(A1188,[8]PRIORIZADOS!$A:$G,7,FALSE)),"")</f>
        <v>INSTITUTO COMERCIAL LORETO SEDE B</v>
      </c>
      <c r="H1188" s="11" t="str">
        <f>IFERROR(IF(VLOOKUP(A1188,[8]PRIORIZADOS!$A:$H,8,FALSE)="","",VLOOKUP(A1188,[8]PRIORIZADOS!$A:$H,8,FALSE)),"")</f>
        <v>Autoevaluación Institucional y Pruebas SABER 11</v>
      </c>
      <c r="I1188" s="11" t="str">
        <f>IFERROR(IF(VLOOKUP(A1188,[8]PRIORIZADOS!$A:$I,9,FALSE)="","",VLOOKUP(A1188,[8]PRIORIZADOS!$A:$I,9,FALSE)),"")</f>
        <v>SEGUIMIENTO_Y_SUPERVISIÓN.</v>
      </c>
      <c r="J1188" s="11" t="str">
        <f>IFERROR(IF(VLOOKUP(A1188,[8]PRIORIZADOS!$A:$J,10,FALSE)="","",VLOOKUP(A1188,[8]PRIORIZADOS!$A:$J,10,FALSE)),"")</f>
        <v>Realizar visitas para verificar la información registrada sobre la autoevaluación institucional en el aplicativo EVI, a los establecimientos de educación formal no oficial.</v>
      </c>
      <c r="K1188" s="11" t="str">
        <f>IFERROR(IF(VLOOKUP(A1188,[8]PRIORIZADOS!$A:$K,11,FALSE)="","",VLOOKUP(A1188,[8]PRIORIZADOS!$A:$K,11,FALSE)),"")</f>
        <v>GERMÁN EDUARDO TORO ROSERO</v>
      </c>
      <c r="L1188" s="11" t="str">
        <f>IFERROR(IF(VLOOKUP(A1188,[8]PRIORIZADOS!$A:$L,12,FALSE)="","",VLOOKUP(A1188,[8]PRIORIZADOS!$A:$L,12,FALSE)),"")</f>
        <v>ADRIANA VENEGAS VALERA</v>
      </c>
      <c r="M1188" s="71">
        <f>IFERROR(IF(VLOOKUP(A1188,[8]PRIORIZADOS!$A:$M,13,FALSE)="","",VLOOKUP(A1188,[8]PRIORIZADOS!$A:$M,13,FALSE)),"")</f>
        <v>45813</v>
      </c>
      <c r="N1188" s="71">
        <f>IFERROR(IF(VLOOKUP(A1188,[8]PRIORIZADOS!$A:$N,14,FALSE)="","",VLOOKUP(A1188,[8]PRIORIZADOS!$A:$N,14,FALSE)),"")</f>
        <v>45813</v>
      </c>
      <c r="O1188" s="71">
        <f>IFERROR(IF(VLOOKUP(A1188,[8]PRIORIZADOS!$A:$O,15,FALSE)="","",VLOOKUP(A1188,[8]PRIORIZADOS!$A:$O,15,FALSE)),"")</f>
        <v>45813</v>
      </c>
      <c r="P1188" s="11" t="str">
        <f>IFERROR(IF(VLOOKUP(A1188,[8]PRIORIZADOS!$A:$P,16,FALSE)="","",VLOOKUP(A1188,[8]PRIORIZADOS!$A:$P,16,FALSE)),"")</f>
        <v>Visitas de evaluación con fines de mejoramiento</v>
      </c>
      <c r="Q1188" s="163" t="s">
        <v>224</v>
      </c>
      <c r="R1188" s="11" t="str">
        <f>IFERROR(IF(VLOOKUP(A1188,[8]PRIORIZADOS!$A:$R,18,FALSE)="","",VLOOKUP(A1188,[8]PRIORIZADOS!$A:$R,18,FALSE)),"")</f>
        <v>La dirección actual de la institución reportada en la autoevaluación institucional no corresponde a las establecidas en las resoluciones 9180 y 7441 mediante las cuales se le concede licencia de funcionamiento a la institución</v>
      </c>
      <c r="S1188" s="11" t="str">
        <f>IFERROR(IF(VLOOKUP(A1188,[8]PRIORIZADOS!$A:$S,19,FALSE)="","",VLOOKUP(A1188,[8]PRIORIZADOS!$A:$S,19,FALSE)),"")</f>
        <v>La IE debe solicitar a la DILE modificación a la licencia de funcionamiento por cambio de nomenclatura, para lo cual debe anexar certificado catastral</v>
      </c>
      <c r="T1188" s="70" t="str">
        <f>IFERROR(IF(VLOOKUP(A1188,[8]PRIORIZADOS!$A:$T,20,FALSE)="","",VLOOKUP(A1188,[8]PRIORIZADOS!$A:$T,20,FALSE)),"")</f>
        <v>SI</v>
      </c>
      <c r="U1188" s="11" t="str">
        <f>IFERROR(IF(VLOOKUP(A1188,[8]PRIORIZADOS!$A:$U,21,FALSE)="","",VLOOKUP(A1188,[8]PRIORIZADOS!$A:$U,21,FALSE)),"")</f>
        <v>Seguimiento al cumplimiento del plan de mejoramiento.. Se realiza visita de seguimiento el 1 de octubre y se establece envío de documentos para el día 5 de diciembre.</v>
      </c>
    </row>
    <row r="1189" spans="1:21" s="1" customFormat="1" ht="60">
      <c r="A1189" s="69">
        <f>IF([8]PRIORIZADOS!A168="","",[8]PRIORIZADOS!A168)</f>
        <v>1139</v>
      </c>
      <c r="B1189" s="70">
        <v>29</v>
      </c>
      <c r="C1189" s="11" t="str">
        <f>IFERROR(IF(VLOOKUP(A1189,[8]PRIORIZADOS!$A:$C,3,FALSE)="","",VLOOKUP(A1189,[8]PRIORIZADOS!$A:$C,3,FALSE)),"")</f>
        <v>KENNEDY</v>
      </c>
      <c r="D1189" s="11" t="str">
        <f>IFERROR(IF(VLOOKUP(A1189,[8]PRIORIZADOS!$A:$D,4,FALSE)="","",VLOOKUP(A1189,[8]PRIORIZADOS!$A:$D,4,FALSE)),"")</f>
        <v>PRIVADO</v>
      </c>
      <c r="E1189" s="11" t="str">
        <f>IFERROR(IF(VLOOKUP(A1189,[8]PRIORIZADOS!$A:$E,5,FALSE)="","",VLOOKUP(A1189,[8]PRIORIZADOS!$A:$E,5,FALSE)),"")</f>
        <v>EPBM</v>
      </c>
      <c r="F1189" s="11" t="str">
        <f>IFERROR(IF(VLOOKUP(A1189,[8]PRIORIZADOS!$A:$F,6,FALSE)="","",VLOOKUP(A1189,[8]PRIORIZADOS!$A:$F,6,FALSE)),"")</f>
        <v>INSTITUTO_COMERCIAL_LORETO_SEDE_B</v>
      </c>
      <c r="G1189" s="11" t="str">
        <f>IFERROR(IF(VLOOKUP(A1189,[8]PRIORIZADOS!$A:$G,7,FALSE)="","",VLOOKUP(A1189,[8]PRIORIZADOS!$A:$G,7,FALSE)),"")</f>
        <v>INSTITUTO COMERCIAL LORETO SEDE B</v>
      </c>
      <c r="H1189" s="11" t="str">
        <f>IFERROR(IF(VLOOKUP(A1189,[8]PRIORIZADOS!$A:$H,8,FALSE)="","",VLOOKUP(A1189,[8]PRIORIZADOS!$A:$H,8,FALSE)),"")</f>
        <v>Autoevaluación Institucional y Pruebas SABER 11</v>
      </c>
      <c r="I1189" s="11" t="str">
        <f>IFERROR(IF(VLOOKUP(A1189,[8]PRIORIZADOS!$A:$I,9,FALSE)="","",VLOOKUP(A1189,[8]PRIORIZADOS!$A:$I,9,FALSE)),"")</f>
        <v>SEGUIMIENTO_Y_SUPERVISIÓN.</v>
      </c>
      <c r="J1189" s="11" t="str">
        <f>IFERROR(IF(VLOOKUP(A1189,[8]PRIORIZADOS!$A:$J,10,FALSE)="","",VLOOKUP(A1189,[8]PRIORIZADOS!$A:$J,10,FALSE)),"")</f>
        <v>Proponer estrategias en la formulación, verificar su elaboración y realizar seguimiento semestral al desarrollo de  las acciones establecidas en los planes de mejoramiento por pruebas SABER 11 de los establecimientos de educación formal.</v>
      </c>
      <c r="K1189" s="11" t="str">
        <f>IFERROR(IF(VLOOKUP(A1189,[8]PRIORIZADOS!$A:$K,11,FALSE)="","",VLOOKUP(A1189,[8]PRIORIZADOS!$A:$K,11,FALSE)),"")</f>
        <v>GERMÁN EDUARDO TORO ROSERO</v>
      </c>
      <c r="L1189" s="11" t="str">
        <f>IFERROR(IF(VLOOKUP(A1189,[8]PRIORIZADOS!$A:$L,12,FALSE)="","",VLOOKUP(A1189,[8]PRIORIZADOS!$A:$L,12,FALSE)),"")</f>
        <v>ADRIANA VENEGAS VALERA</v>
      </c>
      <c r="M1189" s="71">
        <f>IFERROR(IF(VLOOKUP(A1189,[8]PRIORIZADOS!$A:$M,13,FALSE)="","",VLOOKUP(A1189,[8]PRIORIZADOS!$A:$M,13,FALSE)),"")</f>
        <v>45813</v>
      </c>
      <c r="N1189" s="71">
        <f>IFERROR(IF(VLOOKUP(A1189,[8]PRIORIZADOS!$A:$N,14,FALSE)="","",VLOOKUP(A1189,[8]PRIORIZADOS!$A:$N,14,FALSE)),"")</f>
        <v>45813</v>
      </c>
      <c r="O1189" s="71">
        <f>IFERROR(IF(VLOOKUP(A1189,[8]PRIORIZADOS!$A:$O,15,FALSE)="","",VLOOKUP(A1189,[8]PRIORIZADOS!$A:$O,15,FALSE)),"")</f>
        <v>45813</v>
      </c>
      <c r="P1189" s="11" t="str">
        <f>IFERROR(IF(VLOOKUP(A1189,[8]PRIORIZADOS!$A:$P,16,FALSE)="","",VLOOKUP(A1189,[8]PRIORIZADOS!$A:$P,16,FALSE)),"")</f>
        <v>Visitas de evaluación con fines de mejoramiento</v>
      </c>
      <c r="Q1189" s="107" t="s">
        <v>224</v>
      </c>
      <c r="R1189" s="11" t="str">
        <f>IFERROR(IF(VLOOKUP(A1189,[8]PRIORIZADOS!$A:$R,18,FALSE)="","",VLOOKUP(A1189,[8]PRIORIZADOS!$A:$R,18,FALSE)),"")</f>
        <v>La IE presenta evidencias de la revisión y análisis de los últimos resultados de las pruebas saber 11, formulando acciones específicas con el objetivo de mejorar los resultados obtenidos.</v>
      </c>
      <c r="S1189" s="11" t="str">
        <f>IFERROR(IF(VLOOKUP(A1189,[8]PRIORIZADOS!$A:$S,19,FALSE)="","",VLOOKUP(A1189,[8]PRIORIZADOS!$A:$S,19,FALSE)),"")</f>
        <v>La IE debe continuar con el análisis y hacer seguimiento a las acciones implementadas para verificar su impacto en los próximos resultados en las pruebas saber 11</v>
      </c>
      <c r="T1189" s="70" t="str">
        <f>IFERROR(IF(VLOOKUP(A1189,[8]PRIORIZADOS!$A:$T,20,FALSE)="","",VLOOKUP(A1189,[8]PRIORIZADOS!$A:$T,20,FALSE)),"")</f>
        <v>No</v>
      </c>
      <c r="U1189" s="11" t="str">
        <f>IFERROR(IF(VLOOKUP(A1189,[8]PRIORIZADOS!$A:$U,21,FALSE)="","",VLOOKUP(A1189,[8]PRIORIZADOS!$A:$U,21,FALSE)),"")</f>
        <v>Seguimiento al resultado de las pruebas saber 11 en visita de seguimiento al plan de mejoramiento general de la institución</v>
      </c>
    </row>
    <row r="1190" spans="1:21" s="1" customFormat="1" ht="48">
      <c r="A1190" s="69">
        <f>IF([8]PRIORIZADOS!A169="","",[8]PRIORIZADOS!A169)</f>
        <v>1140</v>
      </c>
      <c r="B1190" s="70">
        <v>29</v>
      </c>
      <c r="C1190" s="11" t="str">
        <f>IFERROR(IF(VLOOKUP(A1190,[8]PRIORIZADOS!$A:$C,3,FALSE)="","",VLOOKUP(A1190,[8]PRIORIZADOS!$A:$C,3,FALSE)),"")</f>
        <v>KENNEDY</v>
      </c>
      <c r="D1190" s="11" t="str">
        <f>IFERROR(IF(VLOOKUP(A1190,[8]PRIORIZADOS!$A:$D,4,FALSE)="","",VLOOKUP(A1190,[8]PRIORIZADOS!$A:$D,4,FALSE)),"")</f>
        <v>PRIVADO</v>
      </c>
      <c r="E1190" s="11" t="str">
        <f>IFERROR(IF(VLOOKUP(A1190,[8]PRIORIZADOS!$A:$E,5,FALSE)="","",VLOOKUP(A1190,[8]PRIORIZADOS!$A:$E,5,FALSE)),"")</f>
        <v>EPBM</v>
      </c>
      <c r="F1190" s="11" t="str">
        <f>IFERROR(IF(VLOOKUP(A1190,[8]PRIORIZADOS!$A:$F,6,FALSE)="","",VLOOKUP(A1190,[8]PRIORIZADOS!$A:$F,6,FALSE)),"")</f>
        <v>INSTITUTO_COMERCIAL_LORETO_SEDE_B</v>
      </c>
      <c r="G1190" s="11" t="str">
        <f>IFERROR(IF(VLOOKUP(A1190,[8]PRIORIZADOS!$A:$G,7,FALSE)="","",VLOOKUP(A1190,[8]PRIORIZADOS!$A:$G,7,FALSE)),"")</f>
        <v>INSTITUTO COMERCIAL LORETO SEDE B</v>
      </c>
      <c r="H1190" s="11" t="str">
        <f>IFERROR(IF(VLOOKUP(A1190,[8]PRIORIZADOS!$A:$H,8,FALSE)="","",VLOOKUP(A1190,[8]PRIORIZADOS!$A:$H,8,FALSE)),"")</f>
        <v>Autoevaluación Institucional y Pruebas SABER 11</v>
      </c>
      <c r="I1190" s="11" t="str">
        <f>IFERROR(IF(VLOOKUP(A1190,[8]PRIORIZADOS!$A:$I,9,FALSE)="","",VLOOKUP(A1190,[8]PRIORIZADOS!$A:$I,9,FALSE)),"")</f>
        <v>SEGUIMIENTO_Y_SUPERVISIÓN.</v>
      </c>
      <c r="J1190" s="11" t="str">
        <f>IFERROR(IF(VLOOKUP(A1190,[8]PRIORIZADOS!$A:$J,10,FALSE)="","",VLOOKUP(A1190,[8]PRIORIZADOS!$A:$J,10,FALSE)),"")</f>
        <v xml:space="preserve">Verificar la implementación por parte de los colegios, de acciones realizadas para la prevención y atención de las situaciones de convivencia en el entorno escolar, según lo establecido en la Directiva 01 de 2022 del MEN. </v>
      </c>
      <c r="K1190" s="11" t="str">
        <f>IFERROR(IF(VLOOKUP(A1190,[8]PRIORIZADOS!$A:$K,11,FALSE)="","",VLOOKUP(A1190,[8]PRIORIZADOS!$A:$K,11,FALSE)),"")</f>
        <v>GERMÁN EDUARDO TORO ROSERO</v>
      </c>
      <c r="L1190" s="11" t="str">
        <f>IFERROR(IF(VLOOKUP(A1190,[8]PRIORIZADOS!$A:$L,12,FALSE)="","",VLOOKUP(A1190,[8]PRIORIZADOS!$A:$L,12,FALSE)),"")</f>
        <v>ADRIANA VENEGAS VALERA</v>
      </c>
      <c r="M1190" s="71">
        <f>IFERROR(IF(VLOOKUP(A1190,[8]PRIORIZADOS!$A:$M,13,FALSE)="","",VLOOKUP(A1190,[8]PRIORIZADOS!$A:$M,13,FALSE)),"")</f>
        <v>45813</v>
      </c>
      <c r="N1190" s="71">
        <f>IFERROR(IF(VLOOKUP(A1190,[8]PRIORIZADOS!$A:$N,14,FALSE)="","",VLOOKUP(A1190,[8]PRIORIZADOS!$A:$N,14,FALSE)),"")</f>
        <v>45813</v>
      </c>
      <c r="O1190" s="71">
        <f>IFERROR(IF(VLOOKUP(A1190,[8]PRIORIZADOS!$A:$O,15,FALSE)="","",VLOOKUP(A1190,[8]PRIORIZADOS!$A:$O,15,FALSE)),"")</f>
        <v>45813</v>
      </c>
      <c r="P1190" s="11" t="str">
        <f>IFERROR(IF(VLOOKUP(A1190,[8]PRIORIZADOS!$A:$P,16,FALSE)="","",VLOOKUP(A1190,[8]PRIORIZADOS!$A:$P,16,FALSE)),"")</f>
        <v>Visitas de evaluación con fines de mejoramiento</v>
      </c>
      <c r="Q1190" s="125" t="s">
        <v>224</v>
      </c>
      <c r="R1190" s="11" t="str">
        <f>IFERROR(IF(VLOOKUP(A1190,[8]PRIORIZADOS!$A:$R,18,FALSE)="","",VLOOKUP(A1190,[8]PRIORIZADOS!$A:$R,18,FALSE)),"")</f>
        <v xml:space="preserve">La IE evidencia para la presente vigencia una sola consulta por delitos sexuales del personal vinculado </v>
      </c>
      <c r="S1190" s="11" t="str">
        <f>IFERROR(IF(VLOOKUP(A1190,[8]PRIORIZADOS!$A:$S,19,FALSE)="","",VLOOKUP(A1190,[8]PRIORIZADOS!$A:$S,19,FALSE)),"")</f>
        <v>La IE debe verificar cada 4 meses las inhabilidades del personal vinculado por delitos sexuales.</v>
      </c>
      <c r="T1190" s="70" t="str">
        <f>IFERROR(IF(VLOOKUP(A1190,[8]PRIORIZADOS!$A:$T,20,FALSE)="","",VLOOKUP(A1190,[8]PRIORIZADOS!$A:$T,20,FALSE)),"")</f>
        <v>Si</v>
      </c>
      <c r="U1190" s="11" t="str">
        <f>IFERROR(IF(VLOOKUP(A1190,[8]PRIORIZADOS!$A:$U,21,FALSE)="","",VLOOKUP(A1190,[8]PRIORIZADOS!$A:$U,21,FALSE)),"")</f>
        <v>Seguimiento al cumplimiento del plan de mejoramiento. Se realiza mesa de seguimiento el día 25 de septiembre 2025.</v>
      </c>
    </row>
    <row r="1191" spans="1:21" s="1" customFormat="1" ht="72">
      <c r="A1191" s="69">
        <f>IF([8]PRIORIZADOS!A170="","",[8]PRIORIZADOS!A170)</f>
        <v>1141</v>
      </c>
      <c r="B1191" s="70">
        <v>29</v>
      </c>
      <c r="C1191" s="11" t="str">
        <f>IFERROR(IF(VLOOKUP(A1191,[8]PRIORIZADOS!$A:$C,3,FALSE)="","",VLOOKUP(A1191,[8]PRIORIZADOS!$A:$C,3,FALSE)),"")</f>
        <v>KENNEDY</v>
      </c>
      <c r="D1191" s="11" t="str">
        <f>IFERROR(IF(VLOOKUP(A1191,[8]PRIORIZADOS!$A:$D,4,FALSE)="","",VLOOKUP(A1191,[8]PRIORIZADOS!$A:$D,4,FALSE)),"")</f>
        <v>PRIVADO</v>
      </c>
      <c r="E1191" s="11" t="str">
        <f>IFERROR(IF(VLOOKUP(A1191,[8]PRIORIZADOS!$A:$E,5,FALSE)="","",VLOOKUP(A1191,[8]PRIORIZADOS!$A:$E,5,FALSE)),"")</f>
        <v>EPBM</v>
      </c>
      <c r="F1191" s="11" t="str">
        <f>IFERROR(IF(VLOOKUP(A1191,[8]PRIORIZADOS!$A:$F,6,FALSE)="","",VLOOKUP(A1191,[8]PRIORIZADOS!$A:$F,6,FALSE)),"")</f>
        <v>INSTITUTO_COMERCIAL_LORETO_SEDE_B</v>
      </c>
      <c r="G1191" s="11" t="str">
        <f>IFERROR(IF(VLOOKUP(A1191,[8]PRIORIZADOS!$A:$G,7,FALSE)="","",VLOOKUP(A1191,[8]PRIORIZADOS!$A:$G,7,FALSE)),"")</f>
        <v>INSTITUTO COMERCIAL LORETO SEDE B</v>
      </c>
      <c r="H1191" s="11" t="str">
        <f>IFERROR(IF(VLOOKUP(A1191,[8]PRIORIZADOS!$A:$H,8,FALSE)="","",VLOOKUP(A1191,[8]PRIORIZADOS!$A:$H,8,FALSE)),"")</f>
        <v>Autoevaluación Institucional y Pruebas SABER 11</v>
      </c>
      <c r="I1191" s="11" t="str">
        <f>IFERROR(IF(VLOOKUP(A1191,[8]PRIORIZADOS!$A:$I,9,FALSE)="","",VLOOKUP(A1191,[8]PRIORIZADOS!$A:$I,9,FALSE)),"")</f>
        <v>SEGUIMIENTO_Y_SUPERVISIÓN.</v>
      </c>
      <c r="J1191" s="11" t="str">
        <f>IFERROR(IF(VLOOKUP(A1191,[8]PRIORIZADOS!$A:$J,10,FALSE)="","",VLOOKUP(A1191,[8]PRIORIZADOS!$A:$J,10,FALSE)),"")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91" s="11" t="str">
        <f>IFERROR(IF(VLOOKUP(A1191,[8]PRIORIZADOS!$A:$K,11,FALSE)="","",VLOOKUP(A1191,[8]PRIORIZADOS!$A:$K,11,FALSE)),"")</f>
        <v>GERMÁN EDUARDO TORO ROSERO</v>
      </c>
      <c r="L1191" s="11" t="str">
        <f>IFERROR(IF(VLOOKUP(A1191,[8]PRIORIZADOS!$A:$L,12,FALSE)="","",VLOOKUP(A1191,[8]PRIORIZADOS!$A:$L,12,FALSE)),"")</f>
        <v>ADRIANA VENEGAS VALERA</v>
      </c>
      <c r="M1191" s="71">
        <f>IFERROR(IF(VLOOKUP(A1191,[8]PRIORIZADOS!$A:$M,13,FALSE)="","",VLOOKUP(A1191,[8]PRIORIZADOS!$A:$M,13,FALSE)),"")</f>
        <v>45813</v>
      </c>
      <c r="N1191" s="71">
        <f>IFERROR(IF(VLOOKUP(A1191,[8]PRIORIZADOS!$A:$N,14,FALSE)="","",VLOOKUP(A1191,[8]PRIORIZADOS!$A:$N,14,FALSE)),"")</f>
        <v>45813</v>
      </c>
      <c r="O1191" s="71">
        <f>IFERROR(IF(VLOOKUP(A1191,[8]PRIORIZADOS!$A:$O,15,FALSE)="","",VLOOKUP(A1191,[8]PRIORIZADOS!$A:$O,15,FALSE)),"")</f>
        <v>45813</v>
      </c>
      <c r="P1191" s="11" t="str">
        <f>IFERROR(IF(VLOOKUP(A1191,[8]PRIORIZADOS!$A:$P,16,FALSE)="","",VLOOKUP(A1191,[8]PRIORIZADOS!$A:$P,16,FALSE)),"")</f>
        <v>Visitas de evaluación con fines de mejoramiento</v>
      </c>
      <c r="Q1191" s="107" t="s">
        <v>224</v>
      </c>
      <c r="R1191" s="11" t="str">
        <f>IFERROR(IF(VLOOKUP(A1191,[8]PRIORIZADOS!$A:$R,18,FALSE)="","",VLOOKUP(A1191,[8]PRIORIZADOS!$A:$R,18,FALSE)),"")</f>
        <v>La IE cuenta con planes individuales de ajustes razonables (3), los actualiza y realiza seguimiento.</v>
      </c>
      <c r="S1191" s="11" t="str">
        <f>IFERROR(IF(VLOOKUP(A1191,[8]PRIORIZADOS!$A:$S,19,FALSE)="","",VLOOKUP(A1191,[8]PRIORIZADOS!$A:$S,19,FALSE)),"")</f>
        <v>La IE debe continuar con la identificación de estudiantes en condición de discapacidad, elaborar los planes individuales de ajustes razonables y hacer seguimiento.</v>
      </c>
      <c r="T1191" s="70" t="str">
        <f>IFERROR(IF(VLOOKUP(A1191,[8]PRIORIZADOS!$A:$T,20,FALSE)="","",VLOOKUP(A1191,[8]PRIORIZADOS!$A:$T,20,FALSE)),"")</f>
        <v>No</v>
      </c>
      <c r="U1191" s="11" t="str">
        <f>IFERROR(IF(VLOOKUP(A1191,[8]PRIORIZADOS!$A:$U,21,FALSE)="","",VLOOKUP(A1191,[8]PRIORIZADOS!$A:$U,21,FALSE)),"")</f>
        <v>Seguimiento al Plan de Mejoramiento general de la IE</v>
      </c>
    </row>
    <row r="1192" spans="1:21" s="1" customFormat="1" ht="118.5">
      <c r="A1192" s="69">
        <f>IF([8]PRIORIZADOS!A171="","",[8]PRIORIZADOS!A171)</f>
        <v>1142</v>
      </c>
      <c r="B1192" s="70">
        <v>29</v>
      </c>
      <c r="C1192" s="11" t="str">
        <f>IFERROR(IF(VLOOKUP(A1192,[8]PRIORIZADOS!$A:$C,3,FALSE)="","",VLOOKUP(A1192,[8]PRIORIZADOS!$A:$C,3,FALSE)),"")</f>
        <v>KENNEDY</v>
      </c>
      <c r="D1192" s="11" t="str">
        <f>IFERROR(IF(VLOOKUP(A1192,[8]PRIORIZADOS!$A:$D,4,FALSE)="","",VLOOKUP(A1192,[8]PRIORIZADOS!$A:$D,4,FALSE)),"")</f>
        <v>PRIVADO</v>
      </c>
      <c r="E1192" s="11" t="str">
        <f>IFERROR(IF(VLOOKUP(A1192,[8]PRIORIZADOS!$A:$E,5,FALSE)="","",VLOOKUP(A1192,[8]PRIORIZADOS!$A:$E,5,FALSE)),"")</f>
        <v>EPBM</v>
      </c>
      <c r="F1192" s="11" t="str">
        <f>IFERROR(IF(VLOOKUP(A1192,[8]PRIORIZADOS!$A:$F,6,FALSE)="","",VLOOKUP(A1192,[8]PRIORIZADOS!$A:$F,6,FALSE)),"")</f>
        <v>INSTITUTO_COMERCIAL_LORETO_SEDE_B</v>
      </c>
      <c r="G1192" s="11" t="str">
        <f>IFERROR(IF(VLOOKUP(A1192,[8]PRIORIZADOS!$A:$G,7,FALSE)="","",VLOOKUP(A1192,[8]PRIORIZADOS!$A:$G,7,FALSE)),"")</f>
        <v>INSTITUTO COMERCIAL LORETO SEDE B</v>
      </c>
      <c r="H1192" s="11" t="str">
        <f>IFERROR(IF(VLOOKUP(A1192,[8]PRIORIZADOS!$A:$H,8,FALSE)="","",VLOOKUP(A1192,[8]PRIORIZADOS!$A:$H,8,FALSE)),"")</f>
        <v>Autoevaluación Institucional y Pruebas SABER 11</v>
      </c>
      <c r="I1192" s="11" t="str">
        <f>IFERROR(IF(VLOOKUP(A1192,[8]PRIORIZADOS!$A:$I,9,FALSE)="","",VLOOKUP(A1192,[8]PRIORIZADOS!$A:$I,9,FALSE)),"")</f>
        <v>EVALUACIÓN_CON_FINES_DE_MEJORAMIENTO.</v>
      </c>
      <c r="J1192" s="11" t="str">
        <f>IFERROR(IF(VLOOKUP(A1192,[8]PRIORIZADOS!$A:$J,10,FALSE)="","",VLOOKUP(A1192,[8]PRIORIZADOS!$A:$J,10,FALSE)),"")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92" s="11" t="str">
        <f>IFERROR(IF(VLOOKUP(A1192,[8]PRIORIZADOS!$A:$K,11,FALSE)="","",VLOOKUP(A1192,[8]PRIORIZADOS!$A:$K,11,FALSE)),"")</f>
        <v>GERMÁN EDUARDO TORO ROSERO</v>
      </c>
      <c r="L1192" s="11" t="str">
        <f>IFERROR(IF(VLOOKUP(A1192,[8]PRIORIZADOS!$A:$L,12,FALSE)="","",VLOOKUP(A1192,[8]PRIORIZADOS!$A:$L,12,FALSE)),"")</f>
        <v>ADRIANA VENEGAS VALERA</v>
      </c>
      <c r="M1192" s="71">
        <f>IFERROR(IF(VLOOKUP(A1192,[8]PRIORIZADOS!$A:$M,13,FALSE)="","",VLOOKUP(A1192,[8]PRIORIZADOS!$A:$M,13,FALSE)),"")</f>
        <v>45813</v>
      </c>
      <c r="N1192" s="71">
        <f>IFERROR(IF(VLOOKUP(A1192,[8]PRIORIZADOS!$A:$N,14,FALSE)="","",VLOOKUP(A1192,[8]PRIORIZADOS!$A:$N,14,FALSE)),"")</f>
        <v>45813</v>
      </c>
      <c r="O1192" s="71">
        <f>IFERROR(IF(VLOOKUP(A1192,[8]PRIORIZADOS!$A:$O,15,FALSE)="","",VLOOKUP(A1192,[8]PRIORIZADOS!$A:$O,15,FALSE)),"")</f>
        <v>45813</v>
      </c>
      <c r="P1192" s="11" t="str">
        <f>IFERROR(IF(VLOOKUP(A1192,[8]PRIORIZADOS!$A:$P,16,FALSE)="","",VLOOKUP(A1192,[8]PRIORIZADOS!$A:$P,16,FALSE)),"")</f>
        <v>Visitas de evaluación con fines de mejoramiento</v>
      </c>
      <c r="Q1192" s="107" t="s">
        <v>224</v>
      </c>
      <c r="R1192" s="11" t="str">
        <f>IFERROR(IF(VLOOKUP(A1192,[8]PRIORIZADOS!$A:$R,18,FALSE)="","",VLOOKUP(A1192,[8]PRIORIZADOS!$A:$R,18,FALSE)),"")</f>
        <v>El manual de convivencia contiene los enfoques de género, de identidad de género y educación sexual, diferencial y enfoque restaurativo. Los protocolos de atención no refieren todas las actuaciones para atender situaciones de convivencia. En lo relacionado a la presentación personal, el manual es restrictivo y va en contravía del libre desarrollo de la personalidad.</v>
      </c>
      <c r="S1192" s="11" t="str">
        <f>IFERROR(IF(VLOOKUP(A1192,[8]PRIORIZADOS!$A:$S,19,FALSE)="","",VLOOKUP(A1192,[8]PRIORIZADOS!$A:$S,19,FALSE)),"")</f>
        <v>La IE debe ajustar los protocolos de atención a situaciones de convivencia, para lo cual debe tomar como referencia los establecidos por la Secretaría de Educación. debe ajustar en lo relacionado a la presentación personal para que no se vulnere el principio del libre desarrollo de la personalidad.</v>
      </c>
      <c r="T1192" s="70" t="str">
        <f>IFERROR(IF(VLOOKUP(A1192,[8]PRIORIZADOS!$A:$T,20,FALSE)="","",VLOOKUP(A1192,[8]PRIORIZADOS!$A:$T,20,FALSE)),"")</f>
        <v>Si</v>
      </c>
      <c r="U1192" s="11" t="str">
        <f>IFERROR(IF(VLOOKUP(A1192,[8]PRIORIZADOS!$A:$U,21,FALSE)="","",VLOOKUP(A1192,[8]PRIORIZADOS!$A:$U,21,FALSE)),"")</f>
        <v>Seguimiento al cumplimiento del plan de mejoramiento. Se realiza mesa de seguimiento el día 25 de septiembre 2025.</v>
      </c>
    </row>
    <row r="1193" spans="1:21" s="1" customFormat="1" ht="48">
      <c r="A1193" s="69">
        <f>IF([8]PRIORIZADOS!A172="","",[8]PRIORIZADOS!A172)</f>
        <v>1143</v>
      </c>
      <c r="B1193" s="70">
        <v>29</v>
      </c>
      <c r="C1193" s="11" t="str">
        <f>IFERROR(IF(VLOOKUP(A1193,[8]PRIORIZADOS!$A:$C,3,FALSE)="","",VLOOKUP(A1193,[8]PRIORIZADOS!$A:$C,3,FALSE)),"")</f>
        <v>KENNEDY</v>
      </c>
      <c r="D1193" s="11" t="str">
        <f>IFERROR(IF(VLOOKUP(A1193,[8]PRIORIZADOS!$A:$D,4,FALSE)="","",VLOOKUP(A1193,[8]PRIORIZADOS!$A:$D,4,FALSE)),"")</f>
        <v>PRIVADO</v>
      </c>
      <c r="E1193" s="11" t="str">
        <f>IFERROR(IF(VLOOKUP(A1193,[8]PRIORIZADOS!$A:$E,5,FALSE)="","",VLOOKUP(A1193,[8]PRIORIZADOS!$A:$E,5,FALSE)),"")</f>
        <v>EPBM</v>
      </c>
      <c r="F1193" s="11" t="str">
        <f>IFERROR(IF(VLOOKUP(A1193,[8]PRIORIZADOS!$A:$F,6,FALSE)="","",VLOOKUP(A1193,[8]PRIORIZADOS!$A:$F,6,FALSE)),"")</f>
        <v>INSTITUTO_COMERCIAL_LORETO_SEDE_B</v>
      </c>
      <c r="G1193" s="11" t="str">
        <f>IFERROR(IF(VLOOKUP(A1193,[8]PRIORIZADOS!$A:$G,7,FALSE)="","",VLOOKUP(A1193,[8]PRIORIZADOS!$A:$G,7,FALSE)),"")</f>
        <v>INSTITUTO COMERCIAL LORETO SEDE B</v>
      </c>
      <c r="H1193" s="11" t="str">
        <f>IFERROR(IF(VLOOKUP(A1193,[8]PRIORIZADOS!$A:$H,8,FALSE)="","",VLOOKUP(A1193,[8]PRIORIZADOS!$A:$H,8,FALSE)),"")</f>
        <v>Autoevaluación Institucional y Pruebas SABER 11</v>
      </c>
      <c r="I1193" s="11" t="str">
        <f>IFERROR(IF(VLOOKUP(A1193,[8]PRIORIZADOS!$A:$I,9,FALSE)="","",VLOOKUP(A1193,[8]PRIORIZADOS!$A:$I,9,FALSE)),"")</f>
        <v>EVALUACIÓN_CON_FINES_DE_MEJORAMIENTO.</v>
      </c>
      <c r="J1193" s="11" t="str">
        <f>IFERROR(IF(VLOOKUP(A1193,[8]PRIORIZADOS!$A:$J,10,FALSE)="","",VLOOKUP(A1193,[8]PRIORIZADOS!$A:$J,10,FALSE)),"")</f>
        <v>Revisar el calendario escolar, jornada escolar, la intensidad horaria mínima anual en cada nivel y las modificaciones que se realicen al mismo, de acuerdo con lo previsto en la normatividad vigente.</v>
      </c>
      <c r="K1193" s="11" t="str">
        <f>IFERROR(IF(VLOOKUP(A1193,[8]PRIORIZADOS!$A:$K,11,FALSE)="","",VLOOKUP(A1193,[8]PRIORIZADOS!$A:$K,11,FALSE)),"")</f>
        <v>GERMÁN EDUARDO TORO ROSERO</v>
      </c>
      <c r="L1193" s="11" t="str">
        <f>IFERROR(IF(VLOOKUP(A1193,[8]PRIORIZADOS!$A:$L,12,FALSE)="","",VLOOKUP(A1193,[8]PRIORIZADOS!$A:$L,12,FALSE)),"")</f>
        <v>ADRIANA VENEGAS VALERA</v>
      </c>
      <c r="M1193" s="71">
        <f>IFERROR(IF(VLOOKUP(A1193,[8]PRIORIZADOS!$A:$M,13,FALSE)="","",VLOOKUP(A1193,[8]PRIORIZADOS!$A:$M,13,FALSE)),"")</f>
        <v>45813</v>
      </c>
      <c r="N1193" s="71">
        <f>IFERROR(IF(VLOOKUP(A1193,[8]PRIORIZADOS!$A:$N,14,FALSE)="","",VLOOKUP(A1193,[8]PRIORIZADOS!$A:$N,14,FALSE)),"")</f>
        <v>45813</v>
      </c>
      <c r="O1193" s="71">
        <f>IFERROR(IF(VLOOKUP(A1193,[8]PRIORIZADOS!$A:$O,15,FALSE)="","",VLOOKUP(A1193,[8]PRIORIZADOS!$A:$O,15,FALSE)),"")</f>
        <v>45813</v>
      </c>
      <c r="P1193" s="11" t="str">
        <f>IFERROR(IF(VLOOKUP(A1193,[8]PRIORIZADOS!$A:$P,16,FALSE)="","",VLOOKUP(A1193,[8]PRIORIZADOS!$A:$P,16,FALSE)),"")</f>
        <v>Visitas de evaluación con fines de mejoramiento</v>
      </c>
      <c r="Q1193" s="126" t="s">
        <v>224</v>
      </c>
      <c r="R1193" s="11" t="str">
        <f>IFERROR(IF(VLOOKUP(A1193,[8]PRIORIZADOS!$A:$R,18,FALSE)="","",VLOOKUP(A1193,[8]PRIORIZADOS!$A:$R,18,FALSE)),"")</f>
        <v>El calendario académico presentado por la IE cumple con lo establecido en la norma.</v>
      </c>
      <c r="S1193" s="11" t="str">
        <f>IFERROR(IF(VLOOKUP(A1193,[8]PRIORIZADOS!$A:$S,19,FALSE)="","",VLOOKUP(A1193,[8]PRIORIZADOS!$A:$S,19,FALSE)),"")</f>
        <v xml:space="preserve">La IE debe dar cumplimiento al calendario escolar aprobado y hacer seguimiento a su implementación. </v>
      </c>
      <c r="T1193" s="70" t="str">
        <f>IFERROR(IF(VLOOKUP(A1193,[8]PRIORIZADOS!$A:$T,20,FALSE)="","",VLOOKUP(A1193,[8]PRIORIZADOS!$A:$T,20,FALSE)),"")</f>
        <v>No</v>
      </c>
      <c r="U1193" s="11" t="str">
        <f>IFERROR(IF(VLOOKUP(A1193,[8]PRIORIZADOS!$A:$U,21,FALSE)="","",VLOOKUP(A1193,[8]PRIORIZADOS!$A:$U,21,FALSE)),"")</f>
        <v xml:space="preserve">Hacer seguimiento a la implementación. </v>
      </c>
    </row>
    <row r="1194" spans="1:21" s="1" customFormat="1" ht="72">
      <c r="A1194" s="69">
        <f>IF([8]PRIORIZADOS!A173="","",[8]PRIORIZADOS!A173)</f>
        <v>1144</v>
      </c>
      <c r="B1194" s="70">
        <v>29</v>
      </c>
      <c r="C1194" s="11" t="str">
        <f>IFERROR(IF(VLOOKUP(A1194,[8]PRIORIZADOS!$A:$C,3,FALSE)="","",VLOOKUP(A1194,[8]PRIORIZADOS!$A:$C,3,FALSE)),"")</f>
        <v>KENNEDY</v>
      </c>
      <c r="D1194" s="11" t="str">
        <f>IFERROR(IF(VLOOKUP(A1194,[8]PRIORIZADOS!$A:$D,4,FALSE)="","",VLOOKUP(A1194,[8]PRIORIZADOS!$A:$D,4,FALSE)),"")</f>
        <v>PRIVADO</v>
      </c>
      <c r="E1194" s="11" t="str">
        <f>IFERROR(IF(VLOOKUP(A1194,[8]PRIORIZADOS!$A:$E,5,FALSE)="","",VLOOKUP(A1194,[8]PRIORIZADOS!$A:$E,5,FALSE)),"")</f>
        <v>EPBM</v>
      </c>
      <c r="F1194" s="11" t="str">
        <f>IFERROR(IF(VLOOKUP(A1194,[8]PRIORIZADOS!$A:$F,6,FALSE)="","",VLOOKUP(A1194,[8]PRIORIZADOS!$A:$F,6,FALSE)),"")</f>
        <v>INSTITUTO_COMERCIAL_LORETO_SEDE_B</v>
      </c>
      <c r="G1194" s="11" t="str">
        <f>IFERROR(IF(VLOOKUP(A1194,[8]PRIORIZADOS!$A:$G,7,FALSE)="","",VLOOKUP(A1194,[8]PRIORIZADOS!$A:$G,7,FALSE)),"")</f>
        <v>INSTITUTO COMERCIAL LORETO SEDE B</v>
      </c>
      <c r="H1194" s="11" t="str">
        <f>IFERROR(IF(VLOOKUP(A1194,[8]PRIORIZADOS!$A:$H,8,FALSE)="","",VLOOKUP(A1194,[8]PRIORIZADOS!$A:$H,8,FALSE)),"")</f>
        <v>Autoevaluación Institucional y Pruebas SABER 11</v>
      </c>
      <c r="I1194" s="11" t="str">
        <f>IFERROR(IF(VLOOKUP(A1194,[8]PRIORIZADOS!$A:$I,9,FALSE)="","",VLOOKUP(A1194,[8]PRIORIZADOS!$A:$I,9,FALSE)),"")</f>
        <v>EVALUACIÓN_CON_FINES_DE_MEJORAMIENTO.</v>
      </c>
      <c r="J1194" s="11" t="str">
        <f>IFERROR(IF(VLOOKUP(A1194,[8]PRIORIZADOS!$A:$J,10,FALSE)="","",VLOOKUP(A1194,[8]PRIORIZADOS!$A:$J,10,FALSE)),"")</f>
        <v>Verificar el funcionamiento del Gobierno Escolar e instancias de participación con base en la información sobre conformación reportada por la institución educativa.</v>
      </c>
      <c r="K1194" s="11" t="str">
        <f>IFERROR(IF(VLOOKUP(A1194,[8]PRIORIZADOS!$A:$K,11,FALSE)="","",VLOOKUP(A1194,[8]PRIORIZADOS!$A:$K,11,FALSE)),"")</f>
        <v>GERMÁN EDUARDO TORO ROSERO</v>
      </c>
      <c r="L1194" s="11" t="str">
        <f>IFERROR(IF(VLOOKUP(A1194,[8]PRIORIZADOS!$A:$L,12,FALSE)="","",VLOOKUP(A1194,[8]PRIORIZADOS!$A:$L,12,FALSE)),"")</f>
        <v>ADRIANA VENEGAS VALERA</v>
      </c>
      <c r="M1194" s="71">
        <f>IFERROR(IF(VLOOKUP(A1194,[8]PRIORIZADOS!$A:$M,13,FALSE)="","",VLOOKUP(A1194,[8]PRIORIZADOS!$A:$M,13,FALSE)),"")</f>
        <v>45813</v>
      </c>
      <c r="N1194" s="71">
        <f>IFERROR(IF(VLOOKUP(A1194,[8]PRIORIZADOS!$A:$N,14,FALSE)="","",VLOOKUP(A1194,[8]PRIORIZADOS!$A:$N,14,FALSE)),"")</f>
        <v>45813</v>
      </c>
      <c r="O1194" s="71">
        <f>IFERROR(IF(VLOOKUP(A1194,[8]PRIORIZADOS!$A:$O,15,FALSE)="","",VLOOKUP(A1194,[8]PRIORIZADOS!$A:$O,15,FALSE)),"")</f>
        <v>45813</v>
      </c>
      <c r="P1194" s="11" t="str">
        <f>IFERROR(IF(VLOOKUP(A1194,[8]PRIORIZADOS!$A:$P,16,FALSE)="","",VLOOKUP(A1194,[8]PRIORIZADOS!$A:$P,16,FALSE)),"")</f>
        <v>Visitas de evaluación con fines de mejoramiento</v>
      </c>
      <c r="Q1194" s="164" t="s">
        <v>224</v>
      </c>
      <c r="R1194" s="11" t="str">
        <f>IFERROR(IF(VLOOKUP(A1194,[8]PRIORIZADOS!$A:$R,18,FALSE)="","",VLOOKUP(A1194,[8]PRIORIZADOS!$A:$R,18,FALSE)),"")</f>
        <v>La IE presenta evidencias  de la conformación y funcionamiento del gobierno escolar y demás instancias de participación de conformidad con lo establecido en la normatividad vigente y reglamentos internos.</v>
      </c>
      <c r="S1194" s="11" t="str">
        <f>IFERROR(IF(VLOOKUP(A1194,[8]PRIORIZADOS!$A:$S,19,FALSE)="","",VLOOKUP(A1194,[8]PRIORIZADOS!$A:$S,19,FALSE)),"")</f>
        <v>La IE debe hacer seguimiento al funcionamiento del gobierno escolar y demás instancias de participación, dejando las respectivas evidencias.</v>
      </c>
      <c r="T1194" s="70" t="str">
        <f>IFERROR(IF(VLOOKUP(A1194,[8]PRIORIZADOS!$A:$T,20,FALSE)="","",VLOOKUP(A1194,[8]PRIORIZADOS!$A:$T,20,FALSE)),"")</f>
        <v>No</v>
      </c>
      <c r="U1194" s="11" t="str">
        <f>IFERROR(IF(VLOOKUP(A1194,[8]PRIORIZADOS!$A:$U,21,FALSE)="","",VLOOKUP(A1194,[8]PRIORIZADOS!$A:$U,21,FALSE)),"")</f>
        <v xml:space="preserve">Hacer seguimiento a la implementación. </v>
      </c>
    </row>
    <row r="1195" spans="1:21" s="1" customFormat="1" ht="36">
      <c r="A1195" s="69">
        <f>IF([8]PRIORIZADOS!A174="","",[8]PRIORIZADOS!A174)</f>
        <v>1146</v>
      </c>
      <c r="B1195" s="70">
        <f>IFERROR(IF(VLOOKUP(A1195,[8]PRIORIZADOS!$A:$B,2,FALSE)="","",VLOOKUP(A1195,[8]PRIORIZADOS!$A:$B,2,FALSE)),"")</f>
        <v>30</v>
      </c>
      <c r="C1195" s="11" t="str">
        <f>IFERROR(IF(VLOOKUP(A1195,[8]PRIORIZADOS!$A:$C,3,FALSE)="","",VLOOKUP(A1195,[8]PRIORIZADOS!$A:$C,3,FALSE)),"")</f>
        <v>KENNEDY</v>
      </c>
      <c r="D1195" s="11" t="str">
        <f>IFERROR(IF(VLOOKUP(A1195,[8]PRIORIZADOS!$A:$D,4,FALSE)="","",VLOOKUP(A1195,[8]PRIORIZADOS!$A:$D,4,FALSE)),"")</f>
        <v>PRIVADO</v>
      </c>
      <c r="E1195" s="11" t="str">
        <f>IFERROR(IF(VLOOKUP(A1195,[8]PRIORIZADOS!$A:$E,5,FALSE)="","",VLOOKUP(A1195,[8]PRIORIZADOS!$A:$E,5,FALSE)),"")</f>
        <v>EPBM</v>
      </c>
      <c r="F1195" s="11" t="str">
        <f>IFERROR(IF(VLOOKUP(A1195,[8]PRIORIZADOS!$A:$F,6,FALSE)="","",VLOOKUP(A1195,[8]PRIORIZADOS!$A:$F,6,FALSE)),"")</f>
        <v>INSTITUTO_CULTURAL_CIUDAD_KENNEDY</v>
      </c>
      <c r="G1195" s="11" t="str">
        <f>IFERROR(IF(VLOOKUP(A1195,[8]PRIORIZADOS!$A:$G,7,FALSE)="","",VLOOKUP(A1195,[8]PRIORIZADOS!$A:$G,7,FALSE)),"")</f>
        <v>INSTITUTO CULTURAL CIUDAD KENNEDY</v>
      </c>
      <c r="H1195" s="11" t="str">
        <f>IFERROR(IF(VLOOKUP(A1195,[8]PRIORIZADOS!$A:$H,8,FALSE)="","",VLOOKUP(A1195,[8]PRIORIZADOS!$A:$H,8,FALSE)),"")</f>
        <v>Autoevaluación Institucional y Pruebas SABER 11</v>
      </c>
      <c r="I1195" s="11" t="str">
        <f>IFERROR(IF(VLOOKUP(A1195,[8]PRIORIZADOS!$A:$I,9,FALSE)="","",VLOOKUP(A1195,[8]PRIORIZADOS!$A:$I,9,FALSE)),"")</f>
        <v>SEGUIMIENTO_Y_SUPERVISIÓN.</v>
      </c>
      <c r="J1195" s="11" t="str">
        <f>IFERROR(IF(VLOOKUP(A1195,[8]PRIORIZADOS!$A:$J,10,FALSE)="","",VLOOKUP(A1195,[8]PRIORIZADOS!$A:$J,10,FALSE)),"")</f>
        <v>Realizar visitas para verificar la información registrada sobre la autoevaluación institucional en el aplicativo EVI, a los establecimientos de educación formal no oficial.</v>
      </c>
      <c r="K1195" s="11" t="str">
        <f>IFERROR(IF(VLOOKUP(A1195,[8]PRIORIZADOS!$A:$K,11,FALSE)="","",VLOOKUP(A1195,[8]PRIORIZADOS!$A:$K,11,FALSE)),"")</f>
        <v>INGRID VIVIANA DÁVILA ÁVILA</v>
      </c>
      <c r="L1195" s="11" t="str">
        <f>IFERROR(IF(VLOOKUP(A1195,[8]PRIORIZADOS!$A:$L,12,FALSE)="","",VLOOKUP(A1195,[8]PRIORIZADOS!$A:$L,12,FALSE)),"")</f>
        <v>ADRIANA VENEGAS VALERA</v>
      </c>
      <c r="M1195" s="71">
        <f>IFERROR(IF(VLOOKUP(A1195,[8]PRIORIZADOS!$A:$M,13,FALSE)="","",VLOOKUP(A1195,[8]PRIORIZADOS!$A:$M,13,FALSE)),"")</f>
        <v>45853</v>
      </c>
      <c r="N1195" s="71">
        <f>IFERROR(IF(VLOOKUP(A1195,[8]PRIORIZADOS!$A:$N,14,FALSE)="","",VLOOKUP(A1195,[8]PRIORIZADOS!$A:$N,14,FALSE)),"")</f>
        <v>45853</v>
      </c>
      <c r="O1195" s="71">
        <f>IFERROR(IF(VLOOKUP(A1195,[8]PRIORIZADOS!$A:$O,15,FALSE)="","",VLOOKUP(A1195,[8]PRIORIZADOS!$A:$O,15,FALSE)),"")</f>
        <v>45853</v>
      </c>
      <c r="P1195" s="11" t="str">
        <f>IFERROR(IF(VLOOKUP(A1195,[8]PRIORIZADOS!$A:$P,16,FALSE)="","",VLOOKUP(A1195,[8]PRIORIZADOS!$A:$P,16,FALSE)),"")</f>
        <v>Visitas de evaluación con fines de mejoramiento</v>
      </c>
      <c r="Q1195" s="140" t="s">
        <v>225</v>
      </c>
      <c r="R1195" s="11" t="str">
        <f>IFERROR(IF(VLOOKUP(A1195,[8]PRIORIZADOS!$A:$R,18,FALSE)="","",VLOOKUP(A1195,[8]PRIORIZADOS!$A:$R,18,FALSE)),"")</f>
        <v>Se encontró que la información reportada en la autoevaluación institucional guarda relación con la realidad institucional.</v>
      </c>
      <c r="S1195" s="11" t="str">
        <f>IFERROR(IF(VLOOKUP(A1195,[8]PRIORIZADOS!$A:$S,19,FALSE)="","",VLOOKUP(A1195,[8]PRIORIZADOS!$A:$S,19,FALSE)),"")</f>
        <v>Continuar registrado la información en la autoevaluación institucional acorde a las capacidades y realidades de la institución</v>
      </c>
      <c r="T1195" s="70" t="str">
        <f>IFERROR(IF(VLOOKUP(A1195,[8]PRIORIZADOS!$A:$T,20,FALSE)="","",VLOOKUP(A1195,[8]PRIORIZADOS!$A:$T,20,FALSE)),"")</f>
        <v>NO</v>
      </c>
      <c r="U1195" s="11" t="str">
        <f>IFERROR(IF(VLOOKUP(A1195,[8]PRIORIZADOS!$A:$U,21,FALSE)="","",VLOOKUP(A1195,[8]PRIORIZADOS!$A:$U,21,FALSE)),"")</f>
        <v>Validar las acciones planificadas por la institución educativa en su plan de mejora</v>
      </c>
    </row>
    <row r="1196" spans="1:21" s="1" customFormat="1" ht="60">
      <c r="A1196" s="69">
        <f>IF([8]PRIORIZADOS!A175="","",[8]PRIORIZADOS!A175)</f>
        <v>1147</v>
      </c>
      <c r="B1196" s="70">
        <v>30</v>
      </c>
      <c r="C1196" s="11" t="str">
        <f>IFERROR(IF(VLOOKUP(A1196,[8]PRIORIZADOS!$A:$C,3,FALSE)="","",VLOOKUP(A1196,[8]PRIORIZADOS!$A:$C,3,FALSE)),"")</f>
        <v>KENNEDY</v>
      </c>
      <c r="D1196" s="11" t="str">
        <f>IFERROR(IF(VLOOKUP(A1196,[8]PRIORIZADOS!$A:$D,4,FALSE)="","",VLOOKUP(A1196,[8]PRIORIZADOS!$A:$D,4,FALSE)),"")</f>
        <v>PRIVADO</v>
      </c>
      <c r="E1196" s="11" t="str">
        <f>IFERROR(IF(VLOOKUP(A1196,[8]PRIORIZADOS!$A:$E,5,FALSE)="","",VLOOKUP(A1196,[8]PRIORIZADOS!$A:$E,5,FALSE)),"")</f>
        <v>EPBM</v>
      </c>
      <c r="F1196" s="11" t="str">
        <f>IFERROR(IF(VLOOKUP(A1196,[8]PRIORIZADOS!$A:$F,6,FALSE)="","",VLOOKUP(A1196,[8]PRIORIZADOS!$A:$F,6,FALSE)),"")</f>
        <v>INSTITUTO_CULTURAL_CIUDAD_KENNEDY</v>
      </c>
      <c r="G1196" s="11" t="str">
        <f>IFERROR(IF(VLOOKUP(A1196,[8]PRIORIZADOS!$A:$G,7,FALSE)="","",VLOOKUP(A1196,[8]PRIORIZADOS!$A:$G,7,FALSE)),"")</f>
        <v>INSTITUTO CULTURAL CIUDAD KENNEDY</v>
      </c>
      <c r="H1196" s="11" t="str">
        <f>IFERROR(IF(VLOOKUP(A1196,[8]PRIORIZADOS!$A:$H,8,FALSE)="","",VLOOKUP(A1196,[8]PRIORIZADOS!$A:$H,8,FALSE)),"")</f>
        <v>Autoevaluación Institucional y Pruebas SABER 11</v>
      </c>
      <c r="I1196" s="11" t="str">
        <f>IFERROR(IF(VLOOKUP(A1196,[8]PRIORIZADOS!$A:$I,9,FALSE)="","",VLOOKUP(A1196,[8]PRIORIZADOS!$A:$I,9,FALSE)),"")</f>
        <v>SEGUIMIENTO_Y_SUPERVISIÓN.</v>
      </c>
      <c r="J1196" s="11" t="str">
        <f>IFERROR(IF(VLOOKUP(A1196,[8]PRIORIZADOS!$A:$J,10,FALSE)="","",VLOOKUP(A1196,[8]PRIORIZADOS!$A:$J,10,FALSE)),"")</f>
        <v>Proponer estrategias en la formulación, verificar su elaboración y realizar seguimiento semestral al desarrollo de  las acciones establecidas en los planes de mejoramiento por pruebas SABER 11 de los establecimientos de educación formal.</v>
      </c>
      <c r="K1196" s="11" t="str">
        <f>IFERROR(IF(VLOOKUP(A1196,[8]PRIORIZADOS!$A:$K,11,FALSE)="","",VLOOKUP(A1196,[8]PRIORIZADOS!$A:$K,11,FALSE)),"")</f>
        <v>INGRID VIVIANA DÁVILA ÁVILA</v>
      </c>
      <c r="L1196" s="11" t="str">
        <f>IFERROR(IF(VLOOKUP(A1196,[8]PRIORIZADOS!$A:$L,12,FALSE)="","",VLOOKUP(A1196,[8]PRIORIZADOS!$A:$L,12,FALSE)),"")</f>
        <v>ADRIANA VENEGAS VALERA</v>
      </c>
      <c r="M1196" s="71">
        <f>IFERROR(IF(VLOOKUP(A1196,[8]PRIORIZADOS!$A:$M,13,FALSE)="","",VLOOKUP(A1196,[8]PRIORIZADOS!$A:$M,13,FALSE)),"")</f>
        <v>45853</v>
      </c>
      <c r="N1196" s="71">
        <f>IFERROR(IF(VLOOKUP(A1196,[8]PRIORIZADOS!$A:$N,14,FALSE)="","",VLOOKUP(A1196,[8]PRIORIZADOS!$A:$N,14,FALSE)),"")</f>
        <v>45853</v>
      </c>
      <c r="O1196" s="71">
        <f>IFERROR(IF(VLOOKUP(A1196,[8]PRIORIZADOS!$A:$O,15,FALSE)="","",VLOOKUP(A1196,[8]PRIORIZADOS!$A:$O,15,FALSE)),"")</f>
        <v>45853</v>
      </c>
      <c r="P1196" s="11" t="str">
        <f>IFERROR(IF(VLOOKUP(A1196,[8]PRIORIZADOS!$A:$P,16,FALSE)="","",VLOOKUP(A1196,[8]PRIORIZADOS!$A:$P,16,FALSE)),"")</f>
        <v>Visitas de evaluación con fines de mejoramiento</v>
      </c>
      <c r="Q1196" s="140" t="s">
        <v>225</v>
      </c>
      <c r="R1196" s="11" t="str">
        <f>IFERROR(IF(VLOOKUP(A1196,[8]PRIORIZADOS!$A:$R,18,FALSE)="","",VLOOKUP(A1196,[8]PRIORIZADOS!$A:$R,18,FALSE)),"")</f>
        <v>No se encontraron los soportes que permitan verificar que se realizó un ejercicio de análisis para establecer estrategias de mejora en los resultados de las pruebas saber 11</v>
      </c>
      <c r="S1196" s="11" t="str">
        <f>IFERROR(IF(VLOOKUP(A1196,[8]PRIORIZADOS!$A:$S,19,FALSE)="","",VLOOKUP(A1196,[8]PRIORIZADOS!$A:$S,19,FALSE)),"")</f>
        <v>Realizar análisis, formulación y plan de mejora en las pruebas saber 11,  las cuales deben estar avaladas por consejo directivo y académico</v>
      </c>
      <c r="T1196" s="70" t="str">
        <f>IFERROR(IF(VLOOKUP(A1196,[8]PRIORIZADOS!$A:$T,20,FALSE)="","",VLOOKUP(A1196,[8]PRIORIZADOS!$A:$T,20,FALSE)),"")</f>
        <v>Si</v>
      </c>
      <c r="U1196" s="11" t="str">
        <f>IFERROR(IF(VLOOKUP(A1196,[8]PRIORIZADOS!$A:$U,21,FALSE)="","",VLOOKUP(A1196,[8]PRIORIZADOS!$A:$U,21,FALSE)),"")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197" spans="1:21" s="1" customFormat="1" ht="60">
      <c r="A1197" s="69">
        <f>IF([8]PRIORIZADOS!A176="","",[8]PRIORIZADOS!A176)</f>
        <v>1148</v>
      </c>
      <c r="B1197" s="70">
        <v>30</v>
      </c>
      <c r="C1197" s="11" t="str">
        <f>IFERROR(IF(VLOOKUP(A1197,[8]PRIORIZADOS!$A:$C,3,FALSE)="","",VLOOKUP(A1197,[8]PRIORIZADOS!$A:$C,3,FALSE)),"")</f>
        <v>KENNEDY</v>
      </c>
      <c r="D1197" s="11" t="str">
        <f>IFERROR(IF(VLOOKUP(A1197,[8]PRIORIZADOS!$A:$D,4,FALSE)="","",VLOOKUP(A1197,[8]PRIORIZADOS!$A:$D,4,FALSE)),"")</f>
        <v>PRIVADO</v>
      </c>
      <c r="E1197" s="11" t="str">
        <f>IFERROR(IF(VLOOKUP(A1197,[8]PRIORIZADOS!$A:$E,5,FALSE)="","",VLOOKUP(A1197,[8]PRIORIZADOS!$A:$E,5,FALSE)),"")</f>
        <v>EPBM</v>
      </c>
      <c r="F1197" s="11" t="str">
        <f>IFERROR(IF(VLOOKUP(A1197,[8]PRIORIZADOS!$A:$F,6,FALSE)="","",VLOOKUP(A1197,[8]PRIORIZADOS!$A:$F,6,FALSE)),"")</f>
        <v>INSTITUTO_CULTURAL_CIUDAD_KENNEDY</v>
      </c>
      <c r="G1197" s="11" t="str">
        <f>IFERROR(IF(VLOOKUP(A1197,[8]PRIORIZADOS!$A:$G,7,FALSE)="","",VLOOKUP(A1197,[8]PRIORIZADOS!$A:$G,7,FALSE)),"")</f>
        <v>INSTITUTO CULTURAL CIUDAD KENNEDY</v>
      </c>
      <c r="H1197" s="11" t="str">
        <f>IFERROR(IF(VLOOKUP(A1197,[8]PRIORIZADOS!$A:$H,8,FALSE)="","",VLOOKUP(A1197,[8]PRIORIZADOS!$A:$H,8,FALSE)),"")</f>
        <v>Autoevaluación Institucional y Pruebas SABER 11</v>
      </c>
      <c r="I1197" s="11" t="str">
        <f>IFERROR(IF(VLOOKUP(A1197,[8]PRIORIZADOS!$A:$I,9,FALSE)="","",VLOOKUP(A1197,[8]PRIORIZADOS!$A:$I,9,FALSE)),"")</f>
        <v>SEGUIMIENTO_Y_SUPERVISIÓN.</v>
      </c>
      <c r="J1197" s="11" t="str">
        <f>IFERROR(IF(VLOOKUP(A1197,[8]PRIORIZADOS!$A:$J,10,FALSE)="","",VLOOKUP(A1197,[8]PRIORIZADOS!$A:$J,10,FALSE)),"")</f>
        <v xml:space="preserve">Verificar la implementación por parte de los colegios, de acciones realizadas para la prevención y atención de las situaciones de convivencia en el entorno escolar, según lo establecido en la Directiva 01 de 2022 del MEN. </v>
      </c>
      <c r="K1197" s="11" t="str">
        <f>IFERROR(IF(VLOOKUP(A1197,[8]PRIORIZADOS!$A:$K,11,FALSE)="","",VLOOKUP(A1197,[8]PRIORIZADOS!$A:$K,11,FALSE)),"")</f>
        <v>INGRID VIVIANA DÁVILA ÁVILA</v>
      </c>
      <c r="L1197" s="11" t="str">
        <f>IFERROR(IF(VLOOKUP(A1197,[8]PRIORIZADOS!$A:$L,12,FALSE)="","",VLOOKUP(A1197,[8]PRIORIZADOS!$A:$L,12,FALSE)),"")</f>
        <v>ADRIANA VENEGAS VALERA</v>
      </c>
      <c r="M1197" s="71">
        <f>IFERROR(IF(VLOOKUP(A1197,[8]PRIORIZADOS!$A:$M,13,FALSE)="","",VLOOKUP(A1197,[8]PRIORIZADOS!$A:$M,13,FALSE)),"")</f>
        <v>45853</v>
      </c>
      <c r="N1197" s="71">
        <f>IFERROR(IF(VLOOKUP(A1197,[8]PRIORIZADOS!$A:$N,14,FALSE)="","",VLOOKUP(A1197,[8]PRIORIZADOS!$A:$N,14,FALSE)),"")</f>
        <v>45853</v>
      </c>
      <c r="O1197" s="71">
        <f>IFERROR(IF(VLOOKUP(A1197,[8]PRIORIZADOS!$A:$O,15,FALSE)="","",VLOOKUP(A1197,[8]PRIORIZADOS!$A:$O,15,FALSE)),"")</f>
        <v>45853</v>
      </c>
      <c r="P1197" s="11" t="str">
        <f>IFERROR(IF(VLOOKUP(A1197,[8]PRIORIZADOS!$A:$P,16,FALSE)="","",VLOOKUP(A1197,[8]PRIORIZADOS!$A:$P,16,FALSE)),"")</f>
        <v>Visitas de evaluación con fines de mejoramiento</v>
      </c>
      <c r="Q1197" s="140" t="s">
        <v>225</v>
      </c>
      <c r="R1197" s="11" t="str">
        <f>IFERROR(IF(VLOOKUP(A1197,[8]PRIORIZADOS!$A:$R,18,FALSE)="","",VLOOKUP(A1197,[8]PRIORIZADOS!$A:$R,18,FALSE)),"")</f>
        <v>La institución educativa cuenta con personal de apoyo para la orientación escolar, quien fortalece los procesos de promoción y prevención en la convivencia escolar</v>
      </c>
      <c r="S1197" s="11" t="str">
        <f>IFERROR(IF(VLOOKUP(A1197,[8]PRIORIZADOS!$A:$S,19,FALSE)="","",VLOOKUP(A1197,[8]PRIORIZADOS!$A:$S,19,FALSE)),"")</f>
        <v>Continuar con los procesos de seguimientos a los estudiantes que requieran manejo por dificultades socioemocionales</v>
      </c>
      <c r="T1197" s="70" t="str">
        <f>IFERROR(IF(VLOOKUP(A1197,[8]PRIORIZADOS!$A:$T,20,FALSE)="","",VLOOKUP(A1197,[8]PRIORIZADOS!$A:$T,20,FALSE)),"")</f>
        <v>Si</v>
      </c>
      <c r="U1197" s="11" t="str">
        <f>IFERROR(IF(VLOOKUP(A1197,[8]PRIORIZADOS!$A:$U,21,FALSE)="","",VLOOKUP(A1197,[8]PRIORIZADOS!$A:$U,21,FALSE)),"")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198" spans="1:21" s="1" customFormat="1" ht="72">
      <c r="A1198" s="69">
        <f>IF([8]PRIORIZADOS!A177="","",[8]PRIORIZADOS!A177)</f>
        <v>1149</v>
      </c>
      <c r="B1198" s="70">
        <v>30</v>
      </c>
      <c r="C1198" s="11" t="str">
        <f>IFERROR(IF(VLOOKUP(A1198,[8]PRIORIZADOS!$A:$C,3,FALSE)="","",VLOOKUP(A1198,[8]PRIORIZADOS!$A:$C,3,FALSE)),"")</f>
        <v>KENNEDY</v>
      </c>
      <c r="D1198" s="11" t="str">
        <f>IFERROR(IF(VLOOKUP(A1198,[8]PRIORIZADOS!$A:$D,4,FALSE)="","",VLOOKUP(A1198,[8]PRIORIZADOS!$A:$D,4,FALSE)),"")</f>
        <v>PRIVADO</v>
      </c>
      <c r="E1198" s="11" t="str">
        <f>IFERROR(IF(VLOOKUP(A1198,[8]PRIORIZADOS!$A:$E,5,FALSE)="","",VLOOKUP(A1198,[8]PRIORIZADOS!$A:$E,5,FALSE)),"")</f>
        <v>EPBM</v>
      </c>
      <c r="F1198" s="11" t="str">
        <f>IFERROR(IF(VLOOKUP(A1198,[8]PRIORIZADOS!$A:$F,6,FALSE)="","",VLOOKUP(A1198,[8]PRIORIZADOS!$A:$F,6,FALSE)),"")</f>
        <v>INSTITUTO_CULTURAL_CIUDAD_KENNEDY</v>
      </c>
      <c r="G1198" s="11" t="str">
        <f>IFERROR(IF(VLOOKUP(A1198,[8]PRIORIZADOS!$A:$G,7,FALSE)="","",VLOOKUP(A1198,[8]PRIORIZADOS!$A:$G,7,FALSE)),"")</f>
        <v>INSTITUTO CULTURAL CIUDAD KENNEDY</v>
      </c>
      <c r="H1198" s="11" t="str">
        <f>IFERROR(IF(VLOOKUP(A1198,[8]PRIORIZADOS!$A:$H,8,FALSE)="","",VLOOKUP(A1198,[8]PRIORIZADOS!$A:$H,8,FALSE)),"")</f>
        <v>Autoevaluación Institucional y Pruebas SABER 11</v>
      </c>
      <c r="I1198" s="11" t="str">
        <f>IFERROR(IF(VLOOKUP(A1198,[8]PRIORIZADOS!$A:$I,9,FALSE)="","",VLOOKUP(A1198,[8]PRIORIZADOS!$A:$I,9,FALSE)),"")</f>
        <v>SEGUIMIENTO_Y_SUPERVISIÓN.</v>
      </c>
      <c r="J1198" s="11" t="str">
        <f>IFERROR(IF(VLOOKUP(A1198,[8]PRIORIZADOS!$A:$J,10,FALSE)="","",VLOOKUP(A1198,[8]PRIORIZADOS!$A:$J,10,FALSE)),"")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198" s="11" t="str">
        <f>IFERROR(IF(VLOOKUP(A1198,[8]PRIORIZADOS!$A:$K,11,FALSE)="","",VLOOKUP(A1198,[8]PRIORIZADOS!$A:$K,11,FALSE)),"")</f>
        <v>INGRID VIVIANA DÁVILA ÁVILA</v>
      </c>
      <c r="L1198" s="11" t="str">
        <f>IFERROR(IF(VLOOKUP(A1198,[8]PRIORIZADOS!$A:$L,12,FALSE)="","",VLOOKUP(A1198,[8]PRIORIZADOS!$A:$L,12,FALSE)),"")</f>
        <v>ADRIANA VENEGAS VALERA</v>
      </c>
      <c r="M1198" s="71">
        <f>IFERROR(IF(VLOOKUP(A1198,[8]PRIORIZADOS!$A:$M,13,FALSE)="","",VLOOKUP(A1198,[8]PRIORIZADOS!$A:$M,13,FALSE)),"")</f>
        <v>45853</v>
      </c>
      <c r="N1198" s="71">
        <f>IFERROR(IF(VLOOKUP(A1198,[8]PRIORIZADOS!$A:$N,14,FALSE)="","",VLOOKUP(A1198,[8]PRIORIZADOS!$A:$N,14,FALSE)),"")</f>
        <v>45853</v>
      </c>
      <c r="O1198" s="71">
        <f>IFERROR(IF(VLOOKUP(A1198,[8]PRIORIZADOS!$A:$O,15,FALSE)="","",VLOOKUP(A1198,[8]PRIORIZADOS!$A:$O,15,FALSE)),"")</f>
        <v>45853</v>
      </c>
      <c r="P1198" s="11" t="str">
        <f>IFERROR(IF(VLOOKUP(A1198,[8]PRIORIZADOS!$A:$P,16,FALSE)="","",VLOOKUP(A1198,[8]PRIORIZADOS!$A:$P,16,FALSE)),"")</f>
        <v>Visitas de evaluación con fines de mejoramiento</v>
      </c>
      <c r="Q1198" s="140" t="s">
        <v>225</v>
      </c>
      <c r="R1198" s="11" t="str">
        <f>IFERROR(IF(VLOOKUP(A1198,[8]PRIORIZADOS!$A:$R,18,FALSE)="","",VLOOKUP(A1198,[8]PRIORIZADOS!$A:$R,18,FALSE)),"")</f>
        <v>El rector de la institución indica que el colegio acoge a 4 estudiantes con discapacidad los cuales cuentan con su respectivo PIAR</v>
      </c>
      <c r="S1198" s="11" t="str">
        <f>IFERROR(IF(VLOOKUP(A1198,[8]PRIORIZADOS!$A:$S,19,FALSE)="","",VLOOKUP(A1198,[8]PRIORIZADOS!$A:$S,19,FALSE)),"")</f>
        <v>Actualizar los PIAR acorde a los ajustes requeridos en la evaluación pedagógica</v>
      </c>
      <c r="T1198" s="70" t="str">
        <f>IFERROR(IF(VLOOKUP(A1198,[8]PRIORIZADOS!$A:$T,20,FALSE)="","",VLOOKUP(A1198,[8]PRIORIZADOS!$A:$T,20,FALSE)),"")</f>
        <v>No</v>
      </c>
      <c r="U1198" s="11" t="str">
        <f>IFERROR(IF(VLOOKUP(A1198,[8]PRIORIZADOS!$A:$U,21,FALSE)="","",VLOOKUP(A1198,[8]PRIORIZADOS!$A:$U,21,FALSE)),"")</f>
        <v>Validar las acciones planificadas por la institución educativa en su plan de mejora</v>
      </c>
    </row>
    <row r="1199" spans="1:21" s="1" customFormat="1" ht="84">
      <c r="A1199" s="69">
        <f>IF([8]PRIORIZADOS!A178="","",[8]PRIORIZADOS!A178)</f>
        <v>1150</v>
      </c>
      <c r="B1199" s="70">
        <v>30</v>
      </c>
      <c r="C1199" s="11" t="str">
        <f>IFERROR(IF(VLOOKUP(A1199,[8]PRIORIZADOS!$A:$C,3,FALSE)="","",VLOOKUP(A1199,[8]PRIORIZADOS!$A:$C,3,FALSE)),"")</f>
        <v>KENNEDY</v>
      </c>
      <c r="D1199" s="11" t="str">
        <f>IFERROR(IF(VLOOKUP(A1199,[8]PRIORIZADOS!$A:$D,4,FALSE)="","",VLOOKUP(A1199,[8]PRIORIZADOS!$A:$D,4,FALSE)),"")</f>
        <v>PRIVADO</v>
      </c>
      <c r="E1199" s="11" t="str">
        <f>IFERROR(IF(VLOOKUP(A1199,[8]PRIORIZADOS!$A:$E,5,FALSE)="","",VLOOKUP(A1199,[8]PRIORIZADOS!$A:$E,5,FALSE)),"")</f>
        <v>EPBM</v>
      </c>
      <c r="F1199" s="11" t="str">
        <f>IFERROR(IF(VLOOKUP(A1199,[8]PRIORIZADOS!$A:$F,6,FALSE)="","",VLOOKUP(A1199,[8]PRIORIZADOS!$A:$F,6,FALSE)),"")</f>
        <v>INSTITUTO_CULTURAL_CIUDAD_KENNEDY</v>
      </c>
      <c r="G1199" s="11" t="str">
        <f>IFERROR(IF(VLOOKUP(A1199,[8]PRIORIZADOS!$A:$G,7,FALSE)="","",VLOOKUP(A1199,[8]PRIORIZADOS!$A:$G,7,FALSE)),"")</f>
        <v>INSTITUTO CULTURAL CIUDAD KENNEDY</v>
      </c>
      <c r="H1199" s="11" t="str">
        <f>IFERROR(IF(VLOOKUP(A1199,[8]PRIORIZADOS!$A:$H,8,FALSE)="","",VLOOKUP(A1199,[8]PRIORIZADOS!$A:$H,8,FALSE)),"")</f>
        <v>Autoevaluación Institucional y Pruebas SABER 11</v>
      </c>
      <c r="I1199" s="11" t="str">
        <f>IFERROR(IF(VLOOKUP(A1199,[8]PRIORIZADOS!$A:$I,9,FALSE)="","",VLOOKUP(A1199,[8]PRIORIZADOS!$A:$I,9,FALSE)),"")</f>
        <v>EVALUACIÓN_CON_FINES_DE_MEJORAMIENTO.</v>
      </c>
      <c r="J1199" s="11" t="str">
        <f>IFERROR(IF(VLOOKUP(A1199,[8]PRIORIZADOS!$A:$J,10,FALSE)="","",VLOOKUP(A1199,[8]PRIORIZADOS!$A:$J,10,FALSE)),"")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199" s="11" t="str">
        <f>IFERROR(IF(VLOOKUP(A1199,[8]PRIORIZADOS!$A:$K,11,FALSE)="","",VLOOKUP(A1199,[8]PRIORIZADOS!$A:$K,11,FALSE)),"")</f>
        <v>INGRID VIVIANA DÁVILA ÁVILA</v>
      </c>
      <c r="L1199" s="11" t="str">
        <f>IFERROR(IF(VLOOKUP(A1199,[8]PRIORIZADOS!$A:$L,12,FALSE)="","",VLOOKUP(A1199,[8]PRIORIZADOS!$A:$L,12,FALSE)),"")</f>
        <v>ADRIANA VENEGAS VALERA</v>
      </c>
      <c r="M1199" s="71">
        <f>IFERROR(IF(VLOOKUP(A1199,[8]PRIORIZADOS!$A:$M,13,FALSE)="","",VLOOKUP(A1199,[8]PRIORIZADOS!$A:$M,13,FALSE)),"")</f>
        <v>45853</v>
      </c>
      <c r="N1199" s="71">
        <f>IFERROR(IF(VLOOKUP(A1199,[8]PRIORIZADOS!$A:$N,14,FALSE)="","",VLOOKUP(A1199,[8]PRIORIZADOS!$A:$N,14,FALSE)),"")</f>
        <v>45853</v>
      </c>
      <c r="O1199" s="71">
        <f>IFERROR(IF(VLOOKUP(A1199,[8]PRIORIZADOS!$A:$O,15,FALSE)="","",VLOOKUP(A1199,[8]PRIORIZADOS!$A:$O,15,FALSE)),"")</f>
        <v>45853</v>
      </c>
      <c r="P1199" s="11" t="str">
        <f>IFERROR(IF(VLOOKUP(A1199,[8]PRIORIZADOS!$A:$P,16,FALSE)="","",VLOOKUP(A1199,[8]PRIORIZADOS!$A:$P,16,FALSE)),"")</f>
        <v>Visitas de evaluación con fines de mejoramiento</v>
      </c>
      <c r="Q1199" s="140" t="s">
        <v>225</v>
      </c>
      <c r="R1199" s="11" t="str">
        <f>IFERROR(IF(VLOOKUP(A1199,[8]PRIORIZADOS!$A:$R,18,FALSE)="","",VLOOKUP(A1199,[8]PRIORIZADOS!$A:$R,18,FALSE)),"")</f>
        <v>En la revisión del manual de convivencia se encontró que en la ultima actualización se hizo participe a los estudiantes para el proceso de retroalimentación sin embargo falta incluir en el manual en enfoque restaurativo y valoración de diversidades</v>
      </c>
      <c r="S1199" s="11" t="str">
        <f>IFERROR(IF(VLOOKUP(A1199,[8]PRIORIZADOS!$A:$S,19,FALSE)="","",VLOOKUP(A1199,[8]PRIORIZADOS!$A:$S,19,FALSE)),"")</f>
        <v>Incluir en el manual de convivencia el enfoque restaurativo y valoración de diversidades</v>
      </c>
      <c r="T1199" s="70" t="str">
        <f>IFERROR(IF(VLOOKUP(A1199,[8]PRIORIZADOS!$A:$T,20,FALSE)="","",VLOOKUP(A1199,[8]PRIORIZADOS!$A:$T,20,FALSE)),"")</f>
        <v>Si</v>
      </c>
      <c r="U1199" s="11" t="str">
        <f>IFERROR(IF(VLOOKUP(A1199,[8]PRIORIZADOS!$A:$U,21,FALSE)="","",VLOOKUP(A1199,[8]PRIORIZADOS!$A:$U,21,FALSE)),"")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200" spans="1:21" s="1" customFormat="1" ht="48">
      <c r="A1200" s="69">
        <f>IF([8]PRIORIZADOS!A179="","",[8]PRIORIZADOS!A179)</f>
        <v>1151</v>
      </c>
      <c r="B1200" s="70">
        <v>30</v>
      </c>
      <c r="C1200" s="11" t="str">
        <f>IFERROR(IF(VLOOKUP(A1200,[8]PRIORIZADOS!$A:$C,3,FALSE)="","",VLOOKUP(A1200,[8]PRIORIZADOS!$A:$C,3,FALSE)),"")</f>
        <v>KENNEDY</v>
      </c>
      <c r="D1200" s="11" t="str">
        <f>IFERROR(IF(VLOOKUP(A1200,[8]PRIORIZADOS!$A:$D,4,FALSE)="","",VLOOKUP(A1200,[8]PRIORIZADOS!$A:$D,4,FALSE)),"")</f>
        <v>PRIVADO</v>
      </c>
      <c r="E1200" s="11" t="str">
        <f>IFERROR(IF(VLOOKUP(A1200,[8]PRIORIZADOS!$A:$E,5,FALSE)="","",VLOOKUP(A1200,[8]PRIORIZADOS!$A:$E,5,FALSE)),"")</f>
        <v>EPBM</v>
      </c>
      <c r="F1200" s="11" t="str">
        <f>IFERROR(IF(VLOOKUP(A1200,[8]PRIORIZADOS!$A:$F,6,FALSE)="","",VLOOKUP(A1200,[8]PRIORIZADOS!$A:$F,6,FALSE)),"")</f>
        <v>INSTITUTO_CULTURAL_CIUDAD_KENNEDY</v>
      </c>
      <c r="G1200" s="11" t="str">
        <f>IFERROR(IF(VLOOKUP(A1200,[8]PRIORIZADOS!$A:$G,7,FALSE)="","",VLOOKUP(A1200,[8]PRIORIZADOS!$A:$G,7,FALSE)),"")</f>
        <v>INSTITUTO CULTURAL CIUDAD KENNEDY</v>
      </c>
      <c r="H1200" s="11" t="str">
        <f>IFERROR(IF(VLOOKUP(A1200,[8]PRIORIZADOS!$A:$H,8,FALSE)="","",VLOOKUP(A1200,[8]PRIORIZADOS!$A:$H,8,FALSE)),"")</f>
        <v>Autoevaluación Institucional y Pruebas SABER 11</v>
      </c>
      <c r="I1200" s="11" t="str">
        <f>IFERROR(IF(VLOOKUP(A1200,[8]PRIORIZADOS!$A:$I,9,FALSE)="","",VLOOKUP(A1200,[8]PRIORIZADOS!$A:$I,9,FALSE)),"")</f>
        <v>EVALUACIÓN_CON_FINES_DE_MEJORAMIENTO.</v>
      </c>
      <c r="J1200" s="11" t="str">
        <f>IFERROR(IF(VLOOKUP(A1200,[8]PRIORIZADOS!$A:$J,10,FALSE)="","",VLOOKUP(A1200,[8]PRIORIZADOS!$A:$J,10,FALSE)),"")</f>
        <v>Revisar la actualización, socialización e implementación del Sistema Institucional de Evaluación de Estudiantes - SIEE, en articulación con la actualización del PEI y la normatividad vigente.</v>
      </c>
      <c r="K1200" s="11" t="str">
        <f>IFERROR(IF(VLOOKUP(A1200,[8]PRIORIZADOS!$A:$K,11,FALSE)="","",VLOOKUP(A1200,[8]PRIORIZADOS!$A:$K,11,FALSE)),"")</f>
        <v>INGRID VIVIANA DÁVILA ÁVILA</v>
      </c>
      <c r="L1200" s="11" t="str">
        <f>IFERROR(IF(VLOOKUP(A1200,[8]PRIORIZADOS!$A:$L,12,FALSE)="","",VLOOKUP(A1200,[8]PRIORIZADOS!$A:$L,12,FALSE)),"")</f>
        <v>ADRIANA VENEGAS VALERA</v>
      </c>
      <c r="M1200" s="71">
        <f>IFERROR(IF(VLOOKUP(A1200,[8]PRIORIZADOS!$A:$M,13,FALSE)="","",VLOOKUP(A1200,[8]PRIORIZADOS!$A:$M,13,FALSE)),"")</f>
        <v>45853</v>
      </c>
      <c r="N1200" s="71">
        <f>IFERROR(IF(VLOOKUP(A1200,[8]PRIORIZADOS!$A:$N,14,FALSE)="","",VLOOKUP(A1200,[8]PRIORIZADOS!$A:$N,14,FALSE)),"")</f>
        <v>45853</v>
      </c>
      <c r="O1200" s="71">
        <f>IFERROR(IF(VLOOKUP(A1200,[8]PRIORIZADOS!$A:$O,15,FALSE)="","",VLOOKUP(A1200,[8]PRIORIZADOS!$A:$O,15,FALSE)),"")</f>
        <v>45853</v>
      </c>
      <c r="P1200" s="11" t="str">
        <f>IFERROR(IF(VLOOKUP(A1200,[8]PRIORIZADOS!$A:$P,16,FALSE)="","",VLOOKUP(A1200,[8]PRIORIZADOS!$A:$P,16,FALSE)),"")</f>
        <v>Visitas de evaluación con fines de mejoramiento</v>
      </c>
      <c r="Q1200" s="140" t="s">
        <v>225</v>
      </c>
      <c r="R1200" s="11" t="str">
        <f>IFERROR(IF(VLOOKUP(A1200,[8]PRIORIZADOS!$A:$R,18,FALSE)="","",VLOOKUP(A1200,[8]PRIORIZADOS!$A:$R,18,FALSE)),"")</f>
        <v>El SIEE incorpora los elementos de ley e incluye las estrategias de apoyo para acompañar los procesos de los estudiantes con dificultades académicas</v>
      </c>
      <c r="S1200" s="11" t="str">
        <f>IFERROR(IF(VLOOKUP(A1200,[8]PRIORIZADOS!$A:$S,19,FALSE)="","",VLOOKUP(A1200,[8]PRIORIZADOS!$A:$S,19,FALSE)),"")</f>
        <v>Continuar con la socialización para la comunidad educativa del SIIE  en cada vigencias y cuando se actualice el mismo.</v>
      </c>
      <c r="T1200" s="70" t="str">
        <f>IFERROR(IF(VLOOKUP(A1200,[8]PRIORIZADOS!$A:$T,20,FALSE)="","",VLOOKUP(A1200,[8]PRIORIZADOS!$A:$T,20,FALSE)),"")</f>
        <v>No</v>
      </c>
      <c r="U1200" s="11" t="str">
        <f>IFERROR(IF(VLOOKUP(A1200,[8]PRIORIZADOS!$A:$U,21,FALSE)="","",VLOOKUP(A1200,[8]PRIORIZADOS!$A:$U,21,FALSE)),"")</f>
        <v>Validar las acciones planificadas por la institución educativa en su plan de mejora</v>
      </c>
    </row>
    <row r="1201" spans="1:21" s="1" customFormat="1" ht="48">
      <c r="A1201" s="69">
        <f>IF([8]PRIORIZADOS!A180="","",[8]PRIORIZADOS!A180)</f>
        <v>1152</v>
      </c>
      <c r="B1201" s="70">
        <v>30</v>
      </c>
      <c r="C1201" s="11" t="str">
        <f>IFERROR(IF(VLOOKUP(A1201,[8]PRIORIZADOS!$A:$C,3,FALSE)="","",VLOOKUP(A1201,[8]PRIORIZADOS!$A:$C,3,FALSE)),"")</f>
        <v>KENNEDY</v>
      </c>
      <c r="D1201" s="11" t="str">
        <f>IFERROR(IF(VLOOKUP(A1201,[8]PRIORIZADOS!$A:$D,4,FALSE)="","",VLOOKUP(A1201,[8]PRIORIZADOS!$A:$D,4,FALSE)),"")</f>
        <v>PRIVADO</v>
      </c>
      <c r="E1201" s="11" t="str">
        <f>IFERROR(IF(VLOOKUP(A1201,[8]PRIORIZADOS!$A:$E,5,FALSE)="","",VLOOKUP(A1201,[8]PRIORIZADOS!$A:$E,5,FALSE)),"")</f>
        <v>EPBM</v>
      </c>
      <c r="F1201" s="11" t="str">
        <f>IFERROR(IF(VLOOKUP(A1201,[8]PRIORIZADOS!$A:$F,6,FALSE)="","",VLOOKUP(A1201,[8]PRIORIZADOS!$A:$F,6,FALSE)),"")</f>
        <v>INSTITUTO_CULTURAL_CIUDAD_KENNEDY</v>
      </c>
      <c r="G1201" s="11" t="str">
        <f>IFERROR(IF(VLOOKUP(A1201,[8]PRIORIZADOS!$A:$G,7,FALSE)="","",VLOOKUP(A1201,[8]PRIORIZADOS!$A:$G,7,FALSE)),"")</f>
        <v>INSTITUTO CULTURAL CIUDAD KENNEDY</v>
      </c>
      <c r="H1201" s="11" t="str">
        <f>IFERROR(IF(VLOOKUP(A1201,[8]PRIORIZADOS!$A:$H,8,FALSE)="","",VLOOKUP(A1201,[8]PRIORIZADOS!$A:$H,8,FALSE)),"")</f>
        <v>Autoevaluación Institucional y Pruebas SABER 11</v>
      </c>
      <c r="I1201" s="11" t="str">
        <f>IFERROR(IF(VLOOKUP(A1201,[8]PRIORIZADOS!$A:$I,9,FALSE)="","",VLOOKUP(A1201,[8]PRIORIZADOS!$A:$I,9,FALSE)),"")</f>
        <v>EVALUACIÓN_CON_FINES_DE_MEJORAMIENTO.</v>
      </c>
      <c r="J1201" s="11" t="str">
        <f>IFERROR(IF(VLOOKUP(A1201,[8]PRIORIZADOS!$A:$J,10,FALSE)="","",VLOOKUP(A1201,[8]PRIORIZADOS!$A:$J,10,FALSE)),"")</f>
        <v>Revisar el calendario escolar, jornada escolar, la intensidad horaria mínima anual en cada nivel y las modificaciones que se realicen al mismo, de acuerdo con lo previsto en la normatividad vigente.</v>
      </c>
      <c r="K1201" s="11" t="str">
        <f>IFERROR(IF(VLOOKUP(A1201,[8]PRIORIZADOS!$A:$K,11,FALSE)="","",VLOOKUP(A1201,[8]PRIORIZADOS!$A:$K,11,FALSE)),"")</f>
        <v>INGRID VIVIANA DÁVILA ÁVILA</v>
      </c>
      <c r="L1201" s="11" t="str">
        <f>IFERROR(IF(VLOOKUP(A1201,[8]PRIORIZADOS!$A:$L,12,FALSE)="","",VLOOKUP(A1201,[8]PRIORIZADOS!$A:$L,12,FALSE)),"")</f>
        <v>ADRIANA VENEGAS VALERA</v>
      </c>
      <c r="M1201" s="71">
        <f>IFERROR(IF(VLOOKUP(A1201,[8]PRIORIZADOS!$A:$M,13,FALSE)="","",VLOOKUP(A1201,[8]PRIORIZADOS!$A:$M,13,FALSE)),"")</f>
        <v>45853</v>
      </c>
      <c r="N1201" s="71">
        <f>IFERROR(IF(VLOOKUP(A1201,[8]PRIORIZADOS!$A:$N,14,FALSE)="","",VLOOKUP(A1201,[8]PRIORIZADOS!$A:$N,14,FALSE)),"")</f>
        <v>45853</v>
      </c>
      <c r="O1201" s="71">
        <f>IFERROR(IF(VLOOKUP(A1201,[8]PRIORIZADOS!$A:$O,15,FALSE)="","",VLOOKUP(A1201,[8]PRIORIZADOS!$A:$O,15,FALSE)),"")</f>
        <v>45853</v>
      </c>
      <c r="P1201" s="11" t="str">
        <f>IFERROR(IF(VLOOKUP(A1201,[8]PRIORIZADOS!$A:$P,16,FALSE)="","",VLOOKUP(A1201,[8]PRIORIZADOS!$A:$P,16,FALSE)),"")</f>
        <v>Visitas de evaluación con fines de mejoramiento</v>
      </c>
      <c r="Q1201" s="140" t="s">
        <v>225</v>
      </c>
      <c r="R1201" s="11" t="str">
        <f>IFERROR(IF(VLOOKUP(A1201,[8]PRIORIZADOS!$A:$R,18,FALSE)="","",VLOOKUP(A1201,[8]PRIORIZADOS!$A:$R,18,FALSE)),"")</f>
        <v>La IE no aporto documento que permita verificar el cumplimiento de la intensidad horaria de su calendario escolar</v>
      </c>
      <c r="S1201" s="11" t="str">
        <f>IFERROR(IF(VLOOKUP(A1201,[8]PRIORIZADOS!$A:$S,19,FALSE)="","",VLOOKUP(A1201,[8]PRIORIZADOS!$A:$S,19,FALSE)),"")</f>
        <v>Presentar calendario escolar en la Dirección Local de Educación</v>
      </c>
      <c r="T1201" s="70" t="str">
        <f>IFERROR(IF(VLOOKUP(A1201,[8]PRIORIZADOS!$A:$T,20,FALSE)="","",VLOOKUP(A1201,[8]PRIORIZADOS!$A:$T,20,FALSE)),"")</f>
        <v>Si</v>
      </c>
      <c r="U1201" s="11" t="str">
        <f>IFERROR(IF(VLOOKUP(A1201,[8]PRIORIZADOS!$A:$U,21,FALSE)="","",VLOOKUP(A1201,[8]PRIORIZADOS!$A:$U,21,FALSE)),"")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202" spans="1:21" s="1" customFormat="1" ht="48">
      <c r="A1202" s="69">
        <f>IF([8]PRIORIZADOS!A181="","",[8]PRIORIZADOS!A181)</f>
        <v>1153</v>
      </c>
      <c r="B1202" s="70">
        <v>30</v>
      </c>
      <c r="C1202" s="11" t="str">
        <f>IFERROR(IF(VLOOKUP(A1202,[8]PRIORIZADOS!$A:$C,3,FALSE)="","",VLOOKUP(A1202,[8]PRIORIZADOS!$A:$C,3,FALSE)),"")</f>
        <v>KENNEDY</v>
      </c>
      <c r="D1202" s="11" t="str">
        <f>IFERROR(IF(VLOOKUP(A1202,[8]PRIORIZADOS!$A:$D,4,FALSE)="","",VLOOKUP(A1202,[8]PRIORIZADOS!$A:$D,4,FALSE)),"")</f>
        <v>PRIVADO</v>
      </c>
      <c r="E1202" s="11" t="str">
        <f>IFERROR(IF(VLOOKUP(A1202,[8]PRIORIZADOS!$A:$E,5,FALSE)="","",VLOOKUP(A1202,[8]PRIORIZADOS!$A:$E,5,FALSE)),"")</f>
        <v>EPBM</v>
      </c>
      <c r="F1202" s="11" t="str">
        <f>IFERROR(IF(VLOOKUP(A1202,[8]PRIORIZADOS!$A:$F,6,FALSE)="","",VLOOKUP(A1202,[8]PRIORIZADOS!$A:$F,6,FALSE)),"")</f>
        <v>INSTITUTO_CULTURAL_CIUDAD_KENNEDY</v>
      </c>
      <c r="G1202" s="11" t="str">
        <f>IFERROR(IF(VLOOKUP(A1202,[8]PRIORIZADOS!$A:$G,7,FALSE)="","",VLOOKUP(A1202,[8]PRIORIZADOS!$A:$G,7,FALSE)),"")</f>
        <v>INSTITUTO CULTURAL CIUDAD KENNEDY</v>
      </c>
      <c r="H1202" s="11" t="str">
        <f>IFERROR(IF(VLOOKUP(A1202,[8]PRIORIZADOS!$A:$H,8,FALSE)="","",VLOOKUP(A1202,[8]PRIORIZADOS!$A:$H,8,FALSE)),"")</f>
        <v>Autoevaluación Institucional y Pruebas SABER 11</v>
      </c>
      <c r="I1202" s="11" t="str">
        <f>IFERROR(IF(VLOOKUP(A1202,[8]PRIORIZADOS!$A:$I,9,FALSE)="","",VLOOKUP(A1202,[8]PRIORIZADOS!$A:$I,9,FALSE)),"")</f>
        <v>EVALUACIÓN_CON_FINES_DE_MEJORAMIENTO.</v>
      </c>
      <c r="J1202" s="11" t="str">
        <f>IFERROR(IF(VLOOKUP(A1202,[8]PRIORIZADOS!$A:$J,10,FALSE)="","",VLOOKUP(A1202,[8]PRIORIZADOS!$A:$J,10,FALSE)),"")</f>
        <v>Verificar el funcionamiento del Gobierno Escolar e instancias de participación con base en la información sobre conformación reportada por la institución educativa.</v>
      </c>
      <c r="K1202" s="11" t="str">
        <f>IFERROR(IF(VLOOKUP(A1202,[8]PRIORIZADOS!$A:$K,11,FALSE)="","",VLOOKUP(A1202,[8]PRIORIZADOS!$A:$K,11,FALSE)),"")</f>
        <v>INGRID VIVIANA DÁVILA ÁVILA</v>
      </c>
      <c r="L1202" s="11" t="str">
        <f>IFERROR(IF(VLOOKUP(A1202,[8]PRIORIZADOS!$A:$L,12,FALSE)="","",VLOOKUP(A1202,[8]PRIORIZADOS!$A:$L,12,FALSE)),"")</f>
        <v>ADRIANA VENEGAS VALERA</v>
      </c>
      <c r="M1202" s="71">
        <f>IFERROR(IF(VLOOKUP(A1202,[8]PRIORIZADOS!$A:$M,13,FALSE)="","",VLOOKUP(A1202,[8]PRIORIZADOS!$A:$M,13,FALSE)),"")</f>
        <v>45853</v>
      </c>
      <c r="N1202" s="71">
        <f>IFERROR(IF(VLOOKUP(A1202,[8]PRIORIZADOS!$A:$N,14,FALSE)="","",VLOOKUP(A1202,[8]PRIORIZADOS!$A:$N,14,FALSE)),"")</f>
        <v>45853</v>
      </c>
      <c r="O1202" s="71">
        <f>IFERROR(IF(VLOOKUP(A1202,[8]PRIORIZADOS!$A:$O,15,FALSE)="","",VLOOKUP(A1202,[8]PRIORIZADOS!$A:$O,15,FALSE)),"")</f>
        <v>45853</v>
      </c>
      <c r="P1202" s="11" t="str">
        <f>IFERROR(IF(VLOOKUP(A1202,[8]PRIORIZADOS!$A:$P,16,FALSE)="","",VLOOKUP(A1202,[8]PRIORIZADOS!$A:$P,16,FALSE)),"")</f>
        <v>Visitas de evaluación con fines de mejoramiento</v>
      </c>
      <c r="Q1202" s="140" t="s">
        <v>225</v>
      </c>
      <c r="R1202" s="11" t="str">
        <f>IFERROR(IF(VLOOKUP(A1202,[8]PRIORIZADOS!$A:$R,18,FALSE)="","",VLOOKUP(A1202,[8]PRIORIZADOS!$A:$R,18,FALSE)),"")</f>
        <v>No se encontraron actas que permita evidenciar la conformación del gobierno escolar</v>
      </c>
      <c r="S1202" s="11" t="str">
        <f>IFERROR(IF(VLOOKUP(A1202,[8]PRIORIZADOS!$A:$S,19,FALSE)="","",VLOOKUP(A1202,[8]PRIORIZADOS!$A:$S,19,FALSE)),"")</f>
        <v>Presentar la conformación del gobierno escolar y realizar el cargue de las actas en el SAE</v>
      </c>
      <c r="T1202" s="70" t="str">
        <f>IFERROR(IF(VLOOKUP(A1202,[8]PRIORIZADOS!$A:$T,20,FALSE)="","",VLOOKUP(A1202,[8]PRIORIZADOS!$A:$T,20,FALSE)),"")</f>
        <v>Si</v>
      </c>
      <c r="U1202" s="11" t="str">
        <f>IFERROR(IF(VLOOKUP(A1202,[8]PRIORIZADOS!$A:$U,21,FALSE)="","",VLOOKUP(A1202,[8]PRIORIZADOS!$A:$U,21,FALSE)),"")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203" spans="1:21" s="1" customFormat="1" ht="48">
      <c r="A1203" s="69">
        <f>IF([8]PRIORIZADOS!A182="","",[8]PRIORIZADOS!A182)</f>
        <v>2788</v>
      </c>
      <c r="B1203" s="70">
        <v>30</v>
      </c>
      <c r="C1203" s="11" t="str">
        <f>IFERROR(IF(VLOOKUP(A1203,[8]PRIORIZADOS!$A:$C,3,FALSE)="","",VLOOKUP(A1203,[8]PRIORIZADOS!$A:$C,3,FALSE)),"")</f>
        <v>KENNEDY</v>
      </c>
      <c r="D1203" s="11" t="str">
        <f>IFERROR(IF(VLOOKUP(A1203,[8]PRIORIZADOS!$A:$D,4,FALSE)="","",VLOOKUP(A1203,[8]PRIORIZADOS!$A:$D,4,FALSE)),"")</f>
        <v>PRIVADO</v>
      </c>
      <c r="E1203" s="11" t="str">
        <f>IFERROR(IF(VLOOKUP(A1203,[8]PRIORIZADOS!$A:$E,5,FALSE)="","",VLOOKUP(A1203,[8]PRIORIZADOS!$A:$E,5,FALSE)),"")</f>
        <v>EPBM</v>
      </c>
      <c r="F1203" s="11" t="str">
        <f>IFERROR(IF(VLOOKUP(A1203,[8]PRIORIZADOS!$A:$F,6,FALSE)="","",VLOOKUP(A1203,[8]PRIORIZADOS!$A:$F,6,FALSE)),"")</f>
        <v>INSTITUTO_CULTURAL_CIUDAD_KENNEDY</v>
      </c>
      <c r="G1203" s="11" t="str">
        <f>IFERROR(IF(VLOOKUP(A1203,[8]PRIORIZADOS!$A:$G,7,FALSE)="","",VLOOKUP(A1203,[8]PRIORIZADOS!$A:$G,7,FALSE)),"")</f>
        <v>INSTITUTO CULTURAL CIUDAD KENNEDY</v>
      </c>
      <c r="H1203" s="11" t="str">
        <f>IFERROR(IF(VLOOKUP(A1203,[8]PRIORIZADOS!$A:$H,8,FALSE)="","",VLOOKUP(A1203,[8]PRIORIZADOS!$A:$H,8,FALSE)),"")</f>
        <v>Autoevaluación Institucional y Pruebas SABER 11</v>
      </c>
      <c r="I1203" s="11" t="str">
        <f>IFERROR(IF(VLOOKUP(A1203,[8]PRIORIZADOS!$A:$I,9,FALSE)="","",VLOOKUP(A1203,[8]PRIORIZADOS!$A:$I,9,FALSE)),"")</f>
        <v>EVALUACIÓN_CON_FINES_DE_MEJORAMIENTO.</v>
      </c>
      <c r="J1203" s="11" t="str">
        <f>IFERROR(IF(VLOOKUP(A1203,[8]PRIORIZADOS!$A:$J,10,FALSE)="","",VLOOKUP(A1203,[8]PRIORIZADOS!$A:$J,10,FALSE)),"")</f>
        <v>Verificar las condiciones en cuanto a: la estructura administrativa, condiciones de la planta física y medios educativos adecuados.</v>
      </c>
      <c r="K1203" s="11" t="str">
        <f>IFERROR(IF(VLOOKUP(A1203,[8]PRIORIZADOS!$A:$K,11,FALSE)="","",VLOOKUP(A1203,[8]PRIORIZADOS!$A:$K,11,FALSE)),"")</f>
        <v>INGRID VIVIANA DÁVILA ÁVILA</v>
      </c>
      <c r="L1203" s="11" t="str">
        <f>IFERROR(IF(VLOOKUP(A1203,[8]PRIORIZADOS!$A:$L,12,FALSE)="","",VLOOKUP(A1203,[8]PRIORIZADOS!$A:$L,12,FALSE)),"")</f>
        <v>ADRIANA VENEGAS VALERA</v>
      </c>
      <c r="M1203" s="71">
        <f>IFERROR(IF(VLOOKUP(A1203,[8]PRIORIZADOS!$A:$M,13,FALSE)="","",VLOOKUP(A1203,[8]PRIORIZADOS!$A:$M,13,FALSE)),"")</f>
        <v>45853</v>
      </c>
      <c r="N1203" s="71">
        <f>IFERROR(IF(VLOOKUP(A1203,[8]PRIORIZADOS!$A:$N,14,FALSE)="","",VLOOKUP(A1203,[8]PRIORIZADOS!$A:$N,14,FALSE)),"")</f>
        <v>45853</v>
      </c>
      <c r="O1203" s="71">
        <f>IFERROR(IF(VLOOKUP(A1203,[8]PRIORIZADOS!$A:$O,15,FALSE)="","",VLOOKUP(A1203,[8]PRIORIZADOS!$A:$O,15,FALSE)),"")</f>
        <v>45853</v>
      </c>
      <c r="P1203" s="11" t="str">
        <f>IFERROR(IF(VLOOKUP(A1203,[8]PRIORIZADOS!$A:$P,16,FALSE)="","",VLOOKUP(A1203,[8]PRIORIZADOS!$A:$P,16,FALSE)),"")</f>
        <v>Visitas de evaluación con fines de mejoramiento</v>
      </c>
      <c r="Q1203" s="140" t="s">
        <v>225</v>
      </c>
      <c r="R1203" s="11" t="str">
        <f>IFERROR(IF(VLOOKUP(A1203,[8]PRIORIZADOS!$A:$R,18,FALSE)="","",VLOOKUP(A1203,[8]PRIORIZADOS!$A:$R,18,FALSE)),"")</f>
        <v>Cuenta con una planta física adecuada y los medios educativos acordes,  sin embargo falta fortalecer documentos de apoyo para el proceso administrativo</v>
      </c>
      <c r="S1203" s="11" t="str">
        <f>IFERROR(IF(VLOOKUP(A1203,[8]PRIORIZADOS!$A:$S,19,FALSE)="","",VLOOKUP(A1203,[8]PRIORIZADOS!$A:$S,19,FALSE)),"")</f>
        <v xml:space="preserve">Documentar los perfiles de cargo según organigrama institucional </v>
      </c>
      <c r="T1203" s="70" t="str">
        <f>IFERROR(IF(VLOOKUP(A1203,[8]PRIORIZADOS!$A:$T,20,FALSE)="","",VLOOKUP(A1203,[8]PRIORIZADOS!$A:$T,20,FALSE)),"")</f>
        <v>Si</v>
      </c>
      <c r="U1203" s="11" t="str">
        <f>IFERROR(IF(VLOOKUP(A1203,[8]PRIORIZADOS!$A:$U,21,FALSE)="","",VLOOKUP(A1203,[8]PRIORIZADOS!$A:$U,21,FALSE)),"")</f>
        <v xml:space="preserve">Validar las acciones planificadas por la institución educativa en su plan de mejora Se realiza mesa de seguimiento el 30 de septiembre, se establece envío de evidencias del cumplimiento de plan de mejoramiento el 30 de octubre. </v>
      </c>
    </row>
    <row r="1204" spans="1:21" s="1" customFormat="1" ht="72">
      <c r="A1204" s="69">
        <f>IF([8]PRIORIZADOS!A183="","",[8]PRIORIZADOS!A183)</f>
        <v>1154</v>
      </c>
      <c r="B1204" s="70">
        <v>31</v>
      </c>
      <c r="C1204" s="11" t="str">
        <f>IFERROR(IF(VLOOKUP(A1204,[8]PRIORIZADOS!$A:$C,3,FALSE)="","",VLOOKUP(A1204,[8]PRIORIZADOS!$A:$C,3,FALSE)),"")</f>
        <v>KENNEDY</v>
      </c>
      <c r="D1204" s="11" t="str">
        <f>IFERROR(IF(VLOOKUP(A1204,[8]PRIORIZADOS!$A:$D,4,FALSE)="","",VLOOKUP(A1204,[8]PRIORIZADOS!$A:$D,4,FALSE)),"")</f>
        <v>PRIVADO</v>
      </c>
      <c r="E1204" s="11" t="str">
        <f>IFERROR(IF(VLOOKUP(A1204,[8]PRIORIZADOS!$A:$E,5,FALSE)="","",VLOOKUP(A1204,[8]PRIORIZADOS!$A:$E,5,FALSE)),"")</f>
        <v>EPBM</v>
      </c>
      <c r="F1204" s="11" t="str">
        <f>IFERROR(IF(VLOOKUP(A1204,[8]PRIORIZADOS!$A:$F,6,FALSE)="","",VLOOKUP(A1204,[8]PRIORIZADOS!$A:$F,6,FALSE)),"")</f>
        <v>INSTITUTO_DE_EDUCACION_MEDIA_EMAUS</v>
      </c>
      <c r="G1204" s="11" t="str">
        <f>IFERROR(IF(VLOOKUP(A1204,[8]PRIORIZADOS!$A:$G,7,FALSE)="","",VLOOKUP(A1204,[8]PRIORIZADOS!$A:$G,7,FALSE)),"")</f>
        <v>INSTITUTO DE EDUCACION MEDIA EMAUS</v>
      </c>
      <c r="H1204" s="11" t="str">
        <f>IFERROR(IF(VLOOKUP(A1204,[8]PRIORIZADOS!$A:$H,8,FALSE)="","",VLOOKUP(A1204,[8]PRIORIZADOS!$A:$H,8,FALSE)),"")</f>
        <v>Autoevaluación Institucional y Pruebas SABER 11</v>
      </c>
      <c r="I1204" s="11" t="str">
        <f>IFERROR(IF(VLOOKUP(A1204,[8]PRIORIZADOS!$A:$I,9,FALSE)="","",VLOOKUP(A1204,[8]PRIORIZADOS!$A:$I,9,FALSE)),"")</f>
        <v>SEGUIMIENTO_Y_SUPERVISIÓN.</v>
      </c>
      <c r="J1204" s="11" t="str">
        <f>IFERROR(IF(VLOOKUP(A1204,[8]PRIORIZADOS!$A:$J,10,FALSE)="","",VLOOKUP(A1204,[8]PRIORIZADOS!$A:$J,10,FALSE)),"")</f>
        <v>Proponer estrategias en la formulación, verificar su elaboración y realizar seguimiento semestral al desarrollo de  las acciones establecidas en los planes de mejoramiento por pruebas SABER 11 de los establecimientos de educación formal.</v>
      </c>
      <c r="K1204" s="11" t="str">
        <f>IFERROR(IF(VLOOKUP(A1204,[8]PRIORIZADOS!$A:$K,11,FALSE)="","",VLOOKUP(A1204,[8]PRIORIZADOS!$A:$K,11,FALSE)),"")</f>
        <v>ADRIANA VENEGAS VALERA</v>
      </c>
      <c r="L1204" s="11" t="str">
        <f>IFERROR(IF(VLOOKUP(A1204,[8]PRIORIZADOS!$A:$L,12,FALSE)="","",VLOOKUP(A1204,[8]PRIORIZADOS!$A:$L,12,FALSE)),"")</f>
        <v>LUIS FERNANDO CÁRDENAS URAN</v>
      </c>
      <c r="M1204" s="71">
        <f>IFERROR(IF(VLOOKUP(A1204,[8]PRIORIZADOS!$A:$M,13,FALSE)="","",VLOOKUP(A1204,[8]PRIORIZADOS!$A:$M,13,FALSE)),"")</f>
        <v>45854</v>
      </c>
      <c r="N1204" s="71">
        <f>IFERROR(IF(VLOOKUP(A1204,[8]PRIORIZADOS!$A:$N,14,FALSE)="","",VLOOKUP(A1204,[8]PRIORIZADOS!$A:$N,14,FALSE)),"")</f>
        <v>45799</v>
      </c>
      <c r="O1204" s="71">
        <f>IFERROR(IF(VLOOKUP(A1204,[8]PRIORIZADOS!$A:$O,15,FALSE)="","",VLOOKUP(A1204,[8]PRIORIZADOS!$A:$O,15,FALSE)),"")</f>
        <v>45799</v>
      </c>
      <c r="P1204" s="11" t="str">
        <f>IFERROR(IF(VLOOKUP(A1204,[8]PRIORIZADOS!$A:$P,16,FALSE)="","",VLOOKUP(A1204,[8]PRIORIZADOS!$A:$P,16,FALSE)),"")</f>
        <v>Visitas de evaluación con fines de mejoramiento</v>
      </c>
      <c r="Q1204" s="125" t="s">
        <v>226</v>
      </c>
      <c r="R1204" s="11" t="str">
        <f>IFERROR(IF(VLOOKUP(A1204,[8]PRIORIZADOS!$A:$R,18,FALSE)="","",VLOOKUP(A1204,[8]PRIORIZADOS!$A:$R,18,FALSE)),"")</f>
        <v>La IE adelantó acciones para mejoramiento  de resultados de  PRUEBAS  SABER como la modificación de metodologías del plan de estudios  de las asignaturas con bajo rendimiento, ajuste de mallas curriculares y fortalecimiento pedagógico</v>
      </c>
      <c r="S1204" s="11" t="str">
        <f>IFERROR(IF(VLOOKUP(A1204,[8]PRIORIZADOS!$A:$S,19,FALSE)="","",VLOOKUP(A1204,[8]PRIORIZADOS!$A:$S,19,FALSE)),"")</f>
        <v>Continuar con la actualización de su plan de estudios favorecerá  las actividades para el desarrollo de las competencias de los estudiantes en áreas de aprendizaje como matemáticas, español con énfasis en lectura analítica.</v>
      </c>
      <c r="T1204" s="70" t="str">
        <f>IFERROR(IF(VLOOKUP(A1204,[8]PRIORIZADOS!$A:$T,20,FALSE)="","",VLOOKUP(A1204,[8]PRIORIZADOS!$A:$T,20,FALSE)),"")</f>
        <v>No</v>
      </c>
      <c r="U1204" s="11" t="str">
        <f>IFERROR(IF(VLOOKUP(A1204,[8]PRIORIZADOS!$A:$U,21,FALSE)="","",VLOOKUP(A1204,[8]PRIORIZADOS!$A:$U,21,FALSE)),"")</f>
        <v>El ELIV verificará que la IE desarrolle el plan de mejoramiento que auto gestionó.</v>
      </c>
    </row>
    <row r="1205" spans="1:21" s="1" customFormat="1" ht="57.75">
      <c r="A1205" s="69" t="str">
        <f>IF([8]PRIORIZADOS!A184="","",[8]PRIORIZADOS!A184)</f>
        <v/>
      </c>
      <c r="B1205" s="70">
        <v>31</v>
      </c>
      <c r="C1205" s="73" t="s">
        <v>221</v>
      </c>
      <c r="D1205" s="49" t="s">
        <v>175</v>
      </c>
      <c r="E1205" s="49" t="s">
        <v>227</v>
      </c>
      <c r="F1205" s="49" t="s">
        <v>228</v>
      </c>
      <c r="G1205" s="49" t="s">
        <v>229</v>
      </c>
      <c r="H1205" s="76" t="s">
        <v>178</v>
      </c>
      <c r="I1205" s="165" t="s">
        <v>97</v>
      </c>
      <c r="J1205" s="166" t="s">
        <v>230</v>
      </c>
      <c r="K1205" s="167" t="s">
        <v>231</v>
      </c>
      <c r="L1205" s="51" t="s">
        <v>232</v>
      </c>
      <c r="M1205" s="168">
        <v>45854</v>
      </c>
      <c r="N1205" s="169">
        <v>45799</v>
      </c>
      <c r="O1205" s="169">
        <v>45799</v>
      </c>
      <c r="P1205" s="167" t="s">
        <v>101</v>
      </c>
      <c r="Q1205" s="28" t="s">
        <v>226</v>
      </c>
      <c r="R1205" s="170" t="s">
        <v>233</v>
      </c>
      <c r="S1205" s="158" t="s">
        <v>234</v>
      </c>
      <c r="T1205" s="51" t="s">
        <v>105</v>
      </c>
      <c r="U1205" s="158" t="s">
        <v>235</v>
      </c>
    </row>
    <row r="1206" spans="1:21" s="1" customFormat="1" ht="72">
      <c r="A1206" s="69" t="str">
        <f>IF([8]PRIORIZADOS!A185="","",[8]PRIORIZADOS!A185)</f>
        <v/>
      </c>
      <c r="B1206" s="70">
        <v>31</v>
      </c>
      <c r="C1206" s="73" t="s">
        <v>221</v>
      </c>
      <c r="D1206" s="49" t="s">
        <v>175</v>
      </c>
      <c r="E1206" s="49" t="s">
        <v>227</v>
      </c>
      <c r="F1206" s="49" t="s">
        <v>228</v>
      </c>
      <c r="G1206" s="49" t="s">
        <v>229</v>
      </c>
      <c r="H1206" s="76" t="s">
        <v>178</v>
      </c>
      <c r="I1206" s="171" t="s">
        <v>97</v>
      </c>
      <c r="J1206" s="51" t="s">
        <v>236</v>
      </c>
      <c r="K1206" s="51" t="s">
        <v>231</v>
      </c>
      <c r="L1206" s="172" t="s">
        <v>232</v>
      </c>
      <c r="M1206" s="168">
        <v>45854</v>
      </c>
      <c r="N1206" s="169">
        <v>45799</v>
      </c>
      <c r="O1206" s="173">
        <v>45799</v>
      </c>
      <c r="P1206" s="51" t="s">
        <v>101</v>
      </c>
      <c r="Q1206" s="27" t="s">
        <v>226</v>
      </c>
      <c r="R1206" s="174" t="s">
        <v>237</v>
      </c>
      <c r="S1206" s="158" t="s">
        <v>238</v>
      </c>
      <c r="T1206" s="51" t="s">
        <v>185</v>
      </c>
      <c r="U1206" s="175" t="s">
        <v>239</v>
      </c>
    </row>
    <row r="1207" spans="1:21" s="1" customFormat="1" ht="84">
      <c r="A1207" s="69">
        <f>IF([8]PRIORIZADOS!A186="","",[8]PRIORIZADOS!A186)</f>
        <v>1155</v>
      </c>
      <c r="B1207" s="70">
        <v>31</v>
      </c>
      <c r="C1207" s="11" t="str">
        <f>IFERROR(IF(VLOOKUP(A1207,[8]PRIORIZADOS!$A:$C,3,FALSE)="","",VLOOKUP(A1207,[8]PRIORIZADOS!$A:$C,3,FALSE)),"")</f>
        <v>KENNEDY</v>
      </c>
      <c r="D1207" s="11" t="str">
        <f>IFERROR(IF(VLOOKUP(A1207,[8]PRIORIZADOS!$A:$D,4,FALSE)="","",VLOOKUP(A1207,[8]PRIORIZADOS!$A:$D,4,FALSE)),"")</f>
        <v>PRIVADO</v>
      </c>
      <c r="E1207" s="11" t="str">
        <f>IFERROR(IF(VLOOKUP(A1207,[8]PRIORIZADOS!$A:$E,5,FALSE)="","",VLOOKUP(A1207,[8]PRIORIZADOS!$A:$E,5,FALSE)),"")</f>
        <v>EPBM</v>
      </c>
      <c r="F1207" s="11" t="str">
        <f>IFERROR(IF(VLOOKUP(A1207,[8]PRIORIZADOS!$A:$F,6,FALSE)="","",VLOOKUP(A1207,[8]PRIORIZADOS!$A:$F,6,FALSE)),"")</f>
        <v>INSTITUTO_DE_EDUCACION_MEDIA_EMAUS</v>
      </c>
      <c r="G1207" s="11" t="str">
        <f>IFERROR(IF(VLOOKUP(A1207,[8]PRIORIZADOS!$A:$G,7,FALSE)="","",VLOOKUP(A1207,[8]PRIORIZADOS!$A:$G,7,FALSE)),"")</f>
        <v>INSTITUTO DE EDUCACION MEDIA EMAUS</v>
      </c>
      <c r="H1207" s="11" t="str">
        <f>IFERROR(IF(VLOOKUP(A1207,[8]PRIORIZADOS!$A:$H,8,FALSE)="","",VLOOKUP(A1207,[8]PRIORIZADOS!$A:$H,8,FALSE)),"")</f>
        <v>Autoevaluación Institucional y Pruebas SABER 11</v>
      </c>
      <c r="I1207" s="11" t="str">
        <f>IFERROR(IF(VLOOKUP(A1207,[8]PRIORIZADOS!$A:$I,9,FALSE)="","",VLOOKUP(A1207,[8]PRIORIZADOS!$A:$I,9,FALSE)),"")</f>
        <v>EVALUACIÓN_CON_FINES_DE_MEJORAMIENTO.</v>
      </c>
      <c r="J1207" s="11" t="str">
        <f>IFERROR(IF(VLOOKUP(A1207,[8]PRIORIZADOS!$A:$J,10,FALSE)="","",VLOOKUP(A1207,[8]PRIORIZADOS!$A:$J,10,FALSE)),"")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07" s="11" t="str">
        <f>IFERROR(IF(VLOOKUP(A1207,[8]PRIORIZADOS!$A:$K,11,FALSE)="","",VLOOKUP(A1207,[8]PRIORIZADOS!$A:$K,11,FALSE)),"")</f>
        <v>ADRIANA VENEGAS VALERA</v>
      </c>
      <c r="L1207" s="11" t="str">
        <f>IFERROR(IF(VLOOKUP(A1207,[8]PRIORIZADOS!$A:$L,12,FALSE)="","",VLOOKUP(A1207,[8]PRIORIZADOS!$A:$L,12,FALSE)),"")</f>
        <v>LUIS FERNANDO CÁRDENAS URAN</v>
      </c>
      <c r="M1207" s="71">
        <f>IFERROR(IF(VLOOKUP(A1207,[8]PRIORIZADOS!$A:$M,13,FALSE)="","",VLOOKUP(A1207,[8]PRIORIZADOS!$A:$M,13,FALSE)),"")</f>
        <v>45854</v>
      </c>
      <c r="N1207" s="71">
        <f>IFERROR(IF(VLOOKUP(A1207,[8]PRIORIZADOS!$A:$N,14,FALSE)="","",VLOOKUP(A1207,[8]PRIORIZADOS!$A:$N,14,FALSE)),"")</f>
        <v>45799</v>
      </c>
      <c r="O1207" s="71">
        <f>IFERROR(IF(VLOOKUP(A1207,[8]PRIORIZADOS!$A:$O,15,FALSE)="","",VLOOKUP(A1207,[8]PRIORIZADOS!$A:$O,15,FALSE)),"")</f>
        <v>45799</v>
      </c>
      <c r="P1207" s="11" t="str">
        <f>IFERROR(IF(VLOOKUP(A1207,[8]PRIORIZADOS!$A:$P,16,FALSE)="","",VLOOKUP(A1207,[8]PRIORIZADOS!$A:$P,16,FALSE)),"")</f>
        <v>Visitas de evaluación con fines de mejoramiento</v>
      </c>
      <c r="Q1207" s="141" t="s">
        <v>226</v>
      </c>
      <c r="R1207" s="11" t="str">
        <f>IFERROR(IF(VLOOKUP(A1207,[8]PRIORIZADOS!$A:$R,18,FALSE)="","",VLOOKUP(A1207,[8]PRIORIZADOS!$A:$R,18,FALSE)),"")</f>
        <v>La IE con relación al Manual de Convivencia  no evidencia que fue construido de forma participativa.</v>
      </c>
      <c r="S1207" s="11" t="str">
        <f>IFERROR(IF(VLOOKUP(A1207,[8]PRIORIZADOS!$A:$S,19,FALSE)="","",VLOOKUP(A1207,[8]PRIORIZADOS!$A:$S,19,FALSE)),"")</f>
        <v>Actualizar de forma participativa el manual de convivencia dejando evidencia.</v>
      </c>
      <c r="T1207" s="70" t="str">
        <f>IFERROR(IF(VLOOKUP(A1207,[8]PRIORIZADOS!$A:$T,20,FALSE)="","",VLOOKUP(A1207,[8]PRIORIZADOS!$A:$T,20,FALSE)),"")</f>
        <v>Si</v>
      </c>
      <c r="U1207" s="11" t="str">
        <f>IFERROR(IF(VLOOKUP(A1207,[8]PRIORIZADOS!$A:$U,21,FALSE)="","",VLOOKUP(A1207,[8]PRIORIZADOS!$A:$U,21,FALSE)),"")</f>
        <v xml:space="preserve">El ELIV verificará que el Manual de Convivencia  cumpla con la normatividad vigente. Se realiza mesa de seguimiento el día 1 de octubre de 2025. El cumplimiento total se enviará el 30 de octubre. </v>
      </c>
    </row>
    <row r="1208" spans="1:21" s="1" customFormat="1" ht="48">
      <c r="A1208" s="69">
        <f>IF([8]PRIORIZADOS!A187="","",[8]PRIORIZADOS!A187)</f>
        <v>1156</v>
      </c>
      <c r="B1208" s="70">
        <v>31</v>
      </c>
      <c r="C1208" s="11" t="str">
        <f>IFERROR(IF(VLOOKUP(A1208,[8]PRIORIZADOS!$A:$C,3,FALSE)="","",VLOOKUP(A1208,[8]PRIORIZADOS!$A:$C,3,FALSE)),"")</f>
        <v>KENNEDY</v>
      </c>
      <c r="D1208" s="11" t="str">
        <f>IFERROR(IF(VLOOKUP(A1208,[8]PRIORIZADOS!$A:$D,4,FALSE)="","",VLOOKUP(A1208,[8]PRIORIZADOS!$A:$D,4,FALSE)),"")</f>
        <v>PRIVADO</v>
      </c>
      <c r="E1208" s="11" t="str">
        <f>IFERROR(IF(VLOOKUP(A1208,[8]PRIORIZADOS!$A:$E,5,FALSE)="","",VLOOKUP(A1208,[8]PRIORIZADOS!$A:$E,5,FALSE)),"")</f>
        <v>EPBM</v>
      </c>
      <c r="F1208" s="11" t="str">
        <f>IFERROR(IF(VLOOKUP(A1208,[8]PRIORIZADOS!$A:$F,6,FALSE)="","",VLOOKUP(A1208,[8]PRIORIZADOS!$A:$F,6,FALSE)),"")</f>
        <v>INSTITUTO_DE_EDUCACION_MEDIA_EMAUS</v>
      </c>
      <c r="G1208" s="11" t="str">
        <f>IFERROR(IF(VLOOKUP(A1208,[8]PRIORIZADOS!$A:$G,7,FALSE)="","",VLOOKUP(A1208,[8]PRIORIZADOS!$A:$G,7,FALSE)),"")</f>
        <v>INSTITUTO DE EDUCACION MEDIA EMAUS</v>
      </c>
      <c r="H1208" s="11" t="str">
        <f>IFERROR(IF(VLOOKUP(A1208,[8]PRIORIZADOS!$A:$H,8,FALSE)="","",VLOOKUP(A1208,[8]PRIORIZADOS!$A:$H,8,FALSE)),"")</f>
        <v>Autoevaluación Institucional y Pruebas SABER 11</v>
      </c>
      <c r="I1208" s="11" t="str">
        <f>IFERROR(IF(VLOOKUP(A1208,[8]PRIORIZADOS!$A:$I,9,FALSE)="","",VLOOKUP(A1208,[8]PRIORIZADOS!$A:$I,9,FALSE)),"")</f>
        <v>EVALUACIÓN_CON_FINES_DE_MEJORAMIENTO.</v>
      </c>
      <c r="J1208" s="11" t="str">
        <f>IFERROR(IF(VLOOKUP(A1208,[8]PRIORIZADOS!$A:$J,10,FALSE)="","",VLOOKUP(A1208,[8]PRIORIZADOS!$A:$J,10,FALSE)),"")</f>
        <v>Revisar el calendario escolar, jornada escolar, la intensidad horaria mínima anual en cada nivel y las modificaciones que se realicen al mismo, de acuerdo con lo previsto en la normatividad vigente.</v>
      </c>
      <c r="K1208" s="11" t="str">
        <f>IFERROR(IF(VLOOKUP(A1208,[8]PRIORIZADOS!$A:$K,11,FALSE)="","",VLOOKUP(A1208,[8]PRIORIZADOS!$A:$K,11,FALSE)),"")</f>
        <v>ADRIANA VENEGAS VALERA</v>
      </c>
      <c r="L1208" s="11" t="str">
        <f>IFERROR(IF(VLOOKUP(A1208,[8]PRIORIZADOS!$A:$L,12,FALSE)="","",VLOOKUP(A1208,[8]PRIORIZADOS!$A:$L,12,FALSE)),"")</f>
        <v>LUIS FERNANDO CÁRDENAS URAN</v>
      </c>
      <c r="M1208" s="71">
        <f>IFERROR(IF(VLOOKUP(A1208,[8]PRIORIZADOS!$A:$M,13,FALSE)="","",VLOOKUP(A1208,[8]PRIORIZADOS!$A:$M,13,FALSE)),"")</f>
        <v>45854</v>
      </c>
      <c r="N1208" s="71">
        <f>IFERROR(IF(VLOOKUP(A1208,[8]PRIORIZADOS!$A:$N,14,FALSE)="","",VLOOKUP(A1208,[8]PRIORIZADOS!$A:$N,14,FALSE)),"")</f>
        <v>45799</v>
      </c>
      <c r="O1208" s="71">
        <f>IFERROR(IF(VLOOKUP(A1208,[8]PRIORIZADOS!$A:$O,15,FALSE)="","",VLOOKUP(A1208,[8]PRIORIZADOS!$A:$O,15,FALSE)),"")</f>
        <v>45799</v>
      </c>
      <c r="P1208" s="11" t="str">
        <f>IFERROR(IF(VLOOKUP(A1208,[8]PRIORIZADOS!$A:$P,16,FALSE)="","",VLOOKUP(A1208,[8]PRIORIZADOS!$A:$P,16,FALSE)),"")</f>
        <v>Visitas de evaluación con fines de mejoramiento</v>
      </c>
      <c r="Q1208" s="141" t="s">
        <v>226</v>
      </c>
      <c r="R1208" s="11" t="str">
        <f>IFERROR(IF(VLOOKUP(A1208,[8]PRIORIZADOS!$A:$R,18,FALSE)="","",VLOOKUP(A1208,[8]PRIORIZADOS!$A:$R,18,FALSE)),"")</f>
        <v>La IE cumple con la intensidad horaria mínima anual en cada nivel  radicado S-2025-17905 del 23 de enero del 2025</v>
      </c>
      <c r="S1208" s="11" t="str">
        <f>IFERROR(IF(VLOOKUP(A1208,[8]PRIORIZADOS!$A:$S,19,FALSE)="","",VLOOKUP(A1208,[8]PRIORIZADOS!$A:$S,19,FALSE)),"")</f>
        <v>La IE debe seguir dando cumplimiento a la normatividad vigente en referencia a la intensidad horaria</v>
      </c>
      <c r="T1208" s="70" t="str">
        <f>IFERROR(IF(VLOOKUP(A1208,[8]PRIORIZADOS!$A:$T,20,FALSE)="","",VLOOKUP(A1208,[8]PRIORIZADOS!$A:$T,20,FALSE)),"")</f>
        <v>No</v>
      </c>
      <c r="U1208" s="11" t="str">
        <f>IFERROR(IF(VLOOKUP(A1208,[8]PRIORIZADOS!$A:$U,21,FALSE)="","",VLOOKUP(A1208,[8]PRIORIZADOS!$A:$U,21,FALSE)),"")</f>
        <v xml:space="preserve">El ELIV realizara seguimiento al cumplimiento de la intensidad horaria, en la próxima vigencia. </v>
      </c>
    </row>
    <row r="1209" spans="1:21" s="1" customFormat="1" ht="72">
      <c r="A1209" s="69">
        <f>IF([8]PRIORIZADOS!A188="","",[8]PRIORIZADOS!A188)</f>
        <v>1157</v>
      </c>
      <c r="B1209" s="70">
        <v>31</v>
      </c>
      <c r="C1209" s="11" t="str">
        <f>IFERROR(IF(VLOOKUP(A1209,[8]PRIORIZADOS!$A:$C,3,FALSE)="","",VLOOKUP(A1209,[8]PRIORIZADOS!$A:$C,3,FALSE)),"")</f>
        <v>KENNEDY</v>
      </c>
      <c r="D1209" s="11" t="str">
        <f>IFERROR(IF(VLOOKUP(A1209,[8]PRIORIZADOS!$A:$D,4,FALSE)="","",VLOOKUP(A1209,[8]PRIORIZADOS!$A:$D,4,FALSE)),"")</f>
        <v>PRIVADO</v>
      </c>
      <c r="E1209" s="11" t="str">
        <f>IFERROR(IF(VLOOKUP(A1209,[8]PRIORIZADOS!$A:$E,5,FALSE)="","",VLOOKUP(A1209,[8]PRIORIZADOS!$A:$E,5,FALSE)),"")</f>
        <v>EPBM</v>
      </c>
      <c r="F1209" s="11" t="str">
        <f>IFERROR(IF(VLOOKUP(A1209,[8]PRIORIZADOS!$A:$F,6,FALSE)="","",VLOOKUP(A1209,[8]PRIORIZADOS!$A:$F,6,FALSE)),"")</f>
        <v>INSTITUTO_DE_EDUCACION_MEDIA_EMAUS</v>
      </c>
      <c r="G1209" s="11" t="str">
        <f>IFERROR(IF(VLOOKUP(A1209,[8]PRIORIZADOS!$A:$G,7,FALSE)="","",VLOOKUP(A1209,[8]PRIORIZADOS!$A:$G,7,FALSE)),"")</f>
        <v>INSTITUTO DE EDUCACION MEDIA EMAUS</v>
      </c>
      <c r="H1209" s="11" t="str">
        <f>IFERROR(IF(VLOOKUP(A1209,[8]PRIORIZADOS!$A:$H,8,FALSE)="","",VLOOKUP(A1209,[8]PRIORIZADOS!$A:$H,8,FALSE)),"")</f>
        <v>Autoevaluación Institucional y Pruebas SABER 11</v>
      </c>
      <c r="I1209" s="11" t="str">
        <f>IFERROR(IF(VLOOKUP(A1209,[8]PRIORIZADOS!$A:$I,9,FALSE)="","",VLOOKUP(A1209,[8]PRIORIZADOS!$A:$I,9,FALSE)),"")</f>
        <v>EVALUACIÓN_CON_FINES_DE_MEJORAMIENTO.</v>
      </c>
      <c r="J1209" s="11" t="str">
        <f>IFERROR(IF(VLOOKUP(A1209,[8]PRIORIZADOS!$A:$J,10,FALSE)="","",VLOOKUP(A1209,[8]PRIORIZADOS!$A:$J,10,FALSE)),"")</f>
        <v>Verificar el funcionamiento del Gobierno Escolar e instancias de participación con base en la información sobre conformación reportada por la institución educativa.</v>
      </c>
      <c r="K1209" s="11" t="str">
        <f>IFERROR(IF(VLOOKUP(A1209,[8]PRIORIZADOS!$A:$K,11,FALSE)="","",VLOOKUP(A1209,[8]PRIORIZADOS!$A:$K,11,FALSE)),"")</f>
        <v>ADRIANA VENEGAS VALERA</v>
      </c>
      <c r="L1209" s="11" t="str">
        <f>IFERROR(IF(VLOOKUP(A1209,[8]PRIORIZADOS!$A:$L,12,FALSE)="","",VLOOKUP(A1209,[8]PRIORIZADOS!$A:$L,12,FALSE)),"")</f>
        <v>LUIS FERNANDO CÁRDENAS URAN</v>
      </c>
      <c r="M1209" s="71">
        <f>IFERROR(IF(VLOOKUP(A1209,[8]PRIORIZADOS!$A:$M,13,FALSE)="","",VLOOKUP(A1209,[8]PRIORIZADOS!$A:$M,13,FALSE)),"")</f>
        <v>45854</v>
      </c>
      <c r="N1209" s="71">
        <f>IFERROR(IF(VLOOKUP(A1209,[8]PRIORIZADOS!$A:$N,14,FALSE)="","",VLOOKUP(A1209,[8]PRIORIZADOS!$A:$N,14,FALSE)),"")</f>
        <v>45799</v>
      </c>
      <c r="O1209" s="71">
        <f>IFERROR(IF(VLOOKUP(A1209,[8]PRIORIZADOS!$A:$O,15,FALSE)="","",VLOOKUP(A1209,[8]PRIORIZADOS!$A:$O,15,FALSE)),"")</f>
        <v>45799</v>
      </c>
      <c r="P1209" s="11" t="str">
        <f>IFERROR(IF(VLOOKUP(A1209,[8]PRIORIZADOS!$A:$P,16,FALSE)="","",VLOOKUP(A1209,[8]PRIORIZADOS!$A:$P,16,FALSE)),"")</f>
        <v>Visitas de evaluación con fines de mejoramiento</v>
      </c>
      <c r="Q1209" s="141" t="s">
        <v>226</v>
      </c>
      <c r="R1209" s="11" t="str">
        <f>IFERROR(IF(VLOOKUP(A1209,[8]PRIORIZADOS!$A:$R,18,FALSE)="","",VLOOKUP(A1209,[8]PRIORIZADOS!$A:$R,18,FALSE)),"")</f>
        <v>La IE evidencia el funcionamiento  del Gobierno Escolar e instancias de participación.</v>
      </c>
      <c r="S1209" s="11" t="str">
        <f>IFERROR(IF(VLOOKUP(A1209,[8]PRIORIZADOS!$A:$S,19,FALSE)="","",VLOOKUP(A1209,[8]PRIORIZADOS!$A:$S,19,FALSE)),"")</f>
        <v>La IE debe seguir garantizando que todos los actores de la comunidad educativa, incluyendo estudiantes, padres de familia, docentes y personal administrativo, tengan la oportunidad de participar en la toma de decisiones que afectan la vida escolar</v>
      </c>
      <c r="T1209" s="70" t="str">
        <f>IFERROR(IF(VLOOKUP(A1209,[8]PRIORIZADOS!$A:$T,20,FALSE)="","",VLOOKUP(A1209,[8]PRIORIZADOS!$A:$T,20,FALSE)),"")</f>
        <v>No</v>
      </c>
      <c r="U1209" s="11" t="str">
        <f>IFERROR(IF(VLOOKUP(A1209,[8]PRIORIZADOS!$A:$U,21,FALSE)="","",VLOOKUP(A1209,[8]PRIORIZADOS!$A:$U,21,FALSE)),"")</f>
        <v>El ELIV realizara seguimiento al cumplimiento de las acciones propuestas por la IE</v>
      </c>
    </row>
    <row r="1210" spans="1:21" s="1" customFormat="1" ht="72">
      <c r="A1210" s="69">
        <f>IF([8]PRIORIZADOS!A189="","",[8]PRIORIZADOS!A189)</f>
        <v>1159</v>
      </c>
      <c r="B1210" s="70">
        <v>32</v>
      </c>
      <c r="C1210" s="11" t="str">
        <f>IFERROR(IF(VLOOKUP(A1210,[8]PRIORIZADOS!$A:$C,3,FALSE)="","",VLOOKUP(A1210,[8]PRIORIZADOS!$A:$C,3,FALSE)),"")</f>
        <v>KENNEDY</v>
      </c>
      <c r="D1210" s="11" t="str">
        <f>IFERROR(IF(VLOOKUP(A1210,[8]PRIORIZADOS!$A:$D,4,FALSE)="","",VLOOKUP(A1210,[8]PRIORIZADOS!$A:$D,4,FALSE)),"")</f>
        <v>PRIVADO</v>
      </c>
      <c r="E1210" s="11" t="str">
        <f>IFERROR(IF(VLOOKUP(A1210,[8]PRIORIZADOS!$A:$E,5,FALSE)="","",VLOOKUP(A1210,[8]PRIORIZADOS!$A:$E,5,FALSE)),"")</f>
        <v>EPBM</v>
      </c>
      <c r="F1210" s="11" t="str">
        <f>IFERROR(IF(VLOOKUP(A1210,[8]PRIORIZADOS!$A:$F,6,FALSE)="","",VLOOKUP(A1210,[8]PRIORIZADOS!$A:$F,6,FALSE)),"")</f>
        <v>INSTITUTO_LEONARD_EULER</v>
      </c>
      <c r="G1210" s="11" t="str">
        <f>IFERROR(IF(VLOOKUP(A1210,[8]PRIORIZADOS!$A:$G,7,FALSE)="","",VLOOKUP(A1210,[8]PRIORIZADOS!$A:$G,7,FALSE)),"")</f>
        <v>INSTITUTO LEONARD EULER</v>
      </c>
      <c r="H1210" s="11" t="str">
        <f>IFERROR(IF(VLOOKUP(A1210,[8]PRIORIZADOS!$A:$H,8,FALSE)="","",VLOOKUP(A1210,[8]PRIORIZADOS!$A:$H,8,FALSE)),"")</f>
        <v>Autoevaluación Institucional y Pruebas SABER 11</v>
      </c>
      <c r="I1210" s="11" t="str">
        <f>IFERROR(IF(VLOOKUP(A1210,[8]PRIORIZADOS!$A:$I,9,FALSE)="","",VLOOKUP(A1210,[8]PRIORIZADOS!$A:$I,9,FALSE)),"")</f>
        <v>SEGUIMIENTO_Y_SUPERVISIÓN.</v>
      </c>
      <c r="J1210" s="11" t="str">
        <f>IFERROR(IF(VLOOKUP(A1210,[8]PRIORIZADOS!$A:$J,10,FALSE)="","",VLOOKUP(A1210,[8]PRIORIZADOS!$A:$J,10,FALSE)),"")</f>
        <v>Proponer estrategias en la formulación, verificar su elaboración y realizar seguimiento semestral al desarrollo de  las acciones establecidas en los planes de mejoramiento por pruebas SABER 11 de los establecimientos de educación formal.</v>
      </c>
      <c r="K1210" s="11" t="str">
        <f>IFERROR(IF(VLOOKUP(A1210,[8]PRIORIZADOS!$A:$K,11,FALSE)="","",VLOOKUP(A1210,[8]PRIORIZADOS!$A:$K,11,FALSE)),"")</f>
        <v>GERMÁN EDUARDO TORO ROSERO</v>
      </c>
      <c r="L1210" s="11" t="str">
        <f>IFERROR(IF(VLOOKUP(A1210,[8]PRIORIZADOS!$A:$L,12,FALSE)="","",VLOOKUP(A1210,[8]PRIORIZADOS!$A:$L,12,FALSE)),"")</f>
        <v>VIVANA PILAR BOHÓRQUEZ DÍAZ</v>
      </c>
      <c r="M1210" s="71">
        <f>IFERROR(IF(VLOOKUP(A1210,[8]PRIORIZADOS!$A:$M,13,FALSE)="","",VLOOKUP(A1210,[8]PRIORIZADOS!$A:$M,13,FALSE)),"")</f>
        <v>45855</v>
      </c>
      <c r="N1210" s="71">
        <f>IFERROR(IF(VLOOKUP(A1210,[8]PRIORIZADOS!$A:$N,14,FALSE)="","",VLOOKUP(A1210,[8]PRIORIZADOS!$A:$N,14,FALSE)),"")</f>
        <v>45855</v>
      </c>
      <c r="O1210" s="71">
        <f>IFERROR(IF(VLOOKUP(A1210,[8]PRIORIZADOS!$A:$O,15,FALSE)="","",VLOOKUP(A1210,[8]PRIORIZADOS!$A:$O,15,FALSE)),"")</f>
        <v>45855</v>
      </c>
      <c r="P1210" s="11" t="str">
        <f>IFERROR(IF(VLOOKUP(A1210,[8]PRIORIZADOS!$A:$P,16,FALSE)="","",VLOOKUP(A1210,[8]PRIORIZADOS!$A:$P,16,FALSE)),"")</f>
        <v>Visitas de evaluación con fines de mejoramiento</v>
      </c>
      <c r="Q1210" s="107" t="s">
        <v>240</v>
      </c>
      <c r="R1210" s="11" t="str">
        <f>IFERROR(IF(VLOOKUP(A1210,[8]PRIORIZADOS!$A:$R,18,FALSE)="","",VLOOKUP(A1210,[8]PRIORIZADOS!$A:$R,18,FALSE)),"")</f>
        <v xml:space="preserve">La IE cuenta con Plan de mejoramiento para las pruebas SABER 11; sin embargo este no contempla a las y los estudiantes con discapacidad, tampoco hay evidencia de la actualización del currículo del plan de estudios. </v>
      </c>
      <c r="S1210" s="11" t="str">
        <f>IFERROR(IF(VLOOKUP(A1210,[8]PRIORIZADOS!$A:$S,19,FALSE)="","",VLOOKUP(A1210,[8]PRIORIZADOS!$A:$S,19,FALSE)),"")</f>
        <v xml:space="preserve">Incluir en el plan de mejoramiento de las pruebas SABER 11 las estrategias previstas para el acompañamiento de las y los estudiantes con discapacidad. </v>
      </c>
      <c r="T1210" s="70" t="str">
        <f>IFERROR(IF(VLOOKUP(A1210,[8]PRIORIZADOS!$A:$T,20,FALSE)="","",VLOOKUP(A1210,[8]PRIORIZADOS!$A:$T,20,FALSE)),"")</f>
        <v>Si</v>
      </c>
      <c r="U1210" s="11" t="str">
        <f>IFERROR(IF(VLOOKUP(A1210,[8]PRIORIZADOS!$A:$U,21,FALSE)="","",VLOOKUP(A1210,[8]PRIORIZADOS!$A:$U,21,FALSE)),"")</f>
        <v>Seguimiento al cumplimiento de las acciones definidas en el Plan de Mejoramiento. Se realiza mesa de seguimiento el día 25 de septiembre 2025. Se validara el 5 de diciembre el cumplimiento de los compromisos.</v>
      </c>
    </row>
    <row r="1211" spans="1:21" s="1" customFormat="1" ht="84">
      <c r="A1211" s="69">
        <f>IF([8]PRIORIZADOS!A190="","",[8]PRIORIZADOS!A190)</f>
        <v>1161</v>
      </c>
      <c r="B1211" s="70">
        <v>32</v>
      </c>
      <c r="C1211" s="11" t="str">
        <f>IFERROR(IF(VLOOKUP(A1211,[8]PRIORIZADOS!$A:$C,3,FALSE)="","",VLOOKUP(A1211,[8]PRIORIZADOS!$A:$C,3,FALSE)),"")</f>
        <v>KENNEDY</v>
      </c>
      <c r="D1211" s="11" t="str">
        <f>IFERROR(IF(VLOOKUP(A1211,[8]PRIORIZADOS!$A:$D,4,FALSE)="","",VLOOKUP(A1211,[8]PRIORIZADOS!$A:$D,4,FALSE)),"")</f>
        <v>PRIVADO</v>
      </c>
      <c r="E1211" s="11" t="str">
        <f>IFERROR(IF(VLOOKUP(A1211,[8]PRIORIZADOS!$A:$E,5,FALSE)="","",VLOOKUP(A1211,[8]PRIORIZADOS!$A:$E,5,FALSE)),"")</f>
        <v>EPBM</v>
      </c>
      <c r="F1211" s="11" t="str">
        <f>IFERROR(IF(VLOOKUP(A1211,[8]PRIORIZADOS!$A:$F,6,FALSE)="","",VLOOKUP(A1211,[8]PRIORIZADOS!$A:$F,6,FALSE)),"")</f>
        <v>INSTITUTO_LEONARD_EULER</v>
      </c>
      <c r="G1211" s="11" t="str">
        <f>IFERROR(IF(VLOOKUP(A1211,[8]PRIORIZADOS!$A:$G,7,FALSE)="","",VLOOKUP(A1211,[8]PRIORIZADOS!$A:$G,7,FALSE)),"")</f>
        <v>INSTITUTO LEONARD EULER</v>
      </c>
      <c r="H1211" s="11" t="str">
        <f>IFERROR(IF(VLOOKUP(A1211,[8]PRIORIZADOS!$A:$H,8,FALSE)="","",VLOOKUP(A1211,[8]PRIORIZADOS!$A:$H,8,FALSE)),"")</f>
        <v>Autoevaluación Institucional y Pruebas SABER 11</v>
      </c>
      <c r="I1211" s="11" t="str">
        <f>IFERROR(IF(VLOOKUP(A1211,[8]PRIORIZADOS!$A:$I,9,FALSE)="","",VLOOKUP(A1211,[8]PRIORIZADOS!$A:$I,9,FALSE)),"")</f>
        <v>SEGUIMIENTO_Y_SUPERVISIÓN.</v>
      </c>
      <c r="J1211" s="11" t="str">
        <f>IFERROR(IF(VLOOKUP(A1211,[8]PRIORIZADOS!$A:$J,10,FALSE)="","",VLOOKUP(A1211,[8]PRIORIZADOS!$A:$J,10,FALSE)),"")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11" s="11" t="str">
        <f>IFERROR(IF(VLOOKUP(A1211,[8]PRIORIZADOS!$A:$K,11,FALSE)="","",VLOOKUP(A1211,[8]PRIORIZADOS!$A:$K,11,FALSE)),"")</f>
        <v>GERMÁN EDUARDO TORO ROSERO</v>
      </c>
      <c r="L1211" s="11" t="str">
        <f>IFERROR(IF(VLOOKUP(A1211,[8]PRIORIZADOS!$A:$L,12,FALSE)="","",VLOOKUP(A1211,[8]PRIORIZADOS!$A:$L,12,FALSE)),"")</f>
        <v>VIVANA PILAR BOHÓRQUEZ DÍAZ</v>
      </c>
      <c r="M1211" s="71">
        <f>IFERROR(IF(VLOOKUP(A1211,[8]PRIORIZADOS!$A:$M,13,FALSE)="","",VLOOKUP(A1211,[8]PRIORIZADOS!$A:$M,13,FALSE)),"")</f>
        <v>45855</v>
      </c>
      <c r="N1211" s="71">
        <f>IFERROR(IF(VLOOKUP(A1211,[8]PRIORIZADOS!$A:$N,14,FALSE)="","",VLOOKUP(A1211,[8]PRIORIZADOS!$A:$N,14,FALSE)),"")</f>
        <v>45855</v>
      </c>
      <c r="O1211" s="71">
        <f>IFERROR(IF(VLOOKUP(A1211,[8]PRIORIZADOS!$A:$O,15,FALSE)="","",VLOOKUP(A1211,[8]PRIORIZADOS!$A:$O,15,FALSE)),"")</f>
        <v>45855</v>
      </c>
      <c r="P1211" s="11" t="str">
        <f>IFERROR(IF(VLOOKUP(A1211,[8]PRIORIZADOS!$A:$P,16,FALSE)="","",VLOOKUP(A1211,[8]PRIORIZADOS!$A:$P,16,FALSE)),"")</f>
        <v>Visitas de evaluación con fines de mejoramiento</v>
      </c>
      <c r="Q1211" s="107" t="s">
        <v>240</v>
      </c>
      <c r="R1211" s="11" t="str">
        <f>IFERROR(IF(VLOOKUP(A1211,[8]PRIORIZADOS!$A:$R,18,FALSE)="","",VLOOKUP(A1211,[8]PRIORIZADOS!$A:$R,18,FALSE)),"")</f>
        <v xml:space="preserve">La institución educativa cuenta con un carpeta de las niñas y los niños con discapacidad que incluye diagnóstico y recomendaciones médicas, por lo que hace falta la elaboración de los Planes Individuales de Ajustes Razonables de cada uno de los estudiantes.  </v>
      </c>
      <c r="S1211" s="11" t="str">
        <f>IFERROR(IF(VLOOKUP(A1211,[8]PRIORIZADOS!$A:$S,19,FALSE)="","",VLOOKUP(A1211,[8]PRIORIZADOS!$A:$S,19,FALSE)),"")</f>
        <v xml:space="preserve">Diseñar, implementar y hacer seguimiento a los Planes Individuales de Ajustes Razonables de las niñas y los niños que lo requieran. </v>
      </c>
      <c r="T1211" s="70" t="str">
        <f>IFERROR(IF(VLOOKUP(A1211,[8]PRIORIZADOS!$A:$T,20,FALSE)="","",VLOOKUP(A1211,[8]PRIORIZADOS!$A:$T,20,FALSE)),"")</f>
        <v>Si</v>
      </c>
      <c r="U1211" s="11" t="str">
        <f>IFERROR(IF(VLOOKUP(A1211,[8]PRIORIZADOS!$A:$U,21,FALSE)="","",VLOOKUP(A1211,[8]PRIORIZADOS!$A:$U,21,FALSE)),"")</f>
        <v xml:space="preserve">Seguimiento al cumplimiento de las acciones definidas en el Plan de Mejoramiento. </v>
      </c>
    </row>
    <row r="1212" spans="1:21" s="1" customFormat="1" ht="84">
      <c r="A1212" s="69">
        <f>IF([8]PRIORIZADOS!A192="","",[8]PRIORIZADOS!A192)</f>
        <v>1162</v>
      </c>
      <c r="B1212" s="70">
        <v>32</v>
      </c>
      <c r="C1212" s="11" t="str">
        <f>IFERROR(IF(VLOOKUP(A1212,[8]PRIORIZADOS!$A:$C,3,FALSE)="","",VLOOKUP(A1212,[8]PRIORIZADOS!$A:$C,3,FALSE)),"")</f>
        <v>KENNEDY</v>
      </c>
      <c r="D1212" s="11" t="str">
        <f>IFERROR(IF(VLOOKUP(A1212,[8]PRIORIZADOS!$A:$D,4,FALSE)="","",VLOOKUP(A1212,[8]PRIORIZADOS!$A:$D,4,FALSE)),"")</f>
        <v>PRIVADO</v>
      </c>
      <c r="E1212" s="11" t="str">
        <f>IFERROR(IF(VLOOKUP(A1212,[8]PRIORIZADOS!$A:$E,5,FALSE)="","",VLOOKUP(A1212,[8]PRIORIZADOS!$A:$E,5,FALSE)),"")</f>
        <v>EPBM</v>
      </c>
      <c r="F1212" s="11" t="str">
        <f>IFERROR(IF(VLOOKUP(A1212,[8]PRIORIZADOS!$A:$F,6,FALSE)="","",VLOOKUP(A1212,[8]PRIORIZADOS!$A:$F,6,FALSE)),"")</f>
        <v>INSTITUTO_LEONARD_EULER</v>
      </c>
      <c r="G1212" s="11" t="str">
        <f>IFERROR(IF(VLOOKUP(A1212,[8]PRIORIZADOS!$A:$G,7,FALSE)="","",VLOOKUP(A1212,[8]PRIORIZADOS!$A:$G,7,FALSE)),"")</f>
        <v>INSTITUTO LEONARD EULER</v>
      </c>
      <c r="H1212" s="11" t="str">
        <f>IFERROR(IF(VLOOKUP(A1212,[8]PRIORIZADOS!$A:$H,8,FALSE)="","",VLOOKUP(A1212,[8]PRIORIZADOS!$A:$H,8,FALSE)),"")</f>
        <v>Autoevaluación Institucional y Pruebas SABER 11</v>
      </c>
      <c r="I1212" s="11" t="str">
        <f>IFERROR(IF(VLOOKUP(A1212,[8]PRIORIZADOS!$A:$I,9,FALSE)="","",VLOOKUP(A1212,[8]PRIORIZADOS!$A:$I,9,FALSE)),"")</f>
        <v>EVALUACIÓN_CON_FINES_DE_MEJORAMIENTO.</v>
      </c>
      <c r="J1212" s="11" t="str">
        <f>IFERROR(IF(VLOOKUP(A1212,[8]PRIORIZADOS!$A:$J,10,FALSE)="","",VLOOKUP(A1212,[8]PRIORIZADOS!$A:$J,10,FALSE)),"")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12" s="11" t="str">
        <f>IFERROR(IF(VLOOKUP(A1212,[8]PRIORIZADOS!$A:$K,11,FALSE)="","",VLOOKUP(A1212,[8]PRIORIZADOS!$A:$K,11,FALSE)),"")</f>
        <v>GERMÁN EDUARDO TORO ROSERO</v>
      </c>
      <c r="L1212" s="11" t="str">
        <f>IFERROR(IF(VLOOKUP(A1212,[8]PRIORIZADOS!$A:$L,12,FALSE)="","",VLOOKUP(A1212,[8]PRIORIZADOS!$A:$L,12,FALSE)),"")</f>
        <v>VIVANA PILAR BOHÓRQUEZ DÍAZ</v>
      </c>
      <c r="M1212" s="71">
        <f>IFERROR(IF(VLOOKUP(A1212,[8]PRIORIZADOS!$A:$M,13,FALSE)="","",VLOOKUP(A1212,[8]PRIORIZADOS!$A:$M,13,FALSE)),"")</f>
        <v>45855</v>
      </c>
      <c r="N1212" s="71">
        <f>IFERROR(IF(VLOOKUP(A1212,[8]PRIORIZADOS!$A:$N,14,FALSE)="","",VLOOKUP(A1212,[8]PRIORIZADOS!$A:$N,14,FALSE)),"")</f>
        <v>45855</v>
      </c>
      <c r="O1212" s="71">
        <f>IFERROR(IF(VLOOKUP(A1212,[8]PRIORIZADOS!$A:$O,15,FALSE)="","",VLOOKUP(A1212,[8]PRIORIZADOS!$A:$O,15,FALSE)),"")</f>
        <v>45855</v>
      </c>
      <c r="P1212" s="11" t="str">
        <f>IFERROR(IF(VLOOKUP(A1212,[8]PRIORIZADOS!$A:$P,16,FALSE)="","",VLOOKUP(A1212,[8]PRIORIZADOS!$A:$P,16,FALSE)),"")</f>
        <v>Visitas de evaluación con fines de mejoramiento</v>
      </c>
      <c r="Q1212" s="107" t="s">
        <v>240</v>
      </c>
      <c r="R1212" s="11" t="str">
        <f>IFERROR(IF(VLOOKUP(A1212,[8]PRIORIZADOS!$A:$R,18,FALSE)="","",VLOOKUP(A1212,[8]PRIORIZADOS!$A:$R,18,FALSE)),"")</f>
        <v xml:space="preserve">El manual de convivencia requiere ajuste, puesto que no contiene los protocolos de atención de la SED versión 5.0, el debido proceso y algunos de los elementos citados en las normas u obligaciones que contradicen el enfoque de derechos e inclusión. </v>
      </c>
      <c r="S1212" s="11" t="str">
        <f>IFERROR(IF(VLOOKUP(A1212,[8]PRIORIZADOS!$A:$S,19,FALSE)="","",VLOOKUP(A1212,[8]PRIORIZADOS!$A:$S,19,FALSE)),"")</f>
        <v>Actualizar el manual de convivencia, de acuerdo con las orientaciones impartidas por el ELIV en lo relacionado con instancias de gobierno escolar, el debido proceso, los protocolos de atención de la SED versión 5.0 , así como en la inclusión de los enfoques.</v>
      </c>
      <c r="T1212" s="70" t="str">
        <f>IFERROR(IF(VLOOKUP(A1212,[8]PRIORIZADOS!$A:$T,20,FALSE)="","",VLOOKUP(A1212,[8]PRIORIZADOS!$A:$T,20,FALSE)),"")</f>
        <v>Si</v>
      </c>
      <c r="U1212" s="11" t="str">
        <f>IFERROR(IF(VLOOKUP(A1212,[8]PRIORIZADOS!$A:$U,21,FALSE)="","",VLOOKUP(A1212,[8]PRIORIZADOS!$A:$U,21,FALSE)),"")</f>
        <v>Seguimiento al cumplimiento de las acciones definidas en el Plan de Mejoramiento. Se realiza mesa de seguimiento el día 25 de septiembre 2025. Se validara el 5 de diciembre el cumplimiento de los compromisos.</v>
      </c>
    </row>
    <row r="1213" spans="1:21" s="1" customFormat="1" ht="72">
      <c r="A1213" s="69">
        <f>IF([8]PRIORIZADOS!A193="","",[8]PRIORIZADOS!A193)</f>
        <v>1163</v>
      </c>
      <c r="B1213" s="70">
        <v>32</v>
      </c>
      <c r="C1213" s="11" t="str">
        <f>IFERROR(IF(VLOOKUP(A1213,[8]PRIORIZADOS!$A:$C,3,FALSE)="","",VLOOKUP(A1213,[8]PRIORIZADOS!$A:$C,3,FALSE)),"")</f>
        <v>KENNEDY</v>
      </c>
      <c r="D1213" s="11" t="str">
        <f>IFERROR(IF(VLOOKUP(A1213,[8]PRIORIZADOS!$A:$D,4,FALSE)="","",VLOOKUP(A1213,[8]PRIORIZADOS!$A:$D,4,FALSE)),"")</f>
        <v>PRIVADO</v>
      </c>
      <c r="E1213" s="11" t="str">
        <f>IFERROR(IF(VLOOKUP(A1213,[8]PRIORIZADOS!$A:$E,5,FALSE)="","",VLOOKUP(A1213,[8]PRIORIZADOS!$A:$E,5,FALSE)),"")</f>
        <v>EPBM</v>
      </c>
      <c r="F1213" s="11" t="str">
        <f>IFERROR(IF(VLOOKUP(A1213,[8]PRIORIZADOS!$A:$F,6,FALSE)="","",VLOOKUP(A1213,[8]PRIORIZADOS!$A:$F,6,FALSE)),"")</f>
        <v>INSTITUTO_LEONARD_EULER</v>
      </c>
      <c r="G1213" s="11" t="str">
        <f>IFERROR(IF(VLOOKUP(A1213,[8]PRIORIZADOS!$A:$G,7,FALSE)="","",VLOOKUP(A1213,[8]PRIORIZADOS!$A:$G,7,FALSE)),"")</f>
        <v>INSTITUTO LEONARD EULER</v>
      </c>
      <c r="H1213" s="11" t="str">
        <f>IFERROR(IF(VLOOKUP(A1213,[8]PRIORIZADOS!$A:$H,8,FALSE)="","",VLOOKUP(A1213,[8]PRIORIZADOS!$A:$H,8,FALSE)),"")</f>
        <v>Autoevaluación Institucional y Pruebas SABER 11</v>
      </c>
      <c r="I1213" s="11" t="str">
        <f>IFERROR(IF(VLOOKUP(A1213,[8]PRIORIZADOS!$A:$I,9,FALSE)="","",VLOOKUP(A1213,[8]PRIORIZADOS!$A:$I,9,FALSE)),"")</f>
        <v>EVALUACIÓN_CON_FINES_DE_MEJORAMIENTO.</v>
      </c>
      <c r="J1213" s="11" t="str">
        <f>IFERROR(IF(VLOOKUP(A1213,[8]PRIORIZADOS!$A:$J,10,FALSE)="","",VLOOKUP(A1213,[8]PRIORIZADOS!$A:$J,10,FALSE)),"")</f>
        <v>Revisar la actualización, socialización e implementación del Sistema Institucional de Evaluación de Estudiantes - SIEE, en articulación con la actualización del PEI y la normatividad vigente.</v>
      </c>
      <c r="K1213" s="11" t="str">
        <f>IFERROR(IF(VLOOKUP(A1213,[8]PRIORIZADOS!$A:$K,11,FALSE)="","",VLOOKUP(A1213,[8]PRIORIZADOS!$A:$K,11,FALSE)),"")</f>
        <v>GERMÁN EDUARDO TORO ROSERO</v>
      </c>
      <c r="L1213" s="11" t="str">
        <f>IFERROR(IF(VLOOKUP(A1213,[8]PRIORIZADOS!$A:$L,12,FALSE)="","",VLOOKUP(A1213,[8]PRIORIZADOS!$A:$L,12,FALSE)),"")</f>
        <v>VIVANA PILAR BOHÓRQUEZ DÍAZ</v>
      </c>
      <c r="M1213" s="71">
        <f>IFERROR(IF(VLOOKUP(A1213,[8]PRIORIZADOS!$A:$M,13,FALSE)="","",VLOOKUP(A1213,[8]PRIORIZADOS!$A:$M,13,FALSE)),"")</f>
        <v>45855</v>
      </c>
      <c r="N1213" s="71">
        <f>IFERROR(IF(VLOOKUP(A1213,[8]PRIORIZADOS!$A:$N,14,FALSE)="","",VLOOKUP(A1213,[8]PRIORIZADOS!$A:$N,14,FALSE)),"")</f>
        <v>45855</v>
      </c>
      <c r="O1213" s="71">
        <f>IFERROR(IF(VLOOKUP(A1213,[8]PRIORIZADOS!$A:$O,15,FALSE)="","",VLOOKUP(A1213,[8]PRIORIZADOS!$A:$O,15,FALSE)),"")</f>
        <v>45855</v>
      </c>
      <c r="P1213" s="11" t="str">
        <f>IFERROR(IF(VLOOKUP(A1213,[8]PRIORIZADOS!$A:$P,16,FALSE)="","",VLOOKUP(A1213,[8]PRIORIZADOS!$A:$P,16,FALSE)),"")</f>
        <v>Visitas de evaluación con fines de mejoramiento</v>
      </c>
      <c r="Q1213" s="107" t="s">
        <v>240</v>
      </c>
      <c r="R1213" s="11" t="str">
        <f>IFERROR(IF(VLOOKUP(A1213,[8]PRIORIZADOS!$A:$R,18,FALSE)="","",VLOOKUP(A1213,[8]PRIORIZADOS!$A:$R,18,FALSE)),"")</f>
        <v xml:space="preserve">El Sistema Institucional de Evaluación  contempla evidencias de su ejecución a través de la plataforma Class Room, además, cuenta con estrategias de apoyo para resolver situaciones académicas  de los estudiantes. </v>
      </c>
      <c r="S1213" s="11" t="str">
        <f>IFERROR(IF(VLOOKUP(A1213,[8]PRIORIZADOS!$A:$S,19,FALSE)="","",VLOOKUP(A1213,[8]PRIORIZADOS!$A:$S,19,FALSE)),"")</f>
        <v xml:space="preserve">Mantener actualizada la información en la plataforma dispuesta por la institución y hacer seguimiento y ajustes cuando se requieran. </v>
      </c>
      <c r="T1213" s="70" t="str">
        <f>IFERROR(IF(VLOOKUP(A1213,[8]PRIORIZADOS!$A:$T,20,FALSE)="","",VLOOKUP(A1213,[8]PRIORIZADOS!$A:$T,20,FALSE)),"")</f>
        <v>No</v>
      </c>
      <c r="U1213" s="11" t="str">
        <f>IFERROR(IF(VLOOKUP(A1213,[8]PRIORIZADOS!$A:$U,21,FALSE)="","",VLOOKUP(A1213,[8]PRIORIZADOS!$A:$U,21,FALSE)),"")</f>
        <v>El ELIV verificará en la próxima vigencia el desarrollo de las acciones previstas en el SIEE.</v>
      </c>
    </row>
    <row r="1214" spans="1:21" s="1" customFormat="1" ht="48">
      <c r="A1214" s="69">
        <f>IF([8]PRIORIZADOS!A194="","",[8]PRIORIZADOS!A194)</f>
        <v>1164</v>
      </c>
      <c r="B1214" s="70">
        <v>32</v>
      </c>
      <c r="C1214" s="11" t="str">
        <f>IFERROR(IF(VLOOKUP(A1214,[8]PRIORIZADOS!$A:$C,3,FALSE)="","",VLOOKUP(A1214,[8]PRIORIZADOS!$A:$C,3,FALSE)),"")</f>
        <v>KENNEDY</v>
      </c>
      <c r="D1214" s="11" t="str">
        <f>IFERROR(IF(VLOOKUP(A1214,[8]PRIORIZADOS!$A:$D,4,FALSE)="","",VLOOKUP(A1214,[8]PRIORIZADOS!$A:$D,4,FALSE)),"")</f>
        <v>PRIVADO</v>
      </c>
      <c r="E1214" s="11" t="str">
        <f>IFERROR(IF(VLOOKUP(A1214,[8]PRIORIZADOS!$A:$E,5,FALSE)="","",VLOOKUP(A1214,[8]PRIORIZADOS!$A:$E,5,FALSE)),"")</f>
        <v>EPBM</v>
      </c>
      <c r="F1214" s="11" t="str">
        <f>IFERROR(IF(VLOOKUP(A1214,[8]PRIORIZADOS!$A:$F,6,FALSE)="","",VLOOKUP(A1214,[8]PRIORIZADOS!$A:$F,6,FALSE)),"")</f>
        <v>INSTITUTO_LEONARD_EULER</v>
      </c>
      <c r="G1214" s="11" t="str">
        <f>IFERROR(IF(VLOOKUP(A1214,[8]PRIORIZADOS!$A:$G,7,FALSE)="","",VLOOKUP(A1214,[8]PRIORIZADOS!$A:$G,7,FALSE)),"")</f>
        <v>INSTITUTO LEONARD EULER</v>
      </c>
      <c r="H1214" s="11" t="str">
        <f>IFERROR(IF(VLOOKUP(A1214,[8]PRIORIZADOS!$A:$H,8,FALSE)="","",VLOOKUP(A1214,[8]PRIORIZADOS!$A:$H,8,FALSE)),"")</f>
        <v>Autoevaluación Institucional y Pruebas SABER 11</v>
      </c>
      <c r="I1214" s="11" t="str">
        <f>IFERROR(IF(VLOOKUP(A1214,[8]PRIORIZADOS!$A:$I,9,FALSE)="","",VLOOKUP(A1214,[8]PRIORIZADOS!$A:$I,9,FALSE)),"")</f>
        <v>EVALUACIÓN_CON_FINES_DE_MEJORAMIENTO.</v>
      </c>
      <c r="J1214" s="11" t="str">
        <f>IFERROR(IF(VLOOKUP(A1214,[8]PRIORIZADOS!$A:$J,10,FALSE)="","",VLOOKUP(A1214,[8]PRIORIZADOS!$A:$J,10,FALSE)),"")</f>
        <v>Revisar el calendario escolar, jornada escolar, la intensidad horaria mínima anual en cada nivel y las modificaciones que se realicen al mismo, de acuerdo con lo previsto en la normatividad vigente.</v>
      </c>
      <c r="K1214" s="11" t="str">
        <f>IFERROR(IF(VLOOKUP(A1214,[8]PRIORIZADOS!$A:$K,11,FALSE)="","",VLOOKUP(A1214,[8]PRIORIZADOS!$A:$K,11,FALSE)),"")</f>
        <v>GERMÁN EDUARDO TORO ROSERO</v>
      </c>
      <c r="L1214" s="11" t="str">
        <f>IFERROR(IF(VLOOKUP(A1214,[8]PRIORIZADOS!$A:$L,12,FALSE)="","",VLOOKUP(A1214,[8]PRIORIZADOS!$A:$L,12,FALSE)),"")</f>
        <v>VIVANA PILAR BOHÓRQUEZ DÍAZ</v>
      </c>
      <c r="M1214" s="71">
        <f>IFERROR(IF(VLOOKUP(A1214,[8]PRIORIZADOS!$A:$M,13,FALSE)="","",VLOOKUP(A1214,[8]PRIORIZADOS!$A:$M,13,FALSE)),"")</f>
        <v>45855</v>
      </c>
      <c r="N1214" s="71">
        <f>IFERROR(IF(VLOOKUP(A1214,[8]PRIORIZADOS!$A:$N,14,FALSE)="","",VLOOKUP(A1214,[8]PRIORIZADOS!$A:$N,14,FALSE)),"")</f>
        <v>45855</v>
      </c>
      <c r="O1214" s="71">
        <f>IFERROR(IF(VLOOKUP(A1214,[8]PRIORIZADOS!$A:$O,15,FALSE)="","",VLOOKUP(A1214,[8]PRIORIZADOS!$A:$O,15,FALSE)),"")</f>
        <v>45855</v>
      </c>
      <c r="P1214" s="11" t="str">
        <f>IFERROR(IF(VLOOKUP(A1214,[8]PRIORIZADOS!$A:$P,16,FALSE)="","",VLOOKUP(A1214,[8]PRIORIZADOS!$A:$P,16,FALSE)),"")</f>
        <v>Visitas de evaluación con fines de mejoramiento</v>
      </c>
      <c r="Q1214" s="107" t="s">
        <v>240</v>
      </c>
      <c r="R1214" s="11" t="str">
        <f>IFERROR(IF(VLOOKUP(A1214,[8]PRIORIZADOS!$A:$R,18,FALSE)="","",VLOOKUP(A1214,[8]PRIORIZADOS!$A:$R,18,FALSE)),"")</f>
        <v xml:space="preserve">La institución educativa cuenta con el calendario escolar con la intensidad horaria mínima requerida. </v>
      </c>
      <c r="S1214" s="11" t="str">
        <f>IFERROR(IF(VLOOKUP(A1214,[8]PRIORIZADOS!$A:$S,19,FALSE)="","",VLOOKUP(A1214,[8]PRIORIZADOS!$A:$S,19,FALSE)),"")</f>
        <v xml:space="preserve">Dar cumplimiento a lo establecido en el calendario escolar. </v>
      </c>
      <c r="T1214" s="70" t="str">
        <f>IFERROR(IF(VLOOKUP(A1214,[8]PRIORIZADOS!$A:$T,20,FALSE)="","",VLOOKUP(A1214,[8]PRIORIZADOS!$A:$T,20,FALSE)),"")</f>
        <v>No</v>
      </c>
      <c r="U1214" s="11" t="str">
        <f>IFERROR(IF(VLOOKUP(A1214,[8]PRIORIZADOS!$A:$U,21,FALSE)="","",VLOOKUP(A1214,[8]PRIORIZADOS!$A:$U,21,FALSE)),"")</f>
        <v xml:space="preserve">El ELIV verificará en la próxima vigencia el calendario escolar. </v>
      </c>
    </row>
    <row r="1215" spans="1:21" s="1" customFormat="1" ht="48">
      <c r="A1215" s="69">
        <f>IF([8]PRIORIZADOS!A195="","",[8]PRIORIZADOS!A195)</f>
        <v>1165</v>
      </c>
      <c r="B1215" s="70">
        <v>32</v>
      </c>
      <c r="C1215" s="11" t="str">
        <f>IFERROR(IF(VLOOKUP(A1215,[8]PRIORIZADOS!$A:$C,3,FALSE)="","",VLOOKUP(A1215,[8]PRIORIZADOS!$A:$C,3,FALSE)),"")</f>
        <v>KENNEDY</v>
      </c>
      <c r="D1215" s="11" t="str">
        <f>IFERROR(IF(VLOOKUP(A1215,[8]PRIORIZADOS!$A:$D,4,FALSE)="","",VLOOKUP(A1215,[8]PRIORIZADOS!$A:$D,4,FALSE)),"")</f>
        <v>PRIVADO</v>
      </c>
      <c r="E1215" s="11" t="str">
        <f>IFERROR(IF(VLOOKUP(A1215,[8]PRIORIZADOS!$A:$E,5,FALSE)="","",VLOOKUP(A1215,[8]PRIORIZADOS!$A:$E,5,FALSE)),"")</f>
        <v>EPBM</v>
      </c>
      <c r="F1215" s="11" t="str">
        <f>IFERROR(IF(VLOOKUP(A1215,[8]PRIORIZADOS!$A:$F,6,FALSE)="","",VLOOKUP(A1215,[8]PRIORIZADOS!$A:$F,6,FALSE)),"")</f>
        <v>INSTITUTO_LEONARD_EULER</v>
      </c>
      <c r="G1215" s="11" t="str">
        <f>IFERROR(IF(VLOOKUP(A1215,[8]PRIORIZADOS!$A:$G,7,FALSE)="","",VLOOKUP(A1215,[8]PRIORIZADOS!$A:$G,7,FALSE)),"")</f>
        <v>INSTITUTO LEONARD EULER</v>
      </c>
      <c r="H1215" s="11" t="str">
        <f>IFERROR(IF(VLOOKUP(A1215,[8]PRIORIZADOS!$A:$H,8,FALSE)="","",VLOOKUP(A1215,[8]PRIORIZADOS!$A:$H,8,FALSE)),"")</f>
        <v>Autoevaluación Institucional y Pruebas SABER 11</v>
      </c>
      <c r="I1215" s="11" t="str">
        <f>IFERROR(IF(VLOOKUP(A1215,[8]PRIORIZADOS!$A:$I,9,FALSE)="","",VLOOKUP(A1215,[8]PRIORIZADOS!$A:$I,9,FALSE)),"")</f>
        <v>EVALUACIÓN_CON_FINES_DE_MEJORAMIENTO.</v>
      </c>
      <c r="J1215" s="11" t="str">
        <f>IFERROR(IF(VLOOKUP(A1215,[8]PRIORIZADOS!$A:$J,10,FALSE)="","",VLOOKUP(A1215,[8]PRIORIZADOS!$A:$J,10,FALSE)),"")</f>
        <v>Verificar el funcionamiento del Gobierno Escolar e instancias de participación con base en la información sobre conformación reportada por la institución educativa.</v>
      </c>
      <c r="K1215" s="11" t="str">
        <f>IFERROR(IF(VLOOKUP(A1215,[8]PRIORIZADOS!$A:$K,11,FALSE)="","",VLOOKUP(A1215,[8]PRIORIZADOS!$A:$K,11,FALSE)),"")</f>
        <v>GERMÁN EDUARDO TORO ROSERO</v>
      </c>
      <c r="L1215" s="11" t="str">
        <f>IFERROR(IF(VLOOKUP(A1215,[8]PRIORIZADOS!$A:$L,12,FALSE)="","",VLOOKUP(A1215,[8]PRIORIZADOS!$A:$L,12,FALSE)),"")</f>
        <v>VIVANA PILAR BOHÓRQUEZ DÍAZ</v>
      </c>
      <c r="M1215" s="71">
        <f>IFERROR(IF(VLOOKUP(A1215,[8]PRIORIZADOS!$A:$M,13,FALSE)="","",VLOOKUP(A1215,[8]PRIORIZADOS!$A:$M,13,FALSE)),"")</f>
        <v>45855</v>
      </c>
      <c r="N1215" s="71">
        <f>IFERROR(IF(VLOOKUP(A1215,[8]PRIORIZADOS!$A:$N,14,FALSE)="","",VLOOKUP(A1215,[8]PRIORIZADOS!$A:$N,14,FALSE)),"")</f>
        <v>45855</v>
      </c>
      <c r="O1215" s="71">
        <f>IFERROR(IF(VLOOKUP(A1215,[8]PRIORIZADOS!$A:$O,15,FALSE)="","",VLOOKUP(A1215,[8]PRIORIZADOS!$A:$O,15,FALSE)),"")</f>
        <v>45855</v>
      </c>
      <c r="P1215" s="11" t="str">
        <f>IFERROR(IF(VLOOKUP(A1215,[8]PRIORIZADOS!$A:$P,16,FALSE)="","",VLOOKUP(A1215,[8]PRIORIZADOS!$A:$P,16,FALSE)),"")</f>
        <v>Visitas de evaluación con fines de mejoramiento</v>
      </c>
      <c r="Q1215" s="107" t="s">
        <v>240</v>
      </c>
      <c r="R1215" s="11" t="str">
        <f>IFERROR(IF(VLOOKUP(A1215,[8]PRIORIZADOS!$A:$R,18,FALSE)="","",VLOOKUP(A1215,[8]PRIORIZADOS!$A:$R,18,FALSE)),"")</f>
        <v xml:space="preserve">El establecimiento no cuenta con soportes de la revisión y análisis de las pruebas SABER 11 y no se ha actualizado el plan de estudios de acuerdo con los  resultados. </v>
      </c>
      <c r="S1215" s="11" t="str">
        <f>IFERROR(IF(VLOOKUP(A1215,[8]PRIORIZADOS!$A:$S,19,FALSE)="","",VLOOKUP(A1215,[8]PRIORIZADOS!$A:$S,19,FALSE)),"")</f>
        <v xml:space="preserve">Actualizar los planes de estudio de acuerdo con el análisis de las pruebas SABER 11 y contar con el aval del Consejo académico y el consejo directivo. </v>
      </c>
      <c r="T1215" s="70" t="str">
        <f>IFERROR(IF(VLOOKUP(A1215,[8]PRIORIZADOS!$A:$T,20,FALSE)="","",VLOOKUP(A1215,[8]PRIORIZADOS!$A:$T,20,FALSE)),"")</f>
        <v>Si</v>
      </c>
      <c r="U1215" s="11" t="str">
        <f>IFERROR(IF(VLOOKUP(A1215,[8]PRIORIZADOS!$A:$U,21,FALSE)="","",VLOOKUP(A1215,[8]PRIORIZADOS!$A:$U,21,FALSE)),"")</f>
        <v>Seguimiento al cumplimiento de las acciones definidas en el Plan de Mejoramiento. Se realiza mesa de seguimiento el día 25 de septiembre 2025. Se validara el 5 de diciembre el cumplimiento de los compromisos.</v>
      </c>
    </row>
    <row r="1216" spans="1:21" s="1" customFormat="1" ht="36">
      <c r="A1216" s="69">
        <f>IF([8]PRIORIZADOS!A196="","",[8]PRIORIZADOS!A196)</f>
        <v>2789</v>
      </c>
      <c r="B1216" s="70">
        <v>32</v>
      </c>
      <c r="C1216" s="11" t="str">
        <f>IFERROR(IF(VLOOKUP(A1216,[8]PRIORIZADOS!$A:$C,3,FALSE)="","",VLOOKUP(A1216,[8]PRIORIZADOS!$A:$C,3,FALSE)),"")</f>
        <v>KENNEDY</v>
      </c>
      <c r="D1216" s="11" t="str">
        <f>IFERROR(IF(VLOOKUP(A1216,[8]PRIORIZADOS!$A:$D,4,FALSE)="","",VLOOKUP(A1216,[8]PRIORIZADOS!$A:$D,4,FALSE)),"")</f>
        <v>PRIVADO</v>
      </c>
      <c r="E1216" s="11" t="str">
        <f>IFERROR(IF(VLOOKUP(A1216,[8]PRIORIZADOS!$A:$E,5,FALSE)="","",VLOOKUP(A1216,[8]PRIORIZADOS!$A:$E,5,FALSE)),"")</f>
        <v>EPBM</v>
      </c>
      <c r="F1216" s="11" t="str">
        <f>IFERROR(IF(VLOOKUP(A1216,[8]PRIORIZADOS!$A:$F,6,FALSE)="","",VLOOKUP(A1216,[8]PRIORIZADOS!$A:$F,6,FALSE)),"")</f>
        <v>INSTITUTO_LEONARD_EULER</v>
      </c>
      <c r="G1216" s="11" t="str">
        <f>IFERROR(IF(VLOOKUP(A1216,[8]PRIORIZADOS!$A:$G,7,FALSE)="","",VLOOKUP(A1216,[8]PRIORIZADOS!$A:$G,7,FALSE)),"")</f>
        <v>INSTITUTO LEONARD EULER</v>
      </c>
      <c r="H1216" s="11" t="str">
        <f>IFERROR(IF(VLOOKUP(A1216,[8]PRIORIZADOS!$A:$H,8,FALSE)="","",VLOOKUP(A1216,[8]PRIORIZADOS!$A:$H,8,FALSE)),"")</f>
        <v>Autoevaluación Institucional y Pruebas SABER 11</v>
      </c>
      <c r="I1216" s="11" t="str">
        <f>IFERROR(IF(VLOOKUP(A1216,[8]PRIORIZADOS!$A:$I,9,FALSE)="","",VLOOKUP(A1216,[8]PRIORIZADOS!$A:$I,9,FALSE)),"")</f>
        <v>EVALUACIÓN_CON_FINES_DE_MEJORAMIENTO.</v>
      </c>
      <c r="J1216" s="11" t="str">
        <f>IFERROR(IF(VLOOKUP(A1216,[8]PRIORIZADOS!$A:$J,10,FALSE)="","",VLOOKUP(A1216,[8]PRIORIZADOS!$A:$J,10,FALSE)),"")</f>
        <v>Verificar las condiciones en cuanto a: la estructura administrativa, condiciones de la planta física y medios educativos adecuados.</v>
      </c>
      <c r="K1216" s="11" t="str">
        <f>IFERROR(IF(VLOOKUP(A1216,[8]PRIORIZADOS!$A:$K,11,FALSE)="","",VLOOKUP(A1216,[8]PRIORIZADOS!$A:$K,11,FALSE)),"")</f>
        <v>GERMÁN EDUARDO TORO ROSERO</v>
      </c>
      <c r="L1216" s="11" t="str">
        <f>IFERROR(IF(VLOOKUP(A1216,[8]PRIORIZADOS!$A:$L,12,FALSE)="","",VLOOKUP(A1216,[8]PRIORIZADOS!$A:$L,12,FALSE)),"")</f>
        <v>VIVANA PILAR BOHÓRQUEZ DÍAZ</v>
      </c>
      <c r="M1216" s="71">
        <f>IFERROR(IF(VLOOKUP(A1216,[8]PRIORIZADOS!$A:$M,13,FALSE)="","",VLOOKUP(A1216,[8]PRIORIZADOS!$A:$M,13,FALSE)),"")</f>
        <v>45855</v>
      </c>
      <c r="N1216" s="71">
        <f>IFERROR(IF(VLOOKUP(A1216,[8]PRIORIZADOS!$A:$N,14,FALSE)="","",VLOOKUP(A1216,[8]PRIORIZADOS!$A:$N,14,FALSE)),"")</f>
        <v>45855</v>
      </c>
      <c r="O1216" s="71">
        <f>IFERROR(IF(VLOOKUP(A1216,[8]PRIORIZADOS!$A:$O,15,FALSE)="","",VLOOKUP(A1216,[8]PRIORIZADOS!$A:$O,15,FALSE)),"")</f>
        <v>45855</v>
      </c>
      <c r="P1216" s="11" t="str">
        <f>IFERROR(IF(VLOOKUP(A1216,[8]PRIORIZADOS!$A:$P,16,FALSE)="","",VLOOKUP(A1216,[8]PRIORIZADOS!$A:$P,16,FALSE)),"")</f>
        <v>Visitas de evaluación con fines de mejoramiento</v>
      </c>
      <c r="Q1216" s="107" t="s">
        <v>240</v>
      </c>
      <c r="R1216" s="11" t="str">
        <f>IFERROR(IF(VLOOKUP(A1216,[8]PRIORIZADOS!$A:$R,18,FALSE)="","",VLOOKUP(A1216,[8]PRIORIZADOS!$A:$R,18,FALSE)),"")</f>
        <v xml:space="preserve">Las instalaciones no cuentan con zonas verdes, por lo que usa el parque zonal aledaño al Colegio. </v>
      </c>
      <c r="S1216" s="11" t="str">
        <f>IFERROR(IF(VLOOKUP(A1216,[8]PRIORIZADOS!$A:$S,19,FALSE)="","",VLOOKUP(A1216,[8]PRIORIZADOS!$A:$S,19,FALSE)),"")</f>
        <v>Adelantar el trámite al convenio de ambientes compartidos con el IDRD y la DIV</v>
      </c>
      <c r="T1216" s="70" t="str">
        <f>IFERROR(IF(VLOOKUP(A1216,[8]PRIORIZADOS!$A:$T,20,FALSE)="","",VLOOKUP(A1216,[8]PRIORIZADOS!$A:$T,20,FALSE)),"")</f>
        <v>Si</v>
      </c>
      <c r="U1216" s="11" t="str">
        <f>IFERROR(IF(VLOOKUP(A1216,[8]PRIORIZADOS!$A:$U,21,FALSE)="","",VLOOKUP(A1216,[8]PRIORIZADOS!$A:$U,21,FALSE)),"")</f>
        <v>Seguimiento al cumplimiento de las acciones definidas en el Plan de Mejoramiento. Se realiza mesa de seguimiento el día 25 de septiembre 2025. Se validara el 5 de diciembre el cumplimiento de los compromisos.</v>
      </c>
    </row>
    <row r="1217" spans="1:21" s="1" customFormat="1" ht="48">
      <c r="A1217" s="69">
        <f>IF([8]PRIORIZADOS!A197="","",[8]PRIORIZADOS!A197)</f>
        <v>1166</v>
      </c>
      <c r="B1217" s="70">
        <v>33</v>
      </c>
      <c r="C1217" s="11" t="str">
        <f>IFERROR(IF(VLOOKUP(A1217,[8]PRIORIZADOS!$A:$C,3,FALSE)="","",VLOOKUP(A1217,[8]PRIORIZADOS!$A:$C,3,FALSE)),"")</f>
        <v>KENNEDY</v>
      </c>
      <c r="D1217" s="11" t="str">
        <f>IFERROR(IF(VLOOKUP(A1217,[8]PRIORIZADOS!$A:$D,4,FALSE)="","",VLOOKUP(A1217,[8]PRIORIZADOS!$A:$D,4,FALSE)),"")</f>
        <v>PRIVADO</v>
      </c>
      <c r="E1217" s="11" t="str">
        <f>IFERROR(IF(VLOOKUP(A1217,[8]PRIORIZADOS!$A:$E,5,FALSE)="","",VLOOKUP(A1217,[8]PRIORIZADOS!$A:$E,5,FALSE)),"")</f>
        <v>EPBM</v>
      </c>
      <c r="F1217" s="11" t="str">
        <f>IFERROR(IF(VLOOKUP(A1217,[8]PRIORIZADOS!$A:$F,6,FALSE)="","",VLOOKUP(A1217,[8]PRIORIZADOS!$A:$F,6,FALSE)),"")</f>
        <v>INSTITUTO_SAN_RICARDO_PAMPURI</v>
      </c>
      <c r="G1217" s="11" t="str">
        <f>IFERROR(IF(VLOOKUP(A1217,[8]PRIORIZADOS!$A:$G,7,FALSE)="","",VLOOKUP(A1217,[8]PRIORIZADOS!$A:$G,7,FALSE)),"")</f>
        <v>INSTITUTO SAN RICARDO PAMPURI</v>
      </c>
      <c r="H1217" s="11" t="str">
        <f>IFERROR(IF(VLOOKUP(A1217,[8]PRIORIZADOS!$A:$H,8,FALSE)="","",VLOOKUP(A1217,[8]PRIORIZADOS!$A:$H,8,FALSE)),"")</f>
        <v>Autoevaluación Institucional y Pruebas SABER 11</v>
      </c>
      <c r="I1217" s="11" t="str">
        <f>IFERROR(IF(VLOOKUP(A1217,[8]PRIORIZADOS!$A:$I,9,FALSE)="","",VLOOKUP(A1217,[8]PRIORIZADOS!$A:$I,9,FALSE)),"")</f>
        <v>SEGUIMIENTO_Y_SUPERVISIÓN.</v>
      </c>
      <c r="J1217" s="11" t="str">
        <f>IFERROR(IF(VLOOKUP(A1217,[8]PRIORIZADOS!$A:$J,10,FALSE)="","",VLOOKUP(A1217,[8]PRIORIZADOS!$A:$J,10,FALSE)),"")</f>
        <v>Realizar visitas para verificar la información registrada sobre la autoevaluación institucional en el aplicativo EVI, a los establecimientos de educación formal no oficial.</v>
      </c>
      <c r="K1217" s="11" t="str">
        <f>IFERROR(IF(VLOOKUP(A1217,[8]PRIORIZADOS!$A:$K,11,FALSE)="","",VLOOKUP(A1217,[8]PRIORIZADOS!$A:$K,11,FALSE)),"")</f>
        <v>INGRID VIVIANA DÁVILA ÁVILA</v>
      </c>
      <c r="L1217" s="11" t="str">
        <f>IFERROR(IF(VLOOKUP(A1217,[8]PRIORIZADOS!$A:$L,12,FALSE)="","",VLOOKUP(A1217,[8]PRIORIZADOS!$A:$L,12,FALSE)),"")</f>
        <v xml:space="preserve">DIANA ZULAY HUERTAS ORTÍZ </v>
      </c>
      <c r="M1217" s="71">
        <f>IFERROR(IF(VLOOKUP(A1217,[8]PRIORIZADOS!$A:$M,13,FALSE)="","",VLOOKUP(A1217,[8]PRIORIZADOS!$A:$M,13,FALSE)),"")</f>
        <v>45860</v>
      </c>
      <c r="N1217" s="71">
        <f>IFERROR(IF(VLOOKUP(A1217,[8]PRIORIZADOS!$A:$N,14,FALSE)="","",VLOOKUP(A1217,[8]PRIORIZADOS!$A:$N,14,FALSE)),"")</f>
        <v>45860</v>
      </c>
      <c r="O1217" s="71">
        <f>IFERROR(IF(VLOOKUP(A1217,[8]PRIORIZADOS!$A:$O,15,FALSE)="","",VLOOKUP(A1217,[8]PRIORIZADOS!$A:$O,15,FALSE)),"")</f>
        <v>45860</v>
      </c>
      <c r="P1217" s="11" t="str">
        <f>IFERROR(IF(VLOOKUP(A1217,[8]PRIORIZADOS!$A:$P,16,FALSE)="","",VLOOKUP(A1217,[8]PRIORIZADOS!$A:$P,16,FALSE)),"")</f>
        <v>Visitas de evaluación con fines de mejoramiento</v>
      </c>
      <c r="Q1217" s="107" t="s">
        <v>241</v>
      </c>
      <c r="R1217" s="11" t="str">
        <f>IFERROR(IF(VLOOKUP(A1217,[8]PRIORIZADOS!$A:$R,18,FALSE)="","",VLOOKUP(A1217,[8]PRIORIZADOS!$A:$R,18,FALSE)),"")</f>
        <v xml:space="preserve">La institución no registra información en el EVI, que dé cuenta de la realidad institucional relacionada con la  presencia de laboratorios y biblioteca. </v>
      </c>
      <c r="S1217" s="11" t="str">
        <f>IFERROR(IF(VLOOKUP(A1217,[8]PRIORIZADOS!$A:$S,19,FALSE)="","",VLOOKUP(A1217,[8]PRIORIZADOS!$A:$S,19,FALSE)),"")</f>
        <v>Registrar en el aplicativo EVI, la información que dé cuenta de la realidad institucional.</v>
      </c>
      <c r="T1217" s="70" t="str">
        <f>IFERROR(IF(VLOOKUP(A1217,[8]PRIORIZADOS!$A:$T,20,FALSE)="","",VLOOKUP(A1217,[8]PRIORIZADOS!$A:$T,20,FALSE)),"")</f>
        <v>SI</v>
      </c>
      <c r="U1217" s="11" t="str">
        <f>IFERROR(IF(VLOOKUP(A1217,[8]PRIORIZADOS!$A:$U,21,FALSE)="","",VLOOKUP(A1217,[8]PRIORIZADOS!$A:$U,21,FALSE)),"")</f>
        <v xml:space="preserve">Verificar la información registrada en el aplicativo en la vigencia 2025. Se realiza mesa de seguimiento el día 25 de septiembre 2025. </v>
      </c>
    </row>
    <row r="1218" spans="1:21" s="1" customFormat="1" ht="60">
      <c r="A1218" s="69">
        <f>IF([8]PRIORIZADOS!A198="","",[8]PRIORIZADOS!A198)</f>
        <v>1167</v>
      </c>
      <c r="B1218" s="70">
        <v>33</v>
      </c>
      <c r="C1218" s="11" t="str">
        <f>IFERROR(IF(VLOOKUP(A1218,[8]PRIORIZADOS!$A:$C,3,FALSE)="","",VLOOKUP(A1218,[8]PRIORIZADOS!$A:$C,3,FALSE)),"")</f>
        <v>KENNEDY</v>
      </c>
      <c r="D1218" s="11" t="str">
        <f>IFERROR(IF(VLOOKUP(A1218,[8]PRIORIZADOS!$A:$D,4,FALSE)="","",VLOOKUP(A1218,[8]PRIORIZADOS!$A:$D,4,FALSE)),"")</f>
        <v>PRIVADO</v>
      </c>
      <c r="E1218" s="11" t="str">
        <f>IFERROR(IF(VLOOKUP(A1218,[8]PRIORIZADOS!$A:$E,5,FALSE)="","",VLOOKUP(A1218,[8]PRIORIZADOS!$A:$E,5,FALSE)),"")</f>
        <v>EPBM</v>
      </c>
      <c r="F1218" s="11" t="str">
        <f>IFERROR(IF(VLOOKUP(A1218,[8]PRIORIZADOS!$A:$F,6,FALSE)="","",VLOOKUP(A1218,[8]PRIORIZADOS!$A:$F,6,FALSE)),"")</f>
        <v>INSTITUTO_SAN_RICARDO_PAMPURI</v>
      </c>
      <c r="G1218" s="11" t="str">
        <f>IFERROR(IF(VLOOKUP(A1218,[8]PRIORIZADOS!$A:$G,7,FALSE)="","",VLOOKUP(A1218,[8]PRIORIZADOS!$A:$G,7,FALSE)),"")</f>
        <v>INSTITUTO SAN RICARDO PAMPURI</v>
      </c>
      <c r="H1218" s="11" t="str">
        <f>IFERROR(IF(VLOOKUP(A1218,[8]PRIORIZADOS!$A:$H,8,FALSE)="","",VLOOKUP(A1218,[8]PRIORIZADOS!$A:$H,8,FALSE)),"")</f>
        <v>Autoevaluación Institucional y Pruebas SABER 11</v>
      </c>
      <c r="I1218" s="11" t="str">
        <f>IFERROR(IF(VLOOKUP(A1218,[8]PRIORIZADOS!$A:$I,9,FALSE)="","",VLOOKUP(A1218,[8]PRIORIZADOS!$A:$I,9,FALSE)),"")</f>
        <v>SEGUIMIENTO_Y_SUPERVISIÓN.</v>
      </c>
      <c r="J1218" s="11" t="str">
        <f>IFERROR(IF(VLOOKUP(A1218,[8]PRIORIZADOS!$A:$J,10,FALSE)="","",VLOOKUP(A1218,[8]PRIORIZADOS!$A:$J,10,FALSE)),"")</f>
        <v>Proponer estrategias en la formulación, verificar su elaboración y realizar seguimiento semestral al desarrollo de  las acciones establecidas en los planes de mejoramiento por pruebas SABER 11 de los establecimientos de educación formal.</v>
      </c>
      <c r="K1218" s="11" t="str">
        <f>IFERROR(IF(VLOOKUP(A1218,[8]PRIORIZADOS!$A:$K,11,FALSE)="","",VLOOKUP(A1218,[8]PRIORIZADOS!$A:$K,11,FALSE)),"")</f>
        <v>INGRID VIVIANA DÁVILA ÁVILA</v>
      </c>
      <c r="L1218" s="11" t="str">
        <f>IFERROR(IF(VLOOKUP(A1218,[8]PRIORIZADOS!$A:$L,12,FALSE)="","",VLOOKUP(A1218,[8]PRIORIZADOS!$A:$L,12,FALSE)),"")</f>
        <v xml:space="preserve">DIANA ZULAY HUERTAS ORTÍZ </v>
      </c>
      <c r="M1218" s="71">
        <f>IFERROR(IF(VLOOKUP(A1218,[8]PRIORIZADOS!$A:$M,13,FALSE)="","",VLOOKUP(A1218,[8]PRIORIZADOS!$A:$M,13,FALSE)),"")</f>
        <v>45860</v>
      </c>
      <c r="N1218" s="71">
        <f>IFERROR(IF(VLOOKUP(A1218,[8]PRIORIZADOS!$A:$N,14,FALSE)="","",VLOOKUP(A1218,[8]PRIORIZADOS!$A:$N,14,FALSE)),"")</f>
        <v>45860</v>
      </c>
      <c r="O1218" s="71">
        <f>IFERROR(IF(VLOOKUP(A1218,[8]PRIORIZADOS!$A:$O,15,FALSE)="","",VLOOKUP(A1218,[8]PRIORIZADOS!$A:$O,15,FALSE)),"")</f>
        <v>45860</v>
      </c>
      <c r="P1218" s="11" t="str">
        <f>IFERROR(IF(VLOOKUP(A1218,[8]PRIORIZADOS!$A:$P,16,FALSE)="","",VLOOKUP(A1218,[8]PRIORIZADOS!$A:$P,16,FALSE)),"")</f>
        <v>Visitas de evaluación con fines de mejoramiento</v>
      </c>
      <c r="Q1218" s="107" t="s">
        <v>241</v>
      </c>
      <c r="R1218" s="11" t="str">
        <f>IFERROR(IF(VLOOKUP(A1218,[8]PRIORIZADOS!$A:$R,18,FALSE)="","",VLOOKUP(A1218,[8]PRIORIZADOS!$A:$R,18,FALSE)),"")</f>
        <v>La institución no ha formulado estrategias para el seguimiento de los resultados de pruebas SABER 11.</v>
      </c>
      <c r="S1218" s="11" t="str">
        <f>IFERROR(IF(VLOOKUP(A1218,[8]PRIORIZADOS!$A:$S,19,FALSE)="","",VLOOKUP(A1218,[8]PRIORIZADOS!$A:$S,19,FALSE)),"")</f>
        <v>Establecer un plan de mejoramiento basado en los resultados obtenidos en las pruebas SABER 11.</v>
      </c>
      <c r="T1218" s="70" t="str">
        <f>IFERROR(IF(VLOOKUP(A1218,[8]PRIORIZADOS!$A:$T,20,FALSE)="","",VLOOKUP(A1218,[8]PRIORIZADOS!$A:$T,20,FALSE)),"")</f>
        <v>Si</v>
      </c>
      <c r="U1218" s="11" t="str">
        <f>IFERROR(IF(VLOOKUP(A1218,[8]PRIORIZADOS!$A:$U,21,FALSE)="","",VLOOKUP(A1218,[8]PRIORIZADOS!$A:$U,21,FALSE)),"")</f>
        <v>Verificar el cumplimiento del plan de mejoramiento diseñado para atender los resultados de las pruebas SABER 11.Se realiza mesa de seguimiento el día 25 de septiembre 2025</v>
      </c>
    </row>
    <row r="1219" spans="1:21" s="1" customFormat="1" ht="48">
      <c r="A1219" s="69">
        <f>IF([8]PRIORIZADOS!A199="","",[8]PRIORIZADOS!A199)</f>
        <v>1168</v>
      </c>
      <c r="B1219" s="70">
        <v>33</v>
      </c>
      <c r="C1219" s="11" t="str">
        <f>IFERROR(IF(VLOOKUP(A1219,[8]PRIORIZADOS!$A:$C,3,FALSE)="","",VLOOKUP(A1219,[8]PRIORIZADOS!$A:$C,3,FALSE)),"")</f>
        <v>KENNEDY</v>
      </c>
      <c r="D1219" s="11" t="str">
        <f>IFERROR(IF(VLOOKUP(A1219,[8]PRIORIZADOS!$A:$D,4,FALSE)="","",VLOOKUP(A1219,[8]PRIORIZADOS!$A:$D,4,FALSE)),"")</f>
        <v>PRIVADO</v>
      </c>
      <c r="E1219" s="11" t="str">
        <f>IFERROR(IF(VLOOKUP(A1219,[8]PRIORIZADOS!$A:$E,5,FALSE)="","",VLOOKUP(A1219,[8]PRIORIZADOS!$A:$E,5,FALSE)),"")</f>
        <v>EPBM</v>
      </c>
      <c r="F1219" s="11" t="str">
        <f>IFERROR(IF(VLOOKUP(A1219,[8]PRIORIZADOS!$A:$F,6,FALSE)="","",VLOOKUP(A1219,[8]PRIORIZADOS!$A:$F,6,FALSE)),"")</f>
        <v>INSTITUTO_SAN_RICARDO_PAMPURI</v>
      </c>
      <c r="G1219" s="11" t="str">
        <f>IFERROR(IF(VLOOKUP(A1219,[8]PRIORIZADOS!$A:$G,7,FALSE)="","",VLOOKUP(A1219,[8]PRIORIZADOS!$A:$G,7,FALSE)),"")</f>
        <v>INSTITUTO SAN RICARDO PAMPURI</v>
      </c>
      <c r="H1219" s="11" t="str">
        <f>IFERROR(IF(VLOOKUP(A1219,[8]PRIORIZADOS!$A:$H,8,FALSE)="","",VLOOKUP(A1219,[8]PRIORIZADOS!$A:$H,8,FALSE)),"")</f>
        <v>Autoevaluación Institucional y Pruebas SABER 11</v>
      </c>
      <c r="I1219" s="11" t="str">
        <f>IFERROR(IF(VLOOKUP(A1219,[8]PRIORIZADOS!$A:$I,9,FALSE)="","",VLOOKUP(A1219,[8]PRIORIZADOS!$A:$I,9,FALSE)),"")</f>
        <v>SEGUIMIENTO_Y_SUPERVISIÓN.</v>
      </c>
      <c r="J1219" s="11" t="str">
        <f>IFERROR(IF(VLOOKUP(A1219,[8]PRIORIZADOS!$A:$J,10,FALSE)="","",VLOOKUP(A1219,[8]PRIORIZADOS!$A:$J,10,FALSE)),"")</f>
        <v xml:space="preserve">Verificar la implementación por parte de los colegios, de acciones realizadas para la prevención y atención de las situaciones de convivencia en el entorno escolar, según lo establecido en la Directiva 01 de 2022 del MEN. </v>
      </c>
      <c r="K1219" s="11" t="str">
        <f>IFERROR(IF(VLOOKUP(A1219,[8]PRIORIZADOS!$A:$K,11,FALSE)="","",VLOOKUP(A1219,[8]PRIORIZADOS!$A:$K,11,FALSE)),"")</f>
        <v>INGRID VIVIANA DÁVILA ÁVILA</v>
      </c>
      <c r="L1219" s="11" t="str">
        <f>IFERROR(IF(VLOOKUP(A1219,[8]PRIORIZADOS!$A:$L,12,FALSE)="","",VLOOKUP(A1219,[8]PRIORIZADOS!$A:$L,12,FALSE)),"")</f>
        <v xml:space="preserve">DIANA ZULAY HUERTAS ORTÍZ </v>
      </c>
      <c r="M1219" s="71">
        <f>IFERROR(IF(VLOOKUP(A1219,[8]PRIORIZADOS!$A:$M,13,FALSE)="","",VLOOKUP(A1219,[8]PRIORIZADOS!$A:$M,13,FALSE)),"")</f>
        <v>45860</v>
      </c>
      <c r="N1219" s="71">
        <f>IFERROR(IF(VLOOKUP(A1219,[8]PRIORIZADOS!$A:$N,14,FALSE)="","",VLOOKUP(A1219,[8]PRIORIZADOS!$A:$N,14,FALSE)),"")</f>
        <v>45860</v>
      </c>
      <c r="O1219" s="71">
        <f>IFERROR(IF(VLOOKUP(A1219,[8]PRIORIZADOS!$A:$O,15,FALSE)="","",VLOOKUP(A1219,[8]PRIORIZADOS!$A:$O,15,FALSE)),"")</f>
        <v>45860</v>
      </c>
      <c r="P1219" s="11" t="str">
        <f>IFERROR(IF(VLOOKUP(A1219,[8]PRIORIZADOS!$A:$P,16,FALSE)="","",VLOOKUP(A1219,[8]PRIORIZADOS!$A:$P,16,FALSE)),"")</f>
        <v>Visitas de evaluación con fines de mejoramiento</v>
      </c>
      <c r="Q1219" s="107" t="s">
        <v>241</v>
      </c>
      <c r="R1219" s="11" t="str">
        <f>IFERROR(IF(VLOOKUP(A1219,[8]PRIORIZADOS!$A:$R,18,FALSE)="","",VLOOKUP(A1219,[8]PRIORIZADOS!$A:$R,18,FALSE)),"")</f>
        <v>La institución cuenta con un plan de promoción y prevención de situaciones que afectan la convivencia escolar desde el equipo de orientación.</v>
      </c>
      <c r="S1219" s="11" t="str">
        <f>IFERROR(IF(VLOOKUP(A1219,[8]PRIORIZADOS!$A:$S,19,FALSE)="","",VLOOKUP(A1219,[8]PRIORIZADOS!$A:$S,19,FALSE)),"")</f>
        <v>Continuar desarrollando acciones para la  promoción, prevención y atención de situaciones de convivencia.</v>
      </c>
      <c r="T1219" s="70" t="str">
        <f>IFERROR(IF(VLOOKUP(A1219,[8]PRIORIZADOS!$A:$T,20,FALSE)="","",VLOOKUP(A1219,[8]PRIORIZADOS!$A:$T,20,FALSE)),"")</f>
        <v>No</v>
      </c>
      <c r="U1219" s="11" t="str">
        <f>IFERROR(IF(VLOOKUP(A1219,[8]PRIORIZADOS!$A:$U,21,FALSE)="","",VLOOKUP(A1219,[8]PRIORIZADOS!$A:$U,21,FALSE)),"")</f>
        <v>Verificar que se sigan desarrollando acciones para la promoción y prevención de situaciones que afectan la convivencia.</v>
      </c>
    </row>
    <row r="1220" spans="1:21" s="1" customFormat="1" ht="72">
      <c r="A1220" s="69">
        <f>IF([8]PRIORIZADOS!A200="","",[8]PRIORIZADOS!A200)</f>
        <v>1169</v>
      </c>
      <c r="B1220" s="70">
        <v>33</v>
      </c>
      <c r="C1220" s="11" t="str">
        <f>IFERROR(IF(VLOOKUP(A1220,[8]PRIORIZADOS!$A:$C,3,FALSE)="","",VLOOKUP(A1220,[8]PRIORIZADOS!$A:$C,3,FALSE)),"")</f>
        <v>KENNEDY</v>
      </c>
      <c r="D1220" s="11" t="str">
        <f>IFERROR(IF(VLOOKUP(A1220,[8]PRIORIZADOS!$A:$D,4,FALSE)="","",VLOOKUP(A1220,[8]PRIORIZADOS!$A:$D,4,FALSE)),"")</f>
        <v>PRIVADO</v>
      </c>
      <c r="E1220" s="11" t="str">
        <f>IFERROR(IF(VLOOKUP(A1220,[8]PRIORIZADOS!$A:$E,5,FALSE)="","",VLOOKUP(A1220,[8]PRIORIZADOS!$A:$E,5,FALSE)),"")</f>
        <v>EPBM</v>
      </c>
      <c r="F1220" s="11" t="str">
        <f>IFERROR(IF(VLOOKUP(A1220,[8]PRIORIZADOS!$A:$F,6,FALSE)="","",VLOOKUP(A1220,[8]PRIORIZADOS!$A:$F,6,FALSE)),"")</f>
        <v>INSTITUTO_SAN_RICARDO_PAMPURI</v>
      </c>
      <c r="G1220" s="11" t="str">
        <f>IFERROR(IF(VLOOKUP(A1220,[8]PRIORIZADOS!$A:$G,7,FALSE)="","",VLOOKUP(A1220,[8]PRIORIZADOS!$A:$G,7,FALSE)),"")</f>
        <v>INSTITUTO SAN RICARDO PAMPURI</v>
      </c>
      <c r="H1220" s="11" t="str">
        <f>IFERROR(IF(VLOOKUP(A1220,[8]PRIORIZADOS!$A:$H,8,FALSE)="","",VLOOKUP(A1220,[8]PRIORIZADOS!$A:$H,8,FALSE)),"")</f>
        <v>Autoevaluación Institucional y Pruebas SABER 11</v>
      </c>
      <c r="I1220" s="11" t="str">
        <f>IFERROR(IF(VLOOKUP(A1220,[8]PRIORIZADOS!$A:$I,9,FALSE)="","",VLOOKUP(A1220,[8]PRIORIZADOS!$A:$I,9,FALSE)),"")</f>
        <v>SEGUIMIENTO_Y_SUPERVISIÓN.</v>
      </c>
      <c r="J1220" s="11" t="str">
        <f>IFERROR(IF(VLOOKUP(A1220,[8]PRIORIZADOS!$A:$J,10,FALSE)="","",VLOOKUP(A1220,[8]PRIORIZADOS!$A:$J,10,FALSE)),"")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20" s="11" t="str">
        <f>IFERROR(IF(VLOOKUP(A1220,[8]PRIORIZADOS!$A:$K,11,FALSE)="","",VLOOKUP(A1220,[8]PRIORIZADOS!$A:$K,11,FALSE)),"")</f>
        <v>INGRID VIVIANA DÁVILA ÁVILA</v>
      </c>
      <c r="L1220" s="11" t="str">
        <f>IFERROR(IF(VLOOKUP(A1220,[8]PRIORIZADOS!$A:$L,12,FALSE)="","",VLOOKUP(A1220,[8]PRIORIZADOS!$A:$L,12,FALSE)),"")</f>
        <v xml:space="preserve">DIANA ZULAY HUERTAS ORTÍZ </v>
      </c>
      <c r="M1220" s="71">
        <f>IFERROR(IF(VLOOKUP(A1220,[8]PRIORIZADOS!$A:$M,13,FALSE)="","",VLOOKUP(A1220,[8]PRIORIZADOS!$A:$M,13,FALSE)),"")</f>
        <v>45860</v>
      </c>
      <c r="N1220" s="71">
        <f>IFERROR(IF(VLOOKUP(A1220,[8]PRIORIZADOS!$A:$N,14,FALSE)="","",VLOOKUP(A1220,[8]PRIORIZADOS!$A:$N,14,FALSE)),"")</f>
        <v>45860</v>
      </c>
      <c r="O1220" s="71">
        <f>IFERROR(IF(VLOOKUP(A1220,[8]PRIORIZADOS!$A:$O,15,FALSE)="","",VLOOKUP(A1220,[8]PRIORIZADOS!$A:$O,15,FALSE)),"")</f>
        <v>45860</v>
      </c>
      <c r="P1220" s="11" t="str">
        <f>IFERROR(IF(VLOOKUP(A1220,[8]PRIORIZADOS!$A:$P,16,FALSE)="","",VLOOKUP(A1220,[8]PRIORIZADOS!$A:$P,16,FALSE)),"")</f>
        <v>Visitas de evaluación con fines de mejoramiento</v>
      </c>
      <c r="Q1220" s="107" t="s">
        <v>241</v>
      </c>
      <c r="R1220" s="11" t="str">
        <f>IFERROR(IF(VLOOKUP(A1220,[8]PRIORIZADOS!$A:$R,18,FALSE)="","",VLOOKUP(A1220,[8]PRIORIZADOS!$A:$R,18,FALSE)),"")</f>
        <v>La institución cuenta con tres estudiantes  con discapacidad, los cuales cuentan con el Plan de Ajustes Razonables (PIAR).</v>
      </c>
      <c r="S1220" s="11" t="str">
        <f>IFERROR(IF(VLOOKUP(A1220,[8]PRIORIZADOS!$A:$S,19,FALSE)="","",VLOOKUP(A1220,[8]PRIORIZADOS!$A:$S,19,FALSE)),"")</f>
        <v>Desarrollar los PIAR en el aula de clase, permitiendo que la población con discapacidad sea atendida y tenga acceso al derecho de la Educación.</v>
      </c>
      <c r="T1220" s="70" t="str">
        <f>IFERROR(IF(VLOOKUP(A1220,[8]PRIORIZADOS!$A:$T,20,FALSE)="","",VLOOKUP(A1220,[8]PRIORIZADOS!$A:$T,20,FALSE)),"")</f>
        <v>No</v>
      </c>
      <c r="U1220" s="11" t="str">
        <f>IFERROR(IF(VLOOKUP(A1220,[8]PRIORIZADOS!$A:$U,21,FALSE)="","",VLOOKUP(A1220,[8]PRIORIZADOS!$A:$U,21,FALSE)),"")</f>
        <v>Verificar que la población con discapacidad, trastornos del aprendizaje y talentos excepcionales sea atendida en el marco del Decreto 1421 de 2017.</v>
      </c>
    </row>
    <row r="1221" spans="1:21" s="1" customFormat="1" ht="84">
      <c r="A1221" s="69">
        <f>IF([8]PRIORIZADOS!A201="","",[8]PRIORIZADOS!A201)</f>
        <v>1170</v>
      </c>
      <c r="B1221" s="70">
        <v>33</v>
      </c>
      <c r="C1221" s="11" t="str">
        <f>IFERROR(IF(VLOOKUP(A1221,[8]PRIORIZADOS!$A:$C,3,FALSE)="","",VLOOKUP(A1221,[8]PRIORIZADOS!$A:$C,3,FALSE)),"")</f>
        <v>KENNEDY</v>
      </c>
      <c r="D1221" s="11" t="str">
        <f>IFERROR(IF(VLOOKUP(A1221,[8]PRIORIZADOS!$A:$D,4,FALSE)="","",VLOOKUP(A1221,[8]PRIORIZADOS!$A:$D,4,FALSE)),"")</f>
        <v>PRIVADO</v>
      </c>
      <c r="E1221" s="11" t="str">
        <f>IFERROR(IF(VLOOKUP(A1221,[8]PRIORIZADOS!$A:$E,5,FALSE)="","",VLOOKUP(A1221,[8]PRIORIZADOS!$A:$E,5,FALSE)),"")</f>
        <v>EPBM</v>
      </c>
      <c r="F1221" s="11" t="str">
        <f>IFERROR(IF(VLOOKUP(A1221,[8]PRIORIZADOS!$A:$F,6,FALSE)="","",VLOOKUP(A1221,[8]PRIORIZADOS!$A:$F,6,FALSE)),"")</f>
        <v>INSTITUTO_SAN_RICARDO_PAMPURI</v>
      </c>
      <c r="G1221" s="11" t="str">
        <f>IFERROR(IF(VLOOKUP(A1221,[8]PRIORIZADOS!$A:$G,7,FALSE)="","",VLOOKUP(A1221,[8]PRIORIZADOS!$A:$G,7,FALSE)),"")</f>
        <v>INSTITUTO SAN RICARDO PAMPURI</v>
      </c>
      <c r="H1221" s="11" t="str">
        <f>IFERROR(IF(VLOOKUP(A1221,[8]PRIORIZADOS!$A:$H,8,FALSE)="","",VLOOKUP(A1221,[8]PRIORIZADOS!$A:$H,8,FALSE)),"")</f>
        <v>Autoevaluación Institucional y Pruebas SABER 11</v>
      </c>
      <c r="I1221" s="11" t="str">
        <f>IFERROR(IF(VLOOKUP(A1221,[8]PRIORIZADOS!$A:$I,9,FALSE)="","",VLOOKUP(A1221,[8]PRIORIZADOS!$A:$I,9,FALSE)),"")</f>
        <v>EVALUACIÓN_CON_FINES_DE_MEJORAMIENTO.</v>
      </c>
      <c r="J1221" s="11" t="str">
        <f>IFERROR(IF(VLOOKUP(A1221,[8]PRIORIZADOS!$A:$J,10,FALSE)="","",VLOOKUP(A1221,[8]PRIORIZADOS!$A:$J,10,FALSE)),"")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21" s="11" t="str">
        <f>IFERROR(IF(VLOOKUP(A1221,[8]PRIORIZADOS!$A:$K,11,FALSE)="","",VLOOKUP(A1221,[8]PRIORIZADOS!$A:$K,11,FALSE)),"")</f>
        <v>INGRID VIVIANA DÁVILA ÁVILA</v>
      </c>
      <c r="L1221" s="11" t="str">
        <f>IFERROR(IF(VLOOKUP(A1221,[8]PRIORIZADOS!$A:$L,12,FALSE)="","",VLOOKUP(A1221,[8]PRIORIZADOS!$A:$L,12,FALSE)),"")</f>
        <v xml:space="preserve">DIANA ZULAY HUERTAS ORTÍZ </v>
      </c>
      <c r="M1221" s="71">
        <f>IFERROR(IF(VLOOKUP(A1221,[8]PRIORIZADOS!$A:$M,13,FALSE)="","",VLOOKUP(A1221,[8]PRIORIZADOS!$A:$M,13,FALSE)),"")</f>
        <v>45860</v>
      </c>
      <c r="N1221" s="71">
        <f>IFERROR(IF(VLOOKUP(A1221,[8]PRIORIZADOS!$A:$N,14,FALSE)="","",VLOOKUP(A1221,[8]PRIORIZADOS!$A:$N,14,FALSE)),"")</f>
        <v>45860</v>
      </c>
      <c r="O1221" s="71">
        <f>IFERROR(IF(VLOOKUP(A1221,[8]PRIORIZADOS!$A:$O,15,FALSE)="","",VLOOKUP(A1221,[8]PRIORIZADOS!$A:$O,15,FALSE)),"")</f>
        <v>45860</v>
      </c>
      <c r="P1221" s="11" t="str">
        <f>IFERROR(IF(VLOOKUP(A1221,[8]PRIORIZADOS!$A:$P,16,FALSE)="","",VLOOKUP(A1221,[8]PRIORIZADOS!$A:$P,16,FALSE)),"")</f>
        <v>Visitas de evaluación con fines de mejoramiento</v>
      </c>
      <c r="Q1221" s="126" t="s">
        <v>241</v>
      </c>
      <c r="R1221" s="11" t="str">
        <f>IFERROR(IF(VLOOKUP(A1221,[8]PRIORIZADOS!$A:$R,18,FALSE)="","",VLOOKUP(A1221,[8]PRIORIZADOS!$A:$R,18,FALSE)),"")</f>
        <v xml:space="preserve">La institución no cuenta con una diferenciación de faltas y situaciones , que ocasiona que no se realice un adecuado abordaje en la atención de cada una. </v>
      </c>
      <c r="S1221" s="11" t="str">
        <f>IFERROR(IF(VLOOKUP(A1221,[8]PRIORIZADOS!$A:$S,19,FALSE)="","",VLOOKUP(A1221,[8]PRIORIZADOS!$A:$S,19,FALSE)),"")</f>
        <v>Actualizar el manual de Convivencia, diferenciando faltas y situaciones, de la misma manera revisar el debido proceso y los protocolos de atención.</v>
      </c>
      <c r="T1221" s="70" t="str">
        <f>IFERROR(IF(VLOOKUP(A1221,[8]PRIORIZADOS!$A:$T,20,FALSE)="","",VLOOKUP(A1221,[8]PRIORIZADOS!$A:$T,20,FALSE)),"")</f>
        <v>Si</v>
      </c>
      <c r="U1221" s="11" t="str">
        <f>IFERROR(IF(VLOOKUP(A1221,[8]PRIORIZADOS!$A:$U,21,FALSE)="","",VLOOKUP(A1221,[8]PRIORIZADOS!$A:$U,21,FALSE)),"")</f>
        <v>Verificar la actualización del manual de convivencia teniendo en cuenta la normatividad vigente.  Se realiza mesa de seguimiento el día 25 de septiembre 2025</v>
      </c>
    </row>
    <row r="1222" spans="1:21" s="1" customFormat="1" ht="48">
      <c r="A1222" s="69">
        <f>IF([8]PRIORIZADOS!A202="","",[8]PRIORIZADOS!A202)</f>
        <v>1171</v>
      </c>
      <c r="B1222" s="70">
        <v>33</v>
      </c>
      <c r="C1222" s="11" t="str">
        <f>IFERROR(IF(VLOOKUP(A1222,[8]PRIORIZADOS!$A:$C,3,FALSE)="","",VLOOKUP(A1222,[8]PRIORIZADOS!$A:$C,3,FALSE)),"")</f>
        <v>KENNEDY</v>
      </c>
      <c r="D1222" s="11" t="str">
        <f>IFERROR(IF(VLOOKUP(A1222,[8]PRIORIZADOS!$A:$D,4,FALSE)="","",VLOOKUP(A1222,[8]PRIORIZADOS!$A:$D,4,FALSE)),"")</f>
        <v>PRIVADO</v>
      </c>
      <c r="E1222" s="11" t="str">
        <f>IFERROR(IF(VLOOKUP(A1222,[8]PRIORIZADOS!$A:$E,5,FALSE)="","",VLOOKUP(A1222,[8]PRIORIZADOS!$A:$E,5,FALSE)),"")</f>
        <v>EPBM</v>
      </c>
      <c r="F1222" s="11" t="str">
        <f>IFERROR(IF(VLOOKUP(A1222,[8]PRIORIZADOS!$A:$F,6,FALSE)="","",VLOOKUP(A1222,[8]PRIORIZADOS!$A:$F,6,FALSE)),"")</f>
        <v>INSTITUTO_SAN_RICARDO_PAMPURI</v>
      </c>
      <c r="G1222" s="11" t="str">
        <f>IFERROR(IF(VLOOKUP(A1222,[8]PRIORIZADOS!$A:$G,7,FALSE)="","",VLOOKUP(A1222,[8]PRIORIZADOS!$A:$G,7,FALSE)),"")</f>
        <v>INSTITUTO SAN RICARDO PAMPURI</v>
      </c>
      <c r="H1222" s="11" t="str">
        <f>IFERROR(IF(VLOOKUP(A1222,[8]PRIORIZADOS!$A:$H,8,FALSE)="","",VLOOKUP(A1222,[8]PRIORIZADOS!$A:$H,8,FALSE)),"")</f>
        <v>Autoevaluación Institucional y Pruebas SABER 11</v>
      </c>
      <c r="I1222" s="11" t="str">
        <f>IFERROR(IF(VLOOKUP(A1222,[8]PRIORIZADOS!$A:$I,9,FALSE)="","",VLOOKUP(A1222,[8]PRIORIZADOS!$A:$I,9,FALSE)),"")</f>
        <v>EVALUACIÓN_CON_FINES_DE_MEJORAMIENTO.</v>
      </c>
      <c r="J1222" s="11" t="str">
        <f>IFERROR(IF(VLOOKUP(A1222,[8]PRIORIZADOS!$A:$J,10,FALSE)="","",VLOOKUP(A1222,[8]PRIORIZADOS!$A:$J,10,FALSE)),"")</f>
        <v>Revisar la actualización, socialización e implementación del Sistema Institucional de Evaluación de Estudiantes - SIEE, en articulación con la actualización del PEI y la normatividad vigente.</v>
      </c>
      <c r="K1222" s="11" t="str">
        <f>IFERROR(IF(VLOOKUP(A1222,[8]PRIORIZADOS!$A:$K,11,FALSE)="","",VLOOKUP(A1222,[8]PRIORIZADOS!$A:$K,11,FALSE)),"")</f>
        <v>INGRID VIVIANA DÁVILA ÁVILA</v>
      </c>
      <c r="L1222" s="11" t="str">
        <f>IFERROR(IF(VLOOKUP(A1222,[8]PRIORIZADOS!$A:$L,12,FALSE)="","",VLOOKUP(A1222,[8]PRIORIZADOS!$A:$L,12,FALSE)),"")</f>
        <v xml:space="preserve">DIANA ZULAY HUERTAS ORTÍZ </v>
      </c>
      <c r="M1222" s="71">
        <f>IFERROR(IF(VLOOKUP(A1222,[8]PRIORIZADOS!$A:$M,13,FALSE)="","",VLOOKUP(A1222,[8]PRIORIZADOS!$A:$M,13,FALSE)),"")</f>
        <v>45860</v>
      </c>
      <c r="N1222" s="71">
        <f>IFERROR(IF(VLOOKUP(A1222,[8]PRIORIZADOS!$A:$N,14,FALSE)="","",VLOOKUP(A1222,[8]PRIORIZADOS!$A:$N,14,FALSE)),"")</f>
        <v>45860</v>
      </c>
      <c r="O1222" s="71">
        <f>IFERROR(IF(VLOOKUP(A1222,[8]PRIORIZADOS!$A:$O,15,FALSE)="","",VLOOKUP(A1222,[8]PRIORIZADOS!$A:$O,15,FALSE)),"")</f>
        <v>45860</v>
      </c>
      <c r="P1222" s="11" t="str">
        <f>IFERROR(IF(VLOOKUP(A1222,[8]PRIORIZADOS!$A:$P,16,FALSE)="","",VLOOKUP(A1222,[8]PRIORIZADOS!$A:$P,16,FALSE)),"")</f>
        <v>Visitas de evaluación con fines de mejoramiento</v>
      </c>
      <c r="Q1222" s="107" t="s">
        <v>241</v>
      </c>
      <c r="R1222" s="11" t="str">
        <f>IFERROR(IF(VLOOKUP(A1222,[8]PRIORIZADOS!$A:$R,18,FALSE)="","",VLOOKUP(A1222,[8]PRIORIZADOS!$A:$R,18,FALSE)),"")</f>
        <v>La institución socializa e implementa el Sistema Institucional de Evaluación de Estudiantes- SIEE.</v>
      </c>
      <c r="S1222" s="11" t="str">
        <f>IFERROR(IF(VLOOKUP(A1222,[8]PRIORIZADOS!$A:$S,19,FALSE)="","",VLOOKUP(A1222,[8]PRIORIZADOS!$A:$S,19,FALSE)),"")</f>
        <v>Continuar implementando el Sistema Institucional de Evaluación de Estudiantes- SIEE, y socializando con la comunidad educativa.</v>
      </c>
      <c r="T1222" s="70" t="str">
        <f>IFERROR(IF(VLOOKUP(A1222,[8]PRIORIZADOS!$A:$T,20,FALSE)="","",VLOOKUP(A1222,[8]PRIORIZADOS!$A:$T,20,FALSE)),"")</f>
        <v>NO</v>
      </c>
      <c r="U1222" s="11" t="str">
        <f>IFERROR(IF(VLOOKUP(A1222,[8]PRIORIZADOS!$A:$U,21,FALSE)="","",VLOOKUP(A1222,[8]PRIORIZADOS!$A:$U,21,FALSE)),"")</f>
        <v>Verificar en la próxima vigencia el registro de la información y la implementación del el Sistema Institucional de Evaluación de Estudiantes- SIEE.</v>
      </c>
    </row>
    <row r="1223" spans="1:21" s="1" customFormat="1" ht="48">
      <c r="A1223" s="69">
        <f>IF([8]PRIORIZADOS!A203="","",[8]PRIORIZADOS!A203)</f>
        <v>1172</v>
      </c>
      <c r="B1223" s="70">
        <v>33</v>
      </c>
      <c r="C1223" s="11" t="str">
        <f>IFERROR(IF(VLOOKUP(A1223,[8]PRIORIZADOS!$A:$C,3,FALSE)="","",VLOOKUP(A1223,[8]PRIORIZADOS!$A:$C,3,FALSE)),"")</f>
        <v>KENNEDY</v>
      </c>
      <c r="D1223" s="11" t="str">
        <f>IFERROR(IF(VLOOKUP(A1223,[8]PRIORIZADOS!$A:$D,4,FALSE)="","",VLOOKUP(A1223,[8]PRIORIZADOS!$A:$D,4,FALSE)),"")</f>
        <v>PRIVADO</v>
      </c>
      <c r="E1223" s="11" t="str">
        <f>IFERROR(IF(VLOOKUP(A1223,[8]PRIORIZADOS!$A:$E,5,FALSE)="","",VLOOKUP(A1223,[8]PRIORIZADOS!$A:$E,5,FALSE)),"")</f>
        <v>EPBM</v>
      </c>
      <c r="F1223" s="11" t="str">
        <f>IFERROR(IF(VLOOKUP(A1223,[8]PRIORIZADOS!$A:$F,6,FALSE)="","",VLOOKUP(A1223,[8]PRIORIZADOS!$A:$F,6,FALSE)),"")</f>
        <v>INSTITUTO_SAN_RICARDO_PAMPURI</v>
      </c>
      <c r="G1223" s="11" t="str">
        <f>IFERROR(IF(VLOOKUP(A1223,[8]PRIORIZADOS!$A:$G,7,FALSE)="","",VLOOKUP(A1223,[8]PRIORIZADOS!$A:$G,7,FALSE)),"")</f>
        <v>INSTITUTO SAN RICARDO PAMPURI</v>
      </c>
      <c r="H1223" s="11" t="str">
        <f>IFERROR(IF(VLOOKUP(A1223,[8]PRIORIZADOS!$A:$H,8,FALSE)="","",VLOOKUP(A1223,[8]PRIORIZADOS!$A:$H,8,FALSE)),"")</f>
        <v>Autoevaluación Institucional y Pruebas SABER 11</v>
      </c>
      <c r="I1223" s="11" t="str">
        <f>IFERROR(IF(VLOOKUP(A1223,[8]PRIORIZADOS!$A:$I,9,FALSE)="","",VLOOKUP(A1223,[8]PRIORIZADOS!$A:$I,9,FALSE)),"")</f>
        <v>EVALUACIÓN_CON_FINES_DE_MEJORAMIENTO.</v>
      </c>
      <c r="J1223" s="11" t="str">
        <f>IFERROR(IF(VLOOKUP(A1223,[8]PRIORIZADOS!$A:$J,10,FALSE)="","",VLOOKUP(A1223,[8]PRIORIZADOS!$A:$J,10,FALSE)),"")</f>
        <v>Revisar el calendario escolar, jornada escolar, la intensidad horaria mínima anual en cada nivel y las modificaciones que se realicen al mismo, de acuerdo con lo previsto en la normatividad vigente.</v>
      </c>
      <c r="K1223" s="11" t="str">
        <f>IFERROR(IF(VLOOKUP(A1223,[8]PRIORIZADOS!$A:$K,11,FALSE)="","",VLOOKUP(A1223,[8]PRIORIZADOS!$A:$K,11,FALSE)),"")</f>
        <v>INGRID VIVIANA DÁVILA ÁVILA</v>
      </c>
      <c r="L1223" s="11" t="str">
        <f>IFERROR(IF(VLOOKUP(A1223,[8]PRIORIZADOS!$A:$L,12,FALSE)="","",VLOOKUP(A1223,[8]PRIORIZADOS!$A:$L,12,FALSE)),"")</f>
        <v xml:space="preserve">DIANA ZULAY HUERTAS ORTÍZ </v>
      </c>
      <c r="M1223" s="71">
        <f>IFERROR(IF(VLOOKUP(A1223,[8]PRIORIZADOS!$A:$M,13,FALSE)="","",VLOOKUP(A1223,[8]PRIORIZADOS!$A:$M,13,FALSE)),"")</f>
        <v>45860</v>
      </c>
      <c r="N1223" s="71">
        <f>IFERROR(IF(VLOOKUP(A1223,[8]PRIORIZADOS!$A:$N,14,FALSE)="","",VLOOKUP(A1223,[8]PRIORIZADOS!$A:$N,14,FALSE)),"")</f>
        <v>45860</v>
      </c>
      <c r="O1223" s="71">
        <f>IFERROR(IF(VLOOKUP(A1223,[8]PRIORIZADOS!$A:$O,15,FALSE)="","",VLOOKUP(A1223,[8]PRIORIZADOS!$A:$O,15,FALSE)),"")</f>
        <v>45860</v>
      </c>
      <c r="P1223" s="11" t="str">
        <f>IFERROR(IF(VLOOKUP(A1223,[8]PRIORIZADOS!$A:$P,16,FALSE)="","",VLOOKUP(A1223,[8]PRIORIZADOS!$A:$P,16,FALSE)),"")</f>
        <v>Visitas de evaluación con fines de mejoramiento</v>
      </c>
      <c r="Q1223" s="107" t="s">
        <v>241</v>
      </c>
      <c r="R1223" s="11" t="str">
        <f>IFERROR(IF(VLOOKUP(A1223,[8]PRIORIZADOS!$A:$R,18,FALSE)="","",VLOOKUP(A1223,[8]PRIORIZADOS!$A:$R,18,FALSE)),"")</f>
        <v>Se evidenció que EE, cumple con la intensidad mínima anual en cada nivel, de acuerdo a lo previsto en la normatividad vigente.</v>
      </c>
      <c r="S1223" s="11" t="str">
        <f>IFERROR(IF(VLOOKUP(A1223,[8]PRIORIZADOS!$A:$S,19,FALSE)="","",VLOOKUP(A1223,[8]PRIORIZADOS!$A:$S,19,FALSE)),"")</f>
        <v xml:space="preserve">Continuar cumpliendo con la normatividad vigente, sobre la intensidad horaria mínima anual. </v>
      </c>
      <c r="T1223" s="70" t="str">
        <f>IFERROR(IF(VLOOKUP(A1223,[8]PRIORIZADOS!$A:$T,20,FALSE)="","",VLOOKUP(A1223,[8]PRIORIZADOS!$A:$T,20,FALSE)),"")</f>
        <v>No</v>
      </c>
      <c r="U1223" s="11" t="str">
        <f>IFERROR(IF(VLOOKUP(A1223,[8]PRIORIZADOS!$A:$U,21,FALSE)="","",VLOOKUP(A1223,[8]PRIORIZADOS!$A:$U,21,FALSE)),"")</f>
        <v xml:space="preserve">El ELIV, verificará el cumplimiento del calendario escolar. </v>
      </c>
    </row>
    <row r="1224" spans="1:21" s="1" customFormat="1" ht="72">
      <c r="A1224" s="69">
        <f>IF([8]PRIORIZADOS!A204="","",[8]PRIORIZADOS!A204)</f>
        <v>1173</v>
      </c>
      <c r="B1224" s="70">
        <v>33</v>
      </c>
      <c r="C1224" s="11" t="str">
        <f>IFERROR(IF(VLOOKUP(A1224,[8]PRIORIZADOS!$A:$C,3,FALSE)="","",VLOOKUP(A1224,[8]PRIORIZADOS!$A:$C,3,FALSE)),"")</f>
        <v>KENNEDY</v>
      </c>
      <c r="D1224" s="11" t="str">
        <f>IFERROR(IF(VLOOKUP(A1224,[8]PRIORIZADOS!$A:$D,4,FALSE)="","",VLOOKUP(A1224,[8]PRIORIZADOS!$A:$D,4,FALSE)),"")</f>
        <v>PRIVADO</v>
      </c>
      <c r="E1224" s="11" t="str">
        <f>IFERROR(IF(VLOOKUP(A1224,[8]PRIORIZADOS!$A:$E,5,FALSE)="","",VLOOKUP(A1224,[8]PRIORIZADOS!$A:$E,5,FALSE)),"")</f>
        <v>EPBM</v>
      </c>
      <c r="F1224" s="11" t="str">
        <f>IFERROR(IF(VLOOKUP(A1224,[8]PRIORIZADOS!$A:$F,6,FALSE)="","",VLOOKUP(A1224,[8]PRIORIZADOS!$A:$F,6,FALSE)),"")</f>
        <v>INSTITUTO_SAN_RICARDO_PAMPURI</v>
      </c>
      <c r="G1224" s="11" t="str">
        <f>IFERROR(IF(VLOOKUP(A1224,[8]PRIORIZADOS!$A:$G,7,FALSE)="","",VLOOKUP(A1224,[8]PRIORIZADOS!$A:$G,7,FALSE)),"")</f>
        <v>INSTITUTO SAN RICARDO PAMPURI</v>
      </c>
      <c r="H1224" s="11" t="str">
        <f>IFERROR(IF(VLOOKUP(A1224,[8]PRIORIZADOS!$A:$H,8,FALSE)="","",VLOOKUP(A1224,[8]PRIORIZADOS!$A:$H,8,FALSE)),"")</f>
        <v>Autoevaluación Institucional y Pruebas SABER 11</v>
      </c>
      <c r="I1224" s="11" t="str">
        <f>IFERROR(IF(VLOOKUP(A1224,[8]PRIORIZADOS!$A:$I,9,FALSE)="","",VLOOKUP(A1224,[8]PRIORIZADOS!$A:$I,9,FALSE)),"")</f>
        <v>EVALUACIÓN_CON_FINES_DE_MEJORAMIENTO.</v>
      </c>
      <c r="J1224" s="11" t="str">
        <f>IFERROR(IF(VLOOKUP(A1224,[8]PRIORIZADOS!$A:$J,10,FALSE)="","",VLOOKUP(A1224,[8]PRIORIZADOS!$A:$J,10,FALSE)),"")</f>
        <v>Verificar el funcionamiento del Gobierno Escolar e instancias de participación con base en la información sobre conformación reportada por la institución educativa.</v>
      </c>
      <c r="K1224" s="11" t="str">
        <f>IFERROR(IF(VLOOKUP(A1224,[8]PRIORIZADOS!$A:$K,11,FALSE)="","",VLOOKUP(A1224,[8]PRIORIZADOS!$A:$K,11,FALSE)),"")</f>
        <v>INGRID VIVIANA DÁVILA ÁVILA</v>
      </c>
      <c r="L1224" s="11" t="str">
        <f>IFERROR(IF(VLOOKUP(A1224,[8]PRIORIZADOS!$A:$L,12,FALSE)="","",VLOOKUP(A1224,[8]PRIORIZADOS!$A:$L,12,FALSE)),"")</f>
        <v xml:space="preserve">DIANA ZULAY HUERTAS ORTÍZ </v>
      </c>
      <c r="M1224" s="71">
        <f>IFERROR(IF(VLOOKUP(A1224,[8]PRIORIZADOS!$A:$M,13,FALSE)="","",VLOOKUP(A1224,[8]PRIORIZADOS!$A:$M,13,FALSE)),"")</f>
        <v>45860</v>
      </c>
      <c r="N1224" s="71">
        <f>IFERROR(IF(VLOOKUP(A1224,[8]PRIORIZADOS!$A:$N,14,FALSE)="","",VLOOKUP(A1224,[8]PRIORIZADOS!$A:$N,14,FALSE)),"")</f>
        <v>45860</v>
      </c>
      <c r="O1224" s="71">
        <f>IFERROR(IF(VLOOKUP(A1224,[8]PRIORIZADOS!$A:$O,15,FALSE)="","",VLOOKUP(A1224,[8]PRIORIZADOS!$A:$O,15,FALSE)),"")</f>
        <v>45860</v>
      </c>
      <c r="P1224" s="11" t="str">
        <f>IFERROR(IF(VLOOKUP(A1224,[8]PRIORIZADOS!$A:$P,16,FALSE)="","",VLOOKUP(A1224,[8]PRIORIZADOS!$A:$P,16,FALSE)),"")</f>
        <v>Visitas de evaluación con fines de mejoramiento</v>
      </c>
      <c r="Q1224" s="107" t="s">
        <v>241</v>
      </c>
      <c r="R1224" s="11" t="str">
        <f>IFERROR(IF(VLOOKUP(A1224,[8]PRIORIZADOS!$A:$R,18,FALSE)="","",VLOOKUP(A1224,[8]PRIORIZADOS!$A:$R,18,FALSE)),"")</f>
        <v>La EE cumple con la conformación y funcionamiento del gobierno escolar y las instancias de participación.</v>
      </c>
      <c r="S1224" s="11" t="str">
        <f>IFERROR(IF(VLOOKUP(A1224,[8]PRIORIZADOS!$A:$S,19,FALSE)="","",VLOOKUP(A1224,[8]PRIORIZADOS!$A:$S,19,FALSE)),"")</f>
        <v>La EE, debe seguir cumpliendo con la  conformación y funcionamiento del gobierno escolar y las instancias de participación.  Debe reunir el consejo directivo de acuerdo a la normatividad vigente.</v>
      </c>
      <c r="T1224" s="70" t="str">
        <f>IFERROR(IF(VLOOKUP(A1224,[8]PRIORIZADOS!$A:$T,20,FALSE)="","",VLOOKUP(A1224,[8]PRIORIZADOS!$A:$T,20,FALSE)),"")</f>
        <v>Si</v>
      </c>
      <c r="U1224" s="11" t="str">
        <f>IFERROR(IF(VLOOKUP(A1224,[8]PRIORIZADOS!$A:$U,21,FALSE)="","",VLOOKUP(A1224,[8]PRIORIZADOS!$A:$U,21,FALSE)),"")</f>
        <v>El ELIV verificará la operatividad del gobierno escolar.  Se realiza mesa de seguimiento el día 25 de septiembre 2025</v>
      </c>
    </row>
    <row r="1225" spans="1:21" s="1" customFormat="1" ht="48">
      <c r="A1225" s="69">
        <f>IF([8]PRIORIZADOS!A205="","",[8]PRIORIZADOS!A205)</f>
        <v>2790</v>
      </c>
      <c r="B1225" s="70">
        <v>33</v>
      </c>
      <c r="C1225" s="11" t="str">
        <f>IFERROR(IF(VLOOKUP(A1225,[8]PRIORIZADOS!$A:$C,3,FALSE)="","",VLOOKUP(A1225,[8]PRIORIZADOS!$A:$C,3,FALSE)),"")</f>
        <v>KENNEDY</v>
      </c>
      <c r="D1225" s="11" t="str">
        <f>IFERROR(IF(VLOOKUP(A1225,[8]PRIORIZADOS!$A:$D,4,FALSE)="","",VLOOKUP(A1225,[8]PRIORIZADOS!$A:$D,4,FALSE)),"")</f>
        <v>PRIVADO</v>
      </c>
      <c r="E1225" s="11" t="str">
        <f>IFERROR(IF(VLOOKUP(A1225,[8]PRIORIZADOS!$A:$E,5,FALSE)="","",VLOOKUP(A1225,[8]PRIORIZADOS!$A:$E,5,FALSE)),"")</f>
        <v>EPBM</v>
      </c>
      <c r="F1225" s="11" t="str">
        <f>IFERROR(IF(VLOOKUP(A1225,[8]PRIORIZADOS!$A:$F,6,FALSE)="","",VLOOKUP(A1225,[8]PRIORIZADOS!$A:$F,6,FALSE)),"")</f>
        <v>INSTITUTO_SAN_RICARDO_PAMPURI</v>
      </c>
      <c r="G1225" s="11" t="str">
        <f>IFERROR(IF(VLOOKUP(A1225,[8]PRIORIZADOS!$A:$G,7,FALSE)="","",VLOOKUP(A1225,[8]PRIORIZADOS!$A:$G,7,FALSE)),"")</f>
        <v>INSTITUTO SAN RICARDO PAMPURI</v>
      </c>
      <c r="H1225" s="11" t="str">
        <f>IFERROR(IF(VLOOKUP(A1225,[8]PRIORIZADOS!$A:$H,8,FALSE)="","",VLOOKUP(A1225,[8]PRIORIZADOS!$A:$H,8,FALSE)),"")</f>
        <v>Autoevaluación Institucional y Pruebas SABER 11</v>
      </c>
      <c r="I1225" s="11" t="str">
        <f>IFERROR(IF(VLOOKUP(A1225,[8]PRIORIZADOS!$A:$I,9,FALSE)="","",VLOOKUP(A1225,[8]PRIORIZADOS!$A:$I,9,FALSE)),"")</f>
        <v>EVALUACIÓN_CON_FINES_DE_MEJORAMIENTO.</v>
      </c>
      <c r="J1225" s="11" t="str">
        <f>IFERROR(IF(VLOOKUP(A1225,[8]PRIORIZADOS!$A:$J,10,FALSE)="","",VLOOKUP(A1225,[8]PRIORIZADOS!$A:$J,10,FALSE)),"")</f>
        <v>Verificar las condiciones en cuanto a: la estructura administrativa, condiciones de la planta física y medios educativos adecuados.</v>
      </c>
      <c r="K1225" s="11" t="str">
        <f>IFERROR(IF(VLOOKUP(A1225,[8]PRIORIZADOS!$A:$K,11,FALSE)="","",VLOOKUP(A1225,[8]PRIORIZADOS!$A:$K,11,FALSE)),"")</f>
        <v>INGRID VIVIANA DÁVILA ÁVILA</v>
      </c>
      <c r="L1225" s="11" t="str">
        <f>IFERROR(IF(VLOOKUP(A1225,[8]PRIORIZADOS!$A:$L,12,FALSE)="","",VLOOKUP(A1225,[8]PRIORIZADOS!$A:$L,12,FALSE)),"")</f>
        <v xml:space="preserve">DIANA ZULAY HUERTAS ORTÍZ </v>
      </c>
      <c r="M1225" s="71">
        <f>IFERROR(IF(VLOOKUP(A1225,[8]PRIORIZADOS!$A:$M,13,FALSE)="","",VLOOKUP(A1225,[8]PRIORIZADOS!$A:$M,13,FALSE)),"")</f>
        <v>45860</v>
      </c>
      <c r="N1225" s="71">
        <f>IFERROR(IF(VLOOKUP(A1225,[8]PRIORIZADOS!$A:$N,14,FALSE)="","",VLOOKUP(A1225,[8]PRIORIZADOS!$A:$N,14,FALSE)),"")</f>
        <v>45860</v>
      </c>
      <c r="O1225" s="71">
        <f>IFERROR(IF(VLOOKUP(A1225,[8]PRIORIZADOS!$A:$O,15,FALSE)="","",VLOOKUP(A1225,[8]PRIORIZADOS!$A:$O,15,FALSE)),"")</f>
        <v>45860</v>
      </c>
      <c r="P1225" s="11" t="str">
        <f>IFERROR(IF(VLOOKUP(A1225,[8]PRIORIZADOS!$A:$P,16,FALSE)="","",VLOOKUP(A1225,[8]PRIORIZADOS!$A:$P,16,FALSE)),"")</f>
        <v>Visitas de evaluación con fines de mejoramiento</v>
      </c>
      <c r="Q1225" s="107" t="s">
        <v>241</v>
      </c>
      <c r="R1225" s="11" t="str">
        <f>IFERROR(IF(VLOOKUP(A1225,[8]PRIORIZADOS!$A:$R,18,FALSE)="","",VLOOKUP(A1225,[8]PRIORIZADOS!$A:$R,18,FALSE)),"")</f>
        <v>La IE cumple con las condiciones de estructura administrativa, condiciones de la planta física y medios educativos adecuados.</v>
      </c>
      <c r="S1225" s="11" t="str">
        <f>IFERROR(IF(VLOOKUP(A1225,[8]PRIORIZADOS!$A:$S,19,FALSE)="","",VLOOKUP(A1225,[8]PRIORIZADOS!$A:$S,19,FALSE)),"")</f>
        <v xml:space="preserve">La EE debe mantener las condiciones de prestación del servicio, en cuanto estructura administrativa, planta física y medios educativos. </v>
      </c>
      <c r="T1225" s="70" t="str">
        <f>IFERROR(IF(VLOOKUP(A1225,[8]PRIORIZADOS!$A:$T,20,FALSE)="","",VLOOKUP(A1225,[8]PRIORIZADOS!$A:$T,20,FALSE)),"")</f>
        <v>No</v>
      </c>
      <c r="U1225" s="11" t="str">
        <f>IFERROR(IF(VLOOKUP(A1225,[8]PRIORIZADOS!$A:$U,21,FALSE)="","",VLOOKUP(A1225,[8]PRIORIZADOS!$A:$U,21,FALSE)),"")</f>
        <v xml:space="preserve">El ELIV verificará que se mantengan las condiciones de prestación del servicio. </v>
      </c>
    </row>
    <row r="1226" spans="1:21" s="1" customFormat="1" ht="36">
      <c r="A1226" s="69">
        <f>IF([8]PRIORIZADOS!A206="","",[8]PRIORIZADOS!A206)</f>
        <v>1174</v>
      </c>
      <c r="B1226" s="70">
        <v>34</v>
      </c>
      <c r="C1226" s="11" t="str">
        <f>IFERROR(IF(VLOOKUP(A1226,[8]PRIORIZADOS!$A:$C,3,FALSE)="","",VLOOKUP(A1226,[8]PRIORIZADOS!$A:$C,3,FALSE)),"")</f>
        <v>KENNEDY</v>
      </c>
      <c r="D1226" s="11" t="str">
        <f>IFERROR(IF(VLOOKUP(A1226,[8]PRIORIZADOS!$A:$D,4,FALSE)="","",VLOOKUP(A1226,[8]PRIORIZADOS!$A:$D,4,FALSE)),"")</f>
        <v>PRIVADO</v>
      </c>
      <c r="E1226" s="11" t="str">
        <f>IFERROR(IF(VLOOKUP(A1226,[8]PRIORIZADOS!$A:$E,5,FALSE)="","",VLOOKUP(A1226,[8]PRIORIZADOS!$A:$E,5,FALSE)),"")</f>
        <v>EPBM</v>
      </c>
      <c r="F1226" s="11" t="str">
        <f>IFERROR(IF(VLOOKUP(A1226,[8]PRIORIZADOS!$A:$F,6,FALSE)="","",VLOOKUP(A1226,[8]PRIORIZADOS!$A:$F,6,FALSE)),"")</f>
        <v>INSTITUTO_TENERIFE</v>
      </c>
      <c r="G1226" s="11" t="str">
        <f>IFERROR(IF(VLOOKUP(A1226,[8]PRIORIZADOS!$A:$G,7,FALSE)="","",VLOOKUP(A1226,[8]PRIORIZADOS!$A:$G,7,FALSE)),"")</f>
        <v>INSTITUTO TENERIFE</v>
      </c>
      <c r="H1226" s="11" t="str">
        <f>IFERROR(IF(VLOOKUP(A1226,[8]PRIORIZADOS!$A:$H,8,FALSE)="","",VLOOKUP(A1226,[8]PRIORIZADOS!$A:$H,8,FALSE)),"")</f>
        <v>Autoevaluación Institucional y Pruebas SABER 11</v>
      </c>
      <c r="I1226" s="11" t="str">
        <f>IFERROR(IF(VLOOKUP(A1226,[8]PRIORIZADOS!$A:$I,9,FALSE)="","",VLOOKUP(A1226,[8]PRIORIZADOS!$A:$I,9,FALSE)),"")</f>
        <v>SEGUIMIENTO_Y_SUPERVISIÓN.</v>
      </c>
      <c r="J1226" s="11" t="str">
        <f>IFERROR(IF(VLOOKUP(A1226,[8]PRIORIZADOS!$A:$J,10,FALSE)="","",VLOOKUP(A1226,[8]PRIORIZADOS!$A:$J,10,FALSE)),"")</f>
        <v>Realizar visitas para verificar la información registrada sobre la autoevaluación institucional en el aplicativo EVI, a los establecimientos de educación formal no oficial.</v>
      </c>
      <c r="K1226" s="11" t="str">
        <f>IFERROR(IF(VLOOKUP(A1226,[8]PRIORIZADOS!$A:$K,11,FALSE)="","",VLOOKUP(A1226,[8]PRIORIZADOS!$A:$K,11,FALSE)),"")</f>
        <v>ADRIANA VENEGAS VALERA</v>
      </c>
      <c r="L1226" s="11" t="str">
        <f>IFERROR(IF(VLOOKUP(A1226,[8]PRIORIZADOS!$A:$L,12,FALSE)="","",VLOOKUP(A1226,[8]PRIORIZADOS!$A:$L,12,FALSE)),"")</f>
        <v>VIVANA PILAR BOHÓRQUEZ DÍAZ</v>
      </c>
      <c r="M1226" s="71">
        <f>IFERROR(IF(VLOOKUP(A1226,[8]PRIORIZADOS!$A:$M,13,FALSE)="","",VLOOKUP(A1226,[8]PRIORIZADOS!$A:$M,13,FALSE)),"")</f>
        <v>45861</v>
      </c>
      <c r="N1226" s="71">
        <f>IFERROR(IF(VLOOKUP(A1226,[8]PRIORIZADOS!$A:$N,14,FALSE)="","",VLOOKUP(A1226,[8]PRIORIZADOS!$A:$N,14,FALSE)),"")</f>
        <v>45861</v>
      </c>
      <c r="O1226" s="71">
        <f>IFERROR(IF(VLOOKUP(A1226,[8]PRIORIZADOS!$A:$O,15,FALSE)="","",VLOOKUP(A1226,[8]PRIORIZADOS!$A:$O,15,FALSE)),"")</f>
        <v>45861</v>
      </c>
      <c r="P1226" s="11" t="str">
        <f>IFERROR(IF(VLOOKUP(A1226,[8]PRIORIZADOS!$A:$P,16,FALSE)="","",VLOOKUP(A1226,[8]PRIORIZADOS!$A:$P,16,FALSE)),"")</f>
        <v>Visitas de evaluación con fines de mejoramiento</v>
      </c>
      <c r="Q1226" s="107" t="s">
        <v>242</v>
      </c>
      <c r="R1226" s="11" t="str">
        <f>IFERROR(IF(VLOOKUP(A1226,[8]PRIORIZADOS!$A:$R,18,FALSE)="","",VLOOKUP(A1226,[8]PRIORIZADOS!$A:$R,18,FALSE)),"")</f>
        <v>La institución educativa registra en el aplicativo EVI la realidad institucional.</v>
      </c>
      <c r="S1226" s="11" t="str">
        <f>IFERROR(IF(VLOOKUP(A1226,[8]PRIORIZADOS!$A:$S,19,FALSE)="","",VLOOKUP(A1226,[8]PRIORIZADOS!$A:$S,19,FALSE)),"")</f>
        <v>Registrar la información en el aplicativo EVI en los tiempos en los que disponga el MEN.</v>
      </c>
      <c r="T1226" s="70" t="str">
        <f>IFERROR(IF(VLOOKUP(A1226,[8]PRIORIZADOS!$A:$T,20,FALSE)="","",VLOOKUP(A1226,[8]PRIORIZADOS!$A:$T,20,FALSE)),"")</f>
        <v>No</v>
      </c>
      <c r="U1226" s="11" t="str">
        <f>IFERROR(IF(VLOOKUP(A1226,[8]PRIORIZADOS!$A:$U,21,FALSE)="","",VLOOKUP(A1226,[8]PRIORIZADOS!$A:$U,21,FALSE)),"")</f>
        <v xml:space="preserve">El ELIV, verificará que la institución reporte la información que da cuenta de la realidad Institucional en el aplicativo EVI. </v>
      </c>
    </row>
    <row r="1227" spans="1:21" s="1" customFormat="1" ht="84">
      <c r="A1227" s="69">
        <f>IF([8]PRIORIZADOS!A207="","",[8]PRIORIZADOS!A207)</f>
        <v>1175</v>
      </c>
      <c r="B1227" s="70">
        <v>34</v>
      </c>
      <c r="C1227" s="11" t="str">
        <f>IFERROR(IF(VLOOKUP(A1227,[8]PRIORIZADOS!$A:$C,3,FALSE)="","",VLOOKUP(A1227,[8]PRIORIZADOS!$A:$C,3,FALSE)),"")</f>
        <v>KENNEDY</v>
      </c>
      <c r="D1227" s="11" t="str">
        <f>IFERROR(IF(VLOOKUP(A1227,[8]PRIORIZADOS!$A:$D,4,FALSE)="","",VLOOKUP(A1227,[8]PRIORIZADOS!$A:$D,4,FALSE)),"")</f>
        <v>PRIVADO</v>
      </c>
      <c r="E1227" s="11" t="str">
        <f>IFERROR(IF(VLOOKUP(A1227,[8]PRIORIZADOS!$A:$E,5,FALSE)="","",VLOOKUP(A1227,[8]PRIORIZADOS!$A:$E,5,FALSE)),"")</f>
        <v>EPBM</v>
      </c>
      <c r="F1227" s="11" t="str">
        <f>IFERROR(IF(VLOOKUP(A1227,[8]PRIORIZADOS!$A:$F,6,FALSE)="","",VLOOKUP(A1227,[8]PRIORIZADOS!$A:$F,6,FALSE)),"")</f>
        <v>INSTITUTO_TENERIFE</v>
      </c>
      <c r="G1227" s="11" t="str">
        <f>IFERROR(IF(VLOOKUP(A1227,[8]PRIORIZADOS!$A:$G,7,FALSE)="","",VLOOKUP(A1227,[8]PRIORIZADOS!$A:$G,7,FALSE)),"")</f>
        <v>INSTITUTO TENERIFE</v>
      </c>
      <c r="H1227" s="11" t="str">
        <f>IFERROR(IF(VLOOKUP(A1227,[8]PRIORIZADOS!$A:$H,8,FALSE)="","",VLOOKUP(A1227,[8]PRIORIZADOS!$A:$H,8,FALSE)),"")</f>
        <v>Autoevaluación Institucional y Pruebas SABER 11</v>
      </c>
      <c r="I1227" s="11" t="str">
        <f>IFERROR(IF(VLOOKUP(A1227,[8]PRIORIZADOS!$A:$I,9,FALSE)="","",VLOOKUP(A1227,[8]PRIORIZADOS!$A:$I,9,FALSE)),"")</f>
        <v>SEGUIMIENTO_Y_SUPERVISIÓN.</v>
      </c>
      <c r="J1227" s="11" t="str">
        <f>IFERROR(IF(VLOOKUP(A1227,[8]PRIORIZADOS!$A:$J,10,FALSE)="","",VLOOKUP(A1227,[8]PRIORIZADOS!$A:$J,10,FALSE)),"")</f>
        <v>Proponer estrategias en la formulación, verificar su elaboración y realizar seguimiento semestral al desarrollo de  las acciones establecidas en los planes de mejoramiento por pruebas SABER 11 de los establecimientos de educación formal.</v>
      </c>
      <c r="K1227" s="11" t="str">
        <f>IFERROR(IF(VLOOKUP(A1227,[8]PRIORIZADOS!$A:$K,11,FALSE)="","",VLOOKUP(A1227,[8]PRIORIZADOS!$A:$K,11,FALSE)),"")</f>
        <v>ADRIANA VENEGAS VALERA</v>
      </c>
      <c r="L1227" s="11" t="str">
        <f>IFERROR(IF(VLOOKUP(A1227,[8]PRIORIZADOS!$A:$L,12,FALSE)="","",VLOOKUP(A1227,[8]PRIORIZADOS!$A:$L,12,FALSE)),"")</f>
        <v>VIVANA PILAR BOHÓRQUEZ DÍAZ</v>
      </c>
      <c r="M1227" s="71">
        <f>IFERROR(IF(VLOOKUP(A1227,[8]PRIORIZADOS!$A:$M,13,FALSE)="","",VLOOKUP(A1227,[8]PRIORIZADOS!$A:$M,13,FALSE)),"")</f>
        <v>45861</v>
      </c>
      <c r="N1227" s="71">
        <f>IFERROR(IF(VLOOKUP(A1227,[8]PRIORIZADOS!$A:$N,14,FALSE)="","",VLOOKUP(A1227,[8]PRIORIZADOS!$A:$N,14,FALSE)),"")</f>
        <v>45861</v>
      </c>
      <c r="O1227" s="71">
        <f>IFERROR(IF(VLOOKUP(A1227,[8]PRIORIZADOS!$A:$O,15,FALSE)="","",VLOOKUP(A1227,[8]PRIORIZADOS!$A:$O,15,FALSE)),"")</f>
        <v>45861</v>
      </c>
      <c r="P1227" s="11" t="str">
        <f>IFERROR(IF(VLOOKUP(A1227,[8]PRIORIZADOS!$A:$P,16,FALSE)="","",VLOOKUP(A1227,[8]PRIORIZADOS!$A:$P,16,FALSE)),"")</f>
        <v>Visitas de evaluación con fines de mejoramiento</v>
      </c>
      <c r="Q1227" s="107" t="s">
        <v>242</v>
      </c>
      <c r="R1227" s="11" t="str">
        <f>IFERROR(IF(VLOOKUP(A1227,[8]PRIORIZADOS!$A:$R,18,FALSE)="","",VLOOKUP(A1227,[8]PRIORIZADOS!$A:$R,18,FALSE)),"")</f>
        <v>La IE tiene una contratación vigente con el Grupo Aurea, quienes realizaron el diagnóstico de las pruebas SABER 11, diseñan pruebas, las evalúan y retroalimentan el ejercicio. Sin embargo, estos documentos no incluyen a las y los estudiantes con discapacidad.</v>
      </c>
      <c r="S1227" s="11" t="str">
        <f>IFERROR(IF(VLOOKUP(A1227,[8]PRIORIZADOS!$A:$S,19,FALSE)="","",VLOOKUP(A1227,[8]PRIORIZADOS!$A:$S,19,FALSE)),"")</f>
        <v>Incluir en el plan de mejoramiento las y los estudiantes con discapacidad.</v>
      </c>
      <c r="T1227" s="70" t="str">
        <f>IFERROR(IF(VLOOKUP(A1227,[8]PRIORIZADOS!$A:$T,20,FALSE)="","",VLOOKUP(A1227,[8]PRIORIZADOS!$A:$T,20,FALSE)),"")</f>
        <v>Si</v>
      </c>
      <c r="U1227" s="11" t="str">
        <f>IFERROR(IF(VLOOKUP(A1227,[8]PRIORIZADOS!$A:$U,21,FALSE)="","",VLOOKUP(A1227,[8]PRIORIZADOS!$A:$U,21,FALSE)),"")</f>
        <v>Verificar el cumplimiento del plan de mejoramiento diseñado para atender los resultados de las pruebas SABER 11.Se realiza mesa de seguimiento el 14 de noviembre.</v>
      </c>
    </row>
    <row r="1228" spans="1:21" s="1" customFormat="1" ht="72">
      <c r="A1228" s="69">
        <f>IF([8]PRIORIZADOS!A208="","",[8]PRIORIZADOS!A208)</f>
        <v>1177</v>
      </c>
      <c r="B1228" s="70">
        <v>34</v>
      </c>
      <c r="C1228" s="11" t="str">
        <f>IFERROR(IF(VLOOKUP(A1228,[8]PRIORIZADOS!$A:$C,3,FALSE)="","",VLOOKUP(A1228,[8]PRIORIZADOS!$A:$C,3,FALSE)),"")</f>
        <v>KENNEDY</v>
      </c>
      <c r="D1228" s="11" t="str">
        <f>IFERROR(IF(VLOOKUP(A1228,[8]PRIORIZADOS!$A:$D,4,FALSE)="","",VLOOKUP(A1228,[8]PRIORIZADOS!$A:$D,4,FALSE)),"")</f>
        <v>PRIVADO</v>
      </c>
      <c r="E1228" s="11" t="str">
        <f>IFERROR(IF(VLOOKUP(A1228,[8]PRIORIZADOS!$A:$E,5,FALSE)="","",VLOOKUP(A1228,[8]PRIORIZADOS!$A:$E,5,FALSE)),"")</f>
        <v>EPBM</v>
      </c>
      <c r="F1228" s="11" t="str">
        <f>IFERROR(IF(VLOOKUP(A1228,[8]PRIORIZADOS!$A:$F,6,FALSE)="","",VLOOKUP(A1228,[8]PRIORIZADOS!$A:$F,6,FALSE)),"")</f>
        <v>INSTITUTO_TENERIFE</v>
      </c>
      <c r="G1228" s="11" t="str">
        <f>IFERROR(IF(VLOOKUP(A1228,[8]PRIORIZADOS!$A:$G,7,FALSE)="","",VLOOKUP(A1228,[8]PRIORIZADOS!$A:$G,7,FALSE)),"")</f>
        <v>INSTITUTO TENERIFE</v>
      </c>
      <c r="H1228" s="11" t="str">
        <f>IFERROR(IF(VLOOKUP(A1228,[8]PRIORIZADOS!$A:$H,8,FALSE)="","",VLOOKUP(A1228,[8]PRIORIZADOS!$A:$H,8,FALSE)),"")</f>
        <v>Autoevaluación Institucional y Pruebas SABER 11</v>
      </c>
      <c r="I1228" s="11" t="str">
        <f>IFERROR(IF(VLOOKUP(A1228,[8]PRIORIZADOS!$A:$I,9,FALSE)="","",VLOOKUP(A1228,[8]PRIORIZADOS!$A:$I,9,FALSE)),"")</f>
        <v>SEGUIMIENTO_Y_SUPERVISIÓN.</v>
      </c>
      <c r="J1228" s="11" t="str">
        <f>IFERROR(IF(VLOOKUP(A1228,[8]PRIORIZADOS!$A:$J,10,FALSE)="","",VLOOKUP(A1228,[8]PRIORIZADOS!$A:$J,10,FALSE)),"")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28" s="11" t="str">
        <f>IFERROR(IF(VLOOKUP(A1228,[8]PRIORIZADOS!$A:$K,11,FALSE)="","",VLOOKUP(A1228,[8]PRIORIZADOS!$A:$K,11,FALSE)),"")</f>
        <v>ADRIANA VENEGAS VALERA</v>
      </c>
      <c r="L1228" s="11" t="str">
        <f>IFERROR(IF(VLOOKUP(A1228,[8]PRIORIZADOS!$A:$L,12,FALSE)="","",VLOOKUP(A1228,[8]PRIORIZADOS!$A:$L,12,FALSE)),"")</f>
        <v>VIVANA PILAR BOHÓRQUEZ DÍAZ</v>
      </c>
      <c r="M1228" s="71">
        <f>IFERROR(IF(VLOOKUP(A1228,[8]PRIORIZADOS!$A:$M,13,FALSE)="","",VLOOKUP(A1228,[8]PRIORIZADOS!$A:$M,13,FALSE)),"")</f>
        <v>45861</v>
      </c>
      <c r="N1228" s="71">
        <f>IFERROR(IF(VLOOKUP(A1228,[8]PRIORIZADOS!$A:$N,14,FALSE)="","",VLOOKUP(A1228,[8]PRIORIZADOS!$A:$N,14,FALSE)),"")</f>
        <v>45861</v>
      </c>
      <c r="O1228" s="71">
        <f>IFERROR(IF(VLOOKUP(A1228,[8]PRIORIZADOS!$A:$O,15,FALSE)="","",VLOOKUP(A1228,[8]PRIORIZADOS!$A:$O,15,FALSE)),"")</f>
        <v>45861</v>
      </c>
      <c r="P1228" s="11" t="str">
        <f>IFERROR(IF(VLOOKUP(A1228,[8]PRIORIZADOS!$A:$P,16,FALSE)="","",VLOOKUP(A1228,[8]PRIORIZADOS!$A:$P,16,FALSE)),"")</f>
        <v>Visitas de evaluación con fines de mejoramiento</v>
      </c>
      <c r="Q1228" s="107" t="s">
        <v>242</v>
      </c>
      <c r="R1228" s="11" t="str">
        <f>IFERROR(IF(VLOOKUP(A1228,[8]PRIORIZADOS!$A:$R,18,FALSE)="","",VLOOKUP(A1228,[8]PRIORIZADOS!$A:$R,18,FALSE)),"")</f>
        <v>La institución educativa diseña, implementa y hace seguimiento a los Planes Individuales de Ajustes Razonables de 9 estudiantes con discapacidad.</v>
      </c>
      <c r="S1228" s="11" t="str">
        <f>IFERROR(IF(VLOOKUP(A1228,[8]PRIORIZADOS!$A:$S,19,FALSE)="","",VLOOKUP(A1228,[8]PRIORIZADOS!$A:$S,19,FALSE)),"")</f>
        <v>Continuar adelantando el seguimiento a los PIAR, así como el diseño de estrategias conjuntas con las familias.</v>
      </c>
      <c r="T1228" s="70" t="str">
        <f>IFERROR(IF(VLOOKUP(A1228,[8]PRIORIZADOS!$A:$T,20,FALSE)="","",VLOOKUP(A1228,[8]PRIORIZADOS!$A:$T,20,FALSE)),"")</f>
        <v>No</v>
      </c>
      <c r="U1228" s="11" t="str">
        <f>IFERROR(IF(VLOOKUP(A1228,[8]PRIORIZADOS!$A:$U,21,FALSE)="","",VLOOKUP(A1228,[8]PRIORIZADOS!$A:$U,21,FALSE)),"")</f>
        <v>Verificar en la próxima vigencia la atención de la población con discapacidad, trastornos del aprendizaje y talentos excepcionales, en el marco del Decreto 1421 de 2017.</v>
      </c>
    </row>
    <row r="1229" spans="1:21" s="1" customFormat="1" ht="72">
      <c r="A1229" s="69" t="str">
        <f>IF([8]PRIORIZADOS!A209="","",[8]PRIORIZADOS!A209)</f>
        <v/>
      </c>
      <c r="B1229" s="70">
        <v>34</v>
      </c>
      <c r="C1229" s="73" t="s">
        <v>221</v>
      </c>
      <c r="D1229" s="49" t="s">
        <v>175</v>
      </c>
      <c r="E1229" s="49" t="s">
        <v>227</v>
      </c>
      <c r="F1229" s="49" t="s">
        <v>243</v>
      </c>
      <c r="G1229" s="49" t="s">
        <v>244</v>
      </c>
      <c r="H1229" s="49" t="s">
        <v>178</v>
      </c>
      <c r="I1229" s="49" t="s">
        <v>97</v>
      </c>
      <c r="J1229" s="49" t="s">
        <v>236</v>
      </c>
      <c r="K1229" s="49" t="s">
        <v>231</v>
      </c>
      <c r="L1229" s="49" t="s">
        <v>245</v>
      </c>
      <c r="M1229" s="176">
        <v>45861</v>
      </c>
      <c r="N1229" s="177">
        <v>45861</v>
      </c>
      <c r="O1229" s="177">
        <v>45861</v>
      </c>
      <c r="P1229" s="178" t="s">
        <v>101</v>
      </c>
      <c r="Q1229" s="134" t="s">
        <v>242</v>
      </c>
      <c r="R1229" s="158" t="s">
        <v>246</v>
      </c>
      <c r="S1229" s="179" t="s">
        <v>247</v>
      </c>
      <c r="T1229" s="52" t="s">
        <v>105</v>
      </c>
      <c r="U1229" s="180" t="s">
        <v>248</v>
      </c>
    </row>
    <row r="1230" spans="1:21" s="1" customFormat="1" ht="84">
      <c r="A1230" s="69">
        <f>IF([8]PRIORIZADOS!A210="","",[8]PRIORIZADOS!A210)</f>
        <v>1178</v>
      </c>
      <c r="B1230" s="70">
        <v>34</v>
      </c>
      <c r="C1230" s="11" t="str">
        <f>IFERROR(IF(VLOOKUP(A1230,[8]PRIORIZADOS!$A:$C,3,FALSE)="","",VLOOKUP(A1230,[8]PRIORIZADOS!$A:$C,3,FALSE)),"")</f>
        <v>KENNEDY</v>
      </c>
      <c r="D1230" s="11" t="str">
        <f>IFERROR(IF(VLOOKUP(A1230,[8]PRIORIZADOS!$A:$D,4,FALSE)="","",VLOOKUP(A1230,[8]PRIORIZADOS!$A:$D,4,FALSE)),"")</f>
        <v>PRIVADO</v>
      </c>
      <c r="E1230" s="11" t="str">
        <f>IFERROR(IF(VLOOKUP(A1230,[8]PRIORIZADOS!$A:$E,5,FALSE)="","",VLOOKUP(A1230,[8]PRIORIZADOS!$A:$E,5,FALSE)),"")</f>
        <v>EPBM</v>
      </c>
      <c r="F1230" s="11" t="str">
        <f>IFERROR(IF(VLOOKUP(A1230,[8]PRIORIZADOS!$A:$F,6,FALSE)="","",VLOOKUP(A1230,[8]PRIORIZADOS!$A:$F,6,FALSE)),"")</f>
        <v>INSTITUTO_TENERIFE</v>
      </c>
      <c r="G1230" s="11" t="str">
        <f>IFERROR(IF(VLOOKUP(A1230,[8]PRIORIZADOS!$A:$G,7,FALSE)="","",VLOOKUP(A1230,[8]PRIORIZADOS!$A:$G,7,FALSE)),"")</f>
        <v>INSTITUTO TENERIFE</v>
      </c>
      <c r="H1230" s="11" t="str">
        <f>IFERROR(IF(VLOOKUP(A1230,[8]PRIORIZADOS!$A:$H,8,FALSE)="","",VLOOKUP(A1230,[8]PRIORIZADOS!$A:$H,8,FALSE)),"")</f>
        <v>Autoevaluación Institucional y Pruebas SABER 11</v>
      </c>
      <c r="I1230" s="11" t="str">
        <f>IFERROR(IF(VLOOKUP(A1230,[8]PRIORIZADOS!$A:$I,9,FALSE)="","",VLOOKUP(A1230,[8]PRIORIZADOS!$A:$I,9,FALSE)),"")</f>
        <v>EVALUACIÓN_CON_FINES_DE_MEJORAMIENTO.</v>
      </c>
      <c r="J1230" s="11" t="str">
        <f>IFERROR(IF(VLOOKUP(A1230,[8]PRIORIZADOS!$A:$J,10,FALSE)="","",VLOOKUP(A1230,[8]PRIORIZADOS!$A:$J,10,FALSE)),"")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30" s="11" t="str">
        <f>IFERROR(IF(VLOOKUP(A1230,[8]PRIORIZADOS!$A:$K,11,FALSE)="","",VLOOKUP(A1230,[8]PRIORIZADOS!$A:$K,11,FALSE)),"")</f>
        <v>ADRIANA VENEGAS VALERA</v>
      </c>
      <c r="L1230" s="11" t="str">
        <f>IFERROR(IF(VLOOKUP(A1230,[8]PRIORIZADOS!$A:$L,12,FALSE)="","",VLOOKUP(A1230,[8]PRIORIZADOS!$A:$L,12,FALSE)),"")</f>
        <v>VIVANA PILAR BOHÓRQUEZ DÍAZ</v>
      </c>
      <c r="M1230" s="71">
        <f>IFERROR(IF(VLOOKUP(A1230,[8]PRIORIZADOS!$A:$M,13,FALSE)="","",VLOOKUP(A1230,[8]PRIORIZADOS!$A:$M,13,FALSE)),"")</f>
        <v>45861</v>
      </c>
      <c r="N1230" s="71">
        <f>IFERROR(IF(VLOOKUP(A1230,[8]PRIORIZADOS!$A:$N,14,FALSE)="","",VLOOKUP(A1230,[8]PRIORIZADOS!$A:$N,14,FALSE)),"")</f>
        <v>45861</v>
      </c>
      <c r="O1230" s="71">
        <f>IFERROR(IF(VLOOKUP(A1230,[8]PRIORIZADOS!$A:$O,15,FALSE)="","",VLOOKUP(A1230,[8]PRIORIZADOS!$A:$O,15,FALSE)),"")</f>
        <v>45861</v>
      </c>
      <c r="P1230" s="11" t="str">
        <f>IFERROR(IF(VLOOKUP(A1230,[8]PRIORIZADOS!$A:$P,16,FALSE)="","",VLOOKUP(A1230,[8]PRIORIZADOS!$A:$P,16,FALSE)),"")</f>
        <v>Visitas de evaluación con fines de mejoramiento</v>
      </c>
      <c r="Q1230" s="107" t="s">
        <v>242</v>
      </c>
      <c r="R1230" s="11" t="str">
        <f>IFERROR(IF(VLOOKUP(A1230,[8]PRIORIZADOS!$A:$R,18,FALSE)="","",VLOOKUP(A1230,[8]PRIORIZADOS!$A:$R,18,FALSE)),"")</f>
        <v xml:space="preserve">El manual de convivencia presentado no incorpora los protocolos versión 5.0 de la SED, ni tampoco evidencia avances en la comprensión de los enfoques de derechos, inclusión, género y justicia restaurativa escolar. </v>
      </c>
      <c r="S1230" s="11" t="str">
        <f>IFERROR(IF(VLOOKUP(A1230,[8]PRIORIZADOS!$A:$S,19,FALSE)="","",VLOOKUP(A1230,[8]PRIORIZADOS!$A:$S,19,FALSE)),"")</f>
        <v>Actualizar el manual de convivencia, incluyendo los protocolos de atención de la SED versión 5.0 , así como de los enfoques.</v>
      </c>
      <c r="T1230" s="70" t="str">
        <f>IFERROR(IF(VLOOKUP(A1230,[8]PRIORIZADOS!$A:$T,20,FALSE)="","",VLOOKUP(A1230,[8]PRIORIZADOS!$A:$T,20,FALSE)),"")</f>
        <v>Si</v>
      </c>
      <c r="U1230" s="11" t="str">
        <f>IFERROR(IF(VLOOKUP(A1230,[8]PRIORIZADOS!$A:$U,21,FALSE)="","",VLOOKUP(A1230,[8]PRIORIZADOS!$A:$U,21,FALSE)),"")</f>
        <v>Seguimiento al cumplimiento de las acciones definidas en el Plan de Mejoramiento. Se realiza mesa de seguimiento el 14 de noviembre.</v>
      </c>
    </row>
    <row r="1231" spans="1:21" s="1" customFormat="1" ht="60">
      <c r="A1231" s="69">
        <f>IF([8]PRIORIZADOS!A211="","",[8]PRIORIZADOS!A211)</f>
        <v>1179</v>
      </c>
      <c r="B1231" s="70">
        <v>34</v>
      </c>
      <c r="C1231" s="11" t="str">
        <f>IFERROR(IF(VLOOKUP(A1231,[8]PRIORIZADOS!$A:$C,3,FALSE)="","",VLOOKUP(A1231,[8]PRIORIZADOS!$A:$C,3,FALSE)),"")</f>
        <v>KENNEDY</v>
      </c>
      <c r="D1231" s="11" t="str">
        <f>IFERROR(IF(VLOOKUP(A1231,[8]PRIORIZADOS!$A:$D,4,FALSE)="","",VLOOKUP(A1231,[8]PRIORIZADOS!$A:$D,4,FALSE)),"")</f>
        <v>PRIVADO</v>
      </c>
      <c r="E1231" s="11" t="str">
        <f>IFERROR(IF(VLOOKUP(A1231,[8]PRIORIZADOS!$A:$E,5,FALSE)="","",VLOOKUP(A1231,[8]PRIORIZADOS!$A:$E,5,FALSE)),"")</f>
        <v>EPBM</v>
      </c>
      <c r="F1231" s="11" t="str">
        <f>IFERROR(IF(VLOOKUP(A1231,[8]PRIORIZADOS!$A:$F,6,FALSE)="","",VLOOKUP(A1231,[8]PRIORIZADOS!$A:$F,6,FALSE)),"")</f>
        <v>INSTITUTO_TENERIFE</v>
      </c>
      <c r="G1231" s="11" t="str">
        <f>IFERROR(IF(VLOOKUP(A1231,[8]PRIORIZADOS!$A:$G,7,FALSE)="","",VLOOKUP(A1231,[8]PRIORIZADOS!$A:$G,7,FALSE)),"")</f>
        <v>INSTITUTO TENERIFE</v>
      </c>
      <c r="H1231" s="11" t="str">
        <f>IFERROR(IF(VLOOKUP(A1231,[8]PRIORIZADOS!$A:$H,8,FALSE)="","",VLOOKUP(A1231,[8]PRIORIZADOS!$A:$H,8,FALSE)),"")</f>
        <v>Autoevaluación Institucional y Pruebas SABER 11</v>
      </c>
      <c r="I1231" s="11" t="str">
        <f>IFERROR(IF(VLOOKUP(A1231,[8]PRIORIZADOS!$A:$I,9,FALSE)="","",VLOOKUP(A1231,[8]PRIORIZADOS!$A:$I,9,FALSE)),"")</f>
        <v>EVALUACIÓN_CON_FINES_DE_MEJORAMIENTO.</v>
      </c>
      <c r="J1231" s="11" t="str">
        <f>IFERROR(IF(VLOOKUP(A1231,[8]PRIORIZADOS!$A:$J,10,FALSE)="","",VLOOKUP(A1231,[8]PRIORIZADOS!$A:$J,10,FALSE)),"")</f>
        <v>Revisar la actualización, socialización e implementación del Sistema Institucional de Evaluación de Estudiantes - SIEE, en articulación con la actualización del PEI y la normatividad vigente.</v>
      </c>
      <c r="K1231" s="11" t="str">
        <f>IFERROR(IF(VLOOKUP(A1231,[8]PRIORIZADOS!$A:$K,11,FALSE)="","",VLOOKUP(A1231,[8]PRIORIZADOS!$A:$K,11,FALSE)),"")</f>
        <v>ADRIANA VENEGAS VALERA</v>
      </c>
      <c r="L1231" s="11" t="str">
        <f>IFERROR(IF(VLOOKUP(A1231,[8]PRIORIZADOS!$A:$L,12,FALSE)="","",VLOOKUP(A1231,[8]PRIORIZADOS!$A:$L,12,FALSE)),"")</f>
        <v>VIVANA PILAR BOHÓRQUEZ DÍAZ</v>
      </c>
      <c r="M1231" s="71">
        <f>IFERROR(IF(VLOOKUP(A1231,[8]PRIORIZADOS!$A:$M,13,FALSE)="","",VLOOKUP(A1231,[8]PRIORIZADOS!$A:$M,13,FALSE)),"")</f>
        <v>45861</v>
      </c>
      <c r="N1231" s="71">
        <f>IFERROR(IF(VLOOKUP(A1231,[8]PRIORIZADOS!$A:$N,14,FALSE)="","",VLOOKUP(A1231,[8]PRIORIZADOS!$A:$N,14,FALSE)),"")</f>
        <v>45861</v>
      </c>
      <c r="O1231" s="71">
        <f>IFERROR(IF(VLOOKUP(A1231,[8]PRIORIZADOS!$A:$O,15,FALSE)="","",VLOOKUP(A1231,[8]PRIORIZADOS!$A:$O,15,FALSE)),"")</f>
        <v>45861</v>
      </c>
      <c r="P1231" s="11" t="str">
        <f>IFERROR(IF(VLOOKUP(A1231,[8]PRIORIZADOS!$A:$P,16,FALSE)="","",VLOOKUP(A1231,[8]PRIORIZADOS!$A:$P,16,FALSE)),"")</f>
        <v>Visitas de evaluación con fines de mejoramiento</v>
      </c>
      <c r="Q1231" s="107" t="s">
        <v>242</v>
      </c>
      <c r="R1231" s="11" t="str">
        <f>IFERROR(IF(VLOOKUP(A1231,[8]PRIORIZADOS!$A:$R,18,FALSE)="","",VLOOKUP(A1231,[8]PRIORIZADOS!$A:$R,18,FALSE)),"")</f>
        <v xml:space="preserve">El Sistema Institucional de Evaluación  contempla evidencias de su ejecución, sin embargo no contempla la Comisión de Evaluación y Promoción. </v>
      </c>
      <c r="S1231" s="11" t="str">
        <f>IFERROR(IF(VLOOKUP(A1231,[8]PRIORIZADOS!$A:$S,19,FALSE)="","",VLOOKUP(A1231,[8]PRIORIZADOS!$A:$S,19,FALSE)),"")</f>
        <v>Incorporar en el SIEE la Comisión de Evaluación y Promoción, con sus respectivas funciones y periodicidad, para que de acuerdo con ello se organicen las evidencias de su implementación.</v>
      </c>
      <c r="T1231" s="70" t="str">
        <f>IFERROR(IF(VLOOKUP(A1231,[8]PRIORIZADOS!$A:$T,20,FALSE)="","",VLOOKUP(A1231,[8]PRIORIZADOS!$A:$T,20,FALSE)),"")</f>
        <v>Si</v>
      </c>
      <c r="U1231" s="11" t="str">
        <f>IFERROR(IF(VLOOKUP(A1231,[8]PRIORIZADOS!$A:$U,21,FALSE)="","",VLOOKUP(A1231,[8]PRIORIZADOS!$A:$U,21,FALSE)),"")</f>
        <v>Seguimiento al cumplimiento de las acciones definidas en el Plan de Mejoramiento. Se realiza mesa de seguimiento el 14 de noviembre.</v>
      </c>
    </row>
    <row r="1232" spans="1:21" s="1" customFormat="1" ht="48">
      <c r="A1232" s="69">
        <f>IF([8]PRIORIZADOS!A212="","",[8]PRIORIZADOS!A212)</f>
        <v>1180</v>
      </c>
      <c r="B1232" s="70">
        <v>34</v>
      </c>
      <c r="C1232" s="11" t="str">
        <f>IFERROR(IF(VLOOKUP(A1232,[8]PRIORIZADOS!$A:$C,3,FALSE)="","",VLOOKUP(A1232,[8]PRIORIZADOS!$A:$C,3,FALSE)),"")</f>
        <v>KENNEDY</v>
      </c>
      <c r="D1232" s="11" t="str">
        <f>IFERROR(IF(VLOOKUP(A1232,[8]PRIORIZADOS!$A:$D,4,FALSE)="","",VLOOKUP(A1232,[8]PRIORIZADOS!$A:$D,4,FALSE)),"")</f>
        <v>PRIVADO</v>
      </c>
      <c r="E1232" s="11" t="str">
        <f>IFERROR(IF(VLOOKUP(A1232,[8]PRIORIZADOS!$A:$E,5,FALSE)="","",VLOOKUP(A1232,[8]PRIORIZADOS!$A:$E,5,FALSE)),"")</f>
        <v>EPBM</v>
      </c>
      <c r="F1232" s="11" t="str">
        <f>IFERROR(IF(VLOOKUP(A1232,[8]PRIORIZADOS!$A:$F,6,FALSE)="","",VLOOKUP(A1232,[8]PRIORIZADOS!$A:$F,6,FALSE)),"")</f>
        <v>INSTITUTO_TENERIFE</v>
      </c>
      <c r="G1232" s="11" t="str">
        <f>IFERROR(IF(VLOOKUP(A1232,[8]PRIORIZADOS!$A:$G,7,FALSE)="","",VLOOKUP(A1232,[8]PRIORIZADOS!$A:$G,7,FALSE)),"")</f>
        <v>INSTITUTO TENERIFE</v>
      </c>
      <c r="H1232" s="11" t="str">
        <f>IFERROR(IF(VLOOKUP(A1232,[8]PRIORIZADOS!$A:$H,8,FALSE)="","",VLOOKUP(A1232,[8]PRIORIZADOS!$A:$H,8,FALSE)),"")</f>
        <v>Autoevaluación Institucional y Pruebas SABER 11</v>
      </c>
      <c r="I1232" s="11" t="str">
        <f>IFERROR(IF(VLOOKUP(A1232,[8]PRIORIZADOS!$A:$I,9,FALSE)="","",VLOOKUP(A1232,[8]PRIORIZADOS!$A:$I,9,FALSE)),"")</f>
        <v>EVALUACIÓN_CON_FINES_DE_MEJORAMIENTO.</v>
      </c>
      <c r="J1232" s="11" t="str">
        <f>IFERROR(IF(VLOOKUP(A1232,[8]PRIORIZADOS!$A:$J,10,FALSE)="","",VLOOKUP(A1232,[8]PRIORIZADOS!$A:$J,10,FALSE)),"")</f>
        <v>Revisar el calendario escolar, jornada escolar, la intensidad horaria mínima anual en cada nivel y las modificaciones que se realicen al mismo, de acuerdo con lo previsto en la normatividad vigente.</v>
      </c>
      <c r="K1232" s="11" t="str">
        <f>IFERROR(IF(VLOOKUP(A1232,[8]PRIORIZADOS!$A:$K,11,FALSE)="","",VLOOKUP(A1232,[8]PRIORIZADOS!$A:$K,11,FALSE)),"")</f>
        <v>ADRIANA VENEGAS VALERA</v>
      </c>
      <c r="L1232" s="11" t="str">
        <f>IFERROR(IF(VLOOKUP(A1232,[8]PRIORIZADOS!$A:$L,12,FALSE)="","",VLOOKUP(A1232,[8]PRIORIZADOS!$A:$L,12,FALSE)),"")</f>
        <v>VIVANA PILAR BOHÓRQUEZ DÍAZ</v>
      </c>
      <c r="M1232" s="71">
        <f>IFERROR(IF(VLOOKUP(A1232,[8]PRIORIZADOS!$A:$M,13,FALSE)="","",VLOOKUP(A1232,[8]PRIORIZADOS!$A:$M,13,FALSE)),"")</f>
        <v>45861</v>
      </c>
      <c r="N1232" s="71">
        <f>IFERROR(IF(VLOOKUP(A1232,[8]PRIORIZADOS!$A:$N,14,FALSE)="","",VLOOKUP(A1232,[8]PRIORIZADOS!$A:$N,14,FALSE)),"")</f>
        <v>45861</v>
      </c>
      <c r="O1232" s="71">
        <f>IFERROR(IF(VLOOKUP(A1232,[8]PRIORIZADOS!$A:$O,15,FALSE)="","",VLOOKUP(A1232,[8]PRIORIZADOS!$A:$O,15,FALSE)),"")</f>
        <v>45861</v>
      </c>
      <c r="P1232" s="11" t="str">
        <f>IFERROR(IF(VLOOKUP(A1232,[8]PRIORIZADOS!$A:$P,16,FALSE)="","",VLOOKUP(A1232,[8]PRIORIZADOS!$A:$P,16,FALSE)),"")</f>
        <v>Visitas de evaluación con fines de mejoramiento</v>
      </c>
      <c r="Q1232" s="107" t="s">
        <v>242</v>
      </c>
      <c r="R1232" s="11" t="str">
        <f>IFERROR(IF(VLOOKUP(A1232,[8]PRIORIZADOS!$A:$R,18,FALSE)="","",VLOOKUP(A1232,[8]PRIORIZADOS!$A:$R,18,FALSE)),"")</f>
        <v>La IE cuenta con el calendario escolar, el cual refiere la jornada escolar e intensidad horaria, de acuerdo con lo previsto en la normatividad vigente.</v>
      </c>
      <c r="S1232" s="11" t="str">
        <f>IFERROR(IF(VLOOKUP(A1232,[8]PRIORIZADOS!$A:$S,19,FALSE)="","",VLOOKUP(A1232,[8]PRIORIZADOS!$A:$S,19,FALSE)),"")</f>
        <v>Garantizar el cumplimiento de la intensidad horaria definida en el calendario escolar.</v>
      </c>
      <c r="T1232" s="70" t="str">
        <f>IFERROR(IF(VLOOKUP(A1232,[8]PRIORIZADOS!$A:$T,20,FALSE)="","",VLOOKUP(A1232,[8]PRIORIZADOS!$A:$T,20,FALSE)),"")</f>
        <v>No</v>
      </c>
      <c r="U1232" s="11" t="str">
        <f>IFERROR(IF(VLOOKUP(A1232,[8]PRIORIZADOS!$A:$U,21,FALSE)="","",VLOOKUP(A1232,[8]PRIORIZADOS!$A:$U,21,FALSE)),"")</f>
        <v>Seguimiento al cumplimiento del calendario escolar en la próxima vigencia.</v>
      </c>
    </row>
    <row r="1233" spans="1:21" s="1" customFormat="1" ht="84">
      <c r="A1233" s="69">
        <f>IF([8]PRIORIZADOS!A213="","",[8]PRIORIZADOS!A213)</f>
        <v>1181</v>
      </c>
      <c r="B1233" s="70">
        <v>34</v>
      </c>
      <c r="C1233" s="11" t="str">
        <f>IFERROR(IF(VLOOKUP(A1233,[8]PRIORIZADOS!$A:$C,3,FALSE)="","",VLOOKUP(A1233,[8]PRIORIZADOS!$A:$C,3,FALSE)),"")</f>
        <v>KENNEDY</v>
      </c>
      <c r="D1233" s="11" t="str">
        <f>IFERROR(IF(VLOOKUP(A1233,[8]PRIORIZADOS!$A:$D,4,FALSE)="","",VLOOKUP(A1233,[8]PRIORIZADOS!$A:$D,4,FALSE)),"")</f>
        <v>PRIVADO</v>
      </c>
      <c r="E1233" s="11" t="str">
        <f>IFERROR(IF(VLOOKUP(A1233,[8]PRIORIZADOS!$A:$E,5,FALSE)="","",VLOOKUP(A1233,[8]PRIORIZADOS!$A:$E,5,FALSE)),"")</f>
        <v>EPBM</v>
      </c>
      <c r="F1233" s="11" t="str">
        <f>IFERROR(IF(VLOOKUP(A1233,[8]PRIORIZADOS!$A:$F,6,FALSE)="","",VLOOKUP(A1233,[8]PRIORIZADOS!$A:$F,6,FALSE)),"")</f>
        <v>INSTITUTO_TENERIFE</v>
      </c>
      <c r="G1233" s="11" t="str">
        <f>IFERROR(IF(VLOOKUP(A1233,[8]PRIORIZADOS!$A:$G,7,FALSE)="","",VLOOKUP(A1233,[8]PRIORIZADOS!$A:$G,7,FALSE)),"")</f>
        <v>INSTITUTO TENERIFE</v>
      </c>
      <c r="H1233" s="11" t="str">
        <f>IFERROR(IF(VLOOKUP(A1233,[8]PRIORIZADOS!$A:$H,8,FALSE)="","",VLOOKUP(A1233,[8]PRIORIZADOS!$A:$H,8,FALSE)),"")</f>
        <v>Autoevaluación Institucional y Pruebas SABER 11</v>
      </c>
      <c r="I1233" s="11" t="str">
        <f>IFERROR(IF(VLOOKUP(A1233,[8]PRIORIZADOS!$A:$I,9,FALSE)="","",VLOOKUP(A1233,[8]PRIORIZADOS!$A:$I,9,FALSE)),"")</f>
        <v>EVALUACIÓN_CON_FINES_DE_MEJORAMIENTO.</v>
      </c>
      <c r="J1233" s="11" t="str">
        <f>IFERROR(IF(VLOOKUP(A1233,[8]PRIORIZADOS!$A:$J,10,FALSE)="","",VLOOKUP(A1233,[8]PRIORIZADOS!$A:$J,10,FALSE)),"")</f>
        <v>Verificar el funcionamiento del Gobierno Escolar e instancias de participación con base en la información sobre conformación reportada por la institución educativa.</v>
      </c>
      <c r="K1233" s="11" t="str">
        <f>IFERROR(IF(VLOOKUP(A1233,[8]PRIORIZADOS!$A:$K,11,FALSE)="","",VLOOKUP(A1233,[8]PRIORIZADOS!$A:$K,11,FALSE)),"")</f>
        <v>ADRIANA VENEGAS VALERA</v>
      </c>
      <c r="L1233" s="11" t="str">
        <f>IFERROR(IF(VLOOKUP(A1233,[8]PRIORIZADOS!$A:$L,12,FALSE)="","",VLOOKUP(A1233,[8]PRIORIZADOS!$A:$L,12,FALSE)),"")</f>
        <v>VIVANA PILAR BOHÓRQUEZ DÍAZ</v>
      </c>
      <c r="M1233" s="71">
        <f>IFERROR(IF(VLOOKUP(A1233,[8]PRIORIZADOS!$A:$M,13,FALSE)="","",VLOOKUP(A1233,[8]PRIORIZADOS!$A:$M,13,FALSE)),"")</f>
        <v>45861</v>
      </c>
      <c r="N1233" s="71">
        <f>IFERROR(IF(VLOOKUP(A1233,[8]PRIORIZADOS!$A:$N,14,FALSE)="","",VLOOKUP(A1233,[8]PRIORIZADOS!$A:$N,14,FALSE)),"")</f>
        <v>45861</v>
      </c>
      <c r="O1233" s="71">
        <f>IFERROR(IF(VLOOKUP(A1233,[8]PRIORIZADOS!$A:$O,15,FALSE)="","",VLOOKUP(A1233,[8]PRIORIZADOS!$A:$O,15,FALSE)),"")</f>
        <v>45861</v>
      </c>
      <c r="P1233" s="11" t="str">
        <f>IFERROR(IF(VLOOKUP(A1233,[8]PRIORIZADOS!$A:$P,16,FALSE)="","",VLOOKUP(A1233,[8]PRIORIZADOS!$A:$P,16,FALSE)),"")</f>
        <v>Visitas de evaluación con fines de mejoramiento</v>
      </c>
      <c r="Q1233" s="107" t="s">
        <v>242</v>
      </c>
      <c r="R1233" s="11" t="str">
        <f>IFERROR(IF(VLOOKUP(A1233,[8]PRIORIZADOS!$A:$R,18,FALSE)="","",VLOOKUP(A1233,[8]PRIORIZADOS!$A:$R,18,FALSE)),"")</f>
        <v>La IE presenta evidencias  de la conformación de las instancias del gobierno escolar, lo cual cumple con lo establecido en la normatividad vigente y reglamentos internos. Sin embargo, es necesario movilizar estas instancias en coherencia con sus funciones.</v>
      </c>
      <c r="S1233" s="11" t="str">
        <f>IFERROR(IF(VLOOKUP(A1233,[8]PRIORIZADOS!$A:$S,19,FALSE)="","",VLOOKUP(A1233,[8]PRIORIZADOS!$A:$S,19,FALSE)),"")</f>
        <v>La IE debe movilizar las instancias del gobierno escolar, en casos como  la actualización del currículo y el aval del plan de mejoramiento de las pruebas SABER 11.</v>
      </c>
      <c r="T1233" s="70" t="str">
        <f>IFERROR(IF(VLOOKUP(A1233,[8]PRIORIZADOS!$A:$T,20,FALSE)="","",VLOOKUP(A1233,[8]PRIORIZADOS!$A:$T,20,FALSE)),"")</f>
        <v>Si</v>
      </c>
      <c r="U1233" s="11" t="str">
        <f>IFERROR(IF(VLOOKUP(A1233,[8]PRIORIZADOS!$A:$U,21,FALSE)="","",VLOOKUP(A1233,[8]PRIORIZADOS!$A:$U,21,FALSE)),"")</f>
        <v>Hacer seguimiento a la implementación de las acciones definidas en el plan de mejoramiento. Se realiza mesa de seguimiento el 14 de noviembre.</v>
      </c>
    </row>
    <row r="1234" spans="1:21" s="1" customFormat="1" ht="60">
      <c r="A1234" s="69">
        <f>IF([8]PRIORIZADOS!A214="","",[8]PRIORIZADOS!A214)</f>
        <v>2791</v>
      </c>
      <c r="B1234" s="70">
        <v>34</v>
      </c>
      <c r="C1234" s="11" t="str">
        <f>IFERROR(IF(VLOOKUP(A1234,[8]PRIORIZADOS!$A:$C,3,FALSE)="","",VLOOKUP(A1234,[8]PRIORIZADOS!$A:$C,3,FALSE)),"")</f>
        <v>KENNEDY</v>
      </c>
      <c r="D1234" s="11" t="str">
        <f>IFERROR(IF(VLOOKUP(A1234,[8]PRIORIZADOS!$A:$D,4,FALSE)="","",VLOOKUP(A1234,[8]PRIORIZADOS!$A:$D,4,FALSE)),"")</f>
        <v>PRIVADO</v>
      </c>
      <c r="E1234" s="11" t="str">
        <f>IFERROR(IF(VLOOKUP(A1234,[8]PRIORIZADOS!$A:$E,5,FALSE)="","",VLOOKUP(A1234,[8]PRIORIZADOS!$A:$E,5,FALSE)),"")</f>
        <v>EPBM</v>
      </c>
      <c r="F1234" s="11" t="str">
        <f>IFERROR(IF(VLOOKUP(A1234,[8]PRIORIZADOS!$A:$F,6,FALSE)="","",VLOOKUP(A1234,[8]PRIORIZADOS!$A:$F,6,FALSE)),"")</f>
        <v>INSTITUTO_TENERIFE</v>
      </c>
      <c r="G1234" s="11" t="str">
        <f>IFERROR(IF(VLOOKUP(A1234,[8]PRIORIZADOS!$A:$G,7,FALSE)="","",VLOOKUP(A1234,[8]PRIORIZADOS!$A:$G,7,FALSE)),"")</f>
        <v>INSTITUTO TENERIFE</v>
      </c>
      <c r="H1234" s="11" t="str">
        <f>IFERROR(IF(VLOOKUP(A1234,[8]PRIORIZADOS!$A:$H,8,FALSE)="","",VLOOKUP(A1234,[8]PRIORIZADOS!$A:$H,8,FALSE)),"")</f>
        <v>Autoevaluación Institucional y Pruebas SABER 11</v>
      </c>
      <c r="I1234" s="11" t="str">
        <f>IFERROR(IF(VLOOKUP(A1234,[8]PRIORIZADOS!$A:$I,9,FALSE)="","",VLOOKUP(A1234,[8]PRIORIZADOS!$A:$I,9,FALSE)),"")</f>
        <v>EVALUACIÓN_CON_FINES_DE_MEJORAMIENTO.</v>
      </c>
      <c r="J1234" s="11" t="str">
        <f>IFERROR(IF(VLOOKUP(A1234,[8]PRIORIZADOS!$A:$J,10,FALSE)="","",VLOOKUP(A1234,[8]PRIORIZADOS!$A:$J,10,FALSE)),"")</f>
        <v>Verificar las condiciones en cuanto a: la estructura administrativa, condiciones de la planta física y medios educativos adecuados.</v>
      </c>
      <c r="K1234" s="11" t="str">
        <f>IFERROR(IF(VLOOKUP(A1234,[8]PRIORIZADOS!$A:$K,11,FALSE)="","",VLOOKUP(A1234,[8]PRIORIZADOS!$A:$K,11,FALSE)),"")</f>
        <v>ADRIANA VENEGAS VALERA</v>
      </c>
      <c r="L1234" s="11" t="str">
        <f>IFERROR(IF(VLOOKUP(A1234,[8]PRIORIZADOS!$A:$L,12,FALSE)="","",VLOOKUP(A1234,[8]PRIORIZADOS!$A:$L,12,FALSE)),"")</f>
        <v>VIVANA PILAR BOHÓRQUEZ DÍAZ</v>
      </c>
      <c r="M1234" s="71">
        <f>IFERROR(IF(VLOOKUP(A1234,[8]PRIORIZADOS!$A:$M,13,FALSE)="","",VLOOKUP(A1234,[8]PRIORIZADOS!$A:$M,13,FALSE)),"")</f>
        <v>45861</v>
      </c>
      <c r="N1234" s="71">
        <f>IFERROR(IF(VLOOKUP(A1234,[8]PRIORIZADOS!$A:$N,14,FALSE)="","",VLOOKUP(A1234,[8]PRIORIZADOS!$A:$N,14,FALSE)),"")</f>
        <v>45861</v>
      </c>
      <c r="O1234" s="71">
        <f>IFERROR(IF(VLOOKUP(A1234,[8]PRIORIZADOS!$A:$O,15,FALSE)="","",VLOOKUP(A1234,[8]PRIORIZADOS!$A:$O,15,FALSE)),"")</f>
        <v>45861</v>
      </c>
      <c r="P1234" s="11" t="str">
        <f>IFERROR(IF(VLOOKUP(A1234,[8]PRIORIZADOS!$A:$P,16,FALSE)="","",VLOOKUP(A1234,[8]PRIORIZADOS!$A:$P,16,FALSE)),"")</f>
        <v>Visitas de evaluación con fines de mejoramiento</v>
      </c>
      <c r="Q1234" s="107" t="s">
        <v>242</v>
      </c>
      <c r="R1234" s="11" t="str">
        <f>IFERROR(IF(VLOOKUP(A1234,[8]PRIORIZADOS!$A:$R,18,FALSE)="","",VLOOKUP(A1234,[8]PRIORIZADOS!$A:$R,18,FALSE)),"")</f>
        <v>Dadas las condiciones de la infraestructura, el colegio hace uso de dos parques aledaños a la institución, sin embargo no cuenta con el convenio requerido para su uso.</v>
      </c>
      <c r="S1234" s="11" t="str">
        <f>IFERROR(IF(VLOOKUP(A1234,[8]PRIORIZADOS!$A:$S,19,FALSE)="","",VLOOKUP(A1234,[8]PRIORIZADOS!$A:$S,19,FALSE)),"")</f>
        <v>La Institución educativa adelantará el convenio de ambientes compartidos para garantizar la seguridad de las niñas y los niños en estos espacios.</v>
      </c>
      <c r="T1234" s="70" t="str">
        <f>IFERROR(IF(VLOOKUP(A1234,[8]PRIORIZADOS!$A:$T,20,FALSE)="","",VLOOKUP(A1234,[8]PRIORIZADOS!$A:$T,20,FALSE)),"")</f>
        <v>Si</v>
      </c>
      <c r="U1234" s="11" t="str">
        <f>IFERROR(IF(VLOOKUP(A1234,[8]PRIORIZADOS!$A:$U,21,FALSE)="","",VLOOKUP(A1234,[8]PRIORIZADOS!$A:$U,21,FALSE)),"")</f>
        <v>Verificar el trámite del convenio de ambientes compartidos, en el marco del plan de mejoramiento. Se realiza mesa de seguimiento el 14 de noviembre.</v>
      </c>
    </row>
    <row r="1235" spans="1:21" s="1" customFormat="1" ht="84">
      <c r="A1235" s="69">
        <f>IF([8]PRIORIZADOS!A215="","",[8]PRIORIZADOS!A215)</f>
        <v>1183</v>
      </c>
      <c r="B1235" s="70">
        <v>35</v>
      </c>
      <c r="C1235" s="11" t="str">
        <f>IFERROR(IF(VLOOKUP(A1235,[8]PRIORIZADOS!$A:$C,3,FALSE)="","",VLOOKUP(A1235,[8]PRIORIZADOS!$A:$C,3,FALSE)),"")</f>
        <v>KENNEDY</v>
      </c>
      <c r="D1235" s="11" t="str">
        <f>IFERROR(IF(VLOOKUP(A1235,[8]PRIORIZADOS!$A:$D,4,FALSE)="","",VLOOKUP(A1235,[8]PRIORIZADOS!$A:$D,4,FALSE)),"")</f>
        <v>PRIVADO</v>
      </c>
      <c r="E1235" s="11" t="str">
        <f>IFERROR(IF(VLOOKUP(A1235,[8]PRIORIZADOS!$A:$E,5,FALSE)="","",VLOOKUP(A1235,[8]PRIORIZADOS!$A:$E,5,FALSE)),"")</f>
        <v>EPBM</v>
      </c>
      <c r="F1235" s="11" t="str">
        <f>IFERROR(IF(VLOOKUP(A1235,[8]PRIORIZADOS!$A:$F,6,FALSE)="","",VLOOKUP(A1235,[8]PRIORIZADOS!$A:$F,6,FALSE)),"")</f>
        <v>INSTITUTO_YOLKIN</v>
      </c>
      <c r="G1235" s="11" t="str">
        <f>IFERROR(IF(VLOOKUP(A1235,[8]PRIORIZADOS!$A:$G,7,FALSE)="","",VLOOKUP(A1235,[8]PRIORIZADOS!$A:$G,7,FALSE)),"")</f>
        <v>INSTITUTO YOLKIN</v>
      </c>
      <c r="H1235" s="11" t="str">
        <f>IFERROR(IF(VLOOKUP(A1235,[8]PRIORIZADOS!$A:$H,8,FALSE)="","",VLOOKUP(A1235,[8]PRIORIZADOS!$A:$H,8,FALSE)),"")</f>
        <v>Autoevaluación Institucional y Pruebas SABER 11</v>
      </c>
      <c r="I1235" s="11" t="str">
        <f>IFERROR(IF(VLOOKUP(A1235,[8]PRIORIZADOS!$A:$I,9,FALSE)="","",VLOOKUP(A1235,[8]PRIORIZADOS!$A:$I,9,FALSE)),"")</f>
        <v>SEGUIMIENTO_Y_SUPERVISIÓN.</v>
      </c>
      <c r="J1235" s="11" t="str">
        <f>IFERROR(IF(VLOOKUP(A1235,[8]PRIORIZADOS!$A:$J,10,FALSE)="","",VLOOKUP(A1235,[8]PRIORIZADOS!$A:$J,10,FALSE)),"")</f>
        <v>Proponer estrategias en la formulación, verificar su elaboración y realizar seguimiento semestral al desarrollo de  las acciones establecidas en los planes de mejoramiento por pruebas SABER 11 de los establecimientos de educación formal.</v>
      </c>
      <c r="K1235" s="11" t="str">
        <f>IFERROR(IF(VLOOKUP(A1235,[8]PRIORIZADOS!$A:$K,11,FALSE)="","",VLOOKUP(A1235,[8]PRIORIZADOS!$A:$K,11,FALSE)),"")</f>
        <v>GERMÁN EDUARDO TORO ROSERO</v>
      </c>
      <c r="L1235" s="11" t="str">
        <f>IFERROR(IF(VLOOKUP(A1235,[8]PRIORIZADOS!$A:$L,12,FALSE)="","",VLOOKUP(A1235,[8]PRIORIZADOS!$A:$L,12,FALSE)),"")</f>
        <v>LUIS FERNANDO CÁRDENAS URAN</v>
      </c>
      <c r="M1235" s="71">
        <f>IFERROR(IF(VLOOKUP(A1235,[8]PRIORIZADOS!$A:$M,13,FALSE)="","",VLOOKUP(A1235,[8]PRIORIZADOS!$A:$M,13,FALSE)),"")</f>
        <v>45862</v>
      </c>
      <c r="N1235" s="71">
        <f>IFERROR(IF(VLOOKUP(A1235,[8]PRIORIZADOS!$A:$N,14,FALSE)="","",VLOOKUP(A1235,[8]PRIORIZADOS!$A:$N,14,FALSE)),"")</f>
        <v>45862</v>
      </c>
      <c r="O1235" s="71">
        <f>IFERROR(IF(VLOOKUP(A1235,[8]PRIORIZADOS!$A:$O,15,FALSE)="","",VLOOKUP(A1235,[8]PRIORIZADOS!$A:$O,15,FALSE)),"")</f>
        <v>45862</v>
      </c>
      <c r="P1235" s="11" t="str">
        <f>IFERROR(IF(VLOOKUP(A1235,[8]PRIORIZADOS!$A:$P,16,FALSE)="","",VLOOKUP(A1235,[8]PRIORIZADOS!$A:$P,16,FALSE)),"")</f>
        <v>Visitas de evaluación con fines de mejoramiento</v>
      </c>
      <c r="Q1235" s="107" t="s">
        <v>249</v>
      </c>
      <c r="R1235" s="11" t="str">
        <f>IFERROR(IF(VLOOKUP(A1235,[8]PRIORIZADOS!$A:$R,18,FALSE)="","",VLOOKUP(A1235,[8]PRIORIZADOS!$A:$R,18,FALSE)),"")</f>
        <v xml:space="preserve">La IE no ha realizado revisión y análisis de los últimos resultados de las Pruebas Saber 11, por lo que no ha formulado acciones ni plan de mejoramiento con miras a actualizar el plan de estudios y mejorar los procesos de aprendizaje de los estudiantes. </v>
      </c>
      <c r="S1235" s="11" t="str">
        <f>IFERROR(IF(VLOOKUP(A1235,[8]PRIORIZADOS!$A:$S,19,FALSE)="","",VLOOKUP(A1235,[8]PRIORIZADOS!$A:$S,19,FALSE)),"")</f>
        <v>La IE debe realizar la revisión y análisis de los últimos resultados de las Pruebas Saber 11, formular acciones  y un plan de mejoramiento con el propósito  de  actualizar el plan de estudios y mejorar los procesos de aprendizaje de los estudiantes.</v>
      </c>
      <c r="T1235" s="70" t="str">
        <f>IFERROR(IF(VLOOKUP(A1235,[8]PRIORIZADOS!$A:$T,20,FALSE)="","",VLOOKUP(A1235,[8]PRIORIZADOS!$A:$T,20,FALSE)),"")</f>
        <v>Si</v>
      </c>
      <c r="U1235" s="11" t="str">
        <f>IFERROR(IF(VLOOKUP(A1235,[8]PRIORIZADOS!$A:$U,21,FALSE)="","",VLOOKUP(A1235,[8]PRIORIZADOS!$A:$U,21,FALSE)),"")</f>
        <v xml:space="preserve">Seguimiento al cumplimiento de las acciones de mejoramiento. Se realiza mesa de seguimiento el día 29 de septiembre 2025. Se validará el cumplimiento total del plan de mejoramiento el 30 de noviembre. </v>
      </c>
    </row>
    <row r="1236" spans="1:21" s="1" customFormat="1" ht="72">
      <c r="A1236" s="69">
        <f>IF([8]PRIORIZADOS!A216="","",[8]PRIORIZADOS!A216)</f>
        <v>1185</v>
      </c>
      <c r="B1236" s="70">
        <v>35</v>
      </c>
      <c r="C1236" s="11" t="str">
        <f>IFERROR(IF(VLOOKUP(A1236,[8]PRIORIZADOS!$A:$C,3,FALSE)="","",VLOOKUP(A1236,[8]PRIORIZADOS!$A:$C,3,FALSE)),"")</f>
        <v>KENNEDY</v>
      </c>
      <c r="D1236" s="11" t="str">
        <f>IFERROR(IF(VLOOKUP(A1236,[8]PRIORIZADOS!$A:$D,4,FALSE)="","",VLOOKUP(A1236,[8]PRIORIZADOS!$A:$D,4,FALSE)),"")</f>
        <v>PRIVADO</v>
      </c>
      <c r="E1236" s="11" t="str">
        <f>IFERROR(IF(VLOOKUP(A1236,[8]PRIORIZADOS!$A:$E,5,FALSE)="","",VLOOKUP(A1236,[8]PRIORIZADOS!$A:$E,5,FALSE)),"")</f>
        <v>EPBM</v>
      </c>
      <c r="F1236" s="11" t="str">
        <f>IFERROR(IF(VLOOKUP(A1236,[8]PRIORIZADOS!$A:$F,6,FALSE)="","",VLOOKUP(A1236,[8]PRIORIZADOS!$A:$F,6,FALSE)),"")</f>
        <v>INSTITUTO_YOLKIN</v>
      </c>
      <c r="G1236" s="11" t="str">
        <f>IFERROR(IF(VLOOKUP(A1236,[8]PRIORIZADOS!$A:$G,7,FALSE)="","",VLOOKUP(A1236,[8]PRIORIZADOS!$A:$G,7,FALSE)),"")</f>
        <v>INSTITUTO YOLKIN</v>
      </c>
      <c r="H1236" s="11" t="str">
        <f>IFERROR(IF(VLOOKUP(A1236,[8]PRIORIZADOS!$A:$H,8,FALSE)="","",VLOOKUP(A1236,[8]PRIORIZADOS!$A:$H,8,FALSE)),"")</f>
        <v>Autoevaluación Institucional y Pruebas SABER 11</v>
      </c>
      <c r="I1236" s="11" t="str">
        <f>IFERROR(IF(VLOOKUP(A1236,[8]PRIORIZADOS!$A:$I,9,FALSE)="","",VLOOKUP(A1236,[8]PRIORIZADOS!$A:$I,9,FALSE)),"")</f>
        <v>SEGUIMIENTO_Y_SUPERVISIÓN.</v>
      </c>
      <c r="J1236" s="11" t="str">
        <f>IFERROR(IF(VLOOKUP(A1236,[8]PRIORIZADOS!$A:$J,10,FALSE)="","",VLOOKUP(A1236,[8]PRIORIZADOS!$A:$J,10,FALSE)),"")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36" s="11" t="str">
        <f>IFERROR(IF(VLOOKUP(A1236,[8]PRIORIZADOS!$A:$K,11,FALSE)="","",VLOOKUP(A1236,[8]PRIORIZADOS!$A:$K,11,FALSE)),"")</f>
        <v>GERMÁN EDUARDO TORO ROSERO</v>
      </c>
      <c r="L1236" s="11" t="str">
        <f>IFERROR(IF(VLOOKUP(A1236,[8]PRIORIZADOS!$A:$L,12,FALSE)="","",VLOOKUP(A1236,[8]PRIORIZADOS!$A:$L,12,FALSE)),"")</f>
        <v>LUIS FERNANDO CÁRDENAS URAN</v>
      </c>
      <c r="M1236" s="71">
        <f>IFERROR(IF(VLOOKUP(A1236,[8]PRIORIZADOS!$A:$M,13,FALSE)="","",VLOOKUP(A1236,[8]PRIORIZADOS!$A:$M,13,FALSE)),"")</f>
        <v>45862</v>
      </c>
      <c r="N1236" s="71">
        <f>IFERROR(IF(VLOOKUP(A1236,[8]PRIORIZADOS!$A:$N,14,FALSE)="","",VLOOKUP(A1236,[8]PRIORIZADOS!$A:$N,14,FALSE)),"")</f>
        <v>45862</v>
      </c>
      <c r="O1236" s="71">
        <f>IFERROR(IF(VLOOKUP(A1236,[8]PRIORIZADOS!$A:$O,15,FALSE)="","",VLOOKUP(A1236,[8]PRIORIZADOS!$A:$O,15,FALSE)),"")</f>
        <v>45862</v>
      </c>
      <c r="P1236" s="11" t="str">
        <f>IFERROR(IF(VLOOKUP(A1236,[8]PRIORIZADOS!$A:$P,16,FALSE)="","",VLOOKUP(A1236,[8]PRIORIZADOS!$A:$P,16,FALSE)),"")</f>
        <v>Visitas de evaluación con fines de mejoramiento</v>
      </c>
      <c r="Q1236" s="126" t="s">
        <v>249</v>
      </c>
      <c r="R1236" s="11" t="str">
        <f>IFERROR(IF(VLOOKUP(A1236,[8]PRIORIZADOS!$A:$R,18,FALSE)="","",VLOOKUP(A1236,[8]PRIORIZADOS!$A:$R,18,FALSE)),"")</f>
        <v>La IE no ha caracterizado ni identificado a estudiantes con trastornos de aprendizaje y talentos excepcionales, razón por la cual no ha implementado estrategias para su atención, ni ha elaborado plan de ajustes razonables.</v>
      </c>
      <c r="S1236" s="11" t="str">
        <f>IFERROR(IF(VLOOKUP(A1236,[8]PRIORIZADOS!$A:$S,19,FALSE)="","",VLOOKUP(A1236,[8]PRIORIZADOS!$A:$S,19,FALSE)),"")</f>
        <v xml:space="preserve">La IE debe hacer un ejercicio de caracterización e identificación de estudiantes con discapacidad, trastornos de aprendizaje y talentos excepcionales, y elaborar los respectivos planes individuales de ajustes razonables </v>
      </c>
      <c r="T1236" s="70" t="str">
        <f>IFERROR(IF(VLOOKUP(A1236,[8]PRIORIZADOS!$A:$T,20,FALSE)="","",VLOOKUP(A1236,[8]PRIORIZADOS!$A:$T,20,FALSE)),"")</f>
        <v>Si</v>
      </c>
      <c r="U1236" s="11" t="str">
        <f>IFERROR(IF(VLOOKUP(A1236,[8]PRIORIZADOS!$A:$U,21,FALSE)="","",VLOOKUP(A1236,[8]PRIORIZADOS!$A:$U,21,FALSE)),"")</f>
        <v xml:space="preserve">Seguimiento al cumplimiento de las acciones de mejoramiento. Se realiza mesa de seguimiento el día 29 de septiembre 2025. Se validará el cumplimiento total del plan de mejoramiento el 30 de noviembre. </v>
      </c>
    </row>
    <row r="1237" spans="1:21" s="1" customFormat="1" ht="72">
      <c r="A1237" s="69" t="str">
        <f>IF([8]PRIORIZADOS!A217="","",[8]PRIORIZADOS!A217)</f>
        <v/>
      </c>
      <c r="B1237" s="70">
        <v>35</v>
      </c>
      <c r="C1237" s="73" t="s">
        <v>221</v>
      </c>
      <c r="D1237" s="49" t="s">
        <v>175</v>
      </c>
      <c r="E1237" s="49" t="s">
        <v>227</v>
      </c>
      <c r="F1237" s="49" t="s">
        <v>250</v>
      </c>
      <c r="G1237" s="49" t="s">
        <v>251</v>
      </c>
      <c r="H1237" s="49" t="s">
        <v>178</v>
      </c>
      <c r="I1237" s="49" t="s">
        <v>97</v>
      </c>
      <c r="J1237" s="52" t="s">
        <v>236</v>
      </c>
      <c r="K1237" s="52" t="s">
        <v>252</v>
      </c>
      <c r="L1237" s="52" t="s">
        <v>232</v>
      </c>
      <c r="M1237" s="181">
        <v>45862</v>
      </c>
      <c r="N1237" s="182">
        <v>45862</v>
      </c>
      <c r="O1237" s="183">
        <v>45862</v>
      </c>
      <c r="P1237" s="184" t="s">
        <v>101</v>
      </c>
      <c r="Q1237" s="27" t="s">
        <v>249</v>
      </c>
      <c r="R1237" s="158" t="s">
        <v>237</v>
      </c>
      <c r="S1237" s="179" t="s">
        <v>238</v>
      </c>
      <c r="T1237" s="52" t="s">
        <v>185</v>
      </c>
      <c r="U1237" s="185" t="s">
        <v>253</v>
      </c>
    </row>
    <row r="1238" spans="1:21" s="1" customFormat="1" ht="118.5">
      <c r="A1238" s="69">
        <f>IF([8]PRIORIZADOS!A218="","",[8]PRIORIZADOS!A218)</f>
        <v>1186</v>
      </c>
      <c r="B1238" s="70">
        <v>35</v>
      </c>
      <c r="C1238" s="11" t="str">
        <f>IFERROR(IF(VLOOKUP(A1238,[8]PRIORIZADOS!$A:$C,3,FALSE)="","",VLOOKUP(A1238,[8]PRIORIZADOS!$A:$C,3,FALSE)),"")</f>
        <v>KENNEDY</v>
      </c>
      <c r="D1238" s="11" t="str">
        <f>IFERROR(IF(VLOOKUP(A1238,[8]PRIORIZADOS!$A:$D,4,FALSE)="","",VLOOKUP(A1238,[8]PRIORIZADOS!$A:$D,4,FALSE)),"")</f>
        <v>PRIVADO</v>
      </c>
      <c r="E1238" s="11" t="str">
        <f>IFERROR(IF(VLOOKUP(A1238,[8]PRIORIZADOS!$A:$E,5,FALSE)="","",VLOOKUP(A1238,[8]PRIORIZADOS!$A:$E,5,FALSE)),"")</f>
        <v>EPBM</v>
      </c>
      <c r="F1238" s="11" t="str">
        <f>IFERROR(IF(VLOOKUP(A1238,[8]PRIORIZADOS!$A:$F,6,FALSE)="","",VLOOKUP(A1238,[8]PRIORIZADOS!$A:$F,6,FALSE)),"")</f>
        <v>INSTITUTO_YOLKIN</v>
      </c>
      <c r="G1238" s="11" t="str">
        <f>IFERROR(IF(VLOOKUP(A1238,[8]PRIORIZADOS!$A:$G,7,FALSE)="","",VLOOKUP(A1238,[8]PRIORIZADOS!$A:$G,7,FALSE)),"")</f>
        <v>INSTITUTO YOLKIN</v>
      </c>
      <c r="H1238" s="11" t="str">
        <f>IFERROR(IF(VLOOKUP(A1238,[8]PRIORIZADOS!$A:$H,8,FALSE)="","",VLOOKUP(A1238,[8]PRIORIZADOS!$A:$H,8,FALSE)),"")</f>
        <v>Autoevaluación Institucional y Pruebas SABER 11</v>
      </c>
      <c r="I1238" s="11" t="str">
        <f>IFERROR(IF(VLOOKUP(A1238,[8]PRIORIZADOS!$A:$I,9,FALSE)="","",VLOOKUP(A1238,[8]PRIORIZADOS!$A:$I,9,FALSE)),"")</f>
        <v>EVALUACIÓN_CON_FINES_DE_MEJORAMIENTO.</v>
      </c>
      <c r="J1238" s="11" t="str">
        <f>IFERROR(IF(VLOOKUP(A1238,[8]PRIORIZADOS!$A:$J,10,FALSE)="","",VLOOKUP(A1238,[8]PRIORIZADOS!$A:$J,10,FALSE)),"")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38" s="11" t="str">
        <f>IFERROR(IF(VLOOKUP(A1238,[8]PRIORIZADOS!$A:$K,11,FALSE)="","",VLOOKUP(A1238,[8]PRIORIZADOS!$A:$K,11,FALSE)),"")</f>
        <v>GERMÁN EDUARDO TORO ROSERO</v>
      </c>
      <c r="L1238" s="11" t="str">
        <f>IFERROR(IF(VLOOKUP(A1238,[8]PRIORIZADOS!$A:$L,12,FALSE)="","",VLOOKUP(A1238,[8]PRIORIZADOS!$A:$L,12,FALSE)),"")</f>
        <v>LUIS FERNANDO CÁRDENAS URAN</v>
      </c>
      <c r="M1238" s="71">
        <f>IFERROR(IF(VLOOKUP(A1238,[8]PRIORIZADOS!$A:$M,13,FALSE)="","",VLOOKUP(A1238,[8]PRIORIZADOS!$A:$M,13,FALSE)),"")</f>
        <v>45862</v>
      </c>
      <c r="N1238" s="71">
        <f>IFERROR(IF(VLOOKUP(A1238,[8]PRIORIZADOS!$A:$N,14,FALSE)="","",VLOOKUP(A1238,[8]PRIORIZADOS!$A:$N,14,FALSE)),"")</f>
        <v>45862</v>
      </c>
      <c r="O1238" s="71">
        <f>IFERROR(IF(VLOOKUP(A1238,[8]PRIORIZADOS!$A:$O,15,FALSE)="","",VLOOKUP(A1238,[8]PRIORIZADOS!$A:$O,15,FALSE)),"")</f>
        <v>45862</v>
      </c>
      <c r="P1238" s="11" t="str">
        <f>IFERROR(IF(VLOOKUP(A1238,[8]PRIORIZADOS!$A:$P,16,FALSE)="","",VLOOKUP(A1238,[8]PRIORIZADOS!$A:$P,16,FALSE)),"")</f>
        <v>Visitas de evaluación con fines de mejoramiento</v>
      </c>
      <c r="Q1238" s="27" t="s">
        <v>249</v>
      </c>
      <c r="R1238" s="11" t="str">
        <f>IFERROR(IF(VLOOKUP(A1238,[8]PRIORIZADOS!$A:$R,18,FALSE)="","",VLOOKUP(A1238,[8]PRIORIZADOS!$A:$R,18,FALSE)),"")</f>
        <v xml:space="preserve">El manual de convivencia presenta protocolos de atención propios de la IE, pero están incompletos si se tiene en cuenta los establecidos por la SED, no cuenta con un plan de acción de que dé cuenta de la ruta integral de atención y no incluye los enfoques de género, diferencial por orientación sexual e identidad de género y enfoque restaurativo. </v>
      </c>
      <c r="S1238" s="11" t="str">
        <f>IFERROR(IF(VLOOKUP(A1238,[8]PRIORIZADOS!$A:$S,19,FALSE)="","",VLOOKUP(A1238,[8]PRIORIZADOS!$A:$S,19,FALSE)),"")</f>
        <v xml:space="preserve">Ajustar el Manual de Convivencia en lo relacionado a los protocolos de atención (ajustar o adoptar los protocolos V5 de la SED), Incluir en el manual de convivencia el plan de acción que da cuenta de las acciones de promoción, prevención y seguimiento de la ruta de atención integral. Incluir y desarrollar los enfoques de género, diferencial por orientación sexual e identidad de género y enfoque restaurativo. </v>
      </c>
      <c r="T1238" s="70" t="str">
        <f>IFERROR(IF(VLOOKUP(A1238,[8]PRIORIZADOS!$A:$T,20,FALSE)="","",VLOOKUP(A1238,[8]PRIORIZADOS!$A:$T,20,FALSE)),"")</f>
        <v>SI</v>
      </c>
      <c r="U1238" s="11" t="str">
        <f>IFERROR(IF(VLOOKUP(A1238,[8]PRIORIZADOS!$A:$U,21,FALSE)="","",VLOOKUP(A1238,[8]PRIORIZADOS!$A:$U,21,FALSE)),"")</f>
        <v xml:space="preserve">Seguimiento al cumplimiento de las acciones de mejoramiento. Se realiza mesa de seguimiento el día 29 de septiembre 2025. Se validará el cumplimiento total del plan de mejoramiento el 30 de noviembre. </v>
      </c>
    </row>
    <row r="1239" spans="1:21" s="1" customFormat="1" ht="48">
      <c r="A1239" s="69">
        <f>IF([8]PRIORIZADOS!A219="","",[8]PRIORIZADOS!A219)</f>
        <v>1187</v>
      </c>
      <c r="B1239" s="70">
        <v>35</v>
      </c>
      <c r="C1239" s="11" t="str">
        <f>IFERROR(IF(VLOOKUP(A1239,[8]PRIORIZADOS!$A:$C,3,FALSE)="","",VLOOKUP(A1239,[8]PRIORIZADOS!$A:$C,3,FALSE)),"")</f>
        <v>KENNEDY</v>
      </c>
      <c r="D1239" s="11" t="str">
        <f>IFERROR(IF(VLOOKUP(A1239,[8]PRIORIZADOS!$A:$D,4,FALSE)="","",VLOOKUP(A1239,[8]PRIORIZADOS!$A:$D,4,FALSE)),"")</f>
        <v>PRIVADO</v>
      </c>
      <c r="E1239" s="11" t="str">
        <f>IFERROR(IF(VLOOKUP(A1239,[8]PRIORIZADOS!$A:$E,5,FALSE)="","",VLOOKUP(A1239,[8]PRIORIZADOS!$A:$E,5,FALSE)),"")</f>
        <v>EPBM</v>
      </c>
      <c r="F1239" s="11" t="str">
        <f>IFERROR(IF(VLOOKUP(A1239,[8]PRIORIZADOS!$A:$F,6,FALSE)="","",VLOOKUP(A1239,[8]PRIORIZADOS!$A:$F,6,FALSE)),"")</f>
        <v>INSTITUTO_YOLKIN</v>
      </c>
      <c r="G1239" s="11" t="str">
        <f>IFERROR(IF(VLOOKUP(A1239,[8]PRIORIZADOS!$A:$G,7,FALSE)="","",VLOOKUP(A1239,[8]PRIORIZADOS!$A:$G,7,FALSE)),"")</f>
        <v>INSTITUTO YOLKIN</v>
      </c>
      <c r="H1239" s="11" t="str">
        <f>IFERROR(IF(VLOOKUP(A1239,[8]PRIORIZADOS!$A:$H,8,FALSE)="","",VLOOKUP(A1239,[8]PRIORIZADOS!$A:$H,8,FALSE)),"")</f>
        <v>Autoevaluación Institucional y Pruebas SABER 11</v>
      </c>
      <c r="I1239" s="11" t="str">
        <f>IFERROR(IF(VLOOKUP(A1239,[8]PRIORIZADOS!$A:$I,9,FALSE)="","",VLOOKUP(A1239,[8]PRIORIZADOS!$A:$I,9,FALSE)),"")</f>
        <v>EVALUACIÓN_CON_FINES_DE_MEJORAMIENTO.</v>
      </c>
      <c r="J1239" s="11" t="str">
        <f>IFERROR(IF(VLOOKUP(A1239,[8]PRIORIZADOS!$A:$J,10,FALSE)="","",VLOOKUP(A1239,[8]PRIORIZADOS!$A:$J,10,FALSE)),"")</f>
        <v>Revisar la actualización, socialización e implementación del Sistema Institucional de Evaluación de Estudiantes - SIEE, en articulación con la actualización del PEI y la normatividad vigente.</v>
      </c>
      <c r="K1239" s="11" t="str">
        <f>IFERROR(IF(VLOOKUP(A1239,[8]PRIORIZADOS!$A:$K,11,FALSE)="","",VLOOKUP(A1239,[8]PRIORIZADOS!$A:$K,11,FALSE)),"")</f>
        <v>GERMÁN EDUARDO TORO ROSERO</v>
      </c>
      <c r="L1239" s="11" t="str">
        <f>IFERROR(IF(VLOOKUP(A1239,[8]PRIORIZADOS!$A:$L,12,FALSE)="","",VLOOKUP(A1239,[8]PRIORIZADOS!$A:$L,12,FALSE)),"")</f>
        <v>LUIS FERNANDO CÁRDENAS URAN</v>
      </c>
      <c r="M1239" s="71">
        <f>IFERROR(IF(VLOOKUP(A1239,[8]PRIORIZADOS!$A:$M,13,FALSE)="","",VLOOKUP(A1239,[8]PRIORIZADOS!$A:$M,13,FALSE)),"")</f>
        <v>45862</v>
      </c>
      <c r="N1239" s="71">
        <f>IFERROR(IF(VLOOKUP(A1239,[8]PRIORIZADOS!$A:$N,14,FALSE)="","",VLOOKUP(A1239,[8]PRIORIZADOS!$A:$N,14,FALSE)),"")</f>
        <v>45862</v>
      </c>
      <c r="O1239" s="71">
        <f>IFERROR(IF(VLOOKUP(A1239,[8]PRIORIZADOS!$A:$O,15,FALSE)="","",VLOOKUP(A1239,[8]PRIORIZADOS!$A:$O,15,FALSE)),"")</f>
        <v>45862</v>
      </c>
      <c r="P1239" s="11" t="str">
        <f>IFERROR(IF(VLOOKUP(A1239,[8]PRIORIZADOS!$A:$P,16,FALSE)="","",VLOOKUP(A1239,[8]PRIORIZADOS!$A:$P,16,FALSE)),"")</f>
        <v>Visitas de evaluación con fines de mejoramiento</v>
      </c>
      <c r="Q1239" s="27" t="s">
        <v>249</v>
      </c>
      <c r="R1239" s="11" t="str">
        <f>IFERROR(IF(VLOOKUP(A1239,[8]PRIORIZADOS!$A:$R,18,FALSE)="","",VLOOKUP(A1239,[8]PRIORIZADOS!$A:$R,18,FALSE)),"")</f>
        <v>El SIEE de la IE no desarrolla un proceso de valoración y seguimiento del aprendizaje de los estudiantes del nivel de preescolar.</v>
      </c>
      <c r="S1239" s="11" t="str">
        <f>IFERROR(IF(VLOOKUP(A1239,[8]PRIORIZADOS!$A:$S,19,FALSE)="","",VLOOKUP(A1239,[8]PRIORIZADOS!$A:$S,19,FALSE)),"")</f>
        <v>La IE debe incluir en el SIEE proceso de valoración y seguimiento del aprendizaje de los estudiantes del nivel de preescolar.</v>
      </c>
      <c r="T1239" s="70" t="str">
        <f>IFERROR(IF(VLOOKUP(A1239,[8]PRIORIZADOS!$A:$T,20,FALSE)="","",VLOOKUP(A1239,[8]PRIORIZADOS!$A:$T,20,FALSE)),"")</f>
        <v>Si</v>
      </c>
      <c r="U1239" s="11" t="str">
        <f>IFERROR(IF(VLOOKUP(A1239,[8]PRIORIZADOS!$A:$U,21,FALSE)="","",VLOOKUP(A1239,[8]PRIORIZADOS!$A:$U,21,FALSE)),"")</f>
        <v xml:space="preserve">Seguimiento al cumplimiento de las acciones de mejoramiento. Se realiza mesa de seguimiento el día 29 de septiembre 2025. Se validará el cumplimiento total del plan de mejoramiento el 30 de noviembre. </v>
      </c>
    </row>
    <row r="1240" spans="1:21" s="1" customFormat="1" ht="72">
      <c r="A1240" s="69">
        <f>IF([8]PRIORIZADOS!A220="","",[8]PRIORIZADOS!A220)</f>
        <v>1188</v>
      </c>
      <c r="B1240" s="70">
        <v>35</v>
      </c>
      <c r="C1240" s="11" t="str">
        <f>IFERROR(IF(VLOOKUP(A1240,[8]PRIORIZADOS!$A:$C,3,FALSE)="","",VLOOKUP(A1240,[8]PRIORIZADOS!$A:$C,3,FALSE)),"")</f>
        <v>KENNEDY</v>
      </c>
      <c r="D1240" s="11" t="str">
        <f>IFERROR(IF(VLOOKUP(A1240,[8]PRIORIZADOS!$A:$D,4,FALSE)="","",VLOOKUP(A1240,[8]PRIORIZADOS!$A:$D,4,FALSE)),"")</f>
        <v>PRIVADO</v>
      </c>
      <c r="E1240" s="11" t="str">
        <f>IFERROR(IF(VLOOKUP(A1240,[8]PRIORIZADOS!$A:$E,5,FALSE)="","",VLOOKUP(A1240,[8]PRIORIZADOS!$A:$E,5,FALSE)),"")</f>
        <v>EPBM</v>
      </c>
      <c r="F1240" s="11" t="str">
        <f>IFERROR(IF(VLOOKUP(A1240,[8]PRIORIZADOS!$A:$F,6,FALSE)="","",VLOOKUP(A1240,[8]PRIORIZADOS!$A:$F,6,FALSE)),"")</f>
        <v>INSTITUTO_YOLKIN</v>
      </c>
      <c r="G1240" s="11" t="str">
        <f>IFERROR(IF(VLOOKUP(A1240,[8]PRIORIZADOS!$A:$G,7,FALSE)="","",VLOOKUP(A1240,[8]PRIORIZADOS!$A:$G,7,FALSE)),"")</f>
        <v>INSTITUTO YOLKIN</v>
      </c>
      <c r="H1240" s="11" t="str">
        <f>IFERROR(IF(VLOOKUP(A1240,[8]PRIORIZADOS!$A:$H,8,FALSE)="","",VLOOKUP(A1240,[8]PRIORIZADOS!$A:$H,8,FALSE)),"")</f>
        <v>Autoevaluación Institucional y Pruebas SABER 11</v>
      </c>
      <c r="I1240" s="11" t="str">
        <f>IFERROR(IF(VLOOKUP(A1240,[8]PRIORIZADOS!$A:$I,9,FALSE)="","",VLOOKUP(A1240,[8]PRIORIZADOS!$A:$I,9,FALSE)),"")</f>
        <v>EVALUACIÓN_CON_FINES_DE_MEJORAMIENTO.</v>
      </c>
      <c r="J1240" s="11" t="str">
        <f>IFERROR(IF(VLOOKUP(A1240,[8]PRIORIZADOS!$A:$J,10,FALSE)="","",VLOOKUP(A1240,[8]PRIORIZADOS!$A:$J,10,FALSE)),"")</f>
        <v>Revisar el calendario escolar, jornada escolar, la intensidad horaria mínima anual en cada nivel y las modificaciones que se realicen al mismo, de acuerdo con lo previsto en la normatividad vigente.</v>
      </c>
      <c r="K1240" s="11" t="str">
        <f>IFERROR(IF(VLOOKUP(A1240,[8]PRIORIZADOS!$A:$K,11,FALSE)="","",VLOOKUP(A1240,[8]PRIORIZADOS!$A:$K,11,FALSE)),"")</f>
        <v>GERMÁN EDUARDO TORO ROSERO</v>
      </c>
      <c r="L1240" s="11" t="str">
        <f>IFERROR(IF(VLOOKUP(A1240,[8]PRIORIZADOS!$A:$L,12,FALSE)="","",VLOOKUP(A1240,[8]PRIORIZADOS!$A:$L,12,FALSE)),"")</f>
        <v>LUIS FERNANDO CÁRDENAS URAN</v>
      </c>
      <c r="M1240" s="71">
        <f>IFERROR(IF(VLOOKUP(A1240,[8]PRIORIZADOS!$A:$M,13,FALSE)="","",VLOOKUP(A1240,[8]PRIORIZADOS!$A:$M,13,FALSE)),"")</f>
        <v>45862</v>
      </c>
      <c r="N1240" s="71">
        <f>IFERROR(IF(VLOOKUP(A1240,[8]PRIORIZADOS!$A:$N,14,FALSE)="","",VLOOKUP(A1240,[8]PRIORIZADOS!$A:$N,14,FALSE)),"")</f>
        <v>45862</v>
      </c>
      <c r="O1240" s="71">
        <f>IFERROR(IF(VLOOKUP(A1240,[8]PRIORIZADOS!$A:$O,15,FALSE)="","",VLOOKUP(A1240,[8]PRIORIZADOS!$A:$O,15,FALSE)),"")</f>
        <v>45862</v>
      </c>
      <c r="P1240" s="11" t="str">
        <f>IFERROR(IF(VLOOKUP(A1240,[8]PRIORIZADOS!$A:$P,16,FALSE)="","",VLOOKUP(A1240,[8]PRIORIZADOS!$A:$P,16,FALSE)),"")</f>
        <v>Visitas de evaluación con fines de mejoramiento</v>
      </c>
      <c r="Q1240" s="27" t="s">
        <v>249</v>
      </c>
      <c r="R1240" s="11" t="str">
        <f>IFERROR(IF(VLOOKUP(A1240,[8]PRIORIZADOS!$A:$R,18,FALSE)="","",VLOOKUP(A1240,[8]PRIORIZADOS!$A:$R,18,FALSE)),"")</f>
        <v>La IE cuenta con calendario escolar que da cuenta de su jornada escolar la intensidad horaria mínima anual en cada nivel y las modificaciones que se realicen al mismo, de acuerdo con lo previsto en la normatividad vigente.</v>
      </c>
      <c r="S1240" s="11" t="str">
        <f>IFERROR(IF(VLOOKUP(A1240,[8]PRIORIZADOS!$A:$S,19,FALSE)="","",VLOOKUP(A1240,[8]PRIORIZADOS!$A:$S,19,FALSE)),"")</f>
        <v>La IE garantiza el cumplimiento de la intensidad horaria mínima anual para cada uno de los niveles que ofrece</v>
      </c>
      <c r="T1240" s="70" t="str">
        <f>IFERROR(IF(VLOOKUP(A1240,[8]PRIORIZADOS!$A:$T,20,FALSE)="","",VLOOKUP(A1240,[8]PRIORIZADOS!$A:$T,20,FALSE)),"")</f>
        <v>No</v>
      </c>
      <c r="U1240" s="11" t="str">
        <f>IFERROR(IF(VLOOKUP(A1240,[8]PRIORIZADOS!$A:$U,21,FALSE)="","",VLOOKUP(A1240,[8]PRIORIZADOS!$A:$U,21,FALSE)),"")</f>
        <v>Seguimiento al cumplimiento del calendario escolar en la próxima vigencia.</v>
      </c>
    </row>
    <row r="1241" spans="1:21" s="1" customFormat="1" ht="48">
      <c r="A1241" s="69">
        <f>IF([8]PRIORIZADOS!A221="","",[8]PRIORIZADOS!A221)</f>
        <v>1189</v>
      </c>
      <c r="B1241" s="70">
        <v>35</v>
      </c>
      <c r="C1241" s="11" t="str">
        <f>IFERROR(IF(VLOOKUP(A1241,[8]PRIORIZADOS!$A:$C,3,FALSE)="","",VLOOKUP(A1241,[8]PRIORIZADOS!$A:$C,3,FALSE)),"")</f>
        <v>KENNEDY</v>
      </c>
      <c r="D1241" s="11" t="str">
        <f>IFERROR(IF(VLOOKUP(A1241,[8]PRIORIZADOS!$A:$D,4,FALSE)="","",VLOOKUP(A1241,[8]PRIORIZADOS!$A:$D,4,FALSE)),"")</f>
        <v>PRIVADO</v>
      </c>
      <c r="E1241" s="11" t="str">
        <f>IFERROR(IF(VLOOKUP(A1241,[8]PRIORIZADOS!$A:$E,5,FALSE)="","",VLOOKUP(A1241,[8]PRIORIZADOS!$A:$E,5,FALSE)),"")</f>
        <v>EPBM</v>
      </c>
      <c r="F1241" s="11" t="str">
        <f>IFERROR(IF(VLOOKUP(A1241,[8]PRIORIZADOS!$A:$F,6,FALSE)="","",VLOOKUP(A1241,[8]PRIORIZADOS!$A:$F,6,FALSE)),"")</f>
        <v>INSTITUTO_YOLKIN</v>
      </c>
      <c r="G1241" s="11" t="str">
        <f>IFERROR(IF(VLOOKUP(A1241,[8]PRIORIZADOS!$A:$G,7,FALSE)="","",VLOOKUP(A1241,[8]PRIORIZADOS!$A:$G,7,FALSE)),"")</f>
        <v>INSTITUTO YOLKIN</v>
      </c>
      <c r="H1241" s="11" t="str">
        <f>IFERROR(IF(VLOOKUP(A1241,[8]PRIORIZADOS!$A:$H,8,FALSE)="","",VLOOKUP(A1241,[8]PRIORIZADOS!$A:$H,8,FALSE)),"")</f>
        <v>Autoevaluación Institucional y Pruebas SABER 11</v>
      </c>
      <c r="I1241" s="11" t="str">
        <f>IFERROR(IF(VLOOKUP(A1241,[8]PRIORIZADOS!$A:$I,9,FALSE)="","",VLOOKUP(A1241,[8]PRIORIZADOS!$A:$I,9,FALSE)),"")</f>
        <v>EVALUACIÓN_CON_FINES_DE_MEJORAMIENTO.</v>
      </c>
      <c r="J1241" s="11" t="str">
        <f>IFERROR(IF(VLOOKUP(A1241,[8]PRIORIZADOS!$A:$J,10,FALSE)="","",VLOOKUP(A1241,[8]PRIORIZADOS!$A:$J,10,FALSE)),"")</f>
        <v>Verificar el funcionamiento del Gobierno Escolar e instancias de participación con base en la información sobre conformación reportada por la institución educativa.</v>
      </c>
      <c r="K1241" s="11" t="str">
        <f>IFERROR(IF(VLOOKUP(A1241,[8]PRIORIZADOS!$A:$K,11,FALSE)="","",VLOOKUP(A1241,[8]PRIORIZADOS!$A:$K,11,FALSE)),"")</f>
        <v>GERMÁN EDUARDO TORO ROSERO</v>
      </c>
      <c r="L1241" s="11" t="str">
        <f>IFERROR(IF(VLOOKUP(A1241,[8]PRIORIZADOS!$A:$L,12,FALSE)="","",VLOOKUP(A1241,[8]PRIORIZADOS!$A:$L,12,FALSE)),"")</f>
        <v>LUIS FERNANDO CÁRDENAS URAN</v>
      </c>
      <c r="M1241" s="71">
        <f>IFERROR(IF(VLOOKUP(A1241,[8]PRIORIZADOS!$A:$M,13,FALSE)="","",VLOOKUP(A1241,[8]PRIORIZADOS!$A:$M,13,FALSE)),"")</f>
        <v>45862</v>
      </c>
      <c r="N1241" s="71">
        <f>IFERROR(IF(VLOOKUP(A1241,[8]PRIORIZADOS!$A:$N,14,FALSE)="","",VLOOKUP(A1241,[8]PRIORIZADOS!$A:$N,14,FALSE)),"")</f>
        <v>45862</v>
      </c>
      <c r="O1241" s="71">
        <f>IFERROR(IF(VLOOKUP(A1241,[8]PRIORIZADOS!$A:$O,15,FALSE)="","",VLOOKUP(A1241,[8]PRIORIZADOS!$A:$O,15,FALSE)),"")</f>
        <v>45862</v>
      </c>
      <c r="P1241" s="11" t="str">
        <f>IFERROR(IF(VLOOKUP(A1241,[8]PRIORIZADOS!$A:$P,16,FALSE)="","",VLOOKUP(A1241,[8]PRIORIZADOS!$A:$P,16,FALSE)),"")</f>
        <v>Visitas de evaluación con fines de mejoramiento</v>
      </c>
      <c r="Q1241" s="27" t="s">
        <v>249</v>
      </c>
      <c r="R1241" s="11" t="str">
        <f>IFERROR(IF(VLOOKUP(A1241,[8]PRIORIZADOS!$A:$R,18,FALSE)="","",VLOOKUP(A1241,[8]PRIORIZADOS!$A:$R,18,FALSE)),"")</f>
        <v xml:space="preserve">La IE eligió y conformo el gobierno escolar y demás instancias de participación, sin embargo no cuenta con evidencias de su funcionamiento. </v>
      </c>
      <c r="S1241" s="11" t="str">
        <f>IFERROR(IF(VLOOKUP(A1241,[8]PRIORIZADOS!$A:$S,19,FALSE)="","",VLOOKUP(A1241,[8]PRIORIZADOS!$A:$S,19,FALSE)),"")</f>
        <v xml:space="preserve">la IE debe adelantar las acciones pertinentes para operativizar el funcionamiento del Gobierno escolar y demás instancias de participación. </v>
      </c>
      <c r="T1241" s="70" t="str">
        <f>IFERROR(IF(VLOOKUP(A1241,[8]PRIORIZADOS!$A:$T,20,FALSE)="","",VLOOKUP(A1241,[8]PRIORIZADOS!$A:$T,20,FALSE)),"")</f>
        <v>Si</v>
      </c>
      <c r="U1241" s="11" t="str">
        <f>IFERROR(IF(VLOOKUP(A1241,[8]PRIORIZADOS!$A:$U,21,FALSE)="","",VLOOKUP(A1241,[8]PRIORIZADOS!$A:$U,21,FALSE)),"")</f>
        <v xml:space="preserve">Seguimiento al cumplimiento de las acciones de mejoramiento Se realiza mesa de seguimiento el día 29 de septiembre 2025. Se validará el cumplimiento total del plan de mejoramiento el 30 de noviembre. </v>
      </c>
    </row>
    <row r="1242" spans="1:21" s="1" customFormat="1" ht="48">
      <c r="A1242" s="69">
        <f>IF([8]PRIORIZADOS!A222="","",[8]PRIORIZADOS!A222)</f>
        <v>2792</v>
      </c>
      <c r="B1242" s="70">
        <v>35</v>
      </c>
      <c r="C1242" s="11" t="str">
        <f>IFERROR(IF(VLOOKUP(A1242,[8]PRIORIZADOS!$A:$C,3,FALSE)="","",VLOOKUP(A1242,[8]PRIORIZADOS!$A:$C,3,FALSE)),"")</f>
        <v>KENNEDY</v>
      </c>
      <c r="D1242" s="11" t="str">
        <f>IFERROR(IF(VLOOKUP(A1242,[8]PRIORIZADOS!$A:$D,4,FALSE)="","",VLOOKUP(A1242,[8]PRIORIZADOS!$A:$D,4,FALSE)),"")</f>
        <v>PRIVADO</v>
      </c>
      <c r="E1242" s="11" t="str">
        <f>IFERROR(IF(VLOOKUP(A1242,[8]PRIORIZADOS!$A:$E,5,FALSE)="","",VLOOKUP(A1242,[8]PRIORIZADOS!$A:$E,5,FALSE)),"")</f>
        <v>EPBM</v>
      </c>
      <c r="F1242" s="11" t="str">
        <f>IFERROR(IF(VLOOKUP(A1242,[8]PRIORIZADOS!$A:$F,6,FALSE)="","",VLOOKUP(A1242,[8]PRIORIZADOS!$A:$F,6,FALSE)),"")</f>
        <v>INSTITUTO_YOLKIN</v>
      </c>
      <c r="G1242" s="11" t="str">
        <f>IFERROR(IF(VLOOKUP(A1242,[8]PRIORIZADOS!$A:$G,7,FALSE)="","",VLOOKUP(A1242,[8]PRIORIZADOS!$A:$G,7,FALSE)),"")</f>
        <v>INSTITUTO YOLKIN</v>
      </c>
      <c r="H1242" s="11" t="str">
        <f>IFERROR(IF(VLOOKUP(A1242,[8]PRIORIZADOS!$A:$H,8,FALSE)="","",VLOOKUP(A1242,[8]PRIORIZADOS!$A:$H,8,FALSE)),"")</f>
        <v>Autoevaluación Institucional y Pruebas SABER 11</v>
      </c>
      <c r="I1242" s="11" t="str">
        <f>IFERROR(IF(VLOOKUP(A1242,[8]PRIORIZADOS!$A:$I,9,FALSE)="","",VLOOKUP(A1242,[8]PRIORIZADOS!$A:$I,9,FALSE)),"")</f>
        <v>EVALUACIÓN_CON_FINES_DE_MEJORAMIENTO.</v>
      </c>
      <c r="J1242" s="11" t="str">
        <f>IFERROR(IF(VLOOKUP(A1242,[8]PRIORIZADOS!$A:$J,10,FALSE)="","",VLOOKUP(A1242,[8]PRIORIZADOS!$A:$J,10,FALSE)),"")</f>
        <v>Verificar las condiciones en cuanto a: la estructura administrativa, condiciones de la planta física y medios educativos adecuados.</v>
      </c>
      <c r="K1242" s="11" t="str">
        <f>IFERROR(IF(VLOOKUP(A1242,[8]PRIORIZADOS!$A:$K,11,FALSE)="","",VLOOKUP(A1242,[8]PRIORIZADOS!$A:$K,11,FALSE)),"")</f>
        <v>GERMÁN EDUARDO TORO ROSERO</v>
      </c>
      <c r="L1242" s="11" t="str">
        <f>IFERROR(IF(VLOOKUP(A1242,[8]PRIORIZADOS!$A:$L,12,FALSE)="","",VLOOKUP(A1242,[8]PRIORIZADOS!$A:$L,12,FALSE)),"")</f>
        <v>LUIS FERNANDO CÁRDENAS URAN</v>
      </c>
      <c r="M1242" s="71">
        <f>IFERROR(IF(VLOOKUP(A1242,[8]PRIORIZADOS!$A:$M,13,FALSE)="","",VLOOKUP(A1242,[8]PRIORIZADOS!$A:$M,13,FALSE)),"")</f>
        <v>45862</v>
      </c>
      <c r="N1242" s="71">
        <f>IFERROR(IF(VLOOKUP(A1242,[8]PRIORIZADOS!$A:$N,14,FALSE)="","",VLOOKUP(A1242,[8]PRIORIZADOS!$A:$N,14,FALSE)),"")</f>
        <v>45862</v>
      </c>
      <c r="O1242" s="71">
        <f>IFERROR(IF(VLOOKUP(A1242,[8]PRIORIZADOS!$A:$O,15,FALSE)="","",VLOOKUP(A1242,[8]PRIORIZADOS!$A:$O,15,FALSE)),"")</f>
        <v>45862</v>
      </c>
      <c r="P1242" s="11" t="str">
        <f>IFERROR(IF(VLOOKUP(A1242,[8]PRIORIZADOS!$A:$P,16,FALSE)="","",VLOOKUP(A1242,[8]PRIORIZADOS!$A:$P,16,FALSE)),"")</f>
        <v>Visitas de evaluación con fines de mejoramiento</v>
      </c>
      <c r="Q1242" s="27" t="s">
        <v>249</v>
      </c>
      <c r="R1242" s="11" t="str">
        <f>IFERROR(IF(VLOOKUP(A1242,[8]PRIORIZADOS!$A:$R,18,FALSE)="","",VLOOKUP(A1242,[8]PRIORIZADOS!$A:$R,18,FALSE)),"")</f>
        <v>La IE cuanta con una estructura física de cinco plantas con condiciones aceptables y medios educativos adecuados.</v>
      </c>
      <c r="S1242" s="11" t="str">
        <f>IFERROR(IF(VLOOKUP(A1242,[8]PRIORIZADOS!$A:$S,19,FALSE)="","",VLOOKUP(A1242,[8]PRIORIZADOS!$A:$S,19,FALSE)),"")</f>
        <v>Se recomienda a la IE cambiar los pupitres de los grados 2° y 5 ° ya que los mismos no son funcionales, es decir deben ser pupitres individuales.</v>
      </c>
      <c r="T1242" s="70" t="str">
        <f>IFERROR(IF(VLOOKUP(A1242,[8]PRIORIZADOS!$A:$T,20,FALSE)="","",VLOOKUP(A1242,[8]PRIORIZADOS!$A:$T,20,FALSE)),"")</f>
        <v>Si</v>
      </c>
      <c r="U1242" s="11" t="str">
        <f>IFERROR(IF(VLOOKUP(A1242,[8]PRIORIZADOS!$A:$U,21,FALSE)="","",VLOOKUP(A1242,[8]PRIORIZADOS!$A:$U,21,FALSE)),"")</f>
        <v xml:space="preserve">Seguimiento al cumplimiento de las acciones de mejoramiento Se realiza mesa de seguimiento el día 29 de septiembre 2025. Se validará el cumplimiento total del plan de mejoramiento el 30 de noviembre. </v>
      </c>
    </row>
    <row r="1243" spans="1:21" s="1" customFormat="1" ht="36">
      <c r="A1243" s="69">
        <f>IF([8]PRIORIZADOS!A223="","",[8]PRIORIZADOS!A223)</f>
        <v>1190</v>
      </c>
      <c r="B1243" s="70">
        <f>IFERROR(IF(VLOOKUP(A1243,[8]PRIORIZADOS!$A:$B,2,FALSE)="","",VLOOKUP(A1243,[8]PRIORIZADOS!$A:$B,2,FALSE)),"")</f>
        <v>36</v>
      </c>
      <c r="C1243" s="11" t="str">
        <f>IFERROR(IF(VLOOKUP(A1243,[8]PRIORIZADOS!$A:$C,3,FALSE)="","",VLOOKUP(A1243,[8]PRIORIZADOS!$A:$C,3,FALSE)),"")</f>
        <v>KENNEDY</v>
      </c>
      <c r="D1243" s="11" t="str">
        <f>IFERROR(IF(VLOOKUP(A1243,[8]PRIORIZADOS!$A:$D,4,FALSE)="","",VLOOKUP(A1243,[8]PRIORIZADOS!$A:$D,4,FALSE)),"")</f>
        <v>PRIVADO</v>
      </c>
      <c r="E1243" s="11" t="str">
        <f>IFERROR(IF(VLOOKUP(A1243,[8]PRIORIZADOS!$A:$E,5,FALSE)="","",VLOOKUP(A1243,[8]PRIORIZADOS!$A:$E,5,FALSE)),"")</f>
        <v>EPBM</v>
      </c>
      <c r="F1243" s="11" t="str">
        <f>IFERROR(IF(VLOOKUP(A1243,[8]PRIORIZADOS!$A:$F,6,FALSE)="","",VLOOKUP(A1243,[8]PRIORIZADOS!$A:$F,6,FALSE)),"")</f>
        <v>LICEO_EMMANUELE_MARLUI</v>
      </c>
      <c r="G1243" s="11" t="str">
        <f>IFERROR(IF(VLOOKUP(A1243,[8]PRIORIZADOS!$A:$G,7,FALSE)="","",VLOOKUP(A1243,[8]PRIORIZADOS!$A:$G,7,FALSE)),"")</f>
        <v>LICEO EMMANUELE MARLUI</v>
      </c>
      <c r="H1243" s="11" t="str">
        <f>IFERROR(IF(VLOOKUP(A1243,[8]PRIORIZADOS!$A:$H,8,FALSE)="","",VLOOKUP(A1243,[8]PRIORIZADOS!$A:$H,8,FALSE)),"")</f>
        <v>Autoevaluación Institucional y Pruebas SABER 11</v>
      </c>
      <c r="I1243" s="11" t="str">
        <f>IFERROR(IF(VLOOKUP(A1243,[8]PRIORIZADOS!$A:$I,9,FALSE)="","",VLOOKUP(A1243,[8]PRIORIZADOS!$A:$I,9,FALSE)),"")</f>
        <v>SEGUIMIENTO_Y_SUPERVISIÓN.</v>
      </c>
      <c r="J1243" s="11" t="str">
        <f>IFERROR(IF(VLOOKUP(A1243,[8]PRIORIZADOS!$A:$J,10,FALSE)="","",VLOOKUP(A1243,[8]PRIORIZADOS!$A:$J,10,FALSE)),"")</f>
        <v>Realizar visitas para verificar la información registrada sobre la autoevaluación institucional en el aplicativo EVI, a los establecimientos de educación formal no oficial.</v>
      </c>
      <c r="K1243" s="11" t="str">
        <f>IFERROR(IF(VLOOKUP(A1243,[8]PRIORIZADOS!$A:$K,11,FALSE)="","",VLOOKUP(A1243,[8]PRIORIZADOS!$A:$K,11,FALSE)),"")</f>
        <v>LUCY GONZÁLEZ LERMA</v>
      </c>
      <c r="L1243" s="11" t="str">
        <f>IFERROR(IF(VLOOKUP(A1243,[8]PRIORIZADOS!$A:$L,12,FALSE)="","",VLOOKUP(A1243,[8]PRIORIZADOS!$A:$L,12,FALSE)),"")</f>
        <v xml:space="preserve">DIANA ZULAY HUERTAS ORTÍZ </v>
      </c>
      <c r="M1243" s="71">
        <f>IFERROR(IF(VLOOKUP(A1243,[8]PRIORIZADOS!$A:$M,13,FALSE)="","",VLOOKUP(A1243,[8]PRIORIZADOS!$A:$M,13,FALSE)),"")</f>
        <v>45867</v>
      </c>
      <c r="N1243" s="71">
        <f>IFERROR(IF(VLOOKUP(A1243,[8]PRIORIZADOS!$A:$N,14,FALSE)="","",VLOOKUP(A1243,[8]PRIORIZADOS!$A:$N,14,FALSE)),"")</f>
        <v>45867</v>
      </c>
      <c r="O1243" s="71">
        <f>IFERROR(IF(VLOOKUP(A1243,[8]PRIORIZADOS!$A:$O,15,FALSE)="","",VLOOKUP(A1243,[8]PRIORIZADOS!$A:$O,15,FALSE)),"")</f>
        <v>45867</v>
      </c>
      <c r="P1243" s="11" t="str">
        <f>IFERROR(IF(VLOOKUP(A1243,[8]PRIORIZADOS!$A:$P,16,FALSE)="","",VLOOKUP(A1243,[8]PRIORIZADOS!$A:$P,16,FALSE)),"")</f>
        <v>Visitas de evaluación con fines de mejoramiento</v>
      </c>
      <c r="Q1243" s="107" t="s">
        <v>254</v>
      </c>
      <c r="R1243" s="11" t="str">
        <f>IFERROR(IF(VLOOKUP(A1243,[8]PRIORIZADOS!$A:$R,18,FALSE)="","",VLOOKUP(A1243,[8]PRIORIZADOS!$A:$R,18,FALSE)),"")</f>
        <v>La institución registra en el aplicativo EVI, la realidad institucional.</v>
      </c>
      <c r="S1243" s="11" t="str">
        <f>IFERROR(IF(VLOOKUP(A1243,[8]PRIORIZADOS!$A:$S,19,FALSE)="","",VLOOKUP(A1243,[8]PRIORIZADOS!$A:$S,19,FALSE)),"")</f>
        <v xml:space="preserve">Continuar registrando la realidad institucional en el aplicativo EVI. </v>
      </c>
      <c r="T1243" s="70" t="str">
        <f>IFERROR(IF(VLOOKUP(A1243,[8]PRIORIZADOS!$A:$T,20,FALSE)="","",VLOOKUP(A1243,[8]PRIORIZADOS!$A:$T,20,FALSE)),"")</f>
        <v>No</v>
      </c>
      <c r="U1243" s="11" t="str">
        <f>IFERROR(IF(VLOOKUP(A1243,[8]PRIORIZADOS!$A:$U,21,FALSE)="","",VLOOKUP(A1243,[8]PRIORIZADOS!$A:$U,21,FALSE)),"")</f>
        <v xml:space="preserve">El ELIV, verificará que la institución reporte la información que da cuenta de la realidad Institucional en el aplicativo EVI. </v>
      </c>
    </row>
    <row r="1244" spans="1:21" s="1" customFormat="1" ht="60">
      <c r="A1244" s="69">
        <f>IF([8]PRIORIZADOS!A224="","",[8]PRIORIZADOS!A224)</f>
        <v>1191</v>
      </c>
      <c r="B1244" s="70">
        <v>36</v>
      </c>
      <c r="C1244" s="11" t="str">
        <f>IFERROR(IF(VLOOKUP(A1244,[8]PRIORIZADOS!$A:$C,3,FALSE)="","",VLOOKUP(A1244,[8]PRIORIZADOS!$A:$C,3,FALSE)),"")</f>
        <v>KENNEDY</v>
      </c>
      <c r="D1244" s="11" t="str">
        <f>IFERROR(IF(VLOOKUP(A1244,[8]PRIORIZADOS!$A:$D,4,FALSE)="","",VLOOKUP(A1244,[8]PRIORIZADOS!$A:$D,4,FALSE)),"")</f>
        <v>PRIVADO</v>
      </c>
      <c r="E1244" s="11" t="str">
        <f>IFERROR(IF(VLOOKUP(A1244,[8]PRIORIZADOS!$A:$E,5,FALSE)="","",VLOOKUP(A1244,[8]PRIORIZADOS!$A:$E,5,FALSE)),"")</f>
        <v>EPBM</v>
      </c>
      <c r="F1244" s="11" t="str">
        <f>IFERROR(IF(VLOOKUP(A1244,[8]PRIORIZADOS!$A:$F,6,FALSE)="","",VLOOKUP(A1244,[8]PRIORIZADOS!$A:$F,6,FALSE)),"")</f>
        <v>LICEO_EMMANUELE_MARLUI</v>
      </c>
      <c r="G1244" s="11" t="str">
        <f>IFERROR(IF(VLOOKUP(A1244,[8]PRIORIZADOS!$A:$G,7,FALSE)="","",VLOOKUP(A1244,[8]PRIORIZADOS!$A:$G,7,FALSE)),"")</f>
        <v>LICEO EMMANUELE MARLUI</v>
      </c>
      <c r="H1244" s="11" t="str">
        <f>IFERROR(IF(VLOOKUP(A1244,[8]PRIORIZADOS!$A:$H,8,FALSE)="","",VLOOKUP(A1244,[8]PRIORIZADOS!$A:$H,8,FALSE)),"")</f>
        <v>Autoevaluación Institucional y Pruebas SABER 11</v>
      </c>
      <c r="I1244" s="11" t="str">
        <f>IFERROR(IF(VLOOKUP(A1244,[8]PRIORIZADOS!$A:$I,9,FALSE)="","",VLOOKUP(A1244,[8]PRIORIZADOS!$A:$I,9,FALSE)),"")</f>
        <v>SEGUIMIENTO_Y_SUPERVISIÓN.</v>
      </c>
      <c r="J1244" s="11" t="str">
        <f>IFERROR(IF(VLOOKUP(A1244,[8]PRIORIZADOS!$A:$J,10,FALSE)="","",VLOOKUP(A1244,[8]PRIORIZADOS!$A:$J,10,FALSE)),"")</f>
        <v>Proponer estrategias en la formulación, verificar su elaboración y realizar seguimiento semestral al desarrollo de  las acciones establecidas en los planes de mejoramiento por pruebas SABER 11 de los establecimientos de educación formal.</v>
      </c>
      <c r="K1244" s="11" t="str">
        <f>IFERROR(IF(VLOOKUP(A1244,[8]PRIORIZADOS!$A:$K,11,FALSE)="","",VLOOKUP(A1244,[8]PRIORIZADOS!$A:$K,11,FALSE)),"")</f>
        <v>LUCY GONZÁLEZ LERMA</v>
      </c>
      <c r="L1244" s="11" t="str">
        <f>IFERROR(IF(VLOOKUP(A1244,[8]PRIORIZADOS!$A:$L,12,FALSE)="","",VLOOKUP(A1244,[8]PRIORIZADOS!$A:$L,12,FALSE)),"")</f>
        <v xml:space="preserve">DIANA ZULAY HUERTAS ORTÍZ </v>
      </c>
      <c r="M1244" s="71">
        <f>IFERROR(IF(VLOOKUP(A1244,[8]PRIORIZADOS!$A:$M,13,FALSE)="","",VLOOKUP(A1244,[8]PRIORIZADOS!$A:$M,13,FALSE)),"")</f>
        <v>45867</v>
      </c>
      <c r="N1244" s="71">
        <f>IFERROR(IF(VLOOKUP(A1244,[8]PRIORIZADOS!$A:$N,14,FALSE)="","",VLOOKUP(A1244,[8]PRIORIZADOS!$A:$N,14,FALSE)),"")</f>
        <v>45867</v>
      </c>
      <c r="O1244" s="71">
        <f>IFERROR(IF(VLOOKUP(A1244,[8]PRIORIZADOS!$A:$O,15,FALSE)="","",VLOOKUP(A1244,[8]PRIORIZADOS!$A:$O,15,FALSE)),"")</f>
        <v>45867</v>
      </c>
      <c r="P1244" s="11" t="str">
        <f>IFERROR(IF(VLOOKUP(A1244,[8]PRIORIZADOS!$A:$P,16,FALSE)="","",VLOOKUP(A1244,[8]PRIORIZADOS!$A:$P,16,FALSE)),"")</f>
        <v>Visitas de evaluación con fines de mejoramiento</v>
      </c>
      <c r="Q1244" s="107" t="s">
        <v>254</v>
      </c>
      <c r="R1244" s="11" t="str">
        <f>IFERROR(IF(VLOOKUP(A1244,[8]PRIORIZADOS!$A:$R,18,FALSE)="","",VLOOKUP(A1244,[8]PRIORIZADOS!$A:$R,18,FALSE)),"")</f>
        <v xml:space="preserve">La Institución realiza un análisis de los resultados de pruebas SABER 11, manifiestan que plantea estrategias de mejoramiento pero no las documenta. </v>
      </c>
      <c r="S1244" s="11" t="str">
        <f>IFERROR(IF(VLOOKUP(A1244,[8]PRIORIZADOS!$A:$S,19,FALSE)="","",VLOOKUP(A1244,[8]PRIORIZADOS!$A:$S,19,FALSE)),"")</f>
        <v>Documentar el análisis de las pruebas SABER 11, las estrategias implementadas como Plan de Mejoramiento y aprobadas por el consejo Académico.</v>
      </c>
      <c r="T1244" s="70" t="str">
        <f>IFERROR(IF(VLOOKUP(A1244,[8]PRIORIZADOS!$A:$T,20,FALSE)="","",VLOOKUP(A1244,[8]PRIORIZADOS!$A:$T,20,FALSE)),"")</f>
        <v>Si</v>
      </c>
      <c r="U1244" s="11" t="str">
        <f>IFERROR(IF(VLOOKUP(A1244,[8]PRIORIZADOS!$A:$U,21,FALSE)="","",VLOOKUP(A1244,[8]PRIORIZADOS!$A:$U,21,FALSE)),"")</f>
        <v>El ELIV, verificará de acuerdo con la fecha registrada en el Plan de Mejoramiento las evidencias de la aprobación del consejo académico de las estrategias para mejorar resultados de Pruebas SABER 11. Se realiza mesa de seguimiento el 1 de octubre 2025.</v>
      </c>
    </row>
    <row r="1245" spans="1:21" s="1" customFormat="1" ht="48">
      <c r="A1245" s="69">
        <f>IF([8]PRIORIZADOS!A225="","",[8]PRIORIZADOS!A225)</f>
        <v>1192</v>
      </c>
      <c r="B1245" s="70">
        <v>36</v>
      </c>
      <c r="C1245" s="11" t="str">
        <f>IFERROR(IF(VLOOKUP(A1245,[8]PRIORIZADOS!$A:$C,3,FALSE)="","",VLOOKUP(A1245,[8]PRIORIZADOS!$A:$C,3,FALSE)),"")</f>
        <v>KENNEDY</v>
      </c>
      <c r="D1245" s="11" t="str">
        <f>IFERROR(IF(VLOOKUP(A1245,[8]PRIORIZADOS!$A:$D,4,FALSE)="","",VLOOKUP(A1245,[8]PRIORIZADOS!$A:$D,4,FALSE)),"")</f>
        <v>PRIVADO</v>
      </c>
      <c r="E1245" s="11" t="str">
        <f>IFERROR(IF(VLOOKUP(A1245,[8]PRIORIZADOS!$A:$E,5,FALSE)="","",VLOOKUP(A1245,[8]PRIORIZADOS!$A:$E,5,FALSE)),"")</f>
        <v>EPBM</v>
      </c>
      <c r="F1245" s="11" t="str">
        <f>IFERROR(IF(VLOOKUP(A1245,[8]PRIORIZADOS!$A:$F,6,FALSE)="","",VLOOKUP(A1245,[8]PRIORIZADOS!$A:$F,6,FALSE)),"")</f>
        <v>LICEO_EMMANUELE_MARLUI</v>
      </c>
      <c r="G1245" s="11" t="str">
        <f>IFERROR(IF(VLOOKUP(A1245,[8]PRIORIZADOS!$A:$G,7,FALSE)="","",VLOOKUP(A1245,[8]PRIORIZADOS!$A:$G,7,FALSE)),"")</f>
        <v>LICEO EMMANUELE MARLUI</v>
      </c>
      <c r="H1245" s="11" t="str">
        <f>IFERROR(IF(VLOOKUP(A1245,[8]PRIORIZADOS!$A:$H,8,FALSE)="","",VLOOKUP(A1245,[8]PRIORIZADOS!$A:$H,8,FALSE)),"")</f>
        <v>Autoevaluación Institucional y Pruebas SABER 11</v>
      </c>
      <c r="I1245" s="11" t="str">
        <f>IFERROR(IF(VLOOKUP(A1245,[8]PRIORIZADOS!$A:$I,9,FALSE)="","",VLOOKUP(A1245,[8]PRIORIZADOS!$A:$I,9,FALSE)),"")</f>
        <v>SEGUIMIENTO_Y_SUPERVISIÓN.</v>
      </c>
      <c r="J1245" s="11" t="str">
        <f>IFERROR(IF(VLOOKUP(A1245,[8]PRIORIZADOS!$A:$J,10,FALSE)="","",VLOOKUP(A1245,[8]PRIORIZADOS!$A:$J,10,FALSE)),"")</f>
        <v xml:space="preserve">Verificar la implementación por parte de los colegios, de acciones realizadas para la prevención y atención de las situaciones de convivencia en el entorno escolar, según lo establecido en la Directiva 01 de 2022 del MEN. </v>
      </c>
      <c r="K1245" s="11" t="str">
        <f>IFERROR(IF(VLOOKUP(A1245,[8]PRIORIZADOS!$A:$K,11,FALSE)="","",VLOOKUP(A1245,[8]PRIORIZADOS!$A:$K,11,FALSE)),"")</f>
        <v>LUCY GONZÁLEZ LERMA</v>
      </c>
      <c r="L1245" s="11" t="str">
        <f>IFERROR(IF(VLOOKUP(A1245,[8]PRIORIZADOS!$A:$L,12,FALSE)="","",VLOOKUP(A1245,[8]PRIORIZADOS!$A:$L,12,FALSE)),"")</f>
        <v xml:space="preserve">DIANA ZULAY HUERTAS ORTÍZ </v>
      </c>
      <c r="M1245" s="71">
        <f>IFERROR(IF(VLOOKUP(A1245,[8]PRIORIZADOS!$A:$M,13,FALSE)="","",VLOOKUP(A1245,[8]PRIORIZADOS!$A:$M,13,FALSE)),"")</f>
        <v>45867</v>
      </c>
      <c r="N1245" s="71">
        <f>IFERROR(IF(VLOOKUP(A1245,[8]PRIORIZADOS!$A:$N,14,FALSE)="","",VLOOKUP(A1245,[8]PRIORIZADOS!$A:$N,14,FALSE)),"")</f>
        <v>45867</v>
      </c>
      <c r="O1245" s="71">
        <f>IFERROR(IF(VLOOKUP(A1245,[8]PRIORIZADOS!$A:$O,15,FALSE)="","",VLOOKUP(A1245,[8]PRIORIZADOS!$A:$O,15,FALSE)),"")</f>
        <v>45867</v>
      </c>
      <c r="P1245" s="11" t="str">
        <f>IFERROR(IF(VLOOKUP(A1245,[8]PRIORIZADOS!$A:$P,16,FALSE)="","",VLOOKUP(A1245,[8]PRIORIZADOS!$A:$P,16,FALSE)),"")</f>
        <v>Visitas de evaluación con fines de mejoramiento</v>
      </c>
      <c r="Q1245" s="126" t="s">
        <v>254</v>
      </c>
      <c r="R1245" s="11" t="str">
        <f>IFERROR(IF(VLOOKUP(A1245,[8]PRIORIZADOS!$A:$R,18,FALSE)="","",VLOOKUP(A1245,[8]PRIORIZADOS!$A:$R,18,FALSE)),"")</f>
        <v>La Institución realiza acciones de prevención y atención de las situaciones de convivencia en el entorno escolar.</v>
      </c>
      <c r="S1245" s="11" t="str">
        <f>IFERROR(IF(VLOOKUP(A1245,[8]PRIORIZADOS!$A:$S,19,FALSE)="","",VLOOKUP(A1245,[8]PRIORIZADOS!$A:$S,19,FALSE)),"")</f>
        <v xml:space="preserve">Continuar realizando acciones de prevención y atención de las situaciones de convivencia escolar. </v>
      </c>
      <c r="T1245" s="70" t="str">
        <f>IFERROR(IF(VLOOKUP(A1245,[8]PRIORIZADOS!$A:$T,20,FALSE)="","",VLOOKUP(A1245,[8]PRIORIZADOS!$A:$T,20,FALSE)),"")</f>
        <v>No</v>
      </c>
      <c r="U1245" s="11" t="str">
        <f>IFERROR(IF(VLOOKUP(A1245,[8]PRIORIZADOS!$A:$U,21,FALSE)="","",VLOOKUP(A1245,[8]PRIORIZADOS!$A:$U,21,FALSE)),"")</f>
        <v>Verificar que las acciones de prevención y atención de las situaciones de convivencia en el entorno escolar se continúen realizando.</v>
      </c>
    </row>
    <row r="1246" spans="1:21" s="1" customFormat="1" ht="72">
      <c r="A1246" s="69">
        <f>IF([8]PRIORIZADOS!A226="","",[8]PRIORIZADOS!A226)</f>
        <v>1193</v>
      </c>
      <c r="B1246" s="70">
        <v>36</v>
      </c>
      <c r="C1246" s="11" t="str">
        <f>IFERROR(IF(VLOOKUP(A1246,[8]PRIORIZADOS!$A:$C,3,FALSE)="","",VLOOKUP(A1246,[8]PRIORIZADOS!$A:$C,3,FALSE)),"")</f>
        <v>KENNEDY</v>
      </c>
      <c r="D1246" s="11" t="str">
        <f>IFERROR(IF(VLOOKUP(A1246,[8]PRIORIZADOS!$A:$D,4,FALSE)="","",VLOOKUP(A1246,[8]PRIORIZADOS!$A:$D,4,FALSE)),"")</f>
        <v>PRIVADO</v>
      </c>
      <c r="E1246" s="11" t="str">
        <f>IFERROR(IF(VLOOKUP(A1246,[8]PRIORIZADOS!$A:$E,5,FALSE)="","",VLOOKUP(A1246,[8]PRIORIZADOS!$A:$E,5,FALSE)),"")</f>
        <v>EPBM</v>
      </c>
      <c r="F1246" s="11" t="str">
        <f>IFERROR(IF(VLOOKUP(A1246,[8]PRIORIZADOS!$A:$F,6,FALSE)="","",VLOOKUP(A1246,[8]PRIORIZADOS!$A:$F,6,FALSE)),"")</f>
        <v>LICEO_EMMANUELE_MARLUI</v>
      </c>
      <c r="G1246" s="11" t="str">
        <f>IFERROR(IF(VLOOKUP(A1246,[8]PRIORIZADOS!$A:$G,7,FALSE)="","",VLOOKUP(A1246,[8]PRIORIZADOS!$A:$G,7,FALSE)),"")</f>
        <v>LICEO EMMANUELE MARLUI</v>
      </c>
      <c r="H1246" s="11" t="str">
        <f>IFERROR(IF(VLOOKUP(A1246,[8]PRIORIZADOS!$A:$H,8,FALSE)="","",VLOOKUP(A1246,[8]PRIORIZADOS!$A:$H,8,FALSE)),"")</f>
        <v>Autoevaluación Institucional y Pruebas SABER 11</v>
      </c>
      <c r="I1246" s="11" t="str">
        <f>IFERROR(IF(VLOOKUP(A1246,[8]PRIORIZADOS!$A:$I,9,FALSE)="","",VLOOKUP(A1246,[8]PRIORIZADOS!$A:$I,9,FALSE)),"")</f>
        <v>SEGUIMIENTO_Y_SUPERVISIÓN.</v>
      </c>
      <c r="J1246" s="11" t="str">
        <f>IFERROR(IF(VLOOKUP(A1246,[8]PRIORIZADOS!$A:$J,10,FALSE)="","",VLOOKUP(A1246,[8]PRIORIZADOS!$A:$J,10,FALSE)),"")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46" s="11" t="str">
        <f>IFERROR(IF(VLOOKUP(A1246,[8]PRIORIZADOS!$A:$K,11,FALSE)="","",VLOOKUP(A1246,[8]PRIORIZADOS!$A:$K,11,FALSE)),"")</f>
        <v>LUCY GONZÁLEZ LERMA</v>
      </c>
      <c r="L1246" s="11" t="str">
        <f>IFERROR(IF(VLOOKUP(A1246,[8]PRIORIZADOS!$A:$L,12,FALSE)="","",VLOOKUP(A1246,[8]PRIORIZADOS!$A:$L,12,FALSE)),"")</f>
        <v xml:space="preserve">DIANA ZULAY HUERTAS ORTÍZ </v>
      </c>
      <c r="M1246" s="71">
        <f>IFERROR(IF(VLOOKUP(A1246,[8]PRIORIZADOS!$A:$M,13,FALSE)="","",VLOOKUP(A1246,[8]PRIORIZADOS!$A:$M,13,FALSE)),"")</f>
        <v>45867</v>
      </c>
      <c r="N1246" s="71">
        <f>IFERROR(IF(VLOOKUP(A1246,[8]PRIORIZADOS!$A:$N,14,FALSE)="","",VLOOKUP(A1246,[8]PRIORIZADOS!$A:$N,14,FALSE)),"")</f>
        <v>45867</v>
      </c>
      <c r="O1246" s="71">
        <f>IFERROR(IF(VLOOKUP(A1246,[8]PRIORIZADOS!$A:$O,15,FALSE)="","",VLOOKUP(A1246,[8]PRIORIZADOS!$A:$O,15,FALSE)),"")</f>
        <v>45867</v>
      </c>
      <c r="P1246" s="11" t="str">
        <f>IFERROR(IF(VLOOKUP(A1246,[8]PRIORIZADOS!$A:$P,16,FALSE)="","",VLOOKUP(A1246,[8]PRIORIZADOS!$A:$P,16,FALSE)),"")</f>
        <v>Visitas de evaluación con fines de mejoramiento</v>
      </c>
      <c r="Q1246" s="107" t="s">
        <v>254</v>
      </c>
      <c r="R1246" s="11" t="str">
        <f>IFERROR(IF(VLOOKUP(A1246,[8]PRIORIZADOS!$A:$R,18,FALSE)="","",VLOOKUP(A1246,[8]PRIORIZADOS!$A:$R,18,FALSE)),"")</f>
        <v xml:space="preserve">La institución informa que no cuenta con población con discapacidad, trastornos de aprendizaje ni talentos excepcionales que requieran la implementación de un PIAR. </v>
      </c>
      <c r="S1246" s="11" t="str">
        <f>IFERROR(IF(VLOOKUP(A1246,[8]PRIORIZADOS!$A:$S,19,FALSE)="","",VLOOKUP(A1246,[8]PRIORIZADOS!$A:$S,19,FALSE)),"")</f>
        <v xml:space="preserve">Seguir caracterizando la población para realizar los ajustes necesarios cuando se identifique un estudiante con discapacidad, trastorno de aprendizaje o talento excepcional. </v>
      </c>
      <c r="T1246" s="70" t="str">
        <f>IFERROR(IF(VLOOKUP(A1246,[8]PRIORIZADOS!$A:$T,20,FALSE)="","",VLOOKUP(A1246,[8]PRIORIZADOS!$A:$T,20,FALSE)),"")</f>
        <v>No</v>
      </c>
      <c r="U1246" s="11" t="str">
        <f>IFERROR(IF(VLOOKUP(A1246,[8]PRIORIZADOS!$A:$U,21,FALSE)="","",VLOOKUP(A1246,[8]PRIORIZADOS!$A:$U,21,FALSE)),"")</f>
        <v xml:space="preserve">Verificar acciones de identificación de población con discapacidad, trastornos de aprendizaje o talentos excepcionales con el fin de realizar ajustes necesarios. </v>
      </c>
    </row>
    <row r="1247" spans="1:21" s="1" customFormat="1" ht="84">
      <c r="A1247" s="69">
        <f>IF([8]PRIORIZADOS!A227="","",[8]PRIORIZADOS!A227)</f>
        <v>1194</v>
      </c>
      <c r="B1247" s="70">
        <v>36</v>
      </c>
      <c r="C1247" s="11" t="str">
        <f>IFERROR(IF(VLOOKUP(A1247,[8]PRIORIZADOS!$A:$C,3,FALSE)="","",VLOOKUP(A1247,[8]PRIORIZADOS!$A:$C,3,FALSE)),"")</f>
        <v>KENNEDY</v>
      </c>
      <c r="D1247" s="11" t="str">
        <f>IFERROR(IF(VLOOKUP(A1247,[8]PRIORIZADOS!$A:$D,4,FALSE)="","",VLOOKUP(A1247,[8]PRIORIZADOS!$A:$D,4,FALSE)),"")</f>
        <v>PRIVADO</v>
      </c>
      <c r="E1247" s="11" t="str">
        <f>IFERROR(IF(VLOOKUP(A1247,[8]PRIORIZADOS!$A:$E,5,FALSE)="","",VLOOKUP(A1247,[8]PRIORIZADOS!$A:$E,5,FALSE)),"")</f>
        <v>EPBM</v>
      </c>
      <c r="F1247" s="11" t="str">
        <f>IFERROR(IF(VLOOKUP(A1247,[8]PRIORIZADOS!$A:$F,6,FALSE)="","",VLOOKUP(A1247,[8]PRIORIZADOS!$A:$F,6,FALSE)),"")</f>
        <v>LICEO_EMMANUELE_MARLUI</v>
      </c>
      <c r="G1247" s="11" t="str">
        <f>IFERROR(IF(VLOOKUP(A1247,[8]PRIORIZADOS!$A:$G,7,FALSE)="","",VLOOKUP(A1247,[8]PRIORIZADOS!$A:$G,7,FALSE)),"")</f>
        <v>LICEO EMMANUELE MARLUI</v>
      </c>
      <c r="H1247" s="11" t="str">
        <f>IFERROR(IF(VLOOKUP(A1247,[8]PRIORIZADOS!$A:$H,8,FALSE)="","",VLOOKUP(A1247,[8]PRIORIZADOS!$A:$H,8,FALSE)),"")</f>
        <v>Autoevaluación Institucional y Pruebas SABER 11</v>
      </c>
      <c r="I1247" s="11" t="str">
        <f>IFERROR(IF(VLOOKUP(A1247,[8]PRIORIZADOS!$A:$I,9,FALSE)="","",VLOOKUP(A1247,[8]PRIORIZADOS!$A:$I,9,FALSE)),"")</f>
        <v>EVALUACIÓN_CON_FINES_DE_MEJORAMIENTO.</v>
      </c>
      <c r="J1247" s="11" t="str">
        <f>IFERROR(IF(VLOOKUP(A1247,[8]PRIORIZADOS!$A:$J,10,FALSE)="","",VLOOKUP(A1247,[8]PRIORIZADOS!$A:$J,10,FALSE)),"")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47" s="11" t="str">
        <f>IFERROR(IF(VLOOKUP(A1247,[8]PRIORIZADOS!$A:$K,11,FALSE)="","",VLOOKUP(A1247,[8]PRIORIZADOS!$A:$K,11,FALSE)),"")</f>
        <v>LUCY GONZÁLEZ LERMA</v>
      </c>
      <c r="L1247" s="11" t="str">
        <f>IFERROR(IF(VLOOKUP(A1247,[8]PRIORIZADOS!$A:$L,12,FALSE)="","",VLOOKUP(A1247,[8]PRIORIZADOS!$A:$L,12,FALSE)),"")</f>
        <v xml:space="preserve">DIANA ZULAY HUERTAS ORTÍZ </v>
      </c>
      <c r="M1247" s="71">
        <f>IFERROR(IF(VLOOKUP(A1247,[8]PRIORIZADOS!$A:$M,13,FALSE)="","",VLOOKUP(A1247,[8]PRIORIZADOS!$A:$M,13,FALSE)),"")</f>
        <v>45867</v>
      </c>
      <c r="N1247" s="71">
        <f>IFERROR(IF(VLOOKUP(A1247,[8]PRIORIZADOS!$A:$N,14,FALSE)="","",VLOOKUP(A1247,[8]PRIORIZADOS!$A:$N,14,FALSE)),"")</f>
        <v>45867</v>
      </c>
      <c r="O1247" s="71">
        <f>IFERROR(IF(VLOOKUP(A1247,[8]PRIORIZADOS!$A:$O,15,FALSE)="","",VLOOKUP(A1247,[8]PRIORIZADOS!$A:$O,15,FALSE)),"")</f>
        <v>45867</v>
      </c>
      <c r="P1247" s="11" t="str">
        <f>IFERROR(IF(VLOOKUP(A1247,[8]PRIORIZADOS!$A:$P,16,FALSE)="","",VLOOKUP(A1247,[8]PRIORIZADOS!$A:$P,16,FALSE)),"")</f>
        <v>Visitas de evaluación con fines de mejoramiento</v>
      </c>
      <c r="Q1247" s="107" t="s">
        <v>254</v>
      </c>
      <c r="R1247" s="11" t="str">
        <f>IFERROR(IF(VLOOKUP(A1247,[8]PRIORIZADOS!$A:$R,18,FALSE)="","",VLOOKUP(A1247,[8]PRIORIZADOS!$A:$R,18,FALSE)),"")</f>
        <v xml:space="preserve">La institución no cuenta con un manual de convivencia actualizado. en relación aspectos disciplinarios, situaciones de convivencia y enfoques de derechos, restaurativos y de diversidad de género. </v>
      </c>
      <c r="S1247" s="11" t="str">
        <f>IFERROR(IF(VLOOKUP(A1247,[8]PRIORIZADOS!$A:$S,19,FALSE)="","",VLOOKUP(A1247,[8]PRIORIZADOS!$A:$S,19,FALSE)),"")</f>
        <v>Actualizar el manual de convivencia involucrando los enfoques restaurativo, de derechos y de diversidad de género.</v>
      </c>
      <c r="T1247" s="70" t="str">
        <f>IFERROR(IF(VLOOKUP(A1247,[8]PRIORIZADOS!$A:$T,20,FALSE)="","",VLOOKUP(A1247,[8]PRIORIZADOS!$A:$T,20,FALSE)),"")</f>
        <v>SI</v>
      </c>
      <c r="U1247" s="11" t="str">
        <f>IFERROR(IF(VLOOKUP(A1247,[8]PRIORIZADOS!$A:$U,21,FALSE)="","",VLOOKUP(A1247,[8]PRIORIZADOS!$A:$U,21,FALSE)),"")</f>
        <v>El ELIV, revisará la actualización del manual de convivencia de acuerdo a la normatividad vigente. Se realiza mesa de seguimiento el 1 de octubre 2025.</v>
      </c>
    </row>
    <row r="1248" spans="1:21" s="1" customFormat="1" ht="72">
      <c r="A1248" s="69">
        <f>IF([8]PRIORIZADOS!A228="","",[8]PRIORIZADOS!A228)</f>
        <v>1195</v>
      </c>
      <c r="B1248" s="70">
        <v>36</v>
      </c>
      <c r="C1248" s="11" t="str">
        <f>IFERROR(IF(VLOOKUP(A1248,[8]PRIORIZADOS!$A:$C,3,FALSE)="","",VLOOKUP(A1248,[8]PRIORIZADOS!$A:$C,3,FALSE)),"")</f>
        <v>KENNEDY</v>
      </c>
      <c r="D1248" s="11" t="str">
        <f>IFERROR(IF(VLOOKUP(A1248,[8]PRIORIZADOS!$A:$D,4,FALSE)="","",VLOOKUP(A1248,[8]PRIORIZADOS!$A:$D,4,FALSE)),"")</f>
        <v>PRIVADO</v>
      </c>
      <c r="E1248" s="11" t="str">
        <f>IFERROR(IF(VLOOKUP(A1248,[8]PRIORIZADOS!$A:$E,5,FALSE)="","",VLOOKUP(A1248,[8]PRIORIZADOS!$A:$E,5,FALSE)),"")</f>
        <v>EPBM</v>
      </c>
      <c r="F1248" s="11" t="str">
        <f>IFERROR(IF(VLOOKUP(A1248,[8]PRIORIZADOS!$A:$F,6,FALSE)="","",VLOOKUP(A1248,[8]PRIORIZADOS!$A:$F,6,FALSE)),"")</f>
        <v>LICEO_EMMANUELE_MARLUI</v>
      </c>
      <c r="G1248" s="11" t="str">
        <f>IFERROR(IF(VLOOKUP(A1248,[8]PRIORIZADOS!$A:$G,7,FALSE)="","",VLOOKUP(A1248,[8]PRIORIZADOS!$A:$G,7,FALSE)),"")</f>
        <v>LICEO EMMANUELE MARLUI</v>
      </c>
      <c r="H1248" s="11" t="str">
        <f>IFERROR(IF(VLOOKUP(A1248,[8]PRIORIZADOS!$A:$H,8,FALSE)="","",VLOOKUP(A1248,[8]PRIORIZADOS!$A:$H,8,FALSE)),"")</f>
        <v>Autoevaluación Institucional y Pruebas SABER 11</v>
      </c>
      <c r="I1248" s="11" t="str">
        <f>IFERROR(IF(VLOOKUP(A1248,[8]PRIORIZADOS!$A:$I,9,FALSE)="","",VLOOKUP(A1248,[8]PRIORIZADOS!$A:$I,9,FALSE)),"")</f>
        <v>EVALUACIÓN_CON_FINES_DE_MEJORAMIENTO.</v>
      </c>
      <c r="J1248" s="11" t="str">
        <f>IFERROR(IF(VLOOKUP(A1248,[8]PRIORIZADOS!$A:$J,10,FALSE)="","",VLOOKUP(A1248,[8]PRIORIZADOS!$A:$J,10,FALSE)),"")</f>
        <v>Revisar la actualización, socialización e implementación del Sistema Institucional de Evaluación de Estudiantes - SIEE, en articulación con la actualización del PEI y la normatividad vigente.</v>
      </c>
      <c r="K1248" s="11" t="str">
        <f>IFERROR(IF(VLOOKUP(A1248,[8]PRIORIZADOS!$A:$K,11,FALSE)="","",VLOOKUP(A1248,[8]PRIORIZADOS!$A:$K,11,FALSE)),"")</f>
        <v>LUCY GONZÁLEZ LERMA</v>
      </c>
      <c r="L1248" s="11" t="str">
        <f>IFERROR(IF(VLOOKUP(A1248,[8]PRIORIZADOS!$A:$L,12,FALSE)="","",VLOOKUP(A1248,[8]PRIORIZADOS!$A:$L,12,FALSE)),"")</f>
        <v xml:space="preserve">DIANA ZULAY HUERTAS ORTÍZ </v>
      </c>
      <c r="M1248" s="71">
        <f>IFERROR(IF(VLOOKUP(A1248,[8]PRIORIZADOS!$A:$M,13,FALSE)="","",VLOOKUP(A1248,[8]PRIORIZADOS!$A:$M,13,FALSE)),"")</f>
        <v>45867</v>
      </c>
      <c r="N1248" s="71">
        <f>IFERROR(IF(VLOOKUP(A1248,[8]PRIORIZADOS!$A:$N,14,FALSE)="","",VLOOKUP(A1248,[8]PRIORIZADOS!$A:$N,14,FALSE)),"")</f>
        <v>45867</v>
      </c>
      <c r="O1248" s="71">
        <f>IFERROR(IF(VLOOKUP(A1248,[8]PRIORIZADOS!$A:$O,15,FALSE)="","",VLOOKUP(A1248,[8]PRIORIZADOS!$A:$O,15,FALSE)),"")</f>
        <v>45867</v>
      </c>
      <c r="P1248" s="11" t="str">
        <f>IFERROR(IF(VLOOKUP(A1248,[8]PRIORIZADOS!$A:$P,16,FALSE)="","",VLOOKUP(A1248,[8]PRIORIZADOS!$A:$P,16,FALSE)),"")</f>
        <v>Visitas de evaluación con fines de mejoramiento</v>
      </c>
      <c r="Q1248" s="107" t="s">
        <v>254</v>
      </c>
      <c r="R1248" s="11" t="str">
        <f>IFERROR(IF(VLOOKUP(A1248,[8]PRIORIZADOS!$A:$R,18,FALSE)="","",VLOOKUP(A1248,[8]PRIORIZADOS!$A:$R,18,FALSE)),"")</f>
        <v xml:space="preserve">El Sistema Institucional de Evaluación  contempla evidencias de su ejecución a través de la plataforma Class Room, además, cuenta con estrategias de apoyo para resolver situaciones académicas  de los estudiantes. </v>
      </c>
      <c r="S1248" s="11" t="str">
        <f>IFERROR(IF(VLOOKUP(A1248,[8]PRIORIZADOS!$A:$S,19,FALSE)="","",VLOOKUP(A1248,[8]PRIORIZADOS!$A:$S,19,FALSE)),"")</f>
        <v xml:space="preserve">Mantener actualizada la información en la plataforma dispuesta por la institución y hacer seguimiento y ajustes cuando se requieran. </v>
      </c>
      <c r="T1248" s="70" t="str">
        <f>IFERROR(IF(VLOOKUP(A1248,[8]PRIORIZADOS!$A:$T,20,FALSE)="","",VLOOKUP(A1248,[8]PRIORIZADOS!$A:$T,20,FALSE)),"")</f>
        <v>No</v>
      </c>
      <c r="U1248" s="11" t="str">
        <f>IFERROR(IF(VLOOKUP(A1248,[8]PRIORIZADOS!$A:$U,21,FALSE)="","",VLOOKUP(A1248,[8]PRIORIZADOS!$A:$U,21,FALSE)),"")</f>
        <v>El ELIV verificará en la próxima vigencia el desarrollo de las acciones previstas en el SIEE.</v>
      </c>
    </row>
    <row r="1249" spans="1:26" s="1" customFormat="1" ht="60">
      <c r="A1249" s="69">
        <f>IF([8]PRIORIZADOS!A229="","",[8]PRIORIZADOS!A229)</f>
        <v>1196</v>
      </c>
      <c r="B1249" s="70">
        <v>36</v>
      </c>
      <c r="C1249" s="11" t="str">
        <f>IFERROR(IF(VLOOKUP(A1249,[8]PRIORIZADOS!$A:$C,3,FALSE)="","",VLOOKUP(A1249,[8]PRIORIZADOS!$A:$C,3,FALSE)),"")</f>
        <v>KENNEDY</v>
      </c>
      <c r="D1249" s="11" t="str">
        <f>IFERROR(IF(VLOOKUP(A1249,[8]PRIORIZADOS!$A:$D,4,FALSE)="","",VLOOKUP(A1249,[8]PRIORIZADOS!$A:$D,4,FALSE)),"")</f>
        <v>PRIVADO</v>
      </c>
      <c r="E1249" s="11" t="str">
        <f>IFERROR(IF(VLOOKUP(A1249,[8]PRIORIZADOS!$A:$E,5,FALSE)="","",VLOOKUP(A1249,[8]PRIORIZADOS!$A:$E,5,FALSE)),"")</f>
        <v>EPBM</v>
      </c>
      <c r="F1249" s="11" t="str">
        <f>IFERROR(IF(VLOOKUP(A1249,[8]PRIORIZADOS!$A:$F,6,FALSE)="","",VLOOKUP(A1249,[8]PRIORIZADOS!$A:$F,6,FALSE)),"")</f>
        <v>LICEO_EMMANUELE_MARLUI</v>
      </c>
      <c r="G1249" s="11" t="str">
        <f>IFERROR(IF(VLOOKUP(A1249,[8]PRIORIZADOS!$A:$G,7,FALSE)="","",VLOOKUP(A1249,[8]PRIORIZADOS!$A:$G,7,FALSE)),"")</f>
        <v>LICEO EMMANUELE MARLUI</v>
      </c>
      <c r="H1249" s="11" t="str">
        <f>IFERROR(IF(VLOOKUP(A1249,[8]PRIORIZADOS!$A:$H,8,FALSE)="","",VLOOKUP(A1249,[8]PRIORIZADOS!$A:$H,8,FALSE)),"")</f>
        <v>Autoevaluación Institucional y Pruebas SABER 11</v>
      </c>
      <c r="I1249" s="11" t="str">
        <f>IFERROR(IF(VLOOKUP(A1249,[8]PRIORIZADOS!$A:$I,9,FALSE)="","",VLOOKUP(A1249,[8]PRIORIZADOS!$A:$I,9,FALSE)),"")</f>
        <v>EVALUACIÓN_CON_FINES_DE_MEJORAMIENTO.</v>
      </c>
      <c r="J1249" s="11" t="str">
        <f>IFERROR(IF(VLOOKUP(A1249,[8]PRIORIZADOS!$A:$J,10,FALSE)="","",VLOOKUP(A1249,[8]PRIORIZADOS!$A:$J,10,FALSE)),"")</f>
        <v>Revisar el calendario escolar, jornada escolar, la intensidad horaria mínima anual en cada nivel y las modificaciones que se realicen al mismo, de acuerdo con lo previsto en la normatividad vigente.</v>
      </c>
      <c r="K1249" s="11" t="str">
        <f>IFERROR(IF(VLOOKUP(A1249,[8]PRIORIZADOS!$A:$K,11,FALSE)="","",VLOOKUP(A1249,[8]PRIORIZADOS!$A:$K,11,FALSE)),"")</f>
        <v>LUCY GONZÁLEZ LERMA</v>
      </c>
      <c r="L1249" s="11" t="str">
        <f>IFERROR(IF(VLOOKUP(A1249,[8]PRIORIZADOS!$A:$L,12,FALSE)="","",VLOOKUP(A1249,[8]PRIORIZADOS!$A:$L,12,FALSE)),"")</f>
        <v xml:space="preserve">DIANA ZULAY HUERTAS ORTÍZ </v>
      </c>
      <c r="M1249" s="71">
        <f>IFERROR(IF(VLOOKUP(A1249,[8]PRIORIZADOS!$A:$M,13,FALSE)="","",VLOOKUP(A1249,[8]PRIORIZADOS!$A:$M,13,FALSE)),"")</f>
        <v>45867</v>
      </c>
      <c r="N1249" s="71">
        <f>IFERROR(IF(VLOOKUP(A1249,[8]PRIORIZADOS!$A:$N,14,FALSE)="","",VLOOKUP(A1249,[8]PRIORIZADOS!$A:$N,14,FALSE)),"")</f>
        <v>45867</v>
      </c>
      <c r="O1249" s="71">
        <f>IFERROR(IF(VLOOKUP(A1249,[8]PRIORIZADOS!$A:$O,15,FALSE)="","",VLOOKUP(A1249,[8]PRIORIZADOS!$A:$O,15,FALSE)),"")</f>
        <v>45867</v>
      </c>
      <c r="P1249" s="11" t="str">
        <f>IFERROR(IF(VLOOKUP(A1249,[8]PRIORIZADOS!$A:$P,16,FALSE)="","",VLOOKUP(A1249,[8]PRIORIZADOS!$A:$P,16,FALSE)),"")</f>
        <v>Visitas de evaluación con fines de mejoramiento</v>
      </c>
      <c r="Q1249" s="107" t="s">
        <v>254</v>
      </c>
      <c r="R1249" s="11" t="str">
        <f>IFERROR(IF(VLOOKUP(A1249,[8]PRIORIZADOS!$A:$R,18,FALSE)="","",VLOOKUP(A1249,[8]PRIORIZADOS!$A:$R,18,FALSE)),"")</f>
        <v>La IE cuenta con calendario escolar que da cuenta de su jornada escolar la intensidad horaria mínima anual en cada nivel , de acuerdo con lo previsto en la normatividad vigente.</v>
      </c>
      <c r="S1249" s="11" t="str">
        <f>IFERROR(IF(VLOOKUP(A1249,[8]PRIORIZADOS!$A:$S,19,FALSE)="","",VLOOKUP(A1249,[8]PRIORIZADOS!$A:$S,19,FALSE)),"")</f>
        <v>La IE garantiza el cumplimiento de la intensidad horaria mínima anual para cada uno de los niveles que ofrece</v>
      </c>
      <c r="T1249" s="70" t="str">
        <f>IFERROR(IF(VLOOKUP(A1249,[8]PRIORIZADOS!$A:$T,20,FALSE)="","",VLOOKUP(A1249,[8]PRIORIZADOS!$A:$T,20,FALSE)),"")</f>
        <v>No</v>
      </c>
      <c r="U1249" s="11" t="str">
        <f>IFERROR(IF(VLOOKUP(A1249,[8]PRIORIZADOS!$A:$U,21,FALSE)="","",VLOOKUP(A1249,[8]PRIORIZADOS!$A:$U,21,FALSE)),"")</f>
        <v>Seguimiento al cumplimiento del calendario escolar en la próxima vigencia.</v>
      </c>
    </row>
    <row r="1250" spans="1:26" s="1" customFormat="1" ht="84">
      <c r="A1250" s="69">
        <f>IF([8]PRIORIZADOS!A230="","",[8]PRIORIZADOS!A230)</f>
        <v>1197</v>
      </c>
      <c r="B1250" s="70">
        <v>36</v>
      </c>
      <c r="C1250" s="11" t="str">
        <f>IFERROR(IF(VLOOKUP(A1250,[8]PRIORIZADOS!$A:$C,3,FALSE)="","",VLOOKUP(A1250,[8]PRIORIZADOS!$A:$C,3,FALSE)),"")</f>
        <v>KENNEDY</v>
      </c>
      <c r="D1250" s="11" t="str">
        <f>IFERROR(IF(VLOOKUP(A1250,[8]PRIORIZADOS!$A:$D,4,FALSE)="","",VLOOKUP(A1250,[8]PRIORIZADOS!$A:$D,4,FALSE)),"")</f>
        <v>PRIVADO</v>
      </c>
      <c r="E1250" s="11" t="str">
        <f>IFERROR(IF(VLOOKUP(A1250,[8]PRIORIZADOS!$A:$E,5,FALSE)="","",VLOOKUP(A1250,[8]PRIORIZADOS!$A:$E,5,FALSE)),"")</f>
        <v>EPBM</v>
      </c>
      <c r="F1250" s="11" t="str">
        <f>IFERROR(IF(VLOOKUP(A1250,[8]PRIORIZADOS!$A:$F,6,FALSE)="","",VLOOKUP(A1250,[8]PRIORIZADOS!$A:$F,6,FALSE)),"")</f>
        <v>LICEO_EMMANUELE_MARLUI</v>
      </c>
      <c r="G1250" s="11" t="str">
        <f>IFERROR(IF(VLOOKUP(A1250,[8]PRIORIZADOS!$A:$G,7,FALSE)="","",VLOOKUP(A1250,[8]PRIORIZADOS!$A:$G,7,FALSE)),"")</f>
        <v>LICEO EMMANUELE MARLUI</v>
      </c>
      <c r="H1250" s="11" t="str">
        <f>IFERROR(IF(VLOOKUP(A1250,[8]PRIORIZADOS!$A:$H,8,FALSE)="","",VLOOKUP(A1250,[8]PRIORIZADOS!$A:$H,8,FALSE)),"")</f>
        <v>Autoevaluación Institucional y Pruebas SABER 11</v>
      </c>
      <c r="I1250" s="11" t="str">
        <f>IFERROR(IF(VLOOKUP(A1250,[8]PRIORIZADOS!$A:$I,9,FALSE)="","",VLOOKUP(A1250,[8]PRIORIZADOS!$A:$I,9,FALSE)),"")</f>
        <v>EVALUACIÓN_CON_FINES_DE_MEJORAMIENTO.</v>
      </c>
      <c r="J1250" s="11" t="str">
        <f>IFERROR(IF(VLOOKUP(A1250,[8]PRIORIZADOS!$A:$J,10,FALSE)="","",VLOOKUP(A1250,[8]PRIORIZADOS!$A:$J,10,FALSE)),"")</f>
        <v>Verificar el funcionamiento del Gobierno Escolar e instancias de participación con base en la información sobre conformación reportada por la institución educativa.</v>
      </c>
      <c r="K1250" s="11" t="str">
        <f>IFERROR(IF(VLOOKUP(A1250,[8]PRIORIZADOS!$A:$K,11,FALSE)="","",VLOOKUP(A1250,[8]PRIORIZADOS!$A:$K,11,FALSE)),"")</f>
        <v>LUCY GONZÁLEZ LERMA</v>
      </c>
      <c r="L1250" s="11" t="str">
        <f>IFERROR(IF(VLOOKUP(A1250,[8]PRIORIZADOS!$A:$L,12,FALSE)="","",VLOOKUP(A1250,[8]PRIORIZADOS!$A:$L,12,FALSE)),"")</f>
        <v xml:space="preserve">DIANA ZULAY HUERTAS ORTÍZ </v>
      </c>
      <c r="M1250" s="71">
        <f>IFERROR(IF(VLOOKUP(A1250,[8]PRIORIZADOS!$A:$M,13,FALSE)="","",VLOOKUP(A1250,[8]PRIORIZADOS!$A:$M,13,FALSE)),"")</f>
        <v>45867</v>
      </c>
      <c r="N1250" s="71">
        <f>IFERROR(IF(VLOOKUP(A1250,[8]PRIORIZADOS!$A:$N,14,FALSE)="","",VLOOKUP(A1250,[8]PRIORIZADOS!$A:$N,14,FALSE)),"")</f>
        <v>45867</v>
      </c>
      <c r="O1250" s="71">
        <f>IFERROR(IF(VLOOKUP(A1250,[8]PRIORIZADOS!$A:$O,15,FALSE)="","",VLOOKUP(A1250,[8]PRIORIZADOS!$A:$O,15,FALSE)),"")</f>
        <v>45867</v>
      </c>
      <c r="P1250" s="11" t="str">
        <f>IFERROR(IF(VLOOKUP(A1250,[8]PRIORIZADOS!$A:$P,16,FALSE)="","",VLOOKUP(A1250,[8]PRIORIZADOS!$A:$P,16,FALSE)),"")</f>
        <v>Visitas de evaluación con fines de mejoramiento</v>
      </c>
      <c r="Q1250" s="107" t="s">
        <v>254</v>
      </c>
      <c r="R1250" s="11" t="str">
        <f>IFERROR(IF(VLOOKUP(A1250,[8]PRIORIZADOS!$A:$R,18,FALSE)="","",VLOOKUP(A1250,[8]PRIORIZADOS!$A:$R,18,FALSE)),"")</f>
        <v>La institución educativa presenta actas de conformación y funcionamiento, evidenciándose todo lo relacionado con el proceso de convocatoria y elección del gobierno escolar y demás instancias de participación. Las actas están subidas al SAE</v>
      </c>
      <c r="S1250" s="11" t="str">
        <f>IFERROR(IF(VLOOKUP(A1250,[8]PRIORIZADOS!$A:$S,19,FALSE)="","",VLOOKUP(A1250,[8]PRIORIZADOS!$A:$S,19,FALSE)),"")</f>
        <v>Seguir garantizado la aplicación del Debido proceso en todas las instancias de la comunidad educativa  en todas sus actuaciones.</v>
      </c>
      <c r="T1250" s="70" t="str">
        <f>IFERROR(IF(VLOOKUP(A1250,[8]PRIORIZADOS!$A:$T,20,FALSE)="","",VLOOKUP(A1250,[8]PRIORIZADOS!$A:$T,20,FALSE)),"")</f>
        <v>No</v>
      </c>
      <c r="U1250" s="11" t="str">
        <f>IFERROR(IF(VLOOKUP(A1250,[8]PRIORIZADOS!$A:$U,21,FALSE)="","",VLOOKUP(A1250,[8]PRIORIZADOS!$A:$U,21,FALSE)),"")</f>
        <v>Verificar que la información subida en el SAE se encuentre completa y acorde a lo solicitado.</v>
      </c>
    </row>
    <row r="1251" spans="1:26" s="1" customFormat="1" ht="72">
      <c r="A1251" s="69">
        <f>IF([8]PRIORIZADOS!A231="","",[8]PRIORIZADOS!A231)</f>
        <v>2793</v>
      </c>
      <c r="B1251" s="70">
        <v>36</v>
      </c>
      <c r="C1251" s="11" t="str">
        <f>IFERROR(IF(VLOOKUP(A1251,[8]PRIORIZADOS!$A:$C,3,FALSE)="","",VLOOKUP(A1251,[8]PRIORIZADOS!$A:$C,3,FALSE)),"")</f>
        <v>KENNEDY</v>
      </c>
      <c r="D1251" s="11" t="str">
        <f>IFERROR(IF(VLOOKUP(A1251,[8]PRIORIZADOS!$A:$D,4,FALSE)="","",VLOOKUP(A1251,[8]PRIORIZADOS!$A:$D,4,FALSE)),"")</f>
        <v>PRIVADO</v>
      </c>
      <c r="E1251" s="11" t="str">
        <f>IFERROR(IF(VLOOKUP(A1251,[8]PRIORIZADOS!$A:$E,5,FALSE)="","",VLOOKUP(A1251,[8]PRIORIZADOS!$A:$E,5,FALSE)),"")</f>
        <v>EPBM</v>
      </c>
      <c r="F1251" s="11" t="str">
        <f>IFERROR(IF(VLOOKUP(A1251,[8]PRIORIZADOS!$A:$F,6,FALSE)="","",VLOOKUP(A1251,[8]PRIORIZADOS!$A:$F,6,FALSE)),"")</f>
        <v>LICEO_EMMANUELE_MARLUI</v>
      </c>
      <c r="G1251" s="11" t="str">
        <f>IFERROR(IF(VLOOKUP(A1251,[8]PRIORIZADOS!$A:$G,7,FALSE)="","",VLOOKUP(A1251,[8]PRIORIZADOS!$A:$G,7,FALSE)),"")</f>
        <v>LICEO EMMANUELE MARLUI</v>
      </c>
      <c r="H1251" s="11" t="str">
        <f>IFERROR(IF(VLOOKUP(A1251,[8]PRIORIZADOS!$A:$H,8,FALSE)="","",VLOOKUP(A1251,[8]PRIORIZADOS!$A:$H,8,FALSE)),"")</f>
        <v>Autoevaluación Institucional y Pruebas SABER 11</v>
      </c>
      <c r="I1251" s="11" t="str">
        <f>IFERROR(IF(VLOOKUP(A1251,[8]PRIORIZADOS!$A:$I,9,FALSE)="","",VLOOKUP(A1251,[8]PRIORIZADOS!$A:$I,9,FALSE)),"")</f>
        <v>EVALUACIÓN_CON_FINES_DE_MEJORAMIENTO.</v>
      </c>
      <c r="J1251" s="11" t="str">
        <f>IFERROR(IF(VLOOKUP(A1251,[8]PRIORIZADOS!$A:$J,10,FALSE)="","",VLOOKUP(A1251,[8]PRIORIZADOS!$A:$J,10,FALSE)),"")</f>
        <v>Verificar las condiciones en cuanto a: la estructura administrativa, condiciones de la planta física y medios educativos adecuados.</v>
      </c>
      <c r="K1251" s="11" t="str">
        <f>IFERROR(IF(VLOOKUP(A1251,[8]PRIORIZADOS!$A:$K,11,FALSE)="","",VLOOKUP(A1251,[8]PRIORIZADOS!$A:$K,11,FALSE)),"")</f>
        <v>LUCY GONZÁLEZ LERMA</v>
      </c>
      <c r="L1251" s="11" t="str">
        <f>IFERROR(IF(VLOOKUP(A1251,[8]PRIORIZADOS!$A:$L,12,FALSE)="","",VLOOKUP(A1251,[8]PRIORIZADOS!$A:$L,12,FALSE)),"")</f>
        <v xml:space="preserve">DIANA ZULAY HUERTAS ORTÍZ </v>
      </c>
      <c r="M1251" s="71">
        <f>IFERROR(IF(VLOOKUP(A1251,[8]PRIORIZADOS!$A:$M,13,FALSE)="","",VLOOKUP(A1251,[8]PRIORIZADOS!$A:$M,13,FALSE)),"")</f>
        <v>45867</v>
      </c>
      <c r="N1251" s="71">
        <f>IFERROR(IF(VLOOKUP(A1251,[8]PRIORIZADOS!$A:$N,14,FALSE)="","",VLOOKUP(A1251,[8]PRIORIZADOS!$A:$N,14,FALSE)),"")</f>
        <v>45867</v>
      </c>
      <c r="O1251" s="71">
        <f>IFERROR(IF(VLOOKUP(A1251,[8]PRIORIZADOS!$A:$O,15,FALSE)="","",VLOOKUP(A1251,[8]PRIORIZADOS!$A:$O,15,FALSE)),"")</f>
        <v>45867</v>
      </c>
      <c r="P1251" s="11" t="str">
        <f>IFERROR(IF(VLOOKUP(A1251,[8]PRIORIZADOS!$A:$P,16,FALSE)="","",VLOOKUP(A1251,[8]PRIORIZADOS!$A:$P,16,FALSE)),"")</f>
        <v>Visitas de evaluación con fines de mejoramiento</v>
      </c>
      <c r="Q1251" s="107" t="s">
        <v>254</v>
      </c>
      <c r="R1251" s="11" t="str">
        <f>IFERROR(IF(VLOOKUP(A1251,[8]PRIORIZADOS!$A:$R,18,FALSE)="","",VLOOKUP(A1251,[8]PRIORIZADOS!$A:$R,18,FALSE)),"")</f>
        <v>La IE cumple con las condiciones de estructura administrativa, condiciones de la planta física y medios educativos adecuados.</v>
      </c>
      <c r="S1251" s="11" t="str">
        <f>IFERROR(IF(VLOOKUP(A1251,[8]PRIORIZADOS!$A:$S,19,FALSE)="","",VLOOKUP(A1251,[8]PRIORIZADOS!$A:$S,19,FALSE)),"")</f>
        <v>La IE debe mantener las condiciones de prestación del servicio, en cuanto estructura administrativa, planta física y medios educativos. Debe adecuar su organigrama, manual de funciones y perfiles de cargo.</v>
      </c>
      <c r="T1251" s="70" t="str">
        <f>IFERROR(IF(VLOOKUP(A1251,[8]PRIORIZADOS!$A:$T,20,FALSE)="","",VLOOKUP(A1251,[8]PRIORIZADOS!$A:$T,20,FALSE)),"")</f>
        <v>SI</v>
      </c>
      <c r="U1251" s="11" t="str">
        <f>IFERROR(IF(VLOOKUP(A1251,[8]PRIORIZADOS!$A:$U,21,FALSE)="","",VLOOKUP(A1251,[8]PRIORIZADOS!$A:$U,21,FALSE)),"")</f>
        <v>El ELIV verificará que se mantengan las condiciones de prestación del servicio. y la actualización del organigrama, manual de funciones y perfiles de cargo. Se realiza mesa de seguimiento el 1 de octubre 2025.</v>
      </c>
    </row>
    <row r="1252" spans="1:26" s="1" customFormat="1" ht="36">
      <c r="A1252" s="69">
        <f>IF([8]PRIORIZADOS!A232="","",[8]PRIORIZADOS!A232)</f>
        <v>1198</v>
      </c>
      <c r="B1252" s="70">
        <f>IFERROR(IF(VLOOKUP(A1252,[8]PRIORIZADOS!$A:$B,2,FALSE)="","",VLOOKUP(A1252,[8]PRIORIZADOS!$A:$B,2,FALSE)),"")</f>
        <v>37</v>
      </c>
      <c r="C1252" s="11" t="str">
        <f>IFERROR(IF(VLOOKUP(A1252,[8]PRIORIZADOS!$A:$C,3,FALSE)="","",VLOOKUP(A1252,[8]PRIORIZADOS!$A:$C,3,FALSE)),"")</f>
        <v>KENNEDY</v>
      </c>
      <c r="D1252" s="11" t="str">
        <f>IFERROR(IF(VLOOKUP(A1252,[8]PRIORIZADOS!$A:$D,4,FALSE)="","",VLOOKUP(A1252,[8]PRIORIZADOS!$A:$D,4,FALSE)),"")</f>
        <v>PRIVADO</v>
      </c>
      <c r="E1252" s="11" t="str">
        <f>IFERROR(IF(VLOOKUP(A1252,[8]PRIORIZADOS!$A:$E,5,FALSE)="","",VLOOKUP(A1252,[8]PRIORIZADOS!$A:$E,5,FALSE)),"")</f>
        <v>EPBM</v>
      </c>
      <c r="F1252" s="11" t="str">
        <f>IFERROR(IF(VLOOKUP(A1252,[8]PRIORIZADOS!$A:$F,6,FALSE)="","",VLOOKUP(A1252,[8]PRIORIZADOS!$A:$F,6,FALSE)),"")</f>
        <v>LICEO_LUTHER_KING</v>
      </c>
      <c r="G1252" s="11" t="str">
        <f>IFERROR(IF(VLOOKUP(A1252,[8]PRIORIZADOS!$A:$G,7,FALSE)="","",VLOOKUP(A1252,[8]PRIORIZADOS!$A:$G,7,FALSE)),"")</f>
        <v>LICEO LUTHER KING</v>
      </c>
      <c r="H1252" s="11" t="str">
        <f>IFERROR(IF(VLOOKUP(A1252,[8]PRIORIZADOS!$A:$H,8,FALSE)="","",VLOOKUP(A1252,[8]PRIORIZADOS!$A:$H,8,FALSE)),"")</f>
        <v>Autoevaluación Institucional y Pruebas SABER 11</v>
      </c>
      <c r="I1252" s="11" t="str">
        <f>IFERROR(IF(VLOOKUP(A1252,[8]PRIORIZADOS!$A:$I,9,FALSE)="","",VLOOKUP(A1252,[8]PRIORIZADOS!$A:$I,9,FALSE)),"")</f>
        <v>SEGUIMIENTO_Y_SUPERVISIÓN.</v>
      </c>
      <c r="J1252" s="11" t="str">
        <f>IFERROR(IF(VLOOKUP(A1252,[8]PRIORIZADOS!$A:$J,10,FALSE)="","",VLOOKUP(A1252,[8]PRIORIZADOS!$A:$J,10,FALSE)),"")</f>
        <v>Realizar visitas para verificar la información registrada sobre la autoevaluación institucional en el aplicativo EVI, a los establecimientos de educación formal no oficial.</v>
      </c>
      <c r="K1252" s="11" t="str">
        <f>IFERROR(IF(VLOOKUP(A1252,[8]PRIORIZADOS!$A:$K,11,FALSE)="","",VLOOKUP(A1252,[8]PRIORIZADOS!$A:$K,11,FALSE)),"")</f>
        <v>ADRIANA VENEGAS VALERA</v>
      </c>
      <c r="L1252" s="11" t="str">
        <f>IFERROR(IF(VLOOKUP(A1252,[8]PRIORIZADOS!$A:$L,12,FALSE)="","",VLOOKUP(A1252,[8]PRIORIZADOS!$A:$L,12,FALSE)),"")</f>
        <v>VIVANA PILAR BOHÓRQUEZ DÍAZ</v>
      </c>
      <c r="M1252" s="71">
        <f>IFERROR(IF(VLOOKUP(A1252,[8]PRIORIZADOS!$A:$M,13,FALSE)="","",VLOOKUP(A1252,[8]PRIORIZADOS!$A:$M,13,FALSE)),"")</f>
        <v>45868</v>
      </c>
      <c r="N1252" s="71">
        <f>IFERROR(IF(VLOOKUP(A1252,[8]PRIORIZADOS!$A:$N,14,FALSE)="","",VLOOKUP(A1252,[8]PRIORIZADOS!$A:$N,14,FALSE)),"")</f>
        <v>45868</v>
      </c>
      <c r="O1252" s="71">
        <f>IFERROR(IF(VLOOKUP(A1252,[8]PRIORIZADOS!$A:$O,15,FALSE)="","",VLOOKUP(A1252,[8]PRIORIZADOS!$A:$O,15,FALSE)),"")</f>
        <v>45868</v>
      </c>
      <c r="P1252" s="11" t="str">
        <f>IFERROR(IF(VLOOKUP(A1252,[8]PRIORIZADOS!$A:$P,16,FALSE)="","",VLOOKUP(A1252,[8]PRIORIZADOS!$A:$P,16,FALSE)),"")</f>
        <v>Visitas de evaluación con fines de mejoramiento</v>
      </c>
      <c r="Q1252" s="186" t="s">
        <v>255</v>
      </c>
      <c r="R1252" s="11" t="str">
        <f>IFERROR(IF(VLOOKUP(A1252,[8]PRIORIZADOS!$A:$R,18,FALSE)="","",VLOOKUP(A1252,[8]PRIORIZADOS!$A:$R,18,FALSE)),"")</f>
        <v>La institución educativa registra en el aplicativo EVI, la realidad institucional.</v>
      </c>
      <c r="S1252" s="11" t="str">
        <f>IFERROR(IF(VLOOKUP(A1252,[8]PRIORIZADOS!$A:$S,19,FALSE)="","",VLOOKUP(A1252,[8]PRIORIZADOS!$A:$S,19,FALSE)),"")</f>
        <v>Registrar la información en el aplicativo EVI en los tiempos en los que disponga el MEN.</v>
      </c>
      <c r="T1252" s="70" t="str">
        <f>IFERROR(IF(VLOOKUP(A1252,[8]PRIORIZADOS!$A:$T,20,FALSE)="","",VLOOKUP(A1252,[8]PRIORIZADOS!$A:$T,20,FALSE)),"")</f>
        <v>No</v>
      </c>
      <c r="U1252" s="11" t="str">
        <f>IFERROR(IF(VLOOKUP(A1252,[8]PRIORIZADOS!$A:$U,21,FALSE)="","",VLOOKUP(A1252,[8]PRIORIZADOS!$A:$U,21,FALSE)),"")</f>
        <v xml:space="preserve">El ELIV, verificará que la institución reporte la información que da cuenta de la realidad Institucional en el aplicativo EVI. </v>
      </c>
    </row>
    <row r="1253" spans="1:26" s="1" customFormat="1" ht="84">
      <c r="A1253" s="69">
        <f>IF([8]PRIORIZADOS!A233="","",[8]PRIORIZADOS!A233)</f>
        <v>1199</v>
      </c>
      <c r="B1253" s="70">
        <v>37</v>
      </c>
      <c r="C1253" s="11" t="str">
        <f>IFERROR(IF(VLOOKUP(A1253,[8]PRIORIZADOS!$A:$C,3,FALSE)="","",VLOOKUP(A1253,[8]PRIORIZADOS!$A:$C,3,FALSE)),"")</f>
        <v>KENNEDY</v>
      </c>
      <c r="D1253" s="11" t="str">
        <f>IFERROR(IF(VLOOKUP(A1253,[8]PRIORIZADOS!$A:$D,4,FALSE)="","",VLOOKUP(A1253,[8]PRIORIZADOS!$A:$D,4,FALSE)),"")</f>
        <v>PRIVADO</v>
      </c>
      <c r="E1253" s="11" t="str">
        <f>IFERROR(IF(VLOOKUP(A1253,[8]PRIORIZADOS!$A:$E,5,FALSE)="","",VLOOKUP(A1253,[8]PRIORIZADOS!$A:$E,5,FALSE)),"")</f>
        <v>EPBM</v>
      </c>
      <c r="F1253" s="11" t="str">
        <f>IFERROR(IF(VLOOKUP(A1253,[8]PRIORIZADOS!$A:$F,6,FALSE)="","",VLOOKUP(A1253,[8]PRIORIZADOS!$A:$F,6,FALSE)),"")</f>
        <v>LICEO_LUTHER_KING</v>
      </c>
      <c r="G1253" s="11" t="str">
        <f>IFERROR(IF(VLOOKUP(A1253,[8]PRIORIZADOS!$A:$G,7,FALSE)="","",VLOOKUP(A1253,[8]PRIORIZADOS!$A:$G,7,FALSE)),"")</f>
        <v>LICEO LUTHER KING</v>
      </c>
      <c r="H1253" s="11" t="str">
        <f>IFERROR(IF(VLOOKUP(A1253,[8]PRIORIZADOS!$A:$H,8,FALSE)="","",VLOOKUP(A1253,[8]PRIORIZADOS!$A:$H,8,FALSE)),"")</f>
        <v>Autoevaluación Institucional y Pruebas SABER 11</v>
      </c>
      <c r="I1253" s="11" t="str">
        <f>IFERROR(IF(VLOOKUP(A1253,[8]PRIORIZADOS!$A:$I,9,FALSE)="","",VLOOKUP(A1253,[8]PRIORIZADOS!$A:$I,9,FALSE)),"")</f>
        <v>SEGUIMIENTO_Y_SUPERVISIÓN.</v>
      </c>
      <c r="J1253" s="11" t="str">
        <f>IFERROR(IF(VLOOKUP(A1253,[8]PRIORIZADOS!$A:$J,10,FALSE)="","",VLOOKUP(A1253,[8]PRIORIZADOS!$A:$J,10,FALSE)),"")</f>
        <v>Proponer estrategias en la formulación, verificar su elaboración y realizar seguimiento semestral al desarrollo de  las acciones establecidas en los planes de mejoramiento por pruebas SABER 11 de los establecimientos de educación formal.</v>
      </c>
      <c r="K1253" s="11" t="str">
        <f>IFERROR(IF(VLOOKUP(A1253,[8]PRIORIZADOS!$A:$K,11,FALSE)="","",VLOOKUP(A1253,[8]PRIORIZADOS!$A:$K,11,FALSE)),"")</f>
        <v>ADRIANA VENEGAS VALERA</v>
      </c>
      <c r="L1253" s="11" t="str">
        <f>IFERROR(IF(VLOOKUP(A1253,[8]PRIORIZADOS!$A:$L,12,FALSE)="","",VLOOKUP(A1253,[8]PRIORIZADOS!$A:$L,12,FALSE)),"")</f>
        <v>VIVANA PILAR BOHÓRQUEZ DÍAZ</v>
      </c>
      <c r="M1253" s="71">
        <f>IFERROR(IF(VLOOKUP(A1253,[8]PRIORIZADOS!$A:$M,13,FALSE)="","",VLOOKUP(A1253,[8]PRIORIZADOS!$A:$M,13,FALSE)),"")</f>
        <v>45868</v>
      </c>
      <c r="N1253" s="71">
        <f>IFERROR(IF(VLOOKUP(A1253,[8]PRIORIZADOS!$A:$N,14,FALSE)="","",VLOOKUP(A1253,[8]PRIORIZADOS!$A:$N,14,FALSE)),"")</f>
        <v>45868</v>
      </c>
      <c r="O1253" s="71">
        <f>IFERROR(IF(VLOOKUP(A1253,[8]PRIORIZADOS!$A:$O,15,FALSE)="","",VLOOKUP(A1253,[8]PRIORIZADOS!$A:$O,15,FALSE)),"")</f>
        <v>45868</v>
      </c>
      <c r="P1253" s="11" t="str">
        <f>IFERROR(IF(VLOOKUP(A1253,[8]PRIORIZADOS!$A:$P,16,FALSE)="","",VLOOKUP(A1253,[8]PRIORIZADOS!$A:$P,16,FALSE)),"")</f>
        <v>Visitas de evaluación con fines de mejoramiento</v>
      </c>
      <c r="Q1253" s="186" t="s">
        <v>255</v>
      </c>
      <c r="R1253" s="11" t="str">
        <f>IFERROR(IF(VLOOKUP(A1253,[8]PRIORIZADOS!$A:$R,18,FALSE)="","",VLOOKUP(A1253,[8]PRIORIZADOS!$A:$R,18,FALSE)),"")</f>
        <v>La IE realizó un balance general de los resultados de las pruebas SABER 11 de los últimos 5 años, a partir del cual  diseño un plan de mejoramiento y se encuentra adelantando las estrategias de mejora entre las que se encuentra la realización simulacros de pruebas.</v>
      </c>
      <c r="S1253" s="11" t="str">
        <f>IFERROR(IF(VLOOKUP(A1253,[8]PRIORIZADOS!$A:$S,19,FALSE)="","",VLOOKUP(A1253,[8]PRIORIZADOS!$A:$S,19,FALSE)),"")</f>
        <v xml:space="preserve">Continuar implementando las acciones diseñadas en el plan de mejoramiento de las pruebas SABER 11. </v>
      </c>
      <c r="T1253" s="70" t="str">
        <f>IFERROR(IF(VLOOKUP(A1253,[8]PRIORIZADOS!$A:$T,20,FALSE)="","",VLOOKUP(A1253,[8]PRIORIZADOS!$A:$T,20,FALSE)),"")</f>
        <v>No</v>
      </c>
      <c r="U1253" s="11" t="str">
        <f>IFERROR(IF(VLOOKUP(A1253,[8]PRIORIZADOS!$A:$U,21,FALSE)="","",VLOOKUP(A1253,[8]PRIORIZADOS!$A:$U,21,FALSE)),"")</f>
        <v>Seguimiento a las acciones previstas en la próxima vigencia.</v>
      </c>
    </row>
    <row r="1254" spans="1:26" s="1" customFormat="1" ht="142.5">
      <c r="A1254" s="69">
        <f>IF([8]PRIORIZADOS!A234="","",[8]PRIORIZADOS!A234)</f>
        <v>1201</v>
      </c>
      <c r="B1254" s="70">
        <v>37</v>
      </c>
      <c r="C1254" s="11" t="str">
        <f>IFERROR(IF(VLOOKUP(A1254,[8]PRIORIZADOS!$A:$C,3,FALSE)="","",VLOOKUP(A1254,[8]PRIORIZADOS!$A:$C,3,FALSE)),"")</f>
        <v>KENNEDY</v>
      </c>
      <c r="D1254" s="11" t="str">
        <f>IFERROR(IF(VLOOKUP(A1254,[8]PRIORIZADOS!$A:$D,4,FALSE)="","",VLOOKUP(A1254,[8]PRIORIZADOS!$A:$D,4,FALSE)),"")</f>
        <v>PRIVADO</v>
      </c>
      <c r="E1254" s="11" t="str">
        <f>IFERROR(IF(VLOOKUP(A1254,[8]PRIORIZADOS!$A:$E,5,FALSE)="","",VLOOKUP(A1254,[8]PRIORIZADOS!$A:$E,5,FALSE)),"")</f>
        <v>EPBM</v>
      </c>
      <c r="F1254" s="11" t="str">
        <f>IFERROR(IF(VLOOKUP(A1254,[8]PRIORIZADOS!$A:$F,6,FALSE)="","",VLOOKUP(A1254,[8]PRIORIZADOS!$A:$F,6,FALSE)),"")</f>
        <v>LICEO_LUTHER_KING</v>
      </c>
      <c r="G1254" s="11" t="str">
        <f>IFERROR(IF(VLOOKUP(A1254,[8]PRIORIZADOS!$A:$G,7,FALSE)="","",VLOOKUP(A1254,[8]PRIORIZADOS!$A:$G,7,FALSE)),"")</f>
        <v>LICEO LUTHER KING</v>
      </c>
      <c r="H1254" s="11" t="str">
        <f>IFERROR(IF(VLOOKUP(A1254,[8]PRIORIZADOS!$A:$H,8,FALSE)="","",VLOOKUP(A1254,[8]PRIORIZADOS!$A:$H,8,FALSE)),"")</f>
        <v>Autoevaluación Institucional y Pruebas SABER 11</v>
      </c>
      <c r="I1254" s="11" t="str">
        <f>IFERROR(IF(VLOOKUP(A1254,[8]PRIORIZADOS!$A:$I,9,FALSE)="","",VLOOKUP(A1254,[8]PRIORIZADOS!$A:$I,9,FALSE)),"")</f>
        <v>SEGUIMIENTO_Y_SUPERVISIÓN.</v>
      </c>
      <c r="J1254" s="11" t="str">
        <f>IFERROR(IF(VLOOKUP(A1254,[8]PRIORIZADOS!$A:$J,10,FALSE)="","",VLOOKUP(A1254,[8]PRIORIZADOS!$A:$J,10,FALSE)),"")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54" s="11" t="str">
        <f>IFERROR(IF(VLOOKUP(A1254,[8]PRIORIZADOS!$A:$K,11,FALSE)="","",VLOOKUP(A1254,[8]PRIORIZADOS!$A:$K,11,FALSE)),"")</f>
        <v>ADRIANA VENEGAS VALERA</v>
      </c>
      <c r="L1254" s="11" t="str">
        <f>IFERROR(IF(VLOOKUP(A1254,[8]PRIORIZADOS!$A:$L,12,FALSE)="","",VLOOKUP(A1254,[8]PRIORIZADOS!$A:$L,12,FALSE)),"")</f>
        <v>VIVANA PILAR BOHÓRQUEZ DÍAZ</v>
      </c>
      <c r="M1254" s="71">
        <f>IFERROR(IF(VLOOKUP(A1254,[8]PRIORIZADOS!$A:$M,13,FALSE)="","",VLOOKUP(A1254,[8]PRIORIZADOS!$A:$M,13,FALSE)),"")</f>
        <v>45868</v>
      </c>
      <c r="N1254" s="71">
        <f>IFERROR(IF(VLOOKUP(A1254,[8]PRIORIZADOS!$A:$N,14,FALSE)="","",VLOOKUP(A1254,[8]PRIORIZADOS!$A:$N,14,FALSE)),"")</f>
        <v>45868</v>
      </c>
      <c r="O1254" s="71">
        <f>IFERROR(IF(VLOOKUP(A1254,[8]PRIORIZADOS!$A:$O,15,FALSE)="","",VLOOKUP(A1254,[8]PRIORIZADOS!$A:$O,15,FALSE)),"")</f>
        <v>45868</v>
      </c>
      <c r="P1254" s="11" t="str">
        <f>IFERROR(IF(VLOOKUP(A1254,[8]PRIORIZADOS!$A:$P,16,FALSE)="","",VLOOKUP(A1254,[8]PRIORIZADOS!$A:$P,16,FALSE)),"")</f>
        <v>Visitas de evaluación con fines de mejoramiento</v>
      </c>
      <c r="Q1254" s="186" t="s">
        <v>255</v>
      </c>
      <c r="R1254" s="11" t="str">
        <f>IFERROR(IF(VLOOKUP(A1254,[8]PRIORIZADOS!$A:$R,18,FALSE)="","",VLOOKUP(A1254,[8]PRIORIZADOS!$A:$R,18,FALSE)),"")</f>
        <v xml:space="preserve">Las y los estudiantes cuentan con el Plan Individual de Ajustes Razonables, sin embargo, los ajustes planteados deben ser revisados puesto que se centran en los contenidos y no en las acciones, adaptaciones,
estrategias, apoyos, recursos o modificaciones
necesarias y adecuadas en el proceso de acompañamiento educativo, y el seguimiento también difiere de su propósito. </v>
      </c>
      <c r="S1254" s="11" t="str">
        <f>IFERROR(IF(VLOOKUP(A1254,[8]PRIORIZADOS!$A:$S,19,FALSE)="","",VLOOKUP(A1254,[8]PRIORIZADOS!$A:$S,19,FALSE)),"")</f>
        <v xml:space="preserve">Revisar los Planes Individuales de Ajustes Razonables, de tal manera que los ajustes y el seguimiento sean coherentes con la comprensión de estos conceptos. </v>
      </c>
      <c r="T1254" s="70" t="str">
        <f>IFERROR(IF(VLOOKUP(A1254,[8]PRIORIZADOS!$A:$T,20,FALSE)="","",VLOOKUP(A1254,[8]PRIORIZADOS!$A:$T,20,FALSE)),"")</f>
        <v>Si</v>
      </c>
      <c r="U1254" s="11" t="str">
        <f>IFERROR(IF(VLOOKUP(A1254,[8]PRIORIZADOS!$A:$U,21,FALSE)="","",VLOOKUP(A1254,[8]PRIORIZADOS!$A:$U,21,FALSE)),"")</f>
        <v xml:space="preserve">Seguimiento al cumplimiento de las acciones definidas en el Plan de Mejoramiento. Se realiza mesa de seguimiento el día 19 de septiembre 2025. Se validará el cumplimiento total del plan de mejoramiento el 13 de marzo 2025. </v>
      </c>
    </row>
    <row r="1255" spans="1:26" s="1" customFormat="1" ht="72">
      <c r="A1255" s="69" t="str">
        <f>IF([8]PRIORIZADOS!A235="","",[8]PRIORIZADOS!A235)</f>
        <v/>
      </c>
      <c r="B1255" s="70">
        <v>37</v>
      </c>
      <c r="C1255" s="73" t="s">
        <v>221</v>
      </c>
      <c r="D1255" s="49" t="s">
        <v>175</v>
      </c>
      <c r="E1255" s="49" t="s">
        <v>227</v>
      </c>
      <c r="F1255" s="49" t="s">
        <v>256</v>
      </c>
      <c r="G1255" s="49" t="s">
        <v>257</v>
      </c>
      <c r="H1255" s="49" t="s">
        <v>178</v>
      </c>
      <c r="I1255" s="49" t="s">
        <v>97</v>
      </c>
      <c r="J1255" s="49" t="s">
        <v>236</v>
      </c>
      <c r="K1255" s="49" t="s">
        <v>231</v>
      </c>
      <c r="L1255" s="49" t="s">
        <v>245</v>
      </c>
      <c r="M1255" s="176">
        <v>45868</v>
      </c>
      <c r="N1255" s="187">
        <v>45868</v>
      </c>
      <c r="O1255" s="187">
        <v>45868</v>
      </c>
      <c r="P1255" s="178" t="s">
        <v>101</v>
      </c>
      <c r="Q1255" s="134" t="s">
        <v>255</v>
      </c>
      <c r="R1255" s="158" t="s">
        <v>246</v>
      </c>
      <c r="S1255" s="158" t="s">
        <v>247</v>
      </c>
      <c r="T1255" s="188" t="s">
        <v>105</v>
      </c>
      <c r="U1255" s="180" t="s">
        <v>258</v>
      </c>
      <c r="V1255" s="25"/>
      <c r="W1255" s="25"/>
      <c r="X1255" s="25"/>
      <c r="Y1255" s="25"/>
      <c r="Z1255" s="25"/>
    </row>
    <row r="1256" spans="1:26" s="1" customFormat="1" ht="84">
      <c r="A1256" s="69">
        <f>IF([8]PRIORIZADOS!A236="","",[8]PRIORIZADOS!A236)</f>
        <v>1202</v>
      </c>
      <c r="B1256" s="70">
        <v>37</v>
      </c>
      <c r="C1256" s="11" t="str">
        <f>IFERROR(IF(VLOOKUP(A1256,[8]PRIORIZADOS!$A:$C,3,FALSE)="","",VLOOKUP(A1256,[8]PRIORIZADOS!$A:$C,3,FALSE)),"")</f>
        <v>KENNEDY</v>
      </c>
      <c r="D1256" s="11" t="str">
        <f>IFERROR(IF(VLOOKUP(A1256,[8]PRIORIZADOS!$A:$D,4,FALSE)="","",VLOOKUP(A1256,[8]PRIORIZADOS!$A:$D,4,FALSE)),"")</f>
        <v>PRIVADO</v>
      </c>
      <c r="E1256" s="11" t="str">
        <f>IFERROR(IF(VLOOKUP(A1256,[8]PRIORIZADOS!$A:$E,5,FALSE)="","",VLOOKUP(A1256,[8]PRIORIZADOS!$A:$E,5,FALSE)),"")</f>
        <v>EPBM</v>
      </c>
      <c r="F1256" s="11" t="str">
        <f>IFERROR(IF(VLOOKUP(A1256,[8]PRIORIZADOS!$A:$F,6,FALSE)="","",VLOOKUP(A1256,[8]PRIORIZADOS!$A:$F,6,FALSE)),"")</f>
        <v>LICEO_LUTHER_KING</v>
      </c>
      <c r="G1256" s="11" t="str">
        <f>IFERROR(IF(VLOOKUP(A1256,[8]PRIORIZADOS!$A:$G,7,FALSE)="","",VLOOKUP(A1256,[8]PRIORIZADOS!$A:$G,7,FALSE)),"")</f>
        <v>LICEO LUTHER KING</v>
      </c>
      <c r="H1256" s="11" t="str">
        <f>IFERROR(IF(VLOOKUP(A1256,[8]PRIORIZADOS!$A:$H,8,FALSE)="","",VLOOKUP(A1256,[8]PRIORIZADOS!$A:$H,8,FALSE)),"")</f>
        <v>Autoevaluación Institucional y Pruebas SABER 11</v>
      </c>
      <c r="I1256" s="11" t="str">
        <f>IFERROR(IF(VLOOKUP(A1256,[8]PRIORIZADOS!$A:$I,9,FALSE)="","",VLOOKUP(A1256,[8]PRIORIZADOS!$A:$I,9,FALSE)),"")</f>
        <v>EVALUACIÓN_CON_FINES_DE_MEJORAMIENTO.</v>
      </c>
      <c r="J1256" s="11" t="str">
        <f>IFERROR(IF(VLOOKUP(A1256,[8]PRIORIZADOS!$A:$J,10,FALSE)="","",VLOOKUP(A1256,[8]PRIORIZADOS!$A:$J,10,FALSE)),"")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56" s="11" t="str">
        <f>IFERROR(IF(VLOOKUP(A1256,[8]PRIORIZADOS!$A:$K,11,FALSE)="","",VLOOKUP(A1256,[8]PRIORIZADOS!$A:$K,11,FALSE)),"")</f>
        <v>ADRIANA VENEGAS VALERA</v>
      </c>
      <c r="L1256" s="11" t="str">
        <f>IFERROR(IF(VLOOKUP(A1256,[8]PRIORIZADOS!$A:$L,12,FALSE)="","",VLOOKUP(A1256,[8]PRIORIZADOS!$A:$L,12,FALSE)),"")</f>
        <v>VIVANA PILAR BOHÓRQUEZ DÍAZ</v>
      </c>
      <c r="M1256" s="71">
        <f>IFERROR(IF(VLOOKUP(A1256,[8]PRIORIZADOS!$A:$M,13,FALSE)="","",VLOOKUP(A1256,[8]PRIORIZADOS!$A:$M,13,FALSE)),"")</f>
        <v>45868</v>
      </c>
      <c r="N1256" s="71">
        <f>IFERROR(IF(VLOOKUP(A1256,[8]PRIORIZADOS!$A:$N,14,FALSE)="","",VLOOKUP(A1256,[8]PRIORIZADOS!$A:$N,14,FALSE)),"")</f>
        <v>45868</v>
      </c>
      <c r="O1256" s="71">
        <f>IFERROR(IF(VLOOKUP(A1256,[8]PRIORIZADOS!$A:$O,15,FALSE)="","",VLOOKUP(A1256,[8]PRIORIZADOS!$A:$O,15,FALSE)),"")</f>
        <v>45868</v>
      </c>
      <c r="P1256" s="11" t="str">
        <f>IFERROR(IF(VLOOKUP(A1256,[8]PRIORIZADOS!$A:$P,16,FALSE)="","",VLOOKUP(A1256,[8]PRIORIZADOS!$A:$P,16,FALSE)),"")</f>
        <v>Visitas de evaluación con fines de mejoramiento</v>
      </c>
      <c r="Q1256" s="134" t="s">
        <v>255</v>
      </c>
      <c r="R1256" s="11" t="str">
        <f>IFERROR(IF(VLOOKUP(A1256,[8]PRIORIZADOS!$A:$R,18,FALSE)="","",VLOOKUP(A1256,[8]PRIORIZADOS!$A:$R,18,FALSE)),"")</f>
        <v xml:space="preserve">La institución educativa cuenta con un manual de convivencia robusto que incorpora los enfoques de derechos, diversidad e inclusión, sin embargo es necesario avanzar en la comprensión del enfoque de justicia restaurativa escolar. </v>
      </c>
      <c r="S1256" s="11" t="str">
        <f>IFERROR(IF(VLOOKUP(A1256,[8]PRIORIZADOS!$A:$S,19,FALSE)="","",VLOOKUP(A1256,[8]PRIORIZADOS!$A:$S,19,FALSE)),"")</f>
        <v xml:space="preserve">Actualizar el manual de convivencia incorporando el enfoque de justicia restaurativo escolar. </v>
      </c>
      <c r="T1256" s="70" t="str">
        <f>IFERROR(IF(VLOOKUP(A1256,[8]PRIORIZADOS!$A:$T,20,FALSE)="","",VLOOKUP(A1256,[8]PRIORIZADOS!$A:$T,20,FALSE)),"")</f>
        <v>Si</v>
      </c>
      <c r="U1256" s="11" t="str">
        <f>IFERROR(IF(VLOOKUP(A1256,[8]PRIORIZADOS!$A:$U,21,FALSE)="","",VLOOKUP(A1256,[8]PRIORIZADOS!$A:$U,21,FALSE)),"")</f>
        <v xml:space="preserve">Seguimiento al cumplimiento de las acciones definidas en el Plan de Mejoramiento. Seguimiento al cumplimiento de las acciones definidas en el Plan de Mejoramiento. Se realiza mesa de seguimiento el día 19 de septiembre 2025. Se validará el cumplimiento total del plan de mejoramiento el 13 de marzo 2025. </v>
      </c>
    </row>
    <row r="1257" spans="1:26" s="1" customFormat="1" ht="84">
      <c r="A1257" s="69">
        <f>IF([8]PRIORIZADOS!A237="","",[8]PRIORIZADOS!A237)</f>
        <v>1203</v>
      </c>
      <c r="B1257" s="70">
        <v>37</v>
      </c>
      <c r="C1257" s="11" t="str">
        <f>IFERROR(IF(VLOOKUP(A1257,[8]PRIORIZADOS!$A:$C,3,FALSE)="","",VLOOKUP(A1257,[8]PRIORIZADOS!$A:$C,3,FALSE)),"")</f>
        <v>KENNEDY</v>
      </c>
      <c r="D1257" s="11" t="str">
        <f>IFERROR(IF(VLOOKUP(A1257,[8]PRIORIZADOS!$A:$D,4,FALSE)="","",VLOOKUP(A1257,[8]PRIORIZADOS!$A:$D,4,FALSE)),"")</f>
        <v>PRIVADO</v>
      </c>
      <c r="E1257" s="11" t="str">
        <f>IFERROR(IF(VLOOKUP(A1257,[8]PRIORIZADOS!$A:$E,5,FALSE)="","",VLOOKUP(A1257,[8]PRIORIZADOS!$A:$E,5,FALSE)),"")</f>
        <v>EPBM</v>
      </c>
      <c r="F1257" s="11" t="str">
        <f>IFERROR(IF(VLOOKUP(A1257,[8]PRIORIZADOS!$A:$F,6,FALSE)="","",VLOOKUP(A1257,[8]PRIORIZADOS!$A:$F,6,FALSE)),"")</f>
        <v>LICEO_LUTHER_KING</v>
      </c>
      <c r="G1257" s="11" t="str">
        <f>IFERROR(IF(VLOOKUP(A1257,[8]PRIORIZADOS!$A:$G,7,FALSE)="","",VLOOKUP(A1257,[8]PRIORIZADOS!$A:$G,7,FALSE)),"")</f>
        <v>LICEO LUTHER KING</v>
      </c>
      <c r="H1257" s="11" t="str">
        <f>IFERROR(IF(VLOOKUP(A1257,[8]PRIORIZADOS!$A:$H,8,FALSE)="","",VLOOKUP(A1257,[8]PRIORIZADOS!$A:$H,8,FALSE)),"")</f>
        <v>Autoevaluación Institucional y Pruebas SABER 11</v>
      </c>
      <c r="I1257" s="11" t="str">
        <f>IFERROR(IF(VLOOKUP(A1257,[8]PRIORIZADOS!$A:$I,9,FALSE)="","",VLOOKUP(A1257,[8]PRIORIZADOS!$A:$I,9,FALSE)),"")</f>
        <v>EVALUACIÓN_CON_FINES_DE_MEJORAMIENTO.</v>
      </c>
      <c r="J1257" s="11" t="str">
        <f>IFERROR(IF(VLOOKUP(A1257,[8]PRIORIZADOS!$A:$J,10,FALSE)="","",VLOOKUP(A1257,[8]PRIORIZADOS!$A:$J,10,FALSE)),"")</f>
        <v>Revisar la actualización, socialización e implementación del Sistema Institucional de Evaluación de Estudiantes - SIEE, en articulación con la actualización del PEI y la normatividad vigente.</v>
      </c>
      <c r="K1257" s="11" t="str">
        <f>IFERROR(IF(VLOOKUP(A1257,[8]PRIORIZADOS!$A:$K,11,FALSE)="","",VLOOKUP(A1257,[8]PRIORIZADOS!$A:$K,11,FALSE)),"")</f>
        <v>ADRIANA VENEGAS VALERA</v>
      </c>
      <c r="L1257" s="11" t="str">
        <f>IFERROR(IF(VLOOKUP(A1257,[8]PRIORIZADOS!$A:$L,12,FALSE)="","",VLOOKUP(A1257,[8]PRIORIZADOS!$A:$L,12,FALSE)),"")</f>
        <v>VIVANA PILAR BOHÓRQUEZ DÍAZ</v>
      </c>
      <c r="M1257" s="71">
        <f>IFERROR(IF(VLOOKUP(A1257,[8]PRIORIZADOS!$A:$M,13,FALSE)="","",VLOOKUP(A1257,[8]PRIORIZADOS!$A:$M,13,FALSE)),"")</f>
        <v>45868</v>
      </c>
      <c r="N1257" s="71">
        <f>IFERROR(IF(VLOOKUP(A1257,[8]PRIORIZADOS!$A:$N,14,FALSE)="","",VLOOKUP(A1257,[8]PRIORIZADOS!$A:$N,14,FALSE)),"")</f>
        <v>45868</v>
      </c>
      <c r="O1257" s="71">
        <f>IFERROR(IF(VLOOKUP(A1257,[8]PRIORIZADOS!$A:$O,15,FALSE)="","",VLOOKUP(A1257,[8]PRIORIZADOS!$A:$O,15,FALSE)),"")</f>
        <v>45868</v>
      </c>
      <c r="P1257" s="11" t="str">
        <f>IFERROR(IF(VLOOKUP(A1257,[8]PRIORIZADOS!$A:$P,16,FALSE)="","",VLOOKUP(A1257,[8]PRIORIZADOS!$A:$P,16,FALSE)),"")</f>
        <v>Visitas de evaluación con fines de mejoramiento</v>
      </c>
      <c r="Q1257" s="134" t="s">
        <v>255</v>
      </c>
      <c r="R1257" s="11" t="str">
        <f>IFERROR(IF(VLOOKUP(A1257,[8]PRIORIZADOS!$A:$R,18,FALSE)="","",VLOOKUP(A1257,[8]PRIORIZADOS!$A:$R,18,FALSE)),"")</f>
        <v xml:space="preserve">La institución educativa cuenta con la plataforma Eduquality, en la cual se registran las evidencias del Sistema Institucional de Evaluación y el seguimiento a las estrategias de apoyo para resolver situaciones académicas de los estudiantes. </v>
      </c>
      <c r="S1257" s="11" t="str">
        <f>IFERROR(IF(VLOOKUP(A1257,[8]PRIORIZADOS!$A:$S,19,FALSE)="","",VLOOKUP(A1257,[8]PRIORIZADOS!$A:$S,19,FALSE)),"")</f>
        <v xml:space="preserve">Mantener actualizada la información en la plataforma. </v>
      </c>
      <c r="T1257" s="70" t="str">
        <f>IFERROR(IF(VLOOKUP(A1257,[8]PRIORIZADOS!$A:$T,20,FALSE)="","",VLOOKUP(A1257,[8]PRIORIZADOS!$A:$T,20,FALSE)),"")</f>
        <v>No</v>
      </c>
      <c r="U1257" s="11" t="str">
        <f>IFERROR(IF(VLOOKUP(A1257,[8]PRIORIZADOS!$A:$U,21,FALSE)="","",VLOOKUP(A1257,[8]PRIORIZADOS!$A:$U,21,FALSE)),"")</f>
        <v>El ELIV verificará en la próxima vigencia el desarrollo de las acciones previstas en el SIEE.</v>
      </c>
    </row>
    <row r="1258" spans="1:26" s="1" customFormat="1" ht="48">
      <c r="A1258" s="69">
        <f>IF([8]PRIORIZADOS!A238="","",[8]PRIORIZADOS!A238)</f>
        <v>1204</v>
      </c>
      <c r="B1258" s="70">
        <v>37</v>
      </c>
      <c r="C1258" s="11" t="str">
        <f>IFERROR(IF(VLOOKUP(A1258,[8]PRIORIZADOS!$A:$C,3,FALSE)="","",VLOOKUP(A1258,[8]PRIORIZADOS!$A:$C,3,FALSE)),"")</f>
        <v>KENNEDY</v>
      </c>
      <c r="D1258" s="11" t="str">
        <f>IFERROR(IF(VLOOKUP(A1258,[8]PRIORIZADOS!$A:$D,4,FALSE)="","",VLOOKUP(A1258,[8]PRIORIZADOS!$A:$D,4,FALSE)),"")</f>
        <v>PRIVADO</v>
      </c>
      <c r="E1258" s="11" t="str">
        <f>IFERROR(IF(VLOOKUP(A1258,[8]PRIORIZADOS!$A:$E,5,FALSE)="","",VLOOKUP(A1258,[8]PRIORIZADOS!$A:$E,5,FALSE)),"")</f>
        <v>EPBM</v>
      </c>
      <c r="F1258" s="11" t="str">
        <f>IFERROR(IF(VLOOKUP(A1258,[8]PRIORIZADOS!$A:$F,6,FALSE)="","",VLOOKUP(A1258,[8]PRIORIZADOS!$A:$F,6,FALSE)),"")</f>
        <v>LICEO_LUTHER_KING</v>
      </c>
      <c r="G1258" s="11" t="str">
        <f>IFERROR(IF(VLOOKUP(A1258,[8]PRIORIZADOS!$A:$G,7,FALSE)="","",VLOOKUP(A1258,[8]PRIORIZADOS!$A:$G,7,FALSE)),"")</f>
        <v>LICEO LUTHER KING</v>
      </c>
      <c r="H1258" s="11" t="str">
        <f>IFERROR(IF(VLOOKUP(A1258,[8]PRIORIZADOS!$A:$H,8,FALSE)="","",VLOOKUP(A1258,[8]PRIORIZADOS!$A:$H,8,FALSE)),"")</f>
        <v>Autoevaluación Institucional y Pruebas SABER 11</v>
      </c>
      <c r="I1258" s="11" t="str">
        <f>IFERROR(IF(VLOOKUP(A1258,[8]PRIORIZADOS!$A:$I,9,FALSE)="","",VLOOKUP(A1258,[8]PRIORIZADOS!$A:$I,9,FALSE)),"")</f>
        <v>EVALUACIÓN_CON_FINES_DE_MEJORAMIENTO.</v>
      </c>
      <c r="J1258" s="11" t="str">
        <f>IFERROR(IF(VLOOKUP(A1258,[8]PRIORIZADOS!$A:$J,10,FALSE)="","",VLOOKUP(A1258,[8]PRIORIZADOS!$A:$J,10,FALSE)),"")</f>
        <v>Revisar el calendario escolar, jornada escolar, la intensidad horaria mínima anual en cada nivel y las modificaciones que se realicen al mismo, de acuerdo con lo previsto en la normatividad vigente.</v>
      </c>
      <c r="K1258" s="11" t="str">
        <f>IFERROR(IF(VLOOKUP(A1258,[8]PRIORIZADOS!$A:$K,11,FALSE)="","",VLOOKUP(A1258,[8]PRIORIZADOS!$A:$K,11,FALSE)),"")</f>
        <v>ADRIANA VENEGAS VALERA</v>
      </c>
      <c r="L1258" s="11" t="str">
        <f>IFERROR(IF(VLOOKUP(A1258,[8]PRIORIZADOS!$A:$L,12,FALSE)="","",VLOOKUP(A1258,[8]PRIORIZADOS!$A:$L,12,FALSE)),"")</f>
        <v>VIVANA PILAR BOHÓRQUEZ DÍAZ</v>
      </c>
      <c r="M1258" s="71">
        <f>IFERROR(IF(VLOOKUP(A1258,[8]PRIORIZADOS!$A:$M,13,FALSE)="","",VLOOKUP(A1258,[8]PRIORIZADOS!$A:$M,13,FALSE)),"")</f>
        <v>45868</v>
      </c>
      <c r="N1258" s="71">
        <f>IFERROR(IF(VLOOKUP(A1258,[8]PRIORIZADOS!$A:$N,14,FALSE)="","",VLOOKUP(A1258,[8]PRIORIZADOS!$A:$N,14,FALSE)),"")</f>
        <v>45868</v>
      </c>
      <c r="O1258" s="71">
        <f>IFERROR(IF(VLOOKUP(A1258,[8]PRIORIZADOS!$A:$O,15,FALSE)="","",VLOOKUP(A1258,[8]PRIORIZADOS!$A:$O,15,FALSE)),"")</f>
        <v>45868</v>
      </c>
      <c r="P1258" s="11" t="str">
        <f>IFERROR(IF(VLOOKUP(A1258,[8]PRIORIZADOS!$A:$P,16,FALSE)="","",VLOOKUP(A1258,[8]PRIORIZADOS!$A:$P,16,FALSE)),"")</f>
        <v>Visitas de evaluación con fines de mejoramiento</v>
      </c>
      <c r="Q1258" s="134" t="s">
        <v>255</v>
      </c>
      <c r="R1258" s="11" t="str">
        <f>IFERROR(IF(VLOOKUP(A1258,[8]PRIORIZADOS!$A:$R,18,FALSE)="","",VLOOKUP(A1258,[8]PRIORIZADOS!$A:$R,18,FALSE)),"")</f>
        <v xml:space="preserve">La IE cuenta con el calendario escolar, el cual cumple con la  intensidad horaria mínima definida en la normatividad vigente y fue validado por el ELIV. </v>
      </c>
      <c r="S1258" s="11" t="str">
        <f>IFERROR(IF(VLOOKUP(A1258,[8]PRIORIZADOS!$A:$S,19,FALSE)="","",VLOOKUP(A1258,[8]PRIORIZADOS!$A:$S,19,FALSE)),"")</f>
        <v xml:space="preserve">Garantizar el cumplimiento de la intensidad horaria prevista en el calendario escolar. </v>
      </c>
      <c r="T1258" s="70" t="str">
        <f>IFERROR(IF(VLOOKUP(A1258,[8]PRIORIZADOS!$A:$T,20,FALSE)="","",VLOOKUP(A1258,[8]PRIORIZADOS!$A:$T,20,FALSE)),"")</f>
        <v>No</v>
      </c>
      <c r="U1258" s="11" t="str">
        <f>IFERROR(IF(VLOOKUP(A1258,[8]PRIORIZADOS!$A:$U,21,FALSE)="","",VLOOKUP(A1258,[8]PRIORIZADOS!$A:$U,21,FALSE)),"")</f>
        <v>Seguimiento al cumplimiento del calendario escolar en la próxima vigencia.</v>
      </c>
    </row>
    <row r="1259" spans="1:26" s="1" customFormat="1" ht="60">
      <c r="A1259" s="69">
        <f>IF([8]PRIORIZADOS!A239="","",[8]PRIORIZADOS!A239)</f>
        <v>1205</v>
      </c>
      <c r="B1259" s="70">
        <v>37</v>
      </c>
      <c r="C1259" s="11" t="str">
        <f>IFERROR(IF(VLOOKUP(A1259,[8]PRIORIZADOS!$A:$C,3,FALSE)="","",VLOOKUP(A1259,[8]PRIORIZADOS!$A:$C,3,FALSE)),"")</f>
        <v>KENNEDY</v>
      </c>
      <c r="D1259" s="11" t="str">
        <f>IFERROR(IF(VLOOKUP(A1259,[8]PRIORIZADOS!$A:$D,4,FALSE)="","",VLOOKUP(A1259,[8]PRIORIZADOS!$A:$D,4,FALSE)),"")</f>
        <v>PRIVADO</v>
      </c>
      <c r="E1259" s="11" t="str">
        <f>IFERROR(IF(VLOOKUP(A1259,[8]PRIORIZADOS!$A:$E,5,FALSE)="","",VLOOKUP(A1259,[8]PRIORIZADOS!$A:$E,5,FALSE)),"")</f>
        <v>EPBM</v>
      </c>
      <c r="F1259" s="11" t="str">
        <f>IFERROR(IF(VLOOKUP(A1259,[8]PRIORIZADOS!$A:$F,6,FALSE)="","",VLOOKUP(A1259,[8]PRIORIZADOS!$A:$F,6,FALSE)),"")</f>
        <v>LICEO_LUTHER_KING</v>
      </c>
      <c r="G1259" s="11" t="str">
        <f>IFERROR(IF(VLOOKUP(A1259,[8]PRIORIZADOS!$A:$G,7,FALSE)="","",VLOOKUP(A1259,[8]PRIORIZADOS!$A:$G,7,FALSE)),"")</f>
        <v>LICEO LUTHER KING</v>
      </c>
      <c r="H1259" s="11" t="str">
        <f>IFERROR(IF(VLOOKUP(A1259,[8]PRIORIZADOS!$A:$H,8,FALSE)="","",VLOOKUP(A1259,[8]PRIORIZADOS!$A:$H,8,FALSE)),"")</f>
        <v>Autoevaluación Institucional y Pruebas SABER 11</v>
      </c>
      <c r="I1259" s="11" t="str">
        <f>IFERROR(IF(VLOOKUP(A1259,[8]PRIORIZADOS!$A:$I,9,FALSE)="","",VLOOKUP(A1259,[8]PRIORIZADOS!$A:$I,9,FALSE)),"")</f>
        <v>EVALUACIÓN_CON_FINES_DE_MEJORAMIENTO.</v>
      </c>
      <c r="J1259" s="11" t="str">
        <f>IFERROR(IF(VLOOKUP(A1259,[8]PRIORIZADOS!$A:$J,10,FALSE)="","",VLOOKUP(A1259,[8]PRIORIZADOS!$A:$J,10,FALSE)),"")</f>
        <v>Verificar el funcionamiento del Gobierno Escolar e instancias de participación con base en la información sobre conformación reportada por la institución educativa.</v>
      </c>
      <c r="K1259" s="11" t="str">
        <f>IFERROR(IF(VLOOKUP(A1259,[8]PRIORIZADOS!$A:$K,11,FALSE)="","",VLOOKUP(A1259,[8]PRIORIZADOS!$A:$K,11,FALSE)),"")</f>
        <v>ADRIANA VENEGAS VALERA</v>
      </c>
      <c r="L1259" s="11" t="str">
        <f>IFERROR(IF(VLOOKUP(A1259,[8]PRIORIZADOS!$A:$L,12,FALSE)="","",VLOOKUP(A1259,[8]PRIORIZADOS!$A:$L,12,FALSE)),"")</f>
        <v>VIVANA PILAR BOHÓRQUEZ DÍAZ</v>
      </c>
      <c r="M1259" s="71">
        <f>IFERROR(IF(VLOOKUP(A1259,[8]PRIORIZADOS!$A:$M,13,FALSE)="","",VLOOKUP(A1259,[8]PRIORIZADOS!$A:$M,13,FALSE)),"")</f>
        <v>45868</v>
      </c>
      <c r="N1259" s="71">
        <f>IFERROR(IF(VLOOKUP(A1259,[8]PRIORIZADOS!$A:$N,14,FALSE)="","",VLOOKUP(A1259,[8]PRIORIZADOS!$A:$N,14,FALSE)),"")</f>
        <v>45868</v>
      </c>
      <c r="O1259" s="71">
        <f>IFERROR(IF(VLOOKUP(A1259,[8]PRIORIZADOS!$A:$O,15,FALSE)="","",VLOOKUP(A1259,[8]PRIORIZADOS!$A:$O,15,FALSE)),"")</f>
        <v>45868</v>
      </c>
      <c r="P1259" s="11" t="str">
        <f>IFERROR(IF(VLOOKUP(A1259,[8]PRIORIZADOS!$A:$P,16,FALSE)="","",VLOOKUP(A1259,[8]PRIORIZADOS!$A:$P,16,FALSE)),"")</f>
        <v>Visitas de evaluación con fines de mejoramiento</v>
      </c>
      <c r="Q1259" s="134" t="s">
        <v>255</v>
      </c>
      <c r="R1259" s="11" t="str">
        <f>IFERROR(IF(VLOOKUP(A1259,[8]PRIORIZADOS!$A:$R,18,FALSE)="","",VLOOKUP(A1259,[8]PRIORIZADOS!$A:$R,18,FALSE)),"")</f>
        <v xml:space="preserve">La institución educativa realizo la conformación de las instancias de gobierno escolar y se evidencia la movilización de estos espacios en la toma de decisiones requeridas. </v>
      </c>
      <c r="S1259" s="11" t="str">
        <f>IFERROR(IF(VLOOKUP(A1259,[8]PRIORIZADOS!$A:$S,19,FALSE)="","",VLOOKUP(A1259,[8]PRIORIZADOS!$A:$S,19,FALSE)),"")</f>
        <v xml:space="preserve">Continuar la movilización de las instancias de participación del gobierno escolar. </v>
      </c>
      <c r="T1259" s="70" t="str">
        <f>IFERROR(IF(VLOOKUP(A1259,[8]PRIORIZADOS!$A:$T,20,FALSE)="","",VLOOKUP(A1259,[8]PRIORIZADOS!$A:$T,20,FALSE)),"")</f>
        <v>No</v>
      </c>
      <c r="U1259" s="11" t="str">
        <f>IFERROR(IF(VLOOKUP(A1259,[8]PRIORIZADOS!$A:$U,21,FALSE)="","",VLOOKUP(A1259,[8]PRIORIZADOS!$A:$U,21,FALSE)),"")</f>
        <v xml:space="preserve">Verificar la información registrada en el SAE en la próxima vigencia. </v>
      </c>
    </row>
    <row r="1260" spans="1:26" s="1" customFormat="1" ht="48">
      <c r="A1260" s="69">
        <f>IF([8]PRIORIZADOS!A240="","",[8]PRIORIZADOS!A240)</f>
        <v>2794</v>
      </c>
      <c r="B1260" s="70">
        <v>37</v>
      </c>
      <c r="C1260" s="11" t="str">
        <f>IFERROR(IF(VLOOKUP(A1260,[8]PRIORIZADOS!$A:$C,3,FALSE)="","",VLOOKUP(A1260,[8]PRIORIZADOS!$A:$C,3,FALSE)),"")</f>
        <v>KENNEDY</v>
      </c>
      <c r="D1260" s="11" t="str">
        <f>IFERROR(IF(VLOOKUP(A1260,[8]PRIORIZADOS!$A:$D,4,FALSE)="","",VLOOKUP(A1260,[8]PRIORIZADOS!$A:$D,4,FALSE)),"")</f>
        <v>PRIVADO</v>
      </c>
      <c r="E1260" s="11" t="str">
        <f>IFERROR(IF(VLOOKUP(A1260,[8]PRIORIZADOS!$A:$E,5,FALSE)="","",VLOOKUP(A1260,[8]PRIORIZADOS!$A:$E,5,FALSE)),"")</f>
        <v>EPBM</v>
      </c>
      <c r="F1260" s="11" t="str">
        <f>IFERROR(IF(VLOOKUP(A1260,[8]PRIORIZADOS!$A:$F,6,FALSE)="","",VLOOKUP(A1260,[8]PRIORIZADOS!$A:$F,6,FALSE)),"")</f>
        <v>LICEO_LUTHER_KING</v>
      </c>
      <c r="G1260" s="11" t="str">
        <f>IFERROR(IF(VLOOKUP(A1260,[8]PRIORIZADOS!$A:$G,7,FALSE)="","",VLOOKUP(A1260,[8]PRIORIZADOS!$A:$G,7,FALSE)),"")</f>
        <v>LICEO LUTHER KING</v>
      </c>
      <c r="H1260" s="11" t="str">
        <f>IFERROR(IF(VLOOKUP(A1260,[8]PRIORIZADOS!$A:$H,8,FALSE)="","",VLOOKUP(A1260,[8]PRIORIZADOS!$A:$H,8,FALSE)),"")</f>
        <v>Autoevaluación Institucional y Pruebas SABER 11</v>
      </c>
      <c r="I1260" s="11" t="str">
        <f>IFERROR(IF(VLOOKUP(A1260,[8]PRIORIZADOS!$A:$I,9,FALSE)="","",VLOOKUP(A1260,[8]PRIORIZADOS!$A:$I,9,FALSE)),"")</f>
        <v>EVALUACIÓN_CON_FINES_DE_MEJORAMIENTO.</v>
      </c>
      <c r="J1260" s="11" t="str">
        <f>IFERROR(IF(VLOOKUP(A1260,[8]PRIORIZADOS!$A:$J,10,FALSE)="","",VLOOKUP(A1260,[8]PRIORIZADOS!$A:$J,10,FALSE)),"")</f>
        <v>Verificar las condiciones en cuanto a: la estructura administrativa, condiciones de la planta física y medios educativos adecuados.</v>
      </c>
      <c r="K1260" s="11" t="str">
        <f>IFERROR(IF(VLOOKUP(A1260,[8]PRIORIZADOS!$A:$K,11,FALSE)="","",VLOOKUP(A1260,[8]PRIORIZADOS!$A:$K,11,FALSE)),"")</f>
        <v>ADRIANA VENEGAS VALERA</v>
      </c>
      <c r="L1260" s="11" t="str">
        <f>IFERROR(IF(VLOOKUP(A1260,[8]PRIORIZADOS!$A:$L,12,FALSE)="","",VLOOKUP(A1260,[8]PRIORIZADOS!$A:$L,12,FALSE)),"")</f>
        <v>VIVANA PILAR BOHÓRQUEZ DÍAZ</v>
      </c>
      <c r="M1260" s="71">
        <f>IFERROR(IF(VLOOKUP(A1260,[8]PRIORIZADOS!$A:$M,13,FALSE)="","",VLOOKUP(A1260,[8]PRIORIZADOS!$A:$M,13,FALSE)),"")</f>
        <v>45868</v>
      </c>
      <c r="N1260" s="71">
        <f>IFERROR(IF(VLOOKUP(A1260,[8]PRIORIZADOS!$A:$N,14,FALSE)="","",VLOOKUP(A1260,[8]PRIORIZADOS!$A:$N,14,FALSE)),"")</f>
        <v>45868</v>
      </c>
      <c r="O1260" s="71">
        <f>IFERROR(IF(VLOOKUP(A1260,[8]PRIORIZADOS!$A:$O,15,FALSE)="","",VLOOKUP(A1260,[8]PRIORIZADOS!$A:$O,15,FALSE)),"")</f>
        <v>45868</v>
      </c>
      <c r="P1260" s="11" t="str">
        <f>IFERROR(IF(VLOOKUP(A1260,[8]PRIORIZADOS!$A:$P,16,FALSE)="","",VLOOKUP(A1260,[8]PRIORIZADOS!$A:$P,16,FALSE)),"")</f>
        <v>Visitas de evaluación con fines de mejoramiento</v>
      </c>
      <c r="Q1260" s="134" t="s">
        <v>255</v>
      </c>
      <c r="R1260" s="11" t="str">
        <f>IFERROR(IF(VLOOKUP(A1260,[8]PRIORIZADOS!$A:$R,18,FALSE)="","",VLOOKUP(A1260,[8]PRIORIZADOS!$A:$R,18,FALSE)),"")</f>
        <v xml:space="preserve">La IE hace uso permanente del parque zonal cercano, para los momentos de receso escolar y no cuenta con el convenio de ambientes compartidos. </v>
      </c>
      <c r="S1260" s="11" t="str">
        <f>IFERROR(IF(VLOOKUP(A1260,[8]PRIORIZADOS!$A:$S,19,FALSE)="","",VLOOKUP(A1260,[8]PRIORIZADOS!$A:$S,19,FALSE)),"")</f>
        <v xml:space="preserve">Tramitar el convenio de ambientes compartidos, en el marco de la Resolución 1326 de 2023, para garantizar la seguridad de las y los estudiantes.  </v>
      </c>
      <c r="T1260" s="70" t="str">
        <f>IFERROR(IF(VLOOKUP(A1260,[8]PRIORIZADOS!$A:$T,20,FALSE)="","",VLOOKUP(A1260,[8]PRIORIZADOS!$A:$T,20,FALSE)),"")</f>
        <v>Si</v>
      </c>
      <c r="U1260" s="11" t="str">
        <f>IFERROR(IF(VLOOKUP(A1260,[8]PRIORIZADOS!$A:$U,21,FALSE)="","",VLOOKUP(A1260,[8]PRIORIZADOS!$A:$U,21,FALSE)),"")</f>
        <v xml:space="preserve">Seguimiento al cumplimiento de las acciones definidas en el Plan de Mejoramiento. Seguimiento al cumplimiento de las acciones definidas en el Plan de Mejoramiento. Se realiza mesa de seguimiento el día 19 de septiembre 2025. Se validará el cumplimiento total del plan de mejoramiento el 13 de marzo 2025. </v>
      </c>
    </row>
    <row r="1261" spans="1:26" s="1" customFormat="1" ht="48">
      <c r="A1261" s="69">
        <f>IF([8]PRIORIZADOS!A241="","",[8]PRIORIZADOS!A241)</f>
        <v>1206</v>
      </c>
      <c r="B1261" s="70">
        <f>IFERROR(IF(VLOOKUP(A1261,[8]PRIORIZADOS!$A:$B,2,FALSE)="","",VLOOKUP(A1261,[8]PRIORIZADOS!$A:$B,2,FALSE)),"")</f>
        <v>38</v>
      </c>
      <c r="C1261" s="11" t="str">
        <f>IFERROR(IF(VLOOKUP(A1261,[8]PRIORIZADOS!$A:$C,3,FALSE)="","",VLOOKUP(A1261,[8]PRIORIZADOS!$A:$C,3,FALSE)),"")</f>
        <v>KENNEDY</v>
      </c>
      <c r="D1261" s="11" t="str">
        <f>IFERROR(IF(VLOOKUP(A1261,[8]PRIORIZADOS!$A:$D,4,FALSE)="","",VLOOKUP(A1261,[8]PRIORIZADOS!$A:$D,4,FALSE)),"")</f>
        <v>PRIVADO</v>
      </c>
      <c r="E1261" s="11" t="str">
        <f>IFERROR(IF(VLOOKUP(A1261,[8]PRIORIZADOS!$A:$E,5,FALSE)="","",VLOOKUP(A1261,[8]PRIORIZADOS!$A:$E,5,FALSE)),"")</f>
        <v>EPBM</v>
      </c>
      <c r="F1261" s="11" t="str">
        <f>IFERROR(IF(VLOOKUP(A1261,[8]PRIORIZADOS!$A:$F,6,FALSE)="","",VLOOKUP(A1261,[8]PRIORIZADOS!$A:$F,6,FALSE)),"")</f>
        <v>LICEO_MODERNO_LEON_BAEZ</v>
      </c>
      <c r="G1261" s="11" t="str">
        <f>IFERROR(IF(VLOOKUP(A1261,[8]PRIORIZADOS!$A:$G,7,FALSE)="","",VLOOKUP(A1261,[8]PRIORIZADOS!$A:$G,7,FALSE)),"")</f>
        <v>LICEO MODERNO LEON BAEZ</v>
      </c>
      <c r="H1261" s="11" t="str">
        <f>IFERROR(IF(VLOOKUP(A1261,[8]PRIORIZADOS!$A:$H,8,FALSE)="","",VLOOKUP(A1261,[8]PRIORIZADOS!$A:$H,8,FALSE)),"")</f>
        <v>Autoevaluación Institucional y Pruebas SABER 11</v>
      </c>
      <c r="I1261" s="11" t="str">
        <f>IFERROR(IF(VLOOKUP(A1261,[8]PRIORIZADOS!$A:$I,9,FALSE)="","",VLOOKUP(A1261,[8]PRIORIZADOS!$A:$I,9,FALSE)),"")</f>
        <v>SEGUIMIENTO_Y_SUPERVISIÓN.</v>
      </c>
      <c r="J1261" s="11" t="str">
        <f>IFERROR(IF(VLOOKUP(A1261,[8]PRIORIZADOS!$A:$J,10,FALSE)="","",VLOOKUP(A1261,[8]PRIORIZADOS!$A:$J,10,FALSE)),"")</f>
        <v>Realizar visitas para verificar la información registrada sobre la autoevaluación institucional en el aplicativo EVI, a los establecimientos de educación formal no oficial.</v>
      </c>
      <c r="K1261" s="11" t="str">
        <f>IFERROR(IF(VLOOKUP(A1261,[8]PRIORIZADOS!$A:$K,11,FALSE)="","",VLOOKUP(A1261,[8]PRIORIZADOS!$A:$K,11,FALSE)),"")</f>
        <v>LUCY GONZÁLEZ LERMA</v>
      </c>
      <c r="L1261" s="11" t="str">
        <f>IFERROR(IF(VLOOKUP(A1261,[8]PRIORIZADOS!$A:$L,12,FALSE)="","",VLOOKUP(A1261,[8]PRIORIZADOS!$A:$L,12,FALSE)),"")</f>
        <v xml:space="preserve">DIANA ZULAY HUERTAS ORTÍZ </v>
      </c>
      <c r="M1261" s="71">
        <f>IFERROR(IF(VLOOKUP(A1261,[8]PRIORIZADOS!$A:$M,13,FALSE)="","",VLOOKUP(A1261,[8]PRIORIZADOS!$A:$M,13,FALSE)),"")</f>
        <v>45869</v>
      </c>
      <c r="N1261" s="71">
        <f>IFERROR(IF(VLOOKUP(A1261,[8]PRIORIZADOS!$A:$N,14,FALSE)="","",VLOOKUP(A1261,[8]PRIORIZADOS!$A:$N,14,FALSE)),"")</f>
        <v>45869</v>
      </c>
      <c r="O1261" s="71">
        <f>IFERROR(IF(VLOOKUP(A1261,[8]PRIORIZADOS!$A:$O,15,FALSE)="","",VLOOKUP(A1261,[8]PRIORIZADOS!$A:$O,15,FALSE)),"")</f>
        <v>45869</v>
      </c>
      <c r="P1261" s="11" t="str">
        <f>IFERROR(IF(VLOOKUP(A1261,[8]PRIORIZADOS!$A:$P,16,FALSE)="","",VLOOKUP(A1261,[8]PRIORIZADOS!$A:$P,16,FALSE)),"")</f>
        <v>Visitas de evaluación con fines de mejoramiento</v>
      </c>
      <c r="Q1261" s="189" t="s">
        <v>259</v>
      </c>
      <c r="R1261" s="11" t="str">
        <f>IFERROR(IF(VLOOKUP(A1261,[8]PRIORIZADOS!$A:$R,18,FALSE)="","",VLOOKUP(A1261,[8]PRIORIZADOS!$A:$R,18,FALSE)),"")</f>
        <v xml:space="preserve">La institución no registra información en el EVI, que dé cuenta de la realidad institucional relacionada con la  biblioteca y ludoteca. </v>
      </c>
      <c r="S1261" s="11" t="str">
        <f>IFERROR(IF(VLOOKUP(A1261,[8]PRIORIZADOS!$A:$S,19,FALSE)="","",VLOOKUP(A1261,[8]PRIORIZADOS!$A:$S,19,FALSE)),"")</f>
        <v>Registrar en el aplicativo EVI, la información que dé cuenta de la realidad institucional.</v>
      </c>
      <c r="T1261" s="70" t="str">
        <f>IFERROR(IF(VLOOKUP(A1261,[8]PRIORIZADOS!$A:$T,20,FALSE)="","",VLOOKUP(A1261,[8]PRIORIZADOS!$A:$T,20,FALSE)),"")</f>
        <v>SI</v>
      </c>
      <c r="U1261" s="11" t="str">
        <f>IFERROR(IF(VLOOKUP(A1261,[8]PRIORIZADOS!$A:$U,21,FALSE)="","",VLOOKUP(A1261,[8]PRIORIZADOS!$A:$U,21,FALSE)),"")</f>
        <v>Verificar la información registrada en el aplicativo en la vigencia 2025.</v>
      </c>
    </row>
    <row r="1262" spans="1:26" s="1" customFormat="1" ht="60">
      <c r="A1262" s="69">
        <f>IF([8]PRIORIZADOS!A242="","",[8]PRIORIZADOS!A242)</f>
        <v>1207</v>
      </c>
      <c r="B1262" s="70">
        <v>38</v>
      </c>
      <c r="C1262" s="11" t="str">
        <f>IFERROR(IF(VLOOKUP(A1262,[8]PRIORIZADOS!$A:$C,3,FALSE)="","",VLOOKUP(A1262,[8]PRIORIZADOS!$A:$C,3,FALSE)),"")</f>
        <v>KENNEDY</v>
      </c>
      <c r="D1262" s="11" t="str">
        <f>IFERROR(IF(VLOOKUP(A1262,[8]PRIORIZADOS!$A:$D,4,FALSE)="","",VLOOKUP(A1262,[8]PRIORIZADOS!$A:$D,4,FALSE)),"")</f>
        <v>PRIVADO</v>
      </c>
      <c r="E1262" s="11" t="str">
        <f>IFERROR(IF(VLOOKUP(A1262,[8]PRIORIZADOS!$A:$E,5,FALSE)="","",VLOOKUP(A1262,[8]PRIORIZADOS!$A:$E,5,FALSE)),"")</f>
        <v>EPBM</v>
      </c>
      <c r="F1262" s="11" t="str">
        <f>IFERROR(IF(VLOOKUP(A1262,[8]PRIORIZADOS!$A:$F,6,FALSE)="","",VLOOKUP(A1262,[8]PRIORIZADOS!$A:$F,6,FALSE)),"")</f>
        <v>LICEO_MODERNO_LEON_BAEZ</v>
      </c>
      <c r="G1262" s="11" t="str">
        <f>IFERROR(IF(VLOOKUP(A1262,[8]PRIORIZADOS!$A:$G,7,FALSE)="","",VLOOKUP(A1262,[8]PRIORIZADOS!$A:$G,7,FALSE)),"")</f>
        <v>LICEO MODERNO LEON BAEZ</v>
      </c>
      <c r="H1262" s="11" t="str">
        <f>IFERROR(IF(VLOOKUP(A1262,[8]PRIORIZADOS!$A:$H,8,FALSE)="","",VLOOKUP(A1262,[8]PRIORIZADOS!$A:$H,8,FALSE)),"")</f>
        <v>Autoevaluación Institucional y Pruebas SABER 11</v>
      </c>
      <c r="I1262" s="11" t="str">
        <f>IFERROR(IF(VLOOKUP(A1262,[8]PRIORIZADOS!$A:$I,9,FALSE)="","",VLOOKUP(A1262,[8]PRIORIZADOS!$A:$I,9,FALSE)),"")</f>
        <v>SEGUIMIENTO_Y_SUPERVISIÓN.</v>
      </c>
      <c r="J1262" s="11" t="str">
        <f>IFERROR(IF(VLOOKUP(A1262,[8]PRIORIZADOS!$A:$J,10,FALSE)="","",VLOOKUP(A1262,[8]PRIORIZADOS!$A:$J,10,FALSE)),"")</f>
        <v>Proponer estrategias en la formulación, verificar su elaboración y realizar seguimiento semestral al desarrollo de  las acciones establecidas en los planes de mejoramiento por pruebas SABER 11 de los establecimientos de educación formal.</v>
      </c>
      <c r="K1262" s="11" t="str">
        <f>IFERROR(IF(VLOOKUP(A1262,[8]PRIORIZADOS!$A:$K,11,FALSE)="","",VLOOKUP(A1262,[8]PRIORIZADOS!$A:$K,11,FALSE)),"")</f>
        <v>LUCY GONZÁLEZ LERMA</v>
      </c>
      <c r="L1262" s="11" t="str">
        <f>IFERROR(IF(VLOOKUP(A1262,[8]PRIORIZADOS!$A:$L,12,FALSE)="","",VLOOKUP(A1262,[8]PRIORIZADOS!$A:$L,12,FALSE)),"")</f>
        <v xml:space="preserve">DIANA ZULAY HUERTAS ORTÍZ </v>
      </c>
      <c r="M1262" s="71">
        <f>IFERROR(IF(VLOOKUP(A1262,[8]PRIORIZADOS!$A:$M,13,FALSE)="","",VLOOKUP(A1262,[8]PRIORIZADOS!$A:$M,13,FALSE)),"")</f>
        <v>45869</v>
      </c>
      <c r="N1262" s="71">
        <f>IFERROR(IF(VLOOKUP(A1262,[8]PRIORIZADOS!$A:$N,14,FALSE)="","",VLOOKUP(A1262,[8]PRIORIZADOS!$A:$N,14,FALSE)),"")</f>
        <v>45869</v>
      </c>
      <c r="O1262" s="71">
        <f>IFERROR(IF(VLOOKUP(A1262,[8]PRIORIZADOS!$A:$O,15,FALSE)="","",VLOOKUP(A1262,[8]PRIORIZADOS!$A:$O,15,FALSE)),"")</f>
        <v>45869</v>
      </c>
      <c r="P1262" s="11" t="str">
        <f>IFERROR(IF(VLOOKUP(A1262,[8]PRIORIZADOS!$A:$P,16,FALSE)="","",VLOOKUP(A1262,[8]PRIORIZADOS!$A:$P,16,FALSE)),"")</f>
        <v>Visitas de evaluación con fines de mejoramiento</v>
      </c>
      <c r="Q1262" s="190" t="s">
        <v>259</v>
      </c>
      <c r="R1262" s="11" t="str">
        <f>IFERROR(IF(VLOOKUP(A1262,[8]PRIORIZADOS!$A:$R,18,FALSE)="","",VLOOKUP(A1262,[8]PRIORIZADOS!$A:$R,18,FALSE)),"")</f>
        <v>La IE desarrolla estrategias para analizar y realizar seguimiento a los resultados de prueba SABER 11.</v>
      </c>
      <c r="S1262" s="11" t="str">
        <f>IFERROR(IF(VLOOKUP(A1262,[8]PRIORIZADOS!$A:$S,19,FALSE)="","",VLOOKUP(A1262,[8]PRIORIZADOS!$A:$S,19,FALSE)),"")</f>
        <v xml:space="preserve">Continuar desarrollando estrategias en pro del mejoramiento de los resultados de las pruebas SABER. </v>
      </c>
      <c r="T1262" s="70" t="str">
        <f>IFERROR(IF(VLOOKUP(A1262,[8]PRIORIZADOS!$A:$T,20,FALSE)="","",VLOOKUP(A1262,[8]PRIORIZADOS!$A:$T,20,FALSE)),"")</f>
        <v>No</v>
      </c>
      <c r="U1262" s="11" t="str">
        <f>IFERROR(IF(VLOOKUP(A1262,[8]PRIORIZADOS!$A:$U,21,FALSE)="","",VLOOKUP(A1262,[8]PRIORIZADOS!$A:$U,21,FALSE)),"")</f>
        <v>ELIV, verificará el desarrollo de las estrategias planteadas por EE y el análisis de sus resultados.</v>
      </c>
    </row>
    <row r="1263" spans="1:26" s="1" customFormat="1" ht="84">
      <c r="A1263" s="69">
        <f>IF([8]PRIORIZADOS!A243="","",[8]PRIORIZADOS!A243)</f>
        <v>1208</v>
      </c>
      <c r="B1263" s="70">
        <v>38</v>
      </c>
      <c r="C1263" s="11" t="str">
        <f>IFERROR(IF(VLOOKUP(A1263,[8]PRIORIZADOS!$A:$C,3,FALSE)="","",VLOOKUP(A1263,[8]PRIORIZADOS!$A:$C,3,FALSE)),"")</f>
        <v>KENNEDY</v>
      </c>
      <c r="D1263" s="11" t="str">
        <f>IFERROR(IF(VLOOKUP(A1263,[8]PRIORIZADOS!$A:$D,4,FALSE)="","",VLOOKUP(A1263,[8]PRIORIZADOS!$A:$D,4,FALSE)),"")</f>
        <v>PRIVADO</v>
      </c>
      <c r="E1263" s="11" t="str">
        <f>IFERROR(IF(VLOOKUP(A1263,[8]PRIORIZADOS!$A:$E,5,FALSE)="","",VLOOKUP(A1263,[8]PRIORIZADOS!$A:$E,5,FALSE)),"")</f>
        <v>EPBM</v>
      </c>
      <c r="F1263" s="11" t="str">
        <f>IFERROR(IF(VLOOKUP(A1263,[8]PRIORIZADOS!$A:$F,6,FALSE)="","",VLOOKUP(A1263,[8]PRIORIZADOS!$A:$F,6,FALSE)),"")</f>
        <v>LICEO_MODERNO_LEON_BAEZ</v>
      </c>
      <c r="G1263" s="11" t="str">
        <f>IFERROR(IF(VLOOKUP(A1263,[8]PRIORIZADOS!$A:$G,7,FALSE)="","",VLOOKUP(A1263,[8]PRIORIZADOS!$A:$G,7,FALSE)),"")</f>
        <v>LICEO MODERNO LEON BAEZ</v>
      </c>
      <c r="H1263" s="11" t="str">
        <f>IFERROR(IF(VLOOKUP(A1263,[8]PRIORIZADOS!$A:$H,8,FALSE)="","",VLOOKUP(A1263,[8]PRIORIZADOS!$A:$H,8,FALSE)),"")</f>
        <v>Autoevaluación Institucional y Pruebas SABER 11</v>
      </c>
      <c r="I1263" s="11" t="str">
        <f>IFERROR(IF(VLOOKUP(A1263,[8]PRIORIZADOS!$A:$I,9,FALSE)="","",VLOOKUP(A1263,[8]PRIORIZADOS!$A:$I,9,FALSE)),"")</f>
        <v>SEGUIMIENTO_Y_SUPERVISIÓN.</v>
      </c>
      <c r="J1263" s="11" t="str">
        <f>IFERROR(IF(VLOOKUP(A1263,[8]PRIORIZADOS!$A:$J,10,FALSE)="","",VLOOKUP(A1263,[8]PRIORIZADOS!$A:$J,10,FALSE)),"")</f>
        <v xml:space="preserve">Verificar la implementación por parte de los colegios, de acciones realizadas para la prevención y atención de las situaciones de convivencia en el entorno escolar, según lo establecido en la Directiva 01 de 2022 del MEN. </v>
      </c>
      <c r="K1263" s="11" t="str">
        <f>IFERROR(IF(VLOOKUP(A1263,[8]PRIORIZADOS!$A:$K,11,FALSE)="","",VLOOKUP(A1263,[8]PRIORIZADOS!$A:$K,11,FALSE)),"")</f>
        <v>LUCY GONZÁLEZ LERMA</v>
      </c>
      <c r="L1263" s="11" t="str">
        <f>IFERROR(IF(VLOOKUP(A1263,[8]PRIORIZADOS!$A:$L,12,FALSE)="","",VLOOKUP(A1263,[8]PRIORIZADOS!$A:$L,12,FALSE)),"")</f>
        <v xml:space="preserve">DIANA ZULAY HUERTAS ORTÍZ </v>
      </c>
      <c r="M1263" s="71">
        <f>IFERROR(IF(VLOOKUP(A1263,[8]PRIORIZADOS!$A:$M,13,FALSE)="","",VLOOKUP(A1263,[8]PRIORIZADOS!$A:$M,13,FALSE)),"")</f>
        <v>45869</v>
      </c>
      <c r="N1263" s="71">
        <f>IFERROR(IF(VLOOKUP(A1263,[8]PRIORIZADOS!$A:$N,14,FALSE)="","",VLOOKUP(A1263,[8]PRIORIZADOS!$A:$N,14,FALSE)),"")</f>
        <v>45869</v>
      </c>
      <c r="O1263" s="71">
        <f>IFERROR(IF(VLOOKUP(A1263,[8]PRIORIZADOS!$A:$O,15,FALSE)="","",VLOOKUP(A1263,[8]PRIORIZADOS!$A:$O,15,FALSE)),"")</f>
        <v>45869</v>
      </c>
      <c r="P1263" s="11" t="str">
        <f>IFERROR(IF(VLOOKUP(A1263,[8]PRIORIZADOS!$A:$P,16,FALSE)="","",VLOOKUP(A1263,[8]PRIORIZADOS!$A:$P,16,FALSE)),"")</f>
        <v>Visitas de evaluación con fines de mejoramiento</v>
      </c>
      <c r="Q1263" s="134" t="s">
        <v>259</v>
      </c>
      <c r="R1263" s="11" t="str">
        <f>IFERROR(IF(VLOOKUP(A1263,[8]PRIORIZADOS!$A:$R,18,FALSE)="","",VLOOKUP(A1263,[8]PRIORIZADOS!$A:$R,18,FALSE)),"")</f>
        <v>Se encuentra  documentada la ruta de atención y protocolos de atención en el manual de convivencia. La IE ha  reportado en el sistema  de alertas situaciones tipo II y III. Se han realizado las verificación de inhabilidades por delitos sexuales del personal vinculado.</v>
      </c>
      <c r="S1263" s="11" t="str">
        <f>IFERROR(IF(VLOOKUP(A1263,[8]PRIORIZADOS!$A:$S,19,FALSE)="","",VLOOKUP(A1263,[8]PRIORIZADOS!$A:$S,19,FALSE)),"")</f>
        <v>Continuar con el monitoreo de las situaciones de convivencia en el entorno escolar y con las acciones de prevención. Realizar el reporte en el sistema de alertas en caso de presentarse una situación de tipo II o III</v>
      </c>
      <c r="T1263" s="70" t="str">
        <f>IFERROR(IF(VLOOKUP(A1263,[8]PRIORIZADOS!$A:$T,20,FALSE)="","",VLOOKUP(A1263,[8]PRIORIZADOS!$A:$T,20,FALSE)),"")</f>
        <v>No</v>
      </c>
      <c r="U1263" s="11" t="str">
        <f>IFERROR(IF(VLOOKUP(A1263,[8]PRIORIZADOS!$A:$U,21,FALSE)="","",VLOOKUP(A1263,[8]PRIORIZADOS!$A:$U,21,FALSE)),"")</f>
        <v>En caso de presentarse una situación convivencial verificar la activación de ruta y el reporte en el sistema de alertas</v>
      </c>
    </row>
    <row r="1264" spans="1:26" s="1" customFormat="1" ht="130.5">
      <c r="A1264" s="69">
        <f>IF([8]PRIORIZADOS!A244="","",[8]PRIORIZADOS!A244)</f>
        <v>1209</v>
      </c>
      <c r="B1264" s="70">
        <v>38</v>
      </c>
      <c r="C1264" s="11" t="str">
        <f>IFERROR(IF(VLOOKUP(A1264,[8]PRIORIZADOS!$A:$C,3,FALSE)="","",VLOOKUP(A1264,[8]PRIORIZADOS!$A:$C,3,FALSE)),"")</f>
        <v>KENNEDY</v>
      </c>
      <c r="D1264" s="11" t="str">
        <f>IFERROR(IF(VLOOKUP(A1264,[8]PRIORIZADOS!$A:$D,4,FALSE)="","",VLOOKUP(A1264,[8]PRIORIZADOS!$A:$D,4,FALSE)),"")</f>
        <v>PRIVADO</v>
      </c>
      <c r="E1264" s="11" t="str">
        <f>IFERROR(IF(VLOOKUP(A1264,[8]PRIORIZADOS!$A:$E,5,FALSE)="","",VLOOKUP(A1264,[8]PRIORIZADOS!$A:$E,5,FALSE)),"")</f>
        <v>EPBM</v>
      </c>
      <c r="F1264" s="11" t="str">
        <f>IFERROR(IF(VLOOKUP(A1264,[8]PRIORIZADOS!$A:$F,6,FALSE)="","",VLOOKUP(A1264,[8]PRIORIZADOS!$A:$F,6,FALSE)),"")</f>
        <v>LICEO_MODERNO_LEON_BAEZ</v>
      </c>
      <c r="G1264" s="11" t="str">
        <f>IFERROR(IF(VLOOKUP(A1264,[8]PRIORIZADOS!$A:$G,7,FALSE)="","",VLOOKUP(A1264,[8]PRIORIZADOS!$A:$G,7,FALSE)),"")</f>
        <v>LICEO MODERNO LEON BAEZ</v>
      </c>
      <c r="H1264" s="11" t="str">
        <f>IFERROR(IF(VLOOKUP(A1264,[8]PRIORIZADOS!$A:$H,8,FALSE)="","",VLOOKUP(A1264,[8]PRIORIZADOS!$A:$H,8,FALSE)),"")</f>
        <v>Autoevaluación Institucional y Pruebas SABER 11</v>
      </c>
      <c r="I1264" s="11" t="str">
        <f>IFERROR(IF(VLOOKUP(A1264,[8]PRIORIZADOS!$A:$I,9,FALSE)="","",VLOOKUP(A1264,[8]PRIORIZADOS!$A:$I,9,FALSE)),"")</f>
        <v>SEGUIMIENTO_Y_SUPERVISIÓN.</v>
      </c>
      <c r="J1264" s="11" t="str">
        <f>IFERROR(IF(VLOOKUP(A1264,[8]PRIORIZADOS!$A:$J,10,FALSE)="","",VLOOKUP(A1264,[8]PRIORIZADOS!$A:$J,10,FALSE)),"")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64" s="11" t="str">
        <f>IFERROR(IF(VLOOKUP(A1264,[8]PRIORIZADOS!$A:$K,11,FALSE)="","",VLOOKUP(A1264,[8]PRIORIZADOS!$A:$K,11,FALSE)),"")</f>
        <v>LUCY GONZÁLEZ LERMA</v>
      </c>
      <c r="L1264" s="11" t="str">
        <f>IFERROR(IF(VLOOKUP(A1264,[8]PRIORIZADOS!$A:$L,12,FALSE)="","",VLOOKUP(A1264,[8]PRIORIZADOS!$A:$L,12,FALSE)),"")</f>
        <v xml:space="preserve">DIANA ZULAY HUERTAS ORTÍZ </v>
      </c>
      <c r="M1264" s="71">
        <f>IFERROR(IF(VLOOKUP(A1264,[8]PRIORIZADOS!$A:$M,13,FALSE)="","",VLOOKUP(A1264,[8]PRIORIZADOS!$A:$M,13,FALSE)),"")</f>
        <v>45869</v>
      </c>
      <c r="N1264" s="71">
        <f>IFERROR(IF(VLOOKUP(A1264,[8]PRIORIZADOS!$A:$N,14,FALSE)="","",VLOOKUP(A1264,[8]PRIORIZADOS!$A:$N,14,FALSE)),"")</f>
        <v>45869</v>
      </c>
      <c r="O1264" s="71">
        <f>IFERROR(IF(VLOOKUP(A1264,[8]PRIORIZADOS!$A:$O,15,FALSE)="","",VLOOKUP(A1264,[8]PRIORIZADOS!$A:$O,15,FALSE)),"")</f>
        <v>45869</v>
      </c>
      <c r="P1264" s="11" t="str">
        <f>IFERROR(IF(VLOOKUP(A1264,[8]PRIORIZADOS!$A:$P,16,FALSE)="","",VLOOKUP(A1264,[8]PRIORIZADOS!$A:$P,16,FALSE)),"")</f>
        <v>Visitas de evaluación con fines de mejoramiento</v>
      </c>
      <c r="Q1264" s="189" t="s">
        <v>259</v>
      </c>
      <c r="R1264" s="11" t="str">
        <f>IFERROR(IF(VLOOKUP(A1264,[8]PRIORIZADOS!$A:$R,18,FALSE)="","",VLOOKUP(A1264,[8]PRIORIZADOS!$A:$R,18,FALSE)),"")</f>
        <v>La institución educativa cuenta con un carpeta de las niñas y los niños con discapacidad que incluye diagnóstico y recomendaciones médicas, por lo que hace falta la elaboración de los Planes Individuales de Ajustes Razonables de cada uno de los estudiantes en el formato  que permita el seguimiento individual, ya que cuenta con una flexibilización curricular sin evidencia de socialización con los padres de familia.</v>
      </c>
      <c r="S1264" s="11" t="str">
        <f>IFERROR(IF(VLOOKUP(A1264,[8]PRIORIZADOS!$A:$S,19,FALSE)="","",VLOOKUP(A1264,[8]PRIORIZADOS!$A:$S,19,FALSE)),"")</f>
        <v xml:space="preserve">Diseñar, implementar y hacer seguimiento a los Planes Individuales de Ajustes Razonables de las niñas y los niños que lo requieran. </v>
      </c>
      <c r="T1264" s="70" t="str">
        <f>IFERROR(IF(VLOOKUP(A1264,[8]PRIORIZADOS!$A:$T,20,FALSE)="","",VLOOKUP(A1264,[8]PRIORIZADOS!$A:$T,20,FALSE)),"")</f>
        <v>Si</v>
      </c>
      <c r="U1264" s="11" t="str">
        <f>IFERROR(IF(VLOOKUP(A1264,[8]PRIORIZADOS!$A:$U,21,FALSE)="","",VLOOKUP(A1264,[8]PRIORIZADOS!$A:$U,21,FALSE)),"")</f>
        <v>Seguimiento al cumplimiento de las acciones definidas en el Plan de Mejoramiento. Seguimiento al cumplimiento de las acciones definidas en el Plan de Mejoramiento. Se realiza mesa de seguimiento el día 22 de septiembre 2025.</v>
      </c>
    </row>
    <row r="1265" spans="1:21" s="1" customFormat="1" ht="107.25">
      <c r="A1265" s="69">
        <f>IF([8]PRIORIZADOS!A245="","",[8]PRIORIZADOS!A245)</f>
        <v>1210</v>
      </c>
      <c r="B1265" s="70">
        <v>38</v>
      </c>
      <c r="C1265" s="11" t="str">
        <f>IFERROR(IF(VLOOKUP(A1265,[8]PRIORIZADOS!$A:$C,3,FALSE)="","",VLOOKUP(A1265,[8]PRIORIZADOS!$A:$C,3,FALSE)),"")</f>
        <v>KENNEDY</v>
      </c>
      <c r="D1265" s="11" t="str">
        <f>IFERROR(IF(VLOOKUP(A1265,[8]PRIORIZADOS!$A:$D,4,FALSE)="","",VLOOKUP(A1265,[8]PRIORIZADOS!$A:$D,4,FALSE)),"")</f>
        <v>PRIVADO</v>
      </c>
      <c r="E1265" s="11" t="str">
        <f>IFERROR(IF(VLOOKUP(A1265,[8]PRIORIZADOS!$A:$E,5,FALSE)="","",VLOOKUP(A1265,[8]PRIORIZADOS!$A:$E,5,FALSE)),"")</f>
        <v>EPBM</v>
      </c>
      <c r="F1265" s="11" t="str">
        <f>IFERROR(IF(VLOOKUP(A1265,[8]PRIORIZADOS!$A:$F,6,FALSE)="","",VLOOKUP(A1265,[8]PRIORIZADOS!$A:$F,6,FALSE)),"")</f>
        <v>LICEO_MODERNO_LEON_BAEZ</v>
      </c>
      <c r="G1265" s="11" t="str">
        <f>IFERROR(IF(VLOOKUP(A1265,[8]PRIORIZADOS!$A:$G,7,FALSE)="","",VLOOKUP(A1265,[8]PRIORIZADOS!$A:$G,7,FALSE)),"")</f>
        <v>LICEO MODERNO LEON BAEZ</v>
      </c>
      <c r="H1265" s="11" t="str">
        <f>IFERROR(IF(VLOOKUP(A1265,[8]PRIORIZADOS!$A:$H,8,FALSE)="","",VLOOKUP(A1265,[8]PRIORIZADOS!$A:$H,8,FALSE)),"")</f>
        <v>Autoevaluación Institucional y Pruebas SABER 11</v>
      </c>
      <c r="I1265" s="11" t="str">
        <f>IFERROR(IF(VLOOKUP(A1265,[8]PRIORIZADOS!$A:$I,9,FALSE)="","",VLOOKUP(A1265,[8]PRIORIZADOS!$A:$I,9,FALSE)),"")</f>
        <v>EVALUACIÓN_CON_FINES_DE_MEJORAMIENTO.</v>
      </c>
      <c r="J1265" s="11" t="str">
        <f>IFERROR(IF(VLOOKUP(A1265,[8]PRIORIZADOS!$A:$J,10,FALSE)="","",VLOOKUP(A1265,[8]PRIORIZADOS!$A:$J,10,FALSE)),"")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65" s="11" t="str">
        <f>IFERROR(IF(VLOOKUP(A1265,[8]PRIORIZADOS!$A:$K,11,FALSE)="","",VLOOKUP(A1265,[8]PRIORIZADOS!$A:$K,11,FALSE)),"")</f>
        <v>LUCY GONZÁLEZ LERMA</v>
      </c>
      <c r="L1265" s="11" t="str">
        <f>IFERROR(IF(VLOOKUP(A1265,[8]PRIORIZADOS!$A:$L,12,FALSE)="","",VLOOKUP(A1265,[8]PRIORIZADOS!$A:$L,12,FALSE)),"")</f>
        <v xml:space="preserve">DIANA ZULAY HUERTAS ORTÍZ </v>
      </c>
      <c r="M1265" s="71">
        <f>IFERROR(IF(VLOOKUP(A1265,[8]PRIORIZADOS!$A:$M,13,FALSE)="","",VLOOKUP(A1265,[8]PRIORIZADOS!$A:$M,13,FALSE)),"")</f>
        <v>45869</v>
      </c>
      <c r="N1265" s="71">
        <f>IFERROR(IF(VLOOKUP(A1265,[8]PRIORIZADOS!$A:$N,14,FALSE)="","",VLOOKUP(A1265,[8]PRIORIZADOS!$A:$N,14,FALSE)),"")</f>
        <v>45869</v>
      </c>
      <c r="O1265" s="71">
        <f>IFERROR(IF(VLOOKUP(A1265,[8]PRIORIZADOS!$A:$O,15,FALSE)="","",VLOOKUP(A1265,[8]PRIORIZADOS!$A:$O,15,FALSE)),"")</f>
        <v>45869</v>
      </c>
      <c r="P1265" s="11" t="str">
        <f>IFERROR(IF(VLOOKUP(A1265,[8]PRIORIZADOS!$A:$P,16,FALSE)="","",VLOOKUP(A1265,[8]PRIORIZADOS!$A:$P,16,FALSE)),"")</f>
        <v>Visitas de evaluación con fines de mejoramiento</v>
      </c>
      <c r="Q1265" s="189" t="s">
        <v>259</v>
      </c>
      <c r="R1265" s="11" t="str">
        <f>IFERROR(IF(VLOOKUP(A1265,[8]PRIORIZADOS!$A:$R,18,FALSE)="","",VLOOKUP(A1265,[8]PRIORIZADOS!$A:$R,18,FALSE)),"")</f>
        <v>La IE no presenta evidencias de que el manual de convivencia haya sido elaborado y actualizado con la participación de toda la comunidad educativa, de igual manera el manual no presenta una estructura organizada y no incluye los enfoques de derechos humanos, genero, diversidad y enfoque restaurativo.</v>
      </c>
      <c r="S1265" s="11" t="str">
        <f>IFERROR(IF(VLOOKUP(A1265,[8]PRIORIZADOS!$A:$S,19,FALSE)="","",VLOOKUP(A1265,[8]PRIORIZADOS!$A:$S,19,FALSE)),"")</f>
        <v>La IE debe actualizar su manual de convivencia con la participación de toda la comunidad educativa, además incluir los enfoques de derechos humanos, genero, diversidad y enfoque restaurativo.</v>
      </c>
      <c r="T1265" s="70" t="str">
        <f>IFERROR(IF(VLOOKUP(A1265,[8]PRIORIZADOS!$A:$T,20,FALSE)="","",VLOOKUP(A1265,[8]PRIORIZADOS!$A:$T,20,FALSE)),"")</f>
        <v>Si</v>
      </c>
      <c r="U1265" s="11" t="str">
        <f>IFERROR(IF(VLOOKUP(A1265,[8]PRIORIZADOS!$A:$U,21,FALSE)="","",VLOOKUP(A1265,[8]PRIORIZADOS!$A:$U,21,FALSE)),"")</f>
        <v>Seguimiento al cumplimiento del plan de mejoramiento. Se realiza mesa de seguimiento el día 22 de septiembre 2025.</v>
      </c>
    </row>
    <row r="1266" spans="1:21" s="1" customFormat="1" ht="48">
      <c r="A1266" s="69">
        <f>IF([8]PRIORIZADOS!A246="","",[8]PRIORIZADOS!A246)</f>
        <v>1211</v>
      </c>
      <c r="B1266" s="70">
        <v>38</v>
      </c>
      <c r="C1266" s="11" t="str">
        <f>IFERROR(IF(VLOOKUP(A1266,[8]PRIORIZADOS!$A:$C,3,FALSE)="","",VLOOKUP(A1266,[8]PRIORIZADOS!$A:$C,3,FALSE)),"")</f>
        <v>KENNEDY</v>
      </c>
      <c r="D1266" s="11" t="str">
        <f>IFERROR(IF(VLOOKUP(A1266,[8]PRIORIZADOS!$A:$D,4,FALSE)="","",VLOOKUP(A1266,[8]PRIORIZADOS!$A:$D,4,FALSE)),"")</f>
        <v>PRIVADO</v>
      </c>
      <c r="E1266" s="11" t="str">
        <f>IFERROR(IF(VLOOKUP(A1266,[8]PRIORIZADOS!$A:$E,5,FALSE)="","",VLOOKUP(A1266,[8]PRIORIZADOS!$A:$E,5,FALSE)),"")</f>
        <v>EPBM</v>
      </c>
      <c r="F1266" s="11" t="str">
        <f>IFERROR(IF(VLOOKUP(A1266,[8]PRIORIZADOS!$A:$F,6,FALSE)="","",VLOOKUP(A1266,[8]PRIORIZADOS!$A:$F,6,FALSE)),"")</f>
        <v>LICEO_MODERNO_LEON_BAEZ</v>
      </c>
      <c r="G1266" s="11" t="str">
        <f>IFERROR(IF(VLOOKUP(A1266,[8]PRIORIZADOS!$A:$G,7,FALSE)="","",VLOOKUP(A1266,[8]PRIORIZADOS!$A:$G,7,FALSE)),"")</f>
        <v>LICEO MODERNO LEON BAEZ</v>
      </c>
      <c r="H1266" s="11" t="str">
        <f>IFERROR(IF(VLOOKUP(A1266,[8]PRIORIZADOS!$A:$H,8,FALSE)="","",VLOOKUP(A1266,[8]PRIORIZADOS!$A:$H,8,FALSE)),"")</f>
        <v>Autoevaluación Institucional y Pruebas SABER 11</v>
      </c>
      <c r="I1266" s="11" t="str">
        <f>IFERROR(IF(VLOOKUP(A1266,[8]PRIORIZADOS!$A:$I,9,FALSE)="","",VLOOKUP(A1266,[8]PRIORIZADOS!$A:$I,9,FALSE)),"")</f>
        <v>EVALUACIÓN_CON_FINES_DE_MEJORAMIENTO.</v>
      </c>
      <c r="J1266" s="11" t="str">
        <f>IFERROR(IF(VLOOKUP(A1266,[8]PRIORIZADOS!$A:$J,10,FALSE)="","",VLOOKUP(A1266,[8]PRIORIZADOS!$A:$J,10,FALSE)),"")</f>
        <v>Revisar la actualización, socialización e implementación del Sistema Institucional de Evaluación de Estudiantes - SIEE, en articulación con la actualización del PEI y la normatividad vigente.</v>
      </c>
      <c r="K1266" s="11" t="str">
        <f>IFERROR(IF(VLOOKUP(A1266,[8]PRIORIZADOS!$A:$K,11,FALSE)="","",VLOOKUP(A1266,[8]PRIORIZADOS!$A:$K,11,FALSE)),"")</f>
        <v>LUCY GONZÁLEZ LERMA</v>
      </c>
      <c r="L1266" s="11" t="str">
        <f>IFERROR(IF(VLOOKUP(A1266,[8]PRIORIZADOS!$A:$L,12,FALSE)="","",VLOOKUP(A1266,[8]PRIORIZADOS!$A:$L,12,FALSE)),"")</f>
        <v xml:space="preserve">DIANA ZULAY HUERTAS ORTÍZ </v>
      </c>
      <c r="M1266" s="71">
        <f>IFERROR(IF(VLOOKUP(A1266,[8]PRIORIZADOS!$A:$M,13,FALSE)="","",VLOOKUP(A1266,[8]PRIORIZADOS!$A:$M,13,FALSE)),"")</f>
        <v>45869</v>
      </c>
      <c r="N1266" s="71">
        <f>IFERROR(IF(VLOOKUP(A1266,[8]PRIORIZADOS!$A:$N,14,FALSE)="","",VLOOKUP(A1266,[8]PRIORIZADOS!$A:$N,14,FALSE)),"")</f>
        <v>45869</v>
      </c>
      <c r="O1266" s="71">
        <f>IFERROR(IF(VLOOKUP(A1266,[8]PRIORIZADOS!$A:$O,15,FALSE)="","",VLOOKUP(A1266,[8]PRIORIZADOS!$A:$O,15,FALSE)),"")</f>
        <v>45869</v>
      </c>
      <c r="P1266" s="11" t="str">
        <f>IFERROR(IF(VLOOKUP(A1266,[8]PRIORIZADOS!$A:$P,16,FALSE)="","",VLOOKUP(A1266,[8]PRIORIZADOS!$A:$P,16,FALSE)),"")</f>
        <v>Visitas de evaluación con fines de mejoramiento</v>
      </c>
      <c r="Q1266" s="134" t="s">
        <v>259</v>
      </c>
      <c r="R1266" s="11" t="str">
        <f>IFERROR(IF(VLOOKUP(A1266,[8]PRIORIZADOS!$A:$R,18,FALSE)="","",VLOOKUP(A1266,[8]PRIORIZADOS!$A:$R,18,FALSE)),"")</f>
        <v>El SIEE incorpora los elementos de ley e incluye las estrategias de apoyo para acompañar los procesos de los estudiantes con dificultades académicas</v>
      </c>
      <c r="S1266" s="11" t="str">
        <f>IFERROR(IF(VLOOKUP(A1266,[8]PRIORIZADOS!$A:$S,19,FALSE)="","",VLOOKUP(A1266,[8]PRIORIZADOS!$A:$S,19,FALSE)),"")</f>
        <v>Continuar con la socialización para la comunidad educativa del SIIE  en cada vigencias y cuando se actualice el mismo.</v>
      </c>
      <c r="T1266" s="70" t="str">
        <f>IFERROR(IF(VLOOKUP(A1266,[8]PRIORIZADOS!$A:$T,20,FALSE)="","",VLOOKUP(A1266,[8]PRIORIZADOS!$A:$T,20,FALSE)),"")</f>
        <v>No</v>
      </c>
      <c r="U1266" s="11" t="str">
        <f>IFERROR(IF(VLOOKUP(A1266,[8]PRIORIZADOS!$A:$U,21,FALSE)="","",VLOOKUP(A1266,[8]PRIORIZADOS!$A:$U,21,FALSE)),"")</f>
        <v>Validar las acciones planificadas por la institución educativa en su plan de mejora</v>
      </c>
    </row>
    <row r="1267" spans="1:21" s="1" customFormat="1" ht="60">
      <c r="A1267" s="69">
        <f>IF([8]PRIORIZADOS!A247="","",[8]PRIORIZADOS!A247)</f>
        <v>1212</v>
      </c>
      <c r="B1267" s="70">
        <v>38</v>
      </c>
      <c r="C1267" s="11" t="str">
        <f>IFERROR(IF(VLOOKUP(A1267,[8]PRIORIZADOS!$A:$C,3,FALSE)="","",VLOOKUP(A1267,[8]PRIORIZADOS!$A:$C,3,FALSE)),"")</f>
        <v>KENNEDY</v>
      </c>
      <c r="D1267" s="11" t="str">
        <f>IFERROR(IF(VLOOKUP(A1267,[8]PRIORIZADOS!$A:$D,4,FALSE)="","",VLOOKUP(A1267,[8]PRIORIZADOS!$A:$D,4,FALSE)),"")</f>
        <v>PRIVADO</v>
      </c>
      <c r="E1267" s="11" t="str">
        <f>IFERROR(IF(VLOOKUP(A1267,[8]PRIORIZADOS!$A:$E,5,FALSE)="","",VLOOKUP(A1267,[8]PRIORIZADOS!$A:$E,5,FALSE)),"")</f>
        <v>EPBM</v>
      </c>
      <c r="F1267" s="11" t="str">
        <f>IFERROR(IF(VLOOKUP(A1267,[8]PRIORIZADOS!$A:$F,6,FALSE)="","",VLOOKUP(A1267,[8]PRIORIZADOS!$A:$F,6,FALSE)),"")</f>
        <v>LICEO_MODERNO_LEON_BAEZ</v>
      </c>
      <c r="G1267" s="11" t="str">
        <f>IFERROR(IF(VLOOKUP(A1267,[8]PRIORIZADOS!$A:$G,7,FALSE)="","",VLOOKUP(A1267,[8]PRIORIZADOS!$A:$G,7,FALSE)),"")</f>
        <v>LICEO MODERNO LEON BAEZ</v>
      </c>
      <c r="H1267" s="11" t="str">
        <f>IFERROR(IF(VLOOKUP(A1267,[8]PRIORIZADOS!$A:$H,8,FALSE)="","",VLOOKUP(A1267,[8]PRIORIZADOS!$A:$H,8,FALSE)),"")</f>
        <v>Autoevaluación Institucional y Pruebas SABER 11</v>
      </c>
      <c r="I1267" s="11" t="str">
        <f>IFERROR(IF(VLOOKUP(A1267,[8]PRIORIZADOS!$A:$I,9,FALSE)="","",VLOOKUP(A1267,[8]PRIORIZADOS!$A:$I,9,FALSE)),"")</f>
        <v>EVALUACIÓN_CON_FINES_DE_MEJORAMIENTO.</v>
      </c>
      <c r="J1267" s="11" t="str">
        <f>IFERROR(IF(VLOOKUP(A1267,[8]PRIORIZADOS!$A:$J,10,FALSE)="","",VLOOKUP(A1267,[8]PRIORIZADOS!$A:$J,10,FALSE)),"")</f>
        <v>Revisar el calendario escolar, jornada escolar, la intensidad horaria mínima anual en cada nivel y las modificaciones que se realicen al mismo, de acuerdo con lo previsto en la normatividad vigente.</v>
      </c>
      <c r="K1267" s="11" t="str">
        <f>IFERROR(IF(VLOOKUP(A1267,[8]PRIORIZADOS!$A:$K,11,FALSE)="","",VLOOKUP(A1267,[8]PRIORIZADOS!$A:$K,11,FALSE)),"")</f>
        <v>LUCY GONZÁLEZ LERMA</v>
      </c>
      <c r="L1267" s="11" t="str">
        <f>IFERROR(IF(VLOOKUP(A1267,[8]PRIORIZADOS!$A:$L,12,FALSE)="","",VLOOKUP(A1267,[8]PRIORIZADOS!$A:$L,12,FALSE)),"")</f>
        <v xml:space="preserve">DIANA ZULAY HUERTAS ORTÍZ </v>
      </c>
      <c r="M1267" s="71">
        <f>IFERROR(IF(VLOOKUP(A1267,[8]PRIORIZADOS!$A:$M,13,FALSE)="","",VLOOKUP(A1267,[8]PRIORIZADOS!$A:$M,13,FALSE)),"")</f>
        <v>45869</v>
      </c>
      <c r="N1267" s="71">
        <f>IFERROR(IF(VLOOKUP(A1267,[8]PRIORIZADOS!$A:$N,14,FALSE)="","",VLOOKUP(A1267,[8]PRIORIZADOS!$A:$N,14,FALSE)),"")</f>
        <v>45869</v>
      </c>
      <c r="O1267" s="71">
        <f>IFERROR(IF(VLOOKUP(A1267,[8]PRIORIZADOS!$A:$O,15,FALSE)="","",VLOOKUP(A1267,[8]PRIORIZADOS!$A:$O,15,FALSE)),"")</f>
        <v>45869</v>
      </c>
      <c r="P1267" s="11" t="str">
        <f>IFERROR(IF(VLOOKUP(A1267,[8]PRIORIZADOS!$A:$P,16,FALSE)="","",VLOOKUP(A1267,[8]PRIORIZADOS!$A:$P,16,FALSE)),"")</f>
        <v>Visitas de evaluación con fines de mejoramiento</v>
      </c>
      <c r="Q1267" s="191" t="s">
        <v>259</v>
      </c>
      <c r="R1267" s="11" t="str">
        <f>IFERROR(IF(VLOOKUP(A1267,[8]PRIORIZADOS!$A:$R,18,FALSE)="","",VLOOKUP(A1267,[8]PRIORIZADOS!$A:$R,18,FALSE)),"")</f>
        <v>La IE cuenta con calendario escolar que da cuenta de su jornada escolar la intensidad horaria mínima anual en cada nivel , de acuerdo con lo previsto en la normatividad vigente.</v>
      </c>
      <c r="S1267" s="11" t="str">
        <f>IFERROR(IF(VLOOKUP(A1267,[8]PRIORIZADOS!$A:$S,19,FALSE)="","",VLOOKUP(A1267,[8]PRIORIZADOS!$A:$S,19,FALSE)),"")</f>
        <v>La IE garantiza el cumplimiento de la intensidad horaria mínima anual para cada uno de los niveles que ofrece</v>
      </c>
      <c r="T1267" s="70" t="str">
        <f>IFERROR(IF(VLOOKUP(A1267,[8]PRIORIZADOS!$A:$T,20,FALSE)="","",VLOOKUP(A1267,[8]PRIORIZADOS!$A:$T,20,FALSE)),"")</f>
        <v>No</v>
      </c>
      <c r="U1267" s="11" t="str">
        <f>IFERROR(IF(VLOOKUP(A1267,[8]PRIORIZADOS!$A:$U,21,FALSE)="","",VLOOKUP(A1267,[8]PRIORIZADOS!$A:$U,21,FALSE)),"")</f>
        <v>Seguimiento al cumplimiento del calendario escolar en la próxima vigencia.</v>
      </c>
    </row>
    <row r="1268" spans="1:21" s="1" customFormat="1" ht="72">
      <c r="A1268" s="69">
        <f>IF([8]PRIORIZADOS!A248="","",[8]PRIORIZADOS!A248)</f>
        <v>1213</v>
      </c>
      <c r="B1268" s="70">
        <v>38</v>
      </c>
      <c r="C1268" s="11" t="str">
        <f>IFERROR(IF(VLOOKUP(A1268,[8]PRIORIZADOS!$A:$C,3,FALSE)="","",VLOOKUP(A1268,[8]PRIORIZADOS!$A:$C,3,FALSE)),"")</f>
        <v>KENNEDY</v>
      </c>
      <c r="D1268" s="11" t="str">
        <f>IFERROR(IF(VLOOKUP(A1268,[8]PRIORIZADOS!$A:$D,4,FALSE)="","",VLOOKUP(A1268,[8]PRIORIZADOS!$A:$D,4,FALSE)),"")</f>
        <v>PRIVADO</v>
      </c>
      <c r="E1268" s="11" t="str">
        <f>IFERROR(IF(VLOOKUP(A1268,[8]PRIORIZADOS!$A:$E,5,FALSE)="","",VLOOKUP(A1268,[8]PRIORIZADOS!$A:$E,5,FALSE)),"")</f>
        <v>EPBM</v>
      </c>
      <c r="F1268" s="11" t="str">
        <f>IFERROR(IF(VLOOKUP(A1268,[8]PRIORIZADOS!$A:$F,6,FALSE)="","",VLOOKUP(A1268,[8]PRIORIZADOS!$A:$F,6,FALSE)),"")</f>
        <v>LICEO_MODERNO_LEON_BAEZ</v>
      </c>
      <c r="G1268" s="11" t="str">
        <f>IFERROR(IF(VLOOKUP(A1268,[8]PRIORIZADOS!$A:$G,7,FALSE)="","",VLOOKUP(A1268,[8]PRIORIZADOS!$A:$G,7,FALSE)),"")</f>
        <v>LICEO MODERNO LEON BAEZ</v>
      </c>
      <c r="H1268" s="11" t="str">
        <f>IFERROR(IF(VLOOKUP(A1268,[8]PRIORIZADOS!$A:$H,8,FALSE)="","",VLOOKUP(A1268,[8]PRIORIZADOS!$A:$H,8,FALSE)),"")</f>
        <v>Autoevaluación Institucional y Pruebas SABER 11</v>
      </c>
      <c r="I1268" s="11" t="str">
        <f>IFERROR(IF(VLOOKUP(A1268,[8]PRIORIZADOS!$A:$I,9,FALSE)="","",VLOOKUP(A1268,[8]PRIORIZADOS!$A:$I,9,FALSE)),"")</f>
        <v>EVALUACIÓN_CON_FINES_DE_MEJORAMIENTO.</v>
      </c>
      <c r="J1268" s="11" t="str">
        <f>IFERROR(IF(VLOOKUP(A1268,[8]PRIORIZADOS!$A:$J,10,FALSE)="","",VLOOKUP(A1268,[8]PRIORIZADOS!$A:$J,10,FALSE)),"")</f>
        <v>Verificar el funcionamiento del Gobierno Escolar e instancias de participación con base en la información sobre conformación reportada por la institución educativa.</v>
      </c>
      <c r="K1268" s="11" t="str">
        <f>IFERROR(IF(VLOOKUP(A1268,[8]PRIORIZADOS!$A:$K,11,FALSE)="","",VLOOKUP(A1268,[8]PRIORIZADOS!$A:$K,11,FALSE)),"")</f>
        <v>LUCY GONZÁLEZ LERMA</v>
      </c>
      <c r="L1268" s="11" t="str">
        <f>IFERROR(IF(VLOOKUP(A1268,[8]PRIORIZADOS!$A:$L,12,FALSE)="","",VLOOKUP(A1268,[8]PRIORIZADOS!$A:$L,12,FALSE)),"")</f>
        <v xml:space="preserve">DIANA ZULAY HUERTAS ORTÍZ </v>
      </c>
      <c r="M1268" s="71">
        <f>IFERROR(IF(VLOOKUP(A1268,[8]PRIORIZADOS!$A:$M,13,FALSE)="","",VLOOKUP(A1268,[8]PRIORIZADOS!$A:$M,13,FALSE)),"")</f>
        <v>45869</v>
      </c>
      <c r="N1268" s="71">
        <f>IFERROR(IF(VLOOKUP(A1268,[8]PRIORIZADOS!$A:$N,14,FALSE)="","",VLOOKUP(A1268,[8]PRIORIZADOS!$A:$N,14,FALSE)),"")</f>
        <v>45869</v>
      </c>
      <c r="O1268" s="71">
        <f>IFERROR(IF(VLOOKUP(A1268,[8]PRIORIZADOS!$A:$O,15,FALSE)="","",VLOOKUP(A1268,[8]PRIORIZADOS!$A:$O,15,FALSE)),"")</f>
        <v>45869</v>
      </c>
      <c r="P1268" s="11" t="str">
        <f>IFERROR(IF(VLOOKUP(A1268,[8]PRIORIZADOS!$A:$P,16,FALSE)="","",VLOOKUP(A1268,[8]PRIORIZADOS!$A:$P,16,FALSE)),"")</f>
        <v>Visitas de evaluación con fines de mejoramiento</v>
      </c>
      <c r="Q1268" s="191" t="s">
        <v>259</v>
      </c>
      <c r="R1268" s="11" t="str">
        <f>IFERROR(IF(VLOOKUP(A1268,[8]PRIORIZADOS!$A:$R,18,FALSE)="","",VLOOKUP(A1268,[8]PRIORIZADOS!$A:$R,18,FALSE)),"")</f>
        <v>La EE, cumple con la conformación y funcionamiento del gobierno escolar y las instancias de participación.</v>
      </c>
      <c r="S1268" s="11" t="str">
        <f>IFERROR(IF(VLOOKUP(A1268,[8]PRIORIZADOS!$A:$S,19,FALSE)="","",VLOOKUP(A1268,[8]PRIORIZADOS!$A:$S,19,FALSE)),"")</f>
        <v>La EE, debe seguir cumpliendo con la  conformación y funcionamiento del gobierno escolar y las instancias de participación.  Debe reunir el consejo directivo de acuerdo a la normatividad vigente.</v>
      </c>
      <c r="T1268" s="70" t="str">
        <f>IFERROR(IF(VLOOKUP(A1268,[8]PRIORIZADOS!$A:$T,20,FALSE)="","",VLOOKUP(A1268,[8]PRIORIZADOS!$A:$T,20,FALSE)),"")</f>
        <v>No</v>
      </c>
      <c r="U1268" s="11" t="str">
        <f>IFERROR(IF(VLOOKUP(A1268,[8]PRIORIZADOS!$A:$U,21,FALSE)="","",VLOOKUP(A1268,[8]PRIORIZADOS!$A:$U,21,FALSE)),"")</f>
        <v xml:space="preserve">El ELIV verificará la operatividad del gobierno escolar. </v>
      </c>
    </row>
    <row r="1269" spans="1:21" s="1" customFormat="1" ht="48">
      <c r="A1269" s="69">
        <f>IF([8]PRIORIZADOS!A249="","",[8]PRIORIZADOS!A249)</f>
        <v>2795</v>
      </c>
      <c r="B1269" s="70">
        <v>38</v>
      </c>
      <c r="C1269" s="11" t="str">
        <f>IFERROR(IF(VLOOKUP(A1269,[8]PRIORIZADOS!$A:$C,3,FALSE)="","",VLOOKUP(A1269,[8]PRIORIZADOS!$A:$C,3,FALSE)),"")</f>
        <v>KENNEDY</v>
      </c>
      <c r="D1269" s="11" t="str">
        <f>IFERROR(IF(VLOOKUP(A1269,[8]PRIORIZADOS!$A:$D,4,FALSE)="","",VLOOKUP(A1269,[8]PRIORIZADOS!$A:$D,4,FALSE)),"")</f>
        <v>PRIVADO</v>
      </c>
      <c r="E1269" s="11" t="str">
        <f>IFERROR(IF(VLOOKUP(A1269,[8]PRIORIZADOS!$A:$E,5,FALSE)="","",VLOOKUP(A1269,[8]PRIORIZADOS!$A:$E,5,FALSE)),"")</f>
        <v>EPBM</v>
      </c>
      <c r="F1269" s="11" t="str">
        <f>IFERROR(IF(VLOOKUP(A1269,[8]PRIORIZADOS!$A:$F,6,FALSE)="","",VLOOKUP(A1269,[8]PRIORIZADOS!$A:$F,6,FALSE)),"")</f>
        <v>LICEO_MODERNO_LEON_BAEZ</v>
      </c>
      <c r="G1269" s="11" t="str">
        <f>IFERROR(IF(VLOOKUP(A1269,[8]PRIORIZADOS!$A:$G,7,FALSE)="","",VLOOKUP(A1269,[8]PRIORIZADOS!$A:$G,7,FALSE)),"")</f>
        <v>LICEO MODERNO LEON BAEZ</v>
      </c>
      <c r="H1269" s="11" t="str">
        <f>IFERROR(IF(VLOOKUP(A1269,[8]PRIORIZADOS!$A:$H,8,FALSE)="","",VLOOKUP(A1269,[8]PRIORIZADOS!$A:$H,8,FALSE)),"")</f>
        <v>Autoevaluación Institucional y Pruebas SABER 11</v>
      </c>
      <c r="I1269" s="11" t="str">
        <f>IFERROR(IF(VLOOKUP(A1269,[8]PRIORIZADOS!$A:$I,9,FALSE)="","",VLOOKUP(A1269,[8]PRIORIZADOS!$A:$I,9,FALSE)),"")</f>
        <v>EVALUACIÓN_CON_FINES_DE_MEJORAMIENTO.</v>
      </c>
      <c r="J1269" s="11" t="str">
        <f>IFERROR(IF(VLOOKUP(A1269,[8]PRIORIZADOS!$A:$J,10,FALSE)="","",VLOOKUP(A1269,[8]PRIORIZADOS!$A:$J,10,FALSE)),"")</f>
        <v>Verificar las condiciones en cuanto a: la estructura administrativa, condiciones de la planta física y medios educativos adecuados.</v>
      </c>
      <c r="K1269" s="11" t="str">
        <f>IFERROR(IF(VLOOKUP(A1269,[8]PRIORIZADOS!$A:$K,11,FALSE)="","",VLOOKUP(A1269,[8]PRIORIZADOS!$A:$K,11,FALSE)),"")</f>
        <v>LUCY GONZÁLEZ LERMA</v>
      </c>
      <c r="L1269" s="11" t="str">
        <f>IFERROR(IF(VLOOKUP(A1269,[8]PRIORIZADOS!$A:$L,12,FALSE)="","",VLOOKUP(A1269,[8]PRIORIZADOS!$A:$L,12,FALSE)),"")</f>
        <v xml:space="preserve">DIANA ZULAY HUERTAS ORTÍZ </v>
      </c>
      <c r="M1269" s="71">
        <f>IFERROR(IF(VLOOKUP(A1269,[8]PRIORIZADOS!$A:$M,13,FALSE)="","",VLOOKUP(A1269,[8]PRIORIZADOS!$A:$M,13,FALSE)),"")</f>
        <v>45869</v>
      </c>
      <c r="N1269" s="71">
        <f>IFERROR(IF(VLOOKUP(A1269,[8]PRIORIZADOS!$A:$N,14,FALSE)="","",VLOOKUP(A1269,[8]PRIORIZADOS!$A:$N,14,FALSE)),"")</f>
        <v>45869</v>
      </c>
      <c r="O1269" s="71">
        <f>IFERROR(IF(VLOOKUP(A1269,[8]PRIORIZADOS!$A:$O,15,FALSE)="","",VLOOKUP(A1269,[8]PRIORIZADOS!$A:$O,15,FALSE)),"")</f>
        <v>45869</v>
      </c>
      <c r="P1269" s="11" t="str">
        <f>IFERROR(IF(VLOOKUP(A1269,[8]PRIORIZADOS!$A:$P,16,FALSE)="","",VLOOKUP(A1269,[8]PRIORIZADOS!$A:$P,16,FALSE)),"")</f>
        <v>Visitas de evaluación con fines de mejoramiento</v>
      </c>
      <c r="Q1269" s="191" t="s">
        <v>259</v>
      </c>
      <c r="R1269" s="11" t="str">
        <f>IFERROR(IF(VLOOKUP(A1269,[8]PRIORIZADOS!$A:$R,18,FALSE)="","",VLOOKUP(A1269,[8]PRIORIZADOS!$A:$R,18,FALSE)),"")</f>
        <v>Algunos elementos del mobiliario (pupitres) se encuentran deteriorados, tomas que requieren cambio y se requiere  mantenimiento de la planta física.</v>
      </c>
      <c r="S1269" s="11" t="str">
        <f>IFERROR(IF(VLOOKUP(A1269,[8]PRIORIZADOS!$A:$S,19,FALSE)="","",VLOOKUP(A1269,[8]PRIORIZADOS!$A:$S,19,FALSE)),"")</f>
        <v>La IE debe proyectar a mediano plazo un plan para reposición de mobiliario y mantenimiento general.</v>
      </c>
      <c r="T1269" s="70" t="str">
        <f>IFERROR(IF(VLOOKUP(A1269,[8]PRIORIZADOS!$A:$T,20,FALSE)="","",VLOOKUP(A1269,[8]PRIORIZADOS!$A:$T,20,FALSE)),"")</f>
        <v>Si</v>
      </c>
      <c r="U1269" s="11" t="str">
        <f>IFERROR(IF(VLOOKUP(A1269,[8]PRIORIZADOS!$A:$U,21,FALSE)="","",VLOOKUP(A1269,[8]PRIORIZADOS!$A:$U,21,FALSE)),"")</f>
        <v>Seguimiento al cumplimiento del plan de mejoramiento. Se realiza mesa de seguimiento el día 22 de septiembre 2025.</v>
      </c>
    </row>
    <row r="1270" spans="1:21" s="1" customFormat="1" ht="36">
      <c r="A1270" s="69">
        <f>IF([8]PRIORIZADOS!A250="","",[8]PRIORIZADOS!A250)</f>
        <v>1214</v>
      </c>
      <c r="B1270" s="70">
        <v>39</v>
      </c>
      <c r="C1270" s="11" t="str">
        <f>IFERROR(IF(VLOOKUP(A1270,[8]PRIORIZADOS!$A:$C,3,FALSE)="","",VLOOKUP(A1270,[8]PRIORIZADOS!$A:$C,3,FALSE)),"")</f>
        <v>KENNEDY</v>
      </c>
      <c r="D1270" s="11" t="str">
        <f>IFERROR(IF(VLOOKUP(A1270,[8]PRIORIZADOS!$A:$D,4,FALSE)="","",VLOOKUP(A1270,[8]PRIORIZADOS!$A:$D,4,FALSE)),"")</f>
        <v>PRIVADO</v>
      </c>
      <c r="E1270" s="11" t="str">
        <f>IFERROR(IF(VLOOKUP(A1270,[8]PRIORIZADOS!$A:$E,5,FALSE)="","",VLOOKUP(A1270,[8]PRIORIZADOS!$A:$E,5,FALSE)),"")</f>
        <v>EPBM</v>
      </c>
      <c r="F1270" s="11" t="str">
        <f>IFERROR(IF(VLOOKUP(A1270,[8]PRIORIZADOS!$A:$F,6,FALSE)="","",VLOOKUP(A1270,[8]PRIORIZADOS!$A:$F,6,FALSE)),"")</f>
        <v>LICEO_NUEVA_BRITALIA</v>
      </c>
      <c r="G1270" s="11" t="str">
        <f>IFERROR(IF(VLOOKUP(A1270,[8]PRIORIZADOS!$A:$G,7,FALSE)="","",VLOOKUP(A1270,[8]PRIORIZADOS!$A:$G,7,FALSE)),"")</f>
        <v>LICEO NUEVA BRITALIA</v>
      </c>
      <c r="H1270" s="11" t="str">
        <f>IFERROR(IF(VLOOKUP(A1270,[8]PRIORIZADOS!$A:$H,8,FALSE)="","",VLOOKUP(A1270,[8]PRIORIZADOS!$A:$H,8,FALSE)),"")</f>
        <v>Autoevaluación Institucional y Pruebas SABER 11</v>
      </c>
      <c r="I1270" s="11" t="str">
        <f>IFERROR(IF(VLOOKUP(A1270,[8]PRIORIZADOS!$A:$I,9,FALSE)="","",VLOOKUP(A1270,[8]PRIORIZADOS!$A:$I,9,FALSE)),"")</f>
        <v>SEGUIMIENTO_Y_SUPERVISIÓN.</v>
      </c>
      <c r="J1270" s="11" t="str">
        <f>IFERROR(IF(VLOOKUP(A1270,[8]PRIORIZADOS!$A:$J,10,FALSE)="","",VLOOKUP(A1270,[8]PRIORIZADOS!$A:$J,10,FALSE)),"")</f>
        <v>Realizar visitas para verificar la información registrada sobre la autoevaluación institucional en el aplicativo EVI, a los establecimientos de educación formal no oficial.</v>
      </c>
      <c r="K1270" s="11" t="str">
        <f>IFERROR(IF(VLOOKUP(A1270,[8]PRIORIZADOS!$A:$K,11,FALSE)="","",VLOOKUP(A1270,[8]PRIORIZADOS!$A:$K,11,FALSE)),"")</f>
        <v>INGRID VIVIANA DÁVILA ÁVILA</v>
      </c>
      <c r="L1270" s="11" t="str">
        <f>IFERROR(IF(VLOOKUP(A1270,[8]PRIORIZADOS!$A:$L,12,FALSE)="","",VLOOKUP(A1270,[8]PRIORIZADOS!$A:$L,12,FALSE)),"")</f>
        <v>LUIS FERNANDO CÁRDENAS URAN</v>
      </c>
      <c r="M1270" s="71">
        <f>IFERROR(IF(VLOOKUP(A1270,[8]PRIORIZADOS!$A:$M,13,FALSE)="","",VLOOKUP(A1270,[8]PRIORIZADOS!$A:$M,13,FALSE)),"")</f>
        <v>45874</v>
      </c>
      <c r="N1270" s="71">
        <f>IFERROR(IF(VLOOKUP(A1270,[8]PRIORIZADOS!$A:$N,14,FALSE)="","",VLOOKUP(A1270,[8]PRIORIZADOS!$A:$N,14,FALSE)),"")</f>
        <v>45884</v>
      </c>
      <c r="O1270" s="71">
        <f>IFERROR(IF(VLOOKUP(A1270,[8]PRIORIZADOS!$A:$O,15,FALSE)="","",VLOOKUP(A1270,[8]PRIORIZADOS!$A:$O,15,FALSE)),"")</f>
        <v>45884</v>
      </c>
      <c r="P1270" s="11" t="str">
        <f>IFERROR(IF(VLOOKUP(A1270,[8]PRIORIZADOS!$A:$P,16,FALSE)="","",VLOOKUP(A1270,[8]PRIORIZADOS!$A:$P,16,FALSE)),"")</f>
        <v>Visitas de evaluación con fines de mejoramiento</v>
      </c>
      <c r="Q1270" s="7" t="s">
        <v>260</v>
      </c>
      <c r="R1270" s="11" t="str">
        <f>IFERROR(IF(VLOOKUP(A1270,[8]PRIORIZADOS!$A:$R,18,FALSE)="","",VLOOKUP(A1270,[8]PRIORIZADOS!$A:$R,18,FALSE)),"")</f>
        <v>Se encontró que la información reportada en la autoevaluación institucional guarda relación con la realidad del colegio</v>
      </c>
      <c r="S1270" s="11" t="str">
        <f>IFERROR(IF(VLOOKUP(A1270,[8]PRIORIZADOS!$A:$S,19,FALSE)="","",VLOOKUP(A1270,[8]PRIORIZADOS!$A:$S,19,FALSE)),"")</f>
        <v>Continuar registrado la información en la autoevaluación institucional acorde a las capacidades y realidades de la institución</v>
      </c>
      <c r="T1270" s="70" t="str">
        <f>IFERROR(IF(VLOOKUP(A1270,[8]PRIORIZADOS!$A:$T,20,FALSE)="","",VLOOKUP(A1270,[8]PRIORIZADOS!$A:$T,20,FALSE)),"")</f>
        <v>No</v>
      </c>
      <c r="U1270" s="11" t="str">
        <f>IFERROR(IF(VLOOKUP(A1270,[8]PRIORIZADOS!$A:$U,21,FALSE)="","",VLOOKUP(A1270,[8]PRIORIZADOS!$A:$U,21,FALSE)),"")</f>
        <v>Validar las acciones planificadas por la institución educativa en su plan de mejora</v>
      </c>
    </row>
    <row r="1271" spans="1:21" s="1" customFormat="1" ht="60">
      <c r="A1271" s="69">
        <f>IF([8]PRIORIZADOS!A251="","",[8]PRIORIZADOS!A251)</f>
        <v>1215</v>
      </c>
      <c r="B1271" s="70">
        <v>39</v>
      </c>
      <c r="C1271" s="11" t="str">
        <f>IFERROR(IF(VLOOKUP(A1271,[8]PRIORIZADOS!$A:$C,3,FALSE)="","",VLOOKUP(A1271,[8]PRIORIZADOS!$A:$C,3,FALSE)),"")</f>
        <v>KENNEDY</v>
      </c>
      <c r="D1271" s="11" t="str">
        <f>IFERROR(IF(VLOOKUP(A1271,[8]PRIORIZADOS!$A:$D,4,FALSE)="","",VLOOKUP(A1271,[8]PRIORIZADOS!$A:$D,4,FALSE)),"")</f>
        <v>PRIVADO</v>
      </c>
      <c r="E1271" s="11" t="str">
        <f>IFERROR(IF(VLOOKUP(A1271,[8]PRIORIZADOS!$A:$E,5,FALSE)="","",VLOOKUP(A1271,[8]PRIORIZADOS!$A:$E,5,FALSE)),"")</f>
        <v>EPBM</v>
      </c>
      <c r="F1271" s="11" t="str">
        <f>IFERROR(IF(VLOOKUP(A1271,[8]PRIORIZADOS!$A:$F,6,FALSE)="","",VLOOKUP(A1271,[8]PRIORIZADOS!$A:$F,6,FALSE)),"")</f>
        <v>LICEO_NUEVA_BRITALIA</v>
      </c>
      <c r="G1271" s="11" t="str">
        <f>IFERROR(IF(VLOOKUP(A1271,[8]PRIORIZADOS!$A:$G,7,FALSE)="","",VLOOKUP(A1271,[8]PRIORIZADOS!$A:$G,7,FALSE)),"")</f>
        <v>LICEO NUEVA BRITALIA</v>
      </c>
      <c r="H1271" s="11" t="str">
        <f>IFERROR(IF(VLOOKUP(A1271,[8]PRIORIZADOS!$A:$H,8,FALSE)="","",VLOOKUP(A1271,[8]PRIORIZADOS!$A:$H,8,FALSE)),"")</f>
        <v>Autoevaluación Institucional y Pruebas SABER 11</v>
      </c>
      <c r="I1271" s="11" t="str">
        <f>IFERROR(IF(VLOOKUP(A1271,[8]PRIORIZADOS!$A:$I,9,FALSE)="","",VLOOKUP(A1271,[8]PRIORIZADOS!$A:$I,9,FALSE)),"")</f>
        <v>SEGUIMIENTO_Y_SUPERVISIÓN.</v>
      </c>
      <c r="J1271" s="11" t="str">
        <f>IFERROR(IF(VLOOKUP(A1271,[8]PRIORIZADOS!$A:$J,10,FALSE)="","",VLOOKUP(A1271,[8]PRIORIZADOS!$A:$J,10,FALSE)),"")</f>
        <v>Proponer estrategias en la formulación, verificar su elaboración y realizar seguimiento semestral al desarrollo de  las acciones establecidas en los planes de mejoramiento por pruebas SABER 11 de los establecimientos de educación formal.</v>
      </c>
      <c r="K1271" s="11" t="str">
        <f>IFERROR(IF(VLOOKUP(A1271,[8]PRIORIZADOS!$A:$K,11,FALSE)="","",VLOOKUP(A1271,[8]PRIORIZADOS!$A:$K,11,FALSE)),"")</f>
        <v>INGRID VIVIANA DÁVILA ÁVILA</v>
      </c>
      <c r="L1271" s="11" t="str">
        <f>IFERROR(IF(VLOOKUP(A1271,[8]PRIORIZADOS!$A:$L,12,FALSE)="","",VLOOKUP(A1271,[8]PRIORIZADOS!$A:$L,12,FALSE)),"")</f>
        <v>LUIS FERNANDO CÁRDENAS URAN</v>
      </c>
      <c r="M1271" s="71">
        <f>IFERROR(IF(VLOOKUP(A1271,[8]PRIORIZADOS!$A:$M,13,FALSE)="","",VLOOKUP(A1271,[8]PRIORIZADOS!$A:$M,13,FALSE)),"")</f>
        <v>45874</v>
      </c>
      <c r="N1271" s="71">
        <f>IFERROR(IF(VLOOKUP(A1271,[8]PRIORIZADOS!$A:$N,14,FALSE)="","",VLOOKUP(A1271,[8]PRIORIZADOS!$A:$N,14,FALSE)),"")</f>
        <v>45884</v>
      </c>
      <c r="O1271" s="71">
        <f>IFERROR(IF(VLOOKUP(A1271,[8]PRIORIZADOS!$A:$O,15,FALSE)="","",VLOOKUP(A1271,[8]PRIORIZADOS!$A:$O,15,FALSE)),"")</f>
        <v>45884</v>
      </c>
      <c r="P1271" s="11" t="str">
        <f>IFERROR(IF(VLOOKUP(A1271,[8]PRIORIZADOS!$A:$P,16,FALSE)="","",VLOOKUP(A1271,[8]PRIORIZADOS!$A:$P,16,FALSE)),"")</f>
        <v>Visitas de evaluación con fines de mejoramiento</v>
      </c>
      <c r="Q1271" s="7" t="s">
        <v>260</v>
      </c>
      <c r="R1271" s="11" t="str">
        <f>IFERROR(IF(VLOOKUP(A1271,[8]PRIORIZADOS!$A:$R,18,FALSE)="","",VLOOKUP(A1271,[8]PRIORIZADOS!$A:$R,18,FALSE)),"")</f>
        <v>No se encontraron los soportes que permitan validar que se realizó un ejercicio de análisis para establecer estrategias de mejora en los resultados de las pruebas Saber 11</v>
      </c>
      <c r="S1271" s="11" t="str">
        <f>IFERROR(IF(VLOOKUP(A1271,[8]PRIORIZADOS!$A:$S,19,FALSE)="","",VLOOKUP(A1271,[8]PRIORIZADOS!$A:$S,19,FALSE)),"")</f>
        <v>Realizar análisis, formulación y plan de mejora en las pruebas saber 11,  las cuales deben estar avaladas por consejo directivo y académico</v>
      </c>
      <c r="T1271" s="70" t="str">
        <f>IFERROR(IF(VLOOKUP(A1271,[8]PRIORIZADOS!$A:$T,20,FALSE)="","",VLOOKUP(A1271,[8]PRIORIZADOS!$A:$T,20,FALSE)),"")</f>
        <v>Si</v>
      </c>
      <c r="U1271" s="11" t="str">
        <f>IFERROR(IF(VLOOKUP(A1271,[8]PRIORIZADOS!$A:$U,21,FALSE)="","",VLOOKUP(A1271,[8]PRIORIZADOS!$A:$U,21,FALSE)),"")</f>
        <v>Validar las acciones planificadas por la institución educativa en su plan de mejora.  Se realiza mesa de seguimiento el día 22 de septiembre 2025. El 27 de febrero se validará el cumplimiento total del plan de mejoramiento.</v>
      </c>
    </row>
    <row r="1272" spans="1:21" s="1" customFormat="1" ht="48">
      <c r="A1272" s="69">
        <f>IF([8]PRIORIZADOS!A252="","",[8]PRIORIZADOS!A252)</f>
        <v>1216</v>
      </c>
      <c r="B1272" s="70">
        <v>39</v>
      </c>
      <c r="C1272" s="11" t="str">
        <f>IFERROR(IF(VLOOKUP(A1272,[8]PRIORIZADOS!$A:$C,3,FALSE)="","",VLOOKUP(A1272,[8]PRIORIZADOS!$A:$C,3,FALSE)),"")</f>
        <v>KENNEDY</v>
      </c>
      <c r="D1272" s="11" t="str">
        <f>IFERROR(IF(VLOOKUP(A1272,[8]PRIORIZADOS!$A:$D,4,FALSE)="","",VLOOKUP(A1272,[8]PRIORIZADOS!$A:$D,4,FALSE)),"")</f>
        <v>PRIVADO</v>
      </c>
      <c r="E1272" s="11" t="str">
        <f>IFERROR(IF(VLOOKUP(A1272,[8]PRIORIZADOS!$A:$E,5,FALSE)="","",VLOOKUP(A1272,[8]PRIORIZADOS!$A:$E,5,FALSE)),"")</f>
        <v>EPBM</v>
      </c>
      <c r="F1272" s="11" t="str">
        <f>IFERROR(IF(VLOOKUP(A1272,[8]PRIORIZADOS!$A:$F,6,FALSE)="","",VLOOKUP(A1272,[8]PRIORIZADOS!$A:$F,6,FALSE)),"")</f>
        <v>LICEO_NUEVA_BRITALIA</v>
      </c>
      <c r="G1272" s="11" t="str">
        <f>IFERROR(IF(VLOOKUP(A1272,[8]PRIORIZADOS!$A:$G,7,FALSE)="","",VLOOKUP(A1272,[8]PRIORIZADOS!$A:$G,7,FALSE)),"")</f>
        <v>LICEO NUEVA BRITALIA</v>
      </c>
      <c r="H1272" s="11" t="str">
        <f>IFERROR(IF(VLOOKUP(A1272,[8]PRIORIZADOS!$A:$H,8,FALSE)="","",VLOOKUP(A1272,[8]PRIORIZADOS!$A:$H,8,FALSE)),"")</f>
        <v>Autoevaluación Institucional y Pruebas SABER 11</v>
      </c>
      <c r="I1272" s="11" t="str">
        <f>IFERROR(IF(VLOOKUP(A1272,[8]PRIORIZADOS!$A:$I,9,FALSE)="","",VLOOKUP(A1272,[8]PRIORIZADOS!$A:$I,9,FALSE)),"")</f>
        <v>SEGUIMIENTO_Y_SUPERVISIÓN.</v>
      </c>
      <c r="J1272" s="11" t="str">
        <f>IFERROR(IF(VLOOKUP(A1272,[8]PRIORIZADOS!$A:$J,10,FALSE)="","",VLOOKUP(A1272,[8]PRIORIZADOS!$A:$J,10,FALSE)),"")</f>
        <v xml:space="preserve">Verificar la implementación por parte de los colegios, de acciones realizadas para la prevención y atención de las situaciones de convivencia en el entorno escolar, según lo establecido en la Directiva 01 de 2022 del MEN. </v>
      </c>
      <c r="K1272" s="11" t="str">
        <f>IFERROR(IF(VLOOKUP(A1272,[8]PRIORIZADOS!$A:$K,11,FALSE)="","",VLOOKUP(A1272,[8]PRIORIZADOS!$A:$K,11,FALSE)),"")</f>
        <v>INGRID VIVIANA DÁVILA ÁVILA</v>
      </c>
      <c r="L1272" s="11" t="str">
        <f>IFERROR(IF(VLOOKUP(A1272,[8]PRIORIZADOS!$A:$L,12,FALSE)="","",VLOOKUP(A1272,[8]PRIORIZADOS!$A:$L,12,FALSE)),"")</f>
        <v>LUIS FERNANDO CÁRDENAS URAN</v>
      </c>
      <c r="M1272" s="71">
        <f>IFERROR(IF(VLOOKUP(A1272,[8]PRIORIZADOS!$A:$M,13,FALSE)="","",VLOOKUP(A1272,[8]PRIORIZADOS!$A:$M,13,FALSE)),"")</f>
        <v>45874</v>
      </c>
      <c r="N1272" s="71">
        <f>IFERROR(IF(VLOOKUP(A1272,[8]PRIORIZADOS!$A:$N,14,FALSE)="","",VLOOKUP(A1272,[8]PRIORIZADOS!$A:$N,14,FALSE)),"")</f>
        <v>45884</v>
      </c>
      <c r="O1272" s="71">
        <f>IFERROR(IF(VLOOKUP(A1272,[8]PRIORIZADOS!$A:$O,15,FALSE)="","",VLOOKUP(A1272,[8]PRIORIZADOS!$A:$O,15,FALSE)),"")</f>
        <v>45884</v>
      </c>
      <c r="P1272" s="11" t="str">
        <f>IFERROR(IF(VLOOKUP(A1272,[8]PRIORIZADOS!$A:$P,16,FALSE)="","",VLOOKUP(A1272,[8]PRIORIZADOS!$A:$P,16,FALSE)),"")</f>
        <v>Visitas de evaluación con fines de mejoramiento</v>
      </c>
      <c r="Q1272" s="7" t="s">
        <v>260</v>
      </c>
      <c r="R1272" s="11" t="str">
        <f>IFERROR(IF(VLOOKUP(A1272,[8]PRIORIZADOS!$A:$R,18,FALSE)="","",VLOOKUP(A1272,[8]PRIORIZADOS!$A:$R,18,FALSE)),"")</f>
        <v>En las actas presentadas por el colegio no se evidencia las acciones de promoción y prevención para los casos más recurrentes en convivencia escolar</v>
      </c>
      <c r="S1272" s="11" t="str">
        <f>IFERROR(IF(VLOOKUP(A1272,[8]PRIORIZADOS!$A:$S,19,FALSE)="","",VLOOKUP(A1272,[8]PRIORIZADOS!$A:$S,19,FALSE)),"")</f>
        <v xml:space="preserve">Garantizar que desde el  Comité de convivencia escolar  se propongan acciones tendientes a mejorar la convivencia escolar </v>
      </c>
      <c r="T1272" s="70" t="str">
        <f>IFERROR(IF(VLOOKUP(A1272,[8]PRIORIZADOS!$A:$T,20,FALSE)="","",VLOOKUP(A1272,[8]PRIORIZADOS!$A:$T,20,FALSE)),"")</f>
        <v>Si</v>
      </c>
      <c r="U1272" s="11" t="str">
        <f>IFERROR(IF(VLOOKUP(A1272,[8]PRIORIZADOS!$A:$U,21,FALSE)="","",VLOOKUP(A1272,[8]PRIORIZADOS!$A:$U,21,FALSE)),"")</f>
        <v>Validar las acciones planificadas por la institución educativa en su plan de mejora. Se realiza mesa de seguimiento el día 22 de septiembre 2025. El 27 de febrero se validará el cumplimiento total del plan de mejoramiento.</v>
      </c>
    </row>
    <row r="1273" spans="1:21" s="1" customFormat="1" ht="72">
      <c r="A1273" s="69">
        <f>IF([8]PRIORIZADOS!A253="","",[8]PRIORIZADOS!A253)</f>
        <v>1217</v>
      </c>
      <c r="B1273" s="70">
        <v>39</v>
      </c>
      <c r="C1273" s="11" t="str">
        <f>IFERROR(IF(VLOOKUP(A1273,[8]PRIORIZADOS!$A:$C,3,FALSE)="","",VLOOKUP(A1273,[8]PRIORIZADOS!$A:$C,3,FALSE)),"")</f>
        <v>KENNEDY</v>
      </c>
      <c r="D1273" s="11" t="str">
        <f>IFERROR(IF(VLOOKUP(A1273,[8]PRIORIZADOS!$A:$D,4,FALSE)="","",VLOOKUP(A1273,[8]PRIORIZADOS!$A:$D,4,FALSE)),"")</f>
        <v>PRIVADO</v>
      </c>
      <c r="E1273" s="11" t="str">
        <f>IFERROR(IF(VLOOKUP(A1273,[8]PRIORIZADOS!$A:$E,5,FALSE)="","",VLOOKUP(A1273,[8]PRIORIZADOS!$A:$E,5,FALSE)),"")</f>
        <v>EPBM</v>
      </c>
      <c r="F1273" s="11" t="str">
        <f>IFERROR(IF(VLOOKUP(A1273,[8]PRIORIZADOS!$A:$F,6,FALSE)="","",VLOOKUP(A1273,[8]PRIORIZADOS!$A:$F,6,FALSE)),"")</f>
        <v>LICEO_NUEVA_BRITALIA</v>
      </c>
      <c r="G1273" s="11" t="str">
        <f>IFERROR(IF(VLOOKUP(A1273,[8]PRIORIZADOS!$A:$G,7,FALSE)="","",VLOOKUP(A1273,[8]PRIORIZADOS!$A:$G,7,FALSE)),"")</f>
        <v>LICEO NUEVA BRITALIA</v>
      </c>
      <c r="H1273" s="11" t="str">
        <f>IFERROR(IF(VLOOKUP(A1273,[8]PRIORIZADOS!$A:$H,8,FALSE)="","",VLOOKUP(A1273,[8]PRIORIZADOS!$A:$H,8,FALSE)),"")</f>
        <v>Autoevaluación Institucional y Pruebas SABER 11</v>
      </c>
      <c r="I1273" s="11" t="str">
        <f>IFERROR(IF(VLOOKUP(A1273,[8]PRIORIZADOS!$A:$I,9,FALSE)="","",VLOOKUP(A1273,[8]PRIORIZADOS!$A:$I,9,FALSE)),"")</f>
        <v>SEGUIMIENTO_Y_SUPERVISIÓN.</v>
      </c>
      <c r="J1273" s="11" t="str">
        <f>IFERROR(IF(VLOOKUP(A1273,[8]PRIORIZADOS!$A:$J,10,FALSE)="","",VLOOKUP(A1273,[8]PRIORIZADOS!$A:$J,10,FALSE)),"")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73" s="11" t="str">
        <f>IFERROR(IF(VLOOKUP(A1273,[8]PRIORIZADOS!$A:$K,11,FALSE)="","",VLOOKUP(A1273,[8]PRIORIZADOS!$A:$K,11,FALSE)),"")</f>
        <v>INGRID VIVIANA DÁVILA ÁVILA</v>
      </c>
      <c r="L1273" s="11" t="str">
        <f>IFERROR(IF(VLOOKUP(A1273,[8]PRIORIZADOS!$A:$L,12,FALSE)="","",VLOOKUP(A1273,[8]PRIORIZADOS!$A:$L,12,FALSE)),"")</f>
        <v>LUIS FERNANDO CÁRDENAS URAN</v>
      </c>
      <c r="M1273" s="71">
        <f>IFERROR(IF(VLOOKUP(A1273,[8]PRIORIZADOS!$A:$M,13,FALSE)="","",VLOOKUP(A1273,[8]PRIORIZADOS!$A:$M,13,FALSE)),"")</f>
        <v>45874</v>
      </c>
      <c r="N1273" s="71">
        <f>IFERROR(IF(VLOOKUP(A1273,[8]PRIORIZADOS!$A:$N,14,FALSE)="","",VLOOKUP(A1273,[8]PRIORIZADOS!$A:$N,14,FALSE)),"")</f>
        <v>45884</v>
      </c>
      <c r="O1273" s="71">
        <f>IFERROR(IF(VLOOKUP(A1273,[8]PRIORIZADOS!$A:$O,15,FALSE)="","",VLOOKUP(A1273,[8]PRIORIZADOS!$A:$O,15,FALSE)),"")</f>
        <v>45884</v>
      </c>
      <c r="P1273" s="11" t="str">
        <f>IFERROR(IF(VLOOKUP(A1273,[8]PRIORIZADOS!$A:$P,16,FALSE)="","",VLOOKUP(A1273,[8]PRIORIZADOS!$A:$P,16,FALSE)),"")</f>
        <v>Visitas de evaluación con fines de mejoramiento</v>
      </c>
      <c r="Q1273" s="7" t="s">
        <v>260</v>
      </c>
      <c r="R1273" s="11" t="str">
        <f>IFERROR(IF(VLOOKUP(A1273,[8]PRIORIZADOS!$A:$R,18,FALSE)="","",VLOOKUP(A1273,[8]PRIORIZADOS!$A:$R,18,FALSE)),"")</f>
        <v>En el  formato que contiene el PIAR, en los objetivos se realiza la descripción de los contenidos de las asignaturas</v>
      </c>
      <c r="S1273" s="11" t="str">
        <f>IFERROR(IF(VLOOKUP(A1273,[8]PRIORIZADOS!$A:$S,19,FALSE)="","",VLOOKUP(A1273,[8]PRIORIZADOS!$A:$S,19,FALSE)),"")</f>
        <v>Organizar los ajustes razonables de los estudiantes que lo requieran</v>
      </c>
      <c r="T1273" s="70" t="str">
        <f>IFERROR(IF(VLOOKUP(A1273,[8]PRIORIZADOS!$A:$T,20,FALSE)="","",VLOOKUP(A1273,[8]PRIORIZADOS!$A:$T,20,FALSE)),"")</f>
        <v>Si</v>
      </c>
      <c r="U1273" s="11" t="str">
        <f>IFERROR(IF(VLOOKUP(A1273,[8]PRIORIZADOS!$A:$U,21,FALSE)="","",VLOOKUP(A1273,[8]PRIORIZADOS!$A:$U,21,FALSE)),"")</f>
        <v>Validar las acciones planificadas por la institución educativa en su plan de mejora. Se realiza mesa de seguimiento el día 22 de septiembre 2025. El 27 de febrero se validará el cumplimiento total del plan de mejoramiento.</v>
      </c>
    </row>
    <row r="1274" spans="1:21" s="1" customFormat="1" ht="84">
      <c r="A1274" s="69">
        <f>IF([8]PRIORIZADOS!A254="","",[8]PRIORIZADOS!A254)</f>
        <v>1218</v>
      </c>
      <c r="B1274" s="70">
        <v>39</v>
      </c>
      <c r="C1274" s="11" t="str">
        <f>IFERROR(IF(VLOOKUP(A1274,[8]PRIORIZADOS!$A:$C,3,FALSE)="","",VLOOKUP(A1274,[8]PRIORIZADOS!$A:$C,3,FALSE)),"")</f>
        <v>KENNEDY</v>
      </c>
      <c r="D1274" s="11" t="str">
        <f>IFERROR(IF(VLOOKUP(A1274,[8]PRIORIZADOS!$A:$D,4,FALSE)="","",VLOOKUP(A1274,[8]PRIORIZADOS!$A:$D,4,FALSE)),"")</f>
        <v>PRIVADO</v>
      </c>
      <c r="E1274" s="11" t="str">
        <f>IFERROR(IF(VLOOKUP(A1274,[8]PRIORIZADOS!$A:$E,5,FALSE)="","",VLOOKUP(A1274,[8]PRIORIZADOS!$A:$E,5,FALSE)),"")</f>
        <v>EPBM</v>
      </c>
      <c r="F1274" s="11" t="str">
        <f>IFERROR(IF(VLOOKUP(A1274,[8]PRIORIZADOS!$A:$F,6,FALSE)="","",VLOOKUP(A1274,[8]PRIORIZADOS!$A:$F,6,FALSE)),"")</f>
        <v>LICEO_NUEVA_BRITALIA</v>
      </c>
      <c r="G1274" s="11" t="str">
        <f>IFERROR(IF(VLOOKUP(A1274,[8]PRIORIZADOS!$A:$G,7,FALSE)="","",VLOOKUP(A1274,[8]PRIORIZADOS!$A:$G,7,FALSE)),"")</f>
        <v>LICEO NUEVA BRITALIA</v>
      </c>
      <c r="H1274" s="11" t="str">
        <f>IFERROR(IF(VLOOKUP(A1274,[8]PRIORIZADOS!$A:$H,8,FALSE)="","",VLOOKUP(A1274,[8]PRIORIZADOS!$A:$H,8,FALSE)),"")</f>
        <v>Autoevaluación Institucional y Pruebas SABER 11</v>
      </c>
      <c r="I1274" s="11" t="str">
        <f>IFERROR(IF(VLOOKUP(A1274,[8]PRIORIZADOS!$A:$I,9,FALSE)="","",VLOOKUP(A1274,[8]PRIORIZADOS!$A:$I,9,FALSE)),"")</f>
        <v>EVALUACIÓN_CON_FINES_DE_MEJORAMIENTO.</v>
      </c>
      <c r="J1274" s="11" t="str">
        <f>IFERROR(IF(VLOOKUP(A1274,[8]PRIORIZADOS!$A:$J,10,FALSE)="","",VLOOKUP(A1274,[8]PRIORIZADOS!$A:$J,10,FALSE)),"")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74" s="11" t="str">
        <f>IFERROR(IF(VLOOKUP(A1274,[8]PRIORIZADOS!$A:$K,11,FALSE)="","",VLOOKUP(A1274,[8]PRIORIZADOS!$A:$K,11,FALSE)),"")</f>
        <v>INGRID VIVIANA DÁVILA ÁVILA</v>
      </c>
      <c r="L1274" s="11" t="str">
        <f>IFERROR(IF(VLOOKUP(A1274,[8]PRIORIZADOS!$A:$L,12,FALSE)="","",VLOOKUP(A1274,[8]PRIORIZADOS!$A:$L,12,FALSE)),"")</f>
        <v>LUIS FERNANDO CÁRDENAS URAN</v>
      </c>
      <c r="M1274" s="71">
        <f>IFERROR(IF(VLOOKUP(A1274,[8]PRIORIZADOS!$A:$M,13,FALSE)="","",VLOOKUP(A1274,[8]PRIORIZADOS!$A:$M,13,FALSE)),"")</f>
        <v>45874</v>
      </c>
      <c r="N1274" s="71">
        <f>IFERROR(IF(VLOOKUP(A1274,[8]PRIORIZADOS!$A:$N,14,FALSE)="","",VLOOKUP(A1274,[8]PRIORIZADOS!$A:$N,14,FALSE)),"")</f>
        <v>45884</v>
      </c>
      <c r="O1274" s="71">
        <f>IFERROR(IF(VLOOKUP(A1274,[8]PRIORIZADOS!$A:$O,15,FALSE)="","",VLOOKUP(A1274,[8]PRIORIZADOS!$A:$O,15,FALSE)),"")</f>
        <v>45884</v>
      </c>
      <c r="P1274" s="11" t="str">
        <f>IFERROR(IF(VLOOKUP(A1274,[8]PRIORIZADOS!$A:$P,16,FALSE)="","",VLOOKUP(A1274,[8]PRIORIZADOS!$A:$P,16,FALSE)),"")</f>
        <v>Visitas de evaluación con fines de mejoramiento</v>
      </c>
      <c r="Q1274" s="7" t="s">
        <v>260</v>
      </c>
      <c r="R1274" s="11" t="str">
        <f>IFERROR(IF(VLOOKUP(A1274,[8]PRIORIZADOS!$A:$R,18,FALSE)="","",VLOOKUP(A1274,[8]PRIORIZADOS!$A:$R,18,FALSE)),"")</f>
        <v>El manual de convivencia dentro de su contenido no contiene los elementos de inclusión, justicia restaurativa y debido proceso</v>
      </c>
      <c r="S1274" s="11" t="str">
        <f>IFERROR(IF(VLOOKUP(A1274,[8]PRIORIZADOS!$A:$S,19,FALSE)="","",VLOOKUP(A1274,[8]PRIORIZADOS!$A:$S,19,FALSE)),"")</f>
        <v>Incluir en el manual de convivencia inclusión, enfoque restaurativo y debido proceso</v>
      </c>
      <c r="T1274" s="70" t="str">
        <f>IFERROR(IF(VLOOKUP(A1274,[8]PRIORIZADOS!$A:$T,20,FALSE)="","",VLOOKUP(A1274,[8]PRIORIZADOS!$A:$T,20,FALSE)),"")</f>
        <v>Si</v>
      </c>
      <c r="U1274" s="11" t="str">
        <f>IFERROR(IF(VLOOKUP(A1274,[8]PRIORIZADOS!$A:$U,21,FALSE)="","",VLOOKUP(A1274,[8]PRIORIZADOS!$A:$U,21,FALSE)),"")</f>
        <v>Validar las acciones planificadas por la institución educativa en su plan de mejora.  Se realiza mesa de seguimiento el día 22 de septiembre 2025. El 27 de febrero se validará el cumplimiento total del plan de mejoramiento.</v>
      </c>
    </row>
    <row r="1275" spans="1:21" s="1" customFormat="1" ht="48">
      <c r="A1275" s="69">
        <f>IF([8]PRIORIZADOS!A255="","",[8]PRIORIZADOS!A255)</f>
        <v>1219</v>
      </c>
      <c r="B1275" s="70">
        <v>39</v>
      </c>
      <c r="C1275" s="11" t="str">
        <f>IFERROR(IF(VLOOKUP(A1275,[8]PRIORIZADOS!$A:$C,3,FALSE)="","",VLOOKUP(A1275,[8]PRIORIZADOS!$A:$C,3,FALSE)),"")</f>
        <v>KENNEDY</v>
      </c>
      <c r="D1275" s="11" t="str">
        <f>IFERROR(IF(VLOOKUP(A1275,[8]PRIORIZADOS!$A:$D,4,FALSE)="","",VLOOKUP(A1275,[8]PRIORIZADOS!$A:$D,4,FALSE)),"")</f>
        <v>PRIVADO</v>
      </c>
      <c r="E1275" s="11" t="str">
        <f>IFERROR(IF(VLOOKUP(A1275,[8]PRIORIZADOS!$A:$E,5,FALSE)="","",VLOOKUP(A1275,[8]PRIORIZADOS!$A:$E,5,FALSE)),"")</f>
        <v>EPBM</v>
      </c>
      <c r="F1275" s="11" t="str">
        <f>IFERROR(IF(VLOOKUP(A1275,[8]PRIORIZADOS!$A:$F,6,FALSE)="","",VLOOKUP(A1275,[8]PRIORIZADOS!$A:$F,6,FALSE)),"")</f>
        <v>LICEO_NUEVA_BRITALIA</v>
      </c>
      <c r="G1275" s="11" t="str">
        <f>IFERROR(IF(VLOOKUP(A1275,[8]PRIORIZADOS!$A:$G,7,FALSE)="","",VLOOKUP(A1275,[8]PRIORIZADOS!$A:$G,7,FALSE)),"")</f>
        <v>LICEO NUEVA BRITALIA</v>
      </c>
      <c r="H1275" s="11" t="str">
        <f>IFERROR(IF(VLOOKUP(A1275,[8]PRIORIZADOS!$A:$H,8,FALSE)="","",VLOOKUP(A1275,[8]PRIORIZADOS!$A:$H,8,FALSE)),"")</f>
        <v>Autoevaluación Institucional y Pruebas SABER 11</v>
      </c>
      <c r="I1275" s="11" t="str">
        <f>IFERROR(IF(VLOOKUP(A1275,[8]PRIORIZADOS!$A:$I,9,FALSE)="","",VLOOKUP(A1275,[8]PRIORIZADOS!$A:$I,9,FALSE)),"")</f>
        <v>EVALUACIÓN_CON_FINES_DE_MEJORAMIENTO.</v>
      </c>
      <c r="J1275" s="11" t="str">
        <f>IFERROR(IF(VLOOKUP(A1275,[8]PRIORIZADOS!$A:$J,10,FALSE)="","",VLOOKUP(A1275,[8]PRIORIZADOS!$A:$J,10,FALSE)),"")</f>
        <v>Revisar la actualización, socialización e implementación del Sistema Institucional de Evaluación de Estudiantes - SIEE, en articulación con la actualización del PEI y la normatividad vigente.</v>
      </c>
      <c r="K1275" s="11" t="str">
        <f>IFERROR(IF(VLOOKUP(A1275,[8]PRIORIZADOS!$A:$K,11,FALSE)="","",VLOOKUP(A1275,[8]PRIORIZADOS!$A:$K,11,FALSE)),"")</f>
        <v>INGRID VIVIANA DÁVILA ÁVILA</v>
      </c>
      <c r="L1275" s="11" t="str">
        <f>IFERROR(IF(VLOOKUP(A1275,[8]PRIORIZADOS!$A:$L,12,FALSE)="","",VLOOKUP(A1275,[8]PRIORIZADOS!$A:$L,12,FALSE)),"")</f>
        <v>LUIS FERNANDO CÁRDENAS URAN</v>
      </c>
      <c r="M1275" s="71">
        <f>IFERROR(IF(VLOOKUP(A1275,[8]PRIORIZADOS!$A:$M,13,FALSE)="","",VLOOKUP(A1275,[8]PRIORIZADOS!$A:$M,13,FALSE)),"")</f>
        <v>45874</v>
      </c>
      <c r="N1275" s="71">
        <f>IFERROR(IF(VLOOKUP(A1275,[8]PRIORIZADOS!$A:$N,14,FALSE)="","",VLOOKUP(A1275,[8]PRIORIZADOS!$A:$N,14,FALSE)),"")</f>
        <v>45884</v>
      </c>
      <c r="O1275" s="71">
        <f>IFERROR(IF(VLOOKUP(A1275,[8]PRIORIZADOS!$A:$O,15,FALSE)="","",VLOOKUP(A1275,[8]PRIORIZADOS!$A:$O,15,FALSE)),"")</f>
        <v>45884</v>
      </c>
      <c r="P1275" s="11" t="str">
        <f>IFERROR(IF(VLOOKUP(A1275,[8]PRIORIZADOS!$A:$P,16,FALSE)="","",VLOOKUP(A1275,[8]PRIORIZADOS!$A:$P,16,FALSE)),"")</f>
        <v>Visitas de evaluación con fines de mejoramiento</v>
      </c>
      <c r="Q1275" s="7" t="s">
        <v>260</v>
      </c>
      <c r="R1275" s="11" t="str">
        <f>IFERROR(IF(VLOOKUP(A1275,[8]PRIORIZADOS!$A:$R,18,FALSE)="","",VLOOKUP(A1275,[8]PRIORIZADOS!$A:$R,18,FALSE)),"")</f>
        <v>Se encontró que la información reportada en la autoevaluación institucional guarda relación con la realidad institucional.</v>
      </c>
      <c r="S1275" s="11" t="str">
        <f>IFERROR(IF(VLOOKUP(A1275,[8]PRIORIZADOS!$A:$S,19,FALSE)="","",VLOOKUP(A1275,[8]PRIORIZADOS!$A:$S,19,FALSE)),"")</f>
        <v>Continuar registrado la información en la autoevaluación institucional acorde a las capacidades y realidades de la institución</v>
      </c>
      <c r="T1275" s="70" t="str">
        <f>IFERROR(IF(VLOOKUP(A1275,[8]PRIORIZADOS!$A:$T,20,FALSE)="","",VLOOKUP(A1275,[8]PRIORIZADOS!$A:$T,20,FALSE)),"")</f>
        <v>No</v>
      </c>
      <c r="U1275" s="11" t="str">
        <f>IFERROR(IF(VLOOKUP(A1275,[8]PRIORIZADOS!$A:$U,21,FALSE)="","",VLOOKUP(A1275,[8]PRIORIZADOS!$A:$U,21,FALSE)),"")</f>
        <v>Validar las acciones planificadas por la institución educativa en su plan de mejora</v>
      </c>
    </row>
    <row r="1276" spans="1:21" s="1" customFormat="1" ht="48">
      <c r="A1276" s="69">
        <f>IF([8]PRIORIZADOS!A256="","",[8]PRIORIZADOS!A256)</f>
        <v>1220</v>
      </c>
      <c r="B1276" s="70">
        <v>39</v>
      </c>
      <c r="C1276" s="11" t="str">
        <f>IFERROR(IF(VLOOKUP(A1276,[8]PRIORIZADOS!$A:$C,3,FALSE)="","",VLOOKUP(A1276,[8]PRIORIZADOS!$A:$C,3,FALSE)),"")</f>
        <v>KENNEDY</v>
      </c>
      <c r="D1276" s="11" t="str">
        <f>IFERROR(IF(VLOOKUP(A1276,[8]PRIORIZADOS!$A:$D,4,FALSE)="","",VLOOKUP(A1276,[8]PRIORIZADOS!$A:$D,4,FALSE)),"")</f>
        <v>PRIVADO</v>
      </c>
      <c r="E1276" s="11" t="str">
        <f>IFERROR(IF(VLOOKUP(A1276,[8]PRIORIZADOS!$A:$E,5,FALSE)="","",VLOOKUP(A1276,[8]PRIORIZADOS!$A:$E,5,FALSE)),"")</f>
        <v>EPBM</v>
      </c>
      <c r="F1276" s="11" t="str">
        <f>IFERROR(IF(VLOOKUP(A1276,[8]PRIORIZADOS!$A:$F,6,FALSE)="","",VLOOKUP(A1276,[8]PRIORIZADOS!$A:$F,6,FALSE)),"")</f>
        <v>LICEO_NUEVA_BRITALIA</v>
      </c>
      <c r="G1276" s="11" t="str">
        <f>IFERROR(IF(VLOOKUP(A1276,[8]PRIORIZADOS!$A:$G,7,FALSE)="","",VLOOKUP(A1276,[8]PRIORIZADOS!$A:$G,7,FALSE)),"")</f>
        <v>LICEO NUEVA BRITALIA</v>
      </c>
      <c r="H1276" s="11" t="str">
        <f>IFERROR(IF(VLOOKUP(A1276,[8]PRIORIZADOS!$A:$H,8,FALSE)="","",VLOOKUP(A1276,[8]PRIORIZADOS!$A:$H,8,FALSE)),"")</f>
        <v>Autoevaluación Institucional y Pruebas SABER 11</v>
      </c>
      <c r="I1276" s="11" t="str">
        <f>IFERROR(IF(VLOOKUP(A1276,[8]PRIORIZADOS!$A:$I,9,FALSE)="","",VLOOKUP(A1276,[8]PRIORIZADOS!$A:$I,9,FALSE)),"")</f>
        <v>EVALUACIÓN_CON_FINES_DE_MEJORAMIENTO.</v>
      </c>
      <c r="J1276" s="11" t="str">
        <f>IFERROR(IF(VLOOKUP(A1276,[8]PRIORIZADOS!$A:$J,10,FALSE)="","",VLOOKUP(A1276,[8]PRIORIZADOS!$A:$J,10,FALSE)),"")</f>
        <v>Revisar el calendario escolar, jornada escolar, la intensidad horaria mínima anual en cada nivel y las modificaciones que se realicen al mismo, de acuerdo con lo previsto en la normatividad vigente.</v>
      </c>
      <c r="K1276" s="11" t="str">
        <f>IFERROR(IF(VLOOKUP(A1276,[8]PRIORIZADOS!$A:$K,11,FALSE)="","",VLOOKUP(A1276,[8]PRIORIZADOS!$A:$K,11,FALSE)),"")</f>
        <v>INGRID VIVIANA DÁVILA ÁVILA</v>
      </c>
      <c r="L1276" s="11" t="str">
        <f>IFERROR(IF(VLOOKUP(A1276,[8]PRIORIZADOS!$A:$L,12,FALSE)="","",VLOOKUP(A1276,[8]PRIORIZADOS!$A:$L,12,FALSE)),"")</f>
        <v>LUIS FERNANDO CÁRDENAS URAN</v>
      </c>
      <c r="M1276" s="71">
        <f>IFERROR(IF(VLOOKUP(A1276,[8]PRIORIZADOS!$A:$M,13,FALSE)="","",VLOOKUP(A1276,[8]PRIORIZADOS!$A:$M,13,FALSE)),"")</f>
        <v>45874</v>
      </c>
      <c r="N1276" s="71">
        <f>IFERROR(IF(VLOOKUP(A1276,[8]PRIORIZADOS!$A:$N,14,FALSE)="","",VLOOKUP(A1276,[8]PRIORIZADOS!$A:$N,14,FALSE)),"")</f>
        <v>45884</v>
      </c>
      <c r="O1276" s="71">
        <f>IFERROR(IF(VLOOKUP(A1276,[8]PRIORIZADOS!$A:$O,15,FALSE)="","",VLOOKUP(A1276,[8]PRIORIZADOS!$A:$O,15,FALSE)),"")</f>
        <v>45884</v>
      </c>
      <c r="P1276" s="11" t="str">
        <f>IFERROR(IF(VLOOKUP(A1276,[8]PRIORIZADOS!$A:$P,16,FALSE)="","",VLOOKUP(A1276,[8]PRIORIZADOS!$A:$P,16,FALSE)),"")</f>
        <v>Visitas de evaluación con fines de mejoramiento</v>
      </c>
      <c r="Q1276" s="7" t="s">
        <v>260</v>
      </c>
      <c r="R1276" s="11" t="str">
        <f>IFERROR(IF(VLOOKUP(A1276,[8]PRIORIZADOS!$A:$R,18,FALSE)="","",VLOOKUP(A1276,[8]PRIORIZADOS!$A:$R,18,FALSE)),"")</f>
        <v>La IE aporto documento que permita verificar el cumplimiento de la intensidad horaria de su calendario escolar</v>
      </c>
      <c r="S1276" s="11" t="str">
        <f>IFERROR(IF(VLOOKUP(A1276,[8]PRIORIZADOS!$A:$S,19,FALSE)="","",VLOOKUP(A1276,[8]PRIORIZADOS!$A:$S,19,FALSE)),"")</f>
        <v>Presentar calendario escolar para la próxima vigencia  en la Dirección Local de Educación</v>
      </c>
      <c r="T1276" s="70" t="str">
        <f>IFERROR(IF(VLOOKUP(A1276,[8]PRIORIZADOS!$A:$T,20,FALSE)="","",VLOOKUP(A1276,[8]PRIORIZADOS!$A:$T,20,FALSE)),"")</f>
        <v>No</v>
      </c>
      <c r="U1276" s="11" t="str">
        <f>IFERROR(IF(VLOOKUP(A1276,[8]PRIORIZADOS!$A:$U,21,FALSE)="","",VLOOKUP(A1276,[8]PRIORIZADOS!$A:$U,21,FALSE)),"")</f>
        <v xml:space="preserve">Realizar seguimiento al calendario escolar en la próxima vigencia según requerimiento </v>
      </c>
    </row>
    <row r="1277" spans="1:21" s="1" customFormat="1" ht="48">
      <c r="A1277" s="69">
        <f>IF([8]PRIORIZADOS!A257="","",[8]PRIORIZADOS!A257)</f>
        <v>1221</v>
      </c>
      <c r="B1277" s="70">
        <v>39</v>
      </c>
      <c r="C1277" s="11" t="str">
        <f>IFERROR(IF(VLOOKUP(A1277,[8]PRIORIZADOS!$A:$C,3,FALSE)="","",VLOOKUP(A1277,[8]PRIORIZADOS!$A:$C,3,FALSE)),"")</f>
        <v>KENNEDY</v>
      </c>
      <c r="D1277" s="11" t="str">
        <f>IFERROR(IF(VLOOKUP(A1277,[8]PRIORIZADOS!$A:$D,4,FALSE)="","",VLOOKUP(A1277,[8]PRIORIZADOS!$A:$D,4,FALSE)),"")</f>
        <v>PRIVADO</v>
      </c>
      <c r="E1277" s="11" t="str">
        <f>IFERROR(IF(VLOOKUP(A1277,[8]PRIORIZADOS!$A:$E,5,FALSE)="","",VLOOKUP(A1277,[8]PRIORIZADOS!$A:$E,5,FALSE)),"")</f>
        <v>EPBM</v>
      </c>
      <c r="F1277" s="11" t="str">
        <f>IFERROR(IF(VLOOKUP(A1277,[8]PRIORIZADOS!$A:$F,6,FALSE)="","",VLOOKUP(A1277,[8]PRIORIZADOS!$A:$F,6,FALSE)),"")</f>
        <v>LICEO_NUEVA_BRITALIA</v>
      </c>
      <c r="G1277" s="11" t="str">
        <f>IFERROR(IF(VLOOKUP(A1277,[8]PRIORIZADOS!$A:$G,7,FALSE)="","",VLOOKUP(A1277,[8]PRIORIZADOS!$A:$G,7,FALSE)),"")</f>
        <v>LICEO NUEVA BRITALIA</v>
      </c>
      <c r="H1277" s="11" t="str">
        <f>IFERROR(IF(VLOOKUP(A1277,[8]PRIORIZADOS!$A:$H,8,FALSE)="","",VLOOKUP(A1277,[8]PRIORIZADOS!$A:$H,8,FALSE)),"")</f>
        <v>Autoevaluación Institucional y Pruebas SABER 11</v>
      </c>
      <c r="I1277" s="11" t="str">
        <f>IFERROR(IF(VLOOKUP(A1277,[8]PRIORIZADOS!$A:$I,9,FALSE)="","",VLOOKUP(A1277,[8]PRIORIZADOS!$A:$I,9,FALSE)),"")</f>
        <v>EVALUACIÓN_CON_FINES_DE_MEJORAMIENTO.</v>
      </c>
      <c r="J1277" s="11" t="str">
        <f>IFERROR(IF(VLOOKUP(A1277,[8]PRIORIZADOS!$A:$J,10,FALSE)="","",VLOOKUP(A1277,[8]PRIORIZADOS!$A:$J,10,FALSE)),"")</f>
        <v>Verificar el funcionamiento del Gobierno Escolar e instancias de participación con base en la información sobre conformación reportada por la institución educativa.</v>
      </c>
      <c r="K1277" s="11" t="str">
        <f>IFERROR(IF(VLOOKUP(A1277,[8]PRIORIZADOS!$A:$K,11,FALSE)="","",VLOOKUP(A1277,[8]PRIORIZADOS!$A:$K,11,FALSE)),"")</f>
        <v>INGRID VIVIANA DÁVILA ÁVILA</v>
      </c>
      <c r="L1277" s="11" t="str">
        <f>IFERROR(IF(VLOOKUP(A1277,[8]PRIORIZADOS!$A:$L,12,FALSE)="","",VLOOKUP(A1277,[8]PRIORIZADOS!$A:$L,12,FALSE)),"")</f>
        <v>LUIS FERNANDO CÁRDENAS URAN</v>
      </c>
      <c r="M1277" s="71">
        <f>IFERROR(IF(VLOOKUP(A1277,[8]PRIORIZADOS!$A:$M,13,FALSE)="","",VLOOKUP(A1277,[8]PRIORIZADOS!$A:$M,13,FALSE)),"")</f>
        <v>45874</v>
      </c>
      <c r="N1277" s="71">
        <f>IFERROR(IF(VLOOKUP(A1277,[8]PRIORIZADOS!$A:$N,14,FALSE)="","",VLOOKUP(A1277,[8]PRIORIZADOS!$A:$N,14,FALSE)),"")</f>
        <v>45884</v>
      </c>
      <c r="O1277" s="71">
        <f>IFERROR(IF(VLOOKUP(A1277,[8]PRIORIZADOS!$A:$O,15,FALSE)="","",VLOOKUP(A1277,[8]PRIORIZADOS!$A:$O,15,FALSE)),"")</f>
        <v>45884</v>
      </c>
      <c r="P1277" s="11" t="str">
        <f>IFERROR(IF(VLOOKUP(A1277,[8]PRIORIZADOS!$A:$P,16,FALSE)="","",VLOOKUP(A1277,[8]PRIORIZADOS!$A:$P,16,FALSE)),"")</f>
        <v>Visitas de evaluación con fines de mejoramiento</v>
      </c>
      <c r="Q1277" s="7" t="s">
        <v>260</v>
      </c>
      <c r="R1277" s="11" t="str">
        <f>IFERROR(IF(VLOOKUP(A1277,[8]PRIORIZADOS!$A:$R,18,FALSE)="","",VLOOKUP(A1277,[8]PRIORIZADOS!$A:$R,18,FALSE)),"")</f>
        <v>El colegio realizo la conformación de su gobierno escolar y la información se encuentra registrada en el SAE</v>
      </c>
      <c r="S1277" s="11" t="str">
        <f>IFERROR(IF(VLOOKUP(A1277,[8]PRIORIZADOS!$A:$S,19,FALSE)="","",VLOOKUP(A1277,[8]PRIORIZADOS!$A:$S,19,FALSE)),"")</f>
        <v>Garantizar la operatividad del Gobierno Escolar</v>
      </c>
      <c r="T1277" s="70" t="str">
        <f>IFERROR(IF(VLOOKUP(A1277,[8]PRIORIZADOS!$A:$T,20,FALSE)="","",VLOOKUP(A1277,[8]PRIORIZADOS!$A:$T,20,FALSE)),"")</f>
        <v>No</v>
      </c>
      <c r="U1277" s="11" t="str">
        <f>IFERROR(IF(VLOOKUP(A1277,[8]PRIORIZADOS!$A:$U,21,FALSE)="","",VLOOKUP(A1277,[8]PRIORIZADOS!$A:$U,21,FALSE)),"")</f>
        <v>Validar la conformación del gobierno escolar para la próxima vigencia</v>
      </c>
    </row>
    <row r="1278" spans="1:21" s="1" customFormat="1" ht="48">
      <c r="A1278" s="69">
        <f>IF([8]PRIORIZADOS!A258="","",[8]PRIORIZADOS!A258)</f>
        <v>2796</v>
      </c>
      <c r="B1278" s="70">
        <v>39</v>
      </c>
      <c r="C1278" s="11" t="str">
        <f>IFERROR(IF(VLOOKUP(A1278,[8]PRIORIZADOS!$A:$C,3,FALSE)="","",VLOOKUP(A1278,[8]PRIORIZADOS!$A:$C,3,FALSE)),"")</f>
        <v>KENNEDY</v>
      </c>
      <c r="D1278" s="11" t="str">
        <f>IFERROR(IF(VLOOKUP(A1278,[8]PRIORIZADOS!$A:$D,4,FALSE)="","",VLOOKUP(A1278,[8]PRIORIZADOS!$A:$D,4,FALSE)),"")</f>
        <v>PRIVADO</v>
      </c>
      <c r="E1278" s="11" t="str">
        <f>IFERROR(IF(VLOOKUP(A1278,[8]PRIORIZADOS!$A:$E,5,FALSE)="","",VLOOKUP(A1278,[8]PRIORIZADOS!$A:$E,5,FALSE)),"")</f>
        <v>EPBM</v>
      </c>
      <c r="F1278" s="11" t="str">
        <f>IFERROR(IF(VLOOKUP(A1278,[8]PRIORIZADOS!$A:$F,6,FALSE)="","",VLOOKUP(A1278,[8]PRIORIZADOS!$A:$F,6,FALSE)),"")</f>
        <v>LICEO_NUEVA_BRITALIA</v>
      </c>
      <c r="G1278" s="11" t="str">
        <f>IFERROR(IF(VLOOKUP(A1278,[8]PRIORIZADOS!$A:$G,7,FALSE)="","",VLOOKUP(A1278,[8]PRIORIZADOS!$A:$G,7,FALSE)),"")</f>
        <v>LICEO NUEVA BRITALIA</v>
      </c>
      <c r="H1278" s="11" t="str">
        <f>IFERROR(IF(VLOOKUP(A1278,[8]PRIORIZADOS!$A:$H,8,FALSE)="","",VLOOKUP(A1278,[8]PRIORIZADOS!$A:$H,8,FALSE)),"")</f>
        <v>Autoevaluación Institucional y Pruebas SABER 11</v>
      </c>
      <c r="I1278" s="11" t="str">
        <f>IFERROR(IF(VLOOKUP(A1278,[8]PRIORIZADOS!$A:$I,9,FALSE)="","",VLOOKUP(A1278,[8]PRIORIZADOS!$A:$I,9,FALSE)),"")</f>
        <v>EVALUACIÓN_CON_FINES_DE_MEJORAMIENTO.</v>
      </c>
      <c r="J1278" s="11" t="str">
        <f>IFERROR(IF(VLOOKUP(A1278,[8]PRIORIZADOS!$A:$J,10,FALSE)="","",VLOOKUP(A1278,[8]PRIORIZADOS!$A:$J,10,FALSE)),"")</f>
        <v>Verificar las condiciones en cuanto a: la estructura administrativa, condiciones de la planta física y medios educativos adecuados.</v>
      </c>
      <c r="K1278" s="11" t="str">
        <f>IFERROR(IF(VLOOKUP(A1278,[8]PRIORIZADOS!$A:$K,11,FALSE)="","",VLOOKUP(A1278,[8]PRIORIZADOS!$A:$K,11,FALSE)),"")</f>
        <v>INGRID VIVIANA DÁVILA ÁVILA</v>
      </c>
      <c r="L1278" s="11" t="str">
        <f>IFERROR(IF(VLOOKUP(A1278,[8]PRIORIZADOS!$A:$L,12,FALSE)="","",VLOOKUP(A1278,[8]PRIORIZADOS!$A:$L,12,FALSE)),"")</f>
        <v>LUIS FERNANDO CÁRDENAS URAN</v>
      </c>
      <c r="M1278" s="71">
        <f>IFERROR(IF(VLOOKUP(A1278,[8]PRIORIZADOS!$A:$M,13,FALSE)="","",VLOOKUP(A1278,[8]PRIORIZADOS!$A:$M,13,FALSE)),"")</f>
        <v>45874</v>
      </c>
      <c r="N1278" s="71">
        <f>IFERROR(IF(VLOOKUP(A1278,[8]PRIORIZADOS!$A:$N,14,FALSE)="","",VLOOKUP(A1278,[8]PRIORIZADOS!$A:$N,14,FALSE)),"")</f>
        <v>45884</v>
      </c>
      <c r="O1278" s="71">
        <f>IFERROR(IF(VLOOKUP(A1278,[8]PRIORIZADOS!$A:$O,15,FALSE)="","",VLOOKUP(A1278,[8]PRIORIZADOS!$A:$O,15,FALSE)),"")</f>
        <v>45884</v>
      </c>
      <c r="P1278" s="11" t="str">
        <f>IFERROR(IF(VLOOKUP(A1278,[8]PRIORIZADOS!$A:$P,16,FALSE)="","",VLOOKUP(A1278,[8]PRIORIZADOS!$A:$P,16,FALSE)),"")</f>
        <v>Visitas de evaluación con fines de mejoramiento</v>
      </c>
      <c r="Q1278" s="7" t="s">
        <v>260</v>
      </c>
      <c r="R1278" s="11" t="str">
        <f>IFERROR(IF(VLOOKUP(A1278,[8]PRIORIZADOS!$A:$R,18,FALSE)="","",VLOOKUP(A1278,[8]PRIORIZADOS!$A:$R,18,FALSE)),"")</f>
        <v>La IE cuenta con licencia de funcionamiento de hace mas de 40 años por lo tanto no cuenta con los estándares de la normatividad vigente</v>
      </c>
      <c r="S1278" s="11" t="str">
        <f>IFERROR(IF(VLOOKUP(A1278,[8]PRIORIZADOS!$A:$S,19,FALSE)="","",VLOOKUP(A1278,[8]PRIORIZADOS!$A:$S,19,FALSE)),"")</f>
        <v>Es necesario que la IE contemple un plan de mantenimiento para la infraestructura educativa</v>
      </c>
      <c r="T1278" s="70" t="str">
        <f>IFERROR(IF(VLOOKUP(A1278,[8]PRIORIZADOS!$A:$T,20,FALSE)="","",VLOOKUP(A1278,[8]PRIORIZADOS!$A:$T,20,FALSE)),"")</f>
        <v>Si</v>
      </c>
      <c r="U1278" s="11" t="str">
        <f>IFERROR(IF(VLOOKUP(A1278,[8]PRIORIZADOS!$A:$U,21,FALSE)="","",VLOOKUP(A1278,[8]PRIORIZADOS!$A:$U,21,FALSE)),"")</f>
        <v>Validar las acciones planificadas por la institución educativa en su plan de mejora. Se realiza mesa de seguimiento el día 22 de septiembre 2025. El 27 de febrero se validará el cumplimiento total del plan de mejoramiento.</v>
      </c>
    </row>
    <row r="1279" spans="1:21" s="1" customFormat="1" ht="48">
      <c r="A1279" s="69">
        <f>IF([8]PRIORIZADOS!A259="","",[8]PRIORIZADOS!A259)</f>
        <v>1222</v>
      </c>
      <c r="B1279" s="70">
        <f>IFERROR(IF(VLOOKUP(A1279,[8]PRIORIZADOS!$A:$B,2,FALSE)="","",VLOOKUP(A1279,[8]PRIORIZADOS!$A:$B,2,FALSE)),"")</f>
        <v>40</v>
      </c>
      <c r="C1279" s="11" t="str">
        <f>IFERROR(IF(VLOOKUP(A1279,[8]PRIORIZADOS!$A:$C,3,FALSE)="","",VLOOKUP(A1279,[8]PRIORIZADOS!$A:$C,3,FALSE)),"")</f>
        <v>KENNEDY</v>
      </c>
      <c r="D1279" s="11" t="str">
        <f>IFERROR(IF(VLOOKUP(A1279,[8]PRIORIZADOS!$A:$D,4,FALSE)="","",VLOOKUP(A1279,[8]PRIORIZADOS!$A:$D,4,FALSE)),"")</f>
        <v>PRIVADO</v>
      </c>
      <c r="E1279" s="11" t="str">
        <f>IFERROR(IF(VLOOKUP(A1279,[8]PRIORIZADOS!$A:$E,5,FALSE)="","",VLOOKUP(A1279,[8]PRIORIZADOS!$A:$E,5,FALSE)),"")</f>
        <v>EPBM</v>
      </c>
      <c r="F1279" s="11" t="str">
        <f>IFERROR(IF(VLOOKUP(A1279,[8]PRIORIZADOS!$A:$F,6,FALSE)="","",VLOOKUP(A1279,[8]PRIORIZADOS!$A:$F,6,FALSE)),"")</f>
        <v>LICEO_PIÑEROS_CORTES</v>
      </c>
      <c r="G1279" s="11" t="str">
        <f>IFERROR(IF(VLOOKUP(A1279,[8]PRIORIZADOS!$A:$G,7,FALSE)="","",VLOOKUP(A1279,[8]PRIORIZADOS!$A:$G,7,FALSE)),"")</f>
        <v>LICEO PIÑEROS CORTES</v>
      </c>
      <c r="H1279" s="11" t="str">
        <f>IFERROR(IF(VLOOKUP(A1279,[8]PRIORIZADOS!$A:$H,8,FALSE)="","",VLOOKUP(A1279,[8]PRIORIZADOS!$A:$H,8,FALSE)),"")</f>
        <v>Autoevaluación Institucional y Pruebas SABER 11</v>
      </c>
      <c r="I1279" s="11" t="str">
        <f>IFERROR(IF(VLOOKUP(A1279,[8]PRIORIZADOS!$A:$I,9,FALSE)="","",VLOOKUP(A1279,[8]PRIORIZADOS!$A:$I,9,FALSE)),"")</f>
        <v>SEGUIMIENTO_Y_SUPERVISIÓN.</v>
      </c>
      <c r="J1279" s="11" t="str">
        <f>IFERROR(IF(VLOOKUP(A1279,[8]PRIORIZADOS!$A:$J,10,FALSE)="","",VLOOKUP(A1279,[8]PRIORIZADOS!$A:$J,10,FALSE)),"")</f>
        <v>Realizar visitas para verificar la información registrada sobre la autoevaluación institucional en el aplicativo EVI, a los establecimientos de educación formal no oficial.</v>
      </c>
      <c r="K1279" s="11" t="str">
        <f>IFERROR(IF(VLOOKUP(A1279,[8]PRIORIZADOS!$A:$K,11,FALSE)="","",VLOOKUP(A1279,[8]PRIORIZADOS!$A:$K,11,FALSE)),"")</f>
        <v>LUCY GONZÁLEZ LERMA</v>
      </c>
      <c r="L1279" s="11" t="str">
        <f>IFERROR(IF(VLOOKUP(A1279,[8]PRIORIZADOS!$A:$L,12,FALSE)="","",VLOOKUP(A1279,[8]PRIORIZADOS!$A:$L,12,FALSE)),"")</f>
        <v>VIVANA PILAR BOHÓRQUEZ DÍAZ</v>
      </c>
      <c r="M1279" s="71">
        <f>IFERROR(IF(VLOOKUP(A1279,[8]PRIORIZADOS!$A:$M,13,FALSE)="","",VLOOKUP(A1279,[8]PRIORIZADOS!$A:$M,13,FALSE)),"")</f>
        <v>45881</v>
      </c>
      <c r="N1279" s="71">
        <f>IFERROR(IF(VLOOKUP(A1279,[8]PRIORIZADOS!$A:$N,14,FALSE)="","",VLOOKUP(A1279,[8]PRIORIZADOS!$A:$N,14,FALSE)),"")</f>
        <v>45881</v>
      </c>
      <c r="O1279" s="71">
        <f>IFERROR(IF(VLOOKUP(A1279,[8]PRIORIZADOS!$A:$O,15,FALSE)="","",VLOOKUP(A1279,[8]PRIORIZADOS!$A:$O,15,FALSE)),"")</f>
        <v>45881</v>
      </c>
      <c r="P1279" s="11" t="str">
        <f>IFERROR(IF(VLOOKUP(A1279,[8]PRIORIZADOS!$A:$P,16,FALSE)="","",VLOOKUP(A1279,[8]PRIORIZADOS!$A:$P,16,FALSE)),"")</f>
        <v>Visitas de evaluación con fines de mejoramiento</v>
      </c>
      <c r="Q1279" s="134" t="s">
        <v>261</v>
      </c>
      <c r="R1279" s="11" t="str">
        <f>IFERROR(IF(VLOOKUP(A1279,[8]PRIORIZADOS!$A:$R,18,FALSE)="","",VLOOKUP(A1279,[8]PRIORIZADOS!$A:$R,18,FALSE)),"")</f>
        <v>La información diligenciada en el EVI es coherente con la realidad institucional</v>
      </c>
      <c r="S1279" s="11" t="str">
        <f>IFERROR(IF(VLOOKUP(A1279,[8]PRIORIZADOS!$A:$S,19,FALSE)="","",VLOOKUP(A1279,[8]PRIORIZADOS!$A:$S,19,FALSE)),"")</f>
        <v>Mantener adecuados niveles de  indicadores y procedimientos  que permita generar buenos resultados en la autoevaluación para la presente vigencia.</v>
      </c>
      <c r="T1279" s="70" t="str">
        <f>IFERROR(IF(VLOOKUP(A1279,[8]PRIORIZADOS!$A:$T,20,FALSE)="","",VLOOKUP(A1279,[8]PRIORIZADOS!$A:$T,20,FALSE)),"")</f>
        <v>No</v>
      </c>
      <c r="U1279" s="11" t="str">
        <f>IFERROR(IF(VLOOKUP(A1279,[8]PRIORIZADOS!$A:$U,21,FALSE)="","",VLOOKUP(A1279,[8]PRIORIZADOS!$A:$U,21,FALSE)),"")</f>
        <v>Verificar que se mantenga la coherencia entre la autoevaluación institucional y la realidad institucional.</v>
      </c>
    </row>
    <row r="1280" spans="1:21" s="1" customFormat="1" ht="60">
      <c r="A1280" s="69">
        <f>IF([8]PRIORIZADOS!A260="","",[8]PRIORIZADOS!A260)</f>
        <v>1223</v>
      </c>
      <c r="B1280" s="70">
        <v>40</v>
      </c>
      <c r="C1280" s="11" t="str">
        <f>IFERROR(IF(VLOOKUP(A1280,[8]PRIORIZADOS!$A:$C,3,FALSE)="","",VLOOKUP(A1280,[8]PRIORIZADOS!$A:$C,3,FALSE)),"")</f>
        <v>KENNEDY</v>
      </c>
      <c r="D1280" s="11" t="str">
        <f>IFERROR(IF(VLOOKUP(A1280,[8]PRIORIZADOS!$A:$D,4,FALSE)="","",VLOOKUP(A1280,[8]PRIORIZADOS!$A:$D,4,FALSE)),"")</f>
        <v>PRIVADO</v>
      </c>
      <c r="E1280" s="11" t="str">
        <f>IFERROR(IF(VLOOKUP(A1280,[8]PRIORIZADOS!$A:$E,5,FALSE)="","",VLOOKUP(A1280,[8]PRIORIZADOS!$A:$E,5,FALSE)),"")</f>
        <v>EPBM</v>
      </c>
      <c r="F1280" s="11" t="str">
        <f>IFERROR(IF(VLOOKUP(A1280,[8]PRIORIZADOS!$A:$F,6,FALSE)="","",VLOOKUP(A1280,[8]PRIORIZADOS!$A:$F,6,FALSE)),"")</f>
        <v>LICEO_PIÑEROS_CORTES</v>
      </c>
      <c r="G1280" s="11" t="str">
        <f>IFERROR(IF(VLOOKUP(A1280,[8]PRIORIZADOS!$A:$G,7,FALSE)="","",VLOOKUP(A1280,[8]PRIORIZADOS!$A:$G,7,FALSE)),"")</f>
        <v>LICEO PIÑEROS CORTES</v>
      </c>
      <c r="H1280" s="11" t="str">
        <f>IFERROR(IF(VLOOKUP(A1280,[8]PRIORIZADOS!$A:$H,8,FALSE)="","",VLOOKUP(A1280,[8]PRIORIZADOS!$A:$H,8,FALSE)),"")</f>
        <v>Autoevaluación Institucional y Pruebas SABER 11</v>
      </c>
      <c r="I1280" s="11" t="str">
        <f>IFERROR(IF(VLOOKUP(A1280,[8]PRIORIZADOS!$A:$I,9,FALSE)="","",VLOOKUP(A1280,[8]PRIORIZADOS!$A:$I,9,FALSE)),"")</f>
        <v>SEGUIMIENTO_Y_SUPERVISIÓN.</v>
      </c>
      <c r="J1280" s="11" t="str">
        <f>IFERROR(IF(VLOOKUP(A1280,[8]PRIORIZADOS!$A:$J,10,FALSE)="","",VLOOKUP(A1280,[8]PRIORIZADOS!$A:$J,10,FALSE)),"")</f>
        <v>Proponer estrategias en la formulación, verificar su elaboración y realizar seguimiento semestral al desarrollo de  las acciones establecidas en los planes de mejoramiento por pruebas SABER 11 de los establecimientos de educación formal.</v>
      </c>
      <c r="K1280" s="11" t="str">
        <f>IFERROR(IF(VLOOKUP(A1280,[8]PRIORIZADOS!$A:$K,11,FALSE)="","",VLOOKUP(A1280,[8]PRIORIZADOS!$A:$K,11,FALSE)),"")</f>
        <v>LUCY GONZÁLEZ LERMA</v>
      </c>
      <c r="L1280" s="11" t="str">
        <f>IFERROR(IF(VLOOKUP(A1280,[8]PRIORIZADOS!$A:$L,12,FALSE)="","",VLOOKUP(A1280,[8]PRIORIZADOS!$A:$L,12,FALSE)),"")</f>
        <v>VIVANA PILAR BOHÓRQUEZ DÍAZ</v>
      </c>
      <c r="M1280" s="71">
        <f>IFERROR(IF(VLOOKUP(A1280,[8]PRIORIZADOS!$A:$M,13,FALSE)="","",VLOOKUP(A1280,[8]PRIORIZADOS!$A:$M,13,FALSE)),"")</f>
        <v>45881</v>
      </c>
      <c r="N1280" s="71">
        <f>IFERROR(IF(VLOOKUP(A1280,[8]PRIORIZADOS!$A:$N,14,FALSE)="","",VLOOKUP(A1280,[8]PRIORIZADOS!$A:$N,14,FALSE)),"")</f>
        <v>45881</v>
      </c>
      <c r="O1280" s="71">
        <f>IFERROR(IF(VLOOKUP(A1280,[8]PRIORIZADOS!$A:$O,15,FALSE)="","",VLOOKUP(A1280,[8]PRIORIZADOS!$A:$O,15,FALSE)),"")</f>
        <v>45881</v>
      </c>
      <c r="P1280" s="11" t="str">
        <f>IFERROR(IF(VLOOKUP(A1280,[8]PRIORIZADOS!$A:$P,16,FALSE)="","",VLOOKUP(A1280,[8]PRIORIZADOS!$A:$P,16,FALSE)),"")</f>
        <v>Visitas de evaluación con fines de mejoramiento</v>
      </c>
      <c r="Q1280" s="189" t="s">
        <v>261</v>
      </c>
      <c r="R1280" s="11" t="str">
        <f>IFERROR(IF(VLOOKUP(A1280,[8]PRIORIZADOS!$A:$R,18,FALSE)="","",VLOOKUP(A1280,[8]PRIORIZADOS!$A:$R,18,FALSE)),"")</f>
        <v>No se han implementado acciones para mejorar las áreas de estudio con bajo desempeño de las pruebas SABER 11</v>
      </c>
      <c r="S1280" s="11" t="str">
        <f>IFERROR(IF(VLOOKUP(A1280,[8]PRIORIZADOS!$A:$S,19,FALSE)="","",VLOOKUP(A1280,[8]PRIORIZADOS!$A:$S,19,FALSE)),"")</f>
        <v>Implementar acciones para mejorar los aprendizajes de los estudiantes en las áreas del plan de estudio con más bajo desempeño en las pruebas SABER 11</v>
      </c>
      <c r="T1280" s="70" t="str">
        <f>IFERROR(IF(VLOOKUP(A1280,[8]PRIORIZADOS!$A:$T,20,FALSE)="","",VLOOKUP(A1280,[8]PRIORIZADOS!$A:$T,20,FALSE)),"")</f>
        <v>Si</v>
      </c>
      <c r="U1280" s="11" t="str">
        <f>IFERROR(IF(VLOOKUP(A1280,[8]PRIORIZADOS!$A:$U,21,FALSE)="","",VLOOKUP(A1280,[8]PRIORIZADOS!$A:$U,21,FALSE)),"")</f>
        <v>Hacer seguimiento a plan de mejoramiento frente a las acciones de mejora. Se realiza mesa de seguimiento el día 22 de septiembre 2025. El cinco de diciembre se validará el cumplimiento total del plan de mejoramiento.</v>
      </c>
    </row>
    <row r="1281" spans="1:21" s="1" customFormat="1" ht="60">
      <c r="A1281" s="69">
        <f>IF([8]PRIORIZADOS!A261="","",[8]PRIORIZADOS!A261)</f>
        <v>1224</v>
      </c>
      <c r="B1281" s="70">
        <v>40</v>
      </c>
      <c r="C1281" s="11" t="str">
        <f>IFERROR(IF(VLOOKUP(A1281,[8]PRIORIZADOS!$A:$C,3,FALSE)="","",VLOOKUP(A1281,[8]PRIORIZADOS!$A:$C,3,FALSE)),"")</f>
        <v>KENNEDY</v>
      </c>
      <c r="D1281" s="11" t="str">
        <f>IFERROR(IF(VLOOKUP(A1281,[8]PRIORIZADOS!$A:$D,4,FALSE)="","",VLOOKUP(A1281,[8]PRIORIZADOS!$A:$D,4,FALSE)),"")</f>
        <v>PRIVADO</v>
      </c>
      <c r="E1281" s="11" t="str">
        <f>IFERROR(IF(VLOOKUP(A1281,[8]PRIORIZADOS!$A:$E,5,FALSE)="","",VLOOKUP(A1281,[8]PRIORIZADOS!$A:$E,5,FALSE)),"")</f>
        <v>EPBM</v>
      </c>
      <c r="F1281" s="11" t="str">
        <f>IFERROR(IF(VLOOKUP(A1281,[8]PRIORIZADOS!$A:$F,6,FALSE)="","",VLOOKUP(A1281,[8]PRIORIZADOS!$A:$F,6,FALSE)),"")</f>
        <v>LICEO_PIÑEROS_CORTES</v>
      </c>
      <c r="G1281" s="11" t="str">
        <f>IFERROR(IF(VLOOKUP(A1281,[8]PRIORIZADOS!$A:$G,7,FALSE)="","",VLOOKUP(A1281,[8]PRIORIZADOS!$A:$G,7,FALSE)),"")</f>
        <v>LICEO PIÑEROS CORTES</v>
      </c>
      <c r="H1281" s="11" t="str">
        <f>IFERROR(IF(VLOOKUP(A1281,[8]PRIORIZADOS!$A:$H,8,FALSE)="","",VLOOKUP(A1281,[8]PRIORIZADOS!$A:$H,8,FALSE)),"")</f>
        <v>Autoevaluación Institucional y Pruebas SABER 11</v>
      </c>
      <c r="I1281" s="11" t="str">
        <f>IFERROR(IF(VLOOKUP(A1281,[8]PRIORIZADOS!$A:$I,9,FALSE)="","",VLOOKUP(A1281,[8]PRIORIZADOS!$A:$I,9,FALSE)),"")</f>
        <v>SEGUIMIENTO_Y_SUPERVISIÓN.</v>
      </c>
      <c r="J1281" s="11" t="str">
        <f>IFERROR(IF(VLOOKUP(A1281,[8]PRIORIZADOS!$A:$J,10,FALSE)="","",VLOOKUP(A1281,[8]PRIORIZADOS!$A:$J,10,FALSE)),"")</f>
        <v xml:space="preserve">Verificar la implementación por parte de los colegios, de acciones realizadas para la prevención y atención de las situaciones de convivencia en el entorno escolar, según lo establecido en la Directiva 01 de 2022 del MEN. </v>
      </c>
      <c r="K1281" s="11" t="str">
        <f>IFERROR(IF(VLOOKUP(A1281,[8]PRIORIZADOS!$A:$K,11,FALSE)="","",VLOOKUP(A1281,[8]PRIORIZADOS!$A:$K,11,FALSE)),"")</f>
        <v>LUCY GONZÁLEZ LERMA</v>
      </c>
      <c r="L1281" s="11" t="str">
        <f>IFERROR(IF(VLOOKUP(A1281,[8]PRIORIZADOS!$A:$L,12,FALSE)="","",VLOOKUP(A1281,[8]PRIORIZADOS!$A:$L,12,FALSE)),"")</f>
        <v>VIVANA PILAR BOHÓRQUEZ DÍAZ</v>
      </c>
      <c r="M1281" s="71">
        <f>IFERROR(IF(VLOOKUP(A1281,[8]PRIORIZADOS!$A:$M,13,FALSE)="","",VLOOKUP(A1281,[8]PRIORIZADOS!$A:$M,13,FALSE)),"")</f>
        <v>45881</v>
      </c>
      <c r="N1281" s="71">
        <f>IFERROR(IF(VLOOKUP(A1281,[8]PRIORIZADOS!$A:$N,14,FALSE)="","",VLOOKUP(A1281,[8]PRIORIZADOS!$A:$N,14,FALSE)),"")</f>
        <v>45881</v>
      </c>
      <c r="O1281" s="71">
        <f>IFERROR(IF(VLOOKUP(A1281,[8]PRIORIZADOS!$A:$O,15,FALSE)="","",VLOOKUP(A1281,[8]PRIORIZADOS!$A:$O,15,FALSE)),"")</f>
        <v>45881</v>
      </c>
      <c r="P1281" s="11" t="str">
        <f>IFERROR(IF(VLOOKUP(A1281,[8]PRIORIZADOS!$A:$P,16,FALSE)="","",VLOOKUP(A1281,[8]PRIORIZADOS!$A:$P,16,FALSE)),"")</f>
        <v>Visitas de evaluación con fines de mejoramiento</v>
      </c>
      <c r="Q1281" s="134" t="s">
        <v>261</v>
      </c>
      <c r="R1281" s="11" t="str">
        <f>IFERROR(IF(VLOOKUP(A1281,[8]PRIORIZADOS!$A:$R,18,FALSE)="","",VLOOKUP(A1281,[8]PRIORIZADOS!$A:$R,18,FALSE)),"")</f>
        <v>El manual de convivencia incluye algunos de los protocolos establecidos por parte de la SED, sin embargo es necesario revisarlos y ajustarlos de acuerdo con la realidad institucional.</v>
      </c>
      <c r="S1281" s="11" t="str">
        <f>IFERROR(IF(VLOOKUP(A1281,[8]PRIORIZADOS!$A:$S,19,FALSE)="","",VLOOKUP(A1281,[8]PRIORIZADOS!$A:$S,19,FALSE)),"")</f>
        <v>Actualizar el manual de convivencia que permita el ajuste acorde a la realidad institucional.</v>
      </c>
      <c r="T1281" s="70" t="str">
        <f>IFERROR(IF(VLOOKUP(A1281,[8]PRIORIZADOS!$A:$T,20,FALSE)="","",VLOOKUP(A1281,[8]PRIORIZADOS!$A:$T,20,FALSE)),"")</f>
        <v>Si</v>
      </c>
      <c r="U1281" s="11" t="str">
        <f>IFERROR(IF(VLOOKUP(A1281,[8]PRIORIZADOS!$A:$U,21,FALSE)="","",VLOOKUP(A1281,[8]PRIORIZADOS!$A:$U,21,FALSE)),"")</f>
        <v>Hacer seguimiento a plan de mejoramiento.  Se realiza mesa de seguimiento el día 22 de septiembre 2025. El cinco de diciembre se validará el cumplimiento total del plan de mejoramiento.</v>
      </c>
    </row>
    <row r="1282" spans="1:21" s="1" customFormat="1" ht="72">
      <c r="A1282" s="69">
        <f>IF([8]PRIORIZADOS!A262="","",[8]PRIORIZADOS!A262)</f>
        <v>1225</v>
      </c>
      <c r="B1282" s="70">
        <v>40</v>
      </c>
      <c r="C1282" s="11" t="str">
        <f>IFERROR(IF(VLOOKUP(A1282,[8]PRIORIZADOS!$A:$C,3,FALSE)="","",VLOOKUP(A1282,[8]PRIORIZADOS!$A:$C,3,FALSE)),"")</f>
        <v>KENNEDY</v>
      </c>
      <c r="D1282" s="11" t="str">
        <f>IFERROR(IF(VLOOKUP(A1282,[8]PRIORIZADOS!$A:$D,4,FALSE)="","",VLOOKUP(A1282,[8]PRIORIZADOS!$A:$D,4,FALSE)),"")</f>
        <v>PRIVADO</v>
      </c>
      <c r="E1282" s="11" t="str">
        <f>IFERROR(IF(VLOOKUP(A1282,[8]PRIORIZADOS!$A:$E,5,FALSE)="","",VLOOKUP(A1282,[8]PRIORIZADOS!$A:$E,5,FALSE)),"")</f>
        <v>EPBM</v>
      </c>
      <c r="F1282" s="11" t="str">
        <f>IFERROR(IF(VLOOKUP(A1282,[8]PRIORIZADOS!$A:$F,6,FALSE)="","",VLOOKUP(A1282,[8]PRIORIZADOS!$A:$F,6,FALSE)),"")</f>
        <v>LICEO_PIÑEROS_CORTES</v>
      </c>
      <c r="G1282" s="11" t="str">
        <f>IFERROR(IF(VLOOKUP(A1282,[8]PRIORIZADOS!$A:$G,7,FALSE)="","",VLOOKUP(A1282,[8]PRIORIZADOS!$A:$G,7,FALSE)),"")</f>
        <v>LICEO PIÑEROS CORTES</v>
      </c>
      <c r="H1282" s="11" t="str">
        <f>IFERROR(IF(VLOOKUP(A1282,[8]PRIORIZADOS!$A:$H,8,FALSE)="","",VLOOKUP(A1282,[8]PRIORIZADOS!$A:$H,8,FALSE)),"")</f>
        <v>Autoevaluación Institucional y Pruebas SABER 11</v>
      </c>
      <c r="I1282" s="11" t="str">
        <f>IFERROR(IF(VLOOKUP(A1282,[8]PRIORIZADOS!$A:$I,9,FALSE)="","",VLOOKUP(A1282,[8]PRIORIZADOS!$A:$I,9,FALSE)),"")</f>
        <v>SEGUIMIENTO_Y_SUPERVISIÓN.</v>
      </c>
      <c r="J1282" s="11" t="str">
        <f>IFERROR(IF(VLOOKUP(A1282,[8]PRIORIZADOS!$A:$J,10,FALSE)="","",VLOOKUP(A1282,[8]PRIORIZADOS!$A:$J,10,FALSE)),"")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82" s="11" t="str">
        <f>IFERROR(IF(VLOOKUP(A1282,[8]PRIORIZADOS!$A:$K,11,FALSE)="","",VLOOKUP(A1282,[8]PRIORIZADOS!$A:$K,11,FALSE)),"")</f>
        <v>LUCY GONZÁLEZ LERMA</v>
      </c>
      <c r="L1282" s="11" t="str">
        <f>IFERROR(IF(VLOOKUP(A1282,[8]PRIORIZADOS!$A:$L,12,FALSE)="","",VLOOKUP(A1282,[8]PRIORIZADOS!$A:$L,12,FALSE)),"")</f>
        <v>VIVANA PILAR BOHÓRQUEZ DÍAZ</v>
      </c>
      <c r="M1282" s="71">
        <f>IFERROR(IF(VLOOKUP(A1282,[8]PRIORIZADOS!$A:$M,13,FALSE)="","",VLOOKUP(A1282,[8]PRIORIZADOS!$A:$M,13,FALSE)),"")</f>
        <v>45881</v>
      </c>
      <c r="N1282" s="71">
        <f>IFERROR(IF(VLOOKUP(A1282,[8]PRIORIZADOS!$A:$N,14,FALSE)="","",VLOOKUP(A1282,[8]PRIORIZADOS!$A:$N,14,FALSE)),"")</f>
        <v>45881</v>
      </c>
      <c r="O1282" s="71">
        <f>IFERROR(IF(VLOOKUP(A1282,[8]PRIORIZADOS!$A:$O,15,FALSE)="","",VLOOKUP(A1282,[8]PRIORIZADOS!$A:$O,15,FALSE)),"")</f>
        <v>45881</v>
      </c>
      <c r="P1282" s="11" t="str">
        <f>IFERROR(IF(VLOOKUP(A1282,[8]PRIORIZADOS!$A:$P,16,FALSE)="","",VLOOKUP(A1282,[8]PRIORIZADOS!$A:$P,16,FALSE)),"")</f>
        <v>Visitas de evaluación con fines de mejoramiento</v>
      </c>
      <c r="Q1282" s="134" t="s">
        <v>261</v>
      </c>
      <c r="R1282" s="11" t="str">
        <f>IFERROR(IF(VLOOKUP(A1282,[8]PRIORIZADOS!$A:$R,18,FALSE)="","",VLOOKUP(A1282,[8]PRIORIZADOS!$A:$R,18,FALSE)),"")</f>
        <v>En la actualidad no tienen estudiantes con discapacidad que requieran el PIAR</v>
      </c>
      <c r="S1282" s="11" t="str">
        <f>IFERROR(IF(VLOOKUP(A1282,[8]PRIORIZADOS!$A:$S,19,FALSE)="","",VLOOKUP(A1282,[8]PRIORIZADOS!$A:$S,19,FALSE)),"")</f>
        <v>En caso de tener estudiantes con discapacidad, diseñar el correspondiente PIAR</v>
      </c>
      <c r="T1282" s="70" t="str">
        <f>IFERROR(IF(VLOOKUP(A1282,[8]PRIORIZADOS!$A:$T,20,FALSE)="","",VLOOKUP(A1282,[8]PRIORIZADOS!$A:$T,20,FALSE)),"")</f>
        <v>No</v>
      </c>
      <c r="U1282" s="11" t="str">
        <f>IFERROR(IF(VLOOKUP(A1282,[8]PRIORIZADOS!$A:$U,21,FALSE)="","",VLOOKUP(A1282,[8]PRIORIZADOS!$A:$U,21,FALSE)),"")</f>
        <v>Validar pertinencia de la aplicación, cuando se presente la necesidad.</v>
      </c>
    </row>
    <row r="1283" spans="1:21" s="1" customFormat="1" ht="84">
      <c r="A1283" s="69">
        <f>IF([8]PRIORIZADOS!A263="","",[8]PRIORIZADOS!A263)</f>
        <v>1226</v>
      </c>
      <c r="B1283" s="70">
        <v>40</v>
      </c>
      <c r="C1283" s="11" t="str">
        <f>IFERROR(IF(VLOOKUP(A1283,[8]PRIORIZADOS!$A:$C,3,FALSE)="","",VLOOKUP(A1283,[8]PRIORIZADOS!$A:$C,3,FALSE)),"")</f>
        <v>KENNEDY</v>
      </c>
      <c r="D1283" s="11" t="str">
        <f>IFERROR(IF(VLOOKUP(A1283,[8]PRIORIZADOS!$A:$D,4,FALSE)="","",VLOOKUP(A1283,[8]PRIORIZADOS!$A:$D,4,FALSE)),"")</f>
        <v>PRIVADO</v>
      </c>
      <c r="E1283" s="11" t="str">
        <f>IFERROR(IF(VLOOKUP(A1283,[8]PRIORIZADOS!$A:$E,5,FALSE)="","",VLOOKUP(A1283,[8]PRIORIZADOS!$A:$E,5,FALSE)),"")</f>
        <v>EPBM</v>
      </c>
      <c r="F1283" s="11" t="str">
        <f>IFERROR(IF(VLOOKUP(A1283,[8]PRIORIZADOS!$A:$F,6,FALSE)="","",VLOOKUP(A1283,[8]PRIORIZADOS!$A:$F,6,FALSE)),"")</f>
        <v>LICEO_PIÑEROS_CORTES</v>
      </c>
      <c r="G1283" s="11" t="str">
        <f>IFERROR(IF(VLOOKUP(A1283,[8]PRIORIZADOS!$A:$G,7,FALSE)="","",VLOOKUP(A1283,[8]PRIORIZADOS!$A:$G,7,FALSE)),"")</f>
        <v>LICEO PIÑEROS CORTES</v>
      </c>
      <c r="H1283" s="11" t="str">
        <f>IFERROR(IF(VLOOKUP(A1283,[8]PRIORIZADOS!$A:$H,8,FALSE)="","",VLOOKUP(A1283,[8]PRIORIZADOS!$A:$H,8,FALSE)),"")</f>
        <v>Autoevaluación Institucional y Pruebas SABER 11</v>
      </c>
      <c r="I1283" s="11" t="str">
        <f>IFERROR(IF(VLOOKUP(A1283,[8]PRIORIZADOS!$A:$I,9,FALSE)="","",VLOOKUP(A1283,[8]PRIORIZADOS!$A:$I,9,FALSE)),"")</f>
        <v>EVALUACIÓN_CON_FINES_DE_MEJORAMIENTO.</v>
      </c>
      <c r="J1283" s="11" t="str">
        <f>IFERROR(IF(VLOOKUP(A1283,[8]PRIORIZADOS!$A:$J,10,FALSE)="","",VLOOKUP(A1283,[8]PRIORIZADOS!$A:$J,10,FALSE)),"")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83" s="11" t="str">
        <f>IFERROR(IF(VLOOKUP(A1283,[8]PRIORIZADOS!$A:$K,11,FALSE)="","",VLOOKUP(A1283,[8]PRIORIZADOS!$A:$K,11,FALSE)),"")</f>
        <v>LUCY GONZÁLEZ LERMA</v>
      </c>
      <c r="L1283" s="11" t="str">
        <f>IFERROR(IF(VLOOKUP(A1283,[8]PRIORIZADOS!$A:$L,12,FALSE)="","",VLOOKUP(A1283,[8]PRIORIZADOS!$A:$L,12,FALSE)),"")</f>
        <v>VIVANA PILAR BOHÓRQUEZ DÍAZ</v>
      </c>
      <c r="M1283" s="71">
        <f>IFERROR(IF(VLOOKUP(A1283,[8]PRIORIZADOS!$A:$M,13,FALSE)="","",VLOOKUP(A1283,[8]PRIORIZADOS!$A:$M,13,FALSE)),"")</f>
        <v>45881</v>
      </c>
      <c r="N1283" s="71">
        <f>IFERROR(IF(VLOOKUP(A1283,[8]PRIORIZADOS!$A:$N,14,FALSE)="","",VLOOKUP(A1283,[8]PRIORIZADOS!$A:$N,14,FALSE)),"")</f>
        <v>45881</v>
      </c>
      <c r="O1283" s="71">
        <f>IFERROR(IF(VLOOKUP(A1283,[8]PRIORIZADOS!$A:$O,15,FALSE)="","",VLOOKUP(A1283,[8]PRIORIZADOS!$A:$O,15,FALSE)),"")</f>
        <v>45881</v>
      </c>
      <c r="P1283" s="11" t="str">
        <f>IFERROR(IF(VLOOKUP(A1283,[8]PRIORIZADOS!$A:$P,16,FALSE)="","",VLOOKUP(A1283,[8]PRIORIZADOS!$A:$P,16,FALSE)),"")</f>
        <v>Visitas de evaluación con fines de mejoramiento</v>
      </c>
      <c r="Q1283" s="134" t="s">
        <v>261</v>
      </c>
      <c r="R1283" s="11" t="str">
        <f>IFERROR(IF(VLOOKUP(A1283,[8]PRIORIZADOS!$A:$R,18,FALSE)="","",VLOOKUP(A1283,[8]PRIORIZADOS!$A:$R,18,FALSE)),"")</f>
        <v>El manual no fue actualizado, por tanto no se evidenció su construcción de forma participativa.</v>
      </c>
      <c r="S1283" s="11" t="str">
        <f>IFERROR(IF(VLOOKUP(A1283,[8]PRIORIZADOS!$A:$S,19,FALSE)="","",VLOOKUP(A1283,[8]PRIORIZADOS!$A:$S,19,FALSE)),"")</f>
        <v>Convocar al Gobierno Escolar e Instancias de Participación para la actualización del manual de convivencia.</v>
      </c>
      <c r="T1283" s="70" t="str">
        <f>IFERROR(IF(VLOOKUP(A1283,[8]PRIORIZADOS!$A:$T,20,FALSE)="","",VLOOKUP(A1283,[8]PRIORIZADOS!$A:$T,20,FALSE)),"")</f>
        <v>Si</v>
      </c>
      <c r="U1283" s="11" t="str">
        <f>IFERROR(IF(VLOOKUP(A1283,[8]PRIORIZADOS!$A:$U,21,FALSE)="","",VLOOKUP(A1283,[8]PRIORIZADOS!$A:$U,21,FALSE)),"")</f>
        <v>Revisará la actualización  del manual para la vigencia 2026.   Se realiza mesa de seguimiento el día 22 de septiembre 2025. El cinco de diciembre se validará el cumplimiento total del plan de mejoramiento.</v>
      </c>
    </row>
    <row r="1284" spans="1:21" s="1" customFormat="1" ht="154.5">
      <c r="A1284" s="69">
        <f>IF([8]PRIORIZADOS!A264="","",[8]PRIORIZADOS!A264)</f>
        <v>1227</v>
      </c>
      <c r="B1284" s="70">
        <v>40</v>
      </c>
      <c r="C1284" s="11" t="str">
        <f>IFERROR(IF(VLOOKUP(A1284,[8]PRIORIZADOS!$A:$C,3,FALSE)="","",VLOOKUP(A1284,[8]PRIORIZADOS!$A:$C,3,FALSE)),"")</f>
        <v>KENNEDY</v>
      </c>
      <c r="D1284" s="11" t="str">
        <f>IFERROR(IF(VLOOKUP(A1284,[8]PRIORIZADOS!$A:$D,4,FALSE)="","",VLOOKUP(A1284,[8]PRIORIZADOS!$A:$D,4,FALSE)),"")</f>
        <v>PRIVADO</v>
      </c>
      <c r="E1284" s="11" t="str">
        <f>IFERROR(IF(VLOOKUP(A1284,[8]PRIORIZADOS!$A:$E,5,FALSE)="","",VLOOKUP(A1284,[8]PRIORIZADOS!$A:$E,5,FALSE)),"")</f>
        <v>EPBM</v>
      </c>
      <c r="F1284" s="11" t="str">
        <f>IFERROR(IF(VLOOKUP(A1284,[8]PRIORIZADOS!$A:$F,6,FALSE)="","",VLOOKUP(A1284,[8]PRIORIZADOS!$A:$F,6,FALSE)),"")</f>
        <v>LICEO_PIÑEROS_CORTES</v>
      </c>
      <c r="G1284" s="11" t="str">
        <f>IFERROR(IF(VLOOKUP(A1284,[8]PRIORIZADOS!$A:$G,7,FALSE)="","",VLOOKUP(A1284,[8]PRIORIZADOS!$A:$G,7,FALSE)),"")</f>
        <v>LICEO PIÑEROS CORTES</v>
      </c>
      <c r="H1284" s="11" t="str">
        <f>IFERROR(IF(VLOOKUP(A1284,[8]PRIORIZADOS!$A:$H,8,FALSE)="","",VLOOKUP(A1284,[8]PRIORIZADOS!$A:$H,8,FALSE)),"")</f>
        <v>Autoevaluación Institucional y Pruebas SABER 11</v>
      </c>
      <c r="I1284" s="11" t="str">
        <f>IFERROR(IF(VLOOKUP(A1284,[8]PRIORIZADOS!$A:$I,9,FALSE)="","",VLOOKUP(A1284,[8]PRIORIZADOS!$A:$I,9,FALSE)),"")</f>
        <v>EVALUACIÓN_CON_FINES_DE_MEJORAMIENTO.</v>
      </c>
      <c r="J1284" s="11" t="str">
        <f>IFERROR(IF(VLOOKUP(A1284,[8]PRIORIZADOS!$A:$J,10,FALSE)="","",VLOOKUP(A1284,[8]PRIORIZADOS!$A:$J,10,FALSE)),"")</f>
        <v>Revisar la actualización, socialización e implementación del Sistema Institucional de Evaluación de Estudiantes - SIEE, en articulación con la actualización del PEI y la normatividad vigente.</v>
      </c>
      <c r="K1284" s="11" t="str">
        <f>IFERROR(IF(VLOOKUP(A1284,[8]PRIORIZADOS!$A:$K,11,FALSE)="","",VLOOKUP(A1284,[8]PRIORIZADOS!$A:$K,11,FALSE)),"")</f>
        <v>LUCY GONZÁLEZ LERMA</v>
      </c>
      <c r="L1284" s="11" t="str">
        <f>IFERROR(IF(VLOOKUP(A1284,[8]PRIORIZADOS!$A:$L,12,FALSE)="","",VLOOKUP(A1284,[8]PRIORIZADOS!$A:$L,12,FALSE)),"")</f>
        <v>VIVANA PILAR BOHÓRQUEZ DÍAZ</v>
      </c>
      <c r="M1284" s="71">
        <f>IFERROR(IF(VLOOKUP(A1284,[8]PRIORIZADOS!$A:$M,13,FALSE)="","",VLOOKUP(A1284,[8]PRIORIZADOS!$A:$M,13,FALSE)),"")</f>
        <v>45881</v>
      </c>
      <c r="N1284" s="71">
        <f>IFERROR(IF(VLOOKUP(A1284,[8]PRIORIZADOS!$A:$N,14,FALSE)="","",VLOOKUP(A1284,[8]PRIORIZADOS!$A:$N,14,FALSE)),"")</f>
        <v>45881</v>
      </c>
      <c r="O1284" s="71">
        <f>IFERROR(IF(VLOOKUP(A1284,[8]PRIORIZADOS!$A:$O,15,FALSE)="","",VLOOKUP(A1284,[8]PRIORIZADOS!$A:$O,15,FALSE)),"")</f>
        <v>45881</v>
      </c>
      <c r="P1284" s="11" t="str">
        <f>IFERROR(IF(VLOOKUP(A1284,[8]PRIORIZADOS!$A:$P,16,FALSE)="","",VLOOKUP(A1284,[8]PRIORIZADOS!$A:$P,16,FALSE)),"")</f>
        <v>Visitas de evaluación con fines de mejoramiento</v>
      </c>
      <c r="Q1284" s="134" t="s">
        <v>261</v>
      </c>
      <c r="R1284" s="11" t="str">
        <f>IFERROR(IF(VLOOKUP(A1284,[8]PRIORIZADOS!$A:$R,18,FALSE)="","",VLOOKUP(A1284,[8]PRIORIZADOS!$A:$R,18,FALSE)),"")</f>
        <v>Se evidenció la conformación del SIEE su manejo es por medio   interno en Excel y reporte en la plataforma SAS académico.  La institución se acompaña de un proceso permanente de retroalimentación de cada estudiante. Además cuenta con numerosas estrategias de apoyo para resolver situaciones pedagógicas de los estudiantes. Diseña durante los dos semestres del año jornadas de nivelación. Sin embargo no  hay soportes de las sesiones referente a la ejecución  de la comisión de evaluación y promoción</v>
      </c>
      <c r="S1284" s="11" t="str">
        <f>IFERROR(IF(VLOOKUP(A1284,[8]PRIORIZADOS!$A:$S,19,FALSE)="","",VLOOKUP(A1284,[8]PRIORIZADOS!$A:$S,19,FALSE)),"")</f>
        <v>Documentar la implementación y ejecución de la comisión de evaluación y promoción.</v>
      </c>
      <c r="T1284" s="70" t="str">
        <f>IFERROR(IF(VLOOKUP(A1284,[8]PRIORIZADOS!$A:$T,20,FALSE)="","",VLOOKUP(A1284,[8]PRIORIZADOS!$A:$T,20,FALSE)),"")</f>
        <v>Si</v>
      </c>
      <c r="U1284" s="11" t="str">
        <f>IFERROR(IF(VLOOKUP(A1284,[8]PRIORIZADOS!$A:$U,21,FALSE)="","",VLOOKUP(A1284,[8]PRIORIZADOS!$A:$U,21,FALSE)),"")</f>
        <v>Hacer seguimiento de la actas o  documentación de las sesiones de la comisión de evaluación donde se visualicen los temas abordados.  Se realiza mesa de seguimiento el día 22 de septiembre 2025. El cinco de diciembre se validará el cumplimiento total del plan de mejoramiento.</v>
      </c>
    </row>
    <row r="1285" spans="1:21" s="1" customFormat="1" ht="48">
      <c r="A1285" s="69">
        <f>IF([8]PRIORIZADOS!A265="","",[8]PRIORIZADOS!A265)</f>
        <v>1228</v>
      </c>
      <c r="B1285" s="70">
        <v>40</v>
      </c>
      <c r="C1285" s="11" t="str">
        <f>IFERROR(IF(VLOOKUP(A1285,[8]PRIORIZADOS!$A:$C,3,FALSE)="","",VLOOKUP(A1285,[8]PRIORIZADOS!$A:$C,3,FALSE)),"")</f>
        <v>KENNEDY</v>
      </c>
      <c r="D1285" s="11" t="str">
        <f>IFERROR(IF(VLOOKUP(A1285,[8]PRIORIZADOS!$A:$D,4,FALSE)="","",VLOOKUP(A1285,[8]PRIORIZADOS!$A:$D,4,FALSE)),"")</f>
        <v>PRIVADO</v>
      </c>
      <c r="E1285" s="11" t="str">
        <f>IFERROR(IF(VLOOKUP(A1285,[8]PRIORIZADOS!$A:$E,5,FALSE)="","",VLOOKUP(A1285,[8]PRIORIZADOS!$A:$E,5,FALSE)),"")</f>
        <v>EPBM</v>
      </c>
      <c r="F1285" s="11" t="str">
        <f>IFERROR(IF(VLOOKUP(A1285,[8]PRIORIZADOS!$A:$F,6,FALSE)="","",VLOOKUP(A1285,[8]PRIORIZADOS!$A:$F,6,FALSE)),"")</f>
        <v>LICEO_PIÑEROS_CORTES</v>
      </c>
      <c r="G1285" s="11" t="str">
        <f>IFERROR(IF(VLOOKUP(A1285,[8]PRIORIZADOS!$A:$G,7,FALSE)="","",VLOOKUP(A1285,[8]PRIORIZADOS!$A:$G,7,FALSE)),"")</f>
        <v>LICEO PIÑEROS CORTES</v>
      </c>
      <c r="H1285" s="11" t="str">
        <f>IFERROR(IF(VLOOKUP(A1285,[8]PRIORIZADOS!$A:$H,8,FALSE)="","",VLOOKUP(A1285,[8]PRIORIZADOS!$A:$H,8,FALSE)),"")</f>
        <v>Autoevaluación Institucional y Pruebas SABER 11</v>
      </c>
      <c r="I1285" s="11" t="str">
        <f>IFERROR(IF(VLOOKUP(A1285,[8]PRIORIZADOS!$A:$I,9,FALSE)="","",VLOOKUP(A1285,[8]PRIORIZADOS!$A:$I,9,FALSE)),"")</f>
        <v>EVALUACIÓN_CON_FINES_DE_MEJORAMIENTO.</v>
      </c>
      <c r="J1285" s="11" t="str">
        <f>IFERROR(IF(VLOOKUP(A1285,[8]PRIORIZADOS!$A:$J,10,FALSE)="","",VLOOKUP(A1285,[8]PRIORIZADOS!$A:$J,10,FALSE)),"")</f>
        <v>Revisar el calendario escolar, jornada escolar, la intensidad horaria mínima anual en cada nivel y las modificaciones que se realicen al mismo, de acuerdo con lo previsto en la normatividad vigente.</v>
      </c>
      <c r="K1285" s="11" t="str">
        <f>IFERROR(IF(VLOOKUP(A1285,[8]PRIORIZADOS!$A:$K,11,FALSE)="","",VLOOKUP(A1285,[8]PRIORIZADOS!$A:$K,11,FALSE)),"")</f>
        <v>LUCY GONZÁLEZ LERMA</v>
      </c>
      <c r="L1285" s="11" t="str">
        <f>IFERROR(IF(VLOOKUP(A1285,[8]PRIORIZADOS!$A:$L,12,FALSE)="","",VLOOKUP(A1285,[8]PRIORIZADOS!$A:$L,12,FALSE)),"")</f>
        <v>VIVANA PILAR BOHÓRQUEZ DÍAZ</v>
      </c>
      <c r="M1285" s="71">
        <f>IFERROR(IF(VLOOKUP(A1285,[8]PRIORIZADOS!$A:$M,13,FALSE)="","",VLOOKUP(A1285,[8]PRIORIZADOS!$A:$M,13,FALSE)),"")</f>
        <v>45881</v>
      </c>
      <c r="N1285" s="71">
        <f>IFERROR(IF(VLOOKUP(A1285,[8]PRIORIZADOS!$A:$N,14,FALSE)="","",VLOOKUP(A1285,[8]PRIORIZADOS!$A:$N,14,FALSE)),"")</f>
        <v>45881</v>
      </c>
      <c r="O1285" s="71">
        <f>IFERROR(IF(VLOOKUP(A1285,[8]PRIORIZADOS!$A:$O,15,FALSE)="","",VLOOKUP(A1285,[8]PRIORIZADOS!$A:$O,15,FALSE)),"")</f>
        <v>45881</v>
      </c>
      <c r="P1285" s="11" t="str">
        <f>IFERROR(IF(VLOOKUP(A1285,[8]PRIORIZADOS!$A:$P,16,FALSE)="","",VLOOKUP(A1285,[8]PRIORIZADOS!$A:$P,16,FALSE)),"")</f>
        <v>Visitas de evaluación con fines de mejoramiento</v>
      </c>
      <c r="Q1285" s="134" t="s">
        <v>261</v>
      </c>
      <c r="R1285" s="11" t="str">
        <f>IFERROR(IF(VLOOKUP(A1285,[8]PRIORIZADOS!$A:$R,18,FALSE)="","",VLOOKUP(A1285,[8]PRIORIZADOS!$A:$R,18,FALSE)),"")</f>
        <v>El calendario escolar cumple con lo establecido en la normatividad vigente.</v>
      </c>
      <c r="S1285" s="11" t="str">
        <f>IFERROR(IF(VLOOKUP(A1285,[8]PRIORIZADOS!$A:$S,19,FALSE)="","",VLOOKUP(A1285,[8]PRIORIZADOS!$A:$S,19,FALSE)),"")</f>
        <v>Continuar con el cumplimiento acorde a normatividad vigente.</v>
      </c>
      <c r="T1285" s="70" t="str">
        <f>IFERROR(IF(VLOOKUP(A1285,[8]PRIORIZADOS!$A:$T,20,FALSE)="","",VLOOKUP(A1285,[8]PRIORIZADOS!$A:$T,20,FALSE)),"")</f>
        <v>No</v>
      </c>
      <c r="U1285" s="11" t="str">
        <f>IFERROR(IF(VLOOKUP(A1285,[8]PRIORIZADOS!$A:$U,21,FALSE)="","",VLOOKUP(A1285,[8]PRIORIZADOS!$A:$U,21,FALSE)),"")</f>
        <v>Continuar con monitoreo del cumplimiento.</v>
      </c>
    </row>
    <row r="1286" spans="1:21" s="1" customFormat="1" ht="60">
      <c r="A1286" s="69">
        <f>IF([8]PRIORIZADOS!A266="","",[8]PRIORIZADOS!A266)</f>
        <v>1229</v>
      </c>
      <c r="B1286" s="70">
        <v>40</v>
      </c>
      <c r="C1286" s="11" t="str">
        <f>IFERROR(IF(VLOOKUP(A1286,[8]PRIORIZADOS!$A:$C,3,FALSE)="","",VLOOKUP(A1286,[8]PRIORIZADOS!$A:$C,3,FALSE)),"")</f>
        <v>KENNEDY</v>
      </c>
      <c r="D1286" s="11" t="str">
        <f>IFERROR(IF(VLOOKUP(A1286,[8]PRIORIZADOS!$A:$D,4,FALSE)="","",VLOOKUP(A1286,[8]PRIORIZADOS!$A:$D,4,FALSE)),"")</f>
        <v>PRIVADO</v>
      </c>
      <c r="E1286" s="11" t="str">
        <f>IFERROR(IF(VLOOKUP(A1286,[8]PRIORIZADOS!$A:$E,5,FALSE)="","",VLOOKUP(A1286,[8]PRIORIZADOS!$A:$E,5,FALSE)),"")</f>
        <v>EPBM</v>
      </c>
      <c r="F1286" s="11" t="str">
        <f>IFERROR(IF(VLOOKUP(A1286,[8]PRIORIZADOS!$A:$F,6,FALSE)="","",VLOOKUP(A1286,[8]PRIORIZADOS!$A:$F,6,FALSE)),"")</f>
        <v>LICEO_PIÑEROS_CORTES</v>
      </c>
      <c r="G1286" s="11" t="str">
        <f>IFERROR(IF(VLOOKUP(A1286,[8]PRIORIZADOS!$A:$G,7,FALSE)="","",VLOOKUP(A1286,[8]PRIORIZADOS!$A:$G,7,FALSE)),"")</f>
        <v>LICEO PIÑEROS CORTES</v>
      </c>
      <c r="H1286" s="11" t="str">
        <f>IFERROR(IF(VLOOKUP(A1286,[8]PRIORIZADOS!$A:$H,8,FALSE)="","",VLOOKUP(A1286,[8]PRIORIZADOS!$A:$H,8,FALSE)),"")</f>
        <v>Autoevaluación Institucional y Pruebas SABER 11</v>
      </c>
      <c r="I1286" s="11" t="str">
        <f>IFERROR(IF(VLOOKUP(A1286,[8]PRIORIZADOS!$A:$I,9,FALSE)="","",VLOOKUP(A1286,[8]PRIORIZADOS!$A:$I,9,FALSE)),"")</f>
        <v>EVALUACIÓN_CON_FINES_DE_MEJORAMIENTO.</v>
      </c>
      <c r="J1286" s="11" t="str">
        <f>IFERROR(IF(VLOOKUP(A1286,[8]PRIORIZADOS!$A:$J,10,FALSE)="","",VLOOKUP(A1286,[8]PRIORIZADOS!$A:$J,10,FALSE)),"")</f>
        <v>Verificar el funcionamiento del Gobierno Escolar e instancias de participación con base en la información sobre conformación reportada por la institución educativa.</v>
      </c>
      <c r="K1286" s="11" t="str">
        <f>IFERROR(IF(VLOOKUP(A1286,[8]PRIORIZADOS!$A:$K,11,FALSE)="","",VLOOKUP(A1286,[8]PRIORIZADOS!$A:$K,11,FALSE)),"")</f>
        <v>LUCY GONZÁLEZ LERMA</v>
      </c>
      <c r="L1286" s="11" t="str">
        <f>IFERROR(IF(VLOOKUP(A1286,[8]PRIORIZADOS!$A:$L,12,FALSE)="","",VLOOKUP(A1286,[8]PRIORIZADOS!$A:$L,12,FALSE)),"")</f>
        <v>VIVANA PILAR BOHÓRQUEZ DÍAZ</v>
      </c>
      <c r="M1286" s="71">
        <f>IFERROR(IF(VLOOKUP(A1286,[8]PRIORIZADOS!$A:$M,13,FALSE)="","",VLOOKUP(A1286,[8]PRIORIZADOS!$A:$M,13,FALSE)),"")</f>
        <v>45881</v>
      </c>
      <c r="N1286" s="71">
        <f>IFERROR(IF(VLOOKUP(A1286,[8]PRIORIZADOS!$A:$N,14,FALSE)="","",VLOOKUP(A1286,[8]PRIORIZADOS!$A:$N,14,FALSE)),"")</f>
        <v>45881</v>
      </c>
      <c r="O1286" s="71">
        <f>IFERROR(IF(VLOOKUP(A1286,[8]PRIORIZADOS!$A:$O,15,FALSE)="","",VLOOKUP(A1286,[8]PRIORIZADOS!$A:$O,15,FALSE)),"")</f>
        <v>45881</v>
      </c>
      <c r="P1286" s="11" t="str">
        <f>IFERROR(IF(VLOOKUP(A1286,[8]PRIORIZADOS!$A:$P,16,FALSE)="","",VLOOKUP(A1286,[8]PRIORIZADOS!$A:$P,16,FALSE)),"")</f>
        <v>Visitas de evaluación con fines de mejoramiento</v>
      </c>
      <c r="Q1286" s="134" t="s">
        <v>261</v>
      </c>
      <c r="R1286" s="11" t="str">
        <f>IFERROR(IF(VLOOKUP(A1286,[8]PRIORIZADOS!$A:$R,18,FALSE)="","",VLOOKUP(A1286,[8]PRIORIZADOS!$A:$R,18,FALSE)),"")</f>
        <v>Se encuentra conformado el gobierno escolar y cumple normativamente, sin embargo, falta Movilizar las instancias de gobierno escolar y las instancias de participación de acuerdo con sus funciones</v>
      </c>
      <c r="S1286" s="11" t="str">
        <f>IFERROR(IF(VLOOKUP(A1286,[8]PRIORIZADOS!$A:$S,19,FALSE)="","",VLOOKUP(A1286,[8]PRIORIZADOS!$A:$S,19,FALSE)),"")</f>
        <v>Garantizar la movilización y  operatividad del Gobierno Escolar</v>
      </c>
      <c r="T1286" s="70" t="str">
        <f>IFERROR(IF(VLOOKUP(A1286,[8]PRIORIZADOS!$A:$T,20,FALSE)="","",VLOOKUP(A1286,[8]PRIORIZADOS!$A:$T,20,FALSE)),"")</f>
        <v>Si</v>
      </c>
      <c r="U1286" s="11" t="str">
        <f>IFERROR(IF(VLOOKUP(A1286,[8]PRIORIZADOS!$A:$U,21,FALSE)="","",VLOOKUP(A1286,[8]PRIORIZADOS!$A:$U,21,FALSE)),"")</f>
        <v>Se dará continuidad al seguimiento mediante el plan de mejoramiento.  Se realiza mesa de seguimiento el día 22 de septiembre 2025. El cinco de diciembre se validará el cumplimiento total del plan de mejoramiento.</v>
      </c>
    </row>
    <row r="1287" spans="1:21" s="1" customFormat="1" ht="166.5">
      <c r="A1287" s="69">
        <f>IF([8]PRIORIZADOS!A267="","",[8]PRIORIZADOS!A267)</f>
        <v>2797</v>
      </c>
      <c r="B1287" s="70">
        <v>40</v>
      </c>
      <c r="C1287" s="11" t="str">
        <f>IFERROR(IF(VLOOKUP(A1287,[8]PRIORIZADOS!$A:$C,3,FALSE)="","",VLOOKUP(A1287,[8]PRIORIZADOS!$A:$C,3,FALSE)),"")</f>
        <v>KENNEDY</v>
      </c>
      <c r="D1287" s="11" t="str">
        <f>IFERROR(IF(VLOOKUP(A1287,[8]PRIORIZADOS!$A:$D,4,FALSE)="","",VLOOKUP(A1287,[8]PRIORIZADOS!$A:$D,4,FALSE)),"")</f>
        <v>PRIVADO</v>
      </c>
      <c r="E1287" s="11" t="str">
        <f>IFERROR(IF(VLOOKUP(A1287,[8]PRIORIZADOS!$A:$E,5,FALSE)="","",VLOOKUP(A1287,[8]PRIORIZADOS!$A:$E,5,FALSE)),"")</f>
        <v>EPBM</v>
      </c>
      <c r="F1287" s="11" t="str">
        <f>IFERROR(IF(VLOOKUP(A1287,[8]PRIORIZADOS!$A:$F,6,FALSE)="","",VLOOKUP(A1287,[8]PRIORIZADOS!$A:$F,6,FALSE)),"")</f>
        <v>LICEO_PIÑEROS_CORTES</v>
      </c>
      <c r="G1287" s="11" t="str">
        <f>IFERROR(IF(VLOOKUP(A1287,[8]PRIORIZADOS!$A:$G,7,FALSE)="","",VLOOKUP(A1287,[8]PRIORIZADOS!$A:$G,7,FALSE)),"")</f>
        <v>LICEO PIÑEROS CORTES</v>
      </c>
      <c r="H1287" s="11" t="str">
        <f>IFERROR(IF(VLOOKUP(A1287,[8]PRIORIZADOS!$A:$H,8,FALSE)="","",VLOOKUP(A1287,[8]PRIORIZADOS!$A:$H,8,FALSE)),"")</f>
        <v>Autoevaluación Institucional y Pruebas SABER 11</v>
      </c>
      <c r="I1287" s="11" t="str">
        <f>IFERROR(IF(VLOOKUP(A1287,[8]PRIORIZADOS!$A:$I,9,FALSE)="","",VLOOKUP(A1287,[8]PRIORIZADOS!$A:$I,9,FALSE)),"")</f>
        <v>EVALUACIÓN_CON_FINES_DE_MEJORAMIENTO.</v>
      </c>
      <c r="J1287" s="11" t="str">
        <f>IFERROR(IF(VLOOKUP(A1287,[8]PRIORIZADOS!$A:$J,10,FALSE)="","",VLOOKUP(A1287,[8]PRIORIZADOS!$A:$J,10,FALSE)),"")</f>
        <v>Verificar las condiciones en cuanto a: la estructura administrativa, condiciones de la planta física y medios educativos adecuados.</v>
      </c>
      <c r="K1287" s="11" t="str">
        <f>IFERROR(IF(VLOOKUP(A1287,[8]PRIORIZADOS!$A:$K,11,FALSE)="","",VLOOKUP(A1287,[8]PRIORIZADOS!$A:$K,11,FALSE)),"")</f>
        <v>LUCY GONZÁLEZ LERMA</v>
      </c>
      <c r="L1287" s="11" t="str">
        <f>IFERROR(IF(VLOOKUP(A1287,[8]PRIORIZADOS!$A:$L,12,FALSE)="","",VLOOKUP(A1287,[8]PRIORIZADOS!$A:$L,12,FALSE)),"")</f>
        <v>VIVANA PILAR BOHÓRQUEZ DÍAZ</v>
      </c>
      <c r="M1287" s="71">
        <f>IFERROR(IF(VLOOKUP(A1287,[8]PRIORIZADOS!$A:$M,13,FALSE)="","",VLOOKUP(A1287,[8]PRIORIZADOS!$A:$M,13,FALSE)),"")</f>
        <v>45881</v>
      </c>
      <c r="N1287" s="71">
        <f>IFERROR(IF(VLOOKUP(A1287,[8]PRIORIZADOS!$A:$N,14,FALSE)="","",VLOOKUP(A1287,[8]PRIORIZADOS!$A:$N,14,FALSE)),"")</f>
        <v>45881</v>
      </c>
      <c r="O1287" s="71">
        <f>IFERROR(IF(VLOOKUP(A1287,[8]PRIORIZADOS!$A:$O,15,FALSE)="","",VLOOKUP(A1287,[8]PRIORIZADOS!$A:$O,15,FALSE)),"")</f>
        <v>45881</v>
      </c>
      <c r="P1287" s="11" t="str">
        <f>IFERROR(IF(VLOOKUP(A1287,[8]PRIORIZADOS!$A:$P,16,FALSE)="","",VLOOKUP(A1287,[8]PRIORIZADOS!$A:$P,16,FALSE)),"")</f>
        <v>Visitas de evaluación con fines de mejoramiento</v>
      </c>
      <c r="Q1287" s="191" t="s">
        <v>261</v>
      </c>
      <c r="R1287" s="11" t="str">
        <f>IFERROR(IF(VLOOKUP(A1287,[8]PRIORIZADOS!$A:$R,18,FALSE)="","",VLOOKUP(A1287,[8]PRIORIZADOS!$A:$R,18,FALSE)),"")</f>
        <v>Cumple en general con las condiciones de estructura administrativa, de la planta física, mobiliario, equipos de cómputo, medios educativos y tecnológicos  adecuadas  condiciones iluminación y ventilación. sin embargo, aun aula de física sujeta a la adecuación y organización, puesto que hay un mueble que representa riesgo para las y los estudiantes. Al frente del colegio cuentan con un parque amplio, sin embargo deben adelantar el tramite de ambientes compartidos de acuerdo con lo establecido en la Resolución 1326 de 2023.</v>
      </c>
      <c r="S1287" s="11" t="str">
        <f>IFERROR(IF(VLOOKUP(A1287,[8]PRIORIZADOS!$A:$S,19,FALSE)="","",VLOOKUP(A1287,[8]PRIORIZADOS!$A:$S,19,FALSE)),"")</f>
        <v>Mantener  adecuadas condiciones de planta física, realizar el mantenimiento locativo y organización aula de física, gestionar el trámite de ambientes compartidos.</v>
      </c>
      <c r="T1287" s="70" t="str">
        <f>IFERROR(IF(VLOOKUP(A1287,[8]PRIORIZADOS!$A:$T,20,FALSE)="","",VLOOKUP(A1287,[8]PRIORIZADOS!$A:$T,20,FALSE)),"")</f>
        <v>Si</v>
      </c>
      <c r="U1287" s="11" t="str">
        <f>IFERROR(IF(VLOOKUP(A1287,[8]PRIORIZADOS!$A:$U,21,FALSE)="","",VLOOKUP(A1287,[8]PRIORIZADOS!$A:$U,21,FALSE)),"")</f>
        <v>Verificar que además de mantener condiciones adecuadas en su planta física, realicen la adecuación del aula de física y adelanten los trámites de ambientes compartidos.  Se realiza mesa de seguimiento el día 22 de septiembre 2025. El cinco de diciembre se validará el cumplimiento total del plan de mejoramiento.</v>
      </c>
    </row>
    <row r="1288" spans="1:21" s="1" customFormat="1" ht="36">
      <c r="A1288" s="69">
        <f>IF([8]PRIORIZADOS!A268="","",[8]PRIORIZADOS!A268)</f>
        <v>1230</v>
      </c>
      <c r="B1288" s="70">
        <f>IFERROR(IF(VLOOKUP(A1288,[8]PRIORIZADOS!$A:$B,2,FALSE)="","",VLOOKUP(A1288,[8]PRIORIZADOS!$A:$B,2,FALSE)),"")</f>
        <v>41</v>
      </c>
      <c r="C1288" s="11" t="str">
        <f>IFERROR(IF(VLOOKUP(A1288,[8]PRIORIZADOS!$A:$C,3,FALSE)="","",VLOOKUP(A1288,[8]PRIORIZADOS!$A:$C,3,FALSE)),"")</f>
        <v>KENNEDY</v>
      </c>
      <c r="D1288" s="11" t="str">
        <f>IFERROR(IF(VLOOKUP(A1288,[8]PRIORIZADOS!$A:$D,4,FALSE)="","",VLOOKUP(A1288,[8]PRIORIZADOS!$A:$D,4,FALSE)),"")</f>
        <v>PRIVADO</v>
      </c>
      <c r="E1288" s="11" t="str">
        <f>IFERROR(IF(VLOOKUP(A1288,[8]PRIORIZADOS!$A:$E,5,FALSE)="","",VLOOKUP(A1288,[8]PRIORIZADOS!$A:$E,5,FALSE)),"")</f>
        <v>EPBM</v>
      </c>
      <c r="F1288" s="11" t="str">
        <f>IFERROR(IF(VLOOKUP(A1288,[8]PRIORIZADOS!$A:$F,6,FALSE)="","",VLOOKUP(A1288,[8]PRIORIZADOS!$A:$F,6,FALSE)),"")</f>
        <v>LICEO_REYNEL</v>
      </c>
      <c r="G1288" s="11" t="str">
        <f>IFERROR(IF(VLOOKUP(A1288,[8]PRIORIZADOS!$A:$G,7,FALSE)="","",VLOOKUP(A1288,[8]PRIORIZADOS!$A:$G,7,FALSE)),"")</f>
        <v>LICEO REYNEL</v>
      </c>
      <c r="H1288" s="11" t="str">
        <f>IFERROR(IF(VLOOKUP(A1288,[8]PRIORIZADOS!$A:$H,8,FALSE)="","",VLOOKUP(A1288,[8]PRIORIZADOS!$A:$H,8,FALSE)),"")</f>
        <v>Autoevaluación Institucional y Pruebas SABER 11</v>
      </c>
      <c r="I1288" s="11" t="str">
        <f>IFERROR(IF(VLOOKUP(A1288,[8]PRIORIZADOS!$A:$I,9,FALSE)="","",VLOOKUP(A1288,[8]PRIORIZADOS!$A:$I,9,FALSE)),"")</f>
        <v>SEGUIMIENTO_Y_SUPERVISIÓN.</v>
      </c>
      <c r="J1288" s="11" t="str">
        <f>IFERROR(IF(VLOOKUP(A1288,[8]PRIORIZADOS!$A:$J,10,FALSE)="","",VLOOKUP(A1288,[8]PRIORIZADOS!$A:$J,10,FALSE)),"")</f>
        <v>Realizar visitas para verificar la información registrada sobre la autoevaluación institucional en el aplicativo EVI, a los establecimientos de educación formal no oficial.</v>
      </c>
      <c r="K1288" s="11" t="str">
        <f>IFERROR(IF(VLOOKUP(A1288,[8]PRIORIZADOS!$A:$K,11,FALSE)="","",VLOOKUP(A1288,[8]PRIORIZADOS!$A:$K,11,FALSE)),"")</f>
        <v>INGRID VIVIANA DÁVILA ÁVILA</v>
      </c>
      <c r="L1288" s="11" t="str">
        <f>IFERROR(IF(VLOOKUP(A1288,[8]PRIORIZADOS!$A:$L,12,FALSE)="","",VLOOKUP(A1288,[8]PRIORIZADOS!$A:$L,12,FALSE)),"")</f>
        <v xml:space="preserve">DIANA ZULAY HUERTAS ORTÍZ </v>
      </c>
      <c r="M1288" s="71">
        <f>IFERROR(IF(VLOOKUP(A1288,[8]PRIORIZADOS!$A:$M,13,FALSE)="","",VLOOKUP(A1288,[8]PRIORIZADOS!$A:$M,13,FALSE)),"")</f>
        <v>45882</v>
      </c>
      <c r="N1288" s="71">
        <f>IFERROR(IF(VLOOKUP(A1288,[8]PRIORIZADOS!$A:$N,14,FALSE)="","",VLOOKUP(A1288,[8]PRIORIZADOS!$A:$N,14,FALSE)),"")</f>
        <v>45882</v>
      </c>
      <c r="O1288" s="71">
        <f>IFERROR(IF(VLOOKUP(A1288,[8]PRIORIZADOS!$A:$O,15,FALSE)="","",VLOOKUP(A1288,[8]PRIORIZADOS!$A:$O,15,FALSE)),"")</f>
        <v>45882</v>
      </c>
      <c r="P1288" s="11" t="str">
        <f>IFERROR(IF(VLOOKUP(A1288,[8]PRIORIZADOS!$A:$P,16,FALSE)="","",VLOOKUP(A1288,[8]PRIORIZADOS!$A:$P,16,FALSE)),"")</f>
        <v>Visitas de evaluación con fines de mejoramiento</v>
      </c>
      <c r="Q1288" s="161" t="s">
        <v>262</v>
      </c>
      <c r="R1288" s="11" t="str">
        <f>IFERROR(IF(VLOOKUP(A1288,[8]PRIORIZADOS!$A:$R,18,FALSE)="","",VLOOKUP(A1288,[8]PRIORIZADOS!$A:$R,18,FALSE)),"")</f>
        <v>La EE registra información en el aplicativo EVI, que da cuenta de la realidad institucional</v>
      </c>
      <c r="S1288" s="11" t="str">
        <f>IFERROR(IF(VLOOKUP(A1288,[8]PRIORIZADOS!$A:$S,19,FALSE)="","",VLOOKUP(A1288,[8]PRIORIZADOS!$A:$S,19,FALSE)),"")</f>
        <v>Continuar reportando en el aplicativo información que da cuenta de la realidad institucional.</v>
      </c>
      <c r="T1288" s="70" t="str">
        <f>IFERROR(IF(VLOOKUP(A1288,[8]PRIORIZADOS!$A:$T,20,FALSE)="","",VLOOKUP(A1288,[8]PRIORIZADOS!$A:$T,20,FALSE)),"")</f>
        <v>No</v>
      </c>
      <c r="U1288" s="11" t="str">
        <f>IFERROR(IF(VLOOKUP(A1288,[8]PRIORIZADOS!$A:$U,21,FALSE)="","",VLOOKUP(A1288,[8]PRIORIZADOS!$A:$U,21,FALSE)),"")</f>
        <v>El ELIV, verificará en la próxima vigencia que la información registrada en el EVI da cuenta de la realidad institucional.</v>
      </c>
    </row>
    <row r="1289" spans="1:21" s="1" customFormat="1" ht="72">
      <c r="A1289" s="69">
        <f>IF([8]PRIORIZADOS!A269="","",[8]PRIORIZADOS!A269)</f>
        <v>1231</v>
      </c>
      <c r="B1289" s="70">
        <v>41</v>
      </c>
      <c r="C1289" s="11" t="str">
        <f>IFERROR(IF(VLOOKUP(A1289,[8]PRIORIZADOS!$A:$C,3,FALSE)="","",VLOOKUP(A1289,[8]PRIORIZADOS!$A:$C,3,FALSE)),"")</f>
        <v>KENNEDY</v>
      </c>
      <c r="D1289" s="11" t="str">
        <f>IFERROR(IF(VLOOKUP(A1289,[8]PRIORIZADOS!$A:$D,4,FALSE)="","",VLOOKUP(A1289,[8]PRIORIZADOS!$A:$D,4,FALSE)),"")</f>
        <v>PRIVADO</v>
      </c>
      <c r="E1289" s="11" t="str">
        <f>IFERROR(IF(VLOOKUP(A1289,[8]PRIORIZADOS!$A:$E,5,FALSE)="","",VLOOKUP(A1289,[8]PRIORIZADOS!$A:$E,5,FALSE)),"")</f>
        <v>EPBM</v>
      </c>
      <c r="F1289" s="11" t="str">
        <f>IFERROR(IF(VLOOKUP(A1289,[8]PRIORIZADOS!$A:$F,6,FALSE)="","",VLOOKUP(A1289,[8]PRIORIZADOS!$A:$F,6,FALSE)),"")</f>
        <v>LICEO_REYNEL</v>
      </c>
      <c r="G1289" s="11" t="str">
        <f>IFERROR(IF(VLOOKUP(A1289,[8]PRIORIZADOS!$A:$G,7,FALSE)="","",VLOOKUP(A1289,[8]PRIORIZADOS!$A:$G,7,FALSE)),"")</f>
        <v>LICEO REYNEL</v>
      </c>
      <c r="H1289" s="11" t="str">
        <f>IFERROR(IF(VLOOKUP(A1289,[8]PRIORIZADOS!$A:$H,8,FALSE)="","",VLOOKUP(A1289,[8]PRIORIZADOS!$A:$H,8,FALSE)),"")</f>
        <v>Autoevaluación Institucional y Pruebas SABER 11</v>
      </c>
      <c r="I1289" s="11" t="str">
        <f>IFERROR(IF(VLOOKUP(A1289,[8]PRIORIZADOS!$A:$I,9,FALSE)="","",VLOOKUP(A1289,[8]PRIORIZADOS!$A:$I,9,FALSE)),"")</f>
        <v>SEGUIMIENTO_Y_SUPERVISIÓN.</v>
      </c>
      <c r="J1289" s="11" t="str">
        <f>IFERROR(IF(VLOOKUP(A1289,[8]PRIORIZADOS!$A:$J,10,FALSE)="","",VLOOKUP(A1289,[8]PRIORIZADOS!$A:$J,10,FALSE)),"")</f>
        <v>Proponer estrategias en la formulación, verificar su elaboración y realizar seguimiento semestral al desarrollo de  las acciones establecidas en los planes de mejoramiento por pruebas SABER 11 de los establecimientos de educación formal.</v>
      </c>
      <c r="K1289" s="11" t="str">
        <f>IFERROR(IF(VLOOKUP(A1289,[8]PRIORIZADOS!$A:$K,11,FALSE)="","",VLOOKUP(A1289,[8]PRIORIZADOS!$A:$K,11,FALSE)),"")</f>
        <v>INGRID VIVIANA DÁVILA ÁVILA</v>
      </c>
      <c r="L1289" s="11" t="str">
        <f>IFERROR(IF(VLOOKUP(A1289,[8]PRIORIZADOS!$A:$L,12,FALSE)="","",VLOOKUP(A1289,[8]PRIORIZADOS!$A:$L,12,FALSE)),"")</f>
        <v xml:space="preserve">DIANA ZULAY HUERTAS ORTÍZ </v>
      </c>
      <c r="M1289" s="71">
        <f>IFERROR(IF(VLOOKUP(A1289,[8]PRIORIZADOS!$A:$M,13,FALSE)="","",VLOOKUP(A1289,[8]PRIORIZADOS!$A:$M,13,FALSE)),"")</f>
        <v>45882</v>
      </c>
      <c r="N1289" s="71">
        <f>IFERROR(IF(VLOOKUP(A1289,[8]PRIORIZADOS!$A:$N,14,FALSE)="","",VLOOKUP(A1289,[8]PRIORIZADOS!$A:$N,14,FALSE)),"")</f>
        <v>45882</v>
      </c>
      <c r="O1289" s="71">
        <f>IFERROR(IF(VLOOKUP(A1289,[8]PRIORIZADOS!$A:$O,15,FALSE)="","",VLOOKUP(A1289,[8]PRIORIZADOS!$A:$O,15,FALSE)),"")</f>
        <v>45882</v>
      </c>
      <c r="P1289" s="11" t="str">
        <f>IFERROR(IF(VLOOKUP(A1289,[8]PRIORIZADOS!$A:$P,16,FALSE)="","",VLOOKUP(A1289,[8]PRIORIZADOS!$A:$P,16,FALSE)),"")</f>
        <v>Visitas de evaluación con fines de mejoramiento</v>
      </c>
      <c r="Q1289" s="160" t="s">
        <v>262</v>
      </c>
      <c r="R1289" s="11" t="str">
        <f>IFERROR(IF(VLOOKUP(A1289,[8]PRIORIZADOS!$A:$R,18,FALSE)="","",VLOOKUP(A1289,[8]PRIORIZADOS!$A:$R,18,FALSE)),"")</f>
        <v>La IE  ha realizado el análisis de los últimos resultados de pruebas SABER 11. No se han propuesto estrategias de mejoramiento desde el consejo académico.</v>
      </c>
      <c r="S1289" s="11" t="str">
        <f>IFERROR(IF(VLOOKUP(A1289,[8]PRIORIZADOS!$A:$S,19,FALSE)="","",VLOOKUP(A1289,[8]PRIORIZADOS!$A:$S,19,FALSE)),"")</f>
        <v>Realizar el análisis de los últimos resultados de pruebas SABER 11 y establecer estrategias de mejoramiento para superar esos resultados que incluya estrategias en el plan de estudios y el análisis del consejo académico.</v>
      </c>
      <c r="T1289" s="70" t="str">
        <f>IFERROR(IF(VLOOKUP(A1289,[8]PRIORIZADOS!$A:$T,20,FALSE)="","",VLOOKUP(A1289,[8]PRIORIZADOS!$A:$T,20,FALSE)),"")</f>
        <v>Si</v>
      </c>
      <c r="U1289" s="11" t="str">
        <f>IFERROR(IF(VLOOKUP(A1289,[8]PRIORIZADOS!$A:$U,21,FALSE)="","",VLOOKUP(A1289,[8]PRIORIZADOS!$A:$U,21,FALSE)),"")</f>
        <v>Validar las acciones realizadas por la institución educativa con respecto al análisis de los resultados pruebas SABER 11 y estrategias de mejoramiento.  Se realiza mesa de seguimiento el día 22 de septiembre 2025. El 27 de febrero se validará el cumplimiento total del plan de mejoramiento.</v>
      </c>
    </row>
    <row r="1290" spans="1:21" s="1" customFormat="1" ht="48">
      <c r="A1290" s="69">
        <f>IF([8]PRIORIZADOS!A270="","",[8]PRIORIZADOS!A270)</f>
        <v>1232</v>
      </c>
      <c r="B1290" s="70">
        <v>41</v>
      </c>
      <c r="C1290" s="11" t="str">
        <f>IFERROR(IF(VLOOKUP(A1290,[8]PRIORIZADOS!$A:$C,3,FALSE)="","",VLOOKUP(A1290,[8]PRIORIZADOS!$A:$C,3,FALSE)),"")</f>
        <v>KENNEDY</v>
      </c>
      <c r="D1290" s="11" t="str">
        <f>IFERROR(IF(VLOOKUP(A1290,[8]PRIORIZADOS!$A:$D,4,FALSE)="","",VLOOKUP(A1290,[8]PRIORIZADOS!$A:$D,4,FALSE)),"")</f>
        <v>PRIVADO</v>
      </c>
      <c r="E1290" s="11" t="str">
        <f>IFERROR(IF(VLOOKUP(A1290,[8]PRIORIZADOS!$A:$E,5,FALSE)="","",VLOOKUP(A1290,[8]PRIORIZADOS!$A:$E,5,FALSE)),"")</f>
        <v>EPBM</v>
      </c>
      <c r="F1290" s="11" t="str">
        <f>IFERROR(IF(VLOOKUP(A1290,[8]PRIORIZADOS!$A:$F,6,FALSE)="","",VLOOKUP(A1290,[8]PRIORIZADOS!$A:$F,6,FALSE)),"")</f>
        <v>LICEO_REYNEL</v>
      </c>
      <c r="G1290" s="11" t="str">
        <f>IFERROR(IF(VLOOKUP(A1290,[8]PRIORIZADOS!$A:$G,7,FALSE)="","",VLOOKUP(A1290,[8]PRIORIZADOS!$A:$G,7,FALSE)),"")</f>
        <v>LICEO REYNEL</v>
      </c>
      <c r="H1290" s="11" t="str">
        <f>IFERROR(IF(VLOOKUP(A1290,[8]PRIORIZADOS!$A:$H,8,FALSE)="","",VLOOKUP(A1290,[8]PRIORIZADOS!$A:$H,8,FALSE)),"")</f>
        <v>Autoevaluación Institucional y Pruebas SABER 11</v>
      </c>
      <c r="I1290" s="11" t="str">
        <f>IFERROR(IF(VLOOKUP(A1290,[8]PRIORIZADOS!$A:$I,9,FALSE)="","",VLOOKUP(A1290,[8]PRIORIZADOS!$A:$I,9,FALSE)),"")</f>
        <v>SEGUIMIENTO_Y_SUPERVISIÓN.</v>
      </c>
      <c r="J1290" s="11" t="str">
        <f>IFERROR(IF(VLOOKUP(A1290,[8]PRIORIZADOS!$A:$J,10,FALSE)="","",VLOOKUP(A1290,[8]PRIORIZADOS!$A:$J,10,FALSE)),"")</f>
        <v xml:space="preserve">Verificar la implementación por parte de los colegios, de acciones realizadas para la prevención y atención de las situaciones de convivencia en el entorno escolar, según lo establecido en la Directiva 01 de 2022 del MEN. </v>
      </c>
      <c r="K1290" s="11" t="str">
        <f>IFERROR(IF(VLOOKUP(A1290,[8]PRIORIZADOS!$A:$K,11,FALSE)="","",VLOOKUP(A1290,[8]PRIORIZADOS!$A:$K,11,FALSE)),"")</f>
        <v>INGRID VIVIANA DÁVILA ÁVILA</v>
      </c>
      <c r="L1290" s="11" t="str">
        <f>IFERROR(IF(VLOOKUP(A1290,[8]PRIORIZADOS!$A:$L,12,FALSE)="","",VLOOKUP(A1290,[8]PRIORIZADOS!$A:$L,12,FALSE)),"")</f>
        <v xml:space="preserve">DIANA ZULAY HUERTAS ORTÍZ </v>
      </c>
      <c r="M1290" s="71">
        <f>IFERROR(IF(VLOOKUP(A1290,[8]PRIORIZADOS!$A:$M,13,FALSE)="","",VLOOKUP(A1290,[8]PRIORIZADOS!$A:$M,13,FALSE)),"")</f>
        <v>45882</v>
      </c>
      <c r="N1290" s="71">
        <f>IFERROR(IF(VLOOKUP(A1290,[8]PRIORIZADOS!$A:$N,14,FALSE)="","",VLOOKUP(A1290,[8]PRIORIZADOS!$A:$N,14,FALSE)),"")</f>
        <v>45882</v>
      </c>
      <c r="O1290" s="71">
        <f>IFERROR(IF(VLOOKUP(A1290,[8]PRIORIZADOS!$A:$O,15,FALSE)="","",VLOOKUP(A1290,[8]PRIORIZADOS!$A:$O,15,FALSE)),"")</f>
        <v>45882</v>
      </c>
      <c r="P1290" s="11" t="str">
        <f>IFERROR(IF(VLOOKUP(A1290,[8]PRIORIZADOS!$A:$P,16,FALSE)="","",VLOOKUP(A1290,[8]PRIORIZADOS!$A:$P,16,FALSE)),"")</f>
        <v>Visitas de evaluación con fines de mejoramiento</v>
      </c>
      <c r="Q1290" s="161" t="s">
        <v>262</v>
      </c>
      <c r="R1290" s="11" t="str">
        <f>IFERROR(IF(VLOOKUP(A1290,[8]PRIORIZADOS!$A:$R,18,FALSE)="","",VLOOKUP(A1290,[8]PRIORIZADOS!$A:$R,18,FALSE)),"")</f>
        <v xml:space="preserve">La EI cuenta con un plan de promoción y prevención de situaciones que afectan la convivencia. </v>
      </c>
      <c r="S1290" s="11" t="str">
        <f>IFERROR(IF(VLOOKUP(A1290,[8]PRIORIZADOS!$A:$S,19,FALSE)="","",VLOOKUP(A1290,[8]PRIORIZADOS!$A:$S,19,FALSE)),"")</f>
        <v>Planear y ejecutar anualmente un plan de acción que dé cuenta de las acciones de promoción y prevención de situaciones que afectan la convivencia .</v>
      </c>
      <c r="T1290" s="70" t="str">
        <f>IFERROR(IF(VLOOKUP(A1290,[8]PRIORIZADOS!$A:$T,20,FALSE)="","",VLOOKUP(A1290,[8]PRIORIZADOS!$A:$T,20,FALSE)),"")</f>
        <v>No</v>
      </c>
      <c r="U1290" s="11" t="str">
        <f>IFERROR(IF(VLOOKUP(A1290,[8]PRIORIZADOS!$A:$U,21,FALSE)="","",VLOOKUP(A1290,[8]PRIORIZADOS!$A:$U,21,FALSE)),"")</f>
        <v xml:space="preserve">El ELIV, verificará la ejecución y evaluación del plan de acción para la promoción de la convivencia escolar. </v>
      </c>
    </row>
    <row r="1291" spans="1:21" s="1" customFormat="1" ht="72">
      <c r="A1291" s="69">
        <f>IF([8]PRIORIZADOS!A271="","",[8]PRIORIZADOS!A271)</f>
        <v>1233</v>
      </c>
      <c r="B1291" s="70">
        <v>41</v>
      </c>
      <c r="C1291" s="11" t="str">
        <f>IFERROR(IF(VLOOKUP(A1291,[8]PRIORIZADOS!$A:$C,3,FALSE)="","",VLOOKUP(A1291,[8]PRIORIZADOS!$A:$C,3,FALSE)),"")</f>
        <v>KENNEDY</v>
      </c>
      <c r="D1291" s="11" t="str">
        <f>IFERROR(IF(VLOOKUP(A1291,[8]PRIORIZADOS!$A:$D,4,FALSE)="","",VLOOKUP(A1291,[8]PRIORIZADOS!$A:$D,4,FALSE)),"")</f>
        <v>PRIVADO</v>
      </c>
      <c r="E1291" s="11" t="str">
        <f>IFERROR(IF(VLOOKUP(A1291,[8]PRIORIZADOS!$A:$E,5,FALSE)="","",VLOOKUP(A1291,[8]PRIORIZADOS!$A:$E,5,FALSE)),"")</f>
        <v>EPBM</v>
      </c>
      <c r="F1291" s="11" t="str">
        <f>IFERROR(IF(VLOOKUP(A1291,[8]PRIORIZADOS!$A:$F,6,FALSE)="","",VLOOKUP(A1291,[8]PRIORIZADOS!$A:$F,6,FALSE)),"")</f>
        <v>LICEO_REYNEL</v>
      </c>
      <c r="G1291" s="11" t="str">
        <f>IFERROR(IF(VLOOKUP(A1291,[8]PRIORIZADOS!$A:$G,7,FALSE)="","",VLOOKUP(A1291,[8]PRIORIZADOS!$A:$G,7,FALSE)),"")</f>
        <v>LICEO REYNEL</v>
      </c>
      <c r="H1291" s="11" t="str">
        <f>IFERROR(IF(VLOOKUP(A1291,[8]PRIORIZADOS!$A:$H,8,FALSE)="","",VLOOKUP(A1291,[8]PRIORIZADOS!$A:$H,8,FALSE)),"")</f>
        <v>Autoevaluación Institucional y Pruebas SABER 11</v>
      </c>
      <c r="I1291" s="11" t="str">
        <f>IFERROR(IF(VLOOKUP(A1291,[8]PRIORIZADOS!$A:$I,9,FALSE)="","",VLOOKUP(A1291,[8]PRIORIZADOS!$A:$I,9,FALSE)),"")</f>
        <v>SEGUIMIENTO_Y_SUPERVISIÓN.</v>
      </c>
      <c r="J1291" s="11" t="str">
        <f>IFERROR(IF(VLOOKUP(A1291,[8]PRIORIZADOS!$A:$J,10,FALSE)="","",VLOOKUP(A1291,[8]PRIORIZADOS!$A:$J,10,FALSE)),"")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291" s="11" t="str">
        <f>IFERROR(IF(VLOOKUP(A1291,[8]PRIORIZADOS!$A:$K,11,FALSE)="","",VLOOKUP(A1291,[8]PRIORIZADOS!$A:$K,11,FALSE)),"")</f>
        <v>INGRID VIVIANA DÁVILA ÁVILA</v>
      </c>
      <c r="L1291" s="11" t="str">
        <f>IFERROR(IF(VLOOKUP(A1291,[8]PRIORIZADOS!$A:$L,12,FALSE)="","",VLOOKUP(A1291,[8]PRIORIZADOS!$A:$L,12,FALSE)),"")</f>
        <v xml:space="preserve">DIANA ZULAY HUERTAS ORTÍZ </v>
      </c>
      <c r="M1291" s="71">
        <f>IFERROR(IF(VLOOKUP(A1291,[8]PRIORIZADOS!$A:$M,13,FALSE)="","",VLOOKUP(A1291,[8]PRIORIZADOS!$A:$M,13,FALSE)),"")</f>
        <v>45882</v>
      </c>
      <c r="N1291" s="71">
        <f>IFERROR(IF(VLOOKUP(A1291,[8]PRIORIZADOS!$A:$N,14,FALSE)="","",VLOOKUP(A1291,[8]PRIORIZADOS!$A:$N,14,FALSE)),"")</f>
        <v>45882</v>
      </c>
      <c r="O1291" s="71">
        <f>IFERROR(IF(VLOOKUP(A1291,[8]PRIORIZADOS!$A:$O,15,FALSE)="","",VLOOKUP(A1291,[8]PRIORIZADOS!$A:$O,15,FALSE)),"")</f>
        <v>45882</v>
      </c>
      <c r="P1291" s="11" t="str">
        <f>IFERROR(IF(VLOOKUP(A1291,[8]PRIORIZADOS!$A:$P,16,FALSE)="","",VLOOKUP(A1291,[8]PRIORIZADOS!$A:$P,16,FALSE)),"")</f>
        <v>Visitas de evaluación con fines de mejoramiento</v>
      </c>
      <c r="Q1291" s="192" t="s">
        <v>262</v>
      </c>
      <c r="R1291" s="11" t="str">
        <f>IFERROR(IF(VLOOKUP(A1291,[8]PRIORIZADOS!$A:$R,18,FALSE)="","",VLOOKUP(A1291,[8]PRIORIZADOS!$A:$R,18,FALSE)),"")</f>
        <v xml:space="preserve">La institución educativa tiene estudiantes con discapacidad y no tiene soportes del Plan Individual de Ajustes Razonables -PIAR y su respectivo seguimiento. </v>
      </c>
      <c r="S1291" s="11" t="str">
        <f>IFERROR(IF(VLOOKUP(A1291,[8]PRIORIZADOS!$A:$S,19,FALSE)="","",VLOOKUP(A1291,[8]PRIORIZADOS!$A:$S,19,FALSE)),"")</f>
        <v xml:space="preserve">Elaborar los Planes Individuales de Ajustes Razonables -PIAR de cada uno de los estudiantes caracterizados y realizar el respectivo seguimiento. </v>
      </c>
      <c r="T1291" s="70" t="str">
        <f>IFERROR(IF(VLOOKUP(A1291,[8]PRIORIZADOS!$A:$T,20,FALSE)="","",VLOOKUP(A1291,[8]PRIORIZADOS!$A:$T,20,FALSE)),"")</f>
        <v>Si</v>
      </c>
      <c r="U1291" s="11" t="str">
        <f>IFERROR(IF(VLOOKUP(A1291,[8]PRIORIZADOS!$A:$U,21,FALSE)="","",VLOOKUP(A1291,[8]PRIORIZADOS!$A:$U,21,FALSE)),"")</f>
        <v>Verificar que el cumplimiento de los  PIAR.  Se realiza mesa de seguimiento el día 22 de septiembre 2025. El 27 de febrero se validará el cumplimiento total del plan de mejoramiento.</v>
      </c>
    </row>
    <row r="1292" spans="1:21" s="1" customFormat="1" ht="84">
      <c r="A1292" s="69">
        <f>IF([8]PRIORIZADOS!A272="","",[8]PRIORIZADOS!A272)</f>
        <v>1234</v>
      </c>
      <c r="B1292" s="70">
        <v>41</v>
      </c>
      <c r="C1292" s="11" t="str">
        <f>IFERROR(IF(VLOOKUP(A1292,[8]PRIORIZADOS!$A:$C,3,FALSE)="","",VLOOKUP(A1292,[8]PRIORIZADOS!$A:$C,3,FALSE)),"")</f>
        <v>KENNEDY</v>
      </c>
      <c r="D1292" s="11" t="str">
        <f>IFERROR(IF(VLOOKUP(A1292,[8]PRIORIZADOS!$A:$D,4,FALSE)="","",VLOOKUP(A1292,[8]PRIORIZADOS!$A:$D,4,FALSE)),"")</f>
        <v>PRIVADO</v>
      </c>
      <c r="E1292" s="11" t="str">
        <f>IFERROR(IF(VLOOKUP(A1292,[8]PRIORIZADOS!$A:$E,5,FALSE)="","",VLOOKUP(A1292,[8]PRIORIZADOS!$A:$E,5,FALSE)),"")</f>
        <v>EPBM</v>
      </c>
      <c r="F1292" s="11" t="str">
        <f>IFERROR(IF(VLOOKUP(A1292,[8]PRIORIZADOS!$A:$F,6,FALSE)="","",VLOOKUP(A1292,[8]PRIORIZADOS!$A:$F,6,FALSE)),"")</f>
        <v>LICEO_REYNEL</v>
      </c>
      <c r="G1292" s="11" t="str">
        <f>IFERROR(IF(VLOOKUP(A1292,[8]PRIORIZADOS!$A:$G,7,FALSE)="","",VLOOKUP(A1292,[8]PRIORIZADOS!$A:$G,7,FALSE)),"")</f>
        <v>LICEO REYNEL</v>
      </c>
      <c r="H1292" s="11" t="str">
        <f>IFERROR(IF(VLOOKUP(A1292,[8]PRIORIZADOS!$A:$H,8,FALSE)="","",VLOOKUP(A1292,[8]PRIORIZADOS!$A:$H,8,FALSE)),"")</f>
        <v>Autoevaluación Institucional y Pruebas SABER 11</v>
      </c>
      <c r="I1292" s="11" t="str">
        <f>IFERROR(IF(VLOOKUP(A1292,[8]PRIORIZADOS!$A:$I,9,FALSE)="","",VLOOKUP(A1292,[8]PRIORIZADOS!$A:$I,9,FALSE)),"")</f>
        <v>EVALUACIÓN_CON_FINES_DE_MEJORAMIENTO.</v>
      </c>
      <c r="J1292" s="11" t="str">
        <f>IFERROR(IF(VLOOKUP(A1292,[8]PRIORIZADOS!$A:$J,10,FALSE)="","",VLOOKUP(A1292,[8]PRIORIZADOS!$A:$J,10,FALSE)),"")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292" s="11" t="str">
        <f>IFERROR(IF(VLOOKUP(A1292,[8]PRIORIZADOS!$A:$K,11,FALSE)="","",VLOOKUP(A1292,[8]PRIORIZADOS!$A:$K,11,FALSE)),"")</f>
        <v>INGRID VIVIANA DÁVILA ÁVILA</v>
      </c>
      <c r="L1292" s="11" t="str">
        <f>IFERROR(IF(VLOOKUP(A1292,[8]PRIORIZADOS!$A:$L,12,FALSE)="","",VLOOKUP(A1292,[8]PRIORIZADOS!$A:$L,12,FALSE)),"")</f>
        <v xml:space="preserve">DIANA ZULAY HUERTAS ORTÍZ </v>
      </c>
      <c r="M1292" s="71">
        <f>IFERROR(IF(VLOOKUP(A1292,[8]PRIORIZADOS!$A:$M,13,FALSE)="","",VLOOKUP(A1292,[8]PRIORIZADOS!$A:$M,13,FALSE)),"")</f>
        <v>45882</v>
      </c>
      <c r="N1292" s="71">
        <f>IFERROR(IF(VLOOKUP(A1292,[8]PRIORIZADOS!$A:$N,14,FALSE)="","",VLOOKUP(A1292,[8]PRIORIZADOS!$A:$N,14,FALSE)),"")</f>
        <v>45882</v>
      </c>
      <c r="O1292" s="71">
        <f>IFERROR(IF(VLOOKUP(A1292,[8]PRIORIZADOS!$A:$O,15,FALSE)="","",VLOOKUP(A1292,[8]PRIORIZADOS!$A:$O,15,FALSE)),"")</f>
        <v>45882</v>
      </c>
      <c r="P1292" s="11" t="str">
        <f>IFERROR(IF(VLOOKUP(A1292,[8]PRIORIZADOS!$A:$P,16,FALSE)="","",VLOOKUP(A1292,[8]PRIORIZADOS!$A:$P,16,FALSE)),"")</f>
        <v>Visitas de evaluación con fines de mejoramiento</v>
      </c>
      <c r="Q1292" s="161" t="s">
        <v>262</v>
      </c>
      <c r="R1292" s="11" t="str">
        <f>IFERROR(IF(VLOOKUP(A1292,[8]PRIORIZADOS!$A:$R,18,FALSE)="","",VLOOKUP(A1292,[8]PRIORIZADOS!$A:$R,18,FALSE)),"")</f>
        <v>La IE debe actualizar el manual de convivencia de acuerdo  con la normatividad vigente.</v>
      </c>
      <c r="S1292" s="11" t="str">
        <f>IFERROR(IF(VLOOKUP(A1292,[8]PRIORIZADOS!$A:$S,19,FALSE)="","",VLOOKUP(A1292,[8]PRIORIZADOS!$A:$S,19,FALSE)),"")</f>
        <v xml:space="preserve"> Actualizar de manera participativa el manual de convivencia de la institución teniendo los enfoques, la tipificación de situaciones y las faltas de acuerdo a la ley 1620 y decreto 1965.</v>
      </c>
      <c r="T1292" s="70" t="str">
        <f>IFERROR(IF(VLOOKUP(A1292,[8]PRIORIZADOS!$A:$T,20,FALSE)="","",VLOOKUP(A1292,[8]PRIORIZADOS!$A:$T,20,FALSE)),"")</f>
        <v>Si</v>
      </c>
      <c r="U1292" s="11" t="str">
        <f>IFERROR(IF(VLOOKUP(A1292,[8]PRIORIZADOS!$A:$U,21,FALSE)="","",VLOOKUP(A1292,[8]PRIORIZADOS!$A:$U,21,FALSE)),"")</f>
        <v>El ELIV verificará la actualización del manual de convivencia.  Se realiza mesa de seguimiento el día 22 de septiembre 2025. El 27 de febrero se validará el cumplimiento total del plan de mejoramiento.</v>
      </c>
    </row>
    <row r="1293" spans="1:21" s="1" customFormat="1" ht="48">
      <c r="A1293" s="69">
        <f>IF([8]PRIORIZADOS!A273="","",[8]PRIORIZADOS!A273)</f>
        <v>1235</v>
      </c>
      <c r="B1293" s="70">
        <v>41</v>
      </c>
      <c r="C1293" s="11" t="str">
        <f>IFERROR(IF(VLOOKUP(A1293,[8]PRIORIZADOS!$A:$C,3,FALSE)="","",VLOOKUP(A1293,[8]PRIORIZADOS!$A:$C,3,FALSE)),"")</f>
        <v>KENNEDY</v>
      </c>
      <c r="D1293" s="11" t="str">
        <f>IFERROR(IF(VLOOKUP(A1293,[8]PRIORIZADOS!$A:$D,4,FALSE)="","",VLOOKUP(A1293,[8]PRIORIZADOS!$A:$D,4,FALSE)),"")</f>
        <v>PRIVADO</v>
      </c>
      <c r="E1293" s="11" t="str">
        <f>IFERROR(IF(VLOOKUP(A1293,[8]PRIORIZADOS!$A:$E,5,FALSE)="","",VLOOKUP(A1293,[8]PRIORIZADOS!$A:$E,5,FALSE)),"")</f>
        <v>EPBM</v>
      </c>
      <c r="F1293" s="11" t="str">
        <f>IFERROR(IF(VLOOKUP(A1293,[8]PRIORIZADOS!$A:$F,6,FALSE)="","",VLOOKUP(A1293,[8]PRIORIZADOS!$A:$F,6,FALSE)),"")</f>
        <v>LICEO_REYNEL</v>
      </c>
      <c r="G1293" s="11" t="str">
        <f>IFERROR(IF(VLOOKUP(A1293,[8]PRIORIZADOS!$A:$G,7,FALSE)="","",VLOOKUP(A1293,[8]PRIORIZADOS!$A:$G,7,FALSE)),"")</f>
        <v>LICEO REYNEL</v>
      </c>
      <c r="H1293" s="11" t="str">
        <f>IFERROR(IF(VLOOKUP(A1293,[8]PRIORIZADOS!$A:$H,8,FALSE)="","",VLOOKUP(A1293,[8]PRIORIZADOS!$A:$H,8,FALSE)),"")</f>
        <v>Autoevaluación Institucional y Pruebas SABER 11</v>
      </c>
      <c r="I1293" s="11" t="str">
        <f>IFERROR(IF(VLOOKUP(A1293,[8]PRIORIZADOS!$A:$I,9,FALSE)="","",VLOOKUP(A1293,[8]PRIORIZADOS!$A:$I,9,FALSE)),"")</f>
        <v>EVALUACIÓN_CON_FINES_DE_MEJORAMIENTO.</v>
      </c>
      <c r="J1293" s="11" t="str">
        <f>IFERROR(IF(VLOOKUP(A1293,[8]PRIORIZADOS!$A:$J,10,FALSE)="","",VLOOKUP(A1293,[8]PRIORIZADOS!$A:$J,10,FALSE)),"")</f>
        <v>Revisar la actualización, socialización e implementación del Sistema Institucional de Evaluación de Estudiantes - SIEE, en articulación con la actualización del PEI y la normatividad vigente.</v>
      </c>
      <c r="K1293" s="11" t="str">
        <f>IFERROR(IF(VLOOKUP(A1293,[8]PRIORIZADOS!$A:$K,11,FALSE)="","",VLOOKUP(A1293,[8]PRIORIZADOS!$A:$K,11,FALSE)),"")</f>
        <v>INGRID VIVIANA DÁVILA ÁVILA</v>
      </c>
      <c r="L1293" s="11" t="str">
        <f>IFERROR(IF(VLOOKUP(A1293,[8]PRIORIZADOS!$A:$L,12,FALSE)="","",VLOOKUP(A1293,[8]PRIORIZADOS!$A:$L,12,FALSE)),"")</f>
        <v xml:space="preserve">DIANA ZULAY HUERTAS ORTÍZ </v>
      </c>
      <c r="M1293" s="71">
        <f>IFERROR(IF(VLOOKUP(A1293,[8]PRIORIZADOS!$A:$M,13,FALSE)="","",VLOOKUP(A1293,[8]PRIORIZADOS!$A:$M,13,FALSE)),"")</f>
        <v>45882</v>
      </c>
      <c r="N1293" s="71">
        <f>IFERROR(IF(VLOOKUP(A1293,[8]PRIORIZADOS!$A:$N,14,FALSE)="","",VLOOKUP(A1293,[8]PRIORIZADOS!$A:$N,14,FALSE)),"")</f>
        <v>45882</v>
      </c>
      <c r="O1293" s="71">
        <f>IFERROR(IF(VLOOKUP(A1293,[8]PRIORIZADOS!$A:$O,15,FALSE)="","",VLOOKUP(A1293,[8]PRIORIZADOS!$A:$O,15,FALSE)),"")</f>
        <v>45882</v>
      </c>
      <c r="P1293" s="11" t="str">
        <f>IFERROR(IF(VLOOKUP(A1293,[8]PRIORIZADOS!$A:$P,16,FALSE)="","",VLOOKUP(A1293,[8]PRIORIZADOS!$A:$P,16,FALSE)),"")</f>
        <v>Visitas de evaluación con fines de mejoramiento</v>
      </c>
      <c r="Q1293" s="160" t="s">
        <v>262</v>
      </c>
      <c r="R1293" s="11" t="str">
        <f>IFERROR(IF(VLOOKUP(A1293,[8]PRIORIZADOS!$A:$R,18,FALSE)="","",VLOOKUP(A1293,[8]PRIORIZADOS!$A:$R,18,FALSE)),"")</f>
        <v>El SIEE de la IE no desarrolla un proceso de valoración y seguimiento del aprendizaje de los estudiantes del nivel de preescolar.</v>
      </c>
      <c r="S1293" s="11" t="str">
        <f>IFERROR(IF(VLOOKUP(A1293,[8]PRIORIZADOS!$A:$S,19,FALSE)="","",VLOOKUP(A1293,[8]PRIORIZADOS!$A:$S,19,FALSE)),"")</f>
        <v>La IE debe incluir en el SIEE proceso de valoración y seguimiento del aprendizaje de los estudiantes del nivel de preescolar.</v>
      </c>
      <c r="T1293" s="70" t="str">
        <f>IFERROR(IF(VLOOKUP(A1293,[8]PRIORIZADOS!$A:$T,20,FALSE)="","",VLOOKUP(A1293,[8]PRIORIZADOS!$A:$T,20,FALSE)),"")</f>
        <v>Si</v>
      </c>
      <c r="U1293" s="11" t="str">
        <f>IFERROR(IF(VLOOKUP(A1293,[8]PRIORIZADOS!$A:$U,21,FALSE)="","",VLOOKUP(A1293,[8]PRIORIZADOS!$A:$U,21,FALSE)),"")</f>
        <v>Seguimiento al cumplimiento de las acciones de mejoramiento.  Se realiza mesa de seguimiento el día 22 de septiembre 2025. El 27 de febrero se validará el cumplimiento total del plan de mejoramiento.</v>
      </c>
    </row>
    <row r="1294" spans="1:21" s="1" customFormat="1" ht="48">
      <c r="A1294" s="69">
        <f>IF([8]PRIORIZADOS!A274="","",[8]PRIORIZADOS!A274)</f>
        <v>1236</v>
      </c>
      <c r="B1294" s="70">
        <v>41</v>
      </c>
      <c r="C1294" s="11" t="str">
        <f>IFERROR(IF(VLOOKUP(A1294,[8]PRIORIZADOS!$A:$C,3,FALSE)="","",VLOOKUP(A1294,[8]PRIORIZADOS!$A:$C,3,FALSE)),"")</f>
        <v>KENNEDY</v>
      </c>
      <c r="D1294" s="11" t="str">
        <f>IFERROR(IF(VLOOKUP(A1294,[8]PRIORIZADOS!$A:$D,4,FALSE)="","",VLOOKUP(A1294,[8]PRIORIZADOS!$A:$D,4,FALSE)),"")</f>
        <v>PRIVADO</v>
      </c>
      <c r="E1294" s="11" t="str">
        <f>IFERROR(IF(VLOOKUP(A1294,[8]PRIORIZADOS!$A:$E,5,FALSE)="","",VLOOKUP(A1294,[8]PRIORIZADOS!$A:$E,5,FALSE)),"")</f>
        <v>EPBM</v>
      </c>
      <c r="F1294" s="11" t="str">
        <f>IFERROR(IF(VLOOKUP(A1294,[8]PRIORIZADOS!$A:$F,6,FALSE)="","",VLOOKUP(A1294,[8]PRIORIZADOS!$A:$F,6,FALSE)),"")</f>
        <v>LICEO_REYNEL</v>
      </c>
      <c r="G1294" s="11" t="str">
        <f>IFERROR(IF(VLOOKUP(A1294,[8]PRIORIZADOS!$A:$G,7,FALSE)="","",VLOOKUP(A1294,[8]PRIORIZADOS!$A:$G,7,FALSE)),"")</f>
        <v>LICEO REYNEL</v>
      </c>
      <c r="H1294" s="11" t="str">
        <f>IFERROR(IF(VLOOKUP(A1294,[8]PRIORIZADOS!$A:$H,8,FALSE)="","",VLOOKUP(A1294,[8]PRIORIZADOS!$A:$H,8,FALSE)),"")</f>
        <v>Autoevaluación Institucional y Pruebas SABER 11</v>
      </c>
      <c r="I1294" s="11" t="str">
        <f>IFERROR(IF(VLOOKUP(A1294,[8]PRIORIZADOS!$A:$I,9,FALSE)="","",VLOOKUP(A1294,[8]PRIORIZADOS!$A:$I,9,FALSE)),"")</f>
        <v>EVALUACIÓN_CON_FINES_DE_MEJORAMIENTO.</v>
      </c>
      <c r="J1294" s="11" t="str">
        <f>IFERROR(IF(VLOOKUP(A1294,[8]PRIORIZADOS!$A:$J,10,FALSE)="","",VLOOKUP(A1294,[8]PRIORIZADOS!$A:$J,10,FALSE)),"")</f>
        <v>Revisar el calendario escolar, jornada escolar, la intensidad horaria mínima anual en cada nivel y las modificaciones que se realicen al mismo, de acuerdo con lo previsto en la normatividad vigente.</v>
      </c>
      <c r="K1294" s="11" t="str">
        <f>IFERROR(IF(VLOOKUP(A1294,[8]PRIORIZADOS!$A:$K,11,FALSE)="","",VLOOKUP(A1294,[8]PRIORIZADOS!$A:$K,11,FALSE)),"")</f>
        <v>INGRID VIVIANA DÁVILA ÁVILA</v>
      </c>
      <c r="L1294" s="11" t="str">
        <f>IFERROR(IF(VLOOKUP(A1294,[8]PRIORIZADOS!$A:$L,12,FALSE)="","",VLOOKUP(A1294,[8]PRIORIZADOS!$A:$L,12,FALSE)),"")</f>
        <v xml:space="preserve">DIANA ZULAY HUERTAS ORTÍZ </v>
      </c>
      <c r="M1294" s="71">
        <f>IFERROR(IF(VLOOKUP(A1294,[8]PRIORIZADOS!$A:$M,13,FALSE)="","",VLOOKUP(A1294,[8]PRIORIZADOS!$A:$M,13,FALSE)),"")</f>
        <v>45882</v>
      </c>
      <c r="N1294" s="71">
        <f>IFERROR(IF(VLOOKUP(A1294,[8]PRIORIZADOS!$A:$N,14,FALSE)="","",VLOOKUP(A1294,[8]PRIORIZADOS!$A:$N,14,FALSE)),"")</f>
        <v>45882</v>
      </c>
      <c r="O1294" s="71">
        <f>IFERROR(IF(VLOOKUP(A1294,[8]PRIORIZADOS!$A:$O,15,FALSE)="","",VLOOKUP(A1294,[8]PRIORIZADOS!$A:$O,15,FALSE)),"")</f>
        <v>45882</v>
      </c>
      <c r="P1294" s="11" t="str">
        <f>IFERROR(IF(VLOOKUP(A1294,[8]PRIORIZADOS!$A:$P,16,FALSE)="","",VLOOKUP(A1294,[8]PRIORIZADOS!$A:$P,16,FALSE)),"")</f>
        <v>Visitas de evaluación con fines de mejoramiento</v>
      </c>
      <c r="Q1294" s="161" t="s">
        <v>262</v>
      </c>
      <c r="R1294" s="11" t="str">
        <f>IFERROR(IF(VLOOKUP(A1294,[8]PRIORIZADOS!$A:$R,18,FALSE)="","",VLOOKUP(A1294,[8]PRIORIZADOS!$A:$R,18,FALSE)),"")</f>
        <v>Se evidenció que  la IE cumple con la intensidad mínima anual en cada nivel, de acuerdo con lo previsto en la normatividad vigente.</v>
      </c>
      <c r="S1294" s="11" t="str">
        <f>IFERROR(IF(VLOOKUP(A1294,[8]PRIORIZADOS!$A:$S,19,FALSE)="","",VLOOKUP(A1294,[8]PRIORIZADOS!$A:$S,19,FALSE)),"")</f>
        <v xml:space="preserve">Continuar cumpliendo con la normatividad vigente, sobre la intensidad horaria mínima anual. </v>
      </c>
      <c r="T1294" s="70" t="str">
        <f>IFERROR(IF(VLOOKUP(A1294,[8]PRIORIZADOS!$A:$T,20,FALSE)="","",VLOOKUP(A1294,[8]PRIORIZADOS!$A:$T,20,FALSE)),"")</f>
        <v>No</v>
      </c>
      <c r="U1294" s="11" t="str">
        <f>IFERROR(IF(VLOOKUP(A1294,[8]PRIORIZADOS!$A:$U,21,FALSE)="","",VLOOKUP(A1294,[8]PRIORIZADOS!$A:$U,21,FALSE)),"")</f>
        <v xml:space="preserve">El ELIV, verificará el cumplimiento del calendario escolar. </v>
      </c>
    </row>
    <row r="1295" spans="1:21" s="1" customFormat="1" ht="72">
      <c r="A1295" s="69">
        <f>IF([8]PRIORIZADOS!A275="","",[8]PRIORIZADOS!A275)</f>
        <v>1237</v>
      </c>
      <c r="B1295" s="70">
        <v>41</v>
      </c>
      <c r="C1295" s="11" t="str">
        <f>IFERROR(IF(VLOOKUP(A1295,[8]PRIORIZADOS!$A:$C,3,FALSE)="","",VLOOKUP(A1295,[8]PRIORIZADOS!$A:$C,3,FALSE)),"")</f>
        <v>KENNEDY</v>
      </c>
      <c r="D1295" s="11" t="str">
        <f>IFERROR(IF(VLOOKUP(A1295,[8]PRIORIZADOS!$A:$D,4,FALSE)="","",VLOOKUP(A1295,[8]PRIORIZADOS!$A:$D,4,FALSE)),"")</f>
        <v>PRIVADO</v>
      </c>
      <c r="E1295" s="11" t="str">
        <f>IFERROR(IF(VLOOKUP(A1295,[8]PRIORIZADOS!$A:$E,5,FALSE)="","",VLOOKUP(A1295,[8]PRIORIZADOS!$A:$E,5,FALSE)),"")</f>
        <v>EPBM</v>
      </c>
      <c r="F1295" s="11" t="str">
        <f>IFERROR(IF(VLOOKUP(A1295,[8]PRIORIZADOS!$A:$F,6,FALSE)="","",VLOOKUP(A1295,[8]PRIORIZADOS!$A:$F,6,FALSE)),"")</f>
        <v>LICEO_REYNEL</v>
      </c>
      <c r="G1295" s="11" t="str">
        <f>IFERROR(IF(VLOOKUP(A1295,[8]PRIORIZADOS!$A:$G,7,FALSE)="","",VLOOKUP(A1295,[8]PRIORIZADOS!$A:$G,7,FALSE)),"")</f>
        <v>LICEO REYNEL</v>
      </c>
      <c r="H1295" s="11" t="str">
        <f>IFERROR(IF(VLOOKUP(A1295,[8]PRIORIZADOS!$A:$H,8,FALSE)="","",VLOOKUP(A1295,[8]PRIORIZADOS!$A:$H,8,FALSE)),"")</f>
        <v>Autoevaluación Institucional y Pruebas SABER 11</v>
      </c>
      <c r="I1295" s="11" t="str">
        <f>IFERROR(IF(VLOOKUP(A1295,[8]PRIORIZADOS!$A:$I,9,FALSE)="","",VLOOKUP(A1295,[8]PRIORIZADOS!$A:$I,9,FALSE)),"")</f>
        <v>EVALUACIÓN_CON_FINES_DE_MEJORAMIENTO.</v>
      </c>
      <c r="J1295" s="11" t="str">
        <f>IFERROR(IF(VLOOKUP(A1295,[8]PRIORIZADOS!$A:$J,10,FALSE)="","",VLOOKUP(A1295,[8]PRIORIZADOS!$A:$J,10,FALSE)),"")</f>
        <v>Verificar el funcionamiento del Gobierno Escolar e instancias de participación con base en la información sobre conformación reportada por la institución educativa.</v>
      </c>
      <c r="K1295" s="11" t="str">
        <f>IFERROR(IF(VLOOKUP(A1295,[8]PRIORIZADOS!$A:$K,11,FALSE)="","",VLOOKUP(A1295,[8]PRIORIZADOS!$A:$K,11,FALSE)),"")</f>
        <v>INGRID VIVIANA DÁVILA ÁVILA</v>
      </c>
      <c r="L1295" s="11" t="str">
        <f>IFERROR(IF(VLOOKUP(A1295,[8]PRIORIZADOS!$A:$L,12,FALSE)="","",VLOOKUP(A1295,[8]PRIORIZADOS!$A:$L,12,FALSE)),"")</f>
        <v xml:space="preserve">DIANA ZULAY HUERTAS ORTÍZ </v>
      </c>
      <c r="M1295" s="71">
        <f>IFERROR(IF(VLOOKUP(A1295,[8]PRIORIZADOS!$A:$M,13,FALSE)="","",VLOOKUP(A1295,[8]PRIORIZADOS!$A:$M,13,FALSE)),"")</f>
        <v>45882</v>
      </c>
      <c r="N1295" s="71">
        <f>IFERROR(IF(VLOOKUP(A1295,[8]PRIORIZADOS!$A:$N,14,FALSE)="","",VLOOKUP(A1295,[8]PRIORIZADOS!$A:$N,14,FALSE)),"")</f>
        <v>45882</v>
      </c>
      <c r="O1295" s="71">
        <f>IFERROR(IF(VLOOKUP(A1295,[8]PRIORIZADOS!$A:$O,15,FALSE)="","",VLOOKUP(A1295,[8]PRIORIZADOS!$A:$O,15,FALSE)),"")</f>
        <v>45882</v>
      </c>
      <c r="P1295" s="11" t="str">
        <f>IFERROR(IF(VLOOKUP(A1295,[8]PRIORIZADOS!$A:$P,16,FALSE)="","",VLOOKUP(A1295,[8]PRIORIZADOS!$A:$P,16,FALSE)),"")</f>
        <v>Visitas de evaluación con fines de mejoramiento</v>
      </c>
      <c r="Q1295" s="192" t="s">
        <v>262</v>
      </c>
      <c r="R1295" s="11" t="str">
        <f>IFERROR(IF(VLOOKUP(A1295,[8]PRIORIZADOS!$A:$R,18,FALSE)="","",VLOOKUP(A1295,[8]PRIORIZADOS!$A:$R,18,FALSE)),"")</f>
        <v>La IE cumple con la conformación y funcionamiento del gobierno escolar y las instancias de participación.</v>
      </c>
      <c r="S1295" s="11" t="str">
        <f>IFERROR(IF(VLOOKUP(A1295,[8]PRIORIZADOS!$A:$S,19,FALSE)="","",VLOOKUP(A1295,[8]PRIORIZADOS!$A:$S,19,FALSE)),"")</f>
        <v>La EE, debe seguir cumpliendo con la  conformación y funcionamiento del gobierno escolar y las instancias de participación.  Debe reunir el consejo directivo de acuerdo a la normatividad vigente.</v>
      </c>
      <c r="T1295" s="70" t="str">
        <f>IFERROR(IF(VLOOKUP(A1295,[8]PRIORIZADOS!$A:$T,20,FALSE)="","",VLOOKUP(A1295,[8]PRIORIZADOS!$A:$T,20,FALSE)),"")</f>
        <v>No</v>
      </c>
      <c r="U1295" s="11" t="str">
        <f>IFERROR(IF(VLOOKUP(A1295,[8]PRIORIZADOS!$A:$U,21,FALSE)="","",VLOOKUP(A1295,[8]PRIORIZADOS!$A:$U,21,FALSE)),"")</f>
        <v xml:space="preserve">El ELIV verificará la operatividad del gobierno escolar. </v>
      </c>
    </row>
    <row r="1296" spans="1:21" s="1" customFormat="1" ht="101.25">
      <c r="A1296" s="69">
        <f>IF([8]PRIORIZADOS!A276="","",[8]PRIORIZADOS!A276)</f>
        <v>2798</v>
      </c>
      <c r="B1296" s="70">
        <v>41</v>
      </c>
      <c r="C1296" s="11" t="str">
        <f>IFERROR(IF(VLOOKUP(A1296,[8]PRIORIZADOS!$A:$C,3,FALSE)="","",VLOOKUP(A1296,[8]PRIORIZADOS!$A:$C,3,FALSE)),"")</f>
        <v>KENNEDY</v>
      </c>
      <c r="D1296" s="11" t="str">
        <f>IFERROR(IF(VLOOKUP(A1296,[8]PRIORIZADOS!$A:$D,4,FALSE)="","",VLOOKUP(A1296,[8]PRIORIZADOS!$A:$D,4,FALSE)),"")</f>
        <v>PRIVADO</v>
      </c>
      <c r="E1296" s="11" t="str">
        <f>IFERROR(IF(VLOOKUP(A1296,[8]PRIORIZADOS!$A:$E,5,FALSE)="","",VLOOKUP(A1296,[8]PRIORIZADOS!$A:$E,5,FALSE)),"")</f>
        <v>EPBM</v>
      </c>
      <c r="F1296" s="11" t="str">
        <f>IFERROR(IF(VLOOKUP(A1296,[8]PRIORIZADOS!$A:$F,6,FALSE)="","",VLOOKUP(A1296,[8]PRIORIZADOS!$A:$F,6,FALSE)),"")</f>
        <v>LICEO_REYNEL</v>
      </c>
      <c r="G1296" s="11" t="str">
        <f>IFERROR(IF(VLOOKUP(A1296,[8]PRIORIZADOS!$A:$G,7,FALSE)="","",VLOOKUP(A1296,[8]PRIORIZADOS!$A:$G,7,FALSE)),"")</f>
        <v>LICEO REYNEL</v>
      </c>
      <c r="H1296" s="11" t="str">
        <f>IFERROR(IF(VLOOKUP(A1296,[8]PRIORIZADOS!$A:$H,8,FALSE)="","",VLOOKUP(A1296,[8]PRIORIZADOS!$A:$H,8,FALSE)),"")</f>
        <v>Autoevaluación Institucional y Pruebas SABER 11</v>
      </c>
      <c r="I1296" s="100" t="str">
        <f>IF([8]PRIORIZADOS!I276="","",[8]PRIORIZADOS!I276)</f>
        <v>EVALUACIÓN_CON_FINES_DE_MEJORAMIENTO.</v>
      </c>
      <c r="J1296" s="51" t="s">
        <v>180</v>
      </c>
      <c r="K1296" s="76" t="s">
        <v>263</v>
      </c>
      <c r="L1296" s="51" t="s">
        <v>264</v>
      </c>
      <c r="M1296" s="193">
        <v>45882</v>
      </c>
      <c r="N1296" s="169">
        <v>45882</v>
      </c>
      <c r="O1296" s="169">
        <v>45882</v>
      </c>
      <c r="P1296" s="51" t="s">
        <v>101</v>
      </c>
      <c r="Q1296" s="161" t="s">
        <v>262</v>
      </c>
      <c r="R1296" s="158" t="s">
        <v>265</v>
      </c>
      <c r="S1296" s="194" t="s">
        <v>266</v>
      </c>
      <c r="T1296" s="51" t="s">
        <v>105</v>
      </c>
      <c r="U1296" s="158" t="s">
        <v>267</v>
      </c>
    </row>
    <row r="1297" spans="1:21" s="1" customFormat="1" ht="57.75">
      <c r="A1297" s="69">
        <f>IF([8]PRIORIZADOS!A277="","",[8]PRIORIZADOS!A277)</f>
        <v>1238</v>
      </c>
      <c r="B1297" s="70">
        <f>IFERROR(IF(VLOOKUP(A1297,[8]PRIORIZADOS!$A:$B,2,FALSE)="","",VLOOKUP(A1297,[8]PRIORIZADOS!$A:$B,2,FALSE)),"")</f>
        <v>42</v>
      </c>
      <c r="C1297" s="11" t="str">
        <f>IFERROR(IF(VLOOKUP(A1297,[8]PRIORIZADOS!$A:$C,3,FALSE)="","",VLOOKUP(A1297,[8]PRIORIZADOS!$A:$C,3,FALSE)),"")</f>
        <v>KENNEDY</v>
      </c>
      <c r="D1297" s="11" t="str">
        <f>IFERROR(IF(VLOOKUP(A1297,[8]PRIORIZADOS!$A:$D,4,FALSE)="","",VLOOKUP(A1297,[8]PRIORIZADOS!$A:$D,4,FALSE)),"")</f>
        <v>PRIVADO</v>
      </c>
      <c r="E1297" s="11" t="str">
        <f>IFERROR(IF(VLOOKUP(A1297,[8]PRIORIZADOS!$A:$E,5,FALSE)="","",VLOOKUP(A1297,[8]PRIORIZADOS!$A:$E,5,FALSE)),"")</f>
        <v>EPBM</v>
      </c>
      <c r="F1297" s="11" t="str">
        <f>IFERROR(IF(VLOOKUP(A1297,[8]PRIORIZADOS!$A:$F,6,FALSE)="","",VLOOKUP(A1297,[8]PRIORIZADOS!$A:$F,6,FALSE)),"")</f>
        <v>UNIDAD_EDUCATIVA_EL_FUTURO_DEL_MAÑANA</v>
      </c>
      <c r="G1297" s="11" t="str">
        <f>IFERROR(IF(VLOOKUP(A1297,[8]PRIORIZADOS!$A:$G,7,FALSE)="","",VLOOKUP(A1297,[8]PRIORIZADOS!$A:$G,7,FALSE)),"")</f>
        <v>UNIDAD EDUCATIVA EL FUTURO DEL MAÑANA</v>
      </c>
      <c r="H1297" s="16" t="str">
        <f>IFERROR(IF(VLOOKUP(A1297,[8]PRIORIZADOS!$A:$H,8,FALSE)="","",VLOOKUP(A1297,[8]PRIORIZADOS!$A:$H,8,FALSE)),"")</f>
        <v>Autoevaluación Institucional y Pruebas SABER 11</v>
      </c>
      <c r="I1297" s="195" t="s">
        <v>97</v>
      </c>
      <c r="J1297" s="196" t="s">
        <v>230</v>
      </c>
      <c r="K1297" s="197" t="s">
        <v>264</v>
      </c>
      <c r="L1297" s="198" t="s">
        <v>252</v>
      </c>
      <c r="M1297" s="199">
        <v>45883</v>
      </c>
      <c r="N1297" s="200">
        <v>45745</v>
      </c>
      <c r="O1297" s="200">
        <v>45745</v>
      </c>
      <c r="P1297" s="198" t="s">
        <v>101</v>
      </c>
      <c r="Q1297" s="201" t="s">
        <v>268</v>
      </c>
      <c r="R1297" s="202" t="s">
        <v>269</v>
      </c>
      <c r="S1297" s="203" t="s">
        <v>270</v>
      </c>
      <c r="T1297" s="204" t="s">
        <v>105</v>
      </c>
      <c r="U1297" s="205" t="s">
        <v>271</v>
      </c>
    </row>
    <row r="1298" spans="1:21" s="1" customFormat="1" ht="72">
      <c r="A1298" s="69">
        <f>IF([8]PRIORIZADOS!A278="","",[8]PRIORIZADOS!A278)</f>
        <v>1239</v>
      </c>
      <c r="B1298" s="70">
        <v>42</v>
      </c>
      <c r="C1298" s="11" t="str">
        <f>IFERROR(IF(VLOOKUP(A1298,[8]PRIORIZADOS!$A:$C,3,FALSE)="","",VLOOKUP(A1298,[8]PRIORIZADOS!$A:$C,3,FALSE)),"")</f>
        <v>KENNEDY</v>
      </c>
      <c r="D1298" s="11" t="str">
        <f>IFERROR(IF(VLOOKUP(A1298,[8]PRIORIZADOS!$A:$D,4,FALSE)="","",VLOOKUP(A1298,[8]PRIORIZADOS!$A:$D,4,FALSE)),"")</f>
        <v>PRIVADO</v>
      </c>
      <c r="E1298" s="11" t="str">
        <f>IFERROR(IF(VLOOKUP(A1298,[8]PRIORIZADOS!$A:$E,5,FALSE)="","",VLOOKUP(A1298,[8]PRIORIZADOS!$A:$E,5,FALSE)),"")</f>
        <v>EPBM</v>
      </c>
      <c r="F1298" s="11" t="str">
        <f>IFERROR(IF(VLOOKUP(A1298,[8]PRIORIZADOS!$A:$F,6,FALSE)="","",VLOOKUP(A1298,[8]PRIORIZADOS!$A:$F,6,FALSE)),"")</f>
        <v>UNIDAD_EDUCATIVA_EL_FUTURO_DEL_MAÑANA</v>
      </c>
      <c r="G1298" s="11" t="str">
        <f>IFERROR(IF(VLOOKUP(A1298,[8]PRIORIZADOS!$A:$G,7,FALSE)="","",VLOOKUP(A1298,[8]PRIORIZADOS!$A:$G,7,FALSE)),"")</f>
        <v>UNIDAD EDUCATIVA EL FUTURO DEL MAÑANA</v>
      </c>
      <c r="H1298" s="16" t="str">
        <f>IFERROR(IF(VLOOKUP(A1298,[8]PRIORIZADOS!$A:$H,8,FALSE)="","",VLOOKUP(A1298,[8]PRIORIZADOS!$A:$H,8,FALSE)),"")</f>
        <v>Autoevaluación Institucional y Pruebas SABER 11</v>
      </c>
      <c r="I1298" s="195" t="s">
        <v>97</v>
      </c>
      <c r="J1298" s="206" t="s">
        <v>272</v>
      </c>
      <c r="K1298" s="75" t="s">
        <v>264</v>
      </c>
      <c r="L1298" s="204" t="s">
        <v>252</v>
      </c>
      <c r="M1298" s="207">
        <v>45883</v>
      </c>
      <c r="N1298" s="208">
        <v>45745</v>
      </c>
      <c r="O1298" s="208">
        <v>45745</v>
      </c>
      <c r="P1298" s="197" t="s">
        <v>101</v>
      </c>
      <c r="Q1298" s="7" t="s">
        <v>273</v>
      </c>
      <c r="R1298" s="203" t="s">
        <v>274</v>
      </c>
      <c r="S1298" s="209" t="s">
        <v>275</v>
      </c>
      <c r="T1298" s="75" t="s">
        <v>185</v>
      </c>
      <c r="U1298" s="209" t="s">
        <v>276</v>
      </c>
    </row>
    <row r="1299" spans="1:21" s="1" customFormat="1" ht="115.5">
      <c r="A1299" s="69">
        <f>IF([8]PRIORIZADOS!A279="","",[8]PRIORIZADOS!A279)</f>
        <v>1240</v>
      </c>
      <c r="B1299" s="70">
        <v>42</v>
      </c>
      <c r="C1299" s="11" t="str">
        <f>IFERROR(IF(VLOOKUP(A1299,[8]PRIORIZADOS!$A:$C,3,FALSE)="","",VLOOKUP(A1299,[8]PRIORIZADOS!$A:$C,3,FALSE)),"")</f>
        <v>KENNEDY</v>
      </c>
      <c r="D1299" s="11" t="str">
        <f>IFERROR(IF(VLOOKUP(A1299,[8]PRIORIZADOS!$A:$D,4,FALSE)="","",VLOOKUP(A1299,[8]PRIORIZADOS!$A:$D,4,FALSE)),"")</f>
        <v>PRIVADO</v>
      </c>
      <c r="E1299" s="11" t="str">
        <f>IFERROR(IF(VLOOKUP(A1299,[8]PRIORIZADOS!$A:$E,5,FALSE)="","",VLOOKUP(A1299,[8]PRIORIZADOS!$A:$E,5,FALSE)),"")</f>
        <v>EPBM</v>
      </c>
      <c r="F1299" s="11" t="str">
        <f>IFERROR(IF(VLOOKUP(A1299,[8]PRIORIZADOS!$A:$F,6,FALSE)="","",VLOOKUP(A1299,[8]PRIORIZADOS!$A:$F,6,FALSE)),"")</f>
        <v>UNIDAD_EDUCATIVA_EL_FUTURO_DEL_MAÑANA</v>
      </c>
      <c r="G1299" s="11" t="str">
        <f>IFERROR(IF(VLOOKUP(A1299,[8]PRIORIZADOS!$A:$G,7,FALSE)="","",VLOOKUP(A1299,[8]PRIORIZADOS!$A:$G,7,FALSE)),"")</f>
        <v>UNIDAD EDUCATIVA EL FUTURO DEL MAÑANA</v>
      </c>
      <c r="H1299" s="16" t="str">
        <f>IFERROR(IF(VLOOKUP(A1299,[8]PRIORIZADOS!$A:$H,8,FALSE)="","",VLOOKUP(A1299,[8]PRIORIZADOS!$A:$H,8,FALSE)),"")</f>
        <v>Autoevaluación Institucional y Pruebas SABER 11</v>
      </c>
      <c r="I1299" s="195" t="s">
        <v>179</v>
      </c>
      <c r="J1299" s="206" t="s">
        <v>277</v>
      </c>
      <c r="K1299" s="75" t="s">
        <v>264</v>
      </c>
      <c r="L1299" s="75" t="s">
        <v>252</v>
      </c>
      <c r="M1299" s="210">
        <v>45883</v>
      </c>
      <c r="N1299" s="131">
        <v>45745</v>
      </c>
      <c r="O1299" s="131">
        <v>45745</v>
      </c>
      <c r="P1299" s="211" t="s">
        <v>101</v>
      </c>
      <c r="Q1299" s="7" t="s">
        <v>273</v>
      </c>
      <c r="R1299" s="212" t="s">
        <v>278</v>
      </c>
      <c r="S1299" s="209" t="s">
        <v>279</v>
      </c>
      <c r="T1299" s="75" t="s">
        <v>185</v>
      </c>
      <c r="U1299" s="209" t="s">
        <v>280</v>
      </c>
    </row>
    <row r="1300" spans="1:21" s="1" customFormat="1" ht="72">
      <c r="A1300" s="69">
        <f>IF([8]PRIORIZADOS!A280="","",[8]PRIORIZADOS!A280)</f>
        <v>1241</v>
      </c>
      <c r="B1300" s="70">
        <v>42</v>
      </c>
      <c r="C1300" s="11" t="str">
        <f>IFERROR(IF(VLOOKUP(A1300,[8]PRIORIZADOS!$A:$C,3,FALSE)="","",VLOOKUP(A1300,[8]PRIORIZADOS!$A:$C,3,FALSE)),"")</f>
        <v>KENNEDY</v>
      </c>
      <c r="D1300" s="11" t="str">
        <f>IFERROR(IF(VLOOKUP(A1300,[8]PRIORIZADOS!$A:$D,4,FALSE)="","",VLOOKUP(A1300,[8]PRIORIZADOS!$A:$D,4,FALSE)),"")</f>
        <v>PRIVADO</v>
      </c>
      <c r="E1300" s="11" t="str">
        <f>IFERROR(IF(VLOOKUP(A1300,[8]PRIORIZADOS!$A:$E,5,FALSE)="","",VLOOKUP(A1300,[8]PRIORIZADOS!$A:$E,5,FALSE)),"")</f>
        <v>EPBM</v>
      </c>
      <c r="F1300" s="11" t="str">
        <f>IFERROR(IF(VLOOKUP(A1300,[8]PRIORIZADOS!$A:$F,6,FALSE)="","",VLOOKUP(A1300,[8]PRIORIZADOS!$A:$F,6,FALSE)),"")</f>
        <v>UNIDAD_EDUCATIVA_EL_FUTURO_DEL_MAÑANA</v>
      </c>
      <c r="G1300" s="11" t="str">
        <f>IFERROR(IF(VLOOKUP(A1300,[8]PRIORIZADOS!$A:$G,7,FALSE)="","",VLOOKUP(A1300,[8]PRIORIZADOS!$A:$G,7,FALSE)),"")</f>
        <v>UNIDAD EDUCATIVA EL FUTURO DEL MAÑANA</v>
      </c>
      <c r="H1300" s="16" t="str">
        <f>IFERROR(IF(VLOOKUP(A1300,[8]PRIORIZADOS!$A:$H,8,FALSE)="","",VLOOKUP(A1300,[8]PRIORIZADOS!$A:$H,8,FALSE)),"")</f>
        <v>Autoevaluación Institucional y Pruebas SABER 11</v>
      </c>
      <c r="I1300" s="195" t="s">
        <v>179</v>
      </c>
      <c r="J1300" s="213" t="s">
        <v>281</v>
      </c>
      <c r="K1300" s="214" t="s">
        <v>264</v>
      </c>
      <c r="L1300" s="214" t="s">
        <v>252</v>
      </c>
      <c r="M1300" s="215">
        <v>45883</v>
      </c>
      <c r="N1300" s="216">
        <v>45745</v>
      </c>
      <c r="O1300" s="216">
        <v>45745</v>
      </c>
      <c r="P1300" s="217" t="s">
        <v>101</v>
      </c>
      <c r="Q1300" s="7" t="s">
        <v>273</v>
      </c>
      <c r="R1300" s="218" t="s">
        <v>282</v>
      </c>
      <c r="S1300" s="219" t="s">
        <v>283</v>
      </c>
      <c r="T1300" s="214" t="s">
        <v>185</v>
      </c>
      <c r="U1300" s="219" t="s">
        <v>284</v>
      </c>
    </row>
    <row r="1301" spans="1:21" s="1" customFormat="1" ht="57.75">
      <c r="A1301" s="69">
        <f>IF([8]PRIORIZADOS!A281="","",[8]PRIORIZADOS!A281)</f>
        <v>1242</v>
      </c>
      <c r="B1301" s="70">
        <v>42</v>
      </c>
      <c r="C1301" s="11" t="str">
        <f>IFERROR(IF(VLOOKUP(A1301,[8]PRIORIZADOS!$A:$C,3,FALSE)="","",VLOOKUP(A1301,[8]PRIORIZADOS!$A:$C,3,FALSE)),"")</f>
        <v>KENNEDY</v>
      </c>
      <c r="D1301" s="11" t="str">
        <f>IFERROR(IF(VLOOKUP(A1301,[8]PRIORIZADOS!$A:$D,4,FALSE)="","",VLOOKUP(A1301,[8]PRIORIZADOS!$A:$D,4,FALSE)),"")</f>
        <v>PRIVADO</v>
      </c>
      <c r="E1301" s="11" t="str">
        <f>IFERROR(IF(VLOOKUP(A1301,[8]PRIORIZADOS!$A:$E,5,FALSE)="","",VLOOKUP(A1301,[8]PRIORIZADOS!$A:$E,5,FALSE)),"")</f>
        <v>EPBM</v>
      </c>
      <c r="F1301" s="11" t="str">
        <f>IFERROR(IF(VLOOKUP(A1301,[8]PRIORIZADOS!$A:$F,6,FALSE)="","",VLOOKUP(A1301,[8]PRIORIZADOS!$A:$F,6,FALSE)),"")</f>
        <v>UNIDAD_EDUCATIVA_EL_FUTURO_DEL_MAÑANA</v>
      </c>
      <c r="G1301" s="11" t="str">
        <f>IFERROR(IF(VLOOKUP(A1301,[8]PRIORIZADOS!$A:$G,7,FALSE)="","",VLOOKUP(A1301,[8]PRIORIZADOS!$A:$G,7,FALSE)),"")</f>
        <v>UNIDAD EDUCATIVA EL FUTURO DEL MAÑANA</v>
      </c>
      <c r="H1301" s="16" t="str">
        <f>IFERROR(IF(VLOOKUP(A1301,[8]PRIORIZADOS!$A:$H,8,FALSE)="","",VLOOKUP(A1301,[8]PRIORIZADOS!$A:$H,8,FALSE)),"")</f>
        <v>Autoevaluación Institucional y Pruebas SABER 11</v>
      </c>
      <c r="I1301" s="195" t="s">
        <v>179</v>
      </c>
      <c r="J1301" s="220" t="s">
        <v>180</v>
      </c>
      <c r="K1301" s="221" t="s">
        <v>264</v>
      </c>
      <c r="L1301" s="198" t="s">
        <v>252</v>
      </c>
      <c r="M1301" s="199">
        <v>45883</v>
      </c>
      <c r="N1301" s="199">
        <v>45745</v>
      </c>
      <c r="O1301" s="200">
        <v>45745</v>
      </c>
      <c r="P1301" s="221" t="s">
        <v>101</v>
      </c>
      <c r="Q1301" s="7" t="s">
        <v>273</v>
      </c>
      <c r="R1301" s="222" t="s">
        <v>285</v>
      </c>
      <c r="S1301" s="202" t="s">
        <v>286</v>
      </c>
      <c r="T1301" s="198" t="s">
        <v>185</v>
      </c>
      <c r="U1301" s="202" t="s">
        <v>287</v>
      </c>
    </row>
    <row r="1302" spans="1:21" s="1" customFormat="1" ht="57.75">
      <c r="A1302" s="69">
        <f>IF([8]PRIORIZADOS!A282="","",[8]PRIORIZADOS!A282)</f>
        <v>1243</v>
      </c>
      <c r="B1302" s="223">
        <v>43</v>
      </c>
      <c r="C1302" s="73" t="s">
        <v>221</v>
      </c>
      <c r="D1302" s="49" t="s">
        <v>175</v>
      </c>
      <c r="E1302" s="49" t="s">
        <v>227</v>
      </c>
      <c r="F1302" s="49" t="s">
        <v>288</v>
      </c>
      <c r="G1302" s="49" t="s">
        <v>289</v>
      </c>
      <c r="H1302" s="76" t="s">
        <v>178</v>
      </c>
      <c r="I1302" s="195" t="s">
        <v>97</v>
      </c>
      <c r="J1302" s="188" t="s">
        <v>230</v>
      </c>
      <c r="K1302" s="224" t="s">
        <v>231</v>
      </c>
      <c r="L1302" s="225" t="s">
        <v>245</v>
      </c>
      <c r="M1302" s="226">
        <v>45889</v>
      </c>
      <c r="N1302" s="183">
        <v>45882</v>
      </c>
      <c r="O1302" s="227">
        <v>45882</v>
      </c>
      <c r="P1302" s="184" t="s">
        <v>101</v>
      </c>
      <c r="Q1302" s="27" t="s">
        <v>290</v>
      </c>
      <c r="R1302" s="179" t="s">
        <v>291</v>
      </c>
      <c r="S1302" s="180" t="s">
        <v>292</v>
      </c>
      <c r="T1302" s="52" t="s">
        <v>105</v>
      </c>
      <c r="U1302" s="180" t="s">
        <v>293</v>
      </c>
    </row>
    <row r="1303" spans="1:21" s="1" customFormat="1" ht="72">
      <c r="A1303" s="69">
        <f>IF([8]PRIORIZADOS!A283="","",[8]PRIORIZADOS!A283)</f>
        <v>1244</v>
      </c>
      <c r="B1303" s="223">
        <v>43</v>
      </c>
      <c r="C1303" s="73" t="s">
        <v>221</v>
      </c>
      <c r="D1303" s="49" t="s">
        <v>175</v>
      </c>
      <c r="E1303" s="49" t="s">
        <v>227</v>
      </c>
      <c r="F1303" s="49" t="s">
        <v>288</v>
      </c>
      <c r="G1303" s="49" t="s">
        <v>289</v>
      </c>
      <c r="H1303" s="76" t="s">
        <v>178</v>
      </c>
      <c r="I1303" s="195" t="s">
        <v>97</v>
      </c>
      <c r="J1303" s="78" t="s">
        <v>272</v>
      </c>
      <c r="K1303" s="49" t="s">
        <v>231</v>
      </c>
      <c r="L1303" s="52" t="s">
        <v>245</v>
      </c>
      <c r="M1303" s="181">
        <v>45889</v>
      </c>
      <c r="N1303" s="182">
        <v>45882</v>
      </c>
      <c r="O1303" s="183">
        <v>45882</v>
      </c>
      <c r="P1303" s="178" t="s">
        <v>101</v>
      </c>
      <c r="Q1303" s="27" t="s">
        <v>290</v>
      </c>
      <c r="R1303" s="228" t="s">
        <v>294</v>
      </c>
      <c r="S1303" s="80" t="s">
        <v>295</v>
      </c>
      <c r="T1303" s="49" t="s">
        <v>185</v>
      </c>
      <c r="U1303" s="80" t="s">
        <v>296</v>
      </c>
    </row>
    <row r="1304" spans="1:21" s="1" customFormat="1" ht="101.25">
      <c r="A1304" s="69">
        <f>IF([8]PRIORIZADOS!A284="","",[8]PRIORIZADOS!A284)</f>
        <v>1246</v>
      </c>
      <c r="B1304" s="229">
        <v>43</v>
      </c>
      <c r="C1304" s="73" t="s">
        <v>221</v>
      </c>
      <c r="D1304" s="49" t="s">
        <v>175</v>
      </c>
      <c r="E1304" s="49" t="s">
        <v>227</v>
      </c>
      <c r="F1304" s="49" t="s">
        <v>288</v>
      </c>
      <c r="G1304" s="49" t="s">
        <v>289</v>
      </c>
      <c r="H1304" s="76" t="s">
        <v>178</v>
      </c>
      <c r="I1304" s="195" t="s">
        <v>97</v>
      </c>
      <c r="J1304" s="78" t="s">
        <v>297</v>
      </c>
      <c r="K1304" s="49" t="s">
        <v>231</v>
      </c>
      <c r="L1304" s="49" t="s">
        <v>245</v>
      </c>
      <c r="M1304" s="176">
        <v>45889</v>
      </c>
      <c r="N1304" s="182">
        <v>45882</v>
      </c>
      <c r="O1304" s="183">
        <v>45882</v>
      </c>
      <c r="P1304" s="178" t="s">
        <v>101</v>
      </c>
      <c r="Q1304" s="28" t="s">
        <v>290</v>
      </c>
      <c r="R1304" s="230" t="s">
        <v>298</v>
      </c>
      <c r="S1304" s="231" t="s">
        <v>299</v>
      </c>
      <c r="T1304" s="50" t="s">
        <v>185</v>
      </c>
      <c r="U1304" s="133" t="s">
        <v>300</v>
      </c>
    </row>
    <row r="1305" spans="1:21" s="1" customFormat="1" ht="72">
      <c r="A1305" s="69"/>
      <c r="B1305" s="229">
        <v>43</v>
      </c>
      <c r="C1305" s="73" t="s">
        <v>221</v>
      </c>
      <c r="D1305" s="49" t="s">
        <v>175</v>
      </c>
      <c r="E1305" s="49" t="s">
        <v>227</v>
      </c>
      <c r="F1305" s="49" t="s">
        <v>288</v>
      </c>
      <c r="G1305" s="49" t="s">
        <v>289</v>
      </c>
      <c r="H1305" s="76" t="s">
        <v>178</v>
      </c>
      <c r="I1305" s="195" t="s">
        <v>97</v>
      </c>
      <c r="J1305" s="78" t="s">
        <v>236</v>
      </c>
      <c r="K1305" s="49" t="s">
        <v>231</v>
      </c>
      <c r="L1305" s="49" t="s">
        <v>245</v>
      </c>
      <c r="M1305" s="176">
        <v>45889</v>
      </c>
      <c r="N1305" s="182">
        <v>45882</v>
      </c>
      <c r="O1305" s="183">
        <v>45882</v>
      </c>
      <c r="P1305" s="178" t="s">
        <v>101</v>
      </c>
      <c r="Q1305" s="27" t="s">
        <v>290</v>
      </c>
      <c r="R1305" s="158" t="s">
        <v>301</v>
      </c>
      <c r="S1305" s="158" t="s">
        <v>302</v>
      </c>
      <c r="T1305" s="51" t="s">
        <v>105</v>
      </c>
      <c r="U1305" s="158" t="s">
        <v>303</v>
      </c>
    </row>
    <row r="1306" spans="1:21" s="1" customFormat="1" ht="115.5">
      <c r="A1306" s="69"/>
      <c r="B1306" s="229">
        <v>43</v>
      </c>
      <c r="C1306" s="73" t="s">
        <v>221</v>
      </c>
      <c r="D1306" s="49" t="s">
        <v>175</v>
      </c>
      <c r="E1306" s="49" t="s">
        <v>227</v>
      </c>
      <c r="F1306" s="49" t="s">
        <v>288</v>
      </c>
      <c r="G1306" s="49" t="s">
        <v>289</v>
      </c>
      <c r="H1306" s="76" t="s">
        <v>178</v>
      </c>
      <c r="I1306" s="195" t="s">
        <v>179</v>
      </c>
      <c r="J1306" s="78" t="s">
        <v>277</v>
      </c>
      <c r="K1306" s="49" t="s">
        <v>231</v>
      </c>
      <c r="L1306" s="49" t="s">
        <v>245</v>
      </c>
      <c r="M1306" s="176">
        <v>45889</v>
      </c>
      <c r="N1306" s="182">
        <v>45882</v>
      </c>
      <c r="O1306" s="183">
        <v>45882</v>
      </c>
      <c r="P1306" s="178" t="s">
        <v>101</v>
      </c>
      <c r="Q1306" s="31" t="s">
        <v>290</v>
      </c>
      <c r="R1306" s="232" t="s">
        <v>304</v>
      </c>
      <c r="S1306" s="233" t="s">
        <v>305</v>
      </c>
      <c r="T1306" s="225" t="s">
        <v>185</v>
      </c>
      <c r="U1306" s="233" t="s">
        <v>306</v>
      </c>
    </row>
    <row r="1307" spans="1:21" s="1" customFormat="1" ht="72">
      <c r="A1307" s="69"/>
      <c r="B1307" s="229">
        <v>43</v>
      </c>
      <c r="C1307" s="73" t="s">
        <v>221</v>
      </c>
      <c r="D1307" s="49" t="s">
        <v>175</v>
      </c>
      <c r="E1307" s="49" t="s">
        <v>227</v>
      </c>
      <c r="F1307" s="49" t="s">
        <v>288</v>
      </c>
      <c r="G1307" s="49" t="s">
        <v>289</v>
      </c>
      <c r="H1307" s="76" t="s">
        <v>178</v>
      </c>
      <c r="I1307" s="195" t="s">
        <v>179</v>
      </c>
      <c r="J1307" s="78" t="s">
        <v>307</v>
      </c>
      <c r="K1307" s="49" t="s">
        <v>231</v>
      </c>
      <c r="L1307" s="49" t="s">
        <v>245</v>
      </c>
      <c r="M1307" s="176">
        <v>45889</v>
      </c>
      <c r="N1307" s="182">
        <v>45882</v>
      </c>
      <c r="O1307" s="183">
        <v>45882</v>
      </c>
      <c r="P1307" s="178" t="s">
        <v>101</v>
      </c>
      <c r="Q1307" s="27" t="s">
        <v>290</v>
      </c>
      <c r="R1307" s="194" t="s">
        <v>308</v>
      </c>
      <c r="S1307" s="228" t="s">
        <v>309</v>
      </c>
      <c r="T1307" s="49" t="s">
        <v>185</v>
      </c>
      <c r="U1307" s="80" t="s">
        <v>310</v>
      </c>
    </row>
    <row r="1308" spans="1:21" s="1" customFormat="1" ht="72">
      <c r="A1308" s="69"/>
      <c r="B1308" s="229">
        <v>43</v>
      </c>
      <c r="C1308" s="73" t="s">
        <v>221</v>
      </c>
      <c r="D1308" s="49" t="s">
        <v>175</v>
      </c>
      <c r="E1308" s="49" t="s">
        <v>227</v>
      </c>
      <c r="F1308" s="49" t="s">
        <v>288</v>
      </c>
      <c r="G1308" s="49" t="s">
        <v>289</v>
      </c>
      <c r="H1308" s="76" t="s">
        <v>178</v>
      </c>
      <c r="I1308" s="195" t="s">
        <v>179</v>
      </c>
      <c r="J1308" s="78" t="s">
        <v>281</v>
      </c>
      <c r="K1308" s="49" t="s">
        <v>231</v>
      </c>
      <c r="L1308" s="49" t="s">
        <v>245</v>
      </c>
      <c r="M1308" s="176">
        <v>45889</v>
      </c>
      <c r="N1308" s="182">
        <v>45882</v>
      </c>
      <c r="O1308" s="183">
        <v>45882</v>
      </c>
      <c r="P1308" s="178" t="s">
        <v>101</v>
      </c>
      <c r="Q1308" s="27" t="s">
        <v>290</v>
      </c>
      <c r="R1308" s="228" t="s">
        <v>311</v>
      </c>
      <c r="S1308" s="80" t="s">
        <v>312</v>
      </c>
      <c r="T1308" s="49" t="s">
        <v>105</v>
      </c>
      <c r="U1308" s="80" t="s">
        <v>313</v>
      </c>
    </row>
    <row r="1309" spans="1:21" s="1" customFormat="1" ht="72">
      <c r="A1309" s="69"/>
      <c r="B1309" s="229">
        <v>43</v>
      </c>
      <c r="C1309" s="73" t="s">
        <v>221</v>
      </c>
      <c r="D1309" s="49" t="s">
        <v>175</v>
      </c>
      <c r="E1309" s="49" t="s">
        <v>227</v>
      </c>
      <c r="F1309" s="49" t="s">
        <v>288</v>
      </c>
      <c r="G1309" s="49" t="s">
        <v>289</v>
      </c>
      <c r="H1309" s="76" t="s">
        <v>178</v>
      </c>
      <c r="I1309" s="195" t="s">
        <v>179</v>
      </c>
      <c r="J1309" s="78" t="s">
        <v>314</v>
      </c>
      <c r="K1309" s="49" t="s">
        <v>231</v>
      </c>
      <c r="L1309" s="49" t="s">
        <v>245</v>
      </c>
      <c r="M1309" s="176">
        <v>45889</v>
      </c>
      <c r="N1309" s="182">
        <v>45882</v>
      </c>
      <c r="O1309" s="183">
        <v>45882</v>
      </c>
      <c r="P1309" s="178" t="s">
        <v>101</v>
      </c>
      <c r="Q1309" s="27" t="s">
        <v>290</v>
      </c>
      <c r="R1309" s="234" t="s">
        <v>315</v>
      </c>
      <c r="S1309" s="158" t="s">
        <v>316</v>
      </c>
      <c r="T1309" s="51" t="s">
        <v>105</v>
      </c>
      <c r="U1309" s="230" t="s">
        <v>317</v>
      </c>
    </row>
    <row r="1310" spans="1:21" s="1" customFormat="1" ht="115.5">
      <c r="A1310" s="69"/>
      <c r="B1310" s="229">
        <v>43</v>
      </c>
      <c r="C1310" s="73" t="s">
        <v>221</v>
      </c>
      <c r="D1310" s="49" t="s">
        <v>175</v>
      </c>
      <c r="E1310" s="49" t="s">
        <v>227</v>
      </c>
      <c r="F1310" s="49" t="s">
        <v>288</v>
      </c>
      <c r="G1310" s="49" t="s">
        <v>289</v>
      </c>
      <c r="H1310" s="76" t="s">
        <v>178</v>
      </c>
      <c r="I1310" s="195" t="s">
        <v>179</v>
      </c>
      <c r="J1310" s="78" t="s">
        <v>180</v>
      </c>
      <c r="K1310" s="49" t="s">
        <v>231</v>
      </c>
      <c r="L1310" s="49" t="s">
        <v>245</v>
      </c>
      <c r="M1310" s="176">
        <v>45889</v>
      </c>
      <c r="N1310" s="182">
        <v>45882</v>
      </c>
      <c r="O1310" s="183">
        <v>45882</v>
      </c>
      <c r="P1310" s="178" t="s">
        <v>101</v>
      </c>
      <c r="Q1310" s="27" t="s">
        <v>290</v>
      </c>
      <c r="R1310" s="194" t="s">
        <v>318</v>
      </c>
      <c r="S1310" s="194" t="s">
        <v>319</v>
      </c>
      <c r="T1310" s="51" t="s">
        <v>185</v>
      </c>
      <c r="U1310" s="158" t="s">
        <v>306</v>
      </c>
    </row>
    <row r="1311" spans="1:21" s="1" customFormat="1" ht="60">
      <c r="A1311" s="69" t="str">
        <f>IF([9]PRIORIZADOS!A8="","",[9]PRIORIZADOS!A8)</f>
        <v>itu</v>
      </c>
      <c r="B1311" s="70">
        <v>1</v>
      </c>
      <c r="C1311" s="11" t="str">
        <f>IFERROR(IF(VLOOKUP(A1311,[9]PRIORIZADOS!$A:$C,3,FALSE)="","",VLOOKUP(A1311,[9]PRIORIZADOS!$A:$C,3,FALSE)),"")</f>
        <v>LOS MÁRTIRES</v>
      </c>
      <c r="D1311" s="11" t="str">
        <f>IFERROR(IF(VLOOKUP(A1311,[9]PRIORIZADOS!$A:$D,4,FALSE)="","",VLOOKUP(A1311,[9]PRIORIZADOS!$A:$D,4,FALSE)),"")</f>
        <v>PRIVADO</v>
      </c>
      <c r="E1311" s="11" t="str">
        <f>IFERROR(IF(VLOOKUP(A1311,[9]PRIORIZADOS!$A:$E,5,FALSE)="","",VLOOKUP(A1311,[9]PRIORIZADOS!$A:$E,5,FALSE)),"")</f>
        <v>EPBM</v>
      </c>
      <c r="F1311" s="11" t="str">
        <f>IFERROR(IF(VLOOKUP(A1311,[9]PRIORIZADOS!$A:$F,6,FALSE)="","",VLOOKUP(A1311,[9]PRIORIZADOS!$A:$F,6,FALSE)),"")</f>
        <v>COLEGIO_BILINGÜE_INTEGRAL</v>
      </c>
      <c r="G1311" s="11" t="str">
        <f>IFERROR(IF(VLOOKUP(A1311,[9]PRIORIZADOS!$A:$G,7,FALSE)="","",VLOOKUP(A1311,[9]PRIORIZADOS!$A:$G,7,FALSE)),"")</f>
        <v>COLEGIO BILINGÜE INTEGRAL</v>
      </c>
      <c r="H1311" s="11" t="str">
        <f>IFERROR(IF(VLOOKUP(A1311,[9]PRIORIZADOS!$A:$H,8,FALSE)="","",VLOOKUP(A1311,[9]PRIORIZADOS!$A:$H,8,FALSE)),"")</f>
        <v>Colegios Nuevos (creados en los últimos 2 años) / Seguimiento a los PMI acordados en 2024</v>
      </c>
      <c r="I1311" s="110" t="str">
        <f>IFERROR(IF(VLOOKUP(A1311,[9]PRIORIZADOS!$A:$I,9,FALSE)="","",VLOOKUP(A1311,[9]PRIORIZADOS!$A:$I,9,FALSE)),"")</f>
        <v>SEGUIMIENTO_Y_SUPERVISIÓN.</v>
      </c>
      <c r="J1311" s="11" t="str">
        <f>IFERROR(IF(VLOOKUP(A1311,[9]PRIORIZADOS!$A:$J,10,FALSE)="","",VLOOKUP(A1311,[9]PRIORIZADOS!$A:$J,10,FALSE)),"")</f>
        <v>Realizar visitas para verificar la información registrada sobre la autoevaluación institucional en el aplicativo EVI, a los establecimientos de educación formal no oficial.</v>
      </c>
      <c r="K1311" s="11" t="str">
        <f>IFERROR(IF(VLOOKUP(A1311,[9]PRIORIZADOS!$A:$K,11,FALSE)="","",VLOOKUP(A1311,[9]PRIORIZADOS!$A:$K,11,FALSE)),"")</f>
        <v>CARLOS EDUARDO VARGAS LÓPEZ</v>
      </c>
      <c r="L1311" s="11" t="str">
        <f>IFERROR(IF(VLOOKUP(A1311,[9]PRIORIZADOS!$A:$L,12,FALSE)="","",VLOOKUP(A1311,[9]PRIORIZADOS!$A:$L,12,FALSE)),"")</f>
        <v>LUIS ALEJANDRO MARTÍNEZ PALACIOS</v>
      </c>
      <c r="M1311" s="71">
        <f>IFERROR(IF(VLOOKUP(A1311,[9]PRIORIZADOS!$A:$M,13,FALSE)="","",VLOOKUP(A1311,[9]PRIORIZADOS!$A:$M,13,FALSE)),"")</f>
        <v>45722</v>
      </c>
      <c r="N1311" s="71">
        <f>IFERROR(IF(VLOOKUP(A1311,[9]PRIORIZADOS!$A:$N,14,FALSE)="","",VLOOKUP(A1311,[9]PRIORIZADOS!$A:$N,14,FALSE)),"")</f>
        <v>45722</v>
      </c>
      <c r="O1311" s="71">
        <f>IFERROR(IF(VLOOKUP(A1311,[9]PRIORIZADOS!$A:$O,15,FALSE)="","",VLOOKUP(A1311,[9]PRIORIZADOS!$A:$O,15,FALSE)),"")</f>
        <v>45723</v>
      </c>
      <c r="P1311" s="11" t="str">
        <f>IFERROR(IF(VLOOKUP(A1311,[9]PRIORIZADOS!$A:$P,16,FALSE)="","",VLOOKUP(A1311,[9]PRIORIZADOS!$A:$P,16,FALSE)),"")</f>
        <v>Visitas de evaluación con fines de seguimiento</v>
      </c>
      <c r="Q1311" s="26" t="s">
        <v>320</v>
      </c>
      <c r="R1311" s="11" t="str">
        <f>IFERROR(IF(VLOOKUP(A1311,[9]PRIORIZADOS!$A:$R,18,FALSE)="","",VLOOKUP(A1311,[9]PRIORIZADOS!$A:$R,18,FALSE)),"")</f>
        <v xml:space="preserve">Se evidencio que tres (3) docentes cuentan con certificado de B2 o superior C1,no se completa el 50% de docentes del total en la IE </v>
      </c>
      <c r="S1311" s="11" t="str">
        <f>IFERROR(IF(VLOOKUP(A1311,[9]PRIORIZADOS!$A:$S,19,FALSE)="","",VLOOKUP(A1311,[9]PRIORIZADOS!$A:$S,19,FALSE)),"")</f>
        <v xml:space="preserve">Dar cumplimiento a la normatividad vigente,  se debe contar con un 50% de docentes vinculados certificado mínimo nivel B2 de otro idioma. Para la siguiente vigencia 2026 e incorporal el el PMI. </v>
      </c>
      <c r="T1311" s="70" t="str">
        <f>IFERROR(IF(VLOOKUP(A1311,[9]PRIORIZADOS!$A:$T,20,FALSE)="","",VLOOKUP(A1311,[9]PRIORIZADOS!$A:$T,20,FALSE)),"")</f>
        <v>Si</v>
      </c>
      <c r="U1311" s="11" t="str">
        <f>IFERROR(IF(VLOOKUP(A1311,[9]PRIORIZADOS!$A:$U,21,FALSE)="","",VLOOKUP(A1311,[9]PRIORIZADOS!$A:$U,21,FALSE)),"")</f>
        <v>Se realizará requerimiento documental en el mes de agosto 2025 para verificar la estrategia para el cumplimiento del porcentaje requerido de docentes vinculados que cuenten con certificado mínimo de B2 en un segundo idioma.</v>
      </c>
    </row>
    <row r="1312" spans="1:21" s="1" customFormat="1" ht="48">
      <c r="A1312" s="69">
        <f>IF([9]PRIORIZADOS!A9="","",[9]PRIORIZADOS!A9)</f>
        <v>1253</v>
      </c>
      <c r="B1312" s="70">
        <f>IFERROR(IF(VLOOKUP(A1312,[9]PRIORIZADOS!$A:$B,2,FALSE)="","",VLOOKUP(A1312,[9]PRIORIZADOS!$A:$B,2,FALSE)),"")</f>
        <v>1</v>
      </c>
      <c r="C1312" s="11" t="str">
        <f>IFERROR(IF(VLOOKUP(A1312,[9]PRIORIZADOS!$A:$C,3,FALSE)="","",VLOOKUP(A1312,[9]PRIORIZADOS!$A:$C,3,FALSE)),"")</f>
        <v>LOS MÁRTIRES</v>
      </c>
      <c r="D1312" s="11" t="str">
        <f>IFERROR(IF(VLOOKUP(A1312,[9]PRIORIZADOS!$A:$D,4,FALSE)="","",VLOOKUP(A1312,[9]PRIORIZADOS!$A:$D,4,FALSE)),"")</f>
        <v>PRIVADO</v>
      </c>
      <c r="E1312" s="11" t="str">
        <f>IFERROR(IF(VLOOKUP(A1312,[9]PRIORIZADOS!$A:$E,5,FALSE)="","",VLOOKUP(A1312,[9]PRIORIZADOS!$A:$E,5,FALSE)),"")</f>
        <v>EPBM</v>
      </c>
      <c r="F1312" s="11" t="str">
        <f>IFERROR(IF(VLOOKUP(A1312,[9]PRIORIZADOS!$A:$F,6,FALSE)="","",VLOOKUP(A1312,[9]PRIORIZADOS!$A:$F,6,FALSE)),"")</f>
        <v>COLEGIO_BILINGÜE_INTEGRAL</v>
      </c>
      <c r="G1312" s="11" t="str">
        <f>IFERROR(IF(VLOOKUP(A1312,[9]PRIORIZADOS!$A:$G,7,FALSE)="","",VLOOKUP(A1312,[9]PRIORIZADOS!$A:$G,7,FALSE)),"")</f>
        <v>COLEGIO BILINGÜE INTEGRAL</v>
      </c>
      <c r="H1312" s="11" t="str">
        <f>IFERROR(IF(VLOOKUP(A1312,[9]PRIORIZADOS!$A:$H,8,FALSE)="","",VLOOKUP(A1312,[9]PRIORIZADOS!$A:$H,8,FALSE)),"")</f>
        <v>Colegios Nuevos (creados en los últimos 2 años) / Seguimiento a los PMI acordados en 2024</v>
      </c>
      <c r="I1312" s="11" t="str">
        <f>IFERROR(IF(VLOOKUP(A1312,[9]PRIORIZADOS!$A:$I,9,FALSE)="","",VLOOKUP(A1312,[9]PRIORIZADOS!$A:$I,9,FALSE)),"")</f>
        <v>SEGUIMIENTO_Y_SUPERVISIÓN.</v>
      </c>
      <c r="J1312" s="11" t="str">
        <f>IFERROR(IF(VLOOKUP(A1312,[9]PRIORIZADOS!$A:$J,10,FALSE)="","",VLOOKUP(A1312,[9]PRIORIZADOS!$A:$J,10,FALSE)),"")</f>
        <v xml:space="preserve">Verificar la implementación por parte de los colegios, de acciones realizadas para la prevención y atención de las situaciones de convivencia en el entorno escolar, según lo establecido en la Directiva 01 de 2022 del MEN. </v>
      </c>
      <c r="K1312" s="11" t="str">
        <f>IFERROR(IF(VLOOKUP(A1312,[9]PRIORIZADOS!$A:$K,11,FALSE)="","",VLOOKUP(A1312,[9]PRIORIZADOS!$A:$K,11,FALSE)),"")</f>
        <v>CARLOS EDUARDO VARGAS LÓPEZ</v>
      </c>
      <c r="L1312" s="11" t="str">
        <f>IFERROR(IF(VLOOKUP(A1312,[9]PRIORIZADOS!$A:$L,12,FALSE)="","",VLOOKUP(A1312,[9]PRIORIZADOS!$A:$L,12,FALSE)),"")</f>
        <v>LUIS ALEJANDRO MARTÍNEZ PALACIOS</v>
      </c>
      <c r="M1312" s="71">
        <f>IFERROR(IF(VLOOKUP(A1312,[9]PRIORIZADOS!$A:$M,13,FALSE)="","",VLOOKUP(A1312,[9]PRIORIZADOS!$A:$M,13,FALSE)),"")</f>
        <v>45722</v>
      </c>
      <c r="N1312" s="71">
        <f>IFERROR(IF(VLOOKUP(A1312,[9]PRIORIZADOS!$A:$N,14,FALSE)="","",VLOOKUP(A1312,[9]PRIORIZADOS!$A:$N,14,FALSE)),"")</f>
        <v>45722</v>
      </c>
      <c r="O1312" s="71">
        <f>IFERROR(IF(VLOOKUP(A1312,[9]PRIORIZADOS!$A:$O,15,FALSE)="","",VLOOKUP(A1312,[9]PRIORIZADOS!$A:$O,15,FALSE)),"")</f>
        <v>45723</v>
      </c>
      <c r="P1312" s="11" t="str">
        <f>IFERROR(IF(VLOOKUP(A1312,[9]PRIORIZADOS!$A:$P,16,FALSE)="","",VLOOKUP(A1312,[9]PRIORIZADOS!$A:$P,16,FALSE)),"")</f>
        <v>Visitas de evaluación con fines de seguimiento</v>
      </c>
      <c r="Q1312" s="26" t="s">
        <v>320</v>
      </c>
      <c r="R1312" s="11" t="str">
        <f>IFERROR(IF(VLOOKUP(A1312,[9]PRIORIZADOS!$A:$R,18,FALSE)="","",VLOOKUP(A1312,[9]PRIORIZADOS!$A:$R,18,FALSE)),"")</f>
        <v>Se revisa las hojas de vida de 30 docentes  y un administrativo en la cual se aporta la verificación de inhabilidades por delitos sexuales cada 4 meses.</v>
      </c>
      <c r="S1312" s="11" t="str">
        <f>IFERROR(IF(VLOOKUP(A1312,[9]PRIORIZADOS!$A:$S,19,FALSE)="","",VLOOKUP(A1312,[9]PRIORIZADOS!$A:$S,19,FALSE)),"")</f>
        <v>Continuar realizando la verificación de antecedentes cada 4 meses.</v>
      </c>
      <c r="T1312" s="70" t="str">
        <f>IFERROR(IF(VLOOKUP(A1312,[9]PRIORIZADOS!$A:$T,20,FALSE)="","",VLOOKUP(A1312,[9]PRIORIZADOS!$A:$T,20,FALSE)),"")</f>
        <v>No</v>
      </c>
      <c r="U1312" s="11" t="str">
        <f>IFERROR(IF(VLOOKUP(A1312,[9]PRIORIZADOS!$A:$U,21,FALSE)="","",VLOOKUP(A1312,[9]PRIORIZADOS!$A:$U,21,FALSE)),"")</f>
        <v>Se realizará solicitud documental en el mes de agosto 2025, en la cual la Institución Educativa de cuenta de la frecuencia establecida en la norma de revisión de antecedentes</v>
      </c>
    </row>
    <row r="1313" spans="1:21" s="1" customFormat="1" ht="72">
      <c r="A1313" s="69">
        <f>IF([9]PRIORIZADOS!A10="","",[9]PRIORIZADOS!A10)</f>
        <v>1254</v>
      </c>
      <c r="B1313" s="70">
        <f>IFERROR(IF(VLOOKUP(A1313,[9]PRIORIZADOS!$A:$B,2,FALSE)="","",VLOOKUP(A1313,[9]PRIORIZADOS!$A:$B,2,FALSE)),"")</f>
        <v>1</v>
      </c>
      <c r="C1313" s="11" t="str">
        <f>IFERROR(IF(VLOOKUP(A1313,[9]PRIORIZADOS!$A:$C,3,FALSE)="","",VLOOKUP(A1313,[9]PRIORIZADOS!$A:$C,3,FALSE)),"")</f>
        <v>LOS MÁRTIRES</v>
      </c>
      <c r="D1313" s="11" t="str">
        <f>IFERROR(IF(VLOOKUP(A1313,[9]PRIORIZADOS!$A:$D,4,FALSE)="","",VLOOKUP(A1313,[9]PRIORIZADOS!$A:$D,4,FALSE)),"")</f>
        <v>PRIVADO</v>
      </c>
      <c r="E1313" s="11" t="str">
        <f>IFERROR(IF(VLOOKUP(A1313,[9]PRIORIZADOS!$A:$E,5,FALSE)="","",VLOOKUP(A1313,[9]PRIORIZADOS!$A:$E,5,FALSE)),"")</f>
        <v>EPBM</v>
      </c>
      <c r="F1313" s="11" t="str">
        <f>IFERROR(IF(VLOOKUP(A1313,[9]PRIORIZADOS!$A:$F,6,FALSE)="","",VLOOKUP(A1313,[9]PRIORIZADOS!$A:$F,6,FALSE)),"")</f>
        <v>COLEGIO_BILINGÜE_INTEGRAL</v>
      </c>
      <c r="G1313" s="11" t="str">
        <f>IFERROR(IF(VLOOKUP(A1313,[9]PRIORIZADOS!$A:$G,7,FALSE)="","",VLOOKUP(A1313,[9]PRIORIZADOS!$A:$G,7,FALSE)),"")</f>
        <v>COLEGIO BILINGÜE INTEGRAL</v>
      </c>
      <c r="H1313" s="11" t="str">
        <f>IFERROR(IF(VLOOKUP(A1313,[9]PRIORIZADOS!$A:$H,8,FALSE)="","",VLOOKUP(A1313,[9]PRIORIZADOS!$A:$H,8,FALSE)),"")</f>
        <v>Colegios Nuevos (creados en los últimos 2 años) / Seguimiento a los PMI acordados en 2024</v>
      </c>
      <c r="I1313" s="11" t="str">
        <f>IFERROR(IF(VLOOKUP(A1313,[9]PRIORIZADOS!$A:$I,9,FALSE)="","",VLOOKUP(A1313,[9]PRIORIZADOS!$A:$I,9,FALSE)),"")</f>
        <v>SEGUIMIENTO_Y_SUPERVISIÓN.</v>
      </c>
      <c r="J1313" s="11" t="str">
        <f>IFERROR(IF(VLOOKUP(A1313,[9]PRIORIZADOS!$A:$J,10,FALSE)="","",VLOOKUP(A1313,[9]PRIORIZADOS!$A:$J,10,FALSE)),"")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13" s="11" t="str">
        <f>IFERROR(IF(VLOOKUP(A1313,[9]PRIORIZADOS!$A:$K,11,FALSE)="","",VLOOKUP(A1313,[9]PRIORIZADOS!$A:$K,11,FALSE)),"")</f>
        <v>CARLOS EDUARDO VARGAS LÓPEZ</v>
      </c>
      <c r="L1313" s="11" t="str">
        <f>IFERROR(IF(VLOOKUP(A1313,[9]PRIORIZADOS!$A:$L,12,FALSE)="","",VLOOKUP(A1313,[9]PRIORIZADOS!$A:$L,12,FALSE)),"")</f>
        <v>LUIS ALEJANDRO MARTÍNEZ PALACIOS</v>
      </c>
      <c r="M1313" s="71">
        <f>IFERROR(IF(VLOOKUP(A1313,[9]PRIORIZADOS!$A:$M,13,FALSE)="","",VLOOKUP(A1313,[9]PRIORIZADOS!$A:$M,13,FALSE)),"")</f>
        <v>45722</v>
      </c>
      <c r="N1313" s="71">
        <f>IFERROR(IF(VLOOKUP(A1313,[9]PRIORIZADOS!$A:$N,14,FALSE)="","",VLOOKUP(A1313,[9]PRIORIZADOS!$A:$N,14,FALSE)),"")</f>
        <v>45722</v>
      </c>
      <c r="O1313" s="71">
        <f>IFERROR(IF(VLOOKUP(A1313,[9]PRIORIZADOS!$A:$O,15,FALSE)="","",VLOOKUP(A1313,[9]PRIORIZADOS!$A:$O,15,FALSE)),"")</f>
        <v>45723</v>
      </c>
      <c r="P1313" s="11" t="str">
        <f>IFERROR(IF(VLOOKUP(A1313,[9]PRIORIZADOS!$A:$P,16,FALSE)="","",VLOOKUP(A1313,[9]PRIORIZADOS!$A:$P,16,FALSE)),"")</f>
        <v>Visitas de evaluación con fines de seguimiento</v>
      </c>
      <c r="Q1313" s="26" t="s">
        <v>320</v>
      </c>
      <c r="R1313" s="11" t="str">
        <f>IFERROR(IF(VLOOKUP(A1313,[9]PRIORIZADOS!$A:$R,18,FALSE)="","",VLOOKUP(A1313,[9]PRIORIZADOS!$A:$R,18,FALSE)),"")</f>
        <v>Se verifica contra el reporte de SIMAT los PIAR de los estudiantes identificados. Se evidencia  8 estudiantes  con documentos PIAR sin acuerdos, firmas de los padres ni diagnostico medico.</v>
      </c>
      <c r="S1313" s="11" t="str">
        <f>IFERROR(IF(VLOOKUP(A1313,[9]PRIORIZADOS!$A:$S,19,FALSE)="","",VLOOKUP(A1313,[9]PRIORIZADOS!$A:$S,19,FALSE)),"")</f>
        <v>Realizar retroalimentación con padres de familia para establecer los acuerdos en el proceso académico de los estudiantes y aporte de los diagnósticos médicos.</v>
      </c>
      <c r="T1313" s="70" t="str">
        <f>IFERROR(IF(VLOOKUP(A1313,[9]PRIORIZADOS!$A:$T,20,FALSE)="","",VLOOKUP(A1313,[9]PRIORIZADOS!$A:$T,20,FALSE)),"")</f>
        <v>No</v>
      </c>
      <c r="U1313" s="11" t="str">
        <f>IFERROR(IF(VLOOKUP(A1313,[9]PRIORIZADOS!$A:$U,21,FALSE)="","",VLOOKUP(A1313,[9]PRIORIZADOS!$A:$U,21,FALSE)),"")</f>
        <v>Se realizará solicitud documental para verificar la elaboración de PIAR de los estudiantes y que sean de conocimiento de la familia, en el mes de septimbre.
. Se realizó nueva visita de seguimientoen el mes de septiembre encontrando que se habían formalizado los documentos PIAR.</v>
      </c>
    </row>
    <row r="1314" spans="1:21" s="1" customFormat="1" ht="84">
      <c r="A1314" s="69">
        <f>IF([9]PRIORIZADOS!A11="","",[9]PRIORIZADOS!A11)</f>
        <v>1255</v>
      </c>
      <c r="B1314" s="70">
        <f>IFERROR(IF(VLOOKUP(A1314,[9]PRIORIZADOS!$A:$B,2,FALSE)="","",VLOOKUP(A1314,[9]PRIORIZADOS!$A:$B,2,FALSE)),"")</f>
        <v>1</v>
      </c>
      <c r="C1314" s="11" t="str">
        <f>IFERROR(IF(VLOOKUP(A1314,[9]PRIORIZADOS!$A:$C,3,FALSE)="","",VLOOKUP(A1314,[9]PRIORIZADOS!$A:$C,3,FALSE)),"")</f>
        <v>LOS MÁRTIRES</v>
      </c>
      <c r="D1314" s="11" t="str">
        <f>IFERROR(IF(VLOOKUP(A1314,[9]PRIORIZADOS!$A:$D,4,FALSE)="","",VLOOKUP(A1314,[9]PRIORIZADOS!$A:$D,4,FALSE)),"")</f>
        <v>PRIVADO</v>
      </c>
      <c r="E1314" s="11" t="str">
        <f>IFERROR(IF(VLOOKUP(A1314,[9]PRIORIZADOS!$A:$E,5,FALSE)="","",VLOOKUP(A1314,[9]PRIORIZADOS!$A:$E,5,FALSE)),"")</f>
        <v>EPBM</v>
      </c>
      <c r="F1314" s="11" t="str">
        <f>IFERROR(IF(VLOOKUP(A1314,[9]PRIORIZADOS!$A:$F,6,FALSE)="","",VLOOKUP(A1314,[9]PRIORIZADOS!$A:$F,6,FALSE)),"")</f>
        <v>COLEGIO_BILINGÜE_INTEGRAL</v>
      </c>
      <c r="G1314" s="11" t="str">
        <f>IFERROR(IF(VLOOKUP(A1314,[9]PRIORIZADOS!$A:$G,7,FALSE)="","",VLOOKUP(A1314,[9]PRIORIZADOS!$A:$G,7,FALSE)),"")</f>
        <v>COLEGIO BILINGÜE INTEGRAL</v>
      </c>
      <c r="H1314" s="11" t="str">
        <f>IFERROR(IF(VLOOKUP(A1314,[9]PRIORIZADOS!$A:$H,8,FALSE)="","",VLOOKUP(A1314,[9]PRIORIZADOS!$A:$H,8,FALSE)),"")</f>
        <v>Colegios Nuevos (creados en los últimos 2 años) / Seguimiento a los PMI acordados en 2024</v>
      </c>
      <c r="I1314" s="11" t="str">
        <f>IFERROR(IF(VLOOKUP(A1314,[9]PRIORIZADOS!$A:$I,9,FALSE)="","",VLOOKUP(A1314,[9]PRIORIZADOS!$A:$I,9,FALSE)),"")</f>
        <v>EVALUACIÓN_CON_FINES_DE_MEJORAMIENTO.</v>
      </c>
      <c r="J1314" s="11" t="str">
        <f>IFERROR(IF(VLOOKUP(A1314,[9]PRIORIZADOS!$A:$J,10,FALSE)="","",VLOOKUP(A1314,[9]PRIORIZADOS!$A:$J,10,FALSE)),"")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14" s="11" t="str">
        <f>IFERROR(IF(VLOOKUP(A1314,[9]PRIORIZADOS!$A:$K,11,FALSE)="","",VLOOKUP(A1314,[9]PRIORIZADOS!$A:$K,11,FALSE)),"")</f>
        <v>CARLOS EDUARDO VARGAS LÓPEZ</v>
      </c>
      <c r="L1314" s="11" t="str">
        <f>IFERROR(IF(VLOOKUP(A1314,[9]PRIORIZADOS!$A:$L,12,FALSE)="","",VLOOKUP(A1314,[9]PRIORIZADOS!$A:$L,12,FALSE)),"")</f>
        <v>LUIS ALEJANDRO MARTÍNEZ PALACIOS</v>
      </c>
      <c r="M1314" s="71">
        <f>IFERROR(IF(VLOOKUP(A1314,[9]PRIORIZADOS!$A:$M,13,FALSE)="","",VLOOKUP(A1314,[9]PRIORIZADOS!$A:$M,13,FALSE)),"")</f>
        <v>45722</v>
      </c>
      <c r="N1314" s="71">
        <f>IFERROR(IF(VLOOKUP(A1314,[9]PRIORIZADOS!$A:$N,14,FALSE)="","",VLOOKUP(A1314,[9]PRIORIZADOS!$A:$N,14,FALSE)),"")</f>
        <v>45722</v>
      </c>
      <c r="O1314" s="71">
        <f>IFERROR(IF(VLOOKUP(A1314,[9]PRIORIZADOS!$A:$O,15,FALSE)="","",VLOOKUP(A1314,[9]PRIORIZADOS!$A:$O,15,FALSE)),"")</f>
        <v>45723</v>
      </c>
      <c r="P1314" s="11" t="str">
        <f>IFERROR(IF(VLOOKUP(A1314,[9]PRIORIZADOS!$A:$P,16,FALSE)="","",VLOOKUP(A1314,[9]PRIORIZADOS!$A:$P,16,FALSE)),"")</f>
        <v>Visitas de evaluación con fines de mejoramiento</v>
      </c>
      <c r="Q1314" s="26" t="s">
        <v>320</v>
      </c>
      <c r="R1314" s="11" t="str">
        <f>IFERROR(IF(VLOOKUP(A1314,[9]PRIORIZADOS!$A:$R,18,FALSE)="","",VLOOKUP(A1314,[9]PRIORIZADOS!$A:$R,18,FALSE)),"")</f>
        <v xml:space="preserve">Se verificó la existencia del Manual de Convivencia, sin embargo, con base a la evaluación realizada 2024 hay componentes de normas que no se encuentran desarrollados </v>
      </c>
      <c r="S1314" s="11" t="str">
        <f>IFERROR(IF(VLOOKUP(A1314,[9]PRIORIZADOS!$A:$S,19,FALSE)="","",VLOOKUP(A1314,[9]PRIORIZADOS!$A:$S,19,FALSE)),"")</f>
        <v>Revisar su Manual y actualizarlo con la participación de los órganos e instancias correspondientes y presentarlo para su evaluación.</v>
      </c>
      <c r="T1314" s="70" t="str">
        <f>IFERROR(IF(VLOOKUP(A1314,[9]PRIORIZADOS!$A:$T,20,FALSE)="","",VLOOKUP(A1314,[9]PRIORIZADOS!$A:$T,20,FALSE)),"")</f>
        <v>Si</v>
      </c>
      <c r="U1314" s="11" t="str">
        <f>IFERROR(IF(VLOOKUP(A1314,[9]PRIORIZADOS!$A:$U,21,FALSE)="","",VLOOKUP(A1314,[9]PRIORIZADOS!$A:$U,21,FALSE)),"")</f>
        <v>Realizar evaluación del Manual de Convivencia 2025 y comunicar el resultado a la IE, en febrero de 2026.</v>
      </c>
    </row>
    <row r="1315" spans="1:21" s="1" customFormat="1" ht="72">
      <c r="A1315" s="69">
        <f>IF([9]PRIORIZADOS!A12="","",[9]PRIORIZADOS!A12)</f>
        <v>1256</v>
      </c>
      <c r="B1315" s="70">
        <f>IFERROR(IF(VLOOKUP(A1315,[9]PRIORIZADOS!$A:$B,2,FALSE)="","",VLOOKUP(A1315,[9]PRIORIZADOS!$A:$B,2,FALSE)),"")</f>
        <v>1</v>
      </c>
      <c r="C1315" s="11" t="str">
        <f>IFERROR(IF(VLOOKUP(A1315,[9]PRIORIZADOS!$A:$C,3,FALSE)="","",VLOOKUP(A1315,[9]PRIORIZADOS!$A:$C,3,FALSE)),"")</f>
        <v>LOS MÁRTIRES</v>
      </c>
      <c r="D1315" s="11" t="str">
        <f>IFERROR(IF(VLOOKUP(A1315,[9]PRIORIZADOS!$A:$D,4,FALSE)="","",VLOOKUP(A1315,[9]PRIORIZADOS!$A:$D,4,FALSE)),"")</f>
        <v>PRIVADO</v>
      </c>
      <c r="E1315" s="11" t="str">
        <f>IFERROR(IF(VLOOKUP(A1315,[9]PRIORIZADOS!$A:$E,5,FALSE)="","",VLOOKUP(A1315,[9]PRIORIZADOS!$A:$E,5,FALSE)),"")</f>
        <v>EPBM</v>
      </c>
      <c r="F1315" s="11" t="str">
        <f>IFERROR(IF(VLOOKUP(A1315,[9]PRIORIZADOS!$A:$F,6,FALSE)="","",VLOOKUP(A1315,[9]PRIORIZADOS!$A:$F,6,FALSE)),"")</f>
        <v>COLEGIO_BILINGÜE_INTEGRAL</v>
      </c>
      <c r="G1315" s="11" t="str">
        <f>IFERROR(IF(VLOOKUP(A1315,[9]PRIORIZADOS!$A:$G,7,FALSE)="","",VLOOKUP(A1315,[9]PRIORIZADOS!$A:$G,7,FALSE)),"")</f>
        <v>COLEGIO BILINGÜE INTEGRAL</v>
      </c>
      <c r="H1315" s="11" t="str">
        <f>IFERROR(IF(VLOOKUP(A1315,[9]PRIORIZADOS!$A:$H,8,FALSE)="","",VLOOKUP(A1315,[9]PRIORIZADOS!$A:$H,8,FALSE)),"")</f>
        <v>Colegios Nuevos (creados en los últimos 2 años) / Seguimiento a los PMI acordados en 2024</v>
      </c>
      <c r="I1315" s="11" t="str">
        <f>IFERROR(IF(VLOOKUP(A1315,[9]PRIORIZADOS!$A:$I,9,FALSE)="","",VLOOKUP(A1315,[9]PRIORIZADOS!$A:$I,9,FALSE)),"")</f>
        <v>EVALUACIÓN_CON_FINES_DE_MEJORAMIENTO.</v>
      </c>
      <c r="J1315" s="11" t="str">
        <f>IFERROR(IF(VLOOKUP(A1315,[9]PRIORIZADOS!$A:$J,10,FALSE)="","",VLOOKUP(A1315,[9]PRIORIZADOS!$A:$J,10,FALSE)),"")</f>
        <v>Revisar la actualización, socialización e implementación del Sistema Institucional de Evaluación de Estudiantes - SIEE, en articulación con la actualización del PEI y la normatividad vigente.</v>
      </c>
      <c r="K1315" s="11" t="str">
        <f>IFERROR(IF(VLOOKUP(A1315,[9]PRIORIZADOS!$A:$K,11,FALSE)="","",VLOOKUP(A1315,[9]PRIORIZADOS!$A:$K,11,FALSE)),"")</f>
        <v>CARLOS EDUARDO VARGAS LÓPEZ</v>
      </c>
      <c r="L1315" s="11" t="str">
        <f>IFERROR(IF(VLOOKUP(A1315,[9]PRIORIZADOS!$A:$L,12,FALSE)="","",VLOOKUP(A1315,[9]PRIORIZADOS!$A:$L,12,FALSE)),"")</f>
        <v>LUIS ALEJANDRO MARTÍNEZ PALACIOS</v>
      </c>
      <c r="M1315" s="71">
        <f>IFERROR(IF(VLOOKUP(A1315,[9]PRIORIZADOS!$A:$M,13,FALSE)="","",VLOOKUP(A1315,[9]PRIORIZADOS!$A:$M,13,FALSE)),"")</f>
        <v>45722</v>
      </c>
      <c r="N1315" s="71">
        <f>IFERROR(IF(VLOOKUP(A1315,[9]PRIORIZADOS!$A:$N,14,FALSE)="","",VLOOKUP(A1315,[9]PRIORIZADOS!$A:$N,14,FALSE)),"")</f>
        <v>45722</v>
      </c>
      <c r="O1315" s="71">
        <f>IFERROR(IF(VLOOKUP(A1315,[9]PRIORIZADOS!$A:$O,15,FALSE)="","",VLOOKUP(A1315,[9]PRIORIZADOS!$A:$O,15,FALSE)),"")</f>
        <v>45723</v>
      </c>
      <c r="P1315" s="11" t="str">
        <f>IFERROR(IF(VLOOKUP(A1315,[9]PRIORIZADOS!$A:$P,16,FALSE)="","",VLOOKUP(A1315,[9]PRIORIZADOS!$A:$P,16,FALSE)),"")</f>
        <v>Visitas de evaluación con fines de seguimiento</v>
      </c>
      <c r="Q1315" s="26" t="s">
        <v>320</v>
      </c>
      <c r="R1315" s="11" t="str">
        <f>IFERROR(IF(VLOOKUP(A1315,[9]PRIORIZADOS!$A:$R,18,FALSE)="","",VLOOKUP(A1315,[9]PRIORIZADOS!$A:$R,18,FALSE)),"")</f>
        <v xml:space="preserve">Se verificó la existencia del SIEE, sin embargo, con base a la evaluación realizada 2024 se requiere que se defina los procesos evaluativos, aprendizajes y de valoración promoción de los estudiantes del ciclo II de la educación inicial. </v>
      </c>
      <c r="S1315" s="11" t="str">
        <f>IFERROR(IF(VLOOKUP(A1315,[9]PRIORIZADOS!$A:$S,19,FALSE)="","",VLOOKUP(A1315,[9]PRIORIZADOS!$A:$S,19,FALSE)),"")</f>
        <v>Revisar el SIEE y actualizarlo con la participación de los órganos e instancias correspondientes y presentarlo para su evaluación.</v>
      </c>
      <c r="T1315" s="70" t="str">
        <f>IFERROR(IF(VLOOKUP(A1315,[9]PRIORIZADOS!$A:$T,20,FALSE)="","",VLOOKUP(A1315,[9]PRIORIZADOS!$A:$T,20,FALSE)),"")</f>
        <v>No</v>
      </c>
      <c r="U1315" s="11" t="str">
        <f>IFERROR(IF(VLOOKUP(A1315,[9]PRIORIZADOS!$A:$U,21,FALSE)="","",VLOOKUP(A1315,[9]PRIORIZADOS!$A:$U,21,FALSE)),"")</f>
        <v>Realizar evaluación del SIEE actualizado en febrero de 2026.</v>
      </c>
    </row>
    <row r="1316" spans="1:21" s="1" customFormat="1" ht="48">
      <c r="A1316" s="69">
        <f>IF([9]PRIORIZADOS!A13="","",[9]PRIORIZADOS!A13)</f>
        <v>1257</v>
      </c>
      <c r="B1316" s="70">
        <f>IFERROR(IF(VLOOKUP(A1316,[9]PRIORIZADOS!$A:$B,2,FALSE)="","",VLOOKUP(A1316,[9]PRIORIZADOS!$A:$B,2,FALSE)),"")</f>
        <v>1</v>
      </c>
      <c r="C1316" s="11" t="str">
        <f>IFERROR(IF(VLOOKUP(A1316,[9]PRIORIZADOS!$A:$C,3,FALSE)="","",VLOOKUP(A1316,[9]PRIORIZADOS!$A:$C,3,FALSE)),"")</f>
        <v>LOS MÁRTIRES</v>
      </c>
      <c r="D1316" s="11" t="str">
        <f>IFERROR(IF(VLOOKUP(A1316,[9]PRIORIZADOS!$A:$D,4,FALSE)="","",VLOOKUP(A1316,[9]PRIORIZADOS!$A:$D,4,FALSE)),"")</f>
        <v>PRIVADO</v>
      </c>
      <c r="E1316" s="11" t="str">
        <f>IFERROR(IF(VLOOKUP(A1316,[9]PRIORIZADOS!$A:$E,5,FALSE)="","",VLOOKUP(A1316,[9]PRIORIZADOS!$A:$E,5,FALSE)),"")</f>
        <v>EPBM</v>
      </c>
      <c r="F1316" s="11" t="str">
        <f>IFERROR(IF(VLOOKUP(A1316,[9]PRIORIZADOS!$A:$F,6,FALSE)="","",VLOOKUP(A1316,[9]PRIORIZADOS!$A:$F,6,FALSE)),"")</f>
        <v>COLEGIO_BILINGÜE_INTEGRAL</v>
      </c>
      <c r="G1316" s="11" t="str">
        <f>IFERROR(IF(VLOOKUP(A1316,[9]PRIORIZADOS!$A:$G,7,FALSE)="","",VLOOKUP(A1316,[9]PRIORIZADOS!$A:$G,7,FALSE)),"")</f>
        <v>COLEGIO BILINGÜE INTEGRAL</v>
      </c>
      <c r="H1316" s="11" t="str">
        <f>IFERROR(IF(VLOOKUP(A1316,[9]PRIORIZADOS!$A:$H,8,FALSE)="","",VLOOKUP(A1316,[9]PRIORIZADOS!$A:$H,8,FALSE)),"")</f>
        <v>Colegios Nuevos (creados en los últimos 2 años) / Seguimiento a los PMI acordados en 2024</v>
      </c>
      <c r="I1316" s="11" t="str">
        <f>IFERROR(IF(VLOOKUP(A1316,[9]PRIORIZADOS!$A:$I,9,FALSE)="","",VLOOKUP(A1316,[9]PRIORIZADOS!$A:$I,9,FALSE)),"")</f>
        <v>EVALUACIÓN_CON_FINES_DE_MEJORAMIENTO.</v>
      </c>
      <c r="J1316" s="11" t="str">
        <f>IFERROR(IF(VLOOKUP(A1316,[9]PRIORIZADOS!$A:$J,10,FALSE)="","",VLOOKUP(A1316,[9]PRIORIZADOS!$A:$J,10,FALSE)),"")</f>
        <v>Verificar el funcionamiento del Gobierno Escolar e instancias de participación con base en la información sobre conformación reportada por la institución educativa.</v>
      </c>
      <c r="K1316" s="11" t="str">
        <f>IFERROR(IF(VLOOKUP(A1316,[9]PRIORIZADOS!$A:$K,11,FALSE)="","",VLOOKUP(A1316,[9]PRIORIZADOS!$A:$K,11,FALSE)),"")</f>
        <v>CARLOS EDUARDO VARGAS LÓPEZ</v>
      </c>
      <c r="L1316" s="11" t="str">
        <f>IFERROR(IF(VLOOKUP(A1316,[9]PRIORIZADOS!$A:$L,12,FALSE)="","",VLOOKUP(A1316,[9]PRIORIZADOS!$A:$L,12,FALSE)),"")</f>
        <v>LUIS ALEJANDRO MARTÍNEZ PALACIOS</v>
      </c>
      <c r="M1316" s="71">
        <f>IFERROR(IF(VLOOKUP(A1316,[9]PRIORIZADOS!$A:$M,13,FALSE)="","",VLOOKUP(A1316,[9]PRIORIZADOS!$A:$M,13,FALSE)),"")</f>
        <v>45722</v>
      </c>
      <c r="N1316" s="71">
        <f>IFERROR(IF(VLOOKUP(A1316,[9]PRIORIZADOS!$A:$N,14,FALSE)="","",VLOOKUP(A1316,[9]PRIORIZADOS!$A:$N,14,FALSE)),"")</f>
        <v>45722</v>
      </c>
      <c r="O1316" s="71">
        <f>IFERROR(IF(VLOOKUP(A1316,[9]PRIORIZADOS!$A:$O,15,FALSE)="","",VLOOKUP(A1316,[9]PRIORIZADOS!$A:$O,15,FALSE)),"")</f>
        <v>45723</v>
      </c>
      <c r="P1316" s="11" t="str">
        <f>IFERROR(IF(VLOOKUP(A1316,[9]PRIORIZADOS!$A:$P,16,FALSE)="","",VLOOKUP(A1316,[9]PRIORIZADOS!$A:$P,16,FALSE)),"")</f>
        <v>Visitas de evaluación con fines de seguimiento</v>
      </c>
      <c r="Q1316" s="26" t="s">
        <v>320</v>
      </c>
      <c r="R1316" s="11" t="str">
        <f>IFERROR(IF(VLOOKUP(A1316,[9]PRIORIZADOS!$A:$R,18,FALSE)="","",VLOOKUP(A1316,[9]PRIORIZADOS!$A:$R,18,FALSE)),"")</f>
        <v>Se evidenció actas de gobiernos escolares y alguna instancias de la vigencia 2024</v>
      </c>
      <c r="S1316" s="11" t="str">
        <f>IFERROR(IF(VLOOKUP(A1316,[9]PRIORIZADOS!$A:$S,19,FALSE)="","",VLOOKUP(A1316,[9]PRIORIZADOS!$A:$S,19,FALSE)),"")</f>
        <v>Operativizar los gobiernos e instancias para la presente vigencia acorde a sus funciones.</v>
      </c>
      <c r="T1316" s="70" t="str">
        <f>IFERROR(IF(VLOOKUP(A1316,[9]PRIORIZADOS!$A:$T,20,FALSE)="","",VLOOKUP(A1316,[9]PRIORIZADOS!$A:$T,20,FALSE)),"")</f>
        <v>No</v>
      </c>
      <c r="U1316" s="11" t="str">
        <f>IFERROR(IF(VLOOKUP(A1316,[9]PRIORIZADOS!$A:$U,21,FALSE)="","",VLOOKUP(A1316,[9]PRIORIZADOS!$A:$U,21,FALSE)),"")</f>
        <v>Se verificará para la siguiente vigencia.</v>
      </c>
    </row>
    <row r="1317" spans="1:21" s="1" customFormat="1" ht="48">
      <c r="A1317" s="69">
        <f>IF([9]PRIORIZADOS!A14="","",[9]PRIORIZADOS!A14)</f>
        <v>1258</v>
      </c>
      <c r="B1317" s="70">
        <f>IFERROR(IF(VLOOKUP(A1317,[9]PRIORIZADOS!$A:$B,2,FALSE)="","",VLOOKUP(A1317,[9]PRIORIZADOS!$A:$B,2,FALSE)),"")</f>
        <v>1</v>
      </c>
      <c r="C1317" s="11" t="str">
        <f>IFERROR(IF(VLOOKUP(A1317,[9]PRIORIZADOS!$A:$C,3,FALSE)="","",VLOOKUP(A1317,[9]PRIORIZADOS!$A:$C,3,FALSE)),"")</f>
        <v>LOS MÁRTIRES</v>
      </c>
      <c r="D1317" s="11" t="str">
        <f>IFERROR(IF(VLOOKUP(A1317,[9]PRIORIZADOS!$A:$D,4,FALSE)="","",VLOOKUP(A1317,[9]PRIORIZADOS!$A:$D,4,FALSE)),"")</f>
        <v>PRIVADO</v>
      </c>
      <c r="E1317" s="11" t="str">
        <f>IFERROR(IF(VLOOKUP(A1317,[9]PRIORIZADOS!$A:$E,5,FALSE)="","",VLOOKUP(A1317,[9]PRIORIZADOS!$A:$E,5,FALSE)),"")</f>
        <v>EPBM</v>
      </c>
      <c r="F1317" s="11" t="str">
        <f>IFERROR(IF(VLOOKUP(A1317,[9]PRIORIZADOS!$A:$F,6,FALSE)="","",VLOOKUP(A1317,[9]PRIORIZADOS!$A:$F,6,FALSE)),"")</f>
        <v>COLEGIO_BILINGÜE_INTEGRAL</v>
      </c>
      <c r="G1317" s="11" t="str">
        <f>IFERROR(IF(VLOOKUP(A1317,[9]PRIORIZADOS!$A:$G,7,FALSE)="","",VLOOKUP(A1317,[9]PRIORIZADOS!$A:$G,7,FALSE)),"")</f>
        <v>COLEGIO BILINGÜE INTEGRAL</v>
      </c>
      <c r="H1317" s="11" t="str">
        <f>IFERROR(IF(VLOOKUP(A1317,[9]PRIORIZADOS!$A:$H,8,FALSE)="","",VLOOKUP(A1317,[9]PRIORIZADOS!$A:$H,8,FALSE)),"")</f>
        <v>Colegios Nuevos (creados en los últimos 2 años) / Seguimiento a los PMI acordados en 2024</v>
      </c>
      <c r="I1317" s="11" t="str">
        <f>IFERROR(IF(VLOOKUP(A1317,[9]PRIORIZADOS!$A:$I,9,FALSE)="","",VLOOKUP(A1317,[9]PRIORIZADOS!$A:$I,9,FALSE)),"")</f>
        <v>EVALUACIÓN_CON_FINES_DE_MEJORAMIENTO.</v>
      </c>
      <c r="J1317" s="11" t="str">
        <f>IFERROR(IF(VLOOKUP(A1317,[9]PRIORIZADOS!$A:$J,10,FALSE)="","",VLOOKUP(A1317,[9]PRIORIZADOS!$A:$J,10,FALSE)),"")</f>
        <v>Revisar el calendario escolar, jornada escolar, la intensidad horaria mínima anual en cada nivel y las modificaciones que se realicen al mismo, de acuerdo con lo previsto en la normatividad vigente.</v>
      </c>
      <c r="K1317" s="11" t="str">
        <f>IFERROR(IF(VLOOKUP(A1317,[9]PRIORIZADOS!$A:$K,11,FALSE)="","",VLOOKUP(A1317,[9]PRIORIZADOS!$A:$K,11,FALSE)),"")</f>
        <v>CARLOS EDUARDO VARGAS LÓPEZ</v>
      </c>
      <c r="L1317" s="11" t="str">
        <f>IFERROR(IF(VLOOKUP(A1317,[9]PRIORIZADOS!$A:$L,12,FALSE)="","",VLOOKUP(A1317,[9]PRIORIZADOS!$A:$L,12,FALSE)),"")</f>
        <v>LUIS ALEJANDRO MARTÍNEZ PALACIOS</v>
      </c>
      <c r="M1317" s="71">
        <f>IFERROR(IF(VLOOKUP(A1317,[9]PRIORIZADOS!$A:$M,13,FALSE)="","",VLOOKUP(A1317,[9]PRIORIZADOS!$A:$M,13,FALSE)),"")</f>
        <v>45722</v>
      </c>
      <c r="N1317" s="71">
        <f>IFERROR(IF(VLOOKUP(A1317,[9]PRIORIZADOS!$A:$N,14,FALSE)="","",VLOOKUP(A1317,[9]PRIORIZADOS!$A:$N,14,FALSE)),"")</f>
        <v>45722</v>
      </c>
      <c r="O1317" s="71">
        <f>IFERROR(IF(VLOOKUP(A1317,[9]PRIORIZADOS!$A:$O,15,FALSE)="","",VLOOKUP(A1317,[9]PRIORIZADOS!$A:$O,15,FALSE)),"")</f>
        <v>45723</v>
      </c>
      <c r="P1317" s="11" t="str">
        <f>IFERROR(IF(VLOOKUP(A1317,[9]PRIORIZADOS!$A:$P,16,FALSE)="","",VLOOKUP(A1317,[9]PRIORIZADOS!$A:$P,16,FALSE)),"")</f>
        <v>Visitas de evaluación con fines de seguimiento</v>
      </c>
      <c r="Q1317" s="26" t="s">
        <v>320</v>
      </c>
      <c r="R1317" s="11" t="str">
        <f>IFERROR(IF(VLOOKUP(A1317,[9]PRIORIZADOS!$A:$R,18,FALSE)="","",VLOOKUP(A1317,[9]PRIORIZADOS!$A:$R,18,FALSE)),"")</f>
        <v>Se verificó el cumplimiento del mínimo de horas anuales lectivas para los niveles de preescolar, básica y media</v>
      </c>
      <c r="S1317" s="11" t="str">
        <f>IFERROR(IF(VLOOKUP(A1317,[9]PRIORIZADOS!$A:$S,19,FALSE)="","",VLOOKUP(A1317,[9]PRIORIZADOS!$A:$S,19,FALSE)),"")</f>
        <v>Continuar con el desarrollo del calendario garantizando las 1200 horas anuales en los grados y niveles ofrecidos</v>
      </c>
      <c r="T1317" s="70" t="str">
        <f>IFERROR(IF(VLOOKUP(A1317,[9]PRIORIZADOS!$A:$T,20,FALSE)="","",VLOOKUP(A1317,[9]PRIORIZADOS!$A:$T,20,FALSE)),"")</f>
        <v>No</v>
      </c>
      <c r="U1317" s="11" t="str">
        <f>IFERROR(IF(VLOOKUP(A1317,[9]PRIORIZADOS!$A:$U,21,FALSE)="","",VLOOKUP(A1317,[9]PRIORIZADOS!$A:$U,21,FALSE)),"")</f>
        <v>Verificación para la próxima vigencia del Calendario establecido o en caso particular si se presenta queja relacionada.</v>
      </c>
    </row>
    <row r="1318" spans="1:21" s="1" customFormat="1" ht="60">
      <c r="A1318" s="69">
        <f>IF([9]PRIORIZADOS!A15="","",[9]PRIORIZADOS!A15)</f>
        <v>1259</v>
      </c>
      <c r="B1318" s="70">
        <f>IFERROR(IF(VLOOKUP(A1318,[9]PRIORIZADOS!$A:$B,2,FALSE)="","",VLOOKUP(A1318,[9]PRIORIZADOS!$A:$B,2,FALSE)),"")</f>
        <v>1</v>
      </c>
      <c r="C1318" s="11" t="str">
        <f>IFERROR(IF(VLOOKUP(A1318,[9]PRIORIZADOS!$A:$C,3,FALSE)="","",VLOOKUP(A1318,[9]PRIORIZADOS!$A:$C,3,FALSE)),"")</f>
        <v>LOS MÁRTIRES</v>
      </c>
      <c r="D1318" s="11" t="str">
        <f>IFERROR(IF(VLOOKUP(A1318,[9]PRIORIZADOS!$A:$D,4,FALSE)="","",VLOOKUP(A1318,[9]PRIORIZADOS!$A:$D,4,FALSE)),"")</f>
        <v>PRIVADO</v>
      </c>
      <c r="E1318" s="11" t="str">
        <f>IFERROR(IF(VLOOKUP(A1318,[9]PRIORIZADOS!$A:$E,5,FALSE)="","",VLOOKUP(A1318,[9]PRIORIZADOS!$A:$E,5,FALSE)),"")</f>
        <v>EPBM</v>
      </c>
      <c r="F1318" s="11" t="str">
        <f>IFERROR(IF(VLOOKUP(A1318,[9]PRIORIZADOS!$A:$F,6,FALSE)="","",VLOOKUP(A1318,[9]PRIORIZADOS!$A:$F,6,FALSE)),"")</f>
        <v>COLEGIO_BILINGÜE_INTEGRAL</v>
      </c>
      <c r="G1318" s="11" t="str">
        <f>IFERROR(IF(VLOOKUP(A1318,[9]PRIORIZADOS!$A:$G,7,FALSE)="","",VLOOKUP(A1318,[9]PRIORIZADOS!$A:$G,7,FALSE)),"")</f>
        <v>COLEGIO BILINGÜE INTEGRAL</v>
      </c>
      <c r="H1318" s="11" t="str">
        <f>IFERROR(IF(VLOOKUP(A1318,[9]PRIORIZADOS!$A:$H,8,FALSE)="","",VLOOKUP(A1318,[9]PRIORIZADOS!$A:$H,8,FALSE)),"")</f>
        <v>Colegios Nuevos (creados en los últimos 2 años) / Seguimiento a los PMI acordados en 2024</v>
      </c>
      <c r="I1318" s="11" t="str">
        <f>IFERROR(IF(VLOOKUP(A1318,[9]PRIORIZADOS!$A:$I,9,FALSE)="","",VLOOKUP(A1318,[9]PRIORIZADOS!$A:$I,9,FALSE)),"")</f>
        <v>EVALUACIÓN_CON_FINES_DE_MEJORAMIENTO.</v>
      </c>
      <c r="J1318" s="11" t="str">
        <f>IFERROR(IF(VLOOKUP(A1318,[9]PRIORIZADOS!$A:$J,10,FALSE)="","",VLOOKUP(A1318,[9]PRIORIZADOS!$A:$J,10,FALSE)),"")</f>
        <v>Verificar las condiciones en cuanto a: la estructura administrativa, condiciones de la planta física y medios educativos adecuados.</v>
      </c>
      <c r="K1318" s="11" t="str">
        <f>IFERROR(IF(VLOOKUP(A1318,[9]PRIORIZADOS!$A:$K,11,FALSE)="","",VLOOKUP(A1318,[9]PRIORIZADOS!$A:$K,11,FALSE)),"")</f>
        <v>CARLOS EDUARDO VARGAS LÓPEZ</v>
      </c>
      <c r="L1318" s="11" t="str">
        <f>IFERROR(IF(VLOOKUP(A1318,[9]PRIORIZADOS!$A:$L,12,FALSE)="","",VLOOKUP(A1318,[9]PRIORIZADOS!$A:$L,12,FALSE)),"")</f>
        <v>LUIS ALEJANDRO MARTÍNEZ PALACIOS</v>
      </c>
      <c r="M1318" s="71">
        <f>IFERROR(IF(VLOOKUP(A1318,[9]PRIORIZADOS!$A:$M,13,FALSE)="","",VLOOKUP(A1318,[9]PRIORIZADOS!$A:$M,13,FALSE)),"")</f>
        <v>45722</v>
      </c>
      <c r="N1318" s="71">
        <f>IFERROR(IF(VLOOKUP(A1318,[9]PRIORIZADOS!$A:$N,14,FALSE)="","",VLOOKUP(A1318,[9]PRIORIZADOS!$A:$N,14,FALSE)),"")</f>
        <v>45722</v>
      </c>
      <c r="O1318" s="71">
        <f>IFERROR(IF(VLOOKUP(A1318,[9]PRIORIZADOS!$A:$O,15,FALSE)="","",VLOOKUP(A1318,[9]PRIORIZADOS!$A:$O,15,FALSE)),"")</f>
        <v>45723</v>
      </c>
      <c r="P1318" s="11" t="str">
        <f>IFERROR(IF(VLOOKUP(A1318,[9]PRIORIZADOS!$A:$P,16,FALSE)="","",VLOOKUP(A1318,[9]PRIORIZADOS!$A:$P,16,FALSE)),"")</f>
        <v>Visitas de evaluación con fines de seguimiento</v>
      </c>
      <c r="Q1318" s="26" t="s">
        <v>320</v>
      </c>
      <c r="R1318" s="11" t="str">
        <f>IFERROR(IF(VLOOKUP(A1318,[9]PRIORIZADOS!$A:$R,18,FALSE)="","",VLOOKUP(A1318,[9]PRIORIZADOS!$A:$R,18,FALSE)),"")</f>
        <v>Se observó una planta física y medios educativos acordes con PEI. Se verificaron las tres plantas físicas de la institución educativa.</v>
      </c>
      <c r="S1318" s="11" t="str">
        <f>IFERROR(IF(VLOOKUP(A1318,[9]PRIORIZADOS!$A:$S,19,FALSE)="","",VLOOKUP(A1318,[9]PRIORIZADOS!$A:$S,19,FALSE)),"")</f>
        <v xml:space="preserve">Lo reportado en EVI corresponde, a la realidad institucional respecto la planta física, no requiere convenio de ambientes compartidos.
</v>
      </c>
      <c r="T1318" s="70" t="str">
        <f>IFERROR(IF(VLOOKUP(A1318,[9]PRIORIZADOS!$A:$T,20,FALSE)="","",VLOOKUP(A1318,[9]PRIORIZADOS!$A:$T,20,FALSE)),"")</f>
        <v>No</v>
      </c>
      <c r="U1318" s="11" t="str">
        <f>IFERROR(IF(VLOOKUP(A1318,[9]PRIORIZADOS!$A:$U,21,FALSE)="","",VLOOKUP(A1318,[9]PRIORIZADOS!$A:$U,21,FALSE)),"")</f>
        <v>A demanda de acuerdo con las peticiones de la ciudadanía o de los entes de control</v>
      </c>
    </row>
    <row r="1319" spans="1:21" s="1" customFormat="1" ht="72">
      <c r="A1319" s="69">
        <f>IF([9]PRIORIZADOS!A16="","",[9]PRIORIZADOS!A16)</f>
        <v>1260</v>
      </c>
      <c r="B1319" s="70">
        <f>IFERROR(IF(VLOOKUP(A1319,[9]PRIORIZADOS!$A:$B,2,FALSE)="","",VLOOKUP(A1319,[9]PRIORIZADOS!$A:$B,2,FALSE)),"")</f>
        <v>2</v>
      </c>
      <c r="C1319" s="11" t="str">
        <f>IFERROR(IF(VLOOKUP(A1319,[9]PRIORIZADOS!$A:$C,3,FALSE)="","",VLOOKUP(A1319,[9]PRIORIZADOS!$A:$C,3,FALSE)),"")</f>
        <v>LOS MÁRTIRES</v>
      </c>
      <c r="D1319" s="11" t="str">
        <f>IFERROR(IF(VLOOKUP(A1319,[9]PRIORIZADOS!$A:$D,4,FALSE)="","",VLOOKUP(A1319,[9]PRIORIZADOS!$A:$D,4,FALSE)),"")</f>
        <v>OFICIAL</v>
      </c>
      <c r="E1319" s="11" t="str">
        <f>IFERROR(IF(VLOOKUP(A1319,[9]PRIORIZADOS!$A:$E,5,FALSE)="","",VLOOKUP(A1319,[9]PRIORIZADOS!$A:$E,5,FALSE)),"")</f>
        <v>EPBM</v>
      </c>
      <c r="F1319" s="11" t="str">
        <f>IFERROR(IF(VLOOKUP(A1319,[9]PRIORIZADOS!$A:$F,6,FALSE)="","",VLOOKUP(A1319,[9]PRIORIZADOS!$A:$F,6,FALSE)),"")</f>
        <v>COLEGIO_REPUBLICA_BOLIVARIANA_DE_VENEZUELA_IED</v>
      </c>
      <c r="G1319" s="11" t="str">
        <f>IFERROR(IF(VLOOKUP(A1319,[9]PRIORIZADOS!$A:$G,7,FALSE)="","",VLOOKUP(A1319,[9]PRIORIZADOS!$A:$G,7,FALSE)),"")</f>
        <v>REPUBLICA BOLIVARIANA DE VENEZUELA</v>
      </c>
      <c r="H1319" s="11" t="str">
        <f>IFERROR(IF(VLOOKUP(A1319,[9]PRIORIZADOS!$A:$H,8,FALSE)="","",VLOOKUP(A1319,[9]PRIORIZADOS!$A:$H,8,FALSE)),"")</f>
        <v>Autoevaluación Institucional y Pruebas SABER 11</v>
      </c>
      <c r="I1319" s="11" t="str">
        <f>IFERROR(IF(VLOOKUP(A1319,[9]PRIORIZADOS!$A:$I,9,FALSE)="","",VLOOKUP(A1319,[9]PRIORIZADOS!$A:$I,9,FALSE)),"")</f>
        <v>SEGUIMIENTO_Y_SUPERVISIÓN.</v>
      </c>
      <c r="J1319" s="11" t="str">
        <f>IFERROR(IF(VLOOKUP(A1319,[9]PRIORIZADOS!$A:$J,10,FALSE)="","",VLOOKUP(A1319,[9]PRIORIZADOS!$A:$J,10,FALSE)),"")</f>
        <v xml:space="preserve">Verificar la implementación por parte de los colegios, de acciones realizadas para la prevención y atención de las situaciones de convivencia en el entorno escolar, según lo establecido en la Directiva 01 de 2022 del MEN. </v>
      </c>
      <c r="K1319" s="11" t="str">
        <f>IFERROR(IF(VLOOKUP(A1319,[9]PRIORIZADOS!$A:$K,11,FALSE)="","",VLOOKUP(A1319,[9]PRIORIZADOS!$A:$K,11,FALSE)),"")</f>
        <v>CARLOS EDUARDO VARGAS LÓPEZ</v>
      </c>
      <c r="L1319" s="11" t="str">
        <f>IFERROR(IF(VLOOKUP(A1319,[9]PRIORIZADOS!$A:$L,12,FALSE)="","",VLOOKUP(A1319,[9]PRIORIZADOS!$A:$L,12,FALSE)),"")</f>
        <v>LUIS ALEJANDRO MARTÍNEZ PALACIOS</v>
      </c>
      <c r="M1319" s="71">
        <f>IFERROR(IF(VLOOKUP(A1319,[9]PRIORIZADOS!$A:$M,13,FALSE)="","",VLOOKUP(A1319,[9]PRIORIZADOS!$A:$M,13,FALSE)),"")</f>
        <v>45735</v>
      </c>
      <c r="N1319" s="71">
        <f>IFERROR(IF(VLOOKUP(A1319,[9]PRIORIZADOS!$A:$N,14,FALSE)="","",VLOOKUP(A1319,[9]PRIORIZADOS!$A:$N,14,FALSE)),"")</f>
        <v>45735</v>
      </c>
      <c r="O1319" s="71">
        <f>IFERROR(IF(VLOOKUP(A1319,[9]PRIORIZADOS!$A:$O,15,FALSE)="","",VLOOKUP(A1319,[9]PRIORIZADOS!$A:$O,15,FALSE)),"")</f>
        <v>45736</v>
      </c>
      <c r="P1319" s="11" t="str">
        <f>IFERROR(IF(VLOOKUP(A1319,[9]PRIORIZADOS!$A:$P,16,FALSE)="","",VLOOKUP(A1319,[9]PRIORIZADOS!$A:$P,16,FALSE)),"")</f>
        <v>Visitas de evaluación con fines de seguimiento</v>
      </c>
      <c r="Q1319" s="27" t="s">
        <v>321</v>
      </c>
      <c r="R1319" s="11" t="str">
        <f>IFERROR(IF(VLOOKUP(A1319,[9]PRIORIZADOS!$A:$R,18,FALSE)="","",VLOOKUP(A1319,[9]PRIORIZADOS!$A:$R,18,FALSE)),"")</f>
        <v>En la entrevista con el rector y la coordinadora, resaltan los procesos convivenciales y restaurativos que se desarrollan al interior de la institución educativa.
Se desarrolla en el Manual de Convivencia</v>
      </c>
      <c r="S1319" s="11" t="str">
        <f>IFERROR(IF(VLOOKUP(A1319,[9]PRIORIZADOS!$A:$S,19,FALSE)="","",VLOOKUP(A1319,[9]PRIORIZADOS!$A:$S,19,FALSE)),"")</f>
        <v>Dar aplicación a la ruta de atención integral y para las situaciones tipo II yIII a los protocolos definidos por el Comité Distrital de Convivencia Escolar que actualmente estan en su versión 5.0</v>
      </c>
      <c r="T1319" s="70" t="str">
        <f>IFERROR(IF(VLOOKUP(A1319,[9]PRIORIZADOS!$A:$T,20,FALSE)="","",VLOOKUP(A1319,[9]PRIORIZADOS!$A:$T,20,FALSE)),"")</f>
        <v>No</v>
      </c>
      <c r="U1319" s="11" t="str">
        <f>IFERROR(IF(VLOOKUP(A1319,[9]PRIORIZADOS!$A:$U,21,FALSE)="","",VLOOKUP(A1319,[9]PRIORIZADOS!$A:$U,21,FALSE)),"")</f>
        <v>A demanda de acuerdo con las peticiones de la ciudadanía o de los entes de control</v>
      </c>
    </row>
    <row r="1320" spans="1:21" s="1" customFormat="1" ht="72">
      <c r="A1320" s="69">
        <f>IF([9]PRIORIZADOS!A17="","",[9]PRIORIZADOS!A17)</f>
        <v>1261</v>
      </c>
      <c r="B1320" s="70">
        <f>IFERROR(IF(VLOOKUP(A1320,[9]PRIORIZADOS!$A:$B,2,FALSE)="","",VLOOKUP(A1320,[9]PRIORIZADOS!$A:$B,2,FALSE)),"")</f>
        <v>2</v>
      </c>
      <c r="C1320" s="11" t="str">
        <f>IFERROR(IF(VLOOKUP(A1320,[9]PRIORIZADOS!$A:$C,3,FALSE)="","",VLOOKUP(A1320,[9]PRIORIZADOS!$A:$C,3,FALSE)),"")</f>
        <v>LOS MÁRTIRES</v>
      </c>
      <c r="D1320" s="11" t="str">
        <f>IFERROR(IF(VLOOKUP(A1320,[9]PRIORIZADOS!$A:$D,4,FALSE)="","",VLOOKUP(A1320,[9]PRIORIZADOS!$A:$D,4,FALSE)),"")</f>
        <v>OFICIAL</v>
      </c>
      <c r="E1320" s="11" t="str">
        <f>IFERROR(IF(VLOOKUP(A1320,[9]PRIORIZADOS!$A:$E,5,FALSE)="","",VLOOKUP(A1320,[9]PRIORIZADOS!$A:$E,5,FALSE)),"")</f>
        <v>EPBM</v>
      </c>
      <c r="F1320" s="11" t="str">
        <f>IFERROR(IF(VLOOKUP(A1320,[9]PRIORIZADOS!$A:$F,6,FALSE)="","",VLOOKUP(A1320,[9]PRIORIZADOS!$A:$F,6,FALSE)),"")</f>
        <v>COLEGIO_REPUBLICA_BOLIVARIANA_DE_VENEZUELA_IED</v>
      </c>
      <c r="G1320" s="11" t="str">
        <f>IFERROR(IF(VLOOKUP(A1320,[9]PRIORIZADOS!$A:$G,7,FALSE)="","",VLOOKUP(A1320,[9]PRIORIZADOS!$A:$G,7,FALSE)),"")</f>
        <v>REPUBLICA BOLIVARIANA DE VENEZUELA</v>
      </c>
      <c r="H1320" s="11" t="str">
        <f>IFERROR(IF(VLOOKUP(A1320,[9]PRIORIZADOS!$A:$H,8,FALSE)="","",VLOOKUP(A1320,[9]PRIORIZADOS!$A:$H,8,FALSE)),"")</f>
        <v>Autoevaluación Institucional y Pruebas SABER 11</v>
      </c>
      <c r="I1320" s="11" t="str">
        <f>IFERROR(IF(VLOOKUP(A1320,[9]PRIORIZADOS!$A:$I,9,FALSE)="","",VLOOKUP(A1320,[9]PRIORIZADOS!$A:$I,9,FALSE)),"")</f>
        <v>SEGUIMIENTO_Y_SUPERVISIÓN.</v>
      </c>
      <c r="J1320" s="11" t="str">
        <f>IFERROR(IF(VLOOKUP(A1320,[9]PRIORIZADOS!$A:$J,10,FALSE)="","",VLOOKUP(A1320,[9]PRIORIZADOS!$A:$J,10,FALSE)),"")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20" s="11" t="str">
        <f>IFERROR(IF(VLOOKUP(A1320,[9]PRIORIZADOS!$A:$K,11,FALSE)="","",VLOOKUP(A1320,[9]PRIORIZADOS!$A:$K,11,FALSE)),"")</f>
        <v>CARLOS EDUARDO VARGAS LÓPEZ</v>
      </c>
      <c r="L1320" s="11" t="str">
        <f>IFERROR(IF(VLOOKUP(A1320,[9]PRIORIZADOS!$A:$L,12,FALSE)="","",VLOOKUP(A1320,[9]PRIORIZADOS!$A:$L,12,FALSE)),"")</f>
        <v>LUIS ALEJANDRO MARTÍNEZ PALACIOS</v>
      </c>
      <c r="M1320" s="71">
        <f>IFERROR(IF(VLOOKUP(A1320,[9]PRIORIZADOS!$A:$M,13,FALSE)="","",VLOOKUP(A1320,[9]PRIORIZADOS!$A:$M,13,FALSE)),"")</f>
        <v>45735</v>
      </c>
      <c r="N1320" s="71">
        <f>IFERROR(IF(VLOOKUP(A1320,[9]PRIORIZADOS!$A:$N,14,FALSE)="","",VLOOKUP(A1320,[9]PRIORIZADOS!$A:$N,14,FALSE)),"")</f>
        <v>45735</v>
      </c>
      <c r="O1320" s="71">
        <f>IFERROR(IF(VLOOKUP(A1320,[9]PRIORIZADOS!$A:$O,15,FALSE)="","",VLOOKUP(A1320,[9]PRIORIZADOS!$A:$O,15,FALSE)),"")</f>
        <v>45736</v>
      </c>
      <c r="P1320" s="11" t="str">
        <f>IFERROR(IF(VLOOKUP(A1320,[9]PRIORIZADOS!$A:$P,16,FALSE)="","",VLOOKUP(A1320,[9]PRIORIZADOS!$A:$P,16,FALSE)),"")</f>
        <v>Visitas de evaluación con fines de seguimiento</v>
      </c>
      <c r="Q1320" s="27" t="s">
        <v>321</v>
      </c>
      <c r="R1320" s="11" t="str">
        <f>IFERROR(IF(VLOOKUP(A1320,[9]PRIORIZADOS!$A:$R,18,FALSE)="","",VLOOKUP(A1320,[9]PRIORIZADOS!$A:$R,18,FALSE)),"")</f>
        <v>Se verificó la existencia de los PIAR para 132 estudiantes caracterizados en el SIMAT. Se llevan de manera digital.</v>
      </c>
      <c r="S1320" s="11" t="str">
        <f>IFERROR(IF(VLOOKUP(A1320,[9]PRIORIZADOS!$A:$S,19,FALSE)="","",VLOOKUP(A1320,[9]PRIORIZADOS!$A:$S,19,FALSE)),"")</f>
        <v>La institución requiere que el manejo del "Drive" se haga desde una cuenta institucional, actualmente se lleva en una cuenta personal de Google drive.
Realizar seguimiento a los PIAR y los ajuste que se requieran</v>
      </c>
      <c r="T1320" s="70" t="str">
        <f>IFERROR(IF(VLOOKUP(A1320,[9]PRIORIZADOS!$A:$T,20,FALSE)="","",VLOOKUP(A1320,[9]PRIORIZADOS!$A:$T,20,FALSE)),"")</f>
        <v>No</v>
      </c>
      <c r="U1320" s="11" t="str">
        <f>IFERROR(IF(VLOOKUP(A1320,[9]PRIORIZADOS!$A:$U,21,FALSE)="","",VLOOKUP(A1320,[9]PRIORIZADOS!$A:$U,21,FALSE)),"")</f>
        <v>A demanda de acuerdo con las peticiones de la ciudadanía o de los entes de control</v>
      </c>
    </row>
    <row r="1321" spans="1:21" s="1" customFormat="1" ht="60">
      <c r="A1321" s="69">
        <f>IF([9]PRIORIZADOS!A18="","",[9]PRIORIZADOS!A18)</f>
        <v>1262</v>
      </c>
      <c r="B1321" s="70">
        <f>IFERROR(IF(VLOOKUP(A1321,[9]PRIORIZADOS!$A:$B,2,FALSE)="","",VLOOKUP(A1321,[9]PRIORIZADOS!$A:$B,2,FALSE)),"")</f>
        <v>2</v>
      </c>
      <c r="C1321" s="11" t="str">
        <f>IFERROR(IF(VLOOKUP(A1321,[9]PRIORIZADOS!$A:$C,3,FALSE)="","",VLOOKUP(A1321,[9]PRIORIZADOS!$A:$C,3,FALSE)),"")</f>
        <v>LOS MÁRTIRES</v>
      </c>
      <c r="D1321" s="11" t="str">
        <f>IFERROR(IF(VLOOKUP(A1321,[9]PRIORIZADOS!$A:$D,4,FALSE)="","",VLOOKUP(A1321,[9]PRIORIZADOS!$A:$D,4,FALSE)),"")</f>
        <v>OFICIAL</v>
      </c>
      <c r="E1321" s="11" t="str">
        <f>IFERROR(IF(VLOOKUP(A1321,[9]PRIORIZADOS!$A:$E,5,FALSE)="","",VLOOKUP(A1321,[9]PRIORIZADOS!$A:$E,5,FALSE)),"")</f>
        <v>EPBM</v>
      </c>
      <c r="F1321" s="11" t="str">
        <f>IFERROR(IF(VLOOKUP(A1321,[9]PRIORIZADOS!$A:$F,6,FALSE)="","",VLOOKUP(A1321,[9]PRIORIZADOS!$A:$F,6,FALSE)),"")</f>
        <v>COLEGIO_REPUBLICA_BOLIVARIANA_DE_VENEZUELA_IED</v>
      </c>
      <c r="G1321" s="11" t="str">
        <f>IFERROR(IF(VLOOKUP(A1321,[9]PRIORIZADOS!$A:$G,7,FALSE)="","",VLOOKUP(A1321,[9]PRIORIZADOS!$A:$G,7,FALSE)),"")</f>
        <v>REPUBLICA BOLIVARIANA DE VENEZUELA</v>
      </c>
      <c r="H1321" s="11" t="str">
        <f>IFERROR(IF(VLOOKUP(A1321,[9]PRIORIZADOS!$A:$H,8,FALSE)="","",VLOOKUP(A1321,[9]PRIORIZADOS!$A:$H,8,FALSE)),"")</f>
        <v>Autoevaluación Institucional y Pruebas SABER 11</v>
      </c>
      <c r="I1321" s="11" t="str">
        <f>IFERROR(IF(VLOOKUP(A1321,[9]PRIORIZADOS!$A:$I,9,FALSE)="","",VLOOKUP(A1321,[9]PRIORIZADOS!$A:$I,9,FALSE)),"")</f>
        <v>SEGUIMIENTO_Y_SUPERVISIÓN.</v>
      </c>
      <c r="J1321" s="11" t="str">
        <f>IFERROR(IF(VLOOKUP(A1321,[9]PRIORIZADOS!$A:$J,10,FALSE)="","",VLOOKUP(A1321,[9]PRIORIZADOS!$A:$J,10,FALSE)),"")</f>
        <v>Proponer estrategias en la formulación, verificar su elaboración y realizar seguimiento semestral al desarrollo de  las acciones establecidas en los planes de mejoramiento por pruebas SABER 11 de los establecimientos de educación formal.</v>
      </c>
      <c r="K1321" s="11" t="str">
        <f>IFERROR(IF(VLOOKUP(A1321,[9]PRIORIZADOS!$A:$K,11,FALSE)="","",VLOOKUP(A1321,[9]PRIORIZADOS!$A:$K,11,FALSE)),"")</f>
        <v>CARLOS EDUARDO VARGAS LÓPEZ</v>
      </c>
      <c r="L1321" s="11" t="str">
        <f>IFERROR(IF(VLOOKUP(A1321,[9]PRIORIZADOS!$A:$L,12,FALSE)="","",VLOOKUP(A1321,[9]PRIORIZADOS!$A:$L,12,FALSE)),"")</f>
        <v>LUIS ALEJANDRO MARTÍNEZ PALACIOS</v>
      </c>
      <c r="M1321" s="71">
        <f>IFERROR(IF(VLOOKUP(A1321,[9]PRIORIZADOS!$A:$M,13,FALSE)="","",VLOOKUP(A1321,[9]PRIORIZADOS!$A:$M,13,FALSE)),"")</f>
        <v>45735</v>
      </c>
      <c r="N1321" s="71">
        <f>IFERROR(IF(VLOOKUP(A1321,[9]PRIORIZADOS!$A:$N,14,FALSE)="","",VLOOKUP(A1321,[9]PRIORIZADOS!$A:$N,14,FALSE)),"")</f>
        <v>45735</v>
      </c>
      <c r="O1321" s="71">
        <f>IFERROR(IF(VLOOKUP(A1321,[9]PRIORIZADOS!$A:$O,15,FALSE)="","",VLOOKUP(A1321,[9]PRIORIZADOS!$A:$O,15,FALSE)),"")</f>
        <v>45736</v>
      </c>
      <c r="P1321" s="11" t="str">
        <f>IFERROR(IF(VLOOKUP(A1321,[9]PRIORIZADOS!$A:$P,16,FALSE)="","",VLOOKUP(A1321,[9]PRIORIZADOS!$A:$P,16,FALSE)),"")</f>
        <v>Visitas de evaluación con fines de seguimiento</v>
      </c>
      <c r="Q1321" s="27" t="s">
        <v>321</v>
      </c>
      <c r="R1321" s="11" t="str">
        <f>IFERROR(IF(VLOOKUP(A1321,[9]PRIORIZADOS!$A:$R,18,FALSE)="","",VLOOKUP(A1321,[9]PRIORIZADOS!$A:$R,18,FALSE)),"")</f>
        <v>Según los resultados de pruebas saber 11 de los últimos cinco años (2020-2024), la institución educativa se ha clasificado en la categoría C</v>
      </c>
      <c r="S1321" s="11" t="str">
        <f>IFERROR(IF(VLOOKUP(A1321,[9]PRIORIZADOS!$A:$S,19,FALSE)="","",VLOOKUP(A1321,[9]PRIORIZADOS!$A:$S,19,FALSE)),"")</f>
        <v>Aunque para la IED, no es una prioridad los resultados de las pruebas Saber 11, se les solicita generar un informe de análisis interno y el plan de mejoramiento</v>
      </c>
      <c r="T1321" s="70" t="str">
        <f>IFERROR(IF(VLOOKUP(A1321,[9]PRIORIZADOS!$A:$T,20,FALSE)="","",VLOOKUP(A1321,[9]PRIORIZADOS!$A:$T,20,FALSE)),"")</f>
        <v>Si</v>
      </c>
      <c r="U1321" s="11" t="str">
        <f>IFERROR(IF(VLOOKUP(A1321,[9]PRIORIZADOS!$A:$U,21,FALSE)="","",VLOOKUP(A1321,[9]PRIORIZADOS!$A:$U,21,FALSE)),"")</f>
        <v>Verificación en próxima visita administrativa y seguimiento a la presentación del informe de análisis de las pruebas saber 11 y seguimiento al plan de mejoramiento para la siguiente vigencia.</v>
      </c>
    </row>
    <row r="1322" spans="1:21" s="1" customFormat="1" ht="84">
      <c r="A1322" s="69">
        <f>IF([9]PRIORIZADOS!A19="","",[9]PRIORIZADOS!A19)</f>
        <v>1263</v>
      </c>
      <c r="B1322" s="70">
        <f>IFERROR(IF(VLOOKUP(A1322,[9]PRIORIZADOS!$A:$B,2,FALSE)="","",VLOOKUP(A1322,[9]PRIORIZADOS!$A:$B,2,FALSE)),"")</f>
        <v>2</v>
      </c>
      <c r="C1322" s="11" t="str">
        <f>IFERROR(IF(VLOOKUP(A1322,[9]PRIORIZADOS!$A:$C,3,FALSE)="","",VLOOKUP(A1322,[9]PRIORIZADOS!$A:$C,3,FALSE)),"")</f>
        <v>LOS MÁRTIRES</v>
      </c>
      <c r="D1322" s="11" t="str">
        <f>IFERROR(IF(VLOOKUP(A1322,[9]PRIORIZADOS!$A:$D,4,FALSE)="","",VLOOKUP(A1322,[9]PRIORIZADOS!$A:$D,4,FALSE)),"")</f>
        <v>OFICIAL</v>
      </c>
      <c r="E1322" s="11" t="str">
        <f>IFERROR(IF(VLOOKUP(A1322,[9]PRIORIZADOS!$A:$E,5,FALSE)="","",VLOOKUP(A1322,[9]PRIORIZADOS!$A:$E,5,FALSE)),"")</f>
        <v>EPBM</v>
      </c>
      <c r="F1322" s="11" t="str">
        <f>IFERROR(IF(VLOOKUP(A1322,[9]PRIORIZADOS!$A:$F,6,FALSE)="","",VLOOKUP(A1322,[9]PRIORIZADOS!$A:$F,6,FALSE)),"")</f>
        <v>COLEGIO_REPUBLICA_BOLIVARIANA_DE_VENEZUELA_IED</v>
      </c>
      <c r="G1322" s="11" t="str">
        <f>IFERROR(IF(VLOOKUP(A1322,[9]PRIORIZADOS!$A:$G,7,FALSE)="","",VLOOKUP(A1322,[9]PRIORIZADOS!$A:$G,7,FALSE)),"")</f>
        <v>REPUBLICA BOLIVARIANA DE VENEZUELA</v>
      </c>
      <c r="H1322" s="11" t="str">
        <f>IFERROR(IF(VLOOKUP(A1322,[9]PRIORIZADOS!$A:$H,8,FALSE)="","",VLOOKUP(A1322,[9]PRIORIZADOS!$A:$H,8,FALSE)),"")</f>
        <v>Autoevaluación Institucional y Pruebas SABER 11</v>
      </c>
      <c r="I1322" s="11" t="str">
        <f>IFERROR(IF(VLOOKUP(A1322,[9]PRIORIZADOS!$A:$I,9,FALSE)="","",VLOOKUP(A1322,[9]PRIORIZADOS!$A:$I,9,FALSE)),"")</f>
        <v>EVALUACIÓN_CON_FINES_DE_MEJORAMIENTO.</v>
      </c>
      <c r="J1322" s="11" t="str">
        <f>IFERROR(IF(VLOOKUP(A1322,[9]PRIORIZADOS!$A:$J,10,FALSE)="","",VLOOKUP(A1322,[9]PRIORIZADOS!$A:$J,10,FALSE)),"")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22" s="11" t="str">
        <f>IFERROR(IF(VLOOKUP(A1322,[9]PRIORIZADOS!$A:$K,11,FALSE)="","",VLOOKUP(A1322,[9]PRIORIZADOS!$A:$K,11,FALSE)),"")</f>
        <v>CARLOS EDUARDO VARGAS LÓPEZ</v>
      </c>
      <c r="L1322" s="11" t="str">
        <f>IFERROR(IF(VLOOKUP(A1322,[9]PRIORIZADOS!$A:$L,12,FALSE)="","",VLOOKUP(A1322,[9]PRIORIZADOS!$A:$L,12,FALSE)),"")</f>
        <v>LUIS ALEJANDRO MARTÍNEZ PALACIOS</v>
      </c>
      <c r="M1322" s="71">
        <f>IFERROR(IF(VLOOKUP(A1322,[9]PRIORIZADOS!$A:$M,13,FALSE)="","",VLOOKUP(A1322,[9]PRIORIZADOS!$A:$M,13,FALSE)),"")</f>
        <v>45735</v>
      </c>
      <c r="N1322" s="71">
        <f>IFERROR(IF(VLOOKUP(A1322,[9]PRIORIZADOS!$A:$N,14,FALSE)="","",VLOOKUP(A1322,[9]PRIORIZADOS!$A:$N,14,FALSE)),"")</f>
        <v>45735</v>
      </c>
      <c r="O1322" s="71">
        <f>IFERROR(IF(VLOOKUP(A1322,[9]PRIORIZADOS!$A:$O,15,FALSE)="","",VLOOKUP(A1322,[9]PRIORIZADOS!$A:$O,15,FALSE)),"")</f>
        <v>45736</v>
      </c>
      <c r="P1322" s="11" t="str">
        <f>IFERROR(IF(VLOOKUP(A1322,[9]PRIORIZADOS!$A:$P,16,FALSE)="","",VLOOKUP(A1322,[9]PRIORIZADOS!$A:$P,16,FALSE)),"")</f>
        <v>Visitas de evaluación con fines de seguimiento</v>
      </c>
      <c r="Q1322" s="27" t="s">
        <v>321</v>
      </c>
      <c r="R1322" s="11" t="str">
        <f>IFERROR(IF(VLOOKUP(A1322,[9]PRIORIZADOS!$A:$R,18,FALSE)="","",VLOOKUP(A1322,[9]PRIORIZADOS!$A:$R,18,FALSE)),"")</f>
        <v>Se realiza revisión general del Manual de Convivencia. Informan que están en proceso de actualización</v>
      </c>
      <c r="S1322" s="11" t="str">
        <f>IFERROR(IF(VLOOKUP(A1322,[9]PRIORIZADOS!$A:$S,19,FALSE)="","",VLOOKUP(A1322,[9]PRIORIZADOS!$A:$S,19,FALSE)),"")</f>
        <v>Entregar copia del Manual de Convivencia actualizado</v>
      </c>
      <c r="T1322" s="70" t="str">
        <f>IFERROR(IF(VLOOKUP(A1322,[9]PRIORIZADOS!$A:$T,20,FALSE)="","",VLOOKUP(A1322,[9]PRIORIZADOS!$A:$T,20,FALSE)),"")</f>
        <v>No</v>
      </c>
      <c r="U1322" s="11" t="str">
        <f>IFERROR(IF(VLOOKUP(A1322,[9]PRIORIZADOS!$A:$U,21,FALSE)="","",VLOOKUP(A1322,[9]PRIORIZADOS!$A:$U,21,FALSE)),"")</f>
        <v>Se realizó visita el 12 de septiembre. La rectora informó que estan en proceso de actualización del PEI, del Manual de Convivencia y del SIEE, ya que están en proceso de actualización de RCO.</v>
      </c>
    </row>
    <row r="1323" spans="1:21" s="1" customFormat="1" ht="60">
      <c r="A1323" s="69">
        <f>IF([9]PRIORIZADOS!A20="","",[9]PRIORIZADOS!A20)</f>
        <v>1264</v>
      </c>
      <c r="B1323" s="70">
        <f>IFERROR(IF(VLOOKUP(A1323,[9]PRIORIZADOS!$A:$B,2,FALSE)="","",VLOOKUP(A1323,[9]PRIORIZADOS!$A:$B,2,FALSE)),"")</f>
        <v>2</v>
      </c>
      <c r="C1323" s="11" t="str">
        <f>IFERROR(IF(VLOOKUP(A1323,[9]PRIORIZADOS!$A:$C,3,FALSE)="","",VLOOKUP(A1323,[9]PRIORIZADOS!$A:$C,3,FALSE)),"")</f>
        <v>LOS MÁRTIRES</v>
      </c>
      <c r="D1323" s="11" t="str">
        <f>IFERROR(IF(VLOOKUP(A1323,[9]PRIORIZADOS!$A:$D,4,FALSE)="","",VLOOKUP(A1323,[9]PRIORIZADOS!$A:$D,4,FALSE)),"")</f>
        <v>OFICIAL</v>
      </c>
      <c r="E1323" s="11" t="str">
        <f>IFERROR(IF(VLOOKUP(A1323,[9]PRIORIZADOS!$A:$E,5,FALSE)="","",VLOOKUP(A1323,[9]PRIORIZADOS!$A:$E,5,FALSE)),"")</f>
        <v>EPBM</v>
      </c>
      <c r="F1323" s="11" t="str">
        <f>IFERROR(IF(VLOOKUP(A1323,[9]PRIORIZADOS!$A:$F,6,FALSE)="","",VLOOKUP(A1323,[9]PRIORIZADOS!$A:$F,6,FALSE)),"")</f>
        <v>COLEGIO_REPUBLICA_BOLIVARIANA_DE_VENEZUELA_IED</v>
      </c>
      <c r="G1323" s="11" t="str">
        <f>IFERROR(IF(VLOOKUP(A1323,[9]PRIORIZADOS!$A:$G,7,FALSE)="","",VLOOKUP(A1323,[9]PRIORIZADOS!$A:$G,7,FALSE)),"")</f>
        <v>REPUBLICA BOLIVARIANA DE VENEZUELA</v>
      </c>
      <c r="H1323" s="11" t="str">
        <f>IFERROR(IF(VLOOKUP(A1323,[9]PRIORIZADOS!$A:$H,8,FALSE)="","",VLOOKUP(A1323,[9]PRIORIZADOS!$A:$H,8,FALSE)),"")</f>
        <v>Autoevaluación Institucional y Pruebas SABER 11</v>
      </c>
      <c r="I1323" s="11" t="str">
        <f>IFERROR(IF(VLOOKUP(A1323,[9]PRIORIZADOS!$A:$I,9,FALSE)="","",VLOOKUP(A1323,[9]PRIORIZADOS!$A:$I,9,FALSE)),"")</f>
        <v>EVALUACIÓN_CON_FINES_DE_MEJORAMIENTO.</v>
      </c>
      <c r="J1323" s="11" t="str">
        <f>IFERROR(IF(VLOOKUP(A1323,[9]PRIORIZADOS!$A:$J,10,FALSE)="","",VLOOKUP(A1323,[9]PRIORIZADOS!$A:$J,10,FALSE)),"")</f>
        <v>Revisar la actualización, socialización e implementación del Sistema Institucional de Evaluación de Estudiantes - SIEE, en articulación con la actualización del PEI y la normatividad vigente.</v>
      </c>
      <c r="K1323" s="11" t="str">
        <f>IFERROR(IF(VLOOKUP(A1323,[9]PRIORIZADOS!$A:$K,11,FALSE)="","",VLOOKUP(A1323,[9]PRIORIZADOS!$A:$K,11,FALSE)),"")</f>
        <v>CARLOS EDUARDO VARGAS LÓPEZ</v>
      </c>
      <c r="L1323" s="11" t="str">
        <f>IFERROR(IF(VLOOKUP(A1323,[9]PRIORIZADOS!$A:$L,12,FALSE)="","",VLOOKUP(A1323,[9]PRIORIZADOS!$A:$L,12,FALSE)),"")</f>
        <v>LUIS ALEJANDRO MARTÍNEZ PALACIOS</v>
      </c>
      <c r="M1323" s="71">
        <f>IFERROR(IF(VLOOKUP(A1323,[9]PRIORIZADOS!$A:$M,13,FALSE)="","",VLOOKUP(A1323,[9]PRIORIZADOS!$A:$M,13,FALSE)),"")</f>
        <v>45735</v>
      </c>
      <c r="N1323" s="71">
        <f>IFERROR(IF(VLOOKUP(A1323,[9]PRIORIZADOS!$A:$N,14,FALSE)="","",VLOOKUP(A1323,[9]PRIORIZADOS!$A:$N,14,FALSE)),"")</f>
        <v>45735</v>
      </c>
      <c r="O1323" s="71">
        <f>IFERROR(IF(VLOOKUP(A1323,[9]PRIORIZADOS!$A:$O,15,FALSE)="","",VLOOKUP(A1323,[9]PRIORIZADOS!$A:$O,15,FALSE)),"")</f>
        <v>45736</v>
      </c>
      <c r="P1323" s="11" t="str">
        <f>IFERROR(IF(VLOOKUP(A1323,[9]PRIORIZADOS!$A:$P,16,FALSE)="","",VLOOKUP(A1323,[9]PRIORIZADOS!$A:$P,16,FALSE)),"")</f>
        <v>Visitas de evaluación con fines de seguimiento</v>
      </c>
      <c r="Q1323" s="27" t="s">
        <v>321</v>
      </c>
      <c r="R1323" s="11" t="str">
        <f>IFERROR(IF(VLOOKUP(A1323,[9]PRIORIZADOS!$A:$R,18,FALSE)="","",VLOOKUP(A1323,[9]PRIORIZADOS!$A:$R,18,FALSE)),"")</f>
        <v>El SIEE se encuentra incluido en el Manual de Convivencia donde se evidencia la necesidad de incluir los procesos de primera infancia.</v>
      </c>
      <c r="S1323" s="11" t="str">
        <f>IFERROR(IF(VLOOKUP(A1323,[9]PRIORIZADOS!$A:$S,19,FALSE)="","",VLOOKUP(A1323,[9]PRIORIZADOS!$A:$S,19,FALSE)),"")</f>
        <v>Se solicita a la institución educativa generar un apartado específico de evaluación para los procesos de primera infancia de acuerdo a la normatividad vigente.</v>
      </c>
      <c r="T1323" s="70" t="str">
        <f>IFERROR(IF(VLOOKUP(A1323,[9]PRIORIZADOS!$A:$T,20,FALSE)="","",VLOOKUP(A1323,[9]PRIORIZADOS!$A:$T,20,FALSE)),"")</f>
        <v>Si</v>
      </c>
      <c r="U1323" s="11" t="str">
        <f>IFERROR(IF(VLOOKUP(A1323,[9]PRIORIZADOS!$A:$U,21,FALSE)="","",VLOOKUP(A1323,[9]PRIORIZADOS!$A:$U,21,FALSE)),"")</f>
        <v>Se realizó visita el 12 de septiembre. La rectora informó que estan en proceso de actualización del PEI, del Manual de Convivencia y del SIEE, ya que están en proceso de actualización de RCO</v>
      </c>
    </row>
    <row r="1324" spans="1:21" s="1" customFormat="1" ht="48">
      <c r="A1324" s="69">
        <f>IF([9]PRIORIZADOS!A21="","",[9]PRIORIZADOS!A21)</f>
        <v>1265</v>
      </c>
      <c r="B1324" s="70">
        <f>IFERROR(IF(VLOOKUP(A1324,[9]PRIORIZADOS!$A:$B,2,FALSE)="","",VLOOKUP(A1324,[9]PRIORIZADOS!$A:$B,2,FALSE)),"")</f>
        <v>2</v>
      </c>
      <c r="C1324" s="11" t="str">
        <f>IFERROR(IF(VLOOKUP(A1324,[9]PRIORIZADOS!$A:$C,3,FALSE)="","",VLOOKUP(A1324,[9]PRIORIZADOS!$A:$C,3,FALSE)),"")</f>
        <v>LOS MÁRTIRES</v>
      </c>
      <c r="D1324" s="11" t="str">
        <f>IFERROR(IF(VLOOKUP(A1324,[9]PRIORIZADOS!$A:$D,4,FALSE)="","",VLOOKUP(A1324,[9]PRIORIZADOS!$A:$D,4,FALSE)),"")</f>
        <v>OFICIAL</v>
      </c>
      <c r="E1324" s="11" t="str">
        <f>IFERROR(IF(VLOOKUP(A1324,[9]PRIORIZADOS!$A:$E,5,FALSE)="","",VLOOKUP(A1324,[9]PRIORIZADOS!$A:$E,5,FALSE)),"")</f>
        <v>EPBM</v>
      </c>
      <c r="F1324" s="11" t="str">
        <f>IFERROR(IF(VLOOKUP(A1324,[9]PRIORIZADOS!$A:$F,6,FALSE)="","",VLOOKUP(A1324,[9]PRIORIZADOS!$A:$F,6,FALSE)),"")</f>
        <v>COLEGIO_REPUBLICA_BOLIVARIANA_DE_VENEZUELA_IED</v>
      </c>
      <c r="G1324" s="11" t="str">
        <f>IFERROR(IF(VLOOKUP(A1324,[9]PRIORIZADOS!$A:$G,7,FALSE)="","",VLOOKUP(A1324,[9]PRIORIZADOS!$A:$G,7,FALSE)),"")</f>
        <v>REPUBLICA BOLIVARIANA DE VENEZUELA</v>
      </c>
      <c r="H1324" s="11" t="str">
        <f>IFERROR(IF(VLOOKUP(A1324,[9]PRIORIZADOS!$A:$H,8,FALSE)="","",VLOOKUP(A1324,[9]PRIORIZADOS!$A:$H,8,FALSE)),"")</f>
        <v>Autoevaluación Institucional y Pruebas SABER 11</v>
      </c>
      <c r="I1324" s="11" t="str">
        <f>IFERROR(IF(VLOOKUP(A1324,[9]PRIORIZADOS!$A:$I,9,FALSE)="","",VLOOKUP(A1324,[9]PRIORIZADOS!$A:$I,9,FALSE)),"")</f>
        <v>EVALUACIÓN_CON_FINES_DE_MEJORAMIENTO.</v>
      </c>
      <c r="J1324" s="11" t="str">
        <f>IFERROR(IF(VLOOKUP(A1324,[9]PRIORIZADOS!$A:$J,10,FALSE)="","",VLOOKUP(A1324,[9]PRIORIZADOS!$A:$J,10,FALSE)),"")</f>
        <v>Verificar el funcionamiento del Gobierno Escolar e instancias de participación con base en la información sobre conformación reportada por la institución educativa.</v>
      </c>
      <c r="K1324" s="11" t="str">
        <f>IFERROR(IF(VLOOKUP(A1324,[9]PRIORIZADOS!$A:$K,11,FALSE)="","",VLOOKUP(A1324,[9]PRIORIZADOS!$A:$K,11,FALSE)),"")</f>
        <v>CARLOS EDUARDO VARGAS LÓPEZ</v>
      </c>
      <c r="L1324" s="11" t="str">
        <f>IFERROR(IF(VLOOKUP(A1324,[9]PRIORIZADOS!$A:$L,12,FALSE)="","",VLOOKUP(A1324,[9]PRIORIZADOS!$A:$L,12,FALSE)),"")</f>
        <v>LUIS ALEJANDRO MARTÍNEZ PALACIOS</v>
      </c>
      <c r="M1324" s="71">
        <f>IFERROR(IF(VLOOKUP(A1324,[9]PRIORIZADOS!$A:$M,13,FALSE)="","",VLOOKUP(A1324,[9]PRIORIZADOS!$A:$M,13,FALSE)),"")</f>
        <v>45735</v>
      </c>
      <c r="N1324" s="71">
        <f>IFERROR(IF(VLOOKUP(A1324,[9]PRIORIZADOS!$A:$N,14,FALSE)="","",VLOOKUP(A1324,[9]PRIORIZADOS!$A:$N,14,FALSE)),"")</f>
        <v>45735</v>
      </c>
      <c r="O1324" s="71">
        <f>IFERROR(IF(VLOOKUP(A1324,[9]PRIORIZADOS!$A:$O,15,FALSE)="","",VLOOKUP(A1324,[9]PRIORIZADOS!$A:$O,15,FALSE)),"")</f>
        <v>45736</v>
      </c>
      <c r="P1324" s="11" t="str">
        <f>IFERROR(IF(VLOOKUP(A1324,[9]PRIORIZADOS!$A:$P,16,FALSE)="","",VLOOKUP(A1324,[9]PRIORIZADOS!$A:$P,16,FALSE)),"")</f>
        <v>Visitas de evaluación con fines de seguimiento</v>
      </c>
      <c r="Q1324" s="27" t="s">
        <v>321</v>
      </c>
      <c r="R1324" s="11" t="str">
        <f>IFERROR(IF(VLOOKUP(A1324,[9]PRIORIZADOS!$A:$R,18,FALSE)="","",VLOOKUP(A1324,[9]PRIORIZADOS!$A:$R,18,FALSE)),"")</f>
        <v>Se revisan actas del año lectivo 2024 de los diferentes espacios de gobierno escolar y de otras instancias de participación</v>
      </c>
      <c r="S1324" s="11" t="str">
        <f>IFERROR(IF(VLOOKUP(A1324,[9]PRIORIZADOS!$A:$S,19,FALSE)="","",VLOOKUP(A1324,[9]PRIORIZADOS!$A:$S,19,FALSE)),"")</f>
        <v>Se observa la operatividad del gobierno escolar</v>
      </c>
      <c r="T1324" s="70" t="str">
        <f>IFERROR(IF(VLOOKUP(A1324,[9]PRIORIZADOS!$A:$T,20,FALSE)="","",VLOOKUP(A1324,[9]PRIORIZADOS!$A:$T,20,FALSE)),"")</f>
        <v>No</v>
      </c>
      <c r="U1324" s="11" t="str">
        <f>IFERROR(IF(VLOOKUP(A1324,[9]PRIORIZADOS!$A:$U,21,FALSE)="","",VLOOKUP(A1324,[9]PRIORIZADOS!$A:$U,21,FALSE)),"")</f>
        <v>Verificación de la conformación del gobierno escolar 2026, según calendario establecido por la normatividad vigente</v>
      </c>
    </row>
    <row r="1325" spans="1:21" s="1" customFormat="1" ht="72">
      <c r="A1325" s="69">
        <f>IF([9]PRIORIZADOS!A22="","",[9]PRIORIZADOS!A22)</f>
        <v>1266</v>
      </c>
      <c r="B1325" s="70">
        <f>IFERROR(IF(VLOOKUP(A1325,[9]PRIORIZADOS!$A:$B,2,FALSE)="","",VLOOKUP(A1325,[9]PRIORIZADOS!$A:$B,2,FALSE)),"")</f>
        <v>2</v>
      </c>
      <c r="C1325" s="11" t="str">
        <f>IFERROR(IF(VLOOKUP(A1325,[9]PRIORIZADOS!$A:$C,3,FALSE)="","",VLOOKUP(A1325,[9]PRIORIZADOS!$A:$C,3,FALSE)),"")</f>
        <v>LOS MÁRTIRES</v>
      </c>
      <c r="D1325" s="11" t="str">
        <f>IFERROR(IF(VLOOKUP(A1325,[9]PRIORIZADOS!$A:$D,4,FALSE)="","",VLOOKUP(A1325,[9]PRIORIZADOS!$A:$D,4,FALSE)),"")</f>
        <v>OFICIAL</v>
      </c>
      <c r="E1325" s="11" t="str">
        <f>IFERROR(IF(VLOOKUP(A1325,[9]PRIORIZADOS!$A:$E,5,FALSE)="","",VLOOKUP(A1325,[9]PRIORIZADOS!$A:$E,5,FALSE)),"")</f>
        <v>EPBM</v>
      </c>
      <c r="F1325" s="11" t="str">
        <f>IFERROR(IF(VLOOKUP(A1325,[9]PRIORIZADOS!$A:$F,6,FALSE)="","",VLOOKUP(A1325,[9]PRIORIZADOS!$A:$F,6,FALSE)),"")</f>
        <v>COLEGIO_REPUBLICA_BOLIVARIANA_DE_VENEZUELA_IED</v>
      </c>
      <c r="G1325" s="11" t="str">
        <f>IFERROR(IF(VLOOKUP(A1325,[9]PRIORIZADOS!$A:$G,7,FALSE)="","",VLOOKUP(A1325,[9]PRIORIZADOS!$A:$G,7,FALSE)),"")</f>
        <v>REPUBLICA BOLIVARIANA DE VENEZUELA</v>
      </c>
      <c r="H1325" s="11" t="str">
        <f>IFERROR(IF(VLOOKUP(A1325,[9]PRIORIZADOS!$A:$H,8,FALSE)="","",VLOOKUP(A1325,[9]PRIORIZADOS!$A:$H,8,FALSE)),"")</f>
        <v>Autoevaluación Institucional y Pruebas SABER 11</v>
      </c>
      <c r="I1325" s="11" t="str">
        <f>IFERROR(IF(VLOOKUP(A1325,[9]PRIORIZADOS!$A:$I,9,FALSE)="","",VLOOKUP(A1325,[9]PRIORIZADOS!$A:$I,9,FALSE)),"")</f>
        <v>EVALUACIÓN_CON_FINES_DE_MEJORAMIENTO.</v>
      </c>
      <c r="J1325" s="11" t="str">
        <f>IFERROR(IF(VLOOKUP(A1325,[9]PRIORIZADOS!$A:$J,10,FALSE)="","",VLOOKUP(A1325,[9]PRIORIZADOS!$A:$J,10,FALSE)),"")</f>
        <v>Verificar las condiciones en cuanto a: la estructura administrativa, condiciones de la planta física y medios educativos adecuados.</v>
      </c>
      <c r="K1325" s="11" t="str">
        <f>IFERROR(IF(VLOOKUP(A1325,[9]PRIORIZADOS!$A:$K,11,FALSE)="","",VLOOKUP(A1325,[9]PRIORIZADOS!$A:$K,11,FALSE)),"")</f>
        <v>CARLOS EDUARDO VARGAS LÓPEZ</v>
      </c>
      <c r="L1325" s="11" t="str">
        <f>IFERROR(IF(VLOOKUP(A1325,[9]PRIORIZADOS!$A:$L,12,FALSE)="","",VLOOKUP(A1325,[9]PRIORIZADOS!$A:$L,12,FALSE)),"")</f>
        <v>LUIS ALEJANDRO MARTÍNEZ PALACIOS</v>
      </c>
      <c r="M1325" s="71">
        <f>IFERROR(IF(VLOOKUP(A1325,[9]PRIORIZADOS!$A:$M,13,FALSE)="","",VLOOKUP(A1325,[9]PRIORIZADOS!$A:$M,13,FALSE)),"")</f>
        <v>45735</v>
      </c>
      <c r="N1325" s="71">
        <f>IFERROR(IF(VLOOKUP(A1325,[9]PRIORIZADOS!$A:$N,14,FALSE)="","",VLOOKUP(A1325,[9]PRIORIZADOS!$A:$N,14,FALSE)),"")</f>
        <v>45735</v>
      </c>
      <c r="O1325" s="71">
        <f>IFERROR(IF(VLOOKUP(A1325,[9]PRIORIZADOS!$A:$O,15,FALSE)="","",VLOOKUP(A1325,[9]PRIORIZADOS!$A:$O,15,FALSE)),"")</f>
        <v>45736</v>
      </c>
      <c r="P1325" s="11" t="str">
        <f>IFERROR(IF(VLOOKUP(A1325,[9]PRIORIZADOS!$A:$P,16,FALSE)="","",VLOOKUP(A1325,[9]PRIORIZADOS!$A:$P,16,FALSE)),"")</f>
        <v>Visitas de evaluación con fines de seguimiento</v>
      </c>
      <c r="Q1325" s="28" t="s">
        <v>321</v>
      </c>
      <c r="R1325" s="11" t="str">
        <f>IFERROR(IF(VLOOKUP(A1325,[9]PRIORIZADOS!$A:$R,18,FALSE)="","",VLOOKUP(A1325,[9]PRIORIZADOS!$A:$R,18,FALSE)),"")</f>
        <v>Se determina el cumplimiento de ítems como iluminación, ventilación cruzada, distancias reglamentarias entre puestos de trabajo del personal docente, directivo docente y el correspondiente a aulas y laboratorios estudiantiles.</v>
      </c>
      <c r="S1325" s="11" t="str">
        <f>IFERROR(IF(VLOOKUP(A1325,[9]PRIORIZADOS!$A:$S,19,FALSE)="","",VLOOKUP(A1325,[9]PRIORIZADOS!$A:$S,19,FALSE)),"")</f>
        <v>Se advierte el cumplimiento  de condiciones de la planta física, medios educativos adecuados, estructura administrativa y docente.</v>
      </c>
      <c r="T1325" s="70" t="str">
        <f>IFERROR(IF(VLOOKUP(A1325,[9]PRIORIZADOS!$A:$T,20,FALSE)="","",VLOOKUP(A1325,[9]PRIORIZADOS!$A:$T,20,FALSE)),"")</f>
        <v>No</v>
      </c>
      <c r="U1325" s="11" t="str">
        <f>IFERROR(IF(VLOOKUP(A1325,[9]PRIORIZADOS!$A:$U,21,FALSE)="","",VLOOKUP(A1325,[9]PRIORIZADOS!$A:$U,21,FALSE)),"")</f>
        <v>A demanda de acuerdo con las peticiones de la ciudadanía o de los entes de control</v>
      </c>
    </row>
    <row r="1326" spans="1:21" s="1" customFormat="1" ht="84">
      <c r="A1326" s="69">
        <f>IF([9]PRIORIZADOS!A23="","",[9]PRIORIZADOS!A23)</f>
        <v>1267</v>
      </c>
      <c r="B1326" s="70">
        <f>IFERROR(IF(VLOOKUP(A1326,[9]PRIORIZADOS!$A:$B,2,FALSE)="","",VLOOKUP(A1326,[9]PRIORIZADOS!$A:$B,2,FALSE)),"")</f>
        <v>3</v>
      </c>
      <c r="C1326" s="11" t="str">
        <f>IFERROR(IF(VLOOKUP(A1326,[9]PRIORIZADOS!$A:$C,3,FALSE)="","",VLOOKUP(A1326,[9]PRIORIZADOS!$A:$C,3,FALSE)),"")</f>
        <v>LOS MÁRTIRES</v>
      </c>
      <c r="D1326" s="11" t="str">
        <f>IFERROR(IF(VLOOKUP(A1326,[9]PRIORIZADOS!$A:$D,4,FALSE)="","",VLOOKUP(A1326,[9]PRIORIZADOS!$A:$D,4,FALSE)),"")</f>
        <v>PRIVADO_IETDH</v>
      </c>
      <c r="E1326" s="11" t="str">
        <f>IFERROR(IF(VLOOKUP(A1326,[9]PRIORIZADOS!$A:$E,5,FALSE)="","",VLOOKUP(A1326,[9]PRIORIZADOS!$A:$E,5,FALSE)),"")</f>
        <v>IETDH</v>
      </c>
      <c r="F1326" s="11" t="str">
        <f>IFERROR(IF(VLOOKUP(A1326,[9]PRIORIZADOS!$A:$F,6,FALSE)="","",VLOOKUP(A1326,[9]PRIORIZADOS!$A:$F,6,FALSE)),"")</f>
        <v>CENTRO_DE_ENSEÑANZA_AUTOMOVILISTICA_W._CAR</v>
      </c>
      <c r="G1326" s="11" t="str">
        <f>IFERROR(IF(VLOOKUP(A1326,[9]PRIORIZADOS!$A:$G,7,FALSE)="","",VLOOKUP(A1326,[9]PRIORIZADOS!$A:$G,7,FALSE)),"")</f>
        <v>CENTRO DE ENSEÑANZA AUTOMOVILISTICA W. CAR</v>
      </c>
      <c r="H1326" s="11" t="str">
        <f>IFERROR(IF(VLOOKUP(A1326,[9]PRIORIZADOS!$A:$H,8,FALSE)="","",VLOOKUP(A1326,[9]PRIORIZADOS!$A:$H,8,FALSE)),"")</f>
        <v>IETDH priorizadas por cada ELIV (seguimiento a PMI, que no se hayan visitado en los últimos 3 años)</v>
      </c>
      <c r="I1326" s="11" t="str">
        <f>IFERROR(IF(VLOOKUP(A1326,[9]PRIORIZADOS!$A:$I,9,FALSE)="","",VLOOKUP(A1326,[9]PRIORIZADOS!$A:$I,9,FALSE)),"")</f>
        <v>SEGUIMIENTO_Y_SUPERVISIÓN.</v>
      </c>
      <c r="J1326" s="11" t="str">
        <f>IFERROR(IF(VLOOKUP(A1326,[9]PRIORIZADOS!$A:$J,10,FALSE)="","",VLOOKUP(A1326,[9]PRIORIZADOS!$A:$J,10,FALSE)),"")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326" s="11" t="str">
        <f>IFERROR(IF(VLOOKUP(A1326,[9]PRIORIZADOS!$A:$K,11,FALSE)="","",VLOOKUP(A1326,[9]PRIORIZADOS!$A:$K,11,FALSE)),"")</f>
        <v>LUIS ALEJANDRO MARTÍNEZ PALACIOS</v>
      </c>
      <c r="L1326" s="11" t="str">
        <f>IFERROR(IF(VLOOKUP(A1326,[9]PRIORIZADOS!$A:$L,12,FALSE)="","",VLOOKUP(A1326,[9]PRIORIZADOS!$A:$L,12,FALSE)),"")</f>
        <v>CARLOS EDUARDO VARGAS LÓPEZ</v>
      </c>
      <c r="M1326" s="71">
        <f>IFERROR(IF(VLOOKUP(A1326,[9]PRIORIZADOS!$A:$M,13,FALSE)="","",VLOOKUP(A1326,[9]PRIORIZADOS!$A:$M,13,FALSE)),"")</f>
        <v>45750</v>
      </c>
      <c r="N1326" s="71">
        <f>IFERROR(IF(VLOOKUP(A1326,[9]PRIORIZADOS!$A:$N,14,FALSE)="","",VLOOKUP(A1326,[9]PRIORIZADOS!$A:$N,14,FALSE)),"")</f>
        <v>45904</v>
      </c>
      <c r="O1326" s="71">
        <f>IFERROR(IF(VLOOKUP(A1326,[9]PRIORIZADOS!$A:$O,15,FALSE)="","",VLOOKUP(A1326,[9]PRIORIZADOS!$A:$O,15,FALSE)),"")</f>
        <v>45904</v>
      </c>
      <c r="P1326" s="11" t="str">
        <f>IFERROR(IF(VLOOKUP(A1326,[9]PRIORIZADOS!$A:$P,16,FALSE)="","",VLOOKUP(A1326,[9]PRIORIZADOS!$A:$P,16,FALSE)),"")</f>
        <v>Visitas de evaluación con fines de seguimiento</v>
      </c>
      <c r="Q1326" s="29" t="s">
        <v>322</v>
      </c>
      <c r="R1326" s="11" t="str">
        <f>IFERROR(IF(VLOOKUP(A1326,[9]PRIORIZADOS!$A:$R,18,FALSE)="","",VLOOKUP(A1326,[9]PRIORIZADOS!$A:$R,18,FALSE)),"")</f>
        <v>Se verifica los matriculados y certificados en la plataforma SIET. Se verifica que los costos de los cursos se encuentran dentro de los rangos autorizados por la normatividad vigente</v>
      </c>
      <c r="S1326" s="11" t="str">
        <f>IFERROR(IF(VLOOKUP(A1326,[9]PRIORIZADOS!$A:$S,19,FALSE)="","",VLOOKUP(A1326,[9]PRIORIZADOS!$A:$S,19,FALSE)),"")</f>
        <v>Continuar con el reporte en SIET de la información sobre el desarrollo de los programas.</v>
      </c>
      <c r="T1326" s="70" t="str">
        <f>IFERROR(IF(VLOOKUP(A1326,[9]PRIORIZADOS!$A:$T,20,FALSE)="","",VLOOKUP(A1326,[9]PRIORIZADOS!$A:$T,20,FALSE)),"")</f>
        <v>No</v>
      </c>
      <c r="U1326" s="11" t="str">
        <f>IFERROR(IF(VLOOKUP(A1326,[9]PRIORIZADOS!$A:$U,21,FALSE)="","",VLOOKUP(A1326,[9]PRIORIZADOS!$A:$U,21,FALSE)),"")</f>
        <v>Verificación en próxima visita administrativa según programación POAIV del 2026 o en para la renovación de los programas</v>
      </c>
    </row>
    <row r="1327" spans="1:21" s="1" customFormat="1" ht="96">
      <c r="A1327" s="69">
        <f>IF([9]PRIORIZADOS!A24="","",[9]PRIORIZADOS!A24)</f>
        <v>1268</v>
      </c>
      <c r="B1327" s="70">
        <f>IFERROR(IF(VLOOKUP(A1327,[9]PRIORIZADOS!$A:$B,2,FALSE)="","",VLOOKUP(A1327,[9]PRIORIZADOS!$A:$B,2,FALSE)),"")</f>
        <v>3</v>
      </c>
      <c r="C1327" s="11" t="str">
        <f>IFERROR(IF(VLOOKUP(A1327,[9]PRIORIZADOS!$A:$C,3,FALSE)="","",VLOOKUP(A1327,[9]PRIORIZADOS!$A:$C,3,FALSE)),"")</f>
        <v>LOS MÁRTIRES</v>
      </c>
      <c r="D1327" s="11" t="str">
        <f>IFERROR(IF(VLOOKUP(A1327,[9]PRIORIZADOS!$A:$D,4,FALSE)="","",VLOOKUP(A1327,[9]PRIORIZADOS!$A:$D,4,FALSE)),"")</f>
        <v>PRIVADO_IETDH</v>
      </c>
      <c r="E1327" s="11" t="str">
        <f>IFERROR(IF(VLOOKUP(A1327,[9]PRIORIZADOS!$A:$E,5,FALSE)="","",VLOOKUP(A1327,[9]PRIORIZADOS!$A:$E,5,FALSE)),"")</f>
        <v>IETDH</v>
      </c>
      <c r="F1327" s="11" t="str">
        <f>IFERROR(IF(VLOOKUP(A1327,[9]PRIORIZADOS!$A:$F,6,FALSE)="","",VLOOKUP(A1327,[9]PRIORIZADOS!$A:$F,6,FALSE)),"")</f>
        <v>CENTRO_DE_ENSEÑANZA_AUTOMOVILISTICA_W._CAR</v>
      </c>
      <c r="G1327" s="11" t="str">
        <f>IFERROR(IF(VLOOKUP(A1327,[9]PRIORIZADOS!$A:$G,7,FALSE)="","",VLOOKUP(A1327,[9]PRIORIZADOS!$A:$G,7,FALSE)),"")</f>
        <v>CENTRO DE ENSEÑANZA AUTOMOVILISTICA W. CAR</v>
      </c>
      <c r="H1327" s="11" t="str">
        <f>IFERROR(IF(VLOOKUP(A1327,[9]PRIORIZADOS!$A:$H,8,FALSE)="","",VLOOKUP(A1327,[9]PRIORIZADOS!$A:$H,8,FALSE)),"")</f>
        <v>IETDH priorizadas por cada ELIV (seguimiento a PMI, que no se hayan visitado en los últimos 3 años)</v>
      </c>
      <c r="I1327" s="11" t="str">
        <f>IFERROR(IF(VLOOKUP(A1327,[9]PRIORIZADOS!$A:$I,9,FALSE)="","",VLOOKUP(A1327,[9]PRIORIZADOS!$A:$I,9,FALSE)),"")</f>
        <v>SEGUIMIENTO_Y_SUPERVISIÓN.</v>
      </c>
      <c r="J1327" s="11" t="str">
        <f>IFERROR(IF(VLOOKUP(A1327,[9]PRIORIZADOS!$A:$J,10,FALSE)="","",VLOOKUP(A1327,[9]PRIORIZADOS!$A:$J,10,FALSE)),"")</f>
        <v>Adelantar visitas para verificar que el desarrollo de los programas de ETDH, esté de acuerdo con lo autorizado y la normatividad vigente, para propender por su pertinencia, legalidad y actualización constante.</v>
      </c>
      <c r="K1327" s="11" t="str">
        <f>IFERROR(IF(VLOOKUP(A1327,[9]PRIORIZADOS!$A:$K,11,FALSE)="","",VLOOKUP(A1327,[9]PRIORIZADOS!$A:$K,11,FALSE)),"")</f>
        <v>LUIS ALEJANDRO MARTÍNEZ PALACIOS</v>
      </c>
      <c r="L1327" s="11" t="str">
        <f>IFERROR(IF(VLOOKUP(A1327,[9]PRIORIZADOS!$A:$L,12,FALSE)="","",VLOOKUP(A1327,[9]PRIORIZADOS!$A:$L,12,FALSE)),"")</f>
        <v>CARLOS EDUARDO VARGAS LÓPEZ</v>
      </c>
      <c r="M1327" s="71">
        <f>IFERROR(IF(VLOOKUP(A1327,[9]PRIORIZADOS!$A:$M,13,FALSE)="","",VLOOKUP(A1327,[9]PRIORIZADOS!$A:$M,13,FALSE)),"")</f>
        <v>45750</v>
      </c>
      <c r="N1327" s="71">
        <f>IFERROR(IF(VLOOKUP(A1327,[9]PRIORIZADOS!$A:$N,14,FALSE)="","",VLOOKUP(A1327,[9]PRIORIZADOS!$A:$N,14,FALSE)),"")</f>
        <v>45904</v>
      </c>
      <c r="O1327" s="71">
        <f>IFERROR(IF(VLOOKUP(A1327,[9]PRIORIZADOS!$A:$O,15,FALSE)="","",VLOOKUP(A1327,[9]PRIORIZADOS!$A:$O,15,FALSE)),"")</f>
        <v>45904</v>
      </c>
      <c r="P1327" s="11" t="str">
        <f>IFERROR(IF(VLOOKUP(A1327,[9]PRIORIZADOS!$A:$P,16,FALSE)="","",VLOOKUP(A1327,[9]PRIORIZADOS!$A:$P,16,FALSE)),"")</f>
        <v>Visitas de evaluación con fines de seguimiento</v>
      </c>
      <c r="Q1327" s="30" t="s">
        <v>322</v>
      </c>
      <c r="R1327" s="11" t="str">
        <f>IFERROR(IF(VLOOKUP(A1327,[9]PRIORIZADOS!$A:$R,18,FALSE)="","",VLOOKUP(A1327,[9]PRIORIZADOS!$A:$R,18,FALSE)),"")</f>
        <v>Presentan PEl el cual se actualizó para la renovación de los programas en el año 2022. Los programas están de acuerdo con Resolución 20223040009425 del 22 de febrero de 2022. Anexo 1. Contenidos curriculares para los cursos de formación de conductores e instructores que imparten los Centros de Enseñanza Automovilística</v>
      </c>
      <c r="S1327" s="11" t="str">
        <f>IFERROR(IF(VLOOKUP(A1327,[9]PRIORIZADOS!$A:$S,19,FALSE)="","",VLOOKUP(A1327,[9]PRIORIZADOS!$A:$S,19,FALSE)),"")</f>
        <v>Continuar con el desarrollo de los programas conforme la actualización realizada</v>
      </c>
      <c r="T1327" s="70" t="str">
        <f>IFERROR(IF(VLOOKUP(A1327,[9]PRIORIZADOS!$A:$T,20,FALSE)="","",VLOOKUP(A1327,[9]PRIORIZADOS!$A:$T,20,FALSE)),"")</f>
        <v>No</v>
      </c>
      <c r="U1327" s="11" t="str">
        <f>IFERROR(IF(VLOOKUP(A1327,[9]PRIORIZADOS!$A:$U,21,FALSE)="","",VLOOKUP(A1327,[9]PRIORIZADOS!$A:$U,21,FALSE)),"")</f>
        <v>Verificación en próxima visita administrativa según programación POAIV del 2026 o para la renovación de los programas</v>
      </c>
    </row>
    <row r="1328" spans="1:21" s="1" customFormat="1" ht="48">
      <c r="A1328" s="69">
        <f>IF([9]PRIORIZADOS!A25="","",[9]PRIORIZADOS!A25)</f>
        <v>1269</v>
      </c>
      <c r="B1328" s="70">
        <f>IFERROR(IF(VLOOKUP(A1328,[9]PRIORIZADOS!$A:$B,2,FALSE)="","",VLOOKUP(A1328,[9]PRIORIZADOS!$A:$B,2,FALSE)),"")</f>
        <v>3</v>
      </c>
      <c r="C1328" s="11" t="str">
        <f>IFERROR(IF(VLOOKUP(A1328,[9]PRIORIZADOS!$A:$C,3,FALSE)="","",VLOOKUP(A1328,[9]PRIORIZADOS!$A:$C,3,FALSE)),"")</f>
        <v>LOS MÁRTIRES</v>
      </c>
      <c r="D1328" s="11" t="str">
        <f>IFERROR(IF(VLOOKUP(A1328,[9]PRIORIZADOS!$A:$D,4,FALSE)="","",VLOOKUP(A1328,[9]PRIORIZADOS!$A:$D,4,FALSE)),"")</f>
        <v>PRIVADO_IETDH</v>
      </c>
      <c r="E1328" s="11" t="str">
        <f>IFERROR(IF(VLOOKUP(A1328,[9]PRIORIZADOS!$A:$E,5,FALSE)="","",VLOOKUP(A1328,[9]PRIORIZADOS!$A:$E,5,FALSE)),"")</f>
        <v>IETDH</v>
      </c>
      <c r="F1328" s="11" t="str">
        <f>IFERROR(IF(VLOOKUP(A1328,[9]PRIORIZADOS!$A:$F,6,FALSE)="","",VLOOKUP(A1328,[9]PRIORIZADOS!$A:$F,6,FALSE)),"")</f>
        <v>CENTRO_DE_ENSEÑANZA_AUTOMOVILISTICA_W._CAR</v>
      </c>
      <c r="G1328" s="11" t="str">
        <f>IFERROR(IF(VLOOKUP(A1328,[9]PRIORIZADOS!$A:$G,7,FALSE)="","",VLOOKUP(A1328,[9]PRIORIZADOS!$A:$G,7,FALSE)),"")</f>
        <v>CENTRO DE ENSEÑANZA AUTOMOVILISTICA W. CAR</v>
      </c>
      <c r="H1328" s="11" t="str">
        <f>IFERROR(IF(VLOOKUP(A1328,[9]PRIORIZADOS!$A:$H,8,FALSE)="","",VLOOKUP(A1328,[9]PRIORIZADOS!$A:$H,8,FALSE)),"")</f>
        <v>IETDH priorizadas por cada ELIV (seguimiento a PMI, que no se hayan visitado en los últimos 3 años)</v>
      </c>
      <c r="I1328" s="11" t="str">
        <f>IFERROR(IF(VLOOKUP(A1328,[9]PRIORIZADOS!$A:$I,9,FALSE)="","",VLOOKUP(A1328,[9]PRIORIZADOS!$A:$I,9,FALSE)),"")</f>
        <v>EVALUACIÓN_CON_FINES_DE_MEJORAMIENTO.</v>
      </c>
      <c r="J1328" s="11" t="str">
        <f>IFERROR(IF(VLOOKUP(A1328,[9]PRIORIZADOS!$A:$J,10,FALSE)="","",VLOOKUP(A1328,[9]PRIORIZADOS!$A:$J,10,FALSE)),"")</f>
        <v>Verificar las condiciones en cuanto a: la estructura administrativa, condiciones de la planta física y medios educativos adecuados.</v>
      </c>
      <c r="K1328" s="11" t="str">
        <f>IFERROR(IF(VLOOKUP(A1328,[9]PRIORIZADOS!$A:$K,11,FALSE)="","",VLOOKUP(A1328,[9]PRIORIZADOS!$A:$K,11,FALSE)),"")</f>
        <v>LUIS ALEJANDRO MARTÍNEZ PALACIOS</v>
      </c>
      <c r="L1328" s="11" t="str">
        <f>IFERROR(IF(VLOOKUP(A1328,[9]PRIORIZADOS!$A:$L,12,FALSE)="","",VLOOKUP(A1328,[9]PRIORIZADOS!$A:$L,12,FALSE)),"")</f>
        <v>CARLOS EDUARDO VARGAS LÓPEZ</v>
      </c>
      <c r="M1328" s="71">
        <f>IFERROR(IF(VLOOKUP(A1328,[9]PRIORIZADOS!$A:$M,13,FALSE)="","",VLOOKUP(A1328,[9]PRIORIZADOS!$A:$M,13,FALSE)),"")</f>
        <v>45750</v>
      </c>
      <c r="N1328" s="71">
        <f>IFERROR(IF(VLOOKUP(A1328,[9]PRIORIZADOS!$A:$N,14,FALSE)="","",VLOOKUP(A1328,[9]PRIORIZADOS!$A:$N,14,FALSE)),"")</f>
        <v>45904</v>
      </c>
      <c r="O1328" s="71">
        <f>IFERROR(IF(VLOOKUP(A1328,[9]PRIORIZADOS!$A:$O,15,FALSE)="","",VLOOKUP(A1328,[9]PRIORIZADOS!$A:$O,15,FALSE)),"")</f>
        <v>45904</v>
      </c>
      <c r="P1328" s="11" t="str">
        <f>IFERROR(IF(VLOOKUP(A1328,[9]PRIORIZADOS!$A:$P,16,FALSE)="","",VLOOKUP(A1328,[9]PRIORIZADOS!$A:$P,16,FALSE)),"")</f>
        <v>Visitas de evaluación con fines de seguimiento</v>
      </c>
      <c r="Q1328" s="30" t="s">
        <v>322</v>
      </c>
      <c r="R1328" s="11" t="str">
        <f>IFERROR(IF(VLOOKUP(A1328,[9]PRIORIZADOS!$A:$R,18,FALSE)="","",VLOOKUP(A1328,[9]PRIORIZADOS!$A:$R,18,FALSE)),"")</f>
        <v>Se cuenta con las condiciones favorables de: estructura administrativa y de personal.
Se cuenta con condiciones de la planta física y medios educativos adecuados.</v>
      </c>
      <c r="S1328" s="11" t="str">
        <f>IFERROR(IF(VLOOKUP(A1328,[9]PRIORIZADOS!$A:$S,19,FALSE)="","",VLOOKUP(A1328,[9]PRIORIZADOS!$A:$S,19,FALSE)),"")</f>
        <v>Continuar con el mantenimieto de la infraestructura y dotación para la adecuada prestación del servicio educativo</v>
      </c>
      <c r="T1328" s="70" t="str">
        <f>IFERROR(IF(VLOOKUP(A1328,[9]PRIORIZADOS!$A:$T,20,FALSE)="","",VLOOKUP(A1328,[9]PRIORIZADOS!$A:$T,20,FALSE)),"")</f>
        <v>No</v>
      </c>
      <c r="U1328" s="11" t="str">
        <f>IFERROR(IF(VLOOKUP(A1328,[9]PRIORIZADOS!$A:$U,21,FALSE)="","",VLOOKUP(A1328,[9]PRIORIZADOS!$A:$U,21,FALSE)),"")</f>
        <v>Verificación en próxima visita administrativa según programación POAIV del 2026 o en para la renovación de los programas</v>
      </c>
    </row>
    <row r="1329" spans="1:21" s="1" customFormat="1" ht="84">
      <c r="A1329" s="69">
        <f>IF([9]PRIORIZADOS!A26="","",[9]PRIORIZADOS!A26)</f>
        <v>1270</v>
      </c>
      <c r="B1329" s="70">
        <f>IFERROR(IF(VLOOKUP(A1329,[9]PRIORIZADOS!$A:$B,2,FALSE)="","",VLOOKUP(A1329,[9]PRIORIZADOS!$A:$B,2,FALSE)),"")</f>
        <v>4</v>
      </c>
      <c r="C1329" s="11" t="str">
        <f>IFERROR(IF(VLOOKUP(A1329,[9]PRIORIZADOS!$A:$C,3,FALSE)="","",VLOOKUP(A1329,[9]PRIORIZADOS!$A:$C,3,FALSE)),"")</f>
        <v>LOS MÁRTIRES</v>
      </c>
      <c r="D1329" s="11" t="str">
        <f>IFERROR(IF(VLOOKUP(A1329,[9]PRIORIZADOS!$A:$D,4,FALSE)="","",VLOOKUP(A1329,[9]PRIORIZADOS!$A:$D,4,FALSE)),"")</f>
        <v>PRIVADO_IETDH</v>
      </c>
      <c r="E1329" s="11" t="str">
        <f>IFERROR(IF(VLOOKUP(A1329,[9]PRIORIZADOS!$A:$E,5,FALSE)="","",VLOOKUP(A1329,[9]PRIORIZADOS!$A:$E,5,FALSE)),"")</f>
        <v>IETDH</v>
      </c>
      <c r="F1329" s="11" t="str">
        <f>IFERROR(IF(VLOOKUP(A1329,[9]PRIORIZADOS!$A:$F,6,FALSE)="","",VLOOKUP(A1329,[9]PRIORIZADOS!$A:$F,6,FALSE)),"")</f>
        <v>CENTRO_DE_CAPACITACIÓN_EN_ESTÉTICA_FACIAL_Y_CORPORAL_CORPOESTHETIC</v>
      </c>
      <c r="G1329" s="11" t="str">
        <f>IFERROR(IF(VLOOKUP(A1329,[9]PRIORIZADOS!$A:$G,7,FALSE)="","",VLOOKUP(A1329,[9]PRIORIZADOS!$A:$G,7,FALSE)),"")</f>
        <v>CENTRO DE CAPACITACIÓN EN ESTÉTICA FACIAL Y CORPORAL CORPOESTHETIC</v>
      </c>
      <c r="H1329" s="11" t="str">
        <f>IFERROR(IF(VLOOKUP(A1329,[9]PRIORIZADOS!$A:$H,8,FALSE)="","",VLOOKUP(A1329,[9]PRIORIZADOS!$A:$H,8,FALSE)),"")</f>
        <v>IETDH priorizadas por cada ELIV (seguimiento a PMI, que no se hayan visitado en los últimos 3 años)</v>
      </c>
      <c r="I1329" s="11" t="str">
        <f>IFERROR(IF(VLOOKUP(A1329,[9]PRIORIZADOS!$A:$I,9,FALSE)="","",VLOOKUP(A1329,[9]PRIORIZADOS!$A:$I,9,FALSE)),"")</f>
        <v>SEGUIMIENTO_Y_SUPERVISIÓN.</v>
      </c>
      <c r="J1329" s="11" t="str">
        <f>IFERROR(IF(VLOOKUP(A1329,[9]PRIORIZADOS!$A:$J,10,FALSE)="","",VLOOKUP(A1329,[9]PRIORIZADOS!$A:$J,10,FALSE)),"")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329" s="11" t="str">
        <f>IFERROR(IF(VLOOKUP(A1329,[9]PRIORIZADOS!$A:$K,11,FALSE)="","",VLOOKUP(A1329,[9]PRIORIZADOS!$A:$K,11,FALSE)),"")</f>
        <v>LUIS ALEJANDRO MARTÍNEZ PALACIOS</v>
      </c>
      <c r="L1329" s="11" t="str">
        <f>IFERROR(IF(VLOOKUP(A1329,[9]PRIORIZADOS!$A:$L,12,FALSE)="","",VLOOKUP(A1329,[9]PRIORIZADOS!$A:$L,12,FALSE)),"")</f>
        <v>CARLOS EDUARDO VARGAS LÓPEZ</v>
      </c>
      <c r="M1329" s="71">
        <f>IFERROR(IF(VLOOKUP(A1329,[9]PRIORIZADOS!$A:$M,13,FALSE)="","",VLOOKUP(A1329,[9]PRIORIZADOS!$A:$M,13,FALSE)),"")</f>
        <v>45758</v>
      </c>
      <c r="N1329" s="71">
        <f>IFERROR(IF(VLOOKUP(A1329,[9]PRIORIZADOS!$A:$N,14,FALSE)="","",VLOOKUP(A1329,[9]PRIORIZADOS!$A:$N,14,FALSE)),"")</f>
        <v>45758</v>
      </c>
      <c r="O1329" s="71">
        <f>IFERROR(IF(VLOOKUP(A1329,[9]PRIORIZADOS!$A:$O,15,FALSE)="","",VLOOKUP(A1329,[9]PRIORIZADOS!$A:$O,15,FALSE)),"")</f>
        <v>45758</v>
      </c>
      <c r="P1329" s="11" t="str">
        <f>IFERROR(IF(VLOOKUP(A1329,[9]PRIORIZADOS!$A:$P,16,FALSE)="","",VLOOKUP(A1329,[9]PRIORIZADOS!$A:$P,16,FALSE)),"")</f>
        <v>Visitas de evaluación con fines de seguimiento</v>
      </c>
      <c r="Q1329" s="31" t="s">
        <v>323</v>
      </c>
      <c r="R1329" s="11" t="str">
        <f>IFERROR(IF(VLOOKUP(A1329,[9]PRIORIZADOS!$A:$R,18,FALSE)="","",VLOOKUP(A1329,[9]PRIORIZADOS!$A:$R,18,FALSE)),"")</f>
        <v>Cumplen con la información requerida por el SIET en referencia a matriculados y certificados. El incremento realizado en 2025 esta ajustado a la normatividad anual</v>
      </c>
      <c r="S1329" s="11" t="str">
        <f>IFERROR(IF(VLOOKUP(A1329,[9]PRIORIZADOS!$A:$S,19,FALSE)="","",VLOOKUP(A1329,[9]PRIORIZADOS!$A:$S,19,FALSE)),"")</f>
        <v>Mantener actualizado el SIET respecto de inscritos, matriculados y certificados</v>
      </c>
      <c r="T1329" s="70" t="str">
        <f>IFERROR(IF(VLOOKUP(A1329,[9]PRIORIZADOS!$A:$T,20,FALSE)="","",VLOOKUP(A1329,[9]PRIORIZADOS!$A:$T,20,FALSE)),"")</f>
        <v>No</v>
      </c>
      <c r="U1329" s="11" t="str">
        <f>IFERROR(IF(VLOOKUP(A1329,[9]PRIORIZADOS!$A:$U,21,FALSE)="","",VLOOKUP(A1329,[9]PRIORIZADOS!$A:$U,21,FALSE)),"")</f>
        <v>A demanda y de acuerdo con los requerimientos que se reciban de la ciudadanía u organos de control</v>
      </c>
    </row>
    <row r="1330" spans="1:21" s="1" customFormat="1" ht="72">
      <c r="A1330" s="69">
        <f>IF([9]PRIORIZADOS!A27="","",[9]PRIORIZADOS!A27)</f>
        <v>1271</v>
      </c>
      <c r="B1330" s="70">
        <f>IFERROR(IF(VLOOKUP(A1330,[9]PRIORIZADOS!$A:$B,2,FALSE)="","",VLOOKUP(A1330,[9]PRIORIZADOS!$A:$B,2,FALSE)),"")</f>
        <v>4</v>
      </c>
      <c r="C1330" s="11" t="str">
        <f>IFERROR(IF(VLOOKUP(A1330,[9]PRIORIZADOS!$A:$C,3,FALSE)="","",VLOOKUP(A1330,[9]PRIORIZADOS!$A:$C,3,FALSE)),"")</f>
        <v>LOS MÁRTIRES</v>
      </c>
      <c r="D1330" s="11" t="str">
        <f>IFERROR(IF(VLOOKUP(A1330,[9]PRIORIZADOS!$A:$D,4,FALSE)="","",VLOOKUP(A1330,[9]PRIORIZADOS!$A:$D,4,FALSE)),"")</f>
        <v>PRIVADO_IETDH</v>
      </c>
      <c r="E1330" s="11" t="str">
        <f>IFERROR(IF(VLOOKUP(A1330,[9]PRIORIZADOS!$A:$E,5,FALSE)="","",VLOOKUP(A1330,[9]PRIORIZADOS!$A:$E,5,FALSE)),"")</f>
        <v>IETDH</v>
      </c>
      <c r="F1330" s="11" t="str">
        <f>IFERROR(IF(VLOOKUP(A1330,[9]PRIORIZADOS!$A:$F,6,FALSE)="","",VLOOKUP(A1330,[9]PRIORIZADOS!$A:$F,6,FALSE)),"")</f>
        <v>CENTRO_DE_CAPACITACIÓN_EN_ESTÉTICA_FACIAL_Y_CORPORAL_CORPOESTHETIC</v>
      </c>
      <c r="G1330" s="11" t="str">
        <f>IFERROR(IF(VLOOKUP(A1330,[9]PRIORIZADOS!$A:$G,7,FALSE)="","",VLOOKUP(A1330,[9]PRIORIZADOS!$A:$G,7,FALSE)),"")</f>
        <v>CENTRO DE CAPACITACIÓN EN ESTÉTICA FACIAL Y CORPORAL CORPOESTHETIC</v>
      </c>
      <c r="H1330" s="11" t="str">
        <f>IFERROR(IF(VLOOKUP(A1330,[9]PRIORIZADOS!$A:$H,8,FALSE)="","",VLOOKUP(A1330,[9]PRIORIZADOS!$A:$H,8,FALSE)),"")</f>
        <v>IETDH priorizadas por cada ELIV (seguimiento a PMI, que no se hayan visitado en los últimos 3 años)</v>
      </c>
      <c r="I1330" s="11" t="str">
        <f>IFERROR(IF(VLOOKUP(A1330,[9]PRIORIZADOS!$A:$I,9,FALSE)="","",VLOOKUP(A1330,[9]PRIORIZADOS!$A:$I,9,FALSE)),"")</f>
        <v>SEGUIMIENTO_Y_SUPERVISIÓN.</v>
      </c>
      <c r="J1330" s="11" t="str">
        <f>IFERROR(IF(VLOOKUP(A1330,[9]PRIORIZADOS!$A:$J,10,FALSE)="","",VLOOKUP(A1330,[9]PRIORIZADOS!$A:$J,10,FALSE)),"")</f>
        <v>Adelantar visitas para verificar que el desarrollo de los programas de ETDH, esté de acuerdo con lo autorizado y la normatividad vigente, para propender por su pertinencia, legalidad y actualización constante.</v>
      </c>
      <c r="K1330" s="11" t="str">
        <f>IFERROR(IF(VLOOKUP(A1330,[9]PRIORIZADOS!$A:$K,11,FALSE)="","",VLOOKUP(A1330,[9]PRIORIZADOS!$A:$K,11,FALSE)),"")</f>
        <v>LUIS ALEJANDRO MARTÍNEZ PALACIOS</v>
      </c>
      <c r="L1330" s="11" t="str">
        <f>IFERROR(IF(VLOOKUP(A1330,[9]PRIORIZADOS!$A:$L,12,FALSE)="","",VLOOKUP(A1330,[9]PRIORIZADOS!$A:$L,12,FALSE)),"")</f>
        <v>CARLOS EDUARDO VARGAS LÓPEZ</v>
      </c>
      <c r="M1330" s="71">
        <f>IFERROR(IF(VLOOKUP(A1330,[9]PRIORIZADOS!$A:$M,13,FALSE)="","",VLOOKUP(A1330,[9]PRIORIZADOS!$A:$M,13,FALSE)),"")</f>
        <v>45758</v>
      </c>
      <c r="N1330" s="71">
        <f>IFERROR(IF(VLOOKUP(A1330,[9]PRIORIZADOS!$A:$N,14,FALSE)="","",VLOOKUP(A1330,[9]PRIORIZADOS!$A:$N,14,FALSE)),"")</f>
        <v>45758</v>
      </c>
      <c r="O1330" s="71">
        <f>IFERROR(IF(VLOOKUP(A1330,[9]PRIORIZADOS!$A:$O,15,FALSE)="","",VLOOKUP(A1330,[9]PRIORIZADOS!$A:$O,15,FALSE)),"")</f>
        <v>45758</v>
      </c>
      <c r="P1330" s="11" t="str">
        <f>IFERROR(IF(VLOOKUP(A1330,[9]PRIORIZADOS!$A:$P,16,FALSE)="","",VLOOKUP(A1330,[9]PRIORIZADOS!$A:$P,16,FALSE)),"")</f>
        <v>Visitas de evaluación con fines de seguimiento</v>
      </c>
      <c r="Q1330" s="27" t="s">
        <v>323</v>
      </c>
      <c r="R1330" s="11" t="str">
        <f>IFERROR(IF(VLOOKUP(A1330,[9]PRIORIZADOS!$A:$R,18,FALSE)="","",VLOOKUP(A1330,[9]PRIORIZADOS!$A:$R,18,FALSE)),"")</f>
        <v>La IETDH tiene un programa técnico laboral que se desarrolla de acuerdo con lo aprobado. Cuenta con los espacios adecuados y se desarrolla el programa acorde con las competencias laborales aprobadas</v>
      </c>
      <c r="S1330" s="11" t="str">
        <f>IFERROR(IF(VLOOKUP(A1330,[9]PRIORIZADOS!$A:$S,19,FALSE)="","",VLOOKUP(A1330,[9]PRIORIZADOS!$A:$S,19,FALSE)),"")</f>
        <v>Continuar el desarrollo del programa bajo estas condiciones</v>
      </c>
      <c r="T1330" s="70" t="str">
        <f>IFERROR(IF(VLOOKUP(A1330,[9]PRIORIZADOS!$A:$T,20,FALSE)="","",VLOOKUP(A1330,[9]PRIORIZADOS!$A:$T,20,FALSE)),"")</f>
        <v>No</v>
      </c>
      <c r="U1330" s="11" t="str">
        <f>IFERROR(IF(VLOOKUP(A1330,[9]PRIORIZADOS!$A:$U,21,FALSE)="","",VLOOKUP(A1330,[9]PRIORIZADOS!$A:$U,21,FALSE)),"")</f>
        <v>A demanda y de acuerdo con los requerimientos que se reciban de la ciudadanía u organos de control</v>
      </c>
    </row>
    <row r="1331" spans="1:21" s="1" customFormat="1" ht="107.25">
      <c r="A1331" s="69">
        <f>IF([9]PRIORIZADOS!A28="","",[9]PRIORIZADOS!A28)</f>
        <v>1272</v>
      </c>
      <c r="B1331" s="70">
        <f>IFERROR(IF(VLOOKUP(A1331,[9]PRIORIZADOS!$A:$B,2,FALSE)="","",VLOOKUP(A1331,[9]PRIORIZADOS!$A:$B,2,FALSE)),"")</f>
        <v>4</v>
      </c>
      <c r="C1331" s="11" t="str">
        <f>IFERROR(IF(VLOOKUP(A1331,[9]PRIORIZADOS!$A:$C,3,FALSE)="","",VLOOKUP(A1331,[9]PRIORIZADOS!$A:$C,3,FALSE)),"")</f>
        <v>LOS MÁRTIRES</v>
      </c>
      <c r="D1331" s="11" t="str">
        <f>IFERROR(IF(VLOOKUP(A1331,[9]PRIORIZADOS!$A:$D,4,FALSE)="","",VLOOKUP(A1331,[9]PRIORIZADOS!$A:$D,4,FALSE)),"")</f>
        <v>PRIVADO_IETDH</v>
      </c>
      <c r="E1331" s="11" t="str">
        <f>IFERROR(IF(VLOOKUP(A1331,[9]PRIORIZADOS!$A:$E,5,FALSE)="","",VLOOKUP(A1331,[9]PRIORIZADOS!$A:$E,5,FALSE)),"")</f>
        <v>IETDH</v>
      </c>
      <c r="F1331" s="11" t="str">
        <f>IFERROR(IF(VLOOKUP(A1331,[9]PRIORIZADOS!$A:$F,6,FALSE)="","",VLOOKUP(A1331,[9]PRIORIZADOS!$A:$F,6,FALSE)),"")</f>
        <v>CENTRO_DE_CAPACITACIÓN_EN_ESTÉTICA_FACIAL_Y_CORPORAL_CORPOESTHETIC</v>
      </c>
      <c r="G1331" s="11" t="str">
        <f>IFERROR(IF(VLOOKUP(A1331,[9]PRIORIZADOS!$A:$G,7,FALSE)="","",VLOOKUP(A1331,[9]PRIORIZADOS!$A:$G,7,FALSE)),"")</f>
        <v>CENTRO DE CAPACITACIÓN EN ESTÉTICA FACIAL Y CORPORAL CORPOESTHETIC</v>
      </c>
      <c r="H1331" s="11" t="str">
        <f>IFERROR(IF(VLOOKUP(A1331,[9]PRIORIZADOS!$A:$H,8,FALSE)="","",VLOOKUP(A1331,[9]PRIORIZADOS!$A:$H,8,FALSE)),"")</f>
        <v>IETDH priorizadas por cada ELIV (seguimiento a PMI, que no se hayan visitado en los últimos 3 años)</v>
      </c>
      <c r="I1331" s="11" t="str">
        <f>IFERROR(IF(VLOOKUP(A1331,[9]PRIORIZADOS!$A:$I,9,FALSE)="","",VLOOKUP(A1331,[9]PRIORIZADOS!$A:$I,9,FALSE)),"")</f>
        <v>EVALUACIÓN_CON_FINES_DE_MEJORAMIENTO.</v>
      </c>
      <c r="J1331" s="11" t="str">
        <f>IFERROR(IF(VLOOKUP(A1331,[9]PRIORIZADOS!$A:$J,10,FALSE)="","",VLOOKUP(A1331,[9]PRIORIZADOS!$A:$J,10,FALSE)),"")</f>
        <v>Verificar las condiciones en cuanto a: la estructura administrativa, condiciones de la planta física y medios educativos adecuados.</v>
      </c>
      <c r="K1331" s="11" t="str">
        <f>IFERROR(IF(VLOOKUP(A1331,[9]PRIORIZADOS!$A:$K,11,FALSE)="","",VLOOKUP(A1331,[9]PRIORIZADOS!$A:$K,11,FALSE)),"")</f>
        <v>LUIS ALEJANDRO MARTÍNEZ PALACIOS</v>
      </c>
      <c r="L1331" s="11" t="str">
        <f>IFERROR(IF(VLOOKUP(A1331,[9]PRIORIZADOS!$A:$L,12,FALSE)="","",VLOOKUP(A1331,[9]PRIORIZADOS!$A:$L,12,FALSE)),"")</f>
        <v>CARLOS EDUARDO VARGAS LÓPEZ</v>
      </c>
      <c r="M1331" s="71">
        <f>IFERROR(IF(VLOOKUP(A1331,[9]PRIORIZADOS!$A:$M,13,FALSE)="","",VLOOKUP(A1331,[9]PRIORIZADOS!$A:$M,13,FALSE)),"")</f>
        <v>45758</v>
      </c>
      <c r="N1331" s="71">
        <f>IFERROR(IF(VLOOKUP(A1331,[9]PRIORIZADOS!$A:$N,14,FALSE)="","",VLOOKUP(A1331,[9]PRIORIZADOS!$A:$N,14,FALSE)),"")</f>
        <v>45758</v>
      </c>
      <c r="O1331" s="71">
        <f>IFERROR(IF(VLOOKUP(A1331,[9]PRIORIZADOS!$A:$O,15,FALSE)="","",VLOOKUP(A1331,[9]PRIORIZADOS!$A:$O,15,FALSE)),"")</f>
        <v>45758</v>
      </c>
      <c r="P1331" s="11" t="str">
        <f>IFERROR(IF(VLOOKUP(A1331,[9]PRIORIZADOS!$A:$P,16,FALSE)="","",VLOOKUP(A1331,[9]PRIORIZADOS!$A:$P,16,FALSE)),"")</f>
        <v>Visitas de evaluación con fines de seguimiento</v>
      </c>
      <c r="Q1331" s="27" t="s">
        <v>323</v>
      </c>
      <c r="R1331" s="11" t="str">
        <f>IFERROR(IF(VLOOKUP(A1331,[9]PRIORIZADOS!$A:$R,18,FALSE)="","",VLOOKUP(A1331,[9]PRIORIZADOS!$A:$R,18,FALSE)),"")</f>
        <v>Se cuenta con condiciones favorables de:
estructura administrativa y de personal, condiciones de la planta física y medios educativos adecuados. No obstante, se encuentra que el PGRC  esta desactualizado,no cuentan con reglamento estudiantil ajustado al debido proceso, no esta formalizada la autoevaluacion institucional</v>
      </c>
      <c r="S1331" s="11" t="str">
        <f>IFERROR(IF(VLOOKUP(A1331,[9]PRIORIZADOS!$A:$S,19,FALSE)="","",VLOOKUP(A1331,[9]PRIORIZADOS!$A:$S,19,FALSE)),"")</f>
        <v>La IETDH debe formalizar y fortalecer los procesos de autoevaluación institucional</v>
      </c>
      <c r="T1331" s="70" t="str">
        <f>IFERROR(IF(VLOOKUP(A1331,[9]PRIORIZADOS!$A:$T,20,FALSE)="","",VLOOKUP(A1331,[9]PRIORIZADOS!$A:$T,20,FALSE)),"")</f>
        <v>Si</v>
      </c>
      <c r="U1331" s="11" t="str">
        <f>IFERROR(IF(VLOOKUP(A1331,[9]PRIORIZADOS!$A:$U,21,FALSE)="","",VLOOKUP(A1331,[9]PRIORIZADOS!$A:$U,21,FALSE)),"")</f>
        <v>Se realizó visita de seguimiento el 15 de septiembre y se verificó avance de los procesos propuestos en el plan de mejoramiento</v>
      </c>
    </row>
    <row r="1332" spans="1:21" s="1" customFormat="1" ht="60">
      <c r="A1332" s="69">
        <f>IF([9]PRIORIZADOS!A29="","",[9]PRIORIZADOS!A29)</f>
        <v>1273</v>
      </c>
      <c r="B1332" s="70">
        <f>IFERROR(IF(VLOOKUP(A1332,[9]PRIORIZADOS!$A:$B,2,FALSE)="","",VLOOKUP(A1332,[9]PRIORIZADOS!$A:$B,2,FALSE)),"")</f>
        <v>5</v>
      </c>
      <c r="C1332" s="11" t="str">
        <f>IFERROR(IF(VLOOKUP(A1332,[9]PRIORIZADOS!$A:$C,3,FALSE)="","",VLOOKUP(A1332,[9]PRIORIZADOS!$A:$C,3,FALSE)),"")</f>
        <v>LOS MÁRTIRES</v>
      </c>
      <c r="D1332" s="11" t="str">
        <f>IFERROR(IF(VLOOKUP(A1332,[9]PRIORIZADOS!$A:$D,4,FALSE)="","",VLOOKUP(A1332,[9]PRIORIZADOS!$A:$D,4,FALSE)),"")</f>
        <v>PRIVADO</v>
      </c>
      <c r="E1332" s="11" t="str">
        <f>IFERROR(IF(VLOOKUP(A1332,[9]PRIORIZADOS!$A:$E,5,FALSE)="","",VLOOKUP(A1332,[9]PRIORIZADOS!$A:$E,5,FALSE)),"")</f>
        <v>EPBM</v>
      </c>
      <c r="F1332" s="11" t="str">
        <f>IFERROR(IF(VLOOKUP(A1332,[9]PRIORIZADOS!$A:$F,6,FALSE)="","",VLOOKUP(A1332,[9]PRIORIZADOS!$A:$F,6,FALSE)),"")</f>
        <v>COLEGIO_SAN_JOSE</v>
      </c>
      <c r="G1332" s="11" t="str">
        <f>IFERROR(IF(VLOOKUP(A1332,[9]PRIORIZADOS!$A:$G,7,FALSE)="","",VLOOKUP(A1332,[9]PRIORIZADOS!$A:$G,7,FALSE)),"")</f>
        <v>COLEGIO SAN JOSE</v>
      </c>
      <c r="H1332" s="11" t="str">
        <f>IFERROR(IF(VLOOKUP(A1332,[9]PRIORIZADOS!$A:$H,8,FALSE)="","",VLOOKUP(A1332,[9]PRIORIZADOS!$A:$H,8,FALSE)),"")</f>
        <v>Autoevaluación Institucional y Pruebas SABER 11</v>
      </c>
      <c r="I1332" s="11" t="str">
        <f>IFERROR(IF(VLOOKUP(A1332,[9]PRIORIZADOS!$A:$I,9,FALSE)="","",VLOOKUP(A1332,[9]PRIORIZADOS!$A:$I,9,FALSE)),"")</f>
        <v>SEGUIMIENTO_Y_SUPERVISIÓN.</v>
      </c>
      <c r="J1332" s="11" t="str">
        <f>IFERROR(IF(VLOOKUP(A1332,[9]PRIORIZADOS!$A:$J,10,FALSE)="","",VLOOKUP(A1332,[9]PRIORIZADOS!$A:$J,10,FALSE)),"")</f>
        <v>Realizar visitas para verificar la información registrada sobre la autoevaluación institucional en el aplicativo EVI, a los establecimientos de educación formal no oficial.</v>
      </c>
      <c r="K1332" s="11" t="str">
        <f>IFERROR(IF(VLOOKUP(A1332,[9]PRIORIZADOS!$A:$K,11,FALSE)="","",VLOOKUP(A1332,[9]PRIORIZADOS!$A:$K,11,FALSE)),"")</f>
        <v>LUIS ALEJANDRO MARTÍNEZ PALACIOS</v>
      </c>
      <c r="L1332" s="11" t="str">
        <f>IFERROR(IF(VLOOKUP(A1332,[9]PRIORIZADOS!$A:$L,12,FALSE)="","",VLOOKUP(A1332,[9]PRIORIZADOS!$A:$L,12,FALSE)),"")</f>
        <v>CARLOS EDUARDO VARGAS LÓPEZ</v>
      </c>
      <c r="M1332" s="71">
        <f>IFERROR(IF(VLOOKUP(A1332,[9]PRIORIZADOS!$A:$M,13,FALSE)="","",VLOOKUP(A1332,[9]PRIORIZADOS!$A:$M,13,FALSE)),"")</f>
        <v>45797</v>
      </c>
      <c r="N1332" s="71">
        <f>IFERROR(IF(VLOOKUP(A1332,[9]PRIORIZADOS!$A:$N,14,FALSE)="","",VLOOKUP(A1332,[9]PRIORIZADOS!$A:$N,14,FALSE)),"")</f>
        <v>45798</v>
      </c>
      <c r="O1332" s="71">
        <f>IFERROR(IF(VLOOKUP(A1332,[9]PRIORIZADOS!$A:$O,15,FALSE)="","",VLOOKUP(A1332,[9]PRIORIZADOS!$A:$O,15,FALSE)),"")</f>
        <v>45798</v>
      </c>
      <c r="P1332" s="11" t="str">
        <f>IFERROR(IF(VLOOKUP(A1332,[9]PRIORIZADOS!$A:$P,16,FALSE)="","",VLOOKUP(A1332,[9]PRIORIZADOS!$A:$P,16,FALSE)),"")</f>
        <v>Visitas de evaluación con fines de seguimiento</v>
      </c>
      <c r="Q1332" s="32" t="s">
        <v>324</v>
      </c>
      <c r="R1332" s="11" t="str">
        <f>IFERROR(IF(VLOOKUP(A1332,[9]PRIORIZADOS!$A:$R,18,FALSE)="","",VLOOKUP(A1332,[9]PRIORIZADOS!$A:$R,18,FALSE)),"")</f>
        <v>Se revisa reporte PDF de la autoevaluación institucional 2024, en contrando en términos generales correspondencia entre el reporte y lo evidenciado en la visita</v>
      </c>
      <c r="S1332" s="11" t="str">
        <f>IFERROR(IF(VLOOKUP(A1332,[9]PRIORIZADOS!$A:$S,19,FALSE)="","",VLOOKUP(A1332,[9]PRIORIZADOS!$A:$S,19,FALSE)),"")</f>
        <v>Revisar el reporte en cuanto a la intensificación de segunda lengua, ya que no se cumple con las horas mínimas establecidas por la guia 4 del MEN, para su caracterización</v>
      </c>
      <c r="T1332" s="70" t="str">
        <f>IFERROR(IF(VLOOKUP(A1332,[9]PRIORIZADOS!$A:$T,20,FALSE)="","",VLOOKUP(A1332,[9]PRIORIZADOS!$A:$T,20,FALSE)),"")</f>
        <v>No</v>
      </c>
      <c r="U1332" s="11" t="str">
        <f>IFERROR(IF(VLOOKUP(A1332,[9]PRIORIZADOS!$A:$U,21,FALSE)="","",VLOOKUP(A1332,[9]PRIORIZADOS!$A:$U,21,FALSE)),"")</f>
        <v>Se realizará revisión de la autoevaluación 2025 en el mes de octubre-noviembre, para la autorización de tarifas 2026</v>
      </c>
    </row>
    <row r="1333" spans="1:21" s="1" customFormat="1" ht="48">
      <c r="A1333" s="69">
        <f>IF([9]PRIORIZADOS!A30="","",[9]PRIORIZADOS!A30)</f>
        <v>1274</v>
      </c>
      <c r="B1333" s="70">
        <f>IFERROR(IF(VLOOKUP(A1333,[9]PRIORIZADOS!$A:$B,2,FALSE)="","",VLOOKUP(A1333,[9]PRIORIZADOS!$A:$B,2,FALSE)),"")</f>
        <v>5</v>
      </c>
      <c r="C1333" s="11" t="str">
        <f>IFERROR(IF(VLOOKUP(A1333,[9]PRIORIZADOS!$A:$C,3,FALSE)="","",VLOOKUP(A1333,[9]PRIORIZADOS!$A:$C,3,FALSE)),"")</f>
        <v>LOS MÁRTIRES</v>
      </c>
      <c r="D1333" s="11" t="str">
        <f>IFERROR(IF(VLOOKUP(A1333,[9]PRIORIZADOS!$A:$D,4,FALSE)="","",VLOOKUP(A1333,[9]PRIORIZADOS!$A:$D,4,FALSE)),"")</f>
        <v>PRIVADO</v>
      </c>
      <c r="E1333" s="11" t="str">
        <f>IFERROR(IF(VLOOKUP(A1333,[9]PRIORIZADOS!$A:$E,5,FALSE)="","",VLOOKUP(A1333,[9]PRIORIZADOS!$A:$E,5,FALSE)),"")</f>
        <v>EPBM</v>
      </c>
      <c r="F1333" s="11" t="str">
        <f>IFERROR(IF(VLOOKUP(A1333,[9]PRIORIZADOS!$A:$F,6,FALSE)="","",VLOOKUP(A1333,[9]PRIORIZADOS!$A:$F,6,FALSE)),"")</f>
        <v>COLEGIO_SAN_JOSE</v>
      </c>
      <c r="G1333" s="11" t="str">
        <f>IFERROR(IF(VLOOKUP(A1333,[9]PRIORIZADOS!$A:$G,7,FALSE)="","",VLOOKUP(A1333,[9]PRIORIZADOS!$A:$G,7,FALSE)),"")</f>
        <v>COLEGIO SAN JOSE</v>
      </c>
      <c r="H1333" s="11" t="str">
        <f>IFERROR(IF(VLOOKUP(A1333,[9]PRIORIZADOS!$A:$H,8,FALSE)="","",VLOOKUP(A1333,[9]PRIORIZADOS!$A:$H,8,FALSE)),"")</f>
        <v>Autoevaluación Institucional y Pruebas SABER 11</v>
      </c>
      <c r="I1333" s="11" t="str">
        <f>IFERROR(IF(VLOOKUP(A1333,[9]PRIORIZADOS!$A:$I,9,FALSE)="","",VLOOKUP(A1333,[9]PRIORIZADOS!$A:$I,9,FALSE)),"")</f>
        <v>SEGUIMIENTO_Y_SUPERVISIÓN.</v>
      </c>
      <c r="J1333" s="11" t="str">
        <f>IFERROR(IF(VLOOKUP(A1333,[9]PRIORIZADOS!$A:$J,10,FALSE)="","",VLOOKUP(A1333,[9]PRIORIZADOS!$A:$J,10,FALSE)),"")</f>
        <v xml:space="preserve">Verificar la implementación por parte de los colegios, de acciones realizadas para la prevención y atención de las situaciones de convivencia en el entorno escolar, según lo establecido en la Directiva 01 de 2022 del MEN. </v>
      </c>
      <c r="K1333" s="11" t="str">
        <f>IFERROR(IF(VLOOKUP(A1333,[9]PRIORIZADOS!$A:$K,11,FALSE)="","",VLOOKUP(A1333,[9]PRIORIZADOS!$A:$K,11,FALSE)),"")</f>
        <v>LUIS ALEJANDRO MARTÍNEZ PALACIOS</v>
      </c>
      <c r="L1333" s="11" t="str">
        <f>IFERROR(IF(VLOOKUP(A1333,[9]PRIORIZADOS!$A:$L,12,FALSE)="","",VLOOKUP(A1333,[9]PRIORIZADOS!$A:$L,12,FALSE)),"")</f>
        <v>CARLOS EDUARDO VARGAS LÓPEZ</v>
      </c>
      <c r="M1333" s="71">
        <f>IFERROR(IF(VLOOKUP(A1333,[9]PRIORIZADOS!$A:$M,13,FALSE)="","",VLOOKUP(A1333,[9]PRIORIZADOS!$A:$M,13,FALSE)),"")</f>
        <v>45797</v>
      </c>
      <c r="N1333" s="71">
        <f>IFERROR(IF(VLOOKUP(A1333,[9]PRIORIZADOS!$A:$N,14,FALSE)="","",VLOOKUP(A1333,[9]PRIORIZADOS!$A:$N,14,FALSE)),"")</f>
        <v>45798</v>
      </c>
      <c r="O1333" s="71">
        <f>IFERROR(IF(VLOOKUP(A1333,[9]PRIORIZADOS!$A:$O,15,FALSE)="","",VLOOKUP(A1333,[9]PRIORIZADOS!$A:$O,15,FALSE)),"")</f>
        <v>45798</v>
      </c>
      <c r="P1333" s="11" t="str">
        <f>IFERROR(IF(VLOOKUP(A1333,[9]PRIORIZADOS!$A:$P,16,FALSE)="","",VLOOKUP(A1333,[9]PRIORIZADOS!$A:$P,16,FALSE)),"")</f>
        <v>Visitas de evaluación con fines de seguimiento</v>
      </c>
      <c r="Q1333" s="32" t="s">
        <v>324</v>
      </c>
      <c r="R1333" s="11" t="str">
        <f>IFERROR(IF(VLOOKUP(A1333,[9]PRIORIZADOS!$A:$R,18,FALSE)="","",VLOOKUP(A1333,[9]PRIORIZADOS!$A:$R,18,FALSE)),"")</f>
        <v>Se revisa las hojas de vida de los docentes en la cual se aporta la verificación de inhabilidades por delitos sexuales</v>
      </c>
      <c r="S1333" s="11" t="str">
        <f>IFERROR(IF(VLOOKUP(A1333,[9]PRIORIZADOS!$A:$S,19,FALSE)="","",VLOOKUP(A1333,[9]PRIORIZADOS!$A:$S,19,FALSE)),"")</f>
        <v>Continuar realizando la consulta de inhablilidades conforme con la periodicidad establecida en la Directiva 01</v>
      </c>
      <c r="T1333" s="70" t="str">
        <f>IFERROR(IF(VLOOKUP(A1333,[9]PRIORIZADOS!$A:$T,20,FALSE)="","",VLOOKUP(A1333,[9]PRIORIZADOS!$A:$T,20,FALSE)),"")</f>
        <v>No</v>
      </c>
      <c r="U1333" s="11" t="str">
        <f>IFERROR(IF(VLOOKUP(A1333,[9]PRIORIZADOS!$A:$U,21,FALSE)="","",VLOOKUP(A1333,[9]PRIORIZADOS!$A:$U,21,FALSE)),"")</f>
        <v>A demanda de acuerdo con las peticiones de la ciudadanía o de los entes de control</v>
      </c>
    </row>
    <row r="1334" spans="1:21" s="1" customFormat="1" ht="72">
      <c r="A1334" s="69">
        <f>IF([9]PRIORIZADOS!A31="","",[9]PRIORIZADOS!A31)</f>
        <v>1275</v>
      </c>
      <c r="B1334" s="70">
        <f>IFERROR(IF(VLOOKUP(A1334,[9]PRIORIZADOS!$A:$B,2,FALSE)="","",VLOOKUP(A1334,[9]PRIORIZADOS!$A:$B,2,FALSE)),"")</f>
        <v>5</v>
      </c>
      <c r="C1334" s="11" t="str">
        <f>IFERROR(IF(VLOOKUP(A1334,[9]PRIORIZADOS!$A:$C,3,FALSE)="","",VLOOKUP(A1334,[9]PRIORIZADOS!$A:$C,3,FALSE)),"")</f>
        <v>LOS MÁRTIRES</v>
      </c>
      <c r="D1334" s="11" t="str">
        <f>IFERROR(IF(VLOOKUP(A1334,[9]PRIORIZADOS!$A:$D,4,FALSE)="","",VLOOKUP(A1334,[9]PRIORIZADOS!$A:$D,4,FALSE)),"")</f>
        <v>PRIVADO</v>
      </c>
      <c r="E1334" s="11" t="str">
        <f>IFERROR(IF(VLOOKUP(A1334,[9]PRIORIZADOS!$A:$E,5,FALSE)="","",VLOOKUP(A1334,[9]PRIORIZADOS!$A:$E,5,FALSE)),"")</f>
        <v>EPBM</v>
      </c>
      <c r="F1334" s="11" t="str">
        <f>IFERROR(IF(VLOOKUP(A1334,[9]PRIORIZADOS!$A:$F,6,FALSE)="","",VLOOKUP(A1334,[9]PRIORIZADOS!$A:$F,6,FALSE)),"")</f>
        <v>COLEGIO_SAN_JOSE</v>
      </c>
      <c r="G1334" s="11" t="str">
        <f>IFERROR(IF(VLOOKUP(A1334,[9]PRIORIZADOS!$A:$G,7,FALSE)="","",VLOOKUP(A1334,[9]PRIORIZADOS!$A:$G,7,FALSE)),"")</f>
        <v>COLEGIO SAN JOSE</v>
      </c>
      <c r="H1334" s="11" t="str">
        <f>IFERROR(IF(VLOOKUP(A1334,[9]PRIORIZADOS!$A:$H,8,FALSE)="","",VLOOKUP(A1334,[9]PRIORIZADOS!$A:$H,8,FALSE)),"")</f>
        <v>Autoevaluación Institucional y Pruebas SABER 11</v>
      </c>
      <c r="I1334" s="11" t="str">
        <f>IFERROR(IF(VLOOKUP(A1334,[9]PRIORIZADOS!$A:$I,9,FALSE)="","",VLOOKUP(A1334,[9]PRIORIZADOS!$A:$I,9,FALSE)),"")</f>
        <v>SEGUIMIENTO_Y_SUPERVISIÓN.</v>
      </c>
      <c r="J1334" s="11" t="str">
        <f>IFERROR(IF(VLOOKUP(A1334,[9]PRIORIZADOS!$A:$J,10,FALSE)="","",VLOOKUP(A1334,[9]PRIORIZADOS!$A:$J,10,FALSE)),"")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34" s="11" t="str">
        <f>IFERROR(IF(VLOOKUP(A1334,[9]PRIORIZADOS!$A:$K,11,FALSE)="","",VLOOKUP(A1334,[9]PRIORIZADOS!$A:$K,11,FALSE)),"")</f>
        <v>LUIS ALEJANDRO MARTÍNEZ PALACIOS</v>
      </c>
      <c r="L1334" s="11" t="str">
        <f>IFERROR(IF(VLOOKUP(A1334,[9]PRIORIZADOS!$A:$L,12,FALSE)="","",VLOOKUP(A1334,[9]PRIORIZADOS!$A:$L,12,FALSE)),"")</f>
        <v>CARLOS EDUARDO VARGAS LÓPEZ</v>
      </c>
      <c r="M1334" s="71">
        <f>IFERROR(IF(VLOOKUP(A1334,[9]PRIORIZADOS!$A:$M,13,FALSE)="","",VLOOKUP(A1334,[9]PRIORIZADOS!$A:$M,13,FALSE)),"")</f>
        <v>45797</v>
      </c>
      <c r="N1334" s="71">
        <f>IFERROR(IF(VLOOKUP(A1334,[9]PRIORIZADOS!$A:$N,14,FALSE)="","",VLOOKUP(A1334,[9]PRIORIZADOS!$A:$N,14,FALSE)),"")</f>
        <v>45798</v>
      </c>
      <c r="O1334" s="71">
        <f>IFERROR(IF(VLOOKUP(A1334,[9]PRIORIZADOS!$A:$O,15,FALSE)="","",VLOOKUP(A1334,[9]PRIORIZADOS!$A:$O,15,FALSE)),"")</f>
        <v>45798</v>
      </c>
      <c r="P1334" s="11" t="str">
        <f>IFERROR(IF(VLOOKUP(A1334,[9]PRIORIZADOS!$A:$P,16,FALSE)="","",VLOOKUP(A1334,[9]PRIORIZADOS!$A:$P,16,FALSE)),"")</f>
        <v>Visitas de evaluación con fines de seguimiento</v>
      </c>
      <c r="Q1334" s="32" t="s">
        <v>324</v>
      </c>
      <c r="R1334" s="11" t="str">
        <f>IFERROR(IF(VLOOKUP(A1334,[9]PRIORIZADOS!$A:$R,18,FALSE)="","",VLOOKUP(A1334,[9]PRIORIZADOS!$A:$R,18,FALSE)),"")</f>
        <v>Presentan nueve formatos de PIAR para estudiantes diágnosticados. En SIMAT se tienen 5 estudiantes caracterizados</v>
      </c>
      <c r="S1334" s="11" t="str">
        <f>IFERROR(IF(VLOOKUP(A1334,[9]PRIORIZADOS!$A:$S,19,FALSE)="","",VLOOKUP(A1334,[9]PRIORIZADOS!$A:$S,19,FALSE)),"")</f>
        <v>Actualizar el SIMAT, para que todos los estudiantes con diágnostico queden debidamente caracterizados</v>
      </c>
      <c r="T1334" s="70" t="str">
        <f>IFERROR(IF(VLOOKUP(A1334,[9]PRIORIZADOS!$A:$T,20,FALSE)="","",VLOOKUP(A1334,[9]PRIORIZADOS!$A:$T,20,FALSE)),"")</f>
        <v>Si</v>
      </c>
      <c r="U1334" s="11" t="str">
        <f>IFERROR(IF(VLOOKUP(A1334,[9]PRIORIZADOS!$A:$U,21,FALSE)="","",VLOOKUP(A1334,[9]PRIORIZADOS!$A:$U,21,FALSE)),"")</f>
        <v>Se hará revisión del SIMAT en el segundo semestre de 2025, para consultar el reporte de la institución educativa</v>
      </c>
    </row>
    <row r="1335" spans="1:21" s="1" customFormat="1" ht="84">
      <c r="A1335" s="69">
        <f>IF([9]PRIORIZADOS!A32="","",[9]PRIORIZADOS!A32)</f>
        <v>1276</v>
      </c>
      <c r="B1335" s="70">
        <f>IFERROR(IF(VLOOKUP(A1335,[9]PRIORIZADOS!$A:$B,2,FALSE)="","",VLOOKUP(A1335,[9]PRIORIZADOS!$A:$B,2,FALSE)),"")</f>
        <v>5</v>
      </c>
      <c r="C1335" s="11" t="str">
        <f>IFERROR(IF(VLOOKUP(A1335,[9]PRIORIZADOS!$A:$C,3,FALSE)="","",VLOOKUP(A1335,[9]PRIORIZADOS!$A:$C,3,FALSE)),"")</f>
        <v>LOS MÁRTIRES</v>
      </c>
      <c r="D1335" s="11" t="str">
        <f>IFERROR(IF(VLOOKUP(A1335,[9]PRIORIZADOS!$A:$D,4,FALSE)="","",VLOOKUP(A1335,[9]PRIORIZADOS!$A:$D,4,FALSE)),"")</f>
        <v>PRIVADO</v>
      </c>
      <c r="E1335" s="11" t="str">
        <f>IFERROR(IF(VLOOKUP(A1335,[9]PRIORIZADOS!$A:$E,5,FALSE)="","",VLOOKUP(A1335,[9]PRIORIZADOS!$A:$E,5,FALSE)),"")</f>
        <v>EPBM</v>
      </c>
      <c r="F1335" s="11" t="str">
        <f>IFERROR(IF(VLOOKUP(A1335,[9]PRIORIZADOS!$A:$F,6,FALSE)="","",VLOOKUP(A1335,[9]PRIORIZADOS!$A:$F,6,FALSE)),"")</f>
        <v>COLEGIO_SAN_JOSE</v>
      </c>
      <c r="G1335" s="11" t="str">
        <f>IFERROR(IF(VLOOKUP(A1335,[9]PRIORIZADOS!$A:$G,7,FALSE)="","",VLOOKUP(A1335,[9]PRIORIZADOS!$A:$G,7,FALSE)),"")</f>
        <v>COLEGIO SAN JOSE</v>
      </c>
      <c r="H1335" s="11" t="str">
        <f>IFERROR(IF(VLOOKUP(A1335,[9]PRIORIZADOS!$A:$H,8,FALSE)="","",VLOOKUP(A1335,[9]PRIORIZADOS!$A:$H,8,FALSE)),"")</f>
        <v>Autoevaluación Institucional y Pruebas SABER 11</v>
      </c>
      <c r="I1335" s="11" t="str">
        <f>IFERROR(IF(VLOOKUP(A1335,[9]PRIORIZADOS!$A:$I,9,FALSE)="","",VLOOKUP(A1335,[9]PRIORIZADOS!$A:$I,9,FALSE)),"")</f>
        <v>EVALUACIÓN_CON_FINES_DE_MEJORAMIENTO.</v>
      </c>
      <c r="J1335" s="11" t="str">
        <f>IFERROR(IF(VLOOKUP(A1335,[9]PRIORIZADOS!$A:$J,10,FALSE)="","",VLOOKUP(A1335,[9]PRIORIZADOS!$A:$J,10,FALSE)),"")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35" s="11" t="str">
        <f>IFERROR(IF(VLOOKUP(A1335,[9]PRIORIZADOS!$A:$K,11,FALSE)="","",VLOOKUP(A1335,[9]PRIORIZADOS!$A:$K,11,FALSE)),"")</f>
        <v>LUIS ALEJANDRO MARTÍNEZ PALACIOS</v>
      </c>
      <c r="L1335" s="11" t="str">
        <f>IFERROR(IF(VLOOKUP(A1335,[9]PRIORIZADOS!$A:$L,12,FALSE)="","",VLOOKUP(A1335,[9]PRIORIZADOS!$A:$L,12,FALSE)),"")</f>
        <v>CARLOS EDUARDO VARGAS LÓPEZ</v>
      </c>
      <c r="M1335" s="71">
        <f>IFERROR(IF(VLOOKUP(A1335,[9]PRIORIZADOS!$A:$M,13,FALSE)="","",VLOOKUP(A1335,[9]PRIORIZADOS!$A:$M,13,FALSE)),"")</f>
        <v>45797</v>
      </c>
      <c r="N1335" s="71">
        <f>IFERROR(IF(VLOOKUP(A1335,[9]PRIORIZADOS!$A:$N,14,FALSE)="","",VLOOKUP(A1335,[9]PRIORIZADOS!$A:$N,14,FALSE)),"")</f>
        <v>45798</v>
      </c>
      <c r="O1335" s="71">
        <f>IFERROR(IF(VLOOKUP(A1335,[9]PRIORIZADOS!$A:$O,15,FALSE)="","",VLOOKUP(A1335,[9]PRIORIZADOS!$A:$O,15,FALSE)),"")</f>
        <v>45798</v>
      </c>
      <c r="P1335" s="11" t="str">
        <f>IFERROR(IF(VLOOKUP(A1335,[9]PRIORIZADOS!$A:$P,16,FALSE)="","",VLOOKUP(A1335,[9]PRIORIZADOS!$A:$P,16,FALSE)),"")</f>
        <v>Visitas de evaluación con fines de seguimiento</v>
      </c>
      <c r="Q1335" s="32" t="s">
        <v>324</v>
      </c>
      <c r="R1335" s="11" t="str">
        <f>IFERROR(IF(VLOOKUP(A1335,[9]PRIORIZADOS!$A:$R,18,FALSE)="","",VLOOKUP(A1335,[9]PRIORIZADOS!$A:$R,18,FALSE)),"")</f>
        <v>Durante la visita administrativa se revisaron algunos puntos generales del Manual de Convivencia como, horizonte institucional, orientación escolar, protocolos de atención integral</v>
      </c>
      <c r="S1335" s="11" t="str">
        <f>IFERROR(IF(VLOOKUP(A1335,[9]PRIORIZADOS!$A:$S,19,FALSE)="","",VLOOKUP(A1335,[9]PRIORIZADOS!$A:$S,19,FALSE)),"")</f>
        <v>Actualizar el Manual de Convivencia con la partipación de la comunidad educativa en lo concerniente al horizonte institucional y las demás acciones que se consideren</v>
      </c>
      <c r="T1335" s="70" t="str">
        <f>IFERROR(IF(VLOOKUP(A1335,[9]PRIORIZADOS!$A:$T,20,FALSE)="","",VLOOKUP(A1335,[9]PRIORIZADOS!$A:$T,20,FALSE)),"")</f>
        <v>Si</v>
      </c>
      <c r="U1335" s="11" t="str">
        <f>IFERROR(IF(VLOOKUP(A1335,[9]PRIORIZADOS!$A:$U,21,FALSE)="","",VLOOKUP(A1335,[9]PRIORIZADOS!$A:$U,21,FALSE)),"")</f>
        <v>Se hará la revisión del manual de convivencia, según programación POAIV 2026</v>
      </c>
    </row>
    <row r="1336" spans="1:21" s="1" customFormat="1" ht="84">
      <c r="A1336" s="69">
        <f>IF([9]PRIORIZADOS!A33="","",[9]PRIORIZADOS!A33)</f>
        <v>1277</v>
      </c>
      <c r="B1336" s="70">
        <f>IFERROR(IF(VLOOKUP(A1336,[9]PRIORIZADOS!$A:$B,2,FALSE)="","",VLOOKUP(A1336,[9]PRIORIZADOS!$A:$B,2,FALSE)),"")</f>
        <v>5</v>
      </c>
      <c r="C1336" s="11" t="str">
        <f>IFERROR(IF(VLOOKUP(A1336,[9]PRIORIZADOS!$A:$C,3,FALSE)="","",VLOOKUP(A1336,[9]PRIORIZADOS!$A:$C,3,FALSE)),"")</f>
        <v>LOS MÁRTIRES</v>
      </c>
      <c r="D1336" s="11" t="str">
        <f>IFERROR(IF(VLOOKUP(A1336,[9]PRIORIZADOS!$A:$D,4,FALSE)="","",VLOOKUP(A1336,[9]PRIORIZADOS!$A:$D,4,FALSE)),"")</f>
        <v>PRIVADO</v>
      </c>
      <c r="E1336" s="11" t="str">
        <f>IFERROR(IF(VLOOKUP(A1336,[9]PRIORIZADOS!$A:$E,5,FALSE)="","",VLOOKUP(A1336,[9]PRIORIZADOS!$A:$E,5,FALSE)),"")</f>
        <v>EPBM</v>
      </c>
      <c r="F1336" s="11" t="str">
        <f>IFERROR(IF(VLOOKUP(A1336,[9]PRIORIZADOS!$A:$F,6,FALSE)="","",VLOOKUP(A1336,[9]PRIORIZADOS!$A:$F,6,FALSE)),"")</f>
        <v>COLEGIO_SAN_JOSE</v>
      </c>
      <c r="G1336" s="11" t="str">
        <f>IFERROR(IF(VLOOKUP(A1336,[9]PRIORIZADOS!$A:$G,7,FALSE)="","",VLOOKUP(A1336,[9]PRIORIZADOS!$A:$G,7,FALSE)),"")</f>
        <v>COLEGIO SAN JOSE</v>
      </c>
      <c r="H1336" s="11" t="str">
        <f>IFERROR(IF(VLOOKUP(A1336,[9]PRIORIZADOS!$A:$H,8,FALSE)="","",VLOOKUP(A1336,[9]PRIORIZADOS!$A:$H,8,FALSE)),"")</f>
        <v>Autoevaluación Institucional y Pruebas SABER 11</v>
      </c>
      <c r="I1336" s="11" t="str">
        <f>IFERROR(IF(VLOOKUP(A1336,[9]PRIORIZADOS!$A:$I,9,FALSE)="","",VLOOKUP(A1336,[9]PRIORIZADOS!$A:$I,9,FALSE)),"")</f>
        <v>EVALUACIÓN_CON_FINES_DE_MEJORAMIENTO.</v>
      </c>
      <c r="J1336" s="11" t="str">
        <f>IFERROR(IF(VLOOKUP(A1336,[9]PRIORIZADOS!$A:$J,10,FALSE)="","",VLOOKUP(A1336,[9]PRIORIZADOS!$A:$J,10,FALSE)),"")</f>
        <v>Revisar la actualización, socialización e implementación del Sistema Institucional de Evaluación de Estudiantes - SIEE, en articulación con la actualización del PEI y la normatividad vigente.</v>
      </c>
      <c r="K1336" s="11" t="str">
        <f>IFERROR(IF(VLOOKUP(A1336,[9]PRIORIZADOS!$A:$K,11,FALSE)="","",VLOOKUP(A1336,[9]PRIORIZADOS!$A:$K,11,FALSE)),"")</f>
        <v>LUIS ALEJANDRO MARTÍNEZ PALACIOS</v>
      </c>
      <c r="L1336" s="11" t="str">
        <f>IFERROR(IF(VLOOKUP(A1336,[9]PRIORIZADOS!$A:$L,12,FALSE)="","",VLOOKUP(A1336,[9]PRIORIZADOS!$A:$L,12,FALSE)),"")</f>
        <v>CARLOS EDUARDO VARGAS LÓPEZ</v>
      </c>
      <c r="M1336" s="71">
        <f>IFERROR(IF(VLOOKUP(A1336,[9]PRIORIZADOS!$A:$M,13,FALSE)="","",VLOOKUP(A1336,[9]PRIORIZADOS!$A:$M,13,FALSE)),"")</f>
        <v>45797</v>
      </c>
      <c r="N1336" s="71">
        <f>IFERROR(IF(VLOOKUP(A1336,[9]PRIORIZADOS!$A:$N,14,FALSE)="","",VLOOKUP(A1336,[9]PRIORIZADOS!$A:$N,14,FALSE)),"")</f>
        <v>45798</v>
      </c>
      <c r="O1336" s="71">
        <f>IFERROR(IF(VLOOKUP(A1336,[9]PRIORIZADOS!$A:$O,15,FALSE)="","",VLOOKUP(A1336,[9]PRIORIZADOS!$A:$O,15,FALSE)),"")</f>
        <v>45798</v>
      </c>
      <c r="P1336" s="11" t="str">
        <f>IFERROR(IF(VLOOKUP(A1336,[9]PRIORIZADOS!$A:$P,16,FALSE)="","",VLOOKUP(A1336,[9]PRIORIZADOS!$A:$P,16,FALSE)),"")</f>
        <v>Visitas de evaluación con fines de seguimiento</v>
      </c>
      <c r="Q1336" s="32" t="s">
        <v>324</v>
      </c>
      <c r="R1336" s="11" t="str">
        <f>IFERROR(IF(VLOOKUP(A1336,[9]PRIORIZADOS!$A:$R,18,FALSE)="","",VLOOKUP(A1336,[9]PRIORIZADOS!$A:$R,18,FALSE)),"")</f>
        <v xml:space="preserve">Durante la visita administrativa se revisaron algunos puntos generales del Sistema Institucional de Evaluación </v>
      </c>
      <c r="S1336" s="11" t="str">
        <f>IFERROR(IF(VLOOKUP(A1336,[9]PRIORIZADOS!$A:$S,19,FALSE)="","",VLOOKUP(A1336,[9]PRIORIZADOS!$A:$S,19,FALSE)),"")</f>
        <v>Actualizar el Sistema Institucional de Evaluación de Estudiantes con la partición de la comunidad educativa. 
Entre las acciones a realizar, eliminar de los informes periódicos y finales de los estudiantes las valoraciones de convivencia o disciplina</v>
      </c>
      <c r="T1336" s="70" t="str">
        <f>IFERROR(IF(VLOOKUP(A1336,[9]PRIORIZADOS!$A:$T,20,FALSE)="","",VLOOKUP(A1336,[9]PRIORIZADOS!$A:$T,20,FALSE)),"")</f>
        <v>Si</v>
      </c>
      <c r="U1336" s="11" t="str">
        <f>IFERROR(IF(VLOOKUP(A1336,[9]PRIORIZADOS!$A:$U,21,FALSE)="","",VLOOKUP(A1336,[9]PRIORIZADOS!$A:$U,21,FALSE)),"")</f>
        <v>Se hará la revisión del sistema institucional de evaluación, según programación POAIV 2026</v>
      </c>
    </row>
    <row r="1337" spans="1:21" s="1" customFormat="1" ht="107.25">
      <c r="A1337" s="69">
        <f>IF([9]PRIORIZADOS!A34="","",[9]PRIORIZADOS!A34)</f>
        <v>1278</v>
      </c>
      <c r="B1337" s="70">
        <f>IFERROR(IF(VLOOKUP(A1337,[9]PRIORIZADOS!$A:$B,2,FALSE)="","",VLOOKUP(A1337,[9]PRIORIZADOS!$A:$B,2,FALSE)),"")</f>
        <v>5</v>
      </c>
      <c r="C1337" s="11" t="str">
        <f>IFERROR(IF(VLOOKUP(A1337,[9]PRIORIZADOS!$A:$C,3,FALSE)="","",VLOOKUP(A1337,[9]PRIORIZADOS!$A:$C,3,FALSE)),"")</f>
        <v>LOS MÁRTIRES</v>
      </c>
      <c r="D1337" s="11" t="str">
        <f>IFERROR(IF(VLOOKUP(A1337,[9]PRIORIZADOS!$A:$D,4,FALSE)="","",VLOOKUP(A1337,[9]PRIORIZADOS!$A:$D,4,FALSE)),"")</f>
        <v>PRIVADO</v>
      </c>
      <c r="E1337" s="11" t="str">
        <f>IFERROR(IF(VLOOKUP(A1337,[9]PRIORIZADOS!$A:$E,5,FALSE)="","",VLOOKUP(A1337,[9]PRIORIZADOS!$A:$E,5,FALSE)),"")</f>
        <v>EPBM</v>
      </c>
      <c r="F1337" s="11" t="str">
        <f>IFERROR(IF(VLOOKUP(A1337,[9]PRIORIZADOS!$A:$F,6,FALSE)="","",VLOOKUP(A1337,[9]PRIORIZADOS!$A:$F,6,FALSE)),"")</f>
        <v>COLEGIO_SAN_JOSE</v>
      </c>
      <c r="G1337" s="11" t="str">
        <f>IFERROR(IF(VLOOKUP(A1337,[9]PRIORIZADOS!$A:$G,7,FALSE)="","",VLOOKUP(A1337,[9]PRIORIZADOS!$A:$G,7,FALSE)),"")</f>
        <v>COLEGIO SAN JOSE</v>
      </c>
      <c r="H1337" s="11" t="str">
        <f>IFERROR(IF(VLOOKUP(A1337,[9]PRIORIZADOS!$A:$H,8,FALSE)="","",VLOOKUP(A1337,[9]PRIORIZADOS!$A:$H,8,FALSE)),"")</f>
        <v>Autoevaluación Institucional y Pruebas SABER 11</v>
      </c>
      <c r="I1337" s="11" t="str">
        <f>IFERROR(IF(VLOOKUP(A1337,[9]PRIORIZADOS!$A:$I,9,FALSE)="","",VLOOKUP(A1337,[9]PRIORIZADOS!$A:$I,9,FALSE)),"")</f>
        <v>EVALUACIÓN_CON_FINES_DE_MEJORAMIENTO.</v>
      </c>
      <c r="J1337" s="11" t="str">
        <f>IFERROR(IF(VLOOKUP(A1337,[9]PRIORIZADOS!$A:$J,10,FALSE)="","",VLOOKUP(A1337,[9]PRIORIZADOS!$A:$J,10,FALSE)),"")</f>
        <v>Revisar el calendario escolar, jornada escolar, la intensidad horaria mínima anual en cada nivel y las modificaciones que se realicen al mismo, de acuerdo con lo previsto en la normatividad vigente.</v>
      </c>
      <c r="K1337" s="11" t="str">
        <f>IFERROR(IF(VLOOKUP(A1337,[9]PRIORIZADOS!$A:$K,11,FALSE)="","",VLOOKUP(A1337,[9]PRIORIZADOS!$A:$K,11,FALSE)),"")</f>
        <v>LUIS ALEJANDRO MARTÍNEZ PALACIOS</v>
      </c>
      <c r="L1337" s="11" t="str">
        <f>IFERROR(IF(VLOOKUP(A1337,[9]PRIORIZADOS!$A:$L,12,FALSE)="","",VLOOKUP(A1337,[9]PRIORIZADOS!$A:$L,12,FALSE)),"")</f>
        <v>CARLOS EDUARDO VARGAS LÓPEZ</v>
      </c>
      <c r="M1337" s="71">
        <f>IFERROR(IF(VLOOKUP(A1337,[9]PRIORIZADOS!$A:$M,13,FALSE)="","",VLOOKUP(A1337,[9]PRIORIZADOS!$A:$M,13,FALSE)),"")</f>
        <v>45797</v>
      </c>
      <c r="N1337" s="71">
        <f>IFERROR(IF(VLOOKUP(A1337,[9]PRIORIZADOS!$A:$N,14,FALSE)="","",VLOOKUP(A1337,[9]PRIORIZADOS!$A:$N,14,FALSE)),"")</f>
        <v>45798</v>
      </c>
      <c r="O1337" s="71">
        <f>IFERROR(IF(VLOOKUP(A1337,[9]PRIORIZADOS!$A:$O,15,FALSE)="","",VLOOKUP(A1337,[9]PRIORIZADOS!$A:$O,15,FALSE)),"")</f>
        <v>45798</v>
      </c>
      <c r="P1337" s="11" t="str">
        <f>IFERROR(IF(VLOOKUP(A1337,[9]PRIORIZADOS!$A:$P,16,FALSE)="","",VLOOKUP(A1337,[9]PRIORIZADOS!$A:$P,16,FALSE)),"")</f>
        <v>Visitas de evaluación con fines de seguimiento</v>
      </c>
      <c r="Q1337" s="32" t="s">
        <v>324</v>
      </c>
      <c r="R1337" s="11" t="str">
        <f>IFERROR(IF(VLOOKUP(A1337,[9]PRIORIZADOS!$A:$R,18,FALSE)="","",VLOOKUP(A1337,[9]PRIORIZADOS!$A:$R,18,FALSE)),"")</f>
        <v>Se revisa el calculo de horas anuales y la institución educativa presenta un número mayor de horas a los mínimos establecidos por normatividad. La institución educativa informó sobre solicitud por parte de padres de familia para aumentar una semana de vacaciones, esto siempre que se cumplan los desarrollos académicos es de autonomía institucional.</v>
      </c>
      <c r="S1337" s="11" t="str">
        <f>IFERROR(IF(VLOOKUP(A1337,[9]PRIORIZADOS!$A:$S,19,FALSE)="","",VLOOKUP(A1337,[9]PRIORIZADOS!$A:$S,19,FALSE)),"")</f>
        <v xml:space="preserve">
Se indicó que, por normatividad pueden desarrollar menos de 40 semanas, siempre que se de cumplimiento al mínimo establecido por niveles</v>
      </c>
      <c r="T1337" s="70" t="str">
        <f>IFERROR(IF(VLOOKUP(A1337,[9]PRIORIZADOS!$A:$T,20,FALSE)="","",VLOOKUP(A1337,[9]PRIORIZADOS!$A:$T,20,FALSE)),"")</f>
        <v>NO</v>
      </c>
      <c r="U1337" s="11" t="str">
        <f>IFERROR(IF(VLOOKUP(A1337,[9]PRIORIZADOS!$A:$U,21,FALSE)="","",VLOOKUP(A1337,[9]PRIORIZADOS!$A:$U,21,FALSE)),"")</f>
        <v>Se verificará calendario académico 2026, para observar cumplimiento de la normatividad vigente</v>
      </c>
    </row>
    <row r="1338" spans="1:21" s="1" customFormat="1" ht="48">
      <c r="A1338" s="69">
        <f>IF([9]PRIORIZADOS!A35="","",[9]PRIORIZADOS!A35)</f>
        <v>1279</v>
      </c>
      <c r="B1338" s="70">
        <f>IFERROR(IF(VLOOKUP(A1338,[9]PRIORIZADOS!$A:$B,2,FALSE)="","",VLOOKUP(A1338,[9]PRIORIZADOS!$A:$B,2,FALSE)),"")</f>
        <v>5</v>
      </c>
      <c r="C1338" s="11" t="str">
        <f>IFERROR(IF(VLOOKUP(A1338,[9]PRIORIZADOS!$A:$C,3,FALSE)="","",VLOOKUP(A1338,[9]PRIORIZADOS!$A:$C,3,FALSE)),"")</f>
        <v>LOS MÁRTIRES</v>
      </c>
      <c r="D1338" s="11" t="str">
        <f>IFERROR(IF(VLOOKUP(A1338,[9]PRIORIZADOS!$A:$D,4,FALSE)="","",VLOOKUP(A1338,[9]PRIORIZADOS!$A:$D,4,FALSE)),"")</f>
        <v>PRIVADO</v>
      </c>
      <c r="E1338" s="11" t="str">
        <f>IFERROR(IF(VLOOKUP(A1338,[9]PRIORIZADOS!$A:$E,5,FALSE)="","",VLOOKUP(A1338,[9]PRIORIZADOS!$A:$E,5,FALSE)),"")</f>
        <v>EPBM</v>
      </c>
      <c r="F1338" s="11" t="str">
        <f>IFERROR(IF(VLOOKUP(A1338,[9]PRIORIZADOS!$A:$F,6,FALSE)="","",VLOOKUP(A1338,[9]PRIORIZADOS!$A:$F,6,FALSE)),"")</f>
        <v>COLEGIO_SAN_JOSE</v>
      </c>
      <c r="G1338" s="11" t="str">
        <f>IFERROR(IF(VLOOKUP(A1338,[9]PRIORIZADOS!$A:$G,7,FALSE)="","",VLOOKUP(A1338,[9]PRIORIZADOS!$A:$G,7,FALSE)),"")</f>
        <v>COLEGIO SAN JOSE</v>
      </c>
      <c r="H1338" s="11" t="str">
        <f>IFERROR(IF(VLOOKUP(A1338,[9]PRIORIZADOS!$A:$H,8,FALSE)="","",VLOOKUP(A1338,[9]PRIORIZADOS!$A:$H,8,FALSE)),"")</f>
        <v>Autoevaluación Institucional y Pruebas SABER 11</v>
      </c>
      <c r="I1338" s="11" t="str">
        <f>IFERROR(IF(VLOOKUP(A1338,[9]PRIORIZADOS!$A:$I,9,FALSE)="","",VLOOKUP(A1338,[9]PRIORIZADOS!$A:$I,9,FALSE)),"")</f>
        <v>EVALUACIÓN_CON_FINES_DE_MEJORAMIENTO.</v>
      </c>
      <c r="J1338" s="11" t="str">
        <f>IFERROR(IF(VLOOKUP(A1338,[9]PRIORIZADOS!$A:$J,10,FALSE)="","",VLOOKUP(A1338,[9]PRIORIZADOS!$A:$J,10,FALSE)),"")</f>
        <v>Verificar el funcionamiento del Gobierno Escolar e instancias de participación con base en la información sobre conformación reportada por la institución educativa.</v>
      </c>
      <c r="K1338" s="11" t="str">
        <f>IFERROR(IF(VLOOKUP(A1338,[9]PRIORIZADOS!$A:$K,11,FALSE)="","",VLOOKUP(A1338,[9]PRIORIZADOS!$A:$K,11,FALSE)),"")</f>
        <v>LUIS ALEJANDRO MARTÍNEZ PALACIOS</v>
      </c>
      <c r="L1338" s="11" t="str">
        <f>IFERROR(IF(VLOOKUP(A1338,[9]PRIORIZADOS!$A:$L,12,FALSE)="","",VLOOKUP(A1338,[9]PRIORIZADOS!$A:$L,12,FALSE)),"")</f>
        <v>CARLOS EDUARDO VARGAS LÓPEZ</v>
      </c>
      <c r="M1338" s="71">
        <f>IFERROR(IF(VLOOKUP(A1338,[9]PRIORIZADOS!$A:$M,13,FALSE)="","",VLOOKUP(A1338,[9]PRIORIZADOS!$A:$M,13,FALSE)),"")</f>
        <v>45797</v>
      </c>
      <c r="N1338" s="71">
        <f>IFERROR(IF(VLOOKUP(A1338,[9]PRIORIZADOS!$A:$N,14,FALSE)="","",VLOOKUP(A1338,[9]PRIORIZADOS!$A:$N,14,FALSE)),"")</f>
        <v>45798</v>
      </c>
      <c r="O1338" s="71">
        <f>IFERROR(IF(VLOOKUP(A1338,[9]PRIORIZADOS!$A:$O,15,FALSE)="","",VLOOKUP(A1338,[9]PRIORIZADOS!$A:$O,15,FALSE)),"")</f>
        <v>45798</v>
      </c>
      <c r="P1338" s="11" t="str">
        <f>IFERROR(IF(VLOOKUP(A1338,[9]PRIORIZADOS!$A:$P,16,FALSE)="","",VLOOKUP(A1338,[9]PRIORIZADOS!$A:$P,16,FALSE)),"")</f>
        <v>Visitas de evaluación con fines de seguimiento</v>
      </c>
      <c r="Q1338" s="32" t="s">
        <v>324</v>
      </c>
      <c r="R1338" s="11" t="str">
        <f>IFERROR(IF(VLOOKUP(A1338,[9]PRIORIZADOS!$A:$R,18,FALSE)="","",VLOOKUP(A1338,[9]PRIORIZADOS!$A:$R,18,FALSE)),"")</f>
        <v xml:space="preserve">La institución educativa, cumplió con el reporte de conformación de gobierno escolar y en la visita se verificó su funcionamiento </v>
      </c>
      <c r="S1338" s="11" t="str">
        <f>IFERROR(IF(VLOOKUP(A1338,[9]PRIORIZADOS!$A:$S,19,FALSE)="","",VLOOKUP(A1338,[9]PRIORIZADOS!$A:$S,19,FALSE)),"")</f>
        <v>Cumplir con las sesiones programadas o determinadas por norma para los espacios de gobierno escolar y las otras instancias de participación</v>
      </c>
      <c r="T1338" s="70" t="str">
        <f>IFERROR(IF(VLOOKUP(A1338,[9]PRIORIZADOS!$A:$T,20,FALSE)="","",VLOOKUP(A1338,[9]PRIORIZADOS!$A:$T,20,FALSE)),"")</f>
        <v>NO</v>
      </c>
      <c r="U1338" s="11" t="str">
        <f>IFERROR(IF(VLOOKUP(A1338,[9]PRIORIZADOS!$A:$U,21,FALSE)="","",VLOOKUP(A1338,[9]PRIORIZADOS!$A:$U,21,FALSE)),"")</f>
        <v>Según programación del Plan Operativo Anual del equipo local de inspección y vigilancia para el 2026</v>
      </c>
    </row>
    <row r="1339" spans="1:21" s="1" customFormat="1" ht="72">
      <c r="A1339" s="69">
        <f>IF([9]PRIORIZADOS!A36="","",[9]PRIORIZADOS!A36)</f>
        <v>1280</v>
      </c>
      <c r="B1339" s="70">
        <f>IFERROR(IF(VLOOKUP(A1339,[9]PRIORIZADOS!$A:$B,2,FALSE)="","",VLOOKUP(A1339,[9]PRIORIZADOS!$A:$B,2,FALSE)),"")</f>
        <v>5</v>
      </c>
      <c r="C1339" s="11" t="str">
        <f>IFERROR(IF(VLOOKUP(A1339,[9]PRIORIZADOS!$A:$C,3,FALSE)="","",VLOOKUP(A1339,[9]PRIORIZADOS!$A:$C,3,FALSE)),"")</f>
        <v>LOS MÁRTIRES</v>
      </c>
      <c r="D1339" s="11" t="str">
        <f>IFERROR(IF(VLOOKUP(A1339,[9]PRIORIZADOS!$A:$D,4,FALSE)="","",VLOOKUP(A1339,[9]PRIORIZADOS!$A:$D,4,FALSE)),"")</f>
        <v>PRIVADO</v>
      </c>
      <c r="E1339" s="11" t="str">
        <f>IFERROR(IF(VLOOKUP(A1339,[9]PRIORIZADOS!$A:$E,5,FALSE)="","",VLOOKUP(A1339,[9]PRIORIZADOS!$A:$E,5,FALSE)),"")</f>
        <v>EPBM</v>
      </c>
      <c r="F1339" s="11" t="str">
        <f>IFERROR(IF(VLOOKUP(A1339,[9]PRIORIZADOS!$A:$F,6,FALSE)="","",VLOOKUP(A1339,[9]PRIORIZADOS!$A:$F,6,FALSE)),"")</f>
        <v>COLEGIO_SAN_JOSE</v>
      </c>
      <c r="G1339" s="11" t="str">
        <f>IFERROR(IF(VLOOKUP(A1339,[9]PRIORIZADOS!$A:$G,7,FALSE)="","",VLOOKUP(A1339,[9]PRIORIZADOS!$A:$G,7,FALSE)),"")</f>
        <v>COLEGIO SAN JOSE</v>
      </c>
      <c r="H1339" s="11" t="str">
        <f>IFERROR(IF(VLOOKUP(A1339,[9]PRIORIZADOS!$A:$H,8,FALSE)="","",VLOOKUP(A1339,[9]PRIORIZADOS!$A:$H,8,FALSE)),"")</f>
        <v>Autoevaluación Institucional y Pruebas SABER 11</v>
      </c>
      <c r="I1339" s="11" t="str">
        <f>IFERROR(IF(VLOOKUP(A1339,[9]PRIORIZADOS!$A:$I,9,FALSE)="","",VLOOKUP(A1339,[9]PRIORIZADOS!$A:$I,9,FALSE)),"")</f>
        <v>EVALUACIÓN_CON_FINES_DE_MEJORAMIENTO.</v>
      </c>
      <c r="J1339" s="11" t="str">
        <f>IFERROR(IF(VLOOKUP(A1339,[9]PRIORIZADOS!$A:$J,10,FALSE)="","",VLOOKUP(A1339,[9]PRIORIZADOS!$A:$J,10,FALSE)),"")</f>
        <v>Verificar las condiciones en cuanto a: la estructura administrativa, condiciones de la planta física y medios educativos adecuados.</v>
      </c>
      <c r="K1339" s="11" t="str">
        <f>IFERROR(IF(VLOOKUP(A1339,[9]PRIORIZADOS!$A:$K,11,FALSE)="","",VLOOKUP(A1339,[9]PRIORIZADOS!$A:$K,11,FALSE)),"")</f>
        <v>LUIS ALEJANDRO MARTÍNEZ PALACIOS</v>
      </c>
      <c r="L1339" s="11" t="str">
        <f>IFERROR(IF(VLOOKUP(A1339,[9]PRIORIZADOS!$A:$L,12,FALSE)="","",VLOOKUP(A1339,[9]PRIORIZADOS!$A:$L,12,FALSE)),"")</f>
        <v>CARLOS EDUARDO VARGAS LÓPEZ</v>
      </c>
      <c r="M1339" s="71">
        <f>IFERROR(IF(VLOOKUP(A1339,[9]PRIORIZADOS!$A:$M,13,FALSE)="","",VLOOKUP(A1339,[9]PRIORIZADOS!$A:$M,13,FALSE)),"")</f>
        <v>45797</v>
      </c>
      <c r="N1339" s="71">
        <f>IFERROR(IF(VLOOKUP(A1339,[9]PRIORIZADOS!$A:$N,14,FALSE)="","",VLOOKUP(A1339,[9]PRIORIZADOS!$A:$N,14,FALSE)),"")</f>
        <v>45798</v>
      </c>
      <c r="O1339" s="71">
        <f>IFERROR(IF(VLOOKUP(A1339,[9]PRIORIZADOS!$A:$O,15,FALSE)="","",VLOOKUP(A1339,[9]PRIORIZADOS!$A:$O,15,FALSE)),"")</f>
        <v>45798</v>
      </c>
      <c r="P1339" s="11" t="str">
        <f>IFERROR(IF(VLOOKUP(A1339,[9]PRIORIZADOS!$A:$P,16,FALSE)="","",VLOOKUP(A1339,[9]PRIORIZADOS!$A:$P,16,FALSE)),"")</f>
        <v>Visitas de evaluación con fines de seguimiento</v>
      </c>
      <c r="Q1339" s="32" t="s">
        <v>324</v>
      </c>
      <c r="R1339" s="11" t="str">
        <f>IFERROR(IF(VLOOKUP(A1339,[9]PRIORIZADOS!$A:$R,18,FALSE)="","",VLOOKUP(A1339,[9]PRIORIZADOS!$A:$R,18,FALSE)),"")</f>
        <v xml:space="preserve">La institución educativa cuenta con una planta física y medios educativos acordes con el PEI y que da cuenta del cumplimiento de la normatividad vigente para la prestación de un servicio educativo con calidad </v>
      </c>
      <c r="S1339" s="11" t="str">
        <f>IFERROR(IF(VLOOKUP(A1339,[9]PRIORIZADOS!$A:$S,19,FALSE)="","",VLOOKUP(A1339,[9]PRIORIZADOS!$A:$S,19,FALSE)),"")</f>
        <v xml:space="preserve">Lo reportado en EVI corresponde a la realidad institucional respecto la planta física. No requiere convenio de ambientes compartidos.
</v>
      </c>
      <c r="T1339" s="70" t="str">
        <f>IFERROR(IF(VLOOKUP(A1339,[9]PRIORIZADOS!$A:$T,20,FALSE)="","",VLOOKUP(A1339,[9]PRIORIZADOS!$A:$T,20,FALSE)),"")</f>
        <v>No</v>
      </c>
      <c r="U1339" s="11" t="str">
        <f>IFERROR(IF(VLOOKUP(A1339,[9]PRIORIZADOS!$A:$U,21,FALSE)="","",VLOOKUP(A1339,[9]PRIORIZADOS!$A:$U,21,FALSE)),"")</f>
        <v>Según programación del Plan Operativo Anual del equipo local de inspección y vigilancia para el 2026</v>
      </c>
    </row>
    <row r="1340" spans="1:21" s="1" customFormat="1" ht="118.5">
      <c r="A1340" s="69">
        <f>IF([9]PRIORIZADOS!A37="","",[9]PRIORIZADOS!A37)</f>
        <v>1281</v>
      </c>
      <c r="B1340" s="70">
        <f>IFERROR(IF(VLOOKUP(A1340,[9]PRIORIZADOS!$A:$B,2,FALSE)="","",VLOOKUP(A1340,[9]PRIORIZADOS!$A:$B,2,FALSE)),"")</f>
        <v>6</v>
      </c>
      <c r="C1340" s="11" t="str">
        <f>IFERROR(IF(VLOOKUP(A1340,[9]PRIORIZADOS!$A:$C,3,FALSE)="","",VLOOKUP(A1340,[9]PRIORIZADOS!$A:$C,3,FALSE)),"")</f>
        <v>LOS MÁRTIRES</v>
      </c>
      <c r="D1340" s="11" t="str">
        <f>IFERROR(IF(VLOOKUP(A1340,[9]PRIORIZADOS!$A:$D,4,FALSE)="","",VLOOKUP(A1340,[9]PRIORIZADOS!$A:$D,4,FALSE)),"")</f>
        <v>PRIVADO</v>
      </c>
      <c r="E1340" s="11" t="str">
        <f>IFERROR(IF(VLOOKUP(A1340,[9]PRIORIZADOS!$A:$E,5,FALSE)="","",VLOOKUP(A1340,[9]PRIORIZADOS!$A:$E,5,FALSE)),"")</f>
        <v>EPBM</v>
      </c>
      <c r="F1340" s="11" t="str">
        <f>IFERROR(IF(VLOOKUP(A1340,[9]PRIORIZADOS!$A:$F,6,FALSE)="","",VLOOKUP(A1340,[9]PRIORIZADOS!$A:$F,6,FALSE)),"")</f>
        <v>COLEGIO_NUESTRA_SEÑORA_DE_LA_PAZ</v>
      </c>
      <c r="G1340" s="11" t="str">
        <f>IFERROR(IF(VLOOKUP(A1340,[9]PRIORIZADOS!$A:$G,7,FALSE)="","",VLOOKUP(A1340,[9]PRIORIZADOS!$A:$G,7,FALSE)),"")</f>
        <v>COLEGIO NUESTRA SEÑORA DE LA PAZ</v>
      </c>
      <c r="H1340" s="11" t="str">
        <f>IFERROR(IF(VLOOKUP(A1340,[9]PRIORIZADOS!$A:$H,8,FALSE)="","",VLOOKUP(A1340,[9]PRIORIZADOS!$A:$H,8,FALSE)),"")</f>
        <v>Autoevaluación Institucional y Pruebas SABER 11</v>
      </c>
      <c r="I1340" s="11" t="str">
        <f>IFERROR(IF(VLOOKUP(A1340,[9]PRIORIZADOS!$A:$I,9,FALSE)="","",VLOOKUP(A1340,[9]PRIORIZADOS!$A:$I,9,FALSE)),"")</f>
        <v>SEGUIMIENTO_Y_SUPERVISIÓN.</v>
      </c>
      <c r="J1340" s="11" t="str">
        <f>IFERROR(IF(VLOOKUP(A1340,[9]PRIORIZADOS!$A:$J,10,FALSE)="","",VLOOKUP(A1340,[9]PRIORIZADOS!$A:$J,10,FALSE)),"")</f>
        <v>Realizar visitas para verificar la información registrada sobre la autoevaluación institucional en el aplicativo EVI, a los establecimientos de educación formal no oficial.</v>
      </c>
      <c r="K1340" s="11" t="str">
        <f>IFERROR(IF(VLOOKUP(A1340,[9]PRIORIZADOS!$A:$K,11,FALSE)="","",VLOOKUP(A1340,[9]PRIORIZADOS!$A:$K,11,FALSE)),"")</f>
        <v>LUIS ALEJANDRO MARTÍNEZ PALACIOS</v>
      </c>
      <c r="L1340" s="11" t="str">
        <f>IFERROR(IF(VLOOKUP(A1340,[9]PRIORIZADOS!$A:$L,12,FALSE)="","",VLOOKUP(A1340,[9]PRIORIZADOS!$A:$L,12,FALSE)),"")</f>
        <v>CARLOS EDUARDO VARGAS LÓPEZ</v>
      </c>
      <c r="M1340" s="71">
        <f>IFERROR(IF(VLOOKUP(A1340,[9]PRIORIZADOS!$A:$M,13,FALSE)="","",VLOOKUP(A1340,[9]PRIORIZADOS!$A:$M,13,FALSE)),"")</f>
        <v>45804</v>
      </c>
      <c r="N1340" s="71">
        <f>IFERROR(IF(VLOOKUP(A1340,[9]PRIORIZADOS!$A:$N,14,FALSE)="","",VLOOKUP(A1340,[9]PRIORIZADOS!$A:$N,14,FALSE)),"")</f>
        <v>45804</v>
      </c>
      <c r="O1340" s="71">
        <f>IFERROR(IF(VLOOKUP(A1340,[9]PRIORIZADOS!$A:$O,15,FALSE)="","",VLOOKUP(A1340,[9]PRIORIZADOS!$A:$O,15,FALSE)),"")</f>
        <v>45804</v>
      </c>
      <c r="P1340" s="16" t="str">
        <f>IFERROR(IF(VLOOKUP(A1340,[9]PRIORIZADOS!$A:$P,16,FALSE)="","",VLOOKUP(A1340,[9]PRIORIZADOS!$A:$P,16,FALSE)),"")</f>
        <v>Visitas de evaluación con fines de seguimiento</v>
      </c>
      <c r="Q1340" s="33" t="s">
        <v>325</v>
      </c>
      <c r="R1340" s="90" t="str">
        <f>IFERROR(IF(VLOOKUP(A1340,[9]PRIORIZADOS!$A:$R,18,FALSE)="","",VLOOKUP(A1340,[9]PRIORIZADOS!$A:$R,18,FALSE)),"")</f>
        <v>Se revisa la autoevaluación EVI 2024 de manera que lo consignado allí sea coherente con la revisión documental in situ sobre la gestión institucional y financiera, se pregunta al colegio por sus fortalezas y áreas de mejora para 2025. El plantel cumple.
La institución educativa informó solicitud por parte de padres de familia para aumentar una semana de vacaciones</v>
      </c>
      <c r="S1340" s="11" t="str">
        <f>IFERROR(IF(VLOOKUP(A1340,[9]PRIORIZADOS!$A:$S,19,FALSE)="","",VLOOKUP(A1340,[9]PRIORIZADOS!$A:$S,19,FALSE)),"")</f>
        <v>Mantener los procesos y realizar la autoevaluación 2025</v>
      </c>
      <c r="T1340" s="70" t="str">
        <f>IFERROR(IF(VLOOKUP(A1340,[9]PRIORIZADOS!$A:$T,20,FALSE)="","",VLOOKUP(A1340,[9]PRIORIZADOS!$A:$T,20,FALSE)),"")</f>
        <v>No</v>
      </c>
      <c r="U1340" s="11" t="str">
        <f>IFERROR(IF(VLOOKUP(A1340,[9]PRIORIZADOS!$A:$U,21,FALSE)="","",VLOOKUP(A1340,[9]PRIORIZADOS!$A:$U,21,FALSE)),"")</f>
        <v>Según programación del Plan Operativo Anual del equipo local de inspección y vigilancia para lo restante de 2025 y para el 2026</v>
      </c>
    </row>
    <row r="1341" spans="1:21" s="1" customFormat="1" ht="118.5">
      <c r="A1341" s="69">
        <f>IF([9]PRIORIZADOS!A38="","",[9]PRIORIZADOS!A38)</f>
        <v>1282</v>
      </c>
      <c r="B1341" s="70">
        <f>IFERROR(IF(VLOOKUP(A1341,[9]PRIORIZADOS!$A:$B,2,FALSE)="","",VLOOKUP(A1341,[9]PRIORIZADOS!$A:$B,2,FALSE)),"")</f>
        <v>6</v>
      </c>
      <c r="C1341" s="11" t="str">
        <f>IFERROR(IF(VLOOKUP(A1341,[9]PRIORIZADOS!$A:$C,3,FALSE)="","",VLOOKUP(A1341,[9]PRIORIZADOS!$A:$C,3,FALSE)),"")</f>
        <v>LOS MÁRTIRES</v>
      </c>
      <c r="D1341" s="11" t="str">
        <f>IFERROR(IF(VLOOKUP(A1341,[9]PRIORIZADOS!$A:$D,4,FALSE)="","",VLOOKUP(A1341,[9]PRIORIZADOS!$A:$D,4,FALSE)),"")</f>
        <v>PRIVADO</v>
      </c>
      <c r="E1341" s="11" t="str">
        <f>IFERROR(IF(VLOOKUP(A1341,[9]PRIORIZADOS!$A:$E,5,FALSE)="","",VLOOKUP(A1341,[9]PRIORIZADOS!$A:$E,5,FALSE)),"")</f>
        <v>EPBM</v>
      </c>
      <c r="F1341" s="11" t="str">
        <f>IFERROR(IF(VLOOKUP(A1341,[9]PRIORIZADOS!$A:$F,6,FALSE)="","",VLOOKUP(A1341,[9]PRIORIZADOS!$A:$F,6,FALSE)),"")</f>
        <v>COLEGIO_NUESTRA_SEÑORA_DE_LA_PAZ</v>
      </c>
      <c r="G1341" s="11" t="str">
        <f>IFERROR(IF(VLOOKUP(A1341,[9]PRIORIZADOS!$A:$G,7,FALSE)="","",VLOOKUP(A1341,[9]PRIORIZADOS!$A:$G,7,FALSE)),"")</f>
        <v>COLEGIO NUESTRA SEÑORA DE LA PAZ</v>
      </c>
      <c r="H1341" s="11" t="str">
        <f>IFERROR(IF(VLOOKUP(A1341,[9]PRIORIZADOS!$A:$H,8,FALSE)="","",VLOOKUP(A1341,[9]PRIORIZADOS!$A:$H,8,FALSE)),"")</f>
        <v>Autoevaluación Institucional y Pruebas SABER 11</v>
      </c>
      <c r="I1341" s="11" t="str">
        <f>IFERROR(IF(VLOOKUP(A1341,[9]PRIORIZADOS!$A:$I,9,FALSE)="","",VLOOKUP(A1341,[9]PRIORIZADOS!$A:$I,9,FALSE)),"")</f>
        <v>SEGUIMIENTO_Y_SUPERVISIÓN.</v>
      </c>
      <c r="J1341" s="11" t="str">
        <f>IFERROR(IF(VLOOKUP(A1341,[9]PRIORIZADOS!$A:$J,10,FALSE)="","",VLOOKUP(A1341,[9]PRIORIZADOS!$A:$J,10,FALSE)),"")</f>
        <v xml:space="preserve">Verificar la implementación por parte de los colegios, de acciones realizadas para la prevención y atención de las situaciones de convivencia en el entorno escolar, según lo establecido en la Directiva 01 de 2022 del MEN. </v>
      </c>
      <c r="K1341" s="11" t="str">
        <f>IFERROR(IF(VLOOKUP(A1341,[9]PRIORIZADOS!$A:$K,11,FALSE)="","",VLOOKUP(A1341,[9]PRIORIZADOS!$A:$K,11,FALSE)),"")</f>
        <v>LUIS ALEJANDRO MARTÍNEZ PALACIOS</v>
      </c>
      <c r="L1341" s="11" t="str">
        <f>IFERROR(IF(VLOOKUP(A1341,[9]PRIORIZADOS!$A:$L,12,FALSE)="","",VLOOKUP(A1341,[9]PRIORIZADOS!$A:$L,12,FALSE)),"")</f>
        <v>CARLOS EDUARDO VARGAS LÓPEZ</v>
      </c>
      <c r="M1341" s="71">
        <f>IFERROR(IF(VLOOKUP(A1341,[9]PRIORIZADOS!$A:$M,13,FALSE)="","",VLOOKUP(A1341,[9]PRIORIZADOS!$A:$M,13,FALSE)),"")</f>
        <v>45804</v>
      </c>
      <c r="N1341" s="71">
        <f>IFERROR(IF(VLOOKUP(A1341,[9]PRIORIZADOS!$A:$N,14,FALSE)="","",VLOOKUP(A1341,[9]PRIORIZADOS!$A:$N,14,FALSE)),"")</f>
        <v>45804</v>
      </c>
      <c r="O1341" s="71">
        <f>IFERROR(IF(VLOOKUP(A1341,[9]PRIORIZADOS!$A:$O,15,FALSE)="","",VLOOKUP(A1341,[9]PRIORIZADOS!$A:$O,15,FALSE)),"")</f>
        <v>45804</v>
      </c>
      <c r="P1341" s="16" t="str">
        <f>IFERROR(IF(VLOOKUP(A1341,[9]PRIORIZADOS!$A:$P,16,FALSE)="","",VLOOKUP(A1341,[9]PRIORIZADOS!$A:$P,16,FALSE)),"")</f>
        <v>Visitas de evaluación con fines de seguimiento</v>
      </c>
      <c r="Q1341" s="34" t="s">
        <v>325</v>
      </c>
      <c r="R1341" s="90" t="str">
        <f>IFERROR(IF(VLOOKUP(A1341,[9]PRIORIZADOS!$A:$R,18,FALSE)="","",VLOOKUP(A1341,[9]PRIORIZADOS!$A:$R,18,FALSE)),"")</f>
        <v xml:space="preserve">Se establece mediante revisión documental las acciones de la IE sobre prevención de la violencia sexual, la actuación del Comité de Convivencia Escolar,  lineamientos para la selección, nombramiento y contratación de personal, los registros de inhabilidades por delitos sexuales contra niños, niñas y adolescentes para la prevención de la violencia sexual, </v>
      </c>
      <c r="S1341" s="11" t="str">
        <f>IFERROR(IF(VLOOKUP(A1341,[9]PRIORIZADOS!$A:$S,19,FALSE)="","",VLOOKUP(A1341,[9]PRIORIZADOS!$A:$S,19,FALSE)),"")</f>
        <v>Se establece la implementación de rutas de atención integral así como por mecanismos adelantados para la promoción de la sana convivencia y el respeto a los derechos humanos.</v>
      </c>
      <c r="T1341" s="70" t="str">
        <f>IFERROR(IF(VLOOKUP(A1341,[9]PRIORIZADOS!$A:$T,20,FALSE)="","",VLOOKUP(A1341,[9]PRIORIZADOS!$A:$T,20,FALSE)),"")</f>
        <v>No</v>
      </c>
      <c r="U1341" s="11" t="str">
        <f>IFERROR(IF(VLOOKUP(A1341,[9]PRIORIZADOS!$A:$U,21,FALSE)="","",VLOOKUP(A1341,[9]PRIORIZADOS!$A:$U,21,FALSE)),"")</f>
        <v>Según programación del Plan Operativo Anual del equipo local de inspección y vigilancia para lo restante de 2025 y para el 2026</v>
      </c>
    </row>
    <row r="1342" spans="1:21" s="1" customFormat="1" ht="142.5">
      <c r="A1342" s="69">
        <f>IF([9]PRIORIZADOS!A39="","",[9]PRIORIZADOS!A39)</f>
        <v>1283</v>
      </c>
      <c r="B1342" s="70">
        <f>IFERROR(IF(VLOOKUP(A1342,[9]PRIORIZADOS!$A:$B,2,FALSE)="","",VLOOKUP(A1342,[9]PRIORIZADOS!$A:$B,2,FALSE)),"")</f>
        <v>6</v>
      </c>
      <c r="C1342" s="11" t="str">
        <f>IFERROR(IF(VLOOKUP(A1342,[9]PRIORIZADOS!$A:$C,3,FALSE)="","",VLOOKUP(A1342,[9]PRIORIZADOS!$A:$C,3,FALSE)),"")</f>
        <v>LOS MÁRTIRES</v>
      </c>
      <c r="D1342" s="11" t="str">
        <f>IFERROR(IF(VLOOKUP(A1342,[9]PRIORIZADOS!$A:$D,4,FALSE)="","",VLOOKUP(A1342,[9]PRIORIZADOS!$A:$D,4,FALSE)),"")</f>
        <v>PRIVADO</v>
      </c>
      <c r="E1342" s="11" t="str">
        <f>IFERROR(IF(VLOOKUP(A1342,[9]PRIORIZADOS!$A:$E,5,FALSE)="","",VLOOKUP(A1342,[9]PRIORIZADOS!$A:$E,5,FALSE)),"")</f>
        <v>EPBM</v>
      </c>
      <c r="F1342" s="11" t="str">
        <f>IFERROR(IF(VLOOKUP(A1342,[9]PRIORIZADOS!$A:$F,6,FALSE)="","",VLOOKUP(A1342,[9]PRIORIZADOS!$A:$F,6,FALSE)),"")</f>
        <v>COLEGIO_NUESTRA_SEÑORA_DE_LA_PAZ</v>
      </c>
      <c r="G1342" s="11" t="str">
        <f>IFERROR(IF(VLOOKUP(A1342,[9]PRIORIZADOS!$A:$G,7,FALSE)="","",VLOOKUP(A1342,[9]PRIORIZADOS!$A:$G,7,FALSE)),"")</f>
        <v>COLEGIO NUESTRA SEÑORA DE LA PAZ</v>
      </c>
      <c r="H1342" s="11" t="str">
        <f>IFERROR(IF(VLOOKUP(A1342,[9]PRIORIZADOS!$A:$H,8,FALSE)="","",VLOOKUP(A1342,[9]PRIORIZADOS!$A:$H,8,FALSE)),"")</f>
        <v>Autoevaluación Institucional y Pruebas SABER 11</v>
      </c>
      <c r="I1342" s="11" t="str">
        <f>IFERROR(IF(VLOOKUP(A1342,[9]PRIORIZADOS!$A:$I,9,FALSE)="","",VLOOKUP(A1342,[9]PRIORIZADOS!$A:$I,9,FALSE)),"")</f>
        <v>SEGUIMIENTO_Y_SUPERVISIÓN.</v>
      </c>
      <c r="J1342" s="11" t="str">
        <f>IFERROR(IF(VLOOKUP(A1342,[9]PRIORIZADOS!$A:$J,10,FALSE)="","",VLOOKUP(A1342,[9]PRIORIZADOS!$A:$J,10,FALSE)),"")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42" s="11" t="str">
        <f>IFERROR(IF(VLOOKUP(A1342,[9]PRIORIZADOS!$A:$K,11,FALSE)="","",VLOOKUP(A1342,[9]PRIORIZADOS!$A:$K,11,FALSE)),"")</f>
        <v>LUIS ALEJANDRO MARTÍNEZ PALACIOS</v>
      </c>
      <c r="L1342" s="11" t="str">
        <f>IFERROR(IF(VLOOKUP(A1342,[9]PRIORIZADOS!$A:$L,12,FALSE)="","",VLOOKUP(A1342,[9]PRIORIZADOS!$A:$L,12,FALSE)),"")</f>
        <v>CARLOS EDUARDO VARGAS LÓPEZ</v>
      </c>
      <c r="M1342" s="71">
        <f>IFERROR(IF(VLOOKUP(A1342,[9]PRIORIZADOS!$A:$M,13,FALSE)="","",VLOOKUP(A1342,[9]PRIORIZADOS!$A:$M,13,FALSE)),"")</f>
        <v>45804</v>
      </c>
      <c r="N1342" s="71">
        <f>IFERROR(IF(VLOOKUP(A1342,[9]PRIORIZADOS!$A:$N,14,FALSE)="","",VLOOKUP(A1342,[9]PRIORIZADOS!$A:$N,14,FALSE)),"")</f>
        <v>45804</v>
      </c>
      <c r="O1342" s="71">
        <f>IFERROR(IF(VLOOKUP(A1342,[9]PRIORIZADOS!$A:$O,15,FALSE)="","",VLOOKUP(A1342,[9]PRIORIZADOS!$A:$O,15,FALSE)),"")</f>
        <v>45804</v>
      </c>
      <c r="P1342" s="16" t="str">
        <f>IFERROR(IF(VLOOKUP(A1342,[9]PRIORIZADOS!$A:$P,16,FALSE)="","",VLOOKUP(A1342,[9]PRIORIZADOS!$A:$P,16,FALSE)),"")</f>
        <v>Visitas de evaluación con fines de seguimiento</v>
      </c>
      <c r="Q1342" s="35" t="s">
        <v>325</v>
      </c>
      <c r="R1342" s="90" t="str">
        <f>IFERROR(IF(VLOOKUP(A1342,[9]PRIORIZADOS!$A:$R,18,FALSE)="","",VLOOKUP(A1342,[9]PRIORIZADOS!$A:$R,18,FALSE)),"")</f>
        <v xml:space="preserve">Se realiza la observación de la caracterización pedagógica y social para garantizar los procesos de enseñanza y aprendizaje de los estudiantes con discapacidad mediante los Planes Individuales de acuerdo con los ajustes razonables (PIAR), se propone que figure en el PEI la forma de  garantizar el aprendizaje, la participación, permanencia y promoción de estudiantes.
</v>
      </c>
      <c r="S1342" s="11" t="str">
        <f>IFERROR(IF(VLOOKUP(A1342,[9]PRIORIZADOS!$A:$S,19,FALSE)="","",VLOOKUP(A1342,[9]PRIORIZADOS!$A:$S,19,FALSE)),"")</f>
        <v>Continuar fortaleciendo las acciones y ajuste en los PIAR de cada estudiante</v>
      </c>
      <c r="T1342" s="70" t="str">
        <f>IFERROR(IF(VLOOKUP(A1342,[9]PRIORIZADOS!$A:$T,20,FALSE)="","",VLOOKUP(A1342,[9]PRIORIZADOS!$A:$T,20,FALSE)),"")</f>
        <v>No</v>
      </c>
      <c r="U1342" s="11" t="str">
        <f>IFERROR(IF(VLOOKUP(A1342,[9]PRIORIZADOS!$A:$U,21,FALSE)="","",VLOOKUP(A1342,[9]PRIORIZADOS!$A:$U,21,FALSE)),"")</f>
        <v>Según programación del Plan Operativo Anual del equipo local de inspección y vigilancia para lo restante de 2025 y para el 2026</v>
      </c>
    </row>
    <row r="1343" spans="1:21" s="1" customFormat="1" ht="96">
      <c r="A1343" s="69">
        <f>IF([9]PRIORIZADOS!A40="","",[9]PRIORIZADOS!A40)</f>
        <v>1284</v>
      </c>
      <c r="B1343" s="70">
        <f>IFERROR(IF(VLOOKUP(A1343,[9]PRIORIZADOS!$A:$B,2,FALSE)="","",VLOOKUP(A1343,[9]PRIORIZADOS!$A:$B,2,FALSE)),"")</f>
        <v>6</v>
      </c>
      <c r="C1343" s="11" t="str">
        <f>IFERROR(IF(VLOOKUP(A1343,[9]PRIORIZADOS!$A:$C,3,FALSE)="","",VLOOKUP(A1343,[9]PRIORIZADOS!$A:$C,3,FALSE)),"")</f>
        <v>LOS MÁRTIRES</v>
      </c>
      <c r="D1343" s="11" t="str">
        <f>IFERROR(IF(VLOOKUP(A1343,[9]PRIORIZADOS!$A:$D,4,FALSE)="","",VLOOKUP(A1343,[9]PRIORIZADOS!$A:$D,4,FALSE)),"")</f>
        <v>PRIVADO</v>
      </c>
      <c r="E1343" s="11" t="str">
        <f>IFERROR(IF(VLOOKUP(A1343,[9]PRIORIZADOS!$A:$E,5,FALSE)="","",VLOOKUP(A1343,[9]PRIORIZADOS!$A:$E,5,FALSE)),"")</f>
        <v>EPBM</v>
      </c>
      <c r="F1343" s="11" t="str">
        <f>IFERROR(IF(VLOOKUP(A1343,[9]PRIORIZADOS!$A:$F,6,FALSE)="","",VLOOKUP(A1343,[9]PRIORIZADOS!$A:$F,6,FALSE)),"")</f>
        <v>COLEGIO_NUESTRA_SEÑORA_DE_LA_PAZ</v>
      </c>
      <c r="G1343" s="11" t="str">
        <f>IFERROR(IF(VLOOKUP(A1343,[9]PRIORIZADOS!$A:$G,7,FALSE)="","",VLOOKUP(A1343,[9]PRIORIZADOS!$A:$G,7,FALSE)),"")</f>
        <v>COLEGIO NUESTRA SEÑORA DE LA PAZ</v>
      </c>
      <c r="H1343" s="11" t="str">
        <f>IFERROR(IF(VLOOKUP(A1343,[9]PRIORIZADOS!$A:$H,8,FALSE)="","",VLOOKUP(A1343,[9]PRIORIZADOS!$A:$H,8,FALSE)),"")</f>
        <v>Autoevaluación Institucional y Pruebas SABER 11</v>
      </c>
      <c r="I1343" s="11" t="str">
        <f>IFERROR(IF(VLOOKUP(A1343,[9]PRIORIZADOS!$A:$I,9,FALSE)="","",VLOOKUP(A1343,[9]PRIORIZADOS!$A:$I,9,FALSE)),"")</f>
        <v>EVALUACIÓN_CON_FINES_DE_MEJORAMIENTO.</v>
      </c>
      <c r="J1343" s="11" t="str">
        <f>IFERROR(IF(VLOOKUP(A1343,[9]PRIORIZADOS!$A:$J,10,FALSE)="","",VLOOKUP(A1343,[9]PRIORIZADOS!$A:$J,10,FALSE)),"")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43" s="11" t="str">
        <f>IFERROR(IF(VLOOKUP(A1343,[9]PRIORIZADOS!$A:$K,11,FALSE)="","",VLOOKUP(A1343,[9]PRIORIZADOS!$A:$K,11,FALSE)),"")</f>
        <v>LUIS ALEJANDRO MARTÍNEZ PALACIOS</v>
      </c>
      <c r="L1343" s="11" t="str">
        <f>IFERROR(IF(VLOOKUP(A1343,[9]PRIORIZADOS!$A:$L,12,FALSE)="","",VLOOKUP(A1343,[9]PRIORIZADOS!$A:$L,12,FALSE)),"")</f>
        <v>CARLOS EDUARDO VARGAS LÓPEZ</v>
      </c>
      <c r="M1343" s="71">
        <f>IFERROR(IF(VLOOKUP(A1343,[9]PRIORIZADOS!$A:$M,13,FALSE)="","",VLOOKUP(A1343,[9]PRIORIZADOS!$A:$M,13,FALSE)),"")</f>
        <v>45804</v>
      </c>
      <c r="N1343" s="71">
        <f>IFERROR(IF(VLOOKUP(A1343,[9]PRIORIZADOS!$A:$N,14,FALSE)="","",VLOOKUP(A1343,[9]PRIORIZADOS!$A:$N,14,FALSE)),"")</f>
        <v>45804</v>
      </c>
      <c r="O1343" s="71">
        <f>IFERROR(IF(VLOOKUP(A1343,[9]PRIORIZADOS!$A:$O,15,FALSE)="","",VLOOKUP(A1343,[9]PRIORIZADOS!$A:$O,15,FALSE)),"")</f>
        <v>45804</v>
      </c>
      <c r="P1343" s="16" t="str">
        <f>IFERROR(IF(VLOOKUP(A1343,[9]PRIORIZADOS!$A:$P,16,FALSE)="","",VLOOKUP(A1343,[9]PRIORIZADOS!$A:$P,16,FALSE)),"")</f>
        <v>Visitas de evaluación con fines de seguimiento</v>
      </c>
      <c r="Q1343" s="35" t="s">
        <v>325</v>
      </c>
      <c r="R1343" s="90" t="str">
        <f>IFERROR(IF(VLOOKUP(A1343,[9]PRIORIZADOS!$A:$R,18,FALSE)="","",VLOOKUP(A1343,[9]PRIORIZADOS!$A:$R,18,FALSE)),"")</f>
        <v>Se requiere la actualización de los manuales de convivencia escolar, mediante la incorporación del enfoque de género, enfoque diferencial por orientación sexual e identidad de género y enfoque restaurativo, para fortalecer la convivencia escolar al interior de las institución educativa del sector privado.</v>
      </c>
      <c r="S1343" s="11" t="str">
        <f>IFERROR(IF(VLOOKUP(A1343,[9]PRIORIZADOS!$A:$S,19,FALSE)="","",VLOOKUP(A1343,[9]PRIORIZADOS!$A:$S,19,FALSE)),"")</f>
        <v>Propiciar que el manual de convivencia sea más preciso en la promoción de entornos escolares seguros, respetuosos y propicios para el aprendizaje y el desarrollo integral de los estudiantes.</v>
      </c>
      <c r="T1343" s="70" t="str">
        <f>IFERROR(IF(VLOOKUP(A1343,[9]PRIORIZADOS!$A:$T,20,FALSE)="","",VLOOKUP(A1343,[9]PRIORIZADOS!$A:$T,20,FALSE)),"")</f>
        <v>Si</v>
      </c>
      <c r="U1343" s="11" t="str">
        <f>IFERROR(IF(VLOOKUP(A1343,[9]PRIORIZADOS!$A:$U,21,FALSE)="","",VLOOKUP(A1343,[9]PRIORIZADOS!$A:$U,21,FALSE)),"")</f>
        <v>Según programación del Plan Operativo Anual del equipo local de inspección y vigilancia para lo restante de 2025 y para el 2026</v>
      </c>
    </row>
    <row r="1344" spans="1:21" s="1" customFormat="1" ht="107.25">
      <c r="A1344" s="69">
        <f>IF([9]PRIORIZADOS!A41="","",[9]PRIORIZADOS!A41)</f>
        <v>1285</v>
      </c>
      <c r="B1344" s="70">
        <f>IFERROR(IF(VLOOKUP(A1344,[9]PRIORIZADOS!$A:$B,2,FALSE)="","",VLOOKUP(A1344,[9]PRIORIZADOS!$A:$B,2,FALSE)),"")</f>
        <v>6</v>
      </c>
      <c r="C1344" s="11" t="str">
        <f>IFERROR(IF(VLOOKUP(A1344,[9]PRIORIZADOS!$A:$C,3,FALSE)="","",VLOOKUP(A1344,[9]PRIORIZADOS!$A:$C,3,FALSE)),"")</f>
        <v>LOS MÁRTIRES</v>
      </c>
      <c r="D1344" s="11" t="str">
        <f>IFERROR(IF(VLOOKUP(A1344,[9]PRIORIZADOS!$A:$D,4,FALSE)="","",VLOOKUP(A1344,[9]PRIORIZADOS!$A:$D,4,FALSE)),"")</f>
        <v>PRIVADO</v>
      </c>
      <c r="E1344" s="11" t="str">
        <f>IFERROR(IF(VLOOKUP(A1344,[9]PRIORIZADOS!$A:$E,5,FALSE)="","",VLOOKUP(A1344,[9]PRIORIZADOS!$A:$E,5,FALSE)),"")</f>
        <v>EPBM</v>
      </c>
      <c r="F1344" s="11" t="str">
        <f>IFERROR(IF(VLOOKUP(A1344,[9]PRIORIZADOS!$A:$F,6,FALSE)="","",VLOOKUP(A1344,[9]PRIORIZADOS!$A:$F,6,FALSE)),"")</f>
        <v>COLEGIO_NUESTRA_SEÑORA_DE_LA_PAZ</v>
      </c>
      <c r="G1344" s="11" t="str">
        <f>IFERROR(IF(VLOOKUP(A1344,[9]PRIORIZADOS!$A:$G,7,FALSE)="","",VLOOKUP(A1344,[9]PRIORIZADOS!$A:$G,7,FALSE)),"")</f>
        <v>COLEGIO NUESTRA SEÑORA DE LA PAZ</v>
      </c>
      <c r="H1344" s="11" t="str">
        <f>IFERROR(IF(VLOOKUP(A1344,[9]PRIORIZADOS!$A:$H,8,FALSE)="","",VLOOKUP(A1344,[9]PRIORIZADOS!$A:$H,8,FALSE)),"")</f>
        <v>Autoevaluación Institucional y Pruebas SABER 11</v>
      </c>
      <c r="I1344" s="11" t="str">
        <f>IFERROR(IF(VLOOKUP(A1344,[9]PRIORIZADOS!$A:$I,9,FALSE)="","",VLOOKUP(A1344,[9]PRIORIZADOS!$A:$I,9,FALSE)),"")</f>
        <v>EVALUACIÓN_CON_FINES_DE_MEJORAMIENTO.</v>
      </c>
      <c r="J1344" s="11" t="str">
        <f>IFERROR(IF(VLOOKUP(A1344,[9]PRIORIZADOS!$A:$J,10,FALSE)="","",VLOOKUP(A1344,[9]PRIORIZADOS!$A:$J,10,FALSE)),"")</f>
        <v>Revisar la actualización, socialización e implementación del Sistema Institucional de Evaluación de Estudiantes - SIEE, en articulación con la actualización del PEI y la normatividad vigente.</v>
      </c>
      <c r="K1344" s="11" t="str">
        <f>IFERROR(IF(VLOOKUP(A1344,[9]PRIORIZADOS!$A:$K,11,FALSE)="","",VLOOKUP(A1344,[9]PRIORIZADOS!$A:$K,11,FALSE)),"")</f>
        <v>LUIS ALEJANDRO MARTÍNEZ PALACIOS</v>
      </c>
      <c r="L1344" s="11" t="str">
        <f>IFERROR(IF(VLOOKUP(A1344,[9]PRIORIZADOS!$A:$L,12,FALSE)="","",VLOOKUP(A1344,[9]PRIORIZADOS!$A:$L,12,FALSE)),"")</f>
        <v>CARLOS EDUARDO VARGAS LÓPEZ</v>
      </c>
      <c r="M1344" s="71">
        <f>IFERROR(IF(VLOOKUP(A1344,[9]PRIORIZADOS!$A:$M,13,FALSE)="","",VLOOKUP(A1344,[9]PRIORIZADOS!$A:$M,13,FALSE)),"")</f>
        <v>45804</v>
      </c>
      <c r="N1344" s="71">
        <f>IFERROR(IF(VLOOKUP(A1344,[9]PRIORIZADOS!$A:$N,14,FALSE)="","",VLOOKUP(A1344,[9]PRIORIZADOS!$A:$N,14,FALSE)),"")</f>
        <v>45804</v>
      </c>
      <c r="O1344" s="71">
        <f>IFERROR(IF(VLOOKUP(A1344,[9]PRIORIZADOS!$A:$O,15,FALSE)="","",VLOOKUP(A1344,[9]PRIORIZADOS!$A:$O,15,FALSE)),"")</f>
        <v>45804</v>
      </c>
      <c r="P1344" s="16" t="str">
        <f>IFERROR(IF(VLOOKUP(A1344,[9]PRIORIZADOS!$A:$P,16,FALSE)="","",VLOOKUP(A1344,[9]PRIORIZADOS!$A:$P,16,FALSE)),"")</f>
        <v>Visitas de evaluación con fines de seguimiento</v>
      </c>
      <c r="Q1344" s="35" t="s">
        <v>325</v>
      </c>
      <c r="R1344" s="90" t="str">
        <f>IFERROR(IF(VLOOKUP(A1344,[9]PRIORIZADOS!$A:$R,18,FALSE)="","",VLOOKUP(A1344,[9]PRIORIZADOS!$A:$R,18,FALSE)),"")</f>
        <v>Se revisa el cómo se evalúan los aprendizajes, cómo se promueven a los estudiantes al grado superior y cómo se nivelan los educandos que presentan dificultades. Se analizó su integración con el Proyecto Educativo Institucional (PEI) y la coherencia entre la propuesta pedagógica y el sistema de evaluación institucional.</v>
      </c>
      <c r="S1344" s="11" t="str">
        <f>IFERROR(IF(VLOOKUP(A1344,[9]PRIORIZADOS!$A:$S,19,FALSE)="","",VLOOKUP(A1344,[9]PRIORIZADOS!$A:$S,19,FALSE)),"")</f>
        <v xml:space="preserve"> Ampliar estrategias para ayudar a los estudiantes que necesitan apoyo adicional para alcanzar los objetivos de aprendizaje.</v>
      </c>
      <c r="T1344" s="70" t="str">
        <f>IFERROR(IF(VLOOKUP(A1344,[9]PRIORIZADOS!$A:$T,20,FALSE)="","",VLOOKUP(A1344,[9]PRIORIZADOS!$A:$T,20,FALSE)),"")</f>
        <v>Si</v>
      </c>
      <c r="U1344" s="11" t="str">
        <f>IFERROR(IF(VLOOKUP(A1344,[9]PRIORIZADOS!$A:$U,21,FALSE)="","",VLOOKUP(A1344,[9]PRIORIZADOS!$A:$U,21,FALSE)),"")</f>
        <v>Según programación del Plan Operativo Anual del equipo local de inspección y vigilancia para lo restante de 2025 y para el 2026</v>
      </c>
    </row>
    <row r="1345" spans="1:21" s="1" customFormat="1" ht="118.5">
      <c r="A1345" s="69">
        <f>IF([9]PRIORIZADOS!A42="","",[9]PRIORIZADOS!A42)</f>
        <v>1286</v>
      </c>
      <c r="B1345" s="70">
        <f>IFERROR(IF(VLOOKUP(A1345,[9]PRIORIZADOS!$A:$B,2,FALSE)="","",VLOOKUP(A1345,[9]PRIORIZADOS!$A:$B,2,FALSE)),"")</f>
        <v>6</v>
      </c>
      <c r="C1345" s="11" t="str">
        <f>IFERROR(IF(VLOOKUP(A1345,[9]PRIORIZADOS!$A:$C,3,FALSE)="","",VLOOKUP(A1345,[9]PRIORIZADOS!$A:$C,3,FALSE)),"")</f>
        <v>LOS MÁRTIRES</v>
      </c>
      <c r="D1345" s="11" t="str">
        <f>IFERROR(IF(VLOOKUP(A1345,[9]PRIORIZADOS!$A:$D,4,FALSE)="","",VLOOKUP(A1345,[9]PRIORIZADOS!$A:$D,4,FALSE)),"")</f>
        <v>PRIVADO</v>
      </c>
      <c r="E1345" s="11" t="str">
        <f>IFERROR(IF(VLOOKUP(A1345,[9]PRIORIZADOS!$A:$E,5,FALSE)="","",VLOOKUP(A1345,[9]PRIORIZADOS!$A:$E,5,FALSE)),"")</f>
        <v>EPBM</v>
      </c>
      <c r="F1345" s="11" t="str">
        <f>IFERROR(IF(VLOOKUP(A1345,[9]PRIORIZADOS!$A:$F,6,FALSE)="","",VLOOKUP(A1345,[9]PRIORIZADOS!$A:$F,6,FALSE)),"")</f>
        <v>COLEGIO_NUESTRA_SEÑORA_DE_LA_PAZ</v>
      </c>
      <c r="G1345" s="11" t="str">
        <f>IFERROR(IF(VLOOKUP(A1345,[9]PRIORIZADOS!$A:$G,7,FALSE)="","",VLOOKUP(A1345,[9]PRIORIZADOS!$A:$G,7,FALSE)),"")</f>
        <v>COLEGIO NUESTRA SEÑORA DE LA PAZ</v>
      </c>
      <c r="H1345" s="11" t="str">
        <f>IFERROR(IF(VLOOKUP(A1345,[9]PRIORIZADOS!$A:$H,8,FALSE)="","",VLOOKUP(A1345,[9]PRIORIZADOS!$A:$H,8,FALSE)),"")</f>
        <v>Autoevaluación Institucional y Pruebas SABER 11</v>
      </c>
      <c r="I1345" s="11" t="str">
        <f>IFERROR(IF(VLOOKUP(A1345,[9]PRIORIZADOS!$A:$I,9,FALSE)="","",VLOOKUP(A1345,[9]PRIORIZADOS!$A:$I,9,FALSE)),"")</f>
        <v>EVALUACIÓN_CON_FINES_DE_MEJORAMIENTO.</v>
      </c>
      <c r="J1345" s="11" t="str">
        <f>IFERROR(IF(VLOOKUP(A1345,[9]PRIORIZADOS!$A:$J,10,FALSE)="","",VLOOKUP(A1345,[9]PRIORIZADOS!$A:$J,10,FALSE)),"")</f>
        <v>Revisar el calendario escolar, jornada escolar, la intensidad horaria mínima anual en cada nivel y las modificaciones que se realicen al mismo, de acuerdo con lo previsto en la normatividad vigente.</v>
      </c>
      <c r="K1345" s="11" t="str">
        <f>IFERROR(IF(VLOOKUP(A1345,[9]PRIORIZADOS!$A:$K,11,FALSE)="","",VLOOKUP(A1345,[9]PRIORIZADOS!$A:$K,11,FALSE)),"")</f>
        <v>LUIS ALEJANDRO MARTÍNEZ PALACIOS</v>
      </c>
      <c r="L1345" s="11" t="str">
        <f>IFERROR(IF(VLOOKUP(A1345,[9]PRIORIZADOS!$A:$L,12,FALSE)="","",VLOOKUP(A1345,[9]PRIORIZADOS!$A:$L,12,FALSE)),"")</f>
        <v>CARLOS EDUARDO VARGAS LÓPEZ</v>
      </c>
      <c r="M1345" s="71">
        <f>IFERROR(IF(VLOOKUP(A1345,[9]PRIORIZADOS!$A:$M,13,FALSE)="","",VLOOKUP(A1345,[9]PRIORIZADOS!$A:$M,13,FALSE)),"")</f>
        <v>45804</v>
      </c>
      <c r="N1345" s="71">
        <f>IFERROR(IF(VLOOKUP(A1345,[9]PRIORIZADOS!$A:$N,14,FALSE)="","",VLOOKUP(A1345,[9]PRIORIZADOS!$A:$N,14,FALSE)),"")</f>
        <v>45804</v>
      </c>
      <c r="O1345" s="71">
        <f>IFERROR(IF(VLOOKUP(A1345,[9]PRIORIZADOS!$A:$O,15,FALSE)="","",VLOOKUP(A1345,[9]PRIORIZADOS!$A:$O,15,FALSE)),"")</f>
        <v>45804</v>
      </c>
      <c r="P1345" s="16" t="str">
        <f>IFERROR(IF(VLOOKUP(A1345,[9]PRIORIZADOS!$A:$P,16,FALSE)="","",VLOOKUP(A1345,[9]PRIORIZADOS!$A:$P,16,FALSE)),"")</f>
        <v>Visitas de evaluación con fines de seguimiento</v>
      </c>
      <c r="Q1345" s="35" t="s">
        <v>325</v>
      </c>
      <c r="R1345" s="90" t="str">
        <f>IFERROR(IF(VLOOKUP(A1345,[9]PRIORIZADOS!$A:$R,18,FALSE)="","",VLOOKUP(A1345,[9]PRIORIZADOS!$A:$R,18,FALSE)),"")</f>
        <v>Se verificó que el calendario escolar se ajusta a los dos periodos semestrales cumpliendo con la normatividad nacional. Se observa que el primer semestre va del 3 de febrero al 13 de junio, y el segundo, del 7 de julio al 28 de  noviembre. Adicionalmente, se establece la existencia de las semanas de receso, como la de Semana Santa (14 al 18 de abril), la de mitad de año  y una en octubre (6 al 10).</v>
      </c>
      <c r="S1345" s="11" t="str">
        <f>IFERROR(IF(VLOOKUP(A1345,[9]PRIORIZADOS!$A:$S,19,FALSE)="","",VLOOKUP(A1345,[9]PRIORIZADOS!$A:$S,19,FALSE)),"")</f>
        <v>Continuar la implementación del cronograma establecido en el calendarios escolar 2025</v>
      </c>
      <c r="T1345" s="70" t="str">
        <f>IFERROR(IF(VLOOKUP(A1345,[9]PRIORIZADOS!$A:$T,20,FALSE)="","",VLOOKUP(A1345,[9]PRIORIZADOS!$A:$T,20,FALSE)),"")</f>
        <v>No</v>
      </c>
      <c r="U1345" s="11" t="str">
        <f>IFERROR(IF(VLOOKUP(A1345,[9]PRIORIZADOS!$A:$U,21,FALSE)="","",VLOOKUP(A1345,[9]PRIORIZADOS!$A:$U,21,FALSE)),"")</f>
        <v>Para la vigencia 2026 se hará revisión en caso de requerirse</v>
      </c>
    </row>
    <row r="1346" spans="1:21" s="1" customFormat="1" ht="72">
      <c r="A1346" s="69">
        <f>IF([9]PRIORIZADOS!A43="","",[9]PRIORIZADOS!A43)</f>
        <v>1287</v>
      </c>
      <c r="B1346" s="70">
        <f>IFERROR(IF(VLOOKUP(A1346,[9]PRIORIZADOS!$A:$B,2,FALSE)="","",VLOOKUP(A1346,[9]PRIORIZADOS!$A:$B,2,FALSE)),"")</f>
        <v>6</v>
      </c>
      <c r="C1346" s="11" t="str">
        <f>IFERROR(IF(VLOOKUP(A1346,[9]PRIORIZADOS!$A:$C,3,FALSE)="","",VLOOKUP(A1346,[9]PRIORIZADOS!$A:$C,3,FALSE)),"")</f>
        <v>LOS MÁRTIRES</v>
      </c>
      <c r="D1346" s="11" t="str">
        <f>IFERROR(IF(VLOOKUP(A1346,[9]PRIORIZADOS!$A:$D,4,FALSE)="","",VLOOKUP(A1346,[9]PRIORIZADOS!$A:$D,4,FALSE)),"")</f>
        <v>PRIVADO</v>
      </c>
      <c r="E1346" s="11" t="str">
        <f>IFERROR(IF(VLOOKUP(A1346,[9]PRIORIZADOS!$A:$E,5,FALSE)="","",VLOOKUP(A1346,[9]PRIORIZADOS!$A:$E,5,FALSE)),"")</f>
        <v>EPBM</v>
      </c>
      <c r="F1346" s="11" t="str">
        <f>IFERROR(IF(VLOOKUP(A1346,[9]PRIORIZADOS!$A:$F,6,FALSE)="","",VLOOKUP(A1346,[9]PRIORIZADOS!$A:$F,6,FALSE)),"")</f>
        <v>COLEGIO_NUESTRA_SEÑORA_DE_LA_PAZ</v>
      </c>
      <c r="G1346" s="11" t="str">
        <f>IFERROR(IF(VLOOKUP(A1346,[9]PRIORIZADOS!$A:$G,7,FALSE)="","",VLOOKUP(A1346,[9]PRIORIZADOS!$A:$G,7,FALSE)),"")</f>
        <v>COLEGIO NUESTRA SEÑORA DE LA PAZ</v>
      </c>
      <c r="H1346" s="11" t="str">
        <f>IFERROR(IF(VLOOKUP(A1346,[9]PRIORIZADOS!$A:$H,8,FALSE)="","",VLOOKUP(A1346,[9]PRIORIZADOS!$A:$H,8,FALSE)),"")</f>
        <v>Autoevaluación Institucional y Pruebas SABER 11</v>
      </c>
      <c r="I1346" s="11" t="str">
        <f>IFERROR(IF(VLOOKUP(A1346,[9]PRIORIZADOS!$A:$I,9,FALSE)="","",VLOOKUP(A1346,[9]PRIORIZADOS!$A:$I,9,FALSE)),"")</f>
        <v>EVALUACIÓN_CON_FINES_DE_MEJORAMIENTO.</v>
      </c>
      <c r="J1346" s="11" t="str">
        <f>IFERROR(IF(VLOOKUP(A1346,[9]PRIORIZADOS!$A:$J,10,FALSE)="","",VLOOKUP(A1346,[9]PRIORIZADOS!$A:$J,10,FALSE)),"")</f>
        <v>Verificar el funcionamiento del Gobierno Escolar e instancias de participación con base en la información sobre conformación reportada por la institución educativa.</v>
      </c>
      <c r="K1346" s="11" t="str">
        <f>IFERROR(IF(VLOOKUP(A1346,[9]PRIORIZADOS!$A:$K,11,FALSE)="","",VLOOKUP(A1346,[9]PRIORIZADOS!$A:$K,11,FALSE)),"")</f>
        <v>LUIS ALEJANDRO MARTÍNEZ PALACIOS</v>
      </c>
      <c r="L1346" s="11" t="str">
        <f>IFERROR(IF(VLOOKUP(A1346,[9]PRIORIZADOS!$A:$L,12,FALSE)="","",VLOOKUP(A1346,[9]PRIORIZADOS!$A:$L,12,FALSE)),"")</f>
        <v>CARLOS EDUARDO VARGAS LÓPEZ</v>
      </c>
      <c r="M1346" s="71">
        <f>IFERROR(IF(VLOOKUP(A1346,[9]PRIORIZADOS!$A:$M,13,FALSE)="","",VLOOKUP(A1346,[9]PRIORIZADOS!$A:$M,13,FALSE)),"")</f>
        <v>45804</v>
      </c>
      <c r="N1346" s="71">
        <f>IFERROR(IF(VLOOKUP(A1346,[9]PRIORIZADOS!$A:$N,14,FALSE)="","",VLOOKUP(A1346,[9]PRIORIZADOS!$A:$N,14,FALSE)),"")</f>
        <v>45804</v>
      </c>
      <c r="O1346" s="71">
        <f>IFERROR(IF(VLOOKUP(A1346,[9]PRIORIZADOS!$A:$O,15,FALSE)="","",VLOOKUP(A1346,[9]PRIORIZADOS!$A:$O,15,FALSE)),"")</f>
        <v>45804</v>
      </c>
      <c r="P1346" s="16" t="str">
        <f>IFERROR(IF(VLOOKUP(A1346,[9]PRIORIZADOS!$A:$P,16,FALSE)="","",VLOOKUP(A1346,[9]PRIORIZADOS!$A:$P,16,FALSE)),"")</f>
        <v>Visitas de evaluación con fines de seguimiento</v>
      </c>
      <c r="Q1346" s="35" t="s">
        <v>325</v>
      </c>
      <c r="R1346" s="90" t="str">
        <f>IFERROR(IF(VLOOKUP(A1346,[9]PRIORIZADOS!$A:$R,18,FALSE)="","",VLOOKUP(A1346,[9]PRIORIZADOS!$A:$R,18,FALSE)),"")</f>
        <v>Se evidencia que el plantel de calendario A, cumplió antes de la fecha límite (7 de marzo de 2025) y llevó a cabo las elecciones y reportó en el Sistema de Apoyo Escolar (SAE) la conformación de los cargos de representación estudiantil.</v>
      </c>
      <c r="S1346" s="11" t="str">
        <f>IFERROR(IF(VLOOKUP(A1346,[9]PRIORIZADOS!$A:$S,19,FALSE)="","",VLOOKUP(A1346,[9]PRIORIZADOS!$A:$S,19,FALSE)),"")</f>
        <v>Que los gobiernos escolares e instancias sesionen conforme lo establecido normativamente</v>
      </c>
      <c r="T1346" s="70" t="str">
        <f>IFERROR(IF(VLOOKUP(A1346,[9]PRIORIZADOS!$A:$T,20,FALSE)="","",VLOOKUP(A1346,[9]PRIORIZADOS!$A:$T,20,FALSE)),"")</f>
        <v>No</v>
      </c>
      <c r="U1346" s="11" t="str">
        <f>IFERROR(IF(VLOOKUP(A1346,[9]PRIORIZADOS!$A:$U,21,FALSE)="","",VLOOKUP(A1346,[9]PRIORIZADOS!$A:$U,21,FALSE)),"")</f>
        <v>Se verificará la conformación de gobiernos escolares e instancias para la vigencia 2026</v>
      </c>
    </row>
    <row r="1347" spans="1:21" s="1" customFormat="1" ht="96">
      <c r="A1347" s="69">
        <f>IF([9]PRIORIZADOS!A44="","",[9]PRIORIZADOS!A44)</f>
        <v>1288</v>
      </c>
      <c r="B1347" s="70">
        <f>IFERROR(IF(VLOOKUP(A1347,[9]PRIORIZADOS!$A:$B,2,FALSE)="","",VLOOKUP(A1347,[9]PRIORIZADOS!$A:$B,2,FALSE)),"")</f>
        <v>6</v>
      </c>
      <c r="C1347" s="11" t="str">
        <f>IFERROR(IF(VLOOKUP(A1347,[9]PRIORIZADOS!$A:$C,3,FALSE)="","",VLOOKUP(A1347,[9]PRIORIZADOS!$A:$C,3,FALSE)),"")</f>
        <v>LOS MÁRTIRES</v>
      </c>
      <c r="D1347" s="11" t="str">
        <f>IFERROR(IF(VLOOKUP(A1347,[9]PRIORIZADOS!$A:$D,4,FALSE)="","",VLOOKUP(A1347,[9]PRIORIZADOS!$A:$D,4,FALSE)),"")</f>
        <v>PRIVADO</v>
      </c>
      <c r="E1347" s="11" t="str">
        <f>IFERROR(IF(VLOOKUP(A1347,[9]PRIORIZADOS!$A:$E,5,FALSE)="","",VLOOKUP(A1347,[9]PRIORIZADOS!$A:$E,5,FALSE)),"")</f>
        <v>EPBM</v>
      </c>
      <c r="F1347" s="11" t="str">
        <f>IFERROR(IF(VLOOKUP(A1347,[9]PRIORIZADOS!$A:$F,6,FALSE)="","",VLOOKUP(A1347,[9]PRIORIZADOS!$A:$F,6,FALSE)),"")</f>
        <v>COLEGIO_NUESTRA_SEÑORA_DE_LA_PAZ</v>
      </c>
      <c r="G1347" s="11" t="str">
        <f>IFERROR(IF(VLOOKUP(A1347,[9]PRIORIZADOS!$A:$G,7,FALSE)="","",VLOOKUP(A1347,[9]PRIORIZADOS!$A:$G,7,FALSE)),"")</f>
        <v>COLEGIO NUESTRA SEÑORA DE LA PAZ</v>
      </c>
      <c r="H1347" s="11" t="str">
        <f>IFERROR(IF(VLOOKUP(A1347,[9]PRIORIZADOS!$A:$H,8,FALSE)="","",VLOOKUP(A1347,[9]PRIORIZADOS!$A:$H,8,FALSE)),"")</f>
        <v>Autoevaluación Institucional y Pruebas SABER 11</v>
      </c>
      <c r="I1347" s="11" t="str">
        <f>IFERROR(IF(VLOOKUP(A1347,[9]PRIORIZADOS!$A:$I,9,FALSE)="","",VLOOKUP(A1347,[9]PRIORIZADOS!$A:$I,9,FALSE)),"")</f>
        <v>EVALUACIÓN_CON_FINES_DE_MEJORAMIENTO.</v>
      </c>
      <c r="J1347" s="11" t="str">
        <f>IFERROR(IF(VLOOKUP(A1347,[9]PRIORIZADOS!$A:$J,10,FALSE)="","",VLOOKUP(A1347,[9]PRIORIZADOS!$A:$J,10,FALSE)),"")</f>
        <v>Verificar las condiciones en cuanto a: la estructura administrativa, condiciones de la planta física y medios educativos adecuados.</v>
      </c>
      <c r="K1347" s="11" t="str">
        <f>IFERROR(IF(VLOOKUP(A1347,[9]PRIORIZADOS!$A:$K,11,FALSE)="","",VLOOKUP(A1347,[9]PRIORIZADOS!$A:$K,11,FALSE)),"")</f>
        <v>LUIS ALEJANDRO MARTÍNEZ PALACIOS</v>
      </c>
      <c r="L1347" s="11" t="str">
        <f>IFERROR(IF(VLOOKUP(A1347,[9]PRIORIZADOS!$A:$L,12,FALSE)="","",VLOOKUP(A1347,[9]PRIORIZADOS!$A:$L,12,FALSE)),"")</f>
        <v>CARLOS EDUARDO VARGAS LÓPEZ</v>
      </c>
      <c r="M1347" s="71">
        <f>IFERROR(IF(VLOOKUP(A1347,[9]PRIORIZADOS!$A:$M,13,FALSE)="","",VLOOKUP(A1347,[9]PRIORIZADOS!$A:$M,13,FALSE)),"")</f>
        <v>45804</v>
      </c>
      <c r="N1347" s="71">
        <f>IFERROR(IF(VLOOKUP(A1347,[9]PRIORIZADOS!$A:$N,14,FALSE)="","",VLOOKUP(A1347,[9]PRIORIZADOS!$A:$N,14,FALSE)),"")</f>
        <v>45804</v>
      </c>
      <c r="O1347" s="71">
        <f>IFERROR(IF(VLOOKUP(A1347,[9]PRIORIZADOS!$A:$O,15,FALSE)="","",VLOOKUP(A1347,[9]PRIORIZADOS!$A:$O,15,FALSE)),"")</f>
        <v>45804</v>
      </c>
      <c r="P1347" s="16" t="str">
        <f>IFERROR(IF(VLOOKUP(A1347,[9]PRIORIZADOS!$A:$P,16,FALSE)="","",VLOOKUP(A1347,[9]PRIORIZADOS!$A:$P,16,FALSE)),"")</f>
        <v>Visitas de evaluación con fines de seguimiento</v>
      </c>
      <c r="Q1347" s="36" t="s">
        <v>325</v>
      </c>
      <c r="R1347" s="90" t="str">
        <f>IFERROR(IF(VLOOKUP(A1347,[9]PRIORIZADOS!$A:$R,18,FALSE)="","",VLOOKUP(A1347,[9]PRIORIZADOS!$A:$R,18,FALSE)),"")</f>
        <v>Se evaluaron las aulas, talleres, laboratorios, áreas administrativas, servicios sanitarios, áreas deportivas, y otras instalaciones en términos de sus características físicas, mobiliario, equipamiento, accesibilidad y conectividad. Se determina que cumplen con la normativa.</v>
      </c>
      <c r="S1347" s="11" t="str">
        <f>IFERROR(IF(VLOOKUP(A1347,[9]PRIORIZADOS!$A:$S,19,FALSE)="","",VLOOKUP(A1347,[9]PRIORIZADOS!$A:$S,19,FALSE)),"")</f>
        <v>Mantener las condiciones de la infraestructura para una prestación adecuada del servicio educativo</v>
      </c>
      <c r="T1347" s="70" t="str">
        <f>IFERROR(IF(VLOOKUP(A1347,[9]PRIORIZADOS!$A:$T,20,FALSE)="","",VLOOKUP(A1347,[9]PRIORIZADOS!$A:$T,20,FALSE)),"")</f>
        <v>No</v>
      </c>
      <c r="U1347" s="11" t="str">
        <f>IFERROR(IF(VLOOKUP(A1347,[9]PRIORIZADOS!$A:$U,21,FALSE)="","",VLOOKUP(A1347,[9]PRIORIZADOS!$A:$U,21,FALSE)),"")</f>
        <v>Verificar para la vigencia 2026 en caso de ser necesario.</v>
      </c>
    </row>
    <row r="1348" spans="1:21" s="1" customFormat="1" ht="84">
      <c r="A1348" s="69">
        <f>IF([9]PRIORIZADOS!A45="","",[9]PRIORIZADOS!A45)</f>
        <v>1289</v>
      </c>
      <c r="B1348" s="70">
        <f>IFERROR(IF(VLOOKUP(A1348,[9]PRIORIZADOS!$A:$B,2,FALSE)="","",VLOOKUP(A1348,[9]PRIORIZADOS!$A:$B,2,FALSE)),"")</f>
        <v>7</v>
      </c>
      <c r="C1348" s="11" t="str">
        <f>IFERROR(IF(VLOOKUP(A1348,[9]PRIORIZADOS!$A:$C,3,FALSE)="","",VLOOKUP(A1348,[9]PRIORIZADOS!$A:$C,3,FALSE)),"")</f>
        <v>LOS MÁRTIRES</v>
      </c>
      <c r="D1348" s="11" t="str">
        <f>IFERROR(IF(VLOOKUP(A1348,[9]PRIORIZADOS!$A:$D,4,FALSE)="","",VLOOKUP(A1348,[9]PRIORIZADOS!$A:$D,4,FALSE)),"")</f>
        <v>PRIVADO</v>
      </c>
      <c r="E1348" s="11" t="str">
        <f>IFERROR(IF(VLOOKUP(A1348,[9]PRIORIZADOS!$A:$E,5,FALSE)="","",VLOOKUP(A1348,[9]PRIORIZADOS!$A:$E,5,FALSE)),"")</f>
        <v>EPBM</v>
      </c>
      <c r="F1348" s="11" t="str">
        <f>IFERROR(IF(VLOOKUP(A1348,[9]PRIORIZADOS!$A:$F,6,FALSE)="","",VLOOKUP(A1348,[9]PRIORIZADOS!$A:$F,6,FALSE)),"")</f>
        <v>COLEGIO_DE_NUESTRA_SEÑORA_DE_LA_PRESENTACION_CENTRO</v>
      </c>
      <c r="G1348" s="11" t="str">
        <f>IFERROR(IF(VLOOKUP(A1348,[9]PRIORIZADOS!$A:$G,7,FALSE)="","",VLOOKUP(A1348,[9]PRIORIZADOS!$A:$G,7,FALSE)),"")</f>
        <v>COLEGIO DE NUESTRA SEÑORA DE LA PRESENTACION CENTRO</v>
      </c>
      <c r="H1348" s="11" t="str">
        <f>IFERROR(IF(VLOOKUP(A1348,[9]PRIORIZADOS!$A:$H,8,FALSE)="","",VLOOKUP(A1348,[9]PRIORIZADOS!$A:$H,8,FALSE)),"")</f>
        <v>Convivencia escolar</v>
      </c>
      <c r="I1348" s="11" t="str">
        <f>IFERROR(IF(VLOOKUP(A1348,[9]PRIORIZADOS!$A:$I,9,FALSE)="","",VLOOKUP(A1348,[9]PRIORIZADOS!$A:$I,9,FALSE)),"")</f>
        <v>SEGUIMIENTO_Y_SUPERVISIÓN.</v>
      </c>
      <c r="J1348" s="11" t="str">
        <f>IFERROR(IF(VLOOKUP(A1348,[9]PRIORIZADOS!$A:$J,10,FALSE)="","",VLOOKUP(A1348,[9]PRIORIZADOS!$A:$J,10,FALSE)),"")</f>
        <v>Realizar visitas para verificar la información registrada sobre la autoevaluación institucional en el aplicativo EVI, a los establecimientos de educación formal no oficial.</v>
      </c>
      <c r="K1348" s="11" t="str">
        <f>IFERROR(IF(VLOOKUP(A1348,[9]PRIORIZADOS!$A:$K,11,FALSE)="","",VLOOKUP(A1348,[9]PRIORIZADOS!$A:$K,11,FALSE)),"")</f>
        <v>CARLOS EDUARDO VARGAS LÓPEZ</v>
      </c>
      <c r="L1348" s="11" t="str">
        <f>IFERROR(IF(VLOOKUP(A1348,[9]PRIORIZADOS!$A:$L,12,FALSE)="","",VLOOKUP(A1348,[9]PRIORIZADOS!$A:$L,12,FALSE)),"")</f>
        <v>LUIS ALEJANDRO MARTÍNEZ PALACIOS</v>
      </c>
      <c r="M1348" s="71">
        <f>IFERROR(IF(VLOOKUP(A1348,[9]PRIORIZADOS!$A:$M,13,FALSE)="","",VLOOKUP(A1348,[9]PRIORIZADOS!$A:$M,13,FALSE)),"")</f>
        <v>45825</v>
      </c>
      <c r="N1348" s="71">
        <f>IFERROR(IF(VLOOKUP(A1348,[9]PRIORIZADOS!$A:$N,14,FALSE)="","",VLOOKUP(A1348,[9]PRIORIZADOS!$A:$N,14,FALSE)),"")</f>
        <v>45855</v>
      </c>
      <c r="O1348" s="71">
        <f>IFERROR(IF(VLOOKUP(A1348,[9]PRIORIZADOS!$A:$O,15,FALSE)="","",VLOOKUP(A1348,[9]PRIORIZADOS!$A:$O,15,FALSE)),"")</f>
        <v>45855</v>
      </c>
      <c r="P1348" s="16" t="str">
        <f>IFERROR(IF(VLOOKUP(A1348,[9]PRIORIZADOS!$A:$P,16,FALSE)="","",VLOOKUP(A1348,[9]PRIORIZADOS!$A:$P,16,FALSE)),"")</f>
        <v>Visitas de evaluación con fines de seguimiento</v>
      </c>
      <c r="Q1348" s="37" t="s">
        <v>326</v>
      </c>
      <c r="R1348" s="90" t="str">
        <f>IFERROR(IF(VLOOKUP(A1348,[9]PRIORIZADOS!$A:$R,18,FALSE)="","",VLOOKUP(A1348,[9]PRIORIZADOS!$A:$R,18,FALSE)),"")</f>
        <v>Se reviso reporte PDF de la autoevaluación institucional 2024. El Colegio cuenta con certificación de calidad por lo cual no diligencian el formulario 1A, que evalúa procesos y recursos, el tema de docentes, calendario y planta física se ajusta a lo reportado en el EVI.</v>
      </c>
      <c r="S1348" s="11" t="str">
        <f>IFERROR(IF(VLOOKUP(A1348,[9]PRIORIZADOS!$A:$S,19,FALSE)="","",VLOOKUP(A1348,[9]PRIORIZADOS!$A:$S,19,FALSE)),"")</f>
        <v>Diligenciar y presentar anexos para la autoevaluación 2025</v>
      </c>
      <c r="T1348" s="70" t="str">
        <f>IFERROR(IF(VLOOKUP(A1348,[9]PRIORIZADOS!$A:$T,20,FALSE)="","",VLOOKUP(A1348,[9]PRIORIZADOS!$A:$T,20,FALSE)),"")</f>
        <v>No</v>
      </c>
      <c r="U1348" s="11" t="str">
        <f>IFERROR(IF(VLOOKUP(A1348,[9]PRIORIZADOS!$A:$U,21,FALSE)="","",VLOOKUP(A1348,[9]PRIORIZADOS!$A:$U,21,FALSE)),"")</f>
        <v>Se realizará revisión de la autoevaluación 2025 en el mes de octubre-noviembre, para la autorización de tarifas 2026</v>
      </c>
    </row>
    <row r="1349" spans="1:21" s="1" customFormat="1" ht="48">
      <c r="A1349" s="69">
        <f>IF([9]PRIORIZADOS!A46="","",[9]PRIORIZADOS!A46)</f>
        <v>1290</v>
      </c>
      <c r="B1349" s="70">
        <f>IFERROR(IF(VLOOKUP(A1349,[9]PRIORIZADOS!$A:$B,2,FALSE)="","",VLOOKUP(A1349,[9]PRIORIZADOS!$A:$B,2,FALSE)),"")</f>
        <v>7</v>
      </c>
      <c r="C1349" s="11" t="str">
        <f>IFERROR(IF(VLOOKUP(A1349,[9]PRIORIZADOS!$A:$C,3,FALSE)="","",VLOOKUP(A1349,[9]PRIORIZADOS!$A:$C,3,FALSE)),"")</f>
        <v>LOS MÁRTIRES</v>
      </c>
      <c r="D1349" s="11" t="str">
        <f>IFERROR(IF(VLOOKUP(A1349,[9]PRIORIZADOS!$A:$D,4,FALSE)="","",VLOOKUP(A1349,[9]PRIORIZADOS!$A:$D,4,FALSE)),"")</f>
        <v>PRIVADO</v>
      </c>
      <c r="E1349" s="11" t="str">
        <f>IFERROR(IF(VLOOKUP(A1349,[9]PRIORIZADOS!$A:$E,5,FALSE)="","",VLOOKUP(A1349,[9]PRIORIZADOS!$A:$E,5,FALSE)),"")</f>
        <v>EPBM</v>
      </c>
      <c r="F1349" s="11" t="str">
        <f>IFERROR(IF(VLOOKUP(A1349,[9]PRIORIZADOS!$A:$F,6,FALSE)="","",VLOOKUP(A1349,[9]PRIORIZADOS!$A:$F,6,FALSE)),"")</f>
        <v>COLEGIO_DE_NUESTRA_SEÑORA_DE_LA_PRESENTACION_CENTRO</v>
      </c>
      <c r="G1349" s="11" t="str">
        <f>IFERROR(IF(VLOOKUP(A1349,[9]PRIORIZADOS!$A:$G,7,FALSE)="","",VLOOKUP(A1349,[9]PRIORIZADOS!$A:$G,7,FALSE)),"")</f>
        <v>COLEGIO DE NUESTRA SEÑORA DE LA PRESENTACION CENTRO</v>
      </c>
      <c r="H1349" s="11" t="str">
        <f>IFERROR(IF(VLOOKUP(A1349,[9]PRIORIZADOS!$A:$H,8,FALSE)="","",VLOOKUP(A1349,[9]PRIORIZADOS!$A:$H,8,FALSE)),"")</f>
        <v>Convivencia escolar</v>
      </c>
      <c r="I1349" s="11" t="str">
        <f>IFERROR(IF(VLOOKUP(A1349,[9]PRIORIZADOS!$A:$I,9,FALSE)="","",VLOOKUP(A1349,[9]PRIORIZADOS!$A:$I,9,FALSE)),"")</f>
        <v>SEGUIMIENTO_Y_SUPERVISIÓN.</v>
      </c>
      <c r="J1349" s="11" t="str">
        <f>IFERROR(IF(VLOOKUP(A1349,[9]PRIORIZADOS!$A:$J,10,FALSE)="","",VLOOKUP(A1349,[9]PRIORIZADOS!$A:$J,10,FALSE)),"")</f>
        <v xml:space="preserve">Verificar la implementación por parte de los colegios, de acciones realizadas para la prevención y atención de las situaciones de convivencia en el entorno escolar, según lo establecido en la Directiva 01 de 2022 del MEN. </v>
      </c>
      <c r="K1349" s="11" t="str">
        <f>IFERROR(IF(VLOOKUP(A1349,[9]PRIORIZADOS!$A:$K,11,FALSE)="","",VLOOKUP(A1349,[9]PRIORIZADOS!$A:$K,11,FALSE)),"")</f>
        <v>CARLOS EDUARDO VARGAS LÓPEZ</v>
      </c>
      <c r="L1349" s="11" t="str">
        <f>IFERROR(IF(VLOOKUP(A1349,[9]PRIORIZADOS!$A:$L,12,FALSE)="","",VLOOKUP(A1349,[9]PRIORIZADOS!$A:$L,12,FALSE)),"")</f>
        <v>LUIS ALEJANDRO MARTÍNEZ PALACIOS</v>
      </c>
      <c r="M1349" s="71">
        <f>IFERROR(IF(VLOOKUP(A1349,[9]PRIORIZADOS!$A:$M,13,FALSE)="","",VLOOKUP(A1349,[9]PRIORIZADOS!$A:$M,13,FALSE)),"")</f>
        <v>45825</v>
      </c>
      <c r="N1349" s="71">
        <f>IFERROR(IF(VLOOKUP(A1349,[9]PRIORIZADOS!$A:$N,14,FALSE)="","",VLOOKUP(A1349,[9]PRIORIZADOS!$A:$N,14,FALSE)),"")</f>
        <v>45855</v>
      </c>
      <c r="O1349" s="71">
        <f>IFERROR(IF(VLOOKUP(A1349,[9]PRIORIZADOS!$A:$O,15,FALSE)="","",VLOOKUP(A1349,[9]PRIORIZADOS!$A:$O,15,FALSE)),"")</f>
        <v>45855</v>
      </c>
      <c r="P1349" s="16" t="str">
        <f>IFERROR(IF(VLOOKUP(A1349,[9]PRIORIZADOS!$A:$P,16,FALSE)="","",VLOOKUP(A1349,[9]PRIORIZADOS!$A:$P,16,FALSE)),"")</f>
        <v>Visitas de evaluación con fines de seguimiento</v>
      </c>
      <c r="Q1349" s="37" t="s">
        <v>326</v>
      </c>
      <c r="R1349" s="90" t="str">
        <f>IFERROR(IF(VLOOKUP(A1349,[9]PRIORIZADOS!$A:$R,18,FALSE)="","",VLOOKUP(A1349,[9]PRIORIZADOS!$A:$R,18,FALSE)),"")</f>
        <v>Se revisaron las hojas de vida de los docentes en las cuales se aporta la verificación de inhabilidades por delitos sexuales.</v>
      </c>
      <c r="S1349" s="11" t="str">
        <f>IFERROR(IF(VLOOKUP(A1349,[9]PRIORIZADOS!$A:$S,19,FALSE)="","",VLOOKUP(A1349,[9]PRIORIZADOS!$A:$S,19,FALSE)),"")</f>
        <v>Continuar realizando la consulta de inhabilidades conforme con la periodicidad establecida en la Directiva.</v>
      </c>
      <c r="T1349" s="70" t="str">
        <f>IFERROR(IF(VLOOKUP(A1349,[9]PRIORIZADOS!$A:$T,20,FALSE)="","",VLOOKUP(A1349,[9]PRIORIZADOS!$A:$T,20,FALSE)),"")</f>
        <v>No</v>
      </c>
      <c r="U1349" s="11" t="str">
        <f>IFERROR(IF(VLOOKUP(A1349,[9]PRIORIZADOS!$A:$U,21,FALSE)="","",VLOOKUP(A1349,[9]PRIORIZADOS!$A:$U,21,FALSE)),"")</f>
        <v>A demanda de acuerdo con las peticiones de la ciudadanía o de los entes de control</v>
      </c>
    </row>
    <row r="1350" spans="1:21" s="1" customFormat="1" ht="72">
      <c r="A1350" s="69">
        <f>IF([9]PRIORIZADOS!A47="","",[9]PRIORIZADOS!A47)</f>
        <v>1291</v>
      </c>
      <c r="B1350" s="70">
        <f>IFERROR(IF(VLOOKUP(A1350,[9]PRIORIZADOS!$A:$B,2,FALSE)="","",VLOOKUP(A1350,[9]PRIORIZADOS!$A:$B,2,FALSE)),"")</f>
        <v>7</v>
      </c>
      <c r="C1350" s="11" t="str">
        <f>IFERROR(IF(VLOOKUP(A1350,[9]PRIORIZADOS!$A:$C,3,FALSE)="","",VLOOKUP(A1350,[9]PRIORIZADOS!$A:$C,3,FALSE)),"")</f>
        <v>LOS MÁRTIRES</v>
      </c>
      <c r="D1350" s="11" t="str">
        <f>IFERROR(IF(VLOOKUP(A1350,[9]PRIORIZADOS!$A:$D,4,FALSE)="","",VLOOKUP(A1350,[9]PRIORIZADOS!$A:$D,4,FALSE)),"")</f>
        <v>PRIVADO</v>
      </c>
      <c r="E1350" s="11" t="str">
        <f>IFERROR(IF(VLOOKUP(A1350,[9]PRIORIZADOS!$A:$E,5,FALSE)="","",VLOOKUP(A1350,[9]PRIORIZADOS!$A:$E,5,FALSE)),"")</f>
        <v>EPBM</v>
      </c>
      <c r="F1350" s="11" t="str">
        <f>IFERROR(IF(VLOOKUP(A1350,[9]PRIORIZADOS!$A:$F,6,FALSE)="","",VLOOKUP(A1350,[9]PRIORIZADOS!$A:$F,6,FALSE)),"")</f>
        <v>COLEGIO_DE_NUESTRA_SEÑORA_DE_LA_PRESENTACION_CENTRO</v>
      </c>
      <c r="G1350" s="11" t="str">
        <f>IFERROR(IF(VLOOKUP(A1350,[9]PRIORIZADOS!$A:$G,7,FALSE)="","",VLOOKUP(A1350,[9]PRIORIZADOS!$A:$G,7,FALSE)),"")</f>
        <v>COLEGIO DE NUESTRA SEÑORA DE LA PRESENTACION CENTRO</v>
      </c>
      <c r="H1350" s="11" t="str">
        <f>IFERROR(IF(VLOOKUP(A1350,[9]PRIORIZADOS!$A:$H,8,FALSE)="","",VLOOKUP(A1350,[9]PRIORIZADOS!$A:$H,8,FALSE)),"")</f>
        <v>Convivencia escolar</v>
      </c>
      <c r="I1350" s="11" t="str">
        <f>IFERROR(IF(VLOOKUP(A1350,[9]PRIORIZADOS!$A:$I,9,FALSE)="","",VLOOKUP(A1350,[9]PRIORIZADOS!$A:$I,9,FALSE)),"")</f>
        <v>SEGUIMIENTO_Y_SUPERVISIÓN.</v>
      </c>
      <c r="J1350" s="11" t="str">
        <f>IFERROR(IF(VLOOKUP(A1350,[9]PRIORIZADOS!$A:$J,10,FALSE)="","",VLOOKUP(A1350,[9]PRIORIZADOS!$A:$J,10,FALSE)),"")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50" s="11" t="str">
        <f>IFERROR(IF(VLOOKUP(A1350,[9]PRIORIZADOS!$A:$K,11,FALSE)="","",VLOOKUP(A1350,[9]PRIORIZADOS!$A:$K,11,FALSE)),"")</f>
        <v>CARLOS EDUARDO VARGAS LÓPEZ</v>
      </c>
      <c r="L1350" s="11" t="str">
        <f>IFERROR(IF(VLOOKUP(A1350,[9]PRIORIZADOS!$A:$L,12,FALSE)="","",VLOOKUP(A1350,[9]PRIORIZADOS!$A:$L,12,FALSE)),"")</f>
        <v>LUIS ALEJANDRO MARTÍNEZ PALACIOS</v>
      </c>
      <c r="M1350" s="71">
        <f>IFERROR(IF(VLOOKUP(A1350,[9]PRIORIZADOS!$A:$M,13,FALSE)="","",VLOOKUP(A1350,[9]PRIORIZADOS!$A:$M,13,FALSE)),"")</f>
        <v>45825</v>
      </c>
      <c r="N1350" s="71">
        <f>IFERROR(IF(VLOOKUP(A1350,[9]PRIORIZADOS!$A:$N,14,FALSE)="","",VLOOKUP(A1350,[9]PRIORIZADOS!$A:$N,14,FALSE)),"")</f>
        <v>45855</v>
      </c>
      <c r="O1350" s="71">
        <f>IFERROR(IF(VLOOKUP(A1350,[9]PRIORIZADOS!$A:$O,15,FALSE)="","",VLOOKUP(A1350,[9]PRIORIZADOS!$A:$O,15,FALSE)),"")</f>
        <v>45855</v>
      </c>
      <c r="P1350" s="16" t="str">
        <f>IFERROR(IF(VLOOKUP(A1350,[9]PRIORIZADOS!$A:$P,16,FALSE)="","",VLOOKUP(A1350,[9]PRIORIZADOS!$A:$P,16,FALSE)),"")</f>
        <v>Visitas de evaluación con fines de seguimiento</v>
      </c>
      <c r="Q1350" s="37" t="s">
        <v>326</v>
      </c>
      <c r="R1350" s="90" t="str">
        <f>IFERROR(IF(VLOOKUP(A1350,[9]PRIORIZADOS!$A:$R,18,FALSE)="","",VLOOKUP(A1350,[9]PRIORIZADOS!$A:$R,18,FALSE)),"")</f>
        <v>La institución educativa informa no tener ningún estudiante con diagnóstico médico que aplique en la caracterización de SIMAT. Según el reporte consultado se encuentra un estudiante reportado en SIMAT.</v>
      </c>
      <c r="S1350" s="11" t="str">
        <f>IFERROR(IF(VLOOKUP(A1350,[9]PRIORIZADOS!$A:$S,19,FALSE)="","",VLOOKUP(A1350,[9]PRIORIZADOS!$A:$S,19,FALSE)),"")</f>
        <v>Revisar y si es necesario actualizar el SIMAT, respecto de la población con diagnóstico.</v>
      </c>
      <c r="T1350" s="70" t="str">
        <f>IFERROR(IF(VLOOKUP(A1350,[9]PRIORIZADOS!$A:$T,20,FALSE)="","",VLOOKUP(A1350,[9]PRIORIZADOS!$A:$T,20,FALSE)),"")</f>
        <v>No</v>
      </c>
      <c r="U1350" s="11" t="str">
        <f>IFERROR(IF(VLOOKUP(A1350,[9]PRIORIZADOS!$A:$U,21,FALSE)="","",VLOOKUP(A1350,[9]PRIORIZADOS!$A:$U,21,FALSE)),"")</f>
        <v>Se  hará revisión del SIMAT para consultar estudiantes caracterizados por educación inclusiva.</v>
      </c>
    </row>
    <row r="1351" spans="1:21" s="1" customFormat="1" ht="84">
      <c r="A1351" s="69">
        <f>IF([9]PRIORIZADOS!A48="","",[9]PRIORIZADOS!A48)</f>
        <v>1292</v>
      </c>
      <c r="B1351" s="70">
        <f>IFERROR(IF(VLOOKUP(A1351,[9]PRIORIZADOS!$A:$B,2,FALSE)="","",VLOOKUP(A1351,[9]PRIORIZADOS!$A:$B,2,FALSE)),"")</f>
        <v>7</v>
      </c>
      <c r="C1351" s="11" t="str">
        <f>IFERROR(IF(VLOOKUP(A1351,[9]PRIORIZADOS!$A:$C,3,FALSE)="","",VLOOKUP(A1351,[9]PRIORIZADOS!$A:$C,3,FALSE)),"")</f>
        <v>LOS MÁRTIRES</v>
      </c>
      <c r="D1351" s="11" t="str">
        <f>IFERROR(IF(VLOOKUP(A1351,[9]PRIORIZADOS!$A:$D,4,FALSE)="","",VLOOKUP(A1351,[9]PRIORIZADOS!$A:$D,4,FALSE)),"")</f>
        <v>PRIVADO</v>
      </c>
      <c r="E1351" s="11" t="str">
        <f>IFERROR(IF(VLOOKUP(A1351,[9]PRIORIZADOS!$A:$E,5,FALSE)="","",VLOOKUP(A1351,[9]PRIORIZADOS!$A:$E,5,FALSE)),"")</f>
        <v>EPBM</v>
      </c>
      <c r="F1351" s="11" t="str">
        <f>IFERROR(IF(VLOOKUP(A1351,[9]PRIORIZADOS!$A:$F,6,FALSE)="","",VLOOKUP(A1351,[9]PRIORIZADOS!$A:$F,6,FALSE)),"")</f>
        <v>COLEGIO_DE_NUESTRA_SEÑORA_DE_LA_PRESENTACION_CENTRO</v>
      </c>
      <c r="G1351" s="11" t="str">
        <f>IFERROR(IF(VLOOKUP(A1351,[9]PRIORIZADOS!$A:$G,7,FALSE)="","",VLOOKUP(A1351,[9]PRIORIZADOS!$A:$G,7,FALSE)),"")</f>
        <v>COLEGIO DE NUESTRA SEÑORA DE LA PRESENTACION CENTRO</v>
      </c>
      <c r="H1351" s="11" t="str">
        <f>IFERROR(IF(VLOOKUP(A1351,[9]PRIORIZADOS!$A:$H,8,FALSE)="","",VLOOKUP(A1351,[9]PRIORIZADOS!$A:$H,8,FALSE)),"")</f>
        <v>Convivencia escolar</v>
      </c>
      <c r="I1351" s="11" t="str">
        <f>IFERROR(IF(VLOOKUP(A1351,[9]PRIORIZADOS!$A:$I,9,FALSE)="","",VLOOKUP(A1351,[9]PRIORIZADOS!$A:$I,9,FALSE)),"")</f>
        <v>EVALUACIÓN_CON_FINES_DE_MEJORAMIENTO.</v>
      </c>
      <c r="J1351" s="11" t="str">
        <f>IFERROR(IF(VLOOKUP(A1351,[9]PRIORIZADOS!$A:$J,10,FALSE)="","",VLOOKUP(A1351,[9]PRIORIZADOS!$A:$J,10,FALSE)),"")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51" s="11" t="str">
        <f>IFERROR(IF(VLOOKUP(A1351,[9]PRIORIZADOS!$A:$K,11,FALSE)="","",VLOOKUP(A1351,[9]PRIORIZADOS!$A:$K,11,FALSE)),"")</f>
        <v>CARLOS EDUARDO VARGAS LÓPEZ</v>
      </c>
      <c r="L1351" s="11" t="str">
        <f>IFERROR(IF(VLOOKUP(A1351,[9]PRIORIZADOS!$A:$L,12,FALSE)="","",VLOOKUP(A1351,[9]PRIORIZADOS!$A:$L,12,FALSE)),"")</f>
        <v>LUIS ALEJANDRO MARTÍNEZ PALACIOS</v>
      </c>
      <c r="M1351" s="71">
        <f>IFERROR(IF(VLOOKUP(A1351,[9]PRIORIZADOS!$A:$M,13,FALSE)="","",VLOOKUP(A1351,[9]PRIORIZADOS!$A:$M,13,FALSE)),"")</f>
        <v>45825</v>
      </c>
      <c r="N1351" s="71">
        <f>IFERROR(IF(VLOOKUP(A1351,[9]PRIORIZADOS!$A:$N,14,FALSE)="","",VLOOKUP(A1351,[9]PRIORIZADOS!$A:$N,14,FALSE)),"")</f>
        <v>45855</v>
      </c>
      <c r="O1351" s="71">
        <f>IFERROR(IF(VLOOKUP(A1351,[9]PRIORIZADOS!$A:$O,15,FALSE)="","",VLOOKUP(A1351,[9]PRIORIZADOS!$A:$O,15,FALSE)),"")</f>
        <v>45855</v>
      </c>
      <c r="P1351" s="16" t="str">
        <f>IFERROR(IF(VLOOKUP(A1351,[9]PRIORIZADOS!$A:$P,16,FALSE)="","",VLOOKUP(A1351,[9]PRIORIZADOS!$A:$P,16,FALSE)),"")</f>
        <v>Visitas de evaluación con fines de seguimiento</v>
      </c>
      <c r="Q1351" s="37" t="s">
        <v>326</v>
      </c>
      <c r="R1351" s="90" t="str">
        <f>IFERROR(IF(VLOOKUP(A1351,[9]PRIORIZADOS!$A:$R,18,FALSE)="","",VLOOKUP(A1351,[9]PRIORIZADOS!$A:$R,18,FALSE)),"")</f>
        <v>Durante la visita administrativa se revisaron algunos puntos generales del Manual de Convivencia:  horizonte institucional, orientación escolar, protocolos de atención integral.</v>
      </c>
      <c r="S1351" s="11" t="str">
        <f>IFERROR(IF(VLOOKUP(A1351,[9]PRIORIZADOS!$A:$S,19,FALSE)="","",VLOOKUP(A1351,[9]PRIORIZADOS!$A:$S,19,FALSE)),"")</f>
        <v>Actualizar el Manual de Convivencia con la participación de la comunidad educativa.</v>
      </c>
      <c r="T1351" s="70" t="str">
        <f>IFERROR(IF(VLOOKUP(A1351,[9]PRIORIZADOS!$A:$T,20,FALSE)="","",VLOOKUP(A1351,[9]PRIORIZADOS!$A:$T,20,FALSE)),"")</f>
        <v>NO</v>
      </c>
      <c r="U1351" s="11" t="str">
        <f>IFERROR(IF(VLOOKUP(A1351,[9]PRIORIZADOS!$A:$U,21,FALSE)="","",VLOOKUP(A1351,[9]PRIORIZADOS!$A:$U,21,FALSE)),"")</f>
        <v>Se hará la revisión y evaluación del manual de convivencia, según programación POAIV 2026.</v>
      </c>
    </row>
    <row r="1352" spans="1:21" s="1" customFormat="1" ht="48">
      <c r="A1352" s="69">
        <f>IF([9]PRIORIZADOS!A49="","",[9]PRIORIZADOS!A49)</f>
        <v>1293</v>
      </c>
      <c r="B1352" s="70">
        <f>IFERROR(IF(VLOOKUP(A1352,[9]PRIORIZADOS!$A:$B,2,FALSE)="","",VLOOKUP(A1352,[9]PRIORIZADOS!$A:$B,2,FALSE)),"")</f>
        <v>7</v>
      </c>
      <c r="C1352" s="11" t="str">
        <f>IFERROR(IF(VLOOKUP(A1352,[9]PRIORIZADOS!$A:$C,3,FALSE)="","",VLOOKUP(A1352,[9]PRIORIZADOS!$A:$C,3,FALSE)),"")</f>
        <v>LOS MÁRTIRES</v>
      </c>
      <c r="D1352" s="11" t="str">
        <f>IFERROR(IF(VLOOKUP(A1352,[9]PRIORIZADOS!$A:$D,4,FALSE)="","",VLOOKUP(A1352,[9]PRIORIZADOS!$A:$D,4,FALSE)),"")</f>
        <v>PRIVADO</v>
      </c>
      <c r="E1352" s="11" t="str">
        <f>IFERROR(IF(VLOOKUP(A1352,[9]PRIORIZADOS!$A:$E,5,FALSE)="","",VLOOKUP(A1352,[9]PRIORIZADOS!$A:$E,5,FALSE)),"")</f>
        <v>EPBM</v>
      </c>
      <c r="F1352" s="11" t="str">
        <f>IFERROR(IF(VLOOKUP(A1352,[9]PRIORIZADOS!$A:$F,6,FALSE)="","",VLOOKUP(A1352,[9]PRIORIZADOS!$A:$F,6,FALSE)),"")</f>
        <v>COLEGIO_DE_NUESTRA_SEÑORA_DE_LA_PRESENTACION_CENTRO</v>
      </c>
      <c r="G1352" s="11" t="str">
        <f>IFERROR(IF(VLOOKUP(A1352,[9]PRIORIZADOS!$A:$G,7,FALSE)="","",VLOOKUP(A1352,[9]PRIORIZADOS!$A:$G,7,FALSE)),"")</f>
        <v>COLEGIO DE NUESTRA SEÑORA DE LA PRESENTACION CENTRO</v>
      </c>
      <c r="H1352" s="11" t="str">
        <f>IFERROR(IF(VLOOKUP(A1352,[9]PRIORIZADOS!$A:$H,8,FALSE)="","",VLOOKUP(A1352,[9]PRIORIZADOS!$A:$H,8,FALSE)),"")</f>
        <v>Convivencia escolar</v>
      </c>
      <c r="I1352" s="11" t="str">
        <f>IFERROR(IF(VLOOKUP(A1352,[9]PRIORIZADOS!$A:$I,9,FALSE)="","",VLOOKUP(A1352,[9]PRIORIZADOS!$A:$I,9,FALSE)),"")</f>
        <v>EVALUACIÓN_CON_FINES_DE_MEJORAMIENTO.</v>
      </c>
      <c r="J1352" s="11" t="str">
        <f>IFERROR(IF(VLOOKUP(A1352,[9]PRIORIZADOS!$A:$J,10,FALSE)="","",VLOOKUP(A1352,[9]PRIORIZADOS!$A:$J,10,FALSE)),"")</f>
        <v>Revisar la actualización, socialización e implementación del Sistema Institucional de Evaluación de Estudiantes - SIEE, en articulación con la actualización del PEI y la normatividad vigente.</v>
      </c>
      <c r="K1352" s="11" t="str">
        <f>IFERROR(IF(VLOOKUP(A1352,[9]PRIORIZADOS!$A:$K,11,FALSE)="","",VLOOKUP(A1352,[9]PRIORIZADOS!$A:$K,11,FALSE)),"")</f>
        <v>CARLOS EDUARDO VARGAS LÓPEZ</v>
      </c>
      <c r="L1352" s="11" t="str">
        <f>IFERROR(IF(VLOOKUP(A1352,[9]PRIORIZADOS!$A:$L,12,FALSE)="","",VLOOKUP(A1352,[9]PRIORIZADOS!$A:$L,12,FALSE)),"")</f>
        <v>LUIS ALEJANDRO MARTÍNEZ PALACIOS</v>
      </c>
      <c r="M1352" s="71">
        <f>IFERROR(IF(VLOOKUP(A1352,[9]PRIORIZADOS!$A:$M,13,FALSE)="","",VLOOKUP(A1352,[9]PRIORIZADOS!$A:$M,13,FALSE)),"")</f>
        <v>45825</v>
      </c>
      <c r="N1352" s="71">
        <f>IFERROR(IF(VLOOKUP(A1352,[9]PRIORIZADOS!$A:$N,14,FALSE)="","",VLOOKUP(A1352,[9]PRIORIZADOS!$A:$N,14,FALSE)),"")</f>
        <v>45855</v>
      </c>
      <c r="O1352" s="71">
        <f>IFERROR(IF(VLOOKUP(A1352,[9]PRIORIZADOS!$A:$O,15,FALSE)="","",VLOOKUP(A1352,[9]PRIORIZADOS!$A:$O,15,FALSE)),"")</f>
        <v>45855</v>
      </c>
      <c r="P1352" s="16" t="str">
        <f>IFERROR(IF(VLOOKUP(A1352,[9]PRIORIZADOS!$A:$P,16,FALSE)="","",VLOOKUP(A1352,[9]PRIORIZADOS!$A:$P,16,FALSE)),"")</f>
        <v>Visitas de evaluación con fines de seguimiento</v>
      </c>
      <c r="Q1352" s="37" t="s">
        <v>326</v>
      </c>
      <c r="R1352" s="90" t="str">
        <f>IFERROR(IF(VLOOKUP(A1352,[9]PRIORIZADOS!$A:$R,18,FALSE)="","",VLOOKUP(A1352,[9]PRIORIZADOS!$A:$R,18,FALSE)),"")</f>
        <v xml:space="preserve">Durante la visita administrativa se revisaron algunos puntos generales del Sistema Institucional de Evaluación </v>
      </c>
      <c r="S1352" s="11" t="str">
        <f>IFERROR(IF(VLOOKUP(A1352,[9]PRIORIZADOS!$A:$S,19,FALSE)="","",VLOOKUP(A1352,[9]PRIORIZADOS!$A:$S,19,FALSE)),"")</f>
        <v xml:space="preserve">Actualizar el Sistema Institucional de Evaluación de Estudiantes con la participación de la comunidad educativa. 
</v>
      </c>
      <c r="T1352" s="70" t="str">
        <f>IFERROR(IF(VLOOKUP(A1352,[9]PRIORIZADOS!$A:$T,20,FALSE)="","",VLOOKUP(A1352,[9]PRIORIZADOS!$A:$T,20,FALSE)),"")</f>
        <v>NO</v>
      </c>
      <c r="U1352" s="11" t="str">
        <f>IFERROR(IF(VLOOKUP(A1352,[9]PRIORIZADOS!$A:$U,21,FALSE)="","",VLOOKUP(A1352,[9]PRIORIZADOS!$A:$U,21,FALSE)),"")</f>
        <v>Se hará la revisión del sistema institucional de evaluación, según programación POAIV 2026</v>
      </c>
    </row>
    <row r="1353" spans="1:21" s="1" customFormat="1" ht="60">
      <c r="A1353" s="69">
        <f>IF([9]PRIORIZADOS!A50="","",[9]PRIORIZADOS!A50)</f>
        <v>1294</v>
      </c>
      <c r="B1353" s="70">
        <f>IFERROR(IF(VLOOKUP(A1353,[9]PRIORIZADOS!$A:$B,2,FALSE)="","",VLOOKUP(A1353,[9]PRIORIZADOS!$A:$B,2,FALSE)),"")</f>
        <v>7</v>
      </c>
      <c r="C1353" s="11" t="str">
        <f>IFERROR(IF(VLOOKUP(A1353,[9]PRIORIZADOS!$A:$C,3,FALSE)="","",VLOOKUP(A1353,[9]PRIORIZADOS!$A:$C,3,FALSE)),"")</f>
        <v>LOS MÁRTIRES</v>
      </c>
      <c r="D1353" s="11" t="str">
        <f>IFERROR(IF(VLOOKUP(A1353,[9]PRIORIZADOS!$A:$D,4,FALSE)="","",VLOOKUP(A1353,[9]PRIORIZADOS!$A:$D,4,FALSE)),"")</f>
        <v>PRIVADO</v>
      </c>
      <c r="E1353" s="11" t="str">
        <f>IFERROR(IF(VLOOKUP(A1353,[9]PRIORIZADOS!$A:$E,5,FALSE)="","",VLOOKUP(A1353,[9]PRIORIZADOS!$A:$E,5,FALSE)),"")</f>
        <v>EPBM</v>
      </c>
      <c r="F1353" s="11" t="str">
        <f>IFERROR(IF(VLOOKUP(A1353,[9]PRIORIZADOS!$A:$F,6,FALSE)="","",VLOOKUP(A1353,[9]PRIORIZADOS!$A:$F,6,FALSE)),"")</f>
        <v>COLEGIO_DE_NUESTRA_SEÑORA_DE_LA_PRESENTACION_CENTRO</v>
      </c>
      <c r="G1353" s="11" t="str">
        <f>IFERROR(IF(VLOOKUP(A1353,[9]PRIORIZADOS!$A:$G,7,FALSE)="","",VLOOKUP(A1353,[9]PRIORIZADOS!$A:$G,7,FALSE)),"")</f>
        <v>COLEGIO DE NUESTRA SEÑORA DE LA PRESENTACION CENTRO</v>
      </c>
      <c r="H1353" s="11" t="str">
        <f>IFERROR(IF(VLOOKUP(A1353,[9]PRIORIZADOS!$A:$H,8,FALSE)="","",VLOOKUP(A1353,[9]PRIORIZADOS!$A:$H,8,FALSE)),"")</f>
        <v>Convivencia escolar</v>
      </c>
      <c r="I1353" s="11" t="str">
        <f>IFERROR(IF(VLOOKUP(A1353,[9]PRIORIZADOS!$A:$I,9,FALSE)="","",VLOOKUP(A1353,[9]PRIORIZADOS!$A:$I,9,FALSE)),"")</f>
        <v>EVALUACIÓN_CON_FINES_DE_MEJORAMIENTO.</v>
      </c>
      <c r="J1353" s="11" t="str">
        <f>IFERROR(IF(VLOOKUP(A1353,[9]PRIORIZADOS!$A:$J,10,FALSE)="","",VLOOKUP(A1353,[9]PRIORIZADOS!$A:$J,10,FALSE)),"")</f>
        <v>Revisar el calendario escolar, jornada escolar, la intensidad horaria mínima anual en cada nivel y las modificaciones que se realicen al mismo, de acuerdo con lo previsto en la normatividad vigente.</v>
      </c>
      <c r="K1353" s="11" t="str">
        <f>IFERROR(IF(VLOOKUP(A1353,[9]PRIORIZADOS!$A:$K,11,FALSE)="","",VLOOKUP(A1353,[9]PRIORIZADOS!$A:$K,11,FALSE)),"")</f>
        <v>CARLOS EDUARDO VARGAS LÓPEZ</v>
      </c>
      <c r="L1353" s="11" t="str">
        <f>IFERROR(IF(VLOOKUP(A1353,[9]PRIORIZADOS!$A:$L,12,FALSE)="","",VLOOKUP(A1353,[9]PRIORIZADOS!$A:$L,12,FALSE)),"")</f>
        <v>LUIS ALEJANDRO MARTÍNEZ PALACIOS</v>
      </c>
      <c r="M1353" s="71">
        <f>IFERROR(IF(VLOOKUP(A1353,[9]PRIORIZADOS!$A:$M,13,FALSE)="","",VLOOKUP(A1353,[9]PRIORIZADOS!$A:$M,13,FALSE)),"")</f>
        <v>45825</v>
      </c>
      <c r="N1353" s="71">
        <f>IFERROR(IF(VLOOKUP(A1353,[9]PRIORIZADOS!$A:$N,14,FALSE)="","",VLOOKUP(A1353,[9]PRIORIZADOS!$A:$N,14,FALSE)),"")</f>
        <v>45855</v>
      </c>
      <c r="O1353" s="71">
        <f>IFERROR(IF(VLOOKUP(A1353,[9]PRIORIZADOS!$A:$O,15,FALSE)="","",VLOOKUP(A1353,[9]PRIORIZADOS!$A:$O,15,FALSE)),"")</f>
        <v>45855</v>
      </c>
      <c r="P1353" s="16" t="str">
        <f>IFERROR(IF(VLOOKUP(A1353,[9]PRIORIZADOS!$A:$P,16,FALSE)="","",VLOOKUP(A1353,[9]PRIORIZADOS!$A:$P,16,FALSE)),"")</f>
        <v>Visitas de evaluación con fines de seguimiento</v>
      </c>
      <c r="Q1353" s="37" t="s">
        <v>326</v>
      </c>
      <c r="R1353" s="90" t="str">
        <f>IFERROR(IF(VLOOKUP(A1353,[9]PRIORIZADOS!$A:$R,18,FALSE)="","",VLOOKUP(A1353,[9]PRIORIZADOS!$A:$R,18,FALSE)),"")</f>
        <v>Se revisa el calculo de horas anuales y la institución educativa presenta un número mayor de horas a los mínimos establecidos por normatividad según reporte de autoevaluación institucional 2024</v>
      </c>
      <c r="S1353" s="11" t="str">
        <f>IFERROR(IF(VLOOKUP(A1353,[9]PRIORIZADOS!$A:$S,19,FALSE)="","",VLOOKUP(A1353,[9]PRIORIZADOS!$A:$S,19,FALSE)),"")</f>
        <v>Dar cumplimiento a la normatividad vigente, respecto de horas mínimas para los niveles de la educación formal.</v>
      </c>
      <c r="T1353" s="70" t="str">
        <f>IFERROR(IF(VLOOKUP(A1353,[9]PRIORIZADOS!$A:$T,20,FALSE)="","",VLOOKUP(A1353,[9]PRIORIZADOS!$A:$T,20,FALSE)),"")</f>
        <v>No</v>
      </c>
      <c r="U1353" s="11" t="str">
        <f>IFERROR(IF(VLOOKUP(A1353,[9]PRIORIZADOS!$A:$U,21,FALSE)="","",VLOOKUP(A1353,[9]PRIORIZADOS!$A:$U,21,FALSE)),"")</f>
        <v>Se verificará calendario académico 2026, para observar cumplimiento de la normatividad vigente</v>
      </c>
    </row>
    <row r="1354" spans="1:21" s="1" customFormat="1" ht="48">
      <c r="A1354" s="69">
        <f>IF([9]PRIORIZADOS!A51="","",[9]PRIORIZADOS!A51)</f>
        <v>1295</v>
      </c>
      <c r="B1354" s="70">
        <f>IFERROR(IF(VLOOKUP(A1354,[9]PRIORIZADOS!$A:$B,2,FALSE)="","",VLOOKUP(A1354,[9]PRIORIZADOS!$A:$B,2,FALSE)),"")</f>
        <v>7</v>
      </c>
      <c r="C1354" s="11" t="str">
        <f>IFERROR(IF(VLOOKUP(A1354,[9]PRIORIZADOS!$A:$C,3,FALSE)="","",VLOOKUP(A1354,[9]PRIORIZADOS!$A:$C,3,FALSE)),"")</f>
        <v>LOS MÁRTIRES</v>
      </c>
      <c r="D1354" s="11" t="str">
        <f>IFERROR(IF(VLOOKUP(A1354,[9]PRIORIZADOS!$A:$D,4,FALSE)="","",VLOOKUP(A1354,[9]PRIORIZADOS!$A:$D,4,FALSE)),"")</f>
        <v>PRIVADO</v>
      </c>
      <c r="E1354" s="11" t="str">
        <f>IFERROR(IF(VLOOKUP(A1354,[9]PRIORIZADOS!$A:$E,5,FALSE)="","",VLOOKUP(A1354,[9]PRIORIZADOS!$A:$E,5,FALSE)),"")</f>
        <v>EPBM</v>
      </c>
      <c r="F1354" s="11" t="str">
        <f>IFERROR(IF(VLOOKUP(A1354,[9]PRIORIZADOS!$A:$F,6,FALSE)="","",VLOOKUP(A1354,[9]PRIORIZADOS!$A:$F,6,FALSE)),"")</f>
        <v>COLEGIO_DE_NUESTRA_SEÑORA_DE_LA_PRESENTACION_CENTRO</v>
      </c>
      <c r="G1354" s="11" t="str">
        <f>IFERROR(IF(VLOOKUP(A1354,[9]PRIORIZADOS!$A:$G,7,FALSE)="","",VLOOKUP(A1354,[9]PRIORIZADOS!$A:$G,7,FALSE)),"")</f>
        <v>COLEGIO DE NUESTRA SEÑORA DE LA PRESENTACION CENTRO</v>
      </c>
      <c r="H1354" s="11" t="str">
        <f>IFERROR(IF(VLOOKUP(A1354,[9]PRIORIZADOS!$A:$H,8,FALSE)="","",VLOOKUP(A1354,[9]PRIORIZADOS!$A:$H,8,FALSE)),"")</f>
        <v>Convivencia escolar</v>
      </c>
      <c r="I1354" s="11" t="str">
        <f>IFERROR(IF(VLOOKUP(A1354,[9]PRIORIZADOS!$A:$I,9,FALSE)="","",VLOOKUP(A1354,[9]PRIORIZADOS!$A:$I,9,FALSE)),"")</f>
        <v>EVALUACIÓN_CON_FINES_DE_MEJORAMIENTO.</v>
      </c>
      <c r="J1354" s="11" t="str">
        <f>IFERROR(IF(VLOOKUP(A1354,[9]PRIORIZADOS!$A:$J,10,FALSE)="","",VLOOKUP(A1354,[9]PRIORIZADOS!$A:$J,10,FALSE)),"")</f>
        <v>Verificar el funcionamiento del Gobierno Escolar e instancias de participación con base en la información sobre conformación reportada por la institución educativa.</v>
      </c>
      <c r="K1354" s="11" t="str">
        <f>IFERROR(IF(VLOOKUP(A1354,[9]PRIORIZADOS!$A:$K,11,FALSE)="","",VLOOKUP(A1354,[9]PRIORIZADOS!$A:$K,11,FALSE)),"")</f>
        <v>CARLOS EDUARDO VARGAS LÓPEZ</v>
      </c>
      <c r="L1354" s="11" t="str">
        <f>IFERROR(IF(VLOOKUP(A1354,[9]PRIORIZADOS!$A:$L,12,FALSE)="","",VLOOKUP(A1354,[9]PRIORIZADOS!$A:$L,12,FALSE)),"")</f>
        <v>LUIS ALEJANDRO MARTÍNEZ PALACIOS</v>
      </c>
      <c r="M1354" s="71">
        <f>IFERROR(IF(VLOOKUP(A1354,[9]PRIORIZADOS!$A:$M,13,FALSE)="","",VLOOKUP(A1354,[9]PRIORIZADOS!$A:$M,13,FALSE)),"")</f>
        <v>45825</v>
      </c>
      <c r="N1354" s="71">
        <f>IFERROR(IF(VLOOKUP(A1354,[9]PRIORIZADOS!$A:$N,14,FALSE)="","",VLOOKUP(A1354,[9]PRIORIZADOS!$A:$N,14,FALSE)),"")</f>
        <v>45855</v>
      </c>
      <c r="O1354" s="71">
        <f>IFERROR(IF(VLOOKUP(A1354,[9]PRIORIZADOS!$A:$O,15,FALSE)="","",VLOOKUP(A1354,[9]PRIORIZADOS!$A:$O,15,FALSE)),"")</f>
        <v>45855</v>
      </c>
      <c r="P1354" s="16" t="str">
        <f>IFERROR(IF(VLOOKUP(A1354,[9]PRIORIZADOS!$A:$P,16,FALSE)="","",VLOOKUP(A1354,[9]PRIORIZADOS!$A:$P,16,FALSE)),"")</f>
        <v>Visitas de evaluación con fines de seguimiento</v>
      </c>
      <c r="Q1354" s="38" t="s">
        <v>326</v>
      </c>
      <c r="R1354" s="90" t="str">
        <f>IFERROR(IF(VLOOKUP(A1354,[9]PRIORIZADOS!$A:$R,18,FALSE)="","",VLOOKUP(A1354,[9]PRIORIZADOS!$A:$R,18,FALSE)),"")</f>
        <v xml:space="preserve">La institución educativa, cumplió con el reporte de conformación de gobierno escolar y en la visita se verificó su funcionamiento </v>
      </c>
      <c r="S1354" s="11" t="str">
        <f>IFERROR(IF(VLOOKUP(A1354,[9]PRIORIZADOS!$A:$S,19,FALSE)="","",VLOOKUP(A1354,[9]PRIORIZADOS!$A:$S,19,FALSE)),"")</f>
        <v>Cumplir con las sesiones programadas o determinadas por norma para los espacios de gobierno escolar y las otras instancias de participación</v>
      </c>
      <c r="T1354" s="70" t="str">
        <f>IFERROR(IF(VLOOKUP(A1354,[9]PRIORIZADOS!$A:$T,20,FALSE)="","",VLOOKUP(A1354,[9]PRIORIZADOS!$A:$T,20,FALSE)),"")</f>
        <v>No</v>
      </c>
      <c r="U1354" s="11" t="str">
        <f>IFERROR(IF(VLOOKUP(A1354,[9]PRIORIZADOS!$A:$U,21,FALSE)="","",VLOOKUP(A1354,[9]PRIORIZADOS!$A:$U,21,FALSE)),"")</f>
        <v>Según programación del Plan Operativo Anual del equipo local de inspección y vigilancia para el 2026</v>
      </c>
    </row>
    <row r="1355" spans="1:21" s="1" customFormat="1" ht="72">
      <c r="A1355" s="69">
        <f>IF([9]PRIORIZADOS!A52="","",[9]PRIORIZADOS!A52)</f>
        <v>1296</v>
      </c>
      <c r="B1355" s="70">
        <f>IFERROR(IF(VLOOKUP(A1355,[9]PRIORIZADOS!$A:$B,2,FALSE)="","",VLOOKUP(A1355,[9]PRIORIZADOS!$A:$B,2,FALSE)),"")</f>
        <v>7</v>
      </c>
      <c r="C1355" s="11" t="str">
        <f>IFERROR(IF(VLOOKUP(A1355,[9]PRIORIZADOS!$A:$C,3,FALSE)="","",VLOOKUP(A1355,[9]PRIORIZADOS!$A:$C,3,FALSE)),"")</f>
        <v>LOS MÁRTIRES</v>
      </c>
      <c r="D1355" s="11" t="str">
        <f>IFERROR(IF(VLOOKUP(A1355,[9]PRIORIZADOS!$A:$D,4,FALSE)="","",VLOOKUP(A1355,[9]PRIORIZADOS!$A:$D,4,FALSE)),"")</f>
        <v>PRIVADO</v>
      </c>
      <c r="E1355" s="11" t="str">
        <f>IFERROR(IF(VLOOKUP(A1355,[9]PRIORIZADOS!$A:$E,5,FALSE)="","",VLOOKUP(A1355,[9]PRIORIZADOS!$A:$E,5,FALSE)),"")</f>
        <v>EPBM</v>
      </c>
      <c r="F1355" s="11" t="str">
        <f>IFERROR(IF(VLOOKUP(A1355,[9]PRIORIZADOS!$A:$F,6,FALSE)="","",VLOOKUP(A1355,[9]PRIORIZADOS!$A:$F,6,FALSE)),"")</f>
        <v>COLEGIO_DE_NUESTRA_SEÑORA_DE_LA_PRESENTACION_CENTRO</v>
      </c>
      <c r="G1355" s="11" t="str">
        <f>IFERROR(IF(VLOOKUP(A1355,[9]PRIORIZADOS!$A:$G,7,FALSE)="","",VLOOKUP(A1355,[9]PRIORIZADOS!$A:$G,7,FALSE)),"")</f>
        <v>COLEGIO DE NUESTRA SEÑORA DE LA PRESENTACION CENTRO</v>
      </c>
      <c r="H1355" s="11" t="str">
        <f>IFERROR(IF(VLOOKUP(A1355,[9]PRIORIZADOS!$A:$H,8,FALSE)="","",VLOOKUP(A1355,[9]PRIORIZADOS!$A:$H,8,FALSE)),"")</f>
        <v>Convivencia escolar</v>
      </c>
      <c r="I1355" s="11" t="str">
        <f>IFERROR(IF(VLOOKUP(A1355,[9]PRIORIZADOS!$A:$I,9,FALSE)="","",VLOOKUP(A1355,[9]PRIORIZADOS!$A:$I,9,FALSE)),"")</f>
        <v>EVALUACIÓN_CON_FINES_DE_MEJORAMIENTO.</v>
      </c>
      <c r="J1355" s="11" t="str">
        <f>IFERROR(IF(VLOOKUP(A1355,[9]PRIORIZADOS!$A:$J,10,FALSE)="","",VLOOKUP(A1355,[9]PRIORIZADOS!$A:$J,10,FALSE)),"")</f>
        <v>Verificar las condiciones en cuanto a: la estructura administrativa, condiciones de la planta física y medios educativos adecuados.</v>
      </c>
      <c r="K1355" s="11" t="str">
        <f>IFERROR(IF(VLOOKUP(A1355,[9]PRIORIZADOS!$A:$K,11,FALSE)="","",VLOOKUP(A1355,[9]PRIORIZADOS!$A:$K,11,FALSE)),"")</f>
        <v>CARLOS EDUARDO VARGAS LÓPEZ</v>
      </c>
      <c r="L1355" s="11" t="str">
        <f>IFERROR(IF(VLOOKUP(A1355,[9]PRIORIZADOS!$A:$L,12,FALSE)="","",VLOOKUP(A1355,[9]PRIORIZADOS!$A:$L,12,FALSE)),"")</f>
        <v>LUIS ALEJANDRO MARTÍNEZ PALACIOS</v>
      </c>
      <c r="M1355" s="71">
        <f>IFERROR(IF(VLOOKUP(A1355,[9]PRIORIZADOS!$A:$M,13,FALSE)="","",VLOOKUP(A1355,[9]PRIORIZADOS!$A:$M,13,FALSE)),"")</f>
        <v>45825</v>
      </c>
      <c r="N1355" s="71">
        <f>IFERROR(IF(VLOOKUP(A1355,[9]PRIORIZADOS!$A:$N,14,FALSE)="","",VLOOKUP(A1355,[9]PRIORIZADOS!$A:$N,14,FALSE)),"")</f>
        <v>45855</v>
      </c>
      <c r="O1355" s="71">
        <f>IFERROR(IF(VLOOKUP(A1355,[9]PRIORIZADOS!$A:$O,15,FALSE)="","",VLOOKUP(A1355,[9]PRIORIZADOS!$A:$O,15,FALSE)),"")</f>
        <v>45855</v>
      </c>
      <c r="P1355" s="16" t="str">
        <f>IFERROR(IF(VLOOKUP(A1355,[9]PRIORIZADOS!$A:$P,16,FALSE)="","",VLOOKUP(A1355,[9]PRIORIZADOS!$A:$P,16,FALSE)),"")</f>
        <v>Visitas de evaluación con fines de seguimiento</v>
      </c>
      <c r="Q1355" s="38" t="s">
        <v>326</v>
      </c>
      <c r="R1355" s="90" t="str">
        <f>IFERROR(IF(VLOOKUP(A1355,[9]PRIORIZADOS!$A:$R,18,FALSE)="","",VLOOKUP(A1355,[9]PRIORIZADOS!$A:$R,18,FALSE)),"")</f>
        <v xml:space="preserve">La institución educativa cuenta con una planta física y medios educativos acordes con el PEI y que da cuenta del cumplimiento de la normatividad vigente para la prestación de un servicio educativo con calidad </v>
      </c>
      <c r="S1355" s="11" t="str">
        <f>IFERROR(IF(VLOOKUP(A1355,[9]PRIORIZADOS!$A:$S,19,FALSE)="","",VLOOKUP(A1355,[9]PRIORIZADOS!$A:$S,19,FALSE)),"")</f>
        <v xml:space="preserve"> Lo reportado en EVI corresponde, a la realidad institucional respecto la planta física. No requiere convenio de ambientes compartidos.
</v>
      </c>
      <c r="T1355" s="70" t="str">
        <f>IFERROR(IF(VLOOKUP(A1355,[9]PRIORIZADOS!$A:$T,20,FALSE)="","",VLOOKUP(A1355,[9]PRIORIZADOS!$A:$T,20,FALSE)),"")</f>
        <v>No</v>
      </c>
      <c r="U1355" s="11" t="str">
        <f>IFERROR(IF(VLOOKUP(A1355,[9]PRIORIZADOS!$A:$U,21,FALSE)="","",VLOOKUP(A1355,[9]PRIORIZADOS!$A:$U,21,FALSE)),"")</f>
        <v>Según programación del Plan Operativo Anual del equipo local de inspección y vigilancia para el 2026</v>
      </c>
    </row>
    <row r="1356" spans="1:21" s="1" customFormat="1" ht="84">
      <c r="A1356" s="69">
        <f>IF([9]PRIORIZADOS!A53="","",[9]PRIORIZADOS!A53)</f>
        <v>1297</v>
      </c>
      <c r="B1356" s="70">
        <f>IFERROR(IF(VLOOKUP(A1356,[9]PRIORIZADOS!$A:$B,2,FALSE)="","",VLOOKUP(A1356,[9]PRIORIZADOS!$A:$B,2,FALSE)),"")</f>
        <v>8</v>
      </c>
      <c r="C1356" s="11" t="str">
        <f>IFERROR(IF(VLOOKUP(A1356,[9]PRIORIZADOS!$A:$C,3,FALSE)="","",VLOOKUP(A1356,[9]PRIORIZADOS!$A:$C,3,FALSE)),"")</f>
        <v>LOS MÁRTIRES</v>
      </c>
      <c r="D1356" s="11" t="str">
        <f>IFERROR(IF(VLOOKUP(A1356,[9]PRIORIZADOS!$A:$D,4,FALSE)="","",VLOOKUP(A1356,[9]PRIORIZADOS!$A:$D,4,FALSE)),"")</f>
        <v>PRIVADO_IETDH</v>
      </c>
      <c r="E1356" s="11" t="str">
        <f>IFERROR(IF(VLOOKUP(A1356,[9]PRIORIZADOS!$A:$E,5,FALSE)="","",VLOOKUP(A1356,[9]PRIORIZADOS!$A:$E,5,FALSE)),"")</f>
        <v>IETDH</v>
      </c>
      <c r="F1356" s="11" t="str">
        <f>IFERROR(IF(VLOOKUP(A1356,[9]PRIORIZADOS!$A:$F,6,FALSE)="","",VLOOKUP(A1356,[9]PRIORIZADOS!$A:$F,6,FALSE)),"")</f>
        <v>INSTITUTO_TRIANGULO_PALOQUEMAO</v>
      </c>
      <c r="G1356" s="11" t="str">
        <f>IFERROR(IF(VLOOKUP(A1356,[9]PRIORIZADOS!$A:$G,7,FALSE)="","",VLOOKUP(A1356,[9]PRIORIZADOS!$A:$G,7,FALSE)),"")</f>
        <v>INSTITUTO TRIANGULO PALOQUEMAO</v>
      </c>
      <c r="H1356" s="11" t="str">
        <f>IFERROR(IF(VLOOKUP(A1356,[9]PRIORIZADOS!$A:$H,8,FALSE)="","",VLOOKUP(A1356,[9]PRIORIZADOS!$A:$H,8,FALSE)),"")</f>
        <v>IETDH priorizadas por cada ELIV (seguimiento a PMI, que no se hayan visitado en los últimos 3 años)</v>
      </c>
      <c r="I1356" s="11" t="str">
        <f>IFERROR(IF(VLOOKUP(A1356,[9]PRIORIZADOS!$A:$I,9,FALSE)="","",VLOOKUP(A1356,[9]PRIORIZADOS!$A:$I,9,FALSE)),"")</f>
        <v>SEGUIMIENTO_Y_SUPERVISIÓN.</v>
      </c>
      <c r="J1356" s="11" t="str">
        <f>IFERROR(IF(VLOOKUP(A1356,[9]PRIORIZADOS!$A:$J,10,FALSE)="","",VLOOKUP(A1356,[9]PRIORIZADOS!$A:$J,10,FALSE)),"")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356" s="11" t="str">
        <f>IFERROR(IF(VLOOKUP(A1356,[9]PRIORIZADOS!$A:$K,11,FALSE)="","",VLOOKUP(A1356,[9]PRIORIZADOS!$A:$K,11,FALSE)),"")</f>
        <v>LUIS ALEJANDRO MARTÍNEZ PALACIOS</v>
      </c>
      <c r="L1356" s="11" t="str">
        <f>IFERROR(IF(VLOOKUP(A1356,[9]PRIORIZADOS!$A:$L,12,FALSE)="","",VLOOKUP(A1356,[9]PRIORIZADOS!$A:$L,12,FALSE)),"")</f>
        <v>CARLOS EDUARDO VARGAS LÓPEZ</v>
      </c>
      <c r="M1356" s="71">
        <f>IFERROR(IF(VLOOKUP(A1356,[9]PRIORIZADOS!$A:$M,13,FALSE)="","",VLOOKUP(A1356,[9]PRIORIZADOS!$A:$M,13,FALSE)),"")</f>
        <v>45856</v>
      </c>
      <c r="N1356" s="71">
        <f>IFERROR(IF(VLOOKUP(A1356,[9]PRIORIZADOS!$A:$N,14,FALSE)="","",VLOOKUP(A1356,[9]PRIORIZADOS!$A:$N,14,FALSE)),"")</f>
        <v>45891</v>
      </c>
      <c r="O1356" s="71">
        <f>IFERROR(IF(VLOOKUP(A1356,[9]PRIORIZADOS!$A:$O,15,FALSE)="","",VLOOKUP(A1356,[9]PRIORIZADOS!$A:$O,15,FALSE)),"")</f>
        <v>45891</v>
      </c>
      <c r="P1356" s="11" t="str">
        <f>IFERROR(IF(VLOOKUP(A1356,[9]PRIORIZADOS!$A:$P,16,FALSE)="","",VLOOKUP(A1356,[9]PRIORIZADOS!$A:$P,16,FALSE)),"")</f>
        <v>Visitas de evaluación con fines de seguimiento</v>
      </c>
      <c r="Q1356" s="39" t="s">
        <v>327</v>
      </c>
      <c r="R1356" s="11" t="str">
        <f>IFERROR(IF(VLOOKUP(A1356,[9]PRIORIZADOS!$A:$R,18,FALSE)="","",VLOOKUP(A1356,[9]PRIORIZADOS!$A:$R,18,FALSE)),"")</f>
        <v>Se verificó el cargue de las matriculas en el SIET,  estudiantes matriculados y certificados</v>
      </c>
      <c r="S1356" s="11" t="str">
        <f>IFERROR(IF(VLOOKUP(A1356,[9]PRIORIZADOS!$A:$S,19,FALSE)="","",VLOOKUP(A1356,[9]PRIORIZADOS!$A:$S,19,FALSE)),"")</f>
        <v>Diligenciar el SIET, en cuanto al rubro de Matriculados y Certificados.
Revisar y actualizar qué programas de formación laboral no tienen estudiantes matriculados</v>
      </c>
      <c r="T1356" s="70" t="str">
        <f>IFERROR(IF(VLOOKUP(A1356,[9]PRIORIZADOS!$A:$T,20,FALSE)="","",VLOOKUP(A1356,[9]PRIORIZADOS!$A:$T,20,FALSE)),"")</f>
        <v>Si</v>
      </c>
      <c r="U1356" s="11" t="str">
        <f>IFERROR(IF(VLOOKUP(A1356,[9]PRIORIZADOS!$A:$U,21,FALSE)="","",VLOOKUP(A1356,[9]PRIORIZADOS!$A:$U,21,FALSE)),"")</f>
        <v>Revisión de plan de mejoramiento que entregue la IETDH en el mes de octubre</v>
      </c>
    </row>
    <row r="1357" spans="1:21" s="1" customFormat="1" ht="72">
      <c r="A1357" s="69">
        <f>IF([9]PRIORIZADOS!A54="","",[9]PRIORIZADOS!A54)</f>
        <v>1298</v>
      </c>
      <c r="B1357" s="70">
        <f>IFERROR(IF(VLOOKUP(A1357,[9]PRIORIZADOS!$A:$B,2,FALSE)="","",VLOOKUP(A1357,[9]PRIORIZADOS!$A:$B,2,FALSE)),"")</f>
        <v>8</v>
      </c>
      <c r="C1357" s="11" t="str">
        <f>IFERROR(IF(VLOOKUP(A1357,[9]PRIORIZADOS!$A:$C,3,FALSE)="","",VLOOKUP(A1357,[9]PRIORIZADOS!$A:$C,3,FALSE)),"")</f>
        <v>LOS MÁRTIRES</v>
      </c>
      <c r="D1357" s="11" t="str">
        <f>IFERROR(IF(VLOOKUP(A1357,[9]PRIORIZADOS!$A:$D,4,FALSE)="","",VLOOKUP(A1357,[9]PRIORIZADOS!$A:$D,4,FALSE)),"")</f>
        <v>PRIVADO_IETDH</v>
      </c>
      <c r="E1357" s="11" t="str">
        <f>IFERROR(IF(VLOOKUP(A1357,[9]PRIORIZADOS!$A:$E,5,FALSE)="","",VLOOKUP(A1357,[9]PRIORIZADOS!$A:$E,5,FALSE)),"")</f>
        <v>IETDH</v>
      </c>
      <c r="F1357" s="11" t="str">
        <f>IFERROR(IF(VLOOKUP(A1357,[9]PRIORIZADOS!$A:$F,6,FALSE)="","",VLOOKUP(A1357,[9]PRIORIZADOS!$A:$F,6,FALSE)),"")</f>
        <v>INSTITUTO_TRIANGULO_PALOQUEMAO</v>
      </c>
      <c r="G1357" s="11" t="str">
        <f>IFERROR(IF(VLOOKUP(A1357,[9]PRIORIZADOS!$A:$G,7,FALSE)="","",VLOOKUP(A1357,[9]PRIORIZADOS!$A:$G,7,FALSE)),"")</f>
        <v>INSTITUTO TRIANGULO PALOQUEMAO</v>
      </c>
      <c r="H1357" s="11" t="str">
        <f>IFERROR(IF(VLOOKUP(A1357,[9]PRIORIZADOS!$A:$H,8,FALSE)="","",VLOOKUP(A1357,[9]PRIORIZADOS!$A:$H,8,FALSE)),"")</f>
        <v>IETDH priorizadas por cada ELIV (seguimiento a PMI, que no se hayan visitado en los últimos 3 años)</v>
      </c>
      <c r="I1357" s="11" t="str">
        <f>IFERROR(IF(VLOOKUP(A1357,[9]PRIORIZADOS!$A:$I,9,FALSE)="","",VLOOKUP(A1357,[9]PRIORIZADOS!$A:$I,9,FALSE)),"")</f>
        <v>SEGUIMIENTO_Y_SUPERVISIÓN.</v>
      </c>
      <c r="J1357" s="11" t="str">
        <f>IFERROR(IF(VLOOKUP(A1357,[9]PRIORIZADOS!$A:$J,10,FALSE)="","",VLOOKUP(A1357,[9]PRIORIZADOS!$A:$J,10,FALSE)),"")</f>
        <v>Adelantar visitas para verificar que el desarrollo de los programas de ETDH, esté de acuerdo con lo autorizado y la normatividad vigente, para propender por su pertinencia, legalidad y actualización constante.</v>
      </c>
      <c r="K1357" s="11" t="str">
        <f>IFERROR(IF(VLOOKUP(A1357,[9]PRIORIZADOS!$A:$K,11,FALSE)="","",VLOOKUP(A1357,[9]PRIORIZADOS!$A:$K,11,FALSE)),"")</f>
        <v>LUIS ALEJANDRO MARTÍNEZ PALACIOS</v>
      </c>
      <c r="L1357" s="11" t="str">
        <f>IFERROR(IF(VLOOKUP(A1357,[9]PRIORIZADOS!$A:$L,12,FALSE)="","",VLOOKUP(A1357,[9]PRIORIZADOS!$A:$L,12,FALSE)),"")</f>
        <v>CARLOS EDUARDO VARGAS LÓPEZ</v>
      </c>
      <c r="M1357" s="71">
        <f>IFERROR(IF(VLOOKUP(A1357,[9]PRIORIZADOS!$A:$M,13,FALSE)="","",VLOOKUP(A1357,[9]PRIORIZADOS!$A:$M,13,FALSE)),"")</f>
        <v>45856</v>
      </c>
      <c r="N1357" s="71">
        <f>IFERROR(IF(VLOOKUP(A1357,[9]PRIORIZADOS!$A:$N,14,FALSE)="","",VLOOKUP(A1357,[9]PRIORIZADOS!$A:$N,14,FALSE)),"")</f>
        <v>45891</v>
      </c>
      <c r="O1357" s="71">
        <f>IFERROR(IF(VLOOKUP(A1357,[9]PRIORIZADOS!$A:$O,15,FALSE)="","",VLOOKUP(A1357,[9]PRIORIZADOS!$A:$O,15,FALSE)),"")</f>
        <v>45891</v>
      </c>
      <c r="P1357" s="11" t="str">
        <f>IFERROR(IF(VLOOKUP(A1357,[9]PRIORIZADOS!$A:$P,16,FALSE)="","",VLOOKUP(A1357,[9]PRIORIZADOS!$A:$P,16,FALSE)),"")</f>
        <v>Visitas de evaluación con fines de seguimiento</v>
      </c>
      <c r="Q1357" s="29" t="s">
        <v>328</v>
      </c>
      <c r="R1357" s="11" t="str">
        <f>IFERROR(IF(VLOOKUP(A1357,[9]PRIORIZADOS!$A:$R,18,FALSE)="","",VLOOKUP(A1357,[9]PRIORIZADOS!$A:$R,18,FALSE)),"")</f>
        <v>La IETDH cuenta con un sistema de información académico, y mediante verificación por docente se efectuó análisis comparativo entre objetivos, planes, desarrollo y logro de los estudiantes</v>
      </c>
      <c r="S1357" s="11" t="str">
        <f>IFERROR(IF(VLOOKUP(A1357,[9]PRIORIZADOS!$A:$S,19,FALSE)="","",VLOOKUP(A1357,[9]PRIORIZADOS!$A:$S,19,FALSE)),"")</f>
        <v>La IETDH de aplicar la normatividad sobre los programas de formación laboral, Decreto 923 de 2024 y el Decreto 654 de 2021, que reglamentan la ETDH y adopta la Clasificación Única de Ocupaciones para Colombia</v>
      </c>
      <c r="T1357" s="70" t="str">
        <f>IFERROR(IF(VLOOKUP(A1357,[9]PRIORIZADOS!$A:$T,20,FALSE)="","",VLOOKUP(A1357,[9]PRIORIZADOS!$A:$T,20,FALSE)),"")</f>
        <v>No</v>
      </c>
      <c r="U1357" s="11" t="str">
        <f>IFERROR(IF(VLOOKUP(A1357,[9]PRIORIZADOS!$A:$U,21,FALSE)="","",VLOOKUP(A1357,[9]PRIORIZADOS!$A:$U,21,FALSE)),"")</f>
        <v>Revisión de plan de mejoramiento que entregue la IETDH en el mes de octubre y de acuerdo con los tiempos de renovación de los programas</v>
      </c>
    </row>
    <row r="1358" spans="1:21" s="1" customFormat="1" ht="48">
      <c r="A1358" s="69">
        <f>IF([9]PRIORIZADOS!A55="","",[9]PRIORIZADOS!A55)</f>
        <v>1299</v>
      </c>
      <c r="B1358" s="70">
        <f>IFERROR(IF(VLOOKUP(A1358,[9]PRIORIZADOS!$A:$B,2,FALSE)="","",VLOOKUP(A1358,[9]PRIORIZADOS!$A:$B,2,FALSE)),"")</f>
        <v>8</v>
      </c>
      <c r="C1358" s="11" t="str">
        <f>IFERROR(IF(VLOOKUP(A1358,[9]PRIORIZADOS!$A:$C,3,FALSE)="","",VLOOKUP(A1358,[9]PRIORIZADOS!$A:$C,3,FALSE)),"")</f>
        <v>LOS MÁRTIRES</v>
      </c>
      <c r="D1358" s="11" t="str">
        <f>IFERROR(IF(VLOOKUP(A1358,[9]PRIORIZADOS!$A:$D,4,FALSE)="","",VLOOKUP(A1358,[9]PRIORIZADOS!$A:$D,4,FALSE)),"")</f>
        <v>PRIVADO_IETDH</v>
      </c>
      <c r="E1358" s="11" t="str">
        <f>IFERROR(IF(VLOOKUP(A1358,[9]PRIORIZADOS!$A:$E,5,FALSE)="","",VLOOKUP(A1358,[9]PRIORIZADOS!$A:$E,5,FALSE)),"")</f>
        <v>IETDH</v>
      </c>
      <c r="F1358" s="11" t="str">
        <f>IFERROR(IF(VLOOKUP(A1358,[9]PRIORIZADOS!$A:$F,6,FALSE)="","",VLOOKUP(A1358,[9]PRIORIZADOS!$A:$F,6,FALSE)),"")</f>
        <v>INSTITUTO_TRIANGULO_PALOQUEMAO</v>
      </c>
      <c r="G1358" s="11" t="str">
        <f>IFERROR(IF(VLOOKUP(A1358,[9]PRIORIZADOS!$A:$G,7,FALSE)="","",VLOOKUP(A1358,[9]PRIORIZADOS!$A:$G,7,FALSE)),"")</f>
        <v>INSTITUTO TRIANGULO PALOQUEMAO</v>
      </c>
      <c r="H1358" s="11" t="str">
        <f>IFERROR(IF(VLOOKUP(A1358,[9]PRIORIZADOS!$A:$H,8,FALSE)="","",VLOOKUP(A1358,[9]PRIORIZADOS!$A:$H,8,FALSE)),"")</f>
        <v>IETDH priorizadas por cada ELIV (seguimiento a PMI, que no se hayan visitado en los últimos 3 años)</v>
      </c>
      <c r="I1358" s="11" t="str">
        <f>IFERROR(IF(VLOOKUP(A1358,[9]PRIORIZADOS!$A:$I,9,FALSE)="","",VLOOKUP(A1358,[9]PRIORIZADOS!$A:$I,9,FALSE)),"")</f>
        <v>EVALUACIÓN_CON_FINES_DE_MEJORAMIENTO.</v>
      </c>
      <c r="J1358" s="11" t="str">
        <f>IFERROR(IF(VLOOKUP(A1358,[9]PRIORIZADOS!$A:$J,10,FALSE)="","",VLOOKUP(A1358,[9]PRIORIZADOS!$A:$J,10,FALSE)),"")</f>
        <v>Verificar las condiciones en cuanto a: la estructura administrativa, condiciones de la planta física y medios educativos adecuados.</v>
      </c>
      <c r="K1358" s="11" t="str">
        <f>IFERROR(IF(VLOOKUP(A1358,[9]PRIORIZADOS!$A:$K,11,FALSE)="","",VLOOKUP(A1358,[9]PRIORIZADOS!$A:$K,11,FALSE)),"")</f>
        <v>LUIS ALEJANDRO MARTÍNEZ PALACIOS</v>
      </c>
      <c r="L1358" s="11" t="str">
        <f>IFERROR(IF(VLOOKUP(A1358,[9]PRIORIZADOS!$A:$L,12,FALSE)="","",VLOOKUP(A1358,[9]PRIORIZADOS!$A:$L,12,FALSE)),"")</f>
        <v>CARLOS EDUARDO VARGAS LÓPEZ</v>
      </c>
      <c r="M1358" s="71">
        <f>IFERROR(IF(VLOOKUP(A1358,[9]PRIORIZADOS!$A:$M,13,FALSE)="","",VLOOKUP(A1358,[9]PRIORIZADOS!$A:$M,13,FALSE)),"")</f>
        <v>45856</v>
      </c>
      <c r="N1358" s="71">
        <f>IFERROR(IF(VLOOKUP(A1358,[9]PRIORIZADOS!$A:$N,14,FALSE)="","",VLOOKUP(A1358,[9]PRIORIZADOS!$A:$N,14,FALSE)),"")</f>
        <v>45891</v>
      </c>
      <c r="O1358" s="71">
        <f>IFERROR(IF(VLOOKUP(A1358,[9]PRIORIZADOS!$A:$O,15,FALSE)="","",VLOOKUP(A1358,[9]PRIORIZADOS!$A:$O,15,FALSE)),"")</f>
        <v>45891</v>
      </c>
      <c r="P1358" s="11" t="str">
        <f>IFERROR(IF(VLOOKUP(A1358,[9]PRIORIZADOS!$A:$P,16,FALSE)="","",VLOOKUP(A1358,[9]PRIORIZADOS!$A:$P,16,FALSE)),"")</f>
        <v>Visitas de evaluación con fines de seguimiento</v>
      </c>
      <c r="Q1358" s="40" t="s">
        <v>328</v>
      </c>
      <c r="R1358" s="11" t="str">
        <f>IFERROR(IF(VLOOKUP(A1358,[9]PRIORIZADOS!$A:$R,18,FALSE)="","",VLOOKUP(A1358,[9]PRIORIZADOS!$A:$R,18,FALSE)),"")</f>
        <v>La IETDH cuenta con instalaciones suficientes y adecuadas para la prestación del servicio educativo</v>
      </c>
      <c r="S1358" s="11" t="str">
        <f>IFERROR(IF(VLOOKUP(A1358,[9]PRIORIZADOS!$A:$S,19,FALSE)="","",VLOOKUP(A1358,[9]PRIORIZADOS!$A:$S,19,FALSE)),"")</f>
        <v>Mantener las condiciones de la infraestructura para la prestación del servicio educativo</v>
      </c>
      <c r="T1358" s="70" t="str">
        <f>IFERROR(IF(VLOOKUP(A1358,[9]PRIORIZADOS!$A:$T,20,FALSE)="","",VLOOKUP(A1358,[9]PRIORIZADOS!$A:$T,20,FALSE)),"")</f>
        <v>No</v>
      </c>
      <c r="U1358" s="11" t="str">
        <f>IFERROR(IF(VLOOKUP(A1358,[9]PRIORIZADOS!$A:$U,21,FALSE)="","",VLOOKUP(A1358,[9]PRIORIZADOS!$A:$U,21,FALSE)),"")</f>
        <v>Verificación en próxima visita administrativa. Según programación del Plan Operativo Anual del equipo local de inspección y vigilancia para el 2026</v>
      </c>
    </row>
    <row r="1359" spans="1:21" s="1" customFormat="1" ht="60">
      <c r="A1359" s="69">
        <f>IF([9]PRIORIZADOS!A56="","",[9]PRIORIZADOS!A56)</f>
        <v>1300</v>
      </c>
      <c r="B1359" s="70">
        <f>IFERROR(IF(VLOOKUP(A1359,[9]PRIORIZADOS!$A:$B,2,FALSE)="","",VLOOKUP(A1359,[9]PRIORIZADOS!$A:$B,2,FALSE)),"")</f>
        <v>9</v>
      </c>
      <c r="C1359" s="11" t="str">
        <f>IFERROR(IF(VLOOKUP(A1359,[9]PRIORIZADOS!$A:$C,3,FALSE)="","",VLOOKUP(A1359,[9]PRIORIZADOS!$A:$C,3,FALSE)),"")</f>
        <v>LOS MÁRTIRES</v>
      </c>
      <c r="D1359" s="11" t="str">
        <f>IFERROR(IF(VLOOKUP(A1359,[9]PRIORIZADOS!$A:$D,4,FALSE)="","",VLOOKUP(A1359,[9]PRIORIZADOS!$A:$D,4,FALSE)),"")</f>
        <v>PRIVADO</v>
      </c>
      <c r="E1359" s="11" t="str">
        <f>IFERROR(IF(VLOOKUP(A1359,[9]PRIORIZADOS!$A:$E,5,FALSE)="","",VLOOKUP(A1359,[9]PRIORIZADOS!$A:$E,5,FALSE)),"")</f>
        <v>Educación de Jóvenes y Adultos</v>
      </c>
      <c r="F1359" s="11" t="str">
        <f>IFERROR(IF(VLOOKUP(A1359,[9]PRIORIZADOS!$A:$F,6,FALSE)="","",VLOOKUP(A1359,[9]PRIORIZADOS!$A:$F,6,FALSE)),"")</f>
        <v>COLEGIO_TRIANGULO_PALOQUEMAO</v>
      </c>
      <c r="G1359" s="11" t="str">
        <f>IFERROR(IF(VLOOKUP(A1359,[9]PRIORIZADOS!$A:$G,7,FALSE)="","",VLOOKUP(A1359,[9]PRIORIZADOS!$A:$G,7,FALSE)),"")</f>
        <v>COLEGIO TRIANGULO PALOQUEMAO</v>
      </c>
      <c r="H1359" s="11" t="str">
        <f>IFERROR(IF(VLOOKUP(A1359,[9]PRIORIZADOS!$A:$H,8,FALSE)="","",VLOOKUP(A1359,[9]PRIORIZADOS!$A:$H,8,FALSE)),"")</f>
        <v>Autoevaluación Institucional y Pruebas SABER 11</v>
      </c>
      <c r="I1359" s="11" t="str">
        <f>IFERROR(IF(VLOOKUP(A1359,[9]PRIORIZADOS!$A:$I,9,FALSE)="","",VLOOKUP(A1359,[9]PRIORIZADOS!$A:$I,9,FALSE)),"")</f>
        <v>SEGUIMIENTO_Y_SUPERVISIÓN.</v>
      </c>
      <c r="J1359" s="11" t="str">
        <f>IFERROR(IF(VLOOKUP(A1359,[9]PRIORIZADOS!$A:$J,10,FALSE)="","",VLOOKUP(A1359,[9]PRIORIZADOS!$A:$J,10,FALSE)),"")</f>
        <v>Realizar visitas para verificar la información registrada sobre la autoevaluación institucional en el aplicativo EVI, a los establecimientos de educación formal no oficial.</v>
      </c>
      <c r="K1359" s="11" t="str">
        <f>IFERROR(IF(VLOOKUP(A1359,[9]PRIORIZADOS!$A:$K,11,FALSE)="","",VLOOKUP(A1359,[9]PRIORIZADOS!$A:$K,11,FALSE)),"")</f>
        <v>LUIS ALEJANDRO MARTÍNEZ PALACIOS</v>
      </c>
      <c r="L1359" s="11" t="str">
        <f>IFERROR(IF(VLOOKUP(A1359,[9]PRIORIZADOS!$A:$L,12,FALSE)="","",VLOOKUP(A1359,[9]PRIORIZADOS!$A:$L,12,FALSE)),"")</f>
        <v>CARLOS EDUARDO VARGAS LÓPEZ</v>
      </c>
      <c r="M1359" s="71">
        <f>IFERROR(IF(VLOOKUP(A1359,[9]PRIORIZADOS!$A:$M,13,FALSE)="","",VLOOKUP(A1359,[9]PRIORIZADOS!$A:$M,13,FALSE)),"")</f>
        <v>45861</v>
      </c>
      <c r="N1359" s="71">
        <f>IFERROR(IF(VLOOKUP(A1359,[9]PRIORIZADOS!$A:$N,14,FALSE)="","",VLOOKUP(A1359,[9]PRIORIZADOS!$A:$N,14,FALSE)),"")</f>
        <v>45891</v>
      </c>
      <c r="O1359" s="71">
        <f>IFERROR(IF(VLOOKUP(A1359,[9]PRIORIZADOS!$A:$O,15,FALSE)="","",VLOOKUP(A1359,[9]PRIORIZADOS!$A:$O,15,FALSE)),"")</f>
        <v>45891</v>
      </c>
      <c r="P1359" s="11" t="str">
        <f>IFERROR(IF(VLOOKUP(A1359,[9]PRIORIZADOS!$A:$P,16,FALSE)="","",VLOOKUP(A1359,[9]PRIORIZADOS!$A:$P,16,FALSE)),"")</f>
        <v>Visitas de evaluación con fines de seguimiento</v>
      </c>
      <c r="Q1359" s="41" t="s">
        <v>329</v>
      </c>
      <c r="R1359" s="11" t="str">
        <f>IFERROR(IF(VLOOKUP(A1359,[9]PRIORIZADOS!$A:$R,18,FALSE)="","",VLOOKUP(A1359,[9]PRIORIZADOS!$A:$R,18,FALSE)),"")</f>
        <v>Se revisa reporte PDF de la autoevaluación institucional 2024, encontrando en términos generales correspondencia entre el reporte y lo evidenciado en la visita</v>
      </c>
      <c r="S1359" s="11" t="str">
        <f>IFERROR(IF(VLOOKUP(A1359,[9]PRIORIZADOS!$A:$S,19,FALSE)="","",VLOOKUP(A1359,[9]PRIORIZADOS!$A:$S,19,FALSE)),"")</f>
        <v xml:space="preserve">Reportar en la autovaluación 2025 todos los espacios que contiene la planta física autorizada. </v>
      </c>
      <c r="T1359" s="70" t="str">
        <f>IFERROR(IF(VLOOKUP(A1359,[9]PRIORIZADOS!$A:$T,20,FALSE)="","",VLOOKUP(A1359,[9]PRIORIZADOS!$A:$T,20,FALSE)),"")</f>
        <v>No</v>
      </c>
      <c r="U1359" s="11" t="str">
        <f>IFERROR(IF(VLOOKUP(A1359,[9]PRIORIZADOS!$A:$U,21,FALSE)="","",VLOOKUP(A1359,[9]PRIORIZADOS!$A:$U,21,FALSE)),"")</f>
        <v>Revisar la autoevalución institucional 2025 para las tarifas educativas 2026</v>
      </c>
    </row>
    <row r="1360" spans="1:21" s="1" customFormat="1" ht="107.25">
      <c r="A1360" s="69">
        <f>IF([9]PRIORIZADOS!A57="","",[9]PRIORIZADOS!A57)</f>
        <v>1301</v>
      </c>
      <c r="B1360" s="70">
        <f>IFERROR(IF(VLOOKUP(A1360,[9]PRIORIZADOS!$A:$B,2,FALSE)="","",VLOOKUP(A1360,[9]PRIORIZADOS!$A:$B,2,FALSE)),"")</f>
        <v>9</v>
      </c>
      <c r="C1360" s="11" t="str">
        <f>IFERROR(IF(VLOOKUP(A1360,[9]PRIORIZADOS!$A:$C,3,FALSE)="","",VLOOKUP(A1360,[9]PRIORIZADOS!$A:$C,3,FALSE)),"")</f>
        <v>LOS MÁRTIRES</v>
      </c>
      <c r="D1360" s="11" t="str">
        <f>IFERROR(IF(VLOOKUP(A1360,[9]PRIORIZADOS!$A:$D,4,FALSE)="","",VLOOKUP(A1360,[9]PRIORIZADOS!$A:$D,4,FALSE)),"")</f>
        <v>PRIVADO</v>
      </c>
      <c r="E1360" s="11" t="str">
        <f>IFERROR(IF(VLOOKUP(A1360,[9]PRIORIZADOS!$A:$E,5,FALSE)="","",VLOOKUP(A1360,[9]PRIORIZADOS!$A:$E,5,FALSE)),"")</f>
        <v>Educación de Jóvenes y Adultos</v>
      </c>
      <c r="F1360" s="11" t="str">
        <f>IFERROR(IF(VLOOKUP(A1360,[9]PRIORIZADOS!$A:$F,6,FALSE)="","",VLOOKUP(A1360,[9]PRIORIZADOS!$A:$F,6,FALSE)),"")</f>
        <v>COLEGIO_TRIANGULO_PALOQUEMAO</v>
      </c>
      <c r="G1360" s="11" t="str">
        <f>IFERROR(IF(VLOOKUP(A1360,[9]PRIORIZADOS!$A:$G,7,FALSE)="","",VLOOKUP(A1360,[9]PRIORIZADOS!$A:$G,7,FALSE)),"")</f>
        <v>COLEGIO TRIANGULO PALOQUEMAO</v>
      </c>
      <c r="H1360" s="11" t="str">
        <f>IFERROR(IF(VLOOKUP(A1360,[9]PRIORIZADOS!$A:$H,8,FALSE)="","",VLOOKUP(A1360,[9]PRIORIZADOS!$A:$H,8,FALSE)),"")</f>
        <v>Autoevaluación Institucional y Pruebas SABER 11</v>
      </c>
      <c r="I1360" s="11" t="str">
        <f>IFERROR(IF(VLOOKUP(A1360,[9]PRIORIZADOS!$A:$I,9,FALSE)="","",VLOOKUP(A1360,[9]PRIORIZADOS!$A:$I,9,FALSE)),"")</f>
        <v>SEGUIMIENTO_Y_SUPERVISIÓN.</v>
      </c>
      <c r="J1360" s="11" t="str">
        <f>IFERROR(IF(VLOOKUP(A1360,[9]PRIORIZADOS!$A:$J,10,FALSE)="","",VLOOKUP(A1360,[9]PRIORIZADOS!$A:$J,10,FALSE)),"")</f>
        <v>Proponer estrategias en la formulación, verificar su elaboración y realizar seguimiento semestral al desarrollo de  las acciones establecidas en los planes de mejoramiento por pruebas SABER 11 de los establecimientos de educación formal.</v>
      </c>
      <c r="K1360" s="11" t="str">
        <f>IFERROR(IF(VLOOKUP(A1360,[9]PRIORIZADOS!$A:$K,11,FALSE)="","",VLOOKUP(A1360,[9]PRIORIZADOS!$A:$K,11,FALSE)),"")</f>
        <v>LUIS ALEJANDRO MARTÍNEZ PALACIOS</v>
      </c>
      <c r="L1360" s="11" t="str">
        <f>IFERROR(IF(VLOOKUP(A1360,[9]PRIORIZADOS!$A:$L,12,FALSE)="","",VLOOKUP(A1360,[9]PRIORIZADOS!$A:$L,12,FALSE)),"")</f>
        <v>CARLOS EDUARDO VARGAS LÓPEZ</v>
      </c>
      <c r="M1360" s="71">
        <f>IFERROR(IF(VLOOKUP(A1360,[9]PRIORIZADOS!$A:$M,13,FALSE)="","",VLOOKUP(A1360,[9]PRIORIZADOS!$A:$M,13,FALSE)),"")</f>
        <v>45861</v>
      </c>
      <c r="N1360" s="71">
        <f>IFERROR(IF(VLOOKUP(A1360,[9]PRIORIZADOS!$A:$N,14,FALSE)="","",VLOOKUP(A1360,[9]PRIORIZADOS!$A:$N,14,FALSE)),"")</f>
        <v>45891</v>
      </c>
      <c r="O1360" s="71">
        <f>IFERROR(IF(VLOOKUP(A1360,[9]PRIORIZADOS!$A:$O,15,FALSE)="","",VLOOKUP(A1360,[9]PRIORIZADOS!$A:$O,15,FALSE)),"")</f>
        <v>45891</v>
      </c>
      <c r="P1360" s="11" t="str">
        <f>IFERROR(IF(VLOOKUP(A1360,[9]PRIORIZADOS!$A:$P,16,FALSE)="","",VLOOKUP(A1360,[9]PRIORIZADOS!$A:$P,16,FALSE)),"")</f>
        <v>Visitas de evaluación con fines de seguimiento</v>
      </c>
      <c r="Q1360" s="40" t="s">
        <v>329</v>
      </c>
      <c r="R1360" s="11" t="str">
        <f>IFERROR(IF(VLOOKUP(A1360,[9]PRIORIZADOS!$A:$R,18,FALSE)="","",VLOOKUP(A1360,[9]PRIORIZADOS!$A:$R,18,FALSE)),"")</f>
        <v>De acuerdo con la oferta educativa de adultos, se presentan diferencias significativas en los resultados de pruebas Saber. Aunque por parte del ICFES, no se cuenta con datos consolidados, la instituición educativa realiza un análisis individual y ha desarrollado una propuesta pedagógica virtual denominada "Ponte A Prueba".</v>
      </c>
      <c r="S1360" s="11" t="str">
        <f>IFERROR(IF(VLOOKUP(A1360,[9]PRIORIZADOS!$A:$S,19,FALSE)="","",VLOOKUP(A1360,[9]PRIORIZADOS!$A:$S,19,FALSE)),"")</f>
        <v>Realizar el análisis cada año de los resultados de SABER 11 para fortalecer la estrategia implementada o establecer otras.</v>
      </c>
      <c r="T1360" s="70" t="str">
        <f>IFERROR(IF(VLOOKUP(A1360,[9]PRIORIZADOS!$A:$T,20,FALSE)="","",VLOOKUP(A1360,[9]PRIORIZADOS!$A:$T,20,FALSE)),"")</f>
        <v>NO</v>
      </c>
      <c r="U1360" s="11" t="str">
        <f>IFERROR(IF(VLOOKUP(A1360,[9]PRIORIZADOS!$A:$U,21,FALSE)="","",VLOOKUP(A1360,[9]PRIORIZADOS!$A:$U,21,FALSE)),"")</f>
        <v xml:space="preserve">Verificación en próxima visita administrativa según programación POAIV del 2026.
</v>
      </c>
    </row>
    <row r="1361" spans="1:21" s="1" customFormat="1" ht="48">
      <c r="A1361" s="69">
        <f>IF([9]PRIORIZADOS!A58="","",[9]PRIORIZADOS!A58)</f>
        <v>1302</v>
      </c>
      <c r="B1361" s="70">
        <f>IFERROR(IF(VLOOKUP(A1361,[9]PRIORIZADOS!$A:$B,2,FALSE)="","",VLOOKUP(A1361,[9]PRIORIZADOS!$A:$B,2,FALSE)),"")</f>
        <v>9</v>
      </c>
      <c r="C1361" s="11" t="str">
        <f>IFERROR(IF(VLOOKUP(A1361,[9]PRIORIZADOS!$A:$C,3,FALSE)="","",VLOOKUP(A1361,[9]PRIORIZADOS!$A:$C,3,FALSE)),"")</f>
        <v>LOS MÁRTIRES</v>
      </c>
      <c r="D1361" s="11" t="str">
        <f>IFERROR(IF(VLOOKUP(A1361,[9]PRIORIZADOS!$A:$D,4,FALSE)="","",VLOOKUP(A1361,[9]PRIORIZADOS!$A:$D,4,FALSE)),"")</f>
        <v>PRIVADO</v>
      </c>
      <c r="E1361" s="11" t="str">
        <f>IFERROR(IF(VLOOKUP(A1361,[9]PRIORIZADOS!$A:$E,5,FALSE)="","",VLOOKUP(A1361,[9]PRIORIZADOS!$A:$E,5,FALSE)),"")</f>
        <v>Educación de Jóvenes y Adultos</v>
      </c>
      <c r="F1361" s="11" t="str">
        <f>IFERROR(IF(VLOOKUP(A1361,[9]PRIORIZADOS!$A:$F,6,FALSE)="","",VLOOKUP(A1361,[9]PRIORIZADOS!$A:$F,6,FALSE)),"")</f>
        <v>COLEGIO_TRIANGULO_PALOQUEMAO</v>
      </c>
      <c r="G1361" s="11" t="str">
        <f>IFERROR(IF(VLOOKUP(A1361,[9]PRIORIZADOS!$A:$G,7,FALSE)="","",VLOOKUP(A1361,[9]PRIORIZADOS!$A:$G,7,FALSE)),"")</f>
        <v>COLEGIO TRIANGULO PALOQUEMAO</v>
      </c>
      <c r="H1361" s="11" t="str">
        <f>IFERROR(IF(VLOOKUP(A1361,[9]PRIORIZADOS!$A:$H,8,FALSE)="","",VLOOKUP(A1361,[9]PRIORIZADOS!$A:$H,8,FALSE)),"")</f>
        <v>Autoevaluación Institucional y Pruebas SABER 11</v>
      </c>
      <c r="I1361" s="11" t="str">
        <f>IFERROR(IF(VLOOKUP(A1361,[9]PRIORIZADOS!$A:$I,9,FALSE)="","",VLOOKUP(A1361,[9]PRIORIZADOS!$A:$I,9,FALSE)),"")</f>
        <v>SEGUIMIENTO_Y_SUPERVISIÓN.</v>
      </c>
      <c r="J1361" s="11" t="str">
        <f>IFERROR(IF(VLOOKUP(A1361,[9]PRIORIZADOS!$A:$J,10,FALSE)="","",VLOOKUP(A1361,[9]PRIORIZADOS!$A:$J,10,FALSE)),"")</f>
        <v xml:space="preserve">Verificar la implementación por parte de los colegios, de acciones realizadas para la prevención y atención de las situaciones de convivencia en el entorno escolar, según lo establecido en la Directiva 01 de 2022 del MEN. </v>
      </c>
      <c r="K1361" s="11" t="str">
        <f>IFERROR(IF(VLOOKUP(A1361,[9]PRIORIZADOS!$A:$K,11,FALSE)="","",VLOOKUP(A1361,[9]PRIORIZADOS!$A:$K,11,FALSE)),"")</f>
        <v>LUIS ALEJANDRO MARTÍNEZ PALACIOS</v>
      </c>
      <c r="L1361" s="11" t="str">
        <f>IFERROR(IF(VLOOKUP(A1361,[9]PRIORIZADOS!$A:$L,12,FALSE)="","",VLOOKUP(A1361,[9]PRIORIZADOS!$A:$L,12,FALSE)),"")</f>
        <v>CARLOS EDUARDO VARGAS LÓPEZ</v>
      </c>
      <c r="M1361" s="71">
        <f>IFERROR(IF(VLOOKUP(A1361,[9]PRIORIZADOS!$A:$M,13,FALSE)="","",VLOOKUP(A1361,[9]PRIORIZADOS!$A:$M,13,FALSE)),"")</f>
        <v>45861</v>
      </c>
      <c r="N1361" s="71">
        <f>IFERROR(IF(VLOOKUP(A1361,[9]PRIORIZADOS!$A:$N,14,FALSE)="","",VLOOKUP(A1361,[9]PRIORIZADOS!$A:$N,14,FALSE)),"")</f>
        <v>45891</v>
      </c>
      <c r="O1361" s="71">
        <f>IFERROR(IF(VLOOKUP(A1361,[9]PRIORIZADOS!$A:$O,15,FALSE)="","",VLOOKUP(A1361,[9]PRIORIZADOS!$A:$O,15,FALSE)),"")</f>
        <v>45891</v>
      </c>
      <c r="P1361" s="11" t="str">
        <f>IFERROR(IF(VLOOKUP(A1361,[9]PRIORIZADOS!$A:$P,16,FALSE)="","",VLOOKUP(A1361,[9]PRIORIZADOS!$A:$P,16,FALSE)),"")</f>
        <v>Visitas de evaluación con fines de seguimiento</v>
      </c>
      <c r="Q1361" s="40" t="s">
        <v>329</v>
      </c>
      <c r="R1361" s="11" t="str">
        <f>IFERROR(IF(VLOOKUP(A1361,[9]PRIORIZADOS!$A:$R,18,FALSE)="","",VLOOKUP(A1361,[9]PRIORIZADOS!$A:$R,18,FALSE)),"")</f>
        <v>Se revisaron las hojas de vida de los docentes encontrando que se aporta la verificación de inhabilidades por delitos sexuales</v>
      </c>
      <c r="S1361" s="11" t="str">
        <f>IFERROR(IF(VLOOKUP(A1361,[9]PRIORIZADOS!$A:$S,19,FALSE)="","",VLOOKUP(A1361,[9]PRIORIZADOS!$A:$S,19,FALSE)),"")</f>
        <v>Continuar realizando la consulta de inhabilidades conforme con la periodicidad establecida en la Directiva.</v>
      </c>
      <c r="T1361" s="70" t="str">
        <f>IFERROR(IF(VLOOKUP(A1361,[9]PRIORIZADOS!$A:$T,20,FALSE)="","",VLOOKUP(A1361,[9]PRIORIZADOS!$A:$T,20,FALSE)),"")</f>
        <v>No</v>
      </c>
      <c r="U1361" s="11" t="str">
        <f>IFERROR(IF(VLOOKUP(A1361,[9]PRIORIZADOS!$A:$U,21,FALSE)="","",VLOOKUP(A1361,[9]PRIORIZADOS!$A:$U,21,FALSE)),"")</f>
        <v>A demanda de acuerdo con las peticiones de la ciudadanía o de los entes de control</v>
      </c>
    </row>
    <row r="1362" spans="1:21" s="1" customFormat="1" ht="72">
      <c r="A1362" s="69">
        <f>IF([9]PRIORIZADOS!A59="","",[9]PRIORIZADOS!A59)</f>
        <v>1303</v>
      </c>
      <c r="B1362" s="70">
        <f>IFERROR(IF(VLOOKUP(A1362,[9]PRIORIZADOS!$A:$B,2,FALSE)="","",VLOOKUP(A1362,[9]PRIORIZADOS!$A:$B,2,FALSE)),"")</f>
        <v>9</v>
      </c>
      <c r="C1362" s="11" t="str">
        <f>IFERROR(IF(VLOOKUP(A1362,[9]PRIORIZADOS!$A:$C,3,FALSE)="","",VLOOKUP(A1362,[9]PRIORIZADOS!$A:$C,3,FALSE)),"")</f>
        <v>LOS MÁRTIRES</v>
      </c>
      <c r="D1362" s="11" t="str">
        <f>IFERROR(IF(VLOOKUP(A1362,[9]PRIORIZADOS!$A:$D,4,FALSE)="","",VLOOKUP(A1362,[9]PRIORIZADOS!$A:$D,4,FALSE)),"")</f>
        <v>PRIVADO</v>
      </c>
      <c r="E1362" s="11" t="str">
        <f>IFERROR(IF(VLOOKUP(A1362,[9]PRIORIZADOS!$A:$E,5,FALSE)="","",VLOOKUP(A1362,[9]PRIORIZADOS!$A:$E,5,FALSE)),"")</f>
        <v>Educación de Jóvenes y Adultos</v>
      </c>
      <c r="F1362" s="11" t="str">
        <f>IFERROR(IF(VLOOKUP(A1362,[9]PRIORIZADOS!$A:$F,6,FALSE)="","",VLOOKUP(A1362,[9]PRIORIZADOS!$A:$F,6,FALSE)),"")</f>
        <v>COLEGIO_TRIANGULO_PALOQUEMAO</v>
      </c>
      <c r="G1362" s="11" t="str">
        <f>IFERROR(IF(VLOOKUP(A1362,[9]PRIORIZADOS!$A:$G,7,FALSE)="","",VLOOKUP(A1362,[9]PRIORIZADOS!$A:$G,7,FALSE)),"")</f>
        <v>COLEGIO TRIANGULO PALOQUEMAO</v>
      </c>
      <c r="H1362" s="11" t="str">
        <f>IFERROR(IF(VLOOKUP(A1362,[9]PRIORIZADOS!$A:$H,8,FALSE)="","",VLOOKUP(A1362,[9]PRIORIZADOS!$A:$H,8,FALSE)),"")</f>
        <v>Autoevaluación Institucional y Pruebas SABER 11</v>
      </c>
      <c r="I1362" s="11" t="str">
        <f>IFERROR(IF(VLOOKUP(A1362,[9]PRIORIZADOS!$A:$I,9,FALSE)="","",VLOOKUP(A1362,[9]PRIORIZADOS!$A:$I,9,FALSE)),"")</f>
        <v>SEGUIMIENTO_Y_SUPERVISIÓN.</v>
      </c>
      <c r="J1362" s="11" t="str">
        <f>IFERROR(IF(VLOOKUP(A1362,[9]PRIORIZADOS!$A:$J,10,FALSE)="","",VLOOKUP(A1362,[9]PRIORIZADOS!$A:$J,10,FALSE)),"")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62" s="11" t="str">
        <f>IFERROR(IF(VLOOKUP(A1362,[9]PRIORIZADOS!$A:$K,11,FALSE)="","",VLOOKUP(A1362,[9]PRIORIZADOS!$A:$K,11,FALSE)),"")</f>
        <v>LUIS ALEJANDRO MARTÍNEZ PALACIOS</v>
      </c>
      <c r="L1362" s="11" t="str">
        <f>IFERROR(IF(VLOOKUP(A1362,[9]PRIORIZADOS!$A:$L,12,FALSE)="","",VLOOKUP(A1362,[9]PRIORIZADOS!$A:$L,12,FALSE)),"")</f>
        <v>CARLOS EDUARDO VARGAS LÓPEZ</v>
      </c>
      <c r="M1362" s="71">
        <f>IFERROR(IF(VLOOKUP(A1362,[9]PRIORIZADOS!$A:$M,13,FALSE)="","",VLOOKUP(A1362,[9]PRIORIZADOS!$A:$M,13,FALSE)),"")</f>
        <v>45861</v>
      </c>
      <c r="N1362" s="71">
        <f>IFERROR(IF(VLOOKUP(A1362,[9]PRIORIZADOS!$A:$N,14,FALSE)="","",VLOOKUP(A1362,[9]PRIORIZADOS!$A:$N,14,FALSE)),"")</f>
        <v>45891</v>
      </c>
      <c r="O1362" s="71">
        <f>IFERROR(IF(VLOOKUP(A1362,[9]PRIORIZADOS!$A:$O,15,FALSE)="","",VLOOKUP(A1362,[9]PRIORIZADOS!$A:$O,15,FALSE)),"")</f>
        <v>45891</v>
      </c>
      <c r="P1362" s="11" t="str">
        <f>IFERROR(IF(VLOOKUP(A1362,[9]PRIORIZADOS!$A:$P,16,FALSE)="","",VLOOKUP(A1362,[9]PRIORIZADOS!$A:$P,16,FALSE)),"")</f>
        <v>Visitas de evaluación con fines de seguimiento</v>
      </c>
      <c r="Q1362" s="40" t="s">
        <v>329</v>
      </c>
      <c r="R1362" s="11" t="str">
        <f>IFERROR(IF(VLOOKUP(A1362,[9]PRIORIZADOS!$A:$R,18,FALSE)="","",VLOOKUP(A1362,[9]PRIORIZADOS!$A:$R,18,FALSE)),"")</f>
        <v>Según la información registrada en SIMAT y lo indicado por las directivas, la institución no cuenta con población estudiantil con diagnóstico reportado.</v>
      </c>
      <c r="S1362" s="11" t="str">
        <f>IFERROR(IF(VLOOKUP(A1362,[9]PRIORIZADOS!$A:$S,19,FALSE)="","",VLOOKUP(A1362,[9]PRIORIZADOS!$A:$S,19,FALSE)),"")</f>
        <v>Mantener actualizado el SIMAT</v>
      </c>
      <c r="T1362" s="70" t="str">
        <f>IFERROR(IF(VLOOKUP(A1362,[9]PRIORIZADOS!$A:$T,20,FALSE)="","",VLOOKUP(A1362,[9]PRIORIZADOS!$A:$T,20,FALSE)),"")</f>
        <v>NO</v>
      </c>
      <c r="U1362" s="11" t="str">
        <f>IFERROR(IF(VLOOKUP(A1362,[9]PRIORIZADOS!$A:$U,21,FALSE)="","",VLOOKUP(A1362,[9]PRIORIZADOS!$A:$U,21,FALSE)),"")</f>
        <v>A demanda de acuerdo con las peticiones de la ciudadanía o de los entes de control</v>
      </c>
    </row>
    <row r="1363" spans="1:21" s="1" customFormat="1" ht="84">
      <c r="A1363" s="69">
        <f>IF([9]PRIORIZADOS!A60="","",[9]PRIORIZADOS!A60)</f>
        <v>1304</v>
      </c>
      <c r="B1363" s="70">
        <f>IFERROR(IF(VLOOKUP(A1363,[9]PRIORIZADOS!$A:$B,2,FALSE)="","",VLOOKUP(A1363,[9]PRIORIZADOS!$A:$B,2,FALSE)),"")</f>
        <v>9</v>
      </c>
      <c r="C1363" s="11" t="str">
        <f>IFERROR(IF(VLOOKUP(A1363,[9]PRIORIZADOS!$A:$C,3,FALSE)="","",VLOOKUP(A1363,[9]PRIORIZADOS!$A:$C,3,FALSE)),"")</f>
        <v>LOS MÁRTIRES</v>
      </c>
      <c r="D1363" s="11" t="str">
        <f>IFERROR(IF(VLOOKUP(A1363,[9]PRIORIZADOS!$A:$D,4,FALSE)="","",VLOOKUP(A1363,[9]PRIORIZADOS!$A:$D,4,FALSE)),"")</f>
        <v>PRIVADO</v>
      </c>
      <c r="E1363" s="11" t="str">
        <f>IFERROR(IF(VLOOKUP(A1363,[9]PRIORIZADOS!$A:$E,5,FALSE)="","",VLOOKUP(A1363,[9]PRIORIZADOS!$A:$E,5,FALSE)),"")</f>
        <v>Educación de Jóvenes y Adultos</v>
      </c>
      <c r="F1363" s="11" t="str">
        <f>IFERROR(IF(VLOOKUP(A1363,[9]PRIORIZADOS!$A:$F,6,FALSE)="","",VLOOKUP(A1363,[9]PRIORIZADOS!$A:$F,6,FALSE)),"")</f>
        <v>COLEGIO_TRIANGULO_PALOQUEMAO</v>
      </c>
      <c r="G1363" s="11" t="str">
        <f>IFERROR(IF(VLOOKUP(A1363,[9]PRIORIZADOS!$A:$G,7,FALSE)="","",VLOOKUP(A1363,[9]PRIORIZADOS!$A:$G,7,FALSE)),"")</f>
        <v>COLEGIO TRIANGULO PALOQUEMAO</v>
      </c>
      <c r="H1363" s="11" t="str">
        <f>IFERROR(IF(VLOOKUP(A1363,[9]PRIORIZADOS!$A:$H,8,FALSE)="","",VLOOKUP(A1363,[9]PRIORIZADOS!$A:$H,8,FALSE)),"")</f>
        <v>Autoevaluación Institucional y Pruebas SABER 11</v>
      </c>
      <c r="I1363" s="11" t="str">
        <f>IFERROR(IF(VLOOKUP(A1363,[9]PRIORIZADOS!$A:$I,9,FALSE)="","",VLOOKUP(A1363,[9]PRIORIZADOS!$A:$I,9,FALSE)),"")</f>
        <v>EVALUACIÓN_CON_FINES_DE_MEJORAMIENTO.</v>
      </c>
      <c r="J1363" s="11" t="str">
        <f>IFERROR(IF(VLOOKUP(A1363,[9]PRIORIZADOS!$A:$J,10,FALSE)="","",VLOOKUP(A1363,[9]PRIORIZADOS!$A:$J,10,FALSE)),"")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63" s="11" t="str">
        <f>IFERROR(IF(VLOOKUP(A1363,[9]PRIORIZADOS!$A:$K,11,FALSE)="","",VLOOKUP(A1363,[9]PRIORIZADOS!$A:$K,11,FALSE)),"")</f>
        <v>LUIS ALEJANDRO MARTÍNEZ PALACIOS</v>
      </c>
      <c r="L1363" s="11" t="str">
        <f>IFERROR(IF(VLOOKUP(A1363,[9]PRIORIZADOS!$A:$L,12,FALSE)="","",VLOOKUP(A1363,[9]PRIORIZADOS!$A:$L,12,FALSE)),"")</f>
        <v>CARLOS EDUARDO VARGAS LÓPEZ</v>
      </c>
      <c r="M1363" s="71">
        <f>IFERROR(IF(VLOOKUP(A1363,[9]PRIORIZADOS!$A:$M,13,FALSE)="","",VLOOKUP(A1363,[9]PRIORIZADOS!$A:$M,13,FALSE)),"")</f>
        <v>45861</v>
      </c>
      <c r="N1363" s="71">
        <f>IFERROR(IF(VLOOKUP(A1363,[9]PRIORIZADOS!$A:$N,14,FALSE)="","",VLOOKUP(A1363,[9]PRIORIZADOS!$A:$N,14,FALSE)),"")</f>
        <v>45891</v>
      </c>
      <c r="O1363" s="71">
        <f>IFERROR(IF(VLOOKUP(A1363,[9]PRIORIZADOS!$A:$O,15,FALSE)="","",VLOOKUP(A1363,[9]PRIORIZADOS!$A:$O,15,FALSE)),"")</f>
        <v>45891</v>
      </c>
      <c r="P1363" s="11" t="str">
        <f>IFERROR(IF(VLOOKUP(A1363,[9]PRIORIZADOS!$A:$P,16,FALSE)="","",VLOOKUP(A1363,[9]PRIORIZADOS!$A:$P,16,FALSE)),"")</f>
        <v>Visitas de evaluación con fines de seguimiento</v>
      </c>
      <c r="Q1363" s="40" t="s">
        <v>329</v>
      </c>
      <c r="R1363" s="11" t="str">
        <f>IFERROR(IF(VLOOKUP(A1363,[9]PRIORIZADOS!$A:$R,18,FALSE)="","",VLOOKUP(A1363,[9]PRIORIZADOS!$A:$R,18,FALSE)),"")</f>
        <v>Se verificó la existencia del Manual de Convivencia, en documento presentado en 114 páginas; sin embargo, no se evidenció el desarrollo de enfoques como el de justicia escolar restaurativa</v>
      </c>
      <c r="S1363" s="11" t="str">
        <f>IFERROR(IF(VLOOKUP(A1363,[9]PRIORIZADOS!$A:$S,19,FALSE)="","",VLOOKUP(A1363,[9]PRIORIZADOS!$A:$S,19,FALSE)),"")</f>
        <v>Revisar su Manual y actualizarlo con la participación de los órganos e instancias correspondientes y presentarlo para su evaluación.</v>
      </c>
      <c r="T1363" s="70" t="str">
        <f>IFERROR(IF(VLOOKUP(A1363,[9]PRIORIZADOS!$A:$T,20,FALSE)="","",VLOOKUP(A1363,[9]PRIORIZADOS!$A:$T,20,FALSE)),"")</f>
        <v>Si</v>
      </c>
      <c r="U1363" s="11" t="str">
        <f>IFERROR(IF(VLOOKUP(A1363,[9]PRIORIZADOS!$A:$U,21,FALSE)="","",VLOOKUP(A1363,[9]PRIORIZADOS!$A:$U,21,FALSE)),"")</f>
        <v>Evaluación del Manual de Convivencia actualizado en febrero de 2026</v>
      </c>
    </row>
    <row r="1364" spans="1:21" s="1" customFormat="1" ht="48">
      <c r="A1364" s="69">
        <f>IF([9]PRIORIZADOS!A61="","",[9]PRIORIZADOS!A61)</f>
        <v>1305</v>
      </c>
      <c r="B1364" s="70">
        <f>IFERROR(IF(VLOOKUP(A1364,[9]PRIORIZADOS!$A:$B,2,FALSE)="","",VLOOKUP(A1364,[9]PRIORIZADOS!$A:$B,2,FALSE)),"")</f>
        <v>9</v>
      </c>
      <c r="C1364" s="11" t="str">
        <f>IFERROR(IF(VLOOKUP(A1364,[9]PRIORIZADOS!$A:$C,3,FALSE)="","",VLOOKUP(A1364,[9]PRIORIZADOS!$A:$C,3,FALSE)),"")</f>
        <v>LOS MÁRTIRES</v>
      </c>
      <c r="D1364" s="11" t="str">
        <f>IFERROR(IF(VLOOKUP(A1364,[9]PRIORIZADOS!$A:$D,4,FALSE)="","",VLOOKUP(A1364,[9]PRIORIZADOS!$A:$D,4,FALSE)),"")</f>
        <v>PRIVADO</v>
      </c>
      <c r="E1364" s="11" t="str">
        <f>IFERROR(IF(VLOOKUP(A1364,[9]PRIORIZADOS!$A:$E,5,FALSE)="","",VLOOKUP(A1364,[9]PRIORIZADOS!$A:$E,5,FALSE)),"")</f>
        <v>Educación de Jóvenes y Adultos</v>
      </c>
      <c r="F1364" s="11" t="str">
        <f>IFERROR(IF(VLOOKUP(A1364,[9]PRIORIZADOS!$A:$F,6,FALSE)="","",VLOOKUP(A1364,[9]PRIORIZADOS!$A:$F,6,FALSE)),"")</f>
        <v>COLEGIO_TRIANGULO_PALOQUEMAO</v>
      </c>
      <c r="G1364" s="11" t="str">
        <f>IFERROR(IF(VLOOKUP(A1364,[9]PRIORIZADOS!$A:$G,7,FALSE)="","",VLOOKUP(A1364,[9]PRIORIZADOS!$A:$G,7,FALSE)),"")</f>
        <v>COLEGIO TRIANGULO PALOQUEMAO</v>
      </c>
      <c r="H1364" s="11" t="str">
        <f>IFERROR(IF(VLOOKUP(A1364,[9]PRIORIZADOS!$A:$H,8,FALSE)="","",VLOOKUP(A1364,[9]PRIORIZADOS!$A:$H,8,FALSE)),"")</f>
        <v>Autoevaluación Institucional y Pruebas SABER 11</v>
      </c>
      <c r="I1364" s="11" t="str">
        <f>IFERROR(IF(VLOOKUP(A1364,[9]PRIORIZADOS!$A:$I,9,FALSE)="","",VLOOKUP(A1364,[9]PRIORIZADOS!$A:$I,9,FALSE)),"")</f>
        <v>EVALUACIÓN_CON_FINES_DE_MEJORAMIENTO.</v>
      </c>
      <c r="J1364" s="11" t="str">
        <f>IFERROR(IF(VLOOKUP(A1364,[9]PRIORIZADOS!$A:$J,10,FALSE)="","",VLOOKUP(A1364,[9]PRIORIZADOS!$A:$J,10,FALSE)),"")</f>
        <v>Revisar la actualización, socialización e implementación del Sistema Institucional de Evaluación de Estudiantes - SIEE, en articulación con la actualización del PEI y la normatividad vigente.</v>
      </c>
      <c r="K1364" s="11" t="str">
        <f>IFERROR(IF(VLOOKUP(A1364,[9]PRIORIZADOS!$A:$K,11,FALSE)="","",VLOOKUP(A1364,[9]PRIORIZADOS!$A:$K,11,FALSE)),"")</f>
        <v>LUIS ALEJANDRO MARTÍNEZ PALACIOS</v>
      </c>
      <c r="L1364" s="11" t="str">
        <f>IFERROR(IF(VLOOKUP(A1364,[9]PRIORIZADOS!$A:$L,12,FALSE)="","",VLOOKUP(A1364,[9]PRIORIZADOS!$A:$L,12,FALSE)),"")</f>
        <v>CARLOS EDUARDO VARGAS LÓPEZ</v>
      </c>
      <c r="M1364" s="71">
        <f>IFERROR(IF(VLOOKUP(A1364,[9]PRIORIZADOS!$A:$M,13,FALSE)="","",VLOOKUP(A1364,[9]PRIORIZADOS!$A:$M,13,FALSE)),"")</f>
        <v>45861</v>
      </c>
      <c r="N1364" s="71">
        <f>IFERROR(IF(VLOOKUP(A1364,[9]PRIORIZADOS!$A:$N,14,FALSE)="","",VLOOKUP(A1364,[9]PRIORIZADOS!$A:$N,14,FALSE)),"")</f>
        <v>45891</v>
      </c>
      <c r="O1364" s="71">
        <f>IFERROR(IF(VLOOKUP(A1364,[9]PRIORIZADOS!$A:$O,15,FALSE)="","",VLOOKUP(A1364,[9]PRIORIZADOS!$A:$O,15,FALSE)),"")</f>
        <v>45891</v>
      </c>
      <c r="P1364" s="11" t="str">
        <f>IFERROR(IF(VLOOKUP(A1364,[9]PRIORIZADOS!$A:$P,16,FALSE)="","",VLOOKUP(A1364,[9]PRIORIZADOS!$A:$P,16,FALSE)),"")</f>
        <v>Visitas de evaluación con fines de seguimiento</v>
      </c>
      <c r="Q1364" s="40" t="s">
        <v>329</v>
      </c>
      <c r="R1364" s="11" t="str">
        <f>IFERROR(IF(VLOOKUP(A1364,[9]PRIORIZADOS!$A:$R,18,FALSE)="","",VLOOKUP(A1364,[9]PRIORIZADOS!$A:$R,18,FALSE)),"")</f>
        <v>El SIEE se encuentra incluido en el Manual de Convivencia el cual da cuenta de la normatividad vigente</v>
      </c>
      <c r="S1364" s="11" t="str">
        <f>IFERROR(IF(VLOOKUP(A1364,[9]PRIORIZADOS!$A:$S,19,FALSE)="","",VLOOKUP(A1364,[9]PRIORIZADOS!$A:$S,19,FALSE)),"")</f>
        <v>Revisar su SIEE y actualizarlo con la participación de los órganos e instancias correspondientes y presentarlo para su evaluación.</v>
      </c>
      <c r="T1364" s="70" t="str">
        <f>IFERROR(IF(VLOOKUP(A1364,[9]PRIORIZADOS!$A:$T,20,FALSE)="","",VLOOKUP(A1364,[9]PRIORIZADOS!$A:$T,20,FALSE)),"")</f>
        <v>Si</v>
      </c>
      <c r="U1364" s="11" t="str">
        <f>IFERROR(IF(VLOOKUP(A1364,[9]PRIORIZADOS!$A:$U,21,FALSE)="","",VLOOKUP(A1364,[9]PRIORIZADOS!$A:$U,21,FALSE)),"")</f>
        <v>Evaluación del SIEE actualizado en febrero de 2026</v>
      </c>
    </row>
    <row r="1365" spans="1:21" s="1" customFormat="1" ht="60">
      <c r="A1365" s="69">
        <f>IF([9]PRIORIZADOS!A62="","",[9]PRIORIZADOS!A62)</f>
        <v>1306</v>
      </c>
      <c r="B1365" s="70">
        <f>IFERROR(IF(VLOOKUP(A1365,[9]PRIORIZADOS!$A:$B,2,FALSE)="","",VLOOKUP(A1365,[9]PRIORIZADOS!$A:$B,2,FALSE)),"")</f>
        <v>9</v>
      </c>
      <c r="C1365" s="11" t="str">
        <f>IFERROR(IF(VLOOKUP(A1365,[9]PRIORIZADOS!$A:$C,3,FALSE)="","",VLOOKUP(A1365,[9]PRIORIZADOS!$A:$C,3,FALSE)),"")</f>
        <v>LOS MÁRTIRES</v>
      </c>
      <c r="D1365" s="11" t="str">
        <f>IFERROR(IF(VLOOKUP(A1365,[9]PRIORIZADOS!$A:$D,4,FALSE)="","",VLOOKUP(A1365,[9]PRIORIZADOS!$A:$D,4,FALSE)),"")</f>
        <v>PRIVADO</v>
      </c>
      <c r="E1365" s="11" t="str">
        <f>IFERROR(IF(VLOOKUP(A1365,[9]PRIORIZADOS!$A:$E,5,FALSE)="","",VLOOKUP(A1365,[9]PRIORIZADOS!$A:$E,5,FALSE)),"")</f>
        <v>Educación de Jóvenes y Adultos</v>
      </c>
      <c r="F1365" s="11" t="str">
        <f>IFERROR(IF(VLOOKUP(A1365,[9]PRIORIZADOS!$A:$F,6,FALSE)="","",VLOOKUP(A1365,[9]PRIORIZADOS!$A:$F,6,FALSE)),"")</f>
        <v>COLEGIO_TRIANGULO_PALOQUEMAO</v>
      </c>
      <c r="G1365" s="11" t="str">
        <f>IFERROR(IF(VLOOKUP(A1365,[9]PRIORIZADOS!$A:$G,7,FALSE)="","",VLOOKUP(A1365,[9]PRIORIZADOS!$A:$G,7,FALSE)),"")</f>
        <v>COLEGIO TRIANGULO PALOQUEMAO</v>
      </c>
      <c r="H1365" s="11" t="str">
        <f>IFERROR(IF(VLOOKUP(A1365,[9]PRIORIZADOS!$A:$H,8,FALSE)="","",VLOOKUP(A1365,[9]PRIORIZADOS!$A:$H,8,FALSE)),"")</f>
        <v>Autoevaluación Institucional y Pruebas SABER 11</v>
      </c>
      <c r="I1365" s="11" t="str">
        <f>IFERROR(IF(VLOOKUP(A1365,[9]PRIORIZADOS!$A:$I,9,FALSE)="","",VLOOKUP(A1365,[9]PRIORIZADOS!$A:$I,9,FALSE)),"")</f>
        <v>EVALUACIÓN_CON_FINES_DE_MEJORAMIENTO.</v>
      </c>
      <c r="J1365" s="11" t="str">
        <f>IFERROR(IF(VLOOKUP(A1365,[9]PRIORIZADOS!$A:$J,10,FALSE)="","",VLOOKUP(A1365,[9]PRIORIZADOS!$A:$J,10,FALSE)),"")</f>
        <v>Revisar el calendario escolar, jornada escolar, la intensidad horaria mínima anual en cada nivel y las modificaciones que se realicen al mismo, de acuerdo con lo previsto en la normatividad vigente.</v>
      </c>
      <c r="K1365" s="11" t="str">
        <f>IFERROR(IF(VLOOKUP(A1365,[9]PRIORIZADOS!$A:$K,11,FALSE)="","",VLOOKUP(A1365,[9]PRIORIZADOS!$A:$K,11,FALSE)),"")</f>
        <v>LUIS ALEJANDRO MARTÍNEZ PALACIOS</v>
      </c>
      <c r="L1365" s="11" t="str">
        <f>IFERROR(IF(VLOOKUP(A1365,[9]PRIORIZADOS!$A:$L,12,FALSE)="","",VLOOKUP(A1365,[9]PRIORIZADOS!$A:$L,12,FALSE)),"")</f>
        <v>CARLOS EDUARDO VARGAS LÓPEZ</v>
      </c>
      <c r="M1365" s="71">
        <f>IFERROR(IF(VLOOKUP(A1365,[9]PRIORIZADOS!$A:$M,13,FALSE)="","",VLOOKUP(A1365,[9]PRIORIZADOS!$A:$M,13,FALSE)),"")</f>
        <v>45861</v>
      </c>
      <c r="N1365" s="71">
        <f>IFERROR(IF(VLOOKUP(A1365,[9]PRIORIZADOS!$A:$N,14,FALSE)="","",VLOOKUP(A1365,[9]PRIORIZADOS!$A:$N,14,FALSE)),"")</f>
        <v>45891</v>
      </c>
      <c r="O1365" s="71">
        <f>IFERROR(IF(VLOOKUP(A1365,[9]PRIORIZADOS!$A:$O,15,FALSE)="","",VLOOKUP(A1365,[9]PRIORIZADOS!$A:$O,15,FALSE)),"")</f>
        <v>45891</v>
      </c>
      <c r="P1365" s="11" t="str">
        <f>IFERROR(IF(VLOOKUP(A1365,[9]PRIORIZADOS!$A:$P,16,FALSE)="","",VLOOKUP(A1365,[9]PRIORIZADOS!$A:$P,16,FALSE)),"")</f>
        <v>Visitas de evaluación con fines de seguimiento</v>
      </c>
      <c r="Q1365" s="40" t="s">
        <v>329</v>
      </c>
      <c r="R1365" s="11" t="str">
        <f>IFERROR(IF(VLOOKUP(A1365,[9]PRIORIZADOS!$A:$R,18,FALSE)="","",VLOOKUP(A1365,[9]PRIORIZADOS!$A:$R,18,FALSE)),"")</f>
        <v>Se verificó el cumplimiento del mínimo de horas anuales lectivas para la eduación de adultos, acorde con lo establecido en el articulo 2.3.3.5.3.4.4. del Decreto 1075 de 2015</v>
      </c>
      <c r="S1365" s="11" t="str">
        <f>IFERROR(IF(VLOOKUP(A1365,[9]PRIORIZADOS!$A:$S,19,FALSE)="","",VLOOKUP(A1365,[9]PRIORIZADOS!$A:$S,19,FALSE)),"")</f>
        <v>Dar cumplimiento a la normatividad vigente, respecto de horas mínimas para los niveles de la educación formal.</v>
      </c>
      <c r="T1365" s="70" t="str">
        <f>IFERROR(IF(VLOOKUP(A1365,[9]PRIORIZADOS!$A:$T,20,FALSE)="","",VLOOKUP(A1365,[9]PRIORIZADOS!$A:$T,20,FALSE)),"")</f>
        <v>No</v>
      </c>
      <c r="U1365" s="11" t="str">
        <f>IFERROR(IF(VLOOKUP(A1365,[9]PRIORIZADOS!$A:$U,21,FALSE)="","",VLOOKUP(A1365,[9]PRIORIZADOS!$A:$U,21,FALSE)),"")</f>
        <v>Verificación para la próxima vigencia del Calendario establecido o en caso particular si se presenta queja relacionada.</v>
      </c>
    </row>
    <row r="1366" spans="1:21" s="1" customFormat="1" ht="96">
      <c r="A1366" s="69">
        <f>IF([9]PRIORIZADOS!A63="","",[9]PRIORIZADOS!A63)</f>
        <v>1307</v>
      </c>
      <c r="B1366" s="70">
        <f>IFERROR(IF(VLOOKUP(A1366,[9]PRIORIZADOS!$A:$B,2,FALSE)="","",VLOOKUP(A1366,[9]PRIORIZADOS!$A:$B,2,FALSE)),"")</f>
        <v>9</v>
      </c>
      <c r="C1366" s="11" t="str">
        <f>IFERROR(IF(VLOOKUP(A1366,[9]PRIORIZADOS!$A:$C,3,FALSE)="","",VLOOKUP(A1366,[9]PRIORIZADOS!$A:$C,3,FALSE)),"")</f>
        <v>LOS MÁRTIRES</v>
      </c>
      <c r="D1366" s="11" t="str">
        <f>IFERROR(IF(VLOOKUP(A1366,[9]PRIORIZADOS!$A:$D,4,FALSE)="","",VLOOKUP(A1366,[9]PRIORIZADOS!$A:$D,4,FALSE)),"")</f>
        <v>PRIVADO</v>
      </c>
      <c r="E1366" s="11" t="str">
        <f>IFERROR(IF(VLOOKUP(A1366,[9]PRIORIZADOS!$A:$E,5,FALSE)="","",VLOOKUP(A1366,[9]PRIORIZADOS!$A:$E,5,FALSE)),"")</f>
        <v>Educación de Jóvenes y Adultos</v>
      </c>
      <c r="F1366" s="11" t="str">
        <f>IFERROR(IF(VLOOKUP(A1366,[9]PRIORIZADOS!$A:$F,6,FALSE)="","",VLOOKUP(A1366,[9]PRIORIZADOS!$A:$F,6,FALSE)),"")</f>
        <v>COLEGIO_TRIANGULO_PALOQUEMAO</v>
      </c>
      <c r="G1366" s="11" t="str">
        <f>IFERROR(IF(VLOOKUP(A1366,[9]PRIORIZADOS!$A:$G,7,FALSE)="","",VLOOKUP(A1366,[9]PRIORIZADOS!$A:$G,7,FALSE)),"")</f>
        <v>COLEGIO TRIANGULO PALOQUEMAO</v>
      </c>
      <c r="H1366" s="11" t="str">
        <f>IFERROR(IF(VLOOKUP(A1366,[9]PRIORIZADOS!$A:$H,8,FALSE)="","",VLOOKUP(A1366,[9]PRIORIZADOS!$A:$H,8,FALSE)),"")</f>
        <v>Autoevaluación Institucional y Pruebas SABER 11</v>
      </c>
      <c r="I1366" s="11" t="str">
        <f>IFERROR(IF(VLOOKUP(A1366,[9]PRIORIZADOS!$A:$I,9,FALSE)="","",VLOOKUP(A1366,[9]PRIORIZADOS!$A:$I,9,FALSE)),"")</f>
        <v>EVALUACIÓN_CON_FINES_DE_MEJORAMIENTO.</v>
      </c>
      <c r="J1366" s="11" t="str">
        <f>IFERROR(IF(VLOOKUP(A1366,[9]PRIORIZADOS!$A:$J,10,FALSE)="","",VLOOKUP(A1366,[9]PRIORIZADOS!$A:$J,10,FALSE)),"")</f>
        <v>Verificar el funcionamiento del Gobierno Escolar e instancias de participación con base en la información sobre conformación reportada por la institución educativa.</v>
      </c>
      <c r="K1366" s="11" t="str">
        <f>IFERROR(IF(VLOOKUP(A1366,[9]PRIORIZADOS!$A:$K,11,FALSE)="","",VLOOKUP(A1366,[9]PRIORIZADOS!$A:$K,11,FALSE)),"")</f>
        <v>LUIS ALEJANDRO MARTÍNEZ PALACIOS</v>
      </c>
      <c r="L1366" s="11" t="str">
        <f>IFERROR(IF(VLOOKUP(A1366,[9]PRIORIZADOS!$A:$L,12,FALSE)="","",VLOOKUP(A1366,[9]PRIORIZADOS!$A:$L,12,FALSE)),"")</f>
        <v>CARLOS EDUARDO VARGAS LÓPEZ</v>
      </c>
      <c r="M1366" s="71">
        <f>IFERROR(IF(VLOOKUP(A1366,[9]PRIORIZADOS!$A:$M,13,FALSE)="","",VLOOKUP(A1366,[9]PRIORIZADOS!$A:$M,13,FALSE)),"")</f>
        <v>45861</v>
      </c>
      <c r="N1366" s="71">
        <f>IFERROR(IF(VLOOKUP(A1366,[9]PRIORIZADOS!$A:$N,14,FALSE)="","",VLOOKUP(A1366,[9]PRIORIZADOS!$A:$N,14,FALSE)),"")</f>
        <v>45891</v>
      </c>
      <c r="O1366" s="71">
        <f>IFERROR(IF(VLOOKUP(A1366,[9]PRIORIZADOS!$A:$O,15,FALSE)="","",VLOOKUP(A1366,[9]PRIORIZADOS!$A:$O,15,FALSE)),"")</f>
        <v>45891</v>
      </c>
      <c r="P1366" s="11" t="str">
        <f>IFERROR(IF(VLOOKUP(A1366,[9]PRIORIZADOS!$A:$P,16,FALSE)="","",VLOOKUP(A1366,[9]PRIORIZADOS!$A:$P,16,FALSE)),"")</f>
        <v>Visitas de evaluación con fines de seguimiento</v>
      </c>
      <c r="Q1366" s="40" t="s">
        <v>329</v>
      </c>
      <c r="R1366" s="11" t="str">
        <f>IFERROR(IF(VLOOKUP(A1366,[9]PRIORIZADOS!$A:$R,18,FALSE)="","",VLOOKUP(A1366,[9]PRIORIZADOS!$A:$R,18,FALSE)),"")</f>
        <v>Se revisan actas del año lectivo 2024 de los diferentes espacios de gobierno escolar y de otras instancias de participación. Se observa la operatividad del gobierno escolar, sin embargo, no se cuenta con el Consejo de Padres de Familia, por lo cual es necesario realizar el proceso para su conformación.</v>
      </c>
      <c r="S1366" s="11" t="str">
        <f>IFERROR(IF(VLOOKUP(A1366,[9]PRIORIZADOS!$A:$S,19,FALSE)="","",VLOOKUP(A1366,[9]PRIORIZADOS!$A:$S,19,FALSE)),"")</f>
        <v>Realizar las sesiones de gobiernos escolares e instancias segun sus funciones y en la periodicida establecida en la normatividad vigente</v>
      </c>
      <c r="T1366" s="70" t="str">
        <f>IFERROR(IF(VLOOKUP(A1366,[9]PRIORIZADOS!$A:$T,20,FALSE)="","",VLOOKUP(A1366,[9]PRIORIZADOS!$A:$T,20,FALSE)),"")</f>
        <v>SI</v>
      </c>
      <c r="U1366" s="11" t="str">
        <f>IFERROR(IF(VLOOKUP(A1366,[9]PRIORIZADOS!$A:$U,21,FALSE)="","",VLOOKUP(A1366,[9]PRIORIZADOS!$A:$U,21,FALSE)),"")</f>
        <v xml:space="preserve">Verificación en próxima visita administrativa según programación POAIV del 2026.
</v>
      </c>
    </row>
    <row r="1367" spans="1:21" s="1" customFormat="1" ht="107.25">
      <c r="A1367" s="69">
        <f>IF([9]PRIORIZADOS!A64="","",[9]PRIORIZADOS!A64)</f>
        <v>1308</v>
      </c>
      <c r="B1367" s="70">
        <f>IFERROR(IF(VLOOKUP(A1367,[9]PRIORIZADOS!$A:$B,2,FALSE)="","",VLOOKUP(A1367,[9]PRIORIZADOS!$A:$B,2,FALSE)),"")</f>
        <v>9</v>
      </c>
      <c r="C1367" s="11" t="str">
        <f>IFERROR(IF(VLOOKUP(A1367,[9]PRIORIZADOS!$A:$C,3,FALSE)="","",VLOOKUP(A1367,[9]PRIORIZADOS!$A:$C,3,FALSE)),"")</f>
        <v>LOS MÁRTIRES</v>
      </c>
      <c r="D1367" s="11" t="str">
        <f>IFERROR(IF(VLOOKUP(A1367,[9]PRIORIZADOS!$A:$D,4,FALSE)="","",VLOOKUP(A1367,[9]PRIORIZADOS!$A:$D,4,FALSE)),"")</f>
        <v>PRIVADO</v>
      </c>
      <c r="E1367" s="11" t="str">
        <f>IFERROR(IF(VLOOKUP(A1367,[9]PRIORIZADOS!$A:$E,5,FALSE)="","",VLOOKUP(A1367,[9]PRIORIZADOS!$A:$E,5,FALSE)),"")</f>
        <v>Educación de Jóvenes y Adultos</v>
      </c>
      <c r="F1367" s="11" t="str">
        <f>IFERROR(IF(VLOOKUP(A1367,[9]PRIORIZADOS!$A:$F,6,FALSE)="","",VLOOKUP(A1367,[9]PRIORIZADOS!$A:$F,6,FALSE)),"")</f>
        <v>COLEGIO_TRIANGULO_PALOQUEMAO</v>
      </c>
      <c r="G1367" s="11" t="str">
        <f>IFERROR(IF(VLOOKUP(A1367,[9]PRIORIZADOS!$A:$G,7,FALSE)="","",VLOOKUP(A1367,[9]PRIORIZADOS!$A:$G,7,FALSE)),"")</f>
        <v>COLEGIO TRIANGULO PALOQUEMAO</v>
      </c>
      <c r="H1367" s="11" t="str">
        <f>IFERROR(IF(VLOOKUP(A1367,[9]PRIORIZADOS!$A:$H,8,FALSE)="","",VLOOKUP(A1367,[9]PRIORIZADOS!$A:$H,8,FALSE)),"")</f>
        <v>Autoevaluación Institucional y Pruebas SABER 11</v>
      </c>
      <c r="I1367" s="11" t="str">
        <f>IFERROR(IF(VLOOKUP(A1367,[9]PRIORIZADOS!$A:$I,9,FALSE)="","",VLOOKUP(A1367,[9]PRIORIZADOS!$A:$I,9,FALSE)),"")</f>
        <v>EVALUACIÓN_CON_FINES_DE_MEJORAMIENTO.</v>
      </c>
      <c r="J1367" s="11" t="str">
        <f>IFERROR(IF(VLOOKUP(A1367,[9]PRIORIZADOS!$A:$J,10,FALSE)="","",VLOOKUP(A1367,[9]PRIORIZADOS!$A:$J,10,FALSE)),"")</f>
        <v>Verificar las condiciones en cuanto a: la estructura administrativa, condiciones de la planta física y medios educativos adecuados.</v>
      </c>
      <c r="K1367" s="11" t="str">
        <f>IFERROR(IF(VLOOKUP(A1367,[9]PRIORIZADOS!$A:$K,11,FALSE)="","",VLOOKUP(A1367,[9]PRIORIZADOS!$A:$K,11,FALSE)),"")</f>
        <v>LUIS ALEJANDRO MARTÍNEZ PALACIOS</v>
      </c>
      <c r="L1367" s="11" t="str">
        <f>IFERROR(IF(VLOOKUP(A1367,[9]PRIORIZADOS!$A:$L,12,FALSE)="","",VLOOKUP(A1367,[9]PRIORIZADOS!$A:$L,12,FALSE)),"")</f>
        <v>CARLOS EDUARDO VARGAS LÓPEZ</v>
      </c>
      <c r="M1367" s="71">
        <f>IFERROR(IF(VLOOKUP(A1367,[9]PRIORIZADOS!$A:$M,13,FALSE)="","",VLOOKUP(A1367,[9]PRIORIZADOS!$A:$M,13,FALSE)),"")</f>
        <v>45861</v>
      </c>
      <c r="N1367" s="71">
        <f>IFERROR(IF(VLOOKUP(A1367,[9]PRIORIZADOS!$A:$N,14,FALSE)="","",VLOOKUP(A1367,[9]PRIORIZADOS!$A:$N,14,FALSE)),"")</f>
        <v>45891</v>
      </c>
      <c r="O1367" s="71">
        <f>IFERROR(IF(VLOOKUP(A1367,[9]PRIORIZADOS!$A:$O,15,FALSE)="","",VLOOKUP(A1367,[9]PRIORIZADOS!$A:$O,15,FALSE)),"")</f>
        <v>45891</v>
      </c>
      <c r="P1367" s="11" t="str">
        <f>IFERROR(IF(VLOOKUP(A1367,[9]PRIORIZADOS!$A:$P,16,FALSE)="","",VLOOKUP(A1367,[9]PRIORIZADOS!$A:$P,16,FALSE)),"")</f>
        <v>Visitas de evaluación con fines de seguimiento</v>
      </c>
      <c r="Q1367" s="40" t="s">
        <v>329</v>
      </c>
      <c r="R1367" s="11" t="str">
        <f>IFERROR(IF(VLOOKUP(A1367,[9]PRIORIZADOS!$A:$R,18,FALSE)="","",VLOOKUP(A1367,[9]PRIORIZADOS!$A:$R,18,FALSE)),"")</f>
        <v>Se realizó la evaluación de las aulas, talleres, laboratorios, áreas administrativas, servicios sanitarios, zonas deportivas y demás instalaciones, considerando sus características físicas, mobiliario, equipamiento, accesibilidad y conectividad. Como resultado, se determinó que dichas instalaciones cumplen con la normativa vigente.</v>
      </c>
      <c r="S1367" s="11" t="str">
        <f>IFERROR(IF(VLOOKUP(A1367,[9]PRIORIZADOS!$A:$S,19,FALSE)="","",VLOOKUP(A1367,[9]PRIORIZADOS!$A:$S,19,FALSE)),"")</f>
        <v>Mantener las condiciones para la prestación del servicio educativo</v>
      </c>
      <c r="T1367" s="70" t="str">
        <f>IFERROR(IF(VLOOKUP(A1367,[9]PRIORIZADOS!$A:$T,20,FALSE)="","",VLOOKUP(A1367,[9]PRIORIZADOS!$A:$T,20,FALSE)),"")</f>
        <v>No</v>
      </c>
      <c r="U1367" s="11" t="str">
        <f>IFERROR(IF(VLOOKUP(A1367,[9]PRIORIZADOS!$A:$U,21,FALSE)="","",VLOOKUP(A1367,[9]PRIORIZADOS!$A:$U,21,FALSE)),"")</f>
        <v>Según programación del Plan Operativo Anual del equipo local de inspección y vigilancia para lo restante de 2025 y para el 2026</v>
      </c>
    </row>
    <row r="1368" spans="1:21" s="1" customFormat="1" ht="84">
      <c r="A1368" s="69">
        <f>IF([9]PRIORIZADOS!A65="","",[9]PRIORIZADOS!A65)</f>
        <v>1309</v>
      </c>
      <c r="B1368" s="70">
        <f>IFERROR(IF(VLOOKUP(A1368,[9]PRIORIZADOS!$A:$B,2,FALSE)="","",VLOOKUP(A1368,[9]PRIORIZADOS!$A:$B,2,FALSE)),"")</f>
        <v>10</v>
      </c>
      <c r="C1368" s="11" t="str">
        <f>IFERROR(IF(VLOOKUP(A1368,[9]PRIORIZADOS!$A:$C,3,FALSE)="","",VLOOKUP(A1368,[9]PRIORIZADOS!$A:$C,3,FALSE)),"")</f>
        <v>LOS MÁRTIRES</v>
      </c>
      <c r="D1368" s="11" t="str">
        <f>IFERROR(IF(VLOOKUP(A1368,[9]PRIORIZADOS!$A:$D,4,FALSE)="","",VLOOKUP(A1368,[9]PRIORIZADOS!$A:$D,4,FALSE)),"")</f>
        <v>PRIVADO_IETDH</v>
      </c>
      <c r="E1368" s="11" t="str">
        <f>IFERROR(IF(VLOOKUP(A1368,[9]PRIORIZADOS!$A:$E,5,FALSE)="","",VLOOKUP(A1368,[9]PRIORIZADOS!$A:$E,5,FALSE)),"")</f>
        <v>IETDH</v>
      </c>
      <c r="F1368" s="11" t="str">
        <f>IFERROR(IF(VLOOKUP(A1368,[9]PRIORIZADOS!$A:$F,6,FALSE)="","",VLOOKUP(A1368,[9]PRIORIZADOS!$A:$F,6,FALSE)),"")</f>
        <v>ESCUELA_DE_FORMACIÓN_TÉCNICA_AUTOMOTRÍZ</v>
      </c>
      <c r="G1368" s="11" t="str">
        <f>IFERROR(IF(VLOOKUP(A1368,[9]PRIORIZADOS!$A:$G,7,FALSE)="","",VLOOKUP(A1368,[9]PRIORIZADOS!$A:$G,7,FALSE)),"")</f>
        <v>ESCUELA DE FORMACIÓN TÉCNICA AUTOMOTRÍZ</v>
      </c>
      <c r="H1368" s="11" t="str">
        <f>IFERROR(IF(VLOOKUP(A1368,[9]PRIORIZADOS!$A:$H,8,FALSE)="","",VLOOKUP(A1368,[9]PRIORIZADOS!$A:$H,8,FALSE)),"")</f>
        <v>IETDH priorizadas por cada ELIV (seguimiento a PMI, que no se hayan visitado en los últimos 3 años)</v>
      </c>
      <c r="I1368" s="11" t="str">
        <f>IFERROR(IF(VLOOKUP(A1368,[9]PRIORIZADOS!$A:$I,9,FALSE)="","",VLOOKUP(A1368,[9]PRIORIZADOS!$A:$I,9,FALSE)),"")</f>
        <v>SEGUIMIENTO_Y_SUPERVISIÓN.</v>
      </c>
      <c r="J1368" s="11" t="str">
        <f>IFERROR(IF(VLOOKUP(A1368,[9]PRIORIZADOS!$A:$J,10,FALSE)="","",VLOOKUP(A1368,[9]PRIORIZADOS!$A:$J,10,FALSE)),"")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368" s="11" t="str">
        <f>IFERROR(IF(VLOOKUP(A1368,[9]PRIORIZADOS!$A:$K,11,FALSE)="","",VLOOKUP(A1368,[9]PRIORIZADOS!$A:$K,11,FALSE)),"")</f>
        <v>LUIS ALEJANDRO MARTÍNEZ PALACIOS</v>
      </c>
      <c r="L1368" s="11" t="str">
        <f>IFERROR(IF(VLOOKUP(A1368,[9]PRIORIZADOS!$A:$L,12,FALSE)="","",VLOOKUP(A1368,[9]PRIORIZADOS!$A:$L,12,FALSE)),"")</f>
        <v>CARLOS EDUARDO VARGAS LÓPEZ</v>
      </c>
      <c r="M1368" s="71">
        <f>IFERROR(IF(VLOOKUP(A1368,[9]PRIORIZADOS!$A:$M,13,FALSE)="","",VLOOKUP(A1368,[9]PRIORIZADOS!$A:$M,13,FALSE)),"")</f>
        <v>45867</v>
      </c>
      <c r="N1368" s="71">
        <f>IFERROR(IF(VLOOKUP(A1368,[9]PRIORIZADOS!$A:$N,14,FALSE)="","",VLOOKUP(A1368,[9]PRIORIZADOS!$A:$N,14,FALSE)),"")</f>
        <v>45889</v>
      </c>
      <c r="O1368" s="71">
        <f>IFERROR(IF(VLOOKUP(A1368,[9]PRIORIZADOS!$A:$O,15,FALSE)="","",VLOOKUP(A1368,[9]PRIORIZADOS!$A:$O,15,FALSE)),"")</f>
        <v>45889</v>
      </c>
      <c r="P1368" s="11" t="str">
        <f>IFERROR(IF(VLOOKUP(A1368,[9]PRIORIZADOS!$A:$P,16,FALSE)="","",VLOOKUP(A1368,[9]PRIORIZADOS!$A:$P,16,FALSE)),"")</f>
        <v>Visitas de evaluación con fines de seguimiento</v>
      </c>
      <c r="Q1368" s="42" t="s">
        <v>330</v>
      </c>
      <c r="R1368" s="11" t="str">
        <f>IFERROR(IF(VLOOKUP(A1368,[9]PRIORIZADOS!$A:$R,18,FALSE)="","",VLOOKUP(A1368,[9]PRIORIZADOS!$A:$R,18,FALSE)),"")</f>
        <v>Verificado el SIET, se evidencia que no hay registro de  matrícula, certificados ni costos de los programas para la vigenccia 2025.</v>
      </c>
      <c r="S1368" s="11" t="str">
        <f>IFERROR(IF(VLOOKUP(A1368,[9]PRIORIZADOS!$A:$S,19,FALSE)="","",VLOOKUP(A1368,[9]PRIORIZADOS!$A:$S,19,FALSE)),"")</f>
        <v>Comunicación a los propietarios para cerificar las condiciones de la prestación del servicio educativo.</v>
      </c>
      <c r="T1368" s="70" t="str">
        <f>IFERROR(IF(VLOOKUP(A1368,[9]PRIORIZADOS!$A:$T,20,FALSE)="","",VLOOKUP(A1368,[9]PRIORIZADOS!$A:$T,20,FALSE)),"")</f>
        <v>NO</v>
      </c>
      <c r="U1368" s="11" t="str">
        <f>IFERROR(IF(VLOOKUP(A1368,[9]PRIORIZADOS!$A:$U,21,FALSE)="","",VLOOKUP(A1368,[9]PRIORIZADOS!$A:$U,21,FALSE)),"")</f>
        <v>En el mes de octubre se programará nueva visita para verificar funcionamiento. La IE quedará priorizada para la vigencia 2026.</v>
      </c>
    </row>
    <row r="1369" spans="1:21" s="1" customFormat="1" ht="72">
      <c r="A1369" s="69">
        <f>IF([9]PRIORIZADOS!A66="","",[9]PRIORIZADOS!A66)</f>
        <v>1310</v>
      </c>
      <c r="B1369" s="70">
        <f>IFERROR(IF(VLOOKUP(A1369,[9]PRIORIZADOS!$A:$B,2,FALSE)="","",VLOOKUP(A1369,[9]PRIORIZADOS!$A:$B,2,FALSE)),"")</f>
        <v>10</v>
      </c>
      <c r="C1369" s="11" t="str">
        <f>IFERROR(IF(VLOOKUP(A1369,[9]PRIORIZADOS!$A:$C,3,FALSE)="","",VLOOKUP(A1369,[9]PRIORIZADOS!$A:$C,3,FALSE)),"")</f>
        <v>LOS MÁRTIRES</v>
      </c>
      <c r="D1369" s="11" t="str">
        <f>IFERROR(IF(VLOOKUP(A1369,[9]PRIORIZADOS!$A:$D,4,FALSE)="","",VLOOKUP(A1369,[9]PRIORIZADOS!$A:$D,4,FALSE)),"")</f>
        <v>PRIVADO_IETDH</v>
      </c>
      <c r="E1369" s="11" t="str">
        <f>IFERROR(IF(VLOOKUP(A1369,[9]PRIORIZADOS!$A:$E,5,FALSE)="","",VLOOKUP(A1369,[9]PRIORIZADOS!$A:$E,5,FALSE)),"")</f>
        <v>IETDH</v>
      </c>
      <c r="F1369" s="11" t="str">
        <f>IFERROR(IF(VLOOKUP(A1369,[9]PRIORIZADOS!$A:$F,6,FALSE)="","",VLOOKUP(A1369,[9]PRIORIZADOS!$A:$F,6,FALSE)),"")</f>
        <v>ESCUELA_DE_FORMACIÓN_TÉCNICA_AUTOMOTRÍZ</v>
      </c>
      <c r="G1369" s="11" t="str">
        <f>IFERROR(IF(VLOOKUP(A1369,[9]PRIORIZADOS!$A:$G,7,FALSE)="","",VLOOKUP(A1369,[9]PRIORIZADOS!$A:$G,7,FALSE)),"")</f>
        <v>ESCUELA DE FORMACIÓN TÉCNICA AUTOMOTRÍZ</v>
      </c>
      <c r="H1369" s="11" t="str">
        <f>IFERROR(IF(VLOOKUP(A1369,[9]PRIORIZADOS!$A:$H,8,FALSE)="","",VLOOKUP(A1369,[9]PRIORIZADOS!$A:$H,8,FALSE)),"")</f>
        <v>IETDH priorizadas por cada ELIV (seguimiento a PMI, que no se hayan visitado en los últimos 3 años)</v>
      </c>
      <c r="I1369" s="11" t="str">
        <f>IFERROR(IF(VLOOKUP(A1369,[9]PRIORIZADOS!$A:$I,9,FALSE)="","",VLOOKUP(A1369,[9]PRIORIZADOS!$A:$I,9,FALSE)),"")</f>
        <v>SEGUIMIENTO_Y_SUPERVISIÓN.</v>
      </c>
      <c r="J1369" s="11" t="str">
        <f>IFERROR(IF(VLOOKUP(A1369,[9]PRIORIZADOS!$A:$J,10,FALSE)="","",VLOOKUP(A1369,[9]PRIORIZADOS!$A:$J,10,FALSE)),"")</f>
        <v>Adelantar visitas para verificar que el desarrollo de los programas de ETDH, esté de acuerdo con lo autorizado y la normatividad vigente, para propender por su pertinencia, legalidad y actualización constante.</v>
      </c>
      <c r="K1369" s="11" t="str">
        <f>IFERROR(IF(VLOOKUP(A1369,[9]PRIORIZADOS!$A:$K,11,FALSE)="","",VLOOKUP(A1369,[9]PRIORIZADOS!$A:$K,11,FALSE)),"")</f>
        <v>LUIS ALEJANDRO MARTÍNEZ PALACIOS</v>
      </c>
      <c r="L1369" s="11" t="str">
        <f>IFERROR(IF(VLOOKUP(A1369,[9]PRIORIZADOS!$A:$L,12,FALSE)="","",VLOOKUP(A1369,[9]PRIORIZADOS!$A:$L,12,FALSE)),"")</f>
        <v>CARLOS EDUARDO VARGAS LÓPEZ</v>
      </c>
      <c r="M1369" s="71">
        <f>IFERROR(IF(VLOOKUP(A1369,[9]PRIORIZADOS!$A:$M,13,FALSE)="","",VLOOKUP(A1369,[9]PRIORIZADOS!$A:$M,13,FALSE)),"")</f>
        <v>45867</v>
      </c>
      <c r="N1369" s="71">
        <f>IFERROR(IF(VLOOKUP(A1369,[9]PRIORIZADOS!$A:$N,14,FALSE)="","",VLOOKUP(A1369,[9]PRIORIZADOS!$A:$N,14,FALSE)),"")</f>
        <v>45889</v>
      </c>
      <c r="O1369" s="71">
        <f>IFERROR(IF(VLOOKUP(A1369,[9]PRIORIZADOS!$A:$O,15,FALSE)="","",VLOOKUP(A1369,[9]PRIORIZADOS!$A:$O,15,FALSE)),"")</f>
        <v>45889</v>
      </c>
      <c r="P1369" s="11" t="str">
        <f>IFERROR(IF(VLOOKUP(A1369,[9]PRIORIZADOS!$A:$P,16,FALSE)="","",VLOOKUP(A1369,[9]PRIORIZADOS!$A:$P,16,FALSE)),"")</f>
        <v>Visitas de evaluación con fines de seguimiento</v>
      </c>
      <c r="Q1369" s="40" t="s">
        <v>330</v>
      </c>
      <c r="R1369" s="11" t="str">
        <f>IFERROR(IF(VLOOKUP(A1369,[9]PRIORIZADOS!$A:$R,18,FALSE)="","",VLOOKUP(A1369,[9]PRIORIZADOS!$A:$R,18,FALSE)),"")</f>
        <v>No fue posible evidenciar la prestación del servicio educativo en la sede. Además, no se observó ningún tipo de publicidad institucional de la IETDH; por el contrario, se encontró un aviso de arriendo en el inmueble.</v>
      </c>
      <c r="S1369" s="11" t="str">
        <f>IFERROR(IF(VLOOKUP(A1369,[9]PRIORIZADOS!$A:$S,19,FALSE)="","",VLOOKUP(A1369,[9]PRIORIZADOS!$A:$S,19,FALSE)),"")</f>
        <v>Comunicación a los propietarios para cerificar las condiciones de la prestación del servicio educativo.</v>
      </c>
      <c r="T1369" s="70" t="str">
        <f>IFERROR(IF(VLOOKUP(A1369,[9]PRIORIZADOS!$A:$T,20,FALSE)="","",VLOOKUP(A1369,[9]PRIORIZADOS!$A:$T,20,FALSE)),"")</f>
        <v>NO</v>
      </c>
      <c r="U1369" s="11" t="str">
        <f>IFERROR(IF(VLOOKUP(A1369,[9]PRIORIZADOS!$A:$U,21,FALSE)="","",VLOOKUP(A1369,[9]PRIORIZADOS!$A:$U,21,FALSE)),"")</f>
        <v>En el mes de octubre se programará nueva visita para verificar funcionamiento. La IE quedará priorizada para la vigencia 2026.</v>
      </c>
    </row>
    <row r="1370" spans="1:21" s="1" customFormat="1" ht="72">
      <c r="A1370" s="69">
        <f>IF([9]PRIORIZADOS!A67="","",[9]PRIORIZADOS!A67)</f>
        <v>1311</v>
      </c>
      <c r="B1370" s="70">
        <f>IFERROR(IF(VLOOKUP(A1370,[9]PRIORIZADOS!$A:$B,2,FALSE)="","",VLOOKUP(A1370,[9]PRIORIZADOS!$A:$B,2,FALSE)),"")</f>
        <v>10</v>
      </c>
      <c r="C1370" s="11" t="str">
        <f>IFERROR(IF(VLOOKUP(A1370,[9]PRIORIZADOS!$A:$C,3,FALSE)="","",VLOOKUP(A1370,[9]PRIORIZADOS!$A:$C,3,FALSE)),"")</f>
        <v>LOS MÁRTIRES</v>
      </c>
      <c r="D1370" s="11" t="str">
        <f>IFERROR(IF(VLOOKUP(A1370,[9]PRIORIZADOS!$A:$D,4,FALSE)="","",VLOOKUP(A1370,[9]PRIORIZADOS!$A:$D,4,FALSE)),"")</f>
        <v>PRIVADO_IETDH</v>
      </c>
      <c r="E1370" s="11" t="str">
        <f>IFERROR(IF(VLOOKUP(A1370,[9]PRIORIZADOS!$A:$E,5,FALSE)="","",VLOOKUP(A1370,[9]PRIORIZADOS!$A:$E,5,FALSE)),"")</f>
        <v>IETDH</v>
      </c>
      <c r="F1370" s="11" t="str">
        <f>IFERROR(IF(VLOOKUP(A1370,[9]PRIORIZADOS!$A:$F,6,FALSE)="","",VLOOKUP(A1370,[9]PRIORIZADOS!$A:$F,6,FALSE)),"")</f>
        <v>ESCUELA_DE_FORMACIÓN_TÉCNICA_AUTOMOTRÍZ</v>
      </c>
      <c r="G1370" s="11" t="str">
        <f>IFERROR(IF(VLOOKUP(A1370,[9]PRIORIZADOS!$A:$G,7,FALSE)="","",VLOOKUP(A1370,[9]PRIORIZADOS!$A:$G,7,FALSE)),"")</f>
        <v>ESCUELA DE FORMACIÓN TÉCNICA AUTOMOTRÍZ</v>
      </c>
      <c r="H1370" s="11" t="str">
        <f>IFERROR(IF(VLOOKUP(A1370,[9]PRIORIZADOS!$A:$H,8,FALSE)="","",VLOOKUP(A1370,[9]PRIORIZADOS!$A:$H,8,FALSE)),"")</f>
        <v>IETDH priorizadas por cada ELIV (seguimiento a PMI, que no se hayan visitado en los últimos 3 años)</v>
      </c>
      <c r="I1370" s="11" t="str">
        <f>IFERROR(IF(VLOOKUP(A1370,[9]PRIORIZADOS!$A:$I,9,FALSE)="","",VLOOKUP(A1370,[9]PRIORIZADOS!$A:$I,9,FALSE)),"")</f>
        <v>EVALUACIÓN_CON_FINES_DE_MEJORAMIENTO.</v>
      </c>
      <c r="J1370" s="11" t="str">
        <f>IFERROR(IF(VLOOKUP(A1370,[9]PRIORIZADOS!$A:$J,10,FALSE)="","",VLOOKUP(A1370,[9]PRIORIZADOS!$A:$J,10,FALSE)),"")</f>
        <v>Verificar las condiciones en cuanto a: la estructura administrativa, condiciones de la planta física y medios educativos adecuados.</v>
      </c>
      <c r="K1370" s="11" t="str">
        <f>IFERROR(IF(VLOOKUP(A1370,[9]PRIORIZADOS!$A:$K,11,FALSE)="","",VLOOKUP(A1370,[9]PRIORIZADOS!$A:$K,11,FALSE)),"")</f>
        <v>LUIS ALEJANDRO MARTÍNEZ PALACIOS</v>
      </c>
      <c r="L1370" s="11" t="str">
        <f>IFERROR(IF(VLOOKUP(A1370,[9]PRIORIZADOS!$A:$L,12,FALSE)="","",VLOOKUP(A1370,[9]PRIORIZADOS!$A:$L,12,FALSE)),"")</f>
        <v>CARLOS EDUARDO VARGAS LÓPEZ</v>
      </c>
      <c r="M1370" s="71">
        <f>IFERROR(IF(VLOOKUP(A1370,[9]PRIORIZADOS!$A:$M,13,FALSE)="","",VLOOKUP(A1370,[9]PRIORIZADOS!$A:$M,13,FALSE)),"")</f>
        <v>45867</v>
      </c>
      <c r="N1370" s="71">
        <f>IFERROR(IF(VLOOKUP(A1370,[9]PRIORIZADOS!$A:$N,14,FALSE)="","",VLOOKUP(A1370,[9]PRIORIZADOS!$A:$N,14,FALSE)),"")</f>
        <v>45889</v>
      </c>
      <c r="O1370" s="71">
        <f>IFERROR(IF(VLOOKUP(A1370,[9]PRIORIZADOS!$A:$O,15,FALSE)="","",VLOOKUP(A1370,[9]PRIORIZADOS!$A:$O,15,FALSE)),"")</f>
        <v>45889</v>
      </c>
      <c r="P1370" s="11" t="str">
        <f>IFERROR(IF(VLOOKUP(A1370,[9]PRIORIZADOS!$A:$P,16,FALSE)="","",VLOOKUP(A1370,[9]PRIORIZADOS!$A:$P,16,FALSE)),"")</f>
        <v>Visitas de evaluación con fines de seguimiento</v>
      </c>
      <c r="Q1370" s="40" t="s">
        <v>330</v>
      </c>
      <c r="R1370" s="11" t="str">
        <f>IFERROR(IF(VLOOKUP(A1370,[9]PRIORIZADOS!$A:$R,18,FALSE)="","",VLOOKUP(A1370,[9]PRIORIZADOS!$A:$R,18,FALSE)),"")</f>
        <v>No fue posible evidenciar la prestación del servicio educativo en la sede. Además, no se observó ningún tipo de publicidad institucional de la IETDH; por el contrario, se encontró un aviso de arriendo en el inmueble.</v>
      </c>
      <c r="S1370" s="11" t="str">
        <f>IFERROR(IF(VLOOKUP(A1370,[9]PRIORIZADOS!$A:$S,19,FALSE)="","",VLOOKUP(A1370,[9]PRIORIZADOS!$A:$S,19,FALSE)),"")</f>
        <v>Comunicación a los propietarios para cerificar las condiciones de la prestación del servicio educativo.</v>
      </c>
      <c r="T1370" s="70" t="str">
        <f>IFERROR(IF(VLOOKUP(A1370,[9]PRIORIZADOS!$A:$T,20,FALSE)="","",VLOOKUP(A1370,[9]PRIORIZADOS!$A:$T,20,FALSE)),"")</f>
        <v>NO</v>
      </c>
      <c r="U1370" s="11" t="str">
        <f>IFERROR(IF(VLOOKUP(A1370,[9]PRIORIZADOS!$A:$U,21,FALSE)="","",VLOOKUP(A1370,[9]PRIORIZADOS!$A:$U,21,FALSE)),"")</f>
        <v>En el mes de octubre se programará nueva visita para verificar funcionamiento. La IE quedará priorizada para la vigencia 2026.</v>
      </c>
    </row>
    <row r="1371" spans="1:21" s="1" customFormat="1" ht="60">
      <c r="A1371" s="69">
        <f>IF([9]PRIORIZADOS!A68="","",[9]PRIORIZADOS!A68)</f>
        <v>1313</v>
      </c>
      <c r="B1371" s="70">
        <f>IFERROR(IF(VLOOKUP(A1371,[9]PRIORIZADOS!$A:$B,2,FALSE)="","",VLOOKUP(A1371,[9]PRIORIZADOS!$A:$B,2,FALSE)),"")</f>
        <v>11</v>
      </c>
      <c r="C1371" s="11" t="str">
        <f>IFERROR(IF(VLOOKUP(A1371,[9]PRIORIZADOS!$A:$C,3,FALSE)="","",VLOOKUP(A1371,[9]PRIORIZADOS!$A:$C,3,FALSE)),"")</f>
        <v>LOS MÁRTIRES</v>
      </c>
      <c r="D1371" s="11" t="str">
        <f>IFERROR(IF(VLOOKUP(A1371,[9]PRIORIZADOS!$A:$D,4,FALSE)="","",VLOOKUP(A1371,[9]PRIORIZADOS!$A:$D,4,FALSE)),"")</f>
        <v>OFICIAL</v>
      </c>
      <c r="E1371" s="11" t="str">
        <f>IFERROR(IF(VLOOKUP(A1371,[9]PRIORIZADOS!$A:$E,5,FALSE)="","",VLOOKUP(A1371,[9]PRIORIZADOS!$A:$E,5,FALSE)),"")</f>
        <v>EPBM</v>
      </c>
      <c r="F1371" s="11" t="str">
        <f>IFERROR(IF(VLOOKUP(A1371,[9]PRIORIZADOS!$A:$F,6,FALSE)="","",VLOOKUP(A1371,[9]PRIORIZADOS!$A:$F,6,FALSE)),"")</f>
        <v>COLEGIO_PANAMERICANO_IED</v>
      </c>
      <c r="G1371" s="11" t="str">
        <f>IFERROR(IF(VLOOKUP(A1371,[9]PRIORIZADOS!$A:$G,7,FALSE)="","",VLOOKUP(A1371,[9]PRIORIZADOS!$A:$G,7,FALSE)),"")</f>
        <v>COLEGIO_PANAMERICANO_IED</v>
      </c>
      <c r="H1371" s="11" t="str">
        <f>IFERROR(IF(VLOOKUP(A1371,[9]PRIORIZADOS!$A:$H,8,FALSE)="","",VLOOKUP(A1371,[9]PRIORIZADOS!$A:$H,8,FALSE)),"")</f>
        <v>Colegios Nuevos (creados en los últimos 2 años) / Seguimiento a los PMI acordados en 2024</v>
      </c>
      <c r="I1371" s="11" t="str">
        <f>IFERROR(IF(VLOOKUP(A1371,[9]PRIORIZADOS!$A:$I,9,FALSE)="","",VLOOKUP(A1371,[9]PRIORIZADOS!$A:$I,9,FALSE)),"")</f>
        <v>SEGUIMIENTO_Y_SUPERVISIÓN.</v>
      </c>
      <c r="J1371" s="11" t="str">
        <f>IFERROR(IF(VLOOKUP(A1371,[9]PRIORIZADOS!$A:$J,10,FALSE)="","",VLOOKUP(A1371,[9]PRIORIZADOS!$A:$J,10,FALSE)),"")</f>
        <v xml:space="preserve">Verificar la implementación por parte de los colegios, de acciones realizadas para la prevención y atención de las situaciones de convivencia en el entorno escolar, según lo establecido en la Directiva 01 de 2022 del MEN. </v>
      </c>
      <c r="K1371" s="11" t="str">
        <f>IFERROR(IF(VLOOKUP(A1371,[9]PRIORIZADOS!$A:$K,11,FALSE)="","",VLOOKUP(A1371,[9]PRIORIZADOS!$A:$K,11,FALSE)),"")</f>
        <v>LUIS ALEJANDRO MARTÍNEZ PALACIOS</v>
      </c>
      <c r="L1371" s="11" t="str">
        <f>IFERROR(IF(VLOOKUP(A1371,[9]PRIORIZADOS!$A:$L,12,FALSE)="","",VLOOKUP(A1371,[9]PRIORIZADOS!$A:$L,12,FALSE)),"")</f>
        <v>CARLOS EDUARDO VARGAS LÓPEZ</v>
      </c>
      <c r="M1371" s="71">
        <f>IFERROR(IF(VLOOKUP(A1371,[9]PRIORIZADOS!$A:$M,13,FALSE)="","",VLOOKUP(A1371,[9]PRIORIZADOS!$A:$M,13,FALSE)),"")</f>
        <v>45873</v>
      </c>
      <c r="N1371" s="71">
        <f>IFERROR(IF(VLOOKUP(A1371,[9]PRIORIZADOS!$A:$N,14,FALSE)="","",VLOOKUP(A1371,[9]PRIORIZADOS!$A:$N,14,FALSE)),"")</f>
        <v>45874</v>
      </c>
      <c r="O1371" s="71">
        <f>IFERROR(IF(VLOOKUP(A1371,[9]PRIORIZADOS!$A:$O,15,FALSE)="","",VLOOKUP(A1371,[9]PRIORIZADOS!$A:$O,15,FALSE)),"")</f>
        <v>45874</v>
      </c>
      <c r="P1371" s="16" t="str">
        <f>IFERROR(IF(VLOOKUP(A1371,[9]PRIORIZADOS!$A:$P,16,FALSE)="","",VLOOKUP(A1371,[9]PRIORIZADOS!$A:$P,16,FALSE)),"")</f>
        <v>Visitas de evaluación con fines de seguimiento</v>
      </c>
      <c r="Q1371" s="42" t="s">
        <v>331</v>
      </c>
      <c r="R1371" s="90" t="str">
        <f>IFERROR(IF(VLOOKUP(A1371,[9]PRIORIZADOS!$A:$R,18,FALSE)="","",VLOOKUP(A1371,[9]PRIORIZADOS!$A:$R,18,FALSE)),"")</f>
        <v xml:space="preserve">No se evidencia el desarrollo de los componentes de promoción y prevención. Desde el orientación escolar se presentan estadísticas de las situaciones que más afectan la convivencia escolar </v>
      </c>
      <c r="S1371" s="11" t="str">
        <f>IFERROR(IF(VLOOKUP(A1371,[9]PRIORIZADOS!$A:$S,19,FALSE)="","",VLOOKUP(A1371,[9]PRIORIZADOS!$A:$S,19,FALSE)),"")</f>
        <v>Generar plan de convivencia de convivencia escolar con las estrategias de promoción y prevención</v>
      </c>
      <c r="T1371" s="70" t="str">
        <f>IFERROR(IF(VLOOKUP(A1371,[9]PRIORIZADOS!$A:$T,20,FALSE)="","",VLOOKUP(A1371,[9]PRIORIZADOS!$A:$T,20,FALSE)),"")</f>
        <v>Si</v>
      </c>
      <c r="U1371" s="11" t="str">
        <f>IFERROR(IF(VLOOKUP(A1371,[9]PRIORIZADOS!$A:$U,21,FALSE)="","",VLOOKUP(A1371,[9]PRIORIZADOS!$A:$U,21,FALSE)),"")</f>
        <v>Se realizará visita de seguimiento en el mes de octubre y seguimiento en la vigencia 2026.</v>
      </c>
    </row>
    <row r="1372" spans="1:21" s="1" customFormat="1" ht="84">
      <c r="A1372" s="69">
        <f>IF([9]PRIORIZADOS!A69="","",[9]PRIORIZADOS!A69)</f>
        <v>1314</v>
      </c>
      <c r="B1372" s="70">
        <f>IFERROR(IF(VLOOKUP(A1372,[9]PRIORIZADOS!$A:$B,2,FALSE)="","",VLOOKUP(A1372,[9]PRIORIZADOS!$A:$B,2,FALSE)),"")</f>
        <v>11</v>
      </c>
      <c r="C1372" s="11" t="str">
        <f>IFERROR(IF(VLOOKUP(A1372,[9]PRIORIZADOS!$A:$C,3,FALSE)="","",VLOOKUP(A1372,[9]PRIORIZADOS!$A:$C,3,FALSE)),"")</f>
        <v>LOS MÁRTIRES</v>
      </c>
      <c r="D1372" s="11" t="str">
        <f>IFERROR(IF(VLOOKUP(A1372,[9]PRIORIZADOS!$A:$D,4,FALSE)="","",VLOOKUP(A1372,[9]PRIORIZADOS!$A:$D,4,FALSE)),"")</f>
        <v>OFICIAL</v>
      </c>
      <c r="E1372" s="11" t="str">
        <f>IFERROR(IF(VLOOKUP(A1372,[9]PRIORIZADOS!$A:$E,5,FALSE)="","",VLOOKUP(A1372,[9]PRIORIZADOS!$A:$E,5,FALSE)),"")</f>
        <v>EPBM</v>
      </c>
      <c r="F1372" s="11" t="str">
        <f>IFERROR(IF(VLOOKUP(A1372,[9]PRIORIZADOS!$A:$F,6,FALSE)="","",VLOOKUP(A1372,[9]PRIORIZADOS!$A:$F,6,FALSE)),"")</f>
        <v>COLEGIO_PANAMERICANO_IED</v>
      </c>
      <c r="G1372" s="11" t="str">
        <f>IFERROR(IF(VLOOKUP(A1372,[9]PRIORIZADOS!$A:$G,7,FALSE)="","",VLOOKUP(A1372,[9]PRIORIZADOS!$A:$G,7,FALSE)),"")</f>
        <v>COLEGIO_PANAMERICANO_IED</v>
      </c>
      <c r="H1372" s="11" t="str">
        <f>IFERROR(IF(VLOOKUP(A1372,[9]PRIORIZADOS!$A:$H,8,FALSE)="","",VLOOKUP(A1372,[9]PRIORIZADOS!$A:$H,8,FALSE)),"")</f>
        <v>Colegios Nuevos (creados en los últimos 2 años) / Seguimiento a los PMI acordados en 2024</v>
      </c>
      <c r="I1372" s="11" t="str">
        <f>IFERROR(IF(VLOOKUP(A1372,[9]PRIORIZADOS!$A:$I,9,FALSE)="","",VLOOKUP(A1372,[9]PRIORIZADOS!$A:$I,9,FALSE)),"")</f>
        <v>EVALUACIÓN_CON_FINES_DE_MEJORAMIENTO.</v>
      </c>
      <c r="J1372" s="11" t="str">
        <f>IFERROR(IF(VLOOKUP(A1372,[9]PRIORIZADOS!$A:$J,10,FALSE)="","",VLOOKUP(A1372,[9]PRIORIZADOS!$A:$J,10,FALSE)),"")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72" s="11" t="str">
        <f>IFERROR(IF(VLOOKUP(A1372,[9]PRIORIZADOS!$A:$K,11,FALSE)="","",VLOOKUP(A1372,[9]PRIORIZADOS!$A:$K,11,FALSE)),"")</f>
        <v>LUIS ALEJANDRO MARTÍNEZ PALACIOS</v>
      </c>
      <c r="L1372" s="11" t="str">
        <f>IFERROR(IF(VLOOKUP(A1372,[9]PRIORIZADOS!$A:$L,12,FALSE)="","",VLOOKUP(A1372,[9]PRIORIZADOS!$A:$L,12,FALSE)),"")</f>
        <v>CARLOS EDUARDO VARGAS LÓPEZ</v>
      </c>
      <c r="M1372" s="71">
        <f>IFERROR(IF(VLOOKUP(A1372,[9]PRIORIZADOS!$A:$M,13,FALSE)="","",VLOOKUP(A1372,[9]PRIORIZADOS!$A:$M,13,FALSE)),"")</f>
        <v>45873</v>
      </c>
      <c r="N1372" s="71">
        <f>IFERROR(IF(VLOOKUP(A1372,[9]PRIORIZADOS!$A:$N,14,FALSE)="","",VLOOKUP(A1372,[9]PRIORIZADOS!$A:$N,14,FALSE)),"")</f>
        <v>45874</v>
      </c>
      <c r="O1372" s="71">
        <f>IFERROR(IF(VLOOKUP(A1372,[9]PRIORIZADOS!$A:$O,15,FALSE)="","",VLOOKUP(A1372,[9]PRIORIZADOS!$A:$O,15,FALSE)),"")</f>
        <v>45874</v>
      </c>
      <c r="P1372" s="16" t="str">
        <f>IFERROR(IF(VLOOKUP(A1372,[9]PRIORIZADOS!$A:$P,16,FALSE)="","",VLOOKUP(A1372,[9]PRIORIZADOS!$A:$P,16,FALSE)),"")</f>
        <v>Visitas de evaluación con fines de seguimiento</v>
      </c>
      <c r="Q1372" s="42" t="s">
        <v>331</v>
      </c>
      <c r="R1372" s="90" t="str">
        <f>IFERROR(IF(VLOOKUP(A1372,[9]PRIORIZADOS!$A:$R,18,FALSE)="","",VLOOKUP(A1372,[9]PRIORIZADOS!$A:$R,18,FALSE)),"")</f>
        <v>Se realiza revisión general del Manual de Convivencia, no soportan la actualización del manual de convivencia con la participación de la comunidad educativa. Se debe realizar su actualización.</v>
      </c>
      <c r="S1372" s="11" t="str">
        <f>IFERROR(IF(VLOOKUP(A1372,[9]PRIORIZADOS!$A:$S,19,FALSE)="","",VLOOKUP(A1372,[9]PRIORIZADOS!$A:$S,19,FALSE)),"")</f>
        <v>Actualizar el Manual de Convivencia con la participación de la comunidad educativa incorporando todos los elementos de ley y enfoques diferenciales.</v>
      </c>
      <c r="T1372" s="70" t="str">
        <f>IFERROR(IF(VLOOKUP(A1372,[9]PRIORIZADOS!$A:$T,20,FALSE)="","",VLOOKUP(A1372,[9]PRIORIZADOS!$A:$T,20,FALSE)),"")</f>
        <v>Si</v>
      </c>
      <c r="U1372" s="11" t="str">
        <f>IFERROR(IF(VLOOKUP(A1372,[9]PRIORIZADOS!$A:$U,21,FALSE)="","",VLOOKUP(A1372,[9]PRIORIZADOS!$A:$U,21,FALSE)),"")</f>
        <v>Se hará la revisión y evaluación del manual de convivencia actualizado en 2026.</v>
      </c>
    </row>
    <row r="1373" spans="1:21" s="1" customFormat="1" ht="60">
      <c r="A1373" s="69">
        <f>IF([9]PRIORIZADOS!A70="","",[9]PRIORIZADOS!A70)</f>
        <v>1315</v>
      </c>
      <c r="B1373" s="70">
        <f>IFERROR(IF(VLOOKUP(A1373,[9]PRIORIZADOS!$A:$B,2,FALSE)="","",VLOOKUP(A1373,[9]PRIORIZADOS!$A:$B,2,FALSE)),"")</f>
        <v>11</v>
      </c>
      <c r="C1373" s="11" t="str">
        <f>IFERROR(IF(VLOOKUP(A1373,[9]PRIORIZADOS!$A:$C,3,FALSE)="","",VLOOKUP(A1373,[9]PRIORIZADOS!$A:$C,3,FALSE)),"")</f>
        <v>LOS MÁRTIRES</v>
      </c>
      <c r="D1373" s="11" t="str">
        <f>IFERROR(IF(VLOOKUP(A1373,[9]PRIORIZADOS!$A:$D,4,FALSE)="","",VLOOKUP(A1373,[9]PRIORIZADOS!$A:$D,4,FALSE)),"")</f>
        <v>OFICIAL</v>
      </c>
      <c r="E1373" s="11" t="str">
        <f>IFERROR(IF(VLOOKUP(A1373,[9]PRIORIZADOS!$A:$E,5,FALSE)="","",VLOOKUP(A1373,[9]PRIORIZADOS!$A:$E,5,FALSE)),"")</f>
        <v>EPBM</v>
      </c>
      <c r="F1373" s="11" t="str">
        <f>IFERROR(IF(VLOOKUP(A1373,[9]PRIORIZADOS!$A:$F,6,FALSE)="","",VLOOKUP(A1373,[9]PRIORIZADOS!$A:$F,6,FALSE)),"")</f>
        <v>COLEGIO_PANAMERICANO_IED</v>
      </c>
      <c r="G1373" s="11" t="str">
        <f>IFERROR(IF(VLOOKUP(A1373,[9]PRIORIZADOS!$A:$G,7,FALSE)="","",VLOOKUP(A1373,[9]PRIORIZADOS!$A:$G,7,FALSE)),"")</f>
        <v>COLEGIO_PANAMERICANO_IED</v>
      </c>
      <c r="H1373" s="11" t="str">
        <f>IFERROR(IF(VLOOKUP(A1373,[9]PRIORIZADOS!$A:$H,8,FALSE)="","",VLOOKUP(A1373,[9]PRIORIZADOS!$A:$H,8,FALSE)),"")</f>
        <v>Colegios Nuevos (creados en los últimos 2 años) / Seguimiento a los PMI acordados en 2024</v>
      </c>
      <c r="I1373" s="11" t="str">
        <f>IFERROR(IF(VLOOKUP(A1373,[9]PRIORIZADOS!$A:$I,9,FALSE)="","",VLOOKUP(A1373,[9]PRIORIZADOS!$A:$I,9,FALSE)),"")</f>
        <v>EVALUACIÓN_CON_FINES_DE_MEJORAMIENTO.</v>
      </c>
      <c r="J1373" s="11" t="str">
        <f>IFERROR(IF(VLOOKUP(A1373,[9]PRIORIZADOS!$A:$J,10,FALSE)="","",VLOOKUP(A1373,[9]PRIORIZADOS!$A:$J,10,FALSE)),"")</f>
        <v>Revisar la actualización, socialización e implementación del Sistema Institucional de Evaluación de Estudiantes - SIEE, en articulación con la actualización del PEI y la normatividad vigente.</v>
      </c>
      <c r="K1373" s="11" t="str">
        <f>IFERROR(IF(VLOOKUP(A1373,[9]PRIORIZADOS!$A:$K,11,FALSE)="","",VLOOKUP(A1373,[9]PRIORIZADOS!$A:$K,11,FALSE)),"")</f>
        <v>LUIS ALEJANDRO MARTÍNEZ PALACIOS</v>
      </c>
      <c r="L1373" s="11" t="str">
        <f>IFERROR(IF(VLOOKUP(A1373,[9]PRIORIZADOS!$A:$L,12,FALSE)="","",VLOOKUP(A1373,[9]PRIORIZADOS!$A:$L,12,FALSE)),"")</f>
        <v>CARLOS EDUARDO VARGAS LÓPEZ</v>
      </c>
      <c r="M1373" s="71">
        <f>IFERROR(IF(VLOOKUP(A1373,[9]PRIORIZADOS!$A:$M,13,FALSE)="","",VLOOKUP(A1373,[9]PRIORIZADOS!$A:$M,13,FALSE)),"")</f>
        <v>45873</v>
      </c>
      <c r="N1373" s="71">
        <f>IFERROR(IF(VLOOKUP(A1373,[9]PRIORIZADOS!$A:$N,14,FALSE)="","",VLOOKUP(A1373,[9]PRIORIZADOS!$A:$N,14,FALSE)),"")</f>
        <v>45874</v>
      </c>
      <c r="O1373" s="71">
        <f>IFERROR(IF(VLOOKUP(A1373,[9]PRIORIZADOS!$A:$O,15,FALSE)="","",VLOOKUP(A1373,[9]PRIORIZADOS!$A:$O,15,FALSE)),"")</f>
        <v>45874</v>
      </c>
      <c r="P1373" s="16" t="str">
        <f>IFERROR(IF(VLOOKUP(A1373,[9]PRIORIZADOS!$A:$P,16,FALSE)="","",VLOOKUP(A1373,[9]PRIORIZADOS!$A:$P,16,FALSE)),"")</f>
        <v>Visitas de evaluación con fines de seguimiento</v>
      </c>
      <c r="Q1373" s="42" t="s">
        <v>331</v>
      </c>
      <c r="R1373" s="90" t="str">
        <f>IFERROR(IF(VLOOKUP(A1373,[9]PRIORIZADOS!$A:$R,18,FALSE)="","",VLOOKUP(A1373,[9]PRIORIZADOS!$A:$R,18,FALSE)),"")</f>
        <v>Se realizar revisión general del SIEE. Se debe realizar actualización.
No soportan la participación de la comunidad educativa en la formulación y evaluación del SIEE</v>
      </c>
      <c r="S1373" s="11" t="str">
        <f>IFERROR(IF(VLOOKUP(A1373,[9]PRIORIZADOS!$A:$S,19,FALSE)="","",VLOOKUP(A1373,[9]PRIORIZADOS!$A:$S,19,FALSE)),"")</f>
        <v>Actualizar el SIEE con la participación de la comunidad educativa.</v>
      </c>
      <c r="T1373" s="70" t="str">
        <f>IFERROR(IF(VLOOKUP(A1373,[9]PRIORIZADOS!$A:$T,20,FALSE)="","",VLOOKUP(A1373,[9]PRIORIZADOS!$A:$T,20,FALSE)),"")</f>
        <v>SI</v>
      </c>
      <c r="U1373" s="11" t="str">
        <f>IFERROR(IF(VLOOKUP(A1373,[9]PRIORIZADOS!$A:$U,21,FALSE)="","",VLOOKUP(A1373,[9]PRIORIZADOS!$A:$U,21,FALSE)),"")</f>
        <v>Se hará la revisión y evaluación del Sistema Institucional de Evaluación de Estudiantes en 2026</v>
      </c>
    </row>
    <row r="1374" spans="1:21" s="1" customFormat="1" ht="60">
      <c r="A1374" s="69">
        <f>IF([9]PRIORIZADOS!A71="","",[9]PRIORIZADOS!A71)</f>
        <v>1316</v>
      </c>
      <c r="B1374" s="70">
        <f>IFERROR(IF(VLOOKUP(A1374,[9]PRIORIZADOS!$A:$B,2,FALSE)="","",VLOOKUP(A1374,[9]PRIORIZADOS!$A:$B,2,FALSE)),"")</f>
        <v>11</v>
      </c>
      <c r="C1374" s="11" t="str">
        <f>IFERROR(IF(VLOOKUP(A1374,[9]PRIORIZADOS!$A:$C,3,FALSE)="","",VLOOKUP(A1374,[9]PRIORIZADOS!$A:$C,3,FALSE)),"")</f>
        <v>LOS MÁRTIRES</v>
      </c>
      <c r="D1374" s="11" t="str">
        <f>IFERROR(IF(VLOOKUP(A1374,[9]PRIORIZADOS!$A:$D,4,FALSE)="","",VLOOKUP(A1374,[9]PRIORIZADOS!$A:$D,4,FALSE)),"")</f>
        <v>OFICIAL</v>
      </c>
      <c r="E1374" s="11" t="str">
        <f>IFERROR(IF(VLOOKUP(A1374,[9]PRIORIZADOS!$A:$E,5,FALSE)="","",VLOOKUP(A1374,[9]PRIORIZADOS!$A:$E,5,FALSE)),"")</f>
        <v>EPBM</v>
      </c>
      <c r="F1374" s="11" t="str">
        <f>IFERROR(IF(VLOOKUP(A1374,[9]PRIORIZADOS!$A:$F,6,FALSE)="","",VLOOKUP(A1374,[9]PRIORIZADOS!$A:$F,6,FALSE)),"")</f>
        <v>COLEGIO_PANAMERICANO_IED</v>
      </c>
      <c r="G1374" s="11" t="str">
        <f>IFERROR(IF(VLOOKUP(A1374,[9]PRIORIZADOS!$A:$G,7,FALSE)="","",VLOOKUP(A1374,[9]PRIORIZADOS!$A:$G,7,FALSE)),"")</f>
        <v>COLEGIO_PANAMERICANO_IED</v>
      </c>
      <c r="H1374" s="11" t="str">
        <f>IFERROR(IF(VLOOKUP(A1374,[9]PRIORIZADOS!$A:$H,8,FALSE)="","",VLOOKUP(A1374,[9]PRIORIZADOS!$A:$H,8,FALSE)),"")</f>
        <v>Colegios Nuevos (creados en los últimos 2 años) / Seguimiento a los PMI acordados en 2024</v>
      </c>
      <c r="I1374" s="11" t="str">
        <f>IFERROR(IF(VLOOKUP(A1374,[9]PRIORIZADOS!$A:$I,9,FALSE)="","",VLOOKUP(A1374,[9]PRIORIZADOS!$A:$I,9,FALSE)),"")</f>
        <v>EVALUACIÓN_CON_FINES_DE_MEJORAMIENTO.</v>
      </c>
      <c r="J1374" s="11" t="str">
        <f>IFERROR(IF(VLOOKUP(A1374,[9]PRIORIZADOS!$A:$J,10,FALSE)="","",VLOOKUP(A1374,[9]PRIORIZADOS!$A:$J,10,FALSE)),"")</f>
        <v>Revisar el calendario escolar, jornada escolar, la intensidad horaria mínima anual en cada nivel y las modificaciones que se realicen al mismo, de acuerdo con lo previsto en la normatividad vigente.</v>
      </c>
      <c r="K1374" s="11" t="str">
        <f>IFERROR(IF(VLOOKUP(A1374,[9]PRIORIZADOS!$A:$K,11,FALSE)="","",VLOOKUP(A1374,[9]PRIORIZADOS!$A:$K,11,FALSE)),"")</f>
        <v>LUIS ALEJANDRO MARTÍNEZ PALACIOS</v>
      </c>
      <c r="L1374" s="11" t="str">
        <f>IFERROR(IF(VLOOKUP(A1374,[9]PRIORIZADOS!$A:$L,12,FALSE)="","",VLOOKUP(A1374,[9]PRIORIZADOS!$A:$L,12,FALSE)),"")</f>
        <v>CARLOS EDUARDO VARGAS LÓPEZ</v>
      </c>
      <c r="M1374" s="71">
        <f>IFERROR(IF(VLOOKUP(A1374,[9]PRIORIZADOS!$A:$M,13,FALSE)="","",VLOOKUP(A1374,[9]PRIORIZADOS!$A:$M,13,FALSE)),"")</f>
        <v>45873</v>
      </c>
      <c r="N1374" s="71">
        <f>IFERROR(IF(VLOOKUP(A1374,[9]PRIORIZADOS!$A:$N,14,FALSE)="","",VLOOKUP(A1374,[9]PRIORIZADOS!$A:$N,14,FALSE)),"")</f>
        <v>45874</v>
      </c>
      <c r="O1374" s="71">
        <f>IFERROR(IF(VLOOKUP(A1374,[9]PRIORIZADOS!$A:$O,15,FALSE)="","",VLOOKUP(A1374,[9]PRIORIZADOS!$A:$O,15,FALSE)),"")</f>
        <v>45874</v>
      </c>
      <c r="P1374" s="16" t="str">
        <f>IFERROR(IF(VLOOKUP(A1374,[9]PRIORIZADOS!$A:$P,16,FALSE)="","",VLOOKUP(A1374,[9]PRIORIZADOS!$A:$P,16,FALSE)),"")</f>
        <v>Visitas de evaluación con fines de seguimiento</v>
      </c>
      <c r="Q1374" s="42" t="s">
        <v>331</v>
      </c>
      <c r="R1374" s="90" t="str">
        <f>IFERROR(IF(VLOOKUP(A1374,[9]PRIORIZADOS!$A:$R,18,FALSE)="","",VLOOKUP(A1374,[9]PRIORIZADOS!$A:$R,18,FALSE)),"")</f>
        <v>Se da cumplimiento a la Resolución de Calendario Académico de la SED y en el Manual de Convivencia se establece el horario diario que da el cumplimiento de las horas</v>
      </c>
      <c r="S1374" s="11" t="str">
        <f>IFERROR(IF(VLOOKUP(A1374,[9]PRIORIZADOS!$A:$S,19,FALSE)="","",VLOOKUP(A1374,[9]PRIORIZADOS!$A:$S,19,FALSE)),"")</f>
        <v>Se tiene establecido en el Manual de Convivencia.</v>
      </c>
      <c r="T1374" s="70" t="str">
        <f>IFERROR(IF(VLOOKUP(A1374,[9]PRIORIZADOS!$A:$T,20,FALSE)="","",VLOOKUP(A1374,[9]PRIORIZADOS!$A:$T,20,FALSE)),"")</f>
        <v>No</v>
      </c>
      <c r="U1374" s="11" t="str">
        <f>IFERROR(IF(VLOOKUP(A1374,[9]PRIORIZADOS!$A:$U,21,FALSE)="","",VLOOKUP(A1374,[9]PRIORIZADOS!$A:$U,21,FALSE)),"")</f>
        <v>A demanda de acuerdo con las peticiones de la ciudadanía o de los entes de control</v>
      </c>
    </row>
    <row r="1375" spans="1:21" s="1" customFormat="1" ht="60">
      <c r="A1375" s="69">
        <f>IF([9]PRIORIZADOS!A72="","",[9]PRIORIZADOS!A72)</f>
        <v>1317</v>
      </c>
      <c r="B1375" s="70">
        <f>IFERROR(IF(VLOOKUP(A1375,[9]PRIORIZADOS!$A:$B,2,FALSE)="","",VLOOKUP(A1375,[9]PRIORIZADOS!$A:$B,2,FALSE)),"")</f>
        <v>12</v>
      </c>
      <c r="C1375" s="11" t="str">
        <f>IFERROR(IF(VLOOKUP(A1375,[9]PRIORIZADOS!$A:$C,3,FALSE)="","",VLOOKUP(A1375,[9]PRIORIZADOS!$A:$C,3,FALSE)),"")</f>
        <v>LOS MÁRTIRES</v>
      </c>
      <c r="D1375" s="11" t="str">
        <f>IFERROR(IF(VLOOKUP(A1375,[9]PRIORIZADOS!$A:$D,4,FALSE)="","",VLOOKUP(A1375,[9]PRIORIZADOS!$A:$D,4,FALSE)),"")</f>
        <v>OFICIAL</v>
      </c>
      <c r="E1375" s="11" t="str">
        <f>IFERROR(IF(VLOOKUP(A1375,[9]PRIORIZADOS!$A:$E,5,FALSE)="","",VLOOKUP(A1375,[9]PRIORIZADOS!$A:$E,5,FALSE)),"")</f>
        <v>EPBM</v>
      </c>
      <c r="F1375" s="11" t="str">
        <f>IFERROR(IF(VLOOKUP(A1375,[9]PRIORIZADOS!$A:$F,6,FALSE)="","",VLOOKUP(A1375,[9]PRIORIZADOS!$A:$F,6,FALSE)),"")</f>
        <v>COLEGIO_LICEO_NACIONAL_AGUSTIN_NIETO_CABALLERO_IED</v>
      </c>
      <c r="G1375" s="11" t="str">
        <f>IFERROR(IF(VLOOKUP(A1375,[9]PRIORIZADOS!$A:$G,7,FALSE)="","",VLOOKUP(A1375,[9]PRIORIZADOS!$A:$G,7,FALSE)),"")</f>
        <v>COLEGIO_LICEO_NACIONAL_AGUSTIN_NIETO_CABALLERO_IED</v>
      </c>
      <c r="H1375" s="11" t="str">
        <f>IFERROR(IF(VLOOKUP(A1375,[9]PRIORIZADOS!$A:$H,8,FALSE)="","",VLOOKUP(A1375,[9]PRIORIZADOS!$A:$H,8,FALSE)),"")</f>
        <v>Autoevaluación Institucional y Pruebas SABER 11</v>
      </c>
      <c r="I1375" s="11" t="str">
        <f>IFERROR(IF(VLOOKUP(A1375,[9]PRIORIZADOS!$A:$I,9,FALSE)="","",VLOOKUP(A1375,[9]PRIORIZADOS!$A:$I,9,FALSE)),"")</f>
        <v>SEGUIMIENTO_Y_SUPERVISIÓN.</v>
      </c>
      <c r="J1375" s="11" t="str">
        <f>IFERROR(IF(VLOOKUP(A1375,[9]PRIORIZADOS!$A:$J,10,FALSE)="","",VLOOKUP(A1375,[9]PRIORIZADOS!$A:$J,10,FALSE)),"")</f>
        <v>Proponer estrategias en la formulación, verificar su elaboración y realizar seguimiento semestral al desarrollo de  las acciones establecidas en los planes de mejoramiento por pruebas SABER 11 de los establecimientos de educación formal.</v>
      </c>
      <c r="K1375" s="11" t="str">
        <f>IFERROR(IF(VLOOKUP(A1375,[9]PRIORIZADOS!$A:$K,11,FALSE)="","",VLOOKUP(A1375,[9]PRIORIZADOS!$A:$K,11,FALSE)),"")</f>
        <v>LUIS ALEJANDRO MARTÍNEZ PALACIOS</v>
      </c>
      <c r="L1375" s="11" t="str">
        <f>IFERROR(IF(VLOOKUP(A1375,[9]PRIORIZADOS!$A:$L,12,FALSE)="","",VLOOKUP(A1375,[9]PRIORIZADOS!$A:$L,12,FALSE)),"")</f>
        <v>CARLOS EDUARDO VARGAS LÓPEZ</v>
      </c>
      <c r="M1375" s="71">
        <f>IFERROR(IF(VLOOKUP(A1375,[9]PRIORIZADOS!$A:$M,13,FALSE)="","",VLOOKUP(A1375,[9]PRIORIZADOS!$A:$M,13,FALSE)),"")</f>
        <v>45895</v>
      </c>
      <c r="N1375" s="71">
        <f>IFERROR(IF(VLOOKUP(A1375,[9]PRIORIZADOS!$A:$N,14,FALSE)="","",VLOOKUP(A1375,[9]PRIORIZADOS!$A:$N,14,FALSE)),"")</f>
        <v>45896</v>
      </c>
      <c r="O1375" s="71">
        <f>IFERROR(IF(VLOOKUP(A1375,[9]PRIORIZADOS!$A:$O,15,FALSE)="","",VLOOKUP(A1375,[9]PRIORIZADOS!$A:$O,15,FALSE)),"")</f>
        <v>45896</v>
      </c>
      <c r="P1375" s="11" t="str">
        <f>IFERROR(IF(VLOOKUP(A1375,[9]PRIORIZADOS!$A:$P,16,FALSE)="","",VLOOKUP(A1375,[9]PRIORIZADOS!$A:$P,16,FALSE)),"")</f>
        <v>Visitas de evaluación con fines de seguimiento</v>
      </c>
      <c r="Q1375" s="2" t="s">
        <v>332</v>
      </c>
      <c r="R1375" s="11" t="str">
        <f>IFERROR(IF(VLOOKUP(A1375,[9]PRIORIZADOS!$A:$R,18,FALSE)="","",VLOOKUP(A1375,[9]PRIORIZADOS!$A:$R,18,FALSE)),"")</f>
        <v>Se evidencia en los planes de área y en los planes de mejoramiento de aula, los cuales se desarrollan por área y grado</v>
      </c>
      <c r="S1375" s="11" t="str">
        <f>IFERROR(IF(VLOOKUP(A1375,[9]PRIORIZADOS!$A:$S,19,FALSE)="","",VLOOKUP(A1375,[9]PRIORIZADOS!$A:$S,19,FALSE)),"")</f>
        <v>Continuar cada año con el análisis de las pruebas externas y su impacto en el currículo</v>
      </c>
      <c r="T1375" s="70" t="str">
        <f>IFERROR(IF(VLOOKUP(A1375,[9]PRIORIZADOS!$A:$T,20,FALSE)="","",VLOOKUP(A1375,[9]PRIORIZADOS!$A:$T,20,FALSE)),"")</f>
        <v>No</v>
      </c>
      <c r="U1375" s="11" t="str">
        <f>IFERROR(IF(VLOOKUP(A1375,[9]PRIORIZADOS!$A:$U,21,FALSE)="","",VLOOKUP(A1375,[9]PRIORIZADOS!$A:$U,21,FALSE)),"")</f>
        <v>A demanda de acuerdo con las peticiones de la ciudadanía o de los entes de control</v>
      </c>
    </row>
    <row r="1376" spans="1:21" s="1" customFormat="1" ht="60">
      <c r="A1376" s="69">
        <f>IF([9]PRIORIZADOS!A73="","",[9]PRIORIZADOS!A73)</f>
        <v>1318</v>
      </c>
      <c r="B1376" s="70">
        <f>IFERROR(IF(VLOOKUP(A1376,[9]PRIORIZADOS!$A:$B,2,FALSE)="","",VLOOKUP(A1376,[9]PRIORIZADOS!$A:$B,2,FALSE)),"")</f>
        <v>12</v>
      </c>
      <c r="C1376" s="11" t="str">
        <f>IFERROR(IF(VLOOKUP(A1376,[9]PRIORIZADOS!$A:$C,3,FALSE)="","",VLOOKUP(A1376,[9]PRIORIZADOS!$A:$C,3,FALSE)),"")</f>
        <v>LOS MÁRTIRES</v>
      </c>
      <c r="D1376" s="11" t="str">
        <f>IFERROR(IF(VLOOKUP(A1376,[9]PRIORIZADOS!$A:$D,4,FALSE)="","",VLOOKUP(A1376,[9]PRIORIZADOS!$A:$D,4,FALSE)),"")</f>
        <v>OFICIAL</v>
      </c>
      <c r="E1376" s="11" t="str">
        <f>IFERROR(IF(VLOOKUP(A1376,[9]PRIORIZADOS!$A:$E,5,FALSE)="","",VLOOKUP(A1376,[9]PRIORIZADOS!$A:$E,5,FALSE)),"")</f>
        <v>EPBM</v>
      </c>
      <c r="F1376" s="11" t="str">
        <f>IFERROR(IF(VLOOKUP(A1376,[9]PRIORIZADOS!$A:$F,6,FALSE)="","",VLOOKUP(A1376,[9]PRIORIZADOS!$A:$F,6,FALSE)),"")</f>
        <v>COLEGIO_LICEO_NACIONAL_AGUSTIN_NIETO_CABALLERO_IED</v>
      </c>
      <c r="G1376" s="11" t="str">
        <f>IFERROR(IF(VLOOKUP(A1376,[9]PRIORIZADOS!$A:$G,7,FALSE)="","",VLOOKUP(A1376,[9]PRIORIZADOS!$A:$G,7,FALSE)),"")</f>
        <v>COLEGIO_LICEO_NACIONAL_AGUSTIN_NIETO_CABALLERO_IED</v>
      </c>
      <c r="H1376" s="11" t="str">
        <f>IFERROR(IF(VLOOKUP(A1376,[9]PRIORIZADOS!$A:$H,8,FALSE)="","",VLOOKUP(A1376,[9]PRIORIZADOS!$A:$H,8,FALSE)),"")</f>
        <v>Autoevaluación Institucional y Pruebas SABER 11</v>
      </c>
      <c r="I1376" s="11" t="str">
        <f>IFERROR(IF(VLOOKUP(A1376,[9]PRIORIZADOS!$A:$I,9,FALSE)="","",VLOOKUP(A1376,[9]PRIORIZADOS!$A:$I,9,FALSE)),"")</f>
        <v>SEGUIMIENTO_Y_SUPERVISIÓN.</v>
      </c>
      <c r="J1376" s="11" t="str">
        <f>IFERROR(IF(VLOOKUP(A1376,[9]PRIORIZADOS!$A:$J,10,FALSE)="","",VLOOKUP(A1376,[9]PRIORIZADOS!$A:$J,10,FALSE)),"")</f>
        <v xml:space="preserve">Verificar la implementación por parte de los colegios, de acciones realizadas para la prevención y atención de las situaciones de convivencia en el entorno escolar, según lo establecido en la Directiva 01 de 2022 del MEN. </v>
      </c>
      <c r="K1376" s="11" t="str">
        <f>IFERROR(IF(VLOOKUP(A1376,[9]PRIORIZADOS!$A:$K,11,FALSE)="","",VLOOKUP(A1376,[9]PRIORIZADOS!$A:$K,11,FALSE)),"")</f>
        <v>LUIS ALEJANDRO MARTÍNEZ PALACIOS</v>
      </c>
      <c r="L1376" s="11" t="str">
        <f>IFERROR(IF(VLOOKUP(A1376,[9]PRIORIZADOS!$A:$L,12,FALSE)="","",VLOOKUP(A1376,[9]PRIORIZADOS!$A:$L,12,FALSE)),"")</f>
        <v>CARLOS EDUARDO VARGAS LÓPEZ</v>
      </c>
      <c r="M1376" s="71">
        <f>IFERROR(IF(VLOOKUP(A1376,[9]PRIORIZADOS!$A:$M,13,FALSE)="","",VLOOKUP(A1376,[9]PRIORIZADOS!$A:$M,13,FALSE)),"")</f>
        <v>45895</v>
      </c>
      <c r="N1376" s="71">
        <f>IFERROR(IF(VLOOKUP(A1376,[9]PRIORIZADOS!$A:$N,14,FALSE)="","",VLOOKUP(A1376,[9]PRIORIZADOS!$A:$N,14,FALSE)),"")</f>
        <v>45896</v>
      </c>
      <c r="O1376" s="71">
        <f>IFERROR(IF(VLOOKUP(A1376,[9]PRIORIZADOS!$A:$O,15,FALSE)="","",VLOOKUP(A1376,[9]PRIORIZADOS!$A:$O,15,FALSE)),"")</f>
        <v>45896</v>
      </c>
      <c r="P1376" s="11" t="str">
        <f>IFERROR(IF(VLOOKUP(A1376,[9]PRIORIZADOS!$A:$P,16,FALSE)="","",VLOOKUP(A1376,[9]PRIORIZADOS!$A:$P,16,FALSE)),"")</f>
        <v>Visitas de evaluación con fines de seguimiento</v>
      </c>
      <c r="Q1376" s="2" t="s">
        <v>332</v>
      </c>
      <c r="R1376" s="11" t="str">
        <f>IFERROR(IF(VLOOKUP(A1376,[9]PRIORIZADOS!$A:$R,18,FALSE)="","",VLOOKUP(A1376,[9]PRIORIZADOS!$A:$R,18,FALSE)),"")</f>
        <v>En la entrevista con la rectora y la coordinadora,soportan los procesos de atención para atender los procesos de convivencia. Se presenta cronograma de actividades desde orientación escolar</v>
      </c>
      <c r="S1376" s="11" t="str">
        <f>IFERROR(IF(VLOOKUP(A1376,[9]PRIORIZADOS!$A:$S,19,FALSE)="","",VLOOKUP(A1376,[9]PRIORIZADOS!$A:$S,19,FALSE)),"")</f>
        <v>Continuar con la  aplicación a la ruta de atención integral y para las situaciones tipo II y III a los protocolos definidos por el Comité Distrital de Convivencia Escolar que actualmente estan en su versión 5.0</v>
      </c>
      <c r="T1376" s="70" t="str">
        <f>IFERROR(IF(VLOOKUP(A1376,[9]PRIORIZADOS!$A:$T,20,FALSE)="","",VLOOKUP(A1376,[9]PRIORIZADOS!$A:$T,20,FALSE)),"")</f>
        <v>No</v>
      </c>
      <c r="U1376" s="11" t="str">
        <f>IFERROR(IF(VLOOKUP(A1376,[9]PRIORIZADOS!$A:$U,21,FALSE)="","",VLOOKUP(A1376,[9]PRIORIZADOS!$A:$U,21,FALSE)),"")</f>
        <v>A demanda de acuerdo con las peticiones de la ciudadanía o de los entes de control</v>
      </c>
    </row>
    <row r="1377" spans="1:21" s="1" customFormat="1" ht="84">
      <c r="A1377" s="69">
        <f>IF([9]PRIORIZADOS!A74="","",[9]PRIORIZADOS!A74)</f>
        <v>1319</v>
      </c>
      <c r="B1377" s="70">
        <f>IFERROR(IF(VLOOKUP(A1377,[9]PRIORIZADOS!$A:$B,2,FALSE)="","",VLOOKUP(A1377,[9]PRIORIZADOS!$A:$B,2,FALSE)),"")</f>
        <v>12</v>
      </c>
      <c r="C1377" s="11" t="str">
        <f>IFERROR(IF(VLOOKUP(A1377,[9]PRIORIZADOS!$A:$C,3,FALSE)="","",VLOOKUP(A1377,[9]PRIORIZADOS!$A:$C,3,FALSE)),"")</f>
        <v>LOS MÁRTIRES</v>
      </c>
      <c r="D1377" s="11" t="str">
        <f>IFERROR(IF(VLOOKUP(A1377,[9]PRIORIZADOS!$A:$D,4,FALSE)="","",VLOOKUP(A1377,[9]PRIORIZADOS!$A:$D,4,FALSE)),"")</f>
        <v>OFICIAL</v>
      </c>
      <c r="E1377" s="11" t="str">
        <f>IFERROR(IF(VLOOKUP(A1377,[9]PRIORIZADOS!$A:$E,5,FALSE)="","",VLOOKUP(A1377,[9]PRIORIZADOS!$A:$E,5,FALSE)),"")</f>
        <v>EPBM</v>
      </c>
      <c r="F1377" s="11" t="str">
        <f>IFERROR(IF(VLOOKUP(A1377,[9]PRIORIZADOS!$A:$F,6,FALSE)="","",VLOOKUP(A1377,[9]PRIORIZADOS!$A:$F,6,FALSE)),"")</f>
        <v>COLEGIO_LICEO_NACIONAL_AGUSTIN_NIETO_CABALLERO_IED</v>
      </c>
      <c r="G1377" s="11" t="str">
        <f>IFERROR(IF(VLOOKUP(A1377,[9]PRIORIZADOS!$A:$G,7,FALSE)="","",VLOOKUP(A1377,[9]PRIORIZADOS!$A:$G,7,FALSE)),"")</f>
        <v>COLEGIO_LICEO_NACIONAL_AGUSTIN_NIETO_CABALLERO_IED</v>
      </c>
      <c r="H1377" s="11" t="str">
        <f>IFERROR(IF(VLOOKUP(A1377,[9]PRIORIZADOS!$A:$H,8,FALSE)="","",VLOOKUP(A1377,[9]PRIORIZADOS!$A:$H,8,FALSE)),"")</f>
        <v>Autoevaluación Institucional y Pruebas SABER 11</v>
      </c>
      <c r="I1377" s="11" t="str">
        <f>IFERROR(IF(VLOOKUP(A1377,[9]PRIORIZADOS!$A:$I,9,FALSE)="","",VLOOKUP(A1377,[9]PRIORIZADOS!$A:$I,9,FALSE)),"")</f>
        <v>EVALUACIÓN_CON_FINES_DE_MEJORAMIENTO.</v>
      </c>
      <c r="J1377" s="11" t="str">
        <f>IFERROR(IF(VLOOKUP(A1377,[9]PRIORIZADOS!$A:$J,10,FALSE)="","",VLOOKUP(A1377,[9]PRIORIZADOS!$A:$J,10,FALSE)),"")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77" s="11" t="str">
        <f>IFERROR(IF(VLOOKUP(A1377,[9]PRIORIZADOS!$A:$K,11,FALSE)="","",VLOOKUP(A1377,[9]PRIORIZADOS!$A:$K,11,FALSE)),"")</f>
        <v>LUIS ALEJANDRO MARTÍNEZ PALACIOS</v>
      </c>
      <c r="L1377" s="11" t="str">
        <f>IFERROR(IF(VLOOKUP(A1377,[9]PRIORIZADOS!$A:$L,12,FALSE)="","",VLOOKUP(A1377,[9]PRIORIZADOS!$A:$L,12,FALSE)),"")</f>
        <v>CARLOS EDUARDO VARGAS LÓPEZ</v>
      </c>
      <c r="M1377" s="71">
        <f>IFERROR(IF(VLOOKUP(A1377,[9]PRIORIZADOS!$A:$M,13,FALSE)="","",VLOOKUP(A1377,[9]PRIORIZADOS!$A:$M,13,FALSE)),"")</f>
        <v>45895</v>
      </c>
      <c r="N1377" s="71">
        <f>IFERROR(IF(VLOOKUP(A1377,[9]PRIORIZADOS!$A:$N,14,FALSE)="","",VLOOKUP(A1377,[9]PRIORIZADOS!$A:$N,14,FALSE)),"")</f>
        <v>45896</v>
      </c>
      <c r="O1377" s="71">
        <f>IFERROR(IF(VLOOKUP(A1377,[9]PRIORIZADOS!$A:$O,15,FALSE)="","",VLOOKUP(A1377,[9]PRIORIZADOS!$A:$O,15,FALSE)),"")</f>
        <v>45896</v>
      </c>
      <c r="P1377" s="11" t="str">
        <f>IFERROR(IF(VLOOKUP(A1377,[9]PRIORIZADOS!$A:$P,16,FALSE)="","",VLOOKUP(A1377,[9]PRIORIZADOS!$A:$P,16,FALSE)),"")</f>
        <v>Visitas de evaluación con fines de seguimiento</v>
      </c>
      <c r="Q1377" s="2" t="s">
        <v>332</v>
      </c>
      <c r="R1377" s="11" t="str">
        <f>IFERROR(IF(VLOOKUP(A1377,[9]PRIORIZADOS!$A:$R,18,FALSE)="","",VLOOKUP(A1377,[9]PRIORIZADOS!$A:$R,18,FALSE)),"")</f>
        <v>Presentan documento del Manual de Convivencia del cual se realiza revisión general</v>
      </c>
      <c r="S1377" s="11" t="str">
        <f>IFERROR(IF(VLOOKUP(A1377,[9]PRIORIZADOS!$A:$S,19,FALSE)="","",VLOOKUP(A1377,[9]PRIORIZADOS!$A:$S,19,FALSE)),"")</f>
        <v>Actualizar el Manual de Convivencia con la partición de la comunidad educativa en lo concerniente al horizonte institucional y las demás acciones que se consideren</v>
      </c>
      <c r="T1377" s="70" t="str">
        <f>IFERROR(IF(VLOOKUP(A1377,[9]PRIORIZADOS!$A:$T,20,FALSE)="","",VLOOKUP(A1377,[9]PRIORIZADOS!$A:$T,20,FALSE)),"")</f>
        <v>Si</v>
      </c>
      <c r="U1377" s="11" t="str">
        <f>IFERROR(IF(VLOOKUP(A1377,[9]PRIORIZADOS!$A:$U,21,FALSE)="","",VLOOKUP(A1377,[9]PRIORIZADOS!$A:$U,21,FALSE)),"")</f>
        <v>Se hará la revisión y evaluación del manual de convivencia actualizado en 2026</v>
      </c>
    </row>
    <row r="1378" spans="1:21" s="1" customFormat="1" ht="48">
      <c r="A1378" s="69">
        <f>IF([9]PRIORIZADOS!A75="","",[9]PRIORIZADOS!A75)</f>
        <v>1320</v>
      </c>
      <c r="B1378" s="70">
        <f>IFERROR(IF(VLOOKUP(A1378,[9]PRIORIZADOS!$A:$B,2,FALSE)="","",VLOOKUP(A1378,[9]PRIORIZADOS!$A:$B,2,FALSE)),"")</f>
        <v>12</v>
      </c>
      <c r="C1378" s="11" t="str">
        <f>IFERROR(IF(VLOOKUP(A1378,[9]PRIORIZADOS!$A:$C,3,FALSE)="","",VLOOKUP(A1378,[9]PRIORIZADOS!$A:$C,3,FALSE)),"")</f>
        <v>LOS MÁRTIRES</v>
      </c>
      <c r="D1378" s="11" t="str">
        <f>IFERROR(IF(VLOOKUP(A1378,[9]PRIORIZADOS!$A:$D,4,FALSE)="","",VLOOKUP(A1378,[9]PRIORIZADOS!$A:$D,4,FALSE)),"")</f>
        <v>OFICIAL</v>
      </c>
      <c r="E1378" s="11" t="str">
        <f>IFERROR(IF(VLOOKUP(A1378,[9]PRIORIZADOS!$A:$E,5,FALSE)="","",VLOOKUP(A1378,[9]PRIORIZADOS!$A:$E,5,FALSE)),"")</f>
        <v>EPBM</v>
      </c>
      <c r="F1378" s="11" t="str">
        <f>IFERROR(IF(VLOOKUP(A1378,[9]PRIORIZADOS!$A:$F,6,FALSE)="","",VLOOKUP(A1378,[9]PRIORIZADOS!$A:$F,6,FALSE)),"")</f>
        <v>COLEGIO_LICEO_NACIONAL_AGUSTIN_NIETO_CABALLERO_IED</v>
      </c>
      <c r="G1378" s="11" t="str">
        <f>IFERROR(IF(VLOOKUP(A1378,[9]PRIORIZADOS!$A:$G,7,FALSE)="","",VLOOKUP(A1378,[9]PRIORIZADOS!$A:$G,7,FALSE)),"")</f>
        <v>COLEGIO_LICEO_NACIONAL_AGUSTIN_NIETO_CABALLERO_IED</v>
      </c>
      <c r="H1378" s="11" t="str">
        <f>IFERROR(IF(VLOOKUP(A1378,[9]PRIORIZADOS!$A:$H,8,FALSE)="","",VLOOKUP(A1378,[9]PRIORIZADOS!$A:$H,8,FALSE)),"")</f>
        <v>Autoevaluación Institucional y Pruebas SABER 11</v>
      </c>
      <c r="I1378" s="11" t="str">
        <f>IFERROR(IF(VLOOKUP(A1378,[9]PRIORIZADOS!$A:$I,9,FALSE)="","",VLOOKUP(A1378,[9]PRIORIZADOS!$A:$I,9,FALSE)),"")</f>
        <v>EVALUACIÓN_CON_FINES_DE_MEJORAMIENTO.</v>
      </c>
      <c r="J1378" s="11" t="str">
        <f>IFERROR(IF(VLOOKUP(A1378,[9]PRIORIZADOS!$A:$J,10,FALSE)="","",VLOOKUP(A1378,[9]PRIORIZADOS!$A:$J,10,FALSE)),"")</f>
        <v>Revisar la actualización, socialización e implementación del Sistema Institucional de Evaluación de Estudiantes - SIEE, en articulación con la actualización del PEI y la normatividad vigente.</v>
      </c>
      <c r="K1378" s="11" t="str">
        <f>IFERROR(IF(VLOOKUP(A1378,[9]PRIORIZADOS!$A:$K,11,FALSE)="","",VLOOKUP(A1378,[9]PRIORIZADOS!$A:$K,11,FALSE)),"")</f>
        <v>LUIS ALEJANDRO MARTÍNEZ PALACIOS</v>
      </c>
      <c r="L1378" s="11" t="str">
        <f>IFERROR(IF(VLOOKUP(A1378,[9]PRIORIZADOS!$A:$L,12,FALSE)="","",VLOOKUP(A1378,[9]PRIORIZADOS!$A:$L,12,FALSE)),"")</f>
        <v>CARLOS EDUARDO VARGAS LÓPEZ</v>
      </c>
      <c r="M1378" s="71">
        <f>IFERROR(IF(VLOOKUP(A1378,[9]PRIORIZADOS!$A:$M,13,FALSE)="","",VLOOKUP(A1378,[9]PRIORIZADOS!$A:$M,13,FALSE)),"")</f>
        <v>45895</v>
      </c>
      <c r="N1378" s="71">
        <f>IFERROR(IF(VLOOKUP(A1378,[9]PRIORIZADOS!$A:$N,14,FALSE)="","",VLOOKUP(A1378,[9]PRIORIZADOS!$A:$N,14,FALSE)),"")</f>
        <v>45896</v>
      </c>
      <c r="O1378" s="71">
        <f>IFERROR(IF(VLOOKUP(A1378,[9]PRIORIZADOS!$A:$O,15,FALSE)="","",VLOOKUP(A1378,[9]PRIORIZADOS!$A:$O,15,FALSE)),"")</f>
        <v>45896</v>
      </c>
      <c r="P1378" s="11" t="str">
        <f>IFERROR(IF(VLOOKUP(A1378,[9]PRIORIZADOS!$A:$P,16,FALSE)="","",VLOOKUP(A1378,[9]PRIORIZADOS!$A:$P,16,FALSE)),"")</f>
        <v>Visitas de evaluación con fines de seguimiento</v>
      </c>
      <c r="Q1378" s="2" t="s">
        <v>332</v>
      </c>
      <c r="R1378" s="11" t="str">
        <f>IFERROR(IF(VLOOKUP(A1378,[9]PRIORIZADOS!$A:$R,18,FALSE)="","",VLOOKUP(A1378,[9]PRIORIZADOS!$A:$R,18,FALSE)),"")</f>
        <v xml:space="preserve">Se verificó la formulación del SIEE y se realizó revisión general, el cual esta incluido en el manual de convivencia </v>
      </c>
      <c r="S1378" s="11" t="str">
        <f>IFERROR(IF(VLOOKUP(A1378,[9]PRIORIZADOS!$A:$S,19,FALSE)="","",VLOOKUP(A1378,[9]PRIORIZADOS!$A:$S,19,FALSE)),"")</f>
        <v>Revisar el SIEE y actualizarlo con la participación de los órganos e instancias correspondientes y presentarlo para su evaluación.</v>
      </c>
      <c r="T1378" s="70" t="str">
        <f>IFERROR(IF(VLOOKUP(A1378,[9]PRIORIZADOS!$A:$T,20,FALSE)="","",VLOOKUP(A1378,[9]PRIORIZADOS!$A:$T,20,FALSE)),"")</f>
        <v>Si</v>
      </c>
      <c r="U1378" s="11" t="str">
        <f>IFERROR(IF(VLOOKUP(A1378,[9]PRIORIZADOS!$A:$U,21,FALSE)="","",VLOOKUP(A1378,[9]PRIORIZADOS!$A:$U,21,FALSE)),"")</f>
        <v>Se hará la revisión y evaluación del SIEE actualizado en 2026.</v>
      </c>
    </row>
    <row r="1379" spans="1:21" s="1" customFormat="1" ht="60">
      <c r="A1379" s="69">
        <f>IF([9]PRIORIZADOS!A76="","",[9]PRIORIZADOS!A76)</f>
        <v>1321</v>
      </c>
      <c r="B1379" s="70">
        <f>IFERROR(IF(VLOOKUP(A1379,[9]PRIORIZADOS!$A:$B,2,FALSE)="","",VLOOKUP(A1379,[9]PRIORIZADOS!$A:$B,2,FALSE)),"")</f>
        <v>12</v>
      </c>
      <c r="C1379" s="11" t="str">
        <f>IFERROR(IF(VLOOKUP(A1379,[9]PRIORIZADOS!$A:$C,3,FALSE)="","",VLOOKUP(A1379,[9]PRIORIZADOS!$A:$C,3,FALSE)),"")</f>
        <v>LOS MÁRTIRES</v>
      </c>
      <c r="D1379" s="11" t="str">
        <f>IFERROR(IF(VLOOKUP(A1379,[9]PRIORIZADOS!$A:$D,4,FALSE)="","",VLOOKUP(A1379,[9]PRIORIZADOS!$A:$D,4,FALSE)),"")</f>
        <v>OFICIAL</v>
      </c>
      <c r="E1379" s="11" t="str">
        <f>IFERROR(IF(VLOOKUP(A1379,[9]PRIORIZADOS!$A:$E,5,FALSE)="","",VLOOKUP(A1379,[9]PRIORIZADOS!$A:$E,5,FALSE)),"")</f>
        <v>EPBM</v>
      </c>
      <c r="F1379" s="11" t="str">
        <f>IFERROR(IF(VLOOKUP(A1379,[9]PRIORIZADOS!$A:$F,6,FALSE)="","",VLOOKUP(A1379,[9]PRIORIZADOS!$A:$F,6,FALSE)),"")</f>
        <v>COLEGIO_LICEO_NACIONAL_AGUSTIN_NIETO_CABALLERO_IED</v>
      </c>
      <c r="G1379" s="11" t="str">
        <f>IFERROR(IF(VLOOKUP(A1379,[9]PRIORIZADOS!$A:$G,7,FALSE)="","",VLOOKUP(A1379,[9]PRIORIZADOS!$A:$G,7,FALSE)),"")</f>
        <v>COLEGIO_LICEO_NACIONAL_AGUSTIN_NIETO_CABALLERO_IED</v>
      </c>
      <c r="H1379" s="11" t="str">
        <f>IFERROR(IF(VLOOKUP(A1379,[9]PRIORIZADOS!$A:$H,8,FALSE)="","",VLOOKUP(A1379,[9]PRIORIZADOS!$A:$H,8,FALSE)),"")</f>
        <v>Autoevaluación Institucional y Pruebas SABER 11</v>
      </c>
      <c r="I1379" s="11" t="str">
        <f>IFERROR(IF(VLOOKUP(A1379,[9]PRIORIZADOS!$A:$I,9,FALSE)="","",VLOOKUP(A1379,[9]PRIORIZADOS!$A:$I,9,FALSE)),"")</f>
        <v>EVALUACIÓN_CON_FINES_DE_MEJORAMIENTO.</v>
      </c>
      <c r="J1379" s="11" t="str">
        <f>IFERROR(IF(VLOOKUP(A1379,[9]PRIORIZADOS!$A:$J,10,FALSE)="","",VLOOKUP(A1379,[9]PRIORIZADOS!$A:$J,10,FALSE)),"")</f>
        <v>Verificar el funcionamiento del Gobierno Escolar e instancias de participación con base en la información sobre conformación reportada por la institución educativa.</v>
      </c>
      <c r="K1379" s="11" t="str">
        <f>IFERROR(IF(VLOOKUP(A1379,[9]PRIORIZADOS!$A:$K,11,FALSE)="","",VLOOKUP(A1379,[9]PRIORIZADOS!$A:$K,11,FALSE)),"")</f>
        <v>LUIS ALEJANDRO MARTÍNEZ PALACIOS</v>
      </c>
      <c r="L1379" s="11" t="str">
        <f>IFERROR(IF(VLOOKUP(A1379,[9]PRIORIZADOS!$A:$L,12,FALSE)="","",VLOOKUP(A1379,[9]PRIORIZADOS!$A:$L,12,FALSE)),"")</f>
        <v>CARLOS EDUARDO VARGAS LÓPEZ</v>
      </c>
      <c r="M1379" s="71">
        <f>IFERROR(IF(VLOOKUP(A1379,[9]PRIORIZADOS!$A:$M,13,FALSE)="","",VLOOKUP(A1379,[9]PRIORIZADOS!$A:$M,13,FALSE)),"")</f>
        <v>45895</v>
      </c>
      <c r="N1379" s="71">
        <f>IFERROR(IF(VLOOKUP(A1379,[9]PRIORIZADOS!$A:$N,14,FALSE)="","",VLOOKUP(A1379,[9]PRIORIZADOS!$A:$N,14,FALSE)),"")</f>
        <v>45896</v>
      </c>
      <c r="O1379" s="71">
        <f>IFERROR(IF(VLOOKUP(A1379,[9]PRIORIZADOS!$A:$O,15,FALSE)="","",VLOOKUP(A1379,[9]PRIORIZADOS!$A:$O,15,FALSE)),"")</f>
        <v>45896</v>
      </c>
      <c r="P1379" s="11" t="str">
        <f>IFERROR(IF(VLOOKUP(A1379,[9]PRIORIZADOS!$A:$P,16,FALSE)="","",VLOOKUP(A1379,[9]PRIORIZADOS!$A:$P,16,FALSE)),"")</f>
        <v>Visitas de evaluación con fines de seguimiento</v>
      </c>
      <c r="Q1379" s="2" t="s">
        <v>332</v>
      </c>
      <c r="R1379" s="11" t="str">
        <f>IFERROR(IF(VLOOKUP(A1379,[9]PRIORIZADOS!$A:$R,18,FALSE)="","",VLOOKUP(A1379,[9]PRIORIZADOS!$A:$R,18,FALSE)),"")</f>
        <v>Se verificó actas de funcionamiento de gobierno escolar, entre ellas de Consejo Directivo, Consejo Académico, Comité escolar de convivencia y Comisiones de evaluación</v>
      </c>
      <c r="S1379" s="11" t="str">
        <f>IFERROR(IF(VLOOKUP(A1379,[9]PRIORIZADOS!$A:$S,19,FALSE)="","",VLOOKUP(A1379,[9]PRIORIZADOS!$A:$S,19,FALSE)),"")</f>
        <v>Allegar copia de las actas de reunión de Consejo de Estudiantes y Consejo de Padres al correo de supervisión</v>
      </c>
      <c r="T1379" s="70" t="str">
        <f>IFERROR(IF(VLOOKUP(A1379,[9]PRIORIZADOS!$A:$T,20,FALSE)="","",VLOOKUP(A1379,[9]PRIORIZADOS!$A:$T,20,FALSE)),"")</f>
        <v>SI</v>
      </c>
      <c r="U1379" s="11" t="str">
        <f>IFERROR(IF(VLOOKUP(A1379,[9]PRIORIZADOS!$A:$U,21,FALSE)="","",VLOOKUP(A1379,[9]PRIORIZADOS!$A:$U,21,FALSE)),"")</f>
        <v>De acuerdo con el compromiso de entrega del plan de mejoramiento.Se acordó entrega para el 26 de septiembre</v>
      </c>
    </row>
    <row r="1380" spans="1:21" s="1" customFormat="1" ht="107.25">
      <c r="A1380" s="69">
        <f>IF([9]PRIORIZADOS!A77="","",[9]PRIORIZADOS!A77)</f>
        <v>1322</v>
      </c>
      <c r="B1380" s="70">
        <f>IFERROR(IF(VLOOKUP(A1380,[9]PRIORIZADOS!$A:$B,2,FALSE)="","",VLOOKUP(A1380,[9]PRIORIZADOS!$A:$B,2,FALSE)),"")</f>
        <v>12</v>
      </c>
      <c r="C1380" s="11" t="str">
        <f>IFERROR(IF(VLOOKUP(A1380,[9]PRIORIZADOS!$A:$C,3,FALSE)="","",VLOOKUP(A1380,[9]PRIORIZADOS!$A:$C,3,FALSE)),"")</f>
        <v>LOS MÁRTIRES</v>
      </c>
      <c r="D1380" s="11" t="str">
        <f>IFERROR(IF(VLOOKUP(A1380,[9]PRIORIZADOS!$A:$D,4,FALSE)="","",VLOOKUP(A1380,[9]PRIORIZADOS!$A:$D,4,FALSE)),"")</f>
        <v>OFICIAL</v>
      </c>
      <c r="E1380" s="11" t="str">
        <f>IFERROR(IF(VLOOKUP(A1380,[9]PRIORIZADOS!$A:$E,5,FALSE)="","",VLOOKUP(A1380,[9]PRIORIZADOS!$A:$E,5,FALSE)),"")</f>
        <v>EPBM</v>
      </c>
      <c r="F1380" s="11" t="str">
        <f>IFERROR(IF(VLOOKUP(A1380,[9]PRIORIZADOS!$A:$F,6,FALSE)="","",VLOOKUP(A1380,[9]PRIORIZADOS!$A:$F,6,FALSE)),"")</f>
        <v>COLEGIO_LICEO_NACIONAL_AGUSTIN_NIETO_CABALLERO_IED</v>
      </c>
      <c r="G1380" s="11" t="str">
        <f>IFERROR(IF(VLOOKUP(A1380,[9]PRIORIZADOS!$A:$G,7,FALSE)="","",VLOOKUP(A1380,[9]PRIORIZADOS!$A:$G,7,FALSE)),"")</f>
        <v>COLEGIO_LICEO_NACIONAL_AGUSTIN_NIETO_CABALLERO_IED</v>
      </c>
      <c r="H1380" s="11" t="str">
        <f>IFERROR(IF(VLOOKUP(A1380,[9]PRIORIZADOS!$A:$H,8,FALSE)="","",VLOOKUP(A1380,[9]PRIORIZADOS!$A:$H,8,FALSE)),"")</f>
        <v>Autoevaluación Institucional y Pruebas SABER 11</v>
      </c>
      <c r="I1380" s="11" t="str">
        <f>IFERROR(IF(VLOOKUP(A1380,[9]PRIORIZADOS!$A:$I,9,FALSE)="","",VLOOKUP(A1380,[9]PRIORIZADOS!$A:$I,9,FALSE)),"")</f>
        <v>EVALUACIÓN_CON_FINES_DE_MEJORAMIENTO.</v>
      </c>
      <c r="J1380" s="11" t="str">
        <f>IFERROR(IF(VLOOKUP(A1380,[9]PRIORIZADOS!$A:$J,10,FALSE)="","",VLOOKUP(A1380,[9]PRIORIZADOS!$A:$J,10,FALSE)),"")</f>
        <v>Verificar las condiciones en cuanto a: la estructura administrativa, condiciones de la planta física y medios educativos adecuados.</v>
      </c>
      <c r="K1380" s="11" t="str">
        <f>IFERROR(IF(VLOOKUP(A1380,[9]PRIORIZADOS!$A:$K,11,FALSE)="","",VLOOKUP(A1380,[9]PRIORIZADOS!$A:$K,11,FALSE)),"")</f>
        <v>LUIS ALEJANDRO MARTÍNEZ PALACIOS</v>
      </c>
      <c r="L1380" s="11" t="str">
        <f>IFERROR(IF(VLOOKUP(A1380,[9]PRIORIZADOS!$A:$L,12,FALSE)="","",VLOOKUP(A1380,[9]PRIORIZADOS!$A:$L,12,FALSE)),"")</f>
        <v>CARLOS EDUARDO VARGAS LÓPEZ</v>
      </c>
      <c r="M1380" s="71">
        <f>IFERROR(IF(VLOOKUP(A1380,[9]PRIORIZADOS!$A:$M,13,FALSE)="","",VLOOKUP(A1380,[9]PRIORIZADOS!$A:$M,13,FALSE)),"")</f>
        <v>45895</v>
      </c>
      <c r="N1380" s="71">
        <f>IFERROR(IF(VLOOKUP(A1380,[9]PRIORIZADOS!$A:$N,14,FALSE)="","",VLOOKUP(A1380,[9]PRIORIZADOS!$A:$N,14,FALSE)),"")</f>
        <v>45896</v>
      </c>
      <c r="O1380" s="71">
        <f>IFERROR(IF(VLOOKUP(A1380,[9]PRIORIZADOS!$A:$O,15,FALSE)="","",VLOOKUP(A1380,[9]PRIORIZADOS!$A:$O,15,FALSE)),"")</f>
        <v>45896</v>
      </c>
      <c r="P1380" s="11" t="str">
        <f>IFERROR(IF(VLOOKUP(A1380,[9]PRIORIZADOS!$A:$P,16,FALSE)="","",VLOOKUP(A1380,[9]PRIORIZADOS!$A:$P,16,FALSE)),"")</f>
        <v>Visitas de evaluación con fines de seguimiento</v>
      </c>
      <c r="Q1380" s="43" t="s">
        <v>332</v>
      </c>
      <c r="R1380" s="11" t="str">
        <f>IFERROR(IF(VLOOKUP(A1380,[9]PRIORIZADOS!$A:$R,18,FALSE)="","",VLOOKUP(A1380,[9]PRIORIZADOS!$A:$R,18,FALSE)),"")</f>
        <v>Actualmente, la IED opera en una sede arrendada de manera temporal, en tanto se llevan a cabo las adecuaciones necesarias en la sede propia.</v>
      </c>
      <c r="S1380" s="11" t="str">
        <f>IFERROR(IF(VLOOKUP(A1380,[9]PRIORIZADOS!$A:$S,19,FALSE)="","",VLOOKUP(A1380,[9]PRIORIZADOS!$A:$S,19,FALSE)),"")</f>
        <v xml:space="preserve">La sede alterna cumple con las condiciones necesarias para la prestación del servicio educativo. No obstante, se han identificado algunas situaciones que requieren atención, como la falta de conectividad a internet y la ausencia de accesos adecuados para personas con discapacidad, debido a que no cuenta con rampas ni ascensores. </v>
      </c>
      <c r="T1380" s="70" t="str">
        <f>IFERROR(IF(VLOOKUP(A1380,[9]PRIORIZADOS!$A:$T,20,FALSE)="","",VLOOKUP(A1380,[9]PRIORIZADOS!$A:$T,20,FALSE)),"")</f>
        <v>NO</v>
      </c>
      <c r="U1380" s="11" t="str">
        <f>IFERROR(IF(VLOOKUP(A1380,[9]PRIORIZADOS!$A:$U,21,FALSE)="","",VLOOKUP(A1380,[9]PRIORIZADOS!$A:$U,21,FALSE)),"")</f>
        <v>A demanda de acuerdo con las peticiones de la ciudadanía o de los entes de control</v>
      </c>
    </row>
    <row r="1381" spans="1:21" s="1" customFormat="1" ht="118.5">
      <c r="A1381" s="69">
        <f>IF([9]PRIORIZADOS!A78="","",[9]PRIORIZADOS!A78)</f>
        <v>1323</v>
      </c>
      <c r="B1381" s="70">
        <f>IFERROR(IF(VLOOKUP(A1381,[9]PRIORIZADOS!$A:$B,2,FALSE)="","",VLOOKUP(A1381,[9]PRIORIZADOS!$A:$B,2,FALSE)),"")</f>
        <v>13</v>
      </c>
      <c r="C1381" s="11" t="str">
        <f>IFERROR(IF(VLOOKUP(A1381,[9]PRIORIZADOS!$A:$C,3,FALSE)="","",VLOOKUP(A1381,[9]PRIORIZADOS!$A:$C,3,FALSE)),"")</f>
        <v>LOS MÁRTIRES</v>
      </c>
      <c r="D1381" s="11" t="str">
        <f>IFERROR(IF(VLOOKUP(A1381,[9]PRIORIZADOS!$A:$D,4,FALSE)="","",VLOOKUP(A1381,[9]PRIORIZADOS!$A:$D,4,FALSE)),"")</f>
        <v>PRIVADO</v>
      </c>
      <c r="E1381" s="11" t="str">
        <f>IFERROR(IF(VLOOKUP(A1381,[9]PRIORIZADOS!$A:$E,5,FALSE)="","",VLOOKUP(A1381,[9]PRIORIZADOS!$A:$E,5,FALSE)),"")</f>
        <v>EPBM</v>
      </c>
      <c r="F1381" s="11" t="str">
        <f>IFERROR(IF(VLOOKUP(A1381,[9]PRIORIZADOS!$A:$F,6,FALSE)="","",VLOOKUP(A1381,[9]PRIORIZADOS!$A:$F,6,FALSE)),"")</f>
        <v>COLEGIO_BILINGÜE_CEDAM</v>
      </c>
      <c r="G1381" s="11" t="str">
        <f>IFERROR(IF(VLOOKUP(A1381,[9]PRIORIZADOS!$A:$G,7,FALSE)="","",VLOOKUP(A1381,[9]PRIORIZADOS!$A:$G,7,FALSE)),"")</f>
        <v>COLEGIO BILINGÜE CEDAM</v>
      </c>
      <c r="H1381" s="11" t="str">
        <f>IFERROR(IF(VLOOKUP(A1381,[9]PRIORIZADOS!$A:$H,8,FALSE)="","",VLOOKUP(A1381,[9]PRIORIZADOS!$A:$H,8,FALSE)),"")</f>
        <v>Autoevaluación Institucional y Pruebas SABER 11</v>
      </c>
      <c r="I1381" s="11" t="str">
        <f>IFERROR(IF(VLOOKUP(A1381,[9]PRIORIZADOS!$A:$I,9,FALSE)="","",VLOOKUP(A1381,[9]PRIORIZADOS!$A:$I,9,FALSE)),"")</f>
        <v>SEGUIMIENTO_Y_SUPERVISIÓN.</v>
      </c>
      <c r="J1381" s="11" t="str">
        <f>IFERROR(IF(VLOOKUP(A1381,[9]PRIORIZADOS!$A:$J,10,FALSE)="","",VLOOKUP(A1381,[9]PRIORIZADOS!$A:$J,10,FALSE)),"")</f>
        <v xml:space="preserve">Verificar la implementación por parte de los colegios, de acciones realizadas para la prevención y atención de las situaciones de convivencia en el entorno escolar, según lo establecido en la Directiva 01 de 2022 del MEN. </v>
      </c>
      <c r="K1381" s="11" t="str">
        <f>IFERROR(IF(VLOOKUP(A1381,[9]PRIORIZADOS!$A:$K,11,FALSE)="","",VLOOKUP(A1381,[9]PRIORIZADOS!$A:$K,11,FALSE)),"")</f>
        <v>LUIS ALEJANDRO MARTÍNEZ PALACIOS</v>
      </c>
      <c r="L1381" s="11" t="str">
        <f>IFERROR(IF(VLOOKUP(A1381,[9]PRIORIZADOS!$A:$L,12,FALSE)="","",VLOOKUP(A1381,[9]PRIORIZADOS!$A:$L,12,FALSE)),"")</f>
        <v>CARLOS EDUARDO VARGAS LÓPEZ</v>
      </c>
      <c r="M1381" s="71">
        <f>IFERROR(IF(VLOOKUP(A1381,[9]PRIORIZADOS!$A:$M,13,FALSE)="","",VLOOKUP(A1381,[9]PRIORIZADOS!$A:$M,13,FALSE)),"")</f>
        <v>45911</v>
      </c>
      <c r="N1381" s="71">
        <f>IFERROR(IF(VLOOKUP(A1381,[9]PRIORIZADOS!$A:$N,14,FALSE)="","",VLOOKUP(A1381,[9]PRIORIZADOS!$A:$N,14,FALSE)),"")</f>
        <v>45911</v>
      </c>
      <c r="O1381" s="71">
        <f>IFERROR(IF(VLOOKUP(A1381,[9]PRIORIZADOS!$A:$O,15,FALSE)="","",VLOOKUP(A1381,[9]PRIORIZADOS!$A:$O,15,FALSE)),"")</f>
        <v>45911</v>
      </c>
      <c r="P1381" s="11" t="str">
        <f>IFERROR(IF(VLOOKUP(A1381,[9]PRIORIZADOS!$A:$P,16,FALSE)="","",VLOOKUP(A1381,[9]PRIORIZADOS!$A:$P,16,FALSE)),"")</f>
        <v>Visitas de evaluación con fines de seguimiento</v>
      </c>
      <c r="Q1381" s="27" t="s">
        <v>333</v>
      </c>
      <c r="R1381" s="11" t="str">
        <f>IFERROR(IF(VLOOKUP(A1381,[9]PRIORIZADOS!$A:$R,18,FALSE)="","",VLOOKUP(A1381,[9]PRIORIZADOS!$A:$R,18,FALSE)),"")</f>
        <v>Se evidencia la verificación de inhabilidades por delitos sexuales del personal contratado por la institución educativa con fecha de 27-08-2025.
Se realizan acciones a través de los proyectos transversales de: Cultura ciudadana, DDHH, Educación Sexual y de bitácora de atención y seguimiento a situaciones de convivencia escolar</v>
      </c>
      <c r="S1381" s="11" t="str">
        <f>IFERROR(IF(VLOOKUP(A1381,[9]PRIORIZADOS!$A:$S,19,FALSE)="","",VLOOKUP(A1381,[9]PRIORIZADOS!$A:$S,19,FALSE)),"")</f>
        <v>Continuar con la  aplicación a la ruta de atención integral y para las situaciones tipo II y III a los protocolos definidos por el Comité Distrital de Convivencia Escolar que actualmente estan en su versión 5.0,  así mismo con las acciones de promoción y prevención en los proyectos pedagógicos y transversales y la consulta de inhabilidades según lo determina la normatividad vigente</v>
      </c>
      <c r="T1381" s="70" t="str">
        <f>IFERROR(IF(VLOOKUP(A1381,[9]PRIORIZADOS!$A:$T,20,FALSE)="","",VLOOKUP(A1381,[9]PRIORIZADOS!$A:$T,20,FALSE)),"")</f>
        <v>No</v>
      </c>
      <c r="U1381" s="11" t="str">
        <f>IFERROR(IF(VLOOKUP(A1381,[9]PRIORIZADOS!$A:$U,21,FALSE)="","",VLOOKUP(A1381,[9]PRIORIZADOS!$A:$U,21,FALSE)),"")</f>
        <v>A demanda de acuerdo con las solicitudes o peticiones que se reciban Informar a la DLE sobre esta situación para la gestión correspondiente.</v>
      </c>
    </row>
    <row r="1382" spans="1:21" s="1" customFormat="1" ht="72">
      <c r="A1382" s="69">
        <f>IF([9]PRIORIZADOS!A79="","",[9]PRIORIZADOS!A79)</f>
        <v>1324</v>
      </c>
      <c r="B1382" s="70">
        <f>IFERROR(IF(VLOOKUP(A1382,[9]PRIORIZADOS!$A:$B,2,FALSE)="","",VLOOKUP(A1382,[9]PRIORIZADOS!$A:$B,2,FALSE)),"")</f>
        <v>13</v>
      </c>
      <c r="C1382" s="11" t="str">
        <f>IFERROR(IF(VLOOKUP(A1382,[9]PRIORIZADOS!$A:$C,3,FALSE)="","",VLOOKUP(A1382,[9]PRIORIZADOS!$A:$C,3,FALSE)),"")</f>
        <v>LOS MÁRTIRES</v>
      </c>
      <c r="D1382" s="11" t="str">
        <f>IFERROR(IF(VLOOKUP(A1382,[9]PRIORIZADOS!$A:$D,4,FALSE)="","",VLOOKUP(A1382,[9]PRIORIZADOS!$A:$D,4,FALSE)),"")</f>
        <v>PRIVADO</v>
      </c>
      <c r="E1382" s="11" t="str">
        <f>IFERROR(IF(VLOOKUP(A1382,[9]PRIORIZADOS!$A:$E,5,FALSE)="","",VLOOKUP(A1382,[9]PRIORIZADOS!$A:$E,5,FALSE)),"")</f>
        <v>EPBM</v>
      </c>
      <c r="F1382" s="11" t="str">
        <f>IFERROR(IF(VLOOKUP(A1382,[9]PRIORIZADOS!$A:$F,6,FALSE)="","",VLOOKUP(A1382,[9]PRIORIZADOS!$A:$F,6,FALSE)),"")</f>
        <v>COLEGIO_BILINGÜE_CEDAM</v>
      </c>
      <c r="G1382" s="11" t="str">
        <f>IFERROR(IF(VLOOKUP(A1382,[9]PRIORIZADOS!$A:$G,7,FALSE)="","",VLOOKUP(A1382,[9]PRIORIZADOS!$A:$G,7,FALSE)),"")</f>
        <v>COLEGIO BILINGÜE CEDAM</v>
      </c>
      <c r="H1382" s="11" t="str">
        <f>IFERROR(IF(VLOOKUP(A1382,[9]PRIORIZADOS!$A:$H,8,FALSE)="","",VLOOKUP(A1382,[9]PRIORIZADOS!$A:$H,8,FALSE)),"")</f>
        <v>Autoevaluación Institucional y Pruebas SABER 11</v>
      </c>
      <c r="I1382" s="11" t="str">
        <f>IFERROR(IF(VLOOKUP(A1382,[9]PRIORIZADOS!$A:$I,9,FALSE)="","",VLOOKUP(A1382,[9]PRIORIZADOS!$A:$I,9,FALSE)),"")</f>
        <v>SEGUIMIENTO_Y_SUPERVISIÓN.</v>
      </c>
      <c r="J1382" s="11" t="str">
        <f>IFERROR(IF(VLOOKUP(A1382,[9]PRIORIZADOS!$A:$J,10,FALSE)="","",VLOOKUP(A1382,[9]PRIORIZADOS!$A:$J,10,FALSE)),"")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82" s="11" t="str">
        <f>IFERROR(IF(VLOOKUP(A1382,[9]PRIORIZADOS!$A:$K,11,FALSE)="","",VLOOKUP(A1382,[9]PRIORIZADOS!$A:$K,11,FALSE)),"")</f>
        <v>LUIS ALEJANDRO MARTÍNEZ PALACIOS</v>
      </c>
      <c r="L1382" s="11" t="str">
        <f>IFERROR(IF(VLOOKUP(A1382,[9]PRIORIZADOS!$A:$L,12,FALSE)="","",VLOOKUP(A1382,[9]PRIORIZADOS!$A:$L,12,FALSE)),"")</f>
        <v>CARLOS EDUARDO VARGAS LÓPEZ</v>
      </c>
      <c r="M1382" s="71">
        <f>IFERROR(IF(VLOOKUP(A1382,[9]PRIORIZADOS!$A:$M,13,FALSE)="","",VLOOKUP(A1382,[9]PRIORIZADOS!$A:$M,13,FALSE)),"")</f>
        <v>45911</v>
      </c>
      <c r="N1382" s="71">
        <f>IFERROR(IF(VLOOKUP(A1382,[9]PRIORIZADOS!$A:$N,14,FALSE)="","",VLOOKUP(A1382,[9]PRIORIZADOS!$A:$N,14,FALSE)),"")</f>
        <v>45911</v>
      </c>
      <c r="O1382" s="71">
        <f>IFERROR(IF(VLOOKUP(A1382,[9]PRIORIZADOS!$A:$O,15,FALSE)="","",VLOOKUP(A1382,[9]PRIORIZADOS!$A:$O,15,FALSE)),"")</f>
        <v>45911</v>
      </c>
      <c r="P1382" s="11" t="str">
        <f>IFERROR(IF(VLOOKUP(A1382,[9]PRIORIZADOS!$A:$P,16,FALSE)="","",VLOOKUP(A1382,[9]PRIORIZADOS!$A:$P,16,FALSE)),"")</f>
        <v>Visitas de evaluación con fines de seguimiento</v>
      </c>
      <c r="Q1382" s="27" t="s">
        <v>333</v>
      </c>
      <c r="R1382" s="11" t="str">
        <f>IFERROR(IF(VLOOKUP(A1382,[9]PRIORIZADOS!$A:$R,18,FALSE)="","",VLOOKUP(A1382,[9]PRIORIZADOS!$A:$R,18,FALSE)),"")</f>
        <v>Se verifica contra el reporte de SIMAT los PIAR de los estudiantes identificados. Se evidencia  7 estudiantes  con documentos PIAR.</v>
      </c>
      <c r="S1382" s="11" t="str">
        <f>IFERROR(IF(VLOOKUP(A1382,[9]PRIORIZADOS!$A:$S,19,FALSE)="","",VLOOKUP(A1382,[9]PRIORIZADOS!$A:$S,19,FALSE)),"")</f>
        <v>Continuar con los procesos de acompañamiento a los estudiantes con diagnóstico de discapacidad en el SIMAT</v>
      </c>
      <c r="T1382" s="70" t="str">
        <f>IFERROR(IF(VLOOKUP(A1382,[9]PRIORIZADOS!$A:$T,20,FALSE)="","",VLOOKUP(A1382,[9]PRIORIZADOS!$A:$T,20,FALSE)),"")</f>
        <v>No</v>
      </c>
      <c r="U1382" s="11" t="str">
        <f>IFERROR(IF(VLOOKUP(A1382,[9]PRIORIZADOS!$A:$U,21,FALSE)="","",VLOOKUP(A1382,[9]PRIORIZADOS!$A:$U,21,FALSE)),"")</f>
        <v>A demanda de acuerdo con las solicitudes o peticiones que se reciban</v>
      </c>
    </row>
    <row r="1383" spans="1:21" s="1" customFormat="1" ht="84">
      <c r="A1383" s="69">
        <f>IF([9]PRIORIZADOS!A80="","",[9]PRIORIZADOS!A80)</f>
        <v>1325</v>
      </c>
      <c r="B1383" s="70">
        <f>IFERROR(IF(VLOOKUP(A1383,[9]PRIORIZADOS!$A:$B,2,FALSE)="","",VLOOKUP(A1383,[9]PRIORIZADOS!$A:$B,2,FALSE)),"")</f>
        <v>13</v>
      </c>
      <c r="C1383" s="11" t="str">
        <f>IFERROR(IF(VLOOKUP(A1383,[9]PRIORIZADOS!$A:$C,3,FALSE)="","",VLOOKUP(A1383,[9]PRIORIZADOS!$A:$C,3,FALSE)),"")</f>
        <v>LOS MÁRTIRES</v>
      </c>
      <c r="D1383" s="11" t="str">
        <f>IFERROR(IF(VLOOKUP(A1383,[9]PRIORIZADOS!$A:$D,4,FALSE)="","",VLOOKUP(A1383,[9]PRIORIZADOS!$A:$D,4,FALSE)),"")</f>
        <v>PRIVADO</v>
      </c>
      <c r="E1383" s="11" t="str">
        <f>IFERROR(IF(VLOOKUP(A1383,[9]PRIORIZADOS!$A:$E,5,FALSE)="","",VLOOKUP(A1383,[9]PRIORIZADOS!$A:$E,5,FALSE)),"")</f>
        <v>EPBM</v>
      </c>
      <c r="F1383" s="11" t="str">
        <f>IFERROR(IF(VLOOKUP(A1383,[9]PRIORIZADOS!$A:$F,6,FALSE)="","",VLOOKUP(A1383,[9]PRIORIZADOS!$A:$F,6,FALSE)),"")</f>
        <v>COLEGIO_BILINGÜE_CEDAM</v>
      </c>
      <c r="G1383" s="11" t="str">
        <f>IFERROR(IF(VLOOKUP(A1383,[9]PRIORIZADOS!$A:$G,7,FALSE)="","",VLOOKUP(A1383,[9]PRIORIZADOS!$A:$G,7,FALSE)),"")</f>
        <v>COLEGIO BILINGÜE CEDAM</v>
      </c>
      <c r="H1383" s="11" t="str">
        <f>IFERROR(IF(VLOOKUP(A1383,[9]PRIORIZADOS!$A:$H,8,FALSE)="","",VLOOKUP(A1383,[9]PRIORIZADOS!$A:$H,8,FALSE)),"")</f>
        <v>Autoevaluación Institucional y Pruebas SABER 11</v>
      </c>
      <c r="I1383" s="11" t="str">
        <f>IFERROR(IF(VLOOKUP(A1383,[9]PRIORIZADOS!$A:$I,9,FALSE)="","",VLOOKUP(A1383,[9]PRIORIZADOS!$A:$I,9,FALSE)),"")</f>
        <v>EVALUACIÓN_CON_FINES_DE_MEJORAMIENTO.</v>
      </c>
      <c r="J1383" s="11" t="str">
        <f>IFERROR(IF(VLOOKUP(A1383,[9]PRIORIZADOS!$A:$J,10,FALSE)="","",VLOOKUP(A1383,[9]PRIORIZADOS!$A:$J,10,FALSE)),"")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83" s="11" t="str">
        <f>IFERROR(IF(VLOOKUP(A1383,[9]PRIORIZADOS!$A:$K,11,FALSE)="","",VLOOKUP(A1383,[9]PRIORIZADOS!$A:$K,11,FALSE)),"")</f>
        <v>LUIS ALEJANDRO MARTÍNEZ PALACIOS</v>
      </c>
      <c r="L1383" s="11" t="str">
        <f>IFERROR(IF(VLOOKUP(A1383,[9]PRIORIZADOS!$A:$L,12,FALSE)="","",VLOOKUP(A1383,[9]PRIORIZADOS!$A:$L,12,FALSE)),"")</f>
        <v>CARLOS EDUARDO VARGAS LÓPEZ</v>
      </c>
      <c r="M1383" s="71">
        <f>IFERROR(IF(VLOOKUP(A1383,[9]PRIORIZADOS!$A:$M,13,FALSE)="","",VLOOKUP(A1383,[9]PRIORIZADOS!$A:$M,13,FALSE)),"")</f>
        <v>45911</v>
      </c>
      <c r="N1383" s="71">
        <f>IFERROR(IF(VLOOKUP(A1383,[9]PRIORIZADOS!$A:$N,14,FALSE)="","",VLOOKUP(A1383,[9]PRIORIZADOS!$A:$N,14,FALSE)),"")</f>
        <v>45911</v>
      </c>
      <c r="O1383" s="71">
        <f>IFERROR(IF(VLOOKUP(A1383,[9]PRIORIZADOS!$A:$O,15,FALSE)="","",VLOOKUP(A1383,[9]PRIORIZADOS!$A:$O,15,FALSE)),"")</f>
        <v>45911</v>
      </c>
      <c r="P1383" s="11" t="str">
        <f>IFERROR(IF(VLOOKUP(A1383,[9]PRIORIZADOS!$A:$P,16,FALSE)="","",VLOOKUP(A1383,[9]PRIORIZADOS!$A:$P,16,FALSE)),"")</f>
        <v>Visitas de evaluación con fines de seguimiento</v>
      </c>
      <c r="Q1383" s="27" t="s">
        <v>333</v>
      </c>
      <c r="R1383" s="11" t="str">
        <f>IFERROR(IF(VLOOKUP(A1383,[9]PRIORIZADOS!$A:$R,18,FALSE)="","",VLOOKUP(A1383,[9]PRIORIZADOS!$A:$R,18,FALSE)),"")</f>
        <v>Se recibe documento de 95 páginas del Manual de convivencia. Se presentan actas que dan cuenta de la participación de la comunidad educativa en su actulización. De forma general se evidencian los elementos de ley que debe contener el Manual de Convivencia</v>
      </c>
      <c r="S1383" s="11" t="str">
        <f>IFERROR(IF(VLOOKUP(A1383,[9]PRIORIZADOS!$A:$S,19,FALSE)="","",VLOOKUP(A1383,[9]PRIORIZADOS!$A:$S,19,FALSE)),"")</f>
        <v>Mantener los procesos de actualización con la participación de la comunidad educativa</v>
      </c>
      <c r="T1383" s="70" t="str">
        <f>IFERROR(IF(VLOOKUP(A1383,[9]PRIORIZADOS!$A:$T,20,FALSE)="","",VLOOKUP(A1383,[9]PRIORIZADOS!$A:$T,20,FALSE)),"")</f>
        <v>No</v>
      </c>
      <c r="U1383" s="11" t="str">
        <f>IFERROR(IF(VLOOKUP(A1383,[9]PRIORIZADOS!$A:$U,21,FALSE)="","",VLOOKUP(A1383,[9]PRIORIZADOS!$A:$U,21,FALSE)),"")</f>
        <v>Verificación y evaluación del Manual de Convivencia a demanda o por solicitud de la institución educativa</v>
      </c>
    </row>
    <row r="1384" spans="1:21" s="1" customFormat="1" ht="84">
      <c r="A1384" s="69">
        <f>IF([9]PRIORIZADOS!A81="","",[9]PRIORIZADOS!A81)</f>
        <v>1326</v>
      </c>
      <c r="B1384" s="70">
        <f>IFERROR(IF(VLOOKUP(A1384,[9]PRIORIZADOS!$A:$B,2,FALSE)="","",VLOOKUP(A1384,[9]PRIORIZADOS!$A:$B,2,FALSE)),"")</f>
        <v>13</v>
      </c>
      <c r="C1384" s="11" t="str">
        <f>IFERROR(IF(VLOOKUP(A1384,[9]PRIORIZADOS!$A:$C,3,FALSE)="","",VLOOKUP(A1384,[9]PRIORIZADOS!$A:$C,3,FALSE)),"")</f>
        <v>LOS MÁRTIRES</v>
      </c>
      <c r="D1384" s="11" t="str">
        <f>IFERROR(IF(VLOOKUP(A1384,[9]PRIORIZADOS!$A:$D,4,FALSE)="","",VLOOKUP(A1384,[9]PRIORIZADOS!$A:$D,4,FALSE)),"")</f>
        <v>PRIVADO</v>
      </c>
      <c r="E1384" s="11" t="str">
        <f>IFERROR(IF(VLOOKUP(A1384,[9]PRIORIZADOS!$A:$E,5,FALSE)="","",VLOOKUP(A1384,[9]PRIORIZADOS!$A:$E,5,FALSE)),"")</f>
        <v>EPBM</v>
      </c>
      <c r="F1384" s="11" t="str">
        <f>IFERROR(IF(VLOOKUP(A1384,[9]PRIORIZADOS!$A:$F,6,FALSE)="","",VLOOKUP(A1384,[9]PRIORIZADOS!$A:$F,6,FALSE)),"")</f>
        <v>COLEGIO_BILINGÜE_CEDAM</v>
      </c>
      <c r="G1384" s="11" t="str">
        <f>IFERROR(IF(VLOOKUP(A1384,[9]PRIORIZADOS!$A:$G,7,FALSE)="","",VLOOKUP(A1384,[9]PRIORIZADOS!$A:$G,7,FALSE)),"")</f>
        <v>COLEGIO BILINGÜE CEDAM</v>
      </c>
      <c r="H1384" s="11" t="str">
        <f>IFERROR(IF(VLOOKUP(A1384,[9]PRIORIZADOS!$A:$H,8,FALSE)="","",VLOOKUP(A1384,[9]PRIORIZADOS!$A:$H,8,FALSE)),"")</f>
        <v>Autoevaluación Institucional y Pruebas SABER 11</v>
      </c>
      <c r="I1384" s="11" t="str">
        <f>IFERROR(IF(VLOOKUP(A1384,[9]PRIORIZADOS!$A:$I,9,FALSE)="","",VLOOKUP(A1384,[9]PRIORIZADOS!$A:$I,9,FALSE)),"")</f>
        <v>EVALUACIÓN_CON_FINES_DE_MEJORAMIENTO.</v>
      </c>
      <c r="J1384" s="11" t="str">
        <f>IFERROR(IF(VLOOKUP(A1384,[9]PRIORIZADOS!$A:$J,10,FALSE)="","",VLOOKUP(A1384,[9]PRIORIZADOS!$A:$J,10,FALSE)),"")</f>
        <v>Revisar la actualización, socialización e implementación del Sistema Institucional de Evaluación de Estudiantes - SIEE, en articulación con la actualización del PEI y la normatividad vigente.</v>
      </c>
      <c r="K1384" s="11" t="str">
        <f>IFERROR(IF(VLOOKUP(A1384,[9]PRIORIZADOS!$A:$K,11,FALSE)="","",VLOOKUP(A1384,[9]PRIORIZADOS!$A:$K,11,FALSE)),"")</f>
        <v>LUIS ALEJANDRO MARTÍNEZ PALACIOS</v>
      </c>
      <c r="L1384" s="11" t="str">
        <f>IFERROR(IF(VLOOKUP(A1384,[9]PRIORIZADOS!$A:$L,12,FALSE)="","",VLOOKUP(A1384,[9]PRIORIZADOS!$A:$L,12,FALSE)),"")</f>
        <v>CARLOS EDUARDO VARGAS LÓPEZ</v>
      </c>
      <c r="M1384" s="71">
        <f>IFERROR(IF(VLOOKUP(A1384,[9]PRIORIZADOS!$A:$M,13,FALSE)="","",VLOOKUP(A1384,[9]PRIORIZADOS!$A:$M,13,FALSE)),"")</f>
        <v>45911</v>
      </c>
      <c r="N1384" s="71">
        <f>IFERROR(IF(VLOOKUP(A1384,[9]PRIORIZADOS!$A:$N,14,FALSE)="","",VLOOKUP(A1384,[9]PRIORIZADOS!$A:$N,14,FALSE)),"")</f>
        <v>45911</v>
      </c>
      <c r="O1384" s="71">
        <f>IFERROR(IF(VLOOKUP(A1384,[9]PRIORIZADOS!$A:$O,15,FALSE)="","",VLOOKUP(A1384,[9]PRIORIZADOS!$A:$O,15,FALSE)),"")</f>
        <v>45911</v>
      </c>
      <c r="P1384" s="11" t="str">
        <f>IFERROR(IF(VLOOKUP(A1384,[9]PRIORIZADOS!$A:$P,16,FALSE)="","",VLOOKUP(A1384,[9]PRIORIZADOS!$A:$P,16,FALSE)),"")</f>
        <v>Visitas de evaluación con fines de seguimiento</v>
      </c>
      <c r="Q1384" s="27" t="s">
        <v>333</v>
      </c>
      <c r="R1384" s="11" t="str">
        <f>IFERROR(IF(VLOOKUP(A1384,[9]PRIORIZADOS!$A:$R,18,FALSE)="","",VLOOKUP(A1384,[9]PRIORIZADOS!$A:$R,18,FALSE)),"")</f>
        <v>Se evidencia la existencia del SIEE el cual se presenta como parte del Manual de Convivencia. No se presenta soporte de la participación de la comunidad educativa en su actualización. Se cuenta con plataforma institucional, se revisan boletines periódicos de diferentes niveles</v>
      </c>
      <c r="S1384" s="11" t="str">
        <f>IFERROR(IF(VLOOKUP(A1384,[9]PRIORIZADOS!$A:$S,19,FALSE)="","",VLOOKUP(A1384,[9]PRIORIZADOS!$A:$S,19,FALSE)),"")</f>
        <v>Presentar los soportes documentales que den cuenta de la participación de la comunidad educativa en la actualización del SIEE</v>
      </c>
      <c r="T1384" s="70" t="str">
        <f>IFERROR(IF(VLOOKUP(A1384,[9]PRIORIZADOS!$A:$T,20,FALSE)="","",VLOOKUP(A1384,[9]PRIORIZADOS!$A:$T,20,FALSE)),"")</f>
        <v>Si</v>
      </c>
      <c r="U1384" s="11" t="str">
        <f>IFERROR(IF(VLOOKUP(A1384,[9]PRIORIZADOS!$A:$U,21,FALSE)="","",VLOOKUP(A1384,[9]PRIORIZADOS!$A:$U,21,FALSE)),"")</f>
        <v>Se verificará los documentos soporte de la participación de la comunidad</v>
      </c>
    </row>
    <row r="1385" spans="1:21" s="1" customFormat="1" ht="48">
      <c r="A1385" s="69">
        <f>IF([9]PRIORIZADOS!A82="","",[9]PRIORIZADOS!A82)</f>
        <v>1327</v>
      </c>
      <c r="B1385" s="70">
        <f>IFERROR(IF(VLOOKUP(A1385,[9]PRIORIZADOS!$A:$B,2,FALSE)="","",VLOOKUP(A1385,[9]PRIORIZADOS!$A:$B,2,FALSE)),"")</f>
        <v>13</v>
      </c>
      <c r="C1385" s="11" t="str">
        <f>IFERROR(IF(VLOOKUP(A1385,[9]PRIORIZADOS!$A:$C,3,FALSE)="","",VLOOKUP(A1385,[9]PRIORIZADOS!$A:$C,3,FALSE)),"")</f>
        <v>LOS MÁRTIRES</v>
      </c>
      <c r="D1385" s="11" t="str">
        <f>IFERROR(IF(VLOOKUP(A1385,[9]PRIORIZADOS!$A:$D,4,FALSE)="","",VLOOKUP(A1385,[9]PRIORIZADOS!$A:$D,4,FALSE)),"")</f>
        <v>PRIVADO</v>
      </c>
      <c r="E1385" s="11" t="str">
        <f>IFERROR(IF(VLOOKUP(A1385,[9]PRIORIZADOS!$A:$E,5,FALSE)="","",VLOOKUP(A1385,[9]PRIORIZADOS!$A:$E,5,FALSE)),"")</f>
        <v>EPBM</v>
      </c>
      <c r="F1385" s="11" t="str">
        <f>IFERROR(IF(VLOOKUP(A1385,[9]PRIORIZADOS!$A:$F,6,FALSE)="","",VLOOKUP(A1385,[9]PRIORIZADOS!$A:$F,6,FALSE)),"")</f>
        <v>COLEGIO_BILINGÜE_CEDAM</v>
      </c>
      <c r="G1385" s="11" t="str">
        <f>IFERROR(IF(VLOOKUP(A1385,[9]PRIORIZADOS!$A:$G,7,FALSE)="","",VLOOKUP(A1385,[9]PRIORIZADOS!$A:$G,7,FALSE)),"")</f>
        <v>COLEGIO BILINGÜE CEDAM</v>
      </c>
      <c r="H1385" s="11" t="str">
        <f>IFERROR(IF(VLOOKUP(A1385,[9]PRIORIZADOS!$A:$H,8,FALSE)="","",VLOOKUP(A1385,[9]PRIORIZADOS!$A:$H,8,FALSE)),"")</f>
        <v>Autoevaluación Institucional y Pruebas SABER 11</v>
      </c>
      <c r="I1385" s="11" t="str">
        <f>IFERROR(IF(VLOOKUP(A1385,[9]PRIORIZADOS!$A:$I,9,FALSE)="","",VLOOKUP(A1385,[9]PRIORIZADOS!$A:$I,9,FALSE)),"")</f>
        <v>EVALUACIÓN_CON_FINES_DE_MEJORAMIENTO.</v>
      </c>
      <c r="J1385" s="11" t="str">
        <f>IFERROR(IF(VLOOKUP(A1385,[9]PRIORIZADOS!$A:$J,10,FALSE)="","",VLOOKUP(A1385,[9]PRIORIZADOS!$A:$J,10,FALSE)),"")</f>
        <v>Revisar el calendario escolar, jornada escolar, la intensidad horaria mínima anual en cada nivel y las modificaciones que se realicen al mismo, de acuerdo con lo previsto en la normatividad vigente.</v>
      </c>
      <c r="K1385" s="11" t="str">
        <f>IFERROR(IF(VLOOKUP(A1385,[9]PRIORIZADOS!$A:$K,11,FALSE)="","",VLOOKUP(A1385,[9]PRIORIZADOS!$A:$K,11,FALSE)),"")</f>
        <v>LUIS ALEJANDRO MARTÍNEZ PALACIOS</v>
      </c>
      <c r="L1385" s="11" t="str">
        <f>IFERROR(IF(VLOOKUP(A1385,[9]PRIORIZADOS!$A:$L,12,FALSE)="","",VLOOKUP(A1385,[9]PRIORIZADOS!$A:$L,12,FALSE)),"")</f>
        <v>CARLOS EDUARDO VARGAS LÓPEZ</v>
      </c>
      <c r="M1385" s="71">
        <f>IFERROR(IF(VLOOKUP(A1385,[9]PRIORIZADOS!$A:$M,13,FALSE)="","",VLOOKUP(A1385,[9]PRIORIZADOS!$A:$M,13,FALSE)),"")</f>
        <v>45911</v>
      </c>
      <c r="N1385" s="71">
        <f>IFERROR(IF(VLOOKUP(A1385,[9]PRIORIZADOS!$A:$N,14,FALSE)="","",VLOOKUP(A1385,[9]PRIORIZADOS!$A:$N,14,FALSE)),"")</f>
        <v>45911</v>
      </c>
      <c r="O1385" s="71">
        <f>IFERROR(IF(VLOOKUP(A1385,[9]PRIORIZADOS!$A:$O,15,FALSE)="","",VLOOKUP(A1385,[9]PRIORIZADOS!$A:$O,15,FALSE)),"")</f>
        <v>45911</v>
      </c>
      <c r="P1385" s="11" t="str">
        <f>IFERROR(IF(VLOOKUP(A1385,[9]PRIORIZADOS!$A:$P,16,FALSE)="","",VLOOKUP(A1385,[9]PRIORIZADOS!$A:$P,16,FALSE)),"")</f>
        <v>Visitas de evaluación con fines de seguimiento</v>
      </c>
      <c r="Q1385" s="27" t="s">
        <v>333</v>
      </c>
      <c r="R1385" s="11" t="str">
        <f>IFERROR(IF(VLOOKUP(A1385,[9]PRIORIZADOS!$A:$R,18,FALSE)="","",VLOOKUP(A1385,[9]PRIORIZADOS!$A:$R,18,FALSE)),"")</f>
        <v>Se evidencia el cumplimiento de las horas mínimas anuales para los diferentes niveles de la educación formal, según normatividad vigente</v>
      </c>
      <c r="S1385" s="11" t="str">
        <f>IFERROR(IF(VLOOKUP(A1385,[9]PRIORIZADOS!$A:$S,19,FALSE)="","",VLOOKUP(A1385,[9]PRIORIZADOS!$A:$S,19,FALSE)),"")</f>
        <v>Mantener el cumplimiento de las horas mínimas anuales según los niveles de la educación formal</v>
      </c>
      <c r="T1385" s="70" t="str">
        <f>IFERROR(IF(VLOOKUP(A1385,[9]PRIORIZADOS!$A:$T,20,FALSE)="","",VLOOKUP(A1385,[9]PRIORIZADOS!$A:$T,20,FALSE)),"")</f>
        <v>No</v>
      </c>
      <c r="U1385" s="11" t="str">
        <f>IFERROR(IF(VLOOKUP(A1385,[9]PRIORIZADOS!$A:$U,21,FALSE)="","",VLOOKUP(A1385,[9]PRIORIZADOS!$A:$U,21,FALSE)),"")</f>
        <v>Según calendario académico para el 2026</v>
      </c>
    </row>
    <row r="1386" spans="1:21" s="1" customFormat="1" ht="48">
      <c r="A1386" s="69">
        <f>IF([9]PRIORIZADOS!A83="","",[9]PRIORIZADOS!A83)</f>
        <v>1328</v>
      </c>
      <c r="B1386" s="70">
        <f>IFERROR(IF(VLOOKUP(A1386,[9]PRIORIZADOS!$A:$B,2,FALSE)="","",VLOOKUP(A1386,[9]PRIORIZADOS!$A:$B,2,FALSE)),"")</f>
        <v>13</v>
      </c>
      <c r="C1386" s="11" t="str">
        <f>IFERROR(IF(VLOOKUP(A1386,[9]PRIORIZADOS!$A:$C,3,FALSE)="","",VLOOKUP(A1386,[9]PRIORIZADOS!$A:$C,3,FALSE)),"")</f>
        <v>LOS MÁRTIRES</v>
      </c>
      <c r="D1386" s="11" t="str">
        <f>IFERROR(IF(VLOOKUP(A1386,[9]PRIORIZADOS!$A:$D,4,FALSE)="","",VLOOKUP(A1386,[9]PRIORIZADOS!$A:$D,4,FALSE)),"")</f>
        <v>PRIVADO</v>
      </c>
      <c r="E1386" s="11" t="str">
        <f>IFERROR(IF(VLOOKUP(A1386,[9]PRIORIZADOS!$A:$E,5,FALSE)="","",VLOOKUP(A1386,[9]PRIORIZADOS!$A:$E,5,FALSE)),"")</f>
        <v>EPBM</v>
      </c>
      <c r="F1386" s="11" t="str">
        <f>IFERROR(IF(VLOOKUP(A1386,[9]PRIORIZADOS!$A:$F,6,FALSE)="","",VLOOKUP(A1386,[9]PRIORIZADOS!$A:$F,6,FALSE)),"")</f>
        <v>COLEGIO_BILINGÜE_CEDAM</v>
      </c>
      <c r="G1386" s="11" t="str">
        <f>IFERROR(IF(VLOOKUP(A1386,[9]PRIORIZADOS!$A:$G,7,FALSE)="","",VLOOKUP(A1386,[9]PRIORIZADOS!$A:$G,7,FALSE)),"")</f>
        <v>COLEGIO BILINGÜE CEDAM</v>
      </c>
      <c r="H1386" s="11" t="str">
        <f>IFERROR(IF(VLOOKUP(A1386,[9]PRIORIZADOS!$A:$H,8,FALSE)="","",VLOOKUP(A1386,[9]PRIORIZADOS!$A:$H,8,FALSE)),"")</f>
        <v>Autoevaluación Institucional y Pruebas SABER 11</v>
      </c>
      <c r="I1386" s="11" t="str">
        <f>IFERROR(IF(VLOOKUP(A1386,[9]PRIORIZADOS!$A:$I,9,FALSE)="","",VLOOKUP(A1386,[9]PRIORIZADOS!$A:$I,9,FALSE)),"")</f>
        <v>EVALUACIÓN_CON_FINES_DE_MEJORAMIENTO.</v>
      </c>
      <c r="J1386" s="11" t="str">
        <f>IFERROR(IF(VLOOKUP(A1386,[9]PRIORIZADOS!$A:$J,10,FALSE)="","",VLOOKUP(A1386,[9]PRIORIZADOS!$A:$J,10,FALSE)),"")</f>
        <v>Verificar el funcionamiento del Gobierno Escolar e instancias de participación con base en la información sobre conformación reportada por la institución educativa.</v>
      </c>
      <c r="K1386" s="11" t="str">
        <f>IFERROR(IF(VLOOKUP(A1386,[9]PRIORIZADOS!$A:$K,11,FALSE)="","",VLOOKUP(A1386,[9]PRIORIZADOS!$A:$K,11,FALSE)),"")</f>
        <v>LUIS ALEJANDRO MARTÍNEZ PALACIOS</v>
      </c>
      <c r="L1386" s="11" t="str">
        <f>IFERROR(IF(VLOOKUP(A1386,[9]PRIORIZADOS!$A:$L,12,FALSE)="","",VLOOKUP(A1386,[9]PRIORIZADOS!$A:$L,12,FALSE)),"")</f>
        <v>CARLOS EDUARDO VARGAS LÓPEZ</v>
      </c>
      <c r="M1386" s="71">
        <f>IFERROR(IF(VLOOKUP(A1386,[9]PRIORIZADOS!$A:$M,13,FALSE)="","",VLOOKUP(A1386,[9]PRIORIZADOS!$A:$M,13,FALSE)),"")</f>
        <v>45911</v>
      </c>
      <c r="N1386" s="71">
        <f>IFERROR(IF(VLOOKUP(A1386,[9]PRIORIZADOS!$A:$N,14,FALSE)="","",VLOOKUP(A1386,[9]PRIORIZADOS!$A:$N,14,FALSE)),"")</f>
        <v>45911</v>
      </c>
      <c r="O1386" s="71">
        <f>IFERROR(IF(VLOOKUP(A1386,[9]PRIORIZADOS!$A:$O,15,FALSE)="","",VLOOKUP(A1386,[9]PRIORIZADOS!$A:$O,15,FALSE)),"")</f>
        <v>45911</v>
      </c>
      <c r="P1386" s="11" t="str">
        <f>IFERROR(IF(VLOOKUP(A1386,[9]PRIORIZADOS!$A:$P,16,FALSE)="","",VLOOKUP(A1386,[9]PRIORIZADOS!$A:$P,16,FALSE)),"")</f>
        <v>Visitas de evaluación con fines de seguimiento</v>
      </c>
      <c r="Q1386" s="27" t="s">
        <v>333</v>
      </c>
      <c r="R1386" s="11" t="str">
        <f>IFERROR(IF(VLOOKUP(A1386,[9]PRIORIZADOS!$A:$R,18,FALSE)="","",VLOOKUP(A1386,[9]PRIORIZADOS!$A:$R,18,FALSE)),"")</f>
        <v>Mediante la revisión de actas, se evidencia la conformación y funcionamiento del gobierno escolar</v>
      </c>
      <c r="S1386" s="11" t="str">
        <f>IFERROR(IF(VLOOKUP(A1386,[9]PRIORIZADOS!$A:$S,19,FALSE)="","",VLOOKUP(A1386,[9]PRIORIZADOS!$A:$S,19,FALSE)),"")</f>
        <v>Continuar con las reuniones periodicas del gobierno escolar</v>
      </c>
      <c r="T1386" s="70" t="str">
        <f>IFERROR(IF(VLOOKUP(A1386,[9]PRIORIZADOS!$A:$T,20,FALSE)="","",VLOOKUP(A1386,[9]PRIORIZADOS!$A:$T,20,FALSE)),"")</f>
        <v>No</v>
      </c>
      <c r="U1386" s="11" t="str">
        <f>IFERROR(IF(VLOOKUP(A1386,[9]PRIORIZADOS!$A:$U,21,FALSE)="","",VLOOKUP(A1386,[9]PRIORIZADOS!$A:$U,21,FALSE)),"")</f>
        <v>A demanda de acuerdo con las peticiones de la ciudadanía o de los entes de control</v>
      </c>
    </row>
    <row r="1387" spans="1:21" s="1" customFormat="1" ht="142.5">
      <c r="A1387" s="69">
        <f>IF([9]PRIORIZADOS!A84="","",[9]PRIORIZADOS!A84)</f>
        <v>1329</v>
      </c>
      <c r="B1387" s="70">
        <f>IFERROR(IF(VLOOKUP(A1387,[9]PRIORIZADOS!$A:$B,2,FALSE)="","",VLOOKUP(A1387,[9]PRIORIZADOS!$A:$B,2,FALSE)),"")</f>
        <v>13</v>
      </c>
      <c r="C1387" s="11" t="str">
        <f>IFERROR(IF(VLOOKUP(A1387,[9]PRIORIZADOS!$A:$C,3,FALSE)="","",VLOOKUP(A1387,[9]PRIORIZADOS!$A:$C,3,FALSE)),"")</f>
        <v>LOS MÁRTIRES</v>
      </c>
      <c r="D1387" s="11" t="str">
        <f>IFERROR(IF(VLOOKUP(A1387,[9]PRIORIZADOS!$A:$D,4,FALSE)="","",VLOOKUP(A1387,[9]PRIORIZADOS!$A:$D,4,FALSE)),"")</f>
        <v>PRIVADO</v>
      </c>
      <c r="E1387" s="11" t="str">
        <f>IFERROR(IF(VLOOKUP(A1387,[9]PRIORIZADOS!$A:$E,5,FALSE)="","",VLOOKUP(A1387,[9]PRIORIZADOS!$A:$E,5,FALSE)),"")</f>
        <v>EPBM</v>
      </c>
      <c r="F1387" s="11" t="str">
        <f>IFERROR(IF(VLOOKUP(A1387,[9]PRIORIZADOS!$A:$F,6,FALSE)="","",VLOOKUP(A1387,[9]PRIORIZADOS!$A:$F,6,FALSE)),"")</f>
        <v>COLEGIO_BILINGÜE_CEDAM</v>
      </c>
      <c r="G1387" s="11" t="str">
        <f>IFERROR(IF(VLOOKUP(A1387,[9]PRIORIZADOS!$A:$G,7,FALSE)="","",VLOOKUP(A1387,[9]PRIORIZADOS!$A:$G,7,FALSE)),"")</f>
        <v>COLEGIO BILINGÜE CEDAM</v>
      </c>
      <c r="H1387" s="11" t="str">
        <f>IFERROR(IF(VLOOKUP(A1387,[9]PRIORIZADOS!$A:$H,8,FALSE)="","",VLOOKUP(A1387,[9]PRIORIZADOS!$A:$H,8,FALSE)),"")</f>
        <v>Autoevaluación Institucional y Pruebas SABER 11</v>
      </c>
      <c r="I1387" s="11" t="str">
        <f>IFERROR(IF(VLOOKUP(A1387,[9]PRIORIZADOS!$A:$I,9,FALSE)="","",VLOOKUP(A1387,[9]PRIORIZADOS!$A:$I,9,FALSE)),"")</f>
        <v>EVALUACIÓN_CON_FINES_DE_MEJORAMIENTO.</v>
      </c>
      <c r="J1387" s="11" t="str">
        <f>IFERROR(IF(VLOOKUP(A1387,[9]PRIORIZADOS!$A:$J,10,FALSE)="","",VLOOKUP(A1387,[9]PRIORIZADOS!$A:$J,10,FALSE)),"")</f>
        <v>Verificar las condiciones en cuanto a: la estructura administrativa, condiciones de la planta física y medios educativos adecuados.</v>
      </c>
      <c r="K1387" s="11" t="str">
        <f>IFERROR(IF(VLOOKUP(A1387,[9]PRIORIZADOS!$A:$K,11,FALSE)="","",VLOOKUP(A1387,[9]PRIORIZADOS!$A:$K,11,FALSE)),"")</f>
        <v>LUIS ALEJANDRO MARTÍNEZ PALACIOS</v>
      </c>
      <c r="L1387" s="11" t="str">
        <f>IFERROR(IF(VLOOKUP(A1387,[9]PRIORIZADOS!$A:$L,12,FALSE)="","",VLOOKUP(A1387,[9]PRIORIZADOS!$A:$L,12,FALSE)),"")</f>
        <v>CARLOS EDUARDO VARGAS LÓPEZ</v>
      </c>
      <c r="M1387" s="71">
        <f>IFERROR(IF(VLOOKUP(A1387,[9]PRIORIZADOS!$A:$M,13,FALSE)="","",VLOOKUP(A1387,[9]PRIORIZADOS!$A:$M,13,FALSE)),"")</f>
        <v>45911</v>
      </c>
      <c r="N1387" s="71">
        <f>IFERROR(IF(VLOOKUP(A1387,[9]PRIORIZADOS!$A:$N,14,FALSE)="","",VLOOKUP(A1387,[9]PRIORIZADOS!$A:$N,14,FALSE)),"")</f>
        <v>45911</v>
      </c>
      <c r="O1387" s="71">
        <f>IFERROR(IF(VLOOKUP(A1387,[9]PRIORIZADOS!$A:$O,15,FALSE)="","",VLOOKUP(A1387,[9]PRIORIZADOS!$A:$O,15,FALSE)),"")</f>
        <v>45911</v>
      </c>
      <c r="P1387" s="11" t="str">
        <f>IFERROR(IF(VLOOKUP(A1387,[9]PRIORIZADOS!$A:$P,16,FALSE)="","",VLOOKUP(A1387,[9]PRIORIZADOS!$A:$P,16,FALSE)),"")</f>
        <v>Visitas de evaluación con fines de seguimiento</v>
      </c>
      <c r="Q1387" s="27" t="s">
        <v>333</v>
      </c>
      <c r="R1387" s="11" t="str">
        <f>IFERROR(IF(VLOOKUP(A1387,[9]PRIORIZADOS!$A:$R,18,FALSE)="","",VLOOKUP(A1387,[9]PRIORIZADOS!$A:$R,18,FALSE)),"")</f>
        <v>Si bien la planta física es moderna y cuenta con espacios limpios, iluminados, se observa sobre cupo de estudiantes en algunos salones tomando como refencia "La Resolución 1326 de 2023, de la SED, que reglamenta los Estándares de Calidad Espacial para los equipamientos educativos en el marco del Plan de Ordenamiento Territorial (POT)" teniendo en cuenta un estadar de 1,3 m2 por estudiante, para establecimientos existentes</v>
      </c>
      <c r="S1387" s="11" t="str">
        <f>IFERROR(IF(VLOOKUP(A1387,[9]PRIORIZADOS!$A:$S,19,FALSE)="","",VLOOKUP(A1387,[9]PRIORIZADOS!$A:$S,19,FALSE)),"")</f>
        <v>Generar un plan progresivo para ajustarse a la normatividad vigente.</v>
      </c>
      <c r="T1387" s="70" t="str">
        <f>IFERROR(IF(VLOOKUP(A1387,[9]PRIORIZADOS!$A:$T,20,FALSE)="","",VLOOKUP(A1387,[9]PRIORIZADOS!$A:$T,20,FALSE)),"")</f>
        <v>Si</v>
      </c>
      <c r="U1387" s="11" t="str">
        <f>IFERROR(IF(VLOOKUP(A1387,[9]PRIORIZADOS!$A:$U,21,FALSE)="","",VLOOKUP(A1387,[9]PRIORIZADOS!$A:$U,21,FALSE)),"")</f>
        <v>Se generará seguimiento al plan de mejoramiento que presente la institución educativa al 31 de octubre y de ser necesario se programará visita en el 2026</v>
      </c>
    </row>
    <row r="1388" spans="1:21" s="1" customFormat="1" ht="96">
      <c r="A1388" s="69">
        <f>IF([9]PRIORIZADOS!A85="","",[9]PRIORIZADOS!A85)</f>
        <v>1330</v>
      </c>
      <c r="B1388" s="70">
        <f>IFERROR(IF(VLOOKUP(A1388,[9]PRIORIZADOS!$A:$B,2,FALSE)="","",VLOOKUP(A1388,[9]PRIORIZADOS!$A:$B,2,FALSE)),"")</f>
        <v>14</v>
      </c>
      <c r="C1388" s="11" t="str">
        <f>IFERROR(IF(VLOOKUP(A1388,[9]PRIORIZADOS!$A:$C,3,FALSE)="","",VLOOKUP(A1388,[9]PRIORIZADOS!$A:$C,3,FALSE)),"")</f>
        <v>LOS MÁRTIRES</v>
      </c>
      <c r="D1388" s="11" t="str">
        <f>IFERROR(IF(VLOOKUP(A1388,[9]PRIORIZADOS!$A:$D,4,FALSE)="","",VLOOKUP(A1388,[9]PRIORIZADOS!$A:$D,4,FALSE)),"")</f>
        <v>OFICIAL</v>
      </c>
      <c r="E1388" s="11" t="str">
        <f>IFERROR(IF(VLOOKUP(A1388,[9]PRIORIZADOS!$A:$E,5,FALSE)="","",VLOOKUP(A1388,[9]PRIORIZADOS!$A:$E,5,FALSE)),"")</f>
        <v>EPBM</v>
      </c>
      <c r="F1388" s="11" t="str">
        <f>IFERROR(IF(VLOOKUP(A1388,[9]PRIORIZADOS!$A:$F,6,FALSE)="","",VLOOKUP(A1388,[9]PRIORIZADOS!$A:$F,6,FALSE)),"")</f>
        <v>COLEGIO_RICAURTE_IED</v>
      </c>
      <c r="G1388" s="11" t="str">
        <f>IFERROR(IF(VLOOKUP(A1388,[9]PRIORIZADOS!$A:$G,7,FALSE)="","",VLOOKUP(A1388,[9]PRIORIZADOS!$A:$G,7,FALSE)),"")</f>
        <v>RICAURTE</v>
      </c>
      <c r="H1388" s="11" t="str">
        <f>IFERROR(IF(VLOOKUP(A1388,[9]PRIORIZADOS!$A:$H,8,FALSE)="","",VLOOKUP(A1388,[9]PRIORIZADOS!$A:$H,8,FALSE)),"")</f>
        <v>Autoevaluación Institucional y Pruebas SABER 11</v>
      </c>
      <c r="I1388" s="11" t="str">
        <f>IFERROR(IF(VLOOKUP(A1388,[9]PRIORIZADOS!$A:$I,9,FALSE)="","",VLOOKUP(A1388,[9]PRIORIZADOS!$A:$I,9,FALSE)),"")</f>
        <v>SEGUIMIENTO_Y_SUPERVISIÓN.</v>
      </c>
      <c r="J1388" s="11" t="str">
        <f>IFERROR(IF(VLOOKUP(A1388,[9]PRIORIZADOS!$A:$J,10,FALSE)="","",VLOOKUP(A1388,[9]PRIORIZADOS!$A:$J,10,FALSE)),"")</f>
        <v xml:space="preserve">Verificar la implementación por parte de los colegios, de acciones realizadas para la prevención y atención de las situaciones de convivencia en el entorno escolar, según lo establecido en la Directiva 01 de 2022 del MEN. </v>
      </c>
      <c r="K1388" s="11" t="str">
        <f>IFERROR(IF(VLOOKUP(A1388,[9]PRIORIZADOS!$A:$K,11,FALSE)="","",VLOOKUP(A1388,[9]PRIORIZADOS!$A:$K,11,FALSE)),"")</f>
        <v>LUIS ALEJANDRO MARTÍNEZ PALACIOS</v>
      </c>
      <c r="L1388" s="11" t="str">
        <f>IFERROR(IF(VLOOKUP(A1388,[9]PRIORIZADOS!$A:$L,12,FALSE)="","",VLOOKUP(A1388,[9]PRIORIZADOS!$A:$L,12,FALSE)),"")</f>
        <v>CARLOS EDUARDO VARGAS LÓPEZ</v>
      </c>
      <c r="M1388" s="71">
        <f>IFERROR(IF(VLOOKUP(A1388,[9]PRIORIZADOS!$A:$M,13,FALSE)="","",VLOOKUP(A1388,[9]PRIORIZADOS!$A:$M,13,FALSE)),"")</f>
        <v>45923</v>
      </c>
      <c r="N1388" s="71">
        <f>IFERROR(IF(VLOOKUP(A1388,[9]PRIORIZADOS!$A:$N,14,FALSE)="","",VLOOKUP(A1388,[9]PRIORIZADOS!$A:$N,14,FALSE)),"")</f>
        <v>45923</v>
      </c>
      <c r="O1388" s="71">
        <f>IFERROR(IF(VLOOKUP(A1388,[9]PRIORIZADOS!$A:$O,15,FALSE)="","",VLOOKUP(A1388,[9]PRIORIZADOS!$A:$O,15,FALSE)),"")</f>
        <v>45923</v>
      </c>
      <c r="P1388" s="11" t="str">
        <f>IFERROR(IF(VLOOKUP(A1388,[9]PRIORIZADOS!$A:$P,16,FALSE)="","",VLOOKUP(A1388,[9]PRIORIZADOS!$A:$P,16,FALSE)),"")</f>
        <v>Visitas de evaluación con fines de seguimiento</v>
      </c>
      <c r="Q1388" s="235" t="s">
        <v>334</v>
      </c>
      <c r="R1388" s="11" t="str">
        <f>IFERROR(IF(VLOOKUP(A1388,[9]PRIORIZADOS!$A:$R,18,FALSE)="","",VLOOKUP(A1388,[9]PRIORIZADOS!$A:$R,18,FALSE)),"")</f>
        <v>Se soporta la realización de talleres de Promoción y prevención en:
prevención del acoso escolar y consumo, acompañamiento a estudiantes en riesgo por bajo rendimiento académico, clima escolar.
Se evidencia formatos de atención y reporte en sistema de alertas.</v>
      </c>
      <c r="S1388" s="11" t="str">
        <f>IFERROR(IF(VLOOKUP(A1388,[9]PRIORIZADOS!$A:$S,19,FALSE)="","",VLOOKUP(A1388,[9]PRIORIZADOS!$A:$S,19,FALSE)),"")</f>
        <v>Continuar con las acciones de promoción y prevención, así como con la atención de los casos que se presenten</v>
      </c>
      <c r="T1388" s="70" t="str">
        <f>IFERROR(IF(VLOOKUP(A1388,[9]PRIORIZADOS!$A:$T,20,FALSE)="","",VLOOKUP(A1388,[9]PRIORIZADOS!$A:$T,20,FALSE)),"")</f>
        <v>No</v>
      </c>
      <c r="U1388" s="11" t="str">
        <f>IFERROR(IF(VLOOKUP(A1388,[9]PRIORIZADOS!$A:$U,21,FALSE)="","",VLOOKUP(A1388,[9]PRIORIZADOS!$A:$U,21,FALSE)),"")</f>
        <v>A demanda de acuerdo con las peticiones de la ciudadanía o de los entes de control</v>
      </c>
    </row>
    <row r="1389" spans="1:21" s="1" customFormat="1" ht="72">
      <c r="A1389" s="69">
        <f>IF([9]PRIORIZADOS!A86="","",[9]PRIORIZADOS!A86)</f>
        <v>1331</v>
      </c>
      <c r="B1389" s="70">
        <f>IFERROR(IF(VLOOKUP(A1389,[9]PRIORIZADOS!$A:$B,2,FALSE)="","",VLOOKUP(A1389,[9]PRIORIZADOS!$A:$B,2,FALSE)),"")</f>
        <v>14</v>
      </c>
      <c r="C1389" s="11" t="str">
        <f>IFERROR(IF(VLOOKUP(A1389,[9]PRIORIZADOS!$A:$C,3,FALSE)="","",VLOOKUP(A1389,[9]PRIORIZADOS!$A:$C,3,FALSE)),"")</f>
        <v>LOS MÁRTIRES</v>
      </c>
      <c r="D1389" s="11" t="str">
        <f>IFERROR(IF(VLOOKUP(A1389,[9]PRIORIZADOS!$A:$D,4,FALSE)="","",VLOOKUP(A1389,[9]PRIORIZADOS!$A:$D,4,FALSE)),"")</f>
        <v>OFICIAL</v>
      </c>
      <c r="E1389" s="11" t="str">
        <f>IFERROR(IF(VLOOKUP(A1389,[9]PRIORIZADOS!$A:$E,5,FALSE)="","",VLOOKUP(A1389,[9]PRIORIZADOS!$A:$E,5,FALSE)),"")</f>
        <v>EPBM</v>
      </c>
      <c r="F1389" s="11" t="str">
        <f>IFERROR(IF(VLOOKUP(A1389,[9]PRIORIZADOS!$A:$F,6,FALSE)="","",VLOOKUP(A1389,[9]PRIORIZADOS!$A:$F,6,FALSE)),"")</f>
        <v>COLEGIO_RICAURTE_IED</v>
      </c>
      <c r="G1389" s="11" t="str">
        <f>IFERROR(IF(VLOOKUP(A1389,[9]PRIORIZADOS!$A:$G,7,FALSE)="","",VLOOKUP(A1389,[9]PRIORIZADOS!$A:$G,7,FALSE)),"")</f>
        <v>RICAURTE</v>
      </c>
      <c r="H1389" s="11" t="str">
        <f>IFERROR(IF(VLOOKUP(A1389,[9]PRIORIZADOS!$A:$H,8,FALSE)="","",VLOOKUP(A1389,[9]PRIORIZADOS!$A:$H,8,FALSE)),"")</f>
        <v>Autoevaluación Institucional y Pruebas SABER 11</v>
      </c>
      <c r="I1389" s="11" t="str">
        <f>IFERROR(IF(VLOOKUP(A1389,[9]PRIORIZADOS!$A:$I,9,FALSE)="","",VLOOKUP(A1389,[9]PRIORIZADOS!$A:$I,9,FALSE)),"")</f>
        <v>SEGUIMIENTO_Y_SUPERVISIÓN.</v>
      </c>
      <c r="J1389" s="11" t="str">
        <f>IFERROR(IF(VLOOKUP(A1389,[9]PRIORIZADOS!$A:$J,10,FALSE)="","",VLOOKUP(A1389,[9]PRIORIZADOS!$A:$J,10,FALSE)),"")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389" s="11" t="str">
        <f>IFERROR(IF(VLOOKUP(A1389,[9]PRIORIZADOS!$A:$K,11,FALSE)="","",VLOOKUP(A1389,[9]PRIORIZADOS!$A:$K,11,FALSE)),"")</f>
        <v>LUIS ALEJANDRO MARTÍNEZ PALACIOS</v>
      </c>
      <c r="L1389" s="11" t="str">
        <f>IFERROR(IF(VLOOKUP(A1389,[9]PRIORIZADOS!$A:$L,12,FALSE)="","",VLOOKUP(A1389,[9]PRIORIZADOS!$A:$L,12,FALSE)),"")</f>
        <v>CARLOS EDUARDO VARGAS LÓPEZ</v>
      </c>
      <c r="M1389" s="71">
        <f>IFERROR(IF(VLOOKUP(A1389,[9]PRIORIZADOS!$A:$M,13,FALSE)="","",VLOOKUP(A1389,[9]PRIORIZADOS!$A:$M,13,FALSE)),"")</f>
        <v>45923</v>
      </c>
      <c r="N1389" s="71">
        <f>IFERROR(IF(VLOOKUP(A1389,[9]PRIORIZADOS!$A:$N,14,FALSE)="","",VLOOKUP(A1389,[9]PRIORIZADOS!$A:$N,14,FALSE)),"")</f>
        <v>45923</v>
      </c>
      <c r="O1389" s="71">
        <f>IFERROR(IF(VLOOKUP(A1389,[9]PRIORIZADOS!$A:$O,15,FALSE)="","",VLOOKUP(A1389,[9]PRIORIZADOS!$A:$O,15,FALSE)),"")</f>
        <v>45923</v>
      </c>
      <c r="P1389" s="11" t="str">
        <f>IFERROR(IF(VLOOKUP(A1389,[9]PRIORIZADOS!$A:$P,16,FALSE)="","",VLOOKUP(A1389,[9]PRIORIZADOS!$A:$P,16,FALSE)),"")</f>
        <v>Visitas de evaluación con fines de seguimiento</v>
      </c>
      <c r="Q1389" s="236" t="s">
        <v>334</v>
      </c>
      <c r="R1389" s="11" t="str">
        <f>IFERROR(IF(VLOOKUP(A1389,[9]PRIORIZADOS!$A:$R,18,FALSE)="","",VLOOKUP(A1389,[9]PRIORIZADOS!$A:$R,18,FALSE)),"")</f>
        <v>Se evidenciaron documentos en físico y digital de soporte de PIAR, para los estudiantes caracterizados con diágnostico en el SIMAT. Se evidencio firma de directivo docente, docentes y familia</v>
      </c>
      <c r="S1389" s="11" t="str">
        <f>IFERROR(IF(VLOOKUP(A1389,[9]PRIORIZADOS!$A:$S,19,FALSE)="","",VLOOKUP(A1389,[9]PRIORIZADOS!$A:$S,19,FALSE)),"")</f>
        <v>Continuar con los procesos de acompañamiento a los estudiantes con diagnóstico de discapacidad en el SIMAT</v>
      </c>
      <c r="T1389" s="70" t="str">
        <f>IFERROR(IF(VLOOKUP(A1389,[9]PRIORIZADOS!$A:$T,20,FALSE)="","",VLOOKUP(A1389,[9]PRIORIZADOS!$A:$T,20,FALSE)),"")</f>
        <v>No</v>
      </c>
      <c r="U1389" s="11" t="str">
        <f>IFERROR(IF(VLOOKUP(A1389,[9]PRIORIZADOS!$A:$U,21,FALSE)="","",VLOOKUP(A1389,[9]PRIORIZADOS!$A:$U,21,FALSE)),"")</f>
        <v>A demanda de acuerdo con las peticiones de la ciudadanía o de los entes de control</v>
      </c>
    </row>
    <row r="1390" spans="1:21" s="1" customFormat="1" ht="84">
      <c r="A1390" s="69">
        <f>IF([9]PRIORIZADOS!A87="","",[9]PRIORIZADOS!A87)</f>
        <v>1332</v>
      </c>
      <c r="B1390" s="70">
        <f>IFERROR(IF(VLOOKUP(A1390,[9]PRIORIZADOS!$A:$B,2,FALSE)="","",VLOOKUP(A1390,[9]PRIORIZADOS!$A:$B,2,FALSE)),"")</f>
        <v>14</v>
      </c>
      <c r="C1390" s="11" t="str">
        <f>IFERROR(IF(VLOOKUP(A1390,[9]PRIORIZADOS!$A:$C,3,FALSE)="","",VLOOKUP(A1390,[9]PRIORIZADOS!$A:$C,3,FALSE)),"")</f>
        <v>LOS MÁRTIRES</v>
      </c>
      <c r="D1390" s="11" t="str">
        <f>IFERROR(IF(VLOOKUP(A1390,[9]PRIORIZADOS!$A:$D,4,FALSE)="","",VLOOKUP(A1390,[9]PRIORIZADOS!$A:$D,4,FALSE)),"")</f>
        <v>OFICIAL</v>
      </c>
      <c r="E1390" s="11" t="str">
        <f>IFERROR(IF(VLOOKUP(A1390,[9]PRIORIZADOS!$A:$E,5,FALSE)="","",VLOOKUP(A1390,[9]PRIORIZADOS!$A:$E,5,FALSE)),"")</f>
        <v>EPBM</v>
      </c>
      <c r="F1390" s="11" t="str">
        <f>IFERROR(IF(VLOOKUP(A1390,[9]PRIORIZADOS!$A:$F,6,FALSE)="","",VLOOKUP(A1390,[9]PRIORIZADOS!$A:$F,6,FALSE)),"")</f>
        <v>COLEGIO_RICAURTE_IED</v>
      </c>
      <c r="G1390" s="11" t="str">
        <f>IFERROR(IF(VLOOKUP(A1390,[9]PRIORIZADOS!$A:$G,7,FALSE)="","",VLOOKUP(A1390,[9]PRIORIZADOS!$A:$G,7,FALSE)),"")</f>
        <v>RICAURTE</v>
      </c>
      <c r="H1390" s="11" t="str">
        <f>IFERROR(IF(VLOOKUP(A1390,[9]PRIORIZADOS!$A:$H,8,FALSE)="","",VLOOKUP(A1390,[9]PRIORIZADOS!$A:$H,8,FALSE)),"")</f>
        <v>Autoevaluación Institucional y Pruebas SABER 11</v>
      </c>
      <c r="I1390" s="11" t="str">
        <f>IFERROR(IF(VLOOKUP(A1390,[9]PRIORIZADOS!$A:$I,9,FALSE)="","",VLOOKUP(A1390,[9]PRIORIZADOS!$A:$I,9,FALSE)),"")</f>
        <v>EVALUACIÓN_CON_FINES_DE_MEJORAMIENTO.</v>
      </c>
      <c r="J1390" s="11" t="str">
        <f>IFERROR(IF(VLOOKUP(A1390,[9]PRIORIZADOS!$A:$J,10,FALSE)="","",VLOOKUP(A1390,[9]PRIORIZADOS!$A:$J,10,FALSE)),"")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390" s="11" t="str">
        <f>IFERROR(IF(VLOOKUP(A1390,[9]PRIORIZADOS!$A:$K,11,FALSE)="","",VLOOKUP(A1390,[9]PRIORIZADOS!$A:$K,11,FALSE)),"")</f>
        <v>LUIS ALEJANDRO MARTÍNEZ PALACIOS</v>
      </c>
      <c r="L1390" s="11" t="str">
        <f>IFERROR(IF(VLOOKUP(A1390,[9]PRIORIZADOS!$A:$L,12,FALSE)="","",VLOOKUP(A1390,[9]PRIORIZADOS!$A:$L,12,FALSE)),"")</f>
        <v>CARLOS EDUARDO VARGAS LÓPEZ</v>
      </c>
      <c r="M1390" s="71">
        <f>IFERROR(IF(VLOOKUP(A1390,[9]PRIORIZADOS!$A:$M,13,FALSE)="","",VLOOKUP(A1390,[9]PRIORIZADOS!$A:$M,13,FALSE)),"")</f>
        <v>45923</v>
      </c>
      <c r="N1390" s="71">
        <f>IFERROR(IF(VLOOKUP(A1390,[9]PRIORIZADOS!$A:$N,14,FALSE)="","",VLOOKUP(A1390,[9]PRIORIZADOS!$A:$N,14,FALSE)),"")</f>
        <v>45923</v>
      </c>
      <c r="O1390" s="71">
        <f>IFERROR(IF(VLOOKUP(A1390,[9]PRIORIZADOS!$A:$O,15,FALSE)="","",VLOOKUP(A1390,[9]PRIORIZADOS!$A:$O,15,FALSE)),"")</f>
        <v>45923</v>
      </c>
      <c r="P1390" s="11" t="str">
        <f>IFERROR(IF(VLOOKUP(A1390,[9]PRIORIZADOS!$A:$P,16,FALSE)="","",VLOOKUP(A1390,[9]PRIORIZADOS!$A:$P,16,FALSE)),"")</f>
        <v>Visitas de evaluación con fines de seguimiento</v>
      </c>
      <c r="Q1390" s="236" t="s">
        <v>334</v>
      </c>
      <c r="R1390" s="11" t="str">
        <f>IFERROR(IF(VLOOKUP(A1390,[9]PRIORIZADOS!$A:$R,18,FALSE)="","",VLOOKUP(A1390,[9]PRIORIZADOS!$A:$R,18,FALSE)),"")</f>
        <v>Se presenta Manual de convivencia 2025. Se evidencia cumplimiento de normatividad y de la participación de la comunidad educativa en la actualización</v>
      </c>
      <c r="S1390" s="11" t="str">
        <f>IFERROR(IF(VLOOKUP(A1390,[9]PRIORIZADOS!$A:$S,19,FALSE)="","",VLOOKUP(A1390,[9]PRIORIZADOS!$A:$S,19,FALSE)),"")</f>
        <v>Presentar Manual de convivencia 2026 actualizado para retroalimentación</v>
      </c>
      <c r="T1390" s="70" t="str">
        <f>IFERROR(IF(VLOOKUP(A1390,[9]PRIORIZADOS!$A:$T,20,FALSE)="","",VLOOKUP(A1390,[9]PRIORIZADOS!$A:$T,20,FALSE)),"")</f>
        <v>No</v>
      </c>
      <c r="U1390" s="11" t="str">
        <f>IFERROR(IF(VLOOKUP(A1390,[9]PRIORIZADOS!$A:$U,21,FALSE)="","",VLOOKUP(A1390,[9]PRIORIZADOS!$A:$U,21,FALSE)),"")</f>
        <v>Verificación y evaluación del Manual de Convivencia a demanda o por solicitud de la institución educativa</v>
      </c>
    </row>
    <row r="1391" spans="1:21" s="1" customFormat="1" ht="48">
      <c r="A1391" s="69">
        <f>IF([9]PRIORIZADOS!A88="","",[9]PRIORIZADOS!A88)</f>
        <v>1333</v>
      </c>
      <c r="B1391" s="70">
        <f>IFERROR(IF(VLOOKUP(A1391,[9]PRIORIZADOS!$A:$B,2,FALSE)="","",VLOOKUP(A1391,[9]PRIORIZADOS!$A:$B,2,FALSE)),"")</f>
        <v>14</v>
      </c>
      <c r="C1391" s="11" t="str">
        <f>IFERROR(IF(VLOOKUP(A1391,[9]PRIORIZADOS!$A:$C,3,FALSE)="","",VLOOKUP(A1391,[9]PRIORIZADOS!$A:$C,3,FALSE)),"")</f>
        <v>LOS MÁRTIRES</v>
      </c>
      <c r="D1391" s="11" t="str">
        <f>IFERROR(IF(VLOOKUP(A1391,[9]PRIORIZADOS!$A:$D,4,FALSE)="","",VLOOKUP(A1391,[9]PRIORIZADOS!$A:$D,4,FALSE)),"")</f>
        <v>OFICIAL</v>
      </c>
      <c r="E1391" s="11" t="str">
        <f>IFERROR(IF(VLOOKUP(A1391,[9]PRIORIZADOS!$A:$E,5,FALSE)="","",VLOOKUP(A1391,[9]PRIORIZADOS!$A:$E,5,FALSE)),"")</f>
        <v>EPBM</v>
      </c>
      <c r="F1391" s="11" t="str">
        <f>IFERROR(IF(VLOOKUP(A1391,[9]PRIORIZADOS!$A:$F,6,FALSE)="","",VLOOKUP(A1391,[9]PRIORIZADOS!$A:$F,6,FALSE)),"")</f>
        <v>COLEGIO_RICAURTE_IED</v>
      </c>
      <c r="G1391" s="11" t="str">
        <f>IFERROR(IF(VLOOKUP(A1391,[9]PRIORIZADOS!$A:$G,7,FALSE)="","",VLOOKUP(A1391,[9]PRIORIZADOS!$A:$G,7,FALSE)),"")</f>
        <v>RICAURTE</v>
      </c>
      <c r="H1391" s="11" t="str">
        <f>IFERROR(IF(VLOOKUP(A1391,[9]PRIORIZADOS!$A:$H,8,FALSE)="","",VLOOKUP(A1391,[9]PRIORIZADOS!$A:$H,8,FALSE)),"")</f>
        <v>Autoevaluación Institucional y Pruebas SABER 11</v>
      </c>
      <c r="I1391" s="11" t="str">
        <f>IFERROR(IF(VLOOKUP(A1391,[9]PRIORIZADOS!$A:$I,9,FALSE)="","",VLOOKUP(A1391,[9]PRIORIZADOS!$A:$I,9,FALSE)),"")</f>
        <v>EVALUACIÓN_CON_FINES_DE_MEJORAMIENTO.</v>
      </c>
      <c r="J1391" s="11" t="str">
        <f>IFERROR(IF(VLOOKUP(A1391,[9]PRIORIZADOS!$A:$J,10,FALSE)="","",VLOOKUP(A1391,[9]PRIORIZADOS!$A:$J,10,FALSE)),"")</f>
        <v>Revisar la actualización, socialización e implementación del Sistema Institucional de Evaluación de Estudiantes - SIEE, en articulación con la actualización del PEI y la normatividad vigente.</v>
      </c>
      <c r="K1391" s="11" t="str">
        <f>IFERROR(IF(VLOOKUP(A1391,[9]PRIORIZADOS!$A:$K,11,FALSE)="","",VLOOKUP(A1391,[9]PRIORIZADOS!$A:$K,11,FALSE)),"")</f>
        <v>LUIS ALEJANDRO MARTÍNEZ PALACIOS</v>
      </c>
      <c r="L1391" s="11" t="str">
        <f>IFERROR(IF(VLOOKUP(A1391,[9]PRIORIZADOS!$A:$L,12,FALSE)="","",VLOOKUP(A1391,[9]PRIORIZADOS!$A:$L,12,FALSE)),"")</f>
        <v>CARLOS EDUARDO VARGAS LÓPEZ</v>
      </c>
      <c r="M1391" s="71">
        <f>IFERROR(IF(VLOOKUP(A1391,[9]PRIORIZADOS!$A:$M,13,FALSE)="","",VLOOKUP(A1391,[9]PRIORIZADOS!$A:$M,13,FALSE)),"")</f>
        <v>45923</v>
      </c>
      <c r="N1391" s="71">
        <f>IFERROR(IF(VLOOKUP(A1391,[9]PRIORIZADOS!$A:$N,14,FALSE)="","",VLOOKUP(A1391,[9]PRIORIZADOS!$A:$N,14,FALSE)),"")</f>
        <v>45923</v>
      </c>
      <c r="O1391" s="71">
        <f>IFERROR(IF(VLOOKUP(A1391,[9]PRIORIZADOS!$A:$O,15,FALSE)="","",VLOOKUP(A1391,[9]PRIORIZADOS!$A:$O,15,FALSE)),"")</f>
        <v>45923</v>
      </c>
      <c r="P1391" s="11" t="str">
        <f>IFERROR(IF(VLOOKUP(A1391,[9]PRIORIZADOS!$A:$P,16,FALSE)="","",VLOOKUP(A1391,[9]PRIORIZADOS!$A:$P,16,FALSE)),"")</f>
        <v>Visitas de evaluación con fines de seguimiento</v>
      </c>
      <c r="Q1391" s="236" t="s">
        <v>334</v>
      </c>
      <c r="R1391" s="11" t="str">
        <f>IFERROR(IF(VLOOKUP(A1391,[9]PRIORIZADOS!$A:$R,18,FALSE)="","",VLOOKUP(A1391,[9]PRIORIZADOS!$A:$R,18,FALSE)),"")</f>
        <v>Se presenta SIEE 2025. Se evidencia cumplimiento de normatividad y de la participación de la comunidad educativa en la actualización</v>
      </c>
      <c r="S1391" s="11" t="str">
        <f>IFERROR(IF(VLOOKUP(A1391,[9]PRIORIZADOS!$A:$S,19,FALSE)="","",VLOOKUP(A1391,[9]PRIORIZADOS!$A:$S,19,FALSE)),"")</f>
        <v>Presentar copia del SIEE 2026 actualizado  para retroalimentación</v>
      </c>
      <c r="T1391" s="70" t="str">
        <f>IFERROR(IF(VLOOKUP(A1391,[9]PRIORIZADOS!$A:$T,20,FALSE)="","",VLOOKUP(A1391,[9]PRIORIZADOS!$A:$T,20,FALSE)),"")</f>
        <v>No</v>
      </c>
      <c r="U1391" s="11" t="str">
        <f>IFERROR(IF(VLOOKUP(A1391,[9]PRIORIZADOS!$A:$U,21,FALSE)="","",VLOOKUP(A1391,[9]PRIORIZADOS!$A:$U,21,FALSE)),"")</f>
        <v>Verificación y evaluación del SIEE a demanda o por solicitud de la institución educativa</v>
      </c>
    </row>
    <row r="1392" spans="1:21" s="1" customFormat="1" ht="48">
      <c r="A1392" s="69">
        <f>IF([9]PRIORIZADOS!A89="","",[9]PRIORIZADOS!A89)</f>
        <v>1334</v>
      </c>
      <c r="B1392" s="70">
        <f>IFERROR(IF(VLOOKUP(A1392,[9]PRIORIZADOS!$A:$B,2,FALSE)="","",VLOOKUP(A1392,[9]PRIORIZADOS!$A:$B,2,FALSE)),"")</f>
        <v>14</v>
      </c>
      <c r="C1392" s="11" t="str">
        <f>IFERROR(IF(VLOOKUP(A1392,[9]PRIORIZADOS!$A:$C,3,FALSE)="","",VLOOKUP(A1392,[9]PRIORIZADOS!$A:$C,3,FALSE)),"")</f>
        <v>LOS MÁRTIRES</v>
      </c>
      <c r="D1392" s="11" t="str">
        <f>IFERROR(IF(VLOOKUP(A1392,[9]PRIORIZADOS!$A:$D,4,FALSE)="","",VLOOKUP(A1392,[9]PRIORIZADOS!$A:$D,4,FALSE)),"")</f>
        <v>OFICIAL</v>
      </c>
      <c r="E1392" s="11" t="str">
        <f>IFERROR(IF(VLOOKUP(A1392,[9]PRIORIZADOS!$A:$E,5,FALSE)="","",VLOOKUP(A1392,[9]PRIORIZADOS!$A:$E,5,FALSE)),"")</f>
        <v>EPBM</v>
      </c>
      <c r="F1392" s="11" t="str">
        <f>IFERROR(IF(VLOOKUP(A1392,[9]PRIORIZADOS!$A:$F,6,FALSE)="","",VLOOKUP(A1392,[9]PRIORIZADOS!$A:$F,6,FALSE)),"")</f>
        <v>COLEGIO_RICAURTE_IED</v>
      </c>
      <c r="G1392" s="11" t="str">
        <f>IFERROR(IF(VLOOKUP(A1392,[9]PRIORIZADOS!$A:$G,7,FALSE)="","",VLOOKUP(A1392,[9]PRIORIZADOS!$A:$G,7,FALSE)),"")</f>
        <v>RICAURTE</v>
      </c>
      <c r="H1392" s="11" t="str">
        <f>IFERROR(IF(VLOOKUP(A1392,[9]PRIORIZADOS!$A:$H,8,FALSE)="","",VLOOKUP(A1392,[9]PRIORIZADOS!$A:$H,8,FALSE)),"")</f>
        <v>Autoevaluación Institucional y Pruebas SABER 11</v>
      </c>
      <c r="I1392" s="11" t="str">
        <f>IFERROR(IF(VLOOKUP(A1392,[9]PRIORIZADOS!$A:$I,9,FALSE)="","",VLOOKUP(A1392,[9]PRIORIZADOS!$A:$I,9,FALSE)),"")</f>
        <v>EVALUACIÓN_CON_FINES_DE_MEJORAMIENTO.</v>
      </c>
      <c r="J1392" s="11" t="str">
        <f>IFERROR(IF(VLOOKUP(A1392,[9]PRIORIZADOS!$A:$J,10,FALSE)="","",VLOOKUP(A1392,[9]PRIORIZADOS!$A:$J,10,FALSE)),"")</f>
        <v>Verificar el funcionamiento del Gobierno Escolar e instancias de participación con base en la información sobre conformación reportada por la institución educativa.</v>
      </c>
      <c r="K1392" s="11" t="str">
        <f>IFERROR(IF(VLOOKUP(A1392,[9]PRIORIZADOS!$A:$K,11,FALSE)="","",VLOOKUP(A1392,[9]PRIORIZADOS!$A:$K,11,FALSE)),"")</f>
        <v>LUIS ALEJANDRO MARTÍNEZ PALACIOS</v>
      </c>
      <c r="L1392" s="11" t="str">
        <f>IFERROR(IF(VLOOKUP(A1392,[9]PRIORIZADOS!$A:$L,12,FALSE)="","",VLOOKUP(A1392,[9]PRIORIZADOS!$A:$L,12,FALSE)),"")</f>
        <v>CARLOS EDUARDO VARGAS LÓPEZ</v>
      </c>
      <c r="M1392" s="71">
        <f>IFERROR(IF(VLOOKUP(A1392,[9]PRIORIZADOS!$A:$M,13,FALSE)="","",VLOOKUP(A1392,[9]PRIORIZADOS!$A:$M,13,FALSE)),"")</f>
        <v>45923</v>
      </c>
      <c r="N1392" s="71">
        <f>IFERROR(IF(VLOOKUP(A1392,[9]PRIORIZADOS!$A:$N,14,FALSE)="","",VLOOKUP(A1392,[9]PRIORIZADOS!$A:$N,14,FALSE)),"")</f>
        <v>45923</v>
      </c>
      <c r="O1392" s="71">
        <f>IFERROR(IF(VLOOKUP(A1392,[9]PRIORIZADOS!$A:$O,15,FALSE)="","",VLOOKUP(A1392,[9]PRIORIZADOS!$A:$O,15,FALSE)),"")</f>
        <v>45923</v>
      </c>
      <c r="P1392" s="11" t="str">
        <f>IFERROR(IF(VLOOKUP(A1392,[9]PRIORIZADOS!$A:$P,16,FALSE)="","",VLOOKUP(A1392,[9]PRIORIZADOS!$A:$P,16,FALSE)),"")</f>
        <v>Visitas de evaluación con fines de seguimiento</v>
      </c>
      <c r="Q1392" s="236" t="s">
        <v>334</v>
      </c>
      <c r="R1392" s="11" t="str">
        <f>IFERROR(IF(VLOOKUP(A1392,[9]PRIORIZADOS!$A:$R,18,FALSE)="","",VLOOKUP(A1392,[9]PRIORIZADOS!$A:$R,18,FALSE)),"")</f>
        <v>Se evidenciaron actas que dan cuenta del funcionamiento del gobierno escolar, las demás instancias de participación y las comisiones de evaluación</v>
      </c>
      <c r="S1392" s="11" t="str">
        <f>IFERROR(IF(VLOOKUP(A1392,[9]PRIORIZADOS!$A:$S,19,FALSE)="","",VLOOKUP(A1392,[9]PRIORIZADOS!$A:$S,19,FALSE)),"")</f>
        <v>Mantener los procesos democráticos y de participación de la comunidad educativa</v>
      </c>
      <c r="T1392" s="70" t="str">
        <f>IFERROR(IF(VLOOKUP(A1392,[9]PRIORIZADOS!$A:$T,20,FALSE)="","",VLOOKUP(A1392,[9]PRIORIZADOS!$A:$T,20,FALSE)),"")</f>
        <v>No</v>
      </c>
      <c r="U1392" s="11" t="str">
        <f>IFERROR(IF(VLOOKUP(A1392,[9]PRIORIZADOS!$A:$U,21,FALSE)="","",VLOOKUP(A1392,[9]PRIORIZADOS!$A:$U,21,FALSE)),"")</f>
        <v>A demanda de acuerdo con las peticiones de la ciudadanía o de los entes de control</v>
      </c>
    </row>
    <row r="1393" spans="1:21" s="1" customFormat="1" ht="60">
      <c r="A1393" s="69">
        <f>IF([9]PRIORIZADOS!A90="","",[9]PRIORIZADOS!A90)</f>
        <v>1335</v>
      </c>
      <c r="B1393" s="70">
        <f>IFERROR(IF(VLOOKUP(A1393,[9]PRIORIZADOS!$A:$B,2,FALSE)="","",VLOOKUP(A1393,[9]PRIORIZADOS!$A:$B,2,FALSE)),"")</f>
        <v>14</v>
      </c>
      <c r="C1393" s="11" t="str">
        <f>IFERROR(IF(VLOOKUP(A1393,[9]PRIORIZADOS!$A:$C,3,FALSE)="","",VLOOKUP(A1393,[9]PRIORIZADOS!$A:$C,3,FALSE)),"")</f>
        <v>LOS MÁRTIRES</v>
      </c>
      <c r="D1393" s="11" t="str">
        <f>IFERROR(IF(VLOOKUP(A1393,[9]PRIORIZADOS!$A:$D,4,FALSE)="","",VLOOKUP(A1393,[9]PRIORIZADOS!$A:$D,4,FALSE)),"")</f>
        <v>OFICIAL</v>
      </c>
      <c r="E1393" s="11" t="str">
        <f>IFERROR(IF(VLOOKUP(A1393,[9]PRIORIZADOS!$A:$E,5,FALSE)="","",VLOOKUP(A1393,[9]PRIORIZADOS!$A:$E,5,FALSE)),"")</f>
        <v>EPBM</v>
      </c>
      <c r="F1393" s="11" t="str">
        <f>IFERROR(IF(VLOOKUP(A1393,[9]PRIORIZADOS!$A:$F,6,FALSE)="","",VLOOKUP(A1393,[9]PRIORIZADOS!$A:$F,6,FALSE)),"")</f>
        <v>COLEGIO_RICAURTE_IED</v>
      </c>
      <c r="G1393" s="11" t="str">
        <f>IFERROR(IF(VLOOKUP(A1393,[9]PRIORIZADOS!$A:$G,7,FALSE)="","",VLOOKUP(A1393,[9]PRIORIZADOS!$A:$G,7,FALSE)),"")</f>
        <v>RICAURTE</v>
      </c>
      <c r="H1393" s="11" t="str">
        <f>IFERROR(IF(VLOOKUP(A1393,[9]PRIORIZADOS!$A:$H,8,FALSE)="","",VLOOKUP(A1393,[9]PRIORIZADOS!$A:$H,8,FALSE)),"")</f>
        <v>Autoevaluación Institucional y Pruebas SABER 11</v>
      </c>
      <c r="I1393" s="11" t="str">
        <f>IFERROR(IF(VLOOKUP(A1393,[9]PRIORIZADOS!$A:$I,9,FALSE)="","",VLOOKUP(A1393,[9]PRIORIZADOS!$A:$I,9,FALSE)),"")</f>
        <v>EVALUACIÓN_CON_FINES_DE_MEJORAMIENTO.</v>
      </c>
      <c r="J1393" s="11" t="str">
        <f>IFERROR(IF(VLOOKUP(A1393,[9]PRIORIZADOS!$A:$J,10,FALSE)="","",VLOOKUP(A1393,[9]PRIORIZADOS!$A:$J,10,FALSE)),"")</f>
        <v>Verificar las condiciones en cuanto a: la estructura administrativa, condiciones de la planta física y medios educativos adecuados.</v>
      </c>
      <c r="K1393" s="11" t="str">
        <f>IFERROR(IF(VLOOKUP(A1393,[9]PRIORIZADOS!$A:$K,11,FALSE)="","",VLOOKUP(A1393,[9]PRIORIZADOS!$A:$K,11,FALSE)),"")</f>
        <v>LUIS ALEJANDRO MARTÍNEZ PALACIOS</v>
      </c>
      <c r="L1393" s="11" t="str">
        <f>IFERROR(IF(VLOOKUP(A1393,[9]PRIORIZADOS!$A:$L,12,FALSE)="","",VLOOKUP(A1393,[9]PRIORIZADOS!$A:$L,12,FALSE)),"")</f>
        <v>CARLOS EDUARDO VARGAS LÓPEZ</v>
      </c>
      <c r="M1393" s="71">
        <f>IFERROR(IF(VLOOKUP(A1393,[9]PRIORIZADOS!$A:$M,13,FALSE)="","",VLOOKUP(A1393,[9]PRIORIZADOS!$A:$M,13,FALSE)),"")</f>
        <v>45923</v>
      </c>
      <c r="N1393" s="71">
        <f>IFERROR(IF(VLOOKUP(A1393,[9]PRIORIZADOS!$A:$N,14,FALSE)="","",VLOOKUP(A1393,[9]PRIORIZADOS!$A:$N,14,FALSE)),"")</f>
        <v>45923</v>
      </c>
      <c r="O1393" s="71">
        <f>IFERROR(IF(VLOOKUP(A1393,[9]PRIORIZADOS!$A:$O,15,FALSE)="","",VLOOKUP(A1393,[9]PRIORIZADOS!$A:$O,15,FALSE)),"")</f>
        <v>45923</v>
      </c>
      <c r="P1393" s="11" t="str">
        <f>IFERROR(IF(VLOOKUP(A1393,[9]PRIORIZADOS!$A:$P,16,FALSE)="","",VLOOKUP(A1393,[9]PRIORIZADOS!$A:$P,16,FALSE)),"")</f>
        <v>Visitas de evaluación con fines de seguimiento</v>
      </c>
      <c r="Q1393" s="236" t="s">
        <v>334</v>
      </c>
      <c r="R1393" s="11" t="str">
        <f>IFERROR(IF(VLOOKUP(A1393,[9]PRIORIZADOS!$A:$R,18,FALSE)="","",VLOOKUP(A1393,[9]PRIORIZADOS!$A:$R,18,FALSE)),"")</f>
        <v>Se cuenta con una planta física en buen estado y con buenas condiciones. No se cuenta con rampas o asensores que apoyen la movilidad de personas con discapacidad física.</v>
      </c>
      <c r="S1393" s="11" t="str">
        <f>IFERROR(IF(VLOOKUP(A1393,[9]PRIORIZADOS!$A:$S,19,FALSE)="","",VLOOKUP(A1393,[9]PRIORIZADOS!$A:$S,19,FALSE)),"")</f>
        <v>Mantener el buen funcionamiento de la planta física existente</v>
      </c>
      <c r="T1393" s="70" t="str">
        <f>IFERROR(IF(VLOOKUP(A1393,[9]PRIORIZADOS!$A:$T,20,FALSE)="","",VLOOKUP(A1393,[9]PRIORIZADOS!$A:$T,20,FALSE)),"")</f>
        <v>No</v>
      </c>
      <c r="U1393" s="11" t="str">
        <f>IFERROR(IF(VLOOKUP(A1393,[9]PRIORIZADOS!$A:$U,21,FALSE)="","",VLOOKUP(A1393,[9]PRIORIZADOS!$A:$U,21,FALSE)),"")</f>
        <v>A demanda de acuerdo con las peticiones de la ciudadanía o de los entes de control</v>
      </c>
    </row>
    <row r="1394" spans="1:21" s="1" customFormat="1" ht="60">
      <c r="A1394" s="69">
        <f>IF([10]PRIORIZADOS!A8="","",[10]PRIORIZADOS!A8)</f>
        <v>1336</v>
      </c>
      <c r="B1394" s="70">
        <f>IFERROR(IF(VLOOKUP(A1394,[10]PRIORIZADOS!$A:$B,2,FALSE)="","",VLOOKUP(A1394,[10]PRIORIZADOS!$A:$B,2,FALSE)),"")</f>
        <v>1</v>
      </c>
      <c r="C1394" s="11" t="str">
        <f>IFERROR(IF(VLOOKUP(A1394,[10]PRIORIZADOS!$A:$C,3,FALSE)="","",VLOOKUP(A1394,[10]PRIORIZADOS!$A:$C,3,FALSE)),"")</f>
        <v>PUENTE ARANDA</v>
      </c>
      <c r="D1394" s="11" t="str">
        <f>IFERROR(IF(VLOOKUP(A1394,[10]PRIORIZADOS!$A:$D,4,FALSE)="","",VLOOKUP(A1394,[10]PRIORIZADOS!$A:$D,4,FALSE)),"")</f>
        <v>PRIVADO</v>
      </c>
      <c r="E1394" s="11" t="str">
        <f>IFERROR(IF(VLOOKUP(A1394,[10]PRIORIZADOS!$A:$E,5,FALSE)="","",VLOOKUP(A1394,[10]PRIORIZADOS!$A:$E,5,FALSE)),"")</f>
        <v>EPBM</v>
      </c>
      <c r="F1394" s="11" t="str">
        <f>IFERROR(IF(VLOOKUP(A1394,[10]PRIORIZADOS!$A:$F,6,FALSE)="","",VLOOKUP(A1394,[10]PRIORIZADOS!$A:$F,6,FALSE)),"")</f>
        <v>COLEGIO_LUIS_CONCHA_CORDOBA</v>
      </c>
      <c r="G1394" s="11" t="str">
        <f>IFERROR(IF(VLOOKUP(A1394,[10]PRIORIZADOS!$A:$G,7,FALSE)="","",VLOOKUP(A1394,[10]PRIORIZADOS!$A:$G,7,FALSE)),"")</f>
        <v>COLEGIO LUIS CONCHA CORDOBA</v>
      </c>
      <c r="H1394" s="11" t="str">
        <f>IFERROR(IF(VLOOKUP(A1394,[10]PRIORIZADOS!$A:$H,8,FALSE)="","",VLOOKUP(A1394,[10]PRIORIZADOS!$A:$H,8,FALSE)),"")</f>
        <v>Autoevaluación Institucional y Pruebas SABER 11</v>
      </c>
      <c r="I1394" s="11" t="str">
        <f>IFERROR(IF(VLOOKUP(A1394,[10]PRIORIZADOS!$A:$I,9,FALSE)="","",VLOOKUP(A1394,[10]PRIORIZADOS!$A:$I,9,FALSE)),"")</f>
        <v>SEGUIMIENTO_Y_SUPERVISIÓN.</v>
      </c>
      <c r="J1394" s="11" t="str">
        <f>IFERROR(IF(VLOOKUP(A1394,[10]PRIORIZADOS!$A:$J,10,FALSE)="","",VLOOKUP(A1394,[10]PRIORIZADOS!$A:$J,10,FALSE)),"")</f>
        <v>Realizar visitas para verificar la información registrada sobre la autoevaluación institucional en el aplicativo EVI, a los establecimientos de educación formal no oficial.</v>
      </c>
      <c r="K1394" s="11" t="str">
        <f>IFERROR(IF(VLOOKUP(A1394,[10]PRIORIZADOS!$A:$K,11,FALSE)="","",VLOOKUP(A1394,[10]PRIORIZADOS!$A:$K,11,FALSE)),"")</f>
        <v>OSCAR GERMAN CLAVIJO PALACIOS</v>
      </c>
      <c r="L1394" s="11" t="str">
        <f>IFERROR(IF(VLOOKUP(A1394,[10]PRIORIZADOS!$A:$L,12,FALSE)="","",VLOOKUP(A1394,[10]PRIORIZADOS!$A:$L,12,FALSE)),"")</f>
        <v>IGNACIO ABDÓN MONTENEGRO ALDANA</v>
      </c>
      <c r="M1394" s="71">
        <f>IFERROR(IF(VLOOKUP(A1394,[10]PRIORIZADOS!$A:$M,13,FALSE)="","",VLOOKUP(A1394,[10]PRIORIZADOS!$A:$M,13,FALSE)),"")</f>
        <v>45742</v>
      </c>
      <c r="N1394" s="71">
        <f>IFERROR(IF(VLOOKUP(A1394,[10]PRIORIZADOS!$A:$N,14,FALSE)="","",VLOOKUP(A1394,[10]PRIORIZADOS!$A:$N,14,FALSE)),"")</f>
        <v>45742</v>
      </c>
      <c r="O1394" s="71">
        <f>IFERROR(IF(VLOOKUP(A1394,[10]PRIORIZADOS!$A:$O,15,FALSE)="","",VLOOKUP(A1394,[10]PRIORIZADOS!$A:$O,15,FALSE)),"")</f>
        <v>45742</v>
      </c>
      <c r="P1394" s="11" t="str">
        <f>IFERROR(IF(VLOOKUP(A1394,[10]PRIORIZADOS!$A:$P,16,FALSE)="","",VLOOKUP(A1394,[10]PRIORIZADOS!$A:$P,16,FALSE)),"")</f>
        <v>Visitas de evaluación con fines de seguimiento</v>
      </c>
      <c r="Q1394" s="107" t="s">
        <v>335</v>
      </c>
      <c r="R1394" s="11" t="str">
        <f>IFERROR(IF(VLOOKUP(A1394,[10]PRIORIZADOS!$A:$R,18,FALSE)="","",VLOOKUP(A1394,[10]PRIORIZADOS!$A:$R,18,FALSE)),"")</f>
        <v>Se evidencia falencias en algunos aspectos de la gestión administrativa; algunos salones no cumplen con las condiciones de aireación e iluminación natural</v>
      </c>
      <c r="S1394" s="11" t="str">
        <f>IFERROR(IF(VLOOKUP(A1394,[10]PRIORIZADOS!$A:$S,19,FALSE)="","",VLOOKUP(A1394,[10]PRIORIZADOS!$A:$S,19,FALSE)),"")</f>
        <v>Elaborar un plan de mejoramiento y comunicarlo al el 21 de abril de 2025</v>
      </c>
      <c r="T1394" s="70" t="str">
        <f>IFERROR(IF(VLOOKUP(A1394,[10]PRIORIZADOS!$A:$T,20,FALSE)="","",VLOOKUP(A1394,[10]PRIORIZADOS!$A:$T,20,FALSE)),"")</f>
        <v>Si</v>
      </c>
      <c r="U1394" s="11" t="str">
        <f>IFERROR(IF(VLOOKUP(A1394,[10]PRIORIZADOS!$A:$U,21,FALSE)="","",VLOOKUP(A1394,[10]PRIORIZADOS!$A:$U,21,FALSE)),"")</f>
        <v>Revisión del plan de mejoramiento el 21 de abril de 2025. El cual, fue presentado el 22 mayo de 2025</v>
      </c>
    </row>
    <row r="1395" spans="1:21" s="1" customFormat="1" ht="60">
      <c r="A1395" s="69">
        <f>IF([10]PRIORIZADOS!A9="","",[10]PRIORIZADOS!A9)</f>
        <v>1337</v>
      </c>
      <c r="B1395" s="70">
        <f>IFERROR(IF(VLOOKUP(A1395,[10]PRIORIZADOS!$A:$B,2,FALSE)="","",VLOOKUP(A1395,[10]PRIORIZADOS!$A:$B,2,FALSE)),"")</f>
        <v>1</v>
      </c>
      <c r="C1395" s="11" t="str">
        <f>IFERROR(IF(VLOOKUP(A1395,[10]PRIORIZADOS!$A:$C,3,FALSE)="","",VLOOKUP(A1395,[10]PRIORIZADOS!$A:$C,3,FALSE)),"")</f>
        <v>PUENTE ARANDA</v>
      </c>
      <c r="D1395" s="11" t="str">
        <f>IFERROR(IF(VLOOKUP(A1395,[10]PRIORIZADOS!$A:$D,4,FALSE)="","",VLOOKUP(A1395,[10]PRIORIZADOS!$A:$D,4,FALSE)),"")</f>
        <v>PRIVADO</v>
      </c>
      <c r="E1395" s="11" t="str">
        <f>IFERROR(IF(VLOOKUP(A1395,[10]PRIORIZADOS!$A:$E,5,FALSE)="","",VLOOKUP(A1395,[10]PRIORIZADOS!$A:$E,5,FALSE)),"")</f>
        <v>EPBM</v>
      </c>
      <c r="F1395" s="11" t="str">
        <f>IFERROR(IF(VLOOKUP(A1395,[10]PRIORIZADOS!$A:$F,6,FALSE)="","",VLOOKUP(A1395,[10]PRIORIZADOS!$A:$F,6,FALSE)),"")</f>
        <v>COLEGIO_LUIS_CONCHA_CORDOBA</v>
      </c>
      <c r="G1395" s="11" t="str">
        <f>IFERROR(IF(VLOOKUP(A1395,[10]PRIORIZADOS!$A:$G,7,FALSE)="","",VLOOKUP(A1395,[10]PRIORIZADOS!$A:$G,7,FALSE)),"")</f>
        <v>COLEGIO LUIS CONCHA CORDOBA</v>
      </c>
      <c r="H1395" s="11" t="str">
        <f>IFERROR(IF(VLOOKUP(A1395,[10]PRIORIZADOS!$A:$H,8,FALSE)="","",VLOOKUP(A1395,[10]PRIORIZADOS!$A:$H,8,FALSE)),"")</f>
        <v>Autoevaluación Institucional y Pruebas SABER 11</v>
      </c>
      <c r="I1395" s="11" t="str">
        <f>IFERROR(IF(VLOOKUP(A1395,[10]PRIORIZADOS!$A:$I,9,FALSE)="","",VLOOKUP(A1395,[10]PRIORIZADOS!$A:$I,9,FALSE)),"")</f>
        <v>SEGUIMIENTO_Y_SUPERVISIÓN.</v>
      </c>
      <c r="J1395" s="11" t="str">
        <f>IFERROR(IF(VLOOKUP(A1395,[10]PRIORIZADOS!$A:$J,10,FALSE)="","",VLOOKUP(A1395,[10]PRIORIZADOS!$A:$J,10,FALSE)),"")</f>
        <v>Proponer estrategias en la formulación, verificar su elaboración y realizar seguimiento semestral al desarrollo de  las acciones establecidas en los planes de mejoramiento por pruebas SABER 11 de los establecimientos de educación formal.</v>
      </c>
      <c r="K1395" s="11" t="str">
        <f>IFERROR(IF(VLOOKUP(A1395,[10]PRIORIZADOS!$A:$K,11,FALSE)="","",VLOOKUP(A1395,[10]PRIORIZADOS!$A:$K,11,FALSE)),"")</f>
        <v>OSCAR GERMAN CLAVIJO PALACIOS</v>
      </c>
      <c r="L1395" s="11" t="str">
        <f>IFERROR(IF(VLOOKUP(A1395,[10]PRIORIZADOS!$A:$L,12,FALSE)="","",VLOOKUP(A1395,[10]PRIORIZADOS!$A:$L,12,FALSE)),"")</f>
        <v>IGNACIO ABDÓN MONTENEGRO ALDANA</v>
      </c>
      <c r="M1395" s="71">
        <f>IFERROR(IF(VLOOKUP(A1395,[10]PRIORIZADOS!$A:$M,13,FALSE)="","",VLOOKUP(A1395,[10]PRIORIZADOS!$A:$M,13,FALSE)),"")</f>
        <v>45742</v>
      </c>
      <c r="N1395" s="71">
        <f>IFERROR(IF(VLOOKUP(A1395,[10]PRIORIZADOS!$A:$N,14,FALSE)="","",VLOOKUP(A1395,[10]PRIORIZADOS!$A:$N,14,FALSE)),"")</f>
        <v>45742</v>
      </c>
      <c r="O1395" s="71">
        <f>IFERROR(IF(VLOOKUP(A1395,[10]PRIORIZADOS!$A:$O,15,FALSE)="","",VLOOKUP(A1395,[10]PRIORIZADOS!$A:$O,15,FALSE)),"")</f>
        <v>45742</v>
      </c>
      <c r="P1395" s="11" t="str">
        <f>IFERROR(IF(VLOOKUP(A1395,[10]PRIORIZADOS!$A:$P,16,FALSE)="","",VLOOKUP(A1395,[10]PRIORIZADOS!$A:$P,16,FALSE)),"")</f>
        <v>Visitas de evaluación con fines de mejoramiento</v>
      </c>
      <c r="Q1395" s="107" t="s">
        <v>335</v>
      </c>
      <c r="R1395" s="11" t="str">
        <f>IFERROR(IF(VLOOKUP(A1395,[10]PRIORIZADOS!$A:$R,18,FALSE)="","",VLOOKUP(A1395,[10]PRIORIZADOS!$A:$R,18,FALSE)),"")</f>
        <v xml:space="preserve">Se evidencio que se adelantó análisis de resultados de las pruebas saber 11 y ha previsto acciones de mejoramiento en los procesos académicos </v>
      </c>
      <c r="S1395" s="11" t="str">
        <f>IFERROR(IF(VLOOKUP(A1395,[10]PRIORIZADOS!$A:$S,19,FALSE)="","",VLOOKUP(A1395,[10]PRIORIZADOS!$A:$S,19,FALSE)),"")</f>
        <v>Establecer acciones de mejora e incorporar al plan de mejoramiento y reportarlo el 21 de abril</v>
      </c>
      <c r="T1395" s="70" t="str">
        <f>IFERROR(IF(VLOOKUP(A1395,[10]PRIORIZADOS!$A:$T,20,FALSE)="","",VLOOKUP(A1395,[10]PRIORIZADOS!$A:$T,20,FALSE)),"")</f>
        <v>Si</v>
      </c>
      <c r="U1395" s="11" t="str">
        <f>IFERROR(IF(VLOOKUP(A1395,[10]PRIORIZADOS!$A:$U,21,FALSE)="","",VLOOKUP(A1395,[10]PRIORIZADOS!$A:$U,21,FALSE)),"")</f>
        <v>Revisión del plan de mejoramiento el 21 de abril de 2025.</v>
      </c>
    </row>
    <row r="1396" spans="1:21" s="1" customFormat="1" ht="48">
      <c r="A1396" s="69">
        <f>IF([10]PRIORIZADOS!A10="","",[10]PRIORIZADOS!A10)</f>
        <v>1338</v>
      </c>
      <c r="B1396" s="70">
        <f>IFERROR(IF(VLOOKUP(A1396,[10]PRIORIZADOS!$A:$B,2,FALSE)="","",VLOOKUP(A1396,[10]PRIORIZADOS!$A:$B,2,FALSE)),"")</f>
        <v>1</v>
      </c>
      <c r="C1396" s="11" t="str">
        <f>IFERROR(IF(VLOOKUP(A1396,[10]PRIORIZADOS!$A:$C,3,FALSE)="","",VLOOKUP(A1396,[10]PRIORIZADOS!$A:$C,3,FALSE)),"")</f>
        <v>PUENTE ARANDA</v>
      </c>
      <c r="D1396" s="11" t="str">
        <f>IFERROR(IF(VLOOKUP(A1396,[10]PRIORIZADOS!$A:$D,4,FALSE)="","",VLOOKUP(A1396,[10]PRIORIZADOS!$A:$D,4,FALSE)),"")</f>
        <v>PRIVADO</v>
      </c>
      <c r="E1396" s="11" t="str">
        <f>IFERROR(IF(VLOOKUP(A1396,[10]PRIORIZADOS!$A:$E,5,FALSE)="","",VLOOKUP(A1396,[10]PRIORIZADOS!$A:$E,5,FALSE)),"")</f>
        <v>EPBM</v>
      </c>
      <c r="F1396" s="11" t="str">
        <f>IFERROR(IF(VLOOKUP(A1396,[10]PRIORIZADOS!$A:$F,6,FALSE)="","",VLOOKUP(A1396,[10]PRIORIZADOS!$A:$F,6,FALSE)),"")</f>
        <v>COLEGIO_LUIS_CONCHA_CORDOBA</v>
      </c>
      <c r="G1396" s="11" t="str">
        <f>IFERROR(IF(VLOOKUP(A1396,[10]PRIORIZADOS!$A:$G,7,FALSE)="","",VLOOKUP(A1396,[10]PRIORIZADOS!$A:$G,7,FALSE)),"")</f>
        <v>COLEGIO LUIS CONCHA CORDOBA</v>
      </c>
      <c r="H1396" s="11" t="str">
        <f>IFERROR(IF(VLOOKUP(A1396,[10]PRIORIZADOS!$A:$H,8,FALSE)="","",VLOOKUP(A1396,[10]PRIORIZADOS!$A:$H,8,FALSE)),"")</f>
        <v>Autoevaluación Institucional y Pruebas SABER 11</v>
      </c>
      <c r="I1396" s="11" t="str">
        <f>IFERROR(IF(VLOOKUP(A1396,[10]PRIORIZADOS!$A:$I,9,FALSE)="","",VLOOKUP(A1396,[10]PRIORIZADOS!$A:$I,9,FALSE)),"")</f>
        <v>SEGUIMIENTO_Y_SUPERVISIÓN.</v>
      </c>
      <c r="J1396" s="11" t="str">
        <f>IFERROR(IF(VLOOKUP(A1396,[10]PRIORIZADOS!$A:$J,10,FALSE)="","",VLOOKUP(A1396,[10]PRIORIZADOS!$A:$J,10,FALSE)),"")</f>
        <v xml:space="preserve">Verificar la implementación por parte de los colegios, de acciones realizadas para la prevención y atención de las situaciones de convivencia en el entorno escolar, según lo establecido en la Directiva 01 de 2022 del MEN. </v>
      </c>
      <c r="K1396" s="11" t="str">
        <f>IFERROR(IF(VLOOKUP(A1396,[10]PRIORIZADOS!$A:$K,11,FALSE)="","",VLOOKUP(A1396,[10]PRIORIZADOS!$A:$K,11,FALSE)),"")</f>
        <v>OSCAR GERMAN CLAVIJO PALACIOS</v>
      </c>
      <c r="L1396" s="11" t="str">
        <f>IFERROR(IF(VLOOKUP(A1396,[10]PRIORIZADOS!$A:$L,12,FALSE)="","",VLOOKUP(A1396,[10]PRIORIZADOS!$A:$L,12,FALSE)),"")</f>
        <v>IGNACIO ABDÓN MONTENEGRO ALDANA</v>
      </c>
      <c r="M1396" s="71">
        <f>IFERROR(IF(VLOOKUP(A1396,[10]PRIORIZADOS!$A:$M,13,FALSE)="","",VLOOKUP(A1396,[10]PRIORIZADOS!$A:$M,13,FALSE)),"")</f>
        <v>45742</v>
      </c>
      <c r="N1396" s="71">
        <f>IFERROR(IF(VLOOKUP(A1396,[10]PRIORIZADOS!$A:$N,14,FALSE)="","",VLOOKUP(A1396,[10]PRIORIZADOS!$A:$N,14,FALSE)),"")</f>
        <v>45742</v>
      </c>
      <c r="O1396" s="71">
        <f>IFERROR(IF(VLOOKUP(A1396,[10]PRIORIZADOS!$A:$O,15,FALSE)="","",VLOOKUP(A1396,[10]PRIORIZADOS!$A:$O,15,FALSE)),"")</f>
        <v>45742</v>
      </c>
      <c r="P1396" s="11" t="str">
        <f>IFERROR(IF(VLOOKUP(A1396,[10]PRIORIZADOS!$A:$P,16,FALSE)="","",VLOOKUP(A1396,[10]PRIORIZADOS!$A:$P,16,FALSE)),"")</f>
        <v>Visitas de evaluación con fines de mejoramiento</v>
      </c>
      <c r="Q1396" s="107" t="s">
        <v>335</v>
      </c>
      <c r="R1396" s="11" t="str">
        <f>IFERROR(IF(VLOOKUP(A1396,[10]PRIORIZADOS!$A:$R,18,FALSE)="","",VLOOKUP(A1396,[10]PRIORIZADOS!$A:$R,18,FALSE)),"")</f>
        <v xml:space="preserve">sobre la verificación de antecedentes se encontró: que solo 13 docente de 21 tienen la certificación de la consulta de inhabilidades </v>
      </c>
      <c r="S1396" s="11" t="str">
        <f>IFERROR(IF(VLOOKUP(A1396,[10]PRIORIZADOS!$A:$S,19,FALSE)="","",VLOOKUP(A1396,[10]PRIORIZADOS!$A:$S,19,FALSE)),"")</f>
        <v>Hacer la verificación de los docentes faltantes en el sistema de la policía  y reportarlo el 21 de abril</v>
      </c>
      <c r="T1396" s="70" t="str">
        <f>IFERROR(IF(VLOOKUP(A1396,[10]PRIORIZADOS!$A:$T,20,FALSE)="","",VLOOKUP(A1396,[10]PRIORIZADOS!$A:$T,20,FALSE)),"")</f>
        <v>Si</v>
      </c>
      <c r="U1396" s="11" t="str">
        <f>IFERROR(IF(VLOOKUP(A1396,[10]PRIORIZADOS!$A:$U,21,FALSE)="","",VLOOKUP(A1396,[10]PRIORIZADOS!$A:$U,21,FALSE)),"")</f>
        <v>Revisión del plan de mejoramiento el 21 de abril de 2025.</v>
      </c>
    </row>
    <row r="1397" spans="1:21" s="1" customFormat="1" ht="48">
      <c r="A1397" s="69">
        <f>IF([10]PRIORIZADOS!A11="","",[10]PRIORIZADOS!A11)</f>
        <v>1339</v>
      </c>
      <c r="B1397" s="70">
        <f>IFERROR(IF(VLOOKUP(A1397,[10]PRIORIZADOS!$A:$B,2,FALSE)="","",VLOOKUP(A1397,[10]PRIORIZADOS!$A:$B,2,FALSE)),"")</f>
        <v>1</v>
      </c>
      <c r="C1397" s="11" t="str">
        <f>IFERROR(IF(VLOOKUP(A1397,[10]PRIORIZADOS!$A:$C,3,FALSE)="","",VLOOKUP(A1397,[10]PRIORIZADOS!$A:$C,3,FALSE)),"")</f>
        <v>PUENTE ARANDA</v>
      </c>
      <c r="D1397" s="11" t="str">
        <f>IFERROR(IF(VLOOKUP(A1397,[10]PRIORIZADOS!$A:$D,4,FALSE)="","",VLOOKUP(A1397,[10]PRIORIZADOS!$A:$D,4,FALSE)),"")</f>
        <v>PRIVADO</v>
      </c>
      <c r="E1397" s="11" t="str">
        <f>IFERROR(IF(VLOOKUP(A1397,[10]PRIORIZADOS!$A:$E,5,FALSE)="","",VLOOKUP(A1397,[10]PRIORIZADOS!$A:$E,5,FALSE)),"")</f>
        <v>EPBM</v>
      </c>
      <c r="F1397" s="11" t="str">
        <f>IFERROR(IF(VLOOKUP(A1397,[10]PRIORIZADOS!$A:$F,6,FALSE)="","",VLOOKUP(A1397,[10]PRIORIZADOS!$A:$F,6,FALSE)),"")</f>
        <v>COLEGIO_LUIS_CONCHA_CORDOBA</v>
      </c>
      <c r="G1397" s="11" t="str">
        <f>IFERROR(IF(VLOOKUP(A1397,[10]PRIORIZADOS!$A:$G,7,FALSE)="","",VLOOKUP(A1397,[10]PRIORIZADOS!$A:$G,7,FALSE)),"")</f>
        <v>COLEGIO LUIS CONCHA CORDOBA</v>
      </c>
      <c r="H1397" s="11" t="str">
        <f>IFERROR(IF(VLOOKUP(A1397,[10]PRIORIZADOS!$A:$H,8,FALSE)="","",VLOOKUP(A1397,[10]PRIORIZADOS!$A:$H,8,FALSE)),"")</f>
        <v>Autoevaluación Institucional y Pruebas SABER 11</v>
      </c>
      <c r="I1397" s="11" t="str">
        <f>IFERROR(IF(VLOOKUP(A1397,[10]PRIORIZADOS!$A:$I,9,FALSE)="","",VLOOKUP(A1397,[10]PRIORIZADOS!$A:$I,9,FALSE)),"")</f>
        <v>EVALUACIÓN_CON_FINES_DE_MEJORAMIENTO.</v>
      </c>
      <c r="J1397" s="11" t="str">
        <f>IFERROR(IF(VLOOKUP(A1397,[10]PRIORIZADOS!$A:$J,10,FALSE)="","",VLOOKUP(A1397,[10]PRIORIZADOS!$A:$J,10,FALSE)),"")</f>
        <v>Revisar el calendario escolar, jornada escolar, la intensidad horaria mínima anual en cada nivel y las modificaciones que se realicen al mismo, de acuerdo con lo previsto en la normatividad vigente.</v>
      </c>
      <c r="K1397" s="11" t="str">
        <f>IFERROR(IF(VLOOKUP(A1397,[10]PRIORIZADOS!$A:$K,11,FALSE)="","",VLOOKUP(A1397,[10]PRIORIZADOS!$A:$K,11,FALSE)),"")</f>
        <v>OSCAR GERMAN CLAVIJO PALACIOS</v>
      </c>
      <c r="L1397" s="11" t="str">
        <f>IFERROR(IF(VLOOKUP(A1397,[10]PRIORIZADOS!$A:$L,12,FALSE)="","",VLOOKUP(A1397,[10]PRIORIZADOS!$A:$L,12,FALSE)),"")</f>
        <v>IGNACIO ABDÓN MONTENEGRO ALDANA</v>
      </c>
      <c r="M1397" s="71">
        <f>IFERROR(IF(VLOOKUP(A1397,[10]PRIORIZADOS!$A:$M,13,FALSE)="","",VLOOKUP(A1397,[10]PRIORIZADOS!$A:$M,13,FALSE)),"")</f>
        <v>45742</v>
      </c>
      <c r="N1397" s="71">
        <f>IFERROR(IF(VLOOKUP(A1397,[10]PRIORIZADOS!$A:$N,14,FALSE)="","",VLOOKUP(A1397,[10]PRIORIZADOS!$A:$N,14,FALSE)),"")</f>
        <v>45742</v>
      </c>
      <c r="O1397" s="71">
        <f>IFERROR(IF(VLOOKUP(A1397,[10]PRIORIZADOS!$A:$O,15,FALSE)="","",VLOOKUP(A1397,[10]PRIORIZADOS!$A:$O,15,FALSE)),"")</f>
        <v>45742</v>
      </c>
      <c r="P1397" s="11" t="str">
        <f>IFERROR(IF(VLOOKUP(A1397,[10]PRIORIZADOS!$A:$P,16,FALSE)="","",VLOOKUP(A1397,[10]PRIORIZADOS!$A:$P,16,FALSE)),"")</f>
        <v>Visitas de evaluación con fines de mejoramiento</v>
      </c>
      <c r="Q1397" s="107" t="s">
        <v>336</v>
      </c>
      <c r="R1397" s="11" t="str">
        <f>IFERROR(IF(VLOOKUP(A1397,[10]PRIORIZADOS!$A:$R,18,FALSE)="","",VLOOKUP(A1397,[10]PRIORIZADOS!$A:$R,18,FALSE)),"")</f>
        <v xml:space="preserve">Se revisó en el aplicativo creado por la Dirección de Inspección y Vigilancia, donde se evidencia el cumplimiento de los tiempos en cada nivel educativo. </v>
      </c>
      <c r="S1397" s="11" t="str">
        <f>IFERROR(IF(VLOOKUP(A1397,[10]PRIORIZADOS!$A:$S,19,FALSE)="","",VLOOKUP(A1397,[10]PRIORIZADOS!$A:$S,19,FALSE)),"")</f>
        <v>El colegio cumple con las horas académicas determinadas por la Ley en cada nivel educativo</v>
      </c>
      <c r="T1397" s="70" t="str">
        <f>IFERROR(IF(VLOOKUP(A1397,[10]PRIORIZADOS!$A:$T,20,FALSE)="","",VLOOKUP(A1397,[10]PRIORIZADOS!$A:$T,20,FALSE)),"")</f>
        <v>No</v>
      </c>
      <c r="U1397" s="11" t="str">
        <f>IFERROR(IF(VLOOKUP(A1397,[10]PRIORIZADOS!$A:$U,21,FALSE)="","",VLOOKUP(A1397,[10]PRIORIZADOS!$A:$U,21,FALSE)),"")</f>
        <v>Se hará revisión del calendario académico en la vigencia 2026</v>
      </c>
    </row>
    <row r="1398" spans="1:21" s="1" customFormat="1" ht="72">
      <c r="A1398" s="69">
        <f>IF([10]PRIORIZADOS!A12="","",[10]PRIORIZADOS!A12)</f>
        <v>1340</v>
      </c>
      <c r="B1398" s="70">
        <f>IFERROR(IF(VLOOKUP(A1398,[10]PRIORIZADOS!$A:$B,2,FALSE)="","",VLOOKUP(A1398,[10]PRIORIZADOS!$A:$B,2,FALSE)),"")</f>
        <v>1</v>
      </c>
      <c r="C1398" s="11" t="str">
        <f>IFERROR(IF(VLOOKUP(A1398,[10]PRIORIZADOS!$A:$C,3,FALSE)="","",VLOOKUP(A1398,[10]PRIORIZADOS!$A:$C,3,FALSE)),"")</f>
        <v>PUENTE ARANDA</v>
      </c>
      <c r="D1398" s="11" t="str">
        <f>IFERROR(IF(VLOOKUP(A1398,[10]PRIORIZADOS!$A:$D,4,FALSE)="","",VLOOKUP(A1398,[10]PRIORIZADOS!$A:$D,4,FALSE)),"")</f>
        <v>PRIVADO</v>
      </c>
      <c r="E1398" s="11" t="str">
        <f>IFERROR(IF(VLOOKUP(A1398,[10]PRIORIZADOS!$A:$E,5,FALSE)="","",VLOOKUP(A1398,[10]PRIORIZADOS!$A:$E,5,FALSE)),"")</f>
        <v>EPBM</v>
      </c>
      <c r="F1398" s="11" t="str">
        <f>IFERROR(IF(VLOOKUP(A1398,[10]PRIORIZADOS!$A:$F,6,FALSE)="","",VLOOKUP(A1398,[10]PRIORIZADOS!$A:$F,6,FALSE)),"")</f>
        <v>COLEGIO_LUIS_CONCHA_CORDOBA</v>
      </c>
      <c r="G1398" s="11" t="str">
        <f>IFERROR(IF(VLOOKUP(A1398,[10]PRIORIZADOS!$A:$G,7,FALSE)="","",VLOOKUP(A1398,[10]PRIORIZADOS!$A:$G,7,FALSE)),"")</f>
        <v>COLEGIO LUIS CONCHA CORDOBA</v>
      </c>
      <c r="H1398" s="11" t="str">
        <f>IFERROR(IF(VLOOKUP(A1398,[10]PRIORIZADOS!$A:$H,8,FALSE)="","",VLOOKUP(A1398,[10]PRIORIZADOS!$A:$H,8,FALSE)),"")</f>
        <v>Autoevaluación Institucional y Pruebas SABER 11</v>
      </c>
      <c r="I1398" s="11" t="str">
        <f>IFERROR(IF(VLOOKUP(A1398,[10]PRIORIZADOS!$A:$I,9,FALSE)="","",VLOOKUP(A1398,[10]PRIORIZADOS!$A:$I,9,FALSE)),"")</f>
        <v>EVALUACIÓN_CON_FINES_DE_MEJORAMIENTO.</v>
      </c>
      <c r="J1398" s="11" t="str">
        <f>IFERROR(IF(VLOOKUP(A1398,[10]PRIORIZADOS!$A:$J,10,FALSE)="","",VLOOKUP(A1398,[10]PRIORIZADOS!$A:$J,10,FALSE)),"")</f>
        <v>Verificar el funcionamiento del Gobierno Escolar e instancias de participación con base en la información sobre conformación reportada por la institución educativa.</v>
      </c>
      <c r="K1398" s="11" t="str">
        <f>IFERROR(IF(VLOOKUP(A1398,[10]PRIORIZADOS!$A:$K,11,FALSE)="","",VLOOKUP(A1398,[10]PRIORIZADOS!$A:$K,11,FALSE)),"")</f>
        <v>OSCAR GERMAN CLAVIJO PALACIOS</v>
      </c>
      <c r="L1398" s="11" t="str">
        <f>IFERROR(IF(VLOOKUP(A1398,[10]PRIORIZADOS!$A:$L,12,FALSE)="","",VLOOKUP(A1398,[10]PRIORIZADOS!$A:$L,12,FALSE)),"")</f>
        <v>IGNACIO ABDÓN MONTENEGRO ALDANA</v>
      </c>
      <c r="M1398" s="71">
        <f>IFERROR(IF(VLOOKUP(A1398,[10]PRIORIZADOS!$A:$M,13,FALSE)="","",VLOOKUP(A1398,[10]PRIORIZADOS!$A:$M,13,FALSE)),"")</f>
        <v>45742</v>
      </c>
      <c r="N1398" s="71">
        <f>IFERROR(IF(VLOOKUP(A1398,[10]PRIORIZADOS!$A:$N,14,FALSE)="","",VLOOKUP(A1398,[10]PRIORIZADOS!$A:$N,14,FALSE)),"")</f>
        <v>45742</v>
      </c>
      <c r="O1398" s="71">
        <f>IFERROR(IF(VLOOKUP(A1398,[10]PRIORIZADOS!$A:$O,15,FALSE)="","",VLOOKUP(A1398,[10]PRIORIZADOS!$A:$O,15,FALSE)),"")</f>
        <v>45742</v>
      </c>
      <c r="P1398" s="11" t="str">
        <f>IFERROR(IF(VLOOKUP(A1398,[10]PRIORIZADOS!$A:$P,16,FALSE)="","",VLOOKUP(A1398,[10]PRIORIZADOS!$A:$P,16,FALSE)),"")</f>
        <v>Visitas de evaluación con fines de mejoramiento</v>
      </c>
      <c r="Q1398" s="107" t="s">
        <v>337</v>
      </c>
      <c r="R1398" s="11" t="str">
        <f>IFERROR(IF(VLOOKUP(A1398,[10]PRIORIZADOS!$A:$R,18,FALSE)="","",VLOOKUP(A1398,[10]PRIORIZADOS!$A:$R,18,FALSE)),"")</f>
        <v>Se encontró que la institución subió las actas de elección del gobierno escolar en el aplicativo SAE, a lo cual se le dio visto bueno en correo del 14 de mayo. No fue posible verificar el funcionamiento dada la fecha en la cual fue desarrolada la visita.</v>
      </c>
      <c r="S1398" s="11" t="str">
        <f>IFERROR(IF(VLOOKUP(A1398,[10]PRIORIZADOS!$A:$S,19,FALSE)="","",VLOOKUP(A1398,[10]PRIORIZADOS!$A:$S,19,FALSE)),"")</f>
        <v xml:space="preserve">Reconocer el trabajo de la institución educativa, en el cumplimiento de la adecuada información registrada en el SAE, lo que permitió que las actas de Gobierno Escolar se descargaran correctamente </v>
      </c>
      <c r="T1398" s="70" t="str">
        <f>IFERROR(IF(VLOOKUP(A1398,[10]PRIORIZADOS!$A:$T,20,FALSE)="","",VLOOKUP(A1398,[10]PRIORIZADOS!$A:$T,20,FALSE)),"")</f>
        <v>No</v>
      </c>
      <c r="U1398" s="11" t="str">
        <f>IFERROR(IF(VLOOKUP(A1398,[10]PRIORIZADOS!$A:$U,21,FALSE)="","",VLOOKUP(A1398,[10]PRIORIZADOS!$A:$U,21,FALSE)),"")</f>
        <v>Se realizará solicitud de evidencias del funcionamiento del gobierno escolar en la vigencia 2025</v>
      </c>
    </row>
    <row r="1399" spans="1:21" s="1" customFormat="1" ht="48">
      <c r="A1399" s="69">
        <f>IF([10]PRIORIZADOS!A13="","",[10]PRIORIZADOS!A13)</f>
        <v>1341</v>
      </c>
      <c r="B1399" s="70">
        <f>IFERROR(IF(VLOOKUP(A1399,[10]PRIORIZADOS!$A:$B,2,FALSE)="","",VLOOKUP(A1399,[10]PRIORIZADOS!$A:$B,2,FALSE)),"")</f>
        <v>2</v>
      </c>
      <c r="C1399" s="11" t="str">
        <f>IFERROR(IF(VLOOKUP(A1399,[10]PRIORIZADOS!$A:$C,3,FALSE)="","",VLOOKUP(A1399,[10]PRIORIZADOS!$A:$C,3,FALSE)),"")</f>
        <v>PUENTE ARANDA</v>
      </c>
      <c r="D1399" s="11" t="str">
        <f>IFERROR(IF(VLOOKUP(A1399,[10]PRIORIZADOS!$A:$D,4,FALSE)="","",VLOOKUP(A1399,[10]PRIORIZADOS!$A:$D,4,FALSE)),"")</f>
        <v>PRIVADO</v>
      </c>
      <c r="E1399" s="11" t="str">
        <f>IFERROR(IF(VLOOKUP(A1399,[10]PRIORIZADOS!$A:$E,5,FALSE)="","",VLOOKUP(A1399,[10]PRIORIZADOS!$A:$E,5,FALSE)),"")</f>
        <v>EPBM</v>
      </c>
      <c r="F1399" s="11" t="str">
        <f>IFERROR(IF(VLOOKUP(A1399,[10]PRIORIZADOS!$A:$F,6,FALSE)="","",VLOOKUP(A1399,[10]PRIORIZADOS!$A:$F,6,FALSE)),"")</f>
        <v>COLEGIO_PARROQUIAL_CONFRATERNIDAD_DE_LA_DOCTRINA_CRISTIANA</v>
      </c>
      <c r="G1399" s="11" t="str">
        <f>IFERROR(IF(VLOOKUP(A1399,[10]PRIORIZADOS!$A:$G,7,FALSE)="","",VLOOKUP(A1399,[10]PRIORIZADOS!$A:$G,7,FALSE)),"")</f>
        <v>COLEGIO PARROQUIAL CONFRATERNIDAD DE LA DOCTRINA CRISTIANA</v>
      </c>
      <c r="H1399" s="11" t="str">
        <f>IFERROR(IF(VLOOKUP(A1399,[10]PRIORIZADOS!$A:$H,8,FALSE)="","",VLOOKUP(A1399,[10]PRIORIZADOS!$A:$H,8,FALSE)),"")</f>
        <v>Autoevaluación Institucional y Pruebas SABER 11</v>
      </c>
      <c r="I1399" s="11" t="str">
        <f>IFERROR(IF(VLOOKUP(A1399,[10]PRIORIZADOS!$A:$I,9,FALSE)="","",VLOOKUP(A1399,[10]PRIORIZADOS!$A:$I,9,FALSE)),"")</f>
        <v>SEGUIMIENTO_Y_SUPERVISIÓN.</v>
      </c>
      <c r="J1399" s="11" t="str">
        <f>IFERROR(IF(VLOOKUP(A1399,[10]PRIORIZADOS!$A:$J,10,FALSE)="","",VLOOKUP(A1399,[10]PRIORIZADOS!$A:$J,10,FALSE)),"")</f>
        <v>Realizar visitas para verificar la información registrada sobre la autoevaluación institucional en el aplicativo EVI, a los establecimientos de educación formal no oficial.</v>
      </c>
      <c r="K1399" s="11" t="str">
        <f>IFERROR(IF(VLOOKUP(A1399,[10]PRIORIZADOS!$A:$K,11,FALSE)="","",VLOOKUP(A1399,[10]PRIORIZADOS!$A:$K,11,FALSE)),"")</f>
        <v>ALBERTO ESCARRAGA PEÑUELA</v>
      </c>
      <c r="L1399" s="11" t="str">
        <f>IFERROR(IF(VLOOKUP(A1399,[10]PRIORIZADOS!$A:$L,12,FALSE)="","",VLOOKUP(A1399,[10]PRIORIZADOS!$A:$L,12,FALSE)),"")</f>
        <v>CRISTIAN CAMILO LÓPEZ VELANDIA</v>
      </c>
      <c r="M1399" s="71">
        <f>IFERROR(IF(VLOOKUP(A1399,[10]PRIORIZADOS!$A:$M,13,FALSE)="","",VLOOKUP(A1399,[10]PRIORIZADOS!$A:$M,13,FALSE)),"")</f>
        <v>45743</v>
      </c>
      <c r="N1399" s="71">
        <f>IFERROR(IF(VLOOKUP(A1399,[10]PRIORIZADOS!$A:$N,14,FALSE)="","",VLOOKUP(A1399,[10]PRIORIZADOS!$A:$N,14,FALSE)),"")</f>
        <v>45743</v>
      </c>
      <c r="O1399" s="71">
        <f>IFERROR(IF(VLOOKUP(A1399,[10]PRIORIZADOS!$A:$O,15,FALSE)="","",VLOOKUP(A1399,[10]PRIORIZADOS!$A:$O,15,FALSE)),"")</f>
        <v>45743</v>
      </c>
      <c r="P1399" s="11" t="str">
        <f>IFERROR(IF(VLOOKUP(A1399,[10]PRIORIZADOS!$A:$P,16,FALSE)="","",VLOOKUP(A1399,[10]PRIORIZADOS!$A:$P,16,FALSE)),"")</f>
        <v>Visitas de evaluación con fines de mejoramiento</v>
      </c>
      <c r="Q1399" s="107" t="s">
        <v>338</v>
      </c>
      <c r="R1399" s="11" t="str">
        <f>IFERROR(IF(VLOOKUP(A1399,[10]PRIORIZADOS!$A:$R,18,FALSE)="","",VLOOKUP(A1399,[10]PRIORIZADOS!$A:$R,18,FALSE)),"")</f>
        <v>Se encontró que la institución no cuenta con un sistema de gestión documental que facilite el acceso a la información de los procesos académicos y administrativo</v>
      </c>
      <c r="S1399" s="11" t="str">
        <f>IFERROR(IF(VLOOKUP(A1399,[10]PRIORIZADOS!$A:$S,19,FALSE)="","",VLOOKUP(A1399,[10]PRIORIZADOS!$A:$S,19,FALSE)),"")</f>
        <v>Elaborar un plan de mejoramiento y comunicarlo a ELIV el 12 de mayo de 2025</v>
      </c>
      <c r="T1399" s="70" t="str">
        <f>IFERROR(IF(VLOOKUP(A1399,[10]PRIORIZADOS!$A:$T,20,FALSE)="","",VLOOKUP(A1399,[10]PRIORIZADOS!$A:$T,20,FALSE)),"")</f>
        <v>Si</v>
      </c>
      <c r="U1399" s="11" t="str">
        <f>IFERROR(IF(VLOOKUP(A1399,[10]PRIORIZADOS!$A:$U,21,FALSE)="","",VLOOKUP(A1399,[10]PRIORIZADOS!$A:$U,21,FALSE)),"")</f>
        <v>Revisión del plan de mejoramiento el 12 de mayo de 2025.</v>
      </c>
    </row>
    <row r="1400" spans="1:21" s="1" customFormat="1" ht="60">
      <c r="A1400" s="69">
        <f>IF([10]PRIORIZADOS!A14="","",[10]PRIORIZADOS!A14)</f>
        <v>1342</v>
      </c>
      <c r="B1400" s="70">
        <f>IFERROR(IF(VLOOKUP(A1400,[10]PRIORIZADOS!$A:$B,2,FALSE)="","",VLOOKUP(A1400,[10]PRIORIZADOS!$A:$B,2,FALSE)),"")</f>
        <v>2</v>
      </c>
      <c r="C1400" s="11" t="str">
        <f>IFERROR(IF(VLOOKUP(A1400,[10]PRIORIZADOS!$A:$C,3,FALSE)="","",VLOOKUP(A1400,[10]PRIORIZADOS!$A:$C,3,FALSE)),"")</f>
        <v>PUENTE ARANDA</v>
      </c>
      <c r="D1400" s="11" t="str">
        <f>IFERROR(IF(VLOOKUP(A1400,[10]PRIORIZADOS!$A:$D,4,FALSE)="","",VLOOKUP(A1400,[10]PRIORIZADOS!$A:$D,4,FALSE)),"")</f>
        <v>PRIVADO</v>
      </c>
      <c r="E1400" s="11" t="str">
        <f>IFERROR(IF(VLOOKUP(A1400,[10]PRIORIZADOS!$A:$E,5,FALSE)="","",VLOOKUP(A1400,[10]PRIORIZADOS!$A:$E,5,FALSE)),"")</f>
        <v>EPBM</v>
      </c>
      <c r="F1400" s="11" t="str">
        <f>IFERROR(IF(VLOOKUP(A1400,[10]PRIORIZADOS!$A:$F,6,FALSE)="","",VLOOKUP(A1400,[10]PRIORIZADOS!$A:$F,6,FALSE)),"")</f>
        <v>COLEGIO_PARROQUIAL_CONFRATERNIDAD_DE_LA_DOCTRINA_CRISTIANA</v>
      </c>
      <c r="G1400" s="11" t="str">
        <f>IFERROR(IF(VLOOKUP(A1400,[10]PRIORIZADOS!$A:$G,7,FALSE)="","",VLOOKUP(A1400,[10]PRIORIZADOS!$A:$G,7,FALSE)),"")</f>
        <v>COLEGIO PARROQUIAL CONFRATERNIDAD DE LA DOCTRINA CRISTIANA</v>
      </c>
      <c r="H1400" s="11" t="str">
        <f>IFERROR(IF(VLOOKUP(A1400,[10]PRIORIZADOS!$A:$H,8,FALSE)="","",VLOOKUP(A1400,[10]PRIORIZADOS!$A:$H,8,FALSE)),"")</f>
        <v>Autoevaluación Institucional y Pruebas SABER 11</v>
      </c>
      <c r="I1400" s="11" t="str">
        <f>IFERROR(IF(VLOOKUP(A1400,[10]PRIORIZADOS!$A:$I,9,FALSE)="","",VLOOKUP(A1400,[10]PRIORIZADOS!$A:$I,9,FALSE)),"")</f>
        <v>SEGUIMIENTO_Y_SUPERVISIÓN.</v>
      </c>
      <c r="J1400" s="11" t="str">
        <f>IFERROR(IF(VLOOKUP(A1400,[10]PRIORIZADOS!$A:$J,10,FALSE)="","",VLOOKUP(A1400,[10]PRIORIZADOS!$A:$J,10,FALSE)),"")</f>
        <v>Proponer estrategias en la formulación, verificar su elaboración y realizar seguimiento semestral al desarrollo de  las acciones establecidas en los planes de mejoramiento por pruebas SABER 11 de los establecimientos de educación formal.</v>
      </c>
      <c r="K1400" s="11" t="str">
        <f>IFERROR(IF(VLOOKUP(A1400,[10]PRIORIZADOS!$A:$K,11,FALSE)="","",VLOOKUP(A1400,[10]PRIORIZADOS!$A:$K,11,FALSE)),"")</f>
        <v>ALBERTO ESCARRAGA PEÑUELA</v>
      </c>
      <c r="L1400" s="11" t="str">
        <f>IFERROR(IF(VLOOKUP(A1400,[10]PRIORIZADOS!$A:$L,12,FALSE)="","",VLOOKUP(A1400,[10]PRIORIZADOS!$A:$L,12,FALSE)),"")</f>
        <v>CRISTIAN CAMILO LÓPEZ VELANDIA</v>
      </c>
      <c r="M1400" s="71">
        <f>IFERROR(IF(VLOOKUP(A1400,[10]PRIORIZADOS!$A:$M,13,FALSE)="","",VLOOKUP(A1400,[10]PRIORIZADOS!$A:$M,13,FALSE)),"")</f>
        <v>45743</v>
      </c>
      <c r="N1400" s="71">
        <f>IFERROR(IF(VLOOKUP(A1400,[10]PRIORIZADOS!$A:$N,14,FALSE)="","",VLOOKUP(A1400,[10]PRIORIZADOS!$A:$N,14,FALSE)),"")</f>
        <v>45743</v>
      </c>
      <c r="O1400" s="71">
        <f>IFERROR(IF(VLOOKUP(A1400,[10]PRIORIZADOS!$A:$O,15,FALSE)="","",VLOOKUP(A1400,[10]PRIORIZADOS!$A:$O,15,FALSE)),"")</f>
        <v>45743</v>
      </c>
      <c r="P1400" s="11" t="str">
        <f>IFERROR(IF(VLOOKUP(A1400,[10]PRIORIZADOS!$A:$P,16,FALSE)="","",VLOOKUP(A1400,[10]PRIORIZADOS!$A:$P,16,FALSE)),"")</f>
        <v>Visitas de evaluación con fines de mejoramiento</v>
      </c>
      <c r="Q1400" s="107" t="s">
        <v>338</v>
      </c>
      <c r="R1400" s="11" t="str">
        <f>IFERROR(IF(VLOOKUP(A1400,[10]PRIORIZADOS!$A:$R,18,FALSE)="","",VLOOKUP(A1400,[10]PRIORIZADOS!$A:$R,18,FALSE)),"")</f>
        <v>Se encontró que la institución no diseño un plan de mejoramiento para las pruebas saber 11 año 2025</v>
      </c>
      <c r="S1400" s="11" t="str">
        <f>IFERROR(IF(VLOOKUP(A1400,[10]PRIORIZADOS!$A:$S,19,FALSE)="","",VLOOKUP(A1400,[10]PRIORIZADOS!$A:$S,19,FALSE)),"")</f>
        <v>Elaborar un plan de mejoramiento y comunicarlo a ELIV el 12 de mayo de 2025</v>
      </c>
      <c r="T1400" s="70" t="str">
        <f>IFERROR(IF(VLOOKUP(A1400,[10]PRIORIZADOS!$A:$T,20,FALSE)="","",VLOOKUP(A1400,[10]PRIORIZADOS!$A:$T,20,FALSE)),"")</f>
        <v>Si</v>
      </c>
      <c r="U1400" s="11" t="str">
        <f>IFERROR(IF(VLOOKUP(A1400,[10]PRIORIZADOS!$A:$U,21,FALSE)="","",VLOOKUP(A1400,[10]PRIORIZADOS!$A:$U,21,FALSE)),"")</f>
        <v>Revisión del plan de mejoramiento el 12 de mayo de 2025.</v>
      </c>
    </row>
    <row r="1401" spans="1:21" s="1" customFormat="1" ht="72">
      <c r="A1401" s="69">
        <f>IF([10]PRIORIZADOS!A15="","",[10]PRIORIZADOS!A15)</f>
        <v>1343</v>
      </c>
      <c r="B1401" s="70">
        <f>IFERROR(IF(VLOOKUP(A1401,[10]PRIORIZADOS!$A:$B,2,FALSE)="","",VLOOKUP(A1401,[10]PRIORIZADOS!$A:$B,2,FALSE)),"")</f>
        <v>2</v>
      </c>
      <c r="C1401" s="11" t="str">
        <f>IFERROR(IF(VLOOKUP(A1401,[10]PRIORIZADOS!$A:$C,3,FALSE)="","",VLOOKUP(A1401,[10]PRIORIZADOS!$A:$C,3,FALSE)),"")</f>
        <v>PUENTE ARANDA</v>
      </c>
      <c r="D1401" s="11" t="str">
        <f>IFERROR(IF(VLOOKUP(A1401,[10]PRIORIZADOS!$A:$D,4,FALSE)="","",VLOOKUP(A1401,[10]PRIORIZADOS!$A:$D,4,FALSE)),"")</f>
        <v>PRIVADO</v>
      </c>
      <c r="E1401" s="11" t="str">
        <f>IFERROR(IF(VLOOKUP(A1401,[10]PRIORIZADOS!$A:$E,5,FALSE)="","",VLOOKUP(A1401,[10]PRIORIZADOS!$A:$E,5,FALSE)),"")</f>
        <v>EPBM</v>
      </c>
      <c r="F1401" s="11" t="str">
        <f>IFERROR(IF(VLOOKUP(A1401,[10]PRIORIZADOS!$A:$F,6,FALSE)="","",VLOOKUP(A1401,[10]PRIORIZADOS!$A:$F,6,FALSE)),"")</f>
        <v>COLEGIO_PARROQUIAL_CONFRATERNIDAD_DE_LA_DOCTRINA_CRISTIANA</v>
      </c>
      <c r="G1401" s="11" t="str">
        <f>IFERROR(IF(VLOOKUP(A1401,[10]PRIORIZADOS!$A:$G,7,FALSE)="","",VLOOKUP(A1401,[10]PRIORIZADOS!$A:$G,7,FALSE)),"")</f>
        <v>COLEGIO PARROQUIAL CONFRATERNIDAD DE LA DOCTRINA CRISTIANA</v>
      </c>
      <c r="H1401" s="11" t="str">
        <f>IFERROR(IF(VLOOKUP(A1401,[10]PRIORIZADOS!$A:$H,8,FALSE)="","",VLOOKUP(A1401,[10]PRIORIZADOS!$A:$H,8,FALSE)),"")</f>
        <v>Autoevaluación Institucional y Pruebas SABER 11</v>
      </c>
      <c r="I1401" s="11" t="str">
        <f>IFERROR(IF(VLOOKUP(A1401,[10]PRIORIZADOS!$A:$I,9,FALSE)="","",VLOOKUP(A1401,[10]PRIORIZADOS!$A:$I,9,FALSE)),"")</f>
        <v>SEGUIMIENTO_Y_SUPERVISIÓN.</v>
      </c>
      <c r="J1401" s="11" t="str">
        <f>IFERROR(IF(VLOOKUP(A1401,[10]PRIORIZADOS!$A:$J,10,FALSE)="","",VLOOKUP(A1401,[10]PRIORIZADOS!$A:$J,10,FALSE)),"")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01" s="11" t="str">
        <f>IFERROR(IF(VLOOKUP(A1401,[10]PRIORIZADOS!$A:$K,11,FALSE)="","",VLOOKUP(A1401,[10]PRIORIZADOS!$A:$K,11,FALSE)),"")</f>
        <v>ALBERTO ESCARRAGA PEÑUELA</v>
      </c>
      <c r="L1401" s="11" t="str">
        <f>IFERROR(IF(VLOOKUP(A1401,[10]PRIORIZADOS!$A:$L,12,FALSE)="","",VLOOKUP(A1401,[10]PRIORIZADOS!$A:$L,12,FALSE)),"")</f>
        <v>CRISTIAN CAMILO LÓPEZ VELANDIA</v>
      </c>
      <c r="M1401" s="71">
        <f>IFERROR(IF(VLOOKUP(A1401,[10]PRIORIZADOS!$A:$M,13,FALSE)="","",VLOOKUP(A1401,[10]PRIORIZADOS!$A:$M,13,FALSE)),"")</f>
        <v>45743</v>
      </c>
      <c r="N1401" s="71">
        <f>IFERROR(IF(VLOOKUP(A1401,[10]PRIORIZADOS!$A:$N,14,FALSE)="","",VLOOKUP(A1401,[10]PRIORIZADOS!$A:$N,14,FALSE)),"")</f>
        <v>45743</v>
      </c>
      <c r="O1401" s="71">
        <f>IFERROR(IF(VLOOKUP(A1401,[10]PRIORIZADOS!$A:$O,15,FALSE)="","",VLOOKUP(A1401,[10]PRIORIZADOS!$A:$O,15,FALSE)),"")</f>
        <v>45743</v>
      </c>
      <c r="P1401" s="11" t="str">
        <f>IFERROR(IF(VLOOKUP(A1401,[10]PRIORIZADOS!$A:$P,16,FALSE)="","",VLOOKUP(A1401,[10]PRIORIZADOS!$A:$P,16,FALSE)),"")</f>
        <v>Visitas de evaluación con fines de mejoramiento</v>
      </c>
      <c r="Q1401" s="107" t="s">
        <v>338</v>
      </c>
      <c r="R1401" s="11" t="str">
        <f>IFERROR(IF(VLOOKUP(A1401,[10]PRIORIZADOS!$A:$R,18,FALSE)="","",VLOOKUP(A1401,[10]PRIORIZADOS!$A:$R,18,FALSE)),"")</f>
        <v xml:space="preserve">Se encontró que la institución no diseño los planes individuales de ajustes razonables para los estudiantes de discapacidad </v>
      </c>
      <c r="S1401" s="11" t="str">
        <f>IFERROR(IF(VLOOKUP(A1401,[10]PRIORIZADOS!$A:$S,19,FALSE)="","",VLOOKUP(A1401,[10]PRIORIZADOS!$A:$S,19,FALSE)),"")</f>
        <v>Elaborar un plan de mejoramiento y comunicarlo a ELIV el 12 de mayo de 2025</v>
      </c>
      <c r="T1401" s="70" t="str">
        <f>IFERROR(IF(VLOOKUP(A1401,[10]PRIORIZADOS!$A:$T,20,FALSE)="","",VLOOKUP(A1401,[10]PRIORIZADOS!$A:$T,20,FALSE)),"")</f>
        <v>Si</v>
      </c>
      <c r="U1401" s="11" t="str">
        <f>IFERROR(IF(VLOOKUP(A1401,[10]PRIORIZADOS!$A:$U,21,FALSE)="","",VLOOKUP(A1401,[10]PRIORIZADOS!$A:$U,21,FALSE)),"")</f>
        <v>Revisión del plan de mejoramiento el 12 de mayo de 2025.</v>
      </c>
    </row>
    <row r="1402" spans="1:21" s="1" customFormat="1" ht="48">
      <c r="A1402" s="69">
        <f>IF([10]PRIORIZADOS!A16="","",[10]PRIORIZADOS!A16)</f>
        <v>1344</v>
      </c>
      <c r="B1402" s="70">
        <f>IFERROR(IF(VLOOKUP(A1402,[10]PRIORIZADOS!$A:$B,2,FALSE)="","",VLOOKUP(A1402,[10]PRIORIZADOS!$A:$B,2,FALSE)),"")</f>
        <v>2</v>
      </c>
      <c r="C1402" s="11" t="str">
        <f>IFERROR(IF(VLOOKUP(A1402,[10]PRIORIZADOS!$A:$C,3,FALSE)="","",VLOOKUP(A1402,[10]PRIORIZADOS!$A:$C,3,FALSE)),"")</f>
        <v>PUENTE ARANDA</v>
      </c>
      <c r="D1402" s="11" t="str">
        <f>IFERROR(IF(VLOOKUP(A1402,[10]PRIORIZADOS!$A:$D,4,FALSE)="","",VLOOKUP(A1402,[10]PRIORIZADOS!$A:$D,4,FALSE)),"")</f>
        <v>PRIVADO</v>
      </c>
      <c r="E1402" s="11" t="str">
        <f>IFERROR(IF(VLOOKUP(A1402,[10]PRIORIZADOS!$A:$E,5,FALSE)="","",VLOOKUP(A1402,[10]PRIORIZADOS!$A:$E,5,FALSE)),"")</f>
        <v>EPBM</v>
      </c>
      <c r="F1402" s="11" t="str">
        <f>IFERROR(IF(VLOOKUP(A1402,[10]PRIORIZADOS!$A:$F,6,FALSE)="","",VLOOKUP(A1402,[10]PRIORIZADOS!$A:$F,6,FALSE)),"")</f>
        <v>COLEGIO_PARROQUIAL_CONFRATERNIDAD_DE_LA_DOCTRINA_CRISTIANA</v>
      </c>
      <c r="G1402" s="11" t="str">
        <f>IFERROR(IF(VLOOKUP(A1402,[10]PRIORIZADOS!$A:$G,7,FALSE)="","",VLOOKUP(A1402,[10]PRIORIZADOS!$A:$G,7,FALSE)),"")</f>
        <v>COLEGIO PARROQUIAL CONFRATERNIDAD DE LA DOCTRINA CRISTIANA</v>
      </c>
      <c r="H1402" s="11" t="str">
        <f>IFERROR(IF(VLOOKUP(A1402,[10]PRIORIZADOS!$A:$H,8,FALSE)="","",VLOOKUP(A1402,[10]PRIORIZADOS!$A:$H,8,FALSE)),"")</f>
        <v>Autoevaluación Institucional y Pruebas SABER 11</v>
      </c>
      <c r="I1402" s="11" t="str">
        <f>IFERROR(IF(VLOOKUP(A1402,[10]PRIORIZADOS!$A:$I,9,FALSE)="","",VLOOKUP(A1402,[10]PRIORIZADOS!$A:$I,9,FALSE)),"")</f>
        <v>EVALUACIÓN_CON_FINES_DE_MEJORAMIENTO.</v>
      </c>
      <c r="J1402" s="11" t="str">
        <f>IFERROR(IF(VLOOKUP(A1402,[10]PRIORIZADOS!$A:$J,10,FALSE)="","",VLOOKUP(A1402,[10]PRIORIZADOS!$A:$J,10,FALSE)),"")</f>
        <v>Verificar el funcionamiento del Gobierno Escolar e instancias de participación con base en la información sobre conformación reportada por la institución educativa.</v>
      </c>
      <c r="K1402" s="11" t="str">
        <f>IFERROR(IF(VLOOKUP(A1402,[10]PRIORIZADOS!$A:$K,11,FALSE)="","",VLOOKUP(A1402,[10]PRIORIZADOS!$A:$K,11,FALSE)),"")</f>
        <v>ALBERTO ESCARRAGA PEÑUELA</v>
      </c>
      <c r="L1402" s="11" t="str">
        <f>IFERROR(IF(VLOOKUP(A1402,[10]PRIORIZADOS!$A:$L,12,FALSE)="","",VLOOKUP(A1402,[10]PRIORIZADOS!$A:$L,12,FALSE)),"")</f>
        <v>CRISTIAN CAMILO LÓPEZ VELANDIA</v>
      </c>
      <c r="M1402" s="71">
        <f>IFERROR(IF(VLOOKUP(A1402,[10]PRIORIZADOS!$A:$M,13,FALSE)="","",VLOOKUP(A1402,[10]PRIORIZADOS!$A:$M,13,FALSE)),"")</f>
        <v>45743</v>
      </c>
      <c r="N1402" s="71">
        <f>IFERROR(IF(VLOOKUP(A1402,[10]PRIORIZADOS!$A:$N,14,FALSE)="","",VLOOKUP(A1402,[10]PRIORIZADOS!$A:$N,14,FALSE)),"")</f>
        <v>45743</v>
      </c>
      <c r="O1402" s="71">
        <f>IFERROR(IF(VLOOKUP(A1402,[10]PRIORIZADOS!$A:$O,15,FALSE)="","",VLOOKUP(A1402,[10]PRIORIZADOS!$A:$O,15,FALSE)),"")</f>
        <v>45743</v>
      </c>
      <c r="P1402" s="11" t="str">
        <f>IFERROR(IF(VLOOKUP(A1402,[10]PRIORIZADOS!$A:$P,16,FALSE)="","",VLOOKUP(A1402,[10]PRIORIZADOS!$A:$P,16,FALSE)),"")</f>
        <v>Visitas de evaluación con fines de mejoramiento</v>
      </c>
      <c r="Q1402" s="107" t="s">
        <v>338</v>
      </c>
      <c r="R1402" s="11" t="str">
        <f>IFERROR(IF(VLOOKUP(A1402,[10]PRIORIZADOS!$A:$R,18,FALSE)="","",VLOOKUP(A1402,[10]PRIORIZADOS!$A:$R,18,FALSE)),"")</f>
        <v>Se encontró que la institución no subió las actas de elección del gobierno escolar en el aplicativo SAE</v>
      </c>
      <c r="S1402" s="11" t="str">
        <f>IFERROR(IF(VLOOKUP(A1402,[10]PRIORIZADOS!$A:$S,19,FALSE)="","",VLOOKUP(A1402,[10]PRIORIZADOS!$A:$S,19,FALSE)),"")</f>
        <v>Elaborar un plan de mejoramiento y comunicarlo a ELIV el 12 de mayo de 2025</v>
      </c>
      <c r="T1402" s="70" t="str">
        <f>IFERROR(IF(VLOOKUP(A1402,[10]PRIORIZADOS!$A:$T,20,FALSE)="","",VLOOKUP(A1402,[10]PRIORIZADOS!$A:$T,20,FALSE)),"")</f>
        <v>Si</v>
      </c>
      <c r="U1402" s="11" t="str">
        <f>IFERROR(IF(VLOOKUP(A1402,[10]PRIORIZADOS!$A:$U,21,FALSE)="","",VLOOKUP(A1402,[10]PRIORIZADOS!$A:$U,21,FALSE)),"")</f>
        <v>Revisión del plan de mejoramiento el 12 de mayo de 2025.</v>
      </c>
    </row>
    <row r="1403" spans="1:21" s="1" customFormat="1" ht="48">
      <c r="A1403" s="69">
        <f>IF([10]PRIORIZADOS!A17="","",[10]PRIORIZADOS!A17)</f>
        <v>1345</v>
      </c>
      <c r="B1403" s="70">
        <f>IFERROR(IF(VLOOKUP(A1403,[10]PRIORIZADOS!$A:$B,2,FALSE)="","",VLOOKUP(A1403,[10]PRIORIZADOS!$A:$B,2,FALSE)),"")</f>
        <v>2</v>
      </c>
      <c r="C1403" s="11" t="str">
        <f>IFERROR(IF(VLOOKUP(A1403,[10]PRIORIZADOS!$A:$C,3,FALSE)="","",VLOOKUP(A1403,[10]PRIORIZADOS!$A:$C,3,FALSE)),"")</f>
        <v>PUENTE ARANDA</v>
      </c>
      <c r="D1403" s="11" t="str">
        <f>IFERROR(IF(VLOOKUP(A1403,[10]PRIORIZADOS!$A:$D,4,FALSE)="","",VLOOKUP(A1403,[10]PRIORIZADOS!$A:$D,4,FALSE)),"")</f>
        <v>PRIVADO</v>
      </c>
      <c r="E1403" s="11" t="str">
        <f>IFERROR(IF(VLOOKUP(A1403,[10]PRIORIZADOS!$A:$E,5,FALSE)="","",VLOOKUP(A1403,[10]PRIORIZADOS!$A:$E,5,FALSE)),"")</f>
        <v>EPBM</v>
      </c>
      <c r="F1403" s="11" t="str">
        <f>IFERROR(IF(VLOOKUP(A1403,[10]PRIORIZADOS!$A:$F,6,FALSE)="","",VLOOKUP(A1403,[10]PRIORIZADOS!$A:$F,6,FALSE)),"")</f>
        <v>COLEGIO_PARROQUIAL_CONFRATERNIDAD_DE_LA_DOCTRINA_CRISTIANA</v>
      </c>
      <c r="G1403" s="11" t="str">
        <f>IFERROR(IF(VLOOKUP(A1403,[10]PRIORIZADOS!$A:$G,7,FALSE)="","",VLOOKUP(A1403,[10]PRIORIZADOS!$A:$G,7,FALSE)),"")</f>
        <v>COLEGIO PARROQUIAL CONFRATERNIDAD DE LA DOCTRINA CRISTIANA</v>
      </c>
      <c r="H1403" s="11" t="str">
        <f>IFERROR(IF(VLOOKUP(A1403,[10]PRIORIZADOS!$A:$H,8,FALSE)="","",VLOOKUP(A1403,[10]PRIORIZADOS!$A:$H,8,FALSE)),"")</f>
        <v>Autoevaluación Institucional y Pruebas SABER 11</v>
      </c>
      <c r="I1403" s="11" t="str">
        <f>IFERROR(IF(VLOOKUP(A1403,[10]PRIORIZADOS!$A:$I,9,FALSE)="","",VLOOKUP(A1403,[10]PRIORIZADOS!$A:$I,9,FALSE)),"")</f>
        <v>EVALUACIÓN_CON_FINES_DE_MEJORAMIENTO.</v>
      </c>
      <c r="J1403" s="11" t="str">
        <f>IFERROR(IF(VLOOKUP(A1403,[10]PRIORIZADOS!$A:$J,10,FALSE)="","",VLOOKUP(A1403,[10]PRIORIZADOS!$A:$J,10,FALSE)),"")</f>
        <v>Verificar las condiciones en cuanto a: la estructura administrativa, condiciones de la planta física y medios educativos adecuados.</v>
      </c>
      <c r="K1403" s="11" t="str">
        <f>IFERROR(IF(VLOOKUP(A1403,[10]PRIORIZADOS!$A:$K,11,FALSE)="","",VLOOKUP(A1403,[10]PRIORIZADOS!$A:$K,11,FALSE)),"")</f>
        <v>ALBERTO ESCARRAGA PEÑUELA</v>
      </c>
      <c r="L1403" s="11" t="str">
        <f>IFERROR(IF(VLOOKUP(A1403,[10]PRIORIZADOS!$A:$L,12,FALSE)="","",VLOOKUP(A1403,[10]PRIORIZADOS!$A:$L,12,FALSE)),"")</f>
        <v>CRISTIAN CAMILO LÓPEZ VELANDIA</v>
      </c>
      <c r="M1403" s="71">
        <f>IFERROR(IF(VLOOKUP(A1403,[10]PRIORIZADOS!$A:$M,13,FALSE)="","",VLOOKUP(A1403,[10]PRIORIZADOS!$A:$M,13,FALSE)),"")</f>
        <v>45743</v>
      </c>
      <c r="N1403" s="71">
        <f>IFERROR(IF(VLOOKUP(A1403,[10]PRIORIZADOS!$A:$N,14,FALSE)="","",VLOOKUP(A1403,[10]PRIORIZADOS!$A:$N,14,FALSE)),"")</f>
        <v>45743</v>
      </c>
      <c r="O1403" s="71">
        <f>IFERROR(IF(VLOOKUP(A1403,[10]PRIORIZADOS!$A:$O,15,FALSE)="","",VLOOKUP(A1403,[10]PRIORIZADOS!$A:$O,15,FALSE)),"")</f>
        <v>45743</v>
      </c>
      <c r="P1403" s="11" t="str">
        <f>IFERROR(IF(VLOOKUP(A1403,[10]PRIORIZADOS!$A:$P,16,FALSE)="","",VLOOKUP(A1403,[10]PRIORIZADOS!$A:$P,16,FALSE)),"")</f>
        <v>Visitas de evaluación con fines de mejoramiento</v>
      </c>
      <c r="Q1403" s="107" t="s">
        <v>338</v>
      </c>
      <c r="R1403" s="11" t="str">
        <f>IFERROR(IF(VLOOKUP(A1403,[10]PRIORIZADOS!$A:$R,18,FALSE)="","",VLOOKUP(A1403,[10]PRIORIZADOS!$A:$R,18,FALSE)),"")</f>
        <v>Se encontró que la institución cuenta con estructura administrativa, condiciones de la planta física y medios educativos adecuados, con debilidades a mejorar.</v>
      </c>
      <c r="S1403" s="11" t="str">
        <f>IFERROR(IF(VLOOKUP(A1403,[10]PRIORIZADOS!$A:$S,19,FALSE)="","",VLOOKUP(A1403,[10]PRIORIZADOS!$A:$S,19,FALSE)),"")</f>
        <v>Elaborar un plan de mejoramiento y comunicarlo a ELIV el 12 de mayo de 2025</v>
      </c>
      <c r="T1403" s="70" t="str">
        <f>IFERROR(IF(VLOOKUP(A1403,[10]PRIORIZADOS!$A:$T,20,FALSE)="","",VLOOKUP(A1403,[10]PRIORIZADOS!$A:$T,20,FALSE)),"")</f>
        <v>Si</v>
      </c>
      <c r="U1403" s="11" t="str">
        <f>IFERROR(IF(VLOOKUP(A1403,[10]PRIORIZADOS!$A:$U,21,FALSE)="","",VLOOKUP(A1403,[10]PRIORIZADOS!$A:$U,21,FALSE)),"")</f>
        <v>Revisión del plan de mejoramiento el 12 de mayo de 2025.</v>
      </c>
    </row>
    <row r="1404" spans="1:21" s="1" customFormat="1" ht="107.25">
      <c r="A1404" s="69">
        <f>IF([10]PRIORIZADOS!A18="","",[10]PRIORIZADOS!A18)</f>
        <v>1346</v>
      </c>
      <c r="B1404" s="70">
        <f>IFERROR(IF(VLOOKUP(A1404,[10]PRIORIZADOS!$A:$B,2,FALSE)="","",VLOOKUP(A1404,[10]PRIORIZADOS!$A:$B,2,FALSE)),"")</f>
        <v>3</v>
      </c>
      <c r="C1404" s="11" t="str">
        <f>IFERROR(IF(VLOOKUP(A1404,[10]PRIORIZADOS!$A:$C,3,FALSE)="","",VLOOKUP(A1404,[10]PRIORIZADOS!$A:$C,3,FALSE)),"")</f>
        <v>PUENTE ARANDA</v>
      </c>
      <c r="D1404" s="11" t="str">
        <f>IFERROR(IF(VLOOKUP(A1404,[10]PRIORIZADOS!$A:$D,4,FALSE)="","",VLOOKUP(A1404,[10]PRIORIZADOS!$A:$D,4,FALSE)),"")</f>
        <v>PRIVADO</v>
      </c>
      <c r="E1404" s="11" t="str">
        <f>IFERROR(IF(VLOOKUP(A1404,[10]PRIORIZADOS!$A:$E,5,FALSE)="","",VLOOKUP(A1404,[10]PRIORIZADOS!$A:$E,5,FALSE)),"")</f>
        <v>EPBM</v>
      </c>
      <c r="F1404" s="11" t="str">
        <f>IFERROR(IF(VLOOKUP(A1404,[10]PRIORIZADOS!$A:$F,6,FALSE)="","",VLOOKUP(A1404,[10]PRIORIZADOS!$A:$F,6,FALSE)),"")</f>
        <v>COLEGIO_PARROQUIAL_MONSEÑOR_EMILIO_DE_BRIGARD</v>
      </c>
      <c r="G1404" s="11" t="str">
        <f>IFERROR(IF(VLOOKUP(A1404,[10]PRIORIZADOS!$A:$G,7,FALSE)="","",VLOOKUP(A1404,[10]PRIORIZADOS!$A:$G,7,FALSE)),"")</f>
        <v>COLEGIO PARROQUIAL MONSEÑOR EMILIO DE BRIGARD</v>
      </c>
      <c r="H1404" s="11" t="str">
        <f>IFERROR(IF(VLOOKUP(A1404,[10]PRIORIZADOS!$A:$H,8,FALSE)="","",VLOOKUP(A1404,[10]PRIORIZADOS!$A:$H,8,FALSE)),"")</f>
        <v>Autoevaluación Institucional y Pruebas SABER 11</v>
      </c>
      <c r="I1404" s="11" t="str">
        <f>IFERROR(IF(VLOOKUP(A1404,[10]PRIORIZADOS!$A:$I,9,FALSE)="","",VLOOKUP(A1404,[10]PRIORIZADOS!$A:$I,9,FALSE)),"")</f>
        <v>SEGUIMIENTO_Y_SUPERVISIÓN.</v>
      </c>
      <c r="J1404" s="11" t="str">
        <f>IFERROR(IF(VLOOKUP(A1404,[10]PRIORIZADOS!$A:$J,10,FALSE)="","",VLOOKUP(A1404,[10]PRIORIZADOS!$A:$J,10,FALSE)),"")</f>
        <v>Proponer estrategias en la formulación, verificar su elaboración y realizar seguimiento semestral al desarrollo de  las acciones establecidas en los planes de mejoramiento por pruebas SABER 11 de los establecimientos de educación formal.</v>
      </c>
      <c r="K1404" s="11" t="str">
        <f>IFERROR(IF(VLOOKUP(A1404,[10]PRIORIZADOS!$A:$K,11,FALSE)="","",VLOOKUP(A1404,[10]PRIORIZADOS!$A:$K,11,FALSE)),"")</f>
        <v>IGNACIO ABDÓN MONTENEGRO ALDANA</v>
      </c>
      <c r="L1404" s="11" t="str">
        <f>IFERROR(IF(VLOOKUP(A1404,[10]PRIORIZADOS!$A:$L,12,FALSE)="","",VLOOKUP(A1404,[10]PRIORIZADOS!$A:$L,12,FALSE)),"")</f>
        <v>ALBERTO ESCARRAGA PEÑUELA</v>
      </c>
      <c r="M1404" s="71">
        <f>IFERROR(IF(VLOOKUP(A1404,[10]PRIORIZADOS!$A:$M,13,FALSE)="","",VLOOKUP(A1404,[10]PRIORIZADOS!$A:$M,13,FALSE)),"")</f>
        <v>45756</v>
      </c>
      <c r="N1404" s="71">
        <f>IFERROR(IF(VLOOKUP(A1404,[10]PRIORIZADOS!$A:$N,14,FALSE)="","",VLOOKUP(A1404,[10]PRIORIZADOS!$A:$N,14,FALSE)),"")</f>
        <v>45756</v>
      </c>
      <c r="O1404" s="71">
        <f>IFERROR(IF(VLOOKUP(A1404,[10]PRIORIZADOS!$A:$O,15,FALSE)="","",VLOOKUP(A1404,[10]PRIORIZADOS!$A:$O,15,FALSE)),"")</f>
        <v>45757</v>
      </c>
      <c r="P1404" s="11" t="str">
        <f>IFERROR(IF(VLOOKUP(A1404,[10]PRIORIZADOS!$A:$P,16,FALSE)="","",VLOOKUP(A1404,[10]PRIORIZADOS!$A:$P,16,FALSE)),"")</f>
        <v>Visitas de evaluación con fines de mejoramiento</v>
      </c>
      <c r="Q1404" s="107" t="s">
        <v>339</v>
      </c>
      <c r="R1404" s="11" t="str">
        <f>IFERROR(IF(VLOOKUP(A1404,[10]PRIORIZADOS!$A:$R,18,FALSE)="","",VLOOKUP(A1404,[10]PRIORIZADOS!$A:$R,18,FALSE)),"")</f>
        <v>El Colegio ha realizado análisis de los resultados de las pruebas Saber, tiene un operador externo para instruir a los estudiantes y ha realizado algunas acciones de mejoramiento, entre ellas, cursos a los docentes sobre manejo de pruebas. Los estudiantes realizan simulaciones de pruebas por parte de una entidad externa a la Institución</v>
      </c>
      <c r="S1404" s="11" t="str">
        <f>IFERROR(IF(VLOOKUP(A1404,[10]PRIORIZADOS!$A:$S,19,FALSE)="","",VLOOKUP(A1404,[10]PRIORIZADOS!$A:$S,19,FALSE)),"")</f>
        <v xml:space="preserve">Colegio: Analizar los resultados de las pruebas saber por área y definir estrategias de mejoramiento. Priorizar las pruebas internas frente a las externas. Proponer a los estudiantes de grado 10° presentarse a las pruebas Presaber. </v>
      </c>
      <c r="T1404" s="70" t="str">
        <f>IFERROR(IF(VLOOKUP(A1404,[10]PRIORIZADOS!$A:$T,20,FALSE)="","",VLOOKUP(A1404,[10]PRIORIZADOS!$A:$T,20,FALSE)),"")</f>
        <v>Si</v>
      </c>
      <c r="U1404" s="11" t="str">
        <f>IFERROR(IF(VLOOKUP(A1404,[10]PRIORIZADOS!$A:$U,21,FALSE)="","",VLOOKUP(A1404,[10]PRIORIZADOS!$A:$U,21,FALSE)),"")</f>
        <v>El 2 de mayo, el Colegio presentó el plan de mejoramiento. Se efectuará seguimiento semestral a los avances correspondientes.</v>
      </c>
    </row>
    <row r="1405" spans="1:21" s="1" customFormat="1" ht="84">
      <c r="A1405" s="69">
        <f>IF([10]PRIORIZADOS!A19="","",[10]PRIORIZADOS!A19)</f>
        <v>1347</v>
      </c>
      <c r="B1405" s="70">
        <f>IFERROR(IF(VLOOKUP(A1405,[10]PRIORIZADOS!$A:$B,2,FALSE)="","",VLOOKUP(A1405,[10]PRIORIZADOS!$A:$B,2,FALSE)),"")</f>
        <v>3</v>
      </c>
      <c r="C1405" s="11" t="str">
        <f>IFERROR(IF(VLOOKUP(A1405,[10]PRIORIZADOS!$A:$C,3,FALSE)="","",VLOOKUP(A1405,[10]PRIORIZADOS!$A:$C,3,FALSE)),"")</f>
        <v>PUENTE ARANDA</v>
      </c>
      <c r="D1405" s="11" t="str">
        <f>IFERROR(IF(VLOOKUP(A1405,[10]PRIORIZADOS!$A:$D,4,FALSE)="","",VLOOKUP(A1405,[10]PRIORIZADOS!$A:$D,4,FALSE)),"")</f>
        <v>PRIVADO</v>
      </c>
      <c r="E1405" s="11" t="str">
        <f>IFERROR(IF(VLOOKUP(A1405,[10]PRIORIZADOS!$A:$E,5,FALSE)="","",VLOOKUP(A1405,[10]PRIORIZADOS!$A:$E,5,FALSE)),"")</f>
        <v>EPBM</v>
      </c>
      <c r="F1405" s="11" t="str">
        <f>IFERROR(IF(VLOOKUP(A1405,[10]PRIORIZADOS!$A:$F,6,FALSE)="","",VLOOKUP(A1405,[10]PRIORIZADOS!$A:$F,6,FALSE)),"")</f>
        <v>COLEGIO_PARROQUIAL_MONSEÑOR_EMILIO_DE_BRIGARD</v>
      </c>
      <c r="G1405" s="11" t="str">
        <f>IFERROR(IF(VLOOKUP(A1405,[10]PRIORIZADOS!$A:$G,7,FALSE)="","",VLOOKUP(A1405,[10]PRIORIZADOS!$A:$G,7,FALSE)),"")</f>
        <v>COLEGIO PARROQUIAL MONSEÑOR EMILIO DE BRIGARD</v>
      </c>
      <c r="H1405" s="11" t="str">
        <f>IFERROR(IF(VLOOKUP(A1405,[10]PRIORIZADOS!$A:$H,8,FALSE)="","",VLOOKUP(A1405,[10]PRIORIZADOS!$A:$H,8,FALSE)),"")</f>
        <v>Autoevaluación Institucional y Pruebas SABER 11</v>
      </c>
      <c r="I1405" s="11" t="str">
        <f>IFERROR(IF(VLOOKUP(A1405,[10]PRIORIZADOS!$A:$I,9,FALSE)="","",VLOOKUP(A1405,[10]PRIORIZADOS!$A:$I,9,FALSE)),"")</f>
        <v>SEGUIMIENTO_Y_SUPERVISIÓN.</v>
      </c>
      <c r="J1405" s="11" t="str">
        <f>IFERROR(IF(VLOOKUP(A1405,[10]PRIORIZADOS!$A:$J,10,FALSE)="","",VLOOKUP(A1405,[10]PRIORIZADOS!$A:$J,10,FALSE)),"")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05" s="11" t="str">
        <f>IFERROR(IF(VLOOKUP(A1405,[10]PRIORIZADOS!$A:$K,11,FALSE)="","",VLOOKUP(A1405,[10]PRIORIZADOS!$A:$K,11,FALSE)),"")</f>
        <v>IGNACIO ABDÓN MONTENEGRO ALDANA</v>
      </c>
      <c r="L1405" s="11" t="str">
        <f>IFERROR(IF(VLOOKUP(A1405,[10]PRIORIZADOS!$A:$L,12,FALSE)="","",VLOOKUP(A1405,[10]PRIORIZADOS!$A:$L,12,FALSE)),"")</f>
        <v>ALBERTO ESCARRAGA PEÑUELA</v>
      </c>
      <c r="M1405" s="71">
        <f>IFERROR(IF(VLOOKUP(A1405,[10]PRIORIZADOS!$A:$M,13,FALSE)="","",VLOOKUP(A1405,[10]PRIORIZADOS!$A:$M,13,FALSE)),"")</f>
        <v>45756</v>
      </c>
      <c r="N1405" s="71">
        <f>IFERROR(IF(VLOOKUP(A1405,[10]PRIORIZADOS!$A:$N,14,FALSE)="","",VLOOKUP(A1405,[10]PRIORIZADOS!$A:$N,14,FALSE)),"")</f>
        <v>45756</v>
      </c>
      <c r="O1405" s="71">
        <f>IFERROR(IF(VLOOKUP(A1405,[10]PRIORIZADOS!$A:$O,15,FALSE)="","",VLOOKUP(A1405,[10]PRIORIZADOS!$A:$O,15,FALSE)),"")</f>
        <v>45758</v>
      </c>
      <c r="P1405" s="11" t="str">
        <f>IFERROR(IF(VLOOKUP(A1405,[10]PRIORIZADOS!$A:$P,16,FALSE)="","",VLOOKUP(A1405,[10]PRIORIZADOS!$A:$P,16,FALSE)),"")</f>
        <v>Visitas de evaluación con fines de mejoramiento</v>
      </c>
      <c r="Q1405" s="107" t="s">
        <v>340</v>
      </c>
      <c r="R1405" s="11" t="str">
        <f>IFERROR(IF(VLOOKUP(A1405,[10]PRIORIZADOS!$A:$R,18,FALSE)="","",VLOOKUP(A1405,[10]PRIORIZADOS!$A:$R,18,FALSE)),"")</f>
        <v xml:space="preserve">El Colegio dispone de un baño en el primer piso, acondicionado para personas en condicion de discapacidad física temporal o permanente. Hay 9 estudiantes en situación de discapacidad; sin embargo, los respectivos PIAR no están actualizados.  </v>
      </c>
      <c r="S1405" s="11" t="str">
        <f>IFERROR(IF(VLOOKUP(A1405,[10]PRIORIZADOS!$A:$S,19,FALSE)="","",VLOOKUP(A1405,[10]PRIORIZADOS!$A:$S,19,FALSE)),"")</f>
        <v xml:space="preserve">Actualizar  los PIAR de los 9 estudiantes e implementar estrategias de seguimiento a su implementación. Actualizar los datos en SIMAT. </v>
      </c>
      <c r="T1405" s="70" t="str">
        <f>IFERROR(IF(VLOOKUP(A1405,[10]PRIORIZADOS!$A:$T,20,FALSE)="","",VLOOKUP(A1405,[10]PRIORIZADOS!$A:$T,20,FALSE)),"")</f>
        <v>Si</v>
      </c>
      <c r="U1405" s="11" t="str">
        <f>IFERROR(IF(VLOOKUP(A1405,[10]PRIORIZADOS!$A:$U,21,FALSE)="","",VLOOKUP(A1405,[10]PRIORIZADOS!$A:$U,21,FALSE)),"")</f>
        <v>Realizar seguimiento semestral a los avances respectivos de plan de mejoramiento entregado por el Colegio el 2 de mayo de 2025.</v>
      </c>
    </row>
    <row r="1406" spans="1:21" s="1" customFormat="1" ht="48">
      <c r="A1406" s="69">
        <f>IF([10]PRIORIZADOS!A20="","",[10]PRIORIZADOS!A20)</f>
        <v>1348</v>
      </c>
      <c r="B1406" s="70">
        <f>IFERROR(IF(VLOOKUP(A1406,[10]PRIORIZADOS!$A:$B,2,FALSE)="","",VLOOKUP(A1406,[10]PRIORIZADOS!$A:$B,2,FALSE)),"")</f>
        <v>3</v>
      </c>
      <c r="C1406" s="11" t="str">
        <f>IFERROR(IF(VLOOKUP(A1406,[10]PRIORIZADOS!$A:$C,3,FALSE)="","",VLOOKUP(A1406,[10]PRIORIZADOS!$A:$C,3,FALSE)),"")</f>
        <v>PUENTE ARANDA</v>
      </c>
      <c r="D1406" s="11" t="str">
        <f>IFERROR(IF(VLOOKUP(A1406,[10]PRIORIZADOS!$A:$D,4,FALSE)="","",VLOOKUP(A1406,[10]PRIORIZADOS!$A:$D,4,FALSE)),"")</f>
        <v>PRIVADO</v>
      </c>
      <c r="E1406" s="11" t="str">
        <f>IFERROR(IF(VLOOKUP(A1406,[10]PRIORIZADOS!$A:$E,5,FALSE)="","",VLOOKUP(A1406,[10]PRIORIZADOS!$A:$E,5,FALSE)),"")</f>
        <v>EPBM</v>
      </c>
      <c r="F1406" s="11" t="str">
        <f>IFERROR(IF(VLOOKUP(A1406,[10]PRIORIZADOS!$A:$F,6,FALSE)="","",VLOOKUP(A1406,[10]PRIORIZADOS!$A:$F,6,FALSE)),"")</f>
        <v>COLEGIO_PARROQUIAL_MONSEÑOR_EMILIO_DE_BRIGARD</v>
      </c>
      <c r="G1406" s="11" t="str">
        <f>IFERROR(IF(VLOOKUP(A1406,[10]PRIORIZADOS!$A:$G,7,FALSE)="","",VLOOKUP(A1406,[10]PRIORIZADOS!$A:$G,7,FALSE)),"")</f>
        <v>COLEGIO PARROQUIAL MONSEÑOR EMILIO DE BRIGARD</v>
      </c>
      <c r="H1406" s="11" t="str">
        <f>IFERROR(IF(VLOOKUP(A1406,[10]PRIORIZADOS!$A:$H,8,FALSE)="","",VLOOKUP(A1406,[10]PRIORIZADOS!$A:$H,8,FALSE)),"")</f>
        <v>Autoevaluación Institucional y Pruebas SABER 11</v>
      </c>
      <c r="I1406" s="11" t="str">
        <f>IFERROR(IF(VLOOKUP(A1406,[10]PRIORIZADOS!$A:$I,9,FALSE)="","",VLOOKUP(A1406,[10]PRIORIZADOS!$A:$I,9,FALSE)),"")</f>
        <v>EVALUACIÓN_CON_FINES_DE_MEJORAMIENTO.</v>
      </c>
      <c r="J1406" s="11" t="str">
        <f>IFERROR(IF(VLOOKUP(A1406,[10]PRIORIZADOS!$A:$J,10,FALSE)="","",VLOOKUP(A1406,[10]PRIORIZADOS!$A:$J,10,FALSE)),"")</f>
        <v>Revisar el calendario escolar, jornada escolar, la intensidad horaria mínima anual en cada nivel y las modificaciones que se realicen al mismo, de acuerdo con lo previsto en la normatividad vigente.</v>
      </c>
      <c r="K1406" s="11" t="str">
        <f>IFERROR(IF(VLOOKUP(A1406,[10]PRIORIZADOS!$A:$K,11,FALSE)="","",VLOOKUP(A1406,[10]PRIORIZADOS!$A:$K,11,FALSE)),"")</f>
        <v>IGNACIO ABDÓN MONTENEGRO ALDANA</v>
      </c>
      <c r="L1406" s="11" t="str">
        <f>IFERROR(IF(VLOOKUP(A1406,[10]PRIORIZADOS!$A:$L,12,FALSE)="","",VLOOKUP(A1406,[10]PRIORIZADOS!$A:$L,12,FALSE)),"")</f>
        <v>ALBERTO ESCARRAGA PEÑUELA</v>
      </c>
      <c r="M1406" s="71">
        <f>IFERROR(IF(VLOOKUP(A1406,[10]PRIORIZADOS!$A:$M,13,FALSE)="","",VLOOKUP(A1406,[10]PRIORIZADOS!$A:$M,13,FALSE)),"")</f>
        <v>45756</v>
      </c>
      <c r="N1406" s="71">
        <f>IFERROR(IF(VLOOKUP(A1406,[10]PRIORIZADOS!$A:$N,14,FALSE)="","",VLOOKUP(A1406,[10]PRIORIZADOS!$A:$N,14,FALSE)),"")</f>
        <v>45756</v>
      </c>
      <c r="O1406" s="71">
        <f>IFERROR(IF(VLOOKUP(A1406,[10]PRIORIZADOS!$A:$O,15,FALSE)="","",VLOOKUP(A1406,[10]PRIORIZADOS!$A:$O,15,FALSE)),"")</f>
        <v>45759</v>
      </c>
      <c r="P1406" s="11" t="str">
        <f>IFERROR(IF(VLOOKUP(A1406,[10]PRIORIZADOS!$A:$P,16,FALSE)="","",VLOOKUP(A1406,[10]PRIORIZADOS!$A:$P,16,FALSE)),"")</f>
        <v>Revisión documental</v>
      </c>
      <c r="Q1406" s="107" t="s">
        <v>341</v>
      </c>
      <c r="R1406" s="11" t="str">
        <f>IFERROR(IF(VLOOKUP(A1406,[10]PRIORIZADOS!$A:$R,18,FALSE)="","",VLOOKUP(A1406,[10]PRIORIZADOS!$A:$R,18,FALSE)),"")</f>
        <v>El colegio tiene un calendario académico definido de acuerdo con la normatividad, garantizar la intensidad horaria en cada nivel educativo.</v>
      </c>
      <c r="S1406" s="11" t="str">
        <f>IFERROR(IF(VLOOKUP(A1406,[10]PRIORIZADOS!$A:$S,19,FALSE)="","",VLOOKUP(A1406,[10]PRIORIZADOS!$A:$S,19,FALSE)),"")</f>
        <v>Otimizar el uso del tiempo escolar para lograr los objetivos de formación de los estudiantes.</v>
      </c>
      <c r="T1406" s="70" t="str">
        <f>IFERROR(IF(VLOOKUP(A1406,[10]PRIORIZADOS!$A:$T,20,FALSE)="","",VLOOKUP(A1406,[10]PRIORIZADOS!$A:$T,20,FALSE)),"")</f>
        <v>No</v>
      </c>
      <c r="U1406" s="11" t="str">
        <f>IFERROR(IF(VLOOKUP(A1406,[10]PRIORIZADOS!$A:$U,21,FALSE)="","",VLOOKUP(A1406,[10]PRIORIZADOS!$A:$U,21,FALSE)),"")</f>
        <v>Analizar en el siguiente año los resultados de las Pruebas Saber 11 como indicador de la utilización del tiempo escolar.</v>
      </c>
    </row>
    <row r="1407" spans="1:21" s="1" customFormat="1" ht="48">
      <c r="A1407" s="69">
        <f>IF([10]PRIORIZADOS!A21="","",[10]PRIORIZADOS!A21)</f>
        <v>1349</v>
      </c>
      <c r="B1407" s="70">
        <f>IFERROR(IF(VLOOKUP(A1407,[10]PRIORIZADOS!$A:$B,2,FALSE)="","",VLOOKUP(A1407,[10]PRIORIZADOS!$A:$B,2,FALSE)),"")</f>
        <v>3</v>
      </c>
      <c r="C1407" s="11" t="str">
        <f>IFERROR(IF(VLOOKUP(A1407,[10]PRIORIZADOS!$A:$C,3,FALSE)="","",VLOOKUP(A1407,[10]PRIORIZADOS!$A:$C,3,FALSE)),"")</f>
        <v>PUENTE ARANDA</v>
      </c>
      <c r="D1407" s="11" t="str">
        <f>IFERROR(IF(VLOOKUP(A1407,[10]PRIORIZADOS!$A:$D,4,FALSE)="","",VLOOKUP(A1407,[10]PRIORIZADOS!$A:$D,4,FALSE)),"")</f>
        <v>PRIVADO</v>
      </c>
      <c r="E1407" s="11" t="str">
        <f>IFERROR(IF(VLOOKUP(A1407,[10]PRIORIZADOS!$A:$E,5,FALSE)="","",VLOOKUP(A1407,[10]PRIORIZADOS!$A:$E,5,FALSE)),"")</f>
        <v>EPBM</v>
      </c>
      <c r="F1407" s="11" t="str">
        <f>IFERROR(IF(VLOOKUP(A1407,[10]PRIORIZADOS!$A:$F,6,FALSE)="","",VLOOKUP(A1407,[10]PRIORIZADOS!$A:$F,6,FALSE)),"")</f>
        <v>COLEGIO_PARROQUIAL_MONSEÑOR_EMILIO_DE_BRIGARD</v>
      </c>
      <c r="G1407" s="11" t="str">
        <f>IFERROR(IF(VLOOKUP(A1407,[10]PRIORIZADOS!$A:$G,7,FALSE)="","",VLOOKUP(A1407,[10]PRIORIZADOS!$A:$G,7,FALSE)),"")</f>
        <v>COLEGIO PARROQUIAL MONSEÑOR EMILIO DE BRIGARD</v>
      </c>
      <c r="H1407" s="11" t="str">
        <f>IFERROR(IF(VLOOKUP(A1407,[10]PRIORIZADOS!$A:$H,8,FALSE)="","",VLOOKUP(A1407,[10]PRIORIZADOS!$A:$H,8,FALSE)),"")</f>
        <v>Autoevaluación Institucional y Pruebas SABER 11</v>
      </c>
      <c r="I1407" s="11" t="str">
        <f>IFERROR(IF(VLOOKUP(A1407,[10]PRIORIZADOS!$A:$I,9,FALSE)="","",VLOOKUP(A1407,[10]PRIORIZADOS!$A:$I,9,FALSE)),"")</f>
        <v>EVALUACIÓN_CON_FINES_DE_MEJORAMIENTO.</v>
      </c>
      <c r="J1407" s="11" t="str">
        <f>IFERROR(IF(VLOOKUP(A1407,[10]PRIORIZADOS!$A:$J,10,FALSE)="","",VLOOKUP(A1407,[10]PRIORIZADOS!$A:$J,10,FALSE)),"")</f>
        <v>Verificar el funcionamiento del Gobierno Escolar e instancias de participación con base en la información sobre conformación reportada por la institución educativa.</v>
      </c>
      <c r="K1407" s="11" t="str">
        <f>IFERROR(IF(VLOOKUP(A1407,[10]PRIORIZADOS!$A:$K,11,FALSE)="","",VLOOKUP(A1407,[10]PRIORIZADOS!$A:$K,11,FALSE)),"")</f>
        <v>IGNACIO ABDÓN MONTENEGRO ALDANA</v>
      </c>
      <c r="L1407" s="11" t="str">
        <f>IFERROR(IF(VLOOKUP(A1407,[10]PRIORIZADOS!$A:$L,12,FALSE)="","",VLOOKUP(A1407,[10]PRIORIZADOS!$A:$L,12,FALSE)),"")</f>
        <v>ALBERTO ESCARRAGA PEÑUELA</v>
      </c>
      <c r="M1407" s="71">
        <f>IFERROR(IF(VLOOKUP(A1407,[10]PRIORIZADOS!$A:$M,13,FALSE)="","",VLOOKUP(A1407,[10]PRIORIZADOS!$A:$M,13,FALSE)),"")</f>
        <v>45756</v>
      </c>
      <c r="N1407" s="71">
        <f>IFERROR(IF(VLOOKUP(A1407,[10]PRIORIZADOS!$A:$N,14,FALSE)="","",VLOOKUP(A1407,[10]PRIORIZADOS!$A:$N,14,FALSE)),"")</f>
        <v>45756</v>
      </c>
      <c r="O1407" s="71">
        <f>IFERROR(IF(VLOOKUP(A1407,[10]PRIORIZADOS!$A:$O,15,FALSE)="","",VLOOKUP(A1407,[10]PRIORIZADOS!$A:$O,15,FALSE)),"")</f>
        <v>45760</v>
      </c>
      <c r="P1407" s="11" t="str">
        <f>IFERROR(IF(VLOOKUP(A1407,[10]PRIORIZADOS!$A:$P,16,FALSE)="","",VLOOKUP(A1407,[10]PRIORIZADOS!$A:$P,16,FALSE)),"")</f>
        <v>Revisión documental</v>
      </c>
      <c r="Q1407" s="107" t="s">
        <v>342</v>
      </c>
      <c r="R1407" s="11" t="str">
        <f>IFERROR(IF(VLOOKUP(A1407,[10]PRIORIZADOS!$A:$R,18,FALSE)="","",VLOOKUP(A1407,[10]PRIORIZADOS!$A:$R,18,FALSE)),"")</f>
        <v>El Colegio constituyó los órganos de gobierno escolar y demás instancias de participación.</v>
      </c>
      <c r="S1407" s="11" t="str">
        <f>IFERROR(IF(VLOOKUP(A1407,[10]PRIORIZADOS!$A:$S,19,FALSE)="","",VLOOKUP(A1407,[10]PRIORIZADOS!$A:$S,19,FALSE)),"")</f>
        <v>Elaborar reglamentos por cada instancia de participación y elaborar un plan de trabajo para el 2025.</v>
      </c>
      <c r="T1407" s="70" t="str">
        <f>IFERROR(IF(VLOOKUP(A1407,[10]PRIORIZADOS!$A:$T,20,FALSE)="","",VLOOKUP(A1407,[10]PRIORIZADOS!$A:$T,20,FALSE)),"")</f>
        <v>No</v>
      </c>
      <c r="U1407" s="11" t="str">
        <f>IFERROR(IF(VLOOKUP(A1407,[10]PRIORIZADOS!$A:$U,21,FALSE)="","",VLOOKUP(A1407,[10]PRIORIZADOS!$A:$U,21,FALSE)),"")</f>
        <v>Análisis del funcionamiento de la organización escolar en reunión de rectores del sector en 2026.</v>
      </c>
    </row>
    <row r="1408" spans="1:21" s="1" customFormat="1" ht="36">
      <c r="A1408" s="69">
        <f>IF([10]PRIORIZADOS!A22="","",[10]PRIORIZADOS!A22)</f>
        <v>1350</v>
      </c>
      <c r="B1408" s="70">
        <f>IFERROR(IF(VLOOKUP(A1408,[10]PRIORIZADOS!$A:$B,2,FALSE)="","",VLOOKUP(A1408,[10]PRIORIZADOS!$A:$B,2,FALSE)),"")</f>
        <v>4</v>
      </c>
      <c r="C1408" s="11" t="str">
        <f>IFERROR(IF(VLOOKUP(A1408,[10]PRIORIZADOS!$A:$C,3,FALSE)="","",VLOOKUP(A1408,[10]PRIORIZADOS!$A:$C,3,FALSE)),"")</f>
        <v>PUENTE ARANDA</v>
      </c>
      <c r="D1408" s="11" t="str">
        <f>IFERROR(IF(VLOOKUP(A1408,[10]PRIORIZADOS!$A:$D,4,FALSE)="","",VLOOKUP(A1408,[10]PRIORIZADOS!$A:$D,4,FALSE)),"")</f>
        <v>PRIVADO</v>
      </c>
      <c r="E1408" s="11" t="str">
        <f>IFERROR(IF(VLOOKUP(A1408,[10]PRIORIZADOS!$A:$E,5,FALSE)="","",VLOOKUP(A1408,[10]PRIORIZADOS!$A:$E,5,FALSE)),"")</f>
        <v>EPBM</v>
      </c>
      <c r="F1408" s="11" t="str">
        <f>IFERROR(IF(VLOOKUP(A1408,[10]PRIORIZADOS!$A:$F,6,FALSE)="","",VLOOKUP(A1408,[10]PRIORIZADOS!$A:$F,6,FALSE)),"")</f>
        <v>COLEGIO_SANTA_TERESITA</v>
      </c>
      <c r="G1408" s="11" t="str">
        <f>IFERROR(IF(VLOOKUP(A1408,[10]PRIORIZADOS!$A:$G,7,FALSE)="","",VLOOKUP(A1408,[10]PRIORIZADOS!$A:$G,7,FALSE)),"")</f>
        <v>COLEGIO SANTA TERESITA</v>
      </c>
      <c r="H1408" s="11" t="str">
        <f>IFERROR(IF(VLOOKUP(A1408,[10]PRIORIZADOS!$A:$H,8,FALSE)="","",VLOOKUP(A1408,[10]PRIORIZADOS!$A:$H,8,FALSE)),"")</f>
        <v>Autoevaluación Institucional y Pruebas SABER 11</v>
      </c>
      <c r="I1408" s="11" t="str">
        <f>IFERROR(IF(VLOOKUP(A1408,[10]PRIORIZADOS!$A:$I,9,FALSE)="","",VLOOKUP(A1408,[10]PRIORIZADOS!$A:$I,9,FALSE)),"")</f>
        <v>SEGUIMIENTO_Y_SUPERVISIÓN.</v>
      </c>
      <c r="J1408" s="11" t="str">
        <f>IFERROR(IF(VLOOKUP(A1408,[10]PRIORIZADOS!$A:$J,10,FALSE)="","",VLOOKUP(A1408,[10]PRIORIZADOS!$A:$J,10,FALSE)),"")</f>
        <v>Realizar visitas para verificar la información registrada sobre la autoevaluación institucional en el aplicativo EVI, a los establecimientos de educación formal no oficial.</v>
      </c>
      <c r="K1408" s="11" t="str">
        <f>IFERROR(IF(VLOOKUP(A1408,[10]PRIORIZADOS!$A:$K,11,FALSE)="","",VLOOKUP(A1408,[10]PRIORIZADOS!$A:$K,11,FALSE)),"")</f>
        <v>ALBERTO ESCARRAGA PEÑUELA</v>
      </c>
      <c r="L1408" s="11" t="str">
        <f>IFERROR(IF(VLOOKUP(A1408,[10]PRIORIZADOS!$A:$L,12,FALSE)="","",VLOOKUP(A1408,[10]PRIORIZADOS!$A:$L,12,FALSE)),"")</f>
        <v>OSCAR GERMAN CLAVIJO PALACIOS</v>
      </c>
      <c r="M1408" s="71">
        <f>IFERROR(IF(VLOOKUP(A1408,[10]PRIORIZADOS!$A:$M,13,FALSE)="","",VLOOKUP(A1408,[10]PRIORIZADOS!$A:$M,13,FALSE)),"")</f>
        <v>45757</v>
      </c>
      <c r="N1408" s="71">
        <f>IFERROR(IF(VLOOKUP(A1408,[10]PRIORIZADOS!$A:$N,14,FALSE)="","",VLOOKUP(A1408,[10]PRIORIZADOS!$A:$N,14,FALSE)),"")</f>
        <v>45757</v>
      </c>
      <c r="O1408" s="71">
        <f>IFERROR(IF(VLOOKUP(A1408,[10]PRIORIZADOS!$A:$O,15,FALSE)="","",VLOOKUP(A1408,[10]PRIORIZADOS!$A:$O,15,FALSE)),"")</f>
        <v>45757</v>
      </c>
      <c r="P1408" s="11" t="str">
        <f>IFERROR(IF(VLOOKUP(A1408,[10]PRIORIZADOS!$A:$P,16,FALSE)="","",VLOOKUP(A1408,[10]PRIORIZADOS!$A:$P,16,FALSE)),"")</f>
        <v>Visitas de evaluación con fines de mejoramiento</v>
      </c>
      <c r="Q1408" s="107" t="s">
        <v>343</v>
      </c>
      <c r="R1408" s="11" t="str">
        <f>IFERROR(IF(VLOOKUP(A1408,[10]PRIORIZADOS!$A:$R,18,FALSE)="","",VLOOKUP(A1408,[10]PRIORIZADOS!$A:$R,18,FALSE)),"")</f>
        <v>Se encontró novedades en la matricula del colegio vs. el reporte SIMAT</v>
      </c>
      <c r="S1408" s="11" t="str">
        <f>IFERROR(IF(VLOOKUP(A1408,[10]PRIORIZADOS!$A:$S,19,FALSE)="","",VLOOKUP(A1408,[10]PRIORIZADOS!$A:$S,19,FALSE)),"")</f>
        <v>Elaborar un plan de mejoramiento y comunicarlo a ELIV el 8 de mayo de 2025</v>
      </c>
      <c r="T1408" s="70" t="str">
        <f>IFERROR(IF(VLOOKUP(A1408,[10]PRIORIZADOS!$A:$T,20,FALSE)="","",VLOOKUP(A1408,[10]PRIORIZADOS!$A:$T,20,FALSE)),"")</f>
        <v>Si</v>
      </c>
      <c r="U1408" s="11" t="str">
        <f>IFERROR(IF(VLOOKUP(A1408,[10]PRIORIZADOS!$A:$U,21,FALSE)="","",VLOOKUP(A1408,[10]PRIORIZADOS!$A:$U,21,FALSE)),"")</f>
        <v>Revisión del plan de mejoramiento el 8 de mayo de 2025.</v>
      </c>
    </row>
    <row r="1409" spans="1:21" s="1" customFormat="1" ht="36">
      <c r="A1409" s="69">
        <f>IF([10]PRIORIZADOS!A23="","",[10]PRIORIZADOS!A23)</f>
        <v>1352</v>
      </c>
      <c r="B1409" s="70">
        <f>IFERROR(IF(VLOOKUP(A1409,[10]PRIORIZADOS!$A:$B,2,FALSE)="","",VLOOKUP(A1409,[10]PRIORIZADOS!$A:$B,2,FALSE)),"")</f>
        <v>4</v>
      </c>
      <c r="C1409" s="11" t="str">
        <f>IFERROR(IF(VLOOKUP(A1409,[10]PRIORIZADOS!$A:$C,3,FALSE)="","",VLOOKUP(A1409,[10]PRIORIZADOS!$A:$C,3,FALSE)),"")</f>
        <v>PUENTE ARANDA</v>
      </c>
      <c r="D1409" s="11" t="str">
        <f>IFERROR(IF(VLOOKUP(A1409,[10]PRIORIZADOS!$A:$D,4,FALSE)="","",VLOOKUP(A1409,[10]PRIORIZADOS!$A:$D,4,FALSE)),"")</f>
        <v>PRIVADO</v>
      </c>
      <c r="E1409" s="11" t="str">
        <f>IFERROR(IF(VLOOKUP(A1409,[10]PRIORIZADOS!$A:$E,5,FALSE)="","",VLOOKUP(A1409,[10]PRIORIZADOS!$A:$E,5,FALSE)),"")</f>
        <v>EPBM</v>
      </c>
      <c r="F1409" s="11" t="str">
        <f>IFERROR(IF(VLOOKUP(A1409,[10]PRIORIZADOS!$A:$F,6,FALSE)="","",VLOOKUP(A1409,[10]PRIORIZADOS!$A:$F,6,FALSE)),"")</f>
        <v>COLEGIO_SANTA_TERESITA</v>
      </c>
      <c r="G1409" s="11" t="str">
        <f>IFERROR(IF(VLOOKUP(A1409,[10]PRIORIZADOS!$A:$G,7,FALSE)="","",VLOOKUP(A1409,[10]PRIORIZADOS!$A:$G,7,FALSE)),"")</f>
        <v>COLEGIO SANTA TERESITA</v>
      </c>
      <c r="H1409" s="11" t="str">
        <f>IFERROR(IF(VLOOKUP(A1409,[10]PRIORIZADOS!$A:$H,8,FALSE)="","",VLOOKUP(A1409,[10]PRIORIZADOS!$A:$H,8,FALSE)),"")</f>
        <v>Autoevaluación Institucional y Pruebas SABER 11</v>
      </c>
      <c r="I1409" s="11" t="str">
        <f>IFERROR(IF(VLOOKUP(A1409,[10]PRIORIZADOS!$A:$I,9,FALSE)="","",VLOOKUP(A1409,[10]PRIORIZADOS!$A:$I,9,FALSE)),"")</f>
        <v>SEGUIMIENTO_Y_SUPERVISIÓN.</v>
      </c>
      <c r="J1409" s="11" t="str">
        <f>IFERROR(IF(VLOOKUP(A1409,[10]PRIORIZADOS!$A:$J,10,FALSE)="","",VLOOKUP(A1409,[10]PRIORIZADOS!$A:$J,10,FALSE)),"")</f>
        <v>Realizar visitas para verificar la información registrada sobre la autoevaluación institucional en el aplicativo EVI, a los establecimientos de educación formal no oficial.</v>
      </c>
      <c r="K1409" s="11" t="str">
        <f>IFERROR(IF(VLOOKUP(A1409,[10]PRIORIZADOS!$A:$K,11,FALSE)="","",VLOOKUP(A1409,[10]PRIORIZADOS!$A:$K,11,FALSE)),"")</f>
        <v>ALBERTO ESCARRAGA PEÑUELA</v>
      </c>
      <c r="L1409" s="11" t="str">
        <f>IFERROR(IF(VLOOKUP(A1409,[10]PRIORIZADOS!$A:$L,12,FALSE)="","",VLOOKUP(A1409,[10]PRIORIZADOS!$A:$L,12,FALSE)),"")</f>
        <v>OSCAR GERMAN CLAVIJO PALACIOS</v>
      </c>
      <c r="M1409" s="71">
        <f>IFERROR(IF(VLOOKUP(A1409,[10]PRIORIZADOS!$A:$M,13,FALSE)="","",VLOOKUP(A1409,[10]PRIORIZADOS!$A:$M,13,FALSE)),"")</f>
        <v>45757</v>
      </c>
      <c r="N1409" s="71">
        <f>IFERROR(IF(VLOOKUP(A1409,[10]PRIORIZADOS!$A:$N,14,FALSE)="","",VLOOKUP(A1409,[10]PRIORIZADOS!$A:$N,14,FALSE)),"")</f>
        <v>45757</v>
      </c>
      <c r="O1409" s="71">
        <f>IFERROR(IF(VLOOKUP(A1409,[10]PRIORIZADOS!$A:$O,15,FALSE)="","",VLOOKUP(A1409,[10]PRIORIZADOS!$A:$O,15,FALSE)),"")</f>
        <v>45757</v>
      </c>
      <c r="P1409" s="11" t="str">
        <f>IFERROR(IF(VLOOKUP(A1409,[10]PRIORIZADOS!$A:$P,16,FALSE)="","",VLOOKUP(A1409,[10]PRIORIZADOS!$A:$P,16,FALSE)),"")</f>
        <v>Visitas de evaluación con fines de mejoramiento</v>
      </c>
      <c r="Q1409" s="107" t="s">
        <v>343</v>
      </c>
      <c r="R1409" s="11" t="str">
        <f>IFERROR(IF(VLOOKUP(A1409,[10]PRIORIZADOS!$A:$R,18,FALSE)="","",VLOOKUP(A1409,[10]PRIORIZADOS!$A:$R,18,FALSE)),"")</f>
        <v>Se encontró que la institución no registro en la plataforma SIMAT a los estudiantes de inclusión</v>
      </c>
      <c r="S1409" s="11" t="str">
        <f>IFERROR(IF(VLOOKUP(A1409,[10]PRIORIZADOS!$A:$S,19,FALSE)="","",VLOOKUP(A1409,[10]PRIORIZADOS!$A:$S,19,FALSE)),"")</f>
        <v>Elaborar un plan de mejoramiento y comunicarlo a ELIV el 8 de mayo de 2025</v>
      </c>
      <c r="T1409" s="70" t="str">
        <f>IFERROR(IF(VLOOKUP(A1409,[10]PRIORIZADOS!$A:$T,20,FALSE)="","",VLOOKUP(A1409,[10]PRIORIZADOS!$A:$T,20,FALSE)),"")</f>
        <v>Si</v>
      </c>
      <c r="U1409" s="11" t="str">
        <f>IFERROR(IF(VLOOKUP(A1409,[10]PRIORIZADOS!$A:$U,21,FALSE)="","",VLOOKUP(A1409,[10]PRIORIZADOS!$A:$U,21,FALSE)),"")</f>
        <v>Revisión del plan de mejoramiento el 8 de mayo de 2025.</v>
      </c>
    </row>
    <row r="1410" spans="1:21" s="1" customFormat="1" ht="36">
      <c r="A1410" s="69">
        <f>IF([10]PRIORIZADOS!A24="","",[10]PRIORIZADOS!A24)</f>
        <v>1353</v>
      </c>
      <c r="B1410" s="70">
        <f>IFERROR(IF(VLOOKUP(A1410,[10]PRIORIZADOS!$A:$B,2,FALSE)="","",VLOOKUP(A1410,[10]PRIORIZADOS!$A:$B,2,FALSE)),"")</f>
        <v>4</v>
      </c>
      <c r="C1410" s="11" t="str">
        <f>IFERROR(IF(VLOOKUP(A1410,[10]PRIORIZADOS!$A:$C,3,FALSE)="","",VLOOKUP(A1410,[10]PRIORIZADOS!$A:$C,3,FALSE)),"")</f>
        <v>PUENTE ARANDA</v>
      </c>
      <c r="D1410" s="11" t="str">
        <f>IFERROR(IF(VLOOKUP(A1410,[10]PRIORIZADOS!$A:$D,4,FALSE)="","",VLOOKUP(A1410,[10]PRIORIZADOS!$A:$D,4,FALSE)),"")</f>
        <v>PRIVADO</v>
      </c>
      <c r="E1410" s="11" t="str">
        <f>IFERROR(IF(VLOOKUP(A1410,[10]PRIORIZADOS!$A:$E,5,FALSE)="","",VLOOKUP(A1410,[10]PRIORIZADOS!$A:$E,5,FALSE)),"")</f>
        <v>EPBM</v>
      </c>
      <c r="F1410" s="11" t="str">
        <f>IFERROR(IF(VLOOKUP(A1410,[10]PRIORIZADOS!$A:$F,6,FALSE)="","",VLOOKUP(A1410,[10]PRIORIZADOS!$A:$F,6,FALSE)),"")</f>
        <v>COLEGIO_SANTA_TERESITA</v>
      </c>
      <c r="G1410" s="11" t="str">
        <f>IFERROR(IF(VLOOKUP(A1410,[10]PRIORIZADOS!$A:$G,7,FALSE)="","",VLOOKUP(A1410,[10]PRIORIZADOS!$A:$G,7,FALSE)),"")</f>
        <v>COLEGIO SANTA TERESITA</v>
      </c>
      <c r="H1410" s="11" t="str">
        <f>IFERROR(IF(VLOOKUP(A1410,[10]PRIORIZADOS!$A:$H,8,FALSE)="","",VLOOKUP(A1410,[10]PRIORIZADOS!$A:$H,8,FALSE)),"")</f>
        <v>Autoevaluación Institucional y Pruebas SABER 11</v>
      </c>
      <c r="I1410" s="11" t="str">
        <f>IFERROR(IF(VLOOKUP(A1410,[10]PRIORIZADOS!$A:$I,9,FALSE)="","",VLOOKUP(A1410,[10]PRIORIZADOS!$A:$I,9,FALSE)),"")</f>
        <v>SEGUIMIENTO_Y_SUPERVISIÓN.</v>
      </c>
      <c r="J1410" s="11" t="str">
        <f>IFERROR(IF(VLOOKUP(A1410,[10]PRIORIZADOS!$A:$J,10,FALSE)="","",VLOOKUP(A1410,[10]PRIORIZADOS!$A:$J,10,FALSE)),"")</f>
        <v>Realizar visitas para verificar la información registrada sobre la autoevaluación institucional en el aplicativo EVI, a los establecimientos de educación formal no oficial.</v>
      </c>
      <c r="K1410" s="11" t="str">
        <f>IFERROR(IF(VLOOKUP(A1410,[10]PRIORIZADOS!$A:$K,11,FALSE)="","",VLOOKUP(A1410,[10]PRIORIZADOS!$A:$K,11,FALSE)),"")</f>
        <v>ALBERTO ESCARRAGA PEÑUELA</v>
      </c>
      <c r="L1410" s="11" t="str">
        <f>IFERROR(IF(VLOOKUP(A1410,[10]PRIORIZADOS!$A:$L,12,FALSE)="","",VLOOKUP(A1410,[10]PRIORIZADOS!$A:$L,12,FALSE)),"")</f>
        <v>OSCAR GERMAN CLAVIJO PALACIOS</v>
      </c>
      <c r="M1410" s="71">
        <f>IFERROR(IF(VLOOKUP(A1410,[10]PRIORIZADOS!$A:$M,13,FALSE)="","",VLOOKUP(A1410,[10]PRIORIZADOS!$A:$M,13,FALSE)),"")</f>
        <v>45757</v>
      </c>
      <c r="N1410" s="71">
        <f>IFERROR(IF(VLOOKUP(A1410,[10]PRIORIZADOS!$A:$N,14,FALSE)="","",VLOOKUP(A1410,[10]PRIORIZADOS!$A:$N,14,FALSE)),"")</f>
        <v>45757</v>
      </c>
      <c r="O1410" s="71">
        <f>IFERROR(IF(VLOOKUP(A1410,[10]PRIORIZADOS!$A:$O,15,FALSE)="","",VLOOKUP(A1410,[10]PRIORIZADOS!$A:$O,15,FALSE)),"")</f>
        <v>45757</v>
      </c>
      <c r="P1410" s="11" t="str">
        <f>IFERROR(IF(VLOOKUP(A1410,[10]PRIORIZADOS!$A:$P,16,FALSE)="","",VLOOKUP(A1410,[10]PRIORIZADOS!$A:$P,16,FALSE)),"")</f>
        <v>Visitas de evaluación con fines de mejoramiento</v>
      </c>
      <c r="Q1410" s="107" t="s">
        <v>343</v>
      </c>
      <c r="R1410" s="11" t="str">
        <f>IFERROR(IF(VLOOKUP(A1410,[10]PRIORIZADOS!$A:$R,18,FALSE)="","",VLOOKUP(A1410,[10]PRIORIZADOS!$A:$R,18,FALSE)),"")</f>
        <v>Se encontró que la institución no tuvo en cuenta a los estudiantes de inclusión en el plan de mejoramiento.</v>
      </c>
      <c r="S1410" s="11" t="str">
        <f>IFERROR(IF(VLOOKUP(A1410,[10]PRIORIZADOS!$A:$S,19,FALSE)="","",VLOOKUP(A1410,[10]PRIORIZADOS!$A:$S,19,FALSE)),"")</f>
        <v>Elaborar un plan de mejoramiento y comunicarlo a ELIV el 8 de mayo de 2025</v>
      </c>
      <c r="T1410" s="70" t="str">
        <f>IFERROR(IF(VLOOKUP(A1410,[10]PRIORIZADOS!$A:$T,20,FALSE)="","",VLOOKUP(A1410,[10]PRIORIZADOS!$A:$T,20,FALSE)),"")</f>
        <v>Si</v>
      </c>
      <c r="U1410" s="11" t="str">
        <f>IFERROR(IF(VLOOKUP(A1410,[10]PRIORIZADOS!$A:$U,21,FALSE)="","",VLOOKUP(A1410,[10]PRIORIZADOS!$A:$U,21,FALSE)),"")</f>
        <v>Revisión del plan de mejoramiento el 8 de mayo de 2025.</v>
      </c>
    </row>
    <row r="1411" spans="1:21" s="1" customFormat="1" ht="84">
      <c r="A1411" s="69">
        <f>IF([10]PRIORIZADOS!A25="","",[10]PRIORIZADOS!A25)</f>
        <v>1354</v>
      </c>
      <c r="B1411" s="70">
        <f>IFERROR(IF(VLOOKUP(A1411,[10]PRIORIZADOS!$A:$B,2,FALSE)="","",VLOOKUP(A1411,[10]PRIORIZADOS!$A:$B,2,FALSE)),"")</f>
        <v>4</v>
      </c>
      <c r="C1411" s="11" t="str">
        <f>IFERROR(IF(VLOOKUP(A1411,[10]PRIORIZADOS!$A:$C,3,FALSE)="","",VLOOKUP(A1411,[10]PRIORIZADOS!$A:$C,3,FALSE)),"")</f>
        <v>PUENTE ARANDA</v>
      </c>
      <c r="D1411" s="11" t="str">
        <f>IFERROR(IF(VLOOKUP(A1411,[10]PRIORIZADOS!$A:$D,4,FALSE)="","",VLOOKUP(A1411,[10]PRIORIZADOS!$A:$D,4,FALSE)),"")</f>
        <v>PRIVADO</v>
      </c>
      <c r="E1411" s="11" t="str">
        <f>IFERROR(IF(VLOOKUP(A1411,[10]PRIORIZADOS!$A:$E,5,FALSE)="","",VLOOKUP(A1411,[10]PRIORIZADOS!$A:$E,5,FALSE)),"")</f>
        <v>EPBM</v>
      </c>
      <c r="F1411" s="11" t="str">
        <f>IFERROR(IF(VLOOKUP(A1411,[10]PRIORIZADOS!$A:$F,6,FALSE)="","",VLOOKUP(A1411,[10]PRIORIZADOS!$A:$F,6,FALSE)),"")</f>
        <v>COLEGIO_SANTA_TERESITA</v>
      </c>
      <c r="G1411" s="11" t="str">
        <f>IFERROR(IF(VLOOKUP(A1411,[10]PRIORIZADOS!$A:$G,7,FALSE)="","",VLOOKUP(A1411,[10]PRIORIZADOS!$A:$G,7,FALSE)),"")</f>
        <v>COLEGIO SANTA TERESITA</v>
      </c>
      <c r="H1411" s="11" t="str">
        <f>IFERROR(IF(VLOOKUP(A1411,[10]PRIORIZADOS!$A:$H,8,FALSE)="","",VLOOKUP(A1411,[10]PRIORIZADOS!$A:$H,8,FALSE)),"")</f>
        <v>Autoevaluación Institucional y Pruebas SABER 11</v>
      </c>
      <c r="I1411" s="11" t="str">
        <f>IFERROR(IF(VLOOKUP(A1411,[10]PRIORIZADOS!$A:$I,9,FALSE)="","",VLOOKUP(A1411,[10]PRIORIZADOS!$A:$I,9,FALSE)),"")</f>
        <v>EVALUACIÓN_CON_FINES_DE_MEJORAMIENTO.</v>
      </c>
      <c r="J1411" s="11" t="str">
        <f>IFERROR(IF(VLOOKUP(A1411,[10]PRIORIZADOS!$A:$J,10,FALSE)="","",VLOOKUP(A1411,[10]PRIORIZADOS!$A:$J,10,FALSE)),"")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11" s="11" t="str">
        <f>IFERROR(IF(VLOOKUP(A1411,[10]PRIORIZADOS!$A:$K,11,FALSE)="","",VLOOKUP(A1411,[10]PRIORIZADOS!$A:$K,11,FALSE)),"")</f>
        <v>ALBERTO ESCARRAGA PEÑUELA</v>
      </c>
      <c r="L1411" s="11" t="str">
        <f>IFERROR(IF(VLOOKUP(A1411,[10]PRIORIZADOS!$A:$L,12,FALSE)="","",VLOOKUP(A1411,[10]PRIORIZADOS!$A:$L,12,FALSE)),"")</f>
        <v>OSCAR GERMAN CLAVIJO PALACIOS</v>
      </c>
      <c r="M1411" s="71">
        <f>IFERROR(IF(VLOOKUP(A1411,[10]PRIORIZADOS!$A:$M,13,FALSE)="","",VLOOKUP(A1411,[10]PRIORIZADOS!$A:$M,13,FALSE)),"")</f>
        <v>45757</v>
      </c>
      <c r="N1411" s="71">
        <f>IFERROR(IF(VLOOKUP(A1411,[10]PRIORIZADOS!$A:$N,14,FALSE)="","",VLOOKUP(A1411,[10]PRIORIZADOS!$A:$N,14,FALSE)),"")</f>
        <v>45757</v>
      </c>
      <c r="O1411" s="71">
        <f>IFERROR(IF(VLOOKUP(A1411,[10]PRIORIZADOS!$A:$O,15,FALSE)="","",VLOOKUP(A1411,[10]PRIORIZADOS!$A:$O,15,FALSE)),"")</f>
        <v>45757</v>
      </c>
      <c r="P1411" s="11" t="str">
        <f>IFERROR(IF(VLOOKUP(A1411,[10]PRIORIZADOS!$A:$P,16,FALSE)="","",VLOOKUP(A1411,[10]PRIORIZADOS!$A:$P,16,FALSE)),"")</f>
        <v>Visitas de evaluación con fines de mejoramiento</v>
      </c>
      <c r="Q1411" s="107" t="s">
        <v>343</v>
      </c>
      <c r="R1411" s="11" t="str">
        <f>IFERROR(IF(VLOOKUP(A1411,[10]PRIORIZADOS!$A:$R,18,FALSE)="","",VLOOKUP(A1411,[10]PRIORIZADOS!$A:$R,18,FALSE)),"")</f>
        <v xml:space="preserve">Se encontró que en el documento denominado informe de análisis comparativo de las pruebas saber 11, no se contempló fechas de seguimiento y evaluación </v>
      </c>
      <c r="S1411" s="11" t="str">
        <f>IFERROR(IF(VLOOKUP(A1411,[10]PRIORIZADOS!$A:$S,19,FALSE)="","",VLOOKUP(A1411,[10]PRIORIZADOS!$A:$S,19,FALSE)),"")</f>
        <v>Elaborar un plan de mejoramiento y comunicarlo a ELIV el 8 de mayo de 2025</v>
      </c>
      <c r="T1411" s="70" t="str">
        <f>IFERROR(IF(VLOOKUP(A1411,[10]PRIORIZADOS!$A:$T,20,FALSE)="","",VLOOKUP(A1411,[10]PRIORIZADOS!$A:$T,20,FALSE)),"")</f>
        <v>Si</v>
      </c>
      <c r="U1411" s="11" t="str">
        <f>IFERROR(IF(VLOOKUP(A1411,[10]PRIORIZADOS!$A:$U,21,FALSE)="","",VLOOKUP(A1411,[10]PRIORIZADOS!$A:$U,21,FALSE)),"")</f>
        <v>Revisión del plan de mejoramiento el 8 de mayo de 2025.</v>
      </c>
    </row>
    <row r="1412" spans="1:21" s="1" customFormat="1" ht="36">
      <c r="A1412" s="69">
        <f>IF([10]PRIORIZADOS!A26="","",[10]PRIORIZADOS!A26)</f>
        <v>1351</v>
      </c>
      <c r="B1412" s="70">
        <f>IFERROR(IF(VLOOKUP(A1412,[10]PRIORIZADOS!$A:$B,2,FALSE)="","",VLOOKUP(A1412,[10]PRIORIZADOS!$A:$B,2,FALSE)),"")</f>
        <v>4</v>
      </c>
      <c r="C1412" s="11" t="str">
        <f>IFERROR(IF(VLOOKUP(A1412,[10]PRIORIZADOS!$A:$C,3,FALSE)="","",VLOOKUP(A1412,[10]PRIORIZADOS!$A:$C,3,FALSE)),"")</f>
        <v>PUENTE ARANDA</v>
      </c>
      <c r="D1412" s="11" t="str">
        <f>IFERROR(IF(VLOOKUP(A1412,[10]PRIORIZADOS!$A:$D,4,FALSE)="","",VLOOKUP(A1412,[10]PRIORIZADOS!$A:$D,4,FALSE)),"")</f>
        <v>PRIVADO</v>
      </c>
      <c r="E1412" s="11" t="str">
        <f>IFERROR(IF(VLOOKUP(A1412,[10]PRIORIZADOS!$A:$E,5,FALSE)="","",VLOOKUP(A1412,[10]PRIORIZADOS!$A:$E,5,FALSE)),"")</f>
        <v>EPBM</v>
      </c>
      <c r="F1412" s="11" t="str">
        <f>IFERROR(IF(VLOOKUP(A1412,[10]PRIORIZADOS!$A:$F,6,FALSE)="","",VLOOKUP(A1412,[10]PRIORIZADOS!$A:$F,6,FALSE)),"")</f>
        <v>COLEGIO_SANTA_TERESITA</v>
      </c>
      <c r="G1412" s="11" t="str">
        <f>IFERROR(IF(VLOOKUP(A1412,[10]PRIORIZADOS!$A:$G,7,FALSE)="","",VLOOKUP(A1412,[10]PRIORIZADOS!$A:$G,7,FALSE)),"")</f>
        <v>COLEGIO SANTA TERESITA</v>
      </c>
      <c r="H1412" s="11" t="str">
        <f>IFERROR(IF(VLOOKUP(A1412,[10]PRIORIZADOS!$A:$H,8,FALSE)="","",VLOOKUP(A1412,[10]PRIORIZADOS!$A:$H,8,FALSE)),"")</f>
        <v>Autoevaluación Institucional y Pruebas SABER 11</v>
      </c>
      <c r="I1412" s="11" t="str">
        <f>IFERROR(IF(VLOOKUP(A1412,[10]PRIORIZADOS!$A:$I,9,FALSE)="","",VLOOKUP(A1412,[10]PRIORIZADOS!$A:$I,9,FALSE)),"")</f>
        <v>EVALUACIÓN_CON_FINES_DE_MEJORAMIENTO.</v>
      </c>
      <c r="J1412" s="11" t="str">
        <f>IFERROR(IF(VLOOKUP(A1412,[10]PRIORIZADOS!$A:$J,10,FALSE)="","",VLOOKUP(A1412,[10]PRIORIZADOS!$A:$J,10,FALSE)),"")</f>
        <v>Verificar las condiciones en cuanto a: la estructura administrativa, condiciones de la planta física y medios educativos adecuados.</v>
      </c>
      <c r="K1412" s="11" t="str">
        <f>IFERROR(IF(VLOOKUP(A1412,[10]PRIORIZADOS!$A:$K,11,FALSE)="","",VLOOKUP(A1412,[10]PRIORIZADOS!$A:$K,11,FALSE)),"")</f>
        <v>ALBERTO ESCARRAGA PEÑUELA</v>
      </c>
      <c r="L1412" s="11" t="str">
        <f>IFERROR(IF(VLOOKUP(A1412,[10]PRIORIZADOS!$A:$L,12,FALSE)="","",VLOOKUP(A1412,[10]PRIORIZADOS!$A:$L,12,FALSE)),"")</f>
        <v>OSCAR GERMAN CLAVIJO PALACIOS</v>
      </c>
      <c r="M1412" s="71">
        <f>IFERROR(IF(VLOOKUP(A1412,[10]PRIORIZADOS!$A:$M,13,FALSE)="","",VLOOKUP(A1412,[10]PRIORIZADOS!$A:$M,13,FALSE)),"")</f>
        <v>45757</v>
      </c>
      <c r="N1412" s="71">
        <f>IFERROR(IF(VLOOKUP(A1412,[10]PRIORIZADOS!$A:$N,14,FALSE)="","",VLOOKUP(A1412,[10]PRIORIZADOS!$A:$N,14,FALSE)),"")</f>
        <v>45757</v>
      </c>
      <c r="O1412" s="71">
        <f>IFERROR(IF(VLOOKUP(A1412,[10]PRIORIZADOS!$A:$O,15,FALSE)="","",VLOOKUP(A1412,[10]PRIORIZADOS!$A:$O,15,FALSE)),"")</f>
        <v>45934</v>
      </c>
      <c r="P1412" s="11" t="str">
        <f>IFERROR(IF(VLOOKUP(A1412,[10]PRIORIZADOS!$A:$P,16,FALSE)="","",VLOOKUP(A1412,[10]PRIORIZADOS!$A:$P,16,FALSE)),"")</f>
        <v>Visitas de evaluación con fines de mejoramiento</v>
      </c>
      <c r="Q1412" s="107" t="s">
        <v>343</v>
      </c>
      <c r="R1412" s="11" t="str">
        <f>IFERROR(IF(VLOOKUP(A1412,[10]PRIORIZADOS!$A:$R,18,FALSE)="","",VLOOKUP(A1412,[10]PRIORIZADOS!$A:$R,18,FALSE)),"")</f>
        <v>Se encontraron inconsistencias en las carpetas de matrícula de los estudiantes</v>
      </c>
      <c r="S1412" s="11" t="str">
        <f>IFERROR(IF(VLOOKUP(A1412,[10]PRIORIZADOS!$A:$S,19,FALSE)="","",VLOOKUP(A1412,[10]PRIORIZADOS!$A:$S,19,FALSE)),"")</f>
        <v>Elaborar un plan de mejoramiento y comunicarlo a ELIV el 8 de mayo de 2025</v>
      </c>
      <c r="T1412" s="70" t="str">
        <f>IFERROR(IF(VLOOKUP(A1412,[10]PRIORIZADOS!$A:$T,20,FALSE)="","",VLOOKUP(A1412,[10]PRIORIZADOS!$A:$T,20,FALSE)),"")</f>
        <v>Si</v>
      </c>
      <c r="U1412" s="11" t="str">
        <f>IFERROR(IF(VLOOKUP(A1412,[10]PRIORIZADOS!$A:$U,21,FALSE)="","",VLOOKUP(A1412,[10]PRIORIZADOS!$A:$U,21,FALSE)),"")</f>
        <v>Revisión del plan de mejoramiento el 8 de mayo de 2025.</v>
      </c>
    </row>
    <row r="1413" spans="1:21" s="1" customFormat="1" ht="84">
      <c r="A1413" s="69">
        <f>IF([10]PRIORIZADOS!A27="","",[10]PRIORIZADOS!A27)</f>
        <v>1355</v>
      </c>
      <c r="B1413" s="70">
        <f>IFERROR(IF(VLOOKUP(A1413,[10]PRIORIZADOS!$A:$B,2,FALSE)="","",VLOOKUP(A1413,[10]PRIORIZADOS!$A:$B,2,FALSE)),"")</f>
        <v>5</v>
      </c>
      <c r="C1413" s="11" t="str">
        <f>IFERROR(IF(VLOOKUP(A1413,[10]PRIORIZADOS!$A:$C,3,FALSE)="","",VLOOKUP(A1413,[10]PRIORIZADOS!$A:$C,3,FALSE)),"")</f>
        <v>PUENTE ARANDA</v>
      </c>
      <c r="D1413" s="11" t="str">
        <f>IFERROR(IF(VLOOKUP(A1413,[10]PRIORIZADOS!$A:$D,4,FALSE)="","",VLOOKUP(A1413,[10]PRIORIZADOS!$A:$D,4,FALSE)),"")</f>
        <v>PRIVADO</v>
      </c>
      <c r="E1413" s="11" t="str">
        <f>IFERROR(IF(VLOOKUP(A1413,[10]PRIORIZADOS!$A:$E,5,FALSE)="","",VLOOKUP(A1413,[10]PRIORIZADOS!$A:$E,5,FALSE)),"")</f>
        <v>Educación de Jóvenes y Adultos</v>
      </c>
      <c r="F1413" s="11" t="str">
        <f>IFERROR(IF(VLOOKUP(A1413,[10]PRIORIZADOS!$A:$F,6,FALSE)="","",VLOOKUP(A1413,[10]PRIORIZADOS!$A:$F,6,FALSE)),"")</f>
        <v>LICEO_NUEVO_CHILE</v>
      </c>
      <c r="G1413" s="11" t="str">
        <f>IFERROR(IF(VLOOKUP(A1413,[10]PRIORIZADOS!$A:$G,7,FALSE)="","",VLOOKUP(A1413,[10]PRIORIZADOS!$A:$G,7,FALSE)),"")</f>
        <v>LICEO NUEVO CHILE</v>
      </c>
      <c r="H1413" s="11" t="str">
        <f>IFERROR(IF(VLOOKUP(A1413,[10]PRIORIZADOS!$A:$H,8,FALSE)="","",VLOOKUP(A1413,[10]PRIORIZADOS!$A:$H,8,FALSE)),"")</f>
        <v>Autoevaluación Institucional y Pruebas SABER 11</v>
      </c>
      <c r="I1413" s="11" t="str">
        <f>IFERROR(IF(VLOOKUP(A1413,[10]PRIORIZADOS!$A:$I,9,FALSE)="","",VLOOKUP(A1413,[10]PRIORIZADOS!$A:$I,9,FALSE)),"")</f>
        <v>SEGUIMIENTO_Y_SUPERVISIÓN.</v>
      </c>
      <c r="J1413" s="11" t="str">
        <f>IFERROR(IF(VLOOKUP(A1413,[10]PRIORIZADOS!$A:$J,10,FALSE)="","",VLOOKUP(A1413,[10]PRIORIZADOS!$A:$J,10,FALSE)),"")</f>
        <v>Realizar visitas para verificar la información registrada sobre la autoevaluación institucional en el aplicativo EVI, a los establecimientos de educación formal no oficial.</v>
      </c>
      <c r="K1413" s="11" t="str">
        <f>IFERROR(IF(VLOOKUP(A1413,[10]PRIORIZADOS!$A:$K,11,FALSE)="","",VLOOKUP(A1413,[10]PRIORIZADOS!$A:$K,11,FALSE)),"")</f>
        <v>CRISTIAN CAMILO LÓPEZ VELANDIA</v>
      </c>
      <c r="L1413" s="11" t="str">
        <f>IFERROR(IF(VLOOKUP(A1413,[10]PRIORIZADOS!$A:$L,12,FALSE)="","",VLOOKUP(A1413,[10]PRIORIZADOS!$A:$L,12,FALSE)),"")</f>
        <v>OSCAR GERMAN CLAVIJO PALACIOS</v>
      </c>
      <c r="M1413" s="71">
        <f>IFERROR(IF(VLOOKUP(A1413,[10]PRIORIZADOS!$A:$M,13,FALSE)="","",VLOOKUP(A1413,[10]PRIORIZADOS!$A:$M,13,FALSE)),"")</f>
        <v>45769</v>
      </c>
      <c r="N1413" s="71">
        <f>IFERROR(IF(VLOOKUP(A1413,[10]PRIORIZADOS!$A:$N,14,FALSE)="","",VLOOKUP(A1413,[10]PRIORIZADOS!$A:$N,14,FALSE)),"")</f>
        <v>45896</v>
      </c>
      <c r="O1413" s="71">
        <f>IFERROR(IF(VLOOKUP(A1413,[10]PRIORIZADOS!$A:$O,15,FALSE)="","",VLOOKUP(A1413,[10]PRIORIZADOS!$A:$O,15,FALSE)),"")</f>
        <v>45896</v>
      </c>
      <c r="P1413" s="11" t="str">
        <f>IFERROR(IF(VLOOKUP(A1413,[10]PRIORIZADOS!$A:$P,16,FALSE)="","",VLOOKUP(A1413,[10]PRIORIZADOS!$A:$P,16,FALSE)),"")</f>
        <v>Visitas de evaluación con fines de mejoramiento</v>
      </c>
      <c r="Q1413" s="5" t="s">
        <v>344</v>
      </c>
      <c r="R1413" s="11" t="str">
        <f>IFERROR(IF(VLOOKUP(A1413,[10]PRIORIZADOS!$A:$R,18,FALSE)="","",VLOOKUP(A1413,[10]PRIORIZADOS!$A:$R,18,FALSE)),"")</f>
        <v>Se encontró diferencias en la matrícula de la institución y lo reportado en el aplicativo SIMAT, las actividades pedagogicos de los estudiantes de nivel del preescolar y basica primaria y secundaria no responden a los lineamientos de la normatividad educativa</v>
      </c>
      <c r="S1413" s="11" t="str">
        <f>IFERROR(IF(VLOOKUP(A1413,[10]PRIORIZADOS!$A:$S,19,FALSE)="","",VLOOKUP(A1413,[10]PRIORIZADOS!$A:$S,19,FALSE)),"")</f>
        <v>Elaborar un plan de mejoramiento y comunicarlo a ELIV el 6 de septiembre de 2025</v>
      </c>
      <c r="T1413" s="70" t="str">
        <f>IFERROR(IF(VLOOKUP(A1413,[10]PRIORIZADOS!$A:$T,20,FALSE)="","",VLOOKUP(A1413,[10]PRIORIZADOS!$A:$T,20,FALSE)),"")</f>
        <v>SI</v>
      </c>
      <c r="U1413" s="11" t="str">
        <f>IFERROR(IF(VLOOKUP(A1413,[10]PRIORIZADOS!$A:$U,21,FALSE)="","",VLOOKUP(A1413,[10]PRIORIZADOS!$A:$U,21,FALSE)),"")</f>
        <v>Revisión del plan de mejoramiento el 26/09/2025.</v>
      </c>
    </row>
    <row r="1414" spans="1:21" s="1" customFormat="1" ht="96">
      <c r="A1414" s="69">
        <f>IF([10]PRIORIZADOS!A28="","",[10]PRIORIZADOS!A28)</f>
        <v>1356</v>
      </c>
      <c r="B1414" s="70">
        <f>IFERROR(IF(VLOOKUP(A1414,[10]PRIORIZADOS!$A:$B,2,FALSE)="","",VLOOKUP(A1414,[10]PRIORIZADOS!$A:$B,2,FALSE)),"")</f>
        <v>5</v>
      </c>
      <c r="C1414" s="11" t="str">
        <f>IFERROR(IF(VLOOKUP(A1414,[10]PRIORIZADOS!$A:$C,3,FALSE)="","",VLOOKUP(A1414,[10]PRIORIZADOS!$A:$C,3,FALSE)),"")</f>
        <v>PUENTE ARANDA</v>
      </c>
      <c r="D1414" s="11" t="str">
        <f>IFERROR(IF(VLOOKUP(A1414,[10]PRIORIZADOS!$A:$D,4,FALSE)="","",VLOOKUP(A1414,[10]PRIORIZADOS!$A:$D,4,FALSE)),"")</f>
        <v>PRIVADO</v>
      </c>
      <c r="E1414" s="11" t="str">
        <f>IFERROR(IF(VLOOKUP(A1414,[10]PRIORIZADOS!$A:$E,5,FALSE)="","",VLOOKUP(A1414,[10]PRIORIZADOS!$A:$E,5,FALSE)),"")</f>
        <v>Educación de Jóvenes y Adultos</v>
      </c>
      <c r="F1414" s="11" t="str">
        <f>IFERROR(IF(VLOOKUP(A1414,[10]PRIORIZADOS!$A:$F,6,FALSE)="","",VLOOKUP(A1414,[10]PRIORIZADOS!$A:$F,6,FALSE)),"")</f>
        <v>LICEO_NUEVO_CHILE</v>
      </c>
      <c r="G1414" s="11" t="str">
        <f>IFERROR(IF(VLOOKUP(A1414,[10]PRIORIZADOS!$A:$G,7,FALSE)="","",VLOOKUP(A1414,[10]PRIORIZADOS!$A:$G,7,FALSE)),"")</f>
        <v>LICEO NUEVO CHILE</v>
      </c>
      <c r="H1414" s="11" t="str">
        <f>IFERROR(IF(VLOOKUP(A1414,[10]PRIORIZADOS!$A:$H,8,FALSE)="","",VLOOKUP(A1414,[10]PRIORIZADOS!$A:$H,8,FALSE)),"")</f>
        <v>Autoevaluación Institucional y Pruebas SABER 11</v>
      </c>
      <c r="I1414" s="11" t="str">
        <f>IFERROR(IF(VLOOKUP(A1414,[10]PRIORIZADOS!$A:$I,9,FALSE)="","",VLOOKUP(A1414,[10]PRIORIZADOS!$A:$I,9,FALSE)),"")</f>
        <v>SEGUIMIENTO_Y_SUPERVISIÓN.</v>
      </c>
      <c r="J1414" s="11" t="str">
        <f>IFERROR(IF(VLOOKUP(A1414,[10]PRIORIZADOS!$A:$J,10,FALSE)="","",VLOOKUP(A1414,[10]PRIORIZADOS!$A:$J,10,FALSE)),"")</f>
        <v>Proponer estrategias en la formulación, verificar su elaboración y realizar seguimiento semestral al desarrollo de  las acciones establecidas en los planes de mejoramiento por pruebas SABER 11 de los establecimientos de educación formal.</v>
      </c>
      <c r="K1414" s="11" t="str">
        <f>IFERROR(IF(VLOOKUP(A1414,[10]PRIORIZADOS!$A:$K,11,FALSE)="","",VLOOKUP(A1414,[10]PRIORIZADOS!$A:$K,11,FALSE)),"")</f>
        <v>CRISTIAN CAMILO LÓPEZ VELANDIA</v>
      </c>
      <c r="L1414" s="11" t="str">
        <f>IFERROR(IF(VLOOKUP(A1414,[10]PRIORIZADOS!$A:$L,12,FALSE)="","",VLOOKUP(A1414,[10]PRIORIZADOS!$A:$L,12,FALSE)),"")</f>
        <v>OSCAR GERMAN CLAVIJO PALACIOS</v>
      </c>
      <c r="M1414" s="71">
        <f>IFERROR(IF(VLOOKUP(A1414,[10]PRIORIZADOS!$A:$M,13,FALSE)="","",VLOOKUP(A1414,[10]PRIORIZADOS!$A:$M,13,FALSE)),"")</f>
        <v>45771</v>
      </c>
      <c r="N1414" s="71">
        <f>IFERROR(IF(VLOOKUP(A1414,[10]PRIORIZADOS!$A:$N,14,FALSE)="","",VLOOKUP(A1414,[10]PRIORIZADOS!$A:$N,14,FALSE)),"")</f>
        <v>45896</v>
      </c>
      <c r="O1414" s="71">
        <f>IFERROR(IF(VLOOKUP(A1414,[10]PRIORIZADOS!$A:$O,15,FALSE)="","",VLOOKUP(A1414,[10]PRIORIZADOS!$A:$O,15,FALSE)),"")</f>
        <v>45896</v>
      </c>
      <c r="P1414" s="11" t="str">
        <f>IFERROR(IF(VLOOKUP(A1414,[10]PRIORIZADOS!$A:$P,16,FALSE)="","",VLOOKUP(A1414,[10]PRIORIZADOS!$A:$P,16,FALSE)),"")</f>
        <v>Visitas de evaluación con fines de mejoramiento</v>
      </c>
      <c r="Q1414" s="5" t="s">
        <v>344</v>
      </c>
      <c r="R1414" s="11" t="str">
        <f>IFERROR(IF(VLOOKUP(A1414,[10]PRIORIZADOS!$A:$R,18,FALSE)="","",VLOOKUP(A1414,[10]PRIORIZADOS!$A:$R,18,FALSE)),"")</f>
        <v>El Colegio ha realizado análisis de los resultados de las pruebas Saber, tiene un operador externo para instruir a los estudiantes y ha realizado acciones de mejoramiento, entre ellas, revision de plan de estudios basado en las competencias de las pruebas saber 11. Las actividades están aprobadas por consejo directivo.</v>
      </c>
      <c r="S1414" s="11" t="str">
        <f>IFERROR(IF(VLOOKUP(A1414,[10]PRIORIZADOS!$A:$S,19,FALSE)="","",VLOOKUP(A1414,[10]PRIORIZADOS!$A:$S,19,FALSE)),"")</f>
        <v>Continuar con el seguimiento a las pruebas saber 11 y continuar con las actividades que están ejecutando</v>
      </c>
      <c r="T1414" s="70" t="str">
        <f>IFERROR(IF(VLOOKUP(A1414,[10]PRIORIZADOS!$A:$T,20,FALSE)="","",VLOOKUP(A1414,[10]PRIORIZADOS!$A:$T,20,FALSE)),"")</f>
        <v>No</v>
      </c>
      <c r="U1414" s="11" t="str">
        <f>IFERROR(IF(VLOOKUP(A1414,[10]PRIORIZADOS!$A:$U,21,FALSE)="","",VLOOKUP(A1414,[10]PRIORIZADOS!$A:$U,21,FALSE)),"")</f>
        <v>En caso de presentarse PQR se procederá a realizar su respectiva revisión.</v>
      </c>
    </row>
    <row r="1415" spans="1:21" s="1" customFormat="1" ht="48">
      <c r="A1415" s="69">
        <f>IF([10]PRIORIZADOS!A29="","",[10]PRIORIZADOS!A29)</f>
        <v>1357</v>
      </c>
      <c r="B1415" s="70">
        <f>IFERROR(IF(VLOOKUP(A1415,[10]PRIORIZADOS!$A:$B,2,FALSE)="","",VLOOKUP(A1415,[10]PRIORIZADOS!$A:$B,2,FALSE)),"")</f>
        <v>5</v>
      </c>
      <c r="C1415" s="11" t="str">
        <f>IFERROR(IF(VLOOKUP(A1415,[10]PRIORIZADOS!$A:$C,3,FALSE)="","",VLOOKUP(A1415,[10]PRIORIZADOS!$A:$C,3,FALSE)),"")</f>
        <v>PUENTE ARANDA</v>
      </c>
      <c r="D1415" s="11" t="str">
        <f>IFERROR(IF(VLOOKUP(A1415,[10]PRIORIZADOS!$A:$D,4,FALSE)="","",VLOOKUP(A1415,[10]PRIORIZADOS!$A:$D,4,FALSE)),"")</f>
        <v>PRIVADO</v>
      </c>
      <c r="E1415" s="11" t="str">
        <f>IFERROR(IF(VLOOKUP(A1415,[10]PRIORIZADOS!$A:$E,5,FALSE)="","",VLOOKUP(A1415,[10]PRIORIZADOS!$A:$E,5,FALSE)),"")</f>
        <v>Educación de Jóvenes y Adultos</v>
      </c>
      <c r="F1415" s="11" t="str">
        <f>IFERROR(IF(VLOOKUP(A1415,[10]PRIORIZADOS!$A:$F,6,FALSE)="","",VLOOKUP(A1415,[10]PRIORIZADOS!$A:$F,6,FALSE)),"")</f>
        <v>LICEO_NUEVO_CHILE</v>
      </c>
      <c r="G1415" s="11" t="str">
        <f>IFERROR(IF(VLOOKUP(A1415,[10]PRIORIZADOS!$A:$G,7,FALSE)="","",VLOOKUP(A1415,[10]PRIORIZADOS!$A:$G,7,FALSE)),"")</f>
        <v>LICEO NUEVO CHILE</v>
      </c>
      <c r="H1415" s="11" t="str">
        <f>IFERROR(IF(VLOOKUP(A1415,[10]PRIORIZADOS!$A:$H,8,FALSE)="","",VLOOKUP(A1415,[10]PRIORIZADOS!$A:$H,8,FALSE)),"")</f>
        <v>Autoevaluación Institucional y Pruebas SABER 11</v>
      </c>
      <c r="I1415" s="11" t="str">
        <f>IFERROR(IF(VLOOKUP(A1415,[10]PRIORIZADOS!$A:$I,9,FALSE)="","",VLOOKUP(A1415,[10]PRIORIZADOS!$A:$I,9,FALSE)),"")</f>
        <v>SEGUIMIENTO_Y_SUPERVISIÓN.</v>
      </c>
      <c r="J1415" s="11" t="str">
        <f>IFERROR(IF(VLOOKUP(A1415,[10]PRIORIZADOS!$A:$J,10,FALSE)="","",VLOOKUP(A1415,[10]PRIORIZADOS!$A:$J,10,FALSE)),"")</f>
        <v xml:space="preserve">Verificar la implementación por parte de los colegios, de acciones realizadas para la prevención y atención de las situaciones de convivencia en el entorno escolar, según lo establecido en la Directiva 01 de 2022 del MEN. </v>
      </c>
      <c r="K1415" s="11" t="str">
        <f>IFERROR(IF(VLOOKUP(A1415,[10]PRIORIZADOS!$A:$K,11,FALSE)="","",VLOOKUP(A1415,[10]PRIORIZADOS!$A:$K,11,FALSE)),"")</f>
        <v>CRISTIAN CAMILO LÓPEZ VELANDIA</v>
      </c>
      <c r="L1415" s="11" t="str">
        <f>IFERROR(IF(VLOOKUP(A1415,[10]PRIORIZADOS!$A:$L,12,FALSE)="","",VLOOKUP(A1415,[10]PRIORIZADOS!$A:$L,12,FALSE)),"")</f>
        <v>OSCAR GERMAN CLAVIJO PALACIOS</v>
      </c>
      <c r="M1415" s="71">
        <f>IFERROR(IF(VLOOKUP(A1415,[10]PRIORIZADOS!$A:$M,13,FALSE)="","",VLOOKUP(A1415,[10]PRIORIZADOS!$A:$M,13,FALSE)),"")</f>
        <v>45771</v>
      </c>
      <c r="N1415" s="71">
        <f>IFERROR(IF(VLOOKUP(A1415,[10]PRIORIZADOS!$A:$N,14,FALSE)="","",VLOOKUP(A1415,[10]PRIORIZADOS!$A:$N,14,FALSE)),"")</f>
        <v>45896</v>
      </c>
      <c r="O1415" s="71">
        <f>IFERROR(IF(VLOOKUP(A1415,[10]PRIORIZADOS!$A:$O,15,FALSE)="","",VLOOKUP(A1415,[10]PRIORIZADOS!$A:$O,15,FALSE)),"")</f>
        <v>45896</v>
      </c>
      <c r="P1415" s="11" t="str">
        <f>IFERROR(IF(VLOOKUP(A1415,[10]PRIORIZADOS!$A:$P,16,FALSE)="","",VLOOKUP(A1415,[10]PRIORIZADOS!$A:$P,16,FALSE)),"")</f>
        <v>Visitas de evaluación con fines de mejoramiento</v>
      </c>
      <c r="Q1415" s="5" t="s">
        <v>344</v>
      </c>
      <c r="R1415" s="11" t="str">
        <f>IFERROR(IF(VLOOKUP(A1415,[10]PRIORIZADOS!$A:$R,18,FALSE)="","",VLOOKUP(A1415,[10]PRIORIZADOS!$A:$R,18,FALSE)),"")</f>
        <v>La institución realiza periódicamente la consulta de inhabilidades y realiza la activación de los protocolos en casos de convivencia escolar v 5.0</v>
      </c>
      <c r="S1415" s="11" t="str">
        <f>IFERROR(IF(VLOOKUP(A1415,[10]PRIORIZADOS!$A:$S,19,FALSE)="","",VLOOKUP(A1415,[10]PRIORIZADOS!$A:$S,19,FALSE)),"")</f>
        <v>Continuar con las acciones establecidas en la directiva 1/2022</v>
      </c>
      <c r="T1415" s="70" t="str">
        <f>IFERROR(IF(VLOOKUP(A1415,[10]PRIORIZADOS!$A:$T,20,FALSE)="","",VLOOKUP(A1415,[10]PRIORIZADOS!$A:$T,20,FALSE)),"")</f>
        <v>No</v>
      </c>
      <c r="U1415" s="11" t="str">
        <f>IFERROR(IF(VLOOKUP(A1415,[10]PRIORIZADOS!$A:$U,21,FALSE)="","",VLOOKUP(A1415,[10]PRIORIZADOS!$A:$U,21,FALSE)),"")</f>
        <v>En caso de presentarse PQR se procederá a realizar su respectiva revisión.</v>
      </c>
    </row>
    <row r="1416" spans="1:21" s="1" customFormat="1" ht="72">
      <c r="A1416" s="69">
        <f>IF([10]PRIORIZADOS!A30="","",[10]PRIORIZADOS!A30)</f>
        <v>1358</v>
      </c>
      <c r="B1416" s="70">
        <f>IFERROR(IF(VLOOKUP(A1416,[10]PRIORIZADOS!$A:$B,2,FALSE)="","",VLOOKUP(A1416,[10]PRIORIZADOS!$A:$B,2,FALSE)),"")</f>
        <v>5</v>
      </c>
      <c r="C1416" s="11" t="str">
        <f>IFERROR(IF(VLOOKUP(A1416,[10]PRIORIZADOS!$A:$C,3,FALSE)="","",VLOOKUP(A1416,[10]PRIORIZADOS!$A:$C,3,FALSE)),"")</f>
        <v>PUENTE ARANDA</v>
      </c>
      <c r="D1416" s="11" t="str">
        <f>IFERROR(IF(VLOOKUP(A1416,[10]PRIORIZADOS!$A:$D,4,FALSE)="","",VLOOKUP(A1416,[10]PRIORIZADOS!$A:$D,4,FALSE)),"")</f>
        <v>PRIVADO</v>
      </c>
      <c r="E1416" s="11" t="str">
        <f>IFERROR(IF(VLOOKUP(A1416,[10]PRIORIZADOS!$A:$E,5,FALSE)="","",VLOOKUP(A1416,[10]PRIORIZADOS!$A:$E,5,FALSE)),"")</f>
        <v>Educación de Jóvenes y Adultos</v>
      </c>
      <c r="F1416" s="11" t="str">
        <f>IFERROR(IF(VLOOKUP(A1416,[10]PRIORIZADOS!$A:$F,6,FALSE)="","",VLOOKUP(A1416,[10]PRIORIZADOS!$A:$F,6,FALSE)),"")</f>
        <v>LICEO_NUEVO_CHILE</v>
      </c>
      <c r="G1416" s="11" t="str">
        <f>IFERROR(IF(VLOOKUP(A1416,[10]PRIORIZADOS!$A:$G,7,FALSE)="","",VLOOKUP(A1416,[10]PRIORIZADOS!$A:$G,7,FALSE)),"")</f>
        <v>LICEO NUEVO CHILE</v>
      </c>
      <c r="H1416" s="11" t="str">
        <f>IFERROR(IF(VLOOKUP(A1416,[10]PRIORIZADOS!$A:$H,8,FALSE)="","",VLOOKUP(A1416,[10]PRIORIZADOS!$A:$H,8,FALSE)),"")</f>
        <v>Autoevaluación Institucional y Pruebas SABER 11</v>
      </c>
      <c r="I1416" s="11" t="str">
        <f>IFERROR(IF(VLOOKUP(A1416,[10]PRIORIZADOS!$A:$I,9,FALSE)="","",VLOOKUP(A1416,[10]PRIORIZADOS!$A:$I,9,FALSE)),"")</f>
        <v>SEGUIMIENTO_Y_SUPERVISIÓN.</v>
      </c>
      <c r="J1416" s="11" t="str">
        <f>IFERROR(IF(VLOOKUP(A1416,[10]PRIORIZADOS!$A:$J,10,FALSE)="","",VLOOKUP(A1416,[10]PRIORIZADOS!$A:$J,10,FALSE)),"")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16" s="11" t="str">
        <f>IFERROR(IF(VLOOKUP(A1416,[10]PRIORIZADOS!$A:$K,11,FALSE)="","",VLOOKUP(A1416,[10]PRIORIZADOS!$A:$K,11,FALSE)),"")</f>
        <v>CRISTIAN CAMILO LÓPEZ VELANDIA</v>
      </c>
      <c r="L1416" s="11" t="str">
        <f>IFERROR(IF(VLOOKUP(A1416,[10]PRIORIZADOS!$A:$L,12,FALSE)="","",VLOOKUP(A1416,[10]PRIORIZADOS!$A:$L,12,FALSE)),"")</f>
        <v>OSCAR GERMAN CLAVIJO PALACIOS</v>
      </c>
      <c r="M1416" s="71">
        <f>IFERROR(IF(VLOOKUP(A1416,[10]PRIORIZADOS!$A:$M,13,FALSE)="","",VLOOKUP(A1416,[10]PRIORIZADOS!$A:$M,13,FALSE)),"")</f>
        <v>45771</v>
      </c>
      <c r="N1416" s="71">
        <f>IFERROR(IF(VLOOKUP(A1416,[10]PRIORIZADOS!$A:$N,14,FALSE)="","",VLOOKUP(A1416,[10]PRIORIZADOS!$A:$N,14,FALSE)),"")</f>
        <v>45896</v>
      </c>
      <c r="O1416" s="71">
        <f>IFERROR(IF(VLOOKUP(A1416,[10]PRIORIZADOS!$A:$O,15,FALSE)="","",VLOOKUP(A1416,[10]PRIORIZADOS!$A:$O,15,FALSE)),"")</f>
        <v>45896</v>
      </c>
      <c r="P1416" s="11" t="str">
        <f>IFERROR(IF(VLOOKUP(A1416,[10]PRIORIZADOS!$A:$P,16,FALSE)="","",VLOOKUP(A1416,[10]PRIORIZADOS!$A:$P,16,FALSE)),"")</f>
        <v>Visitas de evaluación con fines de mejoramiento</v>
      </c>
      <c r="Q1416" s="5" t="s">
        <v>344</v>
      </c>
      <c r="R1416" s="11" t="str">
        <f>IFERROR(IF(VLOOKUP(A1416,[10]PRIORIZADOS!$A:$R,18,FALSE)="","",VLOOKUP(A1416,[10]PRIORIZADOS!$A:$R,18,FALSE)),"")</f>
        <v>La institución debe modificar los ajustes razonables, indicando las acciones que desarrollara la institucion educativa (e.g.modificacion de actividades de evaluacion, ajustes sobre los resultados de aprendizaje)</v>
      </c>
      <c r="S1416" s="11" t="str">
        <f>IFERROR(IF(VLOOKUP(A1416,[10]PRIORIZADOS!$A:$S,19,FALSE)="","",VLOOKUP(A1416,[10]PRIORIZADOS!$A:$S,19,FALSE)),"")</f>
        <v>Actualizar los PIAR de los estudiantes e implementar estrategias de seguimiento a su implementación. Elaborar un plan de mejoramiento y comunicarlo a ELIV el 26/09/2025</v>
      </c>
      <c r="T1416" s="70" t="str">
        <f>IFERROR(IF(VLOOKUP(A1416,[10]PRIORIZADOS!$A:$T,20,FALSE)="","",VLOOKUP(A1416,[10]PRIORIZADOS!$A:$T,20,FALSE)),"")</f>
        <v>Si</v>
      </c>
      <c r="U1416" s="11" t="str">
        <f>IFERROR(IF(VLOOKUP(A1416,[10]PRIORIZADOS!$A:$U,21,FALSE)="","",VLOOKUP(A1416,[10]PRIORIZADOS!$A:$U,21,FALSE)),"")</f>
        <v>Revisión del plan de mejoramiento el 26/09/2025</v>
      </c>
    </row>
    <row r="1417" spans="1:21" s="1" customFormat="1" ht="130.5">
      <c r="A1417" s="69">
        <f>IF([10]PRIORIZADOS!A31="","",[10]PRIORIZADOS!A31)</f>
        <v>1359</v>
      </c>
      <c r="B1417" s="70">
        <f>IFERROR(IF(VLOOKUP(A1417,[10]PRIORIZADOS!$A:$B,2,FALSE)="","",VLOOKUP(A1417,[10]PRIORIZADOS!$A:$B,2,FALSE)),"")</f>
        <v>5</v>
      </c>
      <c r="C1417" s="11" t="str">
        <f>IFERROR(IF(VLOOKUP(A1417,[10]PRIORIZADOS!$A:$C,3,FALSE)="","",VLOOKUP(A1417,[10]PRIORIZADOS!$A:$C,3,FALSE)),"")</f>
        <v>PUENTE ARANDA</v>
      </c>
      <c r="D1417" s="11" t="str">
        <f>IFERROR(IF(VLOOKUP(A1417,[10]PRIORIZADOS!$A:$D,4,FALSE)="","",VLOOKUP(A1417,[10]PRIORIZADOS!$A:$D,4,FALSE)),"")</f>
        <v>PRIVADO</v>
      </c>
      <c r="E1417" s="11" t="str">
        <f>IFERROR(IF(VLOOKUP(A1417,[10]PRIORIZADOS!$A:$E,5,FALSE)="","",VLOOKUP(A1417,[10]PRIORIZADOS!$A:$E,5,FALSE)),"")</f>
        <v>EPBM</v>
      </c>
      <c r="F1417" s="11" t="str">
        <f>IFERROR(IF(VLOOKUP(A1417,[10]PRIORIZADOS!$A:$F,6,FALSE)="","",VLOOKUP(A1417,[10]PRIORIZADOS!$A:$F,6,FALSE)),"")</f>
        <v>LICEO_NUEVO_CHILE</v>
      </c>
      <c r="G1417" s="11" t="str">
        <f>IFERROR(IF(VLOOKUP(A1417,[10]PRIORIZADOS!$A:$G,7,FALSE)="","",VLOOKUP(A1417,[10]PRIORIZADOS!$A:$G,7,FALSE)),"")</f>
        <v>LICEO NUEVO CHILE</v>
      </c>
      <c r="H1417" s="11" t="str">
        <f>IFERROR(IF(VLOOKUP(A1417,[10]PRIORIZADOS!$A:$H,8,FALSE)="","",VLOOKUP(A1417,[10]PRIORIZADOS!$A:$H,8,FALSE)),"")</f>
        <v>Autoevaluación Institucional y Pruebas SABER 11</v>
      </c>
      <c r="I1417" s="11" t="str">
        <f>IFERROR(IF(VLOOKUP(A1417,[10]PRIORIZADOS!$A:$I,9,FALSE)="","",VLOOKUP(A1417,[10]PRIORIZADOS!$A:$I,9,FALSE)),"")</f>
        <v>EVALUACIÓN_CON_FINES_DE_MEJORAMIENTO.</v>
      </c>
      <c r="J1417" s="11" t="str">
        <f>IFERROR(IF(VLOOKUP(A1417,[10]PRIORIZADOS!$A:$J,10,FALSE)="","",VLOOKUP(A1417,[10]PRIORIZADOS!$A:$J,10,FALSE)),"")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17" s="11" t="str">
        <f>IFERROR(IF(VLOOKUP(A1417,[10]PRIORIZADOS!$A:$K,11,FALSE)="","",VLOOKUP(A1417,[10]PRIORIZADOS!$A:$K,11,FALSE)),"")</f>
        <v>CRISTIAN CAMILO LÓPEZ VELANDIA</v>
      </c>
      <c r="L1417" s="11" t="str">
        <f>IFERROR(IF(VLOOKUP(A1417,[10]PRIORIZADOS!$A:$L,12,FALSE)="","",VLOOKUP(A1417,[10]PRIORIZADOS!$A:$L,12,FALSE)),"")</f>
        <v>OSCAR GERMAN CLAVIJO PALACIOS</v>
      </c>
      <c r="M1417" s="71">
        <f>IFERROR(IF(VLOOKUP(A1417,[10]PRIORIZADOS!$A:$M,13,FALSE)="","",VLOOKUP(A1417,[10]PRIORIZADOS!$A:$M,13,FALSE)),"")</f>
        <v>45771</v>
      </c>
      <c r="N1417" s="71">
        <f>IFERROR(IF(VLOOKUP(A1417,[10]PRIORIZADOS!$A:$N,14,FALSE)="","",VLOOKUP(A1417,[10]PRIORIZADOS!$A:$N,14,FALSE)),"")</f>
        <v>45896</v>
      </c>
      <c r="O1417" s="71">
        <f>IFERROR(IF(VLOOKUP(A1417,[10]PRIORIZADOS!$A:$O,15,FALSE)="","",VLOOKUP(A1417,[10]PRIORIZADOS!$A:$O,15,FALSE)),"")</f>
        <v>45896</v>
      </c>
      <c r="P1417" s="11" t="str">
        <f>IFERROR(IF(VLOOKUP(A1417,[10]PRIORIZADOS!$A:$P,16,FALSE)="","",VLOOKUP(A1417,[10]PRIORIZADOS!$A:$P,16,FALSE)),"")</f>
        <v>Visitas de evaluación con fines de mejoramiento</v>
      </c>
      <c r="Q1417" s="5" t="s">
        <v>344</v>
      </c>
      <c r="R1417" s="11" t="str">
        <f>IFERROR(IF(VLOOKUP(A1417,[10]PRIORIZADOS!$A:$R,18,FALSE)="","",VLOOKUP(A1417,[10]PRIORIZADOS!$A:$R,18,FALSE)),"")</f>
        <v>Se refiere la actualización del manual de convivencia de manera anual, sin embargo no existen actas o documentación que soporte este accionar. La institución debe revisar nuevamente el manual, implementando las diferentes sentencias de la corte particularmente las que evidencian la necesidad de la garantía del libre desarrollo de la personalidad y del debido proceso para procesos administrativos</v>
      </c>
      <c r="S1417" s="11" t="str">
        <f>IFERROR(IF(VLOOKUP(A1417,[10]PRIORIZADOS!$A:$S,19,FALSE)="","",VLOOKUP(A1417,[10]PRIORIZADOS!$A:$S,19,FALSE)),"")</f>
        <v>Realizar las actas donde se evidencie la actualización, socialización e implementación del manual de convivencia. Así mismo, iniciar nuevamente los procesos de revisión de este documento en las diferentes instancias del gobierno escolar. Establecer acciones de mejora e incorporar el plan de mejoramiento a reportar el 26/09/2025</v>
      </c>
      <c r="T1417" s="70" t="str">
        <f>IFERROR(IF(VLOOKUP(A1417,[10]PRIORIZADOS!$A:$T,20,FALSE)="","",VLOOKUP(A1417,[10]PRIORIZADOS!$A:$T,20,FALSE)),"")</f>
        <v>SI</v>
      </c>
      <c r="U1417" s="11" t="str">
        <f>IFERROR(IF(VLOOKUP(A1417,[10]PRIORIZADOS!$A:$U,21,FALSE)="","",VLOOKUP(A1417,[10]PRIORIZADOS!$A:$U,21,FALSE)),"")</f>
        <v>Revisión del plan de mejora, contemplada su entrega para el 26/09/2025.</v>
      </c>
    </row>
    <row r="1418" spans="1:21" s="1" customFormat="1" ht="84">
      <c r="A1418" s="69">
        <f>IF([10]PRIORIZADOS!A32="","",[10]PRIORIZADOS!A32)</f>
        <v>1360</v>
      </c>
      <c r="B1418" s="70">
        <f>IFERROR(IF(VLOOKUP(A1418,[10]PRIORIZADOS!$A:$B,2,FALSE)="","",VLOOKUP(A1418,[10]PRIORIZADOS!$A:$B,2,FALSE)),"")</f>
        <v>5</v>
      </c>
      <c r="C1418" s="11" t="str">
        <f>IFERROR(IF(VLOOKUP(A1418,[10]PRIORIZADOS!$A:$C,3,FALSE)="","",VLOOKUP(A1418,[10]PRIORIZADOS!$A:$C,3,FALSE)),"")</f>
        <v>PUENTE ARANDA</v>
      </c>
      <c r="D1418" s="11" t="str">
        <f>IFERROR(IF(VLOOKUP(A1418,[10]PRIORIZADOS!$A:$D,4,FALSE)="","",VLOOKUP(A1418,[10]PRIORIZADOS!$A:$D,4,FALSE)),"")</f>
        <v>PRIVADO</v>
      </c>
      <c r="E1418" s="11" t="str">
        <f>IFERROR(IF(VLOOKUP(A1418,[10]PRIORIZADOS!$A:$E,5,FALSE)="","",VLOOKUP(A1418,[10]PRIORIZADOS!$A:$E,5,FALSE)),"")</f>
        <v>EPBM</v>
      </c>
      <c r="F1418" s="11" t="str">
        <f>IFERROR(IF(VLOOKUP(A1418,[10]PRIORIZADOS!$A:$F,6,FALSE)="","",VLOOKUP(A1418,[10]PRIORIZADOS!$A:$F,6,FALSE)),"")</f>
        <v>LICEO_NUEVO_CHILE</v>
      </c>
      <c r="G1418" s="11" t="str">
        <f>IFERROR(IF(VLOOKUP(A1418,[10]PRIORIZADOS!$A:$G,7,FALSE)="","",VLOOKUP(A1418,[10]PRIORIZADOS!$A:$G,7,FALSE)),"")</f>
        <v>LICEO NUEVO CHILE</v>
      </c>
      <c r="H1418" s="11" t="str">
        <f>IFERROR(IF(VLOOKUP(A1418,[10]PRIORIZADOS!$A:$H,8,FALSE)="","",VLOOKUP(A1418,[10]PRIORIZADOS!$A:$H,8,FALSE)),"")</f>
        <v>Autoevaluación Institucional y Pruebas SABER 11</v>
      </c>
      <c r="I1418" s="11" t="str">
        <f>IFERROR(IF(VLOOKUP(A1418,[10]PRIORIZADOS!$A:$I,9,FALSE)="","",VLOOKUP(A1418,[10]PRIORIZADOS!$A:$I,9,FALSE)),"")</f>
        <v>EVALUACIÓN_CON_FINES_DE_MEJORAMIENTO.</v>
      </c>
      <c r="J1418" s="11" t="str">
        <f>IFERROR(IF(VLOOKUP(A1418,[10]PRIORIZADOS!$A:$J,10,FALSE)="","",VLOOKUP(A1418,[10]PRIORIZADOS!$A:$J,10,FALSE)),"")</f>
        <v>Revisar la actualización, socialización e implementación del Sistema Institucional de Evaluación de Estudiantes - SIEE, en articulación con la actualización del PEI y la normatividad vigente.</v>
      </c>
      <c r="K1418" s="11" t="str">
        <f>IFERROR(IF(VLOOKUP(A1418,[10]PRIORIZADOS!$A:$K,11,FALSE)="","",VLOOKUP(A1418,[10]PRIORIZADOS!$A:$K,11,FALSE)),"")</f>
        <v>CRISTIAN CAMILO LÓPEZ VELANDIA</v>
      </c>
      <c r="L1418" s="11" t="str">
        <f>IFERROR(IF(VLOOKUP(A1418,[10]PRIORIZADOS!$A:$L,12,FALSE)="","",VLOOKUP(A1418,[10]PRIORIZADOS!$A:$L,12,FALSE)),"")</f>
        <v>OSCAR GERMAN CLAVIJO PALACIOS</v>
      </c>
      <c r="M1418" s="71">
        <f>IFERROR(IF(VLOOKUP(A1418,[10]PRIORIZADOS!$A:$M,13,FALSE)="","",VLOOKUP(A1418,[10]PRIORIZADOS!$A:$M,13,FALSE)),"")</f>
        <v>45771</v>
      </c>
      <c r="N1418" s="71">
        <f>IFERROR(IF(VLOOKUP(A1418,[10]PRIORIZADOS!$A:$N,14,FALSE)="","",VLOOKUP(A1418,[10]PRIORIZADOS!$A:$N,14,FALSE)),"")</f>
        <v>45896</v>
      </c>
      <c r="O1418" s="71">
        <f>IFERROR(IF(VLOOKUP(A1418,[10]PRIORIZADOS!$A:$O,15,FALSE)="","",VLOOKUP(A1418,[10]PRIORIZADOS!$A:$O,15,FALSE)),"")</f>
        <v>45896</v>
      </c>
      <c r="P1418" s="11" t="str">
        <f>IFERROR(IF(VLOOKUP(A1418,[10]PRIORIZADOS!$A:$P,16,FALSE)="","",VLOOKUP(A1418,[10]PRIORIZADOS!$A:$P,16,FALSE)),"")</f>
        <v>Visitas de evaluación con fines de mejoramiento</v>
      </c>
      <c r="Q1418" s="5" t="s">
        <v>344</v>
      </c>
      <c r="R1418" s="11" t="str">
        <f>IFERROR(IF(VLOOKUP(A1418,[10]PRIORIZADOS!$A:$R,18,FALSE)="","",VLOOKUP(A1418,[10]PRIORIZADOS!$A:$R,18,FALSE)),"")</f>
        <v>Se evidencia la ejecución y registro de la información del SIEE, el cual cuenta con estrategias de apoyo para resolver situaciones en el aula y de nivelación y mejoramiento del aprendizaje de los estudiantes a través de planes de mejora individuales y seguimiento con familias</v>
      </c>
      <c r="S1418" s="11" t="str">
        <f>IFERROR(IF(VLOOKUP(A1418,[10]PRIORIZADOS!$A:$S,19,FALSE)="","",VLOOKUP(A1418,[10]PRIORIZADOS!$A:$S,19,FALSE)),"")</f>
        <v>Se debe continuar con el proceso de revisión y actualización</v>
      </c>
      <c r="T1418" s="70" t="str">
        <f>IFERROR(IF(VLOOKUP(A1418,[10]PRIORIZADOS!$A:$T,20,FALSE)="","",VLOOKUP(A1418,[10]PRIORIZADOS!$A:$T,20,FALSE)),"")</f>
        <v>No</v>
      </c>
      <c r="U1418" s="11" t="str">
        <f>IFERROR(IF(VLOOKUP(A1418,[10]PRIORIZADOS!$A:$U,21,FALSE)="","",VLOOKUP(A1418,[10]PRIORIZADOS!$A:$U,21,FALSE)),"")</f>
        <v>En caso de presentarse PQR se procederá a realizar su respectiva revisión.</v>
      </c>
    </row>
    <row r="1419" spans="1:21" s="1" customFormat="1" ht="48">
      <c r="A1419" s="69">
        <f>IF([10]PRIORIZADOS!A33="","",[10]PRIORIZADOS!A33)</f>
        <v>1361</v>
      </c>
      <c r="B1419" s="70">
        <f>IFERROR(IF(VLOOKUP(A1419,[10]PRIORIZADOS!$A:$B,2,FALSE)="","",VLOOKUP(A1419,[10]PRIORIZADOS!$A:$B,2,FALSE)),"")</f>
        <v>5</v>
      </c>
      <c r="C1419" s="11" t="str">
        <f>IFERROR(IF(VLOOKUP(A1419,[10]PRIORIZADOS!$A:$C,3,FALSE)="","",VLOOKUP(A1419,[10]PRIORIZADOS!$A:$C,3,FALSE)),"")</f>
        <v>PUENTE ARANDA</v>
      </c>
      <c r="D1419" s="11" t="str">
        <f>IFERROR(IF(VLOOKUP(A1419,[10]PRIORIZADOS!$A:$D,4,FALSE)="","",VLOOKUP(A1419,[10]PRIORIZADOS!$A:$D,4,FALSE)),"")</f>
        <v>PRIVADO</v>
      </c>
      <c r="E1419" s="11" t="str">
        <f>IFERROR(IF(VLOOKUP(A1419,[10]PRIORIZADOS!$A:$E,5,FALSE)="","",VLOOKUP(A1419,[10]PRIORIZADOS!$A:$E,5,FALSE)),"")</f>
        <v>EPBM</v>
      </c>
      <c r="F1419" s="11" t="str">
        <f>IFERROR(IF(VLOOKUP(A1419,[10]PRIORIZADOS!$A:$F,6,FALSE)="","",VLOOKUP(A1419,[10]PRIORIZADOS!$A:$F,6,FALSE)),"")</f>
        <v>LICEO_NUEVO_CHILE</v>
      </c>
      <c r="G1419" s="11" t="str">
        <f>IFERROR(IF(VLOOKUP(A1419,[10]PRIORIZADOS!$A:$G,7,FALSE)="","",VLOOKUP(A1419,[10]PRIORIZADOS!$A:$G,7,FALSE)),"")</f>
        <v>LICEO NUEVO CHILE</v>
      </c>
      <c r="H1419" s="11" t="str">
        <f>IFERROR(IF(VLOOKUP(A1419,[10]PRIORIZADOS!$A:$H,8,FALSE)="","",VLOOKUP(A1419,[10]PRIORIZADOS!$A:$H,8,FALSE)),"")</f>
        <v>Autoevaluación Institucional y Pruebas SABER 11</v>
      </c>
      <c r="I1419" s="11" t="str">
        <f>IFERROR(IF(VLOOKUP(A1419,[10]PRIORIZADOS!$A:$I,9,FALSE)="","",VLOOKUP(A1419,[10]PRIORIZADOS!$A:$I,9,FALSE)),"")</f>
        <v>EVALUACIÓN_CON_FINES_DE_MEJORAMIENTO.</v>
      </c>
      <c r="J1419" s="11" t="str">
        <f>IFERROR(IF(VLOOKUP(A1419,[10]PRIORIZADOS!$A:$J,10,FALSE)="","",VLOOKUP(A1419,[10]PRIORIZADOS!$A:$J,10,FALSE)),"")</f>
        <v>Revisar el calendario escolar, jornada escolar, la intensidad horaria mínima anual en cada nivel y las modificaciones que se realicen al mismo, de acuerdo con lo previsto en la normatividad vigente.</v>
      </c>
      <c r="K1419" s="11" t="str">
        <f>IFERROR(IF(VLOOKUP(A1419,[10]PRIORIZADOS!$A:$K,11,FALSE)="","",VLOOKUP(A1419,[10]PRIORIZADOS!$A:$K,11,FALSE)),"")</f>
        <v>CRISTIAN CAMILO LÓPEZ VELANDIA</v>
      </c>
      <c r="L1419" s="11" t="str">
        <f>IFERROR(IF(VLOOKUP(A1419,[10]PRIORIZADOS!$A:$L,12,FALSE)="","",VLOOKUP(A1419,[10]PRIORIZADOS!$A:$L,12,FALSE)),"")</f>
        <v>OSCAR GERMAN CLAVIJO PALACIOS</v>
      </c>
      <c r="M1419" s="71">
        <f>IFERROR(IF(VLOOKUP(A1419,[10]PRIORIZADOS!$A:$M,13,FALSE)="","",VLOOKUP(A1419,[10]PRIORIZADOS!$A:$M,13,FALSE)),"")</f>
        <v>45771</v>
      </c>
      <c r="N1419" s="71">
        <f>IFERROR(IF(VLOOKUP(A1419,[10]PRIORIZADOS!$A:$N,14,FALSE)="","",VLOOKUP(A1419,[10]PRIORIZADOS!$A:$N,14,FALSE)),"")</f>
        <v>45896</v>
      </c>
      <c r="O1419" s="71">
        <f>IFERROR(IF(VLOOKUP(A1419,[10]PRIORIZADOS!$A:$O,15,FALSE)="","",VLOOKUP(A1419,[10]PRIORIZADOS!$A:$O,15,FALSE)),"")</f>
        <v>45896</v>
      </c>
      <c r="P1419" s="11" t="str">
        <f>IFERROR(IF(VLOOKUP(A1419,[10]PRIORIZADOS!$A:$P,16,FALSE)="","",VLOOKUP(A1419,[10]PRIORIZADOS!$A:$P,16,FALSE)),"")</f>
        <v>Visitas de evaluación con fines de mejoramiento</v>
      </c>
      <c r="Q1419" s="5" t="s">
        <v>344</v>
      </c>
      <c r="R1419" s="11" t="str">
        <f>IFERROR(IF(VLOOKUP(A1419,[10]PRIORIZADOS!$A:$R,18,FALSE)="","",VLOOKUP(A1419,[10]PRIORIZADOS!$A:$R,18,FALSE)),"")</f>
        <v>El colegio cumple el número mínimo de horas exigidas para los niveles de educacion aprobados</v>
      </c>
      <c r="S1419" s="11" t="str">
        <f>IFERROR(IF(VLOOKUP(A1419,[10]PRIORIZADOS!$A:$S,19,FALSE)="","",VLOOKUP(A1419,[10]PRIORIZADOS!$A:$S,19,FALSE)),"")</f>
        <v>Cumple con la intensidad de horas académicas mínimas</v>
      </c>
      <c r="T1419" s="70" t="str">
        <f>IFERROR(IF(VLOOKUP(A1419,[10]PRIORIZADOS!$A:$T,20,FALSE)="","",VLOOKUP(A1419,[10]PRIORIZADOS!$A:$T,20,FALSE)),"")</f>
        <v>No</v>
      </c>
      <c r="U1419" s="11" t="str">
        <f>IFERROR(IF(VLOOKUP(A1419,[10]PRIORIZADOS!$A:$U,21,FALSE)="","",VLOOKUP(A1419,[10]PRIORIZADOS!$A:$U,21,FALSE)),"")</f>
        <v>En caso de presentarse PQR se procederá a realizar su respectiva revisión.</v>
      </c>
    </row>
    <row r="1420" spans="1:21" s="1" customFormat="1" ht="60">
      <c r="A1420" s="69">
        <f>IF([10]PRIORIZADOS!A34="","",[10]PRIORIZADOS!A34)</f>
        <v>1362</v>
      </c>
      <c r="B1420" s="70">
        <f>IFERROR(IF(VLOOKUP(A1420,[10]PRIORIZADOS!$A:$B,2,FALSE)="","",VLOOKUP(A1420,[10]PRIORIZADOS!$A:$B,2,FALSE)),"")</f>
        <v>5</v>
      </c>
      <c r="C1420" s="11" t="str">
        <f>IFERROR(IF(VLOOKUP(A1420,[10]PRIORIZADOS!$A:$C,3,FALSE)="","",VLOOKUP(A1420,[10]PRIORIZADOS!$A:$C,3,FALSE)),"")</f>
        <v>PUENTE ARANDA</v>
      </c>
      <c r="D1420" s="11" t="str">
        <f>IFERROR(IF(VLOOKUP(A1420,[10]PRIORIZADOS!$A:$D,4,FALSE)="","",VLOOKUP(A1420,[10]PRIORIZADOS!$A:$D,4,FALSE)),"")</f>
        <v>PRIVADO</v>
      </c>
      <c r="E1420" s="11" t="str">
        <f>IFERROR(IF(VLOOKUP(A1420,[10]PRIORIZADOS!$A:$E,5,FALSE)="","",VLOOKUP(A1420,[10]PRIORIZADOS!$A:$E,5,FALSE)),"")</f>
        <v>EPBM</v>
      </c>
      <c r="F1420" s="11" t="str">
        <f>IFERROR(IF(VLOOKUP(A1420,[10]PRIORIZADOS!$A:$F,6,FALSE)="","",VLOOKUP(A1420,[10]PRIORIZADOS!$A:$F,6,FALSE)),"")</f>
        <v>LICEO_NUEVO_CHILE</v>
      </c>
      <c r="G1420" s="11" t="str">
        <f>IFERROR(IF(VLOOKUP(A1420,[10]PRIORIZADOS!$A:$G,7,FALSE)="","",VLOOKUP(A1420,[10]PRIORIZADOS!$A:$G,7,FALSE)),"")</f>
        <v>LICEO NUEVO CHILE</v>
      </c>
      <c r="H1420" s="11" t="str">
        <f>IFERROR(IF(VLOOKUP(A1420,[10]PRIORIZADOS!$A:$H,8,FALSE)="","",VLOOKUP(A1420,[10]PRIORIZADOS!$A:$H,8,FALSE)),"")</f>
        <v>Autoevaluación Institucional y Pruebas SABER 11</v>
      </c>
      <c r="I1420" s="11" t="str">
        <f>IFERROR(IF(VLOOKUP(A1420,[10]PRIORIZADOS!$A:$I,9,FALSE)="","",VLOOKUP(A1420,[10]PRIORIZADOS!$A:$I,9,FALSE)),"")</f>
        <v>EVALUACIÓN_CON_FINES_DE_MEJORAMIENTO.</v>
      </c>
      <c r="J1420" s="11" t="str">
        <f>IFERROR(IF(VLOOKUP(A1420,[10]PRIORIZADOS!$A:$J,10,FALSE)="","",VLOOKUP(A1420,[10]PRIORIZADOS!$A:$J,10,FALSE)),"")</f>
        <v>Verificar el funcionamiento del Gobierno Escolar e instancias de participación con base en la información sobre conformación reportada por la institución educativa.</v>
      </c>
      <c r="K1420" s="11" t="str">
        <f>IFERROR(IF(VLOOKUP(A1420,[10]PRIORIZADOS!$A:$K,11,FALSE)="","",VLOOKUP(A1420,[10]PRIORIZADOS!$A:$K,11,FALSE)),"")</f>
        <v>CRISTIAN CAMILO LÓPEZ VELANDIA</v>
      </c>
      <c r="L1420" s="11" t="str">
        <f>IFERROR(IF(VLOOKUP(A1420,[10]PRIORIZADOS!$A:$L,12,FALSE)="","",VLOOKUP(A1420,[10]PRIORIZADOS!$A:$L,12,FALSE)),"")</f>
        <v>OSCAR GERMAN CLAVIJO PALACIOS</v>
      </c>
      <c r="M1420" s="71">
        <f>IFERROR(IF(VLOOKUP(A1420,[10]PRIORIZADOS!$A:$M,13,FALSE)="","",VLOOKUP(A1420,[10]PRIORIZADOS!$A:$M,13,FALSE)),"")</f>
        <v>45771</v>
      </c>
      <c r="N1420" s="71">
        <f>IFERROR(IF(VLOOKUP(A1420,[10]PRIORIZADOS!$A:$N,14,FALSE)="","",VLOOKUP(A1420,[10]PRIORIZADOS!$A:$N,14,FALSE)),"")</f>
        <v>45896</v>
      </c>
      <c r="O1420" s="71">
        <f>IFERROR(IF(VLOOKUP(A1420,[10]PRIORIZADOS!$A:$O,15,FALSE)="","",VLOOKUP(A1420,[10]PRIORIZADOS!$A:$O,15,FALSE)),"")</f>
        <v>45896</v>
      </c>
      <c r="P1420" s="11" t="str">
        <f>IFERROR(IF(VLOOKUP(A1420,[10]PRIORIZADOS!$A:$P,16,FALSE)="","",VLOOKUP(A1420,[10]PRIORIZADOS!$A:$P,16,FALSE)),"")</f>
        <v>Visitas de evaluación con fines de mejoramiento</v>
      </c>
      <c r="Q1420" s="5" t="s">
        <v>344</v>
      </c>
      <c r="R1420" s="11" t="str">
        <f>IFERROR(IF(VLOOKUP(A1420,[10]PRIORIZADOS!$A:$R,18,FALSE)="","",VLOOKUP(A1420,[10]PRIORIZADOS!$A:$R,18,FALSE)),"")</f>
        <v>El colegio presenta las actas de conformación del gobierno escolar en el sistema SAE para el año 2025, sin embargo no existen actas de la operación de las instancias del gobierno escolar.</v>
      </c>
      <c r="S1420" s="11" t="str">
        <f>IFERROR(IF(VLOOKUP(A1420,[10]PRIORIZADOS!$A:$S,19,FALSE)="","",VLOOKUP(A1420,[10]PRIORIZADOS!$A:$S,19,FALSE)),"")</f>
        <v>Reorganizar, realizar y reconstruir las actas donde se evidencie la operación de las instancias del gobierno escolar y continuar con su ejecución en la vigencia 2025.</v>
      </c>
      <c r="T1420" s="70" t="str">
        <f>IFERROR(IF(VLOOKUP(A1420,[10]PRIORIZADOS!$A:$T,20,FALSE)="","",VLOOKUP(A1420,[10]PRIORIZADOS!$A:$T,20,FALSE)),"")</f>
        <v>SI</v>
      </c>
      <c r="U1420" s="11" t="str">
        <f>IFERROR(IF(VLOOKUP(A1420,[10]PRIORIZADOS!$A:$U,21,FALSE)="","",VLOOKUP(A1420,[10]PRIORIZADOS!$A:$U,21,FALSE)),"")</f>
        <v>Revisión del plan de mejora, contemplada su entrega para el 26/09/2025.</v>
      </c>
    </row>
    <row r="1421" spans="1:21" s="1" customFormat="1" ht="60">
      <c r="A1421" s="69">
        <f>IF([10]PRIORIZADOS!A35="","",[10]PRIORIZADOS!A35)</f>
        <v>1363</v>
      </c>
      <c r="B1421" s="70">
        <f>IFERROR(IF(VLOOKUP(A1421,[10]PRIORIZADOS!$A:$B,2,FALSE)="","",VLOOKUP(A1421,[10]PRIORIZADOS!$A:$B,2,FALSE)),"")</f>
        <v>5</v>
      </c>
      <c r="C1421" s="11" t="str">
        <f>IFERROR(IF(VLOOKUP(A1421,[10]PRIORIZADOS!$A:$C,3,FALSE)="","",VLOOKUP(A1421,[10]PRIORIZADOS!$A:$C,3,FALSE)),"")</f>
        <v>PUENTE ARANDA</v>
      </c>
      <c r="D1421" s="11" t="str">
        <f>IFERROR(IF(VLOOKUP(A1421,[10]PRIORIZADOS!$A:$D,4,FALSE)="","",VLOOKUP(A1421,[10]PRIORIZADOS!$A:$D,4,FALSE)),"")</f>
        <v>PRIVADO</v>
      </c>
      <c r="E1421" s="11" t="str">
        <f>IFERROR(IF(VLOOKUP(A1421,[10]PRIORIZADOS!$A:$E,5,FALSE)="","",VLOOKUP(A1421,[10]PRIORIZADOS!$A:$E,5,FALSE)),"")</f>
        <v>EPBM</v>
      </c>
      <c r="F1421" s="11" t="str">
        <f>IFERROR(IF(VLOOKUP(A1421,[10]PRIORIZADOS!$A:$F,6,FALSE)="","",VLOOKUP(A1421,[10]PRIORIZADOS!$A:$F,6,FALSE)),"")</f>
        <v>LICEO_NUEVO_CHILE</v>
      </c>
      <c r="G1421" s="11" t="str">
        <f>IFERROR(IF(VLOOKUP(A1421,[10]PRIORIZADOS!$A:$G,7,FALSE)="","",VLOOKUP(A1421,[10]PRIORIZADOS!$A:$G,7,FALSE)),"")</f>
        <v>LICEO NUEVO CHILE</v>
      </c>
      <c r="H1421" s="11" t="str">
        <f>IFERROR(IF(VLOOKUP(A1421,[10]PRIORIZADOS!$A:$H,8,FALSE)="","",VLOOKUP(A1421,[10]PRIORIZADOS!$A:$H,8,FALSE)),"")</f>
        <v>Autoevaluación Institucional y Pruebas SABER 11</v>
      </c>
      <c r="I1421" s="11" t="str">
        <f>IFERROR(IF(VLOOKUP(A1421,[10]PRIORIZADOS!$A:$I,9,FALSE)="","",VLOOKUP(A1421,[10]PRIORIZADOS!$A:$I,9,FALSE)),"")</f>
        <v>EVALUACIÓN_CON_FINES_DE_MEJORAMIENTO.</v>
      </c>
      <c r="J1421" s="11" t="str">
        <f>IFERROR(IF(VLOOKUP(A1421,[10]PRIORIZADOS!$A:$J,10,FALSE)="","",VLOOKUP(A1421,[10]PRIORIZADOS!$A:$J,10,FALSE)),"")</f>
        <v>Verificar las condiciones en cuanto a: la estructura administrativa, condiciones de la planta física y medios educativos adecuados.</v>
      </c>
      <c r="K1421" s="11" t="str">
        <f>IFERROR(IF(VLOOKUP(A1421,[10]PRIORIZADOS!$A:$K,11,FALSE)="","",VLOOKUP(A1421,[10]PRIORIZADOS!$A:$K,11,FALSE)),"")</f>
        <v>CRISTIAN CAMILO LÓPEZ VELANDIA</v>
      </c>
      <c r="L1421" s="11" t="str">
        <f>IFERROR(IF(VLOOKUP(A1421,[10]PRIORIZADOS!$A:$L,12,FALSE)="","",VLOOKUP(A1421,[10]PRIORIZADOS!$A:$L,12,FALSE)),"")</f>
        <v>OSCAR GERMAN CLAVIJO PALACIOS</v>
      </c>
      <c r="M1421" s="71">
        <f>IFERROR(IF(VLOOKUP(A1421,[10]PRIORIZADOS!$A:$M,13,FALSE)="","",VLOOKUP(A1421,[10]PRIORIZADOS!$A:$M,13,FALSE)),"")</f>
        <v>45771</v>
      </c>
      <c r="N1421" s="71">
        <f>IFERROR(IF(VLOOKUP(A1421,[10]PRIORIZADOS!$A:$N,14,FALSE)="","",VLOOKUP(A1421,[10]PRIORIZADOS!$A:$N,14,FALSE)),"")</f>
        <v>45896</v>
      </c>
      <c r="O1421" s="71">
        <f>IFERROR(IF(VLOOKUP(A1421,[10]PRIORIZADOS!$A:$O,15,FALSE)="","",VLOOKUP(A1421,[10]PRIORIZADOS!$A:$O,15,FALSE)),"")</f>
        <v>45896</v>
      </c>
      <c r="P1421" s="11" t="str">
        <f>IFERROR(IF(VLOOKUP(A1421,[10]PRIORIZADOS!$A:$P,16,FALSE)="","",VLOOKUP(A1421,[10]PRIORIZADOS!$A:$P,16,FALSE)),"")</f>
        <v>Visitas de evaluación con fines de mejoramiento</v>
      </c>
      <c r="Q1421" s="5" t="s">
        <v>344</v>
      </c>
      <c r="R1421" s="11" t="str">
        <f>IFERROR(IF(VLOOKUP(A1421,[10]PRIORIZADOS!$A:$R,18,FALSE)="","",VLOOKUP(A1421,[10]PRIORIZADOS!$A:$R,18,FALSE)),"")</f>
        <v>Cuenta con condiciones de plana física y medios educativos adecuados. Se encontró que la documentación del PEGR-CC no cuenta con documentos actualizados.</v>
      </c>
      <c r="S1421" s="11" t="str">
        <f>IFERROR(IF(VLOOKUP(A1421,[10]PRIORIZADOS!$A:$S,19,FALSE)="","",VLOOKUP(A1421,[10]PRIORIZADOS!$A:$S,19,FALSE)),"")</f>
        <v>Elaborar un plan de mejoramiento y comunicarlo a ELIV el 26/09/2025</v>
      </c>
      <c r="T1421" s="70" t="str">
        <f>IFERROR(IF(VLOOKUP(A1421,[10]PRIORIZADOS!$A:$T,20,FALSE)="","",VLOOKUP(A1421,[10]PRIORIZADOS!$A:$T,20,FALSE)),"")</f>
        <v>SI</v>
      </c>
      <c r="U1421" s="11" t="str">
        <f>IFERROR(IF(VLOOKUP(A1421,[10]PRIORIZADOS!$A:$U,21,FALSE)="","",VLOOKUP(A1421,[10]PRIORIZADOS!$A:$U,21,FALSE)),"")</f>
        <v>Revisión del plan de mejoramiento el 26/09/2025.</v>
      </c>
    </row>
    <row r="1422" spans="1:21" s="1" customFormat="1" ht="84">
      <c r="A1422" s="69">
        <f>IF([10]PRIORIZADOS!A36="","",[10]PRIORIZADOS!A36)</f>
        <v>1364</v>
      </c>
      <c r="B1422" s="70">
        <f>IFERROR(IF(VLOOKUP(A1422,[10]PRIORIZADOS!$A:$B,2,FALSE)="","",VLOOKUP(A1422,[10]PRIORIZADOS!$A:$B,2,FALSE)),"")</f>
        <v>6</v>
      </c>
      <c r="C1422" s="11" t="str">
        <f>IFERROR(IF(VLOOKUP(A1422,[10]PRIORIZADOS!$A:$C,3,FALSE)="","",VLOOKUP(A1422,[10]PRIORIZADOS!$A:$C,3,FALSE)),"")</f>
        <v>PUENTE ARANDA</v>
      </c>
      <c r="D1422" s="11" t="str">
        <f>IFERROR(IF(VLOOKUP(A1422,[10]PRIORIZADOS!$A:$D,4,FALSE)="","",VLOOKUP(A1422,[10]PRIORIZADOS!$A:$D,4,FALSE)),"")</f>
        <v>PRIVADO</v>
      </c>
      <c r="E1422" s="11" t="str">
        <f>IFERROR(IF(VLOOKUP(A1422,[10]PRIORIZADOS!$A:$E,5,FALSE)="","",VLOOKUP(A1422,[10]PRIORIZADOS!$A:$E,5,FALSE)),"")</f>
        <v>EPBM</v>
      </c>
      <c r="F1422" s="11" t="str">
        <f>IFERROR(IF(VLOOKUP(A1422,[10]PRIORIZADOS!$A:$F,6,FALSE)="","",VLOOKUP(A1422,[10]PRIORIZADOS!$A:$F,6,FALSE)),"")</f>
        <v>LICEO_PEDAGOGICO_NUESTRA_SEÑORA_DE_LA_SABIDURIA</v>
      </c>
      <c r="G1422" s="11" t="str">
        <f>IFERROR(IF(VLOOKUP(A1422,[10]PRIORIZADOS!$A:$G,7,FALSE)="","",VLOOKUP(A1422,[10]PRIORIZADOS!$A:$G,7,FALSE)),"")</f>
        <v>LICEO PEDAGOGICO NUESTRA SEÑORA DE LA SABIDURIA</v>
      </c>
      <c r="H1422" s="11" t="str">
        <f>IFERROR(IF(VLOOKUP(A1422,[10]PRIORIZADOS!$A:$H,8,FALSE)="","",VLOOKUP(A1422,[10]PRIORIZADOS!$A:$H,8,FALSE)),"")</f>
        <v>Autoevaluación Institucional y Pruebas SABER 11</v>
      </c>
      <c r="I1422" s="11" t="str">
        <f>IFERROR(IF(VLOOKUP(A1422,[10]PRIORIZADOS!$A:$I,9,FALSE)="","",VLOOKUP(A1422,[10]PRIORIZADOS!$A:$I,9,FALSE)),"")</f>
        <v>SEGUIMIENTO_Y_SUPERVISIÓN.</v>
      </c>
      <c r="J1422" s="11" t="str">
        <f>IFERROR(IF(VLOOKUP(A1422,[10]PRIORIZADOS!$A:$J,10,FALSE)="","",VLOOKUP(A1422,[10]PRIORIZADOS!$A:$J,10,FALSE)),"")</f>
        <v>Proponer estrategias en la formulación, verificar su elaboración y realizar seguimiento semestral al desarrollo de  las acciones establecidas en los planes de mejoramiento por pruebas SABER 11 de los establecimientos de educación formal.</v>
      </c>
      <c r="K1422" s="11" t="str">
        <f>IFERROR(IF(VLOOKUP(A1422,[10]PRIORIZADOS!$A:$K,11,FALSE)="","",VLOOKUP(A1422,[10]PRIORIZADOS!$A:$K,11,FALSE)),"")</f>
        <v>CRISTIAN CAMILO LÓPEZ VELANDIA</v>
      </c>
      <c r="L1422" s="11" t="str">
        <f>IFERROR(IF(VLOOKUP(A1422,[10]PRIORIZADOS!$A:$L,12,FALSE)="","",VLOOKUP(A1422,[10]PRIORIZADOS!$A:$L,12,FALSE)),"")</f>
        <v>ALBERTO ESCARRAGA PEÑUELA</v>
      </c>
      <c r="M1422" s="71">
        <f>IFERROR(IF(VLOOKUP(A1422,[10]PRIORIZADOS!$A:$M,13,FALSE)="","",VLOOKUP(A1422,[10]PRIORIZADOS!$A:$M,13,FALSE)),"")</f>
        <v>45777</v>
      </c>
      <c r="N1422" s="71">
        <f>IFERROR(IF(VLOOKUP(A1422,[10]PRIORIZADOS!$A:$N,14,FALSE)="","",VLOOKUP(A1422,[10]PRIORIZADOS!$A:$N,14,FALSE)),"")</f>
        <v>45777</v>
      </c>
      <c r="O1422" s="71">
        <f>IFERROR(IF(VLOOKUP(A1422,[10]PRIORIZADOS!$A:$O,15,FALSE)="","",VLOOKUP(A1422,[10]PRIORIZADOS!$A:$O,15,FALSE)),"")</f>
        <v>45777</v>
      </c>
      <c r="P1422" s="11" t="str">
        <f>IFERROR(IF(VLOOKUP(A1422,[10]PRIORIZADOS!$A:$P,16,FALSE)="","",VLOOKUP(A1422,[10]PRIORIZADOS!$A:$P,16,FALSE)),"")</f>
        <v>Visitas de evaluación con fines de mejoramiento</v>
      </c>
      <c r="Q1422" s="107" t="s">
        <v>345</v>
      </c>
      <c r="R1422" s="11" t="str">
        <f>IFERROR(IF(VLOOKUP(A1422,[10]PRIORIZADOS!$A:$R,18,FALSE)="","",VLOOKUP(A1422,[10]PRIORIZADOS!$A:$R,18,FALSE)),"")</f>
        <v>El colegio entrega datos de resultados de pruebas SABER 11 que soportan la revisión realizada, sin embargo no existen actas de las instancias del gobierno escolar donde se desarrollaron estas actividades</v>
      </c>
      <c r="S1422" s="11" t="str">
        <f>IFERROR(IF(VLOOKUP(A1422,[10]PRIORIZADOS!$A:$S,19,FALSE)="","",VLOOKUP(A1422,[10]PRIORIZADOS!$A:$S,19,FALSE)),"")</f>
        <v>Reconstruir las actas donde se evidencia el análisis y diseño de las estrategias para la mejora en las pruebas saber 11, y continuar con la aplicación de las estrategias presentadas. Establecer acciones de mejora e incorporar el plan de mejoramiento a reportar el 21/05/2025.</v>
      </c>
      <c r="T1422" s="70" t="str">
        <f>IFERROR(IF(VLOOKUP(A1422,[10]PRIORIZADOS!$A:$T,20,FALSE)="","",VLOOKUP(A1422,[10]PRIORIZADOS!$A:$T,20,FALSE)),"")</f>
        <v>SI</v>
      </c>
      <c r="U1422" s="11" t="str">
        <f>IFERROR(IF(VLOOKUP(A1422,[10]PRIORIZADOS!$A:$U,21,FALSE)="","",VLOOKUP(A1422,[10]PRIORIZADOS!$A:$U,21,FALSE)),"")</f>
        <v>Revisión del plan de mejora, contemplada su entrega para el 21/05/2025.</v>
      </c>
    </row>
    <row r="1423" spans="1:21" s="1" customFormat="1" ht="142.5">
      <c r="A1423" s="69">
        <f>IF([10]PRIORIZADOS!A37="","",[10]PRIORIZADOS!A37)</f>
        <v>1365</v>
      </c>
      <c r="B1423" s="70">
        <f>IFERROR(IF(VLOOKUP(A1423,[10]PRIORIZADOS!$A:$B,2,FALSE)="","",VLOOKUP(A1423,[10]PRIORIZADOS!$A:$B,2,FALSE)),"")</f>
        <v>6</v>
      </c>
      <c r="C1423" s="11" t="str">
        <f>IFERROR(IF(VLOOKUP(A1423,[10]PRIORIZADOS!$A:$C,3,FALSE)="","",VLOOKUP(A1423,[10]PRIORIZADOS!$A:$C,3,FALSE)),"")</f>
        <v>PUENTE ARANDA</v>
      </c>
      <c r="D1423" s="11" t="str">
        <f>IFERROR(IF(VLOOKUP(A1423,[10]PRIORIZADOS!$A:$D,4,FALSE)="","",VLOOKUP(A1423,[10]PRIORIZADOS!$A:$D,4,FALSE)),"")</f>
        <v>PRIVADO</v>
      </c>
      <c r="E1423" s="11" t="str">
        <f>IFERROR(IF(VLOOKUP(A1423,[10]PRIORIZADOS!$A:$E,5,FALSE)="","",VLOOKUP(A1423,[10]PRIORIZADOS!$A:$E,5,FALSE)),"")</f>
        <v>EPBM</v>
      </c>
      <c r="F1423" s="11" t="str">
        <f>IFERROR(IF(VLOOKUP(A1423,[10]PRIORIZADOS!$A:$F,6,FALSE)="","",VLOOKUP(A1423,[10]PRIORIZADOS!$A:$F,6,FALSE)),"")</f>
        <v>LICEO_PEDAGOGICO_NUESTRA_SEÑORA_DE_LA_SABIDURIA</v>
      </c>
      <c r="G1423" s="11" t="str">
        <f>IFERROR(IF(VLOOKUP(A1423,[10]PRIORIZADOS!$A:$G,7,FALSE)="","",VLOOKUP(A1423,[10]PRIORIZADOS!$A:$G,7,FALSE)),"")</f>
        <v>LICEO PEDAGOGICO NUESTRA SEÑORA DE LA SABIDURIA</v>
      </c>
      <c r="H1423" s="11" t="str">
        <f>IFERROR(IF(VLOOKUP(A1423,[10]PRIORIZADOS!$A:$H,8,FALSE)="","",VLOOKUP(A1423,[10]PRIORIZADOS!$A:$H,8,FALSE)),"")</f>
        <v>Autoevaluación Institucional y Pruebas SABER 11</v>
      </c>
      <c r="I1423" s="11" t="str">
        <f>IFERROR(IF(VLOOKUP(A1423,[10]PRIORIZADOS!$A:$I,9,FALSE)="","",VLOOKUP(A1423,[10]PRIORIZADOS!$A:$I,9,FALSE)),"")</f>
        <v>SEGUIMIENTO_Y_SUPERVISIÓN.</v>
      </c>
      <c r="J1423" s="11" t="str">
        <f>IFERROR(IF(VLOOKUP(A1423,[10]PRIORIZADOS!$A:$J,10,FALSE)="","",VLOOKUP(A1423,[10]PRIORIZADOS!$A:$J,10,FALSE)),"")</f>
        <v xml:space="preserve">Verificar la implementación por parte de los colegios, de acciones realizadas para la prevención y atención de las situaciones de convivencia en el entorno escolar, según lo establecido en la Directiva 01 de 2022 del MEN. </v>
      </c>
      <c r="K1423" s="11" t="str">
        <f>IFERROR(IF(VLOOKUP(A1423,[10]PRIORIZADOS!$A:$K,11,FALSE)="","",VLOOKUP(A1423,[10]PRIORIZADOS!$A:$K,11,FALSE)),"")</f>
        <v>CRISTIAN CAMILO LÓPEZ VELANDIA</v>
      </c>
      <c r="L1423" s="11" t="str">
        <f>IFERROR(IF(VLOOKUP(A1423,[10]PRIORIZADOS!$A:$L,12,FALSE)="","",VLOOKUP(A1423,[10]PRIORIZADOS!$A:$L,12,FALSE)),"")</f>
        <v>ALBERTO ESCARRAGA PEÑUELA</v>
      </c>
      <c r="M1423" s="71">
        <f>IFERROR(IF(VLOOKUP(A1423,[10]PRIORIZADOS!$A:$M,13,FALSE)="","",VLOOKUP(A1423,[10]PRIORIZADOS!$A:$M,13,FALSE)),"")</f>
        <v>45777</v>
      </c>
      <c r="N1423" s="71">
        <f>IFERROR(IF(VLOOKUP(A1423,[10]PRIORIZADOS!$A:$N,14,FALSE)="","",VLOOKUP(A1423,[10]PRIORIZADOS!$A:$N,14,FALSE)),"")</f>
        <v>45777</v>
      </c>
      <c r="O1423" s="71">
        <f>IFERROR(IF(VLOOKUP(A1423,[10]PRIORIZADOS!$A:$O,15,FALSE)="","",VLOOKUP(A1423,[10]PRIORIZADOS!$A:$O,15,FALSE)),"")</f>
        <v>45777</v>
      </c>
      <c r="P1423" s="11" t="str">
        <f>IFERROR(IF(VLOOKUP(A1423,[10]PRIORIZADOS!$A:$P,16,FALSE)="","",VLOOKUP(A1423,[10]PRIORIZADOS!$A:$P,16,FALSE)),"")</f>
        <v>Visitas de evaluación con fines de mejoramiento</v>
      </c>
      <c r="Q1423" s="107" t="s">
        <v>345</v>
      </c>
      <c r="R1423" s="11" t="str">
        <f>IFERROR(IF(VLOOKUP(A1423,[10]PRIORIZADOS!$A:$R,18,FALSE)="","",VLOOKUP(A1423,[10]PRIORIZADOS!$A:$R,18,FALSE)),"")</f>
        <v>Se verificó la implementación de los protocolos de atención integral para la convivencia escolar y el ejercicio de los derechos humanos, derechos sexuales y derechos reproductivos por parte de la orientadora y la implementación de acciones preventivas y pedagógicas frente a situaciones de violencia sexual en el 
entorno escolar, sin embargo, no se encontraron actas o documentos que soporten el accionar por parte de esta instancia del gobierno escolar.</v>
      </c>
      <c r="S1423" s="11" t="str">
        <f>IFERROR(IF(VLOOKUP(A1423,[10]PRIORIZADOS!$A:$S,19,FALSE)="","",VLOOKUP(A1423,[10]PRIORIZADOS!$A:$S,19,FALSE)),"")</f>
        <v>Reconstruir las actas donde se evidencie la implementación de acciones preventivas y pedagógicas frente a situaciones de violencia sexual por parte del comité de convivencia escolar. Establecer acciones de mejora e incorporar el plan de mejoramiento a reportar el 21/05/2025</v>
      </c>
      <c r="T1423" s="70" t="str">
        <f>IFERROR(IF(VLOOKUP(A1423,[10]PRIORIZADOS!$A:$T,20,FALSE)="","",VLOOKUP(A1423,[10]PRIORIZADOS!$A:$T,20,FALSE)),"")</f>
        <v>SI</v>
      </c>
      <c r="U1423" s="11" t="str">
        <f>IFERROR(IF(VLOOKUP(A1423,[10]PRIORIZADOS!$A:$U,21,FALSE)="","",VLOOKUP(A1423,[10]PRIORIZADOS!$A:$U,21,FALSE)),"")</f>
        <v>Revisión del plan de mejora, contemplada su entrega para el 21/05/2025.</v>
      </c>
    </row>
    <row r="1424" spans="1:21" s="1" customFormat="1" ht="130.5">
      <c r="A1424" s="69">
        <f>IF([10]PRIORIZADOS!A38="","",[10]PRIORIZADOS!A38)</f>
        <v>1366</v>
      </c>
      <c r="B1424" s="70">
        <f>IFERROR(IF(VLOOKUP(A1424,[10]PRIORIZADOS!$A:$B,2,FALSE)="","",VLOOKUP(A1424,[10]PRIORIZADOS!$A:$B,2,FALSE)),"")</f>
        <v>6</v>
      </c>
      <c r="C1424" s="11" t="str">
        <f>IFERROR(IF(VLOOKUP(A1424,[10]PRIORIZADOS!$A:$C,3,FALSE)="","",VLOOKUP(A1424,[10]PRIORIZADOS!$A:$C,3,FALSE)),"")</f>
        <v>PUENTE ARANDA</v>
      </c>
      <c r="D1424" s="11" t="str">
        <f>IFERROR(IF(VLOOKUP(A1424,[10]PRIORIZADOS!$A:$D,4,FALSE)="","",VLOOKUP(A1424,[10]PRIORIZADOS!$A:$D,4,FALSE)),"")</f>
        <v>PRIVADO</v>
      </c>
      <c r="E1424" s="11" t="str">
        <f>IFERROR(IF(VLOOKUP(A1424,[10]PRIORIZADOS!$A:$E,5,FALSE)="","",VLOOKUP(A1424,[10]PRIORIZADOS!$A:$E,5,FALSE)),"")</f>
        <v>EPBM</v>
      </c>
      <c r="F1424" s="11" t="str">
        <f>IFERROR(IF(VLOOKUP(A1424,[10]PRIORIZADOS!$A:$F,6,FALSE)="","",VLOOKUP(A1424,[10]PRIORIZADOS!$A:$F,6,FALSE)),"")</f>
        <v>LICEO_PEDAGOGICO_NUESTRA_SEÑORA_DE_LA_SABIDURIA</v>
      </c>
      <c r="G1424" s="11" t="str">
        <f>IFERROR(IF(VLOOKUP(A1424,[10]PRIORIZADOS!$A:$G,7,FALSE)="","",VLOOKUP(A1424,[10]PRIORIZADOS!$A:$G,7,FALSE)),"")</f>
        <v>LICEO PEDAGOGICO NUESTRA SEÑORA DE LA SABIDURIA</v>
      </c>
      <c r="H1424" s="11" t="str">
        <f>IFERROR(IF(VLOOKUP(A1424,[10]PRIORIZADOS!$A:$H,8,FALSE)="","",VLOOKUP(A1424,[10]PRIORIZADOS!$A:$H,8,FALSE)),"")</f>
        <v>Autoevaluación Institucional y Pruebas SABER 11</v>
      </c>
      <c r="I1424" s="11" t="str">
        <f>IFERROR(IF(VLOOKUP(A1424,[10]PRIORIZADOS!$A:$I,9,FALSE)="","",VLOOKUP(A1424,[10]PRIORIZADOS!$A:$I,9,FALSE)),"")</f>
        <v>EVALUACIÓN_CON_FINES_DE_MEJORAMIENTO.</v>
      </c>
      <c r="J1424" s="11" t="str">
        <f>IFERROR(IF(VLOOKUP(A1424,[10]PRIORIZADOS!$A:$J,10,FALSE)="","",VLOOKUP(A1424,[10]PRIORIZADOS!$A:$J,10,FALSE)),"")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24" s="11" t="str">
        <f>IFERROR(IF(VLOOKUP(A1424,[10]PRIORIZADOS!$A:$K,11,FALSE)="","",VLOOKUP(A1424,[10]PRIORIZADOS!$A:$K,11,FALSE)),"")</f>
        <v>CRISTIAN CAMILO LÓPEZ VELANDIA</v>
      </c>
      <c r="L1424" s="11" t="str">
        <f>IFERROR(IF(VLOOKUP(A1424,[10]PRIORIZADOS!$A:$L,12,FALSE)="","",VLOOKUP(A1424,[10]PRIORIZADOS!$A:$L,12,FALSE)),"")</f>
        <v>ALBERTO ESCARRAGA PEÑUELA</v>
      </c>
      <c r="M1424" s="71">
        <f>IFERROR(IF(VLOOKUP(A1424,[10]PRIORIZADOS!$A:$M,13,FALSE)="","",VLOOKUP(A1424,[10]PRIORIZADOS!$A:$M,13,FALSE)),"")</f>
        <v>45777</v>
      </c>
      <c r="N1424" s="71">
        <f>IFERROR(IF(VLOOKUP(A1424,[10]PRIORIZADOS!$A:$N,14,FALSE)="","",VLOOKUP(A1424,[10]PRIORIZADOS!$A:$N,14,FALSE)),"")</f>
        <v>45777</v>
      </c>
      <c r="O1424" s="71">
        <f>IFERROR(IF(VLOOKUP(A1424,[10]PRIORIZADOS!$A:$O,15,FALSE)="","",VLOOKUP(A1424,[10]PRIORIZADOS!$A:$O,15,FALSE)),"")</f>
        <v>45777</v>
      </c>
      <c r="P1424" s="11" t="str">
        <f>IFERROR(IF(VLOOKUP(A1424,[10]PRIORIZADOS!$A:$P,16,FALSE)="","",VLOOKUP(A1424,[10]PRIORIZADOS!$A:$P,16,FALSE)),"")</f>
        <v>Visitas de evaluación con fines de mejoramiento</v>
      </c>
      <c r="Q1424" s="107" t="s">
        <v>345</v>
      </c>
      <c r="R1424" s="11" t="str">
        <f>IFERROR(IF(VLOOKUP(A1424,[10]PRIORIZADOS!$A:$R,18,FALSE)="","",VLOOKUP(A1424,[10]PRIORIZADOS!$A:$R,18,FALSE)),"")</f>
        <v>Se refiere la actualización del manual de convivencia de manera anual, sin embargo no existen actas o documentación que soporte este accionar. La institución debe revisar nuevamente el manual, implementando las diferentes sentencias de la corte particularmente las que evidencian la necesidad de la garantía del libre desarrollo de la personalidad y del debido proceso para procesos administrativos</v>
      </c>
      <c r="S1424" s="11" t="str">
        <f>IFERROR(IF(VLOOKUP(A1424,[10]PRIORIZADOS!$A:$S,19,FALSE)="","",VLOOKUP(A1424,[10]PRIORIZADOS!$A:$S,19,FALSE)),"")</f>
        <v>Reconstruir las actas donde se evidencie la actualización, socialización e implementación del manual de convivencia. Así mismo, iniciar nuevamente los procesos de revisión de este documento en las diferentes instancias del gobierno escolar. Establecer acciones de mejora e incorporar el plan de mejoramiento a reportar el 21/05/2025</v>
      </c>
      <c r="T1424" s="70" t="str">
        <f>IFERROR(IF(VLOOKUP(A1424,[10]PRIORIZADOS!$A:$T,20,FALSE)="","",VLOOKUP(A1424,[10]PRIORIZADOS!$A:$T,20,FALSE)),"")</f>
        <v>SI</v>
      </c>
      <c r="U1424" s="11" t="str">
        <f>IFERROR(IF(VLOOKUP(A1424,[10]PRIORIZADOS!$A:$U,21,FALSE)="","",VLOOKUP(A1424,[10]PRIORIZADOS!$A:$U,21,FALSE)),"")</f>
        <v>Revisión del plan de mejora, contemplada su entrega para el 21/05/2025.</v>
      </c>
    </row>
    <row r="1425" spans="1:21" s="1" customFormat="1" ht="48">
      <c r="A1425" s="69">
        <f>IF([10]PRIORIZADOS!A39="","",[10]PRIORIZADOS!A39)</f>
        <v>1367</v>
      </c>
      <c r="B1425" s="70">
        <f>IFERROR(IF(VLOOKUP(A1425,[10]PRIORIZADOS!$A:$B,2,FALSE)="","",VLOOKUP(A1425,[10]PRIORIZADOS!$A:$B,2,FALSE)),"")</f>
        <v>6</v>
      </c>
      <c r="C1425" s="11" t="str">
        <f>IFERROR(IF(VLOOKUP(A1425,[10]PRIORIZADOS!$A:$C,3,FALSE)="","",VLOOKUP(A1425,[10]PRIORIZADOS!$A:$C,3,FALSE)),"")</f>
        <v>PUENTE ARANDA</v>
      </c>
      <c r="D1425" s="11" t="str">
        <f>IFERROR(IF(VLOOKUP(A1425,[10]PRIORIZADOS!$A:$D,4,FALSE)="","",VLOOKUP(A1425,[10]PRIORIZADOS!$A:$D,4,FALSE)),"")</f>
        <v>PRIVADO</v>
      </c>
      <c r="E1425" s="11" t="str">
        <f>IFERROR(IF(VLOOKUP(A1425,[10]PRIORIZADOS!$A:$E,5,FALSE)="","",VLOOKUP(A1425,[10]PRIORIZADOS!$A:$E,5,FALSE)),"")</f>
        <v>EPBM</v>
      </c>
      <c r="F1425" s="11" t="str">
        <f>IFERROR(IF(VLOOKUP(A1425,[10]PRIORIZADOS!$A:$F,6,FALSE)="","",VLOOKUP(A1425,[10]PRIORIZADOS!$A:$F,6,FALSE)),"")</f>
        <v>LICEO_PEDAGOGICO_NUESTRA_SEÑORA_DE_LA_SABIDURIA</v>
      </c>
      <c r="G1425" s="11" t="str">
        <f>IFERROR(IF(VLOOKUP(A1425,[10]PRIORIZADOS!$A:$G,7,FALSE)="","",VLOOKUP(A1425,[10]PRIORIZADOS!$A:$G,7,FALSE)),"")</f>
        <v>LICEO PEDAGOGICO NUESTRA SEÑORA DE LA SABIDURIA</v>
      </c>
      <c r="H1425" s="11" t="str">
        <f>IFERROR(IF(VLOOKUP(A1425,[10]PRIORIZADOS!$A:$H,8,FALSE)="","",VLOOKUP(A1425,[10]PRIORIZADOS!$A:$H,8,FALSE)),"")</f>
        <v>Autoevaluación Institucional y Pruebas SABER 11</v>
      </c>
      <c r="I1425" s="11" t="str">
        <f>IFERROR(IF(VLOOKUP(A1425,[10]PRIORIZADOS!$A:$I,9,FALSE)="","",VLOOKUP(A1425,[10]PRIORIZADOS!$A:$I,9,FALSE)),"")</f>
        <v>EVALUACIÓN_CON_FINES_DE_MEJORAMIENTO.</v>
      </c>
      <c r="J1425" s="11" t="str">
        <f>IFERROR(IF(VLOOKUP(A1425,[10]PRIORIZADOS!$A:$J,10,FALSE)="","",VLOOKUP(A1425,[10]PRIORIZADOS!$A:$J,10,FALSE)),"")</f>
        <v>Revisar el calendario escolar, jornada escolar, la intensidad horaria mínima anual en cada nivel y las modificaciones que se realicen al mismo, de acuerdo con lo previsto en la normatividad vigente.</v>
      </c>
      <c r="K1425" s="11" t="str">
        <f>IFERROR(IF(VLOOKUP(A1425,[10]PRIORIZADOS!$A:$K,11,FALSE)="","",VLOOKUP(A1425,[10]PRIORIZADOS!$A:$K,11,FALSE)),"")</f>
        <v>CRISTIAN CAMILO LÓPEZ VELANDIA</v>
      </c>
      <c r="L1425" s="11" t="str">
        <f>IFERROR(IF(VLOOKUP(A1425,[10]PRIORIZADOS!$A:$L,12,FALSE)="","",VLOOKUP(A1425,[10]PRIORIZADOS!$A:$L,12,FALSE)),"")</f>
        <v>ALBERTO ESCARRAGA PEÑUELA</v>
      </c>
      <c r="M1425" s="71">
        <f>IFERROR(IF(VLOOKUP(A1425,[10]PRIORIZADOS!$A:$M,13,FALSE)="","",VLOOKUP(A1425,[10]PRIORIZADOS!$A:$M,13,FALSE)),"")</f>
        <v>45777</v>
      </c>
      <c r="N1425" s="71">
        <f>IFERROR(IF(VLOOKUP(A1425,[10]PRIORIZADOS!$A:$N,14,FALSE)="","",VLOOKUP(A1425,[10]PRIORIZADOS!$A:$N,14,FALSE)),"")</f>
        <v>45777</v>
      </c>
      <c r="O1425" s="71">
        <f>IFERROR(IF(VLOOKUP(A1425,[10]PRIORIZADOS!$A:$O,15,FALSE)="","",VLOOKUP(A1425,[10]PRIORIZADOS!$A:$O,15,FALSE)),"")</f>
        <v>45777</v>
      </c>
      <c r="P1425" s="11" t="str">
        <f>IFERROR(IF(VLOOKUP(A1425,[10]PRIORIZADOS!$A:$P,16,FALSE)="","",VLOOKUP(A1425,[10]PRIORIZADOS!$A:$P,16,FALSE)),"")</f>
        <v>Visitas de evaluación con fines de mejoramiento</v>
      </c>
      <c r="Q1425" s="107" t="s">
        <v>345</v>
      </c>
      <c r="R1425" s="11" t="str">
        <f>IFERROR(IF(VLOOKUP(A1425,[10]PRIORIZADOS!$A:$R,18,FALSE)="","",VLOOKUP(A1425,[10]PRIORIZADOS!$A:$R,18,FALSE)),"")</f>
        <v>Presenta cargue de documentos en la plataforma planteada por la DIV</v>
      </c>
      <c r="S1425" s="11" t="str">
        <f>IFERROR(IF(VLOOKUP(A1425,[10]PRIORIZADOS!$A:$S,19,FALSE)="","",VLOOKUP(A1425,[10]PRIORIZADOS!$A:$S,19,FALSE)),"")</f>
        <v>Cumple con la intensidad de horas académicas mínimas</v>
      </c>
      <c r="T1425" s="70" t="str">
        <f>IFERROR(IF(VLOOKUP(A1425,[10]PRIORIZADOS!$A:$T,20,FALSE)="","",VLOOKUP(A1425,[10]PRIORIZADOS!$A:$T,20,FALSE)),"")</f>
        <v>No</v>
      </c>
      <c r="U1425" s="11" t="str">
        <f>IFERROR(IF(VLOOKUP(A1425,[10]PRIORIZADOS!$A:$U,21,FALSE)="","",VLOOKUP(A1425,[10]PRIORIZADOS!$A:$U,21,FALSE)),"")</f>
        <v>En caso de presentarse PQR se procederá a realizar su respectiva revisión.</v>
      </c>
    </row>
    <row r="1426" spans="1:21" s="1" customFormat="1" ht="60">
      <c r="A1426" s="69">
        <f>IF([10]PRIORIZADOS!A40="","",[10]PRIORIZADOS!A40)</f>
        <v>1368</v>
      </c>
      <c r="B1426" s="70">
        <f>IFERROR(IF(VLOOKUP(A1426,[10]PRIORIZADOS!$A:$B,2,FALSE)="","",VLOOKUP(A1426,[10]PRIORIZADOS!$A:$B,2,FALSE)),"")</f>
        <v>6</v>
      </c>
      <c r="C1426" s="11" t="str">
        <f>IFERROR(IF(VLOOKUP(A1426,[10]PRIORIZADOS!$A:$C,3,FALSE)="","",VLOOKUP(A1426,[10]PRIORIZADOS!$A:$C,3,FALSE)),"")</f>
        <v>PUENTE ARANDA</v>
      </c>
      <c r="D1426" s="11" t="str">
        <f>IFERROR(IF(VLOOKUP(A1426,[10]PRIORIZADOS!$A:$D,4,FALSE)="","",VLOOKUP(A1426,[10]PRIORIZADOS!$A:$D,4,FALSE)),"")</f>
        <v>PRIVADO</v>
      </c>
      <c r="E1426" s="11" t="str">
        <f>IFERROR(IF(VLOOKUP(A1426,[10]PRIORIZADOS!$A:$E,5,FALSE)="","",VLOOKUP(A1426,[10]PRIORIZADOS!$A:$E,5,FALSE)),"")</f>
        <v>EPBM</v>
      </c>
      <c r="F1426" s="11" t="str">
        <f>IFERROR(IF(VLOOKUP(A1426,[10]PRIORIZADOS!$A:$F,6,FALSE)="","",VLOOKUP(A1426,[10]PRIORIZADOS!$A:$F,6,FALSE)),"")</f>
        <v>LICEO_PEDAGOGICO_NUESTRA_SEÑORA_DE_LA_SABIDURIA</v>
      </c>
      <c r="G1426" s="11" t="str">
        <f>IFERROR(IF(VLOOKUP(A1426,[10]PRIORIZADOS!$A:$G,7,FALSE)="","",VLOOKUP(A1426,[10]PRIORIZADOS!$A:$G,7,FALSE)),"")</f>
        <v>LICEO PEDAGOGICO NUESTRA SEÑORA DE LA SABIDURIA</v>
      </c>
      <c r="H1426" s="11" t="str">
        <f>IFERROR(IF(VLOOKUP(A1426,[10]PRIORIZADOS!$A:$H,8,FALSE)="","",VLOOKUP(A1426,[10]PRIORIZADOS!$A:$H,8,FALSE)),"")</f>
        <v>Autoevaluación Institucional y Pruebas SABER 11</v>
      </c>
      <c r="I1426" s="11" t="str">
        <f>IFERROR(IF(VLOOKUP(A1426,[10]PRIORIZADOS!$A:$I,9,FALSE)="","",VLOOKUP(A1426,[10]PRIORIZADOS!$A:$I,9,FALSE)),"")</f>
        <v>EVALUACIÓN_CON_FINES_DE_MEJORAMIENTO.</v>
      </c>
      <c r="J1426" s="11" t="str">
        <f>IFERROR(IF(VLOOKUP(A1426,[10]PRIORIZADOS!$A:$J,10,FALSE)="","",VLOOKUP(A1426,[10]PRIORIZADOS!$A:$J,10,FALSE)),"")</f>
        <v>Verificar el funcionamiento del Gobierno Escolar e instancias de participación con base en la información sobre conformación reportada por la institución educativa.</v>
      </c>
      <c r="K1426" s="11" t="str">
        <f>IFERROR(IF(VLOOKUP(A1426,[10]PRIORIZADOS!$A:$K,11,FALSE)="","",VLOOKUP(A1426,[10]PRIORIZADOS!$A:$K,11,FALSE)),"")</f>
        <v>CRISTIAN CAMILO LÓPEZ VELANDIA</v>
      </c>
      <c r="L1426" s="11" t="str">
        <f>IFERROR(IF(VLOOKUP(A1426,[10]PRIORIZADOS!$A:$L,12,FALSE)="","",VLOOKUP(A1426,[10]PRIORIZADOS!$A:$L,12,FALSE)),"")</f>
        <v>ALBERTO ESCARRAGA PEÑUELA</v>
      </c>
      <c r="M1426" s="71">
        <f>IFERROR(IF(VLOOKUP(A1426,[10]PRIORIZADOS!$A:$M,13,FALSE)="","",VLOOKUP(A1426,[10]PRIORIZADOS!$A:$M,13,FALSE)),"")</f>
        <v>45777</v>
      </c>
      <c r="N1426" s="71">
        <f>IFERROR(IF(VLOOKUP(A1426,[10]PRIORIZADOS!$A:$N,14,FALSE)="","",VLOOKUP(A1426,[10]PRIORIZADOS!$A:$N,14,FALSE)),"")</f>
        <v>45777</v>
      </c>
      <c r="O1426" s="71">
        <f>IFERROR(IF(VLOOKUP(A1426,[10]PRIORIZADOS!$A:$O,15,FALSE)="","",VLOOKUP(A1426,[10]PRIORIZADOS!$A:$O,15,FALSE)),"")</f>
        <v>45777</v>
      </c>
      <c r="P1426" s="11" t="str">
        <f>IFERROR(IF(VLOOKUP(A1426,[10]PRIORIZADOS!$A:$P,16,FALSE)="","",VLOOKUP(A1426,[10]PRIORIZADOS!$A:$P,16,FALSE)),"")</f>
        <v>Visitas de evaluación con fines de mejoramiento</v>
      </c>
      <c r="Q1426" s="107" t="s">
        <v>345</v>
      </c>
      <c r="R1426" s="11" t="str">
        <f>IFERROR(IF(VLOOKUP(A1426,[10]PRIORIZADOS!$A:$R,18,FALSE)="","",VLOOKUP(A1426,[10]PRIORIZADOS!$A:$R,18,FALSE)),"")</f>
        <v>El colegio presenta las actas de conformación del gobierno escolar en el sistema SAE para el año 2025, sin embargo no existen actas de la operación de las instancias del gobierno escolar.</v>
      </c>
      <c r="S1426" s="11" t="str">
        <f>IFERROR(IF(VLOOKUP(A1426,[10]PRIORIZADOS!$A:$S,19,FALSE)="","",VLOOKUP(A1426,[10]PRIORIZADOS!$A:$S,19,FALSE)),"")</f>
        <v>Reconstruir las actas donde se evidencie la operación de las instancias del gobierno escolar y continuar con su ejecución en la vigencia 2025.</v>
      </c>
      <c r="T1426" s="70" t="str">
        <f>IFERROR(IF(VLOOKUP(A1426,[10]PRIORIZADOS!$A:$T,20,FALSE)="","",VLOOKUP(A1426,[10]PRIORIZADOS!$A:$T,20,FALSE)),"")</f>
        <v>SI</v>
      </c>
      <c r="U1426" s="11" t="str">
        <f>IFERROR(IF(VLOOKUP(A1426,[10]PRIORIZADOS!$A:$U,21,FALSE)="","",VLOOKUP(A1426,[10]PRIORIZADOS!$A:$U,21,FALSE)),"")</f>
        <v>Revisión del plan de mejora, contemplada su entrega para el 21/05/2025.</v>
      </c>
    </row>
    <row r="1427" spans="1:21" s="1" customFormat="1" ht="72">
      <c r="A1427" s="69">
        <f>IF([10]PRIORIZADOS!A41="","",[10]PRIORIZADOS!A41)</f>
        <v>1369</v>
      </c>
      <c r="B1427" s="70">
        <f>IFERROR(IF(VLOOKUP(A1427,[10]PRIORIZADOS!$A:$B,2,FALSE)="","",VLOOKUP(A1427,[10]PRIORIZADOS!$A:$B,2,FALSE)),"")</f>
        <v>7</v>
      </c>
      <c r="C1427" s="11" t="str">
        <f>IFERROR(IF(VLOOKUP(A1427,[10]PRIORIZADOS!$A:$C,3,FALSE)="","",VLOOKUP(A1427,[10]PRIORIZADOS!$A:$C,3,FALSE)),"")</f>
        <v>PUENTE ARANDA</v>
      </c>
      <c r="D1427" s="11" t="str">
        <f>IFERROR(IF(VLOOKUP(A1427,[10]PRIORIZADOS!$A:$D,4,FALSE)="","",VLOOKUP(A1427,[10]PRIORIZADOS!$A:$D,4,FALSE)),"")</f>
        <v>PRIVADO</v>
      </c>
      <c r="E1427" s="11" t="str">
        <f>IFERROR(IF(VLOOKUP(A1427,[10]PRIORIZADOS!$A:$E,5,FALSE)="","",VLOOKUP(A1427,[10]PRIORIZADOS!$A:$E,5,FALSE)),"")</f>
        <v>EPBM</v>
      </c>
      <c r="F1427" s="11" t="str">
        <f>IFERROR(IF(VLOOKUP(A1427,[10]PRIORIZADOS!$A:$F,6,FALSE)="","",VLOOKUP(A1427,[10]PRIORIZADOS!$A:$F,6,FALSE)),"")</f>
        <v>LICEO_ROMULO_GALLEGOS</v>
      </c>
      <c r="G1427" s="11" t="str">
        <f>IFERROR(IF(VLOOKUP(A1427,[10]PRIORIZADOS!$A:$G,7,FALSE)="","",VLOOKUP(A1427,[10]PRIORIZADOS!$A:$G,7,FALSE)),"")</f>
        <v>LICEO ROMULO GALLEGOS</v>
      </c>
      <c r="H1427" s="11" t="str">
        <f>IFERROR(IF(VLOOKUP(A1427,[10]PRIORIZADOS!$A:$H,8,FALSE)="","",VLOOKUP(A1427,[10]PRIORIZADOS!$A:$H,8,FALSE)),"")</f>
        <v>Autoevaluación Institucional y Pruebas SABER 11</v>
      </c>
      <c r="I1427" s="11" t="str">
        <f>IFERROR(IF(VLOOKUP(A1427,[10]PRIORIZADOS!$A:$I,9,FALSE)="","",VLOOKUP(A1427,[10]PRIORIZADOS!$A:$I,9,FALSE)),"")</f>
        <v>SEGUIMIENTO_Y_SUPERVISIÓN.</v>
      </c>
      <c r="J1427" s="11" t="str">
        <f>IFERROR(IF(VLOOKUP(A1427,[10]PRIORIZADOS!$A:$J,10,FALSE)="","",VLOOKUP(A1427,[10]PRIORIZADOS!$A:$J,10,FALSE)),"")</f>
        <v>Realizar visitas para verificar la información registrada sobre la autoevaluación institucional en el aplicativo EVI, a los establecimientos de educación formal no oficial.</v>
      </c>
      <c r="K1427" s="11" t="str">
        <f>IFERROR(IF(VLOOKUP(A1427,[10]PRIORIZADOS!$A:$K,11,FALSE)="","",VLOOKUP(A1427,[10]PRIORIZADOS!$A:$K,11,FALSE)),"")</f>
        <v>ALBERTO ESCARRAGA PEÑUELA</v>
      </c>
      <c r="L1427" s="11" t="str">
        <f>IFERROR(IF(VLOOKUP(A1427,[10]PRIORIZADOS!$A:$L,12,FALSE)="","",VLOOKUP(A1427,[10]PRIORIZADOS!$A:$L,12,FALSE)),"")</f>
        <v>OSCAR GERMAN CLAVIJO PALACIOS</v>
      </c>
      <c r="M1427" s="71">
        <f>IFERROR(IF(VLOOKUP(A1427,[10]PRIORIZADOS!$A:$M,13,FALSE)="","",VLOOKUP(A1427,[10]PRIORIZADOS!$A:$M,13,FALSE)),"")</f>
        <v>45786</v>
      </c>
      <c r="N1427" s="71">
        <f>IFERROR(IF(VLOOKUP(A1427,[10]PRIORIZADOS!$A:$N,14,FALSE)="","",VLOOKUP(A1427,[10]PRIORIZADOS!$A:$N,14,FALSE)),"")</f>
        <v>45804</v>
      </c>
      <c r="O1427" s="71">
        <f>IFERROR(IF(VLOOKUP(A1427,[10]PRIORIZADOS!$A:$O,15,FALSE)="","",VLOOKUP(A1427,[10]PRIORIZADOS!$A:$O,15,FALSE)),"")</f>
        <v>45804</v>
      </c>
      <c r="P1427" s="11" t="str">
        <f>IFERROR(IF(VLOOKUP(A1427,[10]PRIORIZADOS!$A:$P,16,FALSE)="","",VLOOKUP(A1427,[10]PRIORIZADOS!$A:$P,16,FALSE)),"")</f>
        <v>Visitas de evaluación con fines de mejoramiento</v>
      </c>
      <c r="Q1427" s="107" t="s">
        <v>346</v>
      </c>
      <c r="R1427" s="11" t="str">
        <f>IFERROR(IF(VLOOKUP(A1427,[10]PRIORIZADOS!$A:$R,18,FALSE)="","",VLOOKUP(A1427,[10]PRIORIZADOS!$A:$R,18,FALSE)),"")</f>
        <v xml:space="preserve">Se encontró diferencias en la matrícula de la institución y lo reportado en el aplicativo SIMAT, las valoraciones académicas de los estudiantes de nivel del preescolar no responden a los lineamientos de las políticas de educación inicial </v>
      </c>
      <c r="S1427" s="11" t="str">
        <f>IFERROR(IF(VLOOKUP(A1427,[10]PRIORIZADOS!$A:$S,19,FALSE)="","",VLOOKUP(A1427,[10]PRIORIZADOS!$A:$S,19,FALSE)),"")</f>
        <v>Elaborar un plan de mejoramiento y comunicarlo a ELIV el 20  de junio de 2025</v>
      </c>
      <c r="T1427" s="70" t="str">
        <f>IFERROR(IF(VLOOKUP(A1427,[10]PRIORIZADOS!$A:$T,20,FALSE)="","",VLOOKUP(A1427,[10]PRIORIZADOS!$A:$T,20,FALSE)),"")</f>
        <v>SI</v>
      </c>
      <c r="U1427" s="11" t="str">
        <f>IFERROR(IF(VLOOKUP(A1427,[10]PRIORIZADOS!$A:$U,21,FALSE)="","",VLOOKUP(A1427,[10]PRIORIZADOS!$A:$U,21,FALSE)),"")</f>
        <v>Revisión del plan de mejoramiento el 06/07/2025.</v>
      </c>
    </row>
    <row r="1428" spans="1:21" s="1" customFormat="1" ht="60">
      <c r="A1428" s="69">
        <f>IF([10]PRIORIZADOS!A42="","",[10]PRIORIZADOS!A42)</f>
        <v>1370</v>
      </c>
      <c r="B1428" s="70">
        <f>IFERROR(IF(VLOOKUP(A1428,[10]PRIORIZADOS!$A:$B,2,FALSE)="","",VLOOKUP(A1428,[10]PRIORIZADOS!$A:$B,2,FALSE)),"")</f>
        <v>7</v>
      </c>
      <c r="C1428" s="11" t="str">
        <f>IFERROR(IF(VLOOKUP(A1428,[10]PRIORIZADOS!$A:$C,3,FALSE)="","",VLOOKUP(A1428,[10]PRIORIZADOS!$A:$C,3,FALSE)),"")</f>
        <v>PUENTE ARANDA</v>
      </c>
      <c r="D1428" s="11" t="str">
        <f>IFERROR(IF(VLOOKUP(A1428,[10]PRIORIZADOS!$A:$D,4,FALSE)="","",VLOOKUP(A1428,[10]PRIORIZADOS!$A:$D,4,FALSE)),"")</f>
        <v>PRIVADO</v>
      </c>
      <c r="E1428" s="11" t="str">
        <f>IFERROR(IF(VLOOKUP(A1428,[10]PRIORIZADOS!$A:$E,5,FALSE)="","",VLOOKUP(A1428,[10]PRIORIZADOS!$A:$E,5,FALSE)),"")</f>
        <v>EPBM</v>
      </c>
      <c r="F1428" s="11" t="str">
        <f>IFERROR(IF(VLOOKUP(A1428,[10]PRIORIZADOS!$A:$F,6,FALSE)="","",VLOOKUP(A1428,[10]PRIORIZADOS!$A:$F,6,FALSE)),"")</f>
        <v>LICEO_ROMULO_GALLEGOS</v>
      </c>
      <c r="G1428" s="11" t="str">
        <f>IFERROR(IF(VLOOKUP(A1428,[10]PRIORIZADOS!$A:$G,7,FALSE)="","",VLOOKUP(A1428,[10]PRIORIZADOS!$A:$G,7,FALSE)),"")</f>
        <v>LICEO ROMULO GALLEGOS</v>
      </c>
      <c r="H1428" s="11" t="str">
        <f>IFERROR(IF(VLOOKUP(A1428,[10]PRIORIZADOS!$A:$H,8,FALSE)="","",VLOOKUP(A1428,[10]PRIORIZADOS!$A:$H,8,FALSE)),"")</f>
        <v>Autoevaluación Institucional y Pruebas SABER 11</v>
      </c>
      <c r="I1428" s="11" t="str">
        <f>IFERROR(IF(VLOOKUP(A1428,[10]PRIORIZADOS!$A:$I,9,FALSE)="","",VLOOKUP(A1428,[10]PRIORIZADOS!$A:$I,9,FALSE)),"")</f>
        <v>SEGUIMIENTO_Y_SUPERVISIÓN.</v>
      </c>
      <c r="J1428" s="11" t="str">
        <f>IFERROR(IF(VLOOKUP(A1428,[10]PRIORIZADOS!$A:$J,10,FALSE)="","",VLOOKUP(A1428,[10]PRIORIZADOS!$A:$J,10,FALSE)),"")</f>
        <v>Proponer estrategias en la formulación, verificar su elaboración y realizar seguimiento semestral al desarrollo de  las acciones establecidas en los planes de mejoramiento por pruebas SABER 11 de los establecimientos de educación formal.</v>
      </c>
      <c r="K1428" s="11" t="str">
        <f>IFERROR(IF(VLOOKUP(A1428,[10]PRIORIZADOS!$A:$K,11,FALSE)="","",VLOOKUP(A1428,[10]PRIORIZADOS!$A:$K,11,FALSE)),"")</f>
        <v>ALBERTO ESCARRAGA PEÑUELA</v>
      </c>
      <c r="L1428" s="11" t="str">
        <f>IFERROR(IF(VLOOKUP(A1428,[10]PRIORIZADOS!$A:$L,12,FALSE)="","",VLOOKUP(A1428,[10]PRIORIZADOS!$A:$L,12,FALSE)),"")</f>
        <v>OSCAR GERMAN CLAVIJO PALACIOS</v>
      </c>
      <c r="M1428" s="71">
        <f>IFERROR(IF(VLOOKUP(A1428,[10]PRIORIZADOS!$A:$M,13,FALSE)="","",VLOOKUP(A1428,[10]PRIORIZADOS!$A:$M,13,FALSE)),"")</f>
        <v>45786</v>
      </c>
      <c r="N1428" s="71">
        <f>IFERROR(IF(VLOOKUP(A1428,[10]PRIORIZADOS!$A:$N,14,FALSE)="","",VLOOKUP(A1428,[10]PRIORIZADOS!$A:$N,14,FALSE)),"")</f>
        <v>45804</v>
      </c>
      <c r="O1428" s="71">
        <f>IFERROR(IF(VLOOKUP(A1428,[10]PRIORIZADOS!$A:$O,15,FALSE)="","",VLOOKUP(A1428,[10]PRIORIZADOS!$A:$O,15,FALSE)),"")</f>
        <v>45804</v>
      </c>
      <c r="P1428" s="11" t="str">
        <f>IFERROR(IF(VLOOKUP(A1428,[10]PRIORIZADOS!$A:$P,16,FALSE)="","",VLOOKUP(A1428,[10]PRIORIZADOS!$A:$P,16,FALSE)),"")</f>
        <v>Visitas de evaluación con fines de mejoramiento</v>
      </c>
      <c r="Q1428" s="107" t="s">
        <v>346</v>
      </c>
      <c r="R1428" s="11" t="str">
        <f>IFERROR(IF(VLOOKUP(A1428,[10]PRIORIZADOS!$A:$R,18,FALSE)="","",VLOOKUP(A1428,[10]PRIORIZADOS!$A:$R,18,FALSE)),"")</f>
        <v xml:space="preserve">La institución aunque tiene diseñado plan de mejoramiento para la pruebas saber este no está avalado por el consejo académico </v>
      </c>
      <c r="S1428" s="11" t="str">
        <f>IFERROR(IF(VLOOKUP(A1428,[10]PRIORIZADOS!$A:$S,19,FALSE)="","",VLOOKUP(A1428,[10]PRIORIZADOS!$A:$S,19,FALSE)),"")</f>
        <v>Elaborar un plan de mejoramiento y comunicarlo a ELIV el 20  de junio de 2025</v>
      </c>
      <c r="T1428" s="70" t="str">
        <f>IFERROR(IF(VLOOKUP(A1428,[10]PRIORIZADOS!$A:$T,20,FALSE)="","",VLOOKUP(A1428,[10]PRIORIZADOS!$A:$T,20,FALSE)),"")</f>
        <v>SI</v>
      </c>
      <c r="U1428" s="11" t="str">
        <f>IFERROR(IF(VLOOKUP(A1428,[10]PRIORIZADOS!$A:$U,21,FALSE)="","",VLOOKUP(A1428,[10]PRIORIZADOS!$A:$U,21,FALSE)),"")</f>
        <v>Revisión del plan de mejoramiento el 06/07/2025.</v>
      </c>
    </row>
    <row r="1429" spans="1:21" s="1" customFormat="1" ht="48">
      <c r="A1429" s="69">
        <f>IF([10]PRIORIZADOS!A43="","",[10]PRIORIZADOS!A43)</f>
        <v>1371</v>
      </c>
      <c r="B1429" s="70">
        <f>IFERROR(IF(VLOOKUP(A1429,[10]PRIORIZADOS!$A:$B,2,FALSE)="","",VLOOKUP(A1429,[10]PRIORIZADOS!$A:$B,2,FALSE)),"")</f>
        <v>7</v>
      </c>
      <c r="C1429" s="11" t="str">
        <f>IFERROR(IF(VLOOKUP(A1429,[10]PRIORIZADOS!$A:$C,3,FALSE)="","",VLOOKUP(A1429,[10]PRIORIZADOS!$A:$C,3,FALSE)),"")</f>
        <v>PUENTE ARANDA</v>
      </c>
      <c r="D1429" s="11" t="str">
        <f>IFERROR(IF(VLOOKUP(A1429,[10]PRIORIZADOS!$A:$D,4,FALSE)="","",VLOOKUP(A1429,[10]PRIORIZADOS!$A:$D,4,FALSE)),"")</f>
        <v>PRIVADO</v>
      </c>
      <c r="E1429" s="11" t="str">
        <f>IFERROR(IF(VLOOKUP(A1429,[10]PRIORIZADOS!$A:$E,5,FALSE)="","",VLOOKUP(A1429,[10]PRIORIZADOS!$A:$E,5,FALSE)),"")</f>
        <v>EPBM</v>
      </c>
      <c r="F1429" s="11" t="str">
        <f>IFERROR(IF(VLOOKUP(A1429,[10]PRIORIZADOS!$A:$F,6,FALSE)="","",VLOOKUP(A1429,[10]PRIORIZADOS!$A:$F,6,FALSE)),"")</f>
        <v>LICEO_ROMULO_GALLEGOS</v>
      </c>
      <c r="G1429" s="11" t="str">
        <f>IFERROR(IF(VLOOKUP(A1429,[10]PRIORIZADOS!$A:$G,7,FALSE)="","",VLOOKUP(A1429,[10]PRIORIZADOS!$A:$G,7,FALSE)),"")</f>
        <v>LICEO ROMULO GALLEGOS</v>
      </c>
      <c r="H1429" s="11" t="str">
        <f>IFERROR(IF(VLOOKUP(A1429,[10]PRIORIZADOS!$A:$H,8,FALSE)="","",VLOOKUP(A1429,[10]PRIORIZADOS!$A:$H,8,FALSE)),"")</f>
        <v>Autoevaluación Institucional y Pruebas SABER 11</v>
      </c>
      <c r="I1429" s="11" t="str">
        <f>IFERROR(IF(VLOOKUP(A1429,[10]PRIORIZADOS!$A:$I,9,FALSE)="","",VLOOKUP(A1429,[10]PRIORIZADOS!$A:$I,9,FALSE)),"")</f>
        <v>SEGUIMIENTO_Y_SUPERVISIÓN.</v>
      </c>
      <c r="J1429" s="11" t="str">
        <f>IFERROR(IF(VLOOKUP(A1429,[10]PRIORIZADOS!$A:$J,10,FALSE)="","",VLOOKUP(A1429,[10]PRIORIZADOS!$A:$J,10,FALSE)),"")</f>
        <v xml:space="preserve">Verificar la implementación por parte de los colegios, de acciones realizadas para la prevención y atención de las situaciones de convivencia en el entorno escolar, según lo establecido en la Directiva 01 de 2022 del MEN. </v>
      </c>
      <c r="K1429" s="11" t="str">
        <f>IFERROR(IF(VLOOKUP(A1429,[10]PRIORIZADOS!$A:$K,11,FALSE)="","",VLOOKUP(A1429,[10]PRIORIZADOS!$A:$K,11,FALSE)),"")</f>
        <v>ALBERTO ESCARRAGA PEÑUELA</v>
      </c>
      <c r="L1429" s="11" t="str">
        <f>IFERROR(IF(VLOOKUP(A1429,[10]PRIORIZADOS!$A:$L,12,FALSE)="","",VLOOKUP(A1429,[10]PRIORIZADOS!$A:$L,12,FALSE)),"")</f>
        <v>OSCAR GERMAN CLAVIJO PALACIOS</v>
      </c>
      <c r="M1429" s="71">
        <f>IFERROR(IF(VLOOKUP(A1429,[10]PRIORIZADOS!$A:$M,13,FALSE)="","",VLOOKUP(A1429,[10]PRIORIZADOS!$A:$M,13,FALSE)),"")</f>
        <v>45786</v>
      </c>
      <c r="N1429" s="71">
        <f>IFERROR(IF(VLOOKUP(A1429,[10]PRIORIZADOS!$A:$N,14,FALSE)="","",VLOOKUP(A1429,[10]PRIORIZADOS!$A:$N,14,FALSE)),"")</f>
        <v>45804</v>
      </c>
      <c r="O1429" s="71">
        <f>IFERROR(IF(VLOOKUP(A1429,[10]PRIORIZADOS!$A:$O,15,FALSE)="","",VLOOKUP(A1429,[10]PRIORIZADOS!$A:$O,15,FALSE)),"")</f>
        <v>45804</v>
      </c>
      <c r="P1429" s="11" t="str">
        <f>IFERROR(IF(VLOOKUP(A1429,[10]PRIORIZADOS!$A:$P,16,FALSE)="","",VLOOKUP(A1429,[10]PRIORIZADOS!$A:$P,16,FALSE)),"")</f>
        <v>Visitas de evaluación con fines de mejoramiento</v>
      </c>
      <c r="Q1429" s="107" t="s">
        <v>346</v>
      </c>
      <c r="R1429" s="11" t="str">
        <f>IFERROR(IF(VLOOKUP(A1429,[10]PRIORIZADOS!$A:$R,18,FALSE)="","",VLOOKUP(A1429,[10]PRIORIZADOS!$A:$R,18,FALSE)),"")</f>
        <v>La institución realiza periódicamente la consulta de inhabilidades y realiza la activación de los protocolos en casos de convivencia escolar v 5.0</v>
      </c>
      <c r="S1429" s="11" t="str">
        <f>IFERROR(IF(VLOOKUP(A1429,[10]PRIORIZADOS!$A:$S,19,FALSE)="","",VLOOKUP(A1429,[10]PRIORIZADOS!$A:$S,19,FALSE)),"")</f>
        <v>Continuar con las acciones establecidas en la directiva 1/2022</v>
      </c>
      <c r="T1429" s="70" t="str">
        <f>IFERROR(IF(VLOOKUP(A1429,[10]PRIORIZADOS!$A:$T,20,FALSE)="","",VLOOKUP(A1429,[10]PRIORIZADOS!$A:$T,20,FALSE)),"")</f>
        <v>No</v>
      </c>
      <c r="U1429" s="11" t="str">
        <f>IFERROR(IF(VLOOKUP(A1429,[10]PRIORIZADOS!$A:$U,21,FALSE)="","",VLOOKUP(A1429,[10]PRIORIZADOS!$A:$U,21,FALSE)),"")</f>
        <v>En caso de presentarse PQR se procederá a realizar su respectiva revisión.</v>
      </c>
    </row>
    <row r="1430" spans="1:21" s="1" customFormat="1" ht="72">
      <c r="A1430" s="69">
        <f>IF([10]PRIORIZADOS!A44="","",[10]PRIORIZADOS!A44)</f>
        <v>1372</v>
      </c>
      <c r="B1430" s="70">
        <f>IFERROR(IF(VLOOKUP(A1430,[10]PRIORIZADOS!$A:$B,2,FALSE)="","",VLOOKUP(A1430,[10]PRIORIZADOS!$A:$B,2,FALSE)),"")</f>
        <v>7</v>
      </c>
      <c r="C1430" s="11" t="str">
        <f>IFERROR(IF(VLOOKUP(A1430,[10]PRIORIZADOS!$A:$C,3,FALSE)="","",VLOOKUP(A1430,[10]PRIORIZADOS!$A:$C,3,FALSE)),"")</f>
        <v>PUENTE ARANDA</v>
      </c>
      <c r="D1430" s="11" t="str">
        <f>IFERROR(IF(VLOOKUP(A1430,[10]PRIORIZADOS!$A:$D,4,FALSE)="","",VLOOKUP(A1430,[10]PRIORIZADOS!$A:$D,4,FALSE)),"")</f>
        <v>PRIVADO</v>
      </c>
      <c r="E1430" s="11" t="str">
        <f>IFERROR(IF(VLOOKUP(A1430,[10]PRIORIZADOS!$A:$E,5,FALSE)="","",VLOOKUP(A1430,[10]PRIORIZADOS!$A:$E,5,FALSE)),"")</f>
        <v>EPBM</v>
      </c>
      <c r="F1430" s="11" t="str">
        <f>IFERROR(IF(VLOOKUP(A1430,[10]PRIORIZADOS!$A:$F,6,FALSE)="","",VLOOKUP(A1430,[10]PRIORIZADOS!$A:$F,6,FALSE)),"")</f>
        <v>LICEO_ROMULO_GALLEGOS</v>
      </c>
      <c r="G1430" s="11" t="str">
        <f>IFERROR(IF(VLOOKUP(A1430,[10]PRIORIZADOS!$A:$G,7,FALSE)="","",VLOOKUP(A1430,[10]PRIORIZADOS!$A:$G,7,FALSE)),"")</f>
        <v>LICEO ROMULO GALLEGOS</v>
      </c>
      <c r="H1430" s="11" t="str">
        <f>IFERROR(IF(VLOOKUP(A1430,[10]PRIORIZADOS!$A:$H,8,FALSE)="","",VLOOKUP(A1430,[10]PRIORIZADOS!$A:$H,8,FALSE)),"")</f>
        <v>Autoevaluación Institucional y Pruebas SABER 11</v>
      </c>
      <c r="I1430" s="11" t="str">
        <f>IFERROR(IF(VLOOKUP(A1430,[10]PRIORIZADOS!$A:$I,9,FALSE)="","",VLOOKUP(A1430,[10]PRIORIZADOS!$A:$I,9,FALSE)),"")</f>
        <v>SEGUIMIENTO_Y_SUPERVISIÓN.</v>
      </c>
      <c r="J1430" s="11" t="str">
        <f>IFERROR(IF(VLOOKUP(A1430,[10]PRIORIZADOS!$A:$J,10,FALSE)="","",VLOOKUP(A1430,[10]PRIORIZADOS!$A:$J,10,FALSE)),"")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30" s="11" t="str">
        <f>IFERROR(IF(VLOOKUP(A1430,[10]PRIORIZADOS!$A:$K,11,FALSE)="","",VLOOKUP(A1430,[10]PRIORIZADOS!$A:$K,11,FALSE)),"")</f>
        <v>ALBERTO ESCARRAGA PEÑUELA</v>
      </c>
      <c r="L1430" s="11" t="str">
        <f>IFERROR(IF(VLOOKUP(A1430,[10]PRIORIZADOS!$A:$L,12,FALSE)="","",VLOOKUP(A1430,[10]PRIORIZADOS!$A:$L,12,FALSE)),"")</f>
        <v>OSCAR GERMAN CLAVIJO PALACIOS</v>
      </c>
      <c r="M1430" s="71">
        <f>IFERROR(IF(VLOOKUP(A1430,[10]PRIORIZADOS!$A:$M,13,FALSE)="","",VLOOKUP(A1430,[10]PRIORIZADOS!$A:$M,13,FALSE)),"")</f>
        <v>45786</v>
      </c>
      <c r="N1430" s="71">
        <f>IFERROR(IF(VLOOKUP(A1430,[10]PRIORIZADOS!$A:$N,14,FALSE)="","",VLOOKUP(A1430,[10]PRIORIZADOS!$A:$N,14,FALSE)),"")</f>
        <v>45804</v>
      </c>
      <c r="O1430" s="71">
        <f>IFERROR(IF(VLOOKUP(A1430,[10]PRIORIZADOS!$A:$O,15,FALSE)="","",VLOOKUP(A1430,[10]PRIORIZADOS!$A:$O,15,FALSE)),"")</f>
        <v>45804</v>
      </c>
      <c r="P1430" s="11" t="str">
        <f>IFERROR(IF(VLOOKUP(A1430,[10]PRIORIZADOS!$A:$P,16,FALSE)="","",VLOOKUP(A1430,[10]PRIORIZADOS!$A:$P,16,FALSE)),"")</f>
        <v>Visitas de evaluación con fines de mejoramiento</v>
      </c>
      <c r="Q1430" s="107" t="s">
        <v>346</v>
      </c>
      <c r="R1430" s="11" t="str">
        <f>IFERROR(IF(VLOOKUP(A1430,[10]PRIORIZADOS!$A:$R,18,FALSE)="","",VLOOKUP(A1430,[10]PRIORIZADOS!$A:$R,18,FALSE)),"")</f>
        <v>La institución no atiende estudiantes de inclusión dentro de la matrícula</v>
      </c>
      <c r="S1430" s="11" t="str">
        <f>IFERROR(IF(VLOOKUP(A1430,[10]PRIORIZADOS!$A:$S,19,FALSE)="","",VLOOKUP(A1430,[10]PRIORIZADOS!$A:$S,19,FALSE)),"")</f>
        <v>Realizar PIAR cuando la institución cuente con estudiantes de inclusión</v>
      </c>
      <c r="T1430" s="70" t="str">
        <f>IFERROR(IF(VLOOKUP(A1430,[10]PRIORIZADOS!$A:$T,20,FALSE)="","",VLOOKUP(A1430,[10]PRIORIZADOS!$A:$T,20,FALSE)),"")</f>
        <v>No</v>
      </c>
      <c r="U1430" s="11" t="str">
        <f>IFERROR(IF(VLOOKUP(A1430,[10]PRIORIZADOS!$A:$U,21,FALSE)="","",VLOOKUP(A1430,[10]PRIORIZADOS!$A:$U,21,FALSE)),"")</f>
        <v>En caso de presentarse PQR se procederá a realizar su respectiva revisión.</v>
      </c>
    </row>
    <row r="1431" spans="1:21" s="1" customFormat="1" ht="84">
      <c r="A1431" s="69">
        <f>IF([10]PRIORIZADOS!A45="","",[10]PRIORIZADOS!A45)</f>
        <v>1373</v>
      </c>
      <c r="B1431" s="70">
        <f>IFERROR(IF(VLOOKUP(A1431,[10]PRIORIZADOS!$A:$B,2,FALSE)="","",VLOOKUP(A1431,[10]PRIORIZADOS!$A:$B,2,FALSE)),"")</f>
        <v>7</v>
      </c>
      <c r="C1431" s="11" t="str">
        <f>IFERROR(IF(VLOOKUP(A1431,[10]PRIORIZADOS!$A:$C,3,FALSE)="","",VLOOKUP(A1431,[10]PRIORIZADOS!$A:$C,3,FALSE)),"")</f>
        <v>PUENTE ARANDA</v>
      </c>
      <c r="D1431" s="11" t="str">
        <f>IFERROR(IF(VLOOKUP(A1431,[10]PRIORIZADOS!$A:$D,4,FALSE)="","",VLOOKUP(A1431,[10]PRIORIZADOS!$A:$D,4,FALSE)),"")</f>
        <v>PRIVADO</v>
      </c>
      <c r="E1431" s="11" t="str">
        <f>IFERROR(IF(VLOOKUP(A1431,[10]PRIORIZADOS!$A:$E,5,FALSE)="","",VLOOKUP(A1431,[10]PRIORIZADOS!$A:$E,5,FALSE)),"")</f>
        <v>EPBM</v>
      </c>
      <c r="F1431" s="11" t="str">
        <f>IFERROR(IF(VLOOKUP(A1431,[10]PRIORIZADOS!$A:$F,6,FALSE)="","",VLOOKUP(A1431,[10]PRIORIZADOS!$A:$F,6,FALSE)),"")</f>
        <v>LICEO_ROMULO_GALLEGOS</v>
      </c>
      <c r="G1431" s="11" t="str">
        <f>IFERROR(IF(VLOOKUP(A1431,[10]PRIORIZADOS!$A:$G,7,FALSE)="","",VLOOKUP(A1431,[10]PRIORIZADOS!$A:$G,7,FALSE)),"")</f>
        <v>LICEO ROMULO GALLEGOS</v>
      </c>
      <c r="H1431" s="11" t="str">
        <f>IFERROR(IF(VLOOKUP(A1431,[10]PRIORIZADOS!$A:$H,8,FALSE)="","",VLOOKUP(A1431,[10]PRIORIZADOS!$A:$H,8,FALSE)),"")</f>
        <v>Autoevaluación Institucional y Pruebas SABER 11</v>
      </c>
      <c r="I1431" s="11" t="str">
        <f>IFERROR(IF(VLOOKUP(A1431,[10]PRIORIZADOS!$A:$I,9,FALSE)="","",VLOOKUP(A1431,[10]PRIORIZADOS!$A:$I,9,FALSE)),"")</f>
        <v>EVALUACIÓN_CON_FINES_DE_MEJORAMIENTO.</v>
      </c>
      <c r="J1431" s="11" t="str">
        <f>IFERROR(IF(VLOOKUP(A1431,[10]PRIORIZADOS!$A:$J,10,FALSE)="","",VLOOKUP(A1431,[10]PRIORIZADOS!$A:$J,10,FALSE)),"")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31" s="11" t="str">
        <f>IFERROR(IF(VLOOKUP(A1431,[10]PRIORIZADOS!$A:$K,11,FALSE)="","",VLOOKUP(A1431,[10]PRIORIZADOS!$A:$K,11,FALSE)),"")</f>
        <v>ALBERTO ESCARRAGA PEÑUELA</v>
      </c>
      <c r="L1431" s="11" t="str">
        <f>IFERROR(IF(VLOOKUP(A1431,[10]PRIORIZADOS!$A:$L,12,FALSE)="","",VLOOKUP(A1431,[10]PRIORIZADOS!$A:$L,12,FALSE)),"")</f>
        <v>OSCAR GERMAN CLAVIJO PALACIOS</v>
      </c>
      <c r="M1431" s="71">
        <f>IFERROR(IF(VLOOKUP(A1431,[10]PRIORIZADOS!$A:$M,13,FALSE)="","",VLOOKUP(A1431,[10]PRIORIZADOS!$A:$M,13,FALSE)),"")</f>
        <v>45786</v>
      </c>
      <c r="N1431" s="71">
        <f>IFERROR(IF(VLOOKUP(A1431,[10]PRIORIZADOS!$A:$N,14,FALSE)="","",VLOOKUP(A1431,[10]PRIORIZADOS!$A:$N,14,FALSE)),"")</f>
        <v>45804</v>
      </c>
      <c r="O1431" s="71">
        <f>IFERROR(IF(VLOOKUP(A1431,[10]PRIORIZADOS!$A:$O,15,FALSE)="","",VLOOKUP(A1431,[10]PRIORIZADOS!$A:$O,15,FALSE)),"")</f>
        <v>45804</v>
      </c>
      <c r="P1431" s="11" t="str">
        <f>IFERROR(IF(VLOOKUP(A1431,[10]PRIORIZADOS!$A:$P,16,FALSE)="","",VLOOKUP(A1431,[10]PRIORIZADOS!$A:$P,16,FALSE)),"")</f>
        <v>Visitas de evaluación con fines de mejoramiento</v>
      </c>
      <c r="Q1431" s="107" t="s">
        <v>346</v>
      </c>
      <c r="R1431" s="11" t="str">
        <f>IFERROR(IF(VLOOKUP(A1431,[10]PRIORIZADOS!$A:$R,18,FALSE)="","",VLOOKUP(A1431,[10]PRIORIZADOS!$A:$R,18,FALSE)),"")</f>
        <v xml:space="preserve">Se encontró que el manual de convivencia no está actualizado de acuerdo con la normatividad vigente en especial al enfoque restaurativo, enfoque de género, derechos sexuales y reproductivos e inclusión ni no está avalado por el consejo directivo </v>
      </c>
      <c r="S1431" s="11" t="str">
        <f>IFERROR(IF(VLOOKUP(A1431,[10]PRIORIZADOS!$A:$S,19,FALSE)="","",VLOOKUP(A1431,[10]PRIORIZADOS!$A:$S,19,FALSE)),"")</f>
        <v>Elaborar un plan de mejoramiento y comunicarlo a ELIV el 20  de junio de 2025</v>
      </c>
      <c r="T1431" s="70" t="str">
        <f>IFERROR(IF(VLOOKUP(A1431,[10]PRIORIZADOS!$A:$T,20,FALSE)="","",VLOOKUP(A1431,[10]PRIORIZADOS!$A:$T,20,FALSE)),"")</f>
        <v>SI</v>
      </c>
      <c r="U1431" s="11" t="str">
        <f>IFERROR(IF(VLOOKUP(A1431,[10]PRIORIZADOS!$A:$U,21,FALSE)="","",VLOOKUP(A1431,[10]PRIORIZADOS!$A:$U,21,FALSE)),"")</f>
        <v>Revisión del plan de mejoramiento el 06/07/2025.</v>
      </c>
    </row>
    <row r="1432" spans="1:21" s="1" customFormat="1" ht="48">
      <c r="A1432" s="69">
        <f>IF([10]PRIORIZADOS!A46="","",[10]PRIORIZADOS!A46)</f>
        <v>1374</v>
      </c>
      <c r="B1432" s="70">
        <f>IFERROR(IF(VLOOKUP(A1432,[10]PRIORIZADOS!$A:$B,2,FALSE)="","",VLOOKUP(A1432,[10]PRIORIZADOS!$A:$B,2,FALSE)),"")</f>
        <v>7</v>
      </c>
      <c r="C1432" s="11" t="str">
        <f>IFERROR(IF(VLOOKUP(A1432,[10]PRIORIZADOS!$A:$C,3,FALSE)="","",VLOOKUP(A1432,[10]PRIORIZADOS!$A:$C,3,FALSE)),"")</f>
        <v>PUENTE ARANDA</v>
      </c>
      <c r="D1432" s="11" t="str">
        <f>IFERROR(IF(VLOOKUP(A1432,[10]PRIORIZADOS!$A:$D,4,FALSE)="","",VLOOKUP(A1432,[10]PRIORIZADOS!$A:$D,4,FALSE)),"")</f>
        <v>PRIVADO</v>
      </c>
      <c r="E1432" s="11" t="str">
        <f>IFERROR(IF(VLOOKUP(A1432,[10]PRIORIZADOS!$A:$E,5,FALSE)="","",VLOOKUP(A1432,[10]PRIORIZADOS!$A:$E,5,FALSE)),"")</f>
        <v>EPBM</v>
      </c>
      <c r="F1432" s="11" t="str">
        <f>IFERROR(IF(VLOOKUP(A1432,[10]PRIORIZADOS!$A:$F,6,FALSE)="","",VLOOKUP(A1432,[10]PRIORIZADOS!$A:$F,6,FALSE)),"")</f>
        <v>LICEO_ROMULO_GALLEGOS</v>
      </c>
      <c r="G1432" s="11" t="str">
        <f>IFERROR(IF(VLOOKUP(A1432,[10]PRIORIZADOS!$A:$G,7,FALSE)="","",VLOOKUP(A1432,[10]PRIORIZADOS!$A:$G,7,FALSE)),"")</f>
        <v>LICEO ROMULO GALLEGOS</v>
      </c>
      <c r="H1432" s="11" t="str">
        <f>IFERROR(IF(VLOOKUP(A1432,[10]PRIORIZADOS!$A:$H,8,FALSE)="","",VLOOKUP(A1432,[10]PRIORIZADOS!$A:$H,8,FALSE)),"")</f>
        <v>Autoevaluación Institucional y Pruebas SABER 11</v>
      </c>
      <c r="I1432" s="11" t="str">
        <f>IFERROR(IF(VLOOKUP(A1432,[10]PRIORIZADOS!$A:$I,9,FALSE)="","",VLOOKUP(A1432,[10]PRIORIZADOS!$A:$I,9,FALSE)),"")</f>
        <v>EVALUACIÓN_CON_FINES_DE_MEJORAMIENTO.</v>
      </c>
      <c r="J1432" s="11" t="str">
        <f>IFERROR(IF(VLOOKUP(A1432,[10]PRIORIZADOS!$A:$J,10,FALSE)="","",VLOOKUP(A1432,[10]PRIORIZADOS!$A:$J,10,FALSE)),"")</f>
        <v>Revisar la actualización, socialización e implementación del Sistema Institucional de Evaluación de Estudiantes - SIEE, en articulación con la actualización del PEI y la normatividad vigente.</v>
      </c>
      <c r="K1432" s="11" t="str">
        <f>IFERROR(IF(VLOOKUP(A1432,[10]PRIORIZADOS!$A:$K,11,FALSE)="","",VLOOKUP(A1432,[10]PRIORIZADOS!$A:$K,11,FALSE)),"")</f>
        <v>ALBERTO ESCARRAGA PEÑUELA</v>
      </c>
      <c r="L1432" s="11" t="str">
        <f>IFERROR(IF(VLOOKUP(A1432,[10]PRIORIZADOS!$A:$L,12,FALSE)="","",VLOOKUP(A1432,[10]PRIORIZADOS!$A:$L,12,FALSE)),"")</f>
        <v>OSCAR GERMAN CLAVIJO PALACIOS</v>
      </c>
      <c r="M1432" s="71">
        <f>IFERROR(IF(VLOOKUP(A1432,[10]PRIORIZADOS!$A:$M,13,FALSE)="","",VLOOKUP(A1432,[10]PRIORIZADOS!$A:$M,13,FALSE)),"")</f>
        <v>45786</v>
      </c>
      <c r="N1432" s="71">
        <f>IFERROR(IF(VLOOKUP(A1432,[10]PRIORIZADOS!$A:$N,14,FALSE)="","",VLOOKUP(A1432,[10]PRIORIZADOS!$A:$N,14,FALSE)),"")</f>
        <v>45804</v>
      </c>
      <c r="O1432" s="71">
        <f>IFERROR(IF(VLOOKUP(A1432,[10]PRIORIZADOS!$A:$O,15,FALSE)="","",VLOOKUP(A1432,[10]PRIORIZADOS!$A:$O,15,FALSE)),"")</f>
        <v>45804</v>
      </c>
      <c r="P1432" s="11" t="str">
        <f>IFERROR(IF(VLOOKUP(A1432,[10]PRIORIZADOS!$A:$P,16,FALSE)="","",VLOOKUP(A1432,[10]PRIORIZADOS!$A:$P,16,FALSE)),"")</f>
        <v>Visitas de evaluación con fines de mejoramiento</v>
      </c>
      <c r="Q1432" s="107" t="s">
        <v>346</v>
      </c>
      <c r="R1432" s="11" t="str">
        <f>IFERROR(IF(VLOOKUP(A1432,[10]PRIORIZADOS!$A:$R,18,FALSE)="","",VLOOKUP(A1432,[10]PRIORIZADOS!$A:$R,18,FALSE)),"")</f>
        <v xml:space="preserve">Se encontró que el plan de mejoramiento contemplado en el SIE, para los estudiantes no está firmado por el docente y el padre de familia o acudiente </v>
      </c>
      <c r="S1432" s="11" t="str">
        <f>IFERROR(IF(VLOOKUP(A1432,[10]PRIORIZADOS!$A:$S,19,FALSE)="","",VLOOKUP(A1432,[10]PRIORIZADOS!$A:$S,19,FALSE)),"")</f>
        <v>Elaborar un plan de mejoramiento y comunicarlo a ELIV el 20  de junio de 2025</v>
      </c>
      <c r="T1432" s="70" t="str">
        <f>IFERROR(IF(VLOOKUP(A1432,[10]PRIORIZADOS!$A:$T,20,FALSE)="","",VLOOKUP(A1432,[10]PRIORIZADOS!$A:$T,20,FALSE)),"")</f>
        <v>SI</v>
      </c>
      <c r="U1432" s="11" t="str">
        <f>IFERROR(IF(VLOOKUP(A1432,[10]PRIORIZADOS!$A:$U,21,FALSE)="","",VLOOKUP(A1432,[10]PRIORIZADOS!$A:$U,21,FALSE)),"")</f>
        <v>Revisión del plan de mejoramiento el 06/07/2025.</v>
      </c>
    </row>
    <row r="1433" spans="1:21" s="1" customFormat="1" ht="48">
      <c r="A1433" s="69">
        <f>IF([10]PRIORIZADOS!A47="","",[10]PRIORIZADOS!A47)</f>
        <v>1375</v>
      </c>
      <c r="B1433" s="70">
        <f>IFERROR(IF(VLOOKUP(A1433,[10]PRIORIZADOS!$A:$B,2,FALSE)="","",VLOOKUP(A1433,[10]PRIORIZADOS!$A:$B,2,FALSE)),"")</f>
        <v>7</v>
      </c>
      <c r="C1433" s="11" t="str">
        <f>IFERROR(IF(VLOOKUP(A1433,[10]PRIORIZADOS!$A:$C,3,FALSE)="","",VLOOKUP(A1433,[10]PRIORIZADOS!$A:$C,3,FALSE)),"")</f>
        <v>PUENTE ARANDA</v>
      </c>
      <c r="D1433" s="11" t="str">
        <f>IFERROR(IF(VLOOKUP(A1433,[10]PRIORIZADOS!$A:$D,4,FALSE)="","",VLOOKUP(A1433,[10]PRIORIZADOS!$A:$D,4,FALSE)),"")</f>
        <v>PRIVADO</v>
      </c>
      <c r="E1433" s="11" t="str">
        <f>IFERROR(IF(VLOOKUP(A1433,[10]PRIORIZADOS!$A:$E,5,FALSE)="","",VLOOKUP(A1433,[10]PRIORIZADOS!$A:$E,5,FALSE)),"")</f>
        <v>EPBM</v>
      </c>
      <c r="F1433" s="11" t="str">
        <f>IFERROR(IF(VLOOKUP(A1433,[10]PRIORIZADOS!$A:$F,6,FALSE)="","",VLOOKUP(A1433,[10]PRIORIZADOS!$A:$F,6,FALSE)),"")</f>
        <v>LICEO_ROMULO_GALLEGOS</v>
      </c>
      <c r="G1433" s="11" t="str">
        <f>IFERROR(IF(VLOOKUP(A1433,[10]PRIORIZADOS!$A:$G,7,FALSE)="","",VLOOKUP(A1433,[10]PRIORIZADOS!$A:$G,7,FALSE)),"")</f>
        <v>LICEO ROMULO GALLEGOS</v>
      </c>
      <c r="H1433" s="11" t="str">
        <f>IFERROR(IF(VLOOKUP(A1433,[10]PRIORIZADOS!$A:$H,8,FALSE)="","",VLOOKUP(A1433,[10]PRIORIZADOS!$A:$H,8,FALSE)),"")</f>
        <v>Autoevaluación Institucional y Pruebas SABER 11</v>
      </c>
      <c r="I1433" s="11" t="str">
        <f>IFERROR(IF(VLOOKUP(A1433,[10]PRIORIZADOS!$A:$I,9,FALSE)="","",VLOOKUP(A1433,[10]PRIORIZADOS!$A:$I,9,FALSE)),"")</f>
        <v>EVALUACIÓN_CON_FINES_DE_MEJORAMIENTO.</v>
      </c>
      <c r="J1433" s="11" t="str">
        <f>IFERROR(IF(VLOOKUP(A1433,[10]PRIORIZADOS!$A:$J,10,FALSE)="","",VLOOKUP(A1433,[10]PRIORIZADOS!$A:$J,10,FALSE)),"")</f>
        <v>Revisar el calendario escolar, jornada escolar, la intensidad horaria mínima anual en cada nivel y las modificaciones que se realicen al mismo, de acuerdo con lo previsto en la normatividad vigente.</v>
      </c>
      <c r="K1433" s="11" t="str">
        <f>IFERROR(IF(VLOOKUP(A1433,[10]PRIORIZADOS!$A:$K,11,FALSE)="","",VLOOKUP(A1433,[10]PRIORIZADOS!$A:$K,11,FALSE)),"")</f>
        <v>ALBERTO ESCARRAGA PEÑUELA</v>
      </c>
      <c r="L1433" s="11" t="str">
        <f>IFERROR(IF(VLOOKUP(A1433,[10]PRIORIZADOS!$A:$L,12,FALSE)="","",VLOOKUP(A1433,[10]PRIORIZADOS!$A:$L,12,FALSE)),"")</f>
        <v>OSCAR GERMAN CLAVIJO PALACIOS</v>
      </c>
      <c r="M1433" s="71">
        <f>IFERROR(IF(VLOOKUP(A1433,[10]PRIORIZADOS!$A:$M,13,FALSE)="","",VLOOKUP(A1433,[10]PRIORIZADOS!$A:$M,13,FALSE)),"")</f>
        <v>45786</v>
      </c>
      <c r="N1433" s="71">
        <f>IFERROR(IF(VLOOKUP(A1433,[10]PRIORIZADOS!$A:$N,14,FALSE)="","",VLOOKUP(A1433,[10]PRIORIZADOS!$A:$N,14,FALSE)),"")</f>
        <v>45804</v>
      </c>
      <c r="O1433" s="71">
        <f>IFERROR(IF(VLOOKUP(A1433,[10]PRIORIZADOS!$A:$O,15,FALSE)="","",VLOOKUP(A1433,[10]PRIORIZADOS!$A:$O,15,FALSE)),"")</f>
        <v>45804</v>
      </c>
      <c r="P1433" s="11" t="str">
        <f>IFERROR(IF(VLOOKUP(A1433,[10]PRIORIZADOS!$A:$P,16,FALSE)="","",VLOOKUP(A1433,[10]PRIORIZADOS!$A:$P,16,FALSE)),"")</f>
        <v>Visitas de evaluación con fines de mejoramiento</v>
      </c>
      <c r="Q1433" s="107" t="s">
        <v>346</v>
      </c>
      <c r="R1433" s="11" t="str">
        <f>IFERROR(IF(VLOOKUP(A1433,[10]PRIORIZADOS!$A:$R,18,FALSE)="","",VLOOKUP(A1433,[10]PRIORIZADOS!$A:$R,18,FALSE)),"")</f>
        <v>Se encontró que la institución cuenta con estructura administrativa, condiciones de la planta física y medios educativos adecuados, con debilidades a mejorar.</v>
      </c>
      <c r="S1433" s="11" t="str">
        <f>IFERROR(IF(VLOOKUP(A1433,[10]PRIORIZADOS!$A:$S,19,FALSE)="","",VLOOKUP(A1433,[10]PRIORIZADOS!$A:$S,19,FALSE)),"")</f>
        <v>Elaborar un plan de mejoramiento y comunicarlo a ELIV el 20  de junio de 2025</v>
      </c>
      <c r="T1433" s="70" t="str">
        <f>IFERROR(IF(VLOOKUP(A1433,[10]PRIORIZADOS!$A:$T,20,FALSE)="","",VLOOKUP(A1433,[10]PRIORIZADOS!$A:$T,20,FALSE)),"")</f>
        <v>SI</v>
      </c>
      <c r="U1433" s="11" t="str">
        <f>IFERROR(IF(VLOOKUP(A1433,[10]PRIORIZADOS!$A:$U,21,FALSE)="","",VLOOKUP(A1433,[10]PRIORIZADOS!$A:$U,21,FALSE)),"")</f>
        <v>Revisión del plan de mejoramiento el 06/07/2025.</v>
      </c>
    </row>
    <row r="1434" spans="1:21" s="1" customFormat="1" ht="84">
      <c r="A1434" s="69">
        <f>IF([10]PRIORIZADOS!A48="","",[10]PRIORIZADOS!A48)</f>
        <v>1376</v>
      </c>
      <c r="B1434" s="70">
        <f>IFERROR(IF(VLOOKUP(A1434,[10]PRIORIZADOS!$A:$B,2,FALSE)="","",VLOOKUP(A1434,[10]PRIORIZADOS!$A:$B,2,FALSE)),"")</f>
        <v>7</v>
      </c>
      <c r="C1434" s="11" t="str">
        <f>IFERROR(IF(VLOOKUP(A1434,[10]PRIORIZADOS!$A:$C,3,FALSE)="","",VLOOKUP(A1434,[10]PRIORIZADOS!$A:$C,3,FALSE)),"")</f>
        <v>PUENTE ARANDA</v>
      </c>
      <c r="D1434" s="11" t="str">
        <f>IFERROR(IF(VLOOKUP(A1434,[10]PRIORIZADOS!$A:$D,4,FALSE)="","",VLOOKUP(A1434,[10]PRIORIZADOS!$A:$D,4,FALSE)),"")</f>
        <v>PRIVADO</v>
      </c>
      <c r="E1434" s="11" t="str">
        <f>IFERROR(IF(VLOOKUP(A1434,[10]PRIORIZADOS!$A:$E,5,FALSE)="","",VLOOKUP(A1434,[10]PRIORIZADOS!$A:$E,5,FALSE)),"")</f>
        <v>EPBM</v>
      </c>
      <c r="F1434" s="11" t="str">
        <f>IFERROR(IF(VLOOKUP(A1434,[10]PRIORIZADOS!$A:$F,6,FALSE)="","",VLOOKUP(A1434,[10]PRIORIZADOS!$A:$F,6,FALSE)),"")</f>
        <v>LICEO_ROMULO_GALLEGOS</v>
      </c>
      <c r="G1434" s="11" t="str">
        <f>IFERROR(IF(VLOOKUP(A1434,[10]PRIORIZADOS!$A:$G,7,FALSE)="","",VLOOKUP(A1434,[10]PRIORIZADOS!$A:$G,7,FALSE)),"")</f>
        <v>LICEO ROMULO GALLEGOS</v>
      </c>
      <c r="H1434" s="11" t="str">
        <f>IFERROR(IF(VLOOKUP(A1434,[10]PRIORIZADOS!$A:$H,8,FALSE)="","",VLOOKUP(A1434,[10]PRIORIZADOS!$A:$H,8,FALSE)),"")</f>
        <v>Autoevaluación Institucional y Pruebas SABER 11</v>
      </c>
      <c r="I1434" s="11" t="str">
        <f>IFERROR(IF(VLOOKUP(A1434,[10]PRIORIZADOS!$A:$I,9,FALSE)="","",VLOOKUP(A1434,[10]PRIORIZADOS!$A:$I,9,FALSE)),"")</f>
        <v>EVALUACIÓN_CON_FINES_DE_MEJORAMIENTO.</v>
      </c>
      <c r="J1434" s="11" t="str">
        <f>IFERROR(IF(VLOOKUP(A1434,[10]PRIORIZADOS!$A:$J,10,FALSE)="","",VLOOKUP(A1434,[10]PRIORIZADOS!$A:$J,10,FALSE)),"")</f>
        <v>Verificar el funcionamiento del Gobierno Escolar e instancias de participación con base en la información sobre conformación reportada por la institución educativa.</v>
      </c>
      <c r="K1434" s="11" t="str">
        <f>IFERROR(IF(VLOOKUP(A1434,[10]PRIORIZADOS!$A:$K,11,FALSE)="","",VLOOKUP(A1434,[10]PRIORIZADOS!$A:$K,11,FALSE)),"")</f>
        <v>ALBERTO ESCARRAGA PEÑUELA</v>
      </c>
      <c r="L1434" s="11" t="str">
        <f>IFERROR(IF(VLOOKUP(A1434,[10]PRIORIZADOS!$A:$L,12,FALSE)="","",VLOOKUP(A1434,[10]PRIORIZADOS!$A:$L,12,FALSE)),"")</f>
        <v>OSCAR GERMAN CLAVIJO PALACIOS</v>
      </c>
      <c r="M1434" s="71">
        <f>IFERROR(IF(VLOOKUP(A1434,[10]PRIORIZADOS!$A:$M,13,FALSE)="","",VLOOKUP(A1434,[10]PRIORIZADOS!$A:$M,13,FALSE)),"")</f>
        <v>45786</v>
      </c>
      <c r="N1434" s="71">
        <f>IFERROR(IF(VLOOKUP(A1434,[10]PRIORIZADOS!$A:$N,14,FALSE)="","",VLOOKUP(A1434,[10]PRIORIZADOS!$A:$N,14,FALSE)),"")</f>
        <v>45804</v>
      </c>
      <c r="O1434" s="71">
        <f>IFERROR(IF(VLOOKUP(A1434,[10]PRIORIZADOS!$A:$O,15,FALSE)="","",VLOOKUP(A1434,[10]PRIORIZADOS!$A:$O,15,FALSE)),"")</f>
        <v>45804</v>
      </c>
      <c r="P1434" s="11" t="str">
        <f>IFERROR(IF(VLOOKUP(A1434,[10]PRIORIZADOS!$A:$P,16,FALSE)="","",VLOOKUP(A1434,[10]PRIORIZADOS!$A:$P,16,FALSE)),"")</f>
        <v>Visitas de evaluación con fines de mejoramiento</v>
      </c>
      <c r="Q1434" s="107" t="s">
        <v>346</v>
      </c>
      <c r="R1434" s="11" t="str">
        <f>IFERROR(IF(VLOOKUP(A1434,[10]PRIORIZADOS!$A:$R,18,FALSE)="","",VLOOKUP(A1434,[10]PRIORIZADOS!$A:$R,18,FALSE)),"")</f>
        <v xml:space="preserve">Se encontró que la institución no adelantó el proceso de cargue de las actas de elección de los estamentos del gobierno escolar en el aplicativo SAE, así mismo algunas actas de reuniones de los estamentos del gobierno escolar están sin firmar </v>
      </c>
      <c r="S1434" s="11" t="str">
        <f>IFERROR(IF(VLOOKUP(A1434,[10]PRIORIZADOS!$A:$S,19,FALSE)="","",VLOOKUP(A1434,[10]PRIORIZADOS!$A:$S,19,FALSE)),"")</f>
        <v>Elaborar un plan de mejoramiento y comunicarlo a ELIV el 20  de junio de 2025</v>
      </c>
      <c r="T1434" s="70" t="str">
        <f>IFERROR(IF(VLOOKUP(A1434,[10]PRIORIZADOS!$A:$T,20,FALSE)="","",VLOOKUP(A1434,[10]PRIORIZADOS!$A:$T,20,FALSE)),"")</f>
        <v>SI</v>
      </c>
      <c r="U1434" s="11" t="str">
        <f>IFERROR(IF(VLOOKUP(A1434,[10]PRIORIZADOS!$A:$U,21,FALSE)="","",VLOOKUP(A1434,[10]PRIORIZADOS!$A:$U,21,FALSE)),"")</f>
        <v>Revisión del plan de mejoramiento el 06/07/2025.</v>
      </c>
    </row>
    <row r="1435" spans="1:21" s="1" customFormat="1" ht="36">
      <c r="A1435" s="69">
        <f>IF([10]PRIORIZADOS!A49="","",[10]PRIORIZADOS!A49)</f>
        <v>1377</v>
      </c>
      <c r="B1435" s="70">
        <f>IFERROR(IF(VLOOKUP(A1435,[10]PRIORIZADOS!$A:$B,2,FALSE)="","",VLOOKUP(A1435,[10]PRIORIZADOS!$A:$B,2,FALSE)),"")</f>
        <v>7</v>
      </c>
      <c r="C1435" s="11" t="str">
        <f>IFERROR(IF(VLOOKUP(A1435,[10]PRIORIZADOS!$A:$C,3,FALSE)="","",VLOOKUP(A1435,[10]PRIORIZADOS!$A:$C,3,FALSE)),"")</f>
        <v>PUENTE ARANDA</v>
      </c>
      <c r="D1435" s="11" t="str">
        <f>IFERROR(IF(VLOOKUP(A1435,[10]PRIORIZADOS!$A:$D,4,FALSE)="","",VLOOKUP(A1435,[10]PRIORIZADOS!$A:$D,4,FALSE)),"")</f>
        <v>PRIVADO</v>
      </c>
      <c r="E1435" s="11" t="str">
        <f>IFERROR(IF(VLOOKUP(A1435,[10]PRIORIZADOS!$A:$E,5,FALSE)="","",VLOOKUP(A1435,[10]PRIORIZADOS!$A:$E,5,FALSE)),"")</f>
        <v>EPBM</v>
      </c>
      <c r="F1435" s="11" t="str">
        <f>IFERROR(IF(VLOOKUP(A1435,[10]PRIORIZADOS!$A:$F,6,FALSE)="","",VLOOKUP(A1435,[10]PRIORIZADOS!$A:$F,6,FALSE)),"")</f>
        <v>LICEO_ROMULO_GALLEGOS</v>
      </c>
      <c r="G1435" s="11" t="str">
        <f>IFERROR(IF(VLOOKUP(A1435,[10]PRIORIZADOS!$A:$G,7,FALSE)="","",VLOOKUP(A1435,[10]PRIORIZADOS!$A:$G,7,FALSE)),"")</f>
        <v>LICEO ROMULO GALLEGOS</v>
      </c>
      <c r="H1435" s="11" t="str">
        <f>IFERROR(IF(VLOOKUP(A1435,[10]PRIORIZADOS!$A:$H,8,FALSE)="","",VLOOKUP(A1435,[10]PRIORIZADOS!$A:$H,8,FALSE)),"")</f>
        <v>Autoevaluación Institucional y Pruebas SABER 11</v>
      </c>
      <c r="I1435" s="11" t="str">
        <f>IFERROR(IF(VLOOKUP(A1435,[10]PRIORIZADOS!$A:$I,9,FALSE)="","",VLOOKUP(A1435,[10]PRIORIZADOS!$A:$I,9,FALSE)),"")</f>
        <v>EVALUACIÓN_CON_FINES_DE_MEJORAMIENTO.</v>
      </c>
      <c r="J1435" s="11" t="str">
        <f>IFERROR(IF(VLOOKUP(A1435,[10]PRIORIZADOS!$A:$J,10,FALSE)="","",VLOOKUP(A1435,[10]PRIORIZADOS!$A:$J,10,FALSE)),"")</f>
        <v>Verificar las condiciones en cuanto a: la estructura administrativa, condiciones de la planta física y medios educativos adecuados.</v>
      </c>
      <c r="K1435" s="11" t="str">
        <f>IFERROR(IF(VLOOKUP(A1435,[10]PRIORIZADOS!$A:$K,11,FALSE)="","",VLOOKUP(A1435,[10]PRIORIZADOS!$A:$K,11,FALSE)),"")</f>
        <v>ALBERTO ESCARRAGA PEÑUELA</v>
      </c>
      <c r="L1435" s="11" t="str">
        <f>IFERROR(IF(VLOOKUP(A1435,[10]PRIORIZADOS!$A:$L,12,FALSE)="","",VLOOKUP(A1435,[10]PRIORIZADOS!$A:$L,12,FALSE)),"")</f>
        <v>OSCAR GERMAN CLAVIJO PALACIOS</v>
      </c>
      <c r="M1435" s="71">
        <f>IFERROR(IF(VLOOKUP(A1435,[10]PRIORIZADOS!$A:$M,13,FALSE)="","",VLOOKUP(A1435,[10]PRIORIZADOS!$A:$M,13,FALSE)),"")</f>
        <v>45786</v>
      </c>
      <c r="N1435" s="71">
        <f>IFERROR(IF(VLOOKUP(A1435,[10]PRIORIZADOS!$A:$N,14,FALSE)="","",VLOOKUP(A1435,[10]PRIORIZADOS!$A:$N,14,FALSE)),"")</f>
        <v>45804</v>
      </c>
      <c r="O1435" s="71">
        <f>IFERROR(IF(VLOOKUP(A1435,[10]PRIORIZADOS!$A:$O,15,FALSE)="","",VLOOKUP(A1435,[10]PRIORIZADOS!$A:$O,15,FALSE)),"")</f>
        <v>45804</v>
      </c>
      <c r="P1435" s="11" t="str">
        <f>IFERROR(IF(VLOOKUP(A1435,[10]PRIORIZADOS!$A:$P,16,FALSE)="","",VLOOKUP(A1435,[10]PRIORIZADOS!$A:$P,16,FALSE)),"")</f>
        <v>Visitas de evaluación con fines de mejoramiento</v>
      </c>
      <c r="Q1435" s="107" t="s">
        <v>346</v>
      </c>
      <c r="R1435" s="11" t="str">
        <f>IFERROR(IF(VLOOKUP(A1435,[10]PRIORIZADOS!$A:$R,18,FALSE)="","",VLOOKUP(A1435,[10]PRIORIZADOS!$A:$R,18,FALSE)),"")</f>
        <v>Se encontró que el plan escolar de gestión del riesgo esta por del 80%</v>
      </c>
      <c r="S1435" s="11" t="str">
        <f>IFERROR(IF(VLOOKUP(A1435,[10]PRIORIZADOS!$A:$S,19,FALSE)="","",VLOOKUP(A1435,[10]PRIORIZADOS!$A:$S,19,FALSE)),"")</f>
        <v>Elaborar un plan de mejoramiento y comunicarlo a ELIV el 20  de junio de 2025</v>
      </c>
      <c r="T1435" s="70" t="str">
        <f>IFERROR(IF(VLOOKUP(A1435,[10]PRIORIZADOS!$A:$T,20,FALSE)="","",VLOOKUP(A1435,[10]PRIORIZADOS!$A:$T,20,FALSE)),"")</f>
        <v>SI</v>
      </c>
      <c r="U1435" s="11" t="str">
        <f>IFERROR(IF(VLOOKUP(A1435,[10]PRIORIZADOS!$A:$U,21,FALSE)="","",VLOOKUP(A1435,[10]PRIORIZADOS!$A:$U,21,FALSE)),"")</f>
        <v>Revisión del plan de mejoramiento el 06/07/2025.</v>
      </c>
    </row>
    <row r="1436" spans="1:21" s="1" customFormat="1" ht="72">
      <c r="A1436" s="69">
        <f>IF([10]PRIORIZADOS!A50="","",[10]PRIORIZADOS!A50)</f>
        <v>1378</v>
      </c>
      <c r="B1436" s="70">
        <f>IFERROR(IF(VLOOKUP(A1436,[10]PRIORIZADOS!$A:$B,2,FALSE)="","",VLOOKUP(A1436,[10]PRIORIZADOS!$A:$B,2,FALSE)),"")</f>
        <v>8</v>
      </c>
      <c r="C1436" s="11" t="str">
        <f>IFERROR(IF(VLOOKUP(A1436,[10]PRIORIZADOS!$A:$C,3,FALSE)="","",VLOOKUP(A1436,[10]PRIORIZADOS!$A:$C,3,FALSE)),"")</f>
        <v>PUENTE ARANDA</v>
      </c>
      <c r="D1436" s="11" t="str">
        <f>IFERROR(IF(VLOOKUP(A1436,[10]PRIORIZADOS!$A:$D,4,FALSE)="","",VLOOKUP(A1436,[10]PRIORIZADOS!$A:$D,4,FALSE)),"")</f>
        <v>PRIVADO</v>
      </c>
      <c r="E1436" s="11" t="str">
        <f>IFERROR(IF(VLOOKUP(A1436,[10]PRIORIZADOS!$A:$E,5,FALSE)="","",VLOOKUP(A1436,[10]PRIORIZADOS!$A:$E,5,FALSE)),"")</f>
        <v>EPBM</v>
      </c>
      <c r="F1436" s="11" t="str">
        <f>IFERROR(IF(VLOOKUP(A1436,[10]PRIORIZADOS!$A:$F,6,FALSE)="","",VLOOKUP(A1436,[10]PRIORIZADOS!$A:$F,6,FALSE)),"")</f>
        <v>LICEO_COQUIBACOA</v>
      </c>
      <c r="G1436" s="11" t="str">
        <f>IFERROR(IF(VLOOKUP(A1436,[10]PRIORIZADOS!$A:$G,7,FALSE)="","",VLOOKUP(A1436,[10]PRIORIZADOS!$A:$G,7,FALSE)),"")</f>
        <v>LICEO_COQUIBACOA</v>
      </c>
      <c r="H1436" s="11" t="str">
        <f>IFERROR(IF(VLOOKUP(A1436,[10]PRIORIZADOS!$A:$H,8,FALSE)="","",VLOOKUP(A1436,[10]PRIORIZADOS!$A:$H,8,FALSE)),"")</f>
        <v>Autoevaluación Institucional y Pruebas SABER 11</v>
      </c>
      <c r="I1436" s="11" t="str">
        <f>IFERROR(IF(VLOOKUP(A1436,[10]PRIORIZADOS!$A:$I,9,FALSE)="","",VLOOKUP(A1436,[10]PRIORIZADOS!$A:$I,9,FALSE)),"")</f>
        <v>SEGUIMIENTO_Y_SUPERVISIÓN.</v>
      </c>
      <c r="J1436" s="11" t="str">
        <f>IFERROR(IF(VLOOKUP(A1436,[10]PRIORIZADOS!$A:$J,10,FALSE)="","",VLOOKUP(A1436,[10]PRIORIZADOS!$A:$J,10,FALSE)),"")</f>
        <v xml:space="preserve">Verificar la implementación por parte de los colegios, de acciones realizadas para la prevención y atención de las situaciones de convivencia en el entorno escolar, según lo establecido en la Directiva 01 de 2022 del MEN. </v>
      </c>
      <c r="K1436" s="11" t="str">
        <f>IFERROR(IF(VLOOKUP(A1436,[10]PRIORIZADOS!$A:$K,11,FALSE)="","",VLOOKUP(A1436,[10]PRIORIZADOS!$A:$K,11,FALSE)),"")</f>
        <v>CRISTIAN CAMILO LÓPEZ VELANDIA</v>
      </c>
      <c r="L1436" s="11" t="str">
        <f>IFERROR(IF(VLOOKUP(A1436,[10]PRIORIZADOS!$A:$L,12,FALSE)="","",VLOOKUP(A1436,[10]PRIORIZADOS!$A:$L,12,FALSE)),"")</f>
        <v>OSCAR GERMAN CLAVIJO PALACIOS</v>
      </c>
      <c r="M1436" s="71">
        <f>IFERROR(IF(VLOOKUP(A1436,[10]PRIORIZADOS!$A:$M,13,FALSE)="","",VLOOKUP(A1436,[10]PRIORIZADOS!$A:$M,13,FALSE)),"")</f>
        <v>45789</v>
      </c>
      <c r="N1436" s="71">
        <f>IFERROR(IF(VLOOKUP(A1436,[10]PRIORIZADOS!$A:$N,14,FALSE)="","",VLOOKUP(A1436,[10]PRIORIZADOS!$A:$N,14,FALSE)),"")</f>
        <v>45776</v>
      </c>
      <c r="O1436" s="71">
        <f>IFERROR(IF(VLOOKUP(A1436,[10]PRIORIZADOS!$A:$O,15,FALSE)="","",VLOOKUP(A1436,[10]PRIORIZADOS!$A:$O,15,FALSE)),"")</f>
        <v>45776</v>
      </c>
      <c r="P1436" s="11" t="str">
        <f>IFERROR(IF(VLOOKUP(A1436,[10]PRIORIZADOS!$A:$P,16,FALSE)="","",VLOOKUP(A1436,[10]PRIORIZADOS!$A:$P,16,FALSE)),"")</f>
        <v>Visitas de evaluación con fines de mejoramiento</v>
      </c>
      <c r="Q1436" s="107" t="s">
        <v>347</v>
      </c>
      <c r="R1436" s="11" t="str">
        <f>IFERROR(IF(VLOOKUP(A1436,[10]PRIORIZADOS!$A:$R,18,FALSE)="","",VLOOKUP(A1436,[10]PRIORIZADOS!$A:$R,18,FALSE)),"")</f>
        <v>No se presentan certificados de revisión de inhabilidades del cuerpo docente y administrativo. No cuenta con servicio de orientación.</v>
      </c>
      <c r="S1436" s="11" t="str">
        <f>IFERROR(IF(VLOOKUP(A1436,[10]PRIORIZADOS!$A:$S,19,FALSE)="","",VLOOKUP(A1436,[10]PRIORIZADOS!$A:$S,19,FALSE)),"")</f>
        <v>Completar la carpeta docente con la revisión de inhabilidades. Generar la contratación del servicio de orientación. Establecer acciones de mejora e incorporar al plan de mejoramiento a reportar el 16/05/2025.</v>
      </c>
      <c r="T1436" s="70" t="str">
        <f>IFERROR(IF(VLOOKUP(A1436,[10]PRIORIZADOS!$A:$T,20,FALSE)="","",VLOOKUP(A1436,[10]PRIORIZADOS!$A:$T,20,FALSE)),"")</f>
        <v>Si</v>
      </c>
      <c r="U1436" s="11" t="str">
        <f>IFERROR(IF(VLOOKUP(A1436,[10]PRIORIZADOS!$A:$U,21,FALSE)="","",VLOOKUP(A1436,[10]PRIORIZADOS!$A:$U,21,FALSE)),"")</f>
        <v>Revisión del plan de mejora, contemplada su entrega para el 16/05/2025.</v>
      </c>
    </row>
    <row r="1437" spans="1:21" s="1" customFormat="1" ht="48">
      <c r="A1437" s="69">
        <f>IF([10]PRIORIZADOS!A51="","",[10]PRIORIZADOS!A51)</f>
        <v>1379</v>
      </c>
      <c r="B1437" s="70">
        <f>IFERROR(IF(VLOOKUP(A1437,[10]PRIORIZADOS!$A:$B,2,FALSE)="","",VLOOKUP(A1437,[10]PRIORIZADOS!$A:$B,2,FALSE)),"")</f>
        <v>8</v>
      </c>
      <c r="C1437" s="11" t="str">
        <f>IFERROR(IF(VLOOKUP(A1437,[10]PRIORIZADOS!$A:$C,3,FALSE)="","",VLOOKUP(A1437,[10]PRIORIZADOS!$A:$C,3,FALSE)),"")</f>
        <v>PUENTE ARANDA</v>
      </c>
      <c r="D1437" s="11" t="str">
        <f>IFERROR(IF(VLOOKUP(A1437,[10]PRIORIZADOS!$A:$D,4,FALSE)="","",VLOOKUP(A1437,[10]PRIORIZADOS!$A:$D,4,FALSE)),"")</f>
        <v>PRIVADO</v>
      </c>
      <c r="E1437" s="11" t="str">
        <f>IFERROR(IF(VLOOKUP(A1437,[10]PRIORIZADOS!$A:$E,5,FALSE)="","",VLOOKUP(A1437,[10]PRIORIZADOS!$A:$E,5,FALSE)),"")</f>
        <v>EPBM</v>
      </c>
      <c r="F1437" s="11" t="str">
        <f>IFERROR(IF(VLOOKUP(A1437,[10]PRIORIZADOS!$A:$F,6,FALSE)="","",VLOOKUP(A1437,[10]PRIORIZADOS!$A:$F,6,FALSE)),"")</f>
        <v>LICEO_COQUIBACOA</v>
      </c>
      <c r="G1437" s="11" t="str">
        <f>IFERROR(IF(VLOOKUP(A1437,[10]PRIORIZADOS!$A:$G,7,FALSE)="","",VLOOKUP(A1437,[10]PRIORIZADOS!$A:$G,7,FALSE)),"")</f>
        <v>LICEO_COQUIBACOA</v>
      </c>
      <c r="H1437" s="11" t="str">
        <f>IFERROR(IF(VLOOKUP(A1437,[10]PRIORIZADOS!$A:$H,8,FALSE)="","",VLOOKUP(A1437,[10]PRIORIZADOS!$A:$H,8,FALSE)),"")</f>
        <v>Autoevaluación Institucional y Pruebas SABER 11</v>
      </c>
      <c r="I1437" s="11" t="str">
        <f>IFERROR(IF(VLOOKUP(A1437,[10]PRIORIZADOS!$A:$I,9,FALSE)="","",VLOOKUP(A1437,[10]PRIORIZADOS!$A:$I,9,FALSE)),"")</f>
        <v>EVALUACIÓN_CON_FINES_DE_MEJORAMIENTO.</v>
      </c>
      <c r="J1437" s="11" t="str">
        <f>IFERROR(IF(VLOOKUP(A1437,[10]PRIORIZADOS!$A:$J,10,FALSE)="","",VLOOKUP(A1437,[10]PRIORIZADOS!$A:$J,10,FALSE)),"")</f>
        <v>Revisar el calendario escolar, jornada escolar, la intensidad horaria mínima anual en cada nivel y las modificaciones que se realicen al mismo, de acuerdo con lo previsto en la normatividad vigente.</v>
      </c>
      <c r="K1437" s="11" t="str">
        <f>IFERROR(IF(VLOOKUP(A1437,[10]PRIORIZADOS!$A:$K,11,FALSE)="","",VLOOKUP(A1437,[10]PRIORIZADOS!$A:$K,11,FALSE)),"")</f>
        <v>CRISTIAN CAMILO LÓPEZ VELANDIA</v>
      </c>
      <c r="L1437" s="11" t="str">
        <f>IFERROR(IF(VLOOKUP(A1437,[10]PRIORIZADOS!$A:$L,12,FALSE)="","",VLOOKUP(A1437,[10]PRIORIZADOS!$A:$L,12,FALSE)),"")</f>
        <v>OSCAR GERMAN CLAVIJO PALACIOS</v>
      </c>
      <c r="M1437" s="71">
        <f>IFERROR(IF(VLOOKUP(A1437,[10]PRIORIZADOS!$A:$M,13,FALSE)="","",VLOOKUP(A1437,[10]PRIORIZADOS!$A:$M,13,FALSE)),"")</f>
        <v>45789</v>
      </c>
      <c r="N1437" s="71">
        <f>IFERROR(IF(VLOOKUP(A1437,[10]PRIORIZADOS!$A:$N,14,FALSE)="","",VLOOKUP(A1437,[10]PRIORIZADOS!$A:$N,14,FALSE)),"")</f>
        <v>45776</v>
      </c>
      <c r="O1437" s="71" t="str">
        <f>IFERROR(IF(VLOOKUP(A1437,[10]PRIORIZADOS!$A:$O,15,FALSE)="","",VLOOKUP(A1437,[10]PRIORIZADOS!$A:$O,15,FALSE)),"")</f>
        <v>29/04/2025</v>
      </c>
      <c r="P1437" s="11" t="str">
        <f>IFERROR(IF(VLOOKUP(A1437,[10]PRIORIZADOS!$A:$P,16,FALSE)="","",VLOOKUP(A1437,[10]PRIORIZADOS!$A:$P,16,FALSE)),"")</f>
        <v>Visitas de evaluación con fines de mejoramiento</v>
      </c>
      <c r="Q1437" s="107" t="s">
        <v>347</v>
      </c>
      <c r="R1437" s="11" t="str">
        <f>IFERROR(IF(VLOOKUP(A1437,[10]PRIORIZADOS!$A:$R,18,FALSE)="","",VLOOKUP(A1437,[10]PRIORIZADOS!$A:$R,18,FALSE)),"")</f>
        <v>Presenta cargue de documentos en la plataforma planteada por la DIV</v>
      </c>
      <c r="S1437" s="11" t="str">
        <f>IFERROR(IF(VLOOKUP(A1437,[10]PRIORIZADOS!$A:$S,19,FALSE)="","",VLOOKUP(A1437,[10]PRIORIZADOS!$A:$S,19,FALSE)),"")</f>
        <v>Cumple con la intensidad de horas académicas mínimas</v>
      </c>
      <c r="T1437" s="70" t="str">
        <f>IFERROR(IF(VLOOKUP(A1437,[10]PRIORIZADOS!$A:$T,20,FALSE)="","",VLOOKUP(A1437,[10]PRIORIZADOS!$A:$T,20,FALSE)),"")</f>
        <v>No</v>
      </c>
      <c r="U1437" s="11" t="str">
        <f>IFERROR(IF(VLOOKUP(A1437,[10]PRIORIZADOS!$A:$U,21,FALSE)="","",VLOOKUP(A1437,[10]PRIORIZADOS!$A:$U,21,FALSE)),"")</f>
        <v>En caso de presentarse PQR se procederá a realizar su respectiva revisión.</v>
      </c>
    </row>
    <row r="1438" spans="1:21" s="1" customFormat="1" ht="72">
      <c r="A1438" s="69">
        <f>IF([10]PRIORIZADOS!A52="","",[10]PRIORIZADOS!A52)</f>
        <v>1380</v>
      </c>
      <c r="B1438" s="70">
        <f>IFERROR(IF(VLOOKUP(A1438,[10]PRIORIZADOS!$A:$B,2,FALSE)="","",VLOOKUP(A1438,[10]PRIORIZADOS!$A:$B,2,FALSE)),"")</f>
        <v>8</v>
      </c>
      <c r="C1438" s="11" t="str">
        <f>IFERROR(IF(VLOOKUP(A1438,[10]PRIORIZADOS!$A:$C,3,FALSE)="","",VLOOKUP(A1438,[10]PRIORIZADOS!$A:$C,3,FALSE)),"")</f>
        <v>PUENTE ARANDA</v>
      </c>
      <c r="D1438" s="11" t="str">
        <f>IFERROR(IF(VLOOKUP(A1438,[10]PRIORIZADOS!$A:$D,4,FALSE)="","",VLOOKUP(A1438,[10]PRIORIZADOS!$A:$D,4,FALSE)),"")</f>
        <v>PRIVADO</v>
      </c>
      <c r="E1438" s="11" t="str">
        <f>IFERROR(IF(VLOOKUP(A1438,[10]PRIORIZADOS!$A:$E,5,FALSE)="","",VLOOKUP(A1438,[10]PRIORIZADOS!$A:$E,5,FALSE)),"")</f>
        <v>EPBM</v>
      </c>
      <c r="F1438" s="11" t="str">
        <f>IFERROR(IF(VLOOKUP(A1438,[10]PRIORIZADOS!$A:$F,6,FALSE)="","",VLOOKUP(A1438,[10]PRIORIZADOS!$A:$F,6,FALSE)),"")</f>
        <v>LICEO_COQUIBACOA</v>
      </c>
      <c r="G1438" s="11" t="str">
        <f>IFERROR(IF(VLOOKUP(A1438,[10]PRIORIZADOS!$A:$G,7,FALSE)="","",VLOOKUP(A1438,[10]PRIORIZADOS!$A:$G,7,FALSE)),"")</f>
        <v>LICEO_COQUIBACOA</v>
      </c>
      <c r="H1438" s="11" t="str">
        <f>IFERROR(IF(VLOOKUP(A1438,[10]PRIORIZADOS!$A:$H,8,FALSE)="","",VLOOKUP(A1438,[10]PRIORIZADOS!$A:$H,8,FALSE)),"")</f>
        <v>Autoevaluación Institucional y Pruebas SABER 11</v>
      </c>
      <c r="I1438" s="11" t="str">
        <f>IFERROR(IF(VLOOKUP(A1438,[10]PRIORIZADOS!$A:$I,9,FALSE)="","",VLOOKUP(A1438,[10]PRIORIZADOS!$A:$I,9,FALSE)),"")</f>
        <v>EVALUACIÓN_CON_FINES_DE_MEJORAMIENTO.</v>
      </c>
      <c r="J1438" s="11" t="str">
        <f>IFERROR(IF(VLOOKUP(A1438,[10]PRIORIZADOS!$A:$J,10,FALSE)="","",VLOOKUP(A1438,[10]PRIORIZADOS!$A:$J,10,FALSE)),"")</f>
        <v>Verificar el funcionamiento del Gobierno Escolar e instancias de participación con base en la información sobre conformación reportada por la institución educativa.</v>
      </c>
      <c r="K1438" s="11" t="str">
        <f>IFERROR(IF(VLOOKUP(A1438,[10]PRIORIZADOS!$A:$K,11,FALSE)="","",VLOOKUP(A1438,[10]PRIORIZADOS!$A:$K,11,FALSE)),"")</f>
        <v>CRISTIAN CAMILO LÓPEZ VELANDIA</v>
      </c>
      <c r="L1438" s="11" t="str">
        <f>IFERROR(IF(VLOOKUP(A1438,[10]PRIORIZADOS!$A:$L,12,FALSE)="","",VLOOKUP(A1438,[10]PRIORIZADOS!$A:$L,12,FALSE)),"")</f>
        <v>OSCAR GERMAN CLAVIJO PALACIOS</v>
      </c>
      <c r="M1438" s="71">
        <f>IFERROR(IF(VLOOKUP(A1438,[10]PRIORIZADOS!$A:$M,13,FALSE)="","",VLOOKUP(A1438,[10]PRIORIZADOS!$A:$M,13,FALSE)),"")</f>
        <v>45789</v>
      </c>
      <c r="N1438" s="71">
        <f>IFERROR(IF(VLOOKUP(A1438,[10]PRIORIZADOS!$A:$N,14,FALSE)="","",VLOOKUP(A1438,[10]PRIORIZADOS!$A:$N,14,FALSE)),"")</f>
        <v>45776</v>
      </c>
      <c r="O1438" s="71" t="str">
        <f>IFERROR(IF(VLOOKUP(A1438,[10]PRIORIZADOS!$A:$O,15,FALSE)="","",VLOOKUP(A1438,[10]PRIORIZADOS!$A:$O,15,FALSE)),"")</f>
        <v>29/04/2025</v>
      </c>
      <c r="P1438" s="11" t="str">
        <f>IFERROR(IF(VLOOKUP(A1438,[10]PRIORIZADOS!$A:$P,16,FALSE)="","",VLOOKUP(A1438,[10]PRIORIZADOS!$A:$P,16,FALSE)),"")</f>
        <v>Visitas de evaluación con fines de mejoramiento</v>
      </c>
      <c r="Q1438" s="107" t="s">
        <v>347</v>
      </c>
      <c r="R1438" s="11" t="str">
        <f>IFERROR(IF(VLOOKUP(A1438,[10]PRIORIZADOS!$A:$R,18,FALSE)="","",VLOOKUP(A1438,[10]PRIORIZADOS!$A:$R,18,FALSE)),"")</f>
        <v>No se ha desarrollado el cargue de la información en la plataforma SAE, no se evidencian actas de conformación y operación del gobierno escolar</v>
      </c>
      <c r="S1438" s="11" t="str">
        <f>IFERROR(IF(VLOOKUP(A1438,[10]PRIORIZADOS!$A:$S,19,FALSE)="","",VLOOKUP(A1438,[10]PRIORIZADOS!$A:$S,19,FALSE)),"")</f>
        <v>Se debe realizar de manera prioritaria la conformación del gobierno escolar. Así mismo, generar las actas de cada una de las instancias del gobierno. Establecer acciones de mejora e incorporar al plan de mejoramiento a reportar el 16/05/2025.</v>
      </c>
      <c r="T1438" s="70" t="str">
        <f>IFERROR(IF(VLOOKUP(A1438,[10]PRIORIZADOS!$A:$T,20,FALSE)="","",VLOOKUP(A1438,[10]PRIORIZADOS!$A:$T,20,FALSE)),"")</f>
        <v>Si</v>
      </c>
      <c r="U1438" s="11" t="str">
        <f>IFERROR(IF(VLOOKUP(A1438,[10]PRIORIZADOS!$A:$U,21,FALSE)="","",VLOOKUP(A1438,[10]PRIORIZADOS!$A:$U,21,FALSE)),"")</f>
        <v>Revisión del plan de mejora, contemplada su entrega para el 16/05/2025.</v>
      </c>
    </row>
    <row r="1439" spans="1:21" s="1" customFormat="1" ht="84">
      <c r="A1439" s="69">
        <f>IF([10]PRIORIZADOS!A53="","",[10]PRIORIZADOS!A53)</f>
        <v>1381</v>
      </c>
      <c r="B1439" s="70">
        <f>IFERROR(IF(VLOOKUP(A1439,[10]PRIORIZADOS!$A:$B,2,FALSE)="","",VLOOKUP(A1439,[10]PRIORIZADOS!$A:$B,2,FALSE)),"")</f>
        <v>8</v>
      </c>
      <c r="C1439" s="11" t="str">
        <f>IFERROR(IF(VLOOKUP(A1439,[10]PRIORIZADOS!$A:$C,3,FALSE)="","",VLOOKUP(A1439,[10]PRIORIZADOS!$A:$C,3,FALSE)),"")</f>
        <v>PUENTE ARANDA</v>
      </c>
      <c r="D1439" s="11" t="str">
        <f>IFERROR(IF(VLOOKUP(A1439,[10]PRIORIZADOS!$A:$D,4,FALSE)="","",VLOOKUP(A1439,[10]PRIORIZADOS!$A:$D,4,FALSE)),"")</f>
        <v>PRIVADO</v>
      </c>
      <c r="E1439" s="11" t="str">
        <f>IFERROR(IF(VLOOKUP(A1439,[10]PRIORIZADOS!$A:$E,5,FALSE)="","",VLOOKUP(A1439,[10]PRIORIZADOS!$A:$E,5,FALSE)),"")</f>
        <v>EPBM</v>
      </c>
      <c r="F1439" s="11" t="str">
        <f>IFERROR(IF(VLOOKUP(A1439,[10]PRIORIZADOS!$A:$F,6,FALSE)="","",VLOOKUP(A1439,[10]PRIORIZADOS!$A:$F,6,FALSE)),"")</f>
        <v>LICEO_COQUIBACOA</v>
      </c>
      <c r="G1439" s="11" t="str">
        <f>IFERROR(IF(VLOOKUP(A1439,[10]PRIORIZADOS!$A:$G,7,FALSE)="","",VLOOKUP(A1439,[10]PRIORIZADOS!$A:$G,7,FALSE)),"")</f>
        <v>LICEO_COQUIBACOA</v>
      </c>
      <c r="H1439" s="11" t="str">
        <f>IFERROR(IF(VLOOKUP(A1439,[10]PRIORIZADOS!$A:$H,8,FALSE)="","",VLOOKUP(A1439,[10]PRIORIZADOS!$A:$H,8,FALSE)),"")</f>
        <v>Autoevaluación Institucional y Pruebas SABER 11</v>
      </c>
      <c r="I1439" s="11" t="str">
        <f>IFERROR(IF(VLOOKUP(A1439,[10]PRIORIZADOS!$A:$I,9,FALSE)="","",VLOOKUP(A1439,[10]PRIORIZADOS!$A:$I,9,FALSE)),"")</f>
        <v>EVALUACIÓN_CON_FINES_DE_MEJORAMIENTO.</v>
      </c>
      <c r="J1439" s="11" t="str">
        <f>IFERROR(IF(VLOOKUP(A1439,[10]PRIORIZADOS!$A:$J,10,FALSE)="","",VLOOKUP(A1439,[10]PRIORIZADOS!$A:$J,10,FALSE)),"")</f>
        <v>Verificar las condiciones en cuanto a: la estructura administrativa, condiciones de la planta física y medios educativos adecuados.</v>
      </c>
      <c r="K1439" s="11" t="str">
        <f>IFERROR(IF(VLOOKUP(A1439,[10]PRIORIZADOS!$A:$K,11,FALSE)="","",VLOOKUP(A1439,[10]PRIORIZADOS!$A:$K,11,FALSE)),"")</f>
        <v>CRISTIAN CAMILO LÓPEZ VELANDIA</v>
      </c>
      <c r="L1439" s="11" t="str">
        <f>IFERROR(IF(VLOOKUP(A1439,[10]PRIORIZADOS!$A:$L,12,FALSE)="","",VLOOKUP(A1439,[10]PRIORIZADOS!$A:$L,12,FALSE)),"")</f>
        <v>OSCAR GERMAN CLAVIJO PALACIOS</v>
      </c>
      <c r="M1439" s="71">
        <f>IFERROR(IF(VLOOKUP(A1439,[10]PRIORIZADOS!$A:$M,13,FALSE)="","",VLOOKUP(A1439,[10]PRIORIZADOS!$A:$M,13,FALSE)),"")</f>
        <v>45789</v>
      </c>
      <c r="N1439" s="71">
        <f>IFERROR(IF(VLOOKUP(A1439,[10]PRIORIZADOS!$A:$N,14,FALSE)="","",VLOOKUP(A1439,[10]PRIORIZADOS!$A:$N,14,FALSE)),"")</f>
        <v>45776</v>
      </c>
      <c r="O1439" s="71">
        <f>IFERROR(IF(VLOOKUP(A1439,[10]PRIORIZADOS!$A:$O,15,FALSE)="","",VLOOKUP(A1439,[10]PRIORIZADOS!$A:$O,15,FALSE)),"")</f>
        <v>45776</v>
      </c>
      <c r="P1439" s="11" t="str">
        <f>IFERROR(IF(VLOOKUP(A1439,[10]PRIORIZADOS!$A:$P,16,FALSE)="","",VLOOKUP(A1439,[10]PRIORIZADOS!$A:$P,16,FALSE)),"")</f>
        <v>Visitas de evaluación con fines de mejoramiento</v>
      </c>
      <c r="Q1439" s="107" t="s">
        <v>347</v>
      </c>
      <c r="R1439" s="11" t="str">
        <f>IFERROR(IF(VLOOKUP(A1439,[10]PRIORIZADOS!$A:$R,18,FALSE)="","",VLOOKUP(A1439,[10]PRIORIZADOS!$A:$R,18,FALSE)),"")</f>
        <v>La planta física no tiene en cuenta a población con discapacidad, así mismo, no cuenta con convenios para el uso de parques alrededor de la institución. Se presenta un avance del PEGR-CC del 36,7%</v>
      </c>
      <c r="S1439" s="11" t="str">
        <f>IFERROR(IF(VLOOKUP(A1439,[10]PRIORIZADOS!$A:$S,19,FALSE)="","",VLOOKUP(A1439,[10]PRIORIZADOS!$A:$S,19,FALSE)),"")</f>
        <v>Plantear estrategias para la atención a población con alguna discapacidad, realizar reparaciones locativas, realizar convenio con IDRD y actualizar el PEGR-CC. Establecer acciones de mejora e incorporar al plan de mejoramiento a reportar el 16/05/2025.</v>
      </c>
      <c r="T1439" s="70" t="str">
        <f>IFERROR(IF(VLOOKUP(A1439,[10]PRIORIZADOS!$A:$T,20,FALSE)="","",VLOOKUP(A1439,[10]PRIORIZADOS!$A:$T,20,FALSE)),"")</f>
        <v>Si</v>
      </c>
      <c r="U1439" s="11" t="str">
        <f>IFERROR(IF(VLOOKUP(A1439,[10]PRIORIZADOS!$A:$U,21,FALSE)="","",VLOOKUP(A1439,[10]PRIORIZADOS!$A:$U,21,FALSE)),"")</f>
        <v>Revisión del plan de mejora, contemplada su entrega para el 16/05/2025.</v>
      </c>
    </row>
    <row r="1440" spans="1:21" s="1" customFormat="1" ht="96">
      <c r="A1440" s="69">
        <f>IF([10]PRIORIZADOS!A54="","",[10]PRIORIZADOS!A54)</f>
        <v>1382</v>
      </c>
      <c r="B1440" s="70">
        <f>IFERROR(IF(VLOOKUP(A1440,[10]PRIORIZADOS!$A:$B,2,FALSE)="","",VLOOKUP(A1440,[10]PRIORIZADOS!$A:$B,2,FALSE)),"")</f>
        <v>9</v>
      </c>
      <c r="C1440" s="11" t="str">
        <f>IFERROR(IF(VLOOKUP(A1440,[10]PRIORIZADOS!$A:$C,3,FALSE)="","",VLOOKUP(A1440,[10]PRIORIZADOS!$A:$C,3,FALSE)),"")</f>
        <v>PUENTE ARANDA</v>
      </c>
      <c r="D1440" s="11" t="str">
        <f>IFERROR(IF(VLOOKUP(A1440,[10]PRIORIZADOS!$A:$D,4,FALSE)="","",VLOOKUP(A1440,[10]PRIORIZADOS!$A:$D,4,FALSE)),"")</f>
        <v>PRIVADO</v>
      </c>
      <c r="E1440" s="11" t="str">
        <f>IFERROR(IF(VLOOKUP(A1440,[10]PRIORIZADOS!$A:$E,5,FALSE)="","",VLOOKUP(A1440,[10]PRIORIZADOS!$A:$E,5,FALSE)),"")</f>
        <v>Educación de Jóvenes y Adultos</v>
      </c>
      <c r="F1440" s="11" t="str">
        <f>IFERROR(IF(VLOOKUP(A1440,[10]PRIORIZADOS!$A:$F,6,FALSE)="","",VLOOKUP(A1440,[10]PRIORIZADOS!$A:$F,6,FALSE)),"")</f>
        <v>INSTITUTO_CAMARGO_LEON</v>
      </c>
      <c r="G1440" s="11" t="str">
        <f>IFERROR(IF(VLOOKUP(A1440,[10]PRIORIZADOS!$A:$G,7,FALSE)="","",VLOOKUP(A1440,[10]PRIORIZADOS!$A:$G,7,FALSE)),"")</f>
        <v>INSTITUTO CAMARGO LEON</v>
      </c>
      <c r="H1440" s="11" t="str">
        <f>IFERROR(IF(VLOOKUP(A1440,[10]PRIORIZADOS!$A:$H,8,FALSE)="","",VLOOKUP(A1440,[10]PRIORIZADOS!$A:$H,8,FALSE)),"")</f>
        <v>Autoevaluación Institucional y Pruebas SABER 11</v>
      </c>
      <c r="I1440" s="11" t="str">
        <f>IFERROR(IF(VLOOKUP(A1440,[10]PRIORIZADOS!$A:$I,9,FALSE)="","",VLOOKUP(A1440,[10]PRIORIZADOS!$A:$I,9,FALSE)),"")</f>
        <v>SEGUIMIENTO_Y_SUPERVISIÓN.</v>
      </c>
      <c r="J1440" s="11" t="str">
        <f>IFERROR(IF(VLOOKUP(A1440,[10]PRIORIZADOS!$A:$J,10,FALSE)="","",VLOOKUP(A1440,[10]PRIORIZADOS!$A:$J,10,FALSE)),"")</f>
        <v>Realizar visitas para verificar la información registrada sobre la autoevaluación institucional en el aplicativo EVI, a los establecimientos de educación formal no oficial.</v>
      </c>
      <c r="K1440" s="11" t="str">
        <f>IFERROR(IF(VLOOKUP(A1440,[10]PRIORIZADOS!$A:$K,11,FALSE)="","",VLOOKUP(A1440,[10]PRIORIZADOS!$A:$K,11,FALSE)),"")</f>
        <v>ALBERTO ESCARRAGA PEÑUELA</v>
      </c>
      <c r="L1440" s="11" t="str">
        <f>IFERROR(IF(VLOOKUP(A1440,[10]PRIORIZADOS!$A:$L,12,FALSE)="","",VLOOKUP(A1440,[10]PRIORIZADOS!$A:$L,12,FALSE)),"")</f>
        <v>CRISTIAN CAMILO LÓPEZ VELANDIA</v>
      </c>
      <c r="M1440" s="71">
        <f>IFERROR(IF(VLOOKUP(A1440,[10]PRIORIZADOS!$A:$M,13,FALSE)="","",VLOOKUP(A1440,[10]PRIORIZADOS!$A:$M,13,FALSE)),"")</f>
        <v>45806</v>
      </c>
      <c r="N1440" s="71">
        <f>IFERROR(IF(VLOOKUP(A1440,[10]PRIORIZADOS!$A:$N,14,FALSE)="","",VLOOKUP(A1440,[10]PRIORIZADOS!$A:$N,14,FALSE)),"")</f>
        <v>45819</v>
      </c>
      <c r="O1440" s="71">
        <f>IFERROR(IF(VLOOKUP(A1440,[10]PRIORIZADOS!$A:$O,15,FALSE)="","",VLOOKUP(A1440,[10]PRIORIZADOS!$A:$O,15,FALSE)),"")</f>
        <v>45819</v>
      </c>
      <c r="P1440" s="11" t="str">
        <f>IFERROR(IF(VLOOKUP(A1440,[10]PRIORIZADOS!$A:$P,16,FALSE)="","",VLOOKUP(A1440,[10]PRIORIZADOS!$A:$P,16,FALSE)),"")</f>
        <v>Visitas de evaluación con fines de mejoramiento</v>
      </c>
      <c r="Q1440" s="107" t="s">
        <v>348</v>
      </c>
      <c r="R1440" s="11" t="str">
        <f>IFERROR(IF(VLOOKUP(A1440,[10]PRIORIZADOS!$A:$R,18,FALSE)="","",VLOOKUP(A1440,[10]PRIORIZADOS!$A:$R,18,FALSE)),"")</f>
        <v>No se evidencia estrategias para mitigar casos especiales de inasistencia y deserción estudiantil, las comisiones de evaluación y promoción no operan adecuadamente, no se evidencia la existencia de canales para el trámite de PQRS, no se realiza actualización anual del PEGR-CC</v>
      </c>
      <c r="S1440" s="11" t="str">
        <f>IFERROR(IF(VLOOKUP(A1440,[10]PRIORIZADOS!$A:$S,19,FALSE)="","",VLOOKUP(A1440,[10]PRIORIZADOS!$A:$S,19,FALSE)),"")</f>
        <v>Se debe diseñar estrategias para favorecer la retención de estudiantes, conformar y operativizar las comisiones de evaluación y promoción, diseñar procedimiento para la atención de PQRS, actualizar los PEGR según jornada de la IE</v>
      </c>
      <c r="T1440" s="70" t="str">
        <f>IFERROR(IF(VLOOKUP(A1440,[10]PRIORIZADOS!$A:$T,20,FALSE)="","",VLOOKUP(A1440,[10]PRIORIZADOS!$A:$T,20,FALSE)),"")</f>
        <v>Si</v>
      </c>
      <c r="U1440" s="11" t="str">
        <f>IFERROR(IF(VLOOKUP(A1440,[10]PRIORIZADOS!$A:$U,21,FALSE)="","",VLOOKUP(A1440,[10]PRIORIZADOS!$A:$U,21,FALSE)),"")</f>
        <v>Revisión del plan de mejora, contemplada su entrega para el 30/07/2025.</v>
      </c>
    </row>
    <row r="1441" spans="1:21" s="1" customFormat="1" ht="60">
      <c r="A1441" s="69">
        <f>IF([10]PRIORIZADOS!A55="","",[10]PRIORIZADOS!A55)</f>
        <v>1383</v>
      </c>
      <c r="B1441" s="70">
        <f>IFERROR(IF(VLOOKUP(A1441,[10]PRIORIZADOS!$A:$B,2,FALSE)="","",VLOOKUP(A1441,[10]PRIORIZADOS!$A:$B,2,FALSE)),"")</f>
        <v>9</v>
      </c>
      <c r="C1441" s="11" t="str">
        <f>IFERROR(IF(VLOOKUP(A1441,[10]PRIORIZADOS!$A:$C,3,FALSE)="","",VLOOKUP(A1441,[10]PRIORIZADOS!$A:$C,3,FALSE)),"")</f>
        <v>PUENTE ARANDA</v>
      </c>
      <c r="D1441" s="11" t="str">
        <f>IFERROR(IF(VLOOKUP(A1441,[10]PRIORIZADOS!$A:$D,4,FALSE)="","",VLOOKUP(A1441,[10]PRIORIZADOS!$A:$D,4,FALSE)),"")</f>
        <v>PRIVADO</v>
      </c>
      <c r="E1441" s="11" t="str">
        <f>IFERROR(IF(VLOOKUP(A1441,[10]PRIORIZADOS!$A:$E,5,FALSE)="","",VLOOKUP(A1441,[10]PRIORIZADOS!$A:$E,5,FALSE)),"")</f>
        <v>Educación de Jóvenes y Adultos</v>
      </c>
      <c r="F1441" s="11" t="str">
        <f>IFERROR(IF(VLOOKUP(A1441,[10]PRIORIZADOS!$A:$F,6,FALSE)="","",VLOOKUP(A1441,[10]PRIORIZADOS!$A:$F,6,FALSE)),"")</f>
        <v>INSTITUTO_CAMARGO_LEON</v>
      </c>
      <c r="G1441" s="11" t="str">
        <f>IFERROR(IF(VLOOKUP(A1441,[10]PRIORIZADOS!$A:$G,7,FALSE)="","",VLOOKUP(A1441,[10]PRIORIZADOS!$A:$G,7,FALSE)),"")</f>
        <v>INSTITUTO CAMARGO LEON</v>
      </c>
      <c r="H1441" s="11" t="str">
        <f>IFERROR(IF(VLOOKUP(A1441,[10]PRIORIZADOS!$A:$H,8,FALSE)="","",VLOOKUP(A1441,[10]PRIORIZADOS!$A:$H,8,FALSE)),"")</f>
        <v>Autoevaluación Institucional y Pruebas SABER 11</v>
      </c>
      <c r="I1441" s="11" t="str">
        <f>IFERROR(IF(VLOOKUP(A1441,[10]PRIORIZADOS!$A:$I,9,FALSE)="","",VLOOKUP(A1441,[10]PRIORIZADOS!$A:$I,9,FALSE)),"")</f>
        <v>SEGUIMIENTO_Y_SUPERVISIÓN.</v>
      </c>
      <c r="J1441" s="11" t="str">
        <f>IFERROR(IF(VLOOKUP(A1441,[10]PRIORIZADOS!$A:$J,10,FALSE)="","",VLOOKUP(A1441,[10]PRIORIZADOS!$A:$J,10,FALSE)),"")</f>
        <v>Proponer estrategias en la formulación, verificar su elaboración y realizar seguimiento semestral al desarrollo de  las acciones establecidas en los planes de mejoramiento por pruebas SABER 11 de los establecimientos de educación formal.</v>
      </c>
      <c r="K1441" s="11" t="str">
        <f>IFERROR(IF(VLOOKUP(A1441,[10]PRIORIZADOS!$A:$K,11,FALSE)="","",VLOOKUP(A1441,[10]PRIORIZADOS!$A:$K,11,FALSE)),"")</f>
        <v>ALBERTO ESCARRAGA PEÑUELA</v>
      </c>
      <c r="L1441" s="11" t="str">
        <f>IFERROR(IF(VLOOKUP(A1441,[10]PRIORIZADOS!$A:$L,12,FALSE)="","",VLOOKUP(A1441,[10]PRIORIZADOS!$A:$L,12,FALSE)),"")</f>
        <v>CRISTIAN CAMILO LÓPEZ VELANDIA</v>
      </c>
      <c r="M1441" s="71">
        <f>IFERROR(IF(VLOOKUP(A1441,[10]PRIORIZADOS!$A:$M,13,FALSE)="","",VLOOKUP(A1441,[10]PRIORIZADOS!$A:$M,13,FALSE)),"")</f>
        <v>45806</v>
      </c>
      <c r="N1441" s="71">
        <f>IFERROR(IF(VLOOKUP(A1441,[10]PRIORIZADOS!$A:$N,14,FALSE)="","",VLOOKUP(A1441,[10]PRIORIZADOS!$A:$N,14,FALSE)),"")</f>
        <v>45819</v>
      </c>
      <c r="O1441" s="71">
        <f>IFERROR(IF(VLOOKUP(A1441,[10]PRIORIZADOS!$A:$O,15,FALSE)="","",VLOOKUP(A1441,[10]PRIORIZADOS!$A:$O,15,FALSE)),"")</f>
        <v>45819</v>
      </c>
      <c r="P1441" s="11" t="str">
        <f>IFERROR(IF(VLOOKUP(A1441,[10]PRIORIZADOS!$A:$P,16,FALSE)="","",VLOOKUP(A1441,[10]PRIORIZADOS!$A:$P,16,FALSE)),"")</f>
        <v>Visitas de evaluación con fines de mejoramiento</v>
      </c>
      <c r="Q1441" s="107" t="s">
        <v>348</v>
      </c>
      <c r="R1441" s="11" t="str">
        <f>IFERROR(IF(VLOOKUP(A1441,[10]PRIORIZADOS!$A:$R,18,FALSE)="","",VLOOKUP(A1441,[10]PRIORIZADOS!$A:$R,18,FALSE)),"")</f>
        <v>Desarrolló el análisis y plan de mejoramiento asociado a los resultados de las pruebas SABER 11</v>
      </c>
      <c r="S1441" s="11" t="str">
        <f>IFERROR(IF(VLOOKUP(A1441,[10]PRIORIZADOS!$A:$S,19,FALSE)="","",VLOOKUP(A1441,[10]PRIORIZADOS!$A:$S,19,FALSE)),"")</f>
        <v>Avalar las acciones de mejora planteadas por el consejo directivo, toda vez que las mismas únicamente fueron avaladas por el consejo académico</v>
      </c>
      <c r="T1441" s="70" t="str">
        <f>IFERROR(IF(VLOOKUP(A1441,[10]PRIORIZADOS!$A:$T,20,FALSE)="","",VLOOKUP(A1441,[10]PRIORIZADOS!$A:$T,20,FALSE)),"")</f>
        <v>Si</v>
      </c>
      <c r="U1441" s="11" t="str">
        <f>IFERROR(IF(VLOOKUP(A1441,[10]PRIORIZADOS!$A:$U,21,FALSE)="","",VLOOKUP(A1441,[10]PRIORIZADOS!$A:$U,21,FALSE)),"")</f>
        <v>Revisión del plan de mejora, contemplada su entrega para el 30/07/2025.</v>
      </c>
    </row>
    <row r="1442" spans="1:21" s="1" customFormat="1" ht="72">
      <c r="A1442" s="69">
        <f>IF([10]PRIORIZADOS!A56="","",[10]PRIORIZADOS!A56)</f>
        <v>1384</v>
      </c>
      <c r="B1442" s="70">
        <f>IFERROR(IF(VLOOKUP(A1442,[10]PRIORIZADOS!$A:$B,2,FALSE)="","",VLOOKUP(A1442,[10]PRIORIZADOS!$A:$B,2,FALSE)),"")</f>
        <v>9</v>
      </c>
      <c r="C1442" s="11" t="str">
        <f>IFERROR(IF(VLOOKUP(A1442,[10]PRIORIZADOS!$A:$C,3,FALSE)="","",VLOOKUP(A1442,[10]PRIORIZADOS!$A:$C,3,FALSE)),"")</f>
        <v>PUENTE ARANDA</v>
      </c>
      <c r="D1442" s="11" t="str">
        <f>IFERROR(IF(VLOOKUP(A1442,[10]PRIORIZADOS!$A:$D,4,FALSE)="","",VLOOKUP(A1442,[10]PRIORIZADOS!$A:$D,4,FALSE)),"")</f>
        <v>PRIVADO</v>
      </c>
      <c r="E1442" s="11" t="str">
        <f>IFERROR(IF(VLOOKUP(A1442,[10]PRIORIZADOS!$A:$E,5,FALSE)="","",VLOOKUP(A1442,[10]PRIORIZADOS!$A:$E,5,FALSE)),"")</f>
        <v>Educación de Jóvenes y Adultos</v>
      </c>
      <c r="F1442" s="11" t="str">
        <f>IFERROR(IF(VLOOKUP(A1442,[10]PRIORIZADOS!$A:$F,6,FALSE)="","",VLOOKUP(A1442,[10]PRIORIZADOS!$A:$F,6,FALSE)),"")</f>
        <v>INSTITUTO_CAMARGO_LEON</v>
      </c>
      <c r="G1442" s="11" t="str">
        <f>IFERROR(IF(VLOOKUP(A1442,[10]PRIORIZADOS!$A:$G,7,FALSE)="","",VLOOKUP(A1442,[10]PRIORIZADOS!$A:$G,7,FALSE)),"")</f>
        <v>INSTITUTO CAMARGO LEON</v>
      </c>
      <c r="H1442" s="11" t="str">
        <f>IFERROR(IF(VLOOKUP(A1442,[10]PRIORIZADOS!$A:$H,8,FALSE)="","",VLOOKUP(A1442,[10]PRIORIZADOS!$A:$H,8,FALSE)),"")</f>
        <v>Autoevaluación Institucional y Pruebas SABER 11</v>
      </c>
      <c r="I1442" s="11" t="str">
        <f>IFERROR(IF(VLOOKUP(A1442,[10]PRIORIZADOS!$A:$I,9,FALSE)="","",VLOOKUP(A1442,[10]PRIORIZADOS!$A:$I,9,FALSE)),"")</f>
        <v>SEGUIMIENTO_Y_SUPERVISIÓN.</v>
      </c>
      <c r="J1442" s="11" t="str">
        <f>IFERROR(IF(VLOOKUP(A1442,[10]PRIORIZADOS!$A:$J,10,FALSE)="","",VLOOKUP(A1442,[10]PRIORIZADOS!$A:$J,10,FALSE)),"")</f>
        <v xml:space="preserve">Verificar la implementación por parte de los colegios, de acciones realizadas para la prevención y atención de las situaciones de convivencia en el entorno escolar, según lo establecido en la Directiva 01 de 2022 del MEN. </v>
      </c>
      <c r="K1442" s="11" t="str">
        <f>IFERROR(IF(VLOOKUP(A1442,[10]PRIORIZADOS!$A:$K,11,FALSE)="","",VLOOKUP(A1442,[10]PRIORIZADOS!$A:$K,11,FALSE)),"")</f>
        <v>ALBERTO ESCARRAGA PEÑUELA</v>
      </c>
      <c r="L1442" s="11" t="str">
        <f>IFERROR(IF(VLOOKUP(A1442,[10]PRIORIZADOS!$A:$L,12,FALSE)="","",VLOOKUP(A1442,[10]PRIORIZADOS!$A:$L,12,FALSE)),"")</f>
        <v>CRISTIAN CAMILO LÓPEZ VELANDIA</v>
      </c>
      <c r="M1442" s="71">
        <f>IFERROR(IF(VLOOKUP(A1442,[10]PRIORIZADOS!$A:$M,13,FALSE)="","",VLOOKUP(A1442,[10]PRIORIZADOS!$A:$M,13,FALSE)),"")</f>
        <v>45806</v>
      </c>
      <c r="N1442" s="71">
        <f>IFERROR(IF(VLOOKUP(A1442,[10]PRIORIZADOS!$A:$N,14,FALSE)="","",VLOOKUP(A1442,[10]PRIORIZADOS!$A:$N,14,FALSE)),"")</f>
        <v>45819</v>
      </c>
      <c r="O1442" s="71">
        <f>IFERROR(IF(VLOOKUP(A1442,[10]PRIORIZADOS!$A:$O,15,FALSE)="","",VLOOKUP(A1442,[10]PRIORIZADOS!$A:$O,15,FALSE)),"")</f>
        <v>45819</v>
      </c>
      <c r="P1442" s="11" t="str">
        <f>IFERROR(IF(VLOOKUP(A1442,[10]PRIORIZADOS!$A:$P,16,FALSE)="","",VLOOKUP(A1442,[10]PRIORIZADOS!$A:$P,16,FALSE)),"")</f>
        <v>Visitas de evaluación con fines de mejoramiento</v>
      </c>
      <c r="Q1442" s="107" t="s">
        <v>348</v>
      </c>
      <c r="R1442" s="11" t="str">
        <f>IFERROR(IF(VLOOKUP(A1442,[10]PRIORIZADOS!$A:$R,18,FALSE)="","",VLOOKUP(A1442,[10]PRIORIZADOS!$A:$R,18,FALSE)),"")</f>
        <v>Se reportan las situaciones de convivencia en el sistema de alertas y el comité de convivencia adelanta acciones de prevención y promoción. Adicionalmente, realiza la verificación de inhabilidades a docentes y directivos</v>
      </c>
      <c r="S1442" s="11" t="str">
        <f>IFERROR(IF(VLOOKUP(A1442,[10]PRIORIZADOS!$A:$S,19,FALSE)="","",VLOOKUP(A1442,[10]PRIORIZADOS!$A:$S,19,FALSE)),"")</f>
        <v>Continuar con el accionar institucional y el cumplimiento de la directiva 1/2022</v>
      </c>
      <c r="T1442" s="70" t="str">
        <f>IFERROR(IF(VLOOKUP(A1442,[10]PRIORIZADOS!$A:$T,20,FALSE)="","",VLOOKUP(A1442,[10]PRIORIZADOS!$A:$T,20,FALSE)),"")</f>
        <v>No</v>
      </c>
      <c r="U1442" s="11" t="str">
        <f>IFERROR(IF(VLOOKUP(A1442,[10]PRIORIZADOS!$A:$U,21,FALSE)="","",VLOOKUP(A1442,[10]PRIORIZADOS!$A:$U,21,FALSE)),"")</f>
        <v>En caso de presentarse PQR se procederá a realizar su respectiva verificación</v>
      </c>
    </row>
    <row r="1443" spans="1:21" s="1" customFormat="1" ht="72">
      <c r="A1443" s="69">
        <f>IF([10]PRIORIZADOS!A57="","",[10]PRIORIZADOS!A57)</f>
        <v>1385</v>
      </c>
      <c r="B1443" s="70">
        <f>IFERROR(IF(VLOOKUP(A1443,[10]PRIORIZADOS!$A:$B,2,FALSE)="","",VLOOKUP(A1443,[10]PRIORIZADOS!$A:$B,2,FALSE)),"")</f>
        <v>9</v>
      </c>
      <c r="C1443" s="11" t="str">
        <f>IFERROR(IF(VLOOKUP(A1443,[10]PRIORIZADOS!$A:$C,3,FALSE)="","",VLOOKUP(A1443,[10]PRIORIZADOS!$A:$C,3,FALSE)),"")</f>
        <v>PUENTE ARANDA</v>
      </c>
      <c r="D1443" s="11" t="str">
        <f>IFERROR(IF(VLOOKUP(A1443,[10]PRIORIZADOS!$A:$D,4,FALSE)="","",VLOOKUP(A1443,[10]PRIORIZADOS!$A:$D,4,FALSE)),"")</f>
        <v>PRIVADO</v>
      </c>
      <c r="E1443" s="11" t="str">
        <f>IFERROR(IF(VLOOKUP(A1443,[10]PRIORIZADOS!$A:$E,5,FALSE)="","",VLOOKUP(A1443,[10]PRIORIZADOS!$A:$E,5,FALSE)),"")</f>
        <v>Educación de Jóvenes y Adultos</v>
      </c>
      <c r="F1443" s="11" t="str">
        <f>IFERROR(IF(VLOOKUP(A1443,[10]PRIORIZADOS!$A:$F,6,FALSE)="","",VLOOKUP(A1443,[10]PRIORIZADOS!$A:$F,6,FALSE)),"")</f>
        <v>INSTITUTO_CAMARGO_LEON</v>
      </c>
      <c r="G1443" s="11" t="str">
        <f>IFERROR(IF(VLOOKUP(A1443,[10]PRIORIZADOS!$A:$G,7,FALSE)="","",VLOOKUP(A1443,[10]PRIORIZADOS!$A:$G,7,FALSE)),"")</f>
        <v>INSTITUTO CAMARGO LEON</v>
      </c>
      <c r="H1443" s="11" t="str">
        <f>IFERROR(IF(VLOOKUP(A1443,[10]PRIORIZADOS!$A:$H,8,FALSE)="","",VLOOKUP(A1443,[10]PRIORIZADOS!$A:$H,8,FALSE)),"")</f>
        <v>Autoevaluación Institucional y Pruebas SABER 11</v>
      </c>
      <c r="I1443" s="11" t="str">
        <f>IFERROR(IF(VLOOKUP(A1443,[10]PRIORIZADOS!$A:$I,9,FALSE)="","",VLOOKUP(A1443,[10]PRIORIZADOS!$A:$I,9,FALSE)),"")</f>
        <v>SEGUIMIENTO_Y_SUPERVISIÓN.</v>
      </c>
      <c r="J1443" s="11" t="str">
        <f>IFERROR(IF(VLOOKUP(A1443,[10]PRIORIZADOS!$A:$J,10,FALSE)="","",VLOOKUP(A1443,[10]PRIORIZADOS!$A:$J,10,FALSE)),"")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43" s="11" t="str">
        <f>IFERROR(IF(VLOOKUP(A1443,[10]PRIORIZADOS!$A:$K,11,FALSE)="","",VLOOKUP(A1443,[10]PRIORIZADOS!$A:$K,11,FALSE)),"")</f>
        <v>ALBERTO ESCARRAGA PEÑUELA</v>
      </c>
      <c r="L1443" s="11" t="str">
        <f>IFERROR(IF(VLOOKUP(A1443,[10]PRIORIZADOS!$A:$L,12,FALSE)="","",VLOOKUP(A1443,[10]PRIORIZADOS!$A:$L,12,FALSE)),"")</f>
        <v>CRISTIAN CAMILO LÓPEZ VELANDIA</v>
      </c>
      <c r="M1443" s="71">
        <f>IFERROR(IF(VLOOKUP(A1443,[10]PRIORIZADOS!$A:$M,13,FALSE)="","",VLOOKUP(A1443,[10]PRIORIZADOS!$A:$M,13,FALSE)),"")</f>
        <v>45806</v>
      </c>
      <c r="N1443" s="71">
        <f>IFERROR(IF(VLOOKUP(A1443,[10]PRIORIZADOS!$A:$N,14,FALSE)="","",VLOOKUP(A1443,[10]PRIORIZADOS!$A:$N,14,FALSE)),"")</f>
        <v>45819</v>
      </c>
      <c r="O1443" s="71">
        <f>IFERROR(IF(VLOOKUP(A1443,[10]PRIORIZADOS!$A:$O,15,FALSE)="","",VLOOKUP(A1443,[10]PRIORIZADOS!$A:$O,15,FALSE)),"")</f>
        <v>45819</v>
      </c>
      <c r="P1443" s="11" t="str">
        <f>IFERROR(IF(VLOOKUP(A1443,[10]PRIORIZADOS!$A:$P,16,FALSE)="","",VLOOKUP(A1443,[10]PRIORIZADOS!$A:$P,16,FALSE)),"")</f>
        <v>Visitas de evaluación con fines de mejoramiento</v>
      </c>
      <c r="Q1443" s="107" t="s">
        <v>348</v>
      </c>
      <c r="R1443" s="11" t="str">
        <f>IFERROR(IF(VLOOKUP(A1443,[10]PRIORIZADOS!$A:$R,18,FALSE)="","",VLOOKUP(A1443,[10]PRIORIZADOS!$A:$R,18,FALSE)),"")</f>
        <v>Cuenta con Planes individuales de ajustes razonables para los estudiantes con discapacidad</v>
      </c>
      <c r="S1443" s="11" t="str">
        <f>IFERROR(IF(VLOOKUP(A1443,[10]PRIORIZADOS!$A:$S,19,FALSE)="","",VLOOKUP(A1443,[10]PRIORIZADOS!$A:$S,19,FALSE)),"")</f>
        <v>Continuar con el diseño, ejecución y seguimiento de los PIAR</v>
      </c>
      <c r="T1443" s="70" t="str">
        <f>IFERROR(IF(VLOOKUP(A1443,[10]PRIORIZADOS!$A:$T,20,FALSE)="","",VLOOKUP(A1443,[10]PRIORIZADOS!$A:$T,20,FALSE)),"")</f>
        <v>No</v>
      </c>
      <c r="U1443" s="11" t="str">
        <f>IFERROR(IF(VLOOKUP(A1443,[10]PRIORIZADOS!$A:$U,21,FALSE)="","",VLOOKUP(A1443,[10]PRIORIZADOS!$A:$U,21,FALSE)),"")</f>
        <v>En caso de presentarse PQR se procederá a realizar su respectiva verificación</v>
      </c>
    </row>
    <row r="1444" spans="1:21" s="1" customFormat="1" ht="84">
      <c r="A1444" s="69">
        <f>IF([10]PRIORIZADOS!A58="","",[10]PRIORIZADOS!A58)</f>
        <v>1386</v>
      </c>
      <c r="B1444" s="70">
        <f>IFERROR(IF(VLOOKUP(A1444,[10]PRIORIZADOS!$A:$B,2,FALSE)="","",VLOOKUP(A1444,[10]PRIORIZADOS!$A:$B,2,FALSE)),"")</f>
        <v>9</v>
      </c>
      <c r="C1444" s="11" t="str">
        <f>IFERROR(IF(VLOOKUP(A1444,[10]PRIORIZADOS!$A:$C,3,FALSE)="","",VLOOKUP(A1444,[10]PRIORIZADOS!$A:$C,3,FALSE)),"")</f>
        <v>PUENTE ARANDA</v>
      </c>
      <c r="D1444" s="11" t="str">
        <f>IFERROR(IF(VLOOKUP(A1444,[10]PRIORIZADOS!$A:$D,4,FALSE)="","",VLOOKUP(A1444,[10]PRIORIZADOS!$A:$D,4,FALSE)),"")</f>
        <v>PRIVADO</v>
      </c>
      <c r="E1444" s="11" t="str">
        <f>IFERROR(IF(VLOOKUP(A1444,[10]PRIORIZADOS!$A:$E,5,FALSE)="","",VLOOKUP(A1444,[10]PRIORIZADOS!$A:$E,5,FALSE)),"")</f>
        <v>Educación de Jóvenes y Adultos</v>
      </c>
      <c r="F1444" s="11" t="str">
        <f>IFERROR(IF(VLOOKUP(A1444,[10]PRIORIZADOS!$A:$F,6,FALSE)="","",VLOOKUP(A1444,[10]PRIORIZADOS!$A:$F,6,FALSE)),"")</f>
        <v>INSTITUTO_CAMARGO_LEON</v>
      </c>
      <c r="G1444" s="11" t="str">
        <f>IFERROR(IF(VLOOKUP(A1444,[10]PRIORIZADOS!$A:$G,7,FALSE)="","",VLOOKUP(A1444,[10]PRIORIZADOS!$A:$G,7,FALSE)),"")</f>
        <v>INSTITUTO CAMARGO LEON</v>
      </c>
      <c r="H1444" s="11" t="str">
        <f>IFERROR(IF(VLOOKUP(A1444,[10]PRIORIZADOS!$A:$H,8,FALSE)="","",VLOOKUP(A1444,[10]PRIORIZADOS!$A:$H,8,FALSE)),"")</f>
        <v>Autoevaluación Institucional y Pruebas SABER 11</v>
      </c>
      <c r="I1444" s="11" t="str">
        <f>IFERROR(IF(VLOOKUP(A1444,[10]PRIORIZADOS!$A:$I,9,FALSE)="","",VLOOKUP(A1444,[10]PRIORIZADOS!$A:$I,9,FALSE)),"")</f>
        <v>EVALUACIÓN_CON_FINES_DE_MEJORAMIENTO.</v>
      </c>
      <c r="J1444" s="11" t="str">
        <f>IFERROR(IF(VLOOKUP(A1444,[10]PRIORIZADOS!$A:$J,10,FALSE)="","",VLOOKUP(A1444,[10]PRIORIZADOS!$A:$J,10,FALSE)),"")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44" s="11" t="str">
        <f>IFERROR(IF(VLOOKUP(A1444,[10]PRIORIZADOS!$A:$K,11,FALSE)="","",VLOOKUP(A1444,[10]PRIORIZADOS!$A:$K,11,FALSE)),"")</f>
        <v>ALBERTO ESCARRAGA PEÑUELA</v>
      </c>
      <c r="L1444" s="11" t="str">
        <f>IFERROR(IF(VLOOKUP(A1444,[10]PRIORIZADOS!$A:$L,12,FALSE)="","",VLOOKUP(A1444,[10]PRIORIZADOS!$A:$L,12,FALSE)),"")</f>
        <v>CRISTIAN CAMILO LÓPEZ VELANDIA</v>
      </c>
      <c r="M1444" s="71">
        <f>IFERROR(IF(VLOOKUP(A1444,[10]PRIORIZADOS!$A:$M,13,FALSE)="","",VLOOKUP(A1444,[10]PRIORIZADOS!$A:$M,13,FALSE)),"")</f>
        <v>45806</v>
      </c>
      <c r="N1444" s="71">
        <f>IFERROR(IF(VLOOKUP(A1444,[10]PRIORIZADOS!$A:$N,14,FALSE)="","",VLOOKUP(A1444,[10]PRIORIZADOS!$A:$N,14,FALSE)),"")</f>
        <v>45819</v>
      </c>
      <c r="O1444" s="71">
        <f>IFERROR(IF(VLOOKUP(A1444,[10]PRIORIZADOS!$A:$O,15,FALSE)="","",VLOOKUP(A1444,[10]PRIORIZADOS!$A:$O,15,FALSE)),"")</f>
        <v>45819</v>
      </c>
      <c r="P1444" s="11" t="str">
        <f>IFERROR(IF(VLOOKUP(A1444,[10]PRIORIZADOS!$A:$P,16,FALSE)="","",VLOOKUP(A1444,[10]PRIORIZADOS!$A:$P,16,FALSE)),"")</f>
        <v>Visitas de evaluación con fines de mejoramiento</v>
      </c>
      <c r="Q1444" s="107" t="s">
        <v>348</v>
      </c>
      <c r="R1444" s="11" t="str">
        <f>IFERROR(IF(VLOOKUP(A1444,[10]PRIORIZADOS!$A:$R,18,FALSE)="","",VLOOKUP(A1444,[10]PRIORIZADOS!$A:$R,18,FALSE)),"")</f>
        <v>El manual de convivencia fue construido y adoptado de forma participativa, sin embargo no contiene algunos elementos de ley tales como la valoración de la diversidad, el enfoque restaurativo y el derecho al debido proceso</v>
      </c>
      <c r="S1444" s="11" t="str">
        <f>IFERROR(IF(VLOOKUP(A1444,[10]PRIORIZADOS!$A:$S,19,FALSE)="","",VLOOKUP(A1444,[10]PRIORIZADOS!$A:$S,19,FALSE)),"")</f>
        <v>Actualizar el manual de convivencia teniendo en cuenta las orientaciones dadas por la SED respecto a la garantía de derechos y del debido proceso</v>
      </c>
      <c r="T1444" s="70" t="str">
        <f>IFERROR(IF(VLOOKUP(A1444,[10]PRIORIZADOS!$A:$T,20,FALSE)="","",VLOOKUP(A1444,[10]PRIORIZADOS!$A:$T,20,FALSE)),"")</f>
        <v>Si</v>
      </c>
      <c r="U1444" s="11" t="str">
        <f>IFERROR(IF(VLOOKUP(A1444,[10]PRIORIZADOS!$A:$U,21,FALSE)="","",VLOOKUP(A1444,[10]PRIORIZADOS!$A:$U,21,FALSE)),"")</f>
        <v>Revisión del plan de mejora, contemplada su entrega para el 30/07/2025.</v>
      </c>
    </row>
    <row r="1445" spans="1:21" s="1" customFormat="1" ht="72">
      <c r="A1445" s="69">
        <f>IF([10]PRIORIZADOS!A59="","",[10]PRIORIZADOS!A59)</f>
        <v>1387</v>
      </c>
      <c r="B1445" s="70">
        <f>IFERROR(IF(VLOOKUP(A1445,[10]PRIORIZADOS!$A:$B,2,FALSE)="","",VLOOKUP(A1445,[10]PRIORIZADOS!$A:$B,2,FALSE)),"")</f>
        <v>9</v>
      </c>
      <c r="C1445" s="11" t="str">
        <f>IFERROR(IF(VLOOKUP(A1445,[10]PRIORIZADOS!$A:$C,3,FALSE)="","",VLOOKUP(A1445,[10]PRIORIZADOS!$A:$C,3,FALSE)),"")</f>
        <v>PUENTE ARANDA</v>
      </c>
      <c r="D1445" s="11" t="str">
        <f>IFERROR(IF(VLOOKUP(A1445,[10]PRIORIZADOS!$A:$D,4,FALSE)="","",VLOOKUP(A1445,[10]PRIORIZADOS!$A:$D,4,FALSE)),"")</f>
        <v>PRIVADO</v>
      </c>
      <c r="E1445" s="11" t="str">
        <f>IFERROR(IF(VLOOKUP(A1445,[10]PRIORIZADOS!$A:$E,5,FALSE)="","",VLOOKUP(A1445,[10]PRIORIZADOS!$A:$E,5,FALSE)),"")</f>
        <v>Educación de Jóvenes y Adultos</v>
      </c>
      <c r="F1445" s="11" t="str">
        <f>IFERROR(IF(VLOOKUP(A1445,[10]PRIORIZADOS!$A:$F,6,FALSE)="","",VLOOKUP(A1445,[10]PRIORIZADOS!$A:$F,6,FALSE)),"")</f>
        <v>INSTITUTO_CAMARGO_LEON</v>
      </c>
      <c r="G1445" s="11" t="str">
        <f>IFERROR(IF(VLOOKUP(A1445,[10]PRIORIZADOS!$A:$G,7,FALSE)="","",VLOOKUP(A1445,[10]PRIORIZADOS!$A:$G,7,FALSE)),"")</f>
        <v>INSTITUTO CAMARGO LEON</v>
      </c>
      <c r="H1445" s="11" t="str">
        <f>IFERROR(IF(VLOOKUP(A1445,[10]PRIORIZADOS!$A:$H,8,FALSE)="","",VLOOKUP(A1445,[10]PRIORIZADOS!$A:$H,8,FALSE)),"")</f>
        <v>Autoevaluación Institucional y Pruebas SABER 11</v>
      </c>
      <c r="I1445" s="11" t="str">
        <f>IFERROR(IF(VLOOKUP(A1445,[10]PRIORIZADOS!$A:$I,9,FALSE)="","",VLOOKUP(A1445,[10]PRIORIZADOS!$A:$I,9,FALSE)),"")</f>
        <v>EVALUACIÓN_CON_FINES_DE_MEJORAMIENTO.</v>
      </c>
      <c r="J1445" s="11" t="str">
        <f>IFERROR(IF(VLOOKUP(A1445,[10]PRIORIZADOS!$A:$J,10,FALSE)="","",VLOOKUP(A1445,[10]PRIORIZADOS!$A:$J,10,FALSE)),"")</f>
        <v>Revisar la actualización, socialización e implementación del Sistema Institucional de Evaluación de Estudiantes - SIEE, en articulación con la actualización del PEI y la normatividad vigente.</v>
      </c>
      <c r="K1445" s="11" t="str">
        <f>IFERROR(IF(VLOOKUP(A1445,[10]PRIORIZADOS!$A:$K,11,FALSE)="","",VLOOKUP(A1445,[10]PRIORIZADOS!$A:$K,11,FALSE)),"")</f>
        <v>ALBERTO ESCARRAGA PEÑUELA</v>
      </c>
      <c r="L1445" s="11" t="str">
        <f>IFERROR(IF(VLOOKUP(A1445,[10]PRIORIZADOS!$A:$L,12,FALSE)="","",VLOOKUP(A1445,[10]PRIORIZADOS!$A:$L,12,FALSE)),"")</f>
        <v>CRISTIAN CAMILO LÓPEZ VELANDIA</v>
      </c>
      <c r="M1445" s="71">
        <f>IFERROR(IF(VLOOKUP(A1445,[10]PRIORIZADOS!$A:$M,13,FALSE)="","",VLOOKUP(A1445,[10]PRIORIZADOS!$A:$M,13,FALSE)),"")</f>
        <v>45806</v>
      </c>
      <c r="N1445" s="71">
        <f>IFERROR(IF(VLOOKUP(A1445,[10]PRIORIZADOS!$A:$N,14,FALSE)="","",VLOOKUP(A1445,[10]PRIORIZADOS!$A:$N,14,FALSE)),"")</f>
        <v>45819</v>
      </c>
      <c r="O1445" s="71">
        <f>IFERROR(IF(VLOOKUP(A1445,[10]PRIORIZADOS!$A:$O,15,FALSE)="","",VLOOKUP(A1445,[10]PRIORIZADOS!$A:$O,15,FALSE)),"")</f>
        <v>45819</v>
      </c>
      <c r="P1445" s="11" t="str">
        <f>IFERROR(IF(VLOOKUP(A1445,[10]PRIORIZADOS!$A:$P,16,FALSE)="","",VLOOKUP(A1445,[10]PRIORIZADOS!$A:$P,16,FALSE)),"")</f>
        <v>Visitas de evaluación con fines de mejoramiento</v>
      </c>
      <c r="Q1445" s="107" t="s">
        <v>348</v>
      </c>
      <c r="R1445" s="11" t="str">
        <f>IFERROR(IF(VLOOKUP(A1445,[10]PRIORIZADOS!$A:$R,18,FALSE)="","",VLOOKUP(A1445,[10]PRIORIZADOS!$A:$R,18,FALSE)),"")</f>
        <v>Se evidencia la ejecución y registro de la información del SIEE, el cual cuenta con estrategias de apoyo para resolver situaciones en el aula y de nivelación y mejoramiento del aprendizaje de los estudiantes</v>
      </c>
      <c r="S1445" s="11" t="str">
        <f>IFERROR(IF(VLOOKUP(A1445,[10]PRIORIZADOS!$A:$S,19,FALSE)="","",VLOOKUP(A1445,[10]PRIORIZADOS!$A:$S,19,FALSE)),"")</f>
        <v>Se debe continuar con el proceso de revisión y actualización</v>
      </c>
      <c r="T1445" s="70" t="str">
        <f>IFERROR(IF(VLOOKUP(A1445,[10]PRIORIZADOS!$A:$T,20,FALSE)="","",VLOOKUP(A1445,[10]PRIORIZADOS!$A:$T,20,FALSE)),"")</f>
        <v>No</v>
      </c>
      <c r="U1445" s="11" t="str">
        <f>IFERROR(IF(VLOOKUP(A1445,[10]PRIORIZADOS!$A:$U,21,FALSE)="","",VLOOKUP(A1445,[10]PRIORIZADOS!$A:$U,21,FALSE)),"")</f>
        <v>En caso de presentarse PQR se procederá a realizar su respectiva revisión.</v>
      </c>
    </row>
    <row r="1446" spans="1:21" s="1" customFormat="1" ht="48">
      <c r="A1446" s="69">
        <f>IF([10]PRIORIZADOS!A60="","",[10]PRIORIZADOS!A60)</f>
        <v>1388</v>
      </c>
      <c r="B1446" s="70">
        <f>IFERROR(IF(VLOOKUP(A1446,[10]PRIORIZADOS!$A:$B,2,FALSE)="","",VLOOKUP(A1446,[10]PRIORIZADOS!$A:$B,2,FALSE)),"")</f>
        <v>9</v>
      </c>
      <c r="C1446" s="11" t="str">
        <f>IFERROR(IF(VLOOKUP(A1446,[10]PRIORIZADOS!$A:$C,3,FALSE)="","",VLOOKUP(A1446,[10]PRIORIZADOS!$A:$C,3,FALSE)),"")</f>
        <v>PUENTE ARANDA</v>
      </c>
      <c r="D1446" s="11" t="str">
        <f>IFERROR(IF(VLOOKUP(A1446,[10]PRIORIZADOS!$A:$D,4,FALSE)="","",VLOOKUP(A1446,[10]PRIORIZADOS!$A:$D,4,FALSE)),"")</f>
        <v>PRIVADO</v>
      </c>
      <c r="E1446" s="11" t="str">
        <f>IFERROR(IF(VLOOKUP(A1446,[10]PRIORIZADOS!$A:$E,5,FALSE)="","",VLOOKUP(A1446,[10]PRIORIZADOS!$A:$E,5,FALSE)),"")</f>
        <v>Educación de Jóvenes y Adultos</v>
      </c>
      <c r="F1446" s="11" t="str">
        <f>IFERROR(IF(VLOOKUP(A1446,[10]PRIORIZADOS!$A:$F,6,FALSE)="","",VLOOKUP(A1446,[10]PRIORIZADOS!$A:$F,6,FALSE)),"")</f>
        <v>INSTITUTO_CAMARGO_LEON</v>
      </c>
      <c r="G1446" s="11" t="str">
        <f>IFERROR(IF(VLOOKUP(A1446,[10]PRIORIZADOS!$A:$G,7,FALSE)="","",VLOOKUP(A1446,[10]PRIORIZADOS!$A:$G,7,FALSE)),"")</f>
        <v>INSTITUTO CAMARGO LEON</v>
      </c>
      <c r="H1446" s="11" t="str">
        <f>IFERROR(IF(VLOOKUP(A1446,[10]PRIORIZADOS!$A:$H,8,FALSE)="","",VLOOKUP(A1446,[10]PRIORIZADOS!$A:$H,8,FALSE)),"")</f>
        <v>Autoevaluación Institucional y Pruebas SABER 11</v>
      </c>
      <c r="I1446" s="11" t="str">
        <f>IFERROR(IF(VLOOKUP(A1446,[10]PRIORIZADOS!$A:$I,9,FALSE)="","",VLOOKUP(A1446,[10]PRIORIZADOS!$A:$I,9,FALSE)),"")</f>
        <v>EVALUACIÓN_CON_FINES_DE_MEJORAMIENTO.</v>
      </c>
      <c r="J1446" s="11" t="str">
        <f>IFERROR(IF(VLOOKUP(A1446,[10]PRIORIZADOS!$A:$J,10,FALSE)="","",VLOOKUP(A1446,[10]PRIORIZADOS!$A:$J,10,FALSE)),"")</f>
        <v>Revisar el calendario escolar, jornada escolar, la intensidad horaria mínima anual en cada nivel y las modificaciones que se realicen al mismo, de acuerdo con lo previsto en la normatividad vigente.</v>
      </c>
      <c r="K1446" s="11" t="str">
        <f>IFERROR(IF(VLOOKUP(A1446,[10]PRIORIZADOS!$A:$K,11,FALSE)="","",VLOOKUP(A1446,[10]PRIORIZADOS!$A:$K,11,FALSE)),"")</f>
        <v>ALBERTO ESCARRAGA PEÑUELA</v>
      </c>
      <c r="L1446" s="11" t="str">
        <f>IFERROR(IF(VLOOKUP(A1446,[10]PRIORIZADOS!$A:$L,12,FALSE)="","",VLOOKUP(A1446,[10]PRIORIZADOS!$A:$L,12,FALSE)),"")</f>
        <v>CRISTIAN CAMILO LÓPEZ VELANDIA</v>
      </c>
      <c r="M1446" s="71">
        <f>IFERROR(IF(VLOOKUP(A1446,[10]PRIORIZADOS!$A:$M,13,FALSE)="","",VLOOKUP(A1446,[10]PRIORIZADOS!$A:$M,13,FALSE)),"")</f>
        <v>45806</v>
      </c>
      <c r="N1446" s="71">
        <f>IFERROR(IF(VLOOKUP(A1446,[10]PRIORIZADOS!$A:$N,14,FALSE)="","",VLOOKUP(A1446,[10]PRIORIZADOS!$A:$N,14,FALSE)),"")</f>
        <v>45819</v>
      </c>
      <c r="O1446" s="71">
        <f>IFERROR(IF(VLOOKUP(A1446,[10]PRIORIZADOS!$A:$O,15,FALSE)="","",VLOOKUP(A1446,[10]PRIORIZADOS!$A:$O,15,FALSE)),"")</f>
        <v>45819</v>
      </c>
      <c r="P1446" s="11" t="str">
        <f>IFERROR(IF(VLOOKUP(A1446,[10]PRIORIZADOS!$A:$P,16,FALSE)="","",VLOOKUP(A1446,[10]PRIORIZADOS!$A:$P,16,FALSE)),"")</f>
        <v>Visitas de evaluación con fines de mejoramiento</v>
      </c>
      <c r="Q1446" s="107" t="s">
        <v>348</v>
      </c>
      <c r="R1446" s="11" t="str">
        <f>IFERROR(IF(VLOOKUP(A1446,[10]PRIORIZADOS!$A:$R,18,FALSE)="","",VLOOKUP(A1446,[10]PRIORIZADOS!$A:$R,18,FALSE)),"")</f>
        <v>La institución no realizó el cargue o radicación ante la DLE del calendario escolar.</v>
      </c>
      <c r="S1446" s="11" t="str">
        <f>IFERROR(IF(VLOOKUP(A1446,[10]PRIORIZADOS!$A:$S,19,FALSE)="","",VLOOKUP(A1446,[10]PRIORIZADOS!$A:$S,19,FALSE)),"")</f>
        <v>Se debe realizar la radicación al DLE del calendario escolar con la finalidad de hacer evidente la garantía del cumplimiento de la intensidad horaria mínima anual</v>
      </c>
      <c r="T1446" s="70" t="str">
        <f>IFERROR(IF(VLOOKUP(A1446,[10]PRIORIZADOS!$A:$T,20,FALSE)="","",VLOOKUP(A1446,[10]PRIORIZADOS!$A:$T,20,FALSE)),"")</f>
        <v>Si</v>
      </c>
      <c r="U1446" s="11" t="str">
        <f>IFERROR(IF(VLOOKUP(A1446,[10]PRIORIZADOS!$A:$U,21,FALSE)="","",VLOOKUP(A1446,[10]PRIORIZADOS!$A:$U,21,FALSE)),"")</f>
        <v>Revisión del plan de mejora, contemplada su entrega para el 30/07/2025.</v>
      </c>
    </row>
    <row r="1447" spans="1:21" s="1" customFormat="1" ht="48">
      <c r="A1447" s="69">
        <f>IF([10]PRIORIZADOS!A61="","",[10]PRIORIZADOS!A61)</f>
        <v>1389</v>
      </c>
      <c r="B1447" s="70">
        <f>IFERROR(IF(VLOOKUP(A1447,[10]PRIORIZADOS!$A:$B,2,FALSE)="","",VLOOKUP(A1447,[10]PRIORIZADOS!$A:$B,2,FALSE)),"")</f>
        <v>9</v>
      </c>
      <c r="C1447" s="11" t="str">
        <f>IFERROR(IF(VLOOKUP(A1447,[10]PRIORIZADOS!$A:$C,3,FALSE)="","",VLOOKUP(A1447,[10]PRIORIZADOS!$A:$C,3,FALSE)),"")</f>
        <v>PUENTE ARANDA</v>
      </c>
      <c r="D1447" s="11" t="str">
        <f>IFERROR(IF(VLOOKUP(A1447,[10]PRIORIZADOS!$A:$D,4,FALSE)="","",VLOOKUP(A1447,[10]PRIORIZADOS!$A:$D,4,FALSE)),"")</f>
        <v>PRIVADO</v>
      </c>
      <c r="E1447" s="11" t="str">
        <f>IFERROR(IF(VLOOKUP(A1447,[10]PRIORIZADOS!$A:$E,5,FALSE)="","",VLOOKUP(A1447,[10]PRIORIZADOS!$A:$E,5,FALSE)),"")</f>
        <v>Educación de Jóvenes y Adultos</v>
      </c>
      <c r="F1447" s="11" t="str">
        <f>IFERROR(IF(VLOOKUP(A1447,[10]PRIORIZADOS!$A:$F,6,FALSE)="","",VLOOKUP(A1447,[10]PRIORIZADOS!$A:$F,6,FALSE)),"")</f>
        <v>INSTITUTO_CAMARGO_LEON</v>
      </c>
      <c r="G1447" s="11" t="str">
        <f>IFERROR(IF(VLOOKUP(A1447,[10]PRIORIZADOS!$A:$G,7,FALSE)="","",VLOOKUP(A1447,[10]PRIORIZADOS!$A:$G,7,FALSE)),"")</f>
        <v>INSTITUTO CAMARGO LEON</v>
      </c>
      <c r="H1447" s="11" t="str">
        <f>IFERROR(IF(VLOOKUP(A1447,[10]PRIORIZADOS!$A:$H,8,FALSE)="","",VLOOKUP(A1447,[10]PRIORIZADOS!$A:$H,8,FALSE)),"")</f>
        <v>Autoevaluación Institucional y Pruebas SABER 11</v>
      </c>
      <c r="I1447" s="11" t="str">
        <f>IFERROR(IF(VLOOKUP(A1447,[10]PRIORIZADOS!$A:$I,9,FALSE)="","",VLOOKUP(A1447,[10]PRIORIZADOS!$A:$I,9,FALSE)),"")</f>
        <v>EVALUACIÓN_CON_FINES_DE_MEJORAMIENTO.</v>
      </c>
      <c r="J1447" s="11" t="str">
        <f>IFERROR(IF(VLOOKUP(A1447,[10]PRIORIZADOS!$A:$J,10,FALSE)="","",VLOOKUP(A1447,[10]PRIORIZADOS!$A:$J,10,FALSE)),"")</f>
        <v>Verificar el funcionamiento del Gobierno Escolar e instancias de participación con base en la información sobre conformación reportada por la institución educativa.</v>
      </c>
      <c r="K1447" s="11" t="str">
        <f>IFERROR(IF(VLOOKUP(A1447,[10]PRIORIZADOS!$A:$K,11,FALSE)="","",VLOOKUP(A1447,[10]PRIORIZADOS!$A:$K,11,FALSE)),"")</f>
        <v>ALBERTO ESCARRAGA PEÑUELA</v>
      </c>
      <c r="L1447" s="11" t="str">
        <f>IFERROR(IF(VLOOKUP(A1447,[10]PRIORIZADOS!$A:$L,12,FALSE)="","",VLOOKUP(A1447,[10]PRIORIZADOS!$A:$L,12,FALSE)),"")</f>
        <v>CRISTIAN CAMILO LÓPEZ VELANDIA</v>
      </c>
      <c r="M1447" s="71">
        <f>IFERROR(IF(VLOOKUP(A1447,[10]PRIORIZADOS!$A:$M,13,FALSE)="","",VLOOKUP(A1447,[10]PRIORIZADOS!$A:$M,13,FALSE)),"")</f>
        <v>45806</v>
      </c>
      <c r="N1447" s="71">
        <f>IFERROR(IF(VLOOKUP(A1447,[10]PRIORIZADOS!$A:$N,14,FALSE)="","",VLOOKUP(A1447,[10]PRIORIZADOS!$A:$N,14,FALSE)),"")</f>
        <v>45819</v>
      </c>
      <c r="O1447" s="71">
        <f>IFERROR(IF(VLOOKUP(A1447,[10]PRIORIZADOS!$A:$O,15,FALSE)="","",VLOOKUP(A1447,[10]PRIORIZADOS!$A:$O,15,FALSE)),"")</f>
        <v>45819</v>
      </c>
      <c r="P1447" s="11" t="str">
        <f>IFERROR(IF(VLOOKUP(A1447,[10]PRIORIZADOS!$A:$P,16,FALSE)="","",VLOOKUP(A1447,[10]PRIORIZADOS!$A:$P,16,FALSE)),"")</f>
        <v>Visitas de evaluación con fines de mejoramiento</v>
      </c>
      <c r="Q1447" s="107" t="s">
        <v>348</v>
      </c>
      <c r="R1447" s="11" t="str">
        <f>IFERROR(IF(VLOOKUP(A1447,[10]PRIORIZADOS!$A:$R,18,FALSE)="","",VLOOKUP(A1447,[10]PRIORIZADOS!$A:$R,18,FALSE)),"")</f>
        <v>El gobierno escolar se encuentra conformado y operando en la institución educativa</v>
      </c>
      <c r="S1447" s="11" t="str">
        <f>IFERROR(IF(VLOOKUP(A1447,[10]PRIORIZADOS!$A:$S,19,FALSE)="","",VLOOKUP(A1447,[10]PRIORIZADOS!$A:$S,19,FALSE)),"")</f>
        <v>Continuar con la operación del gobierno escolar haciendo evidente las reuniones a través de actas suscritas</v>
      </c>
      <c r="T1447" s="70" t="str">
        <f>IFERROR(IF(VLOOKUP(A1447,[10]PRIORIZADOS!$A:$T,20,FALSE)="","",VLOOKUP(A1447,[10]PRIORIZADOS!$A:$T,20,FALSE)),"")</f>
        <v>No</v>
      </c>
      <c r="U1447" s="11" t="str">
        <f>IFERROR(IF(VLOOKUP(A1447,[10]PRIORIZADOS!$A:$U,21,FALSE)="","",VLOOKUP(A1447,[10]PRIORIZADOS!$A:$U,21,FALSE)),"")</f>
        <v>En caso de presentarse PQR se procederá a realizar su respectiva revisión.</v>
      </c>
    </row>
    <row r="1448" spans="1:21" s="1" customFormat="1" ht="48">
      <c r="A1448" s="69">
        <f>IF([10]PRIORIZADOS!A62="","",[10]PRIORIZADOS!A62)</f>
        <v>1390</v>
      </c>
      <c r="B1448" s="70">
        <f>IFERROR(IF(VLOOKUP(A1448,[10]PRIORIZADOS!$A:$B,2,FALSE)="","",VLOOKUP(A1448,[10]PRIORIZADOS!$A:$B,2,FALSE)),"")</f>
        <v>9</v>
      </c>
      <c r="C1448" s="11" t="str">
        <f>IFERROR(IF(VLOOKUP(A1448,[10]PRIORIZADOS!$A:$C,3,FALSE)="","",VLOOKUP(A1448,[10]PRIORIZADOS!$A:$C,3,FALSE)),"")</f>
        <v>PUENTE ARANDA</v>
      </c>
      <c r="D1448" s="11" t="str">
        <f>IFERROR(IF(VLOOKUP(A1448,[10]PRIORIZADOS!$A:$D,4,FALSE)="","",VLOOKUP(A1448,[10]PRIORIZADOS!$A:$D,4,FALSE)),"")</f>
        <v>PRIVADO</v>
      </c>
      <c r="E1448" s="11" t="str">
        <f>IFERROR(IF(VLOOKUP(A1448,[10]PRIORIZADOS!$A:$E,5,FALSE)="","",VLOOKUP(A1448,[10]PRIORIZADOS!$A:$E,5,FALSE)),"")</f>
        <v>Educación de Jóvenes y Adultos</v>
      </c>
      <c r="F1448" s="11" t="str">
        <f>IFERROR(IF(VLOOKUP(A1448,[10]PRIORIZADOS!$A:$F,6,FALSE)="","",VLOOKUP(A1448,[10]PRIORIZADOS!$A:$F,6,FALSE)),"")</f>
        <v>INSTITUTO_CAMARGO_LEON</v>
      </c>
      <c r="G1448" s="11" t="str">
        <f>IFERROR(IF(VLOOKUP(A1448,[10]PRIORIZADOS!$A:$G,7,FALSE)="","",VLOOKUP(A1448,[10]PRIORIZADOS!$A:$G,7,FALSE)),"")</f>
        <v>INSTITUTO CAMARGO LEON</v>
      </c>
      <c r="H1448" s="11" t="str">
        <f>IFERROR(IF(VLOOKUP(A1448,[10]PRIORIZADOS!$A:$H,8,FALSE)="","",VLOOKUP(A1448,[10]PRIORIZADOS!$A:$H,8,FALSE)),"")</f>
        <v>Autoevaluación Institucional y Pruebas SABER 11</v>
      </c>
      <c r="I1448" s="11" t="str">
        <f>IFERROR(IF(VLOOKUP(A1448,[10]PRIORIZADOS!$A:$I,9,FALSE)="","",VLOOKUP(A1448,[10]PRIORIZADOS!$A:$I,9,FALSE)),"")</f>
        <v>EVALUACIÓN_CON_FINES_DE_MEJORAMIENTO.</v>
      </c>
      <c r="J1448" s="11" t="str">
        <f>IFERROR(IF(VLOOKUP(A1448,[10]PRIORIZADOS!$A:$J,10,FALSE)="","",VLOOKUP(A1448,[10]PRIORIZADOS!$A:$J,10,FALSE)),"")</f>
        <v>Verificar las condiciones en cuanto a: la estructura administrativa, condiciones de la planta física y medios educativos adecuados.</v>
      </c>
      <c r="K1448" s="11" t="str">
        <f>IFERROR(IF(VLOOKUP(A1448,[10]PRIORIZADOS!$A:$K,11,FALSE)="","",VLOOKUP(A1448,[10]PRIORIZADOS!$A:$K,11,FALSE)),"")</f>
        <v>ALBERTO ESCARRAGA PEÑUELA</v>
      </c>
      <c r="L1448" s="11" t="str">
        <f>IFERROR(IF(VLOOKUP(A1448,[10]PRIORIZADOS!$A:$L,12,FALSE)="","",VLOOKUP(A1448,[10]PRIORIZADOS!$A:$L,12,FALSE)),"")</f>
        <v>CRISTIAN CAMILO LÓPEZ VELANDIA</v>
      </c>
      <c r="M1448" s="71">
        <f>IFERROR(IF(VLOOKUP(A1448,[10]PRIORIZADOS!$A:$M,13,FALSE)="","",VLOOKUP(A1448,[10]PRIORIZADOS!$A:$M,13,FALSE)),"")</f>
        <v>45806</v>
      </c>
      <c r="N1448" s="71">
        <f>IFERROR(IF(VLOOKUP(A1448,[10]PRIORIZADOS!$A:$N,14,FALSE)="","",VLOOKUP(A1448,[10]PRIORIZADOS!$A:$N,14,FALSE)),"")</f>
        <v>45819</v>
      </c>
      <c r="O1448" s="71">
        <f>IFERROR(IF(VLOOKUP(A1448,[10]PRIORIZADOS!$A:$O,15,FALSE)="","",VLOOKUP(A1448,[10]PRIORIZADOS!$A:$O,15,FALSE)),"")</f>
        <v>45819</v>
      </c>
      <c r="P1448" s="11" t="str">
        <f>IFERROR(IF(VLOOKUP(A1448,[10]PRIORIZADOS!$A:$P,16,FALSE)="","",VLOOKUP(A1448,[10]PRIORIZADOS!$A:$P,16,FALSE)),"")</f>
        <v>Visitas de evaluación con fines de mejoramiento</v>
      </c>
      <c r="Q1448" s="107" t="s">
        <v>348</v>
      </c>
      <c r="R1448" s="11" t="str">
        <f>IFERROR(IF(VLOOKUP(A1448,[10]PRIORIZADOS!$A:$R,18,FALSE)="","",VLOOKUP(A1448,[10]PRIORIZADOS!$A:$R,18,FALSE)),"")</f>
        <v>Cuenta con espacios y dotación suficientes para la atención de la población estudiantil, docente y administrativa</v>
      </c>
      <c r="S1448" s="11" t="str">
        <f>IFERROR(IF(VLOOKUP(A1448,[10]PRIORIZADOS!$A:$S,19,FALSE)="","",VLOOKUP(A1448,[10]PRIORIZADOS!$A:$S,19,FALSE)),"")</f>
        <v>Continuar con el accionar institucional y el mantenimiento a la planta física y a la dotación para la atención del proceso educativo</v>
      </c>
      <c r="T1448" s="70" t="str">
        <f>IFERROR(IF(VLOOKUP(A1448,[10]PRIORIZADOS!$A:$T,20,FALSE)="","",VLOOKUP(A1448,[10]PRIORIZADOS!$A:$T,20,FALSE)),"")</f>
        <v>No</v>
      </c>
      <c r="U1448" s="11" t="str">
        <f>IFERROR(IF(VLOOKUP(A1448,[10]PRIORIZADOS!$A:$U,21,FALSE)="","",VLOOKUP(A1448,[10]PRIORIZADOS!$A:$U,21,FALSE)),"")</f>
        <v>En caso de presentarse PQR se procederá a realizar su respectiva revisión.</v>
      </c>
    </row>
    <row r="1449" spans="1:21" s="1" customFormat="1" ht="48">
      <c r="A1449" s="69">
        <f>IF([10]PRIORIZADOS!A63="","",[10]PRIORIZADOS!A63)</f>
        <v>1391</v>
      </c>
      <c r="B1449" s="70">
        <f>IFERROR(IF(VLOOKUP(A1449,[10]PRIORIZADOS!$A:$B,2,FALSE)="","",VLOOKUP(A1449,[10]PRIORIZADOS!$A:$B,2,FALSE)),"")</f>
        <v>10</v>
      </c>
      <c r="C1449" s="11" t="str">
        <f>IFERROR(IF(VLOOKUP(A1449,[10]PRIORIZADOS!$A:$C,3,FALSE)="","",VLOOKUP(A1449,[10]PRIORIZADOS!$A:$C,3,FALSE)),"")</f>
        <v>PUENTE ARANDA</v>
      </c>
      <c r="D1449" s="11" t="str">
        <f>IFERROR(IF(VLOOKUP(A1449,[10]PRIORIZADOS!$A:$D,4,FALSE)="","",VLOOKUP(A1449,[10]PRIORIZADOS!$A:$D,4,FALSE)),"")</f>
        <v>PRIVADO</v>
      </c>
      <c r="E1449" s="11" t="str">
        <f>IFERROR(IF(VLOOKUP(A1449,[10]PRIORIZADOS!$A:$E,5,FALSE)="","",VLOOKUP(A1449,[10]PRIORIZADOS!$A:$E,5,FALSE)),"")</f>
        <v>Educación Inicial</v>
      </c>
      <c r="F1449" s="11" t="str">
        <f>IFERROR(IF(VLOOKUP(A1449,[10]PRIORIZADOS!$A:$F,6,FALSE)="","",VLOOKUP(A1449,[10]PRIORIZADOS!$A:$F,6,FALSE)),"")</f>
        <v>JARDÍN INFANTIL ANGELES TRAVIESOS</v>
      </c>
      <c r="G1449" s="11" t="str">
        <f>IFERROR(IF(VLOOKUP(A1449,[10]PRIORIZADOS!$A:$G,7,FALSE)="","",VLOOKUP(A1449,[10]PRIORIZADOS!$A:$G,7,FALSE)),"")</f>
        <v>JARDÍN INFANTIL ANGELES TRAVIESOS</v>
      </c>
      <c r="H1449" s="11" t="str">
        <f>IFERROR(IF(VLOOKUP(A1449,[10]PRIORIZADOS!$A:$H,8,FALSE)="","",VLOOKUP(A1449,[10]PRIORIZADOS!$A:$H,8,FALSE)),"")</f>
        <v>Convivencia escolar</v>
      </c>
      <c r="I1449" s="11" t="str">
        <f>IFERROR(IF(VLOOKUP(A1449,[10]PRIORIZADOS!$A:$I,9,FALSE)="","",VLOOKUP(A1449,[10]PRIORIZADOS!$A:$I,9,FALSE)),"")</f>
        <v>SEGUIMIENTO_Y_SUPERVISIÓN.</v>
      </c>
      <c r="J1449" s="11" t="str">
        <f>IFERROR(IF(VLOOKUP(A1449,[10]PRIORIZADOS!$A:$J,10,FALSE)="","",VLOOKUP(A1449,[10]PRIORIZADOS!$A:$J,10,FALSE)),"")</f>
        <v xml:space="preserve">Verificar la implementación por parte de los colegios, de acciones realizadas para la prevención y atención de las situaciones de convivencia en el entorno escolar, según lo establecido en la Directiva 01 de 2022 del MEN. </v>
      </c>
      <c r="K1449" s="11" t="str">
        <f>IFERROR(IF(VLOOKUP(A1449,[10]PRIORIZADOS!$A:$K,11,FALSE)="","",VLOOKUP(A1449,[10]PRIORIZADOS!$A:$K,11,FALSE)),"")</f>
        <v>OSCAR CLAVIJO</v>
      </c>
      <c r="L1449" s="11" t="str">
        <f>IFERROR(IF(VLOOKUP(A1449,[10]PRIORIZADOS!$A:$L,12,FALSE)="","",VLOOKUP(A1449,[10]PRIORIZADOS!$A:$L,12,FALSE)),"")</f>
        <v>IGNACIO MONTENEGRO</v>
      </c>
      <c r="M1449" s="71">
        <f>IFERROR(IF(VLOOKUP(A1449,[10]PRIORIZADOS!$A:$M,13,FALSE)="","",VLOOKUP(A1449,[10]PRIORIZADOS!$A:$M,13,FALSE)),"")</f>
        <v>45807</v>
      </c>
      <c r="N1449" s="71">
        <f>IFERROR(IF(VLOOKUP(A1449,[10]PRIORIZADOS!$A:$N,14,FALSE)="","",VLOOKUP(A1449,[10]PRIORIZADOS!$A:$N,14,FALSE)),"")</f>
        <v>45807</v>
      </c>
      <c r="O1449" s="71">
        <f>IFERROR(IF(VLOOKUP(A1449,[10]PRIORIZADOS!$A:$O,15,FALSE)="","",VLOOKUP(A1449,[10]PRIORIZADOS!$A:$O,15,FALSE)),"")</f>
        <v>45807</v>
      </c>
      <c r="P1449" s="11" t="str">
        <f>IFERROR(IF(VLOOKUP(A1449,[10]PRIORIZADOS!$A:$P,16,FALSE)="","",VLOOKUP(A1449,[10]PRIORIZADOS!$A:$P,16,FALSE)),"")</f>
        <v>Visitas de evaluación con fines de mejoramiento</v>
      </c>
      <c r="Q1449" s="107" t="s">
        <v>349</v>
      </c>
      <c r="R1449" s="11" t="str">
        <f>IFERROR(IF(VLOOKUP(A1449,[10]PRIORIZADOS!$A:$R,18,FALSE)="","",VLOOKUP(A1449,[10]PRIORIZADOS!$A:$R,18,FALSE)),"")</f>
        <v>El Colegio realiza actividades de prevención y al verificar la carpeta de hoja de vida del personal se encontró el certificado de antecedentes penales</v>
      </c>
      <c r="S1449" s="11" t="str">
        <f>IFERROR(IF(VLOOKUP(A1449,[10]PRIORIZADOS!$A:$S,19,FALSE)="","",VLOOKUP(A1449,[10]PRIORIZADOS!$A:$S,19,FALSE)),"")</f>
        <v xml:space="preserve">El Colegio debe realizar dicha verificación cada 4 meses </v>
      </c>
      <c r="T1449" s="70" t="str">
        <f>IFERROR(IF(VLOOKUP(A1449,[10]PRIORIZADOS!$A:$T,20,FALSE)="","",VLOOKUP(A1449,[10]PRIORIZADOS!$A:$T,20,FALSE)),"")</f>
        <v>SI</v>
      </c>
      <c r="U1449" s="11" t="str">
        <f>IFERROR(IF(VLOOKUP(A1449,[10]PRIORIZADOS!$A:$U,21,FALSE)="","",VLOOKUP(A1449,[10]PRIORIZADOS!$A:$U,21,FALSE)),"")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0" spans="1:21" s="1" customFormat="1" ht="72">
      <c r="A1450" s="69">
        <f>IF([10]PRIORIZADOS!A64="","",[10]PRIORIZADOS!A64)</f>
        <v>1392</v>
      </c>
      <c r="B1450" s="70">
        <f>IFERROR(IF(VLOOKUP(A1450,[10]PRIORIZADOS!$A:$B,2,FALSE)="","",VLOOKUP(A1450,[10]PRIORIZADOS!$A:$B,2,FALSE)),"")</f>
        <v>10</v>
      </c>
      <c r="C1450" s="11" t="str">
        <f>IFERROR(IF(VLOOKUP(A1450,[10]PRIORIZADOS!$A:$C,3,FALSE)="","",VLOOKUP(A1450,[10]PRIORIZADOS!$A:$C,3,FALSE)),"")</f>
        <v>PUENTE ARANDA</v>
      </c>
      <c r="D1450" s="11" t="str">
        <f>IFERROR(IF(VLOOKUP(A1450,[10]PRIORIZADOS!$A:$D,4,FALSE)="","",VLOOKUP(A1450,[10]PRIORIZADOS!$A:$D,4,FALSE)),"")</f>
        <v>PRIVADO</v>
      </c>
      <c r="E1450" s="11" t="str">
        <f>IFERROR(IF(VLOOKUP(A1450,[10]PRIORIZADOS!$A:$E,5,FALSE)="","",VLOOKUP(A1450,[10]PRIORIZADOS!$A:$E,5,FALSE)),"")</f>
        <v>Educación Inicial</v>
      </c>
      <c r="F1450" s="11" t="str">
        <f>IFERROR(IF(VLOOKUP(A1450,[10]PRIORIZADOS!$A:$F,6,FALSE)="","",VLOOKUP(A1450,[10]PRIORIZADOS!$A:$F,6,FALSE)),"")</f>
        <v>JARDÍN INFANTIL ANGELES TRAVIESOS</v>
      </c>
      <c r="G1450" s="11" t="str">
        <f>IFERROR(IF(VLOOKUP(A1450,[10]PRIORIZADOS!$A:$G,7,FALSE)="","",VLOOKUP(A1450,[10]PRIORIZADOS!$A:$G,7,FALSE)),"")</f>
        <v>JARDÍN INFANTIL ANGELES TRAVIESOS</v>
      </c>
      <c r="H1450" s="11" t="str">
        <f>IFERROR(IF(VLOOKUP(A1450,[10]PRIORIZADOS!$A:$H,8,FALSE)="","",VLOOKUP(A1450,[10]PRIORIZADOS!$A:$H,8,FALSE)),"")</f>
        <v>Convivencia escolar</v>
      </c>
      <c r="I1450" s="11" t="str">
        <f>IFERROR(IF(VLOOKUP(A1450,[10]PRIORIZADOS!$A:$I,9,FALSE)="","",VLOOKUP(A1450,[10]PRIORIZADOS!$A:$I,9,FALSE)),"")</f>
        <v>SEGUIMIENTO_Y_SUPERVISIÓN.</v>
      </c>
      <c r="J1450" s="11" t="str">
        <f>IFERROR(IF(VLOOKUP(A1450,[10]PRIORIZADOS!$A:$J,10,FALSE)="","",VLOOKUP(A1450,[10]PRIORIZADOS!$A:$J,10,FALSE)),"")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50" s="11" t="str">
        <f>IFERROR(IF(VLOOKUP(A1450,[10]PRIORIZADOS!$A:$K,11,FALSE)="","",VLOOKUP(A1450,[10]PRIORIZADOS!$A:$K,11,FALSE)),"")</f>
        <v>OSCAR CLAVIJO</v>
      </c>
      <c r="L1450" s="11" t="str">
        <f>IFERROR(IF(VLOOKUP(A1450,[10]PRIORIZADOS!$A:$L,12,FALSE)="","",VLOOKUP(A1450,[10]PRIORIZADOS!$A:$L,12,FALSE)),"")</f>
        <v>IGNACIO MONTENEGRO</v>
      </c>
      <c r="M1450" s="71">
        <f>IFERROR(IF(VLOOKUP(A1450,[10]PRIORIZADOS!$A:$M,13,FALSE)="","",VLOOKUP(A1450,[10]PRIORIZADOS!$A:$M,13,FALSE)),"")</f>
        <v>45807</v>
      </c>
      <c r="N1450" s="71">
        <f>IFERROR(IF(VLOOKUP(A1450,[10]PRIORIZADOS!$A:$N,14,FALSE)="","",VLOOKUP(A1450,[10]PRIORIZADOS!$A:$N,14,FALSE)),"")</f>
        <v>45807</v>
      </c>
      <c r="O1450" s="71">
        <f>IFERROR(IF(VLOOKUP(A1450,[10]PRIORIZADOS!$A:$O,15,FALSE)="","",VLOOKUP(A1450,[10]PRIORIZADOS!$A:$O,15,FALSE)),"")</f>
        <v>45807</v>
      </c>
      <c r="P1450" s="11" t="str">
        <f>IFERROR(IF(VLOOKUP(A1450,[10]PRIORIZADOS!$A:$P,16,FALSE)="","",VLOOKUP(A1450,[10]PRIORIZADOS!$A:$P,16,FALSE)),"")</f>
        <v>Visitas de evaluación con fines de mejoramiento</v>
      </c>
      <c r="Q1450" s="107" t="s">
        <v>349</v>
      </c>
      <c r="R1450" s="11" t="str">
        <f>IFERROR(IF(VLOOKUP(A1450,[10]PRIORIZADOS!$A:$R,18,FALSE)="","",VLOOKUP(A1450,[10]PRIORIZADOS!$A:$R,18,FALSE)),"")</f>
        <v xml:space="preserve">No cuenta con estudiantes con discapacidad. Además,  por su estructura de planta física le es imposible atender niños con discapacidad física </v>
      </c>
      <c r="S1450" s="11" t="str">
        <f>IFERROR(IF(VLOOKUP(A1450,[10]PRIORIZADOS!$A:$S,19,FALSE)="","",VLOOKUP(A1450,[10]PRIORIZADOS!$A:$S,19,FALSE)),"")</f>
        <v>Se le recuerda al Colegio que en cumplimiento del Decreto 1421 de 2017 deben garantizar la atención de los niños y niñas en condición de discapacidad</v>
      </c>
      <c r="T1450" s="70" t="str">
        <f>IFERROR(IF(VLOOKUP(A1450,[10]PRIORIZADOS!$A:$T,20,FALSE)="","",VLOOKUP(A1450,[10]PRIORIZADOS!$A:$T,20,FALSE)),"")</f>
        <v>SI</v>
      </c>
      <c r="U1450" s="11" t="str">
        <f>IFERROR(IF(VLOOKUP(A1450,[10]PRIORIZADOS!$A:$U,21,FALSE)="","",VLOOKUP(A1450,[10]PRIORIZADOS!$A:$U,21,FALSE)),"")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1" spans="1:21" s="1" customFormat="1" ht="96">
      <c r="A1451" s="69">
        <f>IF([10]PRIORIZADOS!A65="","",[10]PRIORIZADOS!A65)</f>
        <v>1393</v>
      </c>
      <c r="B1451" s="70">
        <f>IFERROR(IF(VLOOKUP(A1451,[10]PRIORIZADOS!$A:$B,2,FALSE)="","",VLOOKUP(A1451,[10]PRIORIZADOS!$A:$B,2,FALSE)),"")</f>
        <v>10</v>
      </c>
      <c r="C1451" s="11" t="str">
        <f>IFERROR(IF(VLOOKUP(A1451,[10]PRIORIZADOS!$A:$C,3,FALSE)="","",VLOOKUP(A1451,[10]PRIORIZADOS!$A:$C,3,FALSE)),"")</f>
        <v>PUENTE ARANDA</v>
      </c>
      <c r="D1451" s="11" t="str">
        <f>IFERROR(IF(VLOOKUP(A1451,[10]PRIORIZADOS!$A:$D,4,FALSE)="","",VLOOKUP(A1451,[10]PRIORIZADOS!$A:$D,4,FALSE)),"")</f>
        <v>PRIVADO</v>
      </c>
      <c r="E1451" s="11" t="str">
        <f>IFERROR(IF(VLOOKUP(A1451,[10]PRIORIZADOS!$A:$E,5,FALSE)="","",VLOOKUP(A1451,[10]PRIORIZADOS!$A:$E,5,FALSE)),"")</f>
        <v>Educación Inicial</v>
      </c>
      <c r="F1451" s="11" t="str">
        <f>IFERROR(IF(VLOOKUP(A1451,[10]PRIORIZADOS!$A:$F,6,FALSE)="","",VLOOKUP(A1451,[10]PRIORIZADOS!$A:$F,6,FALSE)),"")</f>
        <v>JARDÍN INFANTIL ANGELES TRAVIESOS</v>
      </c>
      <c r="G1451" s="11" t="str">
        <f>IFERROR(IF(VLOOKUP(A1451,[10]PRIORIZADOS!$A:$G,7,FALSE)="","",VLOOKUP(A1451,[10]PRIORIZADOS!$A:$G,7,FALSE)),"")</f>
        <v>JARDÍN INFANTIL ANGELES TRAVIESOS</v>
      </c>
      <c r="H1451" s="11" t="str">
        <f>IFERROR(IF(VLOOKUP(A1451,[10]PRIORIZADOS!$A:$H,8,FALSE)="","",VLOOKUP(A1451,[10]PRIORIZADOS!$A:$H,8,FALSE)),"")</f>
        <v>Convivencia escolar</v>
      </c>
      <c r="I1451" s="11" t="str">
        <f>IFERROR(IF(VLOOKUP(A1451,[10]PRIORIZADOS!$A:$I,9,FALSE)="","",VLOOKUP(A1451,[10]PRIORIZADOS!$A:$I,9,FALSE)),"")</f>
        <v>EVALUACIÓN_CON_FINES_DE_MEJORAMIENTO.</v>
      </c>
      <c r="J1451" s="11" t="str">
        <f>IFERROR(IF(VLOOKUP(A1451,[10]PRIORIZADOS!$A:$J,10,FALSE)="","",VLOOKUP(A1451,[10]PRIORIZADOS!$A:$J,10,FALSE)),"")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51" s="11" t="str">
        <f>IFERROR(IF(VLOOKUP(A1451,[10]PRIORIZADOS!$A:$K,11,FALSE)="","",VLOOKUP(A1451,[10]PRIORIZADOS!$A:$K,11,FALSE)),"")</f>
        <v>OSCAR CLAVIJO</v>
      </c>
      <c r="L1451" s="11" t="str">
        <f>IFERROR(IF(VLOOKUP(A1451,[10]PRIORIZADOS!$A:$L,12,FALSE)="","",VLOOKUP(A1451,[10]PRIORIZADOS!$A:$L,12,FALSE)),"")</f>
        <v>IGNACIO MONTENEGRO</v>
      </c>
      <c r="M1451" s="71">
        <f>IFERROR(IF(VLOOKUP(A1451,[10]PRIORIZADOS!$A:$M,13,FALSE)="","",VLOOKUP(A1451,[10]PRIORIZADOS!$A:$M,13,FALSE)),"")</f>
        <v>45807</v>
      </c>
      <c r="N1451" s="71">
        <f>IFERROR(IF(VLOOKUP(A1451,[10]PRIORIZADOS!$A:$N,14,FALSE)="","",VLOOKUP(A1451,[10]PRIORIZADOS!$A:$N,14,FALSE)),"")</f>
        <v>45807</v>
      </c>
      <c r="O1451" s="71">
        <f>IFERROR(IF(VLOOKUP(A1451,[10]PRIORIZADOS!$A:$O,15,FALSE)="","",VLOOKUP(A1451,[10]PRIORIZADOS!$A:$O,15,FALSE)),"")</f>
        <v>45807</v>
      </c>
      <c r="P1451" s="11" t="str">
        <f>IFERROR(IF(VLOOKUP(A1451,[10]PRIORIZADOS!$A:$P,16,FALSE)="","",VLOOKUP(A1451,[10]PRIORIZADOS!$A:$P,16,FALSE)),"")</f>
        <v>Visitas de evaluación con fines de mejoramiento</v>
      </c>
      <c r="Q1451" s="107" t="s">
        <v>349</v>
      </c>
      <c r="R1451" s="11" t="str">
        <f>IFERROR(IF(VLOOKUP(A1451,[10]PRIORIZADOS!$A:$R,18,FALSE)="","",VLOOKUP(A1451,[10]PRIORIZADOS!$A:$R,18,FALSE)),"")</f>
        <v xml:space="preserve">Cuenta con manual de convivencia, carece de su adopción por parte del Consejo Directivo. Se omite incluir temas de diversidad, procedimientos para resolver conflictos y medios de comunicación a utilizar. Por la edad de los menores, se deben implementar medidas pedagógicas, más no sancionatorias.  </v>
      </c>
      <c r="S1451" s="11" t="str">
        <f>IFERROR(IF(VLOOKUP(A1451,[10]PRIORIZADOS!$A:$S,19,FALSE)="","",VLOOKUP(A1451,[10]PRIORIZADOS!$A:$S,19,FALSE)),"")</f>
        <v>El colegio deberá ajustar su manual de convivencia con respecto a las temáticas encontradas. Además, de socializarlo con la comunidad educativa para la aprobación ante el Consejo Directivo.</v>
      </c>
      <c r="T1451" s="70" t="str">
        <f>IFERROR(IF(VLOOKUP(A1451,[10]PRIORIZADOS!$A:$T,20,FALSE)="","",VLOOKUP(A1451,[10]PRIORIZADOS!$A:$T,20,FALSE)),"")</f>
        <v>SI</v>
      </c>
      <c r="U1451" s="11" t="str">
        <f>IFERROR(IF(VLOOKUP(A1451,[10]PRIORIZADOS!$A:$U,21,FALSE)="","",VLOOKUP(A1451,[10]PRIORIZADOS!$A:$U,21,FALSE)),"")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2" spans="1:21" s="1" customFormat="1" ht="96">
      <c r="A1452" s="69">
        <f>IF([10]PRIORIZADOS!A66="","",[10]PRIORIZADOS!A66)</f>
        <v>1394</v>
      </c>
      <c r="B1452" s="70">
        <f>IFERROR(IF(VLOOKUP(A1452,[10]PRIORIZADOS!$A:$B,2,FALSE)="","",VLOOKUP(A1452,[10]PRIORIZADOS!$A:$B,2,FALSE)),"")</f>
        <v>10</v>
      </c>
      <c r="C1452" s="11" t="str">
        <f>IFERROR(IF(VLOOKUP(A1452,[10]PRIORIZADOS!$A:$C,3,FALSE)="","",VLOOKUP(A1452,[10]PRIORIZADOS!$A:$C,3,FALSE)),"")</f>
        <v>PUENTE ARANDA</v>
      </c>
      <c r="D1452" s="11" t="str">
        <f>IFERROR(IF(VLOOKUP(A1452,[10]PRIORIZADOS!$A:$D,4,FALSE)="","",VLOOKUP(A1452,[10]PRIORIZADOS!$A:$D,4,FALSE)),"")</f>
        <v>PRIVADO</v>
      </c>
      <c r="E1452" s="11" t="str">
        <f>IFERROR(IF(VLOOKUP(A1452,[10]PRIORIZADOS!$A:$E,5,FALSE)="","",VLOOKUP(A1452,[10]PRIORIZADOS!$A:$E,5,FALSE)),"")</f>
        <v>Educación Inicial</v>
      </c>
      <c r="F1452" s="11" t="str">
        <f>IFERROR(IF(VLOOKUP(A1452,[10]PRIORIZADOS!$A:$F,6,FALSE)="","",VLOOKUP(A1452,[10]PRIORIZADOS!$A:$F,6,FALSE)),"")</f>
        <v>JARDÍN INFANTIL ANGELES TRAVIESOS</v>
      </c>
      <c r="G1452" s="11" t="str">
        <f>IFERROR(IF(VLOOKUP(A1452,[10]PRIORIZADOS!$A:$G,7,FALSE)="","",VLOOKUP(A1452,[10]PRIORIZADOS!$A:$G,7,FALSE)),"")</f>
        <v>JARDÍN INFANTIL ANGELES TRAVIESOS</v>
      </c>
      <c r="H1452" s="11" t="str">
        <f>IFERROR(IF(VLOOKUP(A1452,[10]PRIORIZADOS!$A:$H,8,FALSE)="","",VLOOKUP(A1452,[10]PRIORIZADOS!$A:$H,8,FALSE)),"")</f>
        <v>Convivencia escolar</v>
      </c>
      <c r="I1452" s="11" t="str">
        <f>IFERROR(IF(VLOOKUP(A1452,[10]PRIORIZADOS!$A:$I,9,FALSE)="","",VLOOKUP(A1452,[10]PRIORIZADOS!$A:$I,9,FALSE)),"")</f>
        <v>EVALUACIÓN_CON_FINES_DE_MEJORAMIENTO.</v>
      </c>
      <c r="J1452" s="11" t="str">
        <f>IFERROR(IF(VLOOKUP(A1452,[10]PRIORIZADOS!$A:$J,10,FALSE)="","",VLOOKUP(A1452,[10]PRIORIZADOS!$A:$J,10,FALSE)),"")</f>
        <v>Revisar la actualización, socialización e implementación del Sistema Institucional de Evaluación de Estudiantes - SIEE, en articulación con la actualización del PEI y la normatividad vigente.</v>
      </c>
      <c r="K1452" s="11" t="str">
        <f>IFERROR(IF(VLOOKUP(A1452,[10]PRIORIZADOS!$A:$K,11,FALSE)="","",VLOOKUP(A1452,[10]PRIORIZADOS!$A:$K,11,FALSE)),"")</f>
        <v>OSCAR CLAVIJO</v>
      </c>
      <c r="L1452" s="11" t="str">
        <f>IFERROR(IF(VLOOKUP(A1452,[10]PRIORIZADOS!$A:$L,12,FALSE)="","",VLOOKUP(A1452,[10]PRIORIZADOS!$A:$L,12,FALSE)),"")</f>
        <v>IGNACIO MONTENEGRO</v>
      </c>
      <c r="M1452" s="71">
        <f>IFERROR(IF(VLOOKUP(A1452,[10]PRIORIZADOS!$A:$M,13,FALSE)="","",VLOOKUP(A1452,[10]PRIORIZADOS!$A:$M,13,FALSE)),"")</f>
        <v>45807</v>
      </c>
      <c r="N1452" s="71">
        <f>IFERROR(IF(VLOOKUP(A1452,[10]PRIORIZADOS!$A:$N,14,FALSE)="","",VLOOKUP(A1452,[10]PRIORIZADOS!$A:$N,14,FALSE)),"")</f>
        <v>45807</v>
      </c>
      <c r="O1452" s="71">
        <f>IFERROR(IF(VLOOKUP(A1452,[10]PRIORIZADOS!$A:$O,15,FALSE)="","",VLOOKUP(A1452,[10]PRIORIZADOS!$A:$O,15,FALSE)),"")</f>
        <v>45807</v>
      </c>
      <c r="P1452" s="11" t="str">
        <f>IFERROR(IF(VLOOKUP(A1452,[10]PRIORIZADOS!$A:$P,16,FALSE)="","",VLOOKUP(A1452,[10]PRIORIZADOS!$A:$P,16,FALSE)),"")</f>
        <v>Visitas de evaluación con fines de mejoramiento</v>
      </c>
      <c r="Q1452" s="107" t="s">
        <v>349</v>
      </c>
      <c r="R1452" s="11" t="str">
        <f>IFERROR(IF(VLOOKUP(A1452,[10]PRIORIZADOS!$A:$R,18,FALSE)="","",VLOOKUP(A1452,[10]PRIORIZADOS!$A:$R,18,FALSE)),"")</f>
        <v>El SIEE se encuentra incluido en el Manual de convivencia, página 12; además, en el documento denominado "Sistema Institucional de Evaluación"</v>
      </c>
      <c r="S1452" s="11" t="str">
        <f>IFERROR(IF(VLOOKUP(A1452,[10]PRIORIZADOS!$A:$S,19,FALSE)="","",VLOOKUP(A1452,[10]PRIORIZADOS!$A:$S,19,FALSE)),"")</f>
        <v xml:space="preserve">El colegio debe ajustar el SIEE con respecto al tema de la no promoción de los grados de preescolar, por cuanto no puede haber reprobación. Ajustar el procedimiento, dado que no hay promoción de asignaturas. Se deben crear estrategias de apoyo para resolver situaciones pedagógicas de los estudiantes </v>
      </c>
      <c r="T1452" s="70" t="str">
        <f>IFERROR(IF(VLOOKUP(A1452,[10]PRIORIZADOS!$A:$T,20,FALSE)="","",VLOOKUP(A1452,[10]PRIORIZADOS!$A:$T,20,FALSE)),"")</f>
        <v>SI</v>
      </c>
      <c r="U1452" s="11" t="str">
        <f>IFERROR(IF(VLOOKUP(A1452,[10]PRIORIZADOS!$A:$U,21,FALSE)="","",VLOOKUP(A1452,[10]PRIORIZADOS!$A:$U,21,FALSE)),"")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3" spans="1:21" s="1" customFormat="1" ht="48">
      <c r="A1453" s="69">
        <f>IF([10]PRIORIZADOS!A67="","",[10]PRIORIZADOS!A67)</f>
        <v>1395</v>
      </c>
      <c r="B1453" s="70">
        <f>IFERROR(IF(VLOOKUP(A1453,[10]PRIORIZADOS!$A:$B,2,FALSE)="","",VLOOKUP(A1453,[10]PRIORIZADOS!$A:$B,2,FALSE)),"")</f>
        <v>10</v>
      </c>
      <c r="C1453" s="11" t="str">
        <f>IFERROR(IF(VLOOKUP(A1453,[10]PRIORIZADOS!$A:$C,3,FALSE)="","",VLOOKUP(A1453,[10]PRIORIZADOS!$A:$C,3,FALSE)),"")</f>
        <v>PUENTE ARANDA</v>
      </c>
      <c r="D1453" s="11" t="str">
        <f>IFERROR(IF(VLOOKUP(A1453,[10]PRIORIZADOS!$A:$D,4,FALSE)="","",VLOOKUP(A1453,[10]PRIORIZADOS!$A:$D,4,FALSE)),"")</f>
        <v>PRIVADO</v>
      </c>
      <c r="E1453" s="11" t="str">
        <f>IFERROR(IF(VLOOKUP(A1453,[10]PRIORIZADOS!$A:$E,5,FALSE)="","",VLOOKUP(A1453,[10]PRIORIZADOS!$A:$E,5,FALSE)),"")</f>
        <v>Educación Inicial</v>
      </c>
      <c r="F1453" s="11" t="str">
        <f>IFERROR(IF(VLOOKUP(A1453,[10]PRIORIZADOS!$A:$F,6,FALSE)="","",VLOOKUP(A1453,[10]PRIORIZADOS!$A:$F,6,FALSE)),"")</f>
        <v>JARDÍN INFANTIL ANGELES TRAVIESOS</v>
      </c>
      <c r="G1453" s="11" t="str">
        <f>IFERROR(IF(VLOOKUP(A1453,[10]PRIORIZADOS!$A:$G,7,FALSE)="","",VLOOKUP(A1453,[10]PRIORIZADOS!$A:$G,7,FALSE)),"")</f>
        <v>JARDÍN INFANTIL ANGELES TRAVIESOS</v>
      </c>
      <c r="H1453" s="11" t="str">
        <f>IFERROR(IF(VLOOKUP(A1453,[10]PRIORIZADOS!$A:$H,8,FALSE)="","",VLOOKUP(A1453,[10]PRIORIZADOS!$A:$H,8,FALSE)),"")</f>
        <v>Convivencia escolar</v>
      </c>
      <c r="I1453" s="11" t="str">
        <f>IFERROR(IF(VLOOKUP(A1453,[10]PRIORIZADOS!$A:$I,9,FALSE)="","",VLOOKUP(A1453,[10]PRIORIZADOS!$A:$I,9,FALSE)),"")</f>
        <v>EVALUACIÓN_CON_FINES_DE_MEJORAMIENTO.</v>
      </c>
      <c r="J1453" s="11" t="str">
        <f>IFERROR(IF(VLOOKUP(A1453,[10]PRIORIZADOS!$A:$J,10,FALSE)="","",VLOOKUP(A1453,[10]PRIORIZADOS!$A:$J,10,FALSE)),"")</f>
        <v>Revisar el calendario escolar, jornada escolar, la intensidad horaria mínima anual en cada nivel y las modificaciones que se realicen al mismo, de acuerdo con lo previsto en la normatividad vigente.</v>
      </c>
      <c r="K1453" s="11" t="str">
        <f>IFERROR(IF(VLOOKUP(A1453,[10]PRIORIZADOS!$A:$K,11,FALSE)="","",VLOOKUP(A1453,[10]PRIORIZADOS!$A:$K,11,FALSE)),"")</f>
        <v>OSCAR CLAVIJO</v>
      </c>
      <c r="L1453" s="11" t="str">
        <f>IFERROR(IF(VLOOKUP(A1453,[10]PRIORIZADOS!$A:$L,12,FALSE)="","",VLOOKUP(A1453,[10]PRIORIZADOS!$A:$L,12,FALSE)),"")</f>
        <v>IGNACIO MONTENEGRO</v>
      </c>
      <c r="M1453" s="71">
        <f>IFERROR(IF(VLOOKUP(A1453,[10]PRIORIZADOS!$A:$M,13,FALSE)="","",VLOOKUP(A1453,[10]PRIORIZADOS!$A:$M,13,FALSE)),"")</f>
        <v>45807</v>
      </c>
      <c r="N1453" s="71">
        <f>IFERROR(IF(VLOOKUP(A1453,[10]PRIORIZADOS!$A:$N,14,FALSE)="","",VLOOKUP(A1453,[10]PRIORIZADOS!$A:$N,14,FALSE)),"")</f>
        <v>45807</v>
      </c>
      <c r="O1453" s="71">
        <f>IFERROR(IF(VLOOKUP(A1453,[10]PRIORIZADOS!$A:$O,15,FALSE)="","",VLOOKUP(A1453,[10]PRIORIZADOS!$A:$O,15,FALSE)),"")</f>
        <v>45807</v>
      </c>
      <c r="P1453" s="11" t="str">
        <f>IFERROR(IF(VLOOKUP(A1453,[10]PRIORIZADOS!$A:$P,16,FALSE)="","",VLOOKUP(A1453,[10]PRIORIZADOS!$A:$P,16,FALSE)),"")</f>
        <v>Visitas de evaluación con fines de mejoramiento</v>
      </c>
      <c r="Q1453" s="107" t="s">
        <v>349</v>
      </c>
      <c r="R1453" s="11" t="str">
        <f>IFERROR(IF(VLOOKUP(A1453,[10]PRIORIZADOS!$A:$R,18,FALSE)="","",VLOOKUP(A1453,[10]PRIORIZADOS!$A:$R,18,FALSE)),"")</f>
        <v xml:space="preserve">El colegio cumple con 37 semanas de trabajo académico, con 832.5 horas al año, cumpliendo con el número mínimo de horas exigidas para el nivel de preescolar  </v>
      </c>
      <c r="S1453" s="11" t="str">
        <f>IFERROR(IF(VLOOKUP(A1453,[10]PRIORIZADOS!$A:$S,19,FALSE)="","",VLOOKUP(A1453,[10]PRIORIZADOS!$A:$S,19,FALSE)),"")</f>
        <v>El colegio cumple con las horas académicas determinadas por la Ley en cada nivel educativo</v>
      </c>
      <c r="T1453" s="70" t="str">
        <f>IFERROR(IF(VLOOKUP(A1453,[10]PRIORIZADOS!$A:$T,20,FALSE)="","",VLOOKUP(A1453,[10]PRIORIZADOS!$A:$T,20,FALSE)),"")</f>
        <v>No</v>
      </c>
      <c r="U1453" s="11" t="str">
        <f>IFERROR(IF(VLOOKUP(A1453,[10]PRIORIZADOS!$A:$U,21,FALSE)="","",VLOOKUP(A1453,[10]PRIORIZADOS!$A:$U,21,FALSE)),"")</f>
        <v>Se hará revisión del calendario académico en la vigencia 2026</v>
      </c>
    </row>
    <row r="1454" spans="1:21" s="1" customFormat="1" ht="48">
      <c r="A1454" s="69">
        <f>IF([10]PRIORIZADOS!A68="","",[10]PRIORIZADOS!A68)</f>
        <v>1396</v>
      </c>
      <c r="B1454" s="70">
        <f>IFERROR(IF(VLOOKUP(A1454,[10]PRIORIZADOS!$A:$B,2,FALSE)="","",VLOOKUP(A1454,[10]PRIORIZADOS!$A:$B,2,FALSE)),"")</f>
        <v>10</v>
      </c>
      <c r="C1454" s="11" t="str">
        <f>IFERROR(IF(VLOOKUP(A1454,[10]PRIORIZADOS!$A:$C,3,FALSE)="","",VLOOKUP(A1454,[10]PRIORIZADOS!$A:$C,3,FALSE)),"")</f>
        <v>PUENTE ARANDA</v>
      </c>
      <c r="D1454" s="11" t="str">
        <f>IFERROR(IF(VLOOKUP(A1454,[10]PRIORIZADOS!$A:$D,4,FALSE)="","",VLOOKUP(A1454,[10]PRIORIZADOS!$A:$D,4,FALSE)),"")</f>
        <v>PRIVADO</v>
      </c>
      <c r="E1454" s="11" t="str">
        <f>IFERROR(IF(VLOOKUP(A1454,[10]PRIORIZADOS!$A:$E,5,FALSE)="","",VLOOKUP(A1454,[10]PRIORIZADOS!$A:$E,5,FALSE)),"")</f>
        <v>Educación Inicial</v>
      </c>
      <c r="F1454" s="11" t="str">
        <f>IFERROR(IF(VLOOKUP(A1454,[10]PRIORIZADOS!$A:$F,6,FALSE)="","",VLOOKUP(A1454,[10]PRIORIZADOS!$A:$F,6,FALSE)),"")</f>
        <v>JARDÍN INFANTIL ANGELES TRAVIESOS</v>
      </c>
      <c r="G1454" s="11" t="str">
        <f>IFERROR(IF(VLOOKUP(A1454,[10]PRIORIZADOS!$A:$G,7,FALSE)="","",VLOOKUP(A1454,[10]PRIORIZADOS!$A:$G,7,FALSE)),"")</f>
        <v>JARDÍN INFANTIL ANGELES TRAVIESOS</v>
      </c>
      <c r="H1454" s="11" t="str">
        <f>IFERROR(IF(VLOOKUP(A1454,[10]PRIORIZADOS!$A:$H,8,FALSE)="","",VLOOKUP(A1454,[10]PRIORIZADOS!$A:$H,8,FALSE)),"")</f>
        <v>Convivencia escolar</v>
      </c>
      <c r="I1454" s="11" t="str">
        <f>IFERROR(IF(VLOOKUP(A1454,[10]PRIORIZADOS!$A:$I,9,FALSE)="","",VLOOKUP(A1454,[10]PRIORIZADOS!$A:$I,9,FALSE)),"")</f>
        <v>EVALUACIÓN_CON_FINES_DE_MEJORAMIENTO.</v>
      </c>
      <c r="J1454" s="11" t="str">
        <f>IFERROR(IF(VLOOKUP(A1454,[10]PRIORIZADOS!$A:$J,10,FALSE)="","",VLOOKUP(A1454,[10]PRIORIZADOS!$A:$J,10,FALSE)),"")</f>
        <v>Verificar el funcionamiento del Gobierno Escolar e instancias de participación con base en la información sobre conformación reportada por la institución educativa.</v>
      </c>
      <c r="K1454" s="11" t="str">
        <f>IFERROR(IF(VLOOKUP(A1454,[10]PRIORIZADOS!$A:$K,11,FALSE)="","",VLOOKUP(A1454,[10]PRIORIZADOS!$A:$K,11,FALSE)),"")</f>
        <v>OSCAR CLAVIJO</v>
      </c>
      <c r="L1454" s="11" t="str">
        <f>IFERROR(IF(VLOOKUP(A1454,[10]PRIORIZADOS!$A:$L,12,FALSE)="","",VLOOKUP(A1454,[10]PRIORIZADOS!$A:$L,12,FALSE)),"")</f>
        <v>IGNACIO MONTENEGRO</v>
      </c>
      <c r="M1454" s="71">
        <f>IFERROR(IF(VLOOKUP(A1454,[10]PRIORIZADOS!$A:$M,13,FALSE)="","",VLOOKUP(A1454,[10]PRIORIZADOS!$A:$M,13,FALSE)),"")</f>
        <v>45807</v>
      </c>
      <c r="N1454" s="71">
        <f>IFERROR(IF(VLOOKUP(A1454,[10]PRIORIZADOS!$A:$N,14,FALSE)="","",VLOOKUP(A1454,[10]PRIORIZADOS!$A:$N,14,FALSE)),"")</f>
        <v>45807</v>
      </c>
      <c r="O1454" s="71">
        <f>IFERROR(IF(VLOOKUP(A1454,[10]PRIORIZADOS!$A:$O,15,FALSE)="","",VLOOKUP(A1454,[10]PRIORIZADOS!$A:$O,15,FALSE)),"")</f>
        <v>45807</v>
      </c>
      <c r="P1454" s="11" t="str">
        <f>IFERROR(IF(VLOOKUP(A1454,[10]PRIORIZADOS!$A:$P,16,FALSE)="","",VLOOKUP(A1454,[10]PRIORIZADOS!$A:$P,16,FALSE)),"")</f>
        <v>Visitas de evaluación con fines de mejoramiento</v>
      </c>
      <c r="Q1454" s="107" t="s">
        <v>349</v>
      </c>
      <c r="R1454" s="11" t="str">
        <f>IFERROR(IF(VLOOKUP(A1454,[10]PRIORIZADOS!$A:$R,18,FALSE)="","",VLOOKUP(A1454,[10]PRIORIZADOS!$A:$R,18,FALSE)),"")</f>
        <v xml:space="preserve">No se encontraron las actas SAE, sin embargo la directora afirma que organizó las instancias de participación </v>
      </c>
      <c r="S1454" s="11" t="str">
        <f>IFERROR(IF(VLOOKUP(A1454,[10]PRIORIZADOS!$A:$S,19,FALSE)="","",VLOOKUP(A1454,[10]PRIORIZADOS!$A:$S,19,FALSE)),"")</f>
        <v>El Colegio debe hacer la gestión pertinente para registrar la información en el SAE</v>
      </c>
      <c r="T1454" s="70" t="str">
        <f>IFERROR(IF(VLOOKUP(A1454,[10]PRIORIZADOS!$A:$T,20,FALSE)="","",VLOOKUP(A1454,[10]PRIORIZADOS!$A:$T,20,FALSE)),"")</f>
        <v>SI</v>
      </c>
      <c r="U1454" s="11" t="str">
        <f>IFERROR(IF(VLOOKUP(A1454,[10]PRIORIZADOS!$A:$U,21,FALSE)="","",VLOOKUP(A1454,[10]PRIORIZADOS!$A:$U,21,FALSE)),"")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5" spans="1:21" s="1" customFormat="1" ht="48">
      <c r="A1455" s="69">
        <f>IF([10]PRIORIZADOS!A69="","",[10]PRIORIZADOS!A69)</f>
        <v>1397</v>
      </c>
      <c r="B1455" s="70">
        <f>IFERROR(IF(VLOOKUP(A1455,[10]PRIORIZADOS!$A:$B,2,FALSE)="","",VLOOKUP(A1455,[10]PRIORIZADOS!$A:$B,2,FALSE)),"")</f>
        <v>10</v>
      </c>
      <c r="C1455" s="11" t="str">
        <f>IFERROR(IF(VLOOKUP(A1455,[10]PRIORIZADOS!$A:$C,3,FALSE)="","",VLOOKUP(A1455,[10]PRIORIZADOS!$A:$C,3,FALSE)),"")</f>
        <v>PUENTE ARANDA</v>
      </c>
      <c r="D1455" s="11" t="str">
        <f>IFERROR(IF(VLOOKUP(A1455,[10]PRIORIZADOS!$A:$D,4,FALSE)="","",VLOOKUP(A1455,[10]PRIORIZADOS!$A:$D,4,FALSE)),"")</f>
        <v>PRIVADO</v>
      </c>
      <c r="E1455" s="11" t="str">
        <f>IFERROR(IF(VLOOKUP(A1455,[10]PRIORIZADOS!$A:$E,5,FALSE)="","",VLOOKUP(A1455,[10]PRIORIZADOS!$A:$E,5,FALSE)),"")</f>
        <v>Educación Inicial</v>
      </c>
      <c r="F1455" s="11" t="str">
        <f>IFERROR(IF(VLOOKUP(A1455,[10]PRIORIZADOS!$A:$F,6,FALSE)="","",VLOOKUP(A1455,[10]PRIORIZADOS!$A:$F,6,FALSE)),"")</f>
        <v>JARDÍN INFANTIL ANGELES TRAVIESOS</v>
      </c>
      <c r="G1455" s="11" t="str">
        <f>IFERROR(IF(VLOOKUP(A1455,[10]PRIORIZADOS!$A:$G,7,FALSE)="","",VLOOKUP(A1455,[10]PRIORIZADOS!$A:$G,7,FALSE)),"")</f>
        <v>JARDÍN INFANTIL ANGELES TRAVIESOS</v>
      </c>
      <c r="H1455" s="11" t="str">
        <f>IFERROR(IF(VLOOKUP(A1455,[10]PRIORIZADOS!$A:$H,8,FALSE)="","",VLOOKUP(A1455,[10]PRIORIZADOS!$A:$H,8,FALSE)),"")</f>
        <v>Convivencia escolar</v>
      </c>
      <c r="I1455" s="11" t="str">
        <f>IFERROR(IF(VLOOKUP(A1455,[10]PRIORIZADOS!$A:$I,9,FALSE)="","",VLOOKUP(A1455,[10]PRIORIZADOS!$A:$I,9,FALSE)),"")</f>
        <v>EVALUACIÓN_CON_FINES_DE_MEJORAMIENTO.</v>
      </c>
      <c r="J1455" s="11" t="str">
        <f>IFERROR(IF(VLOOKUP(A1455,[10]PRIORIZADOS!$A:$J,10,FALSE)="","",VLOOKUP(A1455,[10]PRIORIZADOS!$A:$J,10,FALSE)),"")</f>
        <v>Verificar las condiciones en cuanto a: la estructura administrativa, condiciones de la planta física y medios educativos adecuados.</v>
      </c>
      <c r="K1455" s="11" t="str">
        <f>IFERROR(IF(VLOOKUP(A1455,[10]PRIORIZADOS!$A:$K,11,FALSE)="","",VLOOKUP(A1455,[10]PRIORIZADOS!$A:$K,11,FALSE)),"")</f>
        <v>OSCAR CLAVIJO</v>
      </c>
      <c r="L1455" s="11" t="str">
        <f>IFERROR(IF(VLOOKUP(A1455,[10]PRIORIZADOS!$A:$L,12,FALSE)="","",VLOOKUP(A1455,[10]PRIORIZADOS!$A:$L,12,FALSE)),"")</f>
        <v>IGNACIO MONTENEGRO</v>
      </c>
      <c r="M1455" s="71">
        <f>IFERROR(IF(VLOOKUP(A1455,[10]PRIORIZADOS!$A:$M,13,FALSE)="","",VLOOKUP(A1455,[10]PRIORIZADOS!$A:$M,13,FALSE)),"")</f>
        <v>45807</v>
      </c>
      <c r="N1455" s="71">
        <f>IFERROR(IF(VLOOKUP(A1455,[10]PRIORIZADOS!$A:$N,14,FALSE)="","",VLOOKUP(A1455,[10]PRIORIZADOS!$A:$N,14,FALSE)),"")</f>
        <v>45807</v>
      </c>
      <c r="O1455" s="71">
        <f>IFERROR(IF(VLOOKUP(A1455,[10]PRIORIZADOS!$A:$O,15,FALSE)="","",VLOOKUP(A1455,[10]PRIORIZADOS!$A:$O,15,FALSE)),"")</f>
        <v>45807</v>
      </c>
      <c r="P1455" s="11" t="str">
        <f>IFERROR(IF(VLOOKUP(A1455,[10]PRIORIZADOS!$A:$P,16,FALSE)="","",VLOOKUP(A1455,[10]PRIORIZADOS!$A:$P,16,FALSE)),"")</f>
        <v>Visitas de evaluación con fines de mejoramiento</v>
      </c>
      <c r="Q1455" s="126" t="s">
        <v>349</v>
      </c>
      <c r="R1455" s="11" t="str">
        <f>IFERROR(IF(VLOOKUP(A1455,[10]PRIORIZADOS!$A:$R,18,FALSE)="","",VLOOKUP(A1455,[10]PRIORIZADOS!$A:$R,18,FALSE)),"")</f>
        <v>Los espacios son amplios y adecuados, sin embargo, el espacio del grado de prejardín requiere iluminación natural y ventilación cruzada</v>
      </c>
      <c r="S1455" s="11" t="str">
        <f>IFERROR(IF(VLOOKUP(A1455,[10]PRIORIZADOS!$A:$S,19,FALSE)="","",VLOOKUP(A1455,[10]PRIORIZADOS!$A:$S,19,FALSE)),"")</f>
        <v xml:space="preserve">El colegio debe buscar un espacio del grado de prejardín que garantice dichos aspectos </v>
      </c>
      <c r="T1455" s="70" t="str">
        <f>IFERROR(IF(VLOOKUP(A1455,[10]PRIORIZADOS!$A:$T,20,FALSE)="","",VLOOKUP(A1455,[10]PRIORIZADOS!$A:$T,20,FALSE)),"")</f>
        <v>SI</v>
      </c>
      <c r="U1455" s="11" t="str">
        <f>IFERROR(IF(VLOOKUP(A1455,[10]PRIORIZADOS!$A:$U,21,FALSE)="","",VLOOKUP(A1455,[10]PRIORIZADOS!$A:$U,21,FALSE)),"")</f>
        <v>Revisar el plan de mejoramiento que presentará el Colegio antes del 20 de junio de 2025 y los avances el 31 de octubre del mismo año y 30 de mayo de 2026.  A la fecha no lo ha presentado a pesar de los requerimientos S-2025-249166 y S-2025-359932</v>
      </c>
    </row>
    <row r="1456" spans="1:21" s="1" customFormat="1" ht="84">
      <c r="A1456" s="69">
        <f>IF([10]PRIORIZADOS!A70="","",[10]PRIORIZADOS!A70)</f>
        <v>1398</v>
      </c>
      <c r="B1456" s="70">
        <f>IFERROR(IF(VLOOKUP(A1456,[10]PRIORIZADOS!$A:$B,2,FALSE)="","",VLOOKUP(A1456,[10]PRIORIZADOS!$A:$B,2,FALSE)),"")</f>
        <v>11</v>
      </c>
      <c r="C1456" s="11" t="str">
        <f>IFERROR(IF(VLOOKUP(A1456,[10]PRIORIZADOS!$A:$C,3,FALSE)="","",VLOOKUP(A1456,[10]PRIORIZADOS!$A:$C,3,FALSE)),"")</f>
        <v>PUENTE ARANDA</v>
      </c>
      <c r="D1456" s="11" t="str">
        <f>IFERROR(IF(VLOOKUP(A1456,[10]PRIORIZADOS!$A:$D,4,FALSE)="","",VLOOKUP(A1456,[10]PRIORIZADOS!$A:$D,4,FALSE)),"")</f>
        <v>PRIVADO</v>
      </c>
      <c r="E1456" s="11" t="str">
        <f>IFERROR(IF(VLOOKUP(A1456,[10]PRIORIZADOS!$A:$E,5,FALSE)="","",VLOOKUP(A1456,[10]PRIORIZADOS!$A:$E,5,FALSE)),"")</f>
        <v>Educación Inicial</v>
      </c>
      <c r="F1456" s="11" t="str">
        <f>IFERROR(IF(VLOOKUP(A1456,[10]PRIORIZADOS!$A:$F,6,FALSE)="","",VLOOKUP(A1456,[10]PRIORIZADOS!$A:$F,6,FALSE)),"")</f>
        <v>JARDIN_PSICOPEDAGOGICO_PALOMITOS_TRAVIESOS</v>
      </c>
      <c r="G1456" s="11" t="str">
        <f>IFERROR(IF(VLOOKUP(A1456,[10]PRIORIZADOS!$A:$G,7,FALSE)="","",VLOOKUP(A1456,[10]PRIORIZADOS!$A:$G,7,FALSE)),"")</f>
        <v>JARDIN PSICOPEDAGOGICO PALOMITOS TRAVIESOS</v>
      </c>
      <c r="H1456" s="11" t="str">
        <f>IFERROR(IF(VLOOKUP(A1456,[10]PRIORIZADOS!$A:$H,8,FALSE)="","",VLOOKUP(A1456,[10]PRIORIZADOS!$A:$H,8,FALSE)),"")</f>
        <v>Autoevaluación Institucional y Pruebas SABER 11</v>
      </c>
      <c r="I1456" s="11" t="str">
        <f>IFERROR(IF(VLOOKUP(A1456,[10]PRIORIZADOS!$A:$I,9,FALSE)="","",VLOOKUP(A1456,[10]PRIORIZADOS!$A:$I,9,FALSE)),"")</f>
        <v>SEGUIMIENTO_Y_SUPERVISIÓN.</v>
      </c>
      <c r="J1456" s="11" t="str">
        <f>IFERROR(IF(VLOOKUP(A1456,[10]PRIORIZADOS!$A:$J,10,FALSE)="","",VLOOKUP(A1456,[10]PRIORIZADOS!$A:$J,10,FALSE)),"")</f>
        <v>Realizar visitas para verificar la información registrada sobre la autoevaluación institucional en el aplicativo EVI, a los establecimientos de educación formal no oficial.</v>
      </c>
      <c r="K1456" s="11" t="str">
        <f>IFERROR(IF(VLOOKUP(A1456,[10]PRIORIZADOS!$A:$K,11,FALSE)="","",VLOOKUP(A1456,[10]PRIORIZADOS!$A:$K,11,FALSE)),"")</f>
        <v>IGNACIO ABDÓN MONTENEGRO ALDANA</v>
      </c>
      <c r="L1456" s="11" t="str">
        <f>IFERROR(IF(VLOOKUP(A1456,[10]PRIORIZADOS!$A:$L,12,FALSE)="","",VLOOKUP(A1456,[10]PRIORIZADOS!$A:$L,12,FALSE)),"")</f>
        <v>ALBERTO ESCARRAGA PEÑUELA</v>
      </c>
      <c r="M1456" s="71">
        <f>IFERROR(IF(VLOOKUP(A1456,[10]PRIORIZADOS!$A:$M,13,FALSE)="","",VLOOKUP(A1456,[10]PRIORIZADOS!$A:$M,13,FALSE)),"")</f>
        <v>45818</v>
      </c>
      <c r="N1456" s="71" t="str">
        <f>IFERROR(IF(VLOOKUP(A1456,[10]PRIORIZADOS!$A:$N,14,FALSE)="","",VLOOKUP(A1456,[10]PRIORIZADOS!$A:$N,14,FALSE)),"")</f>
        <v>23/07/2025</v>
      </c>
      <c r="O1456" s="71" t="str">
        <f>IFERROR(IF(VLOOKUP(A1456,[10]PRIORIZADOS!$A:$O,15,FALSE)="","",VLOOKUP(A1456,[10]PRIORIZADOS!$A:$O,15,FALSE)),"")</f>
        <v>23/07/2025</v>
      </c>
      <c r="P1456" s="11" t="str">
        <f>IFERROR(IF(VLOOKUP(A1456,[10]PRIORIZADOS!$A:$P,16,FALSE)="","",VLOOKUP(A1456,[10]PRIORIZADOS!$A:$P,16,FALSE)),"")</f>
        <v>Visitas de evaluación con fines de mejoramiento</v>
      </c>
      <c r="Q1456" s="107" t="s">
        <v>350</v>
      </c>
      <c r="R1456" s="11" t="str">
        <f>IFERROR(IF(VLOOKUP(A1456,[10]PRIORIZADOS!$A:$R,18,FALSE)="","",VLOOKUP(A1456,[10]PRIORIZADOS!$A:$R,18,FALSE)),"")</f>
        <v>Revisados de manera aleatoria algunos puntos de la evaluación institucional realizada en EVI, se evidenció correspondencia con la realidad evaluada. En planta física se observaron salones con déficit de ventilación cruzada e iluminación natural.</v>
      </c>
      <c r="S1456" s="11" t="str">
        <f>IFERROR(IF(VLOOKUP(A1456,[10]PRIORIZADOS!$A:$S,19,FALSE)="","",VLOOKUP(A1456,[10]PRIORIZADOS!$A:$S,19,FALSE)),"")</f>
        <v>Mejorar las condiciones de ventilación cruzada e iluminación de algunos salones.</v>
      </c>
      <c r="T1456" s="70" t="str">
        <f>IFERROR(IF(VLOOKUP(A1456,[10]PRIORIZADOS!$A:$T,20,FALSE)="","",VLOOKUP(A1456,[10]PRIORIZADOS!$A:$T,20,FALSE)),"")</f>
        <v>Si</v>
      </c>
      <c r="U1456" s="11" t="str">
        <f>IFERROR(IF(VLOOKUP(A1456,[10]PRIORIZADOS!$A:$U,21,FALSE)="","",VLOOKUP(A1456,[10]PRIORIZADOS!$A:$U,21,FALSE)),"")</f>
        <v>Verificación de la presentación del plan de mejoramiento el 23 de agosto de 2025 y sendos avances: el 20 de noviembre de 2025 y el 15 de mayo de 2026.</v>
      </c>
    </row>
    <row r="1457" spans="1:21" s="1" customFormat="1" ht="48">
      <c r="A1457" s="69">
        <f>IF([10]PRIORIZADOS!A71="","",[10]PRIORIZADOS!A71)</f>
        <v>1399</v>
      </c>
      <c r="B1457" s="70">
        <f>IFERROR(IF(VLOOKUP(A1457,[10]PRIORIZADOS!$A:$B,2,FALSE)="","",VLOOKUP(A1457,[10]PRIORIZADOS!$A:$B,2,FALSE)),"")</f>
        <v>11</v>
      </c>
      <c r="C1457" s="11" t="str">
        <f>IFERROR(IF(VLOOKUP(A1457,[10]PRIORIZADOS!$A:$C,3,FALSE)="","",VLOOKUP(A1457,[10]PRIORIZADOS!$A:$C,3,FALSE)),"")</f>
        <v>PUENTE ARANDA</v>
      </c>
      <c r="D1457" s="11" t="str">
        <f>IFERROR(IF(VLOOKUP(A1457,[10]PRIORIZADOS!$A:$D,4,FALSE)="","",VLOOKUP(A1457,[10]PRIORIZADOS!$A:$D,4,FALSE)),"")</f>
        <v>PRIVADO</v>
      </c>
      <c r="E1457" s="11" t="str">
        <f>IFERROR(IF(VLOOKUP(A1457,[10]PRIORIZADOS!$A:$E,5,FALSE)="","",VLOOKUP(A1457,[10]PRIORIZADOS!$A:$E,5,FALSE)),"")</f>
        <v>Educación Inicial</v>
      </c>
      <c r="F1457" s="11" t="str">
        <f>IFERROR(IF(VLOOKUP(A1457,[10]PRIORIZADOS!$A:$F,6,FALSE)="","",VLOOKUP(A1457,[10]PRIORIZADOS!$A:$F,6,FALSE)),"")</f>
        <v>JARDIN_PSICOPEDAGOGICO_PALOMITOS_TRAVIESOS</v>
      </c>
      <c r="G1457" s="11" t="str">
        <f>IFERROR(IF(VLOOKUP(A1457,[10]PRIORIZADOS!$A:$G,7,FALSE)="","",VLOOKUP(A1457,[10]PRIORIZADOS!$A:$G,7,FALSE)),"")</f>
        <v>JARDIN PSICOPEDAGOGICO PALOMITOS TRAVIESOS</v>
      </c>
      <c r="H1457" s="11" t="str">
        <f>IFERROR(IF(VLOOKUP(A1457,[10]PRIORIZADOS!$A:$H,8,FALSE)="","",VLOOKUP(A1457,[10]PRIORIZADOS!$A:$H,8,FALSE)),"")</f>
        <v>Autoevaluación Institucional y Pruebas SABER 11</v>
      </c>
      <c r="I1457" s="11" t="str">
        <f>IFERROR(IF(VLOOKUP(A1457,[10]PRIORIZADOS!$A:$I,9,FALSE)="","",VLOOKUP(A1457,[10]PRIORIZADOS!$A:$I,9,FALSE)),"")</f>
        <v>SEGUIMIENTO_Y_SUPERVISIÓN.</v>
      </c>
      <c r="J1457" s="11" t="str">
        <f>IFERROR(IF(VLOOKUP(A1457,[10]PRIORIZADOS!$A:$J,10,FALSE)="","",VLOOKUP(A1457,[10]PRIORIZADOS!$A:$J,10,FALSE)),"")</f>
        <v xml:space="preserve">Verificar la implementación por parte de los colegios, de acciones realizadas para la prevención y atención de las situaciones de convivencia en el entorno escolar, según lo establecido en la Directiva 01 de 2022 del MEN. </v>
      </c>
      <c r="K1457" s="11" t="str">
        <f>IFERROR(IF(VLOOKUP(A1457,[10]PRIORIZADOS!$A:$K,11,FALSE)="","",VLOOKUP(A1457,[10]PRIORIZADOS!$A:$K,11,FALSE)),"")</f>
        <v>IGNACIO ABDÓN MONTENEGRO ALDANA</v>
      </c>
      <c r="L1457" s="11" t="str">
        <f>IFERROR(IF(VLOOKUP(A1457,[10]PRIORIZADOS!$A:$L,12,FALSE)="","",VLOOKUP(A1457,[10]PRIORIZADOS!$A:$L,12,FALSE)),"")</f>
        <v>ALBERTO ESCARRAGA PEÑUELA</v>
      </c>
      <c r="M1457" s="71">
        <f>IFERROR(IF(VLOOKUP(A1457,[10]PRIORIZADOS!$A:$M,13,FALSE)="","",VLOOKUP(A1457,[10]PRIORIZADOS!$A:$M,13,FALSE)),"")</f>
        <v>45818</v>
      </c>
      <c r="N1457" s="71">
        <f>IFERROR(IF(VLOOKUP(A1457,[10]PRIORIZADOS!$A:$N,14,FALSE)="","",VLOOKUP(A1457,[10]PRIORIZADOS!$A:$N,14,FALSE)),"")</f>
        <v>45865</v>
      </c>
      <c r="O1457" s="71">
        <f>IFERROR(IF(VLOOKUP(A1457,[10]PRIORIZADOS!$A:$O,15,FALSE)="","",VLOOKUP(A1457,[10]PRIORIZADOS!$A:$O,15,FALSE)),"")</f>
        <v>45865</v>
      </c>
      <c r="P1457" s="11" t="str">
        <f>IFERROR(IF(VLOOKUP(A1457,[10]PRIORIZADOS!$A:$P,16,FALSE)="","",VLOOKUP(A1457,[10]PRIORIZADOS!$A:$P,16,FALSE)),"")</f>
        <v>Visitas de evaluación con fines de mejoramiento</v>
      </c>
      <c r="Q1457" s="107" t="s">
        <v>350</v>
      </c>
      <c r="R1457" s="11" t="str">
        <f>IFERROR(IF(VLOOKUP(A1457,[10]PRIORIZADOS!$A:$R,18,FALSE)="","",VLOOKUP(A1457,[10]PRIORIZADOS!$A:$R,18,FALSE)),"")</f>
        <v>El Jardín cumple con el reporte de inhabilidades del personal vinculado al EE por delitos sexuales en la página de la Policía Nacional.</v>
      </c>
      <c r="S1457" s="11" t="str">
        <f>IFERROR(IF(VLOOKUP(A1457,[10]PRIORIZADOS!$A:$S,19,FALSE)="","",VLOOKUP(A1457,[10]PRIORIZADOS!$A:$S,19,FALSE)),"")</f>
        <v xml:space="preserve">Continuar realizando la consulta periodica de antecedentes </v>
      </c>
      <c r="T1457" s="70" t="str">
        <f>IFERROR(IF(VLOOKUP(A1457,[10]PRIORIZADOS!$A:$T,20,FALSE)="","",VLOOKUP(A1457,[10]PRIORIZADOS!$A:$T,20,FALSE)),"")</f>
        <v>No</v>
      </c>
      <c r="U1457" s="11" t="str">
        <f>IFERROR(IF(VLOOKUP(A1457,[10]PRIORIZADOS!$A:$U,21,FALSE)="","",VLOOKUP(A1457,[10]PRIORIZADOS!$A:$U,21,FALSE)),"")</f>
        <v xml:space="preserve">Promoción de la norma en las reuniones de directivos docentes. </v>
      </c>
    </row>
    <row r="1458" spans="1:21" s="1" customFormat="1" ht="72">
      <c r="A1458" s="69">
        <f>IF([10]PRIORIZADOS!A72="","",[10]PRIORIZADOS!A72)</f>
        <v>1400</v>
      </c>
      <c r="B1458" s="70">
        <f>IFERROR(IF(VLOOKUP(A1458,[10]PRIORIZADOS!$A:$B,2,FALSE)="","",VLOOKUP(A1458,[10]PRIORIZADOS!$A:$B,2,FALSE)),"")</f>
        <v>11</v>
      </c>
      <c r="C1458" s="11" t="str">
        <f>IFERROR(IF(VLOOKUP(A1458,[10]PRIORIZADOS!$A:$C,3,FALSE)="","",VLOOKUP(A1458,[10]PRIORIZADOS!$A:$C,3,FALSE)),"")</f>
        <v>PUENTE ARANDA</v>
      </c>
      <c r="D1458" s="11" t="str">
        <f>IFERROR(IF(VLOOKUP(A1458,[10]PRIORIZADOS!$A:$D,4,FALSE)="","",VLOOKUP(A1458,[10]PRIORIZADOS!$A:$D,4,FALSE)),"")</f>
        <v>PRIVADO</v>
      </c>
      <c r="E1458" s="11" t="str">
        <f>IFERROR(IF(VLOOKUP(A1458,[10]PRIORIZADOS!$A:$E,5,FALSE)="","",VLOOKUP(A1458,[10]PRIORIZADOS!$A:$E,5,FALSE)),"")</f>
        <v>Educación Inicial</v>
      </c>
      <c r="F1458" s="11" t="str">
        <f>IFERROR(IF(VLOOKUP(A1458,[10]PRIORIZADOS!$A:$F,6,FALSE)="","",VLOOKUP(A1458,[10]PRIORIZADOS!$A:$F,6,FALSE)),"")</f>
        <v>JARDIN_PSICOPEDAGOGICO_PALOMITOS_TRAVIESOS</v>
      </c>
      <c r="G1458" s="11" t="str">
        <f>IFERROR(IF(VLOOKUP(A1458,[10]PRIORIZADOS!$A:$G,7,FALSE)="","",VLOOKUP(A1458,[10]PRIORIZADOS!$A:$G,7,FALSE)),"")</f>
        <v>JARDIN PSICOPEDAGOGICO PALOMITOS TRAVIESOS</v>
      </c>
      <c r="H1458" s="11" t="str">
        <f>IFERROR(IF(VLOOKUP(A1458,[10]PRIORIZADOS!$A:$H,8,FALSE)="","",VLOOKUP(A1458,[10]PRIORIZADOS!$A:$H,8,FALSE)),"")</f>
        <v>Autoevaluación Institucional y Pruebas SABER 11</v>
      </c>
      <c r="I1458" s="11" t="str">
        <f>IFERROR(IF(VLOOKUP(A1458,[10]PRIORIZADOS!$A:$I,9,FALSE)="","",VLOOKUP(A1458,[10]PRIORIZADOS!$A:$I,9,FALSE)),"")</f>
        <v>SEGUIMIENTO_Y_SUPERVISIÓN.</v>
      </c>
      <c r="J1458" s="11" t="str">
        <f>IFERROR(IF(VLOOKUP(A1458,[10]PRIORIZADOS!$A:$J,10,FALSE)="","",VLOOKUP(A1458,[10]PRIORIZADOS!$A:$J,10,FALSE)),"")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58" s="11" t="str">
        <f>IFERROR(IF(VLOOKUP(A1458,[10]PRIORIZADOS!$A:$K,11,FALSE)="","",VLOOKUP(A1458,[10]PRIORIZADOS!$A:$K,11,FALSE)),"")</f>
        <v>IGNACIO ABDÓN MONTENEGRO ALDANA</v>
      </c>
      <c r="L1458" s="11" t="str">
        <f>IFERROR(IF(VLOOKUP(A1458,[10]PRIORIZADOS!$A:$L,12,FALSE)="","",VLOOKUP(A1458,[10]PRIORIZADOS!$A:$L,12,FALSE)),"")</f>
        <v>ALBERTO ESCARRAGA PEÑUELA</v>
      </c>
      <c r="M1458" s="71">
        <f>IFERROR(IF(VLOOKUP(A1458,[10]PRIORIZADOS!$A:$M,13,FALSE)="","",VLOOKUP(A1458,[10]PRIORIZADOS!$A:$M,13,FALSE)),"")</f>
        <v>45818</v>
      </c>
      <c r="N1458" s="71">
        <f>IFERROR(IF(VLOOKUP(A1458,[10]PRIORIZADOS!$A:$N,14,FALSE)="","",VLOOKUP(A1458,[10]PRIORIZADOS!$A:$N,14,FALSE)),"")</f>
        <v>45861</v>
      </c>
      <c r="O1458" s="71">
        <f>IFERROR(IF(VLOOKUP(A1458,[10]PRIORIZADOS!$A:$O,15,FALSE)="","",VLOOKUP(A1458,[10]PRIORIZADOS!$A:$O,15,FALSE)),"")</f>
        <v>45861</v>
      </c>
      <c r="P1458" s="11" t="str">
        <f>IFERROR(IF(VLOOKUP(A1458,[10]PRIORIZADOS!$A:$P,16,FALSE)="","",VLOOKUP(A1458,[10]PRIORIZADOS!$A:$P,16,FALSE)),"")</f>
        <v>Visitas de evaluación con fines de mejoramiento</v>
      </c>
      <c r="Q1458" s="107" t="s">
        <v>350</v>
      </c>
      <c r="R1458" s="11" t="str">
        <f>IFERROR(IF(VLOOKUP(A1458,[10]PRIORIZADOS!$A:$R,18,FALSE)="","",VLOOKUP(A1458,[10]PRIORIZADOS!$A:$R,18,FALSE)),"")</f>
        <v>El Jardín no tiene matriculados niños en situación de discapacidad ni con trastornos que requieran PIAR. Sin embargo, no muestra preparación institucional para atender esta población en caso de solicitud de cupos.</v>
      </c>
      <c r="S1458" s="11" t="str">
        <f>IFERROR(IF(VLOOKUP(A1458,[10]PRIORIZADOS!$A:$S,19,FALSE)="","",VLOOKUP(A1458,[10]PRIORIZADOS!$A:$S,19,FALSE)),"")</f>
        <v>Preparar el personal docente y administrativo para atender  población en situación de discapacidad y con trastornos de comportamiento y de aprendizaje.</v>
      </c>
      <c r="T1458" s="70" t="str">
        <f>IFERROR(IF(VLOOKUP(A1458,[10]PRIORIZADOS!$A:$T,20,FALSE)="","",VLOOKUP(A1458,[10]PRIORIZADOS!$A:$T,20,FALSE)),"")</f>
        <v>Si</v>
      </c>
      <c r="U1458" s="11" t="str">
        <f>IFERROR(IF(VLOOKUP(A1458,[10]PRIORIZADOS!$A:$U,21,FALSE)="","",VLOOKUP(A1458,[10]PRIORIZADOS!$A:$U,21,FALSE)),"")</f>
        <v>Verificación de la presentación del plan de mejoramiento el 23 de agosto de 2025 y sendos avances: el 20 de noviembre de 2025 y el 15 de mayo de 2026.</v>
      </c>
    </row>
    <row r="1459" spans="1:21" s="1" customFormat="1" ht="84">
      <c r="A1459" s="69">
        <f>IF([10]PRIORIZADOS!A73="","",[10]PRIORIZADOS!A73)</f>
        <v>1401</v>
      </c>
      <c r="B1459" s="70">
        <f>IFERROR(IF(VLOOKUP(A1459,[10]PRIORIZADOS!$A:$B,2,FALSE)="","",VLOOKUP(A1459,[10]PRIORIZADOS!$A:$B,2,FALSE)),"")</f>
        <v>11</v>
      </c>
      <c r="C1459" s="11" t="str">
        <f>IFERROR(IF(VLOOKUP(A1459,[10]PRIORIZADOS!$A:$C,3,FALSE)="","",VLOOKUP(A1459,[10]PRIORIZADOS!$A:$C,3,FALSE)),"")</f>
        <v>PUENTE ARANDA</v>
      </c>
      <c r="D1459" s="11" t="str">
        <f>IFERROR(IF(VLOOKUP(A1459,[10]PRIORIZADOS!$A:$D,4,FALSE)="","",VLOOKUP(A1459,[10]PRIORIZADOS!$A:$D,4,FALSE)),"")</f>
        <v>PRIVADO</v>
      </c>
      <c r="E1459" s="11" t="str">
        <f>IFERROR(IF(VLOOKUP(A1459,[10]PRIORIZADOS!$A:$E,5,FALSE)="","",VLOOKUP(A1459,[10]PRIORIZADOS!$A:$E,5,FALSE)),"")</f>
        <v>Educación Inicial</v>
      </c>
      <c r="F1459" s="11" t="str">
        <f>IFERROR(IF(VLOOKUP(A1459,[10]PRIORIZADOS!$A:$F,6,FALSE)="","",VLOOKUP(A1459,[10]PRIORIZADOS!$A:$F,6,FALSE)),"")</f>
        <v>JARDIN_PSICOPEDAGOGICO_PALOMITOS_TRAVIESOS</v>
      </c>
      <c r="G1459" s="11" t="str">
        <f>IFERROR(IF(VLOOKUP(A1459,[10]PRIORIZADOS!$A:$G,7,FALSE)="","",VLOOKUP(A1459,[10]PRIORIZADOS!$A:$G,7,FALSE)),"")</f>
        <v>JARDIN PSICOPEDAGOGICO PALOMITOS TRAVIESOS</v>
      </c>
      <c r="H1459" s="11" t="str">
        <f>IFERROR(IF(VLOOKUP(A1459,[10]PRIORIZADOS!$A:$H,8,FALSE)="","",VLOOKUP(A1459,[10]PRIORIZADOS!$A:$H,8,FALSE)),"")</f>
        <v>Autoevaluación Institucional y Pruebas SABER 11</v>
      </c>
      <c r="I1459" s="11" t="str">
        <f>IFERROR(IF(VLOOKUP(A1459,[10]PRIORIZADOS!$A:$I,9,FALSE)="","",VLOOKUP(A1459,[10]PRIORIZADOS!$A:$I,9,FALSE)),"")</f>
        <v>EVALUACIÓN_CON_FINES_DE_MEJORAMIENTO.</v>
      </c>
      <c r="J1459" s="11" t="str">
        <f>IFERROR(IF(VLOOKUP(A1459,[10]PRIORIZADOS!$A:$J,10,FALSE)="","",VLOOKUP(A1459,[10]PRIORIZADOS!$A:$J,10,FALSE)),"")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59" s="11" t="str">
        <f>IFERROR(IF(VLOOKUP(A1459,[10]PRIORIZADOS!$A:$K,11,FALSE)="","",VLOOKUP(A1459,[10]PRIORIZADOS!$A:$K,11,FALSE)),"")</f>
        <v>IGNACIO ABDÓN MONTENEGRO ALDANA</v>
      </c>
      <c r="L1459" s="11" t="str">
        <f>IFERROR(IF(VLOOKUP(A1459,[10]PRIORIZADOS!$A:$L,12,FALSE)="","",VLOOKUP(A1459,[10]PRIORIZADOS!$A:$L,12,FALSE)),"")</f>
        <v>ALBERTO ESCARRAGA PEÑUELA</v>
      </c>
      <c r="M1459" s="71">
        <f>IFERROR(IF(VLOOKUP(A1459,[10]PRIORIZADOS!$A:$M,13,FALSE)="","",VLOOKUP(A1459,[10]PRIORIZADOS!$A:$M,13,FALSE)),"")</f>
        <v>45818</v>
      </c>
      <c r="N1459" s="71" t="str">
        <f>IFERROR(IF(VLOOKUP(A1459,[10]PRIORIZADOS!$A:$N,14,FALSE)="","",VLOOKUP(A1459,[10]PRIORIZADOS!$A:$N,14,FALSE)),"")</f>
        <v>23/07/2025</v>
      </c>
      <c r="O1459" s="71" t="str">
        <f>IFERROR(IF(VLOOKUP(A1459,[10]PRIORIZADOS!$A:$O,15,FALSE)="","",VLOOKUP(A1459,[10]PRIORIZADOS!$A:$O,15,FALSE)),"")</f>
        <v>23/07/2025</v>
      </c>
      <c r="P1459" s="11" t="str">
        <f>IFERROR(IF(VLOOKUP(A1459,[10]PRIORIZADOS!$A:$P,16,FALSE)="","",VLOOKUP(A1459,[10]PRIORIZADOS!$A:$P,16,FALSE)),"")</f>
        <v>Visitas de evaluación con fines de mejoramiento</v>
      </c>
      <c r="Q1459" s="107" t="s">
        <v>350</v>
      </c>
      <c r="R1459" s="11" t="str">
        <f>IFERROR(IF(VLOOKUP(A1459,[10]PRIORIZADOS!$A:$R,18,FALSE)="","",VLOOKUP(A1459,[10]PRIORIZADOS!$A:$R,18,FALSE)),"")</f>
        <v>El MC tiene buena parte de los elementos de ley. No se encotraron evidencias de haber sido ajustado por la comunidad educativa ni aprobados sus ajustes por el Consejo Directivo.</v>
      </c>
      <c r="S1459" s="11" t="str">
        <f>IFERROR(IF(VLOOKUP(A1459,[10]PRIORIZADOS!$A:$S,19,FALSE)="","",VLOOKUP(A1459,[10]PRIORIZADOS!$A:$S,19,FALSE)),"")</f>
        <v>Dejar constancia en actas de la participación de padres, docentes, estudiantes y adminitrativos en los ajustes al MC. Aprobar los ajuste en reunión del CD</v>
      </c>
      <c r="T1459" s="70" t="str">
        <f>IFERROR(IF(VLOOKUP(A1459,[10]PRIORIZADOS!$A:$T,20,FALSE)="","",VLOOKUP(A1459,[10]PRIORIZADOS!$A:$T,20,FALSE)),"")</f>
        <v>Si</v>
      </c>
      <c r="U1459" s="11" t="str">
        <f>IFERROR(IF(VLOOKUP(A1459,[10]PRIORIZADOS!$A:$U,21,FALSE)="","",VLOOKUP(A1459,[10]PRIORIZADOS!$A:$U,21,FALSE)),"")</f>
        <v>Verifiación de la presentación del plan de mejoramiento el 23 de agosto de 2025 y sendos avances: el 20 de noviembre de 2025 y el 15 de mayo de 2026.</v>
      </c>
    </row>
    <row r="1460" spans="1:21" s="1" customFormat="1" ht="48">
      <c r="A1460" s="69">
        <f>IF([10]PRIORIZADOS!A74="","",[10]PRIORIZADOS!A74)</f>
        <v>1402</v>
      </c>
      <c r="B1460" s="70">
        <f>IFERROR(IF(VLOOKUP(A1460,[10]PRIORIZADOS!$A:$B,2,FALSE)="","",VLOOKUP(A1460,[10]PRIORIZADOS!$A:$B,2,FALSE)),"")</f>
        <v>11</v>
      </c>
      <c r="C1460" s="11" t="str">
        <f>IFERROR(IF(VLOOKUP(A1460,[10]PRIORIZADOS!$A:$C,3,FALSE)="","",VLOOKUP(A1460,[10]PRIORIZADOS!$A:$C,3,FALSE)),"")</f>
        <v>PUENTE ARANDA</v>
      </c>
      <c r="D1460" s="11" t="str">
        <f>IFERROR(IF(VLOOKUP(A1460,[10]PRIORIZADOS!$A:$D,4,FALSE)="","",VLOOKUP(A1460,[10]PRIORIZADOS!$A:$D,4,FALSE)),"")</f>
        <v>PRIVADO</v>
      </c>
      <c r="E1460" s="11" t="str">
        <f>IFERROR(IF(VLOOKUP(A1460,[10]PRIORIZADOS!$A:$E,5,FALSE)="","",VLOOKUP(A1460,[10]PRIORIZADOS!$A:$E,5,FALSE)),"")</f>
        <v>Educación Inicial</v>
      </c>
      <c r="F1460" s="11" t="str">
        <f>IFERROR(IF(VLOOKUP(A1460,[10]PRIORIZADOS!$A:$F,6,FALSE)="","",VLOOKUP(A1460,[10]PRIORIZADOS!$A:$F,6,FALSE)),"")</f>
        <v>JARDIN_PSICOPEDAGOGICO_PALOMITOS_TRAVIESOS</v>
      </c>
      <c r="G1460" s="11" t="str">
        <f>IFERROR(IF(VLOOKUP(A1460,[10]PRIORIZADOS!$A:$G,7,FALSE)="","",VLOOKUP(A1460,[10]PRIORIZADOS!$A:$G,7,FALSE)),"")</f>
        <v>JARDIN PSICOPEDAGOGICO PALOMITOS TRAVIESOS</v>
      </c>
      <c r="H1460" s="11" t="str">
        <f>IFERROR(IF(VLOOKUP(A1460,[10]PRIORIZADOS!$A:$H,8,FALSE)="","",VLOOKUP(A1460,[10]PRIORIZADOS!$A:$H,8,FALSE)),"")</f>
        <v>Autoevaluación Institucional y Pruebas SABER 11</v>
      </c>
      <c r="I1460" s="11" t="str">
        <f>IFERROR(IF(VLOOKUP(A1460,[10]PRIORIZADOS!$A:$I,9,FALSE)="","",VLOOKUP(A1460,[10]PRIORIZADOS!$A:$I,9,FALSE)),"")</f>
        <v>EVALUACIÓN_CON_FINES_DE_MEJORAMIENTO.</v>
      </c>
      <c r="J1460" s="11" t="str">
        <f>IFERROR(IF(VLOOKUP(A1460,[10]PRIORIZADOS!$A:$J,10,FALSE)="","",VLOOKUP(A1460,[10]PRIORIZADOS!$A:$J,10,FALSE)),"")</f>
        <v>Revisar la actualización, socialización e implementación del Sistema Institucional de Evaluación de Estudiantes - SIEE, en articulación con la actualización del PEI y la normatividad vigente.</v>
      </c>
      <c r="K1460" s="11" t="str">
        <f>IFERROR(IF(VLOOKUP(A1460,[10]PRIORIZADOS!$A:$K,11,FALSE)="","",VLOOKUP(A1460,[10]PRIORIZADOS!$A:$K,11,FALSE)),"")</f>
        <v>IGNACIO ABDÓN MONTENEGRO ALDANA</v>
      </c>
      <c r="L1460" s="11" t="str">
        <f>IFERROR(IF(VLOOKUP(A1460,[10]PRIORIZADOS!$A:$L,12,FALSE)="","",VLOOKUP(A1460,[10]PRIORIZADOS!$A:$L,12,FALSE)),"")</f>
        <v>ALBERTO ESCARRAGA PEÑUELA</v>
      </c>
      <c r="M1460" s="71">
        <f>IFERROR(IF(VLOOKUP(A1460,[10]PRIORIZADOS!$A:$M,13,FALSE)="","",VLOOKUP(A1460,[10]PRIORIZADOS!$A:$M,13,FALSE)),"")</f>
        <v>45818</v>
      </c>
      <c r="N1460" s="71" t="str">
        <f>IFERROR(IF(VLOOKUP(A1460,[10]PRIORIZADOS!$A:$N,14,FALSE)="","",VLOOKUP(A1460,[10]PRIORIZADOS!$A:$N,14,FALSE)),"")</f>
        <v>23/07/2025</v>
      </c>
      <c r="O1460" s="71" t="str">
        <f>IFERROR(IF(VLOOKUP(A1460,[10]PRIORIZADOS!$A:$O,15,FALSE)="","",VLOOKUP(A1460,[10]PRIORIZADOS!$A:$O,15,FALSE)),"")</f>
        <v>23/07/2025</v>
      </c>
      <c r="P1460" s="11" t="str">
        <f>IFERROR(IF(VLOOKUP(A1460,[10]PRIORIZADOS!$A:$P,16,FALSE)="","",VLOOKUP(A1460,[10]PRIORIZADOS!$A:$P,16,FALSE)),"")</f>
        <v>Visitas de evaluación con fines de mejoramiento</v>
      </c>
      <c r="Q1460" s="107" t="s">
        <v>350</v>
      </c>
      <c r="R1460" s="11" t="str">
        <f>IFERROR(IF(VLOOKUP(A1460,[10]PRIORIZADOS!$A:$R,18,FALSE)="","",VLOOKUP(A1460,[10]PRIORIZADOS!$A:$R,18,FALSE)),"")</f>
        <v>El SIEE no se encuentra estructurado; sin embargo, a los estudiantes se les realiza seguimiento, evaluación y promoción.</v>
      </c>
      <c r="S1460" s="11" t="str">
        <f>IFERROR(IF(VLOOKUP(A1460,[10]PRIORIZADOS!$A:$S,19,FALSE)="","",VLOOKUP(A1460,[10]PRIORIZADOS!$A:$S,19,FALSE)),"")</f>
        <v>Elaborar el SIEE adaptado al nivel preescolar.</v>
      </c>
      <c r="T1460" s="70" t="str">
        <f>IFERROR(IF(VLOOKUP(A1460,[10]PRIORIZADOS!$A:$T,20,FALSE)="","",VLOOKUP(A1460,[10]PRIORIZADOS!$A:$T,20,FALSE)),"")</f>
        <v>Si</v>
      </c>
      <c r="U1460" s="11" t="str">
        <f>IFERROR(IF(VLOOKUP(A1460,[10]PRIORIZADOS!$A:$U,21,FALSE)="","",VLOOKUP(A1460,[10]PRIORIZADOS!$A:$U,21,FALSE)),"")</f>
        <v>Verificación de la presentación del plan de mejoramiento el 23 de agosto de 2025 y sendos avances: el 20 de noviembre de 2025 y el 15 de mayo de 2026.</v>
      </c>
    </row>
    <row r="1461" spans="1:21" s="1" customFormat="1" ht="48">
      <c r="A1461" s="69">
        <f>IF([10]PRIORIZADOS!A75="","",[10]PRIORIZADOS!A75)</f>
        <v>1403</v>
      </c>
      <c r="B1461" s="70">
        <f>IFERROR(IF(VLOOKUP(A1461,[10]PRIORIZADOS!$A:$B,2,FALSE)="","",VLOOKUP(A1461,[10]PRIORIZADOS!$A:$B,2,FALSE)),"")</f>
        <v>11</v>
      </c>
      <c r="C1461" s="11" t="str">
        <f>IFERROR(IF(VLOOKUP(A1461,[10]PRIORIZADOS!$A:$C,3,FALSE)="","",VLOOKUP(A1461,[10]PRIORIZADOS!$A:$C,3,FALSE)),"")</f>
        <v>PUENTE ARANDA</v>
      </c>
      <c r="D1461" s="11" t="str">
        <f>IFERROR(IF(VLOOKUP(A1461,[10]PRIORIZADOS!$A:$D,4,FALSE)="","",VLOOKUP(A1461,[10]PRIORIZADOS!$A:$D,4,FALSE)),"")</f>
        <v>PRIVADO</v>
      </c>
      <c r="E1461" s="11" t="str">
        <f>IFERROR(IF(VLOOKUP(A1461,[10]PRIORIZADOS!$A:$E,5,FALSE)="","",VLOOKUP(A1461,[10]PRIORIZADOS!$A:$E,5,FALSE)),"")</f>
        <v>Educación Inicial</v>
      </c>
      <c r="F1461" s="11" t="str">
        <f>IFERROR(IF(VLOOKUP(A1461,[10]PRIORIZADOS!$A:$F,6,FALSE)="","",VLOOKUP(A1461,[10]PRIORIZADOS!$A:$F,6,FALSE)),"")</f>
        <v>JARDIN_PSICOPEDAGOGICO_PALOMITOS_TRAVIESOS</v>
      </c>
      <c r="G1461" s="11" t="str">
        <f>IFERROR(IF(VLOOKUP(A1461,[10]PRIORIZADOS!$A:$G,7,FALSE)="","",VLOOKUP(A1461,[10]PRIORIZADOS!$A:$G,7,FALSE)),"")</f>
        <v>JARDIN PSICOPEDAGOGICO PALOMITOS TRAVIESOS</v>
      </c>
      <c r="H1461" s="11" t="str">
        <f>IFERROR(IF(VLOOKUP(A1461,[10]PRIORIZADOS!$A:$H,8,FALSE)="","",VLOOKUP(A1461,[10]PRIORIZADOS!$A:$H,8,FALSE)),"")</f>
        <v>Autoevaluación Institucional y Pruebas SABER 11</v>
      </c>
      <c r="I1461" s="11" t="str">
        <f>IFERROR(IF(VLOOKUP(A1461,[10]PRIORIZADOS!$A:$I,9,FALSE)="","",VLOOKUP(A1461,[10]PRIORIZADOS!$A:$I,9,FALSE)),"")</f>
        <v>EVALUACIÓN_CON_FINES_DE_MEJORAMIENTO.</v>
      </c>
      <c r="J1461" s="11" t="str">
        <f>IFERROR(IF(VLOOKUP(A1461,[10]PRIORIZADOS!$A:$J,10,FALSE)="","",VLOOKUP(A1461,[10]PRIORIZADOS!$A:$J,10,FALSE)),"")</f>
        <v>Revisar el calendario escolar, jornada escolar, la intensidad horaria mínima anual en cada nivel y las modificaciones que se realicen al mismo, de acuerdo con lo previsto en la normatividad vigente.</v>
      </c>
      <c r="K1461" s="11" t="str">
        <f>IFERROR(IF(VLOOKUP(A1461,[10]PRIORIZADOS!$A:$K,11,FALSE)="","",VLOOKUP(A1461,[10]PRIORIZADOS!$A:$K,11,FALSE)),"")</f>
        <v>IGNACIO ABDÓN MONTENEGRO ALDANA</v>
      </c>
      <c r="L1461" s="11" t="str">
        <f>IFERROR(IF(VLOOKUP(A1461,[10]PRIORIZADOS!$A:$L,12,FALSE)="","",VLOOKUP(A1461,[10]PRIORIZADOS!$A:$L,12,FALSE)),"")</f>
        <v>ALBERTO ESCARRAGA PEÑUELA</v>
      </c>
      <c r="M1461" s="71">
        <f>IFERROR(IF(VLOOKUP(A1461,[10]PRIORIZADOS!$A:$M,13,FALSE)="","",VLOOKUP(A1461,[10]PRIORIZADOS!$A:$M,13,FALSE)),"")</f>
        <v>45818</v>
      </c>
      <c r="N1461" s="71">
        <f>IFERROR(IF(VLOOKUP(A1461,[10]PRIORIZADOS!$A:$N,14,FALSE)="","",VLOOKUP(A1461,[10]PRIORIZADOS!$A:$N,14,FALSE)),"")</f>
        <v>45861</v>
      </c>
      <c r="O1461" s="71">
        <f>IFERROR(IF(VLOOKUP(A1461,[10]PRIORIZADOS!$A:$O,15,FALSE)="","",VLOOKUP(A1461,[10]PRIORIZADOS!$A:$O,15,FALSE)),"")</f>
        <v>45861</v>
      </c>
      <c r="P1461" s="11" t="str">
        <f>IFERROR(IF(VLOOKUP(A1461,[10]PRIORIZADOS!$A:$P,16,FALSE)="","",VLOOKUP(A1461,[10]PRIORIZADOS!$A:$P,16,FALSE)),"")</f>
        <v>Visitas de evaluación con fines de mejoramiento</v>
      </c>
      <c r="Q1461" s="107" t="s">
        <v>350</v>
      </c>
      <c r="R1461" s="11" t="str">
        <f>IFERROR(IF(VLOOKUP(A1461,[10]PRIORIZADOS!$A:$R,18,FALSE)="","",VLOOKUP(A1461,[10]PRIORIZADOS!$A:$R,18,FALSE)),"")</f>
        <v>La institución cumple con el calendario escolar y la intensidad horaria mínima.</v>
      </c>
      <c r="S1461" s="11" t="str">
        <f>IFERROR(IF(VLOOKUP(A1461,[10]PRIORIZADOS!$A:$S,19,FALSE)="","",VLOOKUP(A1461,[10]PRIORIZADOS!$A:$S,19,FALSE)),"")</f>
        <v>Poner en fundionamiento los órganos de gobierno escolar y demás instancias de participación. Dejar constancia en actas de las reuniones realizadas.</v>
      </c>
      <c r="T1461" s="70" t="str">
        <f>IFERROR(IF(VLOOKUP(A1461,[10]PRIORIZADOS!$A:$T,20,FALSE)="","",VLOOKUP(A1461,[10]PRIORIZADOS!$A:$T,20,FALSE)),"")</f>
        <v>No</v>
      </c>
      <c r="U1461" s="11" t="str">
        <f>IFERROR(IF(VLOOKUP(A1461,[10]PRIORIZADOS!$A:$U,21,FALSE)="","",VLOOKUP(A1461,[10]PRIORIZADOS!$A:$U,21,FALSE)),"")</f>
        <v>Continuar recordando en reuniones el cumplimiento del calendario escolar y de la intensidad horaria mínima.</v>
      </c>
    </row>
    <row r="1462" spans="1:21" s="1" customFormat="1" ht="72">
      <c r="A1462" s="69">
        <f>IF([10]PRIORIZADOS!A76="","",[10]PRIORIZADOS!A76)</f>
        <v>1404</v>
      </c>
      <c r="B1462" s="70">
        <f>IFERROR(IF(VLOOKUP(A1462,[10]PRIORIZADOS!$A:$B,2,FALSE)="","",VLOOKUP(A1462,[10]PRIORIZADOS!$A:$B,2,FALSE)),"")</f>
        <v>11</v>
      </c>
      <c r="C1462" s="11" t="str">
        <f>IFERROR(IF(VLOOKUP(A1462,[10]PRIORIZADOS!$A:$C,3,FALSE)="","",VLOOKUP(A1462,[10]PRIORIZADOS!$A:$C,3,FALSE)),"")</f>
        <v>PUENTE ARANDA</v>
      </c>
      <c r="D1462" s="11" t="str">
        <f>IFERROR(IF(VLOOKUP(A1462,[10]PRIORIZADOS!$A:$D,4,FALSE)="","",VLOOKUP(A1462,[10]PRIORIZADOS!$A:$D,4,FALSE)),"")</f>
        <v>PRIVADO</v>
      </c>
      <c r="E1462" s="11" t="str">
        <f>IFERROR(IF(VLOOKUP(A1462,[10]PRIORIZADOS!$A:$E,5,FALSE)="","",VLOOKUP(A1462,[10]PRIORIZADOS!$A:$E,5,FALSE)),"")</f>
        <v>Educación Inicial</v>
      </c>
      <c r="F1462" s="11" t="str">
        <f>IFERROR(IF(VLOOKUP(A1462,[10]PRIORIZADOS!$A:$F,6,FALSE)="","",VLOOKUP(A1462,[10]PRIORIZADOS!$A:$F,6,FALSE)),"")</f>
        <v>JARDIN_PSICOPEDAGOGICO_PALOMITOS_TRAVIESOS</v>
      </c>
      <c r="G1462" s="11" t="str">
        <f>IFERROR(IF(VLOOKUP(A1462,[10]PRIORIZADOS!$A:$G,7,FALSE)="","",VLOOKUP(A1462,[10]PRIORIZADOS!$A:$G,7,FALSE)),"")</f>
        <v>JARDIN PSICOPEDAGOGICO PALOMITOS TRAVIESOS</v>
      </c>
      <c r="H1462" s="11" t="str">
        <f>IFERROR(IF(VLOOKUP(A1462,[10]PRIORIZADOS!$A:$H,8,FALSE)="","",VLOOKUP(A1462,[10]PRIORIZADOS!$A:$H,8,FALSE)),"")</f>
        <v>Autoevaluación Institucional y Pruebas SABER 11</v>
      </c>
      <c r="I1462" s="11" t="str">
        <f>IFERROR(IF(VLOOKUP(A1462,[10]PRIORIZADOS!$A:$I,9,FALSE)="","",VLOOKUP(A1462,[10]PRIORIZADOS!$A:$I,9,FALSE)),"")</f>
        <v>EVALUACIÓN_CON_FINES_DE_MEJORAMIENTO.</v>
      </c>
      <c r="J1462" s="11" t="str">
        <f>IFERROR(IF(VLOOKUP(A1462,[10]PRIORIZADOS!$A:$J,10,FALSE)="","",VLOOKUP(A1462,[10]PRIORIZADOS!$A:$J,10,FALSE)),"")</f>
        <v>Verificar el funcionamiento del Gobierno Escolar e instancias de participación con base en la información sobre conformación reportada por la institución educativa.</v>
      </c>
      <c r="K1462" s="11" t="str">
        <f>IFERROR(IF(VLOOKUP(A1462,[10]PRIORIZADOS!$A:$K,11,FALSE)="","",VLOOKUP(A1462,[10]PRIORIZADOS!$A:$K,11,FALSE)),"")</f>
        <v>IGNACIO ABDÓN MONTENEGRO ALDANA</v>
      </c>
      <c r="L1462" s="11" t="str">
        <f>IFERROR(IF(VLOOKUP(A1462,[10]PRIORIZADOS!$A:$L,12,FALSE)="","",VLOOKUP(A1462,[10]PRIORIZADOS!$A:$L,12,FALSE)),"")</f>
        <v>ALBERTO ESCARRAGA PEÑUELA</v>
      </c>
      <c r="M1462" s="71">
        <f>IFERROR(IF(VLOOKUP(A1462,[10]PRIORIZADOS!$A:$M,13,FALSE)="","",VLOOKUP(A1462,[10]PRIORIZADOS!$A:$M,13,FALSE)),"")</f>
        <v>45818</v>
      </c>
      <c r="N1462" s="71" t="str">
        <f>IFERROR(IF(VLOOKUP(A1462,[10]PRIORIZADOS!$A:$N,14,FALSE)="","",VLOOKUP(A1462,[10]PRIORIZADOS!$A:$N,14,FALSE)),"")</f>
        <v>23/07/2025</v>
      </c>
      <c r="O1462" s="71" t="str">
        <f>IFERROR(IF(VLOOKUP(A1462,[10]PRIORIZADOS!$A:$O,15,FALSE)="","",VLOOKUP(A1462,[10]PRIORIZADOS!$A:$O,15,FALSE)),"")</f>
        <v>23/07/2025</v>
      </c>
      <c r="P1462" s="11" t="str">
        <f>IFERROR(IF(VLOOKUP(A1462,[10]PRIORIZADOS!$A:$P,16,FALSE)="","",VLOOKUP(A1462,[10]PRIORIZADOS!$A:$P,16,FALSE)),"")</f>
        <v>Visitas de evaluación con fines de mejoramiento</v>
      </c>
      <c r="Q1462" s="107" t="s">
        <v>350</v>
      </c>
      <c r="R1462" s="11" t="str">
        <f>IFERROR(IF(VLOOKUP(A1462,[10]PRIORIZADOS!$A:$R,18,FALSE)="","",VLOOKUP(A1462,[10]PRIORIZADOS!$A:$R,18,FALSE)),"")</f>
        <v>El Jardín cumplió con los requerimientos realizados por el ELIV, relacionados con ajustes a la conformación de los órganos de gobierno escolar y demás instancias de participación. Sin embargo, no se encontraron evidencias de reuniones.</v>
      </c>
      <c r="S1462" s="11" t="str">
        <f>IFERROR(IF(VLOOKUP(A1462,[10]PRIORIZADOS!$A:$S,19,FALSE)="","",VLOOKUP(A1462,[10]PRIORIZADOS!$A:$S,19,FALSE)),"")</f>
        <v>Poner en funcionamiento los órganos de gobierno escolar y demás instancias de participación. Dejar constancia en actas de las reuniones realizadas.</v>
      </c>
      <c r="T1462" s="70" t="str">
        <f>IFERROR(IF(VLOOKUP(A1462,[10]PRIORIZADOS!$A:$T,20,FALSE)="","",VLOOKUP(A1462,[10]PRIORIZADOS!$A:$T,20,FALSE)),"")</f>
        <v>Si</v>
      </c>
      <c r="U1462" s="11" t="str">
        <f>IFERROR(IF(VLOOKUP(A1462,[10]PRIORIZADOS!$A:$U,21,FALSE)="","",VLOOKUP(A1462,[10]PRIORIZADOS!$A:$U,21,FALSE)),"")</f>
        <v>Verificación de la presentación del plan de mejoramiento el 23 de agosto de 2025 y sendos avances: el 20 de noviembre de 2025 y el 15 de mayo de 2026.</v>
      </c>
    </row>
    <row r="1463" spans="1:21" s="1" customFormat="1" ht="72">
      <c r="A1463" s="69">
        <f>IF([10]PRIORIZADOS!A77="","",[10]PRIORIZADOS!A77)</f>
        <v>1405</v>
      </c>
      <c r="B1463" s="70">
        <f>IFERROR(IF(VLOOKUP(A1463,[10]PRIORIZADOS!$A:$B,2,FALSE)="","",VLOOKUP(A1463,[10]PRIORIZADOS!$A:$B,2,FALSE)),"")</f>
        <v>11</v>
      </c>
      <c r="C1463" s="11" t="str">
        <f>IFERROR(IF(VLOOKUP(A1463,[10]PRIORIZADOS!$A:$C,3,FALSE)="","",VLOOKUP(A1463,[10]PRIORIZADOS!$A:$C,3,FALSE)),"")</f>
        <v>PUENTE ARANDA</v>
      </c>
      <c r="D1463" s="11" t="str">
        <f>IFERROR(IF(VLOOKUP(A1463,[10]PRIORIZADOS!$A:$D,4,FALSE)="","",VLOOKUP(A1463,[10]PRIORIZADOS!$A:$D,4,FALSE)),"")</f>
        <v>PRIVADO</v>
      </c>
      <c r="E1463" s="11" t="str">
        <f>IFERROR(IF(VLOOKUP(A1463,[10]PRIORIZADOS!$A:$E,5,FALSE)="","",VLOOKUP(A1463,[10]PRIORIZADOS!$A:$E,5,FALSE)),"")</f>
        <v>Educación Inicial</v>
      </c>
      <c r="F1463" s="11" t="str">
        <f>IFERROR(IF(VLOOKUP(A1463,[10]PRIORIZADOS!$A:$F,6,FALSE)="","",VLOOKUP(A1463,[10]PRIORIZADOS!$A:$F,6,FALSE)),"")</f>
        <v>JARDIN_PSICOPEDAGOGICO_PALOMITOS_TRAVIESOS</v>
      </c>
      <c r="G1463" s="11" t="str">
        <f>IFERROR(IF(VLOOKUP(A1463,[10]PRIORIZADOS!$A:$G,7,FALSE)="","",VLOOKUP(A1463,[10]PRIORIZADOS!$A:$G,7,FALSE)),"")</f>
        <v>JARDIN PSICOPEDAGOGICO PALOMITOS TRAVIESOS</v>
      </c>
      <c r="H1463" s="11" t="str">
        <f>IFERROR(IF(VLOOKUP(A1463,[10]PRIORIZADOS!$A:$H,8,FALSE)="","",VLOOKUP(A1463,[10]PRIORIZADOS!$A:$H,8,FALSE)),"")</f>
        <v>Autoevaluación Institucional y Pruebas SABER 11</v>
      </c>
      <c r="I1463" s="11" t="str">
        <f>IFERROR(IF(VLOOKUP(A1463,[10]PRIORIZADOS!$A:$I,9,FALSE)="","",VLOOKUP(A1463,[10]PRIORIZADOS!$A:$I,9,FALSE)),"")</f>
        <v>EVALUACIÓN_CON_FINES_DE_MEJORAMIENTO.</v>
      </c>
      <c r="J1463" s="11" t="str">
        <f>IFERROR(IF(VLOOKUP(A1463,[10]PRIORIZADOS!$A:$J,10,FALSE)="","",VLOOKUP(A1463,[10]PRIORIZADOS!$A:$J,10,FALSE)),"")</f>
        <v>Verificar las condiciones en cuanto a: la estructura administrativa, condiciones de la planta física y medios educativos adecuados.</v>
      </c>
      <c r="K1463" s="11" t="str">
        <f>IFERROR(IF(VLOOKUP(A1463,[10]PRIORIZADOS!$A:$K,11,FALSE)="","",VLOOKUP(A1463,[10]PRIORIZADOS!$A:$K,11,FALSE)),"")</f>
        <v>IGNACIO ABDÓN MONTENEGRO ALDANA</v>
      </c>
      <c r="L1463" s="11" t="str">
        <f>IFERROR(IF(VLOOKUP(A1463,[10]PRIORIZADOS!$A:$L,12,FALSE)="","",VLOOKUP(A1463,[10]PRIORIZADOS!$A:$L,12,FALSE)),"")</f>
        <v>ALBERTO ESCARRAGA PEÑUELA</v>
      </c>
      <c r="M1463" s="71">
        <f>IFERROR(IF(VLOOKUP(A1463,[10]PRIORIZADOS!$A:$M,13,FALSE)="","",VLOOKUP(A1463,[10]PRIORIZADOS!$A:$M,13,FALSE)),"")</f>
        <v>45818</v>
      </c>
      <c r="N1463" s="71">
        <f>IFERROR(IF(VLOOKUP(A1463,[10]PRIORIZADOS!$A:$N,14,FALSE)="","",VLOOKUP(A1463,[10]PRIORIZADOS!$A:$N,14,FALSE)),"")</f>
        <v>45861</v>
      </c>
      <c r="O1463" s="71">
        <f>IFERROR(IF(VLOOKUP(A1463,[10]PRIORIZADOS!$A:$O,15,FALSE)="","",VLOOKUP(A1463,[10]PRIORIZADOS!$A:$O,15,FALSE)),"")</f>
        <v>45861</v>
      </c>
      <c r="P1463" s="11" t="str">
        <f>IFERROR(IF(VLOOKUP(A1463,[10]PRIORIZADOS!$A:$P,16,FALSE)="","",VLOOKUP(A1463,[10]PRIORIZADOS!$A:$P,16,FALSE)),"")</f>
        <v>Visitas de evaluación con fines de mejoramiento</v>
      </c>
      <c r="Q1463" s="107" t="s">
        <v>350</v>
      </c>
      <c r="R1463" s="11" t="str">
        <f>IFERROR(IF(VLOOKUP(A1463,[10]PRIORIZADOS!$A:$R,18,FALSE)="","",VLOOKUP(A1463,[10]PRIORIZADOS!$A:$R,18,FALSE)),"")</f>
        <v>El Jardín dispone de organigrama y manual de funciones, planta física suficiente y medios educativos adecuados; sin embargo, algunos salones no tienen suficiente iluminación natural ni ventilación cruzada.</v>
      </c>
      <c r="S1463" s="11" t="str">
        <f>IFERROR(IF(VLOOKUP(A1463,[10]PRIORIZADOS!$A:$S,19,FALSE)="","",VLOOKUP(A1463,[10]PRIORIZADOS!$A:$S,19,FALSE)),"")</f>
        <v>Eliminar en el manual de funciones, las funciones de estudiantes y padres por no ser funcionarios. Mejorar las condiciones de iluminación natural y ventilación cruzada.</v>
      </c>
      <c r="T1463" s="70" t="str">
        <f>IFERROR(IF(VLOOKUP(A1463,[10]PRIORIZADOS!$A:$T,20,FALSE)="","",VLOOKUP(A1463,[10]PRIORIZADOS!$A:$T,20,FALSE)),"")</f>
        <v>Si</v>
      </c>
      <c r="U1463" s="11" t="str">
        <f>IFERROR(IF(VLOOKUP(A1463,[10]PRIORIZADOS!$A:$U,21,FALSE)="","",VLOOKUP(A1463,[10]PRIORIZADOS!$A:$U,21,FALSE)),"")</f>
        <v>Verificación de la presentación del plan de mejoramiento el 23 de agosto de 2025 y sendos avances: el 20 de noviembre de 2025 y el 15 de mayo de 2026.</v>
      </c>
    </row>
    <row r="1464" spans="1:21" s="1" customFormat="1" ht="96">
      <c r="A1464" s="69">
        <f>IF([10]PRIORIZADOS!A78="","",[10]PRIORIZADOS!A78)</f>
        <v>1406</v>
      </c>
      <c r="B1464" s="70">
        <f>IFERROR(IF(VLOOKUP(A1464,[10]PRIORIZADOS!$A:$B,2,FALSE)="","",VLOOKUP(A1464,[10]PRIORIZADOS!$A:$B,2,FALSE)),"")</f>
        <v>12</v>
      </c>
      <c r="C1464" s="11" t="str">
        <f>IFERROR(IF(VLOOKUP(A1464,[10]PRIORIZADOS!$A:$C,3,FALSE)="","",VLOOKUP(A1464,[10]PRIORIZADOS!$A:$C,3,FALSE)),"")</f>
        <v>PUENTE ARANDA</v>
      </c>
      <c r="D1464" s="11" t="str">
        <f>IFERROR(IF(VLOOKUP(A1464,[10]PRIORIZADOS!$A:$D,4,FALSE)="","",VLOOKUP(A1464,[10]PRIORIZADOS!$A:$D,4,FALSE)),"")</f>
        <v>OFICIAL</v>
      </c>
      <c r="E1464" s="11" t="str">
        <f>IFERROR(IF(VLOOKUP(A1464,[10]PRIORIZADOS!$A:$E,5,FALSE)="","",VLOOKUP(A1464,[10]PRIORIZADOS!$A:$E,5,FALSE)),"")</f>
        <v>EPBM</v>
      </c>
      <c r="F1464" s="11" t="str">
        <f>IFERROR(IF(VLOOKUP(A1464,[10]PRIORIZADOS!$A:$F,6,FALSE)="","",VLOOKUP(A1464,[10]PRIORIZADOS!$A:$F,6,FALSE)),"")</f>
        <v>COLEGIO_SILVERIA_ESPINOSA_DE_RENDON_IED</v>
      </c>
      <c r="G1464" s="11" t="str">
        <f>IFERROR(IF(VLOOKUP(A1464,[10]PRIORIZADOS!$A:$G,7,FALSE)="","",VLOOKUP(A1464,[10]PRIORIZADOS!$A:$G,7,FALSE)),"")</f>
        <v>COLEGIO_SILVERIA_ESPINOSA_DE_RENDON_IED</v>
      </c>
      <c r="H1464" s="11" t="str">
        <f>IFERROR(IF(VLOOKUP(A1464,[10]PRIORIZADOS!$A:$H,8,FALSE)="","",VLOOKUP(A1464,[10]PRIORIZADOS!$A:$H,8,FALSE)),"")</f>
        <v>Convivencia escolar</v>
      </c>
      <c r="I1464" s="11" t="str">
        <f>IFERROR(IF(VLOOKUP(A1464,[10]PRIORIZADOS!$A:$I,9,FALSE)="","",VLOOKUP(A1464,[10]PRIORIZADOS!$A:$I,9,FALSE)),"")</f>
        <v>SEGUIMIENTO_Y_SUPERVISIÓN.</v>
      </c>
      <c r="J1464" s="11" t="str">
        <f>IFERROR(IF(VLOOKUP(A1464,[10]PRIORIZADOS!$A:$J,10,FALSE)="","",VLOOKUP(A1464,[10]PRIORIZADOS!$A:$J,10,FALSE)),"")</f>
        <v>Proponer estrategias en la formulación, verificar su elaboración y realizar seguimiento semestral al desarrollo de  las acciones establecidas en los planes de mejoramiento por pruebas SABER 11 de los establecimientos de educación formal.</v>
      </c>
      <c r="K1464" s="11" t="str">
        <f>IFERROR(IF(VLOOKUP(A1464,[10]PRIORIZADOS!$A:$K,11,FALSE)="","",VLOOKUP(A1464,[10]PRIORIZADOS!$A:$K,11,FALSE)),"")</f>
        <v>IGNACIO ABDÓN MONTENEGRO ALDANA</v>
      </c>
      <c r="L1464" s="11" t="str">
        <f>IFERROR(IF(VLOOKUP(A1464,[10]PRIORIZADOS!$A:$L,12,FALSE)="","",VLOOKUP(A1464,[10]PRIORIZADOS!$A:$L,12,FALSE)),"")</f>
        <v>OSCAR GERMAN CLAVIJO PALACIOS</v>
      </c>
      <c r="M1464" s="71">
        <f>IFERROR(IF(VLOOKUP(A1464,[10]PRIORIZADOS!$A:$M,13,FALSE)="","",VLOOKUP(A1464,[10]PRIORIZADOS!$A:$M,13,FALSE)),"")</f>
        <v>45819</v>
      </c>
      <c r="N1464" s="71">
        <f>IFERROR(IF(VLOOKUP(A1464,[10]PRIORIZADOS!$A:$N,14,FALSE)="","",VLOOKUP(A1464,[10]PRIORIZADOS!$A:$N,14,FALSE)),"")</f>
        <v>45819</v>
      </c>
      <c r="O1464" s="71">
        <f>IFERROR(IF(VLOOKUP(A1464,[10]PRIORIZADOS!$A:$O,15,FALSE)="","",VLOOKUP(A1464,[10]PRIORIZADOS!$A:$O,15,FALSE)),"")</f>
        <v>45819</v>
      </c>
      <c r="P1464" s="11" t="str">
        <f>IFERROR(IF(VLOOKUP(A1464,[10]PRIORIZADOS!$A:$P,16,FALSE)="","",VLOOKUP(A1464,[10]PRIORIZADOS!$A:$P,16,FALSE)),"")</f>
        <v>Visitas de evaluación con fines de mejoramiento</v>
      </c>
      <c r="Q1464" s="125" t="s">
        <v>351</v>
      </c>
      <c r="R1464" s="11" t="str">
        <f>IFERROR(IF(VLOOKUP(A1464,[10]PRIORIZADOS!$A:$R,18,FALSE)="","",VLOOKUP(A1464,[10]PRIORIZADOS!$A:$R,18,FALSE)),"")</f>
        <v>El Colegio ha venido mejorando en forma progresiva los resultados en las pruebas saber durante los últimos 4 años. Realiza análisis y establece planes de mejoramiento. No hay evidencias de preparación específica para los estudiantes con discapacidad ni actualizaciones curriculares derivadas de los resultados.</v>
      </c>
      <c r="S1464" s="11" t="str">
        <f>IFERROR(IF(VLOOKUP(A1464,[10]PRIORIZADOS!$A:$S,19,FALSE)="","",VLOOKUP(A1464,[10]PRIORIZADOS!$A:$S,19,FALSE)),"")</f>
        <v>Realizar ajustes a los planes de estudio y a sus desarrollos con base en los resultados de las pruebas saber. Desarrollar actividades de preparación específica para estudiante con discapacidad.</v>
      </c>
      <c r="T1464" s="70" t="str">
        <f>IFERROR(IF(VLOOKUP(A1464,[10]PRIORIZADOS!$A:$T,20,FALSE)="","",VLOOKUP(A1464,[10]PRIORIZADOS!$A:$T,20,FALSE)),"")</f>
        <v>Si</v>
      </c>
      <c r="U1464" s="11" t="str">
        <f>IFERROR(IF(VLOOKUP(A1464,[10]PRIORIZADOS!$A:$U,21,FALSE)="","",VLOOKUP(A1464,[10]PRIORIZADOS!$A:$U,21,FALSE)),"")</f>
        <v>Verificar la presentación del plan de mejoramiento el 31 de julio y los avances del 20 de noviembre</v>
      </c>
    </row>
    <row r="1465" spans="1:21" s="1" customFormat="1" ht="84">
      <c r="A1465" s="69">
        <f>IF([10]PRIORIZADOS!A79="","",[10]PRIORIZADOS!A79)</f>
        <v>1407</v>
      </c>
      <c r="B1465" s="70">
        <f>IFERROR(IF(VLOOKUP(A1465,[10]PRIORIZADOS!$A:$B,2,FALSE)="","",VLOOKUP(A1465,[10]PRIORIZADOS!$A:$B,2,FALSE)),"")</f>
        <v>12</v>
      </c>
      <c r="C1465" s="11" t="str">
        <f>IFERROR(IF(VLOOKUP(A1465,[10]PRIORIZADOS!$A:$C,3,FALSE)="","",VLOOKUP(A1465,[10]PRIORIZADOS!$A:$C,3,FALSE)),"")</f>
        <v>PUENTE ARANDA</v>
      </c>
      <c r="D1465" s="11" t="str">
        <f>IFERROR(IF(VLOOKUP(A1465,[10]PRIORIZADOS!$A:$D,4,FALSE)="","",VLOOKUP(A1465,[10]PRIORIZADOS!$A:$D,4,FALSE)),"")</f>
        <v>OFICIAL</v>
      </c>
      <c r="E1465" s="11" t="str">
        <f>IFERROR(IF(VLOOKUP(A1465,[10]PRIORIZADOS!$A:$E,5,FALSE)="","",VLOOKUP(A1465,[10]PRIORIZADOS!$A:$E,5,FALSE)),"")</f>
        <v>EPBM</v>
      </c>
      <c r="F1465" s="11" t="str">
        <f>IFERROR(IF(VLOOKUP(A1465,[10]PRIORIZADOS!$A:$F,6,FALSE)="","",VLOOKUP(A1465,[10]PRIORIZADOS!$A:$F,6,FALSE)),"")</f>
        <v>COLEGIO_SILVERIA_ESPINOSA_DE_RENDON_IED</v>
      </c>
      <c r="G1465" s="11" t="str">
        <f>IFERROR(IF(VLOOKUP(A1465,[10]PRIORIZADOS!$A:$G,7,FALSE)="","",VLOOKUP(A1465,[10]PRIORIZADOS!$A:$G,7,FALSE)),"")</f>
        <v>COLEGIO_SILVERIA_ESPINOSA_DE_RENDON_IED</v>
      </c>
      <c r="H1465" s="11" t="str">
        <f>IFERROR(IF(VLOOKUP(A1465,[10]PRIORIZADOS!$A:$H,8,FALSE)="","",VLOOKUP(A1465,[10]PRIORIZADOS!$A:$H,8,FALSE)),"")</f>
        <v>Convivencia escolar</v>
      </c>
      <c r="I1465" s="11" t="str">
        <f>IFERROR(IF(VLOOKUP(A1465,[10]PRIORIZADOS!$A:$I,9,FALSE)="","",VLOOKUP(A1465,[10]PRIORIZADOS!$A:$I,9,FALSE)),"")</f>
        <v>SEGUIMIENTO_Y_SUPERVISIÓN.</v>
      </c>
      <c r="J1465" s="11" t="str">
        <f>IFERROR(IF(VLOOKUP(A1465,[10]PRIORIZADOS!$A:$J,10,FALSE)="","",VLOOKUP(A1465,[10]PRIORIZADOS!$A:$J,10,FALSE)),"")</f>
        <v xml:space="preserve">Verificar la implementación por parte de los colegios, de acciones realizadas para la prevención y atención de las situaciones de convivencia en el entorno escolar, según lo establecido en la Directiva 01 de 2022 del MEN. </v>
      </c>
      <c r="K1465" s="11" t="str">
        <f>IFERROR(IF(VLOOKUP(A1465,[10]PRIORIZADOS!$A:$K,11,FALSE)="","",VLOOKUP(A1465,[10]PRIORIZADOS!$A:$K,11,FALSE)),"")</f>
        <v>IGNACIO ABDÓN MONTENEGRO ALDANA</v>
      </c>
      <c r="L1465" s="11" t="str">
        <f>IFERROR(IF(VLOOKUP(A1465,[10]PRIORIZADOS!$A:$L,12,FALSE)="","",VLOOKUP(A1465,[10]PRIORIZADOS!$A:$L,12,FALSE)),"")</f>
        <v>OSCAR GERMAN CLAVIJO PALACIOS</v>
      </c>
      <c r="M1465" s="71">
        <f>IFERROR(IF(VLOOKUP(A1465,[10]PRIORIZADOS!$A:$M,13,FALSE)="","",VLOOKUP(A1465,[10]PRIORIZADOS!$A:$M,13,FALSE)),"")</f>
        <v>45819</v>
      </c>
      <c r="N1465" s="71">
        <f>IFERROR(IF(VLOOKUP(A1465,[10]PRIORIZADOS!$A:$N,14,FALSE)="","",VLOOKUP(A1465,[10]PRIORIZADOS!$A:$N,14,FALSE)),"")</f>
        <v>45819</v>
      </c>
      <c r="O1465" s="71">
        <f>IFERROR(IF(VLOOKUP(A1465,[10]PRIORIZADOS!$A:$O,15,FALSE)="","",VLOOKUP(A1465,[10]PRIORIZADOS!$A:$O,15,FALSE)),"")</f>
        <v>45819</v>
      </c>
      <c r="P1465" s="11" t="str">
        <f>IFERROR(IF(VLOOKUP(A1465,[10]PRIORIZADOS!$A:$P,16,FALSE)="","",VLOOKUP(A1465,[10]PRIORIZADOS!$A:$P,16,FALSE)),"")</f>
        <v>Visitas de evaluación con fines de mejoramiento</v>
      </c>
      <c r="Q1465" s="107" t="s">
        <v>351</v>
      </c>
      <c r="R1465" s="11" t="str">
        <f>IFERROR(IF(VLOOKUP(A1465,[10]PRIORIZADOS!$A:$R,18,FALSE)="","",VLOOKUP(A1465,[10]PRIORIZADOS!$A:$R,18,FALSE)),"")</f>
        <v xml:space="preserve">Se realizan acciones de formación y prevención, mediante jornadas de formación docente, de orientación escolar a los estudiantes y de escuela de padres. Sin embargo, la atención de los casos que afectan la convivencia escolar no están suficientemente documentados. </v>
      </c>
      <c r="S1465" s="11" t="str">
        <f>IFERROR(IF(VLOOKUP(A1465,[10]PRIORIZADOS!$A:$S,19,FALSE)="","",VLOOKUP(A1465,[10]PRIORIZADOS!$A:$S,19,FALSE)),"")</f>
        <v>Elaborar el plan anual de formación docente; documentar cada paso de cada protocolo realizado para atender las situaciones.</v>
      </c>
      <c r="T1465" s="70" t="str">
        <f>IFERROR(IF(VLOOKUP(A1465,[10]PRIORIZADOS!$A:$T,20,FALSE)="","",VLOOKUP(A1465,[10]PRIORIZADOS!$A:$T,20,FALSE)),"")</f>
        <v>Si</v>
      </c>
      <c r="U1465" s="11" t="str">
        <f>IFERROR(IF(VLOOKUP(A1465,[10]PRIORIZADOS!$A:$U,21,FALSE)="","",VLOOKUP(A1465,[10]PRIORIZADOS!$A:$U,21,FALSE)),"")</f>
        <v>Verificar la presentación del plan de mejoramiento el 31 de julio y los avances del 20 de noviembre</v>
      </c>
    </row>
    <row r="1466" spans="1:21" s="1" customFormat="1" ht="72">
      <c r="A1466" s="69">
        <f>IF([10]PRIORIZADOS!A80="","",[10]PRIORIZADOS!A80)</f>
        <v>1408</v>
      </c>
      <c r="B1466" s="70">
        <f>IFERROR(IF(VLOOKUP(A1466,[10]PRIORIZADOS!$A:$B,2,FALSE)="","",VLOOKUP(A1466,[10]PRIORIZADOS!$A:$B,2,FALSE)),"")</f>
        <v>12</v>
      </c>
      <c r="C1466" s="11" t="str">
        <f>IFERROR(IF(VLOOKUP(A1466,[10]PRIORIZADOS!$A:$C,3,FALSE)="","",VLOOKUP(A1466,[10]PRIORIZADOS!$A:$C,3,FALSE)),"")</f>
        <v>PUENTE ARANDA</v>
      </c>
      <c r="D1466" s="11" t="str">
        <f>IFERROR(IF(VLOOKUP(A1466,[10]PRIORIZADOS!$A:$D,4,FALSE)="","",VLOOKUP(A1466,[10]PRIORIZADOS!$A:$D,4,FALSE)),"")</f>
        <v>OFICIAL</v>
      </c>
      <c r="E1466" s="11" t="str">
        <f>IFERROR(IF(VLOOKUP(A1466,[10]PRIORIZADOS!$A:$E,5,FALSE)="","",VLOOKUP(A1466,[10]PRIORIZADOS!$A:$E,5,FALSE)),"")</f>
        <v>EPBM</v>
      </c>
      <c r="F1466" s="11" t="str">
        <f>IFERROR(IF(VLOOKUP(A1466,[10]PRIORIZADOS!$A:$F,6,FALSE)="","",VLOOKUP(A1466,[10]PRIORIZADOS!$A:$F,6,FALSE)),"")</f>
        <v>COLEGIO_SILVERIA_ESPINOSA_DE_RENDON_IED</v>
      </c>
      <c r="G1466" s="11" t="str">
        <f>IFERROR(IF(VLOOKUP(A1466,[10]PRIORIZADOS!$A:$G,7,FALSE)="","",VLOOKUP(A1466,[10]PRIORIZADOS!$A:$G,7,FALSE)),"")</f>
        <v>COLEGIO_SILVERIA_ESPINOSA_DE_RENDON_IED</v>
      </c>
      <c r="H1466" s="11" t="str">
        <f>IFERROR(IF(VLOOKUP(A1466,[10]PRIORIZADOS!$A:$H,8,FALSE)="","",VLOOKUP(A1466,[10]PRIORIZADOS!$A:$H,8,FALSE)),"")</f>
        <v>Convivencia escolar</v>
      </c>
      <c r="I1466" s="11" t="str">
        <f>IFERROR(IF(VLOOKUP(A1466,[10]PRIORIZADOS!$A:$I,9,FALSE)="","",VLOOKUP(A1466,[10]PRIORIZADOS!$A:$I,9,FALSE)),"")</f>
        <v>SEGUIMIENTO_Y_SUPERVISIÓN.</v>
      </c>
      <c r="J1466" s="11" t="str">
        <f>IFERROR(IF(VLOOKUP(A1466,[10]PRIORIZADOS!$A:$J,10,FALSE)="","",VLOOKUP(A1466,[10]PRIORIZADOS!$A:$J,10,FALSE)),"")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66" s="11" t="str">
        <f>IFERROR(IF(VLOOKUP(A1466,[10]PRIORIZADOS!$A:$K,11,FALSE)="","",VLOOKUP(A1466,[10]PRIORIZADOS!$A:$K,11,FALSE)),"")</f>
        <v>IGNACIO ABDÓN MONTENEGRO ALDANA</v>
      </c>
      <c r="L1466" s="11" t="str">
        <f>IFERROR(IF(VLOOKUP(A1466,[10]PRIORIZADOS!$A:$L,12,FALSE)="","",VLOOKUP(A1466,[10]PRIORIZADOS!$A:$L,12,FALSE)),"")</f>
        <v>OSCAR GERMAN CLAVIJO PALACIOS</v>
      </c>
      <c r="M1466" s="71">
        <f>IFERROR(IF(VLOOKUP(A1466,[10]PRIORIZADOS!$A:$M,13,FALSE)="","",VLOOKUP(A1466,[10]PRIORIZADOS!$A:$M,13,FALSE)),"")</f>
        <v>45819</v>
      </c>
      <c r="N1466" s="71">
        <f>IFERROR(IF(VLOOKUP(A1466,[10]PRIORIZADOS!$A:$N,14,FALSE)="","",VLOOKUP(A1466,[10]PRIORIZADOS!$A:$N,14,FALSE)),"")</f>
        <v>45819</v>
      </c>
      <c r="O1466" s="71">
        <f>IFERROR(IF(VLOOKUP(A1466,[10]PRIORIZADOS!$A:$O,15,FALSE)="","",VLOOKUP(A1466,[10]PRIORIZADOS!$A:$O,15,FALSE)),"")</f>
        <v>45819</v>
      </c>
      <c r="P1466" s="11" t="str">
        <f>IFERROR(IF(VLOOKUP(A1466,[10]PRIORIZADOS!$A:$P,16,FALSE)="","",VLOOKUP(A1466,[10]PRIORIZADOS!$A:$P,16,FALSE)),"")</f>
        <v>Visitas de evaluación con fines de mejoramiento</v>
      </c>
      <c r="Q1466" s="107" t="s">
        <v>351</v>
      </c>
      <c r="R1466" s="11" t="str">
        <f>IFERROR(IF(VLOOKUP(A1466,[10]PRIORIZADOS!$A:$R,18,FALSE)="","",VLOOKUP(A1466,[10]PRIORIZADOS!$A:$R,18,FALSE)),"")</f>
        <v>Los PIAR han sido elaborados y están en permanente actualización a medida que se desarrollan y se evalúan.</v>
      </c>
      <c r="S1466" s="11" t="str">
        <f>IFERROR(IF(VLOOKUP(A1466,[10]PRIORIZADOS!$A:$S,19,FALSE)="","",VLOOKUP(A1466,[10]PRIORIZADOS!$A:$S,19,FALSE)),"")</f>
        <v>Continuar realizando la actualización y seguimiento periódico de los PIAR</v>
      </c>
      <c r="T1466" s="70" t="str">
        <f>IFERROR(IF(VLOOKUP(A1466,[10]PRIORIZADOS!$A:$T,20,FALSE)="","",VLOOKUP(A1466,[10]PRIORIZADOS!$A:$T,20,FALSE)),"")</f>
        <v>No</v>
      </c>
      <c r="U1466" s="11" t="str">
        <f>IFERROR(IF(VLOOKUP(A1466,[10]PRIORIZADOS!$A:$U,21,FALSE)="","",VLOOKUP(A1466,[10]PRIORIZADOS!$A:$U,21,FALSE)),"")</f>
        <v>Ninguna para el 2025. En 2026 volverán a revisarse los PIAR.</v>
      </c>
    </row>
    <row r="1467" spans="1:21" s="1" customFormat="1" ht="84">
      <c r="A1467" s="69">
        <f>IF([10]PRIORIZADOS!A81="","",[10]PRIORIZADOS!A81)</f>
        <v>1409</v>
      </c>
      <c r="B1467" s="70">
        <f>IFERROR(IF(VLOOKUP(A1467,[10]PRIORIZADOS!$A:$B,2,FALSE)="","",VLOOKUP(A1467,[10]PRIORIZADOS!$A:$B,2,FALSE)),"")</f>
        <v>12</v>
      </c>
      <c r="C1467" s="11" t="str">
        <f>IFERROR(IF(VLOOKUP(A1467,[10]PRIORIZADOS!$A:$C,3,FALSE)="","",VLOOKUP(A1467,[10]PRIORIZADOS!$A:$C,3,FALSE)),"")</f>
        <v>PUENTE ARANDA</v>
      </c>
      <c r="D1467" s="11" t="str">
        <f>IFERROR(IF(VLOOKUP(A1467,[10]PRIORIZADOS!$A:$D,4,FALSE)="","",VLOOKUP(A1467,[10]PRIORIZADOS!$A:$D,4,FALSE)),"")</f>
        <v>OFICIAL</v>
      </c>
      <c r="E1467" s="11" t="str">
        <f>IFERROR(IF(VLOOKUP(A1467,[10]PRIORIZADOS!$A:$E,5,FALSE)="","",VLOOKUP(A1467,[10]PRIORIZADOS!$A:$E,5,FALSE)),"")</f>
        <v>EPBM</v>
      </c>
      <c r="F1467" s="11" t="str">
        <f>IFERROR(IF(VLOOKUP(A1467,[10]PRIORIZADOS!$A:$F,6,FALSE)="","",VLOOKUP(A1467,[10]PRIORIZADOS!$A:$F,6,FALSE)),"")</f>
        <v>COLEGIO_SILVERIA_ESPINOSA_DE_RENDON_IED</v>
      </c>
      <c r="G1467" s="11" t="str">
        <f>IFERROR(IF(VLOOKUP(A1467,[10]PRIORIZADOS!$A:$G,7,FALSE)="","",VLOOKUP(A1467,[10]PRIORIZADOS!$A:$G,7,FALSE)),"")</f>
        <v>COLEGIO_SILVERIA_ESPINOSA_DE_RENDON_IED</v>
      </c>
      <c r="H1467" s="11" t="str">
        <f>IFERROR(IF(VLOOKUP(A1467,[10]PRIORIZADOS!$A:$H,8,FALSE)="","",VLOOKUP(A1467,[10]PRIORIZADOS!$A:$H,8,FALSE)),"")</f>
        <v>Convivencia escolar</v>
      </c>
      <c r="I1467" s="11" t="str">
        <f>IFERROR(IF(VLOOKUP(A1467,[10]PRIORIZADOS!$A:$I,9,FALSE)="","",VLOOKUP(A1467,[10]PRIORIZADOS!$A:$I,9,FALSE)),"")</f>
        <v>EVALUACIÓN_CON_FINES_DE_MEJORAMIENTO.</v>
      </c>
      <c r="J1467" s="11" t="str">
        <f>IFERROR(IF(VLOOKUP(A1467,[10]PRIORIZADOS!$A:$J,10,FALSE)="","",VLOOKUP(A1467,[10]PRIORIZADOS!$A:$J,10,FALSE)),"")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67" s="11" t="str">
        <f>IFERROR(IF(VLOOKUP(A1467,[10]PRIORIZADOS!$A:$K,11,FALSE)="","",VLOOKUP(A1467,[10]PRIORIZADOS!$A:$K,11,FALSE)),"")</f>
        <v>IGNACIO ABDÓN MONTENEGRO ALDANA</v>
      </c>
      <c r="L1467" s="11" t="str">
        <f>IFERROR(IF(VLOOKUP(A1467,[10]PRIORIZADOS!$A:$L,12,FALSE)="","",VLOOKUP(A1467,[10]PRIORIZADOS!$A:$L,12,FALSE)),"")</f>
        <v>OSCAR GERMAN CLAVIJO PALACIOS</v>
      </c>
      <c r="M1467" s="71">
        <f>IFERROR(IF(VLOOKUP(A1467,[10]PRIORIZADOS!$A:$M,13,FALSE)="","",VLOOKUP(A1467,[10]PRIORIZADOS!$A:$M,13,FALSE)),"")</f>
        <v>45819</v>
      </c>
      <c r="N1467" s="71">
        <f>IFERROR(IF(VLOOKUP(A1467,[10]PRIORIZADOS!$A:$N,14,FALSE)="","",VLOOKUP(A1467,[10]PRIORIZADOS!$A:$N,14,FALSE)),"")</f>
        <v>45819</v>
      </c>
      <c r="O1467" s="71">
        <f>IFERROR(IF(VLOOKUP(A1467,[10]PRIORIZADOS!$A:$O,15,FALSE)="","",VLOOKUP(A1467,[10]PRIORIZADOS!$A:$O,15,FALSE)),"")</f>
        <v>45819</v>
      </c>
      <c r="P1467" s="11" t="str">
        <f>IFERROR(IF(VLOOKUP(A1467,[10]PRIORIZADOS!$A:$P,16,FALSE)="","",VLOOKUP(A1467,[10]PRIORIZADOS!$A:$P,16,FALSE)),"")</f>
        <v>Visitas de evaluación con fines de mejoramiento</v>
      </c>
      <c r="Q1467" s="107" t="s">
        <v>351</v>
      </c>
      <c r="R1467" s="11" t="str">
        <f>IFERROR(IF(VLOOKUP(A1467,[10]PRIORIZADOS!$A:$R,18,FALSE)="","",VLOOKUP(A1467,[10]PRIORIZADOS!$A:$R,18,FALSE)),"")</f>
        <v xml:space="preserve">El MC contiene los principales elementos de ley y ha sido elaborado en forma participativa. No son visibles los enfoques inclusivo y restaurativo. La última versión es del 2017. </v>
      </c>
      <c r="S1467" s="11" t="str">
        <f>IFERROR(IF(VLOOKUP(A1467,[10]PRIORIZADOS!$A:$S,19,FALSE)="","",VLOOKUP(A1467,[10]PRIORIZADOS!$A:$S,19,FALSE)),"")</f>
        <v>Revisar el MC a la luz de la normatividad y de los enfoques restaurativo e inclusivo. Aprobar los cambios por el CD antes de finalizar el año lectivo.</v>
      </c>
      <c r="T1467" s="70" t="str">
        <f>IFERROR(IF(VLOOKUP(A1467,[10]PRIORIZADOS!$A:$T,20,FALSE)="","",VLOOKUP(A1467,[10]PRIORIZADOS!$A:$T,20,FALSE)),"")</f>
        <v>Si</v>
      </c>
      <c r="U1467" s="11" t="str">
        <f>IFERROR(IF(VLOOKUP(A1467,[10]PRIORIZADOS!$A:$U,21,FALSE)="","",VLOOKUP(A1467,[10]PRIORIZADOS!$A:$U,21,FALSE)),"")</f>
        <v>Verificar la presentación del plan de mejoramiento el 31 de julio y los avances del 20 de noviembre</v>
      </c>
    </row>
    <row r="1468" spans="1:21" s="1" customFormat="1" ht="48">
      <c r="A1468" s="69">
        <f>IF([10]PRIORIZADOS!A82="","",[10]PRIORIZADOS!A82)</f>
        <v>1410</v>
      </c>
      <c r="B1468" s="70">
        <f>IFERROR(IF(VLOOKUP(A1468,[10]PRIORIZADOS!$A:$B,2,FALSE)="","",VLOOKUP(A1468,[10]PRIORIZADOS!$A:$B,2,FALSE)),"")</f>
        <v>12</v>
      </c>
      <c r="C1468" s="11" t="str">
        <f>IFERROR(IF(VLOOKUP(A1468,[10]PRIORIZADOS!$A:$C,3,FALSE)="","",VLOOKUP(A1468,[10]PRIORIZADOS!$A:$C,3,FALSE)),"")</f>
        <v>PUENTE ARANDA</v>
      </c>
      <c r="D1468" s="11" t="str">
        <f>IFERROR(IF(VLOOKUP(A1468,[10]PRIORIZADOS!$A:$D,4,FALSE)="","",VLOOKUP(A1468,[10]PRIORIZADOS!$A:$D,4,FALSE)),"")</f>
        <v>OFICIAL</v>
      </c>
      <c r="E1468" s="11" t="str">
        <f>IFERROR(IF(VLOOKUP(A1468,[10]PRIORIZADOS!$A:$E,5,FALSE)="","",VLOOKUP(A1468,[10]PRIORIZADOS!$A:$E,5,FALSE)),"")</f>
        <v>EPBM</v>
      </c>
      <c r="F1468" s="11" t="str">
        <f>IFERROR(IF(VLOOKUP(A1468,[10]PRIORIZADOS!$A:$F,6,FALSE)="","",VLOOKUP(A1468,[10]PRIORIZADOS!$A:$F,6,FALSE)),"")</f>
        <v>COLEGIO_SILVERIA_ESPINOSA_DE_RENDON_IED</v>
      </c>
      <c r="G1468" s="11" t="str">
        <f>IFERROR(IF(VLOOKUP(A1468,[10]PRIORIZADOS!$A:$G,7,FALSE)="","",VLOOKUP(A1468,[10]PRIORIZADOS!$A:$G,7,FALSE)),"")</f>
        <v>COLEGIO_SILVERIA_ESPINOSA_DE_RENDON_IED</v>
      </c>
      <c r="H1468" s="11" t="str">
        <f>IFERROR(IF(VLOOKUP(A1468,[10]PRIORIZADOS!$A:$H,8,FALSE)="","",VLOOKUP(A1468,[10]PRIORIZADOS!$A:$H,8,FALSE)),"")</f>
        <v>Convivencia escolar</v>
      </c>
      <c r="I1468" s="11" t="str">
        <f>IFERROR(IF(VLOOKUP(A1468,[10]PRIORIZADOS!$A:$I,9,FALSE)="","",VLOOKUP(A1468,[10]PRIORIZADOS!$A:$I,9,FALSE)),"")</f>
        <v>EVALUACIÓN_CON_FINES_DE_MEJORAMIENTO.</v>
      </c>
      <c r="J1468" s="11" t="str">
        <f>IFERROR(IF(VLOOKUP(A1468,[10]PRIORIZADOS!$A:$J,10,FALSE)="","",VLOOKUP(A1468,[10]PRIORIZADOS!$A:$J,10,FALSE)),"")</f>
        <v>Revisar la actualización, socialización e implementación del Sistema Institucional de Evaluación de Estudiantes - SIEE, en articulación con la actualización del PEI y la normatividad vigente.</v>
      </c>
      <c r="K1468" s="11" t="str">
        <f>IFERROR(IF(VLOOKUP(A1468,[10]PRIORIZADOS!$A:$K,11,FALSE)="","",VLOOKUP(A1468,[10]PRIORIZADOS!$A:$K,11,FALSE)),"")</f>
        <v>IGNACIO ABDÓN MONTENEGRO ALDANA</v>
      </c>
      <c r="L1468" s="11" t="str">
        <f>IFERROR(IF(VLOOKUP(A1468,[10]PRIORIZADOS!$A:$L,12,FALSE)="","",VLOOKUP(A1468,[10]PRIORIZADOS!$A:$L,12,FALSE)),"")</f>
        <v>OSCAR GERMAN CLAVIJO PALACIOS</v>
      </c>
      <c r="M1468" s="71">
        <f>IFERROR(IF(VLOOKUP(A1468,[10]PRIORIZADOS!$A:$M,13,FALSE)="","",VLOOKUP(A1468,[10]PRIORIZADOS!$A:$M,13,FALSE)),"")</f>
        <v>45819</v>
      </c>
      <c r="N1468" s="71">
        <f>IFERROR(IF(VLOOKUP(A1468,[10]PRIORIZADOS!$A:$N,14,FALSE)="","",VLOOKUP(A1468,[10]PRIORIZADOS!$A:$N,14,FALSE)),"")</f>
        <v>45819</v>
      </c>
      <c r="O1468" s="71">
        <f>IFERROR(IF(VLOOKUP(A1468,[10]PRIORIZADOS!$A:$O,15,FALSE)="","",VLOOKUP(A1468,[10]PRIORIZADOS!$A:$O,15,FALSE)),"")</f>
        <v>45819</v>
      </c>
      <c r="P1468" s="11" t="str">
        <f>IFERROR(IF(VLOOKUP(A1468,[10]PRIORIZADOS!$A:$P,16,FALSE)="","",VLOOKUP(A1468,[10]PRIORIZADOS!$A:$P,16,FALSE)),"")</f>
        <v>Visitas de evaluación con fines de mejoramiento</v>
      </c>
      <c r="Q1468" s="107" t="s">
        <v>351</v>
      </c>
      <c r="R1468" s="11" t="str">
        <f>IFERROR(IF(VLOOKUP(A1468,[10]PRIORIZADOS!$A:$R,18,FALSE)="","",VLOOKUP(A1468,[10]PRIORIZADOS!$A:$R,18,FALSE)),"")</f>
        <v>SIIE estructurado de acuerdo con la norma; sin embargo, admite la reprobación en educación preescolar. Interviene un consejo académico por sede.</v>
      </c>
      <c r="S1468" s="11" t="str">
        <f>IFERROR(IF(VLOOKUP(A1468,[10]PRIORIZADOS!$A:$S,19,FALSE)="","",VLOOKUP(A1468,[10]PRIORIZADOS!$A:$S,19,FALSE)),"")</f>
        <v xml:space="preserve">Ajustar el SIEE para eliminar la acción del CA por sede, puede establecer comisiones de evaluación y promoción o comités académicos por sedes. </v>
      </c>
      <c r="T1468" s="70" t="str">
        <f>IFERROR(IF(VLOOKUP(A1468,[10]PRIORIZADOS!$A:$T,20,FALSE)="","",VLOOKUP(A1468,[10]PRIORIZADOS!$A:$T,20,FALSE)),"")</f>
        <v>Si</v>
      </c>
      <c r="U1468" s="11" t="str">
        <f>IFERROR(IF(VLOOKUP(A1468,[10]PRIORIZADOS!$A:$U,21,FALSE)="","",VLOOKUP(A1468,[10]PRIORIZADOS!$A:$U,21,FALSE)),"")</f>
        <v>Verificar la presentación del plan de mejoramiento el 31 de julio y los avances del 20 de noviembre</v>
      </c>
    </row>
    <row r="1469" spans="1:21" s="1" customFormat="1" ht="60">
      <c r="A1469" s="69">
        <f>IF([10]PRIORIZADOS!A83="","",[10]PRIORIZADOS!A83)</f>
        <v>1411</v>
      </c>
      <c r="B1469" s="70">
        <f>IFERROR(IF(VLOOKUP(A1469,[10]PRIORIZADOS!$A:$B,2,FALSE)="","",VLOOKUP(A1469,[10]PRIORIZADOS!$A:$B,2,FALSE)),"")</f>
        <v>12</v>
      </c>
      <c r="C1469" s="11" t="str">
        <f>IFERROR(IF(VLOOKUP(A1469,[10]PRIORIZADOS!$A:$C,3,FALSE)="","",VLOOKUP(A1469,[10]PRIORIZADOS!$A:$C,3,FALSE)),"")</f>
        <v>PUENTE ARANDA</v>
      </c>
      <c r="D1469" s="11" t="str">
        <f>IFERROR(IF(VLOOKUP(A1469,[10]PRIORIZADOS!$A:$D,4,FALSE)="","",VLOOKUP(A1469,[10]PRIORIZADOS!$A:$D,4,FALSE)),"")</f>
        <v>OFICIAL</v>
      </c>
      <c r="E1469" s="11" t="str">
        <f>IFERROR(IF(VLOOKUP(A1469,[10]PRIORIZADOS!$A:$E,5,FALSE)="","",VLOOKUP(A1469,[10]PRIORIZADOS!$A:$E,5,FALSE)),"")</f>
        <v>EPBM</v>
      </c>
      <c r="F1469" s="11" t="str">
        <f>IFERROR(IF(VLOOKUP(A1469,[10]PRIORIZADOS!$A:$F,6,FALSE)="","",VLOOKUP(A1469,[10]PRIORIZADOS!$A:$F,6,FALSE)),"")</f>
        <v>COLEGIO_SILVERIA_ESPINOSA_DE_RENDON_IED</v>
      </c>
      <c r="G1469" s="11" t="str">
        <f>IFERROR(IF(VLOOKUP(A1469,[10]PRIORIZADOS!$A:$G,7,FALSE)="","",VLOOKUP(A1469,[10]PRIORIZADOS!$A:$G,7,FALSE)),"")</f>
        <v>COLEGIO_SILVERIA_ESPINOSA_DE_RENDON_IED</v>
      </c>
      <c r="H1469" s="11" t="str">
        <f>IFERROR(IF(VLOOKUP(A1469,[10]PRIORIZADOS!$A:$H,8,FALSE)="","",VLOOKUP(A1469,[10]PRIORIZADOS!$A:$H,8,FALSE)),"")</f>
        <v>Convivencia escolar</v>
      </c>
      <c r="I1469" s="11" t="str">
        <f>IFERROR(IF(VLOOKUP(A1469,[10]PRIORIZADOS!$A:$I,9,FALSE)="","",VLOOKUP(A1469,[10]PRIORIZADOS!$A:$I,9,FALSE)),"")</f>
        <v>EVALUACIÓN_CON_FINES_DE_MEJORAMIENTO.</v>
      </c>
      <c r="J1469" s="11" t="str">
        <f>IFERROR(IF(VLOOKUP(A1469,[10]PRIORIZADOS!$A:$J,10,FALSE)="","",VLOOKUP(A1469,[10]PRIORIZADOS!$A:$J,10,FALSE)),"")</f>
        <v>Revisar el calendario escolar, jornada escolar, la intensidad horaria mínima anual en cada nivel y las modificaciones que se realicen al mismo, de acuerdo con lo previsto en la normatividad vigente.</v>
      </c>
      <c r="K1469" s="11" t="str">
        <f>IFERROR(IF(VLOOKUP(A1469,[10]PRIORIZADOS!$A:$K,11,FALSE)="","",VLOOKUP(A1469,[10]PRIORIZADOS!$A:$K,11,FALSE)),"")</f>
        <v>IGNACIO ABDÓN MONTENEGRO ALDANA</v>
      </c>
      <c r="L1469" s="11" t="str">
        <f>IFERROR(IF(VLOOKUP(A1469,[10]PRIORIZADOS!$A:$L,12,FALSE)="","",VLOOKUP(A1469,[10]PRIORIZADOS!$A:$L,12,FALSE)),"")</f>
        <v>OSCAR GERMAN CLAVIJO PALACIOS</v>
      </c>
      <c r="M1469" s="71">
        <f>IFERROR(IF(VLOOKUP(A1469,[10]PRIORIZADOS!$A:$M,13,FALSE)="","",VLOOKUP(A1469,[10]PRIORIZADOS!$A:$M,13,FALSE)),"")</f>
        <v>45819</v>
      </c>
      <c r="N1469" s="71">
        <f>IFERROR(IF(VLOOKUP(A1469,[10]PRIORIZADOS!$A:$N,14,FALSE)="","",VLOOKUP(A1469,[10]PRIORIZADOS!$A:$N,14,FALSE)),"")</f>
        <v>45819</v>
      </c>
      <c r="O1469" s="71">
        <f>IFERROR(IF(VLOOKUP(A1469,[10]PRIORIZADOS!$A:$O,15,FALSE)="","",VLOOKUP(A1469,[10]PRIORIZADOS!$A:$O,15,FALSE)),"")</f>
        <v>45819</v>
      </c>
      <c r="P1469" s="11" t="str">
        <f>IFERROR(IF(VLOOKUP(A1469,[10]PRIORIZADOS!$A:$P,16,FALSE)="","",VLOOKUP(A1469,[10]PRIORIZADOS!$A:$P,16,FALSE)),"")</f>
        <v>Visitas de evaluación con fines de mejoramiento</v>
      </c>
      <c r="Q1469" s="107" t="s">
        <v>351</v>
      </c>
      <c r="R1469" s="11" t="str">
        <f>IFERROR(IF(VLOOKUP(A1469,[10]PRIORIZADOS!$A:$R,18,FALSE)="","",VLOOKUP(A1469,[10]PRIORIZADOS!$A:$R,18,FALSE)),"")</f>
        <v>El Colegio cumple el calendario académico definido por la SED, los horarios de cada nivel y de cada jornada permite el cumplimiento de las intensidades horarias anuales mínimas de ley.</v>
      </c>
      <c r="S1469" s="11" t="str">
        <f>IFERROR(IF(VLOOKUP(A1469,[10]PRIORIZADOS!$A:$S,19,FALSE)="","",VLOOKUP(A1469,[10]PRIORIZADOS!$A:$S,19,FALSE)),"")</f>
        <v>El colegio cumple con las horas académicas determinadas por la Ley en cada nivel educativo</v>
      </c>
      <c r="T1469" s="70" t="str">
        <f>IFERROR(IF(VLOOKUP(A1469,[10]PRIORIZADOS!$A:$T,20,FALSE)="","",VLOOKUP(A1469,[10]PRIORIZADOS!$A:$T,20,FALSE)),"")</f>
        <v>No</v>
      </c>
      <c r="U1469" s="11" t="str">
        <f>IFERROR(IF(VLOOKUP(A1469,[10]PRIORIZADOS!$A:$U,21,FALSE)="","",VLOOKUP(A1469,[10]PRIORIZADOS!$A:$U,21,FALSE)),"")</f>
        <v>Se hará revisión del calendario académico en la vigencia 2026</v>
      </c>
    </row>
    <row r="1470" spans="1:21" s="1" customFormat="1" ht="72">
      <c r="A1470" s="69">
        <f>IF([10]PRIORIZADOS!A84="","",[10]PRIORIZADOS!A84)</f>
        <v>1412</v>
      </c>
      <c r="B1470" s="70">
        <f>IFERROR(IF(VLOOKUP(A1470,[10]PRIORIZADOS!$A:$B,2,FALSE)="","",VLOOKUP(A1470,[10]PRIORIZADOS!$A:$B,2,FALSE)),"")</f>
        <v>12</v>
      </c>
      <c r="C1470" s="11" t="str">
        <f>IFERROR(IF(VLOOKUP(A1470,[10]PRIORIZADOS!$A:$C,3,FALSE)="","",VLOOKUP(A1470,[10]PRIORIZADOS!$A:$C,3,FALSE)),"")</f>
        <v>PUENTE ARANDA</v>
      </c>
      <c r="D1470" s="11" t="str">
        <f>IFERROR(IF(VLOOKUP(A1470,[10]PRIORIZADOS!$A:$D,4,FALSE)="","",VLOOKUP(A1470,[10]PRIORIZADOS!$A:$D,4,FALSE)),"")</f>
        <v>OFICIAL</v>
      </c>
      <c r="E1470" s="11" t="str">
        <f>IFERROR(IF(VLOOKUP(A1470,[10]PRIORIZADOS!$A:$E,5,FALSE)="","",VLOOKUP(A1470,[10]PRIORIZADOS!$A:$E,5,FALSE)),"")</f>
        <v>EPBM</v>
      </c>
      <c r="F1470" s="11" t="str">
        <f>IFERROR(IF(VLOOKUP(A1470,[10]PRIORIZADOS!$A:$F,6,FALSE)="","",VLOOKUP(A1470,[10]PRIORIZADOS!$A:$F,6,FALSE)),"")</f>
        <v>COLEGIO_SILVERIA_ESPINOSA_DE_RENDON_IED</v>
      </c>
      <c r="G1470" s="11" t="str">
        <f>IFERROR(IF(VLOOKUP(A1470,[10]PRIORIZADOS!$A:$G,7,FALSE)="","",VLOOKUP(A1470,[10]PRIORIZADOS!$A:$G,7,FALSE)),"")</f>
        <v>COLEGIO_SILVERIA_ESPINOSA_DE_RENDON_IED</v>
      </c>
      <c r="H1470" s="11" t="str">
        <f>IFERROR(IF(VLOOKUP(A1470,[10]PRIORIZADOS!$A:$H,8,FALSE)="","",VLOOKUP(A1470,[10]PRIORIZADOS!$A:$H,8,FALSE)),"")</f>
        <v>Convivencia escolar</v>
      </c>
      <c r="I1470" s="11" t="str">
        <f>IFERROR(IF(VLOOKUP(A1470,[10]PRIORIZADOS!$A:$I,9,FALSE)="","",VLOOKUP(A1470,[10]PRIORIZADOS!$A:$I,9,FALSE)),"")</f>
        <v>EVALUACIÓN_CON_FINES_DE_MEJORAMIENTO.</v>
      </c>
      <c r="J1470" s="11" t="str">
        <f>IFERROR(IF(VLOOKUP(A1470,[10]PRIORIZADOS!$A:$J,10,FALSE)="","",VLOOKUP(A1470,[10]PRIORIZADOS!$A:$J,10,FALSE)),"")</f>
        <v>Verificar el funcionamiento del Gobierno Escolar e instancias de participación con base en la información sobre conformación reportada por la institución educativa.</v>
      </c>
      <c r="K1470" s="11" t="str">
        <f>IFERROR(IF(VLOOKUP(A1470,[10]PRIORIZADOS!$A:$K,11,FALSE)="","",VLOOKUP(A1470,[10]PRIORIZADOS!$A:$K,11,FALSE)),"")</f>
        <v>IGNACIO ABDÓN MONTENEGRO ALDANA</v>
      </c>
      <c r="L1470" s="11" t="str">
        <f>IFERROR(IF(VLOOKUP(A1470,[10]PRIORIZADOS!$A:$L,12,FALSE)="","",VLOOKUP(A1470,[10]PRIORIZADOS!$A:$L,12,FALSE)),"")</f>
        <v>OSCAR GERMAN CLAVIJO PALACIOS</v>
      </c>
      <c r="M1470" s="71">
        <f>IFERROR(IF(VLOOKUP(A1470,[10]PRIORIZADOS!$A:$M,13,FALSE)="","",VLOOKUP(A1470,[10]PRIORIZADOS!$A:$M,13,FALSE)),"")</f>
        <v>45819</v>
      </c>
      <c r="N1470" s="71">
        <f>IFERROR(IF(VLOOKUP(A1470,[10]PRIORIZADOS!$A:$N,14,FALSE)="","",VLOOKUP(A1470,[10]PRIORIZADOS!$A:$N,14,FALSE)),"")</f>
        <v>45819</v>
      </c>
      <c r="O1470" s="71">
        <f>IFERROR(IF(VLOOKUP(A1470,[10]PRIORIZADOS!$A:$O,15,FALSE)="","",VLOOKUP(A1470,[10]PRIORIZADOS!$A:$O,15,FALSE)),"")</f>
        <v>45819</v>
      </c>
      <c r="P1470" s="11" t="str">
        <f>IFERROR(IF(VLOOKUP(A1470,[10]PRIORIZADOS!$A:$P,16,FALSE)="","",VLOOKUP(A1470,[10]PRIORIZADOS!$A:$P,16,FALSE)),"")</f>
        <v>Visitas de evaluación con fines de mejoramiento</v>
      </c>
      <c r="Q1470" s="107" t="s">
        <v>351</v>
      </c>
      <c r="R1470" s="11" t="str">
        <f>IFERROR(IF(VLOOKUP(A1470,[10]PRIORIZADOS!$A:$R,18,FALSE)="","",VLOOKUP(A1470,[10]PRIORIZADOS!$A:$R,18,FALSE)),"")</f>
        <v>El Colegio conformó los órganos de gobierno escolar y demás instancias de participación; sin embargo, se han realizado requerimientos de subsanación al cargue de las actas en el sistema de apoyo escolar. (SAE)</v>
      </c>
      <c r="S1470" s="11" t="str">
        <f>IFERROR(IF(VLOOKUP(A1470,[10]PRIORIZADOS!$A:$S,19,FALSE)="","",VLOOKUP(A1470,[10]PRIORIZADOS!$A:$S,19,FALSE)),"")</f>
        <v>Cumplir con los requerimientos enviados por correo por parte del Supervisor de educación.</v>
      </c>
      <c r="T1470" s="70" t="str">
        <f>IFERROR(IF(VLOOKUP(A1470,[10]PRIORIZADOS!$A:$T,20,FALSE)="","",VLOOKUP(A1470,[10]PRIORIZADOS!$A:$T,20,FALSE)),"")</f>
        <v>Si</v>
      </c>
      <c r="U1470" s="11" t="str">
        <f>IFERROR(IF(VLOOKUP(A1470,[10]PRIORIZADOS!$A:$U,21,FALSE)="","",VLOOKUP(A1470,[10]PRIORIZADOS!$A:$U,21,FALSE)),"")</f>
        <v>Se ha venido revisando la información en SAE, se han realizado nuevos requerimientos. Se insistirá hasta que el Colegio cumpla por completo.</v>
      </c>
    </row>
    <row r="1471" spans="1:21" s="1" customFormat="1" ht="84">
      <c r="A1471" s="69">
        <f>IF([10]PRIORIZADOS!A85="","",[10]PRIORIZADOS!A85)</f>
        <v>1413</v>
      </c>
      <c r="B1471" s="70">
        <f>IFERROR(IF(VLOOKUP(A1471,[10]PRIORIZADOS!$A:$B,2,FALSE)="","",VLOOKUP(A1471,[10]PRIORIZADOS!$A:$B,2,FALSE)),"")</f>
        <v>12</v>
      </c>
      <c r="C1471" s="11" t="str">
        <f>IFERROR(IF(VLOOKUP(A1471,[10]PRIORIZADOS!$A:$C,3,FALSE)="","",VLOOKUP(A1471,[10]PRIORIZADOS!$A:$C,3,FALSE)),"")</f>
        <v>PUENTE ARANDA</v>
      </c>
      <c r="D1471" s="11" t="str">
        <f>IFERROR(IF(VLOOKUP(A1471,[10]PRIORIZADOS!$A:$D,4,FALSE)="","",VLOOKUP(A1471,[10]PRIORIZADOS!$A:$D,4,FALSE)),"")</f>
        <v>OFICIAL</v>
      </c>
      <c r="E1471" s="11" t="str">
        <f>IFERROR(IF(VLOOKUP(A1471,[10]PRIORIZADOS!$A:$E,5,FALSE)="","",VLOOKUP(A1471,[10]PRIORIZADOS!$A:$E,5,FALSE)),"")</f>
        <v>EPBM</v>
      </c>
      <c r="F1471" s="11" t="str">
        <f>IFERROR(IF(VLOOKUP(A1471,[10]PRIORIZADOS!$A:$F,6,FALSE)="","",VLOOKUP(A1471,[10]PRIORIZADOS!$A:$F,6,FALSE)),"")</f>
        <v>COLEGIO_SILVERIA_ESPINOSA_DE_RENDON_IED</v>
      </c>
      <c r="G1471" s="11" t="str">
        <f>IFERROR(IF(VLOOKUP(A1471,[10]PRIORIZADOS!$A:$G,7,FALSE)="","",VLOOKUP(A1471,[10]PRIORIZADOS!$A:$G,7,FALSE)),"")</f>
        <v>COLEGIO_SILVERIA_ESPINOSA_DE_RENDON_IED</v>
      </c>
      <c r="H1471" s="11" t="str">
        <f>IFERROR(IF(VLOOKUP(A1471,[10]PRIORIZADOS!$A:$H,8,FALSE)="","",VLOOKUP(A1471,[10]PRIORIZADOS!$A:$H,8,FALSE)),"")</f>
        <v>Convivencia escolar</v>
      </c>
      <c r="I1471" s="11" t="str">
        <f>IFERROR(IF(VLOOKUP(A1471,[10]PRIORIZADOS!$A:$I,9,FALSE)="","",VLOOKUP(A1471,[10]PRIORIZADOS!$A:$I,9,FALSE)),"")</f>
        <v>EVALUACIÓN_CON_FINES_DE_MEJORAMIENTO.</v>
      </c>
      <c r="J1471" s="11" t="str">
        <f>IFERROR(IF(VLOOKUP(A1471,[10]PRIORIZADOS!$A:$J,10,FALSE)="","",VLOOKUP(A1471,[10]PRIORIZADOS!$A:$J,10,FALSE)),"")</f>
        <v>Verificar las condiciones en cuanto a: la estructura administrativa, condiciones de la planta física y medios educativos adecuados.</v>
      </c>
      <c r="K1471" s="11" t="str">
        <f>IFERROR(IF(VLOOKUP(A1471,[10]PRIORIZADOS!$A:$K,11,FALSE)="","",VLOOKUP(A1471,[10]PRIORIZADOS!$A:$K,11,FALSE)),"")</f>
        <v>IGNACIO ABDÓN MONTENEGRO ALDANA</v>
      </c>
      <c r="L1471" s="11" t="str">
        <f>IFERROR(IF(VLOOKUP(A1471,[10]PRIORIZADOS!$A:$L,12,FALSE)="","",VLOOKUP(A1471,[10]PRIORIZADOS!$A:$L,12,FALSE)),"")</f>
        <v>OSCAR GERMAN CLAVIJO PALACIOS</v>
      </c>
      <c r="M1471" s="71">
        <f>IFERROR(IF(VLOOKUP(A1471,[10]PRIORIZADOS!$A:$M,13,FALSE)="","",VLOOKUP(A1471,[10]PRIORIZADOS!$A:$M,13,FALSE)),"")</f>
        <v>45819</v>
      </c>
      <c r="N1471" s="71">
        <f>IFERROR(IF(VLOOKUP(A1471,[10]PRIORIZADOS!$A:$N,14,FALSE)="","",VLOOKUP(A1471,[10]PRIORIZADOS!$A:$N,14,FALSE)),"")</f>
        <v>45819</v>
      </c>
      <c r="O1471" s="71">
        <f>IFERROR(IF(VLOOKUP(A1471,[10]PRIORIZADOS!$A:$O,15,FALSE)="","",VLOOKUP(A1471,[10]PRIORIZADOS!$A:$O,15,FALSE)),"")</f>
        <v>45819</v>
      </c>
      <c r="P1471" s="11" t="str">
        <f>IFERROR(IF(VLOOKUP(A1471,[10]PRIORIZADOS!$A:$P,16,FALSE)="","",VLOOKUP(A1471,[10]PRIORIZADOS!$A:$P,16,FALSE)),"")</f>
        <v>Visitas de evaluación con fines de mejoramiento</v>
      </c>
      <c r="Q1471" s="126" t="s">
        <v>351</v>
      </c>
      <c r="R1471" s="11" t="str">
        <f>IFERROR(IF(VLOOKUP(A1471,[10]PRIORIZADOS!$A:$R,18,FALSE)="","",VLOOKUP(A1471,[10]PRIORIZADOS!$A:$R,18,FALSE)),"")</f>
        <v>Existe un buen nivel de organización administrativa y una planta física apropiada; sin embargo, no se encontró organigrama. Aunque existen brigadas de emergencia, no está conformado como tal, el Comité de Gestión de Riesgos (CEGR CC)</v>
      </c>
      <c r="S1471" s="11" t="str">
        <f>IFERROR(IF(VLOOKUP(A1471,[10]PRIORIZADOS!$A:$S,19,FALSE)="","",VLOOKUP(A1471,[10]PRIORIZADOS!$A:$S,19,FALSE)),"")</f>
        <v>Elaborar el organigrama institucional y conformar el CEGR CC.</v>
      </c>
      <c r="T1471" s="70" t="str">
        <f>IFERROR(IF(VLOOKUP(A1471,[10]PRIORIZADOS!$A:$T,20,FALSE)="","",VLOOKUP(A1471,[10]PRIORIZADOS!$A:$T,20,FALSE)),"")</f>
        <v>Si</v>
      </c>
      <c r="U1471" s="11" t="str">
        <f>IFERROR(IF(VLOOKUP(A1471,[10]PRIORIZADOS!$A:$U,21,FALSE)="","",VLOOKUP(A1471,[10]PRIORIZADOS!$A:$U,21,FALSE)),"")</f>
        <v>Verificar la presentación del plan de mejoramiento el 31 de julio y los avances del 20 de noviembre</v>
      </c>
    </row>
    <row r="1472" spans="1:21" s="1" customFormat="1" ht="60">
      <c r="A1472" s="69">
        <f>IF([10]PRIORIZADOS!A86="","",[10]PRIORIZADOS!A86)</f>
        <v>1414</v>
      </c>
      <c r="B1472" s="70">
        <f>IFERROR(IF(VLOOKUP(A1472,[10]PRIORIZADOS!$A:$B,2,FALSE)="","",VLOOKUP(A1472,[10]PRIORIZADOS!$A:$B,2,FALSE)),"")</f>
        <v>13</v>
      </c>
      <c r="C1472" s="11" t="str">
        <f>IFERROR(IF(VLOOKUP(A1472,[10]PRIORIZADOS!$A:$C,3,FALSE)="","",VLOOKUP(A1472,[10]PRIORIZADOS!$A:$C,3,FALSE)),"")</f>
        <v>PUENTE ARANDA</v>
      </c>
      <c r="D1472" s="11" t="str">
        <f>IFERROR(IF(VLOOKUP(A1472,[10]PRIORIZADOS!$A:$D,4,FALSE)="","",VLOOKUP(A1472,[10]PRIORIZADOS!$A:$D,4,FALSE)),"")</f>
        <v>OFICIAL</v>
      </c>
      <c r="E1472" s="11" t="str">
        <f>IFERROR(IF(VLOOKUP(A1472,[10]PRIORIZADOS!$A:$E,5,FALSE)="","",VLOOKUP(A1472,[10]PRIORIZADOS!$A:$E,5,FALSE)),"")</f>
        <v>EPBM</v>
      </c>
      <c r="F1472" s="11" t="str">
        <f>IFERROR(IF(VLOOKUP(A1472,[10]PRIORIZADOS!$A:$F,6,FALSE)="","",VLOOKUP(A1472,[10]PRIORIZADOS!$A:$F,6,FALSE)),"")</f>
        <v>COLEGIO_ESPAÑA_IED</v>
      </c>
      <c r="G1472" s="11" t="str">
        <f>IFERROR(IF(VLOOKUP(A1472,[10]PRIORIZADOS!$A:$G,7,FALSE)="","",VLOOKUP(A1472,[10]PRIORIZADOS!$A:$G,7,FALSE)),"")</f>
        <v>COLEGIO_ESPAÑA_IED</v>
      </c>
      <c r="H1472" s="11" t="str">
        <f>IFERROR(IF(VLOOKUP(A1472,[10]PRIORIZADOS!$A:$H,8,FALSE)="","",VLOOKUP(A1472,[10]PRIORIZADOS!$A:$H,8,FALSE)),"")</f>
        <v>Autoevaluación Institucional y Pruebas SABER 11</v>
      </c>
      <c r="I1472" s="11" t="str">
        <f>IFERROR(IF(VLOOKUP(A1472,[10]PRIORIZADOS!$A:$I,9,FALSE)="","",VLOOKUP(A1472,[10]PRIORIZADOS!$A:$I,9,FALSE)),"")</f>
        <v>SEGUIMIENTO_Y_SUPERVISIÓN.</v>
      </c>
      <c r="J1472" s="11" t="str">
        <f>IFERROR(IF(VLOOKUP(A1472,[10]PRIORIZADOS!$A:$J,10,FALSE)="","",VLOOKUP(A1472,[10]PRIORIZADOS!$A:$J,10,FALSE)),"")</f>
        <v>Proponer estrategias en la formulación, verificar su elaboración y realizar seguimiento semestral al desarrollo de  las acciones establecidas en los planes de mejoramiento por pruebas SABER 11 de los establecimientos de educación formal.</v>
      </c>
      <c r="K1472" s="11" t="str">
        <f>IFERROR(IF(VLOOKUP(A1472,[10]PRIORIZADOS!$A:$K,11,FALSE)="","",VLOOKUP(A1472,[10]PRIORIZADOS!$A:$K,11,FALSE)),"")</f>
        <v>ALBERTO ESCARRAGA PEÑUELA</v>
      </c>
      <c r="L1472" s="11" t="str">
        <f>IFERROR(IF(VLOOKUP(A1472,[10]PRIORIZADOS!$A:$L,12,FALSE)="","",VLOOKUP(A1472,[10]PRIORIZADOS!$A:$L,12,FALSE)),"")</f>
        <v>CRISTIAN CAMILO LÓPEZ VELANDIA</v>
      </c>
      <c r="M1472" s="71">
        <f>IFERROR(IF(VLOOKUP(A1472,[10]PRIORIZADOS!$A:$M,13,FALSE)="","",VLOOKUP(A1472,[10]PRIORIZADOS!$A:$M,13,FALSE)),"")</f>
        <v>45859</v>
      </c>
      <c r="N1472" s="71" t="str">
        <f>IFERROR(IF(VLOOKUP(A1472,[10]PRIORIZADOS!$A:$N,14,FALSE)="","",VLOOKUP(A1472,[10]PRIORIZADOS!$A:$N,14,FALSE)),"")</f>
        <v>22/07/2025</v>
      </c>
      <c r="O1472" s="71" t="str">
        <f>IFERROR(IF(VLOOKUP(A1472,[10]PRIORIZADOS!$A:$O,15,FALSE)="","",VLOOKUP(A1472,[10]PRIORIZADOS!$A:$O,15,FALSE)),"")</f>
        <v>22/07/2025</v>
      </c>
      <c r="P1472" s="11" t="str">
        <f>IFERROR(IF(VLOOKUP(A1472,[10]PRIORIZADOS!$A:$P,16,FALSE)="","",VLOOKUP(A1472,[10]PRIORIZADOS!$A:$P,16,FALSE)),"")</f>
        <v>Visitas de evaluación con fines de mejoramiento</v>
      </c>
      <c r="Q1472" s="107" t="s">
        <v>352</v>
      </c>
      <c r="R1472" s="11" t="str">
        <f>IFERROR(IF(VLOOKUP(A1472,[10]PRIORIZADOS!$A:$R,18,FALSE)="","",VLOOKUP(A1472,[10]PRIORIZADOS!$A:$R,18,FALSE)),"")</f>
        <v xml:space="preserve">Se encontró que la instutución no adelanto  plan de mejoramiento en cuanto a los resultados de las pruebas saber 11, avalados por el consejo académico </v>
      </c>
      <c r="S1472" s="11" t="str">
        <f>IFERROR(IF(VLOOKUP(A1472,[10]PRIORIZADOS!$A:$S,19,FALSE)="","",VLOOKUP(A1472,[10]PRIORIZADOS!$A:$S,19,FALSE)),"")</f>
        <v xml:space="preserve">Se debe actas académico con las respectivas agendas y dedidamente firmadas </v>
      </c>
      <c r="T1472" s="70" t="str">
        <f>IFERROR(IF(VLOOKUP(A1472,[10]PRIORIZADOS!$A:$T,20,FALSE)="","",VLOOKUP(A1472,[10]PRIORIZADOS!$A:$T,20,FALSE)),"")</f>
        <v>Si</v>
      </c>
      <c r="U1472" s="11" t="str">
        <f>IFERROR(IF(VLOOKUP(A1472,[10]PRIORIZADOS!$A:$U,21,FALSE)="","",VLOOKUP(A1472,[10]PRIORIZADOS!$A:$U,21,FALSE)),"")</f>
        <v>Verificar la presentación del plan de mejoramiento el 15 de agosto de 2025</v>
      </c>
    </row>
    <row r="1473" spans="1:21" s="1" customFormat="1" ht="72">
      <c r="A1473" s="69">
        <f>IF([10]PRIORIZADOS!A87="","",[10]PRIORIZADOS!A87)</f>
        <v>1415</v>
      </c>
      <c r="B1473" s="70">
        <f>IFERROR(IF(VLOOKUP(A1473,[10]PRIORIZADOS!$A:$B,2,FALSE)="","",VLOOKUP(A1473,[10]PRIORIZADOS!$A:$B,2,FALSE)),"")</f>
        <v>13</v>
      </c>
      <c r="C1473" s="11" t="str">
        <f>IFERROR(IF(VLOOKUP(A1473,[10]PRIORIZADOS!$A:$C,3,FALSE)="","",VLOOKUP(A1473,[10]PRIORIZADOS!$A:$C,3,FALSE)),"")</f>
        <v>PUENTE ARANDA</v>
      </c>
      <c r="D1473" s="11" t="str">
        <f>IFERROR(IF(VLOOKUP(A1473,[10]PRIORIZADOS!$A:$D,4,FALSE)="","",VLOOKUP(A1473,[10]PRIORIZADOS!$A:$D,4,FALSE)),"")</f>
        <v>OFICIAL</v>
      </c>
      <c r="E1473" s="11" t="str">
        <f>IFERROR(IF(VLOOKUP(A1473,[10]PRIORIZADOS!$A:$E,5,FALSE)="","",VLOOKUP(A1473,[10]PRIORIZADOS!$A:$E,5,FALSE)),"")</f>
        <v>EPBM</v>
      </c>
      <c r="F1473" s="11" t="str">
        <f>IFERROR(IF(VLOOKUP(A1473,[10]PRIORIZADOS!$A:$F,6,FALSE)="","",VLOOKUP(A1473,[10]PRIORIZADOS!$A:$F,6,FALSE)),"")</f>
        <v>COLEGIO_ESPAÑA_IED</v>
      </c>
      <c r="G1473" s="11" t="str">
        <f>IFERROR(IF(VLOOKUP(A1473,[10]PRIORIZADOS!$A:$G,7,FALSE)="","",VLOOKUP(A1473,[10]PRIORIZADOS!$A:$G,7,FALSE)),"")</f>
        <v>COLEGIO_ESPAÑA_IED</v>
      </c>
      <c r="H1473" s="11" t="str">
        <f>IFERROR(IF(VLOOKUP(A1473,[10]PRIORIZADOS!$A:$H,8,FALSE)="","",VLOOKUP(A1473,[10]PRIORIZADOS!$A:$H,8,FALSE)),"")</f>
        <v>Autoevaluación Institucional y Pruebas SABER 11</v>
      </c>
      <c r="I1473" s="11" t="str">
        <f>IFERROR(IF(VLOOKUP(A1473,[10]PRIORIZADOS!$A:$I,9,FALSE)="","",VLOOKUP(A1473,[10]PRIORIZADOS!$A:$I,9,FALSE)),"")</f>
        <v>SEGUIMIENTO_Y_SUPERVISIÓN.</v>
      </c>
      <c r="J1473" s="11" t="str">
        <f>IFERROR(IF(VLOOKUP(A1473,[10]PRIORIZADOS!$A:$J,10,FALSE)="","",VLOOKUP(A1473,[10]PRIORIZADOS!$A:$J,10,FALSE)),"")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73" s="11" t="str">
        <f>IFERROR(IF(VLOOKUP(A1473,[10]PRIORIZADOS!$A:$K,11,FALSE)="","",VLOOKUP(A1473,[10]PRIORIZADOS!$A:$K,11,FALSE)),"")</f>
        <v>ALBERTO ESCARRAGA PEÑUELA</v>
      </c>
      <c r="L1473" s="11" t="str">
        <f>IFERROR(IF(VLOOKUP(A1473,[10]PRIORIZADOS!$A:$L,12,FALSE)="","",VLOOKUP(A1473,[10]PRIORIZADOS!$A:$L,12,FALSE)),"")</f>
        <v>CRISTIAN CAMILO LÓPEZ VELANDIA</v>
      </c>
      <c r="M1473" s="71">
        <f>IFERROR(IF(VLOOKUP(A1473,[10]PRIORIZADOS!$A:$M,13,FALSE)="","",VLOOKUP(A1473,[10]PRIORIZADOS!$A:$M,13,FALSE)),"")</f>
        <v>45859</v>
      </c>
      <c r="N1473" s="71" t="str">
        <f>IFERROR(IF(VLOOKUP(A1473,[10]PRIORIZADOS!$A:$N,14,FALSE)="","",VLOOKUP(A1473,[10]PRIORIZADOS!$A:$N,14,FALSE)),"")</f>
        <v>22/07/2025</v>
      </c>
      <c r="O1473" s="71" t="str">
        <f>IFERROR(IF(VLOOKUP(A1473,[10]PRIORIZADOS!$A:$O,15,FALSE)="","",VLOOKUP(A1473,[10]PRIORIZADOS!$A:$O,15,FALSE)),"")</f>
        <v>22/07/2025</v>
      </c>
      <c r="P1473" s="11" t="str">
        <f>IFERROR(IF(VLOOKUP(A1473,[10]PRIORIZADOS!$A:$P,16,FALSE)="","",VLOOKUP(A1473,[10]PRIORIZADOS!$A:$P,16,FALSE)),"")</f>
        <v>Visitas de evaluación con fines de mejoramiento</v>
      </c>
      <c r="Q1473" s="107" t="s">
        <v>352</v>
      </c>
      <c r="R1473" s="11" t="str">
        <f>IFERROR(IF(VLOOKUP(A1473,[10]PRIORIZADOS!$A:$R,18,FALSE)="","",VLOOKUP(A1473,[10]PRIORIZADOS!$A:$R,18,FALSE)),"")</f>
        <v>Se encontró que la institución no elabora los ajustes razonables a los estudiantes que tiene diagnóstico pedagógico</v>
      </c>
      <c r="S1473" s="11" t="str">
        <f>IFERROR(IF(VLOOKUP(A1473,[10]PRIORIZADOS!$A:$S,19,FALSE)="","",VLOOKUP(A1473,[10]PRIORIZADOS!$A:$S,19,FALSE)),"")</f>
        <v xml:space="preserve">Elaborar los PIAR conforme a lo establecido en el Decreto 1421 de 2017, a los estudiantes con diagnóstico pedagógico </v>
      </c>
      <c r="T1473" s="70" t="str">
        <f>IFERROR(IF(VLOOKUP(A1473,[10]PRIORIZADOS!$A:$T,20,FALSE)="","",VLOOKUP(A1473,[10]PRIORIZADOS!$A:$T,20,FALSE)),"")</f>
        <v>si</v>
      </c>
      <c r="U1473" s="11" t="str">
        <f>IFERROR(IF(VLOOKUP(A1473,[10]PRIORIZADOS!$A:$U,21,FALSE)="","",VLOOKUP(A1473,[10]PRIORIZADOS!$A:$U,21,FALSE)),"")</f>
        <v>Verificar la presentación del plan de mejoramiento el 15 de agosto de 2025</v>
      </c>
    </row>
    <row r="1474" spans="1:21" s="1" customFormat="1" ht="166.5">
      <c r="A1474" s="69">
        <f>IF([10]PRIORIZADOS!A88="","",[10]PRIORIZADOS!A88)</f>
        <v>1416</v>
      </c>
      <c r="B1474" s="70">
        <f>IFERROR(IF(VLOOKUP(A1474,[10]PRIORIZADOS!$A:$B,2,FALSE)="","",VLOOKUP(A1474,[10]PRIORIZADOS!$A:$B,2,FALSE)),"")</f>
        <v>13</v>
      </c>
      <c r="C1474" s="11" t="str">
        <f>IFERROR(IF(VLOOKUP(A1474,[10]PRIORIZADOS!$A:$C,3,FALSE)="","",VLOOKUP(A1474,[10]PRIORIZADOS!$A:$C,3,FALSE)),"")</f>
        <v>PUENTE ARANDA</v>
      </c>
      <c r="D1474" s="11" t="str">
        <f>IFERROR(IF(VLOOKUP(A1474,[10]PRIORIZADOS!$A:$D,4,FALSE)="","",VLOOKUP(A1474,[10]PRIORIZADOS!$A:$D,4,FALSE)),"")</f>
        <v>OFICIAL</v>
      </c>
      <c r="E1474" s="11" t="str">
        <f>IFERROR(IF(VLOOKUP(A1474,[10]PRIORIZADOS!$A:$E,5,FALSE)="","",VLOOKUP(A1474,[10]PRIORIZADOS!$A:$E,5,FALSE)),"")</f>
        <v>EPBM</v>
      </c>
      <c r="F1474" s="11" t="str">
        <f>IFERROR(IF(VLOOKUP(A1474,[10]PRIORIZADOS!$A:$F,6,FALSE)="","",VLOOKUP(A1474,[10]PRIORIZADOS!$A:$F,6,FALSE)),"")</f>
        <v>COLEGIO_ESPAÑA_IED</v>
      </c>
      <c r="G1474" s="11" t="str">
        <f>IFERROR(IF(VLOOKUP(A1474,[10]PRIORIZADOS!$A:$G,7,FALSE)="","",VLOOKUP(A1474,[10]PRIORIZADOS!$A:$G,7,FALSE)),"")</f>
        <v>COLEGIO_ESPAÑA_IED</v>
      </c>
      <c r="H1474" s="11" t="str">
        <f>IFERROR(IF(VLOOKUP(A1474,[10]PRIORIZADOS!$A:$H,8,FALSE)="","",VLOOKUP(A1474,[10]PRIORIZADOS!$A:$H,8,FALSE)),"")</f>
        <v>Autoevaluación Institucional y Pruebas SABER 11</v>
      </c>
      <c r="I1474" s="11" t="str">
        <f>IFERROR(IF(VLOOKUP(A1474,[10]PRIORIZADOS!$A:$I,9,FALSE)="","",VLOOKUP(A1474,[10]PRIORIZADOS!$A:$I,9,FALSE)),"")</f>
        <v>SEGUIMIENTO_Y_SUPERVISIÓN.</v>
      </c>
      <c r="J1474" s="11" t="str">
        <f>IFERROR(IF(VLOOKUP(A1474,[10]PRIORIZADOS!$A:$J,10,FALSE)="","",VLOOKUP(A1474,[10]PRIORIZADOS!$A:$J,10,FALSE)),"")</f>
        <v xml:space="preserve">Verificar la implementación por parte de los colegios, de acciones realizadas para la prevención y atención de las situaciones de convivencia en el entorno escolar, según lo establecido en la Directiva 01 de 2022 del MEN. </v>
      </c>
      <c r="K1474" s="11" t="str">
        <f>IFERROR(IF(VLOOKUP(A1474,[10]PRIORIZADOS!$A:$K,11,FALSE)="","",VLOOKUP(A1474,[10]PRIORIZADOS!$A:$K,11,FALSE)),"")</f>
        <v>ALBERTO ESCARRAGA PEÑUELA</v>
      </c>
      <c r="L1474" s="11" t="str">
        <f>IFERROR(IF(VLOOKUP(A1474,[10]PRIORIZADOS!$A:$L,12,FALSE)="","",VLOOKUP(A1474,[10]PRIORIZADOS!$A:$L,12,FALSE)),"")</f>
        <v>CRISTIAN CAMILO LÓPEZ VELANDIA</v>
      </c>
      <c r="M1474" s="71">
        <f>IFERROR(IF(VLOOKUP(A1474,[10]PRIORIZADOS!$A:$M,13,FALSE)="","",VLOOKUP(A1474,[10]PRIORIZADOS!$A:$M,13,FALSE)),"")</f>
        <v>45859</v>
      </c>
      <c r="N1474" s="71" t="str">
        <f>IFERROR(IF(VLOOKUP(A1474,[10]PRIORIZADOS!$A:$N,14,FALSE)="","",VLOOKUP(A1474,[10]PRIORIZADOS!$A:$N,14,FALSE)),"")</f>
        <v>22/07/2025</v>
      </c>
      <c r="O1474" s="71" t="str">
        <f>IFERROR(IF(VLOOKUP(A1474,[10]PRIORIZADOS!$A:$O,15,FALSE)="","",VLOOKUP(A1474,[10]PRIORIZADOS!$A:$O,15,FALSE)),"")</f>
        <v>22/07/2025</v>
      </c>
      <c r="P1474" s="11" t="str">
        <f>IFERROR(IF(VLOOKUP(A1474,[10]PRIORIZADOS!$A:$P,16,FALSE)="","",VLOOKUP(A1474,[10]PRIORIZADOS!$A:$P,16,FALSE)),"")</f>
        <v>Visitas de evaluación con fines de mejoramiento</v>
      </c>
      <c r="Q1474" s="107" t="s">
        <v>352</v>
      </c>
      <c r="R1474" s="11" t="str">
        <f>IFERROR(IF(VLOOKUP(A1474,[10]PRIORIZADOS!$A:$R,18,FALSE)="","",VLOOKUP(A1474,[10]PRIORIZADOS!$A:$R,18,FALSE)),"")</f>
        <v>Se verificó la implementación de los protocolos de atención integral para la convivencia escolar y el ejercicio de los derechos humanos, derechos sexuales y derechos reproductivos por parte del equipo de orientación y la implementación de acciones preventivas y pedagógicas frente a situaciones de violencia sexual en el 
entorno escolar, sin embargo, no se realizan los procesos asociados a la verificación cada 4 meses las inhabilidades por delitos sexuales en la página de la Policía Nacional.</v>
      </c>
      <c r="S1474" s="11" t="str">
        <f>IFERROR(IF(VLOOKUP(A1474,[10]PRIORIZADOS!$A:$S,19,FALSE)="","",VLOOKUP(A1474,[10]PRIORIZADOS!$A:$S,19,FALSE)),"")</f>
        <v xml:space="preserve">Realizar la verificación cada 4 meses a las inhabilidades por delitos sexuales para docentes y administrativos. </v>
      </c>
      <c r="T1474" s="70" t="str">
        <f>IFERROR(IF(VLOOKUP(A1474,[10]PRIORIZADOS!$A:$T,20,FALSE)="","",VLOOKUP(A1474,[10]PRIORIZADOS!$A:$T,20,FALSE)),"")</f>
        <v>Si</v>
      </c>
      <c r="U1474" s="11" t="str">
        <f>IFERROR(IF(VLOOKUP(A1474,[10]PRIORIZADOS!$A:$U,21,FALSE)="","",VLOOKUP(A1474,[10]PRIORIZADOS!$A:$U,21,FALSE)),"")</f>
        <v>Verificar la presentación del plan de mejoramiento el 15 de agosto de 2025</v>
      </c>
    </row>
    <row r="1475" spans="1:21" s="1" customFormat="1" ht="84">
      <c r="A1475" s="69">
        <f>IF([10]PRIORIZADOS!A89="","",[10]PRIORIZADOS!A89)</f>
        <v>1417</v>
      </c>
      <c r="B1475" s="70">
        <f>IFERROR(IF(VLOOKUP(A1475,[10]PRIORIZADOS!$A:$B,2,FALSE)="","",VLOOKUP(A1475,[10]PRIORIZADOS!$A:$B,2,FALSE)),"")</f>
        <v>13</v>
      </c>
      <c r="C1475" s="11" t="str">
        <f>IFERROR(IF(VLOOKUP(A1475,[10]PRIORIZADOS!$A:$C,3,FALSE)="","",VLOOKUP(A1475,[10]PRIORIZADOS!$A:$C,3,FALSE)),"")</f>
        <v>PUENTE ARANDA</v>
      </c>
      <c r="D1475" s="11" t="str">
        <f>IFERROR(IF(VLOOKUP(A1475,[10]PRIORIZADOS!$A:$D,4,FALSE)="","",VLOOKUP(A1475,[10]PRIORIZADOS!$A:$D,4,FALSE)),"")</f>
        <v>OFICIAL</v>
      </c>
      <c r="E1475" s="11" t="str">
        <f>IFERROR(IF(VLOOKUP(A1475,[10]PRIORIZADOS!$A:$E,5,FALSE)="","",VLOOKUP(A1475,[10]PRIORIZADOS!$A:$E,5,FALSE)),"")</f>
        <v>EPBM</v>
      </c>
      <c r="F1475" s="11" t="str">
        <f>IFERROR(IF(VLOOKUP(A1475,[10]PRIORIZADOS!$A:$F,6,FALSE)="","",VLOOKUP(A1475,[10]PRIORIZADOS!$A:$F,6,FALSE)),"")</f>
        <v>COLEGIO_ESPAÑA_IED</v>
      </c>
      <c r="G1475" s="11" t="str">
        <f>IFERROR(IF(VLOOKUP(A1475,[10]PRIORIZADOS!$A:$G,7,FALSE)="","",VLOOKUP(A1475,[10]PRIORIZADOS!$A:$G,7,FALSE)),"")</f>
        <v>COLEGIO_ESPAÑA_IED</v>
      </c>
      <c r="H1475" s="11" t="str">
        <f>IFERROR(IF(VLOOKUP(A1475,[10]PRIORIZADOS!$A:$H,8,FALSE)="","",VLOOKUP(A1475,[10]PRIORIZADOS!$A:$H,8,FALSE)),"")</f>
        <v>Autoevaluación Institucional y Pruebas SABER 11</v>
      </c>
      <c r="I1475" s="11" t="str">
        <f>IFERROR(IF(VLOOKUP(A1475,[10]PRIORIZADOS!$A:$I,9,FALSE)="","",VLOOKUP(A1475,[10]PRIORIZADOS!$A:$I,9,FALSE)),"")</f>
        <v>EVALUACIÓN_CON_FINES_DE_MEJORAMIENTO.</v>
      </c>
      <c r="J1475" s="11" t="str">
        <f>IFERROR(IF(VLOOKUP(A1475,[10]PRIORIZADOS!$A:$J,10,FALSE)="","",VLOOKUP(A1475,[10]PRIORIZADOS!$A:$J,10,FALSE)),"")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75" s="11" t="str">
        <f>IFERROR(IF(VLOOKUP(A1475,[10]PRIORIZADOS!$A:$K,11,FALSE)="","",VLOOKUP(A1475,[10]PRIORIZADOS!$A:$K,11,FALSE)),"")</f>
        <v>ALBERTO ESCARRAGA PEÑUELA</v>
      </c>
      <c r="L1475" s="11" t="str">
        <f>IFERROR(IF(VLOOKUP(A1475,[10]PRIORIZADOS!$A:$L,12,FALSE)="","",VLOOKUP(A1475,[10]PRIORIZADOS!$A:$L,12,FALSE)),"")</f>
        <v>CRISTIAN CAMILO LÓPEZ VELANDIA</v>
      </c>
      <c r="M1475" s="71">
        <f>IFERROR(IF(VLOOKUP(A1475,[10]PRIORIZADOS!$A:$M,13,FALSE)="","",VLOOKUP(A1475,[10]PRIORIZADOS!$A:$M,13,FALSE)),"")</f>
        <v>45859</v>
      </c>
      <c r="N1475" s="71" t="str">
        <f>IFERROR(IF(VLOOKUP(A1475,[10]PRIORIZADOS!$A:$N,14,FALSE)="","",VLOOKUP(A1475,[10]PRIORIZADOS!$A:$N,14,FALSE)),"")</f>
        <v>22/07/2025</v>
      </c>
      <c r="O1475" s="71" t="str">
        <f>IFERROR(IF(VLOOKUP(A1475,[10]PRIORIZADOS!$A:$O,15,FALSE)="","",VLOOKUP(A1475,[10]PRIORIZADOS!$A:$O,15,FALSE)),"")</f>
        <v>22/07/20025</v>
      </c>
      <c r="P1475" s="11" t="str">
        <f>IFERROR(IF(VLOOKUP(A1475,[10]PRIORIZADOS!$A:$P,16,FALSE)="","",VLOOKUP(A1475,[10]PRIORIZADOS!$A:$P,16,FALSE)),"")</f>
        <v>Visitas de evaluación con fines de mejoramiento</v>
      </c>
      <c r="Q1475" s="107" t="s">
        <v>352</v>
      </c>
      <c r="R1475" s="11" t="str">
        <f>IFERROR(IF(VLOOKUP(A1475,[10]PRIORIZADOS!$A:$R,18,FALSE)="","",VLOOKUP(A1475,[10]PRIORIZADOS!$A:$R,18,FALSE)),"")</f>
        <v>Se encotro que la institución no tiene contemplado en la manual de convivencia el proyecto de servicio social obligatorio, así como un procedimiento para la atención de los estudiantes en orientación escolar.</v>
      </c>
      <c r="S1475" s="11" t="str">
        <f>IFERROR(IF(VLOOKUP(A1475,[10]PRIORIZADOS!$A:$S,19,FALSE)="","",VLOOKUP(A1475,[10]PRIORIZADOS!$A:$S,19,FALSE)),"")</f>
        <v>Se dede incorporar al manual de convivencia el proyecto de servicio social y el procedimiento de atención de estudiantes en orientación escolar</v>
      </c>
      <c r="T1475" s="70" t="str">
        <f>IFERROR(IF(VLOOKUP(A1475,[10]PRIORIZADOS!$A:$T,20,FALSE)="","",VLOOKUP(A1475,[10]PRIORIZADOS!$A:$T,20,FALSE)),"")</f>
        <v>Si</v>
      </c>
      <c r="U1475" s="11" t="str">
        <f>IFERROR(IF(VLOOKUP(A1475,[10]PRIORIZADOS!$A:$U,21,FALSE)="","",VLOOKUP(A1475,[10]PRIORIZADOS!$A:$U,21,FALSE)),"")</f>
        <v>Verificar la presentación del plan de mejoramiento el 15 de agosto de 2025</v>
      </c>
    </row>
    <row r="1476" spans="1:21" s="1" customFormat="1" ht="60">
      <c r="A1476" s="69">
        <f>IF([10]PRIORIZADOS!A90="","",[10]PRIORIZADOS!A90)</f>
        <v>1418</v>
      </c>
      <c r="B1476" s="70">
        <f>IFERROR(IF(VLOOKUP(A1476,[10]PRIORIZADOS!$A:$B,2,FALSE)="","",VLOOKUP(A1476,[10]PRIORIZADOS!$A:$B,2,FALSE)),"")</f>
        <v>13</v>
      </c>
      <c r="C1476" s="11" t="str">
        <f>IFERROR(IF(VLOOKUP(A1476,[10]PRIORIZADOS!$A:$C,3,FALSE)="","",VLOOKUP(A1476,[10]PRIORIZADOS!$A:$C,3,FALSE)),"")</f>
        <v>PUENTE ARANDA</v>
      </c>
      <c r="D1476" s="11" t="str">
        <f>IFERROR(IF(VLOOKUP(A1476,[10]PRIORIZADOS!$A:$D,4,FALSE)="","",VLOOKUP(A1476,[10]PRIORIZADOS!$A:$D,4,FALSE)),"")</f>
        <v>OFICIAL</v>
      </c>
      <c r="E1476" s="11" t="str">
        <f>IFERROR(IF(VLOOKUP(A1476,[10]PRIORIZADOS!$A:$E,5,FALSE)="","",VLOOKUP(A1476,[10]PRIORIZADOS!$A:$E,5,FALSE)),"")</f>
        <v>EPBM</v>
      </c>
      <c r="F1476" s="11" t="str">
        <f>IFERROR(IF(VLOOKUP(A1476,[10]PRIORIZADOS!$A:$F,6,FALSE)="","",VLOOKUP(A1476,[10]PRIORIZADOS!$A:$F,6,FALSE)),"")</f>
        <v>COLEGIO_ESPAÑA_IED</v>
      </c>
      <c r="G1476" s="11" t="str">
        <f>IFERROR(IF(VLOOKUP(A1476,[10]PRIORIZADOS!$A:$G,7,FALSE)="","",VLOOKUP(A1476,[10]PRIORIZADOS!$A:$G,7,FALSE)),"")</f>
        <v>COLEGIO_ESPAÑA_IED</v>
      </c>
      <c r="H1476" s="11" t="str">
        <f>IFERROR(IF(VLOOKUP(A1476,[10]PRIORIZADOS!$A:$H,8,FALSE)="","",VLOOKUP(A1476,[10]PRIORIZADOS!$A:$H,8,FALSE)),"")</f>
        <v>Autoevaluación Institucional y Pruebas SABER 11</v>
      </c>
      <c r="I1476" s="11" t="str">
        <f>IFERROR(IF(VLOOKUP(A1476,[10]PRIORIZADOS!$A:$I,9,FALSE)="","",VLOOKUP(A1476,[10]PRIORIZADOS!$A:$I,9,FALSE)),"")</f>
        <v>EVALUACIÓN_CON_FINES_DE_MEJORAMIENTO.</v>
      </c>
      <c r="J1476" s="11" t="str">
        <f>IFERROR(IF(VLOOKUP(A1476,[10]PRIORIZADOS!$A:$J,10,FALSE)="","",VLOOKUP(A1476,[10]PRIORIZADOS!$A:$J,10,FALSE)),"")</f>
        <v>Revisar la actualización, socialización e implementación del Sistema Institucional de Evaluación de Estudiantes - SIEE, en articulación con la actualización del PEI y la normatividad vigente.</v>
      </c>
      <c r="K1476" s="11" t="str">
        <f>IFERROR(IF(VLOOKUP(A1476,[10]PRIORIZADOS!$A:$K,11,FALSE)="","",VLOOKUP(A1476,[10]PRIORIZADOS!$A:$K,11,FALSE)),"")</f>
        <v>ALBERTO ESCARRAGA PEÑUELA</v>
      </c>
      <c r="L1476" s="11" t="str">
        <f>IFERROR(IF(VLOOKUP(A1476,[10]PRIORIZADOS!$A:$L,12,FALSE)="","",VLOOKUP(A1476,[10]PRIORIZADOS!$A:$L,12,FALSE)),"")</f>
        <v>CRISTIAN CAMILO LÓPEZ VELANDIA</v>
      </c>
      <c r="M1476" s="71">
        <f>IFERROR(IF(VLOOKUP(A1476,[10]PRIORIZADOS!$A:$M,13,FALSE)="","",VLOOKUP(A1476,[10]PRIORIZADOS!$A:$M,13,FALSE)),"")</f>
        <v>45859</v>
      </c>
      <c r="N1476" s="71" t="str">
        <f>IFERROR(IF(VLOOKUP(A1476,[10]PRIORIZADOS!$A:$N,14,FALSE)="","",VLOOKUP(A1476,[10]PRIORIZADOS!$A:$N,14,FALSE)),"")</f>
        <v>22/7/2025</v>
      </c>
      <c r="O1476" s="71" t="str">
        <f>IFERROR(IF(VLOOKUP(A1476,[10]PRIORIZADOS!$A:$O,15,FALSE)="","",VLOOKUP(A1476,[10]PRIORIZADOS!$A:$O,15,FALSE)),"")</f>
        <v>22/07/2025</v>
      </c>
      <c r="P1476" s="11" t="str">
        <f>IFERROR(IF(VLOOKUP(A1476,[10]PRIORIZADOS!$A:$P,16,FALSE)="","",VLOOKUP(A1476,[10]PRIORIZADOS!$A:$P,16,FALSE)),"")</f>
        <v>Visitas de evaluación con fines de mejoramiento</v>
      </c>
      <c r="Q1476" s="107" t="s">
        <v>352</v>
      </c>
      <c r="R1476" s="11" t="str">
        <f>IFERROR(IF(VLOOKUP(A1476,[10]PRIORIZADOS!$A:$R,18,FALSE)="","",VLOOKUP(A1476,[10]PRIORIZADOS!$A:$R,18,FALSE)),"")</f>
        <v>SIIE estructurado de acuerdo con la norma; sin embargo, omite lo asociado a mecanismos y reglas asociadas a la nivelación y recuperación de procesos académicos del estudiante.</v>
      </c>
      <c r="S1476" s="11" t="str">
        <f>IFERROR(IF(VLOOKUP(A1476,[10]PRIORIZADOS!$A:$S,19,FALSE)="","",VLOOKUP(A1476,[10]PRIORIZADOS!$A:$S,19,FALSE)),"")</f>
        <v>Dar claridad en lo referente a mecanismos y reglas asociadas a planes de mejora para la nivelación y recuperación de procesos académicos del estudiante.</v>
      </c>
      <c r="T1476" s="70" t="str">
        <f>IFERROR(IF(VLOOKUP(A1476,[10]PRIORIZADOS!$A:$T,20,FALSE)="","",VLOOKUP(A1476,[10]PRIORIZADOS!$A:$T,20,FALSE)),"")</f>
        <v>Si</v>
      </c>
      <c r="U1476" s="11" t="str">
        <f>IFERROR(IF(VLOOKUP(A1476,[10]PRIORIZADOS!$A:$U,21,FALSE)="","",VLOOKUP(A1476,[10]PRIORIZADOS!$A:$U,21,FALSE)),"")</f>
        <v>Verificar la presentación del plan de mejoramiento el 15 de agosto de 2025</v>
      </c>
    </row>
    <row r="1477" spans="1:21" s="1" customFormat="1" ht="84">
      <c r="A1477" s="69">
        <f>IF([10]PRIORIZADOS!A91="","",[10]PRIORIZADOS!A91)</f>
        <v>1419</v>
      </c>
      <c r="B1477" s="70">
        <f>IFERROR(IF(VLOOKUP(A1477,[10]PRIORIZADOS!$A:$B,2,FALSE)="","",VLOOKUP(A1477,[10]PRIORIZADOS!$A:$B,2,FALSE)),"")</f>
        <v>13</v>
      </c>
      <c r="C1477" s="11" t="str">
        <f>IFERROR(IF(VLOOKUP(A1477,[10]PRIORIZADOS!$A:$C,3,FALSE)="","",VLOOKUP(A1477,[10]PRIORIZADOS!$A:$C,3,FALSE)),"")</f>
        <v>PUENTE ARANDA</v>
      </c>
      <c r="D1477" s="11" t="str">
        <f>IFERROR(IF(VLOOKUP(A1477,[10]PRIORIZADOS!$A:$D,4,FALSE)="","",VLOOKUP(A1477,[10]PRIORIZADOS!$A:$D,4,FALSE)),"")</f>
        <v>OFICIAL</v>
      </c>
      <c r="E1477" s="11" t="str">
        <f>IFERROR(IF(VLOOKUP(A1477,[10]PRIORIZADOS!$A:$E,5,FALSE)="","",VLOOKUP(A1477,[10]PRIORIZADOS!$A:$E,5,FALSE)),"")</f>
        <v>EPBM</v>
      </c>
      <c r="F1477" s="11" t="str">
        <f>IFERROR(IF(VLOOKUP(A1477,[10]PRIORIZADOS!$A:$F,6,FALSE)="","",VLOOKUP(A1477,[10]PRIORIZADOS!$A:$F,6,FALSE)),"")</f>
        <v>COLEGIO_ESPAÑA_IED</v>
      </c>
      <c r="G1477" s="11" t="str">
        <f>IFERROR(IF(VLOOKUP(A1477,[10]PRIORIZADOS!$A:$G,7,FALSE)="","",VLOOKUP(A1477,[10]PRIORIZADOS!$A:$G,7,FALSE)),"")</f>
        <v>COLEGIO_ESPAÑA_IED</v>
      </c>
      <c r="H1477" s="11" t="str">
        <f>IFERROR(IF(VLOOKUP(A1477,[10]PRIORIZADOS!$A:$H,8,FALSE)="","",VLOOKUP(A1477,[10]PRIORIZADOS!$A:$H,8,FALSE)),"")</f>
        <v>Autoevaluación Institucional y Pruebas SABER 11</v>
      </c>
      <c r="I1477" s="11" t="str">
        <f>IFERROR(IF(VLOOKUP(A1477,[10]PRIORIZADOS!$A:$I,9,FALSE)="","",VLOOKUP(A1477,[10]PRIORIZADOS!$A:$I,9,FALSE)),"")</f>
        <v>EVALUACIÓN_CON_FINES_DE_MEJORAMIENTO.</v>
      </c>
      <c r="J1477" s="11" t="str">
        <f>IFERROR(IF(VLOOKUP(A1477,[10]PRIORIZADOS!$A:$J,10,FALSE)="","",VLOOKUP(A1477,[10]PRIORIZADOS!$A:$J,10,FALSE)),"")</f>
        <v>Verificar el funcionamiento del Gobierno Escolar e instancias de participación con base en la información sobre conformación reportada por la institución educativa.</v>
      </c>
      <c r="K1477" s="11" t="str">
        <f>IFERROR(IF(VLOOKUP(A1477,[10]PRIORIZADOS!$A:$K,11,FALSE)="","",VLOOKUP(A1477,[10]PRIORIZADOS!$A:$K,11,FALSE)),"")</f>
        <v>ALBERTO ESCARRAGA PEÑUELA</v>
      </c>
      <c r="L1477" s="11" t="str">
        <f>IFERROR(IF(VLOOKUP(A1477,[10]PRIORIZADOS!$A:$L,12,FALSE)="","",VLOOKUP(A1477,[10]PRIORIZADOS!$A:$L,12,FALSE)),"")</f>
        <v>CRISTIAN CAMILO LÓPEZ VELANDIA</v>
      </c>
      <c r="M1477" s="71">
        <f>IFERROR(IF(VLOOKUP(A1477,[10]PRIORIZADOS!$A:$M,13,FALSE)="","",VLOOKUP(A1477,[10]PRIORIZADOS!$A:$M,13,FALSE)),"")</f>
        <v>45859</v>
      </c>
      <c r="N1477" s="71">
        <f>IFERROR(IF(VLOOKUP(A1477,[10]PRIORIZADOS!$A:$N,14,FALSE)="","",VLOOKUP(A1477,[10]PRIORIZADOS!$A:$N,14,FALSE)),"")</f>
        <v>45860</v>
      </c>
      <c r="O1477" s="71">
        <f>IFERROR(IF(VLOOKUP(A1477,[10]PRIORIZADOS!$A:$O,15,FALSE)="","",VLOOKUP(A1477,[10]PRIORIZADOS!$A:$O,15,FALSE)),"")</f>
        <v>45860</v>
      </c>
      <c r="P1477" s="11" t="str">
        <f>IFERROR(IF(VLOOKUP(A1477,[10]PRIORIZADOS!$A:$P,16,FALSE)="","",VLOOKUP(A1477,[10]PRIORIZADOS!$A:$P,16,FALSE)),"")</f>
        <v>Visitas de evaluación con fines de mejoramiento</v>
      </c>
      <c r="Q1477" s="107" t="s">
        <v>352</v>
      </c>
      <c r="R1477" s="11" t="str">
        <f>IFERROR(IF(VLOOKUP(A1477,[10]PRIORIZADOS!$A:$R,18,FALSE)="","",VLOOKUP(A1477,[10]PRIORIZADOS!$A:$R,18,FALSE)),"")</f>
        <v xml:space="preserve">Se encontro que la institucion no reglamento la conformación de la comisión de evaluación y promoción, así mismo, no tiene el aval del consejo académico o directivo para los planes de mejoramiento en los estudiantes con bajo rendimiento académico </v>
      </c>
      <c r="S1477" s="11" t="str">
        <f>IFERROR(IF(VLOOKUP(A1477,[10]PRIORIZADOS!$A:$S,19,FALSE)="","",VLOOKUP(A1477,[10]PRIORIZADOS!$A:$S,19,FALSE)),"")</f>
        <v xml:space="preserve">Reglamentar las comisiones de evaluación y promoción y avalar por el consejo académico y directivos los planes de mejoramientos con los estudiantes con bajos rendimientos académicos </v>
      </c>
      <c r="T1477" s="70" t="str">
        <f>IFERROR(IF(VLOOKUP(A1477,[10]PRIORIZADOS!$A:$T,20,FALSE)="","",VLOOKUP(A1477,[10]PRIORIZADOS!$A:$T,20,FALSE)),"")</f>
        <v>Si</v>
      </c>
      <c r="U1477" s="11" t="str">
        <f>IFERROR(IF(VLOOKUP(A1477,[10]PRIORIZADOS!$A:$U,21,FALSE)="","",VLOOKUP(A1477,[10]PRIORIZADOS!$A:$U,21,FALSE)),"")</f>
        <v>Verificar la presentación del plan de mejoramiento el 15 de agosto de 2025</v>
      </c>
    </row>
    <row r="1478" spans="1:21" s="1" customFormat="1" ht="84">
      <c r="A1478" s="69">
        <f>IF([10]PRIORIZADOS!A92="","",[10]PRIORIZADOS!A92)</f>
        <v>1420</v>
      </c>
      <c r="B1478" s="70">
        <f>IFERROR(IF(VLOOKUP(A1478,[10]PRIORIZADOS!$A:$B,2,FALSE)="","",VLOOKUP(A1478,[10]PRIORIZADOS!$A:$B,2,FALSE)),"")</f>
        <v>13</v>
      </c>
      <c r="C1478" s="11" t="str">
        <f>IFERROR(IF(VLOOKUP(A1478,[10]PRIORIZADOS!$A:$C,3,FALSE)="","",VLOOKUP(A1478,[10]PRIORIZADOS!$A:$C,3,FALSE)),"")</f>
        <v>PUENTE ARANDA</v>
      </c>
      <c r="D1478" s="11" t="str">
        <f>IFERROR(IF(VLOOKUP(A1478,[10]PRIORIZADOS!$A:$D,4,FALSE)="","",VLOOKUP(A1478,[10]PRIORIZADOS!$A:$D,4,FALSE)),"")</f>
        <v>OFICIAL</v>
      </c>
      <c r="E1478" s="11" t="str">
        <f>IFERROR(IF(VLOOKUP(A1478,[10]PRIORIZADOS!$A:$E,5,FALSE)="","",VLOOKUP(A1478,[10]PRIORIZADOS!$A:$E,5,FALSE)),"")</f>
        <v>EPBM</v>
      </c>
      <c r="F1478" s="11" t="str">
        <f>IFERROR(IF(VLOOKUP(A1478,[10]PRIORIZADOS!$A:$F,6,FALSE)="","",VLOOKUP(A1478,[10]PRIORIZADOS!$A:$F,6,FALSE)),"")</f>
        <v>COLEGIO_ESPAÑA_IED</v>
      </c>
      <c r="G1478" s="11" t="str">
        <f>IFERROR(IF(VLOOKUP(A1478,[10]PRIORIZADOS!$A:$G,7,FALSE)="","",VLOOKUP(A1478,[10]PRIORIZADOS!$A:$G,7,FALSE)),"")</f>
        <v>COLEGIO_ESPAÑA_IED</v>
      </c>
      <c r="H1478" s="11" t="str">
        <f>IFERROR(IF(VLOOKUP(A1478,[10]PRIORIZADOS!$A:$H,8,FALSE)="","",VLOOKUP(A1478,[10]PRIORIZADOS!$A:$H,8,FALSE)),"")</f>
        <v>Autoevaluación Institucional y Pruebas SABER 11</v>
      </c>
      <c r="I1478" s="11" t="str">
        <f>IFERROR(IF(VLOOKUP(A1478,[10]PRIORIZADOS!$A:$I,9,FALSE)="","",VLOOKUP(A1478,[10]PRIORIZADOS!$A:$I,9,FALSE)),"")</f>
        <v>EVALUACIÓN_CON_FINES_DE_MEJORAMIENTO.</v>
      </c>
      <c r="J1478" s="11" t="str">
        <f>IFERROR(IF(VLOOKUP(A1478,[10]PRIORIZADOS!$A:$J,10,FALSE)="","",VLOOKUP(A1478,[10]PRIORIZADOS!$A:$J,10,FALSE)),"")</f>
        <v>Verificar las condiciones en cuanto a: la estructura administrativa, condiciones de la planta física y medios educativos adecuados.</v>
      </c>
      <c r="K1478" s="11" t="str">
        <f>IFERROR(IF(VLOOKUP(A1478,[10]PRIORIZADOS!$A:$K,11,FALSE)="","",VLOOKUP(A1478,[10]PRIORIZADOS!$A:$K,11,FALSE)),"")</f>
        <v>ALBERTO ESCARRAGA PEÑUELA</v>
      </c>
      <c r="L1478" s="11" t="str">
        <f>IFERROR(IF(VLOOKUP(A1478,[10]PRIORIZADOS!$A:$L,12,FALSE)="","",VLOOKUP(A1478,[10]PRIORIZADOS!$A:$L,12,FALSE)),"")</f>
        <v>CRISTIAN CAMILO LÓPEZ VELANDIA</v>
      </c>
      <c r="M1478" s="71">
        <f>IFERROR(IF(VLOOKUP(A1478,[10]PRIORIZADOS!$A:$M,13,FALSE)="","",VLOOKUP(A1478,[10]PRIORIZADOS!$A:$M,13,FALSE)),"")</f>
        <v>45859</v>
      </c>
      <c r="N1478" s="71" t="str">
        <f>IFERROR(IF(VLOOKUP(A1478,[10]PRIORIZADOS!$A:$N,14,FALSE)="","",VLOOKUP(A1478,[10]PRIORIZADOS!$A:$N,14,FALSE)),"")</f>
        <v>22/07/2025</v>
      </c>
      <c r="O1478" s="71" t="str">
        <f>IFERROR(IF(VLOOKUP(A1478,[10]PRIORIZADOS!$A:$O,15,FALSE)="","",VLOOKUP(A1478,[10]PRIORIZADOS!$A:$O,15,FALSE)),"")</f>
        <v>22/07/2025</v>
      </c>
      <c r="P1478" s="11" t="str">
        <f>IFERROR(IF(VLOOKUP(A1478,[10]PRIORIZADOS!$A:$P,16,FALSE)="","",VLOOKUP(A1478,[10]PRIORIZADOS!$A:$P,16,FALSE)),"")</f>
        <v>Visitas de evaluación con fines de mejoramiento</v>
      </c>
      <c r="Q1478" s="107" t="s">
        <v>352</v>
      </c>
      <c r="R1478" s="11" t="str">
        <f>IFERROR(IF(VLOOKUP(A1478,[10]PRIORIZADOS!$A:$R,18,FALSE)="","",VLOOKUP(A1478,[10]PRIORIZADOS!$A:$R,18,FALSE)),"")</f>
        <v>Existe un buen nivel de organización administrativa y una planta física apropiada; sin embargo, no se encontró organigrama. Se encuentra que el PEGR-CC no se encuentra actualizado ni % de cumplimiento mayor a 80% para las dos sedes y las dos jornadas.</v>
      </c>
      <c r="S1478" s="11" t="str">
        <f>IFERROR(IF(VLOOKUP(A1478,[10]PRIORIZADOS!$A:$S,19,FALSE)="","",VLOOKUP(A1478,[10]PRIORIZADOS!$A:$S,19,FALSE)),"")</f>
        <v>Elaborar el organigrama institucional y actualizar el PEGR-CC para las dos sedes y las dos jornadas..</v>
      </c>
      <c r="T1478" s="70" t="str">
        <f>IFERROR(IF(VLOOKUP(A1478,[10]PRIORIZADOS!$A:$T,20,FALSE)="","",VLOOKUP(A1478,[10]PRIORIZADOS!$A:$T,20,FALSE)),"")</f>
        <v>Si</v>
      </c>
      <c r="U1478" s="11" t="str">
        <f>IFERROR(IF(VLOOKUP(A1478,[10]PRIORIZADOS!$A:$U,21,FALSE)="","",VLOOKUP(A1478,[10]PRIORIZADOS!$A:$U,21,FALSE)),"")</f>
        <v>Verificar la presentación del plan de mejoramiento el 15 de agosto de 2025</v>
      </c>
    </row>
    <row r="1479" spans="1:21" s="1" customFormat="1" ht="60">
      <c r="A1479" s="69">
        <f>IF([10]PRIORIZADOS!A93="","",[10]PRIORIZADOS!A93)</f>
        <v>1421</v>
      </c>
      <c r="B1479" s="70">
        <f>IFERROR(IF(VLOOKUP(A1479,[10]PRIORIZADOS!$A:$B,2,FALSE)="","",VLOOKUP(A1479,[10]PRIORIZADOS!$A:$B,2,FALSE)),"")</f>
        <v>13</v>
      </c>
      <c r="C1479" s="11" t="str">
        <f>IFERROR(IF(VLOOKUP(A1479,[10]PRIORIZADOS!$A:$C,3,FALSE)="","",VLOOKUP(A1479,[10]PRIORIZADOS!$A:$C,3,FALSE)),"")</f>
        <v>PUENTE ARANDA</v>
      </c>
      <c r="D1479" s="11" t="str">
        <f>IFERROR(IF(VLOOKUP(A1479,[10]PRIORIZADOS!$A:$D,4,FALSE)="","",VLOOKUP(A1479,[10]PRIORIZADOS!$A:$D,4,FALSE)),"")</f>
        <v>OFICIAL</v>
      </c>
      <c r="E1479" s="11" t="str">
        <f>IFERROR(IF(VLOOKUP(A1479,[10]PRIORIZADOS!$A:$E,5,FALSE)="","",VLOOKUP(A1479,[10]PRIORIZADOS!$A:$E,5,FALSE)),"")</f>
        <v>EPBM</v>
      </c>
      <c r="F1479" s="11" t="str">
        <f>IFERROR(IF(VLOOKUP(A1479,[10]PRIORIZADOS!$A:$F,6,FALSE)="","",VLOOKUP(A1479,[10]PRIORIZADOS!$A:$F,6,FALSE)),"")</f>
        <v>COLEGIO_ESPAÑA_IED</v>
      </c>
      <c r="G1479" s="11" t="str">
        <f>IFERROR(IF(VLOOKUP(A1479,[10]PRIORIZADOS!$A:$G,7,FALSE)="","",VLOOKUP(A1479,[10]PRIORIZADOS!$A:$G,7,FALSE)),"")</f>
        <v>COLEGIO_ESPAÑA_IED</v>
      </c>
      <c r="H1479" s="11" t="str">
        <f>IFERROR(IF(VLOOKUP(A1479,[10]PRIORIZADOS!$A:$H,8,FALSE)="","",VLOOKUP(A1479,[10]PRIORIZADOS!$A:$H,8,FALSE)),"")</f>
        <v>Autoevaluación Institucional y Pruebas SABER 11</v>
      </c>
      <c r="I1479" s="11" t="str">
        <f>IFERROR(IF(VLOOKUP(A1479,[10]PRIORIZADOS!$A:$I,9,FALSE)="","",VLOOKUP(A1479,[10]PRIORIZADOS!$A:$I,9,FALSE)),"")</f>
        <v>EVALUACIÓN_CON_FINES_DE_MEJORAMIENTO.</v>
      </c>
      <c r="J1479" s="11" t="str">
        <f>IFERROR(IF(VLOOKUP(A1479,[10]PRIORIZADOS!$A:$J,10,FALSE)="","",VLOOKUP(A1479,[10]PRIORIZADOS!$A:$J,10,FALSE)),"")</f>
        <v>Revisar el calendario escolar, jornada escolar, la intensidad horaria mínima anual en cada nivel y las modificaciones que se realicen al mismo, de acuerdo con lo previsto en la normatividad vigente.</v>
      </c>
      <c r="K1479" s="11" t="str">
        <f>IFERROR(IF(VLOOKUP(A1479,[10]PRIORIZADOS!$A:$K,11,FALSE)="","",VLOOKUP(A1479,[10]PRIORIZADOS!$A:$K,11,FALSE)),"")</f>
        <v>ALBERTO ESCARRAGA PEÑUELA</v>
      </c>
      <c r="L1479" s="11" t="str">
        <f>IFERROR(IF(VLOOKUP(A1479,[10]PRIORIZADOS!$A:$L,12,FALSE)="","",VLOOKUP(A1479,[10]PRIORIZADOS!$A:$L,12,FALSE)),"")</f>
        <v>CRISTIAN CAMILO LÓPEZ VELANDIA</v>
      </c>
      <c r="M1479" s="71">
        <f>IFERROR(IF(VLOOKUP(A1479,[10]PRIORIZADOS!$A:$M,13,FALSE)="","",VLOOKUP(A1479,[10]PRIORIZADOS!$A:$M,13,FALSE)),"")</f>
        <v>45859</v>
      </c>
      <c r="N1479" s="71" t="str">
        <f>IFERROR(IF(VLOOKUP(A1479,[10]PRIORIZADOS!$A:$N,14,FALSE)="","",VLOOKUP(A1479,[10]PRIORIZADOS!$A:$N,14,FALSE)),"")</f>
        <v>22/07/2025</v>
      </c>
      <c r="O1479" s="71" t="str">
        <f>IFERROR(IF(VLOOKUP(A1479,[10]PRIORIZADOS!$A:$O,15,FALSE)="","",VLOOKUP(A1479,[10]PRIORIZADOS!$A:$O,15,FALSE)),"")</f>
        <v>22/07/2025</v>
      </c>
      <c r="P1479" s="11" t="str">
        <f>IFERROR(IF(VLOOKUP(A1479,[10]PRIORIZADOS!$A:$P,16,FALSE)="","",VLOOKUP(A1479,[10]PRIORIZADOS!$A:$P,16,FALSE)),"")</f>
        <v>Visitas de evaluación con fines de mejoramiento</v>
      </c>
      <c r="Q1479" s="107" t="s">
        <v>352</v>
      </c>
      <c r="R1479" s="11" t="str">
        <f>IFERROR(IF(VLOOKUP(A1479,[10]PRIORIZADOS!$A:$R,18,FALSE)="","",VLOOKUP(A1479,[10]PRIORIZADOS!$A:$R,18,FALSE)),"")</f>
        <v>El Colegio cumple el calendario académico definido por la SED, los horarios de cada nivel y de cada jornada permite el cumplimiento de las intensidades horarias anuales mínimas de ley.</v>
      </c>
      <c r="S1479" s="11" t="str">
        <f>IFERROR(IF(VLOOKUP(A1479,[10]PRIORIZADOS!$A:$S,19,FALSE)="","",VLOOKUP(A1479,[10]PRIORIZADOS!$A:$S,19,FALSE)),"")</f>
        <v>El colegio cumple con las horas académicas determinadas por la Ley en cada nivel educativo</v>
      </c>
      <c r="T1479" s="70" t="str">
        <f>IFERROR(IF(VLOOKUP(A1479,[10]PRIORIZADOS!$A:$T,20,FALSE)="","",VLOOKUP(A1479,[10]PRIORIZADOS!$A:$T,20,FALSE)),"")</f>
        <v>No</v>
      </c>
      <c r="U1479" s="11" t="str">
        <f>IFERROR(IF(VLOOKUP(A1479,[10]PRIORIZADOS!$A:$U,21,FALSE)="","",VLOOKUP(A1479,[10]PRIORIZADOS!$A:$U,21,FALSE)),"")</f>
        <v>En caso de presentarse PQR se procederá a realizar su respectiva revisión.</v>
      </c>
    </row>
    <row r="1480" spans="1:21" s="1" customFormat="1" ht="96">
      <c r="A1480" s="69">
        <f>IF([10]PRIORIZADOS!A94="","",[10]PRIORIZADOS!A94)</f>
        <v>1422</v>
      </c>
      <c r="B1480" s="70">
        <f>IFERROR(IF(VLOOKUP(A1480,[10]PRIORIZADOS!$A:$B,2,FALSE)="","",VLOOKUP(A1480,[10]PRIORIZADOS!$A:$B,2,FALSE)),"")</f>
        <v>14</v>
      </c>
      <c r="C1480" s="11" t="str">
        <f>IFERROR(IF(VLOOKUP(A1480,[10]PRIORIZADOS!$A:$C,3,FALSE)="","",VLOOKUP(A1480,[10]PRIORIZADOS!$A:$C,3,FALSE)),"")</f>
        <v>PUENTE ARANDA</v>
      </c>
      <c r="D1480" s="11" t="str">
        <f>IFERROR(IF(VLOOKUP(A1480,[10]PRIORIZADOS!$A:$D,4,FALSE)="","",VLOOKUP(A1480,[10]PRIORIZADOS!$A:$D,4,FALSE)),"")</f>
        <v>OFICIAL</v>
      </c>
      <c r="E1480" s="11" t="str">
        <f>IFERROR(IF(VLOOKUP(A1480,[10]PRIORIZADOS!$A:$E,5,FALSE)="","",VLOOKUP(A1480,[10]PRIORIZADOS!$A:$E,5,FALSE)),"")</f>
        <v>EPBM</v>
      </c>
      <c r="F1480" s="11" t="str">
        <f>IFERROR(IF(VLOOKUP(A1480,[10]PRIORIZADOS!$A:$F,6,FALSE)="","",VLOOKUP(A1480,[10]PRIORIZADOS!$A:$F,6,FALSE)),"")</f>
        <v>COLEGIO_LA_MERCED_IED</v>
      </c>
      <c r="G1480" s="11" t="str">
        <f>IFERROR(IF(VLOOKUP(A1480,[10]PRIORIZADOS!$A:$G,7,FALSE)="","",VLOOKUP(A1480,[10]PRIORIZADOS!$A:$G,7,FALSE)),"")</f>
        <v>COLEGIO_LA_MERCED_IED</v>
      </c>
      <c r="H1480" s="11" t="str">
        <f>IFERROR(IF(VLOOKUP(A1480,[10]PRIORIZADOS!$A:$H,8,FALSE)="","",VLOOKUP(A1480,[10]PRIORIZADOS!$A:$H,8,FALSE)),"")</f>
        <v>Autoevaluación Institucional y Pruebas SABER 11</v>
      </c>
      <c r="I1480" s="11" t="str">
        <f>IFERROR(IF(VLOOKUP(A1480,[10]PRIORIZADOS!$A:$I,9,FALSE)="","",VLOOKUP(A1480,[10]PRIORIZADOS!$A:$I,9,FALSE)),"")</f>
        <v>SEGUIMIENTO_Y_SUPERVISIÓN.</v>
      </c>
      <c r="J1480" s="11" t="str">
        <f>IFERROR(IF(VLOOKUP(A1480,[10]PRIORIZADOS!$A:$J,10,FALSE)="","",VLOOKUP(A1480,[10]PRIORIZADOS!$A:$J,10,FALSE)),"")</f>
        <v>Proponer estrategias en la formulación, verificar su elaboración y realizar seguimiento semestral al desarrollo de  las acciones establecidas en los planes de mejoramiento por pruebas SABER 11 de los establecimientos de educación formal.</v>
      </c>
      <c r="K1480" s="11" t="str">
        <f>IFERROR(IF(VLOOKUP(A1480,[10]PRIORIZADOS!$A:$K,11,FALSE)="","",VLOOKUP(A1480,[10]PRIORIZADOS!$A:$K,11,FALSE)),"")</f>
        <v>CRISTIAN CAMILO LÓPEZ VELANDIA</v>
      </c>
      <c r="L1480" s="11" t="str">
        <f>IFERROR(IF(VLOOKUP(A1480,[10]PRIORIZADOS!$A:$L,12,FALSE)="","",VLOOKUP(A1480,[10]PRIORIZADOS!$A:$L,12,FALSE)),"")</f>
        <v>ALBERTO ESCARRAGA PEÑUELA</v>
      </c>
      <c r="M1480" s="71">
        <f>IFERROR(IF(VLOOKUP(A1480,[10]PRIORIZADOS!$A:$M,13,FALSE)="","",VLOOKUP(A1480,[10]PRIORIZADOS!$A:$M,13,FALSE)),"")</f>
        <v>45789</v>
      </c>
      <c r="N1480" s="71">
        <f>IFERROR(IF(VLOOKUP(A1480,[10]PRIORIZADOS!$A:$N,14,FALSE)="","",VLOOKUP(A1480,[10]PRIORIZADOS!$A:$N,14,FALSE)),"")</f>
        <v>45796</v>
      </c>
      <c r="O1480" s="71">
        <f>IFERROR(IF(VLOOKUP(A1480,[10]PRIORIZADOS!$A:$O,15,FALSE)="","",VLOOKUP(A1480,[10]PRIORIZADOS!$A:$O,15,FALSE)),"")</f>
        <v>45797</v>
      </c>
      <c r="P1480" s="11" t="str">
        <f>IFERROR(IF(VLOOKUP(A1480,[10]PRIORIZADOS!$A:$P,16,FALSE)="","",VLOOKUP(A1480,[10]PRIORIZADOS!$A:$P,16,FALSE)),"")</f>
        <v>Visitas de evaluación con fines de mejoramiento</v>
      </c>
      <c r="Q1480" s="107" t="s">
        <v>353</v>
      </c>
      <c r="R1480" s="11" t="str">
        <f>IFERROR(IF(VLOOKUP(A1480,[10]PRIORIZADOS!$A:$R,18,FALSE)="","",VLOOKUP(A1480,[10]PRIORIZADOS!$A:$R,18,FALSE)),"")</f>
        <v xml:space="preserve">Se evidencio que se adelantó análisis de resultados de las pruebas saber 11, de los resultados de los simulacros implementados para los grados 10 y 11 en 2025,  y ha previsto acciones de mejoramiento en los procesos académicos que son evidentes en los planes de área de las asignaturas. </v>
      </c>
      <c r="S1480" s="11" t="str">
        <f>IFERROR(IF(VLOOKUP(A1480,[10]PRIORIZADOS!$A:$S,19,FALSE)="","",VLOOKUP(A1480,[10]PRIORIZADOS!$A:$S,19,FALSE)),"")</f>
        <v>Establecer acciones de mejora  asociadas a acciones específicas asociadas a pruebas SABER 11 con estudiantes en condición de discapacidad e incorporar al plan de mejoramiento y reportarlo el 06/06/2025</v>
      </c>
      <c r="T1480" s="70" t="str">
        <f>IFERROR(IF(VLOOKUP(A1480,[10]PRIORIZADOS!$A:$T,20,FALSE)="","",VLOOKUP(A1480,[10]PRIORIZADOS!$A:$T,20,FALSE)),"")</f>
        <v>Si</v>
      </c>
      <c r="U1480" s="11" t="str">
        <f>IFERROR(IF(VLOOKUP(A1480,[10]PRIORIZADOS!$A:$U,21,FALSE)="","",VLOOKUP(A1480,[10]PRIORIZADOS!$A:$U,21,FALSE)),"")</f>
        <v>Revisión del plan de mejoramiento el 06/06/2025.</v>
      </c>
    </row>
    <row r="1481" spans="1:21" s="1" customFormat="1" ht="166.5">
      <c r="A1481" s="69">
        <f>IF([10]PRIORIZADOS!A95="","",[10]PRIORIZADOS!A95)</f>
        <v>1423</v>
      </c>
      <c r="B1481" s="70">
        <f>IFERROR(IF(VLOOKUP(A1481,[10]PRIORIZADOS!$A:$B,2,FALSE)="","",VLOOKUP(A1481,[10]PRIORIZADOS!$A:$B,2,FALSE)),"")</f>
        <v>14</v>
      </c>
      <c r="C1481" s="11" t="str">
        <f>IFERROR(IF(VLOOKUP(A1481,[10]PRIORIZADOS!$A:$C,3,FALSE)="","",VLOOKUP(A1481,[10]PRIORIZADOS!$A:$C,3,FALSE)),"")</f>
        <v>PUENTE ARANDA</v>
      </c>
      <c r="D1481" s="11" t="str">
        <f>IFERROR(IF(VLOOKUP(A1481,[10]PRIORIZADOS!$A:$D,4,FALSE)="","",VLOOKUP(A1481,[10]PRIORIZADOS!$A:$D,4,FALSE)),"")</f>
        <v>OFICIAL</v>
      </c>
      <c r="E1481" s="11" t="str">
        <f>IFERROR(IF(VLOOKUP(A1481,[10]PRIORIZADOS!$A:$E,5,FALSE)="","",VLOOKUP(A1481,[10]PRIORIZADOS!$A:$E,5,FALSE)),"")</f>
        <v>EPBM</v>
      </c>
      <c r="F1481" s="11" t="str">
        <f>IFERROR(IF(VLOOKUP(A1481,[10]PRIORIZADOS!$A:$F,6,FALSE)="","",VLOOKUP(A1481,[10]PRIORIZADOS!$A:$F,6,FALSE)),"")</f>
        <v>COLEGIO_LA_MERCED_IED</v>
      </c>
      <c r="G1481" s="11" t="str">
        <f>IFERROR(IF(VLOOKUP(A1481,[10]PRIORIZADOS!$A:$G,7,FALSE)="","",VLOOKUP(A1481,[10]PRIORIZADOS!$A:$G,7,FALSE)),"")</f>
        <v>COLEGIO_LA_MERCED_IED</v>
      </c>
      <c r="H1481" s="11" t="str">
        <f>IFERROR(IF(VLOOKUP(A1481,[10]PRIORIZADOS!$A:$H,8,FALSE)="","",VLOOKUP(A1481,[10]PRIORIZADOS!$A:$H,8,FALSE)),"")</f>
        <v>Convivencia escolar</v>
      </c>
      <c r="I1481" s="11" t="str">
        <f>IFERROR(IF(VLOOKUP(A1481,[10]PRIORIZADOS!$A:$I,9,FALSE)="","",VLOOKUP(A1481,[10]PRIORIZADOS!$A:$I,9,FALSE)),"")</f>
        <v>SEGUIMIENTO_Y_SUPERVISIÓN.</v>
      </c>
      <c r="J1481" s="11" t="str">
        <f>IFERROR(IF(VLOOKUP(A1481,[10]PRIORIZADOS!$A:$J,10,FALSE)="","",VLOOKUP(A1481,[10]PRIORIZADOS!$A:$J,10,FALSE)),"")</f>
        <v xml:space="preserve">Verificar la implementación por parte de los colegios, de acciones realizadas para la prevención y atención de las situaciones de convivencia en el entorno escolar, según lo establecido en la Directiva 01 de 2022 del MEN. </v>
      </c>
      <c r="K1481" s="11" t="str">
        <f>IFERROR(IF(VLOOKUP(A1481,[10]PRIORIZADOS!$A:$K,11,FALSE)="","",VLOOKUP(A1481,[10]PRIORIZADOS!$A:$K,11,FALSE)),"")</f>
        <v>CRISTIAN CAMILO LÓPEZ VELANDIA</v>
      </c>
      <c r="L1481" s="11" t="str">
        <f>IFERROR(IF(VLOOKUP(A1481,[10]PRIORIZADOS!$A:$L,12,FALSE)="","",VLOOKUP(A1481,[10]PRIORIZADOS!$A:$L,12,FALSE)),"")</f>
        <v>ALBERTO ESCARRAGA PEÑUELA</v>
      </c>
      <c r="M1481" s="71">
        <f>IFERROR(IF(VLOOKUP(A1481,[10]PRIORIZADOS!$A:$M,13,FALSE)="","",VLOOKUP(A1481,[10]PRIORIZADOS!$A:$M,13,FALSE)),"")</f>
        <v>45789</v>
      </c>
      <c r="N1481" s="71">
        <f>IFERROR(IF(VLOOKUP(A1481,[10]PRIORIZADOS!$A:$N,14,FALSE)="","",VLOOKUP(A1481,[10]PRIORIZADOS!$A:$N,14,FALSE)),"")</f>
        <v>45796</v>
      </c>
      <c r="O1481" s="71">
        <f>IFERROR(IF(VLOOKUP(A1481,[10]PRIORIZADOS!$A:$O,15,FALSE)="","",VLOOKUP(A1481,[10]PRIORIZADOS!$A:$O,15,FALSE)),"")</f>
        <v>45797</v>
      </c>
      <c r="P1481" s="11" t="str">
        <f>IFERROR(IF(VLOOKUP(A1481,[10]PRIORIZADOS!$A:$P,16,FALSE)="","",VLOOKUP(A1481,[10]PRIORIZADOS!$A:$P,16,FALSE)),"")</f>
        <v>Visitas de evaluación con fines de mejoramiento</v>
      </c>
      <c r="Q1481" s="107" t="s">
        <v>353</v>
      </c>
      <c r="R1481" s="11" t="str">
        <f>IFERROR(IF(VLOOKUP(A1481,[10]PRIORIZADOS!$A:$R,18,FALSE)="","",VLOOKUP(A1481,[10]PRIORIZADOS!$A:$R,18,FALSE)),"")</f>
        <v>Se verificó la implementación de los protocolos de atención integral para la convivencia escolar y el ejercicio de los derechos humanos, derechos sexuales y derechos reproductivos por parte del equipo de orientación y la implementación de acciones preventivas y pedagógicas frente a situaciones de violencia sexual en el 
entorno escolar, sin embargo, no se realizan los procesos asociados a la verificación cada 4 meses las inhabilidades por delitos sexuales en la página de la Policía Nacional.</v>
      </c>
      <c r="S1481" s="11" t="str">
        <f>IFERROR(IF(VLOOKUP(A1481,[10]PRIORIZADOS!$A:$S,19,FALSE)="","",VLOOKUP(A1481,[10]PRIORIZADOS!$A:$S,19,FALSE)),"")</f>
        <v>Realizar la verificación cada 4 meses a las inhabilidades por delitos sexuales para docentes y administrativos. Establecer acciones de mejora e incorporar el plan de mejoramiento a reportar el 06/06/2025</v>
      </c>
      <c r="T1481" s="70" t="str">
        <f>IFERROR(IF(VLOOKUP(A1481,[10]PRIORIZADOS!$A:$T,20,FALSE)="","",VLOOKUP(A1481,[10]PRIORIZADOS!$A:$T,20,FALSE)),"")</f>
        <v>SI</v>
      </c>
      <c r="U1481" s="11" t="str">
        <f>IFERROR(IF(VLOOKUP(A1481,[10]PRIORIZADOS!$A:$U,21,FALSE)="","",VLOOKUP(A1481,[10]PRIORIZADOS!$A:$U,21,FALSE)),"")</f>
        <v>Revisión del plan de mejora, contemplada su entrega para el 06/06/2025.</v>
      </c>
    </row>
    <row r="1482" spans="1:21" s="1" customFormat="1" ht="84">
      <c r="A1482" s="69">
        <f>IF([10]PRIORIZADOS!A96="","",[10]PRIORIZADOS!A96)</f>
        <v>1424</v>
      </c>
      <c r="B1482" s="70">
        <f>IFERROR(IF(VLOOKUP(A1482,[10]PRIORIZADOS!$A:$B,2,FALSE)="","",VLOOKUP(A1482,[10]PRIORIZADOS!$A:$B,2,FALSE)),"")</f>
        <v>14</v>
      </c>
      <c r="C1482" s="11" t="str">
        <f>IFERROR(IF(VLOOKUP(A1482,[10]PRIORIZADOS!$A:$C,3,FALSE)="","",VLOOKUP(A1482,[10]PRIORIZADOS!$A:$C,3,FALSE)),"")</f>
        <v>PUENTE ARANDA</v>
      </c>
      <c r="D1482" s="11" t="str">
        <f>IFERROR(IF(VLOOKUP(A1482,[10]PRIORIZADOS!$A:$D,4,FALSE)="","",VLOOKUP(A1482,[10]PRIORIZADOS!$A:$D,4,FALSE)),"")</f>
        <v>OFICIAL</v>
      </c>
      <c r="E1482" s="11" t="str">
        <f>IFERROR(IF(VLOOKUP(A1482,[10]PRIORIZADOS!$A:$E,5,FALSE)="","",VLOOKUP(A1482,[10]PRIORIZADOS!$A:$E,5,FALSE)),"")</f>
        <v>EPBM</v>
      </c>
      <c r="F1482" s="11" t="str">
        <f>IFERROR(IF(VLOOKUP(A1482,[10]PRIORIZADOS!$A:$F,6,FALSE)="","",VLOOKUP(A1482,[10]PRIORIZADOS!$A:$F,6,FALSE)),"")</f>
        <v>COLEGIO_LA_MERCED_IED</v>
      </c>
      <c r="G1482" s="11" t="str">
        <f>IFERROR(IF(VLOOKUP(A1482,[10]PRIORIZADOS!$A:$G,7,FALSE)="","",VLOOKUP(A1482,[10]PRIORIZADOS!$A:$G,7,FALSE)),"")</f>
        <v>COLEGIO_LA_MERCED_IED</v>
      </c>
      <c r="H1482" s="11" t="str">
        <f>IFERROR(IF(VLOOKUP(A1482,[10]PRIORIZADOS!$A:$H,8,FALSE)="","",VLOOKUP(A1482,[10]PRIORIZADOS!$A:$H,8,FALSE)),"")</f>
        <v>Convivencia escolar</v>
      </c>
      <c r="I1482" s="11" t="str">
        <f>IFERROR(IF(VLOOKUP(A1482,[10]PRIORIZADOS!$A:$I,9,FALSE)="","",VLOOKUP(A1482,[10]PRIORIZADOS!$A:$I,9,FALSE)),"")</f>
        <v>SEGUIMIENTO_Y_SUPERVISIÓN.</v>
      </c>
      <c r="J1482" s="11" t="str">
        <f>IFERROR(IF(VLOOKUP(A1482,[10]PRIORIZADOS!$A:$J,10,FALSE)="","",VLOOKUP(A1482,[10]PRIORIZADOS!$A:$J,10,FALSE)),"")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482" s="11" t="str">
        <f>IFERROR(IF(VLOOKUP(A1482,[10]PRIORIZADOS!$A:$K,11,FALSE)="","",VLOOKUP(A1482,[10]PRIORIZADOS!$A:$K,11,FALSE)),"")</f>
        <v>CRISTIAN CAMILO LÓPEZ VELANDIA</v>
      </c>
      <c r="L1482" s="11" t="str">
        <f>IFERROR(IF(VLOOKUP(A1482,[10]PRIORIZADOS!$A:$L,12,FALSE)="","",VLOOKUP(A1482,[10]PRIORIZADOS!$A:$L,12,FALSE)),"")</f>
        <v>ALBERTO ESCARRAGA PEÑUELA</v>
      </c>
      <c r="M1482" s="71">
        <f>IFERROR(IF(VLOOKUP(A1482,[10]PRIORIZADOS!$A:$M,13,FALSE)="","",VLOOKUP(A1482,[10]PRIORIZADOS!$A:$M,13,FALSE)),"")</f>
        <v>45789</v>
      </c>
      <c r="N1482" s="71">
        <f>IFERROR(IF(VLOOKUP(A1482,[10]PRIORIZADOS!$A:$N,14,FALSE)="","",VLOOKUP(A1482,[10]PRIORIZADOS!$A:$N,14,FALSE)),"")</f>
        <v>45796</v>
      </c>
      <c r="O1482" s="71">
        <f>IFERROR(IF(VLOOKUP(A1482,[10]PRIORIZADOS!$A:$O,15,FALSE)="","",VLOOKUP(A1482,[10]PRIORIZADOS!$A:$O,15,FALSE)),"")</f>
        <v>45797</v>
      </c>
      <c r="P1482" s="11" t="str">
        <f>IFERROR(IF(VLOOKUP(A1482,[10]PRIORIZADOS!$A:$P,16,FALSE)="","",VLOOKUP(A1482,[10]PRIORIZADOS!$A:$P,16,FALSE)),"")</f>
        <v>Visitas de evaluación con fines de mejoramiento</v>
      </c>
      <c r="Q1482" s="107" t="s">
        <v>353</v>
      </c>
      <c r="R1482" s="11" t="str">
        <f>IFERROR(IF(VLOOKUP(A1482,[10]PRIORIZADOS!$A:$R,18,FALSE)="","",VLOOKUP(A1482,[10]PRIORIZADOS!$A:$R,18,FALSE)),"")</f>
        <v xml:space="preserve">Se encontró que la institución diseño los planes individuales de ajustes razonables para los estudiantes de discapacidad, los cuales fueron socializados con docentes y estudiantes, así mismo, cuenta con portafolio de estudiantes con talentos excepcionales </v>
      </c>
      <c r="S1482" s="11" t="str">
        <f>IFERROR(IF(VLOOKUP(A1482,[10]PRIORIZADOS!$A:$S,19,FALSE)="","",VLOOKUP(A1482,[10]PRIORIZADOS!$A:$S,19,FALSE)),"")</f>
        <v>Cumple con lo requerido en el Decreto 1421 de 2017</v>
      </c>
      <c r="T1482" s="70" t="str">
        <f>IFERROR(IF(VLOOKUP(A1482,[10]PRIORIZADOS!$A:$T,20,FALSE)="","",VLOOKUP(A1482,[10]PRIORIZADOS!$A:$T,20,FALSE)),"")</f>
        <v>No</v>
      </c>
      <c r="U1482" s="11" t="str">
        <f>IFERROR(IF(VLOOKUP(A1482,[10]PRIORIZADOS!$A:$U,21,FALSE)="","",VLOOKUP(A1482,[10]PRIORIZADOS!$A:$U,21,FALSE)),"")</f>
        <v>En caso de presentarse PQR se procederá a realizar su respectiva revisión.</v>
      </c>
    </row>
    <row r="1483" spans="1:21" s="1" customFormat="1" ht="130.5">
      <c r="A1483" s="69">
        <f>IF([10]PRIORIZADOS!A97="","",[10]PRIORIZADOS!A97)</f>
        <v>1425</v>
      </c>
      <c r="B1483" s="70">
        <f>IFERROR(IF(VLOOKUP(A1483,[10]PRIORIZADOS!$A:$B,2,FALSE)="","",VLOOKUP(A1483,[10]PRIORIZADOS!$A:$B,2,FALSE)),"")</f>
        <v>14</v>
      </c>
      <c r="C1483" s="11" t="str">
        <f>IFERROR(IF(VLOOKUP(A1483,[10]PRIORIZADOS!$A:$C,3,FALSE)="","",VLOOKUP(A1483,[10]PRIORIZADOS!$A:$C,3,FALSE)),"")</f>
        <v>PUENTE ARANDA</v>
      </c>
      <c r="D1483" s="11" t="str">
        <f>IFERROR(IF(VLOOKUP(A1483,[10]PRIORIZADOS!$A:$D,4,FALSE)="","",VLOOKUP(A1483,[10]PRIORIZADOS!$A:$D,4,FALSE)),"")</f>
        <v>OFICIAL</v>
      </c>
      <c r="E1483" s="11" t="str">
        <f>IFERROR(IF(VLOOKUP(A1483,[10]PRIORIZADOS!$A:$E,5,FALSE)="","",VLOOKUP(A1483,[10]PRIORIZADOS!$A:$E,5,FALSE)),"")</f>
        <v>EPBM</v>
      </c>
      <c r="F1483" s="11" t="str">
        <f>IFERROR(IF(VLOOKUP(A1483,[10]PRIORIZADOS!$A:$F,6,FALSE)="","",VLOOKUP(A1483,[10]PRIORIZADOS!$A:$F,6,FALSE)),"")</f>
        <v>COLEGIO_LA_MERCED_IED</v>
      </c>
      <c r="G1483" s="11" t="str">
        <f>IFERROR(IF(VLOOKUP(A1483,[10]PRIORIZADOS!$A:$G,7,FALSE)="","",VLOOKUP(A1483,[10]PRIORIZADOS!$A:$G,7,FALSE)),"")</f>
        <v>COLEGIO_LA_MERCED_IED</v>
      </c>
      <c r="H1483" s="11" t="str">
        <f>IFERROR(IF(VLOOKUP(A1483,[10]PRIORIZADOS!$A:$H,8,FALSE)="","",VLOOKUP(A1483,[10]PRIORIZADOS!$A:$H,8,FALSE)),"")</f>
        <v>Convivencia escolar</v>
      </c>
      <c r="I1483" s="11" t="str">
        <f>IFERROR(IF(VLOOKUP(A1483,[10]PRIORIZADOS!$A:$I,9,FALSE)="","",VLOOKUP(A1483,[10]PRIORIZADOS!$A:$I,9,FALSE)),"")</f>
        <v>EVALUACIÓN_CON_FINES_DE_MEJORAMIENTO.</v>
      </c>
      <c r="J1483" s="11" t="str">
        <f>IFERROR(IF(VLOOKUP(A1483,[10]PRIORIZADOS!$A:$J,10,FALSE)="","",VLOOKUP(A1483,[10]PRIORIZADOS!$A:$J,10,FALSE)),"")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483" s="11" t="str">
        <f>IFERROR(IF(VLOOKUP(A1483,[10]PRIORIZADOS!$A:$K,11,FALSE)="","",VLOOKUP(A1483,[10]PRIORIZADOS!$A:$K,11,FALSE)),"")</f>
        <v>CRISTIAN CAMILO LÓPEZ VELANDIA</v>
      </c>
      <c r="L1483" s="11" t="str">
        <f>IFERROR(IF(VLOOKUP(A1483,[10]PRIORIZADOS!$A:$L,12,FALSE)="","",VLOOKUP(A1483,[10]PRIORIZADOS!$A:$L,12,FALSE)),"")</f>
        <v>ALBERTO ESCARRAGA PEÑUELA</v>
      </c>
      <c r="M1483" s="71">
        <f>IFERROR(IF(VLOOKUP(A1483,[10]PRIORIZADOS!$A:$M,13,FALSE)="","",VLOOKUP(A1483,[10]PRIORIZADOS!$A:$M,13,FALSE)),"")</f>
        <v>45789</v>
      </c>
      <c r="N1483" s="71">
        <f>IFERROR(IF(VLOOKUP(A1483,[10]PRIORIZADOS!$A:$N,14,FALSE)="","",VLOOKUP(A1483,[10]PRIORIZADOS!$A:$N,14,FALSE)),"")</f>
        <v>45796</v>
      </c>
      <c r="O1483" s="71">
        <f>IFERROR(IF(VLOOKUP(A1483,[10]PRIORIZADOS!$A:$O,15,FALSE)="","",VLOOKUP(A1483,[10]PRIORIZADOS!$A:$O,15,FALSE)),"")</f>
        <v>45797</v>
      </c>
      <c r="P1483" s="11" t="str">
        <f>IFERROR(IF(VLOOKUP(A1483,[10]PRIORIZADOS!$A:$P,16,FALSE)="","",VLOOKUP(A1483,[10]PRIORIZADOS!$A:$P,16,FALSE)),"")</f>
        <v>Visitas de evaluación con fines de mejoramiento</v>
      </c>
      <c r="Q1483" s="107" t="s">
        <v>353</v>
      </c>
      <c r="R1483" s="11" t="str">
        <f>IFERROR(IF(VLOOKUP(A1483,[10]PRIORIZADOS!$A:$R,18,FALSE)="","",VLOOKUP(A1483,[10]PRIORIZADOS!$A:$R,18,FALSE)),"")</f>
        <v>El manual de convivencia se actualiza anualmente; sin embargo, no fue construido ni adoptado de forma participativa, así mismo contiene elementos contrarios a la ley y a las disposiciones sentenciadas por la Corte Suprema de Justicia.</v>
      </c>
      <c r="S1483" s="11" t="str">
        <f>IFERROR(IF(VLOOKUP(A1483,[10]PRIORIZADOS!$A:$S,19,FALSE)="","",VLOOKUP(A1483,[10]PRIORIZADOS!$A:$S,19,FALSE)),"")</f>
        <v>Realizar actualización del manual de convivencia teniendo en cuenta las instancias de gobierno escolar, particularmente el consejo de estudiantes y de padres, teniendo en cuenta las disposiciones de la corte suprema de justicia respecto al debido proceso y a la garantía de derechos de los estudiantes.  Establecer acciones de mejora e incorporar el plan de mejoramiento a reportar el 06/06/2025</v>
      </c>
      <c r="T1483" s="70" t="str">
        <f>IFERROR(IF(VLOOKUP(A1483,[10]PRIORIZADOS!$A:$T,20,FALSE)="","",VLOOKUP(A1483,[10]PRIORIZADOS!$A:$T,20,FALSE)),"")</f>
        <v>SI</v>
      </c>
      <c r="U1483" s="11" t="str">
        <f>IFERROR(IF(VLOOKUP(A1483,[10]PRIORIZADOS!$A:$U,21,FALSE)="","",VLOOKUP(A1483,[10]PRIORIZADOS!$A:$U,21,FALSE)),"")</f>
        <v>Revisión del plan de mejora, contemplada su entrega para el 06/06/2025.</v>
      </c>
    </row>
    <row r="1484" spans="1:21" s="1" customFormat="1" ht="72">
      <c r="A1484" s="69">
        <f>IF([10]PRIORIZADOS!A98="","",[10]PRIORIZADOS!A98)</f>
        <v>1426</v>
      </c>
      <c r="B1484" s="70">
        <f>IFERROR(IF(VLOOKUP(A1484,[10]PRIORIZADOS!$A:$B,2,FALSE)="","",VLOOKUP(A1484,[10]PRIORIZADOS!$A:$B,2,FALSE)),"")</f>
        <v>14</v>
      </c>
      <c r="C1484" s="11" t="str">
        <f>IFERROR(IF(VLOOKUP(A1484,[10]PRIORIZADOS!$A:$C,3,FALSE)="","",VLOOKUP(A1484,[10]PRIORIZADOS!$A:$C,3,FALSE)),"")</f>
        <v>PUENTE ARANDA</v>
      </c>
      <c r="D1484" s="11" t="str">
        <f>IFERROR(IF(VLOOKUP(A1484,[10]PRIORIZADOS!$A:$D,4,FALSE)="","",VLOOKUP(A1484,[10]PRIORIZADOS!$A:$D,4,FALSE)),"")</f>
        <v>OFICIAL</v>
      </c>
      <c r="E1484" s="11" t="str">
        <f>IFERROR(IF(VLOOKUP(A1484,[10]PRIORIZADOS!$A:$E,5,FALSE)="","",VLOOKUP(A1484,[10]PRIORIZADOS!$A:$E,5,FALSE)),"")</f>
        <v>EPBM</v>
      </c>
      <c r="F1484" s="11" t="str">
        <f>IFERROR(IF(VLOOKUP(A1484,[10]PRIORIZADOS!$A:$F,6,FALSE)="","",VLOOKUP(A1484,[10]PRIORIZADOS!$A:$F,6,FALSE)),"")</f>
        <v>COLEGIO_LA_MERCED_IED</v>
      </c>
      <c r="G1484" s="11" t="str">
        <f>IFERROR(IF(VLOOKUP(A1484,[10]PRIORIZADOS!$A:$G,7,FALSE)="","",VLOOKUP(A1484,[10]PRIORIZADOS!$A:$G,7,FALSE)),"")</f>
        <v>COLEGIO_LA_MERCED_IED</v>
      </c>
      <c r="H1484" s="11" t="str">
        <f>IFERROR(IF(VLOOKUP(A1484,[10]PRIORIZADOS!$A:$H,8,FALSE)="","",VLOOKUP(A1484,[10]PRIORIZADOS!$A:$H,8,FALSE)),"")</f>
        <v>Convivencia escolar</v>
      </c>
      <c r="I1484" s="11" t="str">
        <f>IFERROR(IF(VLOOKUP(A1484,[10]PRIORIZADOS!$A:$I,9,FALSE)="","",VLOOKUP(A1484,[10]PRIORIZADOS!$A:$I,9,FALSE)),"")</f>
        <v>EVALUACIÓN_CON_FINES_DE_MEJORAMIENTO.</v>
      </c>
      <c r="J1484" s="11" t="str">
        <f>IFERROR(IF(VLOOKUP(A1484,[10]PRIORIZADOS!$A:$J,10,FALSE)="","",VLOOKUP(A1484,[10]PRIORIZADOS!$A:$J,10,FALSE)),"")</f>
        <v>Revisar la actualización, socialización e implementación del Sistema Institucional de Evaluación de Estudiantes - SIEE, en articulación con la actualización del PEI y la normatividad vigente.</v>
      </c>
      <c r="K1484" s="11" t="str">
        <f>IFERROR(IF(VLOOKUP(A1484,[10]PRIORIZADOS!$A:$K,11,FALSE)="","",VLOOKUP(A1484,[10]PRIORIZADOS!$A:$K,11,FALSE)),"")</f>
        <v>CRISTIAN CAMILO LÓPEZ VELANDIA</v>
      </c>
      <c r="L1484" s="11" t="str">
        <f>IFERROR(IF(VLOOKUP(A1484,[10]PRIORIZADOS!$A:$L,12,FALSE)="","",VLOOKUP(A1484,[10]PRIORIZADOS!$A:$L,12,FALSE)),"")</f>
        <v>ALBERTO ESCARRAGA PEÑUELA</v>
      </c>
      <c r="M1484" s="71">
        <f>IFERROR(IF(VLOOKUP(A1484,[10]PRIORIZADOS!$A:$M,13,FALSE)="","",VLOOKUP(A1484,[10]PRIORIZADOS!$A:$M,13,FALSE)),"")</f>
        <v>45789</v>
      </c>
      <c r="N1484" s="71">
        <f>IFERROR(IF(VLOOKUP(A1484,[10]PRIORIZADOS!$A:$N,14,FALSE)="","",VLOOKUP(A1484,[10]PRIORIZADOS!$A:$N,14,FALSE)),"")</f>
        <v>45796</v>
      </c>
      <c r="O1484" s="71">
        <f>IFERROR(IF(VLOOKUP(A1484,[10]PRIORIZADOS!$A:$O,15,FALSE)="","",VLOOKUP(A1484,[10]PRIORIZADOS!$A:$O,15,FALSE)),"")</f>
        <v>45797</v>
      </c>
      <c r="P1484" s="11" t="str">
        <f>IFERROR(IF(VLOOKUP(A1484,[10]PRIORIZADOS!$A:$P,16,FALSE)="","",VLOOKUP(A1484,[10]PRIORIZADOS!$A:$P,16,FALSE)),"")</f>
        <v>Visitas de evaluación con fines de mejoramiento</v>
      </c>
      <c r="Q1484" s="107" t="s">
        <v>353</v>
      </c>
      <c r="R1484" s="11" t="str">
        <f>IFERROR(IF(VLOOKUP(A1484,[10]PRIORIZADOS!$A:$R,18,FALSE)="","",VLOOKUP(A1484,[10]PRIORIZADOS!$A:$R,18,FALSE)),"")</f>
        <v>El SIEE fue construido participativamente y existe evidencia de la ejecución y registro de la información a través de actas del consejo académico y directivo, informes de valoración trimestral y planillas auxiliares de notas</v>
      </c>
      <c r="S1484" s="11" t="str">
        <f>IFERROR(IF(VLOOKUP(A1484,[10]PRIORIZADOS!$A:$S,19,FALSE)="","",VLOOKUP(A1484,[10]PRIORIZADOS!$A:$S,19,FALSE)),"")</f>
        <v>La institución actualizó, socializó e implementa el SIEE, en articulación con la actualización del PEI y la normatividad vigente.</v>
      </c>
      <c r="T1484" s="70" t="str">
        <f>IFERROR(IF(VLOOKUP(A1484,[10]PRIORIZADOS!$A:$T,20,FALSE)="","",VLOOKUP(A1484,[10]PRIORIZADOS!$A:$T,20,FALSE)),"")</f>
        <v>No</v>
      </c>
      <c r="U1484" s="11" t="str">
        <f>IFERROR(IF(VLOOKUP(A1484,[10]PRIORIZADOS!$A:$U,21,FALSE)="","",VLOOKUP(A1484,[10]PRIORIZADOS!$A:$U,21,FALSE)),"")</f>
        <v>En caso de presentarse PQR se procederá a realizar su respectiva revisión.</v>
      </c>
    </row>
    <row r="1485" spans="1:21" s="1" customFormat="1" ht="48">
      <c r="A1485" s="69">
        <f>IF([10]PRIORIZADOS!A99="","",[10]PRIORIZADOS!A99)</f>
        <v>1427</v>
      </c>
      <c r="B1485" s="70">
        <f>IFERROR(IF(VLOOKUP(A1485,[10]PRIORIZADOS!$A:$B,2,FALSE)="","",VLOOKUP(A1485,[10]PRIORIZADOS!$A:$B,2,FALSE)),"")</f>
        <v>14</v>
      </c>
      <c r="C1485" s="11" t="str">
        <f>IFERROR(IF(VLOOKUP(A1485,[10]PRIORIZADOS!$A:$C,3,FALSE)="","",VLOOKUP(A1485,[10]PRIORIZADOS!$A:$C,3,FALSE)),"")</f>
        <v>PUENTE ARANDA</v>
      </c>
      <c r="D1485" s="11" t="str">
        <f>IFERROR(IF(VLOOKUP(A1485,[10]PRIORIZADOS!$A:$D,4,FALSE)="","",VLOOKUP(A1485,[10]PRIORIZADOS!$A:$D,4,FALSE)),"")</f>
        <v>OFICIAL</v>
      </c>
      <c r="E1485" s="11" t="str">
        <f>IFERROR(IF(VLOOKUP(A1485,[10]PRIORIZADOS!$A:$E,5,FALSE)="","",VLOOKUP(A1485,[10]PRIORIZADOS!$A:$E,5,FALSE)),"")</f>
        <v>EPBM</v>
      </c>
      <c r="F1485" s="11" t="str">
        <f>IFERROR(IF(VLOOKUP(A1485,[10]PRIORIZADOS!$A:$F,6,FALSE)="","",VLOOKUP(A1485,[10]PRIORIZADOS!$A:$F,6,FALSE)),"")</f>
        <v>COLEGIO_LA_MERCED_IED</v>
      </c>
      <c r="G1485" s="11" t="str">
        <f>IFERROR(IF(VLOOKUP(A1485,[10]PRIORIZADOS!$A:$G,7,FALSE)="","",VLOOKUP(A1485,[10]PRIORIZADOS!$A:$G,7,FALSE)),"")</f>
        <v>COLEGIO_LA_MERCED_IED</v>
      </c>
      <c r="H1485" s="11" t="str">
        <f>IFERROR(IF(VLOOKUP(A1485,[10]PRIORIZADOS!$A:$H,8,FALSE)="","",VLOOKUP(A1485,[10]PRIORIZADOS!$A:$H,8,FALSE)),"")</f>
        <v>Convivencia escolar</v>
      </c>
      <c r="I1485" s="11" t="str">
        <f>IFERROR(IF(VLOOKUP(A1485,[10]PRIORIZADOS!$A:$I,9,FALSE)="","",VLOOKUP(A1485,[10]PRIORIZADOS!$A:$I,9,FALSE)),"")</f>
        <v>EVALUACIÓN_CON_FINES_DE_MEJORAMIENTO.</v>
      </c>
      <c r="J1485" s="11" t="str">
        <f>IFERROR(IF(VLOOKUP(A1485,[10]PRIORIZADOS!$A:$J,10,FALSE)="","",VLOOKUP(A1485,[10]PRIORIZADOS!$A:$J,10,FALSE)),"")</f>
        <v>Revisar el calendario escolar, jornada escolar, la intensidad horaria mínima anual en cada nivel y las modificaciones que se realicen al mismo, de acuerdo con lo previsto en la normatividad vigente.</v>
      </c>
      <c r="K1485" s="11" t="str">
        <f>IFERROR(IF(VLOOKUP(A1485,[10]PRIORIZADOS!$A:$K,11,FALSE)="","",VLOOKUP(A1485,[10]PRIORIZADOS!$A:$K,11,FALSE)),"")</f>
        <v>CRISTIAN CAMILO LÓPEZ VELANDIA</v>
      </c>
      <c r="L1485" s="11" t="str">
        <f>IFERROR(IF(VLOOKUP(A1485,[10]PRIORIZADOS!$A:$L,12,FALSE)="","",VLOOKUP(A1485,[10]PRIORIZADOS!$A:$L,12,FALSE)),"")</f>
        <v>ALBERTO ESCARRAGA PEÑUELA</v>
      </c>
      <c r="M1485" s="71">
        <f>IFERROR(IF(VLOOKUP(A1485,[10]PRIORIZADOS!$A:$M,13,FALSE)="","",VLOOKUP(A1485,[10]PRIORIZADOS!$A:$M,13,FALSE)),"")</f>
        <v>45789</v>
      </c>
      <c r="N1485" s="71">
        <f>IFERROR(IF(VLOOKUP(A1485,[10]PRIORIZADOS!$A:$N,14,FALSE)="","",VLOOKUP(A1485,[10]PRIORIZADOS!$A:$N,14,FALSE)),"")</f>
        <v>45796</v>
      </c>
      <c r="O1485" s="71">
        <f>IFERROR(IF(VLOOKUP(A1485,[10]PRIORIZADOS!$A:$O,15,FALSE)="","",VLOOKUP(A1485,[10]PRIORIZADOS!$A:$O,15,FALSE)),"")</f>
        <v>45797</v>
      </c>
      <c r="P1485" s="11" t="str">
        <f>IFERROR(IF(VLOOKUP(A1485,[10]PRIORIZADOS!$A:$P,16,FALSE)="","",VLOOKUP(A1485,[10]PRIORIZADOS!$A:$P,16,FALSE)),"")</f>
        <v>Visitas de evaluación con fines de mejoramiento</v>
      </c>
      <c r="Q1485" s="107" t="s">
        <v>353</v>
      </c>
      <c r="R1485" s="11" t="str">
        <f>IFERROR(IF(VLOOKUP(A1485,[10]PRIORIZADOS!$A:$R,18,FALSE)="","",VLOOKUP(A1485,[10]PRIORIZADOS!$A:$R,18,FALSE)),"")</f>
        <v>Presenta calendario académico del sector oficial. Resolución 1811 de 2024</v>
      </c>
      <c r="S1485" s="11" t="str">
        <f>IFERROR(IF(VLOOKUP(A1485,[10]PRIORIZADOS!$A:$S,19,FALSE)="","",VLOOKUP(A1485,[10]PRIORIZADOS!$A:$S,19,FALSE)),"")</f>
        <v>Cumple con la intensidad de horas académicas mínimas</v>
      </c>
      <c r="T1485" s="70" t="str">
        <f>IFERROR(IF(VLOOKUP(A1485,[10]PRIORIZADOS!$A:$T,20,FALSE)="","",VLOOKUP(A1485,[10]PRIORIZADOS!$A:$T,20,FALSE)),"")</f>
        <v>No</v>
      </c>
      <c r="U1485" s="11" t="str">
        <f>IFERROR(IF(VLOOKUP(A1485,[10]PRIORIZADOS!$A:$U,21,FALSE)="","",VLOOKUP(A1485,[10]PRIORIZADOS!$A:$U,21,FALSE)),"")</f>
        <v>En caso de presentarse PQR se procederá a realizar su respectiva revisión.</v>
      </c>
    </row>
    <row r="1486" spans="1:21" s="1" customFormat="1" ht="48">
      <c r="A1486" s="69">
        <f>IF([10]PRIORIZADOS!A100="","",[10]PRIORIZADOS!A100)</f>
        <v>1428</v>
      </c>
      <c r="B1486" s="70">
        <f>IFERROR(IF(VLOOKUP(A1486,[10]PRIORIZADOS!$A:$B,2,FALSE)="","",VLOOKUP(A1486,[10]PRIORIZADOS!$A:$B,2,FALSE)),"")</f>
        <v>14</v>
      </c>
      <c r="C1486" s="11" t="str">
        <f>IFERROR(IF(VLOOKUP(A1486,[10]PRIORIZADOS!$A:$C,3,FALSE)="","",VLOOKUP(A1486,[10]PRIORIZADOS!$A:$C,3,FALSE)),"")</f>
        <v>PUENTE ARANDA</v>
      </c>
      <c r="D1486" s="11" t="str">
        <f>IFERROR(IF(VLOOKUP(A1486,[10]PRIORIZADOS!$A:$D,4,FALSE)="","",VLOOKUP(A1486,[10]PRIORIZADOS!$A:$D,4,FALSE)),"")</f>
        <v>OFICIAL</v>
      </c>
      <c r="E1486" s="11" t="str">
        <f>IFERROR(IF(VLOOKUP(A1486,[10]PRIORIZADOS!$A:$E,5,FALSE)="","",VLOOKUP(A1486,[10]PRIORIZADOS!$A:$E,5,FALSE)),"")</f>
        <v>EPBM</v>
      </c>
      <c r="F1486" s="11" t="str">
        <f>IFERROR(IF(VLOOKUP(A1486,[10]PRIORIZADOS!$A:$F,6,FALSE)="","",VLOOKUP(A1486,[10]PRIORIZADOS!$A:$F,6,FALSE)),"")</f>
        <v>COLEGIO_LA_MERCED_IED</v>
      </c>
      <c r="G1486" s="11" t="str">
        <f>IFERROR(IF(VLOOKUP(A1486,[10]PRIORIZADOS!$A:$G,7,FALSE)="","",VLOOKUP(A1486,[10]PRIORIZADOS!$A:$G,7,FALSE)),"")</f>
        <v>COLEGIO_LA_MERCED_IED</v>
      </c>
      <c r="H1486" s="11" t="str">
        <f>IFERROR(IF(VLOOKUP(A1486,[10]PRIORIZADOS!$A:$H,8,FALSE)="","",VLOOKUP(A1486,[10]PRIORIZADOS!$A:$H,8,FALSE)),"")</f>
        <v>Convivencia escolar</v>
      </c>
      <c r="I1486" s="11" t="str">
        <f>IFERROR(IF(VLOOKUP(A1486,[10]PRIORIZADOS!$A:$I,9,FALSE)="","",VLOOKUP(A1486,[10]PRIORIZADOS!$A:$I,9,FALSE)),"")</f>
        <v>EVALUACIÓN_CON_FINES_DE_MEJORAMIENTO.</v>
      </c>
      <c r="J1486" s="11" t="str">
        <f>IFERROR(IF(VLOOKUP(A1486,[10]PRIORIZADOS!$A:$J,10,FALSE)="","",VLOOKUP(A1486,[10]PRIORIZADOS!$A:$J,10,FALSE)),"")</f>
        <v>Verificar el funcionamiento del Gobierno Escolar e instancias de participación con base en la información sobre conformación reportada por la institución educativa.</v>
      </c>
      <c r="K1486" s="11" t="str">
        <f>IFERROR(IF(VLOOKUP(A1486,[10]PRIORIZADOS!$A:$K,11,FALSE)="","",VLOOKUP(A1486,[10]PRIORIZADOS!$A:$K,11,FALSE)),"")</f>
        <v>CRISTIAN CAMILO LÓPEZ VELANDIA</v>
      </c>
      <c r="L1486" s="11" t="str">
        <f>IFERROR(IF(VLOOKUP(A1486,[10]PRIORIZADOS!$A:$L,12,FALSE)="","",VLOOKUP(A1486,[10]PRIORIZADOS!$A:$L,12,FALSE)),"")</f>
        <v>ALBERTO ESCARRAGA PEÑUELA</v>
      </c>
      <c r="M1486" s="71">
        <f>IFERROR(IF(VLOOKUP(A1486,[10]PRIORIZADOS!$A:$M,13,FALSE)="","",VLOOKUP(A1486,[10]PRIORIZADOS!$A:$M,13,FALSE)),"")</f>
        <v>45789</v>
      </c>
      <c r="N1486" s="71">
        <f>IFERROR(IF(VLOOKUP(A1486,[10]PRIORIZADOS!$A:$N,14,FALSE)="","",VLOOKUP(A1486,[10]PRIORIZADOS!$A:$N,14,FALSE)),"")</f>
        <v>45796</v>
      </c>
      <c r="O1486" s="71">
        <f>IFERROR(IF(VLOOKUP(A1486,[10]PRIORIZADOS!$A:$O,15,FALSE)="","",VLOOKUP(A1486,[10]PRIORIZADOS!$A:$O,15,FALSE)),"")</f>
        <v>45797</v>
      </c>
      <c r="P1486" s="11" t="str">
        <f>IFERROR(IF(VLOOKUP(A1486,[10]PRIORIZADOS!$A:$P,16,FALSE)="","",VLOOKUP(A1486,[10]PRIORIZADOS!$A:$P,16,FALSE)),"")</f>
        <v>Visitas de evaluación con fines de mejoramiento</v>
      </c>
      <c r="Q1486" s="107" t="s">
        <v>353</v>
      </c>
      <c r="R1486" s="11" t="str">
        <f>IFERROR(IF(VLOOKUP(A1486,[10]PRIORIZADOS!$A:$R,18,FALSE)="","",VLOOKUP(A1486,[10]PRIORIZADOS!$A:$R,18,FALSE)),"")</f>
        <v>El gobierno escolar fue conformado conforme a lo reglamentado en la normatividad, así mismo, se evidencia su operatividad.</v>
      </c>
      <c r="S1486" s="11" t="str">
        <f>IFERROR(IF(VLOOKUP(A1486,[10]PRIORIZADOS!$A:$S,19,FALSE)="","",VLOOKUP(A1486,[10]PRIORIZADOS!$A:$S,19,FALSE)),"")</f>
        <v>El gobierno escolar y las instancias de participación funcionan conforme lo reglamentado por la normatividad colombiana</v>
      </c>
      <c r="T1486" s="70" t="str">
        <f>IFERROR(IF(VLOOKUP(A1486,[10]PRIORIZADOS!$A:$T,20,FALSE)="","",VLOOKUP(A1486,[10]PRIORIZADOS!$A:$T,20,FALSE)),"")</f>
        <v>No</v>
      </c>
      <c r="U1486" s="11" t="str">
        <f>IFERROR(IF(VLOOKUP(A1486,[10]PRIORIZADOS!$A:$U,21,FALSE)="","",VLOOKUP(A1486,[10]PRIORIZADOS!$A:$U,21,FALSE)),"")</f>
        <v>En caso de presentarse PQR se procederá a realizar su respectiva revisión.</v>
      </c>
    </row>
    <row r="1487" spans="1:21" s="1" customFormat="1" ht="84">
      <c r="A1487" s="69">
        <f>IF([10]PRIORIZADOS!A101="","",[10]PRIORIZADOS!A101)</f>
        <v>1429</v>
      </c>
      <c r="B1487" s="70">
        <f>IFERROR(IF(VLOOKUP(A1487,[10]PRIORIZADOS!$A:$B,2,FALSE)="","",VLOOKUP(A1487,[10]PRIORIZADOS!$A:$B,2,FALSE)),"")</f>
        <v>14</v>
      </c>
      <c r="C1487" s="11" t="str">
        <f>IFERROR(IF(VLOOKUP(A1487,[10]PRIORIZADOS!$A:$C,3,FALSE)="","",VLOOKUP(A1487,[10]PRIORIZADOS!$A:$C,3,FALSE)),"")</f>
        <v>PUENTE ARANDA</v>
      </c>
      <c r="D1487" s="11" t="str">
        <f>IFERROR(IF(VLOOKUP(A1487,[10]PRIORIZADOS!$A:$D,4,FALSE)="","",VLOOKUP(A1487,[10]PRIORIZADOS!$A:$D,4,FALSE)),"")</f>
        <v>OFICIAL</v>
      </c>
      <c r="E1487" s="11" t="str">
        <f>IFERROR(IF(VLOOKUP(A1487,[10]PRIORIZADOS!$A:$E,5,FALSE)="","",VLOOKUP(A1487,[10]PRIORIZADOS!$A:$E,5,FALSE)),"")</f>
        <v>EPBM</v>
      </c>
      <c r="F1487" s="11" t="str">
        <f>IFERROR(IF(VLOOKUP(A1487,[10]PRIORIZADOS!$A:$F,6,FALSE)="","",VLOOKUP(A1487,[10]PRIORIZADOS!$A:$F,6,FALSE)),"")</f>
        <v>COLEGIO_LA_MERCED_IED</v>
      </c>
      <c r="G1487" s="11" t="str">
        <f>IFERROR(IF(VLOOKUP(A1487,[10]PRIORIZADOS!$A:$G,7,FALSE)="","",VLOOKUP(A1487,[10]PRIORIZADOS!$A:$G,7,FALSE)),"")</f>
        <v>COLEGIO_LA_MERCED_IED</v>
      </c>
      <c r="H1487" s="11" t="str">
        <f>IFERROR(IF(VLOOKUP(A1487,[10]PRIORIZADOS!$A:$H,8,FALSE)="","",VLOOKUP(A1487,[10]PRIORIZADOS!$A:$H,8,FALSE)),"")</f>
        <v>Convivencia escolar</v>
      </c>
      <c r="I1487" s="11" t="str">
        <f>IFERROR(IF(VLOOKUP(A1487,[10]PRIORIZADOS!$A:$I,9,FALSE)="","",VLOOKUP(A1487,[10]PRIORIZADOS!$A:$I,9,FALSE)),"")</f>
        <v>EVALUACIÓN_CON_FINES_DE_MEJORAMIENTO.</v>
      </c>
      <c r="J1487" s="11" t="str">
        <f>IFERROR(IF(VLOOKUP(A1487,[10]PRIORIZADOS!$A:$J,10,FALSE)="","",VLOOKUP(A1487,[10]PRIORIZADOS!$A:$J,10,FALSE)),"")</f>
        <v>Verificar las condiciones en cuanto a: la estructura administrativa, condiciones de la planta física y medios educativos adecuados.</v>
      </c>
      <c r="K1487" s="11" t="str">
        <f>IFERROR(IF(VLOOKUP(A1487,[10]PRIORIZADOS!$A:$K,11,FALSE)="","",VLOOKUP(A1487,[10]PRIORIZADOS!$A:$K,11,FALSE)),"")</f>
        <v>CRISTIAN CAMILO LÓPEZ VELANDIA</v>
      </c>
      <c r="L1487" s="11" t="str">
        <f>IFERROR(IF(VLOOKUP(A1487,[10]PRIORIZADOS!$A:$L,12,FALSE)="","",VLOOKUP(A1487,[10]PRIORIZADOS!$A:$L,12,FALSE)),"")</f>
        <v>ALBERTO ESCARRAGA PEÑUELA</v>
      </c>
      <c r="M1487" s="71">
        <f>IFERROR(IF(VLOOKUP(A1487,[10]PRIORIZADOS!$A:$M,13,FALSE)="","",VLOOKUP(A1487,[10]PRIORIZADOS!$A:$M,13,FALSE)),"")</f>
        <v>45789</v>
      </c>
      <c r="N1487" s="71">
        <f>IFERROR(IF(VLOOKUP(A1487,[10]PRIORIZADOS!$A:$N,14,FALSE)="","",VLOOKUP(A1487,[10]PRIORIZADOS!$A:$N,14,FALSE)),"")</f>
        <v>45796</v>
      </c>
      <c r="O1487" s="71">
        <f>IFERROR(IF(VLOOKUP(A1487,[10]PRIORIZADOS!$A:$O,15,FALSE)="","",VLOOKUP(A1487,[10]PRIORIZADOS!$A:$O,15,FALSE)),"")</f>
        <v>45797</v>
      </c>
      <c r="P1487" s="11" t="str">
        <f>IFERROR(IF(VLOOKUP(A1487,[10]PRIORIZADOS!$A:$P,16,FALSE)="","",VLOOKUP(A1487,[10]PRIORIZADOS!$A:$P,16,FALSE)),"")</f>
        <v>Visitas de evaluación con fines de mejoramiento</v>
      </c>
      <c r="Q1487" s="126" t="s">
        <v>353</v>
      </c>
      <c r="R1487" s="11" t="str">
        <f>IFERROR(IF(VLOOKUP(A1487,[10]PRIORIZADOS!$A:$R,18,FALSE)="","",VLOOKUP(A1487,[10]PRIORIZADOS!$A:$R,18,FALSE)),"")</f>
        <v>La institución cuenta con adecuadas condiciones de planta física y de medios educativos para la prestación del servicio educativo. Cuenta con una estructura administrativa adecuada la cual se encuentra planteada en el organigrama institucional.</v>
      </c>
      <c r="S1487" s="11" t="str">
        <f>IFERROR(IF(VLOOKUP(A1487,[10]PRIORIZADOS!$A:$S,19,FALSE)="","",VLOOKUP(A1487,[10]PRIORIZADOS!$A:$S,19,FALSE)),"")</f>
        <v>Cumple con las condiciones de planta física y medios educativos suficientes.</v>
      </c>
      <c r="T1487" s="70" t="str">
        <f>IFERROR(IF(VLOOKUP(A1487,[10]PRIORIZADOS!$A:$T,20,FALSE)="","",VLOOKUP(A1487,[10]PRIORIZADOS!$A:$T,20,FALSE)),"")</f>
        <v>No</v>
      </c>
      <c r="U1487" s="11" t="str">
        <f>IFERROR(IF(VLOOKUP(A1487,[10]PRIORIZADOS!$A:$U,21,FALSE)="","",VLOOKUP(A1487,[10]PRIORIZADOS!$A:$U,21,FALSE)),"")</f>
        <v>En caso de presentarse PQR se procederá a realizar su respectiva revisión.</v>
      </c>
    </row>
    <row r="1488" spans="1:21" s="1" customFormat="1" ht="84">
      <c r="A1488" s="69">
        <f>IF([10]PRIORIZADOS!A102="","",[10]PRIORIZADOS!A102)</f>
        <v>1430</v>
      </c>
      <c r="B1488" s="70">
        <f>IFERROR(IF(VLOOKUP(A1488,[10]PRIORIZADOS!$A:$B,2,FALSE)="","",VLOOKUP(A1488,[10]PRIORIZADOS!$A:$B,2,FALSE)),"")</f>
        <v>15</v>
      </c>
      <c r="C1488" s="11" t="str">
        <f>IFERROR(IF(VLOOKUP(A1488,[10]PRIORIZADOS!$A:$C,3,FALSE)="","",VLOOKUP(A1488,[10]PRIORIZADOS!$A:$C,3,FALSE)),"")</f>
        <v>PUENTE ARANDA</v>
      </c>
      <c r="D1488" s="11" t="str">
        <f>IFERROR(IF(VLOOKUP(A1488,[10]PRIORIZADOS!$A:$D,4,FALSE)="","",VLOOKUP(A1488,[10]PRIORIZADOS!$A:$D,4,FALSE)),"")</f>
        <v>PRIVADO_IETDH</v>
      </c>
      <c r="E1488" s="11" t="str">
        <f>IFERROR(IF(VLOOKUP(A1488,[10]PRIORIZADOS!$A:$E,5,FALSE)="","",VLOOKUP(A1488,[10]PRIORIZADOS!$A:$E,5,FALSE)),"")</f>
        <v>IETDH</v>
      </c>
      <c r="F1488" s="11" t="str">
        <f>IFERROR(IF(VLOOKUP(A1488,[10]PRIORIZADOS!$A:$F,6,FALSE)="","",VLOOKUP(A1488,[10]PRIORIZADOS!$A:$F,6,FALSE)),"")</f>
        <v>CEA_BOGOTÁ_VIAL_1</v>
      </c>
      <c r="G1488" s="11" t="str">
        <f>IFERROR(IF(VLOOKUP(A1488,[10]PRIORIZADOS!$A:$G,7,FALSE)="","",VLOOKUP(A1488,[10]PRIORIZADOS!$A:$G,7,FALSE)),"")</f>
        <v>CEA BOGOTÁ VIAL 1</v>
      </c>
      <c r="H1488" s="11" t="str">
        <f>IFERROR(IF(VLOOKUP(A1488,[10]PRIORIZADOS!$A:$H,8,FALSE)="","",VLOOKUP(A1488,[10]PRIORIZADOS!$A:$H,8,FALSE)),"")</f>
        <v>IETDH priorizadas por cada ELIV (seguimiento a PMI, que no se hayan visitado en los últimos 3 años)</v>
      </c>
      <c r="I1488" s="11" t="str">
        <f>IFERROR(IF(VLOOKUP(A1488,[10]PRIORIZADOS!$A:$I,9,FALSE)="","",VLOOKUP(A1488,[10]PRIORIZADOS!$A:$I,9,FALSE)),"")</f>
        <v>SEGUIMIENTO_Y_SUPERVISIÓN.</v>
      </c>
      <c r="J1488" s="11" t="str">
        <f>IFERROR(IF(VLOOKUP(A1488,[10]PRIORIZADOS!$A:$J,10,FALSE)="","",VLOOKUP(A1488,[10]PRIORIZADOS!$A:$J,10,FALSE)),"")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488" s="11" t="str">
        <f>IFERROR(IF(VLOOKUP(A1488,[10]PRIORIZADOS!$A:$K,11,FALSE)="","",VLOOKUP(A1488,[10]PRIORIZADOS!$A:$K,11,FALSE)),"")</f>
        <v>IGNACIO ABDÓN MONTENEGRO ALDANA</v>
      </c>
      <c r="L1488" s="11" t="str">
        <f>IFERROR(IF(VLOOKUP(A1488,[10]PRIORIZADOS!$A:$L,12,FALSE)="","",VLOOKUP(A1488,[10]PRIORIZADOS!$A:$L,12,FALSE)),"")</f>
        <v>CRISTIAN CAMILO LÓPEZ VELANDIA</v>
      </c>
      <c r="M1488" s="71">
        <f>IFERROR(IF(VLOOKUP(A1488,[10]PRIORIZADOS!$A:$M,13,FALSE)="","",VLOOKUP(A1488,[10]PRIORIZADOS!$A:$M,13,FALSE)),"")</f>
        <v>45870</v>
      </c>
      <c r="N1488" s="71">
        <f>IFERROR(IF(VLOOKUP(A1488,[10]PRIORIZADOS!$A:$N,14,FALSE)="","",VLOOKUP(A1488,[10]PRIORIZADOS!$A:$N,14,FALSE)),"")</f>
        <v>45870</v>
      </c>
      <c r="O1488" s="71">
        <f>IFERROR(IF(VLOOKUP(A1488,[10]PRIORIZADOS!$A:$O,15,FALSE)="","",VLOOKUP(A1488,[10]PRIORIZADOS!$A:$O,15,FALSE)),"")</f>
        <v>45870</v>
      </c>
      <c r="P1488" s="11" t="str">
        <f>IFERROR(IF(VLOOKUP(A1488,[10]PRIORIZADOS!$A:$P,16,FALSE)="","",VLOOKUP(A1488,[10]PRIORIZADOS!$A:$P,16,FALSE)),"")</f>
        <v>Visitas de evaluación con fines de mejoramiento</v>
      </c>
      <c r="Q1488" s="107" t="s">
        <v>354</v>
      </c>
      <c r="R1488" s="11" t="str">
        <f>IFERROR(IF(VLOOKUP(A1488,[10]PRIORIZADOS!$A:$R,18,FALSE)="","",VLOOKUP(A1488,[10]PRIORIZADOS!$A:$R,18,FALSE)),"")</f>
        <v>Una base de datos en Excel con los estudiantes matriculados y certificados en cada programa. No se tuvo acceso al RUNT ni a SICOV ni había servicio de Internet al momento de la visita. Los costos de los programas están de acuerdo con la norma.</v>
      </c>
      <c r="S1488" s="11" t="str">
        <f>IFERROR(IF(VLOOKUP(A1488,[10]PRIORIZADOS!$A:$S,19,FALSE)="","",VLOOKUP(A1488,[10]PRIORIZADOS!$A:$S,19,FALSE)),"")</f>
        <v>Definir procedimientos de matrícula. Aportar evidencias de la matrícula en RUNT y evidencias de asistencia en SICOV y evidencias de los estudiantes con curso certificado en RUNT.</v>
      </c>
      <c r="T1488" s="70" t="str">
        <f>IFERROR(IF(VLOOKUP(A1488,[10]PRIORIZADOS!$A:$T,20,FALSE)="","",VLOOKUP(A1488,[10]PRIORIZADOS!$A:$T,20,FALSE)),"")</f>
        <v>Si</v>
      </c>
      <c r="U1488" s="11" t="str">
        <f>IFERROR(IF(VLOOKUP(A1488,[10]PRIORIZADOS!$A:$U,21,FALSE)="","",VLOOKUP(A1488,[10]PRIORIZADOS!$A:$U,21,FALSE)),"")</f>
        <v>Presentación del plan de mejoramiento el 29 de agosto; avances, el 20 de noviembre de 2025 y el 25 de mayo de 2026.</v>
      </c>
    </row>
    <row r="1489" spans="1:21" s="1" customFormat="1" ht="72">
      <c r="A1489" s="69">
        <f>IF([10]PRIORIZADOS!A103="","",[10]PRIORIZADOS!A103)</f>
        <v>1431</v>
      </c>
      <c r="B1489" s="70">
        <f>IFERROR(IF(VLOOKUP(A1489,[10]PRIORIZADOS!$A:$B,2,FALSE)="","",VLOOKUP(A1489,[10]PRIORIZADOS!$A:$B,2,FALSE)),"")</f>
        <v>15</v>
      </c>
      <c r="C1489" s="11" t="str">
        <f>IFERROR(IF(VLOOKUP(A1489,[10]PRIORIZADOS!$A:$C,3,FALSE)="","",VLOOKUP(A1489,[10]PRIORIZADOS!$A:$C,3,FALSE)),"")</f>
        <v>PUENTE ARANDA</v>
      </c>
      <c r="D1489" s="11" t="str">
        <f>IFERROR(IF(VLOOKUP(A1489,[10]PRIORIZADOS!$A:$D,4,FALSE)="","",VLOOKUP(A1489,[10]PRIORIZADOS!$A:$D,4,FALSE)),"")</f>
        <v>PRIVADO_IETDH</v>
      </c>
      <c r="E1489" s="11" t="str">
        <f>IFERROR(IF(VLOOKUP(A1489,[10]PRIORIZADOS!$A:$E,5,FALSE)="","",VLOOKUP(A1489,[10]PRIORIZADOS!$A:$E,5,FALSE)),"")</f>
        <v>IETDH</v>
      </c>
      <c r="F1489" s="11" t="str">
        <f>IFERROR(IF(VLOOKUP(A1489,[10]PRIORIZADOS!$A:$F,6,FALSE)="","",VLOOKUP(A1489,[10]PRIORIZADOS!$A:$F,6,FALSE)),"")</f>
        <v>CEA_BOGOTÁ_VIAL_1</v>
      </c>
      <c r="G1489" s="11" t="str">
        <f>IFERROR(IF(VLOOKUP(A1489,[10]PRIORIZADOS!$A:$G,7,FALSE)="","",VLOOKUP(A1489,[10]PRIORIZADOS!$A:$G,7,FALSE)),"")</f>
        <v>CEA BOGOTÁ VIAL 1</v>
      </c>
      <c r="H1489" s="11" t="str">
        <f>IFERROR(IF(VLOOKUP(A1489,[10]PRIORIZADOS!$A:$H,8,FALSE)="","",VLOOKUP(A1489,[10]PRIORIZADOS!$A:$H,8,FALSE)),"")</f>
        <v>IETDH priorizadas por cada ELIV (seguimiento a PMI, que no se hayan visitado en los últimos 3 años)</v>
      </c>
      <c r="I1489" s="11" t="str">
        <f>IFERROR(IF(VLOOKUP(A1489,[10]PRIORIZADOS!$A:$I,9,FALSE)="","",VLOOKUP(A1489,[10]PRIORIZADOS!$A:$I,9,FALSE)),"")</f>
        <v>SEGUIMIENTO_Y_SUPERVISIÓN.</v>
      </c>
      <c r="J1489" s="11" t="str">
        <f>IFERROR(IF(VLOOKUP(A1489,[10]PRIORIZADOS!$A:$J,10,FALSE)="","",VLOOKUP(A1489,[10]PRIORIZADOS!$A:$J,10,FALSE)),"")</f>
        <v>Adelantar visitas para verificar que el desarrollo de los programas de ETDH, esté de acuerdo con lo autorizado y la normatividad vigente, para propender por su pertinencia, legalidad y actualización constante.</v>
      </c>
      <c r="K1489" s="11" t="str">
        <f>IFERROR(IF(VLOOKUP(A1489,[10]PRIORIZADOS!$A:$K,11,FALSE)="","",VLOOKUP(A1489,[10]PRIORIZADOS!$A:$K,11,FALSE)),"")</f>
        <v>IGNACIO ABDÓN MONTENEGRO ALDANA</v>
      </c>
      <c r="L1489" s="11" t="str">
        <f>IFERROR(IF(VLOOKUP(A1489,[10]PRIORIZADOS!$A:$L,12,FALSE)="","",VLOOKUP(A1489,[10]PRIORIZADOS!$A:$L,12,FALSE)),"")</f>
        <v>CRISTIAN CAMILO LÓPEZ VELANDIA</v>
      </c>
      <c r="M1489" s="71">
        <f>IFERROR(IF(VLOOKUP(A1489,[10]PRIORIZADOS!$A:$M,13,FALSE)="","",VLOOKUP(A1489,[10]PRIORIZADOS!$A:$M,13,FALSE)),"")</f>
        <v>45870</v>
      </c>
      <c r="N1489" s="71">
        <f>IFERROR(IF(VLOOKUP(A1489,[10]PRIORIZADOS!$A:$N,14,FALSE)="","",VLOOKUP(A1489,[10]PRIORIZADOS!$A:$N,14,FALSE)),"")</f>
        <v>45870</v>
      </c>
      <c r="O1489" s="71">
        <f>IFERROR(IF(VLOOKUP(A1489,[10]PRIORIZADOS!$A:$O,15,FALSE)="","",VLOOKUP(A1489,[10]PRIORIZADOS!$A:$O,15,FALSE)),"")</f>
        <v>45870</v>
      </c>
      <c r="P1489" s="11" t="str">
        <f>IFERROR(IF(VLOOKUP(A1489,[10]PRIORIZADOS!$A:$P,16,FALSE)="","",VLOOKUP(A1489,[10]PRIORIZADOS!$A:$P,16,FALSE)),"")</f>
        <v>Visitas de evaluación con fines de mejoramiento</v>
      </c>
      <c r="Q1489" s="107" t="s">
        <v>354</v>
      </c>
      <c r="R1489" s="11" t="str">
        <f>IFERROR(IF(VLOOKUP(A1489,[10]PRIORIZADOS!$A:$R,18,FALSE)="","",VLOOKUP(A1489,[10]PRIORIZADOS!$A:$R,18,FALSE)),"")</f>
        <v xml:space="preserve">En buena parte, los programas se desarrollan de acuerdo con la normatividad vigente y el documento maestro. Sin embargo, se encontraron falencias relacionadas con debido proceso y autoevaluación insitucional, entre otras.  </v>
      </c>
      <c r="S1489" s="11" t="str">
        <f>IFERROR(IF(VLOOKUP(A1489,[10]PRIORIZADOS!$A:$S,19,FALSE)="","",VLOOKUP(A1489,[10]PRIORIZADOS!$A:$S,19,FALSE)),"")</f>
        <v>Realizar ajustes de manera participativa al Reglamento de Estudiantes, definir políticas e instrumentos para la autoevaluación institucional. Incorporar los resultados a planes de mejoramiento</v>
      </c>
      <c r="T1489" s="70" t="str">
        <f>IFERROR(IF(VLOOKUP(A1489,[10]PRIORIZADOS!$A:$T,20,FALSE)="","",VLOOKUP(A1489,[10]PRIORIZADOS!$A:$T,20,FALSE)),"")</f>
        <v>Si</v>
      </c>
      <c r="U1489" s="11" t="str">
        <f>IFERROR(IF(VLOOKUP(A1489,[10]PRIORIZADOS!$A:$U,21,FALSE)="","",VLOOKUP(A1489,[10]PRIORIZADOS!$A:$U,21,FALSE)),"")</f>
        <v>Presentación del plan de mejoramiento el 29 de agosto; avances, el 20 de noviembre de 2025 y el 25 de mayo de 2026.</v>
      </c>
    </row>
    <row r="1490" spans="1:21" s="1" customFormat="1" ht="48">
      <c r="A1490" s="69">
        <f>IF([10]PRIORIZADOS!A104="","",[10]PRIORIZADOS!A104)</f>
        <v>1432</v>
      </c>
      <c r="B1490" s="70">
        <f>IFERROR(IF(VLOOKUP(A1490,[10]PRIORIZADOS!$A:$B,2,FALSE)="","",VLOOKUP(A1490,[10]PRIORIZADOS!$A:$B,2,FALSE)),"")</f>
        <v>15</v>
      </c>
      <c r="C1490" s="11" t="str">
        <f>IFERROR(IF(VLOOKUP(A1490,[10]PRIORIZADOS!$A:$C,3,FALSE)="","",VLOOKUP(A1490,[10]PRIORIZADOS!$A:$C,3,FALSE)),"")</f>
        <v>PUENTE ARANDA</v>
      </c>
      <c r="D1490" s="11" t="str">
        <f>IFERROR(IF(VLOOKUP(A1490,[10]PRIORIZADOS!$A:$D,4,FALSE)="","",VLOOKUP(A1490,[10]PRIORIZADOS!$A:$D,4,FALSE)),"")</f>
        <v>PRIVADO_IETDH</v>
      </c>
      <c r="E1490" s="11" t="str">
        <f>IFERROR(IF(VLOOKUP(A1490,[10]PRIORIZADOS!$A:$E,5,FALSE)="","",VLOOKUP(A1490,[10]PRIORIZADOS!$A:$E,5,FALSE)),"")</f>
        <v>IETDH</v>
      </c>
      <c r="F1490" s="11" t="str">
        <f>IFERROR(IF(VLOOKUP(A1490,[10]PRIORIZADOS!$A:$F,6,FALSE)="","",VLOOKUP(A1490,[10]PRIORIZADOS!$A:$F,6,FALSE)),"")</f>
        <v>CEA_BOGOTÁ_VIAL_1</v>
      </c>
      <c r="G1490" s="11" t="str">
        <f>IFERROR(IF(VLOOKUP(A1490,[10]PRIORIZADOS!$A:$G,7,FALSE)="","",VLOOKUP(A1490,[10]PRIORIZADOS!$A:$G,7,FALSE)),"")</f>
        <v>CEA BOGOTÁ VIAL 1</v>
      </c>
      <c r="H1490" s="11" t="str">
        <f>IFERROR(IF(VLOOKUP(A1490,[10]PRIORIZADOS!$A:$H,8,FALSE)="","",VLOOKUP(A1490,[10]PRIORIZADOS!$A:$H,8,FALSE)),"")</f>
        <v>IETDH priorizadas por cada ELIV (seguimiento a PMI, que no se hayan visitado en los últimos 3 años)</v>
      </c>
      <c r="I1490" s="11" t="str">
        <f>IFERROR(IF(VLOOKUP(A1490,[10]PRIORIZADOS!$A:$I,9,FALSE)="","",VLOOKUP(A1490,[10]PRIORIZADOS!$A:$I,9,FALSE)),"")</f>
        <v>EVALUACIÓN_CON_FINES_DE_MEJORAMIENTO.</v>
      </c>
      <c r="J1490" s="11" t="str">
        <f>IFERROR(IF(VLOOKUP(A1490,[10]PRIORIZADOS!$A:$J,10,FALSE)="","",VLOOKUP(A1490,[10]PRIORIZADOS!$A:$J,10,FALSE)),"")</f>
        <v>Verificar las condiciones en cuanto a: la estructura administrativa, condiciones de la planta física y medios educativos adecuados.</v>
      </c>
      <c r="K1490" s="11" t="str">
        <f>IFERROR(IF(VLOOKUP(A1490,[10]PRIORIZADOS!$A:$K,11,FALSE)="","",VLOOKUP(A1490,[10]PRIORIZADOS!$A:$K,11,FALSE)),"")</f>
        <v>IGNACIO ABDÓN MONTENEGRO ALDANA</v>
      </c>
      <c r="L1490" s="11" t="str">
        <f>IFERROR(IF(VLOOKUP(A1490,[10]PRIORIZADOS!$A:$L,12,FALSE)="","",VLOOKUP(A1490,[10]PRIORIZADOS!$A:$L,12,FALSE)),"")</f>
        <v>CRISTIAN CAMILO LÓPEZ VELANDIA</v>
      </c>
      <c r="M1490" s="71">
        <f>IFERROR(IF(VLOOKUP(A1490,[10]PRIORIZADOS!$A:$M,13,FALSE)="","",VLOOKUP(A1490,[10]PRIORIZADOS!$A:$M,13,FALSE)),"")</f>
        <v>45870</v>
      </c>
      <c r="N1490" s="71">
        <f>IFERROR(IF(VLOOKUP(A1490,[10]PRIORIZADOS!$A:$N,14,FALSE)="","",VLOOKUP(A1490,[10]PRIORIZADOS!$A:$N,14,FALSE)),"")</f>
        <v>45870</v>
      </c>
      <c r="O1490" s="71">
        <f>IFERROR(IF(VLOOKUP(A1490,[10]PRIORIZADOS!$A:$O,15,FALSE)="","",VLOOKUP(A1490,[10]PRIORIZADOS!$A:$O,15,FALSE)),"")</f>
        <v>45870</v>
      </c>
      <c r="P1490" s="11" t="str">
        <f>IFERROR(IF(VLOOKUP(A1490,[10]PRIORIZADOS!$A:$P,16,FALSE)="","",VLOOKUP(A1490,[10]PRIORIZADOS!$A:$P,16,FALSE)),"")</f>
        <v>Visitas de evaluación con fines de mejoramiento</v>
      </c>
      <c r="Q1490" s="107" t="s">
        <v>354</v>
      </c>
      <c r="R1490" s="11" t="str">
        <f>IFERROR(IF(VLOOKUP(A1490,[10]PRIORIZADOS!$A:$R,18,FALSE)="","",VLOOKUP(A1490,[10]PRIORIZADOS!$A:$R,18,FALSE)),"")</f>
        <v>La planta física es adecuada para la cantidad de estudiantes. No hay equipos de cómputo suficientes ni se garantiza la conectividad a Internet.</v>
      </c>
      <c r="S1490" s="11" t="str">
        <f>IFERROR(IF(VLOOKUP(A1490,[10]PRIORIZADOS!$A:$S,19,FALSE)="","",VLOOKUP(A1490,[10]PRIORIZADOS!$A:$S,19,FALSE)),"")</f>
        <v>Disponer de equipos de cómputo suficiente y garantizar la conectividad.</v>
      </c>
      <c r="T1490" s="70" t="str">
        <f>IFERROR(IF(VLOOKUP(A1490,[10]PRIORIZADOS!$A:$T,20,FALSE)="","",VLOOKUP(A1490,[10]PRIORIZADOS!$A:$T,20,FALSE)),"")</f>
        <v>Si</v>
      </c>
      <c r="U1490" s="11" t="str">
        <f>IFERROR(IF(VLOOKUP(A1490,[10]PRIORIZADOS!$A:$U,21,FALSE)="","",VLOOKUP(A1490,[10]PRIORIZADOS!$A:$U,21,FALSE)),"")</f>
        <v>Presentación del plan de mejoramiento el 29 de agosto; avances, el 20 de noviembre de 2025 y el 25 de mayo de 2026.</v>
      </c>
    </row>
    <row r="1491" spans="1:21" s="1" customFormat="1" ht="84">
      <c r="A1491" s="69">
        <f>IF([10]PRIORIZADOS!A105="","",[10]PRIORIZADOS!A105)</f>
        <v>1433</v>
      </c>
      <c r="B1491" s="70">
        <f>IFERROR(IF(VLOOKUP(A1491,[10]PRIORIZADOS!$A:$B,2,FALSE)="","",VLOOKUP(A1491,[10]PRIORIZADOS!$A:$B,2,FALSE)),"")</f>
        <v>16</v>
      </c>
      <c r="C1491" s="11" t="str">
        <f>IFERROR(IF(VLOOKUP(A1491,[10]PRIORIZADOS!$A:$C,3,FALSE)="","",VLOOKUP(A1491,[10]PRIORIZADOS!$A:$C,3,FALSE)),"")</f>
        <v>PUENTE ARANDA</v>
      </c>
      <c r="D1491" s="11" t="str">
        <f>IFERROR(IF(VLOOKUP(A1491,[10]PRIORIZADOS!$A:$D,4,FALSE)="","",VLOOKUP(A1491,[10]PRIORIZADOS!$A:$D,4,FALSE)),"")</f>
        <v>PRIVADO_IETDH</v>
      </c>
      <c r="E1491" s="11" t="str">
        <f>IFERROR(IF(VLOOKUP(A1491,[10]PRIORIZADOS!$A:$E,5,FALSE)="","",VLOOKUP(A1491,[10]PRIORIZADOS!$A:$E,5,FALSE)),"")</f>
        <v>IETDH</v>
      </c>
      <c r="F1491" s="11" t="str">
        <f>IFERROR(IF(VLOOKUP(A1491,[10]PRIORIZADOS!$A:$F,6,FALSE)="","",VLOOKUP(A1491,[10]PRIORIZADOS!$A:$F,6,FALSE)),"")</f>
        <v>CENTRO_DE_ENSEÑANZA_AUTOMOVILISTICA_VIA_LIBRE_CENTRO_MAYOR_S.A.S.</v>
      </c>
      <c r="G1491" s="11" t="str">
        <f>IFERROR(IF(VLOOKUP(A1491,[10]PRIORIZADOS!$A:$G,7,FALSE)="","",VLOOKUP(A1491,[10]PRIORIZADOS!$A:$G,7,FALSE)),"")</f>
        <v>CENTRO DE ENSEÑANZA AUTOMOVILISTICA VIA LIBRE CENTRO MAYOR S.A.S.</v>
      </c>
      <c r="H1491" s="11" t="str">
        <f>IFERROR(IF(VLOOKUP(A1491,[10]PRIORIZADOS!$A:$H,8,FALSE)="","",VLOOKUP(A1491,[10]PRIORIZADOS!$A:$H,8,FALSE)),"")</f>
        <v>IETDH priorizadas por cada ELIV (seguimiento a PMI, que no se hayan visitado en los últimos 3 años)</v>
      </c>
      <c r="I1491" s="11" t="str">
        <f>IFERROR(IF(VLOOKUP(A1491,[10]PRIORIZADOS!$A:$I,9,FALSE)="","",VLOOKUP(A1491,[10]PRIORIZADOS!$A:$I,9,FALSE)),"")</f>
        <v>SEGUIMIENTO_Y_SUPERVISIÓN.</v>
      </c>
      <c r="J1491" s="11" t="str">
        <f>IFERROR(IF(VLOOKUP(A1491,[10]PRIORIZADOS!$A:$J,10,FALSE)="","",VLOOKUP(A1491,[10]PRIORIZADOS!$A:$J,10,FALSE)),"")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491" s="11" t="str">
        <f>IFERROR(IF(VLOOKUP(A1491,[10]PRIORIZADOS!$A:$K,11,FALSE)="","",VLOOKUP(A1491,[10]PRIORIZADOS!$A:$K,11,FALSE)),"")</f>
        <v>OSCAR GERMAN CLAVIJO PALACIOS</v>
      </c>
      <c r="L1491" s="11" t="str">
        <f>IFERROR(IF(VLOOKUP(A1491,[10]PRIORIZADOS!$A:$L,12,FALSE)="","",VLOOKUP(A1491,[10]PRIORIZADOS!$A:$L,12,FALSE)),"")</f>
        <v>ALBERTO ESCARRAGA PEÑUELA</v>
      </c>
      <c r="M1491" s="71">
        <f>IFERROR(IF(VLOOKUP(A1491,[10]PRIORIZADOS!$A:$M,13,FALSE)="","",VLOOKUP(A1491,[10]PRIORIZADOS!$A:$M,13,FALSE)),"")</f>
        <v>45888</v>
      </c>
      <c r="N1491" s="71">
        <f>IFERROR(IF(VLOOKUP(A1491,[10]PRIORIZADOS!$A:$N,14,FALSE)="","",VLOOKUP(A1491,[10]PRIORIZADOS!$A:$N,14,FALSE)),"")</f>
        <v>45888</v>
      </c>
      <c r="O1491" s="71">
        <f>IFERROR(IF(VLOOKUP(A1491,[10]PRIORIZADOS!$A:$O,15,FALSE)="","",VLOOKUP(A1491,[10]PRIORIZADOS!$A:$O,15,FALSE)),"")</f>
        <v>45888</v>
      </c>
      <c r="P1491" s="11" t="str">
        <f>IFERROR(IF(VLOOKUP(A1491,[10]PRIORIZADOS!$A:$P,16,FALSE)="","",VLOOKUP(A1491,[10]PRIORIZADOS!$A:$P,16,FALSE)),"")</f>
        <v>Visitas de evaluación con fines de mejoramiento</v>
      </c>
      <c r="Q1491" s="44" t="s">
        <v>355</v>
      </c>
      <c r="R1491" s="11" t="str">
        <f>IFERROR(IF(VLOOKUP(A1491,[10]PRIORIZADOS!$A:$R,18,FALSE)="","",VLOOKUP(A1491,[10]PRIORIZADOS!$A:$R,18,FALSE)),"")</f>
        <v>Se evidencia que el reporte de matricula se hace el el SIET, lo que permitió evidenciar numero de matricula contra certificados, conforme a los datos referidos en el  numeral 3 del acta de visita</v>
      </c>
      <c r="S1491" s="11" t="str">
        <f>IFERROR(IF(VLOOKUP(A1491,[10]PRIORIZADOS!$A:$S,19,FALSE)="","",VLOOKUP(A1491,[10]PRIORIZADOS!$A:$S,19,FALSE)),"")</f>
        <v xml:space="preserve">En el manual de procedimientos y en el mismo Manual de Convivencia se debe definir lo pertinente al proceso de inscripción o matricula </v>
      </c>
      <c r="T1491" s="70" t="str">
        <f>IFERROR(IF(VLOOKUP(A1491,[10]PRIORIZADOS!$A:$T,20,FALSE)="","",VLOOKUP(A1491,[10]PRIORIZADOS!$A:$T,20,FALSE)),"")</f>
        <v>Si</v>
      </c>
      <c r="U1491" s="11" t="str">
        <f>IFERROR(IF(VLOOKUP(A1491,[10]PRIORIZADOS!$A:$U,21,FALSE)="","",VLOOKUP(A1491,[10]PRIORIZADOS!$A:$U,21,FALSE)),"")</f>
        <v>Debe presentar plan de mejhoramiento el 19 de Septiembre de 2025</v>
      </c>
    </row>
    <row r="1492" spans="1:21" s="1" customFormat="1" ht="72">
      <c r="A1492" s="69">
        <f>IF([10]PRIORIZADOS!A106="","",[10]PRIORIZADOS!A106)</f>
        <v>1434</v>
      </c>
      <c r="B1492" s="70">
        <f>IFERROR(IF(VLOOKUP(A1492,[10]PRIORIZADOS!$A:$B,2,FALSE)="","",VLOOKUP(A1492,[10]PRIORIZADOS!$A:$B,2,FALSE)),"")</f>
        <v>16</v>
      </c>
      <c r="C1492" s="11" t="str">
        <f>IFERROR(IF(VLOOKUP(A1492,[10]PRIORIZADOS!$A:$C,3,FALSE)="","",VLOOKUP(A1492,[10]PRIORIZADOS!$A:$C,3,FALSE)),"")</f>
        <v>PUENTE ARANDA</v>
      </c>
      <c r="D1492" s="11" t="str">
        <f>IFERROR(IF(VLOOKUP(A1492,[10]PRIORIZADOS!$A:$D,4,FALSE)="","",VLOOKUP(A1492,[10]PRIORIZADOS!$A:$D,4,FALSE)),"")</f>
        <v>PRIVADO_IETDH</v>
      </c>
      <c r="E1492" s="11" t="str">
        <f>IFERROR(IF(VLOOKUP(A1492,[10]PRIORIZADOS!$A:$E,5,FALSE)="","",VLOOKUP(A1492,[10]PRIORIZADOS!$A:$E,5,FALSE)),"")</f>
        <v>IETDH</v>
      </c>
      <c r="F1492" s="11" t="str">
        <f>IFERROR(IF(VLOOKUP(A1492,[10]PRIORIZADOS!$A:$F,6,FALSE)="","",VLOOKUP(A1492,[10]PRIORIZADOS!$A:$F,6,FALSE)),"")</f>
        <v>CENTRO_DE_ENSEÑANZA_AUTOMOVILISTICA_VIA_LIBRE_CENTRO_MAYOR_S.A.S.</v>
      </c>
      <c r="G1492" s="11" t="str">
        <f>IFERROR(IF(VLOOKUP(A1492,[10]PRIORIZADOS!$A:$G,7,FALSE)="","",VLOOKUP(A1492,[10]PRIORIZADOS!$A:$G,7,FALSE)),"")</f>
        <v>CENTRO DE ENSEÑANZA AUTOMOVILISTICA VIA LIBRE CENTRO MAYOR S.A.S.</v>
      </c>
      <c r="H1492" s="11" t="str">
        <f>IFERROR(IF(VLOOKUP(A1492,[10]PRIORIZADOS!$A:$H,8,FALSE)="","",VLOOKUP(A1492,[10]PRIORIZADOS!$A:$H,8,FALSE)),"")</f>
        <v>IETDH priorizadas por cada ELIV (seguimiento a PMI, que no se hayan visitado en los últimos 3 años)</v>
      </c>
      <c r="I1492" s="11" t="str">
        <f>IFERROR(IF(VLOOKUP(A1492,[10]PRIORIZADOS!$A:$I,9,FALSE)="","",VLOOKUP(A1492,[10]PRIORIZADOS!$A:$I,9,FALSE)),"")</f>
        <v>SEGUIMIENTO_Y_SUPERVISIÓN.</v>
      </c>
      <c r="J1492" s="11" t="str">
        <f>IFERROR(IF(VLOOKUP(A1492,[10]PRIORIZADOS!$A:$J,10,FALSE)="","",VLOOKUP(A1492,[10]PRIORIZADOS!$A:$J,10,FALSE)),"")</f>
        <v>Adelantar visitas para verificar que el desarrollo de los programas de ETDH, esté de acuerdo con lo autorizado y la normatividad vigente, para propender por su pertinencia, legalidad y actualización constante.</v>
      </c>
      <c r="K1492" s="11" t="str">
        <f>IFERROR(IF(VLOOKUP(A1492,[10]PRIORIZADOS!$A:$K,11,FALSE)="","",VLOOKUP(A1492,[10]PRIORIZADOS!$A:$K,11,FALSE)),"")</f>
        <v>OSCAR GERMAN CLAVIJO PALACIOS</v>
      </c>
      <c r="L1492" s="11" t="str">
        <f>IFERROR(IF(VLOOKUP(A1492,[10]PRIORIZADOS!$A:$L,12,FALSE)="","",VLOOKUP(A1492,[10]PRIORIZADOS!$A:$L,12,FALSE)),"")</f>
        <v>ALBERTO ESCARRAGA PEÑUELA</v>
      </c>
      <c r="M1492" s="71">
        <f>IFERROR(IF(VLOOKUP(A1492,[10]PRIORIZADOS!$A:$M,13,FALSE)="","",VLOOKUP(A1492,[10]PRIORIZADOS!$A:$M,13,FALSE)),"")</f>
        <v>45888</v>
      </c>
      <c r="N1492" s="71">
        <f>IFERROR(IF(VLOOKUP(A1492,[10]PRIORIZADOS!$A:$N,14,FALSE)="","",VLOOKUP(A1492,[10]PRIORIZADOS!$A:$N,14,FALSE)),"")</f>
        <v>45888</v>
      </c>
      <c r="O1492" s="71">
        <f>IFERROR(IF(VLOOKUP(A1492,[10]PRIORIZADOS!$A:$O,15,FALSE)="","",VLOOKUP(A1492,[10]PRIORIZADOS!$A:$O,15,FALSE)),"")</f>
        <v>45888</v>
      </c>
      <c r="P1492" s="11" t="str">
        <f>IFERROR(IF(VLOOKUP(A1492,[10]PRIORIZADOS!$A:$P,16,FALSE)="","",VLOOKUP(A1492,[10]PRIORIZADOS!$A:$P,16,FALSE)),"")</f>
        <v>Visitas de evaluación con fines de mejoramiento</v>
      </c>
      <c r="Q1492" s="5" t="s">
        <v>355</v>
      </c>
      <c r="R1492" s="11" t="str">
        <f>IFERROR(IF(VLOOKUP(A1492,[10]PRIORIZADOS!$A:$R,18,FALSE)="","",VLOOKUP(A1492,[10]PRIORIZADOS!$A:$R,18,FALSE)),"")</f>
        <v xml:space="preserve">Se evidencia que el Manual de convivencia o reglamento de estudiante, carese de varias tematicas, como el tema de inclusión, dversidad, justicia restaurativa, debido proceso, protocolos de atención, Siste Institucional de Evaluación </v>
      </c>
      <c r="S1492" s="11" t="str">
        <f>IFERROR(IF(VLOOKUP(A1492,[10]PRIORIZADOS!$A:$S,19,FALSE)="","",VLOOKUP(A1492,[10]PRIORIZADOS!$A:$S,19,FALSE)),"")</f>
        <v xml:space="preserve">Es necesario actualizar el Manual de Convivencia, con forme a las nuevas exigencias legales y en los temas referidos como no incluidos. Ademas el acta de probación del mismo manual </v>
      </c>
      <c r="T1492" s="70" t="str">
        <f>IFERROR(IF(VLOOKUP(A1492,[10]PRIORIZADOS!$A:$T,20,FALSE)="","",VLOOKUP(A1492,[10]PRIORIZADOS!$A:$T,20,FALSE)),"")</f>
        <v>Si</v>
      </c>
      <c r="U1492" s="11" t="str">
        <f>IFERROR(IF(VLOOKUP(A1492,[10]PRIORIZADOS!$A:$U,21,FALSE)="","",VLOOKUP(A1492,[10]PRIORIZADOS!$A:$U,21,FALSE)),"")</f>
        <v>Debe presentar plan de mejhoramiento el 19 de Septiembre de 2025, e</v>
      </c>
    </row>
    <row r="1493" spans="1:21" s="1" customFormat="1" ht="130.5">
      <c r="A1493" s="69">
        <f>IF([10]PRIORIZADOS!A107="","",[10]PRIORIZADOS!A107)</f>
        <v>1435</v>
      </c>
      <c r="B1493" s="70">
        <f>IFERROR(IF(VLOOKUP(A1493,[10]PRIORIZADOS!$A:$B,2,FALSE)="","",VLOOKUP(A1493,[10]PRIORIZADOS!$A:$B,2,FALSE)),"")</f>
        <v>16</v>
      </c>
      <c r="C1493" s="11" t="str">
        <f>IFERROR(IF(VLOOKUP(A1493,[10]PRIORIZADOS!$A:$C,3,FALSE)="","",VLOOKUP(A1493,[10]PRIORIZADOS!$A:$C,3,FALSE)),"")</f>
        <v>PUENTE ARANDA</v>
      </c>
      <c r="D1493" s="11" t="str">
        <f>IFERROR(IF(VLOOKUP(A1493,[10]PRIORIZADOS!$A:$D,4,FALSE)="","",VLOOKUP(A1493,[10]PRIORIZADOS!$A:$D,4,FALSE)),"")</f>
        <v>PRIVADO_IETDH</v>
      </c>
      <c r="E1493" s="11" t="str">
        <f>IFERROR(IF(VLOOKUP(A1493,[10]PRIORIZADOS!$A:$E,5,FALSE)="","",VLOOKUP(A1493,[10]PRIORIZADOS!$A:$E,5,FALSE)),"")</f>
        <v>IETDH</v>
      </c>
      <c r="F1493" s="11" t="str">
        <f>IFERROR(IF(VLOOKUP(A1493,[10]PRIORIZADOS!$A:$F,6,FALSE)="","",VLOOKUP(A1493,[10]PRIORIZADOS!$A:$F,6,FALSE)),"")</f>
        <v>CENTRO_DE_ENSEÑANZA_AUTOMOVILISTICA_VIA_LIBRE_CENTRO_MAYOR_S.A.S.</v>
      </c>
      <c r="G1493" s="11" t="str">
        <f>IFERROR(IF(VLOOKUP(A1493,[10]PRIORIZADOS!$A:$G,7,FALSE)="","",VLOOKUP(A1493,[10]PRIORIZADOS!$A:$G,7,FALSE)),"")</f>
        <v>CENTRO DE ENSEÑANZA AUTOMOVILISTICA VIA LIBRE CENTRO MAYOR S.A.S.</v>
      </c>
      <c r="H1493" s="11" t="str">
        <f>IFERROR(IF(VLOOKUP(A1493,[10]PRIORIZADOS!$A:$H,8,FALSE)="","",VLOOKUP(A1493,[10]PRIORIZADOS!$A:$H,8,FALSE)),"")</f>
        <v>IETDH priorizadas por cada ELIV (seguimiento a PMI, que no se hayan visitado en los últimos 3 años)</v>
      </c>
      <c r="I1493" s="11" t="str">
        <f>IFERROR(IF(VLOOKUP(A1493,[10]PRIORIZADOS!$A:$I,9,FALSE)="","",VLOOKUP(A1493,[10]PRIORIZADOS!$A:$I,9,FALSE)),"")</f>
        <v>EVALUACIÓN_CON_FINES_DE_MEJORAMIENTO.</v>
      </c>
      <c r="J1493" s="11" t="str">
        <f>IFERROR(IF(VLOOKUP(A1493,[10]PRIORIZADOS!$A:$J,10,FALSE)="","",VLOOKUP(A1493,[10]PRIORIZADOS!$A:$J,10,FALSE)),"")</f>
        <v>Verificar las condiciones en cuanto a: la estructura administrativa, condiciones de la planta física y medios educativos adecuados.</v>
      </c>
      <c r="K1493" s="11" t="str">
        <f>IFERROR(IF(VLOOKUP(A1493,[10]PRIORIZADOS!$A:$K,11,FALSE)="","",VLOOKUP(A1493,[10]PRIORIZADOS!$A:$K,11,FALSE)),"")</f>
        <v>OSCAR GERMAN CLAVIJO PALACIOS</v>
      </c>
      <c r="L1493" s="11" t="str">
        <f>IFERROR(IF(VLOOKUP(A1493,[10]PRIORIZADOS!$A:$L,12,FALSE)="","",VLOOKUP(A1493,[10]PRIORIZADOS!$A:$L,12,FALSE)),"")</f>
        <v>ALBERTO ESCARRAGA PEÑUELA</v>
      </c>
      <c r="M1493" s="71">
        <f>IFERROR(IF(VLOOKUP(A1493,[10]PRIORIZADOS!$A:$M,13,FALSE)="","",VLOOKUP(A1493,[10]PRIORIZADOS!$A:$M,13,FALSE)),"")</f>
        <v>45888</v>
      </c>
      <c r="N1493" s="71">
        <f>IFERROR(IF(VLOOKUP(A1493,[10]PRIORIZADOS!$A:$N,14,FALSE)="","",VLOOKUP(A1493,[10]PRIORIZADOS!$A:$N,14,FALSE)),"")</f>
        <v>19</v>
      </c>
      <c r="O1493" s="71">
        <f>IFERROR(IF(VLOOKUP(A1493,[10]PRIORIZADOS!$A:$O,15,FALSE)="","",VLOOKUP(A1493,[10]PRIORIZADOS!$A:$O,15,FALSE)),"")</f>
        <v>45888</v>
      </c>
      <c r="P1493" s="11" t="str">
        <f>IFERROR(IF(VLOOKUP(A1493,[10]PRIORIZADOS!$A:$P,16,FALSE)="","",VLOOKUP(A1493,[10]PRIORIZADOS!$A:$P,16,FALSE)),"")</f>
        <v>Visitas de evaluación con fines de mejoramiento</v>
      </c>
      <c r="Q1493" s="45" t="s">
        <v>355</v>
      </c>
      <c r="R1493" s="11" t="str">
        <f>IFERROR(IF(VLOOKUP(A1493,[10]PRIORIZADOS!$A:$R,18,FALSE)="","",VLOOKUP(A1493,[10]PRIORIZADOS!$A:$R,18,FALSE)),"")</f>
        <v>La planta física es adecuada para la cantidad de estudiantes, debidamente demarcada y con los mkedios de seguridad requeridos por el PEGR.Las areas de atención y del proceso educativo estan claramente definidas en la misma planta fisica y en el organigrama.</v>
      </c>
      <c r="S1493" s="11" t="str">
        <f>IFERROR(IF(VLOOKUP(A1493,[10]PRIORIZADOS!$A:$S,19,FALSE)="","",VLOOKUP(A1493,[10]PRIORIZADOS!$A:$S,19,FALSE)),"")</f>
        <v>Se requiere dentro de su oganización mejorar lo siguiente: - Formalizar el cambio de propietareios y director; - Organozar el area de archivo, con el fin de mejorar la ubicación de los documentos; - Se debe aportar lo pertinente al tema de auto evaluación institucional (instrumentos y estrategias de mejoramiento); - Se debe apotar Manual de Funciones, de procesos y poner al dia el PEGR y CC en cada una de las jornadas</v>
      </c>
      <c r="T1493" s="70" t="str">
        <f>IFERROR(IF(VLOOKUP(A1493,[10]PRIORIZADOS!$A:$T,20,FALSE)="","",VLOOKUP(A1493,[10]PRIORIZADOS!$A:$T,20,FALSE)),"")</f>
        <v>Si</v>
      </c>
      <c r="U1493" s="11" t="str">
        <f>IFERROR(IF(VLOOKUP(A1493,[10]PRIORIZADOS!$A:$U,21,FALSE)="","",VLOOKUP(A1493,[10]PRIORIZADOS!$A:$U,21,FALSE)),"")</f>
        <v>Debe presentar plan de mejhoramiento el 19 de Septiembre de 2025, e</v>
      </c>
    </row>
    <row r="1494" spans="1:21" s="1" customFormat="1" ht="84">
      <c r="A1494" s="69">
        <f>IF([10]PRIORIZADOS!A108="","",[10]PRIORIZADOS!A108)</f>
        <v>1436</v>
      </c>
      <c r="B1494" s="70">
        <f>IFERROR(IF(VLOOKUP(A1494,[10]PRIORIZADOS!$A:$B,2,FALSE)="","",VLOOKUP(A1494,[10]PRIORIZADOS!$A:$B,2,FALSE)),"")</f>
        <v>17</v>
      </c>
      <c r="C1494" s="11" t="str">
        <f>IFERROR(IF(VLOOKUP(A1494,[10]PRIORIZADOS!$A:$C,3,FALSE)="","",VLOOKUP(A1494,[10]PRIORIZADOS!$A:$C,3,FALSE)),"")</f>
        <v>PUENTE ARANDA</v>
      </c>
      <c r="D1494" s="11" t="str">
        <f>IFERROR(IF(VLOOKUP(A1494,[10]PRIORIZADOS!$A:$D,4,FALSE)="","",VLOOKUP(A1494,[10]PRIORIZADOS!$A:$D,4,FALSE)),"")</f>
        <v>PRIVADO_IETDH</v>
      </c>
      <c r="E1494" s="11" t="str">
        <f>IFERROR(IF(VLOOKUP(A1494,[10]PRIORIZADOS!$A:$E,5,FALSE)="","",VLOOKUP(A1494,[10]PRIORIZADOS!$A:$E,5,FALSE)),"")</f>
        <v>IETDH</v>
      </c>
      <c r="F1494" s="11" t="str">
        <f>IFERROR(IF(VLOOKUP(A1494,[10]PRIORIZADOS!$A:$F,6,FALSE)="","",VLOOKUP(A1494,[10]PRIORIZADOS!$A:$F,6,FALSE)),"")</f>
        <v>ESCUELA_DE_AUXILIARES_DE_ENFERMERIA_ESAE</v>
      </c>
      <c r="G1494" s="11" t="str">
        <f>IFERROR(IF(VLOOKUP(A1494,[10]PRIORIZADOS!$A:$G,7,FALSE)="","",VLOOKUP(A1494,[10]PRIORIZADOS!$A:$G,7,FALSE)),"")</f>
        <v>ESCUELA DE AUXILIARES DE ENFERMERIA ESAE</v>
      </c>
      <c r="H1494" s="11" t="str">
        <f>IFERROR(IF(VLOOKUP(A1494,[10]PRIORIZADOS!$A:$H,8,FALSE)="","",VLOOKUP(A1494,[10]PRIORIZADOS!$A:$H,8,FALSE)),"")</f>
        <v>IETDH priorizadas por cada ELIV (seguimiento a PMI, que no se hayan visitado en los últimos 3 años)</v>
      </c>
      <c r="I1494" s="11" t="str">
        <f>IFERROR(IF(VLOOKUP(A1494,[10]PRIORIZADOS!$A:$I,9,FALSE)="","",VLOOKUP(A1494,[10]PRIORIZADOS!$A:$I,9,FALSE)),"")</f>
        <v>SEGUIMIENTO_Y_SUPERVISIÓN.</v>
      </c>
      <c r="J1494" s="11" t="str">
        <f>IFERROR(IF(VLOOKUP(A1494,[10]PRIORIZADOS!$A:$J,10,FALSE)="","",VLOOKUP(A1494,[10]PRIORIZADOS!$A:$J,10,FALSE)),"")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494" s="11" t="str">
        <f>IFERROR(IF(VLOOKUP(A1494,[10]PRIORIZADOS!$A:$K,11,FALSE)="","",VLOOKUP(A1494,[10]PRIORIZADOS!$A:$K,11,FALSE)),"")</f>
        <v>ALBERTO ESCARRAGA PEÑUELA</v>
      </c>
      <c r="L1494" s="11" t="str">
        <f>IFERROR(IF(VLOOKUP(A1494,[10]PRIORIZADOS!$A:$L,12,FALSE)="","",VLOOKUP(A1494,[10]PRIORIZADOS!$A:$L,12,FALSE)),"")</f>
        <v>IGNACIO ABDÓN MONTENEGRO ALDANA</v>
      </c>
      <c r="M1494" s="71">
        <f>IFERROR(IF(VLOOKUP(A1494,[10]PRIORIZADOS!$A:$M,13,FALSE)="","",VLOOKUP(A1494,[10]PRIORIZADOS!$A:$M,13,FALSE)),"")</f>
        <v>45897</v>
      </c>
      <c r="N1494" s="71">
        <f>IFERROR(IF(VLOOKUP(A1494,[10]PRIORIZADOS!$A:$N,14,FALSE)="","",VLOOKUP(A1494,[10]PRIORIZADOS!$A:$N,14,FALSE)),"")</f>
        <v>45898</v>
      </c>
      <c r="O1494" s="71">
        <f>IFERROR(IF(VLOOKUP(A1494,[10]PRIORIZADOS!$A:$O,15,FALSE)="","",VLOOKUP(A1494,[10]PRIORIZADOS!$A:$O,15,FALSE)),"")</f>
        <v>45898</v>
      </c>
      <c r="P1494" s="11" t="str">
        <f>IFERROR(IF(VLOOKUP(A1494,[10]PRIORIZADOS!$A:$P,16,FALSE)="","",VLOOKUP(A1494,[10]PRIORIZADOS!$A:$P,16,FALSE)),"")</f>
        <v>Visitas de evaluación con fines de mejoramiento</v>
      </c>
      <c r="Q1494" s="237" t="s">
        <v>356</v>
      </c>
      <c r="R1494" s="11" t="str">
        <f>IFERROR(IF(VLOOKUP(A1494,[10]PRIORIZADOS!$A:$R,18,FALSE)="","",VLOOKUP(A1494,[10]PRIORIZADOS!$A:$R,18,FALSE)),"")</f>
        <v xml:space="preserve">Se encontró que la institución no tiene organizado los archivos de los registros acádemicos de la instutución </v>
      </c>
      <c r="S1494" s="11" t="str">
        <f>IFERROR(IF(VLOOKUP(A1494,[10]PRIORIZADOS!$A:$S,19,FALSE)="","",VLOOKUP(A1494,[10]PRIORIZADOS!$A:$S,19,FALSE)),"")</f>
        <v>la institución debe adelantar la organización de los artchivos de acuerdo con las normas archivisticas y las tablas de retención documental .</v>
      </c>
      <c r="T1494" s="70" t="str">
        <f>IFERROR(IF(VLOOKUP(A1494,[10]PRIORIZADOS!$A:$T,20,FALSE)="","",VLOOKUP(A1494,[10]PRIORIZADOS!$A:$T,20,FALSE)),"")</f>
        <v>si</v>
      </c>
      <c r="U1494" s="11" t="str">
        <f>IFERROR(IF(VLOOKUP(A1494,[10]PRIORIZADOS!$A:$U,21,FALSE)="","",VLOOKUP(A1494,[10]PRIORIZADOS!$A:$U,21,FALSE)),"")</f>
        <v>Debe presentar el plna de mejoramiento para el próximo 21 de septiembre de 2025. con primer avance el 20 de noviembre de 2025 y segundo avances 15 de mayo de 2026</v>
      </c>
    </row>
    <row r="1495" spans="1:21" s="1" customFormat="1" ht="60">
      <c r="A1495" s="69">
        <f>IF([10]PRIORIZADOS!A109="","",[10]PRIORIZADOS!A109)</f>
        <v>1437</v>
      </c>
      <c r="B1495" s="70">
        <f>IFERROR(IF(VLOOKUP(A1495,[10]PRIORIZADOS!$A:$B,2,FALSE)="","",VLOOKUP(A1495,[10]PRIORIZADOS!$A:$B,2,FALSE)),"")</f>
        <v>17</v>
      </c>
      <c r="C1495" s="11" t="str">
        <f>IFERROR(IF(VLOOKUP(A1495,[10]PRIORIZADOS!$A:$C,3,FALSE)="","",VLOOKUP(A1495,[10]PRIORIZADOS!$A:$C,3,FALSE)),"")</f>
        <v>PUENTE ARANDA</v>
      </c>
      <c r="D1495" s="11" t="str">
        <f>IFERROR(IF(VLOOKUP(A1495,[10]PRIORIZADOS!$A:$D,4,FALSE)="","",VLOOKUP(A1495,[10]PRIORIZADOS!$A:$D,4,FALSE)),"")</f>
        <v>PRIVADO_IETDH</v>
      </c>
      <c r="E1495" s="11" t="str">
        <f>IFERROR(IF(VLOOKUP(A1495,[10]PRIORIZADOS!$A:$E,5,FALSE)="","",VLOOKUP(A1495,[10]PRIORIZADOS!$A:$E,5,FALSE)),"")</f>
        <v>IETDH</v>
      </c>
      <c r="F1495" s="11" t="str">
        <f>IFERROR(IF(VLOOKUP(A1495,[10]PRIORIZADOS!$A:$F,6,FALSE)="","",VLOOKUP(A1495,[10]PRIORIZADOS!$A:$F,6,FALSE)),"")</f>
        <v>ESCUELA_DE_AUXILIARES_DE_ENFERMERIA_ESAE</v>
      </c>
      <c r="G1495" s="11" t="str">
        <f>IFERROR(IF(VLOOKUP(A1495,[10]PRIORIZADOS!$A:$G,7,FALSE)="","",VLOOKUP(A1495,[10]PRIORIZADOS!$A:$G,7,FALSE)),"")</f>
        <v>ESCUELA DE AUXILIARES DE ENFERMERIA ESAE</v>
      </c>
      <c r="H1495" s="11" t="str">
        <f>IFERROR(IF(VLOOKUP(A1495,[10]PRIORIZADOS!$A:$H,8,FALSE)="","",VLOOKUP(A1495,[10]PRIORIZADOS!$A:$H,8,FALSE)),"")</f>
        <v>IETDH priorizadas por cada ELIV (seguimiento a PMI, que no se hayan visitado en los últimos 3 años)</v>
      </c>
      <c r="I1495" s="11" t="str">
        <f>IFERROR(IF(VLOOKUP(A1495,[10]PRIORIZADOS!$A:$I,9,FALSE)="","",VLOOKUP(A1495,[10]PRIORIZADOS!$A:$I,9,FALSE)),"")</f>
        <v>SEGUIMIENTO_Y_SUPERVISIÓN.</v>
      </c>
      <c r="J1495" s="11" t="str">
        <f>IFERROR(IF(VLOOKUP(A1495,[10]PRIORIZADOS!$A:$J,10,FALSE)="","",VLOOKUP(A1495,[10]PRIORIZADOS!$A:$J,10,FALSE)),"")</f>
        <v>Adelantar visitas para verificar que el desarrollo de los programas de ETDH, esté de acuerdo con lo autorizado y la normatividad vigente, para propender por su pertinencia, legalidad y actualización constante.</v>
      </c>
      <c r="K1495" s="11" t="str">
        <f>IFERROR(IF(VLOOKUP(A1495,[10]PRIORIZADOS!$A:$K,11,FALSE)="","",VLOOKUP(A1495,[10]PRIORIZADOS!$A:$K,11,FALSE)),"")</f>
        <v>ALBERTO ESCARRAGA PEÑUELA</v>
      </c>
      <c r="L1495" s="11" t="str">
        <f>IFERROR(IF(VLOOKUP(A1495,[10]PRIORIZADOS!$A:$L,12,FALSE)="","",VLOOKUP(A1495,[10]PRIORIZADOS!$A:$L,12,FALSE)),"")</f>
        <v>IGNACIO ABDÓN MONTENEGRO ALDANA</v>
      </c>
      <c r="M1495" s="71">
        <f>IFERROR(IF(VLOOKUP(A1495,[10]PRIORIZADOS!$A:$M,13,FALSE)="","",VLOOKUP(A1495,[10]PRIORIZADOS!$A:$M,13,FALSE)),"")</f>
        <v>45897</v>
      </c>
      <c r="N1495" s="71">
        <f>IFERROR(IF(VLOOKUP(A1495,[10]PRIORIZADOS!$A:$N,14,FALSE)="","",VLOOKUP(A1495,[10]PRIORIZADOS!$A:$N,14,FALSE)),"")</f>
        <v>45898</v>
      </c>
      <c r="O1495" s="71">
        <f>IFERROR(IF(VLOOKUP(A1495,[10]PRIORIZADOS!$A:$O,15,FALSE)="","",VLOOKUP(A1495,[10]PRIORIZADOS!$A:$O,15,FALSE)),"")</f>
        <v>45898</v>
      </c>
      <c r="P1495" s="11" t="str">
        <f>IFERROR(IF(VLOOKUP(A1495,[10]PRIORIZADOS!$A:$P,16,FALSE)="","",VLOOKUP(A1495,[10]PRIORIZADOS!$A:$P,16,FALSE)),"")</f>
        <v>Visitas de evaluación con fines de mejoramiento</v>
      </c>
      <c r="Q1495" s="237" t="s">
        <v>356</v>
      </c>
      <c r="R1495" s="11" t="str">
        <f>IFERROR(IF(VLOOKUP(A1495,[10]PRIORIZADOS!$A:$R,18,FALSE)="","",VLOOKUP(A1495,[10]PRIORIZADOS!$A:$R,18,FALSE)),"")</f>
        <v xml:space="preserve">Se encontró que la instución expide las certificaciones con un nombre diferente al registrado en la licencia de funcionamiento </v>
      </c>
      <c r="S1495" s="11" t="str">
        <f>IFERROR(IF(VLOOKUP(A1495,[10]PRIORIZADOS!$A:$S,19,FALSE)="","",VLOOKUP(A1495,[10]PRIORIZADOS!$A:$S,19,FALSE)),"")</f>
        <v>la institución debe adelantar las acciones pertinentes para que las certificaciones salgan con el nombre de la institución que esta registrada en la resolución de la licencia de funcionamiento.</v>
      </c>
      <c r="T1495" s="70" t="str">
        <f>IFERROR(IF(VLOOKUP(A1495,[10]PRIORIZADOS!$A:$T,20,FALSE)="","",VLOOKUP(A1495,[10]PRIORIZADOS!$A:$T,20,FALSE)),"")</f>
        <v>SI</v>
      </c>
      <c r="U1495" s="11" t="str">
        <f>IFERROR(IF(VLOOKUP(A1495,[10]PRIORIZADOS!$A:$U,21,FALSE)="","",VLOOKUP(A1495,[10]PRIORIZADOS!$A:$U,21,FALSE)),"")</f>
        <v>Debe presentar el plna de mejoramiento para el próximo 21 de septiembre de 2025. con primer avance el 20 de noviembre de 2025 y segundo avances 15 de mayo de 2026</v>
      </c>
    </row>
    <row r="1496" spans="1:21" s="1" customFormat="1" ht="48">
      <c r="A1496" s="69">
        <f>IF([10]PRIORIZADOS!A110="","",[10]PRIORIZADOS!A110)</f>
        <v>1438</v>
      </c>
      <c r="B1496" s="70">
        <f>IFERROR(IF(VLOOKUP(A1496,[10]PRIORIZADOS!$A:$B,2,FALSE)="","",VLOOKUP(A1496,[10]PRIORIZADOS!$A:$B,2,FALSE)),"")</f>
        <v>17</v>
      </c>
      <c r="C1496" s="11" t="str">
        <f>IFERROR(IF(VLOOKUP(A1496,[10]PRIORIZADOS!$A:$C,3,FALSE)="","",VLOOKUP(A1496,[10]PRIORIZADOS!$A:$C,3,FALSE)),"")</f>
        <v>PUENTE ARANDA</v>
      </c>
      <c r="D1496" s="11" t="str">
        <f>IFERROR(IF(VLOOKUP(A1496,[10]PRIORIZADOS!$A:$D,4,FALSE)="","",VLOOKUP(A1496,[10]PRIORIZADOS!$A:$D,4,FALSE)),"")</f>
        <v>PRIVADO_IETDH</v>
      </c>
      <c r="E1496" s="11" t="str">
        <f>IFERROR(IF(VLOOKUP(A1496,[10]PRIORIZADOS!$A:$E,5,FALSE)="","",VLOOKUP(A1496,[10]PRIORIZADOS!$A:$E,5,FALSE)),"")</f>
        <v>IETDH</v>
      </c>
      <c r="F1496" s="11" t="str">
        <f>IFERROR(IF(VLOOKUP(A1496,[10]PRIORIZADOS!$A:$F,6,FALSE)="","",VLOOKUP(A1496,[10]PRIORIZADOS!$A:$F,6,FALSE)),"")</f>
        <v>ESCUELA_DE_AUXILIARES_DE_ENFERMERIA_ESAE</v>
      </c>
      <c r="G1496" s="11" t="str">
        <f>IFERROR(IF(VLOOKUP(A1496,[10]PRIORIZADOS!$A:$G,7,FALSE)="","",VLOOKUP(A1496,[10]PRIORIZADOS!$A:$G,7,FALSE)),"")</f>
        <v>ESCUELA DE AUXILIARES DE ENFERMERIA ESAE</v>
      </c>
      <c r="H1496" s="11" t="str">
        <f>IFERROR(IF(VLOOKUP(A1496,[10]PRIORIZADOS!$A:$H,8,FALSE)="","",VLOOKUP(A1496,[10]PRIORIZADOS!$A:$H,8,FALSE)),"")</f>
        <v>IETDH priorizadas por cada ELIV (seguimiento a PMI, que no se hayan visitado en los últimos 3 años)</v>
      </c>
      <c r="I1496" s="11" t="str">
        <f>IFERROR(IF(VLOOKUP(A1496,[10]PRIORIZADOS!$A:$I,9,FALSE)="","",VLOOKUP(A1496,[10]PRIORIZADOS!$A:$I,9,FALSE)),"")</f>
        <v>EVALUACIÓN_CON_FINES_DE_MEJORAMIENTO.</v>
      </c>
      <c r="J1496" s="11" t="str">
        <f>IFERROR(IF(VLOOKUP(A1496,[10]PRIORIZADOS!$A:$J,10,FALSE)="","",VLOOKUP(A1496,[10]PRIORIZADOS!$A:$J,10,FALSE)),"")</f>
        <v>Verificar las condiciones en cuanto a: la estructura administrativa, condiciones de la planta física y medios educativos adecuados.</v>
      </c>
      <c r="K1496" s="11" t="str">
        <f>IFERROR(IF(VLOOKUP(A1496,[10]PRIORIZADOS!$A:$K,11,FALSE)="","",VLOOKUP(A1496,[10]PRIORIZADOS!$A:$K,11,FALSE)),"")</f>
        <v>ALBERTO ESCARRAGA PEÑUELA</v>
      </c>
      <c r="L1496" s="11" t="str">
        <f>IFERROR(IF(VLOOKUP(A1496,[10]PRIORIZADOS!$A:$L,12,FALSE)="","",VLOOKUP(A1496,[10]PRIORIZADOS!$A:$L,12,FALSE)),"")</f>
        <v>IGNACIO ABDÓN MONTENEGRO ALDANA</v>
      </c>
      <c r="M1496" s="71">
        <f>IFERROR(IF(VLOOKUP(A1496,[10]PRIORIZADOS!$A:$M,13,FALSE)="","",VLOOKUP(A1496,[10]PRIORIZADOS!$A:$M,13,FALSE)),"")</f>
        <v>45897</v>
      </c>
      <c r="N1496" s="71">
        <f>IFERROR(IF(VLOOKUP(A1496,[10]PRIORIZADOS!$A:$N,14,FALSE)="","",VLOOKUP(A1496,[10]PRIORIZADOS!$A:$N,14,FALSE)),"")</f>
        <v>45898</v>
      </c>
      <c r="O1496" s="71">
        <f>IFERROR(IF(VLOOKUP(A1496,[10]PRIORIZADOS!$A:$O,15,FALSE)="","",VLOOKUP(A1496,[10]PRIORIZADOS!$A:$O,15,FALSE)),"")</f>
        <v>45898</v>
      </c>
      <c r="P1496" s="11" t="str">
        <f>IFERROR(IF(VLOOKUP(A1496,[10]PRIORIZADOS!$A:$P,16,FALSE)="","",VLOOKUP(A1496,[10]PRIORIZADOS!$A:$P,16,FALSE)),"")</f>
        <v>Visitas de evaluación con fines de mejoramiento</v>
      </c>
      <c r="Q1496" s="237" t="s">
        <v>356</v>
      </c>
      <c r="R1496" s="11" t="str">
        <f>IFERROR(IF(VLOOKUP(A1496,[10]PRIORIZADOS!$A:$R,18,FALSE)="","",VLOOKUP(A1496,[10]PRIORIZADOS!$A:$R,18,FALSE)),"")</f>
        <v>Se encontró que las instalaciones de la institución no cuentan con buena iluminación natural ni ventilización cruzada.</v>
      </c>
      <c r="S1496" s="11" t="str">
        <f>IFERROR(IF(VLOOKUP(A1496,[10]PRIORIZADOS!$A:$S,19,FALSE)="","",VLOOKUP(A1496,[10]PRIORIZADOS!$A:$S,19,FALSE)),"")</f>
        <v xml:space="preserve">La insititución debe mejorar las condiciones de la aulas en terminos de iluminación y ventilización cruzada </v>
      </c>
      <c r="T1496" s="70" t="str">
        <f>IFERROR(IF(VLOOKUP(A1496,[10]PRIORIZADOS!$A:$T,20,FALSE)="","",VLOOKUP(A1496,[10]PRIORIZADOS!$A:$T,20,FALSE)),"")</f>
        <v>si</v>
      </c>
      <c r="U1496" s="11" t="str">
        <f>IFERROR(IF(VLOOKUP(A1496,[10]PRIORIZADOS!$A:$U,21,FALSE)="","",VLOOKUP(A1496,[10]PRIORIZADOS!$A:$U,21,FALSE)),"")</f>
        <v>Debe presentar el plan de mejoramiento para el próximo 21 de septiembre de 2025. con primer avance el 20 de noviembre de 2025 y segundo avances 15 de mayo de 2026</v>
      </c>
    </row>
    <row r="1497" spans="1:21" s="1" customFormat="1" ht="48">
      <c r="A1497" s="69">
        <f>IF([11]PRIORIZADOS!A8="","",[11]PRIORIZADOS!A8)</f>
        <v>1462</v>
      </c>
      <c r="B1497" s="70">
        <f>IFERROR(IF(VLOOKUP(A1497,[11]PRIORIZADOS!$A:$B,2,FALSE)="","",VLOOKUP(A1497,[11]PRIORIZADOS!$A:$B,2,FALSE)),"")</f>
        <v>1</v>
      </c>
      <c r="C1497" s="11" t="str">
        <f>IFERROR(IF(VLOOKUP(A1497,[11]PRIORIZADOS!$A:$C,3,FALSE)="","",VLOOKUP(A1497,[11]PRIORIZADOS!$A:$C,3,FALSE)),"")</f>
        <v>RAFAEL URIBE URIBE</v>
      </c>
      <c r="D1497" s="11" t="str">
        <f>IFERROR(IF(VLOOKUP(A1497,[11]PRIORIZADOS!$A:$D,4,FALSE)="","",VLOOKUP(A1497,[11]PRIORIZADOS!$A:$D,4,FALSE)),"")</f>
        <v>PRIVADO</v>
      </c>
      <c r="E1497" s="11" t="str">
        <f>IFERROR(IF(VLOOKUP(A1497,[11]PRIORIZADOS!$A:$E,5,FALSE)="","",VLOOKUP(A1497,[11]PRIORIZADOS!$A:$E,5,FALSE)),"")</f>
        <v>Educación de Jóvenes y Adultos</v>
      </c>
      <c r="F1497" s="11" t="str">
        <f>IFERROR(IF(VLOOKUP(A1497,[11]PRIORIZADOS!$A:$F,6,FALSE)="","",VLOOKUP(A1497,[11]PRIORIZADOS!$A:$F,6,FALSE)),"")</f>
        <v>CENTRO_DE_EDUCACION_FORMAL_ROBERT_HOOKE</v>
      </c>
      <c r="G1497" s="11" t="str">
        <f>IFERROR(IF(VLOOKUP(A1497,[11]PRIORIZADOS!$A:$G,7,FALSE)="","",VLOOKUP(A1497,[11]PRIORIZADOS!$A:$G,7,FALSE)),"")</f>
        <v>CENTRO_DE_EDUCACION_FORMAL_ROBERT_HOOKE</v>
      </c>
      <c r="H1497" s="11" t="str">
        <f>IFERROR(IF(VLOOKUP(A1497,[11]PRIORIZADOS!$A:$H,8,FALSE)="","",VLOOKUP(A1497,[11]PRIORIZADOS!$A:$H,8,FALSE)),"")</f>
        <v>Autoevaluación Institucional y Pruebas SABER 11</v>
      </c>
      <c r="I1497" s="11" t="str">
        <f>IFERROR(IF(VLOOKUP(A1497,[11]PRIORIZADOS!$A:$I,9,FALSE)="","",VLOOKUP(A1497,[11]PRIORIZADOS!$A:$I,9,FALSE)),"")</f>
        <v>SEGUIMIENTO_Y_SUPERVISIÓN.</v>
      </c>
      <c r="J1497" s="11" t="str">
        <f>IFERROR(IF(VLOOKUP(A1497,[11]PRIORIZADOS!$A:$J,10,FALSE)="","",VLOOKUP(A1497,[11]PRIORIZADOS!$A:$J,10,FALSE)),"")</f>
        <v>Realizar visitas para verificar la información registrada sobre la autoevaluación institucional en el aplicativo EVI, a los establecimientos de educación formal no oficial.</v>
      </c>
      <c r="K1497" s="11" t="str">
        <f>IFERROR(IF(VLOOKUP(A1497,[11]PRIORIZADOS!$A:$K,11,FALSE)="","",VLOOKUP(A1497,[11]PRIORIZADOS!$A:$K,11,FALSE)),"")</f>
        <v>DORY CONSTANZA SANCHEZ ARAGÓN</v>
      </c>
      <c r="L1497" s="11" t="str">
        <f>IFERROR(IF(VLOOKUP(A1497,[11]PRIORIZADOS!$A:$L,12,FALSE)="","",VLOOKUP(A1497,[11]PRIORIZADOS!$A:$L,12,FALSE)),"")</f>
        <v>MURARY ALBERTO CASTILLO FUENTES</v>
      </c>
      <c r="M1497" s="71">
        <f>IFERROR(IF(VLOOKUP(A1497,[11]PRIORIZADOS!$A:$M,13,FALSE)="","",VLOOKUP(A1497,[11]PRIORIZADOS!$A:$M,13,FALSE)),"")</f>
        <v>45733</v>
      </c>
      <c r="N1497" s="71">
        <f>IFERROR(IF(VLOOKUP(A1497,[11]PRIORIZADOS!$A:$N,14,FALSE)="","",VLOOKUP(A1497,[11]PRIORIZADOS!$A:$N,14,FALSE)),"")</f>
        <v>45735</v>
      </c>
      <c r="O1497" s="71">
        <f>IFERROR(IF(VLOOKUP(A1497,[11]PRIORIZADOS!$A:$O,15,FALSE)="","",VLOOKUP(A1497,[11]PRIORIZADOS!$A:$O,15,FALSE)),"")</f>
        <v>45735</v>
      </c>
      <c r="P1497" s="11" t="str">
        <f>IFERROR(IF(VLOOKUP(A1497,[11]PRIORIZADOS!$A:$P,16,FALSE)="","",VLOOKUP(A1497,[11]PRIORIZADOS!$A:$P,16,FALSE)),"")</f>
        <v>Visitas de evaluación con fines de mejoramiento</v>
      </c>
      <c r="Q1497" s="107" t="s">
        <v>357</v>
      </c>
      <c r="R1497" s="11" t="str">
        <f>IFERROR(IF(VLOOKUP(A1497,[11]PRIORIZADOS!$A:$R,18,FALSE)="","",VLOOKUP(A1497,[11]PRIORIZADOS!$A:$R,18,FALSE)),"")</f>
        <v>Se evidencio que los docentes estan contratados por horas y se paga seguridad social solo para 2 personas administrativas de la institución.</v>
      </c>
      <c r="S1497" s="11" t="str">
        <f>IFERROR(IF(VLOOKUP(A1497,[11]PRIORIZADOS!$A:$S,19,FALSE)="","",VLOOKUP(A1497,[11]PRIORIZADOS!$A:$S,19,FALSE)),"")</f>
        <v>Realizar contratos y pago de seguridad social a los docentes. Presentar plan de mejoramiento 25 de abril de 2025</v>
      </c>
      <c r="T1497" s="70" t="str">
        <f>IFERROR(IF(VLOOKUP(A1497,[11]PRIORIZADOS!$A:$T,20,FALSE)="","",VLOOKUP(A1497,[11]PRIORIZADOS!$A:$T,20,FALSE)),"")</f>
        <v>Si</v>
      </c>
      <c r="U1497" s="11" t="str">
        <f>IFERROR(IF(VLOOKUP(A1497,[11]PRIORIZADOS!$A:$U,21,FALSE)="","",VLOOKUP(A1497,[11]PRIORIZADOS!$A:$U,21,FALSE)),"")</f>
        <v>Revisar PM y verificar que se ajuste a las observaciones realizadas.</v>
      </c>
    </row>
    <row r="1498" spans="1:21" s="1" customFormat="1" ht="84">
      <c r="A1498" s="69">
        <f>IF([11]PRIORIZADOS!A9="","",[11]PRIORIZADOS!A9)</f>
        <v>1463</v>
      </c>
      <c r="B1498" s="70">
        <v>1</v>
      </c>
      <c r="C1498" s="11" t="str">
        <f>IFERROR(IF(VLOOKUP(A1498,[11]PRIORIZADOS!$A:$C,3,FALSE)="","",VLOOKUP(A1498,[11]PRIORIZADOS!$A:$C,3,FALSE)),"")</f>
        <v>RAFAEL URIBE URIBE</v>
      </c>
      <c r="D1498" s="11" t="str">
        <f>IFERROR(IF(VLOOKUP(A1498,[11]PRIORIZADOS!$A:$D,4,FALSE)="","",VLOOKUP(A1498,[11]PRIORIZADOS!$A:$D,4,FALSE)),"")</f>
        <v>PRIVADO</v>
      </c>
      <c r="E1498" s="11" t="str">
        <f>IFERROR(IF(VLOOKUP(A1498,[11]PRIORIZADOS!$A:$E,5,FALSE)="","",VLOOKUP(A1498,[11]PRIORIZADOS!$A:$E,5,FALSE)),"")</f>
        <v>Educación de Jóvenes y Adultos</v>
      </c>
      <c r="F1498" s="11" t="str">
        <f>IFERROR(IF(VLOOKUP(A1498,[11]PRIORIZADOS!$A:$F,6,FALSE)="","",VLOOKUP(A1498,[11]PRIORIZADOS!$A:$F,6,FALSE)),"")</f>
        <v>CENTRO_DE_EDUCACION_FORMAL_ROBERT_HOOKE</v>
      </c>
      <c r="G1498" s="11" t="str">
        <f>IFERROR(IF(VLOOKUP(A1498,[11]PRIORIZADOS!$A:$G,7,FALSE)="","",VLOOKUP(A1498,[11]PRIORIZADOS!$A:$G,7,FALSE)),"")</f>
        <v>CENTRO_DE_EDUCACION_FORMAL_ROBERT_HOOKE</v>
      </c>
      <c r="H1498" s="11" t="str">
        <f>IFERROR(IF(VLOOKUP(A1498,[11]PRIORIZADOS!$A:$H,8,FALSE)="","",VLOOKUP(A1498,[11]PRIORIZADOS!$A:$H,8,FALSE)),"")</f>
        <v>Autoevaluación Institucional y Pruebas SABER 11</v>
      </c>
      <c r="I1498" s="11" t="str">
        <f>IFERROR(IF(VLOOKUP(A1498,[11]PRIORIZADOS!$A:$I,9,FALSE)="","",VLOOKUP(A1498,[11]PRIORIZADOS!$A:$I,9,FALSE)),"")</f>
        <v>SEGUIMIENTO_Y_SUPERVISIÓN.</v>
      </c>
      <c r="J1498" s="11" t="str">
        <f>IFERROR(IF(VLOOKUP(A1498,[11]PRIORIZADOS!$A:$J,10,FALSE)="","",VLOOKUP(A1498,[11]PRIORIZADOS!$A:$J,10,FALSE)),"")</f>
        <v>Proponer estrategias en la formulación, verificar su elaboración y realizar seguimiento semestral al desarrollo de  las acciones establecidas en los planes de mejoramiento por pruebas SABER 11 de los establecimientos de educación formal.</v>
      </c>
      <c r="K1498" s="11" t="str">
        <f>IFERROR(IF(VLOOKUP(A1498,[11]PRIORIZADOS!$A:$K,11,FALSE)="","",VLOOKUP(A1498,[11]PRIORIZADOS!$A:$K,11,FALSE)),"")</f>
        <v>DORY CONSTANZA SANCHEZ ARAGÓN</v>
      </c>
      <c r="L1498" s="11" t="str">
        <f>IFERROR(IF(VLOOKUP(A1498,[11]PRIORIZADOS!$A:$L,12,FALSE)="","",VLOOKUP(A1498,[11]PRIORIZADOS!$A:$L,12,FALSE)),"")</f>
        <v>MURARY ALBERTO CASTILLO FUENTES</v>
      </c>
      <c r="M1498" s="71">
        <f>IFERROR(IF(VLOOKUP(A1498,[11]PRIORIZADOS!$A:$M,13,FALSE)="","",VLOOKUP(A1498,[11]PRIORIZADOS!$A:$M,13,FALSE)),"")</f>
        <v>45733</v>
      </c>
      <c r="N1498" s="71">
        <f>IFERROR(IF(VLOOKUP(A1498,[11]PRIORIZADOS!$A:$N,14,FALSE)="","",VLOOKUP(A1498,[11]PRIORIZADOS!$A:$N,14,FALSE)),"")</f>
        <v>45735</v>
      </c>
      <c r="O1498" s="71">
        <f>IFERROR(IF(VLOOKUP(A1498,[11]PRIORIZADOS!$A:$O,15,FALSE)="","",VLOOKUP(A1498,[11]PRIORIZADOS!$A:$O,15,FALSE)),"")</f>
        <v>45735</v>
      </c>
      <c r="P1498" s="11" t="str">
        <f>IFERROR(IF(VLOOKUP(A1498,[11]PRIORIZADOS!$A:$P,16,FALSE)="","",VLOOKUP(A1498,[11]PRIORIZADOS!$A:$P,16,FALSE)),"")</f>
        <v>Visitas de evaluación con fines de mejoramiento</v>
      </c>
      <c r="Q1498" s="107" t="s">
        <v>357</v>
      </c>
      <c r="R1498" s="11" t="str">
        <f>IFERROR(IF(VLOOKUP(A1498,[11]PRIORIZADOS!$A:$R,18,FALSE)="","",VLOOKUP(A1498,[11]PRIORIZADOS!$A:$R,18,FALSE)),"")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498" s="11" t="str">
        <f>IFERROR(IF(VLOOKUP(A1498,[11]PRIORIZADOS!$A:$S,19,FALSE)="","",VLOOKUP(A1498,[11]PRIORIZADOS!$A:$S,19,FALSE)),"")</f>
        <v>Realizar analisis de las Pruebas Saber y establecer acciones pertinentes. Presentar plan de mejoramiento el 25 de abril de 2025</v>
      </c>
      <c r="T1498" s="70" t="str">
        <f>IFERROR(IF(VLOOKUP(A1498,[11]PRIORIZADOS!$A:$T,20,FALSE)="","",VLOOKUP(A1498,[11]PRIORIZADOS!$A:$T,20,FALSE)),"")</f>
        <v>Si</v>
      </c>
      <c r="U1498" s="11" t="str">
        <f>IFERROR(IF(VLOOKUP(A1498,[11]PRIORIZADOS!$A:$U,21,FALSE)="","",VLOOKUP(A1498,[11]PRIORIZADOS!$A:$U,21,FALSE)),"")</f>
        <v>Revisar PM y verificar que se ajuste a las observaciones realizadas.</v>
      </c>
    </row>
    <row r="1499" spans="1:21" s="1" customFormat="1" ht="72">
      <c r="A1499" s="69">
        <f>IF([11]PRIORIZADOS!A10="","",[11]PRIORIZADOS!A10)</f>
        <v>1464</v>
      </c>
      <c r="B1499" s="70">
        <v>1</v>
      </c>
      <c r="C1499" s="11" t="str">
        <f>IFERROR(IF(VLOOKUP(A1499,[11]PRIORIZADOS!$A:$C,3,FALSE)="","",VLOOKUP(A1499,[11]PRIORIZADOS!$A:$C,3,FALSE)),"")</f>
        <v>RAFAEL URIBE URIBE</v>
      </c>
      <c r="D1499" s="11" t="str">
        <f>IFERROR(IF(VLOOKUP(A1499,[11]PRIORIZADOS!$A:$D,4,FALSE)="","",VLOOKUP(A1499,[11]PRIORIZADOS!$A:$D,4,FALSE)),"")</f>
        <v>PRIVADO</v>
      </c>
      <c r="E1499" s="11" t="str">
        <f>IFERROR(IF(VLOOKUP(A1499,[11]PRIORIZADOS!$A:$E,5,FALSE)="","",VLOOKUP(A1499,[11]PRIORIZADOS!$A:$E,5,FALSE)),"")</f>
        <v>Educación de Jóvenes y Adultos</v>
      </c>
      <c r="F1499" s="11" t="str">
        <f>IFERROR(IF(VLOOKUP(A1499,[11]PRIORIZADOS!$A:$F,6,FALSE)="","",VLOOKUP(A1499,[11]PRIORIZADOS!$A:$F,6,FALSE)),"")</f>
        <v>CENTRO_DE_EDUCACION_FORMAL_ROBERT_HOOKE</v>
      </c>
      <c r="G1499" s="11" t="str">
        <f>IFERROR(IF(VLOOKUP(A1499,[11]PRIORIZADOS!$A:$G,7,FALSE)="","",VLOOKUP(A1499,[11]PRIORIZADOS!$A:$G,7,FALSE)),"")</f>
        <v>CENTRO_DE_EDUCACION_FORMAL_ROBERT_HOOKE</v>
      </c>
      <c r="H1499" s="11" t="str">
        <f>IFERROR(IF(VLOOKUP(A1499,[11]PRIORIZADOS!$A:$H,8,FALSE)="","",VLOOKUP(A1499,[11]PRIORIZADOS!$A:$H,8,FALSE)),"")</f>
        <v>Autoevaluación Institucional y Pruebas SABER 11</v>
      </c>
      <c r="I1499" s="11" t="str">
        <f>IFERROR(IF(VLOOKUP(A1499,[11]PRIORIZADOS!$A:$I,9,FALSE)="","",VLOOKUP(A1499,[11]PRIORIZADOS!$A:$I,9,FALSE)),"")</f>
        <v>SEGUIMIENTO_Y_SUPERVISIÓN.</v>
      </c>
      <c r="J1499" s="11" t="str">
        <f>IFERROR(IF(VLOOKUP(A1499,[11]PRIORIZADOS!$A:$J,10,FALSE)="","",VLOOKUP(A1499,[11]PRIORIZADOS!$A:$J,10,FALSE)),"")</f>
        <v xml:space="preserve">Verificar la implementación por parte de los colegios, de acciones realizadas para la prevención y atención de las situaciones de convivencia en el entorno escolar, según lo establecido en la Directiva 01 de 2022 del MEN. </v>
      </c>
      <c r="K1499" s="11" t="str">
        <f>IFERROR(IF(VLOOKUP(A1499,[11]PRIORIZADOS!$A:$K,11,FALSE)="","",VLOOKUP(A1499,[11]PRIORIZADOS!$A:$K,11,FALSE)),"")</f>
        <v>DORY CONSTANZA SANCHEZ ARAGÓN</v>
      </c>
      <c r="L1499" s="11" t="str">
        <f>IFERROR(IF(VLOOKUP(A1499,[11]PRIORIZADOS!$A:$L,12,FALSE)="","",VLOOKUP(A1499,[11]PRIORIZADOS!$A:$L,12,FALSE)),"")</f>
        <v>MURARY ALBERTO CASTILLO FUENTES</v>
      </c>
      <c r="M1499" s="71">
        <f>IFERROR(IF(VLOOKUP(A1499,[11]PRIORIZADOS!$A:$M,13,FALSE)="","",VLOOKUP(A1499,[11]PRIORIZADOS!$A:$M,13,FALSE)),"")</f>
        <v>45733</v>
      </c>
      <c r="N1499" s="71">
        <f>IFERROR(IF(VLOOKUP(A1499,[11]PRIORIZADOS!$A:$N,14,FALSE)="","",VLOOKUP(A1499,[11]PRIORIZADOS!$A:$N,14,FALSE)),"")</f>
        <v>45735</v>
      </c>
      <c r="O1499" s="71">
        <f>IFERROR(IF(VLOOKUP(A1499,[11]PRIORIZADOS!$A:$O,15,FALSE)="","",VLOOKUP(A1499,[11]PRIORIZADOS!$A:$O,15,FALSE)),"")</f>
        <v>45735</v>
      </c>
      <c r="P1499" s="11" t="str">
        <f>IFERROR(IF(VLOOKUP(A1499,[11]PRIORIZADOS!$A:$P,16,FALSE)="","",VLOOKUP(A1499,[11]PRIORIZADOS!$A:$P,16,FALSE)),"")</f>
        <v>Visitas de evaluación con fines de mejoramiento</v>
      </c>
      <c r="Q1499" s="107" t="s">
        <v>357</v>
      </c>
      <c r="R1499" s="11" t="str">
        <f>IFERROR(IF(VLOOKUP(A1499,[11]PRIORIZADOS!$A:$R,18,FALSE)="","",VLOOKUP(A1499,[11]PRIORIZADOS!$A:$R,18,FALSE)),"")</f>
        <v>La institución no cuentan con actas donde se evidencie el funcionamiento del comité de convivencia escolar.
No se ha verificado a los empleados inhabilidadades por delitos sexuales cada 4 meses.</v>
      </c>
      <c r="S1499" s="11" t="str">
        <f>IFERROR(IF(VLOOKUP(A1499,[11]PRIORIZADOS!$A:$S,19,FALSE)="","",VLOOKUP(A1499,[11]PRIORIZADOS!$A:$S,19,FALSE)),"")</f>
        <v>Realizar reuniones del comité de convivencia escolar cada 2 meses con su soporte. Verificar inhanilidades de los empleados cada 4 meses. Presentar plan de mejoramiento el 25 de abril de 2025</v>
      </c>
      <c r="T1499" s="70" t="str">
        <f>IFERROR(IF(VLOOKUP(A1499,[11]PRIORIZADOS!$A:$T,20,FALSE)="","",VLOOKUP(A1499,[11]PRIORIZADOS!$A:$T,20,FALSE)),"")</f>
        <v>Si</v>
      </c>
      <c r="U1499" s="11" t="str">
        <f>IFERROR(IF(VLOOKUP(A1499,[11]PRIORIZADOS!$A:$U,21,FALSE)="","",VLOOKUP(A1499,[11]PRIORIZADOS!$A:$U,21,FALSE)),"")</f>
        <v>Revisar PM y verificar que se ajuste a las observaciones realizadas.</v>
      </c>
    </row>
    <row r="1500" spans="1:21" s="1" customFormat="1" ht="72">
      <c r="A1500" s="69">
        <f>IF([11]PRIORIZADOS!A11="","",[11]PRIORIZADOS!A11)</f>
        <v>1465</v>
      </c>
      <c r="B1500" s="70">
        <v>1</v>
      </c>
      <c r="C1500" s="11" t="str">
        <f>IFERROR(IF(VLOOKUP(A1500,[11]PRIORIZADOS!$A:$C,3,FALSE)="","",VLOOKUP(A1500,[11]PRIORIZADOS!$A:$C,3,FALSE)),"")</f>
        <v>RAFAEL URIBE URIBE</v>
      </c>
      <c r="D1500" s="11" t="str">
        <f>IFERROR(IF(VLOOKUP(A1500,[11]PRIORIZADOS!$A:$D,4,FALSE)="","",VLOOKUP(A1500,[11]PRIORIZADOS!$A:$D,4,FALSE)),"")</f>
        <v>PRIVADO</v>
      </c>
      <c r="E1500" s="11" t="str">
        <f>IFERROR(IF(VLOOKUP(A1500,[11]PRIORIZADOS!$A:$E,5,FALSE)="","",VLOOKUP(A1500,[11]PRIORIZADOS!$A:$E,5,FALSE)),"")</f>
        <v>Educación de Jóvenes y Adultos</v>
      </c>
      <c r="F1500" s="11" t="str">
        <f>IFERROR(IF(VLOOKUP(A1500,[11]PRIORIZADOS!$A:$F,6,FALSE)="","",VLOOKUP(A1500,[11]PRIORIZADOS!$A:$F,6,FALSE)),"")</f>
        <v>CENTRO_DE_EDUCACION_FORMAL_ROBERT_HOOKE</v>
      </c>
      <c r="G1500" s="11" t="str">
        <f>IFERROR(IF(VLOOKUP(A1500,[11]PRIORIZADOS!$A:$G,7,FALSE)="","",VLOOKUP(A1500,[11]PRIORIZADOS!$A:$G,7,FALSE)),"")</f>
        <v>CENTRO_DE_EDUCACION_FORMAL_ROBERT_HOOKE</v>
      </c>
      <c r="H1500" s="11" t="str">
        <f>IFERROR(IF(VLOOKUP(A1500,[11]PRIORIZADOS!$A:$H,8,FALSE)="","",VLOOKUP(A1500,[11]PRIORIZADOS!$A:$H,8,FALSE)),"")</f>
        <v>Autoevaluación Institucional y Pruebas SABER 11</v>
      </c>
      <c r="I1500" s="11" t="str">
        <f>IFERROR(IF(VLOOKUP(A1500,[11]PRIORIZADOS!$A:$I,9,FALSE)="","",VLOOKUP(A1500,[11]PRIORIZADOS!$A:$I,9,FALSE)),"")</f>
        <v>SEGUIMIENTO_Y_SUPERVISIÓN.</v>
      </c>
      <c r="J1500" s="11" t="str">
        <f>IFERROR(IF(VLOOKUP(A1500,[11]PRIORIZADOS!$A:$J,10,FALSE)="","",VLOOKUP(A1500,[11]PRIORIZADOS!$A:$J,10,FALSE)),"")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00" s="11" t="str">
        <f>IFERROR(IF(VLOOKUP(A1500,[11]PRIORIZADOS!$A:$K,11,FALSE)="","",VLOOKUP(A1500,[11]PRIORIZADOS!$A:$K,11,FALSE)),"")</f>
        <v>DORY CONSTANZA SANCHEZ ARAGÓN</v>
      </c>
      <c r="L1500" s="11" t="str">
        <f>IFERROR(IF(VLOOKUP(A1500,[11]PRIORIZADOS!$A:$L,12,FALSE)="","",VLOOKUP(A1500,[11]PRIORIZADOS!$A:$L,12,FALSE)),"")</f>
        <v>MURARY ALBERTO CASTILLO FUENTES</v>
      </c>
      <c r="M1500" s="71">
        <f>IFERROR(IF(VLOOKUP(A1500,[11]PRIORIZADOS!$A:$M,13,FALSE)="","",VLOOKUP(A1500,[11]PRIORIZADOS!$A:$M,13,FALSE)),"")</f>
        <v>45733</v>
      </c>
      <c r="N1500" s="71">
        <f>IFERROR(IF(VLOOKUP(A1500,[11]PRIORIZADOS!$A:$N,14,FALSE)="","",VLOOKUP(A1500,[11]PRIORIZADOS!$A:$N,14,FALSE)),"")</f>
        <v>45735</v>
      </c>
      <c r="O1500" s="71">
        <f>IFERROR(IF(VLOOKUP(A1500,[11]PRIORIZADOS!$A:$O,15,FALSE)="","",VLOOKUP(A1500,[11]PRIORIZADOS!$A:$O,15,FALSE)),"")</f>
        <v>45735</v>
      </c>
      <c r="P1500" s="11" t="str">
        <f>IFERROR(IF(VLOOKUP(A1500,[11]PRIORIZADOS!$A:$P,16,FALSE)="","",VLOOKUP(A1500,[11]PRIORIZADOS!$A:$P,16,FALSE)),"")</f>
        <v>Visitas de evaluación con fines de mejoramiento</v>
      </c>
      <c r="Q1500" s="107" t="s">
        <v>357</v>
      </c>
      <c r="R1500" s="11" t="str">
        <f>IFERROR(IF(VLOOKUP(A1500,[11]PRIORIZADOS!$A:$R,18,FALSE)="","",VLOOKUP(A1500,[11]PRIORIZADOS!$A:$R,18,FALSE)),"")</f>
        <v>La institución informa que no cuenta con estudiantes con discapacidad, transtornos o talentos. En el SIMAT se registran 5 estudiantes con discapacidad.
En el PEI - Manual - SIEE no incorpora la atención a la poblacion de discapacidad.</v>
      </c>
      <c r="S1500" s="11" t="str">
        <f>IFERROR(IF(VLOOKUP(A1500,[11]PRIORIZADOS!$A:$S,19,FALSE)="","",VLOOKUP(A1500,[11]PRIORIZADOS!$A:$S,19,FALSE)),"")</f>
        <v>Verificar los estudiantes reportados en SIMAT y si corresponde realizar el PIAR. Incoroporar en el PEI la atención a esta población.Presentar plan de mejoramiento el 25 de abril de 2025</v>
      </c>
      <c r="T1500" s="70" t="str">
        <f>IFERROR(IF(VLOOKUP(A1500,[11]PRIORIZADOS!$A:$T,20,FALSE)="","",VLOOKUP(A1500,[11]PRIORIZADOS!$A:$T,20,FALSE)),"")</f>
        <v>Si</v>
      </c>
      <c r="U1500" s="11" t="str">
        <f>IFERROR(IF(VLOOKUP(A1500,[11]PRIORIZADOS!$A:$U,21,FALSE)="","",VLOOKUP(A1500,[11]PRIORIZADOS!$A:$U,21,FALSE)),"")</f>
        <v>Revisar PM y verificar que se ajuste a las observaciones realizadas.</v>
      </c>
    </row>
    <row r="1501" spans="1:21" s="1" customFormat="1" ht="84">
      <c r="A1501" s="69">
        <f>IF([11]PRIORIZADOS!A12="","",[11]PRIORIZADOS!A12)</f>
        <v>1466</v>
      </c>
      <c r="B1501" s="70">
        <v>1</v>
      </c>
      <c r="C1501" s="11" t="str">
        <f>IFERROR(IF(VLOOKUP(A1501,[11]PRIORIZADOS!$A:$C,3,FALSE)="","",VLOOKUP(A1501,[11]PRIORIZADOS!$A:$C,3,FALSE)),"")</f>
        <v>RAFAEL URIBE URIBE</v>
      </c>
      <c r="D1501" s="11" t="str">
        <f>IFERROR(IF(VLOOKUP(A1501,[11]PRIORIZADOS!$A:$D,4,FALSE)="","",VLOOKUP(A1501,[11]PRIORIZADOS!$A:$D,4,FALSE)),"")</f>
        <v>PRIVADO</v>
      </c>
      <c r="E1501" s="11" t="str">
        <f>IFERROR(IF(VLOOKUP(A1501,[11]PRIORIZADOS!$A:$E,5,FALSE)="","",VLOOKUP(A1501,[11]PRIORIZADOS!$A:$E,5,FALSE)),"")</f>
        <v>Educación de Jóvenes y Adultos</v>
      </c>
      <c r="F1501" s="11" t="str">
        <f>IFERROR(IF(VLOOKUP(A1501,[11]PRIORIZADOS!$A:$F,6,FALSE)="","",VLOOKUP(A1501,[11]PRIORIZADOS!$A:$F,6,FALSE)),"")</f>
        <v>CENTRO_DE_EDUCACION_FORMAL_ROBERT_HOOKE</v>
      </c>
      <c r="G1501" s="11" t="str">
        <f>IFERROR(IF(VLOOKUP(A1501,[11]PRIORIZADOS!$A:$G,7,FALSE)="","",VLOOKUP(A1501,[11]PRIORIZADOS!$A:$G,7,FALSE)),"")</f>
        <v>CENTRO_DE_EDUCACION_FORMAL_ROBERT_HOOKE</v>
      </c>
      <c r="H1501" s="11" t="str">
        <f>IFERROR(IF(VLOOKUP(A1501,[11]PRIORIZADOS!$A:$H,8,FALSE)="","",VLOOKUP(A1501,[11]PRIORIZADOS!$A:$H,8,FALSE)),"")</f>
        <v>Autoevaluación Institucional y Pruebas SABER 11</v>
      </c>
      <c r="I1501" s="11" t="str">
        <f>IFERROR(IF(VLOOKUP(A1501,[11]PRIORIZADOS!$A:$I,9,FALSE)="","",VLOOKUP(A1501,[11]PRIORIZADOS!$A:$I,9,FALSE)),"")</f>
        <v>EVALUACIÓN_CON_FINES_DE_MEJORAMIENTO.</v>
      </c>
      <c r="J1501" s="11" t="str">
        <f>IFERROR(IF(VLOOKUP(A1501,[11]PRIORIZADOS!$A:$J,10,FALSE)="","",VLOOKUP(A1501,[11]PRIORIZADOS!$A:$J,10,FALSE)),"")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01" s="11" t="str">
        <f>IFERROR(IF(VLOOKUP(A1501,[11]PRIORIZADOS!$A:$K,11,FALSE)="","",VLOOKUP(A1501,[11]PRIORIZADOS!$A:$K,11,FALSE)),"")</f>
        <v>DORY CONSTANZA SANCHEZ ARAGÓN</v>
      </c>
      <c r="L1501" s="11" t="str">
        <f>IFERROR(IF(VLOOKUP(A1501,[11]PRIORIZADOS!$A:$L,12,FALSE)="","",VLOOKUP(A1501,[11]PRIORIZADOS!$A:$L,12,FALSE)),"")</f>
        <v>MURARY ALBERTO CASTILLO FUENTES</v>
      </c>
      <c r="M1501" s="71">
        <f>IFERROR(IF(VLOOKUP(A1501,[11]PRIORIZADOS!$A:$M,13,FALSE)="","",VLOOKUP(A1501,[11]PRIORIZADOS!$A:$M,13,FALSE)),"")</f>
        <v>45733</v>
      </c>
      <c r="N1501" s="71">
        <f>IFERROR(IF(VLOOKUP(A1501,[11]PRIORIZADOS!$A:$N,14,FALSE)="","",VLOOKUP(A1501,[11]PRIORIZADOS!$A:$N,14,FALSE)),"")</f>
        <v>45735</v>
      </c>
      <c r="O1501" s="71">
        <f>IFERROR(IF(VLOOKUP(A1501,[11]PRIORIZADOS!$A:$O,15,FALSE)="","",VLOOKUP(A1501,[11]PRIORIZADOS!$A:$O,15,FALSE)),"")</f>
        <v>45735</v>
      </c>
      <c r="P1501" s="11" t="str">
        <f>IFERROR(IF(VLOOKUP(A1501,[11]PRIORIZADOS!$A:$P,16,FALSE)="","",VLOOKUP(A1501,[11]PRIORIZADOS!$A:$P,16,FALSE)),"")</f>
        <v>Visitas de evaluación con fines de mejoramiento</v>
      </c>
      <c r="Q1501" s="107" t="s">
        <v>357</v>
      </c>
      <c r="R1501" s="11" t="str">
        <f>IFERROR(IF(VLOOKUP(A1501,[11]PRIORIZADOS!$A:$R,18,FALSE)="","",VLOOKUP(A1501,[11]PRIORIZADOS!$A:$R,18,FALSE)),"")</f>
        <v>No se evidencia aprobación del manual de convivencia, ya que no cuenta con actas de gobierno escolar.
No se encuentra actualizada y cumpliendo con la normatividad vigente</v>
      </c>
      <c r="S1501" s="11" t="str">
        <f>IFERROR(IF(VLOOKUP(A1501,[11]PRIORIZADOS!$A:$S,19,FALSE)="","",VLOOKUP(A1501,[11]PRIORIZADOS!$A:$S,19,FALSE)),"")</f>
        <v>La institución debe actualizar el manual de convivencia con participación del gobierno escolar. Presentar plan de mejoramiento el 25 de abril de 2025</v>
      </c>
      <c r="T1501" s="70" t="str">
        <f>IFERROR(IF(VLOOKUP(A1501,[11]PRIORIZADOS!$A:$T,20,FALSE)="","",VLOOKUP(A1501,[11]PRIORIZADOS!$A:$T,20,FALSE)),"")</f>
        <v>Si</v>
      </c>
      <c r="U1501" s="11" t="str">
        <f>IFERROR(IF(VLOOKUP(A1501,[11]PRIORIZADOS!$A:$U,21,FALSE)="","",VLOOKUP(A1501,[11]PRIORIZADOS!$A:$U,21,FALSE)),"")</f>
        <v>Revisar PM y verificar que se ajuste a las observaciones realizadas.</v>
      </c>
    </row>
    <row r="1502" spans="1:21" s="1" customFormat="1" ht="48">
      <c r="A1502" s="69">
        <f>IF([11]PRIORIZADOS!A13="","",[11]PRIORIZADOS!A13)</f>
        <v>1467</v>
      </c>
      <c r="B1502" s="70">
        <v>1</v>
      </c>
      <c r="C1502" s="11" t="str">
        <f>IFERROR(IF(VLOOKUP(A1502,[11]PRIORIZADOS!$A:$C,3,FALSE)="","",VLOOKUP(A1502,[11]PRIORIZADOS!$A:$C,3,FALSE)),"")</f>
        <v>RAFAEL URIBE URIBE</v>
      </c>
      <c r="D1502" s="11" t="str">
        <f>IFERROR(IF(VLOOKUP(A1502,[11]PRIORIZADOS!$A:$D,4,FALSE)="","",VLOOKUP(A1502,[11]PRIORIZADOS!$A:$D,4,FALSE)),"")</f>
        <v>PRIVADO</v>
      </c>
      <c r="E1502" s="11" t="str">
        <f>IFERROR(IF(VLOOKUP(A1502,[11]PRIORIZADOS!$A:$E,5,FALSE)="","",VLOOKUP(A1502,[11]PRIORIZADOS!$A:$E,5,FALSE)),"")</f>
        <v>Educación de Jóvenes y Adultos</v>
      </c>
      <c r="F1502" s="11" t="str">
        <f>IFERROR(IF(VLOOKUP(A1502,[11]PRIORIZADOS!$A:$F,6,FALSE)="","",VLOOKUP(A1502,[11]PRIORIZADOS!$A:$F,6,FALSE)),"")</f>
        <v>CENTRO_DE_EDUCACION_FORMAL_ROBERT_HOOKE</v>
      </c>
      <c r="G1502" s="11" t="str">
        <f>IFERROR(IF(VLOOKUP(A1502,[11]PRIORIZADOS!$A:$G,7,FALSE)="","",VLOOKUP(A1502,[11]PRIORIZADOS!$A:$G,7,FALSE)),"")</f>
        <v>CENTRO_DE_EDUCACION_FORMAL_ROBERT_HOOKE</v>
      </c>
      <c r="H1502" s="11" t="str">
        <f>IFERROR(IF(VLOOKUP(A1502,[11]PRIORIZADOS!$A:$H,8,FALSE)="","",VLOOKUP(A1502,[11]PRIORIZADOS!$A:$H,8,FALSE)),"")</f>
        <v>Autoevaluación Institucional y Pruebas SABER 11</v>
      </c>
      <c r="I1502" s="11" t="str">
        <f>IFERROR(IF(VLOOKUP(A1502,[11]PRIORIZADOS!$A:$I,9,FALSE)="","",VLOOKUP(A1502,[11]PRIORIZADOS!$A:$I,9,FALSE)),"")</f>
        <v>EVALUACIÓN_CON_FINES_DE_MEJORAMIENTO.</v>
      </c>
      <c r="J1502" s="11" t="str">
        <f>IFERROR(IF(VLOOKUP(A1502,[11]PRIORIZADOS!$A:$J,10,FALSE)="","",VLOOKUP(A1502,[11]PRIORIZADOS!$A:$J,10,FALSE)),"")</f>
        <v>Revisar la actualización, socialización e implementación del Sistema Institucional de Evaluación de Estudiantes - SIEE, en articulación con la actualización del PEI y la normatividad vigente.</v>
      </c>
      <c r="K1502" s="11" t="str">
        <f>IFERROR(IF(VLOOKUP(A1502,[11]PRIORIZADOS!$A:$K,11,FALSE)="","",VLOOKUP(A1502,[11]PRIORIZADOS!$A:$K,11,FALSE)),"")</f>
        <v>DORY CONSTANZA SANCHEZ ARAGÓN</v>
      </c>
      <c r="L1502" s="11" t="str">
        <f>IFERROR(IF(VLOOKUP(A1502,[11]PRIORIZADOS!$A:$L,12,FALSE)="","",VLOOKUP(A1502,[11]PRIORIZADOS!$A:$L,12,FALSE)),"")</f>
        <v>MURARY ALBERTO CASTILLO FUENTES</v>
      </c>
      <c r="M1502" s="71">
        <f>IFERROR(IF(VLOOKUP(A1502,[11]PRIORIZADOS!$A:$M,13,FALSE)="","",VLOOKUP(A1502,[11]PRIORIZADOS!$A:$M,13,FALSE)),"")</f>
        <v>45733</v>
      </c>
      <c r="N1502" s="71">
        <f>IFERROR(IF(VLOOKUP(A1502,[11]PRIORIZADOS!$A:$N,14,FALSE)="","",VLOOKUP(A1502,[11]PRIORIZADOS!$A:$N,14,FALSE)),"")</f>
        <v>45735</v>
      </c>
      <c r="O1502" s="71">
        <f>IFERROR(IF(VLOOKUP(A1502,[11]PRIORIZADOS!$A:$O,15,FALSE)="","",VLOOKUP(A1502,[11]PRIORIZADOS!$A:$O,15,FALSE)),"")</f>
        <v>45735</v>
      </c>
      <c r="P1502" s="11" t="str">
        <f>IFERROR(IF(VLOOKUP(A1502,[11]PRIORIZADOS!$A:$P,16,FALSE)="","",VLOOKUP(A1502,[11]PRIORIZADOS!$A:$P,16,FALSE)),"")</f>
        <v>Visitas de evaluación con fines de mejoramiento</v>
      </c>
      <c r="Q1502" s="107" t="s">
        <v>357</v>
      </c>
      <c r="R1502" s="11" t="str">
        <f>IFERROR(IF(VLOOKUP(A1502,[11]PRIORIZADOS!$A:$R,18,FALSE)="","",VLOOKUP(A1502,[11]PRIORIZADOS!$A:$R,18,FALSE)),"")</f>
        <v>No se evidencia participación de la comunidad en la revisión del SIE para realizar los respectivos ajustes o actualizaciones.</v>
      </c>
      <c r="S1502" s="11" t="str">
        <f>IFERROR(IF(VLOOKUP(A1502,[11]PRIORIZADOS!$A:$S,19,FALSE)="","",VLOOKUP(A1502,[11]PRIORIZADOS!$A:$S,19,FALSE)),"")</f>
        <v>Realizar ajustes al SIEE con la participación del gobierno escolar. Presentar plan de mejoramiento el 25 de abril de 2025</v>
      </c>
      <c r="T1502" s="70" t="str">
        <f>IFERROR(IF(VLOOKUP(A1502,[11]PRIORIZADOS!$A:$T,20,FALSE)="","",VLOOKUP(A1502,[11]PRIORIZADOS!$A:$T,20,FALSE)),"")</f>
        <v>Si</v>
      </c>
      <c r="U1502" s="11" t="str">
        <f>IFERROR(IF(VLOOKUP(A1502,[11]PRIORIZADOS!$A:$U,21,FALSE)="","",VLOOKUP(A1502,[11]PRIORIZADOS!$A:$U,21,FALSE)),"")</f>
        <v>Revisar PM y verificar que se ajuste a las observaciones realizadas.</v>
      </c>
    </row>
    <row r="1503" spans="1:21" s="1" customFormat="1" ht="48">
      <c r="A1503" s="69">
        <f>IF([11]PRIORIZADOS!A14="","",[11]PRIORIZADOS!A14)</f>
        <v>1468</v>
      </c>
      <c r="B1503" s="70">
        <v>1</v>
      </c>
      <c r="C1503" s="11" t="str">
        <f>IFERROR(IF(VLOOKUP(A1503,[11]PRIORIZADOS!$A:$C,3,FALSE)="","",VLOOKUP(A1503,[11]PRIORIZADOS!$A:$C,3,FALSE)),"")</f>
        <v>RAFAEL URIBE URIBE</v>
      </c>
      <c r="D1503" s="11" t="str">
        <f>IFERROR(IF(VLOOKUP(A1503,[11]PRIORIZADOS!$A:$D,4,FALSE)="","",VLOOKUP(A1503,[11]PRIORIZADOS!$A:$D,4,FALSE)),"")</f>
        <v>PRIVADO</v>
      </c>
      <c r="E1503" s="11" t="str">
        <f>IFERROR(IF(VLOOKUP(A1503,[11]PRIORIZADOS!$A:$E,5,FALSE)="","",VLOOKUP(A1503,[11]PRIORIZADOS!$A:$E,5,FALSE)),"")</f>
        <v>Educación de Jóvenes y Adultos</v>
      </c>
      <c r="F1503" s="11" t="str">
        <f>IFERROR(IF(VLOOKUP(A1503,[11]PRIORIZADOS!$A:$F,6,FALSE)="","",VLOOKUP(A1503,[11]PRIORIZADOS!$A:$F,6,FALSE)),"")</f>
        <v>CENTRO_DE_EDUCACION_FORMAL_ROBERT_HOOKE</v>
      </c>
      <c r="G1503" s="11" t="str">
        <f>IFERROR(IF(VLOOKUP(A1503,[11]PRIORIZADOS!$A:$G,7,FALSE)="","",VLOOKUP(A1503,[11]PRIORIZADOS!$A:$G,7,FALSE)),"")</f>
        <v>CENTRO_DE_EDUCACION_FORMAL_ROBERT_HOOKE</v>
      </c>
      <c r="H1503" s="11" t="str">
        <f>IFERROR(IF(VLOOKUP(A1503,[11]PRIORIZADOS!$A:$H,8,FALSE)="","",VLOOKUP(A1503,[11]PRIORIZADOS!$A:$H,8,FALSE)),"")</f>
        <v>Autoevaluación Institucional y Pruebas SABER 11</v>
      </c>
      <c r="I1503" s="11" t="str">
        <f>IFERROR(IF(VLOOKUP(A1503,[11]PRIORIZADOS!$A:$I,9,FALSE)="","",VLOOKUP(A1503,[11]PRIORIZADOS!$A:$I,9,FALSE)),"")</f>
        <v>EVALUACIÓN_CON_FINES_DE_MEJORAMIENTO.</v>
      </c>
      <c r="J1503" s="11" t="str">
        <f>IFERROR(IF(VLOOKUP(A1503,[11]PRIORIZADOS!$A:$J,10,FALSE)="","",VLOOKUP(A1503,[11]PRIORIZADOS!$A:$J,10,FALSE)),"")</f>
        <v>Revisar el calendario escolar, jornada escolar, la intensidad horaria mínima anual en cada nivel y las modificaciones que se realicen al mismo, de acuerdo con lo previsto en la normatividad vigente.</v>
      </c>
      <c r="K1503" s="11" t="str">
        <f>IFERROR(IF(VLOOKUP(A1503,[11]PRIORIZADOS!$A:$K,11,FALSE)="","",VLOOKUP(A1503,[11]PRIORIZADOS!$A:$K,11,FALSE)),"")</f>
        <v>DORY CONSTANZA SANCHEZ ARAGÓN</v>
      </c>
      <c r="L1503" s="11" t="str">
        <f>IFERROR(IF(VLOOKUP(A1503,[11]PRIORIZADOS!$A:$L,12,FALSE)="","",VLOOKUP(A1503,[11]PRIORIZADOS!$A:$L,12,FALSE)),"")</f>
        <v>MURARY ALBERTO CASTILLO FUENTES</v>
      </c>
      <c r="M1503" s="71">
        <f>IFERROR(IF(VLOOKUP(A1503,[11]PRIORIZADOS!$A:$M,13,FALSE)="","",VLOOKUP(A1503,[11]PRIORIZADOS!$A:$M,13,FALSE)),"")</f>
        <v>45733</v>
      </c>
      <c r="N1503" s="71">
        <f>IFERROR(IF(VLOOKUP(A1503,[11]PRIORIZADOS!$A:$N,14,FALSE)="","",VLOOKUP(A1503,[11]PRIORIZADOS!$A:$N,14,FALSE)),"")</f>
        <v>45735</v>
      </c>
      <c r="O1503" s="71">
        <f>IFERROR(IF(VLOOKUP(A1503,[11]PRIORIZADOS!$A:$O,15,FALSE)="","",VLOOKUP(A1503,[11]PRIORIZADOS!$A:$O,15,FALSE)),"")</f>
        <v>45735</v>
      </c>
      <c r="P1503" s="11" t="str">
        <f>IFERROR(IF(VLOOKUP(A1503,[11]PRIORIZADOS!$A:$P,16,FALSE)="","",VLOOKUP(A1503,[11]PRIORIZADOS!$A:$P,16,FALSE)),"")</f>
        <v>Visitas de evaluación con fines de mejoramiento</v>
      </c>
      <c r="Q1503" s="107" t="s">
        <v>357</v>
      </c>
      <c r="R1503" s="11" t="str">
        <f>IFERROR(IF(VLOOKUP(A1503,[11]PRIORIZADOS!$A:$R,18,FALSE)="","",VLOOKUP(A1503,[11]PRIORIZADOS!$A:$R,18,FALSE)),"")</f>
        <v>El calendario escolar da cumplimiento a la normatividad vigente</v>
      </c>
      <c r="S1503" s="11" t="str">
        <f>IFERROR(IF(VLOOKUP(A1503,[11]PRIORIZADOS!$A:$S,19,FALSE)="","",VLOOKUP(A1503,[11]PRIORIZADOS!$A:$S,19,FALSE)),"")</f>
        <v>Dar cumplimiento a lo establecido en el calendario</v>
      </c>
      <c r="T1503" s="70" t="str">
        <f>IFERROR(IF(VLOOKUP(A1503,[11]PRIORIZADOS!$A:$T,20,FALSE)="","",VLOOKUP(A1503,[11]PRIORIZADOS!$A:$T,20,FALSE)),"")</f>
        <v>No</v>
      </c>
      <c r="U1503" s="11" t="str">
        <f>IFERROR(IF(VLOOKUP(A1503,[11]PRIORIZADOS!$A:$U,21,FALSE)="","",VLOOKUP(A1503,[11]PRIORIZADOS!$A:$U,21,FALSE)),"")</f>
        <v>Verificar en caso de algun reqiuerimiento o queja</v>
      </c>
    </row>
    <row r="1504" spans="1:21" s="1" customFormat="1" ht="48">
      <c r="A1504" s="69">
        <f>IF([11]PRIORIZADOS!A15="","",[11]PRIORIZADOS!A15)</f>
        <v>1469</v>
      </c>
      <c r="B1504" s="70">
        <v>1</v>
      </c>
      <c r="C1504" s="11" t="str">
        <f>IFERROR(IF(VLOOKUP(A1504,[11]PRIORIZADOS!$A:$C,3,FALSE)="","",VLOOKUP(A1504,[11]PRIORIZADOS!$A:$C,3,FALSE)),"")</f>
        <v>RAFAEL URIBE URIBE</v>
      </c>
      <c r="D1504" s="11" t="str">
        <f>IFERROR(IF(VLOOKUP(A1504,[11]PRIORIZADOS!$A:$D,4,FALSE)="","",VLOOKUP(A1504,[11]PRIORIZADOS!$A:$D,4,FALSE)),"")</f>
        <v>PRIVADO</v>
      </c>
      <c r="E1504" s="11" t="str">
        <f>IFERROR(IF(VLOOKUP(A1504,[11]PRIORIZADOS!$A:$E,5,FALSE)="","",VLOOKUP(A1504,[11]PRIORIZADOS!$A:$E,5,FALSE)),"")</f>
        <v>Educación de Jóvenes y Adultos</v>
      </c>
      <c r="F1504" s="11" t="str">
        <f>IFERROR(IF(VLOOKUP(A1504,[11]PRIORIZADOS!$A:$F,6,FALSE)="","",VLOOKUP(A1504,[11]PRIORIZADOS!$A:$F,6,FALSE)),"")</f>
        <v>CENTRO_DE_EDUCACION_FORMAL_ROBERT_HOOKE</v>
      </c>
      <c r="G1504" s="11" t="str">
        <f>IFERROR(IF(VLOOKUP(A1504,[11]PRIORIZADOS!$A:$G,7,FALSE)="","",VLOOKUP(A1504,[11]PRIORIZADOS!$A:$G,7,FALSE)),"")</f>
        <v>CENTRO_DE_EDUCACION_FORMAL_ROBERT_HOOKE</v>
      </c>
      <c r="H1504" s="11" t="str">
        <f>IFERROR(IF(VLOOKUP(A1504,[11]PRIORIZADOS!$A:$H,8,FALSE)="","",VLOOKUP(A1504,[11]PRIORIZADOS!$A:$H,8,FALSE)),"")</f>
        <v>Autoevaluación Institucional y Pruebas SABER 11</v>
      </c>
      <c r="I1504" s="11" t="str">
        <f>IFERROR(IF(VLOOKUP(A1504,[11]PRIORIZADOS!$A:$I,9,FALSE)="","",VLOOKUP(A1504,[11]PRIORIZADOS!$A:$I,9,FALSE)),"")</f>
        <v>EVALUACIÓN_CON_FINES_DE_MEJORAMIENTO.</v>
      </c>
      <c r="J1504" s="11" t="str">
        <f>IFERROR(IF(VLOOKUP(A1504,[11]PRIORIZADOS!$A:$J,10,FALSE)="","",VLOOKUP(A1504,[11]PRIORIZADOS!$A:$J,10,FALSE)),"")</f>
        <v>Verificar el funcionamiento del Gobierno Escolar e instancias de participación con base en la información sobre conformación reportada por la institución educativa.</v>
      </c>
      <c r="K1504" s="11" t="str">
        <f>IFERROR(IF(VLOOKUP(A1504,[11]PRIORIZADOS!$A:$K,11,FALSE)="","",VLOOKUP(A1504,[11]PRIORIZADOS!$A:$K,11,FALSE)),"")</f>
        <v>DORY CONSTANZA SANCHEZ ARAGÓN</v>
      </c>
      <c r="L1504" s="11" t="str">
        <f>IFERROR(IF(VLOOKUP(A1504,[11]PRIORIZADOS!$A:$L,12,FALSE)="","",VLOOKUP(A1504,[11]PRIORIZADOS!$A:$L,12,FALSE)),"")</f>
        <v>MURARY ALBERTO CASTILLO FUENTES</v>
      </c>
      <c r="M1504" s="71">
        <f>IFERROR(IF(VLOOKUP(A1504,[11]PRIORIZADOS!$A:$M,13,FALSE)="","",VLOOKUP(A1504,[11]PRIORIZADOS!$A:$M,13,FALSE)),"")</f>
        <v>45733</v>
      </c>
      <c r="N1504" s="71">
        <f>IFERROR(IF(VLOOKUP(A1504,[11]PRIORIZADOS!$A:$N,14,FALSE)="","",VLOOKUP(A1504,[11]PRIORIZADOS!$A:$N,14,FALSE)),"")</f>
        <v>45735</v>
      </c>
      <c r="O1504" s="71">
        <f>IFERROR(IF(VLOOKUP(A1504,[11]PRIORIZADOS!$A:$O,15,FALSE)="","",VLOOKUP(A1504,[11]PRIORIZADOS!$A:$O,15,FALSE)),"")</f>
        <v>45735</v>
      </c>
      <c r="P1504" s="11" t="str">
        <f>IFERROR(IF(VLOOKUP(A1504,[11]PRIORIZADOS!$A:$P,16,FALSE)="","",VLOOKUP(A1504,[11]PRIORIZADOS!$A:$P,16,FALSE)),"")</f>
        <v>Visitas de evaluación con fines de mejoramiento</v>
      </c>
      <c r="Q1504" s="107" t="s">
        <v>357</v>
      </c>
      <c r="R1504" s="11" t="str">
        <f>IFERROR(IF(VLOOKUP(A1504,[11]PRIORIZADOS!$A:$R,18,FALSE)="","",VLOOKUP(A1504,[11]PRIORIZADOS!$A:$R,18,FALSE)),"")</f>
        <v>No se evidencian actas de funcionamiento de Gobierno Escolar</v>
      </c>
      <c r="S1504" s="11" t="str">
        <f>IFERROR(IF(VLOOKUP(A1504,[11]PRIORIZADOS!$A:$S,19,FALSE)="","",VLOOKUP(A1504,[11]PRIORIZADOS!$A:$S,19,FALSE)),"")</f>
        <v>Generar los espacios para el funcionamiento del gobierno escolar con sus respectivas actas. Presentar plan de mejoramiento el 25 de abril de 2025</v>
      </c>
      <c r="T1504" s="70" t="str">
        <f>IFERROR(IF(VLOOKUP(A1504,[11]PRIORIZADOS!$A:$T,20,FALSE)="","",VLOOKUP(A1504,[11]PRIORIZADOS!$A:$T,20,FALSE)),"")</f>
        <v>Si</v>
      </c>
      <c r="U1504" s="11" t="str">
        <f>IFERROR(IF(VLOOKUP(A1504,[11]PRIORIZADOS!$A:$U,21,FALSE)="","",VLOOKUP(A1504,[11]PRIORIZADOS!$A:$U,21,FALSE)),"")</f>
        <v>Revisar PM y verificar que se ajuste a las observaciones realizadas.</v>
      </c>
    </row>
    <row r="1505" spans="1:21" s="1" customFormat="1" ht="60">
      <c r="A1505" s="69">
        <f>IF([11]PRIORIZADOS!A16="","",[11]PRIORIZADOS!A16)</f>
        <v>1470</v>
      </c>
      <c r="B1505" s="70">
        <v>1</v>
      </c>
      <c r="C1505" s="11" t="str">
        <f>IFERROR(IF(VLOOKUP(A1505,[11]PRIORIZADOS!$A:$C,3,FALSE)="","",VLOOKUP(A1505,[11]PRIORIZADOS!$A:$C,3,FALSE)),"")</f>
        <v>RAFAEL URIBE URIBE</v>
      </c>
      <c r="D1505" s="11" t="str">
        <f>IFERROR(IF(VLOOKUP(A1505,[11]PRIORIZADOS!$A:$D,4,FALSE)="","",VLOOKUP(A1505,[11]PRIORIZADOS!$A:$D,4,FALSE)),"")</f>
        <v>PRIVADO</v>
      </c>
      <c r="E1505" s="11" t="str">
        <f>IFERROR(IF(VLOOKUP(A1505,[11]PRIORIZADOS!$A:$E,5,FALSE)="","",VLOOKUP(A1505,[11]PRIORIZADOS!$A:$E,5,FALSE)),"")</f>
        <v>Educación de Jóvenes y Adultos</v>
      </c>
      <c r="F1505" s="11" t="str">
        <f>IFERROR(IF(VLOOKUP(A1505,[11]PRIORIZADOS!$A:$F,6,FALSE)="","",VLOOKUP(A1505,[11]PRIORIZADOS!$A:$F,6,FALSE)),"")</f>
        <v>CENTRO_DE_EDUCACION_FORMAL_ROBERT_HOOKE</v>
      </c>
      <c r="G1505" s="11" t="str">
        <f>IFERROR(IF(VLOOKUP(A1505,[11]PRIORIZADOS!$A:$G,7,FALSE)="","",VLOOKUP(A1505,[11]PRIORIZADOS!$A:$G,7,FALSE)),"")</f>
        <v>CENTRO_DE_EDUCACION_FORMAL_ROBERT_HOOKE</v>
      </c>
      <c r="H1505" s="11" t="str">
        <f>IFERROR(IF(VLOOKUP(A1505,[11]PRIORIZADOS!$A:$H,8,FALSE)="","",VLOOKUP(A1505,[11]PRIORIZADOS!$A:$H,8,FALSE)),"")</f>
        <v>Autoevaluación Institucional y Pruebas SABER 11</v>
      </c>
      <c r="I1505" s="11" t="str">
        <f>IFERROR(IF(VLOOKUP(A1505,[11]PRIORIZADOS!$A:$I,9,FALSE)="","",VLOOKUP(A1505,[11]PRIORIZADOS!$A:$I,9,FALSE)),"")</f>
        <v>EVALUACIÓN_CON_FINES_DE_MEJORAMIENTO.</v>
      </c>
      <c r="J1505" s="11" t="str">
        <f>IFERROR(IF(VLOOKUP(A1505,[11]PRIORIZADOS!$A:$J,10,FALSE)="","",VLOOKUP(A1505,[11]PRIORIZADOS!$A:$J,10,FALSE)),"")</f>
        <v>Verificar las condiciones en cuanto a: la estructura administrativa, condiciones de la planta física y medios educativos adecuados.</v>
      </c>
      <c r="K1505" s="11" t="str">
        <f>IFERROR(IF(VLOOKUP(A1505,[11]PRIORIZADOS!$A:$K,11,FALSE)="","",VLOOKUP(A1505,[11]PRIORIZADOS!$A:$K,11,FALSE)),"")</f>
        <v>DORY CONSTANZA SANCHEZ ARAGÓN</v>
      </c>
      <c r="L1505" s="11" t="str">
        <f>IFERROR(IF(VLOOKUP(A1505,[11]PRIORIZADOS!$A:$L,12,FALSE)="","",VLOOKUP(A1505,[11]PRIORIZADOS!$A:$L,12,FALSE)),"")</f>
        <v>MURARY ALBERTO CASTILLO FUENTES</v>
      </c>
      <c r="M1505" s="71">
        <f>IFERROR(IF(VLOOKUP(A1505,[11]PRIORIZADOS!$A:$M,13,FALSE)="","",VLOOKUP(A1505,[11]PRIORIZADOS!$A:$M,13,FALSE)),"")</f>
        <v>45733</v>
      </c>
      <c r="N1505" s="71">
        <f>IFERROR(IF(VLOOKUP(A1505,[11]PRIORIZADOS!$A:$N,14,FALSE)="","",VLOOKUP(A1505,[11]PRIORIZADOS!$A:$N,14,FALSE)),"")</f>
        <v>45735</v>
      </c>
      <c r="O1505" s="71">
        <f>IFERROR(IF(VLOOKUP(A1505,[11]PRIORIZADOS!$A:$O,15,FALSE)="","",VLOOKUP(A1505,[11]PRIORIZADOS!$A:$O,15,FALSE)),"")</f>
        <v>45735</v>
      </c>
      <c r="P1505" s="11" t="str">
        <f>IFERROR(IF(VLOOKUP(A1505,[11]PRIORIZADOS!$A:$P,16,FALSE)="","",VLOOKUP(A1505,[11]PRIORIZADOS!$A:$P,16,FALSE)),"")</f>
        <v>Visitas de evaluación con fines de mejoramiento</v>
      </c>
      <c r="Q1505" s="107" t="s">
        <v>357</v>
      </c>
      <c r="R1505" s="11" t="str">
        <f>IFERROR(IF(VLOOKUP(A1505,[11]PRIORIZADOS!$A:$R,18,FALSE)="","",VLOOKUP(A1505,[11]PRIORIZADOS!$A:$R,18,FALSE)),"")</f>
        <v xml:space="preserve">Cuenta con 5 aulas de clase con espacio suficiente, buena iluminación, es importante hacer mantenimientos a los pupitres. Cuenta con espacio recreativo  en piso 5, hace falta mobiliario </v>
      </c>
      <c r="S1505" s="11" t="str">
        <f>IFERROR(IF(VLOOKUP(A1505,[11]PRIORIZADOS!$A:$S,19,FALSE)="","",VLOOKUP(A1505,[11]PRIORIZADOS!$A:$S,19,FALSE)),"")</f>
        <v>Realizar mantenimiento a algunos pupitres, mejorar zona recreativa. Presentar plan de mejoramiento el 25 de abril de 2025</v>
      </c>
      <c r="T1505" s="70" t="str">
        <f>IFERROR(IF(VLOOKUP(A1505,[11]PRIORIZADOS!$A:$T,20,FALSE)="","",VLOOKUP(A1505,[11]PRIORIZADOS!$A:$T,20,FALSE)),"")</f>
        <v>Si</v>
      </c>
      <c r="U1505" s="11" t="str">
        <f>IFERROR(IF(VLOOKUP(A1505,[11]PRIORIZADOS!$A:$U,21,FALSE)="","",VLOOKUP(A1505,[11]PRIORIZADOS!$A:$U,21,FALSE)),"")</f>
        <v>Revisar PM y verificar que se ajuste a las observaciones realizadas.</v>
      </c>
    </row>
    <row r="1506" spans="1:21" s="1" customFormat="1" ht="36">
      <c r="A1506" s="69">
        <f>IF([11]PRIORIZADOS!A17="","",[11]PRIORIZADOS!A17)</f>
        <v>1472</v>
      </c>
      <c r="B1506" s="70">
        <f>IFERROR(IF(VLOOKUP(A1506,[11]PRIORIZADOS!$A:$B,2,FALSE)="","",VLOOKUP(A1506,[11]PRIORIZADOS!$A:$B,2,FALSE)),"")</f>
        <v>2</v>
      </c>
      <c r="C1506" s="11" t="str">
        <f>IFERROR(IF(VLOOKUP(A1506,[11]PRIORIZADOS!$A:$C,3,FALSE)="","",VLOOKUP(A1506,[11]PRIORIZADOS!$A:$C,3,FALSE)),"")</f>
        <v>RAFAEL URIBE URIBE</v>
      </c>
      <c r="D1506" s="11" t="str">
        <f>IFERROR(IF(VLOOKUP(A1506,[11]PRIORIZADOS!$A:$D,4,FALSE)="","",VLOOKUP(A1506,[11]PRIORIZADOS!$A:$D,4,FALSE)),"")</f>
        <v>PRIVADO</v>
      </c>
      <c r="E1506" s="11" t="str">
        <f>IFERROR(IF(VLOOKUP(A1506,[11]PRIORIZADOS!$A:$E,5,FALSE)="","",VLOOKUP(A1506,[11]PRIORIZADOS!$A:$E,5,FALSE)),"")</f>
        <v>Educación de Jóvenes y Adultos</v>
      </c>
      <c r="F1506" s="11" t="str">
        <f>IFERROR(IF(VLOOKUP(A1506,[11]PRIORIZADOS!$A:$F,6,FALSE)="","",VLOOKUP(A1506,[11]PRIORIZADOS!$A:$F,6,FALSE)),"")</f>
        <v>INSTITUTO_ANDRE_MICHELIN</v>
      </c>
      <c r="G1506" s="11" t="str">
        <f>IFERROR(IF(VLOOKUP(A1506,[11]PRIORIZADOS!$A:$G,7,FALSE)="","",VLOOKUP(A1506,[11]PRIORIZADOS!$A:$G,7,FALSE)),"")</f>
        <v>INSTITUTO_ANDRE_MICHELIN</v>
      </c>
      <c r="H1506" s="11" t="str">
        <f>IFERROR(IF(VLOOKUP(A1506,[11]PRIORIZADOS!$A:$H,8,FALSE)="","",VLOOKUP(A1506,[11]PRIORIZADOS!$A:$H,8,FALSE)),"")</f>
        <v>Autoevaluación Institucional y Pruebas SABER 11</v>
      </c>
      <c r="I1506" s="11" t="str">
        <f>IFERROR(IF(VLOOKUP(A1506,[11]PRIORIZADOS!$A:$I,9,FALSE)="","",VLOOKUP(A1506,[11]PRIORIZADOS!$A:$I,9,FALSE)),"")</f>
        <v>SEGUIMIENTO_Y_SUPERVISIÓN.</v>
      </c>
      <c r="J1506" s="11" t="str">
        <f>IFERROR(IF(VLOOKUP(A1506,[11]PRIORIZADOS!$A:$J,10,FALSE)="","",VLOOKUP(A1506,[11]PRIORIZADOS!$A:$J,10,FALSE)),"")</f>
        <v>Realizar visitas para verificar la información registrada sobre la autoevaluación institucional en el aplicativo EVI, a los establecimientos de educación formal no oficial.</v>
      </c>
      <c r="K1506" s="11" t="str">
        <f>IFERROR(IF(VLOOKUP(A1506,[11]PRIORIZADOS!$A:$K,11,FALSE)="","",VLOOKUP(A1506,[11]PRIORIZADOS!$A:$K,11,FALSE)),"")</f>
        <v>BEPCI YADIRA MINA ZAPATA</v>
      </c>
      <c r="L1506" s="11" t="str">
        <f>IFERROR(IF(VLOOKUP(A1506,[11]PRIORIZADOS!$A:$L,12,FALSE)="","",VLOOKUP(A1506,[11]PRIORIZADOS!$A:$L,12,FALSE)),"")</f>
        <v>DORY CONSTANZA SANCHEZ ARAGÓN</v>
      </c>
      <c r="M1506" s="71">
        <f>IFERROR(IF(VLOOKUP(A1506,[11]PRIORIZADOS!$A:$M,13,FALSE)="","",VLOOKUP(A1506,[11]PRIORIZADOS!$A:$M,13,FALSE)),"")</f>
        <v>45771</v>
      </c>
      <c r="N1506" s="71">
        <f>IFERROR(IF(VLOOKUP(A1506,[11]PRIORIZADOS!$A:$N,14,FALSE)="","",VLOOKUP(A1506,[11]PRIORIZADOS!$A:$N,14,FALSE)),"")</f>
        <v>45904</v>
      </c>
      <c r="O1506" s="71">
        <f>IFERROR(IF(VLOOKUP(A1506,[11]PRIORIZADOS!$A:$O,15,FALSE)="","",VLOOKUP(A1506,[11]PRIORIZADOS!$A:$O,15,FALSE)),"")</f>
        <v>45915</v>
      </c>
      <c r="P1506" s="11" t="str">
        <f>IFERROR(IF(VLOOKUP(A1506,[11]PRIORIZADOS!$A:$P,16,FALSE)="","",VLOOKUP(A1506,[11]PRIORIZADOS!$A:$P,16,FALSE)),"")</f>
        <v>Visitas de evaluación con fines de mejoramiento</v>
      </c>
      <c r="Q1506" s="5" t="s">
        <v>358</v>
      </c>
      <c r="R1506" s="11" t="str">
        <f>IFERROR(IF(VLOOKUP(A1506,[11]PRIORIZADOS!$A:$R,18,FALSE)="","",VLOOKUP(A1506,[11]PRIORIZADOS!$A:$R,18,FALSE)),"")</f>
        <v>Cuentan con docentes sin afiliación a seguridad social, contratos por prestación de servicios.</v>
      </c>
      <c r="S1506" s="11" t="str">
        <f>IFERROR(IF(VLOOKUP(A1506,[11]PRIORIZADOS!$A:$S,19,FALSE)="","",VLOOKUP(A1506,[11]PRIORIZADOS!$A:$S,19,FALSE)),"")</f>
        <v>Realizar pago de seguridad social a todo el personal de la institución. Presentar plan de mejoramiento el 15 de octubre de 2025</v>
      </c>
      <c r="T1506" s="70" t="str">
        <f>IFERROR(IF(VLOOKUP(A1506,[11]PRIORIZADOS!$A:$T,20,FALSE)="","",VLOOKUP(A1506,[11]PRIORIZADOS!$A:$T,20,FALSE)),"")</f>
        <v>Si</v>
      </c>
      <c r="U1506" s="11" t="str">
        <f>IFERROR(IF(VLOOKUP(A1506,[11]PRIORIZADOS!$A:$U,21,FALSE)="","",VLOOKUP(A1506,[11]PRIORIZADOS!$A:$U,21,FALSE)),"")</f>
        <v>Revisar PM y verificar que se ajuste a las observaciones realizadas.</v>
      </c>
    </row>
    <row r="1507" spans="1:21" s="1" customFormat="1" ht="84">
      <c r="A1507" s="69">
        <f>IF([11]PRIORIZADOS!A18="","",[11]PRIORIZADOS!A18)</f>
        <v>1473</v>
      </c>
      <c r="B1507" s="70">
        <v>2</v>
      </c>
      <c r="C1507" s="11" t="str">
        <f>IFERROR(IF(VLOOKUP(A1507,[11]PRIORIZADOS!$A:$C,3,FALSE)="","",VLOOKUP(A1507,[11]PRIORIZADOS!$A:$C,3,FALSE)),"")</f>
        <v>RAFAEL URIBE URIBE</v>
      </c>
      <c r="D1507" s="11" t="str">
        <f>IFERROR(IF(VLOOKUP(A1507,[11]PRIORIZADOS!$A:$D,4,FALSE)="","",VLOOKUP(A1507,[11]PRIORIZADOS!$A:$D,4,FALSE)),"")</f>
        <v>PRIVADO</v>
      </c>
      <c r="E1507" s="11" t="str">
        <f>IFERROR(IF(VLOOKUP(A1507,[11]PRIORIZADOS!$A:$E,5,FALSE)="","",VLOOKUP(A1507,[11]PRIORIZADOS!$A:$E,5,FALSE)),"")</f>
        <v>Educación de Jóvenes y Adultos</v>
      </c>
      <c r="F1507" s="11" t="str">
        <f>IFERROR(IF(VLOOKUP(A1507,[11]PRIORIZADOS!$A:$F,6,FALSE)="","",VLOOKUP(A1507,[11]PRIORIZADOS!$A:$F,6,FALSE)),"")</f>
        <v>INSTITUTO_ANDRE_MICHELIN</v>
      </c>
      <c r="G1507" s="11" t="str">
        <f>IFERROR(IF(VLOOKUP(A1507,[11]PRIORIZADOS!$A:$G,7,FALSE)="","",VLOOKUP(A1507,[11]PRIORIZADOS!$A:$G,7,FALSE)),"")</f>
        <v>INSTITUTO_ANDRE_MICHELIN</v>
      </c>
      <c r="H1507" s="11" t="str">
        <f>IFERROR(IF(VLOOKUP(A1507,[11]PRIORIZADOS!$A:$H,8,FALSE)="","",VLOOKUP(A1507,[11]PRIORIZADOS!$A:$H,8,FALSE)),"")</f>
        <v>Autoevaluación Institucional y Pruebas SABER 11</v>
      </c>
      <c r="I1507" s="11" t="str">
        <f>IFERROR(IF(VLOOKUP(A1507,[11]PRIORIZADOS!$A:$I,9,FALSE)="","",VLOOKUP(A1507,[11]PRIORIZADOS!$A:$I,9,FALSE)),"")</f>
        <v>SEGUIMIENTO_Y_SUPERVISIÓN.</v>
      </c>
      <c r="J1507" s="11" t="str">
        <f>IFERROR(IF(VLOOKUP(A1507,[11]PRIORIZADOS!$A:$J,10,FALSE)="","",VLOOKUP(A1507,[11]PRIORIZADOS!$A:$J,10,FALSE)),"")</f>
        <v>Proponer estrategias en la formulación, verificar su elaboración y realizar seguimiento semestral al desarrollo de  las acciones establecidas en los planes de mejoramiento por pruebas SABER 11 de los establecimientos de educación formal.</v>
      </c>
      <c r="K1507" s="11" t="str">
        <f>IFERROR(IF(VLOOKUP(A1507,[11]PRIORIZADOS!$A:$K,11,FALSE)="","",VLOOKUP(A1507,[11]PRIORIZADOS!$A:$K,11,FALSE)),"")</f>
        <v>BEPCI YADIRA MINA ZAPATA</v>
      </c>
      <c r="L1507" s="11" t="str">
        <f>IFERROR(IF(VLOOKUP(A1507,[11]PRIORIZADOS!$A:$L,12,FALSE)="","",VLOOKUP(A1507,[11]PRIORIZADOS!$A:$L,12,FALSE)),"")</f>
        <v>DORY CONSTANZA SANCHEZ ARAGÓN</v>
      </c>
      <c r="M1507" s="71">
        <f>IFERROR(IF(VLOOKUP(A1507,[11]PRIORIZADOS!$A:$M,13,FALSE)="","",VLOOKUP(A1507,[11]PRIORIZADOS!$A:$M,13,FALSE)),"")</f>
        <v>45771</v>
      </c>
      <c r="N1507" s="71">
        <f>IFERROR(IF(VLOOKUP(A1507,[11]PRIORIZADOS!$A:$N,14,FALSE)="","",VLOOKUP(A1507,[11]PRIORIZADOS!$A:$N,14,FALSE)),"")</f>
        <v>45904</v>
      </c>
      <c r="O1507" s="71">
        <f>IFERROR(IF(VLOOKUP(A1507,[11]PRIORIZADOS!$A:$O,15,FALSE)="","",VLOOKUP(A1507,[11]PRIORIZADOS!$A:$O,15,FALSE)),"")</f>
        <v>45915</v>
      </c>
      <c r="P1507" s="11" t="str">
        <f>IFERROR(IF(VLOOKUP(A1507,[11]PRIORIZADOS!$A:$P,16,FALSE)="","",VLOOKUP(A1507,[11]PRIORIZADOS!$A:$P,16,FALSE)),"")</f>
        <v>Visitas de evaluación con fines de mejoramiento</v>
      </c>
      <c r="Q1507" s="5" t="s">
        <v>358</v>
      </c>
      <c r="R1507" s="11" t="str">
        <f>IFERROR(IF(VLOOKUP(A1507,[11]PRIORIZADOS!$A:$R,18,FALSE)="","",VLOOKUP(A1507,[11]PRIORIZADOS!$A:$R,18,FALSE)),"")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07" s="11" t="str">
        <f>IFERROR(IF(VLOOKUP(A1507,[11]PRIORIZADOS!$A:$S,19,FALSE)="","",VLOOKUP(A1507,[11]PRIORIZADOS!$A:$S,19,FALSE)),"")</f>
        <v>Realizar analisis de las Pruebas Saber y establecer acciones pertinentes. Presentar plan de mejoramiento el 15 de octubre de 2025</v>
      </c>
      <c r="T1507" s="70" t="str">
        <f>IFERROR(IF(VLOOKUP(A1507,[11]PRIORIZADOS!$A:$T,20,FALSE)="","",VLOOKUP(A1507,[11]PRIORIZADOS!$A:$T,20,FALSE)),"")</f>
        <v>Si</v>
      </c>
      <c r="U1507" s="11" t="str">
        <f>IFERROR(IF(VLOOKUP(A1507,[11]PRIORIZADOS!$A:$U,21,FALSE)="","",VLOOKUP(A1507,[11]PRIORIZADOS!$A:$U,21,FALSE)),"")</f>
        <v>Revisar PM y verificar que se ajuste a las observaciones realizadas.</v>
      </c>
    </row>
    <row r="1508" spans="1:21" s="1" customFormat="1" ht="72">
      <c r="A1508" s="69">
        <f>IF([11]PRIORIZADOS!A19="","",[11]PRIORIZADOS!A19)</f>
        <v>1474</v>
      </c>
      <c r="B1508" s="70">
        <v>2</v>
      </c>
      <c r="C1508" s="11" t="str">
        <f>IFERROR(IF(VLOOKUP(A1508,[11]PRIORIZADOS!$A:$C,3,FALSE)="","",VLOOKUP(A1508,[11]PRIORIZADOS!$A:$C,3,FALSE)),"")</f>
        <v>RAFAEL URIBE URIBE</v>
      </c>
      <c r="D1508" s="11" t="str">
        <f>IFERROR(IF(VLOOKUP(A1508,[11]PRIORIZADOS!$A:$D,4,FALSE)="","",VLOOKUP(A1508,[11]PRIORIZADOS!$A:$D,4,FALSE)),"")</f>
        <v>PRIVADO</v>
      </c>
      <c r="E1508" s="11" t="str">
        <f>IFERROR(IF(VLOOKUP(A1508,[11]PRIORIZADOS!$A:$E,5,FALSE)="","",VLOOKUP(A1508,[11]PRIORIZADOS!$A:$E,5,FALSE)),"")</f>
        <v>Educación de Jóvenes y Adultos</v>
      </c>
      <c r="F1508" s="11" t="str">
        <f>IFERROR(IF(VLOOKUP(A1508,[11]PRIORIZADOS!$A:$F,6,FALSE)="","",VLOOKUP(A1508,[11]PRIORIZADOS!$A:$F,6,FALSE)),"")</f>
        <v>INSTITUTO_ANDRE_MICHELIN</v>
      </c>
      <c r="G1508" s="11" t="str">
        <f>IFERROR(IF(VLOOKUP(A1508,[11]PRIORIZADOS!$A:$G,7,FALSE)="","",VLOOKUP(A1508,[11]PRIORIZADOS!$A:$G,7,FALSE)),"")</f>
        <v>INSTITUTO_ANDRE_MICHELIN</v>
      </c>
      <c r="H1508" s="11" t="str">
        <f>IFERROR(IF(VLOOKUP(A1508,[11]PRIORIZADOS!$A:$H,8,FALSE)="","",VLOOKUP(A1508,[11]PRIORIZADOS!$A:$H,8,FALSE)),"")</f>
        <v>Autoevaluación Institucional y Pruebas SABER 11</v>
      </c>
      <c r="I1508" s="11" t="str">
        <f>IFERROR(IF(VLOOKUP(A1508,[11]PRIORIZADOS!$A:$I,9,FALSE)="","",VLOOKUP(A1508,[11]PRIORIZADOS!$A:$I,9,FALSE)),"")</f>
        <v>SEGUIMIENTO_Y_SUPERVISIÓN.</v>
      </c>
      <c r="J1508" s="11" t="str">
        <f>IFERROR(IF(VLOOKUP(A1508,[11]PRIORIZADOS!$A:$J,10,FALSE)="","",VLOOKUP(A1508,[11]PRIORIZADOS!$A:$J,10,FALSE)),"")</f>
        <v xml:space="preserve">Verificar la implementación por parte de los colegios, de acciones realizadas para la prevención y atención de las situaciones de convivencia en el entorno escolar, según lo establecido en la Directiva 01 de 2022 del MEN. </v>
      </c>
      <c r="K1508" s="11" t="str">
        <f>IFERROR(IF(VLOOKUP(A1508,[11]PRIORIZADOS!$A:$K,11,FALSE)="","",VLOOKUP(A1508,[11]PRIORIZADOS!$A:$K,11,FALSE)),"")</f>
        <v>BEPCI YADIRA MINA ZAPATA</v>
      </c>
      <c r="L1508" s="11" t="str">
        <f>IFERROR(IF(VLOOKUP(A1508,[11]PRIORIZADOS!$A:$L,12,FALSE)="","",VLOOKUP(A1508,[11]PRIORIZADOS!$A:$L,12,FALSE)),"")</f>
        <v>DORY CONSTANZA SANCHEZ ARAGÓN</v>
      </c>
      <c r="M1508" s="71">
        <f>IFERROR(IF(VLOOKUP(A1508,[11]PRIORIZADOS!$A:$M,13,FALSE)="","",VLOOKUP(A1508,[11]PRIORIZADOS!$A:$M,13,FALSE)),"")</f>
        <v>45771</v>
      </c>
      <c r="N1508" s="71">
        <f>IFERROR(IF(VLOOKUP(A1508,[11]PRIORIZADOS!$A:$N,14,FALSE)="","",VLOOKUP(A1508,[11]PRIORIZADOS!$A:$N,14,FALSE)),"")</f>
        <v>45904</v>
      </c>
      <c r="O1508" s="71">
        <f>IFERROR(IF(VLOOKUP(A1508,[11]PRIORIZADOS!$A:$O,15,FALSE)="","",VLOOKUP(A1508,[11]PRIORIZADOS!$A:$O,15,FALSE)),"")</f>
        <v>45915</v>
      </c>
      <c r="P1508" s="11" t="str">
        <f>IFERROR(IF(VLOOKUP(A1508,[11]PRIORIZADOS!$A:$P,16,FALSE)="","",VLOOKUP(A1508,[11]PRIORIZADOS!$A:$P,16,FALSE)),"")</f>
        <v>Visitas de evaluación con fines de mejoramiento</v>
      </c>
      <c r="Q1508" s="5" t="s">
        <v>358</v>
      </c>
      <c r="R1508" s="11" t="str">
        <f>IFERROR(IF(VLOOKUP(A1508,[11]PRIORIZADOS!$A:$R,18,FALSE)="","",VLOOKUP(A1508,[11]PRIORIZADOS!$A:$R,18,FALSE)),"")</f>
        <v>La institución no cuentan con actas donde se evidencie el funcionamiento del comité de convivencia escolar.
No se ha verificado a los empleados inhabilidadades por delitos sexuales cada 4 meses.</v>
      </c>
      <c r="S1508" s="11" t="str">
        <f>IFERROR(IF(VLOOKUP(A1508,[11]PRIORIZADOS!$A:$S,19,FALSE)="","",VLOOKUP(A1508,[11]PRIORIZADOS!$A:$S,19,FALSE)),"")</f>
        <v>Realizar reuniones del comité de convivencia escolar cada 2 meses con su soporte. Verificar inhanilidades de los empleados cada 4 meses. Presentar plan de mejoramiento el 15 de octubre de 2025</v>
      </c>
      <c r="T1508" s="70" t="str">
        <f>IFERROR(IF(VLOOKUP(A1508,[11]PRIORIZADOS!$A:$T,20,FALSE)="","",VLOOKUP(A1508,[11]PRIORIZADOS!$A:$T,20,FALSE)),"")</f>
        <v>Si</v>
      </c>
      <c r="U1508" s="11" t="str">
        <f>IFERROR(IF(VLOOKUP(A1508,[11]PRIORIZADOS!$A:$U,21,FALSE)="","",VLOOKUP(A1508,[11]PRIORIZADOS!$A:$U,21,FALSE)),"")</f>
        <v>Revisar PM y verificar que se ajuste a las observaciones realizadas.</v>
      </c>
    </row>
    <row r="1509" spans="1:21" s="1" customFormat="1" ht="72">
      <c r="A1509" s="69">
        <f>IF([11]PRIORIZADOS!A20="","",[11]PRIORIZADOS!A20)</f>
        <v>1475</v>
      </c>
      <c r="B1509" s="70">
        <v>2</v>
      </c>
      <c r="C1509" s="11" t="str">
        <f>IFERROR(IF(VLOOKUP(A1509,[11]PRIORIZADOS!$A:$C,3,FALSE)="","",VLOOKUP(A1509,[11]PRIORIZADOS!$A:$C,3,FALSE)),"")</f>
        <v>RAFAEL URIBE URIBE</v>
      </c>
      <c r="D1509" s="11" t="str">
        <f>IFERROR(IF(VLOOKUP(A1509,[11]PRIORIZADOS!$A:$D,4,FALSE)="","",VLOOKUP(A1509,[11]PRIORIZADOS!$A:$D,4,FALSE)),"")</f>
        <v>PRIVADO</v>
      </c>
      <c r="E1509" s="11" t="str">
        <f>IFERROR(IF(VLOOKUP(A1509,[11]PRIORIZADOS!$A:$E,5,FALSE)="","",VLOOKUP(A1509,[11]PRIORIZADOS!$A:$E,5,FALSE)),"")</f>
        <v>Educación de Jóvenes y Adultos</v>
      </c>
      <c r="F1509" s="11" t="str">
        <f>IFERROR(IF(VLOOKUP(A1509,[11]PRIORIZADOS!$A:$F,6,FALSE)="","",VLOOKUP(A1509,[11]PRIORIZADOS!$A:$F,6,FALSE)),"")</f>
        <v>INSTITUTO_ANDRE_MICHELIN</v>
      </c>
      <c r="G1509" s="11" t="str">
        <f>IFERROR(IF(VLOOKUP(A1509,[11]PRIORIZADOS!$A:$G,7,FALSE)="","",VLOOKUP(A1509,[11]PRIORIZADOS!$A:$G,7,FALSE)),"")</f>
        <v>INSTITUTO_ANDRE_MICHELIN</v>
      </c>
      <c r="H1509" s="11" t="str">
        <f>IFERROR(IF(VLOOKUP(A1509,[11]PRIORIZADOS!$A:$H,8,FALSE)="","",VLOOKUP(A1509,[11]PRIORIZADOS!$A:$H,8,FALSE)),"")</f>
        <v>Autoevaluación Institucional y Pruebas SABER 11</v>
      </c>
      <c r="I1509" s="11" t="str">
        <f>IFERROR(IF(VLOOKUP(A1509,[11]PRIORIZADOS!$A:$I,9,FALSE)="","",VLOOKUP(A1509,[11]PRIORIZADOS!$A:$I,9,FALSE)),"")</f>
        <v>SEGUIMIENTO_Y_SUPERVISIÓN.</v>
      </c>
      <c r="J1509" s="11" t="str">
        <f>IFERROR(IF(VLOOKUP(A1509,[11]PRIORIZADOS!$A:$J,10,FALSE)="","",VLOOKUP(A1509,[11]PRIORIZADOS!$A:$J,10,FALSE)),"")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09" s="11" t="str">
        <f>IFERROR(IF(VLOOKUP(A1509,[11]PRIORIZADOS!$A:$K,11,FALSE)="","",VLOOKUP(A1509,[11]PRIORIZADOS!$A:$K,11,FALSE)),"")</f>
        <v>BEPCI YADIRA MINA ZAPATA</v>
      </c>
      <c r="L1509" s="11" t="str">
        <f>IFERROR(IF(VLOOKUP(A1509,[11]PRIORIZADOS!$A:$L,12,FALSE)="","",VLOOKUP(A1509,[11]PRIORIZADOS!$A:$L,12,FALSE)),"")</f>
        <v>DORY CONSTANZA SANCHEZ ARAGÓN</v>
      </c>
      <c r="M1509" s="71">
        <f>IFERROR(IF(VLOOKUP(A1509,[11]PRIORIZADOS!$A:$M,13,FALSE)="","",VLOOKUP(A1509,[11]PRIORIZADOS!$A:$M,13,FALSE)),"")</f>
        <v>45771</v>
      </c>
      <c r="N1509" s="71">
        <f>IFERROR(IF(VLOOKUP(A1509,[11]PRIORIZADOS!$A:$N,14,FALSE)="","",VLOOKUP(A1509,[11]PRIORIZADOS!$A:$N,14,FALSE)),"")</f>
        <v>45904</v>
      </c>
      <c r="O1509" s="71">
        <f>IFERROR(IF(VLOOKUP(A1509,[11]PRIORIZADOS!$A:$O,15,FALSE)="","",VLOOKUP(A1509,[11]PRIORIZADOS!$A:$O,15,FALSE)),"")</f>
        <v>45915</v>
      </c>
      <c r="P1509" s="11" t="str">
        <f>IFERROR(IF(VLOOKUP(A1509,[11]PRIORIZADOS!$A:$P,16,FALSE)="","",VLOOKUP(A1509,[11]PRIORIZADOS!$A:$P,16,FALSE)),"")</f>
        <v>Visitas de evaluación con fines de mejoramiento</v>
      </c>
      <c r="Q1509" s="5" t="s">
        <v>358</v>
      </c>
      <c r="R1509" s="11" t="str">
        <f>IFERROR(IF(VLOOKUP(A1509,[11]PRIORIZADOS!$A:$R,18,FALSE)="","",VLOOKUP(A1509,[11]PRIORIZADOS!$A:$R,18,FALSE)),"")</f>
        <v>En SIMAT está relacionado que el colegio atiende 10 estudiantes con discapacidad, sin embargo la IE no les ha caracterizado ni elaborado los PIAR con los ajustes razonables requeridos.</v>
      </c>
      <c r="S1509" s="11" t="str">
        <f>IFERROR(IF(VLOOKUP(A1509,[11]PRIORIZADOS!$A:$S,19,FALSE)="","",VLOOKUP(A1509,[11]PRIORIZADOS!$A:$S,19,FALSE)),"")</f>
        <v>Verificar los estudiantes reportados en SIMAT y si corresponde realizar el PIAR. Incoroporar en el PEI la atención a esta población.Presentar plan de mejoramiento el 15 de octubre de 2025</v>
      </c>
      <c r="T1509" s="70" t="str">
        <f>IFERROR(IF(VLOOKUP(A1509,[11]PRIORIZADOS!$A:$T,20,FALSE)="","",VLOOKUP(A1509,[11]PRIORIZADOS!$A:$T,20,FALSE)),"")</f>
        <v>Si</v>
      </c>
      <c r="U1509" s="11" t="str">
        <f>IFERROR(IF(VLOOKUP(A1509,[11]PRIORIZADOS!$A:$U,21,FALSE)="","",VLOOKUP(A1509,[11]PRIORIZADOS!$A:$U,21,FALSE)),"")</f>
        <v>Revisar PM y verificar que se ajuste a las observaciones realizadas.</v>
      </c>
    </row>
    <row r="1510" spans="1:21" s="1" customFormat="1" ht="84">
      <c r="A1510" s="69">
        <f>IF([11]PRIORIZADOS!A21="","",[11]PRIORIZADOS!A21)</f>
        <v>1476</v>
      </c>
      <c r="B1510" s="70">
        <v>2</v>
      </c>
      <c r="C1510" s="11" t="str">
        <f>IFERROR(IF(VLOOKUP(A1510,[11]PRIORIZADOS!$A:$C,3,FALSE)="","",VLOOKUP(A1510,[11]PRIORIZADOS!$A:$C,3,FALSE)),"")</f>
        <v>RAFAEL URIBE URIBE</v>
      </c>
      <c r="D1510" s="11" t="str">
        <f>IFERROR(IF(VLOOKUP(A1510,[11]PRIORIZADOS!$A:$D,4,FALSE)="","",VLOOKUP(A1510,[11]PRIORIZADOS!$A:$D,4,FALSE)),"")</f>
        <v>PRIVADO</v>
      </c>
      <c r="E1510" s="11" t="str">
        <f>IFERROR(IF(VLOOKUP(A1510,[11]PRIORIZADOS!$A:$E,5,FALSE)="","",VLOOKUP(A1510,[11]PRIORIZADOS!$A:$E,5,FALSE)),"")</f>
        <v>Educación de Jóvenes y Adultos</v>
      </c>
      <c r="F1510" s="11" t="str">
        <f>IFERROR(IF(VLOOKUP(A1510,[11]PRIORIZADOS!$A:$F,6,FALSE)="","",VLOOKUP(A1510,[11]PRIORIZADOS!$A:$F,6,FALSE)),"")</f>
        <v>INSTITUTO_ANDRE_MICHELIN</v>
      </c>
      <c r="G1510" s="11" t="str">
        <f>IFERROR(IF(VLOOKUP(A1510,[11]PRIORIZADOS!$A:$G,7,FALSE)="","",VLOOKUP(A1510,[11]PRIORIZADOS!$A:$G,7,FALSE)),"")</f>
        <v>INSTITUTO_ANDRE_MICHELIN</v>
      </c>
      <c r="H1510" s="11" t="str">
        <f>IFERROR(IF(VLOOKUP(A1510,[11]PRIORIZADOS!$A:$H,8,FALSE)="","",VLOOKUP(A1510,[11]PRIORIZADOS!$A:$H,8,FALSE)),"")</f>
        <v>Autoevaluación Institucional y Pruebas SABER 11</v>
      </c>
      <c r="I1510" s="11" t="str">
        <f>IFERROR(IF(VLOOKUP(A1510,[11]PRIORIZADOS!$A:$I,9,FALSE)="","",VLOOKUP(A1510,[11]PRIORIZADOS!$A:$I,9,FALSE)),"")</f>
        <v>EVALUACIÓN_CON_FINES_DE_MEJORAMIENTO.</v>
      </c>
      <c r="J1510" s="11" t="str">
        <f>IFERROR(IF(VLOOKUP(A1510,[11]PRIORIZADOS!$A:$J,10,FALSE)="","",VLOOKUP(A1510,[11]PRIORIZADOS!$A:$J,10,FALSE)),"")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10" s="11" t="str">
        <f>IFERROR(IF(VLOOKUP(A1510,[11]PRIORIZADOS!$A:$K,11,FALSE)="","",VLOOKUP(A1510,[11]PRIORIZADOS!$A:$K,11,FALSE)),"")</f>
        <v>BEPCI YADIRA MINA ZAPATA</v>
      </c>
      <c r="L1510" s="11" t="str">
        <f>IFERROR(IF(VLOOKUP(A1510,[11]PRIORIZADOS!$A:$L,12,FALSE)="","",VLOOKUP(A1510,[11]PRIORIZADOS!$A:$L,12,FALSE)),"")</f>
        <v>DORY CONSTANZA SANCHEZ ARAGÓN</v>
      </c>
      <c r="M1510" s="71">
        <f>IFERROR(IF(VLOOKUP(A1510,[11]PRIORIZADOS!$A:$M,13,FALSE)="","",VLOOKUP(A1510,[11]PRIORIZADOS!$A:$M,13,FALSE)),"")</f>
        <v>45771</v>
      </c>
      <c r="N1510" s="71">
        <f>IFERROR(IF(VLOOKUP(A1510,[11]PRIORIZADOS!$A:$N,14,FALSE)="","",VLOOKUP(A1510,[11]PRIORIZADOS!$A:$N,14,FALSE)),"")</f>
        <v>45904</v>
      </c>
      <c r="O1510" s="71">
        <f>IFERROR(IF(VLOOKUP(A1510,[11]PRIORIZADOS!$A:$O,15,FALSE)="","",VLOOKUP(A1510,[11]PRIORIZADOS!$A:$O,15,FALSE)),"")</f>
        <v>45915</v>
      </c>
      <c r="P1510" s="11" t="str">
        <f>IFERROR(IF(VLOOKUP(A1510,[11]PRIORIZADOS!$A:$P,16,FALSE)="","",VLOOKUP(A1510,[11]PRIORIZADOS!$A:$P,16,FALSE)),"")</f>
        <v>Visitas de evaluación con fines de mejoramiento</v>
      </c>
      <c r="Q1510" s="5" t="s">
        <v>358</v>
      </c>
      <c r="R1510" s="11" t="str">
        <f>IFERROR(IF(VLOOKUP(A1510,[11]PRIORIZADOS!$A:$R,18,FALSE)="","",VLOOKUP(A1510,[11]PRIORIZADOS!$A:$R,18,FALSE)),"")</f>
        <v>No se evidencia aprobación del manual de convivencia, ya que no cuenta con actas de gobierno escolar.
No se encuentra actualizada y cumpliendo con la normatividad vigente</v>
      </c>
      <c r="S1510" s="11" t="str">
        <f>IFERROR(IF(VLOOKUP(A1510,[11]PRIORIZADOS!$A:$S,19,FALSE)="","",VLOOKUP(A1510,[11]PRIORIZADOS!$A:$S,19,FALSE)),"")</f>
        <v>La institución debe actualizar el manual de convivencia con participación del gobierno escolar. Presentar plan de mejoramiento el 15 de octubre de 2025</v>
      </c>
      <c r="T1510" s="70" t="str">
        <f>IFERROR(IF(VLOOKUP(A1510,[11]PRIORIZADOS!$A:$T,20,FALSE)="","",VLOOKUP(A1510,[11]PRIORIZADOS!$A:$T,20,FALSE)),"")</f>
        <v>Si</v>
      </c>
      <c r="U1510" s="11" t="str">
        <f>IFERROR(IF(VLOOKUP(A1510,[11]PRIORIZADOS!$A:$U,21,FALSE)="","",VLOOKUP(A1510,[11]PRIORIZADOS!$A:$U,21,FALSE)),"")</f>
        <v>Revisar PM y verificar que se ajuste a las observaciones realizadas.</v>
      </c>
    </row>
    <row r="1511" spans="1:21" s="1" customFormat="1" ht="48">
      <c r="A1511" s="69">
        <f>IF([11]PRIORIZADOS!A22="","",[11]PRIORIZADOS!A22)</f>
        <v>1477</v>
      </c>
      <c r="B1511" s="70">
        <v>2</v>
      </c>
      <c r="C1511" s="11" t="str">
        <f>IFERROR(IF(VLOOKUP(A1511,[11]PRIORIZADOS!$A:$C,3,FALSE)="","",VLOOKUP(A1511,[11]PRIORIZADOS!$A:$C,3,FALSE)),"")</f>
        <v>RAFAEL URIBE URIBE</v>
      </c>
      <c r="D1511" s="11" t="str">
        <f>IFERROR(IF(VLOOKUP(A1511,[11]PRIORIZADOS!$A:$D,4,FALSE)="","",VLOOKUP(A1511,[11]PRIORIZADOS!$A:$D,4,FALSE)),"")</f>
        <v>PRIVADO</v>
      </c>
      <c r="E1511" s="11" t="str">
        <f>IFERROR(IF(VLOOKUP(A1511,[11]PRIORIZADOS!$A:$E,5,FALSE)="","",VLOOKUP(A1511,[11]PRIORIZADOS!$A:$E,5,FALSE)),"")</f>
        <v>Educación de Jóvenes y Adultos</v>
      </c>
      <c r="F1511" s="11" t="str">
        <f>IFERROR(IF(VLOOKUP(A1511,[11]PRIORIZADOS!$A:$F,6,FALSE)="","",VLOOKUP(A1511,[11]PRIORIZADOS!$A:$F,6,FALSE)),"")</f>
        <v>INSTITUTO_ANDRE_MICHELIN</v>
      </c>
      <c r="G1511" s="11" t="str">
        <f>IFERROR(IF(VLOOKUP(A1511,[11]PRIORIZADOS!$A:$G,7,FALSE)="","",VLOOKUP(A1511,[11]PRIORIZADOS!$A:$G,7,FALSE)),"")</f>
        <v>INSTITUTO_ANDRE_MICHELIN</v>
      </c>
      <c r="H1511" s="11" t="str">
        <f>IFERROR(IF(VLOOKUP(A1511,[11]PRIORIZADOS!$A:$H,8,FALSE)="","",VLOOKUP(A1511,[11]PRIORIZADOS!$A:$H,8,FALSE)),"")</f>
        <v>Autoevaluación Institucional y Pruebas SABER 11</v>
      </c>
      <c r="I1511" s="11" t="str">
        <f>IFERROR(IF(VLOOKUP(A1511,[11]PRIORIZADOS!$A:$I,9,FALSE)="","",VLOOKUP(A1511,[11]PRIORIZADOS!$A:$I,9,FALSE)),"")</f>
        <v>EVALUACIÓN_CON_FINES_DE_MEJORAMIENTO.</v>
      </c>
      <c r="J1511" s="11" t="str">
        <f>IFERROR(IF(VLOOKUP(A1511,[11]PRIORIZADOS!$A:$J,10,FALSE)="","",VLOOKUP(A1511,[11]PRIORIZADOS!$A:$J,10,FALSE)),"")</f>
        <v>Revisar la actualización, socialización e implementación del Sistema Institucional de Evaluación de Estudiantes - SIEE, en articulación con la actualización del PEI y la normatividad vigente.</v>
      </c>
      <c r="K1511" s="11" t="str">
        <f>IFERROR(IF(VLOOKUP(A1511,[11]PRIORIZADOS!$A:$K,11,FALSE)="","",VLOOKUP(A1511,[11]PRIORIZADOS!$A:$K,11,FALSE)),"")</f>
        <v>BEPCI YADIRA MINA ZAPATA</v>
      </c>
      <c r="L1511" s="11" t="str">
        <f>IFERROR(IF(VLOOKUP(A1511,[11]PRIORIZADOS!$A:$L,12,FALSE)="","",VLOOKUP(A1511,[11]PRIORIZADOS!$A:$L,12,FALSE)),"")</f>
        <v>DORY CONSTANZA SANCHEZ ARAGÓN</v>
      </c>
      <c r="M1511" s="71">
        <f>IFERROR(IF(VLOOKUP(A1511,[11]PRIORIZADOS!$A:$M,13,FALSE)="","",VLOOKUP(A1511,[11]PRIORIZADOS!$A:$M,13,FALSE)),"")</f>
        <v>45771</v>
      </c>
      <c r="N1511" s="71">
        <f>IFERROR(IF(VLOOKUP(A1511,[11]PRIORIZADOS!$A:$N,14,FALSE)="","",VLOOKUP(A1511,[11]PRIORIZADOS!$A:$N,14,FALSE)),"")</f>
        <v>45904</v>
      </c>
      <c r="O1511" s="71">
        <f>IFERROR(IF(VLOOKUP(A1511,[11]PRIORIZADOS!$A:$O,15,FALSE)="","",VLOOKUP(A1511,[11]PRIORIZADOS!$A:$O,15,FALSE)),"")</f>
        <v>45915</v>
      </c>
      <c r="P1511" s="11" t="str">
        <f>IFERROR(IF(VLOOKUP(A1511,[11]PRIORIZADOS!$A:$P,16,FALSE)="","",VLOOKUP(A1511,[11]PRIORIZADOS!$A:$P,16,FALSE)),"")</f>
        <v>Visitas de evaluación con fines de mejoramiento</v>
      </c>
      <c r="Q1511" s="5" t="s">
        <v>358</v>
      </c>
      <c r="R1511" s="11" t="str">
        <f>IFERROR(IF(VLOOKUP(A1511,[11]PRIORIZADOS!$A:$R,18,FALSE)="","",VLOOKUP(A1511,[11]PRIORIZADOS!$A:$R,18,FALSE)),"")</f>
        <v>No se evidencia participación de la comunidad en la revisión del SIE para realizar los respectivos ajustes o actualizaciones.</v>
      </c>
      <c r="S1511" s="11" t="str">
        <f>IFERROR(IF(VLOOKUP(A1511,[11]PRIORIZADOS!$A:$S,19,FALSE)="","",VLOOKUP(A1511,[11]PRIORIZADOS!$A:$S,19,FALSE)),"")</f>
        <v>Realizar ajustes al SIEE con la participación del gobierno escolar. Presentar plan de mejoramiento el 15 de octubre de 2025</v>
      </c>
      <c r="T1511" s="70" t="str">
        <f>IFERROR(IF(VLOOKUP(A1511,[11]PRIORIZADOS!$A:$T,20,FALSE)="","",VLOOKUP(A1511,[11]PRIORIZADOS!$A:$T,20,FALSE)),"")</f>
        <v>Si</v>
      </c>
      <c r="U1511" s="11" t="str">
        <f>IFERROR(IF(VLOOKUP(A1511,[11]PRIORIZADOS!$A:$U,21,FALSE)="","",VLOOKUP(A1511,[11]PRIORIZADOS!$A:$U,21,FALSE)),"")</f>
        <v>Revisar PM y verificar que se ajuste a las observaciones realizadas.</v>
      </c>
    </row>
    <row r="1512" spans="1:21" s="1" customFormat="1" ht="60">
      <c r="A1512" s="69">
        <f>IF([11]PRIORIZADOS!A23="","",[11]PRIORIZADOS!A23)</f>
        <v>1478</v>
      </c>
      <c r="B1512" s="70">
        <v>2</v>
      </c>
      <c r="C1512" s="11" t="str">
        <f>IFERROR(IF(VLOOKUP(A1512,[11]PRIORIZADOS!$A:$C,3,FALSE)="","",VLOOKUP(A1512,[11]PRIORIZADOS!$A:$C,3,FALSE)),"")</f>
        <v>RAFAEL URIBE URIBE</v>
      </c>
      <c r="D1512" s="11" t="str">
        <f>IFERROR(IF(VLOOKUP(A1512,[11]PRIORIZADOS!$A:$D,4,FALSE)="","",VLOOKUP(A1512,[11]PRIORIZADOS!$A:$D,4,FALSE)),"")</f>
        <v>PRIVADO</v>
      </c>
      <c r="E1512" s="11" t="str">
        <f>IFERROR(IF(VLOOKUP(A1512,[11]PRIORIZADOS!$A:$E,5,FALSE)="","",VLOOKUP(A1512,[11]PRIORIZADOS!$A:$E,5,FALSE)),"")</f>
        <v>Educación de Jóvenes y Adultos</v>
      </c>
      <c r="F1512" s="11" t="str">
        <f>IFERROR(IF(VLOOKUP(A1512,[11]PRIORIZADOS!$A:$F,6,FALSE)="","",VLOOKUP(A1512,[11]PRIORIZADOS!$A:$F,6,FALSE)),"")</f>
        <v>INSTITUTO_ANDRE_MICHELIN</v>
      </c>
      <c r="G1512" s="11" t="str">
        <f>IFERROR(IF(VLOOKUP(A1512,[11]PRIORIZADOS!$A:$G,7,FALSE)="","",VLOOKUP(A1512,[11]PRIORIZADOS!$A:$G,7,FALSE)),"")</f>
        <v>INSTITUTO_ANDRE_MICHELIN</v>
      </c>
      <c r="H1512" s="11" t="str">
        <f>IFERROR(IF(VLOOKUP(A1512,[11]PRIORIZADOS!$A:$H,8,FALSE)="","",VLOOKUP(A1512,[11]PRIORIZADOS!$A:$H,8,FALSE)),"")</f>
        <v>Autoevaluación Institucional y Pruebas SABER 11</v>
      </c>
      <c r="I1512" s="11" t="str">
        <f>IFERROR(IF(VLOOKUP(A1512,[11]PRIORIZADOS!$A:$I,9,FALSE)="","",VLOOKUP(A1512,[11]PRIORIZADOS!$A:$I,9,FALSE)),"")</f>
        <v>EVALUACIÓN_CON_FINES_DE_MEJORAMIENTO.</v>
      </c>
      <c r="J1512" s="11" t="str">
        <f>IFERROR(IF(VLOOKUP(A1512,[11]PRIORIZADOS!$A:$J,10,FALSE)="","",VLOOKUP(A1512,[11]PRIORIZADOS!$A:$J,10,FALSE)),"")</f>
        <v>Revisar el calendario escolar, jornada escolar, la intensidad horaria mínima anual en cada nivel y las modificaciones que se realicen al mismo, de acuerdo con lo previsto en la normatividad vigente.</v>
      </c>
      <c r="K1512" s="11" t="str">
        <f>IFERROR(IF(VLOOKUP(A1512,[11]PRIORIZADOS!$A:$K,11,FALSE)="","",VLOOKUP(A1512,[11]PRIORIZADOS!$A:$K,11,FALSE)),"")</f>
        <v>BEPCI YADIRA MINA ZAPATA</v>
      </c>
      <c r="L1512" s="11" t="str">
        <f>IFERROR(IF(VLOOKUP(A1512,[11]PRIORIZADOS!$A:$L,12,FALSE)="","",VLOOKUP(A1512,[11]PRIORIZADOS!$A:$L,12,FALSE)),"")</f>
        <v>DORY CONSTANZA SANCHEZ ARAGÓN</v>
      </c>
      <c r="M1512" s="71">
        <f>IFERROR(IF(VLOOKUP(A1512,[11]PRIORIZADOS!$A:$M,13,FALSE)="","",VLOOKUP(A1512,[11]PRIORIZADOS!$A:$M,13,FALSE)),"")</f>
        <v>45771</v>
      </c>
      <c r="N1512" s="71">
        <f>IFERROR(IF(VLOOKUP(A1512,[11]PRIORIZADOS!$A:$N,14,FALSE)="","",VLOOKUP(A1512,[11]PRIORIZADOS!$A:$N,14,FALSE)),"")</f>
        <v>45904</v>
      </c>
      <c r="O1512" s="71">
        <f>IFERROR(IF(VLOOKUP(A1512,[11]PRIORIZADOS!$A:$O,15,FALSE)="","",VLOOKUP(A1512,[11]PRIORIZADOS!$A:$O,15,FALSE)),"")</f>
        <v>45915</v>
      </c>
      <c r="P1512" s="11" t="str">
        <f>IFERROR(IF(VLOOKUP(A1512,[11]PRIORIZADOS!$A:$P,16,FALSE)="","",VLOOKUP(A1512,[11]PRIORIZADOS!$A:$P,16,FALSE)),"")</f>
        <v>Visitas de evaluación con fines de mejoramiento</v>
      </c>
      <c r="Q1512" s="5" t="s">
        <v>358</v>
      </c>
      <c r="R1512" s="11" t="str">
        <f>IFERROR(IF(VLOOKUP(A1512,[11]PRIORIZADOS!$A:$R,18,FALSE)="","",VLOOKUP(A1512,[11]PRIORIZADOS!$A:$R,18,FALSE)),"")</f>
        <v xml:space="preserve">En la metodología semipresecial trabajan solo 400 horas anuales de 880 que exige la ley, ya que el colegio no logró demostrar que si trabaja las 10 horas adicionales del componente complementario. </v>
      </c>
      <c r="S1512" s="11" t="str">
        <f>IFERROR(IF(VLOOKUP(A1512,[11]PRIORIZADOS!$A:$S,19,FALSE)="","",VLOOKUP(A1512,[11]PRIORIZADOS!$A:$S,19,FALSE)),"")</f>
        <v>Se debe garantizar el cumplimiento a la intensidad horaria.La institución debe presentar plan de mejoramiento el 15 de octubre de 2025</v>
      </c>
      <c r="T1512" s="70" t="str">
        <f>IFERROR(IF(VLOOKUP(A1512,[11]PRIORIZADOS!$A:$T,20,FALSE)="","",VLOOKUP(A1512,[11]PRIORIZADOS!$A:$T,20,FALSE)),"")</f>
        <v>Si</v>
      </c>
      <c r="U1512" s="11" t="str">
        <f>IFERROR(IF(VLOOKUP(A1512,[11]PRIORIZADOS!$A:$U,21,FALSE)="","",VLOOKUP(A1512,[11]PRIORIZADOS!$A:$U,21,FALSE)),"")</f>
        <v>Revisar PM y verificar que se ajuste a las observaciones realizadas.</v>
      </c>
    </row>
    <row r="1513" spans="1:21" s="1" customFormat="1" ht="48">
      <c r="A1513" s="69">
        <f>IF([11]PRIORIZADOS!A24="","",[11]PRIORIZADOS!A24)</f>
        <v>1479</v>
      </c>
      <c r="B1513" s="70">
        <v>2</v>
      </c>
      <c r="C1513" s="11" t="str">
        <f>IFERROR(IF(VLOOKUP(A1513,[11]PRIORIZADOS!$A:$C,3,FALSE)="","",VLOOKUP(A1513,[11]PRIORIZADOS!$A:$C,3,FALSE)),"")</f>
        <v>RAFAEL URIBE URIBE</v>
      </c>
      <c r="D1513" s="11" t="str">
        <f>IFERROR(IF(VLOOKUP(A1513,[11]PRIORIZADOS!$A:$D,4,FALSE)="","",VLOOKUP(A1513,[11]PRIORIZADOS!$A:$D,4,FALSE)),"")</f>
        <v>PRIVADO</v>
      </c>
      <c r="E1513" s="11" t="str">
        <f>IFERROR(IF(VLOOKUP(A1513,[11]PRIORIZADOS!$A:$E,5,FALSE)="","",VLOOKUP(A1513,[11]PRIORIZADOS!$A:$E,5,FALSE)),"")</f>
        <v>Educación de Jóvenes y Adultos</v>
      </c>
      <c r="F1513" s="11" t="str">
        <f>IFERROR(IF(VLOOKUP(A1513,[11]PRIORIZADOS!$A:$F,6,FALSE)="","",VLOOKUP(A1513,[11]PRIORIZADOS!$A:$F,6,FALSE)),"")</f>
        <v>INSTITUTO_ANDRE_MICHELIN</v>
      </c>
      <c r="G1513" s="11" t="str">
        <f>IFERROR(IF(VLOOKUP(A1513,[11]PRIORIZADOS!$A:$G,7,FALSE)="","",VLOOKUP(A1513,[11]PRIORIZADOS!$A:$G,7,FALSE)),"")</f>
        <v>INSTITUTO_ANDRE_MICHELIN</v>
      </c>
      <c r="H1513" s="11" t="str">
        <f>IFERROR(IF(VLOOKUP(A1513,[11]PRIORIZADOS!$A:$H,8,FALSE)="","",VLOOKUP(A1513,[11]PRIORIZADOS!$A:$H,8,FALSE)),"")</f>
        <v>Autoevaluación Institucional y Pruebas SABER 11</v>
      </c>
      <c r="I1513" s="11" t="str">
        <f>IFERROR(IF(VLOOKUP(A1513,[11]PRIORIZADOS!$A:$I,9,FALSE)="","",VLOOKUP(A1513,[11]PRIORIZADOS!$A:$I,9,FALSE)),"")</f>
        <v>EVALUACIÓN_CON_FINES_DE_MEJORAMIENTO.</v>
      </c>
      <c r="J1513" s="11" t="str">
        <f>IFERROR(IF(VLOOKUP(A1513,[11]PRIORIZADOS!$A:$J,10,FALSE)="","",VLOOKUP(A1513,[11]PRIORIZADOS!$A:$J,10,FALSE)),"")</f>
        <v>Verificar el funcionamiento del Gobierno Escolar e instancias de participación con base en la información sobre conformación reportada por la institución educativa.</v>
      </c>
      <c r="K1513" s="11" t="str">
        <f>IFERROR(IF(VLOOKUP(A1513,[11]PRIORIZADOS!$A:$K,11,FALSE)="","",VLOOKUP(A1513,[11]PRIORIZADOS!$A:$K,11,FALSE)),"")</f>
        <v>BEPCI YADIRA MINA ZAPATA</v>
      </c>
      <c r="L1513" s="11" t="str">
        <f>IFERROR(IF(VLOOKUP(A1513,[11]PRIORIZADOS!$A:$L,12,FALSE)="","",VLOOKUP(A1513,[11]PRIORIZADOS!$A:$L,12,FALSE)),"")</f>
        <v>DORY CONSTANZA SANCHEZ ARAGÓN</v>
      </c>
      <c r="M1513" s="71">
        <f>IFERROR(IF(VLOOKUP(A1513,[11]PRIORIZADOS!$A:$M,13,FALSE)="","",VLOOKUP(A1513,[11]PRIORIZADOS!$A:$M,13,FALSE)),"")</f>
        <v>45771</v>
      </c>
      <c r="N1513" s="71">
        <f>IFERROR(IF(VLOOKUP(A1513,[11]PRIORIZADOS!$A:$N,14,FALSE)="","",VLOOKUP(A1513,[11]PRIORIZADOS!$A:$N,14,FALSE)),"")</f>
        <v>45904</v>
      </c>
      <c r="O1513" s="71">
        <f>IFERROR(IF(VLOOKUP(A1513,[11]PRIORIZADOS!$A:$O,15,FALSE)="","",VLOOKUP(A1513,[11]PRIORIZADOS!$A:$O,15,FALSE)),"")</f>
        <v>45915</v>
      </c>
      <c r="P1513" s="11" t="str">
        <f>IFERROR(IF(VLOOKUP(A1513,[11]PRIORIZADOS!$A:$P,16,FALSE)="","",VLOOKUP(A1513,[11]PRIORIZADOS!$A:$P,16,FALSE)),"")</f>
        <v>Visitas de evaluación con fines de mejoramiento</v>
      </c>
      <c r="Q1513" s="5" t="s">
        <v>358</v>
      </c>
      <c r="R1513" s="11" t="str">
        <f>IFERROR(IF(VLOOKUP(A1513,[11]PRIORIZADOS!$A:$R,18,FALSE)="","",VLOOKUP(A1513,[11]PRIORIZADOS!$A:$R,18,FALSE)),"")</f>
        <v>No se evidencian actas de funcionamiento de Gobierno Escolar</v>
      </c>
      <c r="S1513" s="11" t="str">
        <f>IFERROR(IF(VLOOKUP(A1513,[11]PRIORIZADOS!$A:$S,19,FALSE)="","",VLOOKUP(A1513,[11]PRIORIZADOS!$A:$S,19,FALSE)),"")</f>
        <v>Generar los espacios para el funcionamiento del gobierno escolar con sus respectivas actas. Presentar plan de mejoramiento el 15 de octubre de 2025</v>
      </c>
      <c r="T1513" s="70" t="str">
        <f>IFERROR(IF(VLOOKUP(A1513,[11]PRIORIZADOS!$A:$T,20,FALSE)="","",VLOOKUP(A1513,[11]PRIORIZADOS!$A:$T,20,FALSE)),"")</f>
        <v>Si</v>
      </c>
      <c r="U1513" s="11" t="str">
        <f>IFERROR(IF(VLOOKUP(A1513,[11]PRIORIZADOS!$A:$U,21,FALSE)="","",VLOOKUP(A1513,[11]PRIORIZADOS!$A:$U,21,FALSE)),"")</f>
        <v>Revisar PM y verificar que se ajuste a las observaciones realizadas.</v>
      </c>
    </row>
    <row r="1514" spans="1:21" s="1" customFormat="1" ht="72">
      <c r="A1514" s="69">
        <f>IF([11]PRIORIZADOS!A25="","",[11]PRIORIZADOS!A25)</f>
        <v>1480</v>
      </c>
      <c r="B1514" s="70">
        <v>2</v>
      </c>
      <c r="C1514" s="11" t="str">
        <f>IFERROR(IF(VLOOKUP(A1514,[11]PRIORIZADOS!$A:$C,3,FALSE)="","",VLOOKUP(A1514,[11]PRIORIZADOS!$A:$C,3,FALSE)),"")</f>
        <v>RAFAEL URIBE URIBE</v>
      </c>
      <c r="D1514" s="11" t="str">
        <f>IFERROR(IF(VLOOKUP(A1514,[11]PRIORIZADOS!$A:$D,4,FALSE)="","",VLOOKUP(A1514,[11]PRIORIZADOS!$A:$D,4,FALSE)),"")</f>
        <v>PRIVADO</v>
      </c>
      <c r="E1514" s="11" t="str">
        <f>IFERROR(IF(VLOOKUP(A1514,[11]PRIORIZADOS!$A:$E,5,FALSE)="","",VLOOKUP(A1514,[11]PRIORIZADOS!$A:$E,5,FALSE)),"")</f>
        <v>Educación de Jóvenes y Adultos</v>
      </c>
      <c r="F1514" s="11" t="str">
        <f>IFERROR(IF(VLOOKUP(A1514,[11]PRIORIZADOS!$A:$F,6,FALSE)="","",VLOOKUP(A1514,[11]PRIORIZADOS!$A:$F,6,FALSE)),"")</f>
        <v>INSTITUTO_ANDRE_MICHELIN</v>
      </c>
      <c r="G1514" s="11" t="str">
        <f>IFERROR(IF(VLOOKUP(A1514,[11]PRIORIZADOS!$A:$G,7,FALSE)="","",VLOOKUP(A1514,[11]PRIORIZADOS!$A:$G,7,FALSE)),"")</f>
        <v>INSTITUTO_ANDRE_MICHELIN</v>
      </c>
      <c r="H1514" s="11" t="str">
        <f>IFERROR(IF(VLOOKUP(A1514,[11]PRIORIZADOS!$A:$H,8,FALSE)="","",VLOOKUP(A1514,[11]PRIORIZADOS!$A:$H,8,FALSE)),"")</f>
        <v>Autoevaluación Institucional y Pruebas SABER 11</v>
      </c>
      <c r="I1514" s="11" t="str">
        <f>IFERROR(IF(VLOOKUP(A1514,[11]PRIORIZADOS!$A:$I,9,FALSE)="","",VLOOKUP(A1514,[11]PRIORIZADOS!$A:$I,9,FALSE)),"")</f>
        <v>EVALUACIÓN_CON_FINES_DE_MEJORAMIENTO.</v>
      </c>
      <c r="J1514" s="11" t="str">
        <f>IFERROR(IF(VLOOKUP(A1514,[11]PRIORIZADOS!$A:$J,10,FALSE)="","",VLOOKUP(A1514,[11]PRIORIZADOS!$A:$J,10,FALSE)),"")</f>
        <v>Verificar las condiciones en cuanto a: la estructura administrativa, condiciones de la planta física y medios educativos adecuados.</v>
      </c>
      <c r="K1514" s="11" t="str">
        <f>IFERROR(IF(VLOOKUP(A1514,[11]PRIORIZADOS!$A:$K,11,FALSE)="","",VLOOKUP(A1514,[11]PRIORIZADOS!$A:$K,11,FALSE)),"")</f>
        <v>BEPCI YADIRA MINA ZAPATA</v>
      </c>
      <c r="L1514" s="11" t="str">
        <f>IFERROR(IF(VLOOKUP(A1514,[11]PRIORIZADOS!$A:$L,12,FALSE)="","",VLOOKUP(A1514,[11]PRIORIZADOS!$A:$L,12,FALSE)),"")</f>
        <v>DORY CONSTANZA SANCHEZ ARAGÓN</v>
      </c>
      <c r="M1514" s="71">
        <f>IFERROR(IF(VLOOKUP(A1514,[11]PRIORIZADOS!$A:$M,13,FALSE)="","",VLOOKUP(A1514,[11]PRIORIZADOS!$A:$M,13,FALSE)),"")</f>
        <v>45771</v>
      </c>
      <c r="N1514" s="71">
        <f>IFERROR(IF(VLOOKUP(A1514,[11]PRIORIZADOS!$A:$N,14,FALSE)="","",VLOOKUP(A1514,[11]PRIORIZADOS!$A:$N,14,FALSE)),"")</f>
        <v>45904</v>
      </c>
      <c r="O1514" s="71">
        <f>IFERROR(IF(VLOOKUP(A1514,[11]PRIORIZADOS!$A:$O,15,FALSE)="","",VLOOKUP(A1514,[11]PRIORIZADOS!$A:$O,15,FALSE)),"")</f>
        <v>45915</v>
      </c>
      <c r="P1514" s="11" t="str">
        <f>IFERROR(IF(VLOOKUP(A1514,[11]PRIORIZADOS!$A:$P,16,FALSE)="","",VLOOKUP(A1514,[11]PRIORIZADOS!$A:$P,16,FALSE)),"")</f>
        <v>Visitas de evaluación con fines de mejoramiento</v>
      </c>
      <c r="Q1514" s="5" t="s">
        <v>358</v>
      </c>
      <c r="R1514" s="11" t="str">
        <f>IFERROR(IF(VLOOKUP(A1514,[11]PRIORIZADOS!$A:$R,18,FALSE)="","",VLOOKUP(A1514,[11]PRIORIZADOS!$A:$R,18,FALSE)),"")</f>
        <v>La planta física cuenta con 4 aulas y espacios para el desarrollo de laboratorios, pero no cuentan con la dotación requerida.
La planta física no es suficiente para la población que atiende (segun el SIMAT) en la jornada de los fines de semana.</v>
      </c>
      <c r="S1514" s="11" t="str">
        <f>IFERROR(IF(VLOOKUP(A1514,[11]PRIORIZADOS!$A:$S,19,FALSE)="","",VLOOKUP(A1514,[11]PRIORIZADOS!$A:$S,19,FALSE)),"")</f>
        <v>Se debe contar con los espacios necesarios para atender la pooblación matriculada Presentar plan de mejoramiento el 15 de octubre de 2025</v>
      </c>
      <c r="T1514" s="70" t="str">
        <f>IFERROR(IF(VLOOKUP(A1514,[11]PRIORIZADOS!$A:$T,20,FALSE)="","",VLOOKUP(A1514,[11]PRIORIZADOS!$A:$T,20,FALSE)),"")</f>
        <v>Si</v>
      </c>
      <c r="U1514" s="11" t="str">
        <f>IFERROR(IF(VLOOKUP(A1514,[11]PRIORIZADOS!$A:$U,21,FALSE)="","",VLOOKUP(A1514,[11]PRIORIZADOS!$A:$U,21,FALSE)),"")</f>
        <v>Revisar PM y verificar que se ajuste a las observaciones realizadas.</v>
      </c>
    </row>
    <row r="1515" spans="1:21" s="1" customFormat="1" ht="72">
      <c r="A1515" s="69">
        <f>IF([11]PRIORIZADOS!A26="","",[11]PRIORIZADOS!A26)</f>
        <v>1481</v>
      </c>
      <c r="B1515" s="70">
        <f>IFERROR(IF(VLOOKUP(A1515,[11]PRIORIZADOS!$A:$B,2,FALSE)="","",VLOOKUP(A1515,[11]PRIORIZADOS!$A:$B,2,FALSE)),"")</f>
        <v>3</v>
      </c>
      <c r="C1515" s="11" t="str">
        <f>IFERROR(IF(VLOOKUP(A1515,[11]PRIORIZADOS!$A:$C,3,FALSE)="","",VLOOKUP(A1515,[11]PRIORIZADOS!$A:$C,3,FALSE)),"")</f>
        <v>RAFAEL URIBE URIBE</v>
      </c>
      <c r="D1515" s="11" t="str">
        <f>IFERROR(IF(VLOOKUP(A1515,[11]PRIORIZADOS!$A:$D,4,FALSE)="","",VLOOKUP(A1515,[11]PRIORIZADOS!$A:$D,4,FALSE)),"")</f>
        <v>PRIVADO</v>
      </c>
      <c r="E1515" s="11" t="str">
        <f>IFERROR(IF(VLOOKUP(A1515,[11]PRIORIZADOS!$A:$E,5,FALSE)="","",VLOOKUP(A1515,[11]PRIORIZADOS!$A:$E,5,FALSE)),"")</f>
        <v>EPBM</v>
      </c>
      <c r="F1515" s="11" t="str">
        <f>IFERROR(IF(VLOOKUP(A1515,[11]PRIORIZADOS!$A:$F,6,FALSE)="","",VLOOKUP(A1515,[11]PRIORIZADOS!$A:$F,6,FALSE)),"")</f>
        <v>COLEGIO_DE_ADMINISTRACION_ROBERT_OWEN</v>
      </c>
      <c r="G1515" s="11" t="str">
        <f>IFERROR(IF(VLOOKUP(A1515,[11]PRIORIZADOS!$A:$G,7,FALSE)="","",VLOOKUP(A1515,[11]PRIORIZADOS!$A:$G,7,FALSE)),"")</f>
        <v>COLEGIO_DE_ADMINISTRACION_ROBERT_OWEN</v>
      </c>
      <c r="H1515" s="11" t="str">
        <f>IFERROR(IF(VLOOKUP(A1515,[11]PRIORIZADOS!$A:$H,8,FALSE)="","",VLOOKUP(A1515,[11]PRIORIZADOS!$A:$H,8,FALSE)),"")</f>
        <v>Autoevaluación Institucional y Pruebas SABER 11</v>
      </c>
      <c r="I1515" s="11" t="str">
        <f>IFERROR(IF(VLOOKUP(A1515,[11]PRIORIZADOS!$A:$I,9,FALSE)="","",VLOOKUP(A1515,[11]PRIORIZADOS!$A:$I,9,FALSE)),"")</f>
        <v>SEGUIMIENTO_Y_SUPERVISIÓN.</v>
      </c>
      <c r="J1515" s="11" t="str">
        <f>IFERROR(IF(VLOOKUP(A1515,[11]PRIORIZADOS!$A:$J,10,FALSE)="","",VLOOKUP(A1515,[11]PRIORIZADOS!$A:$J,10,FALSE)),"")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515" s="11" t="str">
        <f>IFERROR(IF(VLOOKUP(A1515,[11]PRIORIZADOS!$A:$K,11,FALSE)="","",VLOOKUP(A1515,[11]PRIORIZADOS!$A:$K,11,FALSE)),"")</f>
        <v>ALEJANDRA JOHANA BALAGUERA CASAS</v>
      </c>
      <c r="L1515" s="11" t="str">
        <f>IFERROR(IF(VLOOKUP(A1515,[11]PRIORIZADOS!$A:$L,12,FALSE)="","",VLOOKUP(A1515,[11]PRIORIZADOS!$A:$L,12,FALSE)),"")</f>
        <v>BEPCI YADIRA MINA ZAPATA</v>
      </c>
      <c r="M1515" s="71">
        <f>IFERROR(IF(VLOOKUP(A1515,[11]PRIORIZADOS!$A:$M,13,FALSE)="","",VLOOKUP(A1515,[11]PRIORIZADOS!$A:$M,13,FALSE)),"")</f>
        <v>45742</v>
      </c>
      <c r="N1515" s="71">
        <f>IFERROR(IF(VLOOKUP(A1515,[11]PRIORIZADOS!$A:$N,14,FALSE)="","",VLOOKUP(A1515,[11]PRIORIZADOS!$A:$N,14,FALSE)),"")</f>
        <v>45743</v>
      </c>
      <c r="O1515" s="71">
        <f>IFERROR(IF(VLOOKUP(A1515,[11]PRIORIZADOS!$A:$O,15,FALSE)="","",VLOOKUP(A1515,[11]PRIORIZADOS!$A:$O,15,FALSE)),"")</f>
        <v>45743</v>
      </c>
      <c r="P1515" s="11" t="str">
        <f>IFERROR(IF(VLOOKUP(A1515,[11]PRIORIZADOS!$A:$P,16,FALSE)="","",VLOOKUP(A1515,[11]PRIORIZADOS!$A:$P,16,FALSE)),"")</f>
        <v>Visitas de evaluación con fines de mejoramiento</v>
      </c>
      <c r="Q1515" s="107" t="s">
        <v>359</v>
      </c>
      <c r="R1515" s="11" t="str">
        <f>IFERROR(IF(VLOOKUP(A1515,[11]PRIORIZADOS!$A:$R,18,FALSE)="","",VLOOKUP(A1515,[11]PRIORIZADOS!$A:$R,18,FALSE)),"")</f>
        <v>No se evidencia plan de mejoramiento subido a EVI. Cuentan con docentes sin cumplimiento de requisitos en formación académica.</v>
      </c>
      <c r="S1515" s="11" t="str">
        <f>IFERROR(IF(VLOOKUP(A1515,[11]PRIORIZADOS!$A:$S,19,FALSE)="","",VLOOKUP(A1515,[11]PRIORIZADOS!$A:$S,19,FALSE)),"")</f>
        <v>Contratar docentes con la formación necesaria. Presentar plan de mejoramiento el 30 de abril de 2025</v>
      </c>
      <c r="T1515" s="70" t="str">
        <f>IFERROR(IF(VLOOKUP(A1515,[11]PRIORIZADOS!$A:$T,20,FALSE)="","",VLOOKUP(A1515,[11]PRIORIZADOS!$A:$T,20,FALSE)),"")</f>
        <v>Si</v>
      </c>
      <c r="U1515" s="11" t="str">
        <f>IFERROR(IF(VLOOKUP(A1515,[11]PRIORIZADOS!$A:$U,21,FALSE)="","",VLOOKUP(A1515,[11]PRIORIZADOS!$A:$U,21,FALSE)),"")</f>
        <v>Revisar PM y verificar que se ajuste a las observaciones realizadas.</v>
      </c>
    </row>
    <row r="1516" spans="1:21" s="1" customFormat="1" ht="36">
      <c r="A1516" s="69">
        <f>IF([11]PRIORIZADOS!A27="","",[11]PRIORIZADOS!A27)</f>
        <v>1482</v>
      </c>
      <c r="B1516" s="70">
        <v>3</v>
      </c>
      <c r="C1516" s="11" t="str">
        <f>IFERROR(IF(VLOOKUP(A1516,[11]PRIORIZADOS!$A:$C,3,FALSE)="","",VLOOKUP(A1516,[11]PRIORIZADOS!$A:$C,3,FALSE)),"")</f>
        <v>RAFAEL URIBE URIBE</v>
      </c>
      <c r="D1516" s="11" t="str">
        <f>IFERROR(IF(VLOOKUP(A1516,[11]PRIORIZADOS!$A:$D,4,FALSE)="","",VLOOKUP(A1516,[11]PRIORIZADOS!$A:$D,4,FALSE)),"")</f>
        <v>PRIVADO</v>
      </c>
      <c r="E1516" s="11" t="str">
        <f>IFERROR(IF(VLOOKUP(A1516,[11]PRIORIZADOS!$A:$E,5,FALSE)="","",VLOOKUP(A1516,[11]PRIORIZADOS!$A:$E,5,FALSE)),"")</f>
        <v>EPBM</v>
      </c>
      <c r="F1516" s="11" t="str">
        <f>IFERROR(IF(VLOOKUP(A1516,[11]PRIORIZADOS!$A:$F,6,FALSE)="","",VLOOKUP(A1516,[11]PRIORIZADOS!$A:$F,6,FALSE)),"")</f>
        <v>COLEGIO_DE_ADMINISTRACION_ROBERT_OWEN</v>
      </c>
      <c r="G1516" s="11" t="str">
        <f>IFERROR(IF(VLOOKUP(A1516,[11]PRIORIZADOS!$A:$G,7,FALSE)="","",VLOOKUP(A1516,[11]PRIORIZADOS!$A:$G,7,FALSE)),"")</f>
        <v>COLEGIO_DE_ADMINISTRACION_ROBERT_OWEN</v>
      </c>
      <c r="H1516" s="11" t="str">
        <f>IFERROR(IF(VLOOKUP(A1516,[11]PRIORIZADOS!$A:$H,8,FALSE)="","",VLOOKUP(A1516,[11]PRIORIZADOS!$A:$H,8,FALSE)),"")</f>
        <v>Autoevaluación Institucional y Pruebas SABER 11</v>
      </c>
      <c r="I1516" s="11" t="str">
        <f>IFERROR(IF(VLOOKUP(A1516,[11]PRIORIZADOS!$A:$I,9,FALSE)="","",VLOOKUP(A1516,[11]PRIORIZADOS!$A:$I,9,FALSE)),"")</f>
        <v>SEGUIMIENTO_Y_SUPERVISIÓN.</v>
      </c>
      <c r="J1516" s="11" t="str">
        <f>IFERROR(IF(VLOOKUP(A1516,[11]PRIORIZADOS!$A:$J,10,FALSE)="","",VLOOKUP(A1516,[11]PRIORIZADOS!$A:$J,10,FALSE)),"")</f>
        <v>Realizar visitas para verificar la información registrada sobre la autoevaluación institucional en el aplicativo EVI, a los establecimientos de educación formal no oficial.</v>
      </c>
      <c r="K1516" s="11" t="str">
        <f>IFERROR(IF(VLOOKUP(A1516,[11]PRIORIZADOS!$A:$K,11,FALSE)="","",VLOOKUP(A1516,[11]PRIORIZADOS!$A:$K,11,FALSE)),"")</f>
        <v>ALEJANDRA JOHANA BALAGUERA CASAS</v>
      </c>
      <c r="L1516" s="11" t="str">
        <f>IFERROR(IF(VLOOKUP(A1516,[11]PRIORIZADOS!$A:$L,12,FALSE)="","",VLOOKUP(A1516,[11]PRIORIZADOS!$A:$L,12,FALSE)),"")</f>
        <v>BEPCI YADIRA MINA ZAPATA</v>
      </c>
      <c r="M1516" s="71">
        <f>IFERROR(IF(VLOOKUP(A1516,[11]PRIORIZADOS!$A:$M,13,FALSE)="","",VLOOKUP(A1516,[11]PRIORIZADOS!$A:$M,13,FALSE)),"")</f>
        <v>45742</v>
      </c>
      <c r="N1516" s="71">
        <f>IFERROR(IF(VLOOKUP(A1516,[11]PRIORIZADOS!$A:$N,14,FALSE)="","",VLOOKUP(A1516,[11]PRIORIZADOS!$A:$N,14,FALSE)),"")</f>
        <v>45743</v>
      </c>
      <c r="O1516" s="71">
        <f>IFERROR(IF(VLOOKUP(A1516,[11]PRIORIZADOS!$A:$O,15,FALSE)="","",VLOOKUP(A1516,[11]PRIORIZADOS!$A:$O,15,FALSE)),"")</f>
        <v>45743</v>
      </c>
      <c r="P1516" s="11" t="str">
        <f>IFERROR(IF(VLOOKUP(A1516,[11]PRIORIZADOS!$A:$P,16,FALSE)="","",VLOOKUP(A1516,[11]PRIORIZADOS!$A:$P,16,FALSE)),"")</f>
        <v>Visitas de evaluación con fines de mejoramiento</v>
      </c>
      <c r="Q1516" s="107" t="s">
        <v>359</v>
      </c>
      <c r="R1516" s="11" t="str">
        <f>IFERROR(IF(VLOOKUP(A1516,[11]PRIORIZADOS!$A:$R,18,FALSE)="","",VLOOKUP(A1516,[11]PRIORIZADOS!$A:$R,18,FALSE)),"")</f>
        <v>Cuentan con docentes sin afiliación a seguridad social.</v>
      </c>
      <c r="S1516" s="11" t="str">
        <f>IFERROR(IF(VLOOKUP(A1516,[11]PRIORIZADOS!$A:$S,19,FALSE)="","",VLOOKUP(A1516,[11]PRIORIZADOS!$A:$S,19,FALSE)),"")</f>
        <v>Realizar pago de seguridad social a todo el personal de la institución. Presentar plan de mejoramiento el 30 de abril de 2025</v>
      </c>
      <c r="T1516" s="70" t="str">
        <f>IFERROR(IF(VLOOKUP(A1516,[11]PRIORIZADOS!$A:$T,20,FALSE)="","",VLOOKUP(A1516,[11]PRIORIZADOS!$A:$T,20,FALSE)),"")</f>
        <v>Si</v>
      </c>
      <c r="U1516" s="11" t="str">
        <f>IFERROR(IF(VLOOKUP(A1516,[11]PRIORIZADOS!$A:$U,21,FALSE)="","",VLOOKUP(A1516,[11]PRIORIZADOS!$A:$U,21,FALSE)),"")</f>
        <v>Revisar PM y verificar que se ajuste a las observaciones realizadas.</v>
      </c>
    </row>
    <row r="1517" spans="1:21" s="1" customFormat="1" ht="84">
      <c r="A1517" s="69">
        <f>IF([11]PRIORIZADOS!A28="","",[11]PRIORIZADOS!A28)</f>
        <v>1483</v>
      </c>
      <c r="B1517" s="70">
        <v>3</v>
      </c>
      <c r="C1517" s="11" t="str">
        <f>IFERROR(IF(VLOOKUP(A1517,[11]PRIORIZADOS!$A:$C,3,FALSE)="","",VLOOKUP(A1517,[11]PRIORIZADOS!$A:$C,3,FALSE)),"")</f>
        <v>RAFAEL URIBE URIBE</v>
      </c>
      <c r="D1517" s="11" t="str">
        <f>IFERROR(IF(VLOOKUP(A1517,[11]PRIORIZADOS!$A:$D,4,FALSE)="","",VLOOKUP(A1517,[11]PRIORIZADOS!$A:$D,4,FALSE)),"")</f>
        <v>PRIVADO</v>
      </c>
      <c r="E1517" s="11" t="str">
        <f>IFERROR(IF(VLOOKUP(A1517,[11]PRIORIZADOS!$A:$E,5,FALSE)="","",VLOOKUP(A1517,[11]PRIORIZADOS!$A:$E,5,FALSE)),"")</f>
        <v>EPBM</v>
      </c>
      <c r="F1517" s="11" t="str">
        <f>IFERROR(IF(VLOOKUP(A1517,[11]PRIORIZADOS!$A:$F,6,FALSE)="","",VLOOKUP(A1517,[11]PRIORIZADOS!$A:$F,6,FALSE)),"")</f>
        <v>COLEGIO_DE_ADMINISTRACION_ROBERT_OWEN</v>
      </c>
      <c r="G1517" s="11" t="str">
        <f>IFERROR(IF(VLOOKUP(A1517,[11]PRIORIZADOS!$A:$G,7,FALSE)="","",VLOOKUP(A1517,[11]PRIORIZADOS!$A:$G,7,FALSE)),"")</f>
        <v>COLEGIO_DE_ADMINISTRACION_ROBERT_OWEN</v>
      </c>
      <c r="H1517" s="11" t="str">
        <f>IFERROR(IF(VLOOKUP(A1517,[11]PRIORIZADOS!$A:$H,8,FALSE)="","",VLOOKUP(A1517,[11]PRIORIZADOS!$A:$H,8,FALSE)),"")</f>
        <v>Autoevaluación Institucional y Pruebas SABER 11</v>
      </c>
      <c r="I1517" s="11" t="str">
        <f>IFERROR(IF(VLOOKUP(A1517,[11]PRIORIZADOS!$A:$I,9,FALSE)="","",VLOOKUP(A1517,[11]PRIORIZADOS!$A:$I,9,FALSE)),"")</f>
        <v>SEGUIMIENTO_Y_SUPERVISIÓN.</v>
      </c>
      <c r="J1517" s="11" t="str">
        <f>IFERROR(IF(VLOOKUP(A1517,[11]PRIORIZADOS!$A:$J,10,FALSE)="","",VLOOKUP(A1517,[11]PRIORIZADOS!$A:$J,10,FALSE)),"")</f>
        <v>Proponer estrategias en la formulación, verificar su elaboración y realizar seguimiento semestral al desarrollo de  las acciones establecidas en los planes de mejoramiento por pruebas SABER 11 de los establecimientos de educación formal.</v>
      </c>
      <c r="K1517" s="11" t="str">
        <f>IFERROR(IF(VLOOKUP(A1517,[11]PRIORIZADOS!$A:$K,11,FALSE)="","",VLOOKUP(A1517,[11]PRIORIZADOS!$A:$K,11,FALSE)),"")</f>
        <v>ALEJANDRA JOHANA BALAGUERA CASAS</v>
      </c>
      <c r="L1517" s="11" t="str">
        <f>IFERROR(IF(VLOOKUP(A1517,[11]PRIORIZADOS!$A:$L,12,FALSE)="","",VLOOKUP(A1517,[11]PRIORIZADOS!$A:$L,12,FALSE)),"")</f>
        <v>BEPCI YADIRA MINA ZAPATA</v>
      </c>
      <c r="M1517" s="71">
        <f>IFERROR(IF(VLOOKUP(A1517,[11]PRIORIZADOS!$A:$M,13,FALSE)="","",VLOOKUP(A1517,[11]PRIORIZADOS!$A:$M,13,FALSE)),"")</f>
        <v>45742</v>
      </c>
      <c r="N1517" s="71">
        <f>IFERROR(IF(VLOOKUP(A1517,[11]PRIORIZADOS!$A:$N,14,FALSE)="","",VLOOKUP(A1517,[11]PRIORIZADOS!$A:$N,14,FALSE)),"")</f>
        <v>45743</v>
      </c>
      <c r="O1517" s="71">
        <f>IFERROR(IF(VLOOKUP(A1517,[11]PRIORIZADOS!$A:$O,15,FALSE)="","",VLOOKUP(A1517,[11]PRIORIZADOS!$A:$O,15,FALSE)),"")</f>
        <v>45743</v>
      </c>
      <c r="P1517" s="11" t="str">
        <f>IFERROR(IF(VLOOKUP(A1517,[11]PRIORIZADOS!$A:$P,16,FALSE)="","",VLOOKUP(A1517,[11]PRIORIZADOS!$A:$P,16,FALSE)),"")</f>
        <v>Visitas de evaluación con fines de mejoramiento</v>
      </c>
      <c r="Q1517" s="107" t="s">
        <v>359</v>
      </c>
      <c r="R1517" s="11" t="str">
        <f>IFERROR(IF(VLOOKUP(A1517,[11]PRIORIZADOS!$A:$R,18,FALSE)="","",VLOOKUP(A1517,[11]PRIORIZADOS!$A:$R,18,FALSE)),"")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17" s="11" t="str">
        <f>IFERROR(IF(VLOOKUP(A1517,[11]PRIORIZADOS!$A:$S,19,FALSE)="","",VLOOKUP(A1517,[11]PRIORIZADOS!$A:$S,19,FALSE)),"")</f>
        <v>Realizar analisis de las Pruebas Saber y establecer acciones pertinentes. Presentar plan de mejoramiento el 30 de abril de 2025</v>
      </c>
      <c r="T1517" s="70" t="str">
        <f>IFERROR(IF(VLOOKUP(A1517,[11]PRIORIZADOS!$A:$T,20,FALSE)="","",VLOOKUP(A1517,[11]PRIORIZADOS!$A:$T,20,FALSE)),"")</f>
        <v>Si</v>
      </c>
      <c r="U1517" s="11" t="str">
        <f>IFERROR(IF(VLOOKUP(A1517,[11]PRIORIZADOS!$A:$U,21,FALSE)="","",VLOOKUP(A1517,[11]PRIORIZADOS!$A:$U,21,FALSE)),"")</f>
        <v>Revisar PM y verificar que se ajuste a las observaciones realizadas.</v>
      </c>
    </row>
    <row r="1518" spans="1:21" s="1" customFormat="1" ht="60">
      <c r="A1518" s="69">
        <f>IF([11]PRIORIZADOS!A29="","",[11]PRIORIZADOS!A29)</f>
        <v>1484</v>
      </c>
      <c r="B1518" s="70">
        <v>3</v>
      </c>
      <c r="C1518" s="11" t="str">
        <f>IFERROR(IF(VLOOKUP(A1518,[11]PRIORIZADOS!$A:$C,3,FALSE)="","",VLOOKUP(A1518,[11]PRIORIZADOS!$A:$C,3,FALSE)),"")</f>
        <v>RAFAEL URIBE URIBE</v>
      </c>
      <c r="D1518" s="11" t="str">
        <f>IFERROR(IF(VLOOKUP(A1518,[11]PRIORIZADOS!$A:$D,4,FALSE)="","",VLOOKUP(A1518,[11]PRIORIZADOS!$A:$D,4,FALSE)),"")</f>
        <v>PRIVADO</v>
      </c>
      <c r="E1518" s="11" t="str">
        <f>IFERROR(IF(VLOOKUP(A1518,[11]PRIORIZADOS!$A:$E,5,FALSE)="","",VLOOKUP(A1518,[11]PRIORIZADOS!$A:$E,5,FALSE)),"")</f>
        <v>EPBM</v>
      </c>
      <c r="F1518" s="11" t="str">
        <f>IFERROR(IF(VLOOKUP(A1518,[11]PRIORIZADOS!$A:$F,6,FALSE)="","",VLOOKUP(A1518,[11]PRIORIZADOS!$A:$F,6,FALSE)),"")</f>
        <v>COLEGIO_DE_ADMINISTRACION_ROBERT_OWEN</v>
      </c>
      <c r="G1518" s="11" t="str">
        <f>IFERROR(IF(VLOOKUP(A1518,[11]PRIORIZADOS!$A:$G,7,FALSE)="","",VLOOKUP(A1518,[11]PRIORIZADOS!$A:$G,7,FALSE)),"")</f>
        <v>COLEGIO_DE_ADMINISTRACION_ROBERT_OWEN</v>
      </c>
      <c r="H1518" s="11" t="str">
        <f>IFERROR(IF(VLOOKUP(A1518,[11]PRIORIZADOS!$A:$H,8,FALSE)="","",VLOOKUP(A1518,[11]PRIORIZADOS!$A:$H,8,FALSE)),"")</f>
        <v>Autoevaluación Institucional y Pruebas SABER 11</v>
      </c>
      <c r="I1518" s="11" t="str">
        <f>IFERROR(IF(VLOOKUP(A1518,[11]PRIORIZADOS!$A:$I,9,FALSE)="","",VLOOKUP(A1518,[11]PRIORIZADOS!$A:$I,9,FALSE)),"")</f>
        <v>SEGUIMIENTO_Y_SUPERVISIÓN.</v>
      </c>
      <c r="J1518" s="11" t="str">
        <f>IFERROR(IF(VLOOKUP(A1518,[11]PRIORIZADOS!$A:$J,10,FALSE)="","",VLOOKUP(A1518,[11]PRIORIZADOS!$A:$J,10,FALSE)),"")</f>
        <v xml:space="preserve">Verificar la implementación por parte de los colegios, de acciones realizadas para la prevención y atención de las situaciones de convivencia en el entorno escolar, según lo establecido en la Directiva 01 de 2022 del MEN. </v>
      </c>
      <c r="K1518" s="11" t="str">
        <f>IFERROR(IF(VLOOKUP(A1518,[11]PRIORIZADOS!$A:$K,11,FALSE)="","",VLOOKUP(A1518,[11]PRIORIZADOS!$A:$K,11,FALSE)),"")</f>
        <v>ALEJANDRA JOHANA BALAGUERA CASAS</v>
      </c>
      <c r="L1518" s="11" t="str">
        <f>IFERROR(IF(VLOOKUP(A1518,[11]PRIORIZADOS!$A:$L,12,FALSE)="","",VLOOKUP(A1518,[11]PRIORIZADOS!$A:$L,12,FALSE)),"")</f>
        <v>BEPCI YADIRA MINA ZAPATA</v>
      </c>
      <c r="M1518" s="71">
        <f>IFERROR(IF(VLOOKUP(A1518,[11]PRIORIZADOS!$A:$M,13,FALSE)="","",VLOOKUP(A1518,[11]PRIORIZADOS!$A:$M,13,FALSE)),"")</f>
        <v>45742</v>
      </c>
      <c r="N1518" s="71">
        <f>IFERROR(IF(VLOOKUP(A1518,[11]PRIORIZADOS!$A:$N,14,FALSE)="","",VLOOKUP(A1518,[11]PRIORIZADOS!$A:$N,14,FALSE)),"")</f>
        <v>45743</v>
      </c>
      <c r="O1518" s="71">
        <f>IFERROR(IF(VLOOKUP(A1518,[11]PRIORIZADOS!$A:$O,15,FALSE)="","",VLOOKUP(A1518,[11]PRIORIZADOS!$A:$O,15,FALSE)),"")</f>
        <v>45743</v>
      </c>
      <c r="P1518" s="11" t="str">
        <f>IFERROR(IF(VLOOKUP(A1518,[11]PRIORIZADOS!$A:$P,16,FALSE)="","",VLOOKUP(A1518,[11]PRIORIZADOS!$A:$P,16,FALSE)),"")</f>
        <v>Visitas de evaluación con fines de mejoramiento</v>
      </c>
      <c r="Q1518" s="107" t="s">
        <v>359</v>
      </c>
      <c r="R1518" s="11" t="str">
        <f>IFERROR(IF(VLOOKUP(A1518,[11]PRIORIZADOS!$A:$R,18,FALSE)="","",VLOOKUP(A1518,[11]PRIORIZADOS!$A:$R,18,FALSE)),"")</f>
        <v>La institución no cuentan con actas donde se evidencie el funcionamiento del comité de convivencia escolar.
Se verificó a los docentes  inhabilidadades por delitos sexuales para el año 2025.</v>
      </c>
      <c r="S1518" s="11" t="str">
        <f>IFERROR(IF(VLOOKUP(A1518,[11]PRIORIZADOS!$A:$S,19,FALSE)="","",VLOOKUP(A1518,[11]PRIORIZADOS!$A:$S,19,FALSE)),"")</f>
        <v>Realizar reuniones del comité de convivencia escolar cada 2 meses con su soporte. Verificar inhanilidades de los empleados cada 4 meses. Presentar plan de mejoramiento el 30 de abril de 2025</v>
      </c>
      <c r="T1518" s="70" t="str">
        <f>IFERROR(IF(VLOOKUP(A1518,[11]PRIORIZADOS!$A:$T,20,FALSE)="","",VLOOKUP(A1518,[11]PRIORIZADOS!$A:$T,20,FALSE)),"")</f>
        <v>Si</v>
      </c>
      <c r="U1518" s="11" t="str">
        <f>IFERROR(IF(VLOOKUP(A1518,[11]PRIORIZADOS!$A:$U,21,FALSE)="","",VLOOKUP(A1518,[11]PRIORIZADOS!$A:$U,21,FALSE)),"")</f>
        <v>Revisar PM y verificar que se ajuste a las observaciones realizadas.</v>
      </c>
    </row>
    <row r="1519" spans="1:21" s="1" customFormat="1" ht="72">
      <c r="A1519" s="69">
        <f>IF([11]PRIORIZADOS!A30="","",[11]PRIORIZADOS!A30)</f>
        <v>1485</v>
      </c>
      <c r="B1519" s="70">
        <v>3</v>
      </c>
      <c r="C1519" s="11" t="str">
        <f>IFERROR(IF(VLOOKUP(A1519,[11]PRIORIZADOS!$A:$C,3,FALSE)="","",VLOOKUP(A1519,[11]PRIORIZADOS!$A:$C,3,FALSE)),"")</f>
        <v>RAFAEL URIBE URIBE</v>
      </c>
      <c r="D1519" s="11" t="str">
        <f>IFERROR(IF(VLOOKUP(A1519,[11]PRIORIZADOS!$A:$D,4,FALSE)="","",VLOOKUP(A1519,[11]PRIORIZADOS!$A:$D,4,FALSE)),"")</f>
        <v>PRIVADO</v>
      </c>
      <c r="E1519" s="11" t="str">
        <f>IFERROR(IF(VLOOKUP(A1519,[11]PRIORIZADOS!$A:$E,5,FALSE)="","",VLOOKUP(A1519,[11]PRIORIZADOS!$A:$E,5,FALSE)),"")</f>
        <v>EPBM</v>
      </c>
      <c r="F1519" s="11" t="str">
        <f>IFERROR(IF(VLOOKUP(A1519,[11]PRIORIZADOS!$A:$F,6,FALSE)="","",VLOOKUP(A1519,[11]PRIORIZADOS!$A:$F,6,FALSE)),"")</f>
        <v>COLEGIO_DE_ADMINISTRACION_ROBERT_OWEN</v>
      </c>
      <c r="G1519" s="11" t="str">
        <f>IFERROR(IF(VLOOKUP(A1519,[11]PRIORIZADOS!$A:$G,7,FALSE)="","",VLOOKUP(A1519,[11]PRIORIZADOS!$A:$G,7,FALSE)),"")</f>
        <v>COLEGIO_DE_ADMINISTRACION_ROBERT_OWEN</v>
      </c>
      <c r="H1519" s="11" t="str">
        <f>IFERROR(IF(VLOOKUP(A1519,[11]PRIORIZADOS!$A:$H,8,FALSE)="","",VLOOKUP(A1519,[11]PRIORIZADOS!$A:$H,8,FALSE)),"")</f>
        <v>Autoevaluación Institucional y Pruebas SABER 11</v>
      </c>
      <c r="I1519" s="11" t="str">
        <f>IFERROR(IF(VLOOKUP(A1519,[11]PRIORIZADOS!$A:$I,9,FALSE)="","",VLOOKUP(A1519,[11]PRIORIZADOS!$A:$I,9,FALSE)),"")</f>
        <v>SEGUIMIENTO_Y_SUPERVISIÓN.</v>
      </c>
      <c r="J1519" s="11" t="str">
        <f>IFERROR(IF(VLOOKUP(A1519,[11]PRIORIZADOS!$A:$J,10,FALSE)="","",VLOOKUP(A1519,[11]PRIORIZADOS!$A:$J,10,FALSE)),"")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19" s="11" t="str">
        <f>IFERROR(IF(VLOOKUP(A1519,[11]PRIORIZADOS!$A:$K,11,FALSE)="","",VLOOKUP(A1519,[11]PRIORIZADOS!$A:$K,11,FALSE)),"")</f>
        <v>ALEJANDRA JOHANA BALAGUERA CASAS</v>
      </c>
      <c r="L1519" s="11" t="str">
        <f>IFERROR(IF(VLOOKUP(A1519,[11]PRIORIZADOS!$A:$L,12,FALSE)="","",VLOOKUP(A1519,[11]PRIORIZADOS!$A:$L,12,FALSE)),"")</f>
        <v>BEPCI YADIRA MINA ZAPATA</v>
      </c>
      <c r="M1519" s="71">
        <f>IFERROR(IF(VLOOKUP(A1519,[11]PRIORIZADOS!$A:$M,13,FALSE)="","",VLOOKUP(A1519,[11]PRIORIZADOS!$A:$M,13,FALSE)),"")</f>
        <v>45742</v>
      </c>
      <c r="N1519" s="71">
        <f>IFERROR(IF(VLOOKUP(A1519,[11]PRIORIZADOS!$A:$N,14,FALSE)="","",VLOOKUP(A1519,[11]PRIORIZADOS!$A:$N,14,FALSE)),"")</f>
        <v>45743</v>
      </c>
      <c r="O1519" s="71">
        <f>IFERROR(IF(VLOOKUP(A1519,[11]PRIORIZADOS!$A:$O,15,FALSE)="","",VLOOKUP(A1519,[11]PRIORIZADOS!$A:$O,15,FALSE)),"")</f>
        <v>45743</v>
      </c>
      <c r="P1519" s="11" t="str">
        <f>IFERROR(IF(VLOOKUP(A1519,[11]PRIORIZADOS!$A:$P,16,FALSE)="","",VLOOKUP(A1519,[11]PRIORIZADOS!$A:$P,16,FALSE)),"")</f>
        <v>Visitas de evaluación con fines de mejoramiento</v>
      </c>
      <c r="Q1519" s="107" t="s">
        <v>359</v>
      </c>
      <c r="R1519" s="11" t="str">
        <f>IFERROR(IF(VLOOKUP(A1519,[11]PRIORIZADOS!$A:$R,18,FALSE)="","",VLOOKUP(A1519,[11]PRIORIZADOS!$A:$R,18,FALSE)),"")</f>
        <v>La institución informa que no cuenta con estudiantes con discapacidad, transtornos o talentos. En el SIMAT no hay registro
En el PEI - Manual - SIEE no incorpora la atención a la poblacion de discapacidad.</v>
      </c>
      <c r="S1519" s="11" t="str">
        <f>IFERROR(IF(VLOOKUP(A1519,[11]PRIORIZADOS!$A:$S,19,FALSE)="","",VLOOKUP(A1519,[11]PRIORIZADOS!$A:$S,19,FALSE)),"")</f>
        <v>Incoroporar en el PEI la atención a esta población. La institución debe presentar plan de mejoramiento el 30 de abril de 2025</v>
      </c>
      <c r="T1519" s="70" t="str">
        <f>IFERROR(IF(VLOOKUP(A1519,[11]PRIORIZADOS!$A:$T,20,FALSE)="","",VLOOKUP(A1519,[11]PRIORIZADOS!$A:$T,20,FALSE)),"")</f>
        <v>Si</v>
      </c>
      <c r="U1519" s="11" t="str">
        <f>IFERROR(IF(VLOOKUP(A1519,[11]PRIORIZADOS!$A:$U,21,FALSE)="","",VLOOKUP(A1519,[11]PRIORIZADOS!$A:$U,21,FALSE)),"")</f>
        <v>Revisar PM y verificar que se ajuste a las observaciones realizadas.</v>
      </c>
    </row>
    <row r="1520" spans="1:21" s="1" customFormat="1" ht="84">
      <c r="A1520" s="69">
        <f>IF([11]PRIORIZADOS!A31="","",[11]PRIORIZADOS!A31)</f>
        <v>1486</v>
      </c>
      <c r="B1520" s="70">
        <v>3</v>
      </c>
      <c r="C1520" s="11" t="str">
        <f>IFERROR(IF(VLOOKUP(A1520,[11]PRIORIZADOS!$A:$C,3,FALSE)="","",VLOOKUP(A1520,[11]PRIORIZADOS!$A:$C,3,FALSE)),"")</f>
        <v>RAFAEL URIBE URIBE</v>
      </c>
      <c r="D1520" s="11" t="str">
        <f>IFERROR(IF(VLOOKUP(A1520,[11]PRIORIZADOS!$A:$D,4,FALSE)="","",VLOOKUP(A1520,[11]PRIORIZADOS!$A:$D,4,FALSE)),"")</f>
        <v>PRIVADO</v>
      </c>
      <c r="E1520" s="11" t="str">
        <f>IFERROR(IF(VLOOKUP(A1520,[11]PRIORIZADOS!$A:$E,5,FALSE)="","",VLOOKUP(A1520,[11]PRIORIZADOS!$A:$E,5,FALSE)),"")</f>
        <v>EPBM</v>
      </c>
      <c r="F1520" s="11" t="str">
        <f>IFERROR(IF(VLOOKUP(A1520,[11]PRIORIZADOS!$A:$F,6,FALSE)="","",VLOOKUP(A1520,[11]PRIORIZADOS!$A:$F,6,FALSE)),"")</f>
        <v>COLEGIO_DE_ADMINISTRACION_ROBERT_OWEN</v>
      </c>
      <c r="G1520" s="11" t="str">
        <f>IFERROR(IF(VLOOKUP(A1520,[11]PRIORIZADOS!$A:$G,7,FALSE)="","",VLOOKUP(A1520,[11]PRIORIZADOS!$A:$G,7,FALSE)),"")</f>
        <v>COLEGIO_DE_ADMINISTRACION_ROBERT_OWEN</v>
      </c>
      <c r="H1520" s="11" t="str">
        <f>IFERROR(IF(VLOOKUP(A1520,[11]PRIORIZADOS!$A:$H,8,FALSE)="","",VLOOKUP(A1520,[11]PRIORIZADOS!$A:$H,8,FALSE)),"")</f>
        <v>Autoevaluación Institucional y Pruebas SABER 11</v>
      </c>
      <c r="I1520" s="11" t="str">
        <f>IFERROR(IF(VLOOKUP(A1520,[11]PRIORIZADOS!$A:$I,9,FALSE)="","",VLOOKUP(A1520,[11]PRIORIZADOS!$A:$I,9,FALSE)),"")</f>
        <v>EVALUACIÓN_CON_FINES_DE_MEJORAMIENTO.</v>
      </c>
      <c r="J1520" s="11" t="str">
        <f>IFERROR(IF(VLOOKUP(A1520,[11]PRIORIZADOS!$A:$J,10,FALSE)="","",VLOOKUP(A1520,[11]PRIORIZADOS!$A:$J,10,FALSE)),"")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20" s="11" t="str">
        <f>IFERROR(IF(VLOOKUP(A1520,[11]PRIORIZADOS!$A:$K,11,FALSE)="","",VLOOKUP(A1520,[11]PRIORIZADOS!$A:$K,11,FALSE)),"")</f>
        <v>ALEJANDRA JOHANA BALAGUERA CASAS</v>
      </c>
      <c r="L1520" s="11" t="str">
        <f>IFERROR(IF(VLOOKUP(A1520,[11]PRIORIZADOS!$A:$L,12,FALSE)="","",VLOOKUP(A1520,[11]PRIORIZADOS!$A:$L,12,FALSE)),"")</f>
        <v>BEPCI YADIRA MINA ZAPATA</v>
      </c>
      <c r="M1520" s="71">
        <f>IFERROR(IF(VLOOKUP(A1520,[11]PRIORIZADOS!$A:$M,13,FALSE)="","",VLOOKUP(A1520,[11]PRIORIZADOS!$A:$M,13,FALSE)),"")</f>
        <v>45742</v>
      </c>
      <c r="N1520" s="71">
        <f>IFERROR(IF(VLOOKUP(A1520,[11]PRIORIZADOS!$A:$N,14,FALSE)="","",VLOOKUP(A1520,[11]PRIORIZADOS!$A:$N,14,FALSE)),"")</f>
        <v>45743</v>
      </c>
      <c r="O1520" s="71">
        <f>IFERROR(IF(VLOOKUP(A1520,[11]PRIORIZADOS!$A:$O,15,FALSE)="","",VLOOKUP(A1520,[11]PRIORIZADOS!$A:$O,15,FALSE)),"")</f>
        <v>45743</v>
      </c>
      <c r="P1520" s="11" t="str">
        <f>IFERROR(IF(VLOOKUP(A1520,[11]PRIORIZADOS!$A:$P,16,FALSE)="","",VLOOKUP(A1520,[11]PRIORIZADOS!$A:$P,16,FALSE)),"")</f>
        <v>Visitas de evaluación con fines de mejoramiento</v>
      </c>
      <c r="Q1520" s="107" t="s">
        <v>359</v>
      </c>
      <c r="R1520" s="11" t="str">
        <f>IFERROR(IF(VLOOKUP(A1520,[11]PRIORIZADOS!$A:$R,18,FALSE)="","",VLOOKUP(A1520,[11]PRIORIZADOS!$A:$R,18,FALSE)),"")</f>
        <v>No se evidencia aprobación del manual de convivencia, ya que no cuenta con actas de gobierno escolar.
No se encuentra actualizada y cumpliendo con la normatividad vigente</v>
      </c>
      <c r="S1520" s="11" t="str">
        <f>IFERROR(IF(VLOOKUP(A1520,[11]PRIORIZADOS!$A:$S,19,FALSE)="","",VLOOKUP(A1520,[11]PRIORIZADOS!$A:$S,19,FALSE)),"")</f>
        <v>La institución debe actualizar el manual de convivencia con participación del gobierno escolar. Presentar plan de mejoramiento el 30 de abril de 2025</v>
      </c>
      <c r="T1520" s="70" t="str">
        <f>IFERROR(IF(VLOOKUP(A1520,[11]PRIORIZADOS!$A:$T,20,FALSE)="","",VLOOKUP(A1520,[11]PRIORIZADOS!$A:$T,20,FALSE)),"")</f>
        <v>Si</v>
      </c>
      <c r="U1520" s="11" t="str">
        <f>IFERROR(IF(VLOOKUP(A1520,[11]PRIORIZADOS!$A:$U,21,FALSE)="","",VLOOKUP(A1520,[11]PRIORIZADOS!$A:$U,21,FALSE)),"")</f>
        <v>Revisar PM y verificar que se ajuste a las observaciones realizadas.</v>
      </c>
    </row>
    <row r="1521" spans="1:21" s="1" customFormat="1" ht="48">
      <c r="A1521" s="69">
        <f>IF([11]PRIORIZADOS!A32="","",[11]PRIORIZADOS!A32)</f>
        <v>1487</v>
      </c>
      <c r="B1521" s="70">
        <v>3</v>
      </c>
      <c r="C1521" s="11" t="str">
        <f>IFERROR(IF(VLOOKUP(A1521,[11]PRIORIZADOS!$A:$C,3,FALSE)="","",VLOOKUP(A1521,[11]PRIORIZADOS!$A:$C,3,FALSE)),"")</f>
        <v>RAFAEL URIBE URIBE</v>
      </c>
      <c r="D1521" s="11" t="str">
        <f>IFERROR(IF(VLOOKUP(A1521,[11]PRIORIZADOS!$A:$D,4,FALSE)="","",VLOOKUP(A1521,[11]PRIORIZADOS!$A:$D,4,FALSE)),"")</f>
        <v>PRIVADO</v>
      </c>
      <c r="E1521" s="11" t="str">
        <f>IFERROR(IF(VLOOKUP(A1521,[11]PRIORIZADOS!$A:$E,5,FALSE)="","",VLOOKUP(A1521,[11]PRIORIZADOS!$A:$E,5,FALSE)),"")</f>
        <v>EPBM</v>
      </c>
      <c r="F1521" s="11" t="str">
        <f>IFERROR(IF(VLOOKUP(A1521,[11]PRIORIZADOS!$A:$F,6,FALSE)="","",VLOOKUP(A1521,[11]PRIORIZADOS!$A:$F,6,FALSE)),"")</f>
        <v>COLEGIO_DE_ADMINISTRACION_ROBERT_OWEN</v>
      </c>
      <c r="G1521" s="11" t="str">
        <f>IFERROR(IF(VLOOKUP(A1521,[11]PRIORIZADOS!$A:$G,7,FALSE)="","",VLOOKUP(A1521,[11]PRIORIZADOS!$A:$G,7,FALSE)),"")</f>
        <v>COLEGIO_DE_ADMINISTRACION_ROBERT_OWEN</v>
      </c>
      <c r="H1521" s="11" t="str">
        <f>IFERROR(IF(VLOOKUP(A1521,[11]PRIORIZADOS!$A:$H,8,FALSE)="","",VLOOKUP(A1521,[11]PRIORIZADOS!$A:$H,8,FALSE)),"")</f>
        <v>Autoevaluación Institucional y Pruebas SABER 11</v>
      </c>
      <c r="I1521" s="11" t="str">
        <f>IFERROR(IF(VLOOKUP(A1521,[11]PRIORIZADOS!$A:$I,9,FALSE)="","",VLOOKUP(A1521,[11]PRIORIZADOS!$A:$I,9,FALSE)),"")</f>
        <v>EVALUACIÓN_CON_FINES_DE_MEJORAMIENTO.</v>
      </c>
      <c r="J1521" s="11" t="str">
        <f>IFERROR(IF(VLOOKUP(A1521,[11]PRIORIZADOS!$A:$J,10,FALSE)="","",VLOOKUP(A1521,[11]PRIORIZADOS!$A:$J,10,FALSE)),"")</f>
        <v>Revisar la actualización, socialización e implementación del Sistema Institucional de Evaluación de Estudiantes - SIEE, en articulación con la actualización del PEI y la normatividad vigente.</v>
      </c>
      <c r="K1521" s="11" t="str">
        <f>IFERROR(IF(VLOOKUP(A1521,[11]PRIORIZADOS!$A:$K,11,FALSE)="","",VLOOKUP(A1521,[11]PRIORIZADOS!$A:$K,11,FALSE)),"")</f>
        <v>ALEJANDRA JOHANA BALAGUERA CASAS</v>
      </c>
      <c r="L1521" s="11" t="str">
        <f>IFERROR(IF(VLOOKUP(A1521,[11]PRIORIZADOS!$A:$L,12,FALSE)="","",VLOOKUP(A1521,[11]PRIORIZADOS!$A:$L,12,FALSE)),"")</f>
        <v>BEPCI YADIRA MINA ZAPATA</v>
      </c>
      <c r="M1521" s="71">
        <f>IFERROR(IF(VLOOKUP(A1521,[11]PRIORIZADOS!$A:$M,13,FALSE)="","",VLOOKUP(A1521,[11]PRIORIZADOS!$A:$M,13,FALSE)),"")</f>
        <v>45742</v>
      </c>
      <c r="N1521" s="71">
        <f>IFERROR(IF(VLOOKUP(A1521,[11]PRIORIZADOS!$A:$N,14,FALSE)="","",VLOOKUP(A1521,[11]PRIORIZADOS!$A:$N,14,FALSE)),"")</f>
        <v>45743</v>
      </c>
      <c r="O1521" s="71">
        <f>IFERROR(IF(VLOOKUP(A1521,[11]PRIORIZADOS!$A:$O,15,FALSE)="","",VLOOKUP(A1521,[11]PRIORIZADOS!$A:$O,15,FALSE)),"")</f>
        <v>45743</v>
      </c>
      <c r="P1521" s="11" t="str">
        <f>IFERROR(IF(VLOOKUP(A1521,[11]PRIORIZADOS!$A:$P,16,FALSE)="","",VLOOKUP(A1521,[11]PRIORIZADOS!$A:$P,16,FALSE)),"")</f>
        <v>Visitas de evaluación con fines de mejoramiento</v>
      </c>
      <c r="Q1521" s="107" t="s">
        <v>359</v>
      </c>
      <c r="R1521" s="11" t="str">
        <f>IFERROR(IF(VLOOKUP(A1521,[11]PRIORIZADOS!$A:$R,18,FALSE)="","",VLOOKUP(A1521,[11]PRIORIZADOS!$A:$R,18,FALSE)),"")</f>
        <v>No se evidencia participación de la comunidad en la revisión del SIE para realizar los respectivos ajustes o actualizaciones.</v>
      </c>
      <c r="S1521" s="11" t="str">
        <f>IFERROR(IF(VLOOKUP(A1521,[11]PRIORIZADOS!$A:$S,19,FALSE)="","",VLOOKUP(A1521,[11]PRIORIZADOS!$A:$S,19,FALSE)),"")</f>
        <v>Realizar ajustes al SIEE con la participación del gobierno escolar. Presentar plan de mejoramiento el 30 de abril de 2025</v>
      </c>
      <c r="T1521" s="70" t="str">
        <f>IFERROR(IF(VLOOKUP(A1521,[11]PRIORIZADOS!$A:$T,20,FALSE)="","",VLOOKUP(A1521,[11]PRIORIZADOS!$A:$T,20,FALSE)),"")</f>
        <v>Si</v>
      </c>
      <c r="U1521" s="11" t="str">
        <f>IFERROR(IF(VLOOKUP(A1521,[11]PRIORIZADOS!$A:$U,21,FALSE)="","",VLOOKUP(A1521,[11]PRIORIZADOS!$A:$U,21,FALSE)),"")</f>
        <v>Revisar PM y verificar que se ajuste a las observaciones realizadas.</v>
      </c>
    </row>
    <row r="1522" spans="1:21" s="1" customFormat="1" ht="60">
      <c r="A1522" s="69">
        <f>IF([11]PRIORIZADOS!A33="","",[11]PRIORIZADOS!A33)</f>
        <v>1488</v>
      </c>
      <c r="B1522" s="70">
        <v>3</v>
      </c>
      <c r="C1522" s="11" t="str">
        <f>IFERROR(IF(VLOOKUP(A1522,[11]PRIORIZADOS!$A:$C,3,FALSE)="","",VLOOKUP(A1522,[11]PRIORIZADOS!$A:$C,3,FALSE)),"")</f>
        <v>RAFAEL URIBE URIBE</v>
      </c>
      <c r="D1522" s="11" t="str">
        <f>IFERROR(IF(VLOOKUP(A1522,[11]PRIORIZADOS!$A:$D,4,FALSE)="","",VLOOKUP(A1522,[11]PRIORIZADOS!$A:$D,4,FALSE)),"")</f>
        <v>PRIVADO</v>
      </c>
      <c r="E1522" s="11" t="str">
        <f>IFERROR(IF(VLOOKUP(A1522,[11]PRIORIZADOS!$A:$E,5,FALSE)="","",VLOOKUP(A1522,[11]PRIORIZADOS!$A:$E,5,FALSE)),"")</f>
        <v>EPBM</v>
      </c>
      <c r="F1522" s="11" t="str">
        <f>IFERROR(IF(VLOOKUP(A1522,[11]PRIORIZADOS!$A:$F,6,FALSE)="","",VLOOKUP(A1522,[11]PRIORIZADOS!$A:$F,6,FALSE)),"")</f>
        <v>COLEGIO_DE_ADMINISTRACION_ROBERT_OWEN</v>
      </c>
      <c r="G1522" s="11" t="str">
        <f>IFERROR(IF(VLOOKUP(A1522,[11]PRIORIZADOS!$A:$G,7,FALSE)="","",VLOOKUP(A1522,[11]PRIORIZADOS!$A:$G,7,FALSE)),"")</f>
        <v>COLEGIO_DE_ADMINISTRACION_ROBERT_OWEN</v>
      </c>
      <c r="H1522" s="11" t="str">
        <f>IFERROR(IF(VLOOKUP(A1522,[11]PRIORIZADOS!$A:$H,8,FALSE)="","",VLOOKUP(A1522,[11]PRIORIZADOS!$A:$H,8,FALSE)),"")</f>
        <v>Autoevaluación Institucional y Pruebas SABER 11</v>
      </c>
      <c r="I1522" s="11" t="str">
        <f>IFERROR(IF(VLOOKUP(A1522,[11]PRIORIZADOS!$A:$I,9,FALSE)="","",VLOOKUP(A1522,[11]PRIORIZADOS!$A:$I,9,FALSE)),"")</f>
        <v>EVALUACIÓN_CON_FINES_DE_MEJORAMIENTO.</v>
      </c>
      <c r="J1522" s="11" t="str">
        <f>IFERROR(IF(VLOOKUP(A1522,[11]PRIORIZADOS!$A:$J,10,FALSE)="","",VLOOKUP(A1522,[11]PRIORIZADOS!$A:$J,10,FALSE)),"")</f>
        <v>Revisar el calendario escolar, jornada escolar, la intensidad horaria mínima anual en cada nivel y las modificaciones que se realicen al mismo, de acuerdo con lo previsto en la normatividad vigente.</v>
      </c>
      <c r="K1522" s="11" t="str">
        <f>IFERROR(IF(VLOOKUP(A1522,[11]PRIORIZADOS!$A:$K,11,FALSE)="","",VLOOKUP(A1522,[11]PRIORIZADOS!$A:$K,11,FALSE)),"")</f>
        <v>ALEJANDRA JOHANA BALAGUERA CASAS</v>
      </c>
      <c r="L1522" s="11" t="str">
        <f>IFERROR(IF(VLOOKUP(A1522,[11]PRIORIZADOS!$A:$L,12,FALSE)="","",VLOOKUP(A1522,[11]PRIORIZADOS!$A:$L,12,FALSE)),"")</f>
        <v>BEPCI YADIRA MINA ZAPATA</v>
      </c>
      <c r="M1522" s="71">
        <f>IFERROR(IF(VLOOKUP(A1522,[11]PRIORIZADOS!$A:$M,13,FALSE)="","",VLOOKUP(A1522,[11]PRIORIZADOS!$A:$M,13,FALSE)),"")</f>
        <v>45742</v>
      </c>
      <c r="N1522" s="71">
        <f>IFERROR(IF(VLOOKUP(A1522,[11]PRIORIZADOS!$A:$N,14,FALSE)="","",VLOOKUP(A1522,[11]PRIORIZADOS!$A:$N,14,FALSE)),"")</f>
        <v>45743</v>
      </c>
      <c r="O1522" s="71">
        <f>IFERROR(IF(VLOOKUP(A1522,[11]PRIORIZADOS!$A:$O,15,FALSE)="","",VLOOKUP(A1522,[11]PRIORIZADOS!$A:$O,15,FALSE)),"")</f>
        <v>45743</v>
      </c>
      <c r="P1522" s="11" t="str">
        <f>IFERROR(IF(VLOOKUP(A1522,[11]PRIORIZADOS!$A:$P,16,FALSE)="","",VLOOKUP(A1522,[11]PRIORIZADOS!$A:$P,16,FALSE)),"")</f>
        <v>Visitas de evaluación con fines de mejoramiento</v>
      </c>
      <c r="Q1522" s="107" t="s">
        <v>359</v>
      </c>
      <c r="R1522" s="11" t="str">
        <f>IFERROR(IF(VLOOKUP(A1522,[11]PRIORIZADOS!$A:$R,18,FALSE)="","",VLOOKUP(A1522,[11]PRIORIZADOS!$A:$R,18,FALSE)),"")</f>
        <v>No se encuentra calendario académico</v>
      </c>
      <c r="S1522" s="11" t="str">
        <f>IFERROR(IF(VLOOKUP(A1522,[11]PRIORIZADOS!$A:$S,19,FALSE)="","",VLOOKUP(A1522,[11]PRIORIZADOS!$A:$S,19,FALSE)),"")</f>
        <v>Establecer el calendario academico y debe garantizar el cumplimiento a la intensidad horaria en los diferentes niveles.La institución debe presentar plan de mejoramiento el 30 de abril de 2025</v>
      </c>
      <c r="T1522" s="70" t="str">
        <f>IFERROR(IF(VLOOKUP(A1522,[11]PRIORIZADOS!$A:$T,20,FALSE)="","",VLOOKUP(A1522,[11]PRIORIZADOS!$A:$T,20,FALSE)),"")</f>
        <v>Si</v>
      </c>
      <c r="U1522" s="11" t="str">
        <f>IFERROR(IF(VLOOKUP(A1522,[11]PRIORIZADOS!$A:$U,21,FALSE)="","",VLOOKUP(A1522,[11]PRIORIZADOS!$A:$U,21,FALSE)),"")</f>
        <v>Revisar PM y verificar que se ajuste a las observaciones realizadas.</v>
      </c>
    </row>
    <row r="1523" spans="1:21" s="1" customFormat="1" ht="48">
      <c r="A1523" s="69">
        <f>IF([11]PRIORIZADOS!A34="","",[11]PRIORIZADOS!A34)</f>
        <v>1489</v>
      </c>
      <c r="B1523" s="70">
        <v>3</v>
      </c>
      <c r="C1523" s="11" t="str">
        <f>IFERROR(IF(VLOOKUP(A1523,[11]PRIORIZADOS!$A:$C,3,FALSE)="","",VLOOKUP(A1523,[11]PRIORIZADOS!$A:$C,3,FALSE)),"")</f>
        <v>RAFAEL URIBE URIBE</v>
      </c>
      <c r="D1523" s="11" t="str">
        <f>IFERROR(IF(VLOOKUP(A1523,[11]PRIORIZADOS!$A:$D,4,FALSE)="","",VLOOKUP(A1523,[11]PRIORIZADOS!$A:$D,4,FALSE)),"")</f>
        <v>PRIVADO</v>
      </c>
      <c r="E1523" s="11" t="str">
        <f>IFERROR(IF(VLOOKUP(A1523,[11]PRIORIZADOS!$A:$E,5,FALSE)="","",VLOOKUP(A1523,[11]PRIORIZADOS!$A:$E,5,FALSE)),"")</f>
        <v>EPBM</v>
      </c>
      <c r="F1523" s="11" t="str">
        <f>IFERROR(IF(VLOOKUP(A1523,[11]PRIORIZADOS!$A:$F,6,FALSE)="","",VLOOKUP(A1523,[11]PRIORIZADOS!$A:$F,6,FALSE)),"")</f>
        <v>COLEGIO_DE_ADMINISTRACION_ROBERT_OWEN</v>
      </c>
      <c r="G1523" s="11" t="str">
        <f>IFERROR(IF(VLOOKUP(A1523,[11]PRIORIZADOS!$A:$G,7,FALSE)="","",VLOOKUP(A1523,[11]PRIORIZADOS!$A:$G,7,FALSE)),"")</f>
        <v>COLEGIO_DE_ADMINISTRACION_ROBERT_OWEN</v>
      </c>
      <c r="H1523" s="11" t="str">
        <f>IFERROR(IF(VLOOKUP(A1523,[11]PRIORIZADOS!$A:$H,8,FALSE)="","",VLOOKUP(A1523,[11]PRIORIZADOS!$A:$H,8,FALSE)),"")</f>
        <v>Autoevaluación Institucional y Pruebas SABER 11</v>
      </c>
      <c r="I1523" s="11" t="str">
        <f>IFERROR(IF(VLOOKUP(A1523,[11]PRIORIZADOS!$A:$I,9,FALSE)="","",VLOOKUP(A1523,[11]PRIORIZADOS!$A:$I,9,FALSE)),"")</f>
        <v>EVALUACIÓN_CON_FINES_DE_MEJORAMIENTO.</v>
      </c>
      <c r="J1523" s="11" t="str">
        <f>IFERROR(IF(VLOOKUP(A1523,[11]PRIORIZADOS!$A:$J,10,FALSE)="","",VLOOKUP(A1523,[11]PRIORIZADOS!$A:$J,10,FALSE)),"")</f>
        <v>Verificar el funcionamiento del Gobierno Escolar e instancias de participación con base en la información sobre conformación reportada por la institución educativa.</v>
      </c>
      <c r="K1523" s="11" t="str">
        <f>IFERROR(IF(VLOOKUP(A1523,[11]PRIORIZADOS!$A:$K,11,FALSE)="","",VLOOKUP(A1523,[11]PRIORIZADOS!$A:$K,11,FALSE)),"")</f>
        <v>ALEJANDRA JOHANA BALAGUERA CASAS</v>
      </c>
      <c r="L1523" s="11" t="str">
        <f>IFERROR(IF(VLOOKUP(A1523,[11]PRIORIZADOS!$A:$L,12,FALSE)="","",VLOOKUP(A1523,[11]PRIORIZADOS!$A:$L,12,FALSE)),"")</f>
        <v>BEPCI YADIRA MINA ZAPATA</v>
      </c>
      <c r="M1523" s="71">
        <f>IFERROR(IF(VLOOKUP(A1523,[11]PRIORIZADOS!$A:$M,13,FALSE)="","",VLOOKUP(A1523,[11]PRIORIZADOS!$A:$M,13,FALSE)),"")</f>
        <v>45742</v>
      </c>
      <c r="N1523" s="71">
        <f>IFERROR(IF(VLOOKUP(A1523,[11]PRIORIZADOS!$A:$N,14,FALSE)="","",VLOOKUP(A1523,[11]PRIORIZADOS!$A:$N,14,FALSE)),"")</f>
        <v>45743</v>
      </c>
      <c r="O1523" s="71">
        <f>IFERROR(IF(VLOOKUP(A1523,[11]PRIORIZADOS!$A:$O,15,FALSE)="","",VLOOKUP(A1523,[11]PRIORIZADOS!$A:$O,15,FALSE)),"")</f>
        <v>45743</v>
      </c>
      <c r="P1523" s="11" t="str">
        <f>IFERROR(IF(VLOOKUP(A1523,[11]PRIORIZADOS!$A:$P,16,FALSE)="","",VLOOKUP(A1523,[11]PRIORIZADOS!$A:$P,16,FALSE)),"")</f>
        <v>Visitas de evaluación con fines de mejoramiento</v>
      </c>
      <c r="Q1523" s="107" t="s">
        <v>359</v>
      </c>
      <c r="R1523" s="11" t="str">
        <f>IFERROR(IF(VLOOKUP(A1523,[11]PRIORIZADOS!$A:$R,18,FALSE)="","",VLOOKUP(A1523,[11]PRIORIZADOS!$A:$R,18,FALSE)),"")</f>
        <v>No se evidencian actas de funcionamiento de Gobierno Escolar</v>
      </c>
      <c r="S1523" s="11" t="str">
        <f>IFERROR(IF(VLOOKUP(A1523,[11]PRIORIZADOS!$A:$S,19,FALSE)="","",VLOOKUP(A1523,[11]PRIORIZADOS!$A:$S,19,FALSE)),"")</f>
        <v>Generar los espacios para el funcionamiento del gobierno escolar con sus respectivas actas. Presentar plan de mejoramiento el 30 de abril de 2025</v>
      </c>
      <c r="T1523" s="70" t="str">
        <f>IFERROR(IF(VLOOKUP(A1523,[11]PRIORIZADOS!$A:$T,20,FALSE)="","",VLOOKUP(A1523,[11]PRIORIZADOS!$A:$T,20,FALSE)),"")</f>
        <v>Si</v>
      </c>
      <c r="U1523" s="11" t="str">
        <f>IFERROR(IF(VLOOKUP(A1523,[11]PRIORIZADOS!$A:$U,21,FALSE)="","",VLOOKUP(A1523,[11]PRIORIZADOS!$A:$U,21,FALSE)),"")</f>
        <v>Revisar PM y verificar que se ajuste a las observaciones realizadas.</v>
      </c>
    </row>
    <row r="1524" spans="1:21" s="1" customFormat="1" ht="48">
      <c r="A1524" s="69">
        <f>IF([11]PRIORIZADOS!A35="","",[11]PRIORIZADOS!A35)</f>
        <v>1490</v>
      </c>
      <c r="B1524" s="70">
        <v>3</v>
      </c>
      <c r="C1524" s="11" t="str">
        <f>IFERROR(IF(VLOOKUP(A1524,[11]PRIORIZADOS!$A:$C,3,FALSE)="","",VLOOKUP(A1524,[11]PRIORIZADOS!$A:$C,3,FALSE)),"")</f>
        <v>RAFAEL URIBE URIBE</v>
      </c>
      <c r="D1524" s="11" t="str">
        <f>IFERROR(IF(VLOOKUP(A1524,[11]PRIORIZADOS!$A:$D,4,FALSE)="","",VLOOKUP(A1524,[11]PRIORIZADOS!$A:$D,4,FALSE)),"")</f>
        <v>PRIVADO</v>
      </c>
      <c r="E1524" s="11" t="str">
        <f>IFERROR(IF(VLOOKUP(A1524,[11]PRIORIZADOS!$A:$E,5,FALSE)="","",VLOOKUP(A1524,[11]PRIORIZADOS!$A:$E,5,FALSE)),"")</f>
        <v>EPBM</v>
      </c>
      <c r="F1524" s="11" t="str">
        <f>IFERROR(IF(VLOOKUP(A1524,[11]PRIORIZADOS!$A:$F,6,FALSE)="","",VLOOKUP(A1524,[11]PRIORIZADOS!$A:$F,6,FALSE)),"")</f>
        <v>COLEGIO_DE_ADMINISTRACION_ROBERT_OWEN</v>
      </c>
      <c r="G1524" s="11" t="str">
        <f>IFERROR(IF(VLOOKUP(A1524,[11]PRIORIZADOS!$A:$G,7,FALSE)="","",VLOOKUP(A1524,[11]PRIORIZADOS!$A:$G,7,FALSE)),"")</f>
        <v>COLEGIO_DE_ADMINISTRACION_ROBERT_OWEN</v>
      </c>
      <c r="H1524" s="11" t="str">
        <f>IFERROR(IF(VLOOKUP(A1524,[11]PRIORIZADOS!$A:$H,8,FALSE)="","",VLOOKUP(A1524,[11]PRIORIZADOS!$A:$H,8,FALSE)),"")</f>
        <v>Autoevaluación Institucional y Pruebas SABER 11</v>
      </c>
      <c r="I1524" s="11" t="str">
        <f>IFERROR(IF(VLOOKUP(A1524,[11]PRIORIZADOS!$A:$I,9,FALSE)="","",VLOOKUP(A1524,[11]PRIORIZADOS!$A:$I,9,FALSE)),"")</f>
        <v>EVALUACIÓN_CON_FINES_DE_MEJORAMIENTO.</v>
      </c>
      <c r="J1524" s="11" t="str">
        <f>IFERROR(IF(VLOOKUP(A1524,[11]PRIORIZADOS!$A:$J,10,FALSE)="","",VLOOKUP(A1524,[11]PRIORIZADOS!$A:$J,10,FALSE)),"")</f>
        <v>Verificar las condiciones en cuanto a: la estructura administrativa, condiciones de la planta física y medios educativos adecuados.</v>
      </c>
      <c r="K1524" s="11" t="str">
        <f>IFERROR(IF(VLOOKUP(A1524,[11]PRIORIZADOS!$A:$K,11,FALSE)="","",VLOOKUP(A1524,[11]PRIORIZADOS!$A:$K,11,FALSE)),"")</f>
        <v>ALEJANDRA JOHANA BALAGUERA CASAS</v>
      </c>
      <c r="L1524" s="11" t="str">
        <f>IFERROR(IF(VLOOKUP(A1524,[11]PRIORIZADOS!$A:$L,12,FALSE)="","",VLOOKUP(A1524,[11]PRIORIZADOS!$A:$L,12,FALSE)),"")</f>
        <v>BEPCI YADIRA MINA ZAPATA</v>
      </c>
      <c r="M1524" s="71">
        <f>IFERROR(IF(VLOOKUP(A1524,[11]PRIORIZADOS!$A:$M,13,FALSE)="","",VLOOKUP(A1524,[11]PRIORIZADOS!$A:$M,13,FALSE)),"")</f>
        <v>45742</v>
      </c>
      <c r="N1524" s="71">
        <f>IFERROR(IF(VLOOKUP(A1524,[11]PRIORIZADOS!$A:$N,14,FALSE)="","",VLOOKUP(A1524,[11]PRIORIZADOS!$A:$N,14,FALSE)),"")</f>
        <v>45743</v>
      </c>
      <c r="O1524" s="71">
        <f>IFERROR(IF(VLOOKUP(A1524,[11]PRIORIZADOS!$A:$O,15,FALSE)="","",VLOOKUP(A1524,[11]PRIORIZADOS!$A:$O,15,FALSE)),"")</f>
        <v>45743</v>
      </c>
      <c r="P1524" s="11" t="str">
        <f>IFERROR(IF(VLOOKUP(A1524,[11]PRIORIZADOS!$A:$P,16,FALSE)="","",VLOOKUP(A1524,[11]PRIORIZADOS!$A:$P,16,FALSE)),"")</f>
        <v>Visitas de evaluación con fines de mejoramiento</v>
      </c>
      <c r="Q1524" s="107" t="s">
        <v>359</v>
      </c>
      <c r="R1524" s="11" t="str">
        <f>IFERROR(IF(VLOOKUP(A1524,[11]PRIORIZADOS!$A:$R,18,FALSE)="","",VLOOKUP(A1524,[11]PRIORIZADOS!$A:$R,18,FALSE)),"")</f>
        <v xml:space="preserve">Se evidencia un posible hacinamiento de estudiantes en las aulas, se observa que no hay laboratorio, ni biblioteca. </v>
      </c>
      <c r="S1524" s="11" t="str">
        <f>IFERROR(IF(VLOOKUP(A1524,[11]PRIORIZADOS!$A:$S,19,FALSE)="","",VLOOKUP(A1524,[11]PRIORIZADOS!$A:$S,19,FALSE)),"")</f>
        <v>Buscar estrategias que perminan subsanar los inconvenientes con la planta física La institución debe presentar plan de mejoramiento el 30 de abril de 2025</v>
      </c>
      <c r="T1524" s="70" t="str">
        <f>IFERROR(IF(VLOOKUP(A1524,[11]PRIORIZADOS!$A:$T,20,FALSE)="","",VLOOKUP(A1524,[11]PRIORIZADOS!$A:$T,20,FALSE)),"")</f>
        <v>Si</v>
      </c>
      <c r="U1524" s="11" t="str">
        <f>IFERROR(IF(VLOOKUP(A1524,[11]PRIORIZADOS!$A:$U,21,FALSE)="","",VLOOKUP(A1524,[11]PRIORIZADOS!$A:$U,21,FALSE)),"")</f>
        <v>Revisar PM y verificar que se ajuste a las observaciones realizadas.</v>
      </c>
    </row>
    <row r="1525" spans="1:21" s="1" customFormat="1" ht="48">
      <c r="A1525" s="69">
        <f>IF([11]PRIORIZADOS!A36="","",[11]PRIORIZADOS!A36)</f>
        <v>1491</v>
      </c>
      <c r="B1525" s="70">
        <f>IFERROR(IF(VLOOKUP(A1525,[11]PRIORIZADOS!$A:$B,2,FALSE)="","",VLOOKUP(A1525,[11]PRIORIZADOS!$A:$B,2,FALSE)),"")</f>
        <v>4</v>
      </c>
      <c r="C1525" s="11" t="str">
        <f>IFERROR(IF(VLOOKUP(A1525,[11]PRIORIZADOS!$A:$C,3,FALSE)="","",VLOOKUP(A1525,[11]PRIORIZADOS!$A:$C,3,FALSE)),"")</f>
        <v>RAFAEL URIBE URIBE</v>
      </c>
      <c r="D1525" s="11" t="str">
        <f>IFERROR(IF(VLOOKUP(A1525,[11]PRIORIZADOS!$A:$D,4,FALSE)="","",VLOOKUP(A1525,[11]PRIORIZADOS!$A:$D,4,FALSE)),"")</f>
        <v>PRIVADO</v>
      </c>
      <c r="E1525" s="11" t="str">
        <f>IFERROR(IF(VLOOKUP(A1525,[11]PRIORIZADOS!$A:$E,5,FALSE)="","",VLOOKUP(A1525,[11]PRIORIZADOS!$A:$E,5,FALSE)),"")</f>
        <v>EPBM</v>
      </c>
      <c r="F1525" s="11" t="str">
        <f>IFERROR(IF(VLOOKUP(A1525,[11]PRIORIZADOS!$A:$F,6,FALSE)="","",VLOOKUP(A1525,[11]PRIORIZADOS!$A:$F,6,FALSE)),"")</f>
        <v>NUEVO_LICEO_SANTA_CLARA</v>
      </c>
      <c r="G1525" s="11" t="str">
        <f>IFERROR(IF(VLOOKUP(A1525,[11]PRIORIZADOS!$A:$G,7,FALSE)="","",VLOOKUP(A1525,[11]PRIORIZADOS!$A:$G,7,FALSE)),"")</f>
        <v>NUEVO_LICEO_SANTA_CLARA</v>
      </c>
      <c r="H1525" s="11" t="str">
        <f>IFERROR(IF(VLOOKUP(A1525,[11]PRIORIZADOS!$A:$H,8,FALSE)="","",VLOOKUP(A1525,[11]PRIORIZADOS!$A:$H,8,FALSE)),"")</f>
        <v>Autoevaluación Institucional y Pruebas SABER 11</v>
      </c>
      <c r="I1525" s="11" t="str">
        <f>IFERROR(IF(VLOOKUP(A1525,[11]PRIORIZADOS!$A:$I,9,FALSE)="","",VLOOKUP(A1525,[11]PRIORIZADOS!$A:$I,9,FALSE)),"")</f>
        <v>SEGUIMIENTO_Y_SUPERVISIÓN.</v>
      </c>
      <c r="J1525" s="11" t="str">
        <f>IFERROR(IF(VLOOKUP(A1525,[11]PRIORIZADOS!$A:$J,10,FALSE)="","",VLOOKUP(A1525,[11]PRIORIZADOS!$A:$J,10,FALSE)),"")</f>
        <v>Realizar visitas para verificar la información registrada sobre la autoevaluación institucional en el aplicativo EVI, a los establecimientos de educación formal no oficial.</v>
      </c>
      <c r="K1525" s="11" t="str">
        <f>IFERROR(IF(VLOOKUP(A1525,[11]PRIORIZADOS!$A:$K,11,FALSE)="","",VLOOKUP(A1525,[11]PRIORIZADOS!$A:$K,11,FALSE)),"")</f>
        <v>BEPCI YADIRA MINA ZAPATA</v>
      </c>
      <c r="L1525" s="11" t="str">
        <f>IFERROR(IF(VLOOKUP(A1525,[11]PRIORIZADOS!$A:$L,12,FALSE)="","",VLOOKUP(A1525,[11]PRIORIZADOS!$A:$L,12,FALSE)),"")</f>
        <v>DORY CONSTANZA SANCHEZ ARAGÓN</v>
      </c>
      <c r="M1525" s="71">
        <f>IFERROR(IF(VLOOKUP(A1525,[11]PRIORIZADOS!$A:$M,13,FALSE)="","",VLOOKUP(A1525,[11]PRIORIZADOS!$A:$M,13,FALSE)),"")</f>
        <v>45748</v>
      </c>
      <c r="N1525" s="71">
        <f>IFERROR(IF(VLOOKUP(A1525,[11]PRIORIZADOS!$A:$N,14,FALSE)="","",VLOOKUP(A1525,[11]PRIORIZADOS!$A:$N,14,FALSE)),"")</f>
        <v>45748</v>
      </c>
      <c r="O1525" s="71">
        <f>IFERROR(IF(VLOOKUP(A1525,[11]PRIORIZADOS!$A:$O,15,FALSE)="","",VLOOKUP(A1525,[11]PRIORIZADOS!$A:$O,15,FALSE)),"")</f>
        <v>45748</v>
      </c>
      <c r="P1525" s="11" t="str">
        <f>IFERROR(IF(VLOOKUP(A1525,[11]PRIORIZADOS!$A:$P,16,FALSE)="","",VLOOKUP(A1525,[11]PRIORIZADOS!$A:$P,16,FALSE)),"")</f>
        <v>Visitas de evaluación con fines de mejoramiento</v>
      </c>
      <c r="Q1525" s="107" t="s">
        <v>360</v>
      </c>
      <c r="R1525" s="11" t="str">
        <f>IFERROR(IF(VLOOKUP(A1525,[11]PRIORIZADOS!$A:$R,18,FALSE)="","",VLOOKUP(A1525,[11]PRIORIZADOS!$A:$R,18,FALSE)),"")</f>
        <v>La rectora informa que tiene tercerizado el pago de seguridad social con una empresa. No cuenta con soporte de los pagos.</v>
      </c>
      <c r="S1525" s="11" t="str">
        <f>IFERROR(IF(VLOOKUP(A1525,[11]PRIORIZADOS!$A:$S,19,FALSE)="","",VLOOKUP(A1525,[11]PRIORIZADOS!$A:$S,19,FALSE)),"")</f>
        <v>Realizar contratos y pago de seguridad social a los docentes. Presentar plan de mejoramiento el 25 de abril de 2025</v>
      </c>
      <c r="T1525" s="70" t="str">
        <f>IFERROR(IF(VLOOKUP(A1525,[11]PRIORIZADOS!$A:$T,20,FALSE)="","",VLOOKUP(A1525,[11]PRIORIZADOS!$A:$T,20,FALSE)),"")</f>
        <v>Si</v>
      </c>
      <c r="U1525" s="11" t="str">
        <f>IFERROR(IF(VLOOKUP(A1525,[11]PRIORIZADOS!$A:$U,21,FALSE)="","",VLOOKUP(A1525,[11]PRIORIZADOS!$A:$U,21,FALSE)),"")</f>
        <v>Revisar PM y verificar que se ajuste a las observaciones realizadas.</v>
      </c>
    </row>
    <row r="1526" spans="1:21" s="1" customFormat="1" ht="84">
      <c r="A1526" s="69">
        <f>IF([11]PRIORIZADOS!A37="","",[11]PRIORIZADOS!A37)</f>
        <v>1492</v>
      </c>
      <c r="B1526" s="70">
        <v>4</v>
      </c>
      <c r="C1526" s="11" t="str">
        <f>IFERROR(IF(VLOOKUP(A1526,[11]PRIORIZADOS!$A:$C,3,FALSE)="","",VLOOKUP(A1526,[11]PRIORIZADOS!$A:$C,3,FALSE)),"")</f>
        <v>RAFAEL URIBE URIBE</v>
      </c>
      <c r="D1526" s="11" t="str">
        <f>IFERROR(IF(VLOOKUP(A1526,[11]PRIORIZADOS!$A:$D,4,FALSE)="","",VLOOKUP(A1526,[11]PRIORIZADOS!$A:$D,4,FALSE)),"")</f>
        <v>PRIVADO</v>
      </c>
      <c r="E1526" s="11" t="str">
        <f>IFERROR(IF(VLOOKUP(A1526,[11]PRIORIZADOS!$A:$E,5,FALSE)="","",VLOOKUP(A1526,[11]PRIORIZADOS!$A:$E,5,FALSE)),"")</f>
        <v>EPBM</v>
      </c>
      <c r="F1526" s="11" t="str">
        <f>IFERROR(IF(VLOOKUP(A1526,[11]PRIORIZADOS!$A:$F,6,FALSE)="","",VLOOKUP(A1526,[11]PRIORIZADOS!$A:$F,6,FALSE)),"")</f>
        <v>NUEVO_LICEO_SANTA_CLARA</v>
      </c>
      <c r="G1526" s="11" t="str">
        <f>IFERROR(IF(VLOOKUP(A1526,[11]PRIORIZADOS!$A:$G,7,FALSE)="","",VLOOKUP(A1526,[11]PRIORIZADOS!$A:$G,7,FALSE)),"")</f>
        <v>NUEVO_LICEO_SANTA_CLARA</v>
      </c>
      <c r="H1526" s="11" t="str">
        <f>IFERROR(IF(VLOOKUP(A1526,[11]PRIORIZADOS!$A:$H,8,FALSE)="","",VLOOKUP(A1526,[11]PRIORIZADOS!$A:$H,8,FALSE)),"")</f>
        <v>Autoevaluación Institucional y Pruebas SABER 11</v>
      </c>
      <c r="I1526" s="11" t="str">
        <f>IFERROR(IF(VLOOKUP(A1526,[11]PRIORIZADOS!$A:$I,9,FALSE)="","",VLOOKUP(A1526,[11]PRIORIZADOS!$A:$I,9,FALSE)),"")</f>
        <v>SEGUIMIENTO_Y_SUPERVISIÓN.</v>
      </c>
      <c r="J1526" s="11" t="str">
        <f>IFERROR(IF(VLOOKUP(A1526,[11]PRIORIZADOS!$A:$J,10,FALSE)="","",VLOOKUP(A1526,[11]PRIORIZADOS!$A:$J,10,FALSE)),"")</f>
        <v>Proponer estrategias en la formulación, verificar su elaboración y realizar seguimiento semestral al desarrollo de  las acciones establecidas en los planes de mejoramiento por pruebas SABER 11 de los establecimientos de educación formal.</v>
      </c>
      <c r="K1526" s="11" t="str">
        <f>IFERROR(IF(VLOOKUP(A1526,[11]PRIORIZADOS!$A:$K,11,FALSE)="","",VLOOKUP(A1526,[11]PRIORIZADOS!$A:$K,11,FALSE)),"")</f>
        <v>BEPCI YADIRA MINA ZAPATA</v>
      </c>
      <c r="L1526" s="11" t="str">
        <f>IFERROR(IF(VLOOKUP(A1526,[11]PRIORIZADOS!$A:$L,12,FALSE)="","",VLOOKUP(A1526,[11]PRIORIZADOS!$A:$L,12,FALSE)),"")</f>
        <v>DORY CONSTANZA SANCHEZ ARAGÓN</v>
      </c>
      <c r="M1526" s="71">
        <f>IFERROR(IF(VLOOKUP(A1526,[11]PRIORIZADOS!$A:$M,13,FALSE)="","",VLOOKUP(A1526,[11]PRIORIZADOS!$A:$M,13,FALSE)),"")</f>
        <v>45748</v>
      </c>
      <c r="N1526" s="71">
        <f>IFERROR(IF(VLOOKUP(A1526,[11]PRIORIZADOS!$A:$N,14,FALSE)="","",VLOOKUP(A1526,[11]PRIORIZADOS!$A:$N,14,FALSE)),"")</f>
        <v>45748</v>
      </c>
      <c r="O1526" s="71">
        <f>IFERROR(IF(VLOOKUP(A1526,[11]PRIORIZADOS!$A:$O,15,FALSE)="","",VLOOKUP(A1526,[11]PRIORIZADOS!$A:$O,15,FALSE)),"")</f>
        <v>45748</v>
      </c>
      <c r="P1526" s="11" t="str">
        <f>IFERROR(IF(VLOOKUP(A1526,[11]PRIORIZADOS!$A:$P,16,FALSE)="","",VLOOKUP(A1526,[11]PRIORIZADOS!$A:$P,16,FALSE)),"")</f>
        <v>Visitas de evaluación con fines de mejoramiento</v>
      </c>
      <c r="Q1526" s="107" t="s">
        <v>360</v>
      </c>
      <c r="R1526" s="11" t="str">
        <f>IFERROR(IF(VLOOKUP(A1526,[11]PRIORIZADOS!$A:$R,18,FALSE)="","",VLOOKUP(A1526,[11]PRIORIZADOS!$A:$R,18,FALSE)),"")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26" s="11" t="str">
        <f>IFERROR(IF(VLOOKUP(A1526,[11]PRIORIZADOS!$A:$S,19,FALSE)="","",VLOOKUP(A1526,[11]PRIORIZADOS!$A:$S,19,FALSE)),"")</f>
        <v>Realizar analisis de las Pruebas Saber y establecer acciones pertinentes. Presentar plan de mejoramiento el 25 de abril de 2025</v>
      </c>
      <c r="T1526" s="70" t="str">
        <f>IFERROR(IF(VLOOKUP(A1526,[11]PRIORIZADOS!$A:$T,20,FALSE)="","",VLOOKUP(A1526,[11]PRIORIZADOS!$A:$T,20,FALSE)),"")</f>
        <v>Si</v>
      </c>
      <c r="U1526" s="11" t="str">
        <f>IFERROR(IF(VLOOKUP(A1526,[11]PRIORIZADOS!$A:$U,21,FALSE)="","",VLOOKUP(A1526,[11]PRIORIZADOS!$A:$U,21,FALSE)),"")</f>
        <v>Revisar PM y verificar que se ajuste a las observaciones realizadas.</v>
      </c>
    </row>
    <row r="1527" spans="1:21" s="1" customFormat="1" ht="72">
      <c r="A1527" s="69">
        <f>IF([11]PRIORIZADOS!A38="","",[11]PRIORIZADOS!A38)</f>
        <v>1493</v>
      </c>
      <c r="B1527" s="70">
        <v>4</v>
      </c>
      <c r="C1527" s="11" t="str">
        <f>IFERROR(IF(VLOOKUP(A1527,[11]PRIORIZADOS!$A:$C,3,FALSE)="","",VLOOKUP(A1527,[11]PRIORIZADOS!$A:$C,3,FALSE)),"")</f>
        <v>RAFAEL URIBE URIBE</v>
      </c>
      <c r="D1527" s="11" t="str">
        <f>IFERROR(IF(VLOOKUP(A1527,[11]PRIORIZADOS!$A:$D,4,FALSE)="","",VLOOKUP(A1527,[11]PRIORIZADOS!$A:$D,4,FALSE)),"")</f>
        <v>PRIVADO</v>
      </c>
      <c r="E1527" s="11" t="str">
        <f>IFERROR(IF(VLOOKUP(A1527,[11]PRIORIZADOS!$A:$E,5,FALSE)="","",VLOOKUP(A1527,[11]PRIORIZADOS!$A:$E,5,FALSE)),"")</f>
        <v>EPBM</v>
      </c>
      <c r="F1527" s="11" t="str">
        <f>IFERROR(IF(VLOOKUP(A1527,[11]PRIORIZADOS!$A:$F,6,FALSE)="","",VLOOKUP(A1527,[11]PRIORIZADOS!$A:$F,6,FALSE)),"")</f>
        <v>NUEVO_LICEO_SANTA_CLARA</v>
      </c>
      <c r="G1527" s="11" t="str">
        <f>IFERROR(IF(VLOOKUP(A1527,[11]PRIORIZADOS!$A:$G,7,FALSE)="","",VLOOKUP(A1527,[11]PRIORIZADOS!$A:$G,7,FALSE)),"")</f>
        <v>NUEVO_LICEO_SANTA_CLARA</v>
      </c>
      <c r="H1527" s="11" t="str">
        <f>IFERROR(IF(VLOOKUP(A1527,[11]PRIORIZADOS!$A:$H,8,FALSE)="","",VLOOKUP(A1527,[11]PRIORIZADOS!$A:$H,8,FALSE)),"")</f>
        <v>Autoevaluación Institucional y Pruebas SABER 11</v>
      </c>
      <c r="I1527" s="11" t="str">
        <f>IFERROR(IF(VLOOKUP(A1527,[11]PRIORIZADOS!$A:$I,9,FALSE)="","",VLOOKUP(A1527,[11]PRIORIZADOS!$A:$I,9,FALSE)),"")</f>
        <v>SEGUIMIENTO_Y_SUPERVISIÓN.</v>
      </c>
      <c r="J1527" s="11" t="str">
        <f>IFERROR(IF(VLOOKUP(A1527,[11]PRIORIZADOS!$A:$J,10,FALSE)="","",VLOOKUP(A1527,[11]PRIORIZADOS!$A:$J,10,FALSE)),"")</f>
        <v xml:space="preserve">Verificar la implementación por parte de los colegios, de acciones realizadas para la prevención y atención de las situaciones de convivencia en el entorno escolar, según lo establecido en la Directiva 01 de 2022 del MEN. </v>
      </c>
      <c r="K1527" s="11" t="str">
        <f>IFERROR(IF(VLOOKUP(A1527,[11]PRIORIZADOS!$A:$K,11,FALSE)="","",VLOOKUP(A1527,[11]PRIORIZADOS!$A:$K,11,FALSE)),"")</f>
        <v>BEPCI YADIRA MINA ZAPATA</v>
      </c>
      <c r="L1527" s="11" t="str">
        <f>IFERROR(IF(VLOOKUP(A1527,[11]PRIORIZADOS!$A:$L,12,FALSE)="","",VLOOKUP(A1527,[11]PRIORIZADOS!$A:$L,12,FALSE)),"")</f>
        <v>DORY CONSTANZA SANCHEZ ARAGÓN</v>
      </c>
      <c r="M1527" s="71">
        <f>IFERROR(IF(VLOOKUP(A1527,[11]PRIORIZADOS!$A:$M,13,FALSE)="","",VLOOKUP(A1527,[11]PRIORIZADOS!$A:$M,13,FALSE)),"")</f>
        <v>45748</v>
      </c>
      <c r="N1527" s="71">
        <f>IFERROR(IF(VLOOKUP(A1527,[11]PRIORIZADOS!$A:$N,14,FALSE)="","",VLOOKUP(A1527,[11]PRIORIZADOS!$A:$N,14,FALSE)),"")</f>
        <v>45748</v>
      </c>
      <c r="O1527" s="71">
        <f>IFERROR(IF(VLOOKUP(A1527,[11]PRIORIZADOS!$A:$O,15,FALSE)="","",VLOOKUP(A1527,[11]PRIORIZADOS!$A:$O,15,FALSE)),"")</f>
        <v>45748</v>
      </c>
      <c r="P1527" s="11" t="str">
        <f>IFERROR(IF(VLOOKUP(A1527,[11]PRIORIZADOS!$A:$P,16,FALSE)="","",VLOOKUP(A1527,[11]PRIORIZADOS!$A:$P,16,FALSE)),"")</f>
        <v>Visitas de evaluación con fines de mejoramiento</v>
      </c>
      <c r="Q1527" s="107" t="s">
        <v>360</v>
      </c>
      <c r="R1527" s="11" t="str">
        <f>IFERROR(IF(VLOOKUP(A1527,[11]PRIORIZADOS!$A:$R,18,FALSE)="","",VLOOKUP(A1527,[11]PRIORIZADOS!$A:$R,18,FALSE)),"")</f>
        <v>La institución no cuentan con actas donde se evidencie el funcionamiento del comité de convivencia escolar.
Cuenta con verificacion de inhabilidadades por delitos sexuales del 28 de marzo de 2025</v>
      </c>
      <c r="S1527" s="11" t="str">
        <f>IFERROR(IF(VLOOKUP(A1527,[11]PRIORIZADOS!$A:$S,19,FALSE)="","",VLOOKUP(A1527,[11]PRIORIZADOS!$A:$S,19,FALSE)),"")</f>
        <v>El comite cde convivencia se debe reunir cada 2 meses.
Se debe realizar verificación de antecedente cada 4 meses. Presentar plan de mejoramiento el 25 de abril de 2025</v>
      </c>
      <c r="T1527" s="70" t="str">
        <f>IFERROR(IF(VLOOKUP(A1527,[11]PRIORIZADOS!$A:$T,20,FALSE)="","",VLOOKUP(A1527,[11]PRIORIZADOS!$A:$T,20,FALSE)),"")</f>
        <v>Si</v>
      </c>
      <c r="U1527" s="11" t="str">
        <f>IFERROR(IF(VLOOKUP(A1527,[11]PRIORIZADOS!$A:$U,21,FALSE)="","",VLOOKUP(A1527,[11]PRIORIZADOS!$A:$U,21,FALSE)),"")</f>
        <v>Revisar PM y verificar que se ajuste a las observaciones realizadas.</v>
      </c>
    </row>
    <row r="1528" spans="1:21" s="1" customFormat="1" ht="72">
      <c r="A1528" s="69">
        <f>IF([11]PRIORIZADOS!A39="","",[11]PRIORIZADOS!A39)</f>
        <v>1494</v>
      </c>
      <c r="B1528" s="70">
        <v>4</v>
      </c>
      <c r="C1528" s="11" t="str">
        <f>IFERROR(IF(VLOOKUP(A1528,[11]PRIORIZADOS!$A:$C,3,FALSE)="","",VLOOKUP(A1528,[11]PRIORIZADOS!$A:$C,3,FALSE)),"")</f>
        <v>RAFAEL URIBE URIBE</v>
      </c>
      <c r="D1528" s="11" t="str">
        <f>IFERROR(IF(VLOOKUP(A1528,[11]PRIORIZADOS!$A:$D,4,FALSE)="","",VLOOKUP(A1528,[11]PRIORIZADOS!$A:$D,4,FALSE)),"")</f>
        <v>PRIVADO</v>
      </c>
      <c r="E1528" s="11" t="str">
        <f>IFERROR(IF(VLOOKUP(A1528,[11]PRIORIZADOS!$A:$E,5,FALSE)="","",VLOOKUP(A1528,[11]PRIORIZADOS!$A:$E,5,FALSE)),"")</f>
        <v>EPBM</v>
      </c>
      <c r="F1528" s="11" t="str">
        <f>IFERROR(IF(VLOOKUP(A1528,[11]PRIORIZADOS!$A:$F,6,FALSE)="","",VLOOKUP(A1528,[11]PRIORIZADOS!$A:$F,6,FALSE)),"")</f>
        <v>NUEVO_LICEO_SANTA_CLARA</v>
      </c>
      <c r="G1528" s="11" t="str">
        <f>IFERROR(IF(VLOOKUP(A1528,[11]PRIORIZADOS!$A:$G,7,FALSE)="","",VLOOKUP(A1528,[11]PRIORIZADOS!$A:$G,7,FALSE)),"")</f>
        <v>NUEVO_LICEO_SANTA_CLARA</v>
      </c>
      <c r="H1528" s="11" t="str">
        <f>IFERROR(IF(VLOOKUP(A1528,[11]PRIORIZADOS!$A:$H,8,FALSE)="","",VLOOKUP(A1528,[11]PRIORIZADOS!$A:$H,8,FALSE)),"")</f>
        <v>Autoevaluación Institucional y Pruebas SABER 11</v>
      </c>
      <c r="I1528" s="11" t="str">
        <f>IFERROR(IF(VLOOKUP(A1528,[11]PRIORIZADOS!$A:$I,9,FALSE)="","",VLOOKUP(A1528,[11]PRIORIZADOS!$A:$I,9,FALSE)),"")</f>
        <v>SEGUIMIENTO_Y_SUPERVISIÓN.</v>
      </c>
      <c r="J1528" s="11" t="str">
        <f>IFERROR(IF(VLOOKUP(A1528,[11]PRIORIZADOS!$A:$J,10,FALSE)="","",VLOOKUP(A1528,[11]PRIORIZADOS!$A:$J,10,FALSE)),"")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28" s="11" t="str">
        <f>IFERROR(IF(VLOOKUP(A1528,[11]PRIORIZADOS!$A:$K,11,FALSE)="","",VLOOKUP(A1528,[11]PRIORIZADOS!$A:$K,11,FALSE)),"")</f>
        <v>BEPCI YADIRA MINA ZAPATA</v>
      </c>
      <c r="L1528" s="11" t="str">
        <f>IFERROR(IF(VLOOKUP(A1528,[11]PRIORIZADOS!$A:$L,12,FALSE)="","",VLOOKUP(A1528,[11]PRIORIZADOS!$A:$L,12,FALSE)),"")</f>
        <v>DORY CONSTANZA SANCHEZ ARAGÓN</v>
      </c>
      <c r="M1528" s="71">
        <f>IFERROR(IF(VLOOKUP(A1528,[11]PRIORIZADOS!$A:$M,13,FALSE)="","",VLOOKUP(A1528,[11]PRIORIZADOS!$A:$M,13,FALSE)),"")</f>
        <v>45748</v>
      </c>
      <c r="N1528" s="71">
        <f>IFERROR(IF(VLOOKUP(A1528,[11]PRIORIZADOS!$A:$N,14,FALSE)="","",VLOOKUP(A1528,[11]PRIORIZADOS!$A:$N,14,FALSE)),"")</f>
        <v>45748</v>
      </c>
      <c r="O1528" s="71">
        <f>IFERROR(IF(VLOOKUP(A1528,[11]PRIORIZADOS!$A:$O,15,FALSE)="","",VLOOKUP(A1528,[11]PRIORIZADOS!$A:$O,15,FALSE)),"")</f>
        <v>45748</v>
      </c>
      <c r="P1528" s="11" t="str">
        <f>IFERROR(IF(VLOOKUP(A1528,[11]PRIORIZADOS!$A:$P,16,FALSE)="","",VLOOKUP(A1528,[11]PRIORIZADOS!$A:$P,16,FALSE)),"")</f>
        <v>Visitas de evaluación con fines de mejoramiento</v>
      </c>
      <c r="Q1528" s="107" t="s">
        <v>360</v>
      </c>
      <c r="R1528" s="11" t="str">
        <f>IFERROR(IF(VLOOKUP(A1528,[11]PRIORIZADOS!$A:$R,18,FALSE)="","",VLOOKUP(A1528,[11]PRIORIZADOS!$A:$R,18,FALSE)),"")</f>
        <v>El colegio tiene diseñado los PIAR, desde los formatos versión 1.4. Han adapatado las necesidades de los estudiantes, responden al desarrollo de sus habilidades cognitivas.</v>
      </c>
      <c r="S1528" s="11" t="str">
        <f>IFERROR(IF(VLOOKUP(A1528,[11]PRIORIZADOS!$A:$S,19,FALSE)="","",VLOOKUP(A1528,[11]PRIORIZADOS!$A:$S,19,FALSE)),"")</f>
        <v>Deben organizar y completar  las historias escolares de cada uno de los estudiates. Presentar plan de mejoramiento el 25 de abril de 2025</v>
      </c>
      <c r="T1528" s="70" t="str">
        <f>IFERROR(IF(VLOOKUP(A1528,[11]PRIORIZADOS!$A:$T,20,FALSE)="","",VLOOKUP(A1528,[11]PRIORIZADOS!$A:$T,20,FALSE)),"")</f>
        <v>Si</v>
      </c>
      <c r="U1528" s="11" t="str">
        <f>IFERROR(IF(VLOOKUP(A1528,[11]PRIORIZADOS!$A:$U,21,FALSE)="","",VLOOKUP(A1528,[11]PRIORIZADOS!$A:$U,21,FALSE)),"")</f>
        <v>Revisar PM y verificar que se ajuste a las observaciones realizadas.</v>
      </c>
    </row>
    <row r="1529" spans="1:21" s="1" customFormat="1" ht="84">
      <c r="A1529" s="69">
        <f>IF([11]PRIORIZADOS!A40="","",[11]PRIORIZADOS!A40)</f>
        <v>1495</v>
      </c>
      <c r="B1529" s="70">
        <v>4</v>
      </c>
      <c r="C1529" s="11" t="str">
        <f>IFERROR(IF(VLOOKUP(A1529,[11]PRIORIZADOS!$A:$C,3,FALSE)="","",VLOOKUP(A1529,[11]PRIORIZADOS!$A:$C,3,FALSE)),"")</f>
        <v>RAFAEL URIBE URIBE</v>
      </c>
      <c r="D1529" s="11" t="str">
        <f>IFERROR(IF(VLOOKUP(A1529,[11]PRIORIZADOS!$A:$D,4,FALSE)="","",VLOOKUP(A1529,[11]PRIORIZADOS!$A:$D,4,FALSE)),"")</f>
        <v>PRIVADO</v>
      </c>
      <c r="E1529" s="11" t="str">
        <f>IFERROR(IF(VLOOKUP(A1529,[11]PRIORIZADOS!$A:$E,5,FALSE)="","",VLOOKUP(A1529,[11]PRIORIZADOS!$A:$E,5,FALSE)),"")</f>
        <v>EPBM</v>
      </c>
      <c r="F1529" s="11" t="str">
        <f>IFERROR(IF(VLOOKUP(A1529,[11]PRIORIZADOS!$A:$F,6,FALSE)="","",VLOOKUP(A1529,[11]PRIORIZADOS!$A:$F,6,FALSE)),"")</f>
        <v>NUEVO_LICEO_SANTA_CLARA</v>
      </c>
      <c r="G1529" s="11" t="str">
        <f>IFERROR(IF(VLOOKUP(A1529,[11]PRIORIZADOS!$A:$G,7,FALSE)="","",VLOOKUP(A1529,[11]PRIORIZADOS!$A:$G,7,FALSE)),"")</f>
        <v>NUEVO_LICEO_SANTA_CLARA</v>
      </c>
      <c r="H1529" s="11" t="str">
        <f>IFERROR(IF(VLOOKUP(A1529,[11]PRIORIZADOS!$A:$H,8,FALSE)="","",VLOOKUP(A1529,[11]PRIORIZADOS!$A:$H,8,FALSE)),"")</f>
        <v>Autoevaluación Institucional y Pruebas SABER 11</v>
      </c>
      <c r="I1529" s="11" t="str">
        <f>IFERROR(IF(VLOOKUP(A1529,[11]PRIORIZADOS!$A:$I,9,FALSE)="","",VLOOKUP(A1529,[11]PRIORIZADOS!$A:$I,9,FALSE)),"")</f>
        <v>EVALUACIÓN_CON_FINES_DE_MEJORAMIENTO.</v>
      </c>
      <c r="J1529" s="11" t="str">
        <f>IFERROR(IF(VLOOKUP(A1529,[11]PRIORIZADOS!$A:$J,10,FALSE)="","",VLOOKUP(A1529,[11]PRIORIZADOS!$A:$J,10,FALSE)),"")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29" s="11" t="str">
        <f>IFERROR(IF(VLOOKUP(A1529,[11]PRIORIZADOS!$A:$K,11,FALSE)="","",VLOOKUP(A1529,[11]PRIORIZADOS!$A:$K,11,FALSE)),"")</f>
        <v>BEPCI YADIRA MINA ZAPATA</v>
      </c>
      <c r="L1529" s="11" t="str">
        <f>IFERROR(IF(VLOOKUP(A1529,[11]PRIORIZADOS!$A:$L,12,FALSE)="","",VLOOKUP(A1529,[11]PRIORIZADOS!$A:$L,12,FALSE)),"")</f>
        <v>DORY CONSTANZA SANCHEZ ARAGÓN</v>
      </c>
      <c r="M1529" s="71">
        <f>IFERROR(IF(VLOOKUP(A1529,[11]PRIORIZADOS!$A:$M,13,FALSE)="","",VLOOKUP(A1529,[11]PRIORIZADOS!$A:$M,13,FALSE)),"")</f>
        <v>45748</v>
      </c>
      <c r="N1529" s="71">
        <f>IFERROR(IF(VLOOKUP(A1529,[11]PRIORIZADOS!$A:$N,14,FALSE)="","",VLOOKUP(A1529,[11]PRIORIZADOS!$A:$N,14,FALSE)),"")</f>
        <v>45748</v>
      </c>
      <c r="O1529" s="71">
        <f>IFERROR(IF(VLOOKUP(A1529,[11]PRIORIZADOS!$A:$O,15,FALSE)="","",VLOOKUP(A1529,[11]PRIORIZADOS!$A:$O,15,FALSE)),"")</f>
        <v>45748</v>
      </c>
      <c r="P1529" s="11" t="str">
        <f>IFERROR(IF(VLOOKUP(A1529,[11]PRIORIZADOS!$A:$P,16,FALSE)="","",VLOOKUP(A1529,[11]PRIORIZADOS!$A:$P,16,FALSE)),"")</f>
        <v>Visitas de evaluación con fines de mejoramiento</v>
      </c>
      <c r="Q1529" s="107" t="s">
        <v>360</v>
      </c>
      <c r="R1529" s="11" t="str">
        <f>IFERROR(IF(VLOOKUP(A1529,[11]PRIORIZADOS!$A:$R,18,FALSE)="","",VLOOKUP(A1529,[11]PRIORIZADOS!$A:$R,18,FALSE)),"")</f>
        <v>No se evidencia aprobación del manual de convivencia, ya que no cuenta con actas de gobierno escolar.
No se encuentra actualizada y cumpliendo con la normatividad vigente</v>
      </c>
      <c r="S1529" s="11" t="str">
        <f>IFERROR(IF(VLOOKUP(A1529,[11]PRIORIZADOS!$A:$S,19,FALSE)="","",VLOOKUP(A1529,[11]PRIORIZADOS!$A:$S,19,FALSE)),"")</f>
        <v>La institución debe actualizar el manual de convivencia con participación del gobierno escolar. Presentar plan de mejoramiento el 25 de abril de 2025</v>
      </c>
      <c r="T1529" s="70" t="str">
        <f>IFERROR(IF(VLOOKUP(A1529,[11]PRIORIZADOS!$A:$T,20,FALSE)="","",VLOOKUP(A1529,[11]PRIORIZADOS!$A:$T,20,FALSE)),"")</f>
        <v>Si</v>
      </c>
      <c r="U1529" s="11" t="str">
        <f>IFERROR(IF(VLOOKUP(A1529,[11]PRIORIZADOS!$A:$U,21,FALSE)="","",VLOOKUP(A1529,[11]PRIORIZADOS!$A:$U,21,FALSE)),"")</f>
        <v>Revisar PM y verificar que se ajuste a las observaciones realizadas.</v>
      </c>
    </row>
    <row r="1530" spans="1:21" s="1" customFormat="1" ht="48">
      <c r="A1530" s="69">
        <f>IF([11]PRIORIZADOS!A41="","",[11]PRIORIZADOS!A41)</f>
        <v>1496</v>
      </c>
      <c r="B1530" s="70">
        <v>4</v>
      </c>
      <c r="C1530" s="11" t="str">
        <f>IFERROR(IF(VLOOKUP(A1530,[11]PRIORIZADOS!$A:$C,3,FALSE)="","",VLOOKUP(A1530,[11]PRIORIZADOS!$A:$C,3,FALSE)),"")</f>
        <v>RAFAEL URIBE URIBE</v>
      </c>
      <c r="D1530" s="11" t="str">
        <f>IFERROR(IF(VLOOKUP(A1530,[11]PRIORIZADOS!$A:$D,4,FALSE)="","",VLOOKUP(A1530,[11]PRIORIZADOS!$A:$D,4,FALSE)),"")</f>
        <v>PRIVADO</v>
      </c>
      <c r="E1530" s="11" t="str">
        <f>IFERROR(IF(VLOOKUP(A1530,[11]PRIORIZADOS!$A:$E,5,FALSE)="","",VLOOKUP(A1530,[11]PRIORIZADOS!$A:$E,5,FALSE)),"")</f>
        <v>EPBM</v>
      </c>
      <c r="F1530" s="11" t="str">
        <f>IFERROR(IF(VLOOKUP(A1530,[11]PRIORIZADOS!$A:$F,6,FALSE)="","",VLOOKUP(A1530,[11]PRIORIZADOS!$A:$F,6,FALSE)),"")</f>
        <v>NUEVO_LICEO_SANTA_CLARA</v>
      </c>
      <c r="G1530" s="11" t="str">
        <f>IFERROR(IF(VLOOKUP(A1530,[11]PRIORIZADOS!$A:$G,7,FALSE)="","",VLOOKUP(A1530,[11]PRIORIZADOS!$A:$G,7,FALSE)),"")</f>
        <v>NUEVO_LICEO_SANTA_CLARA</v>
      </c>
      <c r="H1530" s="11" t="str">
        <f>IFERROR(IF(VLOOKUP(A1530,[11]PRIORIZADOS!$A:$H,8,FALSE)="","",VLOOKUP(A1530,[11]PRIORIZADOS!$A:$H,8,FALSE)),"")</f>
        <v>Autoevaluación Institucional y Pruebas SABER 11</v>
      </c>
      <c r="I1530" s="11" t="str">
        <f>IFERROR(IF(VLOOKUP(A1530,[11]PRIORIZADOS!$A:$I,9,FALSE)="","",VLOOKUP(A1530,[11]PRIORIZADOS!$A:$I,9,FALSE)),"")</f>
        <v>EVALUACIÓN_CON_FINES_DE_MEJORAMIENTO.</v>
      </c>
      <c r="J1530" s="11" t="str">
        <f>IFERROR(IF(VLOOKUP(A1530,[11]PRIORIZADOS!$A:$J,10,FALSE)="","",VLOOKUP(A1530,[11]PRIORIZADOS!$A:$J,10,FALSE)),"")</f>
        <v>Revisar la actualización, socialización e implementación del Sistema Institucional de Evaluación de Estudiantes - SIEE, en articulación con la actualización del PEI y la normatividad vigente.</v>
      </c>
      <c r="K1530" s="11" t="str">
        <f>IFERROR(IF(VLOOKUP(A1530,[11]PRIORIZADOS!$A:$K,11,FALSE)="","",VLOOKUP(A1530,[11]PRIORIZADOS!$A:$K,11,FALSE)),"")</f>
        <v>BEPCI YADIRA MINA ZAPATA</v>
      </c>
      <c r="L1530" s="11" t="str">
        <f>IFERROR(IF(VLOOKUP(A1530,[11]PRIORIZADOS!$A:$L,12,FALSE)="","",VLOOKUP(A1530,[11]PRIORIZADOS!$A:$L,12,FALSE)),"")</f>
        <v>DORY CONSTANZA SANCHEZ ARAGÓN</v>
      </c>
      <c r="M1530" s="71">
        <f>IFERROR(IF(VLOOKUP(A1530,[11]PRIORIZADOS!$A:$M,13,FALSE)="","",VLOOKUP(A1530,[11]PRIORIZADOS!$A:$M,13,FALSE)),"")</f>
        <v>45748</v>
      </c>
      <c r="N1530" s="71">
        <f>IFERROR(IF(VLOOKUP(A1530,[11]PRIORIZADOS!$A:$N,14,FALSE)="","",VLOOKUP(A1530,[11]PRIORIZADOS!$A:$N,14,FALSE)),"")</f>
        <v>45748</v>
      </c>
      <c r="O1530" s="71">
        <f>IFERROR(IF(VLOOKUP(A1530,[11]PRIORIZADOS!$A:$O,15,FALSE)="","",VLOOKUP(A1530,[11]PRIORIZADOS!$A:$O,15,FALSE)),"")</f>
        <v>45748</v>
      </c>
      <c r="P1530" s="11" t="str">
        <f>IFERROR(IF(VLOOKUP(A1530,[11]PRIORIZADOS!$A:$P,16,FALSE)="","",VLOOKUP(A1530,[11]PRIORIZADOS!$A:$P,16,FALSE)),"")</f>
        <v>Visitas de evaluación con fines de mejoramiento</v>
      </c>
      <c r="Q1530" s="107" t="s">
        <v>360</v>
      </c>
      <c r="R1530" s="11" t="str">
        <f>IFERROR(IF(VLOOKUP(A1530,[11]PRIORIZADOS!$A:$R,18,FALSE)="","",VLOOKUP(A1530,[11]PRIORIZADOS!$A:$R,18,FALSE)),"")</f>
        <v>No presentan evidencias de la participación de la comunidad educativa en su construcción</v>
      </c>
      <c r="S1530" s="11" t="str">
        <f>IFERROR(IF(VLOOKUP(A1530,[11]PRIORIZADOS!$A:$S,19,FALSE)="","",VLOOKUP(A1530,[11]PRIORIZADOS!$A:$S,19,FALSE)),"")</f>
        <v>En el SIE se deben ampliar y fortalecer los criterios de evaluación y promoción. Presentar plan de mejoramiento el 25 de abril de 2025</v>
      </c>
      <c r="T1530" s="70" t="str">
        <f>IFERROR(IF(VLOOKUP(A1530,[11]PRIORIZADOS!$A:$T,20,FALSE)="","",VLOOKUP(A1530,[11]PRIORIZADOS!$A:$T,20,FALSE)),"")</f>
        <v>Si</v>
      </c>
      <c r="U1530" s="11" t="str">
        <f>IFERROR(IF(VLOOKUP(A1530,[11]PRIORIZADOS!$A:$U,21,FALSE)="","",VLOOKUP(A1530,[11]PRIORIZADOS!$A:$U,21,FALSE)),"")</f>
        <v>Revisar PM y verificar que se ajuste a las observaciones realizadas.</v>
      </c>
    </row>
    <row r="1531" spans="1:21" s="1" customFormat="1" ht="60">
      <c r="A1531" s="69">
        <f>IF([11]PRIORIZADOS!A42="","",[11]PRIORIZADOS!A42)</f>
        <v>1497</v>
      </c>
      <c r="B1531" s="70">
        <v>4</v>
      </c>
      <c r="C1531" s="11" t="str">
        <f>IFERROR(IF(VLOOKUP(A1531,[11]PRIORIZADOS!$A:$C,3,FALSE)="","",VLOOKUP(A1531,[11]PRIORIZADOS!$A:$C,3,FALSE)),"")</f>
        <v>RAFAEL URIBE URIBE</v>
      </c>
      <c r="D1531" s="11" t="str">
        <f>IFERROR(IF(VLOOKUP(A1531,[11]PRIORIZADOS!$A:$D,4,FALSE)="","",VLOOKUP(A1531,[11]PRIORIZADOS!$A:$D,4,FALSE)),"")</f>
        <v>PRIVADO</v>
      </c>
      <c r="E1531" s="11" t="str">
        <f>IFERROR(IF(VLOOKUP(A1531,[11]PRIORIZADOS!$A:$E,5,FALSE)="","",VLOOKUP(A1531,[11]PRIORIZADOS!$A:$E,5,FALSE)),"")</f>
        <v>EPBM</v>
      </c>
      <c r="F1531" s="11" t="str">
        <f>IFERROR(IF(VLOOKUP(A1531,[11]PRIORIZADOS!$A:$F,6,FALSE)="","",VLOOKUP(A1531,[11]PRIORIZADOS!$A:$F,6,FALSE)),"")</f>
        <v>NUEVO_LICEO_SANTA_CLARA</v>
      </c>
      <c r="G1531" s="11" t="str">
        <f>IFERROR(IF(VLOOKUP(A1531,[11]PRIORIZADOS!$A:$G,7,FALSE)="","",VLOOKUP(A1531,[11]PRIORIZADOS!$A:$G,7,FALSE)),"")</f>
        <v>NUEVO_LICEO_SANTA_CLARA</v>
      </c>
      <c r="H1531" s="11" t="str">
        <f>IFERROR(IF(VLOOKUP(A1531,[11]PRIORIZADOS!$A:$H,8,FALSE)="","",VLOOKUP(A1531,[11]PRIORIZADOS!$A:$H,8,FALSE)),"")</f>
        <v>Autoevaluación Institucional y Pruebas SABER 11</v>
      </c>
      <c r="I1531" s="11" t="str">
        <f>IFERROR(IF(VLOOKUP(A1531,[11]PRIORIZADOS!$A:$I,9,FALSE)="","",VLOOKUP(A1531,[11]PRIORIZADOS!$A:$I,9,FALSE)),"")</f>
        <v>EVALUACIÓN_CON_FINES_DE_MEJORAMIENTO.</v>
      </c>
      <c r="J1531" s="11" t="str">
        <f>IFERROR(IF(VLOOKUP(A1531,[11]PRIORIZADOS!$A:$J,10,FALSE)="","",VLOOKUP(A1531,[11]PRIORIZADOS!$A:$J,10,FALSE)),"")</f>
        <v>Revisar el calendario escolar, jornada escolar, la intensidad horaria mínima anual en cada nivel y las modificaciones que se realicen al mismo, de acuerdo con lo previsto en la normatividad vigente.</v>
      </c>
      <c r="K1531" s="11" t="str">
        <f>IFERROR(IF(VLOOKUP(A1531,[11]PRIORIZADOS!$A:$K,11,FALSE)="","",VLOOKUP(A1531,[11]PRIORIZADOS!$A:$K,11,FALSE)),"")</f>
        <v>BEPCI YADIRA MINA ZAPATA</v>
      </c>
      <c r="L1531" s="11" t="str">
        <f>IFERROR(IF(VLOOKUP(A1531,[11]PRIORIZADOS!$A:$L,12,FALSE)="","",VLOOKUP(A1531,[11]PRIORIZADOS!$A:$L,12,FALSE)),"")</f>
        <v>DORY CONSTANZA SANCHEZ ARAGÓN</v>
      </c>
      <c r="M1531" s="71">
        <f>IFERROR(IF(VLOOKUP(A1531,[11]PRIORIZADOS!$A:$M,13,FALSE)="","",VLOOKUP(A1531,[11]PRIORIZADOS!$A:$M,13,FALSE)),"")</f>
        <v>45748</v>
      </c>
      <c r="N1531" s="71">
        <f>IFERROR(IF(VLOOKUP(A1531,[11]PRIORIZADOS!$A:$N,14,FALSE)="","",VLOOKUP(A1531,[11]PRIORIZADOS!$A:$N,14,FALSE)),"")</f>
        <v>45748</v>
      </c>
      <c r="O1531" s="71">
        <f>IFERROR(IF(VLOOKUP(A1531,[11]PRIORIZADOS!$A:$O,15,FALSE)="","",VLOOKUP(A1531,[11]PRIORIZADOS!$A:$O,15,FALSE)),"")</f>
        <v>45748</v>
      </c>
      <c r="P1531" s="11" t="str">
        <f>IFERROR(IF(VLOOKUP(A1531,[11]PRIORIZADOS!$A:$P,16,FALSE)="","",VLOOKUP(A1531,[11]PRIORIZADOS!$A:$P,16,FALSE)),"")</f>
        <v>Visitas de evaluación con fines de mejoramiento</v>
      </c>
      <c r="Q1531" s="107" t="s">
        <v>360</v>
      </c>
      <c r="R1531" s="11" t="str">
        <f>IFERROR(IF(VLOOKUP(A1531,[11]PRIORIZADOS!$A:$R,18,FALSE)="","",VLOOKUP(A1531,[11]PRIORIZADOS!$A:$R,18,FALSE)),"")</f>
        <v>La intensidad horaria semanal establecida para 6° a 11° son 35 horas,  primaria 30 horas y preescolar 25 horas. Cumpliendo con la cantidad de horas según la normatividad vigente.</v>
      </c>
      <c r="S1531" s="11" t="str">
        <f>IFERROR(IF(VLOOKUP(A1531,[11]PRIORIZADOS!$A:$S,19,FALSE)="","",VLOOKUP(A1531,[11]PRIORIZADOS!$A:$S,19,FALSE)),"")</f>
        <v>Dar cumplimiento a lo establecido en el calendario</v>
      </c>
      <c r="T1531" s="70" t="str">
        <f>IFERROR(IF(VLOOKUP(A1531,[11]PRIORIZADOS!$A:$T,20,FALSE)="","",VLOOKUP(A1531,[11]PRIORIZADOS!$A:$T,20,FALSE)),"")</f>
        <v>No</v>
      </c>
      <c r="U1531" s="11" t="str">
        <f>IFERROR(IF(VLOOKUP(A1531,[11]PRIORIZADOS!$A:$U,21,FALSE)="","",VLOOKUP(A1531,[11]PRIORIZADOS!$A:$U,21,FALSE)),"")</f>
        <v>Dar cumplimiento a lo establecido en el calendario</v>
      </c>
    </row>
    <row r="1532" spans="1:21" s="1" customFormat="1" ht="48">
      <c r="A1532" s="69">
        <f>IF([11]PRIORIZADOS!A43="","",[11]PRIORIZADOS!A43)</f>
        <v>1498</v>
      </c>
      <c r="B1532" s="70">
        <v>4</v>
      </c>
      <c r="C1532" s="11" t="str">
        <f>IFERROR(IF(VLOOKUP(A1532,[11]PRIORIZADOS!$A:$C,3,FALSE)="","",VLOOKUP(A1532,[11]PRIORIZADOS!$A:$C,3,FALSE)),"")</f>
        <v>RAFAEL URIBE URIBE</v>
      </c>
      <c r="D1532" s="11" t="str">
        <f>IFERROR(IF(VLOOKUP(A1532,[11]PRIORIZADOS!$A:$D,4,FALSE)="","",VLOOKUP(A1532,[11]PRIORIZADOS!$A:$D,4,FALSE)),"")</f>
        <v>PRIVADO</v>
      </c>
      <c r="E1532" s="11" t="str">
        <f>IFERROR(IF(VLOOKUP(A1532,[11]PRIORIZADOS!$A:$E,5,FALSE)="","",VLOOKUP(A1532,[11]PRIORIZADOS!$A:$E,5,FALSE)),"")</f>
        <v>EPBM</v>
      </c>
      <c r="F1532" s="11" t="str">
        <f>IFERROR(IF(VLOOKUP(A1532,[11]PRIORIZADOS!$A:$F,6,FALSE)="","",VLOOKUP(A1532,[11]PRIORIZADOS!$A:$F,6,FALSE)),"")</f>
        <v>NUEVO_LICEO_SANTA_CLARA</v>
      </c>
      <c r="G1532" s="11" t="str">
        <f>IFERROR(IF(VLOOKUP(A1532,[11]PRIORIZADOS!$A:$G,7,FALSE)="","",VLOOKUP(A1532,[11]PRIORIZADOS!$A:$G,7,FALSE)),"")</f>
        <v>NUEVO_LICEO_SANTA_CLARA</v>
      </c>
      <c r="H1532" s="11" t="str">
        <f>IFERROR(IF(VLOOKUP(A1532,[11]PRIORIZADOS!$A:$H,8,FALSE)="","",VLOOKUP(A1532,[11]PRIORIZADOS!$A:$H,8,FALSE)),"")</f>
        <v>Autoevaluación Institucional y Pruebas SABER 11</v>
      </c>
      <c r="I1532" s="11" t="str">
        <f>IFERROR(IF(VLOOKUP(A1532,[11]PRIORIZADOS!$A:$I,9,FALSE)="","",VLOOKUP(A1532,[11]PRIORIZADOS!$A:$I,9,FALSE)),"")</f>
        <v>EVALUACIÓN_CON_FINES_DE_MEJORAMIENTO.</v>
      </c>
      <c r="J1532" s="11" t="str">
        <f>IFERROR(IF(VLOOKUP(A1532,[11]PRIORIZADOS!$A:$J,10,FALSE)="","",VLOOKUP(A1532,[11]PRIORIZADOS!$A:$J,10,FALSE)),"")</f>
        <v>Verificar el funcionamiento del Gobierno Escolar e instancias de participación con base en la información sobre conformación reportada por la institución educativa.</v>
      </c>
      <c r="K1532" s="11" t="str">
        <f>IFERROR(IF(VLOOKUP(A1532,[11]PRIORIZADOS!$A:$K,11,FALSE)="","",VLOOKUP(A1532,[11]PRIORIZADOS!$A:$K,11,FALSE)),"")</f>
        <v>BEPCI YADIRA MINA ZAPATA</v>
      </c>
      <c r="L1532" s="11" t="str">
        <f>IFERROR(IF(VLOOKUP(A1532,[11]PRIORIZADOS!$A:$L,12,FALSE)="","",VLOOKUP(A1532,[11]PRIORIZADOS!$A:$L,12,FALSE)),"")</f>
        <v>DORY CONSTANZA SANCHEZ ARAGÓN</v>
      </c>
      <c r="M1532" s="71">
        <f>IFERROR(IF(VLOOKUP(A1532,[11]PRIORIZADOS!$A:$M,13,FALSE)="","",VLOOKUP(A1532,[11]PRIORIZADOS!$A:$M,13,FALSE)),"")</f>
        <v>45748</v>
      </c>
      <c r="N1532" s="71">
        <f>IFERROR(IF(VLOOKUP(A1532,[11]PRIORIZADOS!$A:$N,14,FALSE)="","",VLOOKUP(A1532,[11]PRIORIZADOS!$A:$N,14,FALSE)),"")</f>
        <v>45748</v>
      </c>
      <c r="O1532" s="71">
        <f>IFERROR(IF(VLOOKUP(A1532,[11]PRIORIZADOS!$A:$O,15,FALSE)="","",VLOOKUP(A1532,[11]PRIORIZADOS!$A:$O,15,FALSE)),"")</f>
        <v>45748</v>
      </c>
      <c r="P1532" s="11" t="str">
        <f>IFERROR(IF(VLOOKUP(A1532,[11]PRIORIZADOS!$A:$P,16,FALSE)="","",VLOOKUP(A1532,[11]PRIORIZADOS!$A:$P,16,FALSE)),"")</f>
        <v>Visitas de evaluación con fines de mejoramiento</v>
      </c>
      <c r="Q1532" s="107" t="s">
        <v>360</v>
      </c>
      <c r="R1532" s="11" t="str">
        <f>IFERROR(IF(VLOOKUP(A1532,[11]PRIORIZADOS!$A:$R,18,FALSE)="","",VLOOKUP(A1532,[11]PRIORIZADOS!$A:$R,18,FALSE)),"")</f>
        <v>No se evidencian actas de funcionamiento de Gobierno Escolar</v>
      </c>
      <c r="S1532" s="11" t="str">
        <f>IFERROR(IF(VLOOKUP(A1532,[11]PRIORIZADOS!$A:$S,19,FALSE)="","",VLOOKUP(A1532,[11]PRIORIZADOS!$A:$S,19,FALSE)),"")</f>
        <v>Generar los espacios para el funcionamiento del gobierno escolar con sus respectivas actas. Presentar plan de mejoramiento el 25 de abril de 2025</v>
      </c>
      <c r="T1532" s="70" t="str">
        <f>IFERROR(IF(VLOOKUP(A1532,[11]PRIORIZADOS!$A:$T,20,FALSE)="","",VLOOKUP(A1532,[11]PRIORIZADOS!$A:$T,20,FALSE)),"")</f>
        <v>Si</v>
      </c>
      <c r="U1532" s="11" t="str">
        <f>IFERROR(IF(VLOOKUP(A1532,[11]PRIORIZADOS!$A:$U,21,FALSE)="","",VLOOKUP(A1532,[11]PRIORIZADOS!$A:$U,21,FALSE)),"")</f>
        <v>Revisar PM y verificar que se ajuste a las observaciones realizadas.</v>
      </c>
    </row>
    <row r="1533" spans="1:21" s="1" customFormat="1" ht="36">
      <c r="A1533" s="69">
        <f>IF([11]PRIORIZADOS!A44="","",[11]PRIORIZADOS!A44)</f>
        <v>1499</v>
      </c>
      <c r="B1533" s="70">
        <v>4</v>
      </c>
      <c r="C1533" s="11" t="str">
        <f>IFERROR(IF(VLOOKUP(A1533,[11]PRIORIZADOS!$A:$C,3,FALSE)="","",VLOOKUP(A1533,[11]PRIORIZADOS!$A:$C,3,FALSE)),"")</f>
        <v>RAFAEL URIBE URIBE</v>
      </c>
      <c r="D1533" s="11" t="str">
        <f>IFERROR(IF(VLOOKUP(A1533,[11]PRIORIZADOS!$A:$D,4,FALSE)="","",VLOOKUP(A1533,[11]PRIORIZADOS!$A:$D,4,FALSE)),"")</f>
        <v>PRIVADO</v>
      </c>
      <c r="E1533" s="11" t="str">
        <f>IFERROR(IF(VLOOKUP(A1533,[11]PRIORIZADOS!$A:$E,5,FALSE)="","",VLOOKUP(A1533,[11]PRIORIZADOS!$A:$E,5,FALSE)),"")</f>
        <v>EPBM</v>
      </c>
      <c r="F1533" s="11" t="str">
        <f>IFERROR(IF(VLOOKUP(A1533,[11]PRIORIZADOS!$A:$F,6,FALSE)="","",VLOOKUP(A1533,[11]PRIORIZADOS!$A:$F,6,FALSE)),"")</f>
        <v>NUEVO_LICEO_SANTA_CLARA</v>
      </c>
      <c r="G1533" s="11" t="str">
        <f>IFERROR(IF(VLOOKUP(A1533,[11]PRIORIZADOS!$A:$G,7,FALSE)="","",VLOOKUP(A1533,[11]PRIORIZADOS!$A:$G,7,FALSE)),"")</f>
        <v>NUEVO_LICEO_SANTA_CLARA</v>
      </c>
      <c r="H1533" s="11" t="str">
        <f>IFERROR(IF(VLOOKUP(A1533,[11]PRIORIZADOS!$A:$H,8,FALSE)="","",VLOOKUP(A1533,[11]PRIORIZADOS!$A:$H,8,FALSE)),"")</f>
        <v>Autoevaluación Institucional y Pruebas SABER 11</v>
      </c>
      <c r="I1533" s="11" t="str">
        <f>IFERROR(IF(VLOOKUP(A1533,[11]PRIORIZADOS!$A:$I,9,FALSE)="","",VLOOKUP(A1533,[11]PRIORIZADOS!$A:$I,9,FALSE)),"")</f>
        <v>EVALUACIÓN_CON_FINES_DE_MEJORAMIENTO.</v>
      </c>
      <c r="J1533" s="11" t="str">
        <f>IFERROR(IF(VLOOKUP(A1533,[11]PRIORIZADOS!$A:$J,10,FALSE)="","",VLOOKUP(A1533,[11]PRIORIZADOS!$A:$J,10,FALSE)),"")</f>
        <v>Verificar las condiciones en cuanto a: la estructura administrativa, condiciones de la planta física y medios educativos adecuados.</v>
      </c>
      <c r="K1533" s="11" t="str">
        <f>IFERROR(IF(VLOOKUP(A1533,[11]PRIORIZADOS!$A:$K,11,FALSE)="","",VLOOKUP(A1533,[11]PRIORIZADOS!$A:$K,11,FALSE)),"")</f>
        <v>BEPCI YADIRA MINA ZAPATA</v>
      </c>
      <c r="L1533" s="11" t="str">
        <f>IFERROR(IF(VLOOKUP(A1533,[11]PRIORIZADOS!$A:$L,12,FALSE)="","",VLOOKUP(A1533,[11]PRIORIZADOS!$A:$L,12,FALSE)),"")</f>
        <v>DORY CONSTANZA SANCHEZ ARAGÓN</v>
      </c>
      <c r="M1533" s="71">
        <f>IFERROR(IF(VLOOKUP(A1533,[11]PRIORIZADOS!$A:$M,13,FALSE)="","",VLOOKUP(A1533,[11]PRIORIZADOS!$A:$M,13,FALSE)),"")</f>
        <v>45748</v>
      </c>
      <c r="N1533" s="71">
        <f>IFERROR(IF(VLOOKUP(A1533,[11]PRIORIZADOS!$A:$N,14,FALSE)="","",VLOOKUP(A1533,[11]PRIORIZADOS!$A:$N,14,FALSE)),"")</f>
        <v>45748</v>
      </c>
      <c r="O1533" s="71">
        <f>IFERROR(IF(VLOOKUP(A1533,[11]PRIORIZADOS!$A:$O,15,FALSE)="","",VLOOKUP(A1533,[11]PRIORIZADOS!$A:$O,15,FALSE)),"")</f>
        <v>45748</v>
      </c>
      <c r="P1533" s="11" t="str">
        <f>IFERROR(IF(VLOOKUP(A1533,[11]PRIORIZADOS!$A:$P,16,FALSE)="","",VLOOKUP(A1533,[11]PRIORIZADOS!$A:$P,16,FALSE)),"")</f>
        <v>Visitas de evaluación con fines de mejoramiento</v>
      </c>
      <c r="Q1533" s="107" t="s">
        <v>360</v>
      </c>
      <c r="R1533" s="11" t="str">
        <f>IFERROR(IF(VLOOKUP(A1533,[11]PRIORIZADOS!$A:$R,18,FALSE)="","",VLOOKUP(A1533,[11]PRIORIZADOS!$A:$R,18,FALSE)),"")</f>
        <v xml:space="preserve">Se evidencia un posible hacinamiento de estudiantes enlas aulas, se observa que no hay laboratorio, ni biblioteca. </v>
      </c>
      <c r="S1533" s="11" t="str">
        <f>IFERROR(IF(VLOOKUP(A1533,[11]PRIORIZADOS!$A:$S,19,FALSE)="","",VLOOKUP(A1533,[11]PRIORIZADOS!$A:$S,19,FALSE)),"")</f>
        <v>Presentar plan de mejoramiento el 25 de abril de 2025</v>
      </c>
      <c r="T1533" s="70" t="str">
        <f>IFERROR(IF(VLOOKUP(A1533,[11]PRIORIZADOS!$A:$T,20,FALSE)="","",VLOOKUP(A1533,[11]PRIORIZADOS!$A:$T,20,FALSE)),"")</f>
        <v>Si</v>
      </c>
      <c r="U1533" s="11" t="str">
        <f>IFERROR(IF(VLOOKUP(A1533,[11]PRIORIZADOS!$A:$U,21,FALSE)="","",VLOOKUP(A1533,[11]PRIORIZADOS!$A:$U,21,FALSE)),"")</f>
        <v>Revisar PM y hacer el seguimiento.</v>
      </c>
    </row>
    <row r="1534" spans="1:21" s="1" customFormat="1" ht="60">
      <c r="A1534" s="69">
        <f>IF([11]PRIORIZADOS!A45="","",[11]PRIORIZADOS!A45)</f>
        <v>1500</v>
      </c>
      <c r="B1534" s="70">
        <f>IFERROR(IF(VLOOKUP(A1534,[11]PRIORIZADOS!$A:$B,2,FALSE)="","",VLOOKUP(A1534,[11]PRIORIZADOS!$A:$B,2,FALSE)),"")</f>
        <v>5</v>
      </c>
      <c r="C1534" s="11" t="str">
        <f>IFERROR(IF(VLOOKUP(A1534,[11]PRIORIZADOS!$A:$C,3,FALSE)="","",VLOOKUP(A1534,[11]PRIORIZADOS!$A:$C,3,FALSE)),"")</f>
        <v>RAFAEL URIBE URIBE</v>
      </c>
      <c r="D1534" s="11" t="str">
        <f>IFERROR(IF(VLOOKUP(A1534,[11]PRIORIZADOS!$A:$D,4,FALSE)="","",VLOOKUP(A1534,[11]PRIORIZADOS!$A:$D,4,FALSE)),"")</f>
        <v>PRIVADO</v>
      </c>
      <c r="E1534" s="11" t="str">
        <f>IFERROR(IF(VLOOKUP(A1534,[11]PRIORIZADOS!$A:$E,5,FALSE)="","",VLOOKUP(A1534,[11]PRIORIZADOS!$A:$E,5,FALSE)),"")</f>
        <v>EPBM</v>
      </c>
      <c r="F1534" s="11" t="str">
        <f>IFERROR(IF(VLOOKUP(A1534,[11]PRIORIZADOS!$A:$F,6,FALSE)="","",VLOOKUP(A1534,[11]PRIORIZADOS!$A:$F,6,FALSE)),"")</f>
        <v>COLEGIO_MAYOR_DEL_QUIROGA</v>
      </c>
      <c r="G1534" s="11" t="str">
        <f>IFERROR(IF(VLOOKUP(A1534,[11]PRIORIZADOS!$A:$G,7,FALSE)="","",VLOOKUP(A1534,[11]PRIORIZADOS!$A:$G,7,FALSE)),"")</f>
        <v>COLEGIO_MAYOR_DEL_QUIROGA</v>
      </c>
      <c r="H1534" s="11" t="str">
        <f>IFERROR(IF(VLOOKUP(A1534,[11]PRIORIZADOS!$A:$H,8,FALSE)="","",VLOOKUP(A1534,[11]PRIORIZADOS!$A:$H,8,FALSE)),"")</f>
        <v>Autoevaluación Institucional y Pruebas SABER 11</v>
      </c>
      <c r="I1534" s="11" t="str">
        <f>IFERROR(IF(VLOOKUP(A1534,[11]PRIORIZADOS!$A:$I,9,FALSE)="","",VLOOKUP(A1534,[11]PRIORIZADOS!$A:$I,9,FALSE)),"")</f>
        <v>SEGUIMIENTO_Y_SUPERVISIÓN.</v>
      </c>
      <c r="J1534" s="11" t="str">
        <f>IFERROR(IF(VLOOKUP(A1534,[11]PRIORIZADOS!$A:$J,10,FALSE)="","",VLOOKUP(A1534,[11]PRIORIZADOS!$A:$J,10,FALSE)),"")</f>
        <v>Realizar visitas para verificar la información registrada sobre la autoevaluación institucional en el aplicativo EVI, a los establecimientos de educación formal no oficial.</v>
      </c>
      <c r="K1534" s="11" t="str">
        <f>IFERROR(IF(VLOOKUP(A1534,[11]PRIORIZADOS!$A:$K,11,FALSE)="","",VLOOKUP(A1534,[11]PRIORIZADOS!$A:$K,11,FALSE)),"")</f>
        <v>DORY CONSTANZA SANCHEZ ARAGÓN</v>
      </c>
      <c r="L1534" s="11" t="str">
        <f>IFERROR(IF(VLOOKUP(A1534,[11]PRIORIZADOS!$A:$L,12,FALSE)="","",VLOOKUP(A1534,[11]PRIORIZADOS!$A:$L,12,FALSE)),"")</f>
        <v>BEPCI YADIRA MINA ZAPATA</v>
      </c>
      <c r="M1534" s="71">
        <f>IFERROR(IF(VLOOKUP(A1534,[11]PRIORIZADOS!$A:$M,13,FALSE)="","",VLOOKUP(A1534,[11]PRIORIZADOS!$A:$M,13,FALSE)),"")</f>
        <v>45888</v>
      </c>
      <c r="N1534" s="71">
        <f>IFERROR(IF(VLOOKUP(A1534,[11]PRIORIZADOS!$A:$N,14,FALSE)="","",VLOOKUP(A1534,[11]PRIORIZADOS!$A:$N,14,FALSE)),"")</f>
        <v>45888</v>
      </c>
      <c r="O1534" s="71">
        <f>IFERROR(IF(VLOOKUP(A1534,[11]PRIORIZADOS!$A:$O,15,FALSE)="","",VLOOKUP(A1534,[11]PRIORIZADOS!$A:$O,15,FALSE)),"")</f>
        <v>45902</v>
      </c>
      <c r="P1534" s="11" t="str">
        <f>IFERROR(IF(VLOOKUP(A1534,[11]PRIORIZADOS!$A:$P,16,FALSE)="","",VLOOKUP(A1534,[11]PRIORIZADOS!$A:$P,16,FALSE)),"")</f>
        <v>Visitas de evaluación con fines de mejoramiento</v>
      </c>
      <c r="Q1534" s="5" t="s">
        <v>361</v>
      </c>
      <c r="R1534" s="11" t="str">
        <f>IFERROR(IF(VLOOKUP(A1534,[11]PRIORIZADOS!$A:$R,18,FALSE)="","",VLOOKUP(A1534,[11]PRIORIZADOS!$A:$R,18,FALSE)),"")</f>
        <v>Se evidencia que los docentes se encuentran con contrato laboral y  pago de seguridad social.
Planta física acorde con espacios pedagogícos adecuados.</v>
      </c>
      <c r="S1534" s="11" t="str">
        <f>IFERROR(IF(VLOOKUP(A1534,[11]PRIORIZADOS!$A:$S,19,FALSE)="","",VLOOKUP(A1534,[11]PRIORIZADOS!$A:$S,19,FALSE)),"")</f>
        <v>Continuar con la contratación y pago de seguridad social de los docentes</v>
      </c>
      <c r="T1534" s="70" t="str">
        <f>IFERROR(IF(VLOOKUP(A1534,[11]PRIORIZADOS!$A:$T,20,FALSE)="","",VLOOKUP(A1534,[11]PRIORIZADOS!$A:$T,20,FALSE)),"")</f>
        <v>No</v>
      </c>
      <c r="U1534" s="11" t="str">
        <f>IFERROR(IF(VLOOKUP(A1534,[11]PRIORIZADOS!$A:$U,21,FALSE)="","",VLOOKUP(A1534,[11]PRIORIZADOS!$A:$U,21,FALSE)),"")</f>
        <v>Verificar en caso de algun reqiuerimiento o queja</v>
      </c>
    </row>
    <row r="1535" spans="1:21" s="1" customFormat="1" ht="84">
      <c r="A1535" s="69">
        <f>IF([11]PRIORIZADOS!A46="","",[11]PRIORIZADOS!A46)</f>
        <v>1501</v>
      </c>
      <c r="B1535" s="70">
        <v>5</v>
      </c>
      <c r="C1535" s="11" t="str">
        <f>IFERROR(IF(VLOOKUP(A1535,[11]PRIORIZADOS!$A:$C,3,FALSE)="","",VLOOKUP(A1535,[11]PRIORIZADOS!$A:$C,3,FALSE)),"")</f>
        <v>RAFAEL URIBE URIBE</v>
      </c>
      <c r="D1535" s="11" t="str">
        <f>IFERROR(IF(VLOOKUP(A1535,[11]PRIORIZADOS!$A:$D,4,FALSE)="","",VLOOKUP(A1535,[11]PRIORIZADOS!$A:$D,4,FALSE)),"")</f>
        <v>PRIVADO</v>
      </c>
      <c r="E1535" s="11" t="str">
        <f>IFERROR(IF(VLOOKUP(A1535,[11]PRIORIZADOS!$A:$E,5,FALSE)="","",VLOOKUP(A1535,[11]PRIORIZADOS!$A:$E,5,FALSE)),"")</f>
        <v>EPBM</v>
      </c>
      <c r="F1535" s="11" t="str">
        <f>IFERROR(IF(VLOOKUP(A1535,[11]PRIORIZADOS!$A:$F,6,FALSE)="","",VLOOKUP(A1535,[11]PRIORIZADOS!$A:$F,6,FALSE)),"")</f>
        <v>COLEGIO_MAYOR_DEL_QUIROGA</v>
      </c>
      <c r="G1535" s="11" t="str">
        <f>IFERROR(IF(VLOOKUP(A1535,[11]PRIORIZADOS!$A:$G,7,FALSE)="","",VLOOKUP(A1535,[11]PRIORIZADOS!$A:$G,7,FALSE)),"")</f>
        <v>COLEGIO_MAYOR_DEL_QUIROGA</v>
      </c>
      <c r="H1535" s="11" t="str">
        <f>IFERROR(IF(VLOOKUP(A1535,[11]PRIORIZADOS!$A:$H,8,FALSE)="","",VLOOKUP(A1535,[11]PRIORIZADOS!$A:$H,8,FALSE)),"")</f>
        <v>Autoevaluación Institucional y Pruebas SABER 11</v>
      </c>
      <c r="I1535" s="11" t="str">
        <f>IFERROR(IF(VLOOKUP(A1535,[11]PRIORIZADOS!$A:$I,9,FALSE)="","",VLOOKUP(A1535,[11]PRIORIZADOS!$A:$I,9,FALSE)),"")</f>
        <v>SEGUIMIENTO_Y_SUPERVISIÓN.</v>
      </c>
      <c r="J1535" s="11" t="str">
        <f>IFERROR(IF(VLOOKUP(A1535,[11]PRIORIZADOS!$A:$J,10,FALSE)="","",VLOOKUP(A1535,[11]PRIORIZADOS!$A:$J,10,FALSE)),"")</f>
        <v>Proponer estrategias en la formulación, verificar su elaboración y realizar seguimiento semestral al desarrollo de  las acciones establecidas en los planes de mejoramiento por pruebas SABER 11 de los establecimientos de educación formal.</v>
      </c>
      <c r="K1535" s="11" t="str">
        <f>IFERROR(IF(VLOOKUP(A1535,[11]PRIORIZADOS!$A:$K,11,FALSE)="","",VLOOKUP(A1535,[11]PRIORIZADOS!$A:$K,11,FALSE)),"")</f>
        <v>DORY CONSTANZA SANCHEZ ARAGÓN</v>
      </c>
      <c r="L1535" s="11" t="str">
        <f>IFERROR(IF(VLOOKUP(A1535,[11]PRIORIZADOS!$A:$L,12,FALSE)="","",VLOOKUP(A1535,[11]PRIORIZADOS!$A:$L,12,FALSE)),"")</f>
        <v>BEPCI YADIRA MINA ZAPATA</v>
      </c>
      <c r="M1535" s="71">
        <f>IFERROR(IF(VLOOKUP(A1535,[11]PRIORIZADOS!$A:$M,13,FALSE)="","",VLOOKUP(A1535,[11]PRIORIZADOS!$A:$M,13,FALSE)),"")</f>
        <v>45888</v>
      </c>
      <c r="N1535" s="71">
        <f>IFERROR(IF(VLOOKUP(A1535,[11]PRIORIZADOS!$A:$N,14,FALSE)="","",VLOOKUP(A1535,[11]PRIORIZADOS!$A:$N,14,FALSE)),"")</f>
        <v>45888</v>
      </c>
      <c r="O1535" s="71">
        <f>IFERROR(IF(VLOOKUP(A1535,[11]PRIORIZADOS!$A:$O,15,FALSE)="","",VLOOKUP(A1535,[11]PRIORIZADOS!$A:$O,15,FALSE)),"")</f>
        <v>45902</v>
      </c>
      <c r="P1535" s="11" t="str">
        <f>IFERROR(IF(VLOOKUP(A1535,[11]PRIORIZADOS!$A:$P,16,FALSE)="","",VLOOKUP(A1535,[11]PRIORIZADOS!$A:$P,16,FALSE)),"")</f>
        <v>Visitas de evaluación con fines de mejoramiento</v>
      </c>
      <c r="Q1535" s="5" t="s">
        <v>361</v>
      </c>
      <c r="R1535" s="11" t="str">
        <f>IFERROR(IF(VLOOKUP(A1535,[11]PRIORIZADOS!$A:$R,18,FALSE)="","",VLOOKUP(A1535,[11]PRIORIZADOS!$A:$R,18,FALSE)),"")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35" s="11" t="str">
        <f>IFERROR(IF(VLOOKUP(A1535,[11]PRIORIZADOS!$A:$S,19,FALSE)="","",VLOOKUP(A1535,[11]PRIORIZADOS!$A:$S,19,FALSE)),"")</f>
        <v>Realizar analisis de las Pruebas Saber y establecer acciones pertinentes. Presentar plan de mejoramiento el 2 de octubre de 2025</v>
      </c>
      <c r="T1535" s="70" t="str">
        <f>IFERROR(IF(VLOOKUP(A1535,[11]PRIORIZADOS!$A:$T,20,FALSE)="","",VLOOKUP(A1535,[11]PRIORIZADOS!$A:$T,20,FALSE)),"")</f>
        <v>Si</v>
      </c>
      <c r="U1535" s="11" t="str">
        <f>IFERROR(IF(VLOOKUP(A1535,[11]PRIORIZADOS!$A:$U,21,FALSE)="","",VLOOKUP(A1535,[11]PRIORIZADOS!$A:$U,21,FALSE)),"")</f>
        <v>Revisar PM y verificar que se ajuste a las observaciones realizadas.</v>
      </c>
    </row>
    <row r="1536" spans="1:21" s="1" customFormat="1" ht="60">
      <c r="A1536" s="69">
        <f>IF([11]PRIORIZADOS!A47="","",[11]PRIORIZADOS!A47)</f>
        <v>1502</v>
      </c>
      <c r="B1536" s="70">
        <v>5</v>
      </c>
      <c r="C1536" s="11" t="str">
        <f>IFERROR(IF(VLOOKUP(A1536,[11]PRIORIZADOS!$A:$C,3,FALSE)="","",VLOOKUP(A1536,[11]PRIORIZADOS!$A:$C,3,FALSE)),"")</f>
        <v>RAFAEL URIBE URIBE</v>
      </c>
      <c r="D1536" s="11" t="str">
        <f>IFERROR(IF(VLOOKUP(A1536,[11]PRIORIZADOS!$A:$D,4,FALSE)="","",VLOOKUP(A1536,[11]PRIORIZADOS!$A:$D,4,FALSE)),"")</f>
        <v>PRIVADO</v>
      </c>
      <c r="E1536" s="11" t="str">
        <f>IFERROR(IF(VLOOKUP(A1536,[11]PRIORIZADOS!$A:$E,5,FALSE)="","",VLOOKUP(A1536,[11]PRIORIZADOS!$A:$E,5,FALSE)),"")</f>
        <v>EPBM</v>
      </c>
      <c r="F1536" s="11" t="str">
        <f>IFERROR(IF(VLOOKUP(A1536,[11]PRIORIZADOS!$A:$F,6,FALSE)="","",VLOOKUP(A1536,[11]PRIORIZADOS!$A:$F,6,FALSE)),"")</f>
        <v>COLEGIO_MAYOR_DEL_QUIROGA</v>
      </c>
      <c r="G1536" s="11" t="str">
        <f>IFERROR(IF(VLOOKUP(A1536,[11]PRIORIZADOS!$A:$G,7,FALSE)="","",VLOOKUP(A1536,[11]PRIORIZADOS!$A:$G,7,FALSE)),"")</f>
        <v>COLEGIO_MAYOR_DEL_QUIROGA</v>
      </c>
      <c r="H1536" s="11" t="str">
        <f>IFERROR(IF(VLOOKUP(A1536,[11]PRIORIZADOS!$A:$H,8,FALSE)="","",VLOOKUP(A1536,[11]PRIORIZADOS!$A:$H,8,FALSE)),"")</f>
        <v>Autoevaluación Institucional y Pruebas SABER 11</v>
      </c>
      <c r="I1536" s="11" t="str">
        <f>IFERROR(IF(VLOOKUP(A1536,[11]PRIORIZADOS!$A:$I,9,FALSE)="","",VLOOKUP(A1536,[11]PRIORIZADOS!$A:$I,9,FALSE)),"")</f>
        <v>SEGUIMIENTO_Y_SUPERVISIÓN.</v>
      </c>
      <c r="J1536" s="11" t="str">
        <f>IFERROR(IF(VLOOKUP(A1536,[11]PRIORIZADOS!$A:$J,10,FALSE)="","",VLOOKUP(A1536,[11]PRIORIZADOS!$A:$J,10,FALSE)),"")</f>
        <v xml:space="preserve">Verificar la implementación por parte de los colegios, de acciones realizadas para la prevención y atención de las situaciones de convivencia en el entorno escolar, según lo establecido en la Directiva 01 de 2022 del MEN. </v>
      </c>
      <c r="K1536" s="11" t="str">
        <f>IFERROR(IF(VLOOKUP(A1536,[11]PRIORIZADOS!$A:$K,11,FALSE)="","",VLOOKUP(A1536,[11]PRIORIZADOS!$A:$K,11,FALSE)),"")</f>
        <v>DORY CONSTANZA SANCHEZ ARAGÓN</v>
      </c>
      <c r="L1536" s="11" t="str">
        <f>IFERROR(IF(VLOOKUP(A1536,[11]PRIORIZADOS!$A:$L,12,FALSE)="","",VLOOKUP(A1536,[11]PRIORIZADOS!$A:$L,12,FALSE)),"")</f>
        <v>BEPCI YADIRA MINA ZAPATA</v>
      </c>
      <c r="M1536" s="71">
        <f>IFERROR(IF(VLOOKUP(A1536,[11]PRIORIZADOS!$A:$M,13,FALSE)="","",VLOOKUP(A1536,[11]PRIORIZADOS!$A:$M,13,FALSE)),"")</f>
        <v>45888</v>
      </c>
      <c r="N1536" s="71">
        <f>IFERROR(IF(VLOOKUP(A1536,[11]PRIORIZADOS!$A:$N,14,FALSE)="","",VLOOKUP(A1536,[11]PRIORIZADOS!$A:$N,14,FALSE)),"")</f>
        <v>45888</v>
      </c>
      <c r="O1536" s="71">
        <f>IFERROR(IF(VLOOKUP(A1536,[11]PRIORIZADOS!$A:$O,15,FALSE)="","",VLOOKUP(A1536,[11]PRIORIZADOS!$A:$O,15,FALSE)),"")</f>
        <v>45902</v>
      </c>
      <c r="P1536" s="11" t="str">
        <f>IFERROR(IF(VLOOKUP(A1536,[11]PRIORIZADOS!$A:$P,16,FALSE)="","",VLOOKUP(A1536,[11]PRIORIZADOS!$A:$P,16,FALSE)),"")</f>
        <v>Visitas de evaluación con fines de mejoramiento</v>
      </c>
      <c r="Q1536" s="5" t="s">
        <v>361</v>
      </c>
      <c r="R1536" s="11" t="str">
        <f>IFERROR(IF(VLOOKUP(A1536,[11]PRIORIZADOS!$A:$R,18,FALSE)="","",VLOOKUP(A1536,[11]PRIORIZADOS!$A:$R,18,FALSE)),"")</f>
        <v>La institución no cuentan con actas donde se evidencie el funcionamiento del comité de convivencia escolar.
Cuenta con verificacion de inhabilidadades por delitos sexuales pero no cada 4 meses</v>
      </c>
      <c r="S1536" s="11" t="str">
        <f>IFERROR(IF(VLOOKUP(A1536,[11]PRIORIZADOS!$A:$S,19,FALSE)="","",VLOOKUP(A1536,[11]PRIORIZADOS!$A:$S,19,FALSE)),"")</f>
        <v>El comite cde convivencia se debe reunir cada 2 meses.
Se debe realizar verificación de antecedente cada 4 meses. Presentar plan de mejoramiento el 25 de abril de 2025</v>
      </c>
      <c r="T1536" s="70" t="str">
        <f>IFERROR(IF(VLOOKUP(A1536,[11]PRIORIZADOS!$A:$T,20,FALSE)="","",VLOOKUP(A1536,[11]PRIORIZADOS!$A:$T,20,FALSE)),"")</f>
        <v>Si</v>
      </c>
      <c r="U1536" s="11" t="str">
        <f>IFERROR(IF(VLOOKUP(A1536,[11]PRIORIZADOS!$A:$U,21,FALSE)="","",VLOOKUP(A1536,[11]PRIORIZADOS!$A:$U,21,FALSE)),"")</f>
        <v>Revisar PM y verificar que se ajuste a las observaciones realizadas.</v>
      </c>
    </row>
    <row r="1537" spans="1:21" s="1" customFormat="1" ht="84">
      <c r="A1537" s="69">
        <f>IF([11]PRIORIZADOS!A48="","",[11]PRIORIZADOS!A48)</f>
        <v>1503</v>
      </c>
      <c r="B1537" s="70">
        <v>5</v>
      </c>
      <c r="C1537" s="11" t="str">
        <f>IFERROR(IF(VLOOKUP(A1537,[11]PRIORIZADOS!$A:$C,3,FALSE)="","",VLOOKUP(A1537,[11]PRIORIZADOS!$A:$C,3,FALSE)),"")</f>
        <v>RAFAEL URIBE URIBE</v>
      </c>
      <c r="D1537" s="11" t="str">
        <f>IFERROR(IF(VLOOKUP(A1537,[11]PRIORIZADOS!$A:$D,4,FALSE)="","",VLOOKUP(A1537,[11]PRIORIZADOS!$A:$D,4,FALSE)),"")</f>
        <v>PRIVADO</v>
      </c>
      <c r="E1537" s="11" t="str">
        <f>IFERROR(IF(VLOOKUP(A1537,[11]PRIORIZADOS!$A:$E,5,FALSE)="","",VLOOKUP(A1537,[11]PRIORIZADOS!$A:$E,5,FALSE)),"")</f>
        <v>EPBM</v>
      </c>
      <c r="F1537" s="11" t="str">
        <f>IFERROR(IF(VLOOKUP(A1537,[11]PRIORIZADOS!$A:$F,6,FALSE)="","",VLOOKUP(A1537,[11]PRIORIZADOS!$A:$F,6,FALSE)),"")</f>
        <v>COLEGIO_MAYOR_DEL_QUIROGA</v>
      </c>
      <c r="G1537" s="11" t="str">
        <f>IFERROR(IF(VLOOKUP(A1537,[11]PRIORIZADOS!$A:$G,7,FALSE)="","",VLOOKUP(A1537,[11]PRIORIZADOS!$A:$G,7,FALSE)),"")</f>
        <v>COLEGIO_MAYOR_DEL_QUIROGA</v>
      </c>
      <c r="H1537" s="11" t="str">
        <f>IFERROR(IF(VLOOKUP(A1537,[11]PRIORIZADOS!$A:$H,8,FALSE)="","",VLOOKUP(A1537,[11]PRIORIZADOS!$A:$H,8,FALSE)),"")</f>
        <v>Autoevaluación Institucional y Pruebas SABER 11</v>
      </c>
      <c r="I1537" s="11" t="str">
        <f>IFERROR(IF(VLOOKUP(A1537,[11]PRIORIZADOS!$A:$I,9,FALSE)="","",VLOOKUP(A1537,[11]PRIORIZADOS!$A:$I,9,FALSE)),"")</f>
        <v>SEGUIMIENTO_Y_SUPERVISIÓN.</v>
      </c>
      <c r="J1537" s="11" t="str">
        <f>IFERROR(IF(VLOOKUP(A1537,[11]PRIORIZADOS!$A:$J,10,FALSE)="","",VLOOKUP(A1537,[11]PRIORIZADOS!$A:$J,10,FALSE)),"")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37" s="11" t="str">
        <f>IFERROR(IF(VLOOKUP(A1537,[11]PRIORIZADOS!$A:$K,11,FALSE)="","",VLOOKUP(A1537,[11]PRIORIZADOS!$A:$K,11,FALSE)),"")</f>
        <v>DORY CONSTANZA SANCHEZ ARAGÓN</v>
      </c>
      <c r="L1537" s="11" t="str">
        <f>IFERROR(IF(VLOOKUP(A1537,[11]PRIORIZADOS!$A:$L,12,FALSE)="","",VLOOKUP(A1537,[11]PRIORIZADOS!$A:$L,12,FALSE)),"")</f>
        <v>BEPCI YADIRA MINA ZAPATA</v>
      </c>
      <c r="M1537" s="71">
        <f>IFERROR(IF(VLOOKUP(A1537,[11]PRIORIZADOS!$A:$M,13,FALSE)="","",VLOOKUP(A1537,[11]PRIORIZADOS!$A:$M,13,FALSE)),"")</f>
        <v>45888</v>
      </c>
      <c r="N1537" s="71">
        <f>IFERROR(IF(VLOOKUP(A1537,[11]PRIORIZADOS!$A:$N,14,FALSE)="","",VLOOKUP(A1537,[11]PRIORIZADOS!$A:$N,14,FALSE)),"")</f>
        <v>45888</v>
      </c>
      <c r="O1537" s="71">
        <f>IFERROR(IF(VLOOKUP(A1537,[11]PRIORIZADOS!$A:$O,15,FALSE)="","",VLOOKUP(A1537,[11]PRIORIZADOS!$A:$O,15,FALSE)),"")</f>
        <v>45902</v>
      </c>
      <c r="P1537" s="11" t="str">
        <f>IFERROR(IF(VLOOKUP(A1537,[11]PRIORIZADOS!$A:$P,16,FALSE)="","",VLOOKUP(A1537,[11]PRIORIZADOS!$A:$P,16,FALSE)),"")</f>
        <v>Visitas de evaluación con fines de mejoramiento</v>
      </c>
      <c r="Q1537" s="5" t="s">
        <v>361</v>
      </c>
      <c r="R1537" s="11" t="str">
        <f>IFERROR(IF(VLOOKUP(A1537,[11]PRIORIZADOS!$A:$R,18,FALSE)="","",VLOOKUP(A1537,[11]PRIORIZADOS!$A:$R,18,FALSE)),"")</f>
        <v xml:space="preserve">El colegio cuenta con el PIAR de un estudiante, el cual está muy bien diseñado, en él está estructurado claramente el proceso a llevar con el estudinate, el seguimiento, los avances del menor, las estartegias pedagógicas, las adapataciones realizadas. </v>
      </c>
      <c r="S1537" s="11" t="str">
        <f>IFERROR(IF(VLOOKUP(A1537,[11]PRIORIZADOS!$A:$S,19,FALSE)="","",VLOOKUP(A1537,[11]PRIORIZADOS!$A:$S,19,FALSE)),"")</f>
        <v>Continuar con los seguimientos y acompañamiento a los estudiantes con PIAR</v>
      </c>
      <c r="T1537" s="70" t="str">
        <f>IFERROR(IF(VLOOKUP(A1537,[11]PRIORIZADOS!$A:$T,20,FALSE)="","",VLOOKUP(A1537,[11]PRIORIZADOS!$A:$T,20,FALSE)),"")</f>
        <v>No</v>
      </c>
      <c r="U1537" s="11" t="str">
        <f>IFERROR(IF(VLOOKUP(A1537,[11]PRIORIZADOS!$A:$U,21,FALSE)="","",VLOOKUP(A1537,[11]PRIORIZADOS!$A:$U,21,FALSE)),"")</f>
        <v>Verificar en caso de algun reqiuerimiento o queja</v>
      </c>
    </row>
    <row r="1538" spans="1:21" s="1" customFormat="1" ht="84">
      <c r="A1538" s="69">
        <f>IF([11]PRIORIZADOS!A49="","",[11]PRIORIZADOS!A49)</f>
        <v>1504</v>
      </c>
      <c r="B1538" s="70">
        <v>5</v>
      </c>
      <c r="C1538" s="11" t="str">
        <f>IFERROR(IF(VLOOKUP(A1538,[11]PRIORIZADOS!$A:$C,3,FALSE)="","",VLOOKUP(A1538,[11]PRIORIZADOS!$A:$C,3,FALSE)),"")</f>
        <v>RAFAEL URIBE URIBE</v>
      </c>
      <c r="D1538" s="11" t="str">
        <f>IFERROR(IF(VLOOKUP(A1538,[11]PRIORIZADOS!$A:$D,4,FALSE)="","",VLOOKUP(A1538,[11]PRIORIZADOS!$A:$D,4,FALSE)),"")</f>
        <v>PRIVADO</v>
      </c>
      <c r="E1538" s="11" t="str">
        <f>IFERROR(IF(VLOOKUP(A1538,[11]PRIORIZADOS!$A:$E,5,FALSE)="","",VLOOKUP(A1538,[11]PRIORIZADOS!$A:$E,5,FALSE)),"")</f>
        <v>EPBM</v>
      </c>
      <c r="F1538" s="11" t="str">
        <f>IFERROR(IF(VLOOKUP(A1538,[11]PRIORIZADOS!$A:$F,6,FALSE)="","",VLOOKUP(A1538,[11]PRIORIZADOS!$A:$F,6,FALSE)),"")</f>
        <v>COLEGIO_MAYOR_DEL_QUIROGA</v>
      </c>
      <c r="G1538" s="11" t="str">
        <f>IFERROR(IF(VLOOKUP(A1538,[11]PRIORIZADOS!$A:$G,7,FALSE)="","",VLOOKUP(A1538,[11]PRIORIZADOS!$A:$G,7,FALSE)),"")</f>
        <v>COLEGIO_MAYOR_DEL_QUIROGA</v>
      </c>
      <c r="H1538" s="11" t="str">
        <f>IFERROR(IF(VLOOKUP(A1538,[11]PRIORIZADOS!$A:$H,8,FALSE)="","",VLOOKUP(A1538,[11]PRIORIZADOS!$A:$H,8,FALSE)),"")</f>
        <v>Autoevaluación Institucional y Pruebas SABER 11</v>
      </c>
      <c r="I1538" s="11" t="str">
        <f>IFERROR(IF(VLOOKUP(A1538,[11]PRIORIZADOS!$A:$I,9,FALSE)="","",VLOOKUP(A1538,[11]PRIORIZADOS!$A:$I,9,FALSE)),"")</f>
        <v>EVALUACIÓN_CON_FINES_DE_MEJORAMIENTO.</v>
      </c>
      <c r="J1538" s="11" t="str">
        <f>IFERROR(IF(VLOOKUP(A1538,[11]PRIORIZADOS!$A:$J,10,FALSE)="","",VLOOKUP(A1538,[11]PRIORIZADOS!$A:$J,10,FALSE)),"")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38" s="11" t="str">
        <f>IFERROR(IF(VLOOKUP(A1538,[11]PRIORIZADOS!$A:$K,11,FALSE)="","",VLOOKUP(A1538,[11]PRIORIZADOS!$A:$K,11,FALSE)),"")</f>
        <v>DORY CONSTANZA SANCHEZ ARAGÓN</v>
      </c>
      <c r="L1538" s="11" t="str">
        <f>IFERROR(IF(VLOOKUP(A1538,[11]PRIORIZADOS!$A:$L,12,FALSE)="","",VLOOKUP(A1538,[11]PRIORIZADOS!$A:$L,12,FALSE)),"")</f>
        <v>BEPCI YADIRA MINA ZAPATA</v>
      </c>
      <c r="M1538" s="71">
        <f>IFERROR(IF(VLOOKUP(A1538,[11]PRIORIZADOS!$A:$M,13,FALSE)="","",VLOOKUP(A1538,[11]PRIORIZADOS!$A:$M,13,FALSE)),"")</f>
        <v>45888</v>
      </c>
      <c r="N1538" s="71">
        <f>IFERROR(IF(VLOOKUP(A1538,[11]PRIORIZADOS!$A:$N,14,FALSE)="","",VLOOKUP(A1538,[11]PRIORIZADOS!$A:$N,14,FALSE)),"")</f>
        <v>45888</v>
      </c>
      <c r="O1538" s="71">
        <f>IFERROR(IF(VLOOKUP(A1538,[11]PRIORIZADOS!$A:$O,15,FALSE)="","",VLOOKUP(A1538,[11]PRIORIZADOS!$A:$O,15,FALSE)),"")</f>
        <v>45902</v>
      </c>
      <c r="P1538" s="11" t="str">
        <f>IFERROR(IF(VLOOKUP(A1538,[11]PRIORIZADOS!$A:$P,16,FALSE)="","",VLOOKUP(A1538,[11]PRIORIZADOS!$A:$P,16,FALSE)),"")</f>
        <v>Visitas de evaluación con fines de mejoramiento</v>
      </c>
      <c r="Q1538" s="5" t="s">
        <v>361</v>
      </c>
      <c r="R1538" s="11" t="str">
        <f>IFERROR(IF(VLOOKUP(A1538,[11]PRIORIZADOS!$A:$R,18,FALSE)="","",VLOOKUP(A1538,[11]PRIORIZADOS!$A:$R,18,FALSE)),"")</f>
        <v>No se evidencia participación del comite de onvivencia escolar, ya que no cuenta con actas de gobierno escolar.
Es necesario actualizarlo y cumpliendo con la normatividad vigente</v>
      </c>
      <c r="S1538" s="11" t="str">
        <f>IFERROR(IF(VLOOKUP(A1538,[11]PRIORIZADOS!$A:$S,19,FALSE)="","",VLOOKUP(A1538,[11]PRIORIZADOS!$A:$S,19,FALSE)),"")</f>
        <v>La institución debe actualizar el manual de convivencia con participación del gobierno escolar. Presentar plan de mejoramiento el 2 de octubre de 2025</v>
      </c>
      <c r="T1538" s="70" t="str">
        <f>IFERROR(IF(VLOOKUP(A1538,[11]PRIORIZADOS!$A:$T,20,FALSE)="","",VLOOKUP(A1538,[11]PRIORIZADOS!$A:$T,20,FALSE)),"")</f>
        <v>Si</v>
      </c>
      <c r="U1538" s="11" t="str">
        <f>IFERROR(IF(VLOOKUP(A1538,[11]PRIORIZADOS!$A:$U,21,FALSE)="","",VLOOKUP(A1538,[11]PRIORIZADOS!$A:$U,21,FALSE)),"")</f>
        <v>Revisar PM y verificar que se ajuste a las observaciones realizadas.</v>
      </c>
    </row>
    <row r="1539" spans="1:21" s="1" customFormat="1" ht="48">
      <c r="A1539" s="69">
        <f>IF([11]PRIORIZADOS!A50="","",[11]PRIORIZADOS!A50)</f>
        <v>1505</v>
      </c>
      <c r="B1539" s="70">
        <v>5</v>
      </c>
      <c r="C1539" s="11" t="str">
        <f>IFERROR(IF(VLOOKUP(A1539,[11]PRIORIZADOS!$A:$C,3,FALSE)="","",VLOOKUP(A1539,[11]PRIORIZADOS!$A:$C,3,FALSE)),"")</f>
        <v>RAFAEL URIBE URIBE</v>
      </c>
      <c r="D1539" s="11" t="str">
        <f>IFERROR(IF(VLOOKUP(A1539,[11]PRIORIZADOS!$A:$D,4,FALSE)="","",VLOOKUP(A1539,[11]PRIORIZADOS!$A:$D,4,FALSE)),"")</f>
        <v>PRIVADO</v>
      </c>
      <c r="E1539" s="11" t="str">
        <f>IFERROR(IF(VLOOKUP(A1539,[11]PRIORIZADOS!$A:$E,5,FALSE)="","",VLOOKUP(A1539,[11]PRIORIZADOS!$A:$E,5,FALSE)),"")</f>
        <v>EPBM</v>
      </c>
      <c r="F1539" s="11" t="str">
        <f>IFERROR(IF(VLOOKUP(A1539,[11]PRIORIZADOS!$A:$F,6,FALSE)="","",VLOOKUP(A1539,[11]PRIORIZADOS!$A:$F,6,FALSE)),"")</f>
        <v>COLEGIO_MAYOR_DEL_QUIROGA</v>
      </c>
      <c r="G1539" s="11" t="str">
        <f>IFERROR(IF(VLOOKUP(A1539,[11]PRIORIZADOS!$A:$G,7,FALSE)="","",VLOOKUP(A1539,[11]PRIORIZADOS!$A:$G,7,FALSE)),"")</f>
        <v>COLEGIO_MAYOR_DEL_QUIROGA</v>
      </c>
      <c r="H1539" s="11" t="str">
        <f>IFERROR(IF(VLOOKUP(A1539,[11]PRIORIZADOS!$A:$H,8,FALSE)="","",VLOOKUP(A1539,[11]PRIORIZADOS!$A:$H,8,FALSE)),"")</f>
        <v>Autoevaluación Institucional y Pruebas SABER 11</v>
      </c>
      <c r="I1539" s="11" t="str">
        <f>IFERROR(IF(VLOOKUP(A1539,[11]PRIORIZADOS!$A:$I,9,FALSE)="","",VLOOKUP(A1539,[11]PRIORIZADOS!$A:$I,9,FALSE)),"")</f>
        <v>EVALUACIÓN_CON_FINES_DE_MEJORAMIENTO.</v>
      </c>
      <c r="J1539" s="11" t="str">
        <f>IFERROR(IF(VLOOKUP(A1539,[11]PRIORIZADOS!$A:$J,10,FALSE)="","",VLOOKUP(A1539,[11]PRIORIZADOS!$A:$J,10,FALSE)),"")</f>
        <v>Revisar la actualización, socialización e implementación del Sistema Institucional de Evaluación de Estudiantes - SIEE, en articulación con la actualización del PEI y la normatividad vigente.</v>
      </c>
      <c r="K1539" s="11" t="str">
        <f>IFERROR(IF(VLOOKUP(A1539,[11]PRIORIZADOS!$A:$K,11,FALSE)="","",VLOOKUP(A1539,[11]PRIORIZADOS!$A:$K,11,FALSE)),"")</f>
        <v>DORY CONSTANZA SANCHEZ ARAGÓN</v>
      </c>
      <c r="L1539" s="11" t="str">
        <f>IFERROR(IF(VLOOKUP(A1539,[11]PRIORIZADOS!$A:$L,12,FALSE)="","",VLOOKUP(A1539,[11]PRIORIZADOS!$A:$L,12,FALSE)),"")</f>
        <v>BEPCI YADIRA MINA ZAPATA</v>
      </c>
      <c r="M1539" s="71">
        <f>IFERROR(IF(VLOOKUP(A1539,[11]PRIORIZADOS!$A:$M,13,FALSE)="","",VLOOKUP(A1539,[11]PRIORIZADOS!$A:$M,13,FALSE)),"")</f>
        <v>45888</v>
      </c>
      <c r="N1539" s="71">
        <f>IFERROR(IF(VLOOKUP(A1539,[11]PRIORIZADOS!$A:$N,14,FALSE)="","",VLOOKUP(A1539,[11]PRIORIZADOS!$A:$N,14,FALSE)),"")</f>
        <v>45888</v>
      </c>
      <c r="O1539" s="71">
        <f>IFERROR(IF(VLOOKUP(A1539,[11]PRIORIZADOS!$A:$O,15,FALSE)="","",VLOOKUP(A1539,[11]PRIORIZADOS!$A:$O,15,FALSE)),"")</f>
        <v>45902</v>
      </c>
      <c r="P1539" s="11" t="str">
        <f>IFERROR(IF(VLOOKUP(A1539,[11]PRIORIZADOS!$A:$P,16,FALSE)="","",VLOOKUP(A1539,[11]PRIORIZADOS!$A:$P,16,FALSE)),"")</f>
        <v>Visitas de evaluación con fines de mejoramiento</v>
      </c>
      <c r="Q1539" s="5" t="s">
        <v>361</v>
      </c>
      <c r="R1539" s="11" t="str">
        <f>IFERROR(IF(VLOOKUP(A1539,[11]PRIORIZADOS!$A:$R,18,FALSE)="","",VLOOKUP(A1539,[11]PRIORIZADOS!$A:$R,18,FALSE)),"")</f>
        <v>No presentan evidencias de la participación de la comunidad educativa en su construcción</v>
      </c>
      <c r="S1539" s="11" t="str">
        <f>IFERROR(IF(VLOOKUP(A1539,[11]PRIORIZADOS!$A:$S,19,FALSE)="","",VLOOKUP(A1539,[11]PRIORIZADOS!$A:$S,19,FALSE)),"")</f>
        <v>En el SIE se deben ampliar y fortalecer los criterios de evaluación y promoción. Presentar plan de mejoramiento el 2 de octubre de 2025</v>
      </c>
      <c r="T1539" s="70" t="str">
        <f>IFERROR(IF(VLOOKUP(A1539,[11]PRIORIZADOS!$A:$T,20,FALSE)="","",VLOOKUP(A1539,[11]PRIORIZADOS!$A:$T,20,FALSE)),"")</f>
        <v>Si</v>
      </c>
      <c r="U1539" s="11" t="str">
        <f>IFERROR(IF(VLOOKUP(A1539,[11]PRIORIZADOS!$A:$U,21,FALSE)="","",VLOOKUP(A1539,[11]PRIORIZADOS!$A:$U,21,FALSE)),"")</f>
        <v>Revisar PM y verificar que se ajuste a las observaciones realizadas.</v>
      </c>
    </row>
    <row r="1540" spans="1:21" s="1" customFormat="1" ht="60">
      <c r="A1540" s="69">
        <f>IF([11]PRIORIZADOS!A51="","",[11]PRIORIZADOS!A51)</f>
        <v>1506</v>
      </c>
      <c r="B1540" s="70">
        <v>5</v>
      </c>
      <c r="C1540" s="11" t="str">
        <f>IFERROR(IF(VLOOKUP(A1540,[11]PRIORIZADOS!$A:$C,3,FALSE)="","",VLOOKUP(A1540,[11]PRIORIZADOS!$A:$C,3,FALSE)),"")</f>
        <v>RAFAEL URIBE URIBE</v>
      </c>
      <c r="D1540" s="11" t="str">
        <f>IFERROR(IF(VLOOKUP(A1540,[11]PRIORIZADOS!$A:$D,4,FALSE)="","",VLOOKUP(A1540,[11]PRIORIZADOS!$A:$D,4,FALSE)),"")</f>
        <v>PRIVADO</v>
      </c>
      <c r="E1540" s="11" t="str">
        <f>IFERROR(IF(VLOOKUP(A1540,[11]PRIORIZADOS!$A:$E,5,FALSE)="","",VLOOKUP(A1540,[11]PRIORIZADOS!$A:$E,5,FALSE)),"")</f>
        <v>EPBM</v>
      </c>
      <c r="F1540" s="11" t="str">
        <f>IFERROR(IF(VLOOKUP(A1540,[11]PRIORIZADOS!$A:$F,6,FALSE)="","",VLOOKUP(A1540,[11]PRIORIZADOS!$A:$F,6,FALSE)),"")</f>
        <v>COLEGIO_MAYOR_DEL_QUIROGA</v>
      </c>
      <c r="G1540" s="11" t="str">
        <f>IFERROR(IF(VLOOKUP(A1540,[11]PRIORIZADOS!$A:$G,7,FALSE)="","",VLOOKUP(A1540,[11]PRIORIZADOS!$A:$G,7,FALSE)),"")</f>
        <v>COLEGIO_MAYOR_DEL_QUIROGA</v>
      </c>
      <c r="H1540" s="11" t="str">
        <f>IFERROR(IF(VLOOKUP(A1540,[11]PRIORIZADOS!$A:$H,8,FALSE)="","",VLOOKUP(A1540,[11]PRIORIZADOS!$A:$H,8,FALSE)),"")</f>
        <v>Autoevaluación Institucional y Pruebas SABER 11</v>
      </c>
      <c r="I1540" s="11" t="str">
        <f>IFERROR(IF(VLOOKUP(A1540,[11]PRIORIZADOS!$A:$I,9,FALSE)="","",VLOOKUP(A1540,[11]PRIORIZADOS!$A:$I,9,FALSE)),"")</f>
        <v>EVALUACIÓN_CON_FINES_DE_MEJORAMIENTO.</v>
      </c>
      <c r="J1540" s="11" t="str">
        <f>IFERROR(IF(VLOOKUP(A1540,[11]PRIORIZADOS!$A:$J,10,FALSE)="","",VLOOKUP(A1540,[11]PRIORIZADOS!$A:$J,10,FALSE)),"")</f>
        <v>Revisar el calendario escolar, jornada escolar, la intensidad horaria mínima anual en cada nivel y las modificaciones que se realicen al mismo, de acuerdo con lo previsto en la normatividad vigente.</v>
      </c>
      <c r="K1540" s="11" t="str">
        <f>IFERROR(IF(VLOOKUP(A1540,[11]PRIORIZADOS!$A:$K,11,FALSE)="","",VLOOKUP(A1540,[11]PRIORIZADOS!$A:$K,11,FALSE)),"")</f>
        <v>DORY CONSTANZA SANCHEZ ARAGÓN</v>
      </c>
      <c r="L1540" s="11" t="str">
        <f>IFERROR(IF(VLOOKUP(A1540,[11]PRIORIZADOS!$A:$L,12,FALSE)="","",VLOOKUP(A1540,[11]PRIORIZADOS!$A:$L,12,FALSE)),"")</f>
        <v>BEPCI YADIRA MINA ZAPATA</v>
      </c>
      <c r="M1540" s="71">
        <f>IFERROR(IF(VLOOKUP(A1540,[11]PRIORIZADOS!$A:$M,13,FALSE)="","",VLOOKUP(A1540,[11]PRIORIZADOS!$A:$M,13,FALSE)),"")</f>
        <v>45888</v>
      </c>
      <c r="N1540" s="71">
        <f>IFERROR(IF(VLOOKUP(A1540,[11]PRIORIZADOS!$A:$N,14,FALSE)="","",VLOOKUP(A1540,[11]PRIORIZADOS!$A:$N,14,FALSE)),"")</f>
        <v>45888</v>
      </c>
      <c r="O1540" s="71">
        <f>IFERROR(IF(VLOOKUP(A1540,[11]PRIORIZADOS!$A:$O,15,FALSE)="","",VLOOKUP(A1540,[11]PRIORIZADOS!$A:$O,15,FALSE)),"")</f>
        <v>45902</v>
      </c>
      <c r="P1540" s="11" t="str">
        <f>IFERROR(IF(VLOOKUP(A1540,[11]PRIORIZADOS!$A:$P,16,FALSE)="","",VLOOKUP(A1540,[11]PRIORIZADOS!$A:$P,16,FALSE)),"")</f>
        <v>Visitas de evaluación con fines de mejoramiento</v>
      </c>
      <c r="Q1540" s="5" t="s">
        <v>361</v>
      </c>
      <c r="R1540" s="11" t="str">
        <f>IFERROR(IF(VLOOKUP(A1540,[11]PRIORIZADOS!$A:$R,18,FALSE)="","",VLOOKUP(A1540,[11]PRIORIZADOS!$A:$R,18,FALSE)),"")</f>
        <v>El colegio desarrolla 35 horas de trabajo efectivo con los estudiantes de todos los niveles educativos, esto hace que el colegio cumpla con 1400 horas anuales desde preescolar hasta grado undécimo.</v>
      </c>
      <c r="S1540" s="11" t="str">
        <f>IFERROR(IF(VLOOKUP(A1540,[11]PRIORIZADOS!$A:$S,19,FALSE)="","",VLOOKUP(A1540,[11]PRIORIZADOS!$A:$S,19,FALSE)),"")</f>
        <v>Dar cumplimiento a lo establecido en el calendario</v>
      </c>
      <c r="T1540" s="70" t="str">
        <f>IFERROR(IF(VLOOKUP(A1540,[11]PRIORIZADOS!$A:$T,20,FALSE)="","",VLOOKUP(A1540,[11]PRIORIZADOS!$A:$T,20,FALSE)),"")</f>
        <v>No</v>
      </c>
      <c r="U1540" s="11" t="str">
        <f>IFERROR(IF(VLOOKUP(A1540,[11]PRIORIZADOS!$A:$U,21,FALSE)="","",VLOOKUP(A1540,[11]PRIORIZADOS!$A:$U,21,FALSE)),"")</f>
        <v>Verificar en caso de presentarse una queja</v>
      </c>
    </row>
    <row r="1541" spans="1:21" s="1" customFormat="1" ht="48">
      <c r="A1541" s="69">
        <f>IF([11]PRIORIZADOS!A52="","",[11]PRIORIZADOS!A52)</f>
        <v>1507</v>
      </c>
      <c r="B1541" s="70">
        <v>5</v>
      </c>
      <c r="C1541" s="11" t="str">
        <f>IFERROR(IF(VLOOKUP(A1541,[11]PRIORIZADOS!$A:$C,3,FALSE)="","",VLOOKUP(A1541,[11]PRIORIZADOS!$A:$C,3,FALSE)),"")</f>
        <v>RAFAEL URIBE URIBE</v>
      </c>
      <c r="D1541" s="11" t="str">
        <f>IFERROR(IF(VLOOKUP(A1541,[11]PRIORIZADOS!$A:$D,4,FALSE)="","",VLOOKUP(A1541,[11]PRIORIZADOS!$A:$D,4,FALSE)),"")</f>
        <v>PRIVADO</v>
      </c>
      <c r="E1541" s="11" t="str">
        <f>IFERROR(IF(VLOOKUP(A1541,[11]PRIORIZADOS!$A:$E,5,FALSE)="","",VLOOKUP(A1541,[11]PRIORIZADOS!$A:$E,5,FALSE)),"")</f>
        <v>EPBM</v>
      </c>
      <c r="F1541" s="11" t="str">
        <f>IFERROR(IF(VLOOKUP(A1541,[11]PRIORIZADOS!$A:$F,6,FALSE)="","",VLOOKUP(A1541,[11]PRIORIZADOS!$A:$F,6,FALSE)),"")</f>
        <v>COLEGIO_MAYOR_DEL_QUIROGA</v>
      </c>
      <c r="G1541" s="11" t="str">
        <f>IFERROR(IF(VLOOKUP(A1541,[11]PRIORIZADOS!$A:$G,7,FALSE)="","",VLOOKUP(A1541,[11]PRIORIZADOS!$A:$G,7,FALSE)),"")</f>
        <v>COLEGIO_MAYOR_DEL_QUIROGA</v>
      </c>
      <c r="H1541" s="11" t="str">
        <f>IFERROR(IF(VLOOKUP(A1541,[11]PRIORIZADOS!$A:$H,8,FALSE)="","",VLOOKUP(A1541,[11]PRIORIZADOS!$A:$H,8,FALSE)),"")</f>
        <v>Autoevaluación Institucional y Pruebas SABER 11</v>
      </c>
      <c r="I1541" s="11" t="str">
        <f>IFERROR(IF(VLOOKUP(A1541,[11]PRIORIZADOS!$A:$I,9,FALSE)="","",VLOOKUP(A1541,[11]PRIORIZADOS!$A:$I,9,FALSE)),"")</f>
        <v>EVALUACIÓN_CON_FINES_DE_MEJORAMIENTO.</v>
      </c>
      <c r="J1541" s="11" t="str">
        <f>IFERROR(IF(VLOOKUP(A1541,[11]PRIORIZADOS!$A:$J,10,FALSE)="","",VLOOKUP(A1541,[11]PRIORIZADOS!$A:$J,10,FALSE)),"")</f>
        <v>Verificar el funcionamiento del Gobierno Escolar e instancias de participación con base en la información sobre conformación reportada por la institución educativa.</v>
      </c>
      <c r="K1541" s="11" t="str">
        <f>IFERROR(IF(VLOOKUP(A1541,[11]PRIORIZADOS!$A:$K,11,FALSE)="","",VLOOKUP(A1541,[11]PRIORIZADOS!$A:$K,11,FALSE)),"")</f>
        <v>DORY CONSTANZA SANCHEZ ARAGÓN</v>
      </c>
      <c r="L1541" s="11" t="str">
        <f>IFERROR(IF(VLOOKUP(A1541,[11]PRIORIZADOS!$A:$L,12,FALSE)="","",VLOOKUP(A1541,[11]PRIORIZADOS!$A:$L,12,FALSE)),"")</f>
        <v>BEPCI YADIRA MINA ZAPATA</v>
      </c>
      <c r="M1541" s="71">
        <f>IFERROR(IF(VLOOKUP(A1541,[11]PRIORIZADOS!$A:$M,13,FALSE)="","",VLOOKUP(A1541,[11]PRIORIZADOS!$A:$M,13,FALSE)),"")</f>
        <v>45888</v>
      </c>
      <c r="N1541" s="71">
        <f>IFERROR(IF(VLOOKUP(A1541,[11]PRIORIZADOS!$A:$N,14,FALSE)="","",VLOOKUP(A1541,[11]PRIORIZADOS!$A:$N,14,FALSE)),"")</f>
        <v>45888</v>
      </c>
      <c r="O1541" s="71">
        <f>IFERROR(IF(VLOOKUP(A1541,[11]PRIORIZADOS!$A:$O,15,FALSE)="","",VLOOKUP(A1541,[11]PRIORIZADOS!$A:$O,15,FALSE)),"")</f>
        <v>45902</v>
      </c>
      <c r="P1541" s="11" t="str">
        <f>IFERROR(IF(VLOOKUP(A1541,[11]PRIORIZADOS!$A:$P,16,FALSE)="","",VLOOKUP(A1541,[11]PRIORIZADOS!$A:$P,16,FALSE)),"")</f>
        <v>Visitas de evaluación con fines de mejoramiento</v>
      </c>
      <c r="Q1541" s="5" t="s">
        <v>361</v>
      </c>
      <c r="R1541" s="11" t="str">
        <f>IFERROR(IF(VLOOKUP(A1541,[11]PRIORIZADOS!$A:$R,18,FALSE)="","",VLOOKUP(A1541,[11]PRIORIZADOS!$A:$R,18,FALSE)),"")</f>
        <v>Se evidencian actas de la conformación del gobierno escolar e instancias de participación. No se encuentrann actas de funcionamiento para todos los organos.</v>
      </c>
      <c r="S1541" s="11" t="str">
        <f>IFERROR(IF(VLOOKUP(A1541,[11]PRIORIZADOS!$A:$S,19,FALSE)="","",VLOOKUP(A1541,[11]PRIORIZADOS!$A:$S,19,FALSE)),"")</f>
        <v>Generar los espacios para el funcionamiento del gobierno escolar con sus respectivas actas. Presentar plan de mejoramiento el 2 de octubre de 2025</v>
      </c>
      <c r="T1541" s="70" t="str">
        <f>IFERROR(IF(VLOOKUP(A1541,[11]PRIORIZADOS!$A:$T,20,FALSE)="","",VLOOKUP(A1541,[11]PRIORIZADOS!$A:$T,20,FALSE)),"")</f>
        <v>Si</v>
      </c>
      <c r="U1541" s="11" t="str">
        <f>IFERROR(IF(VLOOKUP(A1541,[11]PRIORIZADOS!$A:$U,21,FALSE)="","",VLOOKUP(A1541,[11]PRIORIZADOS!$A:$U,21,FALSE)),"")</f>
        <v>Revisar PM y verificar que se ajuste a las observaciones realizadas.</v>
      </c>
    </row>
    <row r="1542" spans="1:21" s="1" customFormat="1" ht="60">
      <c r="A1542" s="69">
        <f>IF([11]PRIORIZADOS!A53="","",[11]PRIORIZADOS!A53)</f>
        <v>1508</v>
      </c>
      <c r="B1542" s="70">
        <v>5</v>
      </c>
      <c r="C1542" s="11" t="str">
        <f>IFERROR(IF(VLOOKUP(A1542,[11]PRIORIZADOS!$A:$C,3,FALSE)="","",VLOOKUP(A1542,[11]PRIORIZADOS!$A:$C,3,FALSE)),"")</f>
        <v>RAFAEL URIBE URIBE</v>
      </c>
      <c r="D1542" s="11" t="str">
        <f>IFERROR(IF(VLOOKUP(A1542,[11]PRIORIZADOS!$A:$D,4,FALSE)="","",VLOOKUP(A1542,[11]PRIORIZADOS!$A:$D,4,FALSE)),"")</f>
        <v>PRIVADO</v>
      </c>
      <c r="E1542" s="11" t="str">
        <f>IFERROR(IF(VLOOKUP(A1542,[11]PRIORIZADOS!$A:$E,5,FALSE)="","",VLOOKUP(A1542,[11]PRIORIZADOS!$A:$E,5,FALSE)),"")</f>
        <v>EPBM</v>
      </c>
      <c r="F1542" s="11" t="str">
        <f>IFERROR(IF(VLOOKUP(A1542,[11]PRIORIZADOS!$A:$F,6,FALSE)="","",VLOOKUP(A1542,[11]PRIORIZADOS!$A:$F,6,FALSE)),"")</f>
        <v>COLEGIO_MAYOR_DEL_QUIROGA</v>
      </c>
      <c r="G1542" s="11" t="str">
        <f>IFERROR(IF(VLOOKUP(A1542,[11]PRIORIZADOS!$A:$G,7,FALSE)="","",VLOOKUP(A1542,[11]PRIORIZADOS!$A:$G,7,FALSE)),"")</f>
        <v>COLEGIO_MAYOR_DEL_QUIROGA</v>
      </c>
      <c r="H1542" s="11" t="str">
        <f>IFERROR(IF(VLOOKUP(A1542,[11]PRIORIZADOS!$A:$H,8,FALSE)="","",VLOOKUP(A1542,[11]PRIORIZADOS!$A:$H,8,FALSE)),"")</f>
        <v>Autoevaluación Institucional y Pruebas SABER 11</v>
      </c>
      <c r="I1542" s="11" t="str">
        <f>IFERROR(IF(VLOOKUP(A1542,[11]PRIORIZADOS!$A:$I,9,FALSE)="","",VLOOKUP(A1542,[11]PRIORIZADOS!$A:$I,9,FALSE)),"")</f>
        <v>EVALUACIÓN_CON_FINES_DE_MEJORAMIENTO.</v>
      </c>
      <c r="J1542" s="11" t="str">
        <f>IFERROR(IF(VLOOKUP(A1542,[11]PRIORIZADOS!$A:$J,10,FALSE)="","",VLOOKUP(A1542,[11]PRIORIZADOS!$A:$J,10,FALSE)),"")</f>
        <v>Verificar las condiciones en cuanto a: la estructura administrativa, condiciones de la planta física y medios educativos adecuados.</v>
      </c>
      <c r="K1542" s="11" t="str">
        <f>IFERROR(IF(VLOOKUP(A1542,[11]PRIORIZADOS!$A:$K,11,FALSE)="","",VLOOKUP(A1542,[11]PRIORIZADOS!$A:$K,11,FALSE)),"")</f>
        <v>DORY CONSTANZA SANCHEZ ARAGÓN</v>
      </c>
      <c r="L1542" s="11" t="str">
        <f>IFERROR(IF(VLOOKUP(A1542,[11]PRIORIZADOS!$A:$L,12,FALSE)="","",VLOOKUP(A1542,[11]PRIORIZADOS!$A:$L,12,FALSE)),"")</f>
        <v>BEPCI YADIRA MINA ZAPATA</v>
      </c>
      <c r="M1542" s="71">
        <f>IFERROR(IF(VLOOKUP(A1542,[11]PRIORIZADOS!$A:$M,13,FALSE)="","",VLOOKUP(A1542,[11]PRIORIZADOS!$A:$M,13,FALSE)),"")</f>
        <v>45888</v>
      </c>
      <c r="N1542" s="71">
        <f>IFERROR(IF(VLOOKUP(A1542,[11]PRIORIZADOS!$A:$N,14,FALSE)="","",VLOOKUP(A1542,[11]PRIORIZADOS!$A:$N,14,FALSE)),"")</f>
        <v>45888</v>
      </c>
      <c r="O1542" s="71">
        <f>IFERROR(IF(VLOOKUP(A1542,[11]PRIORIZADOS!$A:$O,15,FALSE)="","",VLOOKUP(A1542,[11]PRIORIZADOS!$A:$O,15,FALSE)),"")</f>
        <v>45902</v>
      </c>
      <c r="P1542" s="11" t="str">
        <f>IFERROR(IF(VLOOKUP(A1542,[11]PRIORIZADOS!$A:$P,16,FALSE)="","",VLOOKUP(A1542,[11]PRIORIZADOS!$A:$P,16,FALSE)),"")</f>
        <v>Visitas de evaluación con fines de mejoramiento</v>
      </c>
      <c r="Q1542" s="5" t="s">
        <v>361</v>
      </c>
      <c r="R1542" s="11" t="str">
        <f>IFERROR(IF(VLOOKUP(A1542,[11]PRIORIZADOS!$A:$R,18,FALSE)="","",VLOOKUP(A1542,[11]PRIORIZADOS!$A:$R,18,FALSE)),"")</f>
        <v>Cuenta con sede con licencia de funcionamiento y una sede de preescolar se encuentra en emisión de acto administrativo. Los ambientes son adecuados y sufientes.</v>
      </c>
      <c r="S1542" s="11" t="str">
        <f>IFERROR(IF(VLOOKUP(A1542,[11]PRIORIZADOS!$A:$S,19,FALSE)="","",VLOOKUP(A1542,[11]PRIORIZADOS!$A:$S,19,FALSE)),"")</f>
        <v>Reorganizar los estudiantes de preescolar en la sede nueva al obtener la resolución</v>
      </c>
      <c r="T1542" s="70" t="str">
        <f>IFERROR(IF(VLOOKUP(A1542,[11]PRIORIZADOS!$A:$T,20,FALSE)="","",VLOOKUP(A1542,[11]PRIORIZADOS!$A:$T,20,FALSE)),"")</f>
        <v>No</v>
      </c>
      <c r="U1542" s="11" t="str">
        <f>IFERROR(IF(VLOOKUP(A1542,[11]PRIORIZADOS!$A:$U,21,FALSE)="","",VLOOKUP(A1542,[11]PRIORIZADOS!$A:$U,21,FALSE)),"")</f>
        <v>Verificar en caso de presentarse una queja</v>
      </c>
    </row>
    <row r="1543" spans="1:21" s="1" customFormat="1" ht="72">
      <c r="A1543" s="69">
        <f>IF([11]PRIORIZADOS!A54="","",[11]PRIORIZADOS!A54)</f>
        <v>1509</v>
      </c>
      <c r="B1543" s="70">
        <f>IFERROR(IF(VLOOKUP(A1543,[11]PRIORIZADOS!$A:$B,2,FALSE)="","",VLOOKUP(A1543,[11]PRIORIZADOS!$A:$B,2,FALSE)),"")</f>
        <v>6</v>
      </c>
      <c r="C1543" s="11" t="str">
        <f>IFERROR(IF(VLOOKUP(A1543,[11]PRIORIZADOS!$A:$C,3,FALSE)="","",VLOOKUP(A1543,[11]PRIORIZADOS!$A:$C,3,FALSE)),"")</f>
        <v>RAFAEL URIBE URIBE</v>
      </c>
      <c r="D1543" s="11" t="str">
        <f>IFERROR(IF(VLOOKUP(A1543,[11]PRIORIZADOS!$A:$D,4,FALSE)="","",VLOOKUP(A1543,[11]PRIORIZADOS!$A:$D,4,FALSE)),"")</f>
        <v>PRIVADO</v>
      </c>
      <c r="E1543" s="11" t="str">
        <f>IFERROR(IF(VLOOKUP(A1543,[11]PRIORIZADOS!$A:$E,5,FALSE)="","",VLOOKUP(A1543,[11]PRIORIZADOS!$A:$E,5,FALSE)),"")</f>
        <v>EPBM</v>
      </c>
      <c r="F1543" s="11" t="str">
        <f>IFERROR(IF(VLOOKUP(A1543,[11]PRIORIZADOS!$A:$F,6,FALSE)="","",VLOOKUP(A1543,[11]PRIORIZADOS!$A:$F,6,FALSE)),"")</f>
        <v>LICEO_PSICOPEDAGOGICO_SAN_PABLO</v>
      </c>
      <c r="G1543" s="11" t="str">
        <f>IFERROR(IF(VLOOKUP(A1543,[11]PRIORIZADOS!$A:$G,7,FALSE)="","",VLOOKUP(A1543,[11]PRIORIZADOS!$A:$G,7,FALSE)),"")</f>
        <v>LICEO_PSICOPEDAGOGICO_SAN_PABLO</v>
      </c>
      <c r="H1543" s="11" t="str">
        <f>IFERROR(IF(VLOOKUP(A1543,[11]PRIORIZADOS!$A:$H,8,FALSE)="","",VLOOKUP(A1543,[11]PRIORIZADOS!$A:$H,8,FALSE)),"")</f>
        <v>Autoevaluación Institucional y Pruebas SABER 11</v>
      </c>
      <c r="I1543" s="11" t="str">
        <f>IFERROR(IF(VLOOKUP(A1543,[11]PRIORIZADOS!$A:$I,9,FALSE)="","",VLOOKUP(A1543,[11]PRIORIZADOS!$A:$I,9,FALSE)),"")</f>
        <v>SEGUIMIENTO_Y_SUPERVISIÓN.</v>
      </c>
      <c r="J1543" s="11" t="str">
        <f>IFERROR(IF(VLOOKUP(A1543,[11]PRIORIZADOS!$A:$J,10,FALSE)="","",VLOOKUP(A1543,[11]PRIORIZADOS!$A:$J,10,FALSE)),"")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543" s="11" t="str">
        <f>IFERROR(IF(VLOOKUP(A1543,[11]PRIORIZADOS!$A:$K,11,FALSE)="","",VLOOKUP(A1543,[11]PRIORIZADOS!$A:$K,11,FALSE)),"")</f>
        <v>DORY CONSTANZA SANCHEZ ARAGÓN</v>
      </c>
      <c r="L1543" s="11" t="str">
        <f>IFERROR(IF(VLOOKUP(A1543,[11]PRIORIZADOS!$A:$L,12,FALSE)="","",VLOOKUP(A1543,[11]PRIORIZADOS!$A:$L,12,FALSE)),"")</f>
        <v>BEPCI YADIRA MINA ZAPATA</v>
      </c>
      <c r="M1543" s="71">
        <f>IFERROR(IF(VLOOKUP(A1543,[11]PRIORIZADOS!$A:$M,13,FALSE)="","",VLOOKUP(A1543,[11]PRIORIZADOS!$A:$M,13,FALSE)),"")</f>
        <v>45776</v>
      </c>
      <c r="N1543" s="71">
        <f>IFERROR(IF(VLOOKUP(A1543,[11]PRIORIZADOS!$A:$N,14,FALSE)="","",VLOOKUP(A1543,[11]PRIORIZADOS!$A:$N,14,FALSE)),"")</f>
        <v>45776</v>
      </c>
      <c r="O1543" s="71">
        <f>IFERROR(IF(VLOOKUP(A1543,[11]PRIORIZADOS!$A:$O,15,FALSE)="","",VLOOKUP(A1543,[11]PRIORIZADOS!$A:$O,15,FALSE)),"")</f>
        <v>45782</v>
      </c>
      <c r="P1543" s="11" t="str">
        <f>IFERROR(IF(VLOOKUP(A1543,[11]PRIORIZADOS!$A:$P,16,FALSE)="","",VLOOKUP(A1543,[11]PRIORIZADOS!$A:$P,16,FALSE)),"")</f>
        <v>Visitas de evaluación con fines de mejoramiento</v>
      </c>
      <c r="Q1543" s="107" t="s">
        <v>362</v>
      </c>
      <c r="R1543" s="11" t="str">
        <f>IFERROR(IF(VLOOKUP(A1543,[11]PRIORIZADOS!$A:$R,18,FALSE)="","",VLOOKUP(A1543,[11]PRIORIZADOS!$A:$R,18,FALSE)),"")</f>
        <v>No se evidencia plan de mejoramiento subido a EVI. Cuentan con docentes sin cumplimiento de requisitos en formación académica.
Un docente por presetación de servicios.</v>
      </c>
      <c r="S1543" s="11" t="str">
        <f>IFERROR(IF(VLOOKUP(A1543,[11]PRIORIZADOS!$A:$S,19,FALSE)="","",VLOOKUP(A1543,[11]PRIORIZADOS!$A:$S,19,FALSE)),"")</f>
        <v>Contratar docentes con la formación necesaria. Presentar plan de mejoramiento el 6 de junio de 2025</v>
      </c>
      <c r="T1543" s="70" t="str">
        <f>IFERROR(IF(VLOOKUP(A1543,[11]PRIORIZADOS!$A:$T,20,FALSE)="","",VLOOKUP(A1543,[11]PRIORIZADOS!$A:$T,20,FALSE)),"")</f>
        <v>Si</v>
      </c>
      <c r="U1543" s="11" t="str">
        <f>IFERROR(IF(VLOOKUP(A1543,[11]PRIORIZADOS!$A:$U,21,FALSE)="","",VLOOKUP(A1543,[11]PRIORIZADOS!$A:$U,21,FALSE)),"")</f>
        <v>Revisar PM y verificar que se ajuste a las observaciones realizadas.</v>
      </c>
    </row>
    <row r="1544" spans="1:21" s="1" customFormat="1" ht="48">
      <c r="A1544" s="69">
        <f>IF([11]PRIORIZADOS!A55="","",[11]PRIORIZADOS!A55)</f>
        <v>1510</v>
      </c>
      <c r="B1544" s="70">
        <v>6</v>
      </c>
      <c r="C1544" s="11" t="str">
        <f>IFERROR(IF(VLOOKUP(A1544,[11]PRIORIZADOS!$A:$C,3,FALSE)="","",VLOOKUP(A1544,[11]PRIORIZADOS!$A:$C,3,FALSE)),"")</f>
        <v>RAFAEL URIBE URIBE</v>
      </c>
      <c r="D1544" s="11" t="str">
        <f>IFERROR(IF(VLOOKUP(A1544,[11]PRIORIZADOS!$A:$D,4,FALSE)="","",VLOOKUP(A1544,[11]PRIORIZADOS!$A:$D,4,FALSE)),"")</f>
        <v>PRIVADO</v>
      </c>
      <c r="E1544" s="11" t="str">
        <f>IFERROR(IF(VLOOKUP(A1544,[11]PRIORIZADOS!$A:$E,5,FALSE)="","",VLOOKUP(A1544,[11]PRIORIZADOS!$A:$E,5,FALSE)),"")</f>
        <v>EPBM</v>
      </c>
      <c r="F1544" s="11" t="str">
        <f>IFERROR(IF(VLOOKUP(A1544,[11]PRIORIZADOS!$A:$F,6,FALSE)="","",VLOOKUP(A1544,[11]PRIORIZADOS!$A:$F,6,FALSE)),"")</f>
        <v>LICEO_PSICOPEDAGOGICO_SAN_PABLO</v>
      </c>
      <c r="G1544" s="11" t="str">
        <f>IFERROR(IF(VLOOKUP(A1544,[11]PRIORIZADOS!$A:$G,7,FALSE)="","",VLOOKUP(A1544,[11]PRIORIZADOS!$A:$G,7,FALSE)),"")</f>
        <v>LICEO_PSICOPEDAGOGICO_SAN_PABLO</v>
      </c>
      <c r="H1544" s="11" t="str">
        <f>IFERROR(IF(VLOOKUP(A1544,[11]PRIORIZADOS!$A:$H,8,FALSE)="","",VLOOKUP(A1544,[11]PRIORIZADOS!$A:$H,8,FALSE)),"")</f>
        <v>Autoevaluación Institucional y Pruebas SABER 11</v>
      </c>
      <c r="I1544" s="11" t="str">
        <f>IFERROR(IF(VLOOKUP(A1544,[11]PRIORIZADOS!$A:$I,9,FALSE)="","",VLOOKUP(A1544,[11]PRIORIZADOS!$A:$I,9,FALSE)),"")</f>
        <v>SEGUIMIENTO_Y_SUPERVISIÓN.</v>
      </c>
      <c r="J1544" s="11" t="str">
        <f>IFERROR(IF(VLOOKUP(A1544,[11]PRIORIZADOS!$A:$J,10,FALSE)="","",VLOOKUP(A1544,[11]PRIORIZADOS!$A:$J,10,FALSE)),"")</f>
        <v>Realizar visitas para verificar la información registrada sobre la autoevaluación institucional en el aplicativo EVI, a los establecimientos de educación formal no oficial.</v>
      </c>
      <c r="K1544" s="11" t="str">
        <f>IFERROR(IF(VLOOKUP(A1544,[11]PRIORIZADOS!$A:$K,11,FALSE)="","",VLOOKUP(A1544,[11]PRIORIZADOS!$A:$K,11,FALSE)),"")</f>
        <v>DORY CONSTANZA SANCHEZ ARAGÓN</v>
      </c>
      <c r="L1544" s="11" t="str">
        <f>IFERROR(IF(VLOOKUP(A1544,[11]PRIORIZADOS!$A:$L,12,FALSE)="","",VLOOKUP(A1544,[11]PRIORIZADOS!$A:$L,12,FALSE)),"")</f>
        <v>BEPCI YADIRA MINA ZAPATA</v>
      </c>
      <c r="M1544" s="71">
        <f>IFERROR(IF(VLOOKUP(A1544,[11]PRIORIZADOS!$A:$M,13,FALSE)="","",VLOOKUP(A1544,[11]PRIORIZADOS!$A:$M,13,FALSE)),"")</f>
        <v>45776</v>
      </c>
      <c r="N1544" s="71">
        <f>IFERROR(IF(VLOOKUP(A1544,[11]PRIORIZADOS!$A:$N,14,FALSE)="","",VLOOKUP(A1544,[11]PRIORIZADOS!$A:$N,14,FALSE)),"")</f>
        <v>45776</v>
      </c>
      <c r="O1544" s="71">
        <f>IFERROR(IF(VLOOKUP(A1544,[11]PRIORIZADOS!$A:$O,15,FALSE)="","",VLOOKUP(A1544,[11]PRIORIZADOS!$A:$O,15,FALSE)),"")</f>
        <v>45782</v>
      </c>
      <c r="P1544" s="11" t="str">
        <f>IFERROR(IF(VLOOKUP(A1544,[11]PRIORIZADOS!$A:$P,16,FALSE)="","",VLOOKUP(A1544,[11]PRIORIZADOS!$A:$P,16,FALSE)),"")</f>
        <v>Visitas de evaluación con fines de mejoramiento</v>
      </c>
      <c r="Q1544" s="107" t="s">
        <v>362</v>
      </c>
      <c r="R1544" s="11" t="str">
        <f>IFERROR(IF(VLOOKUP(A1544,[11]PRIORIZADOS!$A:$R,18,FALSE)="","",VLOOKUP(A1544,[11]PRIORIZADOS!$A:$R,18,FALSE)),"")</f>
        <v>Se encuentran 8 computadores, en EVI reporta mayor o igual a 20 computadores. 5 docentes sin título profesional.</v>
      </c>
      <c r="S1544" s="11" t="str">
        <f>IFERROR(IF(VLOOKUP(A1544,[11]PRIORIZADOS!$A:$S,19,FALSE)="","",VLOOKUP(A1544,[11]PRIORIZADOS!$A:$S,19,FALSE)),"")</f>
        <v>Contratar docentes con cumplimiento de requisitos, ajustar EVI a la realidad de la institución. Presentar plan de mejoramiento el 6 de junio de 2025</v>
      </c>
      <c r="T1544" s="70" t="str">
        <f>IFERROR(IF(VLOOKUP(A1544,[11]PRIORIZADOS!$A:$T,20,FALSE)="","",VLOOKUP(A1544,[11]PRIORIZADOS!$A:$T,20,FALSE)),"")</f>
        <v>Si</v>
      </c>
      <c r="U1544" s="11" t="str">
        <f>IFERROR(IF(VLOOKUP(A1544,[11]PRIORIZADOS!$A:$U,21,FALSE)="","",VLOOKUP(A1544,[11]PRIORIZADOS!$A:$U,21,FALSE)),"")</f>
        <v>Revisar PM y verificar que se ajuste a las observaciones realizadas.</v>
      </c>
    </row>
    <row r="1545" spans="1:21" s="1" customFormat="1" ht="84">
      <c r="A1545" s="69">
        <f>IF([11]PRIORIZADOS!A56="","",[11]PRIORIZADOS!A56)</f>
        <v>1511</v>
      </c>
      <c r="B1545" s="70">
        <v>6</v>
      </c>
      <c r="C1545" s="11" t="str">
        <f>IFERROR(IF(VLOOKUP(A1545,[11]PRIORIZADOS!$A:$C,3,FALSE)="","",VLOOKUP(A1545,[11]PRIORIZADOS!$A:$C,3,FALSE)),"")</f>
        <v>RAFAEL URIBE URIBE</v>
      </c>
      <c r="D1545" s="11" t="str">
        <f>IFERROR(IF(VLOOKUP(A1545,[11]PRIORIZADOS!$A:$D,4,FALSE)="","",VLOOKUP(A1545,[11]PRIORIZADOS!$A:$D,4,FALSE)),"")</f>
        <v>PRIVADO</v>
      </c>
      <c r="E1545" s="11" t="str">
        <f>IFERROR(IF(VLOOKUP(A1545,[11]PRIORIZADOS!$A:$E,5,FALSE)="","",VLOOKUP(A1545,[11]PRIORIZADOS!$A:$E,5,FALSE)),"")</f>
        <v>EPBM</v>
      </c>
      <c r="F1545" s="11" t="str">
        <f>IFERROR(IF(VLOOKUP(A1545,[11]PRIORIZADOS!$A:$F,6,FALSE)="","",VLOOKUP(A1545,[11]PRIORIZADOS!$A:$F,6,FALSE)),"")</f>
        <v>LICEO_PSICOPEDAGOGICO_SAN_PABLO</v>
      </c>
      <c r="G1545" s="11" t="str">
        <f>IFERROR(IF(VLOOKUP(A1545,[11]PRIORIZADOS!$A:$G,7,FALSE)="","",VLOOKUP(A1545,[11]PRIORIZADOS!$A:$G,7,FALSE)),"")</f>
        <v>LICEO_PSICOPEDAGOGICO_SAN_PABLO</v>
      </c>
      <c r="H1545" s="11" t="str">
        <f>IFERROR(IF(VLOOKUP(A1545,[11]PRIORIZADOS!$A:$H,8,FALSE)="","",VLOOKUP(A1545,[11]PRIORIZADOS!$A:$H,8,FALSE)),"")</f>
        <v>Autoevaluación Institucional y Pruebas SABER 11</v>
      </c>
      <c r="I1545" s="11" t="str">
        <f>IFERROR(IF(VLOOKUP(A1545,[11]PRIORIZADOS!$A:$I,9,FALSE)="","",VLOOKUP(A1545,[11]PRIORIZADOS!$A:$I,9,FALSE)),"")</f>
        <v>SEGUIMIENTO_Y_SUPERVISIÓN.</v>
      </c>
      <c r="J1545" s="11" t="str">
        <f>IFERROR(IF(VLOOKUP(A1545,[11]PRIORIZADOS!$A:$J,10,FALSE)="","",VLOOKUP(A1545,[11]PRIORIZADOS!$A:$J,10,FALSE)),"")</f>
        <v>Proponer estrategias en la formulación, verificar su elaboración y realizar seguimiento semestral al desarrollo de  las acciones establecidas en los planes de mejoramiento por pruebas SABER 11 de los establecimientos de educación formal.</v>
      </c>
      <c r="K1545" s="11" t="str">
        <f>IFERROR(IF(VLOOKUP(A1545,[11]PRIORIZADOS!$A:$K,11,FALSE)="","",VLOOKUP(A1545,[11]PRIORIZADOS!$A:$K,11,FALSE)),"")</f>
        <v>DORY CONSTANZA SANCHEZ ARAGÓN</v>
      </c>
      <c r="L1545" s="11" t="str">
        <f>IFERROR(IF(VLOOKUP(A1545,[11]PRIORIZADOS!$A:$L,12,FALSE)="","",VLOOKUP(A1545,[11]PRIORIZADOS!$A:$L,12,FALSE)),"")</f>
        <v>BEPCI YADIRA MINA ZAPATA</v>
      </c>
      <c r="M1545" s="71">
        <f>IFERROR(IF(VLOOKUP(A1545,[11]PRIORIZADOS!$A:$M,13,FALSE)="","",VLOOKUP(A1545,[11]PRIORIZADOS!$A:$M,13,FALSE)),"")</f>
        <v>45776</v>
      </c>
      <c r="N1545" s="71">
        <f>IFERROR(IF(VLOOKUP(A1545,[11]PRIORIZADOS!$A:$N,14,FALSE)="","",VLOOKUP(A1545,[11]PRIORIZADOS!$A:$N,14,FALSE)),"")</f>
        <v>45776</v>
      </c>
      <c r="O1545" s="71">
        <f>IFERROR(IF(VLOOKUP(A1545,[11]PRIORIZADOS!$A:$O,15,FALSE)="","",VLOOKUP(A1545,[11]PRIORIZADOS!$A:$O,15,FALSE)),"")</f>
        <v>45782</v>
      </c>
      <c r="P1545" s="11" t="str">
        <f>IFERROR(IF(VLOOKUP(A1545,[11]PRIORIZADOS!$A:$P,16,FALSE)="","",VLOOKUP(A1545,[11]PRIORIZADOS!$A:$P,16,FALSE)),"")</f>
        <v>Visitas de evaluación con fines de mejoramiento</v>
      </c>
      <c r="Q1545" s="107" t="s">
        <v>362</v>
      </c>
      <c r="R1545" s="11" t="str">
        <f>IFERROR(IF(VLOOKUP(A1545,[11]PRIORIZADOS!$A:$R,18,FALSE)="","",VLOOKUP(A1545,[11]PRIORIZADOS!$A:$R,18,FALSE)),"")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45" s="11" t="str">
        <f>IFERROR(IF(VLOOKUP(A1545,[11]PRIORIZADOS!$A:$S,19,FALSE)="","",VLOOKUP(A1545,[11]PRIORIZADOS!$A:$S,19,FALSE)),"")</f>
        <v>Realizar analisis de las Pruebas Saber y establecer acciones pertinentes. Presentar plan de mejoramiento el 6 de junio de 2025</v>
      </c>
      <c r="T1545" s="70" t="str">
        <f>IFERROR(IF(VLOOKUP(A1545,[11]PRIORIZADOS!$A:$T,20,FALSE)="","",VLOOKUP(A1545,[11]PRIORIZADOS!$A:$T,20,FALSE)),"")</f>
        <v>Si</v>
      </c>
      <c r="U1545" s="11" t="str">
        <f>IFERROR(IF(VLOOKUP(A1545,[11]PRIORIZADOS!$A:$U,21,FALSE)="","",VLOOKUP(A1545,[11]PRIORIZADOS!$A:$U,21,FALSE)),"")</f>
        <v>Revisar PM y verificar que se ajuste a las observaciones realizadas.</v>
      </c>
    </row>
    <row r="1546" spans="1:21" s="1" customFormat="1" ht="72">
      <c r="A1546" s="69">
        <f>IF([11]PRIORIZADOS!A57="","",[11]PRIORIZADOS!A57)</f>
        <v>1512</v>
      </c>
      <c r="B1546" s="70">
        <v>6</v>
      </c>
      <c r="C1546" s="11" t="str">
        <f>IFERROR(IF(VLOOKUP(A1546,[11]PRIORIZADOS!$A:$C,3,FALSE)="","",VLOOKUP(A1546,[11]PRIORIZADOS!$A:$C,3,FALSE)),"")</f>
        <v>RAFAEL URIBE URIBE</v>
      </c>
      <c r="D1546" s="11" t="str">
        <f>IFERROR(IF(VLOOKUP(A1546,[11]PRIORIZADOS!$A:$D,4,FALSE)="","",VLOOKUP(A1546,[11]PRIORIZADOS!$A:$D,4,FALSE)),"")</f>
        <v>PRIVADO</v>
      </c>
      <c r="E1546" s="11" t="str">
        <f>IFERROR(IF(VLOOKUP(A1546,[11]PRIORIZADOS!$A:$E,5,FALSE)="","",VLOOKUP(A1546,[11]PRIORIZADOS!$A:$E,5,FALSE)),"")</f>
        <v>EPBM</v>
      </c>
      <c r="F1546" s="11" t="str">
        <f>IFERROR(IF(VLOOKUP(A1546,[11]PRIORIZADOS!$A:$F,6,FALSE)="","",VLOOKUP(A1546,[11]PRIORIZADOS!$A:$F,6,FALSE)),"")</f>
        <v>LICEO_PSICOPEDAGOGICO_SAN_PABLO</v>
      </c>
      <c r="G1546" s="11" t="str">
        <f>IFERROR(IF(VLOOKUP(A1546,[11]PRIORIZADOS!$A:$G,7,FALSE)="","",VLOOKUP(A1546,[11]PRIORIZADOS!$A:$G,7,FALSE)),"")</f>
        <v>LICEO_PSICOPEDAGOGICO_SAN_PABLO</v>
      </c>
      <c r="H1546" s="11" t="str">
        <f>IFERROR(IF(VLOOKUP(A1546,[11]PRIORIZADOS!$A:$H,8,FALSE)="","",VLOOKUP(A1546,[11]PRIORIZADOS!$A:$H,8,FALSE)),"")</f>
        <v>Autoevaluación Institucional y Pruebas SABER 11</v>
      </c>
      <c r="I1546" s="11" t="str">
        <f>IFERROR(IF(VLOOKUP(A1546,[11]PRIORIZADOS!$A:$I,9,FALSE)="","",VLOOKUP(A1546,[11]PRIORIZADOS!$A:$I,9,FALSE)),"")</f>
        <v>SEGUIMIENTO_Y_SUPERVISIÓN.</v>
      </c>
      <c r="J1546" s="11" t="str">
        <f>IFERROR(IF(VLOOKUP(A1546,[11]PRIORIZADOS!$A:$J,10,FALSE)="","",VLOOKUP(A1546,[11]PRIORIZADOS!$A:$J,10,FALSE)),"")</f>
        <v xml:space="preserve">Verificar la implementación por parte de los colegios, de acciones realizadas para la prevención y atención de las situaciones de convivencia en el entorno escolar, según lo establecido en la Directiva 01 de 2022 del MEN. </v>
      </c>
      <c r="K1546" s="11" t="str">
        <f>IFERROR(IF(VLOOKUP(A1546,[11]PRIORIZADOS!$A:$K,11,FALSE)="","",VLOOKUP(A1546,[11]PRIORIZADOS!$A:$K,11,FALSE)),"")</f>
        <v>DORY CONSTANZA SANCHEZ ARAGÓN</v>
      </c>
      <c r="L1546" s="11" t="str">
        <f>IFERROR(IF(VLOOKUP(A1546,[11]PRIORIZADOS!$A:$L,12,FALSE)="","",VLOOKUP(A1546,[11]PRIORIZADOS!$A:$L,12,FALSE)),"")</f>
        <v>BEPCI YADIRA MINA ZAPATA</v>
      </c>
      <c r="M1546" s="71">
        <f>IFERROR(IF(VLOOKUP(A1546,[11]PRIORIZADOS!$A:$M,13,FALSE)="","",VLOOKUP(A1546,[11]PRIORIZADOS!$A:$M,13,FALSE)),"")</f>
        <v>45776</v>
      </c>
      <c r="N1546" s="71">
        <f>IFERROR(IF(VLOOKUP(A1546,[11]PRIORIZADOS!$A:$N,14,FALSE)="","",VLOOKUP(A1546,[11]PRIORIZADOS!$A:$N,14,FALSE)),"")</f>
        <v>45776</v>
      </c>
      <c r="O1546" s="71">
        <f>IFERROR(IF(VLOOKUP(A1546,[11]PRIORIZADOS!$A:$O,15,FALSE)="","",VLOOKUP(A1546,[11]PRIORIZADOS!$A:$O,15,FALSE)),"")</f>
        <v>45782</v>
      </c>
      <c r="P1546" s="11" t="str">
        <f>IFERROR(IF(VLOOKUP(A1546,[11]PRIORIZADOS!$A:$P,16,FALSE)="","",VLOOKUP(A1546,[11]PRIORIZADOS!$A:$P,16,FALSE)),"")</f>
        <v>Visitas de evaluación con fines de mejoramiento</v>
      </c>
      <c r="Q1546" s="107" t="s">
        <v>362</v>
      </c>
      <c r="R1546" s="11" t="str">
        <f>IFERROR(IF(VLOOKUP(A1546,[11]PRIORIZADOS!$A:$R,18,FALSE)="","",VLOOKUP(A1546,[11]PRIORIZADOS!$A:$R,18,FALSE)),"")</f>
        <v>Se evidencia  formato de atención de los casos de convivencia pero no cuentan con actas del funcionamiento del Comité de Convivencia en año 2025 y 2024.
Cuenta con verificacion de inhabilidadades por delitos sexuales de junio de 2024</v>
      </c>
      <c r="S1546" s="11" t="str">
        <f>IFERROR(IF(VLOOKUP(A1546,[11]PRIORIZADOS!$A:$S,19,FALSE)="","",VLOOKUP(A1546,[11]PRIORIZADOS!$A:$S,19,FALSE)),"")</f>
        <v>El comite cde convivencia se debe reunir cada 2 meses.
Se debe realizar verificación de antecedente cada 4 meses. Presentar plan de mejoramiento el 2 de octubre de 2025</v>
      </c>
      <c r="T1546" s="70" t="str">
        <f>IFERROR(IF(VLOOKUP(A1546,[11]PRIORIZADOS!$A:$T,20,FALSE)="","",VLOOKUP(A1546,[11]PRIORIZADOS!$A:$T,20,FALSE)),"")</f>
        <v>Si</v>
      </c>
      <c r="U1546" s="11" t="str">
        <f>IFERROR(IF(VLOOKUP(A1546,[11]PRIORIZADOS!$A:$U,21,FALSE)="","",VLOOKUP(A1546,[11]PRIORIZADOS!$A:$U,21,FALSE)),"")</f>
        <v>Revisar PM y verificar que se ajuste a las observaciones realizadas.</v>
      </c>
    </row>
    <row r="1547" spans="1:21" s="1" customFormat="1" ht="72">
      <c r="A1547" s="69">
        <f>IF([11]PRIORIZADOS!A58="","",[11]PRIORIZADOS!A58)</f>
        <v>1513</v>
      </c>
      <c r="B1547" s="70">
        <v>6</v>
      </c>
      <c r="C1547" s="11" t="str">
        <f>IFERROR(IF(VLOOKUP(A1547,[11]PRIORIZADOS!$A:$C,3,FALSE)="","",VLOOKUP(A1547,[11]PRIORIZADOS!$A:$C,3,FALSE)),"")</f>
        <v>RAFAEL URIBE URIBE</v>
      </c>
      <c r="D1547" s="11" t="str">
        <f>IFERROR(IF(VLOOKUP(A1547,[11]PRIORIZADOS!$A:$D,4,FALSE)="","",VLOOKUP(A1547,[11]PRIORIZADOS!$A:$D,4,FALSE)),"")</f>
        <v>PRIVADO</v>
      </c>
      <c r="E1547" s="11" t="str">
        <f>IFERROR(IF(VLOOKUP(A1547,[11]PRIORIZADOS!$A:$E,5,FALSE)="","",VLOOKUP(A1547,[11]PRIORIZADOS!$A:$E,5,FALSE)),"")</f>
        <v>EPBM</v>
      </c>
      <c r="F1547" s="11" t="str">
        <f>IFERROR(IF(VLOOKUP(A1547,[11]PRIORIZADOS!$A:$F,6,FALSE)="","",VLOOKUP(A1547,[11]PRIORIZADOS!$A:$F,6,FALSE)),"")</f>
        <v>LICEO_PSICOPEDAGOGICO_SAN_PABLO</v>
      </c>
      <c r="G1547" s="11" t="str">
        <f>IFERROR(IF(VLOOKUP(A1547,[11]PRIORIZADOS!$A:$G,7,FALSE)="","",VLOOKUP(A1547,[11]PRIORIZADOS!$A:$G,7,FALSE)),"")</f>
        <v>LICEO_PSICOPEDAGOGICO_SAN_PABLO</v>
      </c>
      <c r="H1547" s="11" t="str">
        <f>IFERROR(IF(VLOOKUP(A1547,[11]PRIORIZADOS!$A:$H,8,FALSE)="","",VLOOKUP(A1547,[11]PRIORIZADOS!$A:$H,8,FALSE)),"")</f>
        <v>Autoevaluación Institucional y Pruebas SABER 11</v>
      </c>
      <c r="I1547" s="11" t="str">
        <f>IFERROR(IF(VLOOKUP(A1547,[11]PRIORIZADOS!$A:$I,9,FALSE)="","",VLOOKUP(A1547,[11]PRIORIZADOS!$A:$I,9,FALSE)),"")</f>
        <v>SEGUIMIENTO_Y_SUPERVISIÓN.</v>
      </c>
      <c r="J1547" s="11" t="str">
        <f>IFERROR(IF(VLOOKUP(A1547,[11]PRIORIZADOS!$A:$J,10,FALSE)="","",VLOOKUP(A1547,[11]PRIORIZADOS!$A:$J,10,FALSE)),"")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47" s="11" t="str">
        <f>IFERROR(IF(VLOOKUP(A1547,[11]PRIORIZADOS!$A:$K,11,FALSE)="","",VLOOKUP(A1547,[11]PRIORIZADOS!$A:$K,11,FALSE)),"")</f>
        <v>DORY CONSTANZA SANCHEZ ARAGÓN</v>
      </c>
      <c r="L1547" s="11" t="str">
        <f>IFERROR(IF(VLOOKUP(A1547,[11]PRIORIZADOS!$A:$L,12,FALSE)="","",VLOOKUP(A1547,[11]PRIORIZADOS!$A:$L,12,FALSE)),"")</f>
        <v>BEPCI YADIRA MINA ZAPATA</v>
      </c>
      <c r="M1547" s="71">
        <f>IFERROR(IF(VLOOKUP(A1547,[11]PRIORIZADOS!$A:$M,13,FALSE)="","",VLOOKUP(A1547,[11]PRIORIZADOS!$A:$M,13,FALSE)),"")</f>
        <v>45776</v>
      </c>
      <c r="N1547" s="71">
        <f>IFERROR(IF(VLOOKUP(A1547,[11]PRIORIZADOS!$A:$N,14,FALSE)="","",VLOOKUP(A1547,[11]PRIORIZADOS!$A:$N,14,FALSE)),"")</f>
        <v>45776</v>
      </c>
      <c r="O1547" s="71">
        <f>IFERROR(IF(VLOOKUP(A1547,[11]PRIORIZADOS!$A:$O,15,FALSE)="","",VLOOKUP(A1547,[11]PRIORIZADOS!$A:$O,15,FALSE)),"")</f>
        <v>45782</v>
      </c>
      <c r="P1547" s="11" t="str">
        <f>IFERROR(IF(VLOOKUP(A1547,[11]PRIORIZADOS!$A:$P,16,FALSE)="","",VLOOKUP(A1547,[11]PRIORIZADOS!$A:$P,16,FALSE)),"")</f>
        <v>Visitas de evaluación con fines de mejoramiento</v>
      </c>
      <c r="Q1547" s="107" t="s">
        <v>362</v>
      </c>
      <c r="R1547" s="11" t="str">
        <f>IFERROR(IF(VLOOKUP(A1547,[11]PRIORIZADOS!$A:$R,18,FALSE)="","",VLOOKUP(A1547,[11]PRIORIZADOS!$A:$R,18,FALSE)),"")</f>
        <v>Se verifica en SIMAT se registran 1 estudiante con discapacidad, no se cuenta con PIAR.
En el PEI - Manual - SIEE no incorpora la atención a la poblacion de discapacidad.</v>
      </c>
      <c r="S1547" s="11" t="str">
        <f>IFERROR(IF(VLOOKUP(A1547,[11]PRIORIZADOS!$A:$S,19,FALSE)="","",VLOOKUP(A1547,[11]PRIORIZADOS!$A:$S,19,FALSE)),"")</f>
        <v>Realizar el PIAR. Incoroporar en el PEI la atención a esta población. Presentar plan de mejoramiento el 6 de junio de 2025</v>
      </c>
      <c r="T1547" s="70" t="str">
        <f>IFERROR(IF(VLOOKUP(A1547,[11]PRIORIZADOS!$A:$T,20,FALSE)="","",VLOOKUP(A1547,[11]PRIORIZADOS!$A:$T,20,FALSE)),"")</f>
        <v>Si</v>
      </c>
      <c r="U1547" s="11" t="str">
        <f>IFERROR(IF(VLOOKUP(A1547,[11]PRIORIZADOS!$A:$U,21,FALSE)="","",VLOOKUP(A1547,[11]PRIORIZADOS!$A:$U,21,FALSE)),"")</f>
        <v>Revisar PM y verificar que se ajuste a las observaciones realizadas.</v>
      </c>
    </row>
    <row r="1548" spans="1:21" s="1" customFormat="1" ht="84">
      <c r="A1548" s="69">
        <f>IF([11]PRIORIZADOS!A59="","",[11]PRIORIZADOS!A59)</f>
        <v>1514</v>
      </c>
      <c r="B1548" s="70">
        <v>6</v>
      </c>
      <c r="C1548" s="11" t="str">
        <f>IFERROR(IF(VLOOKUP(A1548,[11]PRIORIZADOS!$A:$C,3,FALSE)="","",VLOOKUP(A1548,[11]PRIORIZADOS!$A:$C,3,FALSE)),"")</f>
        <v>RAFAEL URIBE URIBE</v>
      </c>
      <c r="D1548" s="11" t="str">
        <f>IFERROR(IF(VLOOKUP(A1548,[11]PRIORIZADOS!$A:$D,4,FALSE)="","",VLOOKUP(A1548,[11]PRIORIZADOS!$A:$D,4,FALSE)),"")</f>
        <v>PRIVADO</v>
      </c>
      <c r="E1548" s="11" t="str">
        <f>IFERROR(IF(VLOOKUP(A1548,[11]PRIORIZADOS!$A:$E,5,FALSE)="","",VLOOKUP(A1548,[11]PRIORIZADOS!$A:$E,5,FALSE)),"")</f>
        <v>EPBM</v>
      </c>
      <c r="F1548" s="11" t="str">
        <f>IFERROR(IF(VLOOKUP(A1548,[11]PRIORIZADOS!$A:$F,6,FALSE)="","",VLOOKUP(A1548,[11]PRIORIZADOS!$A:$F,6,FALSE)),"")</f>
        <v>LICEO_PSICOPEDAGOGICO_SAN_PABLO</v>
      </c>
      <c r="G1548" s="11" t="str">
        <f>IFERROR(IF(VLOOKUP(A1548,[11]PRIORIZADOS!$A:$G,7,FALSE)="","",VLOOKUP(A1548,[11]PRIORIZADOS!$A:$G,7,FALSE)),"")</f>
        <v>LICEO_PSICOPEDAGOGICO_SAN_PABLO</v>
      </c>
      <c r="H1548" s="11" t="str">
        <f>IFERROR(IF(VLOOKUP(A1548,[11]PRIORIZADOS!$A:$H,8,FALSE)="","",VLOOKUP(A1548,[11]PRIORIZADOS!$A:$H,8,FALSE)),"")</f>
        <v>Autoevaluación Institucional y Pruebas SABER 11</v>
      </c>
      <c r="I1548" s="11" t="str">
        <f>IFERROR(IF(VLOOKUP(A1548,[11]PRIORIZADOS!$A:$I,9,FALSE)="","",VLOOKUP(A1548,[11]PRIORIZADOS!$A:$I,9,FALSE)),"")</f>
        <v>EVALUACIÓN_CON_FINES_DE_MEJORAMIENTO.</v>
      </c>
      <c r="J1548" s="11" t="str">
        <f>IFERROR(IF(VLOOKUP(A1548,[11]PRIORIZADOS!$A:$J,10,FALSE)="","",VLOOKUP(A1548,[11]PRIORIZADOS!$A:$J,10,FALSE)),"")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48" s="11" t="str">
        <f>IFERROR(IF(VLOOKUP(A1548,[11]PRIORIZADOS!$A:$K,11,FALSE)="","",VLOOKUP(A1548,[11]PRIORIZADOS!$A:$K,11,FALSE)),"")</f>
        <v>DORY CONSTANZA SANCHEZ ARAGÓN</v>
      </c>
      <c r="L1548" s="11" t="str">
        <f>IFERROR(IF(VLOOKUP(A1548,[11]PRIORIZADOS!$A:$L,12,FALSE)="","",VLOOKUP(A1548,[11]PRIORIZADOS!$A:$L,12,FALSE)),"")</f>
        <v>BEPCI YADIRA MINA ZAPATA</v>
      </c>
      <c r="M1548" s="71">
        <f>IFERROR(IF(VLOOKUP(A1548,[11]PRIORIZADOS!$A:$M,13,FALSE)="","",VLOOKUP(A1548,[11]PRIORIZADOS!$A:$M,13,FALSE)),"")</f>
        <v>45776</v>
      </c>
      <c r="N1548" s="71">
        <f>IFERROR(IF(VLOOKUP(A1548,[11]PRIORIZADOS!$A:$N,14,FALSE)="","",VLOOKUP(A1548,[11]PRIORIZADOS!$A:$N,14,FALSE)),"")</f>
        <v>45776</v>
      </c>
      <c r="O1548" s="71">
        <f>IFERROR(IF(VLOOKUP(A1548,[11]PRIORIZADOS!$A:$O,15,FALSE)="","",VLOOKUP(A1548,[11]PRIORIZADOS!$A:$O,15,FALSE)),"")</f>
        <v>45782</v>
      </c>
      <c r="P1548" s="11" t="str">
        <f>IFERROR(IF(VLOOKUP(A1548,[11]PRIORIZADOS!$A:$P,16,FALSE)="","",VLOOKUP(A1548,[11]PRIORIZADOS!$A:$P,16,FALSE)),"")</f>
        <v>Visitas de evaluación con fines de mejoramiento</v>
      </c>
      <c r="Q1548" s="107" t="s">
        <v>362</v>
      </c>
      <c r="R1548" s="11" t="str">
        <f>IFERROR(IF(VLOOKUP(A1548,[11]PRIORIZADOS!$A:$R,18,FALSE)="","",VLOOKUP(A1548,[11]PRIORIZADOS!$A:$R,18,FALSE)),"")</f>
        <v>No se evidencia aprobación del manual de convivencia, ya que no cuenta con actas de gobierno escolar.
No se encuentra actualizada y cumpliendo con la normatividad vigente</v>
      </c>
      <c r="S1548" s="11" t="str">
        <f>IFERROR(IF(VLOOKUP(A1548,[11]PRIORIZADOS!$A:$S,19,FALSE)="","",VLOOKUP(A1548,[11]PRIORIZADOS!$A:$S,19,FALSE)),"")</f>
        <v>La institución debe actualizar el manual de convivencia con participación del gobierno escolar. Presentar plan de mejoramiento el 6 de junio de 2025</v>
      </c>
      <c r="T1548" s="70" t="str">
        <f>IFERROR(IF(VLOOKUP(A1548,[11]PRIORIZADOS!$A:$T,20,FALSE)="","",VLOOKUP(A1548,[11]PRIORIZADOS!$A:$T,20,FALSE)),"")</f>
        <v>Si</v>
      </c>
      <c r="U1548" s="11" t="str">
        <f>IFERROR(IF(VLOOKUP(A1548,[11]PRIORIZADOS!$A:$U,21,FALSE)="","",VLOOKUP(A1548,[11]PRIORIZADOS!$A:$U,21,FALSE)),"")</f>
        <v>Revisar PM y verificar que se ajuste a las observaciones realizadas.</v>
      </c>
    </row>
    <row r="1549" spans="1:21" s="1" customFormat="1" ht="48">
      <c r="A1549" s="69">
        <f>IF([11]PRIORIZADOS!A60="","",[11]PRIORIZADOS!A60)</f>
        <v>1515</v>
      </c>
      <c r="B1549" s="70">
        <v>6</v>
      </c>
      <c r="C1549" s="11" t="str">
        <f>IFERROR(IF(VLOOKUP(A1549,[11]PRIORIZADOS!$A:$C,3,FALSE)="","",VLOOKUP(A1549,[11]PRIORIZADOS!$A:$C,3,FALSE)),"")</f>
        <v>RAFAEL URIBE URIBE</v>
      </c>
      <c r="D1549" s="11" t="str">
        <f>IFERROR(IF(VLOOKUP(A1549,[11]PRIORIZADOS!$A:$D,4,FALSE)="","",VLOOKUP(A1549,[11]PRIORIZADOS!$A:$D,4,FALSE)),"")</f>
        <v>PRIVADO</v>
      </c>
      <c r="E1549" s="11" t="str">
        <f>IFERROR(IF(VLOOKUP(A1549,[11]PRIORIZADOS!$A:$E,5,FALSE)="","",VLOOKUP(A1549,[11]PRIORIZADOS!$A:$E,5,FALSE)),"")</f>
        <v>EPBM</v>
      </c>
      <c r="F1549" s="11" t="str">
        <f>IFERROR(IF(VLOOKUP(A1549,[11]PRIORIZADOS!$A:$F,6,FALSE)="","",VLOOKUP(A1549,[11]PRIORIZADOS!$A:$F,6,FALSE)),"")</f>
        <v>LICEO_PSICOPEDAGOGICO_SAN_PABLO</v>
      </c>
      <c r="G1549" s="11" t="str">
        <f>IFERROR(IF(VLOOKUP(A1549,[11]PRIORIZADOS!$A:$G,7,FALSE)="","",VLOOKUP(A1549,[11]PRIORIZADOS!$A:$G,7,FALSE)),"")</f>
        <v>LICEO_PSICOPEDAGOGICO_SAN_PABLO</v>
      </c>
      <c r="H1549" s="11" t="str">
        <f>IFERROR(IF(VLOOKUP(A1549,[11]PRIORIZADOS!$A:$H,8,FALSE)="","",VLOOKUP(A1549,[11]PRIORIZADOS!$A:$H,8,FALSE)),"")</f>
        <v>Autoevaluación Institucional y Pruebas SABER 11</v>
      </c>
      <c r="I1549" s="11" t="str">
        <f>IFERROR(IF(VLOOKUP(A1549,[11]PRIORIZADOS!$A:$I,9,FALSE)="","",VLOOKUP(A1549,[11]PRIORIZADOS!$A:$I,9,FALSE)),"")</f>
        <v>EVALUACIÓN_CON_FINES_DE_MEJORAMIENTO.</v>
      </c>
      <c r="J1549" s="11" t="str">
        <f>IFERROR(IF(VLOOKUP(A1549,[11]PRIORIZADOS!$A:$J,10,FALSE)="","",VLOOKUP(A1549,[11]PRIORIZADOS!$A:$J,10,FALSE)),"")</f>
        <v>Revisar la actualización, socialización e implementación del Sistema Institucional de Evaluación de Estudiantes - SIEE, en articulación con la actualización del PEI y la normatividad vigente.</v>
      </c>
      <c r="K1549" s="11" t="str">
        <f>IFERROR(IF(VLOOKUP(A1549,[11]PRIORIZADOS!$A:$K,11,FALSE)="","",VLOOKUP(A1549,[11]PRIORIZADOS!$A:$K,11,FALSE)),"")</f>
        <v>DORY CONSTANZA SANCHEZ ARAGÓN</v>
      </c>
      <c r="L1549" s="11" t="str">
        <f>IFERROR(IF(VLOOKUP(A1549,[11]PRIORIZADOS!$A:$L,12,FALSE)="","",VLOOKUP(A1549,[11]PRIORIZADOS!$A:$L,12,FALSE)),"")</f>
        <v>BEPCI YADIRA MINA ZAPATA</v>
      </c>
      <c r="M1549" s="71">
        <f>IFERROR(IF(VLOOKUP(A1549,[11]PRIORIZADOS!$A:$M,13,FALSE)="","",VLOOKUP(A1549,[11]PRIORIZADOS!$A:$M,13,FALSE)),"")</f>
        <v>45776</v>
      </c>
      <c r="N1549" s="71">
        <f>IFERROR(IF(VLOOKUP(A1549,[11]PRIORIZADOS!$A:$N,14,FALSE)="","",VLOOKUP(A1549,[11]PRIORIZADOS!$A:$N,14,FALSE)),"")</f>
        <v>45776</v>
      </c>
      <c r="O1549" s="71">
        <f>IFERROR(IF(VLOOKUP(A1549,[11]PRIORIZADOS!$A:$O,15,FALSE)="","",VLOOKUP(A1549,[11]PRIORIZADOS!$A:$O,15,FALSE)),"")</f>
        <v>45782</v>
      </c>
      <c r="P1549" s="11" t="str">
        <f>IFERROR(IF(VLOOKUP(A1549,[11]PRIORIZADOS!$A:$P,16,FALSE)="","",VLOOKUP(A1549,[11]PRIORIZADOS!$A:$P,16,FALSE)),"")</f>
        <v>Visitas de evaluación con fines de mejoramiento</v>
      </c>
      <c r="Q1549" s="107" t="s">
        <v>362</v>
      </c>
      <c r="R1549" s="11" t="str">
        <f>IFERROR(IF(VLOOKUP(A1549,[11]PRIORIZADOS!$A:$R,18,FALSE)="","",VLOOKUP(A1549,[11]PRIORIZADOS!$A:$R,18,FALSE)),"")</f>
        <v>No presentan evidencias de la participación de la comunidad educativa en su construcción</v>
      </c>
      <c r="S1549" s="11" t="str">
        <f>IFERROR(IF(VLOOKUP(A1549,[11]PRIORIZADOS!$A:$S,19,FALSE)="","",VLOOKUP(A1549,[11]PRIORIZADOS!$A:$S,19,FALSE)),"")</f>
        <v>En el SIE se deben ampliar y fortalecer los criterios de evaluación y promoción.
La institución debe presentar plan de mejoramiento el 6 de junio de 2025</v>
      </c>
      <c r="T1549" s="70" t="str">
        <f>IFERROR(IF(VLOOKUP(A1549,[11]PRIORIZADOS!$A:$T,20,FALSE)="","",VLOOKUP(A1549,[11]PRIORIZADOS!$A:$T,20,FALSE)),"")</f>
        <v>Si</v>
      </c>
      <c r="U1549" s="11" t="str">
        <f>IFERROR(IF(VLOOKUP(A1549,[11]PRIORIZADOS!$A:$U,21,FALSE)="","",VLOOKUP(A1549,[11]PRIORIZADOS!$A:$U,21,FALSE)),"")</f>
        <v>Revisar PM y verificar que se ajuste a las observaciones realizadas.</v>
      </c>
    </row>
    <row r="1550" spans="1:21" s="1" customFormat="1" ht="60">
      <c r="A1550" s="69">
        <f>IF([11]PRIORIZADOS!A61="","",[11]PRIORIZADOS!A61)</f>
        <v>1516</v>
      </c>
      <c r="B1550" s="70">
        <v>6</v>
      </c>
      <c r="C1550" s="11" t="str">
        <f>IFERROR(IF(VLOOKUP(A1550,[11]PRIORIZADOS!$A:$C,3,FALSE)="","",VLOOKUP(A1550,[11]PRIORIZADOS!$A:$C,3,FALSE)),"")</f>
        <v>RAFAEL URIBE URIBE</v>
      </c>
      <c r="D1550" s="11" t="str">
        <f>IFERROR(IF(VLOOKUP(A1550,[11]PRIORIZADOS!$A:$D,4,FALSE)="","",VLOOKUP(A1550,[11]PRIORIZADOS!$A:$D,4,FALSE)),"")</f>
        <v>PRIVADO</v>
      </c>
      <c r="E1550" s="11" t="str">
        <f>IFERROR(IF(VLOOKUP(A1550,[11]PRIORIZADOS!$A:$E,5,FALSE)="","",VLOOKUP(A1550,[11]PRIORIZADOS!$A:$E,5,FALSE)),"")</f>
        <v>EPBM</v>
      </c>
      <c r="F1550" s="11" t="str">
        <f>IFERROR(IF(VLOOKUP(A1550,[11]PRIORIZADOS!$A:$F,6,FALSE)="","",VLOOKUP(A1550,[11]PRIORIZADOS!$A:$F,6,FALSE)),"")</f>
        <v>LICEO_PSICOPEDAGOGICO_SAN_PABLO</v>
      </c>
      <c r="G1550" s="11" t="str">
        <f>IFERROR(IF(VLOOKUP(A1550,[11]PRIORIZADOS!$A:$G,7,FALSE)="","",VLOOKUP(A1550,[11]PRIORIZADOS!$A:$G,7,FALSE)),"")</f>
        <v>LICEO_PSICOPEDAGOGICO_SAN_PABLO</v>
      </c>
      <c r="H1550" s="11" t="str">
        <f>IFERROR(IF(VLOOKUP(A1550,[11]PRIORIZADOS!$A:$H,8,FALSE)="","",VLOOKUP(A1550,[11]PRIORIZADOS!$A:$H,8,FALSE)),"")</f>
        <v>Autoevaluación Institucional y Pruebas SABER 11</v>
      </c>
      <c r="I1550" s="11" t="str">
        <f>IFERROR(IF(VLOOKUP(A1550,[11]PRIORIZADOS!$A:$I,9,FALSE)="","",VLOOKUP(A1550,[11]PRIORIZADOS!$A:$I,9,FALSE)),"")</f>
        <v>EVALUACIÓN_CON_FINES_DE_MEJORAMIENTO.</v>
      </c>
      <c r="J1550" s="11" t="str">
        <f>IFERROR(IF(VLOOKUP(A1550,[11]PRIORIZADOS!$A:$J,10,FALSE)="","",VLOOKUP(A1550,[11]PRIORIZADOS!$A:$J,10,FALSE)),"")</f>
        <v>Revisar el calendario escolar, jornada escolar, la intensidad horaria mínima anual en cada nivel y las modificaciones que se realicen al mismo, de acuerdo con lo previsto en la normatividad vigente.</v>
      </c>
      <c r="K1550" s="11" t="str">
        <f>IFERROR(IF(VLOOKUP(A1550,[11]PRIORIZADOS!$A:$K,11,FALSE)="","",VLOOKUP(A1550,[11]PRIORIZADOS!$A:$K,11,FALSE)),"")</f>
        <v>DORY CONSTANZA SANCHEZ ARAGÓN</v>
      </c>
      <c r="L1550" s="11" t="str">
        <f>IFERROR(IF(VLOOKUP(A1550,[11]PRIORIZADOS!$A:$L,12,FALSE)="","",VLOOKUP(A1550,[11]PRIORIZADOS!$A:$L,12,FALSE)),"")</f>
        <v>BEPCI YADIRA MINA ZAPATA</v>
      </c>
      <c r="M1550" s="71">
        <f>IFERROR(IF(VLOOKUP(A1550,[11]PRIORIZADOS!$A:$M,13,FALSE)="","",VLOOKUP(A1550,[11]PRIORIZADOS!$A:$M,13,FALSE)),"")</f>
        <v>45776</v>
      </c>
      <c r="N1550" s="71">
        <f>IFERROR(IF(VLOOKUP(A1550,[11]PRIORIZADOS!$A:$N,14,FALSE)="","",VLOOKUP(A1550,[11]PRIORIZADOS!$A:$N,14,FALSE)),"")</f>
        <v>45776</v>
      </c>
      <c r="O1550" s="71">
        <f>IFERROR(IF(VLOOKUP(A1550,[11]PRIORIZADOS!$A:$O,15,FALSE)="","",VLOOKUP(A1550,[11]PRIORIZADOS!$A:$O,15,FALSE)),"")</f>
        <v>45782</v>
      </c>
      <c r="P1550" s="11" t="str">
        <f>IFERROR(IF(VLOOKUP(A1550,[11]PRIORIZADOS!$A:$P,16,FALSE)="","",VLOOKUP(A1550,[11]PRIORIZADOS!$A:$P,16,FALSE)),"")</f>
        <v>Visitas de evaluación con fines de mejoramiento</v>
      </c>
      <c r="Q1550" s="107" t="s">
        <v>362</v>
      </c>
      <c r="R1550" s="11" t="str">
        <f>IFERROR(IF(VLOOKUP(A1550,[11]PRIORIZADOS!$A:$R,18,FALSE)="","",VLOOKUP(A1550,[11]PRIORIZADOS!$A:$R,18,FALSE)),"")</f>
        <v>Se encuentra diferencia en los distintos documentos de la institución con los horarios académicos.</v>
      </c>
      <c r="S1550" s="11" t="str">
        <f>IFERROR(IF(VLOOKUP(A1550,[11]PRIORIZADOS!$A:$S,19,FALSE)="","",VLOOKUP(A1550,[11]PRIORIZADOS!$A:$S,19,FALSE)),"")</f>
        <v>Establecer el calendario academico y debe garantizar el cumplimiento a la intensidad horaria en los diferentes niveles.La institución debe presentar plan de mejoramiento el 6 de junio de 2025</v>
      </c>
      <c r="T1550" s="70" t="str">
        <f>IFERROR(IF(VLOOKUP(A1550,[11]PRIORIZADOS!$A:$T,20,FALSE)="","",VLOOKUP(A1550,[11]PRIORIZADOS!$A:$T,20,FALSE)),"")</f>
        <v>Si</v>
      </c>
      <c r="U1550" s="11" t="str">
        <f>IFERROR(IF(VLOOKUP(A1550,[11]PRIORIZADOS!$A:$U,21,FALSE)="","",VLOOKUP(A1550,[11]PRIORIZADOS!$A:$U,21,FALSE)),"")</f>
        <v>Revisar PM y verificar que se ajuste a las observaciones realizadas.</v>
      </c>
    </row>
    <row r="1551" spans="1:21" s="1" customFormat="1" ht="84">
      <c r="A1551" s="69">
        <f>IF([11]PRIORIZADOS!A62="","",[11]PRIORIZADOS!A62)</f>
        <v>1517</v>
      </c>
      <c r="B1551" s="70">
        <v>6</v>
      </c>
      <c r="C1551" s="11" t="str">
        <f>IFERROR(IF(VLOOKUP(A1551,[11]PRIORIZADOS!$A:$C,3,FALSE)="","",VLOOKUP(A1551,[11]PRIORIZADOS!$A:$C,3,FALSE)),"")</f>
        <v>RAFAEL URIBE URIBE</v>
      </c>
      <c r="D1551" s="11" t="str">
        <f>IFERROR(IF(VLOOKUP(A1551,[11]PRIORIZADOS!$A:$D,4,FALSE)="","",VLOOKUP(A1551,[11]PRIORIZADOS!$A:$D,4,FALSE)),"")</f>
        <v>PRIVADO</v>
      </c>
      <c r="E1551" s="11" t="str">
        <f>IFERROR(IF(VLOOKUP(A1551,[11]PRIORIZADOS!$A:$E,5,FALSE)="","",VLOOKUP(A1551,[11]PRIORIZADOS!$A:$E,5,FALSE)),"")</f>
        <v>EPBM</v>
      </c>
      <c r="F1551" s="11" t="str">
        <f>IFERROR(IF(VLOOKUP(A1551,[11]PRIORIZADOS!$A:$F,6,FALSE)="","",VLOOKUP(A1551,[11]PRIORIZADOS!$A:$F,6,FALSE)),"")</f>
        <v>LICEO_PSICOPEDAGOGICO_SAN_PABLO</v>
      </c>
      <c r="G1551" s="11" t="str">
        <f>IFERROR(IF(VLOOKUP(A1551,[11]PRIORIZADOS!$A:$G,7,FALSE)="","",VLOOKUP(A1551,[11]PRIORIZADOS!$A:$G,7,FALSE)),"")</f>
        <v>LICEO_PSICOPEDAGOGICO_SAN_PABLO</v>
      </c>
      <c r="H1551" s="11" t="str">
        <f>IFERROR(IF(VLOOKUP(A1551,[11]PRIORIZADOS!$A:$H,8,FALSE)="","",VLOOKUP(A1551,[11]PRIORIZADOS!$A:$H,8,FALSE)),"")</f>
        <v>Autoevaluación Institucional y Pruebas SABER 11</v>
      </c>
      <c r="I1551" s="11" t="str">
        <f>IFERROR(IF(VLOOKUP(A1551,[11]PRIORIZADOS!$A:$I,9,FALSE)="","",VLOOKUP(A1551,[11]PRIORIZADOS!$A:$I,9,FALSE)),"")</f>
        <v>EVALUACIÓN_CON_FINES_DE_MEJORAMIENTO.</v>
      </c>
      <c r="J1551" s="11" t="str">
        <f>IFERROR(IF(VLOOKUP(A1551,[11]PRIORIZADOS!$A:$J,10,FALSE)="","",VLOOKUP(A1551,[11]PRIORIZADOS!$A:$J,10,FALSE)),"")</f>
        <v>Verificar el funcionamiento del Gobierno Escolar e instancias de participación con base en la información sobre conformación reportada por la institución educativa.</v>
      </c>
      <c r="K1551" s="11" t="str">
        <f>IFERROR(IF(VLOOKUP(A1551,[11]PRIORIZADOS!$A:$K,11,FALSE)="","",VLOOKUP(A1551,[11]PRIORIZADOS!$A:$K,11,FALSE)),"")</f>
        <v>DORY CONSTANZA SANCHEZ ARAGÓN</v>
      </c>
      <c r="L1551" s="11" t="str">
        <f>IFERROR(IF(VLOOKUP(A1551,[11]PRIORIZADOS!$A:$L,12,FALSE)="","",VLOOKUP(A1551,[11]PRIORIZADOS!$A:$L,12,FALSE)),"")</f>
        <v>BEPCI YADIRA MINA ZAPATA</v>
      </c>
      <c r="M1551" s="71">
        <f>IFERROR(IF(VLOOKUP(A1551,[11]PRIORIZADOS!$A:$M,13,FALSE)="","",VLOOKUP(A1551,[11]PRIORIZADOS!$A:$M,13,FALSE)),"")</f>
        <v>45776</v>
      </c>
      <c r="N1551" s="71">
        <f>IFERROR(IF(VLOOKUP(A1551,[11]PRIORIZADOS!$A:$N,14,FALSE)="","",VLOOKUP(A1551,[11]PRIORIZADOS!$A:$N,14,FALSE)),"")</f>
        <v>45776</v>
      </c>
      <c r="O1551" s="71">
        <f>IFERROR(IF(VLOOKUP(A1551,[11]PRIORIZADOS!$A:$O,15,FALSE)="","",VLOOKUP(A1551,[11]PRIORIZADOS!$A:$O,15,FALSE)),"")</f>
        <v>45782</v>
      </c>
      <c r="P1551" s="11" t="str">
        <f>IFERROR(IF(VLOOKUP(A1551,[11]PRIORIZADOS!$A:$P,16,FALSE)="","",VLOOKUP(A1551,[11]PRIORIZADOS!$A:$P,16,FALSE)),"")</f>
        <v>Visitas de evaluación con fines de mejoramiento</v>
      </c>
      <c r="Q1551" s="107" t="s">
        <v>362</v>
      </c>
      <c r="R1551" s="11" t="str">
        <f>IFERROR(IF(VLOOKUP(A1551,[11]PRIORIZADOS!$A:$R,18,FALSE)="","",VLOOKUP(A1551,[11]PRIORIZADOS!$A:$R,18,FALSE)),"")</f>
        <v>Se evidencian actas de la conformación del gobierno escolar. Del Consejo Directivo para año 2024  solo se encuentran las de tarifas y para 2025 no hay actas.
Consejo Académico: Se realizan actas de evaluación y promoción, pero no hay actas de funcionamiento.</v>
      </c>
      <c r="S1551" s="11" t="str">
        <f>IFERROR(IF(VLOOKUP(A1551,[11]PRIORIZADOS!$A:$S,19,FALSE)="","",VLOOKUP(A1551,[11]PRIORIZADOS!$A:$S,19,FALSE)),"")</f>
        <v>Generar los espacios para el funcionamiento del gobierno escolar con sus respectivas actas. Presentar plan de mejoramiento el 6 de junio de 2025</v>
      </c>
      <c r="T1551" s="70" t="str">
        <f>IFERROR(IF(VLOOKUP(A1551,[11]PRIORIZADOS!$A:$T,20,FALSE)="","",VLOOKUP(A1551,[11]PRIORIZADOS!$A:$T,20,FALSE)),"")</f>
        <v>Si</v>
      </c>
      <c r="U1551" s="11" t="str">
        <f>IFERROR(IF(VLOOKUP(A1551,[11]PRIORIZADOS!$A:$U,21,FALSE)="","",VLOOKUP(A1551,[11]PRIORIZADOS!$A:$U,21,FALSE)),"")</f>
        <v>Revisar PM y verificar que se ajuste a las observaciones realizadas.</v>
      </c>
    </row>
    <row r="1552" spans="1:21" s="1" customFormat="1" ht="48">
      <c r="A1552" s="69">
        <f>IF([11]PRIORIZADOS!A63="","",[11]PRIORIZADOS!A63)</f>
        <v>1518</v>
      </c>
      <c r="B1552" s="70">
        <v>6</v>
      </c>
      <c r="C1552" s="11" t="str">
        <f>IFERROR(IF(VLOOKUP(A1552,[11]PRIORIZADOS!$A:$C,3,FALSE)="","",VLOOKUP(A1552,[11]PRIORIZADOS!$A:$C,3,FALSE)),"")</f>
        <v>RAFAEL URIBE URIBE</v>
      </c>
      <c r="D1552" s="11" t="str">
        <f>IFERROR(IF(VLOOKUP(A1552,[11]PRIORIZADOS!$A:$D,4,FALSE)="","",VLOOKUP(A1552,[11]PRIORIZADOS!$A:$D,4,FALSE)),"")</f>
        <v>PRIVADO</v>
      </c>
      <c r="E1552" s="11" t="str">
        <f>IFERROR(IF(VLOOKUP(A1552,[11]PRIORIZADOS!$A:$E,5,FALSE)="","",VLOOKUP(A1552,[11]PRIORIZADOS!$A:$E,5,FALSE)),"")</f>
        <v>EPBM</v>
      </c>
      <c r="F1552" s="11" t="str">
        <f>IFERROR(IF(VLOOKUP(A1552,[11]PRIORIZADOS!$A:$F,6,FALSE)="","",VLOOKUP(A1552,[11]PRIORIZADOS!$A:$F,6,FALSE)),"")</f>
        <v>LICEO_PSICOPEDAGOGICO_SAN_PABLO</v>
      </c>
      <c r="G1552" s="11" t="str">
        <f>IFERROR(IF(VLOOKUP(A1552,[11]PRIORIZADOS!$A:$G,7,FALSE)="","",VLOOKUP(A1552,[11]PRIORIZADOS!$A:$G,7,FALSE)),"")</f>
        <v>LICEO_PSICOPEDAGOGICO_SAN_PABLO</v>
      </c>
      <c r="H1552" s="11" t="str">
        <f>IFERROR(IF(VLOOKUP(A1552,[11]PRIORIZADOS!$A:$H,8,FALSE)="","",VLOOKUP(A1552,[11]PRIORIZADOS!$A:$H,8,FALSE)),"")</f>
        <v>Autoevaluación Institucional y Pruebas SABER 11</v>
      </c>
      <c r="I1552" s="11" t="str">
        <f>IFERROR(IF(VLOOKUP(A1552,[11]PRIORIZADOS!$A:$I,9,FALSE)="","",VLOOKUP(A1552,[11]PRIORIZADOS!$A:$I,9,FALSE)),"")</f>
        <v>EVALUACIÓN_CON_FINES_DE_MEJORAMIENTO.</v>
      </c>
      <c r="J1552" s="11" t="str">
        <f>IFERROR(IF(VLOOKUP(A1552,[11]PRIORIZADOS!$A:$J,10,FALSE)="","",VLOOKUP(A1552,[11]PRIORIZADOS!$A:$J,10,FALSE)),"")</f>
        <v>Verificar las condiciones en cuanto a: la estructura administrativa, condiciones de la planta física y medios educativos adecuados.</v>
      </c>
      <c r="K1552" s="11" t="str">
        <f>IFERROR(IF(VLOOKUP(A1552,[11]PRIORIZADOS!$A:$K,11,FALSE)="","",VLOOKUP(A1552,[11]PRIORIZADOS!$A:$K,11,FALSE)),"")</f>
        <v>DORY CONSTANZA SANCHEZ ARAGÓN</v>
      </c>
      <c r="L1552" s="11" t="str">
        <f>IFERROR(IF(VLOOKUP(A1552,[11]PRIORIZADOS!$A:$L,12,FALSE)="","",VLOOKUP(A1552,[11]PRIORIZADOS!$A:$L,12,FALSE)),"")</f>
        <v>BEPCI YADIRA MINA ZAPATA</v>
      </c>
      <c r="M1552" s="71">
        <f>IFERROR(IF(VLOOKUP(A1552,[11]PRIORIZADOS!$A:$M,13,FALSE)="","",VLOOKUP(A1552,[11]PRIORIZADOS!$A:$M,13,FALSE)),"")</f>
        <v>45776</v>
      </c>
      <c r="N1552" s="71">
        <f>IFERROR(IF(VLOOKUP(A1552,[11]PRIORIZADOS!$A:$N,14,FALSE)="","",VLOOKUP(A1552,[11]PRIORIZADOS!$A:$N,14,FALSE)),"")</f>
        <v>45776</v>
      </c>
      <c r="O1552" s="71">
        <f>IFERROR(IF(VLOOKUP(A1552,[11]PRIORIZADOS!$A:$O,15,FALSE)="","",VLOOKUP(A1552,[11]PRIORIZADOS!$A:$O,15,FALSE)),"")</f>
        <v>45782</v>
      </c>
      <c r="P1552" s="11" t="str">
        <f>IFERROR(IF(VLOOKUP(A1552,[11]PRIORIZADOS!$A:$P,16,FALSE)="","",VLOOKUP(A1552,[11]PRIORIZADOS!$A:$P,16,FALSE)),"")</f>
        <v>Visitas de evaluación con fines de mejoramiento</v>
      </c>
      <c r="Q1552" s="107" t="s">
        <v>362</v>
      </c>
      <c r="R1552" s="11" t="str">
        <f>IFERROR(IF(VLOOKUP(A1552,[11]PRIORIZADOS!$A:$R,18,FALSE)="","",VLOOKUP(A1552,[11]PRIORIZADOS!$A:$R,18,FALSE)),"")</f>
        <v>Se evidencia un posible hacinamiento de estudiantes en las aulas,  No cuenta con espacio para recreación</v>
      </c>
      <c r="S1552" s="11" t="str">
        <f>IFERROR(IF(VLOOKUP(A1552,[11]PRIORIZADOS!$A:$S,19,FALSE)="","",VLOOKUP(A1552,[11]PRIORIZADOS!$A:$S,19,FALSE)),"")</f>
        <v>Buscar estrategias que perminan subsanar los inconvenientes con la planta física La institución debe presentar plan de mejoramiento el 6 de junio de 2025</v>
      </c>
      <c r="T1552" s="70" t="str">
        <f>IFERROR(IF(VLOOKUP(A1552,[11]PRIORIZADOS!$A:$T,20,FALSE)="","",VLOOKUP(A1552,[11]PRIORIZADOS!$A:$T,20,FALSE)),"")</f>
        <v>Si</v>
      </c>
      <c r="U1552" s="11" t="str">
        <f>IFERROR(IF(VLOOKUP(A1552,[11]PRIORIZADOS!$A:$U,21,FALSE)="","",VLOOKUP(A1552,[11]PRIORIZADOS!$A:$U,21,FALSE)),"")</f>
        <v>Revisar PM y verificar que se ajuste a las observaciones realizadas.</v>
      </c>
    </row>
    <row r="1553" spans="1:21" s="1" customFormat="1" ht="60">
      <c r="A1553" s="69">
        <f>IF([11]PRIORIZADOS!A64="","",[11]PRIORIZADOS!A64)</f>
        <v>1519</v>
      </c>
      <c r="B1553" s="70">
        <f>IFERROR(IF(VLOOKUP(A1553,[11]PRIORIZADOS!$A:$B,2,FALSE)="","",VLOOKUP(A1553,[11]PRIORIZADOS!$A:$B,2,FALSE)),"")</f>
        <v>7</v>
      </c>
      <c r="C1553" s="11" t="str">
        <f>IFERROR(IF(VLOOKUP(A1553,[11]PRIORIZADOS!$A:$C,3,FALSE)="","",VLOOKUP(A1553,[11]PRIORIZADOS!$A:$C,3,FALSE)),"")</f>
        <v>RAFAEL URIBE URIBE</v>
      </c>
      <c r="D1553" s="11" t="str">
        <f>IFERROR(IF(VLOOKUP(A1553,[11]PRIORIZADOS!$A:$D,4,FALSE)="","",VLOOKUP(A1553,[11]PRIORIZADOS!$A:$D,4,FALSE)),"")</f>
        <v>PRIVADO</v>
      </c>
      <c r="E1553" s="11" t="str">
        <f>IFERROR(IF(VLOOKUP(A1553,[11]PRIORIZADOS!$A:$E,5,FALSE)="","",VLOOKUP(A1553,[11]PRIORIZADOS!$A:$E,5,FALSE)),"")</f>
        <v>EPBM</v>
      </c>
      <c r="F1553" s="11" t="str">
        <f>IFERROR(IF(VLOOKUP(A1553,[11]PRIORIZADOS!$A:$F,6,FALSE)="","",VLOOKUP(A1553,[11]PRIORIZADOS!$A:$F,6,FALSE)),"")</f>
        <v>LICEO_JUAN_MIGUEL</v>
      </c>
      <c r="G1553" s="11" t="str">
        <f>IFERROR(IF(VLOOKUP(A1553,[11]PRIORIZADOS!$A:$G,7,FALSE)="","",VLOOKUP(A1553,[11]PRIORIZADOS!$A:$G,7,FALSE)),"")</f>
        <v>LICEO_JUAN_MIGUEL</v>
      </c>
      <c r="H1553" s="11" t="str">
        <f>IFERROR(IF(VLOOKUP(A1553,[11]PRIORIZADOS!$A:$H,8,FALSE)="","",VLOOKUP(A1553,[11]PRIORIZADOS!$A:$H,8,FALSE)),"")</f>
        <v>Autoevaluación Institucional y Pruebas SABER 11</v>
      </c>
      <c r="I1553" s="11" t="str">
        <f>IFERROR(IF(VLOOKUP(A1553,[11]PRIORIZADOS!$A:$I,9,FALSE)="","",VLOOKUP(A1553,[11]PRIORIZADOS!$A:$I,9,FALSE)),"")</f>
        <v>SEGUIMIENTO_Y_SUPERVISIÓN.</v>
      </c>
      <c r="J1553" s="11" t="str">
        <f>IFERROR(IF(VLOOKUP(A1553,[11]PRIORIZADOS!$A:$J,10,FALSE)="","",VLOOKUP(A1553,[11]PRIORIZADOS!$A:$J,10,FALSE)),"")</f>
        <v>Realizar visitas para verificar la información registrada sobre la autoevaluación institucional en el aplicativo EVI, a los establecimientos de educación formal no oficial.</v>
      </c>
      <c r="K1553" s="11" t="str">
        <f>IFERROR(IF(VLOOKUP(A1553,[11]PRIORIZADOS!$A:$K,11,FALSE)="","",VLOOKUP(A1553,[11]PRIORIZADOS!$A:$K,11,FALSE)),"")</f>
        <v>DORY CONSTANZA SANCHEZ ARAGÓN</v>
      </c>
      <c r="L1553" s="11" t="str">
        <f>IFERROR(IF(VLOOKUP(A1553,[11]PRIORIZADOS!$A:$L,12,FALSE)="","",VLOOKUP(A1553,[11]PRIORIZADOS!$A:$L,12,FALSE)),"")</f>
        <v>BEPCI YADIRA MINA ZAPATA</v>
      </c>
      <c r="M1553" s="71">
        <f>IFERROR(IF(VLOOKUP(A1553,[11]PRIORIZADOS!$A:$M,13,FALSE)="","",VLOOKUP(A1553,[11]PRIORIZADOS!$A:$M,13,FALSE)),"")</f>
        <v>45783</v>
      </c>
      <c r="N1553" s="71">
        <f>IFERROR(IF(VLOOKUP(A1553,[11]PRIORIZADOS!$A:$N,14,FALSE)="","",VLOOKUP(A1553,[11]PRIORIZADOS!$A:$N,14,FALSE)),"")</f>
        <v>45786</v>
      </c>
      <c r="O1553" s="71">
        <f>IFERROR(IF(VLOOKUP(A1553,[11]PRIORIZADOS!$A:$O,15,FALSE)="","",VLOOKUP(A1553,[11]PRIORIZADOS!$A:$O,15,FALSE)),"")</f>
        <v>45790</v>
      </c>
      <c r="P1553" s="11" t="str">
        <f>IFERROR(IF(VLOOKUP(A1553,[11]PRIORIZADOS!$A:$P,16,FALSE)="","",VLOOKUP(A1553,[11]PRIORIZADOS!$A:$P,16,FALSE)),"")</f>
        <v>Visitas de evaluación con fines de mejoramiento</v>
      </c>
      <c r="Q1553" s="107" t="s">
        <v>363</v>
      </c>
      <c r="R1553" s="11" t="str">
        <f>IFERROR(IF(VLOOKUP(A1553,[11]PRIORIZADOS!$A:$R,18,FALSE)="","",VLOOKUP(A1553,[11]PRIORIZADOS!$A:$R,18,FALSE)),"")</f>
        <v>Se evidencia que los docentes se encuentran con contrato laboral y  pago de seguridad social.
Cantidad de baños y computadores corresponde</v>
      </c>
      <c r="S1553" s="11" t="str">
        <f>IFERROR(IF(VLOOKUP(A1553,[11]PRIORIZADOS!$A:$S,19,FALSE)="","",VLOOKUP(A1553,[11]PRIORIZADOS!$A:$S,19,FALSE)),"")</f>
        <v>Continuar con la contratación y pago de seguridad social de los docentes</v>
      </c>
      <c r="T1553" s="70" t="str">
        <f>IFERROR(IF(VLOOKUP(A1553,[11]PRIORIZADOS!$A:$T,20,FALSE)="","",VLOOKUP(A1553,[11]PRIORIZADOS!$A:$T,20,FALSE)),"")</f>
        <v>No</v>
      </c>
      <c r="U1553" s="11" t="str">
        <f>IFERROR(IF(VLOOKUP(A1553,[11]PRIORIZADOS!$A:$U,21,FALSE)="","",VLOOKUP(A1553,[11]PRIORIZADOS!$A:$U,21,FALSE)),"")</f>
        <v>Verificar en caso de algun reqiuerimiento o queja</v>
      </c>
    </row>
    <row r="1554" spans="1:21" s="1" customFormat="1" ht="84">
      <c r="A1554" s="69">
        <f>IF([11]PRIORIZADOS!A65="","",[11]PRIORIZADOS!A65)</f>
        <v>1520</v>
      </c>
      <c r="B1554" s="70">
        <v>7</v>
      </c>
      <c r="C1554" s="11" t="str">
        <f>IFERROR(IF(VLOOKUP(A1554,[11]PRIORIZADOS!$A:$C,3,FALSE)="","",VLOOKUP(A1554,[11]PRIORIZADOS!$A:$C,3,FALSE)),"")</f>
        <v>RAFAEL URIBE URIBE</v>
      </c>
      <c r="D1554" s="11" t="str">
        <f>IFERROR(IF(VLOOKUP(A1554,[11]PRIORIZADOS!$A:$D,4,FALSE)="","",VLOOKUP(A1554,[11]PRIORIZADOS!$A:$D,4,FALSE)),"")</f>
        <v>PRIVADO</v>
      </c>
      <c r="E1554" s="11" t="str">
        <f>IFERROR(IF(VLOOKUP(A1554,[11]PRIORIZADOS!$A:$E,5,FALSE)="","",VLOOKUP(A1554,[11]PRIORIZADOS!$A:$E,5,FALSE)),"")</f>
        <v>EPBM</v>
      </c>
      <c r="F1554" s="11" t="str">
        <f>IFERROR(IF(VLOOKUP(A1554,[11]PRIORIZADOS!$A:$F,6,FALSE)="","",VLOOKUP(A1554,[11]PRIORIZADOS!$A:$F,6,FALSE)),"")</f>
        <v>LICEO_JUAN_MIGUEL</v>
      </c>
      <c r="G1554" s="11" t="str">
        <f>IFERROR(IF(VLOOKUP(A1554,[11]PRIORIZADOS!$A:$G,7,FALSE)="","",VLOOKUP(A1554,[11]PRIORIZADOS!$A:$G,7,FALSE)),"")</f>
        <v>LICEO_JUAN_MIGUEL</v>
      </c>
      <c r="H1554" s="11" t="str">
        <f>IFERROR(IF(VLOOKUP(A1554,[11]PRIORIZADOS!$A:$H,8,FALSE)="","",VLOOKUP(A1554,[11]PRIORIZADOS!$A:$H,8,FALSE)),"")</f>
        <v>Autoevaluación Institucional y Pruebas SABER 11</v>
      </c>
      <c r="I1554" s="11" t="str">
        <f>IFERROR(IF(VLOOKUP(A1554,[11]PRIORIZADOS!$A:$I,9,FALSE)="","",VLOOKUP(A1554,[11]PRIORIZADOS!$A:$I,9,FALSE)),"")</f>
        <v>SEGUIMIENTO_Y_SUPERVISIÓN.</v>
      </c>
      <c r="J1554" s="11" t="str">
        <f>IFERROR(IF(VLOOKUP(A1554,[11]PRIORIZADOS!$A:$J,10,FALSE)="","",VLOOKUP(A1554,[11]PRIORIZADOS!$A:$J,10,FALSE)),"")</f>
        <v>Proponer estrategias en la formulación, verificar su elaboración y realizar seguimiento semestral al desarrollo de  las acciones establecidas en los planes de mejoramiento por pruebas SABER 11 de los establecimientos de educación formal.</v>
      </c>
      <c r="K1554" s="11" t="str">
        <f>IFERROR(IF(VLOOKUP(A1554,[11]PRIORIZADOS!$A:$K,11,FALSE)="","",VLOOKUP(A1554,[11]PRIORIZADOS!$A:$K,11,FALSE)),"")</f>
        <v>DORY CONSTANZA SANCHEZ ARAGÓN</v>
      </c>
      <c r="L1554" s="11" t="str">
        <f>IFERROR(IF(VLOOKUP(A1554,[11]PRIORIZADOS!$A:$L,12,FALSE)="","",VLOOKUP(A1554,[11]PRIORIZADOS!$A:$L,12,FALSE)),"")</f>
        <v>BEPCI YADIRA MINA ZAPATA</v>
      </c>
      <c r="M1554" s="71">
        <f>IFERROR(IF(VLOOKUP(A1554,[11]PRIORIZADOS!$A:$M,13,FALSE)="","",VLOOKUP(A1554,[11]PRIORIZADOS!$A:$M,13,FALSE)),"")</f>
        <v>45783</v>
      </c>
      <c r="N1554" s="71">
        <f>IFERROR(IF(VLOOKUP(A1554,[11]PRIORIZADOS!$A:$N,14,FALSE)="","",VLOOKUP(A1554,[11]PRIORIZADOS!$A:$N,14,FALSE)),"")</f>
        <v>45786</v>
      </c>
      <c r="O1554" s="71">
        <f>IFERROR(IF(VLOOKUP(A1554,[11]PRIORIZADOS!$A:$O,15,FALSE)="","",VLOOKUP(A1554,[11]PRIORIZADOS!$A:$O,15,FALSE)),"")</f>
        <v>45790</v>
      </c>
      <c r="P1554" s="11" t="str">
        <f>IFERROR(IF(VLOOKUP(A1554,[11]PRIORIZADOS!$A:$P,16,FALSE)="","",VLOOKUP(A1554,[11]PRIORIZADOS!$A:$P,16,FALSE)),"")</f>
        <v>Visitas de evaluación con fines de mejoramiento</v>
      </c>
      <c r="Q1554" s="107" t="s">
        <v>363</v>
      </c>
      <c r="R1554" s="11" t="str">
        <f>IFERROR(IF(VLOOKUP(A1554,[11]PRIORIZADOS!$A:$R,18,FALSE)="","",VLOOKUP(A1554,[11]PRIORIZADOS!$A:$R,18,FALSE)),"")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54" s="11" t="str">
        <f>IFERROR(IF(VLOOKUP(A1554,[11]PRIORIZADOS!$A:$S,19,FALSE)="","",VLOOKUP(A1554,[11]PRIORIZADOS!$A:$S,19,FALSE)),"")</f>
        <v>Realizar analisis de las Pruebas Saber y establecer acciones pertinentes. Presentar plan de mejoramiento el 10 de junio de 2025</v>
      </c>
      <c r="T1554" s="70" t="str">
        <f>IFERROR(IF(VLOOKUP(A1554,[11]PRIORIZADOS!$A:$T,20,FALSE)="","",VLOOKUP(A1554,[11]PRIORIZADOS!$A:$T,20,FALSE)),"")</f>
        <v>Si</v>
      </c>
      <c r="U1554" s="11" t="str">
        <f>IFERROR(IF(VLOOKUP(A1554,[11]PRIORIZADOS!$A:$U,21,FALSE)="","",VLOOKUP(A1554,[11]PRIORIZADOS!$A:$U,21,FALSE)),"")</f>
        <v>Revisar PM y verificar que se ajuste a las observaciones realizadas.</v>
      </c>
    </row>
    <row r="1555" spans="1:21" s="1" customFormat="1" ht="84">
      <c r="A1555" s="69">
        <f>IF([11]PRIORIZADOS!A66="","",[11]PRIORIZADOS!A66)</f>
        <v>1521</v>
      </c>
      <c r="B1555" s="70">
        <v>7</v>
      </c>
      <c r="C1555" s="11" t="str">
        <f>IFERROR(IF(VLOOKUP(A1555,[11]PRIORIZADOS!$A:$C,3,FALSE)="","",VLOOKUP(A1555,[11]PRIORIZADOS!$A:$C,3,FALSE)),"")</f>
        <v>RAFAEL URIBE URIBE</v>
      </c>
      <c r="D1555" s="11" t="str">
        <f>IFERROR(IF(VLOOKUP(A1555,[11]PRIORIZADOS!$A:$D,4,FALSE)="","",VLOOKUP(A1555,[11]PRIORIZADOS!$A:$D,4,FALSE)),"")</f>
        <v>PRIVADO</v>
      </c>
      <c r="E1555" s="11" t="str">
        <f>IFERROR(IF(VLOOKUP(A1555,[11]PRIORIZADOS!$A:$E,5,FALSE)="","",VLOOKUP(A1555,[11]PRIORIZADOS!$A:$E,5,FALSE)),"")</f>
        <v>EPBM</v>
      </c>
      <c r="F1555" s="11" t="str">
        <f>IFERROR(IF(VLOOKUP(A1555,[11]PRIORIZADOS!$A:$F,6,FALSE)="","",VLOOKUP(A1555,[11]PRIORIZADOS!$A:$F,6,FALSE)),"")</f>
        <v>LICEO_JUAN_MIGUEL</v>
      </c>
      <c r="G1555" s="11" t="str">
        <f>IFERROR(IF(VLOOKUP(A1555,[11]PRIORIZADOS!$A:$G,7,FALSE)="","",VLOOKUP(A1555,[11]PRIORIZADOS!$A:$G,7,FALSE)),"")</f>
        <v>LICEO_JUAN_MIGUEL</v>
      </c>
      <c r="H1555" s="11" t="str">
        <f>IFERROR(IF(VLOOKUP(A1555,[11]PRIORIZADOS!$A:$H,8,FALSE)="","",VLOOKUP(A1555,[11]PRIORIZADOS!$A:$H,8,FALSE)),"")</f>
        <v>Autoevaluación Institucional y Pruebas SABER 11</v>
      </c>
      <c r="I1555" s="11" t="str">
        <f>IFERROR(IF(VLOOKUP(A1555,[11]PRIORIZADOS!$A:$I,9,FALSE)="","",VLOOKUP(A1555,[11]PRIORIZADOS!$A:$I,9,FALSE)),"")</f>
        <v>SEGUIMIENTO_Y_SUPERVISIÓN.</v>
      </c>
      <c r="J1555" s="11" t="str">
        <f>IFERROR(IF(VLOOKUP(A1555,[11]PRIORIZADOS!$A:$J,10,FALSE)="","",VLOOKUP(A1555,[11]PRIORIZADOS!$A:$J,10,FALSE)),"")</f>
        <v xml:space="preserve">Verificar la implementación por parte de los colegios, de acciones realizadas para la prevención y atención de las situaciones de convivencia en el entorno escolar, según lo establecido en la Directiva 01 de 2022 del MEN. </v>
      </c>
      <c r="K1555" s="11" t="str">
        <f>IFERROR(IF(VLOOKUP(A1555,[11]PRIORIZADOS!$A:$K,11,FALSE)="","",VLOOKUP(A1555,[11]PRIORIZADOS!$A:$K,11,FALSE)),"")</f>
        <v>DORY CONSTANZA SANCHEZ ARAGÓN</v>
      </c>
      <c r="L1555" s="11" t="str">
        <f>IFERROR(IF(VLOOKUP(A1555,[11]PRIORIZADOS!$A:$L,12,FALSE)="","",VLOOKUP(A1555,[11]PRIORIZADOS!$A:$L,12,FALSE)),"")</f>
        <v>BEPCI YADIRA MINA ZAPATA</v>
      </c>
      <c r="M1555" s="71">
        <f>IFERROR(IF(VLOOKUP(A1555,[11]PRIORIZADOS!$A:$M,13,FALSE)="","",VLOOKUP(A1555,[11]PRIORIZADOS!$A:$M,13,FALSE)),"")</f>
        <v>45783</v>
      </c>
      <c r="N1555" s="71">
        <f>IFERROR(IF(VLOOKUP(A1555,[11]PRIORIZADOS!$A:$N,14,FALSE)="","",VLOOKUP(A1555,[11]PRIORIZADOS!$A:$N,14,FALSE)),"")</f>
        <v>45786</v>
      </c>
      <c r="O1555" s="71">
        <f>IFERROR(IF(VLOOKUP(A1555,[11]PRIORIZADOS!$A:$O,15,FALSE)="","",VLOOKUP(A1555,[11]PRIORIZADOS!$A:$O,15,FALSE)),"")</f>
        <v>45790</v>
      </c>
      <c r="P1555" s="11" t="str">
        <f>IFERROR(IF(VLOOKUP(A1555,[11]PRIORIZADOS!$A:$P,16,FALSE)="","",VLOOKUP(A1555,[11]PRIORIZADOS!$A:$P,16,FALSE)),"")</f>
        <v>Visitas de evaluación con fines de mejoramiento</v>
      </c>
      <c r="Q1555" s="107" t="s">
        <v>363</v>
      </c>
      <c r="R1555" s="11" t="str">
        <f>IFERROR(IF(VLOOKUP(A1555,[11]PRIORIZADOS!$A:$R,18,FALSE)="","",VLOOKUP(A1555,[11]PRIORIZADOS!$A:$R,18,FALSE)),"")</f>
        <v>La institución cuenta con actas donde se evidencie el funcionamiento del comité de convivencia escolar.
Se verificó a los docentes  inhabilidadades por delitos sexuales para mayo de 2025, no se evidencia que se realice cada 4 meses.</v>
      </c>
      <c r="S1555" s="11" t="str">
        <f>IFERROR(IF(VLOOKUP(A1555,[11]PRIORIZADOS!$A:$S,19,FALSE)="","",VLOOKUP(A1555,[11]PRIORIZADOS!$A:$S,19,FALSE)),"")</f>
        <v>El comite cde convivencia se debe reunir cada 2 meses.
Se debe realizar verificación de antecedente cada 4 meses.
Presentar plan de mejoramiento el 10 de junio de 2025</v>
      </c>
      <c r="T1555" s="70" t="str">
        <f>IFERROR(IF(VLOOKUP(A1555,[11]PRIORIZADOS!$A:$T,20,FALSE)="","",VLOOKUP(A1555,[11]PRIORIZADOS!$A:$T,20,FALSE)),"")</f>
        <v>Si</v>
      </c>
      <c r="U1555" s="11" t="str">
        <f>IFERROR(IF(VLOOKUP(A1555,[11]PRIORIZADOS!$A:$U,21,FALSE)="","",VLOOKUP(A1555,[11]PRIORIZADOS!$A:$U,21,FALSE)),"")</f>
        <v>Revisar PM y verificar que se ajuste a las observaciones realizadas.</v>
      </c>
    </row>
    <row r="1556" spans="1:21" s="1" customFormat="1" ht="96">
      <c r="A1556" s="69">
        <f>IF([11]PRIORIZADOS!A67="","",[11]PRIORIZADOS!A67)</f>
        <v>1522</v>
      </c>
      <c r="B1556" s="70">
        <v>7</v>
      </c>
      <c r="C1556" s="11" t="str">
        <f>IFERROR(IF(VLOOKUP(A1556,[11]PRIORIZADOS!$A:$C,3,FALSE)="","",VLOOKUP(A1556,[11]PRIORIZADOS!$A:$C,3,FALSE)),"")</f>
        <v>RAFAEL URIBE URIBE</v>
      </c>
      <c r="D1556" s="11" t="str">
        <f>IFERROR(IF(VLOOKUP(A1556,[11]PRIORIZADOS!$A:$D,4,FALSE)="","",VLOOKUP(A1556,[11]PRIORIZADOS!$A:$D,4,FALSE)),"")</f>
        <v>PRIVADO</v>
      </c>
      <c r="E1556" s="11" t="str">
        <f>IFERROR(IF(VLOOKUP(A1556,[11]PRIORIZADOS!$A:$E,5,FALSE)="","",VLOOKUP(A1556,[11]PRIORIZADOS!$A:$E,5,FALSE)),"")</f>
        <v>EPBM</v>
      </c>
      <c r="F1556" s="11" t="str">
        <f>IFERROR(IF(VLOOKUP(A1556,[11]PRIORIZADOS!$A:$F,6,FALSE)="","",VLOOKUP(A1556,[11]PRIORIZADOS!$A:$F,6,FALSE)),"")</f>
        <v>LICEO_JUAN_MIGUEL</v>
      </c>
      <c r="G1556" s="11" t="str">
        <f>IFERROR(IF(VLOOKUP(A1556,[11]PRIORIZADOS!$A:$G,7,FALSE)="","",VLOOKUP(A1556,[11]PRIORIZADOS!$A:$G,7,FALSE)),"")</f>
        <v>LICEO_JUAN_MIGUEL</v>
      </c>
      <c r="H1556" s="11" t="str">
        <f>IFERROR(IF(VLOOKUP(A1556,[11]PRIORIZADOS!$A:$H,8,FALSE)="","",VLOOKUP(A1556,[11]PRIORIZADOS!$A:$H,8,FALSE)),"")</f>
        <v>Autoevaluación Institucional y Pruebas SABER 11</v>
      </c>
      <c r="I1556" s="11" t="str">
        <f>IFERROR(IF(VLOOKUP(A1556,[11]PRIORIZADOS!$A:$I,9,FALSE)="","",VLOOKUP(A1556,[11]PRIORIZADOS!$A:$I,9,FALSE)),"")</f>
        <v>SEGUIMIENTO_Y_SUPERVISIÓN.</v>
      </c>
      <c r="J1556" s="11" t="str">
        <f>IFERROR(IF(VLOOKUP(A1556,[11]PRIORIZADOS!$A:$J,10,FALSE)="","",VLOOKUP(A1556,[11]PRIORIZADOS!$A:$J,10,FALSE)),"")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56" s="11" t="str">
        <f>IFERROR(IF(VLOOKUP(A1556,[11]PRIORIZADOS!$A:$K,11,FALSE)="","",VLOOKUP(A1556,[11]PRIORIZADOS!$A:$K,11,FALSE)),"")</f>
        <v>DORY CONSTANZA SANCHEZ ARAGÓN</v>
      </c>
      <c r="L1556" s="11" t="str">
        <f>IFERROR(IF(VLOOKUP(A1556,[11]PRIORIZADOS!$A:$L,12,FALSE)="","",VLOOKUP(A1556,[11]PRIORIZADOS!$A:$L,12,FALSE)),"")</f>
        <v>BEPCI YADIRA MINA ZAPATA</v>
      </c>
      <c r="M1556" s="71">
        <f>IFERROR(IF(VLOOKUP(A1556,[11]PRIORIZADOS!$A:$M,13,FALSE)="","",VLOOKUP(A1556,[11]PRIORIZADOS!$A:$M,13,FALSE)),"")</f>
        <v>45783</v>
      </c>
      <c r="N1556" s="71">
        <f>IFERROR(IF(VLOOKUP(A1556,[11]PRIORIZADOS!$A:$N,14,FALSE)="","",VLOOKUP(A1556,[11]PRIORIZADOS!$A:$N,14,FALSE)),"")</f>
        <v>45786</v>
      </c>
      <c r="O1556" s="71">
        <f>IFERROR(IF(VLOOKUP(A1556,[11]PRIORIZADOS!$A:$O,15,FALSE)="","",VLOOKUP(A1556,[11]PRIORIZADOS!$A:$O,15,FALSE)),"")</f>
        <v>45790</v>
      </c>
      <c r="P1556" s="11" t="str">
        <f>IFERROR(IF(VLOOKUP(A1556,[11]PRIORIZADOS!$A:$P,16,FALSE)="","",VLOOKUP(A1556,[11]PRIORIZADOS!$A:$P,16,FALSE)),"")</f>
        <v>Visitas de evaluación con fines de mejoramiento</v>
      </c>
      <c r="Q1556" s="107" t="s">
        <v>363</v>
      </c>
      <c r="R1556" s="11" t="str">
        <f>IFERROR(IF(VLOOKUP(A1556,[11]PRIORIZADOS!$A:$R,18,FALSE)="","",VLOOKUP(A1556,[11]PRIORIZADOS!$A:$R,18,FALSE)),"")</f>
        <v>El colegio en su matrícula registra tres estudiantes con capacidades diversas, el colego cuenta con las historias escolares, estas se deben fortalecer incorporando los cerificados de discapacidad, las actas de acuerdo deben incorporar las obligaciones de los padres de familia concertadas con ellos.</v>
      </c>
      <c r="S1556" s="11" t="str">
        <f>IFERROR(IF(VLOOKUP(A1556,[11]PRIORIZADOS!$A:$S,19,FALSE)="","",VLOOKUP(A1556,[11]PRIORIZADOS!$A:$S,19,FALSE)),"")</f>
        <v>Complementar los PIAR. Presentar plan de mejoramiento el 10 de junio de 2025</v>
      </c>
      <c r="T1556" s="70" t="str">
        <f>IFERROR(IF(VLOOKUP(A1556,[11]PRIORIZADOS!$A:$T,20,FALSE)="","",VLOOKUP(A1556,[11]PRIORIZADOS!$A:$T,20,FALSE)),"")</f>
        <v>Si</v>
      </c>
      <c r="U1556" s="11" t="str">
        <f>IFERROR(IF(VLOOKUP(A1556,[11]PRIORIZADOS!$A:$U,21,FALSE)="","",VLOOKUP(A1556,[11]PRIORIZADOS!$A:$U,21,FALSE)),"")</f>
        <v>Revisar PM y verificar que se ajuste a las observaciones realizadas.</v>
      </c>
    </row>
    <row r="1557" spans="1:21" s="1" customFormat="1" ht="84">
      <c r="A1557" s="69">
        <f>IF([11]PRIORIZADOS!A68="","",[11]PRIORIZADOS!A68)</f>
        <v>1523</v>
      </c>
      <c r="B1557" s="70">
        <v>7</v>
      </c>
      <c r="C1557" s="11" t="str">
        <f>IFERROR(IF(VLOOKUP(A1557,[11]PRIORIZADOS!$A:$C,3,FALSE)="","",VLOOKUP(A1557,[11]PRIORIZADOS!$A:$C,3,FALSE)),"")</f>
        <v>RAFAEL URIBE URIBE</v>
      </c>
      <c r="D1557" s="11" t="str">
        <f>IFERROR(IF(VLOOKUP(A1557,[11]PRIORIZADOS!$A:$D,4,FALSE)="","",VLOOKUP(A1557,[11]PRIORIZADOS!$A:$D,4,FALSE)),"")</f>
        <v>PRIVADO</v>
      </c>
      <c r="E1557" s="11" t="str">
        <f>IFERROR(IF(VLOOKUP(A1557,[11]PRIORIZADOS!$A:$E,5,FALSE)="","",VLOOKUP(A1557,[11]PRIORIZADOS!$A:$E,5,FALSE)),"")</f>
        <v>EPBM</v>
      </c>
      <c r="F1557" s="11" t="str">
        <f>IFERROR(IF(VLOOKUP(A1557,[11]PRIORIZADOS!$A:$F,6,FALSE)="","",VLOOKUP(A1557,[11]PRIORIZADOS!$A:$F,6,FALSE)),"")</f>
        <v>LICEO_JUAN_MIGUEL</v>
      </c>
      <c r="G1557" s="11" t="str">
        <f>IFERROR(IF(VLOOKUP(A1557,[11]PRIORIZADOS!$A:$G,7,FALSE)="","",VLOOKUP(A1557,[11]PRIORIZADOS!$A:$G,7,FALSE)),"")</f>
        <v>LICEO_JUAN_MIGUEL</v>
      </c>
      <c r="H1557" s="11" t="str">
        <f>IFERROR(IF(VLOOKUP(A1557,[11]PRIORIZADOS!$A:$H,8,FALSE)="","",VLOOKUP(A1557,[11]PRIORIZADOS!$A:$H,8,FALSE)),"")</f>
        <v>Autoevaluación Institucional y Pruebas SABER 11</v>
      </c>
      <c r="I1557" s="11" t="str">
        <f>IFERROR(IF(VLOOKUP(A1557,[11]PRIORIZADOS!$A:$I,9,FALSE)="","",VLOOKUP(A1557,[11]PRIORIZADOS!$A:$I,9,FALSE)),"")</f>
        <v>EVALUACIÓN_CON_FINES_DE_MEJORAMIENTO.</v>
      </c>
      <c r="J1557" s="11" t="str">
        <f>IFERROR(IF(VLOOKUP(A1557,[11]PRIORIZADOS!$A:$J,10,FALSE)="","",VLOOKUP(A1557,[11]PRIORIZADOS!$A:$J,10,FALSE)),"")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57" s="11" t="str">
        <f>IFERROR(IF(VLOOKUP(A1557,[11]PRIORIZADOS!$A:$K,11,FALSE)="","",VLOOKUP(A1557,[11]PRIORIZADOS!$A:$K,11,FALSE)),"")</f>
        <v>DORY CONSTANZA SANCHEZ ARAGÓN</v>
      </c>
      <c r="L1557" s="11" t="str">
        <f>IFERROR(IF(VLOOKUP(A1557,[11]PRIORIZADOS!$A:$L,12,FALSE)="","",VLOOKUP(A1557,[11]PRIORIZADOS!$A:$L,12,FALSE)),"")</f>
        <v>BEPCI YADIRA MINA ZAPATA</v>
      </c>
      <c r="M1557" s="71">
        <f>IFERROR(IF(VLOOKUP(A1557,[11]PRIORIZADOS!$A:$M,13,FALSE)="","",VLOOKUP(A1557,[11]PRIORIZADOS!$A:$M,13,FALSE)),"")</f>
        <v>45783</v>
      </c>
      <c r="N1557" s="71">
        <f>IFERROR(IF(VLOOKUP(A1557,[11]PRIORIZADOS!$A:$N,14,FALSE)="","",VLOOKUP(A1557,[11]PRIORIZADOS!$A:$N,14,FALSE)),"")</f>
        <v>45786</v>
      </c>
      <c r="O1557" s="71">
        <f>IFERROR(IF(VLOOKUP(A1557,[11]PRIORIZADOS!$A:$O,15,FALSE)="","",VLOOKUP(A1557,[11]PRIORIZADOS!$A:$O,15,FALSE)),"")</f>
        <v>45790</v>
      </c>
      <c r="P1557" s="11" t="str">
        <f>IFERROR(IF(VLOOKUP(A1557,[11]PRIORIZADOS!$A:$P,16,FALSE)="","",VLOOKUP(A1557,[11]PRIORIZADOS!$A:$P,16,FALSE)),"")</f>
        <v>Visitas de evaluación con fines de mejoramiento</v>
      </c>
      <c r="Q1557" s="107" t="s">
        <v>363</v>
      </c>
      <c r="R1557" s="11" t="str">
        <f>IFERROR(IF(VLOOKUP(A1557,[11]PRIORIZADOS!$A:$R,18,FALSE)="","",VLOOKUP(A1557,[11]PRIORIZADOS!$A:$R,18,FALSE)),"")</f>
        <v>No se evidencia aprobación del manual de convivencia, ya que no cuenta con actas de gobierno escolar.
No se encuentra actualizada y cumpliendo con la normatividad vigente</v>
      </c>
      <c r="S1557" s="11" t="str">
        <f>IFERROR(IF(VLOOKUP(A1557,[11]PRIORIZADOS!$A:$S,19,FALSE)="","",VLOOKUP(A1557,[11]PRIORIZADOS!$A:$S,19,FALSE)),"")</f>
        <v>La institución debe actualizar el manual de convivencia con participación del gobierno escolar. Presentar plan de mejoramiento el 10 de junio de 2025</v>
      </c>
      <c r="T1557" s="70" t="str">
        <f>IFERROR(IF(VLOOKUP(A1557,[11]PRIORIZADOS!$A:$T,20,FALSE)="","",VLOOKUP(A1557,[11]PRIORIZADOS!$A:$T,20,FALSE)),"")</f>
        <v>Si</v>
      </c>
      <c r="U1557" s="11" t="str">
        <f>IFERROR(IF(VLOOKUP(A1557,[11]PRIORIZADOS!$A:$U,21,FALSE)="","",VLOOKUP(A1557,[11]PRIORIZADOS!$A:$U,21,FALSE)),"")</f>
        <v>Revisar PM y verificar que se ajuste a las observaciones realizadas.</v>
      </c>
    </row>
    <row r="1558" spans="1:21" s="1" customFormat="1" ht="48">
      <c r="A1558" s="69">
        <f>IF([11]PRIORIZADOS!A69="","",[11]PRIORIZADOS!A69)</f>
        <v>1524</v>
      </c>
      <c r="B1558" s="70">
        <v>7</v>
      </c>
      <c r="C1558" s="11" t="str">
        <f>IFERROR(IF(VLOOKUP(A1558,[11]PRIORIZADOS!$A:$C,3,FALSE)="","",VLOOKUP(A1558,[11]PRIORIZADOS!$A:$C,3,FALSE)),"")</f>
        <v>RAFAEL URIBE URIBE</v>
      </c>
      <c r="D1558" s="11" t="str">
        <f>IFERROR(IF(VLOOKUP(A1558,[11]PRIORIZADOS!$A:$D,4,FALSE)="","",VLOOKUP(A1558,[11]PRIORIZADOS!$A:$D,4,FALSE)),"")</f>
        <v>PRIVADO</v>
      </c>
      <c r="E1558" s="11" t="str">
        <f>IFERROR(IF(VLOOKUP(A1558,[11]PRIORIZADOS!$A:$E,5,FALSE)="","",VLOOKUP(A1558,[11]PRIORIZADOS!$A:$E,5,FALSE)),"")</f>
        <v>EPBM</v>
      </c>
      <c r="F1558" s="11" t="str">
        <f>IFERROR(IF(VLOOKUP(A1558,[11]PRIORIZADOS!$A:$F,6,FALSE)="","",VLOOKUP(A1558,[11]PRIORIZADOS!$A:$F,6,FALSE)),"")</f>
        <v>LICEO_JUAN_MIGUEL</v>
      </c>
      <c r="G1558" s="11" t="str">
        <f>IFERROR(IF(VLOOKUP(A1558,[11]PRIORIZADOS!$A:$G,7,FALSE)="","",VLOOKUP(A1558,[11]PRIORIZADOS!$A:$G,7,FALSE)),"")</f>
        <v>LICEO_JUAN_MIGUEL</v>
      </c>
      <c r="H1558" s="11" t="str">
        <f>IFERROR(IF(VLOOKUP(A1558,[11]PRIORIZADOS!$A:$H,8,FALSE)="","",VLOOKUP(A1558,[11]PRIORIZADOS!$A:$H,8,FALSE)),"")</f>
        <v>Autoevaluación Institucional y Pruebas SABER 11</v>
      </c>
      <c r="I1558" s="11" t="str">
        <f>IFERROR(IF(VLOOKUP(A1558,[11]PRIORIZADOS!$A:$I,9,FALSE)="","",VLOOKUP(A1558,[11]PRIORIZADOS!$A:$I,9,FALSE)),"")</f>
        <v>EVALUACIÓN_CON_FINES_DE_MEJORAMIENTO.</v>
      </c>
      <c r="J1558" s="11" t="str">
        <f>IFERROR(IF(VLOOKUP(A1558,[11]PRIORIZADOS!$A:$J,10,FALSE)="","",VLOOKUP(A1558,[11]PRIORIZADOS!$A:$J,10,FALSE)),"")</f>
        <v>Revisar la actualización, socialización e implementación del Sistema Institucional de Evaluación de Estudiantes - SIEE, en articulación con la actualización del PEI y la normatividad vigente.</v>
      </c>
      <c r="K1558" s="11" t="str">
        <f>IFERROR(IF(VLOOKUP(A1558,[11]PRIORIZADOS!$A:$K,11,FALSE)="","",VLOOKUP(A1558,[11]PRIORIZADOS!$A:$K,11,FALSE)),"")</f>
        <v>DORY CONSTANZA SANCHEZ ARAGÓN</v>
      </c>
      <c r="L1558" s="11" t="str">
        <f>IFERROR(IF(VLOOKUP(A1558,[11]PRIORIZADOS!$A:$L,12,FALSE)="","",VLOOKUP(A1558,[11]PRIORIZADOS!$A:$L,12,FALSE)),"")</f>
        <v>BEPCI YADIRA MINA ZAPATA</v>
      </c>
      <c r="M1558" s="71">
        <f>IFERROR(IF(VLOOKUP(A1558,[11]PRIORIZADOS!$A:$M,13,FALSE)="","",VLOOKUP(A1558,[11]PRIORIZADOS!$A:$M,13,FALSE)),"")</f>
        <v>45783</v>
      </c>
      <c r="N1558" s="71">
        <f>IFERROR(IF(VLOOKUP(A1558,[11]PRIORIZADOS!$A:$N,14,FALSE)="","",VLOOKUP(A1558,[11]PRIORIZADOS!$A:$N,14,FALSE)),"")</f>
        <v>45786</v>
      </c>
      <c r="O1558" s="71">
        <f>IFERROR(IF(VLOOKUP(A1558,[11]PRIORIZADOS!$A:$O,15,FALSE)="","",VLOOKUP(A1558,[11]PRIORIZADOS!$A:$O,15,FALSE)),"")</f>
        <v>45790</v>
      </c>
      <c r="P1558" s="11" t="str">
        <f>IFERROR(IF(VLOOKUP(A1558,[11]PRIORIZADOS!$A:$P,16,FALSE)="","",VLOOKUP(A1558,[11]PRIORIZADOS!$A:$P,16,FALSE)),"")</f>
        <v>Visitas de evaluación con fines de mejoramiento</v>
      </c>
      <c r="Q1558" s="107" t="s">
        <v>363</v>
      </c>
      <c r="R1558" s="11" t="str">
        <f>IFERROR(IF(VLOOKUP(A1558,[11]PRIORIZADOS!$A:$R,18,FALSE)="","",VLOOKUP(A1558,[11]PRIORIZADOS!$A:$R,18,FALSE)),"")</f>
        <v>El SIEE no cuenta con un capítulo que especifique la forma de evaluación de la educación inicial, el colego debe tener presente que el Decreto 1290 de 2009.</v>
      </c>
      <c r="S1558" s="11" t="str">
        <f>IFERROR(IF(VLOOKUP(A1558,[11]PRIORIZADOS!$A:$S,19,FALSE)="","",VLOOKUP(A1558,[11]PRIORIZADOS!$A:$S,19,FALSE)),"")</f>
        <v>En el SIE se deben ampliar y fortalecer los criterios de evaluación y promoción. Presentar plan de mejoramiento el 10 de junio de 2025</v>
      </c>
      <c r="T1558" s="70" t="str">
        <f>IFERROR(IF(VLOOKUP(A1558,[11]PRIORIZADOS!$A:$T,20,FALSE)="","",VLOOKUP(A1558,[11]PRIORIZADOS!$A:$T,20,FALSE)),"")</f>
        <v>Si</v>
      </c>
      <c r="U1558" s="11" t="str">
        <f>IFERROR(IF(VLOOKUP(A1558,[11]PRIORIZADOS!$A:$U,21,FALSE)="","",VLOOKUP(A1558,[11]PRIORIZADOS!$A:$U,21,FALSE)),"")</f>
        <v>Revisar PM y verificar que se ajuste a las observaciones realizadas.</v>
      </c>
    </row>
    <row r="1559" spans="1:21" s="1" customFormat="1" ht="72">
      <c r="A1559" s="69">
        <f>IF([11]PRIORIZADOS!A70="","",[11]PRIORIZADOS!A70)</f>
        <v>1525</v>
      </c>
      <c r="B1559" s="70">
        <v>7</v>
      </c>
      <c r="C1559" s="11" t="str">
        <f>IFERROR(IF(VLOOKUP(A1559,[11]PRIORIZADOS!$A:$C,3,FALSE)="","",VLOOKUP(A1559,[11]PRIORIZADOS!$A:$C,3,FALSE)),"")</f>
        <v>RAFAEL URIBE URIBE</v>
      </c>
      <c r="D1559" s="11" t="str">
        <f>IFERROR(IF(VLOOKUP(A1559,[11]PRIORIZADOS!$A:$D,4,FALSE)="","",VLOOKUP(A1559,[11]PRIORIZADOS!$A:$D,4,FALSE)),"")</f>
        <v>PRIVADO</v>
      </c>
      <c r="E1559" s="11" t="str">
        <f>IFERROR(IF(VLOOKUP(A1559,[11]PRIORIZADOS!$A:$E,5,FALSE)="","",VLOOKUP(A1559,[11]PRIORIZADOS!$A:$E,5,FALSE)),"")</f>
        <v>EPBM</v>
      </c>
      <c r="F1559" s="11" t="str">
        <f>IFERROR(IF(VLOOKUP(A1559,[11]PRIORIZADOS!$A:$F,6,FALSE)="","",VLOOKUP(A1559,[11]PRIORIZADOS!$A:$F,6,FALSE)),"")</f>
        <v>LICEO_JUAN_MIGUEL</v>
      </c>
      <c r="G1559" s="11" t="str">
        <f>IFERROR(IF(VLOOKUP(A1559,[11]PRIORIZADOS!$A:$G,7,FALSE)="","",VLOOKUP(A1559,[11]PRIORIZADOS!$A:$G,7,FALSE)),"")</f>
        <v>LICEO_JUAN_MIGUEL</v>
      </c>
      <c r="H1559" s="11" t="str">
        <f>IFERROR(IF(VLOOKUP(A1559,[11]PRIORIZADOS!$A:$H,8,FALSE)="","",VLOOKUP(A1559,[11]PRIORIZADOS!$A:$H,8,FALSE)),"")</f>
        <v>Autoevaluación Institucional y Pruebas SABER 11</v>
      </c>
      <c r="I1559" s="11" t="str">
        <f>IFERROR(IF(VLOOKUP(A1559,[11]PRIORIZADOS!$A:$I,9,FALSE)="","",VLOOKUP(A1559,[11]PRIORIZADOS!$A:$I,9,FALSE)),"")</f>
        <v>EVALUACIÓN_CON_FINES_DE_MEJORAMIENTO.</v>
      </c>
      <c r="J1559" s="11" t="str">
        <f>IFERROR(IF(VLOOKUP(A1559,[11]PRIORIZADOS!$A:$J,10,FALSE)="","",VLOOKUP(A1559,[11]PRIORIZADOS!$A:$J,10,FALSE)),"")</f>
        <v>Revisar el calendario escolar, jornada escolar, la intensidad horaria mínima anual en cada nivel y las modificaciones que se realicen al mismo, de acuerdo con lo previsto en la normatividad vigente.</v>
      </c>
      <c r="K1559" s="11" t="str">
        <f>IFERROR(IF(VLOOKUP(A1559,[11]PRIORIZADOS!$A:$K,11,FALSE)="","",VLOOKUP(A1559,[11]PRIORIZADOS!$A:$K,11,FALSE)),"")</f>
        <v>DORY CONSTANZA SANCHEZ ARAGÓN</v>
      </c>
      <c r="L1559" s="11" t="str">
        <f>IFERROR(IF(VLOOKUP(A1559,[11]PRIORIZADOS!$A:$L,12,FALSE)="","",VLOOKUP(A1559,[11]PRIORIZADOS!$A:$L,12,FALSE)),"")</f>
        <v>BEPCI YADIRA MINA ZAPATA</v>
      </c>
      <c r="M1559" s="71">
        <f>IFERROR(IF(VLOOKUP(A1559,[11]PRIORIZADOS!$A:$M,13,FALSE)="","",VLOOKUP(A1559,[11]PRIORIZADOS!$A:$M,13,FALSE)),"")</f>
        <v>45783</v>
      </c>
      <c r="N1559" s="71">
        <f>IFERROR(IF(VLOOKUP(A1559,[11]PRIORIZADOS!$A:$N,14,FALSE)="","",VLOOKUP(A1559,[11]PRIORIZADOS!$A:$N,14,FALSE)),"")</f>
        <v>45786</v>
      </c>
      <c r="O1559" s="71">
        <f>IFERROR(IF(VLOOKUP(A1559,[11]PRIORIZADOS!$A:$O,15,FALSE)="","",VLOOKUP(A1559,[11]PRIORIZADOS!$A:$O,15,FALSE)),"")</f>
        <v>45790</v>
      </c>
      <c r="P1559" s="11" t="str">
        <f>IFERROR(IF(VLOOKUP(A1559,[11]PRIORIZADOS!$A:$P,16,FALSE)="","",VLOOKUP(A1559,[11]PRIORIZADOS!$A:$P,16,FALSE)),"")</f>
        <v>Visitas de evaluación con fines de mejoramiento</v>
      </c>
      <c r="Q1559" s="107" t="s">
        <v>363</v>
      </c>
      <c r="R1559" s="11" t="str">
        <f>IFERROR(IF(VLOOKUP(A1559,[11]PRIORIZADOS!$A:$R,18,FALSE)="","",VLOOKUP(A1559,[11]PRIORIZADOS!$A:$R,18,FALSE)),"")</f>
        <v>El colegio no realizó ampliación de intensidad horaria para el desarrollo del programa que tiene articulado con el SENA y lo incorporó dentro de la jornada académica lo que indica no cumplimiento de la intensidad horaria para la media</v>
      </c>
      <c r="S1559" s="11" t="str">
        <f>IFERROR(IF(VLOOKUP(A1559,[11]PRIORIZADOS!$A:$S,19,FALSE)="","",VLOOKUP(A1559,[11]PRIORIZADOS!$A:$S,19,FALSE)),"")</f>
        <v>Ajustar el horario para dar cumplimiento a la intensidad horaria. Presentar plan de mejoramiento el 10 de junio de 2025</v>
      </c>
      <c r="T1559" s="70" t="str">
        <f>IFERROR(IF(VLOOKUP(A1559,[11]PRIORIZADOS!$A:$T,20,FALSE)="","",VLOOKUP(A1559,[11]PRIORIZADOS!$A:$T,20,FALSE)),"")</f>
        <v>Si</v>
      </c>
      <c r="U1559" s="11" t="str">
        <f>IFERROR(IF(VLOOKUP(A1559,[11]PRIORIZADOS!$A:$U,21,FALSE)="","",VLOOKUP(A1559,[11]PRIORIZADOS!$A:$U,21,FALSE)),"")</f>
        <v>Revisar PM y verificar que se ajuste a las observaciones realizadas.</v>
      </c>
    </row>
    <row r="1560" spans="1:21" s="1" customFormat="1" ht="48">
      <c r="A1560" s="69">
        <f>IF([11]PRIORIZADOS!A71="","",[11]PRIORIZADOS!A71)</f>
        <v>1526</v>
      </c>
      <c r="B1560" s="70">
        <v>7</v>
      </c>
      <c r="C1560" s="11" t="str">
        <f>IFERROR(IF(VLOOKUP(A1560,[11]PRIORIZADOS!$A:$C,3,FALSE)="","",VLOOKUP(A1560,[11]PRIORIZADOS!$A:$C,3,FALSE)),"")</f>
        <v>RAFAEL URIBE URIBE</v>
      </c>
      <c r="D1560" s="11" t="str">
        <f>IFERROR(IF(VLOOKUP(A1560,[11]PRIORIZADOS!$A:$D,4,FALSE)="","",VLOOKUP(A1560,[11]PRIORIZADOS!$A:$D,4,FALSE)),"")</f>
        <v>PRIVADO</v>
      </c>
      <c r="E1560" s="11" t="str">
        <f>IFERROR(IF(VLOOKUP(A1560,[11]PRIORIZADOS!$A:$E,5,FALSE)="","",VLOOKUP(A1560,[11]PRIORIZADOS!$A:$E,5,FALSE)),"")</f>
        <v>EPBM</v>
      </c>
      <c r="F1560" s="11" t="str">
        <f>IFERROR(IF(VLOOKUP(A1560,[11]PRIORIZADOS!$A:$F,6,FALSE)="","",VLOOKUP(A1560,[11]PRIORIZADOS!$A:$F,6,FALSE)),"")</f>
        <v>LICEO_JUAN_MIGUEL</v>
      </c>
      <c r="G1560" s="11" t="str">
        <f>IFERROR(IF(VLOOKUP(A1560,[11]PRIORIZADOS!$A:$G,7,FALSE)="","",VLOOKUP(A1560,[11]PRIORIZADOS!$A:$G,7,FALSE)),"")</f>
        <v>LICEO_JUAN_MIGUEL</v>
      </c>
      <c r="H1560" s="11" t="str">
        <f>IFERROR(IF(VLOOKUP(A1560,[11]PRIORIZADOS!$A:$H,8,FALSE)="","",VLOOKUP(A1560,[11]PRIORIZADOS!$A:$H,8,FALSE)),"")</f>
        <v>Autoevaluación Institucional y Pruebas SABER 11</v>
      </c>
      <c r="I1560" s="11" t="str">
        <f>IFERROR(IF(VLOOKUP(A1560,[11]PRIORIZADOS!$A:$I,9,FALSE)="","",VLOOKUP(A1560,[11]PRIORIZADOS!$A:$I,9,FALSE)),"")</f>
        <v>EVALUACIÓN_CON_FINES_DE_MEJORAMIENTO.</v>
      </c>
      <c r="J1560" s="11" t="str">
        <f>IFERROR(IF(VLOOKUP(A1560,[11]PRIORIZADOS!$A:$J,10,FALSE)="","",VLOOKUP(A1560,[11]PRIORIZADOS!$A:$J,10,FALSE)),"")</f>
        <v>Verificar el funcionamiento del Gobierno Escolar e instancias de participación con base en la información sobre conformación reportada por la institución educativa.</v>
      </c>
      <c r="K1560" s="11" t="str">
        <f>IFERROR(IF(VLOOKUP(A1560,[11]PRIORIZADOS!$A:$K,11,FALSE)="","",VLOOKUP(A1560,[11]PRIORIZADOS!$A:$K,11,FALSE)),"")</f>
        <v>DORY CONSTANZA SANCHEZ ARAGÓN</v>
      </c>
      <c r="L1560" s="11" t="str">
        <f>IFERROR(IF(VLOOKUP(A1560,[11]PRIORIZADOS!$A:$L,12,FALSE)="","",VLOOKUP(A1560,[11]PRIORIZADOS!$A:$L,12,FALSE)),"")</f>
        <v>BEPCI YADIRA MINA ZAPATA</v>
      </c>
      <c r="M1560" s="71">
        <f>IFERROR(IF(VLOOKUP(A1560,[11]PRIORIZADOS!$A:$M,13,FALSE)="","",VLOOKUP(A1560,[11]PRIORIZADOS!$A:$M,13,FALSE)),"")</f>
        <v>45783</v>
      </c>
      <c r="N1560" s="71">
        <f>IFERROR(IF(VLOOKUP(A1560,[11]PRIORIZADOS!$A:$N,14,FALSE)="","",VLOOKUP(A1560,[11]PRIORIZADOS!$A:$N,14,FALSE)),"")</f>
        <v>45786</v>
      </c>
      <c r="O1560" s="71">
        <f>IFERROR(IF(VLOOKUP(A1560,[11]PRIORIZADOS!$A:$O,15,FALSE)="","",VLOOKUP(A1560,[11]PRIORIZADOS!$A:$O,15,FALSE)),"")</f>
        <v>45790</v>
      </c>
      <c r="P1560" s="11" t="str">
        <f>IFERROR(IF(VLOOKUP(A1560,[11]PRIORIZADOS!$A:$P,16,FALSE)="","",VLOOKUP(A1560,[11]PRIORIZADOS!$A:$P,16,FALSE)),"")</f>
        <v>Visitas de evaluación con fines de mejoramiento</v>
      </c>
      <c r="Q1560" s="107" t="s">
        <v>363</v>
      </c>
      <c r="R1560" s="11" t="str">
        <f>IFERROR(IF(VLOOKUP(A1560,[11]PRIORIZADOS!$A:$R,18,FALSE)="","",VLOOKUP(A1560,[11]PRIORIZADOS!$A:$R,18,FALSE)),"")</f>
        <v>No se evidencian actas de funcionamiento de Gobierno Escolar</v>
      </c>
      <c r="S1560" s="11" t="str">
        <f>IFERROR(IF(VLOOKUP(A1560,[11]PRIORIZADOS!$A:$S,19,FALSE)="","",VLOOKUP(A1560,[11]PRIORIZADOS!$A:$S,19,FALSE)),"")</f>
        <v>Generar los espacios para el funcionamiento del gobierno escolar con sus respectivas actas. Presentar plan de mejoramiento el 10 de junio de 2025</v>
      </c>
      <c r="T1560" s="70" t="str">
        <f>IFERROR(IF(VLOOKUP(A1560,[11]PRIORIZADOS!$A:$T,20,FALSE)="","",VLOOKUP(A1560,[11]PRIORIZADOS!$A:$T,20,FALSE)),"")</f>
        <v>Si</v>
      </c>
      <c r="U1560" s="11" t="str">
        <f>IFERROR(IF(VLOOKUP(A1560,[11]PRIORIZADOS!$A:$U,21,FALSE)="","",VLOOKUP(A1560,[11]PRIORIZADOS!$A:$U,21,FALSE)),"")</f>
        <v>Revisar PM y verificar que se ajuste a las observaciones realizadas.</v>
      </c>
    </row>
    <row r="1561" spans="1:21" s="1" customFormat="1" ht="72">
      <c r="A1561" s="69">
        <f>IF([11]PRIORIZADOS!A72="","",[11]PRIORIZADOS!A72)</f>
        <v>1527</v>
      </c>
      <c r="B1561" s="70">
        <v>7</v>
      </c>
      <c r="C1561" s="11" t="str">
        <f>IFERROR(IF(VLOOKUP(A1561,[11]PRIORIZADOS!$A:$C,3,FALSE)="","",VLOOKUP(A1561,[11]PRIORIZADOS!$A:$C,3,FALSE)),"")</f>
        <v>RAFAEL URIBE URIBE</v>
      </c>
      <c r="D1561" s="11" t="str">
        <f>IFERROR(IF(VLOOKUP(A1561,[11]PRIORIZADOS!$A:$D,4,FALSE)="","",VLOOKUP(A1561,[11]PRIORIZADOS!$A:$D,4,FALSE)),"")</f>
        <v>PRIVADO</v>
      </c>
      <c r="E1561" s="11" t="str">
        <f>IFERROR(IF(VLOOKUP(A1561,[11]PRIORIZADOS!$A:$E,5,FALSE)="","",VLOOKUP(A1561,[11]PRIORIZADOS!$A:$E,5,FALSE)),"")</f>
        <v>EPBM</v>
      </c>
      <c r="F1561" s="11" t="str">
        <f>IFERROR(IF(VLOOKUP(A1561,[11]PRIORIZADOS!$A:$F,6,FALSE)="","",VLOOKUP(A1561,[11]PRIORIZADOS!$A:$F,6,FALSE)),"")</f>
        <v>LICEO_JUAN_MIGUEL</v>
      </c>
      <c r="G1561" s="11" t="str">
        <f>IFERROR(IF(VLOOKUP(A1561,[11]PRIORIZADOS!$A:$G,7,FALSE)="","",VLOOKUP(A1561,[11]PRIORIZADOS!$A:$G,7,FALSE)),"")</f>
        <v>LICEO_JUAN_MIGUEL</v>
      </c>
      <c r="H1561" s="11" t="str">
        <f>IFERROR(IF(VLOOKUP(A1561,[11]PRIORIZADOS!$A:$H,8,FALSE)="","",VLOOKUP(A1561,[11]PRIORIZADOS!$A:$H,8,FALSE)),"")</f>
        <v>Autoevaluación Institucional y Pruebas SABER 11</v>
      </c>
      <c r="I1561" s="11" t="str">
        <f>IFERROR(IF(VLOOKUP(A1561,[11]PRIORIZADOS!$A:$I,9,FALSE)="","",VLOOKUP(A1561,[11]PRIORIZADOS!$A:$I,9,FALSE)),"")</f>
        <v>EVALUACIÓN_CON_FINES_DE_MEJORAMIENTO.</v>
      </c>
      <c r="J1561" s="11" t="str">
        <f>IFERROR(IF(VLOOKUP(A1561,[11]PRIORIZADOS!$A:$J,10,FALSE)="","",VLOOKUP(A1561,[11]PRIORIZADOS!$A:$J,10,FALSE)),"")</f>
        <v>Verificar las condiciones en cuanto a: la estructura administrativa, condiciones de la planta física y medios educativos adecuados.</v>
      </c>
      <c r="K1561" s="11" t="str">
        <f>IFERROR(IF(VLOOKUP(A1561,[11]PRIORIZADOS!$A:$K,11,FALSE)="","",VLOOKUP(A1561,[11]PRIORIZADOS!$A:$K,11,FALSE)),"")</f>
        <v>DORY CONSTANZA SANCHEZ ARAGÓN</v>
      </c>
      <c r="L1561" s="11" t="str">
        <f>IFERROR(IF(VLOOKUP(A1561,[11]PRIORIZADOS!$A:$L,12,FALSE)="","",VLOOKUP(A1561,[11]PRIORIZADOS!$A:$L,12,FALSE)),"")</f>
        <v>BEPCI YADIRA MINA ZAPATA</v>
      </c>
      <c r="M1561" s="71">
        <f>IFERROR(IF(VLOOKUP(A1561,[11]PRIORIZADOS!$A:$M,13,FALSE)="","",VLOOKUP(A1561,[11]PRIORIZADOS!$A:$M,13,FALSE)),"")</f>
        <v>45783</v>
      </c>
      <c r="N1561" s="71">
        <f>IFERROR(IF(VLOOKUP(A1561,[11]PRIORIZADOS!$A:$N,14,FALSE)="","",VLOOKUP(A1561,[11]PRIORIZADOS!$A:$N,14,FALSE)),"")</f>
        <v>45786</v>
      </c>
      <c r="O1561" s="71">
        <f>IFERROR(IF(VLOOKUP(A1561,[11]PRIORIZADOS!$A:$O,15,FALSE)="","",VLOOKUP(A1561,[11]PRIORIZADOS!$A:$O,15,FALSE)),"")</f>
        <v>45790</v>
      </c>
      <c r="P1561" s="11" t="str">
        <f>IFERROR(IF(VLOOKUP(A1561,[11]PRIORIZADOS!$A:$P,16,FALSE)="","",VLOOKUP(A1561,[11]PRIORIZADOS!$A:$P,16,FALSE)),"")</f>
        <v>Visitas de evaluación con fines de mejoramiento</v>
      </c>
      <c r="Q1561" s="107" t="s">
        <v>363</v>
      </c>
      <c r="R1561" s="11" t="str">
        <f>IFERROR(IF(VLOOKUP(A1561,[11]PRIORIZADOS!$A:$R,18,FALSE)="","",VLOOKUP(A1561,[11]PRIORIZADOS!$A:$R,18,FALSE)),"")</f>
        <v>Se evidencio que la institución presta su servicio en 2 sedes, 1 esta aprobado en una resolución de 1966 pero no se relaciona en las últimas resoluciones. 
No cuenta con espacio de recreación sufiente.</v>
      </c>
      <c r="S1561" s="11" t="str">
        <f>IFERROR(IF(VLOOKUP(A1561,[11]PRIORIZADOS!$A:$S,19,FALSE)="","",VLOOKUP(A1561,[11]PRIORIZADOS!$A:$S,19,FALSE)),"")</f>
        <v>Se debe unificar las licencias con la sede B y buscar estratégias para la zona de recreación. Presentar plan de mejoramiento el 10 de junio de 2025</v>
      </c>
      <c r="T1561" s="70" t="str">
        <f>IFERROR(IF(VLOOKUP(A1561,[11]PRIORIZADOS!$A:$T,20,FALSE)="","",VLOOKUP(A1561,[11]PRIORIZADOS!$A:$T,20,FALSE)),"")</f>
        <v>Si</v>
      </c>
      <c r="U1561" s="11" t="str">
        <f>IFERROR(IF(VLOOKUP(A1561,[11]PRIORIZADOS!$A:$U,21,FALSE)="","",VLOOKUP(A1561,[11]PRIORIZADOS!$A:$U,21,FALSE)),"")</f>
        <v>Revisar PM y verificar que se ajuste a las observaciones realizadas.</v>
      </c>
    </row>
    <row r="1562" spans="1:21" s="1" customFormat="1" ht="72">
      <c r="A1562" s="69">
        <f>IF([11]PRIORIZADOS!A73="","",[11]PRIORIZADOS!A73)</f>
        <v>1528</v>
      </c>
      <c r="B1562" s="70">
        <f>IFERROR(IF(VLOOKUP(A1562,[11]PRIORIZADOS!$A:$B,2,FALSE)="","",VLOOKUP(A1562,[11]PRIORIZADOS!$A:$B,2,FALSE)),"")</f>
        <v>8</v>
      </c>
      <c r="C1562" s="11" t="str">
        <f>IFERROR(IF(VLOOKUP(A1562,[11]PRIORIZADOS!$A:$C,3,FALSE)="","",VLOOKUP(A1562,[11]PRIORIZADOS!$A:$C,3,FALSE)),"")</f>
        <v>RAFAEL URIBE URIBE</v>
      </c>
      <c r="D1562" s="11" t="str">
        <f>IFERROR(IF(VLOOKUP(A1562,[11]PRIORIZADOS!$A:$D,4,FALSE)="","",VLOOKUP(A1562,[11]PRIORIZADOS!$A:$D,4,FALSE)),"")</f>
        <v>PRIVADO</v>
      </c>
      <c r="E1562" s="11" t="str">
        <f>IFERROR(IF(VLOOKUP(A1562,[11]PRIORIZADOS!$A:$E,5,FALSE)="","",VLOOKUP(A1562,[11]PRIORIZADOS!$A:$E,5,FALSE)),"")</f>
        <v>EPBM</v>
      </c>
      <c r="F1562" s="11" t="str">
        <f>IFERROR(IF(VLOOKUP(A1562,[11]PRIORIZADOS!$A:$F,6,FALSE)="","",VLOOKUP(A1562,[11]PRIORIZADOS!$A:$F,6,FALSE)),"")</f>
        <v>COLEGIO_CRISTIANO_DE_COLOMBIA</v>
      </c>
      <c r="G1562" s="11" t="str">
        <f>IFERROR(IF(VLOOKUP(A1562,[11]PRIORIZADOS!$A:$G,7,FALSE)="","",VLOOKUP(A1562,[11]PRIORIZADOS!$A:$G,7,FALSE)),"")</f>
        <v>COLEGIO_CRISTIANO_DE_COLOMBIA</v>
      </c>
      <c r="H1562" s="11" t="str">
        <f>IFERROR(IF(VLOOKUP(A1562,[11]PRIORIZADOS!$A:$H,8,FALSE)="","",VLOOKUP(A1562,[11]PRIORIZADOS!$A:$H,8,FALSE)),"")</f>
        <v>Autoevaluación Institucional y Pruebas SABER 11</v>
      </c>
      <c r="I1562" s="11" t="str">
        <f>IFERROR(IF(VLOOKUP(A1562,[11]PRIORIZADOS!$A:$I,9,FALSE)="","",VLOOKUP(A1562,[11]PRIORIZADOS!$A:$I,9,FALSE)),"")</f>
        <v>SEGUIMIENTO_Y_SUPERVISIÓN.</v>
      </c>
      <c r="J1562" s="11" t="str">
        <f>IFERROR(IF(VLOOKUP(A1562,[11]PRIORIZADOS!$A:$J,10,FALSE)="","",VLOOKUP(A1562,[11]PRIORIZADOS!$A:$J,10,FALSE)),"")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562" s="11" t="str">
        <f>IFERROR(IF(VLOOKUP(A1562,[11]PRIORIZADOS!$A:$K,11,FALSE)="","",VLOOKUP(A1562,[11]PRIORIZADOS!$A:$K,11,FALSE)),"")</f>
        <v>DORY CONSTANZA SANCHEZ ARAGÓN</v>
      </c>
      <c r="L1562" s="11" t="str">
        <f>IFERROR(IF(VLOOKUP(A1562,[11]PRIORIZADOS!$A:$L,12,FALSE)="","",VLOOKUP(A1562,[11]PRIORIZADOS!$A:$L,12,FALSE)),"")</f>
        <v>BEPCI YADIRA MINA ZAPATA</v>
      </c>
      <c r="M1562" s="71">
        <f>IFERROR(IF(VLOOKUP(A1562,[11]PRIORIZADOS!$A:$M,13,FALSE)="","",VLOOKUP(A1562,[11]PRIORIZADOS!$A:$M,13,FALSE)),"")</f>
        <v>45790</v>
      </c>
      <c r="N1562" s="71">
        <f>IFERROR(IF(VLOOKUP(A1562,[11]PRIORIZADOS!$A:$N,14,FALSE)="","",VLOOKUP(A1562,[11]PRIORIZADOS!$A:$N,14,FALSE)),"")</f>
        <v>45791</v>
      </c>
      <c r="O1562" s="71">
        <f>IFERROR(IF(VLOOKUP(A1562,[11]PRIORIZADOS!$A:$O,15,FALSE)="","",VLOOKUP(A1562,[11]PRIORIZADOS!$A:$O,15,FALSE)),"")</f>
        <v>45797</v>
      </c>
      <c r="P1562" s="11" t="str">
        <f>IFERROR(IF(VLOOKUP(A1562,[11]PRIORIZADOS!$A:$P,16,FALSE)="","",VLOOKUP(A1562,[11]PRIORIZADOS!$A:$P,16,FALSE)),"")</f>
        <v>Visitas de evaluación con fines de mejoramiento</v>
      </c>
      <c r="Q1562" s="107" t="s">
        <v>364</v>
      </c>
      <c r="R1562" s="11" t="str">
        <f>IFERROR(IF(VLOOKUP(A1562,[11]PRIORIZADOS!$A:$R,18,FALSE)="","",VLOOKUP(A1562,[11]PRIORIZADOS!$A:$R,18,FALSE)),"")</f>
        <v>Se subio en el EVI el plan de mejoramiento por no pago de seguridad social, se encuentra que la contratación y la seguridad social de los docentes esta tercerizado con la empresa Lopez y Avedaño SAS.</v>
      </c>
      <c r="S1562" s="11" t="str">
        <f>IFERROR(IF(VLOOKUP(A1562,[11]PRIORIZADOS!$A:$S,19,FALSE)="","",VLOOKUP(A1562,[11]PRIORIZADOS!$A:$S,19,FALSE)),"")</f>
        <v>La contratación y el pago de seguridad social de los docentes debe ser por parte de la institución educativa. Presentar plan de mejoramiento 18 de julio 2025</v>
      </c>
      <c r="T1562" s="70" t="str">
        <f>IFERROR(IF(VLOOKUP(A1562,[11]PRIORIZADOS!$A:$T,20,FALSE)="","",VLOOKUP(A1562,[11]PRIORIZADOS!$A:$T,20,FALSE)),"")</f>
        <v>Si</v>
      </c>
      <c r="U1562" s="11" t="str">
        <f>IFERROR(IF(VLOOKUP(A1562,[11]PRIORIZADOS!$A:$U,21,FALSE)="","",VLOOKUP(A1562,[11]PRIORIZADOS!$A:$U,21,FALSE)),"")</f>
        <v>Revisar PM y verificar que se ajuste a las observaciones realizadas.</v>
      </c>
    </row>
    <row r="1563" spans="1:21" s="1" customFormat="1" ht="48">
      <c r="A1563" s="69">
        <f>IF([11]PRIORIZADOS!A74="","",[11]PRIORIZADOS!A74)</f>
        <v>1529</v>
      </c>
      <c r="B1563" s="70">
        <v>8</v>
      </c>
      <c r="C1563" s="11" t="str">
        <f>IFERROR(IF(VLOOKUP(A1563,[11]PRIORIZADOS!$A:$C,3,FALSE)="","",VLOOKUP(A1563,[11]PRIORIZADOS!$A:$C,3,FALSE)),"")</f>
        <v>RAFAEL URIBE URIBE</v>
      </c>
      <c r="D1563" s="11" t="str">
        <f>IFERROR(IF(VLOOKUP(A1563,[11]PRIORIZADOS!$A:$D,4,FALSE)="","",VLOOKUP(A1563,[11]PRIORIZADOS!$A:$D,4,FALSE)),"")</f>
        <v>PRIVADO</v>
      </c>
      <c r="E1563" s="11" t="str">
        <f>IFERROR(IF(VLOOKUP(A1563,[11]PRIORIZADOS!$A:$E,5,FALSE)="","",VLOOKUP(A1563,[11]PRIORIZADOS!$A:$E,5,FALSE)),"")</f>
        <v>EPBM</v>
      </c>
      <c r="F1563" s="11" t="str">
        <f>IFERROR(IF(VLOOKUP(A1563,[11]PRIORIZADOS!$A:$F,6,FALSE)="","",VLOOKUP(A1563,[11]PRIORIZADOS!$A:$F,6,FALSE)),"")</f>
        <v>COLEGIO_CRISTIANO_DE_COLOMBIA</v>
      </c>
      <c r="G1563" s="11" t="str">
        <f>IFERROR(IF(VLOOKUP(A1563,[11]PRIORIZADOS!$A:$G,7,FALSE)="","",VLOOKUP(A1563,[11]PRIORIZADOS!$A:$G,7,FALSE)),"")</f>
        <v>COLEGIO_CRISTIANO_DE_COLOMBIA</v>
      </c>
      <c r="H1563" s="11" t="str">
        <f>IFERROR(IF(VLOOKUP(A1563,[11]PRIORIZADOS!$A:$H,8,FALSE)="","",VLOOKUP(A1563,[11]PRIORIZADOS!$A:$H,8,FALSE)),"")</f>
        <v>Autoevaluación Institucional y Pruebas SABER 11</v>
      </c>
      <c r="I1563" s="11" t="str">
        <f>IFERROR(IF(VLOOKUP(A1563,[11]PRIORIZADOS!$A:$I,9,FALSE)="","",VLOOKUP(A1563,[11]PRIORIZADOS!$A:$I,9,FALSE)),"")</f>
        <v>SEGUIMIENTO_Y_SUPERVISIÓN.</v>
      </c>
      <c r="J1563" s="11" t="str">
        <f>IFERROR(IF(VLOOKUP(A1563,[11]PRIORIZADOS!$A:$J,10,FALSE)="","",VLOOKUP(A1563,[11]PRIORIZADOS!$A:$J,10,FALSE)),"")</f>
        <v>Realizar visitas para verificar la información registrada sobre la autoevaluación institucional en el aplicativo EVI, a los establecimientos de educación formal no oficial.</v>
      </c>
      <c r="K1563" s="11" t="str">
        <f>IFERROR(IF(VLOOKUP(A1563,[11]PRIORIZADOS!$A:$K,11,FALSE)="","",VLOOKUP(A1563,[11]PRIORIZADOS!$A:$K,11,FALSE)),"")</f>
        <v>DORY CONSTANZA SANCHEZ ARAGÓN</v>
      </c>
      <c r="L1563" s="11" t="str">
        <f>IFERROR(IF(VLOOKUP(A1563,[11]PRIORIZADOS!$A:$L,12,FALSE)="","",VLOOKUP(A1563,[11]PRIORIZADOS!$A:$L,12,FALSE)),"")</f>
        <v>BEPCI YADIRA MINA ZAPATA</v>
      </c>
      <c r="M1563" s="71">
        <f>IFERROR(IF(VLOOKUP(A1563,[11]PRIORIZADOS!$A:$M,13,FALSE)="","",VLOOKUP(A1563,[11]PRIORIZADOS!$A:$M,13,FALSE)),"")</f>
        <v>45790</v>
      </c>
      <c r="N1563" s="71">
        <f>IFERROR(IF(VLOOKUP(A1563,[11]PRIORIZADOS!$A:$N,14,FALSE)="","",VLOOKUP(A1563,[11]PRIORIZADOS!$A:$N,14,FALSE)),"")</f>
        <v>45791</v>
      </c>
      <c r="O1563" s="71">
        <f>IFERROR(IF(VLOOKUP(A1563,[11]PRIORIZADOS!$A:$O,15,FALSE)="","",VLOOKUP(A1563,[11]PRIORIZADOS!$A:$O,15,FALSE)),"")</f>
        <v>45797</v>
      </c>
      <c r="P1563" s="11" t="str">
        <f>IFERROR(IF(VLOOKUP(A1563,[11]PRIORIZADOS!$A:$P,16,FALSE)="","",VLOOKUP(A1563,[11]PRIORIZADOS!$A:$P,16,FALSE)),"")</f>
        <v>Visitas de evaluación con fines de mejoramiento</v>
      </c>
      <c r="Q1563" s="107" t="s">
        <v>364</v>
      </c>
      <c r="R1563" s="11" t="str">
        <f>IFERROR(IF(VLOOKUP(A1563,[11]PRIORIZADOS!$A:$R,18,FALSE)="","",VLOOKUP(A1563,[11]PRIORIZADOS!$A:$R,18,FALSE)),"")</f>
        <v>En el EVI se reporta Aula de tecnología - informática, sala de audiovisuales, no se evidencia en la visita. 1 docente sin título profesional.</v>
      </c>
      <c r="S1563" s="11" t="str">
        <f>IFERROR(IF(VLOOKUP(A1563,[11]PRIORIZADOS!$A:$S,19,FALSE)="","",VLOOKUP(A1563,[11]PRIORIZADOS!$A:$S,19,FALSE)),"")</f>
        <v>Contratar docentes con cumplimiento de requisitos, ajustar EVI a la realidad de la institución. Presentar plan de mejoramiento 18 de julio 2025</v>
      </c>
      <c r="T1563" s="70" t="str">
        <f>IFERROR(IF(VLOOKUP(A1563,[11]PRIORIZADOS!$A:$T,20,FALSE)="","",VLOOKUP(A1563,[11]PRIORIZADOS!$A:$T,20,FALSE)),"")</f>
        <v>Si</v>
      </c>
      <c r="U1563" s="11" t="str">
        <f>IFERROR(IF(VLOOKUP(A1563,[11]PRIORIZADOS!$A:$U,21,FALSE)="","",VLOOKUP(A1563,[11]PRIORIZADOS!$A:$U,21,FALSE)),"")</f>
        <v>Revisar PM y verificar que se ajuste a las observaciones realizadas.</v>
      </c>
    </row>
    <row r="1564" spans="1:21" s="1" customFormat="1" ht="84">
      <c r="A1564" s="69">
        <f>IF([11]PRIORIZADOS!A75="","",[11]PRIORIZADOS!A75)</f>
        <v>1530</v>
      </c>
      <c r="B1564" s="70">
        <v>8</v>
      </c>
      <c r="C1564" s="11" t="str">
        <f>IFERROR(IF(VLOOKUP(A1564,[11]PRIORIZADOS!$A:$C,3,FALSE)="","",VLOOKUP(A1564,[11]PRIORIZADOS!$A:$C,3,FALSE)),"")</f>
        <v>RAFAEL URIBE URIBE</v>
      </c>
      <c r="D1564" s="11" t="str">
        <f>IFERROR(IF(VLOOKUP(A1564,[11]PRIORIZADOS!$A:$D,4,FALSE)="","",VLOOKUP(A1564,[11]PRIORIZADOS!$A:$D,4,FALSE)),"")</f>
        <v>PRIVADO</v>
      </c>
      <c r="E1564" s="11" t="str">
        <f>IFERROR(IF(VLOOKUP(A1564,[11]PRIORIZADOS!$A:$E,5,FALSE)="","",VLOOKUP(A1564,[11]PRIORIZADOS!$A:$E,5,FALSE)),"")</f>
        <v>EPBM</v>
      </c>
      <c r="F1564" s="11" t="str">
        <f>IFERROR(IF(VLOOKUP(A1564,[11]PRIORIZADOS!$A:$F,6,FALSE)="","",VLOOKUP(A1564,[11]PRIORIZADOS!$A:$F,6,FALSE)),"")</f>
        <v>COLEGIO_CRISTIANO_DE_COLOMBIA</v>
      </c>
      <c r="G1564" s="11" t="str">
        <f>IFERROR(IF(VLOOKUP(A1564,[11]PRIORIZADOS!$A:$G,7,FALSE)="","",VLOOKUP(A1564,[11]PRIORIZADOS!$A:$G,7,FALSE)),"")</f>
        <v>COLEGIO_CRISTIANO_DE_COLOMBIA</v>
      </c>
      <c r="H1564" s="11" t="str">
        <f>IFERROR(IF(VLOOKUP(A1564,[11]PRIORIZADOS!$A:$H,8,FALSE)="","",VLOOKUP(A1564,[11]PRIORIZADOS!$A:$H,8,FALSE)),"")</f>
        <v>Autoevaluación Institucional y Pruebas SABER 11</v>
      </c>
      <c r="I1564" s="11" t="str">
        <f>IFERROR(IF(VLOOKUP(A1564,[11]PRIORIZADOS!$A:$I,9,FALSE)="","",VLOOKUP(A1564,[11]PRIORIZADOS!$A:$I,9,FALSE)),"")</f>
        <v>SEGUIMIENTO_Y_SUPERVISIÓN.</v>
      </c>
      <c r="J1564" s="11" t="str">
        <f>IFERROR(IF(VLOOKUP(A1564,[11]PRIORIZADOS!$A:$J,10,FALSE)="","",VLOOKUP(A1564,[11]PRIORIZADOS!$A:$J,10,FALSE)),"")</f>
        <v>Proponer estrategias en la formulación, verificar su elaboración y realizar seguimiento semestral al desarrollo de  las acciones establecidas en los planes de mejoramiento por pruebas SABER 11 de los establecimientos de educación formal.</v>
      </c>
      <c r="K1564" s="11" t="str">
        <f>IFERROR(IF(VLOOKUP(A1564,[11]PRIORIZADOS!$A:$K,11,FALSE)="","",VLOOKUP(A1564,[11]PRIORIZADOS!$A:$K,11,FALSE)),"")</f>
        <v>DORY CONSTANZA SANCHEZ ARAGÓN</v>
      </c>
      <c r="L1564" s="11" t="str">
        <f>IFERROR(IF(VLOOKUP(A1564,[11]PRIORIZADOS!$A:$L,12,FALSE)="","",VLOOKUP(A1564,[11]PRIORIZADOS!$A:$L,12,FALSE)),"")</f>
        <v>BEPCI YADIRA MINA ZAPATA</v>
      </c>
      <c r="M1564" s="71">
        <f>IFERROR(IF(VLOOKUP(A1564,[11]PRIORIZADOS!$A:$M,13,FALSE)="","",VLOOKUP(A1564,[11]PRIORIZADOS!$A:$M,13,FALSE)),"")</f>
        <v>45790</v>
      </c>
      <c r="N1564" s="71">
        <f>IFERROR(IF(VLOOKUP(A1564,[11]PRIORIZADOS!$A:$N,14,FALSE)="","",VLOOKUP(A1564,[11]PRIORIZADOS!$A:$N,14,FALSE)),"")</f>
        <v>45791</v>
      </c>
      <c r="O1564" s="71">
        <f>IFERROR(IF(VLOOKUP(A1564,[11]PRIORIZADOS!$A:$O,15,FALSE)="","",VLOOKUP(A1564,[11]PRIORIZADOS!$A:$O,15,FALSE)),"")</f>
        <v>45797</v>
      </c>
      <c r="P1564" s="11" t="str">
        <f>IFERROR(IF(VLOOKUP(A1564,[11]PRIORIZADOS!$A:$P,16,FALSE)="","",VLOOKUP(A1564,[11]PRIORIZADOS!$A:$P,16,FALSE)),"")</f>
        <v>Visitas de evaluación con fines de mejoramiento</v>
      </c>
      <c r="Q1564" s="107" t="s">
        <v>364</v>
      </c>
      <c r="R1564" s="11" t="str">
        <f>IFERROR(IF(VLOOKUP(A1564,[11]PRIORIZADOS!$A:$R,18,FALSE)="","",VLOOKUP(A1564,[11]PRIORIZADOS!$A:$R,18,FALSE)),"")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64" s="11" t="str">
        <f>IFERROR(IF(VLOOKUP(A1564,[11]PRIORIZADOS!$A:$S,19,FALSE)="","",VLOOKUP(A1564,[11]PRIORIZADOS!$A:$S,19,FALSE)),"")</f>
        <v>Realizar analisis de las Pruebas Saber y establecer acciones pertinentes. Presentar plan de mejoramiento el 18 de julio de 2025</v>
      </c>
      <c r="T1564" s="70" t="str">
        <f>IFERROR(IF(VLOOKUP(A1564,[11]PRIORIZADOS!$A:$T,20,FALSE)="","",VLOOKUP(A1564,[11]PRIORIZADOS!$A:$T,20,FALSE)),"")</f>
        <v>Si</v>
      </c>
      <c r="U1564" s="11" t="str">
        <f>IFERROR(IF(VLOOKUP(A1564,[11]PRIORIZADOS!$A:$U,21,FALSE)="","",VLOOKUP(A1564,[11]PRIORIZADOS!$A:$U,21,FALSE)),"")</f>
        <v>Revisar PM y verificar que se ajuste a las observaciones realizadas.</v>
      </c>
    </row>
    <row r="1565" spans="1:21" s="1" customFormat="1" ht="72">
      <c r="A1565" s="69">
        <f>IF([11]PRIORIZADOS!A76="","",[11]PRIORIZADOS!A76)</f>
        <v>1531</v>
      </c>
      <c r="B1565" s="70">
        <v>8</v>
      </c>
      <c r="C1565" s="11" t="str">
        <f>IFERROR(IF(VLOOKUP(A1565,[11]PRIORIZADOS!$A:$C,3,FALSE)="","",VLOOKUP(A1565,[11]PRIORIZADOS!$A:$C,3,FALSE)),"")</f>
        <v>RAFAEL URIBE URIBE</v>
      </c>
      <c r="D1565" s="11" t="str">
        <f>IFERROR(IF(VLOOKUP(A1565,[11]PRIORIZADOS!$A:$D,4,FALSE)="","",VLOOKUP(A1565,[11]PRIORIZADOS!$A:$D,4,FALSE)),"")</f>
        <v>PRIVADO</v>
      </c>
      <c r="E1565" s="11" t="str">
        <f>IFERROR(IF(VLOOKUP(A1565,[11]PRIORIZADOS!$A:$E,5,FALSE)="","",VLOOKUP(A1565,[11]PRIORIZADOS!$A:$E,5,FALSE)),"")</f>
        <v>EPBM</v>
      </c>
      <c r="F1565" s="11" t="str">
        <f>IFERROR(IF(VLOOKUP(A1565,[11]PRIORIZADOS!$A:$F,6,FALSE)="","",VLOOKUP(A1565,[11]PRIORIZADOS!$A:$F,6,FALSE)),"")</f>
        <v>COLEGIO_CRISTIANO_DE_COLOMBIA</v>
      </c>
      <c r="G1565" s="11" t="str">
        <f>IFERROR(IF(VLOOKUP(A1565,[11]PRIORIZADOS!$A:$G,7,FALSE)="","",VLOOKUP(A1565,[11]PRIORIZADOS!$A:$G,7,FALSE)),"")</f>
        <v>COLEGIO_CRISTIANO_DE_COLOMBIA</v>
      </c>
      <c r="H1565" s="11" t="str">
        <f>IFERROR(IF(VLOOKUP(A1565,[11]PRIORIZADOS!$A:$H,8,FALSE)="","",VLOOKUP(A1565,[11]PRIORIZADOS!$A:$H,8,FALSE)),"")</f>
        <v>Autoevaluación Institucional y Pruebas SABER 11</v>
      </c>
      <c r="I1565" s="11" t="str">
        <f>IFERROR(IF(VLOOKUP(A1565,[11]PRIORIZADOS!$A:$I,9,FALSE)="","",VLOOKUP(A1565,[11]PRIORIZADOS!$A:$I,9,FALSE)),"")</f>
        <v>SEGUIMIENTO_Y_SUPERVISIÓN.</v>
      </c>
      <c r="J1565" s="11" t="str">
        <f>IFERROR(IF(VLOOKUP(A1565,[11]PRIORIZADOS!$A:$J,10,FALSE)="","",VLOOKUP(A1565,[11]PRIORIZADOS!$A:$J,10,FALSE)),"")</f>
        <v xml:space="preserve">Verificar la implementación por parte de los colegios, de acciones realizadas para la prevención y atención de las situaciones de convivencia en el entorno escolar, según lo establecido en la Directiva 01 de 2022 del MEN. </v>
      </c>
      <c r="K1565" s="11" t="str">
        <f>IFERROR(IF(VLOOKUP(A1565,[11]PRIORIZADOS!$A:$K,11,FALSE)="","",VLOOKUP(A1565,[11]PRIORIZADOS!$A:$K,11,FALSE)),"")</f>
        <v>DORY CONSTANZA SANCHEZ ARAGÓN</v>
      </c>
      <c r="L1565" s="11" t="str">
        <f>IFERROR(IF(VLOOKUP(A1565,[11]PRIORIZADOS!$A:$L,12,FALSE)="","",VLOOKUP(A1565,[11]PRIORIZADOS!$A:$L,12,FALSE)),"")</f>
        <v>BEPCI YADIRA MINA ZAPATA</v>
      </c>
      <c r="M1565" s="71">
        <f>IFERROR(IF(VLOOKUP(A1565,[11]PRIORIZADOS!$A:$M,13,FALSE)="","",VLOOKUP(A1565,[11]PRIORIZADOS!$A:$M,13,FALSE)),"")</f>
        <v>45790</v>
      </c>
      <c r="N1565" s="71">
        <f>IFERROR(IF(VLOOKUP(A1565,[11]PRIORIZADOS!$A:$N,14,FALSE)="","",VLOOKUP(A1565,[11]PRIORIZADOS!$A:$N,14,FALSE)),"")</f>
        <v>45791</v>
      </c>
      <c r="O1565" s="71">
        <f>IFERROR(IF(VLOOKUP(A1565,[11]PRIORIZADOS!$A:$O,15,FALSE)="","",VLOOKUP(A1565,[11]PRIORIZADOS!$A:$O,15,FALSE)),"")</f>
        <v>45797</v>
      </c>
      <c r="P1565" s="11" t="str">
        <f>IFERROR(IF(VLOOKUP(A1565,[11]PRIORIZADOS!$A:$P,16,FALSE)="","",VLOOKUP(A1565,[11]PRIORIZADOS!$A:$P,16,FALSE)),"")</f>
        <v>Visitas de evaluación con fines de mejoramiento</v>
      </c>
      <c r="Q1565" s="107" t="s">
        <v>364</v>
      </c>
      <c r="R1565" s="11" t="str">
        <f>IFERROR(IF(VLOOKUP(A1565,[11]PRIORIZADOS!$A:$R,18,FALSE)="","",VLOOKUP(A1565,[11]PRIORIZADOS!$A:$R,18,FALSE)),"")</f>
        <v>La institución no cuentan con actas donde se evidencie el funcionamiento del comité de convivencia escolar.
Cuenta con verificacion de inhabilidadades por delitos sexuales del 28 de marzo de 2025</v>
      </c>
      <c r="S1565" s="11" t="str">
        <f>IFERROR(IF(VLOOKUP(A1565,[11]PRIORIZADOS!$A:$S,19,FALSE)="","",VLOOKUP(A1565,[11]PRIORIZADOS!$A:$S,19,FALSE)),"")</f>
        <v>El comite cde convivencia se debe reunir cada 2 meses.
Se debe realizar verificación de antecedente cada 4 meses. Presentar plan de mejoramiento el 18 de julio de 2025</v>
      </c>
      <c r="T1565" s="70" t="str">
        <f>IFERROR(IF(VLOOKUP(A1565,[11]PRIORIZADOS!$A:$T,20,FALSE)="","",VLOOKUP(A1565,[11]PRIORIZADOS!$A:$T,20,FALSE)),"")</f>
        <v>Si</v>
      </c>
      <c r="U1565" s="11" t="str">
        <f>IFERROR(IF(VLOOKUP(A1565,[11]PRIORIZADOS!$A:$U,21,FALSE)="","",VLOOKUP(A1565,[11]PRIORIZADOS!$A:$U,21,FALSE)),"")</f>
        <v>Revisar PM y verificar que se ajuste a las observaciones realizadas.</v>
      </c>
    </row>
    <row r="1566" spans="1:21" s="1" customFormat="1" ht="72">
      <c r="A1566" s="69">
        <f>IF([11]PRIORIZADOS!A77="","",[11]PRIORIZADOS!A77)</f>
        <v>1532</v>
      </c>
      <c r="B1566" s="70">
        <v>8</v>
      </c>
      <c r="C1566" s="11" t="str">
        <f>IFERROR(IF(VLOOKUP(A1566,[11]PRIORIZADOS!$A:$C,3,FALSE)="","",VLOOKUP(A1566,[11]PRIORIZADOS!$A:$C,3,FALSE)),"")</f>
        <v>RAFAEL URIBE URIBE</v>
      </c>
      <c r="D1566" s="11" t="str">
        <f>IFERROR(IF(VLOOKUP(A1566,[11]PRIORIZADOS!$A:$D,4,FALSE)="","",VLOOKUP(A1566,[11]PRIORIZADOS!$A:$D,4,FALSE)),"")</f>
        <v>PRIVADO</v>
      </c>
      <c r="E1566" s="11" t="str">
        <f>IFERROR(IF(VLOOKUP(A1566,[11]PRIORIZADOS!$A:$E,5,FALSE)="","",VLOOKUP(A1566,[11]PRIORIZADOS!$A:$E,5,FALSE)),"")</f>
        <v>EPBM</v>
      </c>
      <c r="F1566" s="11" t="str">
        <f>IFERROR(IF(VLOOKUP(A1566,[11]PRIORIZADOS!$A:$F,6,FALSE)="","",VLOOKUP(A1566,[11]PRIORIZADOS!$A:$F,6,FALSE)),"")</f>
        <v>COLEGIO_CRISTIANO_DE_COLOMBIA</v>
      </c>
      <c r="G1566" s="11" t="str">
        <f>IFERROR(IF(VLOOKUP(A1566,[11]PRIORIZADOS!$A:$G,7,FALSE)="","",VLOOKUP(A1566,[11]PRIORIZADOS!$A:$G,7,FALSE)),"")</f>
        <v>COLEGIO_CRISTIANO_DE_COLOMBIA</v>
      </c>
      <c r="H1566" s="11" t="str">
        <f>IFERROR(IF(VLOOKUP(A1566,[11]PRIORIZADOS!$A:$H,8,FALSE)="","",VLOOKUP(A1566,[11]PRIORIZADOS!$A:$H,8,FALSE)),"")</f>
        <v>Autoevaluación Institucional y Pruebas SABER 11</v>
      </c>
      <c r="I1566" s="11" t="str">
        <f>IFERROR(IF(VLOOKUP(A1566,[11]PRIORIZADOS!$A:$I,9,FALSE)="","",VLOOKUP(A1566,[11]PRIORIZADOS!$A:$I,9,FALSE)),"")</f>
        <v>SEGUIMIENTO_Y_SUPERVISIÓN.</v>
      </c>
      <c r="J1566" s="11" t="str">
        <f>IFERROR(IF(VLOOKUP(A1566,[11]PRIORIZADOS!$A:$J,10,FALSE)="","",VLOOKUP(A1566,[11]PRIORIZADOS!$A:$J,10,FALSE)),"")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66" s="11" t="str">
        <f>IFERROR(IF(VLOOKUP(A1566,[11]PRIORIZADOS!$A:$K,11,FALSE)="","",VLOOKUP(A1566,[11]PRIORIZADOS!$A:$K,11,FALSE)),"")</f>
        <v>DORY CONSTANZA SANCHEZ ARAGÓN</v>
      </c>
      <c r="L1566" s="11" t="str">
        <f>IFERROR(IF(VLOOKUP(A1566,[11]PRIORIZADOS!$A:$L,12,FALSE)="","",VLOOKUP(A1566,[11]PRIORIZADOS!$A:$L,12,FALSE)),"")</f>
        <v>BEPCI YADIRA MINA ZAPATA</v>
      </c>
      <c r="M1566" s="71">
        <f>IFERROR(IF(VLOOKUP(A1566,[11]PRIORIZADOS!$A:$M,13,FALSE)="","",VLOOKUP(A1566,[11]PRIORIZADOS!$A:$M,13,FALSE)),"")</f>
        <v>45790</v>
      </c>
      <c r="N1566" s="71">
        <f>IFERROR(IF(VLOOKUP(A1566,[11]PRIORIZADOS!$A:$N,14,FALSE)="","",VLOOKUP(A1566,[11]PRIORIZADOS!$A:$N,14,FALSE)),"")</f>
        <v>45791</v>
      </c>
      <c r="O1566" s="71">
        <f>IFERROR(IF(VLOOKUP(A1566,[11]PRIORIZADOS!$A:$O,15,FALSE)="","",VLOOKUP(A1566,[11]PRIORIZADOS!$A:$O,15,FALSE)),"")</f>
        <v>45797</v>
      </c>
      <c r="P1566" s="11" t="str">
        <f>IFERROR(IF(VLOOKUP(A1566,[11]PRIORIZADOS!$A:$P,16,FALSE)="","",VLOOKUP(A1566,[11]PRIORIZADOS!$A:$P,16,FALSE)),"")</f>
        <v>Visitas de evaluación con fines de mejoramiento</v>
      </c>
      <c r="Q1566" s="107" t="s">
        <v>364</v>
      </c>
      <c r="R1566" s="11" t="str">
        <f>IFERROR(IF(VLOOKUP(A1566,[11]PRIORIZADOS!$A:$R,18,FALSE)="","",VLOOKUP(A1566,[11]PRIORIZADOS!$A:$R,18,FALSE)),"")</f>
        <v>El colegio en su matrícula registra tres estudiantes con discapacidad, el colego cuenta con las historias escolares, estas se deben fortalecer con los soportes y seguimientos necesario.</v>
      </c>
      <c r="S1566" s="11" t="str">
        <f>IFERROR(IF(VLOOKUP(A1566,[11]PRIORIZADOS!$A:$S,19,FALSE)="","",VLOOKUP(A1566,[11]PRIORIZADOS!$A:$S,19,FALSE)),"")</f>
        <v>Complementar los PIAR. Presentar plan de mejoramiento el 18 de julio de 2025</v>
      </c>
      <c r="T1566" s="70" t="str">
        <f>IFERROR(IF(VLOOKUP(A1566,[11]PRIORIZADOS!$A:$T,20,FALSE)="","",VLOOKUP(A1566,[11]PRIORIZADOS!$A:$T,20,FALSE)),"")</f>
        <v>Si</v>
      </c>
      <c r="U1566" s="11" t="str">
        <f>IFERROR(IF(VLOOKUP(A1566,[11]PRIORIZADOS!$A:$U,21,FALSE)="","",VLOOKUP(A1566,[11]PRIORIZADOS!$A:$U,21,FALSE)),"")</f>
        <v>Revisar PM y verificar que se ajuste a las observaciones realizadas.</v>
      </c>
    </row>
    <row r="1567" spans="1:21" s="1" customFormat="1" ht="84">
      <c r="A1567" s="69">
        <f>IF([11]PRIORIZADOS!A78="","",[11]PRIORIZADOS!A78)</f>
        <v>1533</v>
      </c>
      <c r="B1567" s="70">
        <v>8</v>
      </c>
      <c r="C1567" s="11" t="str">
        <f>IFERROR(IF(VLOOKUP(A1567,[11]PRIORIZADOS!$A:$C,3,FALSE)="","",VLOOKUP(A1567,[11]PRIORIZADOS!$A:$C,3,FALSE)),"")</f>
        <v>RAFAEL URIBE URIBE</v>
      </c>
      <c r="D1567" s="11" t="str">
        <f>IFERROR(IF(VLOOKUP(A1567,[11]PRIORIZADOS!$A:$D,4,FALSE)="","",VLOOKUP(A1567,[11]PRIORIZADOS!$A:$D,4,FALSE)),"")</f>
        <v>PRIVADO</v>
      </c>
      <c r="E1567" s="11" t="str">
        <f>IFERROR(IF(VLOOKUP(A1567,[11]PRIORIZADOS!$A:$E,5,FALSE)="","",VLOOKUP(A1567,[11]PRIORIZADOS!$A:$E,5,FALSE)),"")</f>
        <v>EPBM</v>
      </c>
      <c r="F1567" s="11" t="str">
        <f>IFERROR(IF(VLOOKUP(A1567,[11]PRIORIZADOS!$A:$F,6,FALSE)="","",VLOOKUP(A1567,[11]PRIORIZADOS!$A:$F,6,FALSE)),"")</f>
        <v>COLEGIO_CRISTIANO_DE_COLOMBIA</v>
      </c>
      <c r="G1567" s="11" t="str">
        <f>IFERROR(IF(VLOOKUP(A1567,[11]PRIORIZADOS!$A:$G,7,FALSE)="","",VLOOKUP(A1567,[11]PRIORIZADOS!$A:$G,7,FALSE)),"")</f>
        <v>COLEGIO_CRISTIANO_DE_COLOMBIA</v>
      </c>
      <c r="H1567" s="11" t="str">
        <f>IFERROR(IF(VLOOKUP(A1567,[11]PRIORIZADOS!$A:$H,8,FALSE)="","",VLOOKUP(A1567,[11]PRIORIZADOS!$A:$H,8,FALSE)),"")</f>
        <v>Autoevaluación Institucional y Pruebas SABER 11</v>
      </c>
      <c r="I1567" s="11" t="str">
        <f>IFERROR(IF(VLOOKUP(A1567,[11]PRIORIZADOS!$A:$I,9,FALSE)="","",VLOOKUP(A1567,[11]PRIORIZADOS!$A:$I,9,FALSE)),"")</f>
        <v>EVALUACIÓN_CON_FINES_DE_MEJORAMIENTO.</v>
      </c>
      <c r="J1567" s="11" t="str">
        <f>IFERROR(IF(VLOOKUP(A1567,[11]PRIORIZADOS!$A:$J,10,FALSE)="","",VLOOKUP(A1567,[11]PRIORIZADOS!$A:$J,10,FALSE)),"")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67" s="11" t="str">
        <f>IFERROR(IF(VLOOKUP(A1567,[11]PRIORIZADOS!$A:$K,11,FALSE)="","",VLOOKUP(A1567,[11]PRIORIZADOS!$A:$K,11,FALSE)),"")</f>
        <v>DORY CONSTANZA SANCHEZ ARAGÓN</v>
      </c>
      <c r="L1567" s="11" t="str">
        <f>IFERROR(IF(VLOOKUP(A1567,[11]PRIORIZADOS!$A:$L,12,FALSE)="","",VLOOKUP(A1567,[11]PRIORIZADOS!$A:$L,12,FALSE)),"")</f>
        <v>BEPCI YADIRA MINA ZAPATA</v>
      </c>
      <c r="M1567" s="71">
        <f>IFERROR(IF(VLOOKUP(A1567,[11]PRIORIZADOS!$A:$M,13,FALSE)="","",VLOOKUP(A1567,[11]PRIORIZADOS!$A:$M,13,FALSE)),"")</f>
        <v>45790</v>
      </c>
      <c r="N1567" s="71">
        <f>IFERROR(IF(VLOOKUP(A1567,[11]PRIORIZADOS!$A:$N,14,FALSE)="","",VLOOKUP(A1567,[11]PRIORIZADOS!$A:$N,14,FALSE)),"")</f>
        <v>45791</v>
      </c>
      <c r="O1567" s="71">
        <f>IFERROR(IF(VLOOKUP(A1567,[11]PRIORIZADOS!$A:$O,15,FALSE)="","",VLOOKUP(A1567,[11]PRIORIZADOS!$A:$O,15,FALSE)),"")</f>
        <v>45797</v>
      </c>
      <c r="P1567" s="11" t="str">
        <f>IFERROR(IF(VLOOKUP(A1567,[11]PRIORIZADOS!$A:$P,16,FALSE)="","",VLOOKUP(A1567,[11]PRIORIZADOS!$A:$P,16,FALSE)),"")</f>
        <v>Visitas de evaluación con fines de mejoramiento</v>
      </c>
      <c r="Q1567" s="107" t="s">
        <v>364</v>
      </c>
      <c r="R1567" s="11" t="str">
        <f>IFERROR(IF(VLOOKUP(A1567,[11]PRIORIZADOS!$A:$R,18,FALSE)="","",VLOOKUP(A1567,[11]PRIORIZADOS!$A:$R,18,FALSE)),"")</f>
        <v>No se evidencia aprobación del manual de convivencia, ya que no cuenta con actas de gobierno escolar.
No se encuentra actualizada y cumpliendo con la normatividad vigente</v>
      </c>
      <c r="S1567" s="11" t="str">
        <f>IFERROR(IF(VLOOKUP(A1567,[11]PRIORIZADOS!$A:$S,19,FALSE)="","",VLOOKUP(A1567,[11]PRIORIZADOS!$A:$S,19,FALSE)),"")</f>
        <v>La institución debe actualizar el manual de convivencia con participación del gobierno escolar. Presentar plan de mejoramiento el 18 de julio de 2025</v>
      </c>
      <c r="T1567" s="70" t="str">
        <f>IFERROR(IF(VLOOKUP(A1567,[11]PRIORIZADOS!$A:$T,20,FALSE)="","",VLOOKUP(A1567,[11]PRIORIZADOS!$A:$T,20,FALSE)),"")</f>
        <v>Si</v>
      </c>
      <c r="U1567" s="11" t="str">
        <f>IFERROR(IF(VLOOKUP(A1567,[11]PRIORIZADOS!$A:$U,21,FALSE)="","",VLOOKUP(A1567,[11]PRIORIZADOS!$A:$U,21,FALSE)),"")</f>
        <v>Revisar PM y verificar que se ajuste a las observaciones realizadas.</v>
      </c>
    </row>
    <row r="1568" spans="1:21" s="1" customFormat="1" ht="60">
      <c r="A1568" s="69">
        <f>IF([11]PRIORIZADOS!A79="","",[11]PRIORIZADOS!A79)</f>
        <v>1534</v>
      </c>
      <c r="B1568" s="70">
        <v>8</v>
      </c>
      <c r="C1568" s="11" t="str">
        <f>IFERROR(IF(VLOOKUP(A1568,[11]PRIORIZADOS!$A:$C,3,FALSE)="","",VLOOKUP(A1568,[11]PRIORIZADOS!$A:$C,3,FALSE)),"")</f>
        <v>RAFAEL URIBE URIBE</v>
      </c>
      <c r="D1568" s="11" t="str">
        <f>IFERROR(IF(VLOOKUP(A1568,[11]PRIORIZADOS!$A:$D,4,FALSE)="","",VLOOKUP(A1568,[11]PRIORIZADOS!$A:$D,4,FALSE)),"")</f>
        <v>PRIVADO</v>
      </c>
      <c r="E1568" s="11" t="str">
        <f>IFERROR(IF(VLOOKUP(A1568,[11]PRIORIZADOS!$A:$E,5,FALSE)="","",VLOOKUP(A1568,[11]PRIORIZADOS!$A:$E,5,FALSE)),"")</f>
        <v>EPBM</v>
      </c>
      <c r="F1568" s="11" t="str">
        <f>IFERROR(IF(VLOOKUP(A1568,[11]PRIORIZADOS!$A:$F,6,FALSE)="","",VLOOKUP(A1568,[11]PRIORIZADOS!$A:$F,6,FALSE)),"")</f>
        <v>COLEGIO_CRISTIANO_DE_COLOMBIA</v>
      </c>
      <c r="G1568" s="11" t="str">
        <f>IFERROR(IF(VLOOKUP(A1568,[11]PRIORIZADOS!$A:$G,7,FALSE)="","",VLOOKUP(A1568,[11]PRIORIZADOS!$A:$G,7,FALSE)),"")</f>
        <v>COLEGIO_CRISTIANO_DE_COLOMBIA</v>
      </c>
      <c r="H1568" s="11" t="str">
        <f>IFERROR(IF(VLOOKUP(A1568,[11]PRIORIZADOS!$A:$H,8,FALSE)="","",VLOOKUP(A1568,[11]PRIORIZADOS!$A:$H,8,FALSE)),"")</f>
        <v>Autoevaluación Institucional y Pruebas SABER 11</v>
      </c>
      <c r="I1568" s="11" t="str">
        <f>IFERROR(IF(VLOOKUP(A1568,[11]PRIORIZADOS!$A:$I,9,FALSE)="","",VLOOKUP(A1568,[11]PRIORIZADOS!$A:$I,9,FALSE)),"")</f>
        <v>EVALUACIÓN_CON_FINES_DE_MEJORAMIENTO.</v>
      </c>
      <c r="J1568" s="11" t="str">
        <f>IFERROR(IF(VLOOKUP(A1568,[11]PRIORIZADOS!$A:$J,10,FALSE)="","",VLOOKUP(A1568,[11]PRIORIZADOS!$A:$J,10,FALSE)),"")</f>
        <v>Revisar la actualización, socialización e implementación del Sistema Institucional de Evaluación de Estudiantes - SIEE, en articulación con la actualización del PEI y la normatividad vigente.</v>
      </c>
      <c r="K1568" s="11" t="str">
        <f>IFERROR(IF(VLOOKUP(A1568,[11]PRIORIZADOS!$A:$K,11,FALSE)="","",VLOOKUP(A1568,[11]PRIORIZADOS!$A:$K,11,FALSE)),"")</f>
        <v>DORY CONSTANZA SANCHEZ ARAGÓN</v>
      </c>
      <c r="L1568" s="11" t="str">
        <f>IFERROR(IF(VLOOKUP(A1568,[11]PRIORIZADOS!$A:$L,12,FALSE)="","",VLOOKUP(A1568,[11]PRIORIZADOS!$A:$L,12,FALSE)),"")</f>
        <v>BEPCI YADIRA MINA ZAPATA</v>
      </c>
      <c r="M1568" s="71">
        <f>IFERROR(IF(VLOOKUP(A1568,[11]PRIORIZADOS!$A:$M,13,FALSE)="","",VLOOKUP(A1568,[11]PRIORIZADOS!$A:$M,13,FALSE)),"")</f>
        <v>45790</v>
      </c>
      <c r="N1568" s="71">
        <f>IFERROR(IF(VLOOKUP(A1568,[11]PRIORIZADOS!$A:$N,14,FALSE)="","",VLOOKUP(A1568,[11]PRIORIZADOS!$A:$N,14,FALSE)),"")</f>
        <v>45791</v>
      </c>
      <c r="O1568" s="71">
        <f>IFERROR(IF(VLOOKUP(A1568,[11]PRIORIZADOS!$A:$O,15,FALSE)="","",VLOOKUP(A1568,[11]PRIORIZADOS!$A:$O,15,FALSE)),"")</f>
        <v>45797</v>
      </c>
      <c r="P1568" s="11" t="str">
        <f>IFERROR(IF(VLOOKUP(A1568,[11]PRIORIZADOS!$A:$P,16,FALSE)="","",VLOOKUP(A1568,[11]PRIORIZADOS!$A:$P,16,FALSE)),"")</f>
        <v>Visitas de evaluación con fines de mejoramiento</v>
      </c>
      <c r="Q1568" s="107" t="s">
        <v>364</v>
      </c>
      <c r="R1568" s="11" t="str">
        <f>IFERROR(IF(VLOOKUP(A1568,[11]PRIORIZADOS!$A:$R,18,FALSE)="","",VLOOKUP(A1568,[11]PRIORIZADOS!$A:$R,18,FALSE)),"")</f>
        <v>No presentan evidencias de la participación de la comunidad educativa en su construcción.
Se debe ajustar a la normatividad vigente y establecer el debido proceso.</v>
      </c>
      <c r="S1568" s="11" t="str">
        <f>IFERROR(IF(VLOOKUP(A1568,[11]PRIORIZADOS!$A:$S,19,FALSE)="","",VLOOKUP(A1568,[11]PRIORIZADOS!$A:$S,19,FALSE)),"")</f>
        <v>En el SIE se deben ampliar y fortalecer los criterios de evaluación y promoción.
La institución debe presentar plan de mejoramiento el 18 de julio de 2025</v>
      </c>
      <c r="T1568" s="70" t="str">
        <f>IFERROR(IF(VLOOKUP(A1568,[11]PRIORIZADOS!$A:$T,20,FALSE)="","",VLOOKUP(A1568,[11]PRIORIZADOS!$A:$T,20,FALSE)),"")</f>
        <v>Si</v>
      </c>
      <c r="U1568" s="11" t="str">
        <f>IFERROR(IF(VLOOKUP(A1568,[11]PRIORIZADOS!$A:$U,21,FALSE)="","",VLOOKUP(A1568,[11]PRIORIZADOS!$A:$U,21,FALSE)),"")</f>
        <v>Revisar PM y verificar que se ajuste a las observaciones realizadas.</v>
      </c>
    </row>
    <row r="1569" spans="1:21" s="1" customFormat="1" ht="48">
      <c r="A1569" s="69">
        <f>IF([11]PRIORIZADOS!A80="","",[11]PRIORIZADOS!A80)</f>
        <v>1535</v>
      </c>
      <c r="B1569" s="70">
        <v>8</v>
      </c>
      <c r="C1569" s="11" t="str">
        <f>IFERROR(IF(VLOOKUP(A1569,[11]PRIORIZADOS!$A:$C,3,FALSE)="","",VLOOKUP(A1569,[11]PRIORIZADOS!$A:$C,3,FALSE)),"")</f>
        <v>RAFAEL URIBE URIBE</v>
      </c>
      <c r="D1569" s="11" t="str">
        <f>IFERROR(IF(VLOOKUP(A1569,[11]PRIORIZADOS!$A:$D,4,FALSE)="","",VLOOKUP(A1569,[11]PRIORIZADOS!$A:$D,4,FALSE)),"")</f>
        <v>PRIVADO</v>
      </c>
      <c r="E1569" s="11" t="str">
        <f>IFERROR(IF(VLOOKUP(A1569,[11]PRIORIZADOS!$A:$E,5,FALSE)="","",VLOOKUP(A1569,[11]PRIORIZADOS!$A:$E,5,FALSE)),"")</f>
        <v>EPBM</v>
      </c>
      <c r="F1569" s="11" t="str">
        <f>IFERROR(IF(VLOOKUP(A1569,[11]PRIORIZADOS!$A:$F,6,FALSE)="","",VLOOKUP(A1569,[11]PRIORIZADOS!$A:$F,6,FALSE)),"")</f>
        <v>COLEGIO_CRISTIANO_DE_COLOMBIA</v>
      </c>
      <c r="G1569" s="11" t="str">
        <f>IFERROR(IF(VLOOKUP(A1569,[11]PRIORIZADOS!$A:$G,7,FALSE)="","",VLOOKUP(A1569,[11]PRIORIZADOS!$A:$G,7,FALSE)),"")</f>
        <v>COLEGIO_CRISTIANO_DE_COLOMBIA</v>
      </c>
      <c r="H1569" s="11" t="str">
        <f>IFERROR(IF(VLOOKUP(A1569,[11]PRIORIZADOS!$A:$H,8,FALSE)="","",VLOOKUP(A1569,[11]PRIORIZADOS!$A:$H,8,FALSE)),"")</f>
        <v>Autoevaluación Institucional y Pruebas SABER 11</v>
      </c>
      <c r="I1569" s="11" t="str">
        <f>IFERROR(IF(VLOOKUP(A1569,[11]PRIORIZADOS!$A:$I,9,FALSE)="","",VLOOKUP(A1569,[11]PRIORIZADOS!$A:$I,9,FALSE)),"")</f>
        <v>EVALUACIÓN_CON_FINES_DE_MEJORAMIENTO.</v>
      </c>
      <c r="J1569" s="11" t="str">
        <f>IFERROR(IF(VLOOKUP(A1569,[11]PRIORIZADOS!$A:$J,10,FALSE)="","",VLOOKUP(A1569,[11]PRIORIZADOS!$A:$J,10,FALSE)),"")</f>
        <v>Revisar el calendario escolar, jornada escolar, la intensidad horaria mínima anual en cada nivel y las modificaciones que se realicen al mismo, de acuerdo con lo previsto en la normatividad vigente.</v>
      </c>
      <c r="K1569" s="11" t="str">
        <f>IFERROR(IF(VLOOKUP(A1569,[11]PRIORIZADOS!$A:$K,11,FALSE)="","",VLOOKUP(A1569,[11]PRIORIZADOS!$A:$K,11,FALSE)),"")</f>
        <v>DORY CONSTANZA SANCHEZ ARAGÓN</v>
      </c>
      <c r="L1569" s="11" t="str">
        <f>IFERROR(IF(VLOOKUP(A1569,[11]PRIORIZADOS!$A:$L,12,FALSE)="","",VLOOKUP(A1569,[11]PRIORIZADOS!$A:$L,12,FALSE)),"")</f>
        <v>BEPCI YADIRA MINA ZAPATA</v>
      </c>
      <c r="M1569" s="71">
        <f>IFERROR(IF(VLOOKUP(A1569,[11]PRIORIZADOS!$A:$M,13,FALSE)="","",VLOOKUP(A1569,[11]PRIORIZADOS!$A:$M,13,FALSE)),"")</f>
        <v>45790</v>
      </c>
      <c r="N1569" s="71">
        <f>IFERROR(IF(VLOOKUP(A1569,[11]PRIORIZADOS!$A:$N,14,FALSE)="","",VLOOKUP(A1569,[11]PRIORIZADOS!$A:$N,14,FALSE)),"")</f>
        <v>45791</v>
      </c>
      <c r="O1569" s="71">
        <f>IFERROR(IF(VLOOKUP(A1569,[11]PRIORIZADOS!$A:$O,15,FALSE)="","",VLOOKUP(A1569,[11]PRIORIZADOS!$A:$O,15,FALSE)),"")</f>
        <v>45797</v>
      </c>
      <c r="P1569" s="11" t="str">
        <f>IFERROR(IF(VLOOKUP(A1569,[11]PRIORIZADOS!$A:$P,16,FALSE)="","",VLOOKUP(A1569,[11]PRIORIZADOS!$A:$P,16,FALSE)),"")</f>
        <v>Visitas de evaluación con fines de mejoramiento</v>
      </c>
      <c r="Q1569" s="107" t="s">
        <v>364</v>
      </c>
      <c r="R1569" s="11" t="str">
        <f>IFERROR(IF(VLOOKUP(A1569,[11]PRIORIZADOS!$A:$R,18,FALSE)="","",VLOOKUP(A1569,[11]PRIORIZADOS!$A:$R,18,FALSE)),"")</f>
        <v>La institución cuenta con una intensidad horaria de 1500 horas cumpliendo con la cantidad de horas según la normatividad vigente.</v>
      </c>
      <c r="S1569" s="11" t="str">
        <f>IFERROR(IF(VLOOKUP(A1569,[11]PRIORIZADOS!$A:$S,19,FALSE)="","",VLOOKUP(A1569,[11]PRIORIZADOS!$A:$S,19,FALSE)),"")</f>
        <v>Dar cumplimiento a lo establecido en el calendario</v>
      </c>
      <c r="T1569" s="70" t="str">
        <f>IFERROR(IF(VLOOKUP(A1569,[11]PRIORIZADOS!$A:$T,20,FALSE)="","",VLOOKUP(A1569,[11]PRIORIZADOS!$A:$T,20,FALSE)),"")</f>
        <v>No</v>
      </c>
      <c r="U1569" s="11" t="str">
        <f>IFERROR(IF(VLOOKUP(A1569,[11]PRIORIZADOS!$A:$U,21,FALSE)="","",VLOOKUP(A1569,[11]PRIORIZADOS!$A:$U,21,FALSE)),"")</f>
        <v>Verificar en caso de presentarse una queja</v>
      </c>
    </row>
    <row r="1570" spans="1:21" s="1" customFormat="1" ht="48">
      <c r="A1570" s="69">
        <f>IF([11]PRIORIZADOS!A81="","",[11]PRIORIZADOS!A81)</f>
        <v>1536</v>
      </c>
      <c r="B1570" s="70">
        <v>8</v>
      </c>
      <c r="C1570" s="11" t="str">
        <f>IFERROR(IF(VLOOKUP(A1570,[11]PRIORIZADOS!$A:$C,3,FALSE)="","",VLOOKUP(A1570,[11]PRIORIZADOS!$A:$C,3,FALSE)),"")</f>
        <v>RAFAEL URIBE URIBE</v>
      </c>
      <c r="D1570" s="11" t="str">
        <f>IFERROR(IF(VLOOKUP(A1570,[11]PRIORIZADOS!$A:$D,4,FALSE)="","",VLOOKUP(A1570,[11]PRIORIZADOS!$A:$D,4,FALSE)),"")</f>
        <v>PRIVADO</v>
      </c>
      <c r="E1570" s="11" t="str">
        <f>IFERROR(IF(VLOOKUP(A1570,[11]PRIORIZADOS!$A:$E,5,FALSE)="","",VLOOKUP(A1570,[11]PRIORIZADOS!$A:$E,5,FALSE)),"")</f>
        <v>EPBM</v>
      </c>
      <c r="F1570" s="11" t="str">
        <f>IFERROR(IF(VLOOKUP(A1570,[11]PRIORIZADOS!$A:$F,6,FALSE)="","",VLOOKUP(A1570,[11]PRIORIZADOS!$A:$F,6,FALSE)),"")</f>
        <v>COLEGIO_CRISTIANO_DE_COLOMBIA</v>
      </c>
      <c r="G1570" s="11" t="str">
        <f>IFERROR(IF(VLOOKUP(A1570,[11]PRIORIZADOS!$A:$G,7,FALSE)="","",VLOOKUP(A1570,[11]PRIORIZADOS!$A:$G,7,FALSE)),"")</f>
        <v>COLEGIO_CRISTIANO_DE_COLOMBIA</v>
      </c>
      <c r="H1570" s="11" t="str">
        <f>IFERROR(IF(VLOOKUP(A1570,[11]PRIORIZADOS!$A:$H,8,FALSE)="","",VLOOKUP(A1570,[11]PRIORIZADOS!$A:$H,8,FALSE)),"")</f>
        <v>Autoevaluación Institucional y Pruebas SABER 11</v>
      </c>
      <c r="I1570" s="11" t="str">
        <f>IFERROR(IF(VLOOKUP(A1570,[11]PRIORIZADOS!$A:$I,9,FALSE)="","",VLOOKUP(A1570,[11]PRIORIZADOS!$A:$I,9,FALSE)),"")</f>
        <v>EVALUACIÓN_CON_FINES_DE_MEJORAMIENTO.</v>
      </c>
      <c r="J1570" s="11" t="str">
        <f>IFERROR(IF(VLOOKUP(A1570,[11]PRIORIZADOS!$A:$J,10,FALSE)="","",VLOOKUP(A1570,[11]PRIORIZADOS!$A:$J,10,FALSE)),"")</f>
        <v>Verificar el funcionamiento del Gobierno Escolar e instancias de participación con base en la información sobre conformación reportada por la institución educativa.</v>
      </c>
      <c r="K1570" s="11" t="str">
        <f>IFERROR(IF(VLOOKUP(A1570,[11]PRIORIZADOS!$A:$K,11,FALSE)="","",VLOOKUP(A1570,[11]PRIORIZADOS!$A:$K,11,FALSE)),"")</f>
        <v>DORY CONSTANZA SANCHEZ ARAGÓN</v>
      </c>
      <c r="L1570" s="11" t="str">
        <f>IFERROR(IF(VLOOKUP(A1570,[11]PRIORIZADOS!$A:$L,12,FALSE)="","",VLOOKUP(A1570,[11]PRIORIZADOS!$A:$L,12,FALSE)),"")</f>
        <v>BEPCI YADIRA MINA ZAPATA</v>
      </c>
      <c r="M1570" s="71">
        <f>IFERROR(IF(VLOOKUP(A1570,[11]PRIORIZADOS!$A:$M,13,FALSE)="","",VLOOKUP(A1570,[11]PRIORIZADOS!$A:$M,13,FALSE)),"")</f>
        <v>45790</v>
      </c>
      <c r="N1570" s="71">
        <f>IFERROR(IF(VLOOKUP(A1570,[11]PRIORIZADOS!$A:$N,14,FALSE)="","",VLOOKUP(A1570,[11]PRIORIZADOS!$A:$N,14,FALSE)),"")</f>
        <v>45791</v>
      </c>
      <c r="O1570" s="71">
        <f>IFERROR(IF(VLOOKUP(A1570,[11]PRIORIZADOS!$A:$O,15,FALSE)="","",VLOOKUP(A1570,[11]PRIORIZADOS!$A:$O,15,FALSE)),"")</f>
        <v>45797</v>
      </c>
      <c r="P1570" s="11" t="str">
        <f>IFERROR(IF(VLOOKUP(A1570,[11]PRIORIZADOS!$A:$P,16,FALSE)="","",VLOOKUP(A1570,[11]PRIORIZADOS!$A:$P,16,FALSE)),"")</f>
        <v>Visitas de evaluación con fines de mejoramiento</v>
      </c>
      <c r="Q1570" s="107" t="s">
        <v>364</v>
      </c>
      <c r="R1570" s="11" t="str">
        <f>IFERROR(IF(VLOOKUP(A1570,[11]PRIORIZADOS!$A:$R,18,FALSE)="","",VLOOKUP(A1570,[11]PRIORIZADOS!$A:$R,18,FALSE)),"")</f>
        <v>No se evidencian actas de funcionamiento de Gobierno Escolar</v>
      </c>
      <c r="S1570" s="11" t="str">
        <f>IFERROR(IF(VLOOKUP(A1570,[11]PRIORIZADOS!$A:$S,19,FALSE)="","",VLOOKUP(A1570,[11]PRIORIZADOS!$A:$S,19,FALSE)),"")</f>
        <v>Generar los espacios para el funcionamiento del gobierno escolar con sus respectivas actas. Presentar plan de mejoramiento el 18 de julio de 2025</v>
      </c>
      <c r="T1570" s="70" t="str">
        <f>IFERROR(IF(VLOOKUP(A1570,[11]PRIORIZADOS!$A:$T,20,FALSE)="","",VLOOKUP(A1570,[11]PRIORIZADOS!$A:$T,20,FALSE)),"")</f>
        <v>Si</v>
      </c>
      <c r="U1570" s="11" t="str">
        <f>IFERROR(IF(VLOOKUP(A1570,[11]PRIORIZADOS!$A:$U,21,FALSE)="","",VLOOKUP(A1570,[11]PRIORIZADOS!$A:$U,21,FALSE)),"")</f>
        <v>Revisar PM y verificar que se ajuste a las observaciones realizadas.</v>
      </c>
    </row>
    <row r="1571" spans="1:21" s="1" customFormat="1" ht="48">
      <c r="A1571" s="69">
        <f>IF([11]PRIORIZADOS!A82="","",[11]PRIORIZADOS!A82)</f>
        <v>1537</v>
      </c>
      <c r="B1571" s="70">
        <v>8</v>
      </c>
      <c r="C1571" s="11" t="str">
        <f>IFERROR(IF(VLOOKUP(A1571,[11]PRIORIZADOS!$A:$C,3,FALSE)="","",VLOOKUP(A1571,[11]PRIORIZADOS!$A:$C,3,FALSE)),"")</f>
        <v>RAFAEL URIBE URIBE</v>
      </c>
      <c r="D1571" s="11" t="str">
        <f>IFERROR(IF(VLOOKUP(A1571,[11]PRIORIZADOS!$A:$D,4,FALSE)="","",VLOOKUP(A1571,[11]PRIORIZADOS!$A:$D,4,FALSE)),"")</f>
        <v>PRIVADO</v>
      </c>
      <c r="E1571" s="11" t="str">
        <f>IFERROR(IF(VLOOKUP(A1571,[11]PRIORIZADOS!$A:$E,5,FALSE)="","",VLOOKUP(A1571,[11]PRIORIZADOS!$A:$E,5,FALSE)),"")</f>
        <v>EPBM</v>
      </c>
      <c r="F1571" s="11" t="str">
        <f>IFERROR(IF(VLOOKUP(A1571,[11]PRIORIZADOS!$A:$F,6,FALSE)="","",VLOOKUP(A1571,[11]PRIORIZADOS!$A:$F,6,FALSE)),"")</f>
        <v>COLEGIO_CRISTIANO_DE_COLOMBIA</v>
      </c>
      <c r="G1571" s="11" t="str">
        <f>IFERROR(IF(VLOOKUP(A1571,[11]PRIORIZADOS!$A:$G,7,FALSE)="","",VLOOKUP(A1571,[11]PRIORIZADOS!$A:$G,7,FALSE)),"")</f>
        <v>COLEGIO_CRISTIANO_DE_COLOMBIA</v>
      </c>
      <c r="H1571" s="11" t="str">
        <f>IFERROR(IF(VLOOKUP(A1571,[11]PRIORIZADOS!$A:$H,8,FALSE)="","",VLOOKUP(A1571,[11]PRIORIZADOS!$A:$H,8,FALSE)),"")</f>
        <v>Autoevaluación Institucional y Pruebas SABER 11</v>
      </c>
      <c r="I1571" s="11" t="str">
        <f>IFERROR(IF(VLOOKUP(A1571,[11]PRIORIZADOS!$A:$I,9,FALSE)="","",VLOOKUP(A1571,[11]PRIORIZADOS!$A:$I,9,FALSE)),"")</f>
        <v>EVALUACIÓN_CON_FINES_DE_MEJORAMIENTO.</v>
      </c>
      <c r="J1571" s="11" t="str">
        <f>IFERROR(IF(VLOOKUP(A1571,[11]PRIORIZADOS!$A:$J,10,FALSE)="","",VLOOKUP(A1571,[11]PRIORIZADOS!$A:$J,10,FALSE)),"")</f>
        <v>Verificar las condiciones en cuanto a: la estructura administrativa, condiciones de la planta física y medios educativos adecuados.</v>
      </c>
      <c r="K1571" s="11" t="str">
        <f>IFERROR(IF(VLOOKUP(A1571,[11]PRIORIZADOS!$A:$K,11,FALSE)="","",VLOOKUP(A1571,[11]PRIORIZADOS!$A:$K,11,FALSE)),"")</f>
        <v>DORY CONSTANZA SANCHEZ ARAGÓN</v>
      </c>
      <c r="L1571" s="11" t="str">
        <f>IFERROR(IF(VLOOKUP(A1571,[11]PRIORIZADOS!$A:$L,12,FALSE)="","",VLOOKUP(A1571,[11]PRIORIZADOS!$A:$L,12,FALSE)),"")</f>
        <v>BEPCI YADIRA MINA ZAPATA</v>
      </c>
      <c r="M1571" s="71">
        <f>IFERROR(IF(VLOOKUP(A1571,[11]PRIORIZADOS!$A:$M,13,FALSE)="","",VLOOKUP(A1571,[11]PRIORIZADOS!$A:$M,13,FALSE)),"")</f>
        <v>45790</v>
      </c>
      <c r="N1571" s="71">
        <f>IFERROR(IF(VLOOKUP(A1571,[11]PRIORIZADOS!$A:$N,14,FALSE)="","",VLOOKUP(A1571,[11]PRIORIZADOS!$A:$N,14,FALSE)),"")</f>
        <v>45791</v>
      </c>
      <c r="O1571" s="71">
        <f>IFERROR(IF(VLOOKUP(A1571,[11]PRIORIZADOS!$A:$O,15,FALSE)="","",VLOOKUP(A1571,[11]PRIORIZADOS!$A:$O,15,FALSE)),"")</f>
        <v>45797</v>
      </c>
      <c r="P1571" s="11" t="str">
        <f>IFERROR(IF(VLOOKUP(A1571,[11]PRIORIZADOS!$A:$P,16,FALSE)="","",VLOOKUP(A1571,[11]PRIORIZADOS!$A:$P,16,FALSE)),"")</f>
        <v>Visitas de evaluación con fines de mejoramiento</v>
      </c>
      <c r="Q1571" s="107" t="s">
        <v>364</v>
      </c>
      <c r="R1571" s="11" t="str">
        <f>IFERROR(IF(VLOOKUP(A1571,[11]PRIORIZADOS!$A:$R,18,FALSE)="","",VLOOKUP(A1571,[11]PRIORIZADOS!$A:$R,18,FALSE)),"")</f>
        <v>No cuenta con aula de tecnología - informática. No cuenta con laboratorio, sus laboratorios son digitales.</v>
      </c>
      <c r="S1571" s="11" t="str">
        <f>IFERROR(IF(VLOOKUP(A1571,[11]PRIORIZADOS!$A:$S,19,FALSE)="","",VLOOKUP(A1571,[11]PRIORIZADOS!$A:$S,19,FALSE)),"")</f>
        <v>Buscar estrategias que perminan subsanar los inconvenientes con la planta física La institución debe presentar plan de mejoramiento el 18 de julio de 2025</v>
      </c>
      <c r="T1571" s="70" t="str">
        <f>IFERROR(IF(VLOOKUP(A1571,[11]PRIORIZADOS!$A:$T,20,FALSE)="","",VLOOKUP(A1571,[11]PRIORIZADOS!$A:$T,20,FALSE)),"")</f>
        <v>Si</v>
      </c>
      <c r="U1571" s="11" t="str">
        <f>IFERROR(IF(VLOOKUP(A1571,[11]PRIORIZADOS!$A:$U,21,FALSE)="","",VLOOKUP(A1571,[11]PRIORIZADOS!$A:$U,21,FALSE)),"")</f>
        <v>Revisar PM y verificar que se ajuste a las observaciones realizadas.</v>
      </c>
    </row>
    <row r="1572" spans="1:21" s="1" customFormat="1" ht="48">
      <c r="A1572" s="69">
        <f>IF([11]PRIORIZADOS!A83="","",[11]PRIORIZADOS!A83)</f>
        <v>1538</v>
      </c>
      <c r="B1572" s="70">
        <v>9</v>
      </c>
      <c r="C1572" s="11" t="str">
        <f>IFERROR(IF(VLOOKUP(A1572,[11]PRIORIZADOS!$A:$C,3,FALSE)="","",VLOOKUP(A1572,[11]PRIORIZADOS!$A:$C,3,FALSE)),"")</f>
        <v>RAFAEL URIBE URIBE</v>
      </c>
      <c r="D1572" s="11" t="str">
        <f>IFERROR(IF(VLOOKUP(A1572,[11]PRIORIZADOS!$A:$D,4,FALSE)="","",VLOOKUP(A1572,[11]PRIORIZADOS!$A:$D,4,FALSE)),"")</f>
        <v>PRIVADO</v>
      </c>
      <c r="E1572" s="11" t="str">
        <f>IFERROR(IF(VLOOKUP(A1572,[11]PRIORIZADOS!$A:$E,5,FALSE)="","",VLOOKUP(A1572,[11]PRIORIZADOS!$A:$E,5,FALSE)),"")</f>
        <v>EPBM</v>
      </c>
      <c r="F1572" s="11" t="str">
        <f>IFERROR(IF(VLOOKUP(A1572,[11]PRIORIZADOS!$A:$F,6,FALSE)="","",VLOOKUP(A1572,[11]PRIORIZADOS!$A:$F,6,FALSE)),"")</f>
        <v>LICEO_MAYOR_DE_PALERMO</v>
      </c>
      <c r="G1572" s="11" t="str">
        <f>IFERROR(IF(VLOOKUP(A1572,[11]PRIORIZADOS!$A:$G,7,FALSE)="","",VLOOKUP(A1572,[11]PRIORIZADOS!$A:$G,7,FALSE)),"")</f>
        <v>LICEO_MAYOR_DE_PALERMO</v>
      </c>
      <c r="H1572" s="11" t="str">
        <f>IFERROR(IF(VLOOKUP(A1572,[11]PRIORIZADOS!$A:$H,8,FALSE)="","",VLOOKUP(A1572,[11]PRIORIZADOS!$A:$H,8,FALSE)),"")</f>
        <v>Autoevaluación Institucional y Pruebas SABER 11</v>
      </c>
      <c r="I1572" s="11" t="str">
        <f>IFERROR(IF(VLOOKUP(A1572,[11]PRIORIZADOS!$A:$I,9,FALSE)="","",VLOOKUP(A1572,[11]PRIORIZADOS!$A:$I,9,FALSE)),"")</f>
        <v>SEGUIMIENTO_Y_SUPERVISIÓN.</v>
      </c>
      <c r="J1572" s="11" t="str">
        <f>IFERROR(IF(VLOOKUP(A1572,[11]PRIORIZADOS!$A:$J,10,FALSE)="","",VLOOKUP(A1572,[11]PRIORIZADOS!$A:$J,10,FALSE)),"")</f>
        <v>Realizar visitas para verificar la información registrada sobre la autoevaluación institucional en el aplicativo EVI, a los establecimientos de educación formal no oficial.</v>
      </c>
      <c r="K1572" s="11" t="str">
        <f>IFERROR(IF(VLOOKUP(A1572,[11]PRIORIZADOS!$A:$K,11,FALSE)="","",VLOOKUP(A1572,[11]PRIORIZADOS!$A:$K,11,FALSE)),"")</f>
        <v>DORY CONSTANZA SANCHEZ ARAGÓN</v>
      </c>
      <c r="L1572" s="11" t="str">
        <f>IFERROR(IF(VLOOKUP(A1572,[11]PRIORIZADOS!$A:$L,12,FALSE)="","",VLOOKUP(A1572,[11]PRIORIZADOS!$A:$L,12,FALSE)),"")</f>
        <v>BEPCI YADIRA MINA ZAPATA</v>
      </c>
      <c r="M1572" s="71">
        <f>IFERROR(IF(VLOOKUP(A1572,[11]PRIORIZADOS!$A:$M,13,FALSE)="","",VLOOKUP(A1572,[11]PRIORIZADOS!$A:$M,13,FALSE)),"")</f>
        <v>45805</v>
      </c>
      <c r="N1572" s="71">
        <f>IFERROR(IF(VLOOKUP(A1572,[11]PRIORIZADOS!$A:$N,14,FALSE)="","",VLOOKUP(A1572,[11]PRIORIZADOS!$A:$N,14,FALSE)),"")</f>
        <v>45825</v>
      </c>
      <c r="O1572" s="71">
        <f>IFERROR(IF(VLOOKUP(A1572,[11]PRIORIZADOS!$A:$O,15,FALSE)="","",VLOOKUP(A1572,[11]PRIORIZADOS!$A:$O,15,FALSE)),"")</f>
        <v>45832</v>
      </c>
      <c r="P1572" s="11" t="str">
        <f>IFERROR(IF(VLOOKUP(A1572,[11]PRIORIZADOS!$A:$P,16,FALSE)="","",VLOOKUP(A1572,[11]PRIORIZADOS!$A:$P,16,FALSE)),"")</f>
        <v>Visitas de evaluación con fines de mejoramiento</v>
      </c>
      <c r="Q1572" s="5" t="s">
        <v>365</v>
      </c>
      <c r="R1572" s="11" t="str">
        <f>IFERROR(IF(VLOOKUP(A1572,[11]PRIORIZADOS!$A:$R,18,FALSE)="","",VLOOKUP(A1572,[11]PRIORIZADOS!$A:$R,18,FALSE)),"")</f>
        <v>Los docentes tienen contrato de prestación de servicios. Cuentan con algunos docentes con pago de seguridad social por parte de la institución</v>
      </c>
      <c r="S1572" s="11" t="str">
        <f>IFERROR(IF(VLOOKUP(A1572,[11]PRIORIZADOS!$A:$S,19,FALSE)="","",VLOOKUP(A1572,[11]PRIORIZADOS!$A:$S,19,FALSE)),"")</f>
        <v>Realizar pago de seguridad social a todo el personal de la institución. Presentar plan de mejoramiento el 11 de agosto de 2025</v>
      </c>
      <c r="T1572" s="70" t="str">
        <f>IFERROR(IF(VLOOKUP(A1572,[11]PRIORIZADOS!$A:$T,20,FALSE)="","",VLOOKUP(A1572,[11]PRIORIZADOS!$A:$T,20,FALSE)),"")</f>
        <v>Si</v>
      </c>
      <c r="U1572" s="11" t="str">
        <f>IFERROR(IF(VLOOKUP(A1572,[11]PRIORIZADOS!$A:$U,21,FALSE)="","",VLOOKUP(A1572,[11]PRIORIZADOS!$A:$U,21,FALSE)),"")</f>
        <v>Revisar PM y verificar que se ajuste a las observaciones realizadas.</v>
      </c>
    </row>
    <row r="1573" spans="1:21" s="1" customFormat="1" ht="84">
      <c r="A1573" s="69">
        <f>IF([11]PRIORIZADOS!A84="","",[11]PRIORIZADOS!A84)</f>
        <v>1539</v>
      </c>
      <c r="B1573" s="70">
        <v>9</v>
      </c>
      <c r="C1573" s="11" t="str">
        <f>IFERROR(IF(VLOOKUP(A1573,[11]PRIORIZADOS!$A:$C,3,FALSE)="","",VLOOKUP(A1573,[11]PRIORIZADOS!$A:$C,3,FALSE)),"")</f>
        <v>RAFAEL URIBE URIBE</v>
      </c>
      <c r="D1573" s="11" t="str">
        <f>IFERROR(IF(VLOOKUP(A1573,[11]PRIORIZADOS!$A:$D,4,FALSE)="","",VLOOKUP(A1573,[11]PRIORIZADOS!$A:$D,4,FALSE)),"")</f>
        <v>PRIVADO</v>
      </c>
      <c r="E1573" s="11" t="str">
        <f>IFERROR(IF(VLOOKUP(A1573,[11]PRIORIZADOS!$A:$E,5,FALSE)="","",VLOOKUP(A1573,[11]PRIORIZADOS!$A:$E,5,FALSE)),"")</f>
        <v>EPBM</v>
      </c>
      <c r="F1573" s="11" t="str">
        <f>IFERROR(IF(VLOOKUP(A1573,[11]PRIORIZADOS!$A:$F,6,FALSE)="","",VLOOKUP(A1573,[11]PRIORIZADOS!$A:$F,6,FALSE)),"")</f>
        <v>LICEO_MAYOR_DE_PALERMO</v>
      </c>
      <c r="G1573" s="11" t="str">
        <f>IFERROR(IF(VLOOKUP(A1573,[11]PRIORIZADOS!$A:$G,7,FALSE)="","",VLOOKUP(A1573,[11]PRIORIZADOS!$A:$G,7,FALSE)),"")</f>
        <v>LICEO_MAYOR_DE_PALERMO</v>
      </c>
      <c r="H1573" s="11" t="str">
        <f>IFERROR(IF(VLOOKUP(A1573,[11]PRIORIZADOS!$A:$H,8,FALSE)="","",VLOOKUP(A1573,[11]PRIORIZADOS!$A:$H,8,FALSE)),"")</f>
        <v>Autoevaluación Institucional y Pruebas SABER 11</v>
      </c>
      <c r="I1573" s="11" t="str">
        <f>IFERROR(IF(VLOOKUP(A1573,[11]PRIORIZADOS!$A:$I,9,FALSE)="","",VLOOKUP(A1573,[11]PRIORIZADOS!$A:$I,9,FALSE)),"")</f>
        <v>SEGUIMIENTO_Y_SUPERVISIÓN.</v>
      </c>
      <c r="J1573" s="11" t="str">
        <f>IFERROR(IF(VLOOKUP(A1573,[11]PRIORIZADOS!$A:$J,10,FALSE)="","",VLOOKUP(A1573,[11]PRIORIZADOS!$A:$J,10,FALSE)),"")</f>
        <v>Proponer estrategias en la formulación, verificar su elaboración y realizar seguimiento semestral al desarrollo de  las acciones establecidas en los planes de mejoramiento por pruebas SABER 11 de los establecimientos de educación formal.</v>
      </c>
      <c r="K1573" s="11" t="str">
        <f>IFERROR(IF(VLOOKUP(A1573,[11]PRIORIZADOS!$A:$K,11,FALSE)="","",VLOOKUP(A1573,[11]PRIORIZADOS!$A:$K,11,FALSE)),"")</f>
        <v>DORY CONSTANZA SANCHEZ ARAGÓN</v>
      </c>
      <c r="L1573" s="11" t="str">
        <f>IFERROR(IF(VLOOKUP(A1573,[11]PRIORIZADOS!$A:$L,12,FALSE)="","",VLOOKUP(A1573,[11]PRIORIZADOS!$A:$L,12,FALSE)),"")</f>
        <v>BEPCI YADIRA MINA ZAPATA</v>
      </c>
      <c r="M1573" s="71">
        <f>IFERROR(IF(VLOOKUP(A1573,[11]PRIORIZADOS!$A:$M,13,FALSE)="","",VLOOKUP(A1573,[11]PRIORIZADOS!$A:$M,13,FALSE)),"")</f>
        <v>45805</v>
      </c>
      <c r="N1573" s="71">
        <f>IFERROR(IF(VLOOKUP(A1573,[11]PRIORIZADOS!$A:$N,14,FALSE)="","",VLOOKUP(A1573,[11]PRIORIZADOS!$A:$N,14,FALSE)),"")</f>
        <v>45825</v>
      </c>
      <c r="O1573" s="71">
        <f>IFERROR(IF(VLOOKUP(A1573,[11]PRIORIZADOS!$A:$O,15,FALSE)="","",VLOOKUP(A1573,[11]PRIORIZADOS!$A:$O,15,FALSE)),"")</f>
        <v>45832</v>
      </c>
      <c r="P1573" s="11" t="str">
        <f>IFERROR(IF(VLOOKUP(A1573,[11]PRIORIZADOS!$A:$P,16,FALSE)="","",VLOOKUP(A1573,[11]PRIORIZADOS!$A:$P,16,FALSE)),"")</f>
        <v>Visitas de evaluación con fines de mejoramiento</v>
      </c>
      <c r="Q1573" s="5" t="s">
        <v>365</v>
      </c>
      <c r="R1573" s="11" t="str">
        <f>IFERROR(IF(VLOOKUP(A1573,[11]PRIORIZADOS!$A:$R,18,FALSE)="","",VLOOKUP(A1573,[11]PRIORIZADOS!$A:$R,18,FALSE)),"")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73" s="11" t="str">
        <f>IFERROR(IF(VLOOKUP(A1573,[11]PRIORIZADOS!$A:$S,19,FALSE)="","",VLOOKUP(A1573,[11]PRIORIZADOS!$A:$S,19,FALSE)),"")</f>
        <v>Realizar analisis de las Pruebas Saber y establecer acciones pertinentes. Presentar plan de mejoramiento el 11 de agosto de 2025</v>
      </c>
      <c r="T1573" s="70" t="str">
        <f>IFERROR(IF(VLOOKUP(A1573,[11]PRIORIZADOS!$A:$T,20,FALSE)="","",VLOOKUP(A1573,[11]PRIORIZADOS!$A:$T,20,FALSE)),"")</f>
        <v>Si</v>
      </c>
      <c r="U1573" s="11" t="str">
        <f>IFERROR(IF(VLOOKUP(A1573,[11]PRIORIZADOS!$A:$U,21,FALSE)="","",VLOOKUP(A1573,[11]PRIORIZADOS!$A:$U,21,FALSE)),"")</f>
        <v>Revisar PM y verificar que se ajuste a las observaciones realizadas.</v>
      </c>
    </row>
    <row r="1574" spans="1:21" s="1" customFormat="1" ht="72">
      <c r="A1574" s="69">
        <f>IF([11]PRIORIZADOS!A85="","",[11]PRIORIZADOS!A85)</f>
        <v>1540</v>
      </c>
      <c r="B1574" s="70">
        <v>9</v>
      </c>
      <c r="C1574" s="11" t="str">
        <f>IFERROR(IF(VLOOKUP(A1574,[11]PRIORIZADOS!$A:$C,3,FALSE)="","",VLOOKUP(A1574,[11]PRIORIZADOS!$A:$C,3,FALSE)),"")</f>
        <v>RAFAEL URIBE URIBE</v>
      </c>
      <c r="D1574" s="11" t="str">
        <f>IFERROR(IF(VLOOKUP(A1574,[11]PRIORIZADOS!$A:$D,4,FALSE)="","",VLOOKUP(A1574,[11]PRIORIZADOS!$A:$D,4,FALSE)),"")</f>
        <v>PRIVADO</v>
      </c>
      <c r="E1574" s="11" t="str">
        <f>IFERROR(IF(VLOOKUP(A1574,[11]PRIORIZADOS!$A:$E,5,FALSE)="","",VLOOKUP(A1574,[11]PRIORIZADOS!$A:$E,5,FALSE)),"")</f>
        <v>EPBM</v>
      </c>
      <c r="F1574" s="11" t="str">
        <f>IFERROR(IF(VLOOKUP(A1574,[11]PRIORIZADOS!$A:$F,6,FALSE)="","",VLOOKUP(A1574,[11]PRIORIZADOS!$A:$F,6,FALSE)),"")</f>
        <v>LICEO_MAYOR_DE_PALERMO</v>
      </c>
      <c r="G1574" s="11" t="str">
        <f>IFERROR(IF(VLOOKUP(A1574,[11]PRIORIZADOS!$A:$G,7,FALSE)="","",VLOOKUP(A1574,[11]PRIORIZADOS!$A:$G,7,FALSE)),"")</f>
        <v>LICEO_MAYOR_DE_PALERMO</v>
      </c>
      <c r="H1574" s="11" t="str">
        <f>IFERROR(IF(VLOOKUP(A1574,[11]PRIORIZADOS!$A:$H,8,FALSE)="","",VLOOKUP(A1574,[11]PRIORIZADOS!$A:$H,8,FALSE)),"")</f>
        <v>Autoevaluación Institucional y Pruebas SABER 11</v>
      </c>
      <c r="I1574" s="11" t="str">
        <f>IFERROR(IF(VLOOKUP(A1574,[11]PRIORIZADOS!$A:$I,9,FALSE)="","",VLOOKUP(A1574,[11]PRIORIZADOS!$A:$I,9,FALSE)),"")</f>
        <v>SEGUIMIENTO_Y_SUPERVISIÓN.</v>
      </c>
      <c r="J1574" s="11" t="str">
        <f>IFERROR(IF(VLOOKUP(A1574,[11]PRIORIZADOS!$A:$J,10,FALSE)="","",VLOOKUP(A1574,[11]PRIORIZADOS!$A:$J,10,FALSE)),"")</f>
        <v xml:space="preserve">Verificar la implementación por parte de los colegios, de acciones realizadas para la prevención y atención de las situaciones de convivencia en el entorno escolar, según lo establecido en la Directiva 01 de 2022 del MEN. </v>
      </c>
      <c r="K1574" s="11" t="str">
        <f>IFERROR(IF(VLOOKUP(A1574,[11]PRIORIZADOS!$A:$K,11,FALSE)="","",VLOOKUP(A1574,[11]PRIORIZADOS!$A:$K,11,FALSE)),"")</f>
        <v>DORY CONSTANZA SANCHEZ ARAGÓN</v>
      </c>
      <c r="L1574" s="11" t="str">
        <f>IFERROR(IF(VLOOKUP(A1574,[11]PRIORIZADOS!$A:$L,12,FALSE)="","",VLOOKUP(A1574,[11]PRIORIZADOS!$A:$L,12,FALSE)),"")</f>
        <v>BEPCI YADIRA MINA ZAPATA</v>
      </c>
      <c r="M1574" s="71">
        <f>IFERROR(IF(VLOOKUP(A1574,[11]PRIORIZADOS!$A:$M,13,FALSE)="","",VLOOKUP(A1574,[11]PRIORIZADOS!$A:$M,13,FALSE)),"")</f>
        <v>45805</v>
      </c>
      <c r="N1574" s="71">
        <f>IFERROR(IF(VLOOKUP(A1574,[11]PRIORIZADOS!$A:$N,14,FALSE)="","",VLOOKUP(A1574,[11]PRIORIZADOS!$A:$N,14,FALSE)),"")</f>
        <v>45825</v>
      </c>
      <c r="O1574" s="71">
        <f>IFERROR(IF(VLOOKUP(A1574,[11]PRIORIZADOS!$A:$O,15,FALSE)="","",VLOOKUP(A1574,[11]PRIORIZADOS!$A:$O,15,FALSE)),"")</f>
        <v>45832</v>
      </c>
      <c r="P1574" s="11" t="str">
        <f>IFERROR(IF(VLOOKUP(A1574,[11]PRIORIZADOS!$A:$P,16,FALSE)="","",VLOOKUP(A1574,[11]PRIORIZADOS!$A:$P,16,FALSE)),"")</f>
        <v>Visitas de evaluación con fines de mejoramiento</v>
      </c>
      <c r="Q1574" s="5" t="s">
        <v>365</v>
      </c>
      <c r="R1574" s="11" t="str">
        <f>IFERROR(IF(VLOOKUP(A1574,[11]PRIORIZADOS!$A:$R,18,FALSE)="","",VLOOKUP(A1574,[11]PRIORIZADOS!$A:$R,18,FALSE)),"")</f>
        <v>La institución no cuentan con actas donde se evidencie el funcionamiento del comité de convivencia escolar.
Cuenta con verificacion de inhabilidadades por delitos sexuales en 1 sola oportunidad en 2025</v>
      </c>
      <c r="S1574" s="11" t="str">
        <f>IFERROR(IF(VLOOKUP(A1574,[11]PRIORIZADOS!$A:$S,19,FALSE)="","",VLOOKUP(A1574,[11]PRIORIZADOS!$A:$S,19,FALSE)),"")</f>
        <v>El comite cde convivencia se debe reunir cada 2 meses.
Se debe realizar verificación de antecedente cada 4 meses. Presentar plan de mejoramiento el 11 de agosto de 2025</v>
      </c>
      <c r="T1574" s="70" t="str">
        <f>IFERROR(IF(VLOOKUP(A1574,[11]PRIORIZADOS!$A:$T,20,FALSE)="","",VLOOKUP(A1574,[11]PRIORIZADOS!$A:$T,20,FALSE)),"")</f>
        <v>Si</v>
      </c>
      <c r="U1574" s="11" t="str">
        <f>IFERROR(IF(VLOOKUP(A1574,[11]PRIORIZADOS!$A:$U,21,FALSE)="","",VLOOKUP(A1574,[11]PRIORIZADOS!$A:$U,21,FALSE)),"")</f>
        <v>Revisar PM y verificar que se ajuste a las observaciones realizadas.</v>
      </c>
    </row>
    <row r="1575" spans="1:21" s="1" customFormat="1" ht="72">
      <c r="A1575" s="69">
        <f>IF([11]PRIORIZADOS!A86="","",[11]PRIORIZADOS!A86)</f>
        <v>1541</v>
      </c>
      <c r="B1575" s="70">
        <v>9</v>
      </c>
      <c r="C1575" s="11" t="str">
        <f>IFERROR(IF(VLOOKUP(A1575,[11]PRIORIZADOS!$A:$C,3,FALSE)="","",VLOOKUP(A1575,[11]PRIORIZADOS!$A:$C,3,FALSE)),"")</f>
        <v>RAFAEL URIBE URIBE</v>
      </c>
      <c r="D1575" s="11" t="str">
        <f>IFERROR(IF(VLOOKUP(A1575,[11]PRIORIZADOS!$A:$D,4,FALSE)="","",VLOOKUP(A1575,[11]PRIORIZADOS!$A:$D,4,FALSE)),"")</f>
        <v>PRIVADO</v>
      </c>
      <c r="E1575" s="11" t="str">
        <f>IFERROR(IF(VLOOKUP(A1575,[11]PRIORIZADOS!$A:$E,5,FALSE)="","",VLOOKUP(A1575,[11]PRIORIZADOS!$A:$E,5,FALSE)),"")</f>
        <v>EPBM</v>
      </c>
      <c r="F1575" s="11" t="str">
        <f>IFERROR(IF(VLOOKUP(A1575,[11]PRIORIZADOS!$A:$F,6,FALSE)="","",VLOOKUP(A1575,[11]PRIORIZADOS!$A:$F,6,FALSE)),"")</f>
        <v>LICEO_MAYOR_DE_PALERMO</v>
      </c>
      <c r="G1575" s="11" t="str">
        <f>IFERROR(IF(VLOOKUP(A1575,[11]PRIORIZADOS!$A:$G,7,FALSE)="","",VLOOKUP(A1575,[11]PRIORIZADOS!$A:$G,7,FALSE)),"")</f>
        <v>LICEO_MAYOR_DE_PALERMO</v>
      </c>
      <c r="H1575" s="11" t="str">
        <f>IFERROR(IF(VLOOKUP(A1575,[11]PRIORIZADOS!$A:$H,8,FALSE)="","",VLOOKUP(A1575,[11]PRIORIZADOS!$A:$H,8,FALSE)),"")</f>
        <v>Autoevaluación Institucional y Pruebas SABER 11</v>
      </c>
      <c r="I1575" s="11" t="str">
        <f>IFERROR(IF(VLOOKUP(A1575,[11]PRIORIZADOS!$A:$I,9,FALSE)="","",VLOOKUP(A1575,[11]PRIORIZADOS!$A:$I,9,FALSE)),"")</f>
        <v>SEGUIMIENTO_Y_SUPERVISIÓN.</v>
      </c>
      <c r="J1575" s="11" t="str">
        <f>IFERROR(IF(VLOOKUP(A1575,[11]PRIORIZADOS!$A:$J,10,FALSE)="","",VLOOKUP(A1575,[11]PRIORIZADOS!$A:$J,10,FALSE)),"")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75" s="11" t="str">
        <f>IFERROR(IF(VLOOKUP(A1575,[11]PRIORIZADOS!$A:$K,11,FALSE)="","",VLOOKUP(A1575,[11]PRIORIZADOS!$A:$K,11,FALSE)),"")</f>
        <v>DORY CONSTANZA SANCHEZ ARAGÓN</v>
      </c>
      <c r="L1575" s="11" t="str">
        <f>IFERROR(IF(VLOOKUP(A1575,[11]PRIORIZADOS!$A:$L,12,FALSE)="","",VLOOKUP(A1575,[11]PRIORIZADOS!$A:$L,12,FALSE)),"")</f>
        <v>BEPCI YADIRA MINA ZAPATA</v>
      </c>
      <c r="M1575" s="71">
        <f>IFERROR(IF(VLOOKUP(A1575,[11]PRIORIZADOS!$A:$M,13,FALSE)="","",VLOOKUP(A1575,[11]PRIORIZADOS!$A:$M,13,FALSE)),"")</f>
        <v>45805</v>
      </c>
      <c r="N1575" s="71">
        <f>IFERROR(IF(VLOOKUP(A1575,[11]PRIORIZADOS!$A:$N,14,FALSE)="","",VLOOKUP(A1575,[11]PRIORIZADOS!$A:$N,14,FALSE)),"")</f>
        <v>45825</v>
      </c>
      <c r="O1575" s="71">
        <f>IFERROR(IF(VLOOKUP(A1575,[11]PRIORIZADOS!$A:$O,15,FALSE)="","",VLOOKUP(A1575,[11]PRIORIZADOS!$A:$O,15,FALSE)),"")</f>
        <v>45832</v>
      </c>
      <c r="P1575" s="11" t="str">
        <f>IFERROR(IF(VLOOKUP(A1575,[11]PRIORIZADOS!$A:$P,16,FALSE)="","",VLOOKUP(A1575,[11]PRIORIZADOS!$A:$P,16,FALSE)),"")</f>
        <v>Visitas de evaluación con fines de mejoramiento</v>
      </c>
      <c r="Q1575" s="5" t="s">
        <v>365</v>
      </c>
      <c r="R1575" s="11" t="str">
        <f>IFERROR(IF(VLOOKUP(A1575,[11]PRIORIZADOS!$A:$R,18,FALSE)="","",VLOOKUP(A1575,[11]PRIORIZADOS!$A:$R,18,FALSE)),"")</f>
        <v>El colegio en SIMAT registra 5 estudiantes con discapacidad,  informan que solo tienen un diagnostico. Ha realizado un buen diseño del PIAR, se denota que ha sido un trabajo conciente, dedicado, adapatado a las necesidades del menor</v>
      </c>
      <c r="S1575" s="11" t="str">
        <f>IFERROR(IF(VLOOKUP(A1575,[11]PRIORIZADOS!$A:$S,19,FALSE)="","",VLOOKUP(A1575,[11]PRIORIZADOS!$A:$S,19,FALSE)),"")</f>
        <v>Revisar con las familias y según los casos actualizar SIMAT. Actualizar el PIAR. Presentar plan de mejoramiento el 11 de agosto de 2025</v>
      </c>
      <c r="T1575" s="70" t="str">
        <f>IFERROR(IF(VLOOKUP(A1575,[11]PRIORIZADOS!$A:$T,20,FALSE)="","",VLOOKUP(A1575,[11]PRIORIZADOS!$A:$T,20,FALSE)),"")</f>
        <v>Si</v>
      </c>
      <c r="U1575" s="11" t="str">
        <f>IFERROR(IF(VLOOKUP(A1575,[11]PRIORIZADOS!$A:$U,21,FALSE)="","",VLOOKUP(A1575,[11]PRIORIZADOS!$A:$U,21,FALSE)),"")</f>
        <v>Revisar PM y verificar que se ajuste a las observaciones realizadas.</v>
      </c>
    </row>
    <row r="1576" spans="1:21" s="1" customFormat="1" ht="84">
      <c r="A1576" s="69">
        <f>IF([11]PRIORIZADOS!A87="","",[11]PRIORIZADOS!A87)</f>
        <v>1542</v>
      </c>
      <c r="B1576" s="70">
        <v>9</v>
      </c>
      <c r="C1576" s="11" t="str">
        <f>IFERROR(IF(VLOOKUP(A1576,[11]PRIORIZADOS!$A:$C,3,FALSE)="","",VLOOKUP(A1576,[11]PRIORIZADOS!$A:$C,3,FALSE)),"")</f>
        <v>RAFAEL URIBE URIBE</v>
      </c>
      <c r="D1576" s="11" t="str">
        <f>IFERROR(IF(VLOOKUP(A1576,[11]PRIORIZADOS!$A:$D,4,FALSE)="","",VLOOKUP(A1576,[11]PRIORIZADOS!$A:$D,4,FALSE)),"")</f>
        <v>PRIVADO</v>
      </c>
      <c r="E1576" s="11" t="str">
        <f>IFERROR(IF(VLOOKUP(A1576,[11]PRIORIZADOS!$A:$E,5,FALSE)="","",VLOOKUP(A1576,[11]PRIORIZADOS!$A:$E,5,FALSE)),"")</f>
        <v>EPBM</v>
      </c>
      <c r="F1576" s="11" t="str">
        <f>IFERROR(IF(VLOOKUP(A1576,[11]PRIORIZADOS!$A:$F,6,FALSE)="","",VLOOKUP(A1576,[11]PRIORIZADOS!$A:$F,6,FALSE)),"")</f>
        <v>LICEO_MAYOR_DE_PALERMO</v>
      </c>
      <c r="G1576" s="11" t="str">
        <f>IFERROR(IF(VLOOKUP(A1576,[11]PRIORIZADOS!$A:$G,7,FALSE)="","",VLOOKUP(A1576,[11]PRIORIZADOS!$A:$G,7,FALSE)),"")</f>
        <v>LICEO_MAYOR_DE_PALERMO</v>
      </c>
      <c r="H1576" s="11" t="str">
        <f>IFERROR(IF(VLOOKUP(A1576,[11]PRIORIZADOS!$A:$H,8,FALSE)="","",VLOOKUP(A1576,[11]PRIORIZADOS!$A:$H,8,FALSE)),"")</f>
        <v>Autoevaluación Institucional y Pruebas SABER 11</v>
      </c>
      <c r="I1576" s="11" t="str">
        <f>IFERROR(IF(VLOOKUP(A1576,[11]PRIORIZADOS!$A:$I,9,FALSE)="","",VLOOKUP(A1576,[11]PRIORIZADOS!$A:$I,9,FALSE)),"")</f>
        <v>EVALUACIÓN_CON_FINES_DE_MEJORAMIENTO.</v>
      </c>
      <c r="J1576" s="11" t="str">
        <f>IFERROR(IF(VLOOKUP(A1576,[11]PRIORIZADOS!$A:$J,10,FALSE)="","",VLOOKUP(A1576,[11]PRIORIZADOS!$A:$J,10,FALSE)),"")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76" s="11" t="str">
        <f>IFERROR(IF(VLOOKUP(A1576,[11]PRIORIZADOS!$A:$K,11,FALSE)="","",VLOOKUP(A1576,[11]PRIORIZADOS!$A:$K,11,FALSE)),"")</f>
        <v>DORY CONSTANZA SANCHEZ ARAGÓN</v>
      </c>
      <c r="L1576" s="11" t="str">
        <f>IFERROR(IF(VLOOKUP(A1576,[11]PRIORIZADOS!$A:$L,12,FALSE)="","",VLOOKUP(A1576,[11]PRIORIZADOS!$A:$L,12,FALSE)),"")</f>
        <v>BEPCI YADIRA MINA ZAPATA</v>
      </c>
      <c r="M1576" s="71">
        <f>IFERROR(IF(VLOOKUP(A1576,[11]PRIORIZADOS!$A:$M,13,FALSE)="","",VLOOKUP(A1576,[11]PRIORIZADOS!$A:$M,13,FALSE)),"")</f>
        <v>45805</v>
      </c>
      <c r="N1576" s="71">
        <f>IFERROR(IF(VLOOKUP(A1576,[11]PRIORIZADOS!$A:$N,14,FALSE)="","",VLOOKUP(A1576,[11]PRIORIZADOS!$A:$N,14,FALSE)),"")</f>
        <v>45825</v>
      </c>
      <c r="O1576" s="71">
        <f>IFERROR(IF(VLOOKUP(A1576,[11]PRIORIZADOS!$A:$O,15,FALSE)="","",VLOOKUP(A1576,[11]PRIORIZADOS!$A:$O,15,FALSE)),"")</f>
        <v>45832</v>
      </c>
      <c r="P1576" s="11" t="str">
        <f>IFERROR(IF(VLOOKUP(A1576,[11]PRIORIZADOS!$A:$P,16,FALSE)="","",VLOOKUP(A1576,[11]PRIORIZADOS!$A:$P,16,FALSE)),"")</f>
        <v>Visitas de evaluación con fines de mejoramiento</v>
      </c>
      <c r="Q1576" s="5" t="s">
        <v>365</v>
      </c>
      <c r="R1576" s="11" t="str">
        <f>IFERROR(IF(VLOOKUP(A1576,[11]PRIORIZADOS!$A:$R,18,FALSE)="","",VLOOKUP(A1576,[11]PRIORIZADOS!$A:$R,18,FALSE)),"")</f>
        <v>No se evidencia aprobación del manual de convivencia, ya que no cuenta con actas de gobierno escolar.
No se encuentra actualizada y cumpliendo con la normatividad vigente</v>
      </c>
      <c r="S1576" s="11" t="str">
        <f>IFERROR(IF(VLOOKUP(A1576,[11]PRIORIZADOS!$A:$S,19,FALSE)="","",VLOOKUP(A1576,[11]PRIORIZADOS!$A:$S,19,FALSE)),"")</f>
        <v>La institución debe actualizar el manual de convivencia con participación del gobierno escolar. Presentar plan de mejoramiento el 11 de agosto de 2025</v>
      </c>
      <c r="T1576" s="70" t="str">
        <f>IFERROR(IF(VLOOKUP(A1576,[11]PRIORIZADOS!$A:$T,20,FALSE)="","",VLOOKUP(A1576,[11]PRIORIZADOS!$A:$T,20,FALSE)),"")</f>
        <v>Si</v>
      </c>
      <c r="U1576" s="11" t="str">
        <f>IFERROR(IF(VLOOKUP(A1576,[11]PRIORIZADOS!$A:$U,21,FALSE)="","",VLOOKUP(A1576,[11]PRIORIZADOS!$A:$U,21,FALSE)),"")</f>
        <v>Revisar PM y verificar que se ajuste a las observaciones realizadas.</v>
      </c>
    </row>
    <row r="1577" spans="1:21" s="1" customFormat="1" ht="60">
      <c r="A1577" s="69">
        <f>IF([11]PRIORIZADOS!A88="","",[11]PRIORIZADOS!A88)</f>
        <v>1543</v>
      </c>
      <c r="B1577" s="70">
        <v>9</v>
      </c>
      <c r="C1577" s="11" t="str">
        <f>IFERROR(IF(VLOOKUP(A1577,[11]PRIORIZADOS!$A:$C,3,FALSE)="","",VLOOKUP(A1577,[11]PRIORIZADOS!$A:$C,3,FALSE)),"")</f>
        <v>RAFAEL URIBE URIBE</v>
      </c>
      <c r="D1577" s="11" t="str">
        <f>IFERROR(IF(VLOOKUP(A1577,[11]PRIORIZADOS!$A:$D,4,FALSE)="","",VLOOKUP(A1577,[11]PRIORIZADOS!$A:$D,4,FALSE)),"")</f>
        <v>PRIVADO</v>
      </c>
      <c r="E1577" s="11" t="str">
        <f>IFERROR(IF(VLOOKUP(A1577,[11]PRIORIZADOS!$A:$E,5,FALSE)="","",VLOOKUP(A1577,[11]PRIORIZADOS!$A:$E,5,FALSE)),"")</f>
        <v>EPBM</v>
      </c>
      <c r="F1577" s="11" t="str">
        <f>IFERROR(IF(VLOOKUP(A1577,[11]PRIORIZADOS!$A:$F,6,FALSE)="","",VLOOKUP(A1577,[11]PRIORIZADOS!$A:$F,6,FALSE)),"")</f>
        <v>LICEO_MAYOR_DE_PALERMO</v>
      </c>
      <c r="G1577" s="11" t="str">
        <f>IFERROR(IF(VLOOKUP(A1577,[11]PRIORIZADOS!$A:$G,7,FALSE)="","",VLOOKUP(A1577,[11]PRIORIZADOS!$A:$G,7,FALSE)),"")</f>
        <v>LICEO_MAYOR_DE_PALERMO</v>
      </c>
      <c r="H1577" s="11" t="str">
        <f>IFERROR(IF(VLOOKUP(A1577,[11]PRIORIZADOS!$A:$H,8,FALSE)="","",VLOOKUP(A1577,[11]PRIORIZADOS!$A:$H,8,FALSE)),"")</f>
        <v>Autoevaluación Institucional y Pruebas SABER 11</v>
      </c>
      <c r="I1577" s="11" t="str">
        <f>IFERROR(IF(VLOOKUP(A1577,[11]PRIORIZADOS!$A:$I,9,FALSE)="","",VLOOKUP(A1577,[11]PRIORIZADOS!$A:$I,9,FALSE)),"")</f>
        <v>EVALUACIÓN_CON_FINES_DE_MEJORAMIENTO.</v>
      </c>
      <c r="J1577" s="11" t="str">
        <f>IFERROR(IF(VLOOKUP(A1577,[11]PRIORIZADOS!$A:$J,10,FALSE)="","",VLOOKUP(A1577,[11]PRIORIZADOS!$A:$J,10,FALSE)),"")</f>
        <v>Revisar la actualización, socialización e implementación del Sistema Institucional de Evaluación de Estudiantes - SIEE, en articulación con la actualización del PEI y la normatividad vigente.</v>
      </c>
      <c r="K1577" s="11" t="str">
        <f>IFERROR(IF(VLOOKUP(A1577,[11]PRIORIZADOS!$A:$K,11,FALSE)="","",VLOOKUP(A1577,[11]PRIORIZADOS!$A:$K,11,FALSE)),"")</f>
        <v>DORY CONSTANZA SANCHEZ ARAGÓN</v>
      </c>
      <c r="L1577" s="11" t="str">
        <f>IFERROR(IF(VLOOKUP(A1577,[11]PRIORIZADOS!$A:$L,12,FALSE)="","",VLOOKUP(A1577,[11]PRIORIZADOS!$A:$L,12,FALSE)),"")</f>
        <v>BEPCI YADIRA MINA ZAPATA</v>
      </c>
      <c r="M1577" s="71">
        <f>IFERROR(IF(VLOOKUP(A1577,[11]PRIORIZADOS!$A:$M,13,FALSE)="","",VLOOKUP(A1577,[11]PRIORIZADOS!$A:$M,13,FALSE)),"")</f>
        <v>45805</v>
      </c>
      <c r="N1577" s="71">
        <f>IFERROR(IF(VLOOKUP(A1577,[11]PRIORIZADOS!$A:$N,14,FALSE)="","",VLOOKUP(A1577,[11]PRIORIZADOS!$A:$N,14,FALSE)),"")</f>
        <v>45825</v>
      </c>
      <c r="O1577" s="71">
        <f>IFERROR(IF(VLOOKUP(A1577,[11]PRIORIZADOS!$A:$O,15,FALSE)="","",VLOOKUP(A1577,[11]PRIORIZADOS!$A:$O,15,FALSE)),"")</f>
        <v>45832</v>
      </c>
      <c r="P1577" s="11" t="str">
        <f>IFERROR(IF(VLOOKUP(A1577,[11]PRIORIZADOS!$A:$P,16,FALSE)="","",VLOOKUP(A1577,[11]PRIORIZADOS!$A:$P,16,FALSE)),"")</f>
        <v>Visitas de evaluación con fines de mejoramiento</v>
      </c>
      <c r="Q1577" s="5" t="s">
        <v>365</v>
      </c>
      <c r="R1577" s="11" t="str">
        <f>IFERROR(IF(VLOOKUP(A1577,[11]PRIORIZADOS!$A:$R,18,FALSE)="","",VLOOKUP(A1577,[11]PRIORIZADOS!$A:$R,18,FALSE)),"")</f>
        <v>No presentan evidencias de la participación de la comunidad educativa en su construcción.
Se debe ajustar a la normatividad vigente y establecer el debido proceso.</v>
      </c>
      <c r="S1577" s="11" t="str">
        <f>IFERROR(IF(VLOOKUP(A1577,[11]PRIORIZADOS!$A:$S,19,FALSE)="","",VLOOKUP(A1577,[11]PRIORIZADOS!$A:$S,19,FALSE)),"")</f>
        <v>En el SIE se deben ampliar y fortalecer los criterios de evaluación y promoción.
La institución debe presentar plan de mejoramiento el 11 de agosto de 2025</v>
      </c>
      <c r="T1577" s="70" t="str">
        <f>IFERROR(IF(VLOOKUP(A1577,[11]PRIORIZADOS!$A:$T,20,FALSE)="","",VLOOKUP(A1577,[11]PRIORIZADOS!$A:$T,20,FALSE)),"")</f>
        <v>Si</v>
      </c>
      <c r="U1577" s="11" t="str">
        <f>IFERROR(IF(VLOOKUP(A1577,[11]PRIORIZADOS!$A:$U,21,FALSE)="","",VLOOKUP(A1577,[11]PRIORIZADOS!$A:$U,21,FALSE)),"")</f>
        <v>Revisar PM y verificar que se ajuste a las observaciones realizadas.</v>
      </c>
    </row>
    <row r="1578" spans="1:21" s="1" customFormat="1" ht="60">
      <c r="A1578" s="69">
        <f>IF([11]PRIORIZADOS!A89="","",[11]PRIORIZADOS!A89)</f>
        <v>1544</v>
      </c>
      <c r="B1578" s="70">
        <v>9</v>
      </c>
      <c r="C1578" s="11" t="str">
        <f>IFERROR(IF(VLOOKUP(A1578,[11]PRIORIZADOS!$A:$C,3,FALSE)="","",VLOOKUP(A1578,[11]PRIORIZADOS!$A:$C,3,FALSE)),"")</f>
        <v>RAFAEL URIBE URIBE</v>
      </c>
      <c r="D1578" s="11" t="str">
        <f>IFERROR(IF(VLOOKUP(A1578,[11]PRIORIZADOS!$A:$D,4,FALSE)="","",VLOOKUP(A1578,[11]PRIORIZADOS!$A:$D,4,FALSE)),"")</f>
        <v>PRIVADO</v>
      </c>
      <c r="E1578" s="11" t="str">
        <f>IFERROR(IF(VLOOKUP(A1578,[11]PRIORIZADOS!$A:$E,5,FALSE)="","",VLOOKUP(A1578,[11]PRIORIZADOS!$A:$E,5,FALSE)),"")</f>
        <v>EPBM</v>
      </c>
      <c r="F1578" s="11" t="str">
        <f>IFERROR(IF(VLOOKUP(A1578,[11]PRIORIZADOS!$A:$F,6,FALSE)="","",VLOOKUP(A1578,[11]PRIORIZADOS!$A:$F,6,FALSE)),"")</f>
        <v>LICEO_MAYOR_DE_PALERMO</v>
      </c>
      <c r="G1578" s="11" t="str">
        <f>IFERROR(IF(VLOOKUP(A1578,[11]PRIORIZADOS!$A:$G,7,FALSE)="","",VLOOKUP(A1578,[11]PRIORIZADOS!$A:$G,7,FALSE)),"")</f>
        <v>LICEO_MAYOR_DE_PALERMO</v>
      </c>
      <c r="H1578" s="11" t="str">
        <f>IFERROR(IF(VLOOKUP(A1578,[11]PRIORIZADOS!$A:$H,8,FALSE)="","",VLOOKUP(A1578,[11]PRIORIZADOS!$A:$H,8,FALSE)),"")</f>
        <v>Autoevaluación Institucional y Pruebas SABER 11</v>
      </c>
      <c r="I1578" s="11" t="str">
        <f>IFERROR(IF(VLOOKUP(A1578,[11]PRIORIZADOS!$A:$I,9,FALSE)="","",VLOOKUP(A1578,[11]PRIORIZADOS!$A:$I,9,FALSE)),"")</f>
        <v>EVALUACIÓN_CON_FINES_DE_MEJORAMIENTO.</v>
      </c>
      <c r="J1578" s="11" t="str">
        <f>IFERROR(IF(VLOOKUP(A1578,[11]PRIORIZADOS!$A:$J,10,FALSE)="","",VLOOKUP(A1578,[11]PRIORIZADOS!$A:$J,10,FALSE)),"")</f>
        <v>Revisar el calendario escolar, jornada escolar, la intensidad horaria mínima anual en cada nivel y las modificaciones que se realicen al mismo, de acuerdo con lo previsto en la normatividad vigente.</v>
      </c>
      <c r="K1578" s="11" t="str">
        <f>IFERROR(IF(VLOOKUP(A1578,[11]PRIORIZADOS!$A:$K,11,FALSE)="","",VLOOKUP(A1578,[11]PRIORIZADOS!$A:$K,11,FALSE)),"")</f>
        <v>DORY CONSTANZA SANCHEZ ARAGÓN</v>
      </c>
      <c r="L1578" s="11" t="str">
        <f>IFERROR(IF(VLOOKUP(A1578,[11]PRIORIZADOS!$A:$L,12,FALSE)="","",VLOOKUP(A1578,[11]PRIORIZADOS!$A:$L,12,FALSE)),"")</f>
        <v>BEPCI YADIRA MINA ZAPATA</v>
      </c>
      <c r="M1578" s="71">
        <f>IFERROR(IF(VLOOKUP(A1578,[11]PRIORIZADOS!$A:$M,13,FALSE)="","",VLOOKUP(A1578,[11]PRIORIZADOS!$A:$M,13,FALSE)),"")</f>
        <v>45805</v>
      </c>
      <c r="N1578" s="71">
        <f>IFERROR(IF(VLOOKUP(A1578,[11]PRIORIZADOS!$A:$N,14,FALSE)="","",VLOOKUP(A1578,[11]PRIORIZADOS!$A:$N,14,FALSE)),"")</f>
        <v>45825</v>
      </c>
      <c r="O1578" s="71">
        <f>IFERROR(IF(VLOOKUP(A1578,[11]PRIORIZADOS!$A:$O,15,FALSE)="","",VLOOKUP(A1578,[11]PRIORIZADOS!$A:$O,15,FALSE)),"")</f>
        <v>45832</v>
      </c>
      <c r="P1578" s="11" t="str">
        <f>IFERROR(IF(VLOOKUP(A1578,[11]PRIORIZADOS!$A:$P,16,FALSE)="","",VLOOKUP(A1578,[11]PRIORIZADOS!$A:$P,16,FALSE)),"")</f>
        <v>Visitas de evaluación con fines de mejoramiento</v>
      </c>
      <c r="Q1578" s="5" t="s">
        <v>365</v>
      </c>
      <c r="R1578" s="11" t="str">
        <f>IFERROR(IF(VLOOKUP(A1578,[11]PRIORIZADOS!$A:$R,18,FALSE)="","",VLOOKUP(A1578,[11]PRIORIZADOS!$A:$R,18,FALSE)),"")</f>
        <v>La jornada académica del colegio es: Preescolar 853 horas. Primaria 1053 horas.
Bachillerato y Media 1320 horas. El colegio da cuplimiento a lo emanado en la ley.</v>
      </c>
      <c r="S1578" s="11" t="str">
        <f>IFERROR(IF(VLOOKUP(A1578,[11]PRIORIZADOS!$A:$S,19,FALSE)="","",VLOOKUP(A1578,[11]PRIORIZADOS!$A:$S,19,FALSE)),"")</f>
        <v>Dar cumplimiento a lo establecido en el calendario</v>
      </c>
      <c r="T1578" s="70" t="str">
        <f>IFERROR(IF(VLOOKUP(A1578,[11]PRIORIZADOS!$A:$T,20,FALSE)="","",VLOOKUP(A1578,[11]PRIORIZADOS!$A:$T,20,FALSE)),"")</f>
        <v>No</v>
      </c>
      <c r="U1578" s="11" t="str">
        <f>IFERROR(IF(VLOOKUP(A1578,[11]PRIORIZADOS!$A:$U,21,FALSE)="","",VLOOKUP(A1578,[11]PRIORIZADOS!$A:$U,21,FALSE)),"")</f>
        <v>Verificar en caso de presentarse una queja</v>
      </c>
    </row>
    <row r="1579" spans="1:21" s="1" customFormat="1" ht="48">
      <c r="A1579" s="69">
        <f>IF([11]PRIORIZADOS!A90="","",[11]PRIORIZADOS!A90)</f>
        <v>1545</v>
      </c>
      <c r="B1579" s="70">
        <v>9</v>
      </c>
      <c r="C1579" s="11" t="str">
        <f>IFERROR(IF(VLOOKUP(A1579,[11]PRIORIZADOS!$A:$C,3,FALSE)="","",VLOOKUP(A1579,[11]PRIORIZADOS!$A:$C,3,FALSE)),"")</f>
        <v>RAFAEL URIBE URIBE</v>
      </c>
      <c r="D1579" s="11" t="str">
        <f>IFERROR(IF(VLOOKUP(A1579,[11]PRIORIZADOS!$A:$D,4,FALSE)="","",VLOOKUP(A1579,[11]PRIORIZADOS!$A:$D,4,FALSE)),"")</f>
        <v>PRIVADO</v>
      </c>
      <c r="E1579" s="11" t="str">
        <f>IFERROR(IF(VLOOKUP(A1579,[11]PRIORIZADOS!$A:$E,5,FALSE)="","",VLOOKUP(A1579,[11]PRIORIZADOS!$A:$E,5,FALSE)),"")</f>
        <v>EPBM</v>
      </c>
      <c r="F1579" s="11" t="str">
        <f>IFERROR(IF(VLOOKUP(A1579,[11]PRIORIZADOS!$A:$F,6,FALSE)="","",VLOOKUP(A1579,[11]PRIORIZADOS!$A:$F,6,FALSE)),"")</f>
        <v>LICEO_MAYOR_DE_PALERMO</v>
      </c>
      <c r="G1579" s="11" t="str">
        <f>IFERROR(IF(VLOOKUP(A1579,[11]PRIORIZADOS!$A:$G,7,FALSE)="","",VLOOKUP(A1579,[11]PRIORIZADOS!$A:$G,7,FALSE)),"")</f>
        <v>LICEO_MAYOR_DE_PALERMO</v>
      </c>
      <c r="H1579" s="11" t="str">
        <f>IFERROR(IF(VLOOKUP(A1579,[11]PRIORIZADOS!$A:$H,8,FALSE)="","",VLOOKUP(A1579,[11]PRIORIZADOS!$A:$H,8,FALSE)),"")</f>
        <v>Autoevaluación Institucional y Pruebas SABER 11</v>
      </c>
      <c r="I1579" s="11" t="str">
        <f>IFERROR(IF(VLOOKUP(A1579,[11]PRIORIZADOS!$A:$I,9,FALSE)="","",VLOOKUP(A1579,[11]PRIORIZADOS!$A:$I,9,FALSE)),"")</f>
        <v>EVALUACIÓN_CON_FINES_DE_MEJORAMIENTO.</v>
      </c>
      <c r="J1579" s="11" t="str">
        <f>IFERROR(IF(VLOOKUP(A1579,[11]PRIORIZADOS!$A:$J,10,FALSE)="","",VLOOKUP(A1579,[11]PRIORIZADOS!$A:$J,10,FALSE)),"")</f>
        <v>Verificar el funcionamiento del Gobierno Escolar e instancias de participación con base en la información sobre conformación reportada por la institución educativa.</v>
      </c>
      <c r="K1579" s="11" t="str">
        <f>IFERROR(IF(VLOOKUP(A1579,[11]PRIORIZADOS!$A:$K,11,FALSE)="","",VLOOKUP(A1579,[11]PRIORIZADOS!$A:$K,11,FALSE)),"")</f>
        <v>DORY CONSTANZA SANCHEZ ARAGÓN</v>
      </c>
      <c r="L1579" s="11" t="str">
        <f>IFERROR(IF(VLOOKUP(A1579,[11]PRIORIZADOS!$A:$L,12,FALSE)="","",VLOOKUP(A1579,[11]PRIORIZADOS!$A:$L,12,FALSE)),"")</f>
        <v>BEPCI YADIRA MINA ZAPATA</v>
      </c>
      <c r="M1579" s="71">
        <f>IFERROR(IF(VLOOKUP(A1579,[11]PRIORIZADOS!$A:$M,13,FALSE)="","",VLOOKUP(A1579,[11]PRIORIZADOS!$A:$M,13,FALSE)),"")</f>
        <v>45805</v>
      </c>
      <c r="N1579" s="71">
        <f>IFERROR(IF(VLOOKUP(A1579,[11]PRIORIZADOS!$A:$N,14,FALSE)="","",VLOOKUP(A1579,[11]PRIORIZADOS!$A:$N,14,FALSE)),"")</f>
        <v>45825</v>
      </c>
      <c r="O1579" s="71">
        <f>IFERROR(IF(VLOOKUP(A1579,[11]PRIORIZADOS!$A:$O,15,FALSE)="","",VLOOKUP(A1579,[11]PRIORIZADOS!$A:$O,15,FALSE)),"")</f>
        <v>45832</v>
      </c>
      <c r="P1579" s="11" t="str">
        <f>IFERROR(IF(VLOOKUP(A1579,[11]PRIORIZADOS!$A:$P,16,FALSE)="","",VLOOKUP(A1579,[11]PRIORIZADOS!$A:$P,16,FALSE)),"")</f>
        <v>Visitas de evaluación con fines de mejoramiento</v>
      </c>
      <c r="Q1579" s="5" t="s">
        <v>365</v>
      </c>
      <c r="R1579" s="11" t="str">
        <f>IFERROR(IF(VLOOKUP(A1579,[11]PRIORIZADOS!$A:$R,18,FALSE)="","",VLOOKUP(A1579,[11]PRIORIZADOS!$A:$R,18,FALSE)),"")</f>
        <v>No se evidencian actas de funcionamiento de Gobierno Escolar</v>
      </c>
      <c r="S1579" s="11" t="str">
        <f>IFERROR(IF(VLOOKUP(A1579,[11]PRIORIZADOS!$A:$S,19,FALSE)="","",VLOOKUP(A1579,[11]PRIORIZADOS!$A:$S,19,FALSE)),"")</f>
        <v>Generar los espacios para el funcionamiento del gobierno escolar con sus respectivas actas. Presentar plan de mejoramiento el 11 de agosto de 2025</v>
      </c>
      <c r="T1579" s="70" t="str">
        <f>IFERROR(IF(VLOOKUP(A1579,[11]PRIORIZADOS!$A:$T,20,FALSE)="","",VLOOKUP(A1579,[11]PRIORIZADOS!$A:$T,20,FALSE)),"")</f>
        <v>Si</v>
      </c>
      <c r="U1579" s="11" t="str">
        <f>IFERROR(IF(VLOOKUP(A1579,[11]PRIORIZADOS!$A:$U,21,FALSE)="","",VLOOKUP(A1579,[11]PRIORIZADOS!$A:$U,21,FALSE)),"")</f>
        <v>Revisar PM y verificar que se ajuste a las observaciones realizadas.</v>
      </c>
    </row>
    <row r="1580" spans="1:21" s="1" customFormat="1" ht="48">
      <c r="A1580" s="69">
        <f>IF([11]PRIORIZADOS!A91="","",[11]PRIORIZADOS!A91)</f>
        <v>1546</v>
      </c>
      <c r="B1580" s="70">
        <v>9</v>
      </c>
      <c r="C1580" s="11" t="str">
        <f>IFERROR(IF(VLOOKUP(A1580,[11]PRIORIZADOS!$A:$C,3,FALSE)="","",VLOOKUP(A1580,[11]PRIORIZADOS!$A:$C,3,FALSE)),"")</f>
        <v>RAFAEL URIBE URIBE</v>
      </c>
      <c r="D1580" s="11" t="str">
        <f>IFERROR(IF(VLOOKUP(A1580,[11]PRIORIZADOS!$A:$D,4,FALSE)="","",VLOOKUP(A1580,[11]PRIORIZADOS!$A:$D,4,FALSE)),"")</f>
        <v>PRIVADO</v>
      </c>
      <c r="E1580" s="11" t="str">
        <f>IFERROR(IF(VLOOKUP(A1580,[11]PRIORIZADOS!$A:$E,5,FALSE)="","",VLOOKUP(A1580,[11]PRIORIZADOS!$A:$E,5,FALSE)),"")</f>
        <v>EPBM</v>
      </c>
      <c r="F1580" s="11" t="str">
        <f>IFERROR(IF(VLOOKUP(A1580,[11]PRIORIZADOS!$A:$F,6,FALSE)="","",VLOOKUP(A1580,[11]PRIORIZADOS!$A:$F,6,FALSE)),"")</f>
        <v>LICEO_MAYOR_DE_PALERMO</v>
      </c>
      <c r="G1580" s="11" t="str">
        <f>IFERROR(IF(VLOOKUP(A1580,[11]PRIORIZADOS!$A:$G,7,FALSE)="","",VLOOKUP(A1580,[11]PRIORIZADOS!$A:$G,7,FALSE)),"")</f>
        <v>LICEO_MAYOR_DE_PALERMO</v>
      </c>
      <c r="H1580" s="11" t="str">
        <f>IFERROR(IF(VLOOKUP(A1580,[11]PRIORIZADOS!$A:$H,8,FALSE)="","",VLOOKUP(A1580,[11]PRIORIZADOS!$A:$H,8,FALSE)),"")</f>
        <v>Autoevaluación Institucional y Pruebas SABER 11</v>
      </c>
      <c r="I1580" s="11" t="str">
        <f>IFERROR(IF(VLOOKUP(A1580,[11]PRIORIZADOS!$A:$I,9,FALSE)="","",VLOOKUP(A1580,[11]PRIORIZADOS!$A:$I,9,FALSE)),"")</f>
        <v>EVALUACIÓN_CON_FINES_DE_MEJORAMIENTO.</v>
      </c>
      <c r="J1580" s="11" t="str">
        <f>IFERROR(IF(VLOOKUP(A1580,[11]PRIORIZADOS!$A:$J,10,FALSE)="","",VLOOKUP(A1580,[11]PRIORIZADOS!$A:$J,10,FALSE)),"")</f>
        <v>Verificar las condiciones en cuanto a: la estructura administrativa, condiciones de la planta física y medios educativos adecuados.</v>
      </c>
      <c r="K1580" s="11" t="str">
        <f>IFERROR(IF(VLOOKUP(A1580,[11]PRIORIZADOS!$A:$K,11,FALSE)="","",VLOOKUP(A1580,[11]PRIORIZADOS!$A:$K,11,FALSE)),"")</f>
        <v>DORY CONSTANZA SANCHEZ ARAGÓN</v>
      </c>
      <c r="L1580" s="11" t="str">
        <f>IFERROR(IF(VLOOKUP(A1580,[11]PRIORIZADOS!$A:$L,12,FALSE)="","",VLOOKUP(A1580,[11]PRIORIZADOS!$A:$L,12,FALSE)),"")</f>
        <v>BEPCI YADIRA MINA ZAPATA</v>
      </c>
      <c r="M1580" s="71">
        <f>IFERROR(IF(VLOOKUP(A1580,[11]PRIORIZADOS!$A:$M,13,FALSE)="","",VLOOKUP(A1580,[11]PRIORIZADOS!$A:$M,13,FALSE)),"")</f>
        <v>45805</v>
      </c>
      <c r="N1580" s="71">
        <f>IFERROR(IF(VLOOKUP(A1580,[11]PRIORIZADOS!$A:$N,14,FALSE)="","",VLOOKUP(A1580,[11]PRIORIZADOS!$A:$N,14,FALSE)),"")</f>
        <v>45825</v>
      </c>
      <c r="O1580" s="71">
        <f>IFERROR(IF(VLOOKUP(A1580,[11]PRIORIZADOS!$A:$O,15,FALSE)="","",VLOOKUP(A1580,[11]PRIORIZADOS!$A:$O,15,FALSE)),"")</f>
        <v>45832</v>
      </c>
      <c r="P1580" s="11" t="str">
        <f>IFERROR(IF(VLOOKUP(A1580,[11]PRIORIZADOS!$A:$P,16,FALSE)="","",VLOOKUP(A1580,[11]PRIORIZADOS!$A:$P,16,FALSE)),"")</f>
        <v>Visitas de evaluación con fines de mejoramiento</v>
      </c>
      <c r="Q1580" s="5" t="s">
        <v>365</v>
      </c>
      <c r="R1580" s="11" t="str">
        <f>IFERROR(IF(VLOOKUP(A1580,[11]PRIORIZADOS!$A:$R,18,FALSE)="","",VLOOKUP(A1580,[11]PRIORIZADOS!$A:$R,18,FALSE)),"")</f>
        <v>Cuenta con 12 aulas de clase con espacio adecuado, buena iluminación, el espacio recreativo es un patio en piso 1 pero no es muy amplio</v>
      </c>
      <c r="S1580" s="11" t="str">
        <f>IFERROR(IF(VLOOKUP(A1580,[11]PRIORIZADOS!$A:$S,19,FALSE)="","",VLOOKUP(A1580,[11]PRIORIZADOS!$A:$S,19,FALSE)),"")</f>
        <v>Establecer estrategias para mejorar el area recreativa.  Presentar plan de mejoramiento 11 de agosto 2025</v>
      </c>
      <c r="T1580" s="70" t="str">
        <f>IFERROR(IF(VLOOKUP(A1580,[11]PRIORIZADOS!$A:$T,20,FALSE)="","",VLOOKUP(A1580,[11]PRIORIZADOS!$A:$T,20,FALSE)),"")</f>
        <v>Si</v>
      </c>
      <c r="U1580" s="11" t="str">
        <f>IFERROR(IF(VLOOKUP(A1580,[11]PRIORIZADOS!$A:$U,21,FALSE)="","",VLOOKUP(A1580,[11]PRIORIZADOS!$A:$U,21,FALSE)),"")</f>
        <v>Revisar PM y verificar que se ajuste a las observaciones realizadas.</v>
      </c>
    </row>
    <row r="1581" spans="1:21" s="1" customFormat="1" ht="72">
      <c r="A1581" s="69">
        <f>IF([11]PRIORIZADOS!A92="","",[11]PRIORIZADOS!A92)</f>
        <v>1547</v>
      </c>
      <c r="B1581" s="70">
        <f>IFERROR(IF(VLOOKUP(A1581,[11]PRIORIZADOS!$A:$B,2,FALSE)="","",VLOOKUP(A1581,[11]PRIORIZADOS!$A:$B,2,FALSE)),"")</f>
        <v>10</v>
      </c>
      <c r="C1581" s="11" t="str">
        <f>IFERROR(IF(VLOOKUP(A1581,[11]PRIORIZADOS!$A:$C,3,FALSE)="","",VLOOKUP(A1581,[11]PRIORIZADOS!$A:$C,3,FALSE)),"")</f>
        <v>RAFAEL URIBE URIBE</v>
      </c>
      <c r="D1581" s="11" t="str">
        <f>IFERROR(IF(VLOOKUP(A1581,[11]PRIORIZADOS!$A:$D,4,FALSE)="","",VLOOKUP(A1581,[11]PRIORIZADOS!$A:$D,4,FALSE)),"")</f>
        <v>PRIVADO</v>
      </c>
      <c r="E1581" s="11" t="str">
        <f>IFERROR(IF(VLOOKUP(A1581,[11]PRIORIZADOS!$A:$E,5,FALSE)="","",VLOOKUP(A1581,[11]PRIORIZADOS!$A:$E,5,FALSE)),"")</f>
        <v>EPBM</v>
      </c>
      <c r="F1581" s="11" t="str">
        <f>IFERROR(IF(VLOOKUP(A1581,[11]PRIORIZADOS!$A:$F,6,FALSE)="","",VLOOKUP(A1581,[11]PRIORIZADOS!$A:$F,6,FALSE)),"")</f>
        <v>LICEO_TECNICO_MICROEMPRESARIAL_FEYSER_GORDILLO_ROJAS</v>
      </c>
      <c r="G1581" s="11" t="str">
        <f>IFERROR(IF(VLOOKUP(A1581,[11]PRIORIZADOS!$A:$G,7,FALSE)="","",VLOOKUP(A1581,[11]PRIORIZADOS!$A:$G,7,FALSE)),"")</f>
        <v>LICEO_TECNICO_MICROEMPRESARIAL_FEYSER_GORDILLO_ROJAS</v>
      </c>
      <c r="H1581" s="11" t="str">
        <f>IFERROR(IF(VLOOKUP(A1581,[11]PRIORIZADOS!$A:$H,8,FALSE)="","",VLOOKUP(A1581,[11]PRIORIZADOS!$A:$H,8,FALSE)),"")</f>
        <v>Autoevaluación Institucional y Pruebas SABER 11</v>
      </c>
      <c r="I1581" s="11" t="str">
        <f>IFERROR(IF(VLOOKUP(A1581,[11]PRIORIZADOS!$A:$I,9,FALSE)="","",VLOOKUP(A1581,[11]PRIORIZADOS!$A:$I,9,FALSE)),"")</f>
        <v>SEGUIMIENTO_Y_SUPERVISIÓN.</v>
      </c>
      <c r="J1581" s="11" t="str">
        <f>IFERROR(IF(VLOOKUP(A1581,[11]PRIORIZADOS!$A:$J,10,FALSE)="","",VLOOKUP(A1581,[11]PRIORIZADOS!$A:$J,10,FALSE)),"")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581" s="11" t="str">
        <f>IFERROR(IF(VLOOKUP(A1581,[11]PRIORIZADOS!$A:$K,11,FALSE)="","",VLOOKUP(A1581,[11]PRIORIZADOS!$A:$K,11,FALSE)),"")</f>
        <v>DORY CONSTANZA SANCHEZ ARAGÓN</v>
      </c>
      <c r="L1581" s="11" t="str">
        <f>IFERROR(IF(VLOOKUP(A1581,[11]PRIORIZADOS!$A:$L,12,FALSE)="","",VLOOKUP(A1581,[11]PRIORIZADOS!$A:$L,12,FALSE)),"")</f>
        <v>BEPCI YADIRA MINA ZAPATA</v>
      </c>
      <c r="M1581" s="71">
        <f>IFERROR(IF(VLOOKUP(A1581,[11]PRIORIZADOS!$A:$M,13,FALSE)="","",VLOOKUP(A1581,[11]PRIORIZADOS!$A:$M,13,FALSE)),"")</f>
        <v>45811</v>
      </c>
      <c r="N1581" s="71">
        <f>IFERROR(IF(VLOOKUP(A1581,[11]PRIORIZADOS!$A:$N,14,FALSE)="","",VLOOKUP(A1581,[11]PRIORIZADOS!$A:$N,14,FALSE)),"")</f>
        <v>45814</v>
      </c>
      <c r="O1581" s="71">
        <f>IFERROR(IF(VLOOKUP(A1581,[11]PRIORIZADOS!$A:$O,15,FALSE)="","",VLOOKUP(A1581,[11]PRIORIZADOS!$A:$O,15,FALSE)),"")</f>
        <v>45819</v>
      </c>
      <c r="P1581" s="11" t="str">
        <f>IFERROR(IF(VLOOKUP(A1581,[11]PRIORIZADOS!$A:$P,16,FALSE)="","",VLOOKUP(A1581,[11]PRIORIZADOS!$A:$P,16,FALSE)),"")</f>
        <v>Visitas de evaluación con fines de mejoramiento</v>
      </c>
      <c r="Q1581" s="107" t="s">
        <v>366</v>
      </c>
      <c r="R1581" s="11" t="str">
        <f>IFERROR(IF(VLOOKUP(A1581,[11]PRIORIZADOS!$A:$R,18,FALSE)="","",VLOOKUP(A1581,[11]PRIORIZADOS!$A:$R,18,FALSE)),"")</f>
        <v>Se subio en el EVI el plan de mejoramiento por no pago de seguridad social, se encuentra que los docentes tienen contrato de prestación de servicios, informan que el valor de seguridad social lo asume la insttiución</v>
      </c>
      <c r="S1581" s="11" t="str">
        <f>IFERROR(IF(VLOOKUP(A1581,[11]PRIORIZADOS!$A:$S,19,FALSE)="","",VLOOKUP(A1581,[11]PRIORIZADOS!$A:$S,19,FALSE)),"")</f>
        <v>La contratación y el pago de seguridad social de los docentes debe ser por parte de la institución educativa. Presentar plan de mejoramiento 25 de julio 2025</v>
      </c>
      <c r="T1581" s="70" t="str">
        <f>IFERROR(IF(VLOOKUP(A1581,[11]PRIORIZADOS!$A:$T,20,FALSE)="","",VLOOKUP(A1581,[11]PRIORIZADOS!$A:$T,20,FALSE)),"")</f>
        <v>Si</v>
      </c>
      <c r="U1581" s="11" t="str">
        <f>IFERROR(IF(VLOOKUP(A1581,[11]PRIORIZADOS!$A:$U,21,FALSE)="","",VLOOKUP(A1581,[11]PRIORIZADOS!$A:$U,21,FALSE)),"")</f>
        <v>Revisar PM y verificar que se ajuste a las observaciones realizadas.</v>
      </c>
    </row>
    <row r="1582" spans="1:21" s="1" customFormat="1" ht="48">
      <c r="A1582" s="69">
        <f>IF([11]PRIORIZADOS!A93="","",[11]PRIORIZADOS!A93)</f>
        <v>1548</v>
      </c>
      <c r="B1582" s="70">
        <v>10</v>
      </c>
      <c r="C1582" s="11" t="str">
        <f>IFERROR(IF(VLOOKUP(A1582,[11]PRIORIZADOS!$A:$C,3,FALSE)="","",VLOOKUP(A1582,[11]PRIORIZADOS!$A:$C,3,FALSE)),"")</f>
        <v>RAFAEL URIBE URIBE</v>
      </c>
      <c r="D1582" s="11" t="str">
        <f>IFERROR(IF(VLOOKUP(A1582,[11]PRIORIZADOS!$A:$D,4,FALSE)="","",VLOOKUP(A1582,[11]PRIORIZADOS!$A:$D,4,FALSE)),"")</f>
        <v>PRIVADO</v>
      </c>
      <c r="E1582" s="11" t="str">
        <f>IFERROR(IF(VLOOKUP(A1582,[11]PRIORIZADOS!$A:$E,5,FALSE)="","",VLOOKUP(A1582,[11]PRIORIZADOS!$A:$E,5,FALSE)),"")</f>
        <v>EPBM</v>
      </c>
      <c r="F1582" s="11" t="str">
        <f>IFERROR(IF(VLOOKUP(A1582,[11]PRIORIZADOS!$A:$F,6,FALSE)="","",VLOOKUP(A1582,[11]PRIORIZADOS!$A:$F,6,FALSE)),"")</f>
        <v>LICEO_TECNICO_MICROEMPRESARIAL_FEYSER_GORDILLO_ROJAS</v>
      </c>
      <c r="G1582" s="11" t="str">
        <f>IFERROR(IF(VLOOKUP(A1582,[11]PRIORIZADOS!$A:$G,7,FALSE)="","",VLOOKUP(A1582,[11]PRIORIZADOS!$A:$G,7,FALSE)),"")</f>
        <v>LICEO_TECNICO_MICROEMPRESARIAL_FEYSER_GORDILLO_ROJAS</v>
      </c>
      <c r="H1582" s="11" t="str">
        <f>IFERROR(IF(VLOOKUP(A1582,[11]PRIORIZADOS!$A:$H,8,FALSE)="","",VLOOKUP(A1582,[11]PRIORIZADOS!$A:$H,8,FALSE)),"")</f>
        <v>Autoevaluación Institucional y Pruebas SABER 11</v>
      </c>
      <c r="I1582" s="11" t="str">
        <f>IFERROR(IF(VLOOKUP(A1582,[11]PRIORIZADOS!$A:$I,9,FALSE)="","",VLOOKUP(A1582,[11]PRIORIZADOS!$A:$I,9,FALSE)),"")</f>
        <v>SEGUIMIENTO_Y_SUPERVISIÓN.</v>
      </c>
      <c r="J1582" s="11" t="str">
        <f>IFERROR(IF(VLOOKUP(A1582,[11]PRIORIZADOS!$A:$J,10,FALSE)="","",VLOOKUP(A1582,[11]PRIORIZADOS!$A:$J,10,FALSE)),"")</f>
        <v>Realizar visitas para verificar la información registrada sobre la autoevaluación institucional en el aplicativo EVI, a los establecimientos de educación formal no oficial.</v>
      </c>
      <c r="K1582" s="11" t="str">
        <f>IFERROR(IF(VLOOKUP(A1582,[11]PRIORIZADOS!$A:$K,11,FALSE)="","",VLOOKUP(A1582,[11]PRIORIZADOS!$A:$K,11,FALSE)),"")</f>
        <v>DORY CONSTANZA SANCHEZ ARAGÓN</v>
      </c>
      <c r="L1582" s="11" t="str">
        <f>IFERROR(IF(VLOOKUP(A1582,[11]PRIORIZADOS!$A:$L,12,FALSE)="","",VLOOKUP(A1582,[11]PRIORIZADOS!$A:$L,12,FALSE)),"")</f>
        <v>BEPCI YADIRA MINA ZAPATA</v>
      </c>
      <c r="M1582" s="71">
        <f>IFERROR(IF(VLOOKUP(A1582,[11]PRIORIZADOS!$A:$M,13,FALSE)="","",VLOOKUP(A1582,[11]PRIORIZADOS!$A:$M,13,FALSE)),"")</f>
        <v>45811</v>
      </c>
      <c r="N1582" s="71">
        <f>IFERROR(IF(VLOOKUP(A1582,[11]PRIORIZADOS!$A:$N,14,FALSE)="","",VLOOKUP(A1582,[11]PRIORIZADOS!$A:$N,14,FALSE)),"")</f>
        <v>45814</v>
      </c>
      <c r="O1582" s="71">
        <f>IFERROR(IF(VLOOKUP(A1582,[11]PRIORIZADOS!$A:$O,15,FALSE)="","",VLOOKUP(A1582,[11]PRIORIZADOS!$A:$O,15,FALSE)),"")</f>
        <v>45819</v>
      </c>
      <c r="P1582" s="11" t="str">
        <f>IFERROR(IF(VLOOKUP(A1582,[11]PRIORIZADOS!$A:$P,16,FALSE)="","",VLOOKUP(A1582,[11]PRIORIZADOS!$A:$P,16,FALSE)),"")</f>
        <v>Visitas de evaluación con fines de mejoramiento</v>
      </c>
      <c r="Q1582" s="107" t="s">
        <v>366</v>
      </c>
      <c r="R1582" s="11" t="str">
        <f>IFERROR(IF(VLOOKUP(A1582,[11]PRIORIZADOS!$A:$R,18,FALSE)="","",VLOOKUP(A1582,[11]PRIORIZADOS!$A:$R,18,FALSE)),"")</f>
        <v>No se evidencia 1 aula, sala de sistemas, sala de profesoresm enfermeria, sala audiovisuales, aula especializada, reportados en EVI.</v>
      </c>
      <c r="S1582" s="11" t="str">
        <f>IFERROR(IF(VLOOKUP(A1582,[11]PRIORIZADOS!$A:$S,19,FALSE)="","",VLOOKUP(A1582,[11]PRIORIZADOS!$A:$S,19,FALSE)),"")</f>
        <v>Establecer estrategias para los espacios que hacen falta.  Presentar plan de mejoramiento 25 de julio 2025</v>
      </c>
      <c r="T1582" s="70" t="str">
        <f>IFERROR(IF(VLOOKUP(A1582,[11]PRIORIZADOS!$A:$T,20,FALSE)="","",VLOOKUP(A1582,[11]PRIORIZADOS!$A:$T,20,FALSE)),"")</f>
        <v>Si</v>
      </c>
      <c r="U1582" s="11" t="str">
        <f>IFERROR(IF(VLOOKUP(A1582,[11]PRIORIZADOS!$A:$U,21,FALSE)="","",VLOOKUP(A1582,[11]PRIORIZADOS!$A:$U,21,FALSE)),"")</f>
        <v>Revisar PM y verificar que se ajuste a las observaciones realizadas.</v>
      </c>
    </row>
    <row r="1583" spans="1:21" s="1" customFormat="1" ht="84">
      <c r="A1583" s="69">
        <f>IF([11]PRIORIZADOS!A94="","",[11]PRIORIZADOS!A94)</f>
        <v>1549</v>
      </c>
      <c r="B1583" s="70">
        <v>10</v>
      </c>
      <c r="C1583" s="11" t="str">
        <f>IFERROR(IF(VLOOKUP(A1583,[11]PRIORIZADOS!$A:$C,3,FALSE)="","",VLOOKUP(A1583,[11]PRIORIZADOS!$A:$C,3,FALSE)),"")</f>
        <v>RAFAEL URIBE URIBE</v>
      </c>
      <c r="D1583" s="11" t="str">
        <f>IFERROR(IF(VLOOKUP(A1583,[11]PRIORIZADOS!$A:$D,4,FALSE)="","",VLOOKUP(A1583,[11]PRIORIZADOS!$A:$D,4,FALSE)),"")</f>
        <v>PRIVADO</v>
      </c>
      <c r="E1583" s="11" t="str">
        <f>IFERROR(IF(VLOOKUP(A1583,[11]PRIORIZADOS!$A:$E,5,FALSE)="","",VLOOKUP(A1583,[11]PRIORIZADOS!$A:$E,5,FALSE)),"")</f>
        <v>EPBM</v>
      </c>
      <c r="F1583" s="11" t="str">
        <f>IFERROR(IF(VLOOKUP(A1583,[11]PRIORIZADOS!$A:$F,6,FALSE)="","",VLOOKUP(A1583,[11]PRIORIZADOS!$A:$F,6,FALSE)),"")</f>
        <v>LICEO_TECNICO_MICROEMPRESARIAL_FEYSER_GORDILLO_ROJAS</v>
      </c>
      <c r="G1583" s="11" t="str">
        <f>IFERROR(IF(VLOOKUP(A1583,[11]PRIORIZADOS!$A:$G,7,FALSE)="","",VLOOKUP(A1583,[11]PRIORIZADOS!$A:$G,7,FALSE)),"")</f>
        <v>LICEO_TECNICO_MICROEMPRESARIAL_FEYSER_GORDILLO_ROJAS</v>
      </c>
      <c r="H1583" s="11" t="str">
        <f>IFERROR(IF(VLOOKUP(A1583,[11]PRIORIZADOS!$A:$H,8,FALSE)="","",VLOOKUP(A1583,[11]PRIORIZADOS!$A:$H,8,FALSE)),"")</f>
        <v>Autoevaluación Institucional y Pruebas SABER 11</v>
      </c>
      <c r="I1583" s="11" t="str">
        <f>IFERROR(IF(VLOOKUP(A1583,[11]PRIORIZADOS!$A:$I,9,FALSE)="","",VLOOKUP(A1583,[11]PRIORIZADOS!$A:$I,9,FALSE)),"")</f>
        <v>SEGUIMIENTO_Y_SUPERVISIÓN.</v>
      </c>
      <c r="J1583" s="11" t="str">
        <f>IFERROR(IF(VLOOKUP(A1583,[11]PRIORIZADOS!$A:$J,10,FALSE)="","",VLOOKUP(A1583,[11]PRIORIZADOS!$A:$J,10,FALSE)),"")</f>
        <v>Proponer estrategias en la formulación, verificar su elaboración y realizar seguimiento semestral al desarrollo de  las acciones establecidas en los planes de mejoramiento por pruebas SABER 11 de los establecimientos de educación formal.</v>
      </c>
      <c r="K1583" s="11" t="str">
        <f>IFERROR(IF(VLOOKUP(A1583,[11]PRIORIZADOS!$A:$K,11,FALSE)="","",VLOOKUP(A1583,[11]PRIORIZADOS!$A:$K,11,FALSE)),"")</f>
        <v>DORY CONSTANZA SANCHEZ ARAGÓN</v>
      </c>
      <c r="L1583" s="11" t="str">
        <f>IFERROR(IF(VLOOKUP(A1583,[11]PRIORIZADOS!$A:$L,12,FALSE)="","",VLOOKUP(A1583,[11]PRIORIZADOS!$A:$L,12,FALSE)),"")</f>
        <v>BEPCI YADIRA MINA ZAPATA</v>
      </c>
      <c r="M1583" s="71">
        <f>IFERROR(IF(VLOOKUP(A1583,[11]PRIORIZADOS!$A:$M,13,FALSE)="","",VLOOKUP(A1583,[11]PRIORIZADOS!$A:$M,13,FALSE)),"")</f>
        <v>45811</v>
      </c>
      <c r="N1583" s="71">
        <f>IFERROR(IF(VLOOKUP(A1583,[11]PRIORIZADOS!$A:$N,14,FALSE)="","",VLOOKUP(A1583,[11]PRIORIZADOS!$A:$N,14,FALSE)),"")</f>
        <v>45814</v>
      </c>
      <c r="O1583" s="71">
        <f>IFERROR(IF(VLOOKUP(A1583,[11]PRIORIZADOS!$A:$O,15,FALSE)="","",VLOOKUP(A1583,[11]PRIORIZADOS!$A:$O,15,FALSE)),"")</f>
        <v>45819</v>
      </c>
      <c r="P1583" s="11" t="str">
        <f>IFERROR(IF(VLOOKUP(A1583,[11]PRIORIZADOS!$A:$P,16,FALSE)="","",VLOOKUP(A1583,[11]PRIORIZADOS!$A:$P,16,FALSE)),"")</f>
        <v>Visitas de evaluación con fines de mejoramiento</v>
      </c>
      <c r="Q1583" s="107" t="s">
        <v>366</v>
      </c>
      <c r="R1583" s="11" t="str">
        <f>IFERROR(IF(VLOOKUP(A1583,[11]PRIORIZADOS!$A:$R,18,FALSE)="","",VLOOKUP(A1583,[11]PRIORIZADOS!$A:$R,18,FALSE)),"")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83" s="11" t="str">
        <f>IFERROR(IF(VLOOKUP(A1583,[11]PRIORIZADOS!$A:$S,19,FALSE)="","",VLOOKUP(A1583,[11]PRIORIZADOS!$A:$S,19,FALSE)),"")</f>
        <v>Realizar analisis de las Pruebas Saber y establecer acciones pertinentes. Presentar plan de mejoramiento el 25 de julio de 2025</v>
      </c>
      <c r="T1583" s="70" t="str">
        <f>IFERROR(IF(VLOOKUP(A1583,[11]PRIORIZADOS!$A:$T,20,FALSE)="","",VLOOKUP(A1583,[11]PRIORIZADOS!$A:$T,20,FALSE)),"")</f>
        <v>Si</v>
      </c>
      <c r="U1583" s="11" t="str">
        <f>IFERROR(IF(VLOOKUP(A1583,[11]PRIORIZADOS!$A:$U,21,FALSE)="","",VLOOKUP(A1583,[11]PRIORIZADOS!$A:$U,21,FALSE)),"")</f>
        <v>Revisar PM y verificar que se ajuste a las observaciones realizadas.</v>
      </c>
    </row>
    <row r="1584" spans="1:21" s="1" customFormat="1" ht="60">
      <c r="A1584" s="69">
        <f>IF([11]PRIORIZADOS!A95="","",[11]PRIORIZADOS!A95)</f>
        <v>1550</v>
      </c>
      <c r="B1584" s="70">
        <v>10</v>
      </c>
      <c r="C1584" s="11" t="str">
        <f>IFERROR(IF(VLOOKUP(A1584,[11]PRIORIZADOS!$A:$C,3,FALSE)="","",VLOOKUP(A1584,[11]PRIORIZADOS!$A:$C,3,FALSE)),"")</f>
        <v>RAFAEL URIBE URIBE</v>
      </c>
      <c r="D1584" s="11" t="str">
        <f>IFERROR(IF(VLOOKUP(A1584,[11]PRIORIZADOS!$A:$D,4,FALSE)="","",VLOOKUP(A1584,[11]PRIORIZADOS!$A:$D,4,FALSE)),"")</f>
        <v>PRIVADO</v>
      </c>
      <c r="E1584" s="11" t="str">
        <f>IFERROR(IF(VLOOKUP(A1584,[11]PRIORIZADOS!$A:$E,5,FALSE)="","",VLOOKUP(A1584,[11]PRIORIZADOS!$A:$E,5,FALSE)),"")</f>
        <v>EPBM</v>
      </c>
      <c r="F1584" s="11" t="str">
        <f>IFERROR(IF(VLOOKUP(A1584,[11]PRIORIZADOS!$A:$F,6,FALSE)="","",VLOOKUP(A1584,[11]PRIORIZADOS!$A:$F,6,FALSE)),"")</f>
        <v>LICEO_TECNICO_MICROEMPRESARIAL_FEYSER_GORDILLO_ROJAS</v>
      </c>
      <c r="G1584" s="11" t="str">
        <f>IFERROR(IF(VLOOKUP(A1584,[11]PRIORIZADOS!$A:$G,7,FALSE)="","",VLOOKUP(A1584,[11]PRIORIZADOS!$A:$G,7,FALSE)),"")</f>
        <v>LICEO_TECNICO_MICROEMPRESARIAL_FEYSER_GORDILLO_ROJAS</v>
      </c>
      <c r="H1584" s="11" t="str">
        <f>IFERROR(IF(VLOOKUP(A1584,[11]PRIORIZADOS!$A:$H,8,FALSE)="","",VLOOKUP(A1584,[11]PRIORIZADOS!$A:$H,8,FALSE)),"")</f>
        <v>Autoevaluación Institucional y Pruebas SABER 11</v>
      </c>
      <c r="I1584" s="11" t="str">
        <f>IFERROR(IF(VLOOKUP(A1584,[11]PRIORIZADOS!$A:$I,9,FALSE)="","",VLOOKUP(A1584,[11]PRIORIZADOS!$A:$I,9,FALSE)),"")</f>
        <v>SEGUIMIENTO_Y_SUPERVISIÓN.</v>
      </c>
      <c r="J1584" s="11" t="str">
        <f>IFERROR(IF(VLOOKUP(A1584,[11]PRIORIZADOS!$A:$J,10,FALSE)="","",VLOOKUP(A1584,[11]PRIORIZADOS!$A:$J,10,FALSE)),"")</f>
        <v xml:space="preserve">Verificar la implementación por parte de los colegios, de acciones realizadas para la prevención y atención de las situaciones de convivencia en el entorno escolar, según lo establecido en la Directiva 01 de 2022 del MEN. </v>
      </c>
      <c r="K1584" s="11" t="str">
        <f>IFERROR(IF(VLOOKUP(A1584,[11]PRIORIZADOS!$A:$K,11,FALSE)="","",VLOOKUP(A1584,[11]PRIORIZADOS!$A:$K,11,FALSE)),"")</f>
        <v>DORY CONSTANZA SANCHEZ ARAGÓN</v>
      </c>
      <c r="L1584" s="11" t="str">
        <f>IFERROR(IF(VLOOKUP(A1584,[11]PRIORIZADOS!$A:$L,12,FALSE)="","",VLOOKUP(A1584,[11]PRIORIZADOS!$A:$L,12,FALSE)),"")</f>
        <v>BEPCI YADIRA MINA ZAPATA</v>
      </c>
      <c r="M1584" s="71">
        <f>IFERROR(IF(VLOOKUP(A1584,[11]PRIORIZADOS!$A:$M,13,FALSE)="","",VLOOKUP(A1584,[11]PRIORIZADOS!$A:$M,13,FALSE)),"")</f>
        <v>45811</v>
      </c>
      <c r="N1584" s="71">
        <f>IFERROR(IF(VLOOKUP(A1584,[11]PRIORIZADOS!$A:$N,14,FALSE)="","",VLOOKUP(A1584,[11]PRIORIZADOS!$A:$N,14,FALSE)),"")</f>
        <v>45814</v>
      </c>
      <c r="O1584" s="71">
        <f>IFERROR(IF(VLOOKUP(A1584,[11]PRIORIZADOS!$A:$O,15,FALSE)="","",VLOOKUP(A1584,[11]PRIORIZADOS!$A:$O,15,FALSE)),"")</f>
        <v>45819</v>
      </c>
      <c r="P1584" s="11" t="str">
        <f>IFERROR(IF(VLOOKUP(A1584,[11]PRIORIZADOS!$A:$P,16,FALSE)="","",VLOOKUP(A1584,[11]PRIORIZADOS!$A:$P,16,FALSE)),"")</f>
        <v>Visitas de evaluación con fines de mejoramiento</v>
      </c>
      <c r="Q1584" s="107" t="s">
        <v>366</v>
      </c>
      <c r="R1584" s="11" t="str">
        <f>IFERROR(IF(VLOOKUP(A1584,[11]PRIORIZADOS!$A:$R,18,FALSE)="","",VLOOKUP(A1584,[11]PRIORIZADOS!$A:$R,18,FALSE)),"")</f>
        <v>La institución no cuentan con actas donde se evidencie el funcionamiento del comité de convivencia escolar.
No cuenta con verificacion de inhabilidadades por delitos sexuales</v>
      </c>
      <c r="S1584" s="11" t="str">
        <f>IFERROR(IF(VLOOKUP(A1584,[11]PRIORIZADOS!$A:$S,19,FALSE)="","",VLOOKUP(A1584,[11]PRIORIZADOS!$A:$S,19,FALSE)),"")</f>
        <v>El comite cde convivencia se debe reunir cada 2 meses.
Se debe realizar verificación de antecedente cada 4 meses. Presentar plan de mejoramiento el 25 de julio de 2025</v>
      </c>
      <c r="T1584" s="70" t="str">
        <f>IFERROR(IF(VLOOKUP(A1584,[11]PRIORIZADOS!$A:$T,20,FALSE)="","",VLOOKUP(A1584,[11]PRIORIZADOS!$A:$T,20,FALSE)),"")</f>
        <v>Si</v>
      </c>
      <c r="U1584" s="11" t="str">
        <f>IFERROR(IF(VLOOKUP(A1584,[11]PRIORIZADOS!$A:$U,21,FALSE)="","",VLOOKUP(A1584,[11]PRIORIZADOS!$A:$U,21,FALSE)),"")</f>
        <v>Revisar PM y verificar que se ajuste a las observaciones realizadas.</v>
      </c>
    </row>
    <row r="1585" spans="1:21" s="1" customFormat="1" ht="84">
      <c r="A1585" s="69">
        <f>IF([11]PRIORIZADOS!A96="","",[11]PRIORIZADOS!A96)</f>
        <v>1551</v>
      </c>
      <c r="B1585" s="70">
        <v>10</v>
      </c>
      <c r="C1585" s="11" t="str">
        <f>IFERROR(IF(VLOOKUP(A1585,[11]PRIORIZADOS!$A:$C,3,FALSE)="","",VLOOKUP(A1585,[11]PRIORIZADOS!$A:$C,3,FALSE)),"")</f>
        <v>RAFAEL URIBE URIBE</v>
      </c>
      <c r="D1585" s="11" t="str">
        <f>IFERROR(IF(VLOOKUP(A1585,[11]PRIORIZADOS!$A:$D,4,FALSE)="","",VLOOKUP(A1585,[11]PRIORIZADOS!$A:$D,4,FALSE)),"")</f>
        <v>PRIVADO</v>
      </c>
      <c r="E1585" s="11" t="str">
        <f>IFERROR(IF(VLOOKUP(A1585,[11]PRIORIZADOS!$A:$E,5,FALSE)="","",VLOOKUP(A1585,[11]PRIORIZADOS!$A:$E,5,FALSE)),"")</f>
        <v>EPBM</v>
      </c>
      <c r="F1585" s="11" t="str">
        <f>IFERROR(IF(VLOOKUP(A1585,[11]PRIORIZADOS!$A:$F,6,FALSE)="","",VLOOKUP(A1585,[11]PRIORIZADOS!$A:$F,6,FALSE)),"")</f>
        <v>LICEO_TECNICO_MICROEMPRESARIAL_FEYSER_GORDILLO_ROJAS</v>
      </c>
      <c r="G1585" s="11" t="str">
        <f>IFERROR(IF(VLOOKUP(A1585,[11]PRIORIZADOS!$A:$G,7,FALSE)="","",VLOOKUP(A1585,[11]PRIORIZADOS!$A:$G,7,FALSE)),"")</f>
        <v>LICEO_TECNICO_MICROEMPRESARIAL_FEYSER_GORDILLO_ROJAS</v>
      </c>
      <c r="H1585" s="11" t="str">
        <f>IFERROR(IF(VLOOKUP(A1585,[11]PRIORIZADOS!$A:$H,8,FALSE)="","",VLOOKUP(A1585,[11]PRIORIZADOS!$A:$H,8,FALSE)),"")</f>
        <v>Autoevaluación Institucional y Pruebas SABER 11</v>
      </c>
      <c r="I1585" s="11" t="str">
        <f>IFERROR(IF(VLOOKUP(A1585,[11]PRIORIZADOS!$A:$I,9,FALSE)="","",VLOOKUP(A1585,[11]PRIORIZADOS!$A:$I,9,FALSE)),"")</f>
        <v>SEGUIMIENTO_Y_SUPERVISIÓN.</v>
      </c>
      <c r="J1585" s="11" t="str">
        <f>IFERROR(IF(VLOOKUP(A1585,[11]PRIORIZADOS!$A:$J,10,FALSE)="","",VLOOKUP(A1585,[11]PRIORIZADOS!$A:$J,10,FALSE)),"")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85" s="11" t="str">
        <f>IFERROR(IF(VLOOKUP(A1585,[11]PRIORIZADOS!$A:$K,11,FALSE)="","",VLOOKUP(A1585,[11]PRIORIZADOS!$A:$K,11,FALSE)),"")</f>
        <v>DORY CONSTANZA SANCHEZ ARAGÓN</v>
      </c>
      <c r="L1585" s="11" t="str">
        <f>IFERROR(IF(VLOOKUP(A1585,[11]PRIORIZADOS!$A:$L,12,FALSE)="","",VLOOKUP(A1585,[11]PRIORIZADOS!$A:$L,12,FALSE)),"")</f>
        <v>BEPCI YADIRA MINA ZAPATA</v>
      </c>
      <c r="M1585" s="71">
        <f>IFERROR(IF(VLOOKUP(A1585,[11]PRIORIZADOS!$A:$M,13,FALSE)="","",VLOOKUP(A1585,[11]PRIORIZADOS!$A:$M,13,FALSE)),"")</f>
        <v>45811</v>
      </c>
      <c r="N1585" s="71">
        <f>IFERROR(IF(VLOOKUP(A1585,[11]PRIORIZADOS!$A:$N,14,FALSE)="","",VLOOKUP(A1585,[11]PRIORIZADOS!$A:$N,14,FALSE)),"")</f>
        <v>45814</v>
      </c>
      <c r="O1585" s="71">
        <f>IFERROR(IF(VLOOKUP(A1585,[11]PRIORIZADOS!$A:$O,15,FALSE)="","",VLOOKUP(A1585,[11]PRIORIZADOS!$A:$O,15,FALSE)),"")</f>
        <v>45819</v>
      </c>
      <c r="P1585" s="11" t="str">
        <f>IFERROR(IF(VLOOKUP(A1585,[11]PRIORIZADOS!$A:$P,16,FALSE)="","",VLOOKUP(A1585,[11]PRIORIZADOS!$A:$P,16,FALSE)),"")</f>
        <v>Visitas de evaluación con fines de mejoramiento</v>
      </c>
      <c r="Q1585" s="107" t="s">
        <v>366</v>
      </c>
      <c r="R1585" s="11" t="str">
        <f>IFERROR(IF(VLOOKUP(A1585,[11]PRIORIZADOS!$A:$R,18,FALSE)="","",VLOOKUP(A1585,[11]PRIORIZADOS!$A:$R,18,FALSE)),"")</f>
        <v>El colegio en SIMAT registra 3 estudiantes con discapacidad,  informan que solo tienen un diagnostico. El PIAR está diligenciado por el Coordinador Académico y no por Orientación, hay informción inconsistente que deben revisar y actualizar.</v>
      </c>
      <c r="S1585" s="11" t="str">
        <f>IFERROR(IF(VLOOKUP(A1585,[11]PRIORIZADOS!$A:$S,19,FALSE)="","",VLOOKUP(A1585,[11]PRIORIZADOS!$A:$S,19,FALSE)),"")</f>
        <v>Revisar con las familias y según los casos actualizar SIMAT. Actualizar el PIAR. Presentar plan de mejoramiento el 25 de julio de 2025</v>
      </c>
      <c r="T1585" s="70" t="str">
        <f>IFERROR(IF(VLOOKUP(A1585,[11]PRIORIZADOS!$A:$T,20,FALSE)="","",VLOOKUP(A1585,[11]PRIORIZADOS!$A:$T,20,FALSE)),"")</f>
        <v>Si</v>
      </c>
      <c r="U1585" s="11" t="str">
        <f>IFERROR(IF(VLOOKUP(A1585,[11]PRIORIZADOS!$A:$U,21,FALSE)="","",VLOOKUP(A1585,[11]PRIORIZADOS!$A:$U,21,FALSE)),"")</f>
        <v>Revisar PM y verificar que se ajuste a las observaciones realizadas.</v>
      </c>
    </row>
    <row r="1586" spans="1:21" s="1" customFormat="1" ht="84">
      <c r="A1586" s="69">
        <f>IF([11]PRIORIZADOS!A97="","",[11]PRIORIZADOS!A97)</f>
        <v>1552</v>
      </c>
      <c r="B1586" s="70">
        <v>10</v>
      </c>
      <c r="C1586" s="11" t="str">
        <f>IFERROR(IF(VLOOKUP(A1586,[11]PRIORIZADOS!$A:$C,3,FALSE)="","",VLOOKUP(A1586,[11]PRIORIZADOS!$A:$C,3,FALSE)),"")</f>
        <v>RAFAEL URIBE URIBE</v>
      </c>
      <c r="D1586" s="11" t="str">
        <f>IFERROR(IF(VLOOKUP(A1586,[11]PRIORIZADOS!$A:$D,4,FALSE)="","",VLOOKUP(A1586,[11]PRIORIZADOS!$A:$D,4,FALSE)),"")</f>
        <v>PRIVADO</v>
      </c>
      <c r="E1586" s="11" t="str">
        <f>IFERROR(IF(VLOOKUP(A1586,[11]PRIORIZADOS!$A:$E,5,FALSE)="","",VLOOKUP(A1586,[11]PRIORIZADOS!$A:$E,5,FALSE)),"")</f>
        <v>EPBM</v>
      </c>
      <c r="F1586" s="11" t="str">
        <f>IFERROR(IF(VLOOKUP(A1586,[11]PRIORIZADOS!$A:$F,6,FALSE)="","",VLOOKUP(A1586,[11]PRIORIZADOS!$A:$F,6,FALSE)),"")</f>
        <v>LICEO_TECNICO_MICROEMPRESARIAL_FEYSER_GORDILLO_ROJAS</v>
      </c>
      <c r="G1586" s="11" t="str">
        <f>IFERROR(IF(VLOOKUP(A1586,[11]PRIORIZADOS!$A:$G,7,FALSE)="","",VLOOKUP(A1586,[11]PRIORIZADOS!$A:$G,7,FALSE)),"")</f>
        <v>LICEO_TECNICO_MICROEMPRESARIAL_FEYSER_GORDILLO_ROJAS</v>
      </c>
      <c r="H1586" s="11" t="str">
        <f>IFERROR(IF(VLOOKUP(A1586,[11]PRIORIZADOS!$A:$H,8,FALSE)="","",VLOOKUP(A1586,[11]PRIORIZADOS!$A:$H,8,FALSE)),"")</f>
        <v>Autoevaluación Institucional y Pruebas SABER 11</v>
      </c>
      <c r="I1586" s="11" t="str">
        <f>IFERROR(IF(VLOOKUP(A1586,[11]PRIORIZADOS!$A:$I,9,FALSE)="","",VLOOKUP(A1586,[11]PRIORIZADOS!$A:$I,9,FALSE)),"")</f>
        <v>EVALUACIÓN_CON_FINES_DE_MEJORAMIENTO.</v>
      </c>
      <c r="J1586" s="11" t="str">
        <f>IFERROR(IF(VLOOKUP(A1586,[11]PRIORIZADOS!$A:$J,10,FALSE)="","",VLOOKUP(A1586,[11]PRIORIZADOS!$A:$J,10,FALSE)),"")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86" s="11" t="str">
        <f>IFERROR(IF(VLOOKUP(A1586,[11]PRIORIZADOS!$A:$K,11,FALSE)="","",VLOOKUP(A1586,[11]PRIORIZADOS!$A:$K,11,FALSE)),"")</f>
        <v>DORY CONSTANZA SANCHEZ ARAGÓN</v>
      </c>
      <c r="L1586" s="11" t="str">
        <f>IFERROR(IF(VLOOKUP(A1586,[11]PRIORIZADOS!$A:$L,12,FALSE)="","",VLOOKUP(A1586,[11]PRIORIZADOS!$A:$L,12,FALSE)),"")</f>
        <v>BEPCI YADIRA MINA ZAPATA</v>
      </c>
      <c r="M1586" s="71">
        <f>IFERROR(IF(VLOOKUP(A1586,[11]PRIORIZADOS!$A:$M,13,FALSE)="","",VLOOKUP(A1586,[11]PRIORIZADOS!$A:$M,13,FALSE)),"")</f>
        <v>45811</v>
      </c>
      <c r="N1586" s="71">
        <f>IFERROR(IF(VLOOKUP(A1586,[11]PRIORIZADOS!$A:$N,14,FALSE)="","",VLOOKUP(A1586,[11]PRIORIZADOS!$A:$N,14,FALSE)),"")</f>
        <v>45814</v>
      </c>
      <c r="O1586" s="71">
        <f>IFERROR(IF(VLOOKUP(A1586,[11]PRIORIZADOS!$A:$O,15,FALSE)="","",VLOOKUP(A1586,[11]PRIORIZADOS!$A:$O,15,FALSE)),"")</f>
        <v>45819</v>
      </c>
      <c r="P1586" s="11" t="str">
        <f>IFERROR(IF(VLOOKUP(A1586,[11]PRIORIZADOS!$A:$P,16,FALSE)="","",VLOOKUP(A1586,[11]PRIORIZADOS!$A:$P,16,FALSE)),"")</f>
        <v>Visitas de evaluación con fines de mejoramiento</v>
      </c>
      <c r="Q1586" s="107" t="s">
        <v>366</v>
      </c>
      <c r="R1586" s="11" t="str">
        <f>IFERROR(IF(VLOOKUP(A1586,[11]PRIORIZADOS!$A:$R,18,FALSE)="","",VLOOKUP(A1586,[11]PRIORIZADOS!$A:$R,18,FALSE)),"")</f>
        <v>No se evidencia aprobación del manual de convivencia, ya que no cuenta con actas de gobierno escolar.
No se encuentra actualizado y cumpliendo con la normatividad vigente</v>
      </c>
      <c r="S1586" s="11" t="str">
        <f>IFERROR(IF(VLOOKUP(A1586,[11]PRIORIZADOS!$A:$S,19,FALSE)="","",VLOOKUP(A1586,[11]PRIORIZADOS!$A:$S,19,FALSE)),"")</f>
        <v>La institución debe actualizar el manual de convivencia con participación del gobierno escolar. Presentar plan de mejoramiento el 25 de julio de 2025</v>
      </c>
      <c r="T1586" s="70" t="str">
        <f>IFERROR(IF(VLOOKUP(A1586,[11]PRIORIZADOS!$A:$T,20,FALSE)="","",VLOOKUP(A1586,[11]PRIORIZADOS!$A:$T,20,FALSE)),"")</f>
        <v>Si</v>
      </c>
      <c r="U1586" s="11" t="str">
        <f>IFERROR(IF(VLOOKUP(A1586,[11]PRIORIZADOS!$A:$U,21,FALSE)="","",VLOOKUP(A1586,[11]PRIORIZADOS!$A:$U,21,FALSE)),"")</f>
        <v>Revisar PM y verificar que se ajuste a las observaciones realizadas.</v>
      </c>
    </row>
    <row r="1587" spans="1:21" s="1" customFormat="1" ht="60">
      <c r="A1587" s="69">
        <f>IF([11]PRIORIZADOS!A98="","",[11]PRIORIZADOS!A98)</f>
        <v>1553</v>
      </c>
      <c r="B1587" s="70">
        <v>10</v>
      </c>
      <c r="C1587" s="11" t="str">
        <f>IFERROR(IF(VLOOKUP(A1587,[11]PRIORIZADOS!$A:$C,3,FALSE)="","",VLOOKUP(A1587,[11]PRIORIZADOS!$A:$C,3,FALSE)),"")</f>
        <v>RAFAEL URIBE URIBE</v>
      </c>
      <c r="D1587" s="11" t="str">
        <f>IFERROR(IF(VLOOKUP(A1587,[11]PRIORIZADOS!$A:$D,4,FALSE)="","",VLOOKUP(A1587,[11]PRIORIZADOS!$A:$D,4,FALSE)),"")</f>
        <v>PRIVADO</v>
      </c>
      <c r="E1587" s="11" t="str">
        <f>IFERROR(IF(VLOOKUP(A1587,[11]PRIORIZADOS!$A:$E,5,FALSE)="","",VLOOKUP(A1587,[11]PRIORIZADOS!$A:$E,5,FALSE)),"")</f>
        <v>EPBM</v>
      </c>
      <c r="F1587" s="11" t="str">
        <f>IFERROR(IF(VLOOKUP(A1587,[11]PRIORIZADOS!$A:$F,6,FALSE)="","",VLOOKUP(A1587,[11]PRIORIZADOS!$A:$F,6,FALSE)),"")</f>
        <v>LICEO_TECNICO_MICROEMPRESARIAL_FEYSER_GORDILLO_ROJAS</v>
      </c>
      <c r="G1587" s="11" t="str">
        <f>IFERROR(IF(VLOOKUP(A1587,[11]PRIORIZADOS!$A:$G,7,FALSE)="","",VLOOKUP(A1587,[11]PRIORIZADOS!$A:$G,7,FALSE)),"")</f>
        <v>LICEO_TECNICO_MICROEMPRESARIAL_FEYSER_GORDILLO_ROJAS</v>
      </c>
      <c r="H1587" s="11" t="str">
        <f>IFERROR(IF(VLOOKUP(A1587,[11]PRIORIZADOS!$A:$H,8,FALSE)="","",VLOOKUP(A1587,[11]PRIORIZADOS!$A:$H,8,FALSE)),"")</f>
        <v>Autoevaluación Institucional y Pruebas SABER 11</v>
      </c>
      <c r="I1587" s="11" t="str">
        <f>IFERROR(IF(VLOOKUP(A1587,[11]PRIORIZADOS!$A:$I,9,FALSE)="","",VLOOKUP(A1587,[11]PRIORIZADOS!$A:$I,9,FALSE)),"")</f>
        <v>EVALUACIÓN_CON_FINES_DE_MEJORAMIENTO.</v>
      </c>
      <c r="J1587" s="11" t="str">
        <f>IFERROR(IF(VLOOKUP(A1587,[11]PRIORIZADOS!$A:$J,10,FALSE)="","",VLOOKUP(A1587,[11]PRIORIZADOS!$A:$J,10,FALSE)),"")</f>
        <v>Revisar la actualización, socialización e implementación del Sistema Institucional de Evaluación de Estudiantes - SIEE, en articulación con la actualización del PEI y la normatividad vigente.</v>
      </c>
      <c r="K1587" s="11" t="str">
        <f>IFERROR(IF(VLOOKUP(A1587,[11]PRIORIZADOS!$A:$K,11,FALSE)="","",VLOOKUP(A1587,[11]PRIORIZADOS!$A:$K,11,FALSE)),"")</f>
        <v>DORY CONSTANZA SANCHEZ ARAGÓN</v>
      </c>
      <c r="L1587" s="11" t="str">
        <f>IFERROR(IF(VLOOKUP(A1587,[11]PRIORIZADOS!$A:$L,12,FALSE)="","",VLOOKUP(A1587,[11]PRIORIZADOS!$A:$L,12,FALSE)),"")</f>
        <v>BEPCI YADIRA MINA ZAPATA</v>
      </c>
      <c r="M1587" s="71">
        <f>IFERROR(IF(VLOOKUP(A1587,[11]PRIORIZADOS!$A:$M,13,FALSE)="","",VLOOKUP(A1587,[11]PRIORIZADOS!$A:$M,13,FALSE)),"")</f>
        <v>45811</v>
      </c>
      <c r="N1587" s="71">
        <f>IFERROR(IF(VLOOKUP(A1587,[11]PRIORIZADOS!$A:$N,14,FALSE)="","",VLOOKUP(A1587,[11]PRIORIZADOS!$A:$N,14,FALSE)),"")</f>
        <v>45814</v>
      </c>
      <c r="O1587" s="71">
        <f>IFERROR(IF(VLOOKUP(A1587,[11]PRIORIZADOS!$A:$O,15,FALSE)="","",VLOOKUP(A1587,[11]PRIORIZADOS!$A:$O,15,FALSE)),"")</f>
        <v>45819</v>
      </c>
      <c r="P1587" s="11" t="str">
        <f>IFERROR(IF(VLOOKUP(A1587,[11]PRIORIZADOS!$A:$P,16,FALSE)="","",VLOOKUP(A1587,[11]PRIORIZADOS!$A:$P,16,FALSE)),"")</f>
        <v>Visitas de evaluación con fines de mejoramiento</v>
      </c>
      <c r="Q1587" s="107" t="s">
        <v>366</v>
      </c>
      <c r="R1587" s="11" t="str">
        <f>IFERROR(IF(VLOOKUP(A1587,[11]PRIORIZADOS!$A:$R,18,FALSE)="","",VLOOKUP(A1587,[11]PRIORIZADOS!$A:$R,18,FALSE)),"")</f>
        <v>Cuenta con SIEE, pero es necesario ajustarlo a la normatividad vigente, con la participación de la comunidad educativa, no le da elementos a los entes del Gobiero Escolar a la hora de tomar decisiones.</v>
      </c>
      <c r="S1587" s="11" t="str">
        <f>IFERROR(IF(VLOOKUP(A1587,[11]PRIORIZADOS!$A:$S,19,FALSE)="","",VLOOKUP(A1587,[11]PRIORIZADOS!$A:$S,19,FALSE)),"")</f>
        <v>La institución debe actualizar el SIEE con participación del gobierno escolar. Presentar plan de mejoramiento el 25 de julio de 2025</v>
      </c>
      <c r="T1587" s="70" t="str">
        <f>IFERROR(IF(VLOOKUP(A1587,[11]PRIORIZADOS!$A:$T,20,FALSE)="","",VLOOKUP(A1587,[11]PRIORIZADOS!$A:$T,20,FALSE)),"")</f>
        <v>Si</v>
      </c>
      <c r="U1587" s="11" t="str">
        <f>IFERROR(IF(VLOOKUP(A1587,[11]PRIORIZADOS!$A:$U,21,FALSE)="","",VLOOKUP(A1587,[11]PRIORIZADOS!$A:$U,21,FALSE)),"")</f>
        <v>Revisar PM y verificar que se ajuste a las observaciones realizadas.</v>
      </c>
    </row>
    <row r="1588" spans="1:21" s="1" customFormat="1" ht="72">
      <c r="A1588" s="69">
        <f>IF([11]PRIORIZADOS!A99="","",[11]PRIORIZADOS!A99)</f>
        <v>1554</v>
      </c>
      <c r="B1588" s="70">
        <v>10</v>
      </c>
      <c r="C1588" s="11" t="str">
        <f>IFERROR(IF(VLOOKUP(A1588,[11]PRIORIZADOS!$A:$C,3,FALSE)="","",VLOOKUP(A1588,[11]PRIORIZADOS!$A:$C,3,FALSE)),"")</f>
        <v>RAFAEL URIBE URIBE</v>
      </c>
      <c r="D1588" s="11" t="str">
        <f>IFERROR(IF(VLOOKUP(A1588,[11]PRIORIZADOS!$A:$D,4,FALSE)="","",VLOOKUP(A1588,[11]PRIORIZADOS!$A:$D,4,FALSE)),"")</f>
        <v>PRIVADO</v>
      </c>
      <c r="E1588" s="11" t="str">
        <f>IFERROR(IF(VLOOKUP(A1588,[11]PRIORIZADOS!$A:$E,5,FALSE)="","",VLOOKUP(A1588,[11]PRIORIZADOS!$A:$E,5,FALSE)),"")</f>
        <v>EPBM</v>
      </c>
      <c r="F1588" s="11" t="str">
        <f>IFERROR(IF(VLOOKUP(A1588,[11]PRIORIZADOS!$A:$F,6,FALSE)="","",VLOOKUP(A1588,[11]PRIORIZADOS!$A:$F,6,FALSE)),"")</f>
        <v>LICEO_TECNICO_MICROEMPRESARIAL_FEYSER_GORDILLO_ROJAS</v>
      </c>
      <c r="G1588" s="11" t="str">
        <f>IFERROR(IF(VLOOKUP(A1588,[11]PRIORIZADOS!$A:$G,7,FALSE)="","",VLOOKUP(A1588,[11]PRIORIZADOS!$A:$G,7,FALSE)),"")</f>
        <v>LICEO_TECNICO_MICROEMPRESARIAL_FEYSER_GORDILLO_ROJAS</v>
      </c>
      <c r="H1588" s="11" t="str">
        <f>IFERROR(IF(VLOOKUP(A1588,[11]PRIORIZADOS!$A:$H,8,FALSE)="","",VLOOKUP(A1588,[11]PRIORIZADOS!$A:$H,8,FALSE)),"")</f>
        <v>Autoevaluación Institucional y Pruebas SABER 11</v>
      </c>
      <c r="I1588" s="11" t="str">
        <f>IFERROR(IF(VLOOKUP(A1588,[11]PRIORIZADOS!$A:$I,9,FALSE)="","",VLOOKUP(A1588,[11]PRIORIZADOS!$A:$I,9,FALSE)),"")</f>
        <v>EVALUACIÓN_CON_FINES_DE_MEJORAMIENTO.</v>
      </c>
      <c r="J1588" s="11" t="str">
        <f>IFERROR(IF(VLOOKUP(A1588,[11]PRIORIZADOS!$A:$J,10,FALSE)="","",VLOOKUP(A1588,[11]PRIORIZADOS!$A:$J,10,FALSE)),"")</f>
        <v>Revisar el calendario escolar, jornada escolar, la intensidad horaria mínima anual en cada nivel y las modificaciones que se realicen al mismo, de acuerdo con lo previsto en la normatividad vigente.</v>
      </c>
      <c r="K1588" s="11" t="str">
        <f>IFERROR(IF(VLOOKUP(A1588,[11]PRIORIZADOS!$A:$K,11,FALSE)="","",VLOOKUP(A1588,[11]PRIORIZADOS!$A:$K,11,FALSE)),"")</f>
        <v>DORY CONSTANZA SANCHEZ ARAGÓN</v>
      </c>
      <c r="L1588" s="11" t="str">
        <f>IFERROR(IF(VLOOKUP(A1588,[11]PRIORIZADOS!$A:$L,12,FALSE)="","",VLOOKUP(A1588,[11]PRIORIZADOS!$A:$L,12,FALSE)),"")</f>
        <v>BEPCI YADIRA MINA ZAPATA</v>
      </c>
      <c r="M1588" s="71">
        <f>IFERROR(IF(VLOOKUP(A1588,[11]PRIORIZADOS!$A:$M,13,FALSE)="","",VLOOKUP(A1588,[11]PRIORIZADOS!$A:$M,13,FALSE)),"")</f>
        <v>45811</v>
      </c>
      <c r="N1588" s="71">
        <f>IFERROR(IF(VLOOKUP(A1588,[11]PRIORIZADOS!$A:$N,14,FALSE)="","",VLOOKUP(A1588,[11]PRIORIZADOS!$A:$N,14,FALSE)),"")</f>
        <v>45814</v>
      </c>
      <c r="O1588" s="71">
        <f>IFERROR(IF(VLOOKUP(A1588,[11]PRIORIZADOS!$A:$O,15,FALSE)="","",VLOOKUP(A1588,[11]PRIORIZADOS!$A:$O,15,FALSE)),"")</f>
        <v>45819</v>
      </c>
      <c r="P1588" s="11" t="str">
        <f>IFERROR(IF(VLOOKUP(A1588,[11]PRIORIZADOS!$A:$P,16,FALSE)="","",VLOOKUP(A1588,[11]PRIORIZADOS!$A:$P,16,FALSE)),"")</f>
        <v>Visitas de evaluación con fines de mejoramiento</v>
      </c>
      <c r="Q1588" s="107" t="s">
        <v>366</v>
      </c>
      <c r="R1588" s="11" t="str">
        <f>IFERROR(IF(VLOOKUP(A1588,[11]PRIORIZADOS!$A:$R,18,FALSE)="","",VLOOKUP(A1588,[11]PRIORIZADOS!$A:$R,18,FALSE)),"")</f>
        <v>Se encuentra que la jornada académica es de 1246 horas anuales que da cumplimiento a la normatividad para Educación Básica secundaria, pero la educación media al ser técnica debe cumplir anualmente 1600 horas.</v>
      </c>
      <c r="S1588" s="11" t="str">
        <f>IFERROR(IF(VLOOKUP(A1588,[11]PRIORIZADOS!$A:$S,19,FALSE)="","",VLOOKUP(A1588,[11]PRIORIZADOS!$A:$S,19,FALSE)),"")</f>
        <v>Ajustar el horario para dar cumplimiento a la intensidad horaria. Presentar plan de mejoramiento el 25 de julio de 2025</v>
      </c>
      <c r="T1588" s="70" t="str">
        <f>IFERROR(IF(VLOOKUP(A1588,[11]PRIORIZADOS!$A:$T,20,FALSE)="","",VLOOKUP(A1588,[11]PRIORIZADOS!$A:$T,20,FALSE)),"")</f>
        <v>Si</v>
      </c>
      <c r="U1588" s="11" t="str">
        <f>IFERROR(IF(VLOOKUP(A1588,[11]PRIORIZADOS!$A:$U,21,FALSE)="","",VLOOKUP(A1588,[11]PRIORIZADOS!$A:$U,21,FALSE)),"")</f>
        <v>Revisar PM y verificar que se ajuste a las observaciones realizadas.</v>
      </c>
    </row>
    <row r="1589" spans="1:21" s="1" customFormat="1" ht="48">
      <c r="A1589" s="69">
        <f>IF([11]PRIORIZADOS!A100="","",[11]PRIORIZADOS!A100)</f>
        <v>1555</v>
      </c>
      <c r="B1589" s="70">
        <v>10</v>
      </c>
      <c r="C1589" s="11" t="str">
        <f>IFERROR(IF(VLOOKUP(A1589,[11]PRIORIZADOS!$A:$C,3,FALSE)="","",VLOOKUP(A1589,[11]PRIORIZADOS!$A:$C,3,FALSE)),"")</f>
        <v>RAFAEL URIBE URIBE</v>
      </c>
      <c r="D1589" s="11" t="str">
        <f>IFERROR(IF(VLOOKUP(A1589,[11]PRIORIZADOS!$A:$D,4,FALSE)="","",VLOOKUP(A1589,[11]PRIORIZADOS!$A:$D,4,FALSE)),"")</f>
        <v>PRIVADO</v>
      </c>
      <c r="E1589" s="11" t="str">
        <f>IFERROR(IF(VLOOKUP(A1589,[11]PRIORIZADOS!$A:$E,5,FALSE)="","",VLOOKUP(A1589,[11]PRIORIZADOS!$A:$E,5,FALSE)),"")</f>
        <v>EPBM</v>
      </c>
      <c r="F1589" s="11" t="str">
        <f>IFERROR(IF(VLOOKUP(A1589,[11]PRIORIZADOS!$A:$F,6,FALSE)="","",VLOOKUP(A1589,[11]PRIORIZADOS!$A:$F,6,FALSE)),"")</f>
        <v>LICEO_TECNICO_MICROEMPRESARIAL_FEYSER_GORDILLO_ROJAS</v>
      </c>
      <c r="G1589" s="11" t="str">
        <f>IFERROR(IF(VLOOKUP(A1589,[11]PRIORIZADOS!$A:$G,7,FALSE)="","",VLOOKUP(A1589,[11]PRIORIZADOS!$A:$G,7,FALSE)),"")</f>
        <v>LICEO_TECNICO_MICROEMPRESARIAL_FEYSER_GORDILLO_ROJAS</v>
      </c>
      <c r="H1589" s="11" t="str">
        <f>IFERROR(IF(VLOOKUP(A1589,[11]PRIORIZADOS!$A:$H,8,FALSE)="","",VLOOKUP(A1589,[11]PRIORIZADOS!$A:$H,8,FALSE)),"")</f>
        <v>Autoevaluación Institucional y Pruebas SABER 11</v>
      </c>
      <c r="I1589" s="11" t="str">
        <f>IFERROR(IF(VLOOKUP(A1589,[11]PRIORIZADOS!$A:$I,9,FALSE)="","",VLOOKUP(A1589,[11]PRIORIZADOS!$A:$I,9,FALSE)),"")</f>
        <v>EVALUACIÓN_CON_FINES_DE_MEJORAMIENTO.</v>
      </c>
      <c r="J1589" s="11" t="str">
        <f>IFERROR(IF(VLOOKUP(A1589,[11]PRIORIZADOS!$A:$J,10,FALSE)="","",VLOOKUP(A1589,[11]PRIORIZADOS!$A:$J,10,FALSE)),"")</f>
        <v>Verificar el funcionamiento del Gobierno Escolar e instancias de participación con base en la información sobre conformación reportada por la institución educativa.</v>
      </c>
      <c r="K1589" s="11" t="str">
        <f>IFERROR(IF(VLOOKUP(A1589,[11]PRIORIZADOS!$A:$K,11,FALSE)="","",VLOOKUP(A1589,[11]PRIORIZADOS!$A:$K,11,FALSE)),"")</f>
        <v>DORY CONSTANZA SANCHEZ ARAGÓN</v>
      </c>
      <c r="L1589" s="11" t="str">
        <f>IFERROR(IF(VLOOKUP(A1589,[11]PRIORIZADOS!$A:$L,12,FALSE)="","",VLOOKUP(A1589,[11]PRIORIZADOS!$A:$L,12,FALSE)),"")</f>
        <v>BEPCI YADIRA MINA ZAPATA</v>
      </c>
      <c r="M1589" s="71">
        <f>IFERROR(IF(VLOOKUP(A1589,[11]PRIORIZADOS!$A:$M,13,FALSE)="","",VLOOKUP(A1589,[11]PRIORIZADOS!$A:$M,13,FALSE)),"")</f>
        <v>45811</v>
      </c>
      <c r="N1589" s="71">
        <f>IFERROR(IF(VLOOKUP(A1589,[11]PRIORIZADOS!$A:$N,14,FALSE)="","",VLOOKUP(A1589,[11]PRIORIZADOS!$A:$N,14,FALSE)),"")</f>
        <v>45814</v>
      </c>
      <c r="O1589" s="71">
        <f>IFERROR(IF(VLOOKUP(A1589,[11]PRIORIZADOS!$A:$O,15,FALSE)="","",VLOOKUP(A1589,[11]PRIORIZADOS!$A:$O,15,FALSE)),"")</f>
        <v>45819</v>
      </c>
      <c r="P1589" s="11" t="str">
        <f>IFERROR(IF(VLOOKUP(A1589,[11]PRIORIZADOS!$A:$P,16,FALSE)="","",VLOOKUP(A1589,[11]PRIORIZADOS!$A:$P,16,FALSE)),"")</f>
        <v>Visitas de evaluación con fines de mejoramiento</v>
      </c>
      <c r="Q1589" s="107" t="s">
        <v>366</v>
      </c>
      <c r="R1589" s="11" t="str">
        <f>IFERROR(IF(VLOOKUP(A1589,[11]PRIORIZADOS!$A:$R,18,FALSE)="","",VLOOKUP(A1589,[11]PRIORIZADOS!$A:$R,18,FALSE)),"")</f>
        <v>No se evidencian actas de funcionamiento de Gobierno Escolar</v>
      </c>
      <c r="S1589" s="11" t="str">
        <f>IFERROR(IF(VLOOKUP(A1589,[11]PRIORIZADOS!$A:$S,19,FALSE)="","",VLOOKUP(A1589,[11]PRIORIZADOS!$A:$S,19,FALSE)),"")</f>
        <v>Generar los espacios para el funcionamiento del gobierno escolar con sus respectivas actas. Presentar plan de mejoramiento el 25 de julio de 2025</v>
      </c>
      <c r="T1589" s="70" t="str">
        <f>IFERROR(IF(VLOOKUP(A1589,[11]PRIORIZADOS!$A:$T,20,FALSE)="","",VLOOKUP(A1589,[11]PRIORIZADOS!$A:$T,20,FALSE)),"")</f>
        <v>Si</v>
      </c>
      <c r="U1589" s="11" t="str">
        <f>IFERROR(IF(VLOOKUP(A1589,[11]PRIORIZADOS!$A:$U,21,FALSE)="","",VLOOKUP(A1589,[11]PRIORIZADOS!$A:$U,21,FALSE)),"")</f>
        <v>Revisar PM y verificar que se ajuste a las observaciones realizadas.</v>
      </c>
    </row>
    <row r="1590" spans="1:21" s="1" customFormat="1" ht="48">
      <c r="A1590" s="69">
        <f>IF([11]PRIORIZADOS!A101="","",[11]PRIORIZADOS!A101)</f>
        <v>1556</v>
      </c>
      <c r="B1590" s="70">
        <v>10</v>
      </c>
      <c r="C1590" s="11" t="str">
        <f>IFERROR(IF(VLOOKUP(A1590,[11]PRIORIZADOS!$A:$C,3,FALSE)="","",VLOOKUP(A1590,[11]PRIORIZADOS!$A:$C,3,FALSE)),"")</f>
        <v>RAFAEL URIBE URIBE</v>
      </c>
      <c r="D1590" s="11" t="str">
        <f>IFERROR(IF(VLOOKUP(A1590,[11]PRIORIZADOS!$A:$D,4,FALSE)="","",VLOOKUP(A1590,[11]PRIORIZADOS!$A:$D,4,FALSE)),"")</f>
        <v>PRIVADO</v>
      </c>
      <c r="E1590" s="11" t="str">
        <f>IFERROR(IF(VLOOKUP(A1590,[11]PRIORIZADOS!$A:$E,5,FALSE)="","",VLOOKUP(A1590,[11]PRIORIZADOS!$A:$E,5,FALSE)),"")</f>
        <v>EPBM</v>
      </c>
      <c r="F1590" s="11" t="str">
        <f>IFERROR(IF(VLOOKUP(A1590,[11]PRIORIZADOS!$A:$F,6,FALSE)="","",VLOOKUP(A1590,[11]PRIORIZADOS!$A:$F,6,FALSE)),"")</f>
        <v>LICEO_TECNICO_MICROEMPRESARIAL_FEYSER_GORDILLO_ROJAS</v>
      </c>
      <c r="G1590" s="11" t="str">
        <f>IFERROR(IF(VLOOKUP(A1590,[11]PRIORIZADOS!$A:$G,7,FALSE)="","",VLOOKUP(A1590,[11]PRIORIZADOS!$A:$G,7,FALSE)),"")</f>
        <v>LICEO_TECNICO_MICROEMPRESARIAL_FEYSER_GORDILLO_ROJAS</v>
      </c>
      <c r="H1590" s="11" t="str">
        <f>IFERROR(IF(VLOOKUP(A1590,[11]PRIORIZADOS!$A:$H,8,FALSE)="","",VLOOKUP(A1590,[11]PRIORIZADOS!$A:$H,8,FALSE)),"")</f>
        <v>Autoevaluación Institucional y Pruebas SABER 11</v>
      </c>
      <c r="I1590" s="11" t="str">
        <f>IFERROR(IF(VLOOKUP(A1590,[11]PRIORIZADOS!$A:$I,9,FALSE)="","",VLOOKUP(A1590,[11]PRIORIZADOS!$A:$I,9,FALSE)),"")</f>
        <v>EVALUACIÓN_CON_FINES_DE_MEJORAMIENTO.</v>
      </c>
      <c r="J1590" s="11" t="str">
        <f>IFERROR(IF(VLOOKUP(A1590,[11]PRIORIZADOS!$A:$J,10,FALSE)="","",VLOOKUP(A1590,[11]PRIORIZADOS!$A:$J,10,FALSE)),"")</f>
        <v>Verificar las condiciones en cuanto a: la estructura administrativa, condiciones de la planta física y medios educativos adecuados.</v>
      </c>
      <c r="K1590" s="11" t="str">
        <f>IFERROR(IF(VLOOKUP(A1590,[11]PRIORIZADOS!$A:$K,11,FALSE)="","",VLOOKUP(A1590,[11]PRIORIZADOS!$A:$K,11,FALSE)),"")</f>
        <v>DORY CONSTANZA SANCHEZ ARAGÓN</v>
      </c>
      <c r="L1590" s="11" t="str">
        <f>IFERROR(IF(VLOOKUP(A1590,[11]PRIORIZADOS!$A:$L,12,FALSE)="","",VLOOKUP(A1590,[11]PRIORIZADOS!$A:$L,12,FALSE)),"")</f>
        <v>BEPCI YADIRA MINA ZAPATA</v>
      </c>
      <c r="M1590" s="71">
        <f>IFERROR(IF(VLOOKUP(A1590,[11]PRIORIZADOS!$A:$M,13,FALSE)="","",VLOOKUP(A1590,[11]PRIORIZADOS!$A:$M,13,FALSE)),"")</f>
        <v>45811</v>
      </c>
      <c r="N1590" s="71">
        <f>IFERROR(IF(VLOOKUP(A1590,[11]PRIORIZADOS!$A:$N,14,FALSE)="","",VLOOKUP(A1590,[11]PRIORIZADOS!$A:$N,14,FALSE)),"")</f>
        <v>45814</v>
      </c>
      <c r="O1590" s="71">
        <f>IFERROR(IF(VLOOKUP(A1590,[11]PRIORIZADOS!$A:$O,15,FALSE)="","",VLOOKUP(A1590,[11]PRIORIZADOS!$A:$O,15,FALSE)),"")</f>
        <v>45819</v>
      </c>
      <c r="P1590" s="11" t="str">
        <f>IFERROR(IF(VLOOKUP(A1590,[11]PRIORIZADOS!$A:$P,16,FALSE)="","",VLOOKUP(A1590,[11]PRIORIZADOS!$A:$P,16,FALSE)),"")</f>
        <v>Visitas de evaluación con fines de mejoramiento</v>
      </c>
      <c r="Q1590" s="107" t="s">
        <v>366</v>
      </c>
      <c r="R1590" s="11" t="str">
        <f>IFERROR(IF(VLOOKUP(A1590,[11]PRIORIZADOS!$A:$R,18,FALSE)="","",VLOOKUP(A1590,[11]PRIORIZADOS!$A:$R,18,FALSE)),"")</f>
        <v>No se evidencia 1 aula, sala de sistemas, sala de profesoresm enfermeria, sala audiovisuales, aula especializada, reportados en EVI.</v>
      </c>
      <c r="S1590" s="11" t="str">
        <f>IFERROR(IF(VLOOKUP(A1590,[11]PRIORIZADOS!$A:$S,19,FALSE)="","",VLOOKUP(A1590,[11]PRIORIZADOS!$A:$S,19,FALSE)),"")</f>
        <v>Establecer estrategias para los espacios que hacen falta.  Presentar plan de mejoramiento 25 de julio 2025</v>
      </c>
      <c r="T1590" s="70" t="str">
        <f>IFERROR(IF(VLOOKUP(A1590,[11]PRIORIZADOS!$A:$T,20,FALSE)="","",VLOOKUP(A1590,[11]PRIORIZADOS!$A:$T,20,FALSE)),"")</f>
        <v>Si</v>
      </c>
      <c r="U1590" s="11" t="str">
        <f>IFERROR(IF(VLOOKUP(A1590,[11]PRIORIZADOS!$A:$U,21,FALSE)="","",VLOOKUP(A1590,[11]PRIORIZADOS!$A:$U,21,FALSE)),"")</f>
        <v>Revisar PM y verificar que se ajuste a las observaciones realizadas.</v>
      </c>
    </row>
    <row r="1591" spans="1:21" s="1" customFormat="1" ht="60">
      <c r="A1591" s="69">
        <f>IF([11]PRIORIZADOS!A102="","",[11]PRIORIZADOS!A102)</f>
        <v>1558</v>
      </c>
      <c r="B1591" s="70">
        <v>11</v>
      </c>
      <c r="C1591" s="11" t="str">
        <f>IFERROR(IF(VLOOKUP(A1591,[11]PRIORIZADOS!$A:$C,3,FALSE)="","",VLOOKUP(A1591,[11]PRIORIZADOS!$A:$C,3,FALSE)),"")</f>
        <v>RAFAEL URIBE URIBE</v>
      </c>
      <c r="D1591" s="11" t="str">
        <f>IFERROR(IF(VLOOKUP(A1591,[11]PRIORIZADOS!$A:$D,4,FALSE)="","",VLOOKUP(A1591,[11]PRIORIZADOS!$A:$D,4,FALSE)),"")</f>
        <v>PRIVADO</v>
      </c>
      <c r="E1591" s="11" t="str">
        <f>IFERROR(IF(VLOOKUP(A1591,[11]PRIORIZADOS!$A:$E,5,FALSE)="","",VLOOKUP(A1591,[11]PRIORIZADOS!$A:$E,5,FALSE)),"")</f>
        <v>EPBM</v>
      </c>
      <c r="F1591" s="11" t="str">
        <f>IFERROR(IF(VLOOKUP(A1591,[11]PRIORIZADOS!$A:$F,6,FALSE)="","",VLOOKUP(A1591,[11]PRIORIZADOS!$A:$F,6,FALSE)),"")</f>
        <v>COLEGIO_DANILO_CIFUENTES</v>
      </c>
      <c r="G1591" s="11" t="str">
        <f>IFERROR(IF(VLOOKUP(A1591,[11]PRIORIZADOS!$A:$G,7,FALSE)="","",VLOOKUP(A1591,[11]PRIORIZADOS!$A:$G,7,FALSE)),"")</f>
        <v>COLEGIO_DANILO_CIFUENTES</v>
      </c>
      <c r="H1591" s="11" t="str">
        <f>IFERROR(IF(VLOOKUP(A1591,[11]PRIORIZADOS!$A:$H,8,FALSE)="","",VLOOKUP(A1591,[11]PRIORIZADOS!$A:$H,8,FALSE)),"")</f>
        <v>Autoevaluación Institucional y Pruebas SABER 11</v>
      </c>
      <c r="I1591" s="11" t="str">
        <f>IFERROR(IF(VLOOKUP(A1591,[11]PRIORIZADOS!$A:$I,9,FALSE)="","",VLOOKUP(A1591,[11]PRIORIZADOS!$A:$I,9,FALSE)),"")</f>
        <v>SEGUIMIENTO_Y_SUPERVISIÓN.</v>
      </c>
      <c r="J1591" s="11" t="str">
        <f>IFERROR(IF(VLOOKUP(A1591,[11]PRIORIZADOS!$A:$J,10,FALSE)="","",VLOOKUP(A1591,[11]PRIORIZADOS!$A:$J,10,FALSE)),"")</f>
        <v>Realizar visitas para verificar la información registrada sobre la autoevaluación institucional en el aplicativo EVI, a los establecimientos de educación formal no oficial.</v>
      </c>
      <c r="K1591" s="11" t="str">
        <f>IFERROR(IF(VLOOKUP(A1591,[11]PRIORIZADOS!$A:$K,11,FALSE)="","",VLOOKUP(A1591,[11]PRIORIZADOS!$A:$K,11,FALSE)),"")</f>
        <v>DORY CONSTANZA SANCHEZ ARAGÓN</v>
      </c>
      <c r="L1591" s="11" t="str">
        <f>IFERROR(IF(VLOOKUP(A1591,[11]PRIORIZADOS!$A:$L,12,FALSE)="","",VLOOKUP(A1591,[11]PRIORIZADOS!$A:$L,12,FALSE)),"")</f>
        <v>BEPCI YADIRA MINA ZAPATA</v>
      </c>
      <c r="M1591" s="71">
        <f>IFERROR(IF(VLOOKUP(A1591,[11]PRIORIZADOS!$A:$M,13,FALSE)="","",VLOOKUP(A1591,[11]PRIORIZADOS!$A:$M,13,FALSE)),"")</f>
        <v>45818</v>
      </c>
      <c r="N1591" s="71">
        <f>IFERROR(IF(VLOOKUP(A1591,[11]PRIORIZADOS!$A:$N,14,FALSE)="","",VLOOKUP(A1591,[11]PRIORIZADOS!$A:$N,14,FALSE)),"")</f>
        <v>45819</v>
      </c>
      <c r="O1591" s="71">
        <f>IFERROR(IF(VLOOKUP(A1591,[11]PRIORIZADOS!$A:$O,15,FALSE)="","",VLOOKUP(A1591,[11]PRIORIZADOS!$A:$O,15,FALSE)),"")</f>
        <v>45824</v>
      </c>
      <c r="P1591" s="11" t="str">
        <f>IFERROR(IF(VLOOKUP(A1591,[11]PRIORIZADOS!$A:$P,16,FALSE)="","",VLOOKUP(A1591,[11]PRIORIZADOS!$A:$P,16,FALSE)),"")</f>
        <v>Visitas de evaluación con fines de mejoramiento</v>
      </c>
      <c r="Q1591" s="107" t="s">
        <v>367</v>
      </c>
      <c r="R1591" s="11" t="str">
        <f>IFERROR(IF(VLOOKUP(A1591,[11]PRIORIZADOS!$A:$R,18,FALSE)="","",VLOOKUP(A1591,[11]PRIORIZADOS!$A:$R,18,FALSE)),"")</f>
        <v>Se evidencia que los docentes se encuentran con contrato laboral y  pago de seguridad social.
Planta física acorde con espacios pedagogícos adecuados.</v>
      </c>
      <c r="S1591" s="11" t="str">
        <f>IFERROR(IF(VLOOKUP(A1591,[11]PRIORIZADOS!$A:$S,19,FALSE)="","",VLOOKUP(A1591,[11]PRIORIZADOS!$A:$S,19,FALSE)),"")</f>
        <v>Continuar con la contratación y pago de seguridad social de los docentes</v>
      </c>
      <c r="T1591" s="70" t="str">
        <f>IFERROR(IF(VLOOKUP(A1591,[11]PRIORIZADOS!$A:$T,20,FALSE)="","",VLOOKUP(A1591,[11]PRIORIZADOS!$A:$T,20,FALSE)),"")</f>
        <v>No</v>
      </c>
      <c r="U1591" s="11" t="str">
        <f>IFERROR(IF(VLOOKUP(A1591,[11]PRIORIZADOS!$A:$U,21,FALSE)="","",VLOOKUP(A1591,[11]PRIORIZADOS!$A:$U,21,FALSE)),"")</f>
        <v>Verificar en caso de algun reqiuerimiento o queja</v>
      </c>
    </row>
    <row r="1592" spans="1:21" s="1" customFormat="1" ht="84">
      <c r="A1592" s="69">
        <f>IF([11]PRIORIZADOS!A103="","",[11]PRIORIZADOS!A103)</f>
        <v>1559</v>
      </c>
      <c r="B1592" s="70">
        <v>11</v>
      </c>
      <c r="C1592" s="11" t="str">
        <f>IFERROR(IF(VLOOKUP(A1592,[11]PRIORIZADOS!$A:$C,3,FALSE)="","",VLOOKUP(A1592,[11]PRIORIZADOS!$A:$C,3,FALSE)),"")</f>
        <v>RAFAEL URIBE URIBE</v>
      </c>
      <c r="D1592" s="11" t="str">
        <f>IFERROR(IF(VLOOKUP(A1592,[11]PRIORIZADOS!$A:$D,4,FALSE)="","",VLOOKUP(A1592,[11]PRIORIZADOS!$A:$D,4,FALSE)),"")</f>
        <v>PRIVADO</v>
      </c>
      <c r="E1592" s="11" t="str">
        <f>IFERROR(IF(VLOOKUP(A1592,[11]PRIORIZADOS!$A:$E,5,FALSE)="","",VLOOKUP(A1592,[11]PRIORIZADOS!$A:$E,5,FALSE)),"")</f>
        <v>EPBM</v>
      </c>
      <c r="F1592" s="11" t="str">
        <f>IFERROR(IF(VLOOKUP(A1592,[11]PRIORIZADOS!$A:$F,6,FALSE)="","",VLOOKUP(A1592,[11]PRIORIZADOS!$A:$F,6,FALSE)),"")</f>
        <v>COLEGIO_DANILO_CIFUENTES</v>
      </c>
      <c r="G1592" s="11" t="str">
        <f>IFERROR(IF(VLOOKUP(A1592,[11]PRIORIZADOS!$A:$G,7,FALSE)="","",VLOOKUP(A1592,[11]PRIORIZADOS!$A:$G,7,FALSE)),"")</f>
        <v>COLEGIO_DANILO_CIFUENTES</v>
      </c>
      <c r="H1592" s="11" t="str">
        <f>IFERROR(IF(VLOOKUP(A1592,[11]PRIORIZADOS!$A:$H,8,FALSE)="","",VLOOKUP(A1592,[11]PRIORIZADOS!$A:$H,8,FALSE)),"")</f>
        <v>Autoevaluación Institucional y Pruebas SABER 11</v>
      </c>
      <c r="I1592" s="11" t="str">
        <f>IFERROR(IF(VLOOKUP(A1592,[11]PRIORIZADOS!$A:$I,9,FALSE)="","",VLOOKUP(A1592,[11]PRIORIZADOS!$A:$I,9,FALSE)),"")</f>
        <v>SEGUIMIENTO_Y_SUPERVISIÓN.</v>
      </c>
      <c r="J1592" s="11" t="str">
        <f>IFERROR(IF(VLOOKUP(A1592,[11]PRIORIZADOS!$A:$J,10,FALSE)="","",VLOOKUP(A1592,[11]PRIORIZADOS!$A:$J,10,FALSE)),"")</f>
        <v>Proponer estrategias en la formulación, verificar su elaboración y realizar seguimiento semestral al desarrollo de  las acciones establecidas en los planes de mejoramiento por pruebas SABER 11 de los establecimientos de educación formal.</v>
      </c>
      <c r="K1592" s="11" t="str">
        <f>IFERROR(IF(VLOOKUP(A1592,[11]PRIORIZADOS!$A:$K,11,FALSE)="","",VLOOKUP(A1592,[11]PRIORIZADOS!$A:$K,11,FALSE)),"")</f>
        <v>DORY CONSTANZA SANCHEZ ARAGÓN</v>
      </c>
      <c r="L1592" s="11" t="str">
        <f>IFERROR(IF(VLOOKUP(A1592,[11]PRIORIZADOS!$A:$L,12,FALSE)="","",VLOOKUP(A1592,[11]PRIORIZADOS!$A:$L,12,FALSE)),"")</f>
        <v>BEPCI YADIRA MINA ZAPATA</v>
      </c>
      <c r="M1592" s="71">
        <f>IFERROR(IF(VLOOKUP(A1592,[11]PRIORIZADOS!$A:$M,13,FALSE)="","",VLOOKUP(A1592,[11]PRIORIZADOS!$A:$M,13,FALSE)),"")</f>
        <v>45818</v>
      </c>
      <c r="N1592" s="71">
        <f>IFERROR(IF(VLOOKUP(A1592,[11]PRIORIZADOS!$A:$N,14,FALSE)="","",VLOOKUP(A1592,[11]PRIORIZADOS!$A:$N,14,FALSE)),"")</f>
        <v>45819</v>
      </c>
      <c r="O1592" s="71">
        <f>IFERROR(IF(VLOOKUP(A1592,[11]PRIORIZADOS!$A:$O,15,FALSE)="","",VLOOKUP(A1592,[11]PRIORIZADOS!$A:$O,15,FALSE)),"")</f>
        <v>45824</v>
      </c>
      <c r="P1592" s="11" t="str">
        <f>IFERROR(IF(VLOOKUP(A1592,[11]PRIORIZADOS!$A:$P,16,FALSE)="","",VLOOKUP(A1592,[11]PRIORIZADOS!$A:$P,16,FALSE)),"")</f>
        <v>Visitas de evaluación con fines de mejoramiento</v>
      </c>
      <c r="Q1592" s="107" t="s">
        <v>367</v>
      </c>
      <c r="R1592" s="11" t="str">
        <f>IFERROR(IF(VLOOKUP(A1592,[11]PRIORIZADOS!$A:$R,18,FALSE)="","",VLOOKUP(A1592,[11]PRIORIZADOS!$A:$R,18,FALSE)),"")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592" s="11" t="str">
        <f>IFERROR(IF(VLOOKUP(A1592,[11]PRIORIZADOS!$A:$S,19,FALSE)="","",VLOOKUP(A1592,[11]PRIORIZADOS!$A:$S,19,FALSE)),"")</f>
        <v>Realizar analisis de las Pruebas Saber y establecer acciones pertinentes. Presentar plan de mejoramiento el 8 de agosto de 2025</v>
      </c>
      <c r="T1592" s="70" t="str">
        <f>IFERROR(IF(VLOOKUP(A1592,[11]PRIORIZADOS!$A:$T,20,FALSE)="","",VLOOKUP(A1592,[11]PRIORIZADOS!$A:$T,20,FALSE)),"")</f>
        <v>Si</v>
      </c>
      <c r="U1592" s="11" t="str">
        <f>IFERROR(IF(VLOOKUP(A1592,[11]PRIORIZADOS!$A:$U,21,FALSE)="","",VLOOKUP(A1592,[11]PRIORIZADOS!$A:$U,21,FALSE)),"")</f>
        <v>Revisar PM y verificar que se ajuste a las observaciones realizadas.</v>
      </c>
    </row>
    <row r="1593" spans="1:21" s="1" customFormat="1" ht="72">
      <c r="A1593" s="69">
        <f>IF([11]PRIORIZADOS!A104="","",[11]PRIORIZADOS!A104)</f>
        <v>1560</v>
      </c>
      <c r="B1593" s="70">
        <v>11</v>
      </c>
      <c r="C1593" s="11" t="str">
        <f>IFERROR(IF(VLOOKUP(A1593,[11]PRIORIZADOS!$A:$C,3,FALSE)="","",VLOOKUP(A1593,[11]PRIORIZADOS!$A:$C,3,FALSE)),"")</f>
        <v>RAFAEL URIBE URIBE</v>
      </c>
      <c r="D1593" s="11" t="str">
        <f>IFERROR(IF(VLOOKUP(A1593,[11]PRIORIZADOS!$A:$D,4,FALSE)="","",VLOOKUP(A1593,[11]PRIORIZADOS!$A:$D,4,FALSE)),"")</f>
        <v>PRIVADO</v>
      </c>
      <c r="E1593" s="11" t="str">
        <f>IFERROR(IF(VLOOKUP(A1593,[11]PRIORIZADOS!$A:$E,5,FALSE)="","",VLOOKUP(A1593,[11]PRIORIZADOS!$A:$E,5,FALSE)),"")</f>
        <v>EPBM</v>
      </c>
      <c r="F1593" s="11" t="str">
        <f>IFERROR(IF(VLOOKUP(A1593,[11]PRIORIZADOS!$A:$F,6,FALSE)="","",VLOOKUP(A1593,[11]PRIORIZADOS!$A:$F,6,FALSE)),"")</f>
        <v>COLEGIO_DANILO_CIFUENTES</v>
      </c>
      <c r="G1593" s="11" t="str">
        <f>IFERROR(IF(VLOOKUP(A1593,[11]PRIORIZADOS!$A:$G,7,FALSE)="","",VLOOKUP(A1593,[11]PRIORIZADOS!$A:$G,7,FALSE)),"")</f>
        <v>COLEGIO_DANILO_CIFUENTES</v>
      </c>
      <c r="H1593" s="11" t="str">
        <f>IFERROR(IF(VLOOKUP(A1593,[11]PRIORIZADOS!$A:$H,8,FALSE)="","",VLOOKUP(A1593,[11]PRIORIZADOS!$A:$H,8,FALSE)),"")</f>
        <v>Autoevaluación Institucional y Pruebas SABER 11</v>
      </c>
      <c r="I1593" s="11" t="str">
        <f>IFERROR(IF(VLOOKUP(A1593,[11]PRIORIZADOS!$A:$I,9,FALSE)="","",VLOOKUP(A1593,[11]PRIORIZADOS!$A:$I,9,FALSE)),"")</f>
        <v>SEGUIMIENTO_Y_SUPERVISIÓN.</v>
      </c>
      <c r="J1593" s="11" t="str">
        <f>IFERROR(IF(VLOOKUP(A1593,[11]PRIORIZADOS!$A:$J,10,FALSE)="","",VLOOKUP(A1593,[11]PRIORIZADOS!$A:$J,10,FALSE)),"")</f>
        <v xml:space="preserve">Verificar la implementación por parte de los colegios, de acciones realizadas para la prevención y atención de las situaciones de convivencia en el entorno escolar, según lo establecido en la Directiva 01 de 2022 del MEN. </v>
      </c>
      <c r="K1593" s="11" t="str">
        <f>IFERROR(IF(VLOOKUP(A1593,[11]PRIORIZADOS!$A:$K,11,FALSE)="","",VLOOKUP(A1593,[11]PRIORIZADOS!$A:$K,11,FALSE)),"")</f>
        <v>DORY CONSTANZA SANCHEZ ARAGÓN</v>
      </c>
      <c r="L1593" s="11" t="str">
        <f>IFERROR(IF(VLOOKUP(A1593,[11]PRIORIZADOS!$A:$L,12,FALSE)="","",VLOOKUP(A1593,[11]PRIORIZADOS!$A:$L,12,FALSE)),"")</f>
        <v>BEPCI YADIRA MINA ZAPATA</v>
      </c>
      <c r="M1593" s="71">
        <f>IFERROR(IF(VLOOKUP(A1593,[11]PRIORIZADOS!$A:$M,13,FALSE)="","",VLOOKUP(A1593,[11]PRIORIZADOS!$A:$M,13,FALSE)),"")</f>
        <v>45818</v>
      </c>
      <c r="N1593" s="71">
        <f>IFERROR(IF(VLOOKUP(A1593,[11]PRIORIZADOS!$A:$N,14,FALSE)="","",VLOOKUP(A1593,[11]PRIORIZADOS!$A:$N,14,FALSE)),"")</f>
        <v>45819</v>
      </c>
      <c r="O1593" s="71">
        <f>IFERROR(IF(VLOOKUP(A1593,[11]PRIORIZADOS!$A:$O,15,FALSE)="","",VLOOKUP(A1593,[11]PRIORIZADOS!$A:$O,15,FALSE)),"")</f>
        <v>45824</v>
      </c>
      <c r="P1593" s="11" t="str">
        <f>IFERROR(IF(VLOOKUP(A1593,[11]PRIORIZADOS!$A:$P,16,FALSE)="","",VLOOKUP(A1593,[11]PRIORIZADOS!$A:$P,16,FALSE)),"")</f>
        <v>Visitas de evaluación con fines de mejoramiento</v>
      </c>
      <c r="Q1593" s="107" t="s">
        <v>367</v>
      </c>
      <c r="R1593" s="11" t="str">
        <f>IFERROR(IF(VLOOKUP(A1593,[11]PRIORIZADOS!$A:$R,18,FALSE)="","",VLOOKUP(A1593,[11]PRIORIZADOS!$A:$R,18,FALSE)),"")</f>
        <v>La institución no cuentan con actas donde se evidencie el funcionamiento del comité de convivencia escolar.
Cuenta con verificacion de inhabilidadades por delitos sexuales de febrero y junio de 2025</v>
      </c>
      <c r="S1593" s="11" t="str">
        <f>IFERROR(IF(VLOOKUP(A1593,[11]PRIORIZADOS!$A:$S,19,FALSE)="","",VLOOKUP(A1593,[11]PRIORIZADOS!$A:$S,19,FALSE)),"")</f>
        <v>El comite cde convivencia se debe reunir cada 2 meses.
Se debe realizar verificación de antecedente cada 4 meses. Presentar plan de mejoramiento el 8 de agosto de 2025</v>
      </c>
      <c r="T1593" s="70" t="str">
        <f>IFERROR(IF(VLOOKUP(A1593,[11]PRIORIZADOS!$A:$T,20,FALSE)="","",VLOOKUP(A1593,[11]PRIORIZADOS!$A:$T,20,FALSE)),"")</f>
        <v>Si</v>
      </c>
      <c r="U1593" s="11" t="str">
        <f>IFERROR(IF(VLOOKUP(A1593,[11]PRIORIZADOS!$A:$U,21,FALSE)="","",VLOOKUP(A1593,[11]PRIORIZADOS!$A:$U,21,FALSE)),"")</f>
        <v>Revisar PM y verificar que se ajuste a las observaciones realizadas.</v>
      </c>
    </row>
    <row r="1594" spans="1:21" s="1" customFormat="1" ht="72">
      <c r="A1594" s="69">
        <f>IF([11]PRIORIZADOS!A105="","",[11]PRIORIZADOS!A105)</f>
        <v>1561</v>
      </c>
      <c r="B1594" s="70">
        <v>11</v>
      </c>
      <c r="C1594" s="11" t="str">
        <f>IFERROR(IF(VLOOKUP(A1594,[11]PRIORIZADOS!$A:$C,3,FALSE)="","",VLOOKUP(A1594,[11]PRIORIZADOS!$A:$C,3,FALSE)),"")</f>
        <v>RAFAEL URIBE URIBE</v>
      </c>
      <c r="D1594" s="11" t="str">
        <f>IFERROR(IF(VLOOKUP(A1594,[11]PRIORIZADOS!$A:$D,4,FALSE)="","",VLOOKUP(A1594,[11]PRIORIZADOS!$A:$D,4,FALSE)),"")</f>
        <v>PRIVADO</v>
      </c>
      <c r="E1594" s="11" t="str">
        <f>IFERROR(IF(VLOOKUP(A1594,[11]PRIORIZADOS!$A:$E,5,FALSE)="","",VLOOKUP(A1594,[11]PRIORIZADOS!$A:$E,5,FALSE)),"")</f>
        <v>EPBM</v>
      </c>
      <c r="F1594" s="11" t="str">
        <f>IFERROR(IF(VLOOKUP(A1594,[11]PRIORIZADOS!$A:$F,6,FALSE)="","",VLOOKUP(A1594,[11]PRIORIZADOS!$A:$F,6,FALSE)),"")</f>
        <v>COLEGIO_DANILO_CIFUENTES</v>
      </c>
      <c r="G1594" s="11" t="str">
        <f>IFERROR(IF(VLOOKUP(A1594,[11]PRIORIZADOS!$A:$G,7,FALSE)="","",VLOOKUP(A1594,[11]PRIORIZADOS!$A:$G,7,FALSE)),"")</f>
        <v>COLEGIO_DANILO_CIFUENTES</v>
      </c>
      <c r="H1594" s="11" t="str">
        <f>IFERROR(IF(VLOOKUP(A1594,[11]PRIORIZADOS!$A:$H,8,FALSE)="","",VLOOKUP(A1594,[11]PRIORIZADOS!$A:$H,8,FALSE)),"")</f>
        <v>Autoevaluación Institucional y Pruebas SABER 11</v>
      </c>
      <c r="I1594" s="11" t="str">
        <f>IFERROR(IF(VLOOKUP(A1594,[11]PRIORIZADOS!$A:$I,9,FALSE)="","",VLOOKUP(A1594,[11]PRIORIZADOS!$A:$I,9,FALSE)),"")</f>
        <v>SEGUIMIENTO_Y_SUPERVISIÓN.</v>
      </c>
      <c r="J1594" s="11" t="str">
        <f>IFERROR(IF(VLOOKUP(A1594,[11]PRIORIZADOS!$A:$J,10,FALSE)="","",VLOOKUP(A1594,[11]PRIORIZADOS!$A:$J,10,FALSE)),"")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594" s="11" t="str">
        <f>IFERROR(IF(VLOOKUP(A1594,[11]PRIORIZADOS!$A:$K,11,FALSE)="","",VLOOKUP(A1594,[11]PRIORIZADOS!$A:$K,11,FALSE)),"")</f>
        <v>DORY CONSTANZA SANCHEZ ARAGÓN</v>
      </c>
      <c r="L1594" s="11" t="str">
        <f>IFERROR(IF(VLOOKUP(A1594,[11]PRIORIZADOS!$A:$L,12,FALSE)="","",VLOOKUP(A1594,[11]PRIORIZADOS!$A:$L,12,FALSE)),"")</f>
        <v>BEPCI YADIRA MINA ZAPATA</v>
      </c>
      <c r="M1594" s="71">
        <f>IFERROR(IF(VLOOKUP(A1594,[11]PRIORIZADOS!$A:$M,13,FALSE)="","",VLOOKUP(A1594,[11]PRIORIZADOS!$A:$M,13,FALSE)),"")</f>
        <v>45818</v>
      </c>
      <c r="N1594" s="71">
        <f>IFERROR(IF(VLOOKUP(A1594,[11]PRIORIZADOS!$A:$N,14,FALSE)="","",VLOOKUP(A1594,[11]PRIORIZADOS!$A:$N,14,FALSE)),"")</f>
        <v>45819</v>
      </c>
      <c r="O1594" s="71">
        <f>IFERROR(IF(VLOOKUP(A1594,[11]PRIORIZADOS!$A:$O,15,FALSE)="","",VLOOKUP(A1594,[11]PRIORIZADOS!$A:$O,15,FALSE)),"")</f>
        <v>45824</v>
      </c>
      <c r="P1594" s="11" t="str">
        <f>IFERROR(IF(VLOOKUP(A1594,[11]PRIORIZADOS!$A:$P,16,FALSE)="","",VLOOKUP(A1594,[11]PRIORIZADOS!$A:$P,16,FALSE)),"")</f>
        <v>Visitas de evaluación con fines de mejoramiento</v>
      </c>
      <c r="Q1594" s="107" t="s">
        <v>367</v>
      </c>
      <c r="R1594" s="11" t="str">
        <f>IFERROR(IF(VLOOKUP(A1594,[11]PRIORIZADOS!$A:$R,18,FALSE)="","",VLOOKUP(A1594,[11]PRIORIZADOS!$A:$R,18,FALSE)),"")</f>
        <v>El colegio tiene 3 estudiantes en condición de discapacidad, cada uno cuenta con su PIAR que da cumplimiento.</v>
      </c>
      <c r="S1594" s="11" t="str">
        <f>IFERROR(IF(VLOOKUP(A1594,[11]PRIORIZADOS!$A:$S,19,FALSE)="","",VLOOKUP(A1594,[11]PRIORIZADOS!$A:$S,19,FALSE)),"")</f>
        <v>Continuar con los seguimientos y acompañamiento a los estudiantes con PIAR</v>
      </c>
      <c r="T1594" s="70" t="str">
        <f>IFERROR(IF(VLOOKUP(A1594,[11]PRIORIZADOS!$A:$T,20,FALSE)="","",VLOOKUP(A1594,[11]PRIORIZADOS!$A:$T,20,FALSE)),"")</f>
        <v>No</v>
      </c>
      <c r="U1594" s="11" t="str">
        <f>IFERROR(IF(VLOOKUP(A1594,[11]PRIORIZADOS!$A:$U,21,FALSE)="","",VLOOKUP(A1594,[11]PRIORIZADOS!$A:$U,21,FALSE)),"")</f>
        <v>Verificar en caso de algun reqiuerimiento o queja</v>
      </c>
    </row>
    <row r="1595" spans="1:21" s="1" customFormat="1" ht="84">
      <c r="A1595" s="69">
        <f>IF([11]PRIORIZADOS!A106="","",[11]PRIORIZADOS!A106)</f>
        <v>1562</v>
      </c>
      <c r="B1595" s="70">
        <v>11</v>
      </c>
      <c r="C1595" s="11" t="str">
        <f>IFERROR(IF(VLOOKUP(A1595,[11]PRIORIZADOS!$A:$C,3,FALSE)="","",VLOOKUP(A1595,[11]PRIORIZADOS!$A:$C,3,FALSE)),"")</f>
        <v>RAFAEL URIBE URIBE</v>
      </c>
      <c r="D1595" s="11" t="str">
        <f>IFERROR(IF(VLOOKUP(A1595,[11]PRIORIZADOS!$A:$D,4,FALSE)="","",VLOOKUP(A1595,[11]PRIORIZADOS!$A:$D,4,FALSE)),"")</f>
        <v>PRIVADO</v>
      </c>
      <c r="E1595" s="11" t="str">
        <f>IFERROR(IF(VLOOKUP(A1595,[11]PRIORIZADOS!$A:$E,5,FALSE)="","",VLOOKUP(A1595,[11]PRIORIZADOS!$A:$E,5,FALSE)),"")</f>
        <v>EPBM</v>
      </c>
      <c r="F1595" s="11" t="str">
        <f>IFERROR(IF(VLOOKUP(A1595,[11]PRIORIZADOS!$A:$F,6,FALSE)="","",VLOOKUP(A1595,[11]PRIORIZADOS!$A:$F,6,FALSE)),"")</f>
        <v>COLEGIO_DANILO_CIFUENTES</v>
      </c>
      <c r="G1595" s="11" t="str">
        <f>IFERROR(IF(VLOOKUP(A1595,[11]PRIORIZADOS!$A:$G,7,FALSE)="","",VLOOKUP(A1595,[11]PRIORIZADOS!$A:$G,7,FALSE)),"")</f>
        <v>COLEGIO_DANILO_CIFUENTES</v>
      </c>
      <c r="H1595" s="11" t="str">
        <f>IFERROR(IF(VLOOKUP(A1595,[11]PRIORIZADOS!$A:$H,8,FALSE)="","",VLOOKUP(A1595,[11]PRIORIZADOS!$A:$H,8,FALSE)),"")</f>
        <v>Autoevaluación Institucional y Pruebas SABER 11</v>
      </c>
      <c r="I1595" s="11" t="str">
        <f>IFERROR(IF(VLOOKUP(A1595,[11]PRIORIZADOS!$A:$I,9,FALSE)="","",VLOOKUP(A1595,[11]PRIORIZADOS!$A:$I,9,FALSE)),"")</f>
        <v>EVALUACIÓN_CON_FINES_DE_MEJORAMIENTO.</v>
      </c>
      <c r="J1595" s="11" t="str">
        <f>IFERROR(IF(VLOOKUP(A1595,[11]PRIORIZADOS!$A:$J,10,FALSE)="","",VLOOKUP(A1595,[11]PRIORIZADOS!$A:$J,10,FALSE)),"")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595" s="11" t="str">
        <f>IFERROR(IF(VLOOKUP(A1595,[11]PRIORIZADOS!$A:$K,11,FALSE)="","",VLOOKUP(A1595,[11]PRIORIZADOS!$A:$K,11,FALSE)),"")</f>
        <v>DORY CONSTANZA SANCHEZ ARAGÓN</v>
      </c>
      <c r="L1595" s="11" t="str">
        <f>IFERROR(IF(VLOOKUP(A1595,[11]PRIORIZADOS!$A:$L,12,FALSE)="","",VLOOKUP(A1595,[11]PRIORIZADOS!$A:$L,12,FALSE)),"")</f>
        <v>BEPCI YADIRA MINA ZAPATA</v>
      </c>
      <c r="M1595" s="71">
        <f>IFERROR(IF(VLOOKUP(A1595,[11]PRIORIZADOS!$A:$M,13,FALSE)="","",VLOOKUP(A1595,[11]PRIORIZADOS!$A:$M,13,FALSE)),"")</f>
        <v>45818</v>
      </c>
      <c r="N1595" s="71">
        <f>IFERROR(IF(VLOOKUP(A1595,[11]PRIORIZADOS!$A:$N,14,FALSE)="","",VLOOKUP(A1595,[11]PRIORIZADOS!$A:$N,14,FALSE)),"")</f>
        <v>45819</v>
      </c>
      <c r="O1595" s="71">
        <f>IFERROR(IF(VLOOKUP(A1595,[11]PRIORIZADOS!$A:$O,15,FALSE)="","",VLOOKUP(A1595,[11]PRIORIZADOS!$A:$O,15,FALSE)),"")</f>
        <v>45824</v>
      </c>
      <c r="P1595" s="11" t="str">
        <f>IFERROR(IF(VLOOKUP(A1595,[11]PRIORIZADOS!$A:$P,16,FALSE)="","",VLOOKUP(A1595,[11]PRIORIZADOS!$A:$P,16,FALSE)),"")</f>
        <v>Visitas de evaluación con fines de mejoramiento</v>
      </c>
      <c r="Q1595" s="107" t="s">
        <v>367</v>
      </c>
      <c r="R1595" s="11" t="str">
        <f>IFERROR(IF(VLOOKUP(A1595,[11]PRIORIZADOS!$A:$R,18,FALSE)="","",VLOOKUP(A1595,[11]PRIORIZADOS!$A:$R,18,FALSE)),"")</f>
        <v>No se evidencia aprobación del manual de convivencia, ya que no cuenta con actas de gobierno escolar. En el Manual de Convivencia no se establece un capítulo para la educación inicial y se deben incorporar los 4 enfoques</v>
      </c>
      <c r="S1595" s="11" t="str">
        <f>IFERROR(IF(VLOOKUP(A1595,[11]PRIORIZADOS!$A:$S,19,FALSE)="","",VLOOKUP(A1595,[11]PRIORIZADOS!$A:$S,19,FALSE)),"")</f>
        <v>La institución debe actualizar el manual de convivencia con participación del gobierno escolar. Presentar plan de mejoramiento el 8 de agosto de 2025</v>
      </c>
      <c r="T1595" s="70" t="str">
        <f>IFERROR(IF(VLOOKUP(A1595,[11]PRIORIZADOS!$A:$T,20,FALSE)="","",VLOOKUP(A1595,[11]PRIORIZADOS!$A:$T,20,FALSE)),"")</f>
        <v>Si</v>
      </c>
      <c r="U1595" s="11" t="str">
        <f>IFERROR(IF(VLOOKUP(A1595,[11]PRIORIZADOS!$A:$U,21,FALSE)="","",VLOOKUP(A1595,[11]PRIORIZADOS!$A:$U,21,FALSE)),"")</f>
        <v>Revisar PM y verificar que se ajuste a las observaciones realizadas.</v>
      </c>
    </row>
    <row r="1596" spans="1:21" s="1" customFormat="1" ht="48">
      <c r="A1596" s="69">
        <f>IF([11]PRIORIZADOS!A107="","",[11]PRIORIZADOS!A107)</f>
        <v>1563</v>
      </c>
      <c r="B1596" s="70">
        <v>11</v>
      </c>
      <c r="C1596" s="11" t="str">
        <f>IFERROR(IF(VLOOKUP(A1596,[11]PRIORIZADOS!$A:$C,3,FALSE)="","",VLOOKUP(A1596,[11]PRIORIZADOS!$A:$C,3,FALSE)),"")</f>
        <v>RAFAEL URIBE URIBE</v>
      </c>
      <c r="D1596" s="11" t="str">
        <f>IFERROR(IF(VLOOKUP(A1596,[11]PRIORIZADOS!$A:$D,4,FALSE)="","",VLOOKUP(A1596,[11]PRIORIZADOS!$A:$D,4,FALSE)),"")</f>
        <v>PRIVADO</v>
      </c>
      <c r="E1596" s="11" t="str">
        <f>IFERROR(IF(VLOOKUP(A1596,[11]PRIORIZADOS!$A:$E,5,FALSE)="","",VLOOKUP(A1596,[11]PRIORIZADOS!$A:$E,5,FALSE)),"")</f>
        <v>EPBM</v>
      </c>
      <c r="F1596" s="11" t="str">
        <f>IFERROR(IF(VLOOKUP(A1596,[11]PRIORIZADOS!$A:$F,6,FALSE)="","",VLOOKUP(A1596,[11]PRIORIZADOS!$A:$F,6,FALSE)),"")</f>
        <v>COLEGIO_DANILO_CIFUENTES</v>
      </c>
      <c r="G1596" s="11" t="str">
        <f>IFERROR(IF(VLOOKUP(A1596,[11]PRIORIZADOS!$A:$G,7,FALSE)="","",VLOOKUP(A1596,[11]PRIORIZADOS!$A:$G,7,FALSE)),"")</f>
        <v>COLEGIO_DANILO_CIFUENTES</v>
      </c>
      <c r="H1596" s="11" t="str">
        <f>IFERROR(IF(VLOOKUP(A1596,[11]PRIORIZADOS!$A:$H,8,FALSE)="","",VLOOKUP(A1596,[11]PRIORIZADOS!$A:$H,8,FALSE)),"")</f>
        <v>Autoevaluación Institucional y Pruebas SABER 11</v>
      </c>
      <c r="I1596" s="11" t="str">
        <f>IFERROR(IF(VLOOKUP(A1596,[11]PRIORIZADOS!$A:$I,9,FALSE)="","",VLOOKUP(A1596,[11]PRIORIZADOS!$A:$I,9,FALSE)),"")</f>
        <v>EVALUACIÓN_CON_FINES_DE_MEJORAMIENTO.</v>
      </c>
      <c r="J1596" s="11" t="str">
        <f>IFERROR(IF(VLOOKUP(A1596,[11]PRIORIZADOS!$A:$J,10,FALSE)="","",VLOOKUP(A1596,[11]PRIORIZADOS!$A:$J,10,FALSE)),"")</f>
        <v>Revisar la actualización, socialización e implementación del Sistema Institucional de Evaluación de Estudiantes - SIEE, en articulación con la actualización del PEI y la normatividad vigente.</v>
      </c>
      <c r="K1596" s="11" t="str">
        <f>IFERROR(IF(VLOOKUP(A1596,[11]PRIORIZADOS!$A:$K,11,FALSE)="","",VLOOKUP(A1596,[11]PRIORIZADOS!$A:$K,11,FALSE)),"")</f>
        <v>DORY CONSTANZA SANCHEZ ARAGÓN</v>
      </c>
      <c r="L1596" s="11" t="str">
        <f>IFERROR(IF(VLOOKUP(A1596,[11]PRIORIZADOS!$A:$L,12,FALSE)="","",VLOOKUP(A1596,[11]PRIORIZADOS!$A:$L,12,FALSE)),"")</f>
        <v>BEPCI YADIRA MINA ZAPATA</v>
      </c>
      <c r="M1596" s="71">
        <f>IFERROR(IF(VLOOKUP(A1596,[11]PRIORIZADOS!$A:$M,13,FALSE)="","",VLOOKUP(A1596,[11]PRIORIZADOS!$A:$M,13,FALSE)),"")</f>
        <v>45818</v>
      </c>
      <c r="N1596" s="71">
        <f>IFERROR(IF(VLOOKUP(A1596,[11]PRIORIZADOS!$A:$N,14,FALSE)="","",VLOOKUP(A1596,[11]PRIORIZADOS!$A:$N,14,FALSE)),"")</f>
        <v>45819</v>
      </c>
      <c r="O1596" s="71">
        <f>IFERROR(IF(VLOOKUP(A1596,[11]PRIORIZADOS!$A:$O,15,FALSE)="","",VLOOKUP(A1596,[11]PRIORIZADOS!$A:$O,15,FALSE)),"")</f>
        <v>45824</v>
      </c>
      <c r="P1596" s="11" t="str">
        <f>IFERROR(IF(VLOOKUP(A1596,[11]PRIORIZADOS!$A:$P,16,FALSE)="","",VLOOKUP(A1596,[11]PRIORIZADOS!$A:$P,16,FALSE)),"")</f>
        <v>Visitas de evaluación con fines de mejoramiento</v>
      </c>
      <c r="Q1596" s="107" t="s">
        <v>367</v>
      </c>
      <c r="R1596" s="11" t="str">
        <f>IFERROR(IF(VLOOKUP(A1596,[11]PRIORIZADOS!$A:$R,18,FALSE)="","",VLOOKUP(A1596,[11]PRIORIZADOS!$A:$R,18,FALSE)),"")</f>
        <v>No presentan evidencias de la participación de la comunidad educativa en su construcción</v>
      </c>
      <c r="S1596" s="11" t="str">
        <f>IFERROR(IF(VLOOKUP(A1596,[11]PRIORIZADOS!$A:$S,19,FALSE)="","",VLOOKUP(A1596,[11]PRIORIZADOS!$A:$S,19,FALSE)),"")</f>
        <v>En el SIE se deben ampliar y fortalecer los criterios de evaluación y promoción. Presentar plan de mejoramiento el 8 de agosto de 2025</v>
      </c>
      <c r="T1596" s="70" t="str">
        <f>IFERROR(IF(VLOOKUP(A1596,[11]PRIORIZADOS!$A:$T,20,FALSE)="","",VLOOKUP(A1596,[11]PRIORIZADOS!$A:$T,20,FALSE)),"")</f>
        <v>Si</v>
      </c>
      <c r="U1596" s="11" t="str">
        <f>IFERROR(IF(VLOOKUP(A1596,[11]PRIORIZADOS!$A:$U,21,FALSE)="","",VLOOKUP(A1596,[11]PRIORIZADOS!$A:$U,21,FALSE)),"")</f>
        <v>Revisar PM y verificar que se ajuste a las observaciones realizadas.</v>
      </c>
    </row>
    <row r="1597" spans="1:21" s="1" customFormat="1" ht="60">
      <c r="A1597" s="69">
        <f>IF([11]PRIORIZADOS!A108="","",[11]PRIORIZADOS!A108)</f>
        <v>1564</v>
      </c>
      <c r="B1597" s="70">
        <v>11</v>
      </c>
      <c r="C1597" s="11" t="str">
        <f>IFERROR(IF(VLOOKUP(A1597,[11]PRIORIZADOS!$A:$C,3,FALSE)="","",VLOOKUP(A1597,[11]PRIORIZADOS!$A:$C,3,FALSE)),"")</f>
        <v>RAFAEL URIBE URIBE</v>
      </c>
      <c r="D1597" s="11" t="str">
        <f>IFERROR(IF(VLOOKUP(A1597,[11]PRIORIZADOS!$A:$D,4,FALSE)="","",VLOOKUP(A1597,[11]PRIORIZADOS!$A:$D,4,FALSE)),"")</f>
        <v>PRIVADO</v>
      </c>
      <c r="E1597" s="11" t="str">
        <f>IFERROR(IF(VLOOKUP(A1597,[11]PRIORIZADOS!$A:$E,5,FALSE)="","",VLOOKUP(A1597,[11]PRIORIZADOS!$A:$E,5,FALSE)),"")</f>
        <v>EPBM</v>
      </c>
      <c r="F1597" s="11" t="str">
        <f>IFERROR(IF(VLOOKUP(A1597,[11]PRIORIZADOS!$A:$F,6,FALSE)="","",VLOOKUP(A1597,[11]PRIORIZADOS!$A:$F,6,FALSE)),"")</f>
        <v>COLEGIO_DANILO_CIFUENTES</v>
      </c>
      <c r="G1597" s="11" t="str">
        <f>IFERROR(IF(VLOOKUP(A1597,[11]PRIORIZADOS!$A:$G,7,FALSE)="","",VLOOKUP(A1597,[11]PRIORIZADOS!$A:$G,7,FALSE)),"")</f>
        <v>COLEGIO_DANILO_CIFUENTES</v>
      </c>
      <c r="H1597" s="11" t="str">
        <f>IFERROR(IF(VLOOKUP(A1597,[11]PRIORIZADOS!$A:$H,8,FALSE)="","",VLOOKUP(A1597,[11]PRIORIZADOS!$A:$H,8,FALSE)),"")</f>
        <v>Autoevaluación Institucional y Pruebas SABER 11</v>
      </c>
      <c r="I1597" s="11" t="str">
        <f>IFERROR(IF(VLOOKUP(A1597,[11]PRIORIZADOS!$A:$I,9,FALSE)="","",VLOOKUP(A1597,[11]PRIORIZADOS!$A:$I,9,FALSE)),"")</f>
        <v>EVALUACIÓN_CON_FINES_DE_MEJORAMIENTO.</v>
      </c>
      <c r="J1597" s="11" t="str">
        <f>IFERROR(IF(VLOOKUP(A1597,[11]PRIORIZADOS!$A:$J,10,FALSE)="","",VLOOKUP(A1597,[11]PRIORIZADOS!$A:$J,10,FALSE)),"")</f>
        <v>Revisar el calendario escolar, jornada escolar, la intensidad horaria mínima anual en cada nivel y las modificaciones que se realicen al mismo, de acuerdo con lo previsto en la normatividad vigente.</v>
      </c>
      <c r="K1597" s="11" t="str">
        <f>IFERROR(IF(VLOOKUP(A1597,[11]PRIORIZADOS!$A:$K,11,FALSE)="","",VLOOKUP(A1597,[11]PRIORIZADOS!$A:$K,11,FALSE)),"")</f>
        <v>DORY CONSTANZA SANCHEZ ARAGÓN</v>
      </c>
      <c r="L1597" s="11" t="str">
        <f>IFERROR(IF(VLOOKUP(A1597,[11]PRIORIZADOS!$A:$L,12,FALSE)="","",VLOOKUP(A1597,[11]PRIORIZADOS!$A:$L,12,FALSE)),"")</f>
        <v>BEPCI YADIRA MINA ZAPATA</v>
      </c>
      <c r="M1597" s="71">
        <f>IFERROR(IF(VLOOKUP(A1597,[11]PRIORIZADOS!$A:$M,13,FALSE)="","",VLOOKUP(A1597,[11]PRIORIZADOS!$A:$M,13,FALSE)),"")</f>
        <v>45818</v>
      </c>
      <c r="N1597" s="71">
        <f>IFERROR(IF(VLOOKUP(A1597,[11]PRIORIZADOS!$A:$N,14,FALSE)="","",VLOOKUP(A1597,[11]PRIORIZADOS!$A:$N,14,FALSE)),"")</f>
        <v>45819</v>
      </c>
      <c r="O1597" s="71">
        <f>IFERROR(IF(VLOOKUP(A1597,[11]PRIORIZADOS!$A:$O,15,FALSE)="","",VLOOKUP(A1597,[11]PRIORIZADOS!$A:$O,15,FALSE)),"")</f>
        <v>45824</v>
      </c>
      <c r="P1597" s="11" t="str">
        <f>IFERROR(IF(VLOOKUP(A1597,[11]PRIORIZADOS!$A:$P,16,FALSE)="","",VLOOKUP(A1597,[11]PRIORIZADOS!$A:$P,16,FALSE)),"")</f>
        <v>Visitas de evaluación con fines de mejoramiento</v>
      </c>
      <c r="Q1597" s="107" t="s">
        <v>367</v>
      </c>
      <c r="R1597" s="11" t="str">
        <f>IFERROR(IF(VLOOKUP(A1597,[11]PRIORIZADOS!$A:$R,18,FALSE)="","",VLOOKUP(A1597,[11]PRIORIZADOS!$A:$R,18,FALSE)),"")</f>
        <v>El colegio da cumplimiento total a la intensidad horaria de educación inicial y de la Educación Básica de (1° a 9°) pero no da cumplimiento a la intensidad horaria de la educación media.</v>
      </c>
      <c r="S1597" s="11" t="str">
        <f>IFERROR(IF(VLOOKUP(A1597,[11]PRIORIZADOS!$A:$S,19,FALSE)="","",VLOOKUP(A1597,[11]PRIORIZADOS!$A:$S,19,FALSE)),"")</f>
        <v>Ajustar el horario para dar cumplimiento a la intensidad horaria. Presentar plan de mejoramiento el 8 de agosto de 2025</v>
      </c>
      <c r="T1597" s="70" t="str">
        <f>IFERROR(IF(VLOOKUP(A1597,[11]PRIORIZADOS!$A:$T,20,FALSE)="","",VLOOKUP(A1597,[11]PRIORIZADOS!$A:$T,20,FALSE)),"")</f>
        <v>Si</v>
      </c>
      <c r="U1597" s="11" t="str">
        <f>IFERROR(IF(VLOOKUP(A1597,[11]PRIORIZADOS!$A:$U,21,FALSE)="","",VLOOKUP(A1597,[11]PRIORIZADOS!$A:$U,21,FALSE)),"")</f>
        <v>Revisar PM y verificar que se ajuste a las observaciones realizadas.</v>
      </c>
    </row>
    <row r="1598" spans="1:21" s="1" customFormat="1" ht="48">
      <c r="A1598" s="69">
        <f>IF([11]PRIORIZADOS!A109="","",[11]PRIORIZADOS!A109)</f>
        <v>1565</v>
      </c>
      <c r="B1598" s="70">
        <v>11</v>
      </c>
      <c r="C1598" s="11" t="str">
        <f>IFERROR(IF(VLOOKUP(A1598,[11]PRIORIZADOS!$A:$C,3,FALSE)="","",VLOOKUP(A1598,[11]PRIORIZADOS!$A:$C,3,FALSE)),"")</f>
        <v>RAFAEL URIBE URIBE</v>
      </c>
      <c r="D1598" s="11" t="str">
        <f>IFERROR(IF(VLOOKUP(A1598,[11]PRIORIZADOS!$A:$D,4,FALSE)="","",VLOOKUP(A1598,[11]PRIORIZADOS!$A:$D,4,FALSE)),"")</f>
        <v>PRIVADO</v>
      </c>
      <c r="E1598" s="11" t="str">
        <f>IFERROR(IF(VLOOKUP(A1598,[11]PRIORIZADOS!$A:$E,5,FALSE)="","",VLOOKUP(A1598,[11]PRIORIZADOS!$A:$E,5,FALSE)),"")</f>
        <v>EPBM</v>
      </c>
      <c r="F1598" s="11" t="str">
        <f>IFERROR(IF(VLOOKUP(A1598,[11]PRIORIZADOS!$A:$F,6,FALSE)="","",VLOOKUP(A1598,[11]PRIORIZADOS!$A:$F,6,FALSE)),"")</f>
        <v>COLEGIO_DANILO_CIFUENTES</v>
      </c>
      <c r="G1598" s="11" t="str">
        <f>IFERROR(IF(VLOOKUP(A1598,[11]PRIORIZADOS!$A:$G,7,FALSE)="","",VLOOKUP(A1598,[11]PRIORIZADOS!$A:$G,7,FALSE)),"")</f>
        <v>COLEGIO_DANILO_CIFUENTES</v>
      </c>
      <c r="H1598" s="11" t="str">
        <f>IFERROR(IF(VLOOKUP(A1598,[11]PRIORIZADOS!$A:$H,8,FALSE)="","",VLOOKUP(A1598,[11]PRIORIZADOS!$A:$H,8,FALSE)),"")</f>
        <v>Autoevaluación Institucional y Pruebas SABER 11</v>
      </c>
      <c r="I1598" s="11" t="str">
        <f>IFERROR(IF(VLOOKUP(A1598,[11]PRIORIZADOS!$A:$I,9,FALSE)="","",VLOOKUP(A1598,[11]PRIORIZADOS!$A:$I,9,FALSE)),"")</f>
        <v>EVALUACIÓN_CON_FINES_DE_MEJORAMIENTO.</v>
      </c>
      <c r="J1598" s="11" t="str">
        <f>IFERROR(IF(VLOOKUP(A1598,[11]PRIORIZADOS!$A:$J,10,FALSE)="","",VLOOKUP(A1598,[11]PRIORIZADOS!$A:$J,10,FALSE)),"")</f>
        <v>Verificar el funcionamiento del Gobierno Escolar e instancias de participación con base en la información sobre conformación reportada por la institución educativa.</v>
      </c>
      <c r="K1598" s="11" t="str">
        <f>IFERROR(IF(VLOOKUP(A1598,[11]PRIORIZADOS!$A:$K,11,FALSE)="","",VLOOKUP(A1598,[11]PRIORIZADOS!$A:$K,11,FALSE)),"")</f>
        <v>DORY CONSTANZA SANCHEZ ARAGÓN</v>
      </c>
      <c r="L1598" s="11" t="str">
        <f>IFERROR(IF(VLOOKUP(A1598,[11]PRIORIZADOS!$A:$L,12,FALSE)="","",VLOOKUP(A1598,[11]PRIORIZADOS!$A:$L,12,FALSE)),"")</f>
        <v>BEPCI YADIRA MINA ZAPATA</v>
      </c>
      <c r="M1598" s="71">
        <f>IFERROR(IF(VLOOKUP(A1598,[11]PRIORIZADOS!$A:$M,13,FALSE)="","",VLOOKUP(A1598,[11]PRIORIZADOS!$A:$M,13,FALSE)),"")</f>
        <v>45818</v>
      </c>
      <c r="N1598" s="71">
        <f>IFERROR(IF(VLOOKUP(A1598,[11]PRIORIZADOS!$A:$N,14,FALSE)="","",VLOOKUP(A1598,[11]PRIORIZADOS!$A:$N,14,FALSE)),"")</f>
        <v>45819</v>
      </c>
      <c r="O1598" s="71">
        <f>IFERROR(IF(VLOOKUP(A1598,[11]PRIORIZADOS!$A:$O,15,FALSE)="","",VLOOKUP(A1598,[11]PRIORIZADOS!$A:$O,15,FALSE)),"")</f>
        <v>45824</v>
      </c>
      <c r="P1598" s="11" t="str">
        <f>IFERROR(IF(VLOOKUP(A1598,[11]PRIORIZADOS!$A:$P,16,FALSE)="","",VLOOKUP(A1598,[11]PRIORIZADOS!$A:$P,16,FALSE)),"")</f>
        <v>Visitas de evaluación con fines de mejoramiento</v>
      </c>
      <c r="Q1598" s="107" t="s">
        <v>367</v>
      </c>
      <c r="R1598" s="11" t="str">
        <f>IFERROR(IF(VLOOKUP(A1598,[11]PRIORIZADOS!$A:$R,18,FALSE)="","",VLOOKUP(A1598,[11]PRIORIZADOS!$A:$R,18,FALSE)),"")</f>
        <v>No se evidencian actas de funcionamiento de Gobierno Escolar</v>
      </c>
      <c r="S1598" s="11" t="str">
        <f>IFERROR(IF(VLOOKUP(A1598,[11]PRIORIZADOS!$A:$S,19,FALSE)="","",VLOOKUP(A1598,[11]PRIORIZADOS!$A:$S,19,FALSE)),"")</f>
        <v>Generar los espacios para el funcionamiento del gobierno escolar con sus respectivas actas. Presentar plan de mejoramiento el 8 de agosto de 2025</v>
      </c>
      <c r="T1598" s="70" t="str">
        <f>IFERROR(IF(VLOOKUP(A1598,[11]PRIORIZADOS!$A:$T,20,FALSE)="","",VLOOKUP(A1598,[11]PRIORIZADOS!$A:$T,20,FALSE)),"")</f>
        <v>Si</v>
      </c>
      <c r="U1598" s="11" t="str">
        <f>IFERROR(IF(VLOOKUP(A1598,[11]PRIORIZADOS!$A:$U,21,FALSE)="","",VLOOKUP(A1598,[11]PRIORIZADOS!$A:$U,21,FALSE)),"")</f>
        <v>Revisar PM y verificar que se ajuste a las observaciones realizadas.</v>
      </c>
    </row>
    <row r="1599" spans="1:21" s="1" customFormat="1" ht="60">
      <c r="A1599" s="69">
        <f>IF([11]PRIORIZADOS!A110="","",[11]PRIORIZADOS!A110)</f>
        <v>1566</v>
      </c>
      <c r="B1599" s="70">
        <v>11</v>
      </c>
      <c r="C1599" s="11" t="str">
        <f>IFERROR(IF(VLOOKUP(A1599,[11]PRIORIZADOS!$A:$C,3,FALSE)="","",VLOOKUP(A1599,[11]PRIORIZADOS!$A:$C,3,FALSE)),"")</f>
        <v>RAFAEL URIBE URIBE</v>
      </c>
      <c r="D1599" s="11" t="str">
        <f>IFERROR(IF(VLOOKUP(A1599,[11]PRIORIZADOS!$A:$D,4,FALSE)="","",VLOOKUP(A1599,[11]PRIORIZADOS!$A:$D,4,FALSE)),"")</f>
        <v>PRIVADO</v>
      </c>
      <c r="E1599" s="11" t="str">
        <f>IFERROR(IF(VLOOKUP(A1599,[11]PRIORIZADOS!$A:$E,5,FALSE)="","",VLOOKUP(A1599,[11]PRIORIZADOS!$A:$E,5,FALSE)),"")</f>
        <v>EPBM</v>
      </c>
      <c r="F1599" s="11" t="str">
        <f>IFERROR(IF(VLOOKUP(A1599,[11]PRIORIZADOS!$A:$F,6,FALSE)="","",VLOOKUP(A1599,[11]PRIORIZADOS!$A:$F,6,FALSE)),"")</f>
        <v>COLEGIO_DANILO_CIFUENTES</v>
      </c>
      <c r="G1599" s="11" t="str">
        <f>IFERROR(IF(VLOOKUP(A1599,[11]PRIORIZADOS!$A:$G,7,FALSE)="","",VLOOKUP(A1599,[11]PRIORIZADOS!$A:$G,7,FALSE)),"")</f>
        <v>COLEGIO_DANILO_CIFUENTES</v>
      </c>
      <c r="H1599" s="11" t="str">
        <f>IFERROR(IF(VLOOKUP(A1599,[11]PRIORIZADOS!$A:$H,8,FALSE)="","",VLOOKUP(A1599,[11]PRIORIZADOS!$A:$H,8,FALSE)),"")</f>
        <v>Autoevaluación Institucional y Pruebas SABER 11</v>
      </c>
      <c r="I1599" s="11" t="str">
        <f>IFERROR(IF(VLOOKUP(A1599,[11]PRIORIZADOS!$A:$I,9,FALSE)="","",VLOOKUP(A1599,[11]PRIORIZADOS!$A:$I,9,FALSE)),"")</f>
        <v>EVALUACIÓN_CON_FINES_DE_MEJORAMIENTO.</v>
      </c>
      <c r="J1599" s="11" t="str">
        <f>IFERROR(IF(VLOOKUP(A1599,[11]PRIORIZADOS!$A:$J,10,FALSE)="","",VLOOKUP(A1599,[11]PRIORIZADOS!$A:$J,10,FALSE)),"")</f>
        <v>Verificar las condiciones en cuanto a: la estructura administrativa, condiciones de la planta física y medios educativos adecuados.</v>
      </c>
      <c r="K1599" s="11" t="str">
        <f>IFERROR(IF(VLOOKUP(A1599,[11]PRIORIZADOS!$A:$K,11,FALSE)="","",VLOOKUP(A1599,[11]PRIORIZADOS!$A:$K,11,FALSE)),"")</f>
        <v>DORY CONSTANZA SANCHEZ ARAGÓN</v>
      </c>
      <c r="L1599" s="11" t="str">
        <f>IFERROR(IF(VLOOKUP(A1599,[11]PRIORIZADOS!$A:$L,12,FALSE)="","",VLOOKUP(A1599,[11]PRIORIZADOS!$A:$L,12,FALSE)),"")</f>
        <v>BEPCI YADIRA MINA ZAPATA</v>
      </c>
      <c r="M1599" s="71">
        <f>IFERROR(IF(VLOOKUP(A1599,[11]PRIORIZADOS!$A:$M,13,FALSE)="","",VLOOKUP(A1599,[11]PRIORIZADOS!$A:$M,13,FALSE)),"")</f>
        <v>45818</v>
      </c>
      <c r="N1599" s="71">
        <f>IFERROR(IF(VLOOKUP(A1599,[11]PRIORIZADOS!$A:$N,14,FALSE)="","",VLOOKUP(A1599,[11]PRIORIZADOS!$A:$N,14,FALSE)),"")</f>
        <v>45819</v>
      </c>
      <c r="O1599" s="71">
        <f>IFERROR(IF(VLOOKUP(A1599,[11]PRIORIZADOS!$A:$O,15,FALSE)="","",VLOOKUP(A1599,[11]PRIORIZADOS!$A:$O,15,FALSE)),"")</f>
        <v>45824</v>
      </c>
      <c r="P1599" s="11" t="str">
        <f>IFERROR(IF(VLOOKUP(A1599,[11]PRIORIZADOS!$A:$P,16,FALSE)="","",VLOOKUP(A1599,[11]PRIORIZADOS!$A:$P,16,FALSE)),"")</f>
        <v>Visitas de evaluación con fines de mejoramiento</v>
      </c>
      <c r="Q1599" s="107" t="s">
        <v>367</v>
      </c>
      <c r="R1599" s="11" t="str">
        <f>IFERROR(IF(VLOOKUP(A1599,[11]PRIORIZADOS!$A:$R,18,FALSE)="","",VLOOKUP(A1599,[11]PRIORIZADOS!$A:$R,18,FALSE)),"")</f>
        <v>Cuenta con sede de primaria y bachillerato con licencia de funcionamiento y la sede de preescolar se encuentra en emisión de acto administrativo. Los ambientes son adecuados y sufientes.</v>
      </c>
      <c r="S1599" s="11" t="str">
        <f>IFERROR(IF(VLOOKUP(A1599,[11]PRIORIZADOS!$A:$S,19,FALSE)="","",VLOOKUP(A1599,[11]PRIORIZADOS!$A:$S,19,FALSE)),"")</f>
        <v>Reorganizar los estudiantes de preescolar en la sede nueva al obtener la resolución</v>
      </c>
      <c r="T1599" s="70" t="str">
        <f>IFERROR(IF(VLOOKUP(A1599,[11]PRIORIZADOS!$A:$T,20,FALSE)="","",VLOOKUP(A1599,[11]PRIORIZADOS!$A:$T,20,FALSE)),"")</f>
        <v>No</v>
      </c>
      <c r="U1599" s="11" t="str">
        <f>IFERROR(IF(VLOOKUP(A1599,[11]PRIORIZADOS!$A:$U,21,FALSE)="","",VLOOKUP(A1599,[11]PRIORIZADOS!$A:$U,21,FALSE)),"")</f>
        <v>Verificar en caso de presentarse una queja</v>
      </c>
    </row>
    <row r="1600" spans="1:21" s="1" customFormat="1" ht="60">
      <c r="A1600" s="69">
        <f>IF([11]PRIORIZADOS!A111="","",[11]PRIORIZADOS!A111)</f>
        <v>1567</v>
      </c>
      <c r="B1600" s="70">
        <f>IFERROR(IF(VLOOKUP(A1600,[11]PRIORIZADOS!$A:$B,2,FALSE)="","",VLOOKUP(A1600,[11]PRIORIZADOS!$A:$B,2,FALSE)),"")</f>
        <v>12</v>
      </c>
      <c r="C1600" s="11" t="str">
        <f>IFERROR(IF(VLOOKUP(A1600,[11]PRIORIZADOS!$A:$C,3,FALSE)="","",VLOOKUP(A1600,[11]PRIORIZADOS!$A:$C,3,FALSE)),"")</f>
        <v>RAFAEL URIBE URIBE</v>
      </c>
      <c r="D1600" s="11" t="str">
        <f>IFERROR(IF(VLOOKUP(A1600,[11]PRIORIZADOS!$A:$D,4,FALSE)="","",VLOOKUP(A1600,[11]PRIORIZADOS!$A:$D,4,FALSE)),"")</f>
        <v>PRIVADO</v>
      </c>
      <c r="E1600" s="11" t="str">
        <f>IFERROR(IF(VLOOKUP(A1600,[11]PRIORIZADOS!$A:$E,5,FALSE)="","",VLOOKUP(A1600,[11]PRIORIZADOS!$A:$E,5,FALSE)),"")</f>
        <v>EPBM</v>
      </c>
      <c r="F1600" s="11" t="str">
        <f>IFERROR(IF(VLOOKUP(A1600,[11]PRIORIZADOS!$A:$F,6,FALSE)="","",VLOOKUP(A1600,[11]PRIORIZADOS!$A:$F,6,FALSE)),"")</f>
        <v>COLEGIO_HERMANOS_BELTRAN</v>
      </c>
      <c r="G1600" s="11" t="str">
        <f>IFERROR(IF(VLOOKUP(A1600,[11]PRIORIZADOS!$A:$G,7,FALSE)="","",VLOOKUP(A1600,[11]PRIORIZADOS!$A:$G,7,FALSE)),"")</f>
        <v>COLEGIO_HERMANOS_BELTRAN</v>
      </c>
      <c r="H1600" s="11" t="str">
        <f>IFERROR(IF(VLOOKUP(A1600,[11]PRIORIZADOS!$A:$H,8,FALSE)="","",VLOOKUP(A1600,[11]PRIORIZADOS!$A:$H,8,FALSE)),"")</f>
        <v>Autoevaluación Institucional y Pruebas SABER 11</v>
      </c>
      <c r="I1600" s="11" t="str">
        <f>IFERROR(IF(VLOOKUP(A1600,[11]PRIORIZADOS!$A:$I,9,FALSE)="","",VLOOKUP(A1600,[11]PRIORIZADOS!$A:$I,9,FALSE)),"")</f>
        <v>SEGUIMIENTO_Y_SUPERVISIÓN.</v>
      </c>
      <c r="J1600" s="11" t="str">
        <f>IFERROR(IF(VLOOKUP(A1600,[11]PRIORIZADOS!$A:$J,10,FALSE)="","",VLOOKUP(A1600,[11]PRIORIZADOS!$A:$J,10,FALSE)),"")</f>
        <v>Realizar visitas para verificar la información registrada sobre la autoevaluación institucional en el aplicativo EVI, a los establecimientos de educación formal no oficial.</v>
      </c>
      <c r="K1600" s="11" t="str">
        <f>IFERROR(IF(VLOOKUP(A1600,[11]PRIORIZADOS!$A:$K,11,FALSE)="","",VLOOKUP(A1600,[11]PRIORIZADOS!$A:$K,11,FALSE)),"")</f>
        <v>BEPCI YADIRA MINA ZAPATA</v>
      </c>
      <c r="L1600" s="11" t="str">
        <f>IFERROR(IF(VLOOKUP(A1600,[11]PRIORIZADOS!$A:$L,12,FALSE)="","",VLOOKUP(A1600,[11]PRIORIZADOS!$A:$L,12,FALSE)),"")</f>
        <v>DORY CONSTANZA SANCHEZ ARAGÓN</v>
      </c>
      <c r="M1600" s="71">
        <f>IFERROR(IF(VLOOKUP(A1600,[11]PRIORIZADOS!$A:$M,13,FALSE)="","",VLOOKUP(A1600,[11]PRIORIZADOS!$A:$M,13,FALSE)),"")</f>
        <v>45846</v>
      </c>
      <c r="N1600" s="71">
        <f>IFERROR(IF(VLOOKUP(A1600,[11]PRIORIZADOS!$A:$N,14,FALSE)="","",VLOOKUP(A1600,[11]PRIORIZADOS!$A:$N,14,FALSE)),"")</f>
        <v>45856</v>
      </c>
      <c r="O1600" s="71">
        <f>IFERROR(IF(VLOOKUP(A1600,[11]PRIORIZADOS!$A:$O,15,FALSE)="","",VLOOKUP(A1600,[11]PRIORIZADOS!$A:$O,15,FALSE)),"")</f>
        <v>45861</v>
      </c>
      <c r="P1600" s="11" t="str">
        <f>IFERROR(IF(VLOOKUP(A1600,[11]PRIORIZADOS!$A:$P,16,FALSE)="","",VLOOKUP(A1600,[11]PRIORIZADOS!$A:$P,16,FALSE)),"")</f>
        <v>Visitas de evaluación con fines de mejoramiento</v>
      </c>
      <c r="Q1600" s="238" t="s">
        <v>368</v>
      </c>
      <c r="R1600" s="11" t="str">
        <f>IFERROR(IF(VLOOKUP(A1600,[11]PRIORIZADOS!$A:$R,18,FALSE)="","",VLOOKUP(A1600,[11]PRIORIZADOS!$A:$R,18,FALSE)),"")</f>
        <v>Se evidencia que los docentes se encuentran con contrato laboral y  pago de seguridad social.
Planta física acorde con espacios pedagogícos adecuados.</v>
      </c>
      <c r="S1600" s="11" t="str">
        <f>IFERROR(IF(VLOOKUP(A1600,[11]PRIORIZADOS!$A:$S,19,FALSE)="","",VLOOKUP(A1600,[11]PRIORIZADOS!$A:$S,19,FALSE)),"")</f>
        <v>Continuar con la contratación y pago de seguridad social de los docentes</v>
      </c>
      <c r="T1600" s="70" t="str">
        <f>IFERROR(IF(VLOOKUP(A1600,[11]PRIORIZADOS!$A:$T,20,FALSE)="","",VLOOKUP(A1600,[11]PRIORIZADOS!$A:$T,20,FALSE)),"")</f>
        <v>No</v>
      </c>
      <c r="U1600" s="11" t="str">
        <f>IFERROR(IF(VLOOKUP(A1600,[11]PRIORIZADOS!$A:$U,21,FALSE)="","",VLOOKUP(A1600,[11]PRIORIZADOS!$A:$U,21,FALSE)),"")</f>
        <v>Verificar en caso de algun reqiuerimiento o queja</v>
      </c>
    </row>
    <row r="1601" spans="1:21" s="1" customFormat="1" ht="84">
      <c r="A1601" s="69">
        <f>IF([11]PRIORIZADOS!A112="","",[11]PRIORIZADOS!A112)</f>
        <v>1568</v>
      </c>
      <c r="B1601" s="70">
        <v>12</v>
      </c>
      <c r="C1601" s="11" t="str">
        <f>IFERROR(IF(VLOOKUP(A1601,[11]PRIORIZADOS!$A:$C,3,FALSE)="","",VLOOKUP(A1601,[11]PRIORIZADOS!$A:$C,3,FALSE)),"")</f>
        <v>RAFAEL URIBE URIBE</v>
      </c>
      <c r="D1601" s="11" t="str">
        <f>IFERROR(IF(VLOOKUP(A1601,[11]PRIORIZADOS!$A:$D,4,FALSE)="","",VLOOKUP(A1601,[11]PRIORIZADOS!$A:$D,4,FALSE)),"")</f>
        <v>PRIVADO</v>
      </c>
      <c r="E1601" s="11" t="str">
        <f>IFERROR(IF(VLOOKUP(A1601,[11]PRIORIZADOS!$A:$E,5,FALSE)="","",VLOOKUP(A1601,[11]PRIORIZADOS!$A:$E,5,FALSE)),"")</f>
        <v>EPBM</v>
      </c>
      <c r="F1601" s="11" t="str">
        <f>IFERROR(IF(VLOOKUP(A1601,[11]PRIORIZADOS!$A:$F,6,FALSE)="","",VLOOKUP(A1601,[11]PRIORIZADOS!$A:$F,6,FALSE)),"")</f>
        <v>COLEGIO_HERMANOS_BELTRAN</v>
      </c>
      <c r="G1601" s="11" t="str">
        <f>IFERROR(IF(VLOOKUP(A1601,[11]PRIORIZADOS!$A:$G,7,FALSE)="","",VLOOKUP(A1601,[11]PRIORIZADOS!$A:$G,7,FALSE)),"")</f>
        <v>COLEGIO_HERMANOS_BELTRAN</v>
      </c>
      <c r="H1601" s="11" t="str">
        <f>IFERROR(IF(VLOOKUP(A1601,[11]PRIORIZADOS!$A:$H,8,FALSE)="","",VLOOKUP(A1601,[11]PRIORIZADOS!$A:$H,8,FALSE)),"")</f>
        <v>Autoevaluación Institucional y Pruebas SABER 11</v>
      </c>
      <c r="I1601" s="11" t="str">
        <f>IFERROR(IF(VLOOKUP(A1601,[11]PRIORIZADOS!$A:$I,9,FALSE)="","",VLOOKUP(A1601,[11]PRIORIZADOS!$A:$I,9,FALSE)),"")</f>
        <v>SEGUIMIENTO_Y_SUPERVISIÓN.</v>
      </c>
      <c r="J1601" s="11" t="str">
        <f>IFERROR(IF(VLOOKUP(A1601,[11]PRIORIZADOS!$A:$J,10,FALSE)="","",VLOOKUP(A1601,[11]PRIORIZADOS!$A:$J,10,FALSE)),"")</f>
        <v>Proponer estrategias en la formulación, verificar su elaboración y realizar seguimiento semestral al desarrollo de  las acciones establecidas en los planes de mejoramiento por pruebas SABER 11 de los establecimientos de educación formal.</v>
      </c>
      <c r="K1601" s="11" t="str">
        <f>IFERROR(IF(VLOOKUP(A1601,[11]PRIORIZADOS!$A:$K,11,FALSE)="","",VLOOKUP(A1601,[11]PRIORIZADOS!$A:$K,11,FALSE)),"")</f>
        <v>BEPCI YADIRA MINA ZAPATA</v>
      </c>
      <c r="L1601" s="11" t="str">
        <f>IFERROR(IF(VLOOKUP(A1601,[11]PRIORIZADOS!$A:$L,12,FALSE)="","",VLOOKUP(A1601,[11]PRIORIZADOS!$A:$L,12,FALSE)),"")</f>
        <v>DORY CONSTANZA SANCHEZ ARAGÓN</v>
      </c>
      <c r="M1601" s="71">
        <f>IFERROR(IF(VLOOKUP(A1601,[11]PRIORIZADOS!$A:$M,13,FALSE)="","",VLOOKUP(A1601,[11]PRIORIZADOS!$A:$M,13,FALSE)),"")</f>
        <v>45846</v>
      </c>
      <c r="N1601" s="71">
        <f>IFERROR(IF(VLOOKUP(A1601,[11]PRIORIZADOS!$A:$N,14,FALSE)="","",VLOOKUP(A1601,[11]PRIORIZADOS!$A:$N,14,FALSE)),"")</f>
        <v>45856</v>
      </c>
      <c r="O1601" s="71">
        <f>IFERROR(IF(VLOOKUP(A1601,[11]PRIORIZADOS!$A:$O,15,FALSE)="","",VLOOKUP(A1601,[11]PRIORIZADOS!$A:$O,15,FALSE)),"")</f>
        <v>45861</v>
      </c>
      <c r="P1601" s="11" t="str">
        <f>IFERROR(IF(VLOOKUP(A1601,[11]PRIORIZADOS!$A:$P,16,FALSE)="","",VLOOKUP(A1601,[11]PRIORIZADOS!$A:$P,16,FALSE)),"")</f>
        <v>Visitas de evaluación con fines de mejoramiento</v>
      </c>
      <c r="Q1601" s="238" t="s">
        <v>368</v>
      </c>
      <c r="R1601" s="11" t="str">
        <f>IFERROR(IF(VLOOKUP(A1601,[11]PRIORIZADOS!$A:$R,18,FALSE)="","",VLOOKUP(A1601,[11]PRIORIZADOS!$A:$R,18,FALSE)),"")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601" s="11" t="str">
        <f>IFERROR(IF(VLOOKUP(A1601,[11]PRIORIZADOS!$A:$S,19,FALSE)="","",VLOOKUP(A1601,[11]PRIORIZADOS!$A:$S,19,FALSE)),"")</f>
        <v>Realizar analisis de las Pruebas Saber y establecer acciones pertinentes. Presentar plan de mejoramiento el 22 de agosto de 2025</v>
      </c>
      <c r="T1601" s="70" t="str">
        <f>IFERROR(IF(VLOOKUP(A1601,[11]PRIORIZADOS!$A:$T,20,FALSE)="","",VLOOKUP(A1601,[11]PRIORIZADOS!$A:$T,20,FALSE)),"")</f>
        <v>Si</v>
      </c>
      <c r="U1601" s="11" t="str">
        <f>IFERROR(IF(VLOOKUP(A1601,[11]PRIORIZADOS!$A:$U,21,FALSE)="","",VLOOKUP(A1601,[11]PRIORIZADOS!$A:$U,21,FALSE)),"")</f>
        <v>Revisar PM y verificar que se ajuste a las observaciones realizadas.</v>
      </c>
    </row>
    <row r="1602" spans="1:21" s="1" customFormat="1" ht="60">
      <c r="A1602" s="69">
        <f>IF([11]PRIORIZADOS!A113="","",[11]PRIORIZADOS!A113)</f>
        <v>1569</v>
      </c>
      <c r="B1602" s="70">
        <v>12</v>
      </c>
      <c r="C1602" s="11" t="str">
        <f>IFERROR(IF(VLOOKUP(A1602,[11]PRIORIZADOS!$A:$C,3,FALSE)="","",VLOOKUP(A1602,[11]PRIORIZADOS!$A:$C,3,FALSE)),"")</f>
        <v>RAFAEL URIBE URIBE</v>
      </c>
      <c r="D1602" s="11" t="str">
        <f>IFERROR(IF(VLOOKUP(A1602,[11]PRIORIZADOS!$A:$D,4,FALSE)="","",VLOOKUP(A1602,[11]PRIORIZADOS!$A:$D,4,FALSE)),"")</f>
        <v>PRIVADO</v>
      </c>
      <c r="E1602" s="11" t="str">
        <f>IFERROR(IF(VLOOKUP(A1602,[11]PRIORIZADOS!$A:$E,5,FALSE)="","",VLOOKUP(A1602,[11]PRIORIZADOS!$A:$E,5,FALSE)),"")</f>
        <v>EPBM</v>
      </c>
      <c r="F1602" s="11" t="str">
        <f>IFERROR(IF(VLOOKUP(A1602,[11]PRIORIZADOS!$A:$F,6,FALSE)="","",VLOOKUP(A1602,[11]PRIORIZADOS!$A:$F,6,FALSE)),"")</f>
        <v>COLEGIO_HERMANOS_BELTRAN</v>
      </c>
      <c r="G1602" s="11" t="str">
        <f>IFERROR(IF(VLOOKUP(A1602,[11]PRIORIZADOS!$A:$G,7,FALSE)="","",VLOOKUP(A1602,[11]PRIORIZADOS!$A:$G,7,FALSE)),"")</f>
        <v>COLEGIO_HERMANOS_BELTRAN</v>
      </c>
      <c r="H1602" s="11" t="str">
        <f>IFERROR(IF(VLOOKUP(A1602,[11]PRIORIZADOS!$A:$H,8,FALSE)="","",VLOOKUP(A1602,[11]PRIORIZADOS!$A:$H,8,FALSE)),"")</f>
        <v>Autoevaluación Institucional y Pruebas SABER 11</v>
      </c>
      <c r="I1602" s="11" t="str">
        <f>IFERROR(IF(VLOOKUP(A1602,[11]PRIORIZADOS!$A:$I,9,FALSE)="","",VLOOKUP(A1602,[11]PRIORIZADOS!$A:$I,9,FALSE)),"")</f>
        <v>SEGUIMIENTO_Y_SUPERVISIÓN.</v>
      </c>
      <c r="J1602" s="11" t="str">
        <f>IFERROR(IF(VLOOKUP(A1602,[11]PRIORIZADOS!$A:$J,10,FALSE)="","",VLOOKUP(A1602,[11]PRIORIZADOS!$A:$J,10,FALSE)),"")</f>
        <v xml:space="preserve">Verificar la implementación por parte de los colegios, de acciones realizadas para la prevención y atención de las situaciones de convivencia en el entorno escolar, según lo establecido en la Directiva 01 de 2022 del MEN. </v>
      </c>
      <c r="K1602" s="11" t="str">
        <f>IFERROR(IF(VLOOKUP(A1602,[11]PRIORIZADOS!$A:$K,11,FALSE)="","",VLOOKUP(A1602,[11]PRIORIZADOS!$A:$K,11,FALSE)),"")</f>
        <v>BEPCI YADIRA MINA ZAPATA</v>
      </c>
      <c r="L1602" s="11" t="str">
        <f>IFERROR(IF(VLOOKUP(A1602,[11]PRIORIZADOS!$A:$L,12,FALSE)="","",VLOOKUP(A1602,[11]PRIORIZADOS!$A:$L,12,FALSE)),"")</f>
        <v>DORY CONSTANZA SANCHEZ ARAGÓN</v>
      </c>
      <c r="M1602" s="71">
        <f>IFERROR(IF(VLOOKUP(A1602,[11]PRIORIZADOS!$A:$M,13,FALSE)="","",VLOOKUP(A1602,[11]PRIORIZADOS!$A:$M,13,FALSE)),"")</f>
        <v>45846</v>
      </c>
      <c r="N1602" s="71">
        <f>IFERROR(IF(VLOOKUP(A1602,[11]PRIORIZADOS!$A:$N,14,FALSE)="","",VLOOKUP(A1602,[11]PRIORIZADOS!$A:$N,14,FALSE)),"")</f>
        <v>45856</v>
      </c>
      <c r="O1602" s="71">
        <f>IFERROR(IF(VLOOKUP(A1602,[11]PRIORIZADOS!$A:$O,15,FALSE)="","",VLOOKUP(A1602,[11]PRIORIZADOS!$A:$O,15,FALSE)),"")</f>
        <v>45861</v>
      </c>
      <c r="P1602" s="11" t="str">
        <f>IFERROR(IF(VLOOKUP(A1602,[11]PRIORIZADOS!$A:$P,16,FALSE)="","",VLOOKUP(A1602,[11]PRIORIZADOS!$A:$P,16,FALSE)),"")</f>
        <v>Visitas de evaluación con fines de mejoramiento</v>
      </c>
      <c r="Q1602" s="238" t="s">
        <v>368</v>
      </c>
      <c r="R1602" s="11" t="str">
        <f>IFERROR(IF(VLOOKUP(A1602,[11]PRIORIZADOS!$A:$R,18,FALSE)="","",VLOOKUP(A1602,[11]PRIORIZADOS!$A:$R,18,FALSE)),"")</f>
        <v>La institución cuenta con actas donde se evidencie el funcionamiento del comité de convivencia escolar.
No cuenta con verificacion de inhabilidadades por delitos sexuales</v>
      </c>
      <c r="S1602" s="11" t="str">
        <f>IFERROR(IF(VLOOKUP(A1602,[11]PRIORIZADOS!$A:$S,19,FALSE)="","",VLOOKUP(A1602,[11]PRIORIZADOS!$A:$S,19,FALSE)),"")</f>
        <v>Se debe realizar verificación de antecedente cada 4 meses. Presentar plan de mejoramiento el 22 de agosto de 2025</v>
      </c>
      <c r="T1602" s="70" t="str">
        <f>IFERROR(IF(VLOOKUP(A1602,[11]PRIORIZADOS!$A:$T,20,FALSE)="","",VLOOKUP(A1602,[11]PRIORIZADOS!$A:$T,20,FALSE)),"")</f>
        <v>Si</v>
      </c>
      <c r="U1602" s="11" t="str">
        <f>IFERROR(IF(VLOOKUP(A1602,[11]PRIORIZADOS!$A:$U,21,FALSE)="","",VLOOKUP(A1602,[11]PRIORIZADOS!$A:$U,21,FALSE)),"")</f>
        <v>Revisar PM y verificar que se ajuste a las observaciones realizadas.</v>
      </c>
    </row>
    <row r="1603" spans="1:21" s="1" customFormat="1" ht="72">
      <c r="A1603" s="69">
        <f>IF([11]PRIORIZADOS!A114="","",[11]PRIORIZADOS!A114)</f>
        <v>1570</v>
      </c>
      <c r="B1603" s="70">
        <v>12</v>
      </c>
      <c r="C1603" s="11" t="str">
        <f>IFERROR(IF(VLOOKUP(A1603,[11]PRIORIZADOS!$A:$C,3,FALSE)="","",VLOOKUP(A1603,[11]PRIORIZADOS!$A:$C,3,FALSE)),"")</f>
        <v>RAFAEL URIBE URIBE</v>
      </c>
      <c r="D1603" s="11" t="str">
        <f>IFERROR(IF(VLOOKUP(A1603,[11]PRIORIZADOS!$A:$D,4,FALSE)="","",VLOOKUP(A1603,[11]PRIORIZADOS!$A:$D,4,FALSE)),"")</f>
        <v>PRIVADO</v>
      </c>
      <c r="E1603" s="11" t="str">
        <f>IFERROR(IF(VLOOKUP(A1603,[11]PRIORIZADOS!$A:$E,5,FALSE)="","",VLOOKUP(A1603,[11]PRIORIZADOS!$A:$E,5,FALSE)),"")</f>
        <v>EPBM</v>
      </c>
      <c r="F1603" s="11" t="str">
        <f>IFERROR(IF(VLOOKUP(A1603,[11]PRIORIZADOS!$A:$F,6,FALSE)="","",VLOOKUP(A1603,[11]PRIORIZADOS!$A:$F,6,FALSE)),"")</f>
        <v>COLEGIO_HERMANOS_BELTRAN</v>
      </c>
      <c r="G1603" s="11" t="str">
        <f>IFERROR(IF(VLOOKUP(A1603,[11]PRIORIZADOS!$A:$G,7,FALSE)="","",VLOOKUP(A1603,[11]PRIORIZADOS!$A:$G,7,FALSE)),"")</f>
        <v>COLEGIO_HERMANOS_BELTRAN</v>
      </c>
      <c r="H1603" s="11" t="str">
        <f>IFERROR(IF(VLOOKUP(A1603,[11]PRIORIZADOS!$A:$H,8,FALSE)="","",VLOOKUP(A1603,[11]PRIORIZADOS!$A:$H,8,FALSE)),"")</f>
        <v>Autoevaluación Institucional y Pruebas SABER 11</v>
      </c>
      <c r="I1603" s="11" t="str">
        <f>IFERROR(IF(VLOOKUP(A1603,[11]PRIORIZADOS!$A:$I,9,FALSE)="","",VLOOKUP(A1603,[11]PRIORIZADOS!$A:$I,9,FALSE)),"")</f>
        <v>SEGUIMIENTO_Y_SUPERVISIÓN.</v>
      </c>
      <c r="J1603" s="11" t="str">
        <f>IFERROR(IF(VLOOKUP(A1603,[11]PRIORIZADOS!$A:$J,10,FALSE)="","",VLOOKUP(A1603,[11]PRIORIZADOS!$A:$J,10,FALSE)),"")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03" s="11" t="str">
        <f>IFERROR(IF(VLOOKUP(A1603,[11]PRIORIZADOS!$A:$K,11,FALSE)="","",VLOOKUP(A1603,[11]PRIORIZADOS!$A:$K,11,FALSE)),"")</f>
        <v>BEPCI YADIRA MINA ZAPATA</v>
      </c>
      <c r="L1603" s="11" t="str">
        <f>IFERROR(IF(VLOOKUP(A1603,[11]PRIORIZADOS!$A:$L,12,FALSE)="","",VLOOKUP(A1603,[11]PRIORIZADOS!$A:$L,12,FALSE)),"")</f>
        <v>DORY CONSTANZA SANCHEZ ARAGÓN</v>
      </c>
      <c r="M1603" s="71">
        <f>IFERROR(IF(VLOOKUP(A1603,[11]PRIORIZADOS!$A:$M,13,FALSE)="","",VLOOKUP(A1603,[11]PRIORIZADOS!$A:$M,13,FALSE)),"")</f>
        <v>45846</v>
      </c>
      <c r="N1603" s="71">
        <f>IFERROR(IF(VLOOKUP(A1603,[11]PRIORIZADOS!$A:$N,14,FALSE)="","",VLOOKUP(A1603,[11]PRIORIZADOS!$A:$N,14,FALSE)),"")</f>
        <v>45856</v>
      </c>
      <c r="O1603" s="71">
        <f>IFERROR(IF(VLOOKUP(A1603,[11]PRIORIZADOS!$A:$O,15,FALSE)="","",VLOOKUP(A1603,[11]PRIORIZADOS!$A:$O,15,FALSE)),"")</f>
        <v>45861</v>
      </c>
      <c r="P1603" s="11" t="str">
        <f>IFERROR(IF(VLOOKUP(A1603,[11]PRIORIZADOS!$A:$P,16,FALSE)="","",VLOOKUP(A1603,[11]PRIORIZADOS!$A:$P,16,FALSE)),"")</f>
        <v>Visitas de evaluación con fines de mejoramiento</v>
      </c>
      <c r="Q1603" s="238" t="s">
        <v>368</v>
      </c>
      <c r="R1603" s="11" t="str">
        <f>IFERROR(IF(VLOOKUP(A1603,[11]PRIORIZADOS!$A:$R,18,FALSE)="","",VLOOKUP(A1603,[11]PRIORIZADOS!$A:$R,18,FALSE)),"")</f>
        <v>Los PIAR están diseñados para cada estudiante, están muy bien estructurados, en ellos se proponen estrategías pedagógicas claras y muy bien definidas para cada caso</v>
      </c>
      <c r="S1603" s="11" t="str">
        <f>IFERROR(IF(VLOOKUP(A1603,[11]PRIORIZADOS!$A:$S,19,FALSE)="","",VLOOKUP(A1603,[11]PRIORIZADOS!$A:$S,19,FALSE)),"")</f>
        <v>Continuar con los seguimientos y acompañamiento a los estudiantes con PIAR</v>
      </c>
      <c r="T1603" s="70" t="str">
        <f>IFERROR(IF(VLOOKUP(A1603,[11]PRIORIZADOS!$A:$T,20,FALSE)="","",VLOOKUP(A1603,[11]PRIORIZADOS!$A:$T,20,FALSE)),"")</f>
        <v>No</v>
      </c>
      <c r="U1603" s="11" t="str">
        <f>IFERROR(IF(VLOOKUP(A1603,[11]PRIORIZADOS!$A:$U,21,FALSE)="","",VLOOKUP(A1603,[11]PRIORIZADOS!$A:$U,21,FALSE)),"")</f>
        <v>Verificar en caso de algun reqiuerimiento o queja</v>
      </c>
    </row>
    <row r="1604" spans="1:21" s="1" customFormat="1" ht="84">
      <c r="A1604" s="69">
        <f>IF([11]PRIORIZADOS!A115="","",[11]PRIORIZADOS!A115)</f>
        <v>1571</v>
      </c>
      <c r="B1604" s="70">
        <v>12</v>
      </c>
      <c r="C1604" s="11" t="str">
        <f>IFERROR(IF(VLOOKUP(A1604,[11]PRIORIZADOS!$A:$C,3,FALSE)="","",VLOOKUP(A1604,[11]PRIORIZADOS!$A:$C,3,FALSE)),"")</f>
        <v>RAFAEL URIBE URIBE</v>
      </c>
      <c r="D1604" s="11" t="str">
        <f>IFERROR(IF(VLOOKUP(A1604,[11]PRIORIZADOS!$A:$D,4,FALSE)="","",VLOOKUP(A1604,[11]PRIORIZADOS!$A:$D,4,FALSE)),"")</f>
        <v>PRIVADO</v>
      </c>
      <c r="E1604" s="11" t="str">
        <f>IFERROR(IF(VLOOKUP(A1604,[11]PRIORIZADOS!$A:$E,5,FALSE)="","",VLOOKUP(A1604,[11]PRIORIZADOS!$A:$E,5,FALSE)),"")</f>
        <v>EPBM</v>
      </c>
      <c r="F1604" s="11" t="str">
        <f>IFERROR(IF(VLOOKUP(A1604,[11]PRIORIZADOS!$A:$F,6,FALSE)="","",VLOOKUP(A1604,[11]PRIORIZADOS!$A:$F,6,FALSE)),"")</f>
        <v>COLEGIO_HERMANOS_BELTRAN</v>
      </c>
      <c r="G1604" s="11" t="str">
        <f>IFERROR(IF(VLOOKUP(A1604,[11]PRIORIZADOS!$A:$G,7,FALSE)="","",VLOOKUP(A1604,[11]PRIORIZADOS!$A:$G,7,FALSE)),"")</f>
        <v>COLEGIO_HERMANOS_BELTRAN</v>
      </c>
      <c r="H1604" s="11" t="str">
        <f>IFERROR(IF(VLOOKUP(A1604,[11]PRIORIZADOS!$A:$H,8,FALSE)="","",VLOOKUP(A1604,[11]PRIORIZADOS!$A:$H,8,FALSE)),"")</f>
        <v>Autoevaluación Institucional y Pruebas SABER 11</v>
      </c>
      <c r="I1604" s="11" t="str">
        <f>IFERROR(IF(VLOOKUP(A1604,[11]PRIORIZADOS!$A:$I,9,FALSE)="","",VLOOKUP(A1604,[11]PRIORIZADOS!$A:$I,9,FALSE)),"")</f>
        <v>EVALUACIÓN_CON_FINES_DE_MEJORAMIENTO.</v>
      </c>
      <c r="J1604" s="11" t="str">
        <f>IFERROR(IF(VLOOKUP(A1604,[11]PRIORIZADOS!$A:$J,10,FALSE)="","",VLOOKUP(A1604,[11]PRIORIZADOS!$A:$J,10,FALSE)),"")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04" s="11" t="str">
        <f>IFERROR(IF(VLOOKUP(A1604,[11]PRIORIZADOS!$A:$K,11,FALSE)="","",VLOOKUP(A1604,[11]PRIORIZADOS!$A:$K,11,FALSE)),"")</f>
        <v>BEPCI YADIRA MINA ZAPATA</v>
      </c>
      <c r="L1604" s="11" t="str">
        <f>IFERROR(IF(VLOOKUP(A1604,[11]PRIORIZADOS!$A:$L,12,FALSE)="","",VLOOKUP(A1604,[11]PRIORIZADOS!$A:$L,12,FALSE)),"")</f>
        <v>DORY CONSTANZA SANCHEZ ARAGÓN</v>
      </c>
      <c r="M1604" s="71">
        <f>IFERROR(IF(VLOOKUP(A1604,[11]PRIORIZADOS!$A:$M,13,FALSE)="","",VLOOKUP(A1604,[11]PRIORIZADOS!$A:$M,13,FALSE)),"")</f>
        <v>45846</v>
      </c>
      <c r="N1604" s="71">
        <f>IFERROR(IF(VLOOKUP(A1604,[11]PRIORIZADOS!$A:$N,14,FALSE)="","",VLOOKUP(A1604,[11]PRIORIZADOS!$A:$N,14,FALSE)),"")</f>
        <v>45856</v>
      </c>
      <c r="O1604" s="71">
        <f>IFERROR(IF(VLOOKUP(A1604,[11]PRIORIZADOS!$A:$O,15,FALSE)="","",VLOOKUP(A1604,[11]PRIORIZADOS!$A:$O,15,FALSE)),"")</f>
        <v>45861</v>
      </c>
      <c r="P1604" s="11" t="str">
        <f>IFERROR(IF(VLOOKUP(A1604,[11]PRIORIZADOS!$A:$P,16,FALSE)="","",VLOOKUP(A1604,[11]PRIORIZADOS!$A:$P,16,FALSE)),"")</f>
        <v>Visitas de evaluación con fines de mejoramiento</v>
      </c>
      <c r="Q1604" s="238" t="s">
        <v>368</v>
      </c>
      <c r="R1604" s="11" t="str">
        <f>IFERROR(IF(VLOOKUP(A1604,[11]PRIORIZADOS!$A:$R,18,FALSE)="","",VLOOKUP(A1604,[11]PRIORIZADOS!$A:$R,18,FALSE)),"")</f>
        <v>El manual no cuenta con todos los aspectos establecidos en la normatividad vigente</v>
      </c>
      <c r="S1604" s="11" t="str">
        <f>IFERROR(IF(VLOOKUP(A1604,[11]PRIORIZADOS!$A:$S,19,FALSE)="","",VLOOKUP(A1604,[11]PRIORIZADOS!$A:$S,19,FALSE)),"")</f>
        <v>La institución debe actualizar el manual de convivencia con participación del gobierno escolar. Presentar plan de mejoramiento el 22 de agosto de 2025</v>
      </c>
      <c r="T1604" s="70" t="str">
        <f>IFERROR(IF(VLOOKUP(A1604,[11]PRIORIZADOS!$A:$T,20,FALSE)="","",VLOOKUP(A1604,[11]PRIORIZADOS!$A:$T,20,FALSE)),"")</f>
        <v>Si</v>
      </c>
      <c r="U1604" s="11" t="str">
        <f>IFERROR(IF(VLOOKUP(A1604,[11]PRIORIZADOS!$A:$U,21,FALSE)="","",VLOOKUP(A1604,[11]PRIORIZADOS!$A:$U,21,FALSE)),"")</f>
        <v>Revisar PM y verificar que se ajuste a las observaciones realizadas.</v>
      </c>
    </row>
    <row r="1605" spans="1:21" s="1" customFormat="1" ht="48">
      <c r="A1605" s="69">
        <f>IF([11]PRIORIZADOS!A116="","",[11]PRIORIZADOS!A116)</f>
        <v>1572</v>
      </c>
      <c r="B1605" s="70">
        <v>12</v>
      </c>
      <c r="C1605" s="11" t="str">
        <f>IFERROR(IF(VLOOKUP(A1605,[11]PRIORIZADOS!$A:$C,3,FALSE)="","",VLOOKUP(A1605,[11]PRIORIZADOS!$A:$C,3,FALSE)),"")</f>
        <v>RAFAEL URIBE URIBE</v>
      </c>
      <c r="D1605" s="11" t="str">
        <f>IFERROR(IF(VLOOKUP(A1605,[11]PRIORIZADOS!$A:$D,4,FALSE)="","",VLOOKUP(A1605,[11]PRIORIZADOS!$A:$D,4,FALSE)),"")</f>
        <v>PRIVADO</v>
      </c>
      <c r="E1605" s="11" t="str">
        <f>IFERROR(IF(VLOOKUP(A1605,[11]PRIORIZADOS!$A:$E,5,FALSE)="","",VLOOKUP(A1605,[11]PRIORIZADOS!$A:$E,5,FALSE)),"")</f>
        <v>EPBM</v>
      </c>
      <c r="F1605" s="11" t="str">
        <f>IFERROR(IF(VLOOKUP(A1605,[11]PRIORIZADOS!$A:$F,6,FALSE)="","",VLOOKUP(A1605,[11]PRIORIZADOS!$A:$F,6,FALSE)),"")</f>
        <v>COLEGIO_HERMANOS_BELTRAN</v>
      </c>
      <c r="G1605" s="11" t="str">
        <f>IFERROR(IF(VLOOKUP(A1605,[11]PRIORIZADOS!$A:$G,7,FALSE)="","",VLOOKUP(A1605,[11]PRIORIZADOS!$A:$G,7,FALSE)),"")</f>
        <v>COLEGIO_HERMANOS_BELTRAN</v>
      </c>
      <c r="H1605" s="11" t="str">
        <f>IFERROR(IF(VLOOKUP(A1605,[11]PRIORIZADOS!$A:$H,8,FALSE)="","",VLOOKUP(A1605,[11]PRIORIZADOS!$A:$H,8,FALSE)),"")</f>
        <v>Autoevaluación Institucional y Pruebas SABER 11</v>
      </c>
      <c r="I1605" s="11" t="str">
        <f>IFERROR(IF(VLOOKUP(A1605,[11]PRIORIZADOS!$A:$I,9,FALSE)="","",VLOOKUP(A1605,[11]PRIORIZADOS!$A:$I,9,FALSE)),"")</f>
        <v>EVALUACIÓN_CON_FINES_DE_MEJORAMIENTO.</v>
      </c>
      <c r="J1605" s="11" t="str">
        <f>IFERROR(IF(VLOOKUP(A1605,[11]PRIORIZADOS!$A:$J,10,FALSE)="","",VLOOKUP(A1605,[11]PRIORIZADOS!$A:$J,10,FALSE)),"")</f>
        <v>Revisar la actualización, socialización e implementación del Sistema Institucional de Evaluación de Estudiantes - SIEE, en articulación con la actualización del PEI y la normatividad vigente.</v>
      </c>
      <c r="K1605" s="11" t="str">
        <f>IFERROR(IF(VLOOKUP(A1605,[11]PRIORIZADOS!$A:$K,11,FALSE)="","",VLOOKUP(A1605,[11]PRIORIZADOS!$A:$K,11,FALSE)),"")</f>
        <v>BEPCI YADIRA MINA ZAPATA</v>
      </c>
      <c r="L1605" s="11" t="str">
        <f>IFERROR(IF(VLOOKUP(A1605,[11]PRIORIZADOS!$A:$L,12,FALSE)="","",VLOOKUP(A1605,[11]PRIORIZADOS!$A:$L,12,FALSE)),"")</f>
        <v>DORY CONSTANZA SANCHEZ ARAGÓN</v>
      </c>
      <c r="M1605" s="71">
        <f>IFERROR(IF(VLOOKUP(A1605,[11]PRIORIZADOS!$A:$M,13,FALSE)="","",VLOOKUP(A1605,[11]PRIORIZADOS!$A:$M,13,FALSE)),"")</f>
        <v>45846</v>
      </c>
      <c r="N1605" s="71">
        <f>IFERROR(IF(VLOOKUP(A1605,[11]PRIORIZADOS!$A:$N,14,FALSE)="","",VLOOKUP(A1605,[11]PRIORIZADOS!$A:$N,14,FALSE)),"")</f>
        <v>45856</v>
      </c>
      <c r="O1605" s="71">
        <f>IFERROR(IF(VLOOKUP(A1605,[11]PRIORIZADOS!$A:$O,15,FALSE)="","",VLOOKUP(A1605,[11]PRIORIZADOS!$A:$O,15,FALSE)),"")</f>
        <v>45861</v>
      </c>
      <c r="P1605" s="11" t="str">
        <f>IFERROR(IF(VLOOKUP(A1605,[11]PRIORIZADOS!$A:$P,16,FALSE)="","",VLOOKUP(A1605,[11]PRIORIZADOS!$A:$P,16,FALSE)),"")</f>
        <v>Visitas de evaluación con fines de mejoramiento</v>
      </c>
      <c r="Q1605" s="238" t="s">
        <v>368</v>
      </c>
      <c r="R1605" s="11" t="str">
        <f>IFERROR(IF(VLOOKUP(A1605,[11]PRIORIZADOS!$A:$R,18,FALSE)="","",VLOOKUP(A1605,[11]PRIORIZADOS!$A:$R,18,FALSE)),"")</f>
        <v>No presentan evidencias de la participación de la comunidad educativa en su construcción</v>
      </c>
      <c r="S1605" s="11" t="str">
        <f>IFERROR(IF(VLOOKUP(A1605,[11]PRIORIZADOS!$A:$S,19,FALSE)="","",VLOOKUP(A1605,[11]PRIORIZADOS!$A:$S,19,FALSE)),"")</f>
        <v>En el SIE se deben ampliar y fortalecer los criterios de evaluación y promoción. Presentar plan de mejoramiento el 22 de agosto de 2025</v>
      </c>
      <c r="T1605" s="70" t="str">
        <f>IFERROR(IF(VLOOKUP(A1605,[11]PRIORIZADOS!$A:$T,20,FALSE)="","",VLOOKUP(A1605,[11]PRIORIZADOS!$A:$T,20,FALSE)),"")</f>
        <v>Si</v>
      </c>
      <c r="U1605" s="11" t="str">
        <f>IFERROR(IF(VLOOKUP(A1605,[11]PRIORIZADOS!$A:$U,21,FALSE)="","",VLOOKUP(A1605,[11]PRIORIZADOS!$A:$U,21,FALSE)),"")</f>
        <v>Revisar PM y verificar que se ajuste a las observaciones realizadas.</v>
      </c>
    </row>
    <row r="1606" spans="1:21" s="1" customFormat="1" ht="48">
      <c r="A1606" s="69">
        <f>IF([11]PRIORIZADOS!A117="","",[11]PRIORIZADOS!A117)</f>
        <v>1573</v>
      </c>
      <c r="B1606" s="70">
        <v>12</v>
      </c>
      <c r="C1606" s="11" t="str">
        <f>IFERROR(IF(VLOOKUP(A1606,[11]PRIORIZADOS!$A:$C,3,FALSE)="","",VLOOKUP(A1606,[11]PRIORIZADOS!$A:$C,3,FALSE)),"")</f>
        <v>RAFAEL URIBE URIBE</v>
      </c>
      <c r="D1606" s="11" t="str">
        <f>IFERROR(IF(VLOOKUP(A1606,[11]PRIORIZADOS!$A:$D,4,FALSE)="","",VLOOKUP(A1606,[11]PRIORIZADOS!$A:$D,4,FALSE)),"")</f>
        <v>PRIVADO</v>
      </c>
      <c r="E1606" s="11" t="str">
        <f>IFERROR(IF(VLOOKUP(A1606,[11]PRIORIZADOS!$A:$E,5,FALSE)="","",VLOOKUP(A1606,[11]PRIORIZADOS!$A:$E,5,FALSE)),"")</f>
        <v>EPBM</v>
      </c>
      <c r="F1606" s="11" t="str">
        <f>IFERROR(IF(VLOOKUP(A1606,[11]PRIORIZADOS!$A:$F,6,FALSE)="","",VLOOKUP(A1606,[11]PRIORIZADOS!$A:$F,6,FALSE)),"")</f>
        <v>COLEGIO_HERMANOS_BELTRAN</v>
      </c>
      <c r="G1606" s="11" t="str">
        <f>IFERROR(IF(VLOOKUP(A1606,[11]PRIORIZADOS!$A:$G,7,FALSE)="","",VLOOKUP(A1606,[11]PRIORIZADOS!$A:$G,7,FALSE)),"")</f>
        <v>COLEGIO_HERMANOS_BELTRAN</v>
      </c>
      <c r="H1606" s="11" t="str">
        <f>IFERROR(IF(VLOOKUP(A1606,[11]PRIORIZADOS!$A:$H,8,FALSE)="","",VLOOKUP(A1606,[11]PRIORIZADOS!$A:$H,8,FALSE)),"")</f>
        <v>Autoevaluación Institucional y Pruebas SABER 11</v>
      </c>
      <c r="I1606" s="11" t="str">
        <f>IFERROR(IF(VLOOKUP(A1606,[11]PRIORIZADOS!$A:$I,9,FALSE)="","",VLOOKUP(A1606,[11]PRIORIZADOS!$A:$I,9,FALSE)),"")</f>
        <v>EVALUACIÓN_CON_FINES_DE_MEJORAMIENTO.</v>
      </c>
      <c r="J1606" s="11" t="str">
        <f>IFERROR(IF(VLOOKUP(A1606,[11]PRIORIZADOS!$A:$J,10,FALSE)="","",VLOOKUP(A1606,[11]PRIORIZADOS!$A:$J,10,FALSE)),"")</f>
        <v>Revisar el calendario escolar, jornada escolar, la intensidad horaria mínima anual en cada nivel y las modificaciones que se realicen al mismo, de acuerdo con lo previsto en la normatividad vigente.</v>
      </c>
      <c r="K1606" s="11" t="str">
        <f>IFERROR(IF(VLOOKUP(A1606,[11]PRIORIZADOS!$A:$K,11,FALSE)="","",VLOOKUP(A1606,[11]PRIORIZADOS!$A:$K,11,FALSE)),"")</f>
        <v>BEPCI YADIRA MINA ZAPATA</v>
      </c>
      <c r="L1606" s="11" t="str">
        <f>IFERROR(IF(VLOOKUP(A1606,[11]PRIORIZADOS!$A:$L,12,FALSE)="","",VLOOKUP(A1606,[11]PRIORIZADOS!$A:$L,12,FALSE)),"")</f>
        <v>DORY CONSTANZA SANCHEZ ARAGÓN</v>
      </c>
      <c r="M1606" s="71">
        <f>IFERROR(IF(VLOOKUP(A1606,[11]PRIORIZADOS!$A:$M,13,FALSE)="","",VLOOKUP(A1606,[11]PRIORIZADOS!$A:$M,13,FALSE)),"")</f>
        <v>45846</v>
      </c>
      <c r="N1606" s="71">
        <f>IFERROR(IF(VLOOKUP(A1606,[11]PRIORIZADOS!$A:$N,14,FALSE)="","",VLOOKUP(A1606,[11]PRIORIZADOS!$A:$N,14,FALSE)),"")</f>
        <v>45856</v>
      </c>
      <c r="O1606" s="71">
        <f>IFERROR(IF(VLOOKUP(A1606,[11]PRIORIZADOS!$A:$O,15,FALSE)="","",VLOOKUP(A1606,[11]PRIORIZADOS!$A:$O,15,FALSE)),"")</f>
        <v>45861</v>
      </c>
      <c r="P1606" s="11" t="str">
        <f>IFERROR(IF(VLOOKUP(A1606,[11]PRIORIZADOS!$A:$P,16,FALSE)="","",VLOOKUP(A1606,[11]PRIORIZADOS!$A:$P,16,FALSE)),"")</f>
        <v>Visitas de evaluación con fines de mejoramiento</v>
      </c>
      <c r="Q1606" s="238" t="s">
        <v>368</v>
      </c>
      <c r="R1606" s="11" t="str">
        <f>IFERROR(IF(VLOOKUP(A1606,[11]PRIORIZADOS!$A:$R,18,FALSE)="","",VLOOKUP(A1606,[11]PRIORIZADOS!$A:$R,18,FALSE)),"")</f>
        <v>Los tiempos propuestos en el Calendario Académico el colegio da cumplimiento a la intensidad horaria mínima requerida desde la normatividad vigente.</v>
      </c>
      <c r="S1606" s="11" t="str">
        <f>IFERROR(IF(VLOOKUP(A1606,[11]PRIORIZADOS!$A:$S,19,FALSE)="","",VLOOKUP(A1606,[11]PRIORIZADOS!$A:$S,19,FALSE)),"")</f>
        <v>Dar cumplimiento a lo establecido en el calendario</v>
      </c>
      <c r="T1606" s="70" t="str">
        <f>IFERROR(IF(VLOOKUP(A1606,[11]PRIORIZADOS!$A:$T,20,FALSE)="","",VLOOKUP(A1606,[11]PRIORIZADOS!$A:$T,20,FALSE)),"")</f>
        <v>No</v>
      </c>
      <c r="U1606" s="11" t="str">
        <f>IFERROR(IF(VLOOKUP(A1606,[11]PRIORIZADOS!$A:$U,21,FALSE)="","",VLOOKUP(A1606,[11]PRIORIZADOS!$A:$U,21,FALSE)),"")</f>
        <v>Verificar en caso de presentarse una queja</v>
      </c>
    </row>
    <row r="1607" spans="1:21" s="1" customFormat="1" ht="48">
      <c r="A1607" s="69">
        <f>IF([11]PRIORIZADOS!A118="","",[11]PRIORIZADOS!A118)</f>
        <v>1574</v>
      </c>
      <c r="B1607" s="70">
        <v>12</v>
      </c>
      <c r="C1607" s="11" t="str">
        <f>IFERROR(IF(VLOOKUP(A1607,[11]PRIORIZADOS!$A:$C,3,FALSE)="","",VLOOKUP(A1607,[11]PRIORIZADOS!$A:$C,3,FALSE)),"")</f>
        <v>RAFAEL URIBE URIBE</v>
      </c>
      <c r="D1607" s="11" t="str">
        <f>IFERROR(IF(VLOOKUP(A1607,[11]PRIORIZADOS!$A:$D,4,FALSE)="","",VLOOKUP(A1607,[11]PRIORIZADOS!$A:$D,4,FALSE)),"")</f>
        <v>PRIVADO</v>
      </c>
      <c r="E1607" s="11" t="str">
        <f>IFERROR(IF(VLOOKUP(A1607,[11]PRIORIZADOS!$A:$E,5,FALSE)="","",VLOOKUP(A1607,[11]PRIORIZADOS!$A:$E,5,FALSE)),"")</f>
        <v>EPBM</v>
      </c>
      <c r="F1607" s="11" t="str">
        <f>IFERROR(IF(VLOOKUP(A1607,[11]PRIORIZADOS!$A:$F,6,FALSE)="","",VLOOKUP(A1607,[11]PRIORIZADOS!$A:$F,6,FALSE)),"")</f>
        <v>COLEGIO_HERMANOS_BELTRAN</v>
      </c>
      <c r="G1607" s="11" t="str">
        <f>IFERROR(IF(VLOOKUP(A1607,[11]PRIORIZADOS!$A:$G,7,FALSE)="","",VLOOKUP(A1607,[11]PRIORIZADOS!$A:$G,7,FALSE)),"")</f>
        <v>COLEGIO_HERMANOS_BELTRAN</v>
      </c>
      <c r="H1607" s="11" t="str">
        <f>IFERROR(IF(VLOOKUP(A1607,[11]PRIORIZADOS!$A:$H,8,FALSE)="","",VLOOKUP(A1607,[11]PRIORIZADOS!$A:$H,8,FALSE)),"")</f>
        <v>Autoevaluación Institucional y Pruebas SABER 11</v>
      </c>
      <c r="I1607" s="11" t="str">
        <f>IFERROR(IF(VLOOKUP(A1607,[11]PRIORIZADOS!$A:$I,9,FALSE)="","",VLOOKUP(A1607,[11]PRIORIZADOS!$A:$I,9,FALSE)),"")</f>
        <v>EVALUACIÓN_CON_FINES_DE_MEJORAMIENTO.</v>
      </c>
      <c r="J1607" s="11" t="str">
        <f>IFERROR(IF(VLOOKUP(A1607,[11]PRIORIZADOS!$A:$J,10,FALSE)="","",VLOOKUP(A1607,[11]PRIORIZADOS!$A:$J,10,FALSE)),"")</f>
        <v>Verificar el funcionamiento del Gobierno Escolar e instancias de participación con base en la información sobre conformación reportada por la institución educativa.</v>
      </c>
      <c r="K1607" s="11" t="str">
        <f>IFERROR(IF(VLOOKUP(A1607,[11]PRIORIZADOS!$A:$K,11,FALSE)="","",VLOOKUP(A1607,[11]PRIORIZADOS!$A:$K,11,FALSE)),"")</f>
        <v>BEPCI YADIRA MINA ZAPATA</v>
      </c>
      <c r="L1607" s="11" t="str">
        <f>IFERROR(IF(VLOOKUP(A1607,[11]PRIORIZADOS!$A:$L,12,FALSE)="","",VLOOKUP(A1607,[11]PRIORIZADOS!$A:$L,12,FALSE)),"")</f>
        <v>DORY CONSTANZA SANCHEZ ARAGÓN</v>
      </c>
      <c r="M1607" s="71">
        <f>IFERROR(IF(VLOOKUP(A1607,[11]PRIORIZADOS!$A:$M,13,FALSE)="","",VLOOKUP(A1607,[11]PRIORIZADOS!$A:$M,13,FALSE)),"")</f>
        <v>45846</v>
      </c>
      <c r="N1607" s="71">
        <f>IFERROR(IF(VLOOKUP(A1607,[11]PRIORIZADOS!$A:$N,14,FALSE)="","",VLOOKUP(A1607,[11]PRIORIZADOS!$A:$N,14,FALSE)),"")</f>
        <v>45856</v>
      </c>
      <c r="O1607" s="71">
        <f>IFERROR(IF(VLOOKUP(A1607,[11]PRIORIZADOS!$A:$O,15,FALSE)="","",VLOOKUP(A1607,[11]PRIORIZADOS!$A:$O,15,FALSE)),"")</f>
        <v>45861</v>
      </c>
      <c r="P1607" s="11" t="str">
        <f>IFERROR(IF(VLOOKUP(A1607,[11]PRIORIZADOS!$A:$P,16,FALSE)="","",VLOOKUP(A1607,[11]PRIORIZADOS!$A:$P,16,FALSE)),"")</f>
        <v>Visitas de evaluación con fines de mejoramiento</v>
      </c>
      <c r="Q1607" s="238" t="s">
        <v>368</v>
      </c>
      <c r="R1607" s="11" t="str">
        <f>IFERROR(IF(VLOOKUP(A1607,[11]PRIORIZADOS!$A:$R,18,FALSE)="","",VLOOKUP(A1607,[11]PRIORIZADOS!$A:$R,18,FALSE)),"")</f>
        <v>No se evidencian actas de funcionamiento de Gobierno Escolar</v>
      </c>
      <c r="S1607" s="11" t="str">
        <f>IFERROR(IF(VLOOKUP(A1607,[11]PRIORIZADOS!$A:$S,19,FALSE)="","",VLOOKUP(A1607,[11]PRIORIZADOS!$A:$S,19,FALSE)),"")</f>
        <v>Generar los espacios para el funcionamiento del gobierno escolar con sus respectivas actas. Presentar plan de mejoramiento el 22 de agosto de 2025</v>
      </c>
      <c r="T1607" s="70" t="str">
        <f>IFERROR(IF(VLOOKUP(A1607,[11]PRIORIZADOS!$A:$T,20,FALSE)="","",VLOOKUP(A1607,[11]PRIORIZADOS!$A:$T,20,FALSE)),"")</f>
        <v>Si</v>
      </c>
      <c r="U1607" s="11" t="str">
        <f>IFERROR(IF(VLOOKUP(A1607,[11]PRIORIZADOS!$A:$U,21,FALSE)="","",VLOOKUP(A1607,[11]PRIORIZADOS!$A:$U,21,FALSE)),"")</f>
        <v>Revisar PM y verificar que se ajuste a las observaciones realizadas.</v>
      </c>
    </row>
    <row r="1608" spans="1:21" s="1" customFormat="1" ht="36">
      <c r="A1608" s="69">
        <f>IF([11]PRIORIZADOS!A119="","",[11]PRIORIZADOS!A119)</f>
        <v>1575</v>
      </c>
      <c r="B1608" s="70">
        <v>12</v>
      </c>
      <c r="C1608" s="11" t="str">
        <f>IFERROR(IF(VLOOKUP(A1608,[11]PRIORIZADOS!$A:$C,3,FALSE)="","",VLOOKUP(A1608,[11]PRIORIZADOS!$A:$C,3,FALSE)),"")</f>
        <v>RAFAEL URIBE URIBE</v>
      </c>
      <c r="D1608" s="11" t="str">
        <f>IFERROR(IF(VLOOKUP(A1608,[11]PRIORIZADOS!$A:$D,4,FALSE)="","",VLOOKUP(A1608,[11]PRIORIZADOS!$A:$D,4,FALSE)),"")</f>
        <v>PRIVADO</v>
      </c>
      <c r="E1608" s="11" t="str">
        <f>IFERROR(IF(VLOOKUP(A1608,[11]PRIORIZADOS!$A:$E,5,FALSE)="","",VLOOKUP(A1608,[11]PRIORIZADOS!$A:$E,5,FALSE)),"")</f>
        <v>EPBM</v>
      </c>
      <c r="F1608" s="11" t="str">
        <f>IFERROR(IF(VLOOKUP(A1608,[11]PRIORIZADOS!$A:$F,6,FALSE)="","",VLOOKUP(A1608,[11]PRIORIZADOS!$A:$F,6,FALSE)),"")</f>
        <v>COLEGIO_HERMANOS_BELTRAN</v>
      </c>
      <c r="G1608" s="11" t="str">
        <f>IFERROR(IF(VLOOKUP(A1608,[11]PRIORIZADOS!$A:$G,7,FALSE)="","",VLOOKUP(A1608,[11]PRIORIZADOS!$A:$G,7,FALSE)),"")</f>
        <v>COLEGIO_HERMANOS_BELTRAN</v>
      </c>
      <c r="H1608" s="11" t="str">
        <f>IFERROR(IF(VLOOKUP(A1608,[11]PRIORIZADOS!$A:$H,8,FALSE)="","",VLOOKUP(A1608,[11]PRIORIZADOS!$A:$H,8,FALSE)),"")</f>
        <v>Autoevaluación Institucional y Pruebas SABER 11</v>
      </c>
      <c r="I1608" s="11" t="str">
        <f>IFERROR(IF(VLOOKUP(A1608,[11]PRIORIZADOS!$A:$I,9,FALSE)="","",VLOOKUP(A1608,[11]PRIORIZADOS!$A:$I,9,FALSE)),"")</f>
        <v>EVALUACIÓN_CON_FINES_DE_MEJORAMIENTO.</v>
      </c>
      <c r="J1608" s="11" t="str">
        <f>IFERROR(IF(VLOOKUP(A1608,[11]PRIORIZADOS!$A:$J,10,FALSE)="","",VLOOKUP(A1608,[11]PRIORIZADOS!$A:$J,10,FALSE)),"")</f>
        <v>Verificar las condiciones en cuanto a: la estructura administrativa, condiciones de la planta física y medios educativos adecuados.</v>
      </c>
      <c r="K1608" s="11" t="str">
        <f>IFERROR(IF(VLOOKUP(A1608,[11]PRIORIZADOS!$A:$K,11,FALSE)="","",VLOOKUP(A1608,[11]PRIORIZADOS!$A:$K,11,FALSE)),"")</f>
        <v>BEPCI YADIRA MINA ZAPATA</v>
      </c>
      <c r="L1608" s="11" t="str">
        <f>IFERROR(IF(VLOOKUP(A1608,[11]PRIORIZADOS!$A:$L,12,FALSE)="","",VLOOKUP(A1608,[11]PRIORIZADOS!$A:$L,12,FALSE)),"")</f>
        <v>DORY CONSTANZA SANCHEZ ARAGÓN</v>
      </c>
      <c r="M1608" s="71">
        <f>IFERROR(IF(VLOOKUP(A1608,[11]PRIORIZADOS!$A:$M,13,FALSE)="","",VLOOKUP(A1608,[11]PRIORIZADOS!$A:$M,13,FALSE)),"")</f>
        <v>45846</v>
      </c>
      <c r="N1608" s="71">
        <f>IFERROR(IF(VLOOKUP(A1608,[11]PRIORIZADOS!$A:$N,14,FALSE)="","",VLOOKUP(A1608,[11]PRIORIZADOS!$A:$N,14,FALSE)),"")</f>
        <v>45856</v>
      </c>
      <c r="O1608" s="71">
        <f>IFERROR(IF(VLOOKUP(A1608,[11]PRIORIZADOS!$A:$O,15,FALSE)="","",VLOOKUP(A1608,[11]PRIORIZADOS!$A:$O,15,FALSE)),"")</f>
        <v>45861</v>
      </c>
      <c r="P1608" s="11" t="str">
        <f>IFERROR(IF(VLOOKUP(A1608,[11]PRIORIZADOS!$A:$P,16,FALSE)="","",VLOOKUP(A1608,[11]PRIORIZADOS!$A:$P,16,FALSE)),"")</f>
        <v>Visitas de evaluación con fines de mejoramiento</v>
      </c>
      <c r="Q1608" s="238" t="s">
        <v>368</v>
      </c>
      <c r="R1608" s="11" t="str">
        <f>IFERROR(IF(VLOOKUP(A1608,[11]PRIORIZADOS!$A:$R,18,FALSE)="","",VLOOKUP(A1608,[11]PRIORIZADOS!$A:$R,18,FALSE)),"")</f>
        <v>Cuenta con 2 sedes con licencia de funcionamiento. Los ambientes son adecuados y sufientes.</v>
      </c>
      <c r="S1608" s="11" t="str">
        <f>IFERROR(IF(VLOOKUP(A1608,[11]PRIORIZADOS!$A:$S,19,FALSE)="","",VLOOKUP(A1608,[11]PRIORIZADOS!$A:$S,19,FALSE)),"")</f>
        <v>Se evidencio que la institución cuenta con ambientes de aprendizaje adecuados, con buena iluminación y ventilación</v>
      </c>
      <c r="T1608" s="70" t="str">
        <f>IFERROR(IF(VLOOKUP(A1608,[11]PRIORIZADOS!$A:$T,20,FALSE)="","",VLOOKUP(A1608,[11]PRIORIZADOS!$A:$T,20,FALSE)),"")</f>
        <v>No</v>
      </c>
      <c r="U1608" s="11" t="str">
        <f>IFERROR(IF(VLOOKUP(A1608,[11]PRIORIZADOS!$A:$U,21,FALSE)="","",VLOOKUP(A1608,[11]PRIORIZADOS!$A:$U,21,FALSE)),"")</f>
        <v>Verificar en caso de presentarse una queja</v>
      </c>
    </row>
    <row r="1609" spans="1:21" s="1" customFormat="1" ht="60">
      <c r="A1609" s="69">
        <f>IF([11]PRIORIZADOS!A120="","",[11]PRIORIZADOS!A120)</f>
        <v>1576</v>
      </c>
      <c r="B1609" s="70">
        <f>IFERROR(IF(VLOOKUP(A1609,[11]PRIORIZADOS!$A:$B,2,FALSE)="","",VLOOKUP(A1609,[11]PRIORIZADOS!$A:$B,2,FALSE)),"")</f>
        <v>13</v>
      </c>
      <c r="C1609" s="11" t="str">
        <f>IFERROR(IF(VLOOKUP(A1609,[11]PRIORIZADOS!$A:$C,3,FALSE)="","",VLOOKUP(A1609,[11]PRIORIZADOS!$A:$C,3,FALSE)),"")</f>
        <v>RAFAEL URIBE URIBE</v>
      </c>
      <c r="D1609" s="11" t="str">
        <f>IFERROR(IF(VLOOKUP(A1609,[11]PRIORIZADOS!$A:$D,4,FALSE)="","",VLOOKUP(A1609,[11]PRIORIZADOS!$A:$D,4,FALSE)),"")</f>
        <v>PRIVADO</v>
      </c>
      <c r="E1609" s="11" t="str">
        <f>IFERROR(IF(VLOOKUP(A1609,[11]PRIORIZADOS!$A:$E,5,FALSE)="","",VLOOKUP(A1609,[11]PRIORIZADOS!$A:$E,5,FALSE)),"")</f>
        <v>EPBM</v>
      </c>
      <c r="F1609" s="11" t="str">
        <f>IFERROR(IF(VLOOKUP(A1609,[11]PRIORIZADOS!$A:$F,6,FALSE)="","",VLOOKUP(A1609,[11]PRIORIZADOS!$A:$F,6,FALSE)),"")</f>
        <v>FUNDACION_COLEGIO_PRINCIPIO_DE_SABIDURIA</v>
      </c>
      <c r="G1609" s="11" t="str">
        <f>IFERROR(IF(VLOOKUP(A1609,[11]PRIORIZADOS!$A:$G,7,FALSE)="","",VLOOKUP(A1609,[11]PRIORIZADOS!$A:$G,7,FALSE)),"")</f>
        <v>FUNDACION_COLEGIO_PRINCIPIO_DE_SABIDURIA</v>
      </c>
      <c r="H1609" s="11" t="str">
        <f>IFERROR(IF(VLOOKUP(A1609,[11]PRIORIZADOS!$A:$H,8,FALSE)="","",VLOOKUP(A1609,[11]PRIORIZADOS!$A:$H,8,FALSE)),"")</f>
        <v>Autoevaluación Institucional y Pruebas SABER 11</v>
      </c>
      <c r="I1609" s="11" t="str">
        <f>IFERROR(IF(VLOOKUP(A1609,[11]PRIORIZADOS!$A:$I,9,FALSE)="","",VLOOKUP(A1609,[11]PRIORIZADOS!$A:$I,9,FALSE)),"")</f>
        <v>SEGUIMIENTO_Y_SUPERVISIÓN.</v>
      </c>
      <c r="J1609" s="11" t="str">
        <f>IFERROR(IF(VLOOKUP(A1609,[11]PRIORIZADOS!$A:$J,10,FALSE)="","",VLOOKUP(A1609,[11]PRIORIZADOS!$A:$J,10,FALSE)),"")</f>
        <v>Realizar visitas para verificar la información registrada sobre la autoevaluación institucional en el aplicativo EVI, a los establecimientos de educación formal no oficial.</v>
      </c>
      <c r="K1609" s="11" t="str">
        <f>IFERROR(IF(VLOOKUP(A1609,[11]PRIORIZADOS!$A:$K,11,FALSE)="","",VLOOKUP(A1609,[11]PRIORIZADOS!$A:$K,11,FALSE)),"")</f>
        <v>BEPCI YADIRA MINA ZAPATA</v>
      </c>
      <c r="L1609" s="11" t="str">
        <f>IFERROR(IF(VLOOKUP(A1609,[11]PRIORIZADOS!$A:$L,12,FALSE)="","",VLOOKUP(A1609,[11]PRIORIZADOS!$A:$L,12,FALSE)),"")</f>
        <v>DORY CONSTANZA SANCHEZ ARAGÓN</v>
      </c>
      <c r="M1609" s="71">
        <f>IFERROR(IF(VLOOKUP(A1609,[11]PRIORIZADOS!$A:$M,13,FALSE)="","",VLOOKUP(A1609,[11]PRIORIZADOS!$A:$M,13,FALSE)),"")</f>
        <v>45854</v>
      </c>
      <c r="N1609" s="71">
        <f>IFERROR(IF(VLOOKUP(A1609,[11]PRIORIZADOS!$A:$N,14,FALSE)="","",VLOOKUP(A1609,[11]PRIORIZADOS!$A:$N,14,FALSE)),"")</f>
        <v>45854</v>
      </c>
      <c r="O1609" s="71">
        <f>IFERROR(IF(VLOOKUP(A1609,[11]PRIORIZADOS!$A:$O,15,FALSE)="","",VLOOKUP(A1609,[11]PRIORIZADOS!$A:$O,15,FALSE)),"")</f>
        <v>45855</v>
      </c>
      <c r="P1609" s="11" t="str">
        <f>IFERROR(IF(VLOOKUP(A1609,[11]PRIORIZADOS!$A:$P,16,FALSE)="","",VLOOKUP(A1609,[11]PRIORIZADOS!$A:$P,16,FALSE)),"")</f>
        <v>Visitas de evaluación con fines de mejoramiento</v>
      </c>
      <c r="Q1609" s="239" t="s">
        <v>369</v>
      </c>
      <c r="R1609" s="11" t="str">
        <f>IFERROR(IF(VLOOKUP(A1609,[11]PRIORIZADOS!$A:$R,18,FALSE)="","",VLOOKUP(A1609,[11]PRIORIZADOS!$A:$R,18,FALSE)),"")</f>
        <v>Se evidencia que los docentes se encuentran con contrato laboral y  pago de seguridad social.
Planta física acorde con espacios pedagogícos adecuados.</v>
      </c>
      <c r="S1609" s="11" t="str">
        <f>IFERROR(IF(VLOOKUP(A1609,[11]PRIORIZADOS!$A:$S,19,FALSE)="","",VLOOKUP(A1609,[11]PRIORIZADOS!$A:$S,19,FALSE)),"")</f>
        <v>Continuar con la contratación y pago de seguridad social de los docentes</v>
      </c>
      <c r="T1609" s="70" t="str">
        <f>IFERROR(IF(VLOOKUP(A1609,[11]PRIORIZADOS!$A:$T,20,FALSE)="","",VLOOKUP(A1609,[11]PRIORIZADOS!$A:$T,20,FALSE)),"")</f>
        <v>No</v>
      </c>
      <c r="U1609" s="11" t="str">
        <f>IFERROR(IF(VLOOKUP(A1609,[11]PRIORIZADOS!$A:$U,21,FALSE)="","",VLOOKUP(A1609,[11]PRIORIZADOS!$A:$U,21,FALSE)),"")</f>
        <v>Verificar en caso de algun reqiuerimiento o queja</v>
      </c>
    </row>
    <row r="1610" spans="1:21" s="1" customFormat="1" ht="84">
      <c r="A1610" s="69">
        <f>IF([11]PRIORIZADOS!A121="","",[11]PRIORIZADOS!A121)</f>
        <v>1577</v>
      </c>
      <c r="B1610" s="70">
        <v>13</v>
      </c>
      <c r="C1610" s="11" t="str">
        <f>IFERROR(IF(VLOOKUP(A1610,[11]PRIORIZADOS!$A:$C,3,FALSE)="","",VLOOKUP(A1610,[11]PRIORIZADOS!$A:$C,3,FALSE)),"")</f>
        <v>RAFAEL URIBE URIBE</v>
      </c>
      <c r="D1610" s="11" t="str">
        <f>IFERROR(IF(VLOOKUP(A1610,[11]PRIORIZADOS!$A:$D,4,FALSE)="","",VLOOKUP(A1610,[11]PRIORIZADOS!$A:$D,4,FALSE)),"")</f>
        <v>PRIVADO</v>
      </c>
      <c r="E1610" s="11" t="str">
        <f>IFERROR(IF(VLOOKUP(A1610,[11]PRIORIZADOS!$A:$E,5,FALSE)="","",VLOOKUP(A1610,[11]PRIORIZADOS!$A:$E,5,FALSE)),"")</f>
        <v>EPBM</v>
      </c>
      <c r="F1610" s="11" t="str">
        <f>IFERROR(IF(VLOOKUP(A1610,[11]PRIORIZADOS!$A:$F,6,FALSE)="","",VLOOKUP(A1610,[11]PRIORIZADOS!$A:$F,6,FALSE)),"")</f>
        <v>FUNDACION_COLEGIO_PRINCIPIO_DE_SABIDURIA</v>
      </c>
      <c r="G1610" s="11" t="str">
        <f>IFERROR(IF(VLOOKUP(A1610,[11]PRIORIZADOS!$A:$G,7,FALSE)="","",VLOOKUP(A1610,[11]PRIORIZADOS!$A:$G,7,FALSE)),"")</f>
        <v>FUNDACION_COLEGIO_PRINCIPIO_DE_SABIDURIA</v>
      </c>
      <c r="H1610" s="11" t="str">
        <f>IFERROR(IF(VLOOKUP(A1610,[11]PRIORIZADOS!$A:$H,8,FALSE)="","",VLOOKUP(A1610,[11]PRIORIZADOS!$A:$H,8,FALSE)),"")</f>
        <v>Autoevaluación Institucional y Pruebas SABER 11</v>
      </c>
      <c r="I1610" s="11" t="str">
        <f>IFERROR(IF(VLOOKUP(A1610,[11]PRIORIZADOS!$A:$I,9,FALSE)="","",VLOOKUP(A1610,[11]PRIORIZADOS!$A:$I,9,FALSE)),"")</f>
        <v>SEGUIMIENTO_Y_SUPERVISIÓN.</v>
      </c>
      <c r="J1610" s="11" t="str">
        <f>IFERROR(IF(VLOOKUP(A1610,[11]PRIORIZADOS!$A:$J,10,FALSE)="","",VLOOKUP(A1610,[11]PRIORIZADOS!$A:$J,10,FALSE)),"")</f>
        <v>Proponer estrategias en la formulación, verificar su elaboración y realizar seguimiento semestral al desarrollo de  las acciones establecidas en los planes de mejoramiento por pruebas SABER 11 de los establecimientos de educación formal.</v>
      </c>
      <c r="K1610" s="11" t="str">
        <f>IFERROR(IF(VLOOKUP(A1610,[11]PRIORIZADOS!$A:$K,11,FALSE)="","",VLOOKUP(A1610,[11]PRIORIZADOS!$A:$K,11,FALSE)),"")</f>
        <v>BEPCI YADIRA MINA ZAPATA</v>
      </c>
      <c r="L1610" s="11" t="str">
        <f>IFERROR(IF(VLOOKUP(A1610,[11]PRIORIZADOS!$A:$L,12,FALSE)="","",VLOOKUP(A1610,[11]PRIORIZADOS!$A:$L,12,FALSE)),"")</f>
        <v>DORY CONSTANZA SANCHEZ ARAGÓN</v>
      </c>
      <c r="M1610" s="71">
        <f>IFERROR(IF(VLOOKUP(A1610,[11]PRIORIZADOS!$A:$M,13,FALSE)="","",VLOOKUP(A1610,[11]PRIORIZADOS!$A:$M,13,FALSE)),"")</f>
        <v>45854</v>
      </c>
      <c r="N1610" s="71">
        <f>IFERROR(IF(VLOOKUP(A1610,[11]PRIORIZADOS!$A:$N,14,FALSE)="","",VLOOKUP(A1610,[11]PRIORIZADOS!$A:$N,14,FALSE)),"")</f>
        <v>45854</v>
      </c>
      <c r="O1610" s="71">
        <f>IFERROR(IF(VLOOKUP(A1610,[11]PRIORIZADOS!$A:$O,15,FALSE)="","",VLOOKUP(A1610,[11]PRIORIZADOS!$A:$O,15,FALSE)),"")</f>
        <v>45855</v>
      </c>
      <c r="P1610" s="11" t="str">
        <f>IFERROR(IF(VLOOKUP(A1610,[11]PRIORIZADOS!$A:$P,16,FALSE)="","",VLOOKUP(A1610,[11]PRIORIZADOS!$A:$P,16,FALSE)),"")</f>
        <v>Visitas de evaluación con fines de mejoramiento</v>
      </c>
      <c r="Q1610" s="46" t="s">
        <v>369</v>
      </c>
      <c r="R1610" s="11" t="str">
        <f>IFERROR(IF(VLOOKUP(A1610,[11]PRIORIZADOS!$A:$R,18,FALSE)="","",VLOOKUP(A1610,[11]PRIORIZADOS!$A:$R,18,FALSE)),"")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610" s="11" t="str">
        <f>IFERROR(IF(VLOOKUP(A1610,[11]PRIORIZADOS!$A:$S,19,FALSE)="","",VLOOKUP(A1610,[11]PRIORIZADOS!$A:$S,19,FALSE)),"")</f>
        <v>Realizar analisis de las Pruebas Saber y establecer acciones pertinentes. Presentar plan de mejoramiento el 15 de agosto de 2025</v>
      </c>
      <c r="T1610" s="70" t="str">
        <f>IFERROR(IF(VLOOKUP(A1610,[11]PRIORIZADOS!$A:$T,20,FALSE)="","",VLOOKUP(A1610,[11]PRIORIZADOS!$A:$T,20,FALSE)),"")</f>
        <v>Si</v>
      </c>
      <c r="U1610" s="11" t="str">
        <f>IFERROR(IF(VLOOKUP(A1610,[11]PRIORIZADOS!$A:$U,21,FALSE)="","",VLOOKUP(A1610,[11]PRIORIZADOS!$A:$U,21,FALSE)),"")</f>
        <v>Revisar PM y verificar que se ajuste a las observaciones realizadas.</v>
      </c>
    </row>
    <row r="1611" spans="1:21" s="1" customFormat="1" ht="60">
      <c r="A1611" s="69">
        <f>IF([11]PRIORIZADOS!A122="","",[11]PRIORIZADOS!A122)</f>
        <v>1578</v>
      </c>
      <c r="B1611" s="70">
        <v>13</v>
      </c>
      <c r="C1611" s="11" t="str">
        <f>IFERROR(IF(VLOOKUP(A1611,[11]PRIORIZADOS!$A:$C,3,FALSE)="","",VLOOKUP(A1611,[11]PRIORIZADOS!$A:$C,3,FALSE)),"")</f>
        <v>RAFAEL URIBE URIBE</v>
      </c>
      <c r="D1611" s="11" t="str">
        <f>IFERROR(IF(VLOOKUP(A1611,[11]PRIORIZADOS!$A:$D,4,FALSE)="","",VLOOKUP(A1611,[11]PRIORIZADOS!$A:$D,4,FALSE)),"")</f>
        <v>PRIVADO</v>
      </c>
      <c r="E1611" s="11" t="str">
        <f>IFERROR(IF(VLOOKUP(A1611,[11]PRIORIZADOS!$A:$E,5,FALSE)="","",VLOOKUP(A1611,[11]PRIORIZADOS!$A:$E,5,FALSE)),"")</f>
        <v>EPBM</v>
      </c>
      <c r="F1611" s="11" t="str">
        <f>IFERROR(IF(VLOOKUP(A1611,[11]PRIORIZADOS!$A:$F,6,FALSE)="","",VLOOKUP(A1611,[11]PRIORIZADOS!$A:$F,6,FALSE)),"")</f>
        <v>FUNDACION_COLEGIO_PRINCIPIO_DE_SABIDURIA</v>
      </c>
      <c r="G1611" s="11" t="str">
        <f>IFERROR(IF(VLOOKUP(A1611,[11]PRIORIZADOS!$A:$G,7,FALSE)="","",VLOOKUP(A1611,[11]PRIORIZADOS!$A:$G,7,FALSE)),"")</f>
        <v>FUNDACION_COLEGIO_PRINCIPIO_DE_SABIDURIA</v>
      </c>
      <c r="H1611" s="11" t="str">
        <f>IFERROR(IF(VLOOKUP(A1611,[11]PRIORIZADOS!$A:$H,8,FALSE)="","",VLOOKUP(A1611,[11]PRIORIZADOS!$A:$H,8,FALSE)),"")</f>
        <v>Autoevaluación Institucional y Pruebas SABER 11</v>
      </c>
      <c r="I1611" s="11" t="str">
        <f>IFERROR(IF(VLOOKUP(A1611,[11]PRIORIZADOS!$A:$I,9,FALSE)="","",VLOOKUP(A1611,[11]PRIORIZADOS!$A:$I,9,FALSE)),"")</f>
        <v>SEGUIMIENTO_Y_SUPERVISIÓN.</v>
      </c>
      <c r="J1611" s="11" t="str">
        <f>IFERROR(IF(VLOOKUP(A1611,[11]PRIORIZADOS!$A:$J,10,FALSE)="","",VLOOKUP(A1611,[11]PRIORIZADOS!$A:$J,10,FALSE)),"")</f>
        <v xml:space="preserve">Verificar la implementación por parte de los colegios, de acciones realizadas para la prevención y atención de las situaciones de convivencia en el entorno escolar, según lo establecido en la Directiva 01 de 2022 del MEN. </v>
      </c>
      <c r="K1611" s="11" t="str">
        <f>IFERROR(IF(VLOOKUP(A1611,[11]PRIORIZADOS!$A:$K,11,FALSE)="","",VLOOKUP(A1611,[11]PRIORIZADOS!$A:$K,11,FALSE)),"")</f>
        <v>BEPCI YADIRA MINA ZAPATA</v>
      </c>
      <c r="L1611" s="11" t="str">
        <f>IFERROR(IF(VLOOKUP(A1611,[11]PRIORIZADOS!$A:$L,12,FALSE)="","",VLOOKUP(A1611,[11]PRIORIZADOS!$A:$L,12,FALSE)),"")</f>
        <v>DORY CONSTANZA SANCHEZ ARAGÓN</v>
      </c>
      <c r="M1611" s="71">
        <f>IFERROR(IF(VLOOKUP(A1611,[11]PRIORIZADOS!$A:$M,13,FALSE)="","",VLOOKUP(A1611,[11]PRIORIZADOS!$A:$M,13,FALSE)),"")</f>
        <v>45854</v>
      </c>
      <c r="N1611" s="71">
        <f>IFERROR(IF(VLOOKUP(A1611,[11]PRIORIZADOS!$A:$N,14,FALSE)="","",VLOOKUP(A1611,[11]PRIORIZADOS!$A:$N,14,FALSE)),"")</f>
        <v>45854</v>
      </c>
      <c r="O1611" s="71">
        <f>IFERROR(IF(VLOOKUP(A1611,[11]PRIORIZADOS!$A:$O,15,FALSE)="","",VLOOKUP(A1611,[11]PRIORIZADOS!$A:$O,15,FALSE)),"")</f>
        <v>45855</v>
      </c>
      <c r="P1611" s="11" t="str">
        <f>IFERROR(IF(VLOOKUP(A1611,[11]PRIORIZADOS!$A:$P,16,FALSE)="","",VLOOKUP(A1611,[11]PRIORIZADOS!$A:$P,16,FALSE)),"")</f>
        <v>Visitas de evaluación con fines de mejoramiento</v>
      </c>
      <c r="Q1611" s="5" t="s">
        <v>369</v>
      </c>
      <c r="R1611" s="11" t="str">
        <f>IFERROR(IF(VLOOKUP(A1611,[11]PRIORIZADOS!$A:$R,18,FALSE)="","",VLOOKUP(A1611,[11]PRIORIZADOS!$A:$R,18,FALSE)),"")</f>
        <v>La institución cuentan con actas donde se evidencie el funcionamiento del comité de convivencia escolar.
Se verificó a los docentes  inhabilidadades por delitos sexuales cada 4 meses</v>
      </c>
      <c r="S1611" s="11" t="str">
        <f>IFERROR(IF(VLOOKUP(A1611,[11]PRIORIZADOS!$A:$S,19,FALSE)="","",VLOOKUP(A1611,[11]PRIORIZADOS!$A:$S,19,FALSE)),"")</f>
        <v>Contituar con la verificación de inhabilidades cada 4 meses</v>
      </c>
      <c r="T1611" s="70" t="str">
        <f>IFERROR(IF(VLOOKUP(A1611,[11]PRIORIZADOS!$A:$T,20,FALSE)="","",VLOOKUP(A1611,[11]PRIORIZADOS!$A:$T,20,FALSE)),"")</f>
        <v>No</v>
      </c>
      <c r="U1611" s="11" t="str">
        <f>IFERROR(IF(VLOOKUP(A1611,[11]PRIORIZADOS!$A:$U,21,FALSE)="","",VLOOKUP(A1611,[11]PRIORIZADOS!$A:$U,21,FALSE)),"")</f>
        <v>Verificar en caso de presentarse una queja</v>
      </c>
    </row>
    <row r="1612" spans="1:21" s="1" customFormat="1" ht="72">
      <c r="A1612" s="69">
        <f>IF([11]PRIORIZADOS!A123="","",[11]PRIORIZADOS!A123)</f>
        <v>1579</v>
      </c>
      <c r="B1612" s="70">
        <v>13</v>
      </c>
      <c r="C1612" s="11" t="str">
        <f>IFERROR(IF(VLOOKUP(A1612,[11]PRIORIZADOS!$A:$C,3,FALSE)="","",VLOOKUP(A1612,[11]PRIORIZADOS!$A:$C,3,FALSE)),"")</f>
        <v>RAFAEL URIBE URIBE</v>
      </c>
      <c r="D1612" s="11" t="str">
        <f>IFERROR(IF(VLOOKUP(A1612,[11]PRIORIZADOS!$A:$D,4,FALSE)="","",VLOOKUP(A1612,[11]PRIORIZADOS!$A:$D,4,FALSE)),"")</f>
        <v>PRIVADO</v>
      </c>
      <c r="E1612" s="11" t="str">
        <f>IFERROR(IF(VLOOKUP(A1612,[11]PRIORIZADOS!$A:$E,5,FALSE)="","",VLOOKUP(A1612,[11]PRIORIZADOS!$A:$E,5,FALSE)),"")</f>
        <v>EPBM</v>
      </c>
      <c r="F1612" s="11" t="str">
        <f>IFERROR(IF(VLOOKUP(A1612,[11]PRIORIZADOS!$A:$F,6,FALSE)="","",VLOOKUP(A1612,[11]PRIORIZADOS!$A:$F,6,FALSE)),"")</f>
        <v>FUNDACION_COLEGIO_PRINCIPIO_DE_SABIDURIA</v>
      </c>
      <c r="G1612" s="11" t="str">
        <f>IFERROR(IF(VLOOKUP(A1612,[11]PRIORIZADOS!$A:$G,7,FALSE)="","",VLOOKUP(A1612,[11]PRIORIZADOS!$A:$G,7,FALSE)),"")</f>
        <v>FUNDACION_COLEGIO_PRINCIPIO_DE_SABIDURIA</v>
      </c>
      <c r="H1612" s="11" t="str">
        <f>IFERROR(IF(VLOOKUP(A1612,[11]PRIORIZADOS!$A:$H,8,FALSE)="","",VLOOKUP(A1612,[11]PRIORIZADOS!$A:$H,8,FALSE)),"")</f>
        <v>Autoevaluación Institucional y Pruebas SABER 11</v>
      </c>
      <c r="I1612" s="11" t="str">
        <f>IFERROR(IF(VLOOKUP(A1612,[11]PRIORIZADOS!$A:$I,9,FALSE)="","",VLOOKUP(A1612,[11]PRIORIZADOS!$A:$I,9,FALSE)),"")</f>
        <v>SEGUIMIENTO_Y_SUPERVISIÓN.</v>
      </c>
      <c r="J1612" s="11" t="str">
        <f>IFERROR(IF(VLOOKUP(A1612,[11]PRIORIZADOS!$A:$J,10,FALSE)="","",VLOOKUP(A1612,[11]PRIORIZADOS!$A:$J,10,FALSE)),"")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12" s="11" t="str">
        <f>IFERROR(IF(VLOOKUP(A1612,[11]PRIORIZADOS!$A:$K,11,FALSE)="","",VLOOKUP(A1612,[11]PRIORIZADOS!$A:$K,11,FALSE)),"")</f>
        <v>BEPCI YADIRA MINA ZAPATA</v>
      </c>
      <c r="L1612" s="11" t="str">
        <f>IFERROR(IF(VLOOKUP(A1612,[11]PRIORIZADOS!$A:$L,12,FALSE)="","",VLOOKUP(A1612,[11]PRIORIZADOS!$A:$L,12,FALSE)),"")</f>
        <v>DORY CONSTANZA SANCHEZ ARAGÓN</v>
      </c>
      <c r="M1612" s="71">
        <f>IFERROR(IF(VLOOKUP(A1612,[11]PRIORIZADOS!$A:$M,13,FALSE)="","",VLOOKUP(A1612,[11]PRIORIZADOS!$A:$M,13,FALSE)),"")</f>
        <v>45854</v>
      </c>
      <c r="N1612" s="71">
        <f>IFERROR(IF(VLOOKUP(A1612,[11]PRIORIZADOS!$A:$N,14,FALSE)="","",VLOOKUP(A1612,[11]PRIORIZADOS!$A:$N,14,FALSE)),"")</f>
        <v>45854</v>
      </c>
      <c r="O1612" s="71">
        <f>IFERROR(IF(VLOOKUP(A1612,[11]PRIORIZADOS!$A:$O,15,FALSE)="","",VLOOKUP(A1612,[11]PRIORIZADOS!$A:$O,15,FALSE)),"")</f>
        <v>45855</v>
      </c>
      <c r="P1612" s="11" t="str">
        <f>IFERROR(IF(VLOOKUP(A1612,[11]PRIORIZADOS!$A:$P,16,FALSE)="","",VLOOKUP(A1612,[11]PRIORIZADOS!$A:$P,16,FALSE)),"")</f>
        <v>Visitas de evaluación con fines de mejoramiento</v>
      </c>
      <c r="Q1612" s="5" t="s">
        <v>369</v>
      </c>
      <c r="R1612" s="11" t="str">
        <f>IFERROR(IF(VLOOKUP(A1612,[11]PRIORIZADOS!$A:$R,18,FALSE)="","",VLOOKUP(A1612,[11]PRIORIZADOS!$A:$R,18,FALSE)),"")</f>
        <v>El colegio tiene muy bien diseñados los PIAR, tienen un exvelente seguimeinto a los estudiantes, las adapatciones curriculares responden a las necesidades de cda uno de ellos</v>
      </c>
      <c r="S1612" s="11" t="str">
        <f>IFERROR(IF(VLOOKUP(A1612,[11]PRIORIZADOS!$A:$S,19,FALSE)="","",VLOOKUP(A1612,[11]PRIORIZADOS!$A:$S,19,FALSE)),"")</f>
        <v>Continuar con los seguimientos y acompañamiento a los estudiantes con PIAR</v>
      </c>
      <c r="T1612" s="70" t="str">
        <f>IFERROR(IF(VLOOKUP(A1612,[11]PRIORIZADOS!$A:$T,20,FALSE)="","",VLOOKUP(A1612,[11]PRIORIZADOS!$A:$T,20,FALSE)),"")</f>
        <v>No</v>
      </c>
      <c r="U1612" s="11" t="str">
        <f>IFERROR(IF(VLOOKUP(A1612,[11]PRIORIZADOS!$A:$U,21,FALSE)="","",VLOOKUP(A1612,[11]PRIORIZADOS!$A:$U,21,FALSE)),"")</f>
        <v>Verificar en caso de algun reqiuerimiento o queja</v>
      </c>
    </row>
    <row r="1613" spans="1:21" s="1" customFormat="1" ht="84">
      <c r="A1613" s="69">
        <f>IF([11]PRIORIZADOS!A124="","",[11]PRIORIZADOS!A124)</f>
        <v>1580</v>
      </c>
      <c r="B1613" s="70">
        <v>13</v>
      </c>
      <c r="C1613" s="11" t="str">
        <f>IFERROR(IF(VLOOKUP(A1613,[11]PRIORIZADOS!$A:$C,3,FALSE)="","",VLOOKUP(A1613,[11]PRIORIZADOS!$A:$C,3,FALSE)),"")</f>
        <v>RAFAEL URIBE URIBE</v>
      </c>
      <c r="D1613" s="11" t="str">
        <f>IFERROR(IF(VLOOKUP(A1613,[11]PRIORIZADOS!$A:$D,4,FALSE)="","",VLOOKUP(A1613,[11]PRIORIZADOS!$A:$D,4,FALSE)),"")</f>
        <v>PRIVADO</v>
      </c>
      <c r="E1613" s="11" t="str">
        <f>IFERROR(IF(VLOOKUP(A1613,[11]PRIORIZADOS!$A:$E,5,FALSE)="","",VLOOKUP(A1613,[11]PRIORIZADOS!$A:$E,5,FALSE)),"")</f>
        <v>EPBM</v>
      </c>
      <c r="F1613" s="11" t="str">
        <f>IFERROR(IF(VLOOKUP(A1613,[11]PRIORIZADOS!$A:$F,6,FALSE)="","",VLOOKUP(A1613,[11]PRIORIZADOS!$A:$F,6,FALSE)),"")</f>
        <v>FUNDACION_COLEGIO_PRINCIPIO_DE_SABIDURIA</v>
      </c>
      <c r="G1613" s="11" t="str">
        <f>IFERROR(IF(VLOOKUP(A1613,[11]PRIORIZADOS!$A:$G,7,FALSE)="","",VLOOKUP(A1613,[11]PRIORIZADOS!$A:$G,7,FALSE)),"")</f>
        <v>FUNDACION_COLEGIO_PRINCIPIO_DE_SABIDURIA</v>
      </c>
      <c r="H1613" s="11" t="str">
        <f>IFERROR(IF(VLOOKUP(A1613,[11]PRIORIZADOS!$A:$H,8,FALSE)="","",VLOOKUP(A1613,[11]PRIORIZADOS!$A:$H,8,FALSE)),"")</f>
        <v>Autoevaluación Institucional y Pruebas SABER 11</v>
      </c>
      <c r="I1613" s="11" t="str">
        <f>IFERROR(IF(VLOOKUP(A1613,[11]PRIORIZADOS!$A:$I,9,FALSE)="","",VLOOKUP(A1613,[11]PRIORIZADOS!$A:$I,9,FALSE)),"")</f>
        <v>EVALUACIÓN_CON_FINES_DE_MEJORAMIENTO.</v>
      </c>
      <c r="J1613" s="11" t="str">
        <f>IFERROR(IF(VLOOKUP(A1613,[11]PRIORIZADOS!$A:$J,10,FALSE)="","",VLOOKUP(A1613,[11]PRIORIZADOS!$A:$J,10,FALSE)),"")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13" s="11" t="str">
        <f>IFERROR(IF(VLOOKUP(A1613,[11]PRIORIZADOS!$A:$K,11,FALSE)="","",VLOOKUP(A1613,[11]PRIORIZADOS!$A:$K,11,FALSE)),"")</f>
        <v>BEPCI YADIRA MINA ZAPATA</v>
      </c>
      <c r="L1613" s="11" t="str">
        <f>IFERROR(IF(VLOOKUP(A1613,[11]PRIORIZADOS!$A:$L,12,FALSE)="","",VLOOKUP(A1613,[11]PRIORIZADOS!$A:$L,12,FALSE)),"")</f>
        <v>DORY CONSTANZA SANCHEZ ARAGÓN</v>
      </c>
      <c r="M1613" s="71">
        <f>IFERROR(IF(VLOOKUP(A1613,[11]PRIORIZADOS!$A:$M,13,FALSE)="","",VLOOKUP(A1613,[11]PRIORIZADOS!$A:$M,13,FALSE)),"")</f>
        <v>45854</v>
      </c>
      <c r="N1613" s="71">
        <f>IFERROR(IF(VLOOKUP(A1613,[11]PRIORIZADOS!$A:$N,14,FALSE)="","",VLOOKUP(A1613,[11]PRIORIZADOS!$A:$N,14,FALSE)),"")</f>
        <v>45854</v>
      </c>
      <c r="O1613" s="71">
        <f>IFERROR(IF(VLOOKUP(A1613,[11]PRIORIZADOS!$A:$O,15,FALSE)="","",VLOOKUP(A1613,[11]PRIORIZADOS!$A:$O,15,FALSE)),"")</f>
        <v>45855</v>
      </c>
      <c r="P1613" s="11" t="str">
        <f>IFERROR(IF(VLOOKUP(A1613,[11]PRIORIZADOS!$A:$P,16,FALSE)="","",VLOOKUP(A1613,[11]PRIORIZADOS!$A:$P,16,FALSE)),"")</f>
        <v>Visitas de evaluación con fines de mejoramiento</v>
      </c>
      <c r="Q1613" s="5" t="s">
        <v>369</v>
      </c>
      <c r="R1613" s="11" t="str">
        <f>IFERROR(IF(VLOOKUP(A1613,[11]PRIORIZADOS!$A:$R,18,FALSE)="","",VLOOKUP(A1613,[11]PRIORIZADOS!$A:$R,18,FALSE)),"")</f>
        <v>El colegio viene haciendo un trabajo muy interesante en la actualziación del manual de convivencia involucrando los 4 enfoques, es de resaltar el enfoque de justicia restaurativa ya que este es el pilar de la institución.</v>
      </c>
      <c r="S1613" s="11" t="str">
        <f>IFERROR(IF(VLOOKUP(A1613,[11]PRIORIZADOS!$A:$S,19,FALSE)="","",VLOOKUP(A1613,[11]PRIORIZADOS!$A:$S,19,FALSE)),"")</f>
        <v>Es necesario actualizar el manual de convivencia con debido proceso convivencial y disciplinar. Presentar plan de mejoramiento el 15 de agosto de 2025</v>
      </c>
      <c r="T1613" s="70" t="str">
        <f>IFERROR(IF(VLOOKUP(A1613,[11]PRIORIZADOS!$A:$T,20,FALSE)="","",VLOOKUP(A1613,[11]PRIORIZADOS!$A:$T,20,FALSE)),"")</f>
        <v>Si</v>
      </c>
      <c r="U1613" s="11" t="str">
        <f>IFERROR(IF(VLOOKUP(A1613,[11]PRIORIZADOS!$A:$U,21,FALSE)="","",VLOOKUP(A1613,[11]PRIORIZADOS!$A:$U,21,FALSE)),"")</f>
        <v>Revisar PM y verificar que se ajuste a las observaciones realizadas.</v>
      </c>
    </row>
    <row r="1614" spans="1:21" s="1" customFormat="1" ht="118.5">
      <c r="A1614" s="69">
        <f>IF([11]PRIORIZADOS!A125="","",[11]PRIORIZADOS!A125)</f>
        <v>1581</v>
      </c>
      <c r="B1614" s="70">
        <v>13</v>
      </c>
      <c r="C1614" s="11" t="str">
        <f>IFERROR(IF(VLOOKUP(A1614,[11]PRIORIZADOS!$A:$C,3,FALSE)="","",VLOOKUP(A1614,[11]PRIORIZADOS!$A:$C,3,FALSE)),"")</f>
        <v>RAFAEL URIBE URIBE</v>
      </c>
      <c r="D1614" s="11" t="str">
        <f>IFERROR(IF(VLOOKUP(A1614,[11]PRIORIZADOS!$A:$D,4,FALSE)="","",VLOOKUP(A1614,[11]PRIORIZADOS!$A:$D,4,FALSE)),"")</f>
        <v>PRIVADO</v>
      </c>
      <c r="E1614" s="11" t="str">
        <f>IFERROR(IF(VLOOKUP(A1614,[11]PRIORIZADOS!$A:$E,5,FALSE)="","",VLOOKUP(A1614,[11]PRIORIZADOS!$A:$E,5,FALSE)),"")</f>
        <v>EPBM</v>
      </c>
      <c r="F1614" s="11" t="str">
        <f>IFERROR(IF(VLOOKUP(A1614,[11]PRIORIZADOS!$A:$F,6,FALSE)="","",VLOOKUP(A1614,[11]PRIORIZADOS!$A:$F,6,FALSE)),"")</f>
        <v>FUNDACION_COLEGIO_PRINCIPIO_DE_SABIDURIA</v>
      </c>
      <c r="G1614" s="11" t="str">
        <f>IFERROR(IF(VLOOKUP(A1614,[11]PRIORIZADOS!$A:$G,7,FALSE)="","",VLOOKUP(A1614,[11]PRIORIZADOS!$A:$G,7,FALSE)),"")</f>
        <v>FUNDACION_COLEGIO_PRINCIPIO_DE_SABIDURIA</v>
      </c>
      <c r="H1614" s="11" t="str">
        <f>IFERROR(IF(VLOOKUP(A1614,[11]PRIORIZADOS!$A:$H,8,FALSE)="","",VLOOKUP(A1614,[11]PRIORIZADOS!$A:$H,8,FALSE)),"")</f>
        <v>Autoevaluación Institucional y Pruebas SABER 11</v>
      </c>
      <c r="I1614" s="11" t="str">
        <f>IFERROR(IF(VLOOKUP(A1614,[11]PRIORIZADOS!$A:$I,9,FALSE)="","",VLOOKUP(A1614,[11]PRIORIZADOS!$A:$I,9,FALSE)),"")</f>
        <v>EVALUACIÓN_CON_FINES_DE_MEJORAMIENTO.</v>
      </c>
      <c r="J1614" s="11" t="str">
        <f>IFERROR(IF(VLOOKUP(A1614,[11]PRIORIZADOS!$A:$J,10,FALSE)="","",VLOOKUP(A1614,[11]PRIORIZADOS!$A:$J,10,FALSE)),"")</f>
        <v>Revisar la actualización, socialización e implementación del Sistema Institucional de Evaluación de Estudiantes - SIEE, en articulación con la actualización del PEI y la normatividad vigente.</v>
      </c>
      <c r="K1614" s="11" t="str">
        <f>IFERROR(IF(VLOOKUP(A1614,[11]PRIORIZADOS!$A:$K,11,FALSE)="","",VLOOKUP(A1614,[11]PRIORIZADOS!$A:$K,11,FALSE)),"")</f>
        <v>BEPCI YADIRA MINA ZAPATA</v>
      </c>
      <c r="L1614" s="11" t="str">
        <f>IFERROR(IF(VLOOKUP(A1614,[11]PRIORIZADOS!$A:$L,12,FALSE)="","",VLOOKUP(A1614,[11]PRIORIZADOS!$A:$L,12,FALSE)),"")</f>
        <v>DORY CONSTANZA SANCHEZ ARAGÓN</v>
      </c>
      <c r="M1614" s="71">
        <f>IFERROR(IF(VLOOKUP(A1614,[11]PRIORIZADOS!$A:$M,13,FALSE)="","",VLOOKUP(A1614,[11]PRIORIZADOS!$A:$M,13,FALSE)),"")</f>
        <v>45854</v>
      </c>
      <c r="N1614" s="71">
        <f>IFERROR(IF(VLOOKUP(A1614,[11]PRIORIZADOS!$A:$N,14,FALSE)="","",VLOOKUP(A1614,[11]PRIORIZADOS!$A:$N,14,FALSE)),"")</f>
        <v>45854</v>
      </c>
      <c r="O1614" s="71">
        <f>IFERROR(IF(VLOOKUP(A1614,[11]PRIORIZADOS!$A:$O,15,FALSE)="","",VLOOKUP(A1614,[11]PRIORIZADOS!$A:$O,15,FALSE)),"")</f>
        <v>45855</v>
      </c>
      <c r="P1614" s="11" t="str">
        <f>IFERROR(IF(VLOOKUP(A1614,[11]PRIORIZADOS!$A:$P,16,FALSE)="","",VLOOKUP(A1614,[11]PRIORIZADOS!$A:$P,16,FALSE)),"")</f>
        <v>Visitas de evaluación con fines de mejoramiento</v>
      </c>
      <c r="Q1614" s="5" t="s">
        <v>369</v>
      </c>
      <c r="R1614" s="11" t="str">
        <f>IFERROR(IF(VLOOKUP(A1614,[11]PRIORIZADOS!$A:$R,18,FALSE)="","",VLOOKUP(A1614,[11]PRIORIZADOS!$A:$R,18,FALSE)),"")</f>
        <v>El colegio hace seguimiento a cada uno de los estaudiantes en su proceso académico tal como lo tiene definido en el SIEE, es de destacar en la institución  que tienen diseñada estrategias muy valiosas que permiten el proceso de resocialización de los niños, nilños y adolescentes, esto implica que el colegio hace un acompañamiento exhaustivo a sus estudiantes</v>
      </c>
      <c r="S1614" s="11" t="str">
        <f>IFERROR(IF(VLOOKUP(A1614,[11]PRIORIZADOS!$A:$S,19,FALSE)="","",VLOOKUP(A1614,[11]PRIORIZADOS!$A:$S,19,FALSE)),"")</f>
        <v>El SIEE se enceuntra articulado con el PEI y la normatividad vigente</v>
      </c>
      <c r="T1614" s="70" t="str">
        <f>IFERROR(IF(VLOOKUP(A1614,[11]PRIORIZADOS!$A:$T,20,FALSE)="","",VLOOKUP(A1614,[11]PRIORIZADOS!$A:$T,20,FALSE)),"")</f>
        <v>No</v>
      </c>
      <c r="U1614" s="11" t="str">
        <f>IFERROR(IF(VLOOKUP(A1614,[11]PRIORIZADOS!$A:$U,21,FALSE)="","",VLOOKUP(A1614,[11]PRIORIZADOS!$A:$U,21,FALSE)),"")</f>
        <v>Verificar en caso de una queja</v>
      </c>
    </row>
    <row r="1615" spans="1:21" s="1" customFormat="1" ht="72">
      <c r="A1615" s="69">
        <f>IF([11]PRIORIZADOS!A126="","",[11]PRIORIZADOS!A126)</f>
        <v>1582</v>
      </c>
      <c r="B1615" s="70">
        <v>13</v>
      </c>
      <c r="C1615" s="11" t="str">
        <f>IFERROR(IF(VLOOKUP(A1615,[11]PRIORIZADOS!$A:$C,3,FALSE)="","",VLOOKUP(A1615,[11]PRIORIZADOS!$A:$C,3,FALSE)),"")</f>
        <v>RAFAEL URIBE URIBE</v>
      </c>
      <c r="D1615" s="11" t="str">
        <f>IFERROR(IF(VLOOKUP(A1615,[11]PRIORIZADOS!$A:$D,4,FALSE)="","",VLOOKUP(A1615,[11]PRIORIZADOS!$A:$D,4,FALSE)),"")</f>
        <v>PRIVADO</v>
      </c>
      <c r="E1615" s="11" t="str">
        <f>IFERROR(IF(VLOOKUP(A1615,[11]PRIORIZADOS!$A:$E,5,FALSE)="","",VLOOKUP(A1615,[11]PRIORIZADOS!$A:$E,5,FALSE)),"")</f>
        <v>EPBM</v>
      </c>
      <c r="F1615" s="11" t="str">
        <f>IFERROR(IF(VLOOKUP(A1615,[11]PRIORIZADOS!$A:$F,6,FALSE)="","",VLOOKUP(A1615,[11]PRIORIZADOS!$A:$F,6,FALSE)),"")</f>
        <v>FUNDACION_COLEGIO_PRINCIPIO_DE_SABIDURIA</v>
      </c>
      <c r="G1615" s="11" t="str">
        <f>IFERROR(IF(VLOOKUP(A1615,[11]PRIORIZADOS!$A:$G,7,FALSE)="","",VLOOKUP(A1615,[11]PRIORIZADOS!$A:$G,7,FALSE)),"")</f>
        <v>FUNDACION_COLEGIO_PRINCIPIO_DE_SABIDURIA</v>
      </c>
      <c r="H1615" s="11" t="str">
        <f>IFERROR(IF(VLOOKUP(A1615,[11]PRIORIZADOS!$A:$H,8,FALSE)="","",VLOOKUP(A1615,[11]PRIORIZADOS!$A:$H,8,FALSE)),"")</f>
        <v>Autoevaluación Institucional y Pruebas SABER 11</v>
      </c>
      <c r="I1615" s="11" t="str">
        <f>IFERROR(IF(VLOOKUP(A1615,[11]PRIORIZADOS!$A:$I,9,FALSE)="","",VLOOKUP(A1615,[11]PRIORIZADOS!$A:$I,9,FALSE)),"")</f>
        <v>EVALUACIÓN_CON_FINES_DE_MEJORAMIENTO.</v>
      </c>
      <c r="J1615" s="11" t="str">
        <f>IFERROR(IF(VLOOKUP(A1615,[11]PRIORIZADOS!$A:$J,10,FALSE)="","",VLOOKUP(A1615,[11]PRIORIZADOS!$A:$J,10,FALSE)),"")</f>
        <v>Revisar el calendario escolar, jornada escolar, la intensidad horaria mínima anual en cada nivel y las modificaciones que se realicen al mismo, de acuerdo con lo previsto en la normatividad vigente.</v>
      </c>
      <c r="K1615" s="11" t="str">
        <f>IFERROR(IF(VLOOKUP(A1615,[11]PRIORIZADOS!$A:$K,11,FALSE)="","",VLOOKUP(A1615,[11]PRIORIZADOS!$A:$K,11,FALSE)),"")</f>
        <v>BEPCI YADIRA MINA ZAPATA</v>
      </c>
      <c r="L1615" s="11" t="str">
        <f>IFERROR(IF(VLOOKUP(A1615,[11]PRIORIZADOS!$A:$L,12,FALSE)="","",VLOOKUP(A1615,[11]PRIORIZADOS!$A:$L,12,FALSE)),"")</f>
        <v>DORY CONSTANZA SANCHEZ ARAGÓN</v>
      </c>
      <c r="M1615" s="71">
        <f>IFERROR(IF(VLOOKUP(A1615,[11]PRIORIZADOS!$A:$M,13,FALSE)="","",VLOOKUP(A1615,[11]PRIORIZADOS!$A:$M,13,FALSE)),"")</f>
        <v>45854</v>
      </c>
      <c r="N1615" s="71">
        <f>IFERROR(IF(VLOOKUP(A1615,[11]PRIORIZADOS!$A:$N,14,FALSE)="","",VLOOKUP(A1615,[11]PRIORIZADOS!$A:$N,14,FALSE)),"")</f>
        <v>45854</v>
      </c>
      <c r="O1615" s="71">
        <f>IFERROR(IF(VLOOKUP(A1615,[11]PRIORIZADOS!$A:$O,15,FALSE)="","",VLOOKUP(A1615,[11]PRIORIZADOS!$A:$O,15,FALSE)),"")</f>
        <v>45855</v>
      </c>
      <c r="P1615" s="11" t="str">
        <f>IFERROR(IF(VLOOKUP(A1615,[11]PRIORIZADOS!$A:$P,16,FALSE)="","",VLOOKUP(A1615,[11]PRIORIZADOS!$A:$P,16,FALSE)),"")</f>
        <v>Visitas de evaluación con fines de mejoramiento</v>
      </c>
      <c r="Q1615" s="5" t="s">
        <v>369</v>
      </c>
      <c r="R1615" s="11" t="str">
        <f>IFERROR(IF(VLOOKUP(A1615,[11]PRIORIZADOS!$A:$R,18,FALSE)="","",VLOOKUP(A1615,[11]PRIORIZADOS!$A:$R,18,FALSE)),"")</f>
        <v xml:space="preserve">El colegio cuenta con 5 horas 30 minutos de trabajo efectivo con los estudinates, esto indica que en preescolar y en Básica Primaria el colegio oferta 1100 horas anuales, en Bachillerato se debe revisar un ajuste en la I.H. </v>
      </c>
      <c r="S1615" s="11" t="str">
        <f>IFERROR(IF(VLOOKUP(A1615,[11]PRIORIZADOS!$A:$S,19,FALSE)="","",VLOOKUP(A1615,[11]PRIORIZADOS!$A:$S,19,FALSE)),"")</f>
        <v>Ajustar el horario para dar cumplimiento a la intensidad horaria. Presentar plan de mejoramiento el 15 de agosto de 2025</v>
      </c>
      <c r="T1615" s="70" t="str">
        <f>IFERROR(IF(VLOOKUP(A1615,[11]PRIORIZADOS!$A:$T,20,FALSE)="","",VLOOKUP(A1615,[11]PRIORIZADOS!$A:$T,20,FALSE)),"")</f>
        <v>Si</v>
      </c>
      <c r="U1615" s="11" t="str">
        <f>IFERROR(IF(VLOOKUP(A1615,[11]PRIORIZADOS!$A:$U,21,FALSE)="","",VLOOKUP(A1615,[11]PRIORIZADOS!$A:$U,21,FALSE)),"")</f>
        <v>Revisar PM y verificar que se ajuste a las observaciones realizadas.</v>
      </c>
    </row>
    <row r="1616" spans="1:21" s="1" customFormat="1" ht="48">
      <c r="A1616" s="69">
        <f>IF([11]PRIORIZADOS!A127="","",[11]PRIORIZADOS!A127)</f>
        <v>1583</v>
      </c>
      <c r="B1616" s="70">
        <v>13</v>
      </c>
      <c r="C1616" s="11" t="str">
        <f>IFERROR(IF(VLOOKUP(A1616,[11]PRIORIZADOS!$A:$C,3,FALSE)="","",VLOOKUP(A1616,[11]PRIORIZADOS!$A:$C,3,FALSE)),"")</f>
        <v>RAFAEL URIBE URIBE</v>
      </c>
      <c r="D1616" s="11" t="str">
        <f>IFERROR(IF(VLOOKUP(A1616,[11]PRIORIZADOS!$A:$D,4,FALSE)="","",VLOOKUP(A1616,[11]PRIORIZADOS!$A:$D,4,FALSE)),"")</f>
        <v>PRIVADO</v>
      </c>
      <c r="E1616" s="11" t="str">
        <f>IFERROR(IF(VLOOKUP(A1616,[11]PRIORIZADOS!$A:$E,5,FALSE)="","",VLOOKUP(A1616,[11]PRIORIZADOS!$A:$E,5,FALSE)),"")</f>
        <v>EPBM</v>
      </c>
      <c r="F1616" s="11" t="str">
        <f>IFERROR(IF(VLOOKUP(A1616,[11]PRIORIZADOS!$A:$F,6,FALSE)="","",VLOOKUP(A1616,[11]PRIORIZADOS!$A:$F,6,FALSE)),"")</f>
        <v>FUNDACION_COLEGIO_PRINCIPIO_DE_SABIDURIA</v>
      </c>
      <c r="G1616" s="11" t="str">
        <f>IFERROR(IF(VLOOKUP(A1616,[11]PRIORIZADOS!$A:$G,7,FALSE)="","",VLOOKUP(A1616,[11]PRIORIZADOS!$A:$G,7,FALSE)),"")</f>
        <v>FUNDACION_COLEGIO_PRINCIPIO_DE_SABIDURIA</v>
      </c>
      <c r="H1616" s="11" t="str">
        <f>IFERROR(IF(VLOOKUP(A1616,[11]PRIORIZADOS!$A:$H,8,FALSE)="","",VLOOKUP(A1616,[11]PRIORIZADOS!$A:$H,8,FALSE)),"")</f>
        <v>Autoevaluación Institucional y Pruebas SABER 11</v>
      </c>
      <c r="I1616" s="11" t="str">
        <f>IFERROR(IF(VLOOKUP(A1616,[11]PRIORIZADOS!$A:$I,9,FALSE)="","",VLOOKUP(A1616,[11]PRIORIZADOS!$A:$I,9,FALSE)),"")</f>
        <v>EVALUACIÓN_CON_FINES_DE_MEJORAMIENTO.</v>
      </c>
      <c r="J1616" s="11" t="str">
        <f>IFERROR(IF(VLOOKUP(A1616,[11]PRIORIZADOS!$A:$J,10,FALSE)="","",VLOOKUP(A1616,[11]PRIORIZADOS!$A:$J,10,FALSE)),"")</f>
        <v>Verificar el funcionamiento del Gobierno Escolar e instancias de participación con base en la información sobre conformación reportada por la institución educativa.</v>
      </c>
      <c r="K1616" s="11" t="str">
        <f>IFERROR(IF(VLOOKUP(A1616,[11]PRIORIZADOS!$A:$K,11,FALSE)="","",VLOOKUP(A1616,[11]PRIORIZADOS!$A:$K,11,FALSE)),"")</f>
        <v>BEPCI YADIRA MINA ZAPATA</v>
      </c>
      <c r="L1616" s="11" t="str">
        <f>IFERROR(IF(VLOOKUP(A1616,[11]PRIORIZADOS!$A:$L,12,FALSE)="","",VLOOKUP(A1616,[11]PRIORIZADOS!$A:$L,12,FALSE)),"")</f>
        <v>DORY CONSTANZA SANCHEZ ARAGÓN</v>
      </c>
      <c r="M1616" s="71">
        <f>IFERROR(IF(VLOOKUP(A1616,[11]PRIORIZADOS!$A:$M,13,FALSE)="","",VLOOKUP(A1616,[11]PRIORIZADOS!$A:$M,13,FALSE)),"")</f>
        <v>45854</v>
      </c>
      <c r="N1616" s="71">
        <f>IFERROR(IF(VLOOKUP(A1616,[11]PRIORIZADOS!$A:$N,14,FALSE)="","",VLOOKUP(A1616,[11]PRIORIZADOS!$A:$N,14,FALSE)),"")</f>
        <v>45854</v>
      </c>
      <c r="O1616" s="71">
        <f>IFERROR(IF(VLOOKUP(A1616,[11]PRIORIZADOS!$A:$O,15,FALSE)="","",VLOOKUP(A1616,[11]PRIORIZADOS!$A:$O,15,FALSE)),"")</f>
        <v>45855</v>
      </c>
      <c r="P1616" s="11" t="str">
        <f>IFERROR(IF(VLOOKUP(A1616,[11]PRIORIZADOS!$A:$P,16,FALSE)="","",VLOOKUP(A1616,[11]PRIORIZADOS!$A:$P,16,FALSE)),"")</f>
        <v>Visitas de evaluación con fines de mejoramiento</v>
      </c>
      <c r="Q1616" s="5" t="s">
        <v>369</v>
      </c>
      <c r="R1616" s="11" t="str">
        <f>IFERROR(IF(VLOOKUP(A1616,[11]PRIORIZADOS!$A:$R,18,FALSE)="","",VLOOKUP(A1616,[11]PRIORIZADOS!$A:$R,18,FALSE)),"")</f>
        <v>Se evidencian actas de funcionamiento de los organos del Gobierno Escolar e instancias de participación.</v>
      </c>
      <c r="S1616" s="11" t="str">
        <f>IFERROR(IF(VLOOKUP(A1616,[11]PRIORIZADOS!$A:$S,19,FALSE)="","",VLOOKUP(A1616,[11]PRIORIZADOS!$A:$S,19,FALSE)),"")</f>
        <v>Continuar con las reuniones de los organos del Gobierno Escolar e instancias de participación con las respectivas actas.</v>
      </c>
      <c r="T1616" s="70" t="str">
        <f>IFERROR(IF(VLOOKUP(A1616,[11]PRIORIZADOS!$A:$T,20,FALSE)="","",VLOOKUP(A1616,[11]PRIORIZADOS!$A:$T,20,FALSE)),"")</f>
        <v>No</v>
      </c>
      <c r="U1616" s="11" t="str">
        <f>IFERROR(IF(VLOOKUP(A1616,[11]PRIORIZADOS!$A:$U,21,FALSE)="","",VLOOKUP(A1616,[11]PRIORIZADOS!$A:$U,21,FALSE)),"")</f>
        <v>Verificar en caso de presentarse una queja</v>
      </c>
    </row>
    <row r="1617" spans="1:21" s="1" customFormat="1" ht="48">
      <c r="A1617" s="69">
        <f>IF([11]PRIORIZADOS!A128="","",[11]PRIORIZADOS!A128)</f>
        <v>1584</v>
      </c>
      <c r="B1617" s="70">
        <v>13</v>
      </c>
      <c r="C1617" s="11" t="str">
        <f>IFERROR(IF(VLOOKUP(A1617,[11]PRIORIZADOS!$A:$C,3,FALSE)="","",VLOOKUP(A1617,[11]PRIORIZADOS!$A:$C,3,FALSE)),"")</f>
        <v>RAFAEL URIBE URIBE</v>
      </c>
      <c r="D1617" s="11" t="str">
        <f>IFERROR(IF(VLOOKUP(A1617,[11]PRIORIZADOS!$A:$D,4,FALSE)="","",VLOOKUP(A1617,[11]PRIORIZADOS!$A:$D,4,FALSE)),"")</f>
        <v>PRIVADO</v>
      </c>
      <c r="E1617" s="11" t="str">
        <f>IFERROR(IF(VLOOKUP(A1617,[11]PRIORIZADOS!$A:$E,5,FALSE)="","",VLOOKUP(A1617,[11]PRIORIZADOS!$A:$E,5,FALSE)),"")</f>
        <v>EPBM</v>
      </c>
      <c r="F1617" s="11" t="str">
        <f>IFERROR(IF(VLOOKUP(A1617,[11]PRIORIZADOS!$A:$F,6,FALSE)="","",VLOOKUP(A1617,[11]PRIORIZADOS!$A:$F,6,FALSE)),"")</f>
        <v>FUNDACION_COLEGIO_PRINCIPIO_DE_SABIDURIA</v>
      </c>
      <c r="G1617" s="11" t="str">
        <f>IFERROR(IF(VLOOKUP(A1617,[11]PRIORIZADOS!$A:$G,7,FALSE)="","",VLOOKUP(A1617,[11]PRIORIZADOS!$A:$G,7,FALSE)),"")</f>
        <v>FUNDACION_COLEGIO_PRINCIPIO_DE_SABIDURIA</v>
      </c>
      <c r="H1617" s="11" t="str">
        <f>IFERROR(IF(VLOOKUP(A1617,[11]PRIORIZADOS!$A:$H,8,FALSE)="","",VLOOKUP(A1617,[11]PRIORIZADOS!$A:$H,8,FALSE)),"")</f>
        <v>Autoevaluación Institucional y Pruebas SABER 11</v>
      </c>
      <c r="I1617" s="11" t="str">
        <f>IFERROR(IF(VLOOKUP(A1617,[11]PRIORIZADOS!$A:$I,9,FALSE)="","",VLOOKUP(A1617,[11]PRIORIZADOS!$A:$I,9,FALSE)),"")</f>
        <v>EVALUACIÓN_CON_FINES_DE_MEJORAMIENTO.</v>
      </c>
      <c r="J1617" s="11" t="str">
        <f>IFERROR(IF(VLOOKUP(A1617,[11]PRIORIZADOS!$A:$J,10,FALSE)="","",VLOOKUP(A1617,[11]PRIORIZADOS!$A:$J,10,FALSE)),"")</f>
        <v>Verificar las condiciones en cuanto a: la estructura administrativa, condiciones de la planta física y medios educativos adecuados.</v>
      </c>
      <c r="K1617" s="11" t="str">
        <f>IFERROR(IF(VLOOKUP(A1617,[11]PRIORIZADOS!$A:$K,11,FALSE)="","",VLOOKUP(A1617,[11]PRIORIZADOS!$A:$K,11,FALSE)),"")</f>
        <v>BEPCI YADIRA MINA ZAPATA</v>
      </c>
      <c r="L1617" s="11" t="str">
        <f>IFERROR(IF(VLOOKUP(A1617,[11]PRIORIZADOS!$A:$L,12,FALSE)="","",VLOOKUP(A1617,[11]PRIORIZADOS!$A:$L,12,FALSE)),"")</f>
        <v>DORY CONSTANZA SANCHEZ ARAGÓN</v>
      </c>
      <c r="M1617" s="71">
        <f>IFERROR(IF(VLOOKUP(A1617,[11]PRIORIZADOS!$A:$M,13,FALSE)="","",VLOOKUP(A1617,[11]PRIORIZADOS!$A:$M,13,FALSE)),"")</f>
        <v>45854</v>
      </c>
      <c r="N1617" s="71">
        <f>IFERROR(IF(VLOOKUP(A1617,[11]PRIORIZADOS!$A:$N,14,FALSE)="","",VLOOKUP(A1617,[11]PRIORIZADOS!$A:$N,14,FALSE)),"")</f>
        <v>45854</v>
      </c>
      <c r="O1617" s="71">
        <f>IFERROR(IF(VLOOKUP(A1617,[11]PRIORIZADOS!$A:$O,15,FALSE)="","",VLOOKUP(A1617,[11]PRIORIZADOS!$A:$O,15,FALSE)),"")</f>
        <v>45855</v>
      </c>
      <c r="P1617" s="11" t="str">
        <f>IFERROR(IF(VLOOKUP(A1617,[11]PRIORIZADOS!$A:$P,16,FALSE)="","",VLOOKUP(A1617,[11]PRIORIZADOS!$A:$P,16,FALSE)),"")</f>
        <v>Visitas de evaluación con fines de mejoramiento</v>
      </c>
      <c r="Q1617" s="239" t="s">
        <v>369</v>
      </c>
      <c r="R1617" s="11" t="str">
        <f>IFERROR(IF(VLOOKUP(A1617,[11]PRIORIZADOS!$A:$R,18,FALSE)="","",VLOOKUP(A1617,[11]PRIORIZADOS!$A:$R,18,FALSE)),"")</f>
        <v>Cuenta con 1 sede de 3 pisos, con 11 aulas, oficinas (rectoria, coordinaciones, orientación), enfermeria, laboratorios, sala sistemas, zona recreativa</v>
      </c>
      <c r="S1617" s="11" t="str">
        <f>IFERROR(IF(VLOOKUP(A1617,[11]PRIORIZADOS!$A:$S,19,FALSE)="","",VLOOKUP(A1617,[11]PRIORIZADOS!$A:$S,19,FALSE)),"")</f>
        <v>Se evidencio que la institución cuenta con ambientes de aprendizaje adecuados, con buena iluminación y ventilación</v>
      </c>
      <c r="T1617" s="70" t="str">
        <f>IFERROR(IF(VLOOKUP(A1617,[11]PRIORIZADOS!$A:$T,20,FALSE)="","",VLOOKUP(A1617,[11]PRIORIZADOS!$A:$T,20,FALSE)),"")</f>
        <v>No</v>
      </c>
      <c r="U1617" s="11" t="str">
        <f>IFERROR(IF(VLOOKUP(A1617,[11]PRIORIZADOS!$A:$U,21,FALSE)="","",VLOOKUP(A1617,[11]PRIORIZADOS!$A:$U,21,FALSE)),"")</f>
        <v>Verificar en caso de presentarse una queja</v>
      </c>
    </row>
    <row r="1618" spans="1:21" s="1" customFormat="1" ht="48">
      <c r="A1618" s="69">
        <f>IF([11]PRIORIZADOS!A129="","",[11]PRIORIZADOS!A129)</f>
        <v>1585</v>
      </c>
      <c r="B1618" s="70">
        <f>IFERROR(IF(VLOOKUP(A1618,[11]PRIORIZADOS!$A:$B,2,FALSE)="","",VLOOKUP(A1618,[11]PRIORIZADOS!$A:$B,2,FALSE)),"")</f>
        <v>14</v>
      </c>
      <c r="C1618" s="11" t="str">
        <f>IFERROR(IF(VLOOKUP(A1618,[11]PRIORIZADOS!$A:$C,3,FALSE)="","",VLOOKUP(A1618,[11]PRIORIZADOS!$A:$C,3,FALSE)),"")</f>
        <v>RAFAEL URIBE URIBE</v>
      </c>
      <c r="D1618" s="11" t="str">
        <f>IFERROR(IF(VLOOKUP(A1618,[11]PRIORIZADOS!$A:$D,4,FALSE)="","",VLOOKUP(A1618,[11]PRIORIZADOS!$A:$D,4,FALSE)),"")</f>
        <v>PRIVADO</v>
      </c>
      <c r="E1618" s="11" t="str">
        <f>IFERROR(IF(VLOOKUP(A1618,[11]PRIORIZADOS!$A:$E,5,FALSE)="","",VLOOKUP(A1618,[11]PRIORIZADOS!$A:$E,5,FALSE)),"")</f>
        <v>EPBM</v>
      </c>
      <c r="F1618" s="11" t="str">
        <f>IFERROR(IF(VLOOKUP(A1618,[11]PRIORIZADOS!$A:$F,6,FALSE)="","",VLOOKUP(A1618,[11]PRIORIZADOS!$A:$F,6,FALSE)),"")</f>
        <v>COLEGIO_RAFAEL_MARIA_CARRASQUILLA</v>
      </c>
      <c r="G1618" s="11" t="str">
        <f>IFERROR(IF(VLOOKUP(A1618,[11]PRIORIZADOS!$A:$G,7,FALSE)="","",VLOOKUP(A1618,[11]PRIORIZADOS!$A:$G,7,FALSE)),"")</f>
        <v>COLEGIO_RAFAEL_MARIA_CARRASQUILLA</v>
      </c>
      <c r="H1618" s="11" t="str">
        <f>IFERROR(IF(VLOOKUP(A1618,[11]PRIORIZADOS!$A:$H,8,FALSE)="","",VLOOKUP(A1618,[11]PRIORIZADOS!$A:$H,8,FALSE)),"")</f>
        <v>Autoevaluación Institucional y Pruebas SABER 11</v>
      </c>
      <c r="I1618" s="11" t="str">
        <f>IFERROR(IF(VLOOKUP(A1618,[11]PRIORIZADOS!$A:$I,9,FALSE)="","",VLOOKUP(A1618,[11]PRIORIZADOS!$A:$I,9,FALSE)),"")</f>
        <v>SEGUIMIENTO_Y_SUPERVISIÓN.</v>
      </c>
      <c r="J1618" s="11" t="str">
        <f>IFERROR(IF(VLOOKUP(A1618,[11]PRIORIZADOS!$A:$J,10,FALSE)="","",VLOOKUP(A1618,[11]PRIORIZADOS!$A:$J,10,FALSE)),"")</f>
        <v>Realizar visitas para verificar la información registrada sobre la autoevaluación institucional en el aplicativo EVI, a los establecimientos de educación formal no oficial.</v>
      </c>
      <c r="K1618" s="11" t="str">
        <f>IFERROR(IF(VLOOKUP(A1618,[11]PRIORIZADOS!$A:$K,11,FALSE)="","",VLOOKUP(A1618,[11]PRIORIZADOS!$A:$K,11,FALSE)),"")</f>
        <v>BEPCI YADIRA MINA ZAPATA</v>
      </c>
      <c r="L1618" s="11" t="str">
        <f>IFERROR(IF(VLOOKUP(A1618,[11]PRIORIZADOS!$A:$L,12,FALSE)="","",VLOOKUP(A1618,[11]PRIORIZADOS!$A:$L,12,FALSE)),"")</f>
        <v>DORY CONSTANZA SANCHEZ ARAGÓN</v>
      </c>
      <c r="M1618" s="71">
        <f>IFERROR(IF(VLOOKUP(A1618,[11]PRIORIZADOS!$A:$M,13,FALSE)="","",VLOOKUP(A1618,[11]PRIORIZADOS!$A:$M,13,FALSE)),"")</f>
        <v>45861</v>
      </c>
      <c r="N1618" s="71">
        <f>IFERROR(IF(VLOOKUP(A1618,[11]PRIORIZADOS!$A:$N,14,FALSE)="","",VLOOKUP(A1618,[11]PRIORIZADOS!$A:$N,14,FALSE)),"")</f>
        <v>45772</v>
      </c>
      <c r="O1618" s="71">
        <f>IFERROR(IF(VLOOKUP(A1618,[11]PRIORIZADOS!$A:$O,15,FALSE)="","",VLOOKUP(A1618,[11]PRIORIZADOS!$A:$O,15,FALSE)),"")</f>
        <v>45777</v>
      </c>
      <c r="P1618" s="11" t="str">
        <f>IFERROR(IF(VLOOKUP(A1618,[11]PRIORIZADOS!$A:$P,16,FALSE)="","",VLOOKUP(A1618,[11]PRIORIZADOS!$A:$P,16,FALSE)),"")</f>
        <v>Visitas de evaluación con fines de mejoramiento</v>
      </c>
      <c r="Q1618" s="46" t="s">
        <v>370</v>
      </c>
      <c r="R1618" s="11" t="str">
        <f>IFERROR(IF(VLOOKUP(A1618,[11]PRIORIZADOS!$A:$R,18,FALSE)="","",VLOOKUP(A1618,[11]PRIORIZADOS!$A:$R,18,FALSE)),"")</f>
        <v>Se evidencia pago de seguridad social 
La cantidad de aulas en la sede autorizada no son suficientes para los grados aprobados.</v>
      </c>
      <c r="S1618" s="11" t="str">
        <f>IFERROR(IF(VLOOKUP(A1618,[11]PRIORIZADOS!$A:$S,19,FALSE)="","",VLOOKUP(A1618,[11]PRIORIZADOS!$A:$S,19,FALSE)),"")</f>
        <v>Se debe legalizar la sede, de lo contrario cerrar y buscar la reubicación de los estudiantes</v>
      </c>
      <c r="T1618" s="70" t="str">
        <f>IFERROR(IF(VLOOKUP(A1618,[11]PRIORIZADOS!$A:$T,20,FALSE)="","",VLOOKUP(A1618,[11]PRIORIZADOS!$A:$T,20,FALSE)),"")</f>
        <v>Si</v>
      </c>
      <c r="U1618" s="11" t="str">
        <f>IFERROR(IF(VLOOKUP(A1618,[11]PRIORIZADOS!$A:$U,21,FALSE)="","",VLOOKUP(A1618,[11]PRIORIZADOS!$A:$U,21,FALSE)),"")</f>
        <v>Se realizará mesa técnica con arquitectos de la DIV para orientación de la planta física.</v>
      </c>
    </row>
    <row r="1619" spans="1:21" s="1" customFormat="1" ht="60">
      <c r="A1619" s="69">
        <f>IF([11]PRIORIZADOS!A130="","",[11]PRIORIZADOS!A130)</f>
        <v>1586</v>
      </c>
      <c r="B1619" s="70">
        <v>14</v>
      </c>
      <c r="C1619" s="11" t="str">
        <f>IFERROR(IF(VLOOKUP(A1619,[11]PRIORIZADOS!$A:$C,3,FALSE)="","",VLOOKUP(A1619,[11]PRIORIZADOS!$A:$C,3,FALSE)),"")</f>
        <v>RAFAEL URIBE URIBE</v>
      </c>
      <c r="D1619" s="11" t="str">
        <f>IFERROR(IF(VLOOKUP(A1619,[11]PRIORIZADOS!$A:$D,4,FALSE)="","",VLOOKUP(A1619,[11]PRIORIZADOS!$A:$D,4,FALSE)),"")</f>
        <v>PRIVADO</v>
      </c>
      <c r="E1619" s="11" t="str">
        <f>IFERROR(IF(VLOOKUP(A1619,[11]PRIORIZADOS!$A:$E,5,FALSE)="","",VLOOKUP(A1619,[11]PRIORIZADOS!$A:$E,5,FALSE)),"")</f>
        <v>EPBM</v>
      </c>
      <c r="F1619" s="11" t="str">
        <f>IFERROR(IF(VLOOKUP(A1619,[11]PRIORIZADOS!$A:$F,6,FALSE)="","",VLOOKUP(A1619,[11]PRIORIZADOS!$A:$F,6,FALSE)),"")</f>
        <v>COLEGIO_RAFAEL_MARIA_CARRASQUILLA</v>
      </c>
      <c r="G1619" s="11" t="str">
        <f>IFERROR(IF(VLOOKUP(A1619,[11]PRIORIZADOS!$A:$G,7,FALSE)="","",VLOOKUP(A1619,[11]PRIORIZADOS!$A:$G,7,FALSE)),"")</f>
        <v>COLEGIO_RAFAEL_MARIA_CARRASQUILLA</v>
      </c>
      <c r="H1619" s="11" t="str">
        <f>IFERROR(IF(VLOOKUP(A1619,[11]PRIORIZADOS!$A:$H,8,FALSE)="","",VLOOKUP(A1619,[11]PRIORIZADOS!$A:$H,8,FALSE)),"")</f>
        <v>Autoevaluación Institucional y Pruebas SABER 11</v>
      </c>
      <c r="I1619" s="11" t="str">
        <f>IFERROR(IF(VLOOKUP(A1619,[11]PRIORIZADOS!$A:$I,9,FALSE)="","",VLOOKUP(A1619,[11]PRIORIZADOS!$A:$I,9,FALSE)),"")</f>
        <v>SEGUIMIENTO_Y_SUPERVISIÓN.</v>
      </c>
      <c r="J1619" s="11" t="str">
        <f>IFERROR(IF(VLOOKUP(A1619,[11]PRIORIZADOS!$A:$J,10,FALSE)="","",VLOOKUP(A1619,[11]PRIORIZADOS!$A:$J,10,FALSE)),"")</f>
        <v>Proponer estrategias en la formulación, verificar su elaboración y realizar seguimiento semestral al desarrollo de  las acciones establecidas en los planes de mejoramiento por pruebas SABER 11 de los establecimientos de educación formal.</v>
      </c>
      <c r="K1619" s="11" t="str">
        <f>IFERROR(IF(VLOOKUP(A1619,[11]PRIORIZADOS!$A:$K,11,FALSE)="","",VLOOKUP(A1619,[11]PRIORIZADOS!$A:$K,11,FALSE)),"")</f>
        <v>BEPCI YADIRA MINA ZAPATA</v>
      </c>
      <c r="L1619" s="11" t="str">
        <f>IFERROR(IF(VLOOKUP(A1619,[11]PRIORIZADOS!$A:$L,12,FALSE)="","",VLOOKUP(A1619,[11]PRIORIZADOS!$A:$L,12,FALSE)),"")</f>
        <v>DORY CONSTANZA SANCHEZ ARAGÓN</v>
      </c>
      <c r="M1619" s="71">
        <f>IFERROR(IF(VLOOKUP(A1619,[11]PRIORIZADOS!$A:$M,13,FALSE)="","",VLOOKUP(A1619,[11]PRIORIZADOS!$A:$M,13,FALSE)),"")</f>
        <v>45861</v>
      </c>
      <c r="N1619" s="71">
        <f>IFERROR(IF(VLOOKUP(A1619,[11]PRIORIZADOS!$A:$N,14,FALSE)="","",VLOOKUP(A1619,[11]PRIORIZADOS!$A:$N,14,FALSE)),"")</f>
        <v>45772</v>
      </c>
      <c r="O1619" s="71">
        <f>IFERROR(IF(VLOOKUP(A1619,[11]PRIORIZADOS!$A:$O,15,FALSE)="","",VLOOKUP(A1619,[11]PRIORIZADOS!$A:$O,15,FALSE)),"")</f>
        <v>45777</v>
      </c>
      <c r="P1619" s="11" t="str">
        <f>IFERROR(IF(VLOOKUP(A1619,[11]PRIORIZADOS!$A:$P,16,FALSE)="","",VLOOKUP(A1619,[11]PRIORIZADOS!$A:$P,16,FALSE)),"")</f>
        <v>Visitas de evaluación con fines de mejoramiento</v>
      </c>
      <c r="Q1619" s="5" t="s">
        <v>370</v>
      </c>
      <c r="R1619" s="11" t="str">
        <f>IFERROR(IF(VLOOKUP(A1619,[11]PRIORIZADOS!$A:$R,18,FALSE)="","",VLOOKUP(A1619,[11]PRIORIZADOS!$A:$R,18,FALSE)),"")</f>
        <v>Revisaron los resultados obtenidos por los estudiantes, tomaron algunas decisiones administrativas y construyeron un plan de mejorameinto académico.</v>
      </c>
      <c r="S1619" s="11" t="str">
        <f>IFERROR(IF(VLOOKUP(A1619,[11]PRIORIZADOS!$A:$S,19,FALSE)="","",VLOOKUP(A1619,[11]PRIORIZADOS!$A:$S,19,FALSE)),"")</f>
        <v>Es necesario reformular y proponer las acciones de mejoramiento desde los componentes y competencias evaluadas. Presentar plan de mejoramiento el 30 de mayo de 2025</v>
      </c>
      <c r="T1619" s="70" t="str">
        <f>IFERROR(IF(VLOOKUP(A1619,[11]PRIORIZADOS!$A:$T,20,FALSE)="","",VLOOKUP(A1619,[11]PRIORIZADOS!$A:$T,20,FALSE)),"")</f>
        <v>Si</v>
      </c>
      <c r="U1619" s="11" t="str">
        <f>IFERROR(IF(VLOOKUP(A1619,[11]PRIORIZADOS!$A:$U,21,FALSE)="","",VLOOKUP(A1619,[11]PRIORIZADOS!$A:$U,21,FALSE)),"")</f>
        <v>Revisar PM y verificar que se ajuste a las observaciones realizadas.</v>
      </c>
    </row>
    <row r="1620" spans="1:21" s="1" customFormat="1" ht="72">
      <c r="A1620" s="69">
        <f>IF([11]PRIORIZADOS!A131="","",[11]PRIORIZADOS!A131)</f>
        <v>1587</v>
      </c>
      <c r="B1620" s="70">
        <v>14</v>
      </c>
      <c r="C1620" s="11" t="str">
        <f>IFERROR(IF(VLOOKUP(A1620,[11]PRIORIZADOS!$A:$C,3,FALSE)="","",VLOOKUP(A1620,[11]PRIORIZADOS!$A:$C,3,FALSE)),"")</f>
        <v>RAFAEL URIBE URIBE</v>
      </c>
      <c r="D1620" s="11" t="str">
        <f>IFERROR(IF(VLOOKUP(A1620,[11]PRIORIZADOS!$A:$D,4,FALSE)="","",VLOOKUP(A1620,[11]PRIORIZADOS!$A:$D,4,FALSE)),"")</f>
        <v>PRIVADO</v>
      </c>
      <c r="E1620" s="11" t="str">
        <f>IFERROR(IF(VLOOKUP(A1620,[11]PRIORIZADOS!$A:$E,5,FALSE)="","",VLOOKUP(A1620,[11]PRIORIZADOS!$A:$E,5,FALSE)),"")</f>
        <v>EPBM</v>
      </c>
      <c r="F1620" s="11" t="str">
        <f>IFERROR(IF(VLOOKUP(A1620,[11]PRIORIZADOS!$A:$F,6,FALSE)="","",VLOOKUP(A1620,[11]PRIORIZADOS!$A:$F,6,FALSE)),"")</f>
        <v>COLEGIO_RAFAEL_MARIA_CARRASQUILLA</v>
      </c>
      <c r="G1620" s="11" t="str">
        <f>IFERROR(IF(VLOOKUP(A1620,[11]PRIORIZADOS!$A:$G,7,FALSE)="","",VLOOKUP(A1620,[11]PRIORIZADOS!$A:$G,7,FALSE)),"")</f>
        <v>COLEGIO_RAFAEL_MARIA_CARRASQUILLA</v>
      </c>
      <c r="H1620" s="11" t="str">
        <f>IFERROR(IF(VLOOKUP(A1620,[11]PRIORIZADOS!$A:$H,8,FALSE)="","",VLOOKUP(A1620,[11]PRIORIZADOS!$A:$H,8,FALSE)),"")</f>
        <v>Autoevaluación Institucional y Pruebas SABER 11</v>
      </c>
      <c r="I1620" s="11" t="str">
        <f>IFERROR(IF(VLOOKUP(A1620,[11]PRIORIZADOS!$A:$I,9,FALSE)="","",VLOOKUP(A1620,[11]PRIORIZADOS!$A:$I,9,FALSE)),"")</f>
        <v>SEGUIMIENTO_Y_SUPERVISIÓN.</v>
      </c>
      <c r="J1620" s="11" t="str">
        <f>IFERROR(IF(VLOOKUP(A1620,[11]PRIORIZADOS!$A:$J,10,FALSE)="","",VLOOKUP(A1620,[11]PRIORIZADOS!$A:$J,10,FALSE)),"")</f>
        <v xml:space="preserve">Verificar la implementación por parte de los colegios, de acciones realizadas para la prevención y atención de las situaciones de convivencia en el entorno escolar, según lo establecido en la Directiva 01 de 2022 del MEN. </v>
      </c>
      <c r="K1620" s="11" t="str">
        <f>IFERROR(IF(VLOOKUP(A1620,[11]PRIORIZADOS!$A:$K,11,FALSE)="","",VLOOKUP(A1620,[11]PRIORIZADOS!$A:$K,11,FALSE)),"")</f>
        <v>BEPCI YADIRA MINA ZAPATA</v>
      </c>
      <c r="L1620" s="11" t="str">
        <f>IFERROR(IF(VLOOKUP(A1620,[11]PRIORIZADOS!$A:$L,12,FALSE)="","",VLOOKUP(A1620,[11]PRIORIZADOS!$A:$L,12,FALSE)),"")</f>
        <v>DORY CONSTANZA SANCHEZ ARAGÓN</v>
      </c>
      <c r="M1620" s="71">
        <f>IFERROR(IF(VLOOKUP(A1620,[11]PRIORIZADOS!$A:$M,13,FALSE)="","",VLOOKUP(A1620,[11]PRIORIZADOS!$A:$M,13,FALSE)),"")</f>
        <v>45861</v>
      </c>
      <c r="N1620" s="71">
        <f>IFERROR(IF(VLOOKUP(A1620,[11]PRIORIZADOS!$A:$N,14,FALSE)="","",VLOOKUP(A1620,[11]PRIORIZADOS!$A:$N,14,FALSE)),"")</f>
        <v>45772</v>
      </c>
      <c r="O1620" s="71">
        <f>IFERROR(IF(VLOOKUP(A1620,[11]PRIORIZADOS!$A:$O,15,FALSE)="","",VLOOKUP(A1620,[11]PRIORIZADOS!$A:$O,15,FALSE)),"")</f>
        <v>45777</v>
      </c>
      <c r="P1620" s="11" t="str">
        <f>IFERROR(IF(VLOOKUP(A1620,[11]PRIORIZADOS!$A:$P,16,FALSE)="","",VLOOKUP(A1620,[11]PRIORIZADOS!$A:$P,16,FALSE)),"")</f>
        <v>Visitas de evaluación con fines de mejoramiento</v>
      </c>
      <c r="Q1620" s="5" t="s">
        <v>370</v>
      </c>
      <c r="R1620" s="11" t="str">
        <f>IFERROR(IF(VLOOKUP(A1620,[11]PRIORIZADOS!$A:$R,18,FALSE)="","",VLOOKUP(A1620,[11]PRIORIZADOS!$A:$R,18,FALSE)),"")</f>
        <v>La institución cuentan con actas donde se evidencie el funcionamiento del comité de convivencia escolar.
Se verificó a los docentes  inhabilidadades por delitos sexuales para el año 2025, no se evidencia que se realice cada 4 meses.</v>
      </c>
      <c r="S1620" s="11" t="str">
        <f>IFERROR(IF(VLOOKUP(A1620,[11]PRIORIZADOS!$A:$S,19,FALSE)="","",VLOOKUP(A1620,[11]PRIORIZADOS!$A:$S,19,FALSE)),"")</f>
        <v>Verificar inhanilidades de los empleados cada 4 meses. Presentar plan de mejoramiento el 30 de mayo de 2025</v>
      </c>
      <c r="T1620" s="70" t="str">
        <f>IFERROR(IF(VLOOKUP(A1620,[11]PRIORIZADOS!$A:$T,20,FALSE)="","",VLOOKUP(A1620,[11]PRIORIZADOS!$A:$T,20,FALSE)),"")</f>
        <v>Si</v>
      </c>
      <c r="U1620" s="11" t="str">
        <f>IFERROR(IF(VLOOKUP(A1620,[11]PRIORIZADOS!$A:$U,21,FALSE)="","",VLOOKUP(A1620,[11]PRIORIZADOS!$A:$U,21,FALSE)),"")</f>
        <v>Revisar PM y verificar que se ajuste a las observaciones realizadas.</v>
      </c>
    </row>
    <row r="1621" spans="1:21" s="1" customFormat="1" ht="84">
      <c r="A1621" s="69">
        <f>IF([11]PRIORIZADOS!A132="","",[11]PRIORIZADOS!A132)</f>
        <v>1588</v>
      </c>
      <c r="B1621" s="70">
        <v>14</v>
      </c>
      <c r="C1621" s="11" t="str">
        <f>IFERROR(IF(VLOOKUP(A1621,[11]PRIORIZADOS!$A:$C,3,FALSE)="","",VLOOKUP(A1621,[11]PRIORIZADOS!$A:$C,3,FALSE)),"")</f>
        <v>RAFAEL URIBE URIBE</v>
      </c>
      <c r="D1621" s="11" t="str">
        <f>IFERROR(IF(VLOOKUP(A1621,[11]PRIORIZADOS!$A:$D,4,FALSE)="","",VLOOKUP(A1621,[11]PRIORIZADOS!$A:$D,4,FALSE)),"")</f>
        <v>PRIVADO</v>
      </c>
      <c r="E1621" s="11" t="str">
        <f>IFERROR(IF(VLOOKUP(A1621,[11]PRIORIZADOS!$A:$E,5,FALSE)="","",VLOOKUP(A1621,[11]PRIORIZADOS!$A:$E,5,FALSE)),"")</f>
        <v>EPBM</v>
      </c>
      <c r="F1621" s="11" t="str">
        <f>IFERROR(IF(VLOOKUP(A1621,[11]PRIORIZADOS!$A:$F,6,FALSE)="","",VLOOKUP(A1621,[11]PRIORIZADOS!$A:$F,6,FALSE)),"")</f>
        <v>COLEGIO_RAFAEL_MARIA_CARRASQUILLA</v>
      </c>
      <c r="G1621" s="11" t="str">
        <f>IFERROR(IF(VLOOKUP(A1621,[11]PRIORIZADOS!$A:$G,7,FALSE)="","",VLOOKUP(A1621,[11]PRIORIZADOS!$A:$G,7,FALSE)),"")</f>
        <v>COLEGIO_RAFAEL_MARIA_CARRASQUILLA</v>
      </c>
      <c r="H1621" s="11" t="str">
        <f>IFERROR(IF(VLOOKUP(A1621,[11]PRIORIZADOS!$A:$H,8,FALSE)="","",VLOOKUP(A1621,[11]PRIORIZADOS!$A:$H,8,FALSE)),"")</f>
        <v>Autoevaluación Institucional y Pruebas SABER 11</v>
      </c>
      <c r="I1621" s="11" t="str">
        <f>IFERROR(IF(VLOOKUP(A1621,[11]PRIORIZADOS!$A:$I,9,FALSE)="","",VLOOKUP(A1621,[11]PRIORIZADOS!$A:$I,9,FALSE)),"")</f>
        <v>SEGUIMIENTO_Y_SUPERVISIÓN.</v>
      </c>
      <c r="J1621" s="11" t="str">
        <f>IFERROR(IF(VLOOKUP(A1621,[11]PRIORIZADOS!$A:$J,10,FALSE)="","",VLOOKUP(A1621,[11]PRIORIZADOS!$A:$J,10,FALSE)),"")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21" s="11" t="str">
        <f>IFERROR(IF(VLOOKUP(A1621,[11]PRIORIZADOS!$A:$K,11,FALSE)="","",VLOOKUP(A1621,[11]PRIORIZADOS!$A:$K,11,FALSE)),"")</f>
        <v>BEPCI YADIRA MINA ZAPATA</v>
      </c>
      <c r="L1621" s="11" t="str">
        <f>IFERROR(IF(VLOOKUP(A1621,[11]PRIORIZADOS!$A:$L,12,FALSE)="","",VLOOKUP(A1621,[11]PRIORIZADOS!$A:$L,12,FALSE)),"")</f>
        <v>DORY CONSTANZA SANCHEZ ARAGÓN</v>
      </c>
      <c r="M1621" s="71">
        <f>IFERROR(IF(VLOOKUP(A1621,[11]PRIORIZADOS!$A:$M,13,FALSE)="","",VLOOKUP(A1621,[11]PRIORIZADOS!$A:$M,13,FALSE)),"")</f>
        <v>45861</v>
      </c>
      <c r="N1621" s="71">
        <f>IFERROR(IF(VLOOKUP(A1621,[11]PRIORIZADOS!$A:$N,14,FALSE)="","",VLOOKUP(A1621,[11]PRIORIZADOS!$A:$N,14,FALSE)),"")</f>
        <v>45772</v>
      </c>
      <c r="O1621" s="71">
        <f>IFERROR(IF(VLOOKUP(A1621,[11]PRIORIZADOS!$A:$O,15,FALSE)="","",VLOOKUP(A1621,[11]PRIORIZADOS!$A:$O,15,FALSE)),"")</f>
        <v>45777</v>
      </c>
      <c r="P1621" s="11" t="str">
        <f>IFERROR(IF(VLOOKUP(A1621,[11]PRIORIZADOS!$A:$P,16,FALSE)="","",VLOOKUP(A1621,[11]PRIORIZADOS!$A:$P,16,FALSE)),"")</f>
        <v>Visitas de evaluación con fines de mejoramiento</v>
      </c>
      <c r="Q1621" s="45" t="s">
        <v>370</v>
      </c>
      <c r="R1621" s="11" t="str">
        <f>IFERROR(IF(VLOOKUP(A1621,[11]PRIORIZADOS!$A:$R,18,FALSE)="","",VLOOKUP(A1621,[11]PRIORIZADOS!$A:$R,18,FALSE)),"")</f>
        <v>Cuenta con 2 estudiantes con discapacidad, 1 estudiante de grado 4 cuenta con PIAR en desarrollo y apoyo terapeutico de fundación de salud y 1 estudiante de grado 9 que acaba de reportar el diagnostico y se iniciará la formulación del PIAR.</v>
      </c>
      <c r="S1621" s="11" t="str">
        <f>IFERROR(IF(VLOOKUP(A1621,[11]PRIORIZADOS!$A:$S,19,FALSE)="","",VLOOKUP(A1621,[11]PRIORIZADOS!$A:$S,19,FALSE)),"")</f>
        <v>Fortalecer el diseño, implementación y seguimiento de los PIAR que realmente permita el avance de los estudiantes. Presentar plan de mejoramiento el 30 de mayo de 2025</v>
      </c>
      <c r="T1621" s="70" t="str">
        <f>IFERROR(IF(VLOOKUP(A1621,[11]PRIORIZADOS!$A:$T,20,FALSE)="","",VLOOKUP(A1621,[11]PRIORIZADOS!$A:$T,20,FALSE)),"")</f>
        <v>Si</v>
      </c>
      <c r="U1621" s="11" t="str">
        <f>IFERROR(IF(VLOOKUP(A1621,[11]PRIORIZADOS!$A:$U,21,FALSE)="","",VLOOKUP(A1621,[11]PRIORIZADOS!$A:$U,21,FALSE)),"")</f>
        <v>Revisar PM y verificar que se ajuste a las observaciones realizadas.</v>
      </c>
    </row>
    <row r="1622" spans="1:21" s="1" customFormat="1" ht="84">
      <c r="A1622" s="69">
        <f>IF([11]PRIORIZADOS!A133="","",[11]PRIORIZADOS!A133)</f>
        <v>1589</v>
      </c>
      <c r="B1622" s="70">
        <v>14</v>
      </c>
      <c r="C1622" s="11" t="str">
        <f>IFERROR(IF(VLOOKUP(A1622,[11]PRIORIZADOS!$A:$C,3,FALSE)="","",VLOOKUP(A1622,[11]PRIORIZADOS!$A:$C,3,FALSE)),"")</f>
        <v>RAFAEL URIBE URIBE</v>
      </c>
      <c r="D1622" s="11" t="str">
        <f>IFERROR(IF(VLOOKUP(A1622,[11]PRIORIZADOS!$A:$D,4,FALSE)="","",VLOOKUP(A1622,[11]PRIORIZADOS!$A:$D,4,FALSE)),"")</f>
        <v>PRIVADO</v>
      </c>
      <c r="E1622" s="11" t="str">
        <f>IFERROR(IF(VLOOKUP(A1622,[11]PRIORIZADOS!$A:$E,5,FALSE)="","",VLOOKUP(A1622,[11]PRIORIZADOS!$A:$E,5,FALSE)),"")</f>
        <v>EPBM</v>
      </c>
      <c r="F1622" s="11" t="str">
        <f>IFERROR(IF(VLOOKUP(A1622,[11]PRIORIZADOS!$A:$F,6,FALSE)="","",VLOOKUP(A1622,[11]PRIORIZADOS!$A:$F,6,FALSE)),"")</f>
        <v>COLEGIO_RAFAEL_MARIA_CARRASQUILLA</v>
      </c>
      <c r="G1622" s="11" t="str">
        <f>IFERROR(IF(VLOOKUP(A1622,[11]PRIORIZADOS!$A:$G,7,FALSE)="","",VLOOKUP(A1622,[11]PRIORIZADOS!$A:$G,7,FALSE)),"")</f>
        <v>COLEGIO_RAFAEL_MARIA_CARRASQUILLA</v>
      </c>
      <c r="H1622" s="11" t="str">
        <f>IFERROR(IF(VLOOKUP(A1622,[11]PRIORIZADOS!$A:$H,8,FALSE)="","",VLOOKUP(A1622,[11]PRIORIZADOS!$A:$H,8,FALSE)),"")</f>
        <v>Autoevaluación Institucional y Pruebas SABER 11</v>
      </c>
      <c r="I1622" s="11" t="str">
        <f>IFERROR(IF(VLOOKUP(A1622,[11]PRIORIZADOS!$A:$I,9,FALSE)="","",VLOOKUP(A1622,[11]PRIORIZADOS!$A:$I,9,FALSE)),"")</f>
        <v>EVALUACIÓN_CON_FINES_DE_MEJORAMIENTO.</v>
      </c>
      <c r="J1622" s="11" t="str">
        <f>IFERROR(IF(VLOOKUP(A1622,[11]PRIORIZADOS!$A:$J,10,FALSE)="","",VLOOKUP(A1622,[11]PRIORIZADOS!$A:$J,10,FALSE)),"")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22" s="11" t="str">
        <f>IFERROR(IF(VLOOKUP(A1622,[11]PRIORIZADOS!$A:$K,11,FALSE)="","",VLOOKUP(A1622,[11]PRIORIZADOS!$A:$K,11,FALSE)),"")</f>
        <v>BEPCI YADIRA MINA ZAPATA</v>
      </c>
      <c r="L1622" s="11" t="str">
        <f>IFERROR(IF(VLOOKUP(A1622,[11]PRIORIZADOS!$A:$L,12,FALSE)="","",VLOOKUP(A1622,[11]PRIORIZADOS!$A:$L,12,FALSE)),"")</f>
        <v>DORY CONSTANZA SANCHEZ ARAGÓN</v>
      </c>
      <c r="M1622" s="71">
        <f>IFERROR(IF(VLOOKUP(A1622,[11]PRIORIZADOS!$A:$M,13,FALSE)="","",VLOOKUP(A1622,[11]PRIORIZADOS!$A:$M,13,FALSE)),"")</f>
        <v>45861</v>
      </c>
      <c r="N1622" s="71">
        <f>IFERROR(IF(VLOOKUP(A1622,[11]PRIORIZADOS!$A:$N,14,FALSE)="","",VLOOKUP(A1622,[11]PRIORIZADOS!$A:$N,14,FALSE)),"")</f>
        <v>45772</v>
      </c>
      <c r="O1622" s="71">
        <f>IFERROR(IF(VLOOKUP(A1622,[11]PRIORIZADOS!$A:$O,15,FALSE)="","",VLOOKUP(A1622,[11]PRIORIZADOS!$A:$O,15,FALSE)),"")</f>
        <v>45777</v>
      </c>
      <c r="P1622" s="11" t="str">
        <f>IFERROR(IF(VLOOKUP(A1622,[11]PRIORIZADOS!$A:$P,16,FALSE)="","",VLOOKUP(A1622,[11]PRIORIZADOS!$A:$P,16,FALSE)),"")</f>
        <v>Visitas de evaluación con fines de mejoramiento</v>
      </c>
      <c r="Q1622" s="5" t="s">
        <v>370</v>
      </c>
      <c r="R1622" s="11" t="str">
        <f>IFERROR(IF(VLOOKUP(A1622,[11]PRIORIZADOS!$A:$R,18,FALSE)="","",VLOOKUP(A1622,[11]PRIORIZADOS!$A:$R,18,FALSE)),"")</f>
        <v>Se evidencia la participación de la Comunidad Educativa en la construcciíon del manual pero estas son del año 2023 y 2024.
El manual no cuenta con todos los aspectos establecidos en la normatividad vigente</v>
      </c>
      <c r="S1622" s="11" t="str">
        <f>IFERROR(IF(VLOOKUP(A1622,[11]PRIORIZADOS!$A:$S,19,FALSE)="","",VLOOKUP(A1622,[11]PRIORIZADOS!$A:$S,19,FALSE)),"")</f>
        <v>La institución debe actualizar el manual de convivencia con participación del gobierno escolar. Presentar plan de mejoramiento el 30 de mayo de 2025</v>
      </c>
      <c r="T1622" s="70" t="str">
        <f>IFERROR(IF(VLOOKUP(A1622,[11]PRIORIZADOS!$A:$T,20,FALSE)="","",VLOOKUP(A1622,[11]PRIORIZADOS!$A:$T,20,FALSE)),"")</f>
        <v>Si</v>
      </c>
      <c r="U1622" s="11" t="str">
        <f>IFERROR(IF(VLOOKUP(A1622,[11]PRIORIZADOS!$A:$U,21,FALSE)="","",VLOOKUP(A1622,[11]PRIORIZADOS!$A:$U,21,FALSE)),"")</f>
        <v>Revisar PM y verificar que se ajuste a las observaciones realizadas.</v>
      </c>
    </row>
    <row r="1623" spans="1:21" s="1" customFormat="1" ht="107.25">
      <c r="A1623" s="69">
        <f>IF([11]PRIORIZADOS!A134="","",[11]PRIORIZADOS!A134)</f>
        <v>1590</v>
      </c>
      <c r="B1623" s="70">
        <v>14</v>
      </c>
      <c r="C1623" s="11" t="str">
        <f>IFERROR(IF(VLOOKUP(A1623,[11]PRIORIZADOS!$A:$C,3,FALSE)="","",VLOOKUP(A1623,[11]PRIORIZADOS!$A:$C,3,FALSE)),"")</f>
        <v>RAFAEL URIBE URIBE</v>
      </c>
      <c r="D1623" s="11" t="str">
        <f>IFERROR(IF(VLOOKUP(A1623,[11]PRIORIZADOS!$A:$D,4,FALSE)="","",VLOOKUP(A1623,[11]PRIORIZADOS!$A:$D,4,FALSE)),"")</f>
        <v>PRIVADO</v>
      </c>
      <c r="E1623" s="11" t="str">
        <f>IFERROR(IF(VLOOKUP(A1623,[11]PRIORIZADOS!$A:$E,5,FALSE)="","",VLOOKUP(A1623,[11]PRIORIZADOS!$A:$E,5,FALSE)),"")</f>
        <v>EPBM</v>
      </c>
      <c r="F1623" s="11" t="str">
        <f>IFERROR(IF(VLOOKUP(A1623,[11]PRIORIZADOS!$A:$F,6,FALSE)="","",VLOOKUP(A1623,[11]PRIORIZADOS!$A:$F,6,FALSE)),"")</f>
        <v>COLEGIO_RAFAEL_MARIA_CARRASQUILLA</v>
      </c>
      <c r="G1623" s="11" t="str">
        <f>IFERROR(IF(VLOOKUP(A1623,[11]PRIORIZADOS!$A:$G,7,FALSE)="","",VLOOKUP(A1623,[11]PRIORIZADOS!$A:$G,7,FALSE)),"")</f>
        <v>COLEGIO_RAFAEL_MARIA_CARRASQUILLA</v>
      </c>
      <c r="H1623" s="11" t="str">
        <f>IFERROR(IF(VLOOKUP(A1623,[11]PRIORIZADOS!$A:$H,8,FALSE)="","",VLOOKUP(A1623,[11]PRIORIZADOS!$A:$H,8,FALSE)),"")</f>
        <v>Autoevaluación Institucional y Pruebas SABER 11</v>
      </c>
      <c r="I1623" s="11" t="str">
        <f>IFERROR(IF(VLOOKUP(A1623,[11]PRIORIZADOS!$A:$I,9,FALSE)="","",VLOOKUP(A1623,[11]PRIORIZADOS!$A:$I,9,FALSE)),"")</f>
        <v>EVALUACIÓN_CON_FINES_DE_MEJORAMIENTO.</v>
      </c>
      <c r="J1623" s="11" t="str">
        <f>IFERROR(IF(VLOOKUP(A1623,[11]PRIORIZADOS!$A:$J,10,FALSE)="","",VLOOKUP(A1623,[11]PRIORIZADOS!$A:$J,10,FALSE)),"")</f>
        <v>Revisar la actualización, socialización e implementación del Sistema Institucional de Evaluación de Estudiantes - SIEE, en articulación con la actualización del PEI y la normatividad vigente.</v>
      </c>
      <c r="K1623" s="11" t="str">
        <f>IFERROR(IF(VLOOKUP(A1623,[11]PRIORIZADOS!$A:$K,11,FALSE)="","",VLOOKUP(A1623,[11]PRIORIZADOS!$A:$K,11,FALSE)),"")</f>
        <v>BEPCI YADIRA MINA ZAPATA</v>
      </c>
      <c r="L1623" s="11" t="str">
        <f>IFERROR(IF(VLOOKUP(A1623,[11]PRIORIZADOS!$A:$L,12,FALSE)="","",VLOOKUP(A1623,[11]PRIORIZADOS!$A:$L,12,FALSE)),"")</f>
        <v>DORY CONSTANZA SANCHEZ ARAGÓN</v>
      </c>
      <c r="M1623" s="71">
        <f>IFERROR(IF(VLOOKUP(A1623,[11]PRIORIZADOS!$A:$M,13,FALSE)="","",VLOOKUP(A1623,[11]PRIORIZADOS!$A:$M,13,FALSE)),"")</f>
        <v>45861</v>
      </c>
      <c r="N1623" s="71">
        <f>IFERROR(IF(VLOOKUP(A1623,[11]PRIORIZADOS!$A:$N,14,FALSE)="","",VLOOKUP(A1623,[11]PRIORIZADOS!$A:$N,14,FALSE)),"")</f>
        <v>45772</v>
      </c>
      <c r="O1623" s="71">
        <f>IFERROR(IF(VLOOKUP(A1623,[11]PRIORIZADOS!$A:$O,15,FALSE)="","",VLOOKUP(A1623,[11]PRIORIZADOS!$A:$O,15,FALSE)),"")</f>
        <v>45777</v>
      </c>
      <c r="P1623" s="11" t="str">
        <f>IFERROR(IF(VLOOKUP(A1623,[11]PRIORIZADOS!$A:$P,16,FALSE)="","",VLOOKUP(A1623,[11]PRIORIZADOS!$A:$P,16,FALSE)),"")</f>
        <v>Visitas de evaluación con fines de mejoramiento</v>
      </c>
      <c r="Q1623" s="5" t="s">
        <v>370</v>
      </c>
      <c r="R1623" s="11" t="str">
        <f>IFERROR(IF(VLOOKUP(A1623,[11]PRIORIZADOS!$A:$R,18,FALSE)="","",VLOOKUP(A1623,[11]PRIORIZADOS!$A:$R,18,FALSE)),"")</f>
        <v>Se tiene diseñado el SIEE y presenta evidencias que denotan rigurosidad en el registro de información de los estudiantes a nivel académico, ponen en prácticas varios procesos que garantizan el acompañamiento de los estudiantes, pero nuevamente distan de lo que tienen escrito en los documentos institucionales y lo que ejecutan.</v>
      </c>
      <c r="S1623" s="11" t="str">
        <f>IFERROR(IF(VLOOKUP(A1623,[11]PRIORIZADOS!$A:$S,19,FALSE)="","",VLOOKUP(A1623,[11]PRIORIZADOS!$A:$S,19,FALSE)),"")</f>
        <v>Realizar ajustes al SIEE con la participación del gobierno escolar. Presentar plan de mejoramiento el 30 de mayo de 2025</v>
      </c>
      <c r="T1623" s="70" t="str">
        <f>IFERROR(IF(VLOOKUP(A1623,[11]PRIORIZADOS!$A:$T,20,FALSE)="","",VLOOKUP(A1623,[11]PRIORIZADOS!$A:$T,20,FALSE)),"")</f>
        <v>Si</v>
      </c>
      <c r="U1623" s="11" t="str">
        <f>IFERROR(IF(VLOOKUP(A1623,[11]PRIORIZADOS!$A:$U,21,FALSE)="","",VLOOKUP(A1623,[11]PRIORIZADOS!$A:$U,21,FALSE)),"")</f>
        <v>Revisar PM y verificar que se ajuste a las observaciones realizadas.</v>
      </c>
    </row>
    <row r="1624" spans="1:21" s="1" customFormat="1" ht="72">
      <c r="A1624" s="69">
        <f>IF([11]PRIORIZADOS!A135="","",[11]PRIORIZADOS!A135)</f>
        <v>1591</v>
      </c>
      <c r="B1624" s="70">
        <v>14</v>
      </c>
      <c r="C1624" s="11" t="str">
        <f>IFERROR(IF(VLOOKUP(A1624,[11]PRIORIZADOS!$A:$C,3,FALSE)="","",VLOOKUP(A1624,[11]PRIORIZADOS!$A:$C,3,FALSE)),"")</f>
        <v>RAFAEL URIBE URIBE</v>
      </c>
      <c r="D1624" s="11" t="str">
        <f>IFERROR(IF(VLOOKUP(A1624,[11]PRIORIZADOS!$A:$D,4,FALSE)="","",VLOOKUP(A1624,[11]PRIORIZADOS!$A:$D,4,FALSE)),"")</f>
        <v>PRIVADO</v>
      </c>
      <c r="E1624" s="11" t="str">
        <f>IFERROR(IF(VLOOKUP(A1624,[11]PRIORIZADOS!$A:$E,5,FALSE)="","",VLOOKUP(A1624,[11]PRIORIZADOS!$A:$E,5,FALSE)),"")</f>
        <v>EPBM</v>
      </c>
      <c r="F1624" s="11" t="str">
        <f>IFERROR(IF(VLOOKUP(A1624,[11]PRIORIZADOS!$A:$F,6,FALSE)="","",VLOOKUP(A1624,[11]PRIORIZADOS!$A:$F,6,FALSE)),"")</f>
        <v>COLEGIO_RAFAEL_MARIA_CARRASQUILLA</v>
      </c>
      <c r="G1624" s="11" t="str">
        <f>IFERROR(IF(VLOOKUP(A1624,[11]PRIORIZADOS!$A:$G,7,FALSE)="","",VLOOKUP(A1624,[11]PRIORIZADOS!$A:$G,7,FALSE)),"")</f>
        <v>COLEGIO_RAFAEL_MARIA_CARRASQUILLA</v>
      </c>
      <c r="H1624" s="11" t="str">
        <f>IFERROR(IF(VLOOKUP(A1624,[11]PRIORIZADOS!$A:$H,8,FALSE)="","",VLOOKUP(A1624,[11]PRIORIZADOS!$A:$H,8,FALSE)),"")</f>
        <v>Autoevaluación Institucional y Pruebas SABER 11</v>
      </c>
      <c r="I1624" s="11" t="str">
        <f>IFERROR(IF(VLOOKUP(A1624,[11]PRIORIZADOS!$A:$I,9,FALSE)="","",VLOOKUP(A1624,[11]PRIORIZADOS!$A:$I,9,FALSE)),"")</f>
        <v>EVALUACIÓN_CON_FINES_DE_MEJORAMIENTO.</v>
      </c>
      <c r="J1624" s="11" t="str">
        <f>IFERROR(IF(VLOOKUP(A1624,[11]PRIORIZADOS!$A:$J,10,FALSE)="","",VLOOKUP(A1624,[11]PRIORIZADOS!$A:$J,10,FALSE)),"")</f>
        <v>Revisar el calendario escolar, jornada escolar, la intensidad horaria mínima anual en cada nivel y las modificaciones que se realicen al mismo, de acuerdo con lo previsto en la normatividad vigente.</v>
      </c>
      <c r="K1624" s="11" t="str">
        <f>IFERROR(IF(VLOOKUP(A1624,[11]PRIORIZADOS!$A:$K,11,FALSE)="","",VLOOKUP(A1624,[11]PRIORIZADOS!$A:$K,11,FALSE)),"")</f>
        <v>BEPCI YADIRA MINA ZAPATA</v>
      </c>
      <c r="L1624" s="11" t="str">
        <f>IFERROR(IF(VLOOKUP(A1624,[11]PRIORIZADOS!$A:$L,12,FALSE)="","",VLOOKUP(A1624,[11]PRIORIZADOS!$A:$L,12,FALSE)),"")</f>
        <v>DORY CONSTANZA SANCHEZ ARAGÓN</v>
      </c>
      <c r="M1624" s="71">
        <f>IFERROR(IF(VLOOKUP(A1624,[11]PRIORIZADOS!$A:$M,13,FALSE)="","",VLOOKUP(A1624,[11]PRIORIZADOS!$A:$M,13,FALSE)),"")</f>
        <v>45861</v>
      </c>
      <c r="N1624" s="71">
        <f>IFERROR(IF(VLOOKUP(A1624,[11]PRIORIZADOS!$A:$N,14,FALSE)="","",VLOOKUP(A1624,[11]PRIORIZADOS!$A:$N,14,FALSE)),"")</f>
        <v>45772</v>
      </c>
      <c r="O1624" s="71">
        <f>IFERROR(IF(VLOOKUP(A1624,[11]PRIORIZADOS!$A:$O,15,FALSE)="","",VLOOKUP(A1624,[11]PRIORIZADOS!$A:$O,15,FALSE)),"")</f>
        <v>45777</v>
      </c>
      <c r="P1624" s="11" t="str">
        <f>IFERROR(IF(VLOOKUP(A1624,[11]PRIORIZADOS!$A:$P,16,FALSE)="","",VLOOKUP(A1624,[11]PRIORIZADOS!$A:$P,16,FALSE)),"")</f>
        <v>Visitas de evaluación con fines de mejoramiento</v>
      </c>
      <c r="Q1624" s="5" t="s">
        <v>370</v>
      </c>
      <c r="R1624" s="11" t="str">
        <f>IFERROR(IF(VLOOKUP(A1624,[11]PRIORIZADOS!$A:$R,18,FALSE)="","",VLOOKUP(A1624,[11]PRIORIZADOS!$A:$R,18,FALSE)),"")</f>
        <v>Se evidencia desde la estructura del plan de estudios presentado en el PEI y los tiempos propuestos en el Calendario Académico el colegio da cumplimiento a la intensidad horaria mínima requerida desde la normatividad vigente.</v>
      </c>
      <c r="S1624" s="11" t="str">
        <f>IFERROR(IF(VLOOKUP(A1624,[11]PRIORIZADOS!$A:$S,19,FALSE)="","",VLOOKUP(A1624,[11]PRIORIZADOS!$A:$S,19,FALSE)),"")</f>
        <v>Dar cumplimiento a lo establecido en el calendario</v>
      </c>
      <c r="T1624" s="70" t="str">
        <f>IFERROR(IF(VLOOKUP(A1624,[11]PRIORIZADOS!$A:$T,20,FALSE)="","",VLOOKUP(A1624,[11]PRIORIZADOS!$A:$T,20,FALSE)),"")</f>
        <v>No</v>
      </c>
      <c r="U1624" s="11" t="str">
        <f>IFERROR(IF(VLOOKUP(A1624,[11]PRIORIZADOS!$A:$U,21,FALSE)="","",VLOOKUP(A1624,[11]PRIORIZADOS!$A:$U,21,FALSE)),"")</f>
        <v>Verificar en caso de presentarse una queja</v>
      </c>
    </row>
    <row r="1625" spans="1:21" s="1" customFormat="1" ht="48">
      <c r="A1625" s="69">
        <f>IF([11]PRIORIZADOS!A136="","",[11]PRIORIZADOS!A136)</f>
        <v>1592</v>
      </c>
      <c r="B1625" s="70">
        <v>14</v>
      </c>
      <c r="C1625" s="11" t="str">
        <f>IFERROR(IF(VLOOKUP(A1625,[11]PRIORIZADOS!$A:$C,3,FALSE)="","",VLOOKUP(A1625,[11]PRIORIZADOS!$A:$C,3,FALSE)),"")</f>
        <v>RAFAEL URIBE URIBE</v>
      </c>
      <c r="D1625" s="11" t="str">
        <f>IFERROR(IF(VLOOKUP(A1625,[11]PRIORIZADOS!$A:$D,4,FALSE)="","",VLOOKUP(A1625,[11]PRIORIZADOS!$A:$D,4,FALSE)),"")</f>
        <v>PRIVADO</v>
      </c>
      <c r="E1625" s="11" t="str">
        <f>IFERROR(IF(VLOOKUP(A1625,[11]PRIORIZADOS!$A:$E,5,FALSE)="","",VLOOKUP(A1625,[11]PRIORIZADOS!$A:$E,5,FALSE)),"")</f>
        <v>EPBM</v>
      </c>
      <c r="F1625" s="11" t="str">
        <f>IFERROR(IF(VLOOKUP(A1625,[11]PRIORIZADOS!$A:$F,6,FALSE)="","",VLOOKUP(A1625,[11]PRIORIZADOS!$A:$F,6,FALSE)),"")</f>
        <v>COLEGIO_RAFAEL_MARIA_CARRASQUILLA</v>
      </c>
      <c r="G1625" s="11" t="str">
        <f>IFERROR(IF(VLOOKUP(A1625,[11]PRIORIZADOS!$A:$G,7,FALSE)="","",VLOOKUP(A1625,[11]PRIORIZADOS!$A:$G,7,FALSE)),"")</f>
        <v>COLEGIO_RAFAEL_MARIA_CARRASQUILLA</v>
      </c>
      <c r="H1625" s="11" t="str">
        <f>IFERROR(IF(VLOOKUP(A1625,[11]PRIORIZADOS!$A:$H,8,FALSE)="","",VLOOKUP(A1625,[11]PRIORIZADOS!$A:$H,8,FALSE)),"")</f>
        <v>Autoevaluación Institucional y Pruebas SABER 11</v>
      </c>
      <c r="I1625" s="11" t="str">
        <f>IFERROR(IF(VLOOKUP(A1625,[11]PRIORIZADOS!$A:$I,9,FALSE)="","",VLOOKUP(A1625,[11]PRIORIZADOS!$A:$I,9,FALSE)),"")</f>
        <v>EVALUACIÓN_CON_FINES_DE_MEJORAMIENTO.</v>
      </c>
      <c r="J1625" s="11" t="str">
        <f>IFERROR(IF(VLOOKUP(A1625,[11]PRIORIZADOS!$A:$J,10,FALSE)="","",VLOOKUP(A1625,[11]PRIORIZADOS!$A:$J,10,FALSE)),"")</f>
        <v>Verificar el funcionamiento del Gobierno Escolar e instancias de participación con base en la información sobre conformación reportada por la institución educativa.</v>
      </c>
      <c r="K1625" s="11" t="str">
        <f>IFERROR(IF(VLOOKUP(A1625,[11]PRIORIZADOS!$A:$K,11,FALSE)="","",VLOOKUP(A1625,[11]PRIORIZADOS!$A:$K,11,FALSE)),"")</f>
        <v>BEPCI YADIRA MINA ZAPATA</v>
      </c>
      <c r="L1625" s="11" t="str">
        <f>IFERROR(IF(VLOOKUP(A1625,[11]PRIORIZADOS!$A:$L,12,FALSE)="","",VLOOKUP(A1625,[11]PRIORIZADOS!$A:$L,12,FALSE)),"")</f>
        <v>DORY CONSTANZA SANCHEZ ARAGÓN</v>
      </c>
      <c r="M1625" s="71">
        <f>IFERROR(IF(VLOOKUP(A1625,[11]PRIORIZADOS!$A:$M,13,FALSE)="","",VLOOKUP(A1625,[11]PRIORIZADOS!$A:$M,13,FALSE)),"")</f>
        <v>45861</v>
      </c>
      <c r="N1625" s="71">
        <f>IFERROR(IF(VLOOKUP(A1625,[11]PRIORIZADOS!$A:$N,14,FALSE)="","",VLOOKUP(A1625,[11]PRIORIZADOS!$A:$N,14,FALSE)),"")</f>
        <v>45772</v>
      </c>
      <c r="O1625" s="71">
        <f>IFERROR(IF(VLOOKUP(A1625,[11]PRIORIZADOS!$A:$O,15,FALSE)="","",VLOOKUP(A1625,[11]PRIORIZADOS!$A:$O,15,FALSE)),"")</f>
        <v>45777</v>
      </c>
      <c r="P1625" s="11" t="str">
        <f>IFERROR(IF(VLOOKUP(A1625,[11]PRIORIZADOS!$A:$P,16,FALSE)="","",VLOOKUP(A1625,[11]PRIORIZADOS!$A:$P,16,FALSE)),"")</f>
        <v>Visitas de evaluación con fines de mejoramiento</v>
      </c>
      <c r="Q1625" s="5" t="s">
        <v>370</v>
      </c>
      <c r="R1625" s="11" t="str">
        <f>IFERROR(IF(VLOOKUP(A1625,[11]PRIORIZADOS!$A:$R,18,FALSE)="","",VLOOKUP(A1625,[11]PRIORIZADOS!$A:$R,18,FALSE)),"")</f>
        <v>No se evidencian actas de funcionamiento de Gobierno Escolar</v>
      </c>
      <c r="S1625" s="11" t="str">
        <f>IFERROR(IF(VLOOKUP(A1625,[11]PRIORIZADOS!$A:$S,19,FALSE)="","",VLOOKUP(A1625,[11]PRIORIZADOS!$A:$S,19,FALSE)),"")</f>
        <v>Generar los espacios para el funcionamiento del gobierno escolar con sus respectivas actas. Presentar plan de mejoramiento el 30 de mayo de 2025</v>
      </c>
      <c r="T1625" s="70" t="str">
        <f>IFERROR(IF(VLOOKUP(A1625,[11]PRIORIZADOS!$A:$T,20,FALSE)="","",VLOOKUP(A1625,[11]PRIORIZADOS!$A:$T,20,FALSE)),"")</f>
        <v>Si</v>
      </c>
      <c r="U1625" s="11" t="str">
        <f>IFERROR(IF(VLOOKUP(A1625,[11]PRIORIZADOS!$A:$U,21,FALSE)="","",VLOOKUP(A1625,[11]PRIORIZADOS!$A:$U,21,FALSE)),"")</f>
        <v>Revisar PM y verificar que se ajuste a las observaciones realizadas.</v>
      </c>
    </row>
    <row r="1626" spans="1:21" s="1" customFormat="1" ht="36">
      <c r="A1626" s="69">
        <f>IF([11]PRIORIZADOS!A137="","",[11]PRIORIZADOS!A137)</f>
        <v>1593</v>
      </c>
      <c r="B1626" s="70">
        <v>14</v>
      </c>
      <c r="C1626" s="11" t="str">
        <f>IFERROR(IF(VLOOKUP(A1626,[11]PRIORIZADOS!$A:$C,3,FALSE)="","",VLOOKUP(A1626,[11]PRIORIZADOS!$A:$C,3,FALSE)),"")</f>
        <v>RAFAEL URIBE URIBE</v>
      </c>
      <c r="D1626" s="11" t="str">
        <f>IFERROR(IF(VLOOKUP(A1626,[11]PRIORIZADOS!$A:$D,4,FALSE)="","",VLOOKUP(A1626,[11]PRIORIZADOS!$A:$D,4,FALSE)),"")</f>
        <v>PRIVADO</v>
      </c>
      <c r="E1626" s="11" t="str">
        <f>IFERROR(IF(VLOOKUP(A1626,[11]PRIORIZADOS!$A:$E,5,FALSE)="","",VLOOKUP(A1626,[11]PRIORIZADOS!$A:$E,5,FALSE)),"")</f>
        <v>EPBM</v>
      </c>
      <c r="F1626" s="11" t="str">
        <f>IFERROR(IF(VLOOKUP(A1626,[11]PRIORIZADOS!$A:$F,6,FALSE)="","",VLOOKUP(A1626,[11]PRIORIZADOS!$A:$F,6,FALSE)),"")</f>
        <v>COLEGIO_RAFAEL_MARIA_CARRASQUILLA</v>
      </c>
      <c r="G1626" s="11" t="str">
        <f>IFERROR(IF(VLOOKUP(A1626,[11]PRIORIZADOS!$A:$G,7,FALSE)="","",VLOOKUP(A1626,[11]PRIORIZADOS!$A:$G,7,FALSE)),"")</f>
        <v>COLEGIO_RAFAEL_MARIA_CARRASQUILLA</v>
      </c>
      <c r="H1626" s="11" t="str">
        <f>IFERROR(IF(VLOOKUP(A1626,[11]PRIORIZADOS!$A:$H,8,FALSE)="","",VLOOKUP(A1626,[11]PRIORIZADOS!$A:$H,8,FALSE)),"")</f>
        <v>Autoevaluación Institucional y Pruebas SABER 11</v>
      </c>
      <c r="I1626" s="11" t="str">
        <f>IFERROR(IF(VLOOKUP(A1626,[11]PRIORIZADOS!$A:$I,9,FALSE)="","",VLOOKUP(A1626,[11]PRIORIZADOS!$A:$I,9,FALSE)),"")</f>
        <v>EVALUACIÓN_CON_FINES_DE_MEJORAMIENTO.</v>
      </c>
      <c r="J1626" s="11" t="str">
        <f>IFERROR(IF(VLOOKUP(A1626,[11]PRIORIZADOS!$A:$J,10,FALSE)="","",VLOOKUP(A1626,[11]PRIORIZADOS!$A:$J,10,FALSE)),"")</f>
        <v>Verificar las condiciones en cuanto a: la estructura administrativa, condiciones de la planta física y medios educativos adecuados.</v>
      </c>
      <c r="K1626" s="11" t="str">
        <f>IFERROR(IF(VLOOKUP(A1626,[11]PRIORIZADOS!$A:$K,11,FALSE)="","",VLOOKUP(A1626,[11]PRIORIZADOS!$A:$K,11,FALSE)),"")</f>
        <v>BEPCI YADIRA MINA ZAPATA</v>
      </c>
      <c r="L1626" s="11" t="str">
        <f>IFERROR(IF(VLOOKUP(A1626,[11]PRIORIZADOS!$A:$L,12,FALSE)="","",VLOOKUP(A1626,[11]PRIORIZADOS!$A:$L,12,FALSE)),"")</f>
        <v>DORY CONSTANZA SANCHEZ ARAGÓN</v>
      </c>
      <c r="M1626" s="71">
        <f>IFERROR(IF(VLOOKUP(A1626,[11]PRIORIZADOS!$A:$M,13,FALSE)="","",VLOOKUP(A1626,[11]PRIORIZADOS!$A:$M,13,FALSE)),"")</f>
        <v>45861</v>
      </c>
      <c r="N1626" s="71">
        <f>IFERROR(IF(VLOOKUP(A1626,[11]PRIORIZADOS!$A:$N,14,FALSE)="","",VLOOKUP(A1626,[11]PRIORIZADOS!$A:$N,14,FALSE)),"")</f>
        <v>45772</v>
      </c>
      <c r="O1626" s="71">
        <f>IFERROR(IF(VLOOKUP(A1626,[11]PRIORIZADOS!$A:$O,15,FALSE)="","",VLOOKUP(A1626,[11]PRIORIZADOS!$A:$O,15,FALSE)),"")</f>
        <v>45777</v>
      </c>
      <c r="P1626" s="11" t="str">
        <f>IFERROR(IF(VLOOKUP(A1626,[11]PRIORIZADOS!$A:$P,16,FALSE)="","",VLOOKUP(A1626,[11]PRIORIZADOS!$A:$P,16,FALSE)),"")</f>
        <v>Visitas de evaluación con fines de mejoramiento</v>
      </c>
      <c r="Q1626" s="45" t="s">
        <v>370</v>
      </c>
      <c r="R1626" s="11" t="str">
        <f>IFERROR(IF(VLOOKUP(A1626,[11]PRIORIZADOS!$A:$R,18,FALSE)="","",VLOOKUP(A1626,[11]PRIORIZADOS!$A:$R,18,FALSE)),"")</f>
        <v>Se evidencio que la institución presta su servicio en 2 sedes, tiene licencia de funcionamiento para 1 sede.</v>
      </c>
      <c r="S1626" s="11" t="str">
        <f>IFERROR(IF(VLOOKUP(A1626,[11]PRIORIZADOS!$A:$S,19,FALSE)="","",VLOOKUP(A1626,[11]PRIORIZADOS!$A:$S,19,FALSE)),"")</f>
        <v>Se debe legalizar la sede, de lo contrario cerrar y buscar la reubicación de los estudiantes</v>
      </c>
      <c r="T1626" s="70" t="str">
        <f>IFERROR(IF(VLOOKUP(A1626,[11]PRIORIZADOS!$A:$T,20,FALSE)="","",VLOOKUP(A1626,[11]PRIORIZADOS!$A:$T,20,FALSE)),"")</f>
        <v>Si</v>
      </c>
      <c r="U1626" s="11" t="str">
        <f>IFERROR(IF(VLOOKUP(A1626,[11]PRIORIZADOS!$A:$U,21,FALSE)="","",VLOOKUP(A1626,[11]PRIORIZADOS!$A:$U,21,FALSE)),"")</f>
        <v>Se realizará mesa técnica con arquitectos de la DIV para orientación de la planta física.</v>
      </c>
    </row>
    <row r="1627" spans="1:21" s="1" customFormat="1" ht="60">
      <c r="A1627" s="69">
        <f>IF([11]PRIORIZADOS!A138="","",[11]PRIORIZADOS!A138)</f>
        <v>1594</v>
      </c>
      <c r="B1627" s="70">
        <f>IFERROR(IF(VLOOKUP(A1627,[11]PRIORIZADOS!$A:$B,2,FALSE)="","",VLOOKUP(A1627,[11]PRIORIZADOS!$A:$B,2,FALSE)),"")</f>
        <v>15</v>
      </c>
      <c r="C1627" s="11" t="str">
        <f>IFERROR(IF(VLOOKUP(A1627,[11]PRIORIZADOS!$A:$C,3,FALSE)="","",VLOOKUP(A1627,[11]PRIORIZADOS!$A:$C,3,FALSE)),"")</f>
        <v>RAFAEL URIBE URIBE</v>
      </c>
      <c r="D1627" s="11" t="str">
        <f>IFERROR(IF(VLOOKUP(A1627,[11]PRIORIZADOS!$A:$D,4,FALSE)="","",VLOOKUP(A1627,[11]PRIORIZADOS!$A:$D,4,FALSE)),"")</f>
        <v>PRIVADO</v>
      </c>
      <c r="E1627" s="11" t="str">
        <f>IFERROR(IF(VLOOKUP(A1627,[11]PRIORIZADOS!$A:$E,5,FALSE)="","",VLOOKUP(A1627,[11]PRIORIZADOS!$A:$E,5,FALSE)),"")</f>
        <v>EPBM</v>
      </c>
      <c r="F1627" s="11" t="str">
        <f>IFERROR(IF(VLOOKUP(A1627,[11]PRIORIZADOS!$A:$F,6,FALSE)="","",VLOOKUP(A1627,[11]PRIORIZADOS!$A:$F,6,FALSE)),"")</f>
        <v>GIMNASIO_SAN_JOSE</v>
      </c>
      <c r="G1627" s="11" t="str">
        <f>IFERROR(IF(VLOOKUP(A1627,[11]PRIORIZADOS!$A:$G,7,FALSE)="","",VLOOKUP(A1627,[11]PRIORIZADOS!$A:$G,7,FALSE)),"")</f>
        <v>GIMNASIO_SAN_JOSE</v>
      </c>
      <c r="H1627" s="11" t="str">
        <f>IFERROR(IF(VLOOKUP(A1627,[11]PRIORIZADOS!$A:$H,8,FALSE)="","",VLOOKUP(A1627,[11]PRIORIZADOS!$A:$H,8,FALSE)),"")</f>
        <v>Autoevaluación Institucional y Pruebas SABER 11</v>
      </c>
      <c r="I1627" s="11" t="str">
        <f>IFERROR(IF(VLOOKUP(A1627,[11]PRIORIZADOS!$A:$I,9,FALSE)="","",VLOOKUP(A1627,[11]PRIORIZADOS!$A:$I,9,FALSE)),"")</f>
        <v>SEGUIMIENTO_Y_SUPERVISIÓN.</v>
      </c>
      <c r="J1627" s="11" t="str">
        <f>IFERROR(IF(VLOOKUP(A1627,[11]PRIORIZADOS!$A:$J,10,FALSE)="","",VLOOKUP(A1627,[11]PRIORIZADOS!$A:$J,10,FALSE)),"")</f>
        <v>Realizar visitas para verificar la información registrada sobre la autoevaluación institucional en el aplicativo EVI, a los establecimientos de educación formal no oficial.</v>
      </c>
      <c r="K1627" s="11" t="str">
        <f>IFERROR(IF(VLOOKUP(A1627,[11]PRIORIZADOS!$A:$K,11,FALSE)="","",VLOOKUP(A1627,[11]PRIORIZADOS!$A:$K,11,FALSE)),"")</f>
        <v>BEPCI YADIRA MINA ZAPATA</v>
      </c>
      <c r="L1627" s="11" t="str">
        <f>IFERROR(IF(VLOOKUP(A1627,[11]PRIORIZADOS!$A:$L,12,FALSE)="","",VLOOKUP(A1627,[11]PRIORIZADOS!$A:$L,12,FALSE)),"")</f>
        <v>DORY CONSTANZA SANCHEZ ARAGÓN</v>
      </c>
      <c r="M1627" s="71">
        <f>IFERROR(IF(VLOOKUP(A1627,[11]PRIORIZADOS!$A:$M,13,FALSE)="","",VLOOKUP(A1627,[11]PRIORIZADOS!$A:$M,13,FALSE)),"")</f>
        <v>45867</v>
      </c>
      <c r="N1627" s="71">
        <f>IFERROR(IF(VLOOKUP(A1627,[11]PRIORIZADOS!$A:$N,14,FALSE)="","",VLOOKUP(A1627,[11]PRIORIZADOS!$A:$N,14,FALSE)),"")</f>
        <v>45870</v>
      </c>
      <c r="O1627" s="71">
        <f>IFERROR(IF(VLOOKUP(A1627,[11]PRIORIZADOS!$A:$O,15,FALSE)="","",VLOOKUP(A1627,[11]PRIORIZADOS!$A:$O,15,FALSE)),"")</f>
        <v>45873</v>
      </c>
      <c r="P1627" s="11" t="str">
        <f>IFERROR(IF(VLOOKUP(A1627,[11]PRIORIZADOS!$A:$P,16,FALSE)="","",VLOOKUP(A1627,[11]PRIORIZADOS!$A:$P,16,FALSE)),"")</f>
        <v>Visitas de evaluación con fines de mejoramiento</v>
      </c>
      <c r="Q1627" s="37" t="s">
        <v>371</v>
      </c>
      <c r="R1627" s="11" t="str">
        <f>IFERROR(IF(VLOOKUP(A1627,[11]PRIORIZADOS!$A:$R,18,FALSE)="","",VLOOKUP(A1627,[11]PRIORIZADOS!$A:$R,18,FALSE)),"")</f>
        <v>Se evidencia que los docentes se encuentran con contrato laboral y  pago de seguridad social.
Planta física acorde con espacios pedagogícos adecuados.</v>
      </c>
      <c r="S1627" s="11" t="str">
        <f>IFERROR(IF(VLOOKUP(A1627,[11]PRIORIZADOS!$A:$S,19,FALSE)="","",VLOOKUP(A1627,[11]PRIORIZADOS!$A:$S,19,FALSE)),"")</f>
        <v>Continuar con la contratación y pago de seguridad social de los docentes</v>
      </c>
      <c r="T1627" s="70" t="str">
        <f>IFERROR(IF(VLOOKUP(A1627,[11]PRIORIZADOS!$A:$T,20,FALSE)="","",VLOOKUP(A1627,[11]PRIORIZADOS!$A:$T,20,FALSE)),"")</f>
        <v>No</v>
      </c>
      <c r="U1627" s="11" t="str">
        <f>IFERROR(IF(VLOOKUP(A1627,[11]PRIORIZADOS!$A:$U,21,FALSE)="","",VLOOKUP(A1627,[11]PRIORIZADOS!$A:$U,21,FALSE)),"")</f>
        <v>Verificar en caso de algun reqiuerimiento o queja</v>
      </c>
    </row>
    <row r="1628" spans="1:21" s="1" customFormat="1" ht="107.25">
      <c r="A1628" s="69">
        <f>IF([11]PRIORIZADOS!A139="","",[11]PRIORIZADOS!A139)</f>
        <v>1595</v>
      </c>
      <c r="B1628" s="70">
        <v>15</v>
      </c>
      <c r="C1628" s="11" t="str">
        <f>IFERROR(IF(VLOOKUP(A1628,[11]PRIORIZADOS!$A:$C,3,FALSE)="","",VLOOKUP(A1628,[11]PRIORIZADOS!$A:$C,3,FALSE)),"")</f>
        <v>RAFAEL URIBE URIBE</v>
      </c>
      <c r="D1628" s="11" t="str">
        <f>IFERROR(IF(VLOOKUP(A1628,[11]PRIORIZADOS!$A:$D,4,FALSE)="","",VLOOKUP(A1628,[11]PRIORIZADOS!$A:$D,4,FALSE)),"")</f>
        <v>PRIVADO</v>
      </c>
      <c r="E1628" s="11" t="str">
        <f>IFERROR(IF(VLOOKUP(A1628,[11]PRIORIZADOS!$A:$E,5,FALSE)="","",VLOOKUP(A1628,[11]PRIORIZADOS!$A:$E,5,FALSE)),"")</f>
        <v>EPBM</v>
      </c>
      <c r="F1628" s="11" t="str">
        <f>IFERROR(IF(VLOOKUP(A1628,[11]PRIORIZADOS!$A:$F,6,FALSE)="","",VLOOKUP(A1628,[11]PRIORIZADOS!$A:$F,6,FALSE)),"")</f>
        <v>GIMNASIO_SAN_JOSE</v>
      </c>
      <c r="G1628" s="11" t="str">
        <f>IFERROR(IF(VLOOKUP(A1628,[11]PRIORIZADOS!$A:$G,7,FALSE)="","",VLOOKUP(A1628,[11]PRIORIZADOS!$A:$G,7,FALSE)),"")</f>
        <v>GIMNASIO_SAN_JOSE</v>
      </c>
      <c r="H1628" s="11" t="str">
        <f>IFERROR(IF(VLOOKUP(A1628,[11]PRIORIZADOS!$A:$H,8,FALSE)="","",VLOOKUP(A1628,[11]PRIORIZADOS!$A:$H,8,FALSE)),"")</f>
        <v>Autoevaluación Institucional y Pruebas SABER 11</v>
      </c>
      <c r="I1628" s="11" t="str">
        <f>IFERROR(IF(VLOOKUP(A1628,[11]PRIORIZADOS!$A:$I,9,FALSE)="","",VLOOKUP(A1628,[11]PRIORIZADOS!$A:$I,9,FALSE)),"")</f>
        <v>SEGUIMIENTO_Y_SUPERVISIÓN.</v>
      </c>
      <c r="J1628" s="11" t="str">
        <f>IFERROR(IF(VLOOKUP(A1628,[11]PRIORIZADOS!$A:$J,10,FALSE)="","",VLOOKUP(A1628,[11]PRIORIZADOS!$A:$J,10,FALSE)),"")</f>
        <v>Proponer estrategias en la formulación, verificar su elaboración y realizar seguimiento semestral al desarrollo de  las acciones establecidas en los planes de mejoramiento por pruebas SABER 11 de los establecimientos de educación formal.</v>
      </c>
      <c r="K1628" s="11" t="str">
        <f>IFERROR(IF(VLOOKUP(A1628,[11]PRIORIZADOS!$A:$K,11,FALSE)="","",VLOOKUP(A1628,[11]PRIORIZADOS!$A:$K,11,FALSE)),"")</f>
        <v>DORY CONSTANZA SANCHEZ ARAGÓN</v>
      </c>
      <c r="L1628" s="11" t="str">
        <f>IFERROR(IF(VLOOKUP(A1628,[11]PRIORIZADOS!$A:$L,12,FALSE)="","",VLOOKUP(A1628,[11]PRIORIZADOS!$A:$L,12,FALSE)),"")</f>
        <v>BEPCI YADIRA MINA ZAPATA</v>
      </c>
      <c r="M1628" s="71">
        <f>IFERROR(IF(VLOOKUP(A1628,[11]PRIORIZADOS!$A:$M,13,FALSE)="","",VLOOKUP(A1628,[11]PRIORIZADOS!$A:$M,13,FALSE)),"")</f>
        <v>45867</v>
      </c>
      <c r="N1628" s="71">
        <f>IFERROR(IF(VLOOKUP(A1628,[11]PRIORIZADOS!$A:$N,14,FALSE)="","",VLOOKUP(A1628,[11]PRIORIZADOS!$A:$N,14,FALSE)),"")</f>
        <v>45870</v>
      </c>
      <c r="O1628" s="71">
        <f>IFERROR(IF(VLOOKUP(A1628,[11]PRIORIZADOS!$A:$O,15,FALSE)="","",VLOOKUP(A1628,[11]PRIORIZADOS!$A:$O,15,FALSE)),"")</f>
        <v>45873</v>
      </c>
      <c r="P1628" s="11" t="str">
        <f>IFERROR(IF(VLOOKUP(A1628,[11]PRIORIZADOS!$A:$P,16,FALSE)="","",VLOOKUP(A1628,[11]PRIORIZADOS!$A:$P,16,FALSE)),"")</f>
        <v>Visitas de evaluación con fines de mejoramiento</v>
      </c>
      <c r="Q1628" s="37" t="s">
        <v>371</v>
      </c>
      <c r="R1628" s="11" t="str">
        <f>IFERROR(IF(VLOOKUP(A1628,[11]PRIORIZADOS!$A:$R,18,FALSE)="","",VLOOKUP(A1628,[11]PRIORIZADOS!$A:$R,18,FALSE)),"")</f>
        <v>Se evidencia que la institución ha realizado el análisis de los resultados obtenidos en las Pruebas Saber en el año 2024, pero no ha impactado el currículo con los aprendizajes priorizados por el ICFES y no incorporó estrategias pedagógicas para fortalecer el proceso de preparación de la pruebas saber a estudiantes con discapacidad</v>
      </c>
      <c r="S1628" s="11" t="str">
        <f>IFERROR(IF(VLOOKUP(A1628,[11]PRIORIZADOS!$A:$S,19,FALSE)="","",VLOOKUP(A1628,[11]PRIORIZADOS!$A:$S,19,FALSE)),"")</f>
        <v>Realizar analisis de las Pruebas Saber y establecer acciones pertinentes. Presentar plan de mejoramiento el 4 de septiembre de 2025</v>
      </c>
      <c r="T1628" s="70" t="str">
        <f>IFERROR(IF(VLOOKUP(A1628,[11]PRIORIZADOS!$A:$T,20,FALSE)="","",VLOOKUP(A1628,[11]PRIORIZADOS!$A:$T,20,FALSE)),"")</f>
        <v>Si</v>
      </c>
      <c r="U1628" s="11" t="str">
        <f>IFERROR(IF(VLOOKUP(A1628,[11]PRIORIZADOS!$A:$U,21,FALSE)="","",VLOOKUP(A1628,[11]PRIORIZADOS!$A:$U,21,FALSE)),"")</f>
        <v>Revisar PM y verificar que se ajuste a las observaciones realizadas.</v>
      </c>
    </row>
    <row r="1629" spans="1:21" s="1" customFormat="1" ht="72">
      <c r="A1629" s="69">
        <f>IF([11]PRIORIZADOS!A140="","",[11]PRIORIZADOS!A140)</f>
        <v>1596</v>
      </c>
      <c r="B1629" s="70">
        <v>15</v>
      </c>
      <c r="C1629" s="11" t="str">
        <f>IFERROR(IF(VLOOKUP(A1629,[11]PRIORIZADOS!$A:$C,3,FALSE)="","",VLOOKUP(A1629,[11]PRIORIZADOS!$A:$C,3,FALSE)),"")</f>
        <v>RAFAEL URIBE URIBE</v>
      </c>
      <c r="D1629" s="11" t="str">
        <f>IFERROR(IF(VLOOKUP(A1629,[11]PRIORIZADOS!$A:$D,4,FALSE)="","",VLOOKUP(A1629,[11]PRIORIZADOS!$A:$D,4,FALSE)),"")</f>
        <v>PRIVADO</v>
      </c>
      <c r="E1629" s="11" t="str">
        <f>IFERROR(IF(VLOOKUP(A1629,[11]PRIORIZADOS!$A:$E,5,FALSE)="","",VLOOKUP(A1629,[11]PRIORIZADOS!$A:$E,5,FALSE)),"")</f>
        <v>EPBM</v>
      </c>
      <c r="F1629" s="11" t="str">
        <f>IFERROR(IF(VLOOKUP(A1629,[11]PRIORIZADOS!$A:$F,6,FALSE)="","",VLOOKUP(A1629,[11]PRIORIZADOS!$A:$F,6,FALSE)),"")</f>
        <v>GIMNASIO_SAN_JOSE</v>
      </c>
      <c r="G1629" s="11" t="str">
        <f>IFERROR(IF(VLOOKUP(A1629,[11]PRIORIZADOS!$A:$G,7,FALSE)="","",VLOOKUP(A1629,[11]PRIORIZADOS!$A:$G,7,FALSE)),"")</f>
        <v>GIMNASIO_SAN_JOSE</v>
      </c>
      <c r="H1629" s="11" t="str">
        <f>IFERROR(IF(VLOOKUP(A1629,[11]PRIORIZADOS!$A:$H,8,FALSE)="","",VLOOKUP(A1629,[11]PRIORIZADOS!$A:$H,8,FALSE)),"")</f>
        <v>Autoevaluación Institucional y Pruebas SABER 11</v>
      </c>
      <c r="I1629" s="11" t="str">
        <f>IFERROR(IF(VLOOKUP(A1629,[11]PRIORIZADOS!$A:$I,9,FALSE)="","",VLOOKUP(A1629,[11]PRIORIZADOS!$A:$I,9,FALSE)),"")</f>
        <v>SEGUIMIENTO_Y_SUPERVISIÓN.</v>
      </c>
      <c r="J1629" s="11" t="str">
        <f>IFERROR(IF(VLOOKUP(A1629,[11]PRIORIZADOS!$A:$J,10,FALSE)="","",VLOOKUP(A1629,[11]PRIORIZADOS!$A:$J,10,FALSE)),"")</f>
        <v xml:space="preserve">Verificar la implementación por parte de los colegios, de acciones realizadas para la prevención y atención de las situaciones de convivencia en el entorno escolar, según lo establecido en la Directiva 01 de 2022 del MEN. </v>
      </c>
      <c r="K1629" s="11" t="str">
        <f>IFERROR(IF(VLOOKUP(A1629,[11]PRIORIZADOS!$A:$K,11,FALSE)="","",VLOOKUP(A1629,[11]PRIORIZADOS!$A:$K,11,FALSE)),"")</f>
        <v>DORY CONSTANZA SANCHEZ ARAGÓN</v>
      </c>
      <c r="L1629" s="11" t="str">
        <f>IFERROR(IF(VLOOKUP(A1629,[11]PRIORIZADOS!$A:$L,12,FALSE)="","",VLOOKUP(A1629,[11]PRIORIZADOS!$A:$L,12,FALSE)),"")</f>
        <v>BEPCI YADIRA MINA ZAPATA</v>
      </c>
      <c r="M1629" s="71">
        <f>IFERROR(IF(VLOOKUP(A1629,[11]PRIORIZADOS!$A:$M,13,FALSE)="","",VLOOKUP(A1629,[11]PRIORIZADOS!$A:$M,13,FALSE)),"")</f>
        <v>45867</v>
      </c>
      <c r="N1629" s="71">
        <f>IFERROR(IF(VLOOKUP(A1629,[11]PRIORIZADOS!$A:$N,14,FALSE)="","",VLOOKUP(A1629,[11]PRIORIZADOS!$A:$N,14,FALSE)),"")</f>
        <v>45870</v>
      </c>
      <c r="O1629" s="71">
        <f>IFERROR(IF(VLOOKUP(A1629,[11]PRIORIZADOS!$A:$O,15,FALSE)="","",VLOOKUP(A1629,[11]PRIORIZADOS!$A:$O,15,FALSE)),"")</f>
        <v>45873</v>
      </c>
      <c r="P1629" s="11" t="str">
        <f>IFERROR(IF(VLOOKUP(A1629,[11]PRIORIZADOS!$A:$P,16,FALSE)="","",VLOOKUP(A1629,[11]PRIORIZADOS!$A:$P,16,FALSE)),"")</f>
        <v>Visitas de evaluación con fines de mejoramiento</v>
      </c>
      <c r="Q1629" s="37" t="s">
        <v>371</v>
      </c>
      <c r="R1629" s="11" t="str">
        <f>IFERROR(IF(VLOOKUP(A1629,[11]PRIORIZADOS!$A:$R,18,FALSE)="","",VLOOKUP(A1629,[11]PRIORIZADOS!$A:$R,18,FALSE)),"")</f>
        <v>La institución cuentan con actas donde se evidencie el funcionamiento del comité de convivencia escolar.
Se verificó a los docentes  inhabilidadades por delitos sexuales para el año 2025 en enero, abril y julio</v>
      </c>
      <c r="S1629" s="11" t="str">
        <f>IFERROR(IF(VLOOKUP(A1629,[11]PRIORIZADOS!$A:$S,19,FALSE)="","",VLOOKUP(A1629,[11]PRIORIZADOS!$A:$S,19,FALSE)),"")</f>
        <v>Contituar con la verificación de inhabilidades cada 4 meses</v>
      </c>
      <c r="T1629" s="70" t="str">
        <f>IFERROR(IF(VLOOKUP(A1629,[11]PRIORIZADOS!$A:$T,20,FALSE)="","",VLOOKUP(A1629,[11]PRIORIZADOS!$A:$T,20,FALSE)),"")</f>
        <v>No</v>
      </c>
      <c r="U1629" s="11" t="str">
        <f>IFERROR(IF(VLOOKUP(A1629,[11]PRIORIZADOS!$A:$U,21,FALSE)="","",VLOOKUP(A1629,[11]PRIORIZADOS!$A:$U,21,FALSE)),"")</f>
        <v>Verificar en caso de presentarse una queja</v>
      </c>
    </row>
    <row r="1630" spans="1:21" s="1" customFormat="1" ht="84">
      <c r="A1630" s="69">
        <f>IF([11]PRIORIZADOS!A141="","",[11]PRIORIZADOS!A141)</f>
        <v>1597</v>
      </c>
      <c r="B1630" s="70">
        <v>15</v>
      </c>
      <c r="C1630" s="11" t="str">
        <f>IFERROR(IF(VLOOKUP(A1630,[11]PRIORIZADOS!$A:$C,3,FALSE)="","",VLOOKUP(A1630,[11]PRIORIZADOS!$A:$C,3,FALSE)),"")</f>
        <v>RAFAEL URIBE URIBE</v>
      </c>
      <c r="D1630" s="11" t="str">
        <f>IFERROR(IF(VLOOKUP(A1630,[11]PRIORIZADOS!$A:$D,4,FALSE)="","",VLOOKUP(A1630,[11]PRIORIZADOS!$A:$D,4,FALSE)),"")</f>
        <v>PRIVADO</v>
      </c>
      <c r="E1630" s="11" t="str">
        <f>IFERROR(IF(VLOOKUP(A1630,[11]PRIORIZADOS!$A:$E,5,FALSE)="","",VLOOKUP(A1630,[11]PRIORIZADOS!$A:$E,5,FALSE)),"")</f>
        <v>EPBM</v>
      </c>
      <c r="F1630" s="11" t="str">
        <f>IFERROR(IF(VLOOKUP(A1630,[11]PRIORIZADOS!$A:$F,6,FALSE)="","",VLOOKUP(A1630,[11]PRIORIZADOS!$A:$F,6,FALSE)),"")</f>
        <v>GIMNASIO_SAN_JOSE</v>
      </c>
      <c r="G1630" s="11" t="str">
        <f>IFERROR(IF(VLOOKUP(A1630,[11]PRIORIZADOS!$A:$G,7,FALSE)="","",VLOOKUP(A1630,[11]PRIORIZADOS!$A:$G,7,FALSE)),"")</f>
        <v>GIMNASIO_SAN_JOSE</v>
      </c>
      <c r="H1630" s="11" t="str">
        <f>IFERROR(IF(VLOOKUP(A1630,[11]PRIORIZADOS!$A:$H,8,FALSE)="","",VLOOKUP(A1630,[11]PRIORIZADOS!$A:$H,8,FALSE)),"")</f>
        <v>Autoevaluación Institucional y Pruebas SABER 11</v>
      </c>
      <c r="I1630" s="11" t="str">
        <f>IFERROR(IF(VLOOKUP(A1630,[11]PRIORIZADOS!$A:$I,9,FALSE)="","",VLOOKUP(A1630,[11]PRIORIZADOS!$A:$I,9,FALSE)),"")</f>
        <v>SEGUIMIENTO_Y_SUPERVISIÓN.</v>
      </c>
      <c r="J1630" s="11" t="str">
        <f>IFERROR(IF(VLOOKUP(A1630,[11]PRIORIZADOS!$A:$J,10,FALSE)="","",VLOOKUP(A1630,[11]PRIORIZADOS!$A:$J,10,FALSE)),"")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30" s="11" t="str">
        <f>IFERROR(IF(VLOOKUP(A1630,[11]PRIORIZADOS!$A:$K,11,FALSE)="","",VLOOKUP(A1630,[11]PRIORIZADOS!$A:$K,11,FALSE)),"")</f>
        <v>DORY CONSTANZA SANCHEZ ARAGÓN</v>
      </c>
      <c r="L1630" s="11" t="str">
        <f>IFERROR(IF(VLOOKUP(A1630,[11]PRIORIZADOS!$A:$L,12,FALSE)="","",VLOOKUP(A1630,[11]PRIORIZADOS!$A:$L,12,FALSE)),"")</f>
        <v>BEPCI YADIRA MINA ZAPATA</v>
      </c>
      <c r="M1630" s="71">
        <f>IFERROR(IF(VLOOKUP(A1630,[11]PRIORIZADOS!$A:$M,13,FALSE)="","",VLOOKUP(A1630,[11]PRIORIZADOS!$A:$M,13,FALSE)),"")</f>
        <v>45867</v>
      </c>
      <c r="N1630" s="71">
        <f>IFERROR(IF(VLOOKUP(A1630,[11]PRIORIZADOS!$A:$N,14,FALSE)="","",VLOOKUP(A1630,[11]PRIORIZADOS!$A:$N,14,FALSE)),"")</f>
        <v>45870</v>
      </c>
      <c r="O1630" s="71">
        <f>IFERROR(IF(VLOOKUP(A1630,[11]PRIORIZADOS!$A:$O,15,FALSE)="","",VLOOKUP(A1630,[11]PRIORIZADOS!$A:$O,15,FALSE)),"")</f>
        <v>45873</v>
      </c>
      <c r="P1630" s="11" t="str">
        <f>IFERROR(IF(VLOOKUP(A1630,[11]PRIORIZADOS!$A:$P,16,FALSE)="","",VLOOKUP(A1630,[11]PRIORIZADOS!$A:$P,16,FALSE)),"")</f>
        <v>Visitas de evaluación con fines de mejoramiento</v>
      </c>
      <c r="Q1630" s="37" t="s">
        <v>371</v>
      </c>
      <c r="R1630" s="11" t="str">
        <f>IFERROR(IF(VLOOKUP(A1630,[11]PRIORIZADOS!$A:$R,18,FALSE)="","",VLOOKUP(A1630,[11]PRIORIZADOS!$A:$R,18,FALSE)),"")</f>
        <v>El colegio tiene elaborados los PIAR de cada estudiante, se encuentran completamente diligenciados, se evidencia un serio acompañamiento en este proceso, está institucionalizado, los docentes participan en la construcción de los PIAR y los implementan</v>
      </c>
      <c r="S1630" s="11" t="str">
        <f>IFERROR(IF(VLOOKUP(A1630,[11]PRIORIZADOS!$A:$S,19,FALSE)="","",VLOOKUP(A1630,[11]PRIORIZADOS!$A:$S,19,FALSE)),"")</f>
        <v>Continuar con los seguimientos y acompañamiento a los estudiantes con PIAR</v>
      </c>
      <c r="T1630" s="70" t="str">
        <f>IFERROR(IF(VLOOKUP(A1630,[11]PRIORIZADOS!$A:$T,20,FALSE)="","",VLOOKUP(A1630,[11]PRIORIZADOS!$A:$T,20,FALSE)),"")</f>
        <v>No</v>
      </c>
      <c r="U1630" s="11" t="str">
        <f>IFERROR(IF(VLOOKUP(A1630,[11]PRIORIZADOS!$A:$U,21,FALSE)="","",VLOOKUP(A1630,[11]PRIORIZADOS!$A:$U,21,FALSE)),"")</f>
        <v>Verificar en caso de algun reqiuerimiento o queja</v>
      </c>
    </row>
    <row r="1631" spans="1:21" s="1" customFormat="1" ht="84">
      <c r="A1631" s="69">
        <f>IF([11]PRIORIZADOS!A142="","",[11]PRIORIZADOS!A142)</f>
        <v>1598</v>
      </c>
      <c r="B1631" s="70">
        <v>15</v>
      </c>
      <c r="C1631" s="11" t="str">
        <f>IFERROR(IF(VLOOKUP(A1631,[11]PRIORIZADOS!$A:$C,3,FALSE)="","",VLOOKUP(A1631,[11]PRIORIZADOS!$A:$C,3,FALSE)),"")</f>
        <v>RAFAEL URIBE URIBE</v>
      </c>
      <c r="D1631" s="11" t="str">
        <f>IFERROR(IF(VLOOKUP(A1631,[11]PRIORIZADOS!$A:$D,4,FALSE)="","",VLOOKUP(A1631,[11]PRIORIZADOS!$A:$D,4,FALSE)),"")</f>
        <v>PRIVADO</v>
      </c>
      <c r="E1631" s="11" t="str">
        <f>IFERROR(IF(VLOOKUP(A1631,[11]PRIORIZADOS!$A:$E,5,FALSE)="","",VLOOKUP(A1631,[11]PRIORIZADOS!$A:$E,5,FALSE)),"")</f>
        <v>EPBM</v>
      </c>
      <c r="F1631" s="11" t="str">
        <f>IFERROR(IF(VLOOKUP(A1631,[11]PRIORIZADOS!$A:$F,6,FALSE)="","",VLOOKUP(A1631,[11]PRIORIZADOS!$A:$F,6,FALSE)),"")</f>
        <v>GIMNASIO_SAN_JOSE</v>
      </c>
      <c r="G1631" s="11" t="str">
        <f>IFERROR(IF(VLOOKUP(A1631,[11]PRIORIZADOS!$A:$G,7,FALSE)="","",VLOOKUP(A1631,[11]PRIORIZADOS!$A:$G,7,FALSE)),"")</f>
        <v>GIMNASIO_SAN_JOSE</v>
      </c>
      <c r="H1631" s="11" t="str">
        <f>IFERROR(IF(VLOOKUP(A1631,[11]PRIORIZADOS!$A:$H,8,FALSE)="","",VLOOKUP(A1631,[11]PRIORIZADOS!$A:$H,8,FALSE)),"")</f>
        <v>Autoevaluación Institucional y Pruebas SABER 11</v>
      </c>
      <c r="I1631" s="11" t="str">
        <f>IFERROR(IF(VLOOKUP(A1631,[11]PRIORIZADOS!$A:$I,9,FALSE)="","",VLOOKUP(A1631,[11]PRIORIZADOS!$A:$I,9,FALSE)),"")</f>
        <v>EVALUACIÓN_CON_FINES_DE_MEJORAMIENTO.</v>
      </c>
      <c r="J1631" s="11" t="str">
        <f>IFERROR(IF(VLOOKUP(A1631,[11]PRIORIZADOS!$A:$J,10,FALSE)="","",VLOOKUP(A1631,[11]PRIORIZADOS!$A:$J,10,FALSE)),"")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31" s="11" t="str">
        <f>IFERROR(IF(VLOOKUP(A1631,[11]PRIORIZADOS!$A:$K,11,FALSE)="","",VLOOKUP(A1631,[11]PRIORIZADOS!$A:$K,11,FALSE)),"")</f>
        <v>DORY CONSTANZA SANCHEZ ARAGÓN</v>
      </c>
      <c r="L1631" s="11" t="str">
        <f>IFERROR(IF(VLOOKUP(A1631,[11]PRIORIZADOS!$A:$L,12,FALSE)="","",VLOOKUP(A1631,[11]PRIORIZADOS!$A:$L,12,FALSE)),"")</f>
        <v>BEPCI YADIRA MINA ZAPATA</v>
      </c>
      <c r="M1631" s="71">
        <f>IFERROR(IF(VLOOKUP(A1631,[11]PRIORIZADOS!$A:$M,13,FALSE)="","",VLOOKUP(A1631,[11]PRIORIZADOS!$A:$M,13,FALSE)),"")</f>
        <v>45867</v>
      </c>
      <c r="N1631" s="71">
        <f>IFERROR(IF(VLOOKUP(A1631,[11]PRIORIZADOS!$A:$N,14,FALSE)="","",VLOOKUP(A1631,[11]PRIORIZADOS!$A:$N,14,FALSE)),"")</f>
        <v>45870</v>
      </c>
      <c r="O1631" s="71">
        <f>IFERROR(IF(VLOOKUP(A1631,[11]PRIORIZADOS!$A:$O,15,FALSE)="","",VLOOKUP(A1631,[11]PRIORIZADOS!$A:$O,15,FALSE)),"")</f>
        <v>45873</v>
      </c>
      <c r="P1631" s="11" t="str">
        <f>IFERROR(IF(VLOOKUP(A1631,[11]PRIORIZADOS!$A:$P,16,FALSE)="","",VLOOKUP(A1631,[11]PRIORIZADOS!$A:$P,16,FALSE)),"")</f>
        <v>Visitas de evaluación con fines de mejoramiento</v>
      </c>
      <c r="Q1631" s="37" t="s">
        <v>371</v>
      </c>
      <c r="R1631" s="11" t="str">
        <f>IFERROR(IF(VLOOKUP(A1631,[11]PRIORIZADOS!$A:$R,18,FALSE)="","",VLOOKUP(A1631,[11]PRIORIZADOS!$A:$R,18,FALSE)),"")</f>
        <v>Se evidencia la participación de la Comunidad Educativa en la construcciíon del manual.
El manual no cuenta con todos los aspectos establecidos en la normatividad vigente</v>
      </c>
      <c r="S1631" s="11" t="str">
        <f>IFERROR(IF(VLOOKUP(A1631,[11]PRIORIZADOS!$A:$S,19,FALSE)="","",VLOOKUP(A1631,[11]PRIORIZADOS!$A:$S,19,FALSE)),"")</f>
        <v>La institución debe actualizar el manual de convivencia con participación del gobierno escolar. Presentar plan de mejoramiento el 4 de septiembre de 2025</v>
      </c>
      <c r="T1631" s="70" t="str">
        <f>IFERROR(IF(VLOOKUP(A1631,[11]PRIORIZADOS!$A:$T,20,FALSE)="","",VLOOKUP(A1631,[11]PRIORIZADOS!$A:$T,20,FALSE)),"")</f>
        <v>Si</v>
      </c>
      <c r="U1631" s="11" t="str">
        <f>IFERROR(IF(VLOOKUP(A1631,[11]PRIORIZADOS!$A:$U,21,FALSE)="","",VLOOKUP(A1631,[11]PRIORIZADOS!$A:$U,21,FALSE)),"")</f>
        <v>Revisar PM y verificar que se ajuste a las observaciones realizadas.</v>
      </c>
    </row>
    <row r="1632" spans="1:21" s="1" customFormat="1" ht="84">
      <c r="A1632" s="69">
        <f>IF([11]PRIORIZADOS!A143="","",[11]PRIORIZADOS!A143)</f>
        <v>1599</v>
      </c>
      <c r="B1632" s="70">
        <v>15</v>
      </c>
      <c r="C1632" s="11" t="str">
        <f>IFERROR(IF(VLOOKUP(A1632,[11]PRIORIZADOS!$A:$C,3,FALSE)="","",VLOOKUP(A1632,[11]PRIORIZADOS!$A:$C,3,FALSE)),"")</f>
        <v>RAFAEL URIBE URIBE</v>
      </c>
      <c r="D1632" s="11" t="str">
        <f>IFERROR(IF(VLOOKUP(A1632,[11]PRIORIZADOS!$A:$D,4,FALSE)="","",VLOOKUP(A1632,[11]PRIORIZADOS!$A:$D,4,FALSE)),"")</f>
        <v>PRIVADO</v>
      </c>
      <c r="E1632" s="11" t="str">
        <f>IFERROR(IF(VLOOKUP(A1632,[11]PRIORIZADOS!$A:$E,5,FALSE)="","",VLOOKUP(A1632,[11]PRIORIZADOS!$A:$E,5,FALSE)),"")</f>
        <v>EPBM</v>
      </c>
      <c r="F1632" s="11" t="str">
        <f>IFERROR(IF(VLOOKUP(A1632,[11]PRIORIZADOS!$A:$F,6,FALSE)="","",VLOOKUP(A1632,[11]PRIORIZADOS!$A:$F,6,FALSE)),"")</f>
        <v>GIMNASIO_SAN_JOSE</v>
      </c>
      <c r="G1632" s="11" t="str">
        <f>IFERROR(IF(VLOOKUP(A1632,[11]PRIORIZADOS!$A:$G,7,FALSE)="","",VLOOKUP(A1632,[11]PRIORIZADOS!$A:$G,7,FALSE)),"")</f>
        <v>GIMNASIO_SAN_JOSE</v>
      </c>
      <c r="H1632" s="11" t="str">
        <f>IFERROR(IF(VLOOKUP(A1632,[11]PRIORIZADOS!$A:$H,8,FALSE)="","",VLOOKUP(A1632,[11]PRIORIZADOS!$A:$H,8,FALSE)),"")</f>
        <v>Autoevaluación Institucional y Pruebas SABER 11</v>
      </c>
      <c r="I1632" s="11" t="str">
        <f>IFERROR(IF(VLOOKUP(A1632,[11]PRIORIZADOS!$A:$I,9,FALSE)="","",VLOOKUP(A1632,[11]PRIORIZADOS!$A:$I,9,FALSE)),"")</f>
        <v>EVALUACIÓN_CON_FINES_DE_MEJORAMIENTO.</v>
      </c>
      <c r="J1632" s="11" t="str">
        <f>IFERROR(IF(VLOOKUP(A1632,[11]PRIORIZADOS!$A:$J,10,FALSE)="","",VLOOKUP(A1632,[11]PRIORIZADOS!$A:$J,10,FALSE)),"")</f>
        <v>Revisar la actualización, socialización e implementación del Sistema Institucional de Evaluación de Estudiantes - SIEE, en articulación con la actualización del PEI y la normatividad vigente.</v>
      </c>
      <c r="K1632" s="11" t="str">
        <f>IFERROR(IF(VLOOKUP(A1632,[11]PRIORIZADOS!$A:$K,11,FALSE)="","",VLOOKUP(A1632,[11]PRIORIZADOS!$A:$K,11,FALSE)),"")</f>
        <v>DORY CONSTANZA SANCHEZ ARAGÓN</v>
      </c>
      <c r="L1632" s="11" t="str">
        <f>IFERROR(IF(VLOOKUP(A1632,[11]PRIORIZADOS!$A:$L,12,FALSE)="","",VLOOKUP(A1632,[11]PRIORIZADOS!$A:$L,12,FALSE)),"")</f>
        <v>BEPCI YADIRA MINA ZAPATA</v>
      </c>
      <c r="M1632" s="71">
        <f>IFERROR(IF(VLOOKUP(A1632,[11]PRIORIZADOS!$A:$M,13,FALSE)="","",VLOOKUP(A1632,[11]PRIORIZADOS!$A:$M,13,FALSE)),"")</f>
        <v>45867</v>
      </c>
      <c r="N1632" s="71">
        <f>IFERROR(IF(VLOOKUP(A1632,[11]PRIORIZADOS!$A:$N,14,FALSE)="","",VLOOKUP(A1632,[11]PRIORIZADOS!$A:$N,14,FALSE)),"")</f>
        <v>45870</v>
      </c>
      <c r="O1632" s="71">
        <f>IFERROR(IF(VLOOKUP(A1632,[11]PRIORIZADOS!$A:$O,15,FALSE)="","",VLOOKUP(A1632,[11]PRIORIZADOS!$A:$O,15,FALSE)),"")</f>
        <v>45873</v>
      </c>
      <c r="P1632" s="11" t="str">
        <f>IFERROR(IF(VLOOKUP(A1632,[11]PRIORIZADOS!$A:$P,16,FALSE)="","",VLOOKUP(A1632,[11]PRIORIZADOS!$A:$P,16,FALSE)),"")</f>
        <v>Visitas de evaluación con fines de mejoramiento</v>
      </c>
      <c r="Q1632" s="37" t="s">
        <v>371</v>
      </c>
      <c r="R1632" s="11" t="str">
        <f>IFERROR(IF(VLOOKUP(A1632,[11]PRIORIZADOS!$A:$R,18,FALSE)="","",VLOOKUP(A1632,[11]PRIORIZADOS!$A:$R,18,FALSE)),"")</f>
        <v>El colegio es muy disciplinado y metódico en el registro de la información del proceso académico de los estudiantes, cuentan con una plataforma que arroja diversos análisis cuantitativos que permite ver el avance y el desempeño de los estudiantes en tiempo real.</v>
      </c>
      <c r="S1632" s="11" t="str">
        <f>IFERROR(IF(VLOOKUP(A1632,[11]PRIORIZADOS!$A:$S,19,FALSE)="","",VLOOKUP(A1632,[11]PRIORIZADOS!$A:$S,19,FALSE)),"")</f>
        <v xml:space="preserve">Cuentan con evidencias de la participación de la comunidad educativa en su construcción. </v>
      </c>
      <c r="T1632" s="70" t="str">
        <f>IFERROR(IF(VLOOKUP(A1632,[11]PRIORIZADOS!$A:$T,20,FALSE)="","",VLOOKUP(A1632,[11]PRIORIZADOS!$A:$T,20,FALSE)),"")</f>
        <v>No</v>
      </c>
      <c r="U1632" s="11" t="str">
        <f>IFERROR(IF(VLOOKUP(A1632,[11]PRIORIZADOS!$A:$U,21,FALSE)="","",VLOOKUP(A1632,[11]PRIORIZADOS!$A:$U,21,FALSE)),"")</f>
        <v>Verificar en caso de una queja</v>
      </c>
    </row>
    <row r="1633" spans="1:21" s="1" customFormat="1" ht="72">
      <c r="A1633" s="69">
        <f>IF([11]PRIORIZADOS!A144="","",[11]PRIORIZADOS!A144)</f>
        <v>1600</v>
      </c>
      <c r="B1633" s="70">
        <v>15</v>
      </c>
      <c r="C1633" s="11" t="str">
        <f>IFERROR(IF(VLOOKUP(A1633,[11]PRIORIZADOS!$A:$C,3,FALSE)="","",VLOOKUP(A1633,[11]PRIORIZADOS!$A:$C,3,FALSE)),"")</f>
        <v>RAFAEL URIBE URIBE</v>
      </c>
      <c r="D1633" s="11" t="str">
        <f>IFERROR(IF(VLOOKUP(A1633,[11]PRIORIZADOS!$A:$D,4,FALSE)="","",VLOOKUP(A1633,[11]PRIORIZADOS!$A:$D,4,FALSE)),"")</f>
        <v>PRIVADO</v>
      </c>
      <c r="E1633" s="11" t="str">
        <f>IFERROR(IF(VLOOKUP(A1633,[11]PRIORIZADOS!$A:$E,5,FALSE)="","",VLOOKUP(A1633,[11]PRIORIZADOS!$A:$E,5,FALSE)),"")</f>
        <v>EPBM</v>
      </c>
      <c r="F1633" s="11" t="str">
        <f>IFERROR(IF(VLOOKUP(A1633,[11]PRIORIZADOS!$A:$F,6,FALSE)="","",VLOOKUP(A1633,[11]PRIORIZADOS!$A:$F,6,FALSE)),"")</f>
        <v>GIMNASIO_SAN_JOSE</v>
      </c>
      <c r="G1633" s="11" t="str">
        <f>IFERROR(IF(VLOOKUP(A1633,[11]PRIORIZADOS!$A:$G,7,FALSE)="","",VLOOKUP(A1633,[11]PRIORIZADOS!$A:$G,7,FALSE)),"")</f>
        <v>GIMNASIO_SAN_JOSE</v>
      </c>
      <c r="H1633" s="11" t="str">
        <f>IFERROR(IF(VLOOKUP(A1633,[11]PRIORIZADOS!$A:$H,8,FALSE)="","",VLOOKUP(A1633,[11]PRIORIZADOS!$A:$H,8,FALSE)),"")</f>
        <v>Autoevaluación Institucional y Pruebas SABER 11</v>
      </c>
      <c r="I1633" s="11" t="str">
        <f>IFERROR(IF(VLOOKUP(A1633,[11]PRIORIZADOS!$A:$I,9,FALSE)="","",VLOOKUP(A1633,[11]PRIORIZADOS!$A:$I,9,FALSE)),"")</f>
        <v>EVALUACIÓN_CON_FINES_DE_MEJORAMIENTO.</v>
      </c>
      <c r="J1633" s="11" t="str">
        <f>IFERROR(IF(VLOOKUP(A1633,[11]PRIORIZADOS!$A:$J,10,FALSE)="","",VLOOKUP(A1633,[11]PRIORIZADOS!$A:$J,10,FALSE)),"")</f>
        <v>Revisar el calendario escolar, jornada escolar, la intensidad horaria mínima anual en cada nivel y las modificaciones que se realicen al mismo, de acuerdo con lo previsto en la normatividad vigente.</v>
      </c>
      <c r="K1633" s="11" t="str">
        <f>IFERROR(IF(VLOOKUP(A1633,[11]PRIORIZADOS!$A:$K,11,FALSE)="","",VLOOKUP(A1633,[11]PRIORIZADOS!$A:$K,11,FALSE)),"")</f>
        <v>DORY CONSTANZA SANCHEZ ARAGÓN</v>
      </c>
      <c r="L1633" s="11" t="str">
        <f>IFERROR(IF(VLOOKUP(A1633,[11]PRIORIZADOS!$A:$L,12,FALSE)="","",VLOOKUP(A1633,[11]PRIORIZADOS!$A:$L,12,FALSE)),"")</f>
        <v>BEPCI YADIRA MINA ZAPATA</v>
      </c>
      <c r="M1633" s="71">
        <f>IFERROR(IF(VLOOKUP(A1633,[11]PRIORIZADOS!$A:$M,13,FALSE)="","",VLOOKUP(A1633,[11]PRIORIZADOS!$A:$M,13,FALSE)),"")</f>
        <v>45867</v>
      </c>
      <c r="N1633" s="71">
        <f>IFERROR(IF(VLOOKUP(A1633,[11]PRIORIZADOS!$A:$N,14,FALSE)="","",VLOOKUP(A1633,[11]PRIORIZADOS!$A:$N,14,FALSE)),"")</f>
        <v>45870</v>
      </c>
      <c r="O1633" s="71">
        <f>IFERROR(IF(VLOOKUP(A1633,[11]PRIORIZADOS!$A:$O,15,FALSE)="","",VLOOKUP(A1633,[11]PRIORIZADOS!$A:$O,15,FALSE)),"")</f>
        <v>45873</v>
      </c>
      <c r="P1633" s="11" t="str">
        <f>IFERROR(IF(VLOOKUP(A1633,[11]PRIORIZADOS!$A:$P,16,FALSE)="","",VLOOKUP(A1633,[11]PRIORIZADOS!$A:$P,16,FALSE)),"")</f>
        <v>Visitas de evaluación con fines de mejoramiento</v>
      </c>
      <c r="Q1633" s="37" t="s">
        <v>371</v>
      </c>
      <c r="R1633" s="11" t="str">
        <f>IFERROR(IF(VLOOKUP(A1633,[11]PRIORIZADOS!$A:$R,18,FALSE)="","",VLOOKUP(A1633,[11]PRIORIZADOS!$A:$R,18,FALSE)),"")</f>
        <v>Se evidencia desde la estructura del plan de estudios presentado en el PEI y los tiempos propuestos en el Calendario Académico el colegio da cumplimiento a la intensidad horaria mínima requerida desde la normatividad vigente.</v>
      </c>
      <c r="S1633" s="11" t="str">
        <f>IFERROR(IF(VLOOKUP(A1633,[11]PRIORIZADOS!$A:$S,19,FALSE)="","",VLOOKUP(A1633,[11]PRIORIZADOS!$A:$S,19,FALSE)),"")</f>
        <v>Dar cumplimiento a lo establecido en el calendario</v>
      </c>
      <c r="T1633" s="70" t="str">
        <f>IFERROR(IF(VLOOKUP(A1633,[11]PRIORIZADOS!$A:$T,20,FALSE)="","",VLOOKUP(A1633,[11]PRIORIZADOS!$A:$T,20,FALSE)),"")</f>
        <v>No</v>
      </c>
      <c r="U1633" s="11" t="str">
        <f>IFERROR(IF(VLOOKUP(A1633,[11]PRIORIZADOS!$A:$U,21,FALSE)="","",VLOOKUP(A1633,[11]PRIORIZADOS!$A:$U,21,FALSE)),"")</f>
        <v>Verificar en caso de presentarse una queja</v>
      </c>
    </row>
    <row r="1634" spans="1:21" s="1" customFormat="1" ht="48">
      <c r="A1634" s="69">
        <f>IF([11]PRIORIZADOS!A145="","",[11]PRIORIZADOS!A145)</f>
        <v>1601</v>
      </c>
      <c r="B1634" s="70">
        <v>15</v>
      </c>
      <c r="C1634" s="11" t="str">
        <f>IFERROR(IF(VLOOKUP(A1634,[11]PRIORIZADOS!$A:$C,3,FALSE)="","",VLOOKUP(A1634,[11]PRIORIZADOS!$A:$C,3,FALSE)),"")</f>
        <v>RAFAEL URIBE URIBE</v>
      </c>
      <c r="D1634" s="11" t="str">
        <f>IFERROR(IF(VLOOKUP(A1634,[11]PRIORIZADOS!$A:$D,4,FALSE)="","",VLOOKUP(A1634,[11]PRIORIZADOS!$A:$D,4,FALSE)),"")</f>
        <v>PRIVADO</v>
      </c>
      <c r="E1634" s="11" t="str">
        <f>IFERROR(IF(VLOOKUP(A1634,[11]PRIORIZADOS!$A:$E,5,FALSE)="","",VLOOKUP(A1634,[11]PRIORIZADOS!$A:$E,5,FALSE)),"")</f>
        <v>EPBM</v>
      </c>
      <c r="F1634" s="11" t="str">
        <f>IFERROR(IF(VLOOKUP(A1634,[11]PRIORIZADOS!$A:$F,6,FALSE)="","",VLOOKUP(A1634,[11]PRIORIZADOS!$A:$F,6,FALSE)),"")</f>
        <v>GIMNASIO_SAN_JOSE</v>
      </c>
      <c r="G1634" s="11" t="str">
        <f>IFERROR(IF(VLOOKUP(A1634,[11]PRIORIZADOS!$A:$G,7,FALSE)="","",VLOOKUP(A1634,[11]PRIORIZADOS!$A:$G,7,FALSE)),"")</f>
        <v>GIMNASIO_SAN_JOSE</v>
      </c>
      <c r="H1634" s="11" t="str">
        <f>IFERROR(IF(VLOOKUP(A1634,[11]PRIORIZADOS!$A:$H,8,FALSE)="","",VLOOKUP(A1634,[11]PRIORIZADOS!$A:$H,8,FALSE)),"")</f>
        <v>Autoevaluación Institucional y Pruebas SABER 11</v>
      </c>
      <c r="I1634" s="11" t="str">
        <f>IFERROR(IF(VLOOKUP(A1634,[11]PRIORIZADOS!$A:$I,9,FALSE)="","",VLOOKUP(A1634,[11]PRIORIZADOS!$A:$I,9,FALSE)),"")</f>
        <v>EVALUACIÓN_CON_FINES_DE_MEJORAMIENTO.</v>
      </c>
      <c r="J1634" s="11" t="str">
        <f>IFERROR(IF(VLOOKUP(A1634,[11]PRIORIZADOS!$A:$J,10,FALSE)="","",VLOOKUP(A1634,[11]PRIORIZADOS!$A:$J,10,FALSE)),"")</f>
        <v>Verificar el funcionamiento del Gobierno Escolar e instancias de participación con base en la información sobre conformación reportada por la institución educativa.</v>
      </c>
      <c r="K1634" s="11" t="str">
        <f>IFERROR(IF(VLOOKUP(A1634,[11]PRIORIZADOS!$A:$K,11,FALSE)="","",VLOOKUP(A1634,[11]PRIORIZADOS!$A:$K,11,FALSE)),"")</f>
        <v>DORY CONSTANZA SANCHEZ ARAGÓN</v>
      </c>
      <c r="L1634" s="11" t="str">
        <f>IFERROR(IF(VLOOKUP(A1634,[11]PRIORIZADOS!$A:$L,12,FALSE)="","",VLOOKUP(A1634,[11]PRIORIZADOS!$A:$L,12,FALSE)),"")</f>
        <v>BEPCI YADIRA MINA ZAPATA</v>
      </c>
      <c r="M1634" s="71">
        <f>IFERROR(IF(VLOOKUP(A1634,[11]PRIORIZADOS!$A:$M,13,FALSE)="","",VLOOKUP(A1634,[11]PRIORIZADOS!$A:$M,13,FALSE)),"")</f>
        <v>45867</v>
      </c>
      <c r="N1634" s="71">
        <f>IFERROR(IF(VLOOKUP(A1634,[11]PRIORIZADOS!$A:$N,14,FALSE)="","",VLOOKUP(A1634,[11]PRIORIZADOS!$A:$N,14,FALSE)),"")</f>
        <v>45870</v>
      </c>
      <c r="O1634" s="71">
        <f>IFERROR(IF(VLOOKUP(A1634,[11]PRIORIZADOS!$A:$O,15,FALSE)="","",VLOOKUP(A1634,[11]PRIORIZADOS!$A:$O,15,FALSE)),"")</f>
        <v>45873</v>
      </c>
      <c r="P1634" s="11" t="str">
        <f>IFERROR(IF(VLOOKUP(A1634,[11]PRIORIZADOS!$A:$P,16,FALSE)="","",VLOOKUP(A1634,[11]PRIORIZADOS!$A:$P,16,FALSE)),"")</f>
        <v>Visitas de evaluación con fines de mejoramiento</v>
      </c>
      <c r="Q1634" s="37" t="s">
        <v>371</v>
      </c>
      <c r="R1634" s="11" t="str">
        <f>IFERROR(IF(VLOOKUP(A1634,[11]PRIORIZADOS!$A:$R,18,FALSE)="","",VLOOKUP(A1634,[11]PRIORIZADOS!$A:$R,18,FALSE)),"")</f>
        <v>Se evidencian actas de funcionamiento de los organos del Gobierno Escolar e instancias de participación.</v>
      </c>
      <c r="S1634" s="11" t="str">
        <f>IFERROR(IF(VLOOKUP(A1634,[11]PRIORIZADOS!$A:$S,19,FALSE)="","",VLOOKUP(A1634,[11]PRIORIZADOS!$A:$S,19,FALSE)),"")</f>
        <v>Continuar con las reuniones de los organos del Gobierno Escolar e instancias de participación con las respectivas actas.</v>
      </c>
      <c r="T1634" s="70" t="str">
        <f>IFERROR(IF(VLOOKUP(A1634,[11]PRIORIZADOS!$A:$T,20,FALSE)="","",VLOOKUP(A1634,[11]PRIORIZADOS!$A:$T,20,FALSE)),"")</f>
        <v>No</v>
      </c>
      <c r="U1634" s="11" t="str">
        <f>IFERROR(IF(VLOOKUP(A1634,[11]PRIORIZADOS!$A:$U,21,FALSE)="","",VLOOKUP(A1634,[11]PRIORIZADOS!$A:$U,21,FALSE)),"")</f>
        <v>Verificar en caso de presentarse una queja</v>
      </c>
    </row>
    <row r="1635" spans="1:21" s="1" customFormat="1" ht="48">
      <c r="A1635" s="69">
        <f>IF([11]PRIORIZADOS!A146="","",[11]PRIORIZADOS!A146)</f>
        <v>1602</v>
      </c>
      <c r="B1635" s="70">
        <v>15</v>
      </c>
      <c r="C1635" s="11" t="str">
        <f>IFERROR(IF(VLOOKUP(A1635,[11]PRIORIZADOS!$A:$C,3,FALSE)="","",VLOOKUP(A1635,[11]PRIORIZADOS!$A:$C,3,FALSE)),"")</f>
        <v>RAFAEL URIBE URIBE</v>
      </c>
      <c r="D1635" s="11" t="str">
        <f>IFERROR(IF(VLOOKUP(A1635,[11]PRIORIZADOS!$A:$D,4,FALSE)="","",VLOOKUP(A1635,[11]PRIORIZADOS!$A:$D,4,FALSE)),"")</f>
        <v>PRIVADO</v>
      </c>
      <c r="E1635" s="11" t="str">
        <f>IFERROR(IF(VLOOKUP(A1635,[11]PRIORIZADOS!$A:$E,5,FALSE)="","",VLOOKUP(A1635,[11]PRIORIZADOS!$A:$E,5,FALSE)),"")</f>
        <v>EPBM</v>
      </c>
      <c r="F1635" s="11" t="str">
        <f>IFERROR(IF(VLOOKUP(A1635,[11]PRIORIZADOS!$A:$F,6,FALSE)="","",VLOOKUP(A1635,[11]PRIORIZADOS!$A:$F,6,FALSE)),"")</f>
        <v>GIMNASIO_SAN_JOSE</v>
      </c>
      <c r="G1635" s="11" t="str">
        <f>IFERROR(IF(VLOOKUP(A1635,[11]PRIORIZADOS!$A:$G,7,FALSE)="","",VLOOKUP(A1635,[11]PRIORIZADOS!$A:$G,7,FALSE)),"")</f>
        <v>GIMNASIO_SAN_JOSE</v>
      </c>
      <c r="H1635" s="11" t="str">
        <f>IFERROR(IF(VLOOKUP(A1635,[11]PRIORIZADOS!$A:$H,8,FALSE)="","",VLOOKUP(A1635,[11]PRIORIZADOS!$A:$H,8,FALSE)),"")</f>
        <v>Autoevaluación Institucional y Pruebas SABER 11</v>
      </c>
      <c r="I1635" s="11" t="str">
        <f>IFERROR(IF(VLOOKUP(A1635,[11]PRIORIZADOS!$A:$I,9,FALSE)="","",VLOOKUP(A1635,[11]PRIORIZADOS!$A:$I,9,FALSE)),"")</f>
        <v>EVALUACIÓN_CON_FINES_DE_MEJORAMIENTO.</v>
      </c>
      <c r="J1635" s="11" t="str">
        <f>IFERROR(IF(VLOOKUP(A1635,[11]PRIORIZADOS!$A:$J,10,FALSE)="","",VLOOKUP(A1635,[11]PRIORIZADOS!$A:$J,10,FALSE)),"")</f>
        <v>Verificar las condiciones en cuanto a: la estructura administrativa, condiciones de la planta física y medios educativos adecuados.</v>
      </c>
      <c r="K1635" s="11" t="str">
        <f>IFERROR(IF(VLOOKUP(A1635,[11]PRIORIZADOS!$A:$K,11,FALSE)="","",VLOOKUP(A1635,[11]PRIORIZADOS!$A:$K,11,FALSE)),"")</f>
        <v>DORY CONSTANZA SANCHEZ ARAGÓN</v>
      </c>
      <c r="L1635" s="11" t="str">
        <f>IFERROR(IF(VLOOKUP(A1635,[11]PRIORIZADOS!$A:$L,12,FALSE)="","",VLOOKUP(A1635,[11]PRIORIZADOS!$A:$L,12,FALSE)),"")</f>
        <v>BEPCI YADIRA MINA ZAPATA</v>
      </c>
      <c r="M1635" s="71">
        <f>IFERROR(IF(VLOOKUP(A1635,[11]PRIORIZADOS!$A:$M,13,FALSE)="","",VLOOKUP(A1635,[11]PRIORIZADOS!$A:$M,13,FALSE)),"")</f>
        <v>45867</v>
      </c>
      <c r="N1635" s="71">
        <f>IFERROR(IF(VLOOKUP(A1635,[11]PRIORIZADOS!$A:$N,14,FALSE)="","",VLOOKUP(A1635,[11]PRIORIZADOS!$A:$N,14,FALSE)),"")</f>
        <v>45870</v>
      </c>
      <c r="O1635" s="71">
        <f>IFERROR(IF(VLOOKUP(A1635,[11]PRIORIZADOS!$A:$O,15,FALSE)="","",VLOOKUP(A1635,[11]PRIORIZADOS!$A:$O,15,FALSE)),"")</f>
        <v>45873</v>
      </c>
      <c r="P1635" s="11" t="str">
        <f>IFERROR(IF(VLOOKUP(A1635,[11]PRIORIZADOS!$A:$P,16,FALSE)="","",VLOOKUP(A1635,[11]PRIORIZADOS!$A:$P,16,FALSE)),"")</f>
        <v>Visitas de evaluación con fines de mejoramiento</v>
      </c>
      <c r="Q1635" s="238" t="s">
        <v>371</v>
      </c>
      <c r="R1635" s="11" t="str">
        <f>IFERROR(IF(VLOOKUP(A1635,[11]PRIORIZADOS!$A:$R,18,FALSE)="","",VLOOKUP(A1635,[11]PRIORIZADOS!$A:$R,18,FALSE)),"")</f>
        <v>Cuenta con 1 sede de 3 pisos, con 12 aulas, oficinas (rectoria, coordinaciones, orientación), enfermeria, laboratorios, salon danzas, 2 patios, espacio preescolar.</v>
      </c>
      <c r="S1635" s="11" t="str">
        <f>IFERROR(IF(VLOOKUP(A1635,[11]PRIORIZADOS!$A:$S,19,FALSE)="","",VLOOKUP(A1635,[11]PRIORIZADOS!$A:$S,19,FALSE)),"")</f>
        <v>Se evidencio que la institución cuenta con ambientes de aprendizaje adecuados, con buena iluminación y ventilación</v>
      </c>
      <c r="T1635" s="70" t="str">
        <f>IFERROR(IF(VLOOKUP(A1635,[11]PRIORIZADOS!$A:$T,20,FALSE)="","",VLOOKUP(A1635,[11]PRIORIZADOS!$A:$T,20,FALSE)),"")</f>
        <v>No</v>
      </c>
      <c r="U1635" s="11" t="str">
        <f>IFERROR(IF(VLOOKUP(A1635,[11]PRIORIZADOS!$A:$U,21,FALSE)="","",VLOOKUP(A1635,[11]PRIORIZADOS!$A:$U,21,FALSE)),"")</f>
        <v>Verificar en caso de presentarse una queja</v>
      </c>
    </row>
    <row r="1636" spans="1:21" s="1" customFormat="1" ht="60">
      <c r="A1636" s="69">
        <f>IF([11]PRIORIZADOS!A147="","",[11]PRIORIZADOS!A147)</f>
        <v>1603</v>
      </c>
      <c r="B1636" s="70">
        <f>IFERROR(IF(VLOOKUP(A1636,[11]PRIORIZADOS!$A:$B,2,FALSE)="","",VLOOKUP(A1636,[11]PRIORIZADOS!$A:$B,2,FALSE)),"")</f>
        <v>16</v>
      </c>
      <c r="C1636" s="11" t="str">
        <f>IFERROR(IF(VLOOKUP(A1636,[11]PRIORIZADOS!$A:$C,3,FALSE)="","",VLOOKUP(A1636,[11]PRIORIZADOS!$A:$C,3,FALSE)),"")</f>
        <v>RAFAEL URIBE URIBE</v>
      </c>
      <c r="D1636" s="11" t="str">
        <f>IFERROR(IF(VLOOKUP(A1636,[11]PRIORIZADOS!$A:$D,4,FALSE)="","",VLOOKUP(A1636,[11]PRIORIZADOS!$A:$D,4,FALSE)),"")</f>
        <v>PRIVADO</v>
      </c>
      <c r="E1636" s="11" t="str">
        <f>IFERROR(IF(VLOOKUP(A1636,[11]PRIORIZADOS!$A:$E,5,FALSE)="","",VLOOKUP(A1636,[11]PRIORIZADOS!$A:$E,5,FALSE)),"")</f>
        <v>EPBM</v>
      </c>
      <c r="F1636" s="11" t="str">
        <f>IFERROR(IF(VLOOKUP(A1636,[11]PRIORIZADOS!$A:$F,6,FALSE)="","",VLOOKUP(A1636,[11]PRIORIZADOS!$A:$F,6,FALSE)),"")</f>
        <v>LICEO_PARROQUIAL_SAN_JOSE</v>
      </c>
      <c r="G1636" s="11" t="str">
        <f>IFERROR(IF(VLOOKUP(A1636,[11]PRIORIZADOS!$A:$G,7,FALSE)="","",VLOOKUP(A1636,[11]PRIORIZADOS!$A:$G,7,FALSE)),"")</f>
        <v>LICEO_PARROQUIAL_SAN_JOSE</v>
      </c>
      <c r="H1636" s="11" t="str">
        <f>IFERROR(IF(VLOOKUP(A1636,[11]PRIORIZADOS!$A:$H,8,FALSE)="","",VLOOKUP(A1636,[11]PRIORIZADOS!$A:$H,8,FALSE)),"")</f>
        <v>Autoevaluación Institucional y Pruebas SABER 11</v>
      </c>
      <c r="I1636" s="11" t="str">
        <f>IFERROR(IF(VLOOKUP(A1636,[11]PRIORIZADOS!$A:$I,9,FALSE)="","",VLOOKUP(A1636,[11]PRIORIZADOS!$A:$I,9,FALSE)),"")</f>
        <v>SEGUIMIENTO_Y_SUPERVISIÓN.</v>
      </c>
      <c r="J1636" s="11" t="str">
        <f>IFERROR(IF(VLOOKUP(A1636,[11]PRIORIZADOS!$A:$J,10,FALSE)="","",VLOOKUP(A1636,[11]PRIORIZADOS!$A:$J,10,FALSE)),"")</f>
        <v>Realizar visitas para verificar la información registrada sobre la autoevaluación institucional en el aplicativo EVI, a los establecimientos de educación formal no oficial.</v>
      </c>
      <c r="K1636" s="11" t="str">
        <f>IFERROR(IF(VLOOKUP(A1636,[11]PRIORIZADOS!$A:$K,11,FALSE)="","",VLOOKUP(A1636,[11]PRIORIZADOS!$A:$K,11,FALSE)),"")</f>
        <v>BEPCI YADIRA MINA ZAPATA</v>
      </c>
      <c r="L1636" s="11" t="str">
        <f>IFERROR(IF(VLOOKUP(A1636,[11]PRIORIZADOS!$A:$L,12,FALSE)="","",VLOOKUP(A1636,[11]PRIORIZADOS!$A:$L,12,FALSE)),"")</f>
        <v>DORY CONSTANZA SANCHEZ ARAGÓN</v>
      </c>
      <c r="M1636" s="71">
        <f>IFERROR(IF(VLOOKUP(A1636,[11]PRIORIZADOS!$A:$M,13,FALSE)="","",VLOOKUP(A1636,[11]PRIORIZADOS!$A:$M,13,FALSE)),"")</f>
        <v>45874</v>
      </c>
      <c r="N1636" s="71">
        <f>IFERROR(IF(VLOOKUP(A1636,[11]PRIORIZADOS!$A:$N,14,FALSE)="","",VLOOKUP(A1636,[11]PRIORIZADOS!$A:$N,14,FALSE)),"")</f>
        <v>45874</v>
      </c>
      <c r="O1636" s="71">
        <f>IFERROR(IF(VLOOKUP(A1636,[11]PRIORIZADOS!$A:$O,15,FALSE)="","",VLOOKUP(A1636,[11]PRIORIZADOS!$A:$O,15,FALSE)),"")</f>
        <v>45880</v>
      </c>
      <c r="P1636" s="11" t="str">
        <f>IFERROR(IF(VLOOKUP(A1636,[11]PRIORIZADOS!$A:$P,16,FALSE)="","",VLOOKUP(A1636,[11]PRIORIZADOS!$A:$P,16,FALSE)),"")</f>
        <v>Visitas de evaluación con fines de mejoramiento</v>
      </c>
      <c r="Q1636" s="5" t="s">
        <v>372</v>
      </c>
      <c r="R1636" s="11" t="str">
        <f>IFERROR(IF(VLOOKUP(A1636,[11]PRIORIZADOS!$A:$R,18,FALSE)="","",VLOOKUP(A1636,[11]PRIORIZADOS!$A:$R,18,FALSE)),"")</f>
        <v>Se evidencia que los docentes se encuentran con contrato laboral y  pago de seguridad social.
Planta física acorde con espacios pedagogícos adecuados.</v>
      </c>
      <c r="S1636" s="11" t="str">
        <f>IFERROR(IF(VLOOKUP(A1636,[11]PRIORIZADOS!$A:$S,19,FALSE)="","",VLOOKUP(A1636,[11]PRIORIZADOS!$A:$S,19,FALSE)),"")</f>
        <v>Continuar con la contratación y pago de seguridad social de los docentes</v>
      </c>
      <c r="T1636" s="70" t="str">
        <f>IFERROR(IF(VLOOKUP(A1636,[11]PRIORIZADOS!$A:$T,20,FALSE)="","",VLOOKUP(A1636,[11]PRIORIZADOS!$A:$T,20,FALSE)),"")</f>
        <v>No</v>
      </c>
      <c r="U1636" s="11" t="str">
        <f>IFERROR(IF(VLOOKUP(A1636,[11]PRIORIZADOS!$A:$U,21,FALSE)="","",VLOOKUP(A1636,[11]PRIORIZADOS!$A:$U,21,FALSE)),"")</f>
        <v>Verificar en caso de algun reqiuerimiento o queja</v>
      </c>
    </row>
    <row r="1637" spans="1:21" s="1" customFormat="1" ht="84">
      <c r="A1637" s="69">
        <f>IF([11]PRIORIZADOS!A148="","",[11]PRIORIZADOS!A148)</f>
        <v>1604</v>
      </c>
      <c r="B1637" s="70">
        <v>16</v>
      </c>
      <c r="C1637" s="11" t="str">
        <f>IFERROR(IF(VLOOKUP(A1637,[11]PRIORIZADOS!$A:$C,3,FALSE)="","",VLOOKUP(A1637,[11]PRIORIZADOS!$A:$C,3,FALSE)),"")</f>
        <v>RAFAEL URIBE URIBE</v>
      </c>
      <c r="D1637" s="11" t="str">
        <f>IFERROR(IF(VLOOKUP(A1637,[11]PRIORIZADOS!$A:$D,4,FALSE)="","",VLOOKUP(A1637,[11]PRIORIZADOS!$A:$D,4,FALSE)),"")</f>
        <v>PRIVADO</v>
      </c>
      <c r="E1637" s="11" t="str">
        <f>IFERROR(IF(VLOOKUP(A1637,[11]PRIORIZADOS!$A:$E,5,FALSE)="","",VLOOKUP(A1637,[11]PRIORIZADOS!$A:$E,5,FALSE)),"")</f>
        <v>EPBM</v>
      </c>
      <c r="F1637" s="11" t="str">
        <f>IFERROR(IF(VLOOKUP(A1637,[11]PRIORIZADOS!$A:$F,6,FALSE)="","",VLOOKUP(A1637,[11]PRIORIZADOS!$A:$F,6,FALSE)),"")</f>
        <v>LICEO_PARROQUIAL_SAN_JOSE</v>
      </c>
      <c r="G1637" s="11" t="str">
        <f>IFERROR(IF(VLOOKUP(A1637,[11]PRIORIZADOS!$A:$G,7,FALSE)="","",VLOOKUP(A1637,[11]PRIORIZADOS!$A:$G,7,FALSE)),"")</f>
        <v>LICEO_PARROQUIAL_SAN_JOSE</v>
      </c>
      <c r="H1637" s="11" t="str">
        <f>IFERROR(IF(VLOOKUP(A1637,[11]PRIORIZADOS!$A:$H,8,FALSE)="","",VLOOKUP(A1637,[11]PRIORIZADOS!$A:$H,8,FALSE)),"")</f>
        <v>Autoevaluación Institucional y Pruebas SABER 11</v>
      </c>
      <c r="I1637" s="11" t="str">
        <f>IFERROR(IF(VLOOKUP(A1637,[11]PRIORIZADOS!$A:$I,9,FALSE)="","",VLOOKUP(A1637,[11]PRIORIZADOS!$A:$I,9,FALSE)),"")</f>
        <v>SEGUIMIENTO_Y_SUPERVISIÓN.</v>
      </c>
      <c r="J1637" s="11" t="str">
        <f>IFERROR(IF(VLOOKUP(A1637,[11]PRIORIZADOS!$A:$J,10,FALSE)="","",VLOOKUP(A1637,[11]PRIORIZADOS!$A:$J,10,FALSE)),"")</f>
        <v>Proponer estrategias en la formulación, verificar su elaboración y realizar seguimiento semestral al desarrollo de  las acciones establecidas en los planes de mejoramiento por pruebas SABER 11 de los establecimientos de educación formal.</v>
      </c>
      <c r="K1637" s="11" t="str">
        <f>IFERROR(IF(VLOOKUP(A1637,[11]PRIORIZADOS!$A:$K,11,FALSE)="","",VLOOKUP(A1637,[11]PRIORIZADOS!$A:$K,11,FALSE)),"")</f>
        <v>BEPCI YADIRA MINA ZAPATA</v>
      </c>
      <c r="L1637" s="11" t="str">
        <f>IFERROR(IF(VLOOKUP(A1637,[11]PRIORIZADOS!$A:$L,12,FALSE)="","",VLOOKUP(A1637,[11]PRIORIZADOS!$A:$L,12,FALSE)),"")</f>
        <v>DORY CONSTANZA SANCHEZ ARAGÓN</v>
      </c>
      <c r="M1637" s="71">
        <f>IFERROR(IF(VLOOKUP(A1637,[11]PRIORIZADOS!$A:$M,13,FALSE)="","",VLOOKUP(A1637,[11]PRIORIZADOS!$A:$M,13,FALSE)),"")</f>
        <v>45874</v>
      </c>
      <c r="N1637" s="71">
        <f>IFERROR(IF(VLOOKUP(A1637,[11]PRIORIZADOS!$A:$N,14,FALSE)="","",VLOOKUP(A1637,[11]PRIORIZADOS!$A:$N,14,FALSE)),"")</f>
        <v>45874</v>
      </c>
      <c r="O1637" s="71">
        <f>IFERROR(IF(VLOOKUP(A1637,[11]PRIORIZADOS!$A:$O,15,FALSE)="","",VLOOKUP(A1637,[11]PRIORIZADOS!$A:$O,15,FALSE)),"")</f>
        <v>45880</v>
      </c>
      <c r="P1637" s="11" t="str">
        <f>IFERROR(IF(VLOOKUP(A1637,[11]PRIORIZADOS!$A:$P,16,FALSE)="","",VLOOKUP(A1637,[11]PRIORIZADOS!$A:$P,16,FALSE)),"")</f>
        <v>Visitas de evaluación con fines de mejoramiento</v>
      </c>
      <c r="Q1637" s="5" t="s">
        <v>372</v>
      </c>
      <c r="R1637" s="11" t="str">
        <f>IFERROR(IF(VLOOKUP(A1637,[11]PRIORIZADOS!$A:$R,18,FALSE)="","",VLOOKUP(A1637,[11]PRIORIZADOS!$A:$R,18,FALSE)),"")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637" s="11" t="str">
        <f>IFERROR(IF(VLOOKUP(A1637,[11]PRIORIZADOS!$A:$S,19,FALSE)="","",VLOOKUP(A1637,[11]PRIORIZADOS!$A:$S,19,FALSE)),"")</f>
        <v>Realizar analisis de las Pruebas Saber y establecer acciones pertinentes. Presentar plan de mejoramiento el 11 de septiembre de 2025</v>
      </c>
      <c r="T1637" s="70" t="str">
        <f>IFERROR(IF(VLOOKUP(A1637,[11]PRIORIZADOS!$A:$T,20,FALSE)="","",VLOOKUP(A1637,[11]PRIORIZADOS!$A:$T,20,FALSE)),"")</f>
        <v>Si</v>
      </c>
      <c r="U1637" s="11" t="str">
        <f>IFERROR(IF(VLOOKUP(A1637,[11]PRIORIZADOS!$A:$U,21,FALSE)="","",VLOOKUP(A1637,[11]PRIORIZADOS!$A:$U,21,FALSE)),"")</f>
        <v>Revisar PM y verificar que se ajuste a las observaciones realizadas.</v>
      </c>
    </row>
    <row r="1638" spans="1:21" s="1" customFormat="1" ht="72">
      <c r="A1638" s="69">
        <f>IF([11]PRIORIZADOS!A149="","",[11]PRIORIZADOS!A149)</f>
        <v>1605</v>
      </c>
      <c r="B1638" s="70">
        <v>16</v>
      </c>
      <c r="C1638" s="11" t="str">
        <f>IFERROR(IF(VLOOKUP(A1638,[11]PRIORIZADOS!$A:$C,3,FALSE)="","",VLOOKUP(A1638,[11]PRIORIZADOS!$A:$C,3,FALSE)),"")</f>
        <v>RAFAEL URIBE URIBE</v>
      </c>
      <c r="D1638" s="11" t="str">
        <f>IFERROR(IF(VLOOKUP(A1638,[11]PRIORIZADOS!$A:$D,4,FALSE)="","",VLOOKUP(A1638,[11]PRIORIZADOS!$A:$D,4,FALSE)),"")</f>
        <v>PRIVADO</v>
      </c>
      <c r="E1638" s="11" t="str">
        <f>IFERROR(IF(VLOOKUP(A1638,[11]PRIORIZADOS!$A:$E,5,FALSE)="","",VLOOKUP(A1638,[11]PRIORIZADOS!$A:$E,5,FALSE)),"")</f>
        <v>EPBM</v>
      </c>
      <c r="F1638" s="11" t="str">
        <f>IFERROR(IF(VLOOKUP(A1638,[11]PRIORIZADOS!$A:$F,6,FALSE)="","",VLOOKUP(A1638,[11]PRIORIZADOS!$A:$F,6,FALSE)),"")</f>
        <v>LICEO_PARROQUIAL_SAN_JOSE</v>
      </c>
      <c r="G1638" s="11" t="str">
        <f>IFERROR(IF(VLOOKUP(A1638,[11]PRIORIZADOS!$A:$G,7,FALSE)="","",VLOOKUP(A1638,[11]PRIORIZADOS!$A:$G,7,FALSE)),"")</f>
        <v>LICEO_PARROQUIAL_SAN_JOSE</v>
      </c>
      <c r="H1638" s="11" t="str">
        <f>IFERROR(IF(VLOOKUP(A1638,[11]PRIORIZADOS!$A:$H,8,FALSE)="","",VLOOKUP(A1638,[11]PRIORIZADOS!$A:$H,8,FALSE)),"")</f>
        <v>Autoevaluación Institucional y Pruebas SABER 11</v>
      </c>
      <c r="I1638" s="11" t="str">
        <f>IFERROR(IF(VLOOKUP(A1638,[11]PRIORIZADOS!$A:$I,9,FALSE)="","",VLOOKUP(A1638,[11]PRIORIZADOS!$A:$I,9,FALSE)),"")</f>
        <v>SEGUIMIENTO_Y_SUPERVISIÓN.</v>
      </c>
      <c r="J1638" s="11" t="str">
        <f>IFERROR(IF(VLOOKUP(A1638,[11]PRIORIZADOS!$A:$J,10,FALSE)="","",VLOOKUP(A1638,[11]PRIORIZADOS!$A:$J,10,FALSE)),"")</f>
        <v xml:space="preserve">Verificar la implementación por parte de los colegios, de acciones realizadas para la prevención y atención de las situaciones de convivencia en el entorno escolar, según lo establecido en la Directiva 01 de 2022 del MEN. </v>
      </c>
      <c r="K1638" s="11" t="str">
        <f>IFERROR(IF(VLOOKUP(A1638,[11]PRIORIZADOS!$A:$K,11,FALSE)="","",VLOOKUP(A1638,[11]PRIORIZADOS!$A:$K,11,FALSE)),"")</f>
        <v>BEPCI YADIRA MINA ZAPATA</v>
      </c>
      <c r="L1638" s="11" t="str">
        <f>IFERROR(IF(VLOOKUP(A1638,[11]PRIORIZADOS!$A:$L,12,FALSE)="","",VLOOKUP(A1638,[11]PRIORIZADOS!$A:$L,12,FALSE)),"")</f>
        <v>DORY CONSTANZA SANCHEZ ARAGÓN</v>
      </c>
      <c r="M1638" s="71">
        <f>IFERROR(IF(VLOOKUP(A1638,[11]PRIORIZADOS!$A:$M,13,FALSE)="","",VLOOKUP(A1638,[11]PRIORIZADOS!$A:$M,13,FALSE)),"")</f>
        <v>45874</v>
      </c>
      <c r="N1638" s="71">
        <f>IFERROR(IF(VLOOKUP(A1638,[11]PRIORIZADOS!$A:$N,14,FALSE)="","",VLOOKUP(A1638,[11]PRIORIZADOS!$A:$N,14,FALSE)),"")</f>
        <v>45874</v>
      </c>
      <c r="O1638" s="71">
        <f>IFERROR(IF(VLOOKUP(A1638,[11]PRIORIZADOS!$A:$O,15,FALSE)="","",VLOOKUP(A1638,[11]PRIORIZADOS!$A:$O,15,FALSE)),"")</f>
        <v>45880</v>
      </c>
      <c r="P1638" s="11" t="str">
        <f>IFERROR(IF(VLOOKUP(A1638,[11]PRIORIZADOS!$A:$P,16,FALSE)="","",VLOOKUP(A1638,[11]PRIORIZADOS!$A:$P,16,FALSE)),"")</f>
        <v>Visitas de evaluación con fines de mejoramiento</v>
      </c>
      <c r="Q1638" s="5" t="s">
        <v>372</v>
      </c>
      <c r="R1638" s="11" t="str">
        <f>IFERROR(IF(VLOOKUP(A1638,[11]PRIORIZADOS!$A:$R,18,FALSE)="","",VLOOKUP(A1638,[11]PRIORIZADOS!$A:$R,18,FALSE)),"")</f>
        <v>La institución no cuentan con actas donde se evidencie el funcionamiento del comité de convivencia escolar cada 2 meses.
Cuenta con verificacion de inhabilidadades una en año 2024 y otra en 2025</v>
      </c>
      <c r="S1638" s="11" t="str">
        <f>IFERROR(IF(VLOOKUP(A1638,[11]PRIORIZADOS!$A:$S,19,FALSE)="","",VLOOKUP(A1638,[11]PRIORIZADOS!$A:$S,19,FALSE)),"")</f>
        <v>El comite cde convivencia se debe reunir cada 2 meses.
Se debe realizar verificación de antecedente cada 4 meses. Presentar plan de mejoramiento el 11 de septiembre de 2025</v>
      </c>
      <c r="T1638" s="70" t="str">
        <f>IFERROR(IF(VLOOKUP(A1638,[11]PRIORIZADOS!$A:$T,20,FALSE)="","",VLOOKUP(A1638,[11]PRIORIZADOS!$A:$T,20,FALSE)),"")</f>
        <v>Si</v>
      </c>
      <c r="U1638" s="11" t="str">
        <f>IFERROR(IF(VLOOKUP(A1638,[11]PRIORIZADOS!$A:$U,21,FALSE)="","",VLOOKUP(A1638,[11]PRIORIZADOS!$A:$U,21,FALSE)),"")</f>
        <v>Revisar PM y verificar que se ajuste a las observaciones realizadas.</v>
      </c>
    </row>
    <row r="1639" spans="1:21" s="1" customFormat="1" ht="84">
      <c r="A1639" s="69">
        <f>IF([11]PRIORIZADOS!A150="","",[11]PRIORIZADOS!A150)</f>
        <v>1606</v>
      </c>
      <c r="B1639" s="70">
        <v>16</v>
      </c>
      <c r="C1639" s="11" t="str">
        <f>IFERROR(IF(VLOOKUP(A1639,[11]PRIORIZADOS!$A:$C,3,FALSE)="","",VLOOKUP(A1639,[11]PRIORIZADOS!$A:$C,3,FALSE)),"")</f>
        <v>RAFAEL URIBE URIBE</v>
      </c>
      <c r="D1639" s="11" t="str">
        <f>IFERROR(IF(VLOOKUP(A1639,[11]PRIORIZADOS!$A:$D,4,FALSE)="","",VLOOKUP(A1639,[11]PRIORIZADOS!$A:$D,4,FALSE)),"")</f>
        <v>PRIVADO</v>
      </c>
      <c r="E1639" s="11" t="str">
        <f>IFERROR(IF(VLOOKUP(A1639,[11]PRIORIZADOS!$A:$E,5,FALSE)="","",VLOOKUP(A1639,[11]PRIORIZADOS!$A:$E,5,FALSE)),"")</f>
        <v>EPBM</v>
      </c>
      <c r="F1639" s="11" t="str">
        <f>IFERROR(IF(VLOOKUP(A1639,[11]PRIORIZADOS!$A:$F,6,FALSE)="","",VLOOKUP(A1639,[11]PRIORIZADOS!$A:$F,6,FALSE)),"")</f>
        <v>LICEO_PARROQUIAL_SAN_JOSE</v>
      </c>
      <c r="G1639" s="11" t="str">
        <f>IFERROR(IF(VLOOKUP(A1639,[11]PRIORIZADOS!$A:$G,7,FALSE)="","",VLOOKUP(A1639,[11]PRIORIZADOS!$A:$G,7,FALSE)),"")</f>
        <v>LICEO_PARROQUIAL_SAN_JOSE</v>
      </c>
      <c r="H1639" s="11" t="str">
        <f>IFERROR(IF(VLOOKUP(A1639,[11]PRIORIZADOS!$A:$H,8,FALSE)="","",VLOOKUP(A1639,[11]PRIORIZADOS!$A:$H,8,FALSE)),"")</f>
        <v>Autoevaluación Institucional y Pruebas SABER 11</v>
      </c>
      <c r="I1639" s="11" t="str">
        <f>IFERROR(IF(VLOOKUP(A1639,[11]PRIORIZADOS!$A:$I,9,FALSE)="","",VLOOKUP(A1639,[11]PRIORIZADOS!$A:$I,9,FALSE)),"")</f>
        <v>SEGUIMIENTO_Y_SUPERVISIÓN.</v>
      </c>
      <c r="J1639" s="11" t="str">
        <f>IFERROR(IF(VLOOKUP(A1639,[11]PRIORIZADOS!$A:$J,10,FALSE)="","",VLOOKUP(A1639,[11]PRIORIZADOS!$A:$J,10,FALSE)),"")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39" s="11" t="str">
        <f>IFERROR(IF(VLOOKUP(A1639,[11]PRIORIZADOS!$A:$K,11,FALSE)="","",VLOOKUP(A1639,[11]PRIORIZADOS!$A:$K,11,FALSE)),"")</f>
        <v>BEPCI YADIRA MINA ZAPATA</v>
      </c>
      <c r="L1639" s="11" t="str">
        <f>IFERROR(IF(VLOOKUP(A1639,[11]PRIORIZADOS!$A:$L,12,FALSE)="","",VLOOKUP(A1639,[11]PRIORIZADOS!$A:$L,12,FALSE)),"")</f>
        <v>DORY CONSTANZA SANCHEZ ARAGÓN</v>
      </c>
      <c r="M1639" s="71">
        <f>IFERROR(IF(VLOOKUP(A1639,[11]PRIORIZADOS!$A:$M,13,FALSE)="","",VLOOKUP(A1639,[11]PRIORIZADOS!$A:$M,13,FALSE)),"")</f>
        <v>45874</v>
      </c>
      <c r="N1639" s="71">
        <f>IFERROR(IF(VLOOKUP(A1639,[11]PRIORIZADOS!$A:$N,14,FALSE)="","",VLOOKUP(A1639,[11]PRIORIZADOS!$A:$N,14,FALSE)),"")</f>
        <v>45874</v>
      </c>
      <c r="O1639" s="71">
        <f>IFERROR(IF(VLOOKUP(A1639,[11]PRIORIZADOS!$A:$O,15,FALSE)="","",VLOOKUP(A1639,[11]PRIORIZADOS!$A:$O,15,FALSE)),"")</f>
        <v>45880</v>
      </c>
      <c r="P1639" s="11" t="str">
        <f>IFERROR(IF(VLOOKUP(A1639,[11]PRIORIZADOS!$A:$P,16,FALSE)="","",VLOOKUP(A1639,[11]PRIORIZADOS!$A:$P,16,FALSE)),"")</f>
        <v>Visitas de evaluación con fines de mejoramiento</v>
      </c>
      <c r="Q1639" s="5" t="s">
        <v>372</v>
      </c>
      <c r="R1639" s="11" t="str">
        <f>IFERROR(IF(VLOOKUP(A1639,[11]PRIORIZADOS!$A:$R,18,FALSE)="","",VLOOKUP(A1639,[11]PRIORIZADOS!$A:$R,18,FALSE)),"")</f>
        <v xml:space="preserve">El colegio cuenta con unos PIAR muy bien realizados y fortalecidos, el colegio desde Orientación ha incorporado elementos valiosos en el diseño de los mismos que evidencia un seguimiento cercano y asertivo al proceso de cada estudiante. 
</v>
      </c>
      <c r="S1639" s="11" t="str">
        <f>IFERROR(IF(VLOOKUP(A1639,[11]PRIORIZADOS!$A:$S,19,FALSE)="","",VLOOKUP(A1639,[11]PRIORIZADOS!$A:$S,19,FALSE)),"")</f>
        <v>Continuar con los seguimientos y acompañamiento a los estudiantes con PIAR</v>
      </c>
      <c r="T1639" s="70" t="str">
        <f>IFERROR(IF(VLOOKUP(A1639,[11]PRIORIZADOS!$A:$T,20,FALSE)="","",VLOOKUP(A1639,[11]PRIORIZADOS!$A:$T,20,FALSE)),"")</f>
        <v>No</v>
      </c>
      <c r="U1639" s="11" t="str">
        <f>IFERROR(IF(VLOOKUP(A1639,[11]PRIORIZADOS!$A:$U,21,FALSE)="","",VLOOKUP(A1639,[11]PRIORIZADOS!$A:$U,21,FALSE)),"")</f>
        <v>Verificar en caso de algun reqiuerimiento o queja</v>
      </c>
    </row>
    <row r="1640" spans="1:21" s="1" customFormat="1" ht="96">
      <c r="A1640" s="69">
        <f>IF([11]PRIORIZADOS!A151="","",[11]PRIORIZADOS!A151)</f>
        <v>1607</v>
      </c>
      <c r="B1640" s="70">
        <v>16</v>
      </c>
      <c r="C1640" s="11" t="str">
        <f>IFERROR(IF(VLOOKUP(A1640,[11]PRIORIZADOS!$A:$C,3,FALSE)="","",VLOOKUP(A1640,[11]PRIORIZADOS!$A:$C,3,FALSE)),"")</f>
        <v>RAFAEL URIBE URIBE</v>
      </c>
      <c r="D1640" s="11" t="str">
        <f>IFERROR(IF(VLOOKUP(A1640,[11]PRIORIZADOS!$A:$D,4,FALSE)="","",VLOOKUP(A1640,[11]PRIORIZADOS!$A:$D,4,FALSE)),"")</f>
        <v>PRIVADO</v>
      </c>
      <c r="E1640" s="11" t="str">
        <f>IFERROR(IF(VLOOKUP(A1640,[11]PRIORIZADOS!$A:$E,5,FALSE)="","",VLOOKUP(A1640,[11]PRIORIZADOS!$A:$E,5,FALSE)),"")</f>
        <v>EPBM</v>
      </c>
      <c r="F1640" s="11" t="str">
        <f>IFERROR(IF(VLOOKUP(A1640,[11]PRIORIZADOS!$A:$F,6,FALSE)="","",VLOOKUP(A1640,[11]PRIORIZADOS!$A:$F,6,FALSE)),"")</f>
        <v>LICEO_PARROQUIAL_SAN_JOSE</v>
      </c>
      <c r="G1640" s="11" t="str">
        <f>IFERROR(IF(VLOOKUP(A1640,[11]PRIORIZADOS!$A:$G,7,FALSE)="","",VLOOKUP(A1640,[11]PRIORIZADOS!$A:$G,7,FALSE)),"")</f>
        <v>LICEO_PARROQUIAL_SAN_JOSE</v>
      </c>
      <c r="H1640" s="11" t="str">
        <f>IFERROR(IF(VLOOKUP(A1640,[11]PRIORIZADOS!$A:$H,8,FALSE)="","",VLOOKUP(A1640,[11]PRIORIZADOS!$A:$H,8,FALSE)),"")</f>
        <v>Autoevaluación Institucional y Pruebas SABER 11</v>
      </c>
      <c r="I1640" s="11" t="str">
        <f>IFERROR(IF(VLOOKUP(A1640,[11]PRIORIZADOS!$A:$I,9,FALSE)="","",VLOOKUP(A1640,[11]PRIORIZADOS!$A:$I,9,FALSE)),"")</f>
        <v>EVALUACIÓN_CON_FINES_DE_MEJORAMIENTO.</v>
      </c>
      <c r="J1640" s="11" t="str">
        <f>IFERROR(IF(VLOOKUP(A1640,[11]PRIORIZADOS!$A:$J,10,FALSE)="","",VLOOKUP(A1640,[11]PRIORIZADOS!$A:$J,10,FALSE)),"")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40" s="11" t="str">
        <f>IFERROR(IF(VLOOKUP(A1640,[11]PRIORIZADOS!$A:$K,11,FALSE)="","",VLOOKUP(A1640,[11]PRIORIZADOS!$A:$K,11,FALSE)),"")</f>
        <v>BEPCI YADIRA MINA ZAPATA</v>
      </c>
      <c r="L1640" s="11" t="str">
        <f>IFERROR(IF(VLOOKUP(A1640,[11]PRIORIZADOS!$A:$L,12,FALSE)="","",VLOOKUP(A1640,[11]PRIORIZADOS!$A:$L,12,FALSE)),"")</f>
        <v>DORY CONSTANZA SANCHEZ ARAGÓN</v>
      </c>
      <c r="M1640" s="71">
        <f>IFERROR(IF(VLOOKUP(A1640,[11]PRIORIZADOS!$A:$M,13,FALSE)="","",VLOOKUP(A1640,[11]PRIORIZADOS!$A:$M,13,FALSE)),"")</f>
        <v>45874</v>
      </c>
      <c r="N1640" s="71">
        <f>IFERROR(IF(VLOOKUP(A1640,[11]PRIORIZADOS!$A:$N,14,FALSE)="","",VLOOKUP(A1640,[11]PRIORIZADOS!$A:$N,14,FALSE)),"")</f>
        <v>45874</v>
      </c>
      <c r="O1640" s="71">
        <f>IFERROR(IF(VLOOKUP(A1640,[11]PRIORIZADOS!$A:$O,15,FALSE)="","",VLOOKUP(A1640,[11]PRIORIZADOS!$A:$O,15,FALSE)),"")</f>
        <v>45880</v>
      </c>
      <c r="P1640" s="11" t="str">
        <f>IFERROR(IF(VLOOKUP(A1640,[11]PRIORIZADOS!$A:$P,16,FALSE)="","",VLOOKUP(A1640,[11]PRIORIZADOS!$A:$P,16,FALSE)),"")</f>
        <v>Visitas de evaluación con fines de mejoramiento</v>
      </c>
      <c r="Q1640" s="5" t="s">
        <v>372</v>
      </c>
      <c r="R1640" s="11" t="str">
        <f>IFERROR(IF(VLOOKUP(A1640,[11]PRIORIZADOS!$A:$R,18,FALSE)="","",VLOOKUP(A1640,[11]PRIORIZADOS!$A:$R,18,FALSE)),"")</f>
        <v>Se evidencia actualización anual y aprobación del gobierno escolar del manual de convivencia.
Tiene bien estructurando el debido proceso convivencial y el disciplinario. se deben incorporar el paso a paso del debido proceso disciplinario para que la comunidad educativa lo tenga claro.</v>
      </c>
      <c r="S1640" s="11" t="str">
        <f>IFERROR(IF(VLOOKUP(A1640,[11]PRIORIZADOS!$A:$S,19,FALSE)="","",VLOOKUP(A1640,[11]PRIORIZADOS!$A:$S,19,FALSE)),"")</f>
        <v>Continuar los procesos de actualización del manual con la participación con el gobierno escolar. Presentar plan de mejoramiento el 11 de septiembre de 2025</v>
      </c>
      <c r="T1640" s="70" t="str">
        <f>IFERROR(IF(VLOOKUP(A1640,[11]PRIORIZADOS!$A:$T,20,FALSE)="","",VLOOKUP(A1640,[11]PRIORIZADOS!$A:$T,20,FALSE)),"")</f>
        <v>Si</v>
      </c>
      <c r="U1640" s="11" t="str">
        <f>IFERROR(IF(VLOOKUP(A1640,[11]PRIORIZADOS!$A:$U,21,FALSE)="","",VLOOKUP(A1640,[11]PRIORIZADOS!$A:$U,21,FALSE)),"")</f>
        <v>Revisar PM y verificar que se ajuste a las observaciones realizadas.</v>
      </c>
    </row>
    <row r="1641" spans="1:21" s="1" customFormat="1" ht="48">
      <c r="A1641" s="69">
        <f>IF([11]PRIORIZADOS!A152="","",[11]PRIORIZADOS!A152)</f>
        <v>1608</v>
      </c>
      <c r="B1641" s="70">
        <v>16</v>
      </c>
      <c r="C1641" s="11" t="str">
        <f>IFERROR(IF(VLOOKUP(A1641,[11]PRIORIZADOS!$A:$C,3,FALSE)="","",VLOOKUP(A1641,[11]PRIORIZADOS!$A:$C,3,FALSE)),"")</f>
        <v>RAFAEL URIBE URIBE</v>
      </c>
      <c r="D1641" s="11" t="str">
        <f>IFERROR(IF(VLOOKUP(A1641,[11]PRIORIZADOS!$A:$D,4,FALSE)="","",VLOOKUP(A1641,[11]PRIORIZADOS!$A:$D,4,FALSE)),"")</f>
        <v>PRIVADO</v>
      </c>
      <c r="E1641" s="11" t="str">
        <f>IFERROR(IF(VLOOKUP(A1641,[11]PRIORIZADOS!$A:$E,5,FALSE)="","",VLOOKUP(A1641,[11]PRIORIZADOS!$A:$E,5,FALSE)),"")</f>
        <v>EPBM</v>
      </c>
      <c r="F1641" s="11" t="str">
        <f>IFERROR(IF(VLOOKUP(A1641,[11]PRIORIZADOS!$A:$F,6,FALSE)="","",VLOOKUP(A1641,[11]PRIORIZADOS!$A:$F,6,FALSE)),"")</f>
        <v>LICEO_PARROQUIAL_SAN_JOSE</v>
      </c>
      <c r="G1641" s="11" t="str">
        <f>IFERROR(IF(VLOOKUP(A1641,[11]PRIORIZADOS!$A:$G,7,FALSE)="","",VLOOKUP(A1641,[11]PRIORIZADOS!$A:$G,7,FALSE)),"")</f>
        <v>LICEO_PARROQUIAL_SAN_JOSE</v>
      </c>
      <c r="H1641" s="11" t="str">
        <f>IFERROR(IF(VLOOKUP(A1641,[11]PRIORIZADOS!$A:$H,8,FALSE)="","",VLOOKUP(A1641,[11]PRIORIZADOS!$A:$H,8,FALSE)),"")</f>
        <v>Autoevaluación Institucional y Pruebas SABER 11</v>
      </c>
      <c r="I1641" s="11" t="str">
        <f>IFERROR(IF(VLOOKUP(A1641,[11]PRIORIZADOS!$A:$I,9,FALSE)="","",VLOOKUP(A1641,[11]PRIORIZADOS!$A:$I,9,FALSE)),"")</f>
        <v>EVALUACIÓN_CON_FINES_DE_MEJORAMIENTO.</v>
      </c>
      <c r="J1641" s="11" t="str">
        <f>IFERROR(IF(VLOOKUP(A1641,[11]PRIORIZADOS!$A:$J,10,FALSE)="","",VLOOKUP(A1641,[11]PRIORIZADOS!$A:$J,10,FALSE)),"")</f>
        <v>Revisar la actualización, socialización e implementación del Sistema Institucional de Evaluación de Estudiantes - SIEE, en articulación con la actualización del PEI y la normatividad vigente.</v>
      </c>
      <c r="K1641" s="11" t="str">
        <f>IFERROR(IF(VLOOKUP(A1641,[11]PRIORIZADOS!$A:$K,11,FALSE)="","",VLOOKUP(A1641,[11]PRIORIZADOS!$A:$K,11,FALSE)),"")</f>
        <v>BEPCI YADIRA MINA ZAPATA</v>
      </c>
      <c r="L1641" s="11" t="str">
        <f>IFERROR(IF(VLOOKUP(A1641,[11]PRIORIZADOS!$A:$L,12,FALSE)="","",VLOOKUP(A1641,[11]PRIORIZADOS!$A:$L,12,FALSE)),"")</f>
        <v>DORY CONSTANZA SANCHEZ ARAGÓN</v>
      </c>
      <c r="M1641" s="71">
        <f>IFERROR(IF(VLOOKUP(A1641,[11]PRIORIZADOS!$A:$M,13,FALSE)="","",VLOOKUP(A1641,[11]PRIORIZADOS!$A:$M,13,FALSE)),"")</f>
        <v>45874</v>
      </c>
      <c r="N1641" s="71">
        <f>IFERROR(IF(VLOOKUP(A1641,[11]PRIORIZADOS!$A:$N,14,FALSE)="","",VLOOKUP(A1641,[11]PRIORIZADOS!$A:$N,14,FALSE)),"")</f>
        <v>45874</v>
      </c>
      <c r="O1641" s="71">
        <f>IFERROR(IF(VLOOKUP(A1641,[11]PRIORIZADOS!$A:$O,15,FALSE)="","",VLOOKUP(A1641,[11]PRIORIZADOS!$A:$O,15,FALSE)),"")</f>
        <v>45880</v>
      </c>
      <c r="P1641" s="11" t="str">
        <f>IFERROR(IF(VLOOKUP(A1641,[11]PRIORIZADOS!$A:$P,16,FALSE)="","",VLOOKUP(A1641,[11]PRIORIZADOS!$A:$P,16,FALSE)),"")</f>
        <v>Visitas de evaluación con fines de mejoramiento</v>
      </c>
      <c r="Q1641" s="5" t="s">
        <v>372</v>
      </c>
      <c r="R1641" s="11" t="str">
        <f>IFERROR(IF(VLOOKUP(A1641,[11]PRIORIZADOS!$A:$R,18,FALSE)="","",VLOOKUP(A1641,[11]PRIORIZADOS!$A:$R,18,FALSE)),"")</f>
        <v>Cuenta con SIEE, pero es necesario ajustarlo a la normatividad vigente, con la participación de la comunidad educativa.</v>
      </c>
      <c r="S1641" s="11" t="str">
        <f>IFERROR(IF(VLOOKUP(A1641,[11]PRIORIZADOS!$A:$S,19,FALSE)="","",VLOOKUP(A1641,[11]PRIORIZADOS!$A:$S,19,FALSE)),"")</f>
        <v>La institución debe actualizar el SIEE con participación del gobierno escolar. Presentar plan de mejoramiento el 11 de septiembre de 2025</v>
      </c>
      <c r="T1641" s="70" t="str">
        <f>IFERROR(IF(VLOOKUP(A1641,[11]PRIORIZADOS!$A:$T,20,FALSE)="","",VLOOKUP(A1641,[11]PRIORIZADOS!$A:$T,20,FALSE)),"")</f>
        <v>Si</v>
      </c>
      <c r="U1641" s="11" t="str">
        <f>IFERROR(IF(VLOOKUP(A1641,[11]PRIORIZADOS!$A:$U,21,FALSE)="","",VLOOKUP(A1641,[11]PRIORIZADOS!$A:$U,21,FALSE)),"")</f>
        <v>Revisar PM y verificar que se ajuste a las observaciones realizadas.</v>
      </c>
    </row>
    <row r="1642" spans="1:21" s="1" customFormat="1" ht="48">
      <c r="A1642" s="69">
        <f>IF([11]PRIORIZADOS!A153="","",[11]PRIORIZADOS!A153)</f>
        <v>1609</v>
      </c>
      <c r="B1642" s="70">
        <v>16</v>
      </c>
      <c r="C1642" s="11" t="str">
        <f>IFERROR(IF(VLOOKUP(A1642,[11]PRIORIZADOS!$A:$C,3,FALSE)="","",VLOOKUP(A1642,[11]PRIORIZADOS!$A:$C,3,FALSE)),"")</f>
        <v>RAFAEL URIBE URIBE</v>
      </c>
      <c r="D1642" s="11" t="str">
        <f>IFERROR(IF(VLOOKUP(A1642,[11]PRIORIZADOS!$A:$D,4,FALSE)="","",VLOOKUP(A1642,[11]PRIORIZADOS!$A:$D,4,FALSE)),"")</f>
        <v>PRIVADO</v>
      </c>
      <c r="E1642" s="11" t="str">
        <f>IFERROR(IF(VLOOKUP(A1642,[11]PRIORIZADOS!$A:$E,5,FALSE)="","",VLOOKUP(A1642,[11]PRIORIZADOS!$A:$E,5,FALSE)),"")</f>
        <v>EPBM</v>
      </c>
      <c r="F1642" s="11" t="str">
        <f>IFERROR(IF(VLOOKUP(A1642,[11]PRIORIZADOS!$A:$F,6,FALSE)="","",VLOOKUP(A1642,[11]PRIORIZADOS!$A:$F,6,FALSE)),"")</f>
        <v>LICEO_PARROQUIAL_SAN_JOSE</v>
      </c>
      <c r="G1642" s="11" t="str">
        <f>IFERROR(IF(VLOOKUP(A1642,[11]PRIORIZADOS!$A:$G,7,FALSE)="","",VLOOKUP(A1642,[11]PRIORIZADOS!$A:$G,7,FALSE)),"")</f>
        <v>LICEO_PARROQUIAL_SAN_JOSE</v>
      </c>
      <c r="H1642" s="11" t="str">
        <f>IFERROR(IF(VLOOKUP(A1642,[11]PRIORIZADOS!$A:$H,8,FALSE)="","",VLOOKUP(A1642,[11]PRIORIZADOS!$A:$H,8,FALSE)),"")</f>
        <v>Autoevaluación Institucional y Pruebas SABER 11</v>
      </c>
      <c r="I1642" s="11" t="str">
        <f>IFERROR(IF(VLOOKUP(A1642,[11]PRIORIZADOS!$A:$I,9,FALSE)="","",VLOOKUP(A1642,[11]PRIORIZADOS!$A:$I,9,FALSE)),"")</f>
        <v>EVALUACIÓN_CON_FINES_DE_MEJORAMIENTO.</v>
      </c>
      <c r="J1642" s="11" t="str">
        <f>IFERROR(IF(VLOOKUP(A1642,[11]PRIORIZADOS!$A:$J,10,FALSE)="","",VLOOKUP(A1642,[11]PRIORIZADOS!$A:$J,10,FALSE)),"")</f>
        <v>Revisar el calendario escolar, jornada escolar, la intensidad horaria mínima anual en cada nivel y las modificaciones que se realicen al mismo, de acuerdo con lo previsto en la normatividad vigente.</v>
      </c>
      <c r="K1642" s="11" t="str">
        <f>IFERROR(IF(VLOOKUP(A1642,[11]PRIORIZADOS!$A:$K,11,FALSE)="","",VLOOKUP(A1642,[11]PRIORIZADOS!$A:$K,11,FALSE)),"")</f>
        <v>BEPCI YADIRA MINA ZAPATA</v>
      </c>
      <c r="L1642" s="11" t="str">
        <f>IFERROR(IF(VLOOKUP(A1642,[11]PRIORIZADOS!$A:$L,12,FALSE)="","",VLOOKUP(A1642,[11]PRIORIZADOS!$A:$L,12,FALSE)),"")</f>
        <v>DORY CONSTANZA SANCHEZ ARAGÓN</v>
      </c>
      <c r="M1642" s="71">
        <f>IFERROR(IF(VLOOKUP(A1642,[11]PRIORIZADOS!$A:$M,13,FALSE)="","",VLOOKUP(A1642,[11]PRIORIZADOS!$A:$M,13,FALSE)),"")</f>
        <v>45874</v>
      </c>
      <c r="N1642" s="71">
        <f>IFERROR(IF(VLOOKUP(A1642,[11]PRIORIZADOS!$A:$N,14,FALSE)="","",VLOOKUP(A1642,[11]PRIORIZADOS!$A:$N,14,FALSE)),"")</f>
        <v>45874</v>
      </c>
      <c r="O1642" s="71">
        <f>IFERROR(IF(VLOOKUP(A1642,[11]PRIORIZADOS!$A:$O,15,FALSE)="","",VLOOKUP(A1642,[11]PRIORIZADOS!$A:$O,15,FALSE)),"")</f>
        <v>45880</v>
      </c>
      <c r="P1642" s="11" t="str">
        <f>IFERROR(IF(VLOOKUP(A1642,[11]PRIORIZADOS!$A:$P,16,FALSE)="","",VLOOKUP(A1642,[11]PRIORIZADOS!$A:$P,16,FALSE)),"")</f>
        <v>Visitas de evaluación con fines de mejoramiento</v>
      </c>
      <c r="Q1642" s="5" t="s">
        <v>372</v>
      </c>
      <c r="R1642" s="11" t="str">
        <f>IFERROR(IF(VLOOKUP(A1642,[11]PRIORIZADOS!$A:$R,18,FALSE)="","",VLOOKUP(A1642,[11]PRIORIZADOS!$A:$R,18,FALSE)),"")</f>
        <v>Se encuentra que la jornada académica no da cumplimiento a la normatividad para a educación media al ser técnica debe cumplir anualmente 1600 horas.</v>
      </c>
      <c r="S1642" s="11" t="str">
        <f>IFERROR(IF(VLOOKUP(A1642,[11]PRIORIZADOS!$A:$S,19,FALSE)="","",VLOOKUP(A1642,[11]PRIORIZADOS!$A:$S,19,FALSE)),"")</f>
        <v>Ajustar el horario para dar cumplimiento a la intensidad horaria. Presentar plan de mejoramiento el 11 de septiembre de 2025</v>
      </c>
      <c r="T1642" s="70" t="str">
        <f>IFERROR(IF(VLOOKUP(A1642,[11]PRIORIZADOS!$A:$T,20,FALSE)="","",VLOOKUP(A1642,[11]PRIORIZADOS!$A:$T,20,FALSE)),"")</f>
        <v>Si</v>
      </c>
      <c r="U1642" s="11" t="str">
        <f>IFERROR(IF(VLOOKUP(A1642,[11]PRIORIZADOS!$A:$U,21,FALSE)="","",VLOOKUP(A1642,[11]PRIORIZADOS!$A:$U,21,FALSE)),"")</f>
        <v>Revisar PM y verificar que se ajuste a las observaciones realizadas.</v>
      </c>
    </row>
    <row r="1643" spans="1:21" s="1" customFormat="1" ht="48">
      <c r="A1643" s="69">
        <f>IF([11]PRIORIZADOS!A154="","",[11]PRIORIZADOS!A154)</f>
        <v>1610</v>
      </c>
      <c r="B1643" s="70">
        <v>16</v>
      </c>
      <c r="C1643" s="11" t="str">
        <f>IFERROR(IF(VLOOKUP(A1643,[11]PRIORIZADOS!$A:$C,3,FALSE)="","",VLOOKUP(A1643,[11]PRIORIZADOS!$A:$C,3,FALSE)),"")</f>
        <v>RAFAEL URIBE URIBE</v>
      </c>
      <c r="D1643" s="11" t="str">
        <f>IFERROR(IF(VLOOKUP(A1643,[11]PRIORIZADOS!$A:$D,4,FALSE)="","",VLOOKUP(A1643,[11]PRIORIZADOS!$A:$D,4,FALSE)),"")</f>
        <v>PRIVADO</v>
      </c>
      <c r="E1643" s="11" t="str">
        <f>IFERROR(IF(VLOOKUP(A1643,[11]PRIORIZADOS!$A:$E,5,FALSE)="","",VLOOKUP(A1643,[11]PRIORIZADOS!$A:$E,5,FALSE)),"")</f>
        <v>EPBM</v>
      </c>
      <c r="F1643" s="11" t="str">
        <f>IFERROR(IF(VLOOKUP(A1643,[11]PRIORIZADOS!$A:$F,6,FALSE)="","",VLOOKUP(A1643,[11]PRIORIZADOS!$A:$F,6,FALSE)),"")</f>
        <v>LICEO_PARROQUIAL_SAN_JOSE</v>
      </c>
      <c r="G1643" s="11" t="str">
        <f>IFERROR(IF(VLOOKUP(A1643,[11]PRIORIZADOS!$A:$G,7,FALSE)="","",VLOOKUP(A1643,[11]PRIORIZADOS!$A:$G,7,FALSE)),"")</f>
        <v>LICEO_PARROQUIAL_SAN_JOSE</v>
      </c>
      <c r="H1643" s="11" t="str">
        <f>IFERROR(IF(VLOOKUP(A1643,[11]PRIORIZADOS!$A:$H,8,FALSE)="","",VLOOKUP(A1643,[11]PRIORIZADOS!$A:$H,8,FALSE)),"")</f>
        <v>Autoevaluación Institucional y Pruebas SABER 11</v>
      </c>
      <c r="I1643" s="11" t="str">
        <f>IFERROR(IF(VLOOKUP(A1643,[11]PRIORIZADOS!$A:$I,9,FALSE)="","",VLOOKUP(A1643,[11]PRIORIZADOS!$A:$I,9,FALSE)),"")</f>
        <v>EVALUACIÓN_CON_FINES_DE_MEJORAMIENTO.</v>
      </c>
      <c r="J1643" s="11" t="str">
        <f>IFERROR(IF(VLOOKUP(A1643,[11]PRIORIZADOS!$A:$J,10,FALSE)="","",VLOOKUP(A1643,[11]PRIORIZADOS!$A:$J,10,FALSE)),"")</f>
        <v>Verificar el funcionamiento del Gobierno Escolar e instancias de participación con base en la información sobre conformación reportada por la institución educativa.</v>
      </c>
      <c r="K1643" s="11" t="str">
        <f>IFERROR(IF(VLOOKUP(A1643,[11]PRIORIZADOS!$A:$K,11,FALSE)="","",VLOOKUP(A1643,[11]PRIORIZADOS!$A:$K,11,FALSE)),"")</f>
        <v>BEPCI YADIRA MINA ZAPATA</v>
      </c>
      <c r="L1643" s="11" t="str">
        <f>IFERROR(IF(VLOOKUP(A1643,[11]PRIORIZADOS!$A:$L,12,FALSE)="","",VLOOKUP(A1643,[11]PRIORIZADOS!$A:$L,12,FALSE)),"")</f>
        <v>DORY CONSTANZA SANCHEZ ARAGÓN</v>
      </c>
      <c r="M1643" s="71">
        <f>IFERROR(IF(VLOOKUP(A1643,[11]PRIORIZADOS!$A:$M,13,FALSE)="","",VLOOKUP(A1643,[11]PRIORIZADOS!$A:$M,13,FALSE)),"")</f>
        <v>45874</v>
      </c>
      <c r="N1643" s="71">
        <f>IFERROR(IF(VLOOKUP(A1643,[11]PRIORIZADOS!$A:$N,14,FALSE)="","",VLOOKUP(A1643,[11]PRIORIZADOS!$A:$N,14,FALSE)),"")</f>
        <v>45874</v>
      </c>
      <c r="O1643" s="71">
        <f>IFERROR(IF(VLOOKUP(A1643,[11]PRIORIZADOS!$A:$O,15,FALSE)="","",VLOOKUP(A1643,[11]PRIORIZADOS!$A:$O,15,FALSE)),"")</f>
        <v>45880</v>
      </c>
      <c r="P1643" s="11" t="str">
        <f>IFERROR(IF(VLOOKUP(A1643,[11]PRIORIZADOS!$A:$P,16,FALSE)="","",VLOOKUP(A1643,[11]PRIORIZADOS!$A:$P,16,FALSE)),"")</f>
        <v>Visitas de evaluación con fines de mejoramiento</v>
      </c>
      <c r="Q1643" s="5" t="s">
        <v>372</v>
      </c>
      <c r="R1643" s="11" t="str">
        <f>IFERROR(IF(VLOOKUP(A1643,[11]PRIORIZADOS!$A:$R,18,FALSE)="","",VLOOKUP(A1643,[11]PRIORIZADOS!$A:$R,18,FALSE)),"")</f>
        <v>Se evidencian actas de funcionamiento de los organos del Gobierno Escolar e instancias de participación.</v>
      </c>
      <c r="S1643" s="11" t="str">
        <f>IFERROR(IF(VLOOKUP(A1643,[11]PRIORIZADOS!$A:$S,19,FALSE)="","",VLOOKUP(A1643,[11]PRIORIZADOS!$A:$S,19,FALSE)),"")</f>
        <v>Continuar con las reuniones de los organos del Gobierno Escolar e instancias de participación con las respectivas actas.</v>
      </c>
      <c r="T1643" s="70" t="str">
        <f>IFERROR(IF(VLOOKUP(A1643,[11]PRIORIZADOS!$A:$T,20,FALSE)="","",VLOOKUP(A1643,[11]PRIORIZADOS!$A:$T,20,FALSE)),"")</f>
        <v>No</v>
      </c>
      <c r="U1643" s="11" t="str">
        <f>IFERROR(IF(VLOOKUP(A1643,[11]PRIORIZADOS!$A:$U,21,FALSE)="","",VLOOKUP(A1643,[11]PRIORIZADOS!$A:$U,21,FALSE)),"")</f>
        <v>Verificar en caso de presentarse una queja</v>
      </c>
    </row>
    <row r="1644" spans="1:21" s="1" customFormat="1" ht="60">
      <c r="A1644" s="69">
        <f>IF([11]PRIORIZADOS!A155="","",[11]PRIORIZADOS!A155)</f>
        <v>1611</v>
      </c>
      <c r="B1644" s="70">
        <v>16</v>
      </c>
      <c r="C1644" s="11" t="str">
        <f>IFERROR(IF(VLOOKUP(A1644,[11]PRIORIZADOS!$A:$C,3,FALSE)="","",VLOOKUP(A1644,[11]PRIORIZADOS!$A:$C,3,FALSE)),"")</f>
        <v>RAFAEL URIBE URIBE</v>
      </c>
      <c r="D1644" s="11" t="str">
        <f>IFERROR(IF(VLOOKUP(A1644,[11]PRIORIZADOS!$A:$D,4,FALSE)="","",VLOOKUP(A1644,[11]PRIORIZADOS!$A:$D,4,FALSE)),"")</f>
        <v>PRIVADO</v>
      </c>
      <c r="E1644" s="11" t="str">
        <f>IFERROR(IF(VLOOKUP(A1644,[11]PRIORIZADOS!$A:$E,5,FALSE)="","",VLOOKUP(A1644,[11]PRIORIZADOS!$A:$E,5,FALSE)),"")</f>
        <v>EPBM</v>
      </c>
      <c r="F1644" s="11" t="str">
        <f>IFERROR(IF(VLOOKUP(A1644,[11]PRIORIZADOS!$A:$F,6,FALSE)="","",VLOOKUP(A1644,[11]PRIORIZADOS!$A:$F,6,FALSE)),"")</f>
        <v>LICEO_PARROQUIAL_SAN_JOSE</v>
      </c>
      <c r="G1644" s="11" t="str">
        <f>IFERROR(IF(VLOOKUP(A1644,[11]PRIORIZADOS!$A:$G,7,FALSE)="","",VLOOKUP(A1644,[11]PRIORIZADOS!$A:$G,7,FALSE)),"")</f>
        <v>LICEO_PARROQUIAL_SAN_JOSE</v>
      </c>
      <c r="H1644" s="11" t="str">
        <f>IFERROR(IF(VLOOKUP(A1644,[11]PRIORIZADOS!$A:$H,8,FALSE)="","",VLOOKUP(A1644,[11]PRIORIZADOS!$A:$H,8,FALSE)),"")</f>
        <v>Autoevaluación Institucional y Pruebas SABER 11</v>
      </c>
      <c r="I1644" s="11" t="str">
        <f>IFERROR(IF(VLOOKUP(A1644,[11]PRIORIZADOS!$A:$I,9,FALSE)="","",VLOOKUP(A1644,[11]PRIORIZADOS!$A:$I,9,FALSE)),"")</f>
        <v>EVALUACIÓN_CON_FINES_DE_MEJORAMIENTO.</v>
      </c>
      <c r="J1644" s="11" t="str">
        <f>IFERROR(IF(VLOOKUP(A1644,[11]PRIORIZADOS!$A:$J,10,FALSE)="","",VLOOKUP(A1644,[11]PRIORIZADOS!$A:$J,10,FALSE)),"")</f>
        <v>Verificar las condiciones en cuanto a: la estructura administrativa, condiciones de la planta física y medios educativos adecuados.</v>
      </c>
      <c r="K1644" s="11" t="str">
        <f>IFERROR(IF(VLOOKUP(A1644,[11]PRIORIZADOS!$A:$K,11,FALSE)="","",VLOOKUP(A1644,[11]PRIORIZADOS!$A:$K,11,FALSE)),"")</f>
        <v>BEPCI YADIRA MINA ZAPATA</v>
      </c>
      <c r="L1644" s="11" t="str">
        <f>IFERROR(IF(VLOOKUP(A1644,[11]PRIORIZADOS!$A:$L,12,FALSE)="","",VLOOKUP(A1644,[11]PRIORIZADOS!$A:$L,12,FALSE)),"")</f>
        <v>DORY CONSTANZA SANCHEZ ARAGÓN</v>
      </c>
      <c r="M1644" s="71">
        <f>IFERROR(IF(VLOOKUP(A1644,[11]PRIORIZADOS!$A:$M,13,FALSE)="","",VLOOKUP(A1644,[11]PRIORIZADOS!$A:$M,13,FALSE)),"")</f>
        <v>45874</v>
      </c>
      <c r="N1644" s="71">
        <f>IFERROR(IF(VLOOKUP(A1644,[11]PRIORIZADOS!$A:$N,14,FALSE)="","",VLOOKUP(A1644,[11]PRIORIZADOS!$A:$N,14,FALSE)),"")</f>
        <v>45874</v>
      </c>
      <c r="O1644" s="71">
        <f>IFERROR(IF(VLOOKUP(A1644,[11]PRIORIZADOS!$A:$O,15,FALSE)="","",VLOOKUP(A1644,[11]PRIORIZADOS!$A:$O,15,FALSE)),"")</f>
        <v>45880</v>
      </c>
      <c r="P1644" s="11" t="str">
        <f>IFERROR(IF(VLOOKUP(A1644,[11]PRIORIZADOS!$A:$P,16,FALSE)="","",VLOOKUP(A1644,[11]PRIORIZADOS!$A:$P,16,FALSE)),"")</f>
        <v>Visitas de evaluación con fines de mejoramiento</v>
      </c>
      <c r="Q1644" s="5" t="s">
        <v>372</v>
      </c>
      <c r="R1644" s="11" t="str">
        <f>IFERROR(IF(VLOOKUP(A1644,[11]PRIORIZADOS!$A:$R,18,FALSE)="","",VLOOKUP(A1644,[11]PRIORIZADOS!$A:$R,18,FALSE)),"")</f>
        <v>Cuenta con 1 sede de 3 pisos, con 19 aulas, oficinas (rectoria, coordinaciones, orientación), enfermeria, laboratorios, 2 patios, espacio preescolar, salon de danzas).</v>
      </c>
      <c r="S1644" s="11" t="str">
        <f>IFERROR(IF(VLOOKUP(A1644,[11]PRIORIZADOS!$A:$S,19,FALSE)="","",VLOOKUP(A1644,[11]PRIORIZADOS!$A:$S,19,FALSE)),"")</f>
        <v>Se evidencio que la institución cuenta con ambientes de aprendizaje adecuados, con buena iluminación y ventilación</v>
      </c>
      <c r="T1644" s="70" t="str">
        <f>IFERROR(IF(VLOOKUP(A1644,[11]PRIORIZADOS!$A:$T,20,FALSE)="","",VLOOKUP(A1644,[11]PRIORIZADOS!$A:$T,20,FALSE)),"")</f>
        <v>No</v>
      </c>
      <c r="U1644" s="11" t="str">
        <f>IFERROR(IF(VLOOKUP(A1644,[11]PRIORIZADOS!$A:$U,21,FALSE)="","",VLOOKUP(A1644,[11]PRIORIZADOS!$A:$U,21,FALSE)),"")</f>
        <v>Verificar en caso de presentarse una queja</v>
      </c>
    </row>
    <row r="1645" spans="1:21" s="1" customFormat="1" ht="84">
      <c r="A1645" s="69">
        <f>IF([11]PRIORIZADOS!A156="","",[11]PRIORIZADOS!A156)</f>
        <v>1612</v>
      </c>
      <c r="B1645" s="70">
        <f>IFERROR(IF(VLOOKUP(A1645,[11]PRIORIZADOS!$A:$B,2,FALSE)="","",VLOOKUP(A1645,[11]PRIORIZADOS!$A:$B,2,FALSE)),"")</f>
        <v>17</v>
      </c>
      <c r="C1645" s="11" t="str">
        <f>IFERROR(IF(VLOOKUP(A1645,[11]PRIORIZADOS!$A:$C,3,FALSE)="","",VLOOKUP(A1645,[11]PRIORIZADOS!$A:$C,3,FALSE)),"")</f>
        <v>RAFAEL URIBE URIBE</v>
      </c>
      <c r="D1645" s="11" t="str">
        <f>IFERROR(IF(VLOOKUP(A1645,[11]PRIORIZADOS!$A:$D,4,FALSE)="","",VLOOKUP(A1645,[11]PRIORIZADOS!$A:$D,4,FALSE)),"")</f>
        <v>OFICIAL.</v>
      </c>
      <c r="E1645" s="11" t="str">
        <f>IFERROR(IF(VLOOKUP(A1645,[11]PRIORIZADOS!$A:$E,5,FALSE)="","",VLOOKUP(A1645,[11]PRIORIZADOS!$A:$E,5,FALSE)),"")</f>
        <v>EPBM</v>
      </c>
      <c r="F1645" s="11" t="str">
        <f>IFERROR(IF(VLOOKUP(A1645,[11]PRIORIZADOS!$A:$F,6,FALSE)="","",VLOOKUP(A1645,[11]PRIORIZADOS!$A:$F,6,FALSE)),"")</f>
        <v>COLEGIO_ALEXANDER_FLEMING_IED</v>
      </c>
      <c r="G1645" s="11" t="str">
        <f>IFERROR(IF(VLOOKUP(A1645,[11]PRIORIZADOS!$A:$G,7,FALSE)="","",VLOOKUP(A1645,[11]PRIORIZADOS!$A:$G,7,FALSE)),"")</f>
        <v>COLEGIO_ALEXANDER_FLEMING_IED</v>
      </c>
      <c r="H1645" s="11" t="str">
        <f>IFERROR(IF(VLOOKUP(A1645,[11]PRIORIZADOS!$A:$H,8,FALSE)="","",VLOOKUP(A1645,[11]PRIORIZADOS!$A:$H,8,FALSE)),"")</f>
        <v>Autoevaluación Institucional y Pruebas SABER 11</v>
      </c>
      <c r="I1645" s="11" t="str">
        <f>IFERROR(IF(VLOOKUP(A1645,[11]PRIORIZADOS!$A:$I,9,FALSE)="","",VLOOKUP(A1645,[11]PRIORIZADOS!$A:$I,9,FALSE)),"")</f>
        <v>SEGUIMIENTO_Y_SUPERVISIÓN.</v>
      </c>
      <c r="J1645" s="11" t="str">
        <f>IFERROR(IF(VLOOKUP(A1645,[11]PRIORIZADOS!$A:$J,10,FALSE)="","",VLOOKUP(A1645,[11]PRIORIZADOS!$A:$J,10,FALSE)),"")</f>
        <v>Proponer estrategias en la formulación, verificar su elaboración y realizar seguimiento semestral al desarrollo de  las acciones establecidas en los planes de mejoramiento por pruebas SABER 11 de los establecimientos de educación formal.</v>
      </c>
      <c r="K1645" s="11" t="str">
        <f>IFERROR(IF(VLOOKUP(A1645,[11]PRIORIZADOS!$A:$K,11,FALSE)="","",VLOOKUP(A1645,[11]PRIORIZADOS!$A:$K,11,FALSE)),"")</f>
        <v>BEPCI YADIRA MINA ZAPATA</v>
      </c>
      <c r="L1645" s="11" t="str">
        <f>IFERROR(IF(VLOOKUP(A1645,[11]PRIORIZADOS!$A:$L,12,FALSE)="","",VLOOKUP(A1645,[11]PRIORIZADOS!$A:$L,12,FALSE)),"")</f>
        <v>DORY CONSTANZA SANCHEZ ARAGÓN</v>
      </c>
      <c r="M1645" s="71">
        <f>IFERROR(IF(VLOOKUP(A1645,[11]PRIORIZADOS!$A:$M,13,FALSE)="","",VLOOKUP(A1645,[11]PRIORIZADOS!$A:$M,13,FALSE)),"")</f>
        <v>45756</v>
      </c>
      <c r="N1645" s="71">
        <f>IFERROR(IF(VLOOKUP(A1645,[11]PRIORIZADOS!$A:$N,14,FALSE)="","",VLOOKUP(A1645,[11]PRIORIZADOS!$A:$N,14,FALSE)),"")</f>
        <v>45758</v>
      </c>
      <c r="O1645" s="71">
        <f>IFERROR(IF(VLOOKUP(A1645,[11]PRIORIZADOS!$A:$O,15,FALSE)="","",VLOOKUP(A1645,[11]PRIORIZADOS!$A:$O,15,FALSE)),"")</f>
        <v>45768</v>
      </c>
      <c r="P1645" s="11" t="str">
        <f>IFERROR(IF(VLOOKUP(A1645,[11]PRIORIZADOS!$A:$P,16,FALSE)="","",VLOOKUP(A1645,[11]PRIORIZADOS!$A:$P,16,FALSE)),"")</f>
        <v>Visitas de evaluación con fines de mejoramiento</v>
      </c>
      <c r="Q1645" s="125" t="s">
        <v>373</v>
      </c>
      <c r="R1645" s="11" t="str">
        <f>IFERROR(IF(VLOOKUP(A1645,[11]PRIORIZADOS!$A:$R,18,FALSE)="","",VLOOKUP(A1645,[11]PRIORIZADOS!$A:$R,18,FALSE)),"")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645" s="11" t="str">
        <f>IFERROR(IF(VLOOKUP(A1645,[11]PRIORIZADOS!$A:$S,19,FALSE)="","",VLOOKUP(A1645,[11]PRIORIZADOS!$A:$S,19,FALSE)),"")</f>
        <v>Realizar analisis de las Pruebas Saber y establecer acciones pertinentes. Presentar plan de mejoramiento el 20 de mayo de 2025</v>
      </c>
      <c r="T1645" s="70" t="str">
        <f>IFERROR(IF(VLOOKUP(A1645,[11]PRIORIZADOS!$A:$T,20,FALSE)="","",VLOOKUP(A1645,[11]PRIORIZADOS!$A:$T,20,FALSE)),"")</f>
        <v>Si</v>
      </c>
      <c r="U1645" s="11" t="str">
        <f>IFERROR(IF(VLOOKUP(A1645,[11]PRIORIZADOS!$A:$U,21,FALSE)="","",VLOOKUP(A1645,[11]PRIORIZADOS!$A:$U,21,FALSE)),"")</f>
        <v>Revisar PM y verificar que se ajuste a las observaciones realizadas.</v>
      </c>
    </row>
    <row r="1646" spans="1:21" s="1" customFormat="1" ht="48">
      <c r="A1646" s="69">
        <f>IF([11]PRIORIZADOS!A157="","",[11]PRIORIZADOS!A157)</f>
        <v>1613</v>
      </c>
      <c r="B1646" s="70">
        <v>17</v>
      </c>
      <c r="C1646" s="11" t="str">
        <f>IFERROR(IF(VLOOKUP(A1646,[11]PRIORIZADOS!$A:$C,3,FALSE)="","",VLOOKUP(A1646,[11]PRIORIZADOS!$A:$C,3,FALSE)),"")</f>
        <v>RAFAEL URIBE URIBE</v>
      </c>
      <c r="D1646" s="11" t="str">
        <f>IFERROR(IF(VLOOKUP(A1646,[11]PRIORIZADOS!$A:$D,4,FALSE)="","",VLOOKUP(A1646,[11]PRIORIZADOS!$A:$D,4,FALSE)),"")</f>
        <v>OFICIAL.</v>
      </c>
      <c r="E1646" s="11" t="str">
        <f>IFERROR(IF(VLOOKUP(A1646,[11]PRIORIZADOS!$A:$E,5,FALSE)="","",VLOOKUP(A1646,[11]PRIORIZADOS!$A:$E,5,FALSE)),"")</f>
        <v>EPBM</v>
      </c>
      <c r="F1646" s="11" t="str">
        <f>IFERROR(IF(VLOOKUP(A1646,[11]PRIORIZADOS!$A:$F,6,FALSE)="","",VLOOKUP(A1646,[11]PRIORIZADOS!$A:$F,6,FALSE)),"")</f>
        <v>COLEGIO_ALEXANDER_FLEMING_IED</v>
      </c>
      <c r="G1646" s="11" t="str">
        <f>IFERROR(IF(VLOOKUP(A1646,[11]PRIORIZADOS!$A:$G,7,FALSE)="","",VLOOKUP(A1646,[11]PRIORIZADOS!$A:$G,7,FALSE)),"")</f>
        <v>COLEGIO_ALEXANDER_FLEMING_IED</v>
      </c>
      <c r="H1646" s="11" t="str">
        <f>IFERROR(IF(VLOOKUP(A1646,[11]PRIORIZADOS!$A:$H,8,FALSE)="","",VLOOKUP(A1646,[11]PRIORIZADOS!$A:$H,8,FALSE)),"")</f>
        <v>Autoevaluación Institucional y Pruebas SABER 11</v>
      </c>
      <c r="I1646" s="11" t="str">
        <f>IFERROR(IF(VLOOKUP(A1646,[11]PRIORIZADOS!$A:$I,9,FALSE)="","",VLOOKUP(A1646,[11]PRIORIZADOS!$A:$I,9,FALSE)),"")</f>
        <v>SEGUIMIENTO_Y_SUPERVISIÓN.</v>
      </c>
      <c r="J1646" s="11" t="str">
        <f>IFERROR(IF(VLOOKUP(A1646,[11]PRIORIZADOS!$A:$J,10,FALSE)="","",VLOOKUP(A1646,[11]PRIORIZADOS!$A:$J,10,FALSE)),"")</f>
        <v xml:space="preserve">Verificar la implementación por parte de los colegios, de acciones realizadas para la prevención y atención de las situaciones de convivencia en el entorno escolar, según lo establecido en la Directiva 01 de 2022 del MEN. </v>
      </c>
      <c r="K1646" s="11" t="str">
        <f>IFERROR(IF(VLOOKUP(A1646,[11]PRIORIZADOS!$A:$K,11,FALSE)="","",VLOOKUP(A1646,[11]PRIORIZADOS!$A:$K,11,FALSE)),"")</f>
        <v>BEPCI YADIRA MINA ZAPATA</v>
      </c>
      <c r="L1646" s="11" t="str">
        <f>IFERROR(IF(VLOOKUP(A1646,[11]PRIORIZADOS!$A:$L,12,FALSE)="","",VLOOKUP(A1646,[11]PRIORIZADOS!$A:$L,12,FALSE)),"")</f>
        <v>DORY CONSTANZA SANCHEZ ARAGÓN</v>
      </c>
      <c r="M1646" s="71">
        <f>IFERROR(IF(VLOOKUP(A1646,[11]PRIORIZADOS!$A:$M,13,FALSE)="","",VLOOKUP(A1646,[11]PRIORIZADOS!$A:$M,13,FALSE)),"")</f>
        <v>45756</v>
      </c>
      <c r="N1646" s="71">
        <f>IFERROR(IF(VLOOKUP(A1646,[11]PRIORIZADOS!$A:$N,14,FALSE)="","",VLOOKUP(A1646,[11]PRIORIZADOS!$A:$N,14,FALSE)),"")</f>
        <v>45758</v>
      </c>
      <c r="O1646" s="71">
        <f>IFERROR(IF(VLOOKUP(A1646,[11]PRIORIZADOS!$A:$O,15,FALSE)="","",VLOOKUP(A1646,[11]PRIORIZADOS!$A:$O,15,FALSE)),"")</f>
        <v>45768</v>
      </c>
      <c r="P1646" s="11" t="str">
        <f>IFERROR(IF(VLOOKUP(A1646,[11]PRIORIZADOS!$A:$P,16,FALSE)="","",VLOOKUP(A1646,[11]PRIORIZADOS!$A:$P,16,FALSE)),"")</f>
        <v>Visitas de evaluación con fines de mejoramiento</v>
      </c>
      <c r="Q1646" s="125" t="s">
        <v>373</v>
      </c>
      <c r="R1646" s="11" t="str">
        <f>IFERROR(IF(VLOOKUP(A1646,[11]PRIORIZADOS!$A:$R,18,FALSE)="","",VLOOKUP(A1646,[11]PRIORIZADOS!$A:$R,18,FALSE)),"")</f>
        <v>Se evidencia operatividad del comité de convivencia escolar por medio de las actas.</v>
      </c>
      <c r="S1646" s="11" t="str">
        <f>IFERROR(IF(VLOOKUP(A1646,[11]PRIORIZADOS!$A:$S,19,FALSE)="","",VLOOKUP(A1646,[11]PRIORIZADOS!$A:$S,19,FALSE)),"")</f>
        <v>Continuar con las reuniones del comité de convivencia y las acciones de promoción y prevención</v>
      </c>
      <c r="T1646" s="70" t="str">
        <f>IFERROR(IF(VLOOKUP(A1646,[11]PRIORIZADOS!$A:$T,20,FALSE)="","",VLOOKUP(A1646,[11]PRIORIZADOS!$A:$T,20,FALSE)),"")</f>
        <v>No</v>
      </c>
      <c r="U1646" s="11" t="str">
        <f>IFERROR(IF(VLOOKUP(A1646,[11]PRIORIZADOS!$A:$U,21,FALSE)="","",VLOOKUP(A1646,[11]PRIORIZADOS!$A:$U,21,FALSE)),"")</f>
        <v>Verificar en caso de presentarse una queja</v>
      </c>
    </row>
    <row r="1647" spans="1:21" s="1" customFormat="1" ht="72">
      <c r="A1647" s="69">
        <f>IF([11]PRIORIZADOS!A158="","",[11]PRIORIZADOS!A158)</f>
        <v>1614</v>
      </c>
      <c r="B1647" s="70">
        <v>17</v>
      </c>
      <c r="C1647" s="11" t="str">
        <f>IFERROR(IF(VLOOKUP(A1647,[11]PRIORIZADOS!$A:$C,3,FALSE)="","",VLOOKUP(A1647,[11]PRIORIZADOS!$A:$C,3,FALSE)),"")</f>
        <v>RAFAEL URIBE URIBE</v>
      </c>
      <c r="D1647" s="11" t="str">
        <f>IFERROR(IF(VLOOKUP(A1647,[11]PRIORIZADOS!$A:$D,4,FALSE)="","",VLOOKUP(A1647,[11]PRIORIZADOS!$A:$D,4,FALSE)),"")</f>
        <v>OFICIAL.</v>
      </c>
      <c r="E1647" s="11" t="str">
        <f>IFERROR(IF(VLOOKUP(A1647,[11]PRIORIZADOS!$A:$E,5,FALSE)="","",VLOOKUP(A1647,[11]PRIORIZADOS!$A:$E,5,FALSE)),"")</f>
        <v>EPBM</v>
      </c>
      <c r="F1647" s="11" t="str">
        <f>IFERROR(IF(VLOOKUP(A1647,[11]PRIORIZADOS!$A:$F,6,FALSE)="","",VLOOKUP(A1647,[11]PRIORIZADOS!$A:$F,6,FALSE)),"")</f>
        <v>COLEGIO_ALEXANDER_FLEMING_IED</v>
      </c>
      <c r="G1647" s="11" t="str">
        <f>IFERROR(IF(VLOOKUP(A1647,[11]PRIORIZADOS!$A:$G,7,FALSE)="","",VLOOKUP(A1647,[11]PRIORIZADOS!$A:$G,7,FALSE)),"")</f>
        <v>COLEGIO_ALEXANDER_FLEMING_IED</v>
      </c>
      <c r="H1647" s="11" t="str">
        <f>IFERROR(IF(VLOOKUP(A1647,[11]PRIORIZADOS!$A:$H,8,FALSE)="","",VLOOKUP(A1647,[11]PRIORIZADOS!$A:$H,8,FALSE)),"")</f>
        <v>Autoevaluación Institucional y Pruebas SABER 11</v>
      </c>
      <c r="I1647" s="11" t="str">
        <f>IFERROR(IF(VLOOKUP(A1647,[11]PRIORIZADOS!$A:$I,9,FALSE)="","",VLOOKUP(A1647,[11]PRIORIZADOS!$A:$I,9,FALSE)),"")</f>
        <v>SEGUIMIENTO_Y_SUPERVISIÓN.</v>
      </c>
      <c r="J1647" s="11" t="str">
        <f>IFERROR(IF(VLOOKUP(A1647,[11]PRIORIZADOS!$A:$J,10,FALSE)="","",VLOOKUP(A1647,[11]PRIORIZADOS!$A:$J,10,FALSE)),"")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47" s="11" t="str">
        <f>IFERROR(IF(VLOOKUP(A1647,[11]PRIORIZADOS!$A:$K,11,FALSE)="","",VLOOKUP(A1647,[11]PRIORIZADOS!$A:$K,11,FALSE)),"")</f>
        <v>BEPCI YADIRA MINA ZAPATA</v>
      </c>
      <c r="L1647" s="11" t="str">
        <f>IFERROR(IF(VLOOKUP(A1647,[11]PRIORIZADOS!$A:$L,12,FALSE)="","",VLOOKUP(A1647,[11]PRIORIZADOS!$A:$L,12,FALSE)),"")</f>
        <v>DORY CONSTANZA SANCHEZ ARAGÓN</v>
      </c>
      <c r="M1647" s="71">
        <f>IFERROR(IF(VLOOKUP(A1647,[11]PRIORIZADOS!$A:$M,13,FALSE)="","",VLOOKUP(A1647,[11]PRIORIZADOS!$A:$M,13,FALSE)),"")</f>
        <v>45756</v>
      </c>
      <c r="N1647" s="71">
        <f>IFERROR(IF(VLOOKUP(A1647,[11]PRIORIZADOS!$A:$N,14,FALSE)="","",VLOOKUP(A1647,[11]PRIORIZADOS!$A:$N,14,FALSE)),"")</f>
        <v>45758</v>
      </c>
      <c r="O1647" s="71">
        <f>IFERROR(IF(VLOOKUP(A1647,[11]PRIORIZADOS!$A:$O,15,FALSE)="","",VLOOKUP(A1647,[11]PRIORIZADOS!$A:$O,15,FALSE)),"")</f>
        <v>45768</v>
      </c>
      <c r="P1647" s="11" t="str">
        <f>IFERROR(IF(VLOOKUP(A1647,[11]PRIORIZADOS!$A:$P,16,FALSE)="","",VLOOKUP(A1647,[11]PRIORIZADOS!$A:$P,16,FALSE)),"")</f>
        <v>Visitas de evaluación con fines de mejoramiento</v>
      </c>
      <c r="Q1647" s="107" t="s">
        <v>373</v>
      </c>
      <c r="R1647" s="11" t="str">
        <f>IFERROR(IF(VLOOKUP(A1647,[11]PRIORIZADOS!$A:$R,18,FALSE)="","",VLOOKUP(A1647,[11]PRIORIZADOS!$A:$R,18,FALSE)),"")</f>
        <v>Los PIAR no están bien construidos, no se evidencia seguimiento a los mismos, la información relacionada no concuerda, no hay evidencias del diseño de actividades direccionadas  a las necesidades de los NNAJ</v>
      </c>
      <c r="S1647" s="11" t="str">
        <f>IFERROR(IF(VLOOKUP(A1647,[11]PRIORIZADOS!$A:$S,19,FALSE)="","",VLOOKUP(A1647,[11]PRIORIZADOS!$A:$S,19,FALSE)),"")</f>
        <v>Fortalecer el diseño, implementación y seguimiento de los PIAR que realmente permita el avance de los estudiantes. Presentar plan de mejoramiento el 20 de mayo de 2025</v>
      </c>
      <c r="T1647" s="70" t="str">
        <f>IFERROR(IF(VLOOKUP(A1647,[11]PRIORIZADOS!$A:$T,20,FALSE)="","",VLOOKUP(A1647,[11]PRIORIZADOS!$A:$T,20,FALSE)),"")</f>
        <v>Si</v>
      </c>
      <c r="U1647" s="11" t="str">
        <f>IFERROR(IF(VLOOKUP(A1647,[11]PRIORIZADOS!$A:$U,21,FALSE)="","",VLOOKUP(A1647,[11]PRIORIZADOS!$A:$U,21,FALSE)),"")</f>
        <v>Revisar PM y verificar que se ajuste a las observaciones realizadas.</v>
      </c>
    </row>
    <row r="1648" spans="1:21" s="1" customFormat="1" ht="84">
      <c r="A1648" s="69">
        <f>IF([11]PRIORIZADOS!A159="","",[11]PRIORIZADOS!A159)</f>
        <v>1615</v>
      </c>
      <c r="B1648" s="70">
        <v>17</v>
      </c>
      <c r="C1648" s="11" t="str">
        <f>IFERROR(IF(VLOOKUP(A1648,[11]PRIORIZADOS!$A:$C,3,FALSE)="","",VLOOKUP(A1648,[11]PRIORIZADOS!$A:$C,3,FALSE)),"")</f>
        <v>RAFAEL URIBE URIBE</v>
      </c>
      <c r="D1648" s="11" t="str">
        <f>IFERROR(IF(VLOOKUP(A1648,[11]PRIORIZADOS!$A:$D,4,FALSE)="","",VLOOKUP(A1648,[11]PRIORIZADOS!$A:$D,4,FALSE)),"")</f>
        <v>OFICIAL.</v>
      </c>
      <c r="E1648" s="11" t="str">
        <f>IFERROR(IF(VLOOKUP(A1648,[11]PRIORIZADOS!$A:$E,5,FALSE)="","",VLOOKUP(A1648,[11]PRIORIZADOS!$A:$E,5,FALSE)),"")</f>
        <v>EPBM</v>
      </c>
      <c r="F1648" s="11" t="str">
        <f>IFERROR(IF(VLOOKUP(A1648,[11]PRIORIZADOS!$A:$F,6,FALSE)="","",VLOOKUP(A1648,[11]PRIORIZADOS!$A:$F,6,FALSE)),"")</f>
        <v>COLEGIO_ALEXANDER_FLEMING_IED</v>
      </c>
      <c r="G1648" s="11" t="str">
        <f>IFERROR(IF(VLOOKUP(A1648,[11]PRIORIZADOS!$A:$G,7,FALSE)="","",VLOOKUP(A1648,[11]PRIORIZADOS!$A:$G,7,FALSE)),"")</f>
        <v>COLEGIO_ALEXANDER_FLEMING_IED</v>
      </c>
      <c r="H1648" s="11" t="str">
        <f>IFERROR(IF(VLOOKUP(A1648,[11]PRIORIZADOS!$A:$H,8,FALSE)="","",VLOOKUP(A1648,[11]PRIORIZADOS!$A:$H,8,FALSE)),"")</f>
        <v>Autoevaluación Institucional y Pruebas SABER 11</v>
      </c>
      <c r="I1648" s="11" t="str">
        <f>IFERROR(IF(VLOOKUP(A1648,[11]PRIORIZADOS!$A:$I,9,FALSE)="","",VLOOKUP(A1648,[11]PRIORIZADOS!$A:$I,9,FALSE)),"")</f>
        <v>EVALUACIÓN_CON_FINES_DE_MEJORAMIENTO.</v>
      </c>
      <c r="J1648" s="11" t="str">
        <f>IFERROR(IF(VLOOKUP(A1648,[11]PRIORIZADOS!$A:$J,10,FALSE)="","",VLOOKUP(A1648,[11]PRIORIZADOS!$A:$J,10,FALSE)),"")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48" s="11" t="str">
        <f>IFERROR(IF(VLOOKUP(A1648,[11]PRIORIZADOS!$A:$K,11,FALSE)="","",VLOOKUP(A1648,[11]PRIORIZADOS!$A:$K,11,FALSE)),"")</f>
        <v>BEPCI YADIRA MINA ZAPATA</v>
      </c>
      <c r="L1648" s="11" t="str">
        <f>IFERROR(IF(VLOOKUP(A1648,[11]PRIORIZADOS!$A:$L,12,FALSE)="","",VLOOKUP(A1648,[11]PRIORIZADOS!$A:$L,12,FALSE)),"")</f>
        <v>DORY CONSTANZA SANCHEZ ARAGÓN</v>
      </c>
      <c r="M1648" s="71">
        <f>IFERROR(IF(VLOOKUP(A1648,[11]PRIORIZADOS!$A:$M,13,FALSE)="","",VLOOKUP(A1648,[11]PRIORIZADOS!$A:$M,13,FALSE)),"")</f>
        <v>45756</v>
      </c>
      <c r="N1648" s="71">
        <f>IFERROR(IF(VLOOKUP(A1648,[11]PRIORIZADOS!$A:$N,14,FALSE)="","",VLOOKUP(A1648,[11]PRIORIZADOS!$A:$N,14,FALSE)),"")</f>
        <v>45758</v>
      </c>
      <c r="O1648" s="71">
        <f>IFERROR(IF(VLOOKUP(A1648,[11]PRIORIZADOS!$A:$O,15,FALSE)="","",VLOOKUP(A1648,[11]PRIORIZADOS!$A:$O,15,FALSE)),"")</f>
        <v>45768</v>
      </c>
      <c r="P1648" s="11" t="str">
        <f>IFERROR(IF(VLOOKUP(A1648,[11]PRIORIZADOS!$A:$P,16,FALSE)="","",VLOOKUP(A1648,[11]PRIORIZADOS!$A:$P,16,FALSE)),"")</f>
        <v>Visitas de evaluación con fines de mejoramiento</v>
      </c>
      <c r="Q1648" s="107" t="s">
        <v>373</v>
      </c>
      <c r="R1648" s="11" t="str">
        <f>IFERROR(IF(VLOOKUP(A1648,[11]PRIORIZADOS!$A:$R,18,FALSE)="","",VLOOKUP(A1648,[11]PRIORIZADOS!$A:$R,18,FALSE)),"")</f>
        <v>Se evidencia actualización anual y aprobación del gobierno escolar del manual de convivencia.
No hay claridad en los procesos disciplnares.
La institución se encuentra en un proceso de reestructuración integral del PEI.</v>
      </c>
      <c r="S1648" s="11" t="str">
        <f>IFERROR(IF(VLOOKUP(A1648,[11]PRIORIZADOS!$A:$S,19,FALSE)="","",VLOOKUP(A1648,[11]PRIORIZADOS!$A:$S,19,FALSE)),"")</f>
        <v>Continuar los procesos de actualización del manual con la participación con el gobierno escolar. Presentar plan de mejoramiento el 20 de mayo de 2025</v>
      </c>
      <c r="T1648" s="70" t="str">
        <f>IFERROR(IF(VLOOKUP(A1648,[11]PRIORIZADOS!$A:$T,20,FALSE)="","",VLOOKUP(A1648,[11]PRIORIZADOS!$A:$T,20,FALSE)),"")</f>
        <v>Si</v>
      </c>
      <c r="U1648" s="11" t="str">
        <f>IFERROR(IF(VLOOKUP(A1648,[11]PRIORIZADOS!$A:$U,21,FALSE)="","",VLOOKUP(A1648,[11]PRIORIZADOS!$A:$U,21,FALSE)),"")</f>
        <v>Revisar PM y verificar que se ajuste a las observaciones realizadas.</v>
      </c>
    </row>
    <row r="1649" spans="1:21" s="1" customFormat="1" ht="48">
      <c r="A1649" s="69">
        <f>IF([11]PRIORIZADOS!A160="","",[11]PRIORIZADOS!A160)</f>
        <v>1616</v>
      </c>
      <c r="B1649" s="70">
        <v>17</v>
      </c>
      <c r="C1649" s="11" t="str">
        <f>IFERROR(IF(VLOOKUP(A1649,[11]PRIORIZADOS!$A:$C,3,FALSE)="","",VLOOKUP(A1649,[11]PRIORIZADOS!$A:$C,3,FALSE)),"")</f>
        <v>RAFAEL URIBE URIBE</v>
      </c>
      <c r="D1649" s="11" t="str">
        <f>IFERROR(IF(VLOOKUP(A1649,[11]PRIORIZADOS!$A:$D,4,FALSE)="","",VLOOKUP(A1649,[11]PRIORIZADOS!$A:$D,4,FALSE)),"")</f>
        <v>OFICIAL.</v>
      </c>
      <c r="E1649" s="11" t="str">
        <f>IFERROR(IF(VLOOKUP(A1649,[11]PRIORIZADOS!$A:$E,5,FALSE)="","",VLOOKUP(A1649,[11]PRIORIZADOS!$A:$E,5,FALSE)),"")</f>
        <v>EPBM</v>
      </c>
      <c r="F1649" s="11" t="str">
        <f>IFERROR(IF(VLOOKUP(A1649,[11]PRIORIZADOS!$A:$F,6,FALSE)="","",VLOOKUP(A1649,[11]PRIORIZADOS!$A:$F,6,FALSE)),"")</f>
        <v>COLEGIO_ALEXANDER_FLEMING_IED</v>
      </c>
      <c r="G1649" s="11" t="str">
        <f>IFERROR(IF(VLOOKUP(A1649,[11]PRIORIZADOS!$A:$G,7,FALSE)="","",VLOOKUP(A1649,[11]PRIORIZADOS!$A:$G,7,FALSE)),"")</f>
        <v>COLEGIO_ALEXANDER_FLEMING_IED</v>
      </c>
      <c r="H1649" s="11" t="str">
        <f>IFERROR(IF(VLOOKUP(A1649,[11]PRIORIZADOS!$A:$H,8,FALSE)="","",VLOOKUP(A1649,[11]PRIORIZADOS!$A:$H,8,FALSE)),"")</f>
        <v>Autoevaluación Institucional y Pruebas SABER 11</v>
      </c>
      <c r="I1649" s="11" t="str">
        <f>IFERROR(IF(VLOOKUP(A1649,[11]PRIORIZADOS!$A:$I,9,FALSE)="","",VLOOKUP(A1649,[11]PRIORIZADOS!$A:$I,9,FALSE)),"")</f>
        <v>EVALUACIÓN_CON_FINES_DE_MEJORAMIENTO.</v>
      </c>
      <c r="J1649" s="11" t="str">
        <f>IFERROR(IF(VLOOKUP(A1649,[11]PRIORIZADOS!$A:$J,10,FALSE)="","",VLOOKUP(A1649,[11]PRIORIZADOS!$A:$J,10,FALSE)),"")</f>
        <v>Revisar la actualización, socialización e implementación del Sistema Institucional de Evaluación de Estudiantes - SIEE, en articulación con la actualización del PEI y la normatividad vigente.</v>
      </c>
      <c r="K1649" s="11" t="str">
        <f>IFERROR(IF(VLOOKUP(A1649,[11]PRIORIZADOS!$A:$K,11,FALSE)="","",VLOOKUP(A1649,[11]PRIORIZADOS!$A:$K,11,FALSE)),"")</f>
        <v>BEPCI YADIRA MINA ZAPATA</v>
      </c>
      <c r="L1649" s="11" t="str">
        <f>IFERROR(IF(VLOOKUP(A1649,[11]PRIORIZADOS!$A:$L,12,FALSE)="","",VLOOKUP(A1649,[11]PRIORIZADOS!$A:$L,12,FALSE)),"")</f>
        <v>DORY CONSTANZA SANCHEZ ARAGÓN</v>
      </c>
      <c r="M1649" s="71">
        <f>IFERROR(IF(VLOOKUP(A1649,[11]PRIORIZADOS!$A:$M,13,FALSE)="","",VLOOKUP(A1649,[11]PRIORIZADOS!$A:$M,13,FALSE)),"")</f>
        <v>45756</v>
      </c>
      <c r="N1649" s="71">
        <f>IFERROR(IF(VLOOKUP(A1649,[11]PRIORIZADOS!$A:$N,14,FALSE)="","",VLOOKUP(A1649,[11]PRIORIZADOS!$A:$N,14,FALSE)),"")</f>
        <v>45758</v>
      </c>
      <c r="O1649" s="71">
        <f>IFERROR(IF(VLOOKUP(A1649,[11]PRIORIZADOS!$A:$O,15,FALSE)="","",VLOOKUP(A1649,[11]PRIORIZADOS!$A:$O,15,FALSE)),"")</f>
        <v>45768</v>
      </c>
      <c r="P1649" s="11" t="str">
        <f>IFERROR(IF(VLOOKUP(A1649,[11]PRIORIZADOS!$A:$P,16,FALSE)="","",VLOOKUP(A1649,[11]PRIORIZADOS!$A:$P,16,FALSE)),"")</f>
        <v>Visitas de evaluación con fines de mejoramiento</v>
      </c>
      <c r="Q1649" s="107" t="s">
        <v>373</v>
      </c>
      <c r="R1649" s="11" t="str">
        <f>IFERROR(IF(VLOOKUP(A1649,[11]PRIORIZADOS!$A:$R,18,FALSE)="","",VLOOKUP(A1649,[11]PRIORIZADOS!$A:$R,18,FALSE)),"")</f>
        <v>Cuenta con un SIEE actualizado y con participación del gobierno escolar.
La institución se encuentra en un proceso de reestructuración integral del PEI.</v>
      </c>
      <c r="S1649" s="11" t="str">
        <f>IFERROR(IF(VLOOKUP(A1649,[11]PRIORIZADOS!$A:$S,19,FALSE)="","",VLOOKUP(A1649,[11]PRIORIZADOS!$A:$S,19,FALSE)),"")</f>
        <v>Continuar los procesos de actualización del SIEE con la participación con el gobierno escolar. Presentar plan de mejoramiento el 20 de mayo de 2025</v>
      </c>
      <c r="T1649" s="70" t="str">
        <f>IFERROR(IF(VLOOKUP(A1649,[11]PRIORIZADOS!$A:$T,20,FALSE)="","",VLOOKUP(A1649,[11]PRIORIZADOS!$A:$T,20,FALSE)),"")</f>
        <v>Si</v>
      </c>
      <c r="U1649" s="11" t="str">
        <f>IFERROR(IF(VLOOKUP(A1649,[11]PRIORIZADOS!$A:$U,21,FALSE)="","",VLOOKUP(A1649,[11]PRIORIZADOS!$A:$U,21,FALSE)),"")</f>
        <v>Revisar PM y verificar que se ajuste a las observaciones realizadas.</v>
      </c>
    </row>
    <row r="1650" spans="1:21" s="1" customFormat="1" ht="48">
      <c r="A1650" s="69">
        <f>IF([11]PRIORIZADOS!A161="","",[11]PRIORIZADOS!A161)</f>
        <v>1617</v>
      </c>
      <c r="B1650" s="70">
        <v>17</v>
      </c>
      <c r="C1650" s="11" t="str">
        <f>IFERROR(IF(VLOOKUP(A1650,[11]PRIORIZADOS!$A:$C,3,FALSE)="","",VLOOKUP(A1650,[11]PRIORIZADOS!$A:$C,3,FALSE)),"")</f>
        <v>RAFAEL URIBE URIBE</v>
      </c>
      <c r="D1650" s="11" t="str">
        <f>IFERROR(IF(VLOOKUP(A1650,[11]PRIORIZADOS!$A:$D,4,FALSE)="","",VLOOKUP(A1650,[11]PRIORIZADOS!$A:$D,4,FALSE)),"")</f>
        <v>OFICIAL.</v>
      </c>
      <c r="E1650" s="11" t="str">
        <f>IFERROR(IF(VLOOKUP(A1650,[11]PRIORIZADOS!$A:$E,5,FALSE)="","",VLOOKUP(A1650,[11]PRIORIZADOS!$A:$E,5,FALSE)),"")</f>
        <v>EPBM</v>
      </c>
      <c r="F1650" s="11" t="str">
        <f>IFERROR(IF(VLOOKUP(A1650,[11]PRIORIZADOS!$A:$F,6,FALSE)="","",VLOOKUP(A1650,[11]PRIORIZADOS!$A:$F,6,FALSE)),"")</f>
        <v>COLEGIO_ALEXANDER_FLEMING_IED</v>
      </c>
      <c r="G1650" s="11" t="str">
        <f>IFERROR(IF(VLOOKUP(A1650,[11]PRIORIZADOS!$A:$G,7,FALSE)="","",VLOOKUP(A1650,[11]PRIORIZADOS!$A:$G,7,FALSE)),"")</f>
        <v>COLEGIO_ALEXANDER_FLEMING_IED</v>
      </c>
      <c r="H1650" s="11" t="str">
        <f>IFERROR(IF(VLOOKUP(A1650,[11]PRIORIZADOS!$A:$H,8,FALSE)="","",VLOOKUP(A1650,[11]PRIORIZADOS!$A:$H,8,FALSE)),"")</f>
        <v>Autoevaluación Institucional y Pruebas SABER 11</v>
      </c>
      <c r="I1650" s="11" t="str">
        <f>IFERROR(IF(VLOOKUP(A1650,[11]PRIORIZADOS!$A:$I,9,FALSE)="","",VLOOKUP(A1650,[11]PRIORIZADOS!$A:$I,9,FALSE)),"")</f>
        <v>EVALUACIÓN_CON_FINES_DE_MEJORAMIENTO.</v>
      </c>
      <c r="J1650" s="11" t="str">
        <f>IFERROR(IF(VLOOKUP(A1650,[11]PRIORIZADOS!$A:$J,10,FALSE)="","",VLOOKUP(A1650,[11]PRIORIZADOS!$A:$J,10,FALSE)),"")</f>
        <v>Revisar el calendario escolar, jornada escolar, la intensidad horaria mínima anual en cada nivel y las modificaciones que se realicen al mismo, de acuerdo con lo previsto en la normatividad vigente.</v>
      </c>
      <c r="K1650" s="11" t="str">
        <f>IFERROR(IF(VLOOKUP(A1650,[11]PRIORIZADOS!$A:$K,11,FALSE)="","",VLOOKUP(A1650,[11]PRIORIZADOS!$A:$K,11,FALSE)),"")</f>
        <v>BEPCI YADIRA MINA ZAPATA</v>
      </c>
      <c r="L1650" s="11" t="str">
        <f>IFERROR(IF(VLOOKUP(A1650,[11]PRIORIZADOS!$A:$L,12,FALSE)="","",VLOOKUP(A1650,[11]PRIORIZADOS!$A:$L,12,FALSE)),"")</f>
        <v>DORY CONSTANZA SANCHEZ ARAGÓN</v>
      </c>
      <c r="M1650" s="71">
        <f>IFERROR(IF(VLOOKUP(A1650,[11]PRIORIZADOS!$A:$M,13,FALSE)="","",VLOOKUP(A1650,[11]PRIORIZADOS!$A:$M,13,FALSE)),"")</f>
        <v>45756</v>
      </c>
      <c r="N1650" s="71">
        <f>IFERROR(IF(VLOOKUP(A1650,[11]PRIORIZADOS!$A:$N,14,FALSE)="","",VLOOKUP(A1650,[11]PRIORIZADOS!$A:$N,14,FALSE)),"")</f>
        <v>45758</v>
      </c>
      <c r="O1650" s="71">
        <f>IFERROR(IF(VLOOKUP(A1650,[11]PRIORIZADOS!$A:$O,15,FALSE)="","",VLOOKUP(A1650,[11]PRIORIZADOS!$A:$O,15,FALSE)),"")</f>
        <v>45768</v>
      </c>
      <c r="P1650" s="11" t="str">
        <f>IFERROR(IF(VLOOKUP(A1650,[11]PRIORIZADOS!$A:$P,16,FALSE)="","",VLOOKUP(A1650,[11]PRIORIZADOS!$A:$P,16,FALSE)),"")</f>
        <v>Visitas de evaluación con fines de mejoramiento</v>
      </c>
      <c r="Q1650" s="107" t="s">
        <v>373</v>
      </c>
      <c r="R1650" s="11" t="str">
        <f>IFERROR(IF(VLOOKUP(A1650,[11]PRIORIZADOS!$A:$R,18,FALSE)="","",VLOOKUP(A1650,[11]PRIORIZADOS!$A:$R,18,FALSE)),"")</f>
        <v>La institución cuenta con resolución rectoral de adpción de calendario escolar a la resolución No 1811 del 31 de octubre de 2024</v>
      </c>
      <c r="S1650" s="11" t="str">
        <f>IFERROR(IF(VLOOKUP(A1650,[11]PRIORIZADOS!$A:$S,19,FALSE)="","",VLOOKUP(A1650,[11]PRIORIZADOS!$A:$S,19,FALSE)),"")</f>
        <v>Dar cumplimiento a lo establecido en el calendario</v>
      </c>
      <c r="T1650" s="70" t="str">
        <f>IFERROR(IF(VLOOKUP(A1650,[11]PRIORIZADOS!$A:$T,20,FALSE)="","",VLOOKUP(A1650,[11]PRIORIZADOS!$A:$T,20,FALSE)),"")</f>
        <v>No</v>
      </c>
      <c r="U1650" s="11" t="str">
        <f>IFERROR(IF(VLOOKUP(A1650,[11]PRIORIZADOS!$A:$U,21,FALSE)="","",VLOOKUP(A1650,[11]PRIORIZADOS!$A:$U,21,FALSE)),"")</f>
        <v>Verificar en caso de presentarse una queja</v>
      </c>
    </row>
    <row r="1651" spans="1:21" s="1" customFormat="1" ht="48">
      <c r="A1651" s="69">
        <f>IF([11]PRIORIZADOS!A162="","",[11]PRIORIZADOS!A162)</f>
        <v>1618</v>
      </c>
      <c r="B1651" s="70">
        <v>17</v>
      </c>
      <c r="C1651" s="11" t="str">
        <f>IFERROR(IF(VLOOKUP(A1651,[11]PRIORIZADOS!$A:$C,3,FALSE)="","",VLOOKUP(A1651,[11]PRIORIZADOS!$A:$C,3,FALSE)),"")</f>
        <v>RAFAEL URIBE URIBE</v>
      </c>
      <c r="D1651" s="11" t="str">
        <f>IFERROR(IF(VLOOKUP(A1651,[11]PRIORIZADOS!$A:$D,4,FALSE)="","",VLOOKUP(A1651,[11]PRIORIZADOS!$A:$D,4,FALSE)),"")</f>
        <v>OFICIAL.</v>
      </c>
      <c r="E1651" s="11" t="str">
        <f>IFERROR(IF(VLOOKUP(A1651,[11]PRIORIZADOS!$A:$E,5,FALSE)="","",VLOOKUP(A1651,[11]PRIORIZADOS!$A:$E,5,FALSE)),"")</f>
        <v>EPBM</v>
      </c>
      <c r="F1651" s="11" t="str">
        <f>IFERROR(IF(VLOOKUP(A1651,[11]PRIORIZADOS!$A:$F,6,FALSE)="","",VLOOKUP(A1651,[11]PRIORIZADOS!$A:$F,6,FALSE)),"")</f>
        <v>COLEGIO_ALEXANDER_FLEMING_IED</v>
      </c>
      <c r="G1651" s="11" t="str">
        <f>IFERROR(IF(VLOOKUP(A1651,[11]PRIORIZADOS!$A:$G,7,FALSE)="","",VLOOKUP(A1651,[11]PRIORIZADOS!$A:$G,7,FALSE)),"")</f>
        <v>COLEGIO_ALEXANDER_FLEMING_IED</v>
      </c>
      <c r="H1651" s="11" t="str">
        <f>IFERROR(IF(VLOOKUP(A1651,[11]PRIORIZADOS!$A:$H,8,FALSE)="","",VLOOKUP(A1651,[11]PRIORIZADOS!$A:$H,8,FALSE)),"")</f>
        <v>Autoevaluación Institucional y Pruebas SABER 11</v>
      </c>
      <c r="I1651" s="11" t="str">
        <f>IFERROR(IF(VLOOKUP(A1651,[11]PRIORIZADOS!$A:$I,9,FALSE)="","",VLOOKUP(A1651,[11]PRIORIZADOS!$A:$I,9,FALSE)),"")</f>
        <v>EVALUACIÓN_CON_FINES_DE_MEJORAMIENTO.</v>
      </c>
      <c r="J1651" s="11" t="str">
        <f>IFERROR(IF(VLOOKUP(A1651,[11]PRIORIZADOS!$A:$J,10,FALSE)="","",VLOOKUP(A1651,[11]PRIORIZADOS!$A:$J,10,FALSE)),"")</f>
        <v>Verificar el funcionamiento del Gobierno Escolar e instancias de participación con base en la información sobre conformación reportada por la institución educativa.</v>
      </c>
      <c r="K1651" s="11" t="str">
        <f>IFERROR(IF(VLOOKUP(A1651,[11]PRIORIZADOS!$A:$K,11,FALSE)="","",VLOOKUP(A1651,[11]PRIORIZADOS!$A:$K,11,FALSE)),"")</f>
        <v>BEPCI YADIRA MINA ZAPATA</v>
      </c>
      <c r="L1651" s="11" t="str">
        <f>IFERROR(IF(VLOOKUP(A1651,[11]PRIORIZADOS!$A:$L,12,FALSE)="","",VLOOKUP(A1651,[11]PRIORIZADOS!$A:$L,12,FALSE)),"")</f>
        <v>DORY CONSTANZA SANCHEZ ARAGÓN</v>
      </c>
      <c r="M1651" s="71">
        <f>IFERROR(IF(VLOOKUP(A1651,[11]PRIORIZADOS!$A:$M,13,FALSE)="","",VLOOKUP(A1651,[11]PRIORIZADOS!$A:$M,13,FALSE)),"")</f>
        <v>45756</v>
      </c>
      <c r="N1651" s="71">
        <f>IFERROR(IF(VLOOKUP(A1651,[11]PRIORIZADOS!$A:$N,14,FALSE)="","",VLOOKUP(A1651,[11]PRIORIZADOS!$A:$N,14,FALSE)),"")</f>
        <v>45758</v>
      </c>
      <c r="O1651" s="71">
        <f>IFERROR(IF(VLOOKUP(A1651,[11]PRIORIZADOS!$A:$O,15,FALSE)="","",VLOOKUP(A1651,[11]PRIORIZADOS!$A:$O,15,FALSE)),"")</f>
        <v>45768</v>
      </c>
      <c r="P1651" s="11" t="str">
        <f>IFERROR(IF(VLOOKUP(A1651,[11]PRIORIZADOS!$A:$P,16,FALSE)="","",VLOOKUP(A1651,[11]PRIORIZADOS!$A:$P,16,FALSE)),"")</f>
        <v>Visitas de evaluación con fines de mejoramiento</v>
      </c>
      <c r="Q1651" s="107" t="s">
        <v>373</v>
      </c>
      <c r="R1651" s="11" t="str">
        <f>IFERROR(IF(VLOOKUP(A1651,[11]PRIORIZADOS!$A:$R,18,FALSE)="","",VLOOKUP(A1651,[11]PRIORIZADOS!$A:$R,18,FALSE)),"")</f>
        <v>Se evidencian actas de funcionamiento de los organos del Gobierno Escolar e instancias de participación.</v>
      </c>
      <c r="S1651" s="11" t="str">
        <f>IFERROR(IF(VLOOKUP(A1651,[11]PRIORIZADOS!$A:$S,19,FALSE)="","",VLOOKUP(A1651,[11]PRIORIZADOS!$A:$S,19,FALSE)),"")</f>
        <v>Continuar con las reuniones de los organos del Gobierno Escolar e instancias de participación con las respectivas actas.</v>
      </c>
      <c r="T1651" s="70" t="str">
        <f>IFERROR(IF(VLOOKUP(A1651,[11]PRIORIZADOS!$A:$T,20,FALSE)="","",VLOOKUP(A1651,[11]PRIORIZADOS!$A:$T,20,FALSE)),"")</f>
        <v>No</v>
      </c>
      <c r="U1651" s="11" t="str">
        <f>IFERROR(IF(VLOOKUP(A1651,[11]PRIORIZADOS!$A:$U,21,FALSE)="","",VLOOKUP(A1651,[11]PRIORIZADOS!$A:$U,21,FALSE)),"")</f>
        <v>Verificar en caso de presentarse una queja</v>
      </c>
    </row>
    <row r="1652" spans="1:21" s="1" customFormat="1" ht="60">
      <c r="A1652" s="69">
        <f>IF([11]PRIORIZADOS!A163="","",[11]PRIORIZADOS!A163)</f>
        <v>1619</v>
      </c>
      <c r="B1652" s="70">
        <v>17</v>
      </c>
      <c r="C1652" s="11" t="str">
        <f>IFERROR(IF(VLOOKUP(A1652,[11]PRIORIZADOS!$A:$C,3,FALSE)="","",VLOOKUP(A1652,[11]PRIORIZADOS!$A:$C,3,FALSE)),"")</f>
        <v>RAFAEL URIBE URIBE</v>
      </c>
      <c r="D1652" s="11" t="str">
        <f>IFERROR(IF(VLOOKUP(A1652,[11]PRIORIZADOS!$A:$D,4,FALSE)="","",VLOOKUP(A1652,[11]PRIORIZADOS!$A:$D,4,FALSE)),"")</f>
        <v>OFICIAL.</v>
      </c>
      <c r="E1652" s="11" t="str">
        <f>IFERROR(IF(VLOOKUP(A1652,[11]PRIORIZADOS!$A:$E,5,FALSE)="","",VLOOKUP(A1652,[11]PRIORIZADOS!$A:$E,5,FALSE)),"")</f>
        <v>EPBM</v>
      </c>
      <c r="F1652" s="11" t="str">
        <f>IFERROR(IF(VLOOKUP(A1652,[11]PRIORIZADOS!$A:$F,6,FALSE)="","",VLOOKUP(A1652,[11]PRIORIZADOS!$A:$F,6,FALSE)),"")</f>
        <v>COLEGIO_ALEXANDER_FLEMING_IED</v>
      </c>
      <c r="G1652" s="11" t="str">
        <f>IFERROR(IF(VLOOKUP(A1652,[11]PRIORIZADOS!$A:$G,7,FALSE)="","",VLOOKUP(A1652,[11]PRIORIZADOS!$A:$G,7,FALSE)),"")</f>
        <v>COLEGIO_ALEXANDER_FLEMING_IED</v>
      </c>
      <c r="H1652" s="11" t="str">
        <f>IFERROR(IF(VLOOKUP(A1652,[11]PRIORIZADOS!$A:$H,8,FALSE)="","",VLOOKUP(A1652,[11]PRIORIZADOS!$A:$H,8,FALSE)),"")</f>
        <v>Autoevaluación Institucional y Pruebas SABER 11</v>
      </c>
      <c r="I1652" s="11" t="str">
        <f>IFERROR(IF(VLOOKUP(A1652,[11]PRIORIZADOS!$A:$I,9,FALSE)="","",VLOOKUP(A1652,[11]PRIORIZADOS!$A:$I,9,FALSE)),"")</f>
        <v>EVALUACIÓN_CON_FINES_DE_MEJORAMIENTO.</v>
      </c>
      <c r="J1652" s="11" t="str">
        <f>IFERROR(IF(VLOOKUP(A1652,[11]PRIORIZADOS!$A:$J,10,FALSE)="","",VLOOKUP(A1652,[11]PRIORIZADOS!$A:$J,10,FALSE)),"")</f>
        <v>Verificar las condiciones en cuanto a: la estructura administrativa, condiciones de la planta física y medios educativos adecuados.</v>
      </c>
      <c r="K1652" s="11" t="str">
        <f>IFERROR(IF(VLOOKUP(A1652,[11]PRIORIZADOS!$A:$K,11,FALSE)="","",VLOOKUP(A1652,[11]PRIORIZADOS!$A:$K,11,FALSE)),"")</f>
        <v>BEPCI YADIRA MINA ZAPATA</v>
      </c>
      <c r="L1652" s="11" t="str">
        <f>IFERROR(IF(VLOOKUP(A1652,[11]PRIORIZADOS!$A:$L,12,FALSE)="","",VLOOKUP(A1652,[11]PRIORIZADOS!$A:$L,12,FALSE)),"")</f>
        <v>DORY CONSTANZA SANCHEZ ARAGÓN</v>
      </c>
      <c r="M1652" s="71">
        <f>IFERROR(IF(VLOOKUP(A1652,[11]PRIORIZADOS!$A:$M,13,FALSE)="","",VLOOKUP(A1652,[11]PRIORIZADOS!$A:$M,13,FALSE)),"")</f>
        <v>45756</v>
      </c>
      <c r="N1652" s="71">
        <f>IFERROR(IF(VLOOKUP(A1652,[11]PRIORIZADOS!$A:$N,14,FALSE)="","",VLOOKUP(A1652,[11]PRIORIZADOS!$A:$N,14,FALSE)),"")</f>
        <v>45758</v>
      </c>
      <c r="O1652" s="71">
        <f>IFERROR(IF(VLOOKUP(A1652,[11]PRIORIZADOS!$A:$O,15,FALSE)="","",VLOOKUP(A1652,[11]PRIORIZADOS!$A:$O,15,FALSE)),"")</f>
        <v>45768</v>
      </c>
      <c r="P1652" s="11" t="str">
        <f>IFERROR(IF(VLOOKUP(A1652,[11]PRIORIZADOS!$A:$P,16,FALSE)="","",VLOOKUP(A1652,[11]PRIORIZADOS!$A:$P,16,FALSE)),"")</f>
        <v>Visitas de evaluación con fines de mejoramiento</v>
      </c>
      <c r="Q1652" s="107" t="s">
        <v>373</v>
      </c>
      <c r="R1652" s="11" t="str">
        <f>IFERROR(IF(VLOOKUP(A1652,[11]PRIORIZADOS!$A:$R,18,FALSE)="","",VLOOKUP(A1652,[11]PRIORIZADOS!$A:$R,18,FALSE)),"")</f>
        <v>Verificación de planta física de la Sede A en arrendamiento, se encuentra en buenas condiciones. La sede A del colegio está en obra  para entrega en el segundo semestre de 2025.</v>
      </c>
      <c r="S1652" s="11" t="str">
        <f>IFERROR(IF(VLOOKUP(A1652,[11]PRIORIZADOS!$A:$S,19,FALSE)="","",VLOOKUP(A1652,[11]PRIORIZADOS!$A:$S,19,FALSE)),"")</f>
        <v>Reorganizar las sedes de la institución con la entrega de la obra y la proyección que tiene el colegio es cerrar las sedes C y D.</v>
      </c>
      <c r="T1652" s="70" t="str">
        <f>IFERROR(IF(VLOOKUP(A1652,[11]PRIORIZADOS!$A:$T,20,FALSE)="","",VLOOKUP(A1652,[11]PRIORIZADOS!$A:$T,20,FALSE)),"")</f>
        <v>No</v>
      </c>
      <c r="U1652" s="11" t="str">
        <f>IFERROR(IF(VLOOKUP(A1652,[11]PRIORIZADOS!$A:$U,21,FALSE)="","",VLOOKUP(A1652,[11]PRIORIZADOS!$A:$U,21,FALSE)),"")</f>
        <v>Verificar en caso de presentarse una queja</v>
      </c>
    </row>
    <row r="1653" spans="1:21" s="1" customFormat="1" ht="107.25">
      <c r="A1653" s="69">
        <f>IF([11]PRIORIZADOS!A164="","",[11]PRIORIZADOS!A164)</f>
        <v>1620</v>
      </c>
      <c r="B1653" s="70">
        <f>IFERROR(IF(VLOOKUP(A1653,[11]PRIORIZADOS!$A:$B,2,FALSE)="","",VLOOKUP(A1653,[11]PRIORIZADOS!$A:$B,2,FALSE)),"")</f>
        <v>18</v>
      </c>
      <c r="C1653" s="11" t="str">
        <f>IFERROR(IF(VLOOKUP(A1653,[11]PRIORIZADOS!$A:$C,3,FALSE)="","",VLOOKUP(A1653,[11]PRIORIZADOS!$A:$C,3,FALSE)),"")</f>
        <v>RAFAEL URIBE URIBE</v>
      </c>
      <c r="D1653" s="11" t="str">
        <f>IFERROR(IF(VLOOKUP(A1653,[11]PRIORIZADOS!$A:$D,4,FALSE)="","",VLOOKUP(A1653,[11]PRIORIZADOS!$A:$D,4,FALSE)),"")</f>
        <v>OFICIAL.</v>
      </c>
      <c r="E1653" s="11" t="str">
        <f>IFERROR(IF(VLOOKUP(A1653,[11]PRIORIZADOS!$A:$E,5,FALSE)="","",VLOOKUP(A1653,[11]PRIORIZADOS!$A:$E,5,FALSE)),"")</f>
        <v>EPBM</v>
      </c>
      <c r="F1653" s="11" t="str">
        <f>IFERROR(IF(VLOOKUP(A1653,[11]PRIORIZADOS!$A:$F,6,FALSE)="","",VLOOKUP(A1653,[11]PRIORIZADOS!$A:$F,6,FALSE)),"")</f>
        <v>COLEGIO_MISAEL_PASTRANA_BORRERO_IED</v>
      </c>
      <c r="G1653" s="11" t="str">
        <f>IFERROR(IF(VLOOKUP(A1653,[11]PRIORIZADOS!$A:$G,7,FALSE)="","",VLOOKUP(A1653,[11]PRIORIZADOS!$A:$G,7,FALSE)),"")</f>
        <v>MISAEL_PASTRANA_BORRERO</v>
      </c>
      <c r="H1653" s="11" t="str">
        <f>IFERROR(IF(VLOOKUP(A1653,[11]PRIORIZADOS!$A:$H,8,FALSE)="","",VLOOKUP(A1653,[11]PRIORIZADOS!$A:$H,8,FALSE)),"")</f>
        <v>Autoevaluación Institucional y Pruebas SABER 11</v>
      </c>
      <c r="I1653" s="11" t="str">
        <f>IFERROR(IF(VLOOKUP(A1653,[11]PRIORIZADOS!$A:$I,9,FALSE)="","",VLOOKUP(A1653,[11]PRIORIZADOS!$A:$I,9,FALSE)),"")</f>
        <v>SEGUIMIENTO_Y_SUPERVISIÓN.</v>
      </c>
      <c r="J1653" s="11" t="str">
        <f>IFERROR(IF(VLOOKUP(A1653,[11]PRIORIZADOS!$A:$J,10,FALSE)="","",VLOOKUP(A1653,[11]PRIORIZADOS!$A:$J,10,FALSE)),"")</f>
        <v>Proponer estrategias en la formulación, verificar su elaboración y realizar seguimiento semestral al desarrollo de  las acciones establecidas en los planes de mejoramiento por pruebas SABER 11 de los establecimientos de educación formal.</v>
      </c>
      <c r="K1653" s="11" t="str">
        <f>IFERROR(IF(VLOOKUP(A1653,[11]PRIORIZADOS!$A:$K,11,FALSE)="","",VLOOKUP(A1653,[11]PRIORIZADOS!$A:$K,11,FALSE)),"")</f>
        <v>BEPCI YADIRA MINA ZAPATA</v>
      </c>
      <c r="L1653" s="11" t="str">
        <f>IFERROR(IF(VLOOKUP(A1653,[11]PRIORIZADOS!$A:$L,12,FALSE)="","",VLOOKUP(A1653,[11]PRIORIZADOS!$A:$L,12,FALSE)),"")</f>
        <v>DORY CONSTANZA SANCHEZ ARAGÓN</v>
      </c>
      <c r="M1653" s="71">
        <f>IFERROR(IF(VLOOKUP(A1653,[11]PRIORIZADOS!$A:$M,13,FALSE)="","",VLOOKUP(A1653,[11]PRIORIZADOS!$A:$M,13,FALSE)),"")</f>
        <v>45798</v>
      </c>
      <c r="N1653" s="71">
        <f>IFERROR(IF(VLOOKUP(A1653,[11]PRIORIZADOS!$A:$N,14,FALSE)="","",VLOOKUP(A1653,[11]PRIORIZADOS!$A:$N,14,FALSE)),"")</f>
        <v>45916</v>
      </c>
      <c r="O1653" s="71">
        <f>IFERROR(IF(VLOOKUP(A1653,[11]PRIORIZADOS!$A:$O,15,FALSE)="","",VLOOKUP(A1653,[11]PRIORIZADOS!$A:$O,15,FALSE)),"")</f>
        <v>45919</v>
      </c>
      <c r="P1653" s="11" t="str">
        <f>IFERROR(IF(VLOOKUP(A1653,[11]PRIORIZADOS!$A:$P,16,FALSE)="","",VLOOKUP(A1653,[11]PRIORIZADOS!$A:$P,16,FALSE)),"")</f>
        <v>Visitas de evaluación con fines de mejoramiento</v>
      </c>
      <c r="Q1653" s="5" t="s">
        <v>374</v>
      </c>
      <c r="R1653" s="11" t="str">
        <f>IFERROR(IF(VLOOKUP(A1653,[11]PRIORIZADOS!$A:$R,18,FALSE)="","",VLOOKUP(A1653,[11]PRIORIZADOS!$A:$R,18,FALSE)),"")</f>
        <v>El colegio presenta la revisión y el análisis de los resultados obtenidos en la jornada noctura, allega acta de trabajo que involucra a los docentes de las tres jornadas realizada en la semana institucional, pero este análisis lo hicieron solo desde los resulatdos que obtuvieron los estudiantes en cada uan de las pruebas y no desde los resultadfos agregados</v>
      </c>
      <c r="S1653" s="11" t="str">
        <f>IFERROR(IF(VLOOKUP(A1653,[11]PRIORIZADOS!$A:$S,19,FALSE)="","",VLOOKUP(A1653,[11]PRIORIZADOS!$A:$S,19,FALSE)),"")</f>
        <v>Realizar analisis de las Pruebas Saber y establecer acciones pertinentes. Presentar plan de mejoramiento el 17 de octubre de 2025</v>
      </c>
      <c r="T1653" s="70" t="str">
        <f>IFERROR(IF(VLOOKUP(A1653,[11]PRIORIZADOS!$A:$T,20,FALSE)="","",VLOOKUP(A1653,[11]PRIORIZADOS!$A:$T,20,FALSE)),"")</f>
        <v>Si</v>
      </c>
      <c r="U1653" s="11" t="str">
        <f>IFERROR(IF(VLOOKUP(A1653,[11]PRIORIZADOS!$A:$U,21,FALSE)="","",VLOOKUP(A1653,[11]PRIORIZADOS!$A:$U,21,FALSE)),"")</f>
        <v>Revisar PM y verificar que se ajuste a las observaciones realizadas.</v>
      </c>
    </row>
    <row r="1654" spans="1:21" s="1" customFormat="1" ht="72">
      <c r="A1654" s="69">
        <f>IF([11]PRIORIZADOS!A165="","",[11]PRIORIZADOS!A165)</f>
        <v>1621</v>
      </c>
      <c r="B1654" s="70">
        <v>18</v>
      </c>
      <c r="C1654" s="11" t="str">
        <f>IFERROR(IF(VLOOKUP(A1654,[11]PRIORIZADOS!$A:$C,3,FALSE)="","",VLOOKUP(A1654,[11]PRIORIZADOS!$A:$C,3,FALSE)),"")</f>
        <v>RAFAEL URIBE URIBE</v>
      </c>
      <c r="D1654" s="11" t="str">
        <f>IFERROR(IF(VLOOKUP(A1654,[11]PRIORIZADOS!$A:$D,4,FALSE)="","",VLOOKUP(A1654,[11]PRIORIZADOS!$A:$D,4,FALSE)),"")</f>
        <v>OFICIAL.</v>
      </c>
      <c r="E1654" s="11" t="str">
        <f>IFERROR(IF(VLOOKUP(A1654,[11]PRIORIZADOS!$A:$E,5,FALSE)="","",VLOOKUP(A1654,[11]PRIORIZADOS!$A:$E,5,FALSE)),"")</f>
        <v>EPBM</v>
      </c>
      <c r="F1654" s="11" t="str">
        <f>IFERROR(IF(VLOOKUP(A1654,[11]PRIORIZADOS!$A:$F,6,FALSE)="","",VLOOKUP(A1654,[11]PRIORIZADOS!$A:$F,6,FALSE)),"")</f>
        <v>COLEGIO_MISAEL_PASTRANA_BORRERO_IED</v>
      </c>
      <c r="G1654" s="11" t="str">
        <f>IFERROR(IF(VLOOKUP(A1654,[11]PRIORIZADOS!$A:$G,7,FALSE)="","",VLOOKUP(A1654,[11]PRIORIZADOS!$A:$G,7,FALSE)),"")</f>
        <v>MISAEL_PASTRANA_BORRERO</v>
      </c>
      <c r="H1654" s="11" t="str">
        <f>IFERROR(IF(VLOOKUP(A1654,[11]PRIORIZADOS!$A:$H,8,FALSE)="","",VLOOKUP(A1654,[11]PRIORIZADOS!$A:$H,8,FALSE)),"")</f>
        <v>Autoevaluación Institucional y Pruebas SABER 11</v>
      </c>
      <c r="I1654" s="11" t="str">
        <f>IFERROR(IF(VLOOKUP(A1654,[11]PRIORIZADOS!$A:$I,9,FALSE)="","",VLOOKUP(A1654,[11]PRIORIZADOS!$A:$I,9,FALSE)),"")</f>
        <v>SEGUIMIENTO_Y_SUPERVISIÓN.</v>
      </c>
      <c r="J1654" s="11" t="str">
        <f>IFERROR(IF(VLOOKUP(A1654,[11]PRIORIZADOS!$A:$J,10,FALSE)="","",VLOOKUP(A1654,[11]PRIORIZADOS!$A:$J,10,FALSE)),"")</f>
        <v xml:space="preserve">Verificar la implementación por parte de los colegios, de acciones realizadas para la prevención y atención de las situaciones de convivencia en el entorno escolar, según lo establecido en la Directiva 01 de 2022 del MEN. </v>
      </c>
      <c r="K1654" s="11" t="str">
        <f>IFERROR(IF(VLOOKUP(A1654,[11]PRIORIZADOS!$A:$K,11,FALSE)="","",VLOOKUP(A1654,[11]PRIORIZADOS!$A:$K,11,FALSE)),"")</f>
        <v>BEPCI YADIRA MINA ZAPATA</v>
      </c>
      <c r="L1654" s="11" t="str">
        <f>IFERROR(IF(VLOOKUP(A1654,[11]PRIORIZADOS!$A:$L,12,FALSE)="","",VLOOKUP(A1654,[11]PRIORIZADOS!$A:$L,12,FALSE)),"")</f>
        <v>DORY CONSTANZA SANCHEZ ARAGÓN</v>
      </c>
      <c r="M1654" s="71">
        <f>IFERROR(IF(VLOOKUP(A1654,[11]PRIORIZADOS!$A:$M,13,FALSE)="","",VLOOKUP(A1654,[11]PRIORIZADOS!$A:$M,13,FALSE)),"")</f>
        <v>45798</v>
      </c>
      <c r="N1654" s="71">
        <f>IFERROR(IF(VLOOKUP(A1654,[11]PRIORIZADOS!$A:$N,14,FALSE)="","",VLOOKUP(A1654,[11]PRIORIZADOS!$A:$N,14,FALSE)),"")</f>
        <v>45916</v>
      </c>
      <c r="O1654" s="71">
        <f>IFERROR(IF(VLOOKUP(A1654,[11]PRIORIZADOS!$A:$O,15,FALSE)="","",VLOOKUP(A1654,[11]PRIORIZADOS!$A:$O,15,FALSE)),"")</f>
        <v>45919</v>
      </c>
      <c r="P1654" s="11" t="str">
        <f>IFERROR(IF(VLOOKUP(A1654,[11]PRIORIZADOS!$A:$P,16,FALSE)="","",VLOOKUP(A1654,[11]PRIORIZADOS!$A:$P,16,FALSE)),"")</f>
        <v>Visitas de evaluación con fines de mejoramiento</v>
      </c>
      <c r="Q1654" s="5" t="s">
        <v>374</v>
      </c>
      <c r="R1654" s="11" t="str">
        <f>IFERROR(IF(VLOOKUP(A1654,[11]PRIORIZADOS!$A:$R,18,FALSE)="","",VLOOKUP(A1654,[11]PRIORIZADOS!$A:$R,18,FALSE)),"")</f>
        <v>Se evidencia operatividad del comité de convivencia escolar por medio de las actas. El comité esta realizando actividades de atención de situaciones tipo II y III. No se lidetan las acciones de promoción y prevención</v>
      </c>
      <c r="S1654" s="11" t="str">
        <f>IFERROR(IF(VLOOKUP(A1654,[11]PRIORIZADOS!$A:$S,19,FALSE)="","",VLOOKUP(A1654,[11]PRIORIZADOS!$A:$S,19,FALSE)),"")</f>
        <v>Revisar las funciones del comité de convivencia. Presentan plan de mejoramiento el 17 de octubre de 2025</v>
      </c>
      <c r="T1654" s="70" t="str">
        <f>IFERROR(IF(VLOOKUP(A1654,[11]PRIORIZADOS!$A:$T,20,FALSE)="","",VLOOKUP(A1654,[11]PRIORIZADOS!$A:$T,20,FALSE)),"")</f>
        <v>Si</v>
      </c>
      <c r="U1654" s="11" t="str">
        <f>IFERROR(IF(VLOOKUP(A1654,[11]PRIORIZADOS!$A:$U,21,FALSE)="","",VLOOKUP(A1654,[11]PRIORIZADOS!$A:$U,21,FALSE)),"")</f>
        <v>Revisar PM y verificar que se ajuste a las observaciones realizadas.</v>
      </c>
    </row>
    <row r="1655" spans="1:21" s="1" customFormat="1" ht="72">
      <c r="A1655" s="69">
        <f>IF([11]PRIORIZADOS!A166="","",[11]PRIORIZADOS!A166)</f>
        <v>1622</v>
      </c>
      <c r="B1655" s="70">
        <v>18</v>
      </c>
      <c r="C1655" s="11" t="str">
        <f>IFERROR(IF(VLOOKUP(A1655,[11]PRIORIZADOS!$A:$C,3,FALSE)="","",VLOOKUP(A1655,[11]PRIORIZADOS!$A:$C,3,FALSE)),"")</f>
        <v>RAFAEL URIBE URIBE</v>
      </c>
      <c r="D1655" s="11" t="str">
        <f>IFERROR(IF(VLOOKUP(A1655,[11]PRIORIZADOS!$A:$D,4,FALSE)="","",VLOOKUP(A1655,[11]PRIORIZADOS!$A:$D,4,FALSE)),"")</f>
        <v>OFICIAL.</v>
      </c>
      <c r="E1655" s="11" t="str">
        <f>IFERROR(IF(VLOOKUP(A1655,[11]PRIORIZADOS!$A:$E,5,FALSE)="","",VLOOKUP(A1655,[11]PRIORIZADOS!$A:$E,5,FALSE)),"")</f>
        <v>EPBM</v>
      </c>
      <c r="F1655" s="11" t="str">
        <f>IFERROR(IF(VLOOKUP(A1655,[11]PRIORIZADOS!$A:$F,6,FALSE)="","",VLOOKUP(A1655,[11]PRIORIZADOS!$A:$F,6,FALSE)),"")</f>
        <v>COLEGIO_MISAEL_PASTRANA_BORRERO_IED</v>
      </c>
      <c r="G1655" s="11" t="str">
        <f>IFERROR(IF(VLOOKUP(A1655,[11]PRIORIZADOS!$A:$G,7,FALSE)="","",VLOOKUP(A1655,[11]PRIORIZADOS!$A:$G,7,FALSE)),"")</f>
        <v>MISAEL_PASTRANA_BORRERO</v>
      </c>
      <c r="H1655" s="11" t="str">
        <f>IFERROR(IF(VLOOKUP(A1655,[11]PRIORIZADOS!$A:$H,8,FALSE)="","",VLOOKUP(A1655,[11]PRIORIZADOS!$A:$H,8,FALSE)),"")</f>
        <v>Autoevaluación Institucional y Pruebas SABER 11</v>
      </c>
      <c r="I1655" s="11" t="str">
        <f>IFERROR(IF(VLOOKUP(A1655,[11]PRIORIZADOS!$A:$I,9,FALSE)="","",VLOOKUP(A1655,[11]PRIORIZADOS!$A:$I,9,FALSE)),"")</f>
        <v>SEGUIMIENTO_Y_SUPERVISIÓN.</v>
      </c>
      <c r="J1655" s="11" t="str">
        <f>IFERROR(IF(VLOOKUP(A1655,[11]PRIORIZADOS!$A:$J,10,FALSE)="","",VLOOKUP(A1655,[11]PRIORIZADOS!$A:$J,10,FALSE)),"")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55" s="11" t="str">
        <f>IFERROR(IF(VLOOKUP(A1655,[11]PRIORIZADOS!$A:$K,11,FALSE)="","",VLOOKUP(A1655,[11]PRIORIZADOS!$A:$K,11,FALSE)),"")</f>
        <v>BEPCI YADIRA MINA ZAPATA</v>
      </c>
      <c r="L1655" s="11" t="str">
        <f>IFERROR(IF(VLOOKUP(A1655,[11]PRIORIZADOS!$A:$L,12,FALSE)="","",VLOOKUP(A1655,[11]PRIORIZADOS!$A:$L,12,FALSE)),"")</f>
        <v>DORY CONSTANZA SANCHEZ ARAGÓN</v>
      </c>
      <c r="M1655" s="71">
        <f>IFERROR(IF(VLOOKUP(A1655,[11]PRIORIZADOS!$A:$M,13,FALSE)="","",VLOOKUP(A1655,[11]PRIORIZADOS!$A:$M,13,FALSE)),"")</f>
        <v>45798</v>
      </c>
      <c r="N1655" s="71">
        <f>IFERROR(IF(VLOOKUP(A1655,[11]PRIORIZADOS!$A:$N,14,FALSE)="","",VLOOKUP(A1655,[11]PRIORIZADOS!$A:$N,14,FALSE)),"")</f>
        <v>45916</v>
      </c>
      <c r="O1655" s="71">
        <f>IFERROR(IF(VLOOKUP(A1655,[11]PRIORIZADOS!$A:$O,15,FALSE)="","",VLOOKUP(A1655,[11]PRIORIZADOS!$A:$O,15,FALSE)),"")</f>
        <v>45919</v>
      </c>
      <c r="P1655" s="11" t="str">
        <f>IFERROR(IF(VLOOKUP(A1655,[11]PRIORIZADOS!$A:$P,16,FALSE)="","",VLOOKUP(A1655,[11]PRIORIZADOS!$A:$P,16,FALSE)),"")</f>
        <v>Visitas de evaluación con fines de mejoramiento</v>
      </c>
      <c r="Q1655" s="5" t="s">
        <v>374</v>
      </c>
      <c r="R1655" s="11" t="str">
        <f>IFERROR(IF(VLOOKUP(A1655,[11]PRIORIZADOS!$A:$R,18,FALSE)="","",VLOOKUP(A1655,[11]PRIORIZADOS!$A:$R,18,FALSE)),"")</f>
        <v>El colegio cuenta con los PIAR de los estudiantes, se ha realizado un buen trabajo. Con relación a los transtornos no se encuentran caracterizados y no hay claridad de la cantidad</v>
      </c>
      <c r="S1655" s="11" t="str">
        <f>IFERROR(IF(VLOOKUP(A1655,[11]PRIORIZADOS!$A:$S,19,FALSE)="","",VLOOKUP(A1655,[11]PRIORIZADOS!$A:$S,19,FALSE)),"")</f>
        <v>Caracterizar y organizar la información de los estudiantes con trastornos Presentar plan de mejoramiento el 17 de octubre de 2025</v>
      </c>
      <c r="T1655" s="70" t="str">
        <f>IFERROR(IF(VLOOKUP(A1655,[11]PRIORIZADOS!$A:$T,20,FALSE)="","",VLOOKUP(A1655,[11]PRIORIZADOS!$A:$T,20,FALSE)),"")</f>
        <v>Si</v>
      </c>
      <c r="U1655" s="11" t="str">
        <f>IFERROR(IF(VLOOKUP(A1655,[11]PRIORIZADOS!$A:$U,21,FALSE)="","",VLOOKUP(A1655,[11]PRIORIZADOS!$A:$U,21,FALSE)),"")</f>
        <v>Revisar PM y verificar que se ajuste a las observaciones realizadas.</v>
      </c>
    </row>
    <row r="1656" spans="1:21" s="1" customFormat="1" ht="84">
      <c r="A1656" s="69">
        <f>IF([11]PRIORIZADOS!A167="","",[11]PRIORIZADOS!A167)</f>
        <v>1623</v>
      </c>
      <c r="B1656" s="70">
        <v>18</v>
      </c>
      <c r="C1656" s="11" t="str">
        <f>IFERROR(IF(VLOOKUP(A1656,[11]PRIORIZADOS!$A:$C,3,FALSE)="","",VLOOKUP(A1656,[11]PRIORIZADOS!$A:$C,3,FALSE)),"")</f>
        <v>RAFAEL URIBE URIBE</v>
      </c>
      <c r="D1656" s="11" t="str">
        <f>IFERROR(IF(VLOOKUP(A1656,[11]PRIORIZADOS!$A:$D,4,FALSE)="","",VLOOKUP(A1656,[11]PRIORIZADOS!$A:$D,4,FALSE)),"")</f>
        <v>OFICIAL.</v>
      </c>
      <c r="E1656" s="11" t="str">
        <f>IFERROR(IF(VLOOKUP(A1656,[11]PRIORIZADOS!$A:$E,5,FALSE)="","",VLOOKUP(A1656,[11]PRIORIZADOS!$A:$E,5,FALSE)),"")</f>
        <v>EPBM</v>
      </c>
      <c r="F1656" s="11" t="str">
        <f>IFERROR(IF(VLOOKUP(A1656,[11]PRIORIZADOS!$A:$F,6,FALSE)="","",VLOOKUP(A1656,[11]PRIORIZADOS!$A:$F,6,FALSE)),"")</f>
        <v>COLEGIO_MISAEL_PASTRANA_BORRERO_IED</v>
      </c>
      <c r="G1656" s="11" t="str">
        <f>IFERROR(IF(VLOOKUP(A1656,[11]PRIORIZADOS!$A:$G,7,FALSE)="","",VLOOKUP(A1656,[11]PRIORIZADOS!$A:$G,7,FALSE)),"")</f>
        <v>MISAEL_PASTRANA_BORRERO</v>
      </c>
      <c r="H1656" s="11" t="str">
        <f>IFERROR(IF(VLOOKUP(A1656,[11]PRIORIZADOS!$A:$H,8,FALSE)="","",VLOOKUP(A1656,[11]PRIORIZADOS!$A:$H,8,FALSE)),"")</f>
        <v>Autoevaluación Institucional y Pruebas SABER 11</v>
      </c>
      <c r="I1656" s="11" t="str">
        <f>IFERROR(IF(VLOOKUP(A1656,[11]PRIORIZADOS!$A:$I,9,FALSE)="","",VLOOKUP(A1656,[11]PRIORIZADOS!$A:$I,9,FALSE)),"")</f>
        <v>EVALUACIÓN_CON_FINES_DE_MEJORAMIENTO.</v>
      </c>
      <c r="J1656" s="11" t="str">
        <f>IFERROR(IF(VLOOKUP(A1656,[11]PRIORIZADOS!$A:$J,10,FALSE)="","",VLOOKUP(A1656,[11]PRIORIZADOS!$A:$J,10,FALSE)),"")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56" s="11" t="str">
        <f>IFERROR(IF(VLOOKUP(A1656,[11]PRIORIZADOS!$A:$K,11,FALSE)="","",VLOOKUP(A1656,[11]PRIORIZADOS!$A:$K,11,FALSE)),"")</f>
        <v>BEPCI YADIRA MINA ZAPATA</v>
      </c>
      <c r="L1656" s="11" t="str">
        <f>IFERROR(IF(VLOOKUP(A1656,[11]PRIORIZADOS!$A:$L,12,FALSE)="","",VLOOKUP(A1656,[11]PRIORIZADOS!$A:$L,12,FALSE)),"")</f>
        <v>DORY CONSTANZA SANCHEZ ARAGÓN</v>
      </c>
      <c r="M1656" s="71">
        <f>IFERROR(IF(VLOOKUP(A1656,[11]PRIORIZADOS!$A:$M,13,FALSE)="","",VLOOKUP(A1656,[11]PRIORIZADOS!$A:$M,13,FALSE)),"")</f>
        <v>45798</v>
      </c>
      <c r="N1656" s="71">
        <f>IFERROR(IF(VLOOKUP(A1656,[11]PRIORIZADOS!$A:$N,14,FALSE)="","",VLOOKUP(A1656,[11]PRIORIZADOS!$A:$N,14,FALSE)),"")</f>
        <v>45916</v>
      </c>
      <c r="O1656" s="71">
        <f>IFERROR(IF(VLOOKUP(A1656,[11]PRIORIZADOS!$A:$O,15,FALSE)="","",VLOOKUP(A1656,[11]PRIORIZADOS!$A:$O,15,FALSE)),"")</f>
        <v>45919</v>
      </c>
      <c r="P1656" s="11" t="str">
        <f>IFERROR(IF(VLOOKUP(A1656,[11]PRIORIZADOS!$A:$P,16,FALSE)="","",VLOOKUP(A1656,[11]PRIORIZADOS!$A:$P,16,FALSE)),"")</f>
        <v>Visitas de evaluación con fines de mejoramiento</v>
      </c>
      <c r="Q1656" s="5" t="s">
        <v>374</v>
      </c>
      <c r="R1656" s="11" t="str">
        <f>IFERROR(IF(VLOOKUP(A1656,[11]PRIORIZADOS!$A:$R,18,FALSE)="","",VLOOKUP(A1656,[11]PRIORIZADOS!$A:$R,18,FALSE)),"")</f>
        <v>Se evidencia actualización anual y aprobación del gobierno escolar del manual de convivencia.
No hay claridad en los procesos disciplnares.
La institución se encuentra en un proceso de reestructuración integral del PEI.</v>
      </c>
      <c r="S1656" s="11" t="str">
        <f>IFERROR(IF(VLOOKUP(A1656,[11]PRIORIZADOS!$A:$S,19,FALSE)="","",VLOOKUP(A1656,[11]PRIORIZADOS!$A:$S,19,FALSE)),"")</f>
        <v>Continuar los procesos de actualización del manual con la participación con el gobierno escolar. Presentar plan de mejoramiento el 17 de octubre de 2025</v>
      </c>
      <c r="T1656" s="70" t="str">
        <f>IFERROR(IF(VLOOKUP(A1656,[11]PRIORIZADOS!$A:$T,20,FALSE)="","",VLOOKUP(A1656,[11]PRIORIZADOS!$A:$T,20,FALSE)),"")</f>
        <v>Si</v>
      </c>
      <c r="U1656" s="11" t="str">
        <f>IFERROR(IF(VLOOKUP(A1656,[11]PRIORIZADOS!$A:$U,21,FALSE)="","",VLOOKUP(A1656,[11]PRIORIZADOS!$A:$U,21,FALSE)),"")</f>
        <v>Revisar PM y verificar que se ajuste a las observaciones realizadas.</v>
      </c>
    </row>
    <row r="1657" spans="1:21" s="1" customFormat="1" ht="48">
      <c r="A1657" s="69">
        <f>IF([11]PRIORIZADOS!A168="","",[11]PRIORIZADOS!A168)</f>
        <v>1624</v>
      </c>
      <c r="B1657" s="70">
        <v>18</v>
      </c>
      <c r="C1657" s="11" t="str">
        <f>IFERROR(IF(VLOOKUP(A1657,[11]PRIORIZADOS!$A:$C,3,FALSE)="","",VLOOKUP(A1657,[11]PRIORIZADOS!$A:$C,3,FALSE)),"")</f>
        <v>RAFAEL URIBE URIBE</v>
      </c>
      <c r="D1657" s="11" t="str">
        <f>IFERROR(IF(VLOOKUP(A1657,[11]PRIORIZADOS!$A:$D,4,FALSE)="","",VLOOKUP(A1657,[11]PRIORIZADOS!$A:$D,4,FALSE)),"")</f>
        <v>OFICIAL.</v>
      </c>
      <c r="E1657" s="11" t="str">
        <f>IFERROR(IF(VLOOKUP(A1657,[11]PRIORIZADOS!$A:$E,5,FALSE)="","",VLOOKUP(A1657,[11]PRIORIZADOS!$A:$E,5,FALSE)),"")</f>
        <v>EPBM</v>
      </c>
      <c r="F1657" s="11" t="str">
        <f>IFERROR(IF(VLOOKUP(A1657,[11]PRIORIZADOS!$A:$F,6,FALSE)="","",VLOOKUP(A1657,[11]PRIORIZADOS!$A:$F,6,FALSE)),"")</f>
        <v>COLEGIO_MISAEL_PASTRANA_BORRERO_IED</v>
      </c>
      <c r="G1657" s="11" t="str">
        <f>IFERROR(IF(VLOOKUP(A1657,[11]PRIORIZADOS!$A:$G,7,FALSE)="","",VLOOKUP(A1657,[11]PRIORIZADOS!$A:$G,7,FALSE)),"")</f>
        <v>MISAEL_PASTRANA_BORRERO</v>
      </c>
      <c r="H1657" s="11" t="str">
        <f>IFERROR(IF(VLOOKUP(A1657,[11]PRIORIZADOS!$A:$H,8,FALSE)="","",VLOOKUP(A1657,[11]PRIORIZADOS!$A:$H,8,FALSE)),"")</f>
        <v>Autoevaluación Institucional y Pruebas SABER 11</v>
      </c>
      <c r="I1657" s="11" t="str">
        <f>IFERROR(IF(VLOOKUP(A1657,[11]PRIORIZADOS!$A:$I,9,FALSE)="","",VLOOKUP(A1657,[11]PRIORIZADOS!$A:$I,9,FALSE)),"")</f>
        <v>EVALUACIÓN_CON_FINES_DE_MEJORAMIENTO.</v>
      </c>
      <c r="J1657" s="11" t="str">
        <f>IFERROR(IF(VLOOKUP(A1657,[11]PRIORIZADOS!$A:$J,10,FALSE)="","",VLOOKUP(A1657,[11]PRIORIZADOS!$A:$J,10,FALSE)),"")</f>
        <v>Revisar la actualización, socialización e implementación del Sistema Institucional de Evaluación de Estudiantes - SIEE, en articulación con la actualización del PEI y la normatividad vigente.</v>
      </c>
      <c r="K1657" s="11" t="str">
        <f>IFERROR(IF(VLOOKUP(A1657,[11]PRIORIZADOS!$A:$K,11,FALSE)="","",VLOOKUP(A1657,[11]PRIORIZADOS!$A:$K,11,FALSE)),"")</f>
        <v>BEPCI YADIRA MINA ZAPATA</v>
      </c>
      <c r="L1657" s="11" t="str">
        <f>IFERROR(IF(VLOOKUP(A1657,[11]PRIORIZADOS!$A:$L,12,FALSE)="","",VLOOKUP(A1657,[11]PRIORIZADOS!$A:$L,12,FALSE)),"")</f>
        <v>DORY CONSTANZA SANCHEZ ARAGÓN</v>
      </c>
      <c r="M1657" s="71">
        <f>IFERROR(IF(VLOOKUP(A1657,[11]PRIORIZADOS!$A:$M,13,FALSE)="","",VLOOKUP(A1657,[11]PRIORIZADOS!$A:$M,13,FALSE)),"")</f>
        <v>45798</v>
      </c>
      <c r="N1657" s="71">
        <f>IFERROR(IF(VLOOKUP(A1657,[11]PRIORIZADOS!$A:$N,14,FALSE)="","",VLOOKUP(A1657,[11]PRIORIZADOS!$A:$N,14,FALSE)),"")</f>
        <v>45916</v>
      </c>
      <c r="O1657" s="71">
        <f>IFERROR(IF(VLOOKUP(A1657,[11]PRIORIZADOS!$A:$O,15,FALSE)="","",VLOOKUP(A1657,[11]PRIORIZADOS!$A:$O,15,FALSE)),"")</f>
        <v>45919</v>
      </c>
      <c r="P1657" s="11" t="str">
        <f>IFERROR(IF(VLOOKUP(A1657,[11]PRIORIZADOS!$A:$P,16,FALSE)="","",VLOOKUP(A1657,[11]PRIORIZADOS!$A:$P,16,FALSE)),"")</f>
        <v>Visitas de evaluación con fines de mejoramiento</v>
      </c>
      <c r="Q1657" s="5" t="s">
        <v>374</v>
      </c>
      <c r="R1657" s="11" t="str">
        <f>IFERROR(IF(VLOOKUP(A1657,[11]PRIORIZADOS!$A:$R,18,FALSE)="","",VLOOKUP(A1657,[11]PRIORIZADOS!$A:$R,18,FALSE)),"")</f>
        <v>Cuenta con un SIEE actualizado y con participación del gobierno escolar.
La institución se encuentra en un proceso de reestructuración integral del PEI.</v>
      </c>
      <c r="S1657" s="11" t="str">
        <f>IFERROR(IF(VLOOKUP(A1657,[11]PRIORIZADOS!$A:$S,19,FALSE)="","",VLOOKUP(A1657,[11]PRIORIZADOS!$A:$S,19,FALSE)),"")</f>
        <v>Continuar los procesos de actualización del SIEE con la participación con el gobierno escolar. Presentar plan de mejoramiento el 17 de octubre de 2025</v>
      </c>
      <c r="T1657" s="70" t="str">
        <f>IFERROR(IF(VLOOKUP(A1657,[11]PRIORIZADOS!$A:$T,20,FALSE)="","",VLOOKUP(A1657,[11]PRIORIZADOS!$A:$T,20,FALSE)),"")</f>
        <v>Si</v>
      </c>
      <c r="U1657" s="11" t="str">
        <f>IFERROR(IF(VLOOKUP(A1657,[11]PRIORIZADOS!$A:$U,21,FALSE)="","",VLOOKUP(A1657,[11]PRIORIZADOS!$A:$U,21,FALSE)),"")</f>
        <v>Revisar PM y verificar que se ajuste a las observaciones realizadas.</v>
      </c>
    </row>
    <row r="1658" spans="1:21" s="1" customFormat="1" ht="48">
      <c r="A1658" s="69">
        <f>IF([11]PRIORIZADOS!A169="","",[11]PRIORIZADOS!A169)</f>
        <v>1625</v>
      </c>
      <c r="B1658" s="70">
        <v>18</v>
      </c>
      <c r="C1658" s="11" t="str">
        <f>IFERROR(IF(VLOOKUP(A1658,[11]PRIORIZADOS!$A:$C,3,FALSE)="","",VLOOKUP(A1658,[11]PRIORIZADOS!$A:$C,3,FALSE)),"")</f>
        <v>RAFAEL URIBE URIBE</v>
      </c>
      <c r="D1658" s="11" t="str">
        <f>IFERROR(IF(VLOOKUP(A1658,[11]PRIORIZADOS!$A:$D,4,FALSE)="","",VLOOKUP(A1658,[11]PRIORIZADOS!$A:$D,4,FALSE)),"")</f>
        <v>OFICIAL.</v>
      </c>
      <c r="E1658" s="11" t="str">
        <f>IFERROR(IF(VLOOKUP(A1658,[11]PRIORIZADOS!$A:$E,5,FALSE)="","",VLOOKUP(A1658,[11]PRIORIZADOS!$A:$E,5,FALSE)),"")</f>
        <v>EPBM</v>
      </c>
      <c r="F1658" s="11" t="str">
        <f>IFERROR(IF(VLOOKUP(A1658,[11]PRIORIZADOS!$A:$F,6,FALSE)="","",VLOOKUP(A1658,[11]PRIORIZADOS!$A:$F,6,FALSE)),"")</f>
        <v>COLEGIO_MISAEL_PASTRANA_BORRERO_IED</v>
      </c>
      <c r="G1658" s="11" t="str">
        <f>IFERROR(IF(VLOOKUP(A1658,[11]PRIORIZADOS!$A:$G,7,FALSE)="","",VLOOKUP(A1658,[11]PRIORIZADOS!$A:$G,7,FALSE)),"")</f>
        <v>MISAEL_PASTRANA_BORRERO</v>
      </c>
      <c r="H1658" s="11" t="str">
        <f>IFERROR(IF(VLOOKUP(A1658,[11]PRIORIZADOS!$A:$H,8,FALSE)="","",VLOOKUP(A1658,[11]PRIORIZADOS!$A:$H,8,FALSE)),"")</f>
        <v>Autoevaluación Institucional y Pruebas SABER 11</v>
      </c>
      <c r="I1658" s="11" t="str">
        <f>IFERROR(IF(VLOOKUP(A1658,[11]PRIORIZADOS!$A:$I,9,FALSE)="","",VLOOKUP(A1658,[11]PRIORIZADOS!$A:$I,9,FALSE)),"")</f>
        <v>EVALUACIÓN_CON_FINES_DE_MEJORAMIENTO.</v>
      </c>
      <c r="J1658" s="11" t="str">
        <f>IFERROR(IF(VLOOKUP(A1658,[11]PRIORIZADOS!$A:$J,10,FALSE)="","",VLOOKUP(A1658,[11]PRIORIZADOS!$A:$J,10,FALSE)),"")</f>
        <v>Revisar el calendario escolar, jornada escolar, la intensidad horaria mínima anual en cada nivel y las modificaciones que se realicen al mismo, de acuerdo con lo previsto en la normatividad vigente.</v>
      </c>
      <c r="K1658" s="11" t="str">
        <f>IFERROR(IF(VLOOKUP(A1658,[11]PRIORIZADOS!$A:$K,11,FALSE)="","",VLOOKUP(A1658,[11]PRIORIZADOS!$A:$K,11,FALSE)),"")</f>
        <v>BEPCI YADIRA MINA ZAPATA</v>
      </c>
      <c r="L1658" s="11" t="str">
        <f>IFERROR(IF(VLOOKUP(A1658,[11]PRIORIZADOS!$A:$L,12,FALSE)="","",VLOOKUP(A1658,[11]PRIORIZADOS!$A:$L,12,FALSE)),"")</f>
        <v>DORY CONSTANZA SANCHEZ ARAGÓN</v>
      </c>
      <c r="M1658" s="71">
        <f>IFERROR(IF(VLOOKUP(A1658,[11]PRIORIZADOS!$A:$M,13,FALSE)="","",VLOOKUP(A1658,[11]PRIORIZADOS!$A:$M,13,FALSE)),"")</f>
        <v>45798</v>
      </c>
      <c r="N1658" s="71">
        <f>IFERROR(IF(VLOOKUP(A1658,[11]PRIORIZADOS!$A:$N,14,FALSE)="","",VLOOKUP(A1658,[11]PRIORIZADOS!$A:$N,14,FALSE)),"")</f>
        <v>45916</v>
      </c>
      <c r="O1658" s="71">
        <f>IFERROR(IF(VLOOKUP(A1658,[11]PRIORIZADOS!$A:$O,15,FALSE)="","",VLOOKUP(A1658,[11]PRIORIZADOS!$A:$O,15,FALSE)),"")</f>
        <v>45919</v>
      </c>
      <c r="P1658" s="11" t="str">
        <f>IFERROR(IF(VLOOKUP(A1658,[11]PRIORIZADOS!$A:$P,16,FALSE)="","",VLOOKUP(A1658,[11]PRIORIZADOS!$A:$P,16,FALSE)),"")</f>
        <v>Visitas de evaluación con fines de mejoramiento</v>
      </c>
      <c r="Q1658" s="5" t="s">
        <v>374</v>
      </c>
      <c r="R1658" s="11" t="str">
        <f>IFERROR(IF(VLOOKUP(A1658,[11]PRIORIZADOS!$A:$R,18,FALSE)="","",VLOOKUP(A1658,[11]PRIORIZADOS!$A:$R,18,FALSE)),"")</f>
        <v>La institución cuenta con cronograma escolar ajustado a la resolución No 1811 del 31 de octubre de 2024</v>
      </c>
      <c r="S1658" s="11" t="str">
        <f>IFERROR(IF(VLOOKUP(A1658,[11]PRIORIZADOS!$A:$S,19,FALSE)="","",VLOOKUP(A1658,[11]PRIORIZADOS!$A:$S,19,FALSE)),"")</f>
        <v>Dar cumplimiento a lo establecido en el calendario</v>
      </c>
      <c r="T1658" s="70" t="str">
        <f>IFERROR(IF(VLOOKUP(A1658,[11]PRIORIZADOS!$A:$T,20,FALSE)="","",VLOOKUP(A1658,[11]PRIORIZADOS!$A:$T,20,FALSE)),"")</f>
        <v>No</v>
      </c>
      <c r="U1658" s="11" t="str">
        <f>IFERROR(IF(VLOOKUP(A1658,[11]PRIORIZADOS!$A:$U,21,FALSE)="","",VLOOKUP(A1658,[11]PRIORIZADOS!$A:$U,21,FALSE)),"")</f>
        <v>Verificar en caso de presentarse una queja</v>
      </c>
    </row>
    <row r="1659" spans="1:21" s="1" customFormat="1" ht="48">
      <c r="A1659" s="69">
        <f>IF([11]PRIORIZADOS!A170="","",[11]PRIORIZADOS!A170)</f>
        <v>1626</v>
      </c>
      <c r="B1659" s="70">
        <v>18</v>
      </c>
      <c r="C1659" s="11" t="str">
        <f>IFERROR(IF(VLOOKUP(A1659,[11]PRIORIZADOS!$A:$C,3,FALSE)="","",VLOOKUP(A1659,[11]PRIORIZADOS!$A:$C,3,FALSE)),"")</f>
        <v>RAFAEL URIBE URIBE</v>
      </c>
      <c r="D1659" s="11" t="str">
        <f>IFERROR(IF(VLOOKUP(A1659,[11]PRIORIZADOS!$A:$D,4,FALSE)="","",VLOOKUP(A1659,[11]PRIORIZADOS!$A:$D,4,FALSE)),"")</f>
        <v>OFICIAL.</v>
      </c>
      <c r="E1659" s="11" t="str">
        <f>IFERROR(IF(VLOOKUP(A1659,[11]PRIORIZADOS!$A:$E,5,FALSE)="","",VLOOKUP(A1659,[11]PRIORIZADOS!$A:$E,5,FALSE)),"")</f>
        <v>EPBM</v>
      </c>
      <c r="F1659" s="11" t="str">
        <f>IFERROR(IF(VLOOKUP(A1659,[11]PRIORIZADOS!$A:$F,6,FALSE)="","",VLOOKUP(A1659,[11]PRIORIZADOS!$A:$F,6,FALSE)),"")</f>
        <v>COLEGIO_MISAEL_PASTRANA_BORRERO_IED</v>
      </c>
      <c r="G1659" s="11" t="str">
        <f>IFERROR(IF(VLOOKUP(A1659,[11]PRIORIZADOS!$A:$G,7,FALSE)="","",VLOOKUP(A1659,[11]PRIORIZADOS!$A:$G,7,FALSE)),"")</f>
        <v>MISAEL_PASTRANA_BORRERO</v>
      </c>
      <c r="H1659" s="11" t="str">
        <f>IFERROR(IF(VLOOKUP(A1659,[11]PRIORIZADOS!$A:$H,8,FALSE)="","",VLOOKUP(A1659,[11]PRIORIZADOS!$A:$H,8,FALSE)),"")</f>
        <v>Autoevaluación Institucional y Pruebas SABER 11</v>
      </c>
      <c r="I1659" s="11" t="str">
        <f>IFERROR(IF(VLOOKUP(A1659,[11]PRIORIZADOS!$A:$I,9,FALSE)="","",VLOOKUP(A1659,[11]PRIORIZADOS!$A:$I,9,FALSE)),"")</f>
        <v>EVALUACIÓN_CON_FINES_DE_MEJORAMIENTO.</v>
      </c>
      <c r="J1659" s="11" t="str">
        <f>IFERROR(IF(VLOOKUP(A1659,[11]PRIORIZADOS!$A:$J,10,FALSE)="","",VLOOKUP(A1659,[11]PRIORIZADOS!$A:$J,10,FALSE)),"")</f>
        <v>Verificar el funcionamiento del Gobierno Escolar e instancias de participación con base en la información sobre conformación reportada por la institución educativa.</v>
      </c>
      <c r="K1659" s="11" t="str">
        <f>IFERROR(IF(VLOOKUP(A1659,[11]PRIORIZADOS!$A:$K,11,FALSE)="","",VLOOKUP(A1659,[11]PRIORIZADOS!$A:$K,11,FALSE)),"")</f>
        <v>BEPCI YADIRA MINA ZAPATA</v>
      </c>
      <c r="L1659" s="11" t="str">
        <f>IFERROR(IF(VLOOKUP(A1659,[11]PRIORIZADOS!$A:$L,12,FALSE)="","",VLOOKUP(A1659,[11]PRIORIZADOS!$A:$L,12,FALSE)),"")</f>
        <v>DORY CONSTANZA SANCHEZ ARAGÓN</v>
      </c>
      <c r="M1659" s="71">
        <f>IFERROR(IF(VLOOKUP(A1659,[11]PRIORIZADOS!$A:$M,13,FALSE)="","",VLOOKUP(A1659,[11]PRIORIZADOS!$A:$M,13,FALSE)),"")</f>
        <v>45798</v>
      </c>
      <c r="N1659" s="71">
        <f>IFERROR(IF(VLOOKUP(A1659,[11]PRIORIZADOS!$A:$N,14,FALSE)="","",VLOOKUP(A1659,[11]PRIORIZADOS!$A:$N,14,FALSE)),"")</f>
        <v>45916</v>
      </c>
      <c r="O1659" s="71">
        <f>IFERROR(IF(VLOOKUP(A1659,[11]PRIORIZADOS!$A:$O,15,FALSE)="","",VLOOKUP(A1659,[11]PRIORIZADOS!$A:$O,15,FALSE)),"")</f>
        <v>45919</v>
      </c>
      <c r="P1659" s="11" t="str">
        <f>IFERROR(IF(VLOOKUP(A1659,[11]PRIORIZADOS!$A:$P,16,FALSE)="","",VLOOKUP(A1659,[11]PRIORIZADOS!$A:$P,16,FALSE)),"")</f>
        <v>Visitas de evaluación con fines de mejoramiento</v>
      </c>
      <c r="Q1659" s="5" t="s">
        <v>374</v>
      </c>
      <c r="R1659" s="11" t="str">
        <f>IFERROR(IF(VLOOKUP(A1659,[11]PRIORIZADOS!$A:$R,18,FALSE)="","",VLOOKUP(A1659,[11]PRIORIZADOS!$A:$R,18,FALSE)),"")</f>
        <v>Se evidencian actas de funcionamiento de los organos del Gobierno Escolar e instancias de participación.</v>
      </c>
      <c r="S1659" s="11" t="str">
        <f>IFERROR(IF(VLOOKUP(A1659,[11]PRIORIZADOS!$A:$S,19,FALSE)="","",VLOOKUP(A1659,[11]PRIORIZADOS!$A:$S,19,FALSE)),"")</f>
        <v>Continuar con las reuniones de los organos del Gobierno Escolar e instancias de participación con las respectivas actas.</v>
      </c>
      <c r="T1659" s="70" t="str">
        <f>IFERROR(IF(VLOOKUP(A1659,[11]PRIORIZADOS!$A:$T,20,FALSE)="","",VLOOKUP(A1659,[11]PRIORIZADOS!$A:$T,20,FALSE)),"")</f>
        <v>No</v>
      </c>
      <c r="U1659" s="11" t="str">
        <f>IFERROR(IF(VLOOKUP(A1659,[11]PRIORIZADOS!$A:$U,21,FALSE)="","",VLOOKUP(A1659,[11]PRIORIZADOS!$A:$U,21,FALSE)),"")</f>
        <v>Verificar en caso de presentarse una queja</v>
      </c>
    </row>
    <row r="1660" spans="1:21" s="1" customFormat="1" ht="48">
      <c r="A1660" s="69">
        <f>IF([11]PRIORIZADOS!A171="","",[11]PRIORIZADOS!A171)</f>
        <v>1627</v>
      </c>
      <c r="B1660" s="70">
        <v>18</v>
      </c>
      <c r="C1660" s="11" t="str">
        <f>IFERROR(IF(VLOOKUP(A1660,[11]PRIORIZADOS!$A:$C,3,FALSE)="","",VLOOKUP(A1660,[11]PRIORIZADOS!$A:$C,3,FALSE)),"")</f>
        <v>RAFAEL URIBE URIBE</v>
      </c>
      <c r="D1660" s="11" t="str">
        <f>IFERROR(IF(VLOOKUP(A1660,[11]PRIORIZADOS!$A:$D,4,FALSE)="","",VLOOKUP(A1660,[11]PRIORIZADOS!$A:$D,4,FALSE)),"")</f>
        <v>OFICIAL.</v>
      </c>
      <c r="E1660" s="11" t="str">
        <f>IFERROR(IF(VLOOKUP(A1660,[11]PRIORIZADOS!$A:$E,5,FALSE)="","",VLOOKUP(A1660,[11]PRIORIZADOS!$A:$E,5,FALSE)),"")</f>
        <v>EPBM</v>
      </c>
      <c r="F1660" s="11" t="str">
        <f>IFERROR(IF(VLOOKUP(A1660,[11]PRIORIZADOS!$A:$F,6,FALSE)="","",VLOOKUP(A1660,[11]PRIORIZADOS!$A:$F,6,FALSE)),"")</f>
        <v>COLEGIO_MISAEL_PASTRANA_BORRERO_IED</v>
      </c>
      <c r="G1660" s="11" t="str">
        <f>IFERROR(IF(VLOOKUP(A1660,[11]PRIORIZADOS!$A:$G,7,FALSE)="","",VLOOKUP(A1660,[11]PRIORIZADOS!$A:$G,7,FALSE)),"")</f>
        <v>MISAEL_PASTRANA_BORRERO</v>
      </c>
      <c r="H1660" s="11" t="str">
        <f>IFERROR(IF(VLOOKUP(A1660,[11]PRIORIZADOS!$A:$H,8,FALSE)="","",VLOOKUP(A1660,[11]PRIORIZADOS!$A:$H,8,FALSE)),"")</f>
        <v>Autoevaluación Institucional y Pruebas SABER 11</v>
      </c>
      <c r="I1660" s="11" t="str">
        <f>IFERROR(IF(VLOOKUP(A1660,[11]PRIORIZADOS!$A:$I,9,FALSE)="","",VLOOKUP(A1660,[11]PRIORIZADOS!$A:$I,9,FALSE)),"")</f>
        <v>EVALUACIÓN_CON_FINES_DE_MEJORAMIENTO.</v>
      </c>
      <c r="J1660" s="11" t="str">
        <f>IFERROR(IF(VLOOKUP(A1660,[11]PRIORIZADOS!$A:$J,10,FALSE)="","",VLOOKUP(A1660,[11]PRIORIZADOS!$A:$J,10,FALSE)),"")</f>
        <v>Verificar las condiciones en cuanto a: la estructura administrativa, condiciones de la planta física y medios educativos adecuados.</v>
      </c>
      <c r="K1660" s="11" t="str">
        <f>IFERROR(IF(VLOOKUP(A1660,[11]PRIORIZADOS!$A:$K,11,FALSE)="","",VLOOKUP(A1660,[11]PRIORIZADOS!$A:$K,11,FALSE)),"")</f>
        <v>BEPCI YADIRA MINA ZAPATA</v>
      </c>
      <c r="L1660" s="11" t="str">
        <f>IFERROR(IF(VLOOKUP(A1660,[11]PRIORIZADOS!$A:$L,12,FALSE)="","",VLOOKUP(A1660,[11]PRIORIZADOS!$A:$L,12,FALSE)),"")</f>
        <v>DORY CONSTANZA SANCHEZ ARAGÓN</v>
      </c>
      <c r="M1660" s="71">
        <f>IFERROR(IF(VLOOKUP(A1660,[11]PRIORIZADOS!$A:$M,13,FALSE)="","",VLOOKUP(A1660,[11]PRIORIZADOS!$A:$M,13,FALSE)),"")</f>
        <v>45798</v>
      </c>
      <c r="N1660" s="71">
        <f>IFERROR(IF(VLOOKUP(A1660,[11]PRIORIZADOS!$A:$N,14,FALSE)="","",VLOOKUP(A1660,[11]PRIORIZADOS!$A:$N,14,FALSE)),"")</f>
        <v>45916</v>
      </c>
      <c r="O1660" s="71">
        <f>IFERROR(IF(VLOOKUP(A1660,[11]PRIORIZADOS!$A:$O,15,FALSE)="","",VLOOKUP(A1660,[11]PRIORIZADOS!$A:$O,15,FALSE)),"")</f>
        <v>45919</v>
      </c>
      <c r="P1660" s="11" t="str">
        <f>IFERROR(IF(VLOOKUP(A1660,[11]PRIORIZADOS!$A:$P,16,FALSE)="","",VLOOKUP(A1660,[11]PRIORIZADOS!$A:$P,16,FALSE)),"")</f>
        <v>Visitas de evaluación con fines de mejoramiento</v>
      </c>
      <c r="Q1660" s="5" t="s">
        <v>374</v>
      </c>
      <c r="R1660" s="11" t="str">
        <f>IFERROR(IF(VLOOKUP(A1660,[11]PRIORIZADOS!$A:$R,18,FALSE)="","",VLOOKUP(A1660,[11]PRIORIZADOS!$A:$R,18,FALSE)),"")</f>
        <v>Verificación de planta física cuenta con 1 sola sede. La sala de profesores es de dificil acceso y las oficinas de coordinación son muy pequeñas</v>
      </c>
      <c r="S1660" s="11" t="str">
        <f>IFERROR(IF(VLOOKUP(A1660,[11]PRIORIZADOS!$A:$S,19,FALSE)="","",VLOOKUP(A1660,[11]PRIORIZADOS!$A:$S,19,FALSE)),"")</f>
        <v>Se han realizado requerimientos a la Dirección de Construcción para revisar el tema</v>
      </c>
      <c r="T1660" s="70" t="str">
        <f>IFERROR(IF(VLOOKUP(A1660,[11]PRIORIZADOS!$A:$T,20,FALSE)="","",VLOOKUP(A1660,[11]PRIORIZADOS!$A:$T,20,FALSE)),"")</f>
        <v>No</v>
      </c>
      <c r="U1660" s="11" t="str">
        <f>IFERROR(IF(VLOOKUP(A1660,[11]PRIORIZADOS!$A:$U,21,FALSE)="","",VLOOKUP(A1660,[11]PRIORIZADOS!$A:$U,21,FALSE)),"")</f>
        <v>Verificar en caso de presentarse una queja</v>
      </c>
    </row>
    <row r="1661" spans="1:21" s="1" customFormat="1" ht="84">
      <c r="A1661" s="69">
        <f>IF([11]PRIORIZADOS!A172="","",[11]PRIORIZADOS!A172)</f>
        <v>1628</v>
      </c>
      <c r="B1661" s="70">
        <f>IFERROR(IF(VLOOKUP(A1661,[11]PRIORIZADOS!$A:$B,2,FALSE)="","",VLOOKUP(A1661,[11]PRIORIZADOS!$A:$B,2,FALSE)),"")</f>
        <v>19</v>
      </c>
      <c r="C1661" s="11" t="str">
        <f>IFERROR(IF(VLOOKUP(A1661,[11]PRIORIZADOS!$A:$C,3,FALSE)="","",VLOOKUP(A1661,[11]PRIORIZADOS!$A:$C,3,FALSE)),"")</f>
        <v>RAFAEL URIBE URIBE</v>
      </c>
      <c r="D1661" s="11" t="str">
        <f>IFERROR(IF(VLOOKUP(A1661,[11]PRIORIZADOS!$A:$D,4,FALSE)="","",VLOOKUP(A1661,[11]PRIORIZADOS!$A:$D,4,FALSE)),"")</f>
        <v>OFICIAL.</v>
      </c>
      <c r="E1661" s="11" t="str">
        <f>IFERROR(IF(VLOOKUP(A1661,[11]PRIORIZADOS!$A:$E,5,FALSE)="","",VLOOKUP(A1661,[11]PRIORIZADOS!$A:$E,5,FALSE)),"")</f>
        <v>EPBM</v>
      </c>
      <c r="F1661" s="11" t="str">
        <f>IFERROR(IF(VLOOKUP(A1661,[11]PRIORIZADOS!$A:$F,6,FALSE)="","",VLOOKUP(A1661,[11]PRIORIZADOS!$A:$F,6,FALSE)),"")</f>
        <v>COLEGIO_JOSE_MARTI_IED</v>
      </c>
      <c r="G1661" s="11" t="str">
        <f>IFERROR(IF(VLOOKUP(A1661,[11]PRIORIZADOS!$A:$G,7,FALSE)="","",VLOOKUP(A1661,[11]PRIORIZADOS!$A:$G,7,FALSE)),"")</f>
        <v>LUIS_LOPEZ_DE_MESA</v>
      </c>
      <c r="H1661" s="11" t="str">
        <f>IFERROR(IF(VLOOKUP(A1661,[11]PRIORIZADOS!$A:$H,8,FALSE)="","",VLOOKUP(A1661,[11]PRIORIZADOS!$A:$H,8,FALSE)),"")</f>
        <v>Autoevaluación Institucional y Pruebas SABER 11</v>
      </c>
      <c r="I1661" s="11" t="str">
        <f>IFERROR(IF(VLOOKUP(A1661,[11]PRIORIZADOS!$A:$I,9,FALSE)="","",VLOOKUP(A1661,[11]PRIORIZADOS!$A:$I,9,FALSE)),"")</f>
        <v>SEGUIMIENTO_Y_SUPERVISIÓN.</v>
      </c>
      <c r="J1661" s="11" t="str">
        <f>IFERROR(IF(VLOOKUP(A1661,[11]PRIORIZADOS!$A:$J,10,FALSE)="","",VLOOKUP(A1661,[11]PRIORIZADOS!$A:$J,10,FALSE)),"")</f>
        <v>Proponer estrategias en la formulación, verificar su elaboración y realizar seguimiento semestral al desarrollo de  las acciones establecidas en los planes de mejoramiento por pruebas SABER 11 de los establecimientos de educación formal.</v>
      </c>
      <c r="K1661" s="11" t="str">
        <f>IFERROR(IF(VLOOKUP(A1661,[11]PRIORIZADOS!$A:$K,11,FALSE)="","",VLOOKUP(A1661,[11]PRIORIZADOS!$A:$K,11,FALSE)),"")</f>
        <v>DORY CONSTANZA SANCHEZ ARAGÓN</v>
      </c>
      <c r="L1661" s="11" t="str">
        <f>IFERROR(IF(VLOOKUP(A1661,[11]PRIORIZADOS!$A:$L,12,FALSE)="","",VLOOKUP(A1661,[11]PRIORIZADOS!$A:$L,12,FALSE)),"")</f>
        <v>BEPCI YADIRA MINA ZAPATA</v>
      </c>
      <c r="M1661" s="71">
        <f>IFERROR(IF(VLOOKUP(A1661,[11]PRIORIZADOS!$A:$M,13,FALSE)="","",VLOOKUP(A1661,[11]PRIORIZADOS!$A:$M,13,FALSE)),"")</f>
        <v>45881</v>
      </c>
      <c r="N1661" s="71">
        <f>IFERROR(IF(VLOOKUP(A1661,[11]PRIORIZADOS!$A:$N,14,FALSE)="","",VLOOKUP(A1661,[11]PRIORIZADOS!$A:$N,14,FALSE)),"")</f>
        <v>45881</v>
      </c>
      <c r="O1661" s="71">
        <f>IFERROR(IF(VLOOKUP(A1661,[11]PRIORIZADOS!$A:$O,15,FALSE)="","",VLOOKUP(A1661,[11]PRIORIZADOS!$A:$O,15,FALSE)),"")</f>
        <v>45884</v>
      </c>
      <c r="P1661" s="11" t="str">
        <f>IFERROR(IF(VLOOKUP(A1661,[11]PRIORIZADOS!$A:$P,16,FALSE)="","",VLOOKUP(A1661,[11]PRIORIZADOS!$A:$P,16,FALSE)),"")</f>
        <v>Visitas de evaluación con fines de mejoramiento</v>
      </c>
      <c r="Q1661" s="5" t="s">
        <v>375</v>
      </c>
      <c r="R1661" s="11" t="str">
        <f>IFERROR(IF(VLOOKUP(A1661,[11]PRIORIZADOS!$A:$R,18,FALSE)="","",VLOOKUP(A1661,[11]PRIORIZADOS!$A:$R,18,FALSE)),"")</f>
        <v>Se evidencia que la institución realizó un analisi general pero no de los resultados agregados obtenidos en las Pruebas Saber en el año 2024 con el Consejo Académico y no ha establecido acciones específicas ni plan de mejoramiento para fortalecer los resultados de las pruebas saber.</v>
      </c>
      <c r="S1661" s="11" t="str">
        <f>IFERROR(IF(VLOOKUP(A1661,[11]PRIORIZADOS!$A:$S,19,FALSE)="","",VLOOKUP(A1661,[11]PRIORIZADOS!$A:$S,19,FALSE)),"")</f>
        <v>Realizar analisis de las Pruebas Saber y establecer acciones pertinentes. Presentar plan de mejoramiento el 15 de septiembre  de 2025</v>
      </c>
      <c r="T1661" s="70" t="str">
        <f>IFERROR(IF(VLOOKUP(A1661,[11]PRIORIZADOS!$A:$T,20,FALSE)="","",VLOOKUP(A1661,[11]PRIORIZADOS!$A:$T,20,FALSE)),"")</f>
        <v>Si</v>
      </c>
      <c r="U1661" s="11" t="str">
        <f>IFERROR(IF(VLOOKUP(A1661,[11]PRIORIZADOS!$A:$U,21,FALSE)="","",VLOOKUP(A1661,[11]PRIORIZADOS!$A:$U,21,FALSE)),"")</f>
        <v>Revisar PM y verificar que se ajuste a las observaciones realizadas.</v>
      </c>
    </row>
    <row r="1662" spans="1:21" s="1" customFormat="1" ht="48">
      <c r="A1662" s="69">
        <f>IF([11]PRIORIZADOS!A173="","",[11]PRIORIZADOS!A173)</f>
        <v>1629</v>
      </c>
      <c r="B1662" s="70">
        <v>19</v>
      </c>
      <c r="C1662" s="11" t="str">
        <f>IFERROR(IF(VLOOKUP(A1662,[11]PRIORIZADOS!$A:$C,3,FALSE)="","",VLOOKUP(A1662,[11]PRIORIZADOS!$A:$C,3,FALSE)),"")</f>
        <v>RAFAEL URIBE URIBE</v>
      </c>
      <c r="D1662" s="11" t="str">
        <f>IFERROR(IF(VLOOKUP(A1662,[11]PRIORIZADOS!$A:$D,4,FALSE)="","",VLOOKUP(A1662,[11]PRIORIZADOS!$A:$D,4,FALSE)),"")</f>
        <v>OFICIAL.</v>
      </c>
      <c r="E1662" s="11" t="str">
        <f>IFERROR(IF(VLOOKUP(A1662,[11]PRIORIZADOS!$A:$E,5,FALSE)="","",VLOOKUP(A1662,[11]PRIORIZADOS!$A:$E,5,FALSE)),"")</f>
        <v>EPBM</v>
      </c>
      <c r="F1662" s="11" t="str">
        <f>IFERROR(IF(VLOOKUP(A1662,[11]PRIORIZADOS!$A:$F,6,FALSE)="","",VLOOKUP(A1662,[11]PRIORIZADOS!$A:$F,6,FALSE)),"")</f>
        <v>COLEGIO_JOSE_MARTI_IED</v>
      </c>
      <c r="G1662" s="11" t="str">
        <f>IFERROR(IF(VLOOKUP(A1662,[11]PRIORIZADOS!$A:$G,7,FALSE)="","",VLOOKUP(A1662,[11]PRIORIZADOS!$A:$G,7,FALSE)),"")</f>
        <v>LUIS_LOPEZ_DE_MESA</v>
      </c>
      <c r="H1662" s="11" t="str">
        <f>IFERROR(IF(VLOOKUP(A1662,[11]PRIORIZADOS!$A:$H,8,FALSE)="","",VLOOKUP(A1662,[11]PRIORIZADOS!$A:$H,8,FALSE)),"")</f>
        <v>Autoevaluación Institucional y Pruebas SABER 11</v>
      </c>
      <c r="I1662" s="11" t="str">
        <f>IFERROR(IF(VLOOKUP(A1662,[11]PRIORIZADOS!$A:$I,9,FALSE)="","",VLOOKUP(A1662,[11]PRIORIZADOS!$A:$I,9,FALSE)),"")</f>
        <v>SEGUIMIENTO_Y_SUPERVISIÓN.</v>
      </c>
      <c r="J1662" s="11" t="str">
        <f>IFERROR(IF(VLOOKUP(A1662,[11]PRIORIZADOS!$A:$J,10,FALSE)="","",VLOOKUP(A1662,[11]PRIORIZADOS!$A:$J,10,FALSE)),"")</f>
        <v xml:space="preserve">Verificar la implementación por parte de los colegios, de acciones realizadas para la prevención y atención de las situaciones de convivencia en el entorno escolar, según lo establecido en la Directiva 01 de 2022 del MEN. </v>
      </c>
      <c r="K1662" s="11" t="str">
        <f>IFERROR(IF(VLOOKUP(A1662,[11]PRIORIZADOS!$A:$K,11,FALSE)="","",VLOOKUP(A1662,[11]PRIORIZADOS!$A:$K,11,FALSE)),"")</f>
        <v>DORY CONSTANZA SANCHEZ ARAGÓN</v>
      </c>
      <c r="L1662" s="11" t="str">
        <f>IFERROR(IF(VLOOKUP(A1662,[11]PRIORIZADOS!$A:$L,12,FALSE)="","",VLOOKUP(A1662,[11]PRIORIZADOS!$A:$L,12,FALSE)),"")</f>
        <v>BEPCI YADIRA MINA ZAPATA</v>
      </c>
      <c r="M1662" s="71">
        <f>IFERROR(IF(VLOOKUP(A1662,[11]PRIORIZADOS!$A:$M,13,FALSE)="","",VLOOKUP(A1662,[11]PRIORIZADOS!$A:$M,13,FALSE)),"")</f>
        <v>45881</v>
      </c>
      <c r="N1662" s="71">
        <f>IFERROR(IF(VLOOKUP(A1662,[11]PRIORIZADOS!$A:$N,14,FALSE)="","",VLOOKUP(A1662,[11]PRIORIZADOS!$A:$N,14,FALSE)),"")</f>
        <v>45881</v>
      </c>
      <c r="O1662" s="71">
        <f>IFERROR(IF(VLOOKUP(A1662,[11]PRIORIZADOS!$A:$O,15,FALSE)="","",VLOOKUP(A1662,[11]PRIORIZADOS!$A:$O,15,FALSE)),"")</f>
        <v>45884</v>
      </c>
      <c r="P1662" s="11" t="str">
        <f>IFERROR(IF(VLOOKUP(A1662,[11]PRIORIZADOS!$A:$P,16,FALSE)="","",VLOOKUP(A1662,[11]PRIORIZADOS!$A:$P,16,FALSE)),"")</f>
        <v>Visitas de evaluación con fines de mejoramiento</v>
      </c>
      <c r="Q1662" s="5" t="s">
        <v>375</v>
      </c>
      <c r="R1662" s="11" t="str">
        <f>IFERROR(IF(VLOOKUP(A1662,[11]PRIORIZADOS!$A:$R,18,FALSE)="","",VLOOKUP(A1662,[11]PRIORIZADOS!$A:$R,18,FALSE)),"")</f>
        <v>Se evidendia operatividad del comité de convivencia escolar por medio de las actas.</v>
      </c>
      <c r="S1662" s="11" t="str">
        <f>IFERROR(IF(VLOOKUP(A1662,[11]PRIORIZADOS!$A:$S,19,FALSE)="","",VLOOKUP(A1662,[11]PRIORIZADOS!$A:$S,19,FALSE)),"")</f>
        <v>Continuar con las reuniones del comité de convivencia y las acciones de promoción y prevención</v>
      </c>
      <c r="T1662" s="70" t="str">
        <f>IFERROR(IF(VLOOKUP(A1662,[11]PRIORIZADOS!$A:$T,20,FALSE)="","",VLOOKUP(A1662,[11]PRIORIZADOS!$A:$T,20,FALSE)),"")</f>
        <v>No</v>
      </c>
      <c r="U1662" s="11" t="str">
        <f>IFERROR(IF(VLOOKUP(A1662,[11]PRIORIZADOS!$A:$U,21,FALSE)="","",VLOOKUP(A1662,[11]PRIORIZADOS!$A:$U,21,FALSE)),"")</f>
        <v>Verificar en caso de presentarse una queja</v>
      </c>
    </row>
    <row r="1663" spans="1:21" s="1" customFormat="1" ht="72">
      <c r="A1663" s="69">
        <f>IF([11]PRIORIZADOS!A174="","",[11]PRIORIZADOS!A174)</f>
        <v>1630</v>
      </c>
      <c r="B1663" s="70">
        <v>19</v>
      </c>
      <c r="C1663" s="11" t="str">
        <f>IFERROR(IF(VLOOKUP(A1663,[11]PRIORIZADOS!$A:$C,3,FALSE)="","",VLOOKUP(A1663,[11]PRIORIZADOS!$A:$C,3,FALSE)),"")</f>
        <v>RAFAEL URIBE URIBE</v>
      </c>
      <c r="D1663" s="11" t="str">
        <f>IFERROR(IF(VLOOKUP(A1663,[11]PRIORIZADOS!$A:$D,4,FALSE)="","",VLOOKUP(A1663,[11]PRIORIZADOS!$A:$D,4,FALSE)),"")</f>
        <v>OFICIAL.</v>
      </c>
      <c r="E1663" s="11" t="str">
        <f>IFERROR(IF(VLOOKUP(A1663,[11]PRIORIZADOS!$A:$E,5,FALSE)="","",VLOOKUP(A1663,[11]PRIORIZADOS!$A:$E,5,FALSE)),"")</f>
        <v>EPBM</v>
      </c>
      <c r="F1663" s="11" t="str">
        <f>IFERROR(IF(VLOOKUP(A1663,[11]PRIORIZADOS!$A:$F,6,FALSE)="","",VLOOKUP(A1663,[11]PRIORIZADOS!$A:$F,6,FALSE)),"")</f>
        <v>COLEGIO_JOSE_MARTI_IED</v>
      </c>
      <c r="G1663" s="11" t="str">
        <f>IFERROR(IF(VLOOKUP(A1663,[11]PRIORIZADOS!$A:$G,7,FALSE)="","",VLOOKUP(A1663,[11]PRIORIZADOS!$A:$G,7,FALSE)),"")</f>
        <v>LUIS_LOPEZ_DE_MESA</v>
      </c>
      <c r="H1663" s="11" t="str">
        <f>IFERROR(IF(VLOOKUP(A1663,[11]PRIORIZADOS!$A:$H,8,FALSE)="","",VLOOKUP(A1663,[11]PRIORIZADOS!$A:$H,8,FALSE)),"")</f>
        <v>Autoevaluación Institucional y Pruebas SABER 11</v>
      </c>
      <c r="I1663" s="11" t="str">
        <f>IFERROR(IF(VLOOKUP(A1663,[11]PRIORIZADOS!$A:$I,9,FALSE)="","",VLOOKUP(A1663,[11]PRIORIZADOS!$A:$I,9,FALSE)),"")</f>
        <v>SEGUIMIENTO_Y_SUPERVISIÓN.</v>
      </c>
      <c r="J1663" s="11" t="str">
        <f>IFERROR(IF(VLOOKUP(A1663,[11]PRIORIZADOS!$A:$J,10,FALSE)="","",VLOOKUP(A1663,[11]PRIORIZADOS!$A:$J,10,FALSE)),"")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63" s="11" t="str">
        <f>IFERROR(IF(VLOOKUP(A1663,[11]PRIORIZADOS!$A:$K,11,FALSE)="","",VLOOKUP(A1663,[11]PRIORIZADOS!$A:$K,11,FALSE)),"")</f>
        <v>DORY CONSTANZA SANCHEZ ARAGÓN</v>
      </c>
      <c r="L1663" s="11" t="str">
        <f>IFERROR(IF(VLOOKUP(A1663,[11]PRIORIZADOS!$A:$L,12,FALSE)="","",VLOOKUP(A1663,[11]PRIORIZADOS!$A:$L,12,FALSE)),"")</f>
        <v>BEPCI YADIRA MINA ZAPATA</v>
      </c>
      <c r="M1663" s="71">
        <f>IFERROR(IF(VLOOKUP(A1663,[11]PRIORIZADOS!$A:$M,13,FALSE)="","",VLOOKUP(A1663,[11]PRIORIZADOS!$A:$M,13,FALSE)),"")</f>
        <v>45881</v>
      </c>
      <c r="N1663" s="71">
        <f>IFERROR(IF(VLOOKUP(A1663,[11]PRIORIZADOS!$A:$N,14,FALSE)="","",VLOOKUP(A1663,[11]PRIORIZADOS!$A:$N,14,FALSE)),"")</f>
        <v>45881</v>
      </c>
      <c r="O1663" s="71">
        <f>IFERROR(IF(VLOOKUP(A1663,[11]PRIORIZADOS!$A:$O,15,FALSE)="","",VLOOKUP(A1663,[11]PRIORIZADOS!$A:$O,15,FALSE)),"")</f>
        <v>45884</v>
      </c>
      <c r="P1663" s="11" t="str">
        <f>IFERROR(IF(VLOOKUP(A1663,[11]PRIORIZADOS!$A:$P,16,FALSE)="","",VLOOKUP(A1663,[11]PRIORIZADOS!$A:$P,16,FALSE)),"")</f>
        <v>Visitas de evaluación con fines de mejoramiento</v>
      </c>
      <c r="Q1663" s="5" t="s">
        <v>375</v>
      </c>
      <c r="R1663" s="11" t="str">
        <f>IFERROR(IF(VLOOKUP(A1663,[11]PRIORIZADOS!$A:$R,18,FALSE)="","",VLOOKUP(A1663,[11]PRIORIZADOS!$A:$R,18,FALSE)),"")</f>
        <v>El colegio cuenta con todos los PIAR de los estudiantes, en una base digital, muy bien organizada, pero al revisar el ítem de valoración pedagógica es muy importante que se analicen las metas institucionales</v>
      </c>
      <c r="S1663" s="11" t="str">
        <f>IFERROR(IF(VLOOKUP(A1663,[11]PRIORIZADOS!$A:$S,19,FALSE)="","",VLOOKUP(A1663,[11]PRIORIZADOS!$A:$S,19,FALSE)),"")</f>
        <v>Fortalecer el diseño, implementación y seguimiento de los PIAR que realmente permita el avance de los estudiantes. Presentar plan de mejoramiento el 15 de septiembre de 2025</v>
      </c>
      <c r="T1663" s="70" t="str">
        <f>IFERROR(IF(VLOOKUP(A1663,[11]PRIORIZADOS!$A:$T,20,FALSE)="","",VLOOKUP(A1663,[11]PRIORIZADOS!$A:$T,20,FALSE)),"")</f>
        <v>Si</v>
      </c>
      <c r="U1663" s="11" t="str">
        <f>IFERROR(IF(VLOOKUP(A1663,[11]PRIORIZADOS!$A:$U,21,FALSE)="","",VLOOKUP(A1663,[11]PRIORIZADOS!$A:$U,21,FALSE)),"")</f>
        <v>Revisar PM y verificar que se ajuste a las observaciones realizadas.</v>
      </c>
    </row>
    <row r="1664" spans="1:21" s="1" customFormat="1" ht="84">
      <c r="A1664" s="69">
        <f>IF([11]PRIORIZADOS!A175="","",[11]PRIORIZADOS!A175)</f>
        <v>1631</v>
      </c>
      <c r="B1664" s="70">
        <v>19</v>
      </c>
      <c r="C1664" s="11" t="str">
        <f>IFERROR(IF(VLOOKUP(A1664,[11]PRIORIZADOS!$A:$C,3,FALSE)="","",VLOOKUP(A1664,[11]PRIORIZADOS!$A:$C,3,FALSE)),"")</f>
        <v>RAFAEL URIBE URIBE</v>
      </c>
      <c r="D1664" s="11" t="str">
        <f>IFERROR(IF(VLOOKUP(A1664,[11]PRIORIZADOS!$A:$D,4,FALSE)="","",VLOOKUP(A1664,[11]PRIORIZADOS!$A:$D,4,FALSE)),"")</f>
        <v>OFICIAL.</v>
      </c>
      <c r="E1664" s="11" t="str">
        <f>IFERROR(IF(VLOOKUP(A1664,[11]PRIORIZADOS!$A:$E,5,FALSE)="","",VLOOKUP(A1664,[11]PRIORIZADOS!$A:$E,5,FALSE)),"")</f>
        <v>EPBM</v>
      </c>
      <c r="F1664" s="11" t="str">
        <f>IFERROR(IF(VLOOKUP(A1664,[11]PRIORIZADOS!$A:$F,6,FALSE)="","",VLOOKUP(A1664,[11]PRIORIZADOS!$A:$F,6,FALSE)),"")</f>
        <v>COLEGIO_JOSE_MARTI_IED</v>
      </c>
      <c r="G1664" s="11" t="str">
        <f>IFERROR(IF(VLOOKUP(A1664,[11]PRIORIZADOS!$A:$G,7,FALSE)="","",VLOOKUP(A1664,[11]PRIORIZADOS!$A:$G,7,FALSE)),"")</f>
        <v>LUIS_LOPEZ_DE_MESA</v>
      </c>
      <c r="H1664" s="11" t="str">
        <f>IFERROR(IF(VLOOKUP(A1664,[11]PRIORIZADOS!$A:$H,8,FALSE)="","",VLOOKUP(A1664,[11]PRIORIZADOS!$A:$H,8,FALSE)),"")</f>
        <v>Autoevaluación Institucional y Pruebas SABER 11</v>
      </c>
      <c r="I1664" s="11" t="str">
        <f>IFERROR(IF(VLOOKUP(A1664,[11]PRIORIZADOS!$A:$I,9,FALSE)="","",VLOOKUP(A1664,[11]PRIORIZADOS!$A:$I,9,FALSE)),"")</f>
        <v>EVALUACIÓN_CON_FINES_DE_MEJORAMIENTO.</v>
      </c>
      <c r="J1664" s="11" t="str">
        <f>IFERROR(IF(VLOOKUP(A1664,[11]PRIORIZADOS!$A:$J,10,FALSE)="","",VLOOKUP(A1664,[11]PRIORIZADOS!$A:$J,10,FALSE)),"")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64" s="11" t="str">
        <f>IFERROR(IF(VLOOKUP(A1664,[11]PRIORIZADOS!$A:$K,11,FALSE)="","",VLOOKUP(A1664,[11]PRIORIZADOS!$A:$K,11,FALSE)),"")</f>
        <v>DORY CONSTANZA SANCHEZ ARAGÓN</v>
      </c>
      <c r="L1664" s="11" t="str">
        <f>IFERROR(IF(VLOOKUP(A1664,[11]PRIORIZADOS!$A:$L,12,FALSE)="","",VLOOKUP(A1664,[11]PRIORIZADOS!$A:$L,12,FALSE)),"")</f>
        <v>BEPCI YADIRA MINA ZAPATA</v>
      </c>
      <c r="M1664" s="71">
        <f>IFERROR(IF(VLOOKUP(A1664,[11]PRIORIZADOS!$A:$M,13,FALSE)="","",VLOOKUP(A1664,[11]PRIORIZADOS!$A:$M,13,FALSE)),"")</f>
        <v>45881</v>
      </c>
      <c r="N1664" s="71">
        <f>IFERROR(IF(VLOOKUP(A1664,[11]PRIORIZADOS!$A:$N,14,FALSE)="","",VLOOKUP(A1664,[11]PRIORIZADOS!$A:$N,14,FALSE)),"")</f>
        <v>45881</v>
      </c>
      <c r="O1664" s="71">
        <f>IFERROR(IF(VLOOKUP(A1664,[11]PRIORIZADOS!$A:$O,15,FALSE)="","",VLOOKUP(A1664,[11]PRIORIZADOS!$A:$O,15,FALSE)),"")</f>
        <v>45884</v>
      </c>
      <c r="P1664" s="11" t="str">
        <f>IFERROR(IF(VLOOKUP(A1664,[11]PRIORIZADOS!$A:$P,16,FALSE)="","",VLOOKUP(A1664,[11]PRIORIZADOS!$A:$P,16,FALSE)),"")</f>
        <v>Visitas de evaluación con fines de mejoramiento</v>
      </c>
      <c r="Q1664" s="5" t="s">
        <v>375</v>
      </c>
      <c r="R1664" s="11" t="str">
        <f>IFERROR(IF(VLOOKUP(A1664,[11]PRIORIZADOS!$A:$R,18,FALSE)="","",VLOOKUP(A1664,[11]PRIORIZADOS!$A:$R,18,FALSE)),"")</f>
        <v>Se evidencia actualización anual y aprobación del gobierno escolar del manual de convivencia.
La institución se encuentra en un proceso de reestructuración integral del PEI.</v>
      </c>
      <c r="S1664" s="11" t="str">
        <f>IFERROR(IF(VLOOKUP(A1664,[11]PRIORIZADOS!$A:$S,19,FALSE)="","",VLOOKUP(A1664,[11]PRIORIZADOS!$A:$S,19,FALSE)),"")</f>
        <v>Continuar los procesos de actualización del manual con la participación con el gobierno escolar. Presentar plan de mejoramiento el 15 de septiembre de 2025</v>
      </c>
      <c r="T1664" s="70" t="str">
        <f>IFERROR(IF(VLOOKUP(A1664,[11]PRIORIZADOS!$A:$T,20,FALSE)="","",VLOOKUP(A1664,[11]PRIORIZADOS!$A:$T,20,FALSE)),"")</f>
        <v>Si</v>
      </c>
      <c r="U1664" s="11" t="str">
        <f>IFERROR(IF(VLOOKUP(A1664,[11]PRIORIZADOS!$A:$U,21,FALSE)="","",VLOOKUP(A1664,[11]PRIORIZADOS!$A:$U,21,FALSE)),"")</f>
        <v>Revisar PM y verificar que se ajuste a las observaciones realizadas.</v>
      </c>
    </row>
    <row r="1665" spans="1:21" s="1" customFormat="1" ht="48">
      <c r="A1665" s="69">
        <f>IF([11]PRIORIZADOS!A176="","",[11]PRIORIZADOS!A176)</f>
        <v>1632</v>
      </c>
      <c r="B1665" s="70">
        <v>19</v>
      </c>
      <c r="C1665" s="11" t="str">
        <f>IFERROR(IF(VLOOKUP(A1665,[11]PRIORIZADOS!$A:$C,3,FALSE)="","",VLOOKUP(A1665,[11]PRIORIZADOS!$A:$C,3,FALSE)),"")</f>
        <v>RAFAEL URIBE URIBE</v>
      </c>
      <c r="D1665" s="11" t="str">
        <f>IFERROR(IF(VLOOKUP(A1665,[11]PRIORIZADOS!$A:$D,4,FALSE)="","",VLOOKUP(A1665,[11]PRIORIZADOS!$A:$D,4,FALSE)),"")</f>
        <v>OFICIAL.</v>
      </c>
      <c r="E1665" s="11" t="str">
        <f>IFERROR(IF(VLOOKUP(A1665,[11]PRIORIZADOS!$A:$E,5,FALSE)="","",VLOOKUP(A1665,[11]PRIORIZADOS!$A:$E,5,FALSE)),"")</f>
        <v>EPBM</v>
      </c>
      <c r="F1665" s="11" t="str">
        <f>IFERROR(IF(VLOOKUP(A1665,[11]PRIORIZADOS!$A:$F,6,FALSE)="","",VLOOKUP(A1665,[11]PRIORIZADOS!$A:$F,6,FALSE)),"")</f>
        <v>COLEGIO_JOSE_MARTI_IED</v>
      </c>
      <c r="G1665" s="11" t="str">
        <f>IFERROR(IF(VLOOKUP(A1665,[11]PRIORIZADOS!$A:$G,7,FALSE)="","",VLOOKUP(A1665,[11]PRIORIZADOS!$A:$G,7,FALSE)),"")</f>
        <v>LUIS_LOPEZ_DE_MESA</v>
      </c>
      <c r="H1665" s="11" t="str">
        <f>IFERROR(IF(VLOOKUP(A1665,[11]PRIORIZADOS!$A:$H,8,FALSE)="","",VLOOKUP(A1665,[11]PRIORIZADOS!$A:$H,8,FALSE)),"")</f>
        <v>Autoevaluación Institucional y Pruebas SABER 11</v>
      </c>
      <c r="I1665" s="11" t="str">
        <f>IFERROR(IF(VLOOKUP(A1665,[11]PRIORIZADOS!$A:$I,9,FALSE)="","",VLOOKUP(A1665,[11]PRIORIZADOS!$A:$I,9,FALSE)),"")</f>
        <v>EVALUACIÓN_CON_FINES_DE_MEJORAMIENTO.</v>
      </c>
      <c r="J1665" s="11" t="str">
        <f>IFERROR(IF(VLOOKUP(A1665,[11]PRIORIZADOS!$A:$J,10,FALSE)="","",VLOOKUP(A1665,[11]PRIORIZADOS!$A:$J,10,FALSE)),"")</f>
        <v>Revisar la actualización, socialización e implementación del Sistema Institucional de Evaluación de Estudiantes - SIEE, en articulación con la actualización del PEI y la normatividad vigente.</v>
      </c>
      <c r="K1665" s="11" t="str">
        <f>IFERROR(IF(VLOOKUP(A1665,[11]PRIORIZADOS!$A:$K,11,FALSE)="","",VLOOKUP(A1665,[11]PRIORIZADOS!$A:$K,11,FALSE)),"")</f>
        <v>DORY CONSTANZA SANCHEZ ARAGÓN</v>
      </c>
      <c r="L1665" s="11" t="str">
        <f>IFERROR(IF(VLOOKUP(A1665,[11]PRIORIZADOS!$A:$L,12,FALSE)="","",VLOOKUP(A1665,[11]PRIORIZADOS!$A:$L,12,FALSE)),"")</f>
        <v>BEPCI YADIRA MINA ZAPATA</v>
      </c>
      <c r="M1665" s="71">
        <f>IFERROR(IF(VLOOKUP(A1665,[11]PRIORIZADOS!$A:$M,13,FALSE)="","",VLOOKUP(A1665,[11]PRIORIZADOS!$A:$M,13,FALSE)),"")</f>
        <v>45881</v>
      </c>
      <c r="N1665" s="71">
        <f>IFERROR(IF(VLOOKUP(A1665,[11]PRIORIZADOS!$A:$N,14,FALSE)="","",VLOOKUP(A1665,[11]PRIORIZADOS!$A:$N,14,FALSE)),"")</f>
        <v>45881</v>
      </c>
      <c r="O1665" s="71">
        <f>IFERROR(IF(VLOOKUP(A1665,[11]PRIORIZADOS!$A:$O,15,FALSE)="","",VLOOKUP(A1665,[11]PRIORIZADOS!$A:$O,15,FALSE)),"")</f>
        <v>45884</v>
      </c>
      <c r="P1665" s="11" t="str">
        <f>IFERROR(IF(VLOOKUP(A1665,[11]PRIORIZADOS!$A:$P,16,FALSE)="","",VLOOKUP(A1665,[11]PRIORIZADOS!$A:$P,16,FALSE)),"")</f>
        <v>Visitas de evaluación con fines de mejoramiento</v>
      </c>
      <c r="Q1665" s="5" t="s">
        <v>375</v>
      </c>
      <c r="R1665" s="11" t="str">
        <f>IFERROR(IF(VLOOKUP(A1665,[11]PRIORIZADOS!$A:$R,18,FALSE)="","",VLOOKUP(A1665,[11]PRIORIZADOS!$A:$R,18,FALSE)),"")</f>
        <v>Cuenta con un SIEE actualizado y con participación del gobierno escolar.
La institución se encuentra en un proceso de reestructuración integral del PEI.</v>
      </c>
      <c r="S1665" s="11" t="str">
        <f>IFERROR(IF(VLOOKUP(A1665,[11]PRIORIZADOS!$A:$S,19,FALSE)="","",VLOOKUP(A1665,[11]PRIORIZADOS!$A:$S,19,FALSE)),"")</f>
        <v>Continuar los procesos de actualización del SIEE con la participación con el gobierno escolar. Presentar plan de mejoramiento el 15 de septiembre de 2025</v>
      </c>
      <c r="T1665" s="70" t="str">
        <f>IFERROR(IF(VLOOKUP(A1665,[11]PRIORIZADOS!$A:$T,20,FALSE)="","",VLOOKUP(A1665,[11]PRIORIZADOS!$A:$T,20,FALSE)),"")</f>
        <v>Si</v>
      </c>
      <c r="U1665" s="11" t="str">
        <f>IFERROR(IF(VLOOKUP(A1665,[11]PRIORIZADOS!$A:$U,21,FALSE)="","",VLOOKUP(A1665,[11]PRIORIZADOS!$A:$U,21,FALSE)),"")</f>
        <v>Revisar PM y verificar que se ajuste a las observaciones realizadas.</v>
      </c>
    </row>
    <row r="1666" spans="1:21" s="1" customFormat="1" ht="48">
      <c r="A1666" s="69">
        <f>IF([11]PRIORIZADOS!A177="","",[11]PRIORIZADOS!A177)</f>
        <v>1633</v>
      </c>
      <c r="B1666" s="70">
        <v>19</v>
      </c>
      <c r="C1666" s="11" t="str">
        <f>IFERROR(IF(VLOOKUP(A1666,[11]PRIORIZADOS!$A:$C,3,FALSE)="","",VLOOKUP(A1666,[11]PRIORIZADOS!$A:$C,3,FALSE)),"")</f>
        <v>RAFAEL URIBE URIBE</v>
      </c>
      <c r="D1666" s="11" t="str">
        <f>IFERROR(IF(VLOOKUP(A1666,[11]PRIORIZADOS!$A:$D,4,FALSE)="","",VLOOKUP(A1666,[11]PRIORIZADOS!$A:$D,4,FALSE)),"")</f>
        <v>OFICIAL.</v>
      </c>
      <c r="E1666" s="11" t="str">
        <f>IFERROR(IF(VLOOKUP(A1666,[11]PRIORIZADOS!$A:$E,5,FALSE)="","",VLOOKUP(A1666,[11]PRIORIZADOS!$A:$E,5,FALSE)),"")</f>
        <v>EPBM</v>
      </c>
      <c r="F1666" s="11" t="str">
        <f>IFERROR(IF(VLOOKUP(A1666,[11]PRIORIZADOS!$A:$F,6,FALSE)="","",VLOOKUP(A1666,[11]PRIORIZADOS!$A:$F,6,FALSE)),"")</f>
        <v>COLEGIO_JOSE_MARTI_IED</v>
      </c>
      <c r="G1666" s="11" t="str">
        <f>IFERROR(IF(VLOOKUP(A1666,[11]PRIORIZADOS!$A:$G,7,FALSE)="","",VLOOKUP(A1666,[11]PRIORIZADOS!$A:$G,7,FALSE)),"")</f>
        <v>LUIS_LOPEZ_DE_MESA</v>
      </c>
      <c r="H1666" s="11" t="str">
        <f>IFERROR(IF(VLOOKUP(A1666,[11]PRIORIZADOS!$A:$H,8,FALSE)="","",VLOOKUP(A1666,[11]PRIORIZADOS!$A:$H,8,FALSE)),"")</f>
        <v>Autoevaluación Institucional y Pruebas SABER 11</v>
      </c>
      <c r="I1666" s="11" t="str">
        <f>IFERROR(IF(VLOOKUP(A1666,[11]PRIORIZADOS!$A:$I,9,FALSE)="","",VLOOKUP(A1666,[11]PRIORIZADOS!$A:$I,9,FALSE)),"")</f>
        <v>EVALUACIÓN_CON_FINES_DE_MEJORAMIENTO.</v>
      </c>
      <c r="J1666" s="11" t="str">
        <f>IFERROR(IF(VLOOKUP(A1666,[11]PRIORIZADOS!$A:$J,10,FALSE)="","",VLOOKUP(A1666,[11]PRIORIZADOS!$A:$J,10,FALSE)),"")</f>
        <v>Revisar el calendario escolar, jornada escolar, la intensidad horaria mínima anual en cada nivel y las modificaciones que se realicen al mismo, de acuerdo con lo previsto en la normatividad vigente.</v>
      </c>
      <c r="K1666" s="11" t="str">
        <f>IFERROR(IF(VLOOKUP(A1666,[11]PRIORIZADOS!$A:$K,11,FALSE)="","",VLOOKUP(A1666,[11]PRIORIZADOS!$A:$K,11,FALSE)),"")</f>
        <v>DORY CONSTANZA SANCHEZ ARAGÓN</v>
      </c>
      <c r="L1666" s="11" t="str">
        <f>IFERROR(IF(VLOOKUP(A1666,[11]PRIORIZADOS!$A:$L,12,FALSE)="","",VLOOKUP(A1666,[11]PRIORIZADOS!$A:$L,12,FALSE)),"")</f>
        <v>BEPCI YADIRA MINA ZAPATA</v>
      </c>
      <c r="M1666" s="71">
        <f>IFERROR(IF(VLOOKUP(A1666,[11]PRIORIZADOS!$A:$M,13,FALSE)="","",VLOOKUP(A1666,[11]PRIORIZADOS!$A:$M,13,FALSE)),"")</f>
        <v>45881</v>
      </c>
      <c r="N1666" s="71">
        <f>IFERROR(IF(VLOOKUP(A1666,[11]PRIORIZADOS!$A:$N,14,FALSE)="","",VLOOKUP(A1666,[11]PRIORIZADOS!$A:$N,14,FALSE)),"")</f>
        <v>45881</v>
      </c>
      <c r="O1666" s="71">
        <f>IFERROR(IF(VLOOKUP(A1666,[11]PRIORIZADOS!$A:$O,15,FALSE)="","",VLOOKUP(A1666,[11]PRIORIZADOS!$A:$O,15,FALSE)),"")</f>
        <v>45884</v>
      </c>
      <c r="P1666" s="11" t="str">
        <f>IFERROR(IF(VLOOKUP(A1666,[11]PRIORIZADOS!$A:$P,16,FALSE)="","",VLOOKUP(A1666,[11]PRIORIZADOS!$A:$P,16,FALSE)),"")</f>
        <v>Visitas de evaluación con fines de mejoramiento</v>
      </c>
      <c r="Q1666" s="5" t="s">
        <v>375</v>
      </c>
      <c r="R1666" s="11" t="str">
        <f>IFERROR(IF(VLOOKUP(A1666,[11]PRIORIZADOS!$A:$R,18,FALSE)="","",VLOOKUP(A1666,[11]PRIORIZADOS!$A:$R,18,FALSE)),"")</f>
        <v>La institución cuenta con resolución rectoral de adpción de calendario escolar a la resolución No 1811 del 31 de octubre de 2024</v>
      </c>
      <c r="S1666" s="11" t="str">
        <f>IFERROR(IF(VLOOKUP(A1666,[11]PRIORIZADOS!$A:$S,19,FALSE)="","",VLOOKUP(A1666,[11]PRIORIZADOS!$A:$S,19,FALSE)),"")</f>
        <v>Dar cumplimiento a lo establecido en el calendario</v>
      </c>
      <c r="T1666" s="70" t="str">
        <f>IFERROR(IF(VLOOKUP(A1666,[11]PRIORIZADOS!$A:$T,20,FALSE)="","",VLOOKUP(A1666,[11]PRIORIZADOS!$A:$T,20,FALSE)),"")</f>
        <v>No</v>
      </c>
      <c r="U1666" s="11" t="str">
        <f>IFERROR(IF(VLOOKUP(A1666,[11]PRIORIZADOS!$A:$U,21,FALSE)="","",VLOOKUP(A1666,[11]PRIORIZADOS!$A:$U,21,FALSE)),"")</f>
        <v>Verificar en caso de presentarse una queja</v>
      </c>
    </row>
    <row r="1667" spans="1:21" s="1" customFormat="1" ht="48">
      <c r="A1667" s="69">
        <f>IF([11]PRIORIZADOS!A178="","",[11]PRIORIZADOS!A178)</f>
        <v>1634</v>
      </c>
      <c r="B1667" s="70">
        <v>19</v>
      </c>
      <c r="C1667" s="11" t="str">
        <f>IFERROR(IF(VLOOKUP(A1667,[11]PRIORIZADOS!$A:$C,3,FALSE)="","",VLOOKUP(A1667,[11]PRIORIZADOS!$A:$C,3,FALSE)),"")</f>
        <v>RAFAEL URIBE URIBE</v>
      </c>
      <c r="D1667" s="11" t="str">
        <f>IFERROR(IF(VLOOKUP(A1667,[11]PRIORIZADOS!$A:$D,4,FALSE)="","",VLOOKUP(A1667,[11]PRIORIZADOS!$A:$D,4,FALSE)),"")</f>
        <v>OFICIAL.</v>
      </c>
      <c r="E1667" s="11" t="str">
        <f>IFERROR(IF(VLOOKUP(A1667,[11]PRIORIZADOS!$A:$E,5,FALSE)="","",VLOOKUP(A1667,[11]PRIORIZADOS!$A:$E,5,FALSE)),"")</f>
        <v>EPBM</v>
      </c>
      <c r="F1667" s="11" t="str">
        <f>IFERROR(IF(VLOOKUP(A1667,[11]PRIORIZADOS!$A:$F,6,FALSE)="","",VLOOKUP(A1667,[11]PRIORIZADOS!$A:$F,6,FALSE)),"")</f>
        <v>COLEGIO_JOSE_MARTI_IED</v>
      </c>
      <c r="G1667" s="11" t="str">
        <f>IFERROR(IF(VLOOKUP(A1667,[11]PRIORIZADOS!$A:$G,7,FALSE)="","",VLOOKUP(A1667,[11]PRIORIZADOS!$A:$G,7,FALSE)),"")</f>
        <v>LUIS_LOPEZ_DE_MESA</v>
      </c>
      <c r="H1667" s="11" t="str">
        <f>IFERROR(IF(VLOOKUP(A1667,[11]PRIORIZADOS!$A:$H,8,FALSE)="","",VLOOKUP(A1667,[11]PRIORIZADOS!$A:$H,8,FALSE)),"")</f>
        <v>Autoevaluación Institucional y Pruebas SABER 11</v>
      </c>
      <c r="I1667" s="11" t="str">
        <f>IFERROR(IF(VLOOKUP(A1667,[11]PRIORIZADOS!$A:$I,9,FALSE)="","",VLOOKUP(A1667,[11]PRIORIZADOS!$A:$I,9,FALSE)),"")</f>
        <v>EVALUACIÓN_CON_FINES_DE_MEJORAMIENTO.</v>
      </c>
      <c r="J1667" s="11" t="str">
        <f>IFERROR(IF(VLOOKUP(A1667,[11]PRIORIZADOS!$A:$J,10,FALSE)="","",VLOOKUP(A1667,[11]PRIORIZADOS!$A:$J,10,FALSE)),"")</f>
        <v>Verificar el funcionamiento del Gobierno Escolar e instancias de participación con base en la información sobre conformación reportada por la institución educativa.</v>
      </c>
      <c r="K1667" s="11" t="str">
        <f>IFERROR(IF(VLOOKUP(A1667,[11]PRIORIZADOS!$A:$K,11,FALSE)="","",VLOOKUP(A1667,[11]PRIORIZADOS!$A:$K,11,FALSE)),"")</f>
        <v>DORY CONSTANZA SANCHEZ ARAGÓN</v>
      </c>
      <c r="L1667" s="11" t="str">
        <f>IFERROR(IF(VLOOKUP(A1667,[11]PRIORIZADOS!$A:$L,12,FALSE)="","",VLOOKUP(A1667,[11]PRIORIZADOS!$A:$L,12,FALSE)),"")</f>
        <v>BEPCI YADIRA MINA ZAPATA</v>
      </c>
      <c r="M1667" s="71">
        <f>IFERROR(IF(VLOOKUP(A1667,[11]PRIORIZADOS!$A:$M,13,FALSE)="","",VLOOKUP(A1667,[11]PRIORIZADOS!$A:$M,13,FALSE)),"")</f>
        <v>45881</v>
      </c>
      <c r="N1667" s="71">
        <f>IFERROR(IF(VLOOKUP(A1667,[11]PRIORIZADOS!$A:$N,14,FALSE)="","",VLOOKUP(A1667,[11]PRIORIZADOS!$A:$N,14,FALSE)),"")</f>
        <v>45881</v>
      </c>
      <c r="O1667" s="71">
        <f>IFERROR(IF(VLOOKUP(A1667,[11]PRIORIZADOS!$A:$O,15,FALSE)="","",VLOOKUP(A1667,[11]PRIORIZADOS!$A:$O,15,FALSE)),"")</f>
        <v>45884</v>
      </c>
      <c r="P1667" s="11" t="str">
        <f>IFERROR(IF(VLOOKUP(A1667,[11]PRIORIZADOS!$A:$P,16,FALSE)="","",VLOOKUP(A1667,[11]PRIORIZADOS!$A:$P,16,FALSE)),"")</f>
        <v>Visitas de evaluación con fines de mejoramiento</v>
      </c>
      <c r="Q1667" s="5" t="s">
        <v>375</v>
      </c>
      <c r="R1667" s="11" t="str">
        <f>IFERROR(IF(VLOOKUP(A1667,[11]PRIORIZADOS!$A:$R,18,FALSE)="","",VLOOKUP(A1667,[11]PRIORIZADOS!$A:$R,18,FALSE)),"")</f>
        <v>Se evidencian actas de funcionamiento de los organos del Gobierno Escolar e instancias de participación.</v>
      </c>
      <c r="S1667" s="11" t="str">
        <f>IFERROR(IF(VLOOKUP(A1667,[11]PRIORIZADOS!$A:$S,19,FALSE)="","",VLOOKUP(A1667,[11]PRIORIZADOS!$A:$S,19,FALSE)),"")</f>
        <v>Continuar con las reuniones de los organos del Gobierno Escolar e instancias de participación con las respectivas actas.</v>
      </c>
      <c r="T1667" s="70" t="str">
        <f>IFERROR(IF(VLOOKUP(A1667,[11]PRIORIZADOS!$A:$T,20,FALSE)="","",VLOOKUP(A1667,[11]PRIORIZADOS!$A:$T,20,FALSE)),"")</f>
        <v>No</v>
      </c>
      <c r="U1667" s="11" t="str">
        <f>IFERROR(IF(VLOOKUP(A1667,[11]PRIORIZADOS!$A:$U,21,FALSE)="","",VLOOKUP(A1667,[11]PRIORIZADOS!$A:$U,21,FALSE)),"")</f>
        <v>Verificar en caso de presentarse una queja</v>
      </c>
    </row>
    <row r="1668" spans="1:21" s="1" customFormat="1" ht="36">
      <c r="A1668" s="69">
        <f>IF([11]PRIORIZADOS!A179="","",[11]PRIORIZADOS!A179)</f>
        <v>1635</v>
      </c>
      <c r="B1668" s="70">
        <v>19</v>
      </c>
      <c r="C1668" s="11" t="str">
        <f>IFERROR(IF(VLOOKUP(A1668,[11]PRIORIZADOS!$A:$C,3,FALSE)="","",VLOOKUP(A1668,[11]PRIORIZADOS!$A:$C,3,FALSE)),"")</f>
        <v>RAFAEL URIBE URIBE</v>
      </c>
      <c r="D1668" s="11" t="str">
        <f>IFERROR(IF(VLOOKUP(A1668,[11]PRIORIZADOS!$A:$D,4,FALSE)="","",VLOOKUP(A1668,[11]PRIORIZADOS!$A:$D,4,FALSE)),"")</f>
        <v>OFICIAL.</v>
      </c>
      <c r="E1668" s="11" t="str">
        <f>IFERROR(IF(VLOOKUP(A1668,[11]PRIORIZADOS!$A:$E,5,FALSE)="","",VLOOKUP(A1668,[11]PRIORIZADOS!$A:$E,5,FALSE)),"")</f>
        <v>EPBM</v>
      </c>
      <c r="F1668" s="11" t="str">
        <f>IFERROR(IF(VLOOKUP(A1668,[11]PRIORIZADOS!$A:$F,6,FALSE)="","",VLOOKUP(A1668,[11]PRIORIZADOS!$A:$F,6,FALSE)),"")</f>
        <v>COLEGIO_JOSE_MARTI_IED</v>
      </c>
      <c r="G1668" s="11" t="str">
        <f>IFERROR(IF(VLOOKUP(A1668,[11]PRIORIZADOS!$A:$G,7,FALSE)="","",VLOOKUP(A1668,[11]PRIORIZADOS!$A:$G,7,FALSE)),"")</f>
        <v>LUIS_LOPEZ_DE_MESA</v>
      </c>
      <c r="H1668" s="11" t="str">
        <f>IFERROR(IF(VLOOKUP(A1668,[11]PRIORIZADOS!$A:$H,8,FALSE)="","",VLOOKUP(A1668,[11]PRIORIZADOS!$A:$H,8,FALSE)),"")</f>
        <v>Autoevaluación Institucional y Pruebas SABER 11</v>
      </c>
      <c r="I1668" s="11" t="str">
        <f>IFERROR(IF(VLOOKUP(A1668,[11]PRIORIZADOS!$A:$I,9,FALSE)="","",VLOOKUP(A1668,[11]PRIORIZADOS!$A:$I,9,FALSE)),"")</f>
        <v>EVALUACIÓN_CON_FINES_DE_MEJORAMIENTO.</v>
      </c>
      <c r="J1668" s="11" t="str">
        <f>IFERROR(IF(VLOOKUP(A1668,[11]PRIORIZADOS!$A:$J,10,FALSE)="","",VLOOKUP(A1668,[11]PRIORIZADOS!$A:$J,10,FALSE)),"")</f>
        <v>Verificar las condiciones en cuanto a: la estructura administrativa, condiciones de la planta física y medios educativos adecuados.</v>
      </c>
      <c r="K1668" s="11" t="str">
        <f>IFERROR(IF(VLOOKUP(A1668,[11]PRIORIZADOS!$A:$K,11,FALSE)="","",VLOOKUP(A1668,[11]PRIORIZADOS!$A:$K,11,FALSE)),"")</f>
        <v>DORY CONSTANZA SANCHEZ ARAGÓN</v>
      </c>
      <c r="L1668" s="11" t="str">
        <f>IFERROR(IF(VLOOKUP(A1668,[11]PRIORIZADOS!$A:$L,12,FALSE)="","",VLOOKUP(A1668,[11]PRIORIZADOS!$A:$L,12,FALSE)),"")</f>
        <v>BEPCI YADIRA MINA ZAPATA</v>
      </c>
      <c r="M1668" s="71">
        <f>IFERROR(IF(VLOOKUP(A1668,[11]PRIORIZADOS!$A:$M,13,FALSE)="","",VLOOKUP(A1668,[11]PRIORIZADOS!$A:$M,13,FALSE)),"")</f>
        <v>45881</v>
      </c>
      <c r="N1668" s="71">
        <f>IFERROR(IF(VLOOKUP(A1668,[11]PRIORIZADOS!$A:$N,14,FALSE)="","",VLOOKUP(A1668,[11]PRIORIZADOS!$A:$N,14,FALSE)),"")</f>
        <v>45881</v>
      </c>
      <c r="O1668" s="71">
        <f>IFERROR(IF(VLOOKUP(A1668,[11]PRIORIZADOS!$A:$O,15,FALSE)="","",VLOOKUP(A1668,[11]PRIORIZADOS!$A:$O,15,FALSE)),"")</f>
        <v>45884</v>
      </c>
      <c r="P1668" s="11" t="str">
        <f>IFERROR(IF(VLOOKUP(A1668,[11]PRIORIZADOS!$A:$P,16,FALSE)="","",VLOOKUP(A1668,[11]PRIORIZADOS!$A:$P,16,FALSE)),"")</f>
        <v>Visitas de evaluación con fines de mejoramiento</v>
      </c>
      <c r="Q1668" s="5" t="s">
        <v>375</v>
      </c>
      <c r="R1668" s="11" t="str">
        <f>IFERROR(IF(VLOOKUP(A1668,[11]PRIORIZADOS!$A:$R,18,FALSE)="","",VLOOKUP(A1668,[11]PRIORIZADOS!$A:$R,18,FALSE)),"")</f>
        <v>Verificación de planta física de la Sede A. La institución cuenta con 5 sedes para atender a toda su población</v>
      </c>
      <c r="S1668" s="11" t="str">
        <f>IFERROR(IF(VLOOKUP(A1668,[11]PRIORIZADOS!$A:$S,19,FALSE)="","",VLOOKUP(A1668,[11]PRIORIZADOS!$A:$S,19,FALSE)),"")</f>
        <v>Se evidencio que la institución cuenta con ambientes de aprendizaje adecuados, con buena iluminación y ventilación</v>
      </c>
      <c r="T1668" s="70" t="str">
        <f>IFERROR(IF(VLOOKUP(A1668,[11]PRIORIZADOS!$A:$T,20,FALSE)="","",VLOOKUP(A1668,[11]PRIORIZADOS!$A:$T,20,FALSE)),"")</f>
        <v>No</v>
      </c>
      <c r="U1668" s="11" t="str">
        <f>IFERROR(IF(VLOOKUP(A1668,[11]PRIORIZADOS!$A:$U,21,FALSE)="","",VLOOKUP(A1668,[11]PRIORIZADOS!$A:$U,21,FALSE)),"")</f>
        <v>Verificar en caso de presentarse una queja</v>
      </c>
    </row>
    <row r="1669" spans="1:21" s="1" customFormat="1" ht="36">
      <c r="A1669" s="69">
        <f>IF([11]PRIORIZADOS!A180="","",[11]PRIORIZADOS!A180)</f>
        <v>1636</v>
      </c>
      <c r="B1669" s="70">
        <f>IFERROR(IF(VLOOKUP(A1669,[11]PRIORIZADOS!$A:$B,2,FALSE)="","",VLOOKUP(A1669,[11]PRIORIZADOS!$A:$B,2,FALSE)),"")</f>
        <v>20</v>
      </c>
      <c r="C1669" s="11" t="str">
        <f>IFERROR(IF(VLOOKUP(A1669,[11]PRIORIZADOS!$A:$C,3,FALSE)="","",VLOOKUP(A1669,[11]PRIORIZADOS!$A:$C,3,FALSE)),"")</f>
        <v>RAFAEL URIBE URIBE</v>
      </c>
      <c r="D1669" s="11" t="str">
        <f>IFERROR(IF(VLOOKUP(A1669,[11]PRIORIZADOS!$A:$D,4,FALSE)="","",VLOOKUP(A1669,[11]PRIORIZADOS!$A:$D,4,FALSE)),"")</f>
        <v>PRIVADO</v>
      </c>
      <c r="E1669" s="11" t="str">
        <f>IFERROR(IF(VLOOKUP(A1669,[11]PRIORIZADOS!$A:$E,5,FALSE)="","",VLOOKUP(A1669,[11]PRIORIZADOS!$A:$E,5,FALSE)),"")</f>
        <v>EPBM</v>
      </c>
      <c r="F1669" s="11" t="str">
        <f>IFERROR(IF(VLOOKUP(A1669,[11]PRIORIZADOS!$A:$F,6,FALSE)="","",VLOOKUP(A1669,[11]PRIORIZADOS!$A:$F,6,FALSE)),"")</f>
        <v>GIMNASIO_NUESTRA_SEÑORA_DE_LA_ESPERANZA</v>
      </c>
      <c r="G1669" s="11" t="str">
        <f>IFERROR(IF(VLOOKUP(A1669,[11]PRIORIZADOS!$A:$G,7,FALSE)="","",VLOOKUP(A1669,[11]PRIORIZADOS!$A:$G,7,FALSE)),"")</f>
        <v>GIMNASIO_NUESTRA_SEÑORA_DE_LA_ESPERANZA</v>
      </c>
      <c r="H1669" s="11" t="str">
        <f>IFERROR(IF(VLOOKUP(A1669,[11]PRIORIZADOS!$A:$H,8,FALSE)="","",VLOOKUP(A1669,[11]PRIORIZADOS!$A:$H,8,FALSE)),"")</f>
        <v>Autoevaluación Institucional y Pruebas SABER 11</v>
      </c>
      <c r="I1669" s="11" t="str">
        <f>IFERROR(IF(VLOOKUP(A1669,[11]PRIORIZADOS!$A:$I,9,FALSE)="","",VLOOKUP(A1669,[11]PRIORIZADOS!$A:$I,9,FALSE)),"")</f>
        <v>SEGUIMIENTO_Y_SUPERVISIÓN.</v>
      </c>
      <c r="J1669" s="11" t="str">
        <f>IFERROR(IF(VLOOKUP(A1669,[11]PRIORIZADOS!$A:$J,10,FALSE)="","",VLOOKUP(A1669,[11]PRIORIZADOS!$A:$J,10,FALSE)),"")</f>
        <v>Realizar visitas para verificar la información registrada sobre la autoevaluación institucional en el aplicativo EVI, a los establecimientos de educación formal no oficial.</v>
      </c>
      <c r="K1669" s="11" t="str">
        <f>IFERROR(IF(VLOOKUP(A1669,[11]PRIORIZADOS!$A:$K,11,FALSE)="","",VLOOKUP(A1669,[11]PRIORIZADOS!$A:$K,11,FALSE)),"")</f>
        <v>BEPCI YADIRA MINA ZAPATA</v>
      </c>
      <c r="L1669" s="11" t="str">
        <f>IFERROR(IF(VLOOKUP(A1669,[11]PRIORIZADOS!$A:$L,12,FALSE)="","",VLOOKUP(A1669,[11]PRIORIZADOS!$A:$L,12,FALSE)),"")</f>
        <v>DORY CONSTANZA SANCHEZ ARAGÓN</v>
      </c>
      <c r="M1669" s="71">
        <f>IFERROR(IF(VLOOKUP(A1669,[11]PRIORIZADOS!$A:$M,13,FALSE)="","",VLOOKUP(A1669,[11]PRIORIZADOS!$A:$M,13,FALSE)),"")</f>
        <v>45896</v>
      </c>
      <c r="N1669" s="71">
        <f>IFERROR(IF(VLOOKUP(A1669,[11]PRIORIZADOS!$A:$N,14,FALSE)="","",VLOOKUP(A1669,[11]PRIORIZADOS!$A:$N,14,FALSE)),"")</f>
        <v>45798</v>
      </c>
      <c r="O1669" s="71">
        <f>IFERROR(IF(VLOOKUP(A1669,[11]PRIORIZADOS!$A:$O,15,FALSE)="","",VLOOKUP(A1669,[11]PRIORIZADOS!$A:$O,15,FALSE)),"")</f>
        <v>45803</v>
      </c>
      <c r="P1669" s="11" t="str">
        <f>IFERROR(IF(VLOOKUP(A1669,[11]PRIORIZADOS!$A:$P,16,FALSE)="","",VLOOKUP(A1669,[11]PRIORIZADOS!$A:$P,16,FALSE)),"")</f>
        <v>Visitas de evaluación con fines de mejoramiento</v>
      </c>
      <c r="Q1669" s="107" t="s">
        <v>376</v>
      </c>
      <c r="R1669" s="11" t="str">
        <f>IFERROR(IF(VLOOKUP(A1669,[11]PRIORIZADOS!$A:$R,18,FALSE)="","",VLOOKUP(A1669,[11]PRIORIZADOS!$A:$R,18,FALSE)),"")</f>
        <v>Cuentan con docentes sin afiliación a seguridad social.</v>
      </c>
      <c r="S1669" s="11" t="str">
        <f>IFERROR(IF(VLOOKUP(A1669,[11]PRIORIZADOS!$A:$S,19,FALSE)="","",VLOOKUP(A1669,[11]PRIORIZADOS!$A:$S,19,FALSE)),"")</f>
        <v>Realizar pago de seguridad social a todo el personal de la institución. Presentar plan de mejoramiento el 18 de julio de 2025</v>
      </c>
      <c r="T1669" s="70" t="str">
        <f>IFERROR(IF(VLOOKUP(A1669,[11]PRIORIZADOS!$A:$T,20,FALSE)="","",VLOOKUP(A1669,[11]PRIORIZADOS!$A:$T,20,FALSE)),"")</f>
        <v>Si</v>
      </c>
      <c r="U1669" s="11" t="str">
        <f>IFERROR(IF(VLOOKUP(A1669,[11]PRIORIZADOS!$A:$U,21,FALSE)="","",VLOOKUP(A1669,[11]PRIORIZADOS!$A:$U,21,FALSE)),"")</f>
        <v>Revisar PM y verificar que se ajuste a las observaciones realizadas.</v>
      </c>
    </row>
    <row r="1670" spans="1:21" s="1" customFormat="1" ht="84">
      <c r="A1670" s="69">
        <f>IF([11]PRIORIZADOS!A181="","",[11]PRIORIZADOS!A181)</f>
        <v>1637</v>
      </c>
      <c r="B1670" s="70">
        <v>20</v>
      </c>
      <c r="C1670" s="11" t="str">
        <f>IFERROR(IF(VLOOKUP(A1670,[11]PRIORIZADOS!$A:$C,3,FALSE)="","",VLOOKUP(A1670,[11]PRIORIZADOS!$A:$C,3,FALSE)),"")</f>
        <v>RAFAEL URIBE URIBE</v>
      </c>
      <c r="D1670" s="11" t="str">
        <f>IFERROR(IF(VLOOKUP(A1670,[11]PRIORIZADOS!$A:$D,4,FALSE)="","",VLOOKUP(A1670,[11]PRIORIZADOS!$A:$D,4,FALSE)),"")</f>
        <v>PRIVADO</v>
      </c>
      <c r="E1670" s="11" t="str">
        <f>IFERROR(IF(VLOOKUP(A1670,[11]PRIORIZADOS!$A:$E,5,FALSE)="","",VLOOKUP(A1670,[11]PRIORIZADOS!$A:$E,5,FALSE)),"")</f>
        <v>EPBM</v>
      </c>
      <c r="F1670" s="11" t="str">
        <f>IFERROR(IF(VLOOKUP(A1670,[11]PRIORIZADOS!$A:$F,6,FALSE)="","",VLOOKUP(A1670,[11]PRIORIZADOS!$A:$F,6,FALSE)),"")</f>
        <v>GIMNASIO_NUESTRA_SEÑORA_DE_LA_ESPERANZA</v>
      </c>
      <c r="G1670" s="11" t="str">
        <f>IFERROR(IF(VLOOKUP(A1670,[11]PRIORIZADOS!$A:$G,7,FALSE)="","",VLOOKUP(A1670,[11]PRIORIZADOS!$A:$G,7,FALSE)),"")</f>
        <v>GIMNASIO_NUESTRA_SEÑORA_DE_LA_ESPERANZA</v>
      </c>
      <c r="H1670" s="11" t="str">
        <f>IFERROR(IF(VLOOKUP(A1670,[11]PRIORIZADOS!$A:$H,8,FALSE)="","",VLOOKUP(A1670,[11]PRIORIZADOS!$A:$H,8,FALSE)),"")</f>
        <v>Autoevaluación Institucional y Pruebas SABER 11</v>
      </c>
      <c r="I1670" s="11" t="str">
        <f>IFERROR(IF(VLOOKUP(A1670,[11]PRIORIZADOS!$A:$I,9,FALSE)="","",VLOOKUP(A1670,[11]PRIORIZADOS!$A:$I,9,FALSE)),"")</f>
        <v>SEGUIMIENTO_Y_SUPERVISIÓN.</v>
      </c>
      <c r="J1670" s="11" t="str">
        <f>IFERROR(IF(VLOOKUP(A1670,[11]PRIORIZADOS!$A:$J,10,FALSE)="","",VLOOKUP(A1670,[11]PRIORIZADOS!$A:$J,10,FALSE)),"")</f>
        <v>Proponer estrategias en la formulación, verificar su elaboración y realizar seguimiento semestral al desarrollo de  las acciones establecidas en los planes de mejoramiento por pruebas SABER 11 de los establecimientos de educación formal.</v>
      </c>
      <c r="K1670" s="11" t="str">
        <f>IFERROR(IF(VLOOKUP(A1670,[11]PRIORIZADOS!$A:$K,11,FALSE)="","",VLOOKUP(A1670,[11]PRIORIZADOS!$A:$K,11,FALSE)),"")</f>
        <v>BEPCI YADIRA MINA ZAPATA</v>
      </c>
      <c r="L1670" s="11" t="str">
        <f>IFERROR(IF(VLOOKUP(A1670,[11]PRIORIZADOS!$A:$L,12,FALSE)="","",VLOOKUP(A1670,[11]PRIORIZADOS!$A:$L,12,FALSE)),"")</f>
        <v>DORY CONSTANZA SANCHEZ ARAGÓN</v>
      </c>
      <c r="M1670" s="71">
        <f>IFERROR(IF(VLOOKUP(A1670,[11]PRIORIZADOS!$A:$M,13,FALSE)="","",VLOOKUP(A1670,[11]PRIORIZADOS!$A:$M,13,FALSE)),"")</f>
        <v>45896</v>
      </c>
      <c r="N1670" s="71">
        <f>IFERROR(IF(VLOOKUP(A1670,[11]PRIORIZADOS!$A:$N,14,FALSE)="","",VLOOKUP(A1670,[11]PRIORIZADOS!$A:$N,14,FALSE)),"")</f>
        <v>45798</v>
      </c>
      <c r="O1670" s="71">
        <f>IFERROR(IF(VLOOKUP(A1670,[11]PRIORIZADOS!$A:$O,15,FALSE)="","",VLOOKUP(A1670,[11]PRIORIZADOS!$A:$O,15,FALSE)),"")</f>
        <v>45803</v>
      </c>
      <c r="P1670" s="11" t="str">
        <f>IFERROR(IF(VLOOKUP(A1670,[11]PRIORIZADOS!$A:$P,16,FALSE)="","",VLOOKUP(A1670,[11]PRIORIZADOS!$A:$P,16,FALSE)),"")</f>
        <v>Visitas de evaluación con fines de mejoramiento</v>
      </c>
      <c r="Q1670" s="107" t="s">
        <v>376</v>
      </c>
      <c r="R1670" s="11" t="str">
        <f>IFERROR(IF(VLOOKUP(A1670,[11]PRIORIZADOS!$A:$R,18,FALSE)="","",VLOOKUP(A1670,[11]PRIORIZADOS!$A:$R,18,FALSE)),"")</f>
        <v>Se evidencia que la institución no ha realizado el análisis de los resultados obtenidos en las Pruebas Saber en el año 2024 con el Consejo Académico y no ha establecido acciones específicas ni plan de mejoramiento para fortalecer los resultados de las pruebas saber.</v>
      </c>
      <c r="S1670" s="11" t="str">
        <f>IFERROR(IF(VLOOKUP(A1670,[11]PRIORIZADOS!$A:$S,19,FALSE)="","",VLOOKUP(A1670,[11]PRIORIZADOS!$A:$S,19,FALSE)),"")</f>
        <v>Realizar analisis de las Pruebas Saber y establecer acciones pertinentes. Presentar plan de mejoramiento el 18 de julio de 2025</v>
      </c>
      <c r="T1670" s="70" t="str">
        <f>IFERROR(IF(VLOOKUP(A1670,[11]PRIORIZADOS!$A:$T,20,FALSE)="","",VLOOKUP(A1670,[11]PRIORIZADOS!$A:$T,20,FALSE)),"")</f>
        <v>Si</v>
      </c>
      <c r="U1670" s="11" t="str">
        <f>IFERROR(IF(VLOOKUP(A1670,[11]PRIORIZADOS!$A:$U,21,FALSE)="","",VLOOKUP(A1670,[11]PRIORIZADOS!$A:$U,21,FALSE)),"")</f>
        <v>Revisar PM y verificar que se ajuste a las observaciones realizadas.</v>
      </c>
    </row>
    <row r="1671" spans="1:21" s="1" customFormat="1" ht="60">
      <c r="A1671" s="69">
        <f>IF([11]PRIORIZADOS!A182="","",[11]PRIORIZADOS!A182)</f>
        <v>1638</v>
      </c>
      <c r="B1671" s="70">
        <v>20</v>
      </c>
      <c r="C1671" s="11" t="str">
        <f>IFERROR(IF(VLOOKUP(A1671,[11]PRIORIZADOS!$A:$C,3,FALSE)="","",VLOOKUP(A1671,[11]PRIORIZADOS!$A:$C,3,FALSE)),"")</f>
        <v>RAFAEL URIBE URIBE</v>
      </c>
      <c r="D1671" s="11" t="str">
        <f>IFERROR(IF(VLOOKUP(A1671,[11]PRIORIZADOS!$A:$D,4,FALSE)="","",VLOOKUP(A1671,[11]PRIORIZADOS!$A:$D,4,FALSE)),"")</f>
        <v>PRIVADO</v>
      </c>
      <c r="E1671" s="11" t="str">
        <f>IFERROR(IF(VLOOKUP(A1671,[11]PRIORIZADOS!$A:$E,5,FALSE)="","",VLOOKUP(A1671,[11]PRIORIZADOS!$A:$E,5,FALSE)),"")</f>
        <v>EPBM</v>
      </c>
      <c r="F1671" s="11" t="str">
        <f>IFERROR(IF(VLOOKUP(A1671,[11]PRIORIZADOS!$A:$F,6,FALSE)="","",VLOOKUP(A1671,[11]PRIORIZADOS!$A:$F,6,FALSE)),"")</f>
        <v>GIMNASIO_NUESTRA_SEÑORA_DE_LA_ESPERANZA</v>
      </c>
      <c r="G1671" s="11" t="str">
        <f>IFERROR(IF(VLOOKUP(A1671,[11]PRIORIZADOS!$A:$G,7,FALSE)="","",VLOOKUP(A1671,[11]PRIORIZADOS!$A:$G,7,FALSE)),"")</f>
        <v>GIMNASIO_NUESTRA_SEÑORA_DE_LA_ESPERANZA</v>
      </c>
      <c r="H1671" s="11" t="str">
        <f>IFERROR(IF(VLOOKUP(A1671,[11]PRIORIZADOS!$A:$H,8,FALSE)="","",VLOOKUP(A1671,[11]PRIORIZADOS!$A:$H,8,FALSE)),"")</f>
        <v>Autoevaluación Institucional y Pruebas SABER 11</v>
      </c>
      <c r="I1671" s="11" t="str">
        <f>IFERROR(IF(VLOOKUP(A1671,[11]PRIORIZADOS!$A:$I,9,FALSE)="","",VLOOKUP(A1671,[11]PRIORIZADOS!$A:$I,9,FALSE)),"")</f>
        <v>SEGUIMIENTO_Y_SUPERVISIÓN.</v>
      </c>
      <c r="J1671" s="11" t="str">
        <f>IFERROR(IF(VLOOKUP(A1671,[11]PRIORIZADOS!$A:$J,10,FALSE)="","",VLOOKUP(A1671,[11]PRIORIZADOS!$A:$J,10,FALSE)),"")</f>
        <v xml:space="preserve">Verificar la implementación por parte de los colegios, de acciones realizadas para la prevención y atención de las situaciones de convivencia en el entorno escolar, según lo establecido en la Directiva 01 de 2022 del MEN. </v>
      </c>
      <c r="K1671" s="11" t="str">
        <f>IFERROR(IF(VLOOKUP(A1671,[11]PRIORIZADOS!$A:$K,11,FALSE)="","",VLOOKUP(A1671,[11]PRIORIZADOS!$A:$K,11,FALSE)),"")</f>
        <v>BEPCI YADIRA MINA ZAPATA</v>
      </c>
      <c r="L1671" s="11" t="str">
        <f>IFERROR(IF(VLOOKUP(A1671,[11]PRIORIZADOS!$A:$L,12,FALSE)="","",VLOOKUP(A1671,[11]PRIORIZADOS!$A:$L,12,FALSE)),"")</f>
        <v>DORY CONSTANZA SANCHEZ ARAGÓN</v>
      </c>
      <c r="M1671" s="71">
        <f>IFERROR(IF(VLOOKUP(A1671,[11]PRIORIZADOS!$A:$M,13,FALSE)="","",VLOOKUP(A1671,[11]PRIORIZADOS!$A:$M,13,FALSE)),"")</f>
        <v>45896</v>
      </c>
      <c r="N1671" s="71">
        <f>IFERROR(IF(VLOOKUP(A1671,[11]PRIORIZADOS!$A:$N,14,FALSE)="","",VLOOKUP(A1671,[11]PRIORIZADOS!$A:$N,14,FALSE)),"")</f>
        <v>45798</v>
      </c>
      <c r="O1671" s="71">
        <f>IFERROR(IF(VLOOKUP(A1671,[11]PRIORIZADOS!$A:$O,15,FALSE)="","",VLOOKUP(A1671,[11]PRIORIZADOS!$A:$O,15,FALSE)),"")</f>
        <v>45803</v>
      </c>
      <c r="P1671" s="11" t="str">
        <f>IFERROR(IF(VLOOKUP(A1671,[11]PRIORIZADOS!$A:$P,16,FALSE)="","",VLOOKUP(A1671,[11]PRIORIZADOS!$A:$P,16,FALSE)),"")</f>
        <v>Visitas de evaluación con fines de mejoramiento</v>
      </c>
      <c r="Q1671" s="107" t="s">
        <v>376</v>
      </c>
      <c r="R1671" s="11" t="str">
        <f>IFERROR(IF(VLOOKUP(A1671,[11]PRIORIZADOS!$A:$R,18,FALSE)="","",VLOOKUP(A1671,[11]PRIORIZADOS!$A:$R,18,FALSE)),"")</f>
        <v>La institución cuenta con 1 acta del comité de convivencia escolar
Se verificó a los docentes  inhabilidadades por delitos sexuales para el año 2025 febrero y mayo</v>
      </c>
      <c r="S1671" s="11" t="str">
        <f>IFERROR(IF(VLOOKUP(A1671,[11]PRIORIZADOS!$A:$S,19,FALSE)="","",VLOOKUP(A1671,[11]PRIORIZADOS!$A:$S,19,FALSE)),"")</f>
        <v>Contar con lsd actas de todas las reuniones del comite de convivencia realizadas. Presentar plan de mejoramiento el 18 de julio de 2025</v>
      </c>
      <c r="T1671" s="70" t="str">
        <f>IFERROR(IF(VLOOKUP(A1671,[11]PRIORIZADOS!$A:$T,20,FALSE)="","",VLOOKUP(A1671,[11]PRIORIZADOS!$A:$T,20,FALSE)),"")</f>
        <v>Si</v>
      </c>
      <c r="U1671" s="11" t="str">
        <f>IFERROR(IF(VLOOKUP(A1671,[11]PRIORIZADOS!$A:$U,21,FALSE)="","",VLOOKUP(A1671,[11]PRIORIZADOS!$A:$U,21,FALSE)),"")</f>
        <v>Revisar PM y verificar que se ajuste a las observaciones realizadas.</v>
      </c>
    </row>
    <row r="1672" spans="1:21" s="1" customFormat="1" ht="72">
      <c r="A1672" s="69">
        <f>IF([11]PRIORIZADOS!A183="","",[11]PRIORIZADOS!A183)</f>
        <v>1639</v>
      </c>
      <c r="B1672" s="70">
        <v>20</v>
      </c>
      <c r="C1672" s="11" t="str">
        <f>IFERROR(IF(VLOOKUP(A1672,[11]PRIORIZADOS!$A:$C,3,FALSE)="","",VLOOKUP(A1672,[11]PRIORIZADOS!$A:$C,3,FALSE)),"")</f>
        <v>RAFAEL URIBE URIBE</v>
      </c>
      <c r="D1672" s="11" t="str">
        <f>IFERROR(IF(VLOOKUP(A1672,[11]PRIORIZADOS!$A:$D,4,FALSE)="","",VLOOKUP(A1672,[11]PRIORIZADOS!$A:$D,4,FALSE)),"")</f>
        <v>PRIVADO</v>
      </c>
      <c r="E1672" s="11" t="str">
        <f>IFERROR(IF(VLOOKUP(A1672,[11]PRIORIZADOS!$A:$E,5,FALSE)="","",VLOOKUP(A1672,[11]PRIORIZADOS!$A:$E,5,FALSE)),"")</f>
        <v>EPBM</v>
      </c>
      <c r="F1672" s="11" t="str">
        <f>IFERROR(IF(VLOOKUP(A1672,[11]PRIORIZADOS!$A:$F,6,FALSE)="","",VLOOKUP(A1672,[11]PRIORIZADOS!$A:$F,6,FALSE)),"")</f>
        <v>GIMNASIO_NUESTRA_SEÑORA_DE_LA_ESPERANZA</v>
      </c>
      <c r="G1672" s="11" t="str">
        <f>IFERROR(IF(VLOOKUP(A1672,[11]PRIORIZADOS!$A:$G,7,FALSE)="","",VLOOKUP(A1672,[11]PRIORIZADOS!$A:$G,7,FALSE)),"")</f>
        <v>GIMNASIO_NUESTRA_SEÑORA_DE_LA_ESPERANZA</v>
      </c>
      <c r="H1672" s="11" t="str">
        <f>IFERROR(IF(VLOOKUP(A1672,[11]PRIORIZADOS!$A:$H,8,FALSE)="","",VLOOKUP(A1672,[11]PRIORIZADOS!$A:$H,8,FALSE)),"")</f>
        <v>Autoevaluación Institucional y Pruebas SABER 11</v>
      </c>
      <c r="I1672" s="11" t="str">
        <f>IFERROR(IF(VLOOKUP(A1672,[11]PRIORIZADOS!$A:$I,9,FALSE)="","",VLOOKUP(A1672,[11]PRIORIZADOS!$A:$I,9,FALSE)),"")</f>
        <v>SEGUIMIENTO_Y_SUPERVISIÓN.</v>
      </c>
      <c r="J1672" s="11" t="str">
        <f>IFERROR(IF(VLOOKUP(A1672,[11]PRIORIZADOS!$A:$J,10,FALSE)="","",VLOOKUP(A1672,[11]PRIORIZADOS!$A:$J,10,FALSE)),"")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72" s="11" t="str">
        <f>IFERROR(IF(VLOOKUP(A1672,[11]PRIORIZADOS!$A:$K,11,FALSE)="","",VLOOKUP(A1672,[11]PRIORIZADOS!$A:$K,11,FALSE)),"")</f>
        <v>BEPCI YADIRA MINA ZAPATA</v>
      </c>
      <c r="L1672" s="11" t="str">
        <f>IFERROR(IF(VLOOKUP(A1672,[11]PRIORIZADOS!$A:$L,12,FALSE)="","",VLOOKUP(A1672,[11]PRIORIZADOS!$A:$L,12,FALSE)),"")</f>
        <v>DORY CONSTANZA SANCHEZ ARAGÓN</v>
      </c>
      <c r="M1672" s="71">
        <f>IFERROR(IF(VLOOKUP(A1672,[11]PRIORIZADOS!$A:$M,13,FALSE)="","",VLOOKUP(A1672,[11]PRIORIZADOS!$A:$M,13,FALSE)),"")</f>
        <v>45896</v>
      </c>
      <c r="N1672" s="71">
        <f>IFERROR(IF(VLOOKUP(A1672,[11]PRIORIZADOS!$A:$N,14,FALSE)="","",VLOOKUP(A1672,[11]PRIORIZADOS!$A:$N,14,FALSE)),"")</f>
        <v>45798</v>
      </c>
      <c r="O1672" s="71">
        <f>IFERROR(IF(VLOOKUP(A1672,[11]PRIORIZADOS!$A:$O,15,FALSE)="","",VLOOKUP(A1672,[11]PRIORIZADOS!$A:$O,15,FALSE)),"")</f>
        <v>45803</v>
      </c>
      <c r="P1672" s="11" t="str">
        <f>IFERROR(IF(VLOOKUP(A1672,[11]PRIORIZADOS!$A:$P,16,FALSE)="","",VLOOKUP(A1672,[11]PRIORIZADOS!$A:$P,16,FALSE)),"")</f>
        <v>Visitas de evaluación con fines de mejoramiento</v>
      </c>
      <c r="Q1672" s="107" t="s">
        <v>376</v>
      </c>
      <c r="R1672" s="11" t="str">
        <f>IFERROR(IF(VLOOKUP(A1672,[11]PRIORIZADOS!$A:$R,18,FALSE)="","",VLOOKUP(A1672,[11]PRIORIZADOS!$A:$R,18,FALSE)),"")</f>
        <v>El colegio en su matrícula resgistra 2 estudiantes con espectro autista y se está a la espera del diagnóstico de un niño de preescolar.
Se encuentra PIAR para los 2 estudiantes, se da orientación para complementar</v>
      </c>
      <c r="S1672" s="11" t="str">
        <f>IFERROR(IF(VLOOKUP(A1672,[11]PRIORIZADOS!$A:$S,19,FALSE)="","",VLOOKUP(A1672,[11]PRIORIZADOS!$A:$S,19,FALSE)),"")</f>
        <v>Complementar los PIAR. Presentar plan de mejoramiento el 18 de julio de 2025</v>
      </c>
      <c r="T1672" s="70" t="str">
        <f>IFERROR(IF(VLOOKUP(A1672,[11]PRIORIZADOS!$A:$T,20,FALSE)="","",VLOOKUP(A1672,[11]PRIORIZADOS!$A:$T,20,FALSE)),"")</f>
        <v>Si</v>
      </c>
      <c r="U1672" s="11" t="str">
        <f>IFERROR(IF(VLOOKUP(A1672,[11]PRIORIZADOS!$A:$U,21,FALSE)="","",VLOOKUP(A1672,[11]PRIORIZADOS!$A:$U,21,FALSE)),"")</f>
        <v>Revisar PM y verificar que se ajuste a las observaciones realizadas.</v>
      </c>
    </row>
    <row r="1673" spans="1:21" s="1" customFormat="1" ht="84">
      <c r="A1673" s="69">
        <f>IF([11]PRIORIZADOS!A184="","",[11]PRIORIZADOS!A184)</f>
        <v>1640</v>
      </c>
      <c r="B1673" s="70">
        <v>20</v>
      </c>
      <c r="C1673" s="11" t="str">
        <f>IFERROR(IF(VLOOKUP(A1673,[11]PRIORIZADOS!$A:$C,3,FALSE)="","",VLOOKUP(A1673,[11]PRIORIZADOS!$A:$C,3,FALSE)),"")</f>
        <v>RAFAEL URIBE URIBE</v>
      </c>
      <c r="D1673" s="11" t="str">
        <f>IFERROR(IF(VLOOKUP(A1673,[11]PRIORIZADOS!$A:$D,4,FALSE)="","",VLOOKUP(A1673,[11]PRIORIZADOS!$A:$D,4,FALSE)),"")</f>
        <v>PRIVADO</v>
      </c>
      <c r="E1673" s="11" t="str">
        <f>IFERROR(IF(VLOOKUP(A1673,[11]PRIORIZADOS!$A:$E,5,FALSE)="","",VLOOKUP(A1673,[11]PRIORIZADOS!$A:$E,5,FALSE)),"")</f>
        <v>EPBM</v>
      </c>
      <c r="F1673" s="11" t="str">
        <f>IFERROR(IF(VLOOKUP(A1673,[11]PRIORIZADOS!$A:$F,6,FALSE)="","",VLOOKUP(A1673,[11]PRIORIZADOS!$A:$F,6,FALSE)),"")</f>
        <v>GIMNASIO_NUESTRA_SEÑORA_DE_LA_ESPERANZA</v>
      </c>
      <c r="G1673" s="11" t="str">
        <f>IFERROR(IF(VLOOKUP(A1673,[11]PRIORIZADOS!$A:$G,7,FALSE)="","",VLOOKUP(A1673,[11]PRIORIZADOS!$A:$G,7,FALSE)),"")</f>
        <v>GIMNASIO_NUESTRA_SEÑORA_DE_LA_ESPERANZA</v>
      </c>
      <c r="H1673" s="11" t="str">
        <f>IFERROR(IF(VLOOKUP(A1673,[11]PRIORIZADOS!$A:$H,8,FALSE)="","",VLOOKUP(A1673,[11]PRIORIZADOS!$A:$H,8,FALSE)),"")</f>
        <v>Autoevaluación Institucional y Pruebas SABER 11</v>
      </c>
      <c r="I1673" s="11" t="str">
        <f>IFERROR(IF(VLOOKUP(A1673,[11]PRIORIZADOS!$A:$I,9,FALSE)="","",VLOOKUP(A1673,[11]PRIORIZADOS!$A:$I,9,FALSE)),"")</f>
        <v>EVALUACIÓN_CON_FINES_DE_MEJORAMIENTO.</v>
      </c>
      <c r="J1673" s="11" t="str">
        <f>IFERROR(IF(VLOOKUP(A1673,[11]PRIORIZADOS!$A:$J,10,FALSE)="","",VLOOKUP(A1673,[11]PRIORIZADOS!$A:$J,10,FALSE)),"")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73" s="11" t="str">
        <f>IFERROR(IF(VLOOKUP(A1673,[11]PRIORIZADOS!$A:$K,11,FALSE)="","",VLOOKUP(A1673,[11]PRIORIZADOS!$A:$K,11,FALSE)),"")</f>
        <v>BEPCI YADIRA MINA ZAPATA</v>
      </c>
      <c r="L1673" s="11" t="str">
        <f>IFERROR(IF(VLOOKUP(A1673,[11]PRIORIZADOS!$A:$L,12,FALSE)="","",VLOOKUP(A1673,[11]PRIORIZADOS!$A:$L,12,FALSE)),"")</f>
        <v>DORY CONSTANZA SANCHEZ ARAGÓN</v>
      </c>
      <c r="M1673" s="71">
        <f>IFERROR(IF(VLOOKUP(A1673,[11]PRIORIZADOS!$A:$M,13,FALSE)="","",VLOOKUP(A1673,[11]PRIORIZADOS!$A:$M,13,FALSE)),"")</f>
        <v>45896</v>
      </c>
      <c r="N1673" s="71">
        <f>IFERROR(IF(VLOOKUP(A1673,[11]PRIORIZADOS!$A:$N,14,FALSE)="","",VLOOKUP(A1673,[11]PRIORIZADOS!$A:$N,14,FALSE)),"")</f>
        <v>45798</v>
      </c>
      <c r="O1673" s="71">
        <f>IFERROR(IF(VLOOKUP(A1673,[11]PRIORIZADOS!$A:$O,15,FALSE)="","",VLOOKUP(A1673,[11]PRIORIZADOS!$A:$O,15,FALSE)),"")</f>
        <v>45803</v>
      </c>
      <c r="P1673" s="11" t="str">
        <f>IFERROR(IF(VLOOKUP(A1673,[11]PRIORIZADOS!$A:$P,16,FALSE)="","",VLOOKUP(A1673,[11]PRIORIZADOS!$A:$P,16,FALSE)),"")</f>
        <v>Visitas de evaluación con fines de mejoramiento</v>
      </c>
      <c r="Q1673" s="107" t="s">
        <v>376</v>
      </c>
      <c r="R1673" s="11" t="str">
        <f>IFERROR(IF(VLOOKUP(A1673,[11]PRIORIZADOS!$A:$R,18,FALSE)="","",VLOOKUP(A1673,[11]PRIORIZADOS!$A:$R,18,FALSE)),"")</f>
        <v>No se evidencia aprobación del manual de convivencia, ya que no cuenta con actas de gobierno escolar.
No se encuentra actualizado y cumpliendo con la normatividad vigente</v>
      </c>
      <c r="S1673" s="11" t="str">
        <f>IFERROR(IF(VLOOKUP(A1673,[11]PRIORIZADOS!$A:$S,19,FALSE)="","",VLOOKUP(A1673,[11]PRIORIZADOS!$A:$S,19,FALSE)),"")</f>
        <v>La institución debe actualizar el manual de convivencia con participación del gobierno escolar. Presentar plan de mejoramiento el 18 de julio de 2025</v>
      </c>
      <c r="T1673" s="70" t="str">
        <f>IFERROR(IF(VLOOKUP(A1673,[11]PRIORIZADOS!$A:$T,20,FALSE)="","",VLOOKUP(A1673,[11]PRIORIZADOS!$A:$T,20,FALSE)),"")</f>
        <v>Si</v>
      </c>
      <c r="U1673" s="11" t="str">
        <f>IFERROR(IF(VLOOKUP(A1673,[11]PRIORIZADOS!$A:$U,21,FALSE)="","",VLOOKUP(A1673,[11]PRIORIZADOS!$A:$U,21,FALSE)),"")</f>
        <v>Revisar PM y verificar que se ajuste a las observaciones realizadas.</v>
      </c>
    </row>
    <row r="1674" spans="1:21" s="1" customFormat="1" ht="48">
      <c r="A1674" s="69">
        <f>IF([11]PRIORIZADOS!A185="","",[11]PRIORIZADOS!A185)</f>
        <v>1641</v>
      </c>
      <c r="B1674" s="70">
        <v>20</v>
      </c>
      <c r="C1674" s="11" t="str">
        <f>IFERROR(IF(VLOOKUP(A1674,[11]PRIORIZADOS!$A:$C,3,FALSE)="","",VLOOKUP(A1674,[11]PRIORIZADOS!$A:$C,3,FALSE)),"")</f>
        <v>RAFAEL URIBE URIBE</v>
      </c>
      <c r="D1674" s="11" t="str">
        <f>IFERROR(IF(VLOOKUP(A1674,[11]PRIORIZADOS!$A:$D,4,FALSE)="","",VLOOKUP(A1674,[11]PRIORIZADOS!$A:$D,4,FALSE)),"")</f>
        <v>PRIVADO</v>
      </c>
      <c r="E1674" s="11" t="str">
        <f>IFERROR(IF(VLOOKUP(A1674,[11]PRIORIZADOS!$A:$E,5,FALSE)="","",VLOOKUP(A1674,[11]PRIORIZADOS!$A:$E,5,FALSE)),"")</f>
        <v>EPBM</v>
      </c>
      <c r="F1674" s="11" t="str">
        <f>IFERROR(IF(VLOOKUP(A1674,[11]PRIORIZADOS!$A:$F,6,FALSE)="","",VLOOKUP(A1674,[11]PRIORIZADOS!$A:$F,6,FALSE)),"")</f>
        <v>GIMNASIO_NUESTRA_SEÑORA_DE_LA_ESPERANZA</v>
      </c>
      <c r="G1674" s="11" t="str">
        <f>IFERROR(IF(VLOOKUP(A1674,[11]PRIORIZADOS!$A:$G,7,FALSE)="","",VLOOKUP(A1674,[11]PRIORIZADOS!$A:$G,7,FALSE)),"")</f>
        <v>GIMNASIO_NUESTRA_SEÑORA_DE_LA_ESPERANZA</v>
      </c>
      <c r="H1674" s="11" t="str">
        <f>IFERROR(IF(VLOOKUP(A1674,[11]PRIORIZADOS!$A:$H,8,FALSE)="","",VLOOKUP(A1674,[11]PRIORIZADOS!$A:$H,8,FALSE)),"")</f>
        <v>Autoevaluación Institucional y Pruebas SABER 11</v>
      </c>
      <c r="I1674" s="11" t="str">
        <f>IFERROR(IF(VLOOKUP(A1674,[11]PRIORIZADOS!$A:$I,9,FALSE)="","",VLOOKUP(A1674,[11]PRIORIZADOS!$A:$I,9,FALSE)),"")</f>
        <v>EVALUACIÓN_CON_FINES_DE_MEJORAMIENTO.</v>
      </c>
      <c r="J1674" s="11" t="str">
        <f>IFERROR(IF(VLOOKUP(A1674,[11]PRIORIZADOS!$A:$J,10,FALSE)="","",VLOOKUP(A1674,[11]PRIORIZADOS!$A:$J,10,FALSE)),"")</f>
        <v>Revisar la actualización, socialización e implementación del Sistema Institucional de Evaluación de Estudiantes - SIEE, en articulación con la actualización del PEI y la normatividad vigente.</v>
      </c>
      <c r="K1674" s="11" t="str">
        <f>IFERROR(IF(VLOOKUP(A1674,[11]PRIORIZADOS!$A:$K,11,FALSE)="","",VLOOKUP(A1674,[11]PRIORIZADOS!$A:$K,11,FALSE)),"")</f>
        <v>BEPCI YADIRA MINA ZAPATA</v>
      </c>
      <c r="L1674" s="11" t="str">
        <f>IFERROR(IF(VLOOKUP(A1674,[11]PRIORIZADOS!$A:$L,12,FALSE)="","",VLOOKUP(A1674,[11]PRIORIZADOS!$A:$L,12,FALSE)),"")</f>
        <v>DORY CONSTANZA SANCHEZ ARAGÓN</v>
      </c>
      <c r="M1674" s="71">
        <f>IFERROR(IF(VLOOKUP(A1674,[11]PRIORIZADOS!$A:$M,13,FALSE)="","",VLOOKUP(A1674,[11]PRIORIZADOS!$A:$M,13,FALSE)),"")</f>
        <v>45896</v>
      </c>
      <c r="N1674" s="71">
        <f>IFERROR(IF(VLOOKUP(A1674,[11]PRIORIZADOS!$A:$N,14,FALSE)="","",VLOOKUP(A1674,[11]PRIORIZADOS!$A:$N,14,FALSE)),"")</f>
        <v>45798</v>
      </c>
      <c r="O1674" s="71">
        <f>IFERROR(IF(VLOOKUP(A1674,[11]PRIORIZADOS!$A:$O,15,FALSE)="","",VLOOKUP(A1674,[11]PRIORIZADOS!$A:$O,15,FALSE)),"")</f>
        <v>45803</v>
      </c>
      <c r="P1674" s="11" t="str">
        <f>IFERROR(IF(VLOOKUP(A1674,[11]PRIORIZADOS!$A:$P,16,FALSE)="","",VLOOKUP(A1674,[11]PRIORIZADOS!$A:$P,16,FALSE)),"")</f>
        <v>Visitas de evaluación con fines de mejoramiento</v>
      </c>
      <c r="Q1674" s="107" t="s">
        <v>376</v>
      </c>
      <c r="R1674" s="11" t="str">
        <f>IFERROR(IF(VLOOKUP(A1674,[11]PRIORIZADOS!$A:$R,18,FALSE)="","",VLOOKUP(A1674,[11]PRIORIZADOS!$A:$R,18,FALSE)),"")</f>
        <v>Cuenta con SIEE, pero es necesario ajustarlo a la normatividad vigente, con la participación de la comunidad educativa.</v>
      </c>
      <c r="S1674" s="11" t="str">
        <f>IFERROR(IF(VLOOKUP(A1674,[11]PRIORIZADOS!$A:$S,19,FALSE)="","",VLOOKUP(A1674,[11]PRIORIZADOS!$A:$S,19,FALSE)),"")</f>
        <v>La institución debe actualizar el SIEE con participación del gobierno escolar. Presentar plan de mejoramiento el 18 de julio de 2025</v>
      </c>
      <c r="T1674" s="70" t="str">
        <f>IFERROR(IF(VLOOKUP(A1674,[11]PRIORIZADOS!$A:$T,20,FALSE)="","",VLOOKUP(A1674,[11]PRIORIZADOS!$A:$T,20,FALSE)),"")</f>
        <v>Si</v>
      </c>
      <c r="U1674" s="11" t="str">
        <f>IFERROR(IF(VLOOKUP(A1674,[11]PRIORIZADOS!$A:$U,21,FALSE)="","",VLOOKUP(A1674,[11]PRIORIZADOS!$A:$U,21,FALSE)),"")</f>
        <v>Revisar PM y verificar que se ajuste a las observaciones realizadas.</v>
      </c>
    </row>
    <row r="1675" spans="1:21" s="1" customFormat="1" ht="48">
      <c r="A1675" s="69">
        <f>IF([11]PRIORIZADOS!A186="","",[11]PRIORIZADOS!A186)</f>
        <v>1642</v>
      </c>
      <c r="B1675" s="70">
        <v>20</v>
      </c>
      <c r="C1675" s="11" t="str">
        <f>IFERROR(IF(VLOOKUP(A1675,[11]PRIORIZADOS!$A:$C,3,FALSE)="","",VLOOKUP(A1675,[11]PRIORIZADOS!$A:$C,3,FALSE)),"")</f>
        <v>RAFAEL URIBE URIBE</v>
      </c>
      <c r="D1675" s="11" t="str">
        <f>IFERROR(IF(VLOOKUP(A1675,[11]PRIORIZADOS!$A:$D,4,FALSE)="","",VLOOKUP(A1675,[11]PRIORIZADOS!$A:$D,4,FALSE)),"")</f>
        <v>PRIVADO</v>
      </c>
      <c r="E1675" s="11" t="str">
        <f>IFERROR(IF(VLOOKUP(A1675,[11]PRIORIZADOS!$A:$E,5,FALSE)="","",VLOOKUP(A1675,[11]PRIORIZADOS!$A:$E,5,FALSE)),"")</f>
        <v>EPBM</v>
      </c>
      <c r="F1675" s="11" t="str">
        <f>IFERROR(IF(VLOOKUP(A1675,[11]PRIORIZADOS!$A:$F,6,FALSE)="","",VLOOKUP(A1675,[11]PRIORIZADOS!$A:$F,6,FALSE)),"")</f>
        <v>GIMNASIO_NUESTRA_SEÑORA_DE_LA_ESPERANZA</v>
      </c>
      <c r="G1675" s="11" t="str">
        <f>IFERROR(IF(VLOOKUP(A1675,[11]PRIORIZADOS!$A:$G,7,FALSE)="","",VLOOKUP(A1675,[11]PRIORIZADOS!$A:$G,7,FALSE)),"")</f>
        <v>GIMNASIO_NUESTRA_SEÑORA_DE_LA_ESPERANZA</v>
      </c>
      <c r="H1675" s="11" t="str">
        <f>IFERROR(IF(VLOOKUP(A1675,[11]PRIORIZADOS!$A:$H,8,FALSE)="","",VLOOKUP(A1675,[11]PRIORIZADOS!$A:$H,8,FALSE)),"")</f>
        <v>Autoevaluación Institucional y Pruebas SABER 11</v>
      </c>
      <c r="I1675" s="11" t="str">
        <f>IFERROR(IF(VLOOKUP(A1675,[11]PRIORIZADOS!$A:$I,9,FALSE)="","",VLOOKUP(A1675,[11]PRIORIZADOS!$A:$I,9,FALSE)),"")</f>
        <v>EVALUACIÓN_CON_FINES_DE_MEJORAMIENTO.</v>
      </c>
      <c r="J1675" s="11" t="str">
        <f>IFERROR(IF(VLOOKUP(A1675,[11]PRIORIZADOS!$A:$J,10,FALSE)="","",VLOOKUP(A1675,[11]PRIORIZADOS!$A:$J,10,FALSE)),"")</f>
        <v>Revisar el calendario escolar, jornada escolar, la intensidad horaria mínima anual en cada nivel y las modificaciones que se realicen al mismo, de acuerdo con lo previsto en la normatividad vigente.</v>
      </c>
      <c r="K1675" s="11" t="str">
        <f>IFERROR(IF(VLOOKUP(A1675,[11]PRIORIZADOS!$A:$K,11,FALSE)="","",VLOOKUP(A1675,[11]PRIORIZADOS!$A:$K,11,FALSE)),"")</f>
        <v>BEPCI YADIRA MINA ZAPATA</v>
      </c>
      <c r="L1675" s="11" t="str">
        <f>IFERROR(IF(VLOOKUP(A1675,[11]PRIORIZADOS!$A:$L,12,FALSE)="","",VLOOKUP(A1675,[11]PRIORIZADOS!$A:$L,12,FALSE)),"")</f>
        <v>DORY CONSTANZA SANCHEZ ARAGÓN</v>
      </c>
      <c r="M1675" s="71">
        <f>IFERROR(IF(VLOOKUP(A1675,[11]PRIORIZADOS!$A:$M,13,FALSE)="","",VLOOKUP(A1675,[11]PRIORIZADOS!$A:$M,13,FALSE)),"")</f>
        <v>45896</v>
      </c>
      <c r="N1675" s="71">
        <f>IFERROR(IF(VLOOKUP(A1675,[11]PRIORIZADOS!$A:$N,14,FALSE)="","",VLOOKUP(A1675,[11]PRIORIZADOS!$A:$N,14,FALSE)),"")</f>
        <v>45798</v>
      </c>
      <c r="O1675" s="71">
        <f>IFERROR(IF(VLOOKUP(A1675,[11]PRIORIZADOS!$A:$O,15,FALSE)="","",VLOOKUP(A1675,[11]PRIORIZADOS!$A:$O,15,FALSE)),"")</f>
        <v>45803</v>
      </c>
      <c r="P1675" s="11" t="str">
        <f>IFERROR(IF(VLOOKUP(A1675,[11]PRIORIZADOS!$A:$P,16,FALSE)="","",VLOOKUP(A1675,[11]PRIORIZADOS!$A:$P,16,FALSE)),"")</f>
        <v>Visitas de evaluación con fines de mejoramiento</v>
      </c>
      <c r="Q1675" s="107" t="s">
        <v>376</v>
      </c>
      <c r="R1675" s="11" t="str">
        <f>IFERROR(IF(VLOOKUP(A1675,[11]PRIORIZADOS!$A:$R,18,FALSE)="","",VLOOKUP(A1675,[11]PRIORIZADOS!$A:$R,18,FALSE)),"")</f>
        <v>El calendario escolar da cumplimiento a la normatividad vigente</v>
      </c>
      <c r="S1675" s="11" t="str">
        <f>IFERROR(IF(VLOOKUP(A1675,[11]PRIORIZADOS!$A:$S,19,FALSE)="","",VLOOKUP(A1675,[11]PRIORIZADOS!$A:$S,19,FALSE)),"")</f>
        <v>Dar cumplimiento a lo establecido en el calendario</v>
      </c>
      <c r="T1675" s="70" t="str">
        <f>IFERROR(IF(VLOOKUP(A1675,[11]PRIORIZADOS!$A:$T,20,FALSE)="","",VLOOKUP(A1675,[11]PRIORIZADOS!$A:$T,20,FALSE)),"")</f>
        <v>No</v>
      </c>
      <c r="U1675" s="11" t="str">
        <f>IFERROR(IF(VLOOKUP(A1675,[11]PRIORIZADOS!$A:$U,21,FALSE)="","",VLOOKUP(A1675,[11]PRIORIZADOS!$A:$U,21,FALSE)),"")</f>
        <v>Verificar en caso de algun reqiuerimiento o queja</v>
      </c>
    </row>
    <row r="1676" spans="1:21" s="1" customFormat="1" ht="48">
      <c r="A1676" s="69">
        <f>IF([11]PRIORIZADOS!A187="","",[11]PRIORIZADOS!A187)</f>
        <v>1643</v>
      </c>
      <c r="B1676" s="70">
        <v>20</v>
      </c>
      <c r="C1676" s="11" t="str">
        <f>IFERROR(IF(VLOOKUP(A1676,[11]PRIORIZADOS!$A:$C,3,FALSE)="","",VLOOKUP(A1676,[11]PRIORIZADOS!$A:$C,3,FALSE)),"")</f>
        <v>RAFAEL URIBE URIBE</v>
      </c>
      <c r="D1676" s="11" t="str">
        <f>IFERROR(IF(VLOOKUP(A1676,[11]PRIORIZADOS!$A:$D,4,FALSE)="","",VLOOKUP(A1676,[11]PRIORIZADOS!$A:$D,4,FALSE)),"")</f>
        <v>PRIVADO</v>
      </c>
      <c r="E1676" s="11" t="str">
        <f>IFERROR(IF(VLOOKUP(A1676,[11]PRIORIZADOS!$A:$E,5,FALSE)="","",VLOOKUP(A1676,[11]PRIORIZADOS!$A:$E,5,FALSE)),"")</f>
        <v>EPBM</v>
      </c>
      <c r="F1676" s="11" t="str">
        <f>IFERROR(IF(VLOOKUP(A1676,[11]PRIORIZADOS!$A:$F,6,FALSE)="","",VLOOKUP(A1676,[11]PRIORIZADOS!$A:$F,6,FALSE)),"")</f>
        <v>GIMNASIO_NUESTRA_SEÑORA_DE_LA_ESPERANZA</v>
      </c>
      <c r="G1676" s="11" t="str">
        <f>IFERROR(IF(VLOOKUP(A1676,[11]PRIORIZADOS!$A:$G,7,FALSE)="","",VLOOKUP(A1676,[11]PRIORIZADOS!$A:$G,7,FALSE)),"")</f>
        <v>GIMNASIO_NUESTRA_SEÑORA_DE_LA_ESPERANZA</v>
      </c>
      <c r="H1676" s="11" t="str">
        <f>IFERROR(IF(VLOOKUP(A1676,[11]PRIORIZADOS!$A:$H,8,FALSE)="","",VLOOKUP(A1676,[11]PRIORIZADOS!$A:$H,8,FALSE)),"")</f>
        <v>Autoevaluación Institucional y Pruebas SABER 11</v>
      </c>
      <c r="I1676" s="11" t="str">
        <f>IFERROR(IF(VLOOKUP(A1676,[11]PRIORIZADOS!$A:$I,9,FALSE)="","",VLOOKUP(A1676,[11]PRIORIZADOS!$A:$I,9,FALSE)),"")</f>
        <v>EVALUACIÓN_CON_FINES_DE_MEJORAMIENTO.</v>
      </c>
      <c r="J1676" s="11" t="str">
        <f>IFERROR(IF(VLOOKUP(A1676,[11]PRIORIZADOS!$A:$J,10,FALSE)="","",VLOOKUP(A1676,[11]PRIORIZADOS!$A:$J,10,FALSE)),"")</f>
        <v>Verificar el funcionamiento del Gobierno Escolar e instancias de participación con base en la información sobre conformación reportada por la institución educativa.</v>
      </c>
      <c r="K1676" s="11" t="str">
        <f>IFERROR(IF(VLOOKUP(A1676,[11]PRIORIZADOS!$A:$K,11,FALSE)="","",VLOOKUP(A1676,[11]PRIORIZADOS!$A:$K,11,FALSE)),"")</f>
        <v>BEPCI YADIRA MINA ZAPATA</v>
      </c>
      <c r="L1676" s="11" t="str">
        <f>IFERROR(IF(VLOOKUP(A1676,[11]PRIORIZADOS!$A:$L,12,FALSE)="","",VLOOKUP(A1676,[11]PRIORIZADOS!$A:$L,12,FALSE)),"")</f>
        <v>DORY CONSTANZA SANCHEZ ARAGÓN</v>
      </c>
      <c r="M1676" s="71">
        <f>IFERROR(IF(VLOOKUP(A1676,[11]PRIORIZADOS!$A:$M,13,FALSE)="","",VLOOKUP(A1676,[11]PRIORIZADOS!$A:$M,13,FALSE)),"")</f>
        <v>45896</v>
      </c>
      <c r="N1676" s="71">
        <f>IFERROR(IF(VLOOKUP(A1676,[11]PRIORIZADOS!$A:$N,14,FALSE)="","",VLOOKUP(A1676,[11]PRIORIZADOS!$A:$N,14,FALSE)),"")</f>
        <v>45798</v>
      </c>
      <c r="O1676" s="71">
        <f>IFERROR(IF(VLOOKUP(A1676,[11]PRIORIZADOS!$A:$O,15,FALSE)="","",VLOOKUP(A1676,[11]PRIORIZADOS!$A:$O,15,FALSE)),"")</f>
        <v>45803</v>
      </c>
      <c r="P1676" s="11" t="str">
        <f>IFERROR(IF(VLOOKUP(A1676,[11]PRIORIZADOS!$A:$P,16,FALSE)="","",VLOOKUP(A1676,[11]PRIORIZADOS!$A:$P,16,FALSE)),"")</f>
        <v>Visitas de evaluación con fines de mejoramiento</v>
      </c>
      <c r="Q1676" s="107" t="s">
        <v>376</v>
      </c>
      <c r="R1676" s="11" t="str">
        <f>IFERROR(IF(VLOOKUP(A1676,[11]PRIORIZADOS!$A:$R,18,FALSE)="","",VLOOKUP(A1676,[11]PRIORIZADOS!$A:$R,18,FALSE)),"")</f>
        <v>Se evidencian funcionamiento de los organos del Gobierno Escolar, es necesario consolidar las actas que se encuentran en borradores</v>
      </c>
      <c r="S1676" s="11" t="str">
        <f>IFERROR(IF(VLOOKUP(A1676,[11]PRIORIZADOS!$A:$S,19,FALSE)="","",VLOOKUP(A1676,[11]PRIORIZADOS!$A:$S,19,FALSE)),"")</f>
        <v>Consolidar los espacios para el funcionamiento del gobierno escolar con sus respectivas actas. Presentar plan de mejoramiento el 18 de julio de 2025</v>
      </c>
      <c r="T1676" s="70" t="str">
        <f>IFERROR(IF(VLOOKUP(A1676,[11]PRIORIZADOS!$A:$T,20,FALSE)="","",VLOOKUP(A1676,[11]PRIORIZADOS!$A:$T,20,FALSE)),"")</f>
        <v>Si</v>
      </c>
      <c r="U1676" s="11" t="str">
        <f>IFERROR(IF(VLOOKUP(A1676,[11]PRIORIZADOS!$A:$U,21,FALSE)="","",VLOOKUP(A1676,[11]PRIORIZADOS!$A:$U,21,FALSE)),"")</f>
        <v>Revisar PM y verificar que se ajuste a las observaciones realizadas.</v>
      </c>
    </row>
    <row r="1677" spans="1:21" s="1" customFormat="1" ht="48">
      <c r="A1677" s="69">
        <f>IF([11]PRIORIZADOS!A188="","",[11]PRIORIZADOS!A188)</f>
        <v>1644</v>
      </c>
      <c r="B1677" s="70">
        <v>20</v>
      </c>
      <c r="C1677" s="11" t="str">
        <f>IFERROR(IF(VLOOKUP(A1677,[11]PRIORIZADOS!$A:$C,3,FALSE)="","",VLOOKUP(A1677,[11]PRIORIZADOS!$A:$C,3,FALSE)),"")</f>
        <v>RAFAEL URIBE URIBE</v>
      </c>
      <c r="D1677" s="11" t="str">
        <f>IFERROR(IF(VLOOKUP(A1677,[11]PRIORIZADOS!$A:$D,4,FALSE)="","",VLOOKUP(A1677,[11]PRIORIZADOS!$A:$D,4,FALSE)),"")</f>
        <v>PRIVADO</v>
      </c>
      <c r="E1677" s="11" t="str">
        <f>IFERROR(IF(VLOOKUP(A1677,[11]PRIORIZADOS!$A:$E,5,FALSE)="","",VLOOKUP(A1677,[11]PRIORIZADOS!$A:$E,5,FALSE)),"")</f>
        <v>EPBM</v>
      </c>
      <c r="F1677" s="11" t="str">
        <f>IFERROR(IF(VLOOKUP(A1677,[11]PRIORIZADOS!$A:$F,6,FALSE)="","",VLOOKUP(A1677,[11]PRIORIZADOS!$A:$F,6,FALSE)),"")</f>
        <v>GIMNASIO_NUESTRA_SEÑORA_DE_LA_ESPERANZA</v>
      </c>
      <c r="G1677" s="11" t="str">
        <f>IFERROR(IF(VLOOKUP(A1677,[11]PRIORIZADOS!$A:$G,7,FALSE)="","",VLOOKUP(A1677,[11]PRIORIZADOS!$A:$G,7,FALSE)),"")</f>
        <v>GIMNASIO_NUESTRA_SEÑORA_DE_LA_ESPERANZA</v>
      </c>
      <c r="H1677" s="11" t="str">
        <f>IFERROR(IF(VLOOKUP(A1677,[11]PRIORIZADOS!$A:$H,8,FALSE)="","",VLOOKUP(A1677,[11]PRIORIZADOS!$A:$H,8,FALSE)),"")</f>
        <v>Autoevaluación Institucional y Pruebas SABER 11</v>
      </c>
      <c r="I1677" s="11" t="str">
        <f>IFERROR(IF(VLOOKUP(A1677,[11]PRIORIZADOS!$A:$I,9,FALSE)="","",VLOOKUP(A1677,[11]PRIORIZADOS!$A:$I,9,FALSE)),"")</f>
        <v>EVALUACIÓN_CON_FINES_DE_MEJORAMIENTO.</v>
      </c>
      <c r="J1677" s="11" t="str">
        <f>IFERROR(IF(VLOOKUP(A1677,[11]PRIORIZADOS!$A:$J,10,FALSE)="","",VLOOKUP(A1677,[11]PRIORIZADOS!$A:$J,10,FALSE)),"")</f>
        <v>Verificar las condiciones en cuanto a: la estructura administrativa, condiciones de la planta física y medios educativos adecuados.</v>
      </c>
      <c r="K1677" s="11" t="str">
        <f>IFERROR(IF(VLOOKUP(A1677,[11]PRIORIZADOS!$A:$K,11,FALSE)="","",VLOOKUP(A1677,[11]PRIORIZADOS!$A:$K,11,FALSE)),"")</f>
        <v>BEPCI YADIRA MINA ZAPATA</v>
      </c>
      <c r="L1677" s="11" t="str">
        <f>IFERROR(IF(VLOOKUP(A1677,[11]PRIORIZADOS!$A:$L,12,FALSE)="","",VLOOKUP(A1677,[11]PRIORIZADOS!$A:$L,12,FALSE)),"")</f>
        <v>DORY CONSTANZA SANCHEZ ARAGÓN</v>
      </c>
      <c r="M1677" s="71">
        <f>IFERROR(IF(VLOOKUP(A1677,[11]PRIORIZADOS!$A:$M,13,FALSE)="","",VLOOKUP(A1677,[11]PRIORIZADOS!$A:$M,13,FALSE)),"")</f>
        <v>45896</v>
      </c>
      <c r="N1677" s="71">
        <f>IFERROR(IF(VLOOKUP(A1677,[11]PRIORIZADOS!$A:$N,14,FALSE)="","",VLOOKUP(A1677,[11]PRIORIZADOS!$A:$N,14,FALSE)),"")</f>
        <v>45798</v>
      </c>
      <c r="O1677" s="71">
        <f>IFERROR(IF(VLOOKUP(A1677,[11]PRIORIZADOS!$A:$O,15,FALSE)="","",VLOOKUP(A1677,[11]PRIORIZADOS!$A:$O,15,FALSE)),"")</f>
        <v>45803</v>
      </c>
      <c r="P1677" s="11" t="str">
        <f>IFERROR(IF(VLOOKUP(A1677,[11]PRIORIZADOS!$A:$P,16,FALSE)="","",VLOOKUP(A1677,[11]PRIORIZADOS!$A:$P,16,FALSE)),"")</f>
        <v>Visitas de evaluación con fines de mejoramiento</v>
      </c>
      <c r="Q1677" s="107" t="s">
        <v>376</v>
      </c>
      <c r="R1677" s="11" t="str">
        <f>IFERROR(IF(VLOOKUP(A1677,[11]PRIORIZADOS!$A:$R,18,FALSE)="","",VLOOKUP(A1677,[11]PRIORIZADOS!$A:$R,18,FALSE)),"")</f>
        <v>La institución cuenta con una planta física con 12 aulas, aulas especializadas, laboratorio, se recomienda revisar la ubicación de preescolar y su zona lúdica</v>
      </c>
      <c r="S1677" s="11" t="str">
        <f>IFERROR(IF(VLOOKUP(A1677,[11]PRIORIZADOS!$A:$S,19,FALSE)="","",VLOOKUP(A1677,[11]PRIORIZADOS!$A:$S,19,FALSE)),"")</f>
        <v>Revisar el salón de prescolar y zona ludica. Presentar plan de mejoramiento el 18 de julio de 2025</v>
      </c>
      <c r="T1677" s="70" t="str">
        <f>IFERROR(IF(VLOOKUP(A1677,[11]PRIORIZADOS!$A:$T,20,FALSE)="","",VLOOKUP(A1677,[11]PRIORIZADOS!$A:$T,20,FALSE)),"")</f>
        <v>Si</v>
      </c>
      <c r="U1677" s="11" t="str">
        <f>IFERROR(IF(VLOOKUP(A1677,[11]PRIORIZADOS!$A:$U,21,FALSE)="","",VLOOKUP(A1677,[11]PRIORIZADOS!$A:$U,21,FALSE)),"")</f>
        <v>Revisar PM y verificar que se ajuste a las observaciones realizadas.</v>
      </c>
    </row>
    <row r="1678" spans="1:21" s="1" customFormat="1" ht="48">
      <c r="A1678" s="69">
        <f>IF([12]PRIORIZADOS!A8="","",[12]PRIORIZADOS!A8)</f>
        <v>1645</v>
      </c>
      <c r="B1678" s="70">
        <f>IFERROR(IF(VLOOKUP(A1678,[12]PRIORIZADOS!$A:$B,2,FALSE)="","",VLOOKUP(A1678,[12]PRIORIZADOS!$A:$B,2,FALSE)),"")</f>
        <v>1</v>
      </c>
      <c r="C1678" s="11" t="str">
        <f>IFERROR(IF(VLOOKUP(A1678,[12]PRIORIZADOS!$A:$C,3,FALSE)="","",VLOOKUP(A1678,[12]PRIORIZADOS!$A:$C,3,FALSE)),"")</f>
        <v>SAN CRISTÓBAL</v>
      </c>
      <c r="D1678" s="11" t="str">
        <f>IFERROR(IF(VLOOKUP(A1678,[12]PRIORIZADOS!$A:$D,4,FALSE)="","",VLOOKUP(A1678,[12]PRIORIZADOS!$A:$D,4,FALSE)),"")</f>
        <v>PRIVADO</v>
      </c>
      <c r="E1678" s="11" t="str">
        <f>IFERROR(IF(VLOOKUP(A1678,[12]PRIORIZADOS!$A:$E,5,FALSE)="","",VLOOKUP(A1678,[12]PRIORIZADOS!$A:$E,5,FALSE)),"")</f>
        <v>EPBM</v>
      </c>
      <c r="F1678" s="11" t="str">
        <f>IFERROR(IF(VLOOKUP(A1678,[12]PRIORIZADOS!$A:$F,6,FALSE)="","",VLOOKUP(A1678,[12]PRIORIZADOS!$A:$F,6,FALSE)),"")</f>
        <v>CENTRO_COMERCIAL_MADRE_ELISA_RONCALLO</v>
      </c>
      <c r="G1678" s="11" t="str">
        <f>IFERROR(IF(VLOOKUP(A1678,[12]PRIORIZADOS!$A:$G,7,FALSE)="","",VLOOKUP(A1678,[12]PRIORIZADOS!$A:$G,7,FALSE)),"")</f>
        <v>CENTRO COMERCIAL MADRE ELISA RONCALLO</v>
      </c>
      <c r="H1678" s="11" t="str">
        <f>IFERROR(IF(VLOOKUP(A1678,[12]PRIORIZADOS!$A:$H,8,FALSE)="","",VLOOKUP(A1678,[12]PRIORIZADOS!$A:$H,8,FALSE)),"")</f>
        <v>Autoevaluación Institucional y Pruebas SABER 11</v>
      </c>
      <c r="I1678" s="11" t="str">
        <f>IFERROR(IF(VLOOKUP(A1678,[12]PRIORIZADOS!$A:$I,9,FALSE)="","",VLOOKUP(A1678,[12]PRIORIZADOS!$A:$I,9,FALSE)),"")</f>
        <v>SEGUIMIENTO_Y_SUPERVISIÓN.</v>
      </c>
      <c r="J1678" s="11" t="str">
        <f>IFERROR(IF(VLOOKUP(A1678,[12]PRIORIZADOS!$A:$J,10,FALSE)="","",VLOOKUP(A1678,[12]PRIORIZADOS!$A:$J,10,FALSE)),"")</f>
        <v>Realizar visitas para verificar la información registrada sobre la autoevaluación institucional en el aplicativo EVI, a los establecimientos de educación formal no oficial.</v>
      </c>
      <c r="K1678" s="11" t="str">
        <f>IFERROR(IF(VLOOKUP(A1678,[12]PRIORIZADOS!$A:$K,11,FALSE)="","",VLOOKUP(A1678,[12]PRIORIZADOS!$A:$K,11,FALSE)),"")</f>
        <v>JAIRO ANDRÉS ÁLVAREZ CHÁVEZ</v>
      </c>
      <c r="L1678" s="11" t="str">
        <f>IFERROR(IF(VLOOKUP(A1678,[12]PRIORIZADOS!$A:$L,12,FALSE)="","",VLOOKUP(A1678,[12]PRIORIZADOS!$A:$L,12,FALSE)),"")</f>
        <v>XIMENA CAROLINA RAMÍREZ MORALES</v>
      </c>
      <c r="M1678" s="71">
        <f>IFERROR(IF(VLOOKUP(A1678,[12]PRIORIZADOS!$A:$M,13,FALSE)="","",VLOOKUP(A1678,[12]PRIORIZADOS!$A:$M,13,FALSE)),"")</f>
        <v>45751</v>
      </c>
      <c r="N1678" s="71">
        <f>IFERROR(IF(VLOOKUP(A1678,[12]PRIORIZADOS!$A:$N,14,FALSE)="","",VLOOKUP(A1678,[12]PRIORIZADOS!$A:$N,14,FALSE)),"")</f>
        <v>45813</v>
      </c>
      <c r="O1678" s="71">
        <f>IFERROR(IF(VLOOKUP(A1678,[12]PRIORIZADOS!$A:$O,15,FALSE)="","",VLOOKUP(A1678,[12]PRIORIZADOS!$A:$O,15,FALSE)),"")</f>
        <v>45813</v>
      </c>
      <c r="P1678" s="11" t="str">
        <f>IFERROR(IF(VLOOKUP(A1678,[12]PRIORIZADOS!$A:$P,16,FALSE)="","",VLOOKUP(A1678,[12]PRIORIZADOS!$A:$P,16,FALSE)),"")</f>
        <v>Visitas de evaluación con fines de seguimiento</v>
      </c>
      <c r="Q1678" s="107" t="s">
        <v>377</v>
      </c>
      <c r="R1678" s="11" t="str">
        <f>IFERROR(IF(VLOOKUP(A1678,[12]PRIORIZADOS!$A:$R,18,FALSE)="","",VLOOKUP(A1678,[12]PRIORIZADOS!$A:$R,18,FALSE)),"")</f>
        <v>Se encuentra coherencia entre lo encontrado y lo registrado por la IE. Las tarifas se encuentran publicadas en la página web.</v>
      </c>
      <c r="S1678" s="11" t="str">
        <f>IFERROR(IF(VLOOKUP(A1678,[12]PRIORIZADOS!$A:$S,19,FALSE)="","",VLOOKUP(A1678,[12]PRIORIZADOS!$A:$S,19,FALSE)),"")</f>
        <v>Publicar la resolución de tarifas en lugar visible.</v>
      </c>
      <c r="T1678" s="70" t="str">
        <f>IFERROR(IF(VLOOKUP(A1678,[12]PRIORIZADOS!$A:$T,20,FALSE)="","",VLOOKUP(A1678,[12]PRIORIZADOS!$A:$T,20,FALSE)),"")</f>
        <v>No</v>
      </c>
      <c r="U1678" s="11" t="str">
        <f>IFERROR(IF(VLOOKUP(A1678,[12]PRIORIZADOS!$A:$U,21,FALSE)="","",VLOOKUP(A1678,[12]PRIORIZADOS!$A:$U,21,FALSE)),"")</f>
        <v>Se hará verificación en caso de presentarse requerimiento</v>
      </c>
    </row>
    <row r="1679" spans="1:21" s="1" customFormat="1" ht="60">
      <c r="A1679" s="69">
        <f>IF([12]PRIORIZADOS!A9="","",[12]PRIORIZADOS!A9)</f>
        <v>1646</v>
      </c>
      <c r="B1679" s="70">
        <v>1</v>
      </c>
      <c r="C1679" s="11" t="str">
        <f>IFERROR(IF(VLOOKUP(A1679,[12]PRIORIZADOS!$A:$C,3,FALSE)="","",VLOOKUP(A1679,[12]PRIORIZADOS!$A:$C,3,FALSE)),"")</f>
        <v>SAN CRISTÓBAL</v>
      </c>
      <c r="D1679" s="11" t="str">
        <f>IFERROR(IF(VLOOKUP(A1679,[12]PRIORIZADOS!$A:$D,4,FALSE)="","",VLOOKUP(A1679,[12]PRIORIZADOS!$A:$D,4,FALSE)),"")</f>
        <v>PRIVADO</v>
      </c>
      <c r="E1679" s="11" t="str">
        <f>IFERROR(IF(VLOOKUP(A1679,[12]PRIORIZADOS!$A:$E,5,FALSE)="","",VLOOKUP(A1679,[12]PRIORIZADOS!$A:$E,5,FALSE)),"")</f>
        <v>EPBM</v>
      </c>
      <c r="F1679" s="11" t="str">
        <f>IFERROR(IF(VLOOKUP(A1679,[12]PRIORIZADOS!$A:$F,6,FALSE)="","",VLOOKUP(A1679,[12]PRIORIZADOS!$A:$F,6,FALSE)),"")</f>
        <v>CENTRO_COMERCIAL_MADRE_ELISA_RONCALLO</v>
      </c>
      <c r="G1679" s="11" t="str">
        <f>IFERROR(IF(VLOOKUP(A1679,[12]PRIORIZADOS!$A:$G,7,FALSE)="","",VLOOKUP(A1679,[12]PRIORIZADOS!$A:$G,7,FALSE)),"")</f>
        <v>CENTRO COMERCIAL MADRE ELISA RONCALLO</v>
      </c>
      <c r="H1679" s="11" t="str">
        <f>IFERROR(IF(VLOOKUP(A1679,[12]PRIORIZADOS!$A:$H,8,FALSE)="","",VLOOKUP(A1679,[12]PRIORIZADOS!$A:$H,8,FALSE)),"")</f>
        <v>Autoevaluación Institucional y Pruebas SABER 11</v>
      </c>
      <c r="I1679" s="11" t="str">
        <f>IFERROR(IF(VLOOKUP(A1679,[12]PRIORIZADOS!$A:$I,9,FALSE)="","",VLOOKUP(A1679,[12]PRIORIZADOS!$A:$I,9,FALSE)),"")</f>
        <v>SEGUIMIENTO_Y_SUPERVISIÓN.</v>
      </c>
      <c r="J1679" s="11" t="str">
        <f>IFERROR(IF(VLOOKUP(A1679,[12]PRIORIZADOS!$A:$J,10,FALSE)="","",VLOOKUP(A1679,[12]PRIORIZADOS!$A:$J,10,FALSE)),"")</f>
        <v>Proponer estrategias en la formulación, verificar su elaboración y realizar seguimiento semestral al desarrollo de  las acciones establecidas en los planes de mejoramiento por pruebas SABER 11 de los establecimientos de educación formal.</v>
      </c>
      <c r="K1679" s="11" t="str">
        <f>IFERROR(IF(VLOOKUP(A1679,[12]PRIORIZADOS!$A:$K,11,FALSE)="","",VLOOKUP(A1679,[12]PRIORIZADOS!$A:$K,11,FALSE)),"")</f>
        <v>JAIRO ANDRÉS ÁLVAREZ CHÁVEZ</v>
      </c>
      <c r="L1679" s="11" t="str">
        <f>IFERROR(IF(VLOOKUP(A1679,[12]PRIORIZADOS!$A:$L,12,FALSE)="","",VLOOKUP(A1679,[12]PRIORIZADOS!$A:$L,12,FALSE)),"")</f>
        <v>XIMENA CAROLINA RAMÍREZ MORALES</v>
      </c>
      <c r="M1679" s="71">
        <f>IFERROR(IF(VLOOKUP(A1679,[12]PRIORIZADOS!$A:$M,13,FALSE)="","",VLOOKUP(A1679,[12]PRIORIZADOS!$A:$M,13,FALSE)),"")</f>
        <v>45751</v>
      </c>
      <c r="N1679" s="71">
        <f>IFERROR(IF(VLOOKUP(A1679,[12]PRIORIZADOS!$A:$N,14,FALSE)="","",VLOOKUP(A1679,[12]PRIORIZADOS!$A:$N,14,FALSE)),"")</f>
        <v>45813</v>
      </c>
      <c r="O1679" s="71">
        <f>IFERROR(IF(VLOOKUP(A1679,[12]PRIORIZADOS!$A:$O,15,FALSE)="","",VLOOKUP(A1679,[12]PRIORIZADOS!$A:$O,15,FALSE)),"")</f>
        <v>45813</v>
      </c>
      <c r="P1679" s="11" t="str">
        <f>IFERROR(IF(VLOOKUP(A1679,[12]PRIORIZADOS!$A:$P,16,FALSE)="","",VLOOKUP(A1679,[12]PRIORIZADOS!$A:$P,16,FALSE)),"")</f>
        <v>Visitas de evaluación con fines de mejoramiento</v>
      </c>
      <c r="Q1679" s="107" t="s">
        <v>377</v>
      </c>
      <c r="R1679" s="11" t="str">
        <f>IFERROR(IF(VLOOKUP(A1679,[12]PRIORIZADOS!$A:$R,18,FALSE)="","",VLOOKUP(A1679,[12]PRIORIZADOS!$A:$R,18,FALSE)),"")</f>
        <v xml:space="preserve">Aportan planes de mejora de los docentes. En contra jornada los estudiantes asisten a preIcfes. </v>
      </c>
      <c r="S1679" s="11" t="str">
        <f>IFERROR(IF(VLOOKUP(A1679,[12]PRIORIZADOS!$A:$S,19,FALSE)="","",VLOOKUP(A1679,[12]PRIORIZADOS!$A:$S,19,FALSE)),"")</f>
        <v xml:space="preserve">Continuar con las acciones proyectadas </v>
      </c>
      <c r="T1679" s="70" t="str">
        <f>IFERROR(IF(VLOOKUP(A1679,[12]PRIORIZADOS!$A:$T,20,FALSE)="","",VLOOKUP(A1679,[12]PRIORIZADOS!$A:$T,20,FALSE)),"")</f>
        <v>No</v>
      </c>
      <c r="U1679" s="11" t="str">
        <f>IFERROR(IF(VLOOKUP(A1679,[12]PRIORIZADOS!$A:$U,21,FALSE)="","",VLOOKUP(A1679,[12]PRIORIZADOS!$A:$U,21,FALSE)),"")</f>
        <v>Se hará verificación en caso de presentarse requerimiento</v>
      </c>
    </row>
    <row r="1680" spans="1:21" s="1" customFormat="1" ht="60">
      <c r="A1680" s="69">
        <f>IF([12]PRIORIZADOS!A10="","",[12]PRIORIZADOS!A10)</f>
        <v>1647</v>
      </c>
      <c r="B1680" s="70">
        <v>1</v>
      </c>
      <c r="C1680" s="11" t="str">
        <f>IFERROR(IF(VLOOKUP(A1680,[12]PRIORIZADOS!$A:$C,3,FALSE)="","",VLOOKUP(A1680,[12]PRIORIZADOS!$A:$C,3,FALSE)),"")</f>
        <v>SAN CRISTÓBAL</v>
      </c>
      <c r="D1680" s="11" t="str">
        <f>IFERROR(IF(VLOOKUP(A1680,[12]PRIORIZADOS!$A:$D,4,FALSE)="","",VLOOKUP(A1680,[12]PRIORIZADOS!$A:$D,4,FALSE)),"")</f>
        <v>PRIVADO</v>
      </c>
      <c r="E1680" s="11" t="str">
        <f>IFERROR(IF(VLOOKUP(A1680,[12]PRIORIZADOS!$A:$E,5,FALSE)="","",VLOOKUP(A1680,[12]PRIORIZADOS!$A:$E,5,FALSE)),"")</f>
        <v>EPBM</v>
      </c>
      <c r="F1680" s="11" t="str">
        <f>IFERROR(IF(VLOOKUP(A1680,[12]PRIORIZADOS!$A:$F,6,FALSE)="","",VLOOKUP(A1680,[12]PRIORIZADOS!$A:$F,6,FALSE)),"")</f>
        <v>CENTRO_COMERCIAL_MADRE_ELISA_RONCALLO</v>
      </c>
      <c r="G1680" s="11" t="str">
        <f>IFERROR(IF(VLOOKUP(A1680,[12]PRIORIZADOS!$A:$G,7,FALSE)="","",VLOOKUP(A1680,[12]PRIORIZADOS!$A:$G,7,FALSE)),"")</f>
        <v>CENTRO COMERCIAL MADRE ELISA RONCALLO</v>
      </c>
      <c r="H1680" s="11" t="str">
        <f>IFERROR(IF(VLOOKUP(A1680,[12]PRIORIZADOS!$A:$H,8,FALSE)="","",VLOOKUP(A1680,[12]PRIORIZADOS!$A:$H,8,FALSE)),"")</f>
        <v>Autoevaluación Institucional y Pruebas SABER 11</v>
      </c>
      <c r="I1680" s="11" t="str">
        <f>IFERROR(IF(VLOOKUP(A1680,[12]PRIORIZADOS!$A:$I,9,FALSE)="","",VLOOKUP(A1680,[12]PRIORIZADOS!$A:$I,9,FALSE)),"")</f>
        <v>SEGUIMIENTO_Y_SUPERVISIÓN.</v>
      </c>
      <c r="J1680" s="11" t="str">
        <f>IFERROR(IF(VLOOKUP(A1680,[12]PRIORIZADOS!$A:$J,10,FALSE)="","",VLOOKUP(A1680,[12]PRIORIZADOS!$A:$J,10,FALSE)),"")</f>
        <v xml:space="preserve">Verificar la implementación por parte de los colegios, de acciones realizadas para la prevención y atención de las situaciones de convivencia en el entorno escolar, según lo establecido en la Directiva 01 de 2022 del MEN. </v>
      </c>
      <c r="K1680" s="11" t="str">
        <f>IFERROR(IF(VLOOKUP(A1680,[12]PRIORIZADOS!$A:$K,11,FALSE)="","",VLOOKUP(A1680,[12]PRIORIZADOS!$A:$K,11,FALSE)),"")</f>
        <v>JAIRO ANDRÉS ÁLVAREZ CHÁVEZ</v>
      </c>
      <c r="L1680" s="11" t="str">
        <f>IFERROR(IF(VLOOKUP(A1680,[12]PRIORIZADOS!$A:$L,12,FALSE)="","",VLOOKUP(A1680,[12]PRIORIZADOS!$A:$L,12,FALSE)),"")</f>
        <v>XIMENA CAROLINA RAMÍREZ MORALES</v>
      </c>
      <c r="M1680" s="71">
        <f>IFERROR(IF(VLOOKUP(A1680,[12]PRIORIZADOS!$A:$M,13,FALSE)="","",VLOOKUP(A1680,[12]PRIORIZADOS!$A:$M,13,FALSE)),"")</f>
        <v>45751</v>
      </c>
      <c r="N1680" s="71">
        <f>IFERROR(IF(VLOOKUP(A1680,[12]PRIORIZADOS!$A:$N,14,FALSE)="","",VLOOKUP(A1680,[12]PRIORIZADOS!$A:$N,14,FALSE)),"")</f>
        <v>45813</v>
      </c>
      <c r="O1680" s="71">
        <f>IFERROR(IF(VLOOKUP(A1680,[12]PRIORIZADOS!$A:$O,15,FALSE)="","",VLOOKUP(A1680,[12]PRIORIZADOS!$A:$O,15,FALSE)),"")</f>
        <v>45813</v>
      </c>
      <c r="P1680" s="11" t="str">
        <f>IFERROR(IF(VLOOKUP(A1680,[12]PRIORIZADOS!$A:$P,16,FALSE)="","",VLOOKUP(A1680,[12]PRIORIZADOS!$A:$P,16,FALSE)),"")</f>
        <v>Visitas de evaluación con fines de mejoramiento</v>
      </c>
      <c r="Q1680" s="107" t="s">
        <v>377</v>
      </c>
      <c r="R1680" s="11" t="str">
        <f>IFERROR(IF(VLOOKUP(A1680,[12]PRIORIZADOS!$A:$R,18,FALSE)="","",VLOOKUP(A1680,[12]PRIORIZADOS!$A:$R,18,FALSE)),"")</f>
        <v>En las hojas de vida está la consulta de antecedentes de personal. 
Refieren acciones de prevención desarrolladas con estudiantes, docentes y padres de familia.</v>
      </c>
      <c r="S1680" s="11" t="str">
        <f>IFERROR(IF(VLOOKUP(A1680,[12]PRIORIZADOS!$A:$S,19,FALSE)="","",VLOOKUP(A1680,[12]PRIORIZADOS!$A:$S,19,FALSE)),"")</f>
        <v xml:space="preserve">Realizar la consulta de antecedentes cada 4 meses. </v>
      </c>
      <c r="T1680" s="70" t="str">
        <f>IFERROR(IF(VLOOKUP(A1680,[12]PRIORIZADOS!$A:$T,20,FALSE)="","",VLOOKUP(A1680,[12]PRIORIZADOS!$A:$T,20,FALSE)),"")</f>
        <v>No</v>
      </c>
      <c r="U1680" s="11" t="str">
        <f>IFERROR(IF(VLOOKUP(A1680,[12]PRIORIZADOS!$A:$U,21,FALSE)="","",VLOOKUP(A1680,[12]PRIORIZADOS!$A:$U,21,FALSE)),"")</f>
        <v>Se hará verificación en caso de presentarse requerimiento</v>
      </c>
    </row>
    <row r="1681" spans="1:21" s="1" customFormat="1" ht="72">
      <c r="A1681" s="69">
        <f>IF([12]PRIORIZADOS!A11="","",[12]PRIORIZADOS!A11)</f>
        <v>1648</v>
      </c>
      <c r="B1681" s="70">
        <v>1</v>
      </c>
      <c r="C1681" s="11" t="str">
        <f>IFERROR(IF(VLOOKUP(A1681,[12]PRIORIZADOS!$A:$C,3,FALSE)="","",VLOOKUP(A1681,[12]PRIORIZADOS!$A:$C,3,FALSE)),"")</f>
        <v>SAN CRISTÓBAL</v>
      </c>
      <c r="D1681" s="11" t="str">
        <f>IFERROR(IF(VLOOKUP(A1681,[12]PRIORIZADOS!$A:$D,4,FALSE)="","",VLOOKUP(A1681,[12]PRIORIZADOS!$A:$D,4,FALSE)),"")</f>
        <v>PRIVADO</v>
      </c>
      <c r="E1681" s="11" t="str">
        <f>IFERROR(IF(VLOOKUP(A1681,[12]PRIORIZADOS!$A:$E,5,FALSE)="","",VLOOKUP(A1681,[12]PRIORIZADOS!$A:$E,5,FALSE)),"")</f>
        <v>EPBM</v>
      </c>
      <c r="F1681" s="11" t="str">
        <f>IFERROR(IF(VLOOKUP(A1681,[12]PRIORIZADOS!$A:$F,6,FALSE)="","",VLOOKUP(A1681,[12]PRIORIZADOS!$A:$F,6,FALSE)),"")</f>
        <v>CENTRO_COMERCIAL_MADRE_ELISA_RONCALLO</v>
      </c>
      <c r="G1681" s="11" t="str">
        <f>IFERROR(IF(VLOOKUP(A1681,[12]PRIORIZADOS!$A:$G,7,FALSE)="","",VLOOKUP(A1681,[12]PRIORIZADOS!$A:$G,7,FALSE)),"")</f>
        <v>CENTRO COMERCIAL MADRE ELISA RONCALLO</v>
      </c>
      <c r="H1681" s="11" t="str">
        <f>IFERROR(IF(VLOOKUP(A1681,[12]PRIORIZADOS!$A:$H,8,FALSE)="","",VLOOKUP(A1681,[12]PRIORIZADOS!$A:$H,8,FALSE)),"")</f>
        <v>Autoevaluación Institucional y Pruebas SABER 11</v>
      </c>
      <c r="I1681" s="11" t="str">
        <f>IFERROR(IF(VLOOKUP(A1681,[12]PRIORIZADOS!$A:$I,9,FALSE)="","",VLOOKUP(A1681,[12]PRIORIZADOS!$A:$I,9,FALSE)),"")</f>
        <v>SEGUIMIENTO_Y_SUPERVISIÓN.</v>
      </c>
      <c r="J1681" s="11" t="str">
        <f>IFERROR(IF(VLOOKUP(A1681,[12]PRIORIZADOS!$A:$J,10,FALSE)="","",VLOOKUP(A1681,[12]PRIORIZADOS!$A:$J,10,FALSE)),"")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81" s="11" t="str">
        <f>IFERROR(IF(VLOOKUP(A1681,[12]PRIORIZADOS!$A:$K,11,FALSE)="","",VLOOKUP(A1681,[12]PRIORIZADOS!$A:$K,11,FALSE)),"")</f>
        <v>JAIRO ANDRÉS ÁLVAREZ CHÁVEZ</v>
      </c>
      <c r="L1681" s="11" t="str">
        <f>IFERROR(IF(VLOOKUP(A1681,[12]PRIORIZADOS!$A:$L,12,FALSE)="","",VLOOKUP(A1681,[12]PRIORIZADOS!$A:$L,12,FALSE)),"")</f>
        <v>XIMENA CAROLINA RAMÍREZ MORALES</v>
      </c>
      <c r="M1681" s="71">
        <f>IFERROR(IF(VLOOKUP(A1681,[12]PRIORIZADOS!$A:$M,13,FALSE)="","",VLOOKUP(A1681,[12]PRIORIZADOS!$A:$M,13,FALSE)),"")</f>
        <v>45751</v>
      </c>
      <c r="N1681" s="71">
        <f>IFERROR(IF(VLOOKUP(A1681,[12]PRIORIZADOS!$A:$N,14,FALSE)="","",VLOOKUP(A1681,[12]PRIORIZADOS!$A:$N,14,FALSE)),"")</f>
        <v>45813</v>
      </c>
      <c r="O1681" s="71">
        <f>IFERROR(IF(VLOOKUP(A1681,[12]PRIORIZADOS!$A:$O,15,FALSE)="","",VLOOKUP(A1681,[12]PRIORIZADOS!$A:$O,15,FALSE)),"")</f>
        <v>45813</v>
      </c>
      <c r="P1681" s="11" t="str">
        <f>IFERROR(IF(VLOOKUP(A1681,[12]PRIORIZADOS!$A:$P,16,FALSE)="","",VLOOKUP(A1681,[12]PRIORIZADOS!$A:$P,16,FALSE)),"")</f>
        <v>Visitas de evaluación con fines de mejoramiento</v>
      </c>
      <c r="Q1681" s="107" t="s">
        <v>377</v>
      </c>
      <c r="R1681" s="11" t="str">
        <f>IFERROR(IF(VLOOKUP(A1681,[12]PRIORIZADOS!$A:$R,18,FALSE)="","",VLOOKUP(A1681,[12]PRIORIZADOS!$A:$R,18,FALSE)),"")</f>
        <v xml:space="preserve">Los PIAR se manejan en forma digital; los anexos que requieren firmas están de forma física. </v>
      </c>
      <c r="S1681" s="11" t="str">
        <f>IFERROR(IF(VLOOKUP(A1681,[12]PRIORIZADOS!$A:$S,19,FALSE)="","",VLOOKUP(A1681,[12]PRIORIZADOS!$A:$S,19,FALSE)),"")</f>
        <v>Completar la información de los diferentes anexos de los PIAR</v>
      </c>
      <c r="T1681" s="70" t="str">
        <f>IFERROR(IF(VLOOKUP(A1681,[12]PRIORIZADOS!$A:$T,20,FALSE)="","",VLOOKUP(A1681,[12]PRIORIZADOS!$A:$T,20,FALSE)),"")</f>
        <v>No</v>
      </c>
      <c r="U1681" s="11" t="str">
        <f>IFERROR(IF(VLOOKUP(A1681,[12]PRIORIZADOS!$A:$U,21,FALSE)="","",VLOOKUP(A1681,[12]PRIORIZADOS!$A:$U,21,FALSE)),"")</f>
        <v>Se hará verificación en caso de presentarse requerimiento</v>
      </c>
    </row>
    <row r="1682" spans="1:21" s="1" customFormat="1" ht="84">
      <c r="A1682" s="69">
        <f>IF([12]PRIORIZADOS!A12="","",[12]PRIORIZADOS!A12)</f>
        <v>1649</v>
      </c>
      <c r="B1682" s="70">
        <v>1</v>
      </c>
      <c r="C1682" s="11" t="str">
        <f>IFERROR(IF(VLOOKUP(A1682,[12]PRIORIZADOS!$A:$C,3,FALSE)="","",VLOOKUP(A1682,[12]PRIORIZADOS!$A:$C,3,FALSE)),"")</f>
        <v>SAN CRISTÓBAL</v>
      </c>
      <c r="D1682" s="11" t="str">
        <f>IFERROR(IF(VLOOKUP(A1682,[12]PRIORIZADOS!$A:$D,4,FALSE)="","",VLOOKUP(A1682,[12]PRIORIZADOS!$A:$D,4,FALSE)),"")</f>
        <v>PRIVADO</v>
      </c>
      <c r="E1682" s="11" t="str">
        <f>IFERROR(IF(VLOOKUP(A1682,[12]PRIORIZADOS!$A:$E,5,FALSE)="","",VLOOKUP(A1682,[12]PRIORIZADOS!$A:$E,5,FALSE)),"")</f>
        <v>EPBM</v>
      </c>
      <c r="F1682" s="11" t="str">
        <f>IFERROR(IF(VLOOKUP(A1682,[12]PRIORIZADOS!$A:$F,6,FALSE)="","",VLOOKUP(A1682,[12]PRIORIZADOS!$A:$F,6,FALSE)),"")</f>
        <v>CENTRO_COMERCIAL_MADRE_ELISA_RONCALLO</v>
      </c>
      <c r="G1682" s="11" t="str">
        <f>IFERROR(IF(VLOOKUP(A1682,[12]PRIORIZADOS!$A:$G,7,FALSE)="","",VLOOKUP(A1682,[12]PRIORIZADOS!$A:$G,7,FALSE)),"")</f>
        <v>CENTRO COMERCIAL MADRE ELISA RONCALLO</v>
      </c>
      <c r="H1682" s="11" t="str">
        <f>IFERROR(IF(VLOOKUP(A1682,[12]PRIORIZADOS!$A:$H,8,FALSE)="","",VLOOKUP(A1682,[12]PRIORIZADOS!$A:$H,8,FALSE)),"")</f>
        <v>Autoevaluación Institucional y Pruebas SABER 11</v>
      </c>
      <c r="I1682" s="11" t="str">
        <f>IFERROR(IF(VLOOKUP(A1682,[12]PRIORIZADOS!$A:$I,9,FALSE)="","",VLOOKUP(A1682,[12]PRIORIZADOS!$A:$I,9,FALSE)),"")</f>
        <v>EVALUACIÓN_CON_FINES_DE_MEJORAMIENTO.</v>
      </c>
      <c r="J1682" s="11" t="str">
        <f>IFERROR(IF(VLOOKUP(A1682,[12]PRIORIZADOS!$A:$J,10,FALSE)="","",VLOOKUP(A1682,[12]PRIORIZADOS!$A:$J,10,FALSE)),"")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82" s="11" t="str">
        <f>IFERROR(IF(VLOOKUP(A1682,[12]PRIORIZADOS!$A:$K,11,FALSE)="","",VLOOKUP(A1682,[12]PRIORIZADOS!$A:$K,11,FALSE)),"")</f>
        <v>JAIRO ANDRÉS ÁLVAREZ CHÁVEZ</v>
      </c>
      <c r="L1682" s="11" t="str">
        <f>IFERROR(IF(VLOOKUP(A1682,[12]PRIORIZADOS!$A:$L,12,FALSE)="","",VLOOKUP(A1682,[12]PRIORIZADOS!$A:$L,12,FALSE)),"")</f>
        <v>XIMENA CAROLINA RAMÍREZ MORALES</v>
      </c>
      <c r="M1682" s="71">
        <f>IFERROR(IF(VLOOKUP(A1682,[12]PRIORIZADOS!$A:$M,13,FALSE)="","",VLOOKUP(A1682,[12]PRIORIZADOS!$A:$M,13,FALSE)),"")</f>
        <v>45751</v>
      </c>
      <c r="N1682" s="71">
        <f>IFERROR(IF(VLOOKUP(A1682,[12]PRIORIZADOS!$A:$N,14,FALSE)="","",VLOOKUP(A1682,[12]PRIORIZADOS!$A:$N,14,FALSE)),"")</f>
        <v>45813</v>
      </c>
      <c r="O1682" s="71">
        <f>IFERROR(IF(VLOOKUP(A1682,[12]PRIORIZADOS!$A:$O,15,FALSE)="","",VLOOKUP(A1682,[12]PRIORIZADOS!$A:$O,15,FALSE)),"")</f>
        <v>45813</v>
      </c>
      <c r="P1682" s="11" t="str">
        <f>IFERROR(IF(VLOOKUP(A1682,[12]PRIORIZADOS!$A:$P,16,FALSE)="","",VLOOKUP(A1682,[12]PRIORIZADOS!$A:$P,16,FALSE)),"")</f>
        <v>Visitas de evaluación con fines de mejoramiento</v>
      </c>
      <c r="Q1682" s="107" t="s">
        <v>377</v>
      </c>
      <c r="R1682" s="11" t="str">
        <f>IFERROR(IF(VLOOKUP(A1682,[12]PRIORIZADOS!$A:$R,18,FALSE)="","",VLOOKUP(A1682,[12]PRIORIZADOS!$A:$R,18,FALSE)),"")</f>
        <v xml:space="preserve">Comité de convivencia y manual refieren su actualización. La revisión documental evidencia los componentes según normatividad. </v>
      </c>
      <c r="S1682" s="11" t="str">
        <f>IFERROR(IF(VLOOKUP(A1682,[12]PRIORIZADOS!$A:$S,19,FALSE)="","",VLOOKUP(A1682,[12]PRIORIZADOS!$A:$S,19,FALSE)),"")</f>
        <v xml:space="preserve">Continuar con la revisión y actualización según corresponda. </v>
      </c>
      <c r="T1682" s="70" t="str">
        <f>IFERROR(IF(VLOOKUP(A1682,[12]PRIORIZADOS!$A:$T,20,FALSE)="","",VLOOKUP(A1682,[12]PRIORIZADOS!$A:$T,20,FALSE)),"")</f>
        <v>No</v>
      </c>
      <c r="U1682" s="11" t="str">
        <f>IFERROR(IF(VLOOKUP(A1682,[12]PRIORIZADOS!$A:$U,21,FALSE)="","",VLOOKUP(A1682,[12]PRIORIZADOS!$A:$U,21,FALSE)),"")</f>
        <v>Se hará verificación en caso de presentarse requerimiento</v>
      </c>
    </row>
    <row r="1683" spans="1:21" s="1" customFormat="1" ht="48">
      <c r="A1683" s="69">
        <f>IF([12]PRIORIZADOS!A13="","",[12]PRIORIZADOS!A13)</f>
        <v>1650</v>
      </c>
      <c r="B1683" s="70">
        <v>1</v>
      </c>
      <c r="C1683" s="11" t="str">
        <f>IFERROR(IF(VLOOKUP(A1683,[12]PRIORIZADOS!$A:$C,3,FALSE)="","",VLOOKUP(A1683,[12]PRIORIZADOS!$A:$C,3,FALSE)),"")</f>
        <v>SAN CRISTÓBAL</v>
      </c>
      <c r="D1683" s="11" t="str">
        <f>IFERROR(IF(VLOOKUP(A1683,[12]PRIORIZADOS!$A:$D,4,FALSE)="","",VLOOKUP(A1683,[12]PRIORIZADOS!$A:$D,4,FALSE)),"")</f>
        <v>PRIVADO</v>
      </c>
      <c r="E1683" s="11" t="str">
        <f>IFERROR(IF(VLOOKUP(A1683,[12]PRIORIZADOS!$A:$E,5,FALSE)="","",VLOOKUP(A1683,[12]PRIORIZADOS!$A:$E,5,FALSE)),"")</f>
        <v>EPBM</v>
      </c>
      <c r="F1683" s="11" t="str">
        <f>IFERROR(IF(VLOOKUP(A1683,[12]PRIORIZADOS!$A:$F,6,FALSE)="","",VLOOKUP(A1683,[12]PRIORIZADOS!$A:$F,6,FALSE)),"")</f>
        <v>CENTRO_COMERCIAL_MADRE_ELISA_RONCALLO</v>
      </c>
      <c r="G1683" s="11" t="str">
        <f>IFERROR(IF(VLOOKUP(A1683,[12]PRIORIZADOS!$A:$G,7,FALSE)="","",VLOOKUP(A1683,[12]PRIORIZADOS!$A:$G,7,FALSE)),"")</f>
        <v>CENTRO COMERCIAL MADRE ELISA RONCALLO</v>
      </c>
      <c r="H1683" s="11" t="str">
        <f>IFERROR(IF(VLOOKUP(A1683,[12]PRIORIZADOS!$A:$H,8,FALSE)="","",VLOOKUP(A1683,[12]PRIORIZADOS!$A:$H,8,FALSE)),"")</f>
        <v>Autoevaluación Institucional y Pruebas SABER 11</v>
      </c>
      <c r="I1683" s="11" t="str">
        <f>IFERROR(IF(VLOOKUP(A1683,[12]PRIORIZADOS!$A:$I,9,FALSE)="","",VLOOKUP(A1683,[12]PRIORIZADOS!$A:$I,9,FALSE)),"")</f>
        <v>EVALUACIÓN_CON_FINES_DE_MEJORAMIENTO.</v>
      </c>
      <c r="J1683" s="11" t="str">
        <f>IFERROR(IF(VLOOKUP(A1683,[12]PRIORIZADOS!$A:$J,10,FALSE)="","",VLOOKUP(A1683,[12]PRIORIZADOS!$A:$J,10,FALSE)),"")</f>
        <v>Revisar la actualización, socialización e implementación del Sistema Institucional de Evaluación de Estudiantes - SIEE, en articulación con la actualización del PEI y la normatividad vigente.</v>
      </c>
      <c r="K1683" s="11" t="str">
        <f>IFERROR(IF(VLOOKUP(A1683,[12]PRIORIZADOS!$A:$K,11,FALSE)="","",VLOOKUP(A1683,[12]PRIORIZADOS!$A:$K,11,FALSE)),"")</f>
        <v>JAIRO ANDRÉS ÁLVAREZ CHÁVEZ</v>
      </c>
      <c r="L1683" s="11" t="str">
        <f>IFERROR(IF(VLOOKUP(A1683,[12]PRIORIZADOS!$A:$L,12,FALSE)="","",VLOOKUP(A1683,[12]PRIORIZADOS!$A:$L,12,FALSE)),"")</f>
        <v>XIMENA CAROLINA RAMÍREZ MORALES</v>
      </c>
      <c r="M1683" s="71">
        <f>IFERROR(IF(VLOOKUP(A1683,[12]PRIORIZADOS!$A:$M,13,FALSE)="","",VLOOKUP(A1683,[12]PRIORIZADOS!$A:$M,13,FALSE)),"")</f>
        <v>45751</v>
      </c>
      <c r="N1683" s="71">
        <f>IFERROR(IF(VLOOKUP(A1683,[12]PRIORIZADOS!$A:$N,14,FALSE)="","",VLOOKUP(A1683,[12]PRIORIZADOS!$A:$N,14,FALSE)),"")</f>
        <v>45813</v>
      </c>
      <c r="O1683" s="71">
        <f>IFERROR(IF(VLOOKUP(A1683,[12]PRIORIZADOS!$A:$O,15,FALSE)="","",VLOOKUP(A1683,[12]PRIORIZADOS!$A:$O,15,FALSE)),"")</f>
        <v>45813</v>
      </c>
      <c r="P1683" s="11" t="str">
        <f>IFERROR(IF(VLOOKUP(A1683,[12]PRIORIZADOS!$A:$P,16,FALSE)="","",VLOOKUP(A1683,[12]PRIORIZADOS!$A:$P,16,FALSE)),"")</f>
        <v>Visitas de evaluación con fines de mejoramiento</v>
      </c>
      <c r="Q1683" s="107" t="s">
        <v>377</v>
      </c>
      <c r="R1683" s="11" t="str">
        <f>IFERROR(IF(VLOOKUP(A1683,[12]PRIORIZADOS!$A:$R,18,FALSE)="","",VLOOKUP(A1683,[12]PRIORIZADOS!$A:$R,18,FALSE)),"")</f>
        <v>La revisión documental evidencia los componentes. Se verifican actas que constatan su ejecuación.</v>
      </c>
      <c r="S1683" s="11" t="str">
        <f>IFERROR(IF(VLOOKUP(A1683,[12]PRIORIZADOS!$A:$S,19,FALSE)="","",VLOOKUP(A1683,[12]PRIORIZADOS!$A:$S,19,FALSE)),"")</f>
        <v xml:space="preserve">Continuar con la revisión y actualización según corresponda. </v>
      </c>
      <c r="T1683" s="70" t="str">
        <f>IFERROR(IF(VLOOKUP(A1683,[12]PRIORIZADOS!$A:$T,20,FALSE)="","",VLOOKUP(A1683,[12]PRIORIZADOS!$A:$T,20,FALSE)),"")</f>
        <v>No</v>
      </c>
      <c r="U1683" s="11" t="str">
        <f>IFERROR(IF(VLOOKUP(A1683,[12]PRIORIZADOS!$A:$U,21,FALSE)="","",VLOOKUP(A1683,[12]PRIORIZADOS!$A:$U,21,FALSE)),"")</f>
        <v>Se hará verificación en caso de presentarse requerimiento</v>
      </c>
    </row>
    <row r="1684" spans="1:21" s="1" customFormat="1" ht="48">
      <c r="A1684" s="69">
        <f>IF([12]PRIORIZADOS!A14="","",[12]PRIORIZADOS!A14)</f>
        <v>1651</v>
      </c>
      <c r="B1684" s="70">
        <v>1</v>
      </c>
      <c r="C1684" s="11" t="str">
        <f>IFERROR(IF(VLOOKUP(A1684,[12]PRIORIZADOS!$A:$C,3,FALSE)="","",VLOOKUP(A1684,[12]PRIORIZADOS!$A:$C,3,FALSE)),"")</f>
        <v>SAN CRISTÓBAL</v>
      </c>
      <c r="D1684" s="11" t="str">
        <f>IFERROR(IF(VLOOKUP(A1684,[12]PRIORIZADOS!$A:$D,4,FALSE)="","",VLOOKUP(A1684,[12]PRIORIZADOS!$A:$D,4,FALSE)),"")</f>
        <v>PRIVADO</v>
      </c>
      <c r="E1684" s="11" t="str">
        <f>IFERROR(IF(VLOOKUP(A1684,[12]PRIORIZADOS!$A:$E,5,FALSE)="","",VLOOKUP(A1684,[12]PRIORIZADOS!$A:$E,5,FALSE)),"")</f>
        <v>EPBM</v>
      </c>
      <c r="F1684" s="11" t="str">
        <f>IFERROR(IF(VLOOKUP(A1684,[12]PRIORIZADOS!$A:$F,6,FALSE)="","",VLOOKUP(A1684,[12]PRIORIZADOS!$A:$F,6,FALSE)),"")</f>
        <v>CENTRO_COMERCIAL_MADRE_ELISA_RONCALLO</v>
      </c>
      <c r="G1684" s="11" t="str">
        <f>IFERROR(IF(VLOOKUP(A1684,[12]PRIORIZADOS!$A:$G,7,FALSE)="","",VLOOKUP(A1684,[12]PRIORIZADOS!$A:$G,7,FALSE)),"")</f>
        <v>CENTRO COMERCIAL MADRE ELISA RONCALLO</v>
      </c>
      <c r="H1684" s="11" t="str">
        <f>IFERROR(IF(VLOOKUP(A1684,[12]PRIORIZADOS!$A:$H,8,FALSE)="","",VLOOKUP(A1684,[12]PRIORIZADOS!$A:$H,8,FALSE)),"")</f>
        <v>Autoevaluación Institucional y Pruebas SABER 11</v>
      </c>
      <c r="I1684" s="11" t="str">
        <f>IFERROR(IF(VLOOKUP(A1684,[12]PRIORIZADOS!$A:$I,9,FALSE)="","",VLOOKUP(A1684,[12]PRIORIZADOS!$A:$I,9,FALSE)),"")</f>
        <v>EVALUACIÓN_CON_FINES_DE_MEJORAMIENTO.</v>
      </c>
      <c r="J1684" s="11" t="str">
        <f>IFERROR(IF(VLOOKUP(A1684,[12]PRIORIZADOS!$A:$J,10,FALSE)="","",VLOOKUP(A1684,[12]PRIORIZADOS!$A:$J,10,FALSE)),"")</f>
        <v>Revisar el calendario escolar, jornada escolar, la intensidad horaria mínima anual en cada nivel y las modificaciones que se realicen al mismo, de acuerdo con lo previsto en la normatividad vigente.</v>
      </c>
      <c r="K1684" s="11" t="str">
        <f>IFERROR(IF(VLOOKUP(A1684,[12]PRIORIZADOS!$A:$K,11,FALSE)="","",VLOOKUP(A1684,[12]PRIORIZADOS!$A:$K,11,FALSE)),"")</f>
        <v>JAIRO ANDRÉS ÁLVAREZ CHÁVEZ</v>
      </c>
      <c r="L1684" s="11" t="str">
        <f>IFERROR(IF(VLOOKUP(A1684,[12]PRIORIZADOS!$A:$L,12,FALSE)="","",VLOOKUP(A1684,[12]PRIORIZADOS!$A:$L,12,FALSE)),"")</f>
        <v>XIMENA CAROLINA RAMÍREZ MORALES</v>
      </c>
      <c r="M1684" s="71">
        <f>IFERROR(IF(VLOOKUP(A1684,[12]PRIORIZADOS!$A:$M,13,FALSE)="","",VLOOKUP(A1684,[12]PRIORIZADOS!$A:$M,13,FALSE)),"")</f>
        <v>45751</v>
      </c>
      <c r="N1684" s="71">
        <f>IFERROR(IF(VLOOKUP(A1684,[12]PRIORIZADOS!$A:$N,14,FALSE)="","",VLOOKUP(A1684,[12]PRIORIZADOS!$A:$N,14,FALSE)),"")</f>
        <v>45813</v>
      </c>
      <c r="O1684" s="71">
        <f>IFERROR(IF(VLOOKUP(A1684,[12]PRIORIZADOS!$A:$O,15,FALSE)="","",VLOOKUP(A1684,[12]PRIORIZADOS!$A:$O,15,FALSE)),"")</f>
        <v>45813</v>
      </c>
      <c r="P1684" s="11" t="str">
        <f>IFERROR(IF(VLOOKUP(A1684,[12]PRIORIZADOS!$A:$P,16,FALSE)="","",VLOOKUP(A1684,[12]PRIORIZADOS!$A:$P,16,FALSE)),"")</f>
        <v>Visitas de evaluación con fines de mejoramiento</v>
      </c>
      <c r="Q1684" s="107" t="s">
        <v>377</v>
      </c>
      <c r="R1684" s="11" t="str">
        <f>IFERROR(IF(VLOOKUP(A1684,[12]PRIORIZADOS!$A:$R,18,FALSE)="","",VLOOKUP(A1684,[12]PRIORIZADOS!$A:$R,18,FALSE)),"")</f>
        <v>Cumple con las horas  y semanas reglamentarias de acuerdo con la Resolución de la SED N°1811 de 2024</v>
      </c>
      <c r="S1684" s="11" t="str">
        <f>IFERROR(IF(VLOOKUP(A1684,[12]PRIORIZADOS!$A:$S,19,FALSE)="","",VLOOKUP(A1684,[12]PRIORIZADOS!$A:$S,19,FALSE)),"")</f>
        <v xml:space="preserve">Continuar prestando el servicio educativo acorde a la normatividad vigente </v>
      </c>
      <c r="T1684" s="70" t="str">
        <f>IFERROR(IF(VLOOKUP(A1684,[12]PRIORIZADOS!$A:$T,20,FALSE)="","",VLOOKUP(A1684,[12]PRIORIZADOS!$A:$T,20,FALSE)),"")</f>
        <v>No</v>
      </c>
      <c r="U1684" s="11" t="str">
        <f>IFERROR(IF(VLOOKUP(A1684,[12]PRIORIZADOS!$A:$U,21,FALSE)="","",VLOOKUP(A1684,[12]PRIORIZADOS!$A:$U,21,FALSE)),"")</f>
        <v>Se hará verificación en caso de presentarse requerimiento</v>
      </c>
    </row>
    <row r="1685" spans="1:21" s="1" customFormat="1" ht="48">
      <c r="A1685" s="69">
        <f>IF([12]PRIORIZADOS!A15="","",[12]PRIORIZADOS!A15)</f>
        <v>1652</v>
      </c>
      <c r="B1685" s="70">
        <v>1</v>
      </c>
      <c r="C1685" s="11" t="str">
        <f>IFERROR(IF(VLOOKUP(A1685,[12]PRIORIZADOS!$A:$C,3,FALSE)="","",VLOOKUP(A1685,[12]PRIORIZADOS!$A:$C,3,FALSE)),"")</f>
        <v>SAN CRISTÓBAL</v>
      </c>
      <c r="D1685" s="11" t="str">
        <f>IFERROR(IF(VLOOKUP(A1685,[12]PRIORIZADOS!$A:$D,4,FALSE)="","",VLOOKUP(A1685,[12]PRIORIZADOS!$A:$D,4,FALSE)),"")</f>
        <v>PRIVADO</v>
      </c>
      <c r="E1685" s="11" t="str">
        <f>IFERROR(IF(VLOOKUP(A1685,[12]PRIORIZADOS!$A:$E,5,FALSE)="","",VLOOKUP(A1685,[12]PRIORIZADOS!$A:$E,5,FALSE)),"")</f>
        <v>EPBM</v>
      </c>
      <c r="F1685" s="11" t="str">
        <f>IFERROR(IF(VLOOKUP(A1685,[12]PRIORIZADOS!$A:$F,6,FALSE)="","",VLOOKUP(A1685,[12]PRIORIZADOS!$A:$F,6,FALSE)),"")</f>
        <v>CENTRO_COMERCIAL_MADRE_ELISA_RONCALLO</v>
      </c>
      <c r="G1685" s="11" t="str">
        <f>IFERROR(IF(VLOOKUP(A1685,[12]PRIORIZADOS!$A:$G,7,FALSE)="","",VLOOKUP(A1685,[12]PRIORIZADOS!$A:$G,7,FALSE)),"")</f>
        <v>CENTRO COMERCIAL MADRE ELISA RONCALLO</v>
      </c>
      <c r="H1685" s="11" t="str">
        <f>IFERROR(IF(VLOOKUP(A1685,[12]PRIORIZADOS!$A:$H,8,FALSE)="","",VLOOKUP(A1685,[12]PRIORIZADOS!$A:$H,8,FALSE)),"")</f>
        <v>Autoevaluación Institucional y Pruebas SABER 11</v>
      </c>
      <c r="I1685" s="11" t="str">
        <f>IFERROR(IF(VLOOKUP(A1685,[12]PRIORIZADOS!$A:$I,9,FALSE)="","",VLOOKUP(A1685,[12]PRIORIZADOS!$A:$I,9,FALSE)),"")</f>
        <v>EVALUACIÓN_CON_FINES_DE_MEJORAMIENTO.</v>
      </c>
      <c r="J1685" s="11" t="str">
        <f>IFERROR(IF(VLOOKUP(A1685,[12]PRIORIZADOS!$A:$J,10,FALSE)="","",VLOOKUP(A1685,[12]PRIORIZADOS!$A:$J,10,FALSE)),"")</f>
        <v>Verificar el funcionamiento del Gobierno Escolar e instancias de participación con base en la información sobre conformación reportada por la institución educativa.</v>
      </c>
      <c r="K1685" s="11" t="str">
        <f>IFERROR(IF(VLOOKUP(A1685,[12]PRIORIZADOS!$A:$K,11,FALSE)="","",VLOOKUP(A1685,[12]PRIORIZADOS!$A:$K,11,FALSE)),"")</f>
        <v>JAIRO ANDRÉS ÁLVAREZ CHÁVEZ</v>
      </c>
      <c r="L1685" s="11" t="str">
        <f>IFERROR(IF(VLOOKUP(A1685,[12]PRIORIZADOS!$A:$L,12,FALSE)="","",VLOOKUP(A1685,[12]PRIORIZADOS!$A:$L,12,FALSE)),"")</f>
        <v>XIMENA CAROLINA RAMÍREZ MORALES</v>
      </c>
      <c r="M1685" s="71">
        <f>IFERROR(IF(VLOOKUP(A1685,[12]PRIORIZADOS!$A:$M,13,FALSE)="","",VLOOKUP(A1685,[12]PRIORIZADOS!$A:$M,13,FALSE)),"")</f>
        <v>45751</v>
      </c>
      <c r="N1685" s="71">
        <f>IFERROR(IF(VLOOKUP(A1685,[12]PRIORIZADOS!$A:$N,14,FALSE)="","",VLOOKUP(A1685,[12]PRIORIZADOS!$A:$N,14,FALSE)),"")</f>
        <v>45813</v>
      </c>
      <c r="O1685" s="71">
        <f>IFERROR(IF(VLOOKUP(A1685,[12]PRIORIZADOS!$A:$O,15,FALSE)="","",VLOOKUP(A1685,[12]PRIORIZADOS!$A:$O,15,FALSE)),"")</f>
        <v>45813</v>
      </c>
      <c r="P1685" s="11" t="str">
        <f>IFERROR(IF(VLOOKUP(A1685,[12]PRIORIZADOS!$A:$P,16,FALSE)="","",VLOOKUP(A1685,[12]PRIORIZADOS!$A:$P,16,FALSE)),"")</f>
        <v>Visitas de evaluación con fines de mejoramiento</v>
      </c>
      <c r="Q1685" s="107" t="s">
        <v>377</v>
      </c>
      <c r="R1685" s="11" t="str">
        <f>IFERROR(IF(VLOOKUP(A1685,[12]PRIORIZADOS!$A:$R,18,FALSE)="","",VLOOKUP(A1685,[12]PRIORIZADOS!$A:$R,18,FALSE)),"")</f>
        <v xml:space="preserve">Se verifican actas de Consejo de padres, Consejo estudiantil, Consejo Directivo, Consejo académico Y comité de convivencia. </v>
      </c>
      <c r="S1685" s="11" t="str">
        <f>IFERROR(IF(VLOOKUP(A1685,[12]PRIORIZADOS!$A:$S,19,FALSE)="","",VLOOKUP(A1685,[12]PRIORIZADOS!$A:$S,19,FALSE)),"")</f>
        <v>Adecuar manual de convivencia y prácticas en el sentido del delgado de consejo estudiantil y consejo de padres.</v>
      </c>
      <c r="T1685" s="70" t="str">
        <f>IFERROR(IF(VLOOKUP(A1685,[12]PRIORIZADOS!$A:$T,20,FALSE)="","",VLOOKUP(A1685,[12]PRIORIZADOS!$A:$T,20,FALSE)),"")</f>
        <v>No</v>
      </c>
      <c r="U1685" s="11" t="str">
        <f>IFERROR(IF(VLOOKUP(A1685,[12]PRIORIZADOS!$A:$U,21,FALSE)="","",VLOOKUP(A1685,[12]PRIORIZADOS!$A:$U,21,FALSE)),"")</f>
        <v>Se hará verificación en caso de presentarse requerimiento</v>
      </c>
    </row>
    <row r="1686" spans="1:21" s="1" customFormat="1" ht="48">
      <c r="A1686" s="69">
        <f>IF([12]PRIORIZADOS!A16="","",[12]PRIORIZADOS!A16)</f>
        <v>1653</v>
      </c>
      <c r="B1686" s="70">
        <v>1</v>
      </c>
      <c r="C1686" s="11" t="str">
        <f>IFERROR(IF(VLOOKUP(A1686,[12]PRIORIZADOS!$A:$C,3,FALSE)="","",VLOOKUP(A1686,[12]PRIORIZADOS!$A:$C,3,FALSE)),"")</f>
        <v>SAN CRISTÓBAL</v>
      </c>
      <c r="D1686" s="11" t="str">
        <f>IFERROR(IF(VLOOKUP(A1686,[12]PRIORIZADOS!$A:$D,4,FALSE)="","",VLOOKUP(A1686,[12]PRIORIZADOS!$A:$D,4,FALSE)),"")</f>
        <v>PRIVADO</v>
      </c>
      <c r="E1686" s="11" t="str">
        <f>IFERROR(IF(VLOOKUP(A1686,[12]PRIORIZADOS!$A:$E,5,FALSE)="","",VLOOKUP(A1686,[12]PRIORIZADOS!$A:$E,5,FALSE)),"")</f>
        <v>EPBM</v>
      </c>
      <c r="F1686" s="11" t="str">
        <f>IFERROR(IF(VLOOKUP(A1686,[12]PRIORIZADOS!$A:$F,6,FALSE)="","",VLOOKUP(A1686,[12]PRIORIZADOS!$A:$F,6,FALSE)),"")</f>
        <v>CENTRO_COMERCIAL_MADRE_ELISA_RONCALLO</v>
      </c>
      <c r="G1686" s="11" t="str">
        <f>IFERROR(IF(VLOOKUP(A1686,[12]PRIORIZADOS!$A:$G,7,FALSE)="","",VLOOKUP(A1686,[12]PRIORIZADOS!$A:$G,7,FALSE)),"")</f>
        <v>CENTRO COMERCIAL MADRE ELISA RONCALLO</v>
      </c>
      <c r="H1686" s="11" t="str">
        <f>IFERROR(IF(VLOOKUP(A1686,[12]PRIORIZADOS!$A:$H,8,FALSE)="","",VLOOKUP(A1686,[12]PRIORIZADOS!$A:$H,8,FALSE)),"")</f>
        <v>Autoevaluación Institucional y Pruebas SABER 11</v>
      </c>
      <c r="I1686" s="11" t="str">
        <f>IFERROR(IF(VLOOKUP(A1686,[12]PRIORIZADOS!$A:$I,9,FALSE)="","",VLOOKUP(A1686,[12]PRIORIZADOS!$A:$I,9,FALSE)),"")</f>
        <v>EVALUACIÓN_CON_FINES_DE_MEJORAMIENTO.</v>
      </c>
      <c r="J1686" s="11" t="str">
        <f>IFERROR(IF(VLOOKUP(A1686,[12]PRIORIZADOS!$A:$J,10,FALSE)="","",VLOOKUP(A1686,[12]PRIORIZADOS!$A:$J,10,FALSE)),"")</f>
        <v>Verificar las condiciones en cuanto a: la estructura administrativa, condiciones de la planta física y medios educativos adecuados.</v>
      </c>
      <c r="K1686" s="11" t="str">
        <f>IFERROR(IF(VLOOKUP(A1686,[12]PRIORIZADOS!$A:$K,11,FALSE)="","",VLOOKUP(A1686,[12]PRIORIZADOS!$A:$K,11,FALSE)),"")</f>
        <v>JAIRO ANDRÉS ÁLVAREZ CHÁVEZ</v>
      </c>
      <c r="L1686" s="11" t="str">
        <f>IFERROR(IF(VLOOKUP(A1686,[12]PRIORIZADOS!$A:$L,12,FALSE)="","",VLOOKUP(A1686,[12]PRIORIZADOS!$A:$L,12,FALSE)),"")</f>
        <v>XIMENA CAROLINA RAMÍREZ MORALES</v>
      </c>
      <c r="M1686" s="71">
        <f>IFERROR(IF(VLOOKUP(A1686,[12]PRIORIZADOS!$A:$M,13,FALSE)="","",VLOOKUP(A1686,[12]PRIORIZADOS!$A:$M,13,FALSE)),"")</f>
        <v>45751</v>
      </c>
      <c r="N1686" s="71">
        <f>IFERROR(IF(VLOOKUP(A1686,[12]PRIORIZADOS!$A:$N,14,FALSE)="","",VLOOKUP(A1686,[12]PRIORIZADOS!$A:$N,14,FALSE)),"")</f>
        <v>45813</v>
      </c>
      <c r="O1686" s="71">
        <f>IFERROR(IF(VLOOKUP(A1686,[12]PRIORIZADOS!$A:$O,15,FALSE)="","",VLOOKUP(A1686,[12]PRIORIZADOS!$A:$O,15,FALSE)),"")</f>
        <v>45813</v>
      </c>
      <c r="P1686" s="11" t="str">
        <f>IFERROR(IF(VLOOKUP(A1686,[12]PRIORIZADOS!$A:$P,16,FALSE)="","",VLOOKUP(A1686,[12]PRIORIZADOS!$A:$P,16,FALSE)),"")</f>
        <v>Visitas de evaluación con fines de mejoramiento</v>
      </c>
      <c r="Q1686" s="107" t="s">
        <v>377</v>
      </c>
      <c r="R1686" s="11" t="str">
        <f>IFERROR(IF(VLOOKUP(A1686,[12]PRIORIZADOS!$A:$R,18,FALSE)="","",VLOOKUP(A1686,[12]PRIORIZADOS!$A:$R,18,FALSE)),"")</f>
        <v>En el recorrido se constata que la infraestructura se encuentra en buenas condiciones. Aportan acta de visita de Secretaría de Salud SB06E 705269</v>
      </c>
      <c r="S1686" s="11" t="str">
        <f>IFERROR(IF(VLOOKUP(A1686,[12]PRIORIZADOS!$A:$S,19,FALSE)="","",VLOOKUP(A1686,[12]PRIORIZADOS!$A:$S,19,FALSE)),"")</f>
        <v>Dar cumplimiento a los requerimientos de Secretaría de salud.</v>
      </c>
      <c r="T1686" s="70" t="str">
        <f>IFERROR(IF(VLOOKUP(A1686,[12]PRIORIZADOS!$A:$T,20,FALSE)="","",VLOOKUP(A1686,[12]PRIORIZADOS!$A:$T,20,FALSE)),"")</f>
        <v>No</v>
      </c>
      <c r="U1686" s="11" t="str">
        <f>IFERROR(IF(VLOOKUP(A1686,[12]PRIORIZADOS!$A:$U,21,FALSE)="","",VLOOKUP(A1686,[12]PRIORIZADOS!$A:$U,21,FALSE)),"")</f>
        <v>Se hará verificación en caso de presentarse requerimiento</v>
      </c>
    </row>
    <row r="1687" spans="1:21" s="1" customFormat="1" ht="96">
      <c r="A1687" s="69">
        <f>IF([12]PRIORIZADOS!A17="","",[12]PRIORIZADOS!A17)</f>
        <v>1654</v>
      </c>
      <c r="B1687" s="70">
        <f>IFERROR(IF(VLOOKUP(A1687,[12]PRIORIZADOS!$A:$B,2,FALSE)="","",VLOOKUP(A1687,[12]PRIORIZADOS!$A:$B,2,FALSE)),"")</f>
        <v>2</v>
      </c>
      <c r="C1687" s="11" t="str">
        <f>IFERROR(IF(VLOOKUP(A1687,[12]PRIORIZADOS!$A:$C,3,FALSE)="","",VLOOKUP(A1687,[12]PRIORIZADOS!$A:$C,3,FALSE)),"")</f>
        <v>SAN CRISTÓBAL</v>
      </c>
      <c r="D1687" s="11" t="str">
        <f>IFERROR(IF(VLOOKUP(A1687,[12]PRIORIZADOS!$A:$D,4,FALSE)="","",VLOOKUP(A1687,[12]PRIORIZADOS!$A:$D,4,FALSE)),"")</f>
        <v>PRIVADO</v>
      </c>
      <c r="E1687" s="11" t="str">
        <f>IFERROR(IF(VLOOKUP(A1687,[12]PRIORIZADOS!$A:$E,5,FALSE)="","",VLOOKUP(A1687,[12]PRIORIZADOS!$A:$E,5,FALSE)),"")</f>
        <v>EPBM</v>
      </c>
      <c r="F1687" s="11" t="str">
        <f>IFERROR(IF(VLOOKUP(A1687,[12]PRIORIZADOS!$A:$F,6,FALSE)="","",VLOOKUP(A1687,[12]PRIORIZADOS!$A:$F,6,FALSE)),"")</f>
        <v>COLEGIO_INTEGRAL_AVANCEMOS</v>
      </c>
      <c r="G1687" s="11" t="str">
        <f>IFERROR(IF(VLOOKUP(A1687,[12]PRIORIZADOS!$A:$G,7,FALSE)="","",VLOOKUP(A1687,[12]PRIORIZADOS!$A:$G,7,FALSE)),"")</f>
        <v>COLEGIO INTEGRAL AVANCEMOS</v>
      </c>
      <c r="H1687" s="11" t="str">
        <f>IFERROR(IF(VLOOKUP(A1687,[12]PRIORIZADOS!$A:$H,8,FALSE)="","",VLOOKUP(A1687,[12]PRIORIZADOS!$A:$H,8,FALSE)),"")</f>
        <v>Autoevaluación Institucional y Pruebas SABER 11</v>
      </c>
      <c r="I1687" s="11" t="str">
        <f>IFERROR(IF(VLOOKUP(A1687,[12]PRIORIZADOS!$A:$I,9,FALSE)="","",VLOOKUP(A1687,[12]PRIORIZADOS!$A:$I,9,FALSE)),"")</f>
        <v>SEGUIMIENTO_Y_SUPERVISIÓN.</v>
      </c>
      <c r="J1687" s="11" t="str">
        <f>IFERROR(IF(VLOOKUP(A1687,[12]PRIORIZADOS!$A:$J,10,FALSE)="","",VLOOKUP(A1687,[12]PRIORIZADOS!$A:$J,10,FALSE)),"")</f>
        <v>Realizar visitas para verificar la información registrada sobre la autoevaluación institucional en el aplicativo EVI, a los establecimientos de educación formal no oficial.</v>
      </c>
      <c r="K1687" s="11" t="str">
        <f>IFERROR(IF(VLOOKUP(A1687,[12]PRIORIZADOS!$A:$K,11,FALSE)="","",VLOOKUP(A1687,[12]PRIORIZADOS!$A:$K,11,FALSE)),"")</f>
        <v>JAIRO ANDRÉS ÁLVAREZ CHÁVEZ</v>
      </c>
      <c r="L1687" s="11" t="str">
        <f>IFERROR(IF(VLOOKUP(A1687,[12]PRIORIZADOS!$A:$L,12,FALSE)="","",VLOOKUP(A1687,[12]PRIORIZADOS!$A:$L,12,FALSE)),"")</f>
        <v>JOSÉ ASDRUBAL PÉREZ GIRALDO</v>
      </c>
      <c r="M1687" s="71">
        <f>IFERROR(IF(VLOOKUP(A1687,[12]PRIORIZADOS!$A:$M,13,FALSE)="","",VLOOKUP(A1687,[12]PRIORIZADOS!$A:$M,13,FALSE)),"")</f>
        <v>45723</v>
      </c>
      <c r="N1687" s="71">
        <f>IFERROR(IF(VLOOKUP(A1687,[12]PRIORIZADOS!$A:$N,14,FALSE)="","",VLOOKUP(A1687,[12]PRIORIZADOS!$A:$N,14,FALSE)),"")</f>
        <v>45723</v>
      </c>
      <c r="O1687" s="71">
        <f>IFERROR(IF(VLOOKUP(A1687,[12]PRIORIZADOS!$A:$O,15,FALSE)="","",VLOOKUP(A1687,[12]PRIORIZADOS!$A:$O,15,FALSE)),"")</f>
        <v>45723</v>
      </c>
      <c r="P1687" s="11" t="str">
        <f>IFERROR(IF(VLOOKUP(A1687,[12]PRIORIZADOS!$A:$P,16,FALSE)="","",VLOOKUP(A1687,[12]PRIORIZADOS!$A:$P,16,FALSE)),"")</f>
        <v>Visitas de evaluación con fines de mejoramiento</v>
      </c>
      <c r="Q1687" s="107" t="s">
        <v>378</v>
      </c>
      <c r="R1687" s="11" t="str">
        <f>IFERROR(IF(VLOOKUP(A1687,[12]PRIORIZADOS!$A:$R,18,FALSE)="","",VLOOKUP(A1687,[12]PRIORIZADOS!$A:$R,18,FALSE)),"")</f>
        <v>Verificar información registrada Cobros de Tarifas y Costos Escolares vigencia 2025, Costos y tarifas autorizadas 2025, según Resolución 04-193 del 29/11/2024:</v>
      </c>
      <c r="S1687" s="11" t="str">
        <f>IFERROR(IF(VLOOKUP(A1687,[12]PRIORIZADOS!$A:$S,19,FALSE)="","",VLOOKUP(A1687,[12]PRIORIZADOS!$A:$S,19,FALSE)),"")</f>
        <v>El ELIV en atención a Quejas, pregunta de la existencia de posibles Cobros no Autorizados o posible no prestación del Servicio Educativo algunos días por falta de docentes vinculados. Responde el Rector del Colegio que, en todo caso de incumplimiento de pagos de parte de Padres</v>
      </c>
      <c r="T1687" s="70" t="str">
        <f>IFERROR(IF(VLOOKUP(A1687,[12]PRIORIZADOS!$A:$T,20,FALSE)="","",VLOOKUP(A1687,[12]PRIORIZADOS!$A:$T,20,FALSE)),"")</f>
        <v>No</v>
      </c>
      <c r="U1687" s="11" t="str">
        <f>IFERROR(IF(VLOOKUP(A1687,[12]PRIORIZADOS!$A:$U,21,FALSE)="","",VLOOKUP(A1687,[12]PRIORIZADOS!$A:$U,21,FALSE)),"")</f>
        <v>Se verificara en la proxima visita cumplimiento de la resolución de tarifas de 2025.</v>
      </c>
    </row>
    <row r="1688" spans="1:21" s="1" customFormat="1" ht="60">
      <c r="A1688" s="69">
        <f>IF([12]PRIORIZADOS!A18="","",[12]PRIORIZADOS!A18)</f>
        <v>1655</v>
      </c>
      <c r="B1688" s="70">
        <v>2</v>
      </c>
      <c r="C1688" s="11" t="str">
        <f>IFERROR(IF(VLOOKUP(A1688,[12]PRIORIZADOS!$A:$C,3,FALSE)="","",VLOOKUP(A1688,[12]PRIORIZADOS!$A:$C,3,FALSE)),"")</f>
        <v>SAN CRISTÓBAL</v>
      </c>
      <c r="D1688" s="11" t="str">
        <f>IFERROR(IF(VLOOKUP(A1688,[12]PRIORIZADOS!$A:$D,4,FALSE)="","",VLOOKUP(A1688,[12]PRIORIZADOS!$A:$D,4,FALSE)),"")</f>
        <v>PRIVADO</v>
      </c>
      <c r="E1688" s="11" t="str">
        <f>IFERROR(IF(VLOOKUP(A1688,[12]PRIORIZADOS!$A:$E,5,FALSE)="","",VLOOKUP(A1688,[12]PRIORIZADOS!$A:$E,5,FALSE)),"")</f>
        <v>EPBM</v>
      </c>
      <c r="F1688" s="11" t="str">
        <f>IFERROR(IF(VLOOKUP(A1688,[12]PRIORIZADOS!$A:$F,6,FALSE)="","",VLOOKUP(A1688,[12]PRIORIZADOS!$A:$F,6,FALSE)),"")</f>
        <v>COLEGIO_INTEGRAL_AVANCEMOS</v>
      </c>
      <c r="G1688" s="11" t="str">
        <f>IFERROR(IF(VLOOKUP(A1688,[12]PRIORIZADOS!$A:$G,7,FALSE)="","",VLOOKUP(A1688,[12]PRIORIZADOS!$A:$G,7,FALSE)),"")</f>
        <v>COLEGIO INTEGRAL AVANCEMOS</v>
      </c>
      <c r="H1688" s="11" t="str">
        <f>IFERROR(IF(VLOOKUP(A1688,[12]PRIORIZADOS!$A:$H,8,FALSE)="","",VLOOKUP(A1688,[12]PRIORIZADOS!$A:$H,8,FALSE)),"")</f>
        <v>Autoevaluación Institucional y Pruebas SABER 11</v>
      </c>
      <c r="I1688" s="11" t="str">
        <f>IFERROR(IF(VLOOKUP(A1688,[12]PRIORIZADOS!$A:$I,9,FALSE)="","",VLOOKUP(A1688,[12]PRIORIZADOS!$A:$I,9,FALSE)),"")</f>
        <v>SEGUIMIENTO_Y_SUPERVISIÓN.</v>
      </c>
      <c r="J1688" s="11" t="str">
        <f>IFERROR(IF(VLOOKUP(A1688,[12]PRIORIZADOS!$A:$J,10,FALSE)="","",VLOOKUP(A1688,[12]PRIORIZADOS!$A:$J,10,FALSE)),"")</f>
        <v>Proponer estrategias en la formulación, verificar su elaboración y realizar seguimiento semestral al desarrollo de  las acciones establecidas en los planes de mejoramiento por pruebas SABER 11 de los establecimientos de educación formal.</v>
      </c>
      <c r="K1688" s="11" t="str">
        <f>IFERROR(IF(VLOOKUP(A1688,[12]PRIORIZADOS!$A:$K,11,FALSE)="","",VLOOKUP(A1688,[12]PRIORIZADOS!$A:$K,11,FALSE)),"")</f>
        <v>JAIRO ANDRÉS ÁLVAREZ CHÁVEZ</v>
      </c>
      <c r="L1688" s="11" t="str">
        <f>IFERROR(IF(VLOOKUP(A1688,[12]PRIORIZADOS!$A:$L,12,FALSE)="","",VLOOKUP(A1688,[12]PRIORIZADOS!$A:$L,12,FALSE)),"")</f>
        <v>JOSÉ ASDRUBAL PÉREZ GIRALDO</v>
      </c>
      <c r="M1688" s="71">
        <f>IFERROR(IF(VLOOKUP(A1688,[12]PRIORIZADOS!$A:$M,13,FALSE)="","",VLOOKUP(A1688,[12]PRIORIZADOS!$A:$M,13,FALSE)),"")</f>
        <v>45723</v>
      </c>
      <c r="N1688" s="71">
        <f>IFERROR(IF(VLOOKUP(A1688,[12]PRIORIZADOS!$A:$N,14,FALSE)="","",VLOOKUP(A1688,[12]PRIORIZADOS!$A:$N,14,FALSE)),"")</f>
        <v>45723</v>
      </c>
      <c r="O1688" s="71">
        <f>IFERROR(IF(VLOOKUP(A1688,[12]PRIORIZADOS!$A:$O,15,FALSE)="","",VLOOKUP(A1688,[12]PRIORIZADOS!$A:$O,15,FALSE)),"")</f>
        <v>45723</v>
      </c>
      <c r="P1688" s="11" t="str">
        <f>IFERROR(IF(VLOOKUP(A1688,[12]PRIORIZADOS!$A:$P,16,FALSE)="","",VLOOKUP(A1688,[12]PRIORIZADOS!$A:$P,16,FALSE)),"")</f>
        <v>Visitas de evaluación con fines de mejoramiento</v>
      </c>
      <c r="Q1688" s="107" t="s">
        <v>378</v>
      </c>
      <c r="R1688" s="11" t="str">
        <f>IFERROR(IF(VLOOKUP(A1688,[12]PRIORIZADOS!$A:$R,18,FALSE)="","",VLOOKUP(A1688,[12]PRIORIZADOS!$A:$R,18,FALSE)),"")</f>
        <v>Los resultados históricos evidencian que la IE ha quedado clasificada en categoría A en los últimos años; sin embargo en los percentiles ha bajado con respecto a los años anteriores.</v>
      </c>
      <c r="S1688" s="11" t="str">
        <f>IFERROR(IF(VLOOKUP(A1688,[12]PRIORIZADOS!$A:$S,19,FALSE)="","",VLOOKUP(A1688,[12]PRIORIZADOS!$A:$S,19,FALSE)),"")</f>
        <v>La IE proyecta utilizar la plataforma RED SABER para fortalecer las competencias, realizar simulacros y prepararlos para las pruebas desde  el aula de clase</v>
      </c>
      <c r="T1688" s="70" t="str">
        <f>IFERROR(IF(VLOOKUP(A1688,[12]PRIORIZADOS!$A:$T,20,FALSE)="","",VLOOKUP(A1688,[12]PRIORIZADOS!$A:$T,20,FALSE)),"")</f>
        <v>No</v>
      </c>
      <c r="U1688" s="11" t="str">
        <f>IFERROR(IF(VLOOKUP(A1688,[12]PRIORIZADOS!$A:$U,21,FALSE)="","",VLOOKUP(A1688,[12]PRIORIZADOS!$A:$U,21,FALSE)),"")</f>
        <v xml:space="preserve">En la próxima visita de verificarán las acciones desarrolladas por la institución educativa. </v>
      </c>
    </row>
    <row r="1689" spans="1:21" s="1" customFormat="1" ht="178.5">
      <c r="A1689" s="69">
        <f>IF([12]PRIORIZADOS!A19="","",[12]PRIORIZADOS!A19)</f>
        <v>1656</v>
      </c>
      <c r="B1689" s="70">
        <v>2</v>
      </c>
      <c r="C1689" s="11" t="str">
        <f>IFERROR(IF(VLOOKUP(A1689,[12]PRIORIZADOS!$A:$C,3,FALSE)="","",VLOOKUP(A1689,[12]PRIORIZADOS!$A:$C,3,FALSE)),"")</f>
        <v>SAN CRISTÓBAL</v>
      </c>
      <c r="D1689" s="11" t="str">
        <f>IFERROR(IF(VLOOKUP(A1689,[12]PRIORIZADOS!$A:$D,4,FALSE)="","",VLOOKUP(A1689,[12]PRIORIZADOS!$A:$D,4,FALSE)),"")</f>
        <v>PRIVADO</v>
      </c>
      <c r="E1689" s="11" t="str">
        <f>IFERROR(IF(VLOOKUP(A1689,[12]PRIORIZADOS!$A:$E,5,FALSE)="","",VLOOKUP(A1689,[12]PRIORIZADOS!$A:$E,5,FALSE)),"")</f>
        <v>EPBM</v>
      </c>
      <c r="F1689" s="11" t="str">
        <f>IFERROR(IF(VLOOKUP(A1689,[12]PRIORIZADOS!$A:$F,6,FALSE)="","",VLOOKUP(A1689,[12]PRIORIZADOS!$A:$F,6,FALSE)),"")</f>
        <v>COLEGIO_INTEGRAL_AVANCEMOS</v>
      </c>
      <c r="G1689" s="11" t="str">
        <f>IFERROR(IF(VLOOKUP(A1689,[12]PRIORIZADOS!$A:$G,7,FALSE)="","",VLOOKUP(A1689,[12]PRIORIZADOS!$A:$G,7,FALSE)),"")</f>
        <v>COLEGIO INTEGRAL AVANCEMOS</v>
      </c>
      <c r="H1689" s="11" t="str">
        <f>IFERROR(IF(VLOOKUP(A1689,[12]PRIORIZADOS!$A:$H,8,FALSE)="","",VLOOKUP(A1689,[12]PRIORIZADOS!$A:$H,8,FALSE)),"")</f>
        <v>Autoevaluación Institucional y Pruebas SABER 11</v>
      </c>
      <c r="I1689" s="11" t="str">
        <f>IFERROR(IF(VLOOKUP(A1689,[12]PRIORIZADOS!$A:$I,9,FALSE)="","",VLOOKUP(A1689,[12]PRIORIZADOS!$A:$I,9,FALSE)),"")</f>
        <v>SEGUIMIENTO_Y_SUPERVISIÓN.</v>
      </c>
      <c r="J1689" s="11" t="str">
        <f>IFERROR(IF(VLOOKUP(A1689,[12]PRIORIZADOS!$A:$J,10,FALSE)="","",VLOOKUP(A1689,[12]PRIORIZADOS!$A:$J,10,FALSE)),"")</f>
        <v xml:space="preserve">Verificar la implementación por parte de los colegios, de acciones realizadas para la prevención y atención de las situaciones de convivencia en el entorno escolar, según lo establecido en la Directiva 01 de 2022 del MEN. </v>
      </c>
      <c r="K1689" s="11" t="str">
        <f>IFERROR(IF(VLOOKUP(A1689,[12]PRIORIZADOS!$A:$K,11,FALSE)="","",VLOOKUP(A1689,[12]PRIORIZADOS!$A:$K,11,FALSE)),"")</f>
        <v>JAIRO ANDRÉS ÁLVAREZ CHÁVEZ</v>
      </c>
      <c r="L1689" s="11" t="str">
        <f>IFERROR(IF(VLOOKUP(A1689,[12]PRIORIZADOS!$A:$L,12,FALSE)="","",VLOOKUP(A1689,[12]PRIORIZADOS!$A:$L,12,FALSE)),"")</f>
        <v>JOSÉ ASDRUBAL PÉREZ GIRALDO</v>
      </c>
      <c r="M1689" s="71">
        <f>IFERROR(IF(VLOOKUP(A1689,[12]PRIORIZADOS!$A:$M,13,FALSE)="","",VLOOKUP(A1689,[12]PRIORIZADOS!$A:$M,13,FALSE)),"")</f>
        <v>45723</v>
      </c>
      <c r="N1689" s="71">
        <f>IFERROR(IF(VLOOKUP(A1689,[12]PRIORIZADOS!$A:$N,14,FALSE)="","",VLOOKUP(A1689,[12]PRIORIZADOS!$A:$N,14,FALSE)),"")</f>
        <v>45723</v>
      </c>
      <c r="O1689" s="71">
        <f>IFERROR(IF(VLOOKUP(A1689,[12]PRIORIZADOS!$A:$O,15,FALSE)="","",VLOOKUP(A1689,[12]PRIORIZADOS!$A:$O,15,FALSE)),"")</f>
        <v>45723</v>
      </c>
      <c r="P1689" s="11" t="str">
        <f>IFERROR(IF(VLOOKUP(A1689,[12]PRIORIZADOS!$A:$P,16,FALSE)="","",VLOOKUP(A1689,[12]PRIORIZADOS!$A:$P,16,FALSE)),"")</f>
        <v>Visitas de evaluación con fines de mejoramiento</v>
      </c>
      <c r="Q1689" s="107" t="s">
        <v>378</v>
      </c>
      <c r="R1689" s="11" t="str">
        <f>IFERROR(IF(VLOOKUP(A1689,[12]PRIORIZADOS!$A:$R,18,FALSE)="","",VLOOKUP(A1689,[12]PRIORIZADOS!$A:$R,18,FALSE)),"")</f>
        <v>Los directivos de la institución indican que se están gestionando charlas de promoción y prevención con la Sub Red Centro Oriente, Secretaria de Seguridad y con  la Oficina para la Convivencia Escolar – OCE. Los docentes, directivos docentes y personal administrativos  contratado cuenta en la fecha de la visita con la verificación de antecedentes por Violencia sexual (directiva 01) aplicando la normativa.</v>
      </c>
      <c r="S1689" s="11" t="str">
        <f>IFERROR(IF(VLOOKUP(A1689,[12]PRIORIZADOS!$A:$S,19,FALSE)="","",VLOOKUP(A1689,[12]PRIORIZADOS!$A:$S,19,FALSE)),"")</f>
        <v>Se acuerda remitir el cronograma de las actividades proyectadas y consolidar las evidencias correspondientes de su desarrollo. Se  le indica a la IE que la consulta de antecedentes por violencia sexual, se debe realizar cada 4 meses e ir conservando los soportes, asimismo desde la OCE se realizaran capitaciones y charlas con la comunidad educativa. Se reitera que, desde el Comité de convivencia escolar, se deben liderar acciones de orientadas a la construcción de relaciones armónicas, así como de prevención de acuerdo con el contexto institucional</v>
      </c>
      <c r="T1689" s="70" t="str">
        <f>IFERROR(IF(VLOOKUP(A1689,[12]PRIORIZADOS!$A:$T,20,FALSE)="","",VLOOKUP(A1689,[12]PRIORIZADOS!$A:$T,20,FALSE)),"")</f>
        <v>No</v>
      </c>
      <c r="U1689" s="11" t="str">
        <f>IFERROR(IF(VLOOKUP(A1689,[12]PRIORIZADOS!$A:$U,21,FALSE)="","",VLOOKUP(A1689,[12]PRIORIZADOS!$A:$U,21,FALSE)),"")</f>
        <v>En la próxima visita se verificarán las actividades desarrolladas por la institución, consulta de antecedentes de delitos sexuales y capacitaciones realizadas por las diferentes entidades y la institución educativa.</v>
      </c>
    </row>
    <row r="1690" spans="1:21" s="1" customFormat="1" ht="154.5">
      <c r="A1690" s="69">
        <f>IF([12]PRIORIZADOS!A20="","",[12]PRIORIZADOS!A20)</f>
        <v>1657</v>
      </c>
      <c r="B1690" s="70">
        <v>2</v>
      </c>
      <c r="C1690" s="11" t="str">
        <f>IFERROR(IF(VLOOKUP(A1690,[12]PRIORIZADOS!$A:$C,3,FALSE)="","",VLOOKUP(A1690,[12]PRIORIZADOS!$A:$C,3,FALSE)),"")</f>
        <v>SAN CRISTÓBAL</v>
      </c>
      <c r="D1690" s="11" t="str">
        <f>IFERROR(IF(VLOOKUP(A1690,[12]PRIORIZADOS!$A:$D,4,FALSE)="","",VLOOKUP(A1690,[12]PRIORIZADOS!$A:$D,4,FALSE)),"")</f>
        <v>PRIVADO</v>
      </c>
      <c r="E1690" s="11" t="str">
        <f>IFERROR(IF(VLOOKUP(A1690,[12]PRIORIZADOS!$A:$E,5,FALSE)="","",VLOOKUP(A1690,[12]PRIORIZADOS!$A:$E,5,FALSE)),"")</f>
        <v>EPBM</v>
      </c>
      <c r="F1690" s="11" t="str">
        <f>IFERROR(IF(VLOOKUP(A1690,[12]PRIORIZADOS!$A:$F,6,FALSE)="","",VLOOKUP(A1690,[12]PRIORIZADOS!$A:$F,6,FALSE)),"")</f>
        <v>COLEGIO_INTEGRAL_AVANCEMOS</v>
      </c>
      <c r="G1690" s="11" t="str">
        <f>IFERROR(IF(VLOOKUP(A1690,[12]PRIORIZADOS!$A:$G,7,FALSE)="","",VLOOKUP(A1690,[12]PRIORIZADOS!$A:$G,7,FALSE)),"")</f>
        <v>COLEGIO INTEGRAL AVANCEMOS</v>
      </c>
      <c r="H1690" s="11" t="str">
        <f>IFERROR(IF(VLOOKUP(A1690,[12]PRIORIZADOS!$A:$H,8,FALSE)="","",VLOOKUP(A1690,[12]PRIORIZADOS!$A:$H,8,FALSE)),"")</f>
        <v>Autoevaluación Institucional y Pruebas SABER 11</v>
      </c>
      <c r="I1690" s="11" t="str">
        <f>IFERROR(IF(VLOOKUP(A1690,[12]PRIORIZADOS!$A:$I,9,FALSE)="","",VLOOKUP(A1690,[12]PRIORIZADOS!$A:$I,9,FALSE)),"")</f>
        <v>SEGUIMIENTO_Y_SUPERVISIÓN.</v>
      </c>
      <c r="J1690" s="11" t="str">
        <f>IFERROR(IF(VLOOKUP(A1690,[12]PRIORIZADOS!$A:$J,10,FALSE)="","",VLOOKUP(A1690,[12]PRIORIZADOS!$A:$J,10,FALSE)),"")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90" s="11" t="str">
        <f>IFERROR(IF(VLOOKUP(A1690,[12]PRIORIZADOS!$A:$K,11,FALSE)="","",VLOOKUP(A1690,[12]PRIORIZADOS!$A:$K,11,FALSE)),"")</f>
        <v>JAIRO ANDRÉS ÁLVAREZ CHÁVEZ</v>
      </c>
      <c r="L1690" s="11" t="str">
        <f>IFERROR(IF(VLOOKUP(A1690,[12]PRIORIZADOS!$A:$L,12,FALSE)="","",VLOOKUP(A1690,[12]PRIORIZADOS!$A:$L,12,FALSE)),"")</f>
        <v>JOSÉ ASDRUBAL PÉREZ GIRALDO</v>
      </c>
      <c r="M1690" s="71">
        <f>IFERROR(IF(VLOOKUP(A1690,[12]PRIORIZADOS!$A:$M,13,FALSE)="","",VLOOKUP(A1690,[12]PRIORIZADOS!$A:$M,13,FALSE)),"")</f>
        <v>45723</v>
      </c>
      <c r="N1690" s="71">
        <f>IFERROR(IF(VLOOKUP(A1690,[12]PRIORIZADOS!$A:$N,14,FALSE)="","",VLOOKUP(A1690,[12]PRIORIZADOS!$A:$N,14,FALSE)),"")</f>
        <v>45723</v>
      </c>
      <c r="O1690" s="71">
        <f>IFERROR(IF(VLOOKUP(A1690,[12]PRIORIZADOS!$A:$O,15,FALSE)="","",VLOOKUP(A1690,[12]PRIORIZADOS!$A:$O,15,FALSE)),"")</f>
        <v>45723</v>
      </c>
      <c r="P1690" s="11" t="str">
        <f>IFERROR(IF(VLOOKUP(A1690,[12]PRIORIZADOS!$A:$P,16,FALSE)="","",VLOOKUP(A1690,[12]PRIORIZADOS!$A:$P,16,FALSE)),"")</f>
        <v>Visitas de evaluación con fines de mejoramiento</v>
      </c>
      <c r="Q1690" s="107" t="s">
        <v>378</v>
      </c>
      <c r="R1690" s="11" t="str">
        <f>IFERROR(IF(VLOOKUP(A1690,[12]PRIORIZADOS!$A:$R,18,FALSE)="","",VLOOKUP(A1690,[12]PRIORIZADOS!$A:$R,18,FALSE)),"")</f>
        <v>La IE indica que el 20% de su población está en condición de discapacidad y se está haciendo el  diagnóstico de discapacidad. Manifiestan necesidad de cualificación respecto a la aplicación del Decreto 1421, a la fecha se encuentran en etapa de caracterización para formular su PIAR de año 2025, aunque en el aula se han realizado ajustes razonables a partir del Diagnóstico Pedagógico realizado, mientras se documenta lo correspondiente en el PIAR y se realizan los acuerdos con la familia.</v>
      </c>
      <c r="S1690" s="11" t="str">
        <f>IFERROR(IF(VLOOKUP(A1690,[12]PRIORIZADOS!$A:$S,19,FALSE)="","",VLOOKUP(A1690,[12]PRIORIZADOS!$A:$S,19,FALSE)),"")</f>
        <v>Teniendo en cuenta que la institución trabajará el documento PIAR de manera digital, se recomienda que el acta de acuerdos sea física y cuente con las respectivas firmas. Es importante que se utilicen los formatos del MEN, En aras de fortalecer los procesos de inclusión, se sugiere contar con una educadora especial que se articule con orientación y los docentes</v>
      </c>
      <c r="T1690" s="70" t="str">
        <f>IFERROR(IF(VLOOKUP(A1690,[12]PRIORIZADOS!$A:$T,20,FALSE)="","",VLOOKUP(A1690,[12]PRIORIZADOS!$A:$T,20,FALSE)),"")</f>
        <v>No</v>
      </c>
      <c r="U1690" s="11" t="str">
        <f>IFERROR(IF(VLOOKUP(A1690,[12]PRIORIZADOS!$A:$U,21,FALSE)="","",VLOOKUP(A1690,[12]PRIORIZADOS!$A:$U,21,FALSE)),"")</f>
        <v>En la próxima visita de verificarán las actividades desarrolladas por la institución con cada caso de inclusión por la institución educativa.</v>
      </c>
    </row>
    <row r="1691" spans="1:21" s="1" customFormat="1" ht="84">
      <c r="A1691" s="69">
        <f>IF([12]PRIORIZADOS!A21="","",[12]PRIORIZADOS!A21)</f>
        <v>1658</v>
      </c>
      <c r="B1691" s="70">
        <v>2</v>
      </c>
      <c r="C1691" s="11" t="str">
        <f>IFERROR(IF(VLOOKUP(A1691,[12]PRIORIZADOS!$A:$C,3,FALSE)="","",VLOOKUP(A1691,[12]PRIORIZADOS!$A:$C,3,FALSE)),"")</f>
        <v>SAN CRISTÓBAL</v>
      </c>
      <c r="D1691" s="11" t="str">
        <f>IFERROR(IF(VLOOKUP(A1691,[12]PRIORIZADOS!$A:$D,4,FALSE)="","",VLOOKUP(A1691,[12]PRIORIZADOS!$A:$D,4,FALSE)),"")</f>
        <v>PRIVADO</v>
      </c>
      <c r="E1691" s="11" t="str">
        <f>IFERROR(IF(VLOOKUP(A1691,[12]PRIORIZADOS!$A:$E,5,FALSE)="","",VLOOKUP(A1691,[12]PRIORIZADOS!$A:$E,5,FALSE)),"")</f>
        <v>EPBM</v>
      </c>
      <c r="F1691" s="11" t="str">
        <f>IFERROR(IF(VLOOKUP(A1691,[12]PRIORIZADOS!$A:$F,6,FALSE)="","",VLOOKUP(A1691,[12]PRIORIZADOS!$A:$F,6,FALSE)),"")</f>
        <v>COLEGIO_INTEGRAL_AVANCEMOS</v>
      </c>
      <c r="G1691" s="11" t="str">
        <f>IFERROR(IF(VLOOKUP(A1691,[12]PRIORIZADOS!$A:$G,7,FALSE)="","",VLOOKUP(A1691,[12]PRIORIZADOS!$A:$G,7,FALSE)),"")</f>
        <v>COLEGIO INTEGRAL AVANCEMOS</v>
      </c>
      <c r="H1691" s="11" t="str">
        <f>IFERROR(IF(VLOOKUP(A1691,[12]PRIORIZADOS!$A:$H,8,FALSE)="","",VLOOKUP(A1691,[12]PRIORIZADOS!$A:$H,8,FALSE)),"")</f>
        <v>Autoevaluación Institucional y Pruebas SABER 11</v>
      </c>
      <c r="I1691" s="11" t="str">
        <f>IFERROR(IF(VLOOKUP(A1691,[12]PRIORIZADOS!$A:$I,9,FALSE)="","",VLOOKUP(A1691,[12]PRIORIZADOS!$A:$I,9,FALSE)),"")</f>
        <v>EVALUACIÓN_CON_FINES_DE_MEJORAMIENTO.</v>
      </c>
      <c r="J1691" s="11" t="str">
        <f>IFERROR(IF(VLOOKUP(A1691,[12]PRIORIZADOS!$A:$J,10,FALSE)="","",VLOOKUP(A1691,[12]PRIORIZADOS!$A:$J,10,FALSE)),"")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691" s="11" t="str">
        <f>IFERROR(IF(VLOOKUP(A1691,[12]PRIORIZADOS!$A:$K,11,FALSE)="","",VLOOKUP(A1691,[12]PRIORIZADOS!$A:$K,11,FALSE)),"")</f>
        <v>JAIRO ANDRÉS ÁLVAREZ CHÁVEZ</v>
      </c>
      <c r="L1691" s="11" t="str">
        <f>IFERROR(IF(VLOOKUP(A1691,[12]PRIORIZADOS!$A:$L,12,FALSE)="","",VLOOKUP(A1691,[12]PRIORIZADOS!$A:$L,12,FALSE)),"")</f>
        <v>JOSÉ ASDRUBAL PÉREZ GIRALDO</v>
      </c>
      <c r="M1691" s="71">
        <f>IFERROR(IF(VLOOKUP(A1691,[12]PRIORIZADOS!$A:$M,13,FALSE)="","",VLOOKUP(A1691,[12]PRIORIZADOS!$A:$M,13,FALSE)),"")</f>
        <v>45723</v>
      </c>
      <c r="N1691" s="71">
        <f>IFERROR(IF(VLOOKUP(A1691,[12]PRIORIZADOS!$A:$N,14,FALSE)="","",VLOOKUP(A1691,[12]PRIORIZADOS!$A:$N,14,FALSE)),"")</f>
        <v>45723</v>
      </c>
      <c r="O1691" s="71">
        <f>IFERROR(IF(VLOOKUP(A1691,[12]PRIORIZADOS!$A:$O,15,FALSE)="","",VLOOKUP(A1691,[12]PRIORIZADOS!$A:$O,15,FALSE)),"")</f>
        <v>45723</v>
      </c>
      <c r="P1691" s="11" t="str">
        <f>IFERROR(IF(VLOOKUP(A1691,[12]PRIORIZADOS!$A:$P,16,FALSE)="","",VLOOKUP(A1691,[12]PRIORIZADOS!$A:$P,16,FALSE)),"")</f>
        <v>Visitas de evaluación con fines de mejoramiento</v>
      </c>
      <c r="Q1691" s="107" t="s">
        <v>378</v>
      </c>
      <c r="R1691" s="11" t="str">
        <f>IFERROR(IF(VLOOKUP(A1691,[12]PRIORIZADOS!$A:$R,18,FALSE)="","",VLOOKUP(A1691,[12]PRIORIZADOS!$A:$R,18,FALSE)),"")</f>
        <v>La IE refiere que se encuentran en proceso de actualización de los documentos</v>
      </c>
      <c r="S1691" s="11" t="str">
        <f>IFERROR(IF(VLOOKUP(A1691,[12]PRIORIZADOS!$A:$S,19,FALSE)="","",VLOOKUP(A1691,[12]PRIORIZADOS!$A:$S,19,FALSE)),"")</f>
        <v>Cargar los documentos en el formulario dispuesto por la DIV para tal fin.</v>
      </c>
      <c r="T1691" s="70" t="str">
        <f>IFERROR(IF(VLOOKUP(A1691,[12]PRIORIZADOS!$A:$T,20,FALSE)="","",VLOOKUP(A1691,[12]PRIORIZADOS!$A:$T,20,FALSE)),"")</f>
        <v>No</v>
      </c>
      <c r="U1691" s="11" t="str">
        <f>IFERROR(IF(VLOOKUP(A1691,[12]PRIORIZADOS!$A:$U,21,FALSE)="","",VLOOKUP(A1691,[12]PRIORIZADOS!$A:$U,21,FALSE)),"")</f>
        <v>Una vez recibida la información por parte de la DIV se procederá a verificar la pertinencia de los documentos.</v>
      </c>
    </row>
    <row r="1692" spans="1:21" s="1" customFormat="1" ht="48">
      <c r="A1692" s="69">
        <f>IF([12]PRIORIZADOS!A22="","",[12]PRIORIZADOS!A22)</f>
        <v>1659</v>
      </c>
      <c r="B1692" s="70">
        <v>2</v>
      </c>
      <c r="C1692" s="11" t="str">
        <f>IFERROR(IF(VLOOKUP(A1692,[12]PRIORIZADOS!$A:$C,3,FALSE)="","",VLOOKUP(A1692,[12]PRIORIZADOS!$A:$C,3,FALSE)),"")</f>
        <v>SAN CRISTÓBAL</v>
      </c>
      <c r="D1692" s="11" t="str">
        <f>IFERROR(IF(VLOOKUP(A1692,[12]PRIORIZADOS!$A:$D,4,FALSE)="","",VLOOKUP(A1692,[12]PRIORIZADOS!$A:$D,4,FALSE)),"")</f>
        <v>PRIVADO</v>
      </c>
      <c r="E1692" s="11" t="str">
        <f>IFERROR(IF(VLOOKUP(A1692,[12]PRIORIZADOS!$A:$E,5,FALSE)="","",VLOOKUP(A1692,[12]PRIORIZADOS!$A:$E,5,FALSE)),"")</f>
        <v>EPBM</v>
      </c>
      <c r="F1692" s="11" t="str">
        <f>IFERROR(IF(VLOOKUP(A1692,[12]PRIORIZADOS!$A:$F,6,FALSE)="","",VLOOKUP(A1692,[12]PRIORIZADOS!$A:$F,6,FALSE)),"")</f>
        <v>COLEGIO_INTEGRAL_AVANCEMOS</v>
      </c>
      <c r="G1692" s="11" t="str">
        <f>IFERROR(IF(VLOOKUP(A1692,[12]PRIORIZADOS!$A:$G,7,FALSE)="","",VLOOKUP(A1692,[12]PRIORIZADOS!$A:$G,7,FALSE)),"")</f>
        <v>COLEGIO INTEGRAL AVANCEMOS</v>
      </c>
      <c r="H1692" s="11" t="str">
        <f>IFERROR(IF(VLOOKUP(A1692,[12]PRIORIZADOS!$A:$H,8,FALSE)="","",VLOOKUP(A1692,[12]PRIORIZADOS!$A:$H,8,FALSE)),"")</f>
        <v>Autoevaluación Institucional y Pruebas SABER 11</v>
      </c>
      <c r="I1692" s="11" t="str">
        <f>IFERROR(IF(VLOOKUP(A1692,[12]PRIORIZADOS!$A:$I,9,FALSE)="","",VLOOKUP(A1692,[12]PRIORIZADOS!$A:$I,9,FALSE)),"")</f>
        <v>EVALUACIÓN_CON_FINES_DE_MEJORAMIENTO.</v>
      </c>
      <c r="J1692" s="11" t="str">
        <f>IFERROR(IF(VLOOKUP(A1692,[12]PRIORIZADOS!$A:$J,10,FALSE)="","",VLOOKUP(A1692,[12]PRIORIZADOS!$A:$J,10,FALSE)),"")</f>
        <v>Revisar la actualización, socialización e implementación del Sistema Institucional de Evaluación de Estudiantes - SIEE, en articulación con la actualización del PEI y la normatividad vigente.</v>
      </c>
      <c r="K1692" s="11" t="str">
        <f>IFERROR(IF(VLOOKUP(A1692,[12]PRIORIZADOS!$A:$K,11,FALSE)="","",VLOOKUP(A1692,[12]PRIORIZADOS!$A:$K,11,FALSE)),"")</f>
        <v>JAIRO ANDRÉS ÁLVAREZ CHÁVEZ</v>
      </c>
      <c r="L1692" s="11" t="str">
        <f>IFERROR(IF(VLOOKUP(A1692,[12]PRIORIZADOS!$A:$L,12,FALSE)="","",VLOOKUP(A1692,[12]PRIORIZADOS!$A:$L,12,FALSE)),"")</f>
        <v>JOSÉ ASDRUBAL PÉREZ GIRALDO</v>
      </c>
      <c r="M1692" s="71">
        <f>IFERROR(IF(VLOOKUP(A1692,[12]PRIORIZADOS!$A:$M,13,FALSE)="","",VLOOKUP(A1692,[12]PRIORIZADOS!$A:$M,13,FALSE)),"")</f>
        <v>45723</v>
      </c>
      <c r="N1692" s="71">
        <f>IFERROR(IF(VLOOKUP(A1692,[12]PRIORIZADOS!$A:$N,14,FALSE)="","",VLOOKUP(A1692,[12]PRIORIZADOS!$A:$N,14,FALSE)),"")</f>
        <v>45723</v>
      </c>
      <c r="O1692" s="71">
        <f>IFERROR(IF(VLOOKUP(A1692,[12]PRIORIZADOS!$A:$O,15,FALSE)="","",VLOOKUP(A1692,[12]PRIORIZADOS!$A:$O,15,FALSE)),"")</f>
        <v>45723</v>
      </c>
      <c r="P1692" s="11" t="str">
        <f>IFERROR(IF(VLOOKUP(A1692,[12]PRIORIZADOS!$A:$P,16,FALSE)="","",VLOOKUP(A1692,[12]PRIORIZADOS!$A:$P,16,FALSE)),"")</f>
        <v>Visitas de evaluación con fines de mejoramiento</v>
      </c>
      <c r="Q1692" s="107" t="s">
        <v>378</v>
      </c>
      <c r="R1692" s="11" t="str">
        <f>IFERROR(IF(VLOOKUP(A1692,[12]PRIORIZADOS!$A:$R,18,FALSE)="","",VLOOKUP(A1692,[12]PRIORIZADOS!$A:$R,18,FALSE)),"")</f>
        <v>La IE refiere que se encuentran en revision  documental en el proceso de actualización de los documentos</v>
      </c>
      <c r="S1692" s="11" t="str">
        <f>IFERROR(IF(VLOOKUP(A1692,[12]PRIORIZADOS!$A:$S,19,FALSE)="","",VLOOKUP(A1692,[12]PRIORIZADOS!$A:$S,19,FALSE)),"")</f>
        <v>Cargar los documentos en el formulario dispuesto por la DIV para tal fin.</v>
      </c>
      <c r="T1692" s="70" t="str">
        <f>IFERROR(IF(VLOOKUP(A1692,[12]PRIORIZADOS!$A:$T,20,FALSE)="","",VLOOKUP(A1692,[12]PRIORIZADOS!$A:$T,20,FALSE)),"")</f>
        <v>No</v>
      </c>
      <c r="U1692" s="11" t="str">
        <f>IFERROR(IF(VLOOKUP(A1692,[12]PRIORIZADOS!$A:$U,21,FALSE)="","",VLOOKUP(A1692,[12]PRIORIZADOS!$A:$U,21,FALSE)),"")</f>
        <v>Una vez recibida la información por parte de la DIV se procederá a verificar la pertinencia y actualizacion de los documentos.</v>
      </c>
    </row>
    <row r="1693" spans="1:21" s="1" customFormat="1" ht="48">
      <c r="A1693" s="69">
        <f>IF([12]PRIORIZADOS!A23="","",[12]PRIORIZADOS!A23)</f>
        <v>1660</v>
      </c>
      <c r="B1693" s="70">
        <v>2</v>
      </c>
      <c r="C1693" s="11" t="str">
        <f>IFERROR(IF(VLOOKUP(A1693,[12]PRIORIZADOS!$A:$C,3,FALSE)="","",VLOOKUP(A1693,[12]PRIORIZADOS!$A:$C,3,FALSE)),"")</f>
        <v>SAN CRISTÓBAL</v>
      </c>
      <c r="D1693" s="11" t="str">
        <f>IFERROR(IF(VLOOKUP(A1693,[12]PRIORIZADOS!$A:$D,4,FALSE)="","",VLOOKUP(A1693,[12]PRIORIZADOS!$A:$D,4,FALSE)),"")</f>
        <v>PRIVADO</v>
      </c>
      <c r="E1693" s="11" t="str">
        <f>IFERROR(IF(VLOOKUP(A1693,[12]PRIORIZADOS!$A:$E,5,FALSE)="","",VLOOKUP(A1693,[12]PRIORIZADOS!$A:$E,5,FALSE)),"")</f>
        <v>EPBM</v>
      </c>
      <c r="F1693" s="11" t="str">
        <f>IFERROR(IF(VLOOKUP(A1693,[12]PRIORIZADOS!$A:$F,6,FALSE)="","",VLOOKUP(A1693,[12]PRIORIZADOS!$A:$F,6,FALSE)),"")</f>
        <v>COLEGIO_INTEGRAL_AVANCEMOS</v>
      </c>
      <c r="G1693" s="11" t="str">
        <f>IFERROR(IF(VLOOKUP(A1693,[12]PRIORIZADOS!$A:$G,7,FALSE)="","",VLOOKUP(A1693,[12]PRIORIZADOS!$A:$G,7,FALSE)),"")</f>
        <v>COLEGIO INTEGRAL AVANCEMOS</v>
      </c>
      <c r="H1693" s="11" t="str">
        <f>IFERROR(IF(VLOOKUP(A1693,[12]PRIORIZADOS!$A:$H,8,FALSE)="","",VLOOKUP(A1693,[12]PRIORIZADOS!$A:$H,8,FALSE)),"")</f>
        <v>Autoevaluación Institucional y Pruebas SABER 11</v>
      </c>
      <c r="I1693" s="11" t="str">
        <f>IFERROR(IF(VLOOKUP(A1693,[12]PRIORIZADOS!$A:$I,9,FALSE)="","",VLOOKUP(A1693,[12]PRIORIZADOS!$A:$I,9,FALSE)),"")</f>
        <v>EVALUACIÓN_CON_FINES_DE_MEJORAMIENTO.</v>
      </c>
      <c r="J1693" s="11" t="str">
        <f>IFERROR(IF(VLOOKUP(A1693,[12]PRIORIZADOS!$A:$J,10,FALSE)="","",VLOOKUP(A1693,[12]PRIORIZADOS!$A:$J,10,FALSE)),"")</f>
        <v>Revisar el calendario escolar, jornada escolar, la intensidad horaria mínima anual en cada nivel y las modificaciones que se realicen al mismo, de acuerdo con lo previsto en la normatividad vigente.</v>
      </c>
      <c r="K1693" s="11" t="str">
        <f>IFERROR(IF(VLOOKUP(A1693,[12]PRIORIZADOS!$A:$K,11,FALSE)="","",VLOOKUP(A1693,[12]PRIORIZADOS!$A:$K,11,FALSE)),"")</f>
        <v>JAIRO ANDRÉS ÁLVAREZ CHÁVEZ</v>
      </c>
      <c r="L1693" s="11" t="str">
        <f>IFERROR(IF(VLOOKUP(A1693,[12]PRIORIZADOS!$A:$L,12,FALSE)="","",VLOOKUP(A1693,[12]PRIORIZADOS!$A:$L,12,FALSE)),"")</f>
        <v>JOSÉ ASDRUBAL PÉREZ GIRALDO</v>
      </c>
      <c r="M1693" s="71">
        <f>IFERROR(IF(VLOOKUP(A1693,[12]PRIORIZADOS!$A:$M,13,FALSE)="","",VLOOKUP(A1693,[12]PRIORIZADOS!$A:$M,13,FALSE)),"")</f>
        <v>45723</v>
      </c>
      <c r="N1693" s="71">
        <f>IFERROR(IF(VLOOKUP(A1693,[12]PRIORIZADOS!$A:$N,14,FALSE)="","",VLOOKUP(A1693,[12]PRIORIZADOS!$A:$N,14,FALSE)),"")</f>
        <v>45723</v>
      </c>
      <c r="O1693" s="71">
        <f>IFERROR(IF(VLOOKUP(A1693,[12]PRIORIZADOS!$A:$O,15,FALSE)="","",VLOOKUP(A1693,[12]PRIORIZADOS!$A:$O,15,FALSE)),"")</f>
        <v>45723</v>
      </c>
      <c r="P1693" s="11" t="str">
        <f>IFERROR(IF(VLOOKUP(A1693,[12]PRIORIZADOS!$A:$P,16,FALSE)="","",VLOOKUP(A1693,[12]PRIORIZADOS!$A:$P,16,FALSE)),"")</f>
        <v>Visitas de evaluación con fines de mejoramiento</v>
      </c>
      <c r="Q1693" s="107" t="s">
        <v>379</v>
      </c>
      <c r="R1693" s="11" t="str">
        <f>IFERROR(IF(VLOOKUP(A1693,[12]PRIORIZADOS!$A:$R,18,FALSE)="","",VLOOKUP(A1693,[12]PRIORIZADOS!$A:$R,18,FALSE)),"")</f>
        <v>Se evidencia que hace falta registrar el horario de ingreso diario de preescolar, básica primaria, secundaria y media.</v>
      </c>
      <c r="S1693" s="11" t="str">
        <f>IFERROR(IF(VLOOKUP(A1693,[12]PRIORIZADOS!$A:$S,19,FALSE)="","",VLOOKUP(A1693,[12]PRIORIZADOS!$A:$S,19,FALSE)),"")</f>
        <v>Se solicita realizar el ajuste para poder hacer el conteo de las horas reglamentarias por ciclo.</v>
      </c>
      <c r="T1693" s="70" t="str">
        <f>IFERROR(IF(VLOOKUP(A1693,[12]PRIORIZADOS!$A:$T,20,FALSE)="","",VLOOKUP(A1693,[12]PRIORIZADOS!$A:$T,20,FALSE)),"")</f>
        <v>Si</v>
      </c>
      <c r="U1693" s="11" t="str">
        <f>IFERROR(IF(VLOOKUP(A1693,[12]PRIORIZADOS!$A:$U,21,FALSE)="","",VLOOKUP(A1693,[12]PRIORIZADOS!$A:$U,21,FALSE)),"")</f>
        <v>Una vez la IE realice el ajuste, se revisará el cumplimiento de las horas reglamentarias.</v>
      </c>
    </row>
    <row r="1694" spans="1:21" s="1" customFormat="1" ht="72">
      <c r="A1694" s="69">
        <f>IF([12]PRIORIZADOS!A24="","",[12]PRIORIZADOS!A24)</f>
        <v>1661</v>
      </c>
      <c r="B1694" s="70">
        <v>2</v>
      </c>
      <c r="C1694" s="11" t="str">
        <f>IFERROR(IF(VLOOKUP(A1694,[12]PRIORIZADOS!$A:$C,3,FALSE)="","",VLOOKUP(A1694,[12]PRIORIZADOS!$A:$C,3,FALSE)),"")</f>
        <v>SAN CRISTÓBAL</v>
      </c>
      <c r="D1694" s="11" t="str">
        <f>IFERROR(IF(VLOOKUP(A1694,[12]PRIORIZADOS!$A:$D,4,FALSE)="","",VLOOKUP(A1694,[12]PRIORIZADOS!$A:$D,4,FALSE)),"")</f>
        <v>PRIVADO</v>
      </c>
      <c r="E1694" s="11" t="str">
        <f>IFERROR(IF(VLOOKUP(A1694,[12]PRIORIZADOS!$A:$E,5,FALSE)="","",VLOOKUP(A1694,[12]PRIORIZADOS!$A:$E,5,FALSE)),"")</f>
        <v>EPBM</v>
      </c>
      <c r="F1694" s="11" t="str">
        <f>IFERROR(IF(VLOOKUP(A1694,[12]PRIORIZADOS!$A:$F,6,FALSE)="","",VLOOKUP(A1694,[12]PRIORIZADOS!$A:$F,6,FALSE)),"")</f>
        <v>COLEGIO_INTEGRAL_AVANCEMOS</v>
      </c>
      <c r="G1694" s="11" t="str">
        <f>IFERROR(IF(VLOOKUP(A1694,[12]PRIORIZADOS!$A:$G,7,FALSE)="","",VLOOKUP(A1694,[12]PRIORIZADOS!$A:$G,7,FALSE)),"")</f>
        <v>COLEGIO INTEGRAL AVANCEMOS</v>
      </c>
      <c r="H1694" s="11" t="str">
        <f>IFERROR(IF(VLOOKUP(A1694,[12]PRIORIZADOS!$A:$H,8,FALSE)="","",VLOOKUP(A1694,[12]PRIORIZADOS!$A:$H,8,FALSE)),"")</f>
        <v>Autoevaluación Institucional y Pruebas SABER 11</v>
      </c>
      <c r="I1694" s="11" t="str">
        <f>IFERROR(IF(VLOOKUP(A1694,[12]PRIORIZADOS!$A:$I,9,FALSE)="","",VLOOKUP(A1694,[12]PRIORIZADOS!$A:$I,9,FALSE)),"")</f>
        <v>EVALUACIÓN_CON_FINES_DE_MEJORAMIENTO.</v>
      </c>
      <c r="J1694" s="11" t="str">
        <f>IFERROR(IF(VLOOKUP(A1694,[12]PRIORIZADOS!$A:$J,10,FALSE)="","",VLOOKUP(A1694,[12]PRIORIZADOS!$A:$J,10,FALSE)),"")</f>
        <v>Verificar el funcionamiento del Gobierno Escolar e instancias de participación con base en la información sobre conformación reportada por la institución educativa.</v>
      </c>
      <c r="K1694" s="11" t="str">
        <f>IFERROR(IF(VLOOKUP(A1694,[12]PRIORIZADOS!$A:$K,11,FALSE)="","",VLOOKUP(A1694,[12]PRIORIZADOS!$A:$K,11,FALSE)),"")</f>
        <v>JAIRO ANDRÉS ÁLVAREZ CHÁVEZ</v>
      </c>
      <c r="L1694" s="11" t="str">
        <f>IFERROR(IF(VLOOKUP(A1694,[12]PRIORIZADOS!$A:$L,12,FALSE)="","",VLOOKUP(A1694,[12]PRIORIZADOS!$A:$L,12,FALSE)),"")</f>
        <v>JOSÉ ASDRUBAL PÉREZ GIRALDO</v>
      </c>
      <c r="M1694" s="71">
        <f>IFERROR(IF(VLOOKUP(A1694,[12]PRIORIZADOS!$A:$M,13,FALSE)="","",VLOOKUP(A1694,[12]PRIORIZADOS!$A:$M,13,FALSE)),"")</f>
        <v>45723</v>
      </c>
      <c r="N1694" s="71">
        <f>IFERROR(IF(VLOOKUP(A1694,[12]PRIORIZADOS!$A:$N,14,FALSE)="","",VLOOKUP(A1694,[12]PRIORIZADOS!$A:$N,14,FALSE)),"")</f>
        <v>45723</v>
      </c>
      <c r="O1694" s="71">
        <f>IFERROR(IF(VLOOKUP(A1694,[12]PRIORIZADOS!$A:$O,15,FALSE)="","",VLOOKUP(A1694,[12]PRIORIZADOS!$A:$O,15,FALSE)),"")</f>
        <v>45723</v>
      </c>
      <c r="P1694" s="11" t="str">
        <f>IFERROR(IF(VLOOKUP(A1694,[12]PRIORIZADOS!$A:$P,16,FALSE)="","",VLOOKUP(A1694,[12]PRIORIZADOS!$A:$P,16,FALSE)),"")</f>
        <v>Visitas de evaluación con fines de mejoramiento</v>
      </c>
      <c r="Q1694" s="107" t="s">
        <v>378</v>
      </c>
      <c r="R1694" s="11" t="str">
        <f>IFERROR(IF(VLOOKUP(A1694,[12]PRIORIZADOS!$A:$R,18,FALSE)="","",VLOOKUP(A1694,[12]PRIORIZADOS!$A:$R,18,FALSE)),"")</f>
        <v>Se constatan actas de las elección de representes estudiantiles Personero, Contralor y Cabildante.  Se encuentra registro de Gobierno escolar (Consejo Directivo, Consejo Académico y Comité de Convivencia Escolar).</v>
      </c>
      <c r="S1694" s="11" t="str">
        <f>IFERROR(IF(VLOOKUP(A1694,[12]PRIORIZADOS!$A:$S,19,FALSE)="","",VLOOKUP(A1694,[12]PRIORIZADOS!$A:$S,19,FALSE)),"")</f>
        <v>Se hará posterior verificación en el SAE</v>
      </c>
      <c r="T1694" s="70" t="str">
        <f>IFERROR(IF(VLOOKUP(A1694,[12]PRIORIZADOS!$A:$T,20,FALSE)="","",VLOOKUP(A1694,[12]PRIORIZADOS!$A:$T,20,FALSE)),"")</f>
        <v>No</v>
      </c>
      <c r="U1694" s="11" t="str">
        <f>IFERROR(IF(VLOOKUP(A1694,[12]PRIORIZADOS!$A:$U,21,FALSE)="","",VLOOKUP(A1694,[12]PRIORIZADOS!$A:$U,21,FALSE)),"")</f>
        <v>Una vez recibida la información por parte de la IE se procederá a verificar las actualización en los documentos.</v>
      </c>
    </row>
    <row r="1695" spans="1:21" s="1" customFormat="1" ht="48">
      <c r="A1695" s="69">
        <f>IF([12]PRIORIZADOS!A25="","",[12]PRIORIZADOS!A25)</f>
        <v>1662</v>
      </c>
      <c r="B1695" s="70">
        <v>2</v>
      </c>
      <c r="C1695" s="11" t="str">
        <f>IFERROR(IF(VLOOKUP(A1695,[12]PRIORIZADOS!$A:$C,3,FALSE)="","",VLOOKUP(A1695,[12]PRIORIZADOS!$A:$C,3,FALSE)),"")</f>
        <v>SAN CRISTÓBAL</v>
      </c>
      <c r="D1695" s="11" t="str">
        <f>IFERROR(IF(VLOOKUP(A1695,[12]PRIORIZADOS!$A:$D,4,FALSE)="","",VLOOKUP(A1695,[12]PRIORIZADOS!$A:$D,4,FALSE)),"")</f>
        <v>PRIVADO</v>
      </c>
      <c r="E1695" s="11" t="str">
        <f>IFERROR(IF(VLOOKUP(A1695,[12]PRIORIZADOS!$A:$E,5,FALSE)="","",VLOOKUP(A1695,[12]PRIORIZADOS!$A:$E,5,FALSE)),"")</f>
        <v>EPBM</v>
      </c>
      <c r="F1695" s="11" t="str">
        <f>IFERROR(IF(VLOOKUP(A1695,[12]PRIORIZADOS!$A:$F,6,FALSE)="","",VLOOKUP(A1695,[12]PRIORIZADOS!$A:$F,6,FALSE)),"")</f>
        <v>COLEGIO_INTEGRAL_AVANCEMOS</v>
      </c>
      <c r="G1695" s="11" t="str">
        <f>IFERROR(IF(VLOOKUP(A1695,[12]PRIORIZADOS!$A:$G,7,FALSE)="","",VLOOKUP(A1695,[12]PRIORIZADOS!$A:$G,7,FALSE)),"")</f>
        <v>COLEGIO INTEGRAL AVANCEMOS</v>
      </c>
      <c r="H1695" s="11" t="str">
        <f>IFERROR(IF(VLOOKUP(A1695,[12]PRIORIZADOS!$A:$H,8,FALSE)="","",VLOOKUP(A1695,[12]PRIORIZADOS!$A:$H,8,FALSE)),"")</f>
        <v>Autoevaluación Institucional y Pruebas SABER 11</v>
      </c>
      <c r="I1695" s="11" t="str">
        <f>IFERROR(IF(VLOOKUP(A1695,[12]PRIORIZADOS!$A:$I,9,FALSE)="","",VLOOKUP(A1695,[12]PRIORIZADOS!$A:$I,9,FALSE)),"")</f>
        <v>EVALUACIÓN_CON_FINES_DE_MEJORAMIENTO.</v>
      </c>
      <c r="J1695" s="11" t="str">
        <f>IFERROR(IF(VLOOKUP(A1695,[12]PRIORIZADOS!$A:$J,10,FALSE)="","",VLOOKUP(A1695,[12]PRIORIZADOS!$A:$J,10,FALSE)),"")</f>
        <v>Verificar las condiciones en cuanto a: la estructura administrativa, condiciones de la planta física y medios educativos adecuados.</v>
      </c>
      <c r="K1695" s="11" t="str">
        <f>IFERROR(IF(VLOOKUP(A1695,[12]PRIORIZADOS!$A:$K,11,FALSE)="","",VLOOKUP(A1695,[12]PRIORIZADOS!$A:$K,11,FALSE)),"")</f>
        <v>JAIRO ANDRÉS ÁLVAREZ CHÁVEZ</v>
      </c>
      <c r="L1695" s="11" t="str">
        <f>IFERROR(IF(VLOOKUP(A1695,[12]PRIORIZADOS!$A:$L,12,FALSE)="","",VLOOKUP(A1695,[12]PRIORIZADOS!$A:$L,12,FALSE)),"")</f>
        <v>JOSÉ ASDRUBAL PÉREZ GIRALDO</v>
      </c>
      <c r="M1695" s="71">
        <f>IFERROR(IF(VLOOKUP(A1695,[12]PRIORIZADOS!$A:$M,13,FALSE)="","",VLOOKUP(A1695,[12]PRIORIZADOS!$A:$M,13,FALSE)),"")</f>
        <v>45723</v>
      </c>
      <c r="N1695" s="71">
        <f>IFERROR(IF(VLOOKUP(A1695,[12]PRIORIZADOS!$A:$N,14,FALSE)="","",VLOOKUP(A1695,[12]PRIORIZADOS!$A:$N,14,FALSE)),"")</f>
        <v>45723</v>
      </c>
      <c r="O1695" s="71">
        <f>IFERROR(IF(VLOOKUP(A1695,[12]PRIORIZADOS!$A:$O,15,FALSE)="","",VLOOKUP(A1695,[12]PRIORIZADOS!$A:$O,15,FALSE)),"")</f>
        <v>45723</v>
      </c>
      <c r="P1695" s="11" t="str">
        <f>IFERROR(IF(VLOOKUP(A1695,[12]PRIORIZADOS!$A:$P,16,FALSE)="","",VLOOKUP(A1695,[12]PRIORIZADOS!$A:$P,16,FALSE)),"")</f>
        <v>Visitas de evaluación con fines de mejoramiento</v>
      </c>
      <c r="Q1695" s="107" t="s">
        <v>378</v>
      </c>
      <c r="R1695" s="11" t="str">
        <f>IFERROR(IF(VLOOKUP(A1695,[12]PRIORIZADOS!$A:$R,18,FALSE)="","",VLOOKUP(A1695,[12]PRIORIZADOS!$A:$R,18,FALSE)),"")</f>
        <v>Se verifica y se constata Acta de Visita de Secretaría de Salud No. SB06E 705234 del 13/02/2025, la cual registra concepto Favorables con Requerimientos;</v>
      </c>
      <c r="S1695" s="11" t="str">
        <f>IFERROR(IF(VLOOKUP(A1695,[12]PRIORIZADOS!$A:$S,19,FALSE)="","",VLOOKUP(A1695,[12]PRIORIZADOS!$A:$S,19,FALSE)),"")</f>
        <v>En el recorrido se verifica el cumplimiento de los requerimientos.</v>
      </c>
      <c r="T1695" s="70" t="str">
        <f>IFERROR(IF(VLOOKUP(A1695,[12]PRIORIZADOS!$A:$T,20,FALSE)="","",VLOOKUP(A1695,[12]PRIORIZADOS!$A:$T,20,FALSE)),"")</f>
        <v>No</v>
      </c>
      <c r="U1695" s="11" t="str">
        <f>IFERROR(IF(VLOOKUP(A1695,[12]PRIORIZADOS!$A:$U,21,FALSE)="","",VLOOKUP(A1695,[12]PRIORIZADOS!$A:$U,21,FALSE)),"")</f>
        <v>Se hará verificación en caso de presentarse requerimiento</v>
      </c>
    </row>
    <row r="1696" spans="1:21" s="1" customFormat="1" ht="36">
      <c r="A1696" s="69">
        <f>IF([12]PRIORIZADOS!A26="","",[12]PRIORIZADOS!A26)</f>
        <v>1663</v>
      </c>
      <c r="B1696" s="70">
        <f>IFERROR(IF(VLOOKUP(A1696,[12]PRIORIZADOS!$A:$B,2,FALSE)="","",VLOOKUP(A1696,[12]PRIORIZADOS!$A:$B,2,FALSE)),"")</f>
        <v>3</v>
      </c>
      <c r="C1696" s="11" t="str">
        <f>IFERROR(IF(VLOOKUP(A1696,[12]PRIORIZADOS!$A:$C,3,FALSE)="","",VLOOKUP(A1696,[12]PRIORIZADOS!$A:$C,3,FALSE)),"")</f>
        <v>SAN CRISTÓBAL</v>
      </c>
      <c r="D1696" s="11" t="str">
        <f>IFERROR(IF(VLOOKUP(A1696,[12]PRIORIZADOS!$A:$D,4,FALSE)="","",VLOOKUP(A1696,[12]PRIORIZADOS!$A:$D,4,FALSE)),"")</f>
        <v>PRIVADO</v>
      </c>
      <c r="E1696" s="11" t="str">
        <f>IFERROR(IF(VLOOKUP(A1696,[12]PRIORIZADOS!$A:$E,5,FALSE)="","",VLOOKUP(A1696,[12]PRIORIZADOS!$A:$E,5,FALSE)),"")</f>
        <v>EPBM</v>
      </c>
      <c r="F1696" s="11" t="str">
        <f>IFERROR(IF(VLOOKUP(A1696,[12]PRIORIZADOS!$A:$F,6,FALSE)="","",VLOOKUP(A1696,[12]PRIORIZADOS!$A:$F,6,FALSE)),"")</f>
        <v>COLEGIO_ISAAC_NEWTON</v>
      </c>
      <c r="G1696" s="11" t="str">
        <f>IFERROR(IF(VLOOKUP(A1696,[12]PRIORIZADOS!$A:$G,7,FALSE)="","",VLOOKUP(A1696,[12]PRIORIZADOS!$A:$G,7,FALSE)),"")</f>
        <v>COLEGIO ISAAC NEWTON</v>
      </c>
      <c r="H1696" s="11" t="str">
        <f>IFERROR(IF(VLOOKUP(A1696,[12]PRIORIZADOS!$A:$H,8,FALSE)="","",VLOOKUP(A1696,[12]PRIORIZADOS!$A:$H,8,FALSE)),"")</f>
        <v>Autoevaluación Institucional y Pruebas SABER 11</v>
      </c>
      <c r="I1696" s="11" t="str">
        <f>IFERROR(IF(VLOOKUP(A1696,[12]PRIORIZADOS!$A:$I,9,FALSE)="","",VLOOKUP(A1696,[12]PRIORIZADOS!$A:$I,9,FALSE)),"")</f>
        <v>SEGUIMIENTO_Y_SUPERVISIÓN.</v>
      </c>
      <c r="J1696" s="11" t="str">
        <f>IFERROR(IF(VLOOKUP(A1696,[12]PRIORIZADOS!$A:$J,10,FALSE)="","",VLOOKUP(A1696,[12]PRIORIZADOS!$A:$J,10,FALSE)),"")</f>
        <v>Realizar visitas para verificar la información registrada sobre la autoevaluación institucional en el aplicativo EVI, a los establecimientos de educación formal no oficial.</v>
      </c>
      <c r="K1696" s="11" t="str">
        <f>IFERROR(IF(VLOOKUP(A1696,[12]PRIORIZADOS!$A:$K,11,FALSE)="","",VLOOKUP(A1696,[12]PRIORIZADOS!$A:$K,11,FALSE)),"")</f>
        <v>JUANITA LINA CAROLINA RAMÍREZ LÓPEZ</v>
      </c>
      <c r="L1696" s="11" t="str">
        <f>IFERROR(IF(VLOOKUP(A1696,[12]PRIORIZADOS!$A:$L,12,FALSE)="","",VLOOKUP(A1696,[12]PRIORIZADOS!$A:$L,12,FALSE)),"")</f>
        <v>XIMENA CAROLINA RAMÍREZ MORALES</v>
      </c>
      <c r="M1696" s="71">
        <f>IFERROR(IF(VLOOKUP(A1696,[12]PRIORIZADOS!$A:$M,13,FALSE)="","",VLOOKUP(A1696,[12]PRIORIZADOS!$A:$M,13,FALSE)),"")</f>
        <v>45758</v>
      </c>
      <c r="N1696" s="71">
        <f>IFERROR(IF(VLOOKUP(A1696,[12]PRIORIZADOS!$A:$N,14,FALSE)="","",VLOOKUP(A1696,[12]PRIORIZADOS!$A:$N,14,FALSE)),"")</f>
        <v>45751</v>
      </c>
      <c r="O1696" s="71">
        <f>IFERROR(IF(VLOOKUP(A1696,[12]PRIORIZADOS!$A:$O,15,FALSE)="","",VLOOKUP(A1696,[12]PRIORIZADOS!$A:$O,15,FALSE)),"")</f>
        <v>45758</v>
      </c>
      <c r="P1696" s="11" t="str">
        <f>IFERROR(IF(VLOOKUP(A1696,[12]PRIORIZADOS!$A:$P,16,FALSE)="","",VLOOKUP(A1696,[12]PRIORIZADOS!$A:$P,16,FALSE)),"")</f>
        <v>Visitas de evaluación con fines de mejoramiento</v>
      </c>
      <c r="Q1696" s="107" t="s">
        <v>380</v>
      </c>
      <c r="R1696" s="11" t="str">
        <f>IFERROR(IF(VLOOKUP(A1696,[12]PRIORIZADOS!$A:$R,18,FALSE)="","",VLOOKUP(A1696,[12]PRIORIZADOS!$A:$R,18,FALSE)),"")</f>
        <v xml:space="preserve">La IE tiene publicada la resolución de costos. </v>
      </c>
      <c r="S1696" s="11" t="str">
        <f>IFERROR(IF(VLOOKUP(A1696,[12]PRIORIZADOS!$A:$S,19,FALSE)="","",VLOOKUP(A1696,[12]PRIORIZADOS!$A:$S,19,FALSE)),"")</f>
        <v>Se evidencia que la IE cobra en todos los grados por debajo de lo autorizado.</v>
      </c>
      <c r="T1696" s="70" t="str">
        <f>IFERROR(IF(VLOOKUP(A1696,[12]PRIORIZADOS!$A:$T,20,FALSE)="","",VLOOKUP(A1696,[12]PRIORIZADOS!$A:$T,20,FALSE)),"")</f>
        <v>No</v>
      </c>
      <c r="U1696" s="11" t="str">
        <f>IFERROR(IF(VLOOKUP(A1696,[12]PRIORIZADOS!$A:$U,21,FALSE)="","",VLOOKUP(A1696,[12]PRIORIZADOS!$A:$U,21,FALSE)),"")</f>
        <v>Se hará verificación en caso de presentarse requerimiento</v>
      </c>
    </row>
    <row r="1697" spans="1:21" s="1" customFormat="1" ht="60">
      <c r="A1697" s="69">
        <f>IF([12]PRIORIZADOS!A27="","",[12]PRIORIZADOS!A27)</f>
        <v>1664</v>
      </c>
      <c r="B1697" s="70">
        <v>3</v>
      </c>
      <c r="C1697" s="11" t="str">
        <f>IFERROR(IF(VLOOKUP(A1697,[12]PRIORIZADOS!$A:$C,3,FALSE)="","",VLOOKUP(A1697,[12]PRIORIZADOS!$A:$C,3,FALSE)),"")</f>
        <v>SAN CRISTÓBAL</v>
      </c>
      <c r="D1697" s="11" t="str">
        <f>IFERROR(IF(VLOOKUP(A1697,[12]PRIORIZADOS!$A:$D,4,FALSE)="","",VLOOKUP(A1697,[12]PRIORIZADOS!$A:$D,4,FALSE)),"")</f>
        <v>PRIVADO</v>
      </c>
      <c r="E1697" s="11" t="str">
        <f>IFERROR(IF(VLOOKUP(A1697,[12]PRIORIZADOS!$A:$E,5,FALSE)="","",VLOOKUP(A1697,[12]PRIORIZADOS!$A:$E,5,FALSE)),"")</f>
        <v>EPBM</v>
      </c>
      <c r="F1697" s="11" t="str">
        <f>IFERROR(IF(VLOOKUP(A1697,[12]PRIORIZADOS!$A:$F,6,FALSE)="","",VLOOKUP(A1697,[12]PRIORIZADOS!$A:$F,6,FALSE)),"")</f>
        <v>COLEGIO_ISAAC_NEWTON</v>
      </c>
      <c r="G1697" s="11" t="str">
        <f>IFERROR(IF(VLOOKUP(A1697,[12]PRIORIZADOS!$A:$G,7,FALSE)="","",VLOOKUP(A1697,[12]PRIORIZADOS!$A:$G,7,FALSE)),"")</f>
        <v>COLEGIO ISAAC NEWTON</v>
      </c>
      <c r="H1697" s="11" t="str">
        <f>IFERROR(IF(VLOOKUP(A1697,[12]PRIORIZADOS!$A:$H,8,FALSE)="","",VLOOKUP(A1697,[12]PRIORIZADOS!$A:$H,8,FALSE)),"")</f>
        <v>Autoevaluación Institucional y Pruebas SABER 11</v>
      </c>
      <c r="I1697" s="11" t="str">
        <f>IFERROR(IF(VLOOKUP(A1697,[12]PRIORIZADOS!$A:$I,9,FALSE)="","",VLOOKUP(A1697,[12]PRIORIZADOS!$A:$I,9,FALSE)),"")</f>
        <v>SEGUIMIENTO_Y_SUPERVISIÓN.</v>
      </c>
      <c r="J1697" s="11" t="str">
        <f>IFERROR(IF(VLOOKUP(A1697,[12]PRIORIZADOS!$A:$J,10,FALSE)="","",VLOOKUP(A1697,[12]PRIORIZADOS!$A:$J,10,FALSE)),"")</f>
        <v>Proponer estrategias en la formulación, verificar su elaboración y realizar seguimiento semestral al desarrollo de  las acciones establecidas en los planes de mejoramiento por pruebas SABER 11 de los establecimientos de educación formal.</v>
      </c>
      <c r="K1697" s="11" t="str">
        <f>IFERROR(IF(VLOOKUP(A1697,[12]PRIORIZADOS!$A:$K,11,FALSE)="","",VLOOKUP(A1697,[12]PRIORIZADOS!$A:$K,11,FALSE)),"")</f>
        <v>JUANITA LINA CAROLINA RAMÍREZ LÓPEZ</v>
      </c>
      <c r="L1697" s="11" t="str">
        <f>IFERROR(IF(VLOOKUP(A1697,[12]PRIORIZADOS!$A:$L,12,FALSE)="","",VLOOKUP(A1697,[12]PRIORIZADOS!$A:$L,12,FALSE)),"")</f>
        <v>XIMENA CAROLINA RAMÍREZ MORALES</v>
      </c>
      <c r="M1697" s="71">
        <f>IFERROR(IF(VLOOKUP(A1697,[12]PRIORIZADOS!$A:$M,13,FALSE)="","",VLOOKUP(A1697,[12]PRIORIZADOS!$A:$M,13,FALSE)),"")</f>
        <v>45758</v>
      </c>
      <c r="N1697" s="71">
        <f>IFERROR(IF(VLOOKUP(A1697,[12]PRIORIZADOS!$A:$N,14,FALSE)="","",VLOOKUP(A1697,[12]PRIORIZADOS!$A:$N,14,FALSE)),"")</f>
        <v>45758</v>
      </c>
      <c r="O1697" s="71">
        <f>IFERROR(IF(VLOOKUP(A1697,[12]PRIORIZADOS!$A:$O,15,FALSE)="","",VLOOKUP(A1697,[12]PRIORIZADOS!$A:$O,15,FALSE)),"")</f>
        <v>45758</v>
      </c>
      <c r="P1697" s="11" t="str">
        <f>IFERROR(IF(VLOOKUP(A1697,[12]PRIORIZADOS!$A:$P,16,FALSE)="","",VLOOKUP(A1697,[12]PRIORIZADOS!$A:$P,16,FALSE)),"")</f>
        <v>Visitas de evaluación con fines de mejoramiento</v>
      </c>
      <c r="Q1697" s="107" t="s">
        <v>380</v>
      </c>
      <c r="R1697" s="11" t="str">
        <f>IFERROR(IF(VLOOKUP(A1697,[12]PRIORIZADOS!$A:$R,18,FALSE)="","",VLOOKUP(A1697,[12]PRIORIZADOS!$A:$R,18,FALSE)),"")</f>
        <v>Refieren que los sábados se lleva a cabo un precies de carácter voluntario</v>
      </c>
      <c r="S1697" s="11" t="str">
        <f>IFERROR(IF(VLOOKUP(A1697,[12]PRIORIZADOS!$A:$S,19,FALSE)="","",VLOOKUP(A1697,[12]PRIORIZADOS!$A:$S,19,FALSE)),"")</f>
        <v xml:space="preserve">Realizar el análisis de los resultados obtenidos en las pruebas saber 11 con el fin de establecer acciones de mejora pertinentes. </v>
      </c>
      <c r="T1697" s="70" t="str">
        <f>IFERROR(IF(VLOOKUP(A1697,[12]PRIORIZADOS!$A:$T,20,FALSE)="","",VLOOKUP(A1697,[12]PRIORIZADOS!$A:$T,20,FALSE)),"")</f>
        <v>Si</v>
      </c>
      <c r="U1697" s="11" t="str">
        <f>IFERROR(IF(VLOOKUP(A1697,[12]PRIORIZADOS!$A:$U,21,FALSE)="","",VLOOKUP(A1697,[12]PRIORIZADOS!$A:$U,21,FALSE)),"")</f>
        <v>En próxima visita se verificará el diseño e implementación de acciones de mejora.</v>
      </c>
    </row>
    <row r="1698" spans="1:21" s="1" customFormat="1" ht="48">
      <c r="A1698" s="69">
        <f>IF([12]PRIORIZADOS!A28="","",[12]PRIORIZADOS!A28)</f>
        <v>1665</v>
      </c>
      <c r="B1698" s="70">
        <v>3</v>
      </c>
      <c r="C1698" s="11" t="str">
        <f>IFERROR(IF(VLOOKUP(A1698,[12]PRIORIZADOS!$A:$C,3,FALSE)="","",VLOOKUP(A1698,[12]PRIORIZADOS!$A:$C,3,FALSE)),"")</f>
        <v>SAN CRISTÓBAL</v>
      </c>
      <c r="D1698" s="11" t="str">
        <f>IFERROR(IF(VLOOKUP(A1698,[12]PRIORIZADOS!$A:$D,4,FALSE)="","",VLOOKUP(A1698,[12]PRIORIZADOS!$A:$D,4,FALSE)),"")</f>
        <v>PRIVADO</v>
      </c>
      <c r="E1698" s="11" t="str">
        <f>IFERROR(IF(VLOOKUP(A1698,[12]PRIORIZADOS!$A:$E,5,FALSE)="","",VLOOKUP(A1698,[12]PRIORIZADOS!$A:$E,5,FALSE)),"")</f>
        <v>EPBM</v>
      </c>
      <c r="F1698" s="11" t="str">
        <f>IFERROR(IF(VLOOKUP(A1698,[12]PRIORIZADOS!$A:$F,6,FALSE)="","",VLOOKUP(A1698,[12]PRIORIZADOS!$A:$F,6,FALSE)),"")</f>
        <v>COLEGIO_ISAAC_NEWTON</v>
      </c>
      <c r="G1698" s="11" t="str">
        <f>IFERROR(IF(VLOOKUP(A1698,[12]PRIORIZADOS!$A:$G,7,FALSE)="","",VLOOKUP(A1698,[12]PRIORIZADOS!$A:$G,7,FALSE)),"")</f>
        <v>COLEGIO ISAAC NEWTON</v>
      </c>
      <c r="H1698" s="11" t="str">
        <f>IFERROR(IF(VLOOKUP(A1698,[12]PRIORIZADOS!$A:$H,8,FALSE)="","",VLOOKUP(A1698,[12]PRIORIZADOS!$A:$H,8,FALSE)),"")</f>
        <v>Autoevaluación Institucional y Pruebas SABER 11</v>
      </c>
      <c r="I1698" s="11" t="str">
        <f>IFERROR(IF(VLOOKUP(A1698,[12]PRIORIZADOS!$A:$I,9,FALSE)="","",VLOOKUP(A1698,[12]PRIORIZADOS!$A:$I,9,FALSE)),"")</f>
        <v>SEGUIMIENTO_Y_SUPERVISIÓN.</v>
      </c>
      <c r="J1698" s="11" t="str">
        <f>IFERROR(IF(VLOOKUP(A1698,[12]PRIORIZADOS!$A:$J,10,FALSE)="","",VLOOKUP(A1698,[12]PRIORIZADOS!$A:$J,10,FALSE)),"")</f>
        <v xml:space="preserve">Verificar la implementación por parte de los colegios, de acciones realizadas para la prevención y atención de las situaciones de convivencia en el entorno escolar, según lo establecido en la Directiva 01 de 2022 del MEN. </v>
      </c>
      <c r="K1698" s="11" t="str">
        <f>IFERROR(IF(VLOOKUP(A1698,[12]PRIORIZADOS!$A:$K,11,FALSE)="","",VLOOKUP(A1698,[12]PRIORIZADOS!$A:$K,11,FALSE)),"")</f>
        <v>JUANITA LINA CAROLINA RAMÍREZ LÓPEZ</v>
      </c>
      <c r="L1698" s="11" t="str">
        <f>IFERROR(IF(VLOOKUP(A1698,[12]PRIORIZADOS!$A:$L,12,FALSE)="","",VLOOKUP(A1698,[12]PRIORIZADOS!$A:$L,12,FALSE)),"")</f>
        <v>XIMENA CAROLINA RAMÍREZ MORALES</v>
      </c>
      <c r="M1698" s="71">
        <f>IFERROR(IF(VLOOKUP(A1698,[12]PRIORIZADOS!$A:$M,13,FALSE)="","",VLOOKUP(A1698,[12]PRIORIZADOS!$A:$M,13,FALSE)),"")</f>
        <v>45758</v>
      </c>
      <c r="N1698" s="71">
        <f>IFERROR(IF(VLOOKUP(A1698,[12]PRIORIZADOS!$A:$N,14,FALSE)="","",VLOOKUP(A1698,[12]PRIORIZADOS!$A:$N,14,FALSE)),"")</f>
        <v>45758</v>
      </c>
      <c r="O1698" s="71">
        <f>IFERROR(IF(VLOOKUP(A1698,[12]PRIORIZADOS!$A:$O,15,FALSE)="","",VLOOKUP(A1698,[12]PRIORIZADOS!$A:$O,15,FALSE)),"")</f>
        <v>45758</v>
      </c>
      <c r="P1698" s="11" t="str">
        <f>IFERROR(IF(VLOOKUP(A1698,[12]PRIORIZADOS!$A:$P,16,FALSE)="","",VLOOKUP(A1698,[12]PRIORIZADOS!$A:$P,16,FALSE)),"")</f>
        <v>Visitas de evaluación con fines de mejoramiento</v>
      </c>
      <c r="Q1698" s="107" t="s">
        <v>380</v>
      </c>
      <c r="R1698" s="11" t="str">
        <f>IFERROR(IF(VLOOKUP(A1698,[12]PRIORIZADOS!$A:$R,18,FALSE)="","",VLOOKUP(A1698,[12]PRIORIZADOS!$A:$R,18,FALSE)),"")</f>
        <v>Se encuentra verificación de antecedentes por delitos sexuales</v>
      </c>
      <c r="S1698" s="11" t="str">
        <f>IFERROR(IF(VLOOKUP(A1698,[12]PRIORIZADOS!$A:$S,19,FALSE)="","",VLOOKUP(A1698,[12]PRIORIZADOS!$A:$S,19,FALSE)),"")</f>
        <v xml:space="preserve">Realizar la consulta de antecedentes cada 4 meses. </v>
      </c>
      <c r="T1698" s="70" t="str">
        <f>IFERROR(IF(VLOOKUP(A1698,[12]PRIORIZADOS!$A:$T,20,FALSE)="","",VLOOKUP(A1698,[12]PRIORIZADOS!$A:$T,20,FALSE)),"")</f>
        <v>No</v>
      </c>
      <c r="U1698" s="11" t="str">
        <f>IFERROR(IF(VLOOKUP(A1698,[12]PRIORIZADOS!$A:$U,21,FALSE)="","",VLOOKUP(A1698,[12]PRIORIZADOS!$A:$U,21,FALSE)),"")</f>
        <v>Se hará verificación en caso de presentarse requerimiento</v>
      </c>
    </row>
    <row r="1699" spans="1:21" s="1" customFormat="1" ht="72">
      <c r="A1699" s="69">
        <f>IF([12]PRIORIZADOS!A29="","",[12]PRIORIZADOS!A29)</f>
        <v>1666</v>
      </c>
      <c r="B1699" s="70">
        <v>3</v>
      </c>
      <c r="C1699" s="11" t="str">
        <f>IFERROR(IF(VLOOKUP(A1699,[12]PRIORIZADOS!$A:$C,3,FALSE)="","",VLOOKUP(A1699,[12]PRIORIZADOS!$A:$C,3,FALSE)),"")</f>
        <v>SAN CRISTÓBAL</v>
      </c>
      <c r="D1699" s="11" t="str">
        <f>IFERROR(IF(VLOOKUP(A1699,[12]PRIORIZADOS!$A:$D,4,FALSE)="","",VLOOKUP(A1699,[12]PRIORIZADOS!$A:$D,4,FALSE)),"")</f>
        <v>PRIVADO</v>
      </c>
      <c r="E1699" s="11" t="str">
        <f>IFERROR(IF(VLOOKUP(A1699,[12]PRIORIZADOS!$A:$E,5,FALSE)="","",VLOOKUP(A1699,[12]PRIORIZADOS!$A:$E,5,FALSE)),"")</f>
        <v>EPBM</v>
      </c>
      <c r="F1699" s="11" t="str">
        <f>IFERROR(IF(VLOOKUP(A1699,[12]PRIORIZADOS!$A:$F,6,FALSE)="","",VLOOKUP(A1699,[12]PRIORIZADOS!$A:$F,6,FALSE)),"")</f>
        <v>COLEGIO_ISAAC_NEWTON</v>
      </c>
      <c r="G1699" s="11" t="str">
        <f>IFERROR(IF(VLOOKUP(A1699,[12]PRIORIZADOS!$A:$G,7,FALSE)="","",VLOOKUP(A1699,[12]PRIORIZADOS!$A:$G,7,FALSE)),"")</f>
        <v>COLEGIO ISAAC NEWTON</v>
      </c>
      <c r="H1699" s="11" t="str">
        <f>IFERROR(IF(VLOOKUP(A1699,[12]PRIORIZADOS!$A:$H,8,FALSE)="","",VLOOKUP(A1699,[12]PRIORIZADOS!$A:$H,8,FALSE)),"")</f>
        <v>Autoevaluación Institucional y Pruebas SABER 11</v>
      </c>
      <c r="I1699" s="11" t="str">
        <f>IFERROR(IF(VLOOKUP(A1699,[12]PRIORIZADOS!$A:$I,9,FALSE)="","",VLOOKUP(A1699,[12]PRIORIZADOS!$A:$I,9,FALSE)),"")</f>
        <v>SEGUIMIENTO_Y_SUPERVISIÓN.</v>
      </c>
      <c r="J1699" s="11" t="str">
        <f>IFERROR(IF(VLOOKUP(A1699,[12]PRIORIZADOS!$A:$J,10,FALSE)="","",VLOOKUP(A1699,[12]PRIORIZADOS!$A:$J,10,FALSE)),"")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699" s="11" t="str">
        <f>IFERROR(IF(VLOOKUP(A1699,[12]PRIORIZADOS!$A:$K,11,FALSE)="","",VLOOKUP(A1699,[12]PRIORIZADOS!$A:$K,11,FALSE)),"")</f>
        <v>JUANITA LINA CAROLINA RAMÍREZ LÓPEZ</v>
      </c>
      <c r="L1699" s="11" t="str">
        <f>IFERROR(IF(VLOOKUP(A1699,[12]PRIORIZADOS!$A:$L,12,FALSE)="","",VLOOKUP(A1699,[12]PRIORIZADOS!$A:$L,12,FALSE)),"")</f>
        <v>XIMENA CAROLINA RAMÍREZ MORALES</v>
      </c>
      <c r="M1699" s="71">
        <f>IFERROR(IF(VLOOKUP(A1699,[12]PRIORIZADOS!$A:$M,13,FALSE)="","",VLOOKUP(A1699,[12]PRIORIZADOS!$A:$M,13,FALSE)),"")</f>
        <v>45758</v>
      </c>
      <c r="N1699" s="71">
        <f>IFERROR(IF(VLOOKUP(A1699,[12]PRIORIZADOS!$A:$N,14,FALSE)="","",VLOOKUP(A1699,[12]PRIORIZADOS!$A:$N,14,FALSE)),"")</f>
        <v>45758</v>
      </c>
      <c r="O1699" s="71">
        <f>IFERROR(IF(VLOOKUP(A1699,[12]PRIORIZADOS!$A:$O,15,FALSE)="","",VLOOKUP(A1699,[12]PRIORIZADOS!$A:$O,15,FALSE)),"")</f>
        <v>45758</v>
      </c>
      <c r="P1699" s="11" t="str">
        <f>IFERROR(IF(VLOOKUP(A1699,[12]PRIORIZADOS!$A:$P,16,FALSE)="","",VLOOKUP(A1699,[12]PRIORIZADOS!$A:$P,16,FALSE)),"")</f>
        <v>Visitas de evaluación con fines de mejoramiento</v>
      </c>
      <c r="Q1699" s="107" t="s">
        <v>380</v>
      </c>
      <c r="R1699" s="11" t="str">
        <f>IFERROR(IF(VLOOKUP(A1699,[12]PRIORIZADOS!$A:$R,18,FALSE)="","",VLOOKUP(A1699,[12]PRIORIZADOS!$A:$R,18,FALSE)),"")</f>
        <v xml:space="preserve">La IE no tiene estudiantes con discapacidad. </v>
      </c>
      <c r="S1699" s="11" t="str">
        <f>IFERROR(IF(VLOOKUP(A1699,[12]PRIORIZADOS!$A:$S,19,FALSE)="","",VLOOKUP(A1699,[12]PRIORIZADOS!$A:$S,19,FALSE)),"")</f>
        <v>Realizar seguimiento al caso de un estudiante que ha evidenciado dificultades en su proceso académico.</v>
      </c>
      <c r="T1699" s="70" t="str">
        <f>IFERROR(IF(VLOOKUP(A1699,[12]PRIORIZADOS!$A:$T,20,FALSE)="","",VLOOKUP(A1699,[12]PRIORIZADOS!$A:$T,20,FALSE)),"")</f>
        <v>No</v>
      </c>
      <c r="U1699" s="11" t="str">
        <f>IFERROR(IF(VLOOKUP(A1699,[12]PRIORIZADOS!$A:$U,21,FALSE)="","",VLOOKUP(A1699,[12]PRIORIZADOS!$A:$U,21,FALSE)),"")</f>
        <v>Se hará verificación en caso de presentarse requerimiento</v>
      </c>
    </row>
    <row r="1700" spans="1:21" s="1" customFormat="1" ht="84">
      <c r="A1700" s="69">
        <f>IF([12]PRIORIZADOS!A30="","",[12]PRIORIZADOS!A30)</f>
        <v>1667</v>
      </c>
      <c r="B1700" s="70">
        <v>3</v>
      </c>
      <c r="C1700" s="11" t="str">
        <f>IFERROR(IF(VLOOKUP(A1700,[12]PRIORIZADOS!$A:$C,3,FALSE)="","",VLOOKUP(A1700,[12]PRIORIZADOS!$A:$C,3,FALSE)),"")</f>
        <v>SAN CRISTÓBAL</v>
      </c>
      <c r="D1700" s="11" t="str">
        <f>IFERROR(IF(VLOOKUP(A1700,[12]PRIORIZADOS!$A:$D,4,FALSE)="","",VLOOKUP(A1700,[12]PRIORIZADOS!$A:$D,4,FALSE)),"")</f>
        <v>PRIVADO</v>
      </c>
      <c r="E1700" s="11" t="str">
        <f>IFERROR(IF(VLOOKUP(A1700,[12]PRIORIZADOS!$A:$E,5,FALSE)="","",VLOOKUP(A1700,[12]PRIORIZADOS!$A:$E,5,FALSE)),"")</f>
        <v>EPBM</v>
      </c>
      <c r="F1700" s="11" t="str">
        <f>IFERROR(IF(VLOOKUP(A1700,[12]PRIORIZADOS!$A:$F,6,FALSE)="","",VLOOKUP(A1700,[12]PRIORIZADOS!$A:$F,6,FALSE)),"")</f>
        <v>COLEGIO_ISAAC_NEWTON</v>
      </c>
      <c r="G1700" s="11" t="str">
        <f>IFERROR(IF(VLOOKUP(A1700,[12]PRIORIZADOS!$A:$G,7,FALSE)="","",VLOOKUP(A1700,[12]PRIORIZADOS!$A:$G,7,FALSE)),"")</f>
        <v>COLEGIO ISAAC NEWTON</v>
      </c>
      <c r="H1700" s="11" t="str">
        <f>IFERROR(IF(VLOOKUP(A1700,[12]PRIORIZADOS!$A:$H,8,FALSE)="","",VLOOKUP(A1700,[12]PRIORIZADOS!$A:$H,8,FALSE)),"")</f>
        <v>Autoevaluación Institucional y Pruebas SABER 11</v>
      </c>
      <c r="I1700" s="11" t="str">
        <f>IFERROR(IF(VLOOKUP(A1700,[12]PRIORIZADOS!$A:$I,9,FALSE)="","",VLOOKUP(A1700,[12]PRIORIZADOS!$A:$I,9,FALSE)),"")</f>
        <v>EVALUACIÓN_CON_FINES_DE_MEJORAMIENTO.</v>
      </c>
      <c r="J1700" s="11" t="str">
        <f>IFERROR(IF(VLOOKUP(A1700,[12]PRIORIZADOS!$A:$J,10,FALSE)="","",VLOOKUP(A1700,[12]PRIORIZADOS!$A:$J,10,FALSE)),"")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00" s="11" t="str">
        <f>IFERROR(IF(VLOOKUP(A1700,[12]PRIORIZADOS!$A:$K,11,FALSE)="","",VLOOKUP(A1700,[12]PRIORIZADOS!$A:$K,11,FALSE)),"")</f>
        <v>JUANITA LINA CAROLINA RAMÍREZ LÓPEZ</v>
      </c>
      <c r="L1700" s="11" t="str">
        <f>IFERROR(IF(VLOOKUP(A1700,[12]PRIORIZADOS!$A:$L,12,FALSE)="","",VLOOKUP(A1700,[12]PRIORIZADOS!$A:$L,12,FALSE)),"")</f>
        <v>XIMENA CAROLINA RAMÍREZ MORALES</v>
      </c>
      <c r="M1700" s="71">
        <f>IFERROR(IF(VLOOKUP(A1700,[12]PRIORIZADOS!$A:$M,13,FALSE)="","",VLOOKUP(A1700,[12]PRIORIZADOS!$A:$M,13,FALSE)),"")</f>
        <v>45758</v>
      </c>
      <c r="N1700" s="71">
        <f>IFERROR(IF(VLOOKUP(A1700,[12]PRIORIZADOS!$A:$N,14,FALSE)="","",VLOOKUP(A1700,[12]PRIORIZADOS!$A:$N,14,FALSE)),"")</f>
        <v>45758</v>
      </c>
      <c r="O1700" s="71">
        <f>IFERROR(IF(VLOOKUP(A1700,[12]PRIORIZADOS!$A:$O,15,FALSE)="","",VLOOKUP(A1700,[12]PRIORIZADOS!$A:$O,15,FALSE)),"")</f>
        <v>45758</v>
      </c>
      <c r="P1700" s="11" t="str">
        <f>IFERROR(IF(VLOOKUP(A1700,[12]PRIORIZADOS!$A:$P,16,FALSE)="","",VLOOKUP(A1700,[12]PRIORIZADOS!$A:$P,16,FALSE)),"")</f>
        <v>Visitas de evaluación con fines de mejoramiento</v>
      </c>
      <c r="Q1700" s="107" t="s">
        <v>380</v>
      </c>
      <c r="R1700" s="11" t="str">
        <f>IFERROR(IF(VLOOKUP(A1700,[12]PRIORIZADOS!$A:$R,18,FALSE)="","",VLOOKUP(A1700,[12]PRIORIZADOS!$A:$R,18,FALSE)),"")</f>
        <v xml:space="preserve">Documentos de trabajo referentes a las propuestas de actualización. 
En la primera asamblea de padres se hace entrega del manual y se socializan los principales aspectos. </v>
      </c>
      <c r="S1700" s="11" t="str">
        <f>IFERROR(IF(VLOOKUP(A1700,[12]PRIORIZADOS!$A:$S,19,FALSE)="","",VLOOKUP(A1700,[12]PRIORIZADOS!$A:$S,19,FALSE)),"")</f>
        <v xml:space="preserve">Contar con las respectivas actas que validen los ajustes del manual de convivencia. </v>
      </c>
      <c r="T1700" s="70" t="str">
        <f>IFERROR(IF(VLOOKUP(A1700,[12]PRIORIZADOS!$A:$T,20,FALSE)="","",VLOOKUP(A1700,[12]PRIORIZADOS!$A:$T,20,FALSE)),"")</f>
        <v>No</v>
      </c>
      <c r="U1700" s="11" t="str">
        <f>IFERROR(IF(VLOOKUP(A1700,[12]PRIORIZADOS!$A:$U,21,FALSE)="","",VLOOKUP(A1700,[12]PRIORIZADOS!$A:$U,21,FALSE)),"")</f>
        <v>En próxima visita se verificará el cumplimiento de lo acordado.</v>
      </c>
    </row>
    <row r="1701" spans="1:21" s="1" customFormat="1" ht="48">
      <c r="A1701" s="69">
        <f>IF([12]PRIORIZADOS!A31="","",[12]PRIORIZADOS!A31)</f>
        <v>1668</v>
      </c>
      <c r="B1701" s="70">
        <v>3</v>
      </c>
      <c r="C1701" s="11" t="str">
        <f>IFERROR(IF(VLOOKUP(A1701,[12]PRIORIZADOS!$A:$C,3,FALSE)="","",VLOOKUP(A1701,[12]PRIORIZADOS!$A:$C,3,FALSE)),"")</f>
        <v>SAN CRISTÓBAL</v>
      </c>
      <c r="D1701" s="11" t="str">
        <f>IFERROR(IF(VLOOKUP(A1701,[12]PRIORIZADOS!$A:$D,4,FALSE)="","",VLOOKUP(A1701,[12]PRIORIZADOS!$A:$D,4,FALSE)),"")</f>
        <v>PRIVADO</v>
      </c>
      <c r="E1701" s="11" t="str">
        <f>IFERROR(IF(VLOOKUP(A1701,[12]PRIORIZADOS!$A:$E,5,FALSE)="","",VLOOKUP(A1701,[12]PRIORIZADOS!$A:$E,5,FALSE)),"")</f>
        <v>EPBM</v>
      </c>
      <c r="F1701" s="11" t="str">
        <f>IFERROR(IF(VLOOKUP(A1701,[12]PRIORIZADOS!$A:$F,6,FALSE)="","",VLOOKUP(A1701,[12]PRIORIZADOS!$A:$F,6,FALSE)),"")</f>
        <v>COLEGIO_ISAAC_NEWTON</v>
      </c>
      <c r="G1701" s="11" t="str">
        <f>IFERROR(IF(VLOOKUP(A1701,[12]PRIORIZADOS!$A:$G,7,FALSE)="","",VLOOKUP(A1701,[12]PRIORIZADOS!$A:$G,7,FALSE)),"")</f>
        <v>COLEGIO ISAAC NEWTON</v>
      </c>
      <c r="H1701" s="11" t="str">
        <f>IFERROR(IF(VLOOKUP(A1701,[12]PRIORIZADOS!$A:$H,8,FALSE)="","",VLOOKUP(A1701,[12]PRIORIZADOS!$A:$H,8,FALSE)),"")</f>
        <v>Autoevaluación Institucional y Pruebas SABER 11</v>
      </c>
      <c r="I1701" s="11" t="str">
        <f>IFERROR(IF(VLOOKUP(A1701,[12]PRIORIZADOS!$A:$I,9,FALSE)="","",VLOOKUP(A1701,[12]PRIORIZADOS!$A:$I,9,FALSE)),"")</f>
        <v>EVALUACIÓN_CON_FINES_DE_MEJORAMIENTO.</v>
      </c>
      <c r="J1701" s="11" t="str">
        <f>IFERROR(IF(VLOOKUP(A1701,[12]PRIORIZADOS!$A:$J,10,FALSE)="","",VLOOKUP(A1701,[12]PRIORIZADOS!$A:$J,10,FALSE)),"")</f>
        <v>Revisar la actualización, socialización e implementación del Sistema Institucional de Evaluación de Estudiantes - SIEE, en articulación con la actualización del PEI y la normatividad vigente.</v>
      </c>
      <c r="K1701" s="11" t="str">
        <f>IFERROR(IF(VLOOKUP(A1701,[12]PRIORIZADOS!$A:$K,11,FALSE)="","",VLOOKUP(A1701,[12]PRIORIZADOS!$A:$K,11,FALSE)),"")</f>
        <v>JUANITA LINA CAROLINA RAMÍREZ LÓPEZ</v>
      </c>
      <c r="L1701" s="11" t="str">
        <f>IFERROR(IF(VLOOKUP(A1701,[12]PRIORIZADOS!$A:$L,12,FALSE)="","",VLOOKUP(A1701,[12]PRIORIZADOS!$A:$L,12,FALSE)),"")</f>
        <v>XIMENA CAROLINA RAMÍREZ MORALES</v>
      </c>
      <c r="M1701" s="71">
        <f>IFERROR(IF(VLOOKUP(A1701,[12]PRIORIZADOS!$A:$M,13,FALSE)="","",VLOOKUP(A1701,[12]PRIORIZADOS!$A:$M,13,FALSE)),"")</f>
        <v>45758</v>
      </c>
      <c r="N1701" s="71">
        <f>IFERROR(IF(VLOOKUP(A1701,[12]PRIORIZADOS!$A:$N,14,FALSE)="","",VLOOKUP(A1701,[12]PRIORIZADOS!$A:$N,14,FALSE)),"")</f>
        <v>45758</v>
      </c>
      <c r="O1701" s="71">
        <f>IFERROR(IF(VLOOKUP(A1701,[12]PRIORIZADOS!$A:$O,15,FALSE)="","",VLOOKUP(A1701,[12]PRIORIZADOS!$A:$O,15,FALSE)),"")</f>
        <v>45758</v>
      </c>
      <c r="P1701" s="11" t="str">
        <f>IFERROR(IF(VLOOKUP(A1701,[12]PRIORIZADOS!$A:$P,16,FALSE)="","",VLOOKUP(A1701,[12]PRIORIZADOS!$A:$P,16,FALSE)),"")</f>
        <v>Visitas de evaluación con fines de mejoramiento</v>
      </c>
      <c r="Q1701" s="107" t="s">
        <v>380</v>
      </c>
      <c r="R1701" s="11" t="str">
        <f>IFERROR(IF(VLOOKUP(A1701,[12]PRIORIZADOS!$A:$R,18,FALSE)="","",VLOOKUP(A1701,[12]PRIORIZADOS!$A:$R,18,FALSE)),"")</f>
        <v>Presenta documento del SIEE contiene los elementos correspondientes, tales como  las estrategias de apoyo para dificultades academicas.</v>
      </c>
      <c r="S1701" s="11" t="str">
        <f>IFERROR(IF(VLOOKUP(A1701,[12]PRIORIZADOS!$A:$S,19,FALSE)="","",VLOOKUP(A1701,[12]PRIORIZADOS!$A:$S,19,FALSE)),"")</f>
        <v xml:space="preserve">Se recomienda contar con evidencias del desarollo de estas  actividades de acompañamiento a estudiantes </v>
      </c>
      <c r="T1701" s="70" t="str">
        <f>IFERROR(IF(VLOOKUP(A1701,[12]PRIORIZADOS!$A:$T,20,FALSE)="","",VLOOKUP(A1701,[12]PRIORIZADOS!$A:$T,20,FALSE)),"")</f>
        <v>No</v>
      </c>
      <c r="U1701" s="11" t="str">
        <f>IFERROR(IF(VLOOKUP(A1701,[12]PRIORIZADOS!$A:$U,21,FALSE)="","",VLOOKUP(A1701,[12]PRIORIZADOS!$A:$U,21,FALSE)),"")</f>
        <v>Se hará verificación en caso de presentarse requerimiento</v>
      </c>
    </row>
    <row r="1702" spans="1:21" s="1" customFormat="1" ht="48">
      <c r="A1702" s="69">
        <f>IF([12]PRIORIZADOS!A32="","",[12]PRIORIZADOS!A32)</f>
        <v>1669</v>
      </c>
      <c r="B1702" s="70">
        <v>3</v>
      </c>
      <c r="C1702" s="11" t="str">
        <f>IFERROR(IF(VLOOKUP(A1702,[12]PRIORIZADOS!$A:$C,3,FALSE)="","",VLOOKUP(A1702,[12]PRIORIZADOS!$A:$C,3,FALSE)),"")</f>
        <v>SAN CRISTÓBAL</v>
      </c>
      <c r="D1702" s="11" t="str">
        <f>IFERROR(IF(VLOOKUP(A1702,[12]PRIORIZADOS!$A:$D,4,FALSE)="","",VLOOKUP(A1702,[12]PRIORIZADOS!$A:$D,4,FALSE)),"")</f>
        <v>PRIVADO</v>
      </c>
      <c r="E1702" s="11" t="str">
        <f>IFERROR(IF(VLOOKUP(A1702,[12]PRIORIZADOS!$A:$E,5,FALSE)="","",VLOOKUP(A1702,[12]PRIORIZADOS!$A:$E,5,FALSE)),"")</f>
        <v>EPBM</v>
      </c>
      <c r="F1702" s="11" t="str">
        <f>IFERROR(IF(VLOOKUP(A1702,[12]PRIORIZADOS!$A:$F,6,FALSE)="","",VLOOKUP(A1702,[12]PRIORIZADOS!$A:$F,6,FALSE)),"")</f>
        <v>COLEGIO_ISAAC_NEWTON</v>
      </c>
      <c r="G1702" s="11" t="str">
        <f>IFERROR(IF(VLOOKUP(A1702,[12]PRIORIZADOS!$A:$G,7,FALSE)="","",VLOOKUP(A1702,[12]PRIORIZADOS!$A:$G,7,FALSE)),"")</f>
        <v>COLEGIO ISAAC NEWTON</v>
      </c>
      <c r="H1702" s="11" t="str">
        <f>IFERROR(IF(VLOOKUP(A1702,[12]PRIORIZADOS!$A:$H,8,FALSE)="","",VLOOKUP(A1702,[12]PRIORIZADOS!$A:$H,8,FALSE)),"")</f>
        <v>Autoevaluación Institucional y Pruebas SABER 11</v>
      </c>
      <c r="I1702" s="11" t="str">
        <f>IFERROR(IF(VLOOKUP(A1702,[12]PRIORIZADOS!$A:$I,9,FALSE)="","",VLOOKUP(A1702,[12]PRIORIZADOS!$A:$I,9,FALSE)),"")</f>
        <v>EVALUACIÓN_CON_FINES_DE_MEJORAMIENTO.</v>
      </c>
      <c r="J1702" s="11" t="str">
        <f>IFERROR(IF(VLOOKUP(A1702,[12]PRIORIZADOS!$A:$J,10,FALSE)="","",VLOOKUP(A1702,[12]PRIORIZADOS!$A:$J,10,FALSE)),"")</f>
        <v>Revisar el calendario escolar, jornada escolar, la intensidad horaria mínima anual en cada nivel y las modificaciones que se realicen al mismo, de acuerdo con lo previsto en la normatividad vigente.</v>
      </c>
      <c r="K1702" s="11" t="str">
        <f>IFERROR(IF(VLOOKUP(A1702,[12]PRIORIZADOS!$A:$K,11,FALSE)="","",VLOOKUP(A1702,[12]PRIORIZADOS!$A:$K,11,FALSE)),"")</f>
        <v>JUANITA LINA CAROLINA RAMÍREZ LÓPEZ</v>
      </c>
      <c r="L1702" s="11" t="str">
        <f>IFERROR(IF(VLOOKUP(A1702,[12]PRIORIZADOS!$A:$L,12,FALSE)="","",VLOOKUP(A1702,[12]PRIORIZADOS!$A:$L,12,FALSE)),"")</f>
        <v>XIMENA CAROLINA RAMÍREZ MORALES</v>
      </c>
      <c r="M1702" s="71">
        <f>IFERROR(IF(VLOOKUP(A1702,[12]PRIORIZADOS!$A:$M,13,FALSE)="","",VLOOKUP(A1702,[12]PRIORIZADOS!$A:$M,13,FALSE)),"")</f>
        <v>45758</v>
      </c>
      <c r="N1702" s="71">
        <f>IFERROR(IF(VLOOKUP(A1702,[12]PRIORIZADOS!$A:$N,14,FALSE)="","",VLOOKUP(A1702,[12]PRIORIZADOS!$A:$N,14,FALSE)),"")</f>
        <v>45758</v>
      </c>
      <c r="O1702" s="71">
        <f>IFERROR(IF(VLOOKUP(A1702,[12]PRIORIZADOS!$A:$O,15,FALSE)="","",VLOOKUP(A1702,[12]PRIORIZADOS!$A:$O,15,FALSE)),"")</f>
        <v>45758</v>
      </c>
      <c r="P1702" s="11" t="str">
        <f>IFERROR(IF(VLOOKUP(A1702,[12]PRIORIZADOS!$A:$P,16,FALSE)="","",VLOOKUP(A1702,[12]PRIORIZADOS!$A:$P,16,FALSE)),"")</f>
        <v>Visitas de evaluación con fines de mejoramiento</v>
      </c>
      <c r="Q1702" s="107" t="s">
        <v>380</v>
      </c>
      <c r="R1702" s="11" t="str">
        <f>IFERROR(IF(VLOOKUP(A1702,[12]PRIORIZADOS!$A:$R,18,FALSE)="","",VLOOKUP(A1702,[12]PRIORIZADOS!$A:$R,18,FALSE)),"")</f>
        <v>Cumple con las horas  y semanas reglamentarias de acuerdo con la Resolución de la SED N°1811 de 2024</v>
      </c>
      <c r="S1702" s="11" t="str">
        <f>IFERROR(IF(VLOOKUP(A1702,[12]PRIORIZADOS!$A:$S,19,FALSE)="","",VLOOKUP(A1702,[12]PRIORIZADOS!$A:$S,19,FALSE)),"")</f>
        <v xml:space="preserve">Continuar prestando el servicio educativo acorde a la normatividad vigente </v>
      </c>
      <c r="T1702" s="70" t="str">
        <f>IFERROR(IF(VLOOKUP(A1702,[12]PRIORIZADOS!$A:$T,20,FALSE)="","",VLOOKUP(A1702,[12]PRIORIZADOS!$A:$T,20,FALSE)),"")</f>
        <v>No</v>
      </c>
      <c r="U1702" s="11" t="str">
        <f>IFERROR(IF(VLOOKUP(A1702,[12]PRIORIZADOS!$A:$U,21,FALSE)="","",VLOOKUP(A1702,[12]PRIORIZADOS!$A:$U,21,FALSE)),"")</f>
        <v>Se hará verificación en caso de presentarse requerimiento</v>
      </c>
    </row>
    <row r="1703" spans="1:21" s="1" customFormat="1" ht="48">
      <c r="A1703" s="69">
        <f>IF([12]PRIORIZADOS!A33="","",[12]PRIORIZADOS!A33)</f>
        <v>1670</v>
      </c>
      <c r="B1703" s="70">
        <v>3</v>
      </c>
      <c r="C1703" s="11" t="str">
        <f>IFERROR(IF(VLOOKUP(A1703,[12]PRIORIZADOS!$A:$C,3,FALSE)="","",VLOOKUP(A1703,[12]PRIORIZADOS!$A:$C,3,FALSE)),"")</f>
        <v>SAN CRISTÓBAL</v>
      </c>
      <c r="D1703" s="11" t="str">
        <f>IFERROR(IF(VLOOKUP(A1703,[12]PRIORIZADOS!$A:$D,4,FALSE)="","",VLOOKUP(A1703,[12]PRIORIZADOS!$A:$D,4,FALSE)),"")</f>
        <v>PRIVADO</v>
      </c>
      <c r="E1703" s="11" t="str">
        <f>IFERROR(IF(VLOOKUP(A1703,[12]PRIORIZADOS!$A:$E,5,FALSE)="","",VLOOKUP(A1703,[12]PRIORIZADOS!$A:$E,5,FALSE)),"")</f>
        <v>EPBM</v>
      </c>
      <c r="F1703" s="11" t="str">
        <f>IFERROR(IF(VLOOKUP(A1703,[12]PRIORIZADOS!$A:$F,6,FALSE)="","",VLOOKUP(A1703,[12]PRIORIZADOS!$A:$F,6,FALSE)),"")</f>
        <v>COLEGIO_ISAAC_NEWTON</v>
      </c>
      <c r="G1703" s="11" t="str">
        <f>IFERROR(IF(VLOOKUP(A1703,[12]PRIORIZADOS!$A:$G,7,FALSE)="","",VLOOKUP(A1703,[12]PRIORIZADOS!$A:$G,7,FALSE)),"")</f>
        <v>COLEGIO ISAAC NEWTON</v>
      </c>
      <c r="H1703" s="11" t="str">
        <f>IFERROR(IF(VLOOKUP(A1703,[12]PRIORIZADOS!$A:$H,8,FALSE)="","",VLOOKUP(A1703,[12]PRIORIZADOS!$A:$H,8,FALSE)),"")</f>
        <v>Autoevaluación Institucional y Pruebas SABER 11</v>
      </c>
      <c r="I1703" s="11" t="str">
        <f>IFERROR(IF(VLOOKUP(A1703,[12]PRIORIZADOS!$A:$I,9,FALSE)="","",VLOOKUP(A1703,[12]PRIORIZADOS!$A:$I,9,FALSE)),"")</f>
        <v>EVALUACIÓN_CON_FINES_DE_MEJORAMIENTO.</v>
      </c>
      <c r="J1703" s="11" t="str">
        <f>IFERROR(IF(VLOOKUP(A1703,[12]PRIORIZADOS!$A:$J,10,FALSE)="","",VLOOKUP(A1703,[12]PRIORIZADOS!$A:$J,10,FALSE)),"")</f>
        <v>Verificar el funcionamiento del Gobierno Escolar e instancias de participación con base en la información sobre conformación reportada por la institución educativa.</v>
      </c>
      <c r="K1703" s="11" t="str">
        <f>IFERROR(IF(VLOOKUP(A1703,[12]PRIORIZADOS!$A:$K,11,FALSE)="","",VLOOKUP(A1703,[12]PRIORIZADOS!$A:$K,11,FALSE)),"")</f>
        <v>JUANITA LINA CAROLINA RAMÍREZ LÓPEZ</v>
      </c>
      <c r="L1703" s="11" t="str">
        <f>IFERROR(IF(VLOOKUP(A1703,[12]PRIORIZADOS!$A:$L,12,FALSE)="","",VLOOKUP(A1703,[12]PRIORIZADOS!$A:$L,12,FALSE)),"")</f>
        <v>XIMENA CAROLINA RAMÍREZ MORALES</v>
      </c>
      <c r="M1703" s="71">
        <f>IFERROR(IF(VLOOKUP(A1703,[12]PRIORIZADOS!$A:$M,13,FALSE)="","",VLOOKUP(A1703,[12]PRIORIZADOS!$A:$M,13,FALSE)),"")</f>
        <v>45758</v>
      </c>
      <c r="N1703" s="71">
        <f>IFERROR(IF(VLOOKUP(A1703,[12]PRIORIZADOS!$A:$N,14,FALSE)="","",VLOOKUP(A1703,[12]PRIORIZADOS!$A:$N,14,FALSE)),"")</f>
        <v>45758</v>
      </c>
      <c r="O1703" s="71">
        <f>IFERROR(IF(VLOOKUP(A1703,[12]PRIORIZADOS!$A:$O,15,FALSE)="","",VLOOKUP(A1703,[12]PRIORIZADOS!$A:$O,15,FALSE)),"")</f>
        <v>45758</v>
      </c>
      <c r="P1703" s="11" t="str">
        <f>IFERROR(IF(VLOOKUP(A1703,[12]PRIORIZADOS!$A:$P,16,FALSE)="","",VLOOKUP(A1703,[12]PRIORIZADOS!$A:$P,16,FALSE)),"")</f>
        <v>Visitas de evaluación con fines de mejoramiento</v>
      </c>
      <c r="Q1703" s="107" t="s">
        <v>380</v>
      </c>
      <c r="R1703" s="11" t="str">
        <f>IFERROR(IF(VLOOKUP(A1703,[12]PRIORIZADOS!$A:$R,18,FALSE)="","",VLOOKUP(A1703,[12]PRIORIZADOS!$A:$R,18,FALSE)),"")</f>
        <v xml:space="preserve">Existen evidencias de la conformación y se hizo el respectivo cargue en SAE. A la fecha no han sesionado dichos estamentos. </v>
      </c>
      <c r="S1703" s="11" t="str">
        <f>IFERROR(IF(VLOOKUP(A1703,[12]PRIORIZADOS!$A:$S,19,FALSE)="","",VLOOKUP(A1703,[12]PRIORIZADOS!$A:$S,19,FALSE)),"")</f>
        <v>Documentar con Actas las sesiones que se desarrollen</v>
      </c>
      <c r="T1703" s="70" t="str">
        <f>IFERROR(IF(VLOOKUP(A1703,[12]PRIORIZADOS!$A:$T,20,FALSE)="","",VLOOKUP(A1703,[12]PRIORIZADOS!$A:$T,20,FALSE)),"")</f>
        <v>No</v>
      </c>
      <c r="U1703" s="11" t="str">
        <f>IFERROR(IF(VLOOKUP(A1703,[12]PRIORIZADOS!$A:$U,21,FALSE)="","",VLOOKUP(A1703,[12]PRIORIZADOS!$A:$U,21,FALSE)),"")</f>
        <v>Se hará verificación en caso de presentarse requerimiento</v>
      </c>
    </row>
    <row r="1704" spans="1:21" s="1" customFormat="1" ht="48">
      <c r="A1704" s="69">
        <f>IF([12]PRIORIZADOS!A34="","",[12]PRIORIZADOS!A34)</f>
        <v>1671</v>
      </c>
      <c r="B1704" s="70">
        <v>3</v>
      </c>
      <c r="C1704" s="11" t="str">
        <f>IFERROR(IF(VLOOKUP(A1704,[12]PRIORIZADOS!$A:$C,3,FALSE)="","",VLOOKUP(A1704,[12]PRIORIZADOS!$A:$C,3,FALSE)),"")</f>
        <v>SAN CRISTÓBAL</v>
      </c>
      <c r="D1704" s="11" t="str">
        <f>IFERROR(IF(VLOOKUP(A1704,[12]PRIORIZADOS!$A:$D,4,FALSE)="","",VLOOKUP(A1704,[12]PRIORIZADOS!$A:$D,4,FALSE)),"")</f>
        <v>PRIVADO</v>
      </c>
      <c r="E1704" s="11" t="str">
        <f>IFERROR(IF(VLOOKUP(A1704,[12]PRIORIZADOS!$A:$E,5,FALSE)="","",VLOOKUP(A1704,[12]PRIORIZADOS!$A:$E,5,FALSE)),"")</f>
        <v>EPBM</v>
      </c>
      <c r="F1704" s="11" t="str">
        <f>IFERROR(IF(VLOOKUP(A1704,[12]PRIORIZADOS!$A:$F,6,FALSE)="","",VLOOKUP(A1704,[12]PRIORIZADOS!$A:$F,6,FALSE)),"")</f>
        <v>COLEGIO_ISAAC_NEWTON</v>
      </c>
      <c r="G1704" s="11" t="str">
        <f>IFERROR(IF(VLOOKUP(A1704,[12]PRIORIZADOS!$A:$G,7,FALSE)="","",VLOOKUP(A1704,[12]PRIORIZADOS!$A:$G,7,FALSE)),"")</f>
        <v>COLEGIO ISAAC NEWTON</v>
      </c>
      <c r="H1704" s="11" t="str">
        <f>IFERROR(IF(VLOOKUP(A1704,[12]PRIORIZADOS!$A:$H,8,FALSE)="","",VLOOKUP(A1704,[12]PRIORIZADOS!$A:$H,8,FALSE)),"")</f>
        <v>Autoevaluación Institucional y Pruebas SABER 11</v>
      </c>
      <c r="I1704" s="11" t="str">
        <f>IFERROR(IF(VLOOKUP(A1704,[12]PRIORIZADOS!$A:$I,9,FALSE)="","",VLOOKUP(A1704,[12]PRIORIZADOS!$A:$I,9,FALSE)),"")</f>
        <v>EVALUACIÓN_CON_FINES_DE_MEJORAMIENTO.</v>
      </c>
      <c r="J1704" s="11" t="str">
        <f>IFERROR(IF(VLOOKUP(A1704,[12]PRIORIZADOS!$A:$J,10,FALSE)="","",VLOOKUP(A1704,[12]PRIORIZADOS!$A:$J,10,FALSE)),"")</f>
        <v>Verificar las condiciones en cuanto a: la estructura administrativa, condiciones de la planta física y medios educativos adecuados.</v>
      </c>
      <c r="K1704" s="11" t="str">
        <f>IFERROR(IF(VLOOKUP(A1704,[12]PRIORIZADOS!$A:$K,11,FALSE)="","",VLOOKUP(A1704,[12]PRIORIZADOS!$A:$K,11,FALSE)),"")</f>
        <v>JUANITA LINA CAROLINA RAMÍREZ LÓPEZ</v>
      </c>
      <c r="L1704" s="11" t="str">
        <f>IFERROR(IF(VLOOKUP(A1704,[12]PRIORIZADOS!$A:$L,12,FALSE)="","",VLOOKUP(A1704,[12]PRIORIZADOS!$A:$L,12,FALSE)),"")</f>
        <v>XIMENA CAROLINA RAMÍREZ MORALES</v>
      </c>
      <c r="M1704" s="71">
        <f>IFERROR(IF(VLOOKUP(A1704,[12]PRIORIZADOS!$A:$M,13,FALSE)="","",VLOOKUP(A1704,[12]PRIORIZADOS!$A:$M,13,FALSE)),"")</f>
        <v>45758</v>
      </c>
      <c r="N1704" s="71">
        <f>IFERROR(IF(VLOOKUP(A1704,[12]PRIORIZADOS!$A:$N,14,FALSE)="","",VLOOKUP(A1704,[12]PRIORIZADOS!$A:$N,14,FALSE)),"")</f>
        <v>45758</v>
      </c>
      <c r="O1704" s="71">
        <f>IFERROR(IF(VLOOKUP(A1704,[12]PRIORIZADOS!$A:$O,15,FALSE)="","",VLOOKUP(A1704,[12]PRIORIZADOS!$A:$O,15,FALSE)),"")</f>
        <v>45758</v>
      </c>
      <c r="P1704" s="11" t="str">
        <f>IFERROR(IF(VLOOKUP(A1704,[12]PRIORIZADOS!$A:$P,16,FALSE)="","",VLOOKUP(A1704,[12]PRIORIZADOS!$A:$P,16,FALSE)),"")</f>
        <v>Visitas de evaluación con fines de mejoramiento</v>
      </c>
      <c r="Q1704" s="107" t="s">
        <v>380</v>
      </c>
      <c r="R1704" s="11" t="str">
        <f>IFERROR(IF(VLOOKUP(A1704,[12]PRIORIZADOS!$A:$R,18,FALSE)="","",VLOOKUP(A1704,[12]PRIORIZADOS!$A:$R,18,FALSE)),"")</f>
        <v>Las instalaciones se encuentran en buenas condiciones. Presenta Concepto Sanitario de la Secretaria Distrital SB06E-705026 del 13/11/2025 favorable con requerimientos.</v>
      </c>
      <c r="S1704" s="11" t="str">
        <f>IFERROR(IF(VLOOKUP(A1704,[12]PRIORIZADOS!$A:$S,19,FALSE)="","",VLOOKUP(A1704,[12]PRIORIZADOS!$A:$S,19,FALSE)),"")</f>
        <v>El colegio informa que ya ha realizados ajustes respectivos y espera nueva visita, realizó a inicio de año desinfección de tanques y fumigación.</v>
      </c>
      <c r="T1704" s="70" t="str">
        <f>IFERROR(IF(VLOOKUP(A1704,[12]PRIORIZADOS!$A:$T,20,FALSE)="","",VLOOKUP(A1704,[12]PRIORIZADOS!$A:$T,20,FALSE)),"")</f>
        <v>No</v>
      </c>
      <c r="U1704" s="11" t="str">
        <f>IFERROR(IF(VLOOKUP(A1704,[12]PRIORIZADOS!$A:$U,21,FALSE)="","",VLOOKUP(A1704,[12]PRIORIZADOS!$A:$U,21,FALSE)),"")</f>
        <v>Se hará verificación en caso de presentarse requerimiento</v>
      </c>
    </row>
    <row r="1705" spans="1:21" s="1" customFormat="1" ht="84">
      <c r="A1705" s="69">
        <f>IF([12]PRIORIZADOS!A35="","",[12]PRIORIZADOS!A35)</f>
        <v>1672</v>
      </c>
      <c r="B1705" s="70">
        <f>IFERROR(IF(VLOOKUP(A1705,[12]PRIORIZADOS!$A:$B,2,FALSE)="","",VLOOKUP(A1705,[12]PRIORIZADOS!$A:$B,2,FALSE)),"")</f>
        <v>4</v>
      </c>
      <c r="C1705" s="11" t="str">
        <f>IFERROR(IF(VLOOKUP(A1705,[12]PRIORIZADOS!$A:$C,3,FALSE)="","",VLOOKUP(A1705,[12]PRIORIZADOS!$A:$C,3,FALSE)),"")</f>
        <v>SAN CRISTÓBAL</v>
      </c>
      <c r="D1705" s="11" t="str">
        <f>IFERROR(IF(VLOOKUP(A1705,[12]PRIORIZADOS!$A:$D,4,FALSE)="","",VLOOKUP(A1705,[12]PRIORIZADOS!$A:$D,4,FALSE)),"")</f>
        <v>PRIVADO</v>
      </c>
      <c r="E1705" s="11" t="str">
        <f>IFERROR(IF(VLOOKUP(A1705,[12]PRIORIZADOS!$A:$E,5,FALSE)="","",VLOOKUP(A1705,[12]PRIORIZADOS!$A:$E,5,FALSE)),"")</f>
        <v>EPBM</v>
      </c>
      <c r="F1705" s="11" t="str">
        <f>IFERROR(IF(VLOOKUP(A1705,[12]PRIORIZADOS!$A:$F,6,FALSE)="","",VLOOKUP(A1705,[12]PRIORIZADOS!$A:$F,6,FALSE)),"")</f>
        <v>COLEGIO_LORENZO_DE_ALCANTUZ</v>
      </c>
      <c r="G1705" s="11" t="str">
        <f>IFERROR(IF(VLOOKUP(A1705,[12]PRIORIZADOS!$A:$G,7,FALSE)="","",VLOOKUP(A1705,[12]PRIORIZADOS!$A:$G,7,FALSE)),"")</f>
        <v>COLEGIO LORENZO DE ALCANTUZ</v>
      </c>
      <c r="H1705" s="11" t="str">
        <f>IFERROR(IF(VLOOKUP(A1705,[12]PRIORIZADOS!$A:$H,8,FALSE)="","",VLOOKUP(A1705,[12]PRIORIZADOS!$A:$H,8,FALSE)),"")</f>
        <v>Autoevaluación Institucional y Pruebas SABER 11</v>
      </c>
      <c r="I1705" s="11" t="str">
        <f>IFERROR(IF(VLOOKUP(A1705,[12]PRIORIZADOS!$A:$I,9,FALSE)="","",VLOOKUP(A1705,[12]PRIORIZADOS!$A:$I,9,FALSE)),"")</f>
        <v>SEGUIMIENTO_Y_SUPERVISIÓN.</v>
      </c>
      <c r="J1705" s="11" t="str">
        <f>IFERROR(IF(VLOOKUP(A1705,[12]PRIORIZADOS!$A:$J,10,FALSE)="","",VLOOKUP(A1705,[12]PRIORIZADOS!$A:$J,10,FALSE)),"")</f>
        <v>Realizar visitas para verificar la información registrada sobre la autoevaluación institucional en el aplicativo EVI, a los establecimientos de educación formal no oficial.</v>
      </c>
      <c r="K1705" s="11" t="str">
        <f>IFERROR(IF(VLOOKUP(A1705,[12]PRIORIZADOS!$A:$K,11,FALSE)="","",VLOOKUP(A1705,[12]PRIORIZADOS!$A:$K,11,FALSE)),"")</f>
        <v>JUANITA LINA CAROLINA RAMÍREZ LÓPEZ</v>
      </c>
      <c r="L1705" s="11" t="str">
        <f>IFERROR(IF(VLOOKUP(A1705,[12]PRIORIZADOS!$A:$L,12,FALSE)="","",VLOOKUP(A1705,[12]PRIORIZADOS!$A:$L,12,FALSE)),"")</f>
        <v>XIMENA CAROLINA RAMÍREZ MORALES</v>
      </c>
      <c r="M1705" s="71">
        <f>IFERROR(IF(VLOOKUP(A1705,[12]PRIORIZADOS!$A:$M,13,FALSE)="","",VLOOKUP(A1705,[12]PRIORIZADOS!$A:$M,13,FALSE)),"")</f>
        <v>45807</v>
      </c>
      <c r="N1705" s="71">
        <f>IFERROR(IF(VLOOKUP(A1705,[12]PRIORIZADOS!$A:$N,14,FALSE)="","",VLOOKUP(A1705,[12]PRIORIZADOS!$A:$N,14,FALSE)),"")</f>
        <v>45807</v>
      </c>
      <c r="O1705" s="71">
        <f>IFERROR(IF(VLOOKUP(A1705,[12]PRIORIZADOS!$A:$O,15,FALSE)="","",VLOOKUP(A1705,[12]PRIORIZADOS!$A:$O,15,FALSE)),"")</f>
        <v>45807</v>
      </c>
      <c r="P1705" s="11" t="str">
        <f>IFERROR(IF(VLOOKUP(A1705,[12]PRIORIZADOS!$A:$P,16,FALSE)="","",VLOOKUP(A1705,[12]PRIORIZADOS!$A:$P,16,FALSE)),"")</f>
        <v>Visitas de evaluación con fines de mejoramiento</v>
      </c>
      <c r="Q1705" s="107" t="s">
        <v>381</v>
      </c>
      <c r="R1705" s="11" t="str">
        <f>IFERROR(IF(VLOOKUP(A1705,[12]PRIORIZADOS!$A:$R,18,FALSE)="","",VLOOKUP(A1705,[12]PRIORIZADOS!$A:$R,18,FALSE)),"")</f>
        <v xml:space="preserve">La resolución de  tarifas esta publicada en la cartelera de Secretaria (ingreso del colegio). Aplica descuentos por pronto pago de presscolar a 3°. Sitema contable Worl de control de pagos y facturación electronica. se verifican recibos de pago, facturas y libro de control. </v>
      </c>
      <c r="S1705" s="11" t="str">
        <f>IFERROR(IF(VLOOKUP(A1705,[12]PRIORIZADOS!$A:$S,19,FALSE)="","",VLOOKUP(A1705,[12]PRIORIZADOS!$A:$S,19,FALSE)),"")</f>
        <v>Se encuentra que no supera los valores aprobados. Coincide la autoevaluacion de EVI con la realidad.</v>
      </c>
      <c r="T1705" s="70" t="str">
        <f>IFERROR(IF(VLOOKUP(A1705,[12]PRIORIZADOS!$A:$T,20,FALSE)="","",VLOOKUP(A1705,[12]PRIORIZADOS!$A:$T,20,FALSE)),"")</f>
        <v>No</v>
      </c>
      <c r="U1705" s="11" t="str">
        <f>IFERROR(IF(VLOOKUP(A1705,[12]PRIORIZADOS!$A:$U,21,FALSE)="","",VLOOKUP(A1705,[12]PRIORIZADOS!$A:$U,21,FALSE)),"")</f>
        <v>Se hará verificación en caso de presentarse requerimiento</v>
      </c>
    </row>
    <row r="1706" spans="1:21" s="1" customFormat="1" ht="142.5">
      <c r="A1706" s="69">
        <f>IF([12]PRIORIZADOS!A36="","",[12]PRIORIZADOS!A36)</f>
        <v>1673</v>
      </c>
      <c r="B1706" s="70">
        <v>4</v>
      </c>
      <c r="C1706" s="11" t="str">
        <f>IFERROR(IF(VLOOKUP(A1706,[12]PRIORIZADOS!$A:$C,3,FALSE)="","",VLOOKUP(A1706,[12]PRIORIZADOS!$A:$C,3,FALSE)),"")</f>
        <v>SAN CRISTÓBAL</v>
      </c>
      <c r="D1706" s="11" t="str">
        <f>IFERROR(IF(VLOOKUP(A1706,[12]PRIORIZADOS!$A:$D,4,FALSE)="","",VLOOKUP(A1706,[12]PRIORIZADOS!$A:$D,4,FALSE)),"")</f>
        <v>PRIVADO</v>
      </c>
      <c r="E1706" s="11" t="str">
        <f>IFERROR(IF(VLOOKUP(A1706,[12]PRIORIZADOS!$A:$E,5,FALSE)="","",VLOOKUP(A1706,[12]PRIORIZADOS!$A:$E,5,FALSE)),"")</f>
        <v>EPBM</v>
      </c>
      <c r="F1706" s="11" t="str">
        <f>IFERROR(IF(VLOOKUP(A1706,[12]PRIORIZADOS!$A:$F,6,FALSE)="","",VLOOKUP(A1706,[12]PRIORIZADOS!$A:$F,6,FALSE)),"")</f>
        <v>COLEGIO_LORENZO_DE_ALCANTUZ</v>
      </c>
      <c r="G1706" s="11" t="str">
        <f>IFERROR(IF(VLOOKUP(A1706,[12]PRIORIZADOS!$A:$G,7,FALSE)="","",VLOOKUP(A1706,[12]PRIORIZADOS!$A:$G,7,FALSE)),"")</f>
        <v>COLEGIO LORENZO DE ALCANTUZ</v>
      </c>
      <c r="H1706" s="11" t="str">
        <f>IFERROR(IF(VLOOKUP(A1706,[12]PRIORIZADOS!$A:$H,8,FALSE)="","",VLOOKUP(A1706,[12]PRIORIZADOS!$A:$H,8,FALSE)),"")</f>
        <v>Autoevaluación Institucional y Pruebas SABER 11</v>
      </c>
      <c r="I1706" s="11" t="str">
        <f>IFERROR(IF(VLOOKUP(A1706,[12]PRIORIZADOS!$A:$I,9,FALSE)="","",VLOOKUP(A1706,[12]PRIORIZADOS!$A:$I,9,FALSE)),"")</f>
        <v>SEGUIMIENTO_Y_SUPERVISIÓN.</v>
      </c>
      <c r="J1706" s="11" t="str">
        <f>IFERROR(IF(VLOOKUP(A1706,[12]PRIORIZADOS!$A:$J,10,FALSE)="","",VLOOKUP(A1706,[12]PRIORIZADOS!$A:$J,10,FALSE)),"")</f>
        <v>Proponer estrategias en la formulación, verificar su elaboración y realizar seguimiento semestral al desarrollo de  las acciones establecidas en los planes de mejoramiento por pruebas SABER 11 de los establecimientos de educación formal.</v>
      </c>
      <c r="K1706" s="11" t="str">
        <f>IFERROR(IF(VLOOKUP(A1706,[12]PRIORIZADOS!$A:$K,11,FALSE)="","",VLOOKUP(A1706,[12]PRIORIZADOS!$A:$K,11,FALSE)),"")</f>
        <v>JUANITA LINA CAROLINA RAMÍREZ LÓPEZ</v>
      </c>
      <c r="L1706" s="11" t="str">
        <f>IFERROR(IF(VLOOKUP(A1706,[12]PRIORIZADOS!$A:$L,12,FALSE)="","",VLOOKUP(A1706,[12]PRIORIZADOS!$A:$L,12,FALSE)),"")</f>
        <v>XIMENA CAROLINA RAMÍREZ MORALES</v>
      </c>
      <c r="M1706" s="71">
        <f>IFERROR(IF(VLOOKUP(A1706,[12]PRIORIZADOS!$A:$M,13,FALSE)="","",VLOOKUP(A1706,[12]PRIORIZADOS!$A:$M,13,FALSE)),"")</f>
        <v>45807</v>
      </c>
      <c r="N1706" s="71">
        <f>IFERROR(IF(VLOOKUP(A1706,[12]PRIORIZADOS!$A:$N,14,FALSE)="","",VLOOKUP(A1706,[12]PRIORIZADOS!$A:$N,14,FALSE)),"")</f>
        <v>45807</v>
      </c>
      <c r="O1706" s="71">
        <f>IFERROR(IF(VLOOKUP(A1706,[12]PRIORIZADOS!$A:$O,15,FALSE)="","",VLOOKUP(A1706,[12]PRIORIZADOS!$A:$O,15,FALSE)),"")</f>
        <v>45807</v>
      </c>
      <c r="P1706" s="11" t="str">
        <f>IFERROR(IF(VLOOKUP(A1706,[12]PRIORIZADOS!$A:$P,16,FALSE)="","",VLOOKUP(A1706,[12]PRIORIZADOS!$A:$P,16,FALSE)),"")</f>
        <v>Visitas de evaluación con fines de mejoramiento</v>
      </c>
      <c r="Q1706" s="107" t="s">
        <v>381</v>
      </c>
      <c r="R1706" s="11" t="str">
        <f>IFERROR(IF(VLOOKUP(A1706,[12]PRIORIZADOS!$A:$R,18,FALSE)="","",VLOOKUP(A1706,[12]PRIORIZADOS!$A:$R,18,FALSE)),"")</f>
        <v>Realizan análisis de los simulacros de pruebas saber (último 26 de abril). Aportan "Registro y evaluación capacitaciones y reuniones" Acta del 20/05/2025. Capacitación docente con la empresa Fabio Pardo (Elaboración de preguntas tipo pruebas saber). 
Realizan simulacros en 10 y 11; a partir de los resultados se elaboran planes de mejora. 
El diseño de las evaluaciones de período son tipo ICFES.</v>
      </c>
      <c r="S1706" s="11" t="str">
        <f>IFERROR(IF(VLOOKUP(A1706,[12]PRIORIZADOS!$A:$S,19,FALSE)="","",VLOOKUP(A1706,[12]PRIORIZADOS!$A:$S,19,FALSE)),"")</f>
        <v xml:space="preserve">En aras de fortalecer estrategias pedagógicas para mejorar los resultados de las pruebas en el segundo semestre proyectan implementar acciones en los componentes de ciencias naturales y ciencias sociales. </v>
      </c>
      <c r="T1706" s="70" t="str">
        <f>IFERROR(IF(VLOOKUP(A1706,[12]PRIORIZADOS!$A:$T,20,FALSE)="","",VLOOKUP(A1706,[12]PRIORIZADOS!$A:$T,20,FALSE)),"")</f>
        <v>No</v>
      </c>
      <c r="U1706" s="11" t="str">
        <f>IFERROR(IF(VLOOKUP(A1706,[12]PRIORIZADOS!$A:$U,21,FALSE)="","",VLOOKUP(A1706,[12]PRIORIZADOS!$A:$U,21,FALSE)),"")</f>
        <v>Se hará verificación en caso de presentarse requerimiento</v>
      </c>
    </row>
    <row r="1707" spans="1:21" s="1" customFormat="1" ht="84">
      <c r="A1707" s="69">
        <f>IF([12]PRIORIZADOS!A37="","",[12]PRIORIZADOS!A37)</f>
        <v>1674</v>
      </c>
      <c r="B1707" s="70">
        <v>4</v>
      </c>
      <c r="C1707" s="11" t="str">
        <f>IFERROR(IF(VLOOKUP(A1707,[12]PRIORIZADOS!$A:$C,3,FALSE)="","",VLOOKUP(A1707,[12]PRIORIZADOS!$A:$C,3,FALSE)),"")</f>
        <v>SAN CRISTÓBAL</v>
      </c>
      <c r="D1707" s="11" t="str">
        <f>IFERROR(IF(VLOOKUP(A1707,[12]PRIORIZADOS!$A:$D,4,FALSE)="","",VLOOKUP(A1707,[12]PRIORIZADOS!$A:$D,4,FALSE)),"")</f>
        <v>PRIVADO</v>
      </c>
      <c r="E1707" s="11" t="str">
        <f>IFERROR(IF(VLOOKUP(A1707,[12]PRIORIZADOS!$A:$E,5,FALSE)="","",VLOOKUP(A1707,[12]PRIORIZADOS!$A:$E,5,FALSE)),"")</f>
        <v>EPBM</v>
      </c>
      <c r="F1707" s="11" t="str">
        <f>IFERROR(IF(VLOOKUP(A1707,[12]PRIORIZADOS!$A:$F,6,FALSE)="","",VLOOKUP(A1707,[12]PRIORIZADOS!$A:$F,6,FALSE)),"")</f>
        <v>COLEGIO_LORENZO_DE_ALCANTUZ</v>
      </c>
      <c r="G1707" s="11" t="str">
        <f>IFERROR(IF(VLOOKUP(A1707,[12]PRIORIZADOS!$A:$G,7,FALSE)="","",VLOOKUP(A1707,[12]PRIORIZADOS!$A:$G,7,FALSE)),"")</f>
        <v>COLEGIO LORENZO DE ALCANTUZ</v>
      </c>
      <c r="H1707" s="11" t="str">
        <f>IFERROR(IF(VLOOKUP(A1707,[12]PRIORIZADOS!$A:$H,8,FALSE)="","",VLOOKUP(A1707,[12]PRIORIZADOS!$A:$H,8,FALSE)),"")</f>
        <v>Autoevaluación Institucional y Pruebas SABER 11</v>
      </c>
      <c r="I1707" s="11" t="str">
        <f>IFERROR(IF(VLOOKUP(A1707,[12]PRIORIZADOS!$A:$I,9,FALSE)="","",VLOOKUP(A1707,[12]PRIORIZADOS!$A:$I,9,FALSE)),"")</f>
        <v>SEGUIMIENTO_Y_SUPERVISIÓN.</v>
      </c>
      <c r="J1707" s="11" t="str">
        <f>IFERROR(IF(VLOOKUP(A1707,[12]PRIORIZADOS!$A:$J,10,FALSE)="","",VLOOKUP(A1707,[12]PRIORIZADOS!$A:$J,10,FALSE)),"")</f>
        <v xml:space="preserve">Verificar la implementación por parte de los colegios, de acciones realizadas para la prevención y atención de las situaciones de convivencia en el entorno escolar, según lo establecido en la Directiva 01 de 2022 del MEN. </v>
      </c>
      <c r="K1707" s="11" t="str">
        <f>IFERROR(IF(VLOOKUP(A1707,[12]PRIORIZADOS!$A:$K,11,FALSE)="","",VLOOKUP(A1707,[12]PRIORIZADOS!$A:$K,11,FALSE)),"")</f>
        <v>JUANITA LINA CAROLINA RAMÍREZ LÓPEZ</v>
      </c>
      <c r="L1707" s="11" t="str">
        <f>IFERROR(IF(VLOOKUP(A1707,[12]PRIORIZADOS!$A:$L,12,FALSE)="","",VLOOKUP(A1707,[12]PRIORIZADOS!$A:$L,12,FALSE)),"")</f>
        <v>XIMENA CAROLINA RAMÍREZ MORALES</v>
      </c>
      <c r="M1707" s="71">
        <f>IFERROR(IF(VLOOKUP(A1707,[12]PRIORIZADOS!$A:$M,13,FALSE)="","",VLOOKUP(A1707,[12]PRIORIZADOS!$A:$M,13,FALSE)),"")</f>
        <v>45807</v>
      </c>
      <c r="N1707" s="71">
        <f>IFERROR(IF(VLOOKUP(A1707,[12]PRIORIZADOS!$A:$N,14,FALSE)="","",VLOOKUP(A1707,[12]PRIORIZADOS!$A:$N,14,FALSE)),"")</f>
        <v>45807</v>
      </c>
      <c r="O1707" s="71">
        <f>IFERROR(IF(VLOOKUP(A1707,[12]PRIORIZADOS!$A:$O,15,FALSE)="","",VLOOKUP(A1707,[12]PRIORIZADOS!$A:$O,15,FALSE)),"")</f>
        <v>45807</v>
      </c>
      <c r="P1707" s="11" t="str">
        <f>IFERROR(IF(VLOOKUP(A1707,[12]PRIORIZADOS!$A:$P,16,FALSE)="","",VLOOKUP(A1707,[12]PRIORIZADOS!$A:$P,16,FALSE)),"")</f>
        <v>Visitas de evaluación con fines de mejoramiento</v>
      </c>
      <c r="Q1707" s="107" t="s">
        <v>381</v>
      </c>
      <c r="R1707" s="11" t="str">
        <f>IFERROR(IF(VLOOKUP(A1707,[12]PRIORIZADOS!$A:$R,18,FALSE)="","",VLOOKUP(A1707,[12]PRIORIZADOS!$A:$R,18,FALSE)),"")</f>
        <v>Se realizan a través de orientación talleres de prevención en temas de Educación Sexual de acuerdo a la edad y grado. Se atienden casos particulares o grupales. Se encuentra verificación de antecedentes del meses de enero y febrero de todos los trabajadores</v>
      </c>
      <c r="S1707" s="11" t="str">
        <f>IFERROR(IF(VLOOKUP(A1707,[12]PRIORIZADOS!$A:$S,19,FALSE)="","",VLOOKUP(A1707,[12]PRIORIZADOS!$A:$S,19,FALSE)),"")</f>
        <v>Se recuerda la obligación de consultar antecedentes cada 4 meses.</v>
      </c>
      <c r="T1707" s="70" t="str">
        <f>IFERROR(IF(VLOOKUP(A1707,[12]PRIORIZADOS!$A:$T,20,FALSE)="","",VLOOKUP(A1707,[12]PRIORIZADOS!$A:$T,20,FALSE)),"")</f>
        <v>No</v>
      </c>
      <c r="U1707" s="11" t="str">
        <f>IFERROR(IF(VLOOKUP(A1707,[12]PRIORIZADOS!$A:$U,21,FALSE)="","",VLOOKUP(A1707,[12]PRIORIZADOS!$A:$U,21,FALSE)),"")</f>
        <v>Se hará verificación en caso de presentarse requerimiento</v>
      </c>
    </row>
    <row r="1708" spans="1:21" s="1" customFormat="1" ht="190.5">
      <c r="A1708" s="69">
        <f>IF([12]PRIORIZADOS!A38="","",[12]PRIORIZADOS!A38)</f>
        <v>1675</v>
      </c>
      <c r="B1708" s="70">
        <v>4</v>
      </c>
      <c r="C1708" s="11" t="str">
        <f>IFERROR(IF(VLOOKUP(A1708,[12]PRIORIZADOS!$A:$C,3,FALSE)="","",VLOOKUP(A1708,[12]PRIORIZADOS!$A:$C,3,FALSE)),"")</f>
        <v>SAN CRISTÓBAL</v>
      </c>
      <c r="D1708" s="11" t="str">
        <f>IFERROR(IF(VLOOKUP(A1708,[12]PRIORIZADOS!$A:$D,4,FALSE)="","",VLOOKUP(A1708,[12]PRIORIZADOS!$A:$D,4,FALSE)),"")</f>
        <v>PRIVADO</v>
      </c>
      <c r="E1708" s="11" t="str">
        <f>IFERROR(IF(VLOOKUP(A1708,[12]PRIORIZADOS!$A:$E,5,FALSE)="","",VLOOKUP(A1708,[12]PRIORIZADOS!$A:$E,5,FALSE)),"")</f>
        <v>EPBM</v>
      </c>
      <c r="F1708" s="11" t="str">
        <f>IFERROR(IF(VLOOKUP(A1708,[12]PRIORIZADOS!$A:$F,6,FALSE)="","",VLOOKUP(A1708,[12]PRIORIZADOS!$A:$F,6,FALSE)),"")</f>
        <v>COLEGIO_LORENZO_DE_ALCANTUZ</v>
      </c>
      <c r="G1708" s="11" t="str">
        <f>IFERROR(IF(VLOOKUP(A1708,[12]PRIORIZADOS!$A:$G,7,FALSE)="","",VLOOKUP(A1708,[12]PRIORIZADOS!$A:$G,7,FALSE)),"")</f>
        <v>COLEGIO LORENZO DE ALCANTUZ</v>
      </c>
      <c r="H1708" s="11" t="str">
        <f>IFERROR(IF(VLOOKUP(A1708,[12]PRIORIZADOS!$A:$H,8,FALSE)="","",VLOOKUP(A1708,[12]PRIORIZADOS!$A:$H,8,FALSE)),"")</f>
        <v>Autoevaluación Institucional y Pruebas SABER 11</v>
      </c>
      <c r="I1708" s="11" t="str">
        <f>IFERROR(IF(VLOOKUP(A1708,[12]PRIORIZADOS!$A:$I,9,FALSE)="","",VLOOKUP(A1708,[12]PRIORIZADOS!$A:$I,9,FALSE)),"")</f>
        <v>SEGUIMIENTO_Y_SUPERVISIÓN.</v>
      </c>
      <c r="J1708" s="11" t="str">
        <f>IFERROR(IF(VLOOKUP(A1708,[12]PRIORIZADOS!$A:$J,10,FALSE)="","",VLOOKUP(A1708,[12]PRIORIZADOS!$A:$J,10,FALSE)),"")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08" s="11" t="str">
        <f>IFERROR(IF(VLOOKUP(A1708,[12]PRIORIZADOS!$A:$K,11,FALSE)="","",VLOOKUP(A1708,[12]PRIORIZADOS!$A:$K,11,FALSE)),"")</f>
        <v>JUANITA LINA CAROLINA RAMÍREZ LÓPEZ</v>
      </c>
      <c r="L1708" s="11" t="str">
        <f>IFERROR(IF(VLOOKUP(A1708,[12]PRIORIZADOS!$A:$L,12,FALSE)="","",VLOOKUP(A1708,[12]PRIORIZADOS!$A:$L,12,FALSE)),"")</f>
        <v>XIMENA CAROLINA RAMÍREZ MORALES</v>
      </c>
      <c r="M1708" s="71">
        <f>IFERROR(IF(VLOOKUP(A1708,[12]PRIORIZADOS!$A:$M,13,FALSE)="","",VLOOKUP(A1708,[12]PRIORIZADOS!$A:$M,13,FALSE)),"")</f>
        <v>45807</v>
      </c>
      <c r="N1708" s="71">
        <f>IFERROR(IF(VLOOKUP(A1708,[12]PRIORIZADOS!$A:$N,14,FALSE)="","",VLOOKUP(A1708,[12]PRIORIZADOS!$A:$N,14,FALSE)),"")</f>
        <v>45807</v>
      </c>
      <c r="O1708" s="71">
        <f>IFERROR(IF(VLOOKUP(A1708,[12]PRIORIZADOS!$A:$O,15,FALSE)="","",VLOOKUP(A1708,[12]PRIORIZADOS!$A:$O,15,FALSE)),"")</f>
        <v>45807</v>
      </c>
      <c r="P1708" s="11" t="str">
        <f>IFERROR(IF(VLOOKUP(A1708,[12]PRIORIZADOS!$A:$P,16,FALSE)="","",VLOOKUP(A1708,[12]PRIORIZADOS!$A:$P,16,FALSE)),"")</f>
        <v>Visitas de evaluación con fines de mejoramiento</v>
      </c>
      <c r="Q1708" s="107" t="s">
        <v>381</v>
      </c>
      <c r="R1708" s="11" t="str">
        <f>IFERROR(IF(VLOOKUP(A1708,[12]PRIORIZADOS!$A:$R,18,FALSE)="","",VLOOKUP(A1708,[12]PRIORIZADOS!$A:$R,18,FALSE)),"")</f>
        <v>La Orientadora lidera el proceso y trabaja en articulación con los Docentes y las Familias, para que los PIAR sean revisados y actualizados  periódicamente, y así mismo socializados con las familias. Se verifican carpetas física con formato PIAR con firmas de acuerdo con padres y documentos de soporte del sector salud. Se evidencia también carpeta Drive por estudiante donde se ve el PIAR, las dificultades, barreras y acciones a implementar desde los DBA, aquí los maestros pueden hacer aportes, y la versión final es definida por la orientadora y socializada con los padres en cita con ella.</v>
      </c>
      <c r="S1708" s="11" t="str">
        <f>IFERROR(IF(VLOOKUP(A1708,[12]PRIORIZADOS!$A:$S,19,FALSE)="","",VLOOKUP(A1708,[12]PRIORIZADOS!$A:$S,19,FALSE)),"")</f>
        <v xml:space="preserve">Se resalta la organización documental y el seguimiento a los estudiantes </v>
      </c>
      <c r="T1708" s="70" t="str">
        <f>IFERROR(IF(VLOOKUP(A1708,[12]PRIORIZADOS!$A:$T,20,FALSE)="","",VLOOKUP(A1708,[12]PRIORIZADOS!$A:$T,20,FALSE)),"")</f>
        <v>No</v>
      </c>
      <c r="U1708" s="11" t="str">
        <f>IFERROR(IF(VLOOKUP(A1708,[12]PRIORIZADOS!$A:$U,21,FALSE)="","",VLOOKUP(A1708,[12]PRIORIZADOS!$A:$U,21,FALSE)),"")</f>
        <v>Se hará verificación en caso de presentarse requerimiento</v>
      </c>
    </row>
    <row r="1709" spans="1:21" s="1" customFormat="1" ht="130.5">
      <c r="A1709" s="69">
        <f>IF([12]PRIORIZADOS!A39="","",[12]PRIORIZADOS!A39)</f>
        <v>1676</v>
      </c>
      <c r="B1709" s="70">
        <v>4</v>
      </c>
      <c r="C1709" s="11" t="str">
        <f>IFERROR(IF(VLOOKUP(A1709,[12]PRIORIZADOS!$A:$C,3,FALSE)="","",VLOOKUP(A1709,[12]PRIORIZADOS!$A:$C,3,FALSE)),"")</f>
        <v>SAN CRISTÓBAL</v>
      </c>
      <c r="D1709" s="11" t="str">
        <f>IFERROR(IF(VLOOKUP(A1709,[12]PRIORIZADOS!$A:$D,4,FALSE)="","",VLOOKUP(A1709,[12]PRIORIZADOS!$A:$D,4,FALSE)),"")</f>
        <v>PRIVADO</v>
      </c>
      <c r="E1709" s="11" t="str">
        <f>IFERROR(IF(VLOOKUP(A1709,[12]PRIORIZADOS!$A:$E,5,FALSE)="","",VLOOKUP(A1709,[12]PRIORIZADOS!$A:$E,5,FALSE)),"")</f>
        <v>EPBM</v>
      </c>
      <c r="F1709" s="11" t="str">
        <f>IFERROR(IF(VLOOKUP(A1709,[12]PRIORIZADOS!$A:$F,6,FALSE)="","",VLOOKUP(A1709,[12]PRIORIZADOS!$A:$F,6,FALSE)),"")</f>
        <v>COLEGIO_LORENZO_DE_ALCANTUZ</v>
      </c>
      <c r="G1709" s="11" t="str">
        <f>IFERROR(IF(VLOOKUP(A1709,[12]PRIORIZADOS!$A:$G,7,FALSE)="","",VLOOKUP(A1709,[12]PRIORIZADOS!$A:$G,7,FALSE)),"")</f>
        <v>COLEGIO LORENZO DE ALCANTUZ</v>
      </c>
      <c r="H1709" s="11" t="str">
        <f>IFERROR(IF(VLOOKUP(A1709,[12]PRIORIZADOS!$A:$H,8,FALSE)="","",VLOOKUP(A1709,[12]PRIORIZADOS!$A:$H,8,FALSE)),"")</f>
        <v>Autoevaluación Institucional y Pruebas SABER 11</v>
      </c>
      <c r="I1709" s="11" t="str">
        <f>IFERROR(IF(VLOOKUP(A1709,[12]PRIORIZADOS!$A:$I,9,FALSE)="","",VLOOKUP(A1709,[12]PRIORIZADOS!$A:$I,9,FALSE)),"")</f>
        <v>EVALUACIÓN_CON_FINES_DE_MEJORAMIENTO.</v>
      </c>
      <c r="J1709" s="11" t="str">
        <f>IFERROR(IF(VLOOKUP(A1709,[12]PRIORIZADOS!$A:$J,10,FALSE)="","",VLOOKUP(A1709,[12]PRIORIZADOS!$A:$J,10,FALSE)),"")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09" s="11" t="str">
        <f>IFERROR(IF(VLOOKUP(A1709,[12]PRIORIZADOS!$A:$K,11,FALSE)="","",VLOOKUP(A1709,[12]PRIORIZADOS!$A:$K,11,FALSE)),"")</f>
        <v>JUANITA LINA CAROLINA RAMÍREZ LÓPEZ</v>
      </c>
      <c r="L1709" s="11" t="str">
        <f>IFERROR(IF(VLOOKUP(A1709,[12]PRIORIZADOS!$A:$L,12,FALSE)="","",VLOOKUP(A1709,[12]PRIORIZADOS!$A:$L,12,FALSE)),"")</f>
        <v>XIMENA CAROLINA RAMÍREZ MORALES</v>
      </c>
      <c r="M1709" s="71">
        <f>IFERROR(IF(VLOOKUP(A1709,[12]PRIORIZADOS!$A:$M,13,FALSE)="","",VLOOKUP(A1709,[12]PRIORIZADOS!$A:$M,13,FALSE)),"")</f>
        <v>45807</v>
      </c>
      <c r="N1709" s="71">
        <f>IFERROR(IF(VLOOKUP(A1709,[12]PRIORIZADOS!$A:$N,14,FALSE)="","",VLOOKUP(A1709,[12]PRIORIZADOS!$A:$N,14,FALSE)),"")</f>
        <v>45807</v>
      </c>
      <c r="O1709" s="71">
        <f>IFERROR(IF(VLOOKUP(A1709,[12]PRIORIZADOS!$A:$O,15,FALSE)="","",VLOOKUP(A1709,[12]PRIORIZADOS!$A:$O,15,FALSE)),"")</f>
        <v>45807</v>
      </c>
      <c r="P1709" s="11" t="str">
        <f>IFERROR(IF(VLOOKUP(A1709,[12]PRIORIZADOS!$A:$P,16,FALSE)="","",VLOOKUP(A1709,[12]PRIORIZADOS!$A:$P,16,FALSE)),"")</f>
        <v>Visitas de evaluación con fines de mejoramiento</v>
      </c>
      <c r="Q1709" s="107" t="s">
        <v>381</v>
      </c>
      <c r="R1709" s="11" t="str">
        <f>IFERROR(IF(VLOOKUP(A1709,[12]PRIORIZADOS!$A:$R,18,FALSE)="","",VLOOKUP(A1709,[12]PRIORIZADOS!$A:$R,18,FALSE)),"")</f>
        <v>El documento contiene: Capítulo I (Naturaleza jurídica, horizonte institucional, concepción filosófica), Capítulo II (Proceso de admisión y matrícula), Capítulo III (De los estudiantes), capítulo IV (Proceso de elección de estudiantes al gobierno escolar), Capítulo V (De los padres de familia), Capítulo VI (De los procesos y procedimientos académicos), Capítulo VII (De la convivencia, sus normas, procesos y procedimientos).</v>
      </c>
      <c r="S1709" s="11" t="str">
        <f>IFERROR(IF(VLOOKUP(A1709,[12]PRIORIZADOS!$A:$S,19,FALSE)="","",VLOOKUP(A1709,[12]PRIORIZADOS!$A:$S,19,FALSE)),"")</f>
        <v xml:space="preserve">La última actualización fue en el 2023, Aportan documento "Formato de revisión enfocado al manual de convivencia" con Padres de familia, docentes y estudiantes que cuentan con las respectivas firmas. </v>
      </c>
      <c r="T1709" s="70" t="str">
        <f>IFERROR(IF(VLOOKUP(A1709,[12]PRIORIZADOS!$A:$T,20,FALSE)="","",VLOOKUP(A1709,[12]PRIORIZADOS!$A:$T,20,FALSE)),"")</f>
        <v>No</v>
      </c>
      <c r="U1709" s="11" t="str">
        <f>IFERROR(IF(VLOOKUP(A1709,[12]PRIORIZADOS!$A:$U,21,FALSE)="","",VLOOKUP(A1709,[12]PRIORIZADOS!$A:$U,21,FALSE)),"")</f>
        <v>Se hará verificación en caso de presentarse requerimiento</v>
      </c>
    </row>
    <row r="1710" spans="1:21" s="1" customFormat="1" ht="48">
      <c r="A1710" s="69">
        <f>IF([12]PRIORIZADOS!A40="","",[12]PRIORIZADOS!A40)</f>
        <v>1677</v>
      </c>
      <c r="B1710" s="70">
        <v>4</v>
      </c>
      <c r="C1710" s="11" t="str">
        <f>IFERROR(IF(VLOOKUP(A1710,[12]PRIORIZADOS!$A:$C,3,FALSE)="","",VLOOKUP(A1710,[12]PRIORIZADOS!$A:$C,3,FALSE)),"")</f>
        <v>SAN CRISTÓBAL</v>
      </c>
      <c r="D1710" s="11" t="str">
        <f>IFERROR(IF(VLOOKUP(A1710,[12]PRIORIZADOS!$A:$D,4,FALSE)="","",VLOOKUP(A1710,[12]PRIORIZADOS!$A:$D,4,FALSE)),"")</f>
        <v>PRIVADO</v>
      </c>
      <c r="E1710" s="11" t="str">
        <f>IFERROR(IF(VLOOKUP(A1710,[12]PRIORIZADOS!$A:$E,5,FALSE)="","",VLOOKUP(A1710,[12]PRIORIZADOS!$A:$E,5,FALSE)),"")</f>
        <v>EPBM</v>
      </c>
      <c r="F1710" s="11" t="str">
        <f>IFERROR(IF(VLOOKUP(A1710,[12]PRIORIZADOS!$A:$F,6,FALSE)="","",VLOOKUP(A1710,[12]PRIORIZADOS!$A:$F,6,FALSE)),"")</f>
        <v>COLEGIO_LORENZO_DE_ALCANTUZ</v>
      </c>
      <c r="G1710" s="11" t="str">
        <f>IFERROR(IF(VLOOKUP(A1710,[12]PRIORIZADOS!$A:$G,7,FALSE)="","",VLOOKUP(A1710,[12]PRIORIZADOS!$A:$G,7,FALSE)),"")</f>
        <v>COLEGIO LORENZO DE ALCANTUZ</v>
      </c>
      <c r="H1710" s="11" t="str">
        <f>IFERROR(IF(VLOOKUP(A1710,[12]PRIORIZADOS!$A:$H,8,FALSE)="","",VLOOKUP(A1710,[12]PRIORIZADOS!$A:$H,8,FALSE)),"")</f>
        <v>Autoevaluación Institucional y Pruebas SABER 11</v>
      </c>
      <c r="I1710" s="11" t="str">
        <f>IFERROR(IF(VLOOKUP(A1710,[12]PRIORIZADOS!$A:$I,9,FALSE)="","",VLOOKUP(A1710,[12]PRIORIZADOS!$A:$I,9,FALSE)),"")</f>
        <v>EVALUACIÓN_CON_FINES_DE_MEJORAMIENTO.</v>
      </c>
      <c r="J1710" s="11" t="str">
        <f>IFERROR(IF(VLOOKUP(A1710,[12]PRIORIZADOS!$A:$J,10,FALSE)="","",VLOOKUP(A1710,[12]PRIORIZADOS!$A:$J,10,FALSE)),"")</f>
        <v>Revisar la actualización, socialización e implementación del Sistema Institucional de Evaluación de Estudiantes - SIEE, en articulación con la actualización del PEI y la normatividad vigente.</v>
      </c>
      <c r="K1710" s="11" t="str">
        <f>IFERROR(IF(VLOOKUP(A1710,[12]PRIORIZADOS!$A:$K,11,FALSE)="","",VLOOKUP(A1710,[12]PRIORIZADOS!$A:$K,11,FALSE)),"")</f>
        <v>JUANITA LINA CAROLINA RAMÍREZ LÓPEZ</v>
      </c>
      <c r="L1710" s="11" t="str">
        <f>IFERROR(IF(VLOOKUP(A1710,[12]PRIORIZADOS!$A:$L,12,FALSE)="","",VLOOKUP(A1710,[12]PRIORIZADOS!$A:$L,12,FALSE)),"")</f>
        <v>XIMENA CAROLINA RAMÍREZ MORALES</v>
      </c>
      <c r="M1710" s="71">
        <f>IFERROR(IF(VLOOKUP(A1710,[12]PRIORIZADOS!$A:$M,13,FALSE)="","",VLOOKUP(A1710,[12]PRIORIZADOS!$A:$M,13,FALSE)),"")</f>
        <v>45807</v>
      </c>
      <c r="N1710" s="71">
        <f>IFERROR(IF(VLOOKUP(A1710,[12]PRIORIZADOS!$A:$N,14,FALSE)="","",VLOOKUP(A1710,[12]PRIORIZADOS!$A:$N,14,FALSE)),"")</f>
        <v>45807</v>
      </c>
      <c r="O1710" s="71">
        <f>IFERROR(IF(VLOOKUP(A1710,[12]PRIORIZADOS!$A:$O,15,FALSE)="","",VLOOKUP(A1710,[12]PRIORIZADOS!$A:$O,15,FALSE)),"")</f>
        <v>45807</v>
      </c>
      <c r="P1710" s="11" t="str">
        <f>IFERROR(IF(VLOOKUP(A1710,[12]PRIORIZADOS!$A:$P,16,FALSE)="","",VLOOKUP(A1710,[12]PRIORIZADOS!$A:$P,16,FALSE)),"")</f>
        <v>Visitas de evaluación con fines de mejoramiento</v>
      </c>
      <c r="Q1710" s="107" t="s">
        <v>381</v>
      </c>
      <c r="R1710" s="11" t="str">
        <f>IFERROR(IF(VLOOKUP(A1710,[12]PRIORIZADOS!$A:$R,18,FALSE)="","",VLOOKUP(A1710,[12]PRIORIZADOS!$A:$R,18,FALSE)),"")</f>
        <v>Se verifica la última versión del SIEE como parte integrante del PEI encontrando que contiene los mínimos legales.</v>
      </c>
      <c r="S1710" s="11" t="str">
        <f>IFERROR(IF(VLOOKUP(A1710,[12]PRIORIZADOS!$A:$S,19,FALSE)="","",VLOOKUP(A1710,[12]PRIORIZADOS!$A:$S,19,FALSE)),"")</f>
        <v xml:space="preserve">Se verificaron estrategias pedagógicas de evaluación y nivelación soportados en actas </v>
      </c>
      <c r="T1710" s="70" t="str">
        <f>IFERROR(IF(VLOOKUP(A1710,[12]PRIORIZADOS!$A:$T,20,FALSE)="","",VLOOKUP(A1710,[12]PRIORIZADOS!$A:$T,20,FALSE)),"")</f>
        <v>No</v>
      </c>
      <c r="U1710" s="11" t="str">
        <f>IFERROR(IF(VLOOKUP(A1710,[12]PRIORIZADOS!$A:$U,21,FALSE)="","",VLOOKUP(A1710,[12]PRIORIZADOS!$A:$U,21,FALSE)),"")</f>
        <v>Se hará verificación en caso de presentarse requerimiento</v>
      </c>
    </row>
    <row r="1711" spans="1:21" s="1" customFormat="1" ht="48">
      <c r="A1711" s="69">
        <f>IF([12]PRIORIZADOS!A41="","",[12]PRIORIZADOS!A41)</f>
        <v>1678</v>
      </c>
      <c r="B1711" s="70">
        <v>4</v>
      </c>
      <c r="C1711" s="11" t="str">
        <f>IFERROR(IF(VLOOKUP(A1711,[12]PRIORIZADOS!$A:$C,3,FALSE)="","",VLOOKUP(A1711,[12]PRIORIZADOS!$A:$C,3,FALSE)),"")</f>
        <v>SAN CRISTÓBAL</v>
      </c>
      <c r="D1711" s="11" t="str">
        <f>IFERROR(IF(VLOOKUP(A1711,[12]PRIORIZADOS!$A:$D,4,FALSE)="","",VLOOKUP(A1711,[12]PRIORIZADOS!$A:$D,4,FALSE)),"")</f>
        <v>PRIVADO</v>
      </c>
      <c r="E1711" s="11" t="str">
        <f>IFERROR(IF(VLOOKUP(A1711,[12]PRIORIZADOS!$A:$E,5,FALSE)="","",VLOOKUP(A1711,[12]PRIORIZADOS!$A:$E,5,FALSE)),"")</f>
        <v>EPBM</v>
      </c>
      <c r="F1711" s="11" t="str">
        <f>IFERROR(IF(VLOOKUP(A1711,[12]PRIORIZADOS!$A:$F,6,FALSE)="","",VLOOKUP(A1711,[12]PRIORIZADOS!$A:$F,6,FALSE)),"")</f>
        <v>COLEGIO_LORENZO_DE_ALCANTUZ</v>
      </c>
      <c r="G1711" s="11" t="str">
        <f>IFERROR(IF(VLOOKUP(A1711,[12]PRIORIZADOS!$A:$G,7,FALSE)="","",VLOOKUP(A1711,[12]PRIORIZADOS!$A:$G,7,FALSE)),"")</f>
        <v>COLEGIO LORENZO DE ALCANTUZ</v>
      </c>
      <c r="H1711" s="11" t="str">
        <f>IFERROR(IF(VLOOKUP(A1711,[12]PRIORIZADOS!$A:$H,8,FALSE)="","",VLOOKUP(A1711,[12]PRIORIZADOS!$A:$H,8,FALSE)),"")</f>
        <v>Autoevaluación Institucional y Pruebas SABER 11</v>
      </c>
      <c r="I1711" s="11" t="str">
        <f>IFERROR(IF(VLOOKUP(A1711,[12]PRIORIZADOS!$A:$I,9,FALSE)="","",VLOOKUP(A1711,[12]PRIORIZADOS!$A:$I,9,FALSE)),"")</f>
        <v>EVALUACIÓN_CON_FINES_DE_MEJORAMIENTO.</v>
      </c>
      <c r="J1711" s="11" t="str">
        <f>IFERROR(IF(VLOOKUP(A1711,[12]PRIORIZADOS!$A:$J,10,FALSE)="","",VLOOKUP(A1711,[12]PRIORIZADOS!$A:$J,10,FALSE)),"")</f>
        <v>Revisar el calendario escolar, jornada escolar, la intensidad horaria mínima anual en cada nivel y las modificaciones que se realicen al mismo, de acuerdo con lo previsto en la normatividad vigente.</v>
      </c>
      <c r="K1711" s="11" t="str">
        <f>IFERROR(IF(VLOOKUP(A1711,[12]PRIORIZADOS!$A:$K,11,FALSE)="","",VLOOKUP(A1711,[12]PRIORIZADOS!$A:$K,11,FALSE)),"")</f>
        <v>JUANITA LINA CAROLINA RAMÍREZ LÓPEZ</v>
      </c>
      <c r="L1711" s="11" t="str">
        <f>IFERROR(IF(VLOOKUP(A1711,[12]PRIORIZADOS!$A:$L,12,FALSE)="","",VLOOKUP(A1711,[12]PRIORIZADOS!$A:$L,12,FALSE)),"")</f>
        <v>XIMENA CAROLINA RAMÍREZ MORALES</v>
      </c>
      <c r="M1711" s="71">
        <f>IFERROR(IF(VLOOKUP(A1711,[12]PRIORIZADOS!$A:$M,13,FALSE)="","",VLOOKUP(A1711,[12]PRIORIZADOS!$A:$M,13,FALSE)),"")</f>
        <v>45807</v>
      </c>
      <c r="N1711" s="71">
        <f>IFERROR(IF(VLOOKUP(A1711,[12]PRIORIZADOS!$A:$N,14,FALSE)="","",VLOOKUP(A1711,[12]PRIORIZADOS!$A:$N,14,FALSE)),"")</f>
        <v>45807</v>
      </c>
      <c r="O1711" s="71">
        <f>IFERROR(IF(VLOOKUP(A1711,[12]PRIORIZADOS!$A:$O,15,FALSE)="","",VLOOKUP(A1711,[12]PRIORIZADOS!$A:$O,15,FALSE)),"")</f>
        <v>45807</v>
      </c>
      <c r="P1711" s="11" t="str">
        <f>IFERROR(IF(VLOOKUP(A1711,[12]PRIORIZADOS!$A:$P,16,FALSE)="","",VLOOKUP(A1711,[12]PRIORIZADOS!$A:$P,16,FALSE)),"")</f>
        <v>Visitas de evaluación con fines de mejoramiento</v>
      </c>
      <c r="Q1711" s="107" t="s">
        <v>381</v>
      </c>
      <c r="R1711" s="11" t="str">
        <f>IFERROR(IF(VLOOKUP(A1711,[12]PRIORIZADOS!$A:$R,18,FALSE)="","",VLOOKUP(A1711,[12]PRIORIZADOS!$A:$R,18,FALSE)),"")</f>
        <v>Una vez revisado el documento este cumple con las horas y semanas reglamentarias de acuerdo con la Resolución de la SED N° 1811 de 2024.</v>
      </c>
      <c r="S1711" s="11" t="str">
        <f>IFERROR(IF(VLOOKUP(A1711,[12]PRIORIZADOS!$A:$S,19,FALSE)="","",VLOOKUP(A1711,[12]PRIORIZADOS!$A:$S,19,FALSE)),"")</f>
        <v>Cumple con las horas y semanas reglamentarias de acuerdo con la Resolución de la SED N° 1811 de 2024.</v>
      </c>
      <c r="T1711" s="70" t="str">
        <f>IFERROR(IF(VLOOKUP(A1711,[12]PRIORIZADOS!$A:$T,20,FALSE)="","",VLOOKUP(A1711,[12]PRIORIZADOS!$A:$T,20,FALSE)),"")</f>
        <v>No</v>
      </c>
      <c r="U1711" s="11" t="str">
        <f>IFERROR(IF(VLOOKUP(A1711,[12]PRIORIZADOS!$A:$U,21,FALSE)="","",VLOOKUP(A1711,[12]PRIORIZADOS!$A:$U,21,FALSE)),"")</f>
        <v>Se hará verificación en caso de presentarse requerimiento</v>
      </c>
    </row>
    <row r="1712" spans="1:21" s="1" customFormat="1" ht="321.75">
      <c r="A1712" s="69">
        <f>IF([12]PRIORIZADOS!A42="","",[12]PRIORIZADOS!A42)</f>
        <v>1679</v>
      </c>
      <c r="B1712" s="70">
        <v>4</v>
      </c>
      <c r="C1712" s="11" t="str">
        <f>IFERROR(IF(VLOOKUP(A1712,[12]PRIORIZADOS!$A:$C,3,FALSE)="","",VLOOKUP(A1712,[12]PRIORIZADOS!$A:$C,3,FALSE)),"")</f>
        <v>SAN CRISTÓBAL</v>
      </c>
      <c r="D1712" s="11" t="str">
        <f>IFERROR(IF(VLOOKUP(A1712,[12]PRIORIZADOS!$A:$D,4,FALSE)="","",VLOOKUP(A1712,[12]PRIORIZADOS!$A:$D,4,FALSE)),"")</f>
        <v>PRIVADO</v>
      </c>
      <c r="E1712" s="11" t="str">
        <f>IFERROR(IF(VLOOKUP(A1712,[12]PRIORIZADOS!$A:$E,5,FALSE)="","",VLOOKUP(A1712,[12]PRIORIZADOS!$A:$E,5,FALSE)),"")</f>
        <v>EPBM</v>
      </c>
      <c r="F1712" s="11" t="str">
        <f>IFERROR(IF(VLOOKUP(A1712,[12]PRIORIZADOS!$A:$F,6,FALSE)="","",VLOOKUP(A1712,[12]PRIORIZADOS!$A:$F,6,FALSE)),"")</f>
        <v>COLEGIO_LORENZO_DE_ALCANTUZ</v>
      </c>
      <c r="G1712" s="11" t="str">
        <f>IFERROR(IF(VLOOKUP(A1712,[12]PRIORIZADOS!$A:$G,7,FALSE)="","",VLOOKUP(A1712,[12]PRIORIZADOS!$A:$G,7,FALSE)),"")</f>
        <v>COLEGIO LORENZO DE ALCANTUZ</v>
      </c>
      <c r="H1712" s="11" t="str">
        <f>IFERROR(IF(VLOOKUP(A1712,[12]PRIORIZADOS!$A:$H,8,FALSE)="","",VLOOKUP(A1712,[12]PRIORIZADOS!$A:$H,8,FALSE)),"")</f>
        <v>Autoevaluación Institucional y Pruebas SABER 11</v>
      </c>
      <c r="I1712" s="11" t="str">
        <f>IFERROR(IF(VLOOKUP(A1712,[12]PRIORIZADOS!$A:$I,9,FALSE)="","",VLOOKUP(A1712,[12]PRIORIZADOS!$A:$I,9,FALSE)),"")</f>
        <v>EVALUACIÓN_CON_FINES_DE_MEJORAMIENTO.</v>
      </c>
      <c r="J1712" s="11" t="str">
        <f>IFERROR(IF(VLOOKUP(A1712,[12]PRIORIZADOS!$A:$J,10,FALSE)="","",VLOOKUP(A1712,[12]PRIORIZADOS!$A:$J,10,FALSE)),"")</f>
        <v>Verificar el funcionamiento del Gobierno Escolar e instancias de participación con base en la información sobre conformación reportada por la institución educativa.</v>
      </c>
      <c r="K1712" s="11" t="str">
        <f>IFERROR(IF(VLOOKUP(A1712,[12]PRIORIZADOS!$A:$K,11,FALSE)="","",VLOOKUP(A1712,[12]PRIORIZADOS!$A:$K,11,FALSE)),"")</f>
        <v>JUANITA LINA CAROLINA RAMÍREZ LÓPEZ</v>
      </c>
      <c r="L1712" s="11" t="str">
        <f>IFERROR(IF(VLOOKUP(A1712,[12]PRIORIZADOS!$A:$L,12,FALSE)="","",VLOOKUP(A1712,[12]PRIORIZADOS!$A:$L,12,FALSE)),"")</f>
        <v>XIMENA CAROLINA RAMÍREZ MORALES</v>
      </c>
      <c r="M1712" s="71">
        <f>IFERROR(IF(VLOOKUP(A1712,[12]PRIORIZADOS!$A:$M,13,FALSE)="","",VLOOKUP(A1712,[12]PRIORIZADOS!$A:$M,13,FALSE)),"")</f>
        <v>45807</v>
      </c>
      <c r="N1712" s="71">
        <f>IFERROR(IF(VLOOKUP(A1712,[12]PRIORIZADOS!$A:$N,14,FALSE)="","",VLOOKUP(A1712,[12]PRIORIZADOS!$A:$N,14,FALSE)),"")</f>
        <v>45807</v>
      </c>
      <c r="O1712" s="71">
        <f>IFERROR(IF(VLOOKUP(A1712,[12]PRIORIZADOS!$A:$O,15,FALSE)="","",VLOOKUP(A1712,[12]PRIORIZADOS!$A:$O,15,FALSE)),"")</f>
        <v>45807</v>
      </c>
      <c r="P1712" s="11" t="str">
        <f>IFERROR(IF(VLOOKUP(A1712,[12]PRIORIZADOS!$A:$P,16,FALSE)="","",VLOOKUP(A1712,[12]PRIORIZADOS!$A:$P,16,FALSE)),"")</f>
        <v>Visitas de evaluación con fines de mejoramiento</v>
      </c>
      <c r="Q1712" s="107" t="s">
        <v>381</v>
      </c>
      <c r="R1712" s="11" t="str">
        <f>IFERROR(IF(VLOOKUP(A1712,[12]PRIORIZADOS!$A:$R,18,FALSE)="","",VLOOKUP(A1712,[12]PRIORIZADOS!$A:$R,18,FALSE)),"")</f>
        <v>Aportan actas (Jardín a 11) de elección de Vocero, monitor académico, monitor de convivencia y brigadistas. Desde primero, las actas cuentan las respectivas firmas. 
La votación de personero, cabildante y contralor se realizó de manera digital. Aportaron listados con firma de cada uno de los cursos. 
En la primera asamblea (8/02/2025) se eligen los representantes a consejo de padres.
Los integrantes del consejo de padres  se citan a un encuentro (21 de febrero de 2025) en el cual se hace lectura de requisitos y funciones de los padres representantes a consejo directivo, consejo académico y cosejo convivencial. Aportan acta correspondiente con las respectivas firmas. 
También aportan actas descargadas del SAE. 
Se constatan actas de funcionamiento de consejo directivo de 2025: 21/05/2025; 24,02/2025; 07/05/2025, 22/05/2025
Se verifican actas de Consejo académico: 21/02/2025; 28/02/2025; 19/03/2025; 09/05/2025</v>
      </c>
      <c r="S1712" s="11" t="str">
        <f>IFERROR(IF(VLOOKUP(A1712,[12]PRIORIZADOS!$A:$S,19,FALSE)="","",VLOOKUP(A1712,[12]PRIORIZADOS!$A:$S,19,FALSE)),"")</f>
        <v>Tener en cuenta de preescolar a tercero se elige un solo representante para consejo estudiantil. El presidente de consejo estudiantil hace parte del comité de convivencia.</v>
      </c>
      <c r="T1712" s="70" t="str">
        <f>IFERROR(IF(VLOOKUP(A1712,[12]PRIORIZADOS!$A:$T,20,FALSE)="","",VLOOKUP(A1712,[12]PRIORIZADOS!$A:$T,20,FALSE)),"")</f>
        <v>No</v>
      </c>
      <c r="U1712" s="11" t="str">
        <f>IFERROR(IF(VLOOKUP(A1712,[12]PRIORIZADOS!$A:$U,21,FALSE)="","",VLOOKUP(A1712,[12]PRIORIZADOS!$A:$U,21,FALSE)),"")</f>
        <v>Se hará verificación en caso de presentarse requerimiento</v>
      </c>
    </row>
    <row r="1713" spans="1:21" s="1" customFormat="1" ht="130.5">
      <c r="A1713" s="69">
        <f>IF([12]PRIORIZADOS!A43="","",[12]PRIORIZADOS!A43)</f>
        <v>1680</v>
      </c>
      <c r="B1713" s="70">
        <v>4</v>
      </c>
      <c r="C1713" s="11" t="str">
        <f>IFERROR(IF(VLOOKUP(A1713,[12]PRIORIZADOS!$A:$C,3,FALSE)="","",VLOOKUP(A1713,[12]PRIORIZADOS!$A:$C,3,FALSE)),"")</f>
        <v>SAN CRISTÓBAL</v>
      </c>
      <c r="D1713" s="11" t="str">
        <f>IFERROR(IF(VLOOKUP(A1713,[12]PRIORIZADOS!$A:$D,4,FALSE)="","",VLOOKUP(A1713,[12]PRIORIZADOS!$A:$D,4,FALSE)),"")</f>
        <v>PRIVADO</v>
      </c>
      <c r="E1713" s="11" t="str">
        <f>IFERROR(IF(VLOOKUP(A1713,[12]PRIORIZADOS!$A:$E,5,FALSE)="","",VLOOKUP(A1713,[12]PRIORIZADOS!$A:$E,5,FALSE)),"")</f>
        <v>EPBM</v>
      </c>
      <c r="F1713" s="11" t="str">
        <f>IFERROR(IF(VLOOKUP(A1713,[12]PRIORIZADOS!$A:$F,6,FALSE)="","",VLOOKUP(A1713,[12]PRIORIZADOS!$A:$F,6,FALSE)),"")</f>
        <v>COLEGIO_LORENZO_DE_ALCANTUZ</v>
      </c>
      <c r="G1713" s="11" t="str">
        <f>IFERROR(IF(VLOOKUP(A1713,[12]PRIORIZADOS!$A:$G,7,FALSE)="","",VLOOKUP(A1713,[12]PRIORIZADOS!$A:$G,7,FALSE)),"")</f>
        <v>COLEGIO LORENZO DE ALCANTUZ</v>
      </c>
      <c r="H1713" s="11" t="str">
        <f>IFERROR(IF(VLOOKUP(A1713,[12]PRIORIZADOS!$A:$H,8,FALSE)="","",VLOOKUP(A1713,[12]PRIORIZADOS!$A:$H,8,FALSE)),"")</f>
        <v>Autoevaluación Institucional y Pruebas SABER 11</v>
      </c>
      <c r="I1713" s="11" t="str">
        <f>IFERROR(IF(VLOOKUP(A1713,[12]PRIORIZADOS!$A:$I,9,FALSE)="","",VLOOKUP(A1713,[12]PRIORIZADOS!$A:$I,9,FALSE)),"")</f>
        <v>EVALUACIÓN_CON_FINES_DE_MEJORAMIENTO.</v>
      </c>
      <c r="J1713" s="11" t="str">
        <f>IFERROR(IF(VLOOKUP(A1713,[12]PRIORIZADOS!$A:$J,10,FALSE)="","",VLOOKUP(A1713,[12]PRIORIZADOS!$A:$J,10,FALSE)),"")</f>
        <v>Verificar las condiciones en cuanto a: la estructura administrativa, condiciones de la planta física y medios educativos adecuados.</v>
      </c>
      <c r="K1713" s="11" t="str">
        <f>IFERROR(IF(VLOOKUP(A1713,[12]PRIORIZADOS!$A:$K,11,FALSE)="","",VLOOKUP(A1713,[12]PRIORIZADOS!$A:$K,11,FALSE)),"")</f>
        <v>JUANITA LINA CAROLINA RAMÍREZ LÓPEZ</v>
      </c>
      <c r="L1713" s="11" t="str">
        <f>IFERROR(IF(VLOOKUP(A1713,[12]PRIORIZADOS!$A:$L,12,FALSE)="","",VLOOKUP(A1713,[12]PRIORIZADOS!$A:$L,12,FALSE)),"")</f>
        <v>XIMENA CAROLINA RAMÍREZ MORALES</v>
      </c>
      <c r="M1713" s="71">
        <f>IFERROR(IF(VLOOKUP(A1713,[12]PRIORIZADOS!$A:$M,13,FALSE)="","",VLOOKUP(A1713,[12]PRIORIZADOS!$A:$M,13,FALSE)),"")</f>
        <v>45807</v>
      </c>
      <c r="N1713" s="71">
        <f>IFERROR(IF(VLOOKUP(A1713,[12]PRIORIZADOS!$A:$N,14,FALSE)="","",VLOOKUP(A1713,[12]PRIORIZADOS!$A:$N,14,FALSE)),"")</f>
        <v>45807</v>
      </c>
      <c r="O1713" s="71">
        <f>IFERROR(IF(VLOOKUP(A1713,[12]PRIORIZADOS!$A:$O,15,FALSE)="","",VLOOKUP(A1713,[12]PRIORIZADOS!$A:$O,15,FALSE)),"")</f>
        <v>45807</v>
      </c>
      <c r="P1713" s="11" t="str">
        <f>IFERROR(IF(VLOOKUP(A1713,[12]PRIORIZADOS!$A:$P,16,FALSE)="","",VLOOKUP(A1713,[12]PRIORIZADOS!$A:$P,16,FALSE)),"")</f>
        <v>Visitas de evaluación con fines de mejoramiento</v>
      </c>
      <c r="Q1713" s="107" t="s">
        <v>381</v>
      </c>
      <c r="R1713" s="11" t="str">
        <f>IFERROR(IF(VLOOKUP(A1713,[12]PRIORIZADOS!$A:$R,18,FALSE)="","",VLOOKUP(A1713,[12]PRIORIZADOS!$A:$R,18,FALSE)),"")</f>
        <v>En recorrido por la planta física, se encuentra que los espacios están en buen estado y cuentan con iluminación, ventilación y capacidad para la población que le da uso. Cada aula cuenta con televisor y computador, mobiliario suficiente y en buen estado. Cuenta con dos salas de informática, con suficientes equipo y conectividad funcional. Cuenta con canchas y patios internos de amplia capacidad</v>
      </c>
      <c r="S1713" s="11" t="str">
        <f>IFERROR(IF(VLOOKUP(A1713,[12]PRIORIZADOS!$A:$S,19,FALSE)="","",VLOOKUP(A1713,[12]PRIORIZADOS!$A:$S,19,FALSE)),"")</f>
        <v xml:space="preserve">Pese a que no cuenta con población de discapacidad física, tiene rampas. </v>
      </c>
      <c r="T1713" s="70" t="str">
        <f>IFERROR(IF(VLOOKUP(A1713,[12]PRIORIZADOS!$A:$T,20,FALSE)="","",VLOOKUP(A1713,[12]PRIORIZADOS!$A:$T,20,FALSE)),"")</f>
        <v>No</v>
      </c>
      <c r="U1713" s="11" t="str">
        <f>IFERROR(IF(VLOOKUP(A1713,[12]PRIORIZADOS!$A:$U,21,FALSE)="","",VLOOKUP(A1713,[12]PRIORIZADOS!$A:$U,21,FALSE)),"")</f>
        <v>Se hará verificación en caso de presentarse requerimiento</v>
      </c>
    </row>
    <row r="1714" spans="1:21" s="1" customFormat="1" ht="48">
      <c r="A1714" s="69">
        <f>IF([12]PRIORIZADOS!A44="","",[12]PRIORIZADOS!A44)</f>
        <v>1681</v>
      </c>
      <c r="B1714" s="70">
        <f>IFERROR(IF(VLOOKUP(A1714,[12]PRIORIZADOS!$A:$B,2,FALSE)="","",VLOOKUP(A1714,[12]PRIORIZADOS!$A:$B,2,FALSE)),"")</f>
        <v>5</v>
      </c>
      <c r="C1714" s="11" t="str">
        <f>IFERROR(IF(VLOOKUP(A1714,[12]PRIORIZADOS!$A:$C,3,FALSE)="","",VLOOKUP(A1714,[12]PRIORIZADOS!$A:$C,3,FALSE)),"")</f>
        <v>SAN CRISTÓBAL</v>
      </c>
      <c r="D1714" s="11" t="str">
        <f>IFERROR(IF(VLOOKUP(A1714,[12]PRIORIZADOS!$A:$D,4,FALSE)="","",VLOOKUP(A1714,[12]PRIORIZADOS!$A:$D,4,FALSE)),"")</f>
        <v>PRIVADO</v>
      </c>
      <c r="E1714" s="11" t="str">
        <f>IFERROR(IF(VLOOKUP(A1714,[12]PRIORIZADOS!$A:$E,5,FALSE)="","",VLOOKUP(A1714,[12]PRIORIZADOS!$A:$E,5,FALSE)),"")</f>
        <v>EPBM</v>
      </c>
      <c r="F1714" s="11" t="str">
        <f>IFERROR(IF(VLOOKUP(A1714,[12]PRIORIZADOS!$A:$F,6,FALSE)="","",VLOOKUP(A1714,[12]PRIORIZADOS!$A:$F,6,FALSE)),"")</f>
        <v>COLEGIO_MADRE_PAULA_MONTAL</v>
      </c>
      <c r="G1714" s="11" t="str">
        <f>IFERROR(IF(VLOOKUP(A1714,[12]PRIORIZADOS!$A:$G,7,FALSE)="","",VLOOKUP(A1714,[12]PRIORIZADOS!$A:$G,7,FALSE)),"")</f>
        <v>COLEGIO MADRE PAULA MONTAL</v>
      </c>
      <c r="H1714" s="11" t="str">
        <f>IFERROR(IF(VLOOKUP(A1714,[12]PRIORIZADOS!$A:$H,8,FALSE)="","",VLOOKUP(A1714,[12]PRIORIZADOS!$A:$H,8,FALSE)),"")</f>
        <v>Autoevaluación Institucional y Pruebas SABER 11</v>
      </c>
      <c r="I1714" s="11" t="str">
        <f>IFERROR(IF(VLOOKUP(A1714,[12]PRIORIZADOS!$A:$I,9,FALSE)="","",VLOOKUP(A1714,[12]PRIORIZADOS!$A:$I,9,FALSE)),"")</f>
        <v>SEGUIMIENTO_Y_SUPERVISIÓN.</v>
      </c>
      <c r="J1714" s="11" t="str">
        <f>IFERROR(IF(VLOOKUP(A1714,[12]PRIORIZADOS!$A:$J,10,FALSE)="","",VLOOKUP(A1714,[12]PRIORIZADOS!$A:$J,10,FALSE)),"")</f>
        <v>Realizar visitas para verificar la información registrada sobre la autoevaluación institucional en el aplicativo EVI, a los establecimientos de educación formal no oficial.</v>
      </c>
      <c r="K1714" s="11" t="str">
        <f>IFERROR(IF(VLOOKUP(A1714,[12]PRIORIZADOS!$A:$K,11,FALSE)="","",VLOOKUP(A1714,[12]PRIORIZADOS!$A:$K,11,FALSE)),"")</f>
        <v>XIMENA CAROLINA RAMÍREZ MORALES</v>
      </c>
      <c r="L1714" s="11" t="str">
        <f>IFERROR(IF(VLOOKUP(A1714,[12]PRIORIZADOS!$A:$L,12,FALSE)="","",VLOOKUP(A1714,[12]PRIORIZADOS!$A:$L,12,FALSE)),"")</f>
        <v>JAIRO ANDRÉS ÁLVAREZ CHÁVEZ</v>
      </c>
      <c r="M1714" s="71">
        <f>IFERROR(IF(VLOOKUP(A1714,[12]PRIORIZADOS!$A:$M,13,FALSE)="","",VLOOKUP(A1714,[12]PRIORIZADOS!$A:$M,13,FALSE)),"")</f>
        <v>45793</v>
      </c>
      <c r="N1714" s="71">
        <f>IFERROR(IF(VLOOKUP(A1714,[12]PRIORIZADOS!$A:$N,14,FALSE)="","",VLOOKUP(A1714,[12]PRIORIZADOS!$A:$N,14,FALSE)),"")</f>
        <v>45800</v>
      </c>
      <c r="O1714" s="71">
        <f>IFERROR(IF(VLOOKUP(A1714,[12]PRIORIZADOS!$A:$O,15,FALSE)="","",VLOOKUP(A1714,[12]PRIORIZADOS!$A:$O,15,FALSE)),"")</f>
        <v>45800</v>
      </c>
      <c r="P1714" s="11" t="str">
        <f>IFERROR(IF(VLOOKUP(A1714,[12]PRIORIZADOS!$A:$P,16,FALSE)="","",VLOOKUP(A1714,[12]PRIORIZADOS!$A:$P,16,FALSE)),"")</f>
        <v>Visitas de evaluación con fines de mejoramiento</v>
      </c>
      <c r="Q1714" s="107" t="s">
        <v>382</v>
      </c>
      <c r="R1714" s="11" t="str">
        <f>IFERROR(IF(VLOOKUP(A1714,[12]PRIORIZADOS!$A:$R,18,FALSE)="","",VLOOKUP(A1714,[12]PRIORIZADOS!$A:$R,18,FALSE)),"")</f>
        <v xml:space="preserve">Se encuentra publicada la resolución de tarifas. Cuentan con la plataforma master 2000 (Costos educativos) para la respectiva gestión. </v>
      </c>
      <c r="S1714" s="11" t="str">
        <f>IFERROR(IF(VLOOKUP(A1714,[12]PRIORIZADOS!$A:$S,19,FALSE)="","",VLOOKUP(A1714,[12]PRIORIZADOS!$A:$S,19,FALSE)),"")</f>
        <v xml:space="preserve">Continuar dando cumplimiento a los establecido en la resolución de tarifas 2025. </v>
      </c>
      <c r="T1714" s="70" t="str">
        <f>IFERROR(IF(VLOOKUP(A1714,[12]PRIORIZADOS!$A:$T,20,FALSE)="","",VLOOKUP(A1714,[12]PRIORIZADOS!$A:$T,20,FALSE)),"")</f>
        <v>No</v>
      </c>
      <c r="U1714" s="11" t="str">
        <f>IFERROR(IF(VLOOKUP(A1714,[12]PRIORIZADOS!$A:$U,21,FALSE)="","",VLOOKUP(A1714,[12]PRIORIZADOS!$A:$U,21,FALSE)),"")</f>
        <v>Se hará verificación en caso de presentarse requerimiento</v>
      </c>
    </row>
    <row r="1715" spans="1:21" s="1" customFormat="1" ht="60">
      <c r="A1715" s="69">
        <f>IF([12]PRIORIZADOS!A45="","",[12]PRIORIZADOS!A45)</f>
        <v>1682</v>
      </c>
      <c r="B1715" s="70">
        <v>5</v>
      </c>
      <c r="C1715" s="11" t="str">
        <f>IFERROR(IF(VLOOKUP(A1715,[12]PRIORIZADOS!$A:$C,3,FALSE)="","",VLOOKUP(A1715,[12]PRIORIZADOS!$A:$C,3,FALSE)),"")</f>
        <v>SAN CRISTÓBAL</v>
      </c>
      <c r="D1715" s="11" t="str">
        <f>IFERROR(IF(VLOOKUP(A1715,[12]PRIORIZADOS!$A:$D,4,FALSE)="","",VLOOKUP(A1715,[12]PRIORIZADOS!$A:$D,4,FALSE)),"")</f>
        <v>PRIVADO</v>
      </c>
      <c r="E1715" s="11" t="str">
        <f>IFERROR(IF(VLOOKUP(A1715,[12]PRIORIZADOS!$A:$E,5,FALSE)="","",VLOOKUP(A1715,[12]PRIORIZADOS!$A:$E,5,FALSE)),"")</f>
        <v>EPBM</v>
      </c>
      <c r="F1715" s="11" t="str">
        <f>IFERROR(IF(VLOOKUP(A1715,[12]PRIORIZADOS!$A:$F,6,FALSE)="","",VLOOKUP(A1715,[12]PRIORIZADOS!$A:$F,6,FALSE)),"")</f>
        <v>COLEGIO_MADRE_PAULA_MONTAL</v>
      </c>
      <c r="G1715" s="11" t="str">
        <f>IFERROR(IF(VLOOKUP(A1715,[12]PRIORIZADOS!$A:$G,7,FALSE)="","",VLOOKUP(A1715,[12]PRIORIZADOS!$A:$G,7,FALSE)),"")</f>
        <v>COLEGIO MADRE PAULA MONTAL</v>
      </c>
      <c r="H1715" s="11" t="str">
        <f>IFERROR(IF(VLOOKUP(A1715,[12]PRIORIZADOS!$A:$H,8,FALSE)="","",VLOOKUP(A1715,[12]PRIORIZADOS!$A:$H,8,FALSE)),"")</f>
        <v>Autoevaluación Institucional y Pruebas SABER 11</v>
      </c>
      <c r="I1715" s="11" t="str">
        <f>IFERROR(IF(VLOOKUP(A1715,[12]PRIORIZADOS!$A:$I,9,FALSE)="","",VLOOKUP(A1715,[12]PRIORIZADOS!$A:$I,9,FALSE)),"")</f>
        <v>SEGUIMIENTO_Y_SUPERVISIÓN.</v>
      </c>
      <c r="J1715" s="11" t="str">
        <f>IFERROR(IF(VLOOKUP(A1715,[12]PRIORIZADOS!$A:$J,10,FALSE)="","",VLOOKUP(A1715,[12]PRIORIZADOS!$A:$J,10,FALSE)),"")</f>
        <v>Proponer estrategias en la formulación, verificar su elaboración y realizar seguimiento semestral al desarrollo de  las acciones establecidas en los planes de mejoramiento por pruebas SABER 11 de los establecimientos de educación formal.</v>
      </c>
      <c r="K1715" s="11" t="str">
        <f>IFERROR(IF(VLOOKUP(A1715,[12]PRIORIZADOS!$A:$K,11,FALSE)="","",VLOOKUP(A1715,[12]PRIORIZADOS!$A:$K,11,FALSE)),"")</f>
        <v>XIMENA CAROLINA RAMÍREZ MORALES</v>
      </c>
      <c r="L1715" s="11" t="str">
        <f>IFERROR(IF(VLOOKUP(A1715,[12]PRIORIZADOS!$A:$L,12,FALSE)="","",VLOOKUP(A1715,[12]PRIORIZADOS!$A:$L,12,FALSE)),"")</f>
        <v>JAIRO ANDRÉS ÁLVAREZ CHÁVEZ</v>
      </c>
      <c r="M1715" s="71">
        <f>IFERROR(IF(VLOOKUP(A1715,[12]PRIORIZADOS!$A:$M,13,FALSE)="","",VLOOKUP(A1715,[12]PRIORIZADOS!$A:$M,13,FALSE)),"")</f>
        <v>45793</v>
      </c>
      <c r="N1715" s="71">
        <f>IFERROR(IF(VLOOKUP(A1715,[12]PRIORIZADOS!$A:$N,14,FALSE)="","",VLOOKUP(A1715,[12]PRIORIZADOS!$A:$N,14,FALSE)),"")</f>
        <v>45800</v>
      </c>
      <c r="O1715" s="71">
        <f>IFERROR(IF(VLOOKUP(A1715,[12]PRIORIZADOS!$A:$O,15,FALSE)="","",VLOOKUP(A1715,[12]PRIORIZADOS!$A:$O,15,FALSE)),"")</f>
        <v>45800</v>
      </c>
      <c r="P1715" s="11" t="str">
        <f>IFERROR(IF(VLOOKUP(A1715,[12]PRIORIZADOS!$A:$P,16,FALSE)="","",VLOOKUP(A1715,[12]PRIORIZADOS!$A:$P,16,FALSE)),"")</f>
        <v>Visitas de evaluación con fines de mejoramiento</v>
      </c>
      <c r="Q1715" s="107" t="s">
        <v>382</v>
      </c>
      <c r="R1715" s="11" t="str">
        <f>IFERROR(IF(VLOOKUP(A1715,[12]PRIORIZADOS!$A:$R,18,FALSE)="","",VLOOKUP(A1715,[12]PRIORIZADOS!$A:$R,18,FALSE)),"")</f>
        <v xml:space="preserve">Sugieren preicfes virtual de carácter voluntario. En la dinámica de las clases  han incorporado estrategias para fortalecer la lectura crítica. </v>
      </c>
      <c r="S1715" s="11" t="str">
        <f>IFERROR(IF(VLOOKUP(A1715,[12]PRIORIZADOS!$A:$S,19,FALSE)="","",VLOOKUP(A1715,[12]PRIORIZADOS!$A:$S,19,FALSE)),"")</f>
        <v xml:space="preserve">Seguir implementando estrategias para fortalecer los diferentes componentes evaluados en las pruebas saber. </v>
      </c>
      <c r="T1715" s="70" t="str">
        <f>IFERROR(IF(VLOOKUP(A1715,[12]PRIORIZADOS!$A:$T,20,FALSE)="","",VLOOKUP(A1715,[12]PRIORIZADOS!$A:$T,20,FALSE)),"")</f>
        <v>No</v>
      </c>
      <c r="U1715" s="11" t="str">
        <f>IFERROR(IF(VLOOKUP(A1715,[12]PRIORIZADOS!$A:$U,21,FALSE)="","",VLOOKUP(A1715,[12]PRIORIZADOS!$A:$U,21,FALSE)),"")</f>
        <v>Se hará verificación en caso de presentarse requerimiento</v>
      </c>
    </row>
    <row r="1716" spans="1:21" s="1" customFormat="1" ht="48">
      <c r="A1716" s="69">
        <f>IF([12]PRIORIZADOS!A46="","",[12]PRIORIZADOS!A46)</f>
        <v>1683</v>
      </c>
      <c r="B1716" s="70">
        <v>5</v>
      </c>
      <c r="C1716" s="11" t="str">
        <f>IFERROR(IF(VLOOKUP(A1716,[12]PRIORIZADOS!$A:$C,3,FALSE)="","",VLOOKUP(A1716,[12]PRIORIZADOS!$A:$C,3,FALSE)),"")</f>
        <v>SAN CRISTÓBAL</v>
      </c>
      <c r="D1716" s="11" t="str">
        <f>IFERROR(IF(VLOOKUP(A1716,[12]PRIORIZADOS!$A:$D,4,FALSE)="","",VLOOKUP(A1716,[12]PRIORIZADOS!$A:$D,4,FALSE)),"")</f>
        <v>PRIVADO</v>
      </c>
      <c r="E1716" s="11" t="str">
        <f>IFERROR(IF(VLOOKUP(A1716,[12]PRIORIZADOS!$A:$E,5,FALSE)="","",VLOOKUP(A1716,[12]PRIORIZADOS!$A:$E,5,FALSE)),"")</f>
        <v>EPBM</v>
      </c>
      <c r="F1716" s="11" t="str">
        <f>IFERROR(IF(VLOOKUP(A1716,[12]PRIORIZADOS!$A:$F,6,FALSE)="","",VLOOKUP(A1716,[12]PRIORIZADOS!$A:$F,6,FALSE)),"")</f>
        <v>COLEGIO_MADRE_PAULA_MONTAL</v>
      </c>
      <c r="G1716" s="11" t="str">
        <f>IFERROR(IF(VLOOKUP(A1716,[12]PRIORIZADOS!$A:$G,7,FALSE)="","",VLOOKUP(A1716,[12]PRIORIZADOS!$A:$G,7,FALSE)),"")</f>
        <v>COLEGIO MADRE PAULA MONTAL</v>
      </c>
      <c r="H1716" s="11" t="str">
        <f>IFERROR(IF(VLOOKUP(A1716,[12]PRIORIZADOS!$A:$H,8,FALSE)="","",VLOOKUP(A1716,[12]PRIORIZADOS!$A:$H,8,FALSE)),"")</f>
        <v>Autoevaluación Institucional y Pruebas SABER 11</v>
      </c>
      <c r="I1716" s="11" t="str">
        <f>IFERROR(IF(VLOOKUP(A1716,[12]PRIORIZADOS!$A:$I,9,FALSE)="","",VLOOKUP(A1716,[12]PRIORIZADOS!$A:$I,9,FALSE)),"")</f>
        <v>SEGUIMIENTO_Y_SUPERVISIÓN.</v>
      </c>
      <c r="J1716" s="11" t="str">
        <f>IFERROR(IF(VLOOKUP(A1716,[12]PRIORIZADOS!$A:$J,10,FALSE)="","",VLOOKUP(A1716,[12]PRIORIZADOS!$A:$J,10,FALSE)),"")</f>
        <v xml:space="preserve">Verificar la implementación por parte de los colegios, de acciones realizadas para la prevención y atención de las situaciones de convivencia en el entorno escolar, según lo establecido en la Directiva 01 de 2022 del MEN. </v>
      </c>
      <c r="K1716" s="11" t="str">
        <f>IFERROR(IF(VLOOKUP(A1716,[12]PRIORIZADOS!$A:$K,11,FALSE)="","",VLOOKUP(A1716,[12]PRIORIZADOS!$A:$K,11,FALSE)),"")</f>
        <v>XIMENA CAROLINA RAMÍREZ MORALES</v>
      </c>
      <c r="L1716" s="11" t="str">
        <f>IFERROR(IF(VLOOKUP(A1716,[12]PRIORIZADOS!$A:$L,12,FALSE)="","",VLOOKUP(A1716,[12]PRIORIZADOS!$A:$L,12,FALSE)),"")</f>
        <v>JAIRO ANDRÉS ÁLVAREZ CHÁVEZ</v>
      </c>
      <c r="M1716" s="71">
        <f>IFERROR(IF(VLOOKUP(A1716,[12]PRIORIZADOS!$A:$M,13,FALSE)="","",VLOOKUP(A1716,[12]PRIORIZADOS!$A:$M,13,FALSE)),"")</f>
        <v>45793</v>
      </c>
      <c r="N1716" s="71">
        <f>IFERROR(IF(VLOOKUP(A1716,[12]PRIORIZADOS!$A:$N,14,FALSE)="","",VLOOKUP(A1716,[12]PRIORIZADOS!$A:$N,14,FALSE)),"")</f>
        <v>45800</v>
      </c>
      <c r="O1716" s="71">
        <f>IFERROR(IF(VLOOKUP(A1716,[12]PRIORIZADOS!$A:$O,15,FALSE)="","",VLOOKUP(A1716,[12]PRIORIZADOS!$A:$O,15,FALSE)),"")</f>
        <v>45800</v>
      </c>
      <c r="P1716" s="11" t="str">
        <f>IFERROR(IF(VLOOKUP(A1716,[12]PRIORIZADOS!$A:$P,16,FALSE)="","",VLOOKUP(A1716,[12]PRIORIZADOS!$A:$P,16,FALSE)),"")</f>
        <v>Visitas de evaluación con fines de mejoramiento</v>
      </c>
      <c r="Q1716" s="107" t="s">
        <v>382</v>
      </c>
      <c r="R1716" s="11" t="str">
        <f>IFERROR(IF(VLOOKUP(A1716,[12]PRIORIZADOS!$A:$R,18,FALSE)="","",VLOOKUP(A1716,[12]PRIORIZADOS!$A:$R,18,FALSE)),"")</f>
        <v xml:space="preserve">Se constata verificación de antecedentes por délitos sexuales. </v>
      </c>
      <c r="S1716" s="11" t="str">
        <f>IFERROR(IF(VLOOKUP(A1716,[12]PRIORIZADOS!$A:$S,19,FALSE)="","",VLOOKUP(A1716,[12]PRIORIZADOS!$A:$S,19,FALSE)),"")</f>
        <v xml:space="preserve">Se recuerda realizar la consulta de inhabilidades cada 4 meses. </v>
      </c>
      <c r="T1716" s="70" t="str">
        <f>IFERROR(IF(VLOOKUP(A1716,[12]PRIORIZADOS!$A:$T,20,FALSE)="","",VLOOKUP(A1716,[12]PRIORIZADOS!$A:$T,20,FALSE)),"")</f>
        <v>No</v>
      </c>
      <c r="U1716" s="11" t="str">
        <f>IFERROR(IF(VLOOKUP(A1716,[12]PRIORIZADOS!$A:$U,21,FALSE)="","",VLOOKUP(A1716,[12]PRIORIZADOS!$A:$U,21,FALSE)),"")</f>
        <v>Se hará verificación en caso de presentarse requerimiento</v>
      </c>
    </row>
    <row r="1717" spans="1:21" s="1" customFormat="1" ht="72">
      <c r="A1717" s="69">
        <f>IF([12]PRIORIZADOS!A47="","",[12]PRIORIZADOS!A47)</f>
        <v>1684</v>
      </c>
      <c r="B1717" s="70">
        <v>5</v>
      </c>
      <c r="C1717" s="11" t="str">
        <f>IFERROR(IF(VLOOKUP(A1717,[12]PRIORIZADOS!$A:$C,3,FALSE)="","",VLOOKUP(A1717,[12]PRIORIZADOS!$A:$C,3,FALSE)),"")</f>
        <v>SAN CRISTÓBAL</v>
      </c>
      <c r="D1717" s="11" t="str">
        <f>IFERROR(IF(VLOOKUP(A1717,[12]PRIORIZADOS!$A:$D,4,FALSE)="","",VLOOKUP(A1717,[12]PRIORIZADOS!$A:$D,4,FALSE)),"")</f>
        <v>PRIVADO</v>
      </c>
      <c r="E1717" s="11" t="str">
        <f>IFERROR(IF(VLOOKUP(A1717,[12]PRIORIZADOS!$A:$E,5,FALSE)="","",VLOOKUP(A1717,[12]PRIORIZADOS!$A:$E,5,FALSE)),"")</f>
        <v>EPBM</v>
      </c>
      <c r="F1717" s="11" t="str">
        <f>IFERROR(IF(VLOOKUP(A1717,[12]PRIORIZADOS!$A:$F,6,FALSE)="","",VLOOKUP(A1717,[12]PRIORIZADOS!$A:$F,6,FALSE)),"")</f>
        <v>COLEGIO_MADRE_PAULA_MONTAL</v>
      </c>
      <c r="G1717" s="11" t="str">
        <f>IFERROR(IF(VLOOKUP(A1717,[12]PRIORIZADOS!$A:$G,7,FALSE)="","",VLOOKUP(A1717,[12]PRIORIZADOS!$A:$G,7,FALSE)),"")</f>
        <v>COLEGIO MADRE PAULA MONTAL</v>
      </c>
      <c r="H1717" s="11" t="str">
        <f>IFERROR(IF(VLOOKUP(A1717,[12]PRIORIZADOS!$A:$H,8,FALSE)="","",VLOOKUP(A1717,[12]PRIORIZADOS!$A:$H,8,FALSE)),"")</f>
        <v>Autoevaluación Institucional y Pruebas SABER 11</v>
      </c>
      <c r="I1717" s="11" t="str">
        <f>IFERROR(IF(VLOOKUP(A1717,[12]PRIORIZADOS!$A:$I,9,FALSE)="","",VLOOKUP(A1717,[12]PRIORIZADOS!$A:$I,9,FALSE)),"")</f>
        <v>SEGUIMIENTO_Y_SUPERVISIÓN.</v>
      </c>
      <c r="J1717" s="11" t="str">
        <f>IFERROR(IF(VLOOKUP(A1717,[12]PRIORIZADOS!$A:$J,10,FALSE)="","",VLOOKUP(A1717,[12]PRIORIZADOS!$A:$J,10,FALSE)),"")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17" s="11" t="str">
        <f>IFERROR(IF(VLOOKUP(A1717,[12]PRIORIZADOS!$A:$K,11,FALSE)="","",VLOOKUP(A1717,[12]PRIORIZADOS!$A:$K,11,FALSE)),"")</f>
        <v>XIMENA CAROLINA RAMÍREZ MORALES</v>
      </c>
      <c r="L1717" s="11" t="str">
        <f>IFERROR(IF(VLOOKUP(A1717,[12]PRIORIZADOS!$A:$L,12,FALSE)="","",VLOOKUP(A1717,[12]PRIORIZADOS!$A:$L,12,FALSE)),"")</f>
        <v>JAIRO ANDRÉS ÁLVAREZ CHÁVEZ</v>
      </c>
      <c r="M1717" s="71">
        <f>IFERROR(IF(VLOOKUP(A1717,[12]PRIORIZADOS!$A:$M,13,FALSE)="","",VLOOKUP(A1717,[12]PRIORIZADOS!$A:$M,13,FALSE)),"")</f>
        <v>45793</v>
      </c>
      <c r="N1717" s="71">
        <f>IFERROR(IF(VLOOKUP(A1717,[12]PRIORIZADOS!$A:$N,14,FALSE)="","",VLOOKUP(A1717,[12]PRIORIZADOS!$A:$N,14,FALSE)),"")</f>
        <v>45800</v>
      </c>
      <c r="O1717" s="71">
        <f>IFERROR(IF(VLOOKUP(A1717,[12]PRIORIZADOS!$A:$O,15,FALSE)="","",VLOOKUP(A1717,[12]PRIORIZADOS!$A:$O,15,FALSE)),"")</f>
        <v>45800</v>
      </c>
      <c r="P1717" s="11" t="str">
        <f>IFERROR(IF(VLOOKUP(A1717,[12]PRIORIZADOS!$A:$P,16,FALSE)="","",VLOOKUP(A1717,[12]PRIORIZADOS!$A:$P,16,FALSE)),"")</f>
        <v>Visitas de evaluación con fines de mejoramiento</v>
      </c>
      <c r="Q1717" s="107" t="s">
        <v>382</v>
      </c>
      <c r="R1717" s="11" t="str">
        <f>IFERROR(IF(VLOOKUP(A1717,[12]PRIORIZADOS!$A:$R,18,FALSE)="","",VLOOKUP(A1717,[12]PRIORIZADOS!$A:$R,18,FALSE)),"")</f>
        <v xml:space="preserve">La IE cuenta con los PIAR en la plataforma Master 2000 (Sistema académico).  El acta de acuerdos con las familias se encuentra en físico debidamente firmadas. </v>
      </c>
      <c r="S1717" s="11" t="str">
        <f>IFERROR(IF(VLOOKUP(A1717,[12]PRIORIZADOS!$A:$S,19,FALSE)="","",VLOOKUP(A1717,[12]PRIORIZADOS!$A:$S,19,FALSE)),"")</f>
        <v xml:space="preserve">Continuar con la aplicación de los PIAR y evaluar periódicamente la pertinencia de las estrategias desarrolladas. </v>
      </c>
      <c r="T1717" s="70" t="str">
        <f>IFERROR(IF(VLOOKUP(A1717,[12]PRIORIZADOS!$A:$T,20,FALSE)="","",VLOOKUP(A1717,[12]PRIORIZADOS!$A:$T,20,FALSE)),"")</f>
        <v>No</v>
      </c>
      <c r="U1717" s="11" t="str">
        <f>IFERROR(IF(VLOOKUP(A1717,[12]PRIORIZADOS!$A:$U,21,FALSE)="","",VLOOKUP(A1717,[12]PRIORIZADOS!$A:$U,21,FALSE)),"")</f>
        <v>Se hará verificación en caso de presentarse requerimiento</v>
      </c>
    </row>
    <row r="1718" spans="1:21" s="1" customFormat="1" ht="84">
      <c r="A1718" s="69">
        <f>IF([12]PRIORIZADOS!A48="","",[12]PRIORIZADOS!A48)</f>
        <v>1685</v>
      </c>
      <c r="B1718" s="70">
        <v>5</v>
      </c>
      <c r="C1718" s="11" t="str">
        <f>IFERROR(IF(VLOOKUP(A1718,[12]PRIORIZADOS!$A:$C,3,FALSE)="","",VLOOKUP(A1718,[12]PRIORIZADOS!$A:$C,3,FALSE)),"")</f>
        <v>SAN CRISTÓBAL</v>
      </c>
      <c r="D1718" s="11" t="str">
        <f>IFERROR(IF(VLOOKUP(A1718,[12]PRIORIZADOS!$A:$D,4,FALSE)="","",VLOOKUP(A1718,[12]PRIORIZADOS!$A:$D,4,FALSE)),"")</f>
        <v>PRIVADO</v>
      </c>
      <c r="E1718" s="11" t="str">
        <f>IFERROR(IF(VLOOKUP(A1718,[12]PRIORIZADOS!$A:$E,5,FALSE)="","",VLOOKUP(A1718,[12]PRIORIZADOS!$A:$E,5,FALSE)),"")</f>
        <v>EPBM</v>
      </c>
      <c r="F1718" s="11" t="str">
        <f>IFERROR(IF(VLOOKUP(A1718,[12]PRIORIZADOS!$A:$F,6,FALSE)="","",VLOOKUP(A1718,[12]PRIORIZADOS!$A:$F,6,FALSE)),"")</f>
        <v>COLEGIO_MADRE_PAULA_MONTAL</v>
      </c>
      <c r="G1718" s="11" t="str">
        <f>IFERROR(IF(VLOOKUP(A1718,[12]PRIORIZADOS!$A:$G,7,FALSE)="","",VLOOKUP(A1718,[12]PRIORIZADOS!$A:$G,7,FALSE)),"")</f>
        <v>COLEGIO MADRE PAULA MONTAL</v>
      </c>
      <c r="H1718" s="11" t="str">
        <f>IFERROR(IF(VLOOKUP(A1718,[12]PRIORIZADOS!$A:$H,8,FALSE)="","",VLOOKUP(A1718,[12]PRIORIZADOS!$A:$H,8,FALSE)),"")</f>
        <v>Autoevaluación Institucional y Pruebas SABER 11</v>
      </c>
      <c r="I1718" s="11" t="str">
        <f>IFERROR(IF(VLOOKUP(A1718,[12]PRIORIZADOS!$A:$I,9,FALSE)="","",VLOOKUP(A1718,[12]PRIORIZADOS!$A:$I,9,FALSE)),"")</f>
        <v>EVALUACIÓN_CON_FINES_DE_MEJORAMIENTO.</v>
      </c>
      <c r="J1718" s="11" t="str">
        <f>IFERROR(IF(VLOOKUP(A1718,[12]PRIORIZADOS!$A:$J,10,FALSE)="","",VLOOKUP(A1718,[12]PRIORIZADOS!$A:$J,10,FALSE)),"")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18" s="11" t="str">
        <f>IFERROR(IF(VLOOKUP(A1718,[12]PRIORIZADOS!$A:$K,11,FALSE)="","",VLOOKUP(A1718,[12]PRIORIZADOS!$A:$K,11,FALSE)),"")</f>
        <v>XIMENA CAROLINA RAMÍREZ MORALES</v>
      </c>
      <c r="L1718" s="11" t="str">
        <f>IFERROR(IF(VLOOKUP(A1718,[12]PRIORIZADOS!$A:$L,12,FALSE)="","",VLOOKUP(A1718,[12]PRIORIZADOS!$A:$L,12,FALSE)),"")</f>
        <v>JAIRO ANDRÉS ÁLVAREZ CHÁVEZ</v>
      </c>
      <c r="M1718" s="71">
        <f>IFERROR(IF(VLOOKUP(A1718,[12]PRIORIZADOS!$A:$M,13,FALSE)="","",VLOOKUP(A1718,[12]PRIORIZADOS!$A:$M,13,FALSE)),"")</f>
        <v>45793</v>
      </c>
      <c r="N1718" s="71">
        <f>IFERROR(IF(VLOOKUP(A1718,[12]PRIORIZADOS!$A:$N,14,FALSE)="","",VLOOKUP(A1718,[12]PRIORIZADOS!$A:$N,14,FALSE)),"")</f>
        <v>45800</v>
      </c>
      <c r="O1718" s="71">
        <f>IFERROR(IF(VLOOKUP(A1718,[12]PRIORIZADOS!$A:$O,15,FALSE)="","",VLOOKUP(A1718,[12]PRIORIZADOS!$A:$O,15,FALSE)),"")</f>
        <v>45800</v>
      </c>
      <c r="P1718" s="11" t="str">
        <f>IFERROR(IF(VLOOKUP(A1718,[12]PRIORIZADOS!$A:$P,16,FALSE)="","",VLOOKUP(A1718,[12]PRIORIZADOS!$A:$P,16,FALSE)),"")</f>
        <v>Visitas de evaluación con fines de mejoramiento</v>
      </c>
      <c r="Q1718" s="107" t="s">
        <v>382</v>
      </c>
      <c r="R1718" s="11" t="str">
        <f>IFERROR(IF(VLOOKUP(A1718,[12]PRIORIZADOS!$A:$R,18,FALSE)="","",VLOOKUP(A1718,[12]PRIORIZADOS!$A:$R,18,FALSE)),"")</f>
        <v xml:space="preserve">El manual de convivencia cuenta los  elementos establecidos según la normatividad. En su adecuación intervienen las instancias correspondientes. Citan diferentes integrantes de la comunidad educativa al finalizar el año para ajustes. </v>
      </c>
      <c r="S1718" s="11" t="str">
        <f>IFERROR(IF(VLOOKUP(A1718,[12]PRIORIZADOS!$A:$S,19,FALSE)="","",VLOOKUP(A1718,[12]PRIORIZADOS!$A:$S,19,FALSE)),"")</f>
        <v xml:space="preserve">Evidenciar en los órganos de gobierno escolar la participación, para no generar reuniones adicionales. </v>
      </c>
      <c r="T1718" s="70" t="str">
        <f>IFERROR(IF(VLOOKUP(A1718,[12]PRIORIZADOS!$A:$T,20,FALSE)="","",VLOOKUP(A1718,[12]PRIORIZADOS!$A:$T,20,FALSE)),"")</f>
        <v>No</v>
      </c>
      <c r="U1718" s="11" t="str">
        <f>IFERROR(IF(VLOOKUP(A1718,[12]PRIORIZADOS!$A:$U,21,FALSE)="","",VLOOKUP(A1718,[12]PRIORIZADOS!$A:$U,21,FALSE)),"")</f>
        <v>Se hará verificación en caso de presentarse requerimiento</v>
      </c>
    </row>
    <row r="1719" spans="1:21" s="1" customFormat="1" ht="72">
      <c r="A1719" s="69">
        <f>IF([12]PRIORIZADOS!A49="","",[12]PRIORIZADOS!A49)</f>
        <v>1686</v>
      </c>
      <c r="B1719" s="70">
        <v>5</v>
      </c>
      <c r="C1719" s="11" t="str">
        <f>IFERROR(IF(VLOOKUP(A1719,[12]PRIORIZADOS!$A:$C,3,FALSE)="","",VLOOKUP(A1719,[12]PRIORIZADOS!$A:$C,3,FALSE)),"")</f>
        <v>SAN CRISTÓBAL</v>
      </c>
      <c r="D1719" s="11" t="str">
        <f>IFERROR(IF(VLOOKUP(A1719,[12]PRIORIZADOS!$A:$D,4,FALSE)="","",VLOOKUP(A1719,[12]PRIORIZADOS!$A:$D,4,FALSE)),"")</f>
        <v>PRIVADO</v>
      </c>
      <c r="E1719" s="11" t="str">
        <f>IFERROR(IF(VLOOKUP(A1719,[12]PRIORIZADOS!$A:$E,5,FALSE)="","",VLOOKUP(A1719,[12]PRIORIZADOS!$A:$E,5,FALSE)),"")</f>
        <v>EPBM</v>
      </c>
      <c r="F1719" s="11" t="str">
        <f>IFERROR(IF(VLOOKUP(A1719,[12]PRIORIZADOS!$A:$F,6,FALSE)="","",VLOOKUP(A1719,[12]PRIORIZADOS!$A:$F,6,FALSE)),"")</f>
        <v>COLEGIO_MADRE_PAULA_MONTAL</v>
      </c>
      <c r="G1719" s="11" t="str">
        <f>IFERROR(IF(VLOOKUP(A1719,[12]PRIORIZADOS!$A:$G,7,FALSE)="","",VLOOKUP(A1719,[12]PRIORIZADOS!$A:$G,7,FALSE)),"")</f>
        <v>COLEGIO MADRE PAULA MONTAL</v>
      </c>
      <c r="H1719" s="11" t="str">
        <f>IFERROR(IF(VLOOKUP(A1719,[12]PRIORIZADOS!$A:$H,8,FALSE)="","",VLOOKUP(A1719,[12]PRIORIZADOS!$A:$H,8,FALSE)),"")</f>
        <v>Autoevaluación Institucional y Pruebas SABER 11</v>
      </c>
      <c r="I1719" s="11" t="str">
        <f>IFERROR(IF(VLOOKUP(A1719,[12]PRIORIZADOS!$A:$I,9,FALSE)="","",VLOOKUP(A1719,[12]PRIORIZADOS!$A:$I,9,FALSE)),"")</f>
        <v>EVALUACIÓN_CON_FINES_DE_MEJORAMIENTO.</v>
      </c>
      <c r="J1719" s="11" t="str">
        <f>IFERROR(IF(VLOOKUP(A1719,[12]PRIORIZADOS!$A:$J,10,FALSE)="","",VLOOKUP(A1719,[12]PRIORIZADOS!$A:$J,10,FALSE)),"")</f>
        <v>Revisar la actualización, socialización e implementación del Sistema Institucional de Evaluación de Estudiantes - SIEE, en articulación con la actualización del PEI y la normatividad vigente.</v>
      </c>
      <c r="K1719" s="11" t="str">
        <f>IFERROR(IF(VLOOKUP(A1719,[12]PRIORIZADOS!$A:$K,11,FALSE)="","",VLOOKUP(A1719,[12]PRIORIZADOS!$A:$K,11,FALSE)),"")</f>
        <v>XIMENA CAROLINA RAMÍREZ MORALES</v>
      </c>
      <c r="L1719" s="11" t="str">
        <f>IFERROR(IF(VLOOKUP(A1719,[12]PRIORIZADOS!$A:$L,12,FALSE)="","",VLOOKUP(A1719,[12]PRIORIZADOS!$A:$L,12,FALSE)),"")</f>
        <v>JAIRO ANDRÉS ÁLVAREZ CHÁVEZ</v>
      </c>
      <c r="M1719" s="71">
        <f>IFERROR(IF(VLOOKUP(A1719,[12]PRIORIZADOS!$A:$M,13,FALSE)="","",VLOOKUP(A1719,[12]PRIORIZADOS!$A:$M,13,FALSE)),"")</f>
        <v>45793</v>
      </c>
      <c r="N1719" s="71">
        <f>IFERROR(IF(VLOOKUP(A1719,[12]PRIORIZADOS!$A:$N,14,FALSE)="","",VLOOKUP(A1719,[12]PRIORIZADOS!$A:$N,14,FALSE)),"")</f>
        <v>45800</v>
      </c>
      <c r="O1719" s="71">
        <f>IFERROR(IF(VLOOKUP(A1719,[12]PRIORIZADOS!$A:$O,15,FALSE)="","",VLOOKUP(A1719,[12]PRIORIZADOS!$A:$O,15,FALSE)),"")</f>
        <v>45800</v>
      </c>
      <c r="P1719" s="11" t="str">
        <f>IFERROR(IF(VLOOKUP(A1719,[12]PRIORIZADOS!$A:$P,16,FALSE)="","",VLOOKUP(A1719,[12]PRIORIZADOS!$A:$P,16,FALSE)),"")</f>
        <v>Visitas de evaluación con fines de mejoramiento</v>
      </c>
      <c r="Q1719" s="107" t="s">
        <v>382</v>
      </c>
      <c r="R1719" s="11" t="str">
        <f>IFERROR(IF(VLOOKUP(A1719,[12]PRIORIZADOS!$A:$R,18,FALSE)="","",VLOOKUP(A1719,[12]PRIORIZADOS!$A:$R,18,FALSE)),"")</f>
        <v>El SIEE refiere ámbito conceptual, fundamentación legal, alcance de la evaluación, tipos de evaluación, ámbito operativo, escala de valoración articulación SENA. Se evidencia trazabilidad PEI, SIEE, planes de área, planeador de clase.</v>
      </c>
      <c r="S1719" s="11" t="str">
        <f>IFERROR(IF(VLOOKUP(A1719,[12]PRIORIZADOS!$A:$S,19,FALSE)="","",VLOOKUP(A1719,[12]PRIORIZADOS!$A:$S,19,FALSE)),"")</f>
        <v xml:space="preserve">Continuar con la actualización, socialización e implementación de acuerdo con la normatividad vigente. </v>
      </c>
      <c r="T1719" s="70" t="str">
        <f>IFERROR(IF(VLOOKUP(A1719,[12]PRIORIZADOS!$A:$T,20,FALSE)="","",VLOOKUP(A1719,[12]PRIORIZADOS!$A:$T,20,FALSE)),"")</f>
        <v>No</v>
      </c>
      <c r="U1719" s="11" t="str">
        <f>IFERROR(IF(VLOOKUP(A1719,[12]PRIORIZADOS!$A:$U,21,FALSE)="","",VLOOKUP(A1719,[12]PRIORIZADOS!$A:$U,21,FALSE)),"")</f>
        <v>Se hará verificación en caso de presentarse requerimiento</v>
      </c>
    </row>
    <row r="1720" spans="1:21" s="1" customFormat="1" ht="48">
      <c r="A1720" s="69">
        <f>IF([12]PRIORIZADOS!A50="","",[12]PRIORIZADOS!A50)</f>
        <v>1687</v>
      </c>
      <c r="B1720" s="70">
        <v>5</v>
      </c>
      <c r="C1720" s="11" t="str">
        <f>IFERROR(IF(VLOOKUP(A1720,[12]PRIORIZADOS!$A:$C,3,FALSE)="","",VLOOKUP(A1720,[12]PRIORIZADOS!$A:$C,3,FALSE)),"")</f>
        <v>SAN CRISTÓBAL</v>
      </c>
      <c r="D1720" s="11" t="str">
        <f>IFERROR(IF(VLOOKUP(A1720,[12]PRIORIZADOS!$A:$D,4,FALSE)="","",VLOOKUP(A1720,[12]PRIORIZADOS!$A:$D,4,FALSE)),"")</f>
        <v>PRIVADO</v>
      </c>
      <c r="E1720" s="11" t="str">
        <f>IFERROR(IF(VLOOKUP(A1720,[12]PRIORIZADOS!$A:$E,5,FALSE)="","",VLOOKUP(A1720,[12]PRIORIZADOS!$A:$E,5,FALSE)),"")</f>
        <v>EPBM</v>
      </c>
      <c r="F1720" s="11" t="str">
        <f>IFERROR(IF(VLOOKUP(A1720,[12]PRIORIZADOS!$A:$F,6,FALSE)="","",VLOOKUP(A1720,[12]PRIORIZADOS!$A:$F,6,FALSE)),"")</f>
        <v>COLEGIO_MADRE_PAULA_MONTAL</v>
      </c>
      <c r="G1720" s="11" t="str">
        <f>IFERROR(IF(VLOOKUP(A1720,[12]PRIORIZADOS!$A:$G,7,FALSE)="","",VLOOKUP(A1720,[12]PRIORIZADOS!$A:$G,7,FALSE)),"")</f>
        <v>COLEGIO MADRE PAULA MONTAL</v>
      </c>
      <c r="H1720" s="11" t="str">
        <f>IFERROR(IF(VLOOKUP(A1720,[12]PRIORIZADOS!$A:$H,8,FALSE)="","",VLOOKUP(A1720,[12]PRIORIZADOS!$A:$H,8,FALSE)),"")</f>
        <v>Autoevaluación Institucional y Pruebas SABER 11</v>
      </c>
      <c r="I1720" s="11" t="str">
        <f>IFERROR(IF(VLOOKUP(A1720,[12]PRIORIZADOS!$A:$I,9,FALSE)="","",VLOOKUP(A1720,[12]PRIORIZADOS!$A:$I,9,FALSE)),"")</f>
        <v>EVALUACIÓN_CON_FINES_DE_MEJORAMIENTO.</v>
      </c>
      <c r="J1720" s="11" t="str">
        <f>IFERROR(IF(VLOOKUP(A1720,[12]PRIORIZADOS!$A:$J,10,FALSE)="","",VLOOKUP(A1720,[12]PRIORIZADOS!$A:$J,10,FALSE)),"")</f>
        <v>Revisar el calendario escolar, jornada escolar, la intensidad horaria mínima anual en cada nivel y las modificaciones que se realicen al mismo, de acuerdo con lo previsto en la normatividad vigente.</v>
      </c>
      <c r="K1720" s="11" t="str">
        <f>IFERROR(IF(VLOOKUP(A1720,[12]PRIORIZADOS!$A:$K,11,FALSE)="","",VLOOKUP(A1720,[12]PRIORIZADOS!$A:$K,11,FALSE)),"")</f>
        <v>XIMENA CAROLINA RAMÍREZ MORALES</v>
      </c>
      <c r="L1720" s="11" t="str">
        <f>IFERROR(IF(VLOOKUP(A1720,[12]PRIORIZADOS!$A:$L,12,FALSE)="","",VLOOKUP(A1720,[12]PRIORIZADOS!$A:$L,12,FALSE)),"")</f>
        <v>JAIRO ANDRÉS ÁLVAREZ CHÁVEZ</v>
      </c>
      <c r="M1720" s="71">
        <f>IFERROR(IF(VLOOKUP(A1720,[12]PRIORIZADOS!$A:$M,13,FALSE)="","",VLOOKUP(A1720,[12]PRIORIZADOS!$A:$M,13,FALSE)),"")</f>
        <v>45793</v>
      </c>
      <c r="N1720" s="71">
        <f>IFERROR(IF(VLOOKUP(A1720,[12]PRIORIZADOS!$A:$N,14,FALSE)="","",VLOOKUP(A1720,[12]PRIORIZADOS!$A:$N,14,FALSE)),"")</f>
        <v>45800</v>
      </c>
      <c r="O1720" s="71">
        <f>IFERROR(IF(VLOOKUP(A1720,[12]PRIORIZADOS!$A:$O,15,FALSE)="","",VLOOKUP(A1720,[12]PRIORIZADOS!$A:$O,15,FALSE)),"")</f>
        <v>45800</v>
      </c>
      <c r="P1720" s="11" t="str">
        <f>IFERROR(IF(VLOOKUP(A1720,[12]PRIORIZADOS!$A:$P,16,FALSE)="","",VLOOKUP(A1720,[12]PRIORIZADOS!$A:$P,16,FALSE)),"")</f>
        <v>Visitas de evaluación con fines de mejoramiento</v>
      </c>
      <c r="Q1720" s="107" t="s">
        <v>382</v>
      </c>
      <c r="R1720" s="11" t="str">
        <f>IFERROR(IF(VLOOKUP(A1720,[12]PRIORIZADOS!$A:$R,18,FALSE)="","",VLOOKUP(A1720,[12]PRIORIZADOS!$A:$R,18,FALSE)),"")</f>
        <v xml:space="preserve">Cumple con las horas y semanas reglamentarias de acuerdo con la resolución de la SED No. 1811 de 2024 </v>
      </c>
      <c r="S1720" s="11" t="str">
        <f>IFERROR(IF(VLOOKUP(A1720,[12]PRIORIZADOS!$A:$S,19,FALSE)="","",VLOOKUP(A1720,[12]PRIORIZADOS!$A:$S,19,FALSE)),"")</f>
        <v xml:space="preserve">Continuar con la prestación del servicio educativo de acuerdo con lo establecido en la normatividad vigente. </v>
      </c>
      <c r="T1720" s="70" t="str">
        <f>IFERROR(IF(VLOOKUP(A1720,[12]PRIORIZADOS!$A:$T,20,FALSE)="","",VLOOKUP(A1720,[12]PRIORIZADOS!$A:$T,20,FALSE)),"")</f>
        <v>No</v>
      </c>
      <c r="U1720" s="11" t="str">
        <f>IFERROR(IF(VLOOKUP(A1720,[12]PRIORIZADOS!$A:$U,21,FALSE)="","",VLOOKUP(A1720,[12]PRIORIZADOS!$A:$U,21,FALSE)),"")</f>
        <v>Se hará verificación en caso de presentarse requerimiento</v>
      </c>
    </row>
    <row r="1721" spans="1:21" s="1" customFormat="1" ht="48">
      <c r="A1721" s="69">
        <f>IF([12]PRIORIZADOS!A51="","",[12]PRIORIZADOS!A51)</f>
        <v>1688</v>
      </c>
      <c r="B1721" s="70">
        <v>5</v>
      </c>
      <c r="C1721" s="11" t="str">
        <f>IFERROR(IF(VLOOKUP(A1721,[12]PRIORIZADOS!$A:$C,3,FALSE)="","",VLOOKUP(A1721,[12]PRIORIZADOS!$A:$C,3,FALSE)),"")</f>
        <v>SAN CRISTÓBAL</v>
      </c>
      <c r="D1721" s="11" t="str">
        <f>IFERROR(IF(VLOOKUP(A1721,[12]PRIORIZADOS!$A:$D,4,FALSE)="","",VLOOKUP(A1721,[12]PRIORIZADOS!$A:$D,4,FALSE)),"")</f>
        <v>PRIVADO</v>
      </c>
      <c r="E1721" s="11" t="str">
        <f>IFERROR(IF(VLOOKUP(A1721,[12]PRIORIZADOS!$A:$E,5,FALSE)="","",VLOOKUP(A1721,[12]PRIORIZADOS!$A:$E,5,FALSE)),"")</f>
        <v>EPBM</v>
      </c>
      <c r="F1721" s="11" t="str">
        <f>IFERROR(IF(VLOOKUP(A1721,[12]PRIORIZADOS!$A:$F,6,FALSE)="","",VLOOKUP(A1721,[12]PRIORIZADOS!$A:$F,6,FALSE)),"")</f>
        <v>COLEGIO_MADRE_PAULA_MONTAL</v>
      </c>
      <c r="G1721" s="11" t="str">
        <f>IFERROR(IF(VLOOKUP(A1721,[12]PRIORIZADOS!$A:$G,7,FALSE)="","",VLOOKUP(A1721,[12]PRIORIZADOS!$A:$G,7,FALSE)),"")</f>
        <v>COLEGIO MADRE PAULA MONTAL</v>
      </c>
      <c r="H1721" s="11" t="str">
        <f>IFERROR(IF(VLOOKUP(A1721,[12]PRIORIZADOS!$A:$H,8,FALSE)="","",VLOOKUP(A1721,[12]PRIORIZADOS!$A:$H,8,FALSE)),"")</f>
        <v>Autoevaluación Institucional y Pruebas SABER 11</v>
      </c>
      <c r="I1721" s="11" t="str">
        <f>IFERROR(IF(VLOOKUP(A1721,[12]PRIORIZADOS!$A:$I,9,FALSE)="","",VLOOKUP(A1721,[12]PRIORIZADOS!$A:$I,9,FALSE)),"")</f>
        <v>EVALUACIÓN_CON_FINES_DE_MEJORAMIENTO.</v>
      </c>
      <c r="J1721" s="11" t="str">
        <f>IFERROR(IF(VLOOKUP(A1721,[12]PRIORIZADOS!$A:$J,10,FALSE)="","",VLOOKUP(A1721,[12]PRIORIZADOS!$A:$J,10,FALSE)),"")</f>
        <v>Verificar el funcionamiento del Gobierno Escolar e instancias de participación con base en la información sobre conformación reportada por la institución educativa.</v>
      </c>
      <c r="K1721" s="11" t="str">
        <f>IFERROR(IF(VLOOKUP(A1721,[12]PRIORIZADOS!$A:$K,11,FALSE)="","",VLOOKUP(A1721,[12]PRIORIZADOS!$A:$K,11,FALSE)),"")</f>
        <v>XIMENA CAROLINA RAMÍREZ MORALES</v>
      </c>
      <c r="L1721" s="11" t="str">
        <f>IFERROR(IF(VLOOKUP(A1721,[12]PRIORIZADOS!$A:$L,12,FALSE)="","",VLOOKUP(A1721,[12]PRIORIZADOS!$A:$L,12,FALSE)),"")</f>
        <v>JAIRO ANDRÉS ÁLVAREZ CHÁVEZ</v>
      </c>
      <c r="M1721" s="71">
        <f>IFERROR(IF(VLOOKUP(A1721,[12]PRIORIZADOS!$A:$M,13,FALSE)="","",VLOOKUP(A1721,[12]PRIORIZADOS!$A:$M,13,FALSE)),"")</f>
        <v>45793</v>
      </c>
      <c r="N1721" s="71">
        <f>IFERROR(IF(VLOOKUP(A1721,[12]PRIORIZADOS!$A:$N,14,FALSE)="","",VLOOKUP(A1721,[12]PRIORIZADOS!$A:$N,14,FALSE)),"")</f>
        <v>45800</v>
      </c>
      <c r="O1721" s="71">
        <f>IFERROR(IF(VLOOKUP(A1721,[12]PRIORIZADOS!$A:$O,15,FALSE)="","",VLOOKUP(A1721,[12]PRIORIZADOS!$A:$O,15,FALSE)),"")</f>
        <v>45800</v>
      </c>
      <c r="P1721" s="11" t="str">
        <f>IFERROR(IF(VLOOKUP(A1721,[12]PRIORIZADOS!$A:$P,16,FALSE)="","",VLOOKUP(A1721,[12]PRIORIZADOS!$A:$P,16,FALSE)),"")</f>
        <v>Visitas de evaluación con fines de mejoramiento</v>
      </c>
      <c r="Q1721" s="107" t="s">
        <v>382</v>
      </c>
      <c r="R1721" s="11" t="str">
        <f>IFERROR(IF(VLOOKUP(A1721,[12]PRIORIZADOS!$A:$R,18,FALSE)="","",VLOOKUP(A1721,[12]PRIORIZADOS!$A:$R,18,FALSE)),"")</f>
        <v xml:space="preserve">Se constatan actas de consejo estudiantil, consejo de padres, consejo directivo, consejo académico, comité de convivencia escolar. </v>
      </c>
      <c r="S1721" s="11" t="str">
        <f>IFERROR(IF(VLOOKUP(A1721,[12]PRIORIZADOS!$A:$S,19,FALSE)="","",VLOOKUP(A1721,[12]PRIORIZADOS!$A:$S,19,FALSE)),"")</f>
        <v xml:space="preserve">En consejo directivo aclarar como se eligieron representantes de sector productivo y exalumno, En elecciones de estudiantes adjuntar asistencia del día. </v>
      </c>
      <c r="T1721" s="70" t="str">
        <f>IFERROR(IF(VLOOKUP(A1721,[12]PRIORIZADOS!$A:$T,20,FALSE)="","",VLOOKUP(A1721,[12]PRIORIZADOS!$A:$T,20,FALSE)),"")</f>
        <v>No</v>
      </c>
      <c r="U1721" s="11" t="str">
        <f>IFERROR(IF(VLOOKUP(A1721,[12]PRIORIZADOS!$A:$U,21,FALSE)="","",VLOOKUP(A1721,[12]PRIORIZADOS!$A:$U,21,FALSE)),"")</f>
        <v>Se hará verificación en caso de presentarse requerimiento</v>
      </c>
    </row>
    <row r="1722" spans="1:21" s="1" customFormat="1" ht="60">
      <c r="A1722" s="69">
        <f>IF([12]PRIORIZADOS!A52="","",[12]PRIORIZADOS!A52)</f>
        <v>1689</v>
      </c>
      <c r="B1722" s="70">
        <v>5</v>
      </c>
      <c r="C1722" s="11" t="str">
        <f>IFERROR(IF(VLOOKUP(A1722,[12]PRIORIZADOS!$A:$C,3,FALSE)="","",VLOOKUP(A1722,[12]PRIORIZADOS!$A:$C,3,FALSE)),"")</f>
        <v>SAN CRISTÓBAL</v>
      </c>
      <c r="D1722" s="11" t="str">
        <f>IFERROR(IF(VLOOKUP(A1722,[12]PRIORIZADOS!$A:$D,4,FALSE)="","",VLOOKUP(A1722,[12]PRIORIZADOS!$A:$D,4,FALSE)),"")</f>
        <v>PRIVADO</v>
      </c>
      <c r="E1722" s="11" t="str">
        <f>IFERROR(IF(VLOOKUP(A1722,[12]PRIORIZADOS!$A:$E,5,FALSE)="","",VLOOKUP(A1722,[12]PRIORIZADOS!$A:$E,5,FALSE)),"")</f>
        <v>EPBM</v>
      </c>
      <c r="F1722" s="11" t="str">
        <f>IFERROR(IF(VLOOKUP(A1722,[12]PRIORIZADOS!$A:$F,6,FALSE)="","",VLOOKUP(A1722,[12]PRIORIZADOS!$A:$F,6,FALSE)),"")</f>
        <v>COLEGIO_MADRE_PAULA_MONTAL</v>
      </c>
      <c r="G1722" s="11" t="str">
        <f>IFERROR(IF(VLOOKUP(A1722,[12]PRIORIZADOS!$A:$G,7,FALSE)="","",VLOOKUP(A1722,[12]PRIORIZADOS!$A:$G,7,FALSE)),"")</f>
        <v>COLEGIO MADRE PAULA MONTAL</v>
      </c>
      <c r="H1722" s="11" t="str">
        <f>IFERROR(IF(VLOOKUP(A1722,[12]PRIORIZADOS!$A:$H,8,FALSE)="","",VLOOKUP(A1722,[12]PRIORIZADOS!$A:$H,8,FALSE)),"")</f>
        <v>Autoevaluación Institucional y Pruebas SABER 11</v>
      </c>
      <c r="I1722" s="11" t="str">
        <f>IFERROR(IF(VLOOKUP(A1722,[12]PRIORIZADOS!$A:$I,9,FALSE)="","",VLOOKUP(A1722,[12]PRIORIZADOS!$A:$I,9,FALSE)),"")</f>
        <v>EVALUACIÓN_CON_FINES_DE_MEJORAMIENTO.</v>
      </c>
      <c r="J1722" s="11" t="str">
        <f>IFERROR(IF(VLOOKUP(A1722,[12]PRIORIZADOS!$A:$J,10,FALSE)="","",VLOOKUP(A1722,[12]PRIORIZADOS!$A:$J,10,FALSE)),"")</f>
        <v>Verificar las condiciones en cuanto a: la estructura administrativa, condiciones de la planta física y medios educativos adecuados.</v>
      </c>
      <c r="K1722" s="11" t="str">
        <f>IFERROR(IF(VLOOKUP(A1722,[12]PRIORIZADOS!$A:$K,11,FALSE)="","",VLOOKUP(A1722,[12]PRIORIZADOS!$A:$K,11,FALSE)),"")</f>
        <v>XIMENA CAROLINA RAMÍREZ MORALES</v>
      </c>
      <c r="L1722" s="11" t="str">
        <f>IFERROR(IF(VLOOKUP(A1722,[12]PRIORIZADOS!$A:$L,12,FALSE)="","",VLOOKUP(A1722,[12]PRIORIZADOS!$A:$L,12,FALSE)),"")</f>
        <v>JAIRO ANDRÉS ÁLVAREZ CHÁVEZ</v>
      </c>
      <c r="M1722" s="71">
        <f>IFERROR(IF(VLOOKUP(A1722,[12]PRIORIZADOS!$A:$M,13,FALSE)="","",VLOOKUP(A1722,[12]PRIORIZADOS!$A:$M,13,FALSE)),"")</f>
        <v>45793</v>
      </c>
      <c r="N1722" s="71">
        <f>IFERROR(IF(VLOOKUP(A1722,[12]PRIORIZADOS!$A:$N,14,FALSE)="","",VLOOKUP(A1722,[12]PRIORIZADOS!$A:$N,14,FALSE)),"")</f>
        <v>45800</v>
      </c>
      <c r="O1722" s="71">
        <f>IFERROR(IF(VLOOKUP(A1722,[12]PRIORIZADOS!$A:$O,15,FALSE)="","",VLOOKUP(A1722,[12]PRIORIZADOS!$A:$O,15,FALSE)),"")</f>
        <v>45800</v>
      </c>
      <c r="P1722" s="11" t="str">
        <f>IFERROR(IF(VLOOKUP(A1722,[12]PRIORIZADOS!$A:$P,16,FALSE)="","",VLOOKUP(A1722,[12]PRIORIZADOS!$A:$P,16,FALSE)),"")</f>
        <v>Visitas de evaluación con fines de mejoramiento</v>
      </c>
      <c r="Q1722" s="107" t="s">
        <v>382</v>
      </c>
      <c r="R1722" s="11" t="str">
        <f>IFERROR(IF(VLOOKUP(A1722,[12]PRIORIZADOS!$A:$R,18,FALSE)="","",VLOOKUP(A1722,[12]PRIORIZADOS!$A:$R,18,FALSE)),"")</f>
        <v xml:space="preserve">En recorrido se constatan adecuadas condiciones de infraestructura. 
Se verifica acta de secretaria de salud SB06705361 concepto  favorable con requerimientos. </v>
      </c>
      <c r="S1722" s="11" t="str">
        <f>IFERROR(IF(VLOOKUP(A1722,[12]PRIORIZADOS!$A:$S,19,FALSE)="","",VLOOKUP(A1722,[12]PRIORIZADOS!$A:$S,19,FALSE)),"")</f>
        <v xml:space="preserve">Dar cumplimiento a los requerimientos de secretaria de salud. </v>
      </c>
      <c r="T1722" s="70" t="str">
        <f>IFERROR(IF(VLOOKUP(A1722,[12]PRIORIZADOS!$A:$T,20,FALSE)="","",VLOOKUP(A1722,[12]PRIORIZADOS!$A:$T,20,FALSE)),"")</f>
        <v>No</v>
      </c>
      <c r="U1722" s="11" t="str">
        <f>IFERROR(IF(VLOOKUP(A1722,[12]PRIORIZADOS!$A:$U,21,FALSE)="","",VLOOKUP(A1722,[12]PRIORIZADOS!$A:$U,21,FALSE)),"")</f>
        <v>Se hará verificación en caso de presentarse requerimiento</v>
      </c>
    </row>
    <row r="1723" spans="1:21" s="1" customFormat="1" ht="48">
      <c r="A1723" s="69">
        <f>IF([12]PRIORIZADOS!A53="","",[12]PRIORIZADOS!A53)</f>
        <v>1690</v>
      </c>
      <c r="B1723" s="70">
        <f>IFERROR(IF(VLOOKUP(A1723,[12]PRIORIZADOS!$A:$B,2,FALSE)="","",VLOOKUP(A1723,[12]PRIORIZADOS!$A:$B,2,FALSE)),"")</f>
        <v>6</v>
      </c>
      <c r="C1723" s="11" t="str">
        <f>IFERROR(IF(VLOOKUP(A1723,[12]PRIORIZADOS!$A:$C,3,FALSE)="","",VLOOKUP(A1723,[12]PRIORIZADOS!$A:$C,3,FALSE)),"")</f>
        <v>SAN CRISTÓBAL</v>
      </c>
      <c r="D1723" s="11" t="str">
        <f>IFERROR(IF(VLOOKUP(A1723,[12]PRIORIZADOS!$A:$D,4,FALSE)="","",VLOOKUP(A1723,[12]PRIORIZADOS!$A:$D,4,FALSE)),"")</f>
        <v>PRIVADO</v>
      </c>
      <c r="E1723" s="11" t="str">
        <f>IFERROR(IF(VLOOKUP(A1723,[12]PRIORIZADOS!$A:$E,5,FALSE)="","",VLOOKUP(A1723,[12]PRIORIZADOS!$A:$E,5,FALSE)),"")</f>
        <v>EPBM</v>
      </c>
      <c r="F1723" s="11" t="str">
        <f>IFERROR(IF(VLOOKUP(A1723,[12]PRIORIZADOS!$A:$F,6,FALSE)="","",VLOOKUP(A1723,[12]PRIORIZADOS!$A:$F,6,FALSE)),"")</f>
        <v>COLEGIO_MONSEÑOR_BERNARDO_SANCHEZ_HERMANAS_DE_NUESTRA_SEÑORA_DE_LA_PAZ</v>
      </c>
      <c r="G1723" s="11" t="str">
        <f>IFERROR(IF(VLOOKUP(A1723,[12]PRIORIZADOS!$A:$G,7,FALSE)="","",VLOOKUP(A1723,[12]PRIORIZADOS!$A:$G,7,FALSE)),"")</f>
        <v>COLEGIO MONSEÑOR BERNARDO SANCHEZ HERMANAS DE NUESTRA SEÑORA DE LA PAZ</v>
      </c>
      <c r="H1723" s="11" t="str">
        <f>IFERROR(IF(VLOOKUP(A1723,[12]PRIORIZADOS!$A:$H,8,FALSE)="","",VLOOKUP(A1723,[12]PRIORIZADOS!$A:$H,8,FALSE)),"")</f>
        <v>Autoevaluación Institucional y Pruebas SABER 11</v>
      </c>
      <c r="I1723" s="11" t="str">
        <f>IFERROR(IF(VLOOKUP(A1723,[12]PRIORIZADOS!$A:$I,9,FALSE)="","",VLOOKUP(A1723,[12]PRIORIZADOS!$A:$I,9,FALSE)),"")</f>
        <v>SEGUIMIENTO_Y_SUPERVISIÓN.</v>
      </c>
      <c r="J1723" s="11" t="str">
        <f>IFERROR(IF(VLOOKUP(A1723,[12]PRIORIZADOS!$A:$J,10,FALSE)="","",VLOOKUP(A1723,[12]PRIORIZADOS!$A:$J,10,FALSE)),"")</f>
        <v>Realizar visitas para verificar la información registrada sobre la autoevaluación institucional en el aplicativo EVI, a los establecimientos de educación formal no oficial.</v>
      </c>
      <c r="K1723" s="11" t="str">
        <f>IFERROR(IF(VLOOKUP(A1723,[12]PRIORIZADOS!$A:$K,11,FALSE)="","",VLOOKUP(A1723,[12]PRIORIZADOS!$A:$K,11,FALSE)),"")</f>
        <v>JOSÉ ASDRUBAL PÉREZ GIRALDO</v>
      </c>
      <c r="L1723" s="11" t="str">
        <f>IFERROR(IF(VLOOKUP(A1723,[12]PRIORIZADOS!$A:$L,12,FALSE)="","",VLOOKUP(A1723,[12]PRIORIZADOS!$A:$L,12,FALSE)),"")</f>
        <v>JAIRO ANDRÉS ÁLVAREZ CHÁVEZ</v>
      </c>
      <c r="M1723" s="71">
        <f>IFERROR(IF(VLOOKUP(A1723,[12]PRIORIZADOS!$A:$M,13,FALSE)="","",VLOOKUP(A1723,[12]PRIORIZADOS!$A:$M,13,FALSE)),"")</f>
        <v>45737</v>
      </c>
      <c r="N1723" s="71">
        <f>IFERROR(IF(VLOOKUP(A1723,[12]PRIORIZADOS!$A:$N,14,FALSE)="","",VLOOKUP(A1723,[12]PRIORIZADOS!$A:$N,14,FALSE)),"")</f>
        <v>45796</v>
      </c>
      <c r="O1723" s="71">
        <f>IFERROR(IF(VLOOKUP(A1723,[12]PRIORIZADOS!$A:$O,15,FALSE)="","",VLOOKUP(A1723,[12]PRIORIZADOS!$A:$O,15,FALSE)),"")</f>
        <v>45796</v>
      </c>
      <c r="P1723" s="11" t="str">
        <f>IFERROR(IF(VLOOKUP(A1723,[12]PRIORIZADOS!$A:$P,16,FALSE)="","",VLOOKUP(A1723,[12]PRIORIZADOS!$A:$P,16,FALSE)),"")</f>
        <v>Visitas de evaluación con fines de mejoramiento</v>
      </c>
      <c r="Q1723" s="107" t="s">
        <v>383</v>
      </c>
      <c r="R1723" s="11" t="str">
        <f>IFERROR(IF(VLOOKUP(A1723,[12]PRIORIZADOS!$A:$R,18,FALSE)="","",VLOOKUP(A1723,[12]PRIORIZADOS!$A:$R,18,FALSE)),"")</f>
        <v>Se verifica la clasificación en régimen regulado, se verifica instalaciones, Resolución de tarifas acordes con lo diligenciado en EVI.</v>
      </c>
      <c r="S1723" s="11" t="str">
        <f>IFERROR(IF(VLOOKUP(A1723,[12]PRIORIZADOS!$A:$S,19,FALSE)="","",VLOOKUP(A1723,[12]PRIORIZADOS!$A:$S,19,FALSE)),"")</f>
        <v>Se encuentra relación entre el EVI y lo encontrado en el EE cumpliendo con lo registrado en EVI.</v>
      </c>
      <c r="T1723" s="70" t="str">
        <f>IFERROR(IF(VLOOKUP(A1723,[12]PRIORIZADOS!$A:$T,20,FALSE)="","",VLOOKUP(A1723,[12]PRIORIZADOS!$A:$T,20,FALSE)),"")</f>
        <v>No</v>
      </c>
      <c r="U1723" s="11" t="str">
        <f>IFERROR(IF(VLOOKUP(A1723,[12]PRIORIZADOS!$A:$U,21,FALSE)="","",VLOOKUP(A1723,[12]PRIORIZADOS!$A:$U,21,FALSE)),"")</f>
        <v>Se hará verificación en caso de presentarse requerimiento</v>
      </c>
    </row>
    <row r="1724" spans="1:21" s="1" customFormat="1" ht="84">
      <c r="A1724" s="69">
        <f>IF([12]PRIORIZADOS!A54="","",[12]PRIORIZADOS!A54)</f>
        <v>1691</v>
      </c>
      <c r="B1724" s="70">
        <v>6</v>
      </c>
      <c r="C1724" s="11" t="str">
        <f>IFERROR(IF(VLOOKUP(A1724,[12]PRIORIZADOS!$A:$C,3,FALSE)="","",VLOOKUP(A1724,[12]PRIORIZADOS!$A:$C,3,FALSE)),"")</f>
        <v>SAN CRISTÓBAL</v>
      </c>
      <c r="D1724" s="11" t="str">
        <f>IFERROR(IF(VLOOKUP(A1724,[12]PRIORIZADOS!$A:$D,4,FALSE)="","",VLOOKUP(A1724,[12]PRIORIZADOS!$A:$D,4,FALSE)),"")</f>
        <v>PRIVADO</v>
      </c>
      <c r="E1724" s="11" t="str">
        <f>IFERROR(IF(VLOOKUP(A1724,[12]PRIORIZADOS!$A:$E,5,FALSE)="","",VLOOKUP(A1724,[12]PRIORIZADOS!$A:$E,5,FALSE)),"")</f>
        <v>EPBM</v>
      </c>
      <c r="F1724" s="11" t="str">
        <f>IFERROR(IF(VLOOKUP(A1724,[12]PRIORIZADOS!$A:$F,6,FALSE)="","",VLOOKUP(A1724,[12]PRIORIZADOS!$A:$F,6,FALSE)),"")</f>
        <v>COLEGIO_MONSEÑOR_BERNARDO_SANCHEZ_HERMANAS_DE_NUESTRA_SEÑORA_DE_LA_PAZ</v>
      </c>
      <c r="G1724" s="11" t="str">
        <f>IFERROR(IF(VLOOKUP(A1724,[12]PRIORIZADOS!$A:$G,7,FALSE)="","",VLOOKUP(A1724,[12]PRIORIZADOS!$A:$G,7,FALSE)),"")</f>
        <v>COLEGIO MONSEÑOR BERNARDO SANCHEZ HERMANAS DE NUESTRA SEÑORA DE LA PAZ</v>
      </c>
      <c r="H1724" s="11" t="str">
        <f>IFERROR(IF(VLOOKUP(A1724,[12]PRIORIZADOS!$A:$H,8,FALSE)="","",VLOOKUP(A1724,[12]PRIORIZADOS!$A:$H,8,FALSE)),"")</f>
        <v>Autoevaluación Institucional y Pruebas SABER 11</v>
      </c>
      <c r="I1724" s="11" t="str">
        <f>IFERROR(IF(VLOOKUP(A1724,[12]PRIORIZADOS!$A:$I,9,FALSE)="","",VLOOKUP(A1724,[12]PRIORIZADOS!$A:$I,9,FALSE)),"")</f>
        <v>SEGUIMIENTO_Y_SUPERVISIÓN.</v>
      </c>
      <c r="J1724" s="11" t="str">
        <f>IFERROR(IF(VLOOKUP(A1724,[12]PRIORIZADOS!$A:$J,10,FALSE)="","",VLOOKUP(A1724,[12]PRIORIZADOS!$A:$J,10,FALSE)),"")</f>
        <v>Proponer estrategias en la formulación, verificar su elaboración y realizar seguimiento semestral al desarrollo de  las acciones establecidas en los planes de mejoramiento por pruebas SABER 11 de los establecimientos de educación formal.</v>
      </c>
      <c r="K1724" s="11" t="str">
        <f>IFERROR(IF(VLOOKUP(A1724,[12]PRIORIZADOS!$A:$K,11,FALSE)="","",VLOOKUP(A1724,[12]PRIORIZADOS!$A:$K,11,FALSE)),"")</f>
        <v>JOSÉ ASDRUBAL PÉREZ GIRALDO</v>
      </c>
      <c r="L1724" s="11" t="str">
        <f>IFERROR(IF(VLOOKUP(A1724,[12]PRIORIZADOS!$A:$L,12,FALSE)="","",VLOOKUP(A1724,[12]PRIORIZADOS!$A:$L,12,FALSE)),"")</f>
        <v>JAIRO ANDRÉS ÁLVAREZ CHÁVEZ</v>
      </c>
      <c r="M1724" s="71">
        <f>IFERROR(IF(VLOOKUP(A1724,[12]PRIORIZADOS!$A:$M,13,FALSE)="","",VLOOKUP(A1724,[12]PRIORIZADOS!$A:$M,13,FALSE)),"")</f>
        <v>45737</v>
      </c>
      <c r="N1724" s="71">
        <f>IFERROR(IF(VLOOKUP(A1724,[12]PRIORIZADOS!$A:$N,14,FALSE)="","",VLOOKUP(A1724,[12]PRIORIZADOS!$A:$N,14,FALSE)),"")</f>
        <v>45796</v>
      </c>
      <c r="O1724" s="71">
        <f>IFERROR(IF(VLOOKUP(A1724,[12]PRIORIZADOS!$A:$O,15,FALSE)="","",VLOOKUP(A1724,[12]PRIORIZADOS!$A:$O,15,FALSE)),"")</f>
        <v>45796</v>
      </c>
      <c r="P1724" s="11" t="str">
        <f>IFERROR(IF(VLOOKUP(A1724,[12]PRIORIZADOS!$A:$P,16,FALSE)="","",VLOOKUP(A1724,[12]PRIORIZADOS!$A:$P,16,FALSE)),"")</f>
        <v>Visitas de evaluación con fines de mejoramiento</v>
      </c>
      <c r="Q1724" s="107" t="s">
        <v>383</v>
      </c>
      <c r="R1724" s="11" t="str">
        <f>IFERROR(IF(VLOOKUP(A1724,[12]PRIORIZADOS!$A:$R,18,FALSE)="","",VLOOKUP(A1724,[12]PRIORIZADOS!$A:$R,18,FALSE)),"")</f>
        <v>El Colegio esta trabajando con  los simulacros de Milton Ochoa Martes de Prueba, se emprenden estrategias pedagogicas por areas para que los docentes hagan refuerzos desde grado 6°. A grado 11° se oferta voluntariamente un PREICFES.</v>
      </c>
      <c r="S1724" s="11" t="str">
        <f>IFERROR(IF(VLOOKUP(A1724,[12]PRIORIZADOS!$A:$S,19,FALSE)="","",VLOOKUP(A1724,[12]PRIORIZADOS!$A:$S,19,FALSE)),"")</f>
        <v>Se solicita al colegio a fortalecer este proceso teniendo en cuenta sus resutados en pruebas saber.</v>
      </c>
      <c r="T1724" s="70" t="str">
        <f>IFERROR(IF(VLOOKUP(A1724,[12]PRIORIZADOS!$A:$T,20,FALSE)="","",VLOOKUP(A1724,[12]PRIORIZADOS!$A:$T,20,FALSE)),"")</f>
        <v>No</v>
      </c>
      <c r="U1724" s="11" t="str">
        <f>IFERROR(IF(VLOOKUP(A1724,[12]PRIORIZADOS!$A:$U,21,FALSE)="","",VLOOKUP(A1724,[12]PRIORIZADOS!$A:$U,21,FALSE)),"")</f>
        <v>Se hará verificación en caso de presentarse requerimiento</v>
      </c>
    </row>
    <row r="1725" spans="1:21" s="1" customFormat="1" ht="72">
      <c r="A1725" s="69">
        <f>IF([12]PRIORIZADOS!A55="","",[12]PRIORIZADOS!A55)</f>
        <v>1692</v>
      </c>
      <c r="B1725" s="70">
        <v>6</v>
      </c>
      <c r="C1725" s="11" t="str">
        <f>IFERROR(IF(VLOOKUP(A1725,[12]PRIORIZADOS!$A:$C,3,FALSE)="","",VLOOKUP(A1725,[12]PRIORIZADOS!$A:$C,3,FALSE)),"")</f>
        <v>SAN CRISTÓBAL</v>
      </c>
      <c r="D1725" s="11" t="str">
        <f>IFERROR(IF(VLOOKUP(A1725,[12]PRIORIZADOS!$A:$D,4,FALSE)="","",VLOOKUP(A1725,[12]PRIORIZADOS!$A:$D,4,FALSE)),"")</f>
        <v>PRIVADO</v>
      </c>
      <c r="E1725" s="11" t="str">
        <f>IFERROR(IF(VLOOKUP(A1725,[12]PRIORIZADOS!$A:$E,5,FALSE)="","",VLOOKUP(A1725,[12]PRIORIZADOS!$A:$E,5,FALSE)),"")</f>
        <v>EPBM</v>
      </c>
      <c r="F1725" s="11" t="str">
        <f>IFERROR(IF(VLOOKUP(A1725,[12]PRIORIZADOS!$A:$F,6,FALSE)="","",VLOOKUP(A1725,[12]PRIORIZADOS!$A:$F,6,FALSE)),"")</f>
        <v>COLEGIO_MONSEÑOR_BERNARDO_SANCHEZ_HERMANAS_DE_NUESTRA_SEÑORA_DE_LA_PAZ</v>
      </c>
      <c r="G1725" s="11" t="str">
        <f>IFERROR(IF(VLOOKUP(A1725,[12]PRIORIZADOS!$A:$G,7,FALSE)="","",VLOOKUP(A1725,[12]PRIORIZADOS!$A:$G,7,FALSE)),"")</f>
        <v>COLEGIO MONSEÑOR BERNARDO SANCHEZ HERMANAS DE NUESTRA SEÑORA DE LA PAZ</v>
      </c>
      <c r="H1725" s="11" t="str">
        <f>IFERROR(IF(VLOOKUP(A1725,[12]PRIORIZADOS!$A:$H,8,FALSE)="","",VLOOKUP(A1725,[12]PRIORIZADOS!$A:$H,8,FALSE)),"")</f>
        <v>Autoevaluación Institucional y Pruebas SABER 11</v>
      </c>
      <c r="I1725" s="11" t="str">
        <f>IFERROR(IF(VLOOKUP(A1725,[12]PRIORIZADOS!$A:$I,9,FALSE)="","",VLOOKUP(A1725,[12]PRIORIZADOS!$A:$I,9,FALSE)),"")</f>
        <v>SEGUIMIENTO_Y_SUPERVISIÓN.</v>
      </c>
      <c r="J1725" s="11" t="str">
        <f>IFERROR(IF(VLOOKUP(A1725,[12]PRIORIZADOS!$A:$J,10,FALSE)="","",VLOOKUP(A1725,[12]PRIORIZADOS!$A:$J,10,FALSE)),"")</f>
        <v xml:space="preserve">Verificar la implementación por parte de los colegios, de acciones realizadas para la prevención y atención de las situaciones de convivencia en el entorno escolar, según lo establecido en la Directiva 01 de 2022 del MEN. </v>
      </c>
      <c r="K1725" s="11" t="str">
        <f>IFERROR(IF(VLOOKUP(A1725,[12]PRIORIZADOS!$A:$K,11,FALSE)="","",VLOOKUP(A1725,[12]PRIORIZADOS!$A:$K,11,FALSE)),"")</f>
        <v>JOSÉ ASDRUBAL PÉREZ GIRALDO</v>
      </c>
      <c r="L1725" s="11" t="str">
        <f>IFERROR(IF(VLOOKUP(A1725,[12]PRIORIZADOS!$A:$L,12,FALSE)="","",VLOOKUP(A1725,[12]PRIORIZADOS!$A:$L,12,FALSE)),"")</f>
        <v>JAIRO ANDRÉS ÁLVAREZ CHÁVEZ</v>
      </c>
      <c r="M1725" s="71">
        <f>IFERROR(IF(VLOOKUP(A1725,[12]PRIORIZADOS!$A:$M,13,FALSE)="","",VLOOKUP(A1725,[12]PRIORIZADOS!$A:$M,13,FALSE)),"")</f>
        <v>45737</v>
      </c>
      <c r="N1725" s="71">
        <f>IFERROR(IF(VLOOKUP(A1725,[12]PRIORIZADOS!$A:$N,14,FALSE)="","",VLOOKUP(A1725,[12]PRIORIZADOS!$A:$N,14,FALSE)),"")</f>
        <v>45796</v>
      </c>
      <c r="O1725" s="71">
        <f>IFERROR(IF(VLOOKUP(A1725,[12]PRIORIZADOS!$A:$O,15,FALSE)="","",VLOOKUP(A1725,[12]PRIORIZADOS!$A:$O,15,FALSE)),"")</f>
        <v>45796</v>
      </c>
      <c r="P1725" s="11" t="str">
        <f>IFERROR(IF(VLOOKUP(A1725,[12]PRIORIZADOS!$A:$P,16,FALSE)="","",VLOOKUP(A1725,[12]PRIORIZADOS!$A:$P,16,FALSE)),"")</f>
        <v>Visitas de evaluación con fines de mejoramiento</v>
      </c>
      <c r="Q1725" s="107" t="s">
        <v>383</v>
      </c>
      <c r="R1725" s="11" t="str">
        <f>IFERROR(IF(VLOOKUP(A1725,[12]PRIORIZADOS!$A:$R,18,FALSE)="","",VLOOKUP(A1725,[12]PRIORIZADOS!$A:$R,18,FALSE)),"")</f>
        <v>Se encuentra en la carpeta de cada Docente la veficacion de antecedentes.</v>
      </c>
      <c r="S1725" s="11" t="str">
        <f>IFERROR(IF(VLOOKUP(A1725,[12]PRIORIZADOS!$A:$S,19,FALSE)="","",VLOOKUP(A1725,[12]PRIORIZADOS!$A:$S,19,FALSE)),"")</f>
        <v>Se resalta que el colegio tiene como principal funcion las formulacion e implementacon de acciones de primocion y prevencion y debe estar dicumenrttado en las actas y en el desarroolo de las actividades.</v>
      </c>
      <c r="T1725" s="70" t="str">
        <f>IFERROR(IF(VLOOKUP(A1725,[12]PRIORIZADOS!$A:$T,20,FALSE)="","",VLOOKUP(A1725,[12]PRIORIZADOS!$A:$T,20,FALSE)),"")</f>
        <v>No</v>
      </c>
      <c r="U1725" s="11" t="str">
        <f>IFERROR(IF(VLOOKUP(A1725,[12]PRIORIZADOS!$A:$U,21,FALSE)="","",VLOOKUP(A1725,[12]PRIORIZADOS!$A:$U,21,FALSE)),"")</f>
        <v>Se hará verificación en caso de presentarse requerimiento</v>
      </c>
    </row>
    <row r="1726" spans="1:21" s="1" customFormat="1" ht="72">
      <c r="A1726" s="69">
        <f>IF([12]PRIORIZADOS!A56="","",[12]PRIORIZADOS!A56)</f>
        <v>1693</v>
      </c>
      <c r="B1726" s="70">
        <v>6</v>
      </c>
      <c r="C1726" s="11" t="str">
        <f>IFERROR(IF(VLOOKUP(A1726,[12]PRIORIZADOS!$A:$C,3,FALSE)="","",VLOOKUP(A1726,[12]PRIORIZADOS!$A:$C,3,FALSE)),"")</f>
        <v>SAN CRISTÓBAL</v>
      </c>
      <c r="D1726" s="11" t="str">
        <f>IFERROR(IF(VLOOKUP(A1726,[12]PRIORIZADOS!$A:$D,4,FALSE)="","",VLOOKUP(A1726,[12]PRIORIZADOS!$A:$D,4,FALSE)),"")</f>
        <v>PRIVADO</v>
      </c>
      <c r="E1726" s="11" t="str">
        <f>IFERROR(IF(VLOOKUP(A1726,[12]PRIORIZADOS!$A:$E,5,FALSE)="","",VLOOKUP(A1726,[12]PRIORIZADOS!$A:$E,5,FALSE)),"")</f>
        <v>EPBM</v>
      </c>
      <c r="F1726" s="11" t="str">
        <f>IFERROR(IF(VLOOKUP(A1726,[12]PRIORIZADOS!$A:$F,6,FALSE)="","",VLOOKUP(A1726,[12]PRIORIZADOS!$A:$F,6,FALSE)),"")</f>
        <v>COLEGIO_MONSEÑOR_BERNARDO_SANCHEZ_HERMANAS_DE_NUESTRA_SEÑORA_DE_LA_PAZ</v>
      </c>
      <c r="G1726" s="11" t="str">
        <f>IFERROR(IF(VLOOKUP(A1726,[12]PRIORIZADOS!$A:$G,7,FALSE)="","",VLOOKUP(A1726,[12]PRIORIZADOS!$A:$G,7,FALSE)),"")</f>
        <v>COLEGIO MONSEÑOR BERNARDO SANCHEZ HERMANAS DE NUESTRA SEÑORA DE LA PAZ</v>
      </c>
      <c r="H1726" s="11" t="str">
        <f>IFERROR(IF(VLOOKUP(A1726,[12]PRIORIZADOS!$A:$H,8,FALSE)="","",VLOOKUP(A1726,[12]PRIORIZADOS!$A:$H,8,FALSE)),"")</f>
        <v>Autoevaluación Institucional y Pruebas SABER 11</v>
      </c>
      <c r="I1726" s="11" t="str">
        <f>IFERROR(IF(VLOOKUP(A1726,[12]PRIORIZADOS!$A:$I,9,FALSE)="","",VLOOKUP(A1726,[12]PRIORIZADOS!$A:$I,9,FALSE)),"")</f>
        <v>SEGUIMIENTO_Y_SUPERVISIÓN.</v>
      </c>
      <c r="J1726" s="11" t="str">
        <f>IFERROR(IF(VLOOKUP(A1726,[12]PRIORIZADOS!$A:$J,10,FALSE)="","",VLOOKUP(A1726,[12]PRIORIZADOS!$A:$J,10,FALSE)),"")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26" s="11" t="str">
        <f>IFERROR(IF(VLOOKUP(A1726,[12]PRIORIZADOS!$A:$K,11,FALSE)="","",VLOOKUP(A1726,[12]PRIORIZADOS!$A:$K,11,FALSE)),"")</f>
        <v>JOSÉ ASDRUBAL PÉREZ GIRALDO</v>
      </c>
      <c r="L1726" s="11" t="str">
        <f>IFERROR(IF(VLOOKUP(A1726,[12]PRIORIZADOS!$A:$L,12,FALSE)="","",VLOOKUP(A1726,[12]PRIORIZADOS!$A:$L,12,FALSE)),"")</f>
        <v>JAIRO ANDRÉS ÁLVAREZ CHÁVEZ</v>
      </c>
      <c r="M1726" s="71">
        <f>IFERROR(IF(VLOOKUP(A1726,[12]PRIORIZADOS!$A:$M,13,FALSE)="","",VLOOKUP(A1726,[12]PRIORIZADOS!$A:$M,13,FALSE)),"")</f>
        <v>45737</v>
      </c>
      <c r="N1726" s="71">
        <f>IFERROR(IF(VLOOKUP(A1726,[12]PRIORIZADOS!$A:$N,14,FALSE)="","",VLOOKUP(A1726,[12]PRIORIZADOS!$A:$N,14,FALSE)),"")</f>
        <v>45796</v>
      </c>
      <c r="O1726" s="71">
        <f>IFERROR(IF(VLOOKUP(A1726,[12]PRIORIZADOS!$A:$O,15,FALSE)="","",VLOOKUP(A1726,[12]PRIORIZADOS!$A:$O,15,FALSE)),"")</f>
        <v>45796</v>
      </c>
      <c r="P1726" s="11" t="str">
        <f>IFERROR(IF(VLOOKUP(A1726,[12]PRIORIZADOS!$A:$P,16,FALSE)="","",VLOOKUP(A1726,[12]PRIORIZADOS!$A:$P,16,FALSE)),"")</f>
        <v>Visitas de evaluación con fines de mejoramiento</v>
      </c>
      <c r="Q1726" s="107" t="s">
        <v>383</v>
      </c>
      <c r="R1726" s="11" t="str">
        <f>IFERROR(IF(VLOOKUP(A1726,[12]PRIORIZADOS!$A:$R,18,FALSE)="","",VLOOKUP(A1726,[12]PRIORIZADOS!$A:$R,18,FALSE)),"")</f>
        <v>No se puede evidenciar elaboracion y actualizacion de PIAR,  el colegio no cuenta con estudiantes con discapacidad</v>
      </c>
      <c r="S1726" s="11" t="str">
        <f>IFERROR(IF(VLOOKUP(A1726,[12]PRIORIZADOS!$A:$S,19,FALSE)="","",VLOOKUP(A1726,[12]PRIORIZADOS!$A:$S,19,FALSE)),"")</f>
        <v>Al no tener estudiantes con discapacidad no se evidencia Piar a los estudiantes.</v>
      </c>
      <c r="T1726" s="70" t="str">
        <f>IFERROR(IF(VLOOKUP(A1726,[12]PRIORIZADOS!$A:$T,20,FALSE)="","",VLOOKUP(A1726,[12]PRIORIZADOS!$A:$T,20,FALSE)),"")</f>
        <v>No</v>
      </c>
      <c r="U1726" s="11" t="str">
        <f>IFERROR(IF(VLOOKUP(A1726,[12]PRIORIZADOS!$A:$U,21,FALSE)="","",VLOOKUP(A1726,[12]PRIORIZADOS!$A:$U,21,FALSE)),"")</f>
        <v>Se hará verificación en caso de presentarse requerimiento</v>
      </c>
    </row>
    <row r="1727" spans="1:21" s="1" customFormat="1" ht="84">
      <c r="A1727" s="69">
        <f>IF([12]PRIORIZADOS!A57="","",[12]PRIORIZADOS!A57)</f>
        <v>1694</v>
      </c>
      <c r="B1727" s="70">
        <v>6</v>
      </c>
      <c r="C1727" s="11" t="str">
        <f>IFERROR(IF(VLOOKUP(A1727,[12]PRIORIZADOS!$A:$C,3,FALSE)="","",VLOOKUP(A1727,[12]PRIORIZADOS!$A:$C,3,FALSE)),"")</f>
        <v>SAN CRISTÓBAL</v>
      </c>
      <c r="D1727" s="11" t="str">
        <f>IFERROR(IF(VLOOKUP(A1727,[12]PRIORIZADOS!$A:$D,4,FALSE)="","",VLOOKUP(A1727,[12]PRIORIZADOS!$A:$D,4,FALSE)),"")</f>
        <v>PRIVADO</v>
      </c>
      <c r="E1727" s="11" t="str">
        <f>IFERROR(IF(VLOOKUP(A1727,[12]PRIORIZADOS!$A:$E,5,FALSE)="","",VLOOKUP(A1727,[12]PRIORIZADOS!$A:$E,5,FALSE)),"")</f>
        <v>EPBM</v>
      </c>
      <c r="F1727" s="11" t="str">
        <f>IFERROR(IF(VLOOKUP(A1727,[12]PRIORIZADOS!$A:$F,6,FALSE)="","",VLOOKUP(A1727,[12]PRIORIZADOS!$A:$F,6,FALSE)),"")</f>
        <v>COLEGIO_MONSEÑOR_BERNARDO_SANCHEZ_HERMANAS_DE_NUESTRA_SEÑORA_DE_LA_PAZ</v>
      </c>
      <c r="G1727" s="11" t="str">
        <f>IFERROR(IF(VLOOKUP(A1727,[12]PRIORIZADOS!$A:$G,7,FALSE)="","",VLOOKUP(A1727,[12]PRIORIZADOS!$A:$G,7,FALSE)),"")</f>
        <v>COLEGIO MONSEÑOR BERNARDO SANCHEZ HERMANAS DE NUESTRA SEÑORA DE LA PAZ</v>
      </c>
      <c r="H1727" s="11" t="str">
        <f>IFERROR(IF(VLOOKUP(A1727,[12]PRIORIZADOS!$A:$H,8,FALSE)="","",VLOOKUP(A1727,[12]PRIORIZADOS!$A:$H,8,FALSE)),"")</f>
        <v>Autoevaluación Institucional y Pruebas SABER 11</v>
      </c>
      <c r="I1727" s="11" t="str">
        <f>IFERROR(IF(VLOOKUP(A1727,[12]PRIORIZADOS!$A:$I,9,FALSE)="","",VLOOKUP(A1727,[12]PRIORIZADOS!$A:$I,9,FALSE)),"")</f>
        <v>EVALUACIÓN_CON_FINES_DE_MEJORAMIENTO.</v>
      </c>
      <c r="J1727" s="11" t="str">
        <f>IFERROR(IF(VLOOKUP(A1727,[12]PRIORIZADOS!$A:$J,10,FALSE)="","",VLOOKUP(A1727,[12]PRIORIZADOS!$A:$J,10,FALSE)),"")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27" s="11" t="str">
        <f>IFERROR(IF(VLOOKUP(A1727,[12]PRIORIZADOS!$A:$K,11,FALSE)="","",VLOOKUP(A1727,[12]PRIORIZADOS!$A:$K,11,FALSE)),"")</f>
        <v>JOSÉ ASDRUBAL PÉREZ GIRALDO</v>
      </c>
      <c r="L1727" s="11" t="str">
        <f>IFERROR(IF(VLOOKUP(A1727,[12]PRIORIZADOS!$A:$L,12,FALSE)="","",VLOOKUP(A1727,[12]PRIORIZADOS!$A:$L,12,FALSE)),"")</f>
        <v>JAIRO ANDRÉS ÁLVAREZ CHÁVEZ</v>
      </c>
      <c r="M1727" s="71">
        <f>IFERROR(IF(VLOOKUP(A1727,[12]PRIORIZADOS!$A:$M,13,FALSE)="","",VLOOKUP(A1727,[12]PRIORIZADOS!$A:$M,13,FALSE)),"")</f>
        <v>45737</v>
      </c>
      <c r="N1727" s="71">
        <f>IFERROR(IF(VLOOKUP(A1727,[12]PRIORIZADOS!$A:$N,14,FALSE)="","",VLOOKUP(A1727,[12]PRIORIZADOS!$A:$N,14,FALSE)),"")</f>
        <v>45796</v>
      </c>
      <c r="O1727" s="71">
        <f>IFERROR(IF(VLOOKUP(A1727,[12]PRIORIZADOS!$A:$O,15,FALSE)="","",VLOOKUP(A1727,[12]PRIORIZADOS!$A:$O,15,FALSE)),"")</f>
        <v>45796</v>
      </c>
      <c r="P1727" s="11" t="str">
        <f>IFERROR(IF(VLOOKUP(A1727,[12]PRIORIZADOS!$A:$P,16,FALSE)="","",VLOOKUP(A1727,[12]PRIORIZADOS!$A:$P,16,FALSE)),"")</f>
        <v>Visitas de evaluación con fines de mejoramiento</v>
      </c>
      <c r="Q1727" s="107" t="s">
        <v>383</v>
      </c>
      <c r="R1727" s="11" t="str">
        <f>IFERROR(IF(VLOOKUP(A1727,[12]PRIORIZADOS!$A:$R,18,FALSE)="","",VLOOKUP(A1727,[12]PRIORIZADOS!$A:$R,18,FALSE)),"")</f>
        <v>Presenta actas de trabajo con Docentes y padres. consejo academico y Consejo Directivo.</v>
      </c>
      <c r="S1727" s="11" t="str">
        <f>IFERROR(IF(VLOOKUP(A1727,[12]PRIORIZADOS!$A:$S,19,FALSE)="","",VLOOKUP(A1727,[12]PRIORIZADOS!$A:$S,19,FALSE)),"")</f>
        <v>Se resalta la importancia de que estos ajustes esten registrados en las actas del Consejo Directivo quien autoriza las actualizaciones.</v>
      </c>
      <c r="T1727" s="70" t="str">
        <f>IFERROR(IF(VLOOKUP(A1727,[12]PRIORIZADOS!$A:$T,20,FALSE)="","",VLOOKUP(A1727,[12]PRIORIZADOS!$A:$T,20,FALSE)),"")</f>
        <v>No</v>
      </c>
      <c r="U1727" s="11" t="str">
        <f>IFERROR(IF(VLOOKUP(A1727,[12]PRIORIZADOS!$A:$U,21,FALSE)="","",VLOOKUP(A1727,[12]PRIORIZADOS!$A:$U,21,FALSE)),"")</f>
        <v>Se hará verificación en caso de presentarse requerimiento</v>
      </c>
    </row>
    <row r="1728" spans="1:21" s="1" customFormat="1" ht="130.5">
      <c r="A1728" s="69">
        <f>IF([12]PRIORIZADOS!A58="","",[12]PRIORIZADOS!A58)</f>
        <v>1695</v>
      </c>
      <c r="B1728" s="70">
        <v>6</v>
      </c>
      <c r="C1728" s="11" t="str">
        <f>IFERROR(IF(VLOOKUP(A1728,[12]PRIORIZADOS!$A:$C,3,FALSE)="","",VLOOKUP(A1728,[12]PRIORIZADOS!$A:$C,3,FALSE)),"")</f>
        <v>SAN CRISTÓBAL</v>
      </c>
      <c r="D1728" s="11" t="str">
        <f>IFERROR(IF(VLOOKUP(A1728,[12]PRIORIZADOS!$A:$D,4,FALSE)="","",VLOOKUP(A1728,[12]PRIORIZADOS!$A:$D,4,FALSE)),"")</f>
        <v>PRIVADO</v>
      </c>
      <c r="E1728" s="11" t="str">
        <f>IFERROR(IF(VLOOKUP(A1728,[12]PRIORIZADOS!$A:$E,5,FALSE)="","",VLOOKUP(A1728,[12]PRIORIZADOS!$A:$E,5,FALSE)),"")</f>
        <v>EPBM</v>
      </c>
      <c r="F1728" s="11" t="str">
        <f>IFERROR(IF(VLOOKUP(A1728,[12]PRIORIZADOS!$A:$F,6,FALSE)="","",VLOOKUP(A1728,[12]PRIORIZADOS!$A:$F,6,FALSE)),"")</f>
        <v>COLEGIO_MONSEÑOR_BERNARDO_SANCHEZ_HERMANAS_DE_NUESTRA_SEÑORA_DE_LA_PAZ</v>
      </c>
      <c r="G1728" s="11" t="str">
        <f>IFERROR(IF(VLOOKUP(A1728,[12]PRIORIZADOS!$A:$G,7,FALSE)="","",VLOOKUP(A1728,[12]PRIORIZADOS!$A:$G,7,FALSE)),"")</f>
        <v>COLEGIO MONSEÑOR BERNARDO SANCHEZ HERMANAS DE NUESTRA SEÑORA DE LA PAZ</v>
      </c>
      <c r="H1728" s="11" t="str">
        <f>IFERROR(IF(VLOOKUP(A1728,[12]PRIORIZADOS!$A:$H,8,FALSE)="","",VLOOKUP(A1728,[12]PRIORIZADOS!$A:$H,8,FALSE)),"")</f>
        <v>Autoevaluación Institucional y Pruebas SABER 11</v>
      </c>
      <c r="I1728" s="11" t="str">
        <f>IFERROR(IF(VLOOKUP(A1728,[12]PRIORIZADOS!$A:$I,9,FALSE)="","",VLOOKUP(A1728,[12]PRIORIZADOS!$A:$I,9,FALSE)),"")</f>
        <v>EVALUACIÓN_CON_FINES_DE_MEJORAMIENTO.</v>
      </c>
      <c r="J1728" s="11" t="str">
        <f>IFERROR(IF(VLOOKUP(A1728,[12]PRIORIZADOS!$A:$J,10,FALSE)="","",VLOOKUP(A1728,[12]PRIORIZADOS!$A:$J,10,FALSE)),"")</f>
        <v>Revisar la actualización, socialización e implementación del Sistema Institucional de Evaluación de Estudiantes - SIEE, en articulación con la actualización del PEI y la normatividad vigente.</v>
      </c>
      <c r="K1728" s="11" t="str">
        <f>IFERROR(IF(VLOOKUP(A1728,[12]PRIORIZADOS!$A:$K,11,FALSE)="","",VLOOKUP(A1728,[12]PRIORIZADOS!$A:$K,11,FALSE)),"")</f>
        <v>JOSÉ ASDRUBAL PÉREZ GIRALDO</v>
      </c>
      <c r="L1728" s="11" t="str">
        <f>IFERROR(IF(VLOOKUP(A1728,[12]PRIORIZADOS!$A:$L,12,FALSE)="","",VLOOKUP(A1728,[12]PRIORIZADOS!$A:$L,12,FALSE)),"")</f>
        <v>JAIRO ANDRÉS ÁLVAREZ CHÁVEZ</v>
      </c>
      <c r="M1728" s="71">
        <f>IFERROR(IF(VLOOKUP(A1728,[12]PRIORIZADOS!$A:$M,13,FALSE)="","",VLOOKUP(A1728,[12]PRIORIZADOS!$A:$M,13,FALSE)),"")</f>
        <v>45737</v>
      </c>
      <c r="N1728" s="71">
        <f>IFERROR(IF(VLOOKUP(A1728,[12]PRIORIZADOS!$A:$N,14,FALSE)="","",VLOOKUP(A1728,[12]PRIORIZADOS!$A:$N,14,FALSE)),"")</f>
        <v>45796</v>
      </c>
      <c r="O1728" s="71">
        <f>IFERROR(IF(VLOOKUP(A1728,[12]PRIORIZADOS!$A:$O,15,FALSE)="","",VLOOKUP(A1728,[12]PRIORIZADOS!$A:$O,15,FALSE)),"")</f>
        <v>45796</v>
      </c>
      <c r="P1728" s="11" t="str">
        <f>IFERROR(IF(VLOOKUP(A1728,[12]PRIORIZADOS!$A:$P,16,FALSE)="","",VLOOKUP(A1728,[12]PRIORIZADOS!$A:$P,16,FALSE)),"")</f>
        <v>Visitas de evaluación con fines de mejoramiento</v>
      </c>
      <c r="Q1728" s="107" t="s">
        <v>383</v>
      </c>
      <c r="R1728" s="11" t="str">
        <f>IFERROR(IF(VLOOKUP(A1728,[12]PRIORIZADOS!$A:$R,18,FALSE)="","",VLOOKUP(A1728,[12]PRIORIZADOS!$A:$R,18,FALSE)),"")</f>
        <v>Se encuentran artículos del SIEE "acciones de seguimiento para el mejoramiento del desempeño de los estudiantes durante el año escolar" el título III  de las estrategias de apoyo para resolver situaciones  pedagógicas pendientes de los estudiantes. superación de debilidades académica bimestrales, artículo 3.2. plan de atención inmediata pai y artículo 3.3. plan educativo personalizado.</v>
      </c>
      <c r="S1728" s="11" t="str">
        <f>IFERROR(IF(VLOOKUP(A1728,[12]PRIORIZADOS!$A:$S,19,FALSE)="","",VLOOKUP(A1728,[12]PRIORIZADOS!$A:$S,19,FALSE)),"")</f>
        <v>El  SIEE refiere entre otros comisiones de evaluación, promoción escolar, planes especiales, escala de valoración, acciones de seguimiento para el mejoramiento de desempeños, informes académicos, mecanismos de participación de la comunidad educativa.</v>
      </c>
      <c r="T1728" s="70" t="str">
        <f>IFERROR(IF(VLOOKUP(A1728,[12]PRIORIZADOS!$A:$T,20,FALSE)="","",VLOOKUP(A1728,[12]PRIORIZADOS!$A:$T,20,FALSE)),"")</f>
        <v>No</v>
      </c>
      <c r="U1728" s="11" t="str">
        <f>IFERROR(IF(VLOOKUP(A1728,[12]PRIORIZADOS!$A:$U,21,FALSE)="","",VLOOKUP(A1728,[12]PRIORIZADOS!$A:$U,21,FALSE)),"")</f>
        <v>Se hará verificación en caso de presentarse requerimiento</v>
      </c>
    </row>
    <row r="1729" spans="1:21" s="1" customFormat="1" ht="48">
      <c r="A1729" s="69">
        <f>IF([12]PRIORIZADOS!A59="","",[12]PRIORIZADOS!A59)</f>
        <v>1696</v>
      </c>
      <c r="B1729" s="70">
        <v>6</v>
      </c>
      <c r="C1729" s="11" t="str">
        <f>IFERROR(IF(VLOOKUP(A1729,[12]PRIORIZADOS!$A:$C,3,FALSE)="","",VLOOKUP(A1729,[12]PRIORIZADOS!$A:$C,3,FALSE)),"")</f>
        <v>SAN CRISTÓBAL</v>
      </c>
      <c r="D1729" s="11" t="str">
        <f>IFERROR(IF(VLOOKUP(A1729,[12]PRIORIZADOS!$A:$D,4,FALSE)="","",VLOOKUP(A1729,[12]PRIORIZADOS!$A:$D,4,FALSE)),"")</f>
        <v>PRIVADO</v>
      </c>
      <c r="E1729" s="11" t="str">
        <f>IFERROR(IF(VLOOKUP(A1729,[12]PRIORIZADOS!$A:$E,5,FALSE)="","",VLOOKUP(A1729,[12]PRIORIZADOS!$A:$E,5,FALSE)),"")</f>
        <v>EPBM</v>
      </c>
      <c r="F1729" s="11" t="str">
        <f>IFERROR(IF(VLOOKUP(A1729,[12]PRIORIZADOS!$A:$F,6,FALSE)="","",VLOOKUP(A1729,[12]PRIORIZADOS!$A:$F,6,FALSE)),"")</f>
        <v>COLEGIO_MONSEÑOR_BERNARDO_SANCHEZ_HERMANAS_DE_NUESTRA_SEÑORA_DE_LA_PAZ</v>
      </c>
      <c r="G1729" s="11" t="str">
        <f>IFERROR(IF(VLOOKUP(A1729,[12]PRIORIZADOS!$A:$G,7,FALSE)="","",VLOOKUP(A1729,[12]PRIORIZADOS!$A:$G,7,FALSE)),"")</f>
        <v>COLEGIO MONSEÑOR BERNARDO SANCHEZ HERMANAS DE NUESTRA SEÑORA DE LA PAZ</v>
      </c>
      <c r="H1729" s="11" t="str">
        <f>IFERROR(IF(VLOOKUP(A1729,[12]PRIORIZADOS!$A:$H,8,FALSE)="","",VLOOKUP(A1729,[12]PRIORIZADOS!$A:$H,8,FALSE)),"")</f>
        <v>Autoevaluación Institucional y Pruebas SABER 11</v>
      </c>
      <c r="I1729" s="11" t="str">
        <f>IFERROR(IF(VLOOKUP(A1729,[12]PRIORIZADOS!$A:$I,9,FALSE)="","",VLOOKUP(A1729,[12]PRIORIZADOS!$A:$I,9,FALSE)),"")</f>
        <v>EVALUACIÓN_CON_FINES_DE_MEJORAMIENTO.</v>
      </c>
      <c r="J1729" s="11" t="str">
        <f>IFERROR(IF(VLOOKUP(A1729,[12]PRIORIZADOS!$A:$J,10,FALSE)="","",VLOOKUP(A1729,[12]PRIORIZADOS!$A:$J,10,FALSE)),"")</f>
        <v>Revisar el calendario escolar, jornada escolar, la intensidad horaria mínima anual en cada nivel y las modificaciones que se realicen al mismo, de acuerdo con lo previsto en la normatividad vigente.</v>
      </c>
      <c r="K1729" s="11" t="str">
        <f>IFERROR(IF(VLOOKUP(A1729,[12]PRIORIZADOS!$A:$K,11,FALSE)="","",VLOOKUP(A1729,[12]PRIORIZADOS!$A:$K,11,FALSE)),"")</f>
        <v>JOSÉ ASDRUBAL PÉREZ GIRALDO</v>
      </c>
      <c r="L1729" s="11" t="str">
        <f>IFERROR(IF(VLOOKUP(A1729,[12]PRIORIZADOS!$A:$L,12,FALSE)="","",VLOOKUP(A1729,[12]PRIORIZADOS!$A:$L,12,FALSE)),"")</f>
        <v>JAIRO ANDRÉS ÁLVAREZ CHÁVEZ</v>
      </c>
      <c r="M1729" s="71">
        <f>IFERROR(IF(VLOOKUP(A1729,[12]PRIORIZADOS!$A:$M,13,FALSE)="","",VLOOKUP(A1729,[12]PRIORIZADOS!$A:$M,13,FALSE)),"")</f>
        <v>45737</v>
      </c>
      <c r="N1729" s="71">
        <f>IFERROR(IF(VLOOKUP(A1729,[12]PRIORIZADOS!$A:$N,14,FALSE)="","",VLOOKUP(A1729,[12]PRIORIZADOS!$A:$N,14,FALSE)),"")</f>
        <v>45796</v>
      </c>
      <c r="O1729" s="71">
        <f>IFERROR(IF(VLOOKUP(A1729,[12]PRIORIZADOS!$A:$O,15,FALSE)="","",VLOOKUP(A1729,[12]PRIORIZADOS!$A:$O,15,FALSE)),"")</f>
        <v>45796</v>
      </c>
      <c r="P1729" s="11" t="str">
        <f>IFERROR(IF(VLOOKUP(A1729,[12]PRIORIZADOS!$A:$P,16,FALSE)="","",VLOOKUP(A1729,[12]PRIORIZADOS!$A:$P,16,FALSE)),"")</f>
        <v>Visitas de evaluación con fines de mejoramiento</v>
      </c>
      <c r="Q1729" s="107" t="s">
        <v>383</v>
      </c>
      <c r="R1729" s="11" t="str">
        <f>IFERROR(IF(VLOOKUP(A1729,[12]PRIORIZADOS!$A:$R,18,FALSE)="","",VLOOKUP(A1729,[12]PRIORIZADOS!$A:$R,18,FALSE)),"")</f>
        <v>Cumple con las horas y semanas reglamentarias de acuerdo con la Resolución de la SED N° 1811 de 2024.</v>
      </c>
      <c r="S1729" s="11" t="str">
        <f>IFERROR(IF(VLOOKUP(A1729,[12]PRIORIZADOS!$A:$S,19,FALSE)="","",VLOOKUP(A1729,[12]PRIORIZADOS!$A:$S,19,FALSE)),"")</f>
        <v>Es acorde con el calendario academico</v>
      </c>
      <c r="T1729" s="70" t="str">
        <f>IFERROR(IF(VLOOKUP(A1729,[12]PRIORIZADOS!$A:$T,20,FALSE)="","",VLOOKUP(A1729,[12]PRIORIZADOS!$A:$T,20,FALSE)),"")</f>
        <v>No</v>
      </c>
      <c r="U1729" s="11" t="str">
        <f>IFERROR(IF(VLOOKUP(A1729,[12]PRIORIZADOS!$A:$U,21,FALSE)="","",VLOOKUP(A1729,[12]PRIORIZADOS!$A:$U,21,FALSE)),"")</f>
        <v>Se hará verificación en caso de presentarse requerimiento</v>
      </c>
    </row>
    <row r="1730" spans="1:21" s="1" customFormat="1" ht="107.25">
      <c r="A1730" s="69">
        <f>IF([12]PRIORIZADOS!A60="","",[12]PRIORIZADOS!A60)</f>
        <v>1697</v>
      </c>
      <c r="B1730" s="70">
        <v>6</v>
      </c>
      <c r="C1730" s="11" t="str">
        <f>IFERROR(IF(VLOOKUP(A1730,[12]PRIORIZADOS!$A:$C,3,FALSE)="","",VLOOKUP(A1730,[12]PRIORIZADOS!$A:$C,3,FALSE)),"")</f>
        <v>SAN CRISTÓBAL</v>
      </c>
      <c r="D1730" s="11" t="str">
        <f>IFERROR(IF(VLOOKUP(A1730,[12]PRIORIZADOS!$A:$D,4,FALSE)="","",VLOOKUP(A1730,[12]PRIORIZADOS!$A:$D,4,FALSE)),"")</f>
        <v>PRIVADO</v>
      </c>
      <c r="E1730" s="11" t="str">
        <f>IFERROR(IF(VLOOKUP(A1730,[12]PRIORIZADOS!$A:$E,5,FALSE)="","",VLOOKUP(A1730,[12]PRIORIZADOS!$A:$E,5,FALSE)),"")</f>
        <v>EPBM</v>
      </c>
      <c r="F1730" s="11" t="str">
        <f>IFERROR(IF(VLOOKUP(A1730,[12]PRIORIZADOS!$A:$F,6,FALSE)="","",VLOOKUP(A1730,[12]PRIORIZADOS!$A:$F,6,FALSE)),"")</f>
        <v>COLEGIO_MONSEÑOR_BERNARDO_SANCHEZ_HERMANAS_DE_NUESTRA_SEÑORA_DE_LA_PAZ</v>
      </c>
      <c r="G1730" s="11" t="str">
        <f>IFERROR(IF(VLOOKUP(A1730,[12]PRIORIZADOS!$A:$G,7,FALSE)="","",VLOOKUP(A1730,[12]PRIORIZADOS!$A:$G,7,FALSE)),"")</f>
        <v>COLEGIO MONSEÑOR BERNARDO SANCHEZ HERMANAS DE NUESTRA SEÑORA DE LA PAZ</v>
      </c>
      <c r="H1730" s="11" t="str">
        <f>IFERROR(IF(VLOOKUP(A1730,[12]PRIORIZADOS!$A:$H,8,FALSE)="","",VLOOKUP(A1730,[12]PRIORIZADOS!$A:$H,8,FALSE)),"")</f>
        <v>Autoevaluación Institucional y Pruebas SABER 11</v>
      </c>
      <c r="I1730" s="11" t="str">
        <f>IFERROR(IF(VLOOKUP(A1730,[12]PRIORIZADOS!$A:$I,9,FALSE)="","",VLOOKUP(A1730,[12]PRIORIZADOS!$A:$I,9,FALSE)),"")</f>
        <v>EVALUACIÓN_CON_FINES_DE_MEJORAMIENTO.</v>
      </c>
      <c r="J1730" s="11" t="str">
        <f>IFERROR(IF(VLOOKUP(A1730,[12]PRIORIZADOS!$A:$J,10,FALSE)="","",VLOOKUP(A1730,[12]PRIORIZADOS!$A:$J,10,FALSE)),"")</f>
        <v>Verificar el funcionamiento del Gobierno Escolar e instancias de participación con base en la información sobre conformación reportada por la institución educativa.</v>
      </c>
      <c r="K1730" s="11" t="str">
        <f>IFERROR(IF(VLOOKUP(A1730,[12]PRIORIZADOS!$A:$K,11,FALSE)="","",VLOOKUP(A1730,[12]PRIORIZADOS!$A:$K,11,FALSE)),"")</f>
        <v>JOSÉ ASDRUBAL PÉREZ GIRALDO</v>
      </c>
      <c r="L1730" s="11" t="str">
        <f>IFERROR(IF(VLOOKUP(A1730,[12]PRIORIZADOS!$A:$L,12,FALSE)="","",VLOOKUP(A1730,[12]PRIORIZADOS!$A:$L,12,FALSE)),"")</f>
        <v>JAIRO ANDRÉS ÁLVAREZ CHÁVEZ</v>
      </c>
      <c r="M1730" s="71">
        <f>IFERROR(IF(VLOOKUP(A1730,[12]PRIORIZADOS!$A:$M,13,FALSE)="","",VLOOKUP(A1730,[12]PRIORIZADOS!$A:$M,13,FALSE)),"")</f>
        <v>45737</v>
      </c>
      <c r="N1730" s="71">
        <f>IFERROR(IF(VLOOKUP(A1730,[12]PRIORIZADOS!$A:$N,14,FALSE)="","",VLOOKUP(A1730,[12]PRIORIZADOS!$A:$N,14,FALSE)),"")</f>
        <v>45796</v>
      </c>
      <c r="O1730" s="71">
        <f>IFERROR(IF(VLOOKUP(A1730,[12]PRIORIZADOS!$A:$O,15,FALSE)="","",VLOOKUP(A1730,[12]PRIORIZADOS!$A:$O,15,FALSE)),"")</f>
        <v>45796</v>
      </c>
      <c r="P1730" s="11" t="str">
        <f>IFERROR(IF(VLOOKUP(A1730,[12]PRIORIZADOS!$A:$P,16,FALSE)="","",VLOOKUP(A1730,[12]PRIORIZADOS!$A:$P,16,FALSE)),"")</f>
        <v>Visitas de evaluación con fines de mejoramiento</v>
      </c>
      <c r="Q1730" s="107" t="s">
        <v>383</v>
      </c>
      <c r="R1730" s="11" t="str">
        <f>IFERROR(IF(VLOOKUP(A1730,[12]PRIORIZADOS!$A:$R,18,FALSE)="","",VLOOKUP(A1730,[12]PRIORIZADOS!$A:$R,18,FALSE)),"")</f>
        <v>Se encuentran Actas Consejo Directivo y otras instancias del 04/04/2025, Acta de Consejo Académico del 7 y 12 de febrero de 2025</v>
      </c>
      <c r="S1730" s="11" t="str">
        <f>IFERROR(IF(VLOOKUP(A1730,[12]PRIORIZADOS!$A:$S,19,FALSE)="","",VLOOKUP(A1730,[12]PRIORIZADOS!$A:$S,19,FALSE)),"")</f>
        <v>Para todas las instancias incluir firmas el Rol (población o calidad que representa la persona); diferenciar representantes de Consejo Directivo y Comité de Convivencia Escolar. Celebrar asamblea de Docentes para elección democrática de sus representantes.  Aclarar registros de elección del Personero.  Aclarar Actas de Consejo Estudiantil y de Padres.</v>
      </c>
      <c r="T1730" s="70" t="str">
        <f>IFERROR(IF(VLOOKUP(A1730,[12]PRIORIZADOS!$A:$T,20,FALSE)="","",VLOOKUP(A1730,[12]PRIORIZADOS!$A:$T,20,FALSE)),"")</f>
        <v>No</v>
      </c>
      <c r="U1730" s="11" t="str">
        <f>IFERROR(IF(VLOOKUP(A1730,[12]PRIORIZADOS!$A:$U,21,FALSE)="","",VLOOKUP(A1730,[12]PRIORIZADOS!$A:$U,21,FALSE)),"")</f>
        <v>Se hará verificación en caso de presentarse requerimiento</v>
      </c>
    </row>
    <row r="1731" spans="1:21" s="1" customFormat="1" ht="60">
      <c r="A1731" s="69">
        <f>IF([12]PRIORIZADOS!A61="","",[12]PRIORIZADOS!A61)</f>
        <v>1698</v>
      </c>
      <c r="B1731" s="70">
        <v>6</v>
      </c>
      <c r="C1731" s="11" t="str">
        <f>IFERROR(IF(VLOOKUP(A1731,[12]PRIORIZADOS!$A:$C,3,FALSE)="","",VLOOKUP(A1731,[12]PRIORIZADOS!$A:$C,3,FALSE)),"")</f>
        <v>SAN CRISTÓBAL</v>
      </c>
      <c r="D1731" s="11" t="str">
        <f>IFERROR(IF(VLOOKUP(A1731,[12]PRIORIZADOS!$A:$D,4,FALSE)="","",VLOOKUP(A1731,[12]PRIORIZADOS!$A:$D,4,FALSE)),"")</f>
        <v>PRIVADO</v>
      </c>
      <c r="E1731" s="11" t="str">
        <f>IFERROR(IF(VLOOKUP(A1731,[12]PRIORIZADOS!$A:$E,5,FALSE)="","",VLOOKUP(A1731,[12]PRIORIZADOS!$A:$E,5,FALSE)),"")</f>
        <v>EPBM</v>
      </c>
      <c r="F1731" s="11" t="str">
        <f>IFERROR(IF(VLOOKUP(A1731,[12]PRIORIZADOS!$A:$F,6,FALSE)="","",VLOOKUP(A1731,[12]PRIORIZADOS!$A:$F,6,FALSE)),"")</f>
        <v>COLEGIO_MONSEÑOR_BERNARDO_SANCHEZ_HERMANAS_DE_NUESTRA_SEÑORA_DE_LA_PAZ</v>
      </c>
      <c r="G1731" s="11" t="str">
        <f>IFERROR(IF(VLOOKUP(A1731,[12]PRIORIZADOS!$A:$G,7,FALSE)="","",VLOOKUP(A1731,[12]PRIORIZADOS!$A:$G,7,FALSE)),"")</f>
        <v>COLEGIO MONSEÑOR BERNARDO SANCHEZ HERMANAS DE NUESTRA SEÑORA DE LA PAZ</v>
      </c>
      <c r="H1731" s="11" t="str">
        <f>IFERROR(IF(VLOOKUP(A1731,[12]PRIORIZADOS!$A:$H,8,FALSE)="","",VLOOKUP(A1731,[12]PRIORIZADOS!$A:$H,8,FALSE)),"")</f>
        <v>Autoevaluación Institucional y Pruebas SABER 11</v>
      </c>
      <c r="I1731" s="11" t="str">
        <f>IFERROR(IF(VLOOKUP(A1731,[12]PRIORIZADOS!$A:$I,9,FALSE)="","",VLOOKUP(A1731,[12]PRIORIZADOS!$A:$I,9,FALSE)),"")</f>
        <v>EVALUACIÓN_CON_FINES_DE_MEJORAMIENTO.</v>
      </c>
      <c r="J1731" s="11" t="str">
        <f>IFERROR(IF(VLOOKUP(A1731,[12]PRIORIZADOS!$A:$J,10,FALSE)="","",VLOOKUP(A1731,[12]PRIORIZADOS!$A:$J,10,FALSE)),"")</f>
        <v>Verificar las condiciones en cuanto a: la estructura administrativa, condiciones de la planta física y medios educativos adecuados.</v>
      </c>
      <c r="K1731" s="11" t="str">
        <f>IFERROR(IF(VLOOKUP(A1731,[12]PRIORIZADOS!$A:$K,11,FALSE)="","",VLOOKUP(A1731,[12]PRIORIZADOS!$A:$K,11,FALSE)),"")</f>
        <v>JOSÉ ASDRUBAL PÉREZ GIRALDO</v>
      </c>
      <c r="L1731" s="11" t="str">
        <f>IFERROR(IF(VLOOKUP(A1731,[12]PRIORIZADOS!$A:$L,12,FALSE)="","",VLOOKUP(A1731,[12]PRIORIZADOS!$A:$L,12,FALSE)),"")</f>
        <v>JAIRO ANDRÉS ÁLVAREZ CHÁVEZ</v>
      </c>
      <c r="M1731" s="71">
        <f>IFERROR(IF(VLOOKUP(A1731,[12]PRIORIZADOS!$A:$M,13,FALSE)="","",VLOOKUP(A1731,[12]PRIORIZADOS!$A:$M,13,FALSE)),"")</f>
        <v>45737</v>
      </c>
      <c r="N1731" s="71">
        <f>IFERROR(IF(VLOOKUP(A1731,[12]PRIORIZADOS!$A:$N,14,FALSE)="","",VLOOKUP(A1731,[12]PRIORIZADOS!$A:$N,14,FALSE)),"")</f>
        <v>45796</v>
      </c>
      <c r="O1731" s="71">
        <f>IFERROR(IF(VLOOKUP(A1731,[12]PRIORIZADOS!$A:$O,15,FALSE)="","",VLOOKUP(A1731,[12]PRIORIZADOS!$A:$O,15,FALSE)),"")</f>
        <v>45796</v>
      </c>
      <c r="P1731" s="11" t="str">
        <f>IFERROR(IF(VLOOKUP(A1731,[12]PRIORIZADOS!$A:$P,16,FALSE)="","",VLOOKUP(A1731,[12]PRIORIZADOS!$A:$P,16,FALSE)),"")</f>
        <v>Visitas de evaluación con fines de mejoramiento</v>
      </c>
      <c r="Q1731" s="107" t="s">
        <v>383</v>
      </c>
      <c r="R1731" s="11" t="str">
        <f>IFERROR(IF(VLOOKUP(A1731,[12]PRIORIZADOS!$A:$R,18,FALSE)="","",VLOOKUP(A1731,[12]PRIORIZADOS!$A:$R,18,FALSE)),"")</f>
        <v>El colegio en su estrcutura administrativa cumple a cabalidad, Cuenta con una planta fisica suficiente  para la atencion de la poblacion, tiene biblioteca, laboratorios y espacios ludicos.</v>
      </c>
      <c r="S1731" s="11" t="str">
        <f>IFERROR(IF(VLOOKUP(A1731,[12]PRIORIZADOS!$A:$S,19,FALSE)="","",VLOOKUP(A1731,[12]PRIORIZADOS!$A:$S,19,FALSE)),"")</f>
        <v xml:space="preserve"> se recomienda al Colegio  la importancia de atender todas las recomendaciones realizadas por la Secretaria de Salud.</v>
      </c>
      <c r="T1731" s="70" t="str">
        <f>IFERROR(IF(VLOOKUP(A1731,[12]PRIORIZADOS!$A:$T,20,FALSE)="","",VLOOKUP(A1731,[12]PRIORIZADOS!$A:$T,20,FALSE)),"")</f>
        <v>No</v>
      </c>
      <c r="U1731" s="11" t="str">
        <f>IFERROR(IF(VLOOKUP(A1731,[12]PRIORIZADOS!$A:$U,21,FALSE)="","",VLOOKUP(A1731,[12]PRIORIZADOS!$A:$U,21,FALSE)),"")</f>
        <v>Se hará verificación en caso de presentarse requerimiento</v>
      </c>
    </row>
    <row r="1732" spans="1:21" s="1" customFormat="1" ht="130.5">
      <c r="A1732" s="69">
        <f>IF([12]PRIORIZADOS!A62="","",[12]PRIORIZADOS!A62)</f>
        <v>1704</v>
      </c>
      <c r="B1732" s="70">
        <f>IFERROR(IF(VLOOKUP(A1732,[12]PRIORIZADOS!$A:$B,2,FALSE)="","",VLOOKUP(A1732,[12]PRIORIZADOS!$A:$B,2,FALSE)),"")</f>
        <v>7</v>
      </c>
      <c r="C1732" s="11" t="str">
        <f>IFERROR(IF(VLOOKUP(A1732,[12]PRIORIZADOS!$A:$C,3,FALSE)="","",VLOOKUP(A1732,[12]PRIORIZADOS!$A:$C,3,FALSE)),"")</f>
        <v>SAN CRISTÓBAL</v>
      </c>
      <c r="D1732" s="11" t="str">
        <f>IFERROR(IF(VLOOKUP(A1732,[12]PRIORIZADOS!$A:$D,4,FALSE)="","",VLOOKUP(A1732,[12]PRIORIZADOS!$A:$D,4,FALSE)),"")</f>
        <v>PRIVADO</v>
      </c>
      <c r="E1732" s="11" t="str">
        <f>IFERROR(IF(VLOOKUP(A1732,[12]PRIORIZADOS!$A:$E,5,FALSE)="","",VLOOKUP(A1732,[12]PRIORIZADOS!$A:$E,5,FALSE)),"")</f>
        <v>EPBM</v>
      </c>
      <c r="F1732" s="11" t="str">
        <f>IFERROR(IF(VLOOKUP(A1732,[12]PRIORIZADOS!$A:$F,6,FALSE)="","",VLOOKUP(A1732,[12]PRIORIZADOS!$A:$F,6,FALSE)),"")</f>
        <v>COLEGIO_NUEVA_GENERACION_ALTAMIRA_CONGA</v>
      </c>
      <c r="G1732" s="11" t="str">
        <f>IFERROR(IF(VLOOKUP(A1732,[12]PRIORIZADOS!$A:$G,7,FALSE)="","",VLOOKUP(A1732,[12]PRIORIZADOS!$A:$G,7,FALSE)),"")</f>
        <v>COLEGIO NUEVA GENERACION ALTAMIRA - CONGA</v>
      </c>
      <c r="H1732" s="11" t="str">
        <f>IFERROR(IF(VLOOKUP(A1732,[12]PRIORIZADOS!$A:$H,8,FALSE)="","",VLOOKUP(A1732,[12]PRIORIZADOS!$A:$H,8,FALSE)),"")</f>
        <v>Autoevaluación Institucional y Pruebas SABER 11</v>
      </c>
      <c r="I1732" s="11" t="str">
        <f>IFERROR(IF(VLOOKUP(A1732,[12]PRIORIZADOS!$A:$I,9,FALSE)="","",VLOOKUP(A1732,[12]PRIORIZADOS!$A:$I,9,FALSE)),"")</f>
        <v>SEGUIMIENTO_Y_SUPERVISIÓN.</v>
      </c>
      <c r="J1732" s="11" t="str">
        <f>IFERROR(IF(VLOOKUP(A1732,[12]PRIORIZADOS!$A:$J,10,FALSE)="","",VLOOKUP(A1732,[12]PRIORIZADOS!$A:$J,10,FALSE)),"")</f>
        <v>Realizar visitas para verificar la información registrada sobre la autoevaluación institucional en el aplicativo EVI, a los establecimientos de educación formal no oficial.</v>
      </c>
      <c r="K1732" s="11" t="str">
        <f>IFERROR(IF(VLOOKUP(A1732,[12]PRIORIZADOS!$A:$K,11,FALSE)="","",VLOOKUP(A1732,[12]PRIORIZADOS!$A:$K,11,FALSE)),"")</f>
        <v>JAIRO ANDRÉS ÁLVAREZ CHÁVEZ</v>
      </c>
      <c r="L1732" s="11" t="str">
        <f>IFERROR(IF(VLOOKUP(A1732,[12]PRIORIZADOS!$A:$L,12,FALSE)="","",VLOOKUP(A1732,[12]PRIORIZADOS!$A:$L,12,FALSE)),"")</f>
        <v>JOSÉ ASDRUBAL PÉREZ GIRALDO</v>
      </c>
      <c r="M1732" s="71">
        <f>IFERROR(IF(VLOOKUP(A1732,[12]PRIORIZADOS!$A:$M,13,FALSE)="","",VLOOKUP(A1732,[12]PRIORIZADOS!$A:$M,13,FALSE)),"")</f>
        <v>45777</v>
      </c>
      <c r="N1732" s="71">
        <f>IFERROR(IF(VLOOKUP(A1732,[12]PRIORIZADOS!$A:$N,14,FALSE)="","",VLOOKUP(A1732,[12]PRIORIZADOS!$A:$N,14,FALSE)),"")</f>
        <v>45777</v>
      </c>
      <c r="O1732" s="71">
        <f>IFERROR(IF(VLOOKUP(A1732,[12]PRIORIZADOS!$A:$O,15,FALSE)="","",VLOOKUP(A1732,[12]PRIORIZADOS!$A:$O,15,FALSE)),"")</f>
        <v>45777</v>
      </c>
      <c r="P1732" s="11" t="str">
        <f>IFERROR(IF(VLOOKUP(A1732,[12]PRIORIZADOS!$A:$P,16,FALSE)="","",VLOOKUP(A1732,[12]PRIORIZADOS!$A:$P,16,FALSE)),"")</f>
        <v>Visitas de evaluación con fines de mejoramiento</v>
      </c>
      <c r="Q1732" s="107" t="s">
        <v>384</v>
      </c>
      <c r="R1732" s="11" t="str">
        <f>IFERROR(IF(VLOOKUP(A1732,[12]PRIORIZADOS!$A:$R,18,FALSE)="","",VLOOKUP(A1732,[12]PRIORIZADOS!$A:$R,18,FALSE)),"")</f>
        <v>Se contrasta la Resolucion de tarifas 2025 aprobada por la DLE y los recibos de los padres de familia, se evidencia que se hace descuento por pronto pago, no supera la tarifa autorizada. Ofrecen Guias academicas en la lista de utiles. No se evidencia afiliaciones y planilla de pago de SSI, desde el mes de julio de 2024 a la fecha.</v>
      </c>
      <c r="S1732" s="11" t="str">
        <f>IFERROR(IF(VLOOKUP(A1732,[12]PRIORIZADOS!$A:$S,19,FALSE)="","",VLOOKUP(A1732,[12]PRIORIZADOS!$A:$S,19,FALSE)),"")</f>
        <v>Teniendo en cuenta que no se pagó en el año 2024 la seguridad social integral desde el mes de Julio, se solicitó a la IE explicacion de por que en la autoevaluación respondió a la pregunta 9 como si si pagara, por lo que el representante legal indica que hara una comunicacion a la SED aclarando la situacion, con el fin de que la DILE y el ELIV, determinen administrativas a que haya lugar.</v>
      </c>
      <c r="T1732" s="70" t="str">
        <f>IFERROR(IF(VLOOKUP(A1732,[12]PRIORIZADOS!$A:$T,20,FALSE)="","",VLOOKUP(A1732,[12]PRIORIZADOS!$A:$T,20,FALSE)),"")</f>
        <v>Si</v>
      </c>
      <c r="U1732" s="11" t="str">
        <f>IFERROR(IF(VLOOKUP(A1732,[12]PRIORIZADOS!$A:$U,21,FALSE)="","",VLOOKUP(A1732,[12]PRIORIZADOS!$A:$U,21,FALSE)),"")</f>
        <v xml:space="preserve">Verificación de afiliación y pago de SSI en el segundo semestre.
Se realizó encuentro el 25de agosto con el fin dehacer seguimiento a los acuerdos establecidos en la Visita Administrativa, particularemente en lo referente al pago de seguridad social. El representante legal informa que no ha sido posible y que han considerado el cierre. </v>
      </c>
    </row>
    <row r="1733" spans="1:21" s="1" customFormat="1" ht="84">
      <c r="A1733" s="69">
        <f>IF([12]PRIORIZADOS!A63="","",[12]PRIORIZADOS!A63)</f>
        <v>1705</v>
      </c>
      <c r="B1733" s="70">
        <v>7</v>
      </c>
      <c r="C1733" s="11" t="str">
        <f>IFERROR(IF(VLOOKUP(A1733,[12]PRIORIZADOS!$A:$C,3,FALSE)="","",VLOOKUP(A1733,[12]PRIORIZADOS!$A:$C,3,FALSE)),"")</f>
        <v>SAN CRISTÓBAL</v>
      </c>
      <c r="D1733" s="11" t="str">
        <f>IFERROR(IF(VLOOKUP(A1733,[12]PRIORIZADOS!$A:$D,4,FALSE)="","",VLOOKUP(A1733,[12]PRIORIZADOS!$A:$D,4,FALSE)),"")</f>
        <v>PRIVADO</v>
      </c>
      <c r="E1733" s="11" t="str">
        <f>IFERROR(IF(VLOOKUP(A1733,[12]PRIORIZADOS!$A:$E,5,FALSE)="","",VLOOKUP(A1733,[12]PRIORIZADOS!$A:$E,5,FALSE)),"")</f>
        <v>EPBM</v>
      </c>
      <c r="F1733" s="11" t="str">
        <f>IFERROR(IF(VLOOKUP(A1733,[12]PRIORIZADOS!$A:$F,6,FALSE)="","",VLOOKUP(A1733,[12]PRIORIZADOS!$A:$F,6,FALSE)),"")</f>
        <v>COLEGIO_NUEVA_GENERACION_ALTAMIRA_CONGA</v>
      </c>
      <c r="G1733" s="11" t="str">
        <f>IFERROR(IF(VLOOKUP(A1733,[12]PRIORIZADOS!$A:$G,7,FALSE)="","",VLOOKUP(A1733,[12]PRIORIZADOS!$A:$G,7,FALSE)),"")</f>
        <v>COLEGIO NUEVA GENERACION ALTAMIRA - CONGA</v>
      </c>
      <c r="H1733" s="11" t="str">
        <f>IFERROR(IF(VLOOKUP(A1733,[12]PRIORIZADOS!$A:$H,8,FALSE)="","",VLOOKUP(A1733,[12]PRIORIZADOS!$A:$H,8,FALSE)),"")</f>
        <v>Autoevaluación Institucional y Pruebas SABER 11</v>
      </c>
      <c r="I1733" s="11" t="str">
        <f>IFERROR(IF(VLOOKUP(A1733,[12]PRIORIZADOS!$A:$I,9,FALSE)="","",VLOOKUP(A1733,[12]PRIORIZADOS!$A:$I,9,FALSE)),"")</f>
        <v>SEGUIMIENTO_Y_SUPERVISIÓN.</v>
      </c>
      <c r="J1733" s="11" t="str">
        <f>IFERROR(IF(VLOOKUP(A1733,[12]PRIORIZADOS!$A:$J,10,FALSE)="","",VLOOKUP(A1733,[12]PRIORIZADOS!$A:$J,10,FALSE)),"")</f>
        <v>Proponer estrategias en la formulación, verificar su elaboración y realizar seguimiento semestral al desarrollo de  las acciones establecidas en los planes de mejoramiento por pruebas SABER 11 de los establecimientos de educación formal.</v>
      </c>
      <c r="K1733" s="11" t="str">
        <f>IFERROR(IF(VLOOKUP(A1733,[12]PRIORIZADOS!$A:$K,11,FALSE)="","",VLOOKUP(A1733,[12]PRIORIZADOS!$A:$K,11,FALSE)),"")</f>
        <v>JAIRO ANDRÉS ÁLVAREZ CHÁVEZ</v>
      </c>
      <c r="L1733" s="11" t="str">
        <f>IFERROR(IF(VLOOKUP(A1733,[12]PRIORIZADOS!$A:$L,12,FALSE)="","",VLOOKUP(A1733,[12]PRIORIZADOS!$A:$L,12,FALSE)),"")</f>
        <v>JOSÉ ASDRUBAL PÉREZ GIRALDO</v>
      </c>
      <c r="M1733" s="71">
        <f>IFERROR(IF(VLOOKUP(A1733,[12]PRIORIZADOS!$A:$M,13,FALSE)="","",VLOOKUP(A1733,[12]PRIORIZADOS!$A:$M,13,FALSE)),"")</f>
        <v>45777</v>
      </c>
      <c r="N1733" s="71">
        <f>IFERROR(IF(VLOOKUP(A1733,[12]PRIORIZADOS!$A:$N,14,FALSE)="","",VLOOKUP(A1733,[12]PRIORIZADOS!$A:$N,14,FALSE)),"")</f>
        <v>45777</v>
      </c>
      <c r="O1733" s="71">
        <f>IFERROR(IF(VLOOKUP(A1733,[12]PRIORIZADOS!$A:$O,15,FALSE)="","",VLOOKUP(A1733,[12]PRIORIZADOS!$A:$O,15,FALSE)),"")</f>
        <v>45777</v>
      </c>
      <c r="P1733" s="11" t="str">
        <f>IFERROR(IF(VLOOKUP(A1733,[12]PRIORIZADOS!$A:$P,16,FALSE)="","",VLOOKUP(A1733,[12]PRIORIZADOS!$A:$P,16,FALSE)),"")</f>
        <v>Visitas de evaluación con fines de mejoramiento</v>
      </c>
      <c r="Q1733" s="107" t="s">
        <v>384</v>
      </c>
      <c r="R1733" s="11" t="str">
        <f>IFERROR(IF(VLOOKUP(A1733,[12]PRIORIZADOS!$A:$R,18,FALSE)="","",VLOOKUP(A1733,[12]PRIORIZADOS!$A:$R,18,FALSE)),"")</f>
        <v>El resultado del año 2023 en comparación con el 2024 avanzó a categoria B. Esta trabajando proyectos transversales, pruebas tipo icfes en los ciclos de basica y media con el fin de subir el nivel de los estudiadntes y se vean reflejada en lsa pruebas de los proximos años.</v>
      </c>
      <c r="S1733" s="11" t="str">
        <f>IFERROR(IF(VLOOKUP(A1733,[12]PRIORIZADOS!$A:$S,19,FALSE)="","",VLOOKUP(A1733,[12]PRIORIZADOS!$A:$S,19,FALSE)),"")</f>
        <v>Que la IE continue implementando estrategias pedagogicas frente a los diferentes componentes que evaluar la prueba.</v>
      </c>
      <c r="T1733" s="70" t="str">
        <f>IFERROR(IF(VLOOKUP(A1733,[12]PRIORIZADOS!$A:$T,20,FALSE)="","",VLOOKUP(A1733,[12]PRIORIZADOS!$A:$T,20,FALSE)),"")</f>
        <v>No</v>
      </c>
      <c r="U1733" s="11" t="str">
        <f>IFERROR(IF(VLOOKUP(A1733,[12]PRIORIZADOS!$A:$U,21,FALSE)="","",VLOOKUP(A1733,[12]PRIORIZADOS!$A:$U,21,FALSE)),"")</f>
        <v>Se hará verificación en caso de presentarse requerimiento</v>
      </c>
    </row>
    <row r="1734" spans="1:21" s="1" customFormat="1" ht="60">
      <c r="A1734" s="69">
        <f>IF([12]PRIORIZADOS!A64="","",[12]PRIORIZADOS!A64)</f>
        <v>1706</v>
      </c>
      <c r="B1734" s="70">
        <v>7</v>
      </c>
      <c r="C1734" s="11" t="str">
        <f>IFERROR(IF(VLOOKUP(A1734,[12]PRIORIZADOS!$A:$C,3,FALSE)="","",VLOOKUP(A1734,[12]PRIORIZADOS!$A:$C,3,FALSE)),"")</f>
        <v>SAN CRISTÓBAL</v>
      </c>
      <c r="D1734" s="11" t="str">
        <f>IFERROR(IF(VLOOKUP(A1734,[12]PRIORIZADOS!$A:$D,4,FALSE)="","",VLOOKUP(A1734,[12]PRIORIZADOS!$A:$D,4,FALSE)),"")</f>
        <v>PRIVADO</v>
      </c>
      <c r="E1734" s="11" t="str">
        <f>IFERROR(IF(VLOOKUP(A1734,[12]PRIORIZADOS!$A:$E,5,FALSE)="","",VLOOKUP(A1734,[12]PRIORIZADOS!$A:$E,5,FALSE)),"")</f>
        <v>EPBM</v>
      </c>
      <c r="F1734" s="11" t="str">
        <f>IFERROR(IF(VLOOKUP(A1734,[12]PRIORIZADOS!$A:$F,6,FALSE)="","",VLOOKUP(A1734,[12]PRIORIZADOS!$A:$F,6,FALSE)),"")</f>
        <v>COLEGIO_NUEVA_GENERACION_ALTAMIRA_CONGA</v>
      </c>
      <c r="G1734" s="11" t="str">
        <f>IFERROR(IF(VLOOKUP(A1734,[12]PRIORIZADOS!$A:$G,7,FALSE)="","",VLOOKUP(A1734,[12]PRIORIZADOS!$A:$G,7,FALSE)),"")</f>
        <v>COLEGIO NUEVA GENERACION ALTAMIRA - CONGA</v>
      </c>
      <c r="H1734" s="11" t="str">
        <f>IFERROR(IF(VLOOKUP(A1734,[12]PRIORIZADOS!$A:$H,8,FALSE)="","",VLOOKUP(A1734,[12]PRIORIZADOS!$A:$H,8,FALSE)),"")</f>
        <v>Autoevaluación Institucional y Pruebas SABER 11</v>
      </c>
      <c r="I1734" s="11" t="str">
        <f>IFERROR(IF(VLOOKUP(A1734,[12]PRIORIZADOS!$A:$I,9,FALSE)="","",VLOOKUP(A1734,[12]PRIORIZADOS!$A:$I,9,FALSE)),"")</f>
        <v>SEGUIMIENTO_Y_SUPERVISIÓN.</v>
      </c>
      <c r="J1734" s="11" t="str">
        <f>IFERROR(IF(VLOOKUP(A1734,[12]PRIORIZADOS!$A:$J,10,FALSE)="","",VLOOKUP(A1734,[12]PRIORIZADOS!$A:$J,10,FALSE)),"")</f>
        <v xml:space="preserve">Verificar la implementación por parte de los colegios, de acciones realizadas para la prevención y atención de las situaciones de convivencia en el entorno escolar, según lo establecido en la Directiva 01 de 2022 del MEN. </v>
      </c>
      <c r="K1734" s="11" t="str">
        <f>IFERROR(IF(VLOOKUP(A1734,[12]PRIORIZADOS!$A:$K,11,FALSE)="","",VLOOKUP(A1734,[12]PRIORIZADOS!$A:$K,11,FALSE)),"")</f>
        <v>JAIRO ANDRÉS ÁLVAREZ CHÁVEZ</v>
      </c>
      <c r="L1734" s="11" t="str">
        <f>IFERROR(IF(VLOOKUP(A1734,[12]PRIORIZADOS!$A:$L,12,FALSE)="","",VLOOKUP(A1734,[12]PRIORIZADOS!$A:$L,12,FALSE)),"")</f>
        <v>JOSÉ ASDRUBAL PÉREZ GIRALDO</v>
      </c>
      <c r="M1734" s="71">
        <f>IFERROR(IF(VLOOKUP(A1734,[12]PRIORIZADOS!$A:$M,13,FALSE)="","",VLOOKUP(A1734,[12]PRIORIZADOS!$A:$M,13,FALSE)),"")</f>
        <v>45777</v>
      </c>
      <c r="N1734" s="71">
        <f>IFERROR(IF(VLOOKUP(A1734,[12]PRIORIZADOS!$A:$N,14,FALSE)="","",VLOOKUP(A1734,[12]PRIORIZADOS!$A:$N,14,FALSE)),"")</f>
        <v>45777</v>
      </c>
      <c r="O1734" s="71">
        <f>IFERROR(IF(VLOOKUP(A1734,[12]PRIORIZADOS!$A:$O,15,FALSE)="","",VLOOKUP(A1734,[12]PRIORIZADOS!$A:$O,15,FALSE)),"")</f>
        <v>45777</v>
      </c>
      <c r="P1734" s="11" t="str">
        <f>IFERROR(IF(VLOOKUP(A1734,[12]PRIORIZADOS!$A:$P,16,FALSE)="","",VLOOKUP(A1734,[12]PRIORIZADOS!$A:$P,16,FALSE)),"")</f>
        <v>Visitas de evaluación con fines de mejoramiento</v>
      </c>
      <c r="Q1734" s="107" t="s">
        <v>384</v>
      </c>
      <c r="R1734" s="11" t="str">
        <f>IFERROR(IF(VLOOKUP(A1734,[12]PRIORIZADOS!$A:$R,18,FALSE)="","",VLOOKUP(A1734,[12]PRIORIZADOS!$A:$R,18,FALSE)),"")</f>
        <v>Se evidencia en las hojas de vida la consulta de delitos sexuales y permiso para ser consultados. La Orientadora realiza acciones de promoción y prevención.</v>
      </c>
      <c r="S1734" s="11" t="str">
        <f>IFERROR(IF(VLOOKUP(A1734,[12]PRIORIZADOS!$A:$S,19,FALSE)="","",VLOOKUP(A1734,[12]PRIORIZADOS!$A:$S,19,FALSE)),"")</f>
        <v xml:space="preserve">Que se consulten los antecendentes cada 4 meses. </v>
      </c>
      <c r="T1734" s="70" t="str">
        <f>IFERROR(IF(VLOOKUP(A1734,[12]PRIORIZADOS!$A:$T,20,FALSE)="","",VLOOKUP(A1734,[12]PRIORIZADOS!$A:$T,20,FALSE)),"")</f>
        <v>No</v>
      </c>
      <c r="U1734" s="11" t="str">
        <f>IFERROR(IF(VLOOKUP(A1734,[12]PRIORIZADOS!$A:$U,21,FALSE)="","",VLOOKUP(A1734,[12]PRIORIZADOS!$A:$U,21,FALSE)),"")</f>
        <v>Se hará verificación en caso de presentarse requerimiento</v>
      </c>
    </row>
    <row r="1735" spans="1:21" s="1" customFormat="1" ht="118.5">
      <c r="A1735" s="69">
        <f>IF([12]PRIORIZADOS!A65="","",[12]PRIORIZADOS!A65)</f>
        <v>1707</v>
      </c>
      <c r="B1735" s="70">
        <v>7</v>
      </c>
      <c r="C1735" s="11" t="str">
        <f>IFERROR(IF(VLOOKUP(A1735,[12]PRIORIZADOS!$A:$C,3,FALSE)="","",VLOOKUP(A1735,[12]PRIORIZADOS!$A:$C,3,FALSE)),"")</f>
        <v>SAN CRISTÓBAL</v>
      </c>
      <c r="D1735" s="11" t="str">
        <f>IFERROR(IF(VLOOKUP(A1735,[12]PRIORIZADOS!$A:$D,4,FALSE)="","",VLOOKUP(A1735,[12]PRIORIZADOS!$A:$D,4,FALSE)),"")</f>
        <v>PRIVADO</v>
      </c>
      <c r="E1735" s="11" t="str">
        <f>IFERROR(IF(VLOOKUP(A1735,[12]PRIORIZADOS!$A:$E,5,FALSE)="","",VLOOKUP(A1735,[12]PRIORIZADOS!$A:$E,5,FALSE)),"")</f>
        <v>EPBM</v>
      </c>
      <c r="F1735" s="11" t="str">
        <f>IFERROR(IF(VLOOKUP(A1735,[12]PRIORIZADOS!$A:$F,6,FALSE)="","",VLOOKUP(A1735,[12]PRIORIZADOS!$A:$F,6,FALSE)),"")</f>
        <v>COLEGIO_NUEVA_GENERACION_ALTAMIRA_CONGA</v>
      </c>
      <c r="G1735" s="11" t="str">
        <f>IFERROR(IF(VLOOKUP(A1735,[12]PRIORIZADOS!$A:$G,7,FALSE)="","",VLOOKUP(A1735,[12]PRIORIZADOS!$A:$G,7,FALSE)),"")</f>
        <v>COLEGIO NUEVA GENERACION ALTAMIRA - CONGA</v>
      </c>
      <c r="H1735" s="11" t="str">
        <f>IFERROR(IF(VLOOKUP(A1735,[12]PRIORIZADOS!$A:$H,8,FALSE)="","",VLOOKUP(A1735,[12]PRIORIZADOS!$A:$H,8,FALSE)),"")</f>
        <v>Autoevaluación Institucional y Pruebas SABER 11</v>
      </c>
      <c r="I1735" s="11" t="str">
        <f>IFERROR(IF(VLOOKUP(A1735,[12]PRIORIZADOS!$A:$I,9,FALSE)="","",VLOOKUP(A1735,[12]PRIORIZADOS!$A:$I,9,FALSE)),"")</f>
        <v>SEGUIMIENTO_Y_SUPERVISIÓN.</v>
      </c>
      <c r="J1735" s="11" t="str">
        <f>IFERROR(IF(VLOOKUP(A1735,[12]PRIORIZADOS!$A:$J,10,FALSE)="","",VLOOKUP(A1735,[12]PRIORIZADOS!$A:$J,10,FALSE)),"")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35" s="11" t="str">
        <f>IFERROR(IF(VLOOKUP(A1735,[12]PRIORIZADOS!$A:$K,11,FALSE)="","",VLOOKUP(A1735,[12]PRIORIZADOS!$A:$K,11,FALSE)),"")</f>
        <v>JAIRO ANDRÉS ÁLVAREZ CHÁVEZ</v>
      </c>
      <c r="L1735" s="11" t="str">
        <f>IFERROR(IF(VLOOKUP(A1735,[12]PRIORIZADOS!$A:$L,12,FALSE)="","",VLOOKUP(A1735,[12]PRIORIZADOS!$A:$L,12,FALSE)),"")</f>
        <v>JOSÉ ASDRUBAL PÉREZ GIRALDO</v>
      </c>
      <c r="M1735" s="71">
        <f>IFERROR(IF(VLOOKUP(A1735,[12]PRIORIZADOS!$A:$M,13,FALSE)="","",VLOOKUP(A1735,[12]PRIORIZADOS!$A:$M,13,FALSE)),"")</f>
        <v>45777</v>
      </c>
      <c r="N1735" s="71">
        <f>IFERROR(IF(VLOOKUP(A1735,[12]PRIORIZADOS!$A:$N,14,FALSE)="","",VLOOKUP(A1735,[12]PRIORIZADOS!$A:$N,14,FALSE)),"")</f>
        <v>45777</v>
      </c>
      <c r="O1735" s="71">
        <f>IFERROR(IF(VLOOKUP(A1735,[12]PRIORIZADOS!$A:$O,15,FALSE)="","",VLOOKUP(A1735,[12]PRIORIZADOS!$A:$O,15,FALSE)),"")</f>
        <v>45777</v>
      </c>
      <c r="P1735" s="11" t="str">
        <f>IFERROR(IF(VLOOKUP(A1735,[12]PRIORIZADOS!$A:$P,16,FALSE)="","",VLOOKUP(A1735,[12]PRIORIZADOS!$A:$P,16,FALSE)),"")</f>
        <v>Visitas de evaluación con fines de mejoramiento</v>
      </c>
      <c r="Q1735" s="107" t="s">
        <v>384</v>
      </c>
      <c r="R1735" s="11" t="str">
        <f>IFERROR(IF(VLOOKUP(A1735,[12]PRIORIZADOS!$A:$R,18,FALSE)="","",VLOOKUP(A1735,[12]PRIORIZADOS!$A:$R,18,FALSE)),"")</f>
        <v xml:space="preserve">Se verifican carpeta de estudiantes de Inclusion con PIAR y Soportes de atencion medica y terapeutica, avances y retroalimentación con docentes y familia. El colegio cuenta con carpetas en Drive que los docentes y Orientacion escolar alimentan permanentemente, se reunen docentes y orientacion finalizado cada periodo para verificar ajustes necesarios.
</v>
      </c>
      <c r="S1735" s="11" t="str">
        <f>IFERROR(IF(VLOOKUP(A1735,[12]PRIORIZADOS!$A:$S,19,FALSE)="","",VLOOKUP(A1735,[12]PRIORIZADOS!$A:$S,19,FALSE)),"")</f>
        <v>Se sugiere tener reuniones permanentes con las familias y hacer firmar el formato de acta de acuerdo del MEN con ellos.</v>
      </c>
      <c r="T1735" s="70" t="str">
        <f>IFERROR(IF(VLOOKUP(A1735,[12]PRIORIZADOS!$A:$T,20,FALSE)="","",VLOOKUP(A1735,[12]PRIORIZADOS!$A:$T,20,FALSE)),"")</f>
        <v>No</v>
      </c>
      <c r="U1735" s="11" t="str">
        <f>IFERROR(IF(VLOOKUP(A1735,[12]PRIORIZADOS!$A:$U,21,FALSE)="","",VLOOKUP(A1735,[12]PRIORIZADOS!$A:$U,21,FALSE)),"")</f>
        <v>Se hará verificación en caso de presentarse requerimiento</v>
      </c>
    </row>
    <row r="1736" spans="1:21" s="1" customFormat="1" ht="118.5">
      <c r="A1736" s="69">
        <f>IF([12]PRIORIZADOS!A66="","",[12]PRIORIZADOS!A66)</f>
        <v>1708</v>
      </c>
      <c r="B1736" s="70">
        <v>7</v>
      </c>
      <c r="C1736" s="11" t="str">
        <f>IFERROR(IF(VLOOKUP(A1736,[12]PRIORIZADOS!$A:$C,3,FALSE)="","",VLOOKUP(A1736,[12]PRIORIZADOS!$A:$C,3,FALSE)),"")</f>
        <v>SAN CRISTÓBAL</v>
      </c>
      <c r="D1736" s="11" t="str">
        <f>IFERROR(IF(VLOOKUP(A1736,[12]PRIORIZADOS!$A:$D,4,FALSE)="","",VLOOKUP(A1736,[12]PRIORIZADOS!$A:$D,4,FALSE)),"")</f>
        <v>PRIVADO</v>
      </c>
      <c r="E1736" s="11" t="str">
        <f>IFERROR(IF(VLOOKUP(A1736,[12]PRIORIZADOS!$A:$E,5,FALSE)="","",VLOOKUP(A1736,[12]PRIORIZADOS!$A:$E,5,FALSE)),"")</f>
        <v>EPBM</v>
      </c>
      <c r="F1736" s="11" t="str">
        <f>IFERROR(IF(VLOOKUP(A1736,[12]PRIORIZADOS!$A:$F,6,FALSE)="","",VLOOKUP(A1736,[12]PRIORIZADOS!$A:$F,6,FALSE)),"")</f>
        <v>COLEGIO_NUEVA_GENERACION_ALTAMIRA_CONGA</v>
      </c>
      <c r="G1736" s="11" t="str">
        <f>IFERROR(IF(VLOOKUP(A1736,[12]PRIORIZADOS!$A:$G,7,FALSE)="","",VLOOKUP(A1736,[12]PRIORIZADOS!$A:$G,7,FALSE)),"")</f>
        <v>COLEGIO NUEVA GENERACION ALTAMIRA - CONGA</v>
      </c>
      <c r="H1736" s="11" t="str">
        <f>IFERROR(IF(VLOOKUP(A1736,[12]PRIORIZADOS!$A:$H,8,FALSE)="","",VLOOKUP(A1736,[12]PRIORIZADOS!$A:$H,8,FALSE)),"")</f>
        <v>Autoevaluación Institucional y Pruebas SABER 11</v>
      </c>
      <c r="I1736" s="11" t="str">
        <f>IFERROR(IF(VLOOKUP(A1736,[12]PRIORIZADOS!$A:$I,9,FALSE)="","",VLOOKUP(A1736,[12]PRIORIZADOS!$A:$I,9,FALSE)),"")</f>
        <v>EVALUACIÓN_CON_FINES_DE_MEJORAMIENTO.</v>
      </c>
      <c r="J1736" s="11" t="str">
        <f>IFERROR(IF(VLOOKUP(A1736,[12]PRIORIZADOS!$A:$J,10,FALSE)="","",VLOOKUP(A1736,[12]PRIORIZADOS!$A:$J,10,FALSE)),"")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36" s="11" t="str">
        <f>IFERROR(IF(VLOOKUP(A1736,[12]PRIORIZADOS!$A:$K,11,FALSE)="","",VLOOKUP(A1736,[12]PRIORIZADOS!$A:$K,11,FALSE)),"")</f>
        <v>JAIRO ANDRÉS ÁLVAREZ CHÁVEZ</v>
      </c>
      <c r="L1736" s="11" t="str">
        <f>IFERROR(IF(VLOOKUP(A1736,[12]PRIORIZADOS!$A:$L,12,FALSE)="","",VLOOKUP(A1736,[12]PRIORIZADOS!$A:$L,12,FALSE)),"")</f>
        <v>JOSÉ ASDRUBAL PÉREZ GIRALDO</v>
      </c>
      <c r="M1736" s="71">
        <f>IFERROR(IF(VLOOKUP(A1736,[12]PRIORIZADOS!$A:$M,13,FALSE)="","",VLOOKUP(A1736,[12]PRIORIZADOS!$A:$M,13,FALSE)),"")</f>
        <v>45777</v>
      </c>
      <c r="N1736" s="71">
        <f>IFERROR(IF(VLOOKUP(A1736,[12]PRIORIZADOS!$A:$N,14,FALSE)="","",VLOOKUP(A1736,[12]PRIORIZADOS!$A:$N,14,FALSE)),"")</f>
        <v>45777</v>
      </c>
      <c r="O1736" s="71">
        <f>IFERROR(IF(VLOOKUP(A1736,[12]PRIORIZADOS!$A:$O,15,FALSE)="","",VLOOKUP(A1736,[12]PRIORIZADOS!$A:$O,15,FALSE)),"")</f>
        <v>45777</v>
      </c>
      <c r="P1736" s="11" t="str">
        <f>IFERROR(IF(VLOOKUP(A1736,[12]PRIORIZADOS!$A:$P,16,FALSE)="","",VLOOKUP(A1736,[12]PRIORIZADOS!$A:$P,16,FALSE)),"")</f>
        <v>Visitas de evaluación con fines de mejoramiento</v>
      </c>
      <c r="Q1736" s="107" t="s">
        <v>384</v>
      </c>
      <c r="R1736" s="11" t="str">
        <f>IFERROR(IF(VLOOKUP(A1736,[12]PRIORIZADOS!$A:$R,18,FALSE)="","",VLOOKUP(A1736,[12]PRIORIZADOS!$A:$R,18,FALSE)),"")</f>
        <v>El manual de convivencia 2024 contiene compromisos de la comunidad educativa, los protocolos de atención, la ruta de atención integral, , Gobierno Escolar, las normas para la utilización de los servicios,  los costos educativos, etc.
La IE indica que en la primera asamblea se hace entrega del manual de convivencia y se hace socialización de los aspectos más relevantes.</v>
      </c>
      <c r="S1736" s="11" t="str">
        <f>IFERROR(IF(VLOOKUP(A1736,[12]PRIORIZADOS!$A:$S,19,FALSE)="","",VLOOKUP(A1736,[12]PRIORIZADOS!$A:$S,19,FALSE)),"")</f>
        <v>Es importante que la actualizacion se realice por las diferentes estamentos y socializado con la comunidad educativa teniendo en cuenta la promocion y prevencion de situacion de convivencia escolar y delitos sexuales.</v>
      </c>
      <c r="T1736" s="70" t="str">
        <f>IFERROR(IF(VLOOKUP(A1736,[12]PRIORIZADOS!$A:$T,20,FALSE)="","",VLOOKUP(A1736,[12]PRIORIZADOS!$A:$T,20,FALSE)),"")</f>
        <v>No</v>
      </c>
      <c r="U1736" s="11" t="str">
        <f>IFERROR(IF(VLOOKUP(A1736,[12]PRIORIZADOS!$A:$U,21,FALSE)="","",VLOOKUP(A1736,[12]PRIORIZADOS!$A:$U,21,FALSE)),"")</f>
        <v xml:space="preserve">Se hará verificación en una vez se de contestación de la IE y/o en caso de requerimiento </v>
      </c>
    </row>
    <row r="1737" spans="1:21" s="1" customFormat="1" ht="96">
      <c r="A1737" s="69">
        <f>IF([12]PRIORIZADOS!A67="","",[12]PRIORIZADOS!A67)</f>
        <v>1709</v>
      </c>
      <c r="B1737" s="70">
        <v>7</v>
      </c>
      <c r="C1737" s="11" t="str">
        <f>IFERROR(IF(VLOOKUP(A1737,[12]PRIORIZADOS!$A:$C,3,FALSE)="","",VLOOKUP(A1737,[12]PRIORIZADOS!$A:$C,3,FALSE)),"")</f>
        <v>SAN CRISTÓBAL</v>
      </c>
      <c r="D1737" s="11" t="str">
        <f>IFERROR(IF(VLOOKUP(A1737,[12]PRIORIZADOS!$A:$D,4,FALSE)="","",VLOOKUP(A1737,[12]PRIORIZADOS!$A:$D,4,FALSE)),"")</f>
        <v>PRIVADO</v>
      </c>
      <c r="E1737" s="11" t="str">
        <f>IFERROR(IF(VLOOKUP(A1737,[12]PRIORIZADOS!$A:$E,5,FALSE)="","",VLOOKUP(A1737,[12]PRIORIZADOS!$A:$E,5,FALSE)),"")</f>
        <v>EPBM</v>
      </c>
      <c r="F1737" s="11" t="str">
        <f>IFERROR(IF(VLOOKUP(A1737,[12]PRIORIZADOS!$A:$F,6,FALSE)="","",VLOOKUP(A1737,[12]PRIORIZADOS!$A:$F,6,FALSE)),"")</f>
        <v>COLEGIO_NUEVA_GENERACION_ALTAMIRA_CONGA</v>
      </c>
      <c r="G1737" s="11" t="str">
        <f>IFERROR(IF(VLOOKUP(A1737,[12]PRIORIZADOS!$A:$G,7,FALSE)="","",VLOOKUP(A1737,[12]PRIORIZADOS!$A:$G,7,FALSE)),"")</f>
        <v>COLEGIO NUEVA GENERACION ALTAMIRA - CONGA</v>
      </c>
      <c r="H1737" s="11" t="str">
        <f>IFERROR(IF(VLOOKUP(A1737,[12]PRIORIZADOS!$A:$H,8,FALSE)="","",VLOOKUP(A1737,[12]PRIORIZADOS!$A:$H,8,FALSE)),"")</f>
        <v>Autoevaluación Institucional y Pruebas SABER 11</v>
      </c>
      <c r="I1737" s="11" t="str">
        <f>IFERROR(IF(VLOOKUP(A1737,[12]PRIORIZADOS!$A:$I,9,FALSE)="","",VLOOKUP(A1737,[12]PRIORIZADOS!$A:$I,9,FALSE)),"")</f>
        <v>EVALUACIÓN_CON_FINES_DE_MEJORAMIENTO.</v>
      </c>
      <c r="J1737" s="11" t="str">
        <f>IFERROR(IF(VLOOKUP(A1737,[12]PRIORIZADOS!$A:$J,10,FALSE)="","",VLOOKUP(A1737,[12]PRIORIZADOS!$A:$J,10,FALSE)),"")</f>
        <v>Revisar la actualización, socialización e implementación del Sistema Institucional de Evaluación de Estudiantes - SIEE, en articulación con la actualización del PEI y la normatividad vigente.</v>
      </c>
      <c r="K1737" s="11" t="str">
        <f>IFERROR(IF(VLOOKUP(A1737,[12]PRIORIZADOS!$A:$K,11,FALSE)="","",VLOOKUP(A1737,[12]PRIORIZADOS!$A:$K,11,FALSE)),"")</f>
        <v>JAIRO ANDRÉS ÁLVAREZ CHÁVEZ</v>
      </c>
      <c r="L1737" s="11" t="str">
        <f>IFERROR(IF(VLOOKUP(A1737,[12]PRIORIZADOS!$A:$L,12,FALSE)="","",VLOOKUP(A1737,[12]PRIORIZADOS!$A:$L,12,FALSE)),"")</f>
        <v>JOSÉ ASDRUBAL PÉREZ GIRALDO</v>
      </c>
      <c r="M1737" s="71">
        <f>IFERROR(IF(VLOOKUP(A1737,[12]PRIORIZADOS!$A:$M,13,FALSE)="","",VLOOKUP(A1737,[12]PRIORIZADOS!$A:$M,13,FALSE)),"")</f>
        <v>45777</v>
      </c>
      <c r="N1737" s="71">
        <f>IFERROR(IF(VLOOKUP(A1737,[12]PRIORIZADOS!$A:$N,14,FALSE)="","",VLOOKUP(A1737,[12]PRIORIZADOS!$A:$N,14,FALSE)),"")</f>
        <v>45777</v>
      </c>
      <c r="O1737" s="71">
        <f>IFERROR(IF(VLOOKUP(A1737,[12]PRIORIZADOS!$A:$O,15,FALSE)="","",VLOOKUP(A1737,[12]PRIORIZADOS!$A:$O,15,FALSE)),"")</f>
        <v>45777</v>
      </c>
      <c r="P1737" s="11" t="str">
        <f>IFERROR(IF(VLOOKUP(A1737,[12]PRIORIZADOS!$A:$P,16,FALSE)="","",VLOOKUP(A1737,[12]PRIORIZADOS!$A:$P,16,FALSE)),"")</f>
        <v>Visitas de evaluación con fines de mejoramiento</v>
      </c>
      <c r="Q1737" s="107" t="s">
        <v>384</v>
      </c>
      <c r="R1737" s="11" t="str">
        <f>IFERROR(IF(VLOOKUP(A1737,[12]PRIORIZADOS!$A:$R,18,FALSE)="","",VLOOKUP(A1737,[12]PRIORIZADOS!$A:$R,18,FALSE)),"")</f>
        <v xml:space="preserve">Presentan documento SIEE y adicionalmente cuentan con Plataforma Educativa VPS para gestion academica y convivencial, observador del alumno comunicación con padres etc, es decir que se hace seguimiento del proceso de los estudiantes para superación de dificultades. </v>
      </c>
      <c r="S1737" s="11" t="str">
        <f>IFERROR(IF(VLOOKUP(A1737,[12]PRIORIZADOS!$A:$S,19,FALSE)="","",VLOOKUP(A1737,[12]PRIORIZADOS!$A:$S,19,FALSE)),"")</f>
        <v xml:space="preserve">Se solicita a la institución sistematizar los ajustes pedagogicos, administrativos, curriculares y de convivencia para definir un unico documento de PEI y pasarlos por los organos del gobierno escolar para su respectiva aprobacion.  </v>
      </c>
      <c r="T1737" s="70" t="str">
        <f>IFERROR(IF(VLOOKUP(A1737,[12]PRIORIZADOS!$A:$T,20,FALSE)="","",VLOOKUP(A1737,[12]PRIORIZADOS!$A:$T,20,FALSE)),"")</f>
        <v>No</v>
      </c>
      <c r="U1737" s="11" t="str">
        <f>IFERROR(IF(VLOOKUP(A1737,[12]PRIORIZADOS!$A:$U,21,FALSE)="","",VLOOKUP(A1737,[12]PRIORIZADOS!$A:$U,21,FALSE)),"")</f>
        <v xml:space="preserve">Se hará verificación en una vez se de contestación de la IE y/o en caso de requerimiento </v>
      </c>
    </row>
    <row r="1738" spans="1:21" s="1" customFormat="1" ht="48">
      <c r="A1738" s="69">
        <f>IF([12]PRIORIZADOS!A68="","",[12]PRIORIZADOS!A68)</f>
        <v>1710</v>
      </c>
      <c r="B1738" s="70">
        <v>7</v>
      </c>
      <c r="C1738" s="11" t="str">
        <f>IFERROR(IF(VLOOKUP(A1738,[12]PRIORIZADOS!$A:$C,3,FALSE)="","",VLOOKUP(A1738,[12]PRIORIZADOS!$A:$C,3,FALSE)),"")</f>
        <v>SAN CRISTÓBAL</v>
      </c>
      <c r="D1738" s="11" t="str">
        <f>IFERROR(IF(VLOOKUP(A1738,[12]PRIORIZADOS!$A:$D,4,FALSE)="","",VLOOKUP(A1738,[12]PRIORIZADOS!$A:$D,4,FALSE)),"")</f>
        <v>PRIVADO</v>
      </c>
      <c r="E1738" s="11" t="str">
        <f>IFERROR(IF(VLOOKUP(A1738,[12]PRIORIZADOS!$A:$E,5,FALSE)="","",VLOOKUP(A1738,[12]PRIORIZADOS!$A:$E,5,FALSE)),"")</f>
        <v>EPBM</v>
      </c>
      <c r="F1738" s="11" t="str">
        <f>IFERROR(IF(VLOOKUP(A1738,[12]PRIORIZADOS!$A:$F,6,FALSE)="","",VLOOKUP(A1738,[12]PRIORIZADOS!$A:$F,6,FALSE)),"")</f>
        <v>COLEGIO_NUEVA_GENERACION_ALTAMIRA_CONGA</v>
      </c>
      <c r="G1738" s="11" t="str">
        <f>IFERROR(IF(VLOOKUP(A1738,[12]PRIORIZADOS!$A:$G,7,FALSE)="","",VLOOKUP(A1738,[12]PRIORIZADOS!$A:$G,7,FALSE)),"")</f>
        <v>COLEGIO NUEVA GENERACION ALTAMIRA - CONGA</v>
      </c>
      <c r="H1738" s="11" t="str">
        <f>IFERROR(IF(VLOOKUP(A1738,[12]PRIORIZADOS!$A:$H,8,FALSE)="","",VLOOKUP(A1738,[12]PRIORIZADOS!$A:$H,8,FALSE)),"")</f>
        <v>Autoevaluación Institucional y Pruebas SABER 11</v>
      </c>
      <c r="I1738" s="11" t="str">
        <f>IFERROR(IF(VLOOKUP(A1738,[12]PRIORIZADOS!$A:$I,9,FALSE)="","",VLOOKUP(A1738,[12]PRIORIZADOS!$A:$I,9,FALSE)),"")</f>
        <v>EVALUACIÓN_CON_FINES_DE_MEJORAMIENTO.</v>
      </c>
      <c r="J1738" s="11" t="str">
        <f>IFERROR(IF(VLOOKUP(A1738,[12]PRIORIZADOS!$A:$J,10,FALSE)="","",VLOOKUP(A1738,[12]PRIORIZADOS!$A:$J,10,FALSE)),"")</f>
        <v>Revisar el calendario escolar, jornada escolar, la intensidad horaria mínima anual en cada nivel y las modificaciones que se realicen al mismo, de acuerdo con lo previsto en la normatividad vigente.</v>
      </c>
      <c r="K1738" s="11" t="str">
        <f>IFERROR(IF(VLOOKUP(A1738,[12]PRIORIZADOS!$A:$K,11,FALSE)="","",VLOOKUP(A1738,[12]PRIORIZADOS!$A:$K,11,FALSE)),"")</f>
        <v>JAIRO ANDRÉS ÁLVAREZ CHÁVEZ</v>
      </c>
      <c r="L1738" s="11" t="str">
        <f>IFERROR(IF(VLOOKUP(A1738,[12]PRIORIZADOS!$A:$L,12,FALSE)="","",VLOOKUP(A1738,[12]PRIORIZADOS!$A:$L,12,FALSE)),"")</f>
        <v>JOSÉ ASDRUBAL PÉREZ GIRALDO</v>
      </c>
      <c r="M1738" s="71">
        <f>IFERROR(IF(VLOOKUP(A1738,[12]PRIORIZADOS!$A:$M,13,FALSE)="","",VLOOKUP(A1738,[12]PRIORIZADOS!$A:$M,13,FALSE)),"")</f>
        <v>45777</v>
      </c>
      <c r="N1738" s="71">
        <f>IFERROR(IF(VLOOKUP(A1738,[12]PRIORIZADOS!$A:$N,14,FALSE)="","",VLOOKUP(A1738,[12]PRIORIZADOS!$A:$N,14,FALSE)),"")</f>
        <v>45777</v>
      </c>
      <c r="O1738" s="71">
        <f>IFERROR(IF(VLOOKUP(A1738,[12]PRIORIZADOS!$A:$O,15,FALSE)="","",VLOOKUP(A1738,[12]PRIORIZADOS!$A:$O,15,FALSE)),"")</f>
        <v>45777</v>
      </c>
      <c r="P1738" s="11" t="str">
        <f>IFERROR(IF(VLOOKUP(A1738,[12]PRIORIZADOS!$A:$P,16,FALSE)="","",VLOOKUP(A1738,[12]PRIORIZADOS!$A:$P,16,FALSE)),"")</f>
        <v>Visitas de evaluación con fines de mejoramiento</v>
      </c>
      <c r="Q1738" s="107" t="s">
        <v>384</v>
      </c>
      <c r="R1738" s="11" t="str">
        <f>IFERROR(IF(VLOOKUP(A1738,[12]PRIORIZADOS!$A:$R,18,FALSE)="","",VLOOKUP(A1738,[12]PRIORIZADOS!$A:$R,18,FALSE)),"")</f>
        <v>Se evidencia el horario en la Resolucion de calendario academico para el año 2025.</v>
      </c>
      <c r="S1738" s="11" t="str">
        <f>IFERROR(IF(VLOOKUP(A1738,[12]PRIORIZADOS!$A:$S,19,FALSE)="","",VLOOKUP(A1738,[12]PRIORIZADOS!$A:$S,19,FALSE)),"")</f>
        <v>Atendieron el ajuste realizado desde la DILE para cada ciclo, cumpliendo con la intensidad horaria.</v>
      </c>
      <c r="T1738" s="70" t="str">
        <f>IFERROR(IF(VLOOKUP(A1738,[12]PRIORIZADOS!$A:$T,20,FALSE)="","",VLOOKUP(A1738,[12]PRIORIZADOS!$A:$T,20,FALSE)),"")</f>
        <v>No</v>
      </c>
      <c r="U1738" s="11" t="str">
        <f>IFERROR(IF(VLOOKUP(A1738,[12]PRIORIZADOS!$A:$U,21,FALSE)="","",VLOOKUP(A1738,[12]PRIORIZADOS!$A:$U,21,FALSE)),"")</f>
        <v>Se hará verificación en caso de presentarse requerimiento</v>
      </c>
    </row>
    <row r="1739" spans="1:21" s="1" customFormat="1" ht="48">
      <c r="A1739" s="69">
        <f>IF([12]PRIORIZADOS!A69="","",[12]PRIORIZADOS!A69)</f>
        <v>1711</v>
      </c>
      <c r="B1739" s="70">
        <v>7</v>
      </c>
      <c r="C1739" s="11" t="str">
        <f>IFERROR(IF(VLOOKUP(A1739,[12]PRIORIZADOS!$A:$C,3,FALSE)="","",VLOOKUP(A1739,[12]PRIORIZADOS!$A:$C,3,FALSE)),"")</f>
        <v>SAN CRISTÓBAL</v>
      </c>
      <c r="D1739" s="11" t="str">
        <f>IFERROR(IF(VLOOKUP(A1739,[12]PRIORIZADOS!$A:$D,4,FALSE)="","",VLOOKUP(A1739,[12]PRIORIZADOS!$A:$D,4,FALSE)),"")</f>
        <v>PRIVADO</v>
      </c>
      <c r="E1739" s="11" t="str">
        <f>IFERROR(IF(VLOOKUP(A1739,[12]PRIORIZADOS!$A:$E,5,FALSE)="","",VLOOKUP(A1739,[12]PRIORIZADOS!$A:$E,5,FALSE)),"")</f>
        <v>EPBM</v>
      </c>
      <c r="F1739" s="11" t="str">
        <f>IFERROR(IF(VLOOKUP(A1739,[12]PRIORIZADOS!$A:$F,6,FALSE)="","",VLOOKUP(A1739,[12]PRIORIZADOS!$A:$F,6,FALSE)),"")</f>
        <v>COLEGIO_NUEVA_GENERACION_ALTAMIRA_CONGA</v>
      </c>
      <c r="G1739" s="11" t="str">
        <f>IFERROR(IF(VLOOKUP(A1739,[12]PRIORIZADOS!$A:$G,7,FALSE)="","",VLOOKUP(A1739,[12]PRIORIZADOS!$A:$G,7,FALSE)),"")</f>
        <v>COLEGIO NUEVA GENERACION ALTAMIRA - CONGA</v>
      </c>
      <c r="H1739" s="11" t="str">
        <f>IFERROR(IF(VLOOKUP(A1739,[12]PRIORIZADOS!$A:$H,8,FALSE)="","",VLOOKUP(A1739,[12]PRIORIZADOS!$A:$H,8,FALSE)),"")</f>
        <v>Autoevaluación Institucional y Pruebas SABER 11</v>
      </c>
      <c r="I1739" s="11" t="str">
        <f>IFERROR(IF(VLOOKUP(A1739,[12]PRIORIZADOS!$A:$I,9,FALSE)="","",VLOOKUP(A1739,[12]PRIORIZADOS!$A:$I,9,FALSE)),"")</f>
        <v>EVALUACIÓN_CON_FINES_DE_MEJORAMIENTO.</v>
      </c>
      <c r="J1739" s="11" t="str">
        <f>IFERROR(IF(VLOOKUP(A1739,[12]PRIORIZADOS!$A:$J,10,FALSE)="","",VLOOKUP(A1739,[12]PRIORIZADOS!$A:$J,10,FALSE)),"")</f>
        <v>Verificar el funcionamiento del Gobierno Escolar e instancias de participación con base en la información sobre conformación reportada por la institución educativa.</v>
      </c>
      <c r="K1739" s="11" t="str">
        <f>IFERROR(IF(VLOOKUP(A1739,[12]PRIORIZADOS!$A:$K,11,FALSE)="","",VLOOKUP(A1739,[12]PRIORIZADOS!$A:$K,11,FALSE)),"")</f>
        <v>JAIRO ANDRÉS ÁLVAREZ CHÁVEZ</v>
      </c>
      <c r="L1739" s="11" t="str">
        <f>IFERROR(IF(VLOOKUP(A1739,[12]PRIORIZADOS!$A:$L,12,FALSE)="","",VLOOKUP(A1739,[12]PRIORIZADOS!$A:$L,12,FALSE)),"")</f>
        <v>JOSÉ ASDRUBAL PÉREZ GIRALDO</v>
      </c>
      <c r="M1739" s="71">
        <f>IFERROR(IF(VLOOKUP(A1739,[12]PRIORIZADOS!$A:$M,13,FALSE)="","",VLOOKUP(A1739,[12]PRIORIZADOS!$A:$M,13,FALSE)),"")</f>
        <v>45777</v>
      </c>
      <c r="N1739" s="71">
        <f>IFERROR(IF(VLOOKUP(A1739,[12]PRIORIZADOS!$A:$N,14,FALSE)="","",VLOOKUP(A1739,[12]PRIORIZADOS!$A:$N,14,FALSE)),"")</f>
        <v>45777</v>
      </c>
      <c r="O1739" s="71">
        <f>IFERROR(IF(VLOOKUP(A1739,[12]PRIORIZADOS!$A:$O,15,FALSE)="","",VLOOKUP(A1739,[12]PRIORIZADOS!$A:$O,15,FALSE)),"")</f>
        <v>45777</v>
      </c>
      <c r="P1739" s="11" t="str">
        <f>IFERROR(IF(VLOOKUP(A1739,[12]PRIORIZADOS!$A:$P,16,FALSE)="","",VLOOKUP(A1739,[12]PRIORIZADOS!$A:$P,16,FALSE)),"")</f>
        <v>Visitas de evaluación con fines de mejoramiento</v>
      </c>
      <c r="Q1739" s="107" t="s">
        <v>384</v>
      </c>
      <c r="R1739" s="11" t="str">
        <f>IFERROR(IF(VLOOKUP(A1739,[12]PRIORIZADOS!$A:$R,18,FALSE)="","",VLOOKUP(A1739,[12]PRIORIZADOS!$A:$R,18,FALSE)),"")</f>
        <v>Se encuentran actas de conformación del gobierno escolar</v>
      </c>
      <c r="S1739" s="11" t="str">
        <f>IFERROR(IF(VLOOKUP(A1739,[12]PRIORIZADOS!$A:$S,19,FALSE)="","",VLOOKUP(A1739,[12]PRIORIZADOS!$A:$S,19,FALSE)),"")</f>
        <v>A la fecha no han sesionado las instancias, se recomienda el registro en actas.</v>
      </c>
      <c r="T1739" s="70" t="str">
        <f>IFERROR(IF(VLOOKUP(A1739,[12]PRIORIZADOS!$A:$T,20,FALSE)="","",VLOOKUP(A1739,[12]PRIORIZADOS!$A:$T,20,FALSE)),"")</f>
        <v>No</v>
      </c>
      <c r="U1739" s="11" t="str">
        <f>IFERROR(IF(VLOOKUP(A1739,[12]PRIORIZADOS!$A:$U,21,FALSE)="","",VLOOKUP(A1739,[12]PRIORIZADOS!$A:$U,21,FALSE)),"")</f>
        <v>Se hará verificación en caso de presentarse requerimiento</v>
      </c>
    </row>
    <row r="1740" spans="1:21" s="1" customFormat="1" ht="72">
      <c r="A1740" s="69">
        <f>IF([12]PRIORIZADOS!A70="","",[12]PRIORIZADOS!A70)</f>
        <v>1712</v>
      </c>
      <c r="B1740" s="70">
        <v>7</v>
      </c>
      <c r="C1740" s="11" t="str">
        <f>IFERROR(IF(VLOOKUP(A1740,[12]PRIORIZADOS!$A:$C,3,FALSE)="","",VLOOKUP(A1740,[12]PRIORIZADOS!$A:$C,3,FALSE)),"")</f>
        <v>SAN CRISTÓBAL</v>
      </c>
      <c r="D1740" s="11" t="str">
        <f>IFERROR(IF(VLOOKUP(A1740,[12]PRIORIZADOS!$A:$D,4,FALSE)="","",VLOOKUP(A1740,[12]PRIORIZADOS!$A:$D,4,FALSE)),"")</f>
        <v>PRIVADO</v>
      </c>
      <c r="E1740" s="11" t="str">
        <f>IFERROR(IF(VLOOKUP(A1740,[12]PRIORIZADOS!$A:$E,5,FALSE)="","",VLOOKUP(A1740,[12]PRIORIZADOS!$A:$E,5,FALSE)),"")</f>
        <v>EPBM</v>
      </c>
      <c r="F1740" s="11" t="str">
        <f>IFERROR(IF(VLOOKUP(A1740,[12]PRIORIZADOS!$A:$F,6,FALSE)="","",VLOOKUP(A1740,[12]PRIORIZADOS!$A:$F,6,FALSE)),"")</f>
        <v>COLEGIO_NUEVA_GENERACION_ALTAMIRA_CONGA</v>
      </c>
      <c r="G1740" s="11" t="str">
        <f>IFERROR(IF(VLOOKUP(A1740,[12]PRIORIZADOS!$A:$G,7,FALSE)="","",VLOOKUP(A1740,[12]PRIORIZADOS!$A:$G,7,FALSE)),"")</f>
        <v>COLEGIO NUEVA GENERACION ALTAMIRA - CONGA</v>
      </c>
      <c r="H1740" s="11" t="str">
        <f>IFERROR(IF(VLOOKUP(A1740,[12]PRIORIZADOS!$A:$H,8,FALSE)="","",VLOOKUP(A1740,[12]PRIORIZADOS!$A:$H,8,FALSE)),"")</f>
        <v>Autoevaluación Institucional y Pruebas SABER 11</v>
      </c>
      <c r="I1740" s="11" t="str">
        <f>IFERROR(IF(VLOOKUP(A1740,[12]PRIORIZADOS!$A:$I,9,FALSE)="","",VLOOKUP(A1740,[12]PRIORIZADOS!$A:$I,9,FALSE)),"")</f>
        <v>EVALUACIÓN_CON_FINES_DE_MEJORAMIENTO.</v>
      </c>
      <c r="J1740" s="11" t="str">
        <f>IFERROR(IF(VLOOKUP(A1740,[12]PRIORIZADOS!$A:$J,10,FALSE)="","",VLOOKUP(A1740,[12]PRIORIZADOS!$A:$J,10,FALSE)),"")</f>
        <v>Verificar las condiciones en cuanto a: la estructura administrativa, condiciones de la planta física y medios educativos adecuados.</v>
      </c>
      <c r="K1740" s="11" t="str">
        <f>IFERROR(IF(VLOOKUP(A1740,[12]PRIORIZADOS!$A:$K,11,FALSE)="","",VLOOKUP(A1740,[12]PRIORIZADOS!$A:$K,11,FALSE)),"")</f>
        <v>JAIRO ANDRÉS ÁLVAREZ CHÁVEZ</v>
      </c>
      <c r="L1740" s="11" t="str">
        <f>IFERROR(IF(VLOOKUP(A1740,[12]PRIORIZADOS!$A:$L,12,FALSE)="","",VLOOKUP(A1740,[12]PRIORIZADOS!$A:$L,12,FALSE)),"")</f>
        <v>JOSÉ ASDRUBAL PÉREZ GIRALDO</v>
      </c>
      <c r="M1740" s="71">
        <f>IFERROR(IF(VLOOKUP(A1740,[12]PRIORIZADOS!$A:$M,13,FALSE)="","",VLOOKUP(A1740,[12]PRIORIZADOS!$A:$M,13,FALSE)),"")</f>
        <v>45777</v>
      </c>
      <c r="N1740" s="71">
        <f>IFERROR(IF(VLOOKUP(A1740,[12]PRIORIZADOS!$A:$N,14,FALSE)="","",VLOOKUP(A1740,[12]PRIORIZADOS!$A:$N,14,FALSE)),"")</f>
        <v>45777</v>
      </c>
      <c r="O1740" s="71">
        <f>IFERROR(IF(VLOOKUP(A1740,[12]PRIORIZADOS!$A:$O,15,FALSE)="","",VLOOKUP(A1740,[12]PRIORIZADOS!$A:$O,15,FALSE)),"")</f>
        <v>45777</v>
      </c>
      <c r="P1740" s="11" t="str">
        <f>IFERROR(IF(VLOOKUP(A1740,[12]PRIORIZADOS!$A:$P,16,FALSE)="","",VLOOKUP(A1740,[12]PRIORIZADOS!$A:$P,16,FALSE)),"")</f>
        <v>Visitas de evaluación con fines de mejoramiento</v>
      </c>
      <c r="Q1740" s="107" t="s">
        <v>384</v>
      </c>
      <c r="R1740" s="11" t="str">
        <f>IFERROR(IF(VLOOKUP(A1740,[12]PRIORIZADOS!$A:$R,18,FALSE)="","",VLOOKUP(A1740,[12]PRIORIZADOS!$A:$R,18,FALSE)),"")</f>
        <v>En el recorrido realizado se evidenció salones para cada curso, mobiliario y dotación adecuada,  de acuerdo con la poblacion atendida, se evidencio área recreativa, patio y zona de danzas</v>
      </c>
      <c r="S1740" s="11" t="str">
        <f>IFERROR(IF(VLOOKUP(A1740,[12]PRIORIZADOS!$A:$S,19,FALSE)="","",VLOOKUP(A1740,[12]PRIORIZADOS!$A:$S,19,FALSE)),"")</f>
        <v>Se recomienda señalización de todos los espacios académicos y administrativos, se recomienda que se tenga en cuenta en los mantenimientos y arreglos locativos tener presente adecuaciones pensadas en discapacidad.</v>
      </c>
      <c r="T1740" s="70" t="str">
        <f>IFERROR(IF(VLOOKUP(A1740,[12]PRIORIZADOS!$A:$T,20,FALSE)="","",VLOOKUP(A1740,[12]PRIORIZADOS!$A:$T,20,FALSE)),"")</f>
        <v>No</v>
      </c>
      <c r="U1740" s="11" t="str">
        <f>IFERROR(IF(VLOOKUP(A1740,[12]PRIORIZADOS!$A:$U,21,FALSE)="","",VLOOKUP(A1740,[12]PRIORIZADOS!$A:$U,21,FALSE)),"")</f>
        <v>Se hará verificación en caso de presentarse requerimiento</v>
      </c>
    </row>
    <row r="1741" spans="1:21" s="1" customFormat="1" ht="48">
      <c r="A1741" s="69">
        <f>IF([12]PRIORIZADOS!A71="","",[12]PRIORIZADOS!A71)</f>
        <v>1713</v>
      </c>
      <c r="B1741" s="70">
        <f>IFERROR(IF(VLOOKUP(A1741,[12]PRIORIZADOS!$A:$B,2,FALSE)="","",VLOOKUP(A1741,[12]PRIORIZADOS!$A:$B,2,FALSE)),"")</f>
        <v>8</v>
      </c>
      <c r="C1741" s="11" t="str">
        <f>IFERROR(IF(VLOOKUP(A1741,[12]PRIORIZADOS!$A:$C,3,FALSE)="","",VLOOKUP(A1741,[12]PRIORIZADOS!$A:$C,3,FALSE)),"")</f>
        <v>SAN CRISTÓBAL</v>
      </c>
      <c r="D1741" s="11" t="str">
        <f>IFERROR(IF(VLOOKUP(A1741,[12]PRIORIZADOS!$A:$D,4,FALSE)="","",VLOOKUP(A1741,[12]PRIORIZADOS!$A:$D,4,FALSE)),"")</f>
        <v>PRIVADO</v>
      </c>
      <c r="E1741" s="11" t="str">
        <f>IFERROR(IF(VLOOKUP(A1741,[12]PRIORIZADOS!$A:$E,5,FALSE)="","",VLOOKUP(A1741,[12]PRIORIZADOS!$A:$E,5,FALSE)),"")</f>
        <v>EPBM</v>
      </c>
      <c r="F1741" s="11" t="str">
        <f>IFERROR(IF(VLOOKUP(A1741,[12]PRIORIZADOS!$A:$F,6,FALSE)="","",VLOOKUP(A1741,[12]PRIORIZADOS!$A:$F,6,FALSE)),"")</f>
        <v>COLEGIO_PRINCIPE_DE_PAZ</v>
      </c>
      <c r="G1741" s="11" t="str">
        <f>IFERROR(IF(VLOOKUP(A1741,[12]PRIORIZADOS!$A:$G,7,FALSE)="","",VLOOKUP(A1741,[12]PRIORIZADOS!$A:$G,7,FALSE)),"")</f>
        <v>COLEGIO PRINCIPE DE PAZ</v>
      </c>
      <c r="H1741" s="11" t="str">
        <f>IFERROR(IF(VLOOKUP(A1741,[12]PRIORIZADOS!$A:$H,8,FALSE)="","",VLOOKUP(A1741,[12]PRIORIZADOS!$A:$H,8,FALSE)),"")</f>
        <v>Autoevaluación Institucional y Pruebas SABER 11</v>
      </c>
      <c r="I1741" s="11" t="str">
        <f>IFERROR(IF(VLOOKUP(A1741,[12]PRIORIZADOS!$A:$I,9,FALSE)="","",VLOOKUP(A1741,[12]PRIORIZADOS!$A:$I,9,FALSE)),"")</f>
        <v>SEGUIMIENTO_Y_SUPERVISIÓN.</v>
      </c>
      <c r="J1741" s="11" t="str">
        <f>IFERROR(IF(VLOOKUP(A1741,[12]PRIORIZADOS!$A:$J,10,FALSE)="","",VLOOKUP(A1741,[12]PRIORIZADOS!$A:$J,10,FALSE)),"")</f>
        <v>Realizar visitas para verificar la información registrada sobre la autoevaluación institucional en el aplicativo EVI, a los establecimientos de educación formal no oficial.</v>
      </c>
      <c r="K1741" s="11" t="str">
        <f>IFERROR(IF(VLOOKUP(A1741,[12]PRIORIZADOS!$A:$K,11,FALSE)="","",VLOOKUP(A1741,[12]PRIORIZADOS!$A:$K,11,FALSE)),"")</f>
        <v>JOSÉ ASDRUBAL PÉREZ GIRALDO</v>
      </c>
      <c r="L1741" s="11" t="str">
        <f>IFERROR(IF(VLOOKUP(A1741,[12]PRIORIZADOS!$A:$L,12,FALSE)="","",VLOOKUP(A1741,[12]PRIORIZADOS!$A:$L,12,FALSE)),"")</f>
        <v>JAIRO ANDRÉS ÁLVAREZ CHÁVEZ</v>
      </c>
      <c r="M1741" s="71">
        <f>IFERROR(IF(VLOOKUP(A1741,[12]PRIORIZADOS!$A:$M,13,FALSE)="","",VLOOKUP(A1741,[12]PRIORIZADOS!$A:$M,13,FALSE)),"")</f>
        <v>45786</v>
      </c>
      <c r="N1741" s="71">
        <f>IFERROR(IF(VLOOKUP(A1741,[12]PRIORIZADOS!$A:$N,14,FALSE)="","",VLOOKUP(A1741,[12]PRIORIZADOS!$A:$N,14,FALSE)),"")</f>
        <v>45814</v>
      </c>
      <c r="O1741" s="71">
        <f>IFERROR(IF(VLOOKUP(A1741,[12]PRIORIZADOS!$A:$O,15,FALSE)="","",VLOOKUP(A1741,[12]PRIORIZADOS!$A:$O,15,FALSE)),"")</f>
        <v>45814</v>
      </c>
      <c r="P1741" s="11" t="str">
        <f>IFERROR(IF(VLOOKUP(A1741,[12]PRIORIZADOS!$A:$P,16,FALSE)="","",VLOOKUP(A1741,[12]PRIORIZADOS!$A:$P,16,FALSE)),"")</f>
        <v>Visitas de evaluación con fines de mejoramiento</v>
      </c>
      <c r="Q1741" s="107" t="s">
        <v>385</v>
      </c>
      <c r="R1741" s="11" t="str">
        <f>IFERROR(IF(VLOOKUP(A1741,[12]PRIORIZADOS!$A:$R,18,FALSE)="","",VLOOKUP(A1741,[12]PRIORIZADOS!$A:$R,18,FALSE)),"")</f>
        <v>Se verifica el regimen regulado, se realiza recorrido en las inslalaciones,  se evidencia concordancia entre el EVI y la realidad institucional.</v>
      </c>
      <c r="S1741" s="11" t="str">
        <f>IFERROR(IF(VLOOKUP(A1741,[12]PRIORIZADOS!$A:$S,19,FALSE)="","",VLOOKUP(A1741,[12]PRIORIZADOS!$A:$S,19,FALSE)),"")</f>
        <v>Realizar la autoevaluación para la vigencia 2025</v>
      </c>
      <c r="T1741" s="70" t="str">
        <f>IFERROR(IF(VLOOKUP(A1741,[12]PRIORIZADOS!$A:$T,20,FALSE)="","",VLOOKUP(A1741,[12]PRIORIZADOS!$A:$T,20,FALSE)),"")</f>
        <v>No</v>
      </c>
      <c r="U1741" s="11" t="str">
        <f>IFERROR(IF(VLOOKUP(A1741,[12]PRIORIZADOS!$A:$U,21,FALSE)="","",VLOOKUP(A1741,[12]PRIORIZADOS!$A:$U,21,FALSE)),"")</f>
        <v>Se hará verificación para autorización de tarifas 2026</v>
      </c>
    </row>
    <row r="1742" spans="1:21" s="1" customFormat="1" ht="118.5">
      <c r="A1742" s="69">
        <f>IF([12]PRIORIZADOS!A72="","",[12]PRIORIZADOS!A72)</f>
        <v>1714</v>
      </c>
      <c r="B1742" s="70">
        <v>8</v>
      </c>
      <c r="C1742" s="11" t="str">
        <f>IFERROR(IF(VLOOKUP(A1742,[12]PRIORIZADOS!$A:$C,3,FALSE)="","",VLOOKUP(A1742,[12]PRIORIZADOS!$A:$C,3,FALSE)),"")</f>
        <v>SAN CRISTÓBAL</v>
      </c>
      <c r="D1742" s="11" t="str">
        <f>IFERROR(IF(VLOOKUP(A1742,[12]PRIORIZADOS!$A:$D,4,FALSE)="","",VLOOKUP(A1742,[12]PRIORIZADOS!$A:$D,4,FALSE)),"")</f>
        <v>PRIVADO</v>
      </c>
      <c r="E1742" s="11" t="str">
        <f>IFERROR(IF(VLOOKUP(A1742,[12]PRIORIZADOS!$A:$E,5,FALSE)="","",VLOOKUP(A1742,[12]PRIORIZADOS!$A:$E,5,FALSE)),"")</f>
        <v>EPBM</v>
      </c>
      <c r="F1742" s="11" t="str">
        <f>IFERROR(IF(VLOOKUP(A1742,[12]PRIORIZADOS!$A:$F,6,FALSE)="","",VLOOKUP(A1742,[12]PRIORIZADOS!$A:$F,6,FALSE)),"")</f>
        <v>COLEGIO_PRINCIPE_DE_PAZ</v>
      </c>
      <c r="G1742" s="11" t="str">
        <f>IFERROR(IF(VLOOKUP(A1742,[12]PRIORIZADOS!$A:$G,7,FALSE)="","",VLOOKUP(A1742,[12]PRIORIZADOS!$A:$G,7,FALSE)),"")</f>
        <v>COLEGIO PRINCIPE DE PAZ</v>
      </c>
      <c r="H1742" s="11" t="str">
        <f>IFERROR(IF(VLOOKUP(A1742,[12]PRIORIZADOS!$A:$H,8,FALSE)="","",VLOOKUP(A1742,[12]PRIORIZADOS!$A:$H,8,FALSE)),"")</f>
        <v>Autoevaluación Institucional y Pruebas SABER 11</v>
      </c>
      <c r="I1742" s="11" t="str">
        <f>IFERROR(IF(VLOOKUP(A1742,[12]PRIORIZADOS!$A:$I,9,FALSE)="","",VLOOKUP(A1742,[12]PRIORIZADOS!$A:$I,9,FALSE)),"")</f>
        <v>SEGUIMIENTO_Y_SUPERVISIÓN.</v>
      </c>
      <c r="J1742" s="11" t="str">
        <f>IFERROR(IF(VLOOKUP(A1742,[12]PRIORIZADOS!$A:$J,10,FALSE)="","",VLOOKUP(A1742,[12]PRIORIZADOS!$A:$J,10,FALSE)),"")</f>
        <v>Proponer estrategias en la formulación, verificar su elaboración y realizar seguimiento semestral al desarrollo de  las acciones establecidas en los planes de mejoramiento por pruebas SABER 11 de los establecimientos de educación formal.</v>
      </c>
      <c r="K1742" s="11" t="str">
        <f>IFERROR(IF(VLOOKUP(A1742,[12]PRIORIZADOS!$A:$K,11,FALSE)="","",VLOOKUP(A1742,[12]PRIORIZADOS!$A:$K,11,FALSE)),"")</f>
        <v>JOSÉ ASDRUBAL PÉREZ GIRALDO</v>
      </c>
      <c r="L1742" s="11" t="str">
        <f>IFERROR(IF(VLOOKUP(A1742,[12]PRIORIZADOS!$A:$L,12,FALSE)="","",VLOOKUP(A1742,[12]PRIORIZADOS!$A:$L,12,FALSE)),"")</f>
        <v>JAIRO ANDRÉS ÁLVAREZ CHÁVEZ</v>
      </c>
      <c r="M1742" s="71">
        <f>IFERROR(IF(VLOOKUP(A1742,[12]PRIORIZADOS!$A:$M,13,FALSE)="","",VLOOKUP(A1742,[12]PRIORIZADOS!$A:$M,13,FALSE)),"")</f>
        <v>45786</v>
      </c>
      <c r="N1742" s="71">
        <f>IFERROR(IF(VLOOKUP(A1742,[12]PRIORIZADOS!$A:$N,14,FALSE)="","",VLOOKUP(A1742,[12]PRIORIZADOS!$A:$N,14,FALSE)),"")</f>
        <v>45814</v>
      </c>
      <c r="O1742" s="71">
        <f>IFERROR(IF(VLOOKUP(A1742,[12]PRIORIZADOS!$A:$O,15,FALSE)="","",VLOOKUP(A1742,[12]PRIORIZADOS!$A:$O,15,FALSE)),"")</f>
        <v>45814</v>
      </c>
      <c r="P1742" s="11" t="str">
        <f>IFERROR(IF(VLOOKUP(A1742,[12]PRIORIZADOS!$A:$P,16,FALSE)="","",VLOOKUP(A1742,[12]PRIORIZADOS!$A:$P,16,FALSE)),"")</f>
        <v>Visitas de evaluación con fines de mejoramiento</v>
      </c>
      <c r="Q1742" s="107" t="s">
        <v>385</v>
      </c>
      <c r="R1742" s="11" t="str">
        <f>IFERROR(IF(VLOOKUP(A1742,[12]PRIORIZADOS!$A:$R,18,FALSE)="","",VLOOKUP(A1742,[12]PRIORIZADOS!$A:$R,18,FALSE)),"")</f>
        <v xml:space="preserve">Se han revisado los resultados de las pruebas saber y de las evaluaciones internas, mediante análisis estadistico
A traves del Consejo Académico  analizaron e implementaron acciones para fortalecer los resultados. En el próximo Consejo Académico se hará una propuesta de ajuste al plan de estudios con base en los resultados de las pruebas. 
</v>
      </c>
      <c r="S1742" s="11" t="str">
        <f>IFERROR(IF(VLOOKUP(A1742,[12]PRIORIZADOS!$A:$S,19,FALSE)="","",VLOOKUP(A1742,[12]PRIORIZADOS!$A:$S,19,FALSE)),"")</f>
        <v>Continuar con la puesta en marcha de las acciones para fortalecer los resultados en la pruebas Saber 11</v>
      </c>
      <c r="T1742" s="70" t="str">
        <f>IFERROR(IF(VLOOKUP(A1742,[12]PRIORIZADOS!$A:$T,20,FALSE)="","",VLOOKUP(A1742,[12]PRIORIZADOS!$A:$T,20,FALSE)),"")</f>
        <v>No</v>
      </c>
      <c r="U1742" s="11" t="str">
        <f>IFERROR(IF(VLOOKUP(A1742,[12]PRIORIZADOS!$A:$U,21,FALSE)="","",VLOOKUP(A1742,[12]PRIORIZADOS!$A:$U,21,FALSE)),"")</f>
        <v xml:space="preserve">Solicitar a la IE  la formulación de un plan de mejoramiento que incorpore las acciones  </v>
      </c>
    </row>
    <row r="1743" spans="1:21" s="1" customFormat="1" ht="72">
      <c r="A1743" s="69">
        <f>IF([12]PRIORIZADOS!A73="","",[12]PRIORIZADOS!A73)</f>
        <v>1715</v>
      </c>
      <c r="B1743" s="70">
        <v>8</v>
      </c>
      <c r="C1743" s="11" t="str">
        <f>IFERROR(IF(VLOOKUP(A1743,[12]PRIORIZADOS!$A:$C,3,FALSE)="","",VLOOKUP(A1743,[12]PRIORIZADOS!$A:$C,3,FALSE)),"")</f>
        <v>SAN CRISTÓBAL</v>
      </c>
      <c r="D1743" s="11" t="str">
        <f>IFERROR(IF(VLOOKUP(A1743,[12]PRIORIZADOS!$A:$D,4,FALSE)="","",VLOOKUP(A1743,[12]PRIORIZADOS!$A:$D,4,FALSE)),"")</f>
        <v>PRIVADO</v>
      </c>
      <c r="E1743" s="11" t="str">
        <f>IFERROR(IF(VLOOKUP(A1743,[12]PRIORIZADOS!$A:$E,5,FALSE)="","",VLOOKUP(A1743,[12]PRIORIZADOS!$A:$E,5,FALSE)),"")</f>
        <v>EPBM</v>
      </c>
      <c r="F1743" s="11" t="str">
        <f>IFERROR(IF(VLOOKUP(A1743,[12]PRIORIZADOS!$A:$F,6,FALSE)="","",VLOOKUP(A1743,[12]PRIORIZADOS!$A:$F,6,FALSE)),"")</f>
        <v>COLEGIO_PRINCIPE_DE_PAZ</v>
      </c>
      <c r="G1743" s="11" t="str">
        <f>IFERROR(IF(VLOOKUP(A1743,[12]PRIORIZADOS!$A:$G,7,FALSE)="","",VLOOKUP(A1743,[12]PRIORIZADOS!$A:$G,7,FALSE)),"")</f>
        <v>COLEGIO PRINCIPE DE PAZ</v>
      </c>
      <c r="H1743" s="11" t="str">
        <f>IFERROR(IF(VLOOKUP(A1743,[12]PRIORIZADOS!$A:$H,8,FALSE)="","",VLOOKUP(A1743,[12]PRIORIZADOS!$A:$H,8,FALSE)),"")</f>
        <v>Autoevaluación Institucional y Pruebas SABER 11</v>
      </c>
      <c r="I1743" s="11" t="str">
        <f>IFERROR(IF(VLOOKUP(A1743,[12]PRIORIZADOS!$A:$I,9,FALSE)="","",VLOOKUP(A1743,[12]PRIORIZADOS!$A:$I,9,FALSE)),"")</f>
        <v>SEGUIMIENTO_Y_SUPERVISIÓN.</v>
      </c>
      <c r="J1743" s="11" t="str">
        <f>IFERROR(IF(VLOOKUP(A1743,[12]PRIORIZADOS!$A:$J,10,FALSE)="","",VLOOKUP(A1743,[12]PRIORIZADOS!$A:$J,10,FALSE)),"")</f>
        <v xml:space="preserve">Verificar la implementación por parte de los colegios, de acciones realizadas para la prevención y atención de las situaciones de convivencia en el entorno escolar, según lo establecido en la Directiva 01 de 2022 del MEN. </v>
      </c>
      <c r="K1743" s="11" t="str">
        <f>IFERROR(IF(VLOOKUP(A1743,[12]PRIORIZADOS!$A:$K,11,FALSE)="","",VLOOKUP(A1743,[12]PRIORIZADOS!$A:$K,11,FALSE)),"")</f>
        <v>JOSÉ ASDRUBAL PÉREZ GIRALDO</v>
      </c>
      <c r="L1743" s="11" t="str">
        <f>IFERROR(IF(VLOOKUP(A1743,[12]PRIORIZADOS!$A:$L,12,FALSE)="","",VLOOKUP(A1743,[12]PRIORIZADOS!$A:$L,12,FALSE)),"")</f>
        <v>JAIRO ANDRÉS ÁLVAREZ CHÁVEZ</v>
      </c>
      <c r="M1743" s="71">
        <f>IFERROR(IF(VLOOKUP(A1743,[12]PRIORIZADOS!$A:$M,13,FALSE)="","",VLOOKUP(A1743,[12]PRIORIZADOS!$A:$M,13,FALSE)),"")</f>
        <v>45786</v>
      </c>
      <c r="N1743" s="71">
        <f>IFERROR(IF(VLOOKUP(A1743,[12]PRIORIZADOS!$A:$N,14,FALSE)="","",VLOOKUP(A1743,[12]PRIORIZADOS!$A:$N,14,FALSE)),"")</f>
        <v>45814</v>
      </c>
      <c r="O1743" s="71">
        <f>IFERROR(IF(VLOOKUP(A1743,[12]PRIORIZADOS!$A:$O,15,FALSE)="","",VLOOKUP(A1743,[12]PRIORIZADOS!$A:$O,15,FALSE)),"")</f>
        <v>45814</v>
      </c>
      <c r="P1743" s="11" t="str">
        <f>IFERROR(IF(VLOOKUP(A1743,[12]PRIORIZADOS!$A:$P,16,FALSE)="","",VLOOKUP(A1743,[12]PRIORIZADOS!$A:$P,16,FALSE)),"")</f>
        <v>Visitas de evaluación con fines de mejoramiento</v>
      </c>
      <c r="Q1743" s="107" t="s">
        <v>385</v>
      </c>
      <c r="R1743" s="11" t="str">
        <f>IFERROR(IF(VLOOKUP(A1743,[12]PRIORIZADOS!$A:$R,18,FALSE)="","",VLOOKUP(A1743,[12]PRIORIZADOS!$A:$R,18,FALSE)),"")</f>
        <v>Se evidencia en las hojas de vida consulta de antecedestes disciplinarios por delitos sexuales.</v>
      </c>
      <c r="S1743" s="11" t="str">
        <f>IFERROR(IF(VLOOKUP(A1743,[12]PRIORIZADOS!$A:$S,19,FALSE)="","",VLOOKUP(A1743,[12]PRIORIZADOS!$A:$S,19,FALSE)),"")</f>
        <v xml:space="preserve">
Se recomienda que al momento de contratar a los empleados y contratistas se realice la consulta de antecedentes.Se resalta que el  EE en la  implementacon de acciones de promocion y prevencion.</v>
      </c>
      <c r="T1743" s="70" t="str">
        <f>IFERROR(IF(VLOOKUP(A1743,[12]PRIORIZADOS!$A:$T,20,FALSE)="","",VLOOKUP(A1743,[12]PRIORIZADOS!$A:$T,20,FALSE)),"")</f>
        <v>No</v>
      </c>
      <c r="U1743" s="11" t="str">
        <f>IFERROR(IF(VLOOKUP(A1743,[12]PRIORIZADOS!$A:$U,21,FALSE)="","",VLOOKUP(A1743,[12]PRIORIZADOS!$A:$U,21,FALSE)),"")</f>
        <v>Se hará verificación en caso de presentarse requerimiento</v>
      </c>
    </row>
    <row r="1744" spans="1:21" s="1" customFormat="1" ht="72">
      <c r="A1744" s="69">
        <f>IF([12]PRIORIZADOS!A74="","",[12]PRIORIZADOS!A74)</f>
        <v>1716</v>
      </c>
      <c r="B1744" s="70">
        <v>8</v>
      </c>
      <c r="C1744" s="11" t="str">
        <f>IFERROR(IF(VLOOKUP(A1744,[12]PRIORIZADOS!$A:$C,3,FALSE)="","",VLOOKUP(A1744,[12]PRIORIZADOS!$A:$C,3,FALSE)),"")</f>
        <v>SAN CRISTÓBAL</v>
      </c>
      <c r="D1744" s="11" t="str">
        <f>IFERROR(IF(VLOOKUP(A1744,[12]PRIORIZADOS!$A:$D,4,FALSE)="","",VLOOKUP(A1744,[12]PRIORIZADOS!$A:$D,4,FALSE)),"")</f>
        <v>PRIVADO</v>
      </c>
      <c r="E1744" s="11" t="str">
        <f>IFERROR(IF(VLOOKUP(A1744,[12]PRIORIZADOS!$A:$E,5,FALSE)="","",VLOOKUP(A1744,[12]PRIORIZADOS!$A:$E,5,FALSE)),"")</f>
        <v>EPBM</v>
      </c>
      <c r="F1744" s="11" t="str">
        <f>IFERROR(IF(VLOOKUP(A1744,[12]PRIORIZADOS!$A:$F,6,FALSE)="","",VLOOKUP(A1744,[12]PRIORIZADOS!$A:$F,6,FALSE)),"")</f>
        <v>COLEGIO_PRINCIPE_DE_PAZ</v>
      </c>
      <c r="G1744" s="11" t="str">
        <f>IFERROR(IF(VLOOKUP(A1744,[12]PRIORIZADOS!$A:$G,7,FALSE)="","",VLOOKUP(A1744,[12]PRIORIZADOS!$A:$G,7,FALSE)),"")</f>
        <v>COLEGIO PRINCIPE DE PAZ</v>
      </c>
      <c r="H1744" s="11" t="str">
        <f>IFERROR(IF(VLOOKUP(A1744,[12]PRIORIZADOS!$A:$H,8,FALSE)="","",VLOOKUP(A1744,[12]PRIORIZADOS!$A:$H,8,FALSE)),"")</f>
        <v>Autoevaluación Institucional y Pruebas SABER 11</v>
      </c>
      <c r="I1744" s="11" t="str">
        <f>IFERROR(IF(VLOOKUP(A1744,[12]PRIORIZADOS!$A:$I,9,FALSE)="","",VLOOKUP(A1744,[12]PRIORIZADOS!$A:$I,9,FALSE)),"")</f>
        <v>SEGUIMIENTO_Y_SUPERVISIÓN.</v>
      </c>
      <c r="J1744" s="11" t="str">
        <f>IFERROR(IF(VLOOKUP(A1744,[12]PRIORIZADOS!$A:$J,10,FALSE)="","",VLOOKUP(A1744,[12]PRIORIZADOS!$A:$J,10,FALSE)),"")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44" s="11" t="str">
        <f>IFERROR(IF(VLOOKUP(A1744,[12]PRIORIZADOS!$A:$K,11,FALSE)="","",VLOOKUP(A1744,[12]PRIORIZADOS!$A:$K,11,FALSE)),"")</f>
        <v>JOSÉ ASDRUBAL PÉREZ GIRALDO</v>
      </c>
      <c r="L1744" s="11" t="str">
        <f>IFERROR(IF(VLOOKUP(A1744,[12]PRIORIZADOS!$A:$L,12,FALSE)="","",VLOOKUP(A1744,[12]PRIORIZADOS!$A:$L,12,FALSE)),"")</f>
        <v>JAIRO ANDRÉS ÁLVAREZ CHÁVEZ</v>
      </c>
      <c r="M1744" s="71">
        <f>IFERROR(IF(VLOOKUP(A1744,[12]PRIORIZADOS!$A:$M,13,FALSE)="","",VLOOKUP(A1744,[12]PRIORIZADOS!$A:$M,13,FALSE)),"")</f>
        <v>45786</v>
      </c>
      <c r="N1744" s="71">
        <f>IFERROR(IF(VLOOKUP(A1744,[12]PRIORIZADOS!$A:$N,14,FALSE)="","",VLOOKUP(A1744,[12]PRIORIZADOS!$A:$N,14,FALSE)),"")</f>
        <v>45814</v>
      </c>
      <c r="O1744" s="71">
        <f>IFERROR(IF(VLOOKUP(A1744,[12]PRIORIZADOS!$A:$O,15,FALSE)="","",VLOOKUP(A1744,[12]PRIORIZADOS!$A:$O,15,FALSE)),"")</f>
        <v>45814</v>
      </c>
      <c r="P1744" s="11" t="str">
        <f>IFERROR(IF(VLOOKUP(A1744,[12]PRIORIZADOS!$A:$P,16,FALSE)="","",VLOOKUP(A1744,[12]PRIORIZADOS!$A:$P,16,FALSE)),"")</f>
        <v>Visitas de evaluación con fines de mejoramiento</v>
      </c>
      <c r="Q1744" s="107" t="s">
        <v>385</v>
      </c>
      <c r="R1744" s="11" t="str">
        <f>IFERROR(IF(VLOOKUP(A1744,[12]PRIORIZADOS!$A:$R,18,FALSE)="","",VLOOKUP(A1744,[12]PRIORIZADOS!$A:$R,18,FALSE)),"")</f>
        <v xml:space="preserve">La institución atiende a los estudiantes con discapacidad y la implementación de los PIAR, Se evidencia que se tiene carpeta individual de estudiantes PIAR. </v>
      </c>
      <c r="S1744" s="11" t="str">
        <f>IFERROR(IF(VLOOKUP(A1744,[12]PRIORIZADOS!$A:$S,19,FALSE)="","",VLOOKUP(A1744,[12]PRIORIZADOS!$A:$S,19,FALSE)),"")</f>
        <v xml:space="preserve">
Los PIAR deben estar firmados por familias y Colegio con el fin que las flias conozcan el proceso de evaluación y académico con los estudiantes en condición de discapacidad.</v>
      </c>
      <c r="T1744" s="70" t="str">
        <f>IFERROR(IF(VLOOKUP(A1744,[12]PRIORIZADOS!$A:$T,20,FALSE)="","",VLOOKUP(A1744,[12]PRIORIZADOS!$A:$T,20,FALSE)),"")</f>
        <v>No</v>
      </c>
      <c r="U1744" s="11" t="str">
        <f>IFERROR(IF(VLOOKUP(A1744,[12]PRIORIZADOS!$A:$U,21,FALSE)="","",VLOOKUP(A1744,[12]PRIORIZADOS!$A:$U,21,FALSE)),"")</f>
        <v>Realizar verificación documental  para verifica el cumplimiento del compromiso, en la próxima vigencia</v>
      </c>
    </row>
    <row r="1745" spans="1:21" s="1" customFormat="1" ht="107.25">
      <c r="A1745" s="69">
        <f>IF([12]PRIORIZADOS!A75="","",[12]PRIORIZADOS!A75)</f>
        <v>1717</v>
      </c>
      <c r="B1745" s="70">
        <v>8</v>
      </c>
      <c r="C1745" s="11" t="str">
        <f>IFERROR(IF(VLOOKUP(A1745,[12]PRIORIZADOS!$A:$C,3,FALSE)="","",VLOOKUP(A1745,[12]PRIORIZADOS!$A:$C,3,FALSE)),"")</f>
        <v>SAN CRISTÓBAL</v>
      </c>
      <c r="D1745" s="11" t="str">
        <f>IFERROR(IF(VLOOKUP(A1745,[12]PRIORIZADOS!$A:$D,4,FALSE)="","",VLOOKUP(A1745,[12]PRIORIZADOS!$A:$D,4,FALSE)),"")</f>
        <v>PRIVADO</v>
      </c>
      <c r="E1745" s="11" t="str">
        <f>IFERROR(IF(VLOOKUP(A1745,[12]PRIORIZADOS!$A:$E,5,FALSE)="","",VLOOKUP(A1745,[12]PRIORIZADOS!$A:$E,5,FALSE)),"")</f>
        <v>EPBM</v>
      </c>
      <c r="F1745" s="11" t="str">
        <f>IFERROR(IF(VLOOKUP(A1745,[12]PRIORIZADOS!$A:$F,6,FALSE)="","",VLOOKUP(A1745,[12]PRIORIZADOS!$A:$F,6,FALSE)),"")</f>
        <v>COLEGIO_PRINCIPE_DE_PAZ</v>
      </c>
      <c r="G1745" s="11" t="str">
        <f>IFERROR(IF(VLOOKUP(A1745,[12]PRIORIZADOS!$A:$G,7,FALSE)="","",VLOOKUP(A1745,[12]PRIORIZADOS!$A:$G,7,FALSE)),"")</f>
        <v>COLEGIO PRINCIPE DE PAZ</v>
      </c>
      <c r="H1745" s="11" t="str">
        <f>IFERROR(IF(VLOOKUP(A1745,[12]PRIORIZADOS!$A:$H,8,FALSE)="","",VLOOKUP(A1745,[12]PRIORIZADOS!$A:$H,8,FALSE)),"")</f>
        <v>Autoevaluación Institucional y Pruebas SABER 11</v>
      </c>
      <c r="I1745" s="11" t="str">
        <f>IFERROR(IF(VLOOKUP(A1745,[12]PRIORIZADOS!$A:$I,9,FALSE)="","",VLOOKUP(A1745,[12]PRIORIZADOS!$A:$I,9,FALSE)),"")</f>
        <v>EVALUACIÓN_CON_FINES_DE_MEJORAMIENTO.</v>
      </c>
      <c r="J1745" s="11" t="str">
        <f>IFERROR(IF(VLOOKUP(A1745,[12]PRIORIZADOS!$A:$J,10,FALSE)="","",VLOOKUP(A1745,[12]PRIORIZADOS!$A:$J,10,FALSE)),"")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45" s="11" t="str">
        <f>IFERROR(IF(VLOOKUP(A1745,[12]PRIORIZADOS!$A:$K,11,FALSE)="","",VLOOKUP(A1745,[12]PRIORIZADOS!$A:$K,11,FALSE)),"")</f>
        <v>JOSÉ ASDRUBAL PÉREZ GIRALDO</v>
      </c>
      <c r="L1745" s="11" t="str">
        <f>IFERROR(IF(VLOOKUP(A1745,[12]PRIORIZADOS!$A:$L,12,FALSE)="","",VLOOKUP(A1745,[12]PRIORIZADOS!$A:$L,12,FALSE)),"")</f>
        <v>JAIRO ANDRÉS ÁLVAREZ CHÁVEZ</v>
      </c>
      <c r="M1745" s="71">
        <f>IFERROR(IF(VLOOKUP(A1745,[12]PRIORIZADOS!$A:$M,13,FALSE)="","",VLOOKUP(A1745,[12]PRIORIZADOS!$A:$M,13,FALSE)),"")</f>
        <v>45786</v>
      </c>
      <c r="N1745" s="71">
        <f>IFERROR(IF(VLOOKUP(A1745,[12]PRIORIZADOS!$A:$N,14,FALSE)="","",VLOOKUP(A1745,[12]PRIORIZADOS!$A:$N,14,FALSE)),"")</f>
        <v>45814</v>
      </c>
      <c r="O1745" s="71">
        <f>IFERROR(IF(VLOOKUP(A1745,[12]PRIORIZADOS!$A:$O,15,FALSE)="","",VLOOKUP(A1745,[12]PRIORIZADOS!$A:$O,15,FALSE)),"")</f>
        <v>45814</v>
      </c>
      <c r="P1745" s="11" t="str">
        <f>IFERROR(IF(VLOOKUP(A1745,[12]PRIORIZADOS!$A:$P,16,FALSE)="","",VLOOKUP(A1745,[12]PRIORIZADOS!$A:$P,16,FALSE)),"")</f>
        <v>Visitas de evaluación con fines de mejoramiento</v>
      </c>
      <c r="Q1745" s="107" t="s">
        <v>385</v>
      </c>
      <c r="R1745" s="11" t="str">
        <f>IFERROR(IF(VLOOKUP(A1745,[12]PRIORIZADOS!$A:$R,18,FALSE)="","",VLOOKUP(A1745,[12]PRIORIZADOS!$A:$R,18,FALSE)),"")</f>
        <v>El Manual de Convivencia del Colegio fue construido y adoptado de forma participativa, ajustado año 2023, se incluyó el enfoque de genero, sentencia Sergio Urrego,  diversidad se han relizado jornadas pedagogicas con los docente sobre enfoque restaurativo (Justicia restaurativa), en aras  que la acciones de convivencia no sean solo punitivas.</v>
      </c>
      <c r="S1745" s="11" t="str">
        <f>IFERROR(IF(VLOOKUP(A1745,[12]PRIORIZADOS!$A:$S,19,FALSE)="","",VLOOKUP(A1745,[12]PRIORIZADOS!$A:$S,19,FALSE)),"")</f>
        <v>Realizar actualizacion  del manual de convivencia y socializarlo con la comunidad educativa.  cumplir con el cronograma de jornadas pedagogicas con directivos docentes y docentes del Colegio en enofoque restaurativo.</v>
      </c>
      <c r="T1745" s="70" t="str">
        <f>IFERROR(IF(VLOOKUP(A1745,[12]PRIORIZADOS!$A:$T,20,FALSE)="","",VLOOKUP(A1745,[12]PRIORIZADOS!$A:$T,20,FALSE)),"")</f>
        <v>No</v>
      </c>
      <c r="U1745" s="11" t="str">
        <f>IFERROR(IF(VLOOKUP(A1745,[12]PRIORIZADOS!$A:$U,21,FALSE)="","",VLOOKUP(A1745,[12]PRIORIZADOS!$A:$U,21,FALSE)),"")</f>
        <v>Verificar la actualización del manual en 2025</v>
      </c>
    </row>
    <row r="1746" spans="1:21" s="1" customFormat="1" ht="202.5">
      <c r="A1746" s="69">
        <f>IF([12]PRIORIZADOS!A76="","",[12]PRIORIZADOS!A76)</f>
        <v>1718</v>
      </c>
      <c r="B1746" s="70">
        <v>8</v>
      </c>
      <c r="C1746" s="11" t="str">
        <f>IFERROR(IF(VLOOKUP(A1746,[12]PRIORIZADOS!$A:$C,3,FALSE)="","",VLOOKUP(A1746,[12]PRIORIZADOS!$A:$C,3,FALSE)),"")</f>
        <v>SAN CRISTÓBAL</v>
      </c>
      <c r="D1746" s="11" t="str">
        <f>IFERROR(IF(VLOOKUP(A1746,[12]PRIORIZADOS!$A:$D,4,FALSE)="","",VLOOKUP(A1746,[12]PRIORIZADOS!$A:$D,4,FALSE)),"")</f>
        <v>PRIVADO</v>
      </c>
      <c r="E1746" s="11" t="str">
        <f>IFERROR(IF(VLOOKUP(A1746,[12]PRIORIZADOS!$A:$E,5,FALSE)="","",VLOOKUP(A1746,[12]PRIORIZADOS!$A:$E,5,FALSE)),"")</f>
        <v>EPBM</v>
      </c>
      <c r="F1746" s="11" t="str">
        <f>IFERROR(IF(VLOOKUP(A1746,[12]PRIORIZADOS!$A:$F,6,FALSE)="","",VLOOKUP(A1746,[12]PRIORIZADOS!$A:$F,6,FALSE)),"")</f>
        <v>COLEGIO_PRINCIPE_DE_PAZ</v>
      </c>
      <c r="G1746" s="11" t="str">
        <f>IFERROR(IF(VLOOKUP(A1746,[12]PRIORIZADOS!$A:$G,7,FALSE)="","",VLOOKUP(A1746,[12]PRIORIZADOS!$A:$G,7,FALSE)),"")</f>
        <v>COLEGIO PRINCIPE DE PAZ</v>
      </c>
      <c r="H1746" s="11" t="str">
        <f>IFERROR(IF(VLOOKUP(A1746,[12]PRIORIZADOS!$A:$H,8,FALSE)="","",VLOOKUP(A1746,[12]PRIORIZADOS!$A:$H,8,FALSE)),"")</f>
        <v>Autoevaluación Institucional y Pruebas SABER 11</v>
      </c>
      <c r="I1746" s="11" t="str">
        <f>IFERROR(IF(VLOOKUP(A1746,[12]PRIORIZADOS!$A:$I,9,FALSE)="","",VLOOKUP(A1746,[12]PRIORIZADOS!$A:$I,9,FALSE)),"")</f>
        <v>EVALUACIÓN_CON_FINES_DE_MEJORAMIENTO.</v>
      </c>
      <c r="J1746" s="11" t="str">
        <f>IFERROR(IF(VLOOKUP(A1746,[12]PRIORIZADOS!$A:$J,10,FALSE)="","",VLOOKUP(A1746,[12]PRIORIZADOS!$A:$J,10,FALSE)),"")</f>
        <v>Revisar la actualización, socialización e implementación del Sistema Institucional de Evaluación de Estudiantes - SIEE, en articulación con la actualización del PEI y la normatividad vigente.</v>
      </c>
      <c r="K1746" s="11" t="str">
        <f>IFERROR(IF(VLOOKUP(A1746,[12]PRIORIZADOS!$A:$K,11,FALSE)="","",VLOOKUP(A1746,[12]PRIORIZADOS!$A:$K,11,FALSE)),"")</f>
        <v>JOSÉ ASDRUBAL PÉREZ GIRALDO</v>
      </c>
      <c r="L1746" s="11" t="str">
        <f>IFERROR(IF(VLOOKUP(A1746,[12]PRIORIZADOS!$A:$L,12,FALSE)="","",VLOOKUP(A1746,[12]PRIORIZADOS!$A:$L,12,FALSE)),"")</f>
        <v>JAIRO ANDRÉS ÁLVAREZ CHÁVEZ</v>
      </c>
      <c r="M1746" s="71">
        <f>IFERROR(IF(VLOOKUP(A1746,[12]PRIORIZADOS!$A:$M,13,FALSE)="","",VLOOKUP(A1746,[12]PRIORIZADOS!$A:$M,13,FALSE)),"")</f>
        <v>45786</v>
      </c>
      <c r="N1746" s="71">
        <f>IFERROR(IF(VLOOKUP(A1746,[12]PRIORIZADOS!$A:$N,14,FALSE)="","",VLOOKUP(A1746,[12]PRIORIZADOS!$A:$N,14,FALSE)),"")</f>
        <v>45814</v>
      </c>
      <c r="O1746" s="71">
        <f>IFERROR(IF(VLOOKUP(A1746,[12]PRIORIZADOS!$A:$O,15,FALSE)="","",VLOOKUP(A1746,[12]PRIORIZADOS!$A:$O,15,FALSE)),"")</f>
        <v>45814</v>
      </c>
      <c r="P1746" s="11" t="str">
        <f>IFERROR(IF(VLOOKUP(A1746,[12]PRIORIZADOS!$A:$P,16,FALSE)="","",VLOOKUP(A1746,[12]PRIORIZADOS!$A:$P,16,FALSE)),"")</f>
        <v>Visitas de evaluación con fines de mejoramiento</v>
      </c>
      <c r="Q1746" s="107" t="s">
        <v>385</v>
      </c>
      <c r="R1746" s="11" t="str">
        <f>IFERROR(IF(VLOOKUP(A1746,[12]PRIORIZADOS!$A:$R,18,FALSE)="","",VLOOKUP(A1746,[12]PRIORIZADOS!$A:$R,18,FALSE)),"")</f>
        <v xml:space="preserve">En el PEI  gestión y evaluación que incluye: FUENTES DE VERIFICACIÓN (Actas de reunión y documentos)  relacionados con la ejecución del SIEE, INDICADORES DE LOGRO: La definición de indicadores de logro implica que se establecen metas medibles, lo que a su vez requiere el registro de información para evaluar si esas metas se están alcanzando en el proceso de evaluación de los estudiantes. ACTIVIDADES: La descripción de actividades, la  ejecución de estrategias y en el contexto del SIEE. RESULTADO La medición de resultados implica la recolección y el registro de datos sobre el desempeño estudiantil.
</v>
      </c>
      <c r="S1746" s="11" t="str">
        <f>IFERROR(IF(VLOOKUP(A1746,[12]PRIORIZADOS!$A:$S,19,FALSE)="","",VLOOKUP(A1746,[12]PRIORIZADOS!$A:$S,19,FALSE)),"")</f>
        <v>El SIEE señala que las áreas privilegian el proceso educativo, independientemente de asignatura  enmarcado por desempeños de estudiantes se prioriza el proceso y el logro de desempeños, se implementan acciones para asegurar que los estudiantes que no los alcanzan inicialmente, tengan oportunidades de mejoramiento. Si la evaluación se centra en el proceso y no solo en el resultado final, debe haber espacios para la nivelación.</v>
      </c>
      <c r="T1746" s="70" t="str">
        <f>IFERROR(IF(VLOOKUP(A1746,[12]PRIORIZADOS!$A:$T,20,FALSE)="","",VLOOKUP(A1746,[12]PRIORIZADOS!$A:$T,20,FALSE)),"")</f>
        <v>NO</v>
      </c>
      <c r="U1746" s="11" t="str">
        <f>IFERROR(IF(VLOOKUP(A1746,[12]PRIORIZADOS!$A:$U,21,FALSE)="","",VLOOKUP(A1746,[12]PRIORIZADOS!$A:$U,21,FALSE)),"")</f>
        <v>Realizar actualizacion  del manual de convivencia y socializarlo con la comunidad educativa.</v>
      </c>
    </row>
    <row r="1747" spans="1:21" s="1" customFormat="1" ht="60">
      <c r="A1747" s="69">
        <f>IF([12]PRIORIZADOS!A77="","",[12]PRIORIZADOS!A77)</f>
        <v>1719</v>
      </c>
      <c r="B1747" s="70">
        <v>8</v>
      </c>
      <c r="C1747" s="11" t="str">
        <f>IFERROR(IF(VLOOKUP(A1747,[12]PRIORIZADOS!$A:$C,3,FALSE)="","",VLOOKUP(A1747,[12]PRIORIZADOS!$A:$C,3,FALSE)),"")</f>
        <v>SAN CRISTÓBAL</v>
      </c>
      <c r="D1747" s="11" t="str">
        <f>IFERROR(IF(VLOOKUP(A1747,[12]PRIORIZADOS!$A:$D,4,FALSE)="","",VLOOKUP(A1747,[12]PRIORIZADOS!$A:$D,4,FALSE)),"")</f>
        <v>PRIVADO</v>
      </c>
      <c r="E1747" s="11" t="str">
        <f>IFERROR(IF(VLOOKUP(A1747,[12]PRIORIZADOS!$A:$E,5,FALSE)="","",VLOOKUP(A1747,[12]PRIORIZADOS!$A:$E,5,FALSE)),"")</f>
        <v>EPBM</v>
      </c>
      <c r="F1747" s="11" t="str">
        <f>IFERROR(IF(VLOOKUP(A1747,[12]PRIORIZADOS!$A:$F,6,FALSE)="","",VLOOKUP(A1747,[12]PRIORIZADOS!$A:$F,6,FALSE)),"")</f>
        <v>COLEGIO_PRINCIPE_DE_PAZ</v>
      </c>
      <c r="G1747" s="11" t="str">
        <f>IFERROR(IF(VLOOKUP(A1747,[12]PRIORIZADOS!$A:$G,7,FALSE)="","",VLOOKUP(A1747,[12]PRIORIZADOS!$A:$G,7,FALSE)),"")</f>
        <v>COLEGIO PRINCIPE DE PAZ</v>
      </c>
      <c r="H1747" s="11" t="str">
        <f>IFERROR(IF(VLOOKUP(A1747,[12]PRIORIZADOS!$A:$H,8,FALSE)="","",VLOOKUP(A1747,[12]PRIORIZADOS!$A:$H,8,FALSE)),"")</f>
        <v>Autoevaluación Institucional y Pruebas SABER 11</v>
      </c>
      <c r="I1747" s="11" t="str">
        <f>IFERROR(IF(VLOOKUP(A1747,[12]PRIORIZADOS!$A:$I,9,FALSE)="","",VLOOKUP(A1747,[12]PRIORIZADOS!$A:$I,9,FALSE)),"")</f>
        <v>EVALUACIÓN_CON_FINES_DE_MEJORAMIENTO.</v>
      </c>
      <c r="J1747" s="11" t="str">
        <f>IFERROR(IF(VLOOKUP(A1747,[12]PRIORIZADOS!$A:$J,10,FALSE)="","",VLOOKUP(A1747,[12]PRIORIZADOS!$A:$J,10,FALSE)),"")</f>
        <v>Revisar el calendario escolar, jornada escolar, la intensidad horaria mínima anual en cada nivel y las modificaciones que se realicen al mismo, de acuerdo con lo previsto en la normatividad vigente.</v>
      </c>
      <c r="K1747" s="11" t="str">
        <f>IFERROR(IF(VLOOKUP(A1747,[12]PRIORIZADOS!$A:$K,11,FALSE)="","",VLOOKUP(A1747,[12]PRIORIZADOS!$A:$K,11,FALSE)),"")</f>
        <v>JOSÉ ASDRUBAL PÉREZ GIRALDO</v>
      </c>
      <c r="L1747" s="11" t="str">
        <f>IFERROR(IF(VLOOKUP(A1747,[12]PRIORIZADOS!$A:$L,12,FALSE)="","",VLOOKUP(A1747,[12]PRIORIZADOS!$A:$L,12,FALSE)),"")</f>
        <v>JAIRO ANDRÉS ÁLVAREZ CHÁVEZ</v>
      </c>
      <c r="M1747" s="71">
        <f>IFERROR(IF(VLOOKUP(A1747,[12]PRIORIZADOS!$A:$M,13,FALSE)="","",VLOOKUP(A1747,[12]PRIORIZADOS!$A:$M,13,FALSE)),"")</f>
        <v>45786</v>
      </c>
      <c r="N1747" s="71">
        <f>IFERROR(IF(VLOOKUP(A1747,[12]PRIORIZADOS!$A:$N,14,FALSE)="","",VLOOKUP(A1747,[12]PRIORIZADOS!$A:$N,14,FALSE)),"")</f>
        <v>45814</v>
      </c>
      <c r="O1747" s="71">
        <f>IFERROR(IF(VLOOKUP(A1747,[12]PRIORIZADOS!$A:$O,15,FALSE)="","",VLOOKUP(A1747,[12]PRIORIZADOS!$A:$O,15,FALSE)),"")</f>
        <v>45814</v>
      </c>
      <c r="P1747" s="11" t="str">
        <f>IFERROR(IF(VLOOKUP(A1747,[12]PRIORIZADOS!$A:$P,16,FALSE)="","",VLOOKUP(A1747,[12]PRIORIZADOS!$A:$P,16,FALSE)),"")</f>
        <v>Visitas de evaluación con fines de mejoramiento</v>
      </c>
      <c r="Q1747" s="107" t="s">
        <v>385</v>
      </c>
      <c r="R1747" s="11" t="str">
        <f>IFERROR(IF(VLOOKUP(A1747,[12]PRIORIZADOS!$A:$R,18,FALSE)="","",VLOOKUP(A1747,[12]PRIORIZADOS!$A:$R,18,FALSE)),"")</f>
        <v>El Colegio Cumple con las horas y semanas reglamentarias de acuerdo con la Resolución de la SED N° 1811 de 2024. Se hizo remisión de calendario academico hacia la DLE</v>
      </c>
      <c r="S1747" s="11" t="str">
        <f>IFERROR(IF(VLOOKUP(A1747,[12]PRIORIZADOS!$A:$S,19,FALSE)="","",VLOOKUP(A1747,[12]PRIORIZADOS!$A:$S,19,FALSE)),"")</f>
        <v>El Calendario Academico es acorde con la noramtividad vigente.</v>
      </c>
      <c r="T1747" s="70" t="str">
        <f>IFERROR(IF(VLOOKUP(A1747,[12]PRIORIZADOS!$A:$T,20,FALSE)="","",VLOOKUP(A1747,[12]PRIORIZADOS!$A:$T,20,FALSE)),"")</f>
        <v>No</v>
      </c>
      <c r="U1747" s="11" t="str">
        <f>IFERROR(IF(VLOOKUP(A1747,[12]PRIORIZADOS!$A:$U,21,FALSE)="","",VLOOKUP(A1747,[12]PRIORIZADOS!$A:$U,21,FALSE)),"")</f>
        <v>Se hará verificación en caso de presentarse requerimiento</v>
      </c>
    </row>
    <row r="1748" spans="1:21" s="1" customFormat="1" ht="118.5">
      <c r="A1748" s="69">
        <f>IF([12]PRIORIZADOS!A78="","",[12]PRIORIZADOS!A78)</f>
        <v>1720</v>
      </c>
      <c r="B1748" s="70">
        <v>8</v>
      </c>
      <c r="C1748" s="11" t="str">
        <f>IFERROR(IF(VLOOKUP(A1748,[12]PRIORIZADOS!$A:$C,3,FALSE)="","",VLOOKUP(A1748,[12]PRIORIZADOS!$A:$C,3,FALSE)),"")</f>
        <v>SAN CRISTÓBAL</v>
      </c>
      <c r="D1748" s="11" t="str">
        <f>IFERROR(IF(VLOOKUP(A1748,[12]PRIORIZADOS!$A:$D,4,FALSE)="","",VLOOKUP(A1748,[12]PRIORIZADOS!$A:$D,4,FALSE)),"")</f>
        <v>PRIVADO</v>
      </c>
      <c r="E1748" s="11" t="str">
        <f>IFERROR(IF(VLOOKUP(A1748,[12]PRIORIZADOS!$A:$E,5,FALSE)="","",VLOOKUP(A1748,[12]PRIORIZADOS!$A:$E,5,FALSE)),"")</f>
        <v>EPBM</v>
      </c>
      <c r="F1748" s="11" t="str">
        <f>IFERROR(IF(VLOOKUP(A1748,[12]PRIORIZADOS!$A:$F,6,FALSE)="","",VLOOKUP(A1748,[12]PRIORIZADOS!$A:$F,6,FALSE)),"")</f>
        <v>COLEGIO_PRINCIPE_DE_PAZ</v>
      </c>
      <c r="G1748" s="11" t="str">
        <f>IFERROR(IF(VLOOKUP(A1748,[12]PRIORIZADOS!$A:$G,7,FALSE)="","",VLOOKUP(A1748,[12]PRIORIZADOS!$A:$G,7,FALSE)),"")</f>
        <v>COLEGIO PRINCIPE DE PAZ</v>
      </c>
      <c r="H1748" s="11" t="str">
        <f>IFERROR(IF(VLOOKUP(A1748,[12]PRIORIZADOS!$A:$H,8,FALSE)="","",VLOOKUP(A1748,[12]PRIORIZADOS!$A:$H,8,FALSE)),"")</f>
        <v>Autoevaluación Institucional y Pruebas SABER 11</v>
      </c>
      <c r="I1748" s="11" t="str">
        <f>IFERROR(IF(VLOOKUP(A1748,[12]PRIORIZADOS!$A:$I,9,FALSE)="","",VLOOKUP(A1748,[12]PRIORIZADOS!$A:$I,9,FALSE)),"")</f>
        <v>EVALUACIÓN_CON_FINES_DE_MEJORAMIENTO.</v>
      </c>
      <c r="J1748" s="11" t="str">
        <f>IFERROR(IF(VLOOKUP(A1748,[12]PRIORIZADOS!$A:$J,10,FALSE)="","",VLOOKUP(A1748,[12]PRIORIZADOS!$A:$J,10,FALSE)),"")</f>
        <v>Verificar el funcionamiento del Gobierno Escolar e instancias de participación con base en la información sobre conformación reportada por la institución educativa.</v>
      </c>
      <c r="K1748" s="11" t="str">
        <f>IFERROR(IF(VLOOKUP(A1748,[12]PRIORIZADOS!$A:$K,11,FALSE)="","",VLOOKUP(A1748,[12]PRIORIZADOS!$A:$K,11,FALSE)),"")</f>
        <v>JOSÉ ASDRUBAL PÉREZ GIRALDO</v>
      </c>
      <c r="L1748" s="11" t="str">
        <f>IFERROR(IF(VLOOKUP(A1748,[12]PRIORIZADOS!$A:$L,12,FALSE)="","",VLOOKUP(A1748,[12]PRIORIZADOS!$A:$L,12,FALSE)),"")</f>
        <v>JAIRO ANDRÉS ÁLVAREZ CHÁVEZ</v>
      </c>
      <c r="M1748" s="71">
        <f>IFERROR(IF(VLOOKUP(A1748,[12]PRIORIZADOS!$A:$M,13,FALSE)="","",VLOOKUP(A1748,[12]PRIORIZADOS!$A:$M,13,FALSE)),"")</f>
        <v>45786</v>
      </c>
      <c r="N1748" s="71">
        <f>IFERROR(IF(VLOOKUP(A1748,[12]PRIORIZADOS!$A:$N,14,FALSE)="","",VLOOKUP(A1748,[12]PRIORIZADOS!$A:$N,14,FALSE)),"")</f>
        <v>45814</v>
      </c>
      <c r="O1748" s="71">
        <f>IFERROR(IF(VLOOKUP(A1748,[12]PRIORIZADOS!$A:$O,15,FALSE)="","",VLOOKUP(A1748,[12]PRIORIZADOS!$A:$O,15,FALSE)),"")</f>
        <v>45814</v>
      </c>
      <c r="P1748" s="11" t="str">
        <f>IFERROR(IF(VLOOKUP(A1748,[12]PRIORIZADOS!$A:$P,16,FALSE)="","",VLOOKUP(A1748,[12]PRIORIZADOS!$A:$P,16,FALSE)),"")</f>
        <v>Visitas de evaluación con fines de mejoramiento</v>
      </c>
      <c r="Q1748" s="107" t="s">
        <v>385</v>
      </c>
      <c r="R1748" s="11" t="str">
        <f>IFERROR(IF(VLOOKUP(A1748,[12]PRIORIZADOS!$A:$R,18,FALSE)="","",VLOOKUP(A1748,[12]PRIORIZADOS!$A:$R,18,FALSE)),"")</f>
        <v>Se evidencia conformacion, cumpliendo proceso ante la SED a traves del aplicativo SAE. El Consejo Academico ha sesionado 12 veces y 
el Consejo Directivo ha sesionado 3 veces. Se evidencia actas de dos asambleas con padres, 
Consejo estuduantil ha sesionado 3 veces. El Comite de convivencia ha sesionado 8 veces.</v>
      </c>
      <c r="S1748" s="11" t="str">
        <f>IFERROR(IF(VLOOKUP(A1748,[12]PRIORIZADOS!$A:$S,19,FALSE)="","",VLOOKUP(A1748,[12]PRIORIZADOS!$A:$S,19,FALSE)),"")</f>
        <v>Se recomienda que se planeen desde el comite de convivencia las acciones de "promoción y prevención" que queden documentadas en el acta correspondiente.</v>
      </c>
      <c r="T1748" s="70" t="str">
        <f>IFERROR(IF(VLOOKUP(A1748,[12]PRIORIZADOS!$A:$T,20,FALSE)="","",VLOOKUP(A1748,[12]PRIORIZADOS!$A:$T,20,FALSE)),"")</f>
        <v>No</v>
      </c>
      <c r="U1748" s="11" t="str">
        <f>IFERROR(IF(VLOOKUP(A1748,[12]PRIORIZADOS!$A:$U,21,FALSE)="","",VLOOKUP(A1748,[12]PRIORIZADOS!$A:$U,21,FALSE)),"")</f>
        <v>Se hará verificación en caso de presentarse requerimiento</v>
      </c>
    </row>
    <row r="1749" spans="1:21" s="1" customFormat="1" ht="48">
      <c r="A1749" s="69">
        <f>IF([12]PRIORIZADOS!A79="","",[12]PRIORIZADOS!A79)</f>
        <v>1721</v>
      </c>
      <c r="B1749" s="70">
        <v>8</v>
      </c>
      <c r="C1749" s="11" t="str">
        <f>IFERROR(IF(VLOOKUP(A1749,[12]PRIORIZADOS!$A:$C,3,FALSE)="","",VLOOKUP(A1749,[12]PRIORIZADOS!$A:$C,3,FALSE)),"")</f>
        <v>SAN CRISTÓBAL</v>
      </c>
      <c r="D1749" s="11" t="str">
        <f>IFERROR(IF(VLOOKUP(A1749,[12]PRIORIZADOS!$A:$D,4,FALSE)="","",VLOOKUP(A1749,[12]PRIORIZADOS!$A:$D,4,FALSE)),"")</f>
        <v>PRIVADO</v>
      </c>
      <c r="E1749" s="11" t="str">
        <f>IFERROR(IF(VLOOKUP(A1749,[12]PRIORIZADOS!$A:$E,5,FALSE)="","",VLOOKUP(A1749,[12]PRIORIZADOS!$A:$E,5,FALSE)),"")</f>
        <v>EPBM</v>
      </c>
      <c r="F1749" s="11" t="str">
        <f>IFERROR(IF(VLOOKUP(A1749,[12]PRIORIZADOS!$A:$F,6,FALSE)="","",VLOOKUP(A1749,[12]PRIORIZADOS!$A:$F,6,FALSE)),"")</f>
        <v>COLEGIO_PRINCIPE_DE_PAZ</v>
      </c>
      <c r="G1749" s="11" t="str">
        <f>IFERROR(IF(VLOOKUP(A1749,[12]PRIORIZADOS!$A:$G,7,FALSE)="","",VLOOKUP(A1749,[12]PRIORIZADOS!$A:$G,7,FALSE)),"")</f>
        <v>COLEGIO PRINCIPE DE PAZ</v>
      </c>
      <c r="H1749" s="11" t="str">
        <f>IFERROR(IF(VLOOKUP(A1749,[12]PRIORIZADOS!$A:$H,8,FALSE)="","",VLOOKUP(A1749,[12]PRIORIZADOS!$A:$H,8,FALSE)),"")</f>
        <v>Autoevaluación Institucional y Pruebas SABER 11</v>
      </c>
      <c r="I1749" s="11" t="str">
        <f>IFERROR(IF(VLOOKUP(A1749,[12]PRIORIZADOS!$A:$I,9,FALSE)="","",VLOOKUP(A1749,[12]PRIORIZADOS!$A:$I,9,FALSE)),"")</f>
        <v>EVALUACIÓN_CON_FINES_DE_MEJORAMIENTO.</v>
      </c>
      <c r="J1749" s="11" t="str">
        <f>IFERROR(IF(VLOOKUP(A1749,[12]PRIORIZADOS!$A:$J,10,FALSE)="","",VLOOKUP(A1749,[12]PRIORIZADOS!$A:$J,10,FALSE)),"")</f>
        <v>Verificar las condiciones en cuanto a: la estructura administrativa, condiciones de la planta física y medios educativos adecuados.</v>
      </c>
      <c r="K1749" s="11" t="str">
        <f>IFERROR(IF(VLOOKUP(A1749,[12]PRIORIZADOS!$A:$K,11,FALSE)="","",VLOOKUP(A1749,[12]PRIORIZADOS!$A:$K,11,FALSE)),"")</f>
        <v>JOSÉ ASDRUBAL PÉREZ GIRALDO</v>
      </c>
      <c r="L1749" s="11" t="str">
        <f>IFERROR(IF(VLOOKUP(A1749,[12]PRIORIZADOS!$A:$L,12,FALSE)="","",VLOOKUP(A1749,[12]PRIORIZADOS!$A:$L,12,FALSE)),"")</f>
        <v>JAIRO ANDRÉS ÁLVAREZ CHÁVEZ</v>
      </c>
      <c r="M1749" s="71">
        <f>IFERROR(IF(VLOOKUP(A1749,[12]PRIORIZADOS!$A:$M,13,FALSE)="","",VLOOKUP(A1749,[12]PRIORIZADOS!$A:$M,13,FALSE)),"")</f>
        <v>45786</v>
      </c>
      <c r="N1749" s="71">
        <f>IFERROR(IF(VLOOKUP(A1749,[12]PRIORIZADOS!$A:$N,14,FALSE)="","",VLOOKUP(A1749,[12]PRIORIZADOS!$A:$N,14,FALSE)),"")</f>
        <v>45814</v>
      </c>
      <c r="O1749" s="71">
        <f>IFERROR(IF(VLOOKUP(A1749,[12]PRIORIZADOS!$A:$O,15,FALSE)="","",VLOOKUP(A1749,[12]PRIORIZADOS!$A:$O,15,FALSE)),"")</f>
        <v>45814</v>
      </c>
      <c r="P1749" s="11" t="str">
        <f>IFERROR(IF(VLOOKUP(A1749,[12]PRIORIZADOS!$A:$P,16,FALSE)="","",VLOOKUP(A1749,[12]PRIORIZADOS!$A:$P,16,FALSE)),"")</f>
        <v>Visitas de evaluación con fines de mejoramiento</v>
      </c>
      <c r="Q1749" s="107" t="s">
        <v>385</v>
      </c>
      <c r="R1749" s="11" t="str">
        <f>IFERROR(IF(VLOOKUP(A1749,[12]PRIORIZADOS!$A:$R,18,FALSE)="","",VLOOKUP(A1749,[12]PRIORIZADOS!$A:$R,18,FALSE)),"")</f>
        <v>En el recorrido por el colegio en su estrcutura administrativa  y planta fisica cumple a cabalidad, y es suficiente  para la atencion de la poblacion.</v>
      </c>
      <c r="S1749" s="11" t="str">
        <f>IFERROR(IF(VLOOKUP(A1749,[12]PRIORIZADOS!$A:$S,19,FALSE)="","",VLOOKUP(A1749,[12]PRIORIZADOS!$A:$S,19,FALSE)),"")</f>
        <v xml:space="preserve"> Se recomienda al Colegio  la importancia de atender todas las recomendaciones realizadas por la Secretaria de Salud.</v>
      </c>
      <c r="T1749" s="70" t="str">
        <f>IFERROR(IF(VLOOKUP(A1749,[12]PRIORIZADOS!$A:$T,20,FALSE)="","",VLOOKUP(A1749,[12]PRIORIZADOS!$A:$T,20,FALSE)),"")</f>
        <v>No</v>
      </c>
      <c r="U1749" s="11" t="str">
        <f>IFERROR(IF(VLOOKUP(A1749,[12]PRIORIZADOS!$A:$U,21,FALSE)="","",VLOOKUP(A1749,[12]PRIORIZADOS!$A:$U,21,FALSE)),"")</f>
        <v>Se sugiere adaptar espacios, baños y espacios para personas con discapacidad fisica con el fin de brindar atencion para esta poblacion. ademas para funcionarios y comunidad educativa.</v>
      </c>
    </row>
    <row r="1750" spans="1:21" s="1" customFormat="1" ht="36">
      <c r="A1750" s="69">
        <f>IF([12]PRIORIZADOS!A80="","",[12]PRIORIZADOS!A80)</f>
        <v>1722</v>
      </c>
      <c r="B1750" s="70">
        <f>IFERROR(IF(VLOOKUP(A1750,[12]PRIORIZADOS!$A:$B,2,FALSE)="","",VLOOKUP(A1750,[12]PRIORIZADOS!$A:$B,2,FALSE)),"")</f>
        <v>9</v>
      </c>
      <c r="C1750" s="11" t="str">
        <f>IFERROR(IF(VLOOKUP(A1750,[12]PRIORIZADOS!$A:$C,3,FALSE)="","",VLOOKUP(A1750,[12]PRIORIZADOS!$A:$C,3,FALSE)),"")</f>
        <v>SAN CRISTÓBAL</v>
      </c>
      <c r="D1750" s="11" t="str">
        <f>IFERROR(IF(VLOOKUP(A1750,[12]PRIORIZADOS!$A:$D,4,FALSE)="","",VLOOKUP(A1750,[12]PRIORIZADOS!$A:$D,4,FALSE)),"")</f>
        <v>PRIVADO</v>
      </c>
      <c r="E1750" s="11" t="str">
        <f>IFERROR(IF(VLOOKUP(A1750,[12]PRIORIZADOS!$A:$E,5,FALSE)="","",VLOOKUP(A1750,[12]PRIORIZADOS!$A:$E,5,FALSE)),"")</f>
        <v>EPBM</v>
      </c>
      <c r="F1750" s="11" t="str">
        <f>IFERROR(IF(VLOOKUP(A1750,[12]PRIORIZADOS!$A:$F,6,FALSE)="","",VLOOKUP(A1750,[12]PRIORIZADOS!$A:$F,6,FALSE)),"")</f>
        <v>COLEGIO_SANTA_CATALINA_DEL_SUR_ORIENTE</v>
      </c>
      <c r="G1750" s="11" t="str">
        <f>IFERROR(IF(VLOOKUP(A1750,[12]PRIORIZADOS!$A:$G,7,FALSE)="","",VLOOKUP(A1750,[12]PRIORIZADOS!$A:$G,7,FALSE)),"")</f>
        <v>COLEGIO SANTA CATALINA DEL SUR ORIENTE</v>
      </c>
      <c r="H1750" s="11" t="str">
        <f>IFERROR(IF(VLOOKUP(A1750,[12]PRIORIZADOS!$A:$H,8,FALSE)="","",VLOOKUP(A1750,[12]PRIORIZADOS!$A:$H,8,FALSE)),"")</f>
        <v>Autoevaluación Institucional y Pruebas SABER 11</v>
      </c>
      <c r="I1750" s="11" t="str">
        <f>IFERROR(IF(VLOOKUP(A1750,[12]PRIORIZADOS!$A:$I,9,FALSE)="","",VLOOKUP(A1750,[12]PRIORIZADOS!$A:$I,9,FALSE)),"")</f>
        <v>SEGUIMIENTO_Y_SUPERVISIÓN.</v>
      </c>
      <c r="J1750" s="11" t="str">
        <f>IFERROR(IF(VLOOKUP(A1750,[12]PRIORIZADOS!$A:$J,10,FALSE)="","",VLOOKUP(A1750,[12]PRIORIZADOS!$A:$J,10,FALSE)),"")</f>
        <v>Realizar visitas para verificar la información registrada sobre la autoevaluación institucional en el aplicativo EVI, a los establecimientos de educación formal no oficial.</v>
      </c>
      <c r="K1750" s="11" t="str">
        <f>IFERROR(IF(VLOOKUP(A1750,[12]PRIORIZADOS!$A:$K,11,FALSE)="","",VLOOKUP(A1750,[12]PRIORIZADOS!$A:$K,11,FALSE)),"")</f>
        <v>JOSÉ ASDRUBAL PÉREZ GIRALDO</v>
      </c>
      <c r="L1750" s="11" t="str">
        <f>IFERROR(IF(VLOOKUP(A1750,[12]PRIORIZADOS!$A:$L,12,FALSE)="","",VLOOKUP(A1750,[12]PRIORIZADOS!$A:$L,12,FALSE)),"")</f>
        <v>JUANITA LINA CAROLINA RAMÍREZ LÓPEZ</v>
      </c>
      <c r="M1750" s="71">
        <f>IFERROR(IF(VLOOKUP(A1750,[12]PRIORIZADOS!$A:$M,13,FALSE)="","",VLOOKUP(A1750,[12]PRIORIZADOS!$A:$M,13,FALSE)),"")</f>
        <v>45737</v>
      </c>
      <c r="N1750" s="71">
        <f>IFERROR(IF(VLOOKUP(A1750,[12]PRIORIZADOS!$A:$N,14,FALSE)="","",VLOOKUP(A1750,[12]PRIORIZADOS!$A:$N,14,FALSE)),"")</f>
        <v>45800</v>
      </c>
      <c r="O1750" s="71">
        <f>IFERROR(IF(VLOOKUP(A1750,[12]PRIORIZADOS!$A:$O,15,FALSE)="","",VLOOKUP(A1750,[12]PRIORIZADOS!$A:$O,15,FALSE)),"")</f>
        <v>45800</v>
      </c>
      <c r="P1750" s="11" t="str">
        <f>IFERROR(IF(VLOOKUP(A1750,[12]PRIORIZADOS!$A:$P,16,FALSE)="","",VLOOKUP(A1750,[12]PRIORIZADOS!$A:$P,16,FALSE)),"")</f>
        <v>Visitas de evaluación con fines de mejoramiento</v>
      </c>
      <c r="Q1750" s="125" t="s">
        <v>386</v>
      </c>
      <c r="R1750" s="11" t="str">
        <f>IFERROR(IF(VLOOKUP(A1750,[12]PRIORIZADOS!$A:$R,18,FALSE)="","",VLOOKUP(A1750,[12]PRIORIZADOS!$A:$R,18,FALSE)),"")</f>
        <v>El Consejo Directivo ha sesionado 3 veces (19/03, 23/04, 14/05).</v>
      </c>
      <c r="S1750" s="11" t="str">
        <f>IFERROR(IF(VLOOKUP(A1750,[12]PRIORIZADOS!$A:$S,19,FALSE)="","",VLOOKUP(A1750,[12]PRIORIZADOS!$A:$S,19,FALSE)),"")</f>
        <v xml:space="preserve">Se sugiere que en los recibos se identifique el valor cancelado. </v>
      </c>
      <c r="T1750" s="70" t="str">
        <f>IFERROR(IF(VLOOKUP(A1750,[12]PRIORIZADOS!$A:$T,20,FALSE)="","",VLOOKUP(A1750,[12]PRIORIZADOS!$A:$T,20,FALSE)),"")</f>
        <v>No</v>
      </c>
      <c r="U1750" s="11" t="str">
        <f>IFERROR(IF(VLOOKUP(A1750,[12]PRIORIZADOS!$A:$U,21,FALSE)="","",VLOOKUP(A1750,[12]PRIORIZADOS!$A:$U,21,FALSE)),"")</f>
        <v>Se hará verificación en caso de presentarse requerimiento</v>
      </c>
    </row>
    <row r="1751" spans="1:21" s="1" customFormat="1" ht="60">
      <c r="A1751" s="69">
        <f>IF([12]PRIORIZADOS!A81="","",[12]PRIORIZADOS!A81)</f>
        <v>1723</v>
      </c>
      <c r="B1751" s="70">
        <v>9</v>
      </c>
      <c r="C1751" s="11" t="str">
        <f>IFERROR(IF(VLOOKUP(A1751,[12]PRIORIZADOS!$A:$C,3,FALSE)="","",VLOOKUP(A1751,[12]PRIORIZADOS!$A:$C,3,FALSE)),"")</f>
        <v>SAN CRISTÓBAL</v>
      </c>
      <c r="D1751" s="11" t="str">
        <f>IFERROR(IF(VLOOKUP(A1751,[12]PRIORIZADOS!$A:$D,4,FALSE)="","",VLOOKUP(A1751,[12]PRIORIZADOS!$A:$D,4,FALSE)),"")</f>
        <v>PRIVADO</v>
      </c>
      <c r="E1751" s="11" t="str">
        <f>IFERROR(IF(VLOOKUP(A1751,[12]PRIORIZADOS!$A:$E,5,FALSE)="","",VLOOKUP(A1751,[12]PRIORIZADOS!$A:$E,5,FALSE)),"")</f>
        <v>EPBM</v>
      </c>
      <c r="F1751" s="11" t="str">
        <f>IFERROR(IF(VLOOKUP(A1751,[12]PRIORIZADOS!$A:$F,6,FALSE)="","",VLOOKUP(A1751,[12]PRIORIZADOS!$A:$F,6,FALSE)),"")</f>
        <v>COLEGIO_SANTA_CATALINA_DEL_SUR_ORIENTE</v>
      </c>
      <c r="G1751" s="11" t="str">
        <f>IFERROR(IF(VLOOKUP(A1751,[12]PRIORIZADOS!$A:$G,7,FALSE)="","",VLOOKUP(A1751,[12]PRIORIZADOS!$A:$G,7,FALSE)),"")</f>
        <v>COLEGIO SANTA CATALINA DEL SUR ORIENTE</v>
      </c>
      <c r="H1751" s="11" t="str">
        <f>IFERROR(IF(VLOOKUP(A1751,[12]PRIORIZADOS!$A:$H,8,FALSE)="","",VLOOKUP(A1751,[12]PRIORIZADOS!$A:$H,8,FALSE)),"")</f>
        <v>Autoevaluación Institucional y Pruebas SABER 11</v>
      </c>
      <c r="I1751" s="11" t="str">
        <f>IFERROR(IF(VLOOKUP(A1751,[12]PRIORIZADOS!$A:$I,9,FALSE)="","",VLOOKUP(A1751,[12]PRIORIZADOS!$A:$I,9,FALSE)),"")</f>
        <v>SEGUIMIENTO_Y_SUPERVISIÓN.</v>
      </c>
      <c r="J1751" s="11" t="str">
        <f>IFERROR(IF(VLOOKUP(A1751,[12]PRIORIZADOS!$A:$J,10,FALSE)="","",VLOOKUP(A1751,[12]PRIORIZADOS!$A:$J,10,FALSE)),"")</f>
        <v>Proponer estrategias en la formulación, verificar su elaboración y realizar seguimiento semestral al desarrollo de  las acciones establecidas en los planes de mejoramiento por pruebas SABER 11 de los establecimientos de educación formal.</v>
      </c>
      <c r="K1751" s="11" t="str">
        <f>IFERROR(IF(VLOOKUP(A1751,[12]PRIORIZADOS!$A:$K,11,FALSE)="","",VLOOKUP(A1751,[12]PRIORIZADOS!$A:$K,11,FALSE)),"")</f>
        <v>JOSÉ ASDRUBAL PÉREZ GIRALDO</v>
      </c>
      <c r="L1751" s="11" t="str">
        <f>IFERROR(IF(VLOOKUP(A1751,[12]PRIORIZADOS!$A:$L,12,FALSE)="","",VLOOKUP(A1751,[12]PRIORIZADOS!$A:$L,12,FALSE)),"")</f>
        <v>JUANITA LINA CAROLINA RAMÍREZ LÓPEZ</v>
      </c>
      <c r="M1751" s="71">
        <f>IFERROR(IF(VLOOKUP(A1751,[12]PRIORIZADOS!$A:$M,13,FALSE)="","",VLOOKUP(A1751,[12]PRIORIZADOS!$A:$M,13,FALSE)),"")</f>
        <v>45737</v>
      </c>
      <c r="N1751" s="71">
        <f>IFERROR(IF(VLOOKUP(A1751,[12]PRIORIZADOS!$A:$N,14,FALSE)="","",VLOOKUP(A1751,[12]PRIORIZADOS!$A:$N,14,FALSE)),"")</f>
        <v>45800</v>
      </c>
      <c r="O1751" s="71">
        <f>IFERROR(IF(VLOOKUP(A1751,[12]PRIORIZADOS!$A:$O,15,FALSE)="","",VLOOKUP(A1751,[12]PRIORIZADOS!$A:$O,15,FALSE)),"")</f>
        <v>45800</v>
      </c>
      <c r="P1751" s="11" t="str">
        <f>IFERROR(IF(VLOOKUP(A1751,[12]PRIORIZADOS!$A:$P,16,FALSE)="","",VLOOKUP(A1751,[12]PRIORIZADOS!$A:$P,16,FALSE)),"")</f>
        <v>Visitas de evaluación con fines de mejoramiento</v>
      </c>
      <c r="Q1751" s="107" t="s">
        <v>386</v>
      </c>
      <c r="R1751" s="11" t="str">
        <f>IFERROR(IF(VLOOKUP(A1751,[12]PRIORIZADOS!$A:$R,18,FALSE)="","",VLOOKUP(A1751,[12]PRIORIZADOS!$A:$R,18,FALSE)),"")</f>
        <v>El colegio viene trabajando con la empresa gestores educativos que ha realizado simulacros y con base en los resultados se ha iniciado en la construccion de estrategias pedagogicas para mejorarlos.</v>
      </c>
      <c r="S1751" s="11" t="str">
        <f>IFERROR(IF(VLOOKUP(A1751,[12]PRIORIZADOS!$A:$S,19,FALSE)="","",VLOOKUP(A1751,[12]PRIORIZADOS!$A:$S,19,FALSE)),"")</f>
        <v>Se insta al colegio a fortalecer este proceso teniendo en cuenta que sus resutados estuvieron por debajo del percentil 35 del Icfes, Categoria C .</v>
      </c>
      <c r="T1751" s="70" t="str">
        <f>IFERROR(IF(VLOOKUP(A1751,[12]PRIORIZADOS!$A:$T,20,FALSE)="","",VLOOKUP(A1751,[12]PRIORIZADOS!$A:$T,20,FALSE)),"")</f>
        <v>Si</v>
      </c>
      <c r="U1751" s="11" t="str">
        <f>IFERROR(IF(VLOOKUP(A1751,[12]PRIORIZADOS!$A:$U,21,FALSE)="","",VLOOKUP(A1751,[12]PRIORIZADOS!$A:$U,21,FALSE)),"")</f>
        <v>Seguimiento a resultados de las pruebas Saber 11 del presente año.
La revisión documental del plan de mejoramiento aportado el 16 de junio de 2025 por la institución evidencia cumplimiento de los acuerdos establecidos en la Visita Administrativa.</v>
      </c>
    </row>
    <row r="1752" spans="1:21" s="1" customFormat="1" ht="60">
      <c r="A1752" s="69">
        <f>IF([12]PRIORIZADOS!A82="","",[12]PRIORIZADOS!A82)</f>
        <v>1724</v>
      </c>
      <c r="B1752" s="70">
        <v>9</v>
      </c>
      <c r="C1752" s="11" t="str">
        <f>IFERROR(IF(VLOOKUP(A1752,[12]PRIORIZADOS!$A:$C,3,FALSE)="","",VLOOKUP(A1752,[12]PRIORIZADOS!$A:$C,3,FALSE)),"")</f>
        <v>SAN CRISTÓBAL</v>
      </c>
      <c r="D1752" s="11" t="str">
        <f>IFERROR(IF(VLOOKUP(A1752,[12]PRIORIZADOS!$A:$D,4,FALSE)="","",VLOOKUP(A1752,[12]PRIORIZADOS!$A:$D,4,FALSE)),"")</f>
        <v>PRIVADO</v>
      </c>
      <c r="E1752" s="11" t="str">
        <f>IFERROR(IF(VLOOKUP(A1752,[12]PRIORIZADOS!$A:$E,5,FALSE)="","",VLOOKUP(A1752,[12]PRIORIZADOS!$A:$E,5,FALSE)),"")</f>
        <v>EPBM</v>
      </c>
      <c r="F1752" s="11" t="str">
        <f>IFERROR(IF(VLOOKUP(A1752,[12]PRIORIZADOS!$A:$F,6,FALSE)="","",VLOOKUP(A1752,[12]PRIORIZADOS!$A:$F,6,FALSE)),"")</f>
        <v>COLEGIO_SANTA_CATALINA_DEL_SUR_ORIENTE</v>
      </c>
      <c r="G1752" s="11" t="str">
        <f>IFERROR(IF(VLOOKUP(A1752,[12]PRIORIZADOS!$A:$G,7,FALSE)="","",VLOOKUP(A1752,[12]PRIORIZADOS!$A:$G,7,FALSE)),"")</f>
        <v>COLEGIO SANTA CATALINA DEL SUR ORIENTE</v>
      </c>
      <c r="H1752" s="11" t="str">
        <f>IFERROR(IF(VLOOKUP(A1752,[12]PRIORIZADOS!$A:$H,8,FALSE)="","",VLOOKUP(A1752,[12]PRIORIZADOS!$A:$H,8,FALSE)),"")</f>
        <v>Autoevaluación Institucional y Pruebas SABER 11</v>
      </c>
      <c r="I1752" s="11" t="str">
        <f>IFERROR(IF(VLOOKUP(A1752,[12]PRIORIZADOS!$A:$I,9,FALSE)="","",VLOOKUP(A1752,[12]PRIORIZADOS!$A:$I,9,FALSE)),"")</f>
        <v>SEGUIMIENTO_Y_SUPERVISIÓN.</v>
      </c>
      <c r="J1752" s="11" t="str">
        <f>IFERROR(IF(VLOOKUP(A1752,[12]PRIORIZADOS!$A:$J,10,FALSE)="","",VLOOKUP(A1752,[12]PRIORIZADOS!$A:$J,10,FALSE)),"")</f>
        <v xml:space="preserve">Verificar la implementación por parte de los colegios, de acciones realizadas para la prevención y atención de las situaciones de convivencia en el entorno escolar, según lo establecido en la Directiva 01 de 2022 del MEN. </v>
      </c>
      <c r="K1752" s="11" t="str">
        <f>IFERROR(IF(VLOOKUP(A1752,[12]PRIORIZADOS!$A:$K,11,FALSE)="","",VLOOKUP(A1752,[12]PRIORIZADOS!$A:$K,11,FALSE)),"")</f>
        <v>JOSÉ ASDRUBAL PÉREZ GIRALDO</v>
      </c>
      <c r="L1752" s="11" t="str">
        <f>IFERROR(IF(VLOOKUP(A1752,[12]PRIORIZADOS!$A:$L,12,FALSE)="","",VLOOKUP(A1752,[12]PRIORIZADOS!$A:$L,12,FALSE)),"")</f>
        <v>JUANITA LINA CAROLINA RAMÍREZ LÓPEZ</v>
      </c>
      <c r="M1752" s="71">
        <f>IFERROR(IF(VLOOKUP(A1752,[12]PRIORIZADOS!$A:$M,13,FALSE)="","",VLOOKUP(A1752,[12]PRIORIZADOS!$A:$M,13,FALSE)),"")</f>
        <v>45737</v>
      </c>
      <c r="N1752" s="71">
        <f>IFERROR(IF(VLOOKUP(A1752,[12]PRIORIZADOS!$A:$N,14,FALSE)="","",VLOOKUP(A1752,[12]PRIORIZADOS!$A:$N,14,FALSE)),"")</f>
        <v>45800</v>
      </c>
      <c r="O1752" s="71">
        <f>IFERROR(IF(VLOOKUP(A1752,[12]PRIORIZADOS!$A:$O,15,FALSE)="","",VLOOKUP(A1752,[12]PRIORIZADOS!$A:$O,15,FALSE)),"")</f>
        <v>45800</v>
      </c>
      <c r="P1752" s="11" t="str">
        <f>IFERROR(IF(VLOOKUP(A1752,[12]PRIORIZADOS!$A:$P,16,FALSE)="","",VLOOKUP(A1752,[12]PRIORIZADOS!$A:$P,16,FALSE)),"")</f>
        <v>Visitas de evaluación con fines de mejoramiento</v>
      </c>
      <c r="Q1752" s="107" t="s">
        <v>386</v>
      </c>
      <c r="R1752" s="11" t="str">
        <f>IFERROR(IF(VLOOKUP(A1752,[12]PRIORIZADOS!$A:$R,18,FALSE)="","",VLOOKUP(A1752,[12]PRIORIZADOS!$A:$R,18,FALSE)),"")</f>
        <v>Se encuentra en la carpeta de cada Docente la veficacion de antecedentes en sumayoria confecha del mes de mayo.  recomienda hacer promocion y prevencion durante el año para mitigar posibles casos.</v>
      </c>
      <c r="S1752" s="11" t="str">
        <f>IFERROR(IF(VLOOKUP(A1752,[12]PRIORIZADOS!$A:$S,19,FALSE)="","",VLOOKUP(A1752,[12]PRIORIZADOS!$A:$S,19,FALSE)),"")</f>
        <v>Se recuerda que esta consulta debe ser cada  4 meses y deben tener autorización de cada trabajador, para consultas.</v>
      </c>
      <c r="T1752" s="70" t="str">
        <f>IFERROR(IF(VLOOKUP(A1752,[12]PRIORIZADOS!$A:$T,20,FALSE)="","",VLOOKUP(A1752,[12]PRIORIZADOS!$A:$T,20,FALSE)),"")</f>
        <v>No</v>
      </c>
      <c r="U1752" s="11" t="str">
        <f>IFERROR(IF(VLOOKUP(A1752,[12]PRIORIZADOS!$A:$U,21,FALSE)="","",VLOOKUP(A1752,[12]PRIORIZADOS!$A:$U,21,FALSE)),"")</f>
        <v>Se hará verificación en caso de presentarse requerimiento</v>
      </c>
    </row>
    <row r="1753" spans="1:21" s="1" customFormat="1" ht="107.25">
      <c r="A1753" s="69">
        <f>IF([12]PRIORIZADOS!A83="","",[12]PRIORIZADOS!A83)</f>
        <v>1725</v>
      </c>
      <c r="B1753" s="70">
        <v>9</v>
      </c>
      <c r="C1753" s="11" t="str">
        <f>IFERROR(IF(VLOOKUP(A1753,[12]PRIORIZADOS!$A:$C,3,FALSE)="","",VLOOKUP(A1753,[12]PRIORIZADOS!$A:$C,3,FALSE)),"")</f>
        <v>SAN CRISTÓBAL</v>
      </c>
      <c r="D1753" s="11" t="str">
        <f>IFERROR(IF(VLOOKUP(A1753,[12]PRIORIZADOS!$A:$D,4,FALSE)="","",VLOOKUP(A1753,[12]PRIORIZADOS!$A:$D,4,FALSE)),"")</f>
        <v>PRIVADO</v>
      </c>
      <c r="E1753" s="11" t="str">
        <f>IFERROR(IF(VLOOKUP(A1753,[12]PRIORIZADOS!$A:$E,5,FALSE)="","",VLOOKUP(A1753,[12]PRIORIZADOS!$A:$E,5,FALSE)),"")</f>
        <v>EPBM</v>
      </c>
      <c r="F1753" s="11" t="str">
        <f>IFERROR(IF(VLOOKUP(A1753,[12]PRIORIZADOS!$A:$F,6,FALSE)="","",VLOOKUP(A1753,[12]PRIORIZADOS!$A:$F,6,FALSE)),"")</f>
        <v>COLEGIO_SANTA_CATALINA_DEL_SUR_ORIENTE</v>
      </c>
      <c r="G1753" s="11" t="str">
        <f>IFERROR(IF(VLOOKUP(A1753,[12]PRIORIZADOS!$A:$G,7,FALSE)="","",VLOOKUP(A1753,[12]PRIORIZADOS!$A:$G,7,FALSE)),"")</f>
        <v>COLEGIO SANTA CATALINA DEL SUR ORIENTE</v>
      </c>
      <c r="H1753" s="11" t="str">
        <f>IFERROR(IF(VLOOKUP(A1753,[12]PRIORIZADOS!$A:$H,8,FALSE)="","",VLOOKUP(A1753,[12]PRIORIZADOS!$A:$H,8,FALSE)),"")</f>
        <v>Autoevaluación Institucional y Pruebas SABER 11</v>
      </c>
      <c r="I1753" s="11" t="str">
        <f>IFERROR(IF(VLOOKUP(A1753,[12]PRIORIZADOS!$A:$I,9,FALSE)="","",VLOOKUP(A1753,[12]PRIORIZADOS!$A:$I,9,FALSE)),"")</f>
        <v>SEGUIMIENTO_Y_SUPERVISIÓN.</v>
      </c>
      <c r="J1753" s="11" t="str">
        <f>IFERROR(IF(VLOOKUP(A1753,[12]PRIORIZADOS!$A:$J,10,FALSE)="","",VLOOKUP(A1753,[12]PRIORIZADOS!$A:$J,10,FALSE)),"")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53" s="11" t="str">
        <f>IFERROR(IF(VLOOKUP(A1753,[12]PRIORIZADOS!$A:$K,11,FALSE)="","",VLOOKUP(A1753,[12]PRIORIZADOS!$A:$K,11,FALSE)),"")</f>
        <v>JOSÉ ASDRUBAL PÉREZ GIRALDO</v>
      </c>
      <c r="L1753" s="11" t="str">
        <f>IFERROR(IF(VLOOKUP(A1753,[12]PRIORIZADOS!$A:$L,12,FALSE)="","",VLOOKUP(A1753,[12]PRIORIZADOS!$A:$L,12,FALSE)),"")</f>
        <v>JUANITA LINA CAROLINA RAMÍREZ LÓPEZ</v>
      </c>
      <c r="M1753" s="71">
        <f>IFERROR(IF(VLOOKUP(A1753,[12]PRIORIZADOS!$A:$M,13,FALSE)="","",VLOOKUP(A1753,[12]PRIORIZADOS!$A:$M,13,FALSE)),"")</f>
        <v>45737</v>
      </c>
      <c r="N1753" s="71">
        <f>IFERROR(IF(VLOOKUP(A1753,[12]PRIORIZADOS!$A:$N,14,FALSE)="","",VLOOKUP(A1753,[12]PRIORIZADOS!$A:$N,14,FALSE)),"")</f>
        <v>45800</v>
      </c>
      <c r="O1753" s="71">
        <f>IFERROR(IF(VLOOKUP(A1753,[12]PRIORIZADOS!$A:$O,15,FALSE)="","",VLOOKUP(A1753,[12]PRIORIZADOS!$A:$O,15,FALSE)),"")</f>
        <v>45800</v>
      </c>
      <c r="P1753" s="11" t="str">
        <f>IFERROR(IF(VLOOKUP(A1753,[12]PRIORIZADOS!$A:$P,16,FALSE)="","",VLOOKUP(A1753,[12]PRIORIZADOS!$A:$P,16,FALSE)),"")</f>
        <v>Visitas de evaluación con fines de mejoramiento</v>
      </c>
      <c r="Q1753" s="107" t="s">
        <v>386</v>
      </c>
      <c r="R1753" s="11" t="str">
        <f>IFERROR(IF(VLOOKUP(A1753,[12]PRIORIZADOS!$A:$R,18,FALSE)="","",VLOOKUP(A1753,[12]PRIORIZADOS!$A:$R,18,FALSE)),"")</f>
        <v>La Orientadora ha identificado un estudiante de grado septimo, con dificutades academicas (aprendizaje y atención) y ademas con situaciones emocionales. Se indica que se debe hacer remision a salud y presionar a la familia para que allegue posible Dx y se pueda atender adecuadamente, si requiere se formula PIAR.</v>
      </c>
      <c r="S1753" s="11" t="str">
        <f>IFERROR(IF(VLOOKUP(A1753,[12]PRIORIZADOS!$A:$S,19,FALSE)="","",VLOOKUP(A1753,[12]PRIORIZADOS!$A:$S,19,FALSE)),"")</f>
        <v>Fortalecer el seguimiento a estudiantes con dificultades.</v>
      </c>
      <c r="T1753" s="70" t="str">
        <f>IFERROR(IF(VLOOKUP(A1753,[12]PRIORIZADOS!$A:$T,20,FALSE)="","",VLOOKUP(A1753,[12]PRIORIZADOS!$A:$T,20,FALSE)),"")</f>
        <v>No</v>
      </c>
      <c r="U1753" s="11" t="str">
        <f>IFERROR(IF(VLOOKUP(A1753,[12]PRIORIZADOS!$A:$U,21,FALSE)="","",VLOOKUP(A1753,[12]PRIORIZADOS!$A:$U,21,FALSE)),"")</f>
        <v>Verificación en próxima visita</v>
      </c>
    </row>
    <row r="1754" spans="1:21" s="1" customFormat="1" ht="84">
      <c r="A1754" s="69">
        <f>IF([12]PRIORIZADOS!A84="","",[12]PRIORIZADOS!A84)</f>
        <v>1726</v>
      </c>
      <c r="B1754" s="70">
        <v>9</v>
      </c>
      <c r="C1754" s="11" t="str">
        <f>IFERROR(IF(VLOOKUP(A1754,[12]PRIORIZADOS!$A:$C,3,FALSE)="","",VLOOKUP(A1754,[12]PRIORIZADOS!$A:$C,3,FALSE)),"")</f>
        <v>SAN CRISTÓBAL</v>
      </c>
      <c r="D1754" s="11" t="str">
        <f>IFERROR(IF(VLOOKUP(A1754,[12]PRIORIZADOS!$A:$D,4,FALSE)="","",VLOOKUP(A1754,[12]PRIORIZADOS!$A:$D,4,FALSE)),"")</f>
        <v>PRIVADO</v>
      </c>
      <c r="E1754" s="11" t="str">
        <f>IFERROR(IF(VLOOKUP(A1754,[12]PRIORIZADOS!$A:$E,5,FALSE)="","",VLOOKUP(A1754,[12]PRIORIZADOS!$A:$E,5,FALSE)),"")</f>
        <v>EPBM</v>
      </c>
      <c r="F1754" s="11" t="str">
        <f>IFERROR(IF(VLOOKUP(A1754,[12]PRIORIZADOS!$A:$F,6,FALSE)="","",VLOOKUP(A1754,[12]PRIORIZADOS!$A:$F,6,FALSE)),"")</f>
        <v>COLEGIO_SANTA_CATALINA_DEL_SUR_ORIENTE</v>
      </c>
      <c r="G1754" s="11" t="str">
        <f>IFERROR(IF(VLOOKUP(A1754,[12]PRIORIZADOS!$A:$G,7,FALSE)="","",VLOOKUP(A1754,[12]PRIORIZADOS!$A:$G,7,FALSE)),"")</f>
        <v>COLEGIO SANTA CATALINA DEL SUR ORIENTE</v>
      </c>
      <c r="H1754" s="11" t="str">
        <f>IFERROR(IF(VLOOKUP(A1754,[12]PRIORIZADOS!$A:$H,8,FALSE)="","",VLOOKUP(A1754,[12]PRIORIZADOS!$A:$H,8,FALSE)),"")</f>
        <v>Autoevaluación Institucional y Pruebas SABER 11</v>
      </c>
      <c r="I1754" s="11" t="str">
        <f>IFERROR(IF(VLOOKUP(A1754,[12]PRIORIZADOS!$A:$I,9,FALSE)="","",VLOOKUP(A1754,[12]PRIORIZADOS!$A:$I,9,FALSE)),"")</f>
        <v>EVALUACIÓN_CON_FINES_DE_MEJORAMIENTO.</v>
      </c>
      <c r="J1754" s="11" t="str">
        <f>IFERROR(IF(VLOOKUP(A1754,[12]PRIORIZADOS!$A:$J,10,FALSE)="","",VLOOKUP(A1754,[12]PRIORIZADOS!$A:$J,10,FALSE)),"")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54" s="11" t="str">
        <f>IFERROR(IF(VLOOKUP(A1754,[12]PRIORIZADOS!$A:$K,11,FALSE)="","",VLOOKUP(A1754,[12]PRIORIZADOS!$A:$K,11,FALSE)),"")</f>
        <v>JOSÉ ASDRUBAL PÉREZ GIRALDO</v>
      </c>
      <c r="L1754" s="11" t="str">
        <f>IFERROR(IF(VLOOKUP(A1754,[12]PRIORIZADOS!$A:$L,12,FALSE)="","",VLOOKUP(A1754,[12]PRIORIZADOS!$A:$L,12,FALSE)),"")</f>
        <v>JUANITA LINA CAROLINA RAMÍREZ LÓPEZ</v>
      </c>
      <c r="M1754" s="71">
        <f>IFERROR(IF(VLOOKUP(A1754,[12]PRIORIZADOS!$A:$M,13,FALSE)="","",VLOOKUP(A1754,[12]PRIORIZADOS!$A:$M,13,FALSE)),"")</f>
        <v>45737</v>
      </c>
      <c r="N1754" s="71">
        <f>IFERROR(IF(VLOOKUP(A1754,[12]PRIORIZADOS!$A:$N,14,FALSE)="","",VLOOKUP(A1754,[12]PRIORIZADOS!$A:$N,14,FALSE)),"")</f>
        <v>45800</v>
      </c>
      <c r="O1754" s="71">
        <f>IFERROR(IF(VLOOKUP(A1754,[12]PRIORIZADOS!$A:$O,15,FALSE)="","",VLOOKUP(A1754,[12]PRIORIZADOS!$A:$O,15,FALSE)),"")</f>
        <v>45800</v>
      </c>
      <c r="P1754" s="11" t="str">
        <f>IFERROR(IF(VLOOKUP(A1754,[12]PRIORIZADOS!$A:$P,16,FALSE)="","",VLOOKUP(A1754,[12]PRIORIZADOS!$A:$P,16,FALSE)),"")</f>
        <v>Visitas de evaluación con fines de mejoramiento</v>
      </c>
      <c r="Q1754" s="107" t="s">
        <v>386</v>
      </c>
      <c r="R1754" s="11" t="str">
        <f>IFERROR(IF(VLOOKUP(A1754,[12]PRIORIZADOS!$A:$R,18,FALSE)="","",VLOOKUP(A1754,[12]PRIORIZADOS!$A:$R,18,FALSE)),"")</f>
        <v xml:space="preserve">Los ajustes tuvieron intervención de directivos, docentes y orientadora. Se encuentra la incorporación de la legislación vigente. </v>
      </c>
      <c r="S1754" s="11" t="str">
        <f>IFERROR(IF(VLOOKUP(A1754,[12]PRIORIZADOS!$A:$S,19,FALSE)="","",VLOOKUP(A1754,[12]PRIORIZADOS!$A:$S,19,FALSE)),"")</f>
        <v xml:space="preserve">Las diferentes instancias vienen trabajando desde el 2024 en la actualización de los diferentes documentos institucionales.  </v>
      </c>
      <c r="T1754" s="70" t="str">
        <f>IFERROR(IF(VLOOKUP(A1754,[12]PRIORIZADOS!$A:$T,20,FALSE)="","",VLOOKUP(A1754,[12]PRIORIZADOS!$A:$T,20,FALSE)),"")</f>
        <v>No</v>
      </c>
      <c r="U1754" s="11" t="str">
        <f>IFERROR(IF(VLOOKUP(A1754,[12]PRIORIZADOS!$A:$U,21,FALSE)="","",VLOOKUP(A1754,[12]PRIORIZADOS!$A:$U,21,FALSE)),"")</f>
        <v xml:space="preserve">Revisión documental de las actualizaciones. </v>
      </c>
    </row>
    <row r="1755" spans="1:21" s="1" customFormat="1" ht="96">
      <c r="A1755" s="69">
        <f>IF([12]PRIORIZADOS!A85="","",[12]PRIORIZADOS!A85)</f>
        <v>1727</v>
      </c>
      <c r="B1755" s="70">
        <v>9</v>
      </c>
      <c r="C1755" s="11" t="str">
        <f>IFERROR(IF(VLOOKUP(A1755,[12]PRIORIZADOS!$A:$C,3,FALSE)="","",VLOOKUP(A1755,[12]PRIORIZADOS!$A:$C,3,FALSE)),"")</f>
        <v>SAN CRISTÓBAL</v>
      </c>
      <c r="D1755" s="11" t="str">
        <f>IFERROR(IF(VLOOKUP(A1755,[12]PRIORIZADOS!$A:$D,4,FALSE)="","",VLOOKUP(A1755,[12]PRIORIZADOS!$A:$D,4,FALSE)),"")</f>
        <v>PRIVADO</v>
      </c>
      <c r="E1755" s="11" t="str">
        <f>IFERROR(IF(VLOOKUP(A1755,[12]PRIORIZADOS!$A:$E,5,FALSE)="","",VLOOKUP(A1755,[12]PRIORIZADOS!$A:$E,5,FALSE)),"")</f>
        <v>EPBM</v>
      </c>
      <c r="F1755" s="11" t="str">
        <f>IFERROR(IF(VLOOKUP(A1755,[12]PRIORIZADOS!$A:$F,6,FALSE)="","",VLOOKUP(A1755,[12]PRIORIZADOS!$A:$F,6,FALSE)),"")</f>
        <v>COLEGIO_SANTA_CATALINA_DEL_SUR_ORIENTE</v>
      </c>
      <c r="G1755" s="11" t="str">
        <f>IFERROR(IF(VLOOKUP(A1755,[12]PRIORIZADOS!$A:$G,7,FALSE)="","",VLOOKUP(A1755,[12]PRIORIZADOS!$A:$G,7,FALSE)),"")</f>
        <v>COLEGIO SANTA CATALINA DEL SUR ORIENTE</v>
      </c>
      <c r="H1755" s="11" t="str">
        <f>IFERROR(IF(VLOOKUP(A1755,[12]PRIORIZADOS!$A:$H,8,FALSE)="","",VLOOKUP(A1755,[12]PRIORIZADOS!$A:$H,8,FALSE)),"")</f>
        <v>Autoevaluación Institucional y Pruebas SABER 11</v>
      </c>
      <c r="I1755" s="11" t="str">
        <f>IFERROR(IF(VLOOKUP(A1755,[12]PRIORIZADOS!$A:$I,9,FALSE)="","",VLOOKUP(A1755,[12]PRIORIZADOS!$A:$I,9,FALSE)),"")</f>
        <v>EVALUACIÓN_CON_FINES_DE_MEJORAMIENTO.</v>
      </c>
      <c r="J1755" s="11" t="str">
        <f>IFERROR(IF(VLOOKUP(A1755,[12]PRIORIZADOS!$A:$J,10,FALSE)="","",VLOOKUP(A1755,[12]PRIORIZADOS!$A:$J,10,FALSE)),"")</f>
        <v>Revisar la actualización, socialización e implementación del Sistema Institucional de Evaluación de Estudiantes - SIEE, en articulación con la actualización del PEI y la normatividad vigente.</v>
      </c>
      <c r="K1755" s="11" t="str">
        <f>IFERROR(IF(VLOOKUP(A1755,[12]PRIORIZADOS!$A:$K,11,FALSE)="","",VLOOKUP(A1755,[12]PRIORIZADOS!$A:$K,11,FALSE)),"")</f>
        <v>JOSÉ ASDRUBAL PÉREZ GIRALDO</v>
      </c>
      <c r="L1755" s="11" t="str">
        <f>IFERROR(IF(VLOOKUP(A1755,[12]PRIORIZADOS!$A:$L,12,FALSE)="","",VLOOKUP(A1755,[12]PRIORIZADOS!$A:$L,12,FALSE)),"")</f>
        <v>JUANITA LINA CAROLINA RAMÍREZ LÓPEZ</v>
      </c>
      <c r="M1755" s="71">
        <f>IFERROR(IF(VLOOKUP(A1755,[12]PRIORIZADOS!$A:$M,13,FALSE)="","",VLOOKUP(A1755,[12]PRIORIZADOS!$A:$M,13,FALSE)),"")</f>
        <v>45737</v>
      </c>
      <c r="N1755" s="71">
        <f>IFERROR(IF(VLOOKUP(A1755,[12]PRIORIZADOS!$A:$N,14,FALSE)="","",VLOOKUP(A1755,[12]PRIORIZADOS!$A:$N,14,FALSE)),"")</f>
        <v>45800</v>
      </c>
      <c r="O1755" s="71">
        <f>IFERROR(IF(VLOOKUP(A1755,[12]PRIORIZADOS!$A:$O,15,FALSE)="","",VLOOKUP(A1755,[12]PRIORIZADOS!$A:$O,15,FALSE)),"")</f>
        <v>45800</v>
      </c>
      <c r="P1755" s="11" t="str">
        <f>IFERROR(IF(VLOOKUP(A1755,[12]PRIORIZADOS!$A:$P,16,FALSE)="","",VLOOKUP(A1755,[12]PRIORIZADOS!$A:$P,16,FALSE)),"")</f>
        <v>Visitas de evaluación con fines de mejoramiento</v>
      </c>
      <c r="Q1755" s="107" t="s">
        <v>386</v>
      </c>
      <c r="R1755" s="11" t="str">
        <f>IFERROR(IF(VLOOKUP(A1755,[12]PRIORIZADOS!$A:$R,18,FALSE)="","",VLOOKUP(A1755,[12]PRIORIZADOS!$A:$R,18,FALSE)),"")</f>
        <v>Aportan documento SIEE, el cual contiene entre otros: comisiones de evaluación, promoción escolar, planes especiales, escala de valoración, acciones de seguimiento para el mejoramiento de desempeños, informes académicos, mecanismos de participación de la comunidad educativa.</v>
      </c>
      <c r="S1755" s="11" t="str">
        <f>IFERROR(IF(VLOOKUP(A1755,[12]PRIORIZADOS!$A:$S,19,FALSE)="","",VLOOKUP(A1755,[12]PRIORIZADOS!$A:$S,19,FALSE)),"")</f>
        <v xml:space="preserve">Las diferentes instancias vienen trabajando desde el 2024 en la actualización de los diferentes documentos institucionales.  </v>
      </c>
      <c r="T1755" s="70" t="str">
        <f>IFERROR(IF(VLOOKUP(A1755,[12]PRIORIZADOS!$A:$T,20,FALSE)="","",VLOOKUP(A1755,[12]PRIORIZADOS!$A:$T,20,FALSE)),"")</f>
        <v>No</v>
      </c>
      <c r="U1755" s="11" t="str">
        <f>IFERROR(IF(VLOOKUP(A1755,[12]PRIORIZADOS!$A:$U,21,FALSE)="","",VLOOKUP(A1755,[12]PRIORIZADOS!$A:$U,21,FALSE)),"")</f>
        <v xml:space="preserve">Revisión documental de las actualizaciones. </v>
      </c>
    </row>
    <row r="1756" spans="1:21" s="1" customFormat="1" ht="48">
      <c r="A1756" s="69">
        <f>IF([12]PRIORIZADOS!A86="","",[12]PRIORIZADOS!A86)</f>
        <v>1728</v>
      </c>
      <c r="B1756" s="70">
        <v>9</v>
      </c>
      <c r="C1756" s="11" t="str">
        <f>IFERROR(IF(VLOOKUP(A1756,[12]PRIORIZADOS!$A:$C,3,FALSE)="","",VLOOKUP(A1756,[12]PRIORIZADOS!$A:$C,3,FALSE)),"")</f>
        <v>SAN CRISTÓBAL</v>
      </c>
      <c r="D1756" s="11" t="str">
        <f>IFERROR(IF(VLOOKUP(A1756,[12]PRIORIZADOS!$A:$D,4,FALSE)="","",VLOOKUP(A1756,[12]PRIORIZADOS!$A:$D,4,FALSE)),"")</f>
        <v>PRIVADO</v>
      </c>
      <c r="E1756" s="11" t="str">
        <f>IFERROR(IF(VLOOKUP(A1756,[12]PRIORIZADOS!$A:$E,5,FALSE)="","",VLOOKUP(A1756,[12]PRIORIZADOS!$A:$E,5,FALSE)),"")</f>
        <v>EPBM</v>
      </c>
      <c r="F1756" s="11" t="str">
        <f>IFERROR(IF(VLOOKUP(A1756,[12]PRIORIZADOS!$A:$F,6,FALSE)="","",VLOOKUP(A1756,[12]PRIORIZADOS!$A:$F,6,FALSE)),"")</f>
        <v>COLEGIO_SANTA_CATALINA_DEL_SUR_ORIENTE</v>
      </c>
      <c r="G1756" s="11" t="str">
        <f>IFERROR(IF(VLOOKUP(A1756,[12]PRIORIZADOS!$A:$G,7,FALSE)="","",VLOOKUP(A1756,[12]PRIORIZADOS!$A:$G,7,FALSE)),"")</f>
        <v>COLEGIO SANTA CATALINA DEL SUR ORIENTE</v>
      </c>
      <c r="H1756" s="11" t="str">
        <f>IFERROR(IF(VLOOKUP(A1756,[12]PRIORIZADOS!$A:$H,8,FALSE)="","",VLOOKUP(A1756,[12]PRIORIZADOS!$A:$H,8,FALSE)),"")</f>
        <v>Autoevaluación Institucional y Pruebas SABER 11</v>
      </c>
      <c r="I1756" s="11" t="str">
        <f>IFERROR(IF(VLOOKUP(A1756,[12]PRIORIZADOS!$A:$I,9,FALSE)="","",VLOOKUP(A1756,[12]PRIORIZADOS!$A:$I,9,FALSE)),"")</f>
        <v>EVALUACIÓN_CON_FINES_DE_MEJORAMIENTO.</v>
      </c>
      <c r="J1756" s="11" t="str">
        <f>IFERROR(IF(VLOOKUP(A1756,[12]PRIORIZADOS!$A:$J,10,FALSE)="","",VLOOKUP(A1756,[12]PRIORIZADOS!$A:$J,10,FALSE)),"")</f>
        <v>Revisar el calendario escolar, jornada escolar, la intensidad horaria mínima anual en cada nivel y las modificaciones que se realicen al mismo, de acuerdo con lo previsto en la normatividad vigente.</v>
      </c>
      <c r="K1756" s="11" t="str">
        <f>IFERROR(IF(VLOOKUP(A1756,[12]PRIORIZADOS!$A:$K,11,FALSE)="","",VLOOKUP(A1756,[12]PRIORIZADOS!$A:$K,11,FALSE)),"")</f>
        <v>JOSÉ ASDRUBAL PÉREZ GIRALDO</v>
      </c>
      <c r="L1756" s="11" t="str">
        <f>IFERROR(IF(VLOOKUP(A1756,[12]PRIORIZADOS!$A:$L,12,FALSE)="","",VLOOKUP(A1756,[12]PRIORIZADOS!$A:$L,12,FALSE)),"")</f>
        <v>JUANITA LINA CAROLINA RAMÍREZ LÓPEZ</v>
      </c>
      <c r="M1756" s="71">
        <f>IFERROR(IF(VLOOKUP(A1756,[12]PRIORIZADOS!$A:$M,13,FALSE)="","",VLOOKUP(A1756,[12]PRIORIZADOS!$A:$M,13,FALSE)),"")</f>
        <v>45737</v>
      </c>
      <c r="N1756" s="71">
        <f>IFERROR(IF(VLOOKUP(A1756,[12]PRIORIZADOS!$A:$N,14,FALSE)="","",VLOOKUP(A1756,[12]PRIORIZADOS!$A:$N,14,FALSE)),"")</f>
        <v>45800</v>
      </c>
      <c r="O1756" s="71">
        <f>IFERROR(IF(VLOOKUP(A1756,[12]PRIORIZADOS!$A:$O,15,FALSE)="","",VLOOKUP(A1756,[12]PRIORIZADOS!$A:$O,15,FALSE)),"")</f>
        <v>45800</v>
      </c>
      <c r="P1756" s="11" t="str">
        <f>IFERROR(IF(VLOOKUP(A1756,[12]PRIORIZADOS!$A:$P,16,FALSE)="","",VLOOKUP(A1756,[12]PRIORIZADOS!$A:$P,16,FALSE)),"")</f>
        <v>Visitas de evaluación con fines de mejoramiento</v>
      </c>
      <c r="Q1756" s="107" t="s">
        <v>386</v>
      </c>
      <c r="R1756" s="11" t="str">
        <f>IFERROR(IF(VLOOKUP(A1756,[12]PRIORIZADOS!$A:$R,18,FALSE)="","",VLOOKUP(A1756,[12]PRIORIZADOS!$A:$R,18,FALSE)),"")</f>
        <v>Cumple con las horas y semanas reglamentarias de acuerdo con la Resolución de la SED N° 1811 de 2024.</v>
      </c>
      <c r="S1756" s="11" t="str">
        <f>IFERROR(IF(VLOOKUP(A1756,[12]PRIORIZADOS!$A:$S,19,FALSE)="","",VLOOKUP(A1756,[12]PRIORIZADOS!$A:$S,19,FALSE)),"")</f>
        <v xml:space="preserve">Continuar con la prestación del servicio educativo de acuerdo con la normatividad vigente. </v>
      </c>
      <c r="T1756" s="70" t="str">
        <f>IFERROR(IF(VLOOKUP(A1756,[12]PRIORIZADOS!$A:$T,20,FALSE)="","",VLOOKUP(A1756,[12]PRIORIZADOS!$A:$T,20,FALSE)),"")</f>
        <v>No</v>
      </c>
      <c r="U1756" s="11" t="str">
        <f>IFERROR(IF(VLOOKUP(A1756,[12]PRIORIZADOS!$A:$U,21,FALSE)="","",VLOOKUP(A1756,[12]PRIORIZADOS!$A:$U,21,FALSE)),"")</f>
        <v>Se hará verificación en caso de presentarse requerimiento</v>
      </c>
    </row>
    <row r="1757" spans="1:21" s="1" customFormat="1" ht="48">
      <c r="A1757" s="69">
        <f>IF([12]PRIORIZADOS!A87="","",[12]PRIORIZADOS!A87)</f>
        <v>1729</v>
      </c>
      <c r="B1757" s="70">
        <v>9</v>
      </c>
      <c r="C1757" s="11" t="str">
        <f>IFERROR(IF(VLOOKUP(A1757,[12]PRIORIZADOS!$A:$C,3,FALSE)="","",VLOOKUP(A1757,[12]PRIORIZADOS!$A:$C,3,FALSE)),"")</f>
        <v>SAN CRISTÓBAL</v>
      </c>
      <c r="D1757" s="11" t="str">
        <f>IFERROR(IF(VLOOKUP(A1757,[12]PRIORIZADOS!$A:$D,4,FALSE)="","",VLOOKUP(A1757,[12]PRIORIZADOS!$A:$D,4,FALSE)),"")</f>
        <v>PRIVADO</v>
      </c>
      <c r="E1757" s="11" t="str">
        <f>IFERROR(IF(VLOOKUP(A1757,[12]PRIORIZADOS!$A:$E,5,FALSE)="","",VLOOKUP(A1757,[12]PRIORIZADOS!$A:$E,5,FALSE)),"")</f>
        <v>EPBM</v>
      </c>
      <c r="F1757" s="11" t="str">
        <f>IFERROR(IF(VLOOKUP(A1757,[12]PRIORIZADOS!$A:$F,6,FALSE)="","",VLOOKUP(A1757,[12]PRIORIZADOS!$A:$F,6,FALSE)),"")</f>
        <v>COLEGIO_SANTA_CATALINA_DEL_SUR_ORIENTE</v>
      </c>
      <c r="G1757" s="11" t="str">
        <f>IFERROR(IF(VLOOKUP(A1757,[12]PRIORIZADOS!$A:$G,7,FALSE)="","",VLOOKUP(A1757,[12]PRIORIZADOS!$A:$G,7,FALSE)),"")</f>
        <v>COLEGIO SANTA CATALINA DEL SUR ORIENTE</v>
      </c>
      <c r="H1757" s="11" t="str">
        <f>IFERROR(IF(VLOOKUP(A1757,[12]PRIORIZADOS!$A:$H,8,FALSE)="","",VLOOKUP(A1757,[12]PRIORIZADOS!$A:$H,8,FALSE)),"")</f>
        <v>Autoevaluación Institucional y Pruebas SABER 11</v>
      </c>
      <c r="I1757" s="11" t="str">
        <f>IFERROR(IF(VLOOKUP(A1757,[12]PRIORIZADOS!$A:$I,9,FALSE)="","",VLOOKUP(A1757,[12]PRIORIZADOS!$A:$I,9,FALSE)),"")</f>
        <v>EVALUACIÓN_CON_FINES_DE_MEJORAMIENTO.</v>
      </c>
      <c r="J1757" s="11" t="str">
        <f>IFERROR(IF(VLOOKUP(A1757,[12]PRIORIZADOS!$A:$J,10,FALSE)="","",VLOOKUP(A1757,[12]PRIORIZADOS!$A:$J,10,FALSE)),"")</f>
        <v>Verificar el funcionamiento del Gobierno Escolar e instancias de participación con base en la información sobre conformación reportada por la institución educativa.</v>
      </c>
      <c r="K1757" s="11" t="str">
        <f>IFERROR(IF(VLOOKUP(A1757,[12]PRIORIZADOS!$A:$K,11,FALSE)="","",VLOOKUP(A1757,[12]PRIORIZADOS!$A:$K,11,FALSE)),"")</f>
        <v>JOSÉ ASDRUBAL PÉREZ GIRALDO</v>
      </c>
      <c r="L1757" s="11" t="str">
        <f>IFERROR(IF(VLOOKUP(A1757,[12]PRIORIZADOS!$A:$L,12,FALSE)="","",VLOOKUP(A1757,[12]PRIORIZADOS!$A:$L,12,FALSE)),"")</f>
        <v>JUANITA LINA CAROLINA RAMÍREZ LÓPEZ</v>
      </c>
      <c r="M1757" s="71">
        <f>IFERROR(IF(VLOOKUP(A1757,[12]PRIORIZADOS!$A:$M,13,FALSE)="","",VLOOKUP(A1757,[12]PRIORIZADOS!$A:$M,13,FALSE)),"")</f>
        <v>45737</v>
      </c>
      <c r="N1757" s="71">
        <f>IFERROR(IF(VLOOKUP(A1757,[12]PRIORIZADOS!$A:$N,14,FALSE)="","",VLOOKUP(A1757,[12]PRIORIZADOS!$A:$N,14,FALSE)),"")</f>
        <v>45800</v>
      </c>
      <c r="O1757" s="71">
        <f>IFERROR(IF(VLOOKUP(A1757,[12]PRIORIZADOS!$A:$O,15,FALSE)="","",VLOOKUP(A1757,[12]PRIORIZADOS!$A:$O,15,FALSE)),"")</f>
        <v>45800</v>
      </c>
      <c r="P1757" s="11" t="str">
        <f>IFERROR(IF(VLOOKUP(A1757,[12]PRIORIZADOS!$A:$P,16,FALSE)="","",VLOOKUP(A1757,[12]PRIORIZADOS!$A:$P,16,FALSE)),"")</f>
        <v>Visitas de evaluación con fines de mejoramiento</v>
      </c>
      <c r="Q1757" s="107" t="s">
        <v>386</v>
      </c>
      <c r="R1757" s="11" t="str">
        <f>IFERROR(IF(VLOOKUP(A1757,[12]PRIORIZADOS!$A:$R,18,FALSE)="","",VLOOKUP(A1757,[12]PRIORIZADOS!$A:$R,18,FALSE)),"")</f>
        <v xml:space="preserve">Se realiza verificación de actas de los diferentes estamentos. </v>
      </c>
      <c r="S1757" s="11" t="str">
        <f>IFERROR(IF(VLOOKUP(A1757,[12]PRIORIZADOS!$A:$S,19,FALSE)="","",VLOOKUP(A1757,[12]PRIORIZADOS!$A:$S,19,FALSE)),"")</f>
        <v xml:space="preserve">Se dan recomendaciones respecto a las actas aportadas. </v>
      </c>
      <c r="T1757" s="70" t="str">
        <f>IFERROR(IF(VLOOKUP(A1757,[12]PRIORIZADOS!$A:$T,20,FALSE)="","",VLOOKUP(A1757,[12]PRIORIZADOS!$A:$T,20,FALSE)),"")</f>
        <v>No</v>
      </c>
      <c r="U1757" s="11" t="str">
        <f>IFERROR(IF(VLOOKUP(A1757,[12]PRIORIZADOS!$A:$U,21,FALSE)="","",VLOOKUP(A1757,[12]PRIORIZADOS!$A:$U,21,FALSE)),"")</f>
        <v>Se hará verificación en caso de presentarse requerimiento</v>
      </c>
    </row>
    <row r="1758" spans="1:21" s="1" customFormat="1" ht="48">
      <c r="A1758" s="69">
        <f>IF([12]PRIORIZADOS!A88="","",[12]PRIORIZADOS!A88)</f>
        <v>1730</v>
      </c>
      <c r="B1758" s="70">
        <v>9</v>
      </c>
      <c r="C1758" s="11" t="str">
        <f>IFERROR(IF(VLOOKUP(A1758,[12]PRIORIZADOS!$A:$C,3,FALSE)="","",VLOOKUP(A1758,[12]PRIORIZADOS!$A:$C,3,FALSE)),"")</f>
        <v>SAN CRISTÓBAL</v>
      </c>
      <c r="D1758" s="11" t="str">
        <f>IFERROR(IF(VLOOKUP(A1758,[12]PRIORIZADOS!$A:$D,4,FALSE)="","",VLOOKUP(A1758,[12]PRIORIZADOS!$A:$D,4,FALSE)),"")</f>
        <v>PRIVADO</v>
      </c>
      <c r="E1758" s="11" t="str">
        <f>IFERROR(IF(VLOOKUP(A1758,[12]PRIORIZADOS!$A:$E,5,FALSE)="","",VLOOKUP(A1758,[12]PRIORIZADOS!$A:$E,5,FALSE)),"")</f>
        <v>EPBM</v>
      </c>
      <c r="F1758" s="11" t="str">
        <f>IFERROR(IF(VLOOKUP(A1758,[12]PRIORIZADOS!$A:$F,6,FALSE)="","",VLOOKUP(A1758,[12]PRIORIZADOS!$A:$F,6,FALSE)),"")</f>
        <v>COLEGIO_SANTA_CATALINA_DEL_SUR_ORIENTE</v>
      </c>
      <c r="G1758" s="11" t="str">
        <f>IFERROR(IF(VLOOKUP(A1758,[12]PRIORIZADOS!$A:$G,7,FALSE)="","",VLOOKUP(A1758,[12]PRIORIZADOS!$A:$G,7,FALSE)),"")</f>
        <v>COLEGIO SANTA CATALINA DEL SUR ORIENTE</v>
      </c>
      <c r="H1758" s="11" t="str">
        <f>IFERROR(IF(VLOOKUP(A1758,[12]PRIORIZADOS!$A:$H,8,FALSE)="","",VLOOKUP(A1758,[12]PRIORIZADOS!$A:$H,8,FALSE)),"")</f>
        <v>Autoevaluación Institucional y Pruebas SABER 11</v>
      </c>
      <c r="I1758" s="11" t="str">
        <f>IFERROR(IF(VLOOKUP(A1758,[12]PRIORIZADOS!$A:$I,9,FALSE)="","",VLOOKUP(A1758,[12]PRIORIZADOS!$A:$I,9,FALSE)),"")</f>
        <v>EVALUACIÓN_CON_FINES_DE_MEJORAMIENTO.</v>
      </c>
      <c r="J1758" s="11" t="str">
        <f>IFERROR(IF(VLOOKUP(A1758,[12]PRIORIZADOS!$A:$J,10,FALSE)="","",VLOOKUP(A1758,[12]PRIORIZADOS!$A:$J,10,FALSE)),"")</f>
        <v>Verificar las condiciones en cuanto a: la estructura administrativa, condiciones de la planta física y medios educativos adecuados.</v>
      </c>
      <c r="K1758" s="11" t="str">
        <f>IFERROR(IF(VLOOKUP(A1758,[12]PRIORIZADOS!$A:$K,11,FALSE)="","",VLOOKUP(A1758,[12]PRIORIZADOS!$A:$K,11,FALSE)),"")</f>
        <v>JOSÉ ASDRUBAL PÉREZ GIRALDO</v>
      </c>
      <c r="L1758" s="11" t="str">
        <f>IFERROR(IF(VLOOKUP(A1758,[12]PRIORIZADOS!$A:$L,12,FALSE)="","",VLOOKUP(A1758,[12]PRIORIZADOS!$A:$L,12,FALSE)),"")</f>
        <v>JUANITA LINA CAROLINA RAMÍREZ LÓPEZ</v>
      </c>
      <c r="M1758" s="71">
        <f>IFERROR(IF(VLOOKUP(A1758,[12]PRIORIZADOS!$A:$M,13,FALSE)="","",VLOOKUP(A1758,[12]PRIORIZADOS!$A:$M,13,FALSE)),"")</f>
        <v>45737</v>
      </c>
      <c r="N1758" s="71">
        <f>IFERROR(IF(VLOOKUP(A1758,[12]PRIORIZADOS!$A:$N,14,FALSE)="","",VLOOKUP(A1758,[12]PRIORIZADOS!$A:$N,14,FALSE)),"")</f>
        <v>45800</v>
      </c>
      <c r="O1758" s="71">
        <f>IFERROR(IF(VLOOKUP(A1758,[12]PRIORIZADOS!$A:$O,15,FALSE)="","",VLOOKUP(A1758,[12]PRIORIZADOS!$A:$O,15,FALSE)),"")</f>
        <v>45800</v>
      </c>
      <c r="P1758" s="11" t="str">
        <f>IFERROR(IF(VLOOKUP(A1758,[12]PRIORIZADOS!$A:$P,16,FALSE)="","",VLOOKUP(A1758,[12]PRIORIZADOS!$A:$P,16,FALSE)),"")</f>
        <v>Visitas de evaluación con fines de mejoramiento</v>
      </c>
      <c r="Q1758" s="126" t="s">
        <v>386</v>
      </c>
      <c r="R1758" s="11" t="str">
        <f>IFERROR(IF(VLOOKUP(A1758,[12]PRIORIZADOS!$A:$R,18,FALSE)="","",VLOOKUP(A1758,[12]PRIORIZADOS!$A:$R,18,FALSE)),"")</f>
        <v>Aportan acta No. 704966 con fecha 10 de noviembre de 2024, con concepto FAVORABLE</v>
      </c>
      <c r="S1758" s="11" t="str">
        <f>IFERROR(IF(VLOOKUP(A1758,[12]PRIORIZADOS!$A:$S,19,FALSE)="","",VLOOKUP(A1758,[12]PRIORIZADOS!$A:$S,19,FALSE)),"")</f>
        <v>En el recorrido realizado se evidenció espacios con mantnimiento y buen estado areas con iluminacion natural complementada con artificial.</v>
      </c>
      <c r="T1758" s="70" t="str">
        <f>IFERROR(IF(VLOOKUP(A1758,[12]PRIORIZADOS!$A:$T,20,FALSE)="","",VLOOKUP(A1758,[12]PRIORIZADOS!$A:$T,20,FALSE)),"")</f>
        <v>No</v>
      </c>
      <c r="U1758" s="11" t="str">
        <f>IFERROR(IF(VLOOKUP(A1758,[12]PRIORIZADOS!$A:$U,21,FALSE)="","",VLOOKUP(A1758,[12]PRIORIZADOS!$A:$U,21,FALSE)),"")</f>
        <v>Se hará verificación en caso de presentarse requerimiento</v>
      </c>
    </row>
    <row r="1759" spans="1:21" s="1" customFormat="1" ht="48">
      <c r="A1759" s="69">
        <f>IF([12]PRIORIZADOS!A89="","",[12]PRIORIZADOS!A89)</f>
        <v>1731</v>
      </c>
      <c r="B1759" s="70">
        <f>IFERROR(IF(VLOOKUP(A1759,[12]PRIORIZADOS!$A:$B,2,FALSE)="","",VLOOKUP(A1759,[12]PRIORIZADOS!$A:$B,2,FALSE)),"")</f>
        <v>10</v>
      </c>
      <c r="C1759" s="11" t="str">
        <f>IFERROR(IF(VLOOKUP(A1759,[12]PRIORIZADOS!$A:$C,3,FALSE)="","",VLOOKUP(A1759,[12]PRIORIZADOS!$A:$C,3,FALSE)),"")</f>
        <v>SAN CRISTÓBAL</v>
      </c>
      <c r="D1759" s="11" t="str">
        <f>IFERROR(IF(VLOOKUP(A1759,[12]PRIORIZADOS!$A:$D,4,FALSE)="","",VLOOKUP(A1759,[12]PRIORIZADOS!$A:$D,4,FALSE)),"")</f>
        <v>PRIVADO</v>
      </c>
      <c r="E1759" s="11" t="str">
        <f>IFERROR(IF(VLOOKUP(A1759,[12]PRIORIZADOS!$A:$E,5,FALSE)="","",VLOOKUP(A1759,[12]PRIORIZADOS!$A:$E,5,FALSE)),"")</f>
        <v>EPBM</v>
      </c>
      <c r="F1759" s="11" t="str">
        <f>IFERROR(IF(VLOOKUP(A1759,[12]PRIORIZADOS!$A:$F,6,FALSE)="","",VLOOKUP(A1759,[12]PRIORIZADOS!$A:$F,6,FALSE)),"")</f>
        <v>COLEGIO_SUR_ORIENTAL_PANAMERICANO</v>
      </c>
      <c r="G1759" s="11" t="str">
        <f>IFERROR(IF(VLOOKUP(A1759,[12]PRIORIZADOS!$A:$G,7,FALSE)="","",VLOOKUP(A1759,[12]PRIORIZADOS!$A:$G,7,FALSE)),"")</f>
        <v>COLEGIO SUR ORIENTAL PANAMERICANO</v>
      </c>
      <c r="H1759" s="11" t="str">
        <f>IFERROR(IF(VLOOKUP(A1759,[12]PRIORIZADOS!$A:$H,8,FALSE)="","",VLOOKUP(A1759,[12]PRIORIZADOS!$A:$H,8,FALSE)),"")</f>
        <v>Autoevaluación Institucional y Pruebas SABER 11</v>
      </c>
      <c r="I1759" s="11" t="str">
        <f>IFERROR(IF(VLOOKUP(A1759,[12]PRIORIZADOS!$A:$I,9,FALSE)="","",VLOOKUP(A1759,[12]PRIORIZADOS!$A:$I,9,FALSE)),"")</f>
        <v>SEGUIMIENTO_Y_SUPERVISIÓN.</v>
      </c>
      <c r="J1759" s="11" t="str">
        <f>IFERROR(IF(VLOOKUP(A1759,[12]PRIORIZADOS!$A:$J,10,FALSE)="","",VLOOKUP(A1759,[12]PRIORIZADOS!$A:$J,10,FALSE)),"")</f>
        <v>Realizar visitas para verificar la información registrada sobre la autoevaluación institucional en el aplicativo EVI, a los establecimientos de educación formal no oficial.</v>
      </c>
      <c r="K1759" s="11" t="str">
        <f>IFERROR(IF(VLOOKUP(A1759,[12]PRIORIZADOS!$A:$K,11,FALSE)="","",VLOOKUP(A1759,[12]PRIORIZADOS!$A:$K,11,FALSE)),"")</f>
        <v>JOSÉ ASDRUBAL PÉREZ GIRALDO</v>
      </c>
      <c r="L1759" s="11" t="str">
        <f>IFERROR(IF(VLOOKUP(A1759,[12]PRIORIZADOS!$A:$L,12,FALSE)="","",VLOOKUP(A1759,[12]PRIORIZADOS!$A:$L,12,FALSE)),"")</f>
        <v>XIMENA CAROLINA RAMÍREZ MORALES</v>
      </c>
      <c r="M1759" s="71">
        <f>IFERROR(IF(VLOOKUP(A1759,[12]PRIORIZADOS!$A:$M,13,FALSE)="","",VLOOKUP(A1759,[12]PRIORIZADOS!$A:$M,13,FALSE)),"")</f>
        <v>45751</v>
      </c>
      <c r="N1759" s="71">
        <f>IFERROR(IF(VLOOKUP(A1759,[12]PRIORIZADOS!$A:$N,14,FALSE)="","",VLOOKUP(A1759,[12]PRIORIZADOS!$A:$N,14,FALSE)),"")</f>
        <v>45821</v>
      </c>
      <c r="O1759" s="71">
        <f>IFERROR(IF(VLOOKUP(A1759,[12]PRIORIZADOS!$A:$O,15,FALSE)="","",VLOOKUP(A1759,[12]PRIORIZADOS!$A:$O,15,FALSE)),"")</f>
        <v>45821</v>
      </c>
      <c r="P1759" s="11" t="str">
        <f>IFERROR(IF(VLOOKUP(A1759,[12]PRIORIZADOS!$A:$P,16,FALSE)="","",VLOOKUP(A1759,[12]PRIORIZADOS!$A:$P,16,FALSE)),"")</f>
        <v>Visitas de evaluación con fines de mejoramiento</v>
      </c>
      <c r="Q1759" s="107" t="s">
        <v>387</v>
      </c>
      <c r="R1759" s="11" t="str">
        <f>IFERROR(IF(VLOOKUP(A1759,[12]PRIORIZADOS!$A:$R,18,FALSE)="","",VLOOKUP(A1759,[12]PRIORIZADOS!$A:$R,18,FALSE)),"")</f>
        <v>El regimen del colegio es regimen regulado, se lleva control de pagos de matricula y pension en el sistema SIGO</v>
      </c>
      <c r="S1759" s="11" t="str">
        <f>IFERROR(IF(VLOOKUP(A1759,[12]PRIORIZADOS!$A:$S,19,FALSE)="","",VLOOKUP(A1759,[12]PRIORIZADOS!$A:$S,19,FALSE)),"")</f>
        <v>De acuerdo con los soportes aportados por el colegio es necesario discriminar el valor de la pension y el convenio de media tecnica.</v>
      </c>
      <c r="T1759" s="70" t="str">
        <f>IFERROR(IF(VLOOKUP(A1759,[12]PRIORIZADOS!$A:$T,20,FALSE)="","",VLOOKUP(A1759,[12]PRIORIZADOS!$A:$T,20,FALSE)),"")</f>
        <v>Si</v>
      </c>
      <c r="U1759" s="11" t="str">
        <f>IFERROR(IF(VLOOKUP(A1759,[12]PRIORIZADOS!$A:$U,21,FALSE)="","",VLOOKUP(A1759,[12]PRIORIZADOS!$A:$U,21,FALSE)),"")</f>
        <v xml:space="preserve">Ajustes de programa contable (discriminación de pagos de pensión y otros cobros). Se realizó encuentro el 7 de noviembre y se constató lo correspondiente. </v>
      </c>
    </row>
    <row r="1760" spans="1:21" s="1" customFormat="1" ht="96">
      <c r="A1760" s="69">
        <f>IF([12]PRIORIZADOS!A90="","",[12]PRIORIZADOS!A90)</f>
        <v>1732</v>
      </c>
      <c r="B1760" s="70">
        <v>10</v>
      </c>
      <c r="C1760" s="11" t="str">
        <f>IFERROR(IF(VLOOKUP(A1760,[12]PRIORIZADOS!$A:$C,3,FALSE)="","",VLOOKUP(A1760,[12]PRIORIZADOS!$A:$C,3,FALSE)),"")</f>
        <v>SAN CRISTÓBAL</v>
      </c>
      <c r="D1760" s="11" t="str">
        <f>IFERROR(IF(VLOOKUP(A1760,[12]PRIORIZADOS!$A:$D,4,FALSE)="","",VLOOKUP(A1760,[12]PRIORIZADOS!$A:$D,4,FALSE)),"")</f>
        <v>PRIVADO</v>
      </c>
      <c r="E1760" s="11" t="str">
        <f>IFERROR(IF(VLOOKUP(A1760,[12]PRIORIZADOS!$A:$E,5,FALSE)="","",VLOOKUP(A1760,[12]PRIORIZADOS!$A:$E,5,FALSE)),"")</f>
        <v>EPBM</v>
      </c>
      <c r="F1760" s="11" t="str">
        <f>IFERROR(IF(VLOOKUP(A1760,[12]PRIORIZADOS!$A:$F,6,FALSE)="","",VLOOKUP(A1760,[12]PRIORIZADOS!$A:$F,6,FALSE)),"")</f>
        <v>COLEGIO_SUR_ORIENTAL_PANAMERICANO</v>
      </c>
      <c r="G1760" s="11" t="str">
        <f>IFERROR(IF(VLOOKUP(A1760,[12]PRIORIZADOS!$A:$G,7,FALSE)="","",VLOOKUP(A1760,[12]PRIORIZADOS!$A:$G,7,FALSE)),"")</f>
        <v>COLEGIO SUR ORIENTAL PANAMERICANO</v>
      </c>
      <c r="H1760" s="11" t="str">
        <f>IFERROR(IF(VLOOKUP(A1760,[12]PRIORIZADOS!$A:$H,8,FALSE)="","",VLOOKUP(A1760,[12]PRIORIZADOS!$A:$H,8,FALSE)),"")</f>
        <v>Autoevaluación Institucional y Pruebas SABER 11</v>
      </c>
      <c r="I1760" s="11" t="str">
        <f>IFERROR(IF(VLOOKUP(A1760,[12]PRIORIZADOS!$A:$I,9,FALSE)="","",VLOOKUP(A1760,[12]PRIORIZADOS!$A:$I,9,FALSE)),"")</f>
        <v>SEGUIMIENTO_Y_SUPERVISIÓN.</v>
      </c>
      <c r="J1760" s="11" t="str">
        <f>IFERROR(IF(VLOOKUP(A1760,[12]PRIORIZADOS!$A:$J,10,FALSE)="","",VLOOKUP(A1760,[12]PRIORIZADOS!$A:$J,10,FALSE)),"")</f>
        <v>Proponer estrategias en la formulación, verificar su elaboración y realizar seguimiento semestral al desarrollo de  las acciones establecidas en los planes de mejoramiento por pruebas SABER 11 de los establecimientos de educación formal.</v>
      </c>
      <c r="K1760" s="11" t="str">
        <f>IFERROR(IF(VLOOKUP(A1760,[12]PRIORIZADOS!$A:$K,11,FALSE)="","",VLOOKUP(A1760,[12]PRIORIZADOS!$A:$K,11,FALSE)),"")</f>
        <v>JOSÉ ASDRUBAL PÉREZ GIRALDO</v>
      </c>
      <c r="L1760" s="11" t="str">
        <f>IFERROR(IF(VLOOKUP(A1760,[12]PRIORIZADOS!$A:$L,12,FALSE)="","",VLOOKUP(A1760,[12]PRIORIZADOS!$A:$L,12,FALSE)),"")</f>
        <v>XIMENA CAROLINA RAMÍREZ MORALES</v>
      </c>
      <c r="M1760" s="71">
        <f>IFERROR(IF(VLOOKUP(A1760,[12]PRIORIZADOS!$A:$M,13,FALSE)="","",VLOOKUP(A1760,[12]PRIORIZADOS!$A:$M,13,FALSE)),"")</f>
        <v>45751</v>
      </c>
      <c r="N1760" s="71">
        <f>IFERROR(IF(VLOOKUP(A1760,[12]PRIORIZADOS!$A:$N,14,FALSE)="","",VLOOKUP(A1760,[12]PRIORIZADOS!$A:$N,14,FALSE)),"")</f>
        <v>45821</v>
      </c>
      <c r="O1760" s="71">
        <f>IFERROR(IF(VLOOKUP(A1760,[12]PRIORIZADOS!$A:$O,15,FALSE)="","",VLOOKUP(A1760,[12]PRIORIZADOS!$A:$O,15,FALSE)),"")</f>
        <v>45821</v>
      </c>
      <c r="P1760" s="11" t="str">
        <f>IFERROR(IF(VLOOKUP(A1760,[12]PRIORIZADOS!$A:$P,16,FALSE)="","",VLOOKUP(A1760,[12]PRIORIZADOS!$A:$P,16,FALSE)),"")</f>
        <v>Visitas de evaluación con fines de mejoramiento</v>
      </c>
      <c r="Q1760" s="107" t="s">
        <v>387</v>
      </c>
      <c r="R1760" s="11" t="str">
        <f>IFERROR(IF(VLOOKUP(A1760,[12]PRIORIZADOS!$A:$R,18,FALSE)="","",VLOOKUP(A1760,[12]PRIORIZADOS!$A:$R,18,FALSE)),"")</f>
        <v>A partir de los análisis de los resultados obtenidos se están incoporando acciones como el análisis de preguntas; pruebas saber en las dinámicas de las clases; la elaboración de evaluaciones con preguntas tipo ICFES, el trabajo de comprensión de lecrtura en el marco del proyecto PILEO . Se desarrolla preicfes voluntario</v>
      </c>
      <c r="S1760" s="11" t="str">
        <f>IFERROR(IF(VLOOKUP(A1760,[12]PRIORIZADOS!$A:$S,19,FALSE)="","",VLOOKUP(A1760,[12]PRIORIZADOS!$A:$S,19,FALSE)),"")</f>
        <v xml:space="preserve">Continuar con la aplicación de las estrategias tendientes a la mejra de los resultados de las pruebasa saber 11. </v>
      </c>
      <c r="T1760" s="70" t="str">
        <f>IFERROR(IF(VLOOKUP(A1760,[12]PRIORIZADOS!$A:$T,20,FALSE)="","",VLOOKUP(A1760,[12]PRIORIZADOS!$A:$T,20,FALSE)),"")</f>
        <v>No</v>
      </c>
      <c r="U1760" s="11" t="str">
        <f>IFERROR(IF(VLOOKUP(A1760,[12]PRIORIZADOS!$A:$U,21,FALSE)="","",VLOOKUP(A1760,[12]PRIORIZADOS!$A:$U,21,FALSE)),"")</f>
        <v>Se hará verificación en caso de presentarse requerimiento</v>
      </c>
    </row>
    <row r="1761" spans="1:21" s="1" customFormat="1" ht="60">
      <c r="A1761" s="69">
        <f>IF([12]PRIORIZADOS!A91="","",[12]PRIORIZADOS!A91)</f>
        <v>1733</v>
      </c>
      <c r="B1761" s="70">
        <v>10</v>
      </c>
      <c r="C1761" s="11" t="str">
        <f>IFERROR(IF(VLOOKUP(A1761,[12]PRIORIZADOS!$A:$C,3,FALSE)="","",VLOOKUP(A1761,[12]PRIORIZADOS!$A:$C,3,FALSE)),"")</f>
        <v>SAN CRISTÓBAL</v>
      </c>
      <c r="D1761" s="11" t="str">
        <f>IFERROR(IF(VLOOKUP(A1761,[12]PRIORIZADOS!$A:$D,4,FALSE)="","",VLOOKUP(A1761,[12]PRIORIZADOS!$A:$D,4,FALSE)),"")</f>
        <v>PRIVADO</v>
      </c>
      <c r="E1761" s="11" t="str">
        <f>IFERROR(IF(VLOOKUP(A1761,[12]PRIORIZADOS!$A:$E,5,FALSE)="","",VLOOKUP(A1761,[12]PRIORIZADOS!$A:$E,5,FALSE)),"")</f>
        <v>EPBM</v>
      </c>
      <c r="F1761" s="11" t="str">
        <f>IFERROR(IF(VLOOKUP(A1761,[12]PRIORIZADOS!$A:$F,6,FALSE)="","",VLOOKUP(A1761,[12]PRIORIZADOS!$A:$F,6,FALSE)),"")</f>
        <v>COLEGIO_SUR_ORIENTAL_PANAMERICANO</v>
      </c>
      <c r="G1761" s="11" t="str">
        <f>IFERROR(IF(VLOOKUP(A1761,[12]PRIORIZADOS!$A:$G,7,FALSE)="","",VLOOKUP(A1761,[12]PRIORIZADOS!$A:$G,7,FALSE)),"")</f>
        <v>COLEGIO SUR ORIENTAL PANAMERICANO</v>
      </c>
      <c r="H1761" s="11" t="str">
        <f>IFERROR(IF(VLOOKUP(A1761,[12]PRIORIZADOS!$A:$H,8,FALSE)="","",VLOOKUP(A1761,[12]PRIORIZADOS!$A:$H,8,FALSE)),"")</f>
        <v>Autoevaluación Institucional y Pruebas SABER 11</v>
      </c>
      <c r="I1761" s="11" t="str">
        <f>IFERROR(IF(VLOOKUP(A1761,[12]PRIORIZADOS!$A:$I,9,FALSE)="","",VLOOKUP(A1761,[12]PRIORIZADOS!$A:$I,9,FALSE)),"")</f>
        <v>SEGUIMIENTO_Y_SUPERVISIÓN.</v>
      </c>
      <c r="J1761" s="11" t="str">
        <f>IFERROR(IF(VLOOKUP(A1761,[12]PRIORIZADOS!$A:$J,10,FALSE)="","",VLOOKUP(A1761,[12]PRIORIZADOS!$A:$J,10,FALSE)),"")</f>
        <v xml:space="preserve">Verificar la implementación por parte de los colegios, de acciones realizadas para la prevención y atención de las situaciones de convivencia en el entorno escolar, según lo establecido en la Directiva 01 de 2022 del MEN. </v>
      </c>
      <c r="K1761" s="11" t="str">
        <f>IFERROR(IF(VLOOKUP(A1761,[12]PRIORIZADOS!$A:$K,11,FALSE)="","",VLOOKUP(A1761,[12]PRIORIZADOS!$A:$K,11,FALSE)),"")</f>
        <v>JOSÉ ASDRUBAL PÉREZ GIRALDO</v>
      </c>
      <c r="L1761" s="11" t="str">
        <f>IFERROR(IF(VLOOKUP(A1761,[12]PRIORIZADOS!$A:$L,12,FALSE)="","",VLOOKUP(A1761,[12]PRIORIZADOS!$A:$L,12,FALSE)),"")</f>
        <v>XIMENA CAROLINA RAMÍREZ MORALES</v>
      </c>
      <c r="M1761" s="71">
        <f>IFERROR(IF(VLOOKUP(A1761,[12]PRIORIZADOS!$A:$M,13,FALSE)="","",VLOOKUP(A1761,[12]PRIORIZADOS!$A:$M,13,FALSE)),"")</f>
        <v>45751</v>
      </c>
      <c r="N1761" s="71">
        <f>IFERROR(IF(VLOOKUP(A1761,[12]PRIORIZADOS!$A:$N,14,FALSE)="","",VLOOKUP(A1761,[12]PRIORIZADOS!$A:$N,14,FALSE)),"")</f>
        <v>45821</v>
      </c>
      <c r="O1761" s="71">
        <f>IFERROR(IF(VLOOKUP(A1761,[12]PRIORIZADOS!$A:$O,15,FALSE)="","",VLOOKUP(A1761,[12]PRIORIZADOS!$A:$O,15,FALSE)),"")</f>
        <v>45821</v>
      </c>
      <c r="P1761" s="11" t="str">
        <f>IFERROR(IF(VLOOKUP(A1761,[12]PRIORIZADOS!$A:$P,16,FALSE)="","",VLOOKUP(A1761,[12]PRIORIZADOS!$A:$P,16,FALSE)),"")</f>
        <v>Visitas de evaluación con fines de mejoramiento</v>
      </c>
      <c r="Q1761" s="125" t="s">
        <v>387</v>
      </c>
      <c r="R1761" s="11" t="str">
        <f>IFERROR(IF(VLOOKUP(A1761,[12]PRIORIZADOS!$A:$R,18,FALSE)="","",VLOOKUP(A1761,[12]PRIORIZADOS!$A:$R,18,FALSE)),"")</f>
        <v>Se encuentra en la carpeta de  cada trabajador, la verificación de antedecentes por delitos sexuales.  Desde orientación, se han realizado talleres de promoción y prevención.</v>
      </c>
      <c r="S1761" s="11" t="str">
        <f>IFERROR(IF(VLOOKUP(A1761,[12]PRIORIZADOS!$A:$S,19,FALSE)="","",VLOOKUP(A1761,[12]PRIORIZADOS!$A:$S,19,FALSE)),"")</f>
        <v xml:space="preserve">Realizar la verificación de antecedentes cada 4 meses. Continuar con el desarrollo de actividades de promocón y prevención. </v>
      </c>
      <c r="T1761" s="70" t="str">
        <f>IFERROR(IF(VLOOKUP(A1761,[12]PRIORIZADOS!$A:$T,20,FALSE)="","",VLOOKUP(A1761,[12]PRIORIZADOS!$A:$T,20,FALSE)),"")</f>
        <v>No</v>
      </c>
      <c r="U1761" s="11" t="str">
        <f>IFERROR(IF(VLOOKUP(A1761,[12]PRIORIZADOS!$A:$U,21,FALSE)="","",VLOOKUP(A1761,[12]PRIORIZADOS!$A:$U,21,FALSE)),"")</f>
        <v>Se hará verificación en caso de presentarse requerimiento</v>
      </c>
    </row>
    <row r="1762" spans="1:21" s="1" customFormat="1" ht="72">
      <c r="A1762" s="69">
        <f>IF([12]PRIORIZADOS!A92="","",[12]PRIORIZADOS!A92)</f>
        <v>1734</v>
      </c>
      <c r="B1762" s="70">
        <v>10</v>
      </c>
      <c r="C1762" s="11" t="str">
        <f>IFERROR(IF(VLOOKUP(A1762,[12]PRIORIZADOS!$A:$C,3,FALSE)="","",VLOOKUP(A1762,[12]PRIORIZADOS!$A:$C,3,FALSE)),"")</f>
        <v>SAN CRISTÓBAL</v>
      </c>
      <c r="D1762" s="11" t="str">
        <f>IFERROR(IF(VLOOKUP(A1762,[12]PRIORIZADOS!$A:$D,4,FALSE)="","",VLOOKUP(A1762,[12]PRIORIZADOS!$A:$D,4,FALSE)),"")</f>
        <v>PRIVADO</v>
      </c>
      <c r="E1762" s="11" t="str">
        <f>IFERROR(IF(VLOOKUP(A1762,[12]PRIORIZADOS!$A:$E,5,FALSE)="","",VLOOKUP(A1762,[12]PRIORIZADOS!$A:$E,5,FALSE)),"")</f>
        <v>EPBM</v>
      </c>
      <c r="F1762" s="11" t="str">
        <f>IFERROR(IF(VLOOKUP(A1762,[12]PRIORIZADOS!$A:$F,6,FALSE)="","",VLOOKUP(A1762,[12]PRIORIZADOS!$A:$F,6,FALSE)),"")</f>
        <v>COLEGIO_SUR_ORIENTAL_PANAMERICANO</v>
      </c>
      <c r="G1762" s="11" t="str">
        <f>IFERROR(IF(VLOOKUP(A1762,[12]PRIORIZADOS!$A:$G,7,FALSE)="","",VLOOKUP(A1762,[12]PRIORIZADOS!$A:$G,7,FALSE)),"")</f>
        <v>COLEGIO SUR ORIENTAL PANAMERICANO</v>
      </c>
      <c r="H1762" s="11" t="str">
        <f>IFERROR(IF(VLOOKUP(A1762,[12]PRIORIZADOS!$A:$H,8,FALSE)="","",VLOOKUP(A1762,[12]PRIORIZADOS!$A:$H,8,FALSE)),"")</f>
        <v>Autoevaluación Institucional y Pruebas SABER 11</v>
      </c>
      <c r="I1762" s="11" t="str">
        <f>IFERROR(IF(VLOOKUP(A1762,[12]PRIORIZADOS!$A:$I,9,FALSE)="","",VLOOKUP(A1762,[12]PRIORIZADOS!$A:$I,9,FALSE)),"")</f>
        <v>SEGUIMIENTO_Y_SUPERVISIÓN.</v>
      </c>
      <c r="J1762" s="11" t="str">
        <f>IFERROR(IF(VLOOKUP(A1762,[12]PRIORIZADOS!$A:$J,10,FALSE)="","",VLOOKUP(A1762,[12]PRIORIZADOS!$A:$J,10,FALSE)),"")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62" s="11" t="str">
        <f>IFERROR(IF(VLOOKUP(A1762,[12]PRIORIZADOS!$A:$K,11,FALSE)="","",VLOOKUP(A1762,[12]PRIORIZADOS!$A:$K,11,FALSE)),"")</f>
        <v>JOSÉ ASDRUBAL PÉREZ GIRALDO</v>
      </c>
      <c r="L1762" s="11" t="str">
        <f>IFERROR(IF(VLOOKUP(A1762,[12]PRIORIZADOS!$A:$L,12,FALSE)="","",VLOOKUP(A1762,[12]PRIORIZADOS!$A:$L,12,FALSE)),"")</f>
        <v>XIMENA CAROLINA RAMÍREZ MORALES</v>
      </c>
      <c r="M1762" s="71">
        <f>IFERROR(IF(VLOOKUP(A1762,[12]PRIORIZADOS!$A:$M,13,FALSE)="","",VLOOKUP(A1762,[12]PRIORIZADOS!$A:$M,13,FALSE)),"")</f>
        <v>45751</v>
      </c>
      <c r="N1762" s="71">
        <f>IFERROR(IF(VLOOKUP(A1762,[12]PRIORIZADOS!$A:$N,14,FALSE)="","",VLOOKUP(A1762,[12]PRIORIZADOS!$A:$N,14,FALSE)),"")</f>
        <v>45821</v>
      </c>
      <c r="O1762" s="71">
        <f>IFERROR(IF(VLOOKUP(A1762,[12]PRIORIZADOS!$A:$O,15,FALSE)="","",VLOOKUP(A1762,[12]PRIORIZADOS!$A:$O,15,FALSE)),"")</f>
        <v>45821</v>
      </c>
      <c r="P1762" s="11" t="str">
        <f>IFERROR(IF(VLOOKUP(A1762,[12]PRIORIZADOS!$A:$P,16,FALSE)="","",VLOOKUP(A1762,[12]PRIORIZADOS!$A:$P,16,FALSE)),"")</f>
        <v>Visitas de evaluación con fines de mejoramiento</v>
      </c>
      <c r="Q1762" s="125" t="s">
        <v>387</v>
      </c>
      <c r="R1762" s="11" t="str">
        <f>IFERROR(IF(VLOOKUP(A1762,[12]PRIORIZADOS!$A:$R,18,FALSE)="","",VLOOKUP(A1762,[12]PRIORIZADOS!$A:$R,18,FALSE)),"")</f>
        <v>El colegio cuenta con un plan individual de cada menor, identificando su discapacidad, los menores tienen su evaluacion individual y el proceso de evaluacion conjuntamente con las familia</v>
      </c>
      <c r="S1762" s="11" t="str">
        <f>IFERROR(IF(VLOOKUP(A1762,[12]PRIORIZADOS!$A:$S,19,FALSE)="","",VLOOKUP(A1762,[12]PRIORIZADOS!$A:$S,19,FALSE)),"")</f>
        <v>Definir si el registro del apartado "ajustes razonables" se realizarán de manera física y digital.</v>
      </c>
      <c r="T1762" s="70" t="str">
        <f>IFERROR(IF(VLOOKUP(A1762,[12]PRIORIZADOS!$A:$T,20,FALSE)="","",VLOOKUP(A1762,[12]PRIORIZADOS!$A:$T,20,FALSE)),"")</f>
        <v>No</v>
      </c>
      <c r="U1762" s="11" t="str">
        <f>IFERROR(IF(VLOOKUP(A1762,[12]PRIORIZADOS!$A:$U,21,FALSE)="","",VLOOKUP(A1762,[12]PRIORIZADOS!$A:$U,21,FALSE)),"")</f>
        <v>Se hará verificación en caso de presentarse requerimiento</v>
      </c>
    </row>
    <row r="1763" spans="1:21" s="1" customFormat="1" ht="84">
      <c r="A1763" s="69">
        <f>IF([12]PRIORIZADOS!A93="","",[12]PRIORIZADOS!A93)</f>
        <v>1735</v>
      </c>
      <c r="B1763" s="70">
        <v>10</v>
      </c>
      <c r="C1763" s="11" t="str">
        <f>IFERROR(IF(VLOOKUP(A1763,[12]PRIORIZADOS!$A:$C,3,FALSE)="","",VLOOKUP(A1763,[12]PRIORIZADOS!$A:$C,3,FALSE)),"")</f>
        <v>SAN CRISTÓBAL</v>
      </c>
      <c r="D1763" s="11" t="str">
        <f>IFERROR(IF(VLOOKUP(A1763,[12]PRIORIZADOS!$A:$D,4,FALSE)="","",VLOOKUP(A1763,[12]PRIORIZADOS!$A:$D,4,FALSE)),"")</f>
        <v>PRIVADO</v>
      </c>
      <c r="E1763" s="11" t="str">
        <f>IFERROR(IF(VLOOKUP(A1763,[12]PRIORIZADOS!$A:$E,5,FALSE)="","",VLOOKUP(A1763,[12]PRIORIZADOS!$A:$E,5,FALSE)),"")</f>
        <v>EPBM</v>
      </c>
      <c r="F1763" s="11" t="str">
        <f>IFERROR(IF(VLOOKUP(A1763,[12]PRIORIZADOS!$A:$F,6,FALSE)="","",VLOOKUP(A1763,[12]PRIORIZADOS!$A:$F,6,FALSE)),"")</f>
        <v>COLEGIO_SUR_ORIENTAL_PANAMERICANO</v>
      </c>
      <c r="G1763" s="11" t="str">
        <f>IFERROR(IF(VLOOKUP(A1763,[12]PRIORIZADOS!$A:$G,7,FALSE)="","",VLOOKUP(A1763,[12]PRIORIZADOS!$A:$G,7,FALSE)),"")</f>
        <v>COLEGIO SUR ORIENTAL PANAMERICANO</v>
      </c>
      <c r="H1763" s="11" t="str">
        <f>IFERROR(IF(VLOOKUP(A1763,[12]PRIORIZADOS!$A:$H,8,FALSE)="","",VLOOKUP(A1763,[12]PRIORIZADOS!$A:$H,8,FALSE)),"")</f>
        <v>Autoevaluación Institucional y Pruebas SABER 11</v>
      </c>
      <c r="I1763" s="11" t="str">
        <f>IFERROR(IF(VLOOKUP(A1763,[12]PRIORIZADOS!$A:$I,9,FALSE)="","",VLOOKUP(A1763,[12]PRIORIZADOS!$A:$I,9,FALSE)),"")</f>
        <v>EVALUACIÓN_CON_FINES_DE_MEJORAMIENTO.</v>
      </c>
      <c r="J1763" s="11" t="str">
        <f>IFERROR(IF(VLOOKUP(A1763,[12]PRIORIZADOS!$A:$J,10,FALSE)="","",VLOOKUP(A1763,[12]PRIORIZADOS!$A:$J,10,FALSE)),"")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63" s="11" t="str">
        <f>IFERROR(IF(VLOOKUP(A1763,[12]PRIORIZADOS!$A:$K,11,FALSE)="","",VLOOKUP(A1763,[12]PRIORIZADOS!$A:$K,11,FALSE)),"")</f>
        <v>JOSÉ ASDRUBAL PÉREZ GIRALDO</v>
      </c>
      <c r="L1763" s="11" t="str">
        <f>IFERROR(IF(VLOOKUP(A1763,[12]PRIORIZADOS!$A:$L,12,FALSE)="","",VLOOKUP(A1763,[12]PRIORIZADOS!$A:$L,12,FALSE)),"")</f>
        <v>XIMENA CAROLINA RAMÍREZ MORALES</v>
      </c>
      <c r="M1763" s="71">
        <f>IFERROR(IF(VLOOKUP(A1763,[12]PRIORIZADOS!$A:$M,13,FALSE)="","",VLOOKUP(A1763,[12]PRIORIZADOS!$A:$M,13,FALSE)),"")</f>
        <v>45751</v>
      </c>
      <c r="N1763" s="71">
        <f>IFERROR(IF(VLOOKUP(A1763,[12]PRIORIZADOS!$A:$N,14,FALSE)="","",VLOOKUP(A1763,[12]PRIORIZADOS!$A:$N,14,FALSE)),"")</f>
        <v>45821</v>
      </c>
      <c r="O1763" s="71">
        <f>IFERROR(IF(VLOOKUP(A1763,[12]PRIORIZADOS!$A:$O,15,FALSE)="","",VLOOKUP(A1763,[12]PRIORIZADOS!$A:$O,15,FALSE)),"")</f>
        <v>45821</v>
      </c>
      <c r="P1763" s="11" t="str">
        <f>IFERROR(IF(VLOOKUP(A1763,[12]PRIORIZADOS!$A:$P,16,FALSE)="","",VLOOKUP(A1763,[12]PRIORIZADOS!$A:$P,16,FALSE)),"")</f>
        <v>Visitas de evaluación con fines de mejoramiento</v>
      </c>
      <c r="Q1763" s="125" t="s">
        <v>387</v>
      </c>
      <c r="R1763" s="11" t="str">
        <f>IFERROR(IF(VLOOKUP(A1763,[12]PRIORIZADOS!$A:$R,18,FALSE)="","",VLOOKUP(A1763,[12]PRIORIZADOS!$A:$R,18,FALSE)),"")</f>
        <v>El documento contiene los elementos normativos. Aportan evidencias de actas de socialización de febrero de 2025. Actualmente el documento está en proceso de actualización.</v>
      </c>
      <c r="S1763" s="11" t="str">
        <f>IFERROR(IF(VLOOKUP(A1763,[12]PRIORIZADOS!$A:$S,19,FALSE)="","",VLOOKUP(A1763,[12]PRIORIZADOS!$A:$S,19,FALSE)),"")</f>
        <v xml:space="preserve">Tener presente que los ajustes deben estar avalados por las instancias correspondientes. </v>
      </c>
      <c r="T1763" s="70" t="str">
        <f>IFERROR(IF(VLOOKUP(A1763,[12]PRIORIZADOS!$A:$T,20,FALSE)="","",VLOOKUP(A1763,[12]PRIORIZADOS!$A:$T,20,FALSE)),"")</f>
        <v>No</v>
      </c>
      <c r="U1763" s="11" t="str">
        <f>IFERROR(IF(VLOOKUP(A1763,[12]PRIORIZADOS!$A:$U,21,FALSE)="","",VLOOKUP(A1763,[12]PRIORIZADOS!$A:$U,21,FALSE)),"")</f>
        <v>Se hará verificación en caso de presentarse requerimiento</v>
      </c>
    </row>
    <row r="1764" spans="1:21" s="1" customFormat="1" ht="72">
      <c r="A1764" s="69">
        <f>IF([12]PRIORIZADOS!A94="","",[12]PRIORIZADOS!A94)</f>
        <v>1736</v>
      </c>
      <c r="B1764" s="70">
        <v>10</v>
      </c>
      <c r="C1764" s="11" t="str">
        <f>IFERROR(IF(VLOOKUP(A1764,[12]PRIORIZADOS!$A:$C,3,FALSE)="","",VLOOKUP(A1764,[12]PRIORIZADOS!$A:$C,3,FALSE)),"")</f>
        <v>SAN CRISTÓBAL</v>
      </c>
      <c r="D1764" s="11" t="str">
        <f>IFERROR(IF(VLOOKUP(A1764,[12]PRIORIZADOS!$A:$D,4,FALSE)="","",VLOOKUP(A1764,[12]PRIORIZADOS!$A:$D,4,FALSE)),"")</f>
        <v>PRIVADO</v>
      </c>
      <c r="E1764" s="11" t="str">
        <f>IFERROR(IF(VLOOKUP(A1764,[12]PRIORIZADOS!$A:$E,5,FALSE)="","",VLOOKUP(A1764,[12]PRIORIZADOS!$A:$E,5,FALSE)),"")</f>
        <v>EPBM</v>
      </c>
      <c r="F1764" s="11" t="str">
        <f>IFERROR(IF(VLOOKUP(A1764,[12]PRIORIZADOS!$A:$F,6,FALSE)="","",VLOOKUP(A1764,[12]PRIORIZADOS!$A:$F,6,FALSE)),"")</f>
        <v>COLEGIO_SUR_ORIENTAL_PANAMERICANO</v>
      </c>
      <c r="G1764" s="11" t="str">
        <f>IFERROR(IF(VLOOKUP(A1764,[12]PRIORIZADOS!$A:$G,7,FALSE)="","",VLOOKUP(A1764,[12]PRIORIZADOS!$A:$G,7,FALSE)),"")</f>
        <v>COLEGIO SUR ORIENTAL PANAMERICANO</v>
      </c>
      <c r="H1764" s="11" t="str">
        <f>IFERROR(IF(VLOOKUP(A1764,[12]PRIORIZADOS!$A:$H,8,FALSE)="","",VLOOKUP(A1764,[12]PRIORIZADOS!$A:$H,8,FALSE)),"")</f>
        <v>Autoevaluación Institucional y Pruebas SABER 11</v>
      </c>
      <c r="I1764" s="11" t="str">
        <f>IFERROR(IF(VLOOKUP(A1764,[12]PRIORIZADOS!$A:$I,9,FALSE)="","",VLOOKUP(A1764,[12]PRIORIZADOS!$A:$I,9,FALSE)),"")</f>
        <v>EVALUACIÓN_CON_FINES_DE_MEJORAMIENTO.</v>
      </c>
      <c r="J1764" s="11" t="str">
        <f>IFERROR(IF(VLOOKUP(A1764,[12]PRIORIZADOS!$A:$J,10,FALSE)="","",VLOOKUP(A1764,[12]PRIORIZADOS!$A:$J,10,FALSE)),"")</f>
        <v>Revisar la actualización, socialización e implementación del Sistema Institucional de Evaluación de Estudiantes - SIEE, en articulación con la actualización del PEI y la normatividad vigente.</v>
      </c>
      <c r="K1764" s="11" t="str">
        <f>IFERROR(IF(VLOOKUP(A1764,[12]PRIORIZADOS!$A:$K,11,FALSE)="","",VLOOKUP(A1764,[12]PRIORIZADOS!$A:$K,11,FALSE)),"")</f>
        <v>JOSÉ ASDRUBAL PÉREZ GIRALDO</v>
      </c>
      <c r="L1764" s="11" t="str">
        <f>IFERROR(IF(VLOOKUP(A1764,[12]PRIORIZADOS!$A:$L,12,FALSE)="","",VLOOKUP(A1764,[12]PRIORIZADOS!$A:$L,12,FALSE)),"")</f>
        <v>XIMENA CAROLINA RAMÍREZ MORALES</v>
      </c>
      <c r="M1764" s="71">
        <f>IFERROR(IF(VLOOKUP(A1764,[12]PRIORIZADOS!$A:$M,13,FALSE)="","",VLOOKUP(A1764,[12]PRIORIZADOS!$A:$M,13,FALSE)),"")</f>
        <v>45751</v>
      </c>
      <c r="N1764" s="71">
        <f>IFERROR(IF(VLOOKUP(A1764,[12]PRIORIZADOS!$A:$N,14,FALSE)="","",VLOOKUP(A1764,[12]PRIORIZADOS!$A:$N,14,FALSE)),"")</f>
        <v>45821</v>
      </c>
      <c r="O1764" s="71">
        <f>IFERROR(IF(VLOOKUP(A1764,[12]PRIORIZADOS!$A:$O,15,FALSE)="","",VLOOKUP(A1764,[12]PRIORIZADOS!$A:$O,15,FALSE)),"")</f>
        <v>45821</v>
      </c>
      <c r="P1764" s="11" t="str">
        <f>IFERROR(IF(VLOOKUP(A1764,[12]PRIORIZADOS!$A:$P,16,FALSE)="","",VLOOKUP(A1764,[12]PRIORIZADOS!$A:$P,16,FALSE)),"")</f>
        <v>Visitas de evaluación con fines de mejoramiento</v>
      </c>
      <c r="Q1764" s="125" t="s">
        <v>387</v>
      </c>
      <c r="R1764" s="11" t="str">
        <f>IFERROR(IF(VLOOKUP(A1764,[12]PRIORIZADOS!$A:$R,18,FALSE)="","",VLOOKUP(A1764,[12]PRIORIZADOS!$A:$R,18,FALSE)),"")</f>
        <v>El documento contiene los elementos normativos.  Se verifica acta Consejo de Padres del 04 de febrero de 2025 "Conocer el manual de convivencia y sistema de evaluación" firmada por representante de consejo de padres.</v>
      </c>
      <c r="S1764" s="11" t="str">
        <f>IFERROR(IF(VLOOKUP(A1764,[12]PRIORIZADOS!$A:$S,19,FALSE)="","",VLOOKUP(A1764,[12]PRIORIZADOS!$A:$S,19,FALSE)),"")</f>
        <v>Continuar con la revisión y ajustes a que haya lugar.</v>
      </c>
      <c r="T1764" s="70" t="str">
        <f>IFERROR(IF(VLOOKUP(A1764,[12]PRIORIZADOS!$A:$T,20,FALSE)="","",VLOOKUP(A1764,[12]PRIORIZADOS!$A:$T,20,FALSE)),"")</f>
        <v>No</v>
      </c>
      <c r="U1764" s="11" t="str">
        <f>IFERROR(IF(VLOOKUP(A1764,[12]PRIORIZADOS!$A:$U,21,FALSE)="","",VLOOKUP(A1764,[12]PRIORIZADOS!$A:$U,21,FALSE)),"")</f>
        <v xml:space="preserve">Se hará verificación en caso de presentarse requerimiento Se realizó encuentro el 7 de noviembre con el fin de verificar la actualización de los documentos institucionales. </v>
      </c>
    </row>
    <row r="1765" spans="1:21" s="1" customFormat="1" ht="48">
      <c r="A1765" s="69">
        <f>IF([12]PRIORIZADOS!A95="","",[12]PRIORIZADOS!A95)</f>
        <v>1737</v>
      </c>
      <c r="B1765" s="70">
        <v>10</v>
      </c>
      <c r="C1765" s="11" t="str">
        <f>IFERROR(IF(VLOOKUP(A1765,[12]PRIORIZADOS!$A:$C,3,FALSE)="","",VLOOKUP(A1765,[12]PRIORIZADOS!$A:$C,3,FALSE)),"")</f>
        <v>SAN CRISTÓBAL</v>
      </c>
      <c r="D1765" s="11" t="str">
        <f>IFERROR(IF(VLOOKUP(A1765,[12]PRIORIZADOS!$A:$D,4,FALSE)="","",VLOOKUP(A1765,[12]PRIORIZADOS!$A:$D,4,FALSE)),"")</f>
        <v>PRIVADO</v>
      </c>
      <c r="E1765" s="11" t="str">
        <f>IFERROR(IF(VLOOKUP(A1765,[12]PRIORIZADOS!$A:$E,5,FALSE)="","",VLOOKUP(A1765,[12]PRIORIZADOS!$A:$E,5,FALSE)),"")</f>
        <v>EPBM</v>
      </c>
      <c r="F1765" s="11" t="str">
        <f>IFERROR(IF(VLOOKUP(A1765,[12]PRIORIZADOS!$A:$F,6,FALSE)="","",VLOOKUP(A1765,[12]PRIORIZADOS!$A:$F,6,FALSE)),"")</f>
        <v>COLEGIO_SUR_ORIENTAL_PANAMERICANO</v>
      </c>
      <c r="G1765" s="11" t="str">
        <f>IFERROR(IF(VLOOKUP(A1765,[12]PRIORIZADOS!$A:$G,7,FALSE)="","",VLOOKUP(A1765,[12]PRIORIZADOS!$A:$G,7,FALSE)),"")</f>
        <v>COLEGIO SUR ORIENTAL PANAMERICANO</v>
      </c>
      <c r="H1765" s="11" t="str">
        <f>IFERROR(IF(VLOOKUP(A1765,[12]PRIORIZADOS!$A:$H,8,FALSE)="","",VLOOKUP(A1765,[12]PRIORIZADOS!$A:$H,8,FALSE)),"")</f>
        <v>Autoevaluación Institucional y Pruebas SABER 11</v>
      </c>
      <c r="I1765" s="11" t="str">
        <f>IFERROR(IF(VLOOKUP(A1765,[12]PRIORIZADOS!$A:$I,9,FALSE)="","",VLOOKUP(A1765,[12]PRIORIZADOS!$A:$I,9,FALSE)),"")</f>
        <v>EVALUACIÓN_CON_FINES_DE_MEJORAMIENTO.</v>
      </c>
      <c r="J1765" s="11" t="str">
        <f>IFERROR(IF(VLOOKUP(A1765,[12]PRIORIZADOS!$A:$J,10,FALSE)="","",VLOOKUP(A1765,[12]PRIORIZADOS!$A:$J,10,FALSE)),"")</f>
        <v>Revisar el calendario escolar, jornada escolar, la intensidad horaria mínima anual en cada nivel y las modificaciones que se realicen al mismo, de acuerdo con lo previsto en la normatividad vigente.</v>
      </c>
      <c r="K1765" s="11" t="str">
        <f>IFERROR(IF(VLOOKUP(A1765,[12]PRIORIZADOS!$A:$K,11,FALSE)="","",VLOOKUP(A1765,[12]PRIORIZADOS!$A:$K,11,FALSE)),"")</f>
        <v>JOSÉ ASDRUBAL PÉREZ GIRALDO</v>
      </c>
      <c r="L1765" s="11" t="str">
        <f>IFERROR(IF(VLOOKUP(A1765,[12]PRIORIZADOS!$A:$L,12,FALSE)="","",VLOOKUP(A1765,[12]PRIORIZADOS!$A:$L,12,FALSE)),"")</f>
        <v>XIMENA CAROLINA RAMÍREZ MORALES</v>
      </c>
      <c r="M1765" s="71">
        <f>IFERROR(IF(VLOOKUP(A1765,[12]PRIORIZADOS!$A:$M,13,FALSE)="","",VLOOKUP(A1765,[12]PRIORIZADOS!$A:$M,13,FALSE)),"")</f>
        <v>45751</v>
      </c>
      <c r="N1765" s="71">
        <f>IFERROR(IF(VLOOKUP(A1765,[12]PRIORIZADOS!$A:$N,14,FALSE)="","",VLOOKUP(A1765,[12]PRIORIZADOS!$A:$N,14,FALSE)),"")</f>
        <v>45821</v>
      </c>
      <c r="O1765" s="71">
        <f>IFERROR(IF(VLOOKUP(A1765,[12]PRIORIZADOS!$A:$O,15,FALSE)="","",VLOOKUP(A1765,[12]PRIORIZADOS!$A:$O,15,FALSE)),"")</f>
        <v>45821</v>
      </c>
      <c r="P1765" s="11" t="str">
        <f>IFERROR(IF(VLOOKUP(A1765,[12]PRIORIZADOS!$A:$P,16,FALSE)="","",VLOOKUP(A1765,[12]PRIORIZADOS!$A:$P,16,FALSE)),"")</f>
        <v>Visitas de evaluación con fines de mejoramiento</v>
      </c>
      <c r="Q1765" s="125" t="s">
        <v>387</v>
      </c>
      <c r="R1765" s="11" t="str">
        <f>IFERROR(IF(VLOOKUP(A1765,[12]PRIORIZADOS!$A:$R,18,FALSE)="","",VLOOKUP(A1765,[12]PRIORIZADOS!$A:$R,18,FALSE)),"")</f>
        <v>Cumple con las horas y semanas reglamentarias de acuerdo con la Resolución de la SED N° 1811 de 2024.</v>
      </c>
      <c r="S1765" s="11" t="str">
        <f>IFERROR(IF(VLOOKUP(A1765,[12]PRIORIZADOS!$A:$S,19,FALSE)="","",VLOOKUP(A1765,[12]PRIORIZADOS!$A:$S,19,FALSE)),"")</f>
        <v xml:space="preserve">Continuar con la prestación del servicio educativo de acuerdo con la normatividad vigente. </v>
      </c>
      <c r="T1765" s="70" t="str">
        <f>IFERROR(IF(VLOOKUP(A1765,[12]PRIORIZADOS!$A:$T,20,FALSE)="","",VLOOKUP(A1765,[12]PRIORIZADOS!$A:$T,20,FALSE)),"")</f>
        <v>No</v>
      </c>
      <c r="U1765" s="11" t="str">
        <f>IFERROR(IF(VLOOKUP(A1765,[12]PRIORIZADOS!$A:$U,21,FALSE)="","",VLOOKUP(A1765,[12]PRIORIZADOS!$A:$U,21,FALSE)),"")</f>
        <v>Se hará verificación en caso de presentarse requerimiento</v>
      </c>
    </row>
    <row r="1766" spans="1:21" s="1" customFormat="1" ht="96">
      <c r="A1766" s="69">
        <f>IF([12]PRIORIZADOS!A96="","",[12]PRIORIZADOS!A96)</f>
        <v>1738</v>
      </c>
      <c r="B1766" s="70">
        <v>10</v>
      </c>
      <c r="C1766" s="11" t="str">
        <f>IFERROR(IF(VLOOKUP(A1766,[12]PRIORIZADOS!$A:$C,3,FALSE)="","",VLOOKUP(A1766,[12]PRIORIZADOS!$A:$C,3,FALSE)),"")</f>
        <v>SAN CRISTÓBAL</v>
      </c>
      <c r="D1766" s="11" t="str">
        <f>IFERROR(IF(VLOOKUP(A1766,[12]PRIORIZADOS!$A:$D,4,FALSE)="","",VLOOKUP(A1766,[12]PRIORIZADOS!$A:$D,4,FALSE)),"")</f>
        <v>PRIVADO</v>
      </c>
      <c r="E1766" s="11" t="str">
        <f>IFERROR(IF(VLOOKUP(A1766,[12]PRIORIZADOS!$A:$E,5,FALSE)="","",VLOOKUP(A1766,[12]PRIORIZADOS!$A:$E,5,FALSE)),"")</f>
        <v>EPBM</v>
      </c>
      <c r="F1766" s="11" t="str">
        <f>IFERROR(IF(VLOOKUP(A1766,[12]PRIORIZADOS!$A:$F,6,FALSE)="","",VLOOKUP(A1766,[12]PRIORIZADOS!$A:$F,6,FALSE)),"")</f>
        <v>COLEGIO_SUR_ORIENTAL_PANAMERICANO</v>
      </c>
      <c r="G1766" s="11" t="str">
        <f>IFERROR(IF(VLOOKUP(A1766,[12]PRIORIZADOS!$A:$G,7,FALSE)="","",VLOOKUP(A1766,[12]PRIORIZADOS!$A:$G,7,FALSE)),"")</f>
        <v>COLEGIO SUR ORIENTAL PANAMERICANO</v>
      </c>
      <c r="H1766" s="11" t="str">
        <f>IFERROR(IF(VLOOKUP(A1766,[12]PRIORIZADOS!$A:$H,8,FALSE)="","",VLOOKUP(A1766,[12]PRIORIZADOS!$A:$H,8,FALSE)),"")</f>
        <v>Autoevaluación Institucional y Pruebas SABER 11</v>
      </c>
      <c r="I1766" s="11" t="str">
        <f>IFERROR(IF(VLOOKUP(A1766,[12]PRIORIZADOS!$A:$I,9,FALSE)="","",VLOOKUP(A1766,[12]PRIORIZADOS!$A:$I,9,FALSE)),"")</f>
        <v>EVALUACIÓN_CON_FINES_DE_MEJORAMIENTO.</v>
      </c>
      <c r="J1766" s="11" t="str">
        <f>IFERROR(IF(VLOOKUP(A1766,[12]PRIORIZADOS!$A:$J,10,FALSE)="","",VLOOKUP(A1766,[12]PRIORIZADOS!$A:$J,10,FALSE)),"")</f>
        <v>Verificar el funcionamiento del Gobierno Escolar e instancias de participación con base en la información sobre conformación reportada por la institución educativa.</v>
      </c>
      <c r="K1766" s="11" t="str">
        <f>IFERROR(IF(VLOOKUP(A1766,[12]PRIORIZADOS!$A:$K,11,FALSE)="","",VLOOKUP(A1766,[12]PRIORIZADOS!$A:$K,11,FALSE)),"")</f>
        <v>JOSÉ ASDRUBAL PÉREZ GIRALDO</v>
      </c>
      <c r="L1766" s="11" t="str">
        <f>IFERROR(IF(VLOOKUP(A1766,[12]PRIORIZADOS!$A:$L,12,FALSE)="","",VLOOKUP(A1766,[12]PRIORIZADOS!$A:$L,12,FALSE)),"")</f>
        <v>XIMENA CAROLINA RAMÍREZ MORALES</v>
      </c>
      <c r="M1766" s="71">
        <f>IFERROR(IF(VLOOKUP(A1766,[12]PRIORIZADOS!$A:$M,13,FALSE)="","",VLOOKUP(A1766,[12]PRIORIZADOS!$A:$M,13,FALSE)),"")</f>
        <v>45751</v>
      </c>
      <c r="N1766" s="71">
        <f>IFERROR(IF(VLOOKUP(A1766,[12]PRIORIZADOS!$A:$N,14,FALSE)="","",VLOOKUP(A1766,[12]PRIORIZADOS!$A:$N,14,FALSE)),"")</f>
        <v>45821</v>
      </c>
      <c r="O1766" s="71">
        <f>IFERROR(IF(VLOOKUP(A1766,[12]PRIORIZADOS!$A:$O,15,FALSE)="","",VLOOKUP(A1766,[12]PRIORIZADOS!$A:$O,15,FALSE)),"")</f>
        <v>45821</v>
      </c>
      <c r="P1766" s="11" t="str">
        <f>IFERROR(IF(VLOOKUP(A1766,[12]PRIORIZADOS!$A:$P,16,FALSE)="","",VLOOKUP(A1766,[12]PRIORIZADOS!$A:$P,16,FALSE)),"")</f>
        <v>Visitas de evaluación con fines de mejoramiento</v>
      </c>
      <c r="Q1766" s="125" t="s">
        <v>387</v>
      </c>
      <c r="R1766" s="11" t="str">
        <f>IFERROR(IF(VLOOKUP(A1766,[12]PRIORIZADOS!$A:$R,18,FALSE)="","",VLOOKUP(A1766,[12]PRIORIZADOS!$A:$R,18,FALSE)),"")</f>
        <v>En el manual de convivencia aparece lo referente a conformación y funciones. Se constata cronograma del proceso de elecccion, acta de resultados 28 feb 2025 de eleccion de personero estudiantil, eleccion de padres de familia 26 feb 2025, eleccion de comite de convivencia, consejo directivo.</v>
      </c>
      <c r="S1766" s="11" t="str">
        <f>IFERROR(IF(VLOOKUP(A1766,[12]PRIORIZADOS!$A:$S,19,FALSE)="","",VLOOKUP(A1766,[12]PRIORIZADOS!$A:$S,19,FALSE)),"")</f>
        <v>Se recomiendó perfeccionamiento, claridad funcional  y rol de las elecciones.</v>
      </c>
      <c r="T1766" s="70" t="str">
        <f>IFERROR(IF(VLOOKUP(A1766,[12]PRIORIZADOS!$A:$T,20,FALSE)="","",VLOOKUP(A1766,[12]PRIORIZADOS!$A:$T,20,FALSE)),"")</f>
        <v>No</v>
      </c>
      <c r="U1766" s="11" t="str">
        <f>IFERROR(IF(VLOOKUP(A1766,[12]PRIORIZADOS!$A:$U,21,FALSE)="","",VLOOKUP(A1766,[12]PRIORIZADOS!$A:$U,21,FALSE)),"")</f>
        <v>Se hará verificación en caso de presentarse requerimiento</v>
      </c>
    </row>
    <row r="1767" spans="1:21" s="1" customFormat="1" ht="72">
      <c r="A1767" s="69">
        <f>IF([12]PRIORIZADOS!A97="","",[12]PRIORIZADOS!A97)</f>
        <v>1739</v>
      </c>
      <c r="B1767" s="70">
        <v>10</v>
      </c>
      <c r="C1767" s="11" t="str">
        <f>IFERROR(IF(VLOOKUP(A1767,[12]PRIORIZADOS!$A:$C,3,FALSE)="","",VLOOKUP(A1767,[12]PRIORIZADOS!$A:$C,3,FALSE)),"")</f>
        <v>SAN CRISTÓBAL</v>
      </c>
      <c r="D1767" s="11" t="str">
        <f>IFERROR(IF(VLOOKUP(A1767,[12]PRIORIZADOS!$A:$D,4,FALSE)="","",VLOOKUP(A1767,[12]PRIORIZADOS!$A:$D,4,FALSE)),"")</f>
        <v>PRIVADO</v>
      </c>
      <c r="E1767" s="11" t="str">
        <f>IFERROR(IF(VLOOKUP(A1767,[12]PRIORIZADOS!$A:$E,5,FALSE)="","",VLOOKUP(A1767,[12]PRIORIZADOS!$A:$E,5,FALSE)),"")</f>
        <v>EPBM</v>
      </c>
      <c r="F1767" s="11" t="str">
        <f>IFERROR(IF(VLOOKUP(A1767,[12]PRIORIZADOS!$A:$F,6,FALSE)="","",VLOOKUP(A1767,[12]PRIORIZADOS!$A:$F,6,FALSE)),"")</f>
        <v>COLEGIO_SUR_ORIENTAL_PANAMERICANO</v>
      </c>
      <c r="G1767" s="11" t="str">
        <f>IFERROR(IF(VLOOKUP(A1767,[12]PRIORIZADOS!$A:$G,7,FALSE)="","",VLOOKUP(A1767,[12]PRIORIZADOS!$A:$G,7,FALSE)),"")</f>
        <v>COLEGIO SUR ORIENTAL PANAMERICANO</v>
      </c>
      <c r="H1767" s="11" t="str">
        <f>IFERROR(IF(VLOOKUP(A1767,[12]PRIORIZADOS!$A:$H,8,FALSE)="","",VLOOKUP(A1767,[12]PRIORIZADOS!$A:$H,8,FALSE)),"")</f>
        <v>Autoevaluación Institucional y Pruebas SABER 11</v>
      </c>
      <c r="I1767" s="11" t="str">
        <f>IFERROR(IF(VLOOKUP(A1767,[12]PRIORIZADOS!$A:$I,9,FALSE)="","",VLOOKUP(A1767,[12]PRIORIZADOS!$A:$I,9,FALSE)),"")</f>
        <v>EVALUACIÓN_CON_FINES_DE_MEJORAMIENTO.</v>
      </c>
      <c r="J1767" s="11" t="str">
        <f>IFERROR(IF(VLOOKUP(A1767,[12]PRIORIZADOS!$A:$J,10,FALSE)="","",VLOOKUP(A1767,[12]PRIORIZADOS!$A:$J,10,FALSE)),"")</f>
        <v>Verificar las condiciones en cuanto a: la estructura administrativa, condiciones de la planta física y medios educativos adecuados.</v>
      </c>
      <c r="K1767" s="11" t="str">
        <f>IFERROR(IF(VLOOKUP(A1767,[12]PRIORIZADOS!$A:$K,11,FALSE)="","",VLOOKUP(A1767,[12]PRIORIZADOS!$A:$K,11,FALSE)),"")</f>
        <v>JOSÉ ASDRUBAL PÉREZ GIRALDO</v>
      </c>
      <c r="L1767" s="11" t="str">
        <f>IFERROR(IF(VLOOKUP(A1767,[12]PRIORIZADOS!$A:$L,12,FALSE)="","",VLOOKUP(A1767,[12]PRIORIZADOS!$A:$L,12,FALSE)),"")</f>
        <v>XIMENA CAROLINA RAMÍREZ MORALES</v>
      </c>
      <c r="M1767" s="71">
        <f>IFERROR(IF(VLOOKUP(A1767,[12]PRIORIZADOS!$A:$M,13,FALSE)="","",VLOOKUP(A1767,[12]PRIORIZADOS!$A:$M,13,FALSE)),"")</f>
        <v>45751</v>
      </c>
      <c r="N1767" s="71">
        <f>IFERROR(IF(VLOOKUP(A1767,[12]PRIORIZADOS!$A:$N,14,FALSE)="","",VLOOKUP(A1767,[12]PRIORIZADOS!$A:$N,14,FALSE)),"")</f>
        <v>45821</v>
      </c>
      <c r="O1767" s="71">
        <f>IFERROR(IF(VLOOKUP(A1767,[12]PRIORIZADOS!$A:$O,15,FALSE)="","",VLOOKUP(A1767,[12]PRIORIZADOS!$A:$O,15,FALSE)),"")</f>
        <v>45821</v>
      </c>
      <c r="P1767" s="11" t="str">
        <f>IFERROR(IF(VLOOKUP(A1767,[12]PRIORIZADOS!$A:$P,16,FALSE)="","",VLOOKUP(A1767,[12]PRIORIZADOS!$A:$P,16,FALSE)),"")</f>
        <v>Visitas de evaluación con fines de mejoramiento</v>
      </c>
      <c r="Q1767" s="125" t="s">
        <v>387</v>
      </c>
      <c r="R1767" s="11" t="str">
        <f>IFERROR(IF(VLOOKUP(A1767,[12]PRIORIZADOS!$A:$R,18,FALSE)="","",VLOOKUP(A1767,[12]PRIORIZADOS!$A:$R,18,FALSE)),"")</f>
        <v xml:space="preserve">De acuerdo con el recorrido institucional realizado se observa mobiliario  con mantenimiento y en buen estado y la dotacion requerida para los estudiantes es suficiente. SE verifican actas de Secretaría de Salud  </v>
      </c>
      <c r="S1767" s="11" t="str">
        <f>IFERROR(IF(VLOOKUP(A1767,[12]PRIORIZADOS!$A:$S,19,FALSE)="","",VLOOKUP(A1767,[12]PRIORIZADOS!$A:$S,19,FALSE)),"")</f>
        <v xml:space="preserve">En el recorriido se evidenció subsanación de requerimientos de Secretaría de Salud. </v>
      </c>
      <c r="T1767" s="70" t="str">
        <f>IFERROR(IF(VLOOKUP(A1767,[12]PRIORIZADOS!$A:$T,20,FALSE)="","",VLOOKUP(A1767,[12]PRIORIZADOS!$A:$T,20,FALSE)),"")</f>
        <v>No</v>
      </c>
      <c r="U1767" s="11" t="str">
        <f>IFERROR(IF(VLOOKUP(A1767,[12]PRIORIZADOS!$A:$U,21,FALSE)="","",VLOOKUP(A1767,[12]PRIORIZADOS!$A:$U,21,FALSE)),"")</f>
        <v>Se hará verificación en caso de presentarse requerimiento</v>
      </c>
    </row>
    <row r="1768" spans="1:21" s="1" customFormat="1" ht="48">
      <c r="A1768" s="69">
        <f>IF([12]PRIORIZADOS!A98="","",[12]PRIORIZADOS!A98)</f>
        <v>1740</v>
      </c>
      <c r="B1768" s="70">
        <f>IFERROR(IF(VLOOKUP(A1768,[12]PRIORIZADOS!$A:$B,2,FALSE)="","",VLOOKUP(A1768,[12]PRIORIZADOS!$A:$B,2,FALSE)),"")</f>
        <v>11</v>
      </c>
      <c r="C1768" s="11" t="str">
        <f>IFERROR(IF(VLOOKUP(A1768,[12]PRIORIZADOS!$A:$C,3,FALSE)="","",VLOOKUP(A1768,[12]PRIORIZADOS!$A:$C,3,FALSE)),"")</f>
        <v>SAN CRISTÓBAL</v>
      </c>
      <c r="D1768" s="11" t="str">
        <f>IFERROR(IF(VLOOKUP(A1768,[12]PRIORIZADOS!$A:$D,4,FALSE)="","",VLOOKUP(A1768,[12]PRIORIZADOS!$A:$D,4,FALSE)),"")</f>
        <v>PRIVADO</v>
      </c>
      <c r="E1768" s="11" t="str">
        <f>IFERROR(IF(VLOOKUP(A1768,[12]PRIORIZADOS!$A:$E,5,FALSE)="","",VLOOKUP(A1768,[12]PRIORIZADOS!$A:$E,5,FALSE)),"")</f>
        <v>EPBM</v>
      </c>
      <c r="F1768" s="11" t="str">
        <f>IFERROR(IF(VLOOKUP(A1768,[12]PRIORIZADOS!$A:$F,6,FALSE)="","",VLOOKUP(A1768,[12]PRIORIZADOS!$A:$F,6,FALSE)),"")</f>
        <v>FUNDACION_DE_EDUCACION_PARA_LA_VIDA_FUNDESCO</v>
      </c>
      <c r="G1768" s="11" t="str">
        <f>IFERROR(IF(VLOOKUP(A1768,[12]PRIORIZADOS!$A:$G,7,FALSE)="","",VLOOKUP(A1768,[12]PRIORIZADOS!$A:$G,7,FALSE)),"")</f>
        <v>FUNDACION DE EDUCACION PARA LA VIDA FUNDESCO</v>
      </c>
      <c r="H1768" s="11" t="str">
        <f>IFERROR(IF(VLOOKUP(A1768,[12]PRIORIZADOS!$A:$H,8,FALSE)="","",VLOOKUP(A1768,[12]PRIORIZADOS!$A:$H,8,FALSE)),"")</f>
        <v>Autoevaluación Institucional y Pruebas SABER 11</v>
      </c>
      <c r="I1768" s="11" t="str">
        <f>IFERROR(IF(VLOOKUP(A1768,[12]PRIORIZADOS!$A:$I,9,FALSE)="","",VLOOKUP(A1768,[12]PRIORIZADOS!$A:$I,9,FALSE)),"")</f>
        <v>SEGUIMIENTO_Y_SUPERVISIÓN.</v>
      </c>
      <c r="J1768" s="11" t="str">
        <f>IFERROR(IF(VLOOKUP(A1768,[12]PRIORIZADOS!$A:$J,10,FALSE)="","",VLOOKUP(A1768,[12]PRIORIZADOS!$A:$J,10,FALSE)),"")</f>
        <v>Realizar visitas para verificar la información registrada sobre la autoevaluación institucional en el aplicativo EVI, a los establecimientos de educación formal no oficial.</v>
      </c>
      <c r="K1768" s="11" t="str">
        <f>IFERROR(IF(VLOOKUP(A1768,[12]PRIORIZADOS!$A:$K,11,FALSE)="","",VLOOKUP(A1768,[12]PRIORIZADOS!$A:$K,11,FALSE)),"")</f>
        <v>XIMENA CAROLINA RAMÍREZ MORALES</v>
      </c>
      <c r="L1768" s="11" t="str">
        <f>IFERROR(IF(VLOOKUP(A1768,[12]PRIORIZADOS!$A:$L,12,FALSE)="","",VLOOKUP(A1768,[12]PRIORIZADOS!$A:$L,12,FALSE)),"")</f>
        <v>JUANITA LINA CAROLINA RAMÍREZ LÓPEZ</v>
      </c>
      <c r="M1768" s="71">
        <f>IFERROR(IF(VLOOKUP(A1768,[12]PRIORIZADOS!$A:$M,13,FALSE)="","",VLOOKUP(A1768,[12]PRIORIZADOS!$A:$M,13,FALSE)),"")</f>
        <v>45744</v>
      </c>
      <c r="N1768" s="71">
        <f>IFERROR(IF(VLOOKUP(A1768,[12]PRIORIZADOS!$A:$N,14,FALSE)="","",VLOOKUP(A1768,[12]PRIORIZADOS!$A:$N,14,FALSE)),"")</f>
        <v>45750</v>
      </c>
      <c r="O1768" s="71">
        <f>IFERROR(IF(VLOOKUP(A1768,[12]PRIORIZADOS!$A:$O,15,FALSE)="","",VLOOKUP(A1768,[12]PRIORIZADOS!$A:$O,15,FALSE)),"")</f>
        <v>45750</v>
      </c>
      <c r="P1768" s="11" t="str">
        <f>IFERROR(IF(VLOOKUP(A1768,[12]PRIORIZADOS!$A:$P,16,FALSE)="","",VLOOKUP(A1768,[12]PRIORIZADOS!$A:$P,16,FALSE)),"")</f>
        <v>Visitas de evaluación con fines de mejoramiento</v>
      </c>
      <c r="Q1768" s="125" t="s">
        <v>388</v>
      </c>
      <c r="R1768" s="11" t="str">
        <f>IFERROR(IF(VLOOKUP(A1768,[12]PRIORIZADOS!$A:$R,18,FALSE)="","",VLOOKUP(A1768,[12]PRIORIZADOS!$A:$R,18,FALSE)),"")</f>
        <v>La IE tiene publicada la resolución de costos. Presentan recibos donde se evidencia que cobran por debajo de lo autorizado.</v>
      </c>
      <c r="S1768" s="11" t="str">
        <f>IFERROR(IF(VLOOKUP(A1768,[12]PRIORIZADOS!$A:$S,19,FALSE)="","",VLOOKUP(A1768,[12]PRIORIZADOS!$A:$S,19,FALSE)),"")</f>
        <v>Se evidencia que la institución cumple con lo establecido en la resolución.</v>
      </c>
      <c r="T1768" s="70" t="str">
        <f>IFERROR(IF(VLOOKUP(A1768,[12]PRIORIZADOS!$A:$T,20,FALSE)="","",VLOOKUP(A1768,[12]PRIORIZADOS!$A:$T,20,FALSE)),"")</f>
        <v>No</v>
      </c>
      <c r="U1768" s="11" t="str">
        <f>IFERROR(IF(VLOOKUP(A1768,[12]PRIORIZADOS!$A:$U,21,FALSE)="","",VLOOKUP(A1768,[12]PRIORIZADOS!$A:$U,21,FALSE)),"")</f>
        <v>Se hará verificación en caso de presentarse requerimiento</v>
      </c>
    </row>
    <row r="1769" spans="1:21" s="1" customFormat="1" ht="60">
      <c r="A1769" s="69">
        <f>IF([12]PRIORIZADOS!A99="","",[12]PRIORIZADOS!A99)</f>
        <v>1741</v>
      </c>
      <c r="B1769" s="70">
        <v>11</v>
      </c>
      <c r="C1769" s="11" t="str">
        <f>IFERROR(IF(VLOOKUP(A1769,[12]PRIORIZADOS!$A:$C,3,FALSE)="","",VLOOKUP(A1769,[12]PRIORIZADOS!$A:$C,3,FALSE)),"")</f>
        <v>SAN CRISTÓBAL</v>
      </c>
      <c r="D1769" s="11" t="str">
        <f>IFERROR(IF(VLOOKUP(A1769,[12]PRIORIZADOS!$A:$D,4,FALSE)="","",VLOOKUP(A1769,[12]PRIORIZADOS!$A:$D,4,FALSE)),"")</f>
        <v>PRIVADO</v>
      </c>
      <c r="E1769" s="11" t="str">
        <f>IFERROR(IF(VLOOKUP(A1769,[12]PRIORIZADOS!$A:$E,5,FALSE)="","",VLOOKUP(A1769,[12]PRIORIZADOS!$A:$E,5,FALSE)),"")</f>
        <v>EPBM</v>
      </c>
      <c r="F1769" s="11" t="str">
        <f>IFERROR(IF(VLOOKUP(A1769,[12]PRIORIZADOS!$A:$F,6,FALSE)="","",VLOOKUP(A1769,[12]PRIORIZADOS!$A:$F,6,FALSE)),"")</f>
        <v>FUNDACION_DE_EDUCACION_PARA_LA_VIDA_FUNDESCO</v>
      </c>
      <c r="G1769" s="11" t="str">
        <f>IFERROR(IF(VLOOKUP(A1769,[12]PRIORIZADOS!$A:$G,7,FALSE)="","",VLOOKUP(A1769,[12]PRIORIZADOS!$A:$G,7,FALSE)),"")</f>
        <v>FUNDACION DE EDUCACION PARA LA VIDA FUNDESCO</v>
      </c>
      <c r="H1769" s="11" t="str">
        <f>IFERROR(IF(VLOOKUP(A1769,[12]PRIORIZADOS!$A:$H,8,FALSE)="","",VLOOKUP(A1769,[12]PRIORIZADOS!$A:$H,8,FALSE)),"")</f>
        <v>Autoevaluación Institucional y Pruebas SABER 11</v>
      </c>
      <c r="I1769" s="11" t="str">
        <f>IFERROR(IF(VLOOKUP(A1769,[12]PRIORIZADOS!$A:$I,9,FALSE)="","",VLOOKUP(A1769,[12]PRIORIZADOS!$A:$I,9,FALSE)),"")</f>
        <v>SEGUIMIENTO_Y_SUPERVISIÓN.</v>
      </c>
      <c r="J1769" s="11" t="str">
        <f>IFERROR(IF(VLOOKUP(A1769,[12]PRIORIZADOS!$A:$J,10,FALSE)="","",VLOOKUP(A1769,[12]PRIORIZADOS!$A:$J,10,FALSE)),"")</f>
        <v>Proponer estrategias en la formulación, verificar su elaboración y realizar seguimiento semestral al desarrollo de  las acciones establecidas en los planes de mejoramiento por pruebas SABER 11 de los establecimientos de educación formal.</v>
      </c>
      <c r="K1769" s="11" t="str">
        <f>IFERROR(IF(VLOOKUP(A1769,[12]PRIORIZADOS!$A:$K,11,FALSE)="","",VLOOKUP(A1769,[12]PRIORIZADOS!$A:$K,11,FALSE)),"")</f>
        <v>XIMENA CAROLINA RAMÍREZ MORALES</v>
      </c>
      <c r="L1769" s="11" t="str">
        <f>IFERROR(IF(VLOOKUP(A1769,[12]PRIORIZADOS!$A:$L,12,FALSE)="","",VLOOKUP(A1769,[12]PRIORIZADOS!$A:$L,12,FALSE)),"")</f>
        <v>JUANITA LINA CAROLINA RAMÍREZ LÓPEZ</v>
      </c>
      <c r="M1769" s="71">
        <f>IFERROR(IF(VLOOKUP(A1769,[12]PRIORIZADOS!$A:$M,13,FALSE)="","",VLOOKUP(A1769,[12]PRIORIZADOS!$A:$M,13,FALSE)),"")</f>
        <v>45744</v>
      </c>
      <c r="N1769" s="71">
        <f>IFERROR(IF(VLOOKUP(A1769,[12]PRIORIZADOS!$A:$N,14,FALSE)="","",VLOOKUP(A1769,[12]PRIORIZADOS!$A:$N,14,FALSE)),"")</f>
        <v>45750</v>
      </c>
      <c r="O1769" s="71">
        <f>IFERROR(IF(VLOOKUP(A1769,[12]PRIORIZADOS!$A:$O,15,FALSE)="","",VLOOKUP(A1769,[12]PRIORIZADOS!$A:$O,15,FALSE)),"")</f>
        <v>45750</v>
      </c>
      <c r="P1769" s="11" t="str">
        <f>IFERROR(IF(VLOOKUP(A1769,[12]PRIORIZADOS!$A:$P,16,FALSE)="","",VLOOKUP(A1769,[12]PRIORIZADOS!$A:$P,16,FALSE)),"")</f>
        <v>Visitas de evaluación con fines de mejoramiento</v>
      </c>
      <c r="Q1769" s="125" t="s">
        <v>388</v>
      </c>
      <c r="R1769" s="11" t="str">
        <f>IFERROR(IF(VLOOKUP(A1769,[12]PRIORIZADOS!$A:$R,18,FALSE)="","",VLOOKUP(A1769,[12]PRIORIZADOS!$A:$R,18,FALSE)),"")</f>
        <v>La coordinadora informa que se dispone de una hora semanal de preparación para las pruebas SABER. Aporta horario.</v>
      </c>
      <c r="S1769" s="11" t="str">
        <f>IFERROR(IF(VLOOKUP(A1769,[12]PRIORIZADOS!$A:$S,19,FALSE)="","",VLOOKUP(A1769,[12]PRIORIZADOS!$A:$S,19,FALSE)),"")</f>
        <v xml:space="preserve">Generar nuevas estrategias encaminadas a fortalecer los diferentes componentes que evalúa la prueba. </v>
      </c>
      <c r="T1769" s="70" t="str">
        <f>IFERROR(IF(VLOOKUP(A1769,[12]PRIORIZADOS!$A:$T,20,FALSE)="","",VLOOKUP(A1769,[12]PRIORIZADOS!$A:$T,20,FALSE)),"")</f>
        <v>Si</v>
      </c>
      <c r="U1769" s="11" t="str">
        <f>IFERROR(IF(VLOOKUP(A1769,[12]PRIORIZADOS!$A:$U,21,FALSE)="","",VLOOKUP(A1769,[12]PRIORIZADOS!$A:$U,21,FALSE)),"")</f>
        <v>Ajustes curriculares a partir de los análisis de los resultados.Se realizó encuentro el 7 de  noviembre con el din de hacer seguimiento . Se instó a la nstitución a continuar dando cumplimento  lo establecido en el plan de mejoramiento.</v>
      </c>
    </row>
    <row r="1770" spans="1:21" s="1" customFormat="1" ht="48">
      <c r="A1770" s="69">
        <f>IF([12]PRIORIZADOS!A100="","",[12]PRIORIZADOS!A100)</f>
        <v>1742</v>
      </c>
      <c r="B1770" s="70">
        <v>11</v>
      </c>
      <c r="C1770" s="11" t="str">
        <f>IFERROR(IF(VLOOKUP(A1770,[12]PRIORIZADOS!$A:$C,3,FALSE)="","",VLOOKUP(A1770,[12]PRIORIZADOS!$A:$C,3,FALSE)),"")</f>
        <v>SAN CRISTÓBAL</v>
      </c>
      <c r="D1770" s="11" t="str">
        <f>IFERROR(IF(VLOOKUP(A1770,[12]PRIORIZADOS!$A:$D,4,FALSE)="","",VLOOKUP(A1770,[12]PRIORIZADOS!$A:$D,4,FALSE)),"")</f>
        <v>PRIVADO</v>
      </c>
      <c r="E1770" s="11" t="str">
        <f>IFERROR(IF(VLOOKUP(A1770,[12]PRIORIZADOS!$A:$E,5,FALSE)="","",VLOOKUP(A1770,[12]PRIORIZADOS!$A:$E,5,FALSE)),"")</f>
        <v>EPBM</v>
      </c>
      <c r="F1770" s="11" t="str">
        <f>IFERROR(IF(VLOOKUP(A1770,[12]PRIORIZADOS!$A:$F,6,FALSE)="","",VLOOKUP(A1770,[12]PRIORIZADOS!$A:$F,6,FALSE)),"")</f>
        <v>FUNDACION_DE_EDUCACION_PARA_LA_VIDA_FUNDESCO</v>
      </c>
      <c r="G1770" s="11" t="str">
        <f>IFERROR(IF(VLOOKUP(A1770,[12]PRIORIZADOS!$A:$G,7,FALSE)="","",VLOOKUP(A1770,[12]PRIORIZADOS!$A:$G,7,FALSE)),"")</f>
        <v>FUNDACION DE EDUCACION PARA LA VIDA FUNDESCO</v>
      </c>
      <c r="H1770" s="11" t="str">
        <f>IFERROR(IF(VLOOKUP(A1770,[12]PRIORIZADOS!$A:$H,8,FALSE)="","",VLOOKUP(A1770,[12]PRIORIZADOS!$A:$H,8,FALSE)),"")</f>
        <v>Autoevaluación Institucional y Pruebas SABER 11</v>
      </c>
      <c r="I1770" s="11" t="str">
        <f>IFERROR(IF(VLOOKUP(A1770,[12]PRIORIZADOS!$A:$I,9,FALSE)="","",VLOOKUP(A1770,[12]PRIORIZADOS!$A:$I,9,FALSE)),"")</f>
        <v>SEGUIMIENTO_Y_SUPERVISIÓN.</v>
      </c>
      <c r="J1770" s="11" t="str">
        <f>IFERROR(IF(VLOOKUP(A1770,[12]PRIORIZADOS!$A:$J,10,FALSE)="","",VLOOKUP(A1770,[12]PRIORIZADOS!$A:$J,10,FALSE)),"")</f>
        <v xml:space="preserve">Verificar la implementación por parte de los colegios, de acciones realizadas para la prevención y atención de las situaciones de convivencia en el entorno escolar, según lo establecido en la Directiva 01 de 2022 del MEN. </v>
      </c>
      <c r="K1770" s="11" t="str">
        <f>IFERROR(IF(VLOOKUP(A1770,[12]PRIORIZADOS!$A:$K,11,FALSE)="","",VLOOKUP(A1770,[12]PRIORIZADOS!$A:$K,11,FALSE)),"")</f>
        <v>XIMENA CAROLINA RAMÍREZ MORALES</v>
      </c>
      <c r="L1770" s="11" t="str">
        <f>IFERROR(IF(VLOOKUP(A1770,[12]PRIORIZADOS!$A:$L,12,FALSE)="","",VLOOKUP(A1770,[12]PRIORIZADOS!$A:$L,12,FALSE)),"")</f>
        <v>JUANITA LINA CAROLINA RAMÍREZ LÓPEZ</v>
      </c>
      <c r="M1770" s="71">
        <f>IFERROR(IF(VLOOKUP(A1770,[12]PRIORIZADOS!$A:$M,13,FALSE)="","",VLOOKUP(A1770,[12]PRIORIZADOS!$A:$M,13,FALSE)),"")</f>
        <v>45744</v>
      </c>
      <c r="N1770" s="71">
        <f>IFERROR(IF(VLOOKUP(A1770,[12]PRIORIZADOS!$A:$N,14,FALSE)="","",VLOOKUP(A1770,[12]PRIORIZADOS!$A:$N,14,FALSE)),"")</f>
        <v>45750</v>
      </c>
      <c r="O1770" s="71">
        <f>IFERROR(IF(VLOOKUP(A1770,[12]PRIORIZADOS!$A:$O,15,FALSE)="","",VLOOKUP(A1770,[12]PRIORIZADOS!$A:$O,15,FALSE)),"")</f>
        <v>45750</v>
      </c>
      <c r="P1770" s="11" t="str">
        <f>IFERROR(IF(VLOOKUP(A1770,[12]PRIORIZADOS!$A:$P,16,FALSE)="","",VLOOKUP(A1770,[12]PRIORIZADOS!$A:$P,16,FALSE)),"")</f>
        <v>Visitas de evaluación con fines de mejoramiento</v>
      </c>
      <c r="Q1770" s="125" t="s">
        <v>388</v>
      </c>
      <c r="R1770" s="11" t="str">
        <f>IFERROR(IF(VLOOKUP(A1770,[12]PRIORIZADOS!$A:$R,18,FALSE)="","",VLOOKUP(A1770,[12]PRIORIZADOS!$A:$R,18,FALSE)),"")</f>
        <v>La coordina refiere que realizan talleres de promoción y prevención en las temáticas que se requieren. Se encuentra verificación de antecedentes por delitos sexuales.</v>
      </c>
      <c r="S1770" s="11" t="str">
        <f>IFERROR(IF(VLOOKUP(A1770,[12]PRIORIZADOS!$A:$S,19,FALSE)="","",VLOOKUP(A1770,[12]PRIORIZADOS!$A:$S,19,FALSE)),"")</f>
        <v xml:space="preserve">Se sugiere sistematizar la información para que sea notoría la organización y planeación. </v>
      </c>
      <c r="T1770" s="70" t="str">
        <f>IFERROR(IF(VLOOKUP(A1770,[12]PRIORIZADOS!$A:$T,20,FALSE)="","",VLOOKUP(A1770,[12]PRIORIZADOS!$A:$T,20,FALSE)),"")</f>
        <v>No</v>
      </c>
      <c r="U1770" s="11" t="str">
        <f>IFERROR(IF(VLOOKUP(A1770,[12]PRIORIZADOS!$A:$U,21,FALSE)="","",VLOOKUP(A1770,[12]PRIORIZADOS!$A:$U,21,FALSE)),"")</f>
        <v>Se hará verificación en caso de presentarse requerimiento</v>
      </c>
    </row>
    <row r="1771" spans="1:21" s="1" customFormat="1" ht="72">
      <c r="A1771" s="69">
        <f>IF([12]PRIORIZADOS!A101="","",[12]PRIORIZADOS!A101)</f>
        <v>1743</v>
      </c>
      <c r="B1771" s="70">
        <v>11</v>
      </c>
      <c r="C1771" s="11" t="str">
        <f>IFERROR(IF(VLOOKUP(A1771,[12]PRIORIZADOS!$A:$C,3,FALSE)="","",VLOOKUP(A1771,[12]PRIORIZADOS!$A:$C,3,FALSE)),"")</f>
        <v>SAN CRISTÓBAL</v>
      </c>
      <c r="D1771" s="11" t="str">
        <f>IFERROR(IF(VLOOKUP(A1771,[12]PRIORIZADOS!$A:$D,4,FALSE)="","",VLOOKUP(A1771,[12]PRIORIZADOS!$A:$D,4,FALSE)),"")</f>
        <v>PRIVADO</v>
      </c>
      <c r="E1771" s="11" t="str">
        <f>IFERROR(IF(VLOOKUP(A1771,[12]PRIORIZADOS!$A:$E,5,FALSE)="","",VLOOKUP(A1771,[12]PRIORIZADOS!$A:$E,5,FALSE)),"")</f>
        <v>EPBM</v>
      </c>
      <c r="F1771" s="11" t="str">
        <f>IFERROR(IF(VLOOKUP(A1771,[12]PRIORIZADOS!$A:$F,6,FALSE)="","",VLOOKUP(A1771,[12]PRIORIZADOS!$A:$F,6,FALSE)),"")</f>
        <v>FUNDACION_DE_EDUCACION_PARA_LA_VIDA_FUNDESCO</v>
      </c>
      <c r="G1771" s="11" t="str">
        <f>IFERROR(IF(VLOOKUP(A1771,[12]PRIORIZADOS!$A:$G,7,FALSE)="","",VLOOKUP(A1771,[12]PRIORIZADOS!$A:$G,7,FALSE)),"")</f>
        <v>FUNDACION DE EDUCACION PARA LA VIDA FUNDESCO</v>
      </c>
      <c r="H1771" s="11" t="str">
        <f>IFERROR(IF(VLOOKUP(A1771,[12]PRIORIZADOS!$A:$H,8,FALSE)="","",VLOOKUP(A1771,[12]PRIORIZADOS!$A:$H,8,FALSE)),"")</f>
        <v>Autoevaluación Institucional y Pruebas SABER 11</v>
      </c>
      <c r="I1771" s="11" t="str">
        <f>IFERROR(IF(VLOOKUP(A1771,[12]PRIORIZADOS!$A:$I,9,FALSE)="","",VLOOKUP(A1771,[12]PRIORIZADOS!$A:$I,9,FALSE)),"")</f>
        <v>SEGUIMIENTO_Y_SUPERVISIÓN.</v>
      </c>
      <c r="J1771" s="11" t="str">
        <f>IFERROR(IF(VLOOKUP(A1771,[12]PRIORIZADOS!$A:$J,10,FALSE)="","",VLOOKUP(A1771,[12]PRIORIZADOS!$A:$J,10,FALSE)),"")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71" s="11" t="str">
        <f>IFERROR(IF(VLOOKUP(A1771,[12]PRIORIZADOS!$A:$K,11,FALSE)="","",VLOOKUP(A1771,[12]PRIORIZADOS!$A:$K,11,FALSE)),"")</f>
        <v>XIMENA CAROLINA RAMÍREZ MORALES</v>
      </c>
      <c r="L1771" s="11" t="str">
        <f>IFERROR(IF(VLOOKUP(A1771,[12]PRIORIZADOS!$A:$L,12,FALSE)="","",VLOOKUP(A1771,[12]PRIORIZADOS!$A:$L,12,FALSE)),"")</f>
        <v>JUANITA LINA CAROLINA RAMÍREZ LÓPEZ</v>
      </c>
      <c r="M1771" s="71">
        <f>IFERROR(IF(VLOOKUP(A1771,[12]PRIORIZADOS!$A:$M,13,FALSE)="","",VLOOKUP(A1771,[12]PRIORIZADOS!$A:$M,13,FALSE)),"")</f>
        <v>45744</v>
      </c>
      <c r="N1771" s="71">
        <f>IFERROR(IF(VLOOKUP(A1771,[12]PRIORIZADOS!$A:$N,14,FALSE)="","",VLOOKUP(A1771,[12]PRIORIZADOS!$A:$N,14,FALSE)),"")</f>
        <v>45750</v>
      </c>
      <c r="O1771" s="71">
        <f>IFERROR(IF(VLOOKUP(A1771,[12]PRIORIZADOS!$A:$O,15,FALSE)="","",VLOOKUP(A1771,[12]PRIORIZADOS!$A:$O,15,FALSE)),"")</f>
        <v>45750</v>
      </c>
      <c r="P1771" s="11" t="str">
        <f>IFERROR(IF(VLOOKUP(A1771,[12]PRIORIZADOS!$A:$P,16,FALSE)="","",VLOOKUP(A1771,[12]PRIORIZADOS!$A:$P,16,FALSE)),"")</f>
        <v>Visitas de evaluación con fines de mejoramiento</v>
      </c>
      <c r="Q1771" s="125" t="s">
        <v>388</v>
      </c>
      <c r="R1771" s="11" t="str">
        <f>IFERROR(IF(VLOOKUP(A1771,[12]PRIORIZADOS!$A:$R,18,FALSE)="","",VLOOKUP(A1771,[12]PRIORIZADOS!$A:$R,18,FALSE)),"")</f>
        <v>La IE no presenta el Plan Individual de Ajustes Razonables del estudiante con discapacidad. Aporta un  documento con estrategias de acompañamiento.</v>
      </c>
      <c r="S1771" s="11" t="str">
        <f>IFERROR(IF(VLOOKUP(A1771,[12]PRIORIZADOS!$A:$S,19,FALSE)="","",VLOOKUP(A1771,[12]PRIORIZADOS!$A:$S,19,FALSE)),"")</f>
        <v>Elaborar el Plan Individual de Ajustes Razonables - PIAR haciendo uso de los formatos correspondientes</v>
      </c>
      <c r="T1771" s="70" t="str">
        <f>IFERROR(IF(VLOOKUP(A1771,[12]PRIORIZADOS!$A:$T,20,FALSE)="","",VLOOKUP(A1771,[12]PRIORIZADOS!$A:$T,20,FALSE)),"")</f>
        <v>Si</v>
      </c>
      <c r="U1771" s="11" t="str">
        <f>IFERROR(IF(VLOOKUP(A1771,[12]PRIORIZADOS!$A:$U,21,FALSE)="","",VLOOKUP(A1771,[12]PRIORIZADOS!$A:$U,21,FALSE)),"")</f>
        <v xml:space="preserve">Remitir el PIAR del estudiante con discapacidad. Se realizó encuentro de seguimiento el 7 de noviembre evidenciando cumplimiento de los compromisos establecidos. </v>
      </c>
    </row>
    <row r="1772" spans="1:21" s="1" customFormat="1" ht="84">
      <c r="A1772" s="69">
        <f>IF([12]PRIORIZADOS!A102="","",[12]PRIORIZADOS!A102)</f>
        <v>1744</v>
      </c>
      <c r="B1772" s="70">
        <v>11</v>
      </c>
      <c r="C1772" s="11" t="str">
        <f>IFERROR(IF(VLOOKUP(A1772,[12]PRIORIZADOS!$A:$C,3,FALSE)="","",VLOOKUP(A1772,[12]PRIORIZADOS!$A:$C,3,FALSE)),"")</f>
        <v>SAN CRISTÓBAL</v>
      </c>
      <c r="D1772" s="11" t="str">
        <f>IFERROR(IF(VLOOKUP(A1772,[12]PRIORIZADOS!$A:$D,4,FALSE)="","",VLOOKUP(A1772,[12]PRIORIZADOS!$A:$D,4,FALSE)),"")</f>
        <v>PRIVADO</v>
      </c>
      <c r="E1772" s="11" t="str">
        <f>IFERROR(IF(VLOOKUP(A1772,[12]PRIORIZADOS!$A:$E,5,FALSE)="","",VLOOKUP(A1772,[12]PRIORIZADOS!$A:$E,5,FALSE)),"")</f>
        <v>EPBM</v>
      </c>
      <c r="F1772" s="11" t="str">
        <f>IFERROR(IF(VLOOKUP(A1772,[12]PRIORIZADOS!$A:$F,6,FALSE)="","",VLOOKUP(A1772,[12]PRIORIZADOS!$A:$F,6,FALSE)),"")</f>
        <v>FUNDACION_DE_EDUCACION_PARA_LA_VIDA_FUNDESCO</v>
      </c>
      <c r="G1772" s="11" t="str">
        <f>IFERROR(IF(VLOOKUP(A1772,[12]PRIORIZADOS!$A:$G,7,FALSE)="","",VLOOKUP(A1772,[12]PRIORIZADOS!$A:$G,7,FALSE)),"")</f>
        <v>FUNDACION DE EDUCACION PARA LA VIDA FUNDESCO</v>
      </c>
      <c r="H1772" s="11" t="str">
        <f>IFERROR(IF(VLOOKUP(A1772,[12]PRIORIZADOS!$A:$H,8,FALSE)="","",VLOOKUP(A1772,[12]PRIORIZADOS!$A:$H,8,FALSE)),"")</f>
        <v>Autoevaluación Institucional y Pruebas SABER 11</v>
      </c>
      <c r="I1772" s="11" t="str">
        <f>IFERROR(IF(VLOOKUP(A1772,[12]PRIORIZADOS!$A:$I,9,FALSE)="","",VLOOKUP(A1772,[12]PRIORIZADOS!$A:$I,9,FALSE)),"")</f>
        <v>EVALUACIÓN_CON_FINES_DE_MEJORAMIENTO.</v>
      </c>
      <c r="J1772" s="11" t="str">
        <f>IFERROR(IF(VLOOKUP(A1772,[12]PRIORIZADOS!$A:$J,10,FALSE)="","",VLOOKUP(A1772,[12]PRIORIZADOS!$A:$J,10,FALSE)),"")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72" s="11" t="str">
        <f>IFERROR(IF(VLOOKUP(A1772,[12]PRIORIZADOS!$A:$K,11,FALSE)="","",VLOOKUP(A1772,[12]PRIORIZADOS!$A:$K,11,FALSE)),"")</f>
        <v>XIMENA CAROLINA RAMÍREZ MORALES</v>
      </c>
      <c r="L1772" s="11" t="str">
        <f>IFERROR(IF(VLOOKUP(A1772,[12]PRIORIZADOS!$A:$L,12,FALSE)="","",VLOOKUP(A1772,[12]PRIORIZADOS!$A:$L,12,FALSE)),"")</f>
        <v>JUANITA LINA CAROLINA RAMÍREZ LÓPEZ</v>
      </c>
      <c r="M1772" s="71">
        <f>IFERROR(IF(VLOOKUP(A1772,[12]PRIORIZADOS!$A:$M,13,FALSE)="","",VLOOKUP(A1772,[12]PRIORIZADOS!$A:$M,13,FALSE)),"")</f>
        <v>45744</v>
      </c>
      <c r="N1772" s="71">
        <f>IFERROR(IF(VLOOKUP(A1772,[12]PRIORIZADOS!$A:$N,14,FALSE)="","",VLOOKUP(A1772,[12]PRIORIZADOS!$A:$N,14,FALSE)),"")</f>
        <v>45750</v>
      </c>
      <c r="O1772" s="71">
        <f>IFERROR(IF(VLOOKUP(A1772,[12]PRIORIZADOS!$A:$O,15,FALSE)="","",VLOOKUP(A1772,[12]PRIORIZADOS!$A:$O,15,FALSE)),"")</f>
        <v>45750</v>
      </c>
      <c r="P1772" s="11" t="str">
        <f>IFERROR(IF(VLOOKUP(A1772,[12]PRIORIZADOS!$A:$P,16,FALSE)="","",VLOOKUP(A1772,[12]PRIORIZADOS!$A:$P,16,FALSE)),"")</f>
        <v>Visitas de evaluación con fines de mejoramiento</v>
      </c>
      <c r="Q1772" s="125" t="s">
        <v>388</v>
      </c>
      <c r="R1772" s="11" t="str">
        <f>IFERROR(IF(VLOOKUP(A1772,[12]PRIORIZADOS!$A:$R,18,FALSE)="","",VLOOKUP(A1772,[12]PRIORIZADOS!$A:$R,18,FALSE)),"")</f>
        <v xml:space="preserve">La IE refiere que se realizó actualización en el año 2024. Presentan dos actas, una de ellas contó con la participación de una profesional de la OCE quien les asesoró lo correspondiente. </v>
      </c>
      <c r="S1772" s="11" t="str">
        <f>IFERROR(IF(VLOOKUP(A1772,[12]PRIORIZADOS!$A:$S,19,FALSE)="","",VLOOKUP(A1772,[12]PRIORIZADOS!$A:$S,19,FALSE)),"")</f>
        <v>Incorporar lo referente al enfoque restaurativo y los canales de atención de PQR.</v>
      </c>
      <c r="T1772" s="70" t="str">
        <f>IFERROR(IF(VLOOKUP(A1772,[12]PRIORIZADOS!$A:$T,20,FALSE)="","",VLOOKUP(A1772,[12]PRIORIZADOS!$A:$T,20,FALSE)),"")</f>
        <v>No</v>
      </c>
      <c r="U1772" s="11" t="str">
        <f>IFERROR(IF(VLOOKUP(A1772,[12]PRIORIZADOS!$A:$U,21,FALSE)="","",VLOOKUP(A1772,[12]PRIORIZADOS!$A:$U,21,FALSE)),"")</f>
        <v>Verificación en la proxima actualización del manual de convivencia.</v>
      </c>
    </row>
    <row r="1773" spans="1:21" s="1" customFormat="1" ht="60">
      <c r="A1773" s="69">
        <f>IF([12]PRIORIZADOS!A103="","",[12]PRIORIZADOS!A103)</f>
        <v>1745</v>
      </c>
      <c r="B1773" s="70">
        <v>11</v>
      </c>
      <c r="C1773" s="11" t="str">
        <f>IFERROR(IF(VLOOKUP(A1773,[12]PRIORIZADOS!$A:$C,3,FALSE)="","",VLOOKUP(A1773,[12]PRIORIZADOS!$A:$C,3,FALSE)),"")</f>
        <v>SAN CRISTÓBAL</v>
      </c>
      <c r="D1773" s="11" t="str">
        <f>IFERROR(IF(VLOOKUP(A1773,[12]PRIORIZADOS!$A:$D,4,FALSE)="","",VLOOKUP(A1773,[12]PRIORIZADOS!$A:$D,4,FALSE)),"")</f>
        <v>PRIVADO</v>
      </c>
      <c r="E1773" s="11" t="str">
        <f>IFERROR(IF(VLOOKUP(A1773,[12]PRIORIZADOS!$A:$E,5,FALSE)="","",VLOOKUP(A1773,[12]PRIORIZADOS!$A:$E,5,FALSE)),"")</f>
        <v>EPBM</v>
      </c>
      <c r="F1773" s="11" t="str">
        <f>IFERROR(IF(VLOOKUP(A1773,[12]PRIORIZADOS!$A:$F,6,FALSE)="","",VLOOKUP(A1773,[12]PRIORIZADOS!$A:$F,6,FALSE)),"")</f>
        <v>FUNDACION_DE_EDUCACION_PARA_LA_VIDA_FUNDESCO</v>
      </c>
      <c r="G1773" s="11" t="str">
        <f>IFERROR(IF(VLOOKUP(A1773,[12]PRIORIZADOS!$A:$G,7,FALSE)="","",VLOOKUP(A1773,[12]PRIORIZADOS!$A:$G,7,FALSE)),"")</f>
        <v>FUNDACION DE EDUCACION PARA LA VIDA FUNDESCO</v>
      </c>
      <c r="H1773" s="11" t="str">
        <f>IFERROR(IF(VLOOKUP(A1773,[12]PRIORIZADOS!$A:$H,8,FALSE)="","",VLOOKUP(A1773,[12]PRIORIZADOS!$A:$H,8,FALSE)),"")</f>
        <v>Autoevaluación Institucional y Pruebas SABER 11</v>
      </c>
      <c r="I1773" s="11" t="str">
        <f>IFERROR(IF(VLOOKUP(A1773,[12]PRIORIZADOS!$A:$I,9,FALSE)="","",VLOOKUP(A1773,[12]PRIORIZADOS!$A:$I,9,FALSE)),"")</f>
        <v>EVALUACIÓN_CON_FINES_DE_MEJORAMIENTO.</v>
      </c>
      <c r="J1773" s="11" t="str">
        <f>IFERROR(IF(VLOOKUP(A1773,[12]PRIORIZADOS!$A:$J,10,FALSE)="","",VLOOKUP(A1773,[12]PRIORIZADOS!$A:$J,10,FALSE)),"")</f>
        <v>Revisar la actualización, socialización e implementación del Sistema Institucional de Evaluación de Estudiantes - SIEE, en articulación con la actualización del PEI y la normatividad vigente.</v>
      </c>
      <c r="K1773" s="11" t="str">
        <f>IFERROR(IF(VLOOKUP(A1773,[12]PRIORIZADOS!$A:$K,11,FALSE)="","",VLOOKUP(A1773,[12]PRIORIZADOS!$A:$K,11,FALSE)),"")</f>
        <v>XIMENA CAROLINA RAMÍREZ MORALES</v>
      </c>
      <c r="L1773" s="11" t="str">
        <f>IFERROR(IF(VLOOKUP(A1773,[12]PRIORIZADOS!$A:$L,12,FALSE)="","",VLOOKUP(A1773,[12]PRIORIZADOS!$A:$L,12,FALSE)),"")</f>
        <v>JUANITA LINA CAROLINA RAMÍREZ LÓPEZ</v>
      </c>
      <c r="M1773" s="71">
        <f>IFERROR(IF(VLOOKUP(A1773,[12]PRIORIZADOS!$A:$M,13,FALSE)="","",VLOOKUP(A1773,[12]PRIORIZADOS!$A:$M,13,FALSE)),"")</f>
        <v>45744</v>
      </c>
      <c r="N1773" s="71">
        <f>IFERROR(IF(VLOOKUP(A1773,[12]PRIORIZADOS!$A:$N,14,FALSE)="","",VLOOKUP(A1773,[12]PRIORIZADOS!$A:$N,14,FALSE)),"")</f>
        <v>45750</v>
      </c>
      <c r="O1773" s="71">
        <f>IFERROR(IF(VLOOKUP(A1773,[12]PRIORIZADOS!$A:$O,15,FALSE)="","",VLOOKUP(A1773,[12]PRIORIZADOS!$A:$O,15,FALSE)),"")</f>
        <v>45750</v>
      </c>
      <c r="P1773" s="11" t="str">
        <f>IFERROR(IF(VLOOKUP(A1773,[12]PRIORIZADOS!$A:$P,16,FALSE)="","",VLOOKUP(A1773,[12]PRIORIZADOS!$A:$P,16,FALSE)),"")</f>
        <v>Visitas de evaluación con fines de mejoramiento</v>
      </c>
      <c r="Q1773" s="125" t="s">
        <v>388</v>
      </c>
      <c r="R1773" s="11" t="str">
        <f>IFERROR(IF(VLOOKUP(A1773,[12]PRIORIZADOS!$A:$R,18,FALSE)="","",VLOOKUP(A1773,[12]PRIORIZADOS!$A:$R,18,FALSE)),"")</f>
        <v>El SIEE se encuentra en el manual de convivencia. La coordinadora indica que al iniciar el año escolar se realiza reunión con los docentes para socializar lo correspondiente (aportan acta)</v>
      </c>
      <c r="S1773" s="11" t="str">
        <f>IFERROR(IF(VLOOKUP(A1773,[12]PRIORIZADOS!$A:$S,19,FALSE)="","",VLOOKUP(A1773,[12]PRIORIZADOS!$A:$S,19,FALSE)),"")</f>
        <v xml:space="preserve">Incluir un apartado referente a la atención con discapacidad de acuerdo con el Decreto 1421 de 2017. </v>
      </c>
      <c r="T1773" s="70" t="str">
        <f>IFERROR(IF(VLOOKUP(A1773,[12]PRIORIZADOS!$A:$T,20,FALSE)="","",VLOOKUP(A1773,[12]PRIORIZADOS!$A:$T,20,FALSE)),"")</f>
        <v>No</v>
      </c>
      <c r="U1773" s="11" t="str">
        <f>IFERROR(IF(VLOOKUP(A1773,[12]PRIORIZADOS!$A:$U,21,FALSE)="","",VLOOKUP(A1773,[12]PRIORIZADOS!$A:$U,21,FALSE)),"")</f>
        <v>Verificación en la proxima actualización del SIEE</v>
      </c>
    </row>
    <row r="1774" spans="1:21" s="1" customFormat="1" ht="48">
      <c r="A1774" s="69">
        <f>IF([12]PRIORIZADOS!A104="","",[12]PRIORIZADOS!A104)</f>
        <v>1746</v>
      </c>
      <c r="B1774" s="70">
        <v>11</v>
      </c>
      <c r="C1774" s="11" t="str">
        <f>IFERROR(IF(VLOOKUP(A1774,[12]PRIORIZADOS!$A:$C,3,FALSE)="","",VLOOKUP(A1774,[12]PRIORIZADOS!$A:$C,3,FALSE)),"")</f>
        <v>SAN CRISTÓBAL</v>
      </c>
      <c r="D1774" s="11" t="str">
        <f>IFERROR(IF(VLOOKUP(A1774,[12]PRIORIZADOS!$A:$D,4,FALSE)="","",VLOOKUP(A1774,[12]PRIORIZADOS!$A:$D,4,FALSE)),"")</f>
        <v>PRIVADO</v>
      </c>
      <c r="E1774" s="11" t="str">
        <f>IFERROR(IF(VLOOKUP(A1774,[12]PRIORIZADOS!$A:$E,5,FALSE)="","",VLOOKUP(A1774,[12]PRIORIZADOS!$A:$E,5,FALSE)),"")</f>
        <v>EPBM</v>
      </c>
      <c r="F1774" s="11" t="str">
        <f>IFERROR(IF(VLOOKUP(A1774,[12]PRIORIZADOS!$A:$F,6,FALSE)="","",VLOOKUP(A1774,[12]PRIORIZADOS!$A:$F,6,FALSE)),"")</f>
        <v>FUNDACION_DE_EDUCACION_PARA_LA_VIDA_FUNDESCO</v>
      </c>
      <c r="G1774" s="11" t="str">
        <f>IFERROR(IF(VLOOKUP(A1774,[12]PRIORIZADOS!$A:$G,7,FALSE)="","",VLOOKUP(A1774,[12]PRIORIZADOS!$A:$G,7,FALSE)),"")</f>
        <v>FUNDACION DE EDUCACION PARA LA VIDA FUNDESCO</v>
      </c>
      <c r="H1774" s="11" t="str">
        <f>IFERROR(IF(VLOOKUP(A1774,[12]PRIORIZADOS!$A:$H,8,FALSE)="","",VLOOKUP(A1774,[12]PRIORIZADOS!$A:$H,8,FALSE)),"")</f>
        <v>Autoevaluación Institucional y Pruebas SABER 11</v>
      </c>
      <c r="I1774" s="11" t="str">
        <f>IFERROR(IF(VLOOKUP(A1774,[12]PRIORIZADOS!$A:$I,9,FALSE)="","",VLOOKUP(A1774,[12]PRIORIZADOS!$A:$I,9,FALSE)),"")</f>
        <v>EVALUACIÓN_CON_FINES_DE_MEJORAMIENTO.</v>
      </c>
      <c r="J1774" s="11" t="str">
        <f>IFERROR(IF(VLOOKUP(A1774,[12]PRIORIZADOS!$A:$J,10,FALSE)="","",VLOOKUP(A1774,[12]PRIORIZADOS!$A:$J,10,FALSE)),"")</f>
        <v>Revisar el calendario escolar, jornada escolar, la intensidad horaria mínima anual en cada nivel y las modificaciones que se realicen al mismo, de acuerdo con lo previsto en la normatividad vigente.</v>
      </c>
      <c r="K1774" s="11" t="str">
        <f>IFERROR(IF(VLOOKUP(A1774,[12]PRIORIZADOS!$A:$K,11,FALSE)="","",VLOOKUP(A1774,[12]PRIORIZADOS!$A:$K,11,FALSE)),"")</f>
        <v>XIMENA CAROLINA RAMÍREZ MORALES</v>
      </c>
      <c r="L1774" s="11" t="str">
        <f>IFERROR(IF(VLOOKUP(A1774,[12]PRIORIZADOS!$A:$L,12,FALSE)="","",VLOOKUP(A1774,[12]PRIORIZADOS!$A:$L,12,FALSE)),"")</f>
        <v>JUANITA LINA CAROLINA RAMÍREZ LÓPEZ</v>
      </c>
      <c r="M1774" s="71">
        <f>IFERROR(IF(VLOOKUP(A1774,[12]PRIORIZADOS!$A:$M,13,FALSE)="","",VLOOKUP(A1774,[12]PRIORIZADOS!$A:$M,13,FALSE)),"")</f>
        <v>45744</v>
      </c>
      <c r="N1774" s="71">
        <f>IFERROR(IF(VLOOKUP(A1774,[12]PRIORIZADOS!$A:$N,14,FALSE)="","",VLOOKUP(A1774,[12]PRIORIZADOS!$A:$N,14,FALSE)),"")</f>
        <v>45750</v>
      </c>
      <c r="O1774" s="71">
        <f>IFERROR(IF(VLOOKUP(A1774,[12]PRIORIZADOS!$A:$O,15,FALSE)="","",VLOOKUP(A1774,[12]PRIORIZADOS!$A:$O,15,FALSE)),"")</f>
        <v>45750</v>
      </c>
      <c r="P1774" s="11" t="str">
        <f>IFERROR(IF(VLOOKUP(A1774,[12]PRIORIZADOS!$A:$P,16,FALSE)="","",VLOOKUP(A1774,[12]PRIORIZADOS!$A:$P,16,FALSE)),"")</f>
        <v>Visitas de evaluación con fines de mejoramiento</v>
      </c>
      <c r="Q1774" s="125" t="s">
        <v>388</v>
      </c>
      <c r="R1774" s="11" t="str">
        <f>IFERROR(IF(VLOOKUP(A1774,[12]PRIORIZADOS!$A:$R,18,FALSE)="","",VLOOKUP(A1774,[12]PRIORIZADOS!$A:$R,18,FALSE)),"")</f>
        <v>Cumple con las horas y semanas reglamentarias de acuerdo con la Resolución de la SED N° 1811 de 2024.</v>
      </c>
      <c r="S1774" s="11" t="str">
        <f>IFERROR(IF(VLOOKUP(A1774,[12]PRIORIZADOS!$A:$S,19,FALSE)="","",VLOOKUP(A1774,[12]PRIORIZADOS!$A:$S,19,FALSE)),"")</f>
        <v>Se evidencia que la IE cumple con lo establecido en la normatividad vigente.</v>
      </c>
      <c r="T1774" s="70" t="str">
        <f>IFERROR(IF(VLOOKUP(A1774,[12]PRIORIZADOS!$A:$T,20,FALSE)="","",VLOOKUP(A1774,[12]PRIORIZADOS!$A:$T,20,FALSE)),"")</f>
        <v>No</v>
      </c>
      <c r="U1774" s="11" t="str">
        <f>IFERROR(IF(VLOOKUP(A1774,[12]PRIORIZADOS!$A:$U,21,FALSE)="","",VLOOKUP(A1774,[12]PRIORIZADOS!$A:$U,21,FALSE)),"")</f>
        <v>Se hará verificación en caso de presentarse requerimiento</v>
      </c>
    </row>
    <row r="1775" spans="1:21" s="1" customFormat="1" ht="48">
      <c r="A1775" s="69">
        <f>IF([12]PRIORIZADOS!A105="","",[12]PRIORIZADOS!A105)</f>
        <v>1747</v>
      </c>
      <c r="B1775" s="70">
        <v>11</v>
      </c>
      <c r="C1775" s="11" t="str">
        <f>IFERROR(IF(VLOOKUP(A1775,[12]PRIORIZADOS!$A:$C,3,FALSE)="","",VLOOKUP(A1775,[12]PRIORIZADOS!$A:$C,3,FALSE)),"")</f>
        <v>SAN CRISTÓBAL</v>
      </c>
      <c r="D1775" s="11" t="str">
        <f>IFERROR(IF(VLOOKUP(A1775,[12]PRIORIZADOS!$A:$D,4,FALSE)="","",VLOOKUP(A1775,[12]PRIORIZADOS!$A:$D,4,FALSE)),"")</f>
        <v>PRIVADO</v>
      </c>
      <c r="E1775" s="11" t="str">
        <f>IFERROR(IF(VLOOKUP(A1775,[12]PRIORIZADOS!$A:$E,5,FALSE)="","",VLOOKUP(A1775,[12]PRIORIZADOS!$A:$E,5,FALSE)),"")</f>
        <v>EPBM</v>
      </c>
      <c r="F1775" s="11" t="str">
        <f>IFERROR(IF(VLOOKUP(A1775,[12]PRIORIZADOS!$A:$F,6,FALSE)="","",VLOOKUP(A1775,[12]PRIORIZADOS!$A:$F,6,FALSE)),"")</f>
        <v>FUNDACION_DE_EDUCACION_PARA_LA_VIDA_FUNDESCO</v>
      </c>
      <c r="G1775" s="11" t="str">
        <f>IFERROR(IF(VLOOKUP(A1775,[12]PRIORIZADOS!$A:$G,7,FALSE)="","",VLOOKUP(A1775,[12]PRIORIZADOS!$A:$G,7,FALSE)),"")</f>
        <v>FUNDACION DE EDUCACION PARA LA VIDA FUNDESCO</v>
      </c>
      <c r="H1775" s="11" t="str">
        <f>IFERROR(IF(VLOOKUP(A1775,[12]PRIORIZADOS!$A:$H,8,FALSE)="","",VLOOKUP(A1775,[12]PRIORIZADOS!$A:$H,8,FALSE)),"")</f>
        <v>Autoevaluación Institucional y Pruebas SABER 11</v>
      </c>
      <c r="I1775" s="11" t="str">
        <f>IFERROR(IF(VLOOKUP(A1775,[12]PRIORIZADOS!$A:$I,9,FALSE)="","",VLOOKUP(A1775,[12]PRIORIZADOS!$A:$I,9,FALSE)),"")</f>
        <v>EVALUACIÓN_CON_FINES_DE_MEJORAMIENTO.</v>
      </c>
      <c r="J1775" s="11" t="str">
        <f>IFERROR(IF(VLOOKUP(A1775,[12]PRIORIZADOS!$A:$J,10,FALSE)="","",VLOOKUP(A1775,[12]PRIORIZADOS!$A:$J,10,FALSE)),"")</f>
        <v>Verificar el funcionamiento del Gobierno Escolar e instancias de participación con base en la información sobre conformación reportada por la institución educativa.</v>
      </c>
      <c r="K1775" s="11" t="str">
        <f>IFERROR(IF(VLOOKUP(A1775,[12]PRIORIZADOS!$A:$K,11,FALSE)="","",VLOOKUP(A1775,[12]PRIORIZADOS!$A:$K,11,FALSE)),"")</f>
        <v>XIMENA CAROLINA RAMÍREZ MORALES</v>
      </c>
      <c r="L1775" s="11" t="str">
        <f>IFERROR(IF(VLOOKUP(A1775,[12]PRIORIZADOS!$A:$L,12,FALSE)="","",VLOOKUP(A1775,[12]PRIORIZADOS!$A:$L,12,FALSE)),"")</f>
        <v>JUANITA LINA CAROLINA RAMÍREZ LÓPEZ</v>
      </c>
      <c r="M1775" s="71">
        <f>IFERROR(IF(VLOOKUP(A1775,[12]PRIORIZADOS!$A:$M,13,FALSE)="","",VLOOKUP(A1775,[12]PRIORIZADOS!$A:$M,13,FALSE)),"")</f>
        <v>45744</v>
      </c>
      <c r="N1775" s="71">
        <f>IFERROR(IF(VLOOKUP(A1775,[12]PRIORIZADOS!$A:$N,14,FALSE)="","",VLOOKUP(A1775,[12]PRIORIZADOS!$A:$N,14,FALSE)),"")</f>
        <v>45750</v>
      </c>
      <c r="O1775" s="71">
        <f>IFERROR(IF(VLOOKUP(A1775,[12]PRIORIZADOS!$A:$O,15,FALSE)="","",VLOOKUP(A1775,[12]PRIORIZADOS!$A:$O,15,FALSE)),"")</f>
        <v>45750</v>
      </c>
      <c r="P1775" s="11" t="str">
        <f>IFERROR(IF(VLOOKUP(A1775,[12]PRIORIZADOS!$A:$P,16,FALSE)="","",VLOOKUP(A1775,[12]PRIORIZADOS!$A:$P,16,FALSE)),"")</f>
        <v>Visitas de evaluación con fines de mejoramiento</v>
      </c>
      <c r="Q1775" s="125" t="s">
        <v>388</v>
      </c>
      <c r="R1775" s="11" t="str">
        <f>IFERROR(IF(VLOOKUP(A1775,[12]PRIORIZADOS!$A:$R,18,FALSE)="","",VLOOKUP(A1775,[12]PRIORIZADOS!$A:$R,18,FALSE)),"")</f>
        <v>La IE aporta las actas de conformación de Gobierno Escolar.</v>
      </c>
      <c r="S1775" s="11" t="str">
        <f>IFERROR(IF(VLOOKUP(A1775,[12]PRIORIZADOS!$A:$S,19,FALSE)="","",VLOOKUP(A1775,[12]PRIORIZADOS!$A:$S,19,FALSE)),"")</f>
        <v>Elaborar las actas de las sesiones de reunión de las instancias que hacen parte del Gobierno Escolar.</v>
      </c>
      <c r="T1775" s="70" t="str">
        <f>IFERROR(IF(VLOOKUP(A1775,[12]PRIORIZADOS!$A:$T,20,FALSE)="","",VLOOKUP(A1775,[12]PRIORIZADOS!$A:$T,20,FALSE)),"")</f>
        <v>No</v>
      </c>
      <c r="U1775" s="11" t="str">
        <f>IFERROR(IF(VLOOKUP(A1775,[12]PRIORIZADOS!$A:$U,21,FALSE)="","",VLOOKUP(A1775,[12]PRIORIZADOS!$A:$U,21,FALSE)),"")</f>
        <v>Verificación en el SAE</v>
      </c>
    </row>
    <row r="1776" spans="1:21" s="1" customFormat="1" ht="72">
      <c r="A1776" s="69">
        <f>IF([12]PRIORIZADOS!A106="","",[12]PRIORIZADOS!A106)</f>
        <v>1748</v>
      </c>
      <c r="B1776" s="70">
        <v>11</v>
      </c>
      <c r="C1776" s="11" t="str">
        <f>IFERROR(IF(VLOOKUP(A1776,[12]PRIORIZADOS!$A:$C,3,FALSE)="","",VLOOKUP(A1776,[12]PRIORIZADOS!$A:$C,3,FALSE)),"")</f>
        <v>SAN CRISTÓBAL</v>
      </c>
      <c r="D1776" s="11" t="str">
        <f>IFERROR(IF(VLOOKUP(A1776,[12]PRIORIZADOS!$A:$D,4,FALSE)="","",VLOOKUP(A1776,[12]PRIORIZADOS!$A:$D,4,FALSE)),"")</f>
        <v>PRIVADO</v>
      </c>
      <c r="E1776" s="11" t="str">
        <f>IFERROR(IF(VLOOKUP(A1776,[12]PRIORIZADOS!$A:$E,5,FALSE)="","",VLOOKUP(A1776,[12]PRIORIZADOS!$A:$E,5,FALSE)),"")</f>
        <v>EPBM</v>
      </c>
      <c r="F1776" s="11" t="str">
        <f>IFERROR(IF(VLOOKUP(A1776,[12]PRIORIZADOS!$A:$F,6,FALSE)="","",VLOOKUP(A1776,[12]PRIORIZADOS!$A:$F,6,FALSE)),"")</f>
        <v>FUNDACION_DE_EDUCACION_PARA_LA_VIDA_FUNDESCO</v>
      </c>
      <c r="G1776" s="11" t="str">
        <f>IFERROR(IF(VLOOKUP(A1776,[12]PRIORIZADOS!$A:$G,7,FALSE)="","",VLOOKUP(A1776,[12]PRIORIZADOS!$A:$G,7,FALSE)),"")</f>
        <v>FUNDACION DE EDUCACION PARA LA VIDA FUNDESCO</v>
      </c>
      <c r="H1776" s="11" t="str">
        <f>IFERROR(IF(VLOOKUP(A1776,[12]PRIORIZADOS!$A:$H,8,FALSE)="","",VLOOKUP(A1776,[12]PRIORIZADOS!$A:$H,8,FALSE)),"")</f>
        <v>Autoevaluación Institucional y Pruebas SABER 11</v>
      </c>
      <c r="I1776" s="11" t="str">
        <f>IFERROR(IF(VLOOKUP(A1776,[12]PRIORIZADOS!$A:$I,9,FALSE)="","",VLOOKUP(A1776,[12]PRIORIZADOS!$A:$I,9,FALSE)),"")</f>
        <v>EVALUACIÓN_CON_FINES_DE_MEJORAMIENTO.</v>
      </c>
      <c r="J1776" s="11" t="str">
        <f>IFERROR(IF(VLOOKUP(A1776,[12]PRIORIZADOS!$A:$J,10,FALSE)="","",VLOOKUP(A1776,[12]PRIORIZADOS!$A:$J,10,FALSE)),"")</f>
        <v>Verificar las condiciones en cuanto a: la estructura administrativa, condiciones de la planta física y medios educativos adecuados.</v>
      </c>
      <c r="K1776" s="11" t="str">
        <f>IFERROR(IF(VLOOKUP(A1776,[12]PRIORIZADOS!$A:$K,11,FALSE)="","",VLOOKUP(A1776,[12]PRIORIZADOS!$A:$K,11,FALSE)),"")</f>
        <v>XIMENA CAROLINA RAMÍREZ MORALES</v>
      </c>
      <c r="L1776" s="11" t="str">
        <f>IFERROR(IF(VLOOKUP(A1776,[12]PRIORIZADOS!$A:$L,12,FALSE)="","",VLOOKUP(A1776,[12]PRIORIZADOS!$A:$L,12,FALSE)),"")</f>
        <v>JUANITA LINA CAROLINA RAMÍREZ LÓPEZ</v>
      </c>
      <c r="M1776" s="71">
        <f>IFERROR(IF(VLOOKUP(A1776,[12]PRIORIZADOS!$A:$M,13,FALSE)="","",VLOOKUP(A1776,[12]PRIORIZADOS!$A:$M,13,FALSE)),"")</f>
        <v>45744</v>
      </c>
      <c r="N1776" s="71">
        <f>IFERROR(IF(VLOOKUP(A1776,[12]PRIORIZADOS!$A:$N,14,FALSE)="","",VLOOKUP(A1776,[12]PRIORIZADOS!$A:$N,14,FALSE)),"")</f>
        <v>45750</v>
      </c>
      <c r="O1776" s="71">
        <f>IFERROR(IF(VLOOKUP(A1776,[12]PRIORIZADOS!$A:$O,15,FALSE)="","",VLOOKUP(A1776,[12]PRIORIZADOS!$A:$O,15,FALSE)),"")</f>
        <v>45750</v>
      </c>
      <c r="P1776" s="11" t="str">
        <f>IFERROR(IF(VLOOKUP(A1776,[12]PRIORIZADOS!$A:$P,16,FALSE)="","",VLOOKUP(A1776,[12]PRIORIZADOS!$A:$P,16,FALSE)),"")</f>
        <v>Visitas de evaluación con fines de mejoramiento</v>
      </c>
      <c r="Q1776" s="125" t="s">
        <v>388</v>
      </c>
      <c r="R1776" s="11" t="str">
        <f>IFERROR(IF(VLOOKUP(A1776,[12]PRIORIZADOS!$A:$R,18,FALSE)="","",VLOOKUP(A1776,[12]PRIORIZADOS!$A:$R,18,FALSE)),"")</f>
        <v xml:space="preserve">En recorrido de la planta física se encontró en buenas condiciones de infraestructura y dotación. La IE aporta acta de visita de Secretaria de Salud SB066E 703330 del 01/02/2025 con concepto favorable con requerimientos. </v>
      </c>
      <c r="S1776" s="11" t="str">
        <f>IFERROR(IF(VLOOKUP(A1776,[12]PRIORIZADOS!$A:$S,19,FALSE)="","",VLOOKUP(A1776,[12]PRIORIZADOS!$A:$S,19,FALSE)),"")</f>
        <v xml:space="preserve">La IE subsanó los requermientos. </v>
      </c>
      <c r="T1776" s="70" t="str">
        <f>IFERROR(IF(VLOOKUP(A1776,[12]PRIORIZADOS!$A:$T,20,FALSE)="","",VLOOKUP(A1776,[12]PRIORIZADOS!$A:$T,20,FALSE)),"")</f>
        <v>No</v>
      </c>
      <c r="U1776" s="11" t="str">
        <f>IFERROR(IF(VLOOKUP(A1776,[12]PRIORIZADOS!$A:$U,21,FALSE)="","",VLOOKUP(A1776,[12]PRIORIZADOS!$A:$U,21,FALSE)),"")</f>
        <v>Se hará verificación en caso de presentarse requerimiento</v>
      </c>
    </row>
    <row r="1777" spans="1:21" s="1" customFormat="1" ht="60">
      <c r="A1777" s="69">
        <f>IF([12]PRIORIZADOS!A107="","",[12]PRIORIZADOS!A107)</f>
        <v>1749</v>
      </c>
      <c r="B1777" s="70">
        <f>IFERROR(IF(VLOOKUP(A1777,[12]PRIORIZADOS!$A:$B,2,FALSE)="","",VLOOKUP(A1777,[12]PRIORIZADOS!$A:$B,2,FALSE)),"")</f>
        <v>12</v>
      </c>
      <c r="C1777" s="11" t="str">
        <f>IFERROR(IF(VLOOKUP(A1777,[12]PRIORIZADOS!$A:$C,3,FALSE)="","",VLOOKUP(A1777,[12]PRIORIZADOS!$A:$C,3,FALSE)),"")</f>
        <v>SAN CRISTÓBAL</v>
      </c>
      <c r="D1777" s="11" t="str">
        <f>IFERROR(IF(VLOOKUP(A1777,[12]PRIORIZADOS!$A:$D,4,FALSE)="","",VLOOKUP(A1777,[12]PRIORIZADOS!$A:$D,4,FALSE)),"")</f>
        <v>PRIVADO</v>
      </c>
      <c r="E1777" s="11" t="str">
        <f>IFERROR(IF(VLOOKUP(A1777,[12]PRIORIZADOS!$A:$E,5,FALSE)="","",VLOOKUP(A1777,[12]PRIORIZADOS!$A:$E,5,FALSE)),"")</f>
        <v>EPBM</v>
      </c>
      <c r="F1777" s="11" t="str">
        <f>IFERROR(IF(VLOOKUP(A1777,[12]PRIORIZADOS!$A:$F,6,FALSE)="","",VLOOKUP(A1777,[12]PRIORIZADOS!$A:$F,6,FALSE)),"")</f>
        <v>INSTITUTO_COMERCIAL_EDUARDO_TORRES_QUINTERO</v>
      </c>
      <c r="G1777" s="11" t="str">
        <f>IFERROR(IF(VLOOKUP(A1777,[12]PRIORIZADOS!$A:$G,7,FALSE)="","",VLOOKUP(A1777,[12]PRIORIZADOS!$A:$G,7,FALSE)),"")</f>
        <v>INSTITUTO COMERCIAL EDUARDO TORRES QUINTERO</v>
      </c>
      <c r="H1777" s="11" t="str">
        <f>IFERROR(IF(VLOOKUP(A1777,[12]PRIORIZADOS!$A:$H,8,FALSE)="","",VLOOKUP(A1777,[12]PRIORIZADOS!$A:$H,8,FALSE)),"")</f>
        <v>Autoevaluación Institucional y Pruebas SABER 11</v>
      </c>
      <c r="I1777" s="11" t="str">
        <f>IFERROR(IF(VLOOKUP(A1777,[12]PRIORIZADOS!$A:$I,9,FALSE)="","",VLOOKUP(A1777,[12]PRIORIZADOS!$A:$I,9,FALSE)),"")</f>
        <v>SEGUIMIENTO_Y_SUPERVISIÓN.</v>
      </c>
      <c r="J1777" s="11" t="str">
        <f>IFERROR(IF(VLOOKUP(A1777,[12]PRIORIZADOS!$A:$J,10,FALSE)="","",VLOOKUP(A1777,[12]PRIORIZADOS!$A:$J,10,FALSE)),"")</f>
        <v>Realizar visitas para verificar la información registrada sobre la autoevaluación institucional en el aplicativo EVI, a los establecimientos de educación formal no oficial.</v>
      </c>
      <c r="K1777" s="11" t="str">
        <f>IFERROR(IF(VLOOKUP(A1777,[12]PRIORIZADOS!$A:$K,11,FALSE)="","",VLOOKUP(A1777,[12]PRIORIZADOS!$A:$K,11,FALSE)),"")</f>
        <v>JUANITA LINA CAROLINA RAMÍREZ LÓPEZ</v>
      </c>
      <c r="L1777" s="11" t="str">
        <f>IFERROR(IF(VLOOKUP(A1777,[12]PRIORIZADOS!$A:$L,12,FALSE)="","",VLOOKUP(A1777,[12]PRIORIZADOS!$A:$L,12,FALSE)),"")</f>
        <v>JAIRO ANDRÉS ÁLVAREZ CHÁVEZ</v>
      </c>
      <c r="M1777" s="71">
        <f>IFERROR(IF(VLOOKUP(A1777,[12]PRIORIZADOS!$A:$M,13,FALSE)="","",VLOOKUP(A1777,[12]PRIORIZADOS!$A:$M,13,FALSE)),"")</f>
        <v>45777</v>
      </c>
      <c r="N1777" s="71">
        <f>IFERROR(IF(VLOOKUP(A1777,[12]PRIORIZADOS!$A:$N,14,FALSE)="","",VLOOKUP(A1777,[12]PRIORIZADOS!$A:$N,14,FALSE)),"")</f>
        <v>45821</v>
      </c>
      <c r="O1777" s="71">
        <f>IFERROR(IF(VLOOKUP(A1777,[12]PRIORIZADOS!$A:$O,15,FALSE)="","",VLOOKUP(A1777,[12]PRIORIZADOS!$A:$O,15,FALSE)),"")</f>
        <v>45821</v>
      </c>
      <c r="P1777" s="11" t="str">
        <f>IFERROR(IF(VLOOKUP(A1777,[12]PRIORIZADOS!$A:$P,16,FALSE)="","",VLOOKUP(A1777,[12]PRIORIZADOS!$A:$P,16,FALSE)),"")</f>
        <v>Visitas de evaluación con fines de mejoramiento</v>
      </c>
      <c r="Q1777" s="107" t="s">
        <v>389</v>
      </c>
      <c r="R1777" s="11" t="str">
        <f>IFERROR(IF(VLOOKUP(A1777,[12]PRIORIZADOS!$A:$R,18,FALSE)="","",VLOOKUP(A1777,[12]PRIORIZADOS!$A:$R,18,FALSE)),"")</f>
        <v xml:space="preserve">Las tarifas se encuentran publicadas, se constata que los costos son inferiores a los valores autorizados. 
La IE presenta mejoras enbiblioteca, audivisuales, entre otros. </v>
      </c>
      <c r="S1777" s="11" t="str">
        <f>IFERROR(IF(VLOOKUP(A1777,[12]PRIORIZADOS!$A:$S,19,FALSE)="","",VLOOKUP(A1777,[12]PRIORIZADOS!$A:$S,19,FALSE)),"")</f>
        <v>La institcuón cumple con lo establecido en la resolución.</v>
      </c>
      <c r="T1777" s="70" t="str">
        <f>IFERROR(IF(VLOOKUP(A1777,[12]PRIORIZADOS!$A:$T,20,FALSE)="","",VLOOKUP(A1777,[12]PRIORIZADOS!$A:$T,20,FALSE)),"")</f>
        <v>No</v>
      </c>
      <c r="U1777" s="11" t="str">
        <f>IFERROR(IF(VLOOKUP(A1777,[12]PRIORIZADOS!$A:$U,21,FALSE)="","",VLOOKUP(A1777,[12]PRIORIZADOS!$A:$U,21,FALSE)),"")</f>
        <v>Se hará verificación en caso de presentarse requerimiento</v>
      </c>
    </row>
    <row r="1778" spans="1:21" s="1" customFormat="1" ht="107.25">
      <c r="A1778" s="69">
        <f>IF([12]PRIORIZADOS!A108="","",[12]PRIORIZADOS!A108)</f>
        <v>1750</v>
      </c>
      <c r="B1778" s="70">
        <v>12</v>
      </c>
      <c r="C1778" s="11" t="str">
        <f>IFERROR(IF(VLOOKUP(A1778,[12]PRIORIZADOS!$A:$C,3,FALSE)="","",VLOOKUP(A1778,[12]PRIORIZADOS!$A:$C,3,FALSE)),"")</f>
        <v>SAN CRISTÓBAL</v>
      </c>
      <c r="D1778" s="11" t="str">
        <f>IFERROR(IF(VLOOKUP(A1778,[12]PRIORIZADOS!$A:$D,4,FALSE)="","",VLOOKUP(A1778,[12]PRIORIZADOS!$A:$D,4,FALSE)),"")</f>
        <v>PRIVADO</v>
      </c>
      <c r="E1778" s="11" t="str">
        <f>IFERROR(IF(VLOOKUP(A1778,[12]PRIORIZADOS!$A:$E,5,FALSE)="","",VLOOKUP(A1778,[12]PRIORIZADOS!$A:$E,5,FALSE)),"")</f>
        <v>EPBM</v>
      </c>
      <c r="F1778" s="11" t="str">
        <f>IFERROR(IF(VLOOKUP(A1778,[12]PRIORIZADOS!$A:$F,6,FALSE)="","",VLOOKUP(A1778,[12]PRIORIZADOS!$A:$F,6,FALSE)),"")</f>
        <v>INSTITUTO_COMERCIAL_EDUARDO_TORRES_QUINTERO</v>
      </c>
      <c r="G1778" s="11" t="str">
        <f>IFERROR(IF(VLOOKUP(A1778,[12]PRIORIZADOS!$A:$G,7,FALSE)="","",VLOOKUP(A1778,[12]PRIORIZADOS!$A:$G,7,FALSE)),"")</f>
        <v>INSTITUTO COMERCIAL EDUARDO TORRES QUINTERO</v>
      </c>
      <c r="H1778" s="11" t="str">
        <f>IFERROR(IF(VLOOKUP(A1778,[12]PRIORIZADOS!$A:$H,8,FALSE)="","",VLOOKUP(A1778,[12]PRIORIZADOS!$A:$H,8,FALSE)),"")</f>
        <v>Autoevaluación Institucional y Pruebas SABER 11</v>
      </c>
      <c r="I1778" s="11" t="str">
        <f>IFERROR(IF(VLOOKUP(A1778,[12]PRIORIZADOS!$A:$I,9,FALSE)="","",VLOOKUP(A1778,[12]PRIORIZADOS!$A:$I,9,FALSE)),"")</f>
        <v>SEGUIMIENTO_Y_SUPERVISIÓN.</v>
      </c>
      <c r="J1778" s="11" t="str">
        <f>IFERROR(IF(VLOOKUP(A1778,[12]PRIORIZADOS!$A:$J,10,FALSE)="","",VLOOKUP(A1778,[12]PRIORIZADOS!$A:$J,10,FALSE)),"")</f>
        <v>Proponer estrategias en la formulación, verificar su elaboración y realizar seguimiento semestral al desarrollo de  las acciones establecidas en los planes de mejoramiento por pruebas SABER 11 de los establecimientos de educación formal.</v>
      </c>
      <c r="K1778" s="11" t="str">
        <f>IFERROR(IF(VLOOKUP(A1778,[12]PRIORIZADOS!$A:$K,11,FALSE)="","",VLOOKUP(A1778,[12]PRIORIZADOS!$A:$K,11,FALSE)),"")</f>
        <v>JUANITA LINA CAROLINA RAMÍREZ LÓPEZ</v>
      </c>
      <c r="L1778" s="11" t="str">
        <f>IFERROR(IF(VLOOKUP(A1778,[12]PRIORIZADOS!$A:$L,12,FALSE)="","",VLOOKUP(A1778,[12]PRIORIZADOS!$A:$L,12,FALSE)),"")</f>
        <v>JAIRO ANDRÉS ÁLVAREZ CHÁVEZ</v>
      </c>
      <c r="M1778" s="71">
        <f>IFERROR(IF(VLOOKUP(A1778,[12]PRIORIZADOS!$A:$M,13,FALSE)="","",VLOOKUP(A1778,[12]PRIORIZADOS!$A:$M,13,FALSE)),"")</f>
        <v>45777</v>
      </c>
      <c r="N1778" s="71">
        <f>IFERROR(IF(VLOOKUP(A1778,[12]PRIORIZADOS!$A:$N,14,FALSE)="","",VLOOKUP(A1778,[12]PRIORIZADOS!$A:$N,14,FALSE)),"")</f>
        <v>45821</v>
      </c>
      <c r="O1778" s="71">
        <f>IFERROR(IF(VLOOKUP(A1778,[12]PRIORIZADOS!$A:$O,15,FALSE)="","",VLOOKUP(A1778,[12]PRIORIZADOS!$A:$O,15,FALSE)),"")</f>
        <v>45821</v>
      </c>
      <c r="P1778" s="11" t="str">
        <f>IFERROR(IF(VLOOKUP(A1778,[12]PRIORIZADOS!$A:$P,16,FALSE)="","",VLOOKUP(A1778,[12]PRIORIZADOS!$A:$P,16,FALSE)),"")</f>
        <v>Visitas de evaluación con fines de mejoramiento</v>
      </c>
      <c r="Q1778" s="107" t="s">
        <v>389</v>
      </c>
      <c r="R1778" s="11" t="str">
        <f>IFERROR(IF(VLOOKUP(A1778,[12]PRIORIZADOS!$A:$R,18,FALSE)="","",VLOOKUP(A1778,[12]PRIORIZADOS!$A:$R,18,FALSE)),"")</f>
        <v>A partir de los análisis de los resultados obtenidos en las prubas saber, la institución incorporó las siguientes estrategias de mejora: modificación de las evaluaciones trimestrales, para realizarlas como opción multiple tipo saber, fortalecimiento de  la lectura critica, desarrollo de semana de repaso, simulacros de pruebas trimestrales</v>
      </c>
      <c r="S1778" s="11" t="str">
        <f>IFERROR(IF(VLOOKUP(A1778,[12]PRIORIZADOS!$A:$S,19,FALSE)="","",VLOOKUP(A1778,[12]PRIORIZADOS!$A:$S,19,FALSE)),"")</f>
        <v xml:space="preserve">Continuar con la aplicación de estrategias tendientes a la mejra de los resultados de las pruebasa saber 11. </v>
      </c>
      <c r="T1778" s="70" t="str">
        <f>IFERROR(IF(VLOOKUP(A1778,[12]PRIORIZADOS!$A:$T,20,FALSE)="","",VLOOKUP(A1778,[12]PRIORIZADOS!$A:$T,20,FALSE)),"")</f>
        <v>No</v>
      </c>
      <c r="U1778" s="11" t="str">
        <f>IFERROR(IF(VLOOKUP(A1778,[12]PRIORIZADOS!$A:$U,21,FALSE)="","",VLOOKUP(A1778,[12]PRIORIZADOS!$A:$U,21,FALSE)),"")</f>
        <v>Se hará verificación en caso de presentarse requerimiento</v>
      </c>
    </row>
    <row r="1779" spans="1:21" s="1" customFormat="1" ht="72">
      <c r="A1779" s="69">
        <f>IF([12]PRIORIZADOS!A109="","",[12]PRIORIZADOS!A109)</f>
        <v>1751</v>
      </c>
      <c r="B1779" s="70">
        <v>12</v>
      </c>
      <c r="C1779" s="11" t="str">
        <f>IFERROR(IF(VLOOKUP(A1779,[12]PRIORIZADOS!$A:$C,3,FALSE)="","",VLOOKUP(A1779,[12]PRIORIZADOS!$A:$C,3,FALSE)),"")</f>
        <v>SAN CRISTÓBAL</v>
      </c>
      <c r="D1779" s="11" t="str">
        <f>IFERROR(IF(VLOOKUP(A1779,[12]PRIORIZADOS!$A:$D,4,FALSE)="","",VLOOKUP(A1779,[12]PRIORIZADOS!$A:$D,4,FALSE)),"")</f>
        <v>PRIVADO</v>
      </c>
      <c r="E1779" s="11" t="str">
        <f>IFERROR(IF(VLOOKUP(A1779,[12]PRIORIZADOS!$A:$E,5,FALSE)="","",VLOOKUP(A1779,[12]PRIORIZADOS!$A:$E,5,FALSE)),"")</f>
        <v>EPBM</v>
      </c>
      <c r="F1779" s="11" t="str">
        <f>IFERROR(IF(VLOOKUP(A1779,[12]PRIORIZADOS!$A:$F,6,FALSE)="","",VLOOKUP(A1779,[12]PRIORIZADOS!$A:$F,6,FALSE)),"")</f>
        <v>INSTITUTO_COMERCIAL_EDUARDO_TORRES_QUINTERO</v>
      </c>
      <c r="G1779" s="11" t="str">
        <f>IFERROR(IF(VLOOKUP(A1779,[12]PRIORIZADOS!$A:$G,7,FALSE)="","",VLOOKUP(A1779,[12]PRIORIZADOS!$A:$G,7,FALSE)),"")</f>
        <v>INSTITUTO COMERCIAL EDUARDO TORRES QUINTERO</v>
      </c>
      <c r="H1779" s="11" t="str">
        <f>IFERROR(IF(VLOOKUP(A1779,[12]PRIORIZADOS!$A:$H,8,FALSE)="","",VLOOKUP(A1779,[12]PRIORIZADOS!$A:$H,8,FALSE)),"")</f>
        <v>Autoevaluación Institucional y Pruebas SABER 11</v>
      </c>
      <c r="I1779" s="11" t="str">
        <f>IFERROR(IF(VLOOKUP(A1779,[12]PRIORIZADOS!$A:$I,9,FALSE)="","",VLOOKUP(A1779,[12]PRIORIZADOS!$A:$I,9,FALSE)),"")</f>
        <v>SEGUIMIENTO_Y_SUPERVISIÓN.</v>
      </c>
      <c r="J1779" s="11" t="str">
        <f>IFERROR(IF(VLOOKUP(A1779,[12]PRIORIZADOS!$A:$J,10,FALSE)="","",VLOOKUP(A1779,[12]PRIORIZADOS!$A:$J,10,FALSE)),"")</f>
        <v xml:space="preserve">Verificar la implementación por parte de los colegios, de acciones realizadas para la prevención y atención de las situaciones de convivencia en el entorno escolar, según lo establecido en la Directiva 01 de 2022 del MEN. </v>
      </c>
      <c r="K1779" s="11" t="str">
        <f>IFERROR(IF(VLOOKUP(A1779,[12]PRIORIZADOS!$A:$K,11,FALSE)="","",VLOOKUP(A1779,[12]PRIORIZADOS!$A:$K,11,FALSE)),"")</f>
        <v>JUANITA LINA CAROLINA RAMÍREZ LÓPEZ</v>
      </c>
      <c r="L1779" s="11" t="str">
        <f>IFERROR(IF(VLOOKUP(A1779,[12]PRIORIZADOS!$A:$L,12,FALSE)="","",VLOOKUP(A1779,[12]PRIORIZADOS!$A:$L,12,FALSE)),"")</f>
        <v>JAIRO ANDRÉS ÁLVAREZ CHÁVEZ</v>
      </c>
      <c r="M1779" s="71">
        <f>IFERROR(IF(VLOOKUP(A1779,[12]PRIORIZADOS!$A:$M,13,FALSE)="","",VLOOKUP(A1779,[12]PRIORIZADOS!$A:$M,13,FALSE)),"")</f>
        <v>45777</v>
      </c>
      <c r="N1779" s="71">
        <f>IFERROR(IF(VLOOKUP(A1779,[12]PRIORIZADOS!$A:$N,14,FALSE)="","",VLOOKUP(A1779,[12]PRIORIZADOS!$A:$N,14,FALSE)),"")</f>
        <v>45821</v>
      </c>
      <c r="O1779" s="71">
        <f>IFERROR(IF(VLOOKUP(A1779,[12]PRIORIZADOS!$A:$O,15,FALSE)="","",VLOOKUP(A1779,[12]PRIORIZADOS!$A:$O,15,FALSE)),"")</f>
        <v>45821</v>
      </c>
      <c r="P1779" s="11" t="str">
        <f>IFERROR(IF(VLOOKUP(A1779,[12]PRIORIZADOS!$A:$P,16,FALSE)="","",VLOOKUP(A1779,[12]PRIORIZADOS!$A:$P,16,FALSE)),"")</f>
        <v>Visitas de evaluación con fines de mejoramiento</v>
      </c>
      <c r="Q1779" s="107" t="s">
        <v>389</v>
      </c>
      <c r="R1779" s="11" t="str">
        <f>IFERROR(IF(VLOOKUP(A1779,[12]PRIORIZADOS!$A:$R,18,FALSE)="","",VLOOKUP(A1779,[12]PRIORIZADOS!$A:$R,18,FALSE)),"")</f>
        <v xml:space="preserve">El colegio tiene estructurado el plan de convivencia escolar y desde alli hacen la planeacion y abordaje de temas de promocion y prevencion.  Se encuentra verificación de antecedentes por delitos sexuales en las carpetas del personal. </v>
      </c>
      <c r="S1779" s="11" t="str">
        <f>IFERROR(IF(VLOOKUP(A1779,[12]PRIORIZADOS!$A:$S,19,FALSE)="","",VLOOKUP(A1779,[12]PRIORIZADOS!$A:$S,19,FALSE)),"")</f>
        <v xml:space="preserve">Realizar la verificación de antecedentes cada 4 meses. Continuar con el desarrollo de actividades de promocón y prevención. </v>
      </c>
      <c r="T1779" s="70" t="str">
        <f>IFERROR(IF(VLOOKUP(A1779,[12]PRIORIZADOS!$A:$T,20,FALSE)="","",VLOOKUP(A1779,[12]PRIORIZADOS!$A:$T,20,FALSE)),"")</f>
        <v>No</v>
      </c>
      <c r="U1779" s="11" t="str">
        <f>IFERROR(IF(VLOOKUP(A1779,[12]PRIORIZADOS!$A:$U,21,FALSE)="","",VLOOKUP(A1779,[12]PRIORIZADOS!$A:$U,21,FALSE)),"")</f>
        <v>Se hará verificación en caso de presentarse requerimiento</v>
      </c>
    </row>
    <row r="1780" spans="1:21" s="1" customFormat="1" ht="72">
      <c r="A1780" s="69">
        <f>IF([12]PRIORIZADOS!A110="","",[12]PRIORIZADOS!A110)</f>
        <v>1752</v>
      </c>
      <c r="B1780" s="70">
        <v>12</v>
      </c>
      <c r="C1780" s="11" t="str">
        <f>IFERROR(IF(VLOOKUP(A1780,[12]PRIORIZADOS!$A:$C,3,FALSE)="","",VLOOKUP(A1780,[12]PRIORIZADOS!$A:$C,3,FALSE)),"")</f>
        <v>SAN CRISTÓBAL</v>
      </c>
      <c r="D1780" s="11" t="str">
        <f>IFERROR(IF(VLOOKUP(A1780,[12]PRIORIZADOS!$A:$D,4,FALSE)="","",VLOOKUP(A1780,[12]PRIORIZADOS!$A:$D,4,FALSE)),"")</f>
        <v>PRIVADO</v>
      </c>
      <c r="E1780" s="11" t="str">
        <f>IFERROR(IF(VLOOKUP(A1780,[12]PRIORIZADOS!$A:$E,5,FALSE)="","",VLOOKUP(A1780,[12]PRIORIZADOS!$A:$E,5,FALSE)),"")</f>
        <v>EPBM</v>
      </c>
      <c r="F1780" s="11" t="str">
        <f>IFERROR(IF(VLOOKUP(A1780,[12]PRIORIZADOS!$A:$F,6,FALSE)="","",VLOOKUP(A1780,[12]PRIORIZADOS!$A:$F,6,FALSE)),"")</f>
        <v>INSTITUTO_COMERCIAL_EDUARDO_TORRES_QUINTERO</v>
      </c>
      <c r="G1780" s="11" t="str">
        <f>IFERROR(IF(VLOOKUP(A1780,[12]PRIORIZADOS!$A:$G,7,FALSE)="","",VLOOKUP(A1780,[12]PRIORIZADOS!$A:$G,7,FALSE)),"")</f>
        <v>INSTITUTO COMERCIAL EDUARDO TORRES QUINTERO</v>
      </c>
      <c r="H1780" s="11" t="str">
        <f>IFERROR(IF(VLOOKUP(A1780,[12]PRIORIZADOS!$A:$H,8,FALSE)="","",VLOOKUP(A1780,[12]PRIORIZADOS!$A:$H,8,FALSE)),"")</f>
        <v>Autoevaluación Institucional y Pruebas SABER 11</v>
      </c>
      <c r="I1780" s="11" t="str">
        <f>IFERROR(IF(VLOOKUP(A1780,[12]PRIORIZADOS!$A:$I,9,FALSE)="","",VLOOKUP(A1780,[12]PRIORIZADOS!$A:$I,9,FALSE)),"")</f>
        <v>SEGUIMIENTO_Y_SUPERVISIÓN.</v>
      </c>
      <c r="J1780" s="11" t="str">
        <f>IFERROR(IF(VLOOKUP(A1780,[12]PRIORIZADOS!$A:$J,10,FALSE)="","",VLOOKUP(A1780,[12]PRIORIZADOS!$A:$J,10,FALSE)),"")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80" s="11" t="str">
        <f>IFERROR(IF(VLOOKUP(A1780,[12]PRIORIZADOS!$A:$K,11,FALSE)="","",VLOOKUP(A1780,[12]PRIORIZADOS!$A:$K,11,FALSE)),"")</f>
        <v>JUANITA LINA CAROLINA RAMÍREZ LÓPEZ</v>
      </c>
      <c r="L1780" s="11" t="str">
        <f>IFERROR(IF(VLOOKUP(A1780,[12]PRIORIZADOS!$A:$L,12,FALSE)="","",VLOOKUP(A1780,[12]PRIORIZADOS!$A:$L,12,FALSE)),"")</f>
        <v>JAIRO ANDRÉS ÁLVAREZ CHÁVEZ</v>
      </c>
      <c r="M1780" s="71">
        <f>IFERROR(IF(VLOOKUP(A1780,[12]PRIORIZADOS!$A:$M,13,FALSE)="","",VLOOKUP(A1780,[12]PRIORIZADOS!$A:$M,13,FALSE)),"")</f>
        <v>45777</v>
      </c>
      <c r="N1780" s="71">
        <f>IFERROR(IF(VLOOKUP(A1780,[12]PRIORIZADOS!$A:$N,14,FALSE)="","",VLOOKUP(A1780,[12]PRIORIZADOS!$A:$N,14,FALSE)),"")</f>
        <v>45821</v>
      </c>
      <c r="O1780" s="71">
        <f>IFERROR(IF(VLOOKUP(A1780,[12]PRIORIZADOS!$A:$O,15,FALSE)="","",VLOOKUP(A1780,[12]PRIORIZADOS!$A:$O,15,FALSE)),"")</f>
        <v>45821</v>
      </c>
      <c r="P1780" s="11" t="str">
        <f>IFERROR(IF(VLOOKUP(A1780,[12]PRIORIZADOS!$A:$P,16,FALSE)="","",VLOOKUP(A1780,[12]PRIORIZADOS!$A:$P,16,FALSE)),"")</f>
        <v>Visitas de evaluación con fines de mejoramiento</v>
      </c>
      <c r="Q1780" s="107" t="s">
        <v>389</v>
      </c>
      <c r="R1780" s="11" t="str">
        <f>IFERROR(IF(VLOOKUP(A1780,[12]PRIORIZADOS!$A:$R,18,FALSE)="","",VLOOKUP(A1780,[12]PRIORIZADOS!$A:$R,18,FALSE)),"")</f>
        <v xml:space="preserve">La institución tiene un estudiante con diagnóstico que cuenta con PIAR, los demás estudiantes caracterizados están a la espera de diagnóstico. </v>
      </c>
      <c r="S1780" s="11" t="str">
        <f>IFERROR(IF(VLOOKUP(A1780,[12]PRIORIZADOS!$A:$S,19,FALSE)="","",VLOOKUP(A1780,[12]PRIORIZADOS!$A:$S,19,FALSE)),"")</f>
        <v xml:space="preserve">Realizar la verificación de antecedentes cada 4 meses. Continuar con el desarrollo de actividades de promocón y prevención. </v>
      </c>
      <c r="T1780" s="70" t="str">
        <f>IFERROR(IF(VLOOKUP(A1780,[12]PRIORIZADOS!$A:$T,20,FALSE)="","",VLOOKUP(A1780,[12]PRIORIZADOS!$A:$T,20,FALSE)),"")</f>
        <v>No</v>
      </c>
      <c r="U1780" s="11" t="str">
        <f>IFERROR(IF(VLOOKUP(A1780,[12]PRIORIZADOS!$A:$U,21,FALSE)="","",VLOOKUP(A1780,[12]PRIORIZADOS!$A:$U,21,FALSE)),"")</f>
        <v>Se hará verificación en caso de presentarse requerimiento</v>
      </c>
    </row>
    <row r="1781" spans="1:21" s="1" customFormat="1" ht="96">
      <c r="A1781" s="69">
        <f>IF([12]PRIORIZADOS!A111="","",[12]PRIORIZADOS!A111)</f>
        <v>1753</v>
      </c>
      <c r="B1781" s="70">
        <v>12</v>
      </c>
      <c r="C1781" s="11" t="str">
        <f>IFERROR(IF(VLOOKUP(A1781,[12]PRIORIZADOS!$A:$C,3,FALSE)="","",VLOOKUP(A1781,[12]PRIORIZADOS!$A:$C,3,FALSE)),"")</f>
        <v>SAN CRISTÓBAL</v>
      </c>
      <c r="D1781" s="11" t="str">
        <f>IFERROR(IF(VLOOKUP(A1781,[12]PRIORIZADOS!$A:$D,4,FALSE)="","",VLOOKUP(A1781,[12]PRIORIZADOS!$A:$D,4,FALSE)),"")</f>
        <v>PRIVADO</v>
      </c>
      <c r="E1781" s="11" t="str">
        <f>IFERROR(IF(VLOOKUP(A1781,[12]PRIORIZADOS!$A:$E,5,FALSE)="","",VLOOKUP(A1781,[12]PRIORIZADOS!$A:$E,5,FALSE)),"")</f>
        <v>EPBM</v>
      </c>
      <c r="F1781" s="11" t="str">
        <f>IFERROR(IF(VLOOKUP(A1781,[12]PRIORIZADOS!$A:$F,6,FALSE)="","",VLOOKUP(A1781,[12]PRIORIZADOS!$A:$F,6,FALSE)),"")</f>
        <v>INSTITUTO_COMERCIAL_EDUARDO_TORRES_QUINTERO</v>
      </c>
      <c r="G1781" s="11" t="str">
        <f>IFERROR(IF(VLOOKUP(A1781,[12]PRIORIZADOS!$A:$G,7,FALSE)="","",VLOOKUP(A1781,[12]PRIORIZADOS!$A:$G,7,FALSE)),"")</f>
        <v>INSTITUTO COMERCIAL EDUARDO TORRES QUINTERO</v>
      </c>
      <c r="H1781" s="11" t="str">
        <f>IFERROR(IF(VLOOKUP(A1781,[12]PRIORIZADOS!$A:$H,8,FALSE)="","",VLOOKUP(A1781,[12]PRIORIZADOS!$A:$H,8,FALSE)),"")</f>
        <v>Autoevaluación Institucional y Pruebas SABER 11</v>
      </c>
      <c r="I1781" s="11" t="str">
        <f>IFERROR(IF(VLOOKUP(A1781,[12]PRIORIZADOS!$A:$I,9,FALSE)="","",VLOOKUP(A1781,[12]PRIORIZADOS!$A:$I,9,FALSE)),"")</f>
        <v>EVALUACIÓN_CON_FINES_DE_MEJORAMIENTO.</v>
      </c>
      <c r="J1781" s="11" t="str">
        <f>IFERROR(IF(VLOOKUP(A1781,[12]PRIORIZADOS!$A:$J,10,FALSE)="","",VLOOKUP(A1781,[12]PRIORIZADOS!$A:$J,10,FALSE)),"")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81" s="11" t="str">
        <f>IFERROR(IF(VLOOKUP(A1781,[12]PRIORIZADOS!$A:$K,11,FALSE)="","",VLOOKUP(A1781,[12]PRIORIZADOS!$A:$K,11,FALSE)),"")</f>
        <v>JUANITA LINA CAROLINA RAMÍREZ LÓPEZ</v>
      </c>
      <c r="L1781" s="11" t="str">
        <f>IFERROR(IF(VLOOKUP(A1781,[12]PRIORIZADOS!$A:$L,12,FALSE)="","",VLOOKUP(A1781,[12]PRIORIZADOS!$A:$L,12,FALSE)),"")</f>
        <v>JAIRO ANDRÉS ÁLVAREZ CHÁVEZ</v>
      </c>
      <c r="M1781" s="71">
        <f>IFERROR(IF(VLOOKUP(A1781,[12]PRIORIZADOS!$A:$M,13,FALSE)="","",VLOOKUP(A1781,[12]PRIORIZADOS!$A:$M,13,FALSE)),"")</f>
        <v>45777</v>
      </c>
      <c r="N1781" s="71">
        <f>IFERROR(IF(VLOOKUP(A1781,[12]PRIORIZADOS!$A:$N,14,FALSE)="","",VLOOKUP(A1781,[12]PRIORIZADOS!$A:$N,14,FALSE)),"")</f>
        <v>45821</v>
      </c>
      <c r="O1781" s="71">
        <f>IFERROR(IF(VLOOKUP(A1781,[12]PRIORIZADOS!$A:$O,15,FALSE)="","",VLOOKUP(A1781,[12]PRIORIZADOS!$A:$O,15,FALSE)),"")</f>
        <v>45821</v>
      </c>
      <c r="P1781" s="11" t="str">
        <f>IFERROR(IF(VLOOKUP(A1781,[12]PRIORIZADOS!$A:$P,16,FALSE)="","",VLOOKUP(A1781,[12]PRIORIZADOS!$A:$P,16,FALSE)),"")</f>
        <v>Visitas de evaluación con fines de mejoramiento</v>
      </c>
      <c r="Q1781" s="107" t="s">
        <v>389</v>
      </c>
      <c r="R1781" s="11" t="str">
        <f>IFERROR(IF(VLOOKUP(A1781,[12]PRIORIZADOS!$A:$R,18,FALSE)="","",VLOOKUP(A1781,[12]PRIORIZADOS!$A:$R,18,FALSE)),"")</f>
        <v>Indican que el PEI, incluyendo Manual de convivencia y SIEE, se ajustó durante el año 2024. Se integró al Manual el enfoque restaurativo, poniendo en primer lugar el dialogo y la conciliacion por encima de la sancion. tambien registra lo especifico a Inclusion, en los referente al PIAR, SIEE y convivencia</v>
      </c>
      <c r="S1781" s="11" t="str">
        <f>IFERROR(IF(VLOOKUP(A1781,[12]PRIORIZADOS!$A:$S,19,FALSE)="","",VLOOKUP(A1781,[12]PRIORIZADOS!$A:$S,19,FALSE)),"")</f>
        <v xml:space="preserve">Documentar en  las actas de las instancias correspondientes los ajustes. que se realicen. </v>
      </c>
      <c r="T1781" s="70" t="str">
        <f>IFERROR(IF(VLOOKUP(A1781,[12]PRIORIZADOS!$A:$T,20,FALSE)="","",VLOOKUP(A1781,[12]PRIORIZADOS!$A:$T,20,FALSE)),"")</f>
        <v>No</v>
      </c>
      <c r="U1781" s="11" t="str">
        <f>IFERROR(IF(VLOOKUP(A1781,[12]PRIORIZADOS!$A:$U,21,FALSE)="","",VLOOKUP(A1781,[12]PRIORIZADOS!$A:$U,21,FALSE)),"")</f>
        <v>Se hará verificación en caso de presentarse requerimiento</v>
      </c>
    </row>
    <row r="1782" spans="1:21" s="1" customFormat="1" ht="96">
      <c r="A1782" s="69">
        <f>IF([12]PRIORIZADOS!A112="","",[12]PRIORIZADOS!A112)</f>
        <v>1754</v>
      </c>
      <c r="B1782" s="70">
        <v>12</v>
      </c>
      <c r="C1782" s="11" t="str">
        <f>IFERROR(IF(VLOOKUP(A1782,[12]PRIORIZADOS!$A:$C,3,FALSE)="","",VLOOKUP(A1782,[12]PRIORIZADOS!$A:$C,3,FALSE)),"")</f>
        <v>SAN CRISTÓBAL</v>
      </c>
      <c r="D1782" s="11" t="str">
        <f>IFERROR(IF(VLOOKUP(A1782,[12]PRIORIZADOS!$A:$D,4,FALSE)="","",VLOOKUP(A1782,[12]PRIORIZADOS!$A:$D,4,FALSE)),"")</f>
        <v>PRIVADO</v>
      </c>
      <c r="E1782" s="11" t="str">
        <f>IFERROR(IF(VLOOKUP(A1782,[12]PRIORIZADOS!$A:$E,5,FALSE)="","",VLOOKUP(A1782,[12]PRIORIZADOS!$A:$E,5,FALSE)),"")</f>
        <v>EPBM</v>
      </c>
      <c r="F1782" s="11" t="str">
        <f>IFERROR(IF(VLOOKUP(A1782,[12]PRIORIZADOS!$A:$F,6,FALSE)="","",VLOOKUP(A1782,[12]PRIORIZADOS!$A:$F,6,FALSE)),"")</f>
        <v>INSTITUTO_COMERCIAL_EDUARDO_TORRES_QUINTERO</v>
      </c>
      <c r="G1782" s="11" t="str">
        <f>IFERROR(IF(VLOOKUP(A1782,[12]PRIORIZADOS!$A:$G,7,FALSE)="","",VLOOKUP(A1782,[12]PRIORIZADOS!$A:$G,7,FALSE)),"")</f>
        <v>INSTITUTO COMERCIAL EDUARDO TORRES QUINTERO</v>
      </c>
      <c r="H1782" s="11" t="str">
        <f>IFERROR(IF(VLOOKUP(A1782,[12]PRIORIZADOS!$A:$H,8,FALSE)="","",VLOOKUP(A1782,[12]PRIORIZADOS!$A:$H,8,FALSE)),"")</f>
        <v>Autoevaluación Institucional y Pruebas SABER 11</v>
      </c>
      <c r="I1782" s="11" t="str">
        <f>IFERROR(IF(VLOOKUP(A1782,[12]PRIORIZADOS!$A:$I,9,FALSE)="","",VLOOKUP(A1782,[12]PRIORIZADOS!$A:$I,9,FALSE)),"")</f>
        <v>EVALUACIÓN_CON_FINES_DE_MEJORAMIENTO.</v>
      </c>
      <c r="J1782" s="11" t="str">
        <f>IFERROR(IF(VLOOKUP(A1782,[12]PRIORIZADOS!$A:$J,10,FALSE)="","",VLOOKUP(A1782,[12]PRIORIZADOS!$A:$J,10,FALSE)),"")</f>
        <v>Revisar la actualización, socialización e implementación del Sistema Institucional de Evaluación de Estudiantes - SIEE, en articulación con la actualización del PEI y la normatividad vigente.</v>
      </c>
      <c r="K1782" s="11" t="str">
        <f>IFERROR(IF(VLOOKUP(A1782,[12]PRIORIZADOS!$A:$K,11,FALSE)="","",VLOOKUP(A1782,[12]PRIORIZADOS!$A:$K,11,FALSE)),"")</f>
        <v>JUANITA LINA CAROLINA RAMÍREZ LÓPEZ</v>
      </c>
      <c r="L1782" s="11" t="str">
        <f>IFERROR(IF(VLOOKUP(A1782,[12]PRIORIZADOS!$A:$L,12,FALSE)="","",VLOOKUP(A1782,[12]PRIORIZADOS!$A:$L,12,FALSE)),"")</f>
        <v>JAIRO ANDRÉS ÁLVAREZ CHÁVEZ</v>
      </c>
      <c r="M1782" s="71">
        <f>IFERROR(IF(VLOOKUP(A1782,[12]PRIORIZADOS!$A:$M,13,FALSE)="","",VLOOKUP(A1782,[12]PRIORIZADOS!$A:$M,13,FALSE)),"")</f>
        <v>45777</v>
      </c>
      <c r="N1782" s="71">
        <f>IFERROR(IF(VLOOKUP(A1782,[12]PRIORIZADOS!$A:$N,14,FALSE)="","",VLOOKUP(A1782,[12]PRIORIZADOS!$A:$N,14,FALSE)),"")</f>
        <v>45821</v>
      </c>
      <c r="O1782" s="71">
        <f>IFERROR(IF(VLOOKUP(A1782,[12]PRIORIZADOS!$A:$O,15,FALSE)="","",VLOOKUP(A1782,[12]PRIORIZADOS!$A:$O,15,FALSE)),"")</f>
        <v>45821</v>
      </c>
      <c r="P1782" s="11" t="str">
        <f>IFERROR(IF(VLOOKUP(A1782,[12]PRIORIZADOS!$A:$P,16,FALSE)="","",VLOOKUP(A1782,[12]PRIORIZADOS!$A:$P,16,FALSE)),"")</f>
        <v>Visitas de evaluación con fines de mejoramiento</v>
      </c>
      <c r="Q1782" s="107" t="s">
        <v>389</v>
      </c>
      <c r="R1782" s="11" t="str">
        <f>IFERROR(IF(VLOOKUP(A1782,[12]PRIORIZADOS!$A:$R,18,FALSE)="","",VLOOKUP(A1782,[12]PRIORIZADOS!$A:$R,18,FALSE)),"")</f>
        <v>Indican que el PEI, incluyendo Manual de convivencia y SIEE, se ajustó durante el año 2024. Se integró al Manual el enfoque restaurativo, poniendo en primer lugar el dialogo y la conciliacion por encima de la sancion. tambien registra lo especifico a Inclusion, en los referente al PIAR, SIEE y convivencia</v>
      </c>
      <c r="S1782" s="11" t="str">
        <f>IFERROR(IF(VLOOKUP(A1782,[12]PRIORIZADOS!$A:$S,19,FALSE)="","",VLOOKUP(A1782,[12]PRIORIZADOS!$A:$S,19,FALSE)),"")</f>
        <v xml:space="preserve">Incluir lo referente a las estrategas de acompañamiento. </v>
      </c>
      <c r="T1782" s="70" t="str">
        <f>IFERROR(IF(VLOOKUP(A1782,[12]PRIORIZADOS!$A:$T,20,FALSE)="","",VLOOKUP(A1782,[12]PRIORIZADOS!$A:$T,20,FALSE)),"")</f>
        <v>No</v>
      </c>
      <c r="U1782" s="11" t="str">
        <f>IFERROR(IF(VLOOKUP(A1782,[12]PRIORIZADOS!$A:$U,21,FALSE)="","",VLOOKUP(A1782,[12]PRIORIZADOS!$A:$U,21,FALSE)),"")</f>
        <v>Se hará verificación en caso de presentarse requerimiento</v>
      </c>
    </row>
    <row r="1783" spans="1:21" s="1" customFormat="1" ht="48">
      <c r="A1783" s="69">
        <f>IF([12]PRIORIZADOS!A113="","",[12]PRIORIZADOS!A113)</f>
        <v>1755</v>
      </c>
      <c r="B1783" s="70">
        <v>12</v>
      </c>
      <c r="C1783" s="11" t="str">
        <f>IFERROR(IF(VLOOKUP(A1783,[12]PRIORIZADOS!$A:$C,3,FALSE)="","",VLOOKUP(A1783,[12]PRIORIZADOS!$A:$C,3,FALSE)),"")</f>
        <v>SAN CRISTÓBAL</v>
      </c>
      <c r="D1783" s="11" t="str">
        <f>IFERROR(IF(VLOOKUP(A1783,[12]PRIORIZADOS!$A:$D,4,FALSE)="","",VLOOKUP(A1783,[12]PRIORIZADOS!$A:$D,4,FALSE)),"")</f>
        <v>PRIVADO</v>
      </c>
      <c r="E1783" s="11" t="str">
        <f>IFERROR(IF(VLOOKUP(A1783,[12]PRIORIZADOS!$A:$E,5,FALSE)="","",VLOOKUP(A1783,[12]PRIORIZADOS!$A:$E,5,FALSE)),"")</f>
        <v>EPBM</v>
      </c>
      <c r="F1783" s="11" t="str">
        <f>IFERROR(IF(VLOOKUP(A1783,[12]PRIORIZADOS!$A:$F,6,FALSE)="","",VLOOKUP(A1783,[12]PRIORIZADOS!$A:$F,6,FALSE)),"")</f>
        <v>INSTITUTO_COMERCIAL_EDUARDO_TORRES_QUINTERO</v>
      </c>
      <c r="G1783" s="11" t="str">
        <f>IFERROR(IF(VLOOKUP(A1783,[12]PRIORIZADOS!$A:$G,7,FALSE)="","",VLOOKUP(A1783,[12]PRIORIZADOS!$A:$G,7,FALSE)),"")</f>
        <v>INSTITUTO COMERCIAL EDUARDO TORRES QUINTERO</v>
      </c>
      <c r="H1783" s="11" t="str">
        <f>IFERROR(IF(VLOOKUP(A1783,[12]PRIORIZADOS!$A:$H,8,FALSE)="","",VLOOKUP(A1783,[12]PRIORIZADOS!$A:$H,8,FALSE)),"")</f>
        <v>Autoevaluación Institucional y Pruebas SABER 11</v>
      </c>
      <c r="I1783" s="11" t="str">
        <f>IFERROR(IF(VLOOKUP(A1783,[12]PRIORIZADOS!$A:$I,9,FALSE)="","",VLOOKUP(A1783,[12]PRIORIZADOS!$A:$I,9,FALSE)),"")</f>
        <v>EVALUACIÓN_CON_FINES_DE_MEJORAMIENTO.</v>
      </c>
      <c r="J1783" s="11" t="str">
        <f>IFERROR(IF(VLOOKUP(A1783,[12]PRIORIZADOS!$A:$J,10,FALSE)="","",VLOOKUP(A1783,[12]PRIORIZADOS!$A:$J,10,FALSE)),"")</f>
        <v>Revisar el calendario escolar, jornada escolar, la intensidad horaria mínima anual en cada nivel y las modificaciones que se realicen al mismo, de acuerdo con lo previsto en la normatividad vigente.</v>
      </c>
      <c r="K1783" s="11" t="str">
        <f>IFERROR(IF(VLOOKUP(A1783,[12]PRIORIZADOS!$A:$K,11,FALSE)="","",VLOOKUP(A1783,[12]PRIORIZADOS!$A:$K,11,FALSE)),"")</f>
        <v>JUANITA LINA CAROLINA RAMÍREZ LÓPEZ</v>
      </c>
      <c r="L1783" s="11" t="str">
        <f>IFERROR(IF(VLOOKUP(A1783,[12]PRIORIZADOS!$A:$L,12,FALSE)="","",VLOOKUP(A1783,[12]PRIORIZADOS!$A:$L,12,FALSE)),"")</f>
        <v>JAIRO ANDRÉS ÁLVAREZ CHÁVEZ</v>
      </c>
      <c r="M1783" s="71">
        <f>IFERROR(IF(VLOOKUP(A1783,[12]PRIORIZADOS!$A:$M,13,FALSE)="","",VLOOKUP(A1783,[12]PRIORIZADOS!$A:$M,13,FALSE)),"")</f>
        <v>45777</v>
      </c>
      <c r="N1783" s="71">
        <f>IFERROR(IF(VLOOKUP(A1783,[12]PRIORIZADOS!$A:$N,14,FALSE)="","",VLOOKUP(A1783,[12]PRIORIZADOS!$A:$N,14,FALSE)),"")</f>
        <v>45821</v>
      </c>
      <c r="O1783" s="71">
        <f>IFERROR(IF(VLOOKUP(A1783,[12]PRIORIZADOS!$A:$O,15,FALSE)="","",VLOOKUP(A1783,[12]PRIORIZADOS!$A:$O,15,FALSE)),"")</f>
        <v>45821</v>
      </c>
      <c r="P1783" s="11" t="str">
        <f>IFERROR(IF(VLOOKUP(A1783,[12]PRIORIZADOS!$A:$P,16,FALSE)="","",VLOOKUP(A1783,[12]PRIORIZADOS!$A:$P,16,FALSE)),"")</f>
        <v>Visitas de evaluación con fines de mejoramiento</v>
      </c>
      <c r="Q1783" s="107" t="s">
        <v>389</v>
      </c>
      <c r="R1783" s="11" t="str">
        <f>IFERROR(IF(VLOOKUP(A1783,[12]PRIORIZADOS!$A:$R,18,FALSE)="","",VLOOKUP(A1783,[12]PRIORIZADOS!$A:$R,18,FALSE)),"")</f>
        <v xml:space="preserve">La institución cumplió con la remisión de Calendario, cumpliendo con horas y semanas reglamentarias </v>
      </c>
      <c r="S1783" s="11" t="str">
        <f>IFERROR(IF(VLOOKUP(A1783,[12]PRIORIZADOS!$A:$S,19,FALSE)="","",VLOOKUP(A1783,[12]PRIORIZADOS!$A:$S,19,FALSE)),"")</f>
        <v>Continuar con la prestación del servicio educativo de acuerdo con la normatividad vigente.</v>
      </c>
      <c r="T1783" s="70" t="str">
        <f>IFERROR(IF(VLOOKUP(A1783,[12]PRIORIZADOS!$A:$T,20,FALSE)="","",VLOOKUP(A1783,[12]PRIORIZADOS!$A:$T,20,FALSE)),"")</f>
        <v>No</v>
      </c>
      <c r="U1783" s="11" t="str">
        <f>IFERROR(IF(VLOOKUP(A1783,[12]PRIORIZADOS!$A:$U,21,FALSE)="","",VLOOKUP(A1783,[12]PRIORIZADOS!$A:$U,21,FALSE)),"")</f>
        <v>Se hará verificación en caso de presentarse requerimiento</v>
      </c>
    </row>
    <row r="1784" spans="1:21" s="1" customFormat="1" ht="48">
      <c r="A1784" s="69">
        <f>IF([12]PRIORIZADOS!A114="","",[12]PRIORIZADOS!A114)</f>
        <v>1756</v>
      </c>
      <c r="B1784" s="70">
        <v>12</v>
      </c>
      <c r="C1784" s="11" t="str">
        <f>IFERROR(IF(VLOOKUP(A1784,[12]PRIORIZADOS!$A:$C,3,FALSE)="","",VLOOKUP(A1784,[12]PRIORIZADOS!$A:$C,3,FALSE)),"")</f>
        <v>SAN CRISTÓBAL</v>
      </c>
      <c r="D1784" s="11" t="str">
        <f>IFERROR(IF(VLOOKUP(A1784,[12]PRIORIZADOS!$A:$D,4,FALSE)="","",VLOOKUP(A1784,[12]PRIORIZADOS!$A:$D,4,FALSE)),"")</f>
        <v>PRIVADO</v>
      </c>
      <c r="E1784" s="11" t="str">
        <f>IFERROR(IF(VLOOKUP(A1784,[12]PRIORIZADOS!$A:$E,5,FALSE)="","",VLOOKUP(A1784,[12]PRIORIZADOS!$A:$E,5,FALSE)),"")</f>
        <v>EPBM</v>
      </c>
      <c r="F1784" s="11" t="str">
        <f>IFERROR(IF(VLOOKUP(A1784,[12]PRIORIZADOS!$A:$F,6,FALSE)="","",VLOOKUP(A1784,[12]PRIORIZADOS!$A:$F,6,FALSE)),"")</f>
        <v>INSTITUTO_COMERCIAL_EDUARDO_TORRES_QUINTERO</v>
      </c>
      <c r="G1784" s="11" t="str">
        <f>IFERROR(IF(VLOOKUP(A1784,[12]PRIORIZADOS!$A:$G,7,FALSE)="","",VLOOKUP(A1784,[12]PRIORIZADOS!$A:$G,7,FALSE)),"")</f>
        <v>INSTITUTO COMERCIAL EDUARDO TORRES QUINTERO</v>
      </c>
      <c r="H1784" s="11" t="str">
        <f>IFERROR(IF(VLOOKUP(A1784,[12]PRIORIZADOS!$A:$H,8,FALSE)="","",VLOOKUP(A1784,[12]PRIORIZADOS!$A:$H,8,FALSE)),"")</f>
        <v>Autoevaluación Institucional y Pruebas SABER 11</v>
      </c>
      <c r="I1784" s="11" t="str">
        <f>IFERROR(IF(VLOOKUP(A1784,[12]PRIORIZADOS!$A:$I,9,FALSE)="","",VLOOKUP(A1784,[12]PRIORIZADOS!$A:$I,9,FALSE)),"")</f>
        <v>EVALUACIÓN_CON_FINES_DE_MEJORAMIENTO.</v>
      </c>
      <c r="J1784" s="11" t="str">
        <f>IFERROR(IF(VLOOKUP(A1784,[12]PRIORIZADOS!$A:$J,10,FALSE)="","",VLOOKUP(A1784,[12]PRIORIZADOS!$A:$J,10,FALSE)),"")</f>
        <v>Verificar el funcionamiento del Gobierno Escolar e instancias de participación con base en la información sobre conformación reportada por la institución educativa.</v>
      </c>
      <c r="K1784" s="11" t="str">
        <f>IFERROR(IF(VLOOKUP(A1784,[12]PRIORIZADOS!$A:$K,11,FALSE)="","",VLOOKUP(A1784,[12]PRIORIZADOS!$A:$K,11,FALSE)),"")</f>
        <v>JUANITA LINA CAROLINA RAMÍREZ LÓPEZ</v>
      </c>
      <c r="L1784" s="11" t="str">
        <f>IFERROR(IF(VLOOKUP(A1784,[12]PRIORIZADOS!$A:$L,12,FALSE)="","",VLOOKUP(A1784,[12]PRIORIZADOS!$A:$L,12,FALSE)),"")</f>
        <v>JAIRO ANDRÉS ÁLVAREZ CHÁVEZ</v>
      </c>
      <c r="M1784" s="71">
        <f>IFERROR(IF(VLOOKUP(A1784,[12]PRIORIZADOS!$A:$M,13,FALSE)="","",VLOOKUP(A1784,[12]PRIORIZADOS!$A:$M,13,FALSE)),"")</f>
        <v>45777</v>
      </c>
      <c r="N1784" s="71">
        <f>IFERROR(IF(VLOOKUP(A1784,[12]PRIORIZADOS!$A:$N,14,FALSE)="","",VLOOKUP(A1784,[12]PRIORIZADOS!$A:$N,14,FALSE)),"")</f>
        <v>45821</v>
      </c>
      <c r="O1784" s="71">
        <f>IFERROR(IF(VLOOKUP(A1784,[12]PRIORIZADOS!$A:$O,15,FALSE)="","",VLOOKUP(A1784,[12]PRIORIZADOS!$A:$O,15,FALSE)),"")</f>
        <v>45821</v>
      </c>
      <c r="P1784" s="11" t="str">
        <f>IFERROR(IF(VLOOKUP(A1784,[12]PRIORIZADOS!$A:$P,16,FALSE)="","",VLOOKUP(A1784,[12]PRIORIZADOS!$A:$P,16,FALSE)),"")</f>
        <v>Visitas de evaluación con fines de mejoramiento</v>
      </c>
      <c r="Q1784" s="107" t="s">
        <v>389</v>
      </c>
      <c r="R1784" s="11" t="str">
        <f>IFERROR(IF(VLOOKUP(A1784,[12]PRIORIZADOS!$A:$R,18,FALSE)="","",VLOOKUP(A1784,[12]PRIORIZADOS!$A:$R,18,FALSE)),"")</f>
        <v xml:space="preserve">Se verifican actas de consejo estudiantil, consejo de padres, consejo directivo, consejo académico, comité de convivencia. </v>
      </c>
      <c r="S1784" s="11" t="str">
        <f>IFERROR(IF(VLOOKUP(A1784,[12]PRIORIZADOS!$A:$S,19,FALSE)="","",VLOOKUP(A1784,[12]PRIORIZADOS!$A:$S,19,FALSE)),"")</f>
        <v>Para actas guardar unidad documental, registrar nominación, asistentes e inasistentes, quórum y mayorías de haber votación, registrar Roles</v>
      </c>
      <c r="T1784" s="70" t="str">
        <f>IFERROR(IF(VLOOKUP(A1784,[12]PRIORIZADOS!$A:$T,20,FALSE)="","",VLOOKUP(A1784,[12]PRIORIZADOS!$A:$T,20,FALSE)),"")</f>
        <v>No</v>
      </c>
      <c r="U1784" s="11" t="str">
        <f>IFERROR(IF(VLOOKUP(A1784,[12]PRIORIZADOS!$A:$U,21,FALSE)="","",VLOOKUP(A1784,[12]PRIORIZADOS!$A:$U,21,FALSE)),"")</f>
        <v>Se hará verificación en caso de presentarse requerimiento</v>
      </c>
    </row>
    <row r="1785" spans="1:21" s="1" customFormat="1" ht="36">
      <c r="A1785" s="69">
        <f>IF([12]PRIORIZADOS!A115="","",[12]PRIORIZADOS!A115)</f>
        <v>1757</v>
      </c>
      <c r="B1785" s="70">
        <v>12</v>
      </c>
      <c r="C1785" s="11" t="str">
        <f>IFERROR(IF(VLOOKUP(A1785,[12]PRIORIZADOS!$A:$C,3,FALSE)="","",VLOOKUP(A1785,[12]PRIORIZADOS!$A:$C,3,FALSE)),"")</f>
        <v>SAN CRISTÓBAL</v>
      </c>
      <c r="D1785" s="11" t="str">
        <f>IFERROR(IF(VLOOKUP(A1785,[12]PRIORIZADOS!$A:$D,4,FALSE)="","",VLOOKUP(A1785,[12]PRIORIZADOS!$A:$D,4,FALSE)),"")</f>
        <v>PRIVADO</v>
      </c>
      <c r="E1785" s="11" t="str">
        <f>IFERROR(IF(VLOOKUP(A1785,[12]PRIORIZADOS!$A:$E,5,FALSE)="","",VLOOKUP(A1785,[12]PRIORIZADOS!$A:$E,5,FALSE)),"")</f>
        <v>EPBM</v>
      </c>
      <c r="F1785" s="11" t="str">
        <f>IFERROR(IF(VLOOKUP(A1785,[12]PRIORIZADOS!$A:$F,6,FALSE)="","",VLOOKUP(A1785,[12]PRIORIZADOS!$A:$F,6,FALSE)),"")</f>
        <v>INSTITUTO_COMERCIAL_EDUARDO_TORRES_QUINTERO</v>
      </c>
      <c r="G1785" s="11" t="str">
        <f>IFERROR(IF(VLOOKUP(A1785,[12]PRIORIZADOS!$A:$G,7,FALSE)="","",VLOOKUP(A1785,[12]PRIORIZADOS!$A:$G,7,FALSE)),"")</f>
        <v>INSTITUTO COMERCIAL EDUARDO TORRES QUINTERO</v>
      </c>
      <c r="H1785" s="11" t="str">
        <f>IFERROR(IF(VLOOKUP(A1785,[12]PRIORIZADOS!$A:$H,8,FALSE)="","",VLOOKUP(A1785,[12]PRIORIZADOS!$A:$H,8,FALSE)),"")</f>
        <v>Autoevaluación Institucional y Pruebas SABER 11</v>
      </c>
      <c r="I1785" s="11" t="str">
        <f>IFERROR(IF(VLOOKUP(A1785,[12]PRIORIZADOS!$A:$I,9,FALSE)="","",VLOOKUP(A1785,[12]PRIORIZADOS!$A:$I,9,FALSE)),"")</f>
        <v>EVALUACIÓN_CON_FINES_DE_MEJORAMIENTO.</v>
      </c>
      <c r="J1785" s="11" t="str">
        <f>IFERROR(IF(VLOOKUP(A1785,[12]PRIORIZADOS!$A:$J,10,FALSE)="","",VLOOKUP(A1785,[12]PRIORIZADOS!$A:$J,10,FALSE)),"")</f>
        <v>Verificar las condiciones en cuanto a: la estructura administrativa, condiciones de la planta física y medios educativos adecuados.</v>
      </c>
      <c r="K1785" s="11" t="str">
        <f>IFERROR(IF(VLOOKUP(A1785,[12]PRIORIZADOS!$A:$K,11,FALSE)="","",VLOOKUP(A1785,[12]PRIORIZADOS!$A:$K,11,FALSE)),"")</f>
        <v>JUANITA LINA CAROLINA RAMÍREZ LÓPEZ</v>
      </c>
      <c r="L1785" s="11" t="str">
        <f>IFERROR(IF(VLOOKUP(A1785,[12]PRIORIZADOS!$A:$L,12,FALSE)="","",VLOOKUP(A1785,[12]PRIORIZADOS!$A:$L,12,FALSE)),"")</f>
        <v>JAIRO ANDRÉS ÁLVAREZ CHÁVEZ</v>
      </c>
      <c r="M1785" s="71">
        <f>IFERROR(IF(VLOOKUP(A1785,[12]PRIORIZADOS!$A:$M,13,FALSE)="","",VLOOKUP(A1785,[12]PRIORIZADOS!$A:$M,13,FALSE)),"")</f>
        <v>45777</v>
      </c>
      <c r="N1785" s="71">
        <f>IFERROR(IF(VLOOKUP(A1785,[12]PRIORIZADOS!$A:$N,14,FALSE)="","",VLOOKUP(A1785,[12]PRIORIZADOS!$A:$N,14,FALSE)),"")</f>
        <v>45821</v>
      </c>
      <c r="O1785" s="71">
        <f>IFERROR(IF(VLOOKUP(A1785,[12]PRIORIZADOS!$A:$O,15,FALSE)="","",VLOOKUP(A1785,[12]PRIORIZADOS!$A:$O,15,FALSE)),"")</f>
        <v>45821</v>
      </c>
      <c r="P1785" s="11" t="str">
        <f>IFERROR(IF(VLOOKUP(A1785,[12]PRIORIZADOS!$A:$P,16,FALSE)="","",VLOOKUP(A1785,[12]PRIORIZADOS!$A:$P,16,FALSE)),"")</f>
        <v>Visitas de evaluación con fines de mejoramiento</v>
      </c>
      <c r="Q1785" s="107" t="s">
        <v>389</v>
      </c>
      <c r="R1785" s="11" t="str">
        <f>IFERROR(IF(VLOOKUP(A1785,[12]PRIORIZADOS!$A:$R,18,FALSE)="","",VLOOKUP(A1785,[12]PRIORIZADOS!$A:$R,18,FALSE)),"")</f>
        <v>Se verifican condiciones de la infraestructura y acta de Secretaría de Salud 705541 del 2/5/2025</v>
      </c>
      <c r="S1785" s="11" t="str">
        <f>IFERROR(IF(VLOOKUP(A1785,[12]PRIORIZADOS!$A:$S,19,FALSE)="","",VLOOKUP(A1785,[12]PRIORIZADOS!$A:$S,19,FALSE)),"")</f>
        <v>Se observan avances en adecuaciones de algunos espacios, la IE debe continuar adaptaciones.</v>
      </c>
      <c r="T1785" s="70" t="str">
        <f>IFERROR(IF(VLOOKUP(A1785,[12]PRIORIZADOS!$A:$T,20,FALSE)="","",VLOOKUP(A1785,[12]PRIORIZADOS!$A:$T,20,FALSE)),"")</f>
        <v>No</v>
      </c>
      <c r="U1785" s="11" t="str">
        <f>IFERROR(IF(VLOOKUP(A1785,[12]PRIORIZADOS!$A:$U,21,FALSE)="","",VLOOKUP(A1785,[12]PRIORIZADOS!$A:$U,21,FALSE)),"")</f>
        <v>Se hará verificación en caso de presentarse requerimiento</v>
      </c>
    </row>
    <row r="1786" spans="1:21" s="1" customFormat="1" ht="72">
      <c r="A1786" s="69">
        <f>IF([12]PRIORIZADOS!A116="","",[12]PRIORIZADOS!A116)</f>
        <v>1758</v>
      </c>
      <c r="B1786" s="70">
        <v>13</v>
      </c>
      <c r="C1786" s="11" t="str">
        <f>IFERROR(IF(VLOOKUP(A1786,[12]PRIORIZADOS!$A:$C,3,FALSE)="","",VLOOKUP(A1786,[12]PRIORIZADOS!$A:$C,3,FALSE)),"")</f>
        <v>SAN CRISTÓBAL</v>
      </c>
      <c r="D1786" s="11" t="str">
        <f>IFERROR(IF(VLOOKUP(A1786,[12]PRIORIZADOS!$A:$D,4,FALSE)="","",VLOOKUP(A1786,[12]PRIORIZADOS!$A:$D,4,FALSE)),"")</f>
        <v>PRIVADO</v>
      </c>
      <c r="E1786" s="11" t="str">
        <f>IFERROR(IF(VLOOKUP(A1786,[12]PRIORIZADOS!$A:$E,5,FALSE)="","",VLOOKUP(A1786,[12]PRIORIZADOS!$A:$E,5,FALSE)),"")</f>
        <v>Educación de Jóvenes y Adultos</v>
      </c>
      <c r="F1786" s="11" t="str">
        <f>IFERROR(IF(VLOOKUP(A1786,[12]PRIORIZADOS!$A:$F,6,FALSE)="","",VLOOKUP(A1786,[12]PRIORIZADOS!$A:$F,6,FALSE)),"")</f>
        <v>INSTITUTO_DE_EDUCACION_FORMAL_DE_ADULTOS_EL_PENSAMIENTO_DE_PITAGORAS</v>
      </c>
      <c r="G1786" s="11" t="str">
        <f>IFERROR(IF(VLOOKUP(A1786,[12]PRIORIZADOS!$A:$G,7,FALSE)="","",VLOOKUP(A1786,[12]PRIORIZADOS!$A:$G,7,FALSE)),"")</f>
        <v>INSTITUTO DE EDUCACION FORMAL DE ADULTOS EL PENSAMIENTO DE PITAGORAS</v>
      </c>
      <c r="H1786" s="11" t="str">
        <f>IFERROR(IF(VLOOKUP(A1786,[12]PRIORIZADOS!$A:$H,8,FALSE)="","",VLOOKUP(A1786,[12]PRIORIZADOS!$A:$H,8,FALSE)),"")</f>
        <v>Autoevaluación Institucional y Pruebas SABER 11</v>
      </c>
      <c r="I1786" s="11" t="str">
        <f>IFERROR(IF(VLOOKUP(A1786,[12]PRIORIZADOS!$A:$I,9,FALSE)="","",VLOOKUP(A1786,[12]PRIORIZADOS!$A:$I,9,FALSE)),"")</f>
        <v>SEGUIMIENTO_Y_SUPERVISIÓN.</v>
      </c>
      <c r="J1786" s="11" t="str">
        <f>IFERROR(IF(VLOOKUP(A1786,[12]PRIORIZADOS!$A:$J,10,FALSE)="","",VLOOKUP(A1786,[12]PRIORIZADOS!$A:$J,10,FALSE)),"")</f>
        <v>Realizar visitas para verificar la información registrada sobre la autoevaluación institucional en el aplicativo EVI, a los establecimientos de educación formal no oficial.</v>
      </c>
      <c r="K1786" s="11" t="str">
        <f>IFERROR(IF(VLOOKUP(A1786,[12]PRIORIZADOS!$A:$K,11,FALSE)="","",VLOOKUP(A1786,[12]PRIORIZADOS!$A:$K,11,FALSE)),"")</f>
        <v>XIMENA CAROLINA RAMÍREZ MORALES</v>
      </c>
      <c r="L1786" s="11" t="str">
        <f>IFERROR(IF(VLOOKUP(A1786,[12]PRIORIZADOS!$A:$L,12,FALSE)="","",VLOOKUP(A1786,[12]PRIORIZADOS!$A:$L,12,FALSE)),"")</f>
        <v>JUANITA LINA CAROLINA RAMÍREZ LÓPEZ</v>
      </c>
      <c r="M1786" s="71">
        <f>IFERROR(IF(VLOOKUP(A1786,[12]PRIORIZADOS!$A:$M,13,FALSE)="","",VLOOKUP(A1786,[12]PRIORIZADOS!$A:$M,13,FALSE)),"")</f>
        <v>45731</v>
      </c>
      <c r="N1786" s="71">
        <f>IFERROR(IF(VLOOKUP(A1786,[12]PRIORIZADOS!$A:$N,14,FALSE)="","",VLOOKUP(A1786,[12]PRIORIZADOS!$A:$N,14,FALSE)),"")</f>
        <v>45731</v>
      </c>
      <c r="O1786" s="71">
        <f>IFERROR(IF(VLOOKUP(A1786,[12]PRIORIZADOS!$A:$O,15,FALSE)="","",VLOOKUP(A1786,[12]PRIORIZADOS!$A:$O,15,FALSE)),"")</f>
        <v>45731</v>
      </c>
      <c r="P1786" s="11" t="str">
        <f>IFERROR(IF(VLOOKUP(A1786,[12]PRIORIZADOS!$A:$P,16,FALSE)="","",VLOOKUP(A1786,[12]PRIORIZADOS!$A:$P,16,FALSE)),"")</f>
        <v>Visitas de evaluación con fines de mejoramiento</v>
      </c>
      <c r="Q1786" s="107" t="s">
        <v>390</v>
      </c>
      <c r="R1786" s="11" t="str">
        <f>IFERROR(IF(VLOOKUP(A1786,[12]PRIORIZADOS!$A:$R,18,FALSE)="","",VLOOKUP(A1786,[12]PRIORIZADOS!$A:$R,18,FALSE)),"")</f>
        <v>En lo referente a tarifas la IE cuenta con la plataforma Q10 que está parametrizada para cobros de 18 meses.</v>
      </c>
      <c r="S1786" s="11" t="str">
        <f>IFERROR(IF(VLOOKUP(A1786,[12]PRIORIZADOS!$A:$S,19,FALSE)="","",VLOOKUP(A1786,[12]PRIORIZADOS!$A:$S,19,FALSE)),"")</f>
        <v>Se le indica a la IE que los cobros se deben realizar por cada CLEI</v>
      </c>
      <c r="T1786" s="70" t="str">
        <f>IFERROR(IF(VLOOKUP(A1786,[12]PRIORIZADOS!$A:$T,20,FALSE)="","",VLOOKUP(A1786,[12]PRIORIZADOS!$A:$T,20,FALSE)),"")</f>
        <v>Si</v>
      </c>
      <c r="U1786" s="11" t="str">
        <f>IFERROR(IF(VLOOKUP(A1786,[12]PRIORIZADOS!$A:$U,21,FALSE)="","",VLOOKUP(A1786,[12]PRIORIZADOS!$A:$U,21,FALSE)),"")</f>
        <v xml:space="preserve">Se acordó remitir un ejemplo de recibo de pago actualizado. Fecha: 04/04/2025
Se realizó encuentro el 26 de septiembre con el fin de hacer seguimiento a los acuerdos establecidos en la Visita Administrativa. Se acordó remitir actas de funcionamiento de Gobierno Escolar. Remitir copia de panillas de seguridad social. Realizar actualización del SIMAT y remitir listados de estudiantes por ciclo y jornada.  Fecha 15/10/2025. La IE remitió lo acordado. </v>
      </c>
    </row>
    <row r="1787" spans="1:21" s="1" customFormat="1" ht="60">
      <c r="A1787" s="69">
        <f>IF([12]PRIORIZADOS!A117="","",[12]PRIORIZADOS!A117)</f>
        <v>1759</v>
      </c>
      <c r="B1787" s="70">
        <v>13</v>
      </c>
      <c r="C1787" s="11" t="str">
        <f>IFERROR(IF(VLOOKUP(A1787,[12]PRIORIZADOS!$A:$C,3,FALSE)="","",VLOOKUP(A1787,[12]PRIORIZADOS!$A:$C,3,FALSE)),"")</f>
        <v>SAN CRISTÓBAL</v>
      </c>
      <c r="D1787" s="11" t="str">
        <f>IFERROR(IF(VLOOKUP(A1787,[12]PRIORIZADOS!$A:$D,4,FALSE)="","",VLOOKUP(A1787,[12]PRIORIZADOS!$A:$D,4,FALSE)),"")</f>
        <v>PRIVADO</v>
      </c>
      <c r="E1787" s="11" t="str">
        <f>IFERROR(IF(VLOOKUP(A1787,[12]PRIORIZADOS!$A:$E,5,FALSE)="","",VLOOKUP(A1787,[12]PRIORIZADOS!$A:$E,5,FALSE)),"")</f>
        <v>Educación de Jóvenes y Adultos</v>
      </c>
      <c r="F1787" s="11" t="str">
        <f>IFERROR(IF(VLOOKUP(A1787,[12]PRIORIZADOS!$A:$F,6,FALSE)="","",VLOOKUP(A1787,[12]PRIORIZADOS!$A:$F,6,FALSE)),"")</f>
        <v>INSTITUTO_DE_EDUCACION_FORMAL_DE_ADULTOS_EL_PENSAMIENTO_DE_PITAGORAS</v>
      </c>
      <c r="G1787" s="11" t="str">
        <f>IFERROR(IF(VLOOKUP(A1787,[12]PRIORIZADOS!$A:$G,7,FALSE)="","",VLOOKUP(A1787,[12]PRIORIZADOS!$A:$G,7,FALSE)),"")</f>
        <v>INSTITUTO DE EDUCACION FORMAL DE ADULTOS EL PENSAMIENTO DE PITAGORAS</v>
      </c>
      <c r="H1787" s="11" t="str">
        <f>IFERROR(IF(VLOOKUP(A1787,[12]PRIORIZADOS!$A:$H,8,FALSE)="","",VLOOKUP(A1787,[12]PRIORIZADOS!$A:$H,8,FALSE)),"")</f>
        <v>Autoevaluación Institucional y Pruebas SABER 11</v>
      </c>
      <c r="I1787" s="11" t="str">
        <f>IFERROR(IF(VLOOKUP(A1787,[12]PRIORIZADOS!$A:$I,9,FALSE)="","",VLOOKUP(A1787,[12]PRIORIZADOS!$A:$I,9,FALSE)),"")</f>
        <v>SEGUIMIENTO_Y_SUPERVISIÓN.</v>
      </c>
      <c r="J1787" s="11" t="str">
        <f>IFERROR(IF(VLOOKUP(A1787,[12]PRIORIZADOS!$A:$J,10,FALSE)="","",VLOOKUP(A1787,[12]PRIORIZADOS!$A:$J,10,FALSE)),"")</f>
        <v>Proponer estrategias en la formulación, verificar su elaboración y realizar seguimiento semestral al desarrollo de  las acciones establecidas en los planes de mejoramiento por pruebas SABER 11 de los establecimientos de educación formal.</v>
      </c>
      <c r="K1787" s="11" t="str">
        <f>IFERROR(IF(VLOOKUP(A1787,[12]PRIORIZADOS!$A:$K,11,FALSE)="","",VLOOKUP(A1787,[12]PRIORIZADOS!$A:$K,11,FALSE)),"")</f>
        <v>XIMENA CAROLINA RAMÍREZ MORALES</v>
      </c>
      <c r="L1787" s="11" t="str">
        <f>IFERROR(IF(VLOOKUP(A1787,[12]PRIORIZADOS!$A:$L,12,FALSE)="","",VLOOKUP(A1787,[12]PRIORIZADOS!$A:$L,12,FALSE)),"")</f>
        <v>JUANITA LINA CAROLINA RAMÍREZ LÓPEZ</v>
      </c>
      <c r="M1787" s="71">
        <f>IFERROR(IF(VLOOKUP(A1787,[12]PRIORIZADOS!$A:$M,13,FALSE)="","",VLOOKUP(A1787,[12]PRIORIZADOS!$A:$M,13,FALSE)),"")</f>
        <v>45731</v>
      </c>
      <c r="N1787" s="71">
        <f>IFERROR(IF(VLOOKUP(A1787,[12]PRIORIZADOS!$A:$N,14,FALSE)="","",VLOOKUP(A1787,[12]PRIORIZADOS!$A:$N,14,FALSE)),"")</f>
        <v>45731</v>
      </c>
      <c r="O1787" s="71">
        <f>IFERROR(IF(VLOOKUP(A1787,[12]PRIORIZADOS!$A:$O,15,FALSE)="","",VLOOKUP(A1787,[12]PRIORIZADOS!$A:$O,15,FALSE)),"")</f>
        <v>45731</v>
      </c>
      <c r="P1787" s="11" t="str">
        <f>IFERROR(IF(VLOOKUP(A1787,[12]PRIORIZADOS!$A:$P,16,FALSE)="","",VLOOKUP(A1787,[12]PRIORIZADOS!$A:$P,16,FALSE)),"")</f>
        <v>Visitas de evaluación con fines de mejoramiento</v>
      </c>
      <c r="Q1787" s="107" t="s">
        <v>390</v>
      </c>
      <c r="R1787" s="11" t="str">
        <f>IFERROR(IF(VLOOKUP(A1787,[12]PRIORIZADOS!$A:$R,18,FALSE)="","",VLOOKUP(A1787,[12]PRIORIZADOS!$A:$R,18,FALSE)),"")</f>
        <v>Los resultados históricos evidencian que la IE ha quedado clasificada en categoría D en los últimos años.</v>
      </c>
      <c r="S1787" s="11" t="str">
        <f>IFERROR(IF(VLOOKUP(A1787,[12]PRIORIZADOS!$A:$S,19,FALSE)="","",VLOOKUP(A1787,[12]PRIORIZADOS!$A:$S,19,FALSE)),"")</f>
        <v>La IE proyecta utilizar la plataforma RED SABER para fortalecer las competencias, realizar simulacros y prepararlos para las pruebas.</v>
      </c>
      <c r="T1787" s="70" t="str">
        <f>IFERROR(IF(VLOOKUP(A1787,[12]PRIORIZADOS!$A:$T,20,FALSE)="","",VLOOKUP(A1787,[12]PRIORIZADOS!$A:$T,20,FALSE)),"")</f>
        <v>No</v>
      </c>
      <c r="U1787" s="11" t="str">
        <f>IFERROR(IF(VLOOKUP(A1787,[12]PRIORIZADOS!$A:$U,21,FALSE)="","",VLOOKUP(A1787,[12]PRIORIZADOS!$A:$U,21,FALSE)),"")</f>
        <v>En la próxima visita de verificarán las acciones desarrolladas por la institución.</v>
      </c>
    </row>
    <row r="1788" spans="1:21" s="1" customFormat="1" ht="107.25">
      <c r="A1788" s="69">
        <f>IF([12]PRIORIZADOS!A118="","",[12]PRIORIZADOS!A118)</f>
        <v>1760</v>
      </c>
      <c r="B1788" s="70">
        <v>13</v>
      </c>
      <c r="C1788" s="11" t="str">
        <f>IFERROR(IF(VLOOKUP(A1788,[12]PRIORIZADOS!$A:$C,3,FALSE)="","",VLOOKUP(A1788,[12]PRIORIZADOS!$A:$C,3,FALSE)),"")</f>
        <v>SAN CRISTÓBAL</v>
      </c>
      <c r="D1788" s="11" t="str">
        <f>IFERROR(IF(VLOOKUP(A1788,[12]PRIORIZADOS!$A:$D,4,FALSE)="","",VLOOKUP(A1788,[12]PRIORIZADOS!$A:$D,4,FALSE)),"")</f>
        <v>PRIVADO</v>
      </c>
      <c r="E1788" s="11" t="str">
        <f>IFERROR(IF(VLOOKUP(A1788,[12]PRIORIZADOS!$A:$E,5,FALSE)="","",VLOOKUP(A1788,[12]PRIORIZADOS!$A:$E,5,FALSE)),"")</f>
        <v>Educación de Jóvenes y Adultos</v>
      </c>
      <c r="F1788" s="11" t="str">
        <f>IFERROR(IF(VLOOKUP(A1788,[12]PRIORIZADOS!$A:$F,6,FALSE)="","",VLOOKUP(A1788,[12]PRIORIZADOS!$A:$F,6,FALSE)),"")</f>
        <v>INSTITUTO_DE_EDUCACION_FORMAL_DE_ADULTOS_EL_PENSAMIENTO_DE_PITAGORAS</v>
      </c>
      <c r="G1788" s="11" t="str">
        <f>IFERROR(IF(VLOOKUP(A1788,[12]PRIORIZADOS!$A:$G,7,FALSE)="","",VLOOKUP(A1788,[12]PRIORIZADOS!$A:$G,7,FALSE)),"")</f>
        <v>INSTITUTO DE EDUCACION FORMAL DE ADULTOS EL PENSAMIENTO DE PITAGORAS</v>
      </c>
      <c r="H1788" s="11" t="str">
        <f>IFERROR(IF(VLOOKUP(A1788,[12]PRIORIZADOS!$A:$H,8,FALSE)="","",VLOOKUP(A1788,[12]PRIORIZADOS!$A:$H,8,FALSE)),"")</f>
        <v>Autoevaluación Institucional y Pruebas SABER 11</v>
      </c>
      <c r="I1788" s="11" t="str">
        <f>IFERROR(IF(VLOOKUP(A1788,[12]PRIORIZADOS!$A:$I,9,FALSE)="","",VLOOKUP(A1788,[12]PRIORIZADOS!$A:$I,9,FALSE)),"")</f>
        <v>SEGUIMIENTO_Y_SUPERVISIÓN.</v>
      </c>
      <c r="J1788" s="11" t="str">
        <f>IFERROR(IF(VLOOKUP(A1788,[12]PRIORIZADOS!$A:$J,10,FALSE)="","",VLOOKUP(A1788,[12]PRIORIZADOS!$A:$J,10,FALSE)),"")</f>
        <v xml:space="preserve">Verificar la implementación por parte de los colegios, de acciones realizadas para la prevención y atención de las situaciones de convivencia en el entorno escolar, según lo establecido en la Directiva 01 de 2022 del MEN. </v>
      </c>
      <c r="K1788" s="11" t="str">
        <f>IFERROR(IF(VLOOKUP(A1788,[12]PRIORIZADOS!$A:$K,11,FALSE)="","",VLOOKUP(A1788,[12]PRIORIZADOS!$A:$K,11,FALSE)),"")</f>
        <v>XIMENA CAROLINA RAMÍREZ MORALES</v>
      </c>
      <c r="L1788" s="11" t="str">
        <f>IFERROR(IF(VLOOKUP(A1788,[12]PRIORIZADOS!$A:$L,12,FALSE)="","",VLOOKUP(A1788,[12]PRIORIZADOS!$A:$L,12,FALSE)),"")</f>
        <v>JUANITA LINA CAROLINA RAMÍREZ LÓPEZ</v>
      </c>
      <c r="M1788" s="71">
        <f>IFERROR(IF(VLOOKUP(A1788,[12]PRIORIZADOS!$A:$M,13,FALSE)="","",VLOOKUP(A1788,[12]PRIORIZADOS!$A:$M,13,FALSE)),"")</f>
        <v>45731</v>
      </c>
      <c r="N1788" s="71">
        <f>IFERROR(IF(VLOOKUP(A1788,[12]PRIORIZADOS!$A:$N,14,FALSE)="","",VLOOKUP(A1788,[12]PRIORIZADOS!$A:$N,14,FALSE)),"")</f>
        <v>45731</v>
      </c>
      <c r="O1788" s="71">
        <f>IFERROR(IF(VLOOKUP(A1788,[12]PRIORIZADOS!$A:$O,15,FALSE)="","",VLOOKUP(A1788,[12]PRIORIZADOS!$A:$O,15,FALSE)),"")</f>
        <v>45731</v>
      </c>
      <c r="P1788" s="11" t="str">
        <f>IFERROR(IF(VLOOKUP(A1788,[12]PRIORIZADOS!$A:$P,16,FALSE)="","",VLOOKUP(A1788,[12]PRIORIZADOS!$A:$P,16,FALSE)),"")</f>
        <v>Visitas de evaluación con fines de mejoramiento</v>
      </c>
      <c r="Q1788" s="107" t="s">
        <v>390</v>
      </c>
      <c r="R1788" s="11" t="str">
        <f>IFERROR(IF(VLOOKUP(A1788,[12]PRIORIZADOS!$A:$R,18,FALSE)="","",VLOOKUP(A1788,[12]PRIORIZADOS!$A:$R,18,FALSE)),"")</f>
        <v>Los directivos de la institución indican que se están gestionando charlas de promoción y prevención con la Sub Red Centro Oriente, Secretaria de Seguridad y con  la Oficina para la Convivencia Escolar – OCE. Los docentes y personal contratado cuenta en la fecha de la visita con la verificación de antecedentes por Violencia sexual (directiva 01)</v>
      </c>
      <c r="S1788" s="11" t="str">
        <f>IFERROR(IF(VLOOKUP(A1788,[12]PRIORIZADOS!$A:$S,19,FALSE)="","",VLOOKUP(A1788,[12]PRIORIZADOS!$A:$S,19,FALSE)),"")</f>
        <v>Se acuerda remitir el cronograma de las actividades proyectadas y consolidar las evidencias correspondientes de su desarrollo. Se  le indica a la IE que la consulta de antecedentes por violencia sexual, se debe realizar cada 4 meses e ir conservando los soportes.</v>
      </c>
      <c r="T1788" s="70" t="str">
        <f>IFERROR(IF(VLOOKUP(A1788,[12]PRIORIZADOS!$A:$T,20,FALSE)="","",VLOOKUP(A1788,[12]PRIORIZADOS!$A:$T,20,FALSE)),"")</f>
        <v>No</v>
      </c>
      <c r="U1788" s="11" t="str">
        <f>IFERROR(IF(VLOOKUP(A1788,[12]PRIORIZADOS!$A:$U,21,FALSE)="","",VLOOKUP(A1788,[12]PRIORIZADOS!$A:$U,21,FALSE)),"")</f>
        <v>En la próxima visita de verificarán las actividades desarrolladas por la institución.</v>
      </c>
    </row>
    <row r="1789" spans="1:21" s="1" customFormat="1" ht="72">
      <c r="A1789" s="69">
        <f>IF([12]PRIORIZADOS!A119="","",[12]PRIORIZADOS!A119)</f>
        <v>1761</v>
      </c>
      <c r="B1789" s="70">
        <v>13</v>
      </c>
      <c r="C1789" s="11" t="str">
        <f>IFERROR(IF(VLOOKUP(A1789,[12]PRIORIZADOS!$A:$C,3,FALSE)="","",VLOOKUP(A1789,[12]PRIORIZADOS!$A:$C,3,FALSE)),"")</f>
        <v>SAN CRISTÓBAL</v>
      </c>
      <c r="D1789" s="11" t="str">
        <f>IFERROR(IF(VLOOKUP(A1789,[12]PRIORIZADOS!$A:$D,4,FALSE)="","",VLOOKUP(A1789,[12]PRIORIZADOS!$A:$D,4,FALSE)),"")</f>
        <v>PRIVADO</v>
      </c>
      <c r="E1789" s="11" t="str">
        <f>IFERROR(IF(VLOOKUP(A1789,[12]PRIORIZADOS!$A:$E,5,FALSE)="","",VLOOKUP(A1789,[12]PRIORIZADOS!$A:$E,5,FALSE)),"")</f>
        <v>Educación de Jóvenes y Adultos</v>
      </c>
      <c r="F1789" s="11" t="str">
        <f>IFERROR(IF(VLOOKUP(A1789,[12]PRIORIZADOS!$A:$F,6,FALSE)="","",VLOOKUP(A1789,[12]PRIORIZADOS!$A:$F,6,FALSE)),"")</f>
        <v>INSTITUTO_DE_EDUCACION_FORMAL_DE_ADULTOS_EL_PENSAMIENTO_DE_PITAGORAS</v>
      </c>
      <c r="G1789" s="11" t="str">
        <f>IFERROR(IF(VLOOKUP(A1789,[12]PRIORIZADOS!$A:$G,7,FALSE)="","",VLOOKUP(A1789,[12]PRIORIZADOS!$A:$G,7,FALSE)),"")</f>
        <v>INSTITUTO DE EDUCACION FORMAL DE ADULTOS EL PENSAMIENTO DE PITAGORAS</v>
      </c>
      <c r="H1789" s="11" t="str">
        <f>IFERROR(IF(VLOOKUP(A1789,[12]PRIORIZADOS!$A:$H,8,FALSE)="","",VLOOKUP(A1789,[12]PRIORIZADOS!$A:$H,8,FALSE)),"")</f>
        <v>Autoevaluación Institucional y Pruebas SABER 11</v>
      </c>
      <c r="I1789" s="11" t="str">
        <f>IFERROR(IF(VLOOKUP(A1789,[12]PRIORIZADOS!$A:$I,9,FALSE)="","",VLOOKUP(A1789,[12]PRIORIZADOS!$A:$I,9,FALSE)),"")</f>
        <v>SEGUIMIENTO_Y_SUPERVISIÓN.</v>
      </c>
      <c r="J1789" s="11" t="str">
        <f>IFERROR(IF(VLOOKUP(A1789,[12]PRIORIZADOS!$A:$J,10,FALSE)="","",VLOOKUP(A1789,[12]PRIORIZADOS!$A:$J,10,FALSE)),"")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89" s="11" t="str">
        <f>IFERROR(IF(VLOOKUP(A1789,[12]PRIORIZADOS!$A:$K,11,FALSE)="","",VLOOKUP(A1789,[12]PRIORIZADOS!$A:$K,11,FALSE)),"")</f>
        <v>XIMENA CAROLINA RAMÍREZ MORALES</v>
      </c>
      <c r="L1789" s="11" t="str">
        <f>IFERROR(IF(VLOOKUP(A1789,[12]PRIORIZADOS!$A:$L,12,FALSE)="","",VLOOKUP(A1789,[12]PRIORIZADOS!$A:$L,12,FALSE)),"")</f>
        <v>JUANITA LINA CAROLINA RAMÍREZ LÓPEZ</v>
      </c>
      <c r="M1789" s="71">
        <f>IFERROR(IF(VLOOKUP(A1789,[12]PRIORIZADOS!$A:$M,13,FALSE)="","",VLOOKUP(A1789,[12]PRIORIZADOS!$A:$M,13,FALSE)),"")</f>
        <v>45731</v>
      </c>
      <c r="N1789" s="71">
        <f>IFERROR(IF(VLOOKUP(A1789,[12]PRIORIZADOS!$A:$N,14,FALSE)="","",VLOOKUP(A1789,[12]PRIORIZADOS!$A:$N,14,FALSE)),"")</f>
        <v>45731</v>
      </c>
      <c r="O1789" s="71">
        <f>IFERROR(IF(VLOOKUP(A1789,[12]PRIORIZADOS!$A:$O,15,FALSE)="","",VLOOKUP(A1789,[12]PRIORIZADOS!$A:$O,15,FALSE)),"")</f>
        <v>45731</v>
      </c>
      <c r="P1789" s="11" t="str">
        <f>IFERROR(IF(VLOOKUP(A1789,[12]PRIORIZADOS!$A:$P,16,FALSE)="","",VLOOKUP(A1789,[12]PRIORIZADOS!$A:$P,16,FALSE)),"")</f>
        <v>Visitas de evaluación con fines de mejoramiento</v>
      </c>
      <c r="Q1789" s="107" t="s">
        <v>390</v>
      </c>
      <c r="R1789" s="11" t="str">
        <f>IFERROR(IF(VLOOKUP(A1789,[12]PRIORIZADOS!$A:$R,18,FALSE)="","",VLOOKUP(A1789,[12]PRIORIZADOS!$A:$R,18,FALSE)),"")</f>
        <v>La IE indica no tener el presente semestre población con diagnóstico de discapacidad. Manifiestan necesidad de cualificación respecto a la aplicación del Decreto 1421</v>
      </c>
      <c r="S1789" s="11" t="str">
        <f>IFERROR(IF(VLOOKUP(A1789,[12]PRIORIZADOS!$A:$S,19,FALSE)="","",VLOOKUP(A1789,[12]PRIORIZADOS!$A:$S,19,FALSE)),"")</f>
        <v>Se orientan acciones respecto a un caso particular. 
Desde la DLE se programará una capacitación Decreto 1421</v>
      </c>
      <c r="T1789" s="70" t="str">
        <f>IFERROR(IF(VLOOKUP(A1789,[12]PRIORIZADOS!$A:$T,20,FALSE)="","",VLOOKUP(A1789,[12]PRIORIZADOS!$A:$T,20,FALSE)),"")</f>
        <v>No</v>
      </c>
      <c r="U1789" s="11" t="str">
        <f>IFERROR(IF(VLOOKUP(A1789,[12]PRIORIZADOS!$A:$U,21,FALSE)="","",VLOOKUP(A1789,[12]PRIORIZADOS!$A:$U,21,FALSE)),"")</f>
        <v>Desde la DLE se programará una capacitación Decreto 1421.</v>
      </c>
    </row>
    <row r="1790" spans="1:21" s="1" customFormat="1" ht="84">
      <c r="A1790" s="69">
        <f>IF([12]PRIORIZADOS!A120="","",[12]PRIORIZADOS!A120)</f>
        <v>1762</v>
      </c>
      <c r="B1790" s="70">
        <v>13</v>
      </c>
      <c r="C1790" s="11" t="str">
        <f>IFERROR(IF(VLOOKUP(A1790,[12]PRIORIZADOS!$A:$C,3,FALSE)="","",VLOOKUP(A1790,[12]PRIORIZADOS!$A:$C,3,FALSE)),"")</f>
        <v>SAN CRISTÓBAL</v>
      </c>
      <c r="D1790" s="11" t="str">
        <f>IFERROR(IF(VLOOKUP(A1790,[12]PRIORIZADOS!$A:$D,4,FALSE)="","",VLOOKUP(A1790,[12]PRIORIZADOS!$A:$D,4,FALSE)),"")</f>
        <v>PRIVADO</v>
      </c>
      <c r="E1790" s="11" t="str">
        <f>IFERROR(IF(VLOOKUP(A1790,[12]PRIORIZADOS!$A:$E,5,FALSE)="","",VLOOKUP(A1790,[12]PRIORIZADOS!$A:$E,5,FALSE)),"")</f>
        <v>Educación de Jóvenes y Adultos</v>
      </c>
      <c r="F1790" s="11" t="str">
        <f>IFERROR(IF(VLOOKUP(A1790,[12]PRIORIZADOS!$A:$F,6,FALSE)="","",VLOOKUP(A1790,[12]PRIORIZADOS!$A:$F,6,FALSE)),"")</f>
        <v>INSTITUTO_DE_EDUCACION_FORMAL_DE_ADULTOS_EL_PENSAMIENTO_DE_PITAGORAS</v>
      </c>
      <c r="G1790" s="11" t="str">
        <f>IFERROR(IF(VLOOKUP(A1790,[12]PRIORIZADOS!$A:$G,7,FALSE)="","",VLOOKUP(A1790,[12]PRIORIZADOS!$A:$G,7,FALSE)),"")</f>
        <v>INSTITUTO DE EDUCACION FORMAL DE ADULTOS EL PENSAMIENTO DE PITAGORAS</v>
      </c>
      <c r="H1790" s="11" t="str">
        <f>IFERROR(IF(VLOOKUP(A1790,[12]PRIORIZADOS!$A:$H,8,FALSE)="","",VLOOKUP(A1790,[12]PRIORIZADOS!$A:$H,8,FALSE)),"")</f>
        <v>Autoevaluación Institucional y Pruebas SABER 11</v>
      </c>
      <c r="I1790" s="11" t="str">
        <f>IFERROR(IF(VLOOKUP(A1790,[12]PRIORIZADOS!$A:$I,9,FALSE)="","",VLOOKUP(A1790,[12]PRIORIZADOS!$A:$I,9,FALSE)),"")</f>
        <v>EVALUACIÓN_CON_FINES_DE_MEJORAMIENTO.</v>
      </c>
      <c r="J1790" s="11" t="str">
        <f>IFERROR(IF(VLOOKUP(A1790,[12]PRIORIZADOS!$A:$J,10,FALSE)="","",VLOOKUP(A1790,[12]PRIORIZADOS!$A:$J,10,FALSE)),"")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90" s="11" t="str">
        <f>IFERROR(IF(VLOOKUP(A1790,[12]PRIORIZADOS!$A:$K,11,FALSE)="","",VLOOKUP(A1790,[12]PRIORIZADOS!$A:$K,11,FALSE)),"")</f>
        <v>XIMENA CAROLINA RAMÍREZ MORALES</v>
      </c>
      <c r="L1790" s="11" t="str">
        <f>IFERROR(IF(VLOOKUP(A1790,[12]PRIORIZADOS!$A:$L,12,FALSE)="","",VLOOKUP(A1790,[12]PRIORIZADOS!$A:$L,12,FALSE)),"")</f>
        <v>JUANITA LINA CAROLINA RAMÍREZ LÓPEZ</v>
      </c>
      <c r="M1790" s="71">
        <f>IFERROR(IF(VLOOKUP(A1790,[12]PRIORIZADOS!$A:$M,13,FALSE)="","",VLOOKUP(A1790,[12]PRIORIZADOS!$A:$M,13,FALSE)),"")</f>
        <v>45731</v>
      </c>
      <c r="N1790" s="71">
        <f>IFERROR(IF(VLOOKUP(A1790,[12]PRIORIZADOS!$A:$N,14,FALSE)="","",VLOOKUP(A1790,[12]PRIORIZADOS!$A:$N,14,FALSE)),"")</f>
        <v>45731</v>
      </c>
      <c r="O1790" s="71">
        <f>IFERROR(IF(VLOOKUP(A1790,[12]PRIORIZADOS!$A:$O,15,FALSE)="","",VLOOKUP(A1790,[12]PRIORIZADOS!$A:$O,15,FALSE)),"")</f>
        <v>45731</v>
      </c>
      <c r="P1790" s="11" t="str">
        <f>IFERROR(IF(VLOOKUP(A1790,[12]PRIORIZADOS!$A:$P,16,FALSE)="","",VLOOKUP(A1790,[12]PRIORIZADOS!$A:$P,16,FALSE)),"")</f>
        <v>Visitas de evaluación con fines de mejoramiento</v>
      </c>
      <c r="Q1790" s="107" t="s">
        <v>390</v>
      </c>
      <c r="R1790" s="11" t="str">
        <f>IFERROR(IF(VLOOKUP(A1790,[12]PRIORIZADOS!$A:$R,18,FALSE)="","",VLOOKUP(A1790,[12]PRIORIZADOS!$A:$R,18,FALSE)),"")</f>
        <v>La IE refiere que se encuentran en proceso de actualización de los documentos</v>
      </c>
      <c r="S1790" s="11" t="str">
        <f>IFERROR(IF(VLOOKUP(A1790,[12]PRIORIZADOS!$A:$S,19,FALSE)="","",VLOOKUP(A1790,[12]PRIORIZADOS!$A:$S,19,FALSE)),"")</f>
        <v>Cargar los documentos en el formulario dispuesto por la DIV para tal fin.</v>
      </c>
      <c r="T1790" s="70" t="str">
        <f>IFERROR(IF(VLOOKUP(A1790,[12]PRIORIZADOS!$A:$T,20,FALSE)="","",VLOOKUP(A1790,[12]PRIORIZADOS!$A:$T,20,FALSE)),"")</f>
        <v>No</v>
      </c>
      <c r="U1790" s="11" t="str">
        <f>IFERROR(IF(VLOOKUP(A1790,[12]PRIORIZADOS!$A:$U,21,FALSE)="","",VLOOKUP(A1790,[12]PRIORIZADOS!$A:$U,21,FALSE)),"")</f>
        <v>Una vez recibida la información por parte de la DIV se procederá a verificar la pertinencia de los documentos.</v>
      </c>
    </row>
    <row r="1791" spans="1:21" s="1" customFormat="1" ht="48">
      <c r="A1791" s="69">
        <f>IF([12]PRIORIZADOS!A121="","",[12]PRIORIZADOS!A121)</f>
        <v>1763</v>
      </c>
      <c r="B1791" s="70">
        <v>13</v>
      </c>
      <c r="C1791" s="11" t="str">
        <f>IFERROR(IF(VLOOKUP(A1791,[12]PRIORIZADOS!$A:$C,3,FALSE)="","",VLOOKUP(A1791,[12]PRIORIZADOS!$A:$C,3,FALSE)),"")</f>
        <v>SAN CRISTÓBAL</v>
      </c>
      <c r="D1791" s="11" t="str">
        <f>IFERROR(IF(VLOOKUP(A1791,[12]PRIORIZADOS!$A:$D,4,FALSE)="","",VLOOKUP(A1791,[12]PRIORIZADOS!$A:$D,4,FALSE)),"")</f>
        <v>PRIVADO</v>
      </c>
      <c r="E1791" s="11" t="str">
        <f>IFERROR(IF(VLOOKUP(A1791,[12]PRIORIZADOS!$A:$E,5,FALSE)="","",VLOOKUP(A1791,[12]PRIORIZADOS!$A:$E,5,FALSE)),"")</f>
        <v>Educación de Jóvenes y Adultos</v>
      </c>
      <c r="F1791" s="11" t="str">
        <f>IFERROR(IF(VLOOKUP(A1791,[12]PRIORIZADOS!$A:$F,6,FALSE)="","",VLOOKUP(A1791,[12]PRIORIZADOS!$A:$F,6,FALSE)),"")</f>
        <v>INSTITUTO_DE_EDUCACION_FORMAL_DE_ADULTOS_EL_PENSAMIENTO_DE_PITAGORAS</v>
      </c>
      <c r="G1791" s="11" t="str">
        <f>IFERROR(IF(VLOOKUP(A1791,[12]PRIORIZADOS!$A:$G,7,FALSE)="","",VLOOKUP(A1791,[12]PRIORIZADOS!$A:$G,7,FALSE)),"")</f>
        <v>INSTITUTO DE EDUCACION FORMAL DE ADULTOS EL PENSAMIENTO DE PITAGORAS</v>
      </c>
      <c r="H1791" s="11" t="str">
        <f>IFERROR(IF(VLOOKUP(A1791,[12]PRIORIZADOS!$A:$H,8,FALSE)="","",VLOOKUP(A1791,[12]PRIORIZADOS!$A:$H,8,FALSE)),"")</f>
        <v>Autoevaluación Institucional y Pruebas SABER 11</v>
      </c>
      <c r="I1791" s="11" t="str">
        <f>IFERROR(IF(VLOOKUP(A1791,[12]PRIORIZADOS!$A:$I,9,FALSE)="","",VLOOKUP(A1791,[12]PRIORIZADOS!$A:$I,9,FALSE)),"")</f>
        <v>EVALUACIÓN_CON_FINES_DE_MEJORAMIENTO.</v>
      </c>
      <c r="J1791" s="11" t="str">
        <f>IFERROR(IF(VLOOKUP(A1791,[12]PRIORIZADOS!$A:$J,10,FALSE)="","",VLOOKUP(A1791,[12]PRIORIZADOS!$A:$J,10,FALSE)),"")</f>
        <v>Revisar la actualización, socialización e implementación del Sistema Institucional de Evaluación de Estudiantes - SIEE, en articulación con la actualización del PEI y la normatividad vigente.</v>
      </c>
      <c r="K1791" s="11" t="str">
        <f>IFERROR(IF(VLOOKUP(A1791,[12]PRIORIZADOS!$A:$K,11,FALSE)="","",VLOOKUP(A1791,[12]PRIORIZADOS!$A:$K,11,FALSE)),"")</f>
        <v>XIMENA CAROLINA RAMÍREZ MORALES</v>
      </c>
      <c r="L1791" s="11" t="str">
        <f>IFERROR(IF(VLOOKUP(A1791,[12]PRIORIZADOS!$A:$L,12,FALSE)="","",VLOOKUP(A1791,[12]PRIORIZADOS!$A:$L,12,FALSE)),"")</f>
        <v>JUANITA LINA CAROLINA RAMÍREZ LÓPEZ</v>
      </c>
      <c r="M1791" s="71">
        <f>IFERROR(IF(VLOOKUP(A1791,[12]PRIORIZADOS!$A:$M,13,FALSE)="","",VLOOKUP(A1791,[12]PRIORIZADOS!$A:$M,13,FALSE)),"")</f>
        <v>45731</v>
      </c>
      <c r="N1791" s="71">
        <f>IFERROR(IF(VLOOKUP(A1791,[12]PRIORIZADOS!$A:$N,14,FALSE)="","",VLOOKUP(A1791,[12]PRIORIZADOS!$A:$N,14,FALSE)),"")</f>
        <v>45731</v>
      </c>
      <c r="O1791" s="71">
        <f>IFERROR(IF(VLOOKUP(A1791,[12]PRIORIZADOS!$A:$O,15,FALSE)="","",VLOOKUP(A1791,[12]PRIORIZADOS!$A:$O,15,FALSE)),"")</f>
        <v>45731</v>
      </c>
      <c r="P1791" s="11" t="str">
        <f>IFERROR(IF(VLOOKUP(A1791,[12]PRIORIZADOS!$A:$P,16,FALSE)="","",VLOOKUP(A1791,[12]PRIORIZADOS!$A:$P,16,FALSE)),"")</f>
        <v>Visitas de evaluación con fines de mejoramiento</v>
      </c>
      <c r="Q1791" s="107" t="s">
        <v>390</v>
      </c>
      <c r="R1791" s="11" t="str">
        <f>IFERROR(IF(VLOOKUP(A1791,[12]PRIORIZADOS!$A:$R,18,FALSE)="","",VLOOKUP(A1791,[12]PRIORIZADOS!$A:$R,18,FALSE)),"")</f>
        <v>La IE refiere que se encuentran en proceso de actualización de los documentos</v>
      </c>
      <c r="S1791" s="11" t="str">
        <f>IFERROR(IF(VLOOKUP(A1791,[12]PRIORIZADOS!$A:$S,19,FALSE)="","",VLOOKUP(A1791,[12]PRIORIZADOS!$A:$S,19,FALSE)),"")</f>
        <v>Cargar los documentos en el formulario dispuesto por la DIV para tal fin.</v>
      </c>
      <c r="T1791" s="70" t="str">
        <f>IFERROR(IF(VLOOKUP(A1791,[12]PRIORIZADOS!$A:$T,20,FALSE)="","",VLOOKUP(A1791,[12]PRIORIZADOS!$A:$T,20,FALSE)),"")</f>
        <v>No</v>
      </c>
      <c r="U1791" s="11" t="str">
        <f>IFERROR(IF(VLOOKUP(A1791,[12]PRIORIZADOS!$A:$U,21,FALSE)="","",VLOOKUP(A1791,[12]PRIORIZADOS!$A:$U,21,FALSE)),"")</f>
        <v>Una vez recibida la información por parte de la DIV se procederá a verificar la pertinencia de los documentos.</v>
      </c>
    </row>
    <row r="1792" spans="1:21" s="1" customFormat="1" ht="72">
      <c r="A1792" s="69">
        <f>IF([12]PRIORIZADOS!A122="","",[12]PRIORIZADOS!A122)</f>
        <v>1764</v>
      </c>
      <c r="B1792" s="70">
        <v>13</v>
      </c>
      <c r="C1792" s="11" t="str">
        <f>IFERROR(IF(VLOOKUP(A1792,[12]PRIORIZADOS!$A:$C,3,FALSE)="","",VLOOKUP(A1792,[12]PRIORIZADOS!$A:$C,3,FALSE)),"")</f>
        <v>SAN CRISTÓBAL</v>
      </c>
      <c r="D1792" s="11" t="str">
        <f>IFERROR(IF(VLOOKUP(A1792,[12]PRIORIZADOS!$A:$D,4,FALSE)="","",VLOOKUP(A1792,[12]PRIORIZADOS!$A:$D,4,FALSE)),"")</f>
        <v>PRIVADO</v>
      </c>
      <c r="E1792" s="11" t="str">
        <f>IFERROR(IF(VLOOKUP(A1792,[12]PRIORIZADOS!$A:$E,5,FALSE)="","",VLOOKUP(A1792,[12]PRIORIZADOS!$A:$E,5,FALSE)),"")</f>
        <v>Educación de Jóvenes y Adultos</v>
      </c>
      <c r="F1792" s="11" t="str">
        <f>IFERROR(IF(VLOOKUP(A1792,[12]PRIORIZADOS!$A:$F,6,FALSE)="","",VLOOKUP(A1792,[12]PRIORIZADOS!$A:$F,6,FALSE)),"")</f>
        <v>INSTITUTO_DE_EDUCACION_FORMAL_DE_ADULTOS_EL_PENSAMIENTO_DE_PITAGORAS</v>
      </c>
      <c r="G1792" s="11" t="str">
        <f>IFERROR(IF(VLOOKUP(A1792,[12]PRIORIZADOS!$A:$G,7,FALSE)="","",VLOOKUP(A1792,[12]PRIORIZADOS!$A:$G,7,FALSE)),"")</f>
        <v>INSTITUTO DE EDUCACION FORMAL DE ADULTOS EL PENSAMIENTO DE PITAGORAS</v>
      </c>
      <c r="H1792" s="11" t="str">
        <f>IFERROR(IF(VLOOKUP(A1792,[12]PRIORIZADOS!$A:$H,8,FALSE)="","",VLOOKUP(A1792,[12]PRIORIZADOS!$A:$H,8,FALSE)),"")</f>
        <v>Autoevaluación Institucional y Pruebas SABER 11</v>
      </c>
      <c r="I1792" s="11" t="str">
        <f>IFERROR(IF(VLOOKUP(A1792,[12]PRIORIZADOS!$A:$I,9,FALSE)="","",VLOOKUP(A1792,[12]PRIORIZADOS!$A:$I,9,FALSE)),"")</f>
        <v>EVALUACIÓN_CON_FINES_DE_MEJORAMIENTO.</v>
      </c>
      <c r="J1792" s="11" t="str">
        <f>IFERROR(IF(VLOOKUP(A1792,[12]PRIORIZADOS!$A:$J,10,FALSE)="","",VLOOKUP(A1792,[12]PRIORIZADOS!$A:$J,10,FALSE)),"")</f>
        <v>Revisar el calendario escolar, jornada escolar, la intensidad horaria mínima anual en cada nivel y las modificaciones que se realicen al mismo, de acuerdo con lo previsto en la normatividad vigente.</v>
      </c>
      <c r="K1792" s="11" t="str">
        <f>IFERROR(IF(VLOOKUP(A1792,[12]PRIORIZADOS!$A:$K,11,FALSE)="","",VLOOKUP(A1792,[12]PRIORIZADOS!$A:$K,11,FALSE)),"")</f>
        <v>XIMENA CAROLINA RAMÍREZ MORALES</v>
      </c>
      <c r="L1792" s="11" t="str">
        <f>IFERROR(IF(VLOOKUP(A1792,[12]PRIORIZADOS!$A:$L,12,FALSE)="","",VLOOKUP(A1792,[12]PRIORIZADOS!$A:$L,12,FALSE)),"")</f>
        <v>JUANITA LINA CAROLINA RAMÍREZ LÓPEZ</v>
      </c>
      <c r="M1792" s="71">
        <f>IFERROR(IF(VLOOKUP(A1792,[12]PRIORIZADOS!$A:$M,13,FALSE)="","",VLOOKUP(A1792,[12]PRIORIZADOS!$A:$M,13,FALSE)),"")</f>
        <v>45731</v>
      </c>
      <c r="N1792" s="71">
        <f>IFERROR(IF(VLOOKUP(A1792,[12]PRIORIZADOS!$A:$N,14,FALSE)="","",VLOOKUP(A1792,[12]PRIORIZADOS!$A:$N,14,FALSE)),"")</f>
        <v>45731</v>
      </c>
      <c r="O1792" s="71">
        <f>IFERROR(IF(VLOOKUP(A1792,[12]PRIORIZADOS!$A:$O,15,FALSE)="","",VLOOKUP(A1792,[12]PRIORIZADOS!$A:$O,15,FALSE)),"")</f>
        <v>45731</v>
      </c>
      <c r="P1792" s="11" t="str">
        <f>IFERROR(IF(VLOOKUP(A1792,[12]PRIORIZADOS!$A:$P,16,FALSE)="","",VLOOKUP(A1792,[12]PRIORIZADOS!$A:$P,16,FALSE)),"")</f>
        <v>Visitas de evaluación con fines de mejoramiento</v>
      </c>
      <c r="Q1792" s="107" t="s">
        <v>379</v>
      </c>
      <c r="R1792" s="11" t="str">
        <f>IFERROR(IF(VLOOKUP(A1792,[12]PRIORIZADOS!$A:$R,18,FALSE)="","",VLOOKUP(A1792,[12]PRIORIZADOS!$A:$R,18,FALSE)),"")</f>
        <v>Se evidencia que hace falta registrar el horario de ingreso y salida, así como los períodos académicos.</v>
      </c>
      <c r="S1792" s="11" t="str">
        <f>IFERROR(IF(VLOOKUP(A1792,[12]PRIORIZADOS!$A:$S,19,FALSE)="","",VLOOKUP(A1792,[12]PRIORIZADOS!$A:$S,19,FALSE)),"")</f>
        <v>Se solicita realizar el ajuste para poder hacer el conteo de las horas reglamentarias por ciclo.</v>
      </c>
      <c r="T1792" s="70" t="str">
        <f>IFERROR(IF(VLOOKUP(A1792,[12]PRIORIZADOS!$A:$T,20,FALSE)="","",VLOOKUP(A1792,[12]PRIORIZADOS!$A:$T,20,FALSE)),"")</f>
        <v>Si</v>
      </c>
      <c r="U1792" s="11" t="str">
        <f>IFERROR(IF(VLOOKUP(A1792,[12]PRIORIZADOS!$A:$U,21,FALSE)="","",VLOOKUP(A1792,[12]PRIORIZADOS!$A:$U,21,FALSE)),"")</f>
        <v>Una vez la IE realice el ajuste, se revisará el cumplimiento de las horas reglamentarias.
Se realizó encuentro.el 26 de septiembre con el fin de hacer seguimiento a los acuerdos establecidos en la Visita Administrativa. Se acordó  remitir actas de funcionamiento de Gobierno Escolar. Remitir copia de panillas de seguridad social. Realizar actualización del SIMAT y remitir listados de estudiantes por ciclo y jornada.  Fecha 15/10/2025. La IE remitió lo acordado.</v>
      </c>
    </row>
    <row r="1793" spans="1:21" s="1" customFormat="1" ht="96">
      <c r="A1793" s="69">
        <f>IF([12]PRIORIZADOS!A123="","",[12]PRIORIZADOS!A123)</f>
        <v>1765</v>
      </c>
      <c r="B1793" s="70">
        <v>13</v>
      </c>
      <c r="C1793" s="11" t="str">
        <f>IFERROR(IF(VLOOKUP(A1793,[12]PRIORIZADOS!$A:$C,3,FALSE)="","",VLOOKUP(A1793,[12]PRIORIZADOS!$A:$C,3,FALSE)),"")</f>
        <v>SAN CRISTÓBAL</v>
      </c>
      <c r="D1793" s="11" t="str">
        <f>IFERROR(IF(VLOOKUP(A1793,[12]PRIORIZADOS!$A:$D,4,FALSE)="","",VLOOKUP(A1793,[12]PRIORIZADOS!$A:$D,4,FALSE)),"")</f>
        <v>PRIVADO</v>
      </c>
      <c r="E1793" s="11" t="str">
        <f>IFERROR(IF(VLOOKUP(A1793,[12]PRIORIZADOS!$A:$E,5,FALSE)="","",VLOOKUP(A1793,[12]PRIORIZADOS!$A:$E,5,FALSE)),"")</f>
        <v>Educación de Jóvenes y Adultos</v>
      </c>
      <c r="F1793" s="11" t="str">
        <f>IFERROR(IF(VLOOKUP(A1793,[12]PRIORIZADOS!$A:$F,6,FALSE)="","",VLOOKUP(A1793,[12]PRIORIZADOS!$A:$F,6,FALSE)),"")</f>
        <v>INSTITUTO_DE_EDUCACION_FORMAL_DE_ADULTOS_EL_PENSAMIENTO_DE_PITAGORAS</v>
      </c>
      <c r="G1793" s="11" t="str">
        <f>IFERROR(IF(VLOOKUP(A1793,[12]PRIORIZADOS!$A:$G,7,FALSE)="","",VLOOKUP(A1793,[12]PRIORIZADOS!$A:$G,7,FALSE)),"")</f>
        <v>INSTITUTO DE EDUCACION FORMAL DE ADULTOS EL PENSAMIENTO DE PITAGORAS</v>
      </c>
      <c r="H1793" s="11" t="str">
        <f>IFERROR(IF(VLOOKUP(A1793,[12]PRIORIZADOS!$A:$H,8,FALSE)="","",VLOOKUP(A1793,[12]PRIORIZADOS!$A:$H,8,FALSE)),"")</f>
        <v>Autoevaluación Institucional y Pruebas SABER 11</v>
      </c>
      <c r="I1793" s="11" t="str">
        <f>IFERROR(IF(VLOOKUP(A1793,[12]PRIORIZADOS!$A:$I,9,FALSE)="","",VLOOKUP(A1793,[12]PRIORIZADOS!$A:$I,9,FALSE)),"")</f>
        <v>EVALUACIÓN_CON_FINES_DE_MEJORAMIENTO.</v>
      </c>
      <c r="J1793" s="11" t="str">
        <f>IFERROR(IF(VLOOKUP(A1793,[12]PRIORIZADOS!$A:$J,10,FALSE)="","",VLOOKUP(A1793,[12]PRIORIZADOS!$A:$J,10,FALSE)),"")</f>
        <v>Verificar el funcionamiento del Gobierno Escolar e instancias de participación con base en la información sobre conformación reportada por la institución educativa.</v>
      </c>
      <c r="K1793" s="11" t="str">
        <f>IFERROR(IF(VLOOKUP(A1793,[12]PRIORIZADOS!$A:$K,11,FALSE)="","",VLOOKUP(A1793,[12]PRIORIZADOS!$A:$K,11,FALSE)),"")</f>
        <v>XIMENA CAROLINA RAMÍREZ MORALES</v>
      </c>
      <c r="L1793" s="11" t="str">
        <f>IFERROR(IF(VLOOKUP(A1793,[12]PRIORIZADOS!$A:$L,12,FALSE)="","",VLOOKUP(A1793,[12]PRIORIZADOS!$A:$L,12,FALSE)),"")</f>
        <v>JUANITA LINA CAROLINA RAMÍREZ LÓPEZ</v>
      </c>
      <c r="M1793" s="71">
        <f>IFERROR(IF(VLOOKUP(A1793,[12]PRIORIZADOS!$A:$M,13,FALSE)="","",VLOOKUP(A1793,[12]PRIORIZADOS!$A:$M,13,FALSE)),"")</f>
        <v>45731</v>
      </c>
      <c r="N1793" s="71">
        <f>IFERROR(IF(VLOOKUP(A1793,[12]PRIORIZADOS!$A:$N,14,FALSE)="","",VLOOKUP(A1793,[12]PRIORIZADOS!$A:$N,14,FALSE)),"")</f>
        <v>45731</v>
      </c>
      <c r="O1793" s="71">
        <f>IFERROR(IF(VLOOKUP(A1793,[12]PRIORIZADOS!$A:$O,15,FALSE)="","",VLOOKUP(A1793,[12]PRIORIZADOS!$A:$O,15,FALSE)),"")</f>
        <v>45731</v>
      </c>
      <c r="P1793" s="11" t="str">
        <f>IFERROR(IF(VLOOKUP(A1793,[12]PRIORIZADOS!$A:$P,16,FALSE)="","",VLOOKUP(A1793,[12]PRIORIZADOS!$A:$P,16,FALSE)),"")</f>
        <v>Visitas de evaluación con fines de mejoramiento</v>
      </c>
      <c r="Q1793" s="107" t="s">
        <v>390</v>
      </c>
      <c r="R1793" s="11" t="str">
        <f>IFERROR(IF(VLOOKUP(A1793,[12]PRIORIZADOS!$A:$R,18,FALSE)="","",VLOOKUP(A1793,[12]PRIORIZADOS!$A:$R,18,FALSE)),"")</f>
        <v>Se constatan actas de las eleccion de representes estudiantiles Personero, Contralor y Cabildante.  Se encuentra registro de Gobierno escolar (Consejo Directivo, Consejo Académico y Comité de Convivencia Escolar).</v>
      </c>
      <c r="S1793" s="11" t="str">
        <f>IFERROR(IF(VLOOKUP(A1793,[12]PRIORIZADOS!$A:$S,19,FALSE)="","",VLOOKUP(A1793,[12]PRIORIZADOS!$A:$S,19,FALSE)),"")</f>
        <v>Se hará posterior verificación en el SAE</v>
      </c>
      <c r="T1793" s="70" t="str">
        <f>IFERROR(IF(VLOOKUP(A1793,[12]PRIORIZADOS!$A:$T,20,FALSE)="","",VLOOKUP(A1793,[12]PRIORIZADOS!$A:$T,20,FALSE)),"")</f>
        <v>No</v>
      </c>
      <c r="U1793" s="11" t="str">
        <f>IFERROR(IF(VLOOKUP(A1793,[12]PRIORIZADOS!$A:$U,21,FALSE)="","",VLOOKUP(A1793,[12]PRIORIZADOS!$A:$U,21,FALSE)),"")</f>
        <v xml:space="preserve">Remitir a la DLE máximo el 11 de abril de 2025mediante correo electrónico a supervision4@educacionbogota.edu.co copia de las actas de elección y conformación de los órganos de gobierno escolar en los formatos internos de la institución para verificar la participación democrática del proceso, además las actas de las sesiones realizadas a la fecha, adicionalmente surtir el proceso oficial ante el Sistema de Apoyo Escolar como requisito ante la SED.
</v>
      </c>
    </row>
    <row r="1794" spans="1:21" s="1" customFormat="1" ht="118.5">
      <c r="A1794" s="69">
        <f>IF([12]PRIORIZADOS!A124="","",[12]PRIORIZADOS!A124)</f>
        <v>1766</v>
      </c>
      <c r="B1794" s="70">
        <v>13</v>
      </c>
      <c r="C1794" s="11" t="str">
        <f>IFERROR(IF(VLOOKUP(A1794,[12]PRIORIZADOS!$A:$C,3,FALSE)="","",VLOOKUP(A1794,[12]PRIORIZADOS!$A:$C,3,FALSE)),"")</f>
        <v>SAN CRISTÓBAL</v>
      </c>
      <c r="D1794" s="11" t="str">
        <f>IFERROR(IF(VLOOKUP(A1794,[12]PRIORIZADOS!$A:$D,4,FALSE)="","",VLOOKUP(A1794,[12]PRIORIZADOS!$A:$D,4,FALSE)),"")</f>
        <v>PRIVADO</v>
      </c>
      <c r="E1794" s="11" t="str">
        <f>IFERROR(IF(VLOOKUP(A1794,[12]PRIORIZADOS!$A:$E,5,FALSE)="","",VLOOKUP(A1794,[12]PRIORIZADOS!$A:$E,5,FALSE)),"")</f>
        <v>Educación de Jóvenes y Adultos</v>
      </c>
      <c r="F1794" s="11" t="str">
        <f>IFERROR(IF(VLOOKUP(A1794,[12]PRIORIZADOS!$A:$F,6,FALSE)="","",VLOOKUP(A1794,[12]PRIORIZADOS!$A:$F,6,FALSE)),"")</f>
        <v>INSTITUTO_DE_EDUCACION_FORMAL_DE_ADULTOS_EL_PENSAMIENTO_DE_PITAGORAS</v>
      </c>
      <c r="G1794" s="11" t="str">
        <f>IFERROR(IF(VLOOKUP(A1794,[12]PRIORIZADOS!$A:$G,7,FALSE)="","",VLOOKUP(A1794,[12]PRIORIZADOS!$A:$G,7,FALSE)),"")</f>
        <v>INSTITUTO DE EDUCACION FORMAL DE ADULTOS EL PENSAMIENTO DE PITAGORAS</v>
      </c>
      <c r="H1794" s="11" t="str">
        <f>IFERROR(IF(VLOOKUP(A1794,[12]PRIORIZADOS!$A:$H,8,FALSE)="","",VLOOKUP(A1794,[12]PRIORIZADOS!$A:$H,8,FALSE)),"")</f>
        <v>Autoevaluación Institucional y Pruebas SABER 11</v>
      </c>
      <c r="I1794" s="11" t="str">
        <f>IFERROR(IF(VLOOKUP(A1794,[12]PRIORIZADOS!$A:$I,9,FALSE)="","",VLOOKUP(A1794,[12]PRIORIZADOS!$A:$I,9,FALSE)),"")</f>
        <v>EVALUACIÓN_CON_FINES_DE_MEJORAMIENTO.</v>
      </c>
      <c r="J1794" s="11" t="str">
        <f>IFERROR(IF(VLOOKUP(A1794,[12]PRIORIZADOS!$A:$J,10,FALSE)="","",VLOOKUP(A1794,[12]PRIORIZADOS!$A:$J,10,FALSE)),"")</f>
        <v>Verificar las condiciones en cuanto a: la estructura administrativa, condiciones de la planta física y medios educativos adecuados.</v>
      </c>
      <c r="K1794" s="11" t="str">
        <f>IFERROR(IF(VLOOKUP(A1794,[12]PRIORIZADOS!$A:$K,11,FALSE)="","",VLOOKUP(A1794,[12]PRIORIZADOS!$A:$K,11,FALSE)),"")</f>
        <v>XIMENA CAROLINA RAMÍREZ MORALES</v>
      </c>
      <c r="L1794" s="11" t="str">
        <f>IFERROR(IF(VLOOKUP(A1794,[12]PRIORIZADOS!$A:$L,12,FALSE)="","",VLOOKUP(A1794,[12]PRIORIZADOS!$A:$L,12,FALSE)),"")</f>
        <v>JUANITA LINA CAROLINA RAMÍREZ LÓPEZ</v>
      </c>
      <c r="M1794" s="71">
        <f>IFERROR(IF(VLOOKUP(A1794,[12]PRIORIZADOS!$A:$M,13,FALSE)="","",VLOOKUP(A1794,[12]PRIORIZADOS!$A:$M,13,FALSE)),"")</f>
        <v>45731</v>
      </c>
      <c r="N1794" s="71">
        <f>IFERROR(IF(VLOOKUP(A1794,[12]PRIORIZADOS!$A:$N,14,FALSE)="","",VLOOKUP(A1794,[12]PRIORIZADOS!$A:$N,14,FALSE)),"")</f>
        <v>45731</v>
      </c>
      <c r="O1794" s="71">
        <f>IFERROR(IF(VLOOKUP(A1794,[12]PRIORIZADOS!$A:$O,15,FALSE)="","",VLOOKUP(A1794,[12]PRIORIZADOS!$A:$O,15,FALSE)),"")</f>
        <v>45731</v>
      </c>
      <c r="P1794" s="11" t="str">
        <f>IFERROR(IF(VLOOKUP(A1794,[12]PRIORIZADOS!$A:$P,16,FALSE)="","",VLOOKUP(A1794,[12]PRIORIZADOS!$A:$P,16,FALSE)),"")</f>
        <v>Visitas de evaluación con fines de mejoramiento</v>
      </c>
      <c r="Q1794" s="107" t="s">
        <v>390</v>
      </c>
      <c r="R1794" s="11" t="str">
        <f>IFERROR(IF(VLOOKUP(A1794,[12]PRIORIZADOS!$A:$R,18,FALSE)="","",VLOOKUP(A1794,[12]PRIORIZADOS!$A:$R,18,FALSE)),"")</f>
        <v xml:space="preserve">Se verifica acta de visita de la Secretaría de Salud N° SB06E – 705166 del 14/02/2025, la cual tiene concepto favorable con requerimiento, registra subsanación de observaciones anteriores y le dejan nuevas observaciones por mantenimiento de pared de cuarto de aseo, reemplazar cerámica de piso de escalón (puerta de salón 4), limpieza de puerta de acceso y residuos acumulados. </v>
      </c>
      <c r="S1794" s="11" t="str">
        <f>IFERROR(IF(VLOOKUP(A1794,[12]PRIORIZADOS!$A:$S,19,FALSE)="","",VLOOKUP(A1794,[12]PRIORIZADOS!$A:$S,19,FALSE)),"")</f>
        <v>En el recorrido se verifica el cumplimiento de los requerimientos.</v>
      </c>
      <c r="T1794" s="70" t="str">
        <f>IFERROR(IF(VLOOKUP(A1794,[12]PRIORIZADOS!$A:$T,20,FALSE)="","",VLOOKUP(A1794,[12]PRIORIZADOS!$A:$T,20,FALSE)),"")</f>
        <v>No</v>
      </c>
      <c r="U1794" s="11" t="str">
        <f>IFERROR(IF(VLOOKUP(A1794,[12]PRIORIZADOS!$A:$U,21,FALSE)="","",VLOOKUP(A1794,[12]PRIORIZADOS!$A:$U,21,FALSE)),"")</f>
        <v>Se le indica a la IE mantener el cumplimiento de las recomendaciones dadas por la Secretaria de Salud</v>
      </c>
    </row>
    <row r="1795" spans="1:21" s="1" customFormat="1" ht="36">
      <c r="A1795" s="69">
        <f>IF([12]PRIORIZADOS!A125="","",[12]PRIORIZADOS!A125)</f>
        <v>1767</v>
      </c>
      <c r="B1795" s="70">
        <v>14</v>
      </c>
      <c r="C1795" s="11" t="str">
        <f>IFERROR(IF(VLOOKUP(A1795,[12]PRIORIZADOS!$A:$C,3,FALSE)="","",VLOOKUP(A1795,[12]PRIORIZADOS!$A:$C,3,FALSE)),"")</f>
        <v>SAN CRISTÓBAL</v>
      </c>
      <c r="D1795" s="11" t="str">
        <f>IFERROR(IF(VLOOKUP(A1795,[12]PRIORIZADOS!$A:$D,4,FALSE)="","",VLOOKUP(A1795,[12]PRIORIZADOS!$A:$D,4,FALSE)),"")</f>
        <v>PRIVADO</v>
      </c>
      <c r="E1795" s="11" t="str">
        <f>IFERROR(IF(VLOOKUP(A1795,[12]PRIORIZADOS!$A:$E,5,FALSE)="","",VLOOKUP(A1795,[12]PRIORIZADOS!$A:$E,5,FALSE)),"")</f>
        <v>EPBM</v>
      </c>
      <c r="F1795" s="11" t="str">
        <f>IFERROR(IF(VLOOKUP(A1795,[12]PRIORIZADOS!$A:$F,6,FALSE)="","",VLOOKUP(A1795,[12]PRIORIZADOS!$A:$F,6,FALSE)),"")</f>
        <v>LICEO_EL_ENCANTO</v>
      </c>
      <c r="G1795" s="11" t="str">
        <f>IFERROR(IF(VLOOKUP(A1795,[12]PRIORIZADOS!$A:$G,7,FALSE)="","",VLOOKUP(A1795,[12]PRIORIZADOS!$A:$G,7,FALSE)),"")</f>
        <v>LICEO EL ENCANTO</v>
      </c>
      <c r="H1795" s="11" t="str">
        <f>IFERROR(IF(VLOOKUP(A1795,[12]PRIORIZADOS!$A:$H,8,FALSE)="","",VLOOKUP(A1795,[12]PRIORIZADOS!$A:$H,8,FALSE)),"")</f>
        <v>Autoevaluación Institucional y Pruebas SABER 11</v>
      </c>
      <c r="I1795" s="11" t="str">
        <f>IFERROR(IF(VLOOKUP(A1795,[12]PRIORIZADOS!$A:$I,9,FALSE)="","",VLOOKUP(A1795,[12]PRIORIZADOS!$A:$I,9,FALSE)),"")</f>
        <v>SEGUIMIENTO_Y_SUPERVISIÓN.</v>
      </c>
      <c r="J1795" s="11" t="str">
        <f>IFERROR(IF(VLOOKUP(A1795,[12]PRIORIZADOS!$A:$J,10,FALSE)="","",VLOOKUP(A1795,[12]PRIORIZADOS!$A:$J,10,FALSE)),"")</f>
        <v>Realizar visitas para verificar la información registrada sobre la autoevaluación institucional en el aplicativo EVI, a los establecimientos de educación formal no oficial.</v>
      </c>
      <c r="K1795" s="11" t="str">
        <f>IFERROR(IF(VLOOKUP(A1795,[12]PRIORIZADOS!$A:$K,11,FALSE)="","",VLOOKUP(A1795,[12]PRIORIZADOS!$A:$K,11,FALSE)),"")</f>
        <v>JAIRO ANDRÉS ÁLVAREZ CHÁVEZ</v>
      </c>
      <c r="L1795" s="11" t="str">
        <f>IFERROR(IF(VLOOKUP(A1795,[12]PRIORIZADOS!$A:$L,12,FALSE)="","",VLOOKUP(A1795,[12]PRIORIZADOS!$A:$L,12,FALSE)),"")</f>
        <v>JOSÉ ASDRUBAL PÉREZ GIRALDO</v>
      </c>
      <c r="M1795" s="71">
        <f>IFERROR(IF(VLOOKUP(A1795,[12]PRIORIZADOS!$A:$M,13,FALSE)="","",VLOOKUP(A1795,[12]PRIORIZADOS!$A:$M,13,FALSE)),"")</f>
        <v>45786</v>
      </c>
      <c r="N1795" s="71">
        <f>IFERROR(IF(VLOOKUP(A1795,[12]PRIORIZADOS!$A:$N,14,FALSE)="","",VLOOKUP(A1795,[12]PRIORIZADOS!$A:$N,14,FALSE)),"")</f>
        <v>45786</v>
      </c>
      <c r="O1795" s="71">
        <f>IFERROR(IF(VLOOKUP(A1795,[12]PRIORIZADOS!$A:$O,15,FALSE)="","",VLOOKUP(A1795,[12]PRIORIZADOS!$A:$O,15,FALSE)),"")</f>
        <v>45786</v>
      </c>
      <c r="P1795" s="11" t="str">
        <f>IFERROR(IF(VLOOKUP(A1795,[12]PRIORIZADOS!$A:$P,16,FALSE)="","",VLOOKUP(A1795,[12]PRIORIZADOS!$A:$P,16,FALSE)),"")</f>
        <v>Visitas de evaluación con fines de mejoramiento</v>
      </c>
      <c r="Q1795" s="107" t="s">
        <v>391</v>
      </c>
      <c r="R1795" s="11" t="str">
        <f>IFERROR(IF(VLOOKUP(A1795,[12]PRIORIZADOS!$A:$R,18,FALSE)="","",VLOOKUP(A1795,[12]PRIORIZADOS!$A:$R,18,FALSE)),"")</f>
        <v>Se verificó la clasificación V11,</v>
      </c>
      <c r="S1795" s="11" t="str">
        <f>IFERROR(IF(VLOOKUP(A1795,[12]PRIORIZADOS!$A:$S,19,FALSE)="","",VLOOKUP(A1795,[12]PRIORIZADOS!$A:$S,19,FALSE)),"")</f>
        <v>ELIV instó a IE a publicación de la Resolución.</v>
      </c>
      <c r="T1795" s="70" t="str">
        <f>IFERROR(IF(VLOOKUP(A1795,[12]PRIORIZADOS!$A:$T,20,FALSE)="","",VLOOKUP(A1795,[12]PRIORIZADOS!$A:$T,20,FALSE)),"")</f>
        <v>No</v>
      </c>
      <c r="U1795" s="11" t="str">
        <f>IFERROR(IF(VLOOKUP(A1795,[12]PRIORIZADOS!$A:$U,21,FALSE)="","",VLOOKUP(A1795,[12]PRIORIZADOS!$A:$U,21,FALSE)),"")</f>
        <v>Se hará verificación en caso de presentarse requerimiento y/o en respuesta de la IED.  Al momento manifestó voluntad de cierre</v>
      </c>
    </row>
    <row r="1796" spans="1:21" s="1" customFormat="1" ht="60">
      <c r="A1796" s="69">
        <f>IF([12]PRIORIZADOS!A126="","",[12]PRIORIZADOS!A126)</f>
        <v>1768</v>
      </c>
      <c r="B1796" s="70">
        <v>14</v>
      </c>
      <c r="C1796" s="11" t="str">
        <f>IFERROR(IF(VLOOKUP(A1796,[12]PRIORIZADOS!$A:$C,3,FALSE)="","",VLOOKUP(A1796,[12]PRIORIZADOS!$A:$C,3,FALSE)),"")</f>
        <v>SAN CRISTÓBAL</v>
      </c>
      <c r="D1796" s="11" t="str">
        <f>IFERROR(IF(VLOOKUP(A1796,[12]PRIORIZADOS!$A:$D,4,FALSE)="","",VLOOKUP(A1796,[12]PRIORIZADOS!$A:$D,4,FALSE)),"")</f>
        <v>PRIVADO</v>
      </c>
      <c r="E1796" s="11" t="str">
        <f>IFERROR(IF(VLOOKUP(A1796,[12]PRIORIZADOS!$A:$E,5,FALSE)="","",VLOOKUP(A1796,[12]PRIORIZADOS!$A:$E,5,FALSE)),"")</f>
        <v>EPBM</v>
      </c>
      <c r="F1796" s="11" t="str">
        <f>IFERROR(IF(VLOOKUP(A1796,[12]PRIORIZADOS!$A:$F,6,FALSE)="","",VLOOKUP(A1796,[12]PRIORIZADOS!$A:$F,6,FALSE)),"")</f>
        <v>LICEO_EL_ENCANTO</v>
      </c>
      <c r="G1796" s="11" t="str">
        <f>IFERROR(IF(VLOOKUP(A1796,[12]PRIORIZADOS!$A:$G,7,FALSE)="","",VLOOKUP(A1796,[12]PRIORIZADOS!$A:$G,7,FALSE)),"")</f>
        <v>LICEO EL ENCANTO</v>
      </c>
      <c r="H1796" s="11" t="str">
        <f>IFERROR(IF(VLOOKUP(A1796,[12]PRIORIZADOS!$A:$H,8,FALSE)="","",VLOOKUP(A1796,[12]PRIORIZADOS!$A:$H,8,FALSE)),"")</f>
        <v>Autoevaluación Institucional y Pruebas SABER 11</v>
      </c>
      <c r="I1796" s="11" t="str">
        <f>IFERROR(IF(VLOOKUP(A1796,[12]PRIORIZADOS!$A:$I,9,FALSE)="","",VLOOKUP(A1796,[12]PRIORIZADOS!$A:$I,9,FALSE)),"")</f>
        <v>SEGUIMIENTO_Y_SUPERVISIÓN.</v>
      </c>
      <c r="J1796" s="11" t="str">
        <f>IFERROR(IF(VLOOKUP(A1796,[12]PRIORIZADOS!$A:$J,10,FALSE)="","",VLOOKUP(A1796,[12]PRIORIZADOS!$A:$J,10,FALSE)),"")</f>
        <v>Proponer estrategias en la formulación, verificar su elaboración y realizar seguimiento semestral al desarrollo de  las acciones establecidas en los planes de mejoramiento por pruebas SABER 11 de los establecimientos de educación formal.</v>
      </c>
      <c r="K1796" s="11" t="str">
        <f>IFERROR(IF(VLOOKUP(A1796,[12]PRIORIZADOS!$A:$K,11,FALSE)="","",VLOOKUP(A1796,[12]PRIORIZADOS!$A:$K,11,FALSE)),"")</f>
        <v>JAIRO ANDRÉS ÁLVAREZ CHÁVEZ</v>
      </c>
      <c r="L1796" s="11" t="str">
        <f>IFERROR(IF(VLOOKUP(A1796,[12]PRIORIZADOS!$A:$L,12,FALSE)="","",VLOOKUP(A1796,[12]PRIORIZADOS!$A:$L,12,FALSE)),"")</f>
        <v>JOSÉ ASDRUBAL PÉREZ GIRALDO</v>
      </c>
      <c r="M1796" s="71">
        <f>IFERROR(IF(VLOOKUP(A1796,[12]PRIORIZADOS!$A:$M,13,FALSE)="","",VLOOKUP(A1796,[12]PRIORIZADOS!$A:$M,13,FALSE)),"")</f>
        <v>45786</v>
      </c>
      <c r="N1796" s="71">
        <f>IFERROR(IF(VLOOKUP(A1796,[12]PRIORIZADOS!$A:$N,14,FALSE)="","",VLOOKUP(A1796,[12]PRIORIZADOS!$A:$N,14,FALSE)),"")</f>
        <v>45786</v>
      </c>
      <c r="O1796" s="71">
        <f>IFERROR(IF(VLOOKUP(A1796,[12]PRIORIZADOS!$A:$O,15,FALSE)="","",VLOOKUP(A1796,[12]PRIORIZADOS!$A:$O,15,FALSE)),"")</f>
        <v>45786</v>
      </c>
      <c r="P1796" s="11" t="str">
        <f>IFERROR(IF(VLOOKUP(A1796,[12]PRIORIZADOS!$A:$P,16,FALSE)="","",VLOOKUP(A1796,[12]PRIORIZADOS!$A:$P,16,FALSE)),"")</f>
        <v>Visitas de evaluación con fines de mejoramiento</v>
      </c>
      <c r="Q1796" s="107" t="s">
        <v>391</v>
      </c>
      <c r="R1796" s="11" t="str">
        <f>IFERROR(IF(VLOOKUP(A1796,[12]PRIORIZADOS!$A:$R,18,FALSE)="","",VLOOKUP(A1796,[12]PRIORIZADOS!$A:$R,18,FALSE)),"")</f>
        <v>Tienen material educativo para refuerzo y manifiestan la actividad. Adicional al horario académico hacen refuerzo para ortalecer grado 11, sin costo adicional</v>
      </c>
      <c r="S1796" s="11" t="str">
        <f>IFERROR(IF(VLOOKUP(A1796,[12]PRIORIZADOS!$A:$S,19,FALSE)="","",VLOOKUP(A1796,[12]PRIORIZADOS!$A:$S,19,FALSE)),"")</f>
        <v xml:space="preserve">Documentar actuaciones que manifiestan implementar </v>
      </c>
      <c r="T1796" s="70" t="str">
        <f>IFERROR(IF(VLOOKUP(A1796,[12]PRIORIZADOS!$A:$T,20,FALSE)="","",VLOOKUP(A1796,[12]PRIORIZADOS!$A:$T,20,FALSE)),"")</f>
        <v>No</v>
      </c>
      <c r="U1796" s="11" t="str">
        <f>IFERROR(IF(VLOOKUP(A1796,[12]PRIORIZADOS!$A:$U,21,FALSE)="","",VLOOKUP(A1796,[12]PRIORIZADOS!$A:$U,21,FALSE)),"")</f>
        <v>ELIV atento a avance en este sentido</v>
      </c>
    </row>
    <row r="1797" spans="1:21" s="1" customFormat="1" ht="48">
      <c r="A1797" s="69">
        <f>IF([12]PRIORIZADOS!A127="","",[12]PRIORIZADOS!A127)</f>
        <v>1769</v>
      </c>
      <c r="B1797" s="70">
        <v>14</v>
      </c>
      <c r="C1797" s="11" t="str">
        <f>IFERROR(IF(VLOOKUP(A1797,[12]PRIORIZADOS!$A:$C,3,FALSE)="","",VLOOKUP(A1797,[12]PRIORIZADOS!$A:$C,3,FALSE)),"")</f>
        <v>SAN CRISTÓBAL</v>
      </c>
      <c r="D1797" s="11" t="str">
        <f>IFERROR(IF(VLOOKUP(A1797,[12]PRIORIZADOS!$A:$D,4,FALSE)="","",VLOOKUP(A1797,[12]PRIORIZADOS!$A:$D,4,FALSE)),"")</f>
        <v>PRIVADO</v>
      </c>
      <c r="E1797" s="11" t="str">
        <f>IFERROR(IF(VLOOKUP(A1797,[12]PRIORIZADOS!$A:$E,5,FALSE)="","",VLOOKUP(A1797,[12]PRIORIZADOS!$A:$E,5,FALSE)),"")</f>
        <v>EPBM</v>
      </c>
      <c r="F1797" s="11" t="str">
        <f>IFERROR(IF(VLOOKUP(A1797,[12]PRIORIZADOS!$A:$F,6,FALSE)="","",VLOOKUP(A1797,[12]PRIORIZADOS!$A:$F,6,FALSE)),"")</f>
        <v>LICEO_EL_ENCANTO</v>
      </c>
      <c r="G1797" s="11" t="str">
        <f>IFERROR(IF(VLOOKUP(A1797,[12]PRIORIZADOS!$A:$G,7,FALSE)="","",VLOOKUP(A1797,[12]PRIORIZADOS!$A:$G,7,FALSE)),"")</f>
        <v>LICEO EL ENCANTO</v>
      </c>
      <c r="H1797" s="11" t="str">
        <f>IFERROR(IF(VLOOKUP(A1797,[12]PRIORIZADOS!$A:$H,8,FALSE)="","",VLOOKUP(A1797,[12]PRIORIZADOS!$A:$H,8,FALSE)),"")</f>
        <v>Autoevaluación Institucional y Pruebas SABER 11</v>
      </c>
      <c r="I1797" s="11" t="str">
        <f>IFERROR(IF(VLOOKUP(A1797,[12]PRIORIZADOS!$A:$I,9,FALSE)="","",VLOOKUP(A1797,[12]PRIORIZADOS!$A:$I,9,FALSE)),"")</f>
        <v>SEGUIMIENTO_Y_SUPERVISIÓN.</v>
      </c>
      <c r="J1797" s="11" t="str">
        <f>IFERROR(IF(VLOOKUP(A1797,[12]PRIORIZADOS!$A:$J,10,FALSE)="","",VLOOKUP(A1797,[12]PRIORIZADOS!$A:$J,10,FALSE)),"")</f>
        <v xml:space="preserve">Verificar la implementación por parte de los colegios, de acciones realizadas para la prevención y atención de las situaciones de convivencia en el entorno escolar, según lo establecido en la Directiva 01 de 2022 del MEN. </v>
      </c>
      <c r="K1797" s="11" t="str">
        <f>IFERROR(IF(VLOOKUP(A1797,[12]PRIORIZADOS!$A:$K,11,FALSE)="","",VLOOKUP(A1797,[12]PRIORIZADOS!$A:$K,11,FALSE)),"")</f>
        <v>JAIRO ANDRÉS ÁLVAREZ CHÁVEZ</v>
      </c>
      <c r="L1797" s="11" t="str">
        <f>IFERROR(IF(VLOOKUP(A1797,[12]PRIORIZADOS!$A:$L,12,FALSE)="","",VLOOKUP(A1797,[12]PRIORIZADOS!$A:$L,12,FALSE)),"")</f>
        <v>JOSÉ ASDRUBAL PÉREZ GIRALDO</v>
      </c>
      <c r="M1797" s="71">
        <f>IFERROR(IF(VLOOKUP(A1797,[12]PRIORIZADOS!$A:$M,13,FALSE)="","",VLOOKUP(A1797,[12]PRIORIZADOS!$A:$M,13,FALSE)),"")</f>
        <v>45786</v>
      </c>
      <c r="N1797" s="71">
        <f>IFERROR(IF(VLOOKUP(A1797,[12]PRIORIZADOS!$A:$N,14,FALSE)="","",VLOOKUP(A1797,[12]PRIORIZADOS!$A:$N,14,FALSE)),"")</f>
        <v>45786</v>
      </c>
      <c r="O1797" s="71">
        <f>IFERROR(IF(VLOOKUP(A1797,[12]PRIORIZADOS!$A:$O,15,FALSE)="","",VLOOKUP(A1797,[12]PRIORIZADOS!$A:$O,15,FALSE)),"")</f>
        <v>45786</v>
      </c>
      <c r="P1797" s="11" t="str">
        <f>IFERROR(IF(VLOOKUP(A1797,[12]PRIORIZADOS!$A:$P,16,FALSE)="","",VLOOKUP(A1797,[12]PRIORIZADOS!$A:$P,16,FALSE)),"")</f>
        <v>Visitas de evaluación con fines de mejoramiento</v>
      </c>
      <c r="Q1797" s="107" t="s">
        <v>391</v>
      </c>
      <c r="R1797" s="11" t="str">
        <f>IFERROR(IF(VLOOKUP(A1797,[12]PRIORIZADOS!$A:$R,18,FALSE)="","",VLOOKUP(A1797,[12]PRIORIZADOS!$A:$R,18,FALSE)),"")</f>
        <v>ELIV constata que el  3/05/2025 verificaron de antecedentes del personal (previa autorización de consulta)</v>
      </c>
      <c r="S1797" s="11" t="str">
        <f>IFERROR(IF(VLOOKUP(A1797,[12]PRIORIZADOS!$A:$S,19,FALSE)="","",VLOOKUP(A1797,[12]PRIORIZADOS!$A:$S,19,FALSE)),"")</f>
        <v>El  Colegio debe realizar la consulta cada 4 meses y durante la vinculación del personal</v>
      </c>
      <c r="T1797" s="70" t="str">
        <f>IFERROR(IF(VLOOKUP(A1797,[12]PRIORIZADOS!$A:$T,20,FALSE)="","",VLOOKUP(A1797,[12]PRIORIZADOS!$A:$T,20,FALSE)),"")</f>
        <v>No</v>
      </c>
      <c r="U1797" s="11" t="str">
        <f>IFERROR(IF(VLOOKUP(A1797,[12]PRIORIZADOS!$A:$U,21,FALSE)="","",VLOOKUP(A1797,[12]PRIORIZADOS!$A:$U,21,FALSE)),"")</f>
        <v>ELIV atento a avance y/o PMI en este sentido</v>
      </c>
    </row>
    <row r="1798" spans="1:21" s="1" customFormat="1" ht="72">
      <c r="A1798" s="69">
        <f>IF([12]PRIORIZADOS!A128="","",[12]PRIORIZADOS!A128)</f>
        <v>1770</v>
      </c>
      <c r="B1798" s="70">
        <v>14</v>
      </c>
      <c r="C1798" s="11" t="str">
        <f>IFERROR(IF(VLOOKUP(A1798,[12]PRIORIZADOS!$A:$C,3,FALSE)="","",VLOOKUP(A1798,[12]PRIORIZADOS!$A:$C,3,FALSE)),"")</f>
        <v>SAN CRISTÓBAL</v>
      </c>
      <c r="D1798" s="11" t="str">
        <f>IFERROR(IF(VLOOKUP(A1798,[12]PRIORIZADOS!$A:$D,4,FALSE)="","",VLOOKUP(A1798,[12]PRIORIZADOS!$A:$D,4,FALSE)),"")</f>
        <v>PRIVADO</v>
      </c>
      <c r="E1798" s="11" t="str">
        <f>IFERROR(IF(VLOOKUP(A1798,[12]PRIORIZADOS!$A:$E,5,FALSE)="","",VLOOKUP(A1798,[12]PRIORIZADOS!$A:$E,5,FALSE)),"")</f>
        <v>EPBM</v>
      </c>
      <c r="F1798" s="11" t="str">
        <f>IFERROR(IF(VLOOKUP(A1798,[12]PRIORIZADOS!$A:$F,6,FALSE)="","",VLOOKUP(A1798,[12]PRIORIZADOS!$A:$F,6,FALSE)),"")</f>
        <v>LICEO_EL_ENCANTO</v>
      </c>
      <c r="G1798" s="11" t="str">
        <f>IFERROR(IF(VLOOKUP(A1798,[12]PRIORIZADOS!$A:$G,7,FALSE)="","",VLOOKUP(A1798,[12]PRIORIZADOS!$A:$G,7,FALSE)),"")</f>
        <v>LICEO EL ENCANTO</v>
      </c>
      <c r="H1798" s="11" t="str">
        <f>IFERROR(IF(VLOOKUP(A1798,[12]PRIORIZADOS!$A:$H,8,FALSE)="","",VLOOKUP(A1798,[12]PRIORIZADOS!$A:$H,8,FALSE)),"")</f>
        <v>Autoevaluación Institucional y Pruebas SABER 11</v>
      </c>
      <c r="I1798" s="11" t="str">
        <f>IFERROR(IF(VLOOKUP(A1798,[12]PRIORIZADOS!$A:$I,9,FALSE)="","",VLOOKUP(A1798,[12]PRIORIZADOS!$A:$I,9,FALSE)),"")</f>
        <v>SEGUIMIENTO_Y_SUPERVISIÓN.</v>
      </c>
      <c r="J1798" s="11" t="str">
        <f>IFERROR(IF(VLOOKUP(A1798,[12]PRIORIZADOS!$A:$J,10,FALSE)="","",VLOOKUP(A1798,[12]PRIORIZADOS!$A:$J,10,FALSE)),"")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798" s="11" t="str">
        <f>IFERROR(IF(VLOOKUP(A1798,[12]PRIORIZADOS!$A:$K,11,FALSE)="","",VLOOKUP(A1798,[12]PRIORIZADOS!$A:$K,11,FALSE)),"")</f>
        <v>JAIRO ANDRÉS ÁLVAREZ CHÁVEZ</v>
      </c>
      <c r="L1798" s="11" t="str">
        <f>IFERROR(IF(VLOOKUP(A1798,[12]PRIORIZADOS!$A:$L,12,FALSE)="","",VLOOKUP(A1798,[12]PRIORIZADOS!$A:$L,12,FALSE)),"")</f>
        <v>JOSÉ ASDRUBAL PÉREZ GIRALDO</v>
      </c>
      <c r="M1798" s="71">
        <f>IFERROR(IF(VLOOKUP(A1798,[12]PRIORIZADOS!$A:$M,13,FALSE)="","",VLOOKUP(A1798,[12]PRIORIZADOS!$A:$M,13,FALSE)),"")</f>
        <v>45786</v>
      </c>
      <c r="N1798" s="71">
        <f>IFERROR(IF(VLOOKUP(A1798,[12]PRIORIZADOS!$A:$N,14,FALSE)="","",VLOOKUP(A1798,[12]PRIORIZADOS!$A:$N,14,FALSE)),"")</f>
        <v>45786</v>
      </c>
      <c r="O1798" s="71">
        <f>IFERROR(IF(VLOOKUP(A1798,[12]PRIORIZADOS!$A:$O,15,FALSE)="","",VLOOKUP(A1798,[12]PRIORIZADOS!$A:$O,15,FALSE)),"")</f>
        <v>45786</v>
      </c>
      <c r="P1798" s="11" t="str">
        <f>IFERROR(IF(VLOOKUP(A1798,[12]PRIORIZADOS!$A:$P,16,FALSE)="","",VLOOKUP(A1798,[12]PRIORIZADOS!$A:$P,16,FALSE)),"")</f>
        <v>Visitas de evaluación con fines de mejoramiento</v>
      </c>
      <c r="Q1798" s="107" t="s">
        <v>391</v>
      </c>
      <c r="R1798" s="11" t="str">
        <f>IFERROR(IF(VLOOKUP(A1798,[12]PRIORIZADOS!$A:$R,18,FALSE)="","",VLOOKUP(A1798,[12]PRIORIZADOS!$A:$R,18,FALSE)),"")</f>
        <v>El Colegio, no tiene población estudiantil con discapacidad</v>
      </c>
      <c r="S1798" s="11" t="str">
        <f>IFERROR(IF(VLOOKUP(A1798,[12]PRIORIZADOS!$A:$S,19,FALSE)="","",VLOOKUP(A1798,[12]PRIORIZADOS!$A:$S,19,FALSE)),"")</f>
        <v>En todo caso la IE deberá estar atenta a implementar PIAR de presentarse la necesidad</v>
      </c>
      <c r="T1798" s="70" t="str">
        <f>IFERROR(IF(VLOOKUP(A1798,[12]PRIORIZADOS!$A:$T,20,FALSE)="","",VLOOKUP(A1798,[12]PRIORIZADOS!$A:$T,20,FALSE)),"")</f>
        <v>No</v>
      </c>
      <c r="U1798" s="11" t="str">
        <f>IFERROR(IF(VLOOKUP(A1798,[12]PRIORIZADOS!$A:$U,21,FALSE)="","",VLOOKUP(A1798,[12]PRIORIZADOS!$A:$U,21,FALSE)),"")</f>
        <v>Se hará verificación en caso de presentarse requerimiento</v>
      </c>
    </row>
    <row r="1799" spans="1:21" s="1" customFormat="1" ht="84">
      <c r="A1799" s="69">
        <f>IF([12]PRIORIZADOS!A129="","",[12]PRIORIZADOS!A129)</f>
        <v>1772</v>
      </c>
      <c r="B1799" s="70">
        <v>14</v>
      </c>
      <c r="C1799" s="11" t="str">
        <f>IFERROR(IF(VLOOKUP(A1799,[12]PRIORIZADOS!$A:$C,3,FALSE)="","",VLOOKUP(A1799,[12]PRIORIZADOS!$A:$C,3,FALSE)),"")</f>
        <v>SAN CRISTÓBAL</v>
      </c>
      <c r="D1799" s="11" t="str">
        <f>IFERROR(IF(VLOOKUP(A1799,[12]PRIORIZADOS!$A:$D,4,FALSE)="","",VLOOKUP(A1799,[12]PRIORIZADOS!$A:$D,4,FALSE)),"")</f>
        <v>PRIVADO</v>
      </c>
      <c r="E1799" s="11" t="str">
        <f>IFERROR(IF(VLOOKUP(A1799,[12]PRIORIZADOS!$A:$E,5,FALSE)="","",VLOOKUP(A1799,[12]PRIORIZADOS!$A:$E,5,FALSE)),"")</f>
        <v>EPBM</v>
      </c>
      <c r="F1799" s="11" t="str">
        <f>IFERROR(IF(VLOOKUP(A1799,[12]PRIORIZADOS!$A:$F,6,FALSE)="","",VLOOKUP(A1799,[12]PRIORIZADOS!$A:$F,6,FALSE)),"")</f>
        <v>LICEO_EL_ENCANTO</v>
      </c>
      <c r="G1799" s="11" t="str">
        <f>IFERROR(IF(VLOOKUP(A1799,[12]PRIORIZADOS!$A:$G,7,FALSE)="","",VLOOKUP(A1799,[12]PRIORIZADOS!$A:$G,7,FALSE)),"")</f>
        <v>LICEO EL ENCANTO</v>
      </c>
      <c r="H1799" s="11" t="str">
        <f>IFERROR(IF(VLOOKUP(A1799,[12]PRIORIZADOS!$A:$H,8,FALSE)="","",VLOOKUP(A1799,[12]PRIORIZADOS!$A:$H,8,FALSE)),"")</f>
        <v>Autoevaluación Institucional y Pruebas SABER 11</v>
      </c>
      <c r="I1799" s="11" t="str">
        <f>IFERROR(IF(VLOOKUP(A1799,[12]PRIORIZADOS!$A:$I,9,FALSE)="","",VLOOKUP(A1799,[12]PRIORIZADOS!$A:$I,9,FALSE)),"")</f>
        <v>EVALUACIÓN_CON_FINES_DE_MEJORAMIENTO.</v>
      </c>
      <c r="J1799" s="11" t="str">
        <f>IFERROR(IF(VLOOKUP(A1799,[12]PRIORIZADOS!$A:$J,10,FALSE)="","",VLOOKUP(A1799,[12]PRIORIZADOS!$A:$J,10,FALSE)),"")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799" s="11" t="str">
        <f>IFERROR(IF(VLOOKUP(A1799,[12]PRIORIZADOS!$A:$K,11,FALSE)="","",VLOOKUP(A1799,[12]PRIORIZADOS!$A:$K,11,FALSE)),"")</f>
        <v>JAIRO ANDRÉS ÁLVAREZ CHÁVEZ</v>
      </c>
      <c r="L1799" s="11" t="str">
        <f>IFERROR(IF(VLOOKUP(A1799,[12]PRIORIZADOS!$A:$L,12,FALSE)="","",VLOOKUP(A1799,[12]PRIORIZADOS!$A:$L,12,FALSE)),"")</f>
        <v>JOSÉ ASDRUBAL PÉREZ GIRALDO</v>
      </c>
      <c r="M1799" s="71">
        <f>IFERROR(IF(VLOOKUP(A1799,[12]PRIORIZADOS!$A:$M,13,FALSE)="","",VLOOKUP(A1799,[12]PRIORIZADOS!$A:$M,13,FALSE)),"")</f>
        <v>45786</v>
      </c>
      <c r="N1799" s="71">
        <f>IFERROR(IF(VLOOKUP(A1799,[12]PRIORIZADOS!$A:$N,14,FALSE)="","",VLOOKUP(A1799,[12]PRIORIZADOS!$A:$N,14,FALSE)),"")</f>
        <v>45786</v>
      </c>
      <c r="O1799" s="71">
        <f>IFERROR(IF(VLOOKUP(A1799,[12]PRIORIZADOS!$A:$O,15,FALSE)="","",VLOOKUP(A1799,[12]PRIORIZADOS!$A:$O,15,FALSE)),"")</f>
        <v>45786</v>
      </c>
      <c r="P1799" s="11" t="str">
        <f>IFERROR(IF(VLOOKUP(A1799,[12]PRIORIZADOS!$A:$P,16,FALSE)="","",VLOOKUP(A1799,[12]PRIORIZADOS!$A:$P,16,FALSE)),"")</f>
        <v>Visitas de evaluación con fines de mejoramiento</v>
      </c>
      <c r="Q1799" s="107" t="s">
        <v>391</v>
      </c>
      <c r="R1799" s="11" t="str">
        <f>IFERROR(IF(VLOOKUP(A1799,[12]PRIORIZADOS!$A:$R,18,FALSE)="","",VLOOKUP(A1799,[12]PRIORIZADOS!$A:$R,18,FALSE)),"")</f>
        <v>Cuenta con Manual de Convivencia</v>
      </c>
      <c r="S1799" s="11" t="str">
        <f>IFERROR(IF(VLOOKUP(A1799,[12]PRIORIZADOS!$A:$S,19,FALSE)="","",VLOOKUP(A1799,[12]PRIORIZADOS!$A:$S,19,FALSE)),"")</f>
        <v>Se recomendó implementar acciones para la actualización y asentamiento conforme a Ley</v>
      </c>
      <c r="T1799" s="70" t="str">
        <f>IFERROR(IF(VLOOKUP(A1799,[12]PRIORIZADOS!$A:$T,20,FALSE)="","",VLOOKUP(A1799,[12]PRIORIZADOS!$A:$T,20,FALSE)),"")</f>
        <v>Si</v>
      </c>
      <c r="U1799" s="11" t="str">
        <f>IFERROR(IF(VLOOKUP(A1799,[12]PRIORIZADOS!$A:$U,21,FALSE)="","",VLOOKUP(A1799,[12]PRIORIZADOS!$A:$U,21,FALSE)),"")</f>
        <v>ELIV atento al plan de PMI en este sentiedo</v>
      </c>
    </row>
    <row r="1800" spans="1:21" s="1" customFormat="1" ht="48">
      <c r="A1800" s="69">
        <f>IF([12]PRIORIZADOS!A130="","",[12]PRIORIZADOS!A130)</f>
        <v>1773</v>
      </c>
      <c r="B1800" s="70">
        <v>14</v>
      </c>
      <c r="C1800" s="11" t="str">
        <f>IFERROR(IF(VLOOKUP(A1800,[12]PRIORIZADOS!$A:$C,3,FALSE)="","",VLOOKUP(A1800,[12]PRIORIZADOS!$A:$C,3,FALSE)),"")</f>
        <v>SAN CRISTÓBAL</v>
      </c>
      <c r="D1800" s="11" t="str">
        <f>IFERROR(IF(VLOOKUP(A1800,[12]PRIORIZADOS!$A:$D,4,FALSE)="","",VLOOKUP(A1800,[12]PRIORIZADOS!$A:$D,4,FALSE)),"")</f>
        <v>PRIVADO</v>
      </c>
      <c r="E1800" s="11" t="str">
        <f>IFERROR(IF(VLOOKUP(A1800,[12]PRIORIZADOS!$A:$E,5,FALSE)="","",VLOOKUP(A1800,[12]PRIORIZADOS!$A:$E,5,FALSE)),"")</f>
        <v>EPBM</v>
      </c>
      <c r="F1800" s="11" t="str">
        <f>IFERROR(IF(VLOOKUP(A1800,[12]PRIORIZADOS!$A:$F,6,FALSE)="","",VLOOKUP(A1800,[12]PRIORIZADOS!$A:$F,6,FALSE)),"")</f>
        <v>LICEO_EL_ENCANTO</v>
      </c>
      <c r="G1800" s="11" t="str">
        <f>IFERROR(IF(VLOOKUP(A1800,[12]PRIORIZADOS!$A:$G,7,FALSE)="","",VLOOKUP(A1800,[12]PRIORIZADOS!$A:$G,7,FALSE)),"")</f>
        <v>LICEO EL ENCANTO</v>
      </c>
      <c r="H1800" s="11" t="str">
        <f>IFERROR(IF(VLOOKUP(A1800,[12]PRIORIZADOS!$A:$H,8,FALSE)="","",VLOOKUP(A1800,[12]PRIORIZADOS!$A:$H,8,FALSE)),"")</f>
        <v>Autoevaluación Institucional y Pruebas SABER 11</v>
      </c>
      <c r="I1800" s="11" t="str">
        <f>IFERROR(IF(VLOOKUP(A1800,[12]PRIORIZADOS!$A:$I,9,FALSE)="","",VLOOKUP(A1800,[12]PRIORIZADOS!$A:$I,9,FALSE)),"")</f>
        <v>EVALUACIÓN_CON_FINES_DE_MEJORAMIENTO.</v>
      </c>
      <c r="J1800" s="11" t="str">
        <f>IFERROR(IF(VLOOKUP(A1800,[12]PRIORIZADOS!$A:$J,10,FALSE)="","",VLOOKUP(A1800,[12]PRIORIZADOS!$A:$J,10,FALSE)),"")</f>
        <v>Revisar la actualización, socialización e implementación del Sistema Institucional de Evaluación de Estudiantes - SIEE, en articulación con la actualización del PEI y la normatividad vigente.</v>
      </c>
      <c r="K1800" s="11" t="str">
        <f>IFERROR(IF(VLOOKUP(A1800,[12]PRIORIZADOS!$A:$K,11,FALSE)="","",VLOOKUP(A1800,[12]PRIORIZADOS!$A:$K,11,FALSE)),"")</f>
        <v>JAIRO ANDRÉS ÁLVAREZ CHÁVEZ</v>
      </c>
      <c r="L1800" s="11" t="str">
        <f>IFERROR(IF(VLOOKUP(A1800,[12]PRIORIZADOS!$A:$L,12,FALSE)="","",VLOOKUP(A1800,[12]PRIORIZADOS!$A:$L,12,FALSE)),"")</f>
        <v>JOSÉ ASDRUBAL PÉREZ GIRALDO</v>
      </c>
      <c r="M1800" s="71">
        <f>IFERROR(IF(VLOOKUP(A1800,[12]PRIORIZADOS!$A:$M,13,FALSE)="","",VLOOKUP(A1800,[12]PRIORIZADOS!$A:$M,13,FALSE)),"")</f>
        <v>45786</v>
      </c>
      <c r="N1800" s="71">
        <f>IFERROR(IF(VLOOKUP(A1800,[12]PRIORIZADOS!$A:$N,14,FALSE)="","",VLOOKUP(A1800,[12]PRIORIZADOS!$A:$N,14,FALSE)),"")</f>
        <v>45786</v>
      </c>
      <c r="O1800" s="71">
        <f>IFERROR(IF(VLOOKUP(A1800,[12]PRIORIZADOS!$A:$O,15,FALSE)="","",VLOOKUP(A1800,[12]PRIORIZADOS!$A:$O,15,FALSE)),"")</f>
        <v>45786</v>
      </c>
      <c r="P1800" s="11" t="str">
        <f>IFERROR(IF(VLOOKUP(A1800,[12]PRIORIZADOS!$A:$P,16,FALSE)="","",VLOOKUP(A1800,[12]PRIORIZADOS!$A:$P,16,FALSE)),"")</f>
        <v>Visitas de evaluación con fines de mejoramiento</v>
      </c>
      <c r="Q1800" s="107" t="s">
        <v>391</v>
      </c>
      <c r="R1800" s="11" t="str">
        <f>IFERROR(IF(VLOOKUP(A1800,[12]PRIORIZADOS!$A:$R,18,FALSE)="","",VLOOKUP(A1800,[12]PRIORIZADOS!$A:$R,18,FALSE)),"")</f>
        <v>Cuenta con SIEE</v>
      </c>
      <c r="S1800" s="11" t="str">
        <f>IFERROR(IF(VLOOKUP(A1800,[12]PRIORIZADOS!$A:$S,19,FALSE)="","",VLOOKUP(A1800,[12]PRIORIZADOS!$A:$S,19,FALSE)),"")</f>
        <v>El mismo está Publicado; y es coherente con demás elementos de la IE</v>
      </c>
      <c r="T1800" s="70" t="str">
        <f>IFERROR(IF(VLOOKUP(A1800,[12]PRIORIZADOS!$A:$T,20,FALSE)="","",VLOOKUP(A1800,[12]PRIORIZADOS!$A:$T,20,FALSE)),"")</f>
        <v>No</v>
      </c>
      <c r="U1800" s="11" t="str">
        <f>IFERROR(IF(VLOOKUP(A1800,[12]PRIORIZADOS!$A:$U,21,FALSE)="","",VLOOKUP(A1800,[12]PRIORIZADOS!$A:$U,21,FALSE)),"")</f>
        <v>ELIV atento al plan de PMI en Manual de Conviviencia que puede afectar este ítem</v>
      </c>
    </row>
    <row r="1801" spans="1:21" s="1" customFormat="1" ht="48">
      <c r="A1801" s="69">
        <f>IF([12]PRIORIZADOS!A131="","",[12]PRIORIZADOS!A131)</f>
        <v>1771</v>
      </c>
      <c r="B1801" s="70">
        <v>14</v>
      </c>
      <c r="C1801" s="11" t="str">
        <f>IFERROR(IF(VLOOKUP(A1801,[12]PRIORIZADOS!$A:$C,3,FALSE)="","",VLOOKUP(A1801,[12]PRIORIZADOS!$A:$C,3,FALSE)),"")</f>
        <v>SAN CRISTÓBAL</v>
      </c>
      <c r="D1801" s="11" t="str">
        <f>IFERROR(IF(VLOOKUP(A1801,[12]PRIORIZADOS!$A:$D,4,FALSE)="","",VLOOKUP(A1801,[12]PRIORIZADOS!$A:$D,4,FALSE)),"")</f>
        <v>PRIVADO</v>
      </c>
      <c r="E1801" s="11" t="str">
        <f>IFERROR(IF(VLOOKUP(A1801,[12]PRIORIZADOS!$A:$E,5,FALSE)="","",VLOOKUP(A1801,[12]PRIORIZADOS!$A:$E,5,FALSE)),"")</f>
        <v>EPBM</v>
      </c>
      <c r="F1801" s="11" t="str">
        <f>IFERROR(IF(VLOOKUP(A1801,[12]PRIORIZADOS!$A:$F,6,FALSE)="","",VLOOKUP(A1801,[12]PRIORIZADOS!$A:$F,6,FALSE)),"")</f>
        <v>LICEO_EL_ENCANTO</v>
      </c>
      <c r="G1801" s="11" t="str">
        <f>IFERROR(IF(VLOOKUP(A1801,[12]PRIORIZADOS!$A:$G,7,FALSE)="","",VLOOKUP(A1801,[12]PRIORIZADOS!$A:$G,7,FALSE)),"")</f>
        <v>LICEO EL ENCANTO</v>
      </c>
      <c r="H1801" s="11" t="str">
        <f>IFERROR(IF(VLOOKUP(A1801,[12]PRIORIZADOS!$A:$H,8,FALSE)="","",VLOOKUP(A1801,[12]PRIORIZADOS!$A:$H,8,FALSE)),"")</f>
        <v>Autoevaluación Institucional y Pruebas SABER 11</v>
      </c>
      <c r="I1801" s="11" t="str">
        <f>IFERROR(IF(VLOOKUP(A1801,[12]PRIORIZADOS!$A:$I,9,FALSE)="","",VLOOKUP(A1801,[12]PRIORIZADOS!$A:$I,9,FALSE)),"")</f>
        <v>EVALUACIÓN_CON_FINES_DE_MEJORAMIENTO.</v>
      </c>
      <c r="J1801" s="11" t="str">
        <f>IFERROR(IF(VLOOKUP(A1801,[12]PRIORIZADOS!$A:$J,10,FALSE)="","",VLOOKUP(A1801,[12]PRIORIZADOS!$A:$J,10,FALSE)),"")</f>
        <v>Revisar el calendario escolar, jornada escolar, la intensidad horaria mínima anual en cada nivel y las modificaciones que se realicen al mismo, de acuerdo con lo previsto en la normatividad vigente.</v>
      </c>
      <c r="K1801" s="11" t="str">
        <f>IFERROR(IF(VLOOKUP(A1801,[12]PRIORIZADOS!$A:$K,11,FALSE)="","",VLOOKUP(A1801,[12]PRIORIZADOS!$A:$K,11,FALSE)),"")</f>
        <v>JAIRO ANDRÉS ÁLVAREZ CHÁVEZ</v>
      </c>
      <c r="L1801" s="11" t="str">
        <f>IFERROR(IF(VLOOKUP(A1801,[12]PRIORIZADOS!$A:$L,12,FALSE)="","",VLOOKUP(A1801,[12]PRIORIZADOS!$A:$L,12,FALSE)),"")</f>
        <v>JOSÉ ASDRUBAL PÉREZ GIRALDO</v>
      </c>
      <c r="M1801" s="71">
        <f>IFERROR(IF(VLOOKUP(A1801,[12]PRIORIZADOS!$A:$M,13,FALSE)="","",VLOOKUP(A1801,[12]PRIORIZADOS!$A:$M,13,FALSE)),"")</f>
        <v>45786</v>
      </c>
      <c r="N1801" s="71">
        <f>IFERROR(IF(VLOOKUP(A1801,[12]PRIORIZADOS!$A:$N,14,FALSE)="","",VLOOKUP(A1801,[12]PRIORIZADOS!$A:$N,14,FALSE)),"")</f>
        <v>45786</v>
      </c>
      <c r="O1801" s="71">
        <f>IFERROR(IF(VLOOKUP(A1801,[12]PRIORIZADOS!$A:$O,15,FALSE)="","",VLOOKUP(A1801,[12]PRIORIZADOS!$A:$O,15,FALSE)),"")</f>
        <v>45786</v>
      </c>
      <c r="P1801" s="11" t="str">
        <f>IFERROR(IF(VLOOKUP(A1801,[12]PRIORIZADOS!$A:$P,16,FALSE)="","",VLOOKUP(A1801,[12]PRIORIZADOS!$A:$P,16,FALSE)),"")</f>
        <v>Visitas de evaluación con fines de mejoramiento</v>
      </c>
      <c r="Q1801" s="107" t="s">
        <v>391</v>
      </c>
      <c r="R1801" s="11" t="str">
        <f>IFERROR(IF(VLOOKUP(A1801,[12]PRIORIZADOS!$A:$R,18,FALSE)="","",VLOOKUP(A1801,[12]PRIORIZADOS!$A:$R,18,FALSE)),"")</f>
        <v>Presenta las 40 semanas y horario de 7am a 2:15pm con 2 descansos de 45 minutos.</v>
      </c>
      <c r="S1801" s="11" t="str">
        <f>IFERROR(IF(VLOOKUP(A1801,[12]PRIORIZADOS!$A:$S,19,FALSE)="","",VLOOKUP(A1801,[12]PRIORIZADOS!$A:$S,19,FALSE)),"")</f>
        <v>ampliar las horas diarias de cátedra (cada hora de 60 minutos) y ajustar al mínimo</v>
      </c>
      <c r="T1801" s="70" t="str">
        <f>IFERROR(IF(VLOOKUP(A1801,[12]PRIORIZADOS!$A:$T,20,FALSE)="","",VLOOKUP(A1801,[12]PRIORIZADOS!$A:$T,20,FALSE)),"")</f>
        <v>Si</v>
      </c>
      <c r="U1801" s="11" t="str">
        <f>IFERROR(IF(VLOOKUP(A1801,[12]PRIORIZADOS!$A:$U,21,FALSE)="","",VLOOKUP(A1801,[12]PRIORIZADOS!$A:$U,21,FALSE)),"")</f>
        <v xml:space="preserve">ELIV atento al respuesta de la IE y/o  PMI </v>
      </c>
    </row>
    <row r="1802" spans="1:21" s="1" customFormat="1" ht="60">
      <c r="A1802" s="69">
        <f>IF([12]PRIORIZADOS!A132="","",[12]PRIORIZADOS!A132)</f>
        <v>1774</v>
      </c>
      <c r="B1802" s="70">
        <v>14</v>
      </c>
      <c r="C1802" s="11" t="str">
        <f>IFERROR(IF(VLOOKUP(A1802,[12]PRIORIZADOS!$A:$C,3,FALSE)="","",VLOOKUP(A1802,[12]PRIORIZADOS!$A:$C,3,FALSE)),"")</f>
        <v>SAN CRISTÓBAL</v>
      </c>
      <c r="D1802" s="11" t="str">
        <f>IFERROR(IF(VLOOKUP(A1802,[12]PRIORIZADOS!$A:$D,4,FALSE)="","",VLOOKUP(A1802,[12]PRIORIZADOS!$A:$D,4,FALSE)),"")</f>
        <v>PRIVADO</v>
      </c>
      <c r="E1802" s="11" t="str">
        <f>IFERROR(IF(VLOOKUP(A1802,[12]PRIORIZADOS!$A:$E,5,FALSE)="","",VLOOKUP(A1802,[12]PRIORIZADOS!$A:$E,5,FALSE)),"")</f>
        <v>EPBM</v>
      </c>
      <c r="F1802" s="11" t="str">
        <f>IFERROR(IF(VLOOKUP(A1802,[12]PRIORIZADOS!$A:$F,6,FALSE)="","",VLOOKUP(A1802,[12]PRIORIZADOS!$A:$F,6,FALSE)),"")</f>
        <v>LICEO_EL_ENCANTO</v>
      </c>
      <c r="G1802" s="11" t="str">
        <f>IFERROR(IF(VLOOKUP(A1802,[12]PRIORIZADOS!$A:$G,7,FALSE)="","",VLOOKUP(A1802,[12]PRIORIZADOS!$A:$G,7,FALSE)),"")</f>
        <v>LICEO EL ENCANTO</v>
      </c>
      <c r="H1802" s="11" t="str">
        <f>IFERROR(IF(VLOOKUP(A1802,[12]PRIORIZADOS!$A:$H,8,FALSE)="","",VLOOKUP(A1802,[12]PRIORIZADOS!$A:$H,8,FALSE)),"")</f>
        <v>Autoevaluación Institucional y Pruebas SABER 11</v>
      </c>
      <c r="I1802" s="11" t="str">
        <f>IFERROR(IF(VLOOKUP(A1802,[12]PRIORIZADOS!$A:$I,9,FALSE)="","",VLOOKUP(A1802,[12]PRIORIZADOS!$A:$I,9,FALSE)),"")</f>
        <v>EVALUACIÓN_CON_FINES_DE_MEJORAMIENTO.</v>
      </c>
      <c r="J1802" s="11" t="str">
        <f>IFERROR(IF(VLOOKUP(A1802,[12]PRIORIZADOS!$A:$J,10,FALSE)="","",VLOOKUP(A1802,[12]PRIORIZADOS!$A:$J,10,FALSE)),"")</f>
        <v>Verificar el funcionamiento del Gobierno Escolar e instancias de participación con base en la información sobre conformación reportada por la institución educativa.</v>
      </c>
      <c r="K1802" s="11" t="str">
        <f>IFERROR(IF(VLOOKUP(A1802,[12]PRIORIZADOS!$A:$K,11,FALSE)="","",VLOOKUP(A1802,[12]PRIORIZADOS!$A:$K,11,FALSE)),"")</f>
        <v>JAIRO ANDRÉS ÁLVAREZ CHÁVEZ</v>
      </c>
      <c r="L1802" s="11" t="str">
        <f>IFERROR(IF(VLOOKUP(A1802,[12]PRIORIZADOS!$A:$L,12,FALSE)="","",VLOOKUP(A1802,[12]PRIORIZADOS!$A:$L,12,FALSE)),"")</f>
        <v>JOSÉ ASDRUBAL PÉREZ GIRALDO</v>
      </c>
      <c r="M1802" s="71">
        <f>IFERROR(IF(VLOOKUP(A1802,[12]PRIORIZADOS!$A:$M,13,FALSE)="","",VLOOKUP(A1802,[12]PRIORIZADOS!$A:$M,13,FALSE)),"")</f>
        <v>45786</v>
      </c>
      <c r="N1802" s="71">
        <f>IFERROR(IF(VLOOKUP(A1802,[12]PRIORIZADOS!$A:$N,14,FALSE)="","",VLOOKUP(A1802,[12]PRIORIZADOS!$A:$N,14,FALSE)),"")</f>
        <v>45786</v>
      </c>
      <c r="O1802" s="71">
        <f>IFERROR(IF(VLOOKUP(A1802,[12]PRIORIZADOS!$A:$O,15,FALSE)="","",VLOOKUP(A1802,[12]PRIORIZADOS!$A:$O,15,FALSE)),"")</f>
        <v>45786</v>
      </c>
      <c r="P1802" s="11" t="str">
        <f>IFERROR(IF(VLOOKUP(A1802,[12]PRIORIZADOS!$A:$P,16,FALSE)="","",VLOOKUP(A1802,[12]PRIORIZADOS!$A:$P,16,FALSE)),"")</f>
        <v>Visitas de evaluación con fines de mejoramiento</v>
      </c>
      <c r="Q1802" s="107" t="s">
        <v>391</v>
      </c>
      <c r="R1802" s="11" t="str">
        <f>IFERROR(IF(VLOOKUP(A1802,[12]PRIORIZADOS!$A:$R,18,FALSE)="","",VLOOKUP(A1802,[12]PRIORIZADOS!$A:$R,18,FALSE)),"")</f>
        <v>se constata Actas de Consejo Directivo; y Reuniones de Maestros.</v>
      </c>
      <c r="S1802" s="11" t="str">
        <f>IFERROR(IF(VLOOKUP(A1802,[12]PRIORIZADOS!$A:$S,19,FALSE)="","",VLOOKUP(A1802,[12]PRIORIZADOS!$A:$S,19,FALSE)),"")</f>
        <v xml:space="preserve">El Colegio debe registrar y documentar las actuaciones democráticas de base en aulas; a pesar que documentan los órganos Gobierno Escolar, conforme a lineamientos SED.  </v>
      </c>
      <c r="T1802" s="70" t="str">
        <f>IFERROR(IF(VLOOKUP(A1802,[12]PRIORIZADOS!$A:$T,20,FALSE)="","",VLOOKUP(A1802,[12]PRIORIZADOS!$A:$T,20,FALSE)),"")</f>
        <v>No</v>
      </c>
      <c r="U1802" s="11" t="str">
        <f>IFERROR(IF(VLOOKUP(A1802,[12]PRIORIZADOS!$A:$U,21,FALSE)="","",VLOOKUP(A1802,[12]PRIORIZADOS!$A:$U,21,FALSE)),"")</f>
        <v>Documentación de proceos democráticos desde las aulas</v>
      </c>
    </row>
    <row r="1803" spans="1:21" s="1" customFormat="1" ht="72">
      <c r="A1803" s="69">
        <f>IF([12]PRIORIZADOS!A133="","",[12]PRIORIZADOS!A133)</f>
        <v>1775</v>
      </c>
      <c r="B1803" s="70">
        <v>14</v>
      </c>
      <c r="C1803" s="11" t="str">
        <f>IFERROR(IF(VLOOKUP(A1803,[12]PRIORIZADOS!$A:$C,3,FALSE)="","",VLOOKUP(A1803,[12]PRIORIZADOS!$A:$C,3,FALSE)),"")</f>
        <v>SAN CRISTÓBAL</v>
      </c>
      <c r="D1803" s="11" t="str">
        <f>IFERROR(IF(VLOOKUP(A1803,[12]PRIORIZADOS!$A:$D,4,FALSE)="","",VLOOKUP(A1803,[12]PRIORIZADOS!$A:$D,4,FALSE)),"")</f>
        <v>PRIVADO</v>
      </c>
      <c r="E1803" s="11" t="str">
        <f>IFERROR(IF(VLOOKUP(A1803,[12]PRIORIZADOS!$A:$E,5,FALSE)="","",VLOOKUP(A1803,[12]PRIORIZADOS!$A:$E,5,FALSE)),"")</f>
        <v>EPBM</v>
      </c>
      <c r="F1803" s="11" t="str">
        <f>IFERROR(IF(VLOOKUP(A1803,[12]PRIORIZADOS!$A:$F,6,FALSE)="","",VLOOKUP(A1803,[12]PRIORIZADOS!$A:$F,6,FALSE)),"")</f>
        <v>LICEO_EL_ENCANTO</v>
      </c>
      <c r="G1803" s="11" t="str">
        <f>IFERROR(IF(VLOOKUP(A1803,[12]PRIORIZADOS!$A:$G,7,FALSE)="","",VLOOKUP(A1803,[12]PRIORIZADOS!$A:$G,7,FALSE)),"")</f>
        <v>LICEO EL ENCANTO</v>
      </c>
      <c r="H1803" s="11" t="str">
        <f>IFERROR(IF(VLOOKUP(A1803,[12]PRIORIZADOS!$A:$H,8,FALSE)="","",VLOOKUP(A1803,[12]PRIORIZADOS!$A:$H,8,FALSE)),"")</f>
        <v>Autoevaluación Institucional y Pruebas SABER 11</v>
      </c>
      <c r="I1803" s="11" t="str">
        <f>IFERROR(IF(VLOOKUP(A1803,[12]PRIORIZADOS!$A:$I,9,FALSE)="","",VLOOKUP(A1803,[12]PRIORIZADOS!$A:$I,9,FALSE)),"")</f>
        <v>EVALUACIÓN_CON_FINES_DE_MEJORAMIENTO.</v>
      </c>
      <c r="J1803" s="11" t="str">
        <f>IFERROR(IF(VLOOKUP(A1803,[12]PRIORIZADOS!$A:$J,10,FALSE)="","",VLOOKUP(A1803,[12]PRIORIZADOS!$A:$J,10,FALSE)),"")</f>
        <v>Verificar las condiciones en cuanto a: la estructura administrativa, condiciones de la planta física y medios educativos adecuados.</v>
      </c>
      <c r="K1803" s="11" t="str">
        <f>IFERROR(IF(VLOOKUP(A1803,[12]PRIORIZADOS!$A:$K,11,FALSE)="","",VLOOKUP(A1803,[12]PRIORIZADOS!$A:$K,11,FALSE)),"")</f>
        <v>JAIRO ANDRÉS ÁLVAREZ CHÁVEZ</v>
      </c>
      <c r="L1803" s="11" t="str">
        <f>IFERROR(IF(VLOOKUP(A1803,[12]PRIORIZADOS!$A:$L,12,FALSE)="","",VLOOKUP(A1803,[12]PRIORIZADOS!$A:$L,12,FALSE)),"")</f>
        <v>JOSÉ ASDRUBAL PÉREZ GIRALDO</v>
      </c>
      <c r="M1803" s="71">
        <f>IFERROR(IF(VLOOKUP(A1803,[12]PRIORIZADOS!$A:$M,13,FALSE)="","",VLOOKUP(A1803,[12]PRIORIZADOS!$A:$M,13,FALSE)),"")</f>
        <v>45786</v>
      </c>
      <c r="N1803" s="71">
        <f>IFERROR(IF(VLOOKUP(A1803,[12]PRIORIZADOS!$A:$N,14,FALSE)="","",VLOOKUP(A1803,[12]PRIORIZADOS!$A:$N,14,FALSE)),"")</f>
        <v>45786</v>
      </c>
      <c r="O1803" s="71">
        <f>IFERROR(IF(VLOOKUP(A1803,[12]PRIORIZADOS!$A:$O,15,FALSE)="","",VLOOKUP(A1803,[12]PRIORIZADOS!$A:$O,15,FALSE)),"")</f>
        <v>45786</v>
      </c>
      <c r="P1803" s="11" t="str">
        <f>IFERROR(IF(VLOOKUP(A1803,[12]PRIORIZADOS!$A:$P,16,FALSE)="","",VLOOKUP(A1803,[12]PRIORIZADOS!$A:$P,16,FALSE)),"")</f>
        <v>Visitas de evaluación con fines de mejoramiento</v>
      </c>
      <c r="Q1803" s="107" t="s">
        <v>391</v>
      </c>
      <c r="R1803" s="11" t="str">
        <f>IFERROR(IF(VLOOKUP(A1803,[12]PRIORIZADOS!$A:$R,18,FALSE)="","",VLOOKUP(A1803,[12]PRIORIZADOS!$A:$R,18,FALSE)),"")</f>
        <v>El ELIV encontró 10 aulas para 11 grupos, adicional cuenta con laboratorio y sala de sistemas, 7 baños, 1 baño docentes directivos y personal</v>
      </c>
      <c r="S1803" s="11" t="str">
        <f>IFERROR(IF(VLOOKUP(A1803,[12]PRIORIZADOS!$A:$S,19,FALSE)="","",VLOOKUP(A1803,[12]PRIORIZADOS!$A:$S,19,FALSE)),"")</f>
        <v>Se recomendó subsanar en algunas aulas iluminación natural, y ubicar señalización en pasillos baños y rutas de evacuación, requiere extintor especial en Sistemas, sin camilla, recubrir zonas de riesgo en parque de niños</v>
      </c>
      <c r="T1803" s="70" t="str">
        <f>IFERROR(IF(VLOOKUP(A1803,[12]PRIORIZADOS!$A:$T,20,FALSE)="","",VLOOKUP(A1803,[12]PRIORIZADOS!$A:$T,20,FALSE)),"")</f>
        <v>No</v>
      </c>
      <c r="U1803" s="11" t="str">
        <f>IFERROR(IF(VLOOKUP(A1803,[12]PRIORIZADOS!$A:$U,21,FALSE)="","",VLOOKUP(A1803,[12]PRIORIZADOS!$A:$U,21,FALSE)),"")</f>
        <v xml:space="preserve">ELIV atento al respuesta de la IE y/o  PMI </v>
      </c>
    </row>
    <row r="1804" spans="1:21" s="1" customFormat="1" ht="36">
      <c r="A1804" s="69">
        <f>IF([12]PRIORIZADOS!A134="","",[12]PRIORIZADOS!A134)</f>
        <v>1776</v>
      </c>
      <c r="B1804" s="70">
        <f>IFERROR(IF(VLOOKUP(A1804,[12]PRIORIZADOS!$A:$B,2,FALSE)="","",VLOOKUP(A1804,[12]PRIORIZADOS!$A:$B,2,FALSE)),"")</f>
        <v>15</v>
      </c>
      <c r="C1804" s="11" t="str">
        <f>IFERROR(IF(VLOOKUP(A1804,[12]PRIORIZADOS!$A:$C,3,FALSE)="","",VLOOKUP(A1804,[12]PRIORIZADOS!$A:$C,3,FALSE)),"")</f>
        <v>SAN CRISTÓBAL</v>
      </c>
      <c r="D1804" s="11" t="str">
        <f>IFERROR(IF(VLOOKUP(A1804,[12]PRIORIZADOS!$A:$D,4,FALSE)="","",VLOOKUP(A1804,[12]PRIORIZADOS!$A:$D,4,FALSE)),"")</f>
        <v>PRIVADO</v>
      </c>
      <c r="E1804" s="11" t="str">
        <f>IFERROR(IF(VLOOKUP(A1804,[12]PRIORIZADOS!$A:$E,5,FALSE)="","",VLOOKUP(A1804,[12]PRIORIZADOS!$A:$E,5,FALSE)),"")</f>
        <v>EPBM</v>
      </c>
      <c r="F1804" s="11" t="str">
        <f>IFERROR(IF(VLOOKUP(A1804,[12]PRIORIZADOS!$A:$F,6,FALSE)="","",VLOOKUP(A1804,[12]PRIORIZADOS!$A:$F,6,FALSE)),"")</f>
        <v>LICEO_SAN_JOSE_ORIENTAL</v>
      </c>
      <c r="G1804" s="11" t="str">
        <f>IFERROR(IF(VLOOKUP(A1804,[12]PRIORIZADOS!$A:$G,7,FALSE)="","",VLOOKUP(A1804,[12]PRIORIZADOS!$A:$G,7,FALSE)),"")</f>
        <v>LICEO SAN JOSE ORIENTAL</v>
      </c>
      <c r="H1804" s="11" t="str">
        <f>IFERROR(IF(VLOOKUP(A1804,[12]PRIORIZADOS!$A:$H,8,FALSE)="","",VLOOKUP(A1804,[12]PRIORIZADOS!$A:$H,8,FALSE)),"")</f>
        <v>Autoevaluación Institucional y Pruebas SABER 11</v>
      </c>
      <c r="I1804" s="11" t="str">
        <f>IFERROR(IF(VLOOKUP(A1804,[12]PRIORIZADOS!$A:$I,9,FALSE)="","",VLOOKUP(A1804,[12]PRIORIZADOS!$A:$I,9,FALSE)),"")</f>
        <v>SEGUIMIENTO_Y_SUPERVISIÓN.</v>
      </c>
      <c r="J1804" s="11" t="str">
        <f>IFERROR(IF(VLOOKUP(A1804,[12]PRIORIZADOS!$A:$J,10,FALSE)="","",VLOOKUP(A1804,[12]PRIORIZADOS!$A:$J,10,FALSE)),"")</f>
        <v>Realizar visitas para verificar la información registrada sobre la autoevaluación institucional en el aplicativo EVI, a los establecimientos de educación formal no oficial.</v>
      </c>
      <c r="K1804" s="11" t="str">
        <f>IFERROR(IF(VLOOKUP(A1804,[12]PRIORIZADOS!$A:$K,11,FALSE)="","",VLOOKUP(A1804,[12]PRIORIZADOS!$A:$K,11,FALSE)),"")</f>
        <v>XIMENA CAROLINA RAMÍREZ MORALES</v>
      </c>
      <c r="L1804" s="11" t="str">
        <f>IFERROR(IF(VLOOKUP(A1804,[12]PRIORIZADOS!$A:$L,12,FALSE)="","",VLOOKUP(A1804,[12]PRIORIZADOS!$A:$L,12,FALSE)),"")</f>
        <v>JAIRO ANDRÉS ÁLVAREZ CHÁVEZ</v>
      </c>
      <c r="M1804" s="71">
        <f>IFERROR(IF(VLOOKUP(A1804,[12]PRIORIZADOS!$A:$M,13,FALSE)="","",VLOOKUP(A1804,[12]PRIORIZADOS!$A:$M,13,FALSE)),"")</f>
        <v>45777</v>
      </c>
      <c r="N1804" s="71">
        <f>IFERROR(IF(VLOOKUP(A1804,[12]PRIORIZADOS!$A:$N,14,FALSE)="","",VLOOKUP(A1804,[12]PRIORIZADOS!$A:$N,14,FALSE)),"")</f>
        <v>45777</v>
      </c>
      <c r="O1804" s="71">
        <f>IFERROR(IF(VLOOKUP(A1804,[12]PRIORIZADOS!$A:$O,15,FALSE)="","",VLOOKUP(A1804,[12]PRIORIZADOS!$A:$O,15,FALSE)),"")</f>
        <v>45777</v>
      </c>
      <c r="P1804" s="11" t="str">
        <f>IFERROR(IF(VLOOKUP(A1804,[12]PRIORIZADOS!$A:$P,16,FALSE)="","",VLOOKUP(A1804,[12]PRIORIZADOS!$A:$P,16,FALSE)),"")</f>
        <v>Visitas de evaluación con fines de mejoramiento</v>
      </c>
      <c r="Q1804" s="107" t="s">
        <v>392</v>
      </c>
      <c r="R1804" s="11" t="str">
        <f>IFERROR(IF(VLOOKUP(A1804,[12]PRIORIZADOS!$A:$R,18,FALSE)="","",VLOOKUP(A1804,[12]PRIORIZADOS!$A:$R,18,FALSE)),"")</f>
        <v>Se realiza verificación de contrato de uno de los estudiantes.</v>
      </c>
      <c r="S1804" s="11" t="str">
        <f>IFERROR(IF(VLOOKUP(A1804,[12]PRIORIZADOS!$A:$S,19,FALSE)="","",VLOOKUP(A1804,[12]PRIORIZADOS!$A:$S,19,FALSE)),"")</f>
        <v>Recomendación: Implementar biblioteca, sala de docentes e incrementar número de baños.</v>
      </c>
      <c r="T1804" s="70" t="str">
        <f>IFERROR(IF(VLOOKUP(A1804,[12]PRIORIZADOS!$A:$T,20,FALSE)="","",VLOOKUP(A1804,[12]PRIORIZADOS!$A:$T,20,FALSE)),"")</f>
        <v>Si</v>
      </c>
      <c r="U1804" s="11" t="str">
        <f>IFERROR(IF(VLOOKUP(A1804,[12]PRIORIZADOS!$A:$U,21,FALSE)="","",VLOOKUP(A1804,[12]PRIORIZADOS!$A:$U,21,FALSE)),"")</f>
        <v>Verificación en próxima visita.</v>
      </c>
    </row>
    <row r="1805" spans="1:21" s="1" customFormat="1" ht="72">
      <c r="A1805" s="69">
        <f>IF([12]PRIORIZADOS!A135="","",[12]PRIORIZADOS!A135)</f>
        <v>1777</v>
      </c>
      <c r="B1805" s="70">
        <v>15</v>
      </c>
      <c r="C1805" s="11" t="str">
        <f>IFERROR(IF(VLOOKUP(A1805,[12]PRIORIZADOS!$A:$C,3,FALSE)="","",VLOOKUP(A1805,[12]PRIORIZADOS!$A:$C,3,FALSE)),"")</f>
        <v>SAN CRISTÓBAL</v>
      </c>
      <c r="D1805" s="11" t="str">
        <f>IFERROR(IF(VLOOKUP(A1805,[12]PRIORIZADOS!$A:$D,4,FALSE)="","",VLOOKUP(A1805,[12]PRIORIZADOS!$A:$D,4,FALSE)),"")</f>
        <v>PRIVADO</v>
      </c>
      <c r="E1805" s="11" t="str">
        <f>IFERROR(IF(VLOOKUP(A1805,[12]PRIORIZADOS!$A:$E,5,FALSE)="","",VLOOKUP(A1805,[12]PRIORIZADOS!$A:$E,5,FALSE)),"")</f>
        <v>EPBM</v>
      </c>
      <c r="F1805" s="11" t="str">
        <f>IFERROR(IF(VLOOKUP(A1805,[12]PRIORIZADOS!$A:$F,6,FALSE)="","",VLOOKUP(A1805,[12]PRIORIZADOS!$A:$F,6,FALSE)),"")</f>
        <v>LICEO_SAN_JOSE_ORIENTAL</v>
      </c>
      <c r="G1805" s="11" t="str">
        <f>IFERROR(IF(VLOOKUP(A1805,[12]PRIORIZADOS!$A:$G,7,FALSE)="","",VLOOKUP(A1805,[12]PRIORIZADOS!$A:$G,7,FALSE)),"")</f>
        <v>LICEO SAN JOSE ORIENTAL</v>
      </c>
      <c r="H1805" s="11" t="str">
        <f>IFERROR(IF(VLOOKUP(A1805,[12]PRIORIZADOS!$A:$H,8,FALSE)="","",VLOOKUP(A1805,[12]PRIORIZADOS!$A:$H,8,FALSE)),"")</f>
        <v>Autoevaluación Institucional y Pruebas SABER 11</v>
      </c>
      <c r="I1805" s="11" t="str">
        <f>IFERROR(IF(VLOOKUP(A1805,[12]PRIORIZADOS!$A:$I,9,FALSE)="","",VLOOKUP(A1805,[12]PRIORIZADOS!$A:$I,9,FALSE)),"")</f>
        <v>SEGUIMIENTO_Y_SUPERVISIÓN.</v>
      </c>
      <c r="J1805" s="11" t="str">
        <f>IFERROR(IF(VLOOKUP(A1805,[12]PRIORIZADOS!$A:$J,10,FALSE)="","",VLOOKUP(A1805,[12]PRIORIZADOS!$A:$J,10,FALSE)),"")</f>
        <v>Proponer estrategias en la formulación, verificar su elaboración y realizar seguimiento semestral al desarrollo de  las acciones establecidas en los planes de mejoramiento por pruebas SABER 11 de los establecimientos de educación formal.</v>
      </c>
      <c r="K1805" s="11" t="str">
        <f>IFERROR(IF(VLOOKUP(A1805,[12]PRIORIZADOS!$A:$K,11,FALSE)="","",VLOOKUP(A1805,[12]PRIORIZADOS!$A:$K,11,FALSE)),"")</f>
        <v>XIMENA CAROLINA RAMÍREZ MORALES</v>
      </c>
      <c r="L1805" s="11" t="str">
        <f>IFERROR(IF(VLOOKUP(A1805,[12]PRIORIZADOS!$A:$L,12,FALSE)="","",VLOOKUP(A1805,[12]PRIORIZADOS!$A:$L,12,FALSE)),"")</f>
        <v>JAIRO ANDRÉS ÁLVAREZ CHÁVEZ</v>
      </c>
      <c r="M1805" s="71">
        <f>IFERROR(IF(VLOOKUP(A1805,[12]PRIORIZADOS!$A:$M,13,FALSE)="","",VLOOKUP(A1805,[12]PRIORIZADOS!$A:$M,13,FALSE)),"")</f>
        <v>45777</v>
      </c>
      <c r="N1805" s="71">
        <f>IFERROR(IF(VLOOKUP(A1805,[12]PRIORIZADOS!$A:$N,14,FALSE)="","",VLOOKUP(A1805,[12]PRIORIZADOS!$A:$N,14,FALSE)),"")</f>
        <v>45777</v>
      </c>
      <c r="O1805" s="71">
        <f>IFERROR(IF(VLOOKUP(A1805,[12]PRIORIZADOS!$A:$O,15,FALSE)="","",VLOOKUP(A1805,[12]PRIORIZADOS!$A:$O,15,FALSE)),"")</f>
        <v>45777</v>
      </c>
      <c r="P1805" s="11" t="str">
        <f>IFERROR(IF(VLOOKUP(A1805,[12]PRIORIZADOS!$A:$P,16,FALSE)="","",VLOOKUP(A1805,[12]PRIORIZADOS!$A:$P,16,FALSE)),"")</f>
        <v>Visitas de evaluación con fines de mejoramiento</v>
      </c>
      <c r="Q1805" s="107" t="s">
        <v>392</v>
      </c>
      <c r="R1805" s="11" t="str">
        <f>IFERROR(IF(VLOOKUP(A1805,[12]PRIORIZADOS!$A:$R,18,FALSE)="","",VLOOKUP(A1805,[12]PRIORIZADOS!$A:$R,18,FALSE)),"")</f>
        <v>De grado 3° a 11° las evaluaciones son tipo pruebas saber. Los sábados se realiza un preicfes externo de caracter voluntario. 
Las guías (módulos) son elaborados por una institución y están actualizados con los lineamientos del MEN.</v>
      </c>
      <c r="S1805" s="11" t="str">
        <f>IFERROR(IF(VLOOKUP(A1805,[12]PRIORIZADOS!$A:$S,19,FALSE)="","",VLOOKUP(A1805,[12]PRIORIZADOS!$A:$S,19,FALSE)),"")</f>
        <v xml:space="preserve">Implementar nuevas acciones a partir de los análisis de los resultados obtenidos en las instancias correspondientes. </v>
      </c>
      <c r="T1805" s="70" t="str">
        <f>IFERROR(IF(VLOOKUP(A1805,[12]PRIORIZADOS!$A:$T,20,FALSE)="","",VLOOKUP(A1805,[12]PRIORIZADOS!$A:$T,20,FALSE)),"")</f>
        <v>No</v>
      </c>
      <c r="U1805" s="11" t="str">
        <f>IFERROR(IF(VLOOKUP(A1805,[12]PRIORIZADOS!$A:$U,21,FALSE)="","",VLOOKUP(A1805,[12]PRIORIZADOS!$A:$U,21,FALSE)),"")</f>
        <v>Verificación en actas de reunión de las instancias correspondientes.</v>
      </c>
    </row>
    <row r="1806" spans="1:21" s="1" customFormat="1" ht="48">
      <c r="A1806" s="69">
        <f>IF([12]PRIORIZADOS!A136="","",[12]PRIORIZADOS!A136)</f>
        <v>1778</v>
      </c>
      <c r="B1806" s="70">
        <v>15</v>
      </c>
      <c r="C1806" s="11" t="str">
        <f>IFERROR(IF(VLOOKUP(A1806,[12]PRIORIZADOS!$A:$C,3,FALSE)="","",VLOOKUP(A1806,[12]PRIORIZADOS!$A:$C,3,FALSE)),"")</f>
        <v>SAN CRISTÓBAL</v>
      </c>
      <c r="D1806" s="11" t="str">
        <f>IFERROR(IF(VLOOKUP(A1806,[12]PRIORIZADOS!$A:$D,4,FALSE)="","",VLOOKUP(A1806,[12]PRIORIZADOS!$A:$D,4,FALSE)),"")</f>
        <v>PRIVADO</v>
      </c>
      <c r="E1806" s="11" t="str">
        <f>IFERROR(IF(VLOOKUP(A1806,[12]PRIORIZADOS!$A:$E,5,FALSE)="","",VLOOKUP(A1806,[12]PRIORIZADOS!$A:$E,5,FALSE)),"")</f>
        <v>EPBM</v>
      </c>
      <c r="F1806" s="11" t="str">
        <f>IFERROR(IF(VLOOKUP(A1806,[12]PRIORIZADOS!$A:$F,6,FALSE)="","",VLOOKUP(A1806,[12]PRIORIZADOS!$A:$F,6,FALSE)),"")</f>
        <v>LICEO_SAN_JOSE_ORIENTAL</v>
      </c>
      <c r="G1806" s="11" t="str">
        <f>IFERROR(IF(VLOOKUP(A1806,[12]PRIORIZADOS!$A:$G,7,FALSE)="","",VLOOKUP(A1806,[12]PRIORIZADOS!$A:$G,7,FALSE)),"")</f>
        <v>LICEO SAN JOSE ORIENTAL</v>
      </c>
      <c r="H1806" s="11" t="str">
        <f>IFERROR(IF(VLOOKUP(A1806,[12]PRIORIZADOS!$A:$H,8,FALSE)="","",VLOOKUP(A1806,[12]PRIORIZADOS!$A:$H,8,FALSE)),"")</f>
        <v>Autoevaluación Institucional y Pruebas SABER 11</v>
      </c>
      <c r="I1806" s="11" t="str">
        <f>IFERROR(IF(VLOOKUP(A1806,[12]PRIORIZADOS!$A:$I,9,FALSE)="","",VLOOKUP(A1806,[12]PRIORIZADOS!$A:$I,9,FALSE)),"")</f>
        <v>SEGUIMIENTO_Y_SUPERVISIÓN.</v>
      </c>
      <c r="J1806" s="11" t="str">
        <f>IFERROR(IF(VLOOKUP(A1806,[12]PRIORIZADOS!$A:$J,10,FALSE)="","",VLOOKUP(A1806,[12]PRIORIZADOS!$A:$J,10,FALSE)),"")</f>
        <v xml:space="preserve">Verificar la implementación por parte de los colegios, de acciones realizadas para la prevención y atención de las situaciones de convivencia en el entorno escolar, según lo establecido en la Directiva 01 de 2022 del MEN. </v>
      </c>
      <c r="K1806" s="11" t="str">
        <f>IFERROR(IF(VLOOKUP(A1806,[12]PRIORIZADOS!$A:$K,11,FALSE)="","",VLOOKUP(A1806,[12]PRIORIZADOS!$A:$K,11,FALSE)),"")</f>
        <v>XIMENA CAROLINA RAMÍREZ MORALES</v>
      </c>
      <c r="L1806" s="11" t="str">
        <f>IFERROR(IF(VLOOKUP(A1806,[12]PRIORIZADOS!$A:$L,12,FALSE)="","",VLOOKUP(A1806,[12]PRIORIZADOS!$A:$L,12,FALSE)),"")</f>
        <v>JAIRO ANDRÉS ÁLVAREZ CHÁVEZ</v>
      </c>
      <c r="M1806" s="71">
        <f>IFERROR(IF(VLOOKUP(A1806,[12]PRIORIZADOS!$A:$M,13,FALSE)="","",VLOOKUP(A1806,[12]PRIORIZADOS!$A:$M,13,FALSE)),"")</f>
        <v>45777</v>
      </c>
      <c r="N1806" s="71">
        <f>IFERROR(IF(VLOOKUP(A1806,[12]PRIORIZADOS!$A:$N,14,FALSE)="","",VLOOKUP(A1806,[12]PRIORIZADOS!$A:$N,14,FALSE)),"")</f>
        <v>45777</v>
      </c>
      <c r="O1806" s="71">
        <f>IFERROR(IF(VLOOKUP(A1806,[12]PRIORIZADOS!$A:$O,15,FALSE)="","",VLOOKUP(A1806,[12]PRIORIZADOS!$A:$O,15,FALSE)),"")</f>
        <v>45777</v>
      </c>
      <c r="P1806" s="11" t="str">
        <f>IFERROR(IF(VLOOKUP(A1806,[12]PRIORIZADOS!$A:$P,16,FALSE)="","",VLOOKUP(A1806,[12]PRIORIZADOS!$A:$P,16,FALSE)),"")</f>
        <v>Visitas de evaluación con fines de mejoramiento</v>
      </c>
      <c r="Q1806" s="107" t="s">
        <v>392</v>
      </c>
      <c r="R1806" s="11" t="str">
        <f>IFERROR(IF(VLOOKUP(A1806,[12]PRIORIZADOS!$A:$R,18,FALSE)="","",VLOOKUP(A1806,[12]PRIORIZADOS!$A:$R,18,FALSE)),"")</f>
        <v xml:space="preserve">Se verifica documentación impresa referente a la consulta de antecedentes por delitos sexuales. </v>
      </c>
      <c r="S1806" s="11" t="str">
        <f>IFERROR(IF(VLOOKUP(A1806,[12]PRIORIZADOS!$A:$S,19,FALSE)="","",VLOOKUP(A1806,[12]PRIORIZADOS!$A:$S,19,FALSE)),"")</f>
        <v xml:space="preserve">Continuar realizando la verificación cada 4 meses. </v>
      </c>
      <c r="T1806" s="70" t="str">
        <f>IFERROR(IF(VLOOKUP(A1806,[12]PRIORIZADOS!$A:$T,20,FALSE)="","",VLOOKUP(A1806,[12]PRIORIZADOS!$A:$T,20,FALSE)),"")</f>
        <v>No</v>
      </c>
      <c r="U1806" s="11" t="str">
        <f>IFERROR(IF(VLOOKUP(A1806,[12]PRIORIZADOS!$A:$U,21,FALSE)="","",VLOOKUP(A1806,[12]PRIORIZADOS!$A:$U,21,FALSE)),"")</f>
        <v>Se hará verificación en caso de presentarse requerimiento</v>
      </c>
    </row>
    <row r="1807" spans="1:21" s="1" customFormat="1" ht="72">
      <c r="A1807" s="69">
        <f>IF([12]PRIORIZADOS!A137="","",[12]PRIORIZADOS!A137)</f>
        <v>1779</v>
      </c>
      <c r="B1807" s="70">
        <v>15</v>
      </c>
      <c r="C1807" s="11" t="str">
        <f>IFERROR(IF(VLOOKUP(A1807,[12]PRIORIZADOS!$A:$C,3,FALSE)="","",VLOOKUP(A1807,[12]PRIORIZADOS!$A:$C,3,FALSE)),"")</f>
        <v>SAN CRISTÓBAL</v>
      </c>
      <c r="D1807" s="11" t="str">
        <f>IFERROR(IF(VLOOKUP(A1807,[12]PRIORIZADOS!$A:$D,4,FALSE)="","",VLOOKUP(A1807,[12]PRIORIZADOS!$A:$D,4,FALSE)),"")</f>
        <v>PRIVADO</v>
      </c>
      <c r="E1807" s="11" t="str">
        <f>IFERROR(IF(VLOOKUP(A1807,[12]PRIORIZADOS!$A:$E,5,FALSE)="","",VLOOKUP(A1807,[12]PRIORIZADOS!$A:$E,5,FALSE)),"")</f>
        <v>EPBM</v>
      </c>
      <c r="F1807" s="11" t="str">
        <f>IFERROR(IF(VLOOKUP(A1807,[12]PRIORIZADOS!$A:$F,6,FALSE)="","",VLOOKUP(A1807,[12]PRIORIZADOS!$A:$F,6,FALSE)),"")</f>
        <v>LICEO_SAN_JOSE_ORIENTAL</v>
      </c>
      <c r="G1807" s="11" t="str">
        <f>IFERROR(IF(VLOOKUP(A1807,[12]PRIORIZADOS!$A:$G,7,FALSE)="","",VLOOKUP(A1807,[12]PRIORIZADOS!$A:$G,7,FALSE)),"")</f>
        <v>LICEO SAN JOSE ORIENTAL</v>
      </c>
      <c r="H1807" s="11" t="str">
        <f>IFERROR(IF(VLOOKUP(A1807,[12]PRIORIZADOS!$A:$H,8,FALSE)="","",VLOOKUP(A1807,[12]PRIORIZADOS!$A:$H,8,FALSE)),"")</f>
        <v>Autoevaluación Institucional y Pruebas SABER 11</v>
      </c>
      <c r="I1807" s="11" t="str">
        <f>IFERROR(IF(VLOOKUP(A1807,[12]PRIORIZADOS!$A:$I,9,FALSE)="","",VLOOKUP(A1807,[12]PRIORIZADOS!$A:$I,9,FALSE)),"")</f>
        <v>SEGUIMIENTO_Y_SUPERVISIÓN.</v>
      </c>
      <c r="J1807" s="11" t="str">
        <f>IFERROR(IF(VLOOKUP(A1807,[12]PRIORIZADOS!$A:$J,10,FALSE)="","",VLOOKUP(A1807,[12]PRIORIZADOS!$A:$J,10,FALSE)),"")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07" s="11" t="str">
        <f>IFERROR(IF(VLOOKUP(A1807,[12]PRIORIZADOS!$A:$K,11,FALSE)="","",VLOOKUP(A1807,[12]PRIORIZADOS!$A:$K,11,FALSE)),"")</f>
        <v>XIMENA CAROLINA RAMÍREZ MORALES</v>
      </c>
      <c r="L1807" s="11" t="str">
        <f>IFERROR(IF(VLOOKUP(A1807,[12]PRIORIZADOS!$A:$L,12,FALSE)="","",VLOOKUP(A1807,[12]PRIORIZADOS!$A:$L,12,FALSE)),"")</f>
        <v>JAIRO ANDRÉS ÁLVAREZ CHÁVEZ</v>
      </c>
      <c r="M1807" s="71">
        <f>IFERROR(IF(VLOOKUP(A1807,[12]PRIORIZADOS!$A:$M,13,FALSE)="","",VLOOKUP(A1807,[12]PRIORIZADOS!$A:$M,13,FALSE)),"")</f>
        <v>45777</v>
      </c>
      <c r="N1807" s="71">
        <f>IFERROR(IF(VLOOKUP(A1807,[12]PRIORIZADOS!$A:$N,14,FALSE)="","",VLOOKUP(A1807,[12]PRIORIZADOS!$A:$N,14,FALSE)),"")</f>
        <v>45777</v>
      </c>
      <c r="O1807" s="71">
        <f>IFERROR(IF(VLOOKUP(A1807,[12]PRIORIZADOS!$A:$O,15,FALSE)="","",VLOOKUP(A1807,[12]PRIORIZADOS!$A:$O,15,FALSE)),"")</f>
        <v>45777</v>
      </c>
      <c r="P1807" s="11" t="str">
        <f>IFERROR(IF(VLOOKUP(A1807,[12]PRIORIZADOS!$A:$P,16,FALSE)="","",VLOOKUP(A1807,[12]PRIORIZADOS!$A:$P,16,FALSE)),"")</f>
        <v>Visitas de evaluación con fines de mejoramiento</v>
      </c>
      <c r="Q1807" s="107" t="s">
        <v>392</v>
      </c>
      <c r="R1807" s="11" t="str">
        <f>IFERROR(IF(VLOOKUP(A1807,[12]PRIORIZADOS!$A:$R,18,FALSE)="","",VLOOKUP(A1807,[12]PRIORIZADOS!$A:$R,18,FALSE)),"")</f>
        <v>A la fecha se han realizado 10 remisiones al sector salud; a la espera de diagnóstico.</v>
      </c>
      <c r="S1807" s="11" t="str">
        <f>IFERROR(IF(VLOOKUP(A1807,[12]PRIORIZADOS!$A:$S,19,FALSE)="","",VLOOKUP(A1807,[12]PRIORIZADOS!$A:$S,19,FALSE)),"")</f>
        <v>Se indica tener en cuenta los formatos del MEN para la elaboración de PIAR de los estudiantes que lo requieran.</v>
      </c>
      <c r="T1807" s="70" t="str">
        <f>IFERROR(IF(VLOOKUP(A1807,[12]PRIORIZADOS!$A:$T,20,FALSE)="","",VLOOKUP(A1807,[12]PRIORIZADOS!$A:$T,20,FALSE)),"")</f>
        <v>No</v>
      </c>
      <c r="U1807" s="11" t="str">
        <f>IFERROR(IF(VLOOKUP(A1807,[12]PRIORIZADOS!$A:$U,21,FALSE)="","",VLOOKUP(A1807,[12]PRIORIZADOS!$A:$U,21,FALSE)),"")</f>
        <v>Verificar de PIAR en próxima visita.</v>
      </c>
    </row>
    <row r="1808" spans="1:21" s="1" customFormat="1" ht="84">
      <c r="A1808" s="69">
        <f>IF([12]PRIORIZADOS!A138="","",[12]PRIORIZADOS!A138)</f>
        <v>1780</v>
      </c>
      <c r="B1808" s="70">
        <v>15</v>
      </c>
      <c r="C1808" s="11" t="str">
        <f>IFERROR(IF(VLOOKUP(A1808,[12]PRIORIZADOS!$A:$C,3,FALSE)="","",VLOOKUP(A1808,[12]PRIORIZADOS!$A:$C,3,FALSE)),"")</f>
        <v>SAN CRISTÓBAL</v>
      </c>
      <c r="D1808" s="11" t="str">
        <f>IFERROR(IF(VLOOKUP(A1808,[12]PRIORIZADOS!$A:$D,4,FALSE)="","",VLOOKUP(A1808,[12]PRIORIZADOS!$A:$D,4,FALSE)),"")</f>
        <v>PRIVADO</v>
      </c>
      <c r="E1808" s="11" t="str">
        <f>IFERROR(IF(VLOOKUP(A1808,[12]PRIORIZADOS!$A:$E,5,FALSE)="","",VLOOKUP(A1808,[12]PRIORIZADOS!$A:$E,5,FALSE)),"")</f>
        <v>EPBM</v>
      </c>
      <c r="F1808" s="11" t="str">
        <f>IFERROR(IF(VLOOKUP(A1808,[12]PRIORIZADOS!$A:$F,6,FALSE)="","",VLOOKUP(A1808,[12]PRIORIZADOS!$A:$F,6,FALSE)),"")</f>
        <v>LICEO_SAN_JOSE_ORIENTAL</v>
      </c>
      <c r="G1808" s="11" t="str">
        <f>IFERROR(IF(VLOOKUP(A1808,[12]PRIORIZADOS!$A:$G,7,FALSE)="","",VLOOKUP(A1808,[12]PRIORIZADOS!$A:$G,7,FALSE)),"")</f>
        <v>LICEO SAN JOSE ORIENTAL</v>
      </c>
      <c r="H1808" s="11" t="str">
        <f>IFERROR(IF(VLOOKUP(A1808,[12]PRIORIZADOS!$A:$H,8,FALSE)="","",VLOOKUP(A1808,[12]PRIORIZADOS!$A:$H,8,FALSE)),"")</f>
        <v>Autoevaluación Institucional y Pruebas SABER 11</v>
      </c>
      <c r="I1808" s="11" t="str">
        <f>IFERROR(IF(VLOOKUP(A1808,[12]PRIORIZADOS!$A:$I,9,FALSE)="","",VLOOKUP(A1808,[12]PRIORIZADOS!$A:$I,9,FALSE)),"")</f>
        <v>EVALUACIÓN_CON_FINES_DE_MEJORAMIENTO.</v>
      </c>
      <c r="J1808" s="11" t="str">
        <f>IFERROR(IF(VLOOKUP(A1808,[12]PRIORIZADOS!$A:$J,10,FALSE)="","",VLOOKUP(A1808,[12]PRIORIZADOS!$A:$J,10,FALSE)),"")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08" s="11" t="str">
        <f>IFERROR(IF(VLOOKUP(A1808,[12]PRIORIZADOS!$A:$K,11,FALSE)="","",VLOOKUP(A1808,[12]PRIORIZADOS!$A:$K,11,FALSE)),"")</f>
        <v>XIMENA CAROLINA RAMÍREZ MORALES</v>
      </c>
      <c r="L1808" s="11" t="str">
        <f>IFERROR(IF(VLOOKUP(A1808,[12]PRIORIZADOS!$A:$L,12,FALSE)="","",VLOOKUP(A1808,[12]PRIORIZADOS!$A:$L,12,FALSE)),"")</f>
        <v>JAIRO ANDRÉS ÁLVAREZ CHÁVEZ</v>
      </c>
      <c r="M1808" s="71">
        <f>IFERROR(IF(VLOOKUP(A1808,[12]PRIORIZADOS!$A:$M,13,FALSE)="","",VLOOKUP(A1808,[12]PRIORIZADOS!$A:$M,13,FALSE)),"")</f>
        <v>45777</v>
      </c>
      <c r="N1808" s="71">
        <f>IFERROR(IF(VLOOKUP(A1808,[12]PRIORIZADOS!$A:$N,14,FALSE)="","",VLOOKUP(A1808,[12]PRIORIZADOS!$A:$N,14,FALSE)),"")</f>
        <v>45777</v>
      </c>
      <c r="O1808" s="71">
        <f>IFERROR(IF(VLOOKUP(A1808,[12]PRIORIZADOS!$A:$O,15,FALSE)="","",VLOOKUP(A1808,[12]PRIORIZADOS!$A:$O,15,FALSE)),"")</f>
        <v>45777</v>
      </c>
      <c r="P1808" s="11" t="str">
        <f>IFERROR(IF(VLOOKUP(A1808,[12]PRIORIZADOS!$A:$P,16,FALSE)="","",VLOOKUP(A1808,[12]PRIORIZADOS!$A:$P,16,FALSE)),"")</f>
        <v>Visitas de evaluación con fines de mejoramiento</v>
      </c>
      <c r="Q1808" s="107" t="s">
        <v>392</v>
      </c>
      <c r="R1808" s="11" t="str">
        <f>IFERROR(IF(VLOOKUP(A1808,[12]PRIORIZADOS!$A:$R,18,FALSE)="","",VLOOKUP(A1808,[12]PRIORIZADOS!$A:$R,18,FALSE)),"")</f>
        <v>El documento contiene los elementos de ley. Se verifica acta 03 del Consejo Directivo del 30/10/2024 y al acta de comité de convivencia del 9 de abril de 2025</v>
      </c>
      <c r="S1808" s="11" t="str">
        <f>IFERROR(IF(VLOOKUP(A1808,[12]PRIORIZADOS!$A:$S,19,FALSE)="","",VLOOKUP(A1808,[12]PRIORIZADOS!$A:$S,19,FALSE)),"")</f>
        <v xml:space="preserve">Continuar con actualización, socialización e implementación según lo establecido por la normatividad vigente. </v>
      </c>
      <c r="T1808" s="70" t="str">
        <f>IFERROR(IF(VLOOKUP(A1808,[12]PRIORIZADOS!$A:$T,20,FALSE)="","",VLOOKUP(A1808,[12]PRIORIZADOS!$A:$T,20,FALSE)),"")</f>
        <v>No</v>
      </c>
      <c r="U1808" s="11" t="str">
        <f>IFERROR(IF(VLOOKUP(A1808,[12]PRIORIZADOS!$A:$U,21,FALSE)="","",VLOOKUP(A1808,[12]PRIORIZADOS!$A:$U,21,FALSE)),"")</f>
        <v>Se hará verificación en caso de presentarse requerimiento</v>
      </c>
    </row>
    <row r="1809" spans="1:21" s="1" customFormat="1" ht="48">
      <c r="A1809" s="69">
        <f>IF([12]PRIORIZADOS!A139="","",[12]PRIORIZADOS!A139)</f>
        <v>1781</v>
      </c>
      <c r="B1809" s="70">
        <v>15</v>
      </c>
      <c r="C1809" s="11" t="str">
        <f>IFERROR(IF(VLOOKUP(A1809,[12]PRIORIZADOS!$A:$C,3,FALSE)="","",VLOOKUP(A1809,[12]PRIORIZADOS!$A:$C,3,FALSE)),"")</f>
        <v>SAN CRISTÓBAL</v>
      </c>
      <c r="D1809" s="11" t="str">
        <f>IFERROR(IF(VLOOKUP(A1809,[12]PRIORIZADOS!$A:$D,4,FALSE)="","",VLOOKUP(A1809,[12]PRIORIZADOS!$A:$D,4,FALSE)),"")</f>
        <v>PRIVADO</v>
      </c>
      <c r="E1809" s="11" t="str">
        <f>IFERROR(IF(VLOOKUP(A1809,[12]PRIORIZADOS!$A:$E,5,FALSE)="","",VLOOKUP(A1809,[12]PRIORIZADOS!$A:$E,5,FALSE)),"")</f>
        <v>EPBM</v>
      </c>
      <c r="F1809" s="11" t="str">
        <f>IFERROR(IF(VLOOKUP(A1809,[12]PRIORIZADOS!$A:$F,6,FALSE)="","",VLOOKUP(A1809,[12]PRIORIZADOS!$A:$F,6,FALSE)),"")</f>
        <v>LICEO_SAN_JOSE_ORIENTAL</v>
      </c>
      <c r="G1809" s="11" t="str">
        <f>IFERROR(IF(VLOOKUP(A1809,[12]PRIORIZADOS!$A:$G,7,FALSE)="","",VLOOKUP(A1809,[12]PRIORIZADOS!$A:$G,7,FALSE)),"")</f>
        <v>LICEO SAN JOSE ORIENTAL</v>
      </c>
      <c r="H1809" s="11" t="str">
        <f>IFERROR(IF(VLOOKUP(A1809,[12]PRIORIZADOS!$A:$H,8,FALSE)="","",VLOOKUP(A1809,[12]PRIORIZADOS!$A:$H,8,FALSE)),"")</f>
        <v>Autoevaluación Institucional y Pruebas SABER 11</v>
      </c>
      <c r="I1809" s="11" t="str">
        <f>IFERROR(IF(VLOOKUP(A1809,[12]PRIORIZADOS!$A:$I,9,FALSE)="","",VLOOKUP(A1809,[12]PRIORIZADOS!$A:$I,9,FALSE)),"")</f>
        <v>EVALUACIÓN_CON_FINES_DE_MEJORAMIENTO.</v>
      </c>
      <c r="J1809" s="11" t="str">
        <f>IFERROR(IF(VLOOKUP(A1809,[12]PRIORIZADOS!$A:$J,10,FALSE)="","",VLOOKUP(A1809,[12]PRIORIZADOS!$A:$J,10,FALSE)),"")</f>
        <v>Revisar la actualización, socialización e implementación del Sistema Institucional de Evaluación de Estudiantes - SIEE, en articulación con la actualización del PEI y la normatividad vigente.</v>
      </c>
      <c r="K1809" s="11" t="str">
        <f>IFERROR(IF(VLOOKUP(A1809,[12]PRIORIZADOS!$A:$K,11,FALSE)="","",VLOOKUP(A1809,[12]PRIORIZADOS!$A:$K,11,FALSE)),"")</f>
        <v>XIMENA CAROLINA RAMÍREZ MORALES</v>
      </c>
      <c r="L1809" s="11" t="str">
        <f>IFERROR(IF(VLOOKUP(A1809,[12]PRIORIZADOS!$A:$L,12,FALSE)="","",VLOOKUP(A1809,[12]PRIORIZADOS!$A:$L,12,FALSE)),"")</f>
        <v>JAIRO ANDRÉS ÁLVAREZ CHÁVEZ</v>
      </c>
      <c r="M1809" s="71">
        <f>IFERROR(IF(VLOOKUP(A1809,[12]PRIORIZADOS!$A:$M,13,FALSE)="","",VLOOKUP(A1809,[12]PRIORIZADOS!$A:$M,13,FALSE)),"")</f>
        <v>45777</v>
      </c>
      <c r="N1809" s="71">
        <f>IFERROR(IF(VLOOKUP(A1809,[12]PRIORIZADOS!$A:$N,14,FALSE)="","",VLOOKUP(A1809,[12]PRIORIZADOS!$A:$N,14,FALSE)),"")</f>
        <v>45777</v>
      </c>
      <c r="O1809" s="71">
        <f>IFERROR(IF(VLOOKUP(A1809,[12]PRIORIZADOS!$A:$O,15,FALSE)="","",VLOOKUP(A1809,[12]PRIORIZADOS!$A:$O,15,FALSE)),"")</f>
        <v>45777</v>
      </c>
      <c r="P1809" s="11" t="str">
        <f>IFERROR(IF(VLOOKUP(A1809,[12]PRIORIZADOS!$A:$P,16,FALSE)="","",VLOOKUP(A1809,[12]PRIORIZADOS!$A:$P,16,FALSE)),"")</f>
        <v>Visitas de evaluación con fines de mejoramiento</v>
      </c>
      <c r="Q1809" s="107" t="s">
        <v>392</v>
      </c>
      <c r="R1809" s="11" t="str">
        <f>IFERROR(IF(VLOOKUP(A1809,[12]PRIORIZADOS!$A:$R,18,FALSE)="","",VLOOKUP(A1809,[12]PRIORIZADOS!$A:$R,18,FALSE)),"")</f>
        <v xml:space="preserve">El horizonte institucional está acorde con lo establecido en el PEI y tienen como opción pedagógoca el modelo tradicional con currículo integrado. </v>
      </c>
      <c r="S1809" s="11" t="str">
        <f>IFERROR(IF(VLOOKUP(A1809,[12]PRIORIZADOS!$A:$S,19,FALSE)="","",VLOOKUP(A1809,[12]PRIORIZADOS!$A:$S,19,FALSE)),"")</f>
        <v>Continuar con la revisión períodica y actualización según lo determinen las instancias correspondientes.</v>
      </c>
      <c r="T1809" s="70" t="str">
        <f>IFERROR(IF(VLOOKUP(A1809,[12]PRIORIZADOS!$A:$T,20,FALSE)="","",VLOOKUP(A1809,[12]PRIORIZADOS!$A:$T,20,FALSE)),"")</f>
        <v>No</v>
      </c>
      <c r="U1809" s="11" t="str">
        <f>IFERROR(IF(VLOOKUP(A1809,[12]PRIORIZADOS!$A:$U,21,FALSE)="","",VLOOKUP(A1809,[12]PRIORIZADOS!$A:$U,21,FALSE)),"")</f>
        <v>Se hará verificación en caso de presentarse requerimiento</v>
      </c>
    </row>
    <row r="1810" spans="1:21" s="1" customFormat="1" ht="48">
      <c r="A1810" s="69">
        <f>IF([12]PRIORIZADOS!A140="","",[12]PRIORIZADOS!A140)</f>
        <v>1782</v>
      </c>
      <c r="B1810" s="70">
        <v>15</v>
      </c>
      <c r="C1810" s="11" t="str">
        <f>IFERROR(IF(VLOOKUP(A1810,[12]PRIORIZADOS!$A:$C,3,FALSE)="","",VLOOKUP(A1810,[12]PRIORIZADOS!$A:$C,3,FALSE)),"")</f>
        <v>SAN CRISTÓBAL</v>
      </c>
      <c r="D1810" s="11" t="str">
        <f>IFERROR(IF(VLOOKUP(A1810,[12]PRIORIZADOS!$A:$D,4,FALSE)="","",VLOOKUP(A1810,[12]PRIORIZADOS!$A:$D,4,FALSE)),"")</f>
        <v>PRIVADO</v>
      </c>
      <c r="E1810" s="11" t="str">
        <f>IFERROR(IF(VLOOKUP(A1810,[12]PRIORIZADOS!$A:$E,5,FALSE)="","",VLOOKUP(A1810,[12]PRIORIZADOS!$A:$E,5,FALSE)),"")</f>
        <v>EPBM</v>
      </c>
      <c r="F1810" s="11" t="str">
        <f>IFERROR(IF(VLOOKUP(A1810,[12]PRIORIZADOS!$A:$F,6,FALSE)="","",VLOOKUP(A1810,[12]PRIORIZADOS!$A:$F,6,FALSE)),"")</f>
        <v>LICEO_SAN_JOSE_ORIENTAL</v>
      </c>
      <c r="G1810" s="11" t="str">
        <f>IFERROR(IF(VLOOKUP(A1810,[12]PRIORIZADOS!$A:$G,7,FALSE)="","",VLOOKUP(A1810,[12]PRIORIZADOS!$A:$G,7,FALSE)),"")</f>
        <v>LICEO SAN JOSE ORIENTAL</v>
      </c>
      <c r="H1810" s="11" t="str">
        <f>IFERROR(IF(VLOOKUP(A1810,[12]PRIORIZADOS!$A:$H,8,FALSE)="","",VLOOKUP(A1810,[12]PRIORIZADOS!$A:$H,8,FALSE)),"")</f>
        <v>Autoevaluación Institucional y Pruebas SABER 11</v>
      </c>
      <c r="I1810" s="11" t="str">
        <f>IFERROR(IF(VLOOKUP(A1810,[12]PRIORIZADOS!$A:$I,9,FALSE)="","",VLOOKUP(A1810,[12]PRIORIZADOS!$A:$I,9,FALSE)),"")</f>
        <v>EVALUACIÓN_CON_FINES_DE_MEJORAMIENTO.</v>
      </c>
      <c r="J1810" s="11" t="str">
        <f>IFERROR(IF(VLOOKUP(A1810,[12]PRIORIZADOS!$A:$J,10,FALSE)="","",VLOOKUP(A1810,[12]PRIORIZADOS!$A:$J,10,FALSE)),"")</f>
        <v>Revisar el calendario escolar, jornada escolar, la intensidad horaria mínima anual en cada nivel y las modificaciones que se realicen al mismo, de acuerdo con lo previsto en la normatividad vigente.</v>
      </c>
      <c r="K1810" s="11" t="str">
        <f>IFERROR(IF(VLOOKUP(A1810,[12]PRIORIZADOS!$A:$K,11,FALSE)="","",VLOOKUP(A1810,[12]PRIORIZADOS!$A:$K,11,FALSE)),"")</f>
        <v>XIMENA CAROLINA RAMÍREZ MORALES</v>
      </c>
      <c r="L1810" s="11" t="str">
        <f>IFERROR(IF(VLOOKUP(A1810,[12]PRIORIZADOS!$A:$L,12,FALSE)="","",VLOOKUP(A1810,[12]PRIORIZADOS!$A:$L,12,FALSE)),"")</f>
        <v>JAIRO ANDRÉS ÁLVAREZ CHÁVEZ</v>
      </c>
      <c r="M1810" s="71">
        <f>IFERROR(IF(VLOOKUP(A1810,[12]PRIORIZADOS!$A:$M,13,FALSE)="","",VLOOKUP(A1810,[12]PRIORIZADOS!$A:$M,13,FALSE)),"")</f>
        <v>45777</v>
      </c>
      <c r="N1810" s="71">
        <f>IFERROR(IF(VLOOKUP(A1810,[12]PRIORIZADOS!$A:$N,14,FALSE)="","",VLOOKUP(A1810,[12]PRIORIZADOS!$A:$N,14,FALSE)),"")</f>
        <v>45777</v>
      </c>
      <c r="O1810" s="71">
        <f>IFERROR(IF(VLOOKUP(A1810,[12]PRIORIZADOS!$A:$O,15,FALSE)="","",VLOOKUP(A1810,[12]PRIORIZADOS!$A:$O,15,FALSE)),"")</f>
        <v>45777</v>
      </c>
      <c r="P1810" s="11" t="str">
        <f>IFERROR(IF(VLOOKUP(A1810,[12]PRIORIZADOS!$A:$P,16,FALSE)="","",VLOOKUP(A1810,[12]PRIORIZADOS!$A:$P,16,FALSE)),"")</f>
        <v>Visitas de evaluación con fines de mejoramiento</v>
      </c>
      <c r="Q1810" s="107" t="s">
        <v>392</v>
      </c>
      <c r="R1810" s="11" t="str">
        <f>IFERROR(IF(VLOOKUP(A1810,[12]PRIORIZADOS!$A:$R,18,FALSE)="","",VLOOKUP(A1810,[12]PRIORIZADOS!$A:$R,18,FALSE)),"")</f>
        <v>Cumple con las horas  y semanas reglamentarias de acuerdo con la Resolucion de la SED N°1811 de 2024</v>
      </c>
      <c r="S1810" s="11" t="str">
        <f>IFERROR(IF(VLOOKUP(A1810,[12]PRIORIZADOS!$A:$S,19,FALSE)="","",VLOOKUP(A1810,[12]PRIORIZADOS!$A:$S,19,FALSE)),"")</f>
        <v>Continuar con la prestación del servicio educativo de acuerdo con la normatividad vigente.</v>
      </c>
      <c r="T1810" s="70" t="str">
        <f>IFERROR(IF(VLOOKUP(A1810,[12]PRIORIZADOS!$A:$T,20,FALSE)="","",VLOOKUP(A1810,[12]PRIORIZADOS!$A:$T,20,FALSE)),"")</f>
        <v>No</v>
      </c>
      <c r="U1810" s="11" t="str">
        <f>IFERROR(IF(VLOOKUP(A1810,[12]PRIORIZADOS!$A:$U,21,FALSE)="","",VLOOKUP(A1810,[12]PRIORIZADOS!$A:$U,21,FALSE)),"")</f>
        <v>Ajustado en reunión con DIV</v>
      </c>
    </row>
    <row r="1811" spans="1:21" s="1" customFormat="1" ht="84">
      <c r="A1811" s="69">
        <f>IF([12]PRIORIZADOS!A141="","",[12]PRIORIZADOS!A141)</f>
        <v>1783</v>
      </c>
      <c r="B1811" s="70">
        <v>15</v>
      </c>
      <c r="C1811" s="11" t="str">
        <f>IFERROR(IF(VLOOKUP(A1811,[12]PRIORIZADOS!$A:$C,3,FALSE)="","",VLOOKUP(A1811,[12]PRIORIZADOS!$A:$C,3,FALSE)),"")</f>
        <v>SAN CRISTÓBAL</v>
      </c>
      <c r="D1811" s="11" t="str">
        <f>IFERROR(IF(VLOOKUP(A1811,[12]PRIORIZADOS!$A:$D,4,FALSE)="","",VLOOKUP(A1811,[12]PRIORIZADOS!$A:$D,4,FALSE)),"")</f>
        <v>PRIVADO</v>
      </c>
      <c r="E1811" s="11" t="str">
        <f>IFERROR(IF(VLOOKUP(A1811,[12]PRIORIZADOS!$A:$E,5,FALSE)="","",VLOOKUP(A1811,[12]PRIORIZADOS!$A:$E,5,FALSE)),"")</f>
        <v>EPBM</v>
      </c>
      <c r="F1811" s="11" t="str">
        <f>IFERROR(IF(VLOOKUP(A1811,[12]PRIORIZADOS!$A:$F,6,FALSE)="","",VLOOKUP(A1811,[12]PRIORIZADOS!$A:$F,6,FALSE)),"")</f>
        <v>LICEO_SAN_JOSE_ORIENTAL</v>
      </c>
      <c r="G1811" s="11" t="str">
        <f>IFERROR(IF(VLOOKUP(A1811,[12]PRIORIZADOS!$A:$G,7,FALSE)="","",VLOOKUP(A1811,[12]PRIORIZADOS!$A:$G,7,FALSE)),"")</f>
        <v>LICEO SAN JOSE ORIENTAL</v>
      </c>
      <c r="H1811" s="11" t="str">
        <f>IFERROR(IF(VLOOKUP(A1811,[12]PRIORIZADOS!$A:$H,8,FALSE)="","",VLOOKUP(A1811,[12]PRIORIZADOS!$A:$H,8,FALSE)),"")</f>
        <v>Autoevaluación Institucional y Pruebas SABER 11</v>
      </c>
      <c r="I1811" s="11" t="str">
        <f>IFERROR(IF(VLOOKUP(A1811,[12]PRIORIZADOS!$A:$I,9,FALSE)="","",VLOOKUP(A1811,[12]PRIORIZADOS!$A:$I,9,FALSE)),"")</f>
        <v>EVALUACIÓN_CON_FINES_DE_MEJORAMIENTO.</v>
      </c>
      <c r="J1811" s="11" t="str">
        <f>IFERROR(IF(VLOOKUP(A1811,[12]PRIORIZADOS!$A:$J,10,FALSE)="","",VLOOKUP(A1811,[12]PRIORIZADOS!$A:$J,10,FALSE)),"")</f>
        <v>Verificar el funcionamiento del Gobierno Escolar e instancias de participación con base en la información sobre conformación reportada por la institución educativa.</v>
      </c>
      <c r="K1811" s="11" t="str">
        <f>IFERROR(IF(VLOOKUP(A1811,[12]PRIORIZADOS!$A:$K,11,FALSE)="","",VLOOKUP(A1811,[12]PRIORIZADOS!$A:$K,11,FALSE)),"")</f>
        <v>XIMENA CAROLINA RAMÍREZ MORALES</v>
      </c>
      <c r="L1811" s="11" t="str">
        <f>IFERROR(IF(VLOOKUP(A1811,[12]PRIORIZADOS!$A:$L,12,FALSE)="","",VLOOKUP(A1811,[12]PRIORIZADOS!$A:$L,12,FALSE)),"")</f>
        <v>JAIRO ANDRÉS ÁLVAREZ CHÁVEZ</v>
      </c>
      <c r="M1811" s="71">
        <f>IFERROR(IF(VLOOKUP(A1811,[12]PRIORIZADOS!$A:$M,13,FALSE)="","",VLOOKUP(A1811,[12]PRIORIZADOS!$A:$M,13,FALSE)),"")</f>
        <v>45777</v>
      </c>
      <c r="N1811" s="71">
        <f>IFERROR(IF(VLOOKUP(A1811,[12]PRIORIZADOS!$A:$N,14,FALSE)="","",VLOOKUP(A1811,[12]PRIORIZADOS!$A:$N,14,FALSE)),"")</f>
        <v>45777</v>
      </c>
      <c r="O1811" s="71">
        <f>IFERROR(IF(VLOOKUP(A1811,[12]PRIORIZADOS!$A:$O,15,FALSE)="","",VLOOKUP(A1811,[12]PRIORIZADOS!$A:$O,15,FALSE)),"")</f>
        <v>45777</v>
      </c>
      <c r="P1811" s="11" t="str">
        <f>IFERROR(IF(VLOOKUP(A1811,[12]PRIORIZADOS!$A:$P,16,FALSE)="","",VLOOKUP(A1811,[12]PRIORIZADOS!$A:$P,16,FALSE)),"")</f>
        <v>Visitas de evaluación con fines de mejoramiento</v>
      </c>
      <c r="Q1811" s="107" t="s">
        <v>392</v>
      </c>
      <c r="R1811" s="11" t="str">
        <f>IFERROR(IF(VLOOKUP(A1811,[12]PRIORIZADOS!$A:$R,18,FALSE)="","",VLOOKUP(A1811,[12]PRIORIZADOS!$A:$R,18,FALSE)),"")</f>
        <v>Se verifican actas de elección. Recomendadciones: Pendiente reunión Consejo Estudiantil y su elección de representantes a CD y Pdte (para Comité de Convivencia Escolar). así mismo para de padres. Definir un representante por área para Consejo Académico.</v>
      </c>
      <c r="S1811" s="11" t="str">
        <f>IFERROR(IF(VLOOKUP(A1811,[12]PRIORIZADOS!$A:$S,19,FALSE)="","",VLOOKUP(A1811,[12]PRIORIZADOS!$A:$S,19,FALSE)),"")</f>
        <v>Documentar en eactas las sesiones de las diferentes instancias.</v>
      </c>
      <c r="T1811" s="70" t="str">
        <f>IFERROR(IF(VLOOKUP(A1811,[12]PRIORIZADOS!$A:$T,20,FALSE)="","",VLOOKUP(A1811,[12]PRIORIZADOS!$A:$T,20,FALSE)),"")</f>
        <v>No</v>
      </c>
      <c r="U1811" s="11" t="str">
        <f>IFERROR(IF(VLOOKUP(A1811,[12]PRIORIZADOS!$A:$U,21,FALSE)="","",VLOOKUP(A1811,[12]PRIORIZADOS!$A:$U,21,FALSE)),"")</f>
        <v>Verificación de actas de reunión de las instancias correspondientes.</v>
      </c>
    </row>
    <row r="1812" spans="1:21" s="1" customFormat="1" ht="36">
      <c r="A1812" s="69">
        <f>IF([12]PRIORIZADOS!A142="","",[12]PRIORIZADOS!A142)</f>
        <v>1784</v>
      </c>
      <c r="B1812" s="70">
        <v>15</v>
      </c>
      <c r="C1812" s="11" t="str">
        <f>IFERROR(IF(VLOOKUP(A1812,[12]PRIORIZADOS!$A:$C,3,FALSE)="","",VLOOKUP(A1812,[12]PRIORIZADOS!$A:$C,3,FALSE)),"")</f>
        <v>SAN CRISTÓBAL</v>
      </c>
      <c r="D1812" s="11" t="str">
        <f>IFERROR(IF(VLOOKUP(A1812,[12]PRIORIZADOS!$A:$D,4,FALSE)="","",VLOOKUP(A1812,[12]PRIORIZADOS!$A:$D,4,FALSE)),"")</f>
        <v>PRIVADO</v>
      </c>
      <c r="E1812" s="11" t="str">
        <f>IFERROR(IF(VLOOKUP(A1812,[12]PRIORIZADOS!$A:$E,5,FALSE)="","",VLOOKUP(A1812,[12]PRIORIZADOS!$A:$E,5,FALSE)),"")</f>
        <v>EPBM</v>
      </c>
      <c r="F1812" s="11" t="str">
        <f>IFERROR(IF(VLOOKUP(A1812,[12]PRIORIZADOS!$A:$F,6,FALSE)="","",VLOOKUP(A1812,[12]PRIORIZADOS!$A:$F,6,FALSE)),"")</f>
        <v>LICEO_SAN_JOSE_ORIENTAL</v>
      </c>
      <c r="G1812" s="11" t="str">
        <f>IFERROR(IF(VLOOKUP(A1812,[12]PRIORIZADOS!$A:$G,7,FALSE)="","",VLOOKUP(A1812,[12]PRIORIZADOS!$A:$G,7,FALSE)),"")</f>
        <v>LICEO SAN JOSE ORIENTAL</v>
      </c>
      <c r="H1812" s="11" t="str">
        <f>IFERROR(IF(VLOOKUP(A1812,[12]PRIORIZADOS!$A:$H,8,FALSE)="","",VLOOKUP(A1812,[12]PRIORIZADOS!$A:$H,8,FALSE)),"")</f>
        <v>Autoevaluación Institucional y Pruebas SABER 11</v>
      </c>
      <c r="I1812" s="11" t="str">
        <f>IFERROR(IF(VLOOKUP(A1812,[12]PRIORIZADOS!$A:$I,9,FALSE)="","",VLOOKUP(A1812,[12]PRIORIZADOS!$A:$I,9,FALSE)),"")</f>
        <v>EVALUACIÓN_CON_FINES_DE_MEJORAMIENTO.</v>
      </c>
      <c r="J1812" s="11" t="str">
        <f>IFERROR(IF(VLOOKUP(A1812,[12]PRIORIZADOS!$A:$J,10,FALSE)="","",VLOOKUP(A1812,[12]PRIORIZADOS!$A:$J,10,FALSE)),"")</f>
        <v>Verificar las condiciones en cuanto a: la estructura administrativa, condiciones de la planta física y medios educativos adecuados.</v>
      </c>
      <c r="K1812" s="11" t="str">
        <f>IFERROR(IF(VLOOKUP(A1812,[12]PRIORIZADOS!$A:$K,11,FALSE)="","",VLOOKUP(A1812,[12]PRIORIZADOS!$A:$K,11,FALSE)),"")</f>
        <v>XIMENA CAROLINA RAMÍREZ MORALES</v>
      </c>
      <c r="L1812" s="11" t="str">
        <f>IFERROR(IF(VLOOKUP(A1812,[12]PRIORIZADOS!$A:$L,12,FALSE)="","",VLOOKUP(A1812,[12]PRIORIZADOS!$A:$L,12,FALSE)),"")</f>
        <v>JAIRO ANDRÉS ÁLVAREZ CHÁVEZ</v>
      </c>
      <c r="M1812" s="71">
        <f>IFERROR(IF(VLOOKUP(A1812,[12]PRIORIZADOS!$A:$M,13,FALSE)="","",VLOOKUP(A1812,[12]PRIORIZADOS!$A:$M,13,FALSE)),"")</f>
        <v>45777</v>
      </c>
      <c r="N1812" s="71">
        <f>IFERROR(IF(VLOOKUP(A1812,[12]PRIORIZADOS!$A:$N,14,FALSE)="","",VLOOKUP(A1812,[12]PRIORIZADOS!$A:$N,14,FALSE)),"")</f>
        <v>45777</v>
      </c>
      <c r="O1812" s="71">
        <f>IFERROR(IF(VLOOKUP(A1812,[12]PRIORIZADOS!$A:$O,15,FALSE)="","",VLOOKUP(A1812,[12]PRIORIZADOS!$A:$O,15,FALSE)),"")</f>
        <v>45777</v>
      </c>
      <c r="P1812" s="11" t="str">
        <f>IFERROR(IF(VLOOKUP(A1812,[12]PRIORIZADOS!$A:$P,16,FALSE)="","",VLOOKUP(A1812,[12]PRIORIZADOS!$A:$P,16,FALSE)),"")</f>
        <v>Visitas de evaluación con fines de mejoramiento</v>
      </c>
      <c r="Q1812" s="107" t="s">
        <v>392</v>
      </c>
      <c r="R1812" s="11" t="str">
        <f>IFERROR(IF(VLOOKUP(A1812,[12]PRIORIZADOS!$A:$R,18,FALSE)="","",VLOOKUP(A1812,[12]PRIORIZADOS!$A:$R,18,FALSE)),"")</f>
        <v>En recorrido por la palnata física se evidenciaron condiciones adeacuadas de infraestructura.</v>
      </c>
      <c r="S1812" s="11" t="str">
        <f>IFERROR(IF(VLOOKUP(A1812,[12]PRIORIZADOS!$A:$S,19,FALSE)="","",VLOOKUP(A1812,[12]PRIORIZADOS!$A:$S,19,FALSE)),"")</f>
        <v xml:space="preserve">Disponer el espacio para sala de docentes. </v>
      </c>
      <c r="T1812" s="70" t="str">
        <f>IFERROR(IF(VLOOKUP(A1812,[12]PRIORIZADOS!$A:$T,20,FALSE)="","",VLOOKUP(A1812,[12]PRIORIZADOS!$A:$T,20,FALSE)),"")</f>
        <v>Si</v>
      </c>
      <c r="U1812" s="11" t="str">
        <f>IFERROR(IF(VLOOKUP(A1812,[12]PRIORIZADOS!$A:$U,21,FALSE)="","",VLOOKUP(A1812,[12]PRIORIZADOS!$A:$U,21,FALSE)),"")</f>
        <v>Verificación en próxima visita.</v>
      </c>
    </row>
    <row r="1813" spans="1:21" s="1" customFormat="1" ht="36">
      <c r="A1813" s="69">
        <f>IF([12]PRIORIZADOS!A143="","",[12]PRIORIZADOS!A143)</f>
        <v>1699</v>
      </c>
      <c r="B1813" s="70">
        <f>IFERROR(IF(VLOOKUP(A1813,[12]PRIORIZADOS!$A:$B,2,FALSE)="","",VLOOKUP(A1813,[12]PRIORIZADOS!$A:$B,2,FALSE)),"")</f>
        <v>16</v>
      </c>
      <c r="C1813" s="11" t="str">
        <f>IFERROR(IF(VLOOKUP(A1813,[12]PRIORIZADOS!$A:$C,3,FALSE)="","",VLOOKUP(A1813,[12]PRIORIZADOS!$A:$C,3,FALSE)),"")</f>
        <v>SAN CRISTÓBAL</v>
      </c>
      <c r="D1813" s="11" t="str">
        <f>IFERROR(IF(VLOOKUP(A1813,[12]PRIORIZADOS!$A:$D,4,FALSE)="","",VLOOKUP(A1813,[12]PRIORIZADOS!$A:$D,4,FALSE)),"")</f>
        <v>PRIVADO</v>
      </c>
      <c r="E1813" s="11" t="str">
        <f>IFERROR(IF(VLOOKUP(A1813,[12]PRIORIZADOS!$A:$E,5,FALSE)="","",VLOOKUP(A1813,[12]PRIORIZADOS!$A:$E,5,FALSE)),"")</f>
        <v>EPBM</v>
      </c>
      <c r="F1813" s="11" t="str">
        <f>IFERROR(IF(VLOOKUP(A1813,[12]PRIORIZADOS!$A:$F,6,FALSE)="","",VLOOKUP(A1813,[12]PRIORIZADOS!$A:$F,6,FALSE)),"")</f>
        <v>LICEO_SENDERO_DEL_SABER</v>
      </c>
      <c r="G1813" s="11" t="str">
        <f>IFERROR(IF(VLOOKUP(A1813,[12]PRIORIZADOS!$A:$G,7,FALSE)="","",VLOOKUP(A1813,[12]PRIORIZADOS!$A:$G,7,FALSE)),"")</f>
        <v>LICEO SENDERO DEL SABER</v>
      </c>
      <c r="H1813" s="11" t="str">
        <f>IFERROR(IF(VLOOKUP(A1813,[12]PRIORIZADOS!$A:$H,8,FALSE)="","",VLOOKUP(A1813,[12]PRIORIZADOS!$A:$H,8,FALSE)),"")</f>
        <v>Autoevaluación Institucional y Pruebas SABER 11</v>
      </c>
      <c r="I1813" s="11" t="str">
        <f>IFERROR(IF(VLOOKUP(A1813,[12]PRIORIZADOS!$A:$I,9,FALSE)="","",VLOOKUP(A1813,[12]PRIORIZADOS!$A:$I,9,FALSE)),"")</f>
        <v>SEGUIMIENTO_Y_SUPERVISIÓN.</v>
      </c>
      <c r="J1813" s="11" t="str">
        <f>IFERROR(IF(VLOOKUP(A1813,[12]PRIORIZADOS!$A:$J,10,FALSE)="","",VLOOKUP(A1813,[12]PRIORIZADOS!$A:$J,10,FALSE)),"")</f>
        <v>Realizar visitas para verificar la información registrada sobre la autoevaluación institucional en el aplicativo EVI, a los establecimientos de educación formal no oficial.</v>
      </c>
      <c r="K1813" s="11" t="str">
        <f>IFERROR(IF(VLOOKUP(A1813,[12]PRIORIZADOS!$A:$K,11,FALSE)="","",VLOOKUP(A1813,[12]PRIORIZADOS!$A:$K,11,FALSE)),"")</f>
        <v>JOSÉ ASDRUBAL PÉREZ GIRALDO</v>
      </c>
      <c r="L1813" s="11" t="str">
        <f>IFERROR(IF(VLOOKUP(A1813,[12]PRIORIZADOS!$A:$L,12,FALSE)="","",VLOOKUP(A1813,[12]PRIORIZADOS!$A:$L,12,FALSE)),"")</f>
        <v>JAIRO ANDRÉS ÁLVAREZ CHÁVEZ</v>
      </c>
      <c r="M1813" s="71">
        <f>IFERROR(IF(VLOOKUP(A1813,[12]PRIORIZADOS!$A:$M,13,FALSE)="","",VLOOKUP(A1813,[12]PRIORIZADOS!$A:$M,13,FALSE)),"")</f>
        <v>45758</v>
      </c>
      <c r="N1813" s="71">
        <f>IFERROR(IF(VLOOKUP(A1813,[12]PRIORIZADOS!$A:$N,14,FALSE)="","",VLOOKUP(A1813,[12]PRIORIZADOS!$A:$N,14,FALSE)),"")</f>
        <v>45758</v>
      </c>
      <c r="O1813" s="71">
        <f>IFERROR(IF(VLOOKUP(A1813,[12]PRIORIZADOS!$A:$O,15,FALSE)="","",VLOOKUP(A1813,[12]PRIORIZADOS!$A:$O,15,FALSE)),"")</f>
        <v>45758</v>
      </c>
      <c r="P1813" s="11" t="str">
        <f>IFERROR(IF(VLOOKUP(A1813,[12]PRIORIZADOS!$A:$P,16,FALSE)="","",VLOOKUP(A1813,[12]PRIORIZADOS!$A:$P,16,FALSE)),"")</f>
        <v>Visitas de evaluación con fines de mejoramiento</v>
      </c>
      <c r="Q1813" s="107" t="s">
        <v>393</v>
      </c>
      <c r="R1813" s="11" t="str">
        <f>IFERROR(IF(VLOOKUP(A1813,[12]PRIORIZADOS!$A:$R,18,FALSE)="","",VLOOKUP(A1813,[12]PRIORIZADOS!$A:$R,18,FALSE)),"")</f>
        <v>El EE adopta la guia 4 y demas orientaciones de acuerdo con revision en el EVI Vs Recorrido en instalaciones regimen</v>
      </c>
      <c r="S1813" s="11" t="str">
        <f>IFERROR(IF(VLOOKUP(A1813,[12]PRIORIZADOS!$A:$S,19,FALSE)="","",VLOOKUP(A1813,[12]PRIORIZADOS!$A:$S,19,FALSE)),"")</f>
        <v>Implementar señalizacion en diferentes áreas, adecuación de lavamanos para estudiantes de primera infancia.</v>
      </c>
      <c r="T1813" s="70" t="str">
        <f>IFERROR(IF(VLOOKUP(A1813,[12]PRIORIZADOS!$A:$T,20,FALSE)="","",VLOOKUP(A1813,[12]PRIORIZADOS!$A:$T,20,FALSE)),"")</f>
        <v>No</v>
      </c>
      <c r="U1813" s="11" t="str">
        <f>IFERROR(IF(VLOOKUP(A1813,[12]PRIORIZADOS!$A:$U,21,FALSE)="","",VLOOKUP(A1813,[12]PRIORIZADOS!$A:$U,21,FALSE)),"")</f>
        <v>Se realizara verificacion de las acciones ante respuesta del EE, visita  y/o en caso de requerimientos al EE</v>
      </c>
    </row>
    <row r="1814" spans="1:21" s="1" customFormat="1" ht="60">
      <c r="A1814" s="69">
        <f>IF([12]PRIORIZADOS!A144="","",[12]PRIORIZADOS!A144)</f>
        <v>1700</v>
      </c>
      <c r="B1814" s="70">
        <v>16</v>
      </c>
      <c r="C1814" s="11" t="str">
        <f>IFERROR(IF(VLOOKUP(A1814,[12]PRIORIZADOS!$A:$C,3,FALSE)="","",VLOOKUP(A1814,[12]PRIORIZADOS!$A:$C,3,FALSE)),"")</f>
        <v>SAN CRISTÓBAL</v>
      </c>
      <c r="D1814" s="11" t="str">
        <f>IFERROR(IF(VLOOKUP(A1814,[12]PRIORIZADOS!$A:$D,4,FALSE)="","",VLOOKUP(A1814,[12]PRIORIZADOS!$A:$D,4,FALSE)),"")</f>
        <v>PRIVADO</v>
      </c>
      <c r="E1814" s="11" t="str">
        <f>IFERROR(IF(VLOOKUP(A1814,[12]PRIORIZADOS!$A:$E,5,FALSE)="","",VLOOKUP(A1814,[12]PRIORIZADOS!$A:$E,5,FALSE)),"")</f>
        <v>EPBM</v>
      </c>
      <c r="F1814" s="11" t="str">
        <f>IFERROR(IF(VLOOKUP(A1814,[12]PRIORIZADOS!$A:$F,6,FALSE)="","",VLOOKUP(A1814,[12]PRIORIZADOS!$A:$F,6,FALSE)),"")</f>
        <v>LICEO_SENDERO_DEL_SABER</v>
      </c>
      <c r="G1814" s="11" t="str">
        <f>IFERROR(IF(VLOOKUP(A1814,[12]PRIORIZADOS!$A:$G,7,FALSE)="","",VLOOKUP(A1814,[12]PRIORIZADOS!$A:$G,7,FALSE)),"")</f>
        <v>LICEO SENDERO DEL SABER</v>
      </c>
      <c r="H1814" s="11" t="str">
        <f>IFERROR(IF(VLOOKUP(A1814,[12]PRIORIZADOS!$A:$H,8,FALSE)="","",VLOOKUP(A1814,[12]PRIORIZADOS!$A:$H,8,FALSE)),"")</f>
        <v>Autoevaluación Institucional y Pruebas SABER 11</v>
      </c>
      <c r="I1814" s="11" t="str">
        <f>IFERROR(IF(VLOOKUP(A1814,[12]PRIORIZADOS!$A:$I,9,FALSE)="","",VLOOKUP(A1814,[12]PRIORIZADOS!$A:$I,9,FALSE)),"")</f>
        <v>SEGUIMIENTO_Y_SUPERVISIÓN.</v>
      </c>
      <c r="J1814" s="11" t="str">
        <f>IFERROR(IF(VLOOKUP(A1814,[12]PRIORIZADOS!$A:$J,10,FALSE)="","",VLOOKUP(A1814,[12]PRIORIZADOS!$A:$J,10,FALSE)),"")</f>
        <v>Proponer estrategias en la formulación, verificar su elaboración y realizar seguimiento semestral al desarrollo de  las acciones establecidas en los planes de mejoramiento por pruebas SABER 11 de los establecimientos de educación formal.</v>
      </c>
      <c r="K1814" s="11" t="str">
        <f>IFERROR(IF(VLOOKUP(A1814,[12]PRIORIZADOS!$A:$K,11,FALSE)="","",VLOOKUP(A1814,[12]PRIORIZADOS!$A:$K,11,FALSE)),"")</f>
        <v>JOSÉ ASDRUBAL PÉREZ GIRALDO</v>
      </c>
      <c r="L1814" s="11" t="str">
        <f>IFERROR(IF(VLOOKUP(A1814,[12]PRIORIZADOS!$A:$L,12,FALSE)="","",VLOOKUP(A1814,[12]PRIORIZADOS!$A:$L,12,FALSE)),"")</f>
        <v>JAIRO ANDRÉS ÁLVAREZ CHÁVEZ</v>
      </c>
      <c r="M1814" s="71">
        <f>IFERROR(IF(VLOOKUP(A1814,[12]PRIORIZADOS!$A:$M,13,FALSE)="","",VLOOKUP(A1814,[12]PRIORIZADOS!$A:$M,13,FALSE)),"")</f>
        <v>45758</v>
      </c>
      <c r="N1814" s="71">
        <f>IFERROR(IF(VLOOKUP(A1814,[12]PRIORIZADOS!$A:$N,14,FALSE)="","",VLOOKUP(A1814,[12]PRIORIZADOS!$A:$N,14,FALSE)),"")</f>
        <v>45758</v>
      </c>
      <c r="O1814" s="71">
        <f>IFERROR(IF(VLOOKUP(A1814,[12]PRIORIZADOS!$A:$O,15,FALSE)="","",VLOOKUP(A1814,[12]PRIORIZADOS!$A:$O,15,FALSE)),"")</f>
        <v>45758</v>
      </c>
      <c r="P1814" s="11" t="str">
        <f>IFERROR(IF(VLOOKUP(A1814,[12]PRIORIZADOS!$A:$P,16,FALSE)="","",VLOOKUP(A1814,[12]PRIORIZADOS!$A:$P,16,FALSE)),"")</f>
        <v>Visitas de evaluación con fines de mejoramiento</v>
      </c>
      <c r="Q1814" s="107" t="s">
        <v>393</v>
      </c>
      <c r="R1814" s="11" t="str">
        <f>IFERROR(IF(VLOOKUP(A1814,[12]PRIORIZADOS!$A:$R,18,FALSE)="","",VLOOKUP(A1814,[12]PRIORIZADOS!$A:$R,18,FALSE)),"")</f>
        <v>El resultado del año 2023 en comparacion con el 2024 se avanzo a categoria B. se esta trabajando pruebas de competencias por area con las materias basicas.</v>
      </c>
      <c r="S1814" s="11" t="str">
        <f>IFERROR(IF(VLOOKUP(A1814,[12]PRIORIZADOS!$A:$S,19,FALSE)="","",VLOOKUP(A1814,[12]PRIORIZADOS!$A:$S,19,FALSE)),"")</f>
        <v>El trabajo realizado para pruebas saber es a mediano plazo con el fin de subir el nivel  y se vera reflejada en las prubas de los proximos años.</v>
      </c>
      <c r="T1814" s="70" t="str">
        <f>IFERROR(IF(VLOOKUP(A1814,[12]PRIORIZADOS!$A:$T,20,FALSE)="","",VLOOKUP(A1814,[12]PRIORIZADOS!$A:$T,20,FALSE)),"")</f>
        <v>No</v>
      </c>
      <c r="U1814" s="11" t="str">
        <f>IFERROR(IF(VLOOKUP(A1814,[12]PRIORIZADOS!$A:$U,21,FALSE)="","",VLOOKUP(A1814,[12]PRIORIZADOS!$A:$U,21,FALSE)),"")</f>
        <v>Trabajo en clase, continua preparacion con talleres de competencias.</v>
      </c>
    </row>
    <row r="1815" spans="1:21" s="1" customFormat="1" ht="48">
      <c r="A1815" s="69">
        <f>IF([12]PRIORIZADOS!A145="","",[12]PRIORIZADOS!A145)</f>
        <v>1787</v>
      </c>
      <c r="B1815" s="70">
        <v>16</v>
      </c>
      <c r="C1815" s="11" t="str">
        <f>IFERROR(IF(VLOOKUP(A1815,[12]PRIORIZADOS!$A:$C,3,FALSE)="","",VLOOKUP(A1815,[12]PRIORIZADOS!$A:$C,3,FALSE)),"")</f>
        <v>SAN CRISTÓBAL</v>
      </c>
      <c r="D1815" s="11" t="str">
        <f>IFERROR(IF(VLOOKUP(A1815,[12]PRIORIZADOS!$A:$D,4,FALSE)="","",VLOOKUP(A1815,[12]PRIORIZADOS!$A:$D,4,FALSE)),"")</f>
        <v>PRIVADO</v>
      </c>
      <c r="E1815" s="11" t="str">
        <f>IFERROR(IF(VLOOKUP(A1815,[12]PRIORIZADOS!$A:$E,5,FALSE)="","",VLOOKUP(A1815,[12]PRIORIZADOS!$A:$E,5,FALSE)),"")</f>
        <v>EPBM</v>
      </c>
      <c r="F1815" s="11" t="str">
        <f>IFERROR(IF(VLOOKUP(A1815,[12]PRIORIZADOS!$A:$F,6,FALSE)="","",VLOOKUP(A1815,[12]PRIORIZADOS!$A:$F,6,FALSE)),"")</f>
        <v>LICEO_SENDERO_DEL_SABER</v>
      </c>
      <c r="G1815" s="11" t="str">
        <f>IFERROR(IF(VLOOKUP(A1815,[12]PRIORIZADOS!$A:$G,7,FALSE)="","",VLOOKUP(A1815,[12]PRIORIZADOS!$A:$G,7,FALSE)),"")</f>
        <v>LICEO SENDERO DEL SABER</v>
      </c>
      <c r="H1815" s="11" t="str">
        <f>IFERROR(IF(VLOOKUP(A1815,[12]PRIORIZADOS!$A:$H,8,FALSE)="","",VLOOKUP(A1815,[12]PRIORIZADOS!$A:$H,8,FALSE)),"")</f>
        <v>Autoevaluación Institucional y Pruebas SABER 11</v>
      </c>
      <c r="I1815" s="11" t="str">
        <f>IFERROR(IF(VLOOKUP(A1815,[12]PRIORIZADOS!$A:$I,9,FALSE)="","",VLOOKUP(A1815,[12]PRIORIZADOS!$A:$I,9,FALSE)),"")</f>
        <v>SEGUIMIENTO_Y_SUPERVISIÓN.</v>
      </c>
      <c r="J1815" s="11" t="str">
        <f>IFERROR(IF(VLOOKUP(A1815,[12]PRIORIZADOS!$A:$J,10,FALSE)="","",VLOOKUP(A1815,[12]PRIORIZADOS!$A:$J,10,FALSE)),"")</f>
        <v xml:space="preserve">Verificar la implementación por parte de los colegios, de acciones realizadas para la prevención y atención de las situaciones de convivencia en el entorno escolar, según lo establecido en la Directiva 01 de 2022 del MEN. </v>
      </c>
      <c r="K1815" s="11" t="str">
        <f>IFERROR(IF(VLOOKUP(A1815,[12]PRIORIZADOS!$A:$K,11,FALSE)="","",VLOOKUP(A1815,[12]PRIORIZADOS!$A:$K,11,FALSE)),"")</f>
        <v>JOSÉ ASDRUBAL PÉREZ GIRALDO</v>
      </c>
      <c r="L1815" s="11" t="str">
        <f>IFERROR(IF(VLOOKUP(A1815,[12]PRIORIZADOS!$A:$L,12,FALSE)="","",VLOOKUP(A1815,[12]PRIORIZADOS!$A:$L,12,FALSE)),"")</f>
        <v>JAIRO ANDRÉS ÁLVAREZ CHÁVEZ</v>
      </c>
      <c r="M1815" s="71">
        <f>IFERROR(IF(VLOOKUP(A1815,[12]PRIORIZADOS!$A:$M,13,FALSE)="","",VLOOKUP(A1815,[12]PRIORIZADOS!$A:$M,13,FALSE)),"")</f>
        <v>45758</v>
      </c>
      <c r="N1815" s="71">
        <f>IFERROR(IF(VLOOKUP(A1815,[12]PRIORIZADOS!$A:$N,14,FALSE)="","",VLOOKUP(A1815,[12]PRIORIZADOS!$A:$N,14,FALSE)),"")</f>
        <v>45758</v>
      </c>
      <c r="O1815" s="71">
        <f>IFERROR(IF(VLOOKUP(A1815,[12]PRIORIZADOS!$A:$O,15,FALSE)="","",VLOOKUP(A1815,[12]PRIORIZADOS!$A:$O,15,FALSE)),"")</f>
        <v>45758</v>
      </c>
      <c r="P1815" s="11" t="str">
        <f>IFERROR(IF(VLOOKUP(A1815,[12]PRIORIZADOS!$A:$P,16,FALSE)="","",VLOOKUP(A1815,[12]PRIORIZADOS!$A:$P,16,FALSE)),"")</f>
        <v>Visitas de evaluación con fines de mejoramiento</v>
      </c>
      <c r="Q1815" s="162" t="s">
        <v>393</v>
      </c>
      <c r="R1815" s="11" t="str">
        <f>IFERROR(IF(VLOOKUP(A1815,[12]PRIORIZADOS!$A:$R,18,FALSE)="","",VLOOKUP(A1815,[12]PRIORIZADOS!$A:$R,18,FALSE)),"")</f>
        <v>Se eviencia en las hojas de vida la cosulta de delitos sexuales y permiso para ser consultados.</v>
      </c>
      <c r="S1815" s="11" t="str">
        <f>IFERROR(IF(VLOOKUP(A1815,[12]PRIORIZADOS!$A:$S,19,FALSE)="","",VLOOKUP(A1815,[12]PRIORIZADOS!$A:$S,19,FALSE)),"")</f>
        <v>Se debe seguir realizando la consulta cada 4 meses para todos los empleados incluidos los contratistas temporales.</v>
      </c>
      <c r="T1815" s="70" t="str">
        <f>IFERROR(IF(VLOOKUP(A1815,[12]PRIORIZADOS!$A:$T,20,FALSE)="","",VLOOKUP(A1815,[12]PRIORIZADOS!$A:$T,20,FALSE)),"")</f>
        <v>No</v>
      </c>
      <c r="U1815" s="11" t="str">
        <f>IFERROR(IF(VLOOKUP(A1815,[12]PRIORIZADOS!$A:$U,21,FALSE)="","",VLOOKUP(A1815,[12]PRIORIZADOS!$A:$U,21,FALSE)),"")</f>
        <v>Se revisara  conjuntamente con el pago de aoportes parafiscales y seguridad social</v>
      </c>
    </row>
    <row r="1816" spans="1:21" s="1" customFormat="1" ht="72">
      <c r="A1816" s="69">
        <f>IF([12]PRIORIZADOS!A146="","",[12]PRIORIZADOS!A146)</f>
        <v>1701</v>
      </c>
      <c r="B1816" s="70">
        <v>16</v>
      </c>
      <c r="C1816" s="11" t="str">
        <f>IFERROR(IF(VLOOKUP(A1816,[12]PRIORIZADOS!$A:$C,3,FALSE)="","",VLOOKUP(A1816,[12]PRIORIZADOS!$A:$C,3,FALSE)),"")</f>
        <v>SAN CRISTÓBAL</v>
      </c>
      <c r="D1816" s="11" t="str">
        <f>IFERROR(IF(VLOOKUP(A1816,[12]PRIORIZADOS!$A:$D,4,FALSE)="","",VLOOKUP(A1816,[12]PRIORIZADOS!$A:$D,4,FALSE)),"")</f>
        <v>PRIVADO</v>
      </c>
      <c r="E1816" s="11" t="str">
        <f>IFERROR(IF(VLOOKUP(A1816,[12]PRIORIZADOS!$A:$E,5,FALSE)="","",VLOOKUP(A1816,[12]PRIORIZADOS!$A:$E,5,FALSE)),"")</f>
        <v>EPBM</v>
      </c>
      <c r="F1816" s="11" t="str">
        <f>IFERROR(IF(VLOOKUP(A1816,[12]PRIORIZADOS!$A:$F,6,FALSE)="","",VLOOKUP(A1816,[12]PRIORIZADOS!$A:$F,6,FALSE)),"")</f>
        <v>LICEO_SENDERO_DEL_SABER</v>
      </c>
      <c r="G1816" s="11" t="str">
        <f>IFERROR(IF(VLOOKUP(A1816,[12]PRIORIZADOS!$A:$G,7,FALSE)="","",VLOOKUP(A1816,[12]PRIORIZADOS!$A:$G,7,FALSE)),"")</f>
        <v>LICEO SENDERO DEL SABER</v>
      </c>
      <c r="H1816" s="11" t="str">
        <f>IFERROR(IF(VLOOKUP(A1816,[12]PRIORIZADOS!$A:$H,8,FALSE)="","",VLOOKUP(A1816,[12]PRIORIZADOS!$A:$H,8,FALSE)),"")</f>
        <v>Autoevaluación Institucional y Pruebas SABER 11</v>
      </c>
      <c r="I1816" s="11" t="str">
        <f>IFERROR(IF(VLOOKUP(A1816,[12]PRIORIZADOS!$A:$I,9,FALSE)="","",VLOOKUP(A1816,[12]PRIORIZADOS!$A:$I,9,FALSE)),"")</f>
        <v>SEGUIMIENTO_Y_SUPERVISIÓN.</v>
      </c>
      <c r="J1816" s="11" t="str">
        <f>IFERROR(IF(VLOOKUP(A1816,[12]PRIORIZADOS!$A:$J,10,FALSE)="","",VLOOKUP(A1816,[12]PRIORIZADOS!$A:$J,10,FALSE)),"")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16" s="11" t="str">
        <f>IFERROR(IF(VLOOKUP(A1816,[12]PRIORIZADOS!$A:$K,11,FALSE)="","",VLOOKUP(A1816,[12]PRIORIZADOS!$A:$K,11,FALSE)),"")</f>
        <v>JOSÉ ASDRUBAL PÉREZ GIRALDO</v>
      </c>
      <c r="L1816" s="11" t="str">
        <f>IFERROR(IF(VLOOKUP(A1816,[12]PRIORIZADOS!$A:$L,12,FALSE)="","",VLOOKUP(A1816,[12]PRIORIZADOS!$A:$L,12,FALSE)),"")</f>
        <v>JAIRO ANDRÉS ÁLVAREZ CHÁVEZ</v>
      </c>
      <c r="M1816" s="71">
        <f>IFERROR(IF(VLOOKUP(A1816,[12]PRIORIZADOS!$A:$M,13,FALSE)="","",VLOOKUP(A1816,[12]PRIORIZADOS!$A:$M,13,FALSE)),"")</f>
        <v>45758</v>
      </c>
      <c r="N1816" s="71">
        <f>IFERROR(IF(VLOOKUP(A1816,[12]PRIORIZADOS!$A:$N,14,FALSE)="","",VLOOKUP(A1816,[12]PRIORIZADOS!$A:$N,14,FALSE)),"")</f>
        <v>45758</v>
      </c>
      <c r="O1816" s="71">
        <f>IFERROR(IF(VLOOKUP(A1816,[12]PRIORIZADOS!$A:$O,15,FALSE)="","",VLOOKUP(A1816,[12]PRIORIZADOS!$A:$O,15,FALSE)),"")</f>
        <v>45758</v>
      </c>
      <c r="P1816" s="11" t="str">
        <f>IFERROR(IF(VLOOKUP(A1816,[12]PRIORIZADOS!$A:$P,16,FALSE)="","",VLOOKUP(A1816,[12]PRIORIZADOS!$A:$P,16,FALSE)),"")</f>
        <v>Visitas de evaluación con fines de mejoramiento</v>
      </c>
      <c r="Q1816" s="107" t="s">
        <v>393</v>
      </c>
      <c r="R1816" s="11" t="str">
        <f>IFERROR(IF(VLOOKUP(A1816,[12]PRIORIZADOS!$A:$R,18,FALSE)="","",VLOOKUP(A1816,[12]PRIORIZADOS!$A:$R,18,FALSE)),"")</f>
        <v xml:space="preserve">Realizados por orientacion  y las familias son enteradas del proceso, solo se cuenta con un estudiante con (TDAH)
</v>
      </c>
      <c r="S1816" s="11" t="str">
        <f>IFERROR(IF(VLOOKUP(A1816,[12]PRIORIZADOS!$A:$S,19,FALSE)="","",VLOOKUP(A1816,[12]PRIORIZADOS!$A:$S,19,FALSE)),"")</f>
        <v>Tener PIAR individual de cada estudiante con firma de los padres de flia o acudientes.</v>
      </c>
      <c r="T1816" s="70" t="str">
        <f>IFERROR(IF(VLOOKUP(A1816,[12]PRIORIZADOS!$A:$T,20,FALSE)="","",VLOOKUP(A1816,[12]PRIORIZADOS!$A:$T,20,FALSE)),"")</f>
        <v>No</v>
      </c>
      <c r="U1816" s="11" t="str">
        <f>IFERROR(IF(VLOOKUP(A1816,[12]PRIORIZADOS!$A:$U,21,FALSE)="","",VLOOKUP(A1816,[12]PRIORIZADOS!$A:$U,21,FALSE)),"")</f>
        <v>Se hará verificación en caso de presentarse requerimiento</v>
      </c>
    </row>
    <row r="1817" spans="1:21" s="1" customFormat="1" ht="84">
      <c r="A1817" s="69">
        <f>IF([12]PRIORIZADOS!A147="","",[12]PRIORIZADOS!A147)</f>
        <v>1702</v>
      </c>
      <c r="B1817" s="70">
        <v>16</v>
      </c>
      <c r="C1817" s="11" t="str">
        <f>IFERROR(IF(VLOOKUP(A1817,[12]PRIORIZADOS!$A:$C,3,FALSE)="","",VLOOKUP(A1817,[12]PRIORIZADOS!$A:$C,3,FALSE)),"")</f>
        <v>SAN CRISTÓBAL</v>
      </c>
      <c r="D1817" s="11" t="str">
        <f>IFERROR(IF(VLOOKUP(A1817,[12]PRIORIZADOS!$A:$D,4,FALSE)="","",VLOOKUP(A1817,[12]PRIORIZADOS!$A:$D,4,FALSE)),"")</f>
        <v>PRIVADO</v>
      </c>
      <c r="E1817" s="11" t="str">
        <f>IFERROR(IF(VLOOKUP(A1817,[12]PRIORIZADOS!$A:$E,5,FALSE)="","",VLOOKUP(A1817,[12]PRIORIZADOS!$A:$E,5,FALSE)),"")</f>
        <v>EPBM</v>
      </c>
      <c r="F1817" s="11" t="str">
        <f>IFERROR(IF(VLOOKUP(A1817,[12]PRIORIZADOS!$A:$F,6,FALSE)="","",VLOOKUP(A1817,[12]PRIORIZADOS!$A:$F,6,FALSE)),"")</f>
        <v>LICEO_SENDERO_DEL_SABER</v>
      </c>
      <c r="G1817" s="11" t="str">
        <f>IFERROR(IF(VLOOKUP(A1817,[12]PRIORIZADOS!$A:$G,7,FALSE)="","",VLOOKUP(A1817,[12]PRIORIZADOS!$A:$G,7,FALSE)),"")</f>
        <v>LICEO SENDERO DEL SABER</v>
      </c>
      <c r="H1817" s="11" t="str">
        <f>IFERROR(IF(VLOOKUP(A1817,[12]PRIORIZADOS!$A:$H,8,FALSE)="","",VLOOKUP(A1817,[12]PRIORIZADOS!$A:$H,8,FALSE)),"")</f>
        <v>Autoevaluación Institucional y Pruebas SABER 11</v>
      </c>
      <c r="I1817" s="11" t="str">
        <f>IFERROR(IF(VLOOKUP(A1817,[12]PRIORIZADOS!$A:$I,9,FALSE)="","",VLOOKUP(A1817,[12]PRIORIZADOS!$A:$I,9,FALSE)),"")</f>
        <v>EVALUACIÓN_CON_FINES_DE_MEJORAMIENTO.</v>
      </c>
      <c r="J1817" s="11" t="str">
        <f>IFERROR(IF(VLOOKUP(A1817,[12]PRIORIZADOS!$A:$J,10,FALSE)="","",VLOOKUP(A1817,[12]PRIORIZADOS!$A:$J,10,FALSE)),"")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17" s="11" t="str">
        <f>IFERROR(IF(VLOOKUP(A1817,[12]PRIORIZADOS!$A:$K,11,FALSE)="","",VLOOKUP(A1817,[12]PRIORIZADOS!$A:$K,11,FALSE)),"")</f>
        <v>JOSÉ ASDRUBAL PÉREZ GIRALDO</v>
      </c>
      <c r="L1817" s="11" t="str">
        <f>IFERROR(IF(VLOOKUP(A1817,[12]PRIORIZADOS!$A:$L,12,FALSE)="","",VLOOKUP(A1817,[12]PRIORIZADOS!$A:$L,12,FALSE)),"")</f>
        <v>JAIRO ANDRÉS ÁLVAREZ CHÁVEZ</v>
      </c>
      <c r="M1817" s="71">
        <f>IFERROR(IF(VLOOKUP(A1817,[12]PRIORIZADOS!$A:$M,13,FALSE)="","",VLOOKUP(A1817,[12]PRIORIZADOS!$A:$M,13,FALSE)),"")</f>
        <v>45758</v>
      </c>
      <c r="N1817" s="71">
        <f>IFERROR(IF(VLOOKUP(A1817,[12]PRIORIZADOS!$A:$N,14,FALSE)="","",VLOOKUP(A1817,[12]PRIORIZADOS!$A:$N,14,FALSE)),"")</f>
        <v>45758</v>
      </c>
      <c r="O1817" s="71">
        <f>IFERROR(IF(VLOOKUP(A1817,[12]PRIORIZADOS!$A:$O,15,FALSE)="","",VLOOKUP(A1817,[12]PRIORIZADOS!$A:$O,15,FALSE)),"")</f>
        <v>45758</v>
      </c>
      <c r="P1817" s="11" t="str">
        <f>IFERROR(IF(VLOOKUP(A1817,[12]PRIORIZADOS!$A:$P,16,FALSE)="","",VLOOKUP(A1817,[12]PRIORIZADOS!$A:$P,16,FALSE)),"")</f>
        <v>Visitas de evaluación con fines de mejoramiento</v>
      </c>
      <c r="Q1817" s="107" t="s">
        <v>393</v>
      </c>
      <c r="R1817" s="11" t="str">
        <f>IFERROR(IF(VLOOKUP(A1817,[12]PRIORIZADOS!$A:$R,18,FALSE)="","",VLOOKUP(A1817,[12]PRIORIZADOS!$A:$R,18,FALSE)),"")</f>
        <v>El Manual de Convivencia se encuentra en la pagina y platarma digital AULY y es conocida por la comunidad educativa.</v>
      </c>
      <c r="S1817" s="11" t="str">
        <f>IFERROR(IF(VLOOKUP(A1817,[12]PRIORIZADOS!$A:$S,19,FALSE)="","",VLOOKUP(A1817,[12]PRIORIZADOS!$A:$S,19,FALSE)),"")</f>
        <v xml:space="preserve">Recomendación: incorporar enfoque restaurativo y elementos de atención a la diversidad (extinción de barreras y adecuación del servicio) </v>
      </c>
      <c r="T1817" s="70" t="str">
        <f>IFERROR(IF(VLOOKUP(A1817,[12]PRIORIZADOS!$A:$T,20,FALSE)="","",VLOOKUP(A1817,[12]PRIORIZADOS!$A:$T,20,FALSE)),"")</f>
        <v>No</v>
      </c>
      <c r="U1817" s="11" t="str">
        <f>IFERROR(IF(VLOOKUP(A1817,[12]PRIORIZADOS!$A:$U,21,FALSE)="","",VLOOKUP(A1817,[12]PRIORIZADOS!$A:$U,21,FALSE)),"")</f>
        <v xml:space="preserve">Incorporar enfoque restaurativo y elementos de atención a la diversidad (extinción de barreras y adecuación del servicio) </v>
      </c>
    </row>
    <row r="1818" spans="1:21" s="1" customFormat="1" ht="72">
      <c r="A1818" s="69">
        <f>IF([12]PRIORIZADOS!A148="","",[12]PRIORIZADOS!A148)</f>
        <v>1703</v>
      </c>
      <c r="B1818" s="70">
        <v>16</v>
      </c>
      <c r="C1818" s="11" t="str">
        <f>IFERROR(IF(VLOOKUP(A1818,[12]PRIORIZADOS!$A:$C,3,FALSE)="","",VLOOKUP(A1818,[12]PRIORIZADOS!$A:$C,3,FALSE)),"")</f>
        <v>SAN CRISTÓBAL</v>
      </c>
      <c r="D1818" s="11" t="str">
        <f>IFERROR(IF(VLOOKUP(A1818,[12]PRIORIZADOS!$A:$D,4,FALSE)="","",VLOOKUP(A1818,[12]PRIORIZADOS!$A:$D,4,FALSE)),"")</f>
        <v>PRIVADO</v>
      </c>
      <c r="E1818" s="11" t="str">
        <f>IFERROR(IF(VLOOKUP(A1818,[12]PRIORIZADOS!$A:$E,5,FALSE)="","",VLOOKUP(A1818,[12]PRIORIZADOS!$A:$E,5,FALSE)),"")</f>
        <v>EPBM</v>
      </c>
      <c r="F1818" s="11" t="str">
        <f>IFERROR(IF(VLOOKUP(A1818,[12]PRIORIZADOS!$A:$F,6,FALSE)="","",VLOOKUP(A1818,[12]PRIORIZADOS!$A:$F,6,FALSE)),"")</f>
        <v>LICEO_SENDERO_DEL_SABER</v>
      </c>
      <c r="G1818" s="11" t="str">
        <f>IFERROR(IF(VLOOKUP(A1818,[12]PRIORIZADOS!$A:$G,7,FALSE)="","",VLOOKUP(A1818,[12]PRIORIZADOS!$A:$G,7,FALSE)),"")</f>
        <v>LICEO SENDERO DEL SABER</v>
      </c>
      <c r="H1818" s="11" t="str">
        <f>IFERROR(IF(VLOOKUP(A1818,[12]PRIORIZADOS!$A:$H,8,FALSE)="","",VLOOKUP(A1818,[12]PRIORIZADOS!$A:$H,8,FALSE)),"")</f>
        <v>Autoevaluación Institucional y Pruebas SABER 11</v>
      </c>
      <c r="I1818" s="11" t="str">
        <f>IFERROR(IF(VLOOKUP(A1818,[12]PRIORIZADOS!$A:$I,9,FALSE)="","",VLOOKUP(A1818,[12]PRIORIZADOS!$A:$I,9,FALSE)),"")</f>
        <v>EVALUACIÓN_CON_FINES_DE_MEJORAMIENTO.</v>
      </c>
      <c r="J1818" s="11" t="str">
        <f>IFERROR(IF(VLOOKUP(A1818,[12]PRIORIZADOS!$A:$J,10,FALSE)="","",VLOOKUP(A1818,[12]PRIORIZADOS!$A:$J,10,FALSE)),"")</f>
        <v>Revisar la actualización, socialización e implementación del Sistema Institucional de Evaluación de Estudiantes - SIEE, en articulación con la actualización del PEI y la normatividad vigente.</v>
      </c>
      <c r="K1818" s="11" t="str">
        <f>IFERROR(IF(VLOOKUP(A1818,[12]PRIORIZADOS!$A:$K,11,FALSE)="","",VLOOKUP(A1818,[12]PRIORIZADOS!$A:$K,11,FALSE)),"")</f>
        <v>JOSÉ ASDRUBAL PÉREZ GIRALDO</v>
      </c>
      <c r="L1818" s="11" t="str">
        <f>IFERROR(IF(VLOOKUP(A1818,[12]PRIORIZADOS!$A:$L,12,FALSE)="","",VLOOKUP(A1818,[12]PRIORIZADOS!$A:$L,12,FALSE)),"")</f>
        <v>JAIRO ANDRÉS ÁLVAREZ CHÁVEZ</v>
      </c>
      <c r="M1818" s="71">
        <f>IFERROR(IF(VLOOKUP(A1818,[12]PRIORIZADOS!$A:$M,13,FALSE)="","",VLOOKUP(A1818,[12]PRIORIZADOS!$A:$M,13,FALSE)),"")</f>
        <v>45758</v>
      </c>
      <c r="N1818" s="71">
        <f>IFERROR(IF(VLOOKUP(A1818,[12]PRIORIZADOS!$A:$N,14,FALSE)="","",VLOOKUP(A1818,[12]PRIORIZADOS!$A:$N,14,FALSE)),"")</f>
        <v>45758</v>
      </c>
      <c r="O1818" s="71">
        <f>IFERROR(IF(VLOOKUP(A1818,[12]PRIORIZADOS!$A:$O,15,FALSE)="","",VLOOKUP(A1818,[12]PRIORIZADOS!$A:$O,15,FALSE)),"")</f>
        <v>45758</v>
      </c>
      <c r="P1818" s="11" t="str">
        <f>IFERROR(IF(VLOOKUP(A1818,[12]PRIORIZADOS!$A:$P,16,FALSE)="","",VLOOKUP(A1818,[12]PRIORIZADOS!$A:$P,16,FALSE)),"")</f>
        <v>Visitas de evaluación con fines de mejoramiento</v>
      </c>
      <c r="Q1818" s="107" t="s">
        <v>393</v>
      </c>
      <c r="R1818" s="11" t="str">
        <f>IFERROR(IF(VLOOKUP(A1818,[12]PRIORIZADOS!$A:$R,18,FALSE)="","",VLOOKUP(A1818,[12]PRIORIZADOS!$A:$R,18,FALSE)),"")</f>
        <v xml:space="preserve">El SIEE 2024 refiere: El desarrollo y aprobación de las actividades de refuerzo dan al estudiante con desempeño bajo la oportunidad de superar dificultades y ubicarse en el
 desempeño básico. </v>
      </c>
      <c r="S1818" s="11" t="str">
        <f>IFERROR(IF(VLOOKUP(A1818,[12]PRIORIZADOS!$A:$S,19,FALSE)="","",VLOOKUP(A1818,[12]PRIORIZADOS!$A:$S,19,FALSE)),"")</f>
        <v>Continuar con la revisión permanente y actualización de acuerdo con los resultsados obtenidos por los estudiantes</v>
      </c>
      <c r="T1818" s="70" t="str">
        <f>IFERROR(IF(VLOOKUP(A1818,[12]PRIORIZADOS!$A:$T,20,FALSE)="","",VLOOKUP(A1818,[12]PRIORIZADOS!$A:$T,20,FALSE)),"")</f>
        <v>No</v>
      </c>
      <c r="U1818" s="11" t="str">
        <f>IFERROR(IF(VLOOKUP(A1818,[12]PRIORIZADOS!$A:$U,21,FALSE)="","",VLOOKUP(A1818,[12]PRIORIZADOS!$A:$U,21,FALSE)),"")</f>
        <v>Se hará verificación en caso de presentarse requerimiento</v>
      </c>
    </row>
    <row r="1819" spans="1:21" s="1" customFormat="1" ht="48">
      <c r="A1819" s="69">
        <f>IF([12]PRIORIZADOS!A149="","",[12]PRIORIZADOS!A149)</f>
        <v>1786</v>
      </c>
      <c r="B1819" s="70">
        <v>16</v>
      </c>
      <c r="C1819" s="11" t="str">
        <f>IFERROR(IF(VLOOKUP(A1819,[12]PRIORIZADOS!$A:$C,3,FALSE)="","",VLOOKUP(A1819,[12]PRIORIZADOS!$A:$C,3,FALSE)),"")</f>
        <v>SAN CRISTÓBAL</v>
      </c>
      <c r="D1819" s="11" t="str">
        <f>IFERROR(IF(VLOOKUP(A1819,[12]PRIORIZADOS!$A:$D,4,FALSE)="","",VLOOKUP(A1819,[12]PRIORIZADOS!$A:$D,4,FALSE)),"")</f>
        <v>PRIVADO</v>
      </c>
      <c r="E1819" s="11" t="str">
        <f>IFERROR(IF(VLOOKUP(A1819,[12]PRIORIZADOS!$A:$E,5,FALSE)="","",VLOOKUP(A1819,[12]PRIORIZADOS!$A:$E,5,FALSE)),"")</f>
        <v>EPBM</v>
      </c>
      <c r="F1819" s="11" t="str">
        <f>IFERROR(IF(VLOOKUP(A1819,[12]PRIORIZADOS!$A:$F,6,FALSE)="","",VLOOKUP(A1819,[12]PRIORIZADOS!$A:$F,6,FALSE)),"")</f>
        <v>LICEO_SENDERO_DEL_SABER</v>
      </c>
      <c r="G1819" s="11" t="str">
        <f>IFERROR(IF(VLOOKUP(A1819,[12]PRIORIZADOS!$A:$G,7,FALSE)="","",VLOOKUP(A1819,[12]PRIORIZADOS!$A:$G,7,FALSE)),"")</f>
        <v>LICEO SENDERO DEL SABER</v>
      </c>
      <c r="H1819" s="11" t="str">
        <f>IFERROR(IF(VLOOKUP(A1819,[12]PRIORIZADOS!$A:$H,8,FALSE)="","",VLOOKUP(A1819,[12]PRIORIZADOS!$A:$H,8,FALSE)),"")</f>
        <v>Autoevaluación Institucional y Pruebas SABER 11</v>
      </c>
      <c r="I1819" s="11" t="str">
        <f>IFERROR(IF(VLOOKUP(A1819,[12]PRIORIZADOS!$A:$I,9,FALSE)="","",VLOOKUP(A1819,[12]PRIORIZADOS!$A:$I,9,FALSE)),"")</f>
        <v>EVALUACIÓN_CON_FINES_DE_MEJORAMIENTO.</v>
      </c>
      <c r="J1819" s="11" t="str">
        <f>IFERROR(IF(VLOOKUP(A1819,[12]PRIORIZADOS!$A:$J,10,FALSE)="","",VLOOKUP(A1819,[12]PRIORIZADOS!$A:$J,10,FALSE)),"")</f>
        <v>Revisar el calendario escolar, jornada escolar, la intensidad horaria mínima anual en cada nivel y las modificaciones que se realicen al mismo, de acuerdo con lo previsto en la normatividad vigente.</v>
      </c>
      <c r="K1819" s="11" t="str">
        <f>IFERROR(IF(VLOOKUP(A1819,[12]PRIORIZADOS!$A:$K,11,FALSE)="","",VLOOKUP(A1819,[12]PRIORIZADOS!$A:$K,11,FALSE)),"")</f>
        <v>JOSÉ ASDRUBAL PÉREZ GIRALDO</v>
      </c>
      <c r="L1819" s="11" t="str">
        <f>IFERROR(IF(VLOOKUP(A1819,[12]PRIORIZADOS!$A:$L,12,FALSE)="","",VLOOKUP(A1819,[12]PRIORIZADOS!$A:$L,12,FALSE)),"")</f>
        <v>JAIRO ANDRÉS ÁLVAREZ CHÁVEZ</v>
      </c>
      <c r="M1819" s="71">
        <f>IFERROR(IF(VLOOKUP(A1819,[12]PRIORIZADOS!$A:$M,13,FALSE)="","",VLOOKUP(A1819,[12]PRIORIZADOS!$A:$M,13,FALSE)),"")</f>
        <v>45758</v>
      </c>
      <c r="N1819" s="71">
        <f>IFERROR(IF(VLOOKUP(A1819,[12]PRIORIZADOS!$A:$N,14,FALSE)="","",VLOOKUP(A1819,[12]PRIORIZADOS!$A:$N,14,FALSE)),"")</f>
        <v>45758</v>
      </c>
      <c r="O1819" s="71" t="str">
        <f>IFERROR(IF(VLOOKUP(A1819,[12]PRIORIZADOS!$A:$O,15,FALSE)="","",VLOOKUP(A1819,[12]PRIORIZADOS!$A:$O,15,FALSE)),"")</f>
        <v/>
      </c>
      <c r="P1819" s="11" t="str">
        <f>IFERROR(IF(VLOOKUP(A1819,[12]PRIORIZADOS!$A:$P,16,FALSE)="","",VLOOKUP(A1819,[12]PRIORIZADOS!$A:$P,16,FALSE)),"")</f>
        <v>Visitas de evaluación con fines de mejoramiento</v>
      </c>
      <c r="Q1819" s="107" t="s">
        <v>393</v>
      </c>
      <c r="R1819" s="11" t="str">
        <f>IFERROR(IF(VLOOKUP(A1819,[12]PRIORIZADOS!$A:$R,18,FALSE)="","",VLOOKUP(A1819,[12]PRIORIZADOS!$A:$R,18,FALSE)),"")</f>
        <v>Se evidencia el horario en la Resolucion de calendario academico año 2025.</v>
      </c>
      <c r="S1819" s="11" t="str">
        <f>IFERROR(IF(VLOOKUP(A1819,[12]PRIORIZADOS!$A:$S,19,FALSE)="","",VLOOKUP(A1819,[12]PRIORIZADOS!$A:$S,19,FALSE)),"")</f>
        <v>Cumplir con la jornada escolar</v>
      </c>
      <c r="T1819" s="70" t="str">
        <f>IFERROR(IF(VLOOKUP(A1819,[12]PRIORIZADOS!$A:$T,20,FALSE)="","",VLOOKUP(A1819,[12]PRIORIZADOS!$A:$T,20,FALSE)),"")</f>
        <v>No</v>
      </c>
      <c r="U1819" s="11" t="str">
        <f>IFERROR(IF(VLOOKUP(A1819,[12]PRIORIZADOS!$A:$U,21,FALSE)="","",VLOOKUP(A1819,[12]PRIORIZADOS!$A:$U,21,FALSE)),"")</f>
        <v>Se hará verificación en caso de presentarse requerimiento</v>
      </c>
    </row>
    <row r="1820" spans="1:21" s="1" customFormat="1" ht="48">
      <c r="A1820" s="69">
        <f>IF([12]PRIORIZADOS!A150="","",[12]PRIORIZADOS!A150)</f>
        <v>1785</v>
      </c>
      <c r="B1820" s="70">
        <v>16</v>
      </c>
      <c r="C1820" s="11" t="str">
        <f>IFERROR(IF(VLOOKUP(A1820,[12]PRIORIZADOS!$A:$C,3,FALSE)="","",VLOOKUP(A1820,[12]PRIORIZADOS!$A:$C,3,FALSE)),"")</f>
        <v>SAN CRISTÓBAL</v>
      </c>
      <c r="D1820" s="11" t="str">
        <f>IFERROR(IF(VLOOKUP(A1820,[12]PRIORIZADOS!$A:$D,4,FALSE)="","",VLOOKUP(A1820,[12]PRIORIZADOS!$A:$D,4,FALSE)),"")</f>
        <v>PRIVADO</v>
      </c>
      <c r="E1820" s="11" t="str">
        <f>IFERROR(IF(VLOOKUP(A1820,[12]PRIORIZADOS!$A:$E,5,FALSE)="","",VLOOKUP(A1820,[12]PRIORIZADOS!$A:$E,5,FALSE)),"")</f>
        <v>EPBM</v>
      </c>
      <c r="F1820" s="11" t="str">
        <f>IFERROR(IF(VLOOKUP(A1820,[12]PRIORIZADOS!$A:$F,6,FALSE)="","",VLOOKUP(A1820,[12]PRIORIZADOS!$A:$F,6,FALSE)),"")</f>
        <v>LICEO_SENDERO_DEL_SABER</v>
      </c>
      <c r="G1820" s="11" t="str">
        <f>IFERROR(IF(VLOOKUP(A1820,[12]PRIORIZADOS!$A:$G,7,FALSE)="","",VLOOKUP(A1820,[12]PRIORIZADOS!$A:$G,7,FALSE)),"")</f>
        <v>LICEO SENDERO DEL SABER</v>
      </c>
      <c r="H1820" s="11" t="str">
        <f>IFERROR(IF(VLOOKUP(A1820,[12]PRIORIZADOS!$A:$H,8,FALSE)="","",VLOOKUP(A1820,[12]PRIORIZADOS!$A:$H,8,FALSE)),"")</f>
        <v>Autoevaluación Institucional y Pruebas SABER 11</v>
      </c>
      <c r="I1820" s="11" t="str">
        <f>IFERROR(IF(VLOOKUP(A1820,[12]PRIORIZADOS!$A:$I,9,FALSE)="","",VLOOKUP(A1820,[12]PRIORIZADOS!$A:$I,9,FALSE)),"")</f>
        <v>EVALUACIÓN_CON_FINES_DE_MEJORAMIENTO.</v>
      </c>
      <c r="J1820" s="11" t="str">
        <f>IFERROR(IF(VLOOKUP(A1820,[12]PRIORIZADOS!$A:$J,10,FALSE)="","",VLOOKUP(A1820,[12]PRIORIZADOS!$A:$J,10,FALSE)),"")</f>
        <v>Verificar el funcionamiento del Gobierno Escolar e instancias de participación con base en la información sobre conformación reportada por la institución educativa.</v>
      </c>
      <c r="K1820" s="11" t="str">
        <f>IFERROR(IF(VLOOKUP(A1820,[12]PRIORIZADOS!$A:$K,11,FALSE)="","",VLOOKUP(A1820,[12]PRIORIZADOS!$A:$K,11,FALSE)),"")</f>
        <v>JOSÉ ASDRUBAL PÉREZ GIRALDO</v>
      </c>
      <c r="L1820" s="11" t="str">
        <f>IFERROR(IF(VLOOKUP(A1820,[12]PRIORIZADOS!$A:$L,12,FALSE)="","",VLOOKUP(A1820,[12]PRIORIZADOS!$A:$L,12,FALSE)),"")</f>
        <v>JAIRO ANDRÉS ÁLVAREZ CHÁVEZ</v>
      </c>
      <c r="M1820" s="71">
        <f>IFERROR(IF(VLOOKUP(A1820,[12]PRIORIZADOS!$A:$M,13,FALSE)="","",VLOOKUP(A1820,[12]PRIORIZADOS!$A:$M,13,FALSE)),"")</f>
        <v>45758</v>
      </c>
      <c r="N1820" s="71">
        <f>IFERROR(IF(VLOOKUP(A1820,[12]PRIORIZADOS!$A:$N,14,FALSE)="","",VLOOKUP(A1820,[12]PRIORIZADOS!$A:$N,14,FALSE)),"")</f>
        <v>45758</v>
      </c>
      <c r="O1820" s="71" t="str">
        <f>IFERROR(IF(VLOOKUP(A1820,[12]PRIORIZADOS!$A:$O,15,FALSE)="","",VLOOKUP(A1820,[12]PRIORIZADOS!$A:$O,15,FALSE)),"")</f>
        <v/>
      </c>
      <c r="P1820" s="11" t="str">
        <f>IFERROR(IF(VLOOKUP(A1820,[12]PRIORIZADOS!$A:$P,16,FALSE)="","",VLOOKUP(A1820,[12]PRIORIZADOS!$A:$P,16,FALSE)),"")</f>
        <v>Visitas de evaluación con fines de mejoramiento</v>
      </c>
      <c r="Q1820" s="107" t="s">
        <v>393</v>
      </c>
      <c r="R1820" s="11" t="str">
        <f>IFERROR(IF(VLOOKUP(A1820,[12]PRIORIZADOS!$A:$R,18,FALSE)="","",VLOOKUP(A1820,[12]PRIORIZADOS!$A:$R,18,FALSE)),"")</f>
        <v>Se evidencia actas de reunion de consejo academico y directivo.</v>
      </c>
      <c r="S1820" s="11" t="str">
        <f>IFERROR(IF(VLOOKUP(A1820,[12]PRIORIZADOS!$A:$S,19,FALSE)="","",VLOOKUP(A1820,[12]PRIORIZADOS!$A:$S,19,FALSE)),"")</f>
        <v>Perfeccionamiento, claridad funcional y rol  (Consejo Directivo y Consejo Académico)</v>
      </c>
      <c r="T1820" s="70" t="str">
        <f>IFERROR(IF(VLOOKUP(A1820,[12]PRIORIZADOS!$A:$T,20,FALSE)="","",VLOOKUP(A1820,[12]PRIORIZADOS!$A:$T,20,FALSE)),"")</f>
        <v>No</v>
      </c>
      <c r="U1820" s="11" t="str">
        <f>IFERROR(IF(VLOOKUP(A1820,[12]PRIORIZADOS!$A:$U,21,FALSE)="","",VLOOKUP(A1820,[12]PRIORIZADOS!$A:$U,21,FALSE)),"")</f>
        <v>Se hará verificación en caso de presentarse requerimiento</v>
      </c>
    </row>
    <row r="1821" spans="1:21" s="1" customFormat="1" ht="48">
      <c r="A1821" s="69">
        <f>IF([12]PRIORIZADOS!A151="","",[12]PRIORIZADOS!A151)</f>
        <v>1788</v>
      </c>
      <c r="B1821" s="70">
        <v>16</v>
      </c>
      <c r="C1821" s="11" t="str">
        <f>IFERROR(IF(VLOOKUP(A1821,[12]PRIORIZADOS!$A:$C,3,FALSE)="","",VLOOKUP(A1821,[12]PRIORIZADOS!$A:$C,3,FALSE)),"")</f>
        <v>SAN CRISTÓBAL</v>
      </c>
      <c r="D1821" s="11" t="str">
        <f>IFERROR(IF(VLOOKUP(A1821,[12]PRIORIZADOS!$A:$D,4,FALSE)="","",VLOOKUP(A1821,[12]PRIORIZADOS!$A:$D,4,FALSE)),"")</f>
        <v>PRIVADO</v>
      </c>
      <c r="E1821" s="11" t="str">
        <f>IFERROR(IF(VLOOKUP(A1821,[12]PRIORIZADOS!$A:$E,5,FALSE)="","",VLOOKUP(A1821,[12]PRIORIZADOS!$A:$E,5,FALSE)),"")</f>
        <v>EPBM</v>
      </c>
      <c r="F1821" s="11" t="str">
        <f>IFERROR(IF(VLOOKUP(A1821,[12]PRIORIZADOS!$A:$F,6,FALSE)="","",VLOOKUP(A1821,[12]PRIORIZADOS!$A:$F,6,FALSE)),"")</f>
        <v>LICEO_SENDERO_DEL_SABER</v>
      </c>
      <c r="G1821" s="11" t="str">
        <f>IFERROR(IF(VLOOKUP(A1821,[12]PRIORIZADOS!$A:$G,7,FALSE)="","",VLOOKUP(A1821,[12]PRIORIZADOS!$A:$G,7,FALSE)),"")</f>
        <v>LICEO SENDERO DEL SABER</v>
      </c>
      <c r="H1821" s="11" t="str">
        <f>IFERROR(IF(VLOOKUP(A1821,[12]PRIORIZADOS!$A:$H,8,FALSE)="","",VLOOKUP(A1821,[12]PRIORIZADOS!$A:$H,8,FALSE)),"")</f>
        <v>Autoevaluación Institucional y Pruebas SABER 11</v>
      </c>
      <c r="I1821" s="11" t="str">
        <f>IFERROR(IF(VLOOKUP(A1821,[12]PRIORIZADOS!$A:$I,9,FALSE)="","",VLOOKUP(A1821,[12]PRIORIZADOS!$A:$I,9,FALSE)),"")</f>
        <v>EVALUACIÓN_CON_FINES_DE_MEJORAMIENTO.</v>
      </c>
      <c r="J1821" s="11" t="str">
        <f>IFERROR(IF(VLOOKUP(A1821,[12]PRIORIZADOS!$A:$J,10,FALSE)="","",VLOOKUP(A1821,[12]PRIORIZADOS!$A:$J,10,FALSE)),"")</f>
        <v>Verificar las condiciones en cuanto a: la estructura administrativa, condiciones de la planta física y medios educativos adecuados.</v>
      </c>
      <c r="K1821" s="11" t="str">
        <f>IFERROR(IF(VLOOKUP(A1821,[12]PRIORIZADOS!$A:$K,11,FALSE)="","",VLOOKUP(A1821,[12]PRIORIZADOS!$A:$K,11,FALSE)),"")</f>
        <v>JOSÉ ASDRUBAL PÉREZ GIRALDO</v>
      </c>
      <c r="L1821" s="11" t="str">
        <f>IFERROR(IF(VLOOKUP(A1821,[12]PRIORIZADOS!$A:$L,12,FALSE)="","",VLOOKUP(A1821,[12]PRIORIZADOS!$A:$L,12,FALSE)),"")</f>
        <v>JAIRO ANDRÉS ÁLVAREZ CHÁVEZ</v>
      </c>
      <c r="M1821" s="71">
        <f>IFERROR(IF(VLOOKUP(A1821,[12]PRIORIZADOS!$A:$M,13,FALSE)="","",VLOOKUP(A1821,[12]PRIORIZADOS!$A:$M,13,FALSE)),"")</f>
        <v>45758</v>
      </c>
      <c r="N1821" s="71">
        <f>IFERROR(IF(VLOOKUP(A1821,[12]PRIORIZADOS!$A:$N,14,FALSE)="","",VLOOKUP(A1821,[12]PRIORIZADOS!$A:$N,14,FALSE)),"")</f>
        <v>45758</v>
      </c>
      <c r="O1821" s="71" t="str">
        <f>IFERROR(IF(VLOOKUP(A1821,[12]PRIORIZADOS!$A:$O,15,FALSE)="","",VLOOKUP(A1821,[12]PRIORIZADOS!$A:$O,15,FALSE)),"")</f>
        <v/>
      </c>
      <c r="P1821" s="11" t="str">
        <f>IFERROR(IF(VLOOKUP(A1821,[12]PRIORIZADOS!$A:$P,16,FALSE)="","",VLOOKUP(A1821,[12]PRIORIZADOS!$A:$P,16,FALSE)),"")</f>
        <v>Visitas de evaluación con fines de mejoramiento</v>
      </c>
      <c r="Q1821" s="107" t="s">
        <v>393</v>
      </c>
      <c r="R1821" s="11" t="str">
        <f>IFERROR(IF(VLOOKUP(A1821,[12]PRIORIZADOS!$A:$R,18,FALSE)="","",VLOOKUP(A1821,[12]PRIORIZADOS!$A:$R,18,FALSE)),"")</f>
        <v>Se realiza recorrido a las instalaciones se evidencio salones para cada curso, mobiliario adecuado de acuerdo con la poblacion atendida.</v>
      </c>
      <c r="S1821" s="11" t="str">
        <f>IFERROR(IF(VLOOKUP(A1821,[12]PRIORIZADOS!$A:$S,19,FALSE)="","",VLOOKUP(A1821,[12]PRIORIZADOS!$A:$S,19,FALSE)),"")</f>
        <v>El colegio realizara los mantenimientos respectivos a las observaciones por el ELIV y la visita realziada por la Secretaria de Salud.</v>
      </c>
      <c r="T1821" s="70" t="str">
        <f>IFERROR(IF(VLOOKUP(A1821,[12]PRIORIZADOS!$A:$T,20,FALSE)="","",VLOOKUP(A1821,[12]PRIORIZADOS!$A:$T,20,FALSE)),"")</f>
        <v>No</v>
      </c>
      <c r="U1821" s="11" t="str">
        <f>IFERROR(IF(VLOOKUP(A1821,[12]PRIORIZADOS!$A:$U,21,FALSE)="","",VLOOKUP(A1821,[12]PRIORIZADOS!$A:$U,21,FALSE)),"")</f>
        <v>Se recomienda señalizacion de todos los espacios academicos y administrativos, adecuacion de lavamanos en sector de baños para primera infancia, y realizar mantenimientos permanentes de la planta fisica..</v>
      </c>
    </row>
    <row r="1822" spans="1:21" s="1" customFormat="1" ht="48">
      <c r="A1822" s="69">
        <f>IF([12]PRIORIZADOS!A152="","",[12]PRIORIZADOS!A152)</f>
        <v>1789</v>
      </c>
      <c r="B1822" s="70">
        <f>IFERROR(IF(VLOOKUP(A1822,[12]PRIORIZADOS!$A:$B,2,FALSE)="","",VLOOKUP(A1822,[12]PRIORIZADOS!$A:$B,2,FALSE)),"")</f>
        <v>17</v>
      </c>
      <c r="C1822" s="11" t="str">
        <f>IFERROR(IF(VLOOKUP(A1822,[12]PRIORIZADOS!$A:$C,3,FALSE)="","",VLOOKUP(A1822,[12]PRIORIZADOS!$A:$C,3,FALSE)),"")</f>
        <v>SAN CRISTÓBAL</v>
      </c>
      <c r="D1822" s="11" t="str">
        <f>IFERROR(IF(VLOOKUP(A1822,[12]PRIORIZADOS!$A:$D,4,FALSE)="","",VLOOKUP(A1822,[12]PRIORIZADOS!$A:$D,4,FALSE)),"")</f>
        <v>PRIVADO</v>
      </c>
      <c r="E1822" s="11" t="str">
        <f>IFERROR(IF(VLOOKUP(A1822,[12]PRIORIZADOS!$A:$E,5,FALSE)="","",VLOOKUP(A1822,[12]PRIORIZADOS!$A:$E,5,FALSE)),"")</f>
        <v>EPBM</v>
      </c>
      <c r="F1822" s="11" t="str">
        <f>IFERROR(IF(VLOOKUP(A1822,[12]PRIORIZADOS!$A:$F,6,FALSE)="","",VLOOKUP(A1822,[12]PRIORIZADOS!$A:$F,6,FALSE)),"")</f>
        <v>LICEO_INFANTIL_NUEVOS_FUNDADORES</v>
      </c>
      <c r="G1822" s="11" t="str">
        <f>IFERROR(IF(VLOOKUP(A1822,[12]PRIORIZADOS!$A:$G,7,FALSE)="","",VLOOKUP(A1822,[12]PRIORIZADOS!$A:$G,7,FALSE)),"")</f>
        <v>LICEO INFANTIL NUEVOS FUNDADORES</v>
      </c>
      <c r="H1822" s="11" t="str">
        <f>IFERROR(IF(VLOOKUP(A1822,[12]PRIORIZADOS!$A:$H,8,FALSE)="","",VLOOKUP(A1822,[12]PRIORIZADOS!$A:$H,8,FALSE)),"")</f>
        <v>Autoevaluación Institucional y Pruebas SABER 11</v>
      </c>
      <c r="I1822" s="11" t="str">
        <f>IFERROR(IF(VLOOKUP(A1822,[12]PRIORIZADOS!$A:$I,9,FALSE)="","",VLOOKUP(A1822,[12]PRIORIZADOS!$A:$I,9,FALSE)),"")</f>
        <v>SEGUIMIENTO_Y_SUPERVISIÓN.</v>
      </c>
      <c r="J1822" s="11" t="str">
        <f>IFERROR(IF(VLOOKUP(A1822,[12]PRIORIZADOS!$A:$J,10,FALSE)="","",VLOOKUP(A1822,[12]PRIORIZADOS!$A:$J,10,FALSE)),"")</f>
        <v>Realizar visitas para verificar la información registrada sobre la autoevaluación institucional en el aplicativo EVI, a los establecimientos de educación formal no oficial.</v>
      </c>
      <c r="K1822" s="11" t="str">
        <f>IFERROR(IF(VLOOKUP(A1822,[12]PRIORIZADOS!$A:$K,11,FALSE)="","",VLOOKUP(A1822,[12]PRIORIZADOS!$A:$K,11,FALSE)),"")</f>
        <v>XIMENA CAROLINA RAMÍREZ MORALES</v>
      </c>
      <c r="L1822" s="11" t="str">
        <f>IFERROR(IF(VLOOKUP(A1822,[12]PRIORIZADOS!$A:$L,12,FALSE)="","",VLOOKUP(A1822,[12]PRIORIZADOS!$A:$L,12,FALSE)),"")</f>
        <v>JUANITA LINA CAROLINA RAMÍREZ LÓPEZ</v>
      </c>
      <c r="M1822" s="71">
        <f>IFERROR(IF(VLOOKUP(A1822,[12]PRIORIZADOS!$A:$M,13,FALSE)="","",VLOOKUP(A1822,[12]PRIORIZADOS!$A:$M,13,FALSE)),"")</f>
        <v>45786</v>
      </c>
      <c r="N1822" s="71">
        <f>IFERROR(IF(VLOOKUP(A1822,[12]PRIORIZADOS!$A:$N,14,FALSE)="","",VLOOKUP(A1822,[12]PRIORIZADOS!$A:$N,14,FALSE)),"")</f>
        <v>45786</v>
      </c>
      <c r="O1822" s="71">
        <f>IFERROR(IF(VLOOKUP(A1822,[12]PRIORIZADOS!$A:$O,15,FALSE)="","",VLOOKUP(A1822,[12]PRIORIZADOS!$A:$O,15,FALSE)),"")</f>
        <v>45786</v>
      </c>
      <c r="P1822" s="11" t="str">
        <f>IFERROR(IF(VLOOKUP(A1822,[12]PRIORIZADOS!$A:$P,16,FALSE)="","",VLOOKUP(A1822,[12]PRIORIZADOS!$A:$P,16,FALSE)),"")</f>
        <v>Visitas de evaluación con fines de mejoramiento</v>
      </c>
      <c r="Q1822" s="107" t="s">
        <v>394</v>
      </c>
      <c r="R1822" s="11" t="str">
        <f>IFERROR(IF(VLOOKUP(A1822,[12]PRIORIZADOS!$A:$R,18,FALSE)="","",VLOOKUP(A1822,[12]PRIORIZADOS!$A:$R,18,FALSE)),"")</f>
        <v xml:space="preserve">La resolución de tarifas se encuentra publicada en lugar visible. Se verifican recibos de pagos. La información contable se registra en archivo excel. </v>
      </c>
      <c r="S1822" s="11" t="str">
        <f>IFERROR(IF(VLOOKUP(A1822,[12]PRIORIZADOS!$A:$S,19,FALSE)="","",VLOOKUP(A1822,[12]PRIORIZADOS!$A:$S,19,FALSE)),"")</f>
        <v>Continuar dando cumplimiento a la resolución de tarifas autorizada para el presente año.</v>
      </c>
      <c r="T1822" s="70" t="str">
        <f>IFERROR(IF(VLOOKUP(A1822,[12]PRIORIZADOS!$A:$T,20,FALSE)="","",VLOOKUP(A1822,[12]PRIORIZADOS!$A:$T,20,FALSE)),"")</f>
        <v>No</v>
      </c>
      <c r="U1822" s="11" t="str">
        <f>IFERROR(IF(VLOOKUP(A1822,[12]PRIORIZADOS!$A:$U,21,FALSE)="","",VLOOKUP(A1822,[12]PRIORIZADOS!$A:$U,21,FALSE)),"")</f>
        <v>Se hará verificación en caso de presentarse requerimiento</v>
      </c>
    </row>
    <row r="1823" spans="1:21" s="1" customFormat="1" ht="48">
      <c r="A1823" s="69">
        <f>IF([12]PRIORIZADOS!A153="","",[12]PRIORIZADOS!A153)</f>
        <v>1790</v>
      </c>
      <c r="B1823" s="70">
        <v>17</v>
      </c>
      <c r="C1823" s="11" t="str">
        <f>IFERROR(IF(VLOOKUP(A1823,[12]PRIORIZADOS!$A:$C,3,FALSE)="","",VLOOKUP(A1823,[12]PRIORIZADOS!$A:$C,3,FALSE)),"")</f>
        <v>SAN CRISTÓBAL</v>
      </c>
      <c r="D1823" s="11" t="str">
        <f>IFERROR(IF(VLOOKUP(A1823,[12]PRIORIZADOS!$A:$D,4,FALSE)="","",VLOOKUP(A1823,[12]PRIORIZADOS!$A:$D,4,FALSE)),"")</f>
        <v>PRIVADO</v>
      </c>
      <c r="E1823" s="11" t="str">
        <f>IFERROR(IF(VLOOKUP(A1823,[12]PRIORIZADOS!$A:$E,5,FALSE)="","",VLOOKUP(A1823,[12]PRIORIZADOS!$A:$E,5,FALSE)),"")</f>
        <v>EPBM</v>
      </c>
      <c r="F1823" s="11" t="str">
        <f>IFERROR(IF(VLOOKUP(A1823,[12]PRIORIZADOS!$A:$F,6,FALSE)="","",VLOOKUP(A1823,[12]PRIORIZADOS!$A:$F,6,FALSE)),"")</f>
        <v>LICEO_INFANTIL_NUEVOS_FUNDADORES</v>
      </c>
      <c r="G1823" s="11" t="str">
        <f>IFERROR(IF(VLOOKUP(A1823,[12]PRIORIZADOS!$A:$G,7,FALSE)="","",VLOOKUP(A1823,[12]PRIORIZADOS!$A:$G,7,FALSE)),"")</f>
        <v>LICEO INFANTIL NUEVOS FUNDADORES</v>
      </c>
      <c r="H1823" s="11" t="str">
        <f>IFERROR(IF(VLOOKUP(A1823,[12]PRIORIZADOS!$A:$H,8,FALSE)="","",VLOOKUP(A1823,[12]PRIORIZADOS!$A:$H,8,FALSE)),"")</f>
        <v>Autoevaluación Institucional y Pruebas SABER 11</v>
      </c>
      <c r="I1823" s="11" t="str">
        <f>IFERROR(IF(VLOOKUP(A1823,[12]PRIORIZADOS!$A:$I,9,FALSE)="","",VLOOKUP(A1823,[12]PRIORIZADOS!$A:$I,9,FALSE)),"")</f>
        <v>SEGUIMIENTO_Y_SUPERVISIÓN.</v>
      </c>
      <c r="J1823" s="11" t="str">
        <f>IFERROR(IF(VLOOKUP(A1823,[12]PRIORIZADOS!$A:$J,10,FALSE)="","",VLOOKUP(A1823,[12]PRIORIZADOS!$A:$J,10,FALSE)),"")</f>
        <v xml:space="preserve">Verificar la implementación por parte de los colegios, de acciones realizadas para la prevención y atención de las situaciones de convivencia en el entorno escolar, según lo establecido en la Directiva 01 de 2022 del MEN. </v>
      </c>
      <c r="K1823" s="11" t="str">
        <f>IFERROR(IF(VLOOKUP(A1823,[12]PRIORIZADOS!$A:$K,11,FALSE)="","",VLOOKUP(A1823,[12]PRIORIZADOS!$A:$K,11,FALSE)),"")</f>
        <v>XIMENA CAROLINA RAMÍREZ MORALES</v>
      </c>
      <c r="L1823" s="11" t="str">
        <f>IFERROR(IF(VLOOKUP(A1823,[12]PRIORIZADOS!$A:$L,12,FALSE)="","",VLOOKUP(A1823,[12]PRIORIZADOS!$A:$L,12,FALSE)),"")</f>
        <v>JUANITA LINA CAROLINA RAMÍREZ LÓPEZ</v>
      </c>
      <c r="M1823" s="71">
        <f>IFERROR(IF(VLOOKUP(A1823,[12]PRIORIZADOS!$A:$M,13,FALSE)="","",VLOOKUP(A1823,[12]PRIORIZADOS!$A:$M,13,FALSE)),"")</f>
        <v>45786</v>
      </c>
      <c r="N1823" s="71">
        <f>IFERROR(IF(VLOOKUP(A1823,[12]PRIORIZADOS!$A:$N,14,FALSE)="","",VLOOKUP(A1823,[12]PRIORIZADOS!$A:$N,14,FALSE)),"")</f>
        <v>45786</v>
      </c>
      <c r="O1823" s="71">
        <f>IFERROR(IF(VLOOKUP(A1823,[12]PRIORIZADOS!$A:$O,15,FALSE)="","",VLOOKUP(A1823,[12]PRIORIZADOS!$A:$O,15,FALSE)),"")</f>
        <v>45786</v>
      </c>
      <c r="P1823" s="11" t="str">
        <f>IFERROR(IF(VLOOKUP(A1823,[12]PRIORIZADOS!$A:$P,16,FALSE)="","",VLOOKUP(A1823,[12]PRIORIZADOS!$A:$P,16,FALSE)),"")</f>
        <v>Visitas de evaluación con fines de mejoramiento</v>
      </c>
      <c r="Q1823" s="107" t="s">
        <v>394</v>
      </c>
      <c r="R1823" s="11" t="str">
        <f>IFERROR(IF(VLOOKUP(A1823,[12]PRIORIZADOS!$A:$R,18,FALSE)="","",VLOOKUP(A1823,[12]PRIORIZADOS!$A:$R,18,FALSE)),"")</f>
        <v>Se verifica la revisión de antecedentes por delitos sexuales.</v>
      </c>
      <c r="S1823" s="11" t="str">
        <f>IFERROR(IF(VLOOKUP(A1823,[12]PRIORIZADOS!$A:$S,19,FALSE)="","",VLOOKUP(A1823,[12]PRIORIZADOS!$A:$S,19,FALSE)),"")</f>
        <v>Se recuerda que la verificación se debe realzar cada 4 meses.  Realizar acciones de promoción y prevención.</v>
      </c>
      <c r="T1823" s="70" t="str">
        <f>IFERROR(IF(VLOOKUP(A1823,[12]PRIORIZADOS!$A:$T,20,FALSE)="","",VLOOKUP(A1823,[12]PRIORIZADOS!$A:$T,20,FALSE)),"")</f>
        <v>No</v>
      </c>
      <c r="U1823" s="11" t="str">
        <f>IFERROR(IF(VLOOKUP(A1823,[12]PRIORIZADOS!$A:$U,21,FALSE)="","",VLOOKUP(A1823,[12]PRIORIZADOS!$A:$U,21,FALSE)),"")</f>
        <v>Verificación en la próxima actualización documental</v>
      </c>
    </row>
    <row r="1824" spans="1:21" s="1" customFormat="1" ht="72">
      <c r="A1824" s="69">
        <f>IF([12]PRIORIZADOS!A154="","",[12]PRIORIZADOS!A154)</f>
        <v>1791</v>
      </c>
      <c r="B1824" s="70">
        <v>17</v>
      </c>
      <c r="C1824" s="11" t="str">
        <f>IFERROR(IF(VLOOKUP(A1824,[12]PRIORIZADOS!$A:$C,3,FALSE)="","",VLOOKUP(A1824,[12]PRIORIZADOS!$A:$C,3,FALSE)),"")</f>
        <v>SAN CRISTÓBAL</v>
      </c>
      <c r="D1824" s="11" t="str">
        <f>IFERROR(IF(VLOOKUP(A1824,[12]PRIORIZADOS!$A:$D,4,FALSE)="","",VLOOKUP(A1824,[12]PRIORIZADOS!$A:$D,4,FALSE)),"")</f>
        <v>PRIVADO</v>
      </c>
      <c r="E1824" s="11" t="str">
        <f>IFERROR(IF(VLOOKUP(A1824,[12]PRIORIZADOS!$A:$E,5,FALSE)="","",VLOOKUP(A1824,[12]PRIORIZADOS!$A:$E,5,FALSE)),"")</f>
        <v>EPBM</v>
      </c>
      <c r="F1824" s="11" t="str">
        <f>IFERROR(IF(VLOOKUP(A1824,[12]PRIORIZADOS!$A:$F,6,FALSE)="","",VLOOKUP(A1824,[12]PRIORIZADOS!$A:$F,6,FALSE)),"")</f>
        <v>LICEO_INFANTIL_NUEVOS_FUNDADORES</v>
      </c>
      <c r="G1824" s="11" t="str">
        <f>IFERROR(IF(VLOOKUP(A1824,[12]PRIORIZADOS!$A:$G,7,FALSE)="","",VLOOKUP(A1824,[12]PRIORIZADOS!$A:$G,7,FALSE)),"")</f>
        <v>LICEO INFANTIL NUEVOS FUNDADORES</v>
      </c>
      <c r="H1824" s="11" t="str">
        <f>IFERROR(IF(VLOOKUP(A1824,[12]PRIORIZADOS!$A:$H,8,FALSE)="","",VLOOKUP(A1824,[12]PRIORIZADOS!$A:$H,8,FALSE)),"")</f>
        <v>Autoevaluación Institucional y Pruebas SABER 11</v>
      </c>
      <c r="I1824" s="11" t="str">
        <f>IFERROR(IF(VLOOKUP(A1824,[12]PRIORIZADOS!$A:$I,9,FALSE)="","",VLOOKUP(A1824,[12]PRIORIZADOS!$A:$I,9,FALSE)),"")</f>
        <v>SEGUIMIENTO_Y_SUPERVISIÓN.</v>
      </c>
      <c r="J1824" s="11" t="str">
        <f>IFERROR(IF(VLOOKUP(A1824,[12]PRIORIZADOS!$A:$J,10,FALSE)="","",VLOOKUP(A1824,[12]PRIORIZADOS!$A:$J,10,FALSE)),"")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24" s="11" t="str">
        <f>IFERROR(IF(VLOOKUP(A1824,[12]PRIORIZADOS!$A:$K,11,FALSE)="","",VLOOKUP(A1824,[12]PRIORIZADOS!$A:$K,11,FALSE)),"")</f>
        <v>XIMENA CAROLINA RAMÍREZ MORALES</v>
      </c>
      <c r="L1824" s="11" t="str">
        <f>IFERROR(IF(VLOOKUP(A1824,[12]PRIORIZADOS!$A:$L,12,FALSE)="","",VLOOKUP(A1824,[12]PRIORIZADOS!$A:$L,12,FALSE)),"")</f>
        <v>JUANITA LINA CAROLINA RAMÍREZ LÓPEZ</v>
      </c>
      <c r="M1824" s="71">
        <f>IFERROR(IF(VLOOKUP(A1824,[12]PRIORIZADOS!$A:$M,13,FALSE)="","",VLOOKUP(A1824,[12]PRIORIZADOS!$A:$M,13,FALSE)),"")</f>
        <v>45786</v>
      </c>
      <c r="N1824" s="71">
        <f>IFERROR(IF(VLOOKUP(A1824,[12]PRIORIZADOS!$A:$N,14,FALSE)="","",VLOOKUP(A1824,[12]PRIORIZADOS!$A:$N,14,FALSE)),"")</f>
        <v>45786</v>
      </c>
      <c r="O1824" s="71">
        <f>IFERROR(IF(VLOOKUP(A1824,[12]PRIORIZADOS!$A:$O,15,FALSE)="","",VLOOKUP(A1824,[12]PRIORIZADOS!$A:$O,15,FALSE)),"")</f>
        <v>45786</v>
      </c>
      <c r="P1824" s="11" t="str">
        <f>IFERROR(IF(VLOOKUP(A1824,[12]PRIORIZADOS!$A:$P,16,FALSE)="","",VLOOKUP(A1824,[12]PRIORIZADOS!$A:$P,16,FALSE)),"")</f>
        <v>Visitas de evaluación con fines de mejoramiento</v>
      </c>
      <c r="Q1824" s="107" t="s">
        <v>394</v>
      </c>
      <c r="R1824" s="11" t="str">
        <f>IFERROR(IF(VLOOKUP(A1824,[12]PRIORIZADOS!$A:$R,18,FALSE)="","",VLOOKUP(A1824,[12]PRIORIZADOS!$A:$R,18,FALSE)),"")</f>
        <v xml:space="preserve">Se han identificado dos casos de estudiantes con dificultades, por lo que se solicitó a la familia atención por sector salud. </v>
      </c>
      <c r="S1824" s="11" t="str">
        <f>IFERROR(IF(VLOOKUP(A1824,[12]PRIORIZADOS!$A:$S,19,FALSE)="","",VLOOKUP(A1824,[12]PRIORIZADOS!$A:$S,19,FALSE)),"")</f>
        <v>Se dan indicaciones para la elaboración de PIAR</v>
      </c>
      <c r="T1824" s="70" t="str">
        <f>IFERROR(IF(VLOOKUP(A1824,[12]PRIORIZADOS!$A:$T,20,FALSE)="","",VLOOKUP(A1824,[12]PRIORIZADOS!$A:$T,20,FALSE)),"")</f>
        <v>No</v>
      </c>
      <c r="U1824" s="11" t="str">
        <f>IFERROR(IF(VLOOKUP(A1824,[12]PRIORIZADOS!$A:$U,21,FALSE)="","",VLOOKUP(A1824,[12]PRIORIZADOS!$A:$U,21,FALSE)),"")</f>
        <v>Se realizara verificacion de las acciones ante respuesta del EE, visita  y/o en caso de requerimientos al EE</v>
      </c>
    </row>
    <row r="1825" spans="1:21" s="1" customFormat="1" ht="84">
      <c r="A1825" s="69">
        <f>IF([12]PRIORIZADOS!A155="","",[12]PRIORIZADOS!A155)</f>
        <v>1792</v>
      </c>
      <c r="B1825" s="70">
        <v>17</v>
      </c>
      <c r="C1825" s="11" t="str">
        <f>IFERROR(IF(VLOOKUP(A1825,[12]PRIORIZADOS!$A:$C,3,FALSE)="","",VLOOKUP(A1825,[12]PRIORIZADOS!$A:$C,3,FALSE)),"")</f>
        <v>SAN CRISTÓBAL</v>
      </c>
      <c r="D1825" s="11" t="str">
        <f>IFERROR(IF(VLOOKUP(A1825,[12]PRIORIZADOS!$A:$D,4,FALSE)="","",VLOOKUP(A1825,[12]PRIORIZADOS!$A:$D,4,FALSE)),"")</f>
        <v>PRIVADO</v>
      </c>
      <c r="E1825" s="11" t="str">
        <f>IFERROR(IF(VLOOKUP(A1825,[12]PRIORIZADOS!$A:$E,5,FALSE)="","",VLOOKUP(A1825,[12]PRIORIZADOS!$A:$E,5,FALSE)),"")</f>
        <v>EPBM</v>
      </c>
      <c r="F1825" s="11" t="str">
        <f>IFERROR(IF(VLOOKUP(A1825,[12]PRIORIZADOS!$A:$F,6,FALSE)="","",VLOOKUP(A1825,[12]PRIORIZADOS!$A:$F,6,FALSE)),"")</f>
        <v>LICEO_INFANTIL_NUEVOS_FUNDADORES</v>
      </c>
      <c r="G1825" s="11" t="str">
        <f>IFERROR(IF(VLOOKUP(A1825,[12]PRIORIZADOS!$A:$G,7,FALSE)="","",VLOOKUP(A1825,[12]PRIORIZADOS!$A:$G,7,FALSE)),"")</f>
        <v>LICEO INFANTIL NUEVOS FUNDADORES</v>
      </c>
      <c r="H1825" s="11" t="str">
        <f>IFERROR(IF(VLOOKUP(A1825,[12]PRIORIZADOS!$A:$H,8,FALSE)="","",VLOOKUP(A1825,[12]PRIORIZADOS!$A:$H,8,FALSE)),"")</f>
        <v>Autoevaluación Institucional y Pruebas SABER 11</v>
      </c>
      <c r="I1825" s="11" t="str">
        <f>IFERROR(IF(VLOOKUP(A1825,[12]PRIORIZADOS!$A:$I,9,FALSE)="","",VLOOKUP(A1825,[12]PRIORIZADOS!$A:$I,9,FALSE)),"")</f>
        <v>EVALUACIÓN_CON_FINES_DE_MEJORAMIENTO.</v>
      </c>
      <c r="J1825" s="11" t="str">
        <f>IFERROR(IF(VLOOKUP(A1825,[12]PRIORIZADOS!$A:$J,10,FALSE)="","",VLOOKUP(A1825,[12]PRIORIZADOS!$A:$J,10,FALSE)),"")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25" s="11" t="str">
        <f>IFERROR(IF(VLOOKUP(A1825,[12]PRIORIZADOS!$A:$K,11,FALSE)="","",VLOOKUP(A1825,[12]PRIORIZADOS!$A:$K,11,FALSE)),"")</f>
        <v>XIMENA CAROLINA RAMÍREZ MORALES</v>
      </c>
      <c r="L1825" s="11" t="str">
        <f>IFERROR(IF(VLOOKUP(A1825,[12]PRIORIZADOS!$A:$L,12,FALSE)="","",VLOOKUP(A1825,[12]PRIORIZADOS!$A:$L,12,FALSE)),"")</f>
        <v>JUANITA LINA CAROLINA RAMÍREZ LÓPEZ</v>
      </c>
      <c r="M1825" s="71">
        <f>IFERROR(IF(VLOOKUP(A1825,[12]PRIORIZADOS!$A:$M,13,FALSE)="","",VLOOKUP(A1825,[12]PRIORIZADOS!$A:$M,13,FALSE)),"")</f>
        <v>45786</v>
      </c>
      <c r="N1825" s="71">
        <f>IFERROR(IF(VLOOKUP(A1825,[12]PRIORIZADOS!$A:$N,14,FALSE)="","",VLOOKUP(A1825,[12]PRIORIZADOS!$A:$N,14,FALSE)),"")</f>
        <v>45786</v>
      </c>
      <c r="O1825" s="71">
        <f>IFERROR(IF(VLOOKUP(A1825,[12]PRIORIZADOS!$A:$O,15,FALSE)="","",VLOOKUP(A1825,[12]PRIORIZADOS!$A:$O,15,FALSE)),"")</f>
        <v>45786</v>
      </c>
      <c r="P1825" s="11" t="str">
        <f>IFERROR(IF(VLOOKUP(A1825,[12]PRIORIZADOS!$A:$P,16,FALSE)="","",VLOOKUP(A1825,[12]PRIORIZADOS!$A:$P,16,FALSE)),"")</f>
        <v>Visitas de evaluación con fines de mejoramiento</v>
      </c>
      <c r="Q1825" s="107" t="s">
        <v>394</v>
      </c>
      <c r="R1825" s="11" t="str">
        <f>IFERROR(IF(VLOOKUP(A1825,[12]PRIORIZADOS!$A:$R,18,FALSE)="","",VLOOKUP(A1825,[12]PRIORIZADOS!$A:$R,18,FALSE)),"")</f>
        <v>El año 2024 hubo ajustes en trabajo conjunto con el Consejo Directivo y luego se socializó con la comunidad. No se evidencias Acta</v>
      </c>
      <c r="S1825" s="11" t="str">
        <f>IFERROR(IF(VLOOKUP(A1825,[12]PRIORIZADOS!$A:$S,19,FALSE)="","",VLOOKUP(A1825,[12]PRIORIZADOS!$A:$S,19,FALSE)),"")</f>
        <v xml:space="preserve">Se resalta la importancia que los ajustes pasen por las instancias de participación correspondiente. </v>
      </c>
      <c r="T1825" s="70" t="str">
        <f>IFERROR(IF(VLOOKUP(A1825,[12]PRIORIZADOS!$A:$T,20,FALSE)="","",VLOOKUP(A1825,[12]PRIORIZADOS!$A:$T,20,FALSE)),"")</f>
        <v>No</v>
      </c>
      <c r="U1825" s="11" t="str">
        <f>IFERROR(IF(VLOOKUP(A1825,[12]PRIORIZADOS!$A:$U,21,FALSE)="","",VLOOKUP(A1825,[12]PRIORIZADOS!$A:$U,21,FALSE)),"")</f>
        <v xml:space="preserve">Verificación en la próxima actualización documental. Remitir el 29 de agosto de 2025.
Se realizó encuentro el  22 de agosto para verificar actaualización de documentos institucionales. </v>
      </c>
    </row>
    <row r="1826" spans="1:21" s="1" customFormat="1" ht="84">
      <c r="A1826" s="69">
        <f>IF([12]PRIORIZADOS!A156="","",[12]PRIORIZADOS!A156)</f>
        <v>1793</v>
      </c>
      <c r="B1826" s="70">
        <v>17</v>
      </c>
      <c r="C1826" s="11" t="str">
        <f>IFERROR(IF(VLOOKUP(A1826,[12]PRIORIZADOS!$A:$C,3,FALSE)="","",VLOOKUP(A1826,[12]PRIORIZADOS!$A:$C,3,FALSE)),"")</f>
        <v>SAN CRISTÓBAL</v>
      </c>
      <c r="D1826" s="11" t="str">
        <f>IFERROR(IF(VLOOKUP(A1826,[12]PRIORIZADOS!$A:$D,4,FALSE)="","",VLOOKUP(A1826,[12]PRIORIZADOS!$A:$D,4,FALSE)),"")</f>
        <v>PRIVADO</v>
      </c>
      <c r="E1826" s="11" t="str">
        <f>IFERROR(IF(VLOOKUP(A1826,[12]PRIORIZADOS!$A:$E,5,FALSE)="","",VLOOKUP(A1826,[12]PRIORIZADOS!$A:$E,5,FALSE)),"")</f>
        <v>EPBM</v>
      </c>
      <c r="F1826" s="11" t="str">
        <f>IFERROR(IF(VLOOKUP(A1826,[12]PRIORIZADOS!$A:$F,6,FALSE)="","",VLOOKUP(A1826,[12]PRIORIZADOS!$A:$F,6,FALSE)),"")</f>
        <v>LICEO_INFANTIL_NUEVOS_FUNDADORES</v>
      </c>
      <c r="G1826" s="11" t="str">
        <f>IFERROR(IF(VLOOKUP(A1826,[12]PRIORIZADOS!$A:$G,7,FALSE)="","",VLOOKUP(A1826,[12]PRIORIZADOS!$A:$G,7,FALSE)),"")</f>
        <v>LICEO INFANTIL NUEVOS FUNDADORES</v>
      </c>
      <c r="H1826" s="11" t="str">
        <f>IFERROR(IF(VLOOKUP(A1826,[12]PRIORIZADOS!$A:$H,8,FALSE)="","",VLOOKUP(A1826,[12]PRIORIZADOS!$A:$H,8,FALSE)),"")</f>
        <v>Autoevaluación Institucional y Pruebas SABER 11</v>
      </c>
      <c r="I1826" s="11" t="str">
        <f>IFERROR(IF(VLOOKUP(A1826,[12]PRIORIZADOS!$A:$I,9,FALSE)="","",VLOOKUP(A1826,[12]PRIORIZADOS!$A:$I,9,FALSE)),"")</f>
        <v>EVALUACIÓN_CON_FINES_DE_MEJORAMIENTO.</v>
      </c>
      <c r="J1826" s="11" t="str">
        <f>IFERROR(IF(VLOOKUP(A1826,[12]PRIORIZADOS!$A:$J,10,FALSE)="","",VLOOKUP(A1826,[12]PRIORIZADOS!$A:$J,10,FALSE)),"")</f>
        <v>Revisar la actualización, socialización e implementación del Sistema Institucional de Evaluación de Estudiantes - SIEE, en articulación con la actualización del PEI y la normatividad vigente.</v>
      </c>
      <c r="K1826" s="11" t="str">
        <f>IFERROR(IF(VLOOKUP(A1826,[12]PRIORIZADOS!$A:$K,11,FALSE)="","",VLOOKUP(A1826,[12]PRIORIZADOS!$A:$K,11,FALSE)),"")</f>
        <v>XIMENA CAROLINA RAMÍREZ MORALES</v>
      </c>
      <c r="L1826" s="11" t="str">
        <f>IFERROR(IF(VLOOKUP(A1826,[12]PRIORIZADOS!$A:$L,12,FALSE)="","",VLOOKUP(A1826,[12]PRIORIZADOS!$A:$L,12,FALSE)),"")</f>
        <v>JUANITA LINA CAROLINA RAMÍREZ LÓPEZ</v>
      </c>
      <c r="M1826" s="71">
        <f>IFERROR(IF(VLOOKUP(A1826,[12]PRIORIZADOS!$A:$M,13,FALSE)="","",VLOOKUP(A1826,[12]PRIORIZADOS!$A:$M,13,FALSE)),"")</f>
        <v>45786</v>
      </c>
      <c r="N1826" s="71">
        <f>IFERROR(IF(VLOOKUP(A1826,[12]PRIORIZADOS!$A:$N,14,FALSE)="","",VLOOKUP(A1826,[12]PRIORIZADOS!$A:$N,14,FALSE)),"")</f>
        <v>45786</v>
      </c>
      <c r="O1826" s="71">
        <f>IFERROR(IF(VLOOKUP(A1826,[12]PRIORIZADOS!$A:$O,15,FALSE)="","",VLOOKUP(A1826,[12]PRIORIZADOS!$A:$O,15,FALSE)),"")</f>
        <v>45786</v>
      </c>
      <c r="P1826" s="11" t="str">
        <f>IFERROR(IF(VLOOKUP(A1826,[12]PRIORIZADOS!$A:$P,16,FALSE)="","",VLOOKUP(A1826,[12]PRIORIZADOS!$A:$P,16,FALSE)),"")</f>
        <v>Visitas de evaluación con fines de mejoramiento</v>
      </c>
      <c r="Q1826" s="107" t="s">
        <v>394</v>
      </c>
      <c r="R1826" s="11" t="str">
        <f>IFERROR(IF(VLOOKUP(A1826,[12]PRIORIZADOS!$A:$R,18,FALSE)="","",VLOOKUP(A1826,[12]PRIORIZADOS!$A:$R,18,FALSE)),"")</f>
        <v xml:space="preserve">El SIEE refiere, entre otros: Entrega y estructura de informe académico, Escala de valoración, Criterios de evaluación, Promoción anticipada, Descripción del grado Prejardín.  La rectora indica que se realizan activiades de diagnóstico pedagógico y de refuerzo. </v>
      </c>
      <c r="S1826" s="11" t="str">
        <f>IFERROR(IF(VLOOKUP(A1826,[12]PRIORIZADOS!$A:$S,19,FALSE)="","",VLOOKUP(A1826,[12]PRIORIZADOS!$A:$S,19,FALSE)),"")</f>
        <v>Se recomienda revisar y ajustar el documento PEI teniendo en cuenta los componentes de horizonte institucional, gestión directiva, gestión académica, gestión comunitaria y gestión administrativa - financiera</v>
      </c>
      <c r="T1826" s="70" t="str">
        <f>IFERROR(IF(VLOOKUP(A1826,[12]PRIORIZADOS!$A:$T,20,FALSE)="","",VLOOKUP(A1826,[12]PRIORIZADOS!$A:$T,20,FALSE)),"")</f>
        <v>No</v>
      </c>
      <c r="U1826" s="11" t="str">
        <f>IFERROR(IF(VLOOKUP(A1826,[12]PRIORIZADOS!$A:$U,21,FALSE)="","",VLOOKUP(A1826,[12]PRIORIZADOS!$A:$U,21,FALSE)),"")</f>
        <v>Verificación en la próxima actualización documental</v>
      </c>
    </row>
    <row r="1827" spans="1:21" s="1" customFormat="1" ht="48">
      <c r="A1827" s="69">
        <f>IF([12]PRIORIZADOS!A157="","",[12]PRIORIZADOS!A157)</f>
        <v>1794</v>
      </c>
      <c r="B1827" s="70">
        <v>17</v>
      </c>
      <c r="C1827" s="11" t="str">
        <f>IFERROR(IF(VLOOKUP(A1827,[12]PRIORIZADOS!$A:$C,3,FALSE)="","",VLOOKUP(A1827,[12]PRIORIZADOS!$A:$C,3,FALSE)),"")</f>
        <v>SAN CRISTÓBAL</v>
      </c>
      <c r="D1827" s="11" t="str">
        <f>IFERROR(IF(VLOOKUP(A1827,[12]PRIORIZADOS!$A:$D,4,FALSE)="","",VLOOKUP(A1827,[12]PRIORIZADOS!$A:$D,4,FALSE)),"")</f>
        <v>PRIVADO</v>
      </c>
      <c r="E1827" s="11" t="str">
        <f>IFERROR(IF(VLOOKUP(A1827,[12]PRIORIZADOS!$A:$E,5,FALSE)="","",VLOOKUP(A1827,[12]PRIORIZADOS!$A:$E,5,FALSE)),"")</f>
        <v>EPBM</v>
      </c>
      <c r="F1827" s="11" t="str">
        <f>IFERROR(IF(VLOOKUP(A1827,[12]PRIORIZADOS!$A:$F,6,FALSE)="","",VLOOKUP(A1827,[12]PRIORIZADOS!$A:$F,6,FALSE)),"")</f>
        <v>LICEO_INFANTIL_NUEVOS_FUNDADORES</v>
      </c>
      <c r="G1827" s="11" t="str">
        <f>IFERROR(IF(VLOOKUP(A1827,[12]PRIORIZADOS!$A:$G,7,FALSE)="","",VLOOKUP(A1827,[12]PRIORIZADOS!$A:$G,7,FALSE)),"")</f>
        <v>LICEO INFANTIL NUEVOS FUNDADORES</v>
      </c>
      <c r="H1827" s="11" t="str">
        <f>IFERROR(IF(VLOOKUP(A1827,[12]PRIORIZADOS!$A:$H,8,FALSE)="","",VLOOKUP(A1827,[12]PRIORIZADOS!$A:$H,8,FALSE)),"")</f>
        <v>Autoevaluación Institucional y Pruebas SABER 11</v>
      </c>
      <c r="I1827" s="11" t="str">
        <f>IFERROR(IF(VLOOKUP(A1827,[12]PRIORIZADOS!$A:$I,9,FALSE)="","",VLOOKUP(A1827,[12]PRIORIZADOS!$A:$I,9,FALSE)),"")</f>
        <v>EVALUACIÓN_CON_FINES_DE_MEJORAMIENTO.</v>
      </c>
      <c r="J1827" s="11" t="str">
        <f>IFERROR(IF(VLOOKUP(A1827,[12]PRIORIZADOS!$A:$J,10,FALSE)="","",VLOOKUP(A1827,[12]PRIORIZADOS!$A:$J,10,FALSE)),"")</f>
        <v>Revisar el calendario escolar, jornada escolar, la intensidad horaria mínima anual en cada nivel y las modificaciones que se realicen al mismo, de acuerdo con lo previsto en la normatividad vigente.</v>
      </c>
      <c r="K1827" s="11" t="str">
        <f>IFERROR(IF(VLOOKUP(A1827,[12]PRIORIZADOS!$A:$K,11,FALSE)="","",VLOOKUP(A1827,[12]PRIORIZADOS!$A:$K,11,FALSE)),"")</f>
        <v>XIMENA CAROLINA RAMÍREZ MORALES</v>
      </c>
      <c r="L1827" s="11" t="str">
        <f>IFERROR(IF(VLOOKUP(A1827,[12]PRIORIZADOS!$A:$L,12,FALSE)="","",VLOOKUP(A1827,[12]PRIORIZADOS!$A:$L,12,FALSE)),"")</f>
        <v>JUANITA LINA CAROLINA RAMÍREZ LÓPEZ</v>
      </c>
      <c r="M1827" s="71">
        <f>IFERROR(IF(VLOOKUP(A1827,[12]PRIORIZADOS!$A:$M,13,FALSE)="","",VLOOKUP(A1827,[12]PRIORIZADOS!$A:$M,13,FALSE)),"")</f>
        <v>45786</v>
      </c>
      <c r="N1827" s="71">
        <f>IFERROR(IF(VLOOKUP(A1827,[12]PRIORIZADOS!$A:$N,14,FALSE)="","",VLOOKUP(A1827,[12]PRIORIZADOS!$A:$N,14,FALSE)),"")</f>
        <v>45786</v>
      </c>
      <c r="O1827" s="71">
        <f>IFERROR(IF(VLOOKUP(A1827,[12]PRIORIZADOS!$A:$O,15,FALSE)="","",VLOOKUP(A1827,[12]PRIORIZADOS!$A:$O,15,FALSE)),"")</f>
        <v>45786</v>
      </c>
      <c r="P1827" s="11" t="str">
        <f>IFERROR(IF(VLOOKUP(A1827,[12]PRIORIZADOS!$A:$P,16,FALSE)="","",VLOOKUP(A1827,[12]PRIORIZADOS!$A:$P,16,FALSE)),"")</f>
        <v>Visitas de evaluación con fines de mejoramiento</v>
      </c>
      <c r="Q1827" s="107" t="s">
        <v>394</v>
      </c>
      <c r="R1827" s="11" t="str">
        <f>IFERROR(IF(VLOOKUP(A1827,[12]PRIORIZADOS!$A:$R,18,FALSE)="","",VLOOKUP(A1827,[12]PRIORIZADOS!$A:$R,18,FALSE)),"")</f>
        <v>Cumple con las horas y semanas reglamentarias de acuerdo con la Resolución de la SED N° 1811 de 2024.</v>
      </c>
      <c r="S1827" s="11" t="str">
        <f>IFERROR(IF(VLOOKUP(A1827,[12]PRIORIZADOS!$A:$S,19,FALSE)="","",VLOOKUP(A1827,[12]PRIORIZADOS!$A:$S,19,FALSE)),"")</f>
        <v xml:space="preserve">Continuar prestando el servicio educativo acorde a la normatividad vigente </v>
      </c>
      <c r="T1827" s="70" t="str">
        <f>IFERROR(IF(VLOOKUP(A1827,[12]PRIORIZADOS!$A:$T,20,FALSE)="","",VLOOKUP(A1827,[12]PRIORIZADOS!$A:$T,20,FALSE)),"")</f>
        <v>No</v>
      </c>
      <c r="U1827" s="11" t="str">
        <f>IFERROR(IF(VLOOKUP(A1827,[12]PRIORIZADOS!$A:$U,21,FALSE)="","",VLOOKUP(A1827,[12]PRIORIZADOS!$A:$U,21,FALSE)),"")</f>
        <v>Se hará verificación en caso de presentarse requerimiento</v>
      </c>
    </row>
    <row r="1828" spans="1:21" s="1" customFormat="1" ht="72">
      <c r="A1828" s="69">
        <f>IF([12]PRIORIZADOS!A158="","",[12]PRIORIZADOS!A158)</f>
        <v>1795</v>
      </c>
      <c r="B1828" s="70">
        <v>17</v>
      </c>
      <c r="C1828" s="11" t="str">
        <f>IFERROR(IF(VLOOKUP(A1828,[12]PRIORIZADOS!$A:$C,3,FALSE)="","",VLOOKUP(A1828,[12]PRIORIZADOS!$A:$C,3,FALSE)),"")</f>
        <v>SAN CRISTÓBAL</v>
      </c>
      <c r="D1828" s="11" t="str">
        <f>IFERROR(IF(VLOOKUP(A1828,[12]PRIORIZADOS!$A:$D,4,FALSE)="","",VLOOKUP(A1828,[12]PRIORIZADOS!$A:$D,4,FALSE)),"")</f>
        <v>PRIVADO</v>
      </c>
      <c r="E1828" s="11" t="str">
        <f>IFERROR(IF(VLOOKUP(A1828,[12]PRIORIZADOS!$A:$E,5,FALSE)="","",VLOOKUP(A1828,[12]PRIORIZADOS!$A:$E,5,FALSE)),"")</f>
        <v>EPBM</v>
      </c>
      <c r="F1828" s="11" t="str">
        <f>IFERROR(IF(VLOOKUP(A1828,[12]PRIORIZADOS!$A:$F,6,FALSE)="","",VLOOKUP(A1828,[12]PRIORIZADOS!$A:$F,6,FALSE)),"")</f>
        <v>LICEO_INFANTIL_NUEVOS_FUNDADORES</v>
      </c>
      <c r="G1828" s="11" t="str">
        <f>IFERROR(IF(VLOOKUP(A1828,[12]PRIORIZADOS!$A:$G,7,FALSE)="","",VLOOKUP(A1828,[12]PRIORIZADOS!$A:$G,7,FALSE)),"")</f>
        <v>LICEO INFANTIL NUEVOS FUNDADORES</v>
      </c>
      <c r="H1828" s="11" t="str">
        <f>IFERROR(IF(VLOOKUP(A1828,[12]PRIORIZADOS!$A:$H,8,FALSE)="","",VLOOKUP(A1828,[12]PRIORIZADOS!$A:$H,8,FALSE)),"")</f>
        <v>Autoevaluación Institucional y Pruebas SABER 11</v>
      </c>
      <c r="I1828" s="11" t="str">
        <f>IFERROR(IF(VLOOKUP(A1828,[12]PRIORIZADOS!$A:$I,9,FALSE)="","",VLOOKUP(A1828,[12]PRIORIZADOS!$A:$I,9,FALSE)),"")</f>
        <v>EVALUACIÓN_CON_FINES_DE_MEJORAMIENTO.</v>
      </c>
      <c r="J1828" s="11" t="str">
        <f>IFERROR(IF(VLOOKUP(A1828,[12]PRIORIZADOS!$A:$J,10,FALSE)="","",VLOOKUP(A1828,[12]PRIORIZADOS!$A:$J,10,FALSE)),"")</f>
        <v>Verificar el funcionamiento del Gobierno Escolar e instancias de participación con base en la información sobre conformación reportada por la institución educativa.</v>
      </c>
      <c r="K1828" s="11" t="str">
        <f>IFERROR(IF(VLOOKUP(A1828,[12]PRIORIZADOS!$A:$K,11,FALSE)="","",VLOOKUP(A1828,[12]PRIORIZADOS!$A:$K,11,FALSE)),"")</f>
        <v>XIMENA CAROLINA RAMÍREZ MORALES</v>
      </c>
      <c r="L1828" s="11" t="str">
        <f>IFERROR(IF(VLOOKUP(A1828,[12]PRIORIZADOS!$A:$L,12,FALSE)="","",VLOOKUP(A1828,[12]PRIORIZADOS!$A:$L,12,FALSE)),"")</f>
        <v>JUANITA LINA CAROLINA RAMÍREZ LÓPEZ</v>
      </c>
      <c r="M1828" s="71">
        <f>IFERROR(IF(VLOOKUP(A1828,[12]PRIORIZADOS!$A:$M,13,FALSE)="","",VLOOKUP(A1828,[12]PRIORIZADOS!$A:$M,13,FALSE)),"")</f>
        <v>45786</v>
      </c>
      <c r="N1828" s="71">
        <f>IFERROR(IF(VLOOKUP(A1828,[12]PRIORIZADOS!$A:$N,14,FALSE)="","",VLOOKUP(A1828,[12]PRIORIZADOS!$A:$N,14,FALSE)),"")</f>
        <v>45786</v>
      </c>
      <c r="O1828" s="71">
        <f>IFERROR(IF(VLOOKUP(A1828,[12]PRIORIZADOS!$A:$O,15,FALSE)="","",VLOOKUP(A1828,[12]PRIORIZADOS!$A:$O,15,FALSE)),"")</f>
        <v>45786</v>
      </c>
      <c r="P1828" s="11" t="str">
        <f>IFERROR(IF(VLOOKUP(A1828,[12]PRIORIZADOS!$A:$P,16,FALSE)="","",VLOOKUP(A1828,[12]PRIORIZADOS!$A:$P,16,FALSE)),"")</f>
        <v>Visitas de evaluación con fines de mejoramiento</v>
      </c>
      <c r="Q1828" s="107" t="s">
        <v>394</v>
      </c>
      <c r="R1828" s="11" t="str">
        <f>IFERROR(IF(VLOOKUP(A1828,[12]PRIORIZADOS!$A:$R,18,FALSE)="","",VLOOKUP(A1828,[12]PRIORIZADOS!$A:$R,18,FALSE)),"")</f>
        <v>Presentan actas oficiales de la SED de conformacion de las diferentes instancias, cumplieron con registro en SAE. Evidencias de campaña y elección de personero. A la fecha no ha sesionado ningun organo</v>
      </c>
      <c r="S1828" s="11" t="str">
        <f>IFERROR(IF(VLOOKUP(A1828,[12]PRIORIZADOS!$A:$S,19,FALSE)="","",VLOOKUP(A1828,[12]PRIORIZADOS!$A:$S,19,FALSE)),"")</f>
        <v>Documentar con Actas las sesiones que se desarrollen</v>
      </c>
      <c r="T1828" s="70" t="str">
        <f>IFERROR(IF(VLOOKUP(A1828,[12]PRIORIZADOS!$A:$T,20,FALSE)="","",VLOOKUP(A1828,[12]PRIORIZADOS!$A:$T,20,FALSE)),"")</f>
        <v>No</v>
      </c>
      <c r="U1828" s="11" t="str">
        <f>IFERROR(IF(VLOOKUP(A1828,[12]PRIORIZADOS!$A:$U,21,FALSE)="","",VLOOKUP(A1828,[12]PRIORIZADOS!$A:$U,21,FALSE)),"")</f>
        <v>Se hará verificación en caso de presentarse requerimiento</v>
      </c>
    </row>
    <row r="1829" spans="1:21" s="1" customFormat="1" ht="72">
      <c r="A1829" s="69">
        <f>IF([12]PRIORIZADOS!A159="","",[12]PRIORIZADOS!A159)</f>
        <v>1796</v>
      </c>
      <c r="B1829" s="70">
        <v>17</v>
      </c>
      <c r="C1829" s="11" t="str">
        <f>IFERROR(IF(VLOOKUP(A1829,[12]PRIORIZADOS!$A:$C,3,FALSE)="","",VLOOKUP(A1829,[12]PRIORIZADOS!$A:$C,3,FALSE)),"")</f>
        <v>SAN CRISTÓBAL</v>
      </c>
      <c r="D1829" s="11" t="str">
        <f>IFERROR(IF(VLOOKUP(A1829,[12]PRIORIZADOS!$A:$D,4,FALSE)="","",VLOOKUP(A1829,[12]PRIORIZADOS!$A:$D,4,FALSE)),"")</f>
        <v>PRIVADO</v>
      </c>
      <c r="E1829" s="11" t="str">
        <f>IFERROR(IF(VLOOKUP(A1829,[12]PRIORIZADOS!$A:$E,5,FALSE)="","",VLOOKUP(A1829,[12]PRIORIZADOS!$A:$E,5,FALSE)),"")</f>
        <v>EPBM</v>
      </c>
      <c r="F1829" s="11" t="str">
        <f>IFERROR(IF(VLOOKUP(A1829,[12]PRIORIZADOS!$A:$F,6,FALSE)="","",VLOOKUP(A1829,[12]PRIORIZADOS!$A:$F,6,FALSE)),"")</f>
        <v>LICEO_INFANTIL_NUEVOS_FUNDADORES</v>
      </c>
      <c r="G1829" s="11" t="str">
        <f>IFERROR(IF(VLOOKUP(A1829,[12]PRIORIZADOS!$A:$G,7,FALSE)="","",VLOOKUP(A1829,[12]PRIORIZADOS!$A:$G,7,FALSE)),"")</f>
        <v>LICEO INFANTIL NUEVOS FUNDADORES</v>
      </c>
      <c r="H1829" s="11" t="str">
        <f>IFERROR(IF(VLOOKUP(A1829,[12]PRIORIZADOS!$A:$H,8,FALSE)="","",VLOOKUP(A1829,[12]PRIORIZADOS!$A:$H,8,FALSE)),"")</f>
        <v>Autoevaluación Institucional y Pruebas SABER 11</v>
      </c>
      <c r="I1829" s="11" t="str">
        <f>IFERROR(IF(VLOOKUP(A1829,[12]PRIORIZADOS!$A:$I,9,FALSE)="","",VLOOKUP(A1829,[12]PRIORIZADOS!$A:$I,9,FALSE)),"")</f>
        <v>EVALUACIÓN_CON_FINES_DE_MEJORAMIENTO.</v>
      </c>
      <c r="J1829" s="11" t="str">
        <f>IFERROR(IF(VLOOKUP(A1829,[12]PRIORIZADOS!$A:$J,10,FALSE)="","",VLOOKUP(A1829,[12]PRIORIZADOS!$A:$J,10,FALSE)),"")</f>
        <v>Verificar las condiciones en cuanto a: la estructura administrativa, condiciones de la planta física y medios educativos adecuados.</v>
      </c>
      <c r="K1829" s="11" t="str">
        <f>IFERROR(IF(VLOOKUP(A1829,[12]PRIORIZADOS!$A:$K,11,FALSE)="","",VLOOKUP(A1829,[12]PRIORIZADOS!$A:$K,11,FALSE)),"")</f>
        <v>XIMENA CAROLINA RAMÍREZ MORALES</v>
      </c>
      <c r="L1829" s="11" t="str">
        <f>IFERROR(IF(VLOOKUP(A1829,[12]PRIORIZADOS!$A:$L,12,FALSE)="","",VLOOKUP(A1829,[12]PRIORIZADOS!$A:$L,12,FALSE)),"")</f>
        <v>JUANITA LINA CAROLINA RAMÍREZ LÓPEZ</v>
      </c>
      <c r="M1829" s="71">
        <f>IFERROR(IF(VLOOKUP(A1829,[12]PRIORIZADOS!$A:$M,13,FALSE)="","",VLOOKUP(A1829,[12]PRIORIZADOS!$A:$M,13,FALSE)),"")</f>
        <v>45786</v>
      </c>
      <c r="N1829" s="71">
        <f>IFERROR(IF(VLOOKUP(A1829,[12]PRIORIZADOS!$A:$N,14,FALSE)="","",VLOOKUP(A1829,[12]PRIORIZADOS!$A:$N,14,FALSE)),"")</f>
        <v>45786</v>
      </c>
      <c r="O1829" s="71">
        <f>IFERROR(IF(VLOOKUP(A1829,[12]PRIORIZADOS!$A:$O,15,FALSE)="","",VLOOKUP(A1829,[12]PRIORIZADOS!$A:$O,15,FALSE)),"")</f>
        <v>45786</v>
      </c>
      <c r="P1829" s="11" t="str">
        <f>IFERROR(IF(VLOOKUP(A1829,[12]PRIORIZADOS!$A:$P,16,FALSE)="","",VLOOKUP(A1829,[12]PRIORIZADOS!$A:$P,16,FALSE)),"")</f>
        <v>Visitas de evaluación con fines de mejoramiento</v>
      </c>
      <c r="Q1829" s="107" t="s">
        <v>394</v>
      </c>
      <c r="R1829" s="11" t="str">
        <f>IFERROR(IF(VLOOKUP(A1829,[12]PRIORIZADOS!$A:$R,18,FALSE)="","",VLOOKUP(A1829,[12]PRIORIZADOS!$A:$R,18,FALSE)),"")</f>
        <v>Se evidencian buenas condiciones de la infraestructura. SEDE PREESCOLAR: Concepto favorable Acta 
SB06 705134 del 3/02/2025
SEDE PRIMARIA: Concepto favorable con
requerimiento SB06 705134 del 3/02/2025</v>
      </c>
      <c r="S1829" s="11" t="str">
        <f>IFERROR(IF(VLOOKUP(A1829,[12]PRIORIZADOS!$A:$S,19,FALSE)="","",VLOOKUP(A1829,[12]PRIORIZADOS!$A:$S,19,FALSE)),"")</f>
        <v xml:space="preserve">La IE informa que subsanó y espera nueva
visita. </v>
      </c>
      <c r="T1829" s="70" t="str">
        <f>IFERROR(IF(VLOOKUP(A1829,[12]PRIORIZADOS!$A:$T,20,FALSE)="","",VLOOKUP(A1829,[12]PRIORIZADOS!$A:$T,20,FALSE)),"")</f>
        <v>No</v>
      </c>
      <c r="U1829" s="11" t="str">
        <f>IFERROR(IF(VLOOKUP(A1829,[12]PRIORIZADOS!$A:$U,21,FALSE)="","",VLOOKUP(A1829,[12]PRIORIZADOS!$A:$U,21,FALSE)),"")</f>
        <v>Se hará verificación en caso de presentarse requerimiento</v>
      </c>
    </row>
    <row r="1830" spans="1:21" s="1" customFormat="1" ht="107.25">
      <c r="A1830" s="69">
        <f>IF([12]PRIORIZADOS!A160="","",[12]PRIORIZADOS!A160)</f>
        <v>1797</v>
      </c>
      <c r="B1830" s="70">
        <v>18</v>
      </c>
      <c r="C1830" s="11" t="str">
        <f>IFERROR(IF(VLOOKUP(A1830,[12]PRIORIZADOS!$A:$C,3,FALSE)="","",VLOOKUP(A1830,[12]PRIORIZADOS!$A:$C,3,FALSE)),"")</f>
        <v>SAN CRISTÓBAL</v>
      </c>
      <c r="D1830" s="11" t="str">
        <f>IFERROR(IF(VLOOKUP(A1830,[12]PRIORIZADOS!$A:$D,4,FALSE)="","",VLOOKUP(A1830,[12]PRIORIZADOS!$A:$D,4,FALSE)),"")</f>
        <v>PRIVADO_IETDH</v>
      </c>
      <c r="E1830" s="11" t="str">
        <f>IFERROR(IF(VLOOKUP(A1830,[12]PRIORIZADOS!$A:$E,5,FALSE)="","",VLOOKUP(A1830,[12]PRIORIZADOS!$A:$E,5,FALSE)),"")</f>
        <v>IETDH</v>
      </c>
      <c r="F1830" s="11" t="str">
        <f>IFERROR(IF(VLOOKUP(A1830,[12]PRIORIZADOS!$A:$F,6,FALSE)="","",VLOOKUP(A1830,[12]PRIORIZADOS!$A:$F,6,FALSE)),"")</f>
        <v>CENTRO_DE_TECNICAS_MODERNAS_FRANCIS_COLLINS</v>
      </c>
      <c r="G1830" s="11" t="str">
        <f>IFERROR(IF(VLOOKUP(A1830,[12]PRIORIZADOS!$A:$G,7,FALSE)="","",VLOOKUP(A1830,[12]PRIORIZADOS!$A:$G,7,FALSE)),"")</f>
        <v>CENTRO DE TECNICAS MODERNAS FRANCIS COLLINS</v>
      </c>
      <c r="H1830" s="11" t="str">
        <f>IFERROR(IF(VLOOKUP(A1830,[12]PRIORIZADOS!$A:$H,8,FALSE)="","",VLOOKUP(A1830,[12]PRIORIZADOS!$A:$H,8,FALSE)),"")</f>
        <v>IETDH priorizadas por cada ELIV (seguimiento a PMI, que no se hayan visitado en los últimos 3 años)</v>
      </c>
      <c r="I1830" s="11" t="str">
        <f>IFERROR(IF(VLOOKUP(A1830,[12]PRIORIZADOS!$A:$I,9,FALSE)="","",VLOOKUP(A1830,[12]PRIORIZADOS!$A:$I,9,FALSE)),"")</f>
        <v>SEGUIMIENTO_Y_SUPERVISIÓN.</v>
      </c>
      <c r="J1830" s="11" t="str">
        <f>IFERROR(IF(VLOOKUP(A1830,[12]PRIORIZADOS!$A:$J,10,FALSE)="","",VLOOKUP(A1830,[12]PRIORIZADOS!$A:$J,10,FALSE)),"")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830" s="11" t="str">
        <f>IFERROR(IF(VLOOKUP(A1830,[12]PRIORIZADOS!$A:$K,11,FALSE)="","",VLOOKUP(A1830,[12]PRIORIZADOS!$A:$K,11,FALSE)),"")</f>
        <v>JOSÉ ASDRUBAL PÉREZ GIRALDO</v>
      </c>
      <c r="L1830" s="11" t="str">
        <f>IFERROR(IF(VLOOKUP(A1830,[12]PRIORIZADOS!$A:$L,12,FALSE)="","",VLOOKUP(A1830,[12]PRIORIZADOS!$A:$L,12,FALSE)),"")</f>
        <v>JAIRO ANDRÉS ÁLVAREZ CHÁVEZ</v>
      </c>
      <c r="M1830" s="71">
        <f>IFERROR(IF(VLOOKUP(A1830,[12]PRIORIZADOS!$A:$M,13,FALSE)="","",VLOOKUP(A1830,[12]PRIORIZADOS!$A:$M,13,FALSE)),"")</f>
        <v>45731</v>
      </c>
      <c r="N1830" s="71">
        <f>IFERROR(IF(VLOOKUP(A1830,[12]PRIORIZADOS!$A:$N,14,FALSE)="","",VLOOKUP(A1830,[12]PRIORIZADOS!$A:$N,14,FALSE)),"")</f>
        <v>45731</v>
      </c>
      <c r="O1830" s="71">
        <f>IFERROR(IF(VLOOKUP(A1830,[12]PRIORIZADOS!$A:$O,15,FALSE)="","",VLOOKUP(A1830,[12]PRIORIZADOS!$A:$O,15,FALSE)),"")</f>
        <v>45731</v>
      </c>
      <c r="P1830" s="11" t="str">
        <f>IFERROR(IF(VLOOKUP(A1830,[12]PRIORIZADOS!$A:$P,16,FALSE)="","",VLOOKUP(A1830,[12]PRIORIZADOS!$A:$P,16,FALSE)),"")</f>
        <v>Visitas de evaluación con fines de seguimiento</v>
      </c>
      <c r="Q1830" s="107" t="s">
        <v>395</v>
      </c>
      <c r="R1830" s="11" t="str">
        <f>IFERROR(IF(VLOOKUP(A1830,[12]PRIORIZADOS!$A:$R,18,FALSE)="","",VLOOKUP(A1830,[12]PRIORIZADOS!$A:$R,18,FALSE)),"")</f>
        <v>Una vez revisado el SIET del MEN, se encuentra: que la vigencia 2023 y 2024 no han registrado estudiantes matriculados ni certificados, tampoco la actualizacion de los costos educativos. Se verifica la información en los registros institucionales (Excel Palatforma Q10)</v>
      </c>
      <c r="S1830" s="11" t="str">
        <f>IFERROR(IF(VLOOKUP(A1830,[12]PRIORIZADOS!$A:$S,19,FALSE)="","",VLOOKUP(A1830,[12]PRIORIZADOS!$A:$S,19,FALSE)),"")</f>
        <v>Se hace la observación a la IETDH de la necesidad de mantener al día los sistemas de información, es decir, fortalecer la gestión administrativa.
Se solicita que la IETDH actualice la información de matriculados, certificados y costos en el SIET con un plazo máximo del 4/04/2025 y remitir correo con las evidencias.</v>
      </c>
      <c r="T1830" s="70" t="str">
        <f>IFERROR(IF(VLOOKUP(A1830,[12]PRIORIZADOS!$A:$T,20,FALSE)="","",VLOOKUP(A1830,[12]PRIORIZADOS!$A:$T,20,FALSE)),"")</f>
        <v>Si</v>
      </c>
      <c r="U1830" s="11" t="str">
        <f>IFERROR(IF(VLOOKUP(A1830,[12]PRIORIZADOS!$A:$U,21,FALSE)="","",VLOOKUP(A1830,[12]PRIORIZADOS!$A:$U,21,FALSE)),"")</f>
        <v>Verificación del registro de la información en el SIET.
Se realizó encuentro  el 26/09/2025 con el fin de hacer seguimiento a los acuerdos establecidos en la Visita Administrativa del 15/03/2025. Se acordó Definir lo referente a los programas que no cuentan con matrícula. Remitir formato con la explicación del estado actual de los estudiantes. Remitir contrato con la especificación de costos y hora del programa. Fecha 15/10/2025". La IE remitió lo acordado.</v>
      </c>
    </row>
    <row r="1831" spans="1:21" s="1" customFormat="1" ht="130.5">
      <c r="A1831" s="69">
        <f>IF([12]PRIORIZADOS!A161="","",[12]PRIORIZADOS!A161)</f>
        <v>1798</v>
      </c>
      <c r="B1831" s="70">
        <v>18</v>
      </c>
      <c r="C1831" s="11" t="str">
        <f>IFERROR(IF(VLOOKUP(A1831,[12]PRIORIZADOS!$A:$C,3,FALSE)="","",VLOOKUP(A1831,[12]PRIORIZADOS!$A:$C,3,FALSE)),"")</f>
        <v>SAN CRISTÓBAL</v>
      </c>
      <c r="D1831" s="11" t="str">
        <f>IFERROR(IF(VLOOKUP(A1831,[12]PRIORIZADOS!$A:$D,4,FALSE)="","",VLOOKUP(A1831,[12]PRIORIZADOS!$A:$D,4,FALSE)),"")</f>
        <v>PRIVADO_IETDH</v>
      </c>
      <c r="E1831" s="11" t="str">
        <f>IFERROR(IF(VLOOKUP(A1831,[12]PRIORIZADOS!$A:$E,5,FALSE)="","",VLOOKUP(A1831,[12]PRIORIZADOS!$A:$E,5,FALSE)),"")</f>
        <v>IETDH</v>
      </c>
      <c r="F1831" s="11" t="str">
        <f>IFERROR(IF(VLOOKUP(A1831,[12]PRIORIZADOS!$A:$F,6,FALSE)="","",VLOOKUP(A1831,[12]PRIORIZADOS!$A:$F,6,FALSE)),"")</f>
        <v>CENTRO_DE_TECNICAS_MODERNAS_FRANCIS_COLLINS</v>
      </c>
      <c r="G1831" s="11" t="str">
        <f>IFERROR(IF(VLOOKUP(A1831,[12]PRIORIZADOS!$A:$G,7,FALSE)="","",VLOOKUP(A1831,[12]PRIORIZADOS!$A:$G,7,FALSE)),"")</f>
        <v>CENTRO DE TECNICAS MODERNAS FRANCIS COLLINS</v>
      </c>
      <c r="H1831" s="11" t="str">
        <f>IFERROR(IF(VLOOKUP(A1831,[12]PRIORIZADOS!$A:$H,8,FALSE)="","",VLOOKUP(A1831,[12]PRIORIZADOS!$A:$H,8,FALSE)),"")</f>
        <v>IETDH priorizadas por cada ELIV (seguimiento a PMI, que no se hayan visitado en los últimos 3 años)</v>
      </c>
      <c r="I1831" s="11" t="str">
        <f>IFERROR(IF(VLOOKUP(A1831,[12]PRIORIZADOS!$A:$I,9,FALSE)="","",VLOOKUP(A1831,[12]PRIORIZADOS!$A:$I,9,FALSE)),"")</f>
        <v>SEGUIMIENTO_Y_SUPERVISIÓN.</v>
      </c>
      <c r="J1831" s="11" t="str">
        <f>IFERROR(IF(VLOOKUP(A1831,[12]PRIORIZADOS!$A:$J,10,FALSE)="","",VLOOKUP(A1831,[12]PRIORIZADOS!$A:$J,10,FALSE)),"")</f>
        <v>Adelantar visitas para verificar que el desarrollo de los programas de ETDH, esté de acuerdo con lo autorizado y la normatividad vigente, para propender por su pertinencia, legalidad y actualización constante.</v>
      </c>
      <c r="K1831" s="11" t="str">
        <f>IFERROR(IF(VLOOKUP(A1831,[12]PRIORIZADOS!$A:$K,11,FALSE)="","",VLOOKUP(A1831,[12]PRIORIZADOS!$A:$K,11,FALSE)),"")</f>
        <v>JOSÉ ASDRUBAL PÉREZ GIRALDO</v>
      </c>
      <c r="L1831" s="11" t="str">
        <f>IFERROR(IF(VLOOKUP(A1831,[12]PRIORIZADOS!$A:$L,12,FALSE)="","",VLOOKUP(A1831,[12]PRIORIZADOS!$A:$L,12,FALSE)),"")</f>
        <v>JAIRO ANDRÉS ÁLVAREZ CHÁVEZ</v>
      </c>
      <c r="M1831" s="71">
        <f>IFERROR(IF(VLOOKUP(A1831,[12]PRIORIZADOS!$A:$M,13,FALSE)="","",VLOOKUP(A1831,[12]PRIORIZADOS!$A:$M,13,FALSE)),"")</f>
        <v>45731</v>
      </c>
      <c r="N1831" s="71">
        <f>IFERROR(IF(VLOOKUP(A1831,[12]PRIORIZADOS!$A:$N,14,FALSE)="","",VLOOKUP(A1831,[12]PRIORIZADOS!$A:$N,14,FALSE)),"")</f>
        <v>45731</v>
      </c>
      <c r="O1831" s="71" t="str">
        <f>IFERROR(IF(VLOOKUP(A1831,[12]PRIORIZADOS!$A:$O,15,FALSE)="","",VLOOKUP(A1831,[12]PRIORIZADOS!$A:$O,15,FALSE)),"")</f>
        <v/>
      </c>
      <c r="P1831" s="11" t="str">
        <f>IFERROR(IF(VLOOKUP(A1831,[12]PRIORIZADOS!$A:$P,16,FALSE)="","",VLOOKUP(A1831,[12]PRIORIZADOS!$A:$P,16,FALSE)),"")</f>
        <v>Visitas de evaluación con fines de seguimiento</v>
      </c>
      <c r="Q1831" s="107" t="s">
        <v>395</v>
      </c>
      <c r="R1831" s="11" t="str">
        <f>IFERROR(IF(VLOOKUP(A1831,[12]PRIORIZADOS!$A:$R,18,FALSE)="","",VLOOKUP(A1831,[12]PRIORIZADOS!$A:$R,18,FALSE)),"")</f>
        <v>Actualmente la institución está impartiendo los programas TÉCNICO LABORAL EN ASISTENCIA DE PRIMERA INFANCIA y TÉCNICO LABORAL EN CUIDADO ESTETICO DE MANOS Y PIES de acuerdo con los registrado en los actos administrativos de registro en lo concerniente a las jornadas, costos y contenidos curriculares.</v>
      </c>
      <c r="S1831" s="11" t="str">
        <f>IFERROR(IF(VLOOKUP(A1831,[12]PRIORIZADOS!$A:$S,19,FALSE)="","",VLOOKUP(A1831,[12]PRIORIZADOS!$A:$S,19,FALSE)),"")</f>
        <v xml:space="preserve">Se solicita a la Institución fortalecer la organización administrativa y pedagógica, tener al día los sistemas de información, e implementar estrategias para aumento de la matricula, el cobro de cartera morosa (que indican que es alta) y la exigencia académica. También se hace la observación de establecer convenios escritos con Instituciones o empresas para los procesos de practica de los estudiantes y hacer la afiliación a ARL de los mismos. </v>
      </c>
      <c r="T1831" s="70" t="str">
        <f>IFERROR(IF(VLOOKUP(A1831,[12]PRIORIZADOS!$A:$T,20,FALSE)="","",VLOOKUP(A1831,[12]PRIORIZADOS!$A:$T,20,FALSE)),"")</f>
        <v>Si</v>
      </c>
      <c r="U1831" s="11" t="str">
        <f>IFERROR(IF(VLOOKUP(A1831,[12]PRIORIZADOS!$A:$U,21,FALSE)="","",VLOOKUP(A1831,[12]PRIORIZADOS!$A:$U,21,FALSE)),"")</f>
        <v>Hacer seguimiento al avance en los compromisos establecidos.
Se realizó encuentro  el 26/09/2025 con el fin de hacer seguimiento a los acuerdos establecidos en la Visita Administrativa del 15/03/2025. Se acordó Definir lo referente a los programas que no cuentan con matrícula. Remitir formato con la explicación del estado actual de los estudiantes. Remitir contrato con la especificación de costos y hora del programa. Fecha 15/10/2025. La IE remitió lo acordado</v>
      </c>
    </row>
    <row r="1832" spans="1:21" s="1" customFormat="1" ht="118.5">
      <c r="A1832" s="69">
        <f>IF([12]PRIORIZADOS!A162="","",[12]PRIORIZADOS!A162)</f>
        <v>1799</v>
      </c>
      <c r="B1832" s="70">
        <v>18</v>
      </c>
      <c r="C1832" s="11" t="str">
        <f>IFERROR(IF(VLOOKUP(A1832,[12]PRIORIZADOS!$A:$C,3,FALSE)="","",VLOOKUP(A1832,[12]PRIORIZADOS!$A:$C,3,FALSE)),"")</f>
        <v>SAN CRISTÓBAL</v>
      </c>
      <c r="D1832" s="11" t="str">
        <f>IFERROR(IF(VLOOKUP(A1832,[12]PRIORIZADOS!$A:$D,4,FALSE)="","",VLOOKUP(A1832,[12]PRIORIZADOS!$A:$D,4,FALSE)),"")</f>
        <v>PRIVADO_IETDH</v>
      </c>
      <c r="E1832" s="11" t="str">
        <f>IFERROR(IF(VLOOKUP(A1832,[12]PRIORIZADOS!$A:$E,5,FALSE)="","",VLOOKUP(A1832,[12]PRIORIZADOS!$A:$E,5,FALSE)),"")</f>
        <v>IETDH</v>
      </c>
      <c r="F1832" s="11" t="str">
        <f>IFERROR(IF(VLOOKUP(A1832,[12]PRIORIZADOS!$A:$F,6,FALSE)="","",VLOOKUP(A1832,[12]PRIORIZADOS!$A:$F,6,FALSE)),"")</f>
        <v>CENTRO_DE_TECNICAS_MODERNAS_FRANCIS_COLLINS</v>
      </c>
      <c r="G1832" s="11" t="str">
        <f>IFERROR(IF(VLOOKUP(A1832,[12]PRIORIZADOS!$A:$G,7,FALSE)="","",VLOOKUP(A1832,[12]PRIORIZADOS!$A:$G,7,FALSE)),"")</f>
        <v>CENTRO DE TECNICAS MODERNAS FRANCIS COLLINS</v>
      </c>
      <c r="H1832" s="11" t="str">
        <f>IFERROR(IF(VLOOKUP(A1832,[12]PRIORIZADOS!$A:$H,8,FALSE)="","",VLOOKUP(A1832,[12]PRIORIZADOS!$A:$H,8,FALSE)),"")</f>
        <v>IETDH priorizadas por cada ELIV (seguimiento a PMI, que no se hayan visitado en los últimos 3 años)</v>
      </c>
      <c r="I1832" s="11" t="str">
        <f>IFERROR(IF(VLOOKUP(A1832,[12]PRIORIZADOS!$A:$I,9,FALSE)="","",VLOOKUP(A1832,[12]PRIORIZADOS!$A:$I,9,FALSE)),"")</f>
        <v>EVALUACIÓN_CON_FINES_DE_MEJORAMIENTO.</v>
      </c>
      <c r="J1832" s="11" t="str">
        <f>IFERROR(IF(VLOOKUP(A1832,[12]PRIORIZADOS!$A:$J,10,FALSE)="","",VLOOKUP(A1832,[12]PRIORIZADOS!$A:$J,10,FALSE)),"")</f>
        <v>Verificar las condiciones en cuanto a: la estructura administrativa, condiciones de la planta física y medios educativos adecuados.</v>
      </c>
      <c r="K1832" s="11" t="str">
        <f>IFERROR(IF(VLOOKUP(A1832,[12]PRIORIZADOS!$A:$K,11,FALSE)="","",VLOOKUP(A1832,[12]PRIORIZADOS!$A:$K,11,FALSE)),"")</f>
        <v>JOSÉ ASDRUBAL PÉREZ GIRALDO</v>
      </c>
      <c r="L1832" s="11" t="str">
        <f>IFERROR(IF(VLOOKUP(A1832,[12]PRIORIZADOS!$A:$L,12,FALSE)="","",VLOOKUP(A1832,[12]PRIORIZADOS!$A:$L,12,FALSE)),"")</f>
        <v>JAIRO ANDRÉS ÁLVAREZ CHÁVEZ</v>
      </c>
      <c r="M1832" s="71">
        <f>IFERROR(IF(VLOOKUP(A1832,[12]PRIORIZADOS!$A:$M,13,FALSE)="","",VLOOKUP(A1832,[12]PRIORIZADOS!$A:$M,13,FALSE)),"")</f>
        <v>45731</v>
      </c>
      <c r="N1832" s="71">
        <f>IFERROR(IF(VLOOKUP(A1832,[12]PRIORIZADOS!$A:$N,14,FALSE)="","",VLOOKUP(A1832,[12]PRIORIZADOS!$A:$N,14,FALSE)),"")</f>
        <v>45731</v>
      </c>
      <c r="O1832" s="71">
        <f>IFERROR(IF(VLOOKUP(A1832,[12]PRIORIZADOS!$A:$O,15,FALSE)="","",VLOOKUP(A1832,[12]PRIORIZADOS!$A:$O,15,FALSE)),"")</f>
        <v>45731</v>
      </c>
      <c r="P1832" s="11" t="str">
        <f>IFERROR(IF(VLOOKUP(A1832,[12]PRIORIZADOS!$A:$P,16,FALSE)="","",VLOOKUP(A1832,[12]PRIORIZADOS!$A:$P,16,FALSE)),"")</f>
        <v>Visitas de evaluación con fines de seguimiento</v>
      </c>
      <c r="Q1832" s="107" t="s">
        <v>395</v>
      </c>
      <c r="R1832" s="11" t="str">
        <f>IFERROR(IF(VLOOKUP(A1832,[12]PRIORIZADOS!$A:$R,18,FALSE)="","",VLOOKUP(A1832,[12]PRIORIZADOS!$A:$R,18,FALSE)),"")</f>
        <v xml:space="preserve">Se verifica acta de visita de la Secretaría de Salud N° SB06E – 705166 del 14/02/2025, la cual tiene concepto favorable con requerimiento, registra subsanación de observaciones anteriores y le dejan nuevas observaciones por mantenimiento de pared de cuarto de aseo, reemplazar cerámica de piso de escalón (puerta de salón 4), limpieza de puerta de acceso y residuos acumulados. </v>
      </c>
      <c r="S1832" s="11" t="str">
        <f>IFERROR(IF(VLOOKUP(A1832,[12]PRIORIZADOS!$A:$S,19,FALSE)="","",VLOOKUP(A1832,[12]PRIORIZADOS!$A:$S,19,FALSE)),"")</f>
        <v>En el recorrido se verifica el cumplimiento de los requerimientos.</v>
      </c>
      <c r="T1832" s="70" t="str">
        <f>IFERROR(IF(VLOOKUP(A1832,[12]PRIORIZADOS!$A:$T,20,FALSE)="","",VLOOKUP(A1832,[12]PRIORIZADOS!$A:$T,20,FALSE)),"")</f>
        <v>No</v>
      </c>
      <c r="U1832" s="11" t="str">
        <f>IFERROR(IF(VLOOKUP(A1832,[12]PRIORIZADOS!$A:$U,21,FALSE)="","",VLOOKUP(A1832,[12]PRIORIZADOS!$A:$U,21,FALSE)),"")</f>
        <v>Se le indica a la IE mantener el cumplimiento de las recomendaciones dadas por la Secretaria de Salud</v>
      </c>
    </row>
    <row r="1833" spans="1:21" s="1" customFormat="1" ht="84">
      <c r="A1833" s="69">
        <f>IF([12]PRIORIZADOS!A163="","",[12]PRIORIZADOS!A163)</f>
        <v>1800</v>
      </c>
      <c r="B1833" s="70">
        <f>IFERROR(IF(VLOOKUP(A1833,[12]PRIORIZADOS!$A:$B,2,FALSE)="","",VLOOKUP(A1833,[12]PRIORIZADOS!$A:$B,2,FALSE)),"")</f>
        <v>19</v>
      </c>
      <c r="C1833" s="11" t="str">
        <f>IFERROR(IF(VLOOKUP(A1833,[12]PRIORIZADOS!$A:$C,3,FALSE)="","",VLOOKUP(A1833,[12]PRIORIZADOS!$A:$C,3,FALSE)),"")</f>
        <v>SAN CRISTÓBAL</v>
      </c>
      <c r="D1833" s="11" t="str">
        <f>IFERROR(IF(VLOOKUP(A1833,[12]PRIORIZADOS!$A:$D,4,FALSE)="","",VLOOKUP(A1833,[12]PRIORIZADOS!$A:$D,4,FALSE)),"")</f>
        <v>PRIVADO_IETDH</v>
      </c>
      <c r="E1833" s="11" t="str">
        <f>IFERROR(IF(VLOOKUP(A1833,[12]PRIORIZADOS!$A:$E,5,FALSE)="","",VLOOKUP(A1833,[12]PRIORIZADOS!$A:$E,5,FALSE)),"")</f>
        <v>IETDH</v>
      </c>
      <c r="F1833" s="11" t="str">
        <f>IFERROR(IF(VLOOKUP(A1833,[12]PRIORIZADOS!$A:$F,6,FALSE)="","",VLOOKUP(A1833,[12]PRIORIZADOS!$A:$F,6,FALSE)),"")</f>
        <v>FUNDACIÓN_PARA_LA_VIDA_FUNDESCO_</v>
      </c>
      <c r="G1833" s="11" t="str">
        <f>IFERROR(IF(VLOOKUP(A1833,[12]PRIORIZADOS!$A:$G,7,FALSE)="","",VLOOKUP(A1833,[12]PRIORIZADOS!$A:$G,7,FALSE)),"")</f>
        <v xml:space="preserve">FUNDACIÓN PARA LA VIDA FUNDESCO </v>
      </c>
      <c r="H1833" s="11" t="str">
        <f>IFERROR(IF(VLOOKUP(A1833,[12]PRIORIZADOS!$A:$H,8,FALSE)="","",VLOOKUP(A1833,[12]PRIORIZADOS!$A:$H,8,FALSE)),"")</f>
        <v>IETDH priorizadas por cada ELIV (seguimiento a PMI, que no se hayan visitado en los últimos 3 años)</v>
      </c>
      <c r="I1833" s="11" t="str">
        <f>IFERROR(IF(VLOOKUP(A1833,[12]PRIORIZADOS!$A:$I,9,FALSE)="","",VLOOKUP(A1833,[12]PRIORIZADOS!$A:$I,9,FALSE)),"")</f>
        <v>SEGUIMIENTO_Y_SUPERVISIÓN.</v>
      </c>
      <c r="J1833" s="11" t="str">
        <f>IFERROR(IF(VLOOKUP(A1833,[12]PRIORIZADOS!$A:$J,10,FALSE)="","",VLOOKUP(A1833,[12]PRIORIZADOS!$A:$J,10,FALSE)),"")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833" s="11" t="str">
        <f>IFERROR(IF(VLOOKUP(A1833,[12]PRIORIZADOS!$A:$K,11,FALSE)="","",VLOOKUP(A1833,[12]PRIORIZADOS!$A:$K,11,FALSE)),"")</f>
        <v>JAIRO ANDRÉS ÁLVAREZ CHÁVEZ</v>
      </c>
      <c r="L1833" s="11" t="str">
        <f>IFERROR(IF(VLOOKUP(A1833,[12]PRIORIZADOS!$A:$L,12,FALSE)="","",VLOOKUP(A1833,[12]PRIORIZADOS!$A:$L,12,FALSE)),"")</f>
        <v>JOSÉ ASDRUBAL PÉREZ GIRALDO</v>
      </c>
      <c r="M1833" s="71">
        <f>IFERROR(IF(VLOOKUP(A1833,[12]PRIORIZADOS!$A:$M,13,FALSE)="","",VLOOKUP(A1833,[12]PRIORIZADOS!$A:$M,13,FALSE)),"")</f>
        <v>45744</v>
      </c>
      <c r="N1833" s="71">
        <f>IFERROR(IF(VLOOKUP(A1833,[12]PRIORIZADOS!$A:$N,14,FALSE)="","",VLOOKUP(A1833,[12]PRIORIZADOS!$A:$N,14,FALSE)),"")</f>
        <v>45750</v>
      </c>
      <c r="O1833" s="71">
        <f>IFERROR(IF(VLOOKUP(A1833,[12]PRIORIZADOS!$A:$O,15,FALSE)="","",VLOOKUP(A1833,[12]PRIORIZADOS!$A:$O,15,FALSE)),"")</f>
        <v>45750</v>
      </c>
      <c r="P1833" s="11" t="str">
        <f>IFERROR(IF(VLOOKUP(A1833,[12]PRIORIZADOS!$A:$P,16,FALSE)="","",VLOOKUP(A1833,[12]PRIORIZADOS!$A:$P,16,FALSE)),"")</f>
        <v>Visitas de evaluación con fines de seguimiento</v>
      </c>
      <c r="Q1833" s="107" t="s">
        <v>396</v>
      </c>
      <c r="R1833" s="11" t="str">
        <f>IFERROR(IF(VLOOKUP(A1833,[12]PRIORIZADOS!$A:$R,18,FALSE)="","",VLOOKUP(A1833,[12]PRIORIZADOS!$A:$R,18,FALSE)),"")</f>
        <v>Revisado el SIET del MEN se encuentra que no han registrado estudiantes.</v>
      </c>
      <c r="S1833" s="11" t="str">
        <f>IFERROR(IF(VLOOKUP(A1833,[12]PRIORIZADOS!$A:$S,19,FALSE)="","",VLOOKUP(A1833,[12]PRIORIZADOS!$A:$S,19,FALSE)),"")</f>
        <v>Actualizar registro de matrículas en el SIET.</v>
      </c>
      <c r="T1833" s="70" t="str">
        <f>IFERROR(IF(VLOOKUP(A1833,[12]PRIORIZADOS!$A:$T,20,FALSE)="","",VLOOKUP(A1833,[12]PRIORIZADOS!$A:$T,20,FALSE)),"")</f>
        <v>Si</v>
      </c>
      <c r="U1833" s="11" t="str">
        <f>IFERROR(IF(VLOOKUP(A1833,[12]PRIORIZADOS!$A:$U,21,FALSE)="","",VLOOKUP(A1833,[12]PRIORIZADOS!$A:$U,21,FALSE)),"")</f>
        <v>Remitir evidencia de la actualización. Se realizó encuentro de seguimiento el 07 de noviembre y 
Se constatan las acciones realizadas en el marco del plan de mejoramiento .</v>
      </c>
    </row>
    <row r="1834" spans="1:21" s="1" customFormat="1" ht="48">
      <c r="A1834" s="69">
        <f>IF([12]PRIORIZADOS!A164="","",[12]PRIORIZADOS!A164)</f>
        <v>1801</v>
      </c>
      <c r="B1834" s="70">
        <v>19</v>
      </c>
      <c r="C1834" s="11" t="str">
        <f>IFERROR(IF(VLOOKUP(A1834,[12]PRIORIZADOS!$A:$C,3,FALSE)="","",VLOOKUP(A1834,[12]PRIORIZADOS!$A:$C,3,FALSE)),"")</f>
        <v>SAN CRISTÓBAL</v>
      </c>
      <c r="D1834" s="11" t="str">
        <f>IFERROR(IF(VLOOKUP(A1834,[12]PRIORIZADOS!$A:$D,4,FALSE)="","",VLOOKUP(A1834,[12]PRIORIZADOS!$A:$D,4,FALSE)),"")</f>
        <v>PRIVADO_IETDH</v>
      </c>
      <c r="E1834" s="11" t="str">
        <f>IFERROR(IF(VLOOKUP(A1834,[12]PRIORIZADOS!$A:$E,5,FALSE)="","",VLOOKUP(A1834,[12]PRIORIZADOS!$A:$E,5,FALSE)),"")</f>
        <v>IETDH</v>
      </c>
      <c r="F1834" s="11" t="str">
        <f>IFERROR(IF(VLOOKUP(A1834,[12]PRIORIZADOS!$A:$F,6,FALSE)="","",VLOOKUP(A1834,[12]PRIORIZADOS!$A:$F,6,FALSE)),"")</f>
        <v>FUNDACIÓN_PARA_LA_VIDA_FUNDESCO_</v>
      </c>
      <c r="G1834" s="11" t="str">
        <f>IFERROR(IF(VLOOKUP(A1834,[12]PRIORIZADOS!$A:$G,7,FALSE)="","",VLOOKUP(A1834,[12]PRIORIZADOS!$A:$G,7,FALSE)),"")</f>
        <v xml:space="preserve">FUNDACIÓN PARA LA VIDA FUNDESCO </v>
      </c>
      <c r="H1834" s="11" t="str">
        <f>IFERROR(IF(VLOOKUP(A1834,[12]PRIORIZADOS!$A:$H,8,FALSE)="","",VLOOKUP(A1834,[12]PRIORIZADOS!$A:$H,8,FALSE)),"")</f>
        <v>IETDH priorizadas por cada ELIV (seguimiento a PMI, que no se hayan visitado en los últimos 3 años)</v>
      </c>
      <c r="I1834" s="11" t="str">
        <f>IFERROR(IF(VLOOKUP(A1834,[12]PRIORIZADOS!$A:$I,9,FALSE)="","",VLOOKUP(A1834,[12]PRIORIZADOS!$A:$I,9,FALSE)),"")</f>
        <v>SEGUIMIENTO_Y_SUPERVISIÓN.</v>
      </c>
      <c r="J1834" s="11" t="str">
        <f>IFERROR(IF(VLOOKUP(A1834,[12]PRIORIZADOS!$A:$J,10,FALSE)="","",VLOOKUP(A1834,[12]PRIORIZADOS!$A:$J,10,FALSE)),"")</f>
        <v>Adelantar visitas para verificar que el desarrollo de los programas de ETDH, esté de acuerdo con lo autorizado y la normatividad vigente, para propender por su pertinencia, legalidad y actualización constante.</v>
      </c>
      <c r="K1834" s="11" t="str">
        <f>IFERROR(IF(VLOOKUP(A1834,[12]PRIORIZADOS!$A:$K,11,FALSE)="","",VLOOKUP(A1834,[12]PRIORIZADOS!$A:$K,11,FALSE)),"")</f>
        <v>JAIRO ANDRÉS ÁLVAREZ CHÁVEZ</v>
      </c>
      <c r="L1834" s="11" t="str">
        <f>IFERROR(IF(VLOOKUP(A1834,[12]PRIORIZADOS!$A:$L,12,FALSE)="","",VLOOKUP(A1834,[12]PRIORIZADOS!$A:$L,12,FALSE)),"")</f>
        <v>JOSÉ ASDRUBAL PÉREZ GIRALDO</v>
      </c>
      <c r="M1834" s="71">
        <f>IFERROR(IF(VLOOKUP(A1834,[12]PRIORIZADOS!$A:$M,13,FALSE)="","",VLOOKUP(A1834,[12]PRIORIZADOS!$A:$M,13,FALSE)),"")</f>
        <v>45744</v>
      </c>
      <c r="N1834" s="71">
        <f>IFERROR(IF(VLOOKUP(A1834,[12]PRIORIZADOS!$A:$N,14,FALSE)="","",VLOOKUP(A1834,[12]PRIORIZADOS!$A:$N,14,FALSE)),"")</f>
        <v>45750</v>
      </c>
      <c r="O1834" s="71">
        <f>IFERROR(IF(VLOOKUP(A1834,[12]PRIORIZADOS!$A:$O,15,FALSE)="","",VLOOKUP(A1834,[12]PRIORIZADOS!$A:$O,15,FALSE)),"")</f>
        <v>45750</v>
      </c>
      <c r="P1834" s="11" t="str">
        <f>IFERROR(IF(VLOOKUP(A1834,[12]PRIORIZADOS!$A:$P,16,FALSE)="","",VLOOKUP(A1834,[12]PRIORIZADOS!$A:$P,16,FALSE)),"")</f>
        <v>Visitas de evaluación con fines de seguimiento</v>
      </c>
      <c r="Q1834" s="107" t="s">
        <v>396</v>
      </c>
      <c r="R1834" s="11" t="str">
        <f>IFERROR(IF(VLOOKUP(A1834,[12]PRIORIZADOS!$A:$R,18,FALSE)="","",VLOOKUP(A1834,[12]PRIORIZADOS!$A:$R,18,FALSE)),"")</f>
        <v xml:space="preserve">Se constató de PEI, principios, fundamentos y propósitos. </v>
      </c>
      <c r="S1834" s="11" t="str">
        <f>IFERROR(IF(VLOOKUP(A1834,[12]PRIORIZADOS!$A:$S,19,FALSE)="","",VLOOKUP(A1834,[12]PRIORIZADOS!$A:$S,19,FALSE)),"")</f>
        <v>La IE está impartiendo los programas de acuerdo con los actos administrativos en lo concerniente a las jornadas, costos y contenidos curriculares.</v>
      </c>
      <c r="T1834" s="70" t="str">
        <f>IFERROR(IF(VLOOKUP(A1834,[12]PRIORIZADOS!$A:$T,20,FALSE)="","",VLOOKUP(A1834,[12]PRIORIZADOS!$A:$T,20,FALSE)),"")</f>
        <v>No</v>
      </c>
      <c r="U1834" s="11" t="str">
        <f>IFERROR(IF(VLOOKUP(A1834,[12]PRIORIZADOS!$A:$U,21,FALSE)="","",VLOOKUP(A1834,[12]PRIORIZADOS!$A:$U,21,FALSE)),"")</f>
        <v>Se hará verificación en caso de presentarse requerimiento</v>
      </c>
    </row>
    <row r="1835" spans="1:21" s="1" customFormat="1" ht="72">
      <c r="A1835" s="69">
        <f>IF([12]PRIORIZADOS!A165="","",[12]PRIORIZADOS!A165)</f>
        <v>1802</v>
      </c>
      <c r="B1835" s="70">
        <v>19</v>
      </c>
      <c r="C1835" s="11" t="str">
        <f>IFERROR(IF(VLOOKUP(A1835,[12]PRIORIZADOS!$A:$C,3,FALSE)="","",VLOOKUP(A1835,[12]PRIORIZADOS!$A:$C,3,FALSE)),"")</f>
        <v>SAN CRISTÓBAL</v>
      </c>
      <c r="D1835" s="11" t="str">
        <f>IFERROR(IF(VLOOKUP(A1835,[12]PRIORIZADOS!$A:$D,4,FALSE)="","",VLOOKUP(A1835,[12]PRIORIZADOS!$A:$D,4,FALSE)),"")</f>
        <v>PRIVADO_IETDH</v>
      </c>
      <c r="E1835" s="11" t="str">
        <f>IFERROR(IF(VLOOKUP(A1835,[12]PRIORIZADOS!$A:$E,5,FALSE)="","",VLOOKUP(A1835,[12]PRIORIZADOS!$A:$E,5,FALSE)),"")</f>
        <v>IETDH</v>
      </c>
      <c r="F1835" s="11" t="str">
        <f>IFERROR(IF(VLOOKUP(A1835,[12]PRIORIZADOS!$A:$F,6,FALSE)="","",VLOOKUP(A1835,[12]PRIORIZADOS!$A:$F,6,FALSE)),"")</f>
        <v>FUNDACIÓN_PARA_LA_VIDA_FUNDESCO_</v>
      </c>
      <c r="G1835" s="11" t="str">
        <f>IFERROR(IF(VLOOKUP(A1835,[12]PRIORIZADOS!$A:$G,7,FALSE)="","",VLOOKUP(A1835,[12]PRIORIZADOS!$A:$G,7,FALSE)),"")</f>
        <v xml:space="preserve">FUNDACIÓN PARA LA VIDA FUNDESCO </v>
      </c>
      <c r="H1835" s="11" t="str">
        <f>IFERROR(IF(VLOOKUP(A1835,[12]PRIORIZADOS!$A:$H,8,FALSE)="","",VLOOKUP(A1835,[12]PRIORIZADOS!$A:$H,8,FALSE)),"")</f>
        <v>IETDH priorizadas por cada ELIV (seguimiento a PMI, que no se hayan visitado en los últimos 3 años)</v>
      </c>
      <c r="I1835" s="11" t="str">
        <f>IFERROR(IF(VLOOKUP(A1835,[12]PRIORIZADOS!$A:$I,9,FALSE)="","",VLOOKUP(A1835,[12]PRIORIZADOS!$A:$I,9,FALSE)),"")</f>
        <v>EVALUACIÓN_CON_FINES_DE_MEJORAMIENTO.</v>
      </c>
      <c r="J1835" s="11" t="str">
        <f>IFERROR(IF(VLOOKUP(A1835,[12]PRIORIZADOS!$A:$J,10,FALSE)="","",VLOOKUP(A1835,[12]PRIORIZADOS!$A:$J,10,FALSE)),"")</f>
        <v>Verificar las condiciones en cuanto a: la estructura administrativa, condiciones de la planta física y medios educativos adecuados.</v>
      </c>
      <c r="K1835" s="11" t="str">
        <f>IFERROR(IF(VLOOKUP(A1835,[12]PRIORIZADOS!$A:$K,11,FALSE)="","",VLOOKUP(A1835,[12]PRIORIZADOS!$A:$K,11,FALSE)),"")</f>
        <v>JAIRO ANDRÉS ÁLVAREZ CHÁVEZ</v>
      </c>
      <c r="L1835" s="11" t="str">
        <f>IFERROR(IF(VLOOKUP(A1835,[12]PRIORIZADOS!$A:$L,12,FALSE)="","",VLOOKUP(A1835,[12]PRIORIZADOS!$A:$L,12,FALSE)),"")</f>
        <v>JOSÉ ASDRUBAL PÉREZ GIRALDO</v>
      </c>
      <c r="M1835" s="71">
        <f>IFERROR(IF(VLOOKUP(A1835,[12]PRIORIZADOS!$A:$M,13,FALSE)="","",VLOOKUP(A1835,[12]PRIORIZADOS!$A:$M,13,FALSE)),"")</f>
        <v>45744</v>
      </c>
      <c r="N1835" s="71">
        <f>IFERROR(IF(VLOOKUP(A1835,[12]PRIORIZADOS!$A:$N,14,FALSE)="","",VLOOKUP(A1835,[12]PRIORIZADOS!$A:$N,14,FALSE)),"")</f>
        <v>45750</v>
      </c>
      <c r="O1835" s="71">
        <f>IFERROR(IF(VLOOKUP(A1835,[12]PRIORIZADOS!$A:$O,15,FALSE)="","",VLOOKUP(A1835,[12]PRIORIZADOS!$A:$O,15,FALSE)),"")</f>
        <v>45750</v>
      </c>
      <c r="P1835" s="11" t="str">
        <f>IFERROR(IF(VLOOKUP(A1835,[12]PRIORIZADOS!$A:$P,16,FALSE)="","",VLOOKUP(A1835,[12]PRIORIZADOS!$A:$P,16,FALSE)),"")</f>
        <v>Visitas de evaluación con fines de seguimiento</v>
      </c>
      <c r="Q1835" s="107" t="s">
        <v>396</v>
      </c>
      <c r="R1835" s="11" t="str">
        <f>IFERROR(IF(VLOOKUP(A1835,[12]PRIORIZADOS!$A:$R,18,FALSE)="","",VLOOKUP(A1835,[12]PRIORIZADOS!$A:$R,18,FALSE)),"")</f>
        <v xml:space="preserve">En recorrido de la planta física se encontró en buenas condiciones de infraestructura y dotación. La IE aporta acta de visita de Secretaria de Salud SB066E 703330 del 01/02/2025 con concepto favorable con requerimientos. </v>
      </c>
      <c r="S1835" s="11" t="str">
        <f>IFERROR(IF(VLOOKUP(A1835,[12]PRIORIZADOS!$A:$S,19,FALSE)="","",VLOOKUP(A1835,[12]PRIORIZADOS!$A:$S,19,FALSE)),"")</f>
        <v xml:space="preserve">La IE subsanó los requermientos. </v>
      </c>
      <c r="T1835" s="70" t="str">
        <f>IFERROR(IF(VLOOKUP(A1835,[12]PRIORIZADOS!$A:$T,20,FALSE)="","",VLOOKUP(A1835,[12]PRIORIZADOS!$A:$T,20,FALSE)),"")</f>
        <v>Si</v>
      </c>
      <c r="U1835" s="11" t="str">
        <f>IFERROR(IF(VLOOKUP(A1835,[12]PRIORIZADOS!$A:$U,21,FALSE)="","",VLOOKUP(A1835,[12]PRIORIZADOS!$A:$U,21,FALSE)),"")</f>
        <v>Se realizó encuentro de seguimiento el 07 de noviembre y 
Se constatan las acciones realizadas en el marco del plan de mejoramiento .</v>
      </c>
    </row>
    <row r="1836" spans="1:21" s="1" customFormat="1" ht="154.5">
      <c r="A1836" s="69">
        <f>IF([12]PRIORIZADOS!A166="","",[12]PRIORIZADOS!A166)</f>
        <v>1803</v>
      </c>
      <c r="B1836" s="70">
        <f>IFERROR(IF(VLOOKUP(A1836,[12]PRIORIZADOS!$A:$B,2,FALSE)="","",VLOOKUP(A1836,[12]PRIORIZADOS!$A:$B,2,FALSE)),"")</f>
        <v>20</v>
      </c>
      <c r="C1836" s="11" t="str">
        <f>IFERROR(IF(VLOOKUP(A1836,[12]PRIORIZADOS!$A:$C,3,FALSE)="","",VLOOKUP(A1836,[12]PRIORIZADOS!$A:$C,3,FALSE)),"")</f>
        <v>SAN CRISTÓBAL</v>
      </c>
      <c r="D1836" s="11" t="str">
        <f>IFERROR(IF(VLOOKUP(A1836,[12]PRIORIZADOS!$A:$D,4,FALSE)="","",VLOOKUP(A1836,[12]PRIORIZADOS!$A:$D,4,FALSE)),"")</f>
        <v>PRIVADO_IETDH</v>
      </c>
      <c r="E1836" s="11" t="str">
        <f>IFERROR(IF(VLOOKUP(A1836,[12]PRIORIZADOS!$A:$E,5,FALSE)="","",VLOOKUP(A1836,[12]PRIORIZADOS!$A:$E,5,FALSE)),"")</f>
        <v>IETDH</v>
      </c>
      <c r="F1836" s="11" t="str">
        <f>IFERROR(IF(VLOOKUP(A1836,[12]PRIORIZADOS!$A:$F,6,FALSE)="","",VLOOKUP(A1836,[12]PRIORIZADOS!$A:$F,6,FALSE)),"")</f>
        <v>CENTRO_DE_ENSEÑANZA_AUTOMOVILISTICA_AUTODOMINIO</v>
      </c>
      <c r="G1836" s="11" t="str">
        <f>IFERROR(IF(VLOOKUP(A1836,[12]PRIORIZADOS!$A:$G,7,FALSE)="","",VLOOKUP(A1836,[12]PRIORIZADOS!$A:$G,7,FALSE)),"")</f>
        <v>CENTRO DE ENSEÑANZA AUTOMOVILISTICA AUTODOMINIO</v>
      </c>
      <c r="H1836" s="11" t="str">
        <f>IFERROR(IF(VLOOKUP(A1836,[12]PRIORIZADOS!$A:$H,8,FALSE)="","",VLOOKUP(A1836,[12]PRIORIZADOS!$A:$H,8,FALSE)),"")</f>
        <v>IETDH priorizadas por cada ELIV (seguimiento a PMI, que no se hayan visitado en los últimos 3 años)</v>
      </c>
      <c r="I1836" s="11" t="str">
        <f>IFERROR(IF(VLOOKUP(A1836,[12]PRIORIZADOS!$A:$I,9,FALSE)="","",VLOOKUP(A1836,[12]PRIORIZADOS!$A:$I,9,FALSE)),"")</f>
        <v>SEGUIMIENTO_Y_SUPERVISIÓN.</v>
      </c>
      <c r="J1836" s="11" t="str">
        <f>IFERROR(IF(VLOOKUP(A1836,[12]PRIORIZADOS!$A:$J,10,FALSE)="","",VLOOKUP(A1836,[12]PRIORIZADOS!$A:$J,10,FALSE)),"")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836" s="11" t="str">
        <f>IFERROR(IF(VLOOKUP(A1836,[12]PRIORIZADOS!$A:$K,11,FALSE)="","",VLOOKUP(A1836,[12]PRIORIZADOS!$A:$K,11,FALSE)),"")</f>
        <v>XIMENA CAROLINA RAMÍREZ MORALES</v>
      </c>
      <c r="L1836" s="11" t="str">
        <f>IFERROR(IF(VLOOKUP(A1836,[12]PRIORIZADOS!$A:$L,12,FALSE)="","",VLOOKUP(A1836,[12]PRIORIZADOS!$A:$L,12,FALSE)),"")</f>
        <v>JUANITA LINA CAROLINA RAMÍREZ LÓPEZ</v>
      </c>
      <c r="M1836" s="71">
        <f>IFERROR(IF(VLOOKUP(A1836,[12]PRIORIZADOS!$A:$M,13,FALSE)="","",VLOOKUP(A1836,[12]PRIORIZADOS!$A:$M,13,FALSE)),"")</f>
        <v>45744</v>
      </c>
      <c r="N1836" s="71">
        <f>IFERROR(IF(VLOOKUP(A1836,[12]PRIORIZADOS!$A:$N,14,FALSE)="","",VLOOKUP(A1836,[12]PRIORIZADOS!$A:$N,14,FALSE)),"")</f>
        <v>45750</v>
      </c>
      <c r="O1836" s="71">
        <f>IFERROR(IF(VLOOKUP(A1836,[12]PRIORIZADOS!$A:$O,15,FALSE)="","",VLOOKUP(A1836,[12]PRIORIZADOS!$A:$O,15,FALSE)),"")</f>
        <v>45750</v>
      </c>
      <c r="P1836" s="11" t="str">
        <f>IFERROR(IF(VLOOKUP(A1836,[12]PRIORIZADOS!$A:$P,16,FALSE)="","",VLOOKUP(A1836,[12]PRIORIZADOS!$A:$P,16,FALSE)),"")</f>
        <v>Visitas de evaluación con fines de seguimiento</v>
      </c>
      <c r="Q1836" s="107" t="s">
        <v>397</v>
      </c>
      <c r="R1836" s="11" t="str">
        <f>IFERROR(IF(VLOOKUP(A1836,[12]PRIORIZADOS!$A:$R,18,FALSE)="","",VLOOKUP(A1836,[12]PRIORIZADOS!$A:$R,18,FALSE)),"")</f>
        <v>Se verificó plataforma CEA Web, donde se registra los matriculados, clases programas, pagos, contrato, hoja de matrícula. Además, usan la plataforma Aulaap que es la obligatoria del SICOV (Sistema de Control y Vigilancia de la Superintendencia de Transporte), listado de aprendices, listado de vehículos, listado de instructores y administrativos, aulas de clase, computadores, dispositivos de autenticación (cámara, huella, PAD de firmas), programación de clases (teóricas, practicas, taller, exámenes)</v>
      </c>
      <c r="S1836" s="11" t="str">
        <f>IFERROR(IF(VLOOKUP(A1836,[12]PRIORIZADOS!$A:$S,19,FALSE)="","",VLOOKUP(A1836,[12]PRIORIZADOS!$A:$S,19,FALSE)),"")</f>
        <v xml:space="preserve">Continuar con la prestación del servicio  de acuerdo con lo establecido en la normatividad vigente. </v>
      </c>
      <c r="T1836" s="70" t="str">
        <f>IFERROR(IF(VLOOKUP(A1836,[12]PRIORIZADOS!$A:$T,20,FALSE)="","",VLOOKUP(A1836,[12]PRIORIZADOS!$A:$T,20,FALSE)),"")</f>
        <v>No</v>
      </c>
      <c r="U1836" s="11" t="str">
        <f>IFERROR(IF(VLOOKUP(A1836,[12]PRIORIZADOS!$A:$U,21,FALSE)="","",VLOOKUP(A1836,[12]PRIORIZADOS!$A:$U,21,FALSE)),"")</f>
        <v>Se hará verificación en caso de presentarse requerimiento</v>
      </c>
    </row>
    <row r="1837" spans="1:21" s="1" customFormat="1" ht="60">
      <c r="A1837" s="69">
        <f>IF([12]PRIORIZADOS!A167="","",[12]PRIORIZADOS!A167)</f>
        <v>1804</v>
      </c>
      <c r="B1837" s="70">
        <v>20</v>
      </c>
      <c r="C1837" s="11" t="str">
        <f>IFERROR(IF(VLOOKUP(A1837,[12]PRIORIZADOS!$A:$C,3,FALSE)="","",VLOOKUP(A1837,[12]PRIORIZADOS!$A:$C,3,FALSE)),"")</f>
        <v>SAN CRISTÓBAL</v>
      </c>
      <c r="D1837" s="11" t="str">
        <f>IFERROR(IF(VLOOKUP(A1837,[12]PRIORIZADOS!$A:$D,4,FALSE)="","",VLOOKUP(A1837,[12]PRIORIZADOS!$A:$D,4,FALSE)),"")</f>
        <v>PRIVADO_IETDH</v>
      </c>
      <c r="E1837" s="11" t="str">
        <f>IFERROR(IF(VLOOKUP(A1837,[12]PRIORIZADOS!$A:$E,5,FALSE)="","",VLOOKUP(A1837,[12]PRIORIZADOS!$A:$E,5,FALSE)),"")</f>
        <v>IETDH</v>
      </c>
      <c r="F1837" s="11" t="str">
        <f>IFERROR(IF(VLOOKUP(A1837,[12]PRIORIZADOS!$A:$F,6,FALSE)="","",VLOOKUP(A1837,[12]PRIORIZADOS!$A:$F,6,FALSE)),"")</f>
        <v>CENTRO_DE_ENSEÑANZA_AUTOMOVILISTICA_AUTODOMINIO</v>
      </c>
      <c r="G1837" s="11" t="str">
        <f>IFERROR(IF(VLOOKUP(A1837,[12]PRIORIZADOS!$A:$G,7,FALSE)="","",VLOOKUP(A1837,[12]PRIORIZADOS!$A:$G,7,FALSE)),"")</f>
        <v>CENTRO DE ENSEÑANZA AUTOMOVILISTICA AUTODOMINIO</v>
      </c>
      <c r="H1837" s="11" t="str">
        <f>IFERROR(IF(VLOOKUP(A1837,[12]PRIORIZADOS!$A:$H,8,FALSE)="","",VLOOKUP(A1837,[12]PRIORIZADOS!$A:$H,8,FALSE)),"")</f>
        <v>IETDH priorizadas por cada ELIV (seguimiento a PMI, que no se hayan visitado en los últimos 3 años)</v>
      </c>
      <c r="I1837" s="11" t="str">
        <f>IFERROR(IF(VLOOKUP(A1837,[12]PRIORIZADOS!$A:$I,9,FALSE)="","",VLOOKUP(A1837,[12]PRIORIZADOS!$A:$I,9,FALSE)),"")</f>
        <v>SEGUIMIENTO_Y_SUPERVISIÓN.</v>
      </c>
      <c r="J1837" s="11" t="str">
        <f>IFERROR(IF(VLOOKUP(A1837,[12]PRIORIZADOS!$A:$J,10,FALSE)="","",VLOOKUP(A1837,[12]PRIORIZADOS!$A:$J,10,FALSE)),"")</f>
        <v>Adelantar visitas para verificar que el desarrollo de los programas de ETDH, esté de acuerdo con lo autorizado y la normatividad vigente, para propender por su pertinencia, legalidad y actualización constante.</v>
      </c>
      <c r="K1837" s="11" t="str">
        <f>IFERROR(IF(VLOOKUP(A1837,[12]PRIORIZADOS!$A:$K,11,FALSE)="","",VLOOKUP(A1837,[12]PRIORIZADOS!$A:$K,11,FALSE)),"")</f>
        <v>XIMENA CAROLINA RAMÍREZ MORALES</v>
      </c>
      <c r="L1837" s="11" t="str">
        <f>IFERROR(IF(VLOOKUP(A1837,[12]PRIORIZADOS!$A:$L,12,FALSE)="","",VLOOKUP(A1837,[12]PRIORIZADOS!$A:$L,12,FALSE)),"")</f>
        <v>JUANITA LINA CAROLINA RAMÍREZ LÓPEZ</v>
      </c>
      <c r="M1837" s="71">
        <f>IFERROR(IF(VLOOKUP(A1837,[12]PRIORIZADOS!$A:$M,13,FALSE)="","",VLOOKUP(A1837,[12]PRIORIZADOS!$A:$M,13,FALSE)),"")</f>
        <v>45744</v>
      </c>
      <c r="N1837" s="71">
        <f>IFERROR(IF(VLOOKUP(A1837,[12]PRIORIZADOS!$A:$N,14,FALSE)="","",VLOOKUP(A1837,[12]PRIORIZADOS!$A:$N,14,FALSE)),"")</f>
        <v>45750</v>
      </c>
      <c r="O1837" s="71">
        <f>IFERROR(IF(VLOOKUP(A1837,[12]PRIORIZADOS!$A:$O,15,FALSE)="","",VLOOKUP(A1837,[12]PRIORIZADOS!$A:$O,15,FALSE)),"")</f>
        <v>45750</v>
      </c>
      <c r="P1837" s="11" t="str">
        <f>IFERROR(IF(VLOOKUP(A1837,[12]PRIORIZADOS!$A:$P,16,FALSE)="","",VLOOKUP(A1837,[12]PRIORIZADOS!$A:$P,16,FALSE)),"")</f>
        <v>Visitas de evaluación con fines de seguimiento</v>
      </c>
      <c r="Q1837" s="107" t="s">
        <v>397</v>
      </c>
      <c r="R1837" s="11" t="str">
        <f>IFERROR(IF(VLOOKUP(A1837,[12]PRIORIZADOS!$A:$R,18,FALSE)="","",VLOOKUP(A1837,[12]PRIORIZADOS!$A:$R,18,FALSE)),"")</f>
        <v>Se constató PEI  e información de los programas de acuerdo con lo establecido resolución 20223040009245 del 24 de febrero de 2022 del Ministerio de Transporte</v>
      </c>
      <c r="S1837" s="11" t="str">
        <f>IFERROR(IF(VLOOKUP(A1837,[12]PRIORIZADOS!$A:$S,19,FALSE)="","",VLOOKUP(A1837,[12]PRIORIZADOS!$A:$S,19,FALSE)),"")</f>
        <v>Continuar el desarrollo de los programas de acuerdo con la normatividad vigente.</v>
      </c>
      <c r="T1837" s="70" t="str">
        <f>IFERROR(IF(VLOOKUP(A1837,[12]PRIORIZADOS!$A:$T,20,FALSE)="","",VLOOKUP(A1837,[12]PRIORIZADOS!$A:$T,20,FALSE)),"")</f>
        <v>No</v>
      </c>
      <c r="U1837" s="11" t="str">
        <f>IFERROR(IF(VLOOKUP(A1837,[12]PRIORIZADOS!$A:$U,21,FALSE)="","",VLOOKUP(A1837,[12]PRIORIZADOS!$A:$U,21,FALSE)),"")</f>
        <v>Se hará verificación en caso de presentarse requerimiento</v>
      </c>
    </row>
    <row r="1838" spans="1:21" s="1" customFormat="1" ht="72">
      <c r="A1838" s="69">
        <f>IF([12]PRIORIZADOS!A168="","",[12]PRIORIZADOS!A168)</f>
        <v>1805</v>
      </c>
      <c r="B1838" s="70">
        <v>20</v>
      </c>
      <c r="C1838" s="11" t="str">
        <f>IFERROR(IF(VLOOKUP(A1838,[12]PRIORIZADOS!$A:$C,3,FALSE)="","",VLOOKUP(A1838,[12]PRIORIZADOS!$A:$C,3,FALSE)),"")</f>
        <v>SAN CRISTÓBAL</v>
      </c>
      <c r="D1838" s="11" t="str">
        <f>IFERROR(IF(VLOOKUP(A1838,[12]PRIORIZADOS!$A:$D,4,FALSE)="","",VLOOKUP(A1838,[12]PRIORIZADOS!$A:$D,4,FALSE)),"")</f>
        <v>PRIVADO_IETDH</v>
      </c>
      <c r="E1838" s="11" t="str">
        <f>IFERROR(IF(VLOOKUP(A1838,[12]PRIORIZADOS!$A:$E,5,FALSE)="","",VLOOKUP(A1838,[12]PRIORIZADOS!$A:$E,5,FALSE)),"")</f>
        <v>IETDH</v>
      </c>
      <c r="F1838" s="11" t="str">
        <f>IFERROR(IF(VLOOKUP(A1838,[12]PRIORIZADOS!$A:$F,6,FALSE)="","",VLOOKUP(A1838,[12]PRIORIZADOS!$A:$F,6,FALSE)),"")</f>
        <v>CENTRO_DE_ENSEÑANZA_AUTOMOVILISTICA_AUTODOMINIO</v>
      </c>
      <c r="G1838" s="11" t="str">
        <f>IFERROR(IF(VLOOKUP(A1838,[12]PRIORIZADOS!$A:$G,7,FALSE)="","",VLOOKUP(A1838,[12]PRIORIZADOS!$A:$G,7,FALSE)),"")</f>
        <v>CENTRO DE ENSEÑANZA AUTOMOVILISTICA AUTODOMINIO</v>
      </c>
      <c r="H1838" s="11" t="str">
        <f>IFERROR(IF(VLOOKUP(A1838,[12]PRIORIZADOS!$A:$H,8,FALSE)="","",VLOOKUP(A1838,[12]PRIORIZADOS!$A:$H,8,FALSE)),"")</f>
        <v>IETDH priorizadas por cada ELIV (seguimiento a PMI, que no se hayan visitado en los últimos 3 años)</v>
      </c>
      <c r="I1838" s="11" t="str">
        <f>IFERROR(IF(VLOOKUP(A1838,[12]PRIORIZADOS!$A:$I,9,FALSE)="","",VLOOKUP(A1838,[12]PRIORIZADOS!$A:$I,9,FALSE)),"")</f>
        <v>EVALUACIÓN_CON_FINES_DE_MEJORAMIENTO.</v>
      </c>
      <c r="J1838" s="11" t="str">
        <f>IFERROR(IF(VLOOKUP(A1838,[12]PRIORIZADOS!$A:$J,10,FALSE)="","",VLOOKUP(A1838,[12]PRIORIZADOS!$A:$J,10,FALSE)),"")</f>
        <v>Verificar las condiciones en cuanto a: la estructura administrativa, condiciones de la planta física y medios educativos adecuados.</v>
      </c>
      <c r="K1838" s="11" t="str">
        <f>IFERROR(IF(VLOOKUP(A1838,[12]PRIORIZADOS!$A:$K,11,FALSE)="","",VLOOKUP(A1838,[12]PRIORIZADOS!$A:$K,11,FALSE)),"")</f>
        <v>XIMENA CAROLINA RAMÍREZ MORALES</v>
      </c>
      <c r="L1838" s="11" t="str">
        <f>IFERROR(IF(VLOOKUP(A1838,[12]PRIORIZADOS!$A:$L,12,FALSE)="","",VLOOKUP(A1838,[12]PRIORIZADOS!$A:$L,12,FALSE)),"")</f>
        <v>JUANITA LINA CAROLINA RAMÍREZ LÓPEZ</v>
      </c>
      <c r="M1838" s="71">
        <f>IFERROR(IF(VLOOKUP(A1838,[12]PRIORIZADOS!$A:$M,13,FALSE)="","",VLOOKUP(A1838,[12]PRIORIZADOS!$A:$M,13,FALSE)),"")</f>
        <v>45744</v>
      </c>
      <c r="N1838" s="71">
        <f>IFERROR(IF(VLOOKUP(A1838,[12]PRIORIZADOS!$A:$N,14,FALSE)="","",VLOOKUP(A1838,[12]PRIORIZADOS!$A:$N,14,FALSE)),"")</f>
        <v>45750</v>
      </c>
      <c r="O1838" s="71">
        <f>IFERROR(IF(VLOOKUP(A1838,[12]PRIORIZADOS!$A:$O,15,FALSE)="","",VLOOKUP(A1838,[12]PRIORIZADOS!$A:$O,15,FALSE)),"")</f>
        <v>45750</v>
      </c>
      <c r="P1838" s="11" t="str">
        <f>IFERROR(IF(VLOOKUP(A1838,[12]PRIORIZADOS!$A:$P,16,FALSE)="","",VLOOKUP(A1838,[12]PRIORIZADOS!$A:$P,16,FALSE)),"")</f>
        <v>Visitas de evaluación con fines de seguimiento</v>
      </c>
      <c r="Q1838" s="107" t="s">
        <v>397</v>
      </c>
      <c r="R1838" s="11" t="str">
        <f>IFERROR(IF(VLOOKUP(A1838,[12]PRIORIZADOS!$A:$R,18,FALSE)="","",VLOOKUP(A1838,[12]PRIORIZADOS!$A:$R,18,FALSE)),"")</f>
        <v>Presenta Concepto Higiénico Sanitario Favorable con Requerimientos No. 703331 del 3/02/2025, con observaciones de mantenimiento de pared con humedad, y adecuados procesos de limpieza en baño de hombres.</v>
      </c>
      <c r="S1838" s="11" t="str">
        <f>IFERROR(IF(VLOOKUP(A1838,[12]PRIORIZADOS!$A:$S,19,FALSE)="","",VLOOKUP(A1838,[12]PRIORIZADOS!$A:$S,19,FALSE)),"")</f>
        <v>De acuerdo con el recorrido en las instalaciones de la ETDH, se constato arreglo de humedades y limpieza general en cada uno de los espacios destinados a los baños.</v>
      </c>
      <c r="T1838" s="70" t="str">
        <f>IFERROR(IF(VLOOKUP(A1838,[12]PRIORIZADOS!$A:$T,20,FALSE)="","",VLOOKUP(A1838,[12]PRIORIZADOS!$A:$T,20,FALSE)),"")</f>
        <v>No</v>
      </c>
      <c r="U1838" s="11" t="str">
        <f>IFERROR(IF(VLOOKUP(A1838,[12]PRIORIZADOS!$A:$U,21,FALSE)="","",VLOOKUP(A1838,[12]PRIORIZADOS!$A:$U,21,FALSE)),"")</f>
        <v>Se hará verificación en caso de presentarse requerimiento</v>
      </c>
    </row>
    <row r="1839" spans="1:21" s="1" customFormat="1" ht="84">
      <c r="A1839" s="69">
        <f>IF([12]PRIORIZADOS!A169="","",[12]PRIORIZADOS!A169)</f>
        <v>1806</v>
      </c>
      <c r="B1839" s="70">
        <v>21</v>
      </c>
      <c r="C1839" s="11" t="str">
        <f>IFERROR(IF(VLOOKUP(A1839,[12]PRIORIZADOS!$A:$C,3,FALSE)="","",VLOOKUP(A1839,[12]PRIORIZADOS!$A:$C,3,FALSE)),"")</f>
        <v>SAN CRISTÓBAL</v>
      </c>
      <c r="D1839" s="11" t="str">
        <f>IFERROR(IF(VLOOKUP(A1839,[12]PRIORIZADOS!$A:$D,4,FALSE)="","",VLOOKUP(A1839,[12]PRIORIZADOS!$A:$D,4,FALSE)),"")</f>
        <v>PRIVADO_IETDH</v>
      </c>
      <c r="E1839" s="11" t="str">
        <f>IFERROR(IF(VLOOKUP(A1839,[12]PRIORIZADOS!$A:$E,5,FALSE)="","",VLOOKUP(A1839,[12]PRIORIZADOS!$A:$E,5,FALSE)),"")</f>
        <v>IETDH</v>
      </c>
      <c r="F1839" s="11" t="str">
        <f>IFERROR(IF(VLOOKUP(A1839,[12]PRIORIZADOS!$A:$F,6,FALSE)="","",VLOOKUP(A1839,[12]PRIORIZADOS!$A:$F,6,FALSE)),"")</f>
        <v>CENTRO_DE_CAPACITACIÓN_LABORAL_MIQUELINA</v>
      </c>
      <c r="G1839" s="11" t="str">
        <f>IFERROR(IF(VLOOKUP(A1839,[12]PRIORIZADOS!$A:$G,7,FALSE)="","",VLOOKUP(A1839,[12]PRIORIZADOS!$A:$G,7,FALSE)),"")</f>
        <v>CENTRO DE CAPACITACIÓN LABORAL MIQUELINA</v>
      </c>
      <c r="H1839" s="11" t="str">
        <f>IFERROR(IF(VLOOKUP(A1839,[12]PRIORIZADOS!$A:$H,8,FALSE)="","",VLOOKUP(A1839,[12]PRIORIZADOS!$A:$H,8,FALSE)),"")</f>
        <v>IETDH priorizadas por cada ELIV (seguimiento a PMI, que no se hayan visitado en los últimos 3 años)</v>
      </c>
      <c r="I1839" s="11" t="str">
        <f>IFERROR(IF(VLOOKUP(A1839,[12]PRIORIZADOS!$A:$I,9,FALSE)="","",VLOOKUP(A1839,[12]PRIORIZADOS!$A:$I,9,FALSE)),"")</f>
        <v>SEGUIMIENTO_Y_SUPERVISIÓN.</v>
      </c>
      <c r="J1839" s="11" t="str">
        <f>IFERROR(IF(VLOOKUP(A1839,[12]PRIORIZADOS!$A:$J,10,FALSE)="","",VLOOKUP(A1839,[12]PRIORIZADOS!$A:$J,10,FALSE)),"")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839" s="11" t="str">
        <f>IFERROR(IF(VLOOKUP(A1839,[12]PRIORIZADOS!$A:$K,11,FALSE)="","",VLOOKUP(A1839,[12]PRIORIZADOS!$A:$K,11,FALSE)),"")</f>
        <v>JUANITA LINA CAROLINA RAMÍREZ LÓPEZ</v>
      </c>
      <c r="L1839" s="11" t="str">
        <f>IFERROR(IF(VLOOKUP(A1839,[12]PRIORIZADOS!$A:$L,12,FALSE)="","",VLOOKUP(A1839,[12]PRIORIZADOS!$A:$L,12,FALSE)),"")</f>
        <v>XIMENA CAROLINA RAMÍREZ MORALES</v>
      </c>
      <c r="M1839" s="71">
        <f>IFERROR(IF(VLOOKUP(A1839,[12]PRIORIZADOS!$A:$M,13,FALSE)="","",VLOOKUP(A1839,[12]PRIORIZADOS!$A:$M,13,FALSE)),"")</f>
        <v>45785</v>
      </c>
      <c r="N1839" s="71">
        <f>IFERROR(IF(VLOOKUP(A1839,[12]PRIORIZADOS!$A:$N,14,FALSE)="","",VLOOKUP(A1839,[12]PRIORIZADOS!$A:$N,14,FALSE)),"")</f>
        <v>45785</v>
      </c>
      <c r="O1839" s="71">
        <f>IFERROR(IF(VLOOKUP(A1839,[12]PRIORIZADOS!$A:$O,15,FALSE)="","",VLOOKUP(A1839,[12]PRIORIZADOS!$A:$O,15,FALSE)),"")</f>
        <v>45785</v>
      </c>
      <c r="P1839" s="11" t="str">
        <f>IFERROR(IF(VLOOKUP(A1839,[12]PRIORIZADOS!$A:$P,16,FALSE)="","",VLOOKUP(A1839,[12]PRIORIZADOS!$A:$P,16,FALSE)),"")</f>
        <v>Visitas de evaluación con fines de mejoramiento</v>
      </c>
      <c r="Q1839" s="107" t="s">
        <v>398</v>
      </c>
      <c r="R1839" s="11" t="str">
        <f>IFERROR(IF(VLOOKUP(A1839,[12]PRIORIZADOS!$A:$R,18,FALSE)="","",VLOOKUP(A1839,[12]PRIORIZADOS!$A:$R,18,FALSE)),"")</f>
        <v xml:space="preserve">Revisado el SIET en la vigenciia 2024 se han regisrado estudiantes certificados. Actualmente la insttitución está impartiendo los programas TL en prendas de vestir, TL peluquero estilista, TL manicura y pedicura, TL en operación de máquinas de confección industrial. </v>
      </c>
      <c r="S1839" s="11" t="str">
        <f>IFERROR(IF(VLOOKUP(A1839,[12]PRIORIZADOS!$A:$S,19,FALSE)="","",VLOOKUP(A1839,[12]PRIORIZADOS!$A:$S,19,FALSE)),"")</f>
        <v xml:space="preserve">Continuar con la prestación del servicio  de acuerdo con lo establecido en la normatividad vigente. </v>
      </c>
      <c r="T1839" s="70" t="str">
        <f>IFERROR(IF(VLOOKUP(A1839,[12]PRIORIZADOS!$A:$T,20,FALSE)="","",VLOOKUP(A1839,[12]PRIORIZADOS!$A:$T,20,FALSE)),"")</f>
        <v>No</v>
      </c>
      <c r="U1839" s="11" t="str">
        <f>IFERROR(IF(VLOOKUP(A1839,[12]PRIORIZADOS!$A:$U,21,FALSE)="","",VLOOKUP(A1839,[12]PRIORIZADOS!$A:$U,21,FALSE)),"")</f>
        <v>Se hará verificación en caso de presentarse requerimiento</v>
      </c>
    </row>
    <row r="1840" spans="1:21" s="1" customFormat="1" ht="48">
      <c r="A1840" s="69">
        <f>IF([12]PRIORIZADOS!A170="","",[12]PRIORIZADOS!A170)</f>
        <v>1807</v>
      </c>
      <c r="B1840" s="70">
        <v>21</v>
      </c>
      <c r="C1840" s="11" t="str">
        <f>IFERROR(IF(VLOOKUP(A1840,[12]PRIORIZADOS!$A:$C,3,FALSE)="","",VLOOKUP(A1840,[12]PRIORIZADOS!$A:$C,3,FALSE)),"")</f>
        <v>SAN CRISTÓBAL</v>
      </c>
      <c r="D1840" s="11" t="str">
        <f>IFERROR(IF(VLOOKUP(A1840,[12]PRIORIZADOS!$A:$D,4,FALSE)="","",VLOOKUP(A1840,[12]PRIORIZADOS!$A:$D,4,FALSE)),"")</f>
        <v>PRIVADO_IETDH</v>
      </c>
      <c r="E1840" s="11" t="str">
        <f>IFERROR(IF(VLOOKUP(A1840,[12]PRIORIZADOS!$A:$E,5,FALSE)="","",VLOOKUP(A1840,[12]PRIORIZADOS!$A:$E,5,FALSE)),"")</f>
        <v>IETDH</v>
      </c>
      <c r="F1840" s="11" t="str">
        <f>IFERROR(IF(VLOOKUP(A1840,[12]PRIORIZADOS!$A:$F,6,FALSE)="","",VLOOKUP(A1840,[12]PRIORIZADOS!$A:$F,6,FALSE)),"")</f>
        <v>CENTRO_DE_CAPACITACIÓN_LABORAL_MIQUELINA</v>
      </c>
      <c r="G1840" s="11" t="str">
        <f>IFERROR(IF(VLOOKUP(A1840,[12]PRIORIZADOS!$A:$G,7,FALSE)="","",VLOOKUP(A1840,[12]PRIORIZADOS!$A:$G,7,FALSE)),"")</f>
        <v>CENTRO DE CAPACITACIÓN LABORAL MIQUELINA</v>
      </c>
      <c r="H1840" s="11" t="str">
        <f>IFERROR(IF(VLOOKUP(A1840,[12]PRIORIZADOS!$A:$H,8,FALSE)="","",VLOOKUP(A1840,[12]PRIORIZADOS!$A:$H,8,FALSE)),"")</f>
        <v>IETDH priorizadas por cada ELIV (seguimiento a PMI, que no se hayan visitado en los últimos 3 años)</v>
      </c>
      <c r="I1840" s="11" t="str">
        <f>IFERROR(IF(VLOOKUP(A1840,[12]PRIORIZADOS!$A:$I,9,FALSE)="","",VLOOKUP(A1840,[12]PRIORIZADOS!$A:$I,9,FALSE)),"")</f>
        <v>SEGUIMIENTO_Y_SUPERVISIÓN.</v>
      </c>
      <c r="J1840" s="11" t="str">
        <f>IFERROR(IF(VLOOKUP(A1840,[12]PRIORIZADOS!$A:$J,10,FALSE)="","",VLOOKUP(A1840,[12]PRIORIZADOS!$A:$J,10,FALSE)),"")</f>
        <v>Adelantar visitas para verificar que el desarrollo de los programas de ETDH, esté de acuerdo con lo autorizado y la normatividad vigente, para propender por su pertinencia, legalidad y actualización constante.</v>
      </c>
      <c r="K1840" s="11" t="str">
        <f>IFERROR(IF(VLOOKUP(A1840,[12]PRIORIZADOS!$A:$K,11,FALSE)="","",VLOOKUP(A1840,[12]PRIORIZADOS!$A:$K,11,FALSE)),"")</f>
        <v>JUANITA LINA CAROLINA RAMÍREZ LÓPEZ</v>
      </c>
      <c r="L1840" s="11" t="str">
        <f>IFERROR(IF(VLOOKUP(A1840,[12]PRIORIZADOS!$A:$L,12,FALSE)="","",VLOOKUP(A1840,[12]PRIORIZADOS!$A:$L,12,FALSE)),"")</f>
        <v>XIMENA CAROLINA RAMÍREZ MORALES</v>
      </c>
      <c r="M1840" s="71">
        <f>IFERROR(IF(VLOOKUP(A1840,[12]PRIORIZADOS!$A:$M,13,FALSE)="","",VLOOKUP(A1840,[12]PRIORIZADOS!$A:$M,13,FALSE)),"")</f>
        <v>45785</v>
      </c>
      <c r="N1840" s="71">
        <f>IFERROR(IF(VLOOKUP(A1840,[12]PRIORIZADOS!$A:$N,14,FALSE)="","",VLOOKUP(A1840,[12]PRIORIZADOS!$A:$N,14,FALSE)),"")</f>
        <v>45785</v>
      </c>
      <c r="O1840" s="71">
        <f>IFERROR(IF(VLOOKUP(A1840,[12]PRIORIZADOS!$A:$O,15,FALSE)="","",VLOOKUP(A1840,[12]PRIORIZADOS!$A:$O,15,FALSE)),"")</f>
        <v>45785</v>
      </c>
      <c r="P1840" s="11" t="str">
        <f>IFERROR(IF(VLOOKUP(A1840,[12]PRIORIZADOS!$A:$P,16,FALSE)="","",VLOOKUP(A1840,[12]PRIORIZADOS!$A:$P,16,FALSE)),"")</f>
        <v>Visitas de evaluación con fines de mejoramiento</v>
      </c>
      <c r="Q1840" s="107" t="s">
        <v>398</v>
      </c>
      <c r="R1840" s="11" t="str">
        <f>IFERROR(IF(VLOOKUP(A1840,[12]PRIORIZADOS!$A:$R,18,FALSE)="","",VLOOKUP(A1840,[12]PRIORIZADOS!$A:$R,18,FALSE)),"")</f>
        <v>Se constata PEI e  información de los programas de acuerdo con lo establecido en la Clasificación Única de Ocupaciones para Colombia (CUOC).</v>
      </c>
      <c r="S1840" s="11" t="str">
        <f>IFERROR(IF(VLOOKUP(A1840,[12]PRIORIZADOS!$A:$S,19,FALSE)="","",VLOOKUP(A1840,[12]PRIORIZADOS!$A:$S,19,FALSE)),"")</f>
        <v>Continuar con el desarrollo de los programas de acuerdo con la normatividad vigente.</v>
      </c>
      <c r="T1840" s="70" t="str">
        <f>IFERROR(IF(VLOOKUP(A1840,[12]PRIORIZADOS!$A:$T,20,FALSE)="","",VLOOKUP(A1840,[12]PRIORIZADOS!$A:$T,20,FALSE)),"")</f>
        <v>No</v>
      </c>
      <c r="U1840" s="11" t="str">
        <f>IFERROR(IF(VLOOKUP(A1840,[12]PRIORIZADOS!$A:$U,21,FALSE)="","",VLOOKUP(A1840,[12]PRIORIZADOS!$A:$U,21,FALSE)),"")</f>
        <v>Se hará verificación en caso de presentarse requerimiento</v>
      </c>
    </row>
    <row r="1841" spans="1:40" s="1" customFormat="1" ht="72">
      <c r="A1841" s="69">
        <f>IF([12]PRIORIZADOS!A171="","",[12]PRIORIZADOS!A171)</f>
        <v>1808</v>
      </c>
      <c r="B1841" s="70">
        <v>21</v>
      </c>
      <c r="C1841" s="11" t="str">
        <f>IFERROR(IF(VLOOKUP(A1841,[12]PRIORIZADOS!$A:$C,3,FALSE)="","",VLOOKUP(A1841,[12]PRIORIZADOS!$A:$C,3,FALSE)),"")</f>
        <v>SAN CRISTÓBAL</v>
      </c>
      <c r="D1841" s="11" t="str">
        <f>IFERROR(IF(VLOOKUP(A1841,[12]PRIORIZADOS!$A:$D,4,FALSE)="","",VLOOKUP(A1841,[12]PRIORIZADOS!$A:$D,4,FALSE)),"")</f>
        <v>PRIVADO_IETDH</v>
      </c>
      <c r="E1841" s="11" t="str">
        <f>IFERROR(IF(VLOOKUP(A1841,[12]PRIORIZADOS!$A:$E,5,FALSE)="","",VLOOKUP(A1841,[12]PRIORIZADOS!$A:$E,5,FALSE)),"")</f>
        <v>IETDH</v>
      </c>
      <c r="F1841" s="11" t="str">
        <f>IFERROR(IF(VLOOKUP(A1841,[12]PRIORIZADOS!$A:$F,6,FALSE)="","",VLOOKUP(A1841,[12]PRIORIZADOS!$A:$F,6,FALSE)),"")</f>
        <v>CENTRO_DE_CAPACITACIÓN_LABORAL_MIQUELINA</v>
      </c>
      <c r="G1841" s="11" t="str">
        <f>IFERROR(IF(VLOOKUP(A1841,[12]PRIORIZADOS!$A:$G,7,FALSE)="","",VLOOKUP(A1841,[12]PRIORIZADOS!$A:$G,7,FALSE)),"")</f>
        <v>CENTRO DE CAPACITACIÓN LABORAL MIQUELINA</v>
      </c>
      <c r="H1841" s="11" t="str">
        <f>IFERROR(IF(VLOOKUP(A1841,[12]PRIORIZADOS!$A:$H,8,FALSE)="","",VLOOKUP(A1841,[12]PRIORIZADOS!$A:$H,8,FALSE)),"")</f>
        <v>IETDH priorizadas por cada ELIV (seguimiento a PMI, que no se hayan visitado en los últimos 3 años)</v>
      </c>
      <c r="I1841" s="11" t="str">
        <f>IFERROR(IF(VLOOKUP(A1841,[12]PRIORIZADOS!$A:$I,9,FALSE)="","",VLOOKUP(A1841,[12]PRIORIZADOS!$A:$I,9,FALSE)),"")</f>
        <v>EVALUACIÓN_CON_FINES_DE_MEJORAMIENTO.</v>
      </c>
      <c r="J1841" s="11" t="str">
        <f>IFERROR(IF(VLOOKUP(A1841,[12]PRIORIZADOS!$A:$J,10,FALSE)="","",VLOOKUP(A1841,[12]PRIORIZADOS!$A:$J,10,FALSE)),"")</f>
        <v>Verificar las condiciones en cuanto a: la estructura administrativa, condiciones de la planta física y medios educativos adecuados.</v>
      </c>
      <c r="K1841" s="11" t="str">
        <f>IFERROR(IF(VLOOKUP(A1841,[12]PRIORIZADOS!$A:$K,11,FALSE)="","",VLOOKUP(A1841,[12]PRIORIZADOS!$A:$K,11,FALSE)),"")</f>
        <v>JUANITA LINA CAROLINA RAMÍREZ LÓPEZ</v>
      </c>
      <c r="L1841" s="11" t="str">
        <f>IFERROR(IF(VLOOKUP(A1841,[12]PRIORIZADOS!$A:$L,12,FALSE)="","",VLOOKUP(A1841,[12]PRIORIZADOS!$A:$L,12,FALSE)),"")</f>
        <v>XIMENA CAROLINA RAMÍREZ MORALES</v>
      </c>
      <c r="M1841" s="71">
        <f>IFERROR(IF(VLOOKUP(A1841,[12]PRIORIZADOS!$A:$M,13,FALSE)="","",VLOOKUP(A1841,[12]PRIORIZADOS!$A:$M,13,FALSE)),"")</f>
        <v>45785</v>
      </c>
      <c r="N1841" s="71">
        <f>IFERROR(IF(VLOOKUP(A1841,[12]PRIORIZADOS!$A:$N,14,FALSE)="","",VLOOKUP(A1841,[12]PRIORIZADOS!$A:$N,14,FALSE)),"")</f>
        <v>45785</v>
      </c>
      <c r="O1841" s="71">
        <f>IFERROR(IF(VLOOKUP(A1841,[12]PRIORIZADOS!$A:$O,15,FALSE)="","",VLOOKUP(A1841,[12]PRIORIZADOS!$A:$O,15,FALSE)),"")</f>
        <v>45785</v>
      </c>
      <c r="P1841" s="11" t="str">
        <f>IFERROR(IF(VLOOKUP(A1841,[12]PRIORIZADOS!$A:$P,16,FALSE)="","",VLOOKUP(A1841,[12]PRIORIZADOS!$A:$P,16,FALSE)),"")</f>
        <v>Visitas de evaluación con fines de mejoramiento</v>
      </c>
      <c r="Q1841" s="107" t="s">
        <v>398</v>
      </c>
      <c r="R1841" s="11" t="str">
        <f>IFERROR(IF(VLOOKUP(A1841,[12]PRIORIZADOS!$A:$R,18,FALSE)="","",VLOOKUP(A1841,[12]PRIORIZADOS!$A:$R,18,FALSE)),"")</f>
        <v xml:space="preserve">En el recorrido se constatan buenas condiciones de infraestructura en cuanto a iluminación, ventilación y dotación.  
Se verifica acta de visita de secretaria de salud No. SB03E705241 con concepto favorable con requerimientos. </v>
      </c>
      <c r="S1841" s="11" t="str">
        <f>IFERROR(IF(VLOOKUP(A1841,[12]PRIORIZADOS!$A:$S,19,FALSE)="","",VLOOKUP(A1841,[12]PRIORIZADOS!$A:$S,19,FALSE)),"")</f>
        <v xml:space="preserve">La IE subsanó los requerimientos. </v>
      </c>
      <c r="T1841" s="70" t="str">
        <f>IFERROR(IF(VLOOKUP(A1841,[12]PRIORIZADOS!$A:$T,20,FALSE)="","",VLOOKUP(A1841,[12]PRIORIZADOS!$A:$T,20,FALSE)),"")</f>
        <v>No</v>
      </c>
      <c r="U1841" s="11" t="str">
        <f>IFERROR(IF(VLOOKUP(A1841,[12]PRIORIZADOS!$A:$U,21,FALSE)="","",VLOOKUP(A1841,[12]PRIORIZADOS!$A:$U,21,FALSE)),"")</f>
        <v>Se hará verificación en caso de presentarse requerimiento</v>
      </c>
    </row>
    <row r="1842" spans="1:40" ht="84">
      <c r="A1842" s="69">
        <f>IF([12]PRIORIZADOS!A173="","",[12]PRIORIZADOS!A173)</f>
        <v>1809</v>
      </c>
      <c r="B1842" s="70">
        <f>IFERROR(IF(VLOOKUP(A1842,[12]PRIORIZADOS!$A:$B,2,FALSE)="","",VLOOKUP(A1842,[12]PRIORIZADOS!$A:$B,2,FALSE)),"")</f>
        <v>22</v>
      </c>
      <c r="C1842" s="11" t="str">
        <f>IFERROR(IF(VLOOKUP(A1842,[12]PRIORIZADOS!$A:$C,3,FALSE)="","",VLOOKUP(A1842,[12]PRIORIZADOS!$A:$C,3,FALSE)),"")</f>
        <v>SAN CRISTÓBAL</v>
      </c>
      <c r="D1842" s="11" t="str">
        <f>IFERROR(IF(VLOOKUP(A1842,[12]PRIORIZADOS!$A:$D,4,FALSE)="","",VLOOKUP(A1842,[12]PRIORIZADOS!$A:$D,4,FALSE)),"")</f>
        <v>PRIVADO_IETDH</v>
      </c>
      <c r="E1842" s="11" t="str">
        <f>IFERROR(IF(VLOOKUP(A1842,[12]PRIORIZADOS!$A:$E,5,FALSE)="","",VLOOKUP(A1842,[12]PRIORIZADOS!$A:$E,5,FALSE)),"")</f>
        <v>IETDH</v>
      </c>
      <c r="F1842" s="11" t="str">
        <f>IFERROR(IF(VLOOKUP(A1842,[12]PRIORIZADOS!$A:$F,6,FALSE)="","",VLOOKUP(A1842,[12]PRIORIZADOS!$A:$F,6,FALSE)),"")</f>
        <v>CENTRO_DE_FORMACIÓN_INTEGRAL_SAN_CAMILO</v>
      </c>
      <c r="G1842" s="11" t="str">
        <f>IFERROR(IF(VLOOKUP(A1842,[12]PRIORIZADOS!$A:$G,7,FALSE)="","",VLOOKUP(A1842,[12]PRIORIZADOS!$A:$G,7,FALSE)),"")</f>
        <v>CENTRO DE FORMACIÓN INTEGRAL SAN CAMILO</v>
      </c>
      <c r="H1842" s="11" t="str">
        <f>IFERROR(IF(VLOOKUP(A1842,[12]PRIORIZADOS!$A:$H,8,FALSE)="","",VLOOKUP(A1842,[12]PRIORIZADOS!$A:$H,8,FALSE)),"")</f>
        <v>IETDH priorizadas por cada ELIV (seguimiento a PMI, que no se hayan visitado en los últimos 3 años)</v>
      </c>
      <c r="I1842" s="11" t="str">
        <f>IFERROR(IF(VLOOKUP(A1842,[12]PRIORIZADOS!$A:$I,9,FALSE)="","",VLOOKUP(A1842,[12]PRIORIZADOS!$A:$I,9,FALSE)),"")</f>
        <v>SEGUIMIENTO_Y_SUPERVISIÓN.</v>
      </c>
      <c r="J1842" s="11" t="str">
        <f>IFERROR(IF(VLOOKUP(A1842,[12]PRIORIZADOS!$A:$J,10,FALSE)="","",VLOOKUP(A1842,[12]PRIORIZADOS!$A:$J,10,FALSE)),"")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842" s="11" t="str">
        <f>IFERROR(IF(VLOOKUP(A1842,[12]PRIORIZADOS!$A:$K,11,FALSE)="","",VLOOKUP(A1842,[12]PRIORIZADOS!$A:$K,11,FALSE)),"")</f>
        <v>JAIRO ANDRÉS ÁLVAREZ CHÁVEZ</v>
      </c>
      <c r="L1842" s="11" t="str">
        <f>IFERROR(IF(VLOOKUP(A1842,[12]PRIORIZADOS!$A:$L,12,FALSE)="","",VLOOKUP(A1842,[12]PRIORIZADOS!$A:$L,12,FALSE)),"")</f>
        <v>XIMENA CAROLINA RAMÍREZ MORALES</v>
      </c>
      <c r="M1842" s="71">
        <f>IFERROR(IF(VLOOKUP(A1842,[12]PRIORIZADOS!$A:$M,13,FALSE)="","",VLOOKUP(A1842,[12]PRIORIZADOS!$A:$M,13,FALSE)),"")</f>
        <v>45892</v>
      </c>
      <c r="N1842" s="71">
        <f>IFERROR(IF(VLOOKUP(A1842,[12]PRIORIZADOS!$A:$N,14,FALSE)="","",VLOOKUP(A1842,[12]PRIORIZADOS!$A:$N,14,FALSE)),"")</f>
        <v>45892</v>
      </c>
      <c r="O1842" s="71">
        <f>IFERROR(IF(VLOOKUP(A1842,[12]PRIORIZADOS!$A:$O,15,FALSE)="","",VLOOKUP(A1842,[12]PRIORIZADOS!$A:$O,15,FALSE)),"")</f>
        <v>45905</v>
      </c>
      <c r="P1842" s="11" t="str">
        <f>IFERROR(IF(VLOOKUP(A1842,[12]PRIORIZADOS!$A:$P,16,FALSE)="","",VLOOKUP(A1842,[12]PRIORIZADOS!$A:$P,16,FALSE)),"")</f>
        <v>Visitas de evaluación con fines de seguimiento</v>
      </c>
      <c r="Q1842" s="38" t="s">
        <v>399</v>
      </c>
      <c r="R1842" s="11" t="str">
        <f>IFERROR(IF(VLOOKUP(A1842,[12]PRIORIZADOS!$A:$R,18,FALSE)="","",VLOOKUP(A1842,[12]PRIORIZADOS!$A:$R,18,FALSE)),"")</f>
        <v>se constató los Matrícula, Certificados y Costos. Se realizaron solicitudes de ajuste respectivamente en remisorios, adecuados a resoluciones</v>
      </c>
      <c r="S1842" s="11" t="str">
        <f>IFERROR(IF(VLOOKUP(A1842,[12]PRIORIZADOS!$A:$S,19,FALSE)="","",VLOOKUP(A1842,[12]PRIORIZADOS!$A:$S,19,FALSE)),"")</f>
        <v>La IE está en tiempo de presentar el ajuste observado</v>
      </c>
      <c r="T1842" s="70" t="str">
        <f>IFERROR(IF(VLOOKUP(A1842,[12]PRIORIZADOS!$A:$T,20,FALSE)="","",VLOOKUP(A1842,[12]PRIORIZADOS!$A:$T,20,FALSE)),"")</f>
        <v>No</v>
      </c>
      <c r="U1842" s="11" t="str">
        <f>IFERROR(IF(VLOOKUP(A1842,[12]PRIORIZADOS!$A:$U,21,FALSE)="","",VLOOKUP(A1842,[12]PRIORIZADOS!$A:$U,21,FALSE)),"")</f>
        <v>Se hará verificación en caso de presentarse requerimiento</v>
      </c>
    </row>
    <row r="1843" spans="1:40" ht="48">
      <c r="A1843" s="69">
        <f>IF([12]PRIORIZADOS!A174="","",[12]PRIORIZADOS!A174)</f>
        <v>1810</v>
      </c>
      <c r="B1843" s="70">
        <v>22</v>
      </c>
      <c r="C1843" s="11" t="str">
        <f>IFERROR(IF(VLOOKUP(A1843,[12]PRIORIZADOS!$A:$C,3,FALSE)="","",VLOOKUP(A1843,[12]PRIORIZADOS!$A:$C,3,FALSE)),"")</f>
        <v>SAN CRISTÓBAL</v>
      </c>
      <c r="D1843" s="11" t="str">
        <f>IFERROR(IF(VLOOKUP(A1843,[12]PRIORIZADOS!$A:$D,4,FALSE)="","",VLOOKUP(A1843,[12]PRIORIZADOS!$A:$D,4,FALSE)),"")</f>
        <v>PRIVADO_IETDH</v>
      </c>
      <c r="E1843" s="11" t="str">
        <f>IFERROR(IF(VLOOKUP(A1843,[12]PRIORIZADOS!$A:$E,5,FALSE)="","",VLOOKUP(A1843,[12]PRIORIZADOS!$A:$E,5,FALSE)),"")</f>
        <v>IETDH</v>
      </c>
      <c r="F1843" s="11" t="str">
        <f>IFERROR(IF(VLOOKUP(A1843,[12]PRIORIZADOS!$A:$F,6,FALSE)="","",VLOOKUP(A1843,[12]PRIORIZADOS!$A:$F,6,FALSE)),"")</f>
        <v>CENTRO_DE_FORMACIÓN_INTEGRAL_SAN_CAMILO</v>
      </c>
      <c r="G1843" s="11" t="str">
        <f>IFERROR(IF(VLOOKUP(A1843,[12]PRIORIZADOS!$A:$G,7,FALSE)="","",VLOOKUP(A1843,[12]PRIORIZADOS!$A:$G,7,FALSE)),"")</f>
        <v>CENTRO DE FORMACIÓN INTEGRAL SAN CAMILO</v>
      </c>
      <c r="H1843" s="11" t="str">
        <f>IFERROR(IF(VLOOKUP(A1843,[12]PRIORIZADOS!$A:$H,8,FALSE)="","",VLOOKUP(A1843,[12]PRIORIZADOS!$A:$H,8,FALSE)),"")</f>
        <v>IETDH priorizadas por cada ELIV (seguimiento a PMI, que no se hayan visitado en los últimos 3 años)</v>
      </c>
      <c r="I1843" s="72" t="str">
        <f>IFERROR(IF(VLOOKUP(A1843,[12]PRIORIZADOS!$A:$I,9,FALSE)="","",VLOOKUP(A1843,[12]PRIORIZADOS!$A:$I,9,FALSE)),"")</f>
        <v>SEGUIMIENTO_Y_SUPERVISIÓN.</v>
      </c>
      <c r="J1843" s="11" t="str">
        <f>IFERROR(IF(VLOOKUP(A1843,[12]PRIORIZADOS!$A:$J,10,FALSE)="","",VLOOKUP(A1843,[12]PRIORIZADOS!$A:$J,10,FALSE)),"")</f>
        <v>Adelantar visitas para verificar que el desarrollo de los programas de ETDH, esté de acuerdo con lo autorizado y la normatividad vigente, para propender por su pertinencia, legalidad y actualización constante.</v>
      </c>
      <c r="K1843" s="11" t="str">
        <f>IFERROR(IF(VLOOKUP(A1843,[12]PRIORIZADOS!$A:$K,11,FALSE)="","",VLOOKUP(A1843,[12]PRIORIZADOS!$A:$K,11,FALSE)),"")</f>
        <v>JAIRO ANDRÉS ÁLVAREZ CHÁVEZ</v>
      </c>
      <c r="L1843" s="11" t="str">
        <f>IFERROR(IF(VLOOKUP(A1843,[12]PRIORIZADOS!$A:$L,12,FALSE)="","",VLOOKUP(A1843,[12]PRIORIZADOS!$A:$L,12,FALSE)),"")</f>
        <v>XIMENA CAROLINA RAMÍREZ MORALES</v>
      </c>
      <c r="M1843" s="71">
        <f>IFERROR(IF(VLOOKUP(A1843,[12]PRIORIZADOS!$A:$M,13,FALSE)="","",VLOOKUP(A1843,[12]PRIORIZADOS!$A:$M,13,FALSE)),"")</f>
        <v>45892</v>
      </c>
      <c r="N1843" s="71">
        <f>IFERROR(IF(VLOOKUP(A1843,[12]PRIORIZADOS!$A:$N,14,FALSE)="","",VLOOKUP(A1843,[12]PRIORIZADOS!$A:$N,14,FALSE)),"")</f>
        <v>45892</v>
      </c>
      <c r="O1843" s="71">
        <f>IFERROR(IF(VLOOKUP(A1843,[12]PRIORIZADOS!$A:$O,15,FALSE)="","",VLOOKUP(A1843,[12]PRIORIZADOS!$A:$O,15,FALSE)),"")</f>
        <v>45905</v>
      </c>
      <c r="P1843" s="11" t="str">
        <f>IFERROR(IF(VLOOKUP(A1843,[12]PRIORIZADOS!$A:$P,16,FALSE)="","",VLOOKUP(A1843,[12]PRIORIZADOS!$A:$P,16,FALSE)),"")</f>
        <v>Visitas de evaluación con fines de seguimiento</v>
      </c>
      <c r="Q1843" s="38" t="s">
        <v>399</v>
      </c>
      <c r="R1843" s="11" t="str">
        <f>IFERROR(IF(VLOOKUP(A1843,[12]PRIORIZADOS!$A:$R,18,FALSE)="","",VLOOKUP(A1843,[12]PRIORIZADOS!$A:$R,18,FALSE)),"")</f>
        <v>ELIV constata la existencia de Programas, y el vencimiento próximo de dos de ellos. Se realizan notas respecto de Jurisdicción y Metodología, entre otros</v>
      </c>
      <c r="S1843" s="11" t="str">
        <f>IFERROR(IF(VLOOKUP(A1843,[12]PRIORIZADOS!$A:$S,19,FALSE)="","",VLOOKUP(A1843,[12]PRIORIZADOS!$A:$S,19,FALSE)),"")</f>
        <v>La IE está en tiempo de presentar el ajuste observado</v>
      </c>
      <c r="T1843" s="70" t="str">
        <f>IFERROR(IF(VLOOKUP(A1843,[12]PRIORIZADOS!$A:$T,20,FALSE)="","",VLOOKUP(A1843,[12]PRIORIZADOS!$A:$T,20,FALSE)),"")</f>
        <v>No</v>
      </c>
      <c r="U1843" s="11" t="str">
        <f>IFERROR(IF(VLOOKUP(A1843,[12]PRIORIZADOS!$A:$U,21,FALSE)="","",VLOOKUP(A1843,[12]PRIORIZADOS!$A:$U,21,FALSE)),"")</f>
        <v>Se hará verificación en caso de presentarse requerimiento</v>
      </c>
    </row>
    <row r="1844" spans="1:40" ht="72">
      <c r="A1844" s="73">
        <v>1811</v>
      </c>
      <c r="B1844" s="74">
        <v>22</v>
      </c>
      <c r="C1844" s="75" t="s">
        <v>400</v>
      </c>
      <c r="D1844" s="49" t="s">
        <v>92</v>
      </c>
      <c r="E1844" s="49" t="s">
        <v>93</v>
      </c>
      <c r="F1844" s="49" t="s">
        <v>401</v>
      </c>
      <c r="G1844" s="49" t="s">
        <v>402</v>
      </c>
      <c r="H1844" s="76" t="s">
        <v>96</v>
      </c>
      <c r="I1844" s="77" t="s">
        <v>179</v>
      </c>
      <c r="J1844" s="78" t="s">
        <v>180</v>
      </c>
      <c r="K1844" s="49" t="s">
        <v>403</v>
      </c>
      <c r="L1844" s="49" t="s">
        <v>404</v>
      </c>
      <c r="M1844" s="79">
        <v>45892</v>
      </c>
      <c r="N1844" s="79">
        <v>45892</v>
      </c>
      <c r="O1844" s="79">
        <v>45905</v>
      </c>
      <c r="P1844" s="76" t="s">
        <v>405</v>
      </c>
      <c r="Q1844" s="38" t="s">
        <v>399</v>
      </c>
      <c r="R1844" s="80" t="s">
        <v>406</v>
      </c>
      <c r="S1844" s="80" t="s">
        <v>407</v>
      </c>
      <c r="T1844" s="73" t="s">
        <v>105</v>
      </c>
      <c r="U1844" s="80" t="s">
        <v>408</v>
      </c>
      <c r="V1844" s="81"/>
      <c r="W1844" s="81"/>
      <c r="X1844" s="81"/>
      <c r="Y1844" s="81"/>
      <c r="Z1844" s="81"/>
      <c r="AA1844" s="81"/>
      <c r="AB1844" s="81"/>
      <c r="AC1844" s="81"/>
      <c r="AD1844" s="81"/>
      <c r="AE1844" s="81"/>
      <c r="AF1844" s="81"/>
      <c r="AG1844" s="81"/>
      <c r="AH1844" s="81"/>
      <c r="AI1844" s="81"/>
      <c r="AJ1844" s="81"/>
      <c r="AK1844" s="81"/>
      <c r="AL1844" s="81"/>
      <c r="AM1844" s="81"/>
      <c r="AN1844" s="81"/>
    </row>
    <row r="1845" spans="1:40" s="1" customFormat="1" ht="60">
      <c r="A1845" s="69">
        <f>IF([13]PRIORIZADOS!A8="","",[13]PRIORIZADOS!A8)</f>
        <v>1812</v>
      </c>
      <c r="B1845" s="70">
        <f>IFERROR(IF(VLOOKUP(A1845,[13]PRIORIZADOS!$A:$B,2,FALSE)="","",VLOOKUP(A1845,[13]PRIORIZADOS!$A:$B,2,FALSE)),"")</f>
        <v>1</v>
      </c>
      <c r="C1845" s="11" t="str">
        <f>IFERROR(IF(VLOOKUP(A1845,[13]PRIORIZADOS!$A:$C,3,FALSE)="","",VLOOKUP(A1845,[13]PRIORIZADOS!$A:$C,3,FALSE)),"")</f>
        <v xml:space="preserve">SANTA FE Y CANDELARIA </v>
      </c>
      <c r="D1845" s="11" t="str">
        <f>IFERROR(IF(VLOOKUP(A1845,[13]PRIORIZADOS!$A:$D,4,FALSE)="","",VLOOKUP(A1845,[13]PRIORIZADOS!$A:$D,4,FALSE)),"")</f>
        <v>OFICIAL</v>
      </c>
      <c r="E1845" s="11" t="str">
        <f>IFERROR(IF(VLOOKUP(A1845,[13]PRIORIZADOS!$A:$E,5,FALSE)="","",VLOOKUP(A1845,[13]PRIORIZADOS!$A:$E,5,FALSE)),"")</f>
        <v>EPBM</v>
      </c>
      <c r="F1845" s="11" t="str">
        <f>IFERROR(IF(VLOOKUP(A1845,[13]PRIORIZADOS!$A:$F,6,FALSE)="","",VLOOKUP(A1845,[13]PRIORIZADOS!$A:$F,6,FALSE)),"")</f>
        <v>COLEGIO_JORGE_SOTO_DEL_CORRAL_IED</v>
      </c>
      <c r="G1845" s="11" t="str">
        <f>IFERROR(IF(VLOOKUP(A1845,[13]PRIORIZADOS!$A:$G,7,FALSE)="","",VLOOKUP(A1845,[13]PRIORIZADOS!$A:$G,7,FALSE)),"")</f>
        <v>JORGE SOTO DEL CORRAL</v>
      </c>
      <c r="H1845" s="11" t="str">
        <f>IFERROR(IF(VLOOKUP(A1845,[13]PRIORIZADOS!$A:$H,8,FALSE)="","",VLOOKUP(A1845,[13]PRIORIZADOS!$A:$H,8,FALSE)),"")</f>
        <v>Convivencia escolar</v>
      </c>
      <c r="I1845" s="110" t="str">
        <f>IFERROR(IF(VLOOKUP(A1845,[13]PRIORIZADOS!$A:$I,9,FALSE)="","",VLOOKUP(A1845,[13]PRIORIZADOS!$A:$I,9,FALSE)),"")</f>
        <v>SEGUIMIENTO_Y_SUPERVISIÓN.</v>
      </c>
      <c r="J1845" s="11" t="str">
        <f>IFERROR(IF(VLOOKUP(A1845,[13]PRIORIZADOS!$A:$J,10,FALSE)="","",VLOOKUP(A1845,[13]PRIORIZADOS!$A:$J,10,FALSE)),"")</f>
        <v xml:space="preserve">Verificar la implementación por parte de los colegios, de acciones realizadas para la prevención y atención de las situaciones de convivencia en el entorno escolar, según lo establecido en la Directiva 01 de 2022 del MEN. </v>
      </c>
      <c r="K1845" s="11" t="str">
        <f>IFERROR(IF(VLOOKUP(A1845,[13]PRIORIZADOS!$A:$K,11,FALSE)="","",VLOOKUP(A1845,[13]PRIORIZADOS!$A:$K,11,FALSE)),"")</f>
        <v>DAMARIS RUT CÁRDENAS MORENO</v>
      </c>
      <c r="L1845" s="11" t="str">
        <f>IFERROR(IF(VLOOKUP(A1845,[13]PRIORIZADOS!$A:$L,12,FALSE)="","",VLOOKUP(A1845,[13]PRIORIZADOS!$A:$L,12,FALSE)),"")</f>
        <v>JOSÉ MAXIMILIANO CHAPARRO BARRERA</v>
      </c>
      <c r="M1845" s="71">
        <f>IFERROR(IF(VLOOKUP(A1845,[13]PRIORIZADOS!$A:$M,13,FALSE)="","",VLOOKUP(A1845,[13]PRIORIZADOS!$A:$M,13,FALSE)),"")</f>
        <v>45744</v>
      </c>
      <c r="N1845" s="71">
        <f>IFERROR(IF(VLOOKUP(A1845,[13]PRIORIZADOS!$A:$N,14,FALSE)="","",VLOOKUP(A1845,[13]PRIORIZADOS!$A:$N,14,FALSE)),"")</f>
        <v>45744</v>
      </c>
      <c r="O1845" s="71">
        <f>IFERROR(IF(VLOOKUP(A1845,[13]PRIORIZADOS!$A:$O,15,FALSE)="","",VLOOKUP(A1845,[13]PRIORIZADOS!$A:$O,15,FALSE)),"")</f>
        <v>45744</v>
      </c>
      <c r="P1845" s="11" t="str">
        <f>IFERROR(IF(VLOOKUP(A1845,[13]PRIORIZADOS!$A:$P,16,FALSE)="","",VLOOKUP(A1845,[13]PRIORIZADOS!$A:$P,16,FALSE)),"")</f>
        <v>Visitas de evaluación con fines de mejoramiento</v>
      </c>
      <c r="Q1845" s="240" t="s">
        <v>409</v>
      </c>
      <c r="R1845" s="11" t="str">
        <f>IFERROR(IF(VLOOKUP(A1845,[13]PRIORIZADOS!$A:$R,18,FALSE)="","",VLOOKUP(A1845,[13]PRIORIZADOS!$A:$R,18,FALSE)),"")</f>
        <v>Se evidenció que no se han realizado procesos de socialización sobre la Directiva 01, y la actualización del manual de convivencia no fue realizada con los órganos e instancias de participación. </v>
      </c>
      <c r="S1845" s="11" t="str">
        <f>IFERROR(IF(VLOOKUP(A1845,[13]PRIORIZADOS!$A:$S,19,FALSE)="","",VLOOKUP(A1845,[13]PRIORIZADOS!$A:$S,19,FALSE)),"")</f>
        <v>Realizar la actualización participativa del manual de Convivencia</v>
      </c>
      <c r="T1845" s="70" t="str">
        <f>IFERROR(IF(VLOOKUP(A1845,[13]PRIORIZADOS!$A:$T,20,FALSE)="","",VLOOKUP(A1845,[13]PRIORIZADOS!$A:$T,20,FALSE)),"")</f>
        <v>Si</v>
      </c>
      <c r="U1845" s="11" t="str">
        <f>IFERROR(IF(VLOOKUP(A1845,[13]PRIORIZADOS!$A:$U,21,FALSE)="","",VLOOKUP(A1845,[13]PRIORIZADOS!$A:$U,21,FALSE)),"")</f>
        <v xml:space="preserve">Se hará segunda visita el día 7 de abril de 2025, para verificar las acciones de mejora en el PIMA - Plan Institucional de Mejoramiento Acordado. Se realizará viista en la siguiente vigencia como seguimiento al plan Plan de Mejoramiento. </v>
      </c>
    </row>
    <row r="1846" spans="1:40" s="1" customFormat="1" ht="72">
      <c r="A1846" s="69">
        <f>IF([13]PRIORIZADOS!A9="","",[13]PRIORIZADOS!A9)</f>
        <v>1813</v>
      </c>
      <c r="B1846" s="70">
        <f>IFERROR(IF(VLOOKUP(A1846,[13]PRIORIZADOS!$A:$B,2,FALSE)="","",VLOOKUP(A1846,[13]PRIORIZADOS!$A:$B,2,FALSE)),"")</f>
        <v>1</v>
      </c>
      <c r="C1846" s="11" t="str">
        <f>IFERROR(IF(VLOOKUP(A1846,[13]PRIORIZADOS!$A:$C,3,FALSE)="","",VLOOKUP(A1846,[13]PRIORIZADOS!$A:$C,3,FALSE)),"")</f>
        <v xml:space="preserve">SANTA FE Y CANDELARIA </v>
      </c>
      <c r="D1846" s="11" t="str">
        <f>IFERROR(IF(VLOOKUP(A1846,[13]PRIORIZADOS!$A:$D,4,FALSE)="","",VLOOKUP(A1846,[13]PRIORIZADOS!$A:$D,4,FALSE)),"")</f>
        <v>OFICIAL</v>
      </c>
      <c r="E1846" s="11" t="str">
        <f>IFERROR(IF(VLOOKUP(A1846,[13]PRIORIZADOS!$A:$E,5,FALSE)="","",VLOOKUP(A1846,[13]PRIORIZADOS!$A:$E,5,FALSE)),"")</f>
        <v>EPBM</v>
      </c>
      <c r="F1846" s="11" t="str">
        <f>IFERROR(IF(VLOOKUP(A1846,[13]PRIORIZADOS!$A:$F,6,FALSE)="","",VLOOKUP(A1846,[13]PRIORIZADOS!$A:$F,6,FALSE)),"")</f>
        <v>COLEGIO_JORGE_SOTO_DEL_CORRAL_IED</v>
      </c>
      <c r="G1846" s="11" t="str">
        <f>IFERROR(IF(VLOOKUP(A1846,[13]PRIORIZADOS!$A:$G,7,FALSE)="","",VLOOKUP(A1846,[13]PRIORIZADOS!$A:$G,7,FALSE)),"")</f>
        <v>JORGE SOTO DEL CORRAL</v>
      </c>
      <c r="H1846" s="11" t="str">
        <f>IFERROR(IF(VLOOKUP(A1846,[13]PRIORIZADOS!$A:$H,8,FALSE)="","",VLOOKUP(A1846,[13]PRIORIZADOS!$A:$H,8,FALSE)),"")</f>
        <v>Convivencia escolar</v>
      </c>
      <c r="I1846" s="11" t="str">
        <f>IFERROR(IF(VLOOKUP(A1846,[13]PRIORIZADOS!$A:$I,9,FALSE)="","",VLOOKUP(A1846,[13]PRIORIZADOS!$A:$I,9,FALSE)),"")</f>
        <v>SEGUIMIENTO_Y_SUPERVISIÓN.</v>
      </c>
      <c r="J1846" s="11" t="str">
        <f>IFERROR(IF(VLOOKUP(A1846,[13]PRIORIZADOS!$A:$J,10,FALSE)="","",VLOOKUP(A1846,[13]PRIORIZADOS!$A:$J,10,FALSE)),"")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46" s="11" t="str">
        <f>IFERROR(IF(VLOOKUP(A1846,[13]PRIORIZADOS!$A:$K,11,FALSE)="","",VLOOKUP(A1846,[13]PRIORIZADOS!$A:$K,11,FALSE)),"")</f>
        <v>DAMARIS RUT CÁRDENAS MORENO</v>
      </c>
      <c r="L1846" s="11" t="str">
        <f>IFERROR(IF(VLOOKUP(A1846,[13]PRIORIZADOS!$A:$L,12,FALSE)="","",VLOOKUP(A1846,[13]PRIORIZADOS!$A:$L,12,FALSE)),"")</f>
        <v>JOSÉ MAXIMILIANO CHAPARRO BARRERA</v>
      </c>
      <c r="M1846" s="71">
        <f>IFERROR(IF(VLOOKUP(A1846,[13]PRIORIZADOS!$A:$M,13,FALSE)="","",VLOOKUP(A1846,[13]PRIORIZADOS!$A:$M,13,FALSE)),"")</f>
        <v>45744</v>
      </c>
      <c r="N1846" s="71">
        <f>IFERROR(IF(VLOOKUP(A1846,[13]PRIORIZADOS!$A:$N,14,FALSE)="","",VLOOKUP(A1846,[13]PRIORIZADOS!$A:$N,14,FALSE)),"")</f>
        <v>45744</v>
      </c>
      <c r="O1846" s="71">
        <f>IFERROR(IF(VLOOKUP(A1846,[13]PRIORIZADOS!$A:$O,15,FALSE)="","",VLOOKUP(A1846,[13]PRIORIZADOS!$A:$O,15,FALSE)),"")</f>
        <v>45744</v>
      </c>
      <c r="P1846" s="11" t="str">
        <f>IFERROR(IF(VLOOKUP(A1846,[13]PRIORIZADOS!$A:$P,16,FALSE)="","",VLOOKUP(A1846,[13]PRIORIZADOS!$A:$P,16,FALSE)),"")</f>
        <v>Visitas de evaluación con fines de mejoramiento</v>
      </c>
      <c r="Q1846" s="240" t="s">
        <v>409</v>
      </c>
      <c r="R1846" s="11" t="str">
        <f>IFERROR(IF(VLOOKUP(A1846,[13]PRIORIZADOS!$A:$R,18,FALSE)="","",VLOOKUP(A1846,[13]PRIORIZADOS!$A:$R,18,FALSE)),"")</f>
        <v>Se evidencia que hay estudiantes matriculados con discapacidad y trastornos de aprendizaje; sin embargo, no hay PIAR formalizados y sus comunicativos con las familias.</v>
      </c>
      <c r="S1846" s="11" t="str">
        <f>IFERROR(IF(VLOOKUP(A1846,[13]PRIORIZADOS!$A:$S,19,FALSE)="","",VLOOKUP(A1846,[13]PRIORIZADOS!$A:$S,19,FALSE)),"")</f>
        <v>Elaborar el PIAR de los estudiantes con discapacidad y trastornos de aprendizaje, así como realizar compromisos en el proceso académico y pedagógico con las familias.</v>
      </c>
      <c r="T1846" s="70" t="str">
        <f>IFERROR(IF(VLOOKUP(A1846,[13]PRIORIZADOS!$A:$T,20,FALSE)="","",VLOOKUP(A1846,[13]PRIORIZADOS!$A:$T,20,FALSE)),"")</f>
        <v>Si</v>
      </c>
      <c r="U1846" s="11" t="str">
        <f>IFERROR(IF(VLOOKUP(A1846,[13]PRIORIZADOS!$A:$U,21,FALSE)="","",VLOOKUP(A1846,[13]PRIORIZADOS!$A:$U,21,FALSE)),"")</f>
        <v xml:space="preserve">Se hará segunda visita el día 7 de abril de 2025, para verificar las acciones de mejora en el PIMA - Plan Institucional de Mejoramiento Acordado. Se realizará visita en la siguiente vigencia como seguimiento al plan Plan de Mejoramiento. </v>
      </c>
    </row>
    <row r="1847" spans="1:40" s="1" customFormat="1" ht="84">
      <c r="A1847" s="69">
        <f>IF([13]PRIORIZADOS!A10="","",[13]PRIORIZADOS!A10)</f>
        <v>1814</v>
      </c>
      <c r="B1847" s="70">
        <f>IFERROR(IF(VLOOKUP(A1847,[13]PRIORIZADOS!$A:$B,2,FALSE)="","",VLOOKUP(A1847,[13]PRIORIZADOS!$A:$B,2,FALSE)),"")</f>
        <v>1</v>
      </c>
      <c r="C1847" s="11" t="str">
        <f>IFERROR(IF(VLOOKUP(A1847,[13]PRIORIZADOS!$A:$C,3,FALSE)="","",VLOOKUP(A1847,[13]PRIORIZADOS!$A:$C,3,FALSE)),"")</f>
        <v xml:space="preserve">SANTA FE Y CANDELARIA </v>
      </c>
      <c r="D1847" s="11" t="str">
        <f>IFERROR(IF(VLOOKUP(A1847,[13]PRIORIZADOS!$A:$D,4,FALSE)="","",VLOOKUP(A1847,[13]PRIORIZADOS!$A:$D,4,FALSE)),"")</f>
        <v>OFICIAL</v>
      </c>
      <c r="E1847" s="11" t="str">
        <f>IFERROR(IF(VLOOKUP(A1847,[13]PRIORIZADOS!$A:$E,5,FALSE)="","",VLOOKUP(A1847,[13]PRIORIZADOS!$A:$E,5,FALSE)),"")</f>
        <v>EPBM</v>
      </c>
      <c r="F1847" s="11" t="str">
        <f>IFERROR(IF(VLOOKUP(A1847,[13]PRIORIZADOS!$A:$F,6,FALSE)="","",VLOOKUP(A1847,[13]PRIORIZADOS!$A:$F,6,FALSE)),"")</f>
        <v>COLEGIO_JORGE_SOTO_DEL_CORRAL_IED</v>
      </c>
      <c r="G1847" s="11" t="str">
        <f>IFERROR(IF(VLOOKUP(A1847,[13]PRIORIZADOS!$A:$G,7,FALSE)="","",VLOOKUP(A1847,[13]PRIORIZADOS!$A:$G,7,FALSE)),"")</f>
        <v>JORGE SOTO DEL CORRAL</v>
      </c>
      <c r="H1847" s="11" t="str">
        <f>IFERROR(IF(VLOOKUP(A1847,[13]PRIORIZADOS!$A:$H,8,FALSE)="","",VLOOKUP(A1847,[13]PRIORIZADOS!$A:$H,8,FALSE)),"")</f>
        <v>Convivencia escolar</v>
      </c>
      <c r="I1847" s="11" t="str">
        <f>IFERROR(IF(VLOOKUP(A1847,[13]PRIORIZADOS!$A:$I,9,FALSE)="","",VLOOKUP(A1847,[13]PRIORIZADOS!$A:$I,9,FALSE)),"")</f>
        <v>EVALUACIÓN_CON_FINES_DE_MEJORAMIENTO.</v>
      </c>
      <c r="J1847" s="11" t="str">
        <f>IFERROR(IF(VLOOKUP(A1847,[13]PRIORIZADOS!$A:$J,10,FALSE)="","",VLOOKUP(A1847,[13]PRIORIZADOS!$A:$J,10,FALSE)),"")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47" s="11" t="str">
        <f>IFERROR(IF(VLOOKUP(A1847,[13]PRIORIZADOS!$A:$K,11,FALSE)="","",VLOOKUP(A1847,[13]PRIORIZADOS!$A:$K,11,FALSE)),"")</f>
        <v>DAMARIS RUT CÁRDENAS MORENO</v>
      </c>
      <c r="L1847" s="11" t="str">
        <f>IFERROR(IF(VLOOKUP(A1847,[13]PRIORIZADOS!$A:$L,12,FALSE)="","",VLOOKUP(A1847,[13]PRIORIZADOS!$A:$L,12,FALSE)),"")</f>
        <v>JOSÉ MAXIMILIANO CHAPARRO BARRERA</v>
      </c>
      <c r="M1847" s="71">
        <f>IFERROR(IF(VLOOKUP(A1847,[13]PRIORIZADOS!$A:$M,13,FALSE)="","",VLOOKUP(A1847,[13]PRIORIZADOS!$A:$M,13,FALSE)),"")</f>
        <v>45744</v>
      </c>
      <c r="N1847" s="71">
        <f>IFERROR(IF(VLOOKUP(A1847,[13]PRIORIZADOS!$A:$N,14,FALSE)="","",VLOOKUP(A1847,[13]PRIORIZADOS!$A:$N,14,FALSE)),"")</f>
        <v>45744</v>
      </c>
      <c r="O1847" s="71">
        <f>IFERROR(IF(VLOOKUP(A1847,[13]PRIORIZADOS!$A:$O,15,FALSE)="","",VLOOKUP(A1847,[13]PRIORIZADOS!$A:$O,15,FALSE)),"")</f>
        <v>45744</v>
      </c>
      <c r="P1847" s="11" t="str">
        <f>IFERROR(IF(VLOOKUP(A1847,[13]PRIORIZADOS!$A:$P,16,FALSE)="","",VLOOKUP(A1847,[13]PRIORIZADOS!$A:$P,16,FALSE)),"")</f>
        <v>Visitas de evaluación con fines de mejoramiento</v>
      </c>
      <c r="Q1847" s="240" t="s">
        <v>409</v>
      </c>
      <c r="R1847" s="11" t="str">
        <f>IFERROR(IF(VLOOKUP(A1847,[13]PRIORIZADOS!$A:$R,18,FALSE)="","",VLOOKUP(A1847,[13]PRIORIZADOS!$A:$R,18,FALSE)),"")</f>
        <v>Se evidencia que no se ha dado la participación de todos los estamentos de la comunidad educativa en el proceso de construcción y actualización de documentos institucionales. </v>
      </c>
      <c r="S1847" s="11" t="str">
        <f>IFERROR(IF(VLOOKUP(A1847,[13]PRIORIZADOS!$A:$S,19,FALSE)="","",VLOOKUP(A1847,[13]PRIORIZADOS!$A:$S,19,FALSE)),"")</f>
        <v>Desarrollar estrategias que permitan mayor articulación entre las sedes, asumir  las funciones legalmente establecidas y garantizar la ejecución de sus responsabilidades mediante un Plan Operativo. </v>
      </c>
      <c r="T1847" s="70" t="str">
        <f>IFERROR(IF(VLOOKUP(A1847,[13]PRIORIZADOS!$A:$T,20,FALSE)="","",VLOOKUP(A1847,[13]PRIORIZADOS!$A:$T,20,FALSE)),"")</f>
        <v>Si</v>
      </c>
      <c r="U1847" s="11" t="str">
        <f>IFERROR(IF(VLOOKUP(A1847,[13]PRIORIZADOS!$A:$U,21,FALSE)="","",VLOOKUP(A1847,[13]PRIORIZADOS!$A:$U,21,FALSE)),"")</f>
        <v>Se acuerda del desarrollo de una segunda visita el día 7 de abril de 2025, con el fin de verificar la información faltante y convenir compromisos necesarios para la formulación del plan de mejoramiento. Se realizará visita en la siguiente vigencia como seguimiento al plan Plan de Mejoramiento.</v>
      </c>
    </row>
    <row r="1848" spans="1:40" s="1" customFormat="1" ht="72">
      <c r="A1848" s="69">
        <f>IF([13]PRIORIZADOS!A11="","",[13]PRIORIZADOS!A11)</f>
        <v>1815</v>
      </c>
      <c r="B1848" s="70">
        <f>IFERROR(IF(VLOOKUP(A1848,[13]PRIORIZADOS!$A:$B,2,FALSE)="","",VLOOKUP(A1848,[13]PRIORIZADOS!$A:$B,2,FALSE)),"")</f>
        <v>1</v>
      </c>
      <c r="C1848" s="11" t="str">
        <f>IFERROR(IF(VLOOKUP(A1848,[13]PRIORIZADOS!$A:$C,3,FALSE)="","",VLOOKUP(A1848,[13]PRIORIZADOS!$A:$C,3,FALSE)),"")</f>
        <v xml:space="preserve">SANTA FE Y CANDELARIA </v>
      </c>
      <c r="D1848" s="11" t="str">
        <f>IFERROR(IF(VLOOKUP(A1848,[13]PRIORIZADOS!$A:$D,4,FALSE)="","",VLOOKUP(A1848,[13]PRIORIZADOS!$A:$D,4,FALSE)),"")</f>
        <v>OFICIAL</v>
      </c>
      <c r="E1848" s="11" t="str">
        <f>IFERROR(IF(VLOOKUP(A1848,[13]PRIORIZADOS!$A:$E,5,FALSE)="","",VLOOKUP(A1848,[13]PRIORIZADOS!$A:$E,5,FALSE)),"")</f>
        <v>EPBM</v>
      </c>
      <c r="F1848" s="11" t="str">
        <f>IFERROR(IF(VLOOKUP(A1848,[13]PRIORIZADOS!$A:$F,6,FALSE)="","",VLOOKUP(A1848,[13]PRIORIZADOS!$A:$F,6,FALSE)),"")</f>
        <v>COLEGIO_JORGE_SOTO_DEL_CORRAL_IED</v>
      </c>
      <c r="G1848" s="11" t="str">
        <f>IFERROR(IF(VLOOKUP(A1848,[13]PRIORIZADOS!$A:$G,7,FALSE)="","",VLOOKUP(A1848,[13]PRIORIZADOS!$A:$G,7,FALSE)),"")</f>
        <v>JORGE SOTO DEL CORRAL</v>
      </c>
      <c r="H1848" s="11" t="str">
        <f>IFERROR(IF(VLOOKUP(A1848,[13]PRIORIZADOS!$A:$H,8,FALSE)="","",VLOOKUP(A1848,[13]PRIORIZADOS!$A:$H,8,FALSE)),"")</f>
        <v>Convivencia escolar</v>
      </c>
      <c r="I1848" s="11" t="str">
        <f>IFERROR(IF(VLOOKUP(A1848,[13]PRIORIZADOS!$A:$I,9,FALSE)="","",VLOOKUP(A1848,[13]PRIORIZADOS!$A:$I,9,FALSE)),"")</f>
        <v>EVALUACIÓN_CON_FINES_DE_MEJORAMIENTO.</v>
      </c>
      <c r="J1848" s="11" t="str">
        <f>IFERROR(IF(VLOOKUP(A1848,[13]PRIORIZADOS!$A:$J,10,FALSE)="","",VLOOKUP(A1848,[13]PRIORIZADOS!$A:$J,10,FALSE)),"")</f>
        <v>Revisar la actualización, socialización e implementación del Sistema Institucional de Evaluación de Estudiantes - SIEE, en articulación con la actualización del PEI y la normatividad vigente.</v>
      </c>
      <c r="K1848" s="11" t="str">
        <f>IFERROR(IF(VLOOKUP(A1848,[13]PRIORIZADOS!$A:$K,11,FALSE)="","",VLOOKUP(A1848,[13]PRIORIZADOS!$A:$K,11,FALSE)),"")</f>
        <v>DAMARIS RUT CÁRDENAS MORENO</v>
      </c>
      <c r="L1848" s="11" t="str">
        <f>IFERROR(IF(VLOOKUP(A1848,[13]PRIORIZADOS!$A:$L,12,FALSE)="","",VLOOKUP(A1848,[13]PRIORIZADOS!$A:$L,12,FALSE)),"")</f>
        <v>JOSÉ MAXIMILIANO CHAPARRO BARRERA</v>
      </c>
      <c r="M1848" s="71">
        <f>IFERROR(IF(VLOOKUP(A1848,[13]PRIORIZADOS!$A:$M,13,FALSE)="","",VLOOKUP(A1848,[13]PRIORIZADOS!$A:$M,13,FALSE)),"")</f>
        <v>45744</v>
      </c>
      <c r="N1848" s="71">
        <f>IFERROR(IF(VLOOKUP(A1848,[13]PRIORIZADOS!$A:$N,14,FALSE)="","",VLOOKUP(A1848,[13]PRIORIZADOS!$A:$N,14,FALSE)),"")</f>
        <v>45744</v>
      </c>
      <c r="O1848" s="71">
        <f>IFERROR(IF(VLOOKUP(A1848,[13]PRIORIZADOS!$A:$O,15,FALSE)="","",VLOOKUP(A1848,[13]PRIORIZADOS!$A:$O,15,FALSE)),"")</f>
        <v>45744</v>
      </c>
      <c r="P1848" s="11" t="str">
        <f>IFERROR(IF(VLOOKUP(A1848,[13]PRIORIZADOS!$A:$P,16,FALSE)="","",VLOOKUP(A1848,[13]PRIORIZADOS!$A:$P,16,FALSE)),"")</f>
        <v>Visitas de evaluación con fines de mejoramiento</v>
      </c>
      <c r="Q1848" s="240" t="s">
        <v>409</v>
      </c>
      <c r="R1848" s="11" t="str">
        <f>IFERROR(IF(VLOOKUP(A1848,[13]PRIORIZADOS!$A:$R,18,FALSE)="","",VLOOKUP(A1848,[13]PRIORIZADOS!$A:$R,18,FALSE)),"")</f>
        <v xml:space="preserve">Se evidencia que no se ha dado la participación de todos los estamentos de la comunidad educativa en el proceso de construcción y actualización de documentos institucionales. </v>
      </c>
      <c r="S1848" s="11" t="str">
        <f>IFERROR(IF(VLOOKUP(A1848,[13]PRIORIZADOS!$A:$S,19,FALSE)="","",VLOOKUP(A1848,[13]PRIORIZADOS!$A:$S,19,FALSE)),"")</f>
        <v xml:space="preserve">Desarrollar estrategias que permitan mayor articulación entre las sedes, asumir  las funciones legalmente establecidas y garantizar la ejecución de sus responsabilidades mediante un Plan Operativo. </v>
      </c>
      <c r="T1848" s="70" t="str">
        <f>IFERROR(IF(VLOOKUP(A1848,[13]PRIORIZADOS!$A:$T,20,FALSE)="","",VLOOKUP(A1848,[13]PRIORIZADOS!$A:$T,20,FALSE)),"")</f>
        <v>Si</v>
      </c>
      <c r="U1848" s="11" t="str">
        <f>IFERROR(IF(VLOOKUP(A1848,[13]PRIORIZADOS!$A:$U,21,FALSE)="","",VLOOKUP(A1848,[13]PRIORIZADOS!$A:$U,21,FALSE)),"")</f>
        <v>Se acuerda el desarrollo de una segunda visita el día 7 abril de 2025, con el fin de verificar la información faltante y convenir compromisos necesarios para la formulación del plan de mejoramiento. Se realizará visita en la siguiente vigencia como seguimiento al plan Plan de Mejoramiento.</v>
      </c>
    </row>
    <row r="1849" spans="1:40" s="1" customFormat="1" ht="107.25">
      <c r="A1849" s="69">
        <f>IF([13]PRIORIZADOS!A12="","",[13]PRIORIZADOS!A12)</f>
        <v>1816</v>
      </c>
      <c r="B1849" s="70">
        <f>IFERROR(IF(VLOOKUP(A1849,[13]PRIORIZADOS!$A:$B,2,FALSE)="","",VLOOKUP(A1849,[13]PRIORIZADOS!$A:$B,2,FALSE)),"")</f>
        <v>1</v>
      </c>
      <c r="C1849" s="11" t="str">
        <f>IFERROR(IF(VLOOKUP(A1849,[13]PRIORIZADOS!$A:$C,3,FALSE)="","",VLOOKUP(A1849,[13]PRIORIZADOS!$A:$C,3,FALSE)),"")</f>
        <v xml:space="preserve">SANTA FE Y CANDELARIA </v>
      </c>
      <c r="D1849" s="11" t="str">
        <f>IFERROR(IF(VLOOKUP(A1849,[13]PRIORIZADOS!$A:$D,4,FALSE)="","",VLOOKUP(A1849,[13]PRIORIZADOS!$A:$D,4,FALSE)),"")</f>
        <v>OFICIAL</v>
      </c>
      <c r="E1849" s="11" t="str">
        <f>IFERROR(IF(VLOOKUP(A1849,[13]PRIORIZADOS!$A:$E,5,FALSE)="","",VLOOKUP(A1849,[13]PRIORIZADOS!$A:$E,5,FALSE)),"")</f>
        <v>EPBM</v>
      </c>
      <c r="F1849" s="11" t="str">
        <f>IFERROR(IF(VLOOKUP(A1849,[13]PRIORIZADOS!$A:$F,6,FALSE)="","",VLOOKUP(A1849,[13]PRIORIZADOS!$A:$F,6,FALSE)),"")</f>
        <v>COLEGIO_JORGE_SOTO_DEL_CORRAL_IED</v>
      </c>
      <c r="G1849" s="11" t="str">
        <f>IFERROR(IF(VLOOKUP(A1849,[13]PRIORIZADOS!$A:$G,7,FALSE)="","",VLOOKUP(A1849,[13]PRIORIZADOS!$A:$G,7,FALSE)),"")</f>
        <v>JORGE SOTO DEL CORRAL</v>
      </c>
      <c r="H1849" s="11" t="str">
        <f>IFERROR(IF(VLOOKUP(A1849,[13]PRIORIZADOS!$A:$H,8,FALSE)="","",VLOOKUP(A1849,[13]PRIORIZADOS!$A:$H,8,FALSE)),"")</f>
        <v>Convivencia escolar</v>
      </c>
      <c r="I1849" s="11" t="str">
        <f>IFERROR(IF(VLOOKUP(A1849,[13]PRIORIZADOS!$A:$I,9,FALSE)="","",VLOOKUP(A1849,[13]PRIORIZADOS!$A:$I,9,FALSE)),"")</f>
        <v>EVALUACIÓN_CON_FINES_DE_MEJORAMIENTO.</v>
      </c>
      <c r="J1849" s="11" t="str">
        <f>IFERROR(IF(VLOOKUP(A1849,[13]PRIORIZADOS!$A:$J,10,FALSE)="","",VLOOKUP(A1849,[13]PRIORIZADOS!$A:$J,10,FALSE)),"")</f>
        <v>Verificar el funcionamiento del Gobierno Escolar e instancias de participación con base en la información sobre conformación reportada por la institución educativa.</v>
      </c>
      <c r="K1849" s="11" t="str">
        <f>IFERROR(IF(VLOOKUP(A1849,[13]PRIORIZADOS!$A:$K,11,FALSE)="","",VLOOKUP(A1849,[13]PRIORIZADOS!$A:$K,11,FALSE)),"")</f>
        <v>DAMARIS RUT CÁRDENAS MORENO</v>
      </c>
      <c r="L1849" s="11" t="str">
        <f>IFERROR(IF(VLOOKUP(A1849,[13]PRIORIZADOS!$A:$L,12,FALSE)="","",VLOOKUP(A1849,[13]PRIORIZADOS!$A:$L,12,FALSE)),"")</f>
        <v>JOSÉ MAXIMILIANO CHAPARRO BARRERA</v>
      </c>
      <c r="M1849" s="71">
        <f>IFERROR(IF(VLOOKUP(A1849,[13]PRIORIZADOS!$A:$M,13,FALSE)="","",VLOOKUP(A1849,[13]PRIORIZADOS!$A:$M,13,FALSE)),"")</f>
        <v>45744</v>
      </c>
      <c r="N1849" s="71">
        <f>IFERROR(IF(VLOOKUP(A1849,[13]PRIORIZADOS!$A:$N,14,FALSE)="","",VLOOKUP(A1849,[13]PRIORIZADOS!$A:$N,14,FALSE)),"")</f>
        <v>45744</v>
      </c>
      <c r="O1849" s="71">
        <f>IFERROR(IF(VLOOKUP(A1849,[13]PRIORIZADOS!$A:$O,15,FALSE)="","",VLOOKUP(A1849,[13]PRIORIZADOS!$A:$O,15,FALSE)),"")</f>
        <v>45744</v>
      </c>
      <c r="P1849" s="11" t="str">
        <f>IFERROR(IF(VLOOKUP(A1849,[13]PRIORIZADOS!$A:$P,16,FALSE)="","",VLOOKUP(A1849,[13]PRIORIZADOS!$A:$P,16,FALSE)),"")</f>
        <v>Revisión documental</v>
      </c>
      <c r="Q1849" s="240" t="s">
        <v>409</v>
      </c>
      <c r="R1849" s="11" t="str">
        <f>IFERROR(IF(VLOOKUP(A1849,[13]PRIORIZADOS!$A:$R,18,FALSE)="","",VLOOKUP(A1849,[13]PRIORIZADOS!$A:$R,18,FALSE)),"")</f>
        <v>No ha sido posible verificar información cargada en SAE; sin embargo, se evidencia en la visita el desarrollo de las votaciones y confirmación, de estamentos. </v>
      </c>
      <c r="S1849" s="11" t="str">
        <f>IFERROR(IF(VLOOKUP(A1849,[13]PRIORIZADOS!$A:$S,19,FALSE)="","",VLOOKUP(A1849,[13]PRIORIZADOS!$A:$S,19,FALSE)),"")</f>
        <v>Desarrollar estrategias que permitan una mayor articulación entre las sedes, asumir las funciones legalmente establecidas y garantizar la ejecución de sus responsabilidades mediante un Plan Operativo. Además, la institución debe revisar la estrategia de convocatoria y ejecución de la Escuela de Padres para alcanzar un mayor número de asistentes.</v>
      </c>
      <c r="T1849" s="70" t="str">
        <f>IFERROR(IF(VLOOKUP(A1849,[13]PRIORIZADOS!$A:$T,20,FALSE)="","",VLOOKUP(A1849,[13]PRIORIZADOS!$A:$T,20,FALSE)),"")</f>
        <v>Si</v>
      </c>
      <c r="U1849" s="11" t="str">
        <f>IFERROR(IF(VLOOKUP(A1849,[13]PRIORIZADOS!$A:$U,21,FALSE)="","",VLOOKUP(A1849,[13]PRIORIZADOS!$A:$U,21,FALSE)),"")</f>
        <v>Se acuerda el desarrollo de una segunda visita el día 7 abril de 2025, con el fin de verificar la información faltante y convenir compromisos necesarios para la formulación del plan de mejoramiento. Se realizará visita en la siguiente vigencia como seguimiento al plan Plan de Mejoramiento.</v>
      </c>
    </row>
    <row r="1850" spans="1:40" s="1" customFormat="1" ht="48">
      <c r="A1850" s="69">
        <f>IF([13]PRIORIZADOS!A13="","",[13]PRIORIZADOS!A13)</f>
        <v>1817</v>
      </c>
      <c r="B1850" s="70">
        <f>IFERROR(IF(VLOOKUP(A1850,[13]PRIORIZADOS!$A:$B,2,FALSE)="","",VLOOKUP(A1850,[13]PRIORIZADOS!$A:$B,2,FALSE)),"")</f>
        <v>1</v>
      </c>
      <c r="C1850" s="11" t="str">
        <f>IFERROR(IF(VLOOKUP(A1850,[13]PRIORIZADOS!$A:$C,3,FALSE)="","",VLOOKUP(A1850,[13]PRIORIZADOS!$A:$C,3,FALSE)),"")</f>
        <v xml:space="preserve">SANTA FE Y CANDELARIA </v>
      </c>
      <c r="D1850" s="11" t="str">
        <f>IFERROR(IF(VLOOKUP(A1850,[13]PRIORIZADOS!$A:$D,4,FALSE)="","",VLOOKUP(A1850,[13]PRIORIZADOS!$A:$D,4,FALSE)),"")</f>
        <v>OFICIAL</v>
      </c>
      <c r="E1850" s="11" t="str">
        <f>IFERROR(IF(VLOOKUP(A1850,[13]PRIORIZADOS!$A:$E,5,FALSE)="","",VLOOKUP(A1850,[13]PRIORIZADOS!$A:$E,5,FALSE)),"")</f>
        <v>EPBM</v>
      </c>
      <c r="F1850" s="11" t="str">
        <f>IFERROR(IF(VLOOKUP(A1850,[13]PRIORIZADOS!$A:$F,6,FALSE)="","",VLOOKUP(A1850,[13]PRIORIZADOS!$A:$F,6,FALSE)),"")</f>
        <v>COLEGIO_JORGE_SOTO_DEL_CORRAL_IED</v>
      </c>
      <c r="G1850" s="11" t="str">
        <f>IFERROR(IF(VLOOKUP(A1850,[13]PRIORIZADOS!$A:$G,7,FALSE)="","",VLOOKUP(A1850,[13]PRIORIZADOS!$A:$G,7,FALSE)),"")</f>
        <v>JORGE SOTO DEL CORRAL</v>
      </c>
      <c r="H1850" s="11" t="str">
        <f>IFERROR(IF(VLOOKUP(A1850,[13]PRIORIZADOS!$A:$H,8,FALSE)="","",VLOOKUP(A1850,[13]PRIORIZADOS!$A:$H,8,FALSE)),"")</f>
        <v>Convivencia escolar</v>
      </c>
      <c r="I1850" s="11" t="str">
        <f>IFERROR(IF(VLOOKUP(A1850,[13]PRIORIZADOS!$A:$I,9,FALSE)="","",VLOOKUP(A1850,[13]PRIORIZADOS!$A:$I,9,FALSE)),"")</f>
        <v>EVALUACIÓN_CON_FINES_DE_MEJORAMIENTO.</v>
      </c>
      <c r="J1850" s="11" t="str">
        <f>IFERROR(IF(VLOOKUP(A1850,[13]PRIORIZADOS!$A:$J,10,FALSE)="","",VLOOKUP(A1850,[13]PRIORIZADOS!$A:$J,10,FALSE)),"")</f>
        <v>Verificar las condiciones en cuanto a: la estructura administrativa, condiciones de la planta física y medios educativos adecuados.</v>
      </c>
      <c r="K1850" s="11" t="str">
        <f>IFERROR(IF(VLOOKUP(A1850,[13]PRIORIZADOS!$A:$K,11,FALSE)="","",VLOOKUP(A1850,[13]PRIORIZADOS!$A:$K,11,FALSE)),"")</f>
        <v>DAMARIS RUT CÁRDENAS MORENO</v>
      </c>
      <c r="L1850" s="11" t="str">
        <f>IFERROR(IF(VLOOKUP(A1850,[13]PRIORIZADOS!$A:$L,12,FALSE)="","",VLOOKUP(A1850,[13]PRIORIZADOS!$A:$L,12,FALSE)),"")</f>
        <v>JOSÉ MAXIMILIANO CHAPARRO BARRERA</v>
      </c>
      <c r="M1850" s="71">
        <f>IFERROR(IF(VLOOKUP(A1850,[13]PRIORIZADOS!$A:$M,13,FALSE)="","",VLOOKUP(A1850,[13]PRIORIZADOS!$A:$M,13,FALSE)),"")</f>
        <v>45744</v>
      </c>
      <c r="N1850" s="71">
        <f>IFERROR(IF(VLOOKUP(A1850,[13]PRIORIZADOS!$A:$N,14,FALSE)="","",VLOOKUP(A1850,[13]PRIORIZADOS!$A:$N,14,FALSE)),"")</f>
        <v>45744</v>
      </c>
      <c r="O1850" s="71">
        <f>IFERROR(IF(VLOOKUP(A1850,[13]PRIORIZADOS!$A:$O,15,FALSE)="","",VLOOKUP(A1850,[13]PRIORIZADOS!$A:$O,15,FALSE)),"")</f>
        <v>45744</v>
      </c>
      <c r="P1850" s="11" t="str">
        <f>IFERROR(IF(VLOOKUP(A1850,[13]PRIORIZADOS!$A:$P,16,FALSE)="","",VLOOKUP(A1850,[13]PRIORIZADOS!$A:$P,16,FALSE)),"")</f>
        <v>Visitas de evaluación con fines de mejoramiento</v>
      </c>
      <c r="Q1850" s="240" t="s">
        <v>409</v>
      </c>
      <c r="R1850" s="11" t="str">
        <f>IFERROR(IF(VLOOKUP(A1850,[13]PRIORIZADOS!$A:$R,18,FALSE)="","",VLOOKUP(A1850,[13]PRIORIZADOS!$A:$R,18,FALSE)),"")</f>
        <v>Se evidencian espacios poco funcionales para la atención de la comunidad, no están adaptados para la movilidad de población con necesidades especiales</v>
      </c>
      <c r="S1850" s="11" t="str">
        <f>IFERROR(IF(VLOOKUP(A1850,[13]PRIORIZADOS!$A:$S,19,FALSE)="","",VLOOKUP(A1850,[13]PRIORIZADOS!$A:$S,19,FALSE)),"")</f>
        <v>Generar gestión con área correspondiente de la SED.</v>
      </c>
      <c r="T1850" s="70" t="str">
        <f>IFERROR(IF(VLOOKUP(A1850,[13]PRIORIZADOS!$A:$T,20,FALSE)="","",VLOOKUP(A1850,[13]PRIORIZADOS!$A:$T,20,FALSE)),"")</f>
        <v>No</v>
      </c>
      <c r="U1850" s="11" t="str">
        <f>IFERROR(IF(VLOOKUP(A1850,[13]PRIORIZADOS!$A:$U,21,FALSE)="","",VLOOKUP(A1850,[13]PRIORIZADOS!$A:$U,21,FALSE)),"")</f>
        <v>Se acuerda el desarrollo de una segunda visita el día 07 abril de 2025, con el fin de verificar la información faltante y convenir compromisos necesarios para la formulación del plan de mejoramiento. Se realizará visita en la siguiente vigencia como seguimiento al plan Plan de Mejoramiento.</v>
      </c>
    </row>
    <row r="1851" spans="1:40" s="1" customFormat="1" ht="48">
      <c r="A1851" s="69">
        <f>IF([13]PRIORIZADOS!A14="","",[13]PRIORIZADOS!A14)</f>
        <v>1818</v>
      </c>
      <c r="B1851" s="70">
        <f>IFERROR(IF(VLOOKUP(A1851,[13]PRIORIZADOS!$A:$B,2,FALSE)="","",VLOOKUP(A1851,[13]PRIORIZADOS!$A:$B,2,FALSE)),"")</f>
        <v>2</v>
      </c>
      <c r="C1851" s="11" t="str">
        <f>IFERROR(IF(VLOOKUP(A1851,[13]PRIORIZADOS!$A:$C,3,FALSE)="","",VLOOKUP(A1851,[13]PRIORIZADOS!$A:$C,3,FALSE)),"")</f>
        <v xml:space="preserve">SANTA FE Y CANDELARIA </v>
      </c>
      <c r="D1851" s="11" t="str">
        <f>IFERROR(IF(VLOOKUP(A1851,[13]PRIORIZADOS!$A:$D,4,FALSE)="","",VLOOKUP(A1851,[13]PRIORIZADOS!$A:$D,4,FALSE)),"")</f>
        <v>PRIVADO</v>
      </c>
      <c r="E1851" s="11" t="str">
        <f>IFERROR(IF(VLOOKUP(A1851,[13]PRIORIZADOS!$A:$E,5,FALSE)="","",VLOOKUP(A1851,[13]PRIORIZADOS!$A:$E,5,FALSE)),"")</f>
        <v>EPBM</v>
      </c>
      <c r="F1851" s="11" t="str">
        <f>IFERROR(IF(VLOOKUP(A1851,[13]PRIORIZADOS!$A:$F,6,FALSE)="","",VLOOKUP(A1851,[13]PRIORIZADOS!$A:$F,6,FALSE)),"")</f>
        <v>COLEGIO_DEL_SANTISIMO_ROSARIO</v>
      </c>
      <c r="G1851" s="11" t="str">
        <f>IFERROR(IF(VLOOKUP(A1851,[13]PRIORIZADOS!$A:$G,7,FALSE)="","",VLOOKUP(A1851,[13]PRIORIZADOS!$A:$G,7,FALSE)),"")</f>
        <v>COLEGIO DEL SANTISIMO ROSARIO</v>
      </c>
      <c r="H1851" s="11" t="str">
        <f>IFERROR(IF(VLOOKUP(A1851,[13]PRIORIZADOS!$A:$H,8,FALSE)="","",VLOOKUP(A1851,[13]PRIORIZADOS!$A:$H,8,FALSE)),"")</f>
        <v>Autoevaluación Institucional y Pruebas SABER 11</v>
      </c>
      <c r="I1851" s="11" t="str">
        <f>IFERROR(IF(VLOOKUP(A1851,[13]PRIORIZADOS!$A:$I,9,FALSE)="","",VLOOKUP(A1851,[13]PRIORIZADOS!$A:$I,9,FALSE)),"")</f>
        <v>SEGUIMIENTO_Y_SUPERVISIÓN.</v>
      </c>
      <c r="J1851" s="11" t="str">
        <f>IFERROR(IF(VLOOKUP(A1851,[13]PRIORIZADOS!$A:$J,10,FALSE)="","",VLOOKUP(A1851,[13]PRIORIZADOS!$A:$J,10,FALSE)),"")</f>
        <v>Realizar visitas para verificar la información registrada sobre la autoevaluación institucional en el aplicativo EVI, a los establecimientos de educación formal no oficial.</v>
      </c>
      <c r="K1851" s="11" t="str">
        <f>IFERROR(IF(VLOOKUP(A1851,[13]PRIORIZADOS!$A:$K,11,FALSE)="","",VLOOKUP(A1851,[13]PRIORIZADOS!$A:$K,11,FALSE)),"")</f>
        <v>DAMARIS RUT CÁRDENAS MORENO</v>
      </c>
      <c r="L1851" s="11" t="str">
        <f>IFERROR(IF(VLOOKUP(A1851,[13]PRIORIZADOS!$A:$L,12,FALSE)="","",VLOOKUP(A1851,[13]PRIORIZADOS!$A:$L,12,FALSE)),"")</f>
        <v>LUIS HERNANDO NEÍZA WALTEROS</v>
      </c>
      <c r="M1851" s="71">
        <f>IFERROR(IF(VLOOKUP(A1851,[13]PRIORIZADOS!$A:$M,13,FALSE)="","",VLOOKUP(A1851,[13]PRIORIZADOS!$A:$M,13,FALSE)),"")</f>
        <v>45748</v>
      </c>
      <c r="N1851" s="71">
        <f>IFERROR(IF(VLOOKUP(A1851,[13]PRIORIZADOS!$A:$N,14,FALSE)="","",VLOOKUP(A1851,[13]PRIORIZADOS!$A:$N,14,FALSE)),"")</f>
        <v>45748</v>
      </c>
      <c r="O1851" s="71">
        <f>IFERROR(IF(VLOOKUP(A1851,[13]PRIORIZADOS!$A:$O,15,FALSE)="","",VLOOKUP(A1851,[13]PRIORIZADOS!$A:$O,15,FALSE)),"")</f>
        <v>45748</v>
      </c>
      <c r="P1851" s="11" t="str">
        <f>IFERROR(IF(VLOOKUP(A1851,[13]PRIORIZADOS!$A:$P,16,FALSE)="","",VLOOKUP(A1851,[13]PRIORIZADOS!$A:$P,16,FALSE)),"")</f>
        <v>Visitas de evaluación con fines de mejoramiento</v>
      </c>
      <c r="Q1851" s="241" t="s">
        <v>410</v>
      </c>
      <c r="R1851" s="11" t="str">
        <f>IFERROR(IF(VLOOKUP(A1851,[13]PRIORIZADOS!$A:$R,18,FALSE)="","",VLOOKUP(A1851,[13]PRIORIZADOS!$A:$R,18,FALSE)),"")</f>
        <v>Se verifica información correspondiente a intensidad horaria y carga académica y organización administrativa, encontrando faltantes documentales. </v>
      </c>
      <c r="S1851" s="11" t="str">
        <f>IFERROR(IF(VLOOKUP(A1851,[13]PRIORIZADOS!$A:$S,19,FALSE)="","",VLOOKUP(A1851,[13]PRIORIZADOS!$A:$S,19,FALSE)),"")</f>
        <v>La institución realizará un plan de mejoramiento para el mes de junio. </v>
      </c>
      <c r="T1851" s="70" t="str">
        <f>IFERROR(IF(VLOOKUP(A1851,[13]PRIORIZADOS!$A:$T,20,FALSE)="","",VLOOKUP(A1851,[13]PRIORIZADOS!$A:$T,20,FALSE)),"")</f>
        <v>Si</v>
      </c>
      <c r="U1851" s="11" t="str">
        <f>IFERROR(IF(VLOOKUP(A1851,[13]PRIORIZADOS!$A:$U,21,FALSE)="","",VLOOKUP(A1851,[13]PRIORIZADOS!$A:$U,21,FALSE)),"")</f>
        <v xml:space="preserve">Se realizará visita de seguimiento en el segundo semestre de 2025. Se realizó asesoria y mesa de trabajo el 05 de septiembre de 2025.   Seguimiento en 2026 al plan de mejoramiento  presentado el  28 de noviemrbre de 2025. </v>
      </c>
    </row>
    <row r="1852" spans="1:40" s="1" customFormat="1" ht="60">
      <c r="A1852" s="69">
        <f>IF([13]PRIORIZADOS!A15="","",[13]PRIORIZADOS!A15)</f>
        <v>1819</v>
      </c>
      <c r="B1852" s="70">
        <f>IFERROR(IF(VLOOKUP(A1852,[13]PRIORIZADOS!$A:$B,2,FALSE)="","",VLOOKUP(A1852,[13]PRIORIZADOS!$A:$B,2,FALSE)),"")</f>
        <v>2</v>
      </c>
      <c r="C1852" s="11" t="str">
        <f>IFERROR(IF(VLOOKUP(A1852,[13]PRIORIZADOS!$A:$C,3,FALSE)="","",VLOOKUP(A1852,[13]PRIORIZADOS!$A:$C,3,FALSE)),"")</f>
        <v xml:space="preserve">SANTA FE Y CANDELARIA </v>
      </c>
      <c r="D1852" s="11" t="str">
        <f>IFERROR(IF(VLOOKUP(A1852,[13]PRIORIZADOS!$A:$D,4,FALSE)="","",VLOOKUP(A1852,[13]PRIORIZADOS!$A:$D,4,FALSE)),"")</f>
        <v>PRIVADO</v>
      </c>
      <c r="E1852" s="11" t="str">
        <f>IFERROR(IF(VLOOKUP(A1852,[13]PRIORIZADOS!$A:$E,5,FALSE)="","",VLOOKUP(A1852,[13]PRIORIZADOS!$A:$E,5,FALSE)),"")</f>
        <v>EPBM</v>
      </c>
      <c r="F1852" s="11" t="str">
        <f>IFERROR(IF(VLOOKUP(A1852,[13]PRIORIZADOS!$A:$F,6,FALSE)="","",VLOOKUP(A1852,[13]PRIORIZADOS!$A:$F,6,FALSE)),"")</f>
        <v>COLEGIO_DEL_SANTISIMO_ROSARIO</v>
      </c>
      <c r="G1852" s="11" t="str">
        <f>IFERROR(IF(VLOOKUP(A1852,[13]PRIORIZADOS!$A:$G,7,FALSE)="","",VLOOKUP(A1852,[13]PRIORIZADOS!$A:$G,7,FALSE)),"")</f>
        <v>COLEGIO DEL SANTISIMO ROSARIO</v>
      </c>
      <c r="H1852" s="11" t="str">
        <f>IFERROR(IF(VLOOKUP(A1852,[13]PRIORIZADOS!$A:$H,8,FALSE)="","",VLOOKUP(A1852,[13]PRIORIZADOS!$A:$H,8,FALSE)),"")</f>
        <v>Autoevaluación Institucional y Pruebas SABER 11</v>
      </c>
      <c r="I1852" s="11" t="str">
        <f>IFERROR(IF(VLOOKUP(A1852,[13]PRIORIZADOS!$A:$I,9,FALSE)="","",VLOOKUP(A1852,[13]PRIORIZADOS!$A:$I,9,FALSE)),"")</f>
        <v>SEGUIMIENTO_Y_SUPERVISIÓN.</v>
      </c>
      <c r="J1852" s="11" t="str">
        <f>IFERROR(IF(VLOOKUP(A1852,[13]PRIORIZADOS!$A:$J,10,FALSE)="","",VLOOKUP(A1852,[13]PRIORIZADOS!$A:$J,10,FALSE)),"")</f>
        <v>Proponer estrategias en la formulación, verificar su elaboración y realizar seguimiento semestral al desarrollo de  las acciones establecidas en los planes de mejoramiento por pruebas SABER 11 de los establecimientos de educación formal.</v>
      </c>
      <c r="K1852" s="11" t="str">
        <f>IFERROR(IF(VLOOKUP(A1852,[13]PRIORIZADOS!$A:$K,11,FALSE)="","",VLOOKUP(A1852,[13]PRIORIZADOS!$A:$K,11,FALSE)),"")</f>
        <v>DAMARIS RUT CÁRDENAS MORENO</v>
      </c>
      <c r="L1852" s="11" t="str">
        <f>IFERROR(IF(VLOOKUP(A1852,[13]PRIORIZADOS!$A:$L,12,FALSE)="","",VLOOKUP(A1852,[13]PRIORIZADOS!$A:$L,12,FALSE)),"")</f>
        <v>LUIS HERNANDO NEÍZA WALTEROS</v>
      </c>
      <c r="M1852" s="71">
        <f>IFERROR(IF(VLOOKUP(A1852,[13]PRIORIZADOS!$A:$M,13,FALSE)="","",VLOOKUP(A1852,[13]PRIORIZADOS!$A:$M,13,FALSE)),"")</f>
        <v>45748</v>
      </c>
      <c r="N1852" s="71">
        <f>IFERROR(IF(VLOOKUP(A1852,[13]PRIORIZADOS!$A:$N,14,FALSE)="","",VLOOKUP(A1852,[13]PRIORIZADOS!$A:$N,14,FALSE)),"")</f>
        <v>45748</v>
      </c>
      <c r="O1852" s="71">
        <f>IFERROR(IF(VLOOKUP(A1852,[13]PRIORIZADOS!$A:$O,15,FALSE)="","",VLOOKUP(A1852,[13]PRIORIZADOS!$A:$O,15,FALSE)),"")</f>
        <v>45748</v>
      </c>
      <c r="P1852" s="11" t="str">
        <f>IFERROR(IF(VLOOKUP(A1852,[13]PRIORIZADOS!$A:$P,16,FALSE)="","",VLOOKUP(A1852,[13]PRIORIZADOS!$A:$P,16,FALSE)),"")</f>
        <v>Visitas de evaluación con fines de mejoramiento</v>
      </c>
      <c r="Q1852" s="241" t="s">
        <v>410</v>
      </c>
      <c r="R1852" s="11" t="str">
        <f>IFERROR(IF(VLOOKUP(A1852,[13]PRIORIZADOS!$A:$R,18,FALSE)="","",VLOOKUP(A1852,[13]PRIORIZADOS!$A:$R,18,FALSE)),"")</f>
        <v xml:space="preserve">
Se tiene reporte de resultados Saber 11  a 2024 e informe diagnóstico de pruebas saber primer periodo, año 2025. </v>
      </c>
      <c r="S1852" s="11" t="str">
        <f>IFERROR(IF(VLOOKUP(A1852,[13]PRIORIZADOS!$A:$S,19,FALSE)="","",VLOOKUP(A1852,[13]PRIORIZADOS!$A:$S,19,FALSE)),"")</f>
        <v>El colegio se ha generado
contratación de entidad externa para refuerzo y práctica de pruebas tipo saber</v>
      </c>
      <c r="T1852" s="70" t="str">
        <f>IFERROR(IF(VLOOKUP(A1852,[13]PRIORIZADOS!$A:$T,20,FALSE)="","",VLOOKUP(A1852,[13]PRIORIZADOS!$A:$T,20,FALSE)),"")</f>
        <v>Si</v>
      </c>
      <c r="U1852" s="11" t="str">
        <f>IFERROR(IF(VLOOKUP(A1852,[13]PRIORIZADOS!$A:$U,21,FALSE)="","",VLOOKUP(A1852,[13]PRIORIZADOS!$A:$U,21,FALSE)),"")</f>
        <v xml:space="preserve">Se realizará visita de seguimiento en el segundo semestre de 2025. Se realizó asesoria y mesa de trabajo el 05 de septiembre de 2025. Seguimiento en 2026 al plan de mejoramiento  presentado el  28 de noviemrbre de 2025. </v>
      </c>
    </row>
    <row r="1853" spans="1:40" s="1" customFormat="1" ht="60">
      <c r="A1853" s="69">
        <f>IF([13]PRIORIZADOS!A16="","",[13]PRIORIZADOS!A16)</f>
        <v>1820</v>
      </c>
      <c r="B1853" s="70">
        <f>IFERROR(IF(VLOOKUP(A1853,[13]PRIORIZADOS!$A:$B,2,FALSE)="","",VLOOKUP(A1853,[13]PRIORIZADOS!$A:$B,2,FALSE)),"")</f>
        <v>2</v>
      </c>
      <c r="C1853" s="11" t="str">
        <f>IFERROR(IF(VLOOKUP(A1853,[13]PRIORIZADOS!$A:$C,3,FALSE)="","",VLOOKUP(A1853,[13]PRIORIZADOS!$A:$C,3,FALSE)),"")</f>
        <v xml:space="preserve">SANTA FE Y CANDELARIA </v>
      </c>
      <c r="D1853" s="11" t="str">
        <f>IFERROR(IF(VLOOKUP(A1853,[13]PRIORIZADOS!$A:$D,4,FALSE)="","",VLOOKUP(A1853,[13]PRIORIZADOS!$A:$D,4,FALSE)),"")</f>
        <v>PRIVADO</v>
      </c>
      <c r="E1853" s="11" t="str">
        <f>IFERROR(IF(VLOOKUP(A1853,[13]PRIORIZADOS!$A:$E,5,FALSE)="","",VLOOKUP(A1853,[13]PRIORIZADOS!$A:$E,5,FALSE)),"")</f>
        <v>EPBM</v>
      </c>
      <c r="F1853" s="11" t="str">
        <f>IFERROR(IF(VLOOKUP(A1853,[13]PRIORIZADOS!$A:$F,6,FALSE)="","",VLOOKUP(A1853,[13]PRIORIZADOS!$A:$F,6,FALSE)),"")</f>
        <v>COLEGIO_DEL_SANTISIMO_ROSARIO</v>
      </c>
      <c r="G1853" s="11" t="str">
        <f>IFERROR(IF(VLOOKUP(A1853,[13]PRIORIZADOS!$A:$G,7,FALSE)="","",VLOOKUP(A1853,[13]PRIORIZADOS!$A:$G,7,FALSE)),"")</f>
        <v>COLEGIO DEL SANTISIMO ROSARIO</v>
      </c>
      <c r="H1853" s="11" t="str">
        <f>IFERROR(IF(VLOOKUP(A1853,[13]PRIORIZADOS!$A:$H,8,FALSE)="","",VLOOKUP(A1853,[13]PRIORIZADOS!$A:$H,8,FALSE)),"")</f>
        <v>Autoevaluación Institucional y Pruebas SABER 11</v>
      </c>
      <c r="I1853" s="11" t="str">
        <f>IFERROR(IF(VLOOKUP(A1853,[13]PRIORIZADOS!$A:$I,9,FALSE)="","",VLOOKUP(A1853,[13]PRIORIZADOS!$A:$I,9,FALSE)),"")</f>
        <v>SEGUIMIENTO_Y_SUPERVISIÓN.</v>
      </c>
      <c r="J1853" s="11" t="str">
        <f>IFERROR(IF(VLOOKUP(A1853,[13]PRIORIZADOS!$A:$J,10,FALSE)="","",VLOOKUP(A1853,[13]PRIORIZADOS!$A:$J,10,FALSE)),"")</f>
        <v xml:space="preserve">Verificar la implementación por parte de los colegios, de acciones realizadas para la prevención y atención de las situaciones de convivencia en el entorno escolar, según lo establecido en la Directiva 01 de 2022 del MEN. </v>
      </c>
      <c r="K1853" s="11" t="str">
        <f>IFERROR(IF(VLOOKUP(A1853,[13]PRIORIZADOS!$A:$K,11,FALSE)="","",VLOOKUP(A1853,[13]PRIORIZADOS!$A:$K,11,FALSE)),"")</f>
        <v>DAMARIS RUT CÁRDENAS MORENO</v>
      </c>
      <c r="L1853" s="11" t="str">
        <f>IFERROR(IF(VLOOKUP(A1853,[13]PRIORIZADOS!$A:$L,12,FALSE)="","",VLOOKUP(A1853,[13]PRIORIZADOS!$A:$L,12,FALSE)),"")</f>
        <v>LUIS HERNANDO NEÍZA WALTEROS</v>
      </c>
      <c r="M1853" s="71">
        <f>IFERROR(IF(VLOOKUP(A1853,[13]PRIORIZADOS!$A:$M,13,FALSE)="","",VLOOKUP(A1853,[13]PRIORIZADOS!$A:$M,13,FALSE)),"")</f>
        <v>45748</v>
      </c>
      <c r="N1853" s="71">
        <f>IFERROR(IF(VLOOKUP(A1853,[13]PRIORIZADOS!$A:$N,14,FALSE)="","",VLOOKUP(A1853,[13]PRIORIZADOS!$A:$N,14,FALSE)),"")</f>
        <v>45748</v>
      </c>
      <c r="O1853" s="71">
        <f>IFERROR(IF(VLOOKUP(A1853,[13]PRIORIZADOS!$A:$O,15,FALSE)="","",VLOOKUP(A1853,[13]PRIORIZADOS!$A:$O,15,FALSE)),"")</f>
        <v>45748</v>
      </c>
      <c r="P1853" s="11" t="str">
        <f>IFERROR(IF(VLOOKUP(A1853,[13]PRIORIZADOS!$A:$P,16,FALSE)="","",VLOOKUP(A1853,[13]PRIORIZADOS!$A:$P,16,FALSE)),"")</f>
        <v>Visitas de evaluación con fines de mejoramiento</v>
      </c>
      <c r="Q1853" s="241" t="s">
        <v>410</v>
      </c>
      <c r="R1853" s="11" t="str">
        <f>IFERROR(IF(VLOOKUP(A1853,[13]PRIORIZADOS!$A:$R,18,FALSE)="","",VLOOKUP(A1853,[13]PRIORIZADOS!$A:$R,18,FALSE)),"")</f>
        <v>La institución educativa para el proceso de contratación solicitó certificado sobre antecedentes de delitos sexuales; sin embargo, no se ha socializado con la comunidad educativa.</v>
      </c>
      <c r="S1853" s="11" t="str">
        <f>IFERROR(IF(VLOOKUP(A1853,[13]PRIORIZADOS!$A:$S,19,FALSE)="","",VLOOKUP(A1853,[13]PRIORIZADOS!$A:$S,19,FALSE)),"")</f>
        <v>Se comparten datos de profesionales de OCE, y se debe solicitar la cualificación referente a la Directiva.</v>
      </c>
      <c r="T1853" s="70" t="str">
        <f>IFERROR(IF(VLOOKUP(A1853,[13]PRIORIZADOS!$A:$T,20,FALSE)="","",VLOOKUP(A1853,[13]PRIORIZADOS!$A:$T,20,FALSE)),"")</f>
        <v>Si</v>
      </c>
      <c r="U1853" s="11" t="str">
        <f>IFERROR(IF(VLOOKUP(A1853,[13]PRIORIZADOS!$A:$U,21,FALSE)="","",VLOOKUP(A1853,[13]PRIORIZADOS!$A:$U,21,FALSE)),"")</f>
        <v xml:space="preserve">Se realizará visita de seguimiento en el segundo semestre de 2025. Se realizó asesoria y Mesa de trabajo el 05 de septiembre de 2025. Seguimiento en 2026 al plan de mejoramiento  presentado el  28 de noviemrbre de 2025. </v>
      </c>
    </row>
    <row r="1854" spans="1:40" s="1" customFormat="1" ht="72">
      <c r="A1854" s="69">
        <f>IF([13]PRIORIZADOS!A17="","",[13]PRIORIZADOS!A17)</f>
        <v>1821</v>
      </c>
      <c r="B1854" s="70">
        <f>IFERROR(IF(VLOOKUP(A1854,[13]PRIORIZADOS!$A:$B,2,FALSE)="","",VLOOKUP(A1854,[13]PRIORIZADOS!$A:$B,2,FALSE)),"")</f>
        <v>2</v>
      </c>
      <c r="C1854" s="11" t="str">
        <f>IFERROR(IF(VLOOKUP(A1854,[13]PRIORIZADOS!$A:$C,3,FALSE)="","",VLOOKUP(A1854,[13]PRIORIZADOS!$A:$C,3,FALSE)),"")</f>
        <v xml:space="preserve">SANTA FE Y CANDELARIA </v>
      </c>
      <c r="D1854" s="11" t="str">
        <f>IFERROR(IF(VLOOKUP(A1854,[13]PRIORIZADOS!$A:$D,4,FALSE)="","",VLOOKUP(A1854,[13]PRIORIZADOS!$A:$D,4,FALSE)),"")</f>
        <v>PRIVADO</v>
      </c>
      <c r="E1854" s="11" t="str">
        <f>IFERROR(IF(VLOOKUP(A1854,[13]PRIORIZADOS!$A:$E,5,FALSE)="","",VLOOKUP(A1854,[13]PRIORIZADOS!$A:$E,5,FALSE)),"")</f>
        <v>EPBM</v>
      </c>
      <c r="F1854" s="11" t="str">
        <f>IFERROR(IF(VLOOKUP(A1854,[13]PRIORIZADOS!$A:$F,6,FALSE)="","",VLOOKUP(A1854,[13]PRIORIZADOS!$A:$F,6,FALSE)),"")</f>
        <v>COLEGIO_DEL_SANTISIMO_ROSARIO</v>
      </c>
      <c r="G1854" s="11" t="str">
        <f>IFERROR(IF(VLOOKUP(A1854,[13]PRIORIZADOS!$A:$G,7,FALSE)="","",VLOOKUP(A1854,[13]PRIORIZADOS!$A:$G,7,FALSE)),"")</f>
        <v>COLEGIO DEL SANTISIMO ROSARIO</v>
      </c>
      <c r="H1854" s="11" t="str">
        <f>IFERROR(IF(VLOOKUP(A1854,[13]PRIORIZADOS!$A:$H,8,FALSE)="","",VLOOKUP(A1854,[13]PRIORIZADOS!$A:$H,8,FALSE)),"")</f>
        <v>Autoevaluación Institucional y Pruebas SABER 11</v>
      </c>
      <c r="I1854" s="11" t="str">
        <f>IFERROR(IF(VLOOKUP(A1854,[13]PRIORIZADOS!$A:$I,9,FALSE)="","",VLOOKUP(A1854,[13]PRIORIZADOS!$A:$I,9,FALSE)),"")</f>
        <v>SEGUIMIENTO_Y_SUPERVISIÓN.</v>
      </c>
      <c r="J1854" s="11" t="str">
        <f>IFERROR(IF(VLOOKUP(A1854,[13]PRIORIZADOS!$A:$J,10,FALSE)="","",VLOOKUP(A1854,[13]PRIORIZADOS!$A:$J,10,FALSE)),"")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54" s="11" t="str">
        <f>IFERROR(IF(VLOOKUP(A1854,[13]PRIORIZADOS!$A:$K,11,FALSE)="","",VLOOKUP(A1854,[13]PRIORIZADOS!$A:$K,11,FALSE)),"")</f>
        <v>DAMARIS RUT CÁRDENAS MORENO</v>
      </c>
      <c r="L1854" s="11" t="str">
        <f>IFERROR(IF(VLOOKUP(A1854,[13]PRIORIZADOS!$A:$L,12,FALSE)="","",VLOOKUP(A1854,[13]PRIORIZADOS!$A:$L,12,FALSE)),"")</f>
        <v>LUIS HERNANDO NEÍZA WALTEROS</v>
      </c>
      <c r="M1854" s="71">
        <f>IFERROR(IF(VLOOKUP(A1854,[13]PRIORIZADOS!$A:$M,13,FALSE)="","",VLOOKUP(A1854,[13]PRIORIZADOS!$A:$M,13,FALSE)),"")</f>
        <v>45748</v>
      </c>
      <c r="N1854" s="71">
        <f>IFERROR(IF(VLOOKUP(A1854,[13]PRIORIZADOS!$A:$N,14,FALSE)="","",VLOOKUP(A1854,[13]PRIORIZADOS!$A:$N,14,FALSE)),"")</f>
        <v>45748</v>
      </c>
      <c r="O1854" s="71">
        <f>IFERROR(IF(VLOOKUP(A1854,[13]PRIORIZADOS!$A:$O,15,FALSE)="","",VLOOKUP(A1854,[13]PRIORIZADOS!$A:$O,15,FALSE)),"")</f>
        <v>45748</v>
      </c>
      <c r="P1854" s="11" t="str">
        <f>IFERROR(IF(VLOOKUP(A1854,[13]PRIORIZADOS!$A:$P,16,FALSE)="","",VLOOKUP(A1854,[13]PRIORIZADOS!$A:$P,16,FALSE)),"")</f>
        <v>Visitas de evaluación con fines de mejoramiento</v>
      </c>
      <c r="Q1854" s="241" t="s">
        <v>410</v>
      </c>
      <c r="R1854" s="11" t="str">
        <f>IFERROR(IF(VLOOKUP(A1854,[13]PRIORIZADOS!$A:$R,18,FALSE)="","",VLOOKUP(A1854,[13]PRIORIZADOS!$A:$R,18,FALSE)),"")</f>
        <v>La institución, en su matrícula, tiene 4 estudiantes con necesidades educativas especiales y a la fecha no se ha iniciado el proceso de construcción de PIAR y/o DUA</v>
      </c>
      <c r="S1854" s="11" t="str">
        <f>IFERROR(IF(VLOOKUP(A1854,[13]PRIORIZADOS!$A:$S,19,FALSE)="","",VLOOKUP(A1854,[13]PRIORIZADOS!$A:$S,19,FALSE)),"")</f>
        <v> Iniciar la implementación de formatos de seguimiento según el Decreto 1421. </v>
      </c>
      <c r="T1854" s="70" t="str">
        <f>IFERROR(IF(VLOOKUP(A1854,[13]PRIORIZADOS!$A:$T,20,FALSE)="","",VLOOKUP(A1854,[13]PRIORIZADOS!$A:$T,20,FALSE)),"")</f>
        <v>Si</v>
      </c>
      <c r="U1854" s="11" t="str">
        <f>IFERROR(IF(VLOOKUP(A1854,[13]PRIORIZADOS!$A:$U,21,FALSE)="","",VLOOKUP(A1854,[13]PRIORIZADOS!$A:$U,21,FALSE)),"")</f>
        <v xml:space="preserve">Se realizará visita de seguimiento en el segundo semestre de 2025. Se realizó asesoria y Mesa de trabajo el 05 de septiembre de 2025. Seguimiento en 2026 al plan de mejoramiento  presentado el  28 de noviemrbre de 2025. </v>
      </c>
    </row>
    <row r="1855" spans="1:40" s="1" customFormat="1" ht="84">
      <c r="A1855" s="69">
        <f>IF([13]PRIORIZADOS!A18="","",[13]PRIORIZADOS!A18)</f>
        <v>1822</v>
      </c>
      <c r="B1855" s="70">
        <f>IFERROR(IF(VLOOKUP(A1855,[13]PRIORIZADOS!$A:$B,2,FALSE)="","",VLOOKUP(A1855,[13]PRIORIZADOS!$A:$B,2,FALSE)),"")</f>
        <v>2</v>
      </c>
      <c r="C1855" s="11" t="str">
        <f>IFERROR(IF(VLOOKUP(A1855,[13]PRIORIZADOS!$A:$C,3,FALSE)="","",VLOOKUP(A1855,[13]PRIORIZADOS!$A:$C,3,FALSE)),"")</f>
        <v xml:space="preserve">SANTA FE Y CANDELARIA </v>
      </c>
      <c r="D1855" s="11" t="str">
        <f>IFERROR(IF(VLOOKUP(A1855,[13]PRIORIZADOS!$A:$D,4,FALSE)="","",VLOOKUP(A1855,[13]PRIORIZADOS!$A:$D,4,FALSE)),"")</f>
        <v>PRIVADO</v>
      </c>
      <c r="E1855" s="11" t="str">
        <f>IFERROR(IF(VLOOKUP(A1855,[13]PRIORIZADOS!$A:$E,5,FALSE)="","",VLOOKUP(A1855,[13]PRIORIZADOS!$A:$E,5,FALSE)),"")</f>
        <v>EPBM</v>
      </c>
      <c r="F1855" s="11" t="str">
        <f>IFERROR(IF(VLOOKUP(A1855,[13]PRIORIZADOS!$A:$F,6,FALSE)="","",VLOOKUP(A1855,[13]PRIORIZADOS!$A:$F,6,FALSE)),"")</f>
        <v>COLEGIO_DEL_SANTISIMO_ROSARIO</v>
      </c>
      <c r="G1855" s="11" t="str">
        <f>IFERROR(IF(VLOOKUP(A1855,[13]PRIORIZADOS!$A:$G,7,FALSE)="","",VLOOKUP(A1855,[13]PRIORIZADOS!$A:$G,7,FALSE)),"")</f>
        <v>COLEGIO DEL SANTISIMO ROSARIO</v>
      </c>
      <c r="H1855" s="11" t="str">
        <f>IFERROR(IF(VLOOKUP(A1855,[13]PRIORIZADOS!$A:$H,8,FALSE)="","",VLOOKUP(A1855,[13]PRIORIZADOS!$A:$H,8,FALSE)),"")</f>
        <v>Autoevaluación Institucional y Pruebas SABER 11</v>
      </c>
      <c r="I1855" s="11" t="str">
        <f>IFERROR(IF(VLOOKUP(A1855,[13]PRIORIZADOS!$A:$I,9,FALSE)="","",VLOOKUP(A1855,[13]PRIORIZADOS!$A:$I,9,FALSE)),"")</f>
        <v>EVALUACIÓN_CON_FINES_DE_MEJORAMIENTO.</v>
      </c>
      <c r="J1855" s="11" t="str">
        <f>IFERROR(IF(VLOOKUP(A1855,[13]PRIORIZADOS!$A:$J,10,FALSE)="","",VLOOKUP(A1855,[13]PRIORIZADOS!$A:$J,10,FALSE)),"")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55" s="11" t="str">
        <f>IFERROR(IF(VLOOKUP(A1855,[13]PRIORIZADOS!$A:$K,11,FALSE)="","",VLOOKUP(A1855,[13]PRIORIZADOS!$A:$K,11,FALSE)),"")</f>
        <v>DAMARIS RUT CÁRDENAS MORENO</v>
      </c>
      <c r="L1855" s="11" t="str">
        <f>IFERROR(IF(VLOOKUP(A1855,[13]PRIORIZADOS!$A:$L,12,FALSE)="","",VLOOKUP(A1855,[13]PRIORIZADOS!$A:$L,12,FALSE)),"")</f>
        <v>LUIS HERNANDO NEÍZA WALTEROS</v>
      </c>
      <c r="M1855" s="71">
        <f>IFERROR(IF(VLOOKUP(A1855,[13]PRIORIZADOS!$A:$M,13,FALSE)="","",VLOOKUP(A1855,[13]PRIORIZADOS!$A:$M,13,FALSE)),"")</f>
        <v>45748</v>
      </c>
      <c r="N1855" s="71">
        <f>IFERROR(IF(VLOOKUP(A1855,[13]PRIORIZADOS!$A:$N,14,FALSE)="","",VLOOKUP(A1855,[13]PRIORIZADOS!$A:$N,14,FALSE)),"")</f>
        <v>45748</v>
      </c>
      <c r="O1855" s="71">
        <f>IFERROR(IF(VLOOKUP(A1855,[13]PRIORIZADOS!$A:$O,15,FALSE)="","",VLOOKUP(A1855,[13]PRIORIZADOS!$A:$O,15,FALSE)),"")</f>
        <v>45748</v>
      </c>
      <c r="P1855" s="11" t="str">
        <f>IFERROR(IF(VLOOKUP(A1855,[13]PRIORIZADOS!$A:$P,16,FALSE)="","",VLOOKUP(A1855,[13]PRIORIZADOS!$A:$P,16,FALSE)),"")</f>
        <v>Visitas de evaluación con fines de mejoramiento</v>
      </c>
      <c r="Q1855" s="241" t="s">
        <v>410</v>
      </c>
      <c r="R1855" s="11" t="str">
        <f>IFERROR(IF(VLOOKUP(A1855,[13]PRIORIZADOS!$A:$R,18,FALSE)="","",VLOOKUP(A1855,[13]PRIORIZADOS!$A:$R,18,FALSE)),"")</f>
        <v>El colegio ha realizado actualización de documentos institucionales; sin embargo, no es posible verificar su construcción junto con la comunidad educativa.</v>
      </c>
      <c r="S1855" s="11" t="str">
        <f>IFERROR(IF(VLOOKUP(A1855,[13]PRIORIZADOS!$A:$S,19,FALSE)="","",VLOOKUP(A1855,[13]PRIORIZADOS!$A:$S,19,FALSE)),"")</f>
        <v>Realizar reorganización documental de procesos y documentación de los mismos.</v>
      </c>
      <c r="T1855" s="70" t="str">
        <f>IFERROR(IF(VLOOKUP(A1855,[13]PRIORIZADOS!$A:$T,20,FALSE)="","",VLOOKUP(A1855,[13]PRIORIZADOS!$A:$T,20,FALSE)),"")</f>
        <v>Si</v>
      </c>
      <c r="U1855" s="11" t="str">
        <f>IFERROR(IF(VLOOKUP(A1855,[13]PRIORIZADOS!$A:$U,21,FALSE)="","",VLOOKUP(A1855,[13]PRIORIZADOS!$A:$U,21,FALSE)),"")</f>
        <v xml:space="preserve">Se realizará visita de seguimiento en el segundo semestre de 2025. Se realizó asesoria y Mesa de trabajo el 05 de septiembre de 2025. Seguimiento en 2026 al plan de mejoramiento  presentado el  28 de noviemrbre de 2025. </v>
      </c>
    </row>
    <row r="1856" spans="1:40" s="1" customFormat="1" ht="48">
      <c r="A1856" s="69">
        <f>IF([13]PRIORIZADOS!A19="","",[13]PRIORIZADOS!A19)</f>
        <v>1823</v>
      </c>
      <c r="B1856" s="70">
        <f>IFERROR(IF(VLOOKUP(A1856,[13]PRIORIZADOS!$A:$B,2,FALSE)="","",VLOOKUP(A1856,[13]PRIORIZADOS!$A:$B,2,FALSE)),"")</f>
        <v>2</v>
      </c>
      <c r="C1856" s="11" t="str">
        <f>IFERROR(IF(VLOOKUP(A1856,[13]PRIORIZADOS!$A:$C,3,FALSE)="","",VLOOKUP(A1856,[13]PRIORIZADOS!$A:$C,3,FALSE)),"")</f>
        <v xml:space="preserve">SANTA FE Y CANDELARIA </v>
      </c>
      <c r="D1856" s="11" t="str">
        <f>IFERROR(IF(VLOOKUP(A1856,[13]PRIORIZADOS!$A:$D,4,FALSE)="","",VLOOKUP(A1856,[13]PRIORIZADOS!$A:$D,4,FALSE)),"")</f>
        <v>PRIVADO</v>
      </c>
      <c r="E1856" s="11" t="str">
        <f>IFERROR(IF(VLOOKUP(A1856,[13]PRIORIZADOS!$A:$E,5,FALSE)="","",VLOOKUP(A1856,[13]PRIORIZADOS!$A:$E,5,FALSE)),"")</f>
        <v>EPBM</v>
      </c>
      <c r="F1856" s="11" t="str">
        <f>IFERROR(IF(VLOOKUP(A1856,[13]PRIORIZADOS!$A:$F,6,FALSE)="","",VLOOKUP(A1856,[13]PRIORIZADOS!$A:$F,6,FALSE)),"")</f>
        <v>COLEGIO_DEL_SANTISIMO_ROSARIO</v>
      </c>
      <c r="G1856" s="11" t="str">
        <f>IFERROR(IF(VLOOKUP(A1856,[13]PRIORIZADOS!$A:$G,7,FALSE)="","",VLOOKUP(A1856,[13]PRIORIZADOS!$A:$G,7,FALSE)),"")</f>
        <v>COLEGIO DEL SANTISIMO ROSARIO</v>
      </c>
      <c r="H1856" s="11" t="str">
        <f>IFERROR(IF(VLOOKUP(A1856,[13]PRIORIZADOS!$A:$H,8,FALSE)="","",VLOOKUP(A1856,[13]PRIORIZADOS!$A:$H,8,FALSE)),"")</f>
        <v>Autoevaluación Institucional y Pruebas SABER 11</v>
      </c>
      <c r="I1856" s="11" t="str">
        <f>IFERROR(IF(VLOOKUP(A1856,[13]PRIORIZADOS!$A:$I,9,FALSE)="","",VLOOKUP(A1856,[13]PRIORIZADOS!$A:$I,9,FALSE)),"")</f>
        <v>EVALUACIÓN_CON_FINES_DE_MEJORAMIENTO.</v>
      </c>
      <c r="J1856" s="11" t="str">
        <f>IFERROR(IF(VLOOKUP(A1856,[13]PRIORIZADOS!$A:$J,10,FALSE)="","",VLOOKUP(A1856,[13]PRIORIZADOS!$A:$J,10,FALSE)),"")</f>
        <v>Revisar la actualización, socialización e implementación del Sistema Institucional de Evaluación de Estudiantes - SIEE, en articulación con la actualización del PEI y la normatividad vigente.</v>
      </c>
      <c r="K1856" s="11" t="str">
        <f>IFERROR(IF(VLOOKUP(A1856,[13]PRIORIZADOS!$A:$K,11,FALSE)="","",VLOOKUP(A1856,[13]PRIORIZADOS!$A:$K,11,FALSE)),"")</f>
        <v>DAMARIS RUT CÁRDENAS MORENO</v>
      </c>
      <c r="L1856" s="11" t="str">
        <f>IFERROR(IF(VLOOKUP(A1856,[13]PRIORIZADOS!$A:$L,12,FALSE)="","",VLOOKUP(A1856,[13]PRIORIZADOS!$A:$L,12,FALSE)),"")</f>
        <v>LUIS HERNANDO NEÍZA WALTEROS</v>
      </c>
      <c r="M1856" s="71">
        <f>IFERROR(IF(VLOOKUP(A1856,[13]PRIORIZADOS!$A:$M,13,FALSE)="","",VLOOKUP(A1856,[13]PRIORIZADOS!$A:$M,13,FALSE)),"")</f>
        <v>45748</v>
      </c>
      <c r="N1856" s="71">
        <f>IFERROR(IF(VLOOKUP(A1856,[13]PRIORIZADOS!$A:$N,14,FALSE)="","",VLOOKUP(A1856,[13]PRIORIZADOS!$A:$N,14,FALSE)),"")</f>
        <v>45748</v>
      </c>
      <c r="O1856" s="71">
        <f>IFERROR(IF(VLOOKUP(A1856,[13]PRIORIZADOS!$A:$O,15,FALSE)="","",VLOOKUP(A1856,[13]PRIORIZADOS!$A:$O,15,FALSE)),"")</f>
        <v>45748</v>
      </c>
      <c r="P1856" s="11" t="str">
        <f>IFERROR(IF(VLOOKUP(A1856,[13]PRIORIZADOS!$A:$P,16,FALSE)="","",VLOOKUP(A1856,[13]PRIORIZADOS!$A:$P,16,FALSE)),"")</f>
        <v>Visitas de evaluación con fines de mejoramiento</v>
      </c>
      <c r="Q1856" s="241" t="s">
        <v>410</v>
      </c>
      <c r="R1856" s="11" t="str">
        <f>IFERROR(IF(VLOOKUP(A1856,[13]PRIORIZADOS!$A:$R,18,FALSE)="","",VLOOKUP(A1856,[13]PRIORIZADOS!$A:$R,18,FALSE)),"")</f>
        <v>El documento de PEI existente corresponde al año 2023. Sin embargo, el actual equipo directivo ha generado actualización de apartados del mismo.</v>
      </c>
      <c r="S1856" s="11" t="str">
        <f>IFERROR(IF(VLOOKUP(A1856,[13]PRIORIZADOS!$A:$S,19,FALSE)="","",VLOOKUP(A1856,[13]PRIORIZADOS!$A:$S,19,FALSE)),"")</f>
        <v>Se recuerda la importancia de generar este proceso con todos los estamentos de la comunidad educativa y documentar el proceso de construcción.</v>
      </c>
      <c r="T1856" s="70" t="str">
        <f>IFERROR(IF(VLOOKUP(A1856,[13]PRIORIZADOS!$A:$T,20,FALSE)="","",VLOOKUP(A1856,[13]PRIORIZADOS!$A:$T,20,FALSE)),"")</f>
        <v>Si</v>
      </c>
      <c r="U1856" s="11" t="str">
        <f>IFERROR(IF(VLOOKUP(A1856,[13]PRIORIZADOS!$A:$U,21,FALSE)="","",VLOOKUP(A1856,[13]PRIORIZADOS!$A:$U,21,FALSE)),"")</f>
        <v xml:space="preserve">Se realizará visita de seguimiento en el segundo semestre de 2025 Se realizó asesoria y Mesa de trabajo el 05 de septiembre de 2025. Seguimiento en 2026 al plan de mejoramiento  presentado el  28 de noviemrbre de 2025. </v>
      </c>
    </row>
    <row r="1857" spans="1:21" s="1" customFormat="1" ht="60">
      <c r="A1857" s="69">
        <f>IF([13]PRIORIZADOS!A20="","",[13]PRIORIZADOS!A20)</f>
        <v>1824</v>
      </c>
      <c r="B1857" s="70">
        <f>IFERROR(IF(VLOOKUP(A1857,[13]PRIORIZADOS!$A:$B,2,FALSE)="","",VLOOKUP(A1857,[13]PRIORIZADOS!$A:$B,2,FALSE)),"")</f>
        <v>2</v>
      </c>
      <c r="C1857" s="11" t="str">
        <f>IFERROR(IF(VLOOKUP(A1857,[13]PRIORIZADOS!$A:$C,3,FALSE)="","",VLOOKUP(A1857,[13]PRIORIZADOS!$A:$C,3,FALSE)),"")</f>
        <v xml:space="preserve">SANTA FE Y CANDELARIA </v>
      </c>
      <c r="D1857" s="11" t="str">
        <f>IFERROR(IF(VLOOKUP(A1857,[13]PRIORIZADOS!$A:$D,4,FALSE)="","",VLOOKUP(A1857,[13]PRIORIZADOS!$A:$D,4,FALSE)),"")</f>
        <v>PRIVADO</v>
      </c>
      <c r="E1857" s="11" t="str">
        <f>IFERROR(IF(VLOOKUP(A1857,[13]PRIORIZADOS!$A:$E,5,FALSE)="","",VLOOKUP(A1857,[13]PRIORIZADOS!$A:$E,5,FALSE)),"")</f>
        <v>EPBM</v>
      </c>
      <c r="F1857" s="11" t="str">
        <f>IFERROR(IF(VLOOKUP(A1857,[13]PRIORIZADOS!$A:$F,6,FALSE)="","",VLOOKUP(A1857,[13]PRIORIZADOS!$A:$F,6,FALSE)),"")</f>
        <v>COLEGIO_DEL_SANTISIMO_ROSARIO</v>
      </c>
      <c r="G1857" s="11" t="str">
        <f>IFERROR(IF(VLOOKUP(A1857,[13]PRIORIZADOS!$A:$G,7,FALSE)="","",VLOOKUP(A1857,[13]PRIORIZADOS!$A:$G,7,FALSE)),"")</f>
        <v>COLEGIO DEL SANTISIMO ROSARIO</v>
      </c>
      <c r="H1857" s="11" t="str">
        <f>IFERROR(IF(VLOOKUP(A1857,[13]PRIORIZADOS!$A:$H,8,FALSE)="","",VLOOKUP(A1857,[13]PRIORIZADOS!$A:$H,8,FALSE)),"")</f>
        <v>Autoevaluación Institucional y Pruebas SABER 11</v>
      </c>
      <c r="I1857" s="11" t="str">
        <f>IFERROR(IF(VLOOKUP(A1857,[13]PRIORIZADOS!$A:$I,9,FALSE)="","",VLOOKUP(A1857,[13]PRIORIZADOS!$A:$I,9,FALSE)),"")</f>
        <v>EVALUACIÓN_CON_FINES_DE_MEJORAMIENTO.</v>
      </c>
      <c r="J1857" s="11" t="str">
        <f>IFERROR(IF(VLOOKUP(A1857,[13]PRIORIZADOS!$A:$J,10,FALSE)="","",VLOOKUP(A1857,[13]PRIORIZADOS!$A:$J,10,FALSE)),"")</f>
        <v>Revisar el calendario escolar, jornada escolar, la intensidad horaria mínima anual en cada nivel y las modificaciones que se realicen al mismo, de acuerdo con lo previsto en la normatividad vigente.</v>
      </c>
      <c r="K1857" s="11" t="str">
        <f>IFERROR(IF(VLOOKUP(A1857,[13]PRIORIZADOS!$A:$K,11,FALSE)="","",VLOOKUP(A1857,[13]PRIORIZADOS!$A:$K,11,FALSE)),"")</f>
        <v>DAMARIS RUT CÁRDENAS MORENO</v>
      </c>
      <c r="L1857" s="11" t="str">
        <f>IFERROR(IF(VLOOKUP(A1857,[13]PRIORIZADOS!$A:$L,12,FALSE)="","",VLOOKUP(A1857,[13]PRIORIZADOS!$A:$L,12,FALSE)),"")</f>
        <v>LUIS HERNANDO NEÍZA WALTEROS</v>
      </c>
      <c r="M1857" s="71">
        <f>IFERROR(IF(VLOOKUP(A1857,[13]PRIORIZADOS!$A:$M,13,FALSE)="","",VLOOKUP(A1857,[13]PRIORIZADOS!$A:$M,13,FALSE)),"")</f>
        <v>45748</v>
      </c>
      <c r="N1857" s="71">
        <f>IFERROR(IF(VLOOKUP(A1857,[13]PRIORIZADOS!$A:$N,14,FALSE)="","",VLOOKUP(A1857,[13]PRIORIZADOS!$A:$N,14,FALSE)),"")</f>
        <v>45748</v>
      </c>
      <c r="O1857" s="71">
        <f>IFERROR(IF(VLOOKUP(A1857,[13]PRIORIZADOS!$A:$O,15,FALSE)="","",VLOOKUP(A1857,[13]PRIORIZADOS!$A:$O,15,FALSE)),"")</f>
        <v>45748</v>
      </c>
      <c r="P1857" s="11" t="str">
        <f>IFERROR(IF(VLOOKUP(A1857,[13]PRIORIZADOS!$A:$P,16,FALSE)="","",VLOOKUP(A1857,[13]PRIORIZADOS!$A:$P,16,FALSE)),"")</f>
        <v>Visitas de evaluación con fines de mejoramiento</v>
      </c>
      <c r="Q1857" s="241" t="s">
        <v>410</v>
      </c>
      <c r="R1857" s="11" t="str">
        <f>IFERROR(IF(VLOOKUP(A1857,[13]PRIORIZADOS!$A:$R,18,FALSE)="","",VLOOKUP(A1857,[13]PRIORIZADOS!$A:$R,18,FALSE)),"")</f>
        <v>En lo informado en el aplicativo, la IE cumple. Sin embargo, se requiere realizar ajustes en los documentos institucionales actuales, como cronograma interno institucional.</v>
      </c>
      <c r="S1857" s="11" t="str">
        <f>IFERROR(IF(VLOOKUP(A1857,[13]PRIORIZADOS!$A:$S,19,FALSE)="","",VLOOKUP(A1857,[13]PRIORIZADOS!$A:$S,19,FALSE)),"")</f>
        <v>Se recuerda la importancia de tener un adecuado manejo de la gestión documental institucional y la sistematización de la información.</v>
      </c>
      <c r="T1857" s="70" t="str">
        <f>IFERROR(IF(VLOOKUP(A1857,[13]PRIORIZADOS!$A:$T,20,FALSE)="","",VLOOKUP(A1857,[13]PRIORIZADOS!$A:$T,20,FALSE)),"")</f>
        <v>Si</v>
      </c>
      <c r="U1857" s="11" t="str">
        <f>IFERROR(IF(VLOOKUP(A1857,[13]PRIORIZADOS!$A:$U,21,FALSE)="","",VLOOKUP(A1857,[13]PRIORIZADOS!$A:$U,21,FALSE)),"")</f>
        <v xml:space="preserve">Se realizará visita de seguimiento en el segundo semestre de 2025. Se realizó asesoria y mesa de trabajo el 05 de septiembre de 2025. Seguimiento en 2026 al plan de mejoramiento  presentado el  28 de noviemrbre de 2025. </v>
      </c>
    </row>
    <row r="1858" spans="1:21" s="1" customFormat="1" ht="96">
      <c r="A1858" s="69">
        <f>IF([13]PRIORIZADOS!A21="","",[13]PRIORIZADOS!A21)</f>
        <v>1825</v>
      </c>
      <c r="B1858" s="70">
        <f>IFERROR(IF(VLOOKUP(A1858,[13]PRIORIZADOS!$A:$B,2,FALSE)="","",VLOOKUP(A1858,[13]PRIORIZADOS!$A:$B,2,FALSE)),"")</f>
        <v>2</v>
      </c>
      <c r="C1858" s="11" t="str">
        <f>IFERROR(IF(VLOOKUP(A1858,[13]PRIORIZADOS!$A:$C,3,FALSE)="","",VLOOKUP(A1858,[13]PRIORIZADOS!$A:$C,3,FALSE)),"")</f>
        <v xml:space="preserve">SANTA FE Y CANDELARIA </v>
      </c>
      <c r="D1858" s="11" t="str">
        <f>IFERROR(IF(VLOOKUP(A1858,[13]PRIORIZADOS!$A:$D,4,FALSE)="","",VLOOKUP(A1858,[13]PRIORIZADOS!$A:$D,4,FALSE)),"")</f>
        <v>PRIVADO</v>
      </c>
      <c r="E1858" s="11" t="str">
        <f>IFERROR(IF(VLOOKUP(A1858,[13]PRIORIZADOS!$A:$E,5,FALSE)="","",VLOOKUP(A1858,[13]PRIORIZADOS!$A:$E,5,FALSE)),"")</f>
        <v>EPBM</v>
      </c>
      <c r="F1858" s="11" t="str">
        <f>IFERROR(IF(VLOOKUP(A1858,[13]PRIORIZADOS!$A:$F,6,FALSE)="","",VLOOKUP(A1858,[13]PRIORIZADOS!$A:$F,6,FALSE)),"")</f>
        <v>COLEGIO_DEL_SANTISIMO_ROSARIO</v>
      </c>
      <c r="G1858" s="11" t="str">
        <f>IFERROR(IF(VLOOKUP(A1858,[13]PRIORIZADOS!$A:$G,7,FALSE)="","",VLOOKUP(A1858,[13]PRIORIZADOS!$A:$G,7,FALSE)),"")</f>
        <v>COLEGIO DEL SANTISIMO ROSARIO</v>
      </c>
      <c r="H1858" s="11" t="str">
        <f>IFERROR(IF(VLOOKUP(A1858,[13]PRIORIZADOS!$A:$H,8,FALSE)="","",VLOOKUP(A1858,[13]PRIORIZADOS!$A:$H,8,FALSE)),"")</f>
        <v>Autoevaluación Institucional y Pruebas SABER 11</v>
      </c>
      <c r="I1858" s="11" t="str">
        <f>IFERROR(IF(VLOOKUP(A1858,[13]PRIORIZADOS!$A:$I,9,FALSE)="","",VLOOKUP(A1858,[13]PRIORIZADOS!$A:$I,9,FALSE)),"")</f>
        <v>EVALUACIÓN_CON_FINES_DE_MEJORAMIENTO.</v>
      </c>
      <c r="J1858" s="11" t="str">
        <f>IFERROR(IF(VLOOKUP(A1858,[13]PRIORIZADOS!$A:$J,10,FALSE)="","",VLOOKUP(A1858,[13]PRIORIZADOS!$A:$J,10,FALSE)),"")</f>
        <v>Verificar el funcionamiento del Gobierno Escolar e instancias de participación con base en la información sobre conformación reportada por la institución educativa.</v>
      </c>
      <c r="K1858" s="11" t="str">
        <f>IFERROR(IF(VLOOKUP(A1858,[13]PRIORIZADOS!$A:$K,11,FALSE)="","",VLOOKUP(A1858,[13]PRIORIZADOS!$A:$K,11,FALSE)),"")</f>
        <v>DAMARIS RUT CÁRDENAS MORENO</v>
      </c>
      <c r="L1858" s="11" t="str">
        <f>IFERROR(IF(VLOOKUP(A1858,[13]PRIORIZADOS!$A:$L,12,FALSE)="","",VLOOKUP(A1858,[13]PRIORIZADOS!$A:$L,12,FALSE)),"")</f>
        <v>LUIS HERNANDO NEÍZA WALTEROS</v>
      </c>
      <c r="M1858" s="71">
        <f>IFERROR(IF(VLOOKUP(A1858,[13]PRIORIZADOS!$A:$M,13,FALSE)="","",VLOOKUP(A1858,[13]PRIORIZADOS!$A:$M,13,FALSE)),"")</f>
        <v>45748</v>
      </c>
      <c r="N1858" s="71">
        <f>IFERROR(IF(VLOOKUP(A1858,[13]PRIORIZADOS!$A:$N,14,FALSE)="","",VLOOKUP(A1858,[13]PRIORIZADOS!$A:$N,14,FALSE)),"")</f>
        <v>45748</v>
      </c>
      <c r="O1858" s="71">
        <f>IFERROR(IF(VLOOKUP(A1858,[13]PRIORIZADOS!$A:$O,15,FALSE)="","",VLOOKUP(A1858,[13]PRIORIZADOS!$A:$O,15,FALSE)),"")</f>
        <v>45748</v>
      </c>
      <c r="P1858" s="11" t="str">
        <f>IFERROR(IF(VLOOKUP(A1858,[13]PRIORIZADOS!$A:$P,16,FALSE)="","",VLOOKUP(A1858,[13]PRIORIZADOS!$A:$P,16,FALSE)),"")</f>
        <v>Visitas de evaluación con fines de mejoramiento</v>
      </c>
      <c r="Q1858" s="241" t="s">
        <v>410</v>
      </c>
      <c r="R1858" s="11" t="str">
        <f>IFERROR(IF(VLOOKUP(A1858,[13]PRIORIZADOS!$A:$R,18,FALSE)="","",VLOOKUP(A1858,[13]PRIORIZADOS!$A:$R,18,FALSE)),"")</f>
        <v>A la fecha de la visita, la institución presenta contingencia en área administrativa y manejo de aplicativos, por la renuncia del personal encargado, quien no entregó documentación a su cargo. Sin embargo, el proceso de elección de representantes al gobierno y conformación del mismo se realizó.</v>
      </c>
      <c r="S1858" s="11" t="str">
        <f>IFERROR(IF(VLOOKUP(A1858,[13]PRIORIZADOS!$A:$S,19,FALSE)="","",VLOOKUP(A1858,[13]PRIORIZADOS!$A:$S,19,FALSE)),"")</f>
        <v>Se comparte información de solicitud de usuarios con la Dirección de Participación y la DIV, para subsanar el proceso.</v>
      </c>
      <c r="T1858" s="70" t="str">
        <f>IFERROR(IF(VLOOKUP(A1858,[13]PRIORIZADOS!$A:$T,20,FALSE)="","",VLOOKUP(A1858,[13]PRIORIZADOS!$A:$T,20,FALSE)),"")</f>
        <v>Si</v>
      </c>
      <c r="U1858" s="11" t="str">
        <f>IFERROR(IF(VLOOKUP(A1858,[13]PRIORIZADOS!$A:$U,21,FALSE)="","",VLOOKUP(A1858,[13]PRIORIZADOS!$A:$U,21,FALSE)),"")</f>
        <v xml:space="preserve">Se realizará visita de seguimiento en el segundo semestre de 2025.Se realizó asesoria y mesa de trabajo el 05 de septiembre de 2025.  Seguimiento en 2026 al plan de mejoramiento  presentado el  28 de noviemrbre de 2025. </v>
      </c>
    </row>
    <row r="1859" spans="1:21" s="1" customFormat="1" ht="48">
      <c r="A1859" s="69">
        <f>IF([13]PRIORIZADOS!A22="","",[13]PRIORIZADOS!A22)</f>
        <v>1826</v>
      </c>
      <c r="B1859" s="70">
        <f>IFERROR(IF(VLOOKUP(A1859,[13]PRIORIZADOS!$A:$B,2,FALSE)="","",VLOOKUP(A1859,[13]PRIORIZADOS!$A:$B,2,FALSE)),"")</f>
        <v>2</v>
      </c>
      <c r="C1859" s="11" t="str">
        <f>IFERROR(IF(VLOOKUP(A1859,[13]PRIORIZADOS!$A:$C,3,FALSE)="","",VLOOKUP(A1859,[13]PRIORIZADOS!$A:$C,3,FALSE)),"")</f>
        <v xml:space="preserve">SANTA FE Y CANDELARIA </v>
      </c>
      <c r="D1859" s="11" t="str">
        <f>IFERROR(IF(VLOOKUP(A1859,[13]PRIORIZADOS!$A:$D,4,FALSE)="","",VLOOKUP(A1859,[13]PRIORIZADOS!$A:$D,4,FALSE)),"")</f>
        <v>PRIVADO</v>
      </c>
      <c r="E1859" s="11" t="str">
        <f>IFERROR(IF(VLOOKUP(A1859,[13]PRIORIZADOS!$A:$E,5,FALSE)="","",VLOOKUP(A1859,[13]PRIORIZADOS!$A:$E,5,FALSE)),"")</f>
        <v>EPBM</v>
      </c>
      <c r="F1859" s="11" t="str">
        <f>IFERROR(IF(VLOOKUP(A1859,[13]PRIORIZADOS!$A:$F,6,FALSE)="","",VLOOKUP(A1859,[13]PRIORIZADOS!$A:$F,6,FALSE)),"")</f>
        <v>COLEGIO_DEL_SANTISIMO_ROSARIO</v>
      </c>
      <c r="G1859" s="11" t="str">
        <f>IFERROR(IF(VLOOKUP(A1859,[13]PRIORIZADOS!$A:$G,7,FALSE)="","",VLOOKUP(A1859,[13]PRIORIZADOS!$A:$G,7,FALSE)),"")</f>
        <v>COLEGIO DEL SANTISIMO ROSARIO</v>
      </c>
      <c r="H1859" s="11" t="str">
        <f>IFERROR(IF(VLOOKUP(A1859,[13]PRIORIZADOS!$A:$H,8,FALSE)="","",VLOOKUP(A1859,[13]PRIORIZADOS!$A:$H,8,FALSE)),"")</f>
        <v>Autoevaluación Institucional y Pruebas SABER 11</v>
      </c>
      <c r="I1859" s="11" t="str">
        <f>IFERROR(IF(VLOOKUP(A1859,[13]PRIORIZADOS!$A:$I,9,FALSE)="","",VLOOKUP(A1859,[13]PRIORIZADOS!$A:$I,9,FALSE)),"")</f>
        <v>EVALUACIÓN_CON_FINES_DE_MEJORAMIENTO.</v>
      </c>
      <c r="J1859" s="11" t="str">
        <f>IFERROR(IF(VLOOKUP(A1859,[13]PRIORIZADOS!$A:$J,10,FALSE)="","",VLOOKUP(A1859,[13]PRIORIZADOS!$A:$J,10,FALSE)),"")</f>
        <v>Verificar las condiciones en cuanto a: la estructura administrativa, condiciones de la planta física y medios educativos adecuados.</v>
      </c>
      <c r="K1859" s="11" t="str">
        <f>IFERROR(IF(VLOOKUP(A1859,[13]PRIORIZADOS!$A:$K,11,FALSE)="","",VLOOKUP(A1859,[13]PRIORIZADOS!$A:$K,11,FALSE)),"")</f>
        <v>DAMARIS RUT CÁRDENAS MORENO</v>
      </c>
      <c r="L1859" s="11" t="str">
        <f>IFERROR(IF(VLOOKUP(A1859,[13]PRIORIZADOS!$A:$L,12,FALSE)="","",VLOOKUP(A1859,[13]PRIORIZADOS!$A:$L,12,FALSE)),"")</f>
        <v>LUIS HERNANDO NEÍZA WALTEROS</v>
      </c>
      <c r="M1859" s="71">
        <f>IFERROR(IF(VLOOKUP(A1859,[13]PRIORIZADOS!$A:$M,13,FALSE)="","",VLOOKUP(A1859,[13]PRIORIZADOS!$A:$M,13,FALSE)),"")</f>
        <v>45748</v>
      </c>
      <c r="N1859" s="71">
        <f>IFERROR(IF(VLOOKUP(A1859,[13]PRIORIZADOS!$A:$N,14,FALSE)="","",VLOOKUP(A1859,[13]PRIORIZADOS!$A:$N,14,FALSE)),"")</f>
        <v>45748</v>
      </c>
      <c r="O1859" s="71">
        <f>IFERROR(IF(VLOOKUP(A1859,[13]PRIORIZADOS!$A:$O,15,FALSE)="","",VLOOKUP(A1859,[13]PRIORIZADOS!$A:$O,15,FALSE)),"")</f>
        <v>45748</v>
      </c>
      <c r="P1859" s="11" t="str">
        <f>IFERROR(IF(VLOOKUP(A1859,[13]PRIORIZADOS!$A:$P,16,FALSE)="","",VLOOKUP(A1859,[13]PRIORIZADOS!$A:$P,16,FALSE)),"")</f>
        <v>Visitas de evaluación con fines de mejoramiento</v>
      </c>
      <c r="Q1859" s="241" t="s">
        <v>410</v>
      </c>
      <c r="R1859" s="11" t="str">
        <f>IFERROR(IF(VLOOKUP(A1859,[13]PRIORIZADOS!$A:$R,18,FALSE)="","",VLOOKUP(A1859,[13]PRIORIZADOS!$A:$R,18,FALSE)),"")</f>
        <v xml:space="preserve">La institución educativa se encuentra realizando adecuaciones relacionadas con observaciones realizadas por visita del sector salud.  </v>
      </c>
      <c r="S1859" s="11" t="str">
        <f>IFERROR(IF(VLOOKUP(A1859,[13]PRIORIZADOS!$A:$S,19,FALSE)="","",VLOOKUP(A1859,[13]PRIORIZADOS!$A:$S,19,FALSE)),"")</f>
        <v>Se recuerda la importancia de realizar adecuado mantenimiento, y señalización de espacios.</v>
      </c>
      <c r="T1859" s="70" t="str">
        <f>IFERROR(IF(VLOOKUP(A1859,[13]PRIORIZADOS!$A:$T,20,FALSE)="","",VLOOKUP(A1859,[13]PRIORIZADOS!$A:$T,20,FALSE)),"")</f>
        <v>Si</v>
      </c>
      <c r="U1859" s="11" t="str">
        <f>IFERROR(IF(VLOOKUP(A1859,[13]PRIORIZADOS!$A:$U,21,FALSE)="","",VLOOKUP(A1859,[13]PRIORIZADOS!$A:$U,21,FALSE)),"")</f>
        <v xml:space="preserve">Se realizará visita de seguimiento en el segundo semestre de 2025. Se realizó asesoria y mesa de trabajo el 05 de septiembre de 2025. Seguimiento en 2026 al plan de mejoramiento  presentado el  28 de noviemrbre de 2025. </v>
      </c>
    </row>
    <row r="1860" spans="1:21" s="1" customFormat="1" ht="96">
      <c r="A1860" s="69">
        <f>IF([13]PRIORIZADOS!A23="","",[13]PRIORIZADOS!A23)</f>
        <v>1827</v>
      </c>
      <c r="B1860" s="70">
        <f>IFERROR(IF(VLOOKUP(A1860,[13]PRIORIZADOS!$A:$B,2,FALSE)="","",VLOOKUP(A1860,[13]PRIORIZADOS!$A:$B,2,FALSE)),"")</f>
        <v>3</v>
      </c>
      <c r="C1860" s="11" t="str">
        <f>IFERROR(IF(VLOOKUP(A1860,[13]PRIORIZADOS!$A:$C,3,FALSE)="","",VLOOKUP(A1860,[13]PRIORIZADOS!$A:$C,3,FALSE)),"")</f>
        <v xml:space="preserve">SANTA FE Y CANDELARIA </v>
      </c>
      <c r="D1860" s="11" t="str">
        <f>IFERROR(IF(VLOOKUP(A1860,[13]PRIORIZADOS!$A:$D,4,FALSE)="","",VLOOKUP(A1860,[13]PRIORIZADOS!$A:$D,4,FALSE)),"")</f>
        <v>PRIVADO</v>
      </c>
      <c r="E1860" s="11" t="str">
        <f>IFERROR(IF(VLOOKUP(A1860,[13]PRIORIZADOS!$A:$E,5,FALSE)="","",VLOOKUP(A1860,[13]PRIORIZADOS!$A:$E,5,FALSE)),"")</f>
        <v>EPBM</v>
      </c>
      <c r="F1860" s="11" t="str">
        <f>IFERROR(IF(VLOOKUP(A1860,[13]PRIORIZADOS!$A:$F,6,FALSE)="","",VLOOKUP(A1860,[13]PRIORIZADOS!$A:$F,6,FALSE)),"")</f>
        <v>COLEGIO_BENPOSTA_NACION_DE_MUCHACHOS</v>
      </c>
      <c r="G1860" s="11" t="str">
        <f>IFERROR(IF(VLOOKUP(A1860,[13]PRIORIZADOS!$A:$G,7,FALSE)="","",VLOOKUP(A1860,[13]PRIORIZADOS!$A:$G,7,FALSE)),"")</f>
        <v>COLEGIO BENPOSTA NACION DE MUCHACHOS</v>
      </c>
      <c r="H1860" s="11" t="str">
        <f>IFERROR(IF(VLOOKUP(A1860,[13]PRIORIZADOS!$A:$H,8,FALSE)="","",VLOOKUP(A1860,[13]PRIORIZADOS!$A:$H,8,FALSE)),"")</f>
        <v>Autoevaluación Institucional y Pruebas SABER 11</v>
      </c>
      <c r="I1860" s="11" t="str">
        <f>IFERROR(IF(VLOOKUP(A1860,[13]PRIORIZADOS!$A:$I,9,FALSE)="","",VLOOKUP(A1860,[13]PRIORIZADOS!$A:$I,9,FALSE)),"")</f>
        <v>SEGUIMIENTO_Y_SUPERVISIÓN.</v>
      </c>
      <c r="J1860" s="11" t="str">
        <f>IFERROR(IF(VLOOKUP(A1860,[13]PRIORIZADOS!$A:$J,10,FALSE)="","",VLOOKUP(A1860,[13]PRIORIZADOS!$A:$J,10,FALSE)),"")</f>
        <v>Realizar visitas para verificar la información registrada sobre la autoevaluación institucional en el aplicativo EVI, a los establecimientos de educación formal no oficial.</v>
      </c>
      <c r="K1860" s="11" t="str">
        <f>IFERROR(IF(VLOOKUP(A1860,[13]PRIORIZADOS!$A:$K,11,FALSE)="","",VLOOKUP(A1860,[13]PRIORIZADOS!$A:$K,11,FALSE)),"")</f>
        <v>JOSÉ MAXIMILIANO CHAPARRO BARRERA</v>
      </c>
      <c r="L1860" s="11" t="str">
        <f>IFERROR(IF(VLOOKUP(A1860,[13]PRIORIZADOS!$A:$L,12,FALSE)="","",VLOOKUP(A1860,[13]PRIORIZADOS!$A:$L,12,FALSE)),"")</f>
        <v>DAMARIS RUT CÁRDENAS MORENO</v>
      </c>
      <c r="M1860" s="71">
        <f>IFERROR(IF(VLOOKUP(A1860,[13]PRIORIZADOS!$A:$M,13,FALSE)="","",VLOOKUP(A1860,[13]PRIORIZADOS!$A:$M,13,FALSE)),"")</f>
        <v>45758</v>
      </c>
      <c r="N1860" s="71">
        <f>IFERROR(IF(VLOOKUP(A1860,[13]PRIORIZADOS!$A:$N,14,FALSE)="","",VLOOKUP(A1860,[13]PRIORIZADOS!$A:$N,14,FALSE)),"")</f>
        <v>45758</v>
      </c>
      <c r="O1860" s="71">
        <f>IFERROR(IF(VLOOKUP(A1860,[13]PRIORIZADOS!$A:$O,15,FALSE)="","",VLOOKUP(A1860,[13]PRIORIZADOS!$A:$O,15,FALSE)),"")</f>
        <v>45758</v>
      </c>
      <c r="P1860" s="11" t="str">
        <f>IFERROR(IF(VLOOKUP(A1860,[13]PRIORIZADOS!$A:$P,16,FALSE)="","",VLOOKUP(A1860,[13]PRIORIZADOS!$A:$P,16,FALSE)),"")</f>
        <v>Visitas de evaluación con fines de mejoramiento</v>
      </c>
      <c r="Q1860" s="122" t="s">
        <v>411</v>
      </c>
      <c r="R1860" s="11" t="str">
        <f>IFERROR(IF(VLOOKUP(A1860,[13]PRIORIZADOS!$A:$R,18,FALSE)="","",VLOOKUP(A1860,[13]PRIORIZADOS!$A:$R,18,FALSE)),"")</f>
        <v xml:space="preserve">Se encontró correspondencia entre lo reportado en el aplicativo EVI y lo observado durante la visita, en relación con la vinculación docente. Existen documentos contractuales; no obstante, algunos docentes están vinculados mediante contratos de prestación de servicios.  </v>
      </c>
      <c r="S1860" s="11" t="str">
        <f>IFERROR(IF(VLOOKUP(A1860,[13]PRIORIZADOS!$A:$S,19,FALSE)="","",VLOOKUP(A1860,[13]PRIORIZADOS!$A:$S,19,FALSE)),"")</f>
        <v>Verificar el tipo de vinculación contractual de los docentes que prestan servicios bajo la modalidad de prestación de servicios.</v>
      </c>
      <c r="T1860" s="70" t="str">
        <f>IFERROR(IF(VLOOKUP(A1860,[13]PRIORIZADOS!$A:$T,20,FALSE)="","",VLOOKUP(A1860,[13]PRIORIZADOS!$A:$T,20,FALSE)),"")</f>
        <v>Si</v>
      </c>
      <c r="U1860" s="11" t="str">
        <f>IFERROR(IF(VLOOKUP(A1860,[13]PRIORIZADOS!$A:$U,21,FALSE)="","",VLOOKUP(A1860,[13]PRIORIZADOS!$A:$U,21,FALSE)),"")</f>
        <v>Realizar acompañamiento y brindar orientación para la formulación del plan de mejoramiento en el mes de agosto de 2025.  Se realizará seguimiento en vigencia 2026.</v>
      </c>
    </row>
    <row r="1861" spans="1:21" s="1" customFormat="1" ht="60">
      <c r="A1861" s="69">
        <f>IF([13]PRIORIZADOS!A24="","",[13]PRIORIZADOS!A24)</f>
        <v>1828</v>
      </c>
      <c r="B1861" s="70">
        <f>IFERROR(IF(VLOOKUP(A1861,[13]PRIORIZADOS!$A:$B,2,FALSE)="","",VLOOKUP(A1861,[13]PRIORIZADOS!$A:$B,2,FALSE)),"")</f>
        <v>3</v>
      </c>
      <c r="C1861" s="11" t="str">
        <f>IFERROR(IF(VLOOKUP(A1861,[13]PRIORIZADOS!$A:$C,3,FALSE)="","",VLOOKUP(A1861,[13]PRIORIZADOS!$A:$C,3,FALSE)),"")</f>
        <v xml:space="preserve">SANTA FE Y CANDELARIA </v>
      </c>
      <c r="D1861" s="11" t="str">
        <f>IFERROR(IF(VLOOKUP(A1861,[13]PRIORIZADOS!$A:$D,4,FALSE)="","",VLOOKUP(A1861,[13]PRIORIZADOS!$A:$D,4,FALSE)),"")</f>
        <v>PRIVADO</v>
      </c>
      <c r="E1861" s="11" t="str">
        <f>IFERROR(IF(VLOOKUP(A1861,[13]PRIORIZADOS!$A:$E,5,FALSE)="","",VLOOKUP(A1861,[13]PRIORIZADOS!$A:$E,5,FALSE)),"")</f>
        <v>EPBM</v>
      </c>
      <c r="F1861" s="11" t="str">
        <f>IFERROR(IF(VLOOKUP(A1861,[13]PRIORIZADOS!$A:$F,6,FALSE)="","",VLOOKUP(A1861,[13]PRIORIZADOS!$A:$F,6,FALSE)),"")</f>
        <v>COLEGIO_BENPOSTA_NACION_DE_MUCHACHOS</v>
      </c>
      <c r="G1861" s="11" t="str">
        <f>IFERROR(IF(VLOOKUP(A1861,[13]PRIORIZADOS!$A:$G,7,FALSE)="","",VLOOKUP(A1861,[13]PRIORIZADOS!$A:$G,7,FALSE)),"")</f>
        <v>COLEGIO BENPOSTA NACION DE MUCHACHOS</v>
      </c>
      <c r="H1861" s="11" t="str">
        <f>IFERROR(IF(VLOOKUP(A1861,[13]PRIORIZADOS!$A:$H,8,FALSE)="","",VLOOKUP(A1861,[13]PRIORIZADOS!$A:$H,8,FALSE)),"")</f>
        <v>Autoevaluación Institucional y Pruebas SABER 11</v>
      </c>
      <c r="I1861" s="11" t="str">
        <f>IFERROR(IF(VLOOKUP(A1861,[13]PRIORIZADOS!$A:$I,9,FALSE)="","",VLOOKUP(A1861,[13]PRIORIZADOS!$A:$I,9,FALSE)),"")</f>
        <v>SEGUIMIENTO_Y_SUPERVISIÓN.</v>
      </c>
      <c r="J1861" s="11" t="str">
        <f>IFERROR(IF(VLOOKUP(A1861,[13]PRIORIZADOS!$A:$J,10,FALSE)="","",VLOOKUP(A1861,[13]PRIORIZADOS!$A:$J,10,FALSE)),"")</f>
        <v>Proponer estrategias en la formulación, verificar su elaboración y realizar seguimiento semestral al desarrollo de  las acciones establecidas en los planes de mejoramiento por pruebas SABER 11 de los establecimientos de educación formal.</v>
      </c>
      <c r="K1861" s="11" t="str">
        <f>IFERROR(IF(VLOOKUP(A1861,[13]PRIORIZADOS!$A:$K,11,FALSE)="","",VLOOKUP(A1861,[13]PRIORIZADOS!$A:$K,11,FALSE)),"")</f>
        <v>JOSÉ MAXIMILIANO CHAPARRO BARRERA</v>
      </c>
      <c r="L1861" s="11" t="str">
        <f>IFERROR(IF(VLOOKUP(A1861,[13]PRIORIZADOS!$A:$L,12,FALSE)="","",VLOOKUP(A1861,[13]PRIORIZADOS!$A:$L,12,FALSE)),"")</f>
        <v>DAMARIS RUT CÁRDENAS MORENO</v>
      </c>
      <c r="M1861" s="71">
        <f>IFERROR(IF(VLOOKUP(A1861,[13]PRIORIZADOS!$A:$M,13,FALSE)="","",VLOOKUP(A1861,[13]PRIORIZADOS!$A:$M,13,FALSE)),"")</f>
        <v>45758</v>
      </c>
      <c r="N1861" s="71">
        <f>IFERROR(IF(VLOOKUP(A1861,[13]PRIORIZADOS!$A:$N,14,FALSE)="","",VLOOKUP(A1861,[13]PRIORIZADOS!$A:$N,14,FALSE)),"")</f>
        <v>45758</v>
      </c>
      <c r="O1861" s="71">
        <f>IFERROR(IF(VLOOKUP(A1861,[13]PRIORIZADOS!$A:$O,15,FALSE)="","",VLOOKUP(A1861,[13]PRIORIZADOS!$A:$O,15,FALSE)),"")</f>
        <v>45758</v>
      </c>
      <c r="P1861" s="11" t="str">
        <f>IFERROR(IF(VLOOKUP(A1861,[13]PRIORIZADOS!$A:$P,16,FALSE)="","",VLOOKUP(A1861,[13]PRIORIZADOS!$A:$P,16,FALSE)),"")</f>
        <v>Visitas de evaluación con fines de mejoramiento</v>
      </c>
      <c r="Q1861" s="122" t="s">
        <v>411</v>
      </c>
      <c r="R1861" s="11" t="str">
        <f>IFERROR(IF(VLOOKUP(A1861,[13]PRIORIZADOS!$A:$R,18,FALSE)="","",VLOOKUP(A1861,[13]PRIORIZADOS!$A:$R,18,FALSE)),"")</f>
        <v xml:space="preserve">Se constató la existencia de un plan de mejoramiento, así como de una estrategia dirigida al fortalecimiento de los resultados en las Pruebas Saber. </v>
      </c>
      <c r="S1861" s="11" t="str">
        <f>IFERROR(IF(VLOOKUP(A1861,[13]PRIORIZADOS!$A:$S,19,FALSE)="","",VLOOKUP(A1861,[13]PRIORIZADOS!$A:$S,19,FALSE)),"")</f>
        <v>Formular el modelo o estrategia de mejoramiento en pruebas externas, acompañado del análisis de resultados orientado a la evaluación interna del aprendizaje estudiantil.</v>
      </c>
      <c r="T1861" s="70" t="str">
        <f>IFERROR(IF(VLOOKUP(A1861,[13]PRIORIZADOS!$A:$T,20,FALSE)="","",VLOOKUP(A1861,[13]PRIORIZADOS!$A:$T,20,FALSE)),"")</f>
        <v>Si</v>
      </c>
      <c r="U1861" s="11" t="str">
        <f>IFERROR(IF(VLOOKUP(A1861,[13]PRIORIZADOS!$A:$U,21,FALSE)="","",VLOOKUP(A1861,[13]PRIORIZADOS!$A:$U,21,FALSE)),"")</f>
        <v>Realizar acompañamiento y brindar orientación para la formulación del plan de mejoramiento en el mes de agosto de 2025.  Se realizará seguimiento en vigencia 2026.</v>
      </c>
    </row>
    <row r="1862" spans="1:21" s="1" customFormat="1" ht="60">
      <c r="A1862" s="69">
        <f>IF([13]PRIORIZADOS!A25="","",[13]PRIORIZADOS!A25)</f>
        <v>1829</v>
      </c>
      <c r="B1862" s="70">
        <f>IFERROR(IF(VLOOKUP(A1862,[13]PRIORIZADOS!$A:$B,2,FALSE)="","",VLOOKUP(A1862,[13]PRIORIZADOS!$A:$B,2,FALSE)),"")</f>
        <v>3</v>
      </c>
      <c r="C1862" s="11" t="str">
        <f>IFERROR(IF(VLOOKUP(A1862,[13]PRIORIZADOS!$A:$C,3,FALSE)="","",VLOOKUP(A1862,[13]PRIORIZADOS!$A:$C,3,FALSE)),"")</f>
        <v xml:space="preserve">SANTA FE Y CANDELARIA </v>
      </c>
      <c r="D1862" s="11" t="str">
        <f>IFERROR(IF(VLOOKUP(A1862,[13]PRIORIZADOS!$A:$D,4,FALSE)="","",VLOOKUP(A1862,[13]PRIORIZADOS!$A:$D,4,FALSE)),"")</f>
        <v>PRIVADO</v>
      </c>
      <c r="E1862" s="11" t="str">
        <f>IFERROR(IF(VLOOKUP(A1862,[13]PRIORIZADOS!$A:$E,5,FALSE)="","",VLOOKUP(A1862,[13]PRIORIZADOS!$A:$E,5,FALSE)),"")</f>
        <v>EPBM</v>
      </c>
      <c r="F1862" s="11" t="str">
        <f>IFERROR(IF(VLOOKUP(A1862,[13]PRIORIZADOS!$A:$F,6,FALSE)="","",VLOOKUP(A1862,[13]PRIORIZADOS!$A:$F,6,FALSE)),"")</f>
        <v>COLEGIO_BENPOSTA_NACION_DE_MUCHACHOS</v>
      </c>
      <c r="G1862" s="11" t="str">
        <f>IFERROR(IF(VLOOKUP(A1862,[13]PRIORIZADOS!$A:$G,7,FALSE)="","",VLOOKUP(A1862,[13]PRIORIZADOS!$A:$G,7,FALSE)),"")</f>
        <v>COLEGIO BENPOSTA NACION DE MUCHACHOS</v>
      </c>
      <c r="H1862" s="11" t="str">
        <f>IFERROR(IF(VLOOKUP(A1862,[13]PRIORIZADOS!$A:$H,8,FALSE)="","",VLOOKUP(A1862,[13]PRIORIZADOS!$A:$H,8,FALSE)),"")</f>
        <v>Autoevaluación Institucional y Pruebas SABER 11</v>
      </c>
      <c r="I1862" s="11" t="str">
        <f>IFERROR(IF(VLOOKUP(A1862,[13]PRIORIZADOS!$A:$I,9,FALSE)="","",VLOOKUP(A1862,[13]PRIORIZADOS!$A:$I,9,FALSE)),"")</f>
        <v>SEGUIMIENTO_Y_SUPERVISIÓN.</v>
      </c>
      <c r="J1862" s="11" t="str">
        <f>IFERROR(IF(VLOOKUP(A1862,[13]PRIORIZADOS!$A:$J,10,FALSE)="","",VLOOKUP(A1862,[13]PRIORIZADOS!$A:$J,10,FALSE)),"")</f>
        <v xml:space="preserve">Verificar la implementación por parte de los colegios, de acciones realizadas para la prevención y atención de las situaciones de convivencia en el entorno escolar, según lo establecido en la Directiva 01 de 2022 del MEN. </v>
      </c>
      <c r="K1862" s="11" t="str">
        <f>IFERROR(IF(VLOOKUP(A1862,[13]PRIORIZADOS!$A:$K,11,FALSE)="","",VLOOKUP(A1862,[13]PRIORIZADOS!$A:$K,11,FALSE)),"")</f>
        <v>JOSÉ MAXIMILIANO CHAPARRO BARRERA</v>
      </c>
      <c r="L1862" s="11" t="str">
        <f>IFERROR(IF(VLOOKUP(A1862,[13]PRIORIZADOS!$A:$L,12,FALSE)="","",VLOOKUP(A1862,[13]PRIORIZADOS!$A:$L,12,FALSE)),"")</f>
        <v>DAMARIS RUT CÁRDENAS MORENO</v>
      </c>
      <c r="M1862" s="71">
        <f>IFERROR(IF(VLOOKUP(A1862,[13]PRIORIZADOS!$A:$M,13,FALSE)="","",VLOOKUP(A1862,[13]PRIORIZADOS!$A:$M,13,FALSE)),"")</f>
        <v>45758</v>
      </c>
      <c r="N1862" s="71">
        <f>IFERROR(IF(VLOOKUP(A1862,[13]PRIORIZADOS!$A:$N,14,FALSE)="","",VLOOKUP(A1862,[13]PRIORIZADOS!$A:$N,14,FALSE)),"")</f>
        <v>45758</v>
      </c>
      <c r="O1862" s="71">
        <f>IFERROR(IF(VLOOKUP(A1862,[13]PRIORIZADOS!$A:$O,15,FALSE)="","",VLOOKUP(A1862,[13]PRIORIZADOS!$A:$O,15,FALSE)),"")</f>
        <v>45758</v>
      </c>
      <c r="P1862" s="11" t="str">
        <f>IFERROR(IF(VLOOKUP(A1862,[13]PRIORIZADOS!$A:$P,16,FALSE)="","",VLOOKUP(A1862,[13]PRIORIZADOS!$A:$P,16,FALSE)),"")</f>
        <v>Visitas de evaluación con fines de mejoramiento</v>
      </c>
      <c r="Q1862" s="122" t="s">
        <v>411</v>
      </c>
      <c r="R1862" s="11" t="str">
        <f>IFERROR(IF(VLOOKUP(A1862,[13]PRIORIZADOS!$A:$R,18,FALSE)="","",VLOOKUP(A1862,[13]PRIORIZADOS!$A:$R,18,FALSE)),"")</f>
        <v xml:space="preserve">La Institución Educativa ha llevado a cabo la verificación periódica, cada cuatro meses, de antecedentes por delitos sexuales.  </v>
      </c>
      <c r="S1862" s="11" t="str">
        <f>IFERROR(IF(VLOOKUP(A1862,[13]PRIORIZADOS!$A:$S,19,FALSE)="","",VLOOKUP(A1862,[13]PRIORIZADOS!$A:$S,19,FALSE)),"")</f>
        <v>Verificar el cumplimiento de las acciones establecidas en la Directiva 01, con énfasis en la actualización del manual y en la formulación de indicadores de convivencia derivados del Plan de Convivencia Escolar.</v>
      </c>
      <c r="T1862" s="70" t="str">
        <f>IFERROR(IF(VLOOKUP(A1862,[13]PRIORIZADOS!$A:$T,20,FALSE)="","",VLOOKUP(A1862,[13]PRIORIZADOS!$A:$T,20,FALSE)),"")</f>
        <v>Si</v>
      </c>
      <c r="U1862" s="11" t="str">
        <f>IFERROR(IF(VLOOKUP(A1862,[13]PRIORIZADOS!$A:$U,21,FALSE)="","",VLOOKUP(A1862,[13]PRIORIZADOS!$A:$U,21,FALSE)),"")</f>
        <v>Realizar acompañamiento y brindar orientación para la formulación del plan de mejoramiento en el mes de agosto de 2025.  Se realizará seguimiento en vigencia 2026.</v>
      </c>
    </row>
    <row r="1863" spans="1:21" s="1" customFormat="1" ht="72">
      <c r="A1863" s="69">
        <f>IF([13]PRIORIZADOS!A26="","",[13]PRIORIZADOS!A26)</f>
        <v>1830</v>
      </c>
      <c r="B1863" s="70">
        <f>IFERROR(IF(VLOOKUP(A1863,[13]PRIORIZADOS!$A:$B,2,FALSE)="","",VLOOKUP(A1863,[13]PRIORIZADOS!$A:$B,2,FALSE)),"")</f>
        <v>3</v>
      </c>
      <c r="C1863" s="11" t="str">
        <f>IFERROR(IF(VLOOKUP(A1863,[13]PRIORIZADOS!$A:$C,3,FALSE)="","",VLOOKUP(A1863,[13]PRIORIZADOS!$A:$C,3,FALSE)),"")</f>
        <v xml:space="preserve">SANTA FE Y CANDELARIA </v>
      </c>
      <c r="D1863" s="11" t="str">
        <f>IFERROR(IF(VLOOKUP(A1863,[13]PRIORIZADOS!$A:$D,4,FALSE)="","",VLOOKUP(A1863,[13]PRIORIZADOS!$A:$D,4,FALSE)),"")</f>
        <v>PRIVADO</v>
      </c>
      <c r="E1863" s="11" t="str">
        <f>IFERROR(IF(VLOOKUP(A1863,[13]PRIORIZADOS!$A:$E,5,FALSE)="","",VLOOKUP(A1863,[13]PRIORIZADOS!$A:$E,5,FALSE)),"")</f>
        <v>EPBM</v>
      </c>
      <c r="F1863" s="11" t="str">
        <f>IFERROR(IF(VLOOKUP(A1863,[13]PRIORIZADOS!$A:$F,6,FALSE)="","",VLOOKUP(A1863,[13]PRIORIZADOS!$A:$F,6,FALSE)),"")</f>
        <v>COLEGIO_BENPOSTA_NACION_DE_MUCHACHOS</v>
      </c>
      <c r="G1863" s="11" t="str">
        <f>IFERROR(IF(VLOOKUP(A1863,[13]PRIORIZADOS!$A:$G,7,FALSE)="","",VLOOKUP(A1863,[13]PRIORIZADOS!$A:$G,7,FALSE)),"")</f>
        <v>COLEGIO BENPOSTA NACION DE MUCHACHOS</v>
      </c>
      <c r="H1863" s="11" t="str">
        <f>IFERROR(IF(VLOOKUP(A1863,[13]PRIORIZADOS!$A:$H,8,FALSE)="","",VLOOKUP(A1863,[13]PRIORIZADOS!$A:$H,8,FALSE)),"")</f>
        <v>Autoevaluación Institucional y Pruebas SABER 11</v>
      </c>
      <c r="I1863" s="11" t="str">
        <f>IFERROR(IF(VLOOKUP(A1863,[13]PRIORIZADOS!$A:$I,9,FALSE)="","",VLOOKUP(A1863,[13]PRIORIZADOS!$A:$I,9,FALSE)),"")</f>
        <v>SEGUIMIENTO_Y_SUPERVISIÓN.</v>
      </c>
      <c r="J1863" s="11" t="str">
        <f>IFERROR(IF(VLOOKUP(A1863,[13]PRIORIZADOS!$A:$J,10,FALSE)="","",VLOOKUP(A1863,[13]PRIORIZADOS!$A:$J,10,FALSE)),"")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63" s="11" t="str">
        <f>IFERROR(IF(VLOOKUP(A1863,[13]PRIORIZADOS!$A:$K,11,FALSE)="","",VLOOKUP(A1863,[13]PRIORIZADOS!$A:$K,11,FALSE)),"")</f>
        <v>JOSÉ MAXIMILIANO CHAPARRO BARRERA</v>
      </c>
      <c r="L1863" s="11" t="str">
        <f>IFERROR(IF(VLOOKUP(A1863,[13]PRIORIZADOS!$A:$L,12,FALSE)="","",VLOOKUP(A1863,[13]PRIORIZADOS!$A:$L,12,FALSE)),"")</f>
        <v>DAMARIS RUT CÁRDENAS MORENO</v>
      </c>
      <c r="M1863" s="71">
        <f>IFERROR(IF(VLOOKUP(A1863,[13]PRIORIZADOS!$A:$M,13,FALSE)="","",VLOOKUP(A1863,[13]PRIORIZADOS!$A:$M,13,FALSE)),"")</f>
        <v>45758</v>
      </c>
      <c r="N1863" s="71">
        <f>IFERROR(IF(VLOOKUP(A1863,[13]PRIORIZADOS!$A:$N,14,FALSE)="","",VLOOKUP(A1863,[13]PRIORIZADOS!$A:$N,14,FALSE)),"")</f>
        <v>45758</v>
      </c>
      <c r="O1863" s="71">
        <f>IFERROR(IF(VLOOKUP(A1863,[13]PRIORIZADOS!$A:$O,15,FALSE)="","",VLOOKUP(A1863,[13]PRIORIZADOS!$A:$O,15,FALSE)),"")</f>
        <v>45758</v>
      </c>
      <c r="P1863" s="11" t="str">
        <f>IFERROR(IF(VLOOKUP(A1863,[13]PRIORIZADOS!$A:$P,16,FALSE)="","",VLOOKUP(A1863,[13]PRIORIZADOS!$A:$P,16,FALSE)),"")</f>
        <v>Visitas de evaluación con fines de mejoramiento</v>
      </c>
      <c r="Q1863" s="122" t="s">
        <v>411</v>
      </c>
      <c r="R1863" s="11" t="str">
        <f>IFERROR(IF(VLOOKUP(A1863,[13]PRIORIZADOS!$A:$R,18,FALSE)="","",VLOOKUP(A1863,[13]PRIORIZADOS!$A:$R,18,FALSE)),"")</f>
        <v xml:space="preserve">Se evidenció la existencia de documentos PIAR elaborados para la población, en el contexto del proyecto institucional GIE, el cual direcciona la flexibilización curricular para los estudiantes que lo requieran.  </v>
      </c>
      <c r="S1863" s="11" t="str">
        <f>IFERROR(IF(VLOOKUP(A1863,[13]PRIORIZADOS!$A:$S,19,FALSE)="","",VLOOKUP(A1863,[13]PRIORIZADOS!$A:$S,19,FALSE)),"")</f>
        <v>Fortalecer el proceso a través de la actualización y complementación del SIEE institucional, con miras a implementar dichas estrategias en el próximo año lectivo y formalizar los PIAR individuales de cada estudiante.</v>
      </c>
      <c r="T1863" s="70" t="str">
        <f>IFERROR(IF(VLOOKUP(A1863,[13]PRIORIZADOS!$A:$T,20,FALSE)="","",VLOOKUP(A1863,[13]PRIORIZADOS!$A:$T,20,FALSE)),"")</f>
        <v>Si</v>
      </c>
      <c r="U1863" s="11" t="str">
        <f>IFERROR(IF(VLOOKUP(A1863,[13]PRIORIZADOS!$A:$U,21,FALSE)="","",VLOOKUP(A1863,[13]PRIORIZADOS!$A:$U,21,FALSE)),"")</f>
        <v>Realizar acompañamiento y brindar orientación para la formulación del plan de mejoramiento en el mes de agosto de 2025.  Se realizará seguimiento en vigencia 2026.</v>
      </c>
    </row>
    <row r="1864" spans="1:21" s="1" customFormat="1" ht="84">
      <c r="A1864" s="69">
        <f>IF([13]PRIORIZADOS!A27="","",[13]PRIORIZADOS!A27)</f>
        <v>1831</v>
      </c>
      <c r="B1864" s="70">
        <f>IFERROR(IF(VLOOKUP(A1864,[13]PRIORIZADOS!$A:$B,2,FALSE)="","",VLOOKUP(A1864,[13]PRIORIZADOS!$A:$B,2,FALSE)),"")</f>
        <v>3</v>
      </c>
      <c r="C1864" s="11" t="str">
        <f>IFERROR(IF(VLOOKUP(A1864,[13]PRIORIZADOS!$A:$C,3,FALSE)="","",VLOOKUP(A1864,[13]PRIORIZADOS!$A:$C,3,FALSE)),"")</f>
        <v xml:space="preserve">SANTA FE Y CANDELARIA </v>
      </c>
      <c r="D1864" s="11" t="str">
        <f>IFERROR(IF(VLOOKUP(A1864,[13]PRIORIZADOS!$A:$D,4,FALSE)="","",VLOOKUP(A1864,[13]PRIORIZADOS!$A:$D,4,FALSE)),"")</f>
        <v>PRIVADO</v>
      </c>
      <c r="E1864" s="11" t="str">
        <f>IFERROR(IF(VLOOKUP(A1864,[13]PRIORIZADOS!$A:$E,5,FALSE)="","",VLOOKUP(A1864,[13]PRIORIZADOS!$A:$E,5,FALSE)),"")</f>
        <v>EPBM</v>
      </c>
      <c r="F1864" s="11" t="str">
        <f>IFERROR(IF(VLOOKUP(A1864,[13]PRIORIZADOS!$A:$F,6,FALSE)="","",VLOOKUP(A1864,[13]PRIORIZADOS!$A:$F,6,FALSE)),"")</f>
        <v>COLEGIO_BENPOSTA_NACION_DE_MUCHACHOS</v>
      </c>
      <c r="G1864" s="11" t="str">
        <f>IFERROR(IF(VLOOKUP(A1864,[13]PRIORIZADOS!$A:$G,7,FALSE)="","",VLOOKUP(A1864,[13]PRIORIZADOS!$A:$G,7,FALSE)),"")</f>
        <v>COLEGIO BENPOSTA NACION DE MUCHACHOS</v>
      </c>
      <c r="H1864" s="11" t="str">
        <f>IFERROR(IF(VLOOKUP(A1864,[13]PRIORIZADOS!$A:$H,8,FALSE)="","",VLOOKUP(A1864,[13]PRIORIZADOS!$A:$H,8,FALSE)),"")</f>
        <v>Autoevaluación Institucional y Pruebas SABER 11</v>
      </c>
      <c r="I1864" s="11" t="str">
        <f>IFERROR(IF(VLOOKUP(A1864,[13]PRIORIZADOS!$A:$I,9,FALSE)="","",VLOOKUP(A1864,[13]PRIORIZADOS!$A:$I,9,FALSE)),"")</f>
        <v>EVALUACIÓN_CON_FINES_DE_MEJORAMIENTO.</v>
      </c>
      <c r="J1864" s="11" t="str">
        <f>IFERROR(IF(VLOOKUP(A1864,[13]PRIORIZADOS!$A:$J,10,FALSE)="","",VLOOKUP(A1864,[13]PRIORIZADOS!$A:$J,10,FALSE)),"")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64" s="11" t="str">
        <f>IFERROR(IF(VLOOKUP(A1864,[13]PRIORIZADOS!$A:$K,11,FALSE)="","",VLOOKUP(A1864,[13]PRIORIZADOS!$A:$K,11,FALSE)),"")</f>
        <v>JOSÉ MAXIMILIANO CHAPARRO BARRERA</v>
      </c>
      <c r="L1864" s="11" t="str">
        <f>IFERROR(IF(VLOOKUP(A1864,[13]PRIORIZADOS!$A:$L,12,FALSE)="","",VLOOKUP(A1864,[13]PRIORIZADOS!$A:$L,12,FALSE)),"")</f>
        <v>DAMARIS RUT CÁRDENAS MORENO</v>
      </c>
      <c r="M1864" s="71">
        <f>IFERROR(IF(VLOOKUP(A1864,[13]PRIORIZADOS!$A:$M,13,FALSE)="","",VLOOKUP(A1864,[13]PRIORIZADOS!$A:$M,13,FALSE)),"")</f>
        <v>45758</v>
      </c>
      <c r="N1864" s="71">
        <f>IFERROR(IF(VLOOKUP(A1864,[13]PRIORIZADOS!$A:$N,14,FALSE)="","",VLOOKUP(A1864,[13]PRIORIZADOS!$A:$N,14,FALSE)),"")</f>
        <v>45758</v>
      </c>
      <c r="O1864" s="71">
        <f>IFERROR(IF(VLOOKUP(A1864,[13]PRIORIZADOS!$A:$O,15,FALSE)="","",VLOOKUP(A1864,[13]PRIORIZADOS!$A:$O,15,FALSE)),"")</f>
        <v>45758</v>
      </c>
      <c r="P1864" s="11" t="str">
        <f>IFERROR(IF(VLOOKUP(A1864,[13]PRIORIZADOS!$A:$P,16,FALSE)="","",VLOOKUP(A1864,[13]PRIORIZADOS!$A:$P,16,FALSE)),"")</f>
        <v>Visitas de evaluación con fines de mejoramiento</v>
      </c>
      <c r="Q1864" s="122" t="s">
        <v>411</v>
      </c>
      <c r="R1864" s="11" t="str">
        <f>IFERROR(IF(VLOOKUP(A1864,[13]PRIORIZADOS!$A:$R,18,FALSE)="","",VLOOKUP(A1864,[13]PRIORIZADOS!$A:$R,18,FALSE)),"")</f>
        <v>El Manual de Convivencia requiere ser ajustado para asegurar su armonización con los lineamientos establecidos en el Proyecto Educativo Institucional.</v>
      </c>
      <c r="S1864" s="11" t="str">
        <f>IFERROR(IF(VLOOKUP(A1864,[13]PRIORIZADOS!$A:$S,19,FALSE)="","",VLOOKUP(A1864,[13]PRIORIZADOS!$A:$S,19,FALSE)),"")</f>
        <v>Realizar ajustes al Manual de Convivencia mediante un proceso participativo con la comunidad, con el fin de actualizar el documento e implementarlo en el próximo año lectivo.</v>
      </c>
      <c r="T1864" s="70" t="str">
        <f>IFERROR(IF(VLOOKUP(A1864,[13]PRIORIZADOS!$A:$T,20,FALSE)="","",VLOOKUP(A1864,[13]PRIORIZADOS!$A:$T,20,FALSE)),"")</f>
        <v>Si</v>
      </c>
      <c r="U1864" s="11" t="str">
        <f>IFERROR(IF(VLOOKUP(A1864,[13]PRIORIZADOS!$A:$U,21,FALSE)="","",VLOOKUP(A1864,[13]PRIORIZADOS!$A:$U,21,FALSE)),"")</f>
        <v>Realizar acompañamiento y brindar orientación para la formulación del plan de mejoramiento en el mes de agosto de 2025.  Se realizará seguimiento en vigencia 2026.</v>
      </c>
    </row>
    <row r="1865" spans="1:21" s="1" customFormat="1" ht="60">
      <c r="A1865" s="69">
        <f>IF([13]PRIORIZADOS!A28="","",[13]PRIORIZADOS!A28)</f>
        <v>1832</v>
      </c>
      <c r="B1865" s="70">
        <f>IFERROR(IF(VLOOKUP(A1865,[13]PRIORIZADOS!$A:$B,2,FALSE)="","",VLOOKUP(A1865,[13]PRIORIZADOS!$A:$B,2,FALSE)),"")</f>
        <v>3</v>
      </c>
      <c r="C1865" s="11" t="str">
        <f>IFERROR(IF(VLOOKUP(A1865,[13]PRIORIZADOS!$A:$C,3,FALSE)="","",VLOOKUP(A1865,[13]PRIORIZADOS!$A:$C,3,FALSE)),"")</f>
        <v xml:space="preserve">SANTA FE Y CANDELARIA </v>
      </c>
      <c r="D1865" s="11" t="str">
        <f>IFERROR(IF(VLOOKUP(A1865,[13]PRIORIZADOS!$A:$D,4,FALSE)="","",VLOOKUP(A1865,[13]PRIORIZADOS!$A:$D,4,FALSE)),"")</f>
        <v>PRIVADO</v>
      </c>
      <c r="E1865" s="11" t="str">
        <f>IFERROR(IF(VLOOKUP(A1865,[13]PRIORIZADOS!$A:$E,5,FALSE)="","",VLOOKUP(A1865,[13]PRIORIZADOS!$A:$E,5,FALSE)),"")</f>
        <v>EPBM</v>
      </c>
      <c r="F1865" s="11" t="str">
        <f>IFERROR(IF(VLOOKUP(A1865,[13]PRIORIZADOS!$A:$F,6,FALSE)="","",VLOOKUP(A1865,[13]PRIORIZADOS!$A:$F,6,FALSE)),"")</f>
        <v>COLEGIO_BENPOSTA_NACION_DE_MUCHACHOS</v>
      </c>
      <c r="G1865" s="11" t="str">
        <f>IFERROR(IF(VLOOKUP(A1865,[13]PRIORIZADOS!$A:$G,7,FALSE)="","",VLOOKUP(A1865,[13]PRIORIZADOS!$A:$G,7,FALSE)),"")</f>
        <v>COLEGIO BENPOSTA NACION DE MUCHACHOS</v>
      </c>
      <c r="H1865" s="11" t="str">
        <f>IFERROR(IF(VLOOKUP(A1865,[13]PRIORIZADOS!$A:$H,8,FALSE)="","",VLOOKUP(A1865,[13]PRIORIZADOS!$A:$H,8,FALSE)),"")</f>
        <v>Autoevaluación Institucional y Pruebas SABER 11</v>
      </c>
      <c r="I1865" s="11" t="str">
        <f>IFERROR(IF(VLOOKUP(A1865,[13]PRIORIZADOS!$A:$I,9,FALSE)="","",VLOOKUP(A1865,[13]PRIORIZADOS!$A:$I,9,FALSE)),"")</f>
        <v>EVALUACIÓN_CON_FINES_DE_MEJORAMIENTO.</v>
      </c>
      <c r="J1865" s="11" t="str">
        <f>IFERROR(IF(VLOOKUP(A1865,[13]PRIORIZADOS!$A:$J,10,FALSE)="","",VLOOKUP(A1865,[13]PRIORIZADOS!$A:$J,10,FALSE)),"")</f>
        <v>Revisar la actualización, socialización e implementación del Sistema Institucional de Evaluación de Estudiantes - SIEE, en articulación con la actualización del PEI y la normatividad vigente.</v>
      </c>
      <c r="K1865" s="11" t="str">
        <f>IFERROR(IF(VLOOKUP(A1865,[13]PRIORIZADOS!$A:$K,11,FALSE)="","",VLOOKUP(A1865,[13]PRIORIZADOS!$A:$K,11,FALSE)),"")</f>
        <v>JOSÉ MAXIMILIANO CHAPARRO BARRERA</v>
      </c>
      <c r="L1865" s="11" t="str">
        <f>IFERROR(IF(VLOOKUP(A1865,[13]PRIORIZADOS!$A:$L,12,FALSE)="","",VLOOKUP(A1865,[13]PRIORIZADOS!$A:$L,12,FALSE)),"")</f>
        <v>DAMARIS RUT CÁRDENAS MORENO</v>
      </c>
      <c r="M1865" s="71">
        <f>IFERROR(IF(VLOOKUP(A1865,[13]PRIORIZADOS!$A:$M,13,FALSE)="","",VLOOKUP(A1865,[13]PRIORIZADOS!$A:$M,13,FALSE)),"")</f>
        <v>45758</v>
      </c>
      <c r="N1865" s="71">
        <f>IFERROR(IF(VLOOKUP(A1865,[13]PRIORIZADOS!$A:$N,14,FALSE)="","",VLOOKUP(A1865,[13]PRIORIZADOS!$A:$N,14,FALSE)),"")</f>
        <v>45758</v>
      </c>
      <c r="O1865" s="71">
        <f>IFERROR(IF(VLOOKUP(A1865,[13]PRIORIZADOS!$A:$O,15,FALSE)="","",VLOOKUP(A1865,[13]PRIORIZADOS!$A:$O,15,FALSE)),"")</f>
        <v>45758</v>
      </c>
      <c r="P1865" s="11" t="str">
        <f>IFERROR(IF(VLOOKUP(A1865,[13]PRIORIZADOS!$A:$P,16,FALSE)="","",VLOOKUP(A1865,[13]PRIORIZADOS!$A:$P,16,FALSE)),"")</f>
        <v>Visitas de evaluación con fines de mejoramiento</v>
      </c>
      <c r="Q1865" s="122" t="s">
        <v>411</v>
      </c>
      <c r="R1865" s="11" t="str">
        <f>IFERROR(IF(VLOOKUP(A1865,[13]PRIORIZADOS!$A:$R,18,FALSE)="","",VLOOKUP(A1865,[13]PRIORIZADOS!$A:$R,18,FALSE)),"")</f>
        <v>La institución cuenta con el documento SIEE, que ha sido socializado con la comunidad escolar, pero presenta incoherencias con el PEI y el contexto institucional.</v>
      </c>
      <c r="S1865" s="11" t="str">
        <f>IFERROR(IF(VLOOKUP(A1865,[13]PRIORIZADOS!$A:$S,19,FALSE)="","",VLOOKUP(A1865,[13]PRIORIZADOS!$A:$S,19,FALSE)),"")</f>
        <v>Llevar a cabo ajustes en el SIEE considerando el modelo pedagógico, el PEI y las particularidades contextuales de la institución.</v>
      </c>
      <c r="T1865" s="70" t="str">
        <f>IFERROR(IF(VLOOKUP(A1865,[13]PRIORIZADOS!$A:$T,20,FALSE)="","",VLOOKUP(A1865,[13]PRIORIZADOS!$A:$T,20,FALSE)),"")</f>
        <v>Si</v>
      </c>
      <c r="U1865" s="11" t="str">
        <f>IFERROR(IF(VLOOKUP(A1865,[13]PRIORIZADOS!$A:$U,21,FALSE)="","",VLOOKUP(A1865,[13]PRIORIZADOS!$A:$U,21,FALSE)),"")</f>
        <v>Realizar acompañamiento y brindar orientación para la formulación del plan de mejoramiento en el mes de agosto de 2025.   Se realizará seguimiento en vigencia 2026.</v>
      </c>
    </row>
    <row r="1866" spans="1:21" s="1" customFormat="1" ht="48">
      <c r="A1866" s="69">
        <f>IF([13]PRIORIZADOS!A29="","",[13]PRIORIZADOS!A29)</f>
        <v>1833</v>
      </c>
      <c r="B1866" s="70">
        <f>IFERROR(IF(VLOOKUP(A1866,[13]PRIORIZADOS!$A:$B,2,FALSE)="","",VLOOKUP(A1866,[13]PRIORIZADOS!$A:$B,2,FALSE)),"")</f>
        <v>3</v>
      </c>
      <c r="C1866" s="11" t="str">
        <f>IFERROR(IF(VLOOKUP(A1866,[13]PRIORIZADOS!$A:$C,3,FALSE)="","",VLOOKUP(A1866,[13]PRIORIZADOS!$A:$C,3,FALSE)),"")</f>
        <v xml:space="preserve">SANTA FE Y CANDELARIA </v>
      </c>
      <c r="D1866" s="11" t="str">
        <f>IFERROR(IF(VLOOKUP(A1866,[13]PRIORIZADOS!$A:$D,4,FALSE)="","",VLOOKUP(A1866,[13]PRIORIZADOS!$A:$D,4,FALSE)),"")</f>
        <v>PRIVADO</v>
      </c>
      <c r="E1866" s="11" t="str">
        <f>IFERROR(IF(VLOOKUP(A1866,[13]PRIORIZADOS!$A:$E,5,FALSE)="","",VLOOKUP(A1866,[13]PRIORIZADOS!$A:$E,5,FALSE)),"")</f>
        <v>EPBM</v>
      </c>
      <c r="F1866" s="11" t="str">
        <f>IFERROR(IF(VLOOKUP(A1866,[13]PRIORIZADOS!$A:$F,6,FALSE)="","",VLOOKUP(A1866,[13]PRIORIZADOS!$A:$F,6,FALSE)),"")</f>
        <v>COLEGIO_BENPOSTA_NACION_DE_MUCHACHOS</v>
      </c>
      <c r="G1866" s="11" t="str">
        <f>IFERROR(IF(VLOOKUP(A1866,[13]PRIORIZADOS!$A:$G,7,FALSE)="","",VLOOKUP(A1866,[13]PRIORIZADOS!$A:$G,7,FALSE)),"")</f>
        <v>COLEGIO BENPOSTA NACION DE MUCHACHOS</v>
      </c>
      <c r="H1866" s="11" t="str">
        <f>IFERROR(IF(VLOOKUP(A1866,[13]PRIORIZADOS!$A:$H,8,FALSE)="","",VLOOKUP(A1866,[13]PRIORIZADOS!$A:$H,8,FALSE)),"")</f>
        <v>Autoevaluación Institucional y Pruebas SABER 11</v>
      </c>
      <c r="I1866" s="11" t="str">
        <f>IFERROR(IF(VLOOKUP(A1866,[13]PRIORIZADOS!$A:$I,9,FALSE)="","",VLOOKUP(A1866,[13]PRIORIZADOS!$A:$I,9,FALSE)),"")</f>
        <v>EVALUACIÓN_CON_FINES_DE_MEJORAMIENTO.</v>
      </c>
      <c r="J1866" s="11" t="str">
        <f>IFERROR(IF(VLOOKUP(A1866,[13]PRIORIZADOS!$A:$J,10,FALSE)="","",VLOOKUP(A1866,[13]PRIORIZADOS!$A:$J,10,FALSE)),"")</f>
        <v>Revisar el calendario escolar, jornada escolar, la intensidad horaria mínima anual en cada nivel y las modificaciones que se realicen al mismo, de acuerdo con lo previsto en la normatividad vigente.</v>
      </c>
      <c r="K1866" s="11" t="str">
        <f>IFERROR(IF(VLOOKUP(A1866,[13]PRIORIZADOS!$A:$K,11,FALSE)="","",VLOOKUP(A1866,[13]PRIORIZADOS!$A:$K,11,FALSE)),"")</f>
        <v>JOSÉ MAXIMILIANO CHAPARRO BARRERA</v>
      </c>
      <c r="L1866" s="11" t="str">
        <f>IFERROR(IF(VLOOKUP(A1866,[13]PRIORIZADOS!$A:$L,12,FALSE)="","",VLOOKUP(A1866,[13]PRIORIZADOS!$A:$L,12,FALSE)),"")</f>
        <v>DAMARIS RUT CÁRDENAS MORENO</v>
      </c>
      <c r="M1866" s="71">
        <f>IFERROR(IF(VLOOKUP(A1866,[13]PRIORIZADOS!$A:$M,13,FALSE)="","",VLOOKUP(A1866,[13]PRIORIZADOS!$A:$M,13,FALSE)),"")</f>
        <v>45758</v>
      </c>
      <c r="N1866" s="71">
        <f>IFERROR(IF(VLOOKUP(A1866,[13]PRIORIZADOS!$A:$N,14,FALSE)="","",VLOOKUP(A1866,[13]PRIORIZADOS!$A:$N,14,FALSE)),"")</f>
        <v>45758</v>
      </c>
      <c r="O1866" s="71">
        <f>IFERROR(IF(VLOOKUP(A1866,[13]PRIORIZADOS!$A:$O,15,FALSE)="","",VLOOKUP(A1866,[13]PRIORIZADOS!$A:$O,15,FALSE)),"")</f>
        <v>45758</v>
      </c>
      <c r="P1866" s="11" t="str">
        <f>IFERROR(IF(VLOOKUP(A1866,[13]PRIORIZADOS!$A:$P,16,FALSE)="","",VLOOKUP(A1866,[13]PRIORIZADOS!$A:$P,16,FALSE)),"")</f>
        <v>Visitas de evaluación con fines de mejoramiento</v>
      </c>
      <c r="Q1866" s="122" t="s">
        <v>411</v>
      </c>
      <c r="R1866" s="11" t="str">
        <f>IFERROR(IF(VLOOKUP(A1866,[13]PRIORIZADOS!$A:$R,18,FALSE)="","",VLOOKUP(A1866,[13]PRIORIZADOS!$A:$R,18,FALSE)),"")</f>
        <v>El calendario escolar, la jornada y la intensidad horaria se encuentran ajustados conforme a la normatividad vigente..</v>
      </c>
      <c r="S1866" s="11" t="str">
        <f>IFERROR(IF(VLOOKUP(A1866,[13]PRIORIZADOS!$A:$S,19,FALSE)="","",VLOOKUP(A1866,[13]PRIORIZADOS!$A:$S,19,FALSE)),"")</f>
        <v>Continuar con la elaboración del calendario académico y asegurar su correcta implementación.</v>
      </c>
      <c r="T1866" s="70" t="str">
        <f>IFERROR(IF(VLOOKUP(A1866,[13]PRIORIZADOS!$A:$T,20,FALSE)="","",VLOOKUP(A1866,[13]PRIORIZADOS!$A:$T,20,FALSE)),"")</f>
        <v>No</v>
      </c>
      <c r="U1866" s="11" t="str">
        <f>IFERROR(IF(VLOOKUP(A1866,[13]PRIORIZADOS!$A:$U,21,FALSE)="","",VLOOKUP(A1866,[13]PRIORIZADOS!$A:$U,21,FALSE)),"")</f>
        <v>Se hará revisión en 2026.  Se realizará seguimiento en vigencia 2026.</v>
      </c>
    </row>
    <row r="1867" spans="1:21" s="1" customFormat="1" ht="60">
      <c r="A1867" s="69">
        <f>IF([13]PRIORIZADOS!A30="","",[13]PRIORIZADOS!A30)</f>
        <v>1834</v>
      </c>
      <c r="B1867" s="70">
        <f>IFERROR(IF(VLOOKUP(A1867,[13]PRIORIZADOS!$A:$B,2,FALSE)="","",VLOOKUP(A1867,[13]PRIORIZADOS!$A:$B,2,FALSE)),"")</f>
        <v>3</v>
      </c>
      <c r="C1867" s="11" t="str">
        <f>IFERROR(IF(VLOOKUP(A1867,[13]PRIORIZADOS!$A:$C,3,FALSE)="","",VLOOKUP(A1867,[13]PRIORIZADOS!$A:$C,3,FALSE)),"")</f>
        <v xml:space="preserve">SANTA FE Y CANDELARIA </v>
      </c>
      <c r="D1867" s="11" t="str">
        <f>IFERROR(IF(VLOOKUP(A1867,[13]PRIORIZADOS!$A:$D,4,FALSE)="","",VLOOKUP(A1867,[13]PRIORIZADOS!$A:$D,4,FALSE)),"")</f>
        <v>PRIVADO</v>
      </c>
      <c r="E1867" s="11" t="str">
        <f>IFERROR(IF(VLOOKUP(A1867,[13]PRIORIZADOS!$A:$E,5,FALSE)="","",VLOOKUP(A1867,[13]PRIORIZADOS!$A:$E,5,FALSE)),"")</f>
        <v>EPBM</v>
      </c>
      <c r="F1867" s="11" t="str">
        <f>IFERROR(IF(VLOOKUP(A1867,[13]PRIORIZADOS!$A:$F,6,FALSE)="","",VLOOKUP(A1867,[13]PRIORIZADOS!$A:$F,6,FALSE)),"")</f>
        <v>COLEGIO_BENPOSTA_NACION_DE_MUCHACHOS</v>
      </c>
      <c r="G1867" s="11" t="str">
        <f>IFERROR(IF(VLOOKUP(A1867,[13]PRIORIZADOS!$A:$G,7,FALSE)="","",VLOOKUP(A1867,[13]PRIORIZADOS!$A:$G,7,FALSE)),"")</f>
        <v>COLEGIO BENPOSTA NACION DE MUCHACHOS</v>
      </c>
      <c r="H1867" s="11" t="str">
        <f>IFERROR(IF(VLOOKUP(A1867,[13]PRIORIZADOS!$A:$H,8,FALSE)="","",VLOOKUP(A1867,[13]PRIORIZADOS!$A:$H,8,FALSE)),"")</f>
        <v>Autoevaluación Institucional y Pruebas SABER 11</v>
      </c>
      <c r="I1867" s="11" t="str">
        <f>IFERROR(IF(VLOOKUP(A1867,[13]PRIORIZADOS!$A:$I,9,FALSE)="","",VLOOKUP(A1867,[13]PRIORIZADOS!$A:$I,9,FALSE)),"")</f>
        <v>EVALUACIÓN_CON_FINES_DE_MEJORAMIENTO.</v>
      </c>
      <c r="J1867" s="11" t="str">
        <f>IFERROR(IF(VLOOKUP(A1867,[13]PRIORIZADOS!$A:$J,10,FALSE)="","",VLOOKUP(A1867,[13]PRIORIZADOS!$A:$J,10,FALSE)),"")</f>
        <v>Verificar el funcionamiento del Gobierno Escolar e instancias de participación con base en la información sobre conformación reportada por la institución educativa.</v>
      </c>
      <c r="K1867" s="11" t="str">
        <f>IFERROR(IF(VLOOKUP(A1867,[13]PRIORIZADOS!$A:$K,11,FALSE)="","",VLOOKUP(A1867,[13]PRIORIZADOS!$A:$K,11,FALSE)),"")</f>
        <v>JOSÉ MAXIMILIANO CHAPARRO BARRERA</v>
      </c>
      <c r="L1867" s="11" t="str">
        <f>IFERROR(IF(VLOOKUP(A1867,[13]PRIORIZADOS!$A:$L,12,FALSE)="","",VLOOKUP(A1867,[13]PRIORIZADOS!$A:$L,12,FALSE)),"")</f>
        <v>DAMARIS RUT CÁRDENAS MORENO</v>
      </c>
      <c r="M1867" s="71">
        <f>IFERROR(IF(VLOOKUP(A1867,[13]PRIORIZADOS!$A:$M,13,FALSE)="","",VLOOKUP(A1867,[13]PRIORIZADOS!$A:$M,13,FALSE)),"")</f>
        <v>45758</v>
      </c>
      <c r="N1867" s="71">
        <f>IFERROR(IF(VLOOKUP(A1867,[13]PRIORIZADOS!$A:$N,14,FALSE)="","",VLOOKUP(A1867,[13]PRIORIZADOS!$A:$N,14,FALSE)),"")</f>
        <v>45758</v>
      </c>
      <c r="O1867" s="71">
        <f>IFERROR(IF(VLOOKUP(A1867,[13]PRIORIZADOS!$A:$O,15,FALSE)="","",VLOOKUP(A1867,[13]PRIORIZADOS!$A:$O,15,FALSE)),"")</f>
        <v>45758</v>
      </c>
      <c r="P1867" s="11" t="str">
        <f>IFERROR(IF(VLOOKUP(A1867,[13]PRIORIZADOS!$A:$P,16,FALSE)="","",VLOOKUP(A1867,[13]PRIORIZADOS!$A:$P,16,FALSE)),"")</f>
        <v>Visitas de evaluación con fines de mejoramiento</v>
      </c>
      <c r="Q1867" s="122" t="s">
        <v>411</v>
      </c>
      <c r="R1867" s="11" t="str">
        <f>IFERROR(IF(VLOOKUP(A1867,[13]PRIORIZADOS!$A:$R,18,FALSE)="","",VLOOKUP(A1867,[13]PRIORIZADOS!$A:$R,18,FALSE)),"")</f>
        <v>Los estamentos de gobierno escolar se encuentran conformados; no obstante, persisten aspectos por subsanar en las actas y no se evidencia una operatividad regular de los mismos.</v>
      </c>
      <c r="S1867" s="11" t="str">
        <f>IFERROR(IF(VLOOKUP(A1867,[13]PRIORIZADOS!$A:$S,19,FALSE)="","",VLOOKUP(A1867,[13]PRIORIZADOS!$A:$S,19,FALSE)),"")</f>
        <v>Realizar la revisión de los formatos y de ciertos datos registrados en las actas de conformación y de operatividad de los estamentos.</v>
      </c>
      <c r="T1867" s="70" t="str">
        <f>IFERROR(IF(VLOOKUP(A1867,[13]PRIORIZADOS!$A:$T,20,FALSE)="","",VLOOKUP(A1867,[13]PRIORIZADOS!$A:$T,20,FALSE)),"")</f>
        <v>Si</v>
      </c>
      <c r="U1867" s="11" t="str">
        <f>IFERROR(IF(VLOOKUP(A1867,[13]PRIORIZADOS!$A:$U,21,FALSE)="","",VLOOKUP(A1867,[13]PRIORIZADOS!$A:$U,21,FALSE)),"")</f>
        <v>Realizar acompañamiento y brindar orientación para la formulación del plan de mejoramiento en el mes de agosto de 2025. Se realizará seguimiento en vigencia 2026.</v>
      </c>
    </row>
    <row r="1868" spans="1:21" s="1" customFormat="1" ht="84">
      <c r="A1868" s="69">
        <f>IF([13]PRIORIZADOS!A31="","",[13]PRIORIZADOS!A31)</f>
        <v>1835</v>
      </c>
      <c r="B1868" s="70">
        <f>IFERROR(IF(VLOOKUP(A1868,[13]PRIORIZADOS!$A:$B,2,FALSE)="","",VLOOKUP(A1868,[13]PRIORIZADOS!$A:$B,2,FALSE)),"")</f>
        <v>3</v>
      </c>
      <c r="C1868" s="11" t="str">
        <f>IFERROR(IF(VLOOKUP(A1868,[13]PRIORIZADOS!$A:$C,3,FALSE)="","",VLOOKUP(A1868,[13]PRIORIZADOS!$A:$C,3,FALSE)),"")</f>
        <v xml:space="preserve">SANTA FE Y CANDELARIA </v>
      </c>
      <c r="D1868" s="11" t="str">
        <f>IFERROR(IF(VLOOKUP(A1868,[13]PRIORIZADOS!$A:$D,4,FALSE)="","",VLOOKUP(A1868,[13]PRIORIZADOS!$A:$D,4,FALSE)),"")</f>
        <v>PRIVADO</v>
      </c>
      <c r="E1868" s="11" t="str">
        <f>IFERROR(IF(VLOOKUP(A1868,[13]PRIORIZADOS!$A:$E,5,FALSE)="","",VLOOKUP(A1868,[13]PRIORIZADOS!$A:$E,5,FALSE)),"")</f>
        <v>EPBM</v>
      </c>
      <c r="F1868" s="11" t="str">
        <f>IFERROR(IF(VLOOKUP(A1868,[13]PRIORIZADOS!$A:$F,6,FALSE)="","",VLOOKUP(A1868,[13]PRIORIZADOS!$A:$F,6,FALSE)),"")</f>
        <v>COLEGIO_BENPOSTA_NACION_DE_MUCHACHOS</v>
      </c>
      <c r="G1868" s="11" t="str">
        <f>IFERROR(IF(VLOOKUP(A1868,[13]PRIORIZADOS!$A:$G,7,FALSE)="","",VLOOKUP(A1868,[13]PRIORIZADOS!$A:$G,7,FALSE)),"")</f>
        <v>COLEGIO BENPOSTA NACION DE MUCHACHOS</v>
      </c>
      <c r="H1868" s="11" t="str">
        <f>IFERROR(IF(VLOOKUP(A1868,[13]PRIORIZADOS!$A:$H,8,FALSE)="","",VLOOKUP(A1868,[13]PRIORIZADOS!$A:$H,8,FALSE)),"")</f>
        <v>Autoevaluación Institucional y Pruebas SABER 11</v>
      </c>
      <c r="I1868" s="11" t="str">
        <f>IFERROR(IF(VLOOKUP(A1868,[13]PRIORIZADOS!$A:$I,9,FALSE)="","",VLOOKUP(A1868,[13]PRIORIZADOS!$A:$I,9,FALSE)),"")</f>
        <v>EVALUACIÓN_CON_FINES_DE_MEJORAMIENTO.</v>
      </c>
      <c r="J1868" s="11" t="str">
        <f>IFERROR(IF(VLOOKUP(A1868,[13]PRIORIZADOS!$A:$J,10,FALSE)="","",VLOOKUP(A1868,[13]PRIORIZADOS!$A:$J,10,FALSE)),"")</f>
        <v>Verificar las condiciones en cuanto a: la estructura administrativa, condiciones de la planta física y medios educativos adecuados.</v>
      </c>
      <c r="K1868" s="11" t="str">
        <f>IFERROR(IF(VLOOKUP(A1868,[13]PRIORIZADOS!$A:$K,11,FALSE)="","",VLOOKUP(A1868,[13]PRIORIZADOS!$A:$K,11,FALSE)),"")</f>
        <v>JOSÉ MAXIMILIANO CHAPARRO BARRERA</v>
      </c>
      <c r="L1868" s="11" t="str">
        <f>IFERROR(IF(VLOOKUP(A1868,[13]PRIORIZADOS!$A:$L,12,FALSE)="","",VLOOKUP(A1868,[13]PRIORIZADOS!$A:$L,12,FALSE)),"")</f>
        <v>DAMARIS RUT CÁRDENAS MORENO</v>
      </c>
      <c r="M1868" s="71">
        <f>IFERROR(IF(VLOOKUP(A1868,[13]PRIORIZADOS!$A:$M,13,FALSE)="","",VLOOKUP(A1868,[13]PRIORIZADOS!$A:$M,13,FALSE)),"")</f>
        <v>45758</v>
      </c>
      <c r="N1868" s="71">
        <f>IFERROR(IF(VLOOKUP(A1868,[13]PRIORIZADOS!$A:$N,14,FALSE)="","",VLOOKUP(A1868,[13]PRIORIZADOS!$A:$N,14,FALSE)),"")</f>
        <v>45758</v>
      </c>
      <c r="O1868" s="71">
        <f>IFERROR(IF(VLOOKUP(A1868,[13]PRIORIZADOS!$A:$O,15,FALSE)="","",VLOOKUP(A1868,[13]PRIORIZADOS!$A:$O,15,FALSE)),"")</f>
        <v>45758</v>
      </c>
      <c r="P1868" s="11" t="str">
        <f>IFERROR(IF(VLOOKUP(A1868,[13]PRIORIZADOS!$A:$P,16,FALSE)="","",VLOOKUP(A1868,[13]PRIORIZADOS!$A:$P,16,FALSE)),"")</f>
        <v>Visitas de evaluación con fines de mejoramiento</v>
      </c>
      <c r="Q1868" s="242" t="s">
        <v>411</v>
      </c>
      <c r="R1868" s="11" t="str">
        <f>IFERROR(IF(VLOOKUP(A1868,[13]PRIORIZADOS!$A:$R,18,FALSE)="","",VLOOKUP(A1868,[13]PRIORIZADOS!$A:$R,18,FALSE)),"")</f>
        <v>La infraestructura comparte espacios con Fundación Benposta  que contiene (dormitorio de estudiantes, casas de cuidadores y oficinas administrativas de fundación). los espacios educativos son funcionales; sin embargo, no tiene en cuenta población con discapacidad,</v>
      </c>
      <c r="S1868" s="11" t="str">
        <f>IFERROR(IF(VLOOKUP(A1868,[13]PRIORIZADOS!$A:$S,19,FALSE)="","",VLOOKUP(A1868,[13]PRIORIZADOS!$A:$S,19,FALSE)),"")</f>
        <v>Llevar a cabo la adaptación de la infraestructura con el propósito de atender adecuadamente a la población con discapacidad.</v>
      </c>
      <c r="T1868" s="70" t="str">
        <f>IFERROR(IF(VLOOKUP(A1868,[13]PRIORIZADOS!$A:$T,20,FALSE)="","",VLOOKUP(A1868,[13]PRIORIZADOS!$A:$T,20,FALSE)),"")</f>
        <v>Si</v>
      </c>
      <c r="U1868" s="11" t="str">
        <f>IFERROR(IF(VLOOKUP(A1868,[13]PRIORIZADOS!$A:$U,21,FALSE)="","",VLOOKUP(A1868,[13]PRIORIZADOS!$A:$U,21,FALSE)),"")</f>
        <v>Realizar acompañamiento y brindar orientación para la formulación del plan de mejoramiento en el mes de agosto de 2025. Se realizará seguimiento en vigencia 2026.</v>
      </c>
    </row>
    <row r="1869" spans="1:21" s="1" customFormat="1" ht="84">
      <c r="A1869" s="69">
        <f>IF([13]PRIORIZADOS!A32="","",[13]PRIORIZADOS!A32)</f>
        <v>1836</v>
      </c>
      <c r="B1869" s="70">
        <f>IFERROR(IF(VLOOKUP(A1869,[13]PRIORIZADOS!$A:$B,2,FALSE)="","",VLOOKUP(A1869,[13]PRIORIZADOS!$A:$B,2,FALSE)),"")</f>
        <v>4</v>
      </c>
      <c r="C1869" s="11" t="str">
        <f>IFERROR(IF(VLOOKUP(A1869,[13]PRIORIZADOS!$A:$C,3,FALSE)="","",VLOOKUP(A1869,[13]PRIORIZADOS!$A:$C,3,FALSE)),"")</f>
        <v xml:space="preserve">SANTA FE Y CANDELARIA </v>
      </c>
      <c r="D1869" s="11" t="str">
        <f>IFERROR(IF(VLOOKUP(A1869,[13]PRIORIZADOS!$A:$D,4,FALSE)="","",VLOOKUP(A1869,[13]PRIORIZADOS!$A:$D,4,FALSE)),"")</f>
        <v>PRIVADO</v>
      </c>
      <c r="E1869" s="11" t="str">
        <f>IFERROR(IF(VLOOKUP(A1869,[13]PRIORIZADOS!$A:$E,5,FALSE)="","",VLOOKUP(A1869,[13]PRIORIZADOS!$A:$E,5,FALSE)),"")</f>
        <v>EPBM</v>
      </c>
      <c r="F1869" s="11" t="str">
        <f>IFERROR(IF(VLOOKUP(A1869,[13]PRIORIZADOS!$A:$F,6,FALSE)="","",VLOOKUP(A1869,[13]PRIORIZADOS!$A:$F,6,FALSE)),"")</f>
        <v>COLEGIO_TIRSO_DE_MOLINA</v>
      </c>
      <c r="G1869" s="11" t="str">
        <f>IFERROR(IF(VLOOKUP(A1869,[13]PRIORIZADOS!$A:$G,7,FALSE)="","",VLOOKUP(A1869,[13]PRIORIZADOS!$A:$G,7,FALSE)),"")</f>
        <v>COLEGIO TIRSO DE MOLINA</v>
      </c>
      <c r="H1869" s="11" t="str">
        <f>IFERROR(IF(VLOOKUP(A1869,[13]PRIORIZADOS!$A:$H,8,FALSE)="","",VLOOKUP(A1869,[13]PRIORIZADOS!$A:$H,8,FALSE)),"")</f>
        <v>Autoevaluación Institucional y Pruebas SABER 11</v>
      </c>
      <c r="I1869" s="11" t="str">
        <f>IFERROR(IF(VLOOKUP(A1869,[13]PRIORIZADOS!$A:$I,9,FALSE)="","",VLOOKUP(A1869,[13]PRIORIZADOS!$A:$I,9,FALSE)),"")</f>
        <v>SEGUIMIENTO_Y_SUPERVISIÓN.</v>
      </c>
      <c r="J1869" s="11" t="str">
        <f>IFERROR(IF(VLOOKUP(A1869,[13]PRIORIZADOS!$A:$J,10,FALSE)="","",VLOOKUP(A1869,[13]PRIORIZADOS!$A:$J,10,FALSE)),"")</f>
        <v>Realizar visitas para verificar la información registrada sobre la autoevaluación institucional en el aplicativo EVI, a los establecimientos de educación formal no oficial.</v>
      </c>
      <c r="K1869" s="11" t="str">
        <f>IFERROR(IF(VLOOKUP(A1869,[13]PRIORIZADOS!$A:$K,11,FALSE)="","",VLOOKUP(A1869,[13]PRIORIZADOS!$A:$K,11,FALSE)),"")</f>
        <v>DAMARIS RUT CÁRDENAS MORENO</v>
      </c>
      <c r="L1869" s="11" t="str">
        <f>IFERROR(IF(VLOOKUP(A1869,[13]PRIORIZADOS!$A:$L,12,FALSE)="","",VLOOKUP(A1869,[13]PRIORIZADOS!$A:$L,12,FALSE)),"")</f>
        <v/>
      </c>
      <c r="M1869" s="71">
        <f>IFERROR(IF(VLOOKUP(A1869,[13]PRIORIZADOS!$A:$M,13,FALSE)="","",VLOOKUP(A1869,[13]PRIORIZADOS!$A:$M,13,FALSE)),"")</f>
        <v>45769</v>
      </c>
      <c r="N1869" s="71">
        <f>IFERROR(IF(VLOOKUP(A1869,[13]PRIORIZADOS!$A:$N,14,FALSE)="","",VLOOKUP(A1869,[13]PRIORIZADOS!$A:$N,14,FALSE)),"")</f>
        <v>45769</v>
      </c>
      <c r="O1869" s="71">
        <f>IFERROR(IF(VLOOKUP(A1869,[13]PRIORIZADOS!$A:$O,15,FALSE)="","",VLOOKUP(A1869,[13]PRIORIZADOS!$A:$O,15,FALSE)),"")</f>
        <v>45769</v>
      </c>
      <c r="P1869" s="11" t="str">
        <f>IFERROR(IF(VLOOKUP(A1869,[13]PRIORIZADOS!$A:$P,16,FALSE)="","",VLOOKUP(A1869,[13]PRIORIZADOS!$A:$P,16,FALSE)),"")</f>
        <v>Visitas de evaluación con fines de mejoramiento</v>
      </c>
      <c r="Q1869" s="243" t="s">
        <v>412</v>
      </c>
      <c r="R1869" s="11" t="str">
        <f>IFERROR(IF(VLOOKUP(A1869,[13]PRIORIZADOS!$A:$R,18,FALSE)="","",VLOOKUP(A1869,[13]PRIORIZADOS!$A:$R,18,FALSE)),"")</f>
        <v>El colegio está en libertad vigilada. Aunque tiene una tasa de matrícula baja, está fomentando prácticas de pago con las familias y realizando inversión en infraestructura. Además, se encuentra en proceso de contratación de un profesional de orientación.</v>
      </c>
      <c r="S1869" s="11" t="str">
        <f>IFERROR(IF(VLOOKUP(A1869,[13]PRIORIZADOS!$A:$S,19,FALSE)="","",VLOOKUP(A1869,[13]PRIORIZADOS!$A:$S,19,FALSE)),"")</f>
        <v>La institución educativa buscará perfiles profesionales capacitados para desempeñarse en el área de orientación.</v>
      </c>
      <c r="T1869" s="70" t="str">
        <f>IFERROR(IF(VLOOKUP(A1869,[13]PRIORIZADOS!$A:$T,20,FALSE)="","",VLOOKUP(A1869,[13]PRIORIZADOS!$A:$T,20,FALSE)),"")</f>
        <v>No</v>
      </c>
      <c r="U1869" s="11" t="str">
        <f>IFERROR(IF(VLOOKUP(A1869,[13]PRIORIZADOS!$A:$U,21,FALSE)="","",VLOOKUP(A1869,[13]PRIORIZADOS!$A:$U,21,FALSE)),"")</f>
        <v xml:space="preserve">Para la siguiente vigencia en desarrollo de la autoevaluación del aplicativo EVI se revisara la contratación del personal para el área de orientación. </v>
      </c>
    </row>
    <row r="1870" spans="1:21" s="1" customFormat="1" ht="72">
      <c r="A1870" s="69">
        <f>IF([13]PRIORIZADOS!A33="","",[13]PRIORIZADOS!A33)</f>
        <v>1837</v>
      </c>
      <c r="B1870" s="70">
        <f>IFERROR(IF(VLOOKUP(A1870,[13]PRIORIZADOS!$A:$B,2,FALSE)="","",VLOOKUP(A1870,[13]PRIORIZADOS!$A:$B,2,FALSE)),"")</f>
        <v>4</v>
      </c>
      <c r="C1870" s="11" t="str">
        <f>IFERROR(IF(VLOOKUP(A1870,[13]PRIORIZADOS!$A:$C,3,FALSE)="","",VLOOKUP(A1870,[13]PRIORIZADOS!$A:$C,3,FALSE)),"")</f>
        <v xml:space="preserve">SANTA FE Y CANDELARIA </v>
      </c>
      <c r="D1870" s="11" t="str">
        <f>IFERROR(IF(VLOOKUP(A1870,[13]PRIORIZADOS!$A:$D,4,FALSE)="","",VLOOKUP(A1870,[13]PRIORIZADOS!$A:$D,4,FALSE)),"")</f>
        <v>PRIVADO</v>
      </c>
      <c r="E1870" s="11" t="str">
        <f>IFERROR(IF(VLOOKUP(A1870,[13]PRIORIZADOS!$A:$E,5,FALSE)="","",VLOOKUP(A1870,[13]PRIORIZADOS!$A:$E,5,FALSE)),"")</f>
        <v>EPBM</v>
      </c>
      <c r="F1870" s="11" t="str">
        <f>IFERROR(IF(VLOOKUP(A1870,[13]PRIORIZADOS!$A:$F,6,FALSE)="","",VLOOKUP(A1870,[13]PRIORIZADOS!$A:$F,6,FALSE)),"")</f>
        <v>COLEGIO_TIRSO_DE_MOLINA</v>
      </c>
      <c r="G1870" s="11" t="str">
        <f>IFERROR(IF(VLOOKUP(A1870,[13]PRIORIZADOS!$A:$G,7,FALSE)="","",VLOOKUP(A1870,[13]PRIORIZADOS!$A:$G,7,FALSE)),"")</f>
        <v>COLEGIO TIRSO DE MOLINA</v>
      </c>
      <c r="H1870" s="11" t="str">
        <f>IFERROR(IF(VLOOKUP(A1870,[13]PRIORIZADOS!$A:$H,8,FALSE)="","",VLOOKUP(A1870,[13]PRIORIZADOS!$A:$H,8,FALSE)),"")</f>
        <v>Autoevaluación Institucional y Pruebas SABER 11</v>
      </c>
      <c r="I1870" s="11" t="str">
        <f>IFERROR(IF(VLOOKUP(A1870,[13]PRIORIZADOS!$A:$I,9,FALSE)="","",VLOOKUP(A1870,[13]PRIORIZADOS!$A:$I,9,FALSE)),"")</f>
        <v>SEGUIMIENTO_Y_SUPERVISIÓN.</v>
      </c>
      <c r="J1870" s="11" t="str">
        <f>IFERROR(IF(VLOOKUP(A1870,[13]PRIORIZADOS!$A:$J,10,FALSE)="","",VLOOKUP(A1870,[13]PRIORIZADOS!$A:$J,10,FALSE)),"")</f>
        <v>Proponer estrategias en la formulación, verificar su elaboración y realizar seguimiento semestral al desarrollo de  las acciones establecidas en los planes de mejoramiento por pruebas SABER 11 de los establecimientos de educación formal.</v>
      </c>
      <c r="K1870" s="11" t="str">
        <f>IFERROR(IF(VLOOKUP(A1870,[13]PRIORIZADOS!$A:$K,11,FALSE)="","",VLOOKUP(A1870,[13]PRIORIZADOS!$A:$K,11,FALSE)),"")</f>
        <v>DAMARIS RUT CÁRDENAS MORENO</v>
      </c>
      <c r="L1870" s="11" t="str">
        <f>IFERROR(IF(VLOOKUP(A1870,[13]PRIORIZADOS!$A:$L,12,FALSE)="","",VLOOKUP(A1870,[13]PRIORIZADOS!$A:$L,12,FALSE)),"")</f>
        <v/>
      </c>
      <c r="M1870" s="71">
        <f>IFERROR(IF(VLOOKUP(A1870,[13]PRIORIZADOS!$A:$M,13,FALSE)="","",VLOOKUP(A1870,[13]PRIORIZADOS!$A:$M,13,FALSE)),"")</f>
        <v>45769</v>
      </c>
      <c r="N1870" s="71">
        <f>IFERROR(IF(VLOOKUP(A1870,[13]PRIORIZADOS!$A:$N,14,FALSE)="","",VLOOKUP(A1870,[13]PRIORIZADOS!$A:$N,14,FALSE)),"")</f>
        <v>45769</v>
      </c>
      <c r="O1870" s="71">
        <f>IFERROR(IF(VLOOKUP(A1870,[13]PRIORIZADOS!$A:$O,15,FALSE)="","",VLOOKUP(A1870,[13]PRIORIZADOS!$A:$O,15,FALSE)),"")</f>
        <v>45769</v>
      </c>
      <c r="P1870" s="11" t="str">
        <f>IFERROR(IF(VLOOKUP(A1870,[13]PRIORIZADOS!$A:$P,16,FALSE)="","",VLOOKUP(A1870,[13]PRIORIZADOS!$A:$P,16,FALSE)),"")</f>
        <v>Visitas de evaluación con fines de mejoramiento</v>
      </c>
      <c r="Q1870" s="243" t="s">
        <v>412</v>
      </c>
      <c r="R1870" s="11" t="str">
        <f>IFERROR(IF(VLOOKUP(A1870,[13]PRIORIZADOS!$A:$R,18,FALSE)="","",VLOOKUP(A1870,[13]PRIORIZADOS!$A:$R,18,FALSE)),"")</f>
        <v>Los procesos de fortalecimiento basados en los resultados de las Pruebas Saber son ejecutados por una empresa externa contratada por la institución educativa.</v>
      </c>
      <c r="S1870" s="11" t="str">
        <f>IFERROR(IF(VLOOKUP(A1870,[13]PRIORIZADOS!$A:$S,19,FALSE)="","",VLOOKUP(A1870,[13]PRIORIZADOS!$A:$S,19,FALSE)),"")</f>
        <v>Se requiere documentar el proceso de autoevaluación relacionado con las Pruebas Saber, estableciendo metas y estrategias específicas adaptadas a la realidad institucional, que sean aprobadas por el consejo académico y directivo.</v>
      </c>
      <c r="T1870" s="70" t="str">
        <f>IFERROR(IF(VLOOKUP(A1870,[13]PRIORIZADOS!$A:$T,20,FALSE)="","",VLOOKUP(A1870,[13]PRIORIZADOS!$A:$T,20,FALSE)),"")</f>
        <v>Si</v>
      </c>
      <c r="U1870" s="11" t="str">
        <f>IFERROR(IF(VLOOKUP(A1870,[13]PRIORIZADOS!$A:$U,21,FALSE)="","",VLOOKUP(A1870,[13]PRIORIZADOS!$A:$U,21,FALSE)),"")</f>
        <v>Desde ELIV se enviará un oficio solicitando estas acciones para julio de 2025. Se realizará seguimiento en vigencia 2026.</v>
      </c>
    </row>
    <row r="1871" spans="1:21" s="1" customFormat="1" ht="48">
      <c r="A1871" s="69">
        <f>IF([13]PRIORIZADOS!A34="","",[13]PRIORIZADOS!A34)</f>
        <v>1838</v>
      </c>
      <c r="B1871" s="70">
        <f>IFERROR(IF(VLOOKUP(A1871,[13]PRIORIZADOS!$A:$B,2,FALSE)="","",VLOOKUP(A1871,[13]PRIORIZADOS!$A:$B,2,FALSE)),"")</f>
        <v>4</v>
      </c>
      <c r="C1871" s="11" t="str">
        <f>IFERROR(IF(VLOOKUP(A1871,[13]PRIORIZADOS!$A:$C,3,FALSE)="","",VLOOKUP(A1871,[13]PRIORIZADOS!$A:$C,3,FALSE)),"")</f>
        <v xml:space="preserve">SANTA FE Y CANDELARIA </v>
      </c>
      <c r="D1871" s="11" t="str">
        <f>IFERROR(IF(VLOOKUP(A1871,[13]PRIORIZADOS!$A:$D,4,FALSE)="","",VLOOKUP(A1871,[13]PRIORIZADOS!$A:$D,4,FALSE)),"")</f>
        <v>PRIVADO</v>
      </c>
      <c r="E1871" s="11" t="str">
        <f>IFERROR(IF(VLOOKUP(A1871,[13]PRIORIZADOS!$A:$E,5,FALSE)="","",VLOOKUP(A1871,[13]PRIORIZADOS!$A:$E,5,FALSE)),"")</f>
        <v>EPBM</v>
      </c>
      <c r="F1871" s="11" t="str">
        <f>IFERROR(IF(VLOOKUP(A1871,[13]PRIORIZADOS!$A:$F,6,FALSE)="","",VLOOKUP(A1871,[13]PRIORIZADOS!$A:$F,6,FALSE)),"")</f>
        <v>COLEGIO_TIRSO_DE_MOLINA</v>
      </c>
      <c r="G1871" s="11" t="str">
        <f>IFERROR(IF(VLOOKUP(A1871,[13]PRIORIZADOS!$A:$G,7,FALSE)="","",VLOOKUP(A1871,[13]PRIORIZADOS!$A:$G,7,FALSE)),"")</f>
        <v>COLEGIO TIRSO DE MOLINA</v>
      </c>
      <c r="H1871" s="11" t="str">
        <f>IFERROR(IF(VLOOKUP(A1871,[13]PRIORIZADOS!$A:$H,8,FALSE)="","",VLOOKUP(A1871,[13]PRIORIZADOS!$A:$H,8,FALSE)),"")</f>
        <v>Autoevaluación Institucional y Pruebas SABER 11</v>
      </c>
      <c r="I1871" s="11" t="str">
        <f>IFERROR(IF(VLOOKUP(A1871,[13]PRIORIZADOS!$A:$I,9,FALSE)="","",VLOOKUP(A1871,[13]PRIORIZADOS!$A:$I,9,FALSE)),"")</f>
        <v>SEGUIMIENTO_Y_SUPERVISIÓN.</v>
      </c>
      <c r="J1871" s="11" t="str">
        <f>IFERROR(IF(VLOOKUP(A1871,[13]PRIORIZADOS!$A:$J,10,FALSE)="","",VLOOKUP(A1871,[13]PRIORIZADOS!$A:$J,10,FALSE)),"")</f>
        <v xml:space="preserve">Verificar la implementación por parte de los colegios, de acciones realizadas para la prevención y atención de las situaciones de convivencia en el entorno escolar, según lo establecido en la Directiva 01 de 2022 del MEN. </v>
      </c>
      <c r="K1871" s="11" t="str">
        <f>IFERROR(IF(VLOOKUP(A1871,[13]PRIORIZADOS!$A:$K,11,FALSE)="","",VLOOKUP(A1871,[13]PRIORIZADOS!$A:$K,11,FALSE)),"")</f>
        <v>DAMARIS RUT CÁRDENAS MORENO</v>
      </c>
      <c r="L1871" s="11" t="str">
        <f>IFERROR(IF(VLOOKUP(A1871,[13]PRIORIZADOS!$A:$L,12,FALSE)="","",VLOOKUP(A1871,[13]PRIORIZADOS!$A:$L,12,FALSE)),"")</f>
        <v/>
      </c>
      <c r="M1871" s="71">
        <f>IFERROR(IF(VLOOKUP(A1871,[13]PRIORIZADOS!$A:$M,13,FALSE)="","",VLOOKUP(A1871,[13]PRIORIZADOS!$A:$M,13,FALSE)),"")</f>
        <v>45769</v>
      </c>
      <c r="N1871" s="71">
        <f>IFERROR(IF(VLOOKUP(A1871,[13]PRIORIZADOS!$A:$N,14,FALSE)="","",VLOOKUP(A1871,[13]PRIORIZADOS!$A:$N,14,FALSE)),"")</f>
        <v>45769</v>
      </c>
      <c r="O1871" s="71">
        <f>IFERROR(IF(VLOOKUP(A1871,[13]PRIORIZADOS!$A:$O,15,FALSE)="","",VLOOKUP(A1871,[13]PRIORIZADOS!$A:$O,15,FALSE)),"")</f>
        <v>45769</v>
      </c>
      <c r="P1871" s="11" t="str">
        <f>IFERROR(IF(VLOOKUP(A1871,[13]PRIORIZADOS!$A:$P,16,FALSE)="","",VLOOKUP(A1871,[13]PRIORIZADOS!$A:$P,16,FALSE)),"")</f>
        <v>Visitas de evaluación con fines de mejoramiento</v>
      </c>
      <c r="Q1871" s="243" t="s">
        <v>412</v>
      </c>
      <c r="R1871" s="11" t="str">
        <f>IFERROR(IF(VLOOKUP(A1871,[13]PRIORIZADOS!$A:$R,18,FALSE)="","",VLOOKUP(A1871,[13]PRIORIZADOS!$A:$R,18,FALSE)),"")</f>
        <v>La institución educativa no lleva a cabo la revisión ni la aplicación de la Directiva en las diferentes instancias correspondientes.</v>
      </c>
      <c r="S1871" s="11" t="str">
        <f>IFERROR(IF(VLOOKUP(A1871,[13]PRIORIZADOS!$A:$S,19,FALSE)="","",VLOOKUP(A1871,[13]PRIORIZADOS!$A:$S,19,FALSE)),"")</f>
        <v>Realizar la revisión de la Directiva por parte del equipo directivo y elaborar la documentación que evidencie su aplicación en la institución.</v>
      </c>
      <c r="T1871" s="70" t="str">
        <f>IFERROR(IF(VLOOKUP(A1871,[13]PRIORIZADOS!$A:$T,20,FALSE)="","",VLOOKUP(A1871,[13]PRIORIZADOS!$A:$T,20,FALSE)),"")</f>
        <v>Si</v>
      </c>
      <c r="U1871" s="11" t="str">
        <f>IFERROR(IF(VLOOKUP(A1871,[13]PRIORIZADOS!$A:$U,21,FALSE)="","",VLOOKUP(A1871,[13]PRIORIZADOS!$A:$U,21,FALSE)),"")</f>
        <v>Desde ELIV se enviará un oficio solicitando estas acciones para julio de 2025.  Se realizará seguimiento en vigencia 2026.</v>
      </c>
    </row>
    <row r="1872" spans="1:21" s="1" customFormat="1" ht="84">
      <c r="A1872" s="69">
        <f>IF([13]PRIORIZADOS!A35="","",[13]PRIORIZADOS!A35)</f>
        <v>1839</v>
      </c>
      <c r="B1872" s="70">
        <f>IFERROR(IF(VLOOKUP(A1872,[13]PRIORIZADOS!$A:$B,2,FALSE)="","",VLOOKUP(A1872,[13]PRIORIZADOS!$A:$B,2,FALSE)),"")</f>
        <v>4</v>
      </c>
      <c r="C1872" s="11" t="str">
        <f>IFERROR(IF(VLOOKUP(A1872,[13]PRIORIZADOS!$A:$C,3,FALSE)="","",VLOOKUP(A1872,[13]PRIORIZADOS!$A:$C,3,FALSE)),"")</f>
        <v xml:space="preserve">SANTA FE Y CANDELARIA </v>
      </c>
      <c r="D1872" s="11" t="str">
        <f>IFERROR(IF(VLOOKUP(A1872,[13]PRIORIZADOS!$A:$D,4,FALSE)="","",VLOOKUP(A1872,[13]PRIORIZADOS!$A:$D,4,FALSE)),"")</f>
        <v>PRIVADO</v>
      </c>
      <c r="E1872" s="11" t="str">
        <f>IFERROR(IF(VLOOKUP(A1872,[13]PRIORIZADOS!$A:$E,5,FALSE)="","",VLOOKUP(A1872,[13]PRIORIZADOS!$A:$E,5,FALSE)),"")</f>
        <v>EPBM</v>
      </c>
      <c r="F1872" s="11" t="str">
        <f>IFERROR(IF(VLOOKUP(A1872,[13]PRIORIZADOS!$A:$F,6,FALSE)="","",VLOOKUP(A1872,[13]PRIORIZADOS!$A:$F,6,FALSE)),"")</f>
        <v>COLEGIO_TIRSO_DE_MOLINA</v>
      </c>
      <c r="G1872" s="11" t="str">
        <f>IFERROR(IF(VLOOKUP(A1872,[13]PRIORIZADOS!$A:$G,7,FALSE)="","",VLOOKUP(A1872,[13]PRIORIZADOS!$A:$G,7,FALSE)),"")</f>
        <v>COLEGIO TIRSO DE MOLINA</v>
      </c>
      <c r="H1872" s="11" t="str">
        <f>IFERROR(IF(VLOOKUP(A1872,[13]PRIORIZADOS!$A:$H,8,FALSE)="","",VLOOKUP(A1872,[13]PRIORIZADOS!$A:$H,8,FALSE)),"")</f>
        <v>Autoevaluación Institucional y Pruebas SABER 11</v>
      </c>
      <c r="I1872" s="11" t="str">
        <f>IFERROR(IF(VLOOKUP(A1872,[13]PRIORIZADOS!$A:$I,9,FALSE)="","",VLOOKUP(A1872,[13]PRIORIZADOS!$A:$I,9,FALSE)),"")</f>
        <v>SEGUIMIENTO_Y_SUPERVISIÓN.</v>
      </c>
      <c r="J1872" s="11" t="str">
        <f>IFERROR(IF(VLOOKUP(A1872,[13]PRIORIZADOS!$A:$J,10,FALSE)="","",VLOOKUP(A1872,[13]PRIORIZADOS!$A:$J,10,FALSE)),"")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72" s="11" t="str">
        <f>IFERROR(IF(VLOOKUP(A1872,[13]PRIORIZADOS!$A:$K,11,FALSE)="","",VLOOKUP(A1872,[13]PRIORIZADOS!$A:$K,11,FALSE)),"")</f>
        <v>DAMARIS RUT CÁRDENAS MORENO</v>
      </c>
      <c r="L1872" s="11" t="str">
        <f>IFERROR(IF(VLOOKUP(A1872,[13]PRIORIZADOS!$A:$L,12,FALSE)="","",VLOOKUP(A1872,[13]PRIORIZADOS!$A:$L,12,FALSE)),"")</f>
        <v/>
      </c>
      <c r="M1872" s="71">
        <f>IFERROR(IF(VLOOKUP(A1872,[13]PRIORIZADOS!$A:$M,13,FALSE)="","",VLOOKUP(A1872,[13]PRIORIZADOS!$A:$M,13,FALSE)),"")</f>
        <v>45769</v>
      </c>
      <c r="N1872" s="71">
        <f>IFERROR(IF(VLOOKUP(A1872,[13]PRIORIZADOS!$A:$N,14,FALSE)="","",VLOOKUP(A1872,[13]PRIORIZADOS!$A:$N,14,FALSE)),"")</f>
        <v>45769</v>
      </c>
      <c r="O1872" s="71">
        <f>IFERROR(IF(VLOOKUP(A1872,[13]PRIORIZADOS!$A:$O,15,FALSE)="","",VLOOKUP(A1872,[13]PRIORIZADOS!$A:$O,15,FALSE)),"")</f>
        <v>45769</v>
      </c>
      <c r="P1872" s="11" t="str">
        <f>IFERROR(IF(VLOOKUP(A1872,[13]PRIORIZADOS!$A:$P,16,FALSE)="","",VLOOKUP(A1872,[13]PRIORIZADOS!$A:$P,16,FALSE)),"")</f>
        <v>Visitas de evaluación con fines de mejoramiento</v>
      </c>
      <c r="Q1872" s="243" t="s">
        <v>412</v>
      </c>
      <c r="R1872" s="11" t="str">
        <f>IFERROR(IF(VLOOKUP(A1872,[13]PRIORIZADOS!$A:$R,18,FALSE)="","",VLOOKUP(A1872,[13]PRIORIZADOS!$A:$R,18,FALSE)),"")</f>
        <v>La institución educativa cuenta con dos estudiantes con discapacidad, para quienes se ha registrado el seguimiento y acompañamiento médico y familiar, además de las estrategias de trabajo; no obstante, no se ha formalizado la elaboración del formato PIAR.</v>
      </c>
      <c r="S1872" s="11" t="str">
        <f>IFERROR(IF(VLOOKUP(A1872,[13]PRIORIZADOS!$A:$S,19,FALSE)="","",VLOOKUP(A1872,[13]PRIORIZADOS!$A:$S,19,FALSE)),"")</f>
        <v>Elaborar el documento PIAR con el propósito de garantizar una atención adecuada a los estudiantes y el cumplimiento de la normativa vigente.</v>
      </c>
      <c r="T1872" s="70" t="str">
        <f>IFERROR(IF(VLOOKUP(A1872,[13]PRIORIZADOS!$A:$T,20,FALSE)="","",VLOOKUP(A1872,[13]PRIORIZADOS!$A:$T,20,FALSE)),"")</f>
        <v>Si</v>
      </c>
      <c r="U1872" s="11" t="str">
        <f>IFERROR(IF(VLOOKUP(A1872,[13]PRIORIZADOS!$A:$U,21,FALSE)="","",VLOOKUP(A1872,[13]PRIORIZADOS!$A:$U,21,FALSE)),"")</f>
        <v>Desde ELIV se enviará un oficio solicitando estas acciones para julio de 2025.  Se realizará seguimiento en vigencia 2026.</v>
      </c>
    </row>
    <row r="1873" spans="1:21" s="1" customFormat="1" ht="84">
      <c r="A1873" s="69">
        <f>IF([13]PRIORIZADOS!A36="","",[13]PRIORIZADOS!A36)</f>
        <v>1840</v>
      </c>
      <c r="B1873" s="70">
        <f>IFERROR(IF(VLOOKUP(A1873,[13]PRIORIZADOS!$A:$B,2,FALSE)="","",VLOOKUP(A1873,[13]PRIORIZADOS!$A:$B,2,FALSE)),"")</f>
        <v>4</v>
      </c>
      <c r="C1873" s="11" t="str">
        <f>IFERROR(IF(VLOOKUP(A1873,[13]PRIORIZADOS!$A:$C,3,FALSE)="","",VLOOKUP(A1873,[13]PRIORIZADOS!$A:$C,3,FALSE)),"")</f>
        <v xml:space="preserve">SANTA FE Y CANDELARIA </v>
      </c>
      <c r="D1873" s="11" t="str">
        <f>IFERROR(IF(VLOOKUP(A1873,[13]PRIORIZADOS!$A:$D,4,FALSE)="","",VLOOKUP(A1873,[13]PRIORIZADOS!$A:$D,4,FALSE)),"")</f>
        <v>PRIVADO</v>
      </c>
      <c r="E1873" s="11" t="str">
        <f>IFERROR(IF(VLOOKUP(A1873,[13]PRIORIZADOS!$A:$E,5,FALSE)="","",VLOOKUP(A1873,[13]PRIORIZADOS!$A:$E,5,FALSE)),"")</f>
        <v>EPBM</v>
      </c>
      <c r="F1873" s="11" t="str">
        <f>IFERROR(IF(VLOOKUP(A1873,[13]PRIORIZADOS!$A:$F,6,FALSE)="","",VLOOKUP(A1873,[13]PRIORIZADOS!$A:$F,6,FALSE)),"")</f>
        <v>COLEGIO_TIRSO_DE_MOLINA</v>
      </c>
      <c r="G1873" s="11" t="str">
        <f>IFERROR(IF(VLOOKUP(A1873,[13]PRIORIZADOS!$A:$G,7,FALSE)="","",VLOOKUP(A1873,[13]PRIORIZADOS!$A:$G,7,FALSE)),"")</f>
        <v>COLEGIO TIRSO DE MOLINA</v>
      </c>
      <c r="H1873" s="11" t="str">
        <f>IFERROR(IF(VLOOKUP(A1873,[13]PRIORIZADOS!$A:$H,8,FALSE)="","",VLOOKUP(A1873,[13]PRIORIZADOS!$A:$H,8,FALSE)),"")</f>
        <v>Autoevaluación Institucional y Pruebas SABER 11</v>
      </c>
      <c r="I1873" s="11" t="str">
        <f>IFERROR(IF(VLOOKUP(A1873,[13]PRIORIZADOS!$A:$I,9,FALSE)="","",VLOOKUP(A1873,[13]PRIORIZADOS!$A:$I,9,FALSE)),"")</f>
        <v>EVALUACIÓN_CON_FINES_DE_MEJORAMIENTO.</v>
      </c>
      <c r="J1873" s="11" t="str">
        <f>IFERROR(IF(VLOOKUP(A1873,[13]PRIORIZADOS!$A:$J,10,FALSE)="","",VLOOKUP(A1873,[13]PRIORIZADOS!$A:$J,10,FALSE)),"")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73" s="11" t="str">
        <f>IFERROR(IF(VLOOKUP(A1873,[13]PRIORIZADOS!$A:$K,11,FALSE)="","",VLOOKUP(A1873,[13]PRIORIZADOS!$A:$K,11,FALSE)),"")</f>
        <v>DAMARIS RUT CÁRDENAS MORENO</v>
      </c>
      <c r="L1873" s="11" t="str">
        <f>IFERROR(IF(VLOOKUP(A1873,[13]PRIORIZADOS!$A:$L,12,FALSE)="","",VLOOKUP(A1873,[13]PRIORIZADOS!$A:$L,12,FALSE)),"")</f>
        <v/>
      </c>
      <c r="M1873" s="71">
        <f>IFERROR(IF(VLOOKUP(A1873,[13]PRIORIZADOS!$A:$M,13,FALSE)="","",VLOOKUP(A1873,[13]PRIORIZADOS!$A:$M,13,FALSE)),"")</f>
        <v>45769</v>
      </c>
      <c r="N1873" s="71">
        <f>IFERROR(IF(VLOOKUP(A1873,[13]PRIORIZADOS!$A:$N,14,FALSE)="","",VLOOKUP(A1873,[13]PRIORIZADOS!$A:$N,14,FALSE)),"")</f>
        <v>45769</v>
      </c>
      <c r="O1873" s="71">
        <f>IFERROR(IF(VLOOKUP(A1873,[13]PRIORIZADOS!$A:$O,15,FALSE)="","",VLOOKUP(A1873,[13]PRIORIZADOS!$A:$O,15,FALSE)),"")</f>
        <v>45769</v>
      </c>
      <c r="P1873" s="11" t="str">
        <f>IFERROR(IF(VLOOKUP(A1873,[13]PRIORIZADOS!$A:$P,16,FALSE)="","",VLOOKUP(A1873,[13]PRIORIZADOS!$A:$P,16,FALSE)),"")</f>
        <v>Visitas de evaluación con fines de mejoramiento</v>
      </c>
      <c r="Q1873" s="243" t="s">
        <v>412</v>
      </c>
      <c r="R1873" s="11" t="str">
        <f>IFERROR(IF(VLOOKUP(A1873,[13]PRIORIZADOS!$A:$R,18,FALSE)="","",VLOOKUP(A1873,[13]PRIORIZADOS!$A:$R,18,FALSE)),"")</f>
        <v>Aunque existe un Manual de Convivencia, este no fue elaborado ni adoptado de forma participativa, además, el Comité de Convivencia carece de reglamento interno.</v>
      </c>
      <c r="S1873" s="11" t="str">
        <f>IFERROR(IF(VLOOKUP(A1873,[13]PRIORIZADOS!$A:$S,19,FALSE)="","",VLOOKUP(A1873,[13]PRIORIZADOS!$A:$S,19,FALSE)),"")</f>
        <v>Se requiere elaborar el reglamento interno e iniciar la construcción del Plan de Convivencia Escolar. Asimismo, se debe llevar a cabo la actualización del Manual de Convivencia en conjunto con la comunidad educativa.</v>
      </c>
      <c r="T1873" s="70" t="str">
        <f>IFERROR(IF(VLOOKUP(A1873,[13]PRIORIZADOS!$A:$T,20,FALSE)="","",VLOOKUP(A1873,[13]PRIORIZADOS!$A:$T,20,FALSE)),"")</f>
        <v>Si</v>
      </c>
      <c r="U1873" s="11" t="str">
        <f>IFERROR(IF(VLOOKUP(A1873,[13]PRIORIZADOS!$A:$U,21,FALSE)="","",VLOOKUP(A1873,[13]PRIORIZADOS!$A:$U,21,FALSE)),"")</f>
        <v>Desde ELIV se enviará un oficio solicitando estas acciones para julio de 2025.  Se realizará seguimiento en vigencia 2026.</v>
      </c>
    </row>
    <row r="1874" spans="1:21" s="1" customFormat="1" ht="48">
      <c r="A1874" s="69">
        <f>IF([13]PRIORIZADOS!A37="","",[13]PRIORIZADOS!A37)</f>
        <v>1841</v>
      </c>
      <c r="B1874" s="70">
        <f>IFERROR(IF(VLOOKUP(A1874,[13]PRIORIZADOS!$A:$B,2,FALSE)="","",VLOOKUP(A1874,[13]PRIORIZADOS!$A:$B,2,FALSE)),"")</f>
        <v>4</v>
      </c>
      <c r="C1874" s="11" t="str">
        <f>IFERROR(IF(VLOOKUP(A1874,[13]PRIORIZADOS!$A:$C,3,FALSE)="","",VLOOKUP(A1874,[13]PRIORIZADOS!$A:$C,3,FALSE)),"")</f>
        <v xml:space="preserve">SANTA FE Y CANDELARIA </v>
      </c>
      <c r="D1874" s="11" t="str">
        <f>IFERROR(IF(VLOOKUP(A1874,[13]PRIORIZADOS!$A:$D,4,FALSE)="","",VLOOKUP(A1874,[13]PRIORIZADOS!$A:$D,4,FALSE)),"")</f>
        <v>PRIVADO</v>
      </c>
      <c r="E1874" s="11" t="str">
        <f>IFERROR(IF(VLOOKUP(A1874,[13]PRIORIZADOS!$A:$E,5,FALSE)="","",VLOOKUP(A1874,[13]PRIORIZADOS!$A:$E,5,FALSE)),"")</f>
        <v>EPBM</v>
      </c>
      <c r="F1874" s="11" t="str">
        <f>IFERROR(IF(VLOOKUP(A1874,[13]PRIORIZADOS!$A:$F,6,FALSE)="","",VLOOKUP(A1874,[13]PRIORIZADOS!$A:$F,6,FALSE)),"")</f>
        <v>COLEGIO_TIRSO_DE_MOLINA</v>
      </c>
      <c r="G1874" s="11" t="str">
        <f>IFERROR(IF(VLOOKUP(A1874,[13]PRIORIZADOS!$A:$G,7,FALSE)="","",VLOOKUP(A1874,[13]PRIORIZADOS!$A:$G,7,FALSE)),"")</f>
        <v>COLEGIO TIRSO DE MOLINA</v>
      </c>
      <c r="H1874" s="11" t="str">
        <f>IFERROR(IF(VLOOKUP(A1874,[13]PRIORIZADOS!$A:$H,8,FALSE)="","",VLOOKUP(A1874,[13]PRIORIZADOS!$A:$H,8,FALSE)),"")</f>
        <v>Autoevaluación Institucional y Pruebas SABER 11</v>
      </c>
      <c r="I1874" s="11" t="str">
        <f>IFERROR(IF(VLOOKUP(A1874,[13]PRIORIZADOS!$A:$I,9,FALSE)="","",VLOOKUP(A1874,[13]PRIORIZADOS!$A:$I,9,FALSE)),"")</f>
        <v>EVALUACIÓN_CON_FINES_DE_MEJORAMIENTO.</v>
      </c>
      <c r="J1874" s="11" t="str">
        <f>IFERROR(IF(VLOOKUP(A1874,[13]PRIORIZADOS!$A:$J,10,FALSE)="","",VLOOKUP(A1874,[13]PRIORIZADOS!$A:$J,10,FALSE)),"")</f>
        <v>Revisar la actualización, socialización e implementación del Sistema Institucional de Evaluación de Estudiantes - SIEE, en articulación con la actualización del PEI y la normatividad vigente.</v>
      </c>
      <c r="K1874" s="11" t="str">
        <f>IFERROR(IF(VLOOKUP(A1874,[13]PRIORIZADOS!$A:$K,11,FALSE)="","",VLOOKUP(A1874,[13]PRIORIZADOS!$A:$K,11,FALSE)),"")</f>
        <v>DAMARIS RUT CÁRDENAS MORENO</v>
      </c>
      <c r="L1874" s="11" t="str">
        <f>IFERROR(IF(VLOOKUP(A1874,[13]PRIORIZADOS!$A:$L,12,FALSE)="","",VLOOKUP(A1874,[13]PRIORIZADOS!$A:$L,12,FALSE)),"")</f>
        <v/>
      </c>
      <c r="M1874" s="71">
        <f>IFERROR(IF(VLOOKUP(A1874,[13]PRIORIZADOS!$A:$M,13,FALSE)="","",VLOOKUP(A1874,[13]PRIORIZADOS!$A:$M,13,FALSE)),"")</f>
        <v>45769</v>
      </c>
      <c r="N1874" s="71">
        <f>IFERROR(IF(VLOOKUP(A1874,[13]PRIORIZADOS!$A:$N,14,FALSE)="","",VLOOKUP(A1874,[13]PRIORIZADOS!$A:$N,14,FALSE)),"")</f>
        <v>45769</v>
      </c>
      <c r="O1874" s="71">
        <f>IFERROR(IF(VLOOKUP(A1874,[13]PRIORIZADOS!$A:$O,15,FALSE)="","",VLOOKUP(A1874,[13]PRIORIZADOS!$A:$O,15,FALSE)),"")</f>
        <v>45769</v>
      </c>
      <c r="P1874" s="11" t="str">
        <f>IFERROR(IF(VLOOKUP(A1874,[13]PRIORIZADOS!$A:$P,16,FALSE)="","",VLOOKUP(A1874,[13]PRIORIZADOS!$A:$P,16,FALSE)),"")</f>
        <v>Visitas de evaluación con fines de mejoramiento</v>
      </c>
      <c r="Q1874" s="243" t="s">
        <v>412</v>
      </c>
      <c r="R1874" s="11" t="str">
        <f>IFERROR(IF(VLOOKUP(A1874,[13]PRIORIZADOS!$A:$R,18,FALSE)="","",VLOOKUP(A1874,[13]PRIORIZADOS!$A:$R,18,FALSE)),"")</f>
        <v>Aunque existen documentos actualizados, estos no han sido elaborados de forma participativa.</v>
      </c>
      <c r="S1874" s="11" t="str">
        <f>IFERROR(IF(VLOOKUP(A1874,[13]PRIORIZADOS!$A:$S,19,FALSE)="","",VLOOKUP(A1874,[13]PRIORIZADOS!$A:$S,19,FALSE)),"")</f>
        <v xml:space="preserve">Construir y actualizar actualización de documentos institucionales junto con la comunidad educativa y dejar proceso documentado. </v>
      </c>
      <c r="T1874" s="70" t="str">
        <f>IFERROR(IF(VLOOKUP(A1874,[13]PRIORIZADOS!$A:$T,20,FALSE)="","",VLOOKUP(A1874,[13]PRIORIZADOS!$A:$T,20,FALSE)),"")</f>
        <v>Si</v>
      </c>
      <c r="U1874" s="11" t="str">
        <f>IFERROR(IF(VLOOKUP(A1874,[13]PRIORIZADOS!$A:$U,21,FALSE)="","",VLOOKUP(A1874,[13]PRIORIZADOS!$A:$U,21,FALSE)),"")</f>
        <v>Desde ELIV se enviará un oficio solicitando estas acciones para julio de 2025.  Se realizará seguimiento en vigencia 2026.</v>
      </c>
    </row>
    <row r="1875" spans="1:21" s="1" customFormat="1" ht="48">
      <c r="A1875" s="69">
        <f>IF([13]PRIORIZADOS!A38="","",[13]PRIORIZADOS!A38)</f>
        <v>1842</v>
      </c>
      <c r="B1875" s="70">
        <f>IFERROR(IF(VLOOKUP(A1875,[13]PRIORIZADOS!$A:$B,2,FALSE)="","",VLOOKUP(A1875,[13]PRIORIZADOS!$A:$B,2,FALSE)),"")</f>
        <v>4</v>
      </c>
      <c r="C1875" s="11" t="str">
        <f>IFERROR(IF(VLOOKUP(A1875,[13]PRIORIZADOS!$A:$C,3,FALSE)="","",VLOOKUP(A1875,[13]PRIORIZADOS!$A:$C,3,FALSE)),"")</f>
        <v xml:space="preserve">SANTA FE Y CANDELARIA </v>
      </c>
      <c r="D1875" s="11" t="str">
        <f>IFERROR(IF(VLOOKUP(A1875,[13]PRIORIZADOS!$A:$D,4,FALSE)="","",VLOOKUP(A1875,[13]PRIORIZADOS!$A:$D,4,FALSE)),"")</f>
        <v>PRIVADO</v>
      </c>
      <c r="E1875" s="11" t="str">
        <f>IFERROR(IF(VLOOKUP(A1875,[13]PRIORIZADOS!$A:$E,5,FALSE)="","",VLOOKUP(A1875,[13]PRIORIZADOS!$A:$E,5,FALSE)),"")</f>
        <v>EPBM</v>
      </c>
      <c r="F1875" s="11" t="str">
        <f>IFERROR(IF(VLOOKUP(A1875,[13]PRIORIZADOS!$A:$F,6,FALSE)="","",VLOOKUP(A1875,[13]PRIORIZADOS!$A:$F,6,FALSE)),"")</f>
        <v>COLEGIO_TIRSO_DE_MOLINA</v>
      </c>
      <c r="G1875" s="11" t="str">
        <f>IFERROR(IF(VLOOKUP(A1875,[13]PRIORIZADOS!$A:$G,7,FALSE)="","",VLOOKUP(A1875,[13]PRIORIZADOS!$A:$G,7,FALSE)),"")</f>
        <v>COLEGIO TIRSO DE MOLINA</v>
      </c>
      <c r="H1875" s="11" t="str">
        <f>IFERROR(IF(VLOOKUP(A1875,[13]PRIORIZADOS!$A:$H,8,FALSE)="","",VLOOKUP(A1875,[13]PRIORIZADOS!$A:$H,8,FALSE)),"")</f>
        <v>Autoevaluación Institucional y Pruebas SABER 11</v>
      </c>
      <c r="I1875" s="11" t="str">
        <f>IFERROR(IF(VLOOKUP(A1875,[13]PRIORIZADOS!$A:$I,9,FALSE)="","",VLOOKUP(A1875,[13]PRIORIZADOS!$A:$I,9,FALSE)),"")</f>
        <v>EVALUACIÓN_CON_FINES_DE_MEJORAMIENTO.</v>
      </c>
      <c r="J1875" s="11" t="str">
        <f>IFERROR(IF(VLOOKUP(A1875,[13]PRIORIZADOS!$A:$J,10,FALSE)="","",VLOOKUP(A1875,[13]PRIORIZADOS!$A:$J,10,FALSE)),"")</f>
        <v>Revisar el calendario escolar, jornada escolar, la intensidad horaria mínima anual en cada nivel y las modificaciones que se realicen al mismo, de acuerdo con lo previsto en la normatividad vigente.</v>
      </c>
      <c r="K1875" s="11" t="str">
        <f>IFERROR(IF(VLOOKUP(A1875,[13]PRIORIZADOS!$A:$K,11,FALSE)="","",VLOOKUP(A1875,[13]PRIORIZADOS!$A:$K,11,FALSE)),"")</f>
        <v>DAMARIS RUT CÁRDENAS MORENO</v>
      </c>
      <c r="L1875" s="11" t="str">
        <f>IFERROR(IF(VLOOKUP(A1875,[13]PRIORIZADOS!$A:$L,12,FALSE)="","",VLOOKUP(A1875,[13]PRIORIZADOS!$A:$L,12,FALSE)),"")</f>
        <v/>
      </c>
      <c r="M1875" s="71">
        <f>IFERROR(IF(VLOOKUP(A1875,[13]PRIORIZADOS!$A:$M,13,FALSE)="","",VLOOKUP(A1875,[13]PRIORIZADOS!$A:$M,13,FALSE)),"")</f>
        <v>45769</v>
      </c>
      <c r="N1875" s="71">
        <f>IFERROR(IF(VLOOKUP(A1875,[13]PRIORIZADOS!$A:$N,14,FALSE)="","",VLOOKUP(A1875,[13]PRIORIZADOS!$A:$N,14,FALSE)),"")</f>
        <v>45769</v>
      </c>
      <c r="O1875" s="71">
        <f>IFERROR(IF(VLOOKUP(A1875,[13]PRIORIZADOS!$A:$O,15,FALSE)="","",VLOOKUP(A1875,[13]PRIORIZADOS!$A:$O,15,FALSE)),"")</f>
        <v>45769</v>
      </c>
      <c r="P1875" s="11" t="str">
        <f>IFERROR(IF(VLOOKUP(A1875,[13]PRIORIZADOS!$A:$P,16,FALSE)="","",VLOOKUP(A1875,[13]PRIORIZADOS!$A:$P,16,FALSE)),"")</f>
        <v>Visitas de evaluación con fines de mejoramiento</v>
      </c>
      <c r="Q1875" s="243" t="s">
        <v>412</v>
      </c>
      <c r="R1875" s="11" t="str">
        <f>IFERROR(IF(VLOOKUP(A1875,[13]PRIORIZADOS!$A:$R,18,FALSE)="","",VLOOKUP(A1875,[13]PRIORIZADOS!$A:$R,18,FALSE)),"")</f>
        <v>El calendario escolar, la jornada y la intensidad horaria cumplen con la normatividad vigente.</v>
      </c>
      <c r="S1875" s="11" t="str">
        <f>IFERROR(IF(VLOOKUP(A1875,[13]PRIORIZADOS!$A:$S,19,FALSE)="","",VLOOKUP(A1875,[13]PRIORIZADOS!$A:$S,19,FALSE)),"")</f>
        <v>Diseñar cronograma de reuniones de estamentos de gobierno escolar anual</v>
      </c>
      <c r="T1875" s="70" t="str">
        <f>IFERROR(IF(VLOOKUP(A1875,[13]PRIORIZADOS!$A:$T,20,FALSE)="","",VLOOKUP(A1875,[13]PRIORIZADOS!$A:$T,20,FALSE)),"")</f>
        <v>Si</v>
      </c>
      <c r="U1875" s="11" t="str">
        <f>IFERROR(IF(VLOOKUP(A1875,[13]PRIORIZADOS!$A:$U,21,FALSE)="","",VLOOKUP(A1875,[13]PRIORIZADOS!$A:$U,21,FALSE)),"")</f>
        <v>Desde ELIV se enviará un oficio solicitando estas acciones para julio de 2025.  Se realizará seguimiento en vigencia 2026.</v>
      </c>
    </row>
    <row r="1876" spans="1:21" s="1" customFormat="1" ht="48">
      <c r="A1876" s="69">
        <f>IF([13]PRIORIZADOS!A39="","",[13]PRIORIZADOS!A39)</f>
        <v>1843</v>
      </c>
      <c r="B1876" s="70">
        <f>IFERROR(IF(VLOOKUP(A1876,[13]PRIORIZADOS!$A:$B,2,FALSE)="","",VLOOKUP(A1876,[13]PRIORIZADOS!$A:$B,2,FALSE)),"")</f>
        <v>4</v>
      </c>
      <c r="C1876" s="11" t="str">
        <f>IFERROR(IF(VLOOKUP(A1876,[13]PRIORIZADOS!$A:$C,3,FALSE)="","",VLOOKUP(A1876,[13]PRIORIZADOS!$A:$C,3,FALSE)),"")</f>
        <v xml:space="preserve">SANTA FE Y CANDELARIA </v>
      </c>
      <c r="D1876" s="11" t="str">
        <f>IFERROR(IF(VLOOKUP(A1876,[13]PRIORIZADOS!$A:$D,4,FALSE)="","",VLOOKUP(A1876,[13]PRIORIZADOS!$A:$D,4,FALSE)),"")</f>
        <v>PRIVADO</v>
      </c>
      <c r="E1876" s="11" t="str">
        <f>IFERROR(IF(VLOOKUP(A1876,[13]PRIORIZADOS!$A:$E,5,FALSE)="","",VLOOKUP(A1876,[13]PRIORIZADOS!$A:$E,5,FALSE)),"")</f>
        <v>EPBM</v>
      </c>
      <c r="F1876" s="11" t="str">
        <f>IFERROR(IF(VLOOKUP(A1876,[13]PRIORIZADOS!$A:$F,6,FALSE)="","",VLOOKUP(A1876,[13]PRIORIZADOS!$A:$F,6,FALSE)),"")</f>
        <v>COLEGIO_TIRSO_DE_MOLINA</v>
      </c>
      <c r="G1876" s="11" t="str">
        <f>IFERROR(IF(VLOOKUP(A1876,[13]PRIORIZADOS!$A:$G,7,FALSE)="","",VLOOKUP(A1876,[13]PRIORIZADOS!$A:$G,7,FALSE)),"")</f>
        <v>COLEGIO TIRSO DE MOLINA</v>
      </c>
      <c r="H1876" s="11" t="str">
        <f>IFERROR(IF(VLOOKUP(A1876,[13]PRIORIZADOS!$A:$H,8,FALSE)="","",VLOOKUP(A1876,[13]PRIORIZADOS!$A:$H,8,FALSE)),"")</f>
        <v>Autoevaluación Institucional y Pruebas SABER 11</v>
      </c>
      <c r="I1876" s="11" t="str">
        <f>IFERROR(IF(VLOOKUP(A1876,[13]PRIORIZADOS!$A:$I,9,FALSE)="","",VLOOKUP(A1876,[13]PRIORIZADOS!$A:$I,9,FALSE)),"")</f>
        <v>EVALUACIÓN_CON_FINES_DE_MEJORAMIENTO.</v>
      </c>
      <c r="J1876" s="11" t="str">
        <f>IFERROR(IF(VLOOKUP(A1876,[13]PRIORIZADOS!$A:$J,10,FALSE)="","",VLOOKUP(A1876,[13]PRIORIZADOS!$A:$J,10,FALSE)),"")</f>
        <v>Verificar el funcionamiento del Gobierno Escolar e instancias de participación con base en la información sobre conformación reportada por la institución educativa.</v>
      </c>
      <c r="K1876" s="11" t="str">
        <f>IFERROR(IF(VLOOKUP(A1876,[13]PRIORIZADOS!$A:$K,11,FALSE)="","",VLOOKUP(A1876,[13]PRIORIZADOS!$A:$K,11,FALSE)),"")</f>
        <v>DAMARIS RUT CÁRDENAS MORENO</v>
      </c>
      <c r="L1876" s="11" t="str">
        <f>IFERROR(IF(VLOOKUP(A1876,[13]PRIORIZADOS!$A:$L,12,FALSE)="","",VLOOKUP(A1876,[13]PRIORIZADOS!$A:$L,12,FALSE)),"")</f>
        <v/>
      </c>
      <c r="M1876" s="71">
        <f>IFERROR(IF(VLOOKUP(A1876,[13]PRIORIZADOS!$A:$M,13,FALSE)="","",VLOOKUP(A1876,[13]PRIORIZADOS!$A:$M,13,FALSE)),"")</f>
        <v>45769</v>
      </c>
      <c r="N1876" s="71">
        <f>IFERROR(IF(VLOOKUP(A1876,[13]PRIORIZADOS!$A:$N,14,FALSE)="","",VLOOKUP(A1876,[13]PRIORIZADOS!$A:$N,14,FALSE)),"")</f>
        <v>45769</v>
      </c>
      <c r="O1876" s="71">
        <f>IFERROR(IF(VLOOKUP(A1876,[13]PRIORIZADOS!$A:$O,15,FALSE)="","",VLOOKUP(A1876,[13]PRIORIZADOS!$A:$O,15,FALSE)),"")</f>
        <v>45769</v>
      </c>
      <c r="P1876" s="11" t="str">
        <f>IFERROR(IF(VLOOKUP(A1876,[13]PRIORIZADOS!$A:$P,16,FALSE)="","",VLOOKUP(A1876,[13]PRIORIZADOS!$A:$P,16,FALSE)),"")</f>
        <v>Visitas de evaluación con fines de mejoramiento</v>
      </c>
      <c r="Q1876" s="243" t="s">
        <v>412</v>
      </c>
      <c r="R1876" s="11" t="str">
        <f>IFERROR(IF(VLOOKUP(A1876,[13]PRIORIZADOS!$A:$R,18,FALSE)="","",VLOOKUP(A1876,[13]PRIORIZADOS!$A:$R,18,FALSE)),"")</f>
        <v>Las actas no fueron cargadas al aplicativo SAE, aunque existen documentos que evidencian la conformación del gobierno escolar.</v>
      </c>
      <c r="S1876" s="11" t="str">
        <f>IFERROR(IF(VLOOKUP(A1876,[13]PRIORIZADOS!$A:$S,19,FALSE)="","",VLOOKUP(A1876,[13]PRIORIZADOS!$A:$S,19,FALSE)),"")</f>
        <v>Se dan indicaciones para la solicitud de usuario y contraseña del aplicativo SAE.</v>
      </c>
      <c r="T1876" s="70" t="str">
        <f>IFERROR(IF(VLOOKUP(A1876,[13]PRIORIZADOS!$A:$T,20,FALSE)="","",VLOOKUP(A1876,[13]PRIORIZADOS!$A:$T,20,FALSE)),"")</f>
        <v>Si</v>
      </c>
      <c r="U1876" s="11" t="str">
        <f>IFERROR(IF(VLOOKUP(A1876,[13]PRIORIZADOS!$A:$U,21,FALSE)="","",VLOOKUP(A1876,[13]PRIORIZADOS!$A:$U,21,FALSE)),"")</f>
        <v>Desde ELIV se enviará un oficio solicitando estas acciones para julio de 2025.  Se realizará seguimiento en vigencia 2026.</v>
      </c>
    </row>
    <row r="1877" spans="1:21" s="1" customFormat="1" ht="72">
      <c r="A1877" s="69">
        <f>IF([13]PRIORIZADOS!A40="","",[13]PRIORIZADOS!A40)</f>
        <v>1844</v>
      </c>
      <c r="B1877" s="70">
        <f>IFERROR(IF(VLOOKUP(A1877,[13]PRIORIZADOS!$A:$B,2,FALSE)="","",VLOOKUP(A1877,[13]PRIORIZADOS!$A:$B,2,FALSE)),"")</f>
        <v>4</v>
      </c>
      <c r="C1877" s="11" t="str">
        <f>IFERROR(IF(VLOOKUP(A1877,[13]PRIORIZADOS!$A:$C,3,FALSE)="","",VLOOKUP(A1877,[13]PRIORIZADOS!$A:$C,3,FALSE)),"")</f>
        <v xml:space="preserve">SANTA FE Y CANDELARIA </v>
      </c>
      <c r="D1877" s="11" t="str">
        <f>IFERROR(IF(VLOOKUP(A1877,[13]PRIORIZADOS!$A:$D,4,FALSE)="","",VLOOKUP(A1877,[13]PRIORIZADOS!$A:$D,4,FALSE)),"")</f>
        <v>PRIVADO</v>
      </c>
      <c r="E1877" s="11" t="str">
        <f>IFERROR(IF(VLOOKUP(A1877,[13]PRIORIZADOS!$A:$E,5,FALSE)="","",VLOOKUP(A1877,[13]PRIORIZADOS!$A:$E,5,FALSE)),"")</f>
        <v>EPBM</v>
      </c>
      <c r="F1877" s="11" t="str">
        <f>IFERROR(IF(VLOOKUP(A1877,[13]PRIORIZADOS!$A:$F,6,FALSE)="","",VLOOKUP(A1877,[13]PRIORIZADOS!$A:$F,6,FALSE)),"")</f>
        <v>COLEGIO_TIRSO_DE_MOLINA</v>
      </c>
      <c r="G1877" s="11" t="str">
        <f>IFERROR(IF(VLOOKUP(A1877,[13]PRIORIZADOS!$A:$G,7,FALSE)="","",VLOOKUP(A1877,[13]PRIORIZADOS!$A:$G,7,FALSE)),"")</f>
        <v>COLEGIO TIRSO DE MOLINA</v>
      </c>
      <c r="H1877" s="11" t="str">
        <f>IFERROR(IF(VLOOKUP(A1877,[13]PRIORIZADOS!$A:$H,8,FALSE)="","",VLOOKUP(A1877,[13]PRIORIZADOS!$A:$H,8,FALSE)),"")</f>
        <v>Autoevaluación Institucional y Pruebas SABER 11</v>
      </c>
      <c r="I1877" s="11" t="str">
        <f>IFERROR(IF(VLOOKUP(A1877,[13]PRIORIZADOS!$A:$I,9,FALSE)="","",VLOOKUP(A1877,[13]PRIORIZADOS!$A:$I,9,FALSE)),"")</f>
        <v>EVALUACIÓN_CON_FINES_DE_MEJORAMIENTO.</v>
      </c>
      <c r="J1877" s="11" t="str">
        <f>IFERROR(IF(VLOOKUP(A1877,[13]PRIORIZADOS!$A:$J,10,FALSE)="","",VLOOKUP(A1877,[13]PRIORIZADOS!$A:$J,10,FALSE)),"")</f>
        <v>Verificar las condiciones en cuanto a: la estructura administrativa, condiciones de la planta física y medios educativos adecuados.</v>
      </c>
      <c r="K1877" s="11" t="str">
        <f>IFERROR(IF(VLOOKUP(A1877,[13]PRIORIZADOS!$A:$K,11,FALSE)="","",VLOOKUP(A1877,[13]PRIORIZADOS!$A:$K,11,FALSE)),"")</f>
        <v>DAMARIS RUT CÁRDENAS MORENO</v>
      </c>
      <c r="L1877" s="11" t="str">
        <f>IFERROR(IF(VLOOKUP(A1877,[13]PRIORIZADOS!$A:$L,12,FALSE)="","",VLOOKUP(A1877,[13]PRIORIZADOS!$A:$L,12,FALSE)),"")</f>
        <v/>
      </c>
      <c r="M1877" s="71">
        <f>IFERROR(IF(VLOOKUP(A1877,[13]PRIORIZADOS!$A:$M,13,FALSE)="","",VLOOKUP(A1877,[13]PRIORIZADOS!$A:$M,13,FALSE)),"")</f>
        <v>45769</v>
      </c>
      <c r="N1877" s="71">
        <f>IFERROR(IF(VLOOKUP(A1877,[13]PRIORIZADOS!$A:$N,14,FALSE)="","",VLOOKUP(A1877,[13]PRIORIZADOS!$A:$N,14,FALSE)),"")</f>
        <v>45769</v>
      </c>
      <c r="O1877" s="71">
        <f>IFERROR(IF(VLOOKUP(A1877,[13]PRIORIZADOS!$A:$O,15,FALSE)="","",VLOOKUP(A1877,[13]PRIORIZADOS!$A:$O,15,FALSE)),"")</f>
        <v>45769</v>
      </c>
      <c r="P1877" s="11" t="str">
        <f>IFERROR(IF(VLOOKUP(A1877,[13]PRIORIZADOS!$A:$P,16,FALSE)="","",VLOOKUP(A1877,[13]PRIORIZADOS!$A:$P,16,FALSE)),"")</f>
        <v>Visitas de evaluación con fines de mejoramiento</v>
      </c>
      <c r="Q1877" s="243" t="s">
        <v>412</v>
      </c>
      <c r="R1877" s="11" t="str">
        <f>IFERROR(IF(VLOOKUP(A1877,[13]PRIORIZADOS!$A:$R,18,FALSE)="","",VLOOKUP(A1877,[13]PRIORIZADOS!$A:$R,18,FALSE)),"")</f>
        <v>El predio e infraestructura, siendo patrimonio histórico, no consideran la movilidad de la población con discapacidad. Actualmente, se encuentra en desarrollo el mantenimiento de los espacios.</v>
      </c>
      <c r="S1877" s="11" t="str">
        <f>IFERROR(IF(VLOOKUP(A1877,[13]PRIORIZADOS!$A:$S,19,FALSE)="","",VLOOKUP(A1877,[13]PRIORIZADOS!$A:$S,19,FALSE)),"")</f>
        <v>Proyectar adaptaciones para la población con discapacidad.</v>
      </c>
      <c r="T1877" s="70" t="str">
        <f>IFERROR(IF(VLOOKUP(A1877,[13]PRIORIZADOS!$A:$T,20,FALSE)="","",VLOOKUP(A1877,[13]PRIORIZADOS!$A:$T,20,FALSE)),"")</f>
        <v>Si</v>
      </c>
      <c r="U1877" s="11" t="str">
        <f>IFERROR(IF(VLOOKUP(A1877,[13]PRIORIZADOS!$A:$U,21,FALSE)="","",VLOOKUP(A1877,[13]PRIORIZADOS!$A:$U,21,FALSE)),"")</f>
        <v>Desde ELIV se enviará un oficio solicitando estas acciones para julio de 2025.  Se realizará seguimiento en vigencia 2026.</v>
      </c>
    </row>
    <row r="1878" spans="1:21" s="1" customFormat="1" ht="60">
      <c r="A1878" s="69">
        <f>IF([13]PRIORIZADOS!A41="","",[13]PRIORIZADOS!A41)</f>
        <v>1845</v>
      </c>
      <c r="B1878" s="70">
        <f>IFERROR(IF(VLOOKUP(A1878,[13]PRIORIZADOS!$A:$B,2,FALSE)="","",VLOOKUP(A1878,[13]PRIORIZADOS!$A:$B,2,FALSE)),"")</f>
        <v>5</v>
      </c>
      <c r="C1878" s="11" t="str">
        <f>IFERROR(IF(VLOOKUP(A1878,[13]PRIORIZADOS!$A:$C,3,FALSE)="","",VLOOKUP(A1878,[13]PRIORIZADOS!$A:$C,3,FALSE)),"")</f>
        <v xml:space="preserve">SANTA FE Y CANDELARIA </v>
      </c>
      <c r="D1878" s="11" t="str">
        <f>IFERROR(IF(VLOOKUP(A1878,[13]PRIORIZADOS!$A:$D,4,FALSE)="","",VLOOKUP(A1878,[13]PRIORIZADOS!$A:$D,4,FALSE)),"")</f>
        <v>PRIVADO</v>
      </c>
      <c r="E1878" s="11" t="str">
        <f>IFERROR(IF(VLOOKUP(A1878,[13]PRIORIZADOS!$A:$E,5,FALSE)="","",VLOOKUP(A1878,[13]PRIORIZADOS!$A:$E,5,FALSE)),"")</f>
        <v>EPBM</v>
      </c>
      <c r="F1878" s="11" t="str">
        <f>IFERROR(IF(VLOOKUP(A1878,[13]PRIORIZADOS!$A:$F,6,FALSE)="","",VLOOKUP(A1878,[13]PRIORIZADOS!$A:$F,6,FALSE)),"")</f>
        <v>COLEGIO_DE_SALERNO</v>
      </c>
      <c r="G1878" s="11" t="str">
        <f>IFERROR(IF(VLOOKUP(A1878,[13]PRIORIZADOS!$A:$G,7,FALSE)="","",VLOOKUP(A1878,[13]PRIORIZADOS!$A:$G,7,FALSE)),"")</f>
        <v>COLEGIO DE SALERNO</v>
      </c>
      <c r="H1878" s="11" t="str">
        <f>IFERROR(IF(VLOOKUP(A1878,[13]PRIORIZADOS!$A:$H,8,FALSE)="","",VLOOKUP(A1878,[13]PRIORIZADOS!$A:$H,8,FALSE)),"")</f>
        <v>Autoevaluación Institucional y Pruebas SABER 11</v>
      </c>
      <c r="I1878" s="11" t="str">
        <f>IFERROR(IF(VLOOKUP(A1878,[13]PRIORIZADOS!$A:$I,9,FALSE)="","",VLOOKUP(A1878,[13]PRIORIZADOS!$A:$I,9,FALSE)),"")</f>
        <v>SEGUIMIENTO_Y_SUPERVISIÓN.</v>
      </c>
      <c r="J1878" s="11" t="str">
        <f>IFERROR(IF(VLOOKUP(A1878,[13]PRIORIZADOS!$A:$J,10,FALSE)="","",VLOOKUP(A1878,[13]PRIORIZADOS!$A:$J,10,FALSE)),"")</f>
        <v>Realizar visitas para verificar la información registrada sobre la autoevaluación institucional en el aplicativo EVI, a los establecimientos de educación formal no oficial.</v>
      </c>
      <c r="K1878" s="11" t="str">
        <f>IFERROR(IF(VLOOKUP(A1878,[13]PRIORIZADOS!$A:$K,11,FALSE)="","",VLOOKUP(A1878,[13]PRIORIZADOS!$A:$K,11,FALSE)),"")</f>
        <v>DAMARIS RUT CÁRDENAS MORENO</v>
      </c>
      <c r="L1878" s="11" t="str">
        <f>IFERROR(IF(VLOOKUP(A1878,[13]PRIORIZADOS!$A:$L,12,FALSE)="","",VLOOKUP(A1878,[13]PRIORIZADOS!$A:$L,12,FALSE)),"")</f>
        <v/>
      </c>
      <c r="M1878" s="71">
        <f>IFERROR(IF(VLOOKUP(A1878,[13]PRIORIZADOS!$A:$M,13,FALSE)="","",VLOOKUP(A1878,[13]PRIORIZADOS!$A:$M,13,FALSE)),"")</f>
        <v>45779</v>
      </c>
      <c r="N1878" s="71">
        <f>IFERROR(IF(VLOOKUP(A1878,[13]PRIORIZADOS!$A:$N,14,FALSE)="","",VLOOKUP(A1878,[13]PRIORIZADOS!$A:$N,14,FALSE)),"")</f>
        <v>45779</v>
      </c>
      <c r="O1878" s="71">
        <f>IFERROR(IF(VLOOKUP(A1878,[13]PRIORIZADOS!$A:$O,15,FALSE)="","",VLOOKUP(A1878,[13]PRIORIZADOS!$A:$O,15,FALSE)),"")</f>
        <v>45779</v>
      </c>
      <c r="P1878" s="11" t="str">
        <f>IFERROR(IF(VLOOKUP(A1878,[13]PRIORIZADOS!$A:$P,16,FALSE)="","",VLOOKUP(A1878,[13]PRIORIZADOS!$A:$P,16,FALSE)),"")</f>
        <v>Visitas de evaluación con fines de mejoramiento</v>
      </c>
      <c r="Q1878" s="244" t="s">
        <v>413</v>
      </c>
      <c r="R1878" s="11" t="str">
        <f>IFERROR(IF(VLOOKUP(A1878,[13]PRIORIZADOS!$A:$R,18,FALSE)="","",VLOOKUP(A1878,[13]PRIORIZADOS!$A:$R,18,FALSE)),"")</f>
        <v>Las tarifas aprobadas están publicadas en la cartelera institucional; sin embargo, no cuentan con mecanismos ni gestión documental que permitan controlar la morosidad.</v>
      </c>
      <c r="S1878" s="11" t="str">
        <f>IFERROR(IF(VLOOKUP(A1878,[13]PRIORIZADOS!$A:$S,19,FALSE)="","",VLOOKUP(A1878,[13]PRIORIZADOS!$A:$S,19,FALSE)),"")</f>
        <v>Se solicita realizar la verificación documental para atender casos de morosidad.</v>
      </c>
      <c r="T1878" s="70" t="str">
        <f>IFERROR(IF(VLOOKUP(A1878,[13]PRIORIZADOS!$A:$T,20,FALSE)="","",VLOOKUP(A1878,[13]PRIORIZADOS!$A:$T,20,FALSE)),"")</f>
        <v>Si</v>
      </c>
      <c r="U1878" s="11" t="str">
        <f>IFERROR(IF(VLOOKUP(A1878,[13]PRIORIZADOS!$A:$U,21,FALSE)="","",VLOOKUP(A1878,[13]PRIORIZADOS!$A:$U,21,FALSE)),"")</f>
        <v>El colegio enviará la documentación correspondiente antes del 16 de mayo.Se realizará seguimiento a plan de mejoramiento en vigencia 2026</v>
      </c>
    </row>
    <row r="1879" spans="1:21" s="1" customFormat="1" ht="96">
      <c r="A1879" s="69">
        <f>IF([13]PRIORIZADOS!A42="","",[13]PRIORIZADOS!A42)</f>
        <v>1846</v>
      </c>
      <c r="B1879" s="70">
        <f>IFERROR(IF(VLOOKUP(A1879,[13]PRIORIZADOS!$A:$B,2,FALSE)="","",VLOOKUP(A1879,[13]PRIORIZADOS!$A:$B,2,FALSE)),"")</f>
        <v>5</v>
      </c>
      <c r="C1879" s="11" t="str">
        <f>IFERROR(IF(VLOOKUP(A1879,[13]PRIORIZADOS!$A:$C,3,FALSE)="","",VLOOKUP(A1879,[13]PRIORIZADOS!$A:$C,3,FALSE)),"")</f>
        <v xml:space="preserve">SANTA FE Y CANDELARIA </v>
      </c>
      <c r="D1879" s="11" t="str">
        <f>IFERROR(IF(VLOOKUP(A1879,[13]PRIORIZADOS!$A:$D,4,FALSE)="","",VLOOKUP(A1879,[13]PRIORIZADOS!$A:$D,4,FALSE)),"")</f>
        <v>PRIVADO</v>
      </c>
      <c r="E1879" s="11" t="str">
        <f>IFERROR(IF(VLOOKUP(A1879,[13]PRIORIZADOS!$A:$E,5,FALSE)="","",VLOOKUP(A1879,[13]PRIORIZADOS!$A:$E,5,FALSE)),"")</f>
        <v>EPBM</v>
      </c>
      <c r="F1879" s="11" t="str">
        <f>IFERROR(IF(VLOOKUP(A1879,[13]PRIORIZADOS!$A:$F,6,FALSE)="","",VLOOKUP(A1879,[13]PRIORIZADOS!$A:$F,6,FALSE)),"")</f>
        <v>COLEGIO_DE_SALERNO</v>
      </c>
      <c r="G1879" s="11" t="str">
        <f>IFERROR(IF(VLOOKUP(A1879,[13]PRIORIZADOS!$A:$G,7,FALSE)="","",VLOOKUP(A1879,[13]PRIORIZADOS!$A:$G,7,FALSE)),"")</f>
        <v>COLEGIO DE SALERNO</v>
      </c>
      <c r="H1879" s="11" t="str">
        <f>IFERROR(IF(VLOOKUP(A1879,[13]PRIORIZADOS!$A:$H,8,FALSE)="","",VLOOKUP(A1879,[13]PRIORIZADOS!$A:$H,8,FALSE)),"")</f>
        <v>Autoevaluación Institucional y Pruebas SABER 11</v>
      </c>
      <c r="I1879" s="11" t="str">
        <f>IFERROR(IF(VLOOKUP(A1879,[13]PRIORIZADOS!$A:$I,9,FALSE)="","",VLOOKUP(A1879,[13]PRIORIZADOS!$A:$I,9,FALSE)),"")</f>
        <v>SEGUIMIENTO_Y_SUPERVISIÓN.</v>
      </c>
      <c r="J1879" s="11" t="str">
        <f>IFERROR(IF(VLOOKUP(A1879,[13]PRIORIZADOS!$A:$J,10,FALSE)="","",VLOOKUP(A1879,[13]PRIORIZADOS!$A:$J,10,FALSE)),"")</f>
        <v>Proponer estrategias en la formulación, verificar su elaboración y realizar seguimiento semestral al desarrollo de  las acciones establecidas en los planes de mejoramiento por pruebas SABER 11 de los establecimientos de educación formal.</v>
      </c>
      <c r="K1879" s="11" t="str">
        <f>IFERROR(IF(VLOOKUP(A1879,[13]PRIORIZADOS!$A:$K,11,FALSE)="","",VLOOKUP(A1879,[13]PRIORIZADOS!$A:$K,11,FALSE)),"")</f>
        <v>DAMARIS RUT CÁRDENAS MORENO</v>
      </c>
      <c r="L1879" s="11" t="str">
        <f>IFERROR(IF(VLOOKUP(A1879,[13]PRIORIZADOS!$A:$L,12,FALSE)="","",VLOOKUP(A1879,[13]PRIORIZADOS!$A:$L,12,FALSE)),"")</f>
        <v/>
      </c>
      <c r="M1879" s="71">
        <f>IFERROR(IF(VLOOKUP(A1879,[13]PRIORIZADOS!$A:$M,13,FALSE)="","",VLOOKUP(A1879,[13]PRIORIZADOS!$A:$M,13,FALSE)),"")</f>
        <v>45779</v>
      </c>
      <c r="N1879" s="71">
        <f>IFERROR(IF(VLOOKUP(A1879,[13]PRIORIZADOS!$A:$N,14,FALSE)="","",VLOOKUP(A1879,[13]PRIORIZADOS!$A:$N,14,FALSE)),"")</f>
        <v>45779</v>
      </c>
      <c r="O1879" s="71">
        <f>IFERROR(IF(VLOOKUP(A1879,[13]PRIORIZADOS!$A:$O,15,FALSE)="","",VLOOKUP(A1879,[13]PRIORIZADOS!$A:$O,15,FALSE)),"")</f>
        <v>45779</v>
      </c>
      <c r="P1879" s="11" t="str">
        <f>IFERROR(IF(VLOOKUP(A1879,[13]PRIORIZADOS!$A:$P,16,FALSE)="","",VLOOKUP(A1879,[13]PRIORIZADOS!$A:$P,16,FALSE)),"")</f>
        <v>Visitas de evaluación con fines de mejoramiento</v>
      </c>
      <c r="Q1879" s="245" t="s">
        <v>413</v>
      </c>
      <c r="R1879" s="11" t="str">
        <f>IFERROR(IF(VLOOKUP(A1879,[13]PRIORIZADOS!$A:$R,18,FALSE)="","",VLOOKUP(A1879,[13]PRIORIZADOS!$A:$R,18,FALSE)),"")</f>
        <v>El colegio no realiza análisis de los resultados de las Pruebas Saber. La preparación para estas pruebas se lleva a cabo con una entidad externa, pero no cuenta con un documento de convenio. Además, no se han generado estrategias de mejora frente a los resultados obtenidos.</v>
      </c>
      <c r="S1879" s="11" t="str">
        <f>IFERROR(IF(VLOOKUP(A1879,[13]PRIORIZADOS!$A:$S,19,FALSE)="","",VLOOKUP(A1879,[13]PRIORIZADOS!$A:$S,19,FALSE)),"")</f>
        <v>Activar de manera adecuada el consejo académico para generar y documentar estrategias de mejoramiento frente a las Pruebas Saber y la actualización del currículo.</v>
      </c>
      <c r="T1879" s="70" t="str">
        <f>IFERROR(IF(VLOOKUP(A1879,[13]PRIORIZADOS!$A:$T,20,FALSE)="","",VLOOKUP(A1879,[13]PRIORIZADOS!$A:$T,20,FALSE)),"")</f>
        <v>Si</v>
      </c>
      <c r="U1879" s="11" t="str">
        <f>IFERROR(IF(VLOOKUP(A1879,[13]PRIORIZADOS!$A:$U,21,FALSE)="","",VLOOKUP(A1879,[13]PRIORIZADOS!$A:$U,21,FALSE)),"")</f>
        <v>El colegio enviará la documentación correspondiente antes del 16 de mayo. Se realizará seguimiento a plan de mejoramiento en vigencia 2026</v>
      </c>
    </row>
    <row r="1880" spans="1:21" s="1" customFormat="1" ht="72">
      <c r="A1880" s="69">
        <f>IF([13]PRIORIZADOS!A43="","",[13]PRIORIZADOS!A43)</f>
        <v>1847</v>
      </c>
      <c r="B1880" s="70">
        <f>IFERROR(IF(VLOOKUP(A1880,[13]PRIORIZADOS!$A:$B,2,FALSE)="","",VLOOKUP(A1880,[13]PRIORIZADOS!$A:$B,2,FALSE)),"")</f>
        <v>5</v>
      </c>
      <c r="C1880" s="11" t="str">
        <f>IFERROR(IF(VLOOKUP(A1880,[13]PRIORIZADOS!$A:$C,3,FALSE)="","",VLOOKUP(A1880,[13]PRIORIZADOS!$A:$C,3,FALSE)),"")</f>
        <v xml:space="preserve">SANTA FE Y CANDELARIA </v>
      </c>
      <c r="D1880" s="11" t="str">
        <f>IFERROR(IF(VLOOKUP(A1880,[13]PRIORIZADOS!$A:$D,4,FALSE)="","",VLOOKUP(A1880,[13]PRIORIZADOS!$A:$D,4,FALSE)),"")</f>
        <v>PRIVADO</v>
      </c>
      <c r="E1880" s="11" t="str">
        <f>IFERROR(IF(VLOOKUP(A1880,[13]PRIORIZADOS!$A:$E,5,FALSE)="","",VLOOKUP(A1880,[13]PRIORIZADOS!$A:$E,5,FALSE)),"")</f>
        <v>EPBM</v>
      </c>
      <c r="F1880" s="11" t="str">
        <f>IFERROR(IF(VLOOKUP(A1880,[13]PRIORIZADOS!$A:$F,6,FALSE)="","",VLOOKUP(A1880,[13]PRIORIZADOS!$A:$F,6,FALSE)),"")</f>
        <v>COLEGIO_DE_SALERNO</v>
      </c>
      <c r="G1880" s="11" t="str">
        <f>IFERROR(IF(VLOOKUP(A1880,[13]PRIORIZADOS!$A:$G,7,FALSE)="","",VLOOKUP(A1880,[13]PRIORIZADOS!$A:$G,7,FALSE)),"")</f>
        <v>COLEGIO DE SALERNO</v>
      </c>
      <c r="H1880" s="11" t="str">
        <f>IFERROR(IF(VLOOKUP(A1880,[13]PRIORIZADOS!$A:$H,8,FALSE)="","",VLOOKUP(A1880,[13]PRIORIZADOS!$A:$H,8,FALSE)),"")</f>
        <v>Autoevaluación Institucional y Pruebas SABER 11</v>
      </c>
      <c r="I1880" s="11" t="str">
        <f>IFERROR(IF(VLOOKUP(A1880,[13]PRIORIZADOS!$A:$I,9,FALSE)="","",VLOOKUP(A1880,[13]PRIORIZADOS!$A:$I,9,FALSE)),"")</f>
        <v>SEGUIMIENTO_Y_SUPERVISIÓN.</v>
      </c>
      <c r="J1880" s="11" t="str">
        <f>IFERROR(IF(VLOOKUP(A1880,[13]PRIORIZADOS!$A:$J,10,FALSE)="","",VLOOKUP(A1880,[13]PRIORIZADOS!$A:$J,10,FALSE)),"")</f>
        <v xml:space="preserve">Verificar la implementación por parte de los colegios, de acciones realizadas para la prevención y atención de las situaciones de convivencia en el entorno escolar, según lo establecido en la Directiva 01 de 2022 del MEN. </v>
      </c>
      <c r="K1880" s="11" t="str">
        <f>IFERROR(IF(VLOOKUP(A1880,[13]PRIORIZADOS!$A:$K,11,FALSE)="","",VLOOKUP(A1880,[13]PRIORIZADOS!$A:$K,11,FALSE)),"")</f>
        <v>DAMARIS RUT CÁRDENAS MORENO</v>
      </c>
      <c r="L1880" s="11" t="str">
        <f>IFERROR(IF(VLOOKUP(A1880,[13]PRIORIZADOS!$A:$L,12,FALSE)="","",VLOOKUP(A1880,[13]PRIORIZADOS!$A:$L,12,FALSE)),"")</f>
        <v/>
      </c>
      <c r="M1880" s="71">
        <f>IFERROR(IF(VLOOKUP(A1880,[13]PRIORIZADOS!$A:$M,13,FALSE)="","",VLOOKUP(A1880,[13]PRIORIZADOS!$A:$M,13,FALSE)),"")</f>
        <v>45779</v>
      </c>
      <c r="N1880" s="71">
        <f>IFERROR(IF(VLOOKUP(A1880,[13]PRIORIZADOS!$A:$N,14,FALSE)="","",VLOOKUP(A1880,[13]PRIORIZADOS!$A:$N,14,FALSE)),"")</f>
        <v>45779</v>
      </c>
      <c r="O1880" s="71">
        <f>IFERROR(IF(VLOOKUP(A1880,[13]PRIORIZADOS!$A:$O,15,FALSE)="","",VLOOKUP(A1880,[13]PRIORIZADOS!$A:$O,15,FALSE)),"")</f>
        <v>45779</v>
      </c>
      <c r="P1880" s="11" t="str">
        <f>IFERROR(IF(VLOOKUP(A1880,[13]PRIORIZADOS!$A:$P,16,FALSE)="","",VLOOKUP(A1880,[13]PRIORIZADOS!$A:$P,16,FALSE)),"")</f>
        <v>Visitas de evaluación con fines de mejoramiento</v>
      </c>
      <c r="Q1880" s="245" t="s">
        <v>413</v>
      </c>
      <c r="R1880" s="11" t="str">
        <f>IFERROR(IF(VLOOKUP(A1880,[13]PRIORIZADOS!$A:$R,18,FALSE)="","",VLOOKUP(A1880,[13]PRIORIZADOS!$A:$R,18,FALSE)),"")</f>
        <v>La institución declara desconocer la Directiva, por lo que no ha llevado a cabo su implementación en ninguna área. Sin embargo, sí realiza consulta de antecedentes al momento de la contratación.</v>
      </c>
      <c r="S1880" s="11" t="str">
        <f>IFERROR(IF(VLOOKUP(A1880,[13]PRIORIZADOS!$A:$S,19,FALSE)="","",VLOOKUP(A1880,[13]PRIORIZADOS!$A:$S,19,FALSE)),"")</f>
        <v>Se requiere cualificar e implementar la Directiva dentro de los procesos institucionales.</v>
      </c>
      <c r="T1880" s="70" t="str">
        <f>IFERROR(IF(VLOOKUP(A1880,[13]PRIORIZADOS!$A:$T,20,FALSE)="","",VLOOKUP(A1880,[13]PRIORIZADOS!$A:$T,20,FALSE)),"")</f>
        <v>Si</v>
      </c>
      <c r="U1880" s="11" t="str">
        <f>IFERROR(IF(VLOOKUP(A1880,[13]PRIORIZADOS!$A:$U,21,FALSE)="","",VLOOKUP(A1880,[13]PRIORIZADOS!$A:$U,21,FALSE)),"")</f>
        <v>El colegio enviará la documentación correspondiente antes del 16 de mayo. Se realizará seguimiento a plan de mejoramiento en vigencia 2026</v>
      </c>
    </row>
    <row r="1881" spans="1:21" s="1" customFormat="1" ht="72">
      <c r="A1881" s="69">
        <f>IF([13]PRIORIZADOS!A44="","",[13]PRIORIZADOS!A44)</f>
        <v>1848</v>
      </c>
      <c r="B1881" s="70">
        <f>IFERROR(IF(VLOOKUP(A1881,[13]PRIORIZADOS!$A:$B,2,FALSE)="","",VLOOKUP(A1881,[13]PRIORIZADOS!$A:$B,2,FALSE)),"")</f>
        <v>5</v>
      </c>
      <c r="C1881" s="11" t="str">
        <f>IFERROR(IF(VLOOKUP(A1881,[13]PRIORIZADOS!$A:$C,3,FALSE)="","",VLOOKUP(A1881,[13]PRIORIZADOS!$A:$C,3,FALSE)),"")</f>
        <v xml:space="preserve">SANTA FE Y CANDELARIA </v>
      </c>
      <c r="D1881" s="11" t="str">
        <f>IFERROR(IF(VLOOKUP(A1881,[13]PRIORIZADOS!$A:$D,4,FALSE)="","",VLOOKUP(A1881,[13]PRIORIZADOS!$A:$D,4,FALSE)),"")</f>
        <v>PRIVADO</v>
      </c>
      <c r="E1881" s="11" t="str">
        <f>IFERROR(IF(VLOOKUP(A1881,[13]PRIORIZADOS!$A:$E,5,FALSE)="","",VLOOKUP(A1881,[13]PRIORIZADOS!$A:$E,5,FALSE)),"")</f>
        <v>EPBM</v>
      </c>
      <c r="F1881" s="11" t="str">
        <f>IFERROR(IF(VLOOKUP(A1881,[13]PRIORIZADOS!$A:$F,6,FALSE)="","",VLOOKUP(A1881,[13]PRIORIZADOS!$A:$F,6,FALSE)),"")</f>
        <v>COLEGIO_DE_SALERNO</v>
      </c>
      <c r="G1881" s="11" t="str">
        <f>IFERROR(IF(VLOOKUP(A1881,[13]PRIORIZADOS!$A:$G,7,FALSE)="","",VLOOKUP(A1881,[13]PRIORIZADOS!$A:$G,7,FALSE)),"")</f>
        <v>COLEGIO DE SALERNO</v>
      </c>
      <c r="H1881" s="11" t="str">
        <f>IFERROR(IF(VLOOKUP(A1881,[13]PRIORIZADOS!$A:$H,8,FALSE)="","",VLOOKUP(A1881,[13]PRIORIZADOS!$A:$H,8,FALSE)),"")</f>
        <v>Autoevaluación Institucional y Pruebas SABER 11</v>
      </c>
      <c r="I1881" s="11" t="str">
        <f>IFERROR(IF(VLOOKUP(A1881,[13]PRIORIZADOS!$A:$I,9,FALSE)="","",VLOOKUP(A1881,[13]PRIORIZADOS!$A:$I,9,FALSE)),"")</f>
        <v>SEGUIMIENTO_Y_SUPERVISIÓN.</v>
      </c>
      <c r="J1881" s="11" t="str">
        <f>IFERROR(IF(VLOOKUP(A1881,[13]PRIORIZADOS!$A:$J,10,FALSE)="","",VLOOKUP(A1881,[13]PRIORIZADOS!$A:$J,10,FALSE)),"")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81" s="11" t="str">
        <f>IFERROR(IF(VLOOKUP(A1881,[13]PRIORIZADOS!$A:$K,11,FALSE)="","",VLOOKUP(A1881,[13]PRIORIZADOS!$A:$K,11,FALSE)),"")</f>
        <v>DAMARIS RUT CÁRDENAS MORENO</v>
      </c>
      <c r="L1881" s="11" t="str">
        <f>IFERROR(IF(VLOOKUP(A1881,[13]PRIORIZADOS!$A:$L,12,FALSE)="","",VLOOKUP(A1881,[13]PRIORIZADOS!$A:$L,12,FALSE)),"")</f>
        <v/>
      </c>
      <c r="M1881" s="71">
        <f>IFERROR(IF(VLOOKUP(A1881,[13]PRIORIZADOS!$A:$M,13,FALSE)="","",VLOOKUP(A1881,[13]PRIORIZADOS!$A:$M,13,FALSE)),"")</f>
        <v>45779</v>
      </c>
      <c r="N1881" s="71">
        <f>IFERROR(IF(VLOOKUP(A1881,[13]PRIORIZADOS!$A:$N,14,FALSE)="","",VLOOKUP(A1881,[13]PRIORIZADOS!$A:$N,14,FALSE)),"")</f>
        <v>45779</v>
      </c>
      <c r="O1881" s="71">
        <f>IFERROR(IF(VLOOKUP(A1881,[13]PRIORIZADOS!$A:$O,15,FALSE)="","",VLOOKUP(A1881,[13]PRIORIZADOS!$A:$O,15,FALSE)),"")</f>
        <v>45779</v>
      </c>
      <c r="P1881" s="11" t="str">
        <f>IFERROR(IF(VLOOKUP(A1881,[13]PRIORIZADOS!$A:$P,16,FALSE)="","",VLOOKUP(A1881,[13]PRIORIZADOS!$A:$P,16,FALSE)),"")</f>
        <v>Visitas de evaluación con fines de mejoramiento</v>
      </c>
      <c r="Q1881" s="245" t="s">
        <v>413</v>
      </c>
      <c r="R1881" s="11" t="str">
        <f>IFERROR(IF(VLOOKUP(A1881,[13]PRIORIZADOS!$A:$R,18,FALSE)="","",VLOOKUP(A1881,[13]PRIORIZADOS!$A:$R,18,FALSE)),"")</f>
        <v>La institución no ha llevado a cabo la implementación del Decreto 1421 de 2017, ni ha desarrollado la documentación correspondiente para la atención de estudiantes.</v>
      </c>
      <c r="S1881" s="11" t="str">
        <f>IFERROR(IF(VLOOKUP(A1881,[13]PRIORIZADOS!$A:$S,19,FALSE)="","",VLOOKUP(A1881,[13]PRIORIZADOS!$A:$S,19,FALSE)),"")</f>
        <v>Se requiere cualificar y desarrollar estrategias para la adecuada atención de los estudiantes.</v>
      </c>
      <c r="T1881" s="70" t="str">
        <f>IFERROR(IF(VLOOKUP(A1881,[13]PRIORIZADOS!$A:$T,20,FALSE)="","",VLOOKUP(A1881,[13]PRIORIZADOS!$A:$T,20,FALSE)),"")</f>
        <v>Si</v>
      </c>
      <c r="U1881" s="11" t="str">
        <f>IFERROR(IF(VLOOKUP(A1881,[13]PRIORIZADOS!$A:$U,21,FALSE)="","",VLOOKUP(A1881,[13]PRIORIZADOS!$A:$U,21,FALSE)),"")</f>
        <v>El colegio enviará la documentación correspondiente antes del 16 de mayo. Se realizará seguimiento a plan de mejoramiento en vigencia 2026</v>
      </c>
    </row>
    <row r="1882" spans="1:21" s="1" customFormat="1" ht="84">
      <c r="A1882" s="69">
        <f>IF([13]PRIORIZADOS!A45="","",[13]PRIORIZADOS!A45)</f>
        <v>1849</v>
      </c>
      <c r="B1882" s="70">
        <f>IFERROR(IF(VLOOKUP(A1882,[13]PRIORIZADOS!$A:$B,2,FALSE)="","",VLOOKUP(A1882,[13]PRIORIZADOS!$A:$B,2,FALSE)),"")</f>
        <v>5</v>
      </c>
      <c r="C1882" s="11" t="str">
        <f>IFERROR(IF(VLOOKUP(A1882,[13]PRIORIZADOS!$A:$C,3,FALSE)="","",VLOOKUP(A1882,[13]PRIORIZADOS!$A:$C,3,FALSE)),"")</f>
        <v xml:space="preserve">SANTA FE Y CANDELARIA </v>
      </c>
      <c r="D1882" s="11" t="str">
        <f>IFERROR(IF(VLOOKUP(A1882,[13]PRIORIZADOS!$A:$D,4,FALSE)="","",VLOOKUP(A1882,[13]PRIORIZADOS!$A:$D,4,FALSE)),"")</f>
        <v>PRIVADO</v>
      </c>
      <c r="E1882" s="11" t="str">
        <f>IFERROR(IF(VLOOKUP(A1882,[13]PRIORIZADOS!$A:$E,5,FALSE)="","",VLOOKUP(A1882,[13]PRIORIZADOS!$A:$E,5,FALSE)),"")</f>
        <v>EPBM</v>
      </c>
      <c r="F1882" s="11" t="str">
        <f>IFERROR(IF(VLOOKUP(A1882,[13]PRIORIZADOS!$A:$F,6,FALSE)="","",VLOOKUP(A1882,[13]PRIORIZADOS!$A:$F,6,FALSE)),"")</f>
        <v>COLEGIO_DE_SALERNO</v>
      </c>
      <c r="G1882" s="11" t="str">
        <f>IFERROR(IF(VLOOKUP(A1882,[13]PRIORIZADOS!$A:$G,7,FALSE)="","",VLOOKUP(A1882,[13]PRIORIZADOS!$A:$G,7,FALSE)),"")</f>
        <v>COLEGIO DE SALERNO</v>
      </c>
      <c r="H1882" s="11" t="str">
        <f>IFERROR(IF(VLOOKUP(A1882,[13]PRIORIZADOS!$A:$H,8,FALSE)="","",VLOOKUP(A1882,[13]PRIORIZADOS!$A:$H,8,FALSE)),"")</f>
        <v>Autoevaluación Institucional y Pruebas SABER 11</v>
      </c>
      <c r="I1882" s="11" t="str">
        <f>IFERROR(IF(VLOOKUP(A1882,[13]PRIORIZADOS!$A:$I,9,FALSE)="","",VLOOKUP(A1882,[13]PRIORIZADOS!$A:$I,9,FALSE)),"")</f>
        <v>EVALUACIÓN_CON_FINES_DE_MEJORAMIENTO.</v>
      </c>
      <c r="J1882" s="11" t="str">
        <f>IFERROR(IF(VLOOKUP(A1882,[13]PRIORIZADOS!$A:$J,10,FALSE)="","",VLOOKUP(A1882,[13]PRIORIZADOS!$A:$J,10,FALSE)),"")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82" s="11" t="str">
        <f>IFERROR(IF(VLOOKUP(A1882,[13]PRIORIZADOS!$A:$K,11,FALSE)="","",VLOOKUP(A1882,[13]PRIORIZADOS!$A:$K,11,FALSE)),"")</f>
        <v>DAMARIS RUT CÁRDENAS MORENO</v>
      </c>
      <c r="L1882" s="11" t="str">
        <f>IFERROR(IF(VLOOKUP(A1882,[13]PRIORIZADOS!$A:$L,12,FALSE)="","",VLOOKUP(A1882,[13]PRIORIZADOS!$A:$L,12,FALSE)),"")</f>
        <v/>
      </c>
      <c r="M1882" s="71">
        <f>IFERROR(IF(VLOOKUP(A1882,[13]PRIORIZADOS!$A:$M,13,FALSE)="","",VLOOKUP(A1882,[13]PRIORIZADOS!$A:$M,13,FALSE)),"")</f>
        <v>45779</v>
      </c>
      <c r="N1882" s="71">
        <f>IFERROR(IF(VLOOKUP(A1882,[13]PRIORIZADOS!$A:$N,14,FALSE)="","",VLOOKUP(A1882,[13]PRIORIZADOS!$A:$N,14,FALSE)),"")</f>
        <v>45779</v>
      </c>
      <c r="O1882" s="71">
        <f>IFERROR(IF(VLOOKUP(A1882,[13]PRIORIZADOS!$A:$O,15,FALSE)="","",VLOOKUP(A1882,[13]PRIORIZADOS!$A:$O,15,FALSE)),"")</f>
        <v>45779</v>
      </c>
      <c r="P1882" s="11" t="str">
        <f>IFERROR(IF(VLOOKUP(A1882,[13]PRIORIZADOS!$A:$P,16,FALSE)="","",VLOOKUP(A1882,[13]PRIORIZADOS!$A:$P,16,FALSE)),"")</f>
        <v>Visitas de evaluación con fines de mejoramiento</v>
      </c>
      <c r="Q1882" s="122" t="s">
        <v>413</v>
      </c>
      <c r="R1882" s="11" t="str">
        <f>IFERROR(IF(VLOOKUP(A1882,[13]PRIORIZADOS!$A:$R,18,FALSE)="","",VLOOKUP(A1882,[13]PRIORIZADOS!$A:$R,18,FALSE)),"")</f>
        <v>El Manual de Convivencia no fue elaborado de forma participativa con la comunidad educativa, no ha sido cargado en el aplicativo de la DIV y el Comité de Convivencia no funciona de manera adecuada.</v>
      </c>
      <c r="S1882" s="11" t="str">
        <f>IFERROR(IF(VLOOKUP(A1882,[13]PRIORIZADOS!$A:$S,19,FALSE)="","",VLOOKUP(A1882,[13]PRIORIZADOS!$A:$S,19,FALSE)),"")</f>
        <v>Se requiere el envío de la documentación institucional con el fin de llevar a cabo su revisión y proporcionar retroalimentación.</v>
      </c>
      <c r="T1882" s="70" t="str">
        <f>IFERROR(IF(VLOOKUP(A1882,[13]PRIORIZADOS!$A:$T,20,FALSE)="","",VLOOKUP(A1882,[13]PRIORIZADOS!$A:$T,20,FALSE)),"")</f>
        <v>Si</v>
      </c>
      <c r="U1882" s="11" t="str">
        <f>IFERROR(IF(VLOOKUP(A1882,[13]PRIORIZADOS!$A:$U,21,FALSE)="","",VLOOKUP(A1882,[13]PRIORIZADOS!$A:$U,21,FALSE)),"")</f>
        <v>El colegio enviará la documentación correspondiente antes del 9 de mayo. Se realizará seguimiento a plan de mejoramiento en vigencia 2026</v>
      </c>
    </row>
    <row r="1883" spans="1:21" s="1" customFormat="1" ht="72">
      <c r="A1883" s="69">
        <f>IF([13]PRIORIZADOS!A46="","",[13]PRIORIZADOS!A46)</f>
        <v>1850</v>
      </c>
      <c r="B1883" s="70">
        <f>IFERROR(IF(VLOOKUP(A1883,[13]PRIORIZADOS!$A:$B,2,FALSE)="","",VLOOKUP(A1883,[13]PRIORIZADOS!$A:$B,2,FALSE)),"")</f>
        <v>5</v>
      </c>
      <c r="C1883" s="11" t="str">
        <f>IFERROR(IF(VLOOKUP(A1883,[13]PRIORIZADOS!$A:$C,3,FALSE)="","",VLOOKUP(A1883,[13]PRIORIZADOS!$A:$C,3,FALSE)),"")</f>
        <v xml:space="preserve">SANTA FE Y CANDELARIA </v>
      </c>
      <c r="D1883" s="11" t="str">
        <f>IFERROR(IF(VLOOKUP(A1883,[13]PRIORIZADOS!$A:$D,4,FALSE)="","",VLOOKUP(A1883,[13]PRIORIZADOS!$A:$D,4,FALSE)),"")</f>
        <v>PRIVADO</v>
      </c>
      <c r="E1883" s="11" t="str">
        <f>IFERROR(IF(VLOOKUP(A1883,[13]PRIORIZADOS!$A:$E,5,FALSE)="","",VLOOKUP(A1883,[13]PRIORIZADOS!$A:$E,5,FALSE)),"")</f>
        <v>EPBM</v>
      </c>
      <c r="F1883" s="11" t="str">
        <f>IFERROR(IF(VLOOKUP(A1883,[13]PRIORIZADOS!$A:$F,6,FALSE)="","",VLOOKUP(A1883,[13]PRIORIZADOS!$A:$F,6,FALSE)),"")</f>
        <v>COLEGIO_DE_SALERNO</v>
      </c>
      <c r="G1883" s="11" t="str">
        <f>IFERROR(IF(VLOOKUP(A1883,[13]PRIORIZADOS!$A:$G,7,FALSE)="","",VLOOKUP(A1883,[13]PRIORIZADOS!$A:$G,7,FALSE)),"")</f>
        <v>COLEGIO DE SALERNO</v>
      </c>
      <c r="H1883" s="11" t="str">
        <f>IFERROR(IF(VLOOKUP(A1883,[13]PRIORIZADOS!$A:$H,8,FALSE)="","",VLOOKUP(A1883,[13]PRIORIZADOS!$A:$H,8,FALSE)),"")</f>
        <v>Autoevaluación Institucional y Pruebas SABER 11</v>
      </c>
      <c r="I1883" s="11" t="str">
        <f>IFERROR(IF(VLOOKUP(A1883,[13]PRIORIZADOS!$A:$I,9,FALSE)="","",VLOOKUP(A1883,[13]PRIORIZADOS!$A:$I,9,FALSE)),"")</f>
        <v>EVALUACIÓN_CON_FINES_DE_MEJORAMIENTO.</v>
      </c>
      <c r="J1883" s="11" t="str">
        <f>IFERROR(IF(VLOOKUP(A1883,[13]PRIORIZADOS!$A:$J,10,FALSE)="","",VLOOKUP(A1883,[13]PRIORIZADOS!$A:$J,10,FALSE)),"")</f>
        <v>Revisar la actualización, socialización e implementación del Sistema Institucional de Evaluación de Estudiantes - SIEE, en articulación con la actualización del PEI y la normatividad vigente.</v>
      </c>
      <c r="K1883" s="11" t="str">
        <f>IFERROR(IF(VLOOKUP(A1883,[13]PRIORIZADOS!$A:$K,11,FALSE)="","",VLOOKUP(A1883,[13]PRIORIZADOS!$A:$K,11,FALSE)),"")</f>
        <v>DAMARIS RUT CÁRDENAS MORENO</v>
      </c>
      <c r="L1883" s="11" t="str">
        <f>IFERROR(IF(VLOOKUP(A1883,[13]PRIORIZADOS!$A:$L,12,FALSE)="","",VLOOKUP(A1883,[13]PRIORIZADOS!$A:$L,12,FALSE)),"")</f>
        <v/>
      </c>
      <c r="M1883" s="71">
        <f>IFERROR(IF(VLOOKUP(A1883,[13]PRIORIZADOS!$A:$M,13,FALSE)="","",VLOOKUP(A1883,[13]PRIORIZADOS!$A:$M,13,FALSE)),"")</f>
        <v>45779</v>
      </c>
      <c r="N1883" s="71">
        <f>IFERROR(IF(VLOOKUP(A1883,[13]PRIORIZADOS!$A:$N,14,FALSE)="","",VLOOKUP(A1883,[13]PRIORIZADOS!$A:$N,14,FALSE)),"")</f>
        <v>45779</v>
      </c>
      <c r="O1883" s="71">
        <f>IFERROR(IF(VLOOKUP(A1883,[13]PRIORIZADOS!$A:$O,15,FALSE)="","",VLOOKUP(A1883,[13]PRIORIZADOS!$A:$O,15,FALSE)),"")</f>
        <v>45779</v>
      </c>
      <c r="P1883" s="11" t="str">
        <f>IFERROR(IF(VLOOKUP(A1883,[13]PRIORIZADOS!$A:$P,16,FALSE)="","",VLOOKUP(A1883,[13]PRIORIZADOS!$A:$P,16,FALSE)),"")</f>
        <v>Visitas de evaluación con fines de mejoramiento</v>
      </c>
      <c r="Q1883" s="245" t="s">
        <v>413</v>
      </c>
      <c r="R1883" s="11" t="str">
        <f>IFERROR(IF(VLOOKUP(A1883,[13]PRIORIZADOS!$A:$R,18,FALSE)="","",VLOOKUP(A1883,[13]PRIORIZADOS!$A:$R,18,FALSE)),"")</f>
        <v>Los documentos no fueron elaborados ni actualizados en conjunto con la comunidad escolar. Si bien existe registro del SIEE, los procesos correspondientes no están debidamente documentados, al igual que los planes de estudio.</v>
      </c>
      <c r="S1883" s="11" t="str">
        <f>IFERROR(IF(VLOOKUP(A1883,[13]PRIORIZADOS!$A:$S,19,FALSE)="","",VLOOKUP(A1883,[13]PRIORIZADOS!$A:$S,19,FALSE)),"")</f>
        <v>Realizar ajustes en el plan de estudios y la malla curricular conforme a la normatividad vigente, fortalecer los procesos de seguimiento y apoyo para la superación de dificultades académicas, y documentar todas las acciones realizadas.</v>
      </c>
      <c r="T1883" s="70" t="str">
        <f>IFERROR(IF(VLOOKUP(A1883,[13]PRIORIZADOS!$A:$T,20,FALSE)="","",VLOOKUP(A1883,[13]PRIORIZADOS!$A:$T,20,FALSE)),"")</f>
        <v>Si</v>
      </c>
      <c r="U1883" s="11" t="str">
        <f>IFERROR(IF(VLOOKUP(A1883,[13]PRIORIZADOS!$A:$U,21,FALSE)="","",VLOOKUP(A1883,[13]PRIORIZADOS!$A:$U,21,FALSE)),"")</f>
        <v>El colegio enviará la documentación correspondiente antes del 16 de mayo. Se realizará seguimiento a plan de mejoramiento en vigencia 2026</v>
      </c>
    </row>
    <row r="1884" spans="1:21" s="1" customFormat="1" ht="48">
      <c r="A1884" s="69">
        <f>IF([13]PRIORIZADOS!A47="","",[13]PRIORIZADOS!A47)</f>
        <v>1851</v>
      </c>
      <c r="B1884" s="70">
        <f>IFERROR(IF(VLOOKUP(A1884,[13]PRIORIZADOS!$A:$B,2,FALSE)="","",VLOOKUP(A1884,[13]PRIORIZADOS!$A:$B,2,FALSE)),"")</f>
        <v>5</v>
      </c>
      <c r="C1884" s="11" t="str">
        <f>IFERROR(IF(VLOOKUP(A1884,[13]PRIORIZADOS!$A:$C,3,FALSE)="","",VLOOKUP(A1884,[13]PRIORIZADOS!$A:$C,3,FALSE)),"")</f>
        <v xml:space="preserve">SANTA FE Y CANDELARIA </v>
      </c>
      <c r="D1884" s="11" t="str">
        <f>IFERROR(IF(VLOOKUP(A1884,[13]PRIORIZADOS!$A:$D,4,FALSE)="","",VLOOKUP(A1884,[13]PRIORIZADOS!$A:$D,4,FALSE)),"")</f>
        <v>PRIVADO</v>
      </c>
      <c r="E1884" s="11" t="str">
        <f>IFERROR(IF(VLOOKUP(A1884,[13]PRIORIZADOS!$A:$E,5,FALSE)="","",VLOOKUP(A1884,[13]PRIORIZADOS!$A:$E,5,FALSE)),"")</f>
        <v>EPBM</v>
      </c>
      <c r="F1884" s="11" t="str">
        <f>IFERROR(IF(VLOOKUP(A1884,[13]PRIORIZADOS!$A:$F,6,FALSE)="","",VLOOKUP(A1884,[13]PRIORIZADOS!$A:$F,6,FALSE)),"")</f>
        <v>COLEGIO_DE_SALERNO</v>
      </c>
      <c r="G1884" s="11" t="str">
        <f>IFERROR(IF(VLOOKUP(A1884,[13]PRIORIZADOS!$A:$G,7,FALSE)="","",VLOOKUP(A1884,[13]PRIORIZADOS!$A:$G,7,FALSE)),"")</f>
        <v>COLEGIO DE SALERNO</v>
      </c>
      <c r="H1884" s="11" t="str">
        <f>IFERROR(IF(VLOOKUP(A1884,[13]PRIORIZADOS!$A:$H,8,FALSE)="","",VLOOKUP(A1884,[13]PRIORIZADOS!$A:$H,8,FALSE)),"")</f>
        <v>Autoevaluación Institucional y Pruebas SABER 11</v>
      </c>
      <c r="I1884" s="11" t="str">
        <f>IFERROR(IF(VLOOKUP(A1884,[13]PRIORIZADOS!$A:$I,9,FALSE)="","",VLOOKUP(A1884,[13]PRIORIZADOS!$A:$I,9,FALSE)),"")</f>
        <v>EVALUACIÓN_CON_FINES_DE_MEJORAMIENTO.</v>
      </c>
      <c r="J1884" s="11" t="str">
        <f>IFERROR(IF(VLOOKUP(A1884,[13]PRIORIZADOS!$A:$J,10,FALSE)="","",VLOOKUP(A1884,[13]PRIORIZADOS!$A:$J,10,FALSE)),"")</f>
        <v>Revisar el calendario escolar, jornada escolar, la intensidad horaria mínima anual en cada nivel y las modificaciones que se realicen al mismo, de acuerdo con lo previsto en la normatividad vigente.</v>
      </c>
      <c r="K1884" s="11" t="str">
        <f>IFERROR(IF(VLOOKUP(A1884,[13]PRIORIZADOS!$A:$K,11,FALSE)="","",VLOOKUP(A1884,[13]PRIORIZADOS!$A:$K,11,FALSE)),"")</f>
        <v>DAMARIS RUT CÁRDENAS MORENO</v>
      </c>
      <c r="L1884" s="11" t="str">
        <f>IFERROR(IF(VLOOKUP(A1884,[13]PRIORIZADOS!$A:$L,12,FALSE)="","",VLOOKUP(A1884,[13]PRIORIZADOS!$A:$L,12,FALSE)),"")</f>
        <v/>
      </c>
      <c r="M1884" s="71">
        <f>IFERROR(IF(VLOOKUP(A1884,[13]PRIORIZADOS!$A:$M,13,FALSE)="","",VLOOKUP(A1884,[13]PRIORIZADOS!$A:$M,13,FALSE)),"")</f>
        <v>45779</v>
      </c>
      <c r="N1884" s="71">
        <f>IFERROR(IF(VLOOKUP(A1884,[13]PRIORIZADOS!$A:$N,14,FALSE)="","",VLOOKUP(A1884,[13]PRIORIZADOS!$A:$N,14,FALSE)),"")</f>
        <v>45779</v>
      </c>
      <c r="O1884" s="71">
        <f>IFERROR(IF(VLOOKUP(A1884,[13]PRIORIZADOS!$A:$O,15,FALSE)="","",VLOOKUP(A1884,[13]PRIORIZADOS!$A:$O,15,FALSE)),"")</f>
        <v>45779</v>
      </c>
      <c r="P1884" s="11" t="str">
        <f>IFERROR(IF(VLOOKUP(A1884,[13]PRIORIZADOS!$A:$P,16,FALSE)="","",VLOOKUP(A1884,[13]PRIORIZADOS!$A:$P,16,FALSE)),"")</f>
        <v>Visitas de evaluación con fines de mejoramiento</v>
      </c>
      <c r="Q1884" s="122" t="s">
        <v>413</v>
      </c>
      <c r="R1884" s="11" t="str">
        <f>IFERROR(IF(VLOOKUP(A1884,[13]PRIORIZADOS!$A:$R,18,FALSE)="","",VLOOKUP(A1884,[13]PRIORIZADOS!$A:$R,18,FALSE)),"")</f>
        <v>El documento no ha sido elaborado de manera adecuada. El calendario escolar se verifica conforme a lo reportado en el aplicativo EVI.</v>
      </c>
      <c r="S1884" s="11" t="str">
        <f>IFERROR(IF(VLOOKUP(A1884,[13]PRIORIZADOS!$A:$S,19,FALSE)="","",VLOOKUP(A1884,[13]PRIORIZADOS!$A:$S,19,FALSE)),"")</f>
        <v xml:space="preserve">Se solicita desarrollar y enviar la documentación. </v>
      </c>
      <c r="T1884" s="70" t="str">
        <f>IFERROR(IF(VLOOKUP(A1884,[13]PRIORIZADOS!$A:$T,20,FALSE)="","",VLOOKUP(A1884,[13]PRIORIZADOS!$A:$T,20,FALSE)),"")</f>
        <v>Si</v>
      </c>
      <c r="U1884" s="11" t="str">
        <f>IFERROR(IF(VLOOKUP(A1884,[13]PRIORIZADOS!$A:$U,21,FALSE)="","",VLOOKUP(A1884,[13]PRIORIZADOS!$A:$U,21,FALSE)),"")</f>
        <v>El colegio enviará la documentación correspondiente antes del 9 de mayo. Se realizará seguimiento a plan de mejoramiento en vigencia 2026</v>
      </c>
    </row>
    <row r="1885" spans="1:21" s="1" customFormat="1" ht="72">
      <c r="A1885" s="69">
        <f>IF([13]PRIORIZADOS!A48="","",[13]PRIORIZADOS!A48)</f>
        <v>1852</v>
      </c>
      <c r="B1885" s="70">
        <f>IFERROR(IF(VLOOKUP(A1885,[13]PRIORIZADOS!$A:$B,2,FALSE)="","",VLOOKUP(A1885,[13]PRIORIZADOS!$A:$B,2,FALSE)),"")</f>
        <v>5</v>
      </c>
      <c r="C1885" s="11" t="str">
        <f>IFERROR(IF(VLOOKUP(A1885,[13]PRIORIZADOS!$A:$C,3,FALSE)="","",VLOOKUP(A1885,[13]PRIORIZADOS!$A:$C,3,FALSE)),"")</f>
        <v xml:space="preserve">SANTA FE Y CANDELARIA </v>
      </c>
      <c r="D1885" s="11" t="str">
        <f>IFERROR(IF(VLOOKUP(A1885,[13]PRIORIZADOS!$A:$D,4,FALSE)="","",VLOOKUP(A1885,[13]PRIORIZADOS!$A:$D,4,FALSE)),"")</f>
        <v>PRIVADO</v>
      </c>
      <c r="E1885" s="11" t="str">
        <f>IFERROR(IF(VLOOKUP(A1885,[13]PRIORIZADOS!$A:$E,5,FALSE)="","",VLOOKUP(A1885,[13]PRIORIZADOS!$A:$E,5,FALSE)),"")</f>
        <v>EPBM</v>
      </c>
      <c r="F1885" s="11" t="str">
        <f>IFERROR(IF(VLOOKUP(A1885,[13]PRIORIZADOS!$A:$F,6,FALSE)="","",VLOOKUP(A1885,[13]PRIORIZADOS!$A:$F,6,FALSE)),"")</f>
        <v>COLEGIO_DE_SALERNO</v>
      </c>
      <c r="G1885" s="11" t="str">
        <f>IFERROR(IF(VLOOKUP(A1885,[13]PRIORIZADOS!$A:$G,7,FALSE)="","",VLOOKUP(A1885,[13]PRIORIZADOS!$A:$G,7,FALSE)),"")</f>
        <v>COLEGIO DE SALERNO</v>
      </c>
      <c r="H1885" s="11" t="str">
        <f>IFERROR(IF(VLOOKUP(A1885,[13]PRIORIZADOS!$A:$H,8,FALSE)="","",VLOOKUP(A1885,[13]PRIORIZADOS!$A:$H,8,FALSE)),"")</f>
        <v>Autoevaluación Institucional y Pruebas SABER 11</v>
      </c>
      <c r="I1885" s="11" t="str">
        <f>IFERROR(IF(VLOOKUP(A1885,[13]PRIORIZADOS!$A:$I,9,FALSE)="","",VLOOKUP(A1885,[13]PRIORIZADOS!$A:$I,9,FALSE)),"")</f>
        <v>EVALUACIÓN_CON_FINES_DE_MEJORAMIENTO.</v>
      </c>
      <c r="J1885" s="11" t="str">
        <f>IFERROR(IF(VLOOKUP(A1885,[13]PRIORIZADOS!$A:$J,10,FALSE)="","",VLOOKUP(A1885,[13]PRIORIZADOS!$A:$J,10,FALSE)),"")</f>
        <v>Verificar el funcionamiento del Gobierno Escolar e instancias de participación con base en la información sobre conformación reportada por la institución educativa.</v>
      </c>
      <c r="K1885" s="11" t="str">
        <f>IFERROR(IF(VLOOKUP(A1885,[13]PRIORIZADOS!$A:$K,11,FALSE)="","",VLOOKUP(A1885,[13]PRIORIZADOS!$A:$K,11,FALSE)),"")</f>
        <v>DAMARIS RUT CÁRDENAS MORENO</v>
      </c>
      <c r="L1885" s="11" t="str">
        <f>IFERROR(IF(VLOOKUP(A1885,[13]PRIORIZADOS!$A:$L,12,FALSE)="","",VLOOKUP(A1885,[13]PRIORIZADOS!$A:$L,12,FALSE)),"")</f>
        <v/>
      </c>
      <c r="M1885" s="71">
        <f>IFERROR(IF(VLOOKUP(A1885,[13]PRIORIZADOS!$A:$M,13,FALSE)="","",VLOOKUP(A1885,[13]PRIORIZADOS!$A:$M,13,FALSE)),"")</f>
        <v>45779</v>
      </c>
      <c r="N1885" s="71">
        <f>IFERROR(IF(VLOOKUP(A1885,[13]PRIORIZADOS!$A:$N,14,FALSE)="","",VLOOKUP(A1885,[13]PRIORIZADOS!$A:$N,14,FALSE)),"")</f>
        <v>45779</v>
      </c>
      <c r="O1885" s="71">
        <f>IFERROR(IF(VLOOKUP(A1885,[13]PRIORIZADOS!$A:$O,15,FALSE)="","",VLOOKUP(A1885,[13]PRIORIZADOS!$A:$O,15,FALSE)),"")</f>
        <v>45779</v>
      </c>
      <c r="P1885" s="11" t="str">
        <f>IFERROR(IF(VLOOKUP(A1885,[13]PRIORIZADOS!$A:$P,16,FALSE)="","",VLOOKUP(A1885,[13]PRIORIZADOS!$A:$P,16,FALSE)),"")</f>
        <v>Visitas de evaluación con fines de mejoramiento</v>
      </c>
      <c r="Q1885" s="122" t="s">
        <v>413</v>
      </c>
      <c r="R1885" s="11" t="str">
        <f>IFERROR(IF(VLOOKUP(A1885,[13]PRIORIZADOS!$A:$R,18,FALSE)="","",VLOOKUP(A1885,[13]PRIORIZADOS!$A:$R,18,FALSE)),"")</f>
        <v>Las actas no fueron cargadas a aplicativo SAE, aunque existen documentos de evidencia de conformación de gobierno escolar.</v>
      </c>
      <c r="S1885" s="11" t="str">
        <f>IFERROR(IF(VLOOKUP(A1885,[13]PRIORIZADOS!$A:$S,19,FALSE)="","",VLOOKUP(A1885,[13]PRIORIZADOS!$A:$S,19,FALSE)),"")</f>
        <v>Se requiere allegar la documentación y elaborar el cronograma anual de actividades de los distintos estamentos del gobierno escolar. Asimismo, se proporciona información para la carga de datos en el aplicativo correspondiente.</v>
      </c>
      <c r="T1885" s="70" t="str">
        <f>IFERROR(IF(VLOOKUP(A1885,[13]PRIORIZADOS!$A:$T,20,FALSE)="","",VLOOKUP(A1885,[13]PRIORIZADOS!$A:$T,20,FALSE)),"")</f>
        <v>Si</v>
      </c>
      <c r="U1885" s="11" t="str">
        <f>IFERROR(IF(VLOOKUP(A1885,[13]PRIORIZADOS!$A:$U,21,FALSE)="","",VLOOKUP(A1885,[13]PRIORIZADOS!$A:$U,21,FALSE)),"")</f>
        <v>El colegio enviará la documentación correspondiente antes del 9 de mayo. Se realizará seguimiento a plan de mejoramiento en vigencia 2026</v>
      </c>
    </row>
    <row r="1886" spans="1:21" s="1" customFormat="1" ht="84">
      <c r="A1886" s="69">
        <f>IF([13]PRIORIZADOS!A49="","",[13]PRIORIZADOS!A49)</f>
        <v>1853</v>
      </c>
      <c r="B1886" s="70">
        <f>IFERROR(IF(VLOOKUP(A1886,[13]PRIORIZADOS!$A:$B,2,FALSE)="","",VLOOKUP(A1886,[13]PRIORIZADOS!$A:$B,2,FALSE)),"")</f>
        <v>5</v>
      </c>
      <c r="C1886" s="11" t="str">
        <f>IFERROR(IF(VLOOKUP(A1886,[13]PRIORIZADOS!$A:$C,3,FALSE)="","",VLOOKUP(A1886,[13]PRIORIZADOS!$A:$C,3,FALSE)),"")</f>
        <v xml:space="preserve">SANTA FE Y CANDELARIA </v>
      </c>
      <c r="D1886" s="11" t="str">
        <f>IFERROR(IF(VLOOKUP(A1886,[13]PRIORIZADOS!$A:$D,4,FALSE)="","",VLOOKUP(A1886,[13]PRIORIZADOS!$A:$D,4,FALSE)),"")</f>
        <v>PRIVADO</v>
      </c>
      <c r="E1886" s="11" t="str">
        <f>IFERROR(IF(VLOOKUP(A1886,[13]PRIORIZADOS!$A:$E,5,FALSE)="","",VLOOKUP(A1886,[13]PRIORIZADOS!$A:$E,5,FALSE)),"")</f>
        <v>EPBM</v>
      </c>
      <c r="F1886" s="11" t="str">
        <f>IFERROR(IF(VLOOKUP(A1886,[13]PRIORIZADOS!$A:$F,6,FALSE)="","",VLOOKUP(A1886,[13]PRIORIZADOS!$A:$F,6,FALSE)),"")</f>
        <v>COLEGIO_DE_SALERNO</v>
      </c>
      <c r="G1886" s="11" t="str">
        <f>IFERROR(IF(VLOOKUP(A1886,[13]PRIORIZADOS!$A:$G,7,FALSE)="","",VLOOKUP(A1886,[13]PRIORIZADOS!$A:$G,7,FALSE)),"")</f>
        <v>COLEGIO DE SALERNO</v>
      </c>
      <c r="H1886" s="11" t="str">
        <f>IFERROR(IF(VLOOKUP(A1886,[13]PRIORIZADOS!$A:$H,8,FALSE)="","",VLOOKUP(A1886,[13]PRIORIZADOS!$A:$H,8,FALSE)),"")</f>
        <v>Autoevaluación Institucional y Pruebas SABER 11</v>
      </c>
      <c r="I1886" s="11" t="str">
        <f>IFERROR(IF(VLOOKUP(A1886,[13]PRIORIZADOS!$A:$I,9,FALSE)="","",VLOOKUP(A1886,[13]PRIORIZADOS!$A:$I,9,FALSE)),"")</f>
        <v>EVALUACIÓN_CON_FINES_DE_MEJORAMIENTO.</v>
      </c>
      <c r="J1886" s="11" t="str">
        <f>IFERROR(IF(VLOOKUP(A1886,[13]PRIORIZADOS!$A:$J,10,FALSE)="","",VLOOKUP(A1886,[13]PRIORIZADOS!$A:$J,10,FALSE)),"")</f>
        <v>Verificar las condiciones en cuanto a: la estructura administrativa, condiciones de la planta física y medios educativos adecuados.</v>
      </c>
      <c r="K1886" s="11" t="str">
        <f>IFERROR(IF(VLOOKUP(A1886,[13]PRIORIZADOS!$A:$K,11,FALSE)="","",VLOOKUP(A1886,[13]PRIORIZADOS!$A:$K,11,FALSE)),"")</f>
        <v>DAMARIS RUT CÁRDENAS MORENO</v>
      </c>
      <c r="L1886" s="11" t="str">
        <f>IFERROR(IF(VLOOKUP(A1886,[13]PRIORIZADOS!$A:$L,12,FALSE)="","",VLOOKUP(A1886,[13]PRIORIZADOS!$A:$L,12,FALSE)),"")</f>
        <v/>
      </c>
      <c r="M1886" s="71">
        <f>IFERROR(IF(VLOOKUP(A1886,[13]PRIORIZADOS!$A:$M,13,FALSE)="","",VLOOKUP(A1886,[13]PRIORIZADOS!$A:$M,13,FALSE)),"")</f>
        <v>45779</v>
      </c>
      <c r="N1886" s="71">
        <f>IFERROR(IF(VLOOKUP(A1886,[13]PRIORIZADOS!$A:$N,14,FALSE)="","",VLOOKUP(A1886,[13]PRIORIZADOS!$A:$N,14,FALSE)),"")</f>
        <v>45779</v>
      </c>
      <c r="O1886" s="71">
        <f>IFERROR(IF(VLOOKUP(A1886,[13]PRIORIZADOS!$A:$O,15,FALSE)="","",VLOOKUP(A1886,[13]PRIORIZADOS!$A:$O,15,FALSE)),"")</f>
        <v>45779</v>
      </c>
      <c r="P1886" s="11" t="str">
        <f>IFERROR(IF(VLOOKUP(A1886,[13]PRIORIZADOS!$A:$P,16,FALSE)="","",VLOOKUP(A1886,[13]PRIORIZADOS!$A:$P,16,FALSE)),"")</f>
        <v>Visitas de evaluación con fines de mejoramiento</v>
      </c>
      <c r="Q1886" s="122" t="s">
        <v>413</v>
      </c>
      <c r="R1886" s="11" t="str">
        <f>IFERROR(IF(VLOOKUP(A1886,[13]PRIORIZADOS!$A:$R,18,FALSE)="","",VLOOKUP(A1886,[13]PRIORIZADOS!$A:$R,18,FALSE)),"")</f>
        <v>Solo se llevó a cabo la visita a una de las sedes. El espacio es funcional; sin embargo, requiere mejoras en el acceso para personas con discapacidad, los baños, el mantenimiento de la infraestructura, el mobiliario y la señalización.</v>
      </c>
      <c r="S1886" s="11" t="str">
        <f>IFERROR(IF(VLOOKUP(A1886,[13]PRIORIZADOS!$A:$S,19,FALSE)="","",VLOOKUP(A1886,[13]PRIORIZADOS!$A:$S,19,FALSE)),"")</f>
        <v>Se requiere proyectar adaptaciones para la población con discapacidad.</v>
      </c>
      <c r="T1886" s="70" t="str">
        <f>IFERROR(IF(VLOOKUP(A1886,[13]PRIORIZADOS!$A:$T,20,FALSE)="","",VLOOKUP(A1886,[13]PRIORIZADOS!$A:$T,20,FALSE)),"")</f>
        <v>Si</v>
      </c>
      <c r="U1886" s="11" t="str">
        <f>IFERROR(IF(VLOOKUP(A1886,[13]PRIORIZADOS!$A:$U,21,FALSE)="","",VLOOKUP(A1886,[13]PRIORIZADOS!$A:$U,21,FALSE)),"")</f>
        <v>Se enviará un oficio desde ELIV solicitando el plan de acción para julio de 2025.Se realizará seguimiento a plan de mejoramiento en vigencia 2026</v>
      </c>
    </row>
    <row r="1887" spans="1:21" s="1" customFormat="1" ht="84">
      <c r="A1887" s="69">
        <f>IF([13]PRIORIZADOS!A50="","",[13]PRIORIZADOS!A50)</f>
        <v>1854</v>
      </c>
      <c r="B1887" s="70">
        <f>IFERROR(IF(VLOOKUP(A1887,[13]PRIORIZADOS!$A:$B,2,FALSE)="","",VLOOKUP(A1887,[13]PRIORIZADOS!$A:$B,2,FALSE)),"")</f>
        <v>6</v>
      </c>
      <c r="C1887" s="11" t="str">
        <f>IFERROR(IF(VLOOKUP(A1887,[13]PRIORIZADOS!$A:$C,3,FALSE)="","",VLOOKUP(A1887,[13]PRIORIZADOS!$A:$C,3,FALSE)),"")</f>
        <v xml:space="preserve">SANTA FE Y CANDELARIA </v>
      </c>
      <c r="D1887" s="11" t="str">
        <f>IFERROR(IF(VLOOKUP(A1887,[13]PRIORIZADOS!$A:$D,4,FALSE)="","",VLOOKUP(A1887,[13]PRIORIZADOS!$A:$D,4,FALSE)),"")</f>
        <v>PRIVADO</v>
      </c>
      <c r="E1887" s="11" t="str">
        <f>IFERROR(IF(VLOOKUP(A1887,[13]PRIORIZADOS!$A:$E,5,FALSE)="","",VLOOKUP(A1887,[13]PRIORIZADOS!$A:$E,5,FALSE)),"")</f>
        <v>EPBM</v>
      </c>
      <c r="F1887" s="11" t="str">
        <f>IFERROR(IF(VLOOKUP(A1887,[13]PRIORIZADOS!$A:$F,6,FALSE)="","",VLOOKUP(A1887,[13]PRIORIZADOS!$A:$F,6,FALSE)),"")</f>
        <v>COLEGIO_LOS_ANGELES</v>
      </c>
      <c r="G1887" s="11" t="str">
        <f>IFERROR(IF(VLOOKUP(A1887,[13]PRIORIZADOS!$A:$G,7,FALSE)="","",VLOOKUP(A1887,[13]PRIORIZADOS!$A:$G,7,FALSE)),"")</f>
        <v>COLEGIO LOS ANGELES</v>
      </c>
      <c r="H1887" s="11" t="str">
        <f>IFERROR(IF(VLOOKUP(A1887,[13]PRIORIZADOS!$A:$H,8,FALSE)="","",VLOOKUP(A1887,[13]PRIORIZADOS!$A:$H,8,FALSE)),"")</f>
        <v>Convivencia escolar</v>
      </c>
      <c r="I1887" s="11" t="str">
        <f>IFERROR(IF(VLOOKUP(A1887,[13]PRIORIZADOS!$A:$I,9,FALSE)="","",VLOOKUP(A1887,[13]PRIORIZADOS!$A:$I,9,FALSE)),"")</f>
        <v>SEGUIMIENTO_Y_SUPERVISIÓN.</v>
      </c>
      <c r="J1887" s="11" t="str">
        <f>IFERROR(IF(VLOOKUP(A1887,[13]PRIORIZADOS!$A:$J,10,FALSE)="","",VLOOKUP(A1887,[13]PRIORIZADOS!$A:$J,10,FALSE)),"")</f>
        <v>Realizar visitas para verificar la información registrada sobre la autoevaluación institucional en el aplicativo EVI, a los establecimientos de educación formal no oficial.</v>
      </c>
      <c r="K1887" s="11" t="str">
        <f>IFERROR(IF(VLOOKUP(A1887,[13]PRIORIZADOS!$A:$K,11,FALSE)="","",VLOOKUP(A1887,[13]PRIORIZADOS!$A:$K,11,FALSE)),"")</f>
        <v>DAMARIS RUT CÁRDENAS MORENO</v>
      </c>
      <c r="L1887" s="11" t="str">
        <f>IFERROR(IF(VLOOKUP(A1887,[13]PRIORIZADOS!$A:$L,12,FALSE)="","",VLOOKUP(A1887,[13]PRIORIZADOS!$A:$L,12,FALSE)),"")</f>
        <v xml:space="preserve">JORGE WILLIAM BONILLA ROMERO </v>
      </c>
      <c r="M1887" s="71">
        <f>IFERROR(IF(VLOOKUP(A1887,[13]PRIORIZADOS!$A:$M,13,FALSE)="","",VLOOKUP(A1887,[13]PRIORIZADOS!$A:$M,13,FALSE)),"")</f>
        <v>45783</v>
      </c>
      <c r="N1887" s="71">
        <f>IFERROR(IF(VLOOKUP(A1887,[13]PRIORIZADOS!$A:$N,14,FALSE)="","",VLOOKUP(A1887,[13]PRIORIZADOS!$A:$N,14,FALSE)),"")</f>
        <v>45783</v>
      </c>
      <c r="O1887" s="71">
        <f>IFERROR(IF(VLOOKUP(A1887,[13]PRIORIZADOS!$A:$O,15,FALSE)="","",VLOOKUP(A1887,[13]PRIORIZADOS!$A:$O,15,FALSE)),"")</f>
        <v>45783</v>
      </c>
      <c r="P1887" s="11" t="str">
        <f>IFERROR(IF(VLOOKUP(A1887,[13]PRIORIZADOS!$A:$P,16,FALSE)="","",VLOOKUP(A1887,[13]PRIORIZADOS!$A:$P,16,FALSE)),"")</f>
        <v>Visitas de evaluación con fines de mejoramiento</v>
      </c>
      <c r="Q1887" s="246" t="s">
        <v>414</v>
      </c>
      <c r="R1887" s="11" t="str">
        <f>IFERROR(IF(VLOOKUP(A1887,[13]PRIORIZADOS!$A:$R,18,FALSE)="","",VLOOKUP(A1887,[13]PRIORIZADOS!$A:$R,18,FALSE)),"")</f>
        <v>El colegio no cuenta con información registrada en el aplicativo EVI debido a que la sede actual no se encuentra legalizada. La última resolución emitida corresponde al año 2014.</v>
      </c>
      <c r="S1887" s="11" t="str">
        <f>IFERROR(IF(VLOOKUP(A1887,[13]PRIORIZADOS!$A:$S,19,FALSE)="","",VLOOKUP(A1887,[13]PRIORIZADOS!$A:$S,19,FALSE)),"")</f>
        <v>Se requiere efectuar una revisión documental que permita analizar la factibilidad de modificar la licencia de funcionamiento por motivo de cambio de sede. De concretarse dicho trámite, podrá realizarse la actualización correspondiente de las tarifas institucionales.</v>
      </c>
      <c r="T1887" s="70" t="str">
        <f>IFERROR(IF(VLOOKUP(A1887,[13]PRIORIZADOS!$A:$T,20,FALSE)="","",VLOOKUP(A1887,[13]PRIORIZADOS!$A:$T,20,FALSE)),"")</f>
        <v>No</v>
      </c>
      <c r="U1887" s="11" t="str">
        <f>IFERROR(IF(VLOOKUP(A1887,[13]PRIORIZADOS!$A:$U,21,FALSE)="","",VLOOKUP(A1887,[13]PRIORIZADOS!$A:$U,21,FALSE)),"")</f>
        <v>ELIV realizará un proceso de revisión documental para analizar la factibilidad de modificar la licencia de funcionamiento por cambio de sede. En caso de que el trámite sea aprobado, se procederá con la actualización respectiva de las tarifas.</v>
      </c>
    </row>
    <row r="1888" spans="1:21" s="1" customFormat="1" ht="96">
      <c r="A1888" s="69">
        <f>IF([13]PRIORIZADOS!A51="","",[13]PRIORIZADOS!A51)</f>
        <v>1855</v>
      </c>
      <c r="B1888" s="70">
        <f>IFERROR(IF(VLOOKUP(A1888,[13]PRIORIZADOS!$A:$B,2,FALSE)="","",VLOOKUP(A1888,[13]PRIORIZADOS!$A:$B,2,FALSE)),"")</f>
        <v>6</v>
      </c>
      <c r="C1888" s="11" t="str">
        <f>IFERROR(IF(VLOOKUP(A1888,[13]PRIORIZADOS!$A:$C,3,FALSE)="","",VLOOKUP(A1888,[13]PRIORIZADOS!$A:$C,3,FALSE)),"")</f>
        <v xml:space="preserve">SANTA FE Y CANDELARIA </v>
      </c>
      <c r="D1888" s="11" t="str">
        <f>IFERROR(IF(VLOOKUP(A1888,[13]PRIORIZADOS!$A:$D,4,FALSE)="","",VLOOKUP(A1888,[13]PRIORIZADOS!$A:$D,4,FALSE)),"")</f>
        <v>PRIVADO</v>
      </c>
      <c r="E1888" s="11" t="str">
        <f>IFERROR(IF(VLOOKUP(A1888,[13]PRIORIZADOS!$A:$E,5,FALSE)="","",VLOOKUP(A1888,[13]PRIORIZADOS!$A:$E,5,FALSE)),"")</f>
        <v>EPBM</v>
      </c>
      <c r="F1888" s="11" t="str">
        <f>IFERROR(IF(VLOOKUP(A1888,[13]PRIORIZADOS!$A:$F,6,FALSE)="","",VLOOKUP(A1888,[13]PRIORIZADOS!$A:$F,6,FALSE)),"")</f>
        <v>COLEGIO_LOS_ANGELES</v>
      </c>
      <c r="G1888" s="11" t="str">
        <f>IFERROR(IF(VLOOKUP(A1888,[13]PRIORIZADOS!$A:$G,7,FALSE)="","",VLOOKUP(A1888,[13]PRIORIZADOS!$A:$G,7,FALSE)),"")</f>
        <v>COLEGIO LOS ANGELES</v>
      </c>
      <c r="H1888" s="11" t="str">
        <f>IFERROR(IF(VLOOKUP(A1888,[13]PRIORIZADOS!$A:$H,8,FALSE)="","",VLOOKUP(A1888,[13]PRIORIZADOS!$A:$H,8,FALSE)),"")</f>
        <v>Convivencia escolar</v>
      </c>
      <c r="I1888" s="11" t="str">
        <f>IFERROR(IF(VLOOKUP(A1888,[13]PRIORIZADOS!$A:$I,9,FALSE)="","",VLOOKUP(A1888,[13]PRIORIZADOS!$A:$I,9,FALSE)),"")</f>
        <v>SEGUIMIENTO_Y_SUPERVISIÓN.</v>
      </c>
      <c r="J1888" s="11" t="str">
        <f>IFERROR(IF(VLOOKUP(A1888,[13]PRIORIZADOS!$A:$J,10,FALSE)="","",VLOOKUP(A1888,[13]PRIORIZADOS!$A:$J,10,FALSE)),"")</f>
        <v>Proponer estrategias en la formulación, verificar su elaboración y realizar seguimiento semestral al desarrollo de  las acciones establecidas en los planes de mejoramiento por pruebas SABER 11 de los establecimientos de educación formal.</v>
      </c>
      <c r="K1888" s="11" t="str">
        <f>IFERROR(IF(VLOOKUP(A1888,[13]PRIORIZADOS!$A:$K,11,FALSE)="","",VLOOKUP(A1888,[13]PRIORIZADOS!$A:$K,11,FALSE)),"")</f>
        <v>DAMARIS RUT CÁRDENAS MORENO</v>
      </c>
      <c r="L1888" s="11" t="str">
        <f>IFERROR(IF(VLOOKUP(A1888,[13]PRIORIZADOS!$A:$L,12,FALSE)="","",VLOOKUP(A1888,[13]PRIORIZADOS!$A:$L,12,FALSE)),"")</f>
        <v xml:space="preserve">JORGE WILLIAM BONILLA ROMERO </v>
      </c>
      <c r="M1888" s="71">
        <f>IFERROR(IF(VLOOKUP(A1888,[13]PRIORIZADOS!$A:$M,13,FALSE)="","",VLOOKUP(A1888,[13]PRIORIZADOS!$A:$M,13,FALSE)),"")</f>
        <v>45783</v>
      </c>
      <c r="N1888" s="71">
        <f>IFERROR(IF(VLOOKUP(A1888,[13]PRIORIZADOS!$A:$N,14,FALSE)="","",VLOOKUP(A1888,[13]PRIORIZADOS!$A:$N,14,FALSE)),"")</f>
        <v>45783</v>
      </c>
      <c r="O1888" s="71">
        <f>IFERROR(IF(VLOOKUP(A1888,[13]PRIORIZADOS!$A:$O,15,FALSE)="","",VLOOKUP(A1888,[13]PRIORIZADOS!$A:$O,15,FALSE)),"")</f>
        <v>45783</v>
      </c>
      <c r="P1888" s="11" t="str">
        <f>IFERROR(IF(VLOOKUP(A1888,[13]PRIORIZADOS!$A:$P,16,FALSE)="","",VLOOKUP(A1888,[13]PRIORIZADOS!$A:$P,16,FALSE)),"")</f>
        <v>Visitas de evaluación con fines de mejoramiento</v>
      </c>
      <c r="Q1888" s="122" t="s">
        <v>414</v>
      </c>
      <c r="R1888" s="11" t="str">
        <f>IFERROR(IF(VLOOKUP(A1888,[13]PRIORIZADOS!$A:$R,18,FALSE)="","",VLOOKUP(A1888,[13]PRIORIZADOS!$A:$R,18,FALSE)),"")</f>
        <v>Con el acompañamiento de una empresa externa, la institución educativa desarrolla actividades de análisis, seguimiento y fortalecimiento de los resultados en las Pruebas Saber.</v>
      </c>
      <c r="S1888" s="11" t="str">
        <f>IFERROR(IF(VLOOKUP(A1888,[13]PRIORIZADOS!$A:$S,19,FALSE)="","",VLOOKUP(A1888,[13]PRIORIZADOS!$A:$S,19,FALSE)),"")</f>
        <v>Es indispensable que las estrategias actuales relacionadas con las Pruebas Saber sean discutidas y aprobadas por los órganos de gobierno escolar: consejo académico, consejo directivo y demás instancias pertinentes, dejando registro de dichas decisiones en actas debidamente formalizadas.</v>
      </c>
      <c r="T1888" s="70" t="str">
        <f>IFERROR(IF(VLOOKUP(A1888,[13]PRIORIZADOS!$A:$T,20,FALSE)="","",VLOOKUP(A1888,[13]PRIORIZADOS!$A:$T,20,FALSE)),"")</f>
        <v>No</v>
      </c>
      <c r="U1888" s="11" t="str">
        <f>IFERROR(IF(VLOOKUP(A1888,[13]PRIORIZADOS!$A:$U,21,FALSE)="","",VLOOKUP(A1888,[13]PRIORIZADOS!$A:$U,21,FALSE)),"")</f>
        <v>El viernes 17 de mayo, el colegio presentará el informe de las actividades desarrolladas por los diferentes estamentos del gobierno escolar.</v>
      </c>
    </row>
    <row r="1889" spans="1:21" s="1" customFormat="1" ht="60">
      <c r="A1889" s="69">
        <f>IF([13]PRIORIZADOS!A52="","",[13]PRIORIZADOS!A52)</f>
        <v>1856</v>
      </c>
      <c r="B1889" s="70">
        <f>IFERROR(IF(VLOOKUP(A1889,[13]PRIORIZADOS!$A:$B,2,FALSE)="","",VLOOKUP(A1889,[13]PRIORIZADOS!$A:$B,2,FALSE)),"")</f>
        <v>6</v>
      </c>
      <c r="C1889" s="11" t="str">
        <f>IFERROR(IF(VLOOKUP(A1889,[13]PRIORIZADOS!$A:$C,3,FALSE)="","",VLOOKUP(A1889,[13]PRIORIZADOS!$A:$C,3,FALSE)),"")</f>
        <v xml:space="preserve">SANTA FE Y CANDELARIA </v>
      </c>
      <c r="D1889" s="11" t="str">
        <f>IFERROR(IF(VLOOKUP(A1889,[13]PRIORIZADOS!$A:$D,4,FALSE)="","",VLOOKUP(A1889,[13]PRIORIZADOS!$A:$D,4,FALSE)),"")</f>
        <v>PRIVADO</v>
      </c>
      <c r="E1889" s="11" t="str">
        <f>IFERROR(IF(VLOOKUP(A1889,[13]PRIORIZADOS!$A:$E,5,FALSE)="","",VLOOKUP(A1889,[13]PRIORIZADOS!$A:$E,5,FALSE)),"")</f>
        <v>EPBM</v>
      </c>
      <c r="F1889" s="11" t="str">
        <f>IFERROR(IF(VLOOKUP(A1889,[13]PRIORIZADOS!$A:$F,6,FALSE)="","",VLOOKUP(A1889,[13]PRIORIZADOS!$A:$F,6,FALSE)),"")</f>
        <v>COLEGIO_LOS_ANGELES</v>
      </c>
      <c r="G1889" s="11" t="str">
        <f>IFERROR(IF(VLOOKUP(A1889,[13]PRIORIZADOS!$A:$G,7,FALSE)="","",VLOOKUP(A1889,[13]PRIORIZADOS!$A:$G,7,FALSE)),"")</f>
        <v>COLEGIO LOS ANGELES</v>
      </c>
      <c r="H1889" s="11" t="str">
        <f>IFERROR(IF(VLOOKUP(A1889,[13]PRIORIZADOS!$A:$H,8,FALSE)="","",VLOOKUP(A1889,[13]PRIORIZADOS!$A:$H,8,FALSE)),"")</f>
        <v>Convivencia escolar</v>
      </c>
      <c r="I1889" s="11" t="str">
        <f>IFERROR(IF(VLOOKUP(A1889,[13]PRIORIZADOS!$A:$I,9,FALSE)="","",VLOOKUP(A1889,[13]PRIORIZADOS!$A:$I,9,FALSE)),"")</f>
        <v>SEGUIMIENTO_Y_SUPERVISIÓN.</v>
      </c>
      <c r="J1889" s="11" t="str">
        <f>IFERROR(IF(VLOOKUP(A1889,[13]PRIORIZADOS!$A:$J,10,FALSE)="","",VLOOKUP(A1889,[13]PRIORIZADOS!$A:$J,10,FALSE)),"")</f>
        <v xml:space="preserve">Verificar la implementación por parte de los colegios, de acciones realizadas para la prevención y atención de las situaciones de convivencia en el entorno escolar, según lo establecido en la Directiva 01 de 2022 del MEN. </v>
      </c>
      <c r="K1889" s="11" t="str">
        <f>IFERROR(IF(VLOOKUP(A1889,[13]PRIORIZADOS!$A:$K,11,FALSE)="","",VLOOKUP(A1889,[13]PRIORIZADOS!$A:$K,11,FALSE)),"")</f>
        <v>DAMARIS RUT CÁRDENAS MORENO</v>
      </c>
      <c r="L1889" s="11" t="str">
        <f>IFERROR(IF(VLOOKUP(A1889,[13]PRIORIZADOS!$A:$L,12,FALSE)="","",VLOOKUP(A1889,[13]PRIORIZADOS!$A:$L,12,FALSE)),"")</f>
        <v xml:space="preserve">JORGE WILLIAM BONILLA ROMERO </v>
      </c>
      <c r="M1889" s="71">
        <f>IFERROR(IF(VLOOKUP(A1889,[13]PRIORIZADOS!$A:$M,13,FALSE)="","",VLOOKUP(A1889,[13]PRIORIZADOS!$A:$M,13,FALSE)),"")</f>
        <v>45783</v>
      </c>
      <c r="N1889" s="71">
        <f>IFERROR(IF(VLOOKUP(A1889,[13]PRIORIZADOS!$A:$N,14,FALSE)="","",VLOOKUP(A1889,[13]PRIORIZADOS!$A:$N,14,FALSE)),"")</f>
        <v>45783</v>
      </c>
      <c r="O1889" s="71">
        <f>IFERROR(IF(VLOOKUP(A1889,[13]PRIORIZADOS!$A:$O,15,FALSE)="","",VLOOKUP(A1889,[13]PRIORIZADOS!$A:$O,15,FALSE)),"")</f>
        <v>45783</v>
      </c>
      <c r="P1889" s="11" t="str">
        <f>IFERROR(IF(VLOOKUP(A1889,[13]PRIORIZADOS!$A:$P,16,FALSE)="","",VLOOKUP(A1889,[13]PRIORIZADOS!$A:$P,16,FALSE)),"")</f>
        <v>Visitas de evaluación con fines de mejoramiento</v>
      </c>
      <c r="Q1889" s="122" t="s">
        <v>414</v>
      </c>
      <c r="R1889" s="11" t="str">
        <f>IFERROR(IF(VLOOKUP(A1889,[13]PRIORIZADOS!$A:$R,18,FALSE)="","",VLOOKUP(A1889,[13]PRIORIZADOS!$A:$R,18,FALSE)),"")</f>
        <v>La institución educativa indica que no tiene conocimiento suficiente sobre la Directiva 001, motivo por el cual no ha adelantado las consultas ni las acciones asociadas a su implementación.</v>
      </c>
      <c r="S1889" s="11" t="str">
        <f>IFERROR(IF(VLOOKUP(A1889,[13]PRIORIZADOS!$A:$S,19,FALSE)="","",VLOOKUP(A1889,[13]PRIORIZADOS!$A:$S,19,FALSE)),"")</f>
        <v>Consultar y socializar la información con todo el personal de la comunidad educativa, dejando constancia del proceso mediante la documentación de soporte respectiva.</v>
      </c>
      <c r="T1889" s="70" t="str">
        <f>IFERROR(IF(VLOOKUP(A1889,[13]PRIORIZADOS!$A:$T,20,FALSE)="","",VLOOKUP(A1889,[13]PRIORIZADOS!$A:$T,20,FALSE)),"")</f>
        <v>No</v>
      </c>
      <c r="U1889" s="11" t="str">
        <f>IFERROR(IF(VLOOKUP(A1889,[13]PRIORIZADOS!$A:$U,21,FALSE)="","",VLOOKUP(A1889,[13]PRIORIZADOS!$A:$U,21,FALSE)),"")</f>
        <v>No se asigna elaboración de plan de mejoramiento puesto que a la fecha la institución no está funcionando en sede con licencia de funcionamiento, por lo cual es necesario que  el colegio legalice el cambio de sede realizado.</v>
      </c>
    </row>
    <row r="1890" spans="1:21" s="1" customFormat="1" ht="72">
      <c r="A1890" s="69">
        <f>IF([13]PRIORIZADOS!A53="","",[13]PRIORIZADOS!A53)</f>
        <v>1857</v>
      </c>
      <c r="B1890" s="70">
        <f>IFERROR(IF(VLOOKUP(A1890,[13]PRIORIZADOS!$A:$B,2,FALSE)="","",VLOOKUP(A1890,[13]PRIORIZADOS!$A:$B,2,FALSE)),"")</f>
        <v>6</v>
      </c>
      <c r="C1890" s="11" t="str">
        <f>IFERROR(IF(VLOOKUP(A1890,[13]PRIORIZADOS!$A:$C,3,FALSE)="","",VLOOKUP(A1890,[13]PRIORIZADOS!$A:$C,3,FALSE)),"")</f>
        <v xml:space="preserve">SANTA FE Y CANDELARIA </v>
      </c>
      <c r="D1890" s="11" t="str">
        <f>IFERROR(IF(VLOOKUP(A1890,[13]PRIORIZADOS!$A:$D,4,FALSE)="","",VLOOKUP(A1890,[13]PRIORIZADOS!$A:$D,4,FALSE)),"")</f>
        <v>PRIVADO</v>
      </c>
      <c r="E1890" s="11" t="str">
        <f>IFERROR(IF(VLOOKUP(A1890,[13]PRIORIZADOS!$A:$E,5,FALSE)="","",VLOOKUP(A1890,[13]PRIORIZADOS!$A:$E,5,FALSE)),"")</f>
        <v>EPBM</v>
      </c>
      <c r="F1890" s="11" t="str">
        <f>IFERROR(IF(VLOOKUP(A1890,[13]PRIORIZADOS!$A:$F,6,FALSE)="","",VLOOKUP(A1890,[13]PRIORIZADOS!$A:$F,6,FALSE)),"")</f>
        <v>COLEGIO_LOS_ANGELES</v>
      </c>
      <c r="G1890" s="11" t="str">
        <f>IFERROR(IF(VLOOKUP(A1890,[13]PRIORIZADOS!$A:$G,7,FALSE)="","",VLOOKUP(A1890,[13]PRIORIZADOS!$A:$G,7,FALSE)),"")</f>
        <v>COLEGIO LOS ANGELES</v>
      </c>
      <c r="H1890" s="11" t="str">
        <f>IFERROR(IF(VLOOKUP(A1890,[13]PRIORIZADOS!$A:$H,8,FALSE)="","",VLOOKUP(A1890,[13]PRIORIZADOS!$A:$H,8,FALSE)),"")</f>
        <v>Convivencia escolar</v>
      </c>
      <c r="I1890" s="11" t="str">
        <f>IFERROR(IF(VLOOKUP(A1890,[13]PRIORIZADOS!$A:$I,9,FALSE)="","",VLOOKUP(A1890,[13]PRIORIZADOS!$A:$I,9,FALSE)),"")</f>
        <v>SEGUIMIENTO_Y_SUPERVISIÓN.</v>
      </c>
      <c r="J1890" s="11" t="str">
        <f>IFERROR(IF(VLOOKUP(A1890,[13]PRIORIZADOS!$A:$J,10,FALSE)="","",VLOOKUP(A1890,[13]PRIORIZADOS!$A:$J,10,FALSE)),"")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90" s="11" t="str">
        <f>IFERROR(IF(VLOOKUP(A1890,[13]PRIORIZADOS!$A:$K,11,FALSE)="","",VLOOKUP(A1890,[13]PRIORIZADOS!$A:$K,11,FALSE)),"")</f>
        <v>DAMARIS RUT CÁRDENAS MORENO</v>
      </c>
      <c r="L1890" s="11" t="str">
        <f>IFERROR(IF(VLOOKUP(A1890,[13]PRIORIZADOS!$A:$L,12,FALSE)="","",VLOOKUP(A1890,[13]PRIORIZADOS!$A:$L,12,FALSE)),"")</f>
        <v xml:space="preserve">JORGE WILLIAM BONILLA ROMERO </v>
      </c>
      <c r="M1890" s="71">
        <f>IFERROR(IF(VLOOKUP(A1890,[13]PRIORIZADOS!$A:$M,13,FALSE)="","",VLOOKUP(A1890,[13]PRIORIZADOS!$A:$M,13,FALSE)),"")</f>
        <v>45783</v>
      </c>
      <c r="N1890" s="71">
        <f>IFERROR(IF(VLOOKUP(A1890,[13]PRIORIZADOS!$A:$N,14,FALSE)="","",VLOOKUP(A1890,[13]PRIORIZADOS!$A:$N,14,FALSE)),"")</f>
        <v>45783</v>
      </c>
      <c r="O1890" s="71">
        <f>IFERROR(IF(VLOOKUP(A1890,[13]PRIORIZADOS!$A:$O,15,FALSE)="","",VLOOKUP(A1890,[13]PRIORIZADOS!$A:$O,15,FALSE)),"")</f>
        <v>45783</v>
      </c>
      <c r="P1890" s="11" t="str">
        <f>IFERROR(IF(VLOOKUP(A1890,[13]PRIORIZADOS!$A:$P,16,FALSE)="","",VLOOKUP(A1890,[13]PRIORIZADOS!$A:$P,16,FALSE)),"")</f>
        <v>Visitas de evaluación con fines de mejoramiento</v>
      </c>
      <c r="Q1890" s="242" t="s">
        <v>414</v>
      </c>
      <c r="R1890" s="11" t="str">
        <f>IFERROR(IF(VLOOKUP(A1890,[13]PRIORIZADOS!$A:$R,18,FALSE)="","",VLOOKUP(A1890,[13]PRIORIZADOS!$A:$R,18,FALSE)),"")</f>
        <v>La institución educativa no cuenta, a la fecha, con registros de estudiantes que presenten presunción de trastornos del aprendizaje ni de condición de discapacidad.</v>
      </c>
      <c r="S1890" s="11" t="str">
        <f>IFERROR(IF(VLOOKUP(A1890,[13]PRIORIZADOS!$A:$S,19,FALSE)="","",VLOOKUP(A1890,[13]PRIORIZADOS!$A:$S,19,FALSE)),"")</f>
        <v>Se requiere analizar el Decreto 1421 y garantizar la correcta implementación del servicio de orientación escolar conforme a sus disposiciones.</v>
      </c>
      <c r="T1890" s="70" t="str">
        <f>IFERROR(IF(VLOOKUP(A1890,[13]PRIORIZADOS!$A:$T,20,FALSE)="","",VLOOKUP(A1890,[13]PRIORIZADOS!$A:$T,20,FALSE)),"")</f>
        <v>No</v>
      </c>
      <c r="U1890" s="11" t="str">
        <f>IFERROR(IF(VLOOKUP(A1890,[13]PRIORIZADOS!$A:$U,21,FALSE)="","",VLOOKUP(A1890,[13]PRIORIZADOS!$A:$U,21,FALSE)),"")</f>
        <v>No se asigna elaboración de plan de mejoramiento puesto que a la fecha la institución no está funcionando en sede con licencia de funcionamiento, por lo cual es necesario que  el colegio legalice el cambio de sede realizado.</v>
      </c>
    </row>
    <row r="1891" spans="1:21" s="1" customFormat="1" ht="118.5">
      <c r="A1891" s="69">
        <f>IF([13]PRIORIZADOS!A54="","",[13]PRIORIZADOS!A54)</f>
        <v>1858</v>
      </c>
      <c r="B1891" s="70">
        <f>IFERROR(IF(VLOOKUP(A1891,[13]PRIORIZADOS!$A:$B,2,FALSE)="","",VLOOKUP(A1891,[13]PRIORIZADOS!$A:$B,2,FALSE)),"")</f>
        <v>6</v>
      </c>
      <c r="C1891" s="11" t="str">
        <f>IFERROR(IF(VLOOKUP(A1891,[13]PRIORIZADOS!$A:$C,3,FALSE)="","",VLOOKUP(A1891,[13]PRIORIZADOS!$A:$C,3,FALSE)),"")</f>
        <v xml:space="preserve">SANTA FE Y CANDELARIA </v>
      </c>
      <c r="D1891" s="11" t="str">
        <f>IFERROR(IF(VLOOKUP(A1891,[13]PRIORIZADOS!$A:$D,4,FALSE)="","",VLOOKUP(A1891,[13]PRIORIZADOS!$A:$D,4,FALSE)),"")</f>
        <v>PRIVADO</v>
      </c>
      <c r="E1891" s="11" t="str">
        <f>IFERROR(IF(VLOOKUP(A1891,[13]PRIORIZADOS!$A:$E,5,FALSE)="","",VLOOKUP(A1891,[13]PRIORIZADOS!$A:$E,5,FALSE)),"")</f>
        <v>EPBM</v>
      </c>
      <c r="F1891" s="11" t="str">
        <f>IFERROR(IF(VLOOKUP(A1891,[13]PRIORIZADOS!$A:$F,6,FALSE)="","",VLOOKUP(A1891,[13]PRIORIZADOS!$A:$F,6,FALSE)),"")</f>
        <v>COLEGIO_LOS_ANGELES</v>
      </c>
      <c r="G1891" s="11" t="str">
        <f>IFERROR(IF(VLOOKUP(A1891,[13]PRIORIZADOS!$A:$G,7,FALSE)="","",VLOOKUP(A1891,[13]PRIORIZADOS!$A:$G,7,FALSE)),"")</f>
        <v>COLEGIO LOS ANGELES</v>
      </c>
      <c r="H1891" s="11" t="str">
        <f>IFERROR(IF(VLOOKUP(A1891,[13]PRIORIZADOS!$A:$H,8,FALSE)="","",VLOOKUP(A1891,[13]PRIORIZADOS!$A:$H,8,FALSE)),"")</f>
        <v>Convivencia escolar</v>
      </c>
      <c r="I1891" s="11" t="str">
        <f>IFERROR(IF(VLOOKUP(A1891,[13]PRIORIZADOS!$A:$I,9,FALSE)="","",VLOOKUP(A1891,[13]PRIORIZADOS!$A:$I,9,FALSE)),"")</f>
        <v>EVALUACIÓN_CON_FINES_DE_MEJORAMIENTO.</v>
      </c>
      <c r="J1891" s="11" t="str">
        <f>IFERROR(IF(VLOOKUP(A1891,[13]PRIORIZADOS!$A:$J,10,FALSE)="","",VLOOKUP(A1891,[13]PRIORIZADOS!$A:$J,10,FALSE)),"")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891" s="11" t="str">
        <f>IFERROR(IF(VLOOKUP(A1891,[13]PRIORIZADOS!$A:$K,11,FALSE)="","",VLOOKUP(A1891,[13]PRIORIZADOS!$A:$K,11,FALSE)),"")</f>
        <v>DAMARIS RUT CÁRDENAS MORENO</v>
      </c>
      <c r="L1891" s="11" t="str">
        <f>IFERROR(IF(VLOOKUP(A1891,[13]PRIORIZADOS!$A:$L,12,FALSE)="","",VLOOKUP(A1891,[13]PRIORIZADOS!$A:$L,12,FALSE)),"")</f>
        <v xml:space="preserve">JORGE WILLIAM BONILLA ROMERO </v>
      </c>
      <c r="M1891" s="71">
        <f>IFERROR(IF(VLOOKUP(A1891,[13]PRIORIZADOS!$A:$M,13,FALSE)="","",VLOOKUP(A1891,[13]PRIORIZADOS!$A:$M,13,FALSE)),"")</f>
        <v>45783</v>
      </c>
      <c r="N1891" s="71">
        <f>IFERROR(IF(VLOOKUP(A1891,[13]PRIORIZADOS!$A:$N,14,FALSE)="","",VLOOKUP(A1891,[13]PRIORIZADOS!$A:$N,14,FALSE)),"")</f>
        <v>45783</v>
      </c>
      <c r="O1891" s="71">
        <f>IFERROR(IF(VLOOKUP(A1891,[13]PRIORIZADOS!$A:$O,15,FALSE)="","",VLOOKUP(A1891,[13]PRIORIZADOS!$A:$O,15,FALSE)),"")</f>
        <v>45783</v>
      </c>
      <c r="P1891" s="11" t="str">
        <f>IFERROR(IF(VLOOKUP(A1891,[13]PRIORIZADOS!$A:$P,16,FALSE)="","",VLOOKUP(A1891,[13]PRIORIZADOS!$A:$P,16,FALSE)),"")</f>
        <v>Visitas de evaluación con fines de mejoramiento</v>
      </c>
      <c r="Q1891" s="243" t="s">
        <v>414</v>
      </c>
      <c r="R1891" s="11" t="str">
        <f>IFERROR(IF(VLOOKUP(A1891,[13]PRIORIZADOS!$A:$R,18,FALSE)="","",VLOOKUP(A1891,[13]PRIORIZADOS!$A:$R,18,FALSE)),"")</f>
        <v>Actualmente, el manual de convivencia está siendo revisado y actualizado únicamente por los docentes, sin participación del resto de la comunidad educativa. El colegio no dispone de acceso al Sistema de Alertas, lo que limita la elaboración de reportes de incidentes. Además, no se ha evidenciado la conformación formal del Comité de Convivencia Escolar.</v>
      </c>
      <c r="S1891" s="11" t="str">
        <f>IFERROR(IF(VLOOKUP(A1891,[13]PRIORIZADOS!$A:$S,19,FALSE)="","",VLOOKUP(A1891,[13]PRIORIZADOS!$A:$S,19,FALSE)),"")</f>
        <v>Construir el documento de manera colaborativa con todos los integrantes de la comunidad educativa, considerando la normativa vigente, especialmente la Ley 1620 de 2013 y el Directorio de Protocolos de Atención para la convivencia escolar, para garantizar su correcta aplicación.</v>
      </c>
      <c r="T1891" s="70" t="str">
        <f>IFERROR(IF(VLOOKUP(A1891,[13]PRIORIZADOS!$A:$T,20,FALSE)="","",VLOOKUP(A1891,[13]PRIORIZADOS!$A:$T,20,FALSE)),"")</f>
        <v>No</v>
      </c>
      <c r="U1891" s="11" t="str">
        <f>IFERROR(IF(VLOOKUP(A1891,[13]PRIORIZADOS!$A:$U,21,FALSE)="","",VLOOKUP(A1891,[13]PRIORIZADOS!$A:$U,21,FALSE)),"")</f>
        <v>Con fecha límite del viernes 17 de mayo, la institución educativa presentará las acciones y actividades ejecutadas por los estamentos que conforman el gobierno escolar.</v>
      </c>
    </row>
    <row r="1892" spans="1:21" s="1" customFormat="1" ht="107.25">
      <c r="A1892" s="69">
        <f>IF([13]PRIORIZADOS!A55="","",[13]PRIORIZADOS!A55)</f>
        <v>1859</v>
      </c>
      <c r="B1892" s="70">
        <f>IFERROR(IF(VLOOKUP(A1892,[13]PRIORIZADOS!$A:$B,2,FALSE)="","",VLOOKUP(A1892,[13]PRIORIZADOS!$A:$B,2,FALSE)),"")</f>
        <v>6</v>
      </c>
      <c r="C1892" s="11" t="str">
        <f>IFERROR(IF(VLOOKUP(A1892,[13]PRIORIZADOS!$A:$C,3,FALSE)="","",VLOOKUP(A1892,[13]PRIORIZADOS!$A:$C,3,FALSE)),"")</f>
        <v xml:space="preserve">SANTA FE Y CANDELARIA </v>
      </c>
      <c r="D1892" s="11" t="str">
        <f>IFERROR(IF(VLOOKUP(A1892,[13]PRIORIZADOS!$A:$D,4,FALSE)="","",VLOOKUP(A1892,[13]PRIORIZADOS!$A:$D,4,FALSE)),"")</f>
        <v>PRIVADO</v>
      </c>
      <c r="E1892" s="11" t="str">
        <f>IFERROR(IF(VLOOKUP(A1892,[13]PRIORIZADOS!$A:$E,5,FALSE)="","",VLOOKUP(A1892,[13]PRIORIZADOS!$A:$E,5,FALSE)),"")</f>
        <v>EPBM</v>
      </c>
      <c r="F1892" s="11" t="str">
        <f>IFERROR(IF(VLOOKUP(A1892,[13]PRIORIZADOS!$A:$F,6,FALSE)="","",VLOOKUP(A1892,[13]PRIORIZADOS!$A:$F,6,FALSE)),"")</f>
        <v>COLEGIO_LOS_ANGELES</v>
      </c>
      <c r="G1892" s="11" t="str">
        <f>IFERROR(IF(VLOOKUP(A1892,[13]PRIORIZADOS!$A:$G,7,FALSE)="","",VLOOKUP(A1892,[13]PRIORIZADOS!$A:$G,7,FALSE)),"")</f>
        <v>COLEGIO LOS ANGELES</v>
      </c>
      <c r="H1892" s="11" t="str">
        <f>IFERROR(IF(VLOOKUP(A1892,[13]PRIORIZADOS!$A:$H,8,FALSE)="","",VLOOKUP(A1892,[13]PRIORIZADOS!$A:$H,8,FALSE)),"")</f>
        <v>Convivencia escolar</v>
      </c>
      <c r="I1892" s="11" t="str">
        <f>IFERROR(IF(VLOOKUP(A1892,[13]PRIORIZADOS!$A:$I,9,FALSE)="","",VLOOKUP(A1892,[13]PRIORIZADOS!$A:$I,9,FALSE)),"")</f>
        <v>EVALUACIÓN_CON_FINES_DE_MEJORAMIENTO.</v>
      </c>
      <c r="J1892" s="11" t="str">
        <f>IFERROR(IF(VLOOKUP(A1892,[13]PRIORIZADOS!$A:$J,10,FALSE)="","",VLOOKUP(A1892,[13]PRIORIZADOS!$A:$J,10,FALSE)),"")</f>
        <v>Revisar la actualización, socialización e implementación del Sistema Institucional de Evaluación de Estudiantes - SIEE, en articulación con la actualización del PEI y la normatividad vigente.</v>
      </c>
      <c r="K1892" s="11" t="str">
        <f>IFERROR(IF(VLOOKUP(A1892,[13]PRIORIZADOS!$A:$K,11,FALSE)="","",VLOOKUP(A1892,[13]PRIORIZADOS!$A:$K,11,FALSE)),"")</f>
        <v>DAMARIS RUT CÁRDENAS MORENO</v>
      </c>
      <c r="L1892" s="11" t="str">
        <f>IFERROR(IF(VLOOKUP(A1892,[13]PRIORIZADOS!$A:$L,12,FALSE)="","",VLOOKUP(A1892,[13]PRIORIZADOS!$A:$L,12,FALSE)),"")</f>
        <v xml:space="preserve">JORGE WILLIAM BONILLA ROMERO </v>
      </c>
      <c r="M1892" s="71">
        <f>IFERROR(IF(VLOOKUP(A1892,[13]PRIORIZADOS!$A:$M,13,FALSE)="","",VLOOKUP(A1892,[13]PRIORIZADOS!$A:$M,13,FALSE)),"")</f>
        <v>45783</v>
      </c>
      <c r="N1892" s="71">
        <f>IFERROR(IF(VLOOKUP(A1892,[13]PRIORIZADOS!$A:$N,14,FALSE)="","",VLOOKUP(A1892,[13]PRIORIZADOS!$A:$N,14,FALSE)),"")</f>
        <v>45783</v>
      </c>
      <c r="O1892" s="71">
        <f>IFERROR(IF(VLOOKUP(A1892,[13]PRIORIZADOS!$A:$O,15,FALSE)="","",VLOOKUP(A1892,[13]PRIORIZADOS!$A:$O,15,FALSE)),"")</f>
        <v>45783</v>
      </c>
      <c r="P1892" s="11" t="str">
        <f>IFERROR(IF(VLOOKUP(A1892,[13]PRIORIZADOS!$A:$P,16,FALSE)="","",VLOOKUP(A1892,[13]PRIORIZADOS!$A:$P,16,FALSE)),"")</f>
        <v>Visitas de evaluación con fines de mejoramiento</v>
      </c>
      <c r="Q1892" s="243" t="s">
        <v>414</v>
      </c>
      <c r="R1892" s="11" t="str">
        <f>IFERROR(IF(VLOOKUP(A1892,[13]PRIORIZADOS!$A:$R,18,FALSE)="","",VLOOKUP(A1892,[13]PRIORIZADOS!$A:$R,18,FALSE)),"")</f>
        <v>Aunque el informe de notas presenta registros evidenciados, el documento SIEE carece de una descripción clara y específica de las estrategias de mejoramiento ante dificultades académicas. Asimismo, aunque se mencionan actividades de nivelación, el proceso para su implementación no está claramente definido.</v>
      </c>
      <c r="S1892" s="11" t="str">
        <f>IFERROR(IF(VLOOKUP(A1892,[13]PRIORIZADOS!$A:$S,19,FALSE)="","",VLOOKUP(A1892,[13]PRIORIZADOS!$A:$S,19,FALSE)),"")</f>
        <v>Fortalecer y describir de manera específica en el SIEE las estrategias de acompañamiento a situaciones académicas con dificultades, los procesos de nivelación, los tiempos y la generación de formatos que permitan la documentación de dichos procesos.</v>
      </c>
      <c r="T1892" s="70" t="str">
        <f>IFERROR(IF(VLOOKUP(A1892,[13]PRIORIZADOS!$A:$T,20,FALSE)="","",VLOOKUP(A1892,[13]PRIORIZADOS!$A:$T,20,FALSE)),"")</f>
        <v>No</v>
      </c>
      <c r="U1892" s="11" t="str">
        <f>IFERROR(IF(VLOOKUP(A1892,[13]PRIORIZADOS!$A:$U,21,FALSE)="","",VLOOKUP(A1892,[13]PRIORIZADOS!$A:$U,21,FALSE)),"")</f>
        <v>No se asigna elaboración de plan de mejoramiento puesto que a la fecha la institución no está funcionando en sede con licencia de funcionamiento, por lo cual es necesario que  el colegio legalice el cambio de sede realizado.</v>
      </c>
    </row>
    <row r="1893" spans="1:21" s="1" customFormat="1" ht="60">
      <c r="A1893" s="69">
        <f>IF([13]PRIORIZADOS!A56="","",[13]PRIORIZADOS!A56)</f>
        <v>1860</v>
      </c>
      <c r="B1893" s="70">
        <f>IFERROR(IF(VLOOKUP(A1893,[13]PRIORIZADOS!$A:$B,2,FALSE)="","",VLOOKUP(A1893,[13]PRIORIZADOS!$A:$B,2,FALSE)),"")</f>
        <v>6</v>
      </c>
      <c r="C1893" s="11" t="str">
        <f>IFERROR(IF(VLOOKUP(A1893,[13]PRIORIZADOS!$A:$C,3,FALSE)="","",VLOOKUP(A1893,[13]PRIORIZADOS!$A:$C,3,FALSE)),"")</f>
        <v xml:space="preserve">SANTA FE Y CANDELARIA </v>
      </c>
      <c r="D1893" s="11" t="str">
        <f>IFERROR(IF(VLOOKUP(A1893,[13]PRIORIZADOS!$A:$D,4,FALSE)="","",VLOOKUP(A1893,[13]PRIORIZADOS!$A:$D,4,FALSE)),"")</f>
        <v>PRIVADO</v>
      </c>
      <c r="E1893" s="11" t="str">
        <f>IFERROR(IF(VLOOKUP(A1893,[13]PRIORIZADOS!$A:$E,5,FALSE)="","",VLOOKUP(A1893,[13]PRIORIZADOS!$A:$E,5,FALSE)),"")</f>
        <v>EPBM</v>
      </c>
      <c r="F1893" s="11" t="str">
        <f>IFERROR(IF(VLOOKUP(A1893,[13]PRIORIZADOS!$A:$F,6,FALSE)="","",VLOOKUP(A1893,[13]PRIORIZADOS!$A:$F,6,FALSE)),"")</f>
        <v>COLEGIO_LOS_ANGELES</v>
      </c>
      <c r="G1893" s="11" t="str">
        <f>IFERROR(IF(VLOOKUP(A1893,[13]PRIORIZADOS!$A:$G,7,FALSE)="","",VLOOKUP(A1893,[13]PRIORIZADOS!$A:$G,7,FALSE)),"")</f>
        <v>COLEGIO LOS ANGELES</v>
      </c>
      <c r="H1893" s="11" t="str">
        <f>IFERROR(IF(VLOOKUP(A1893,[13]PRIORIZADOS!$A:$H,8,FALSE)="","",VLOOKUP(A1893,[13]PRIORIZADOS!$A:$H,8,FALSE)),"")</f>
        <v>Convivencia escolar</v>
      </c>
      <c r="I1893" s="11" t="str">
        <f>IFERROR(IF(VLOOKUP(A1893,[13]PRIORIZADOS!$A:$I,9,FALSE)="","",VLOOKUP(A1893,[13]PRIORIZADOS!$A:$I,9,FALSE)),"")</f>
        <v>EVALUACIÓN_CON_FINES_DE_MEJORAMIENTO.</v>
      </c>
      <c r="J1893" s="11" t="str">
        <f>IFERROR(IF(VLOOKUP(A1893,[13]PRIORIZADOS!$A:$J,10,FALSE)="","",VLOOKUP(A1893,[13]PRIORIZADOS!$A:$J,10,FALSE)),"")</f>
        <v>Revisar el calendario escolar, jornada escolar, la intensidad horaria mínima anual en cada nivel y las modificaciones que se realicen al mismo, de acuerdo con lo previsto en la normatividad vigente.</v>
      </c>
      <c r="K1893" s="11" t="str">
        <f>IFERROR(IF(VLOOKUP(A1893,[13]PRIORIZADOS!$A:$K,11,FALSE)="","",VLOOKUP(A1893,[13]PRIORIZADOS!$A:$K,11,FALSE)),"")</f>
        <v>DAMARIS RUT CÁRDENAS MORENO</v>
      </c>
      <c r="L1893" s="11" t="str">
        <f>IFERROR(IF(VLOOKUP(A1893,[13]PRIORIZADOS!$A:$L,12,FALSE)="","",VLOOKUP(A1893,[13]PRIORIZADOS!$A:$L,12,FALSE)),"")</f>
        <v xml:space="preserve">JORGE WILLIAM BONILLA ROMERO </v>
      </c>
      <c r="M1893" s="71">
        <f>IFERROR(IF(VLOOKUP(A1893,[13]PRIORIZADOS!$A:$M,13,FALSE)="","",VLOOKUP(A1893,[13]PRIORIZADOS!$A:$M,13,FALSE)),"")</f>
        <v>45783</v>
      </c>
      <c r="N1893" s="71">
        <f>IFERROR(IF(VLOOKUP(A1893,[13]PRIORIZADOS!$A:$N,14,FALSE)="","",VLOOKUP(A1893,[13]PRIORIZADOS!$A:$N,14,FALSE)),"")</f>
        <v>45783</v>
      </c>
      <c r="O1893" s="71">
        <f>IFERROR(IF(VLOOKUP(A1893,[13]PRIORIZADOS!$A:$O,15,FALSE)="","",VLOOKUP(A1893,[13]PRIORIZADOS!$A:$O,15,FALSE)),"")</f>
        <v>45783</v>
      </c>
      <c r="P1893" s="11" t="str">
        <f>IFERROR(IF(VLOOKUP(A1893,[13]PRIORIZADOS!$A:$P,16,FALSE)="","",VLOOKUP(A1893,[13]PRIORIZADOS!$A:$P,16,FALSE)),"")</f>
        <v>Visitas de evaluación con fines de mejoramiento</v>
      </c>
      <c r="Q1893" s="243" t="s">
        <v>414</v>
      </c>
      <c r="R1893" s="11" t="str">
        <f>IFERROR(IF(VLOOKUP(A1893,[13]PRIORIZADOS!$A:$R,18,FALSE)="","",VLOOKUP(A1893,[13]PRIORIZADOS!$A:$R,18,FALSE)),"")</f>
        <v>A pesar de la existencia de un cronograma institucional, el reporte correspondiente no ha sido generado en el aplicativo EVI, dado que el predio donde funciona el colegio aún no está legalizado.</v>
      </c>
      <c r="S1893" s="11" t="str">
        <f>IFERROR(IF(VLOOKUP(A1893,[13]PRIORIZADOS!$A:$S,19,FALSE)="","",VLOOKUP(A1893,[13]PRIORIZADOS!$A:$S,19,FALSE)),"")</f>
        <v>Proyectar el calendario escolar anual y robustecer el documento del cronograma de actividades institucionales, garantizando su adecuación a las necesidades educativas.</v>
      </c>
      <c r="T1893" s="70" t="str">
        <f>IFERROR(IF(VLOOKUP(A1893,[13]PRIORIZADOS!$A:$T,20,FALSE)="","",VLOOKUP(A1893,[13]PRIORIZADOS!$A:$T,20,FALSE)),"")</f>
        <v>No</v>
      </c>
      <c r="U1893" s="11" t="str">
        <f>IFERROR(IF(VLOOKUP(A1893,[13]PRIORIZADOS!$A:$U,21,FALSE)="","",VLOOKUP(A1893,[13]PRIORIZADOS!$A:$U,21,FALSE)),"")</f>
        <v>No se asigna elaboración de plan de mejoramiento puesto que a la fecha la institución no está funcionando en sede con licencia de funcionamiento, por lo cual es necesario que  el colegio legalice el cambio de sede realizado.</v>
      </c>
    </row>
    <row r="1894" spans="1:21" s="1" customFormat="1" ht="60">
      <c r="A1894" s="69">
        <f>IF([13]PRIORIZADOS!A57="","",[13]PRIORIZADOS!A57)</f>
        <v>1861</v>
      </c>
      <c r="B1894" s="70">
        <f>IFERROR(IF(VLOOKUP(A1894,[13]PRIORIZADOS!$A:$B,2,FALSE)="","",VLOOKUP(A1894,[13]PRIORIZADOS!$A:$B,2,FALSE)),"")</f>
        <v>6</v>
      </c>
      <c r="C1894" s="11" t="str">
        <f>IFERROR(IF(VLOOKUP(A1894,[13]PRIORIZADOS!$A:$C,3,FALSE)="","",VLOOKUP(A1894,[13]PRIORIZADOS!$A:$C,3,FALSE)),"")</f>
        <v xml:space="preserve">SANTA FE Y CANDELARIA </v>
      </c>
      <c r="D1894" s="11" t="str">
        <f>IFERROR(IF(VLOOKUP(A1894,[13]PRIORIZADOS!$A:$D,4,FALSE)="","",VLOOKUP(A1894,[13]PRIORIZADOS!$A:$D,4,FALSE)),"")</f>
        <v>PRIVADO</v>
      </c>
      <c r="E1894" s="11" t="str">
        <f>IFERROR(IF(VLOOKUP(A1894,[13]PRIORIZADOS!$A:$E,5,FALSE)="","",VLOOKUP(A1894,[13]PRIORIZADOS!$A:$E,5,FALSE)),"")</f>
        <v>EPBM</v>
      </c>
      <c r="F1894" s="11" t="str">
        <f>IFERROR(IF(VLOOKUP(A1894,[13]PRIORIZADOS!$A:$F,6,FALSE)="","",VLOOKUP(A1894,[13]PRIORIZADOS!$A:$F,6,FALSE)),"")</f>
        <v>COLEGIO_LOS_ANGELES</v>
      </c>
      <c r="G1894" s="11" t="str">
        <f>IFERROR(IF(VLOOKUP(A1894,[13]PRIORIZADOS!$A:$G,7,FALSE)="","",VLOOKUP(A1894,[13]PRIORIZADOS!$A:$G,7,FALSE)),"")</f>
        <v>COLEGIO LOS ANGELES</v>
      </c>
      <c r="H1894" s="11" t="str">
        <f>IFERROR(IF(VLOOKUP(A1894,[13]PRIORIZADOS!$A:$H,8,FALSE)="","",VLOOKUP(A1894,[13]PRIORIZADOS!$A:$H,8,FALSE)),"")</f>
        <v>Convivencia escolar</v>
      </c>
      <c r="I1894" s="11" t="str">
        <f>IFERROR(IF(VLOOKUP(A1894,[13]PRIORIZADOS!$A:$I,9,FALSE)="","",VLOOKUP(A1894,[13]PRIORIZADOS!$A:$I,9,FALSE)),"")</f>
        <v>EVALUACIÓN_CON_FINES_DE_MEJORAMIENTO.</v>
      </c>
      <c r="J1894" s="11" t="str">
        <f>IFERROR(IF(VLOOKUP(A1894,[13]PRIORIZADOS!$A:$J,10,FALSE)="","",VLOOKUP(A1894,[13]PRIORIZADOS!$A:$J,10,FALSE)),"")</f>
        <v>Verificar el funcionamiento del Gobierno Escolar e instancias de participación con base en la información sobre conformación reportada por la institución educativa.</v>
      </c>
      <c r="K1894" s="11" t="str">
        <f>IFERROR(IF(VLOOKUP(A1894,[13]PRIORIZADOS!$A:$K,11,FALSE)="","",VLOOKUP(A1894,[13]PRIORIZADOS!$A:$K,11,FALSE)),"")</f>
        <v>DAMARIS RUT CÁRDENAS MORENO</v>
      </c>
      <c r="L1894" s="11" t="str">
        <f>IFERROR(IF(VLOOKUP(A1894,[13]PRIORIZADOS!$A:$L,12,FALSE)="","",VLOOKUP(A1894,[13]PRIORIZADOS!$A:$L,12,FALSE)),"")</f>
        <v xml:space="preserve">JORGE WILLIAM BONILLA ROMERO </v>
      </c>
      <c r="M1894" s="71">
        <f>IFERROR(IF(VLOOKUP(A1894,[13]PRIORIZADOS!$A:$M,13,FALSE)="","",VLOOKUP(A1894,[13]PRIORIZADOS!$A:$M,13,FALSE)),"")</f>
        <v>45783</v>
      </c>
      <c r="N1894" s="71">
        <f>IFERROR(IF(VLOOKUP(A1894,[13]PRIORIZADOS!$A:$N,14,FALSE)="","",VLOOKUP(A1894,[13]PRIORIZADOS!$A:$N,14,FALSE)),"")</f>
        <v>45783</v>
      </c>
      <c r="O1894" s="71">
        <f>IFERROR(IF(VLOOKUP(A1894,[13]PRIORIZADOS!$A:$O,15,FALSE)="","",VLOOKUP(A1894,[13]PRIORIZADOS!$A:$O,15,FALSE)),"")</f>
        <v>45783</v>
      </c>
      <c r="P1894" s="11" t="str">
        <f>IFERROR(IF(VLOOKUP(A1894,[13]PRIORIZADOS!$A:$P,16,FALSE)="","",VLOOKUP(A1894,[13]PRIORIZADOS!$A:$P,16,FALSE)),"")</f>
        <v>Visitas de evaluación con fines de mejoramiento</v>
      </c>
      <c r="Q1894" s="243" t="s">
        <v>414</v>
      </c>
      <c r="R1894" s="11" t="str">
        <f>IFERROR(IF(VLOOKUP(A1894,[13]PRIORIZADOS!$A:$R,18,FALSE)="","",VLOOKUP(A1894,[13]PRIORIZADOS!$A:$R,18,FALSE)),"")</f>
        <v>No se dispone de documentación soporte que acredite la conformación integral de los estamentos del gobierno escolar, ni se ha generado reporte correspondiente en el aplicativo SAE.</v>
      </c>
      <c r="S1894" s="11" t="str">
        <f>IFERROR(IF(VLOOKUP(A1894,[13]PRIORIZADOS!$A:$S,19,FALSE)="","",VLOOKUP(A1894,[13]PRIORIZADOS!$A:$S,19,FALSE)),"")</f>
        <v>Organizar la documentación y los reportes correspondientes en el aplicativo SAE.</v>
      </c>
      <c r="T1894" s="70" t="str">
        <f>IFERROR(IF(VLOOKUP(A1894,[13]PRIORIZADOS!$A:$T,20,FALSE)="","",VLOOKUP(A1894,[13]PRIORIZADOS!$A:$T,20,FALSE)),"")</f>
        <v>No</v>
      </c>
      <c r="U1894" s="11" t="str">
        <f>IFERROR(IF(VLOOKUP(A1894,[13]PRIORIZADOS!$A:$U,21,FALSE)="","",VLOOKUP(A1894,[13]PRIORIZADOS!$A:$U,21,FALSE)),"")</f>
        <v>Para el viernes 17 de mayo, el colegio presentará las actividades adelantadas por los estamentos del gobierno escolar.</v>
      </c>
    </row>
    <row r="1895" spans="1:21" s="1" customFormat="1" ht="107.25">
      <c r="A1895" s="69">
        <f>IF([13]PRIORIZADOS!A58="","",[13]PRIORIZADOS!A58)</f>
        <v>1862</v>
      </c>
      <c r="B1895" s="70">
        <f>IFERROR(IF(VLOOKUP(A1895,[13]PRIORIZADOS!$A:$B,2,FALSE)="","",VLOOKUP(A1895,[13]PRIORIZADOS!$A:$B,2,FALSE)),"")</f>
        <v>6</v>
      </c>
      <c r="C1895" s="11" t="str">
        <f>IFERROR(IF(VLOOKUP(A1895,[13]PRIORIZADOS!$A:$C,3,FALSE)="","",VLOOKUP(A1895,[13]PRIORIZADOS!$A:$C,3,FALSE)),"")</f>
        <v xml:space="preserve">SANTA FE Y CANDELARIA </v>
      </c>
      <c r="D1895" s="11" t="str">
        <f>IFERROR(IF(VLOOKUP(A1895,[13]PRIORIZADOS!$A:$D,4,FALSE)="","",VLOOKUP(A1895,[13]PRIORIZADOS!$A:$D,4,FALSE)),"")</f>
        <v>PRIVADO</v>
      </c>
      <c r="E1895" s="11" t="str">
        <f>IFERROR(IF(VLOOKUP(A1895,[13]PRIORIZADOS!$A:$E,5,FALSE)="","",VLOOKUP(A1895,[13]PRIORIZADOS!$A:$E,5,FALSE)),"")</f>
        <v>EPBM</v>
      </c>
      <c r="F1895" s="11" t="str">
        <f>IFERROR(IF(VLOOKUP(A1895,[13]PRIORIZADOS!$A:$F,6,FALSE)="","",VLOOKUP(A1895,[13]PRIORIZADOS!$A:$F,6,FALSE)),"")</f>
        <v>COLEGIO_LOS_ANGELES</v>
      </c>
      <c r="G1895" s="11" t="str">
        <f>IFERROR(IF(VLOOKUP(A1895,[13]PRIORIZADOS!$A:$G,7,FALSE)="","",VLOOKUP(A1895,[13]PRIORIZADOS!$A:$G,7,FALSE)),"")</f>
        <v>COLEGIO LOS ANGELES</v>
      </c>
      <c r="H1895" s="11" t="str">
        <f>IFERROR(IF(VLOOKUP(A1895,[13]PRIORIZADOS!$A:$H,8,FALSE)="","",VLOOKUP(A1895,[13]PRIORIZADOS!$A:$H,8,FALSE)),"")</f>
        <v>Convivencia escolar</v>
      </c>
      <c r="I1895" s="11" t="str">
        <f>IFERROR(IF(VLOOKUP(A1895,[13]PRIORIZADOS!$A:$I,9,FALSE)="","",VLOOKUP(A1895,[13]PRIORIZADOS!$A:$I,9,FALSE)),"")</f>
        <v>EVALUACIÓN_CON_FINES_DE_MEJORAMIENTO.</v>
      </c>
      <c r="J1895" s="11" t="str">
        <f>IFERROR(IF(VLOOKUP(A1895,[13]PRIORIZADOS!$A:$J,10,FALSE)="","",VLOOKUP(A1895,[13]PRIORIZADOS!$A:$J,10,FALSE)),"")</f>
        <v>Verificar las condiciones en cuanto a: la estructura administrativa, condiciones de la planta física y medios educativos adecuados.</v>
      </c>
      <c r="K1895" s="11" t="str">
        <f>IFERROR(IF(VLOOKUP(A1895,[13]PRIORIZADOS!$A:$K,11,FALSE)="","",VLOOKUP(A1895,[13]PRIORIZADOS!$A:$K,11,FALSE)),"")</f>
        <v>DAMARIS RUT CÁRDENAS MORENO</v>
      </c>
      <c r="L1895" s="11" t="str">
        <f>IFERROR(IF(VLOOKUP(A1895,[13]PRIORIZADOS!$A:$L,12,FALSE)="","",VLOOKUP(A1895,[13]PRIORIZADOS!$A:$L,12,FALSE)),"")</f>
        <v xml:space="preserve">JORGE WILLIAM BONILLA ROMERO </v>
      </c>
      <c r="M1895" s="71">
        <f>IFERROR(IF(VLOOKUP(A1895,[13]PRIORIZADOS!$A:$M,13,FALSE)="","",VLOOKUP(A1895,[13]PRIORIZADOS!$A:$M,13,FALSE)),"")</f>
        <v>45783</v>
      </c>
      <c r="N1895" s="71">
        <f>IFERROR(IF(VLOOKUP(A1895,[13]PRIORIZADOS!$A:$N,14,FALSE)="","",VLOOKUP(A1895,[13]PRIORIZADOS!$A:$N,14,FALSE)),"")</f>
        <v>45783</v>
      </c>
      <c r="O1895" s="71">
        <f>IFERROR(IF(VLOOKUP(A1895,[13]PRIORIZADOS!$A:$O,15,FALSE)="","",VLOOKUP(A1895,[13]PRIORIZADOS!$A:$O,15,FALSE)),"")</f>
        <v>45783</v>
      </c>
      <c r="P1895" s="11" t="str">
        <f>IFERROR(IF(VLOOKUP(A1895,[13]PRIORIZADOS!$A:$P,16,FALSE)="","",VLOOKUP(A1895,[13]PRIORIZADOS!$A:$P,16,FALSE)),"")</f>
        <v>Visitas de evaluación con fines de mejoramiento</v>
      </c>
      <c r="Q1895" s="243" t="s">
        <v>414</v>
      </c>
      <c r="R1895" s="11" t="str">
        <f>IFERROR(IF(VLOOKUP(A1895,[13]PRIORIZADOS!$A:$R,18,FALSE)="","",VLOOKUP(A1895,[13]PRIORIZADOS!$A:$R,18,FALSE)),"")</f>
        <v>Se evidencia que la infraestructura actual no corresponde a la sede autorizada en el aplicativo EVI. La profesional arquitecta asignada por la DIV detectó la necesidad de modificar la licencia de construcción vigente. Además, la planta física actual presenta ausencia de espacios para aprendizaje experimental, área administrativa y zona de enfermería.</v>
      </c>
      <c r="S1895" s="11" t="str">
        <f>IFERROR(IF(VLOOKUP(A1895,[13]PRIORIZADOS!$A:$S,19,FALSE)="","",VLOOKUP(A1895,[13]PRIORIZADOS!$A:$S,19,FALSE)),"")</f>
        <v>Es indispensable que el colegio proceda con la legalización de la sede donde funciona, garantizando el cumplimiento de la normatividad actual relacionada con infraestructura</v>
      </c>
      <c r="T1895" s="70" t="str">
        <f>IFERROR(IF(VLOOKUP(A1895,[13]PRIORIZADOS!$A:$T,20,FALSE)="","",VLOOKUP(A1895,[13]PRIORIZADOS!$A:$T,20,FALSE)),"")</f>
        <v>No</v>
      </c>
      <c r="U1895" s="11" t="str">
        <f>IFERROR(IF(VLOOKUP(A1895,[13]PRIORIZADOS!$A:$U,21,FALSE)="","",VLOOKUP(A1895,[13]PRIORIZADOS!$A:$U,21,FALSE)),"")</f>
        <v>ELIV efectuará una revisión documental para determinar la viabilidad de modificar la licencia de funcionamiento por cambio de sede, con el fin de realizar la actualización tarifaria pertinente en caso de éxito del trámite.</v>
      </c>
    </row>
    <row r="1896" spans="1:21" s="1" customFormat="1" ht="96">
      <c r="A1896" s="69">
        <f>IF([13]PRIORIZADOS!A59="","",[13]PRIORIZADOS!A59)</f>
        <v>1863</v>
      </c>
      <c r="B1896" s="70">
        <f>IFERROR(IF(VLOOKUP(A1896,[13]PRIORIZADOS!$A:$B,2,FALSE)="","",VLOOKUP(A1896,[13]PRIORIZADOS!$A:$B,2,FALSE)),"")</f>
        <v>7</v>
      </c>
      <c r="C1896" s="11" t="str">
        <f>IFERROR(IF(VLOOKUP(A1896,[13]PRIORIZADOS!$A:$C,3,FALSE)="","",VLOOKUP(A1896,[13]PRIORIZADOS!$A:$C,3,FALSE)),"")</f>
        <v xml:space="preserve">SANTA FE Y CANDELARIA </v>
      </c>
      <c r="D1896" s="11" t="str">
        <f>IFERROR(IF(VLOOKUP(A1896,[13]PRIORIZADOS!$A:$D,4,FALSE)="","",VLOOKUP(A1896,[13]PRIORIZADOS!$A:$D,4,FALSE)),"")</f>
        <v>PRIVADO</v>
      </c>
      <c r="E1896" s="11" t="str">
        <f>IFERROR(IF(VLOOKUP(A1896,[13]PRIORIZADOS!$A:$E,5,FALSE)="","",VLOOKUP(A1896,[13]PRIORIZADOS!$A:$E,5,FALSE)),"")</f>
        <v>EPBM</v>
      </c>
      <c r="F1896" s="11" t="str">
        <f>IFERROR(IF(VLOOKUP(A1896,[13]PRIORIZADOS!$A:$F,6,FALSE)="","",VLOOKUP(A1896,[13]PRIORIZADOS!$A:$F,6,FALSE)),"")</f>
        <v>LICEO_MATER_DEI</v>
      </c>
      <c r="G1896" s="11" t="str">
        <f>IFERROR(IF(VLOOKUP(A1896,[13]PRIORIZADOS!$A:$G,7,FALSE)="","",VLOOKUP(A1896,[13]PRIORIZADOS!$A:$G,7,FALSE)),"")</f>
        <v>LICEO MATER DEI</v>
      </c>
      <c r="H1896" s="11" t="str">
        <f>IFERROR(IF(VLOOKUP(A1896,[13]PRIORIZADOS!$A:$H,8,FALSE)="","",VLOOKUP(A1896,[13]PRIORIZADOS!$A:$H,8,FALSE)),"")</f>
        <v>Autoevaluación Institucional y Pruebas SABER 11</v>
      </c>
      <c r="I1896" s="11" t="str">
        <f>IFERROR(IF(VLOOKUP(A1896,[13]PRIORIZADOS!$A:$I,9,FALSE)="","",VLOOKUP(A1896,[13]PRIORIZADOS!$A:$I,9,FALSE)),"")</f>
        <v>SEGUIMIENTO_Y_SUPERVISIÓN.</v>
      </c>
      <c r="J1896" s="11" t="str">
        <f>IFERROR(IF(VLOOKUP(A1896,[13]PRIORIZADOS!$A:$J,10,FALSE)="","",VLOOKUP(A1896,[13]PRIORIZADOS!$A:$J,10,FALSE)),"")</f>
        <v>Realizar visitas para verificar la información registrada sobre la autoevaluación institucional en el aplicativo EVI, a los establecimientos de educación formal no oficial.</v>
      </c>
      <c r="K1896" s="11" t="str">
        <f>IFERROR(IF(VLOOKUP(A1896,[13]PRIORIZADOS!$A:$K,11,FALSE)="","",VLOOKUP(A1896,[13]PRIORIZADOS!$A:$K,11,FALSE)),"")</f>
        <v>DAMARIS RUT CÁRDENAS MORENO</v>
      </c>
      <c r="L1896" s="11" t="str">
        <f>IFERROR(IF(VLOOKUP(A1896,[13]PRIORIZADOS!$A:$L,12,FALSE)="","",VLOOKUP(A1896,[13]PRIORIZADOS!$A:$L,12,FALSE)),"")</f>
        <v>JOSÉ MAXIMILIANO CHAPARRO BARRERA</v>
      </c>
      <c r="M1896" s="71">
        <f>IFERROR(IF(VLOOKUP(A1896,[13]PRIORIZADOS!$A:$M,13,FALSE)="","",VLOOKUP(A1896,[13]PRIORIZADOS!$A:$M,13,FALSE)),"")</f>
        <v>45817</v>
      </c>
      <c r="N1896" s="71">
        <f>IFERROR(IF(VLOOKUP(A1896,[13]PRIORIZADOS!$A:$N,14,FALSE)="","",VLOOKUP(A1896,[13]PRIORIZADOS!$A:$N,14,FALSE)),"")</f>
        <v>45817</v>
      </c>
      <c r="O1896" s="71">
        <f>IFERROR(IF(VLOOKUP(A1896,[13]PRIORIZADOS!$A:$O,15,FALSE)="","",VLOOKUP(A1896,[13]PRIORIZADOS!$A:$O,15,FALSE)),"")</f>
        <v>45817</v>
      </c>
      <c r="P1896" s="11" t="str">
        <f>IFERROR(IF(VLOOKUP(A1896,[13]PRIORIZADOS!$A:$P,16,FALSE)="","",VLOOKUP(A1896,[13]PRIORIZADOS!$A:$P,16,FALSE)),"")</f>
        <v>Visitas de evaluación con fines de mejoramiento</v>
      </c>
      <c r="Q1896" s="244" t="s">
        <v>415</v>
      </c>
      <c r="R1896" s="11" t="str">
        <f>IFERROR(IF(VLOOKUP(A1896,[13]PRIORIZADOS!$A:$R,18,FALSE)="","",VLOOKUP(A1896,[13]PRIORIZADOS!$A:$R,18,FALSE)),"")</f>
        <v>Durante el recorrido, se verificó que los espacios físicos coinciden con lo registrado en el aplicativo EVI. Asimismo, se constató la información referente a la contratación docente y los pagos de seguridad social. Por otro lado, el colegio no presenta cartera pendiente por concepto de pensiones.</v>
      </c>
      <c r="S1896" s="11" t="str">
        <f>IFERROR(IF(VLOOKUP(A1896,[13]PRIORIZADOS!$A:$S,19,FALSE)="","",VLOOKUP(A1896,[13]PRIORIZADOS!$A:$S,19,FALSE)),"")</f>
        <v>Realizar una evaluación financiera para la adaptación de espacios destinados a personas con discapacidad.</v>
      </c>
      <c r="T1896" s="70" t="str">
        <f>IFERROR(IF(VLOOKUP(A1896,[13]PRIORIZADOS!$A:$T,20,FALSE)="","",VLOOKUP(A1896,[13]PRIORIZADOS!$A:$T,20,FALSE)),"")</f>
        <v>No</v>
      </c>
      <c r="U1896" s="11" t="str">
        <f>IFERROR(IF(VLOOKUP(A1896,[13]PRIORIZADOS!$A:$U,21,FALSE)="","",VLOOKUP(A1896,[13]PRIORIZADOS!$A:$U,21,FALSE)),"")</f>
        <v>En revisión de autoevaluación de aplicativo EVI para vigencia 2026.</v>
      </c>
    </row>
    <row r="1897" spans="1:21" s="1" customFormat="1" ht="60">
      <c r="A1897" s="69">
        <f>IF([13]PRIORIZADOS!A60="","",[13]PRIORIZADOS!A60)</f>
        <v>1864</v>
      </c>
      <c r="B1897" s="70">
        <f>IFERROR(IF(VLOOKUP(A1897,[13]PRIORIZADOS!$A:$B,2,FALSE)="","",VLOOKUP(A1897,[13]PRIORIZADOS!$A:$B,2,FALSE)),"")</f>
        <v>7</v>
      </c>
      <c r="C1897" s="11" t="str">
        <f>IFERROR(IF(VLOOKUP(A1897,[13]PRIORIZADOS!$A:$C,3,FALSE)="","",VLOOKUP(A1897,[13]PRIORIZADOS!$A:$C,3,FALSE)),"")</f>
        <v xml:space="preserve">SANTA FE Y CANDELARIA </v>
      </c>
      <c r="D1897" s="11" t="str">
        <f>IFERROR(IF(VLOOKUP(A1897,[13]PRIORIZADOS!$A:$D,4,FALSE)="","",VLOOKUP(A1897,[13]PRIORIZADOS!$A:$D,4,FALSE)),"")</f>
        <v>PRIVADO</v>
      </c>
      <c r="E1897" s="11" t="str">
        <f>IFERROR(IF(VLOOKUP(A1897,[13]PRIORIZADOS!$A:$E,5,FALSE)="","",VLOOKUP(A1897,[13]PRIORIZADOS!$A:$E,5,FALSE)),"")</f>
        <v>EPBM</v>
      </c>
      <c r="F1897" s="11" t="str">
        <f>IFERROR(IF(VLOOKUP(A1897,[13]PRIORIZADOS!$A:$F,6,FALSE)="","",VLOOKUP(A1897,[13]PRIORIZADOS!$A:$F,6,FALSE)),"")</f>
        <v>LICEO_MATER_DEI</v>
      </c>
      <c r="G1897" s="11" t="str">
        <f>IFERROR(IF(VLOOKUP(A1897,[13]PRIORIZADOS!$A:$G,7,FALSE)="","",VLOOKUP(A1897,[13]PRIORIZADOS!$A:$G,7,FALSE)),"")</f>
        <v>LICEO MATER DEI</v>
      </c>
      <c r="H1897" s="11" t="str">
        <f>IFERROR(IF(VLOOKUP(A1897,[13]PRIORIZADOS!$A:$H,8,FALSE)="","",VLOOKUP(A1897,[13]PRIORIZADOS!$A:$H,8,FALSE)),"")</f>
        <v>Autoevaluación Institucional y Pruebas SABER 11</v>
      </c>
      <c r="I1897" s="11" t="str">
        <f>IFERROR(IF(VLOOKUP(A1897,[13]PRIORIZADOS!$A:$I,9,FALSE)="","",VLOOKUP(A1897,[13]PRIORIZADOS!$A:$I,9,FALSE)),"")</f>
        <v>SEGUIMIENTO_Y_SUPERVISIÓN.</v>
      </c>
      <c r="J1897" s="11" t="str">
        <f>IFERROR(IF(VLOOKUP(A1897,[13]PRIORIZADOS!$A:$J,10,FALSE)="","",VLOOKUP(A1897,[13]PRIORIZADOS!$A:$J,10,FALSE)),"")</f>
        <v>Proponer estrategias en la formulación, verificar su elaboración y realizar seguimiento semestral al desarrollo de  las acciones establecidas en los planes de mejoramiento por pruebas SABER 11 de los establecimientos de educación formal.</v>
      </c>
      <c r="K1897" s="11" t="str">
        <f>IFERROR(IF(VLOOKUP(A1897,[13]PRIORIZADOS!$A:$K,11,FALSE)="","",VLOOKUP(A1897,[13]PRIORIZADOS!$A:$K,11,FALSE)),"")</f>
        <v>DAMARIS RUT CÁRDENAS MORENO</v>
      </c>
      <c r="L1897" s="11" t="str">
        <f>IFERROR(IF(VLOOKUP(A1897,[13]PRIORIZADOS!$A:$L,12,FALSE)="","",VLOOKUP(A1897,[13]PRIORIZADOS!$A:$L,12,FALSE)),"")</f>
        <v>JOSÉ MAXIMILIANO CHAPARRO BARRERA</v>
      </c>
      <c r="M1897" s="71">
        <f>IFERROR(IF(VLOOKUP(A1897,[13]PRIORIZADOS!$A:$M,13,FALSE)="","",VLOOKUP(A1897,[13]PRIORIZADOS!$A:$M,13,FALSE)),"")</f>
        <v>45817</v>
      </c>
      <c r="N1897" s="71">
        <f>IFERROR(IF(VLOOKUP(A1897,[13]PRIORIZADOS!$A:$N,14,FALSE)="","",VLOOKUP(A1897,[13]PRIORIZADOS!$A:$N,14,FALSE)),"")</f>
        <v>45817</v>
      </c>
      <c r="O1897" s="71">
        <f>IFERROR(IF(VLOOKUP(A1897,[13]PRIORIZADOS!$A:$O,15,FALSE)="","",VLOOKUP(A1897,[13]PRIORIZADOS!$A:$O,15,FALSE)),"")</f>
        <v>45817</v>
      </c>
      <c r="P1897" s="11" t="str">
        <f>IFERROR(IF(VLOOKUP(A1897,[13]PRIORIZADOS!$A:$P,16,FALSE)="","",VLOOKUP(A1897,[13]PRIORIZADOS!$A:$P,16,FALSE)),"")</f>
        <v>Visitas de evaluación con fines de mejoramiento</v>
      </c>
      <c r="Q1897" s="245" t="s">
        <v>415</v>
      </c>
      <c r="R1897" s="11" t="str">
        <f>IFERROR(IF(VLOOKUP(A1897,[13]PRIORIZADOS!$A:$R,18,FALSE)="","",VLOOKUP(A1897,[13]PRIORIZADOS!$A:$R,18,FALSE)),"")</f>
        <v>No se identifican estrategias institucionales específicas para el seguimiento y mejoramiento de los resultados en las pruebas Saber 11.</v>
      </c>
      <c r="S1897" s="11" t="str">
        <f>IFERROR(IF(VLOOKUP(A1897,[13]PRIORIZADOS!$A:$S,19,FALSE)="","",VLOOKUP(A1897,[13]PRIORIZADOS!$A:$S,19,FALSE)),"")</f>
        <v>Fortalecer las estrategias de proyección para las pruebas, basándose en la información existente en la institución educativa.</v>
      </c>
      <c r="T1897" s="70" t="str">
        <f>IFERROR(IF(VLOOKUP(A1897,[13]PRIORIZADOS!$A:$T,20,FALSE)="","",VLOOKUP(A1897,[13]PRIORIZADOS!$A:$T,20,FALSE)),"")</f>
        <v>Si</v>
      </c>
      <c r="U1897" s="11" t="str">
        <f>IFERROR(IF(VLOOKUP(A1897,[13]PRIORIZADOS!$A:$U,21,FALSE)="","",VLOOKUP(A1897,[13]PRIORIZADOS!$A:$U,21,FALSE)),"")</f>
        <v>Desde las instancias de gobierno escolar, las comisiones de evaluación y el consejo académico se formularán estrategias de mejoramiento para las pruebas Saber. El documento correspondiente será entregado el 15 de agosto.Se realizará seguimiento a plan de mejoramiento en vigencia 2026, que no fue radicado durante el presente año.</v>
      </c>
    </row>
    <row r="1898" spans="1:21" s="1" customFormat="1" ht="72">
      <c r="A1898" s="69">
        <f>IF([13]PRIORIZADOS!A61="","",[13]PRIORIZADOS!A61)</f>
        <v>1865</v>
      </c>
      <c r="B1898" s="70">
        <f>IFERROR(IF(VLOOKUP(A1898,[13]PRIORIZADOS!$A:$B,2,FALSE)="","",VLOOKUP(A1898,[13]PRIORIZADOS!$A:$B,2,FALSE)),"")</f>
        <v>7</v>
      </c>
      <c r="C1898" s="11" t="str">
        <f>IFERROR(IF(VLOOKUP(A1898,[13]PRIORIZADOS!$A:$C,3,FALSE)="","",VLOOKUP(A1898,[13]PRIORIZADOS!$A:$C,3,FALSE)),"")</f>
        <v xml:space="preserve">SANTA FE Y CANDELARIA </v>
      </c>
      <c r="D1898" s="11" t="str">
        <f>IFERROR(IF(VLOOKUP(A1898,[13]PRIORIZADOS!$A:$D,4,FALSE)="","",VLOOKUP(A1898,[13]PRIORIZADOS!$A:$D,4,FALSE)),"")</f>
        <v>PRIVADO</v>
      </c>
      <c r="E1898" s="11" t="str">
        <f>IFERROR(IF(VLOOKUP(A1898,[13]PRIORIZADOS!$A:$E,5,FALSE)="","",VLOOKUP(A1898,[13]PRIORIZADOS!$A:$E,5,FALSE)),"")</f>
        <v>EPBM</v>
      </c>
      <c r="F1898" s="11" t="str">
        <f>IFERROR(IF(VLOOKUP(A1898,[13]PRIORIZADOS!$A:$F,6,FALSE)="","",VLOOKUP(A1898,[13]PRIORIZADOS!$A:$F,6,FALSE)),"")</f>
        <v>LICEO_MATER_DEI</v>
      </c>
      <c r="G1898" s="11" t="str">
        <f>IFERROR(IF(VLOOKUP(A1898,[13]PRIORIZADOS!$A:$G,7,FALSE)="","",VLOOKUP(A1898,[13]PRIORIZADOS!$A:$G,7,FALSE)),"")</f>
        <v>LICEO MATER DEI</v>
      </c>
      <c r="H1898" s="11" t="str">
        <f>IFERROR(IF(VLOOKUP(A1898,[13]PRIORIZADOS!$A:$H,8,FALSE)="","",VLOOKUP(A1898,[13]PRIORIZADOS!$A:$H,8,FALSE)),"")</f>
        <v>Autoevaluación Institucional y Pruebas SABER 11</v>
      </c>
      <c r="I1898" s="11" t="str">
        <f>IFERROR(IF(VLOOKUP(A1898,[13]PRIORIZADOS!$A:$I,9,FALSE)="","",VLOOKUP(A1898,[13]PRIORIZADOS!$A:$I,9,FALSE)),"")</f>
        <v>SEGUIMIENTO_Y_SUPERVISIÓN.</v>
      </c>
      <c r="J1898" s="11" t="str">
        <f>IFERROR(IF(VLOOKUP(A1898,[13]PRIORIZADOS!$A:$J,10,FALSE)="","",VLOOKUP(A1898,[13]PRIORIZADOS!$A:$J,10,FALSE)),"")</f>
        <v xml:space="preserve">Verificar la implementación por parte de los colegios, de acciones realizadas para la prevención y atención de las situaciones de convivencia en el entorno escolar, según lo establecido en la Directiva 01 de 2022 del MEN. </v>
      </c>
      <c r="K1898" s="11" t="str">
        <f>IFERROR(IF(VLOOKUP(A1898,[13]PRIORIZADOS!$A:$K,11,FALSE)="","",VLOOKUP(A1898,[13]PRIORIZADOS!$A:$K,11,FALSE)),"")</f>
        <v>DAMARIS RUT CÁRDENAS MORENO</v>
      </c>
      <c r="L1898" s="11" t="str">
        <f>IFERROR(IF(VLOOKUP(A1898,[13]PRIORIZADOS!$A:$L,12,FALSE)="","",VLOOKUP(A1898,[13]PRIORIZADOS!$A:$L,12,FALSE)),"")</f>
        <v>JOSÉ MAXIMILIANO CHAPARRO BARRERA</v>
      </c>
      <c r="M1898" s="71">
        <f>IFERROR(IF(VLOOKUP(A1898,[13]PRIORIZADOS!$A:$M,13,FALSE)="","",VLOOKUP(A1898,[13]PRIORIZADOS!$A:$M,13,FALSE)),"")</f>
        <v>45817</v>
      </c>
      <c r="N1898" s="71">
        <f>IFERROR(IF(VLOOKUP(A1898,[13]PRIORIZADOS!$A:$N,14,FALSE)="","",VLOOKUP(A1898,[13]PRIORIZADOS!$A:$N,14,FALSE)),"")</f>
        <v>45817</v>
      </c>
      <c r="O1898" s="71">
        <f>IFERROR(IF(VLOOKUP(A1898,[13]PRIORIZADOS!$A:$O,15,FALSE)="","",VLOOKUP(A1898,[13]PRIORIZADOS!$A:$O,15,FALSE)),"")</f>
        <v>45817</v>
      </c>
      <c r="P1898" s="11" t="str">
        <f>IFERROR(IF(VLOOKUP(A1898,[13]PRIORIZADOS!$A:$P,16,FALSE)="","",VLOOKUP(A1898,[13]PRIORIZADOS!$A:$P,16,FALSE)),"")</f>
        <v>Visitas de evaluación con fines de mejoramiento</v>
      </c>
      <c r="Q1898" s="245" t="s">
        <v>415</v>
      </c>
      <c r="R1898" s="11" t="str">
        <f>IFERROR(IF(VLOOKUP(A1898,[13]PRIORIZADOS!$A:$R,18,FALSE)="","",VLOOKUP(A1898,[13]PRIORIZADOS!$A:$R,18,FALSE)),"")</f>
        <v>Por cambios en el personal administrativo, el colegio no continuó realizando la revisión de manera adecuada, aunque durante el proceso inicial de contratación del año sí se efectuó la revisión de antecedentes.</v>
      </c>
      <c r="S1898" s="11" t="str">
        <f>IFERROR(IF(VLOOKUP(A1898,[13]PRIORIZADOS!$A:$S,19,FALSE)="","",VLOOKUP(A1898,[13]PRIORIZADOS!$A:$S,19,FALSE)),"")</f>
        <v>Fortalecer el proceso de socialización de la directiva y la ejecución de las distintas acciones contempladas.</v>
      </c>
      <c r="T1898" s="70" t="str">
        <f>IFERROR(IF(VLOOKUP(A1898,[13]PRIORIZADOS!$A:$T,20,FALSE)="","",VLOOKUP(A1898,[13]PRIORIZADOS!$A:$T,20,FALSE)),"")</f>
        <v>Si</v>
      </c>
      <c r="U1898" s="11" t="str">
        <f>IFERROR(IF(VLOOKUP(A1898,[13]PRIORIZADOS!$A:$U,21,FALSE)="","",VLOOKUP(A1898,[13]PRIORIZADOS!$A:$U,21,FALSE)),"")</f>
        <v>Elaboración y entrega, el 15 de agosto, del documento de plan de mejoramiento que incluya las acciones a implementar relacionadas con la Directiva. Se realizará seguimiento a plan de mejoramiento en vigencia 2026, que no fue radicado durante el presente año.</v>
      </c>
    </row>
    <row r="1899" spans="1:21" s="1" customFormat="1" ht="84">
      <c r="A1899" s="69">
        <f>IF([13]PRIORIZADOS!A62="","",[13]PRIORIZADOS!A62)</f>
        <v>1866</v>
      </c>
      <c r="B1899" s="70">
        <f>IFERROR(IF(VLOOKUP(A1899,[13]PRIORIZADOS!$A:$B,2,FALSE)="","",VLOOKUP(A1899,[13]PRIORIZADOS!$A:$B,2,FALSE)),"")</f>
        <v>7</v>
      </c>
      <c r="C1899" s="11" t="str">
        <f>IFERROR(IF(VLOOKUP(A1899,[13]PRIORIZADOS!$A:$C,3,FALSE)="","",VLOOKUP(A1899,[13]PRIORIZADOS!$A:$C,3,FALSE)),"")</f>
        <v xml:space="preserve">SANTA FE Y CANDELARIA </v>
      </c>
      <c r="D1899" s="11" t="str">
        <f>IFERROR(IF(VLOOKUP(A1899,[13]PRIORIZADOS!$A:$D,4,FALSE)="","",VLOOKUP(A1899,[13]PRIORIZADOS!$A:$D,4,FALSE)),"")</f>
        <v>PRIVADO</v>
      </c>
      <c r="E1899" s="11" t="str">
        <f>IFERROR(IF(VLOOKUP(A1899,[13]PRIORIZADOS!$A:$E,5,FALSE)="","",VLOOKUP(A1899,[13]PRIORIZADOS!$A:$E,5,FALSE)),"")</f>
        <v>EPBM</v>
      </c>
      <c r="F1899" s="11" t="str">
        <f>IFERROR(IF(VLOOKUP(A1899,[13]PRIORIZADOS!$A:$F,6,FALSE)="","",VLOOKUP(A1899,[13]PRIORIZADOS!$A:$F,6,FALSE)),"")</f>
        <v>LICEO_MATER_DEI</v>
      </c>
      <c r="G1899" s="11" t="str">
        <f>IFERROR(IF(VLOOKUP(A1899,[13]PRIORIZADOS!$A:$G,7,FALSE)="","",VLOOKUP(A1899,[13]PRIORIZADOS!$A:$G,7,FALSE)),"")</f>
        <v>LICEO MATER DEI</v>
      </c>
      <c r="H1899" s="11" t="str">
        <f>IFERROR(IF(VLOOKUP(A1899,[13]PRIORIZADOS!$A:$H,8,FALSE)="","",VLOOKUP(A1899,[13]PRIORIZADOS!$A:$H,8,FALSE)),"")</f>
        <v>Autoevaluación Institucional y Pruebas SABER 11</v>
      </c>
      <c r="I1899" s="11" t="str">
        <f>IFERROR(IF(VLOOKUP(A1899,[13]PRIORIZADOS!$A:$I,9,FALSE)="","",VLOOKUP(A1899,[13]PRIORIZADOS!$A:$I,9,FALSE)),"")</f>
        <v>SEGUIMIENTO_Y_SUPERVISIÓN.</v>
      </c>
      <c r="J1899" s="11" t="str">
        <f>IFERROR(IF(VLOOKUP(A1899,[13]PRIORIZADOS!$A:$J,10,FALSE)="","",VLOOKUP(A1899,[13]PRIORIZADOS!$A:$J,10,FALSE)),"")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899" s="11" t="str">
        <f>IFERROR(IF(VLOOKUP(A1899,[13]PRIORIZADOS!$A:$K,11,FALSE)="","",VLOOKUP(A1899,[13]PRIORIZADOS!$A:$K,11,FALSE)),"")</f>
        <v>DAMARIS RUT CÁRDENAS MORENO</v>
      </c>
      <c r="L1899" s="11" t="str">
        <f>IFERROR(IF(VLOOKUP(A1899,[13]PRIORIZADOS!$A:$L,12,FALSE)="","",VLOOKUP(A1899,[13]PRIORIZADOS!$A:$L,12,FALSE)),"")</f>
        <v>JOSÉ MAXIMILIANO CHAPARRO BARRERA</v>
      </c>
      <c r="M1899" s="71">
        <f>IFERROR(IF(VLOOKUP(A1899,[13]PRIORIZADOS!$A:$M,13,FALSE)="","",VLOOKUP(A1899,[13]PRIORIZADOS!$A:$M,13,FALSE)),"")</f>
        <v>45817</v>
      </c>
      <c r="N1899" s="71">
        <f>IFERROR(IF(VLOOKUP(A1899,[13]PRIORIZADOS!$A:$N,14,FALSE)="","",VLOOKUP(A1899,[13]PRIORIZADOS!$A:$N,14,FALSE)),"")</f>
        <v>45817</v>
      </c>
      <c r="O1899" s="71">
        <f>IFERROR(IF(VLOOKUP(A1899,[13]PRIORIZADOS!$A:$O,15,FALSE)="","",VLOOKUP(A1899,[13]PRIORIZADOS!$A:$O,15,FALSE)),"")</f>
        <v>45817</v>
      </c>
      <c r="P1899" s="11" t="str">
        <f>IFERROR(IF(VLOOKUP(A1899,[13]PRIORIZADOS!$A:$P,16,FALSE)="","",VLOOKUP(A1899,[13]PRIORIZADOS!$A:$P,16,FALSE)),"")</f>
        <v>Visitas de evaluación con fines de mejoramiento</v>
      </c>
      <c r="Q1899" s="245" t="s">
        <v>415</v>
      </c>
      <c r="R1899" s="11" t="str">
        <f>IFERROR(IF(VLOOKUP(A1899,[13]PRIORIZADOS!$A:$R,18,FALSE)="","",VLOOKUP(A1899,[13]PRIORIZADOS!$A:$R,18,FALSE)),"")</f>
        <v>No se evidencia la caracterización de estudiantes en SIMAT, ni la formalización de PIAR para los seis casos con diagnósticos que reporta el colegio.</v>
      </c>
      <c r="S1899" s="11" t="str">
        <f>IFERROR(IF(VLOOKUP(A1899,[13]PRIORIZADOS!$A:$S,19,FALSE)="","",VLOOKUP(A1899,[13]PRIORIZADOS!$A:$S,19,FALSE)),"")</f>
        <v>Se requiere que el colegio implemente un seguimiento adecuado de los casos, mantenga actualizada la información en SIMAT y formalice los PIAR correspondientes para estudiantes diagnosticados y para aquellos con presunción de diagnóstico.</v>
      </c>
      <c r="T1899" s="70" t="str">
        <f>IFERROR(IF(VLOOKUP(A1899,[13]PRIORIZADOS!$A:$T,20,FALSE)="","",VLOOKUP(A1899,[13]PRIORIZADOS!$A:$T,20,FALSE)),"")</f>
        <v>Si</v>
      </c>
      <c r="U1899" s="11" t="str">
        <f>IFERROR(IF(VLOOKUP(A1899,[13]PRIORIZADOS!$A:$U,21,FALSE)="","",VLOOKUP(A1899,[13]PRIORIZADOS!$A:$U,21,FALSE)),"")</f>
        <v>Presentación del plan de mejoramiento el 15 de agosto, que contemple las acciones ejecutadas y la documentación soporte correspondiente. Se realizará seguimiento a plan de mejoramiento en vigencia 2026, que no fue radicado durante el presente año.</v>
      </c>
    </row>
    <row r="1900" spans="1:21" s="1" customFormat="1" ht="84">
      <c r="A1900" s="69">
        <f>IF([13]PRIORIZADOS!A63="","",[13]PRIORIZADOS!A63)</f>
        <v>1867</v>
      </c>
      <c r="B1900" s="70">
        <f>IFERROR(IF(VLOOKUP(A1900,[13]PRIORIZADOS!$A:$B,2,FALSE)="","",VLOOKUP(A1900,[13]PRIORIZADOS!$A:$B,2,FALSE)),"")</f>
        <v>7</v>
      </c>
      <c r="C1900" s="11" t="str">
        <f>IFERROR(IF(VLOOKUP(A1900,[13]PRIORIZADOS!$A:$C,3,FALSE)="","",VLOOKUP(A1900,[13]PRIORIZADOS!$A:$C,3,FALSE)),"")</f>
        <v xml:space="preserve">SANTA FE Y CANDELARIA </v>
      </c>
      <c r="D1900" s="11" t="str">
        <f>IFERROR(IF(VLOOKUP(A1900,[13]PRIORIZADOS!$A:$D,4,FALSE)="","",VLOOKUP(A1900,[13]PRIORIZADOS!$A:$D,4,FALSE)),"")</f>
        <v>PRIVADO</v>
      </c>
      <c r="E1900" s="11" t="str">
        <f>IFERROR(IF(VLOOKUP(A1900,[13]PRIORIZADOS!$A:$E,5,FALSE)="","",VLOOKUP(A1900,[13]PRIORIZADOS!$A:$E,5,FALSE)),"")</f>
        <v>EPBM</v>
      </c>
      <c r="F1900" s="11" t="str">
        <f>IFERROR(IF(VLOOKUP(A1900,[13]PRIORIZADOS!$A:$F,6,FALSE)="","",VLOOKUP(A1900,[13]PRIORIZADOS!$A:$F,6,FALSE)),"")</f>
        <v>LICEO_MATER_DEI</v>
      </c>
      <c r="G1900" s="11" t="str">
        <f>IFERROR(IF(VLOOKUP(A1900,[13]PRIORIZADOS!$A:$G,7,FALSE)="","",VLOOKUP(A1900,[13]PRIORIZADOS!$A:$G,7,FALSE)),"")</f>
        <v>LICEO MATER DEI</v>
      </c>
      <c r="H1900" s="11" t="str">
        <f>IFERROR(IF(VLOOKUP(A1900,[13]PRIORIZADOS!$A:$H,8,FALSE)="","",VLOOKUP(A1900,[13]PRIORIZADOS!$A:$H,8,FALSE)),"")</f>
        <v>Autoevaluación Institucional y Pruebas SABER 11</v>
      </c>
      <c r="I1900" s="11" t="str">
        <f>IFERROR(IF(VLOOKUP(A1900,[13]PRIORIZADOS!$A:$I,9,FALSE)="","",VLOOKUP(A1900,[13]PRIORIZADOS!$A:$I,9,FALSE)),"")</f>
        <v>EVALUACIÓN_CON_FINES_DE_MEJORAMIENTO.</v>
      </c>
      <c r="J1900" s="11" t="str">
        <f>IFERROR(IF(VLOOKUP(A1900,[13]PRIORIZADOS!$A:$J,10,FALSE)="","",VLOOKUP(A1900,[13]PRIORIZADOS!$A:$J,10,FALSE)),"")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00" s="11" t="str">
        <f>IFERROR(IF(VLOOKUP(A1900,[13]PRIORIZADOS!$A:$K,11,FALSE)="","",VLOOKUP(A1900,[13]PRIORIZADOS!$A:$K,11,FALSE)),"")</f>
        <v>DAMARIS RUT CÁRDENAS MORENO</v>
      </c>
      <c r="L1900" s="11" t="str">
        <f>IFERROR(IF(VLOOKUP(A1900,[13]PRIORIZADOS!$A:$L,12,FALSE)="","",VLOOKUP(A1900,[13]PRIORIZADOS!$A:$L,12,FALSE)),"")</f>
        <v>JOSÉ MAXIMILIANO CHAPARRO BARRERA</v>
      </c>
      <c r="M1900" s="71">
        <f>IFERROR(IF(VLOOKUP(A1900,[13]PRIORIZADOS!$A:$M,13,FALSE)="","",VLOOKUP(A1900,[13]PRIORIZADOS!$A:$M,13,FALSE)),"")</f>
        <v>45817</v>
      </c>
      <c r="N1900" s="71">
        <f>IFERROR(IF(VLOOKUP(A1900,[13]PRIORIZADOS!$A:$N,14,FALSE)="","",VLOOKUP(A1900,[13]PRIORIZADOS!$A:$N,14,FALSE)),"")</f>
        <v>45817</v>
      </c>
      <c r="O1900" s="71">
        <f>IFERROR(IF(VLOOKUP(A1900,[13]PRIORIZADOS!$A:$O,15,FALSE)="","",VLOOKUP(A1900,[13]PRIORIZADOS!$A:$O,15,FALSE)),"")</f>
        <v>45817</v>
      </c>
      <c r="P1900" s="11" t="str">
        <f>IFERROR(IF(VLOOKUP(A1900,[13]PRIORIZADOS!$A:$P,16,FALSE)="","",VLOOKUP(A1900,[13]PRIORIZADOS!$A:$P,16,FALSE)),"")</f>
        <v>Visitas de evaluación con fines de mejoramiento</v>
      </c>
      <c r="Q1900" s="245" t="s">
        <v>415</v>
      </c>
      <c r="R1900" s="11" t="str">
        <f>IFERROR(IF(VLOOKUP(A1900,[13]PRIORIZADOS!$A:$R,18,FALSE)="","",VLOOKUP(A1900,[13]PRIORIZADOS!$A:$R,18,FALSE)),"")</f>
        <v>El manual de convivencia fue construido de manera participativa, sin embargo no cuenta con enfoques de ley.</v>
      </c>
      <c r="S1900" s="11" t="str">
        <f>IFERROR(IF(VLOOKUP(A1900,[13]PRIORIZADOS!$A:$S,19,FALSE)="","",VLOOKUP(A1900,[13]PRIORIZADOS!$A:$S,19,FALSE)),"")</f>
        <v>Completar documento de manual de convivencia con enfoque restaurativo y de género, así como elaborar plan de convivencia institucional.</v>
      </c>
      <c r="T1900" s="70" t="str">
        <f>IFERROR(IF(VLOOKUP(A1900,[13]PRIORIZADOS!$A:$T,20,FALSE)="","",VLOOKUP(A1900,[13]PRIORIZADOS!$A:$T,20,FALSE)),"")</f>
        <v>Si</v>
      </c>
      <c r="U1900" s="11" t="str">
        <f>IFERROR(IF(VLOOKUP(A1900,[13]PRIORIZADOS!$A:$U,21,FALSE)="","",VLOOKUP(A1900,[13]PRIORIZADOS!$A:$U,21,FALSE)),"")</f>
        <v>Documento de  plan de mejoramiento para el 15 de agosto, con plan de trabajo y acciones realizadas.. Se realizará seguimiento a plan de mejoramiento en vigencia 2026, que no fue radicado durante el presente año.</v>
      </c>
    </row>
    <row r="1901" spans="1:21" s="1" customFormat="1" ht="72">
      <c r="A1901" s="69">
        <f>IF([13]PRIORIZADOS!A64="","",[13]PRIORIZADOS!A64)</f>
        <v>1868</v>
      </c>
      <c r="B1901" s="70">
        <f>IFERROR(IF(VLOOKUP(A1901,[13]PRIORIZADOS!$A:$B,2,FALSE)="","",VLOOKUP(A1901,[13]PRIORIZADOS!$A:$B,2,FALSE)),"")</f>
        <v>7</v>
      </c>
      <c r="C1901" s="11" t="str">
        <f>IFERROR(IF(VLOOKUP(A1901,[13]PRIORIZADOS!$A:$C,3,FALSE)="","",VLOOKUP(A1901,[13]PRIORIZADOS!$A:$C,3,FALSE)),"")</f>
        <v xml:space="preserve">SANTA FE Y CANDELARIA </v>
      </c>
      <c r="D1901" s="11" t="str">
        <f>IFERROR(IF(VLOOKUP(A1901,[13]PRIORIZADOS!$A:$D,4,FALSE)="","",VLOOKUP(A1901,[13]PRIORIZADOS!$A:$D,4,FALSE)),"")</f>
        <v>PRIVADO</v>
      </c>
      <c r="E1901" s="11" t="str">
        <f>IFERROR(IF(VLOOKUP(A1901,[13]PRIORIZADOS!$A:$E,5,FALSE)="","",VLOOKUP(A1901,[13]PRIORIZADOS!$A:$E,5,FALSE)),"")</f>
        <v>EPBM</v>
      </c>
      <c r="F1901" s="11" t="str">
        <f>IFERROR(IF(VLOOKUP(A1901,[13]PRIORIZADOS!$A:$F,6,FALSE)="","",VLOOKUP(A1901,[13]PRIORIZADOS!$A:$F,6,FALSE)),"")</f>
        <v>LICEO_MATER_DEI</v>
      </c>
      <c r="G1901" s="11" t="str">
        <f>IFERROR(IF(VLOOKUP(A1901,[13]PRIORIZADOS!$A:$G,7,FALSE)="","",VLOOKUP(A1901,[13]PRIORIZADOS!$A:$G,7,FALSE)),"")</f>
        <v>LICEO MATER DEI</v>
      </c>
      <c r="H1901" s="11" t="str">
        <f>IFERROR(IF(VLOOKUP(A1901,[13]PRIORIZADOS!$A:$H,8,FALSE)="","",VLOOKUP(A1901,[13]PRIORIZADOS!$A:$H,8,FALSE)),"")</f>
        <v>Autoevaluación Institucional y Pruebas SABER 11</v>
      </c>
      <c r="I1901" s="11" t="str">
        <f>IFERROR(IF(VLOOKUP(A1901,[13]PRIORIZADOS!$A:$I,9,FALSE)="","",VLOOKUP(A1901,[13]PRIORIZADOS!$A:$I,9,FALSE)),"")</f>
        <v>EVALUACIÓN_CON_FINES_DE_MEJORAMIENTO.</v>
      </c>
      <c r="J1901" s="11" t="str">
        <f>IFERROR(IF(VLOOKUP(A1901,[13]PRIORIZADOS!$A:$J,10,FALSE)="","",VLOOKUP(A1901,[13]PRIORIZADOS!$A:$J,10,FALSE)),"")</f>
        <v>Revisar la actualización, socialización e implementación del Sistema Institucional de Evaluación de Estudiantes - SIEE, en articulación con la actualización del PEI y la normatividad vigente.</v>
      </c>
      <c r="K1901" s="11" t="str">
        <f>IFERROR(IF(VLOOKUP(A1901,[13]PRIORIZADOS!$A:$K,11,FALSE)="","",VLOOKUP(A1901,[13]PRIORIZADOS!$A:$K,11,FALSE)),"")</f>
        <v>DAMARIS RUT CÁRDENAS MORENO</v>
      </c>
      <c r="L1901" s="11" t="str">
        <f>IFERROR(IF(VLOOKUP(A1901,[13]PRIORIZADOS!$A:$L,12,FALSE)="","",VLOOKUP(A1901,[13]PRIORIZADOS!$A:$L,12,FALSE)),"")</f>
        <v>JOSÉ MAXIMILIANO CHAPARRO BARRERA</v>
      </c>
      <c r="M1901" s="71">
        <f>IFERROR(IF(VLOOKUP(A1901,[13]PRIORIZADOS!$A:$M,13,FALSE)="","",VLOOKUP(A1901,[13]PRIORIZADOS!$A:$M,13,FALSE)),"")</f>
        <v>45817</v>
      </c>
      <c r="N1901" s="71">
        <f>IFERROR(IF(VLOOKUP(A1901,[13]PRIORIZADOS!$A:$N,14,FALSE)="","",VLOOKUP(A1901,[13]PRIORIZADOS!$A:$N,14,FALSE)),"")</f>
        <v>45817</v>
      </c>
      <c r="O1901" s="71">
        <f>IFERROR(IF(VLOOKUP(A1901,[13]PRIORIZADOS!$A:$O,15,FALSE)="","",VLOOKUP(A1901,[13]PRIORIZADOS!$A:$O,15,FALSE)),"")</f>
        <v>45817</v>
      </c>
      <c r="P1901" s="11" t="str">
        <f>IFERROR(IF(VLOOKUP(A1901,[13]PRIORIZADOS!$A:$P,16,FALSE)="","",VLOOKUP(A1901,[13]PRIORIZADOS!$A:$P,16,FALSE)),"")</f>
        <v>Visitas de evaluación con fines de mejoramiento</v>
      </c>
      <c r="Q1901" s="245" t="s">
        <v>415</v>
      </c>
      <c r="R1901" s="11" t="str">
        <f>IFERROR(IF(VLOOKUP(A1901,[13]PRIORIZADOS!$A:$R,18,FALSE)="","",VLOOKUP(A1901,[13]PRIORIZADOS!$A:$R,18,FALSE)),"")</f>
        <v>El colegio dispone de documentos institucionales como el PEI y el SIEE, actualizados y en proceso de mejora. No obstante, el organigrama institucional no representa fielmente la estructura real del centro educativo.</v>
      </c>
      <c r="S1901" s="11" t="str">
        <f>IFERROR(IF(VLOOKUP(A1901,[13]PRIORIZADOS!$A:$S,19,FALSE)="","",VLOOKUP(A1901,[13]PRIORIZADOS!$A:$S,19,FALSE)),"")</f>
        <v>Desarrollar y poner en práctica los documentos vinculados al PIAR, así como diseñar un organigrama institucional que refleje fielmente la estructura organizacional.</v>
      </c>
      <c r="T1901" s="70" t="str">
        <f>IFERROR(IF(VLOOKUP(A1901,[13]PRIORIZADOS!$A:$T,20,FALSE)="","",VLOOKUP(A1901,[13]PRIORIZADOS!$A:$T,20,FALSE)),"")</f>
        <v>Si</v>
      </c>
      <c r="U1901" s="11" t="str">
        <f>IFERROR(IF(VLOOKUP(A1901,[13]PRIORIZADOS!$A:$U,21,FALSE)="","",VLOOKUP(A1901,[13]PRIORIZADOS!$A:$U,21,FALSE)),"")</f>
        <v>Presentación, el 15 de agosto, del plan de mejoramiento que contenga las acciones implementadas y los soportes de las mismas.Se realizará seguimiento a plan de mejoramiento en vigencia 2026, que no fue radicado durante el presente año.</v>
      </c>
    </row>
    <row r="1902" spans="1:21" s="1" customFormat="1" ht="48">
      <c r="A1902" s="69">
        <f>IF([13]PRIORIZADOS!A65="","",[13]PRIORIZADOS!A65)</f>
        <v>1869</v>
      </c>
      <c r="B1902" s="70">
        <f>IFERROR(IF(VLOOKUP(A1902,[13]PRIORIZADOS!$A:$B,2,FALSE)="","",VLOOKUP(A1902,[13]PRIORIZADOS!$A:$B,2,FALSE)),"")</f>
        <v>7</v>
      </c>
      <c r="C1902" s="11" t="str">
        <f>IFERROR(IF(VLOOKUP(A1902,[13]PRIORIZADOS!$A:$C,3,FALSE)="","",VLOOKUP(A1902,[13]PRIORIZADOS!$A:$C,3,FALSE)),"")</f>
        <v xml:space="preserve">SANTA FE Y CANDELARIA </v>
      </c>
      <c r="D1902" s="11" t="str">
        <f>IFERROR(IF(VLOOKUP(A1902,[13]PRIORIZADOS!$A:$D,4,FALSE)="","",VLOOKUP(A1902,[13]PRIORIZADOS!$A:$D,4,FALSE)),"")</f>
        <v>PRIVADO</v>
      </c>
      <c r="E1902" s="11" t="str">
        <f>IFERROR(IF(VLOOKUP(A1902,[13]PRIORIZADOS!$A:$E,5,FALSE)="","",VLOOKUP(A1902,[13]PRIORIZADOS!$A:$E,5,FALSE)),"")</f>
        <v>EPBM</v>
      </c>
      <c r="F1902" s="11" t="str">
        <f>IFERROR(IF(VLOOKUP(A1902,[13]PRIORIZADOS!$A:$F,6,FALSE)="","",VLOOKUP(A1902,[13]PRIORIZADOS!$A:$F,6,FALSE)),"")</f>
        <v>LICEO_MATER_DEI</v>
      </c>
      <c r="G1902" s="11" t="str">
        <f>IFERROR(IF(VLOOKUP(A1902,[13]PRIORIZADOS!$A:$G,7,FALSE)="","",VLOOKUP(A1902,[13]PRIORIZADOS!$A:$G,7,FALSE)),"")</f>
        <v>LICEO MATER DEI</v>
      </c>
      <c r="H1902" s="11" t="str">
        <f>IFERROR(IF(VLOOKUP(A1902,[13]PRIORIZADOS!$A:$H,8,FALSE)="","",VLOOKUP(A1902,[13]PRIORIZADOS!$A:$H,8,FALSE)),"")</f>
        <v>Autoevaluación Institucional y Pruebas SABER 11</v>
      </c>
      <c r="I1902" s="11" t="str">
        <f>IFERROR(IF(VLOOKUP(A1902,[13]PRIORIZADOS!$A:$I,9,FALSE)="","",VLOOKUP(A1902,[13]PRIORIZADOS!$A:$I,9,FALSE)),"")</f>
        <v>EVALUACIÓN_CON_FINES_DE_MEJORAMIENTO.</v>
      </c>
      <c r="J1902" s="11" t="str">
        <f>IFERROR(IF(VLOOKUP(A1902,[13]PRIORIZADOS!$A:$J,10,FALSE)="","",VLOOKUP(A1902,[13]PRIORIZADOS!$A:$J,10,FALSE)),"")</f>
        <v>Revisar el calendario escolar, jornada escolar, la intensidad horaria mínima anual en cada nivel y las modificaciones que se realicen al mismo, de acuerdo con lo previsto en la normatividad vigente.</v>
      </c>
      <c r="K1902" s="11" t="str">
        <f>IFERROR(IF(VLOOKUP(A1902,[13]PRIORIZADOS!$A:$K,11,FALSE)="","",VLOOKUP(A1902,[13]PRIORIZADOS!$A:$K,11,FALSE)),"")</f>
        <v>DAMARIS RUT CÁRDENAS MORENO</v>
      </c>
      <c r="L1902" s="11" t="str">
        <f>IFERROR(IF(VLOOKUP(A1902,[13]PRIORIZADOS!$A:$L,12,FALSE)="","",VLOOKUP(A1902,[13]PRIORIZADOS!$A:$L,12,FALSE)),"")</f>
        <v>JOSÉ MAXIMILIANO CHAPARRO BARRERA</v>
      </c>
      <c r="M1902" s="71">
        <f>IFERROR(IF(VLOOKUP(A1902,[13]PRIORIZADOS!$A:$M,13,FALSE)="","",VLOOKUP(A1902,[13]PRIORIZADOS!$A:$M,13,FALSE)),"")</f>
        <v>45817</v>
      </c>
      <c r="N1902" s="71">
        <f>IFERROR(IF(VLOOKUP(A1902,[13]PRIORIZADOS!$A:$N,14,FALSE)="","",VLOOKUP(A1902,[13]PRIORIZADOS!$A:$N,14,FALSE)),"")</f>
        <v>45817</v>
      </c>
      <c r="O1902" s="71">
        <f>IFERROR(IF(VLOOKUP(A1902,[13]PRIORIZADOS!$A:$O,15,FALSE)="","",VLOOKUP(A1902,[13]PRIORIZADOS!$A:$O,15,FALSE)),"")</f>
        <v>45817</v>
      </c>
      <c r="P1902" s="11" t="str">
        <f>IFERROR(IF(VLOOKUP(A1902,[13]PRIORIZADOS!$A:$P,16,FALSE)="","",VLOOKUP(A1902,[13]PRIORIZADOS!$A:$P,16,FALSE)),"")</f>
        <v>Visitas de evaluación con fines de mejoramiento</v>
      </c>
      <c r="Q1902" s="247" t="s">
        <v>415</v>
      </c>
      <c r="R1902" s="11" t="str">
        <f>IFERROR(IF(VLOOKUP(A1902,[13]PRIORIZADOS!$A:$R,18,FALSE)="","",VLOOKUP(A1902,[13]PRIORIZADOS!$A:$R,18,FALSE)),"")</f>
        <v>Se constata el cumplimiento de lo informado en el Calendario Escolar, así como de lo establecido en la normativa vigente.</v>
      </c>
      <c r="S1902" s="11" t="str">
        <f>IFERROR(IF(VLOOKUP(A1902,[13]PRIORIZADOS!$A:$S,19,FALSE)="","",VLOOKUP(A1902,[13]PRIORIZADOS!$A:$S,19,FALSE)),"")</f>
        <v xml:space="preserve">Dar continuidad al desarrollo del calendario académico y garantizar su correcta ejecución. </v>
      </c>
      <c r="T1902" s="70" t="str">
        <f>IFERROR(IF(VLOOKUP(A1902,[13]PRIORIZADOS!$A:$T,20,FALSE)="","",VLOOKUP(A1902,[13]PRIORIZADOS!$A:$T,20,FALSE)),"")</f>
        <v>No</v>
      </c>
      <c r="U1902" s="11" t="str">
        <f>IFERROR(IF(VLOOKUP(A1902,[13]PRIORIZADOS!$A:$U,21,FALSE)="","",VLOOKUP(A1902,[13]PRIORIZADOS!$A:$U,21,FALSE)),"")</f>
        <v>Para la vigencia 2026 se verificara que el calendario escolar se acoja a la normatividad relacionada.</v>
      </c>
    </row>
    <row r="1903" spans="1:21" s="1" customFormat="1" ht="48">
      <c r="A1903" s="69">
        <f>IF([13]PRIORIZADOS!A66="","",[13]PRIORIZADOS!A66)</f>
        <v>1870</v>
      </c>
      <c r="B1903" s="70">
        <f>IFERROR(IF(VLOOKUP(A1903,[13]PRIORIZADOS!$A:$B,2,FALSE)="","",VLOOKUP(A1903,[13]PRIORIZADOS!$A:$B,2,FALSE)),"")</f>
        <v>7</v>
      </c>
      <c r="C1903" s="11" t="str">
        <f>IFERROR(IF(VLOOKUP(A1903,[13]PRIORIZADOS!$A:$C,3,FALSE)="","",VLOOKUP(A1903,[13]PRIORIZADOS!$A:$C,3,FALSE)),"")</f>
        <v xml:space="preserve">SANTA FE Y CANDELARIA </v>
      </c>
      <c r="D1903" s="11" t="str">
        <f>IFERROR(IF(VLOOKUP(A1903,[13]PRIORIZADOS!$A:$D,4,FALSE)="","",VLOOKUP(A1903,[13]PRIORIZADOS!$A:$D,4,FALSE)),"")</f>
        <v>PRIVADO</v>
      </c>
      <c r="E1903" s="11" t="str">
        <f>IFERROR(IF(VLOOKUP(A1903,[13]PRIORIZADOS!$A:$E,5,FALSE)="","",VLOOKUP(A1903,[13]PRIORIZADOS!$A:$E,5,FALSE)),"")</f>
        <v>EPBM</v>
      </c>
      <c r="F1903" s="11" t="str">
        <f>IFERROR(IF(VLOOKUP(A1903,[13]PRIORIZADOS!$A:$F,6,FALSE)="","",VLOOKUP(A1903,[13]PRIORIZADOS!$A:$F,6,FALSE)),"")</f>
        <v>LICEO_MATER_DEI</v>
      </c>
      <c r="G1903" s="11" t="str">
        <f>IFERROR(IF(VLOOKUP(A1903,[13]PRIORIZADOS!$A:$G,7,FALSE)="","",VLOOKUP(A1903,[13]PRIORIZADOS!$A:$G,7,FALSE)),"")</f>
        <v>LICEO MATER DEI</v>
      </c>
      <c r="H1903" s="11" t="str">
        <f>IFERROR(IF(VLOOKUP(A1903,[13]PRIORIZADOS!$A:$H,8,FALSE)="","",VLOOKUP(A1903,[13]PRIORIZADOS!$A:$H,8,FALSE)),"")</f>
        <v>Autoevaluación Institucional y Pruebas SABER 11</v>
      </c>
      <c r="I1903" s="11" t="str">
        <f>IFERROR(IF(VLOOKUP(A1903,[13]PRIORIZADOS!$A:$I,9,FALSE)="","",VLOOKUP(A1903,[13]PRIORIZADOS!$A:$I,9,FALSE)),"")</f>
        <v>EVALUACIÓN_CON_FINES_DE_MEJORAMIENTO.</v>
      </c>
      <c r="J1903" s="11" t="str">
        <f>IFERROR(IF(VLOOKUP(A1903,[13]PRIORIZADOS!$A:$J,10,FALSE)="","",VLOOKUP(A1903,[13]PRIORIZADOS!$A:$J,10,FALSE)),"")</f>
        <v>Verificar el funcionamiento del Gobierno Escolar e instancias de participación con base en la información sobre conformación reportada por la institución educativa.</v>
      </c>
      <c r="K1903" s="11" t="str">
        <f>IFERROR(IF(VLOOKUP(A1903,[13]PRIORIZADOS!$A:$K,11,FALSE)="","",VLOOKUP(A1903,[13]PRIORIZADOS!$A:$K,11,FALSE)),"")</f>
        <v>DAMARIS RUT CÁRDENAS MORENO</v>
      </c>
      <c r="L1903" s="11" t="str">
        <f>IFERROR(IF(VLOOKUP(A1903,[13]PRIORIZADOS!$A:$L,12,FALSE)="","",VLOOKUP(A1903,[13]PRIORIZADOS!$A:$L,12,FALSE)),"")</f>
        <v>JOSÉ MAXIMILIANO CHAPARRO BARRERA</v>
      </c>
      <c r="M1903" s="71">
        <f>IFERROR(IF(VLOOKUP(A1903,[13]PRIORIZADOS!$A:$M,13,FALSE)="","",VLOOKUP(A1903,[13]PRIORIZADOS!$A:$M,13,FALSE)),"")</f>
        <v>45817</v>
      </c>
      <c r="N1903" s="71">
        <f>IFERROR(IF(VLOOKUP(A1903,[13]PRIORIZADOS!$A:$N,14,FALSE)="","",VLOOKUP(A1903,[13]PRIORIZADOS!$A:$N,14,FALSE)),"")</f>
        <v>45817</v>
      </c>
      <c r="O1903" s="71">
        <f>IFERROR(IF(VLOOKUP(A1903,[13]PRIORIZADOS!$A:$O,15,FALSE)="","",VLOOKUP(A1903,[13]PRIORIZADOS!$A:$O,15,FALSE)),"")</f>
        <v>45817</v>
      </c>
      <c r="P1903" s="11" t="str">
        <f>IFERROR(IF(VLOOKUP(A1903,[13]PRIORIZADOS!$A:$P,16,FALSE)="","",VLOOKUP(A1903,[13]PRIORIZADOS!$A:$P,16,FALSE)),"")</f>
        <v>Visitas de evaluación con fines de mejoramiento</v>
      </c>
      <c r="Q1903" s="243" t="s">
        <v>415</v>
      </c>
      <c r="R1903" s="11" t="str">
        <f>IFERROR(IF(VLOOKUP(A1903,[13]PRIORIZADOS!$A:$R,18,FALSE)="","",VLOOKUP(A1903,[13]PRIORIZADOS!$A:$R,18,FALSE)),"")</f>
        <v>Se constata el cargue de las actas de conformación y de reuniones, las cuales evidencian la operatividad de cada estamento.</v>
      </c>
      <c r="S1903" s="11" t="str">
        <f>IFERROR(IF(VLOOKUP(A1903,[13]PRIORIZADOS!$A:$S,19,FALSE)="","",VLOOKUP(A1903,[13]PRIORIZADOS!$A:$S,19,FALSE)),"")</f>
        <v>Dar continuidad al desarrollo del cronograma de actividades conforme a las funciones asignadas a cada estamento del gobierno escolar.</v>
      </c>
      <c r="T1903" s="70" t="str">
        <f>IFERROR(IF(VLOOKUP(A1903,[13]PRIORIZADOS!$A:$T,20,FALSE)="","",VLOOKUP(A1903,[13]PRIORIZADOS!$A:$T,20,FALSE)),"")</f>
        <v>No</v>
      </c>
      <c r="U1903" s="11" t="str">
        <f>IFERROR(IF(VLOOKUP(A1903,[13]PRIORIZADOS!$A:$U,21,FALSE)="","",VLOOKUP(A1903,[13]PRIORIZADOS!$A:$U,21,FALSE)),"")</f>
        <v>Para la vigencia 2026 se verificara que las instancias de participación escolar se establezcan conforme a la normatividad relacionada.</v>
      </c>
    </row>
    <row r="1904" spans="1:21" s="1" customFormat="1" ht="72">
      <c r="A1904" s="69">
        <f>IF([13]PRIORIZADOS!A67="","",[13]PRIORIZADOS!A67)</f>
        <v>1871</v>
      </c>
      <c r="B1904" s="70">
        <f>IFERROR(IF(VLOOKUP(A1904,[13]PRIORIZADOS!$A:$B,2,FALSE)="","",VLOOKUP(A1904,[13]PRIORIZADOS!$A:$B,2,FALSE)),"")</f>
        <v>7</v>
      </c>
      <c r="C1904" s="11" t="str">
        <f>IFERROR(IF(VLOOKUP(A1904,[13]PRIORIZADOS!$A:$C,3,FALSE)="","",VLOOKUP(A1904,[13]PRIORIZADOS!$A:$C,3,FALSE)),"")</f>
        <v xml:space="preserve">SANTA FE Y CANDELARIA </v>
      </c>
      <c r="D1904" s="11" t="str">
        <f>IFERROR(IF(VLOOKUP(A1904,[13]PRIORIZADOS!$A:$D,4,FALSE)="","",VLOOKUP(A1904,[13]PRIORIZADOS!$A:$D,4,FALSE)),"")</f>
        <v>PRIVADO</v>
      </c>
      <c r="E1904" s="11" t="str">
        <f>IFERROR(IF(VLOOKUP(A1904,[13]PRIORIZADOS!$A:$E,5,FALSE)="","",VLOOKUP(A1904,[13]PRIORIZADOS!$A:$E,5,FALSE)),"")</f>
        <v>EPBM</v>
      </c>
      <c r="F1904" s="11" t="str">
        <f>IFERROR(IF(VLOOKUP(A1904,[13]PRIORIZADOS!$A:$F,6,FALSE)="","",VLOOKUP(A1904,[13]PRIORIZADOS!$A:$F,6,FALSE)),"")</f>
        <v>LICEO_MATER_DEI</v>
      </c>
      <c r="G1904" s="11" t="str">
        <f>IFERROR(IF(VLOOKUP(A1904,[13]PRIORIZADOS!$A:$G,7,FALSE)="","",VLOOKUP(A1904,[13]PRIORIZADOS!$A:$G,7,FALSE)),"")</f>
        <v>LICEO MATER DEI</v>
      </c>
      <c r="H1904" s="11" t="str">
        <f>IFERROR(IF(VLOOKUP(A1904,[13]PRIORIZADOS!$A:$H,8,FALSE)="","",VLOOKUP(A1904,[13]PRIORIZADOS!$A:$H,8,FALSE)),"")</f>
        <v>Autoevaluación Institucional y Pruebas SABER 11</v>
      </c>
      <c r="I1904" s="11" t="str">
        <f>IFERROR(IF(VLOOKUP(A1904,[13]PRIORIZADOS!$A:$I,9,FALSE)="","",VLOOKUP(A1904,[13]PRIORIZADOS!$A:$I,9,FALSE)),"")</f>
        <v>EVALUACIÓN_CON_FINES_DE_MEJORAMIENTO.</v>
      </c>
      <c r="J1904" s="11" t="str">
        <f>IFERROR(IF(VLOOKUP(A1904,[13]PRIORIZADOS!$A:$J,10,FALSE)="","",VLOOKUP(A1904,[13]PRIORIZADOS!$A:$J,10,FALSE)),"")</f>
        <v>Verificar las condiciones en cuanto a: la estructura administrativa, condiciones de la planta física y medios educativos adecuados.</v>
      </c>
      <c r="K1904" s="11" t="str">
        <f>IFERROR(IF(VLOOKUP(A1904,[13]PRIORIZADOS!$A:$K,11,FALSE)="","",VLOOKUP(A1904,[13]PRIORIZADOS!$A:$K,11,FALSE)),"")</f>
        <v>DAMARIS RUT CÁRDENAS MORENO</v>
      </c>
      <c r="L1904" s="11" t="str">
        <f>IFERROR(IF(VLOOKUP(A1904,[13]PRIORIZADOS!$A:$L,12,FALSE)="","",VLOOKUP(A1904,[13]PRIORIZADOS!$A:$L,12,FALSE)),"")</f>
        <v>JOSÉ MAXIMILIANO CHAPARRO BARRERA</v>
      </c>
      <c r="M1904" s="71">
        <f>IFERROR(IF(VLOOKUP(A1904,[13]PRIORIZADOS!$A:$M,13,FALSE)="","",VLOOKUP(A1904,[13]PRIORIZADOS!$A:$M,13,FALSE)),"")</f>
        <v>45817</v>
      </c>
      <c r="N1904" s="71">
        <f>IFERROR(IF(VLOOKUP(A1904,[13]PRIORIZADOS!$A:$N,14,FALSE)="","",VLOOKUP(A1904,[13]PRIORIZADOS!$A:$N,14,FALSE)),"")</f>
        <v>45817</v>
      </c>
      <c r="O1904" s="71">
        <f>IFERROR(IF(VLOOKUP(A1904,[13]PRIORIZADOS!$A:$O,15,FALSE)="","",VLOOKUP(A1904,[13]PRIORIZADOS!$A:$O,15,FALSE)),"")</f>
        <v>45817</v>
      </c>
      <c r="P1904" s="11" t="str">
        <f>IFERROR(IF(VLOOKUP(A1904,[13]PRIORIZADOS!$A:$P,16,FALSE)="","",VLOOKUP(A1904,[13]PRIORIZADOS!$A:$P,16,FALSE)),"")</f>
        <v>Visitas de evaluación con fines de mejoramiento</v>
      </c>
      <c r="Q1904" s="243" t="s">
        <v>415</v>
      </c>
      <c r="R1904" s="11" t="str">
        <f>IFERROR(IF(VLOOKUP(A1904,[13]PRIORIZADOS!$A:$R,18,FALSE)="","",VLOOKUP(A1904,[13]PRIORIZADOS!$A:$R,18,FALSE)),"")</f>
        <v>Se verifica que la planta física y el mobiliario presentan un mantenimiento adecuado; no obstante, la institución no dispone de áreas adaptadas para el personal con movilidad reducida y/o discapacidad.</v>
      </c>
      <c r="S1904" s="11" t="str">
        <f>IFERROR(IF(VLOOKUP(A1904,[13]PRIORIZADOS!$A:$S,19,FALSE)="","",VLOOKUP(A1904,[13]PRIORIZADOS!$A:$S,19,FALSE)),"")</f>
        <v>Realizar una evaluación financiera para la adaptación de espacios destinados a personas con discapacidad.</v>
      </c>
      <c r="T1904" s="70" t="str">
        <f>IFERROR(IF(VLOOKUP(A1904,[13]PRIORIZADOS!$A:$T,20,FALSE)="","",VLOOKUP(A1904,[13]PRIORIZADOS!$A:$T,20,FALSE)),"")</f>
        <v>No</v>
      </c>
      <c r="U1904" s="11" t="str">
        <f>IFERROR(IF(VLOOKUP(A1904,[13]PRIORIZADOS!$A:$U,21,FALSE)="","",VLOOKUP(A1904,[13]PRIORIZADOS!$A:$U,21,FALSE)),"")</f>
        <v xml:space="preserve">Desde la mesa de rectores se generará espacio de socialización sobre condiciones de infraestructura, ambientes compartidos y normatividad educativa relacionada. </v>
      </c>
    </row>
    <row r="1905" spans="1:21" s="1" customFormat="1" ht="72">
      <c r="A1905" s="69">
        <f>IF([13]PRIORIZADOS!A68="","",[13]PRIORIZADOS!A68)</f>
        <v>1872</v>
      </c>
      <c r="B1905" s="70">
        <f>IFERROR(IF(VLOOKUP(A1905,[13]PRIORIZADOS!$A:$B,2,FALSE)="","",VLOOKUP(A1905,[13]PRIORIZADOS!$A:$B,2,FALSE)),"")</f>
        <v>8</v>
      </c>
      <c r="C1905" s="11" t="str">
        <f>IFERROR(IF(VLOOKUP(A1905,[13]PRIORIZADOS!$A:$C,3,FALSE)="","",VLOOKUP(A1905,[13]PRIORIZADOS!$A:$C,3,FALSE)),"")</f>
        <v xml:space="preserve">SANTA FE Y CANDELARIA </v>
      </c>
      <c r="D1905" s="11" t="str">
        <f>IFERROR(IF(VLOOKUP(A1905,[13]PRIORIZADOS!$A:$D,4,FALSE)="","",VLOOKUP(A1905,[13]PRIORIZADOS!$A:$D,4,FALSE)),"")</f>
        <v>PRIVADO</v>
      </c>
      <c r="E1905" s="11" t="str">
        <f>IFERROR(IF(VLOOKUP(A1905,[13]PRIORIZADOS!$A:$E,5,FALSE)="","",VLOOKUP(A1905,[13]PRIORIZADOS!$A:$E,5,FALSE)),"")</f>
        <v>EPBM</v>
      </c>
      <c r="F1905" s="11" t="str">
        <f>IFERROR(IF(VLOOKUP(A1905,[13]PRIORIZADOS!$A:$F,6,FALSE)="","",VLOOKUP(A1905,[13]PRIORIZADOS!$A:$F,6,FALSE)),"")</f>
        <v>CENTRO_EDUCATIVO_LIBERTAD</v>
      </c>
      <c r="G1905" s="11" t="str">
        <f>IFERROR(IF(VLOOKUP(A1905,[13]PRIORIZADOS!$A:$G,7,FALSE)="","",VLOOKUP(A1905,[13]PRIORIZADOS!$A:$G,7,FALSE)),"")</f>
        <v>CENTRO EDUCATIVO LIBERTAD</v>
      </c>
      <c r="H1905" s="11" t="str">
        <f>IFERROR(IF(VLOOKUP(A1905,[13]PRIORIZADOS!$A:$H,8,FALSE)="","",VLOOKUP(A1905,[13]PRIORIZADOS!$A:$H,8,FALSE)),"")</f>
        <v>Convivencia escolar</v>
      </c>
      <c r="I1905" s="11" t="str">
        <f>IFERROR(IF(VLOOKUP(A1905,[13]PRIORIZADOS!$A:$I,9,FALSE)="","",VLOOKUP(A1905,[13]PRIORIZADOS!$A:$I,9,FALSE)),"")</f>
        <v>SEGUIMIENTO_Y_SUPERVISIÓN.</v>
      </c>
      <c r="J1905" s="11" t="str">
        <f>IFERROR(IF(VLOOKUP(A1905,[13]PRIORIZADOS!$A:$J,10,FALSE)="","",VLOOKUP(A1905,[13]PRIORIZADOS!$A:$J,10,FALSE)),"")</f>
        <v>Realizar visitas para verificar la información registrada sobre la autoevaluación institucional en el aplicativo EVI, a los establecimientos de educación formal no oficial.</v>
      </c>
      <c r="K1905" s="11" t="str">
        <f>IFERROR(IF(VLOOKUP(A1905,[13]PRIORIZADOS!$A:$K,11,FALSE)="","",VLOOKUP(A1905,[13]PRIORIZADOS!$A:$K,11,FALSE)),"")</f>
        <v xml:space="preserve">JORGE WILLIAM BONILLA ROMERO </v>
      </c>
      <c r="L1905" s="11" t="str">
        <f>IFERROR(IF(VLOOKUP(A1905,[13]PRIORIZADOS!$A:$L,12,FALSE)="","",VLOOKUP(A1905,[13]PRIORIZADOS!$A:$L,12,FALSE)),"")</f>
        <v>DAMARIS RUT CÁRDENAS MORENO</v>
      </c>
      <c r="M1905" s="71">
        <f>IFERROR(IF(VLOOKUP(A1905,[13]PRIORIZADOS!$A:$M,13,FALSE)="","",VLOOKUP(A1905,[13]PRIORIZADOS!$A:$M,13,FALSE)),"")</f>
        <v>45797</v>
      </c>
      <c r="N1905" s="71">
        <f>IFERROR(IF(VLOOKUP(A1905,[13]PRIORIZADOS!$A:$N,14,FALSE)="","",VLOOKUP(A1905,[13]PRIORIZADOS!$A:$N,14,FALSE)),"")</f>
        <v>45797</v>
      </c>
      <c r="O1905" s="71">
        <f>IFERROR(IF(VLOOKUP(A1905,[13]PRIORIZADOS!$A:$O,15,FALSE)="","",VLOOKUP(A1905,[13]PRIORIZADOS!$A:$O,15,FALSE)),"")</f>
        <v>45797</v>
      </c>
      <c r="P1905" s="11" t="str">
        <f>IFERROR(IF(VLOOKUP(A1905,[13]PRIORIZADOS!$A:$P,16,FALSE)="","",VLOOKUP(A1905,[13]PRIORIZADOS!$A:$P,16,FALSE)),"")</f>
        <v>Visitas de evaluación con fines de mejoramiento</v>
      </c>
      <c r="Q1905" s="243" t="s">
        <v>416</v>
      </c>
      <c r="R1905" s="11" t="str">
        <f>IFERROR(IF(VLOOKUP(A1905,[13]PRIORIZADOS!$A:$R,18,FALSE)="","",VLOOKUP(A1905,[13]PRIORIZADOS!$A:$R,18,FALSE)),"")</f>
        <v xml:space="preserve">En recorrido a las instalaciones se verifica el reporte de lo informado a través de la autoevaluación institucional. </v>
      </c>
      <c r="S1905" s="11" t="str">
        <f>IFERROR(IF(VLOOKUP(A1905,[13]PRIORIZADOS!$A:$S,19,FALSE)="","",VLOOKUP(A1905,[13]PRIORIZADOS!$A:$S,19,FALSE)),"")</f>
        <v xml:space="preserve">Se solicita al colegio desarrollar la prestación del servicio educativo conforme a lo autorizado en licencia y tener en cuenta las normas relacionadas con la normativa educativa, incluida la resolución 1326 de 2023.    </v>
      </c>
      <c r="T1905" s="70" t="str">
        <f>IFERROR(IF(VLOOKUP(A1905,[13]PRIORIZADOS!$A:$T,20,FALSE)="","",VLOOKUP(A1905,[13]PRIORIZADOS!$A:$T,20,FALSE)),"")</f>
        <v>No</v>
      </c>
      <c r="U1905" s="11" t="str">
        <f>IFERROR(IF(VLOOKUP(A1905,[13]PRIORIZADOS!$A:$U,21,FALSE)="","",VLOOKUP(A1905,[13]PRIORIZADOS!$A:$U,21,FALSE)),"")</f>
        <v xml:space="preserve">Se generará seguimiento al cumplimiento de las condiciones sobre la prestación del servicio educativo conforme a regulación.  
</v>
      </c>
    </row>
    <row r="1906" spans="1:21" s="1" customFormat="1" ht="60">
      <c r="A1906" s="69">
        <f>IF([13]PRIORIZADOS!A69="","",[13]PRIORIZADOS!A69)</f>
        <v>1873</v>
      </c>
      <c r="B1906" s="70">
        <f>IFERROR(IF(VLOOKUP(A1906,[13]PRIORIZADOS!$A:$B,2,FALSE)="","",VLOOKUP(A1906,[13]PRIORIZADOS!$A:$B,2,FALSE)),"")</f>
        <v>8</v>
      </c>
      <c r="C1906" s="11" t="str">
        <f>IFERROR(IF(VLOOKUP(A1906,[13]PRIORIZADOS!$A:$C,3,FALSE)="","",VLOOKUP(A1906,[13]PRIORIZADOS!$A:$C,3,FALSE)),"")</f>
        <v xml:space="preserve">SANTA FE Y CANDELARIA </v>
      </c>
      <c r="D1906" s="11" t="str">
        <f>IFERROR(IF(VLOOKUP(A1906,[13]PRIORIZADOS!$A:$D,4,FALSE)="","",VLOOKUP(A1906,[13]PRIORIZADOS!$A:$D,4,FALSE)),"")</f>
        <v>PRIVADO</v>
      </c>
      <c r="E1906" s="11" t="str">
        <f>IFERROR(IF(VLOOKUP(A1906,[13]PRIORIZADOS!$A:$E,5,FALSE)="","",VLOOKUP(A1906,[13]PRIORIZADOS!$A:$E,5,FALSE)),"")</f>
        <v>EPBM</v>
      </c>
      <c r="F1906" s="11" t="str">
        <f>IFERROR(IF(VLOOKUP(A1906,[13]PRIORIZADOS!$A:$F,6,FALSE)="","",VLOOKUP(A1906,[13]PRIORIZADOS!$A:$F,6,FALSE)),"")</f>
        <v>CENTRO_EDUCATIVO_LIBERTAD</v>
      </c>
      <c r="G1906" s="11" t="str">
        <f>IFERROR(IF(VLOOKUP(A1906,[13]PRIORIZADOS!$A:$G,7,FALSE)="","",VLOOKUP(A1906,[13]PRIORIZADOS!$A:$G,7,FALSE)),"")</f>
        <v>CENTRO EDUCATIVO LIBERTAD</v>
      </c>
      <c r="H1906" s="11" t="str">
        <f>IFERROR(IF(VLOOKUP(A1906,[13]PRIORIZADOS!$A:$H,8,FALSE)="","",VLOOKUP(A1906,[13]PRIORIZADOS!$A:$H,8,FALSE)),"")</f>
        <v>Convivencia escolar</v>
      </c>
      <c r="I1906" s="11" t="str">
        <f>IFERROR(IF(VLOOKUP(A1906,[13]PRIORIZADOS!$A:$I,9,FALSE)="","",VLOOKUP(A1906,[13]PRIORIZADOS!$A:$I,9,FALSE)),"")</f>
        <v>SEGUIMIENTO_Y_SUPERVISIÓN.</v>
      </c>
      <c r="J1906" s="11" t="str">
        <f>IFERROR(IF(VLOOKUP(A1906,[13]PRIORIZADOS!$A:$J,10,FALSE)="","",VLOOKUP(A1906,[13]PRIORIZADOS!$A:$J,10,FALSE)),"")</f>
        <v>Proponer estrategias en la formulación, verificar su elaboración y realizar seguimiento semestral al desarrollo de  las acciones establecidas en los planes de mejoramiento por pruebas SABER 11 de los establecimientos de educación formal.</v>
      </c>
      <c r="K1906" s="11" t="str">
        <f>IFERROR(IF(VLOOKUP(A1906,[13]PRIORIZADOS!$A:$K,11,FALSE)="","",VLOOKUP(A1906,[13]PRIORIZADOS!$A:$K,11,FALSE)),"")</f>
        <v xml:space="preserve">JORGE WILLIAM BONILLA ROMERO </v>
      </c>
      <c r="L1906" s="11" t="str">
        <f>IFERROR(IF(VLOOKUP(A1906,[13]PRIORIZADOS!$A:$L,12,FALSE)="","",VLOOKUP(A1906,[13]PRIORIZADOS!$A:$L,12,FALSE)),"")</f>
        <v>DAMARIS RUT CÁRDENAS MORENO</v>
      </c>
      <c r="M1906" s="71">
        <f>IFERROR(IF(VLOOKUP(A1906,[13]PRIORIZADOS!$A:$M,13,FALSE)="","",VLOOKUP(A1906,[13]PRIORIZADOS!$A:$M,13,FALSE)),"")</f>
        <v>45797</v>
      </c>
      <c r="N1906" s="71">
        <f>IFERROR(IF(VLOOKUP(A1906,[13]PRIORIZADOS!$A:$N,14,FALSE)="","",VLOOKUP(A1906,[13]PRIORIZADOS!$A:$N,14,FALSE)),"")</f>
        <v>45797</v>
      </c>
      <c r="O1906" s="71">
        <f>IFERROR(IF(VLOOKUP(A1906,[13]PRIORIZADOS!$A:$O,15,FALSE)="","",VLOOKUP(A1906,[13]PRIORIZADOS!$A:$O,15,FALSE)),"")</f>
        <v>45797</v>
      </c>
      <c r="P1906" s="11" t="str">
        <f>IFERROR(IF(VLOOKUP(A1906,[13]PRIORIZADOS!$A:$P,16,FALSE)="","",VLOOKUP(A1906,[13]PRIORIZADOS!$A:$P,16,FALSE)),"")</f>
        <v>Visitas de evaluación con fines de mejoramiento</v>
      </c>
      <c r="Q1906" s="243" t="s">
        <v>416</v>
      </c>
      <c r="R1906" s="11" t="str">
        <f>IFERROR(IF(VLOOKUP(A1906,[13]PRIORIZADOS!$A:$R,18,FALSE)="","",VLOOKUP(A1906,[13]PRIORIZADOS!$A:$R,18,FALSE)),"")</f>
        <v>Se evidencia la implementación de estrategias pedagógicas dirigidas al fortalecimiento de los resultados escolares, dando prioridad al bienestar integral de los estudiantes.</v>
      </c>
      <c r="S1906" s="11" t="str">
        <f>IFERROR(IF(VLOOKUP(A1906,[13]PRIORIZADOS!$A:$S,19,FALSE)="","",VLOOKUP(A1906,[13]PRIORIZADOS!$A:$S,19,FALSE)),"")</f>
        <v>Diseñar e implementar estrategias que promuevan el fortalecimiento y la mejora continua de los procesos de aprendizaje estudiantil.</v>
      </c>
      <c r="T1906" s="70" t="str">
        <f>IFERROR(IF(VLOOKUP(A1906,[13]PRIORIZADOS!$A:$T,20,FALSE)="","",VLOOKUP(A1906,[13]PRIORIZADOS!$A:$T,20,FALSE)),"")</f>
        <v>No</v>
      </c>
      <c r="U1906" s="11" t="str">
        <f>IFERROR(IF(VLOOKUP(A1906,[13]PRIORIZADOS!$A:$U,21,FALSE)="","",VLOOKUP(A1906,[13]PRIORIZADOS!$A:$U,21,FALSE)),"")</f>
        <v>Se realizará seguimiento mediante evaluación de las estrategias implementadas, análisis de resultados académicos y retroalimentación de la comunidad educativa, ajustando las acciones según las necesidades para garantizar la mejoramiento constante en los procesos de aprendizaje estudiantil para la vigencia 2026.</v>
      </c>
    </row>
    <row r="1907" spans="1:21" s="1" customFormat="1" ht="60">
      <c r="A1907" s="69">
        <f>IF([13]PRIORIZADOS!A70="","",[13]PRIORIZADOS!A70)</f>
        <v>1874</v>
      </c>
      <c r="B1907" s="70">
        <f>IFERROR(IF(VLOOKUP(A1907,[13]PRIORIZADOS!$A:$B,2,FALSE)="","",VLOOKUP(A1907,[13]PRIORIZADOS!$A:$B,2,FALSE)),"")</f>
        <v>8</v>
      </c>
      <c r="C1907" s="11" t="str">
        <f>IFERROR(IF(VLOOKUP(A1907,[13]PRIORIZADOS!$A:$C,3,FALSE)="","",VLOOKUP(A1907,[13]PRIORIZADOS!$A:$C,3,FALSE)),"")</f>
        <v xml:space="preserve">SANTA FE Y CANDELARIA </v>
      </c>
      <c r="D1907" s="11" t="str">
        <f>IFERROR(IF(VLOOKUP(A1907,[13]PRIORIZADOS!$A:$D,4,FALSE)="","",VLOOKUP(A1907,[13]PRIORIZADOS!$A:$D,4,FALSE)),"")</f>
        <v>PRIVADO</v>
      </c>
      <c r="E1907" s="11" t="str">
        <f>IFERROR(IF(VLOOKUP(A1907,[13]PRIORIZADOS!$A:$E,5,FALSE)="","",VLOOKUP(A1907,[13]PRIORIZADOS!$A:$E,5,FALSE)),"")</f>
        <v>EPBM</v>
      </c>
      <c r="F1907" s="11" t="str">
        <f>IFERROR(IF(VLOOKUP(A1907,[13]PRIORIZADOS!$A:$F,6,FALSE)="","",VLOOKUP(A1907,[13]PRIORIZADOS!$A:$F,6,FALSE)),"")</f>
        <v>CENTRO_EDUCATIVO_LIBERTAD</v>
      </c>
      <c r="G1907" s="11" t="str">
        <f>IFERROR(IF(VLOOKUP(A1907,[13]PRIORIZADOS!$A:$G,7,FALSE)="","",VLOOKUP(A1907,[13]PRIORIZADOS!$A:$G,7,FALSE)),"")</f>
        <v>CENTRO EDUCATIVO LIBERTAD</v>
      </c>
      <c r="H1907" s="11" t="str">
        <f>IFERROR(IF(VLOOKUP(A1907,[13]PRIORIZADOS!$A:$H,8,FALSE)="","",VLOOKUP(A1907,[13]PRIORIZADOS!$A:$H,8,FALSE)),"")</f>
        <v>Convivencia escolar</v>
      </c>
      <c r="I1907" s="11" t="str">
        <f>IFERROR(IF(VLOOKUP(A1907,[13]PRIORIZADOS!$A:$I,9,FALSE)="","",VLOOKUP(A1907,[13]PRIORIZADOS!$A:$I,9,FALSE)),"")</f>
        <v>SEGUIMIENTO_Y_SUPERVISIÓN.</v>
      </c>
      <c r="J1907" s="11" t="str">
        <f>IFERROR(IF(VLOOKUP(A1907,[13]PRIORIZADOS!$A:$J,10,FALSE)="","",VLOOKUP(A1907,[13]PRIORIZADOS!$A:$J,10,FALSE)),"")</f>
        <v xml:space="preserve">Verificar la implementación por parte de los colegios, de acciones realizadas para la prevención y atención de las situaciones de convivencia en el entorno escolar, según lo establecido en la Directiva 01 de 2022 del MEN. </v>
      </c>
      <c r="K1907" s="11" t="str">
        <f>IFERROR(IF(VLOOKUP(A1907,[13]PRIORIZADOS!$A:$K,11,FALSE)="","",VLOOKUP(A1907,[13]PRIORIZADOS!$A:$K,11,FALSE)),"")</f>
        <v xml:space="preserve">JORGE WILLIAM BONILLA ROMERO </v>
      </c>
      <c r="L1907" s="11" t="str">
        <f>IFERROR(IF(VLOOKUP(A1907,[13]PRIORIZADOS!$A:$L,12,FALSE)="","",VLOOKUP(A1907,[13]PRIORIZADOS!$A:$L,12,FALSE)),"")</f>
        <v>DAMARIS RUT CÁRDENAS MORENO</v>
      </c>
      <c r="M1907" s="71">
        <f>IFERROR(IF(VLOOKUP(A1907,[13]PRIORIZADOS!$A:$M,13,FALSE)="","",VLOOKUP(A1907,[13]PRIORIZADOS!$A:$M,13,FALSE)),"")</f>
        <v>45797</v>
      </c>
      <c r="N1907" s="71">
        <f>IFERROR(IF(VLOOKUP(A1907,[13]PRIORIZADOS!$A:$N,14,FALSE)="","",VLOOKUP(A1907,[13]PRIORIZADOS!$A:$N,14,FALSE)),"")</f>
        <v>45797</v>
      </c>
      <c r="O1907" s="71">
        <f>IFERROR(IF(VLOOKUP(A1907,[13]PRIORIZADOS!$A:$O,15,FALSE)="","",VLOOKUP(A1907,[13]PRIORIZADOS!$A:$O,15,FALSE)),"")</f>
        <v>45797</v>
      </c>
      <c r="P1907" s="11" t="str">
        <f>IFERROR(IF(VLOOKUP(A1907,[13]PRIORIZADOS!$A:$P,16,FALSE)="","",VLOOKUP(A1907,[13]PRIORIZADOS!$A:$P,16,FALSE)),"")</f>
        <v>Visitas de evaluación con fines de mejoramiento</v>
      </c>
      <c r="Q1907" s="243" t="s">
        <v>416</v>
      </c>
      <c r="R1907" s="11" t="str">
        <f>IFERROR(IF(VLOOKUP(A1907,[13]PRIORIZADOS!$A:$R,18,FALSE)="","",VLOOKUP(A1907,[13]PRIORIZADOS!$A:$R,18,FALSE)),"")</f>
        <v>La Entidad Educativa presenta el plan de trabajo y las acciones desarrolladas en cumplimiento de la Directiva 01 de 2022 del Ministerio de Educación Nacional (MEN).</v>
      </c>
      <c r="S1907" s="11" t="str">
        <f>IFERROR(IF(VLOOKUP(A1907,[13]PRIORIZADOS!$A:$S,19,FALSE)="","",VLOOKUP(A1907,[13]PRIORIZADOS!$A:$S,19,FALSE)),"")</f>
        <v>Fortalecer el equipo docente mediante la incorporación de un orientador con perfil profesional y carácter permanente.</v>
      </c>
      <c r="T1907" s="70" t="str">
        <f>IFERROR(IF(VLOOKUP(A1907,[13]PRIORIZADOS!$A:$T,20,FALSE)="","",VLOOKUP(A1907,[13]PRIORIZADOS!$A:$T,20,FALSE)),"")</f>
        <v>Si</v>
      </c>
      <c r="U1907" s="11" t="str">
        <f>IFERROR(IF(VLOOKUP(A1907,[13]PRIORIZADOS!$A:$U,21,FALSE)="","",VLOOKUP(A1907,[13]PRIORIZADOS!$A:$U,21,FALSE)),"")</f>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
    </row>
    <row r="1908" spans="1:21" s="1" customFormat="1" ht="72">
      <c r="A1908" s="69">
        <f>IF([13]PRIORIZADOS!A71="","",[13]PRIORIZADOS!A71)</f>
        <v>1875</v>
      </c>
      <c r="B1908" s="70">
        <f>IFERROR(IF(VLOOKUP(A1908,[13]PRIORIZADOS!$A:$B,2,FALSE)="","",VLOOKUP(A1908,[13]PRIORIZADOS!$A:$B,2,FALSE)),"")</f>
        <v>8</v>
      </c>
      <c r="C1908" s="11" t="str">
        <f>IFERROR(IF(VLOOKUP(A1908,[13]PRIORIZADOS!$A:$C,3,FALSE)="","",VLOOKUP(A1908,[13]PRIORIZADOS!$A:$C,3,FALSE)),"")</f>
        <v xml:space="preserve">SANTA FE Y CANDELARIA </v>
      </c>
      <c r="D1908" s="11" t="str">
        <f>IFERROR(IF(VLOOKUP(A1908,[13]PRIORIZADOS!$A:$D,4,FALSE)="","",VLOOKUP(A1908,[13]PRIORIZADOS!$A:$D,4,FALSE)),"")</f>
        <v>PRIVADO</v>
      </c>
      <c r="E1908" s="11" t="str">
        <f>IFERROR(IF(VLOOKUP(A1908,[13]PRIORIZADOS!$A:$E,5,FALSE)="","",VLOOKUP(A1908,[13]PRIORIZADOS!$A:$E,5,FALSE)),"")</f>
        <v>EPBM</v>
      </c>
      <c r="F1908" s="11" t="str">
        <f>IFERROR(IF(VLOOKUP(A1908,[13]PRIORIZADOS!$A:$F,6,FALSE)="","",VLOOKUP(A1908,[13]PRIORIZADOS!$A:$F,6,FALSE)),"")</f>
        <v>CENTRO_EDUCATIVO_LIBERTAD</v>
      </c>
      <c r="G1908" s="11" t="str">
        <f>IFERROR(IF(VLOOKUP(A1908,[13]PRIORIZADOS!$A:$G,7,FALSE)="","",VLOOKUP(A1908,[13]PRIORIZADOS!$A:$G,7,FALSE)),"")</f>
        <v>CENTRO EDUCATIVO LIBERTAD</v>
      </c>
      <c r="H1908" s="11" t="str">
        <f>IFERROR(IF(VLOOKUP(A1908,[13]PRIORIZADOS!$A:$H,8,FALSE)="","",VLOOKUP(A1908,[13]PRIORIZADOS!$A:$H,8,FALSE)),"")</f>
        <v>Convivencia escolar</v>
      </c>
      <c r="I1908" s="11" t="str">
        <f>IFERROR(IF(VLOOKUP(A1908,[13]PRIORIZADOS!$A:$I,9,FALSE)="","",VLOOKUP(A1908,[13]PRIORIZADOS!$A:$I,9,FALSE)),"")</f>
        <v>SEGUIMIENTO_Y_SUPERVISIÓN.</v>
      </c>
      <c r="J1908" s="11" t="str">
        <f>IFERROR(IF(VLOOKUP(A1908,[13]PRIORIZADOS!$A:$J,10,FALSE)="","",VLOOKUP(A1908,[13]PRIORIZADOS!$A:$J,10,FALSE)),"")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08" s="11" t="str">
        <f>IFERROR(IF(VLOOKUP(A1908,[13]PRIORIZADOS!$A:$K,11,FALSE)="","",VLOOKUP(A1908,[13]PRIORIZADOS!$A:$K,11,FALSE)),"")</f>
        <v xml:space="preserve">JORGE WILLIAM BONILLA ROMERO </v>
      </c>
      <c r="L1908" s="11" t="str">
        <f>IFERROR(IF(VLOOKUP(A1908,[13]PRIORIZADOS!$A:$L,12,FALSE)="","",VLOOKUP(A1908,[13]PRIORIZADOS!$A:$L,12,FALSE)),"")</f>
        <v>DAMARIS RUT CÁRDENAS MORENO</v>
      </c>
      <c r="M1908" s="71">
        <f>IFERROR(IF(VLOOKUP(A1908,[13]PRIORIZADOS!$A:$M,13,FALSE)="","",VLOOKUP(A1908,[13]PRIORIZADOS!$A:$M,13,FALSE)),"")</f>
        <v>45797</v>
      </c>
      <c r="N1908" s="71">
        <f>IFERROR(IF(VLOOKUP(A1908,[13]PRIORIZADOS!$A:$N,14,FALSE)="","",VLOOKUP(A1908,[13]PRIORIZADOS!$A:$N,14,FALSE)),"")</f>
        <v>45797</v>
      </c>
      <c r="O1908" s="71">
        <f>IFERROR(IF(VLOOKUP(A1908,[13]PRIORIZADOS!$A:$O,15,FALSE)="","",VLOOKUP(A1908,[13]PRIORIZADOS!$A:$O,15,FALSE)),"")</f>
        <v>45797</v>
      </c>
      <c r="P1908" s="11" t="str">
        <f>IFERROR(IF(VLOOKUP(A1908,[13]PRIORIZADOS!$A:$P,16,FALSE)="","",VLOOKUP(A1908,[13]PRIORIZADOS!$A:$P,16,FALSE)),"")</f>
        <v>Visitas de evaluación con fines de mejoramiento</v>
      </c>
      <c r="Q1908" s="243" t="s">
        <v>416</v>
      </c>
      <c r="R1908" s="11" t="str">
        <f>IFERROR(IF(VLOOKUP(A1908,[13]PRIORIZADOS!$A:$R,18,FALSE)="","",VLOOKUP(A1908,[13]PRIORIZADOS!$A:$R,18,FALSE)),"")</f>
        <v>Se constata la aplicación de ajustes en la retroalimentación dirigida a los acudientes, sustentada con los soportes respectivos por caso.</v>
      </c>
      <c r="S1908" s="11" t="str">
        <f>IFERROR(IF(VLOOKUP(A1908,[13]PRIORIZADOS!$A:$S,19,FALSE)="","",VLOOKUP(A1908,[13]PRIORIZADOS!$A:$S,19,FALSE)),"")</f>
        <v>Se señala la necesidad de incorporar este aspecto dentro del SIEE, en coherencia con los lineamientos institucionales.</v>
      </c>
      <c r="T1908" s="70" t="str">
        <f>IFERROR(IF(VLOOKUP(A1908,[13]PRIORIZADOS!$A:$T,20,FALSE)="","",VLOOKUP(A1908,[13]PRIORIZADOS!$A:$T,20,FALSE)),"")</f>
        <v>Si</v>
      </c>
      <c r="U1908" s="11" t="str">
        <f>IFERROR(IF(VLOOKUP(A1908,[13]PRIORIZADOS!$A:$U,21,FALSE)="","",VLOOKUP(A1908,[13]PRIORIZADOS!$A:$U,21,FALSE)),"")</f>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
    </row>
    <row r="1909" spans="1:21" s="1" customFormat="1" ht="214.5">
      <c r="A1909" s="69">
        <f>IF([13]PRIORIZADOS!A72="","",[13]PRIORIZADOS!A72)</f>
        <v>1876</v>
      </c>
      <c r="B1909" s="70">
        <f>IFERROR(IF(VLOOKUP(A1909,[13]PRIORIZADOS!$A:$B,2,FALSE)="","",VLOOKUP(A1909,[13]PRIORIZADOS!$A:$B,2,FALSE)),"")</f>
        <v>8</v>
      </c>
      <c r="C1909" s="11" t="str">
        <f>IFERROR(IF(VLOOKUP(A1909,[13]PRIORIZADOS!$A:$C,3,FALSE)="","",VLOOKUP(A1909,[13]PRIORIZADOS!$A:$C,3,FALSE)),"")</f>
        <v xml:space="preserve">SANTA FE Y CANDELARIA </v>
      </c>
      <c r="D1909" s="11" t="str">
        <f>IFERROR(IF(VLOOKUP(A1909,[13]PRIORIZADOS!$A:$D,4,FALSE)="","",VLOOKUP(A1909,[13]PRIORIZADOS!$A:$D,4,FALSE)),"")</f>
        <v>PRIVADO</v>
      </c>
      <c r="E1909" s="11" t="str">
        <f>IFERROR(IF(VLOOKUP(A1909,[13]PRIORIZADOS!$A:$E,5,FALSE)="","",VLOOKUP(A1909,[13]PRIORIZADOS!$A:$E,5,FALSE)),"")</f>
        <v>EPBM</v>
      </c>
      <c r="F1909" s="11" t="str">
        <f>IFERROR(IF(VLOOKUP(A1909,[13]PRIORIZADOS!$A:$F,6,FALSE)="","",VLOOKUP(A1909,[13]PRIORIZADOS!$A:$F,6,FALSE)),"")</f>
        <v>CENTRO_EDUCATIVO_LIBERTAD</v>
      </c>
      <c r="G1909" s="11" t="str">
        <f>IFERROR(IF(VLOOKUP(A1909,[13]PRIORIZADOS!$A:$G,7,FALSE)="","",VLOOKUP(A1909,[13]PRIORIZADOS!$A:$G,7,FALSE)),"")</f>
        <v>CENTRO EDUCATIVO LIBERTAD</v>
      </c>
      <c r="H1909" s="11" t="str">
        <f>IFERROR(IF(VLOOKUP(A1909,[13]PRIORIZADOS!$A:$H,8,FALSE)="","",VLOOKUP(A1909,[13]PRIORIZADOS!$A:$H,8,FALSE)),"")</f>
        <v>Convivencia escolar</v>
      </c>
      <c r="I1909" s="11" t="str">
        <f>IFERROR(IF(VLOOKUP(A1909,[13]PRIORIZADOS!$A:$I,9,FALSE)="","",VLOOKUP(A1909,[13]PRIORIZADOS!$A:$I,9,FALSE)),"")</f>
        <v>EVALUACIÓN_CON_FINES_DE_MEJORAMIENTO.</v>
      </c>
      <c r="J1909" s="11" t="str">
        <f>IFERROR(IF(VLOOKUP(A1909,[13]PRIORIZADOS!$A:$J,10,FALSE)="","",VLOOKUP(A1909,[13]PRIORIZADOS!$A:$J,10,FALSE)),"")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09" s="11" t="str">
        <f>IFERROR(IF(VLOOKUP(A1909,[13]PRIORIZADOS!$A:$K,11,FALSE)="","",VLOOKUP(A1909,[13]PRIORIZADOS!$A:$K,11,FALSE)),"")</f>
        <v xml:space="preserve">JORGE WILLIAM BONILLA ROMERO </v>
      </c>
      <c r="L1909" s="11" t="str">
        <f>IFERROR(IF(VLOOKUP(A1909,[13]PRIORIZADOS!$A:$L,12,FALSE)="","",VLOOKUP(A1909,[13]PRIORIZADOS!$A:$L,12,FALSE)),"")</f>
        <v>DAMARIS RUT CÁRDENAS MORENO</v>
      </c>
      <c r="M1909" s="71">
        <f>IFERROR(IF(VLOOKUP(A1909,[13]PRIORIZADOS!$A:$M,13,FALSE)="","",VLOOKUP(A1909,[13]PRIORIZADOS!$A:$M,13,FALSE)),"")</f>
        <v>45797</v>
      </c>
      <c r="N1909" s="71">
        <f>IFERROR(IF(VLOOKUP(A1909,[13]PRIORIZADOS!$A:$N,14,FALSE)="","",VLOOKUP(A1909,[13]PRIORIZADOS!$A:$N,14,FALSE)),"")</f>
        <v>45797</v>
      </c>
      <c r="O1909" s="71">
        <f>IFERROR(IF(VLOOKUP(A1909,[13]PRIORIZADOS!$A:$O,15,FALSE)="","",VLOOKUP(A1909,[13]PRIORIZADOS!$A:$O,15,FALSE)),"")</f>
        <v>45797</v>
      </c>
      <c r="P1909" s="11" t="str">
        <f>IFERROR(IF(VLOOKUP(A1909,[13]PRIORIZADOS!$A:$P,16,FALSE)="","",VLOOKUP(A1909,[13]PRIORIZADOS!$A:$P,16,FALSE)),"")</f>
        <v>Visitas de evaluación con fines de mejoramiento</v>
      </c>
      <c r="Q1909" s="243" t="s">
        <v>416</v>
      </c>
      <c r="R1909" s="11" t="str">
        <f>IFERROR(IF(VLOOKUP(A1909,[13]PRIORIZADOS!$A:$R,18,FALSE)="","",VLOOKUP(A1909,[13]PRIORIZADOS!$A:$R,18,FALSE)),"")</f>
        <v>Se observa un documento denominado "Pacto de Acuerdos y Desacuerdos", el cual es similar al Manual de Convivencia y está desarrollado bajo los parámetros generales que rigen los componentes del orden convivencial.</v>
      </c>
      <c r="S1909" s="11" t="str">
        <f>IFERROR(IF(VLOOKUP(A1909,[13]PRIORIZADOS!$A:$S,19,FALSE)="","",VLOOKUP(A1909,[13]PRIORIZADOS!$A:$S,19,FALSE)),"")</f>
        <v>Es necesario fortalecer el documento en construcción con la activa participación de la comunidad educativa, asegurando la actualización integral de su contenido. Se debe incluir el establecimiento claro de canales de atención, tiempos y responsables, así como el respeto del debido proceso y la tipificación de faltas conforme a los protocolos de convivencia escolar versión 5.0, el JER y las instancias de participación. Este fortalecimiento debe garantizar la plena consonancia con la normatividad vigente, en particular con la Constitución Política de Colombia, Ley 115 de 1994, Ley 1098 de 2006, Ley 1620 de 2013, Ley 1732 de 2014, la Sentencia T-478 de 2015, y demás pronunciamientos de la Corte Constitucional relacionados.</v>
      </c>
      <c r="T1909" s="70" t="str">
        <f>IFERROR(IF(VLOOKUP(A1909,[13]PRIORIZADOS!$A:$T,20,FALSE)="","",VLOOKUP(A1909,[13]PRIORIZADOS!$A:$T,20,FALSE)),"")</f>
        <v>Si</v>
      </c>
      <c r="U1909" s="11" t="str">
        <f>IFERROR(IF(VLOOKUP(A1909,[13]PRIORIZADOS!$A:$U,21,FALSE)="","",VLOOKUP(A1909,[13]PRIORIZADOS!$A:$U,21,FALSE)),"")</f>
        <v>Se acuerda que el colegio entregue retroalimentación sobre los avances en la modificación requerida del manual de convivencia, conforme a lo indicado, durante el segundo semestre de 2025 y hasta su aprobación y socialización con la comunidad educativa.
Se recibe el 31 de julio retroalimentación sobre las observaciones enunciadas en el acta de visita y clarificación de los ajustes de este reporte el 9 de noviembre de 2025.</v>
      </c>
    </row>
    <row r="1910" spans="1:21" s="1" customFormat="1" ht="60">
      <c r="A1910" s="69">
        <f>IF([13]PRIORIZADOS!A73="","",[13]PRIORIZADOS!A73)</f>
        <v>1877</v>
      </c>
      <c r="B1910" s="70">
        <f>IFERROR(IF(VLOOKUP(A1910,[13]PRIORIZADOS!$A:$B,2,FALSE)="","",VLOOKUP(A1910,[13]PRIORIZADOS!$A:$B,2,FALSE)),"")</f>
        <v>8</v>
      </c>
      <c r="C1910" s="11" t="str">
        <f>IFERROR(IF(VLOOKUP(A1910,[13]PRIORIZADOS!$A:$C,3,FALSE)="","",VLOOKUP(A1910,[13]PRIORIZADOS!$A:$C,3,FALSE)),"")</f>
        <v xml:space="preserve">SANTA FE Y CANDELARIA </v>
      </c>
      <c r="D1910" s="11" t="str">
        <f>IFERROR(IF(VLOOKUP(A1910,[13]PRIORIZADOS!$A:$D,4,FALSE)="","",VLOOKUP(A1910,[13]PRIORIZADOS!$A:$D,4,FALSE)),"")</f>
        <v>PRIVADO</v>
      </c>
      <c r="E1910" s="11" t="str">
        <f>IFERROR(IF(VLOOKUP(A1910,[13]PRIORIZADOS!$A:$E,5,FALSE)="","",VLOOKUP(A1910,[13]PRIORIZADOS!$A:$E,5,FALSE)),"")</f>
        <v>EPBM</v>
      </c>
      <c r="F1910" s="11" t="str">
        <f>IFERROR(IF(VLOOKUP(A1910,[13]PRIORIZADOS!$A:$F,6,FALSE)="","",VLOOKUP(A1910,[13]PRIORIZADOS!$A:$F,6,FALSE)),"")</f>
        <v>CENTRO_EDUCATIVO_LIBERTAD</v>
      </c>
      <c r="G1910" s="11" t="str">
        <f>IFERROR(IF(VLOOKUP(A1910,[13]PRIORIZADOS!$A:$G,7,FALSE)="","",VLOOKUP(A1910,[13]PRIORIZADOS!$A:$G,7,FALSE)),"")</f>
        <v>CENTRO EDUCATIVO LIBERTAD</v>
      </c>
      <c r="H1910" s="11" t="str">
        <f>IFERROR(IF(VLOOKUP(A1910,[13]PRIORIZADOS!$A:$H,8,FALSE)="","",VLOOKUP(A1910,[13]PRIORIZADOS!$A:$H,8,FALSE)),"")</f>
        <v>Convivencia escolar</v>
      </c>
      <c r="I1910" s="11" t="str">
        <f>IFERROR(IF(VLOOKUP(A1910,[13]PRIORIZADOS!$A:$I,9,FALSE)="","",VLOOKUP(A1910,[13]PRIORIZADOS!$A:$I,9,FALSE)),"")</f>
        <v>EVALUACIÓN_CON_FINES_DE_MEJORAMIENTO.</v>
      </c>
      <c r="J1910" s="11" t="str">
        <f>IFERROR(IF(VLOOKUP(A1910,[13]PRIORIZADOS!$A:$J,10,FALSE)="","",VLOOKUP(A1910,[13]PRIORIZADOS!$A:$J,10,FALSE)),"")</f>
        <v>Revisar la actualización, socialización e implementación del Sistema Institucional de Evaluación de Estudiantes - SIEE, en articulación con la actualización del PEI y la normatividad vigente.</v>
      </c>
      <c r="K1910" s="11" t="str">
        <f>IFERROR(IF(VLOOKUP(A1910,[13]PRIORIZADOS!$A:$K,11,FALSE)="","",VLOOKUP(A1910,[13]PRIORIZADOS!$A:$K,11,FALSE)),"")</f>
        <v xml:space="preserve">JORGE WILLIAM BONILLA ROMERO </v>
      </c>
      <c r="L1910" s="11" t="str">
        <f>IFERROR(IF(VLOOKUP(A1910,[13]PRIORIZADOS!$A:$L,12,FALSE)="","",VLOOKUP(A1910,[13]PRIORIZADOS!$A:$L,12,FALSE)),"")</f>
        <v>DAMARIS RUT CÁRDENAS MORENO</v>
      </c>
      <c r="M1910" s="71">
        <f>IFERROR(IF(VLOOKUP(A1910,[13]PRIORIZADOS!$A:$M,13,FALSE)="","",VLOOKUP(A1910,[13]PRIORIZADOS!$A:$M,13,FALSE)),"")</f>
        <v>45797</v>
      </c>
      <c r="N1910" s="71">
        <f>IFERROR(IF(VLOOKUP(A1910,[13]PRIORIZADOS!$A:$N,14,FALSE)="","",VLOOKUP(A1910,[13]PRIORIZADOS!$A:$N,14,FALSE)),"")</f>
        <v>45797</v>
      </c>
      <c r="O1910" s="71">
        <f>IFERROR(IF(VLOOKUP(A1910,[13]PRIORIZADOS!$A:$O,15,FALSE)="","",VLOOKUP(A1910,[13]PRIORIZADOS!$A:$O,15,FALSE)),"")</f>
        <v>45797</v>
      </c>
      <c r="P1910" s="11" t="str">
        <f>IFERROR(IF(VLOOKUP(A1910,[13]PRIORIZADOS!$A:$P,16,FALSE)="","",VLOOKUP(A1910,[13]PRIORIZADOS!$A:$P,16,FALSE)),"")</f>
        <v>Visitas de evaluación con fines de mejoramiento</v>
      </c>
      <c r="Q1910" s="243" t="s">
        <v>416</v>
      </c>
      <c r="R1910" s="11" t="str">
        <f>IFERROR(IF(VLOOKUP(A1910,[13]PRIORIZADOS!$A:$R,18,FALSE)="","",VLOOKUP(A1910,[13]PRIORIZADOS!$A:$R,18,FALSE)),"")</f>
        <v>Se evidencia un documento que desarrolla el SIEE institucional y su trabajo en dinámicas de grupo, así como con los acudientes en reunión al inicio del año lectivo.</v>
      </c>
      <c r="S1910" s="11" t="str">
        <f>IFERROR(IF(VLOOKUP(A1910,[13]PRIORIZADOS!$A:$S,19,FALSE)="","",VLOOKUP(A1910,[13]PRIORIZADOS!$A:$S,19,FALSE)),"")</f>
        <v>Complementar el SIEE del colegio con el proceso desarrollado en el marco de los PIAR.</v>
      </c>
      <c r="T1910" s="70" t="str">
        <f>IFERROR(IF(VLOOKUP(A1910,[13]PRIORIZADOS!$A:$T,20,FALSE)="","",VLOOKUP(A1910,[13]PRIORIZADOS!$A:$T,20,FALSE)),"")</f>
        <v>Si</v>
      </c>
      <c r="U1910" s="11" t="str">
        <f>IFERROR(IF(VLOOKUP(A1910,[13]PRIORIZADOS!$A:$U,21,FALSE)="","",VLOOKUP(A1910,[13]PRIORIZADOS!$A:$U,21,FALSE)),"")</f>
        <v>Seguimiento de las acciones adelantadas por la Institución Educativa (IE) durante el segundo semestre, en cumplimiento de las observaciones señaladas en el acta.
Se recibe el 31 de julio retroalimentación sobre las observaciones enunciadas en el acta de visita y clarificación de los ajustes de este reporte el 9 de noviembre de 2025.</v>
      </c>
    </row>
    <row r="1911" spans="1:21" s="1" customFormat="1" ht="48">
      <c r="A1911" s="69">
        <f>IF([13]PRIORIZADOS!A74="","",[13]PRIORIZADOS!A74)</f>
        <v>1878</v>
      </c>
      <c r="B1911" s="70">
        <f>IFERROR(IF(VLOOKUP(A1911,[13]PRIORIZADOS!$A:$B,2,FALSE)="","",VLOOKUP(A1911,[13]PRIORIZADOS!$A:$B,2,FALSE)),"")</f>
        <v>8</v>
      </c>
      <c r="C1911" s="11" t="str">
        <f>IFERROR(IF(VLOOKUP(A1911,[13]PRIORIZADOS!$A:$C,3,FALSE)="","",VLOOKUP(A1911,[13]PRIORIZADOS!$A:$C,3,FALSE)),"")</f>
        <v xml:space="preserve">SANTA FE Y CANDELARIA </v>
      </c>
      <c r="D1911" s="11" t="str">
        <f>IFERROR(IF(VLOOKUP(A1911,[13]PRIORIZADOS!$A:$D,4,FALSE)="","",VLOOKUP(A1911,[13]PRIORIZADOS!$A:$D,4,FALSE)),"")</f>
        <v>PRIVADO</v>
      </c>
      <c r="E1911" s="11" t="str">
        <f>IFERROR(IF(VLOOKUP(A1911,[13]PRIORIZADOS!$A:$E,5,FALSE)="","",VLOOKUP(A1911,[13]PRIORIZADOS!$A:$E,5,FALSE)),"")</f>
        <v>EPBM</v>
      </c>
      <c r="F1911" s="11" t="str">
        <f>IFERROR(IF(VLOOKUP(A1911,[13]PRIORIZADOS!$A:$F,6,FALSE)="","",VLOOKUP(A1911,[13]PRIORIZADOS!$A:$F,6,FALSE)),"")</f>
        <v>CENTRO_EDUCATIVO_LIBERTAD</v>
      </c>
      <c r="G1911" s="11" t="str">
        <f>IFERROR(IF(VLOOKUP(A1911,[13]PRIORIZADOS!$A:$G,7,FALSE)="","",VLOOKUP(A1911,[13]PRIORIZADOS!$A:$G,7,FALSE)),"")</f>
        <v>CENTRO EDUCATIVO LIBERTAD</v>
      </c>
      <c r="H1911" s="11" t="str">
        <f>IFERROR(IF(VLOOKUP(A1911,[13]PRIORIZADOS!$A:$H,8,FALSE)="","",VLOOKUP(A1911,[13]PRIORIZADOS!$A:$H,8,FALSE)),"")</f>
        <v>Convivencia escolar</v>
      </c>
      <c r="I1911" s="11" t="str">
        <f>IFERROR(IF(VLOOKUP(A1911,[13]PRIORIZADOS!$A:$I,9,FALSE)="","",VLOOKUP(A1911,[13]PRIORIZADOS!$A:$I,9,FALSE)),"")</f>
        <v>EVALUACIÓN_CON_FINES_DE_MEJORAMIENTO.</v>
      </c>
      <c r="J1911" s="11" t="str">
        <f>IFERROR(IF(VLOOKUP(A1911,[13]PRIORIZADOS!$A:$J,10,FALSE)="","",VLOOKUP(A1911,[13]PRIORIZADOS!$A:$J,10,FALSE)),"")</f>
        <v>Revisar el calendario escolar, jornada escolar, la intensidad horaria mínima anual en cada nivel y las modificaciones que se realicen al mismo, de acuerdo con lo previsto en la normatividad vigente.</v>
      </c>
      <c r="K1911" s="11" t="str">
        <f>IFERROR(IF(VLOOKUP(A1911,[13]PRIORIZADOS!$A:$K,11,FALSE)="","",VLOOKUP(A1911,[13]PRIORIZADOS!$A:$K,11,FALSE)),"")</f>
        <v xml:space="preserve">JORGE WILLIAM BONILLA ROMERO </v>
      </c>
      <c r="L1911" s="11" t="str">
        <f>IFERROR(IF(VLOOKUP(A1911,[13]PRIORIZADOS!$A:$L,12,FALSE)="","",VLOOKUP(A1911,[13]PRIORIZADOS!$A:$L,12,FALSE)),"")</f>
        <v>DAMARIS RUT CÁRDENAS MORENO</v>
      </c>
      <c r="M1911" s="71">
        <f>IFERROR(IF(VLOOKUP(A1911,[13]PRIORIZADOS!$A:$M,13,FALSE)="","",VLOOKUP(A1911,[13]PRIORIZADOS!$A:$M,13,FALSE)),"")</f>
        <v>45797</v>
      </c>
      <c r="N1911" s="71">
        <f>IFERROR(IF(VLOOKUP(A1911,[13]PRIORIZADOS!$A:$N,14,FALSE)="","",VLOOKUP(A1911,[13]PRIORIZADOS!$A:$N,14,FALSE)),"")</f>
        <v>45797</v>
      </c>
      <c r="O1911" s="71">
        <f>IFERROR(IF(VLOOKUP(A1911,[13]PRIORIZADOS!$A:$O,15,FALSE)="","",VLOOKUP(A1911,[13]PRIORIZADOS!$A:$O,15,FALSE)),"")</f>
        <v>45797</v>
      </c>
      <c r="P1911" s="11" t="str">
        <f>IFERROR(IF(VLOOKUP(A1911,[13]PRIORIZADOS!$A:$P,16,FALSE)="","",VLOOKUP(A1911,[13]PRIORIZADOS!$A:$P,16,FALSE)),"")</f>
        <v>Visitas de evaluación con fines de mejoramiento</v>
      </c>
      <c r="Q1911" s="243" t="s">
        <v>416</v>
      </c>
      <c r="R1911" s="11" t="str">
        <f>IFERROR(IF(VLOOKUP(A1911,[13]PRIORIZADOS!$A:$R,18,FALSE)="","",VLOOKUP(A1911,[13]PRIORIZADOS!$A:$R,18,FALSE)),"")</f>
        <v>Se observa cumplimiento de lo informado en el Calendario Escolar y de lo reglamentado en la normativa vigente.</v>
      </c>
      <c r="S1911" s="11" t="str">
        <f>IFERROR(IF(VLOOKUP(A1911,[13]PRIORIZADOS!$A:$S,19,FALSE)="","",VLOOKUP(A1911,[13]PRIORIZADOS!$A:$S,19,FALSE)),"")</f>
        <v>Revisar la vinculación laboral de los docentes, en relación con el calendario académico presentado por la institución educativa (IE).</v>
      </c>
      <c r="T1911" s="70" t="str">
        <f>IFERROR(IF(VLOOKUP(A1911,[13]PRIORIZADOS!$A:$T,20,FALSE)="","",VLOOKUP(A1911,[13]PRIORIZADOS!$A:$T,20,FALSE)),"")</f>
        <v>No</v>
      </c>
      <c r="U1911" s="11" t="str">
        <f>IFERROR(IF(VLOOKUP(A1911,[13]PRIORIZADOS!$A:$U,21,FALSE)="","",VLOOKUP(A1911,[13]PRIORIZADOS!$A:$U,21,FALSE)),"")</f>
        <v>Seguimiento de las acciones adelantadas por la Institución Educativa (IE) durante el segundo semestre, en cumplimiento de las observaciones señaladas en el acta.</v>
      </c>
    </row>
    <row r="1912" spans="1:21" s="1" customFormat="1" ht="72">
      <c r="A1912" s="69">
        <f>IF([13]PRIORIZADOS!A75="","",[13]PRIORIZADOS!A75)</f>
        <v>1879</v>
      </c>
      <c r="B1912" s="70">
        <f>IFERROR(IF(VLOOKUP(A1912,[13]PRIORIZADOS!$A:$B,2,FALSE)="","",VLOOKUP(A1912,[13]PRIORIZADOS!$A:$B,2,FALSE)),"")</f>
        <v>8</v>
      </c>
      <c r="C1912" s="11" t="str">
        <f>IFERROR(IF(VLOOKUP(A1912,[13]PRIORIZADOS!$A:$C,3,FALSE)="","",VLOOKUP(A1912,[13]PRIORIZADOS!$A:$C,3,FALSE)),"")</f>
        <v xml:space="preserve">SANTA FE Y CANDELARIA </v>
      </c>
      <c r="D1912" s="11" t="str">
        <f>IFERROR(IF(VLOOKUP(A1912,[13]PRIORIZADOS!$A:$D,4,FALSE)="","",VLOOKUP(A1912,[13]PRIORIZADOS!$A:$D,4,FALSE)),"")</f>
        <v>PRIVADO</v>
      </c>
      <c r="E1912" s="11" t="str">
        <f>IFERROR(IF(VLOOKUP(A1912,[13]PRIORIZADOS!$A:$E,5,FALSE)="","",VLOOKUP(A1912,[13]PRIORIZADOS!$A:$E,5,FALSE)),"")</f>
        <v>EPBM</v>
      </c>
      <c r="F1912" s="11" t="str">
        <f>IFERROR(IF(VLOOKUP(A1912,[13]PRIORIZADOS!$A:$F,6,FALSE)="","",VLOOKUP(A1912,[13]PRIORIZADOS!$A:$F,6,FALSE)),"")</f>
        <v>CENTRO_EDUCATIVO_LIBERTAD</v>
      </c>
      <c r="G1912" s="11" t="str">
        <f>IFERROR(IF(VLOOKUP(A1912,[13]PRIORIZADOS!$A:$G,7,FALSE)="","",VLOOKUP(A1912,[13]PRIORIZADOS!$A:$G,7,FALSE)),"")</f>
        <v>CENTRO EDUCATIVO LIBERTAD</v>
      </c>
      <c r="H1912" s="11" t="str">
        <f>IFERROR(IF(VLOOKUP(A1912,[13]PRIORIZADOS!$A:$H,8,FALSE)="","",VLOOKUP(A1912,[13]PRIORIZADOS!$A:$H,8,FALSE)),"")</f>
        <v>Convivencia escolar</v>
      </c>
      <c r="I1912" s="11" t="str">
        <f>IFERROR(IF(VLOOKUP(A1912,[13]PRIORIZADOS!$A:$I,9,FALSE)="","",VLOOKUP(A1912,[13]PRIORIZADOS!$A:$I,9,FALSE)),"")</f>
        <v>EVALUACIÓN_CON_FINES_DE_MEJORAMIENTO.</v>
      </c>
      <c r="J1912" s="11" t="str">
        <f>IFERROR(IF(VLOOKUP(A1912,[13]PRIORIZADOS!$A:$J,10,FALSE)="","",VLOOKUP(A1912,[13]PRIORIZADOS!$A:$J,10,FALSE)),"")</f>
        <v>Verificar el funcionamiento del Gobierno Escolar e instancias de participación con base en la información sobre conformación reportada por la institución educativa.</v>
      </c>
      <c r="K1912" s="11" t="str">
        <f>IFERROR(IF(VLOOKUP(A1912,[13]PRIORIZADOS!$A:$K,11,FALSE)="","",VLOOKUP(A1912,[13]PRIORIZADOS!$A:$K,11,FALSE)),"")</f>
        <v xml:space="preserve">JORGE WILLIAM BONILLA ROMERO </v>
      </c>
      <c r="L1912" s="11" t="str">
        <f>IFERROR(IF(VLOOKUP(A1912,[13]PRIORIZADOS!$A:$L,12,FALSE)="","",VLOOKUP(A1912,[13]PRIORIZADOS!$A:$L,12,FALSE)),"")</f>
        <v>DAMARIS RUT CÁRDENAS MORENO</v>
      </c>
      <c r="M1912" s="71">
        <f>IFERROR(IF(VLOOKUP(A1912,[13]PRIORIZADOS!$A:$M,13,FALSE)="","",VLOOKUP(A1912,[13]PRIORIZADOS!$A:$M,13,FALSE)),"")</f>
        <v>45797</v>
      </c>
      <c r="N1912" s="71">
        <f>IFERROR(IF(VLOOKUP(A1912,[13]PRIORIZADOS!$A:$N,14,FALSE)="","",VLOOKUP(A1912,[13]PRIORIZADOS!$A:$N,14,FALSE)),"")</f>
        <v>45797</v>
      </c>
      <c r="O1912" s="71">
        <f>IFERROR(IF(VLOOKUP(A1912,[13]PRIORIZADOS!$A:$O,15,FALSE)="","",VLOOKUP(A1912,[13]PRIORIZADOS!$A:$O,15,FALSE)),"")</f>
        <v>45797</v>
      </c>
      <c r="P1912" s="11" t="str">
        <f>IFERROR(IF(VLOOKUP(A1912,[13]PRIORIZADOS!$A:$P,16,FALSE)="","",VLOOKUP(A1912,[13]PRIORIZADOS!$A:$P,16,FALSE)),"")</f>
        <v>Visitas de evaluación con fines de mejoramiento</v>
      </c>
      <c r="Q1912" s="243" t="s">
        <v>416</v>
      </c>
      <c r="R1912" s="11" t="str">
        <f>IFERROR(IF(VLOOKUP(A1912,[13]PRIORIZADOS!$A:$R,18,FALSE)="","",VLOOKUP(A1912,[13]PRIORIZADOS!$A:$R,18,FALSE)),"")</f>
        <v>Se evidencian la elección y conformación del Gobierno Escolar para el año 2025.</v>
      </c>
      <c r="S1912" s="11" t="str">
        <f>IFERROR(IF(VLOOKUP(A1912,[13]PRIORIZADOS!$A:$S,19,FALSE)="","",VLOOKUP(A1912,[13]PRIORIZADOS!$A:$S,19,FALSE)),"")</f>
        <v>El colegio subsanará los registros y documentación correspondientes a la elección y conformación del Gobierno Escolar 2025, garantizando su difusión y socialización efectiva dentro de la comunidad educativa.</v>
      </c>
      <c r="T1912" s="70" t="str">
        <f>IFERROR(IF(VLOOKUP(A1912,[13]PRIORIZADOS!$A:$T,20,FALSE)="","",VLOOKUP(A1912,[13]PRIORIZADOS!$A:$T,20,FALSE)),"")</f>
        <v>No</v>
      </c>
      <c r="U1912" s="11" t="str">
        <f>IFERROR(IF(VLOOKUP(A1912,[13]PRIORIZADOS!$A:$U,21,FALSE)="","",VLOOKUP(A1912,[13]PRIORIZADOS!$A:$U,21,FALSE)),"")</f>
        <v xml:space="preserve">Monitoreo del cumplimiento de los roles y responsabilidades asignados a los integrantes del Gobierno Escolar en el Consejo Académico. </v>
      </c>
    </row>
    <row r="1913" spans="1:21" s="1" customFormat="1" ht="107.25">
      <c r="A1913" s="69">
        <f>IF([13]PRIORIZADOS!A76="","",[13]PRIORIZADOS!A76)</f>
        <v>1880</v>
      </c>
      <c r="B1913" s="70">
        <f>IFERROR(IF(VLOOKUP(A1913,[13]PRIORIZADOS!$A:$B,2,FALSE)="","",VLOOKUP(A1913,[13]PRIORIZADOS!$A:$B,2,FALSE)),"")</f>
        <v>8</v>
      </c>
      <c r="C1913" s="11" t="str">
        <f>IFERROR(IF(VLOOKUP(A1913,[13]PRIORIZADOS!$A:$C,3,FALSE)="","",VLOOKUP(A1913,[13]PRIORIZADOS!$A:$C,3,FALSE)),"")</f>
        <v xml:space="preserve">SANTA FE Y CANDELARIA </v>
      </c>
      <c r="D1913" s="11" t="str">
        <f>IFERROR(IF(VLOOKUP(A1913,[13]PRIORIZADOS!$A:$D,4,FALSE)="","",VLOOKUP(A1913,[13]PRIORIZADOS!$A:$D,4,FALSE)),"")</f>
        <v>PRIVADO</v>
      </c>
      <c r="E1913" s="11" t="str">
        <f>IFERROR(IF(VLOOKUP(A1913,[13]PRIORIZADOS!$A:$E,5,FALSE)="","",VLOOKUP(A1913,[13]PRIORIZADOS!$A:$E,5,FALSE)),"")</f>
        <v>EPBM</v>
      </c>
      <c r="F1913" s="11" t="str">
        <f>IFERROR(IF(VLOOKUP(A1913,[13]PRIORIZADOS!$A:$F,6,FALSE)="","",VLOOKUP(A1913,[13]PRIORIZADOS!$A:$F,6,FALSE)),"")</f>
        <v>CENTRO_EDUCATIVO_LIBERTAD</v>
      </c>
      <c r="G1913" s="11" t="str">
        <f>IFERROR(IF(VLOOKUP(A1913,[13]PRIORIZADOS!$A:$G,7,FALSE)="","",VLOOKUP(A1913,[13]PRIORIZADOS!$A:$G,7,FALSE)),"")</f>
        <v>CENTRO EDUCATIVO LIBERTAD</v>
      </c>
      <c r="H1913" s="11" t="str">
        <f>IFERROR(IF(VLOOKUP(A1913,[13]PRIORIZADOS!$A:$H,8,FALSE)="","",VLOOKUP(A1913,[13]PRIORIZADOS!$A:$H,8,FALSE)),"")</f>
        <v>Convivencia escolar</v>
      </c>
      <c r="I1913" s="11" t="str">
        <f>IFERROR(IF(VLOOKUP(A1913,[13]PRIORIZADOS!$A:$I,9,FALSE)="","",VLOOKUP(A1913,[13]PRIORIZADOS!$A:$I,9,FALSE)),"")</f>
        <v>EVALUACIÓN_CON_FINES_DE_MEJORAMIENTO.</v>
      </c>
      <c r="J1913" s="11" t="str">
        <f>IFERROR(IF(VLOOKUP(A1913,[13]PRIORIZADOS!$A:$J,10,FALSE)="","",VLOOKUP(A1913,[13]PRIORIZADOS!$A:$J,10,FALSE)),"")</f>
        <v>Verificar las condiciones en cuanto a: la estructura administrativa, condiciones de la planta física y medios educativos adecuados.</v>
      </c>
      <c r="K1913" s="11" t="str">
        <f>IFERROR(IF(VLOOKUP(A1913,[13]PRIORIZADOS!$A:$K,11,FALSE)="","",VLOOKUP(A1913,[13]PRIORIZADOS!$A:$K,11,FALSE)),"")</f>
        <v xml:space="preserve">JORGE WILLIAM BONILLA ROMERO </v>
      </c>
      <c r="L1913" s="11" t="str">
        <f>IFERROR(IF(VLOOKUP(A1913,[13]PRIORIZADOS!$A:$L,12,FALSE)="","",VLOOKUP(A1913,[13]PRIORIZADOS!$A:$L,12,FALSE)),"")</f>
        <v>DAMARIS RUT CÁRDENAS MORENO</v>
      </c>
      <c r="M1913" s="71">
        <f>IFERROR(IF(VLOOKUP(A1913,[13]PRIORIZADOS!$A:$M,13,FALSE)="","",VLOOKUP(A1913,[13]PRIORIZADOS!$A:$M,13,FALSE)),"")</f>
        <v>45797</v>
      </c>
      <c r="N1913" s="71">
        <f>IFERROR(IF(VLOOKUP(A1913,[13]PRIORIZADOS!$A:$N,14,FALSE)="","",VLOOKUP(A1913,[13]PRIORIZADOS!$A:$N,14,FALSE)),"")</f>
        <v>45797</v>
      </c>
      <c r="O1913" s="71">
        <f>IFERROR(IF(VLOOKUP(A1913,[13]PRIORIZADOS!$A:$O,15,FALSE)="","",VLOOKUP(A1913,[13]PRIORIZADOS!$A:$O,15,FALSE)),"")</f>
        <v>45797</v>
      </c>
      <c r="P1913" s="11" t="str">
        <f>IFERROR(IF(VLOOKUP(A1913,[13]PRIORIZADOS!$A:$P,16,FALSE)="","",VLOOKUP(A1913,[13]PRIORIZADOS!$A:$P,16,FALSE)),"")</f>
        <v>Visitas de evaluación con fines de mejoramiento</v>
      </c>
      <c r="Q1913" s="243" t="s">
        <v>416</v>
      </c>
      <c r="R1913" s="11" t="str">
        <f>IFERROR(IF(VLOOKUP(A1913,[13]PRIORIZADOS!$A:$R,18,FALSE)="","",VLOOKUP(A1913,[13]PRIORIZADOS!$A:$R,18,FALSE)),"")</f>
        <v>El área de enfermería no está debidamente delimitada ni reservada exclusivamente para su uso. Además, el área destinada a vivienda para el personal encargado del cuidado del colegio está integrada con las instalaciones educativas, situación similar a la que ocurre con una de las oficinas de rectoría, lo que afecta la funcionalidad y organización del espacio institucional.</v>
      </c>
      <c r="S1913" s="11" t="str">
        <f>IFERROR(IF(VLOOKUP(A1913,[13]PRIORIZADOS!$A:$S,19,FALSE)="","",VLOOKUP(A1913,[13]PRIORIZADOS!$A:$S,19,FALSE)),"")</f>
        <v>Adecuar el área de enfermería para garantizar su uso exclusivo, separar físicamente las zonas de vivienda del personal de las instalaciones educativas, y reubicar la oficina de rectoría que comparte espacio con la vivienda.</v>
      </c>
      <c r="T1913" s="70" t="str">
        <f>IFERROR(IF(VLOOKUP(A1913,[13]PRIORIZADOS!$A:$T,20,FALSE)="","",VLOOKUP(A1913,[13]PRIORIZADOS!$A:$T,20,FALSE)),"")</f>
        <v>No</v>
      </c>
      <c r="U1913" s="11" t="str">
        <f>IFERROR(IF(VLOOKUP(A1913,[13]PRIORIZADOS!$A:$U,21,FALSE)="","",VLOOKUP(A1913,[13]PRIORIZADOS!$A:$U,21,FALSE)),"")</f>
        <v xml:space="preserve">Seguimiento de las acciones adelantadas por el EE durante el segundo semestre en cumplimiento de las observaciones señaladas en el acta.. </v>
      </c>
    </row>
    <row r="1914" spans="1:21" s="1" customFormat="1" ht="48">
      <c r="A1914" s="69">
        <f>IF([13]PRIORIZADOS!A77="","",[13]PRIORIZADOS!A77)</f>
        <v>1881</v>
      </c>
      <c r="B1914" s="70">
        <f>IFERROR(IF(VLOOKUP(A1914,[13]PRIORIZADOS!$A:$B,2,FALSE)="","",VLOOKUP(A1914,[13]PRIORIZADOS!$A:$B,2,FALSE)),"")</f>
        <v>9</v>
      </c>
      <c r="C1914" s="11" t="str">
        <f>IFERROR(IF(VLOOKUP(A1914,[13]PRIORIZADOS!$A:$C,3,FALSE)="","",VLOOKUP(A1914,[13]PRIORIZADOS!$A:$C,3,FALSE)),"")</f>
        <v xml:space="preserve">SANTA FE Y CANDELARIA </v>
      </c>
      <c r="D1914" s="11" t="str">
        <f>IFERROR(IF(VLOOKUP(A1914,[13]PRIORIZADOS!$A:$D,4,FALSE)="","",VLOOKUP(A1914,[13]PRIORIZADOS!$A:$D,4,FALSE)),"")</f>
        <v>PRIVADO</v>
      </c>
      <c r="E1914" s="11" t="str">
        <f>IFERROR(IF(VLOOKUP(A1914,[13]PRIORIZADOS!$A:$E,5,FALSE)="","",VLOOKUP(A1914,[13]PRIORIZADOS!$A:$E,5,FALSE)),"")</f>
        <v>Educación de Jóvenes y Adultos</v>
      </c>
      <c r="F1914" s="11" t="str">
        <f>IFERROR(IF(VLOOKUP(A1914,[13]PRIORIZADOS!$A:$F,6,FALSE)="","",VLOOKUP(A1914,[13]PRIORIZADOS!$A:$F,6,FALSE)),"")</f>
        <v>CENTRO_DE_CAPACITACION_BOLIVAR_CENCABO</v>
      </c>
      <c r="G1914" s="11" t="str">
        <f>IFERROR(IF(VLOOKUP(A1914,[13]PRIORIZADOS!$A:$G,7,FALSE)="","",VLOOKUP(A1914,[13]PRIORIZADOS!$A:$G,7,FALSE)),"")</f>
        <v>CENTRO DE CAPACITACION BOLIVAR - CENCABO</v>
      </c>
      <c r="H1914" s="11" t="str">
        <f>IFERROR(IF(VLOOKUP(A1914,[13]PRIORIZADOS!$A:$H,8,FALSE)="","",VLOOKUP(A1914,[13]PRIORIZADOS!$A:$H,8,FALSE)),"")</f>
        <v>Autoevaluación Institucional y Pruebas SABER 11</v>
      </c>
      <c r="I1914" s="11" t="str">
        <f>IFERROR(IF(VLOOKUP(A1914,[13]PRIORIZADOS!$A:$I,9,FALSE)="","",VLOOKUP(A1914,[13]PRIORIZADOS!$A:$I,9,FALSE)),"")</f>
        <v>SEGUIMIENTO_Y_SUPERVISIÓN.</v>
      </c>
      <c r="J1914" s="11" t="str">
        <f>IFERROR(IF(VLOOKUP(A1914,[13]PRIORIZADOS!$A:$J,10,FALSE)="","",VLOOKUP(A1914,[13]PRIORIZADOS!$A:$J,10,FALSE)),"")</f>
        <v>Realizar visitas para verificar la información registrada sobre la autoevaluación institucional en el aplicativo EVI, a los establecimientos de educación formal no oficial.</v>
      </c>
      <c r="K1914" s="11" t="str">
        <f>IFERROR(IF(VLOOKUP(A1914,[13]PRIORIZADOS!$A:$K,11,FALSE)="","",VLOOKUP(A1914,[13]PRIORIZADOS!$A:$K,11,FALSE)),"")</f>
        <v xml:space="preserve">JORGE WILLIAM BONILLA ROMERO </v>
      </c>
      <c r="L1914" s="11" t="str">
        <f>IFERROR(IF(VLOOKUP(A1914,[13]PRIORIZADOS!$A:$L,12,FALSE)="","",VLOOKUP(A1914,[13]PRIORIZADOS!$A:$L,12,FALSE)),"")</f>
        <v>JOSÉ MAXIMILIANO CHAPARRO BARRERA</v>
      </c>
      <c r="M1914" s="71">
        <f>IFERROR(IF(VLOOKUP(A1914,[13]PRIORIZADOS!$A:$M,13,FALSE)="","",VLOOKUP(A1914,[13]PRIORIZADOS!$A:$M,13,FALSE)),"")</f>
        <v>45807</v>
      </c>
      <c r="N1914" s="71">
        <f>IFERROR(IF(VLOOKUP(A1914,[13]PRIORIZADOS!$A:$N,14,FALSE)="","",VLOOKUP(A1914,[13]PRIORIZADOS!$A:$N,14,FALSE)),"")</f>
        <v>45807</v>
      </c>
      <c r="O1914" s="71">
        <f>IFERROR(IF(VLOOKUP(A1914,[13]PRIORIZADOS!$A:$O,15,FALSE)="","",VLOOKUP(A1914,[13]PRIORIZADOS!$A:$O,15,FALSE)),"")</f>
        <v>45807</v>
      </c>
      <c r="P1914" s="11" t="str">
        <f>IFERROR(IF(VLOOKUP(A1914,[13]PRIORIZADOS!$A:$P,16,FALSE)="","",VLOOKUP(A1914,[13]PRIORIZADOS!$A:$P,16,FALSE)),"")</f>
        <v>Visitas de evaluación con fines de mejoramiento</v>
      </c>
      <c r="Q1914" s="246" t="s">
        <v>417</v>
      </c>
      <c r="R1914" s="11" t="str">
        <f>IFERROR(IF(VLOOKUP(A1914,[13]PRIORIZADOS!$A:$R,18,FALSE)="","",VLOOKUP(A1914,[13]PRIORIZADOS!$A:$R,18,FALSE)),"")</f>
        <v>Se observan condiciones de legalidad en las dos nomenclaturas, en concordancia con la información registrada en la plataforma EVI.</v>
      </c>
      <c r="S1914" s="11" t="str">
        <f>IFERROR(IF(VLOOKUP(A1914,[13]PRIORIZADOS!$A:$S,19,FALSE)="","",VLOOKUP(A1914,[13]PRIORIZADOS!$A:$S,19,FALSE)),"")</f>
        <v>Es indispensable revisar la sostenibilidad financiera de la institución para garantizar la continuidad y calidad del servicio educativo.</v>
      </c>
      <c r="T1914" s="70" t="str">
        <f>IFERROR(IF(VLOOKUP(A1914,[13]PRIORIZADOS!$A:$T,20,FALSE)="","",VLOOKUP(A1914,[13]PRIORIZADOS!$A:$T,20,FALSE)),"")</f>
        <v>No</v>
      </c>
      <c r="U1914" s="11" t="str">
        <f>IFERROR(IF(VLOOKUP(A1914,[13]PRIORIZADOS!$A:$U,21,FALSE)="","",VLOOKUP(A1914,[13]PRIORIZADOS!$A:$U,21,FALSE)),"")</f>
        <v>El ELIV continuará revisando los cambios que presente el EE en la siguiente vigencia.</v>
      </c>
    </row>
    <row r="1915" spans="1:21" s="1" customFormat="1" ht="84">
      <c r="A1915" s="69">
        <f>IF([13]PRIORIZADOS!A78="","",[13]PRIORIZADOS!A78)</f>
        <v>1882</v>
      </c>
      <c r="B1915" s="70">
        <f>IFERROR(IF(VLOOKUP(A1915,[13]PRIORIZADOS!$A:$B,2,FALSE)="","",VLOOKUP(A1915,[13]PRIORIZADOS!$A:$B,2,FALSE)),"")</f>
        <v>9</v>
      </c>
      <c r="C1915" s="11" t="str">
        <f>IFERROR(IF(VLOOKUP(A1915,[13]PRIORIZADOS!$A:$C,3,FALSE)="","",VLOOKUP(A1915,[13]PRIORIZADOS!$A:$C,3,FALSE)),"")</f>
        <v xml:space="preserve">SANTA FE Y CANDELARIA </v>
      </c>
      <c r="D1915" s="11" t="str">
        <f>IFERROR(IF(VLOOKUP(A1915,[13]PRIORIZADOS!$A:$D,4,FALSE)="","",VLOOKUP(A1915,[13]PRIORIZADOS!$A:$D,4,FALSE)),"")</f>
        <v>PRIVADO</v>
      </c>
      <c r="E1915" s="11" t="str">
        <f>IFERROR(IF(VLOOKUP(A1915,[13]PRIORIZADOS!$A:$E,5,FALSE)="","",VLOOKUP(A1915,[13]PRIORIZADOS!$A:$E,5,FALSE)),"")</f>
        <v>Educación de Jóvenes y Adultos</v>
      </c>
      <c r="F1915" s="11" t="str">
        <f>IFERROR(IF(VLOOKUP(A1915,[13]PRIORIZADOS!$A:$F,6,FALSE)="","",VLOOKUP(A1915,[13]PRIORIZADOS!$A:$F,6,FALSE)),"")</f>
        <v>CENTRO_DE_CAPACITACION_BOLIVAR_CENCABO</v>
      </c>
      <c r="G1915" s="11" t="str">
        <f>IFERROR(IF(VLOOKUP(A1915,[13]PRIORIZADOS!$A:$G,7,FALSE)="","",VLOOKUP(A1915,[13]PRIORIZADOS!$A:$G,7,FALSE)),"")</f>
        <v>CENTRO DE CAPACITACION BOLIVAR - CENCABO</v>
      </c>
      <c r="H1915" s="11" t="str">
        <f>IFERROR(IF(VLOOKUP(A1915,[13]PRIORIZADOS!$A:$H,8,FALSE)="","",VLOOKUP(A1915,[13]PRIORIZADOS!$A:$H,8,FALSE)),"")</f>
        <v>Autoevaluación Institucional y Pruebas SABER 11</v>
      </c>
      <c r="I1915" s="11" t="str">
        <f>IFERROR(IF(VLOOKUP(A1915,[13]PRIORIZADOS!$A:$I,9,FALSE)="","",VLOOKUP(A1915,[13]PRIORIZADOS!$A:$I,9,FALSE)),"")</f>
        <v>SEGUIMIENTO_Y_SUPERVISIÓN.</v>
      </c>
      <c r="J1915" s="11" t="str">
        <f>IFERROR(IF(VLOOKUP(A1915,[13]PRIORIZADOS!$A:$J,10,FALSE)="","",VLOOKUP(A1915,[13]PRIORIZADOS!$A:$J,10,FALSE)),"")</f>
        <v>Proponer estrategias en la formulación, verificar su elaboración y realizar seguimiento semestral al desarrollo de  las acciones establecidas en los planes de mejoramiento por pruebas SABER 11 de los establecimientos de educación formal.</v>
      </c>
      <c r="K1915" s="11" t="str">
        <f>IFERROR(IF(VLOOKUP(A1915,[13]PRIORIZADOS!$A:$K,11,FALSE)="","",VLOOKUP(A1915,[13]PRIORIZADOS!$A:$K,11,FALSE)),"")</f>
        <v xml:space="preserve">JORGE WILLIAM BONILLA ROMERO </v>
      </c>
      <c r="L1915" s="11" t="str">
        <f>IFERROR(IF(VLOOKUP(A1915,[13]PRIORIZADOS!$A:$L,12,FALSE)="","",VLOOKUP(A1915,[13]PRIORIZADOS!$A:$L,12,FALSE)),"")</f>
        <v>JOSÉ MAXIMILIANO CHAPARRO BARRERA</v>
      </c>
      <c r="M1915" s="71">
        <f>IFERROR(IF(VLOOKUP(A1915,[13]PRIORIZADOS!$A:$M,13,FALSE)="","",VLOOKUP(A1915,[13]PRIORIZADOS!$A:$M,13,FALSE)),"")</f>
        <v>45807</v>
      </c>
      <c r="N1915" s="71">
        <f>IFERROR(IF(VLOOKUP(A1915,[13]PRIORIZADOS!$A:$N,14,FALSE)="","",VLOOKUP(A1915,[13]PRIORIZADOS!$A:$N,14,FALSE)),"")</f>
        <v>45807</v>
      </c>
      <c r="O1915" s="71">
        <f>IFERROR(IF(VLOOKUP(A1915,[13]PRIORIZADOS!$A:$O,15,FALSE)="","",VLOOKUP(A1915,[13]PRIORIZADOS!$A:$O,15,FALSE)),"")</f>
        <v>45807</v>
      </c>
      <c r="P1915" s="11" t="str">
        <f>IFERROR(IF(VLOOKUP(A1915,[13]PRIORIZADOS!$A:$P,16,FALSE)="","",VLOOKUP(A1915,[13]PRIORIZADOS!$A:$P,16,FALSE)),"")</f>
        <v>Visitas de evaluación con fines de mejoramiento</v>
      </c>
      <c r="Q1915" s="122" t="s">
        <v>417</v>
      </c>
      <c r="R1915" s="11" t="str">
        <f>IFERROR(IF(VLOOKUP(A1915,[13]PRIORIZADOS!$A:$R,18,FALSE)="","",VLOOKUP(A1915,[13]PRIORIZADOS!$A:$R,18,FALSE)),"")</f>
        <v>Se evidencia que la institución menciona el desarrollo de exámenes tipo ICFES; sin embargo, no se presenta documentación soporte que permita verificar su aplicación sistemática, objetivos pedagógicos o el seguimiento a los resultados obtenidos por los estudiantes.</v>
      </c>
      <c r="S1915" s="11" t="str">
        <f>IFERROR(IF(VLOOKUP(A1915,[13]PRIORIZADOS!$A:$S,19,FALSE)="","",VLOOKUP(A1915,[13]PRIORIZADOS!$A:$S,19,FALSE)),"")</f>
        <v>Definir indicadores de calidad del aprendizaje y adoptar estrategias de mejora basadas en resultados previos, con seguimiento y dinamización por parte del Consejo Académico y Directivo.</v>
      </c>
      <c r="T1915" s="70" t="str">
        <f>IFERROR(IF(VLOOKUP(A1915,[13]PRIORIZADOS!$A:$T,20,FALSE)="","",VLOOKUP(A1915,[13]PRIORIZADOS!$A:$T,20,FALSE)),"")</f>
        <v>Si</v>
      </c>
      <c r="U1915" s="11" t="str">
        <f>IFERROR(IF(VLOOKUP(A1915,[13]PRIORIZADOS!$A:$U,21,FALSE)="","",VLOOKUP(A1915,[13]PRIORIZADOS!$A:$U,21,FALSE)),"")</f>
        <v xml:space="preserve">El ELIV revisará la estrategia que formule el EE en función del seguimiento a los resultados de los estudiantes.
Se requiere al EE el 27 de octubre con radicado S-2025-333655 y se generará seguimiento en 2026.  </v>
      </c>
    </row>
    <row r="1916" spans="1:21" s="1" customFormat="1" ht="72">
      <c r="A1916" s="69">
        <f>IF([13]PRIORIZADOS!A79="","",[13]PRIORIZADOS!A79)</f>
        <v>1883</v>
      </c>
      <c r="B1916" s="70">
        <f>IFERROR(IF(VLOOKUP(A1916,[13]PRIORIZADOS!$A:$B,2,FALSE)="","",VLOOKUP(A1916,[13]PRIORIZADOS!$A:$B,2,FALSE)),"")</f>
        <v>9</v>
      </c>
      <c r="C1916" s="11" t="str">
        <f>IFERROR(IF(VLOOKUP(A1916,[13]PRIORIZADOS!$A:$C,3,FALSE)="","",VLOOKUP(A1916,[13]PRIORIZADOS!$A:$C,3,FALSE)),"")</f>
        <v xml:space="preserve">SANTA FE Y CANDELARIA </v>
      </c>
      <c r="D1916" s="11" t="str">
        <f>IFERROR(IF(VLOOKUP(A1916,[13]PRIORIZADOS!$A:$D,4,FALSE)="","",VLOOKUP(A1916,[13]PRIORIZADOS!$A:$D,4,FALSE)),"")</f>
        <v>PRIVADO</v>
      </c>
      <c r="E1916" s="11" t="str">
        <f>IFERROR(IF(VLOOKUP(A1916,[13]PRIORIZADOS!$A:$E,5,FALSE)="","",VLOOKUP(A1916,[13]PRIORIZADOS!$A:$E,5,FALSE)),"")</f>
        <v>Educación de Jóvenes y Adultos</v>
      </c>
      <c r="F1916" s="11" t="str">
        <f>IFERROR(IF(VLOOKUP(A1916,[13]PRIORIZADOS!$A:$F,6,FALSE)="","",VLOOKUP(A1916,[13]PRIORIZADOS!$A:$F,6,FALSE)),"")</f>
        <v>CENTRO_DE_CAPACITACION_BOLIVAR_CENCABO</v>
      </c>
      <c r="G1916" s="11" t="str">
        <f>IFERROR(IF(VLOOKUP(A1916,[13]PRIORIZADOS!$A:$G,7,FALSE)="","",VLOOKUP(A1916,[13]PRIORIZADOS!$A:$G,7,FALSE)),"")</f>
        <v>CENTRO DE CAPACITACION BOLIVAR - CENCABO</v>
      </c>
      <c r="H1916" s="11" t="str">
        <f>IFERROR(IF(VLOOKUP(A1916,[13]PRIORIZADOS!$A:$H,8,FALSE)="","",VLOOKUP(A1916,[13]PRIORIZADOS!$A:$H,8,FALSE)),"")</f>
        <v>Autoevaluación Institucional y Pruebas SABER 11</v>
      </c>
      <c r="I1916" s="11" t="str">
        <f>IFERROR(IF(VLOOKUP(A1916,[13]PRIORIZADOS!$A:$I,9,FALSE)="","",VLOOKUP(A1916,[13]PRIORIZADOS!$A:$I,9,FALSE)),"")</f>
        <v>SEGUIMIENTO_Y_SUPERVISIÓN.</v>
      </c>
      <c r="J1916" s="11" t="str">
        <f>IFERROR(IF(VLOOKUP(A1916,[13]PRIORIZADOS!$A:$J,10,FALSE)="","",VLOOKUP(A1916,[13]PRIORIZADOS!$A:$J,10,FALSE)),"")</f>
        <v xml:space="preserve">Verificar la implementación por parte de los colegios, de acciones realizadas para la prevención y atención de las situaciones de convivencia en el entorno escolar, según lo establecido en la Directiva 01 de 2022 del MEN. </v>
      </c>
      <c r="K1916" s="11" t="str">
        <f>IFERROR(IF(VLOOKUP(A1916,[13]PRIORIZADOS!$A:$K,11,FALSE)="","",VLOOKUP(A1916,[13]PRIORIZADOS!$A:$K,11,FALSE)),"")</f>
        <v xml:space="preserve">JORGE WILLIAM BONILLA ROMERO </v>
      </c>
      <c r="L1916" s="11" t="str">
        <f>IFERROR(IF(VLOOKUP(A1916,[13]PRIORIZADOS!$A:$L,12,FALSE)="","",VLOOKUP(A1916,[13]PRIORIZADOS!$A:$L,12,FALSE)),"")</f>
        <v>JOSÉ MAXIMILIANO CHAPARRO BARRERA</v>
      </c>
      <c r="M1916" s="71">
        <f>IFERROR(IF(VLOOKUP(A1916,[13]PRIORIZADOS!$A:$M,13,FALSE)="","",VLOOKUP(A1916,[13]PRIORIZADOS!$A:$M,13,FALSE)),"")</f>
        <v>45807</v>
      </c>
      <c r="N1916" s="71">
        <f>IFERROR(IF(VLOOKUP(A1916,[13]PRIORIZADOS!$A:$N,14,FALSE)="","",VLOOKUP(A1916,[13]PRIORIZADOS!$A:$N,14,FALSE)),"")</f>
        <v>45807</v>
      </c>
      <c r="O1916" s="71">
        <f>IFERROR(IF(VLOOKUP(A1916,[13]PRIORIZADOS!$A:$O,15,FALSE)="","",VLOOKUP(A1916,[13]PRIORIZADOS!$A:$O,15,FALSE)),"")</f>
        <v>45807</v>
      </c>
      <c r="P1916" s="11" t="str">
        <f>IFERROR(IF(VLOOKUP(A1916,[13]PRIORIZADOS!$A:$P,16,FALSE)="","",VLOOKUP(A1916,[13]PRIORIZADOS!$A:$P,16,FALSE)),"")</f>
        <v>Visitas de evaluación con fines de mejoramiento</v>
      </c>
      <c r="Q1916" s="122" t="s">
        <v>417</v>
      </c>
      <c r="R1916" s="11" t="str">
        <f>IFERROR(IF(VLOOKUP(A1916,[13]PRIORIZADOS!$A:$R,18,FALSE)="","",VLOOKUP(A1916,[13]PRIORIZADOS!$A:$R,18,FALSE)),"")</f>
        <v>No se evidencia seguimiento en la atención de los casos presentados, ni se cuenta con un plan de trabajo formalizado que oriente las acciones a desarrollar.</v>
      </c>
      <c r="S1916" s="11" t="str">
        <f>IFERROR(IF(VLOOKUP(A1916,[13]PRIORIZADOS!$A:$S,19,FALSE)="","",VLOOKUP(A1916,[13]PRIORIZADOS!$A:$S,19,FALSE)),"")</f>
        <v>Formular un plan de trabajo y elaborar un cronograma de reuniones para el abordaje de acciones preventivas en el entorno escolar, tomando como referencia lo establecido en la Directiva 01 de 2022 del MEN.</v>
      </c>
      <c r="T1916" s="70" t="str">
        <f>IFERROR(IF(VLOOKUP(A1916,[13]PRIORIZADOS!$A:$T,20,FALSE)="","",VLOOKUP(A1916,[13]PRIORIZADOS!$A:$T,20,FALSE)),"")</f>
        <v>No</v>
      </c>
      <c r="U1916" s="11" t="str">
        <f>IFERROR(IF(VLOOKUP(A1916,[13]PRIORIZADOS!$A:$U,21,FALSE)="","",VLOOKUP(A1916,[13]PRIORIZADOS!$A:$U,21,FALSE)),"")</f>
        <v>El ELIV revisará la estrategia que formule el EE en función del seguimiento a los resultados de los estudiantes.</v>
      </c>
    </row>
    <row r="1917" spans="1:21" s="1" customFormat="1" ht="72">
      <c r="A1917" s="69">
        <f>IF([13]PRIORIZADOS!A80="","",[13]PRIORIZADOS!A80)</f>
        <v>1884</v>
      </c>
      <c r="B1917" s="70">
        <f>IFERROR(IF(VLOOKUP(A1917,[13]PRIORIZADOS!$A:$B,2,FALSE)="","",VLOOKUP(A1917,[13]PRIORIZADOS!$A:$B,2,FALSE)),"")</f>
        <v>9</v>
      </c>
      <c r="C1917" s="11" t="str">
        <f>IFERROR(IF(VLOOKUP(A1917,[13]PRIORIZADOS!$A:$C,3,FALSE)="","",VLOOKUP(A1917,[13]PRIORIZADOS!$A:$C,3,FALSE)),"")</f>
        <v xml:space="preserve">SANTA FE Y CANDELARIA </v>
      </c>
      <c r="D1917" s="11" t="str">
        <f>IFERROR(IF(VLOOKUP(A1917,[13]PRIORIZADOS!$A:$D,4,FALSE)="","",VLOOKUP(A1917,[13]PRIORIZADOS!$A:$D,4,FALSE)),"")</f>
        <v>PRIVADO</v>
      </c>
      <c r="E1917" s="11" t="str">
        <f>IFERROR(IF(VLOOKUP(A1917,[13]PRIORIZADOS!$A:$E,5,FALSE)="","",VLOOKUP(A1917,[13]PRIORIZADOS!$A:$E,5,FALSE)),"")</f>
        <v>Educación de Jóvenes y Adultos</v>
      </c>
      <c r="F1917" s="11" t="str">
        <f>IFERROR(IF(VLOOKUP(A1917,[13]PRIORIZADOS!$A:$F,6,FALSE)="","",VLOOKUP(A1917,[13]PRIORIZADOS!$A:$F,6,FALSE)),"")</f>
        <v>CENTRO_DE_CAPACITACION_BOLIVAR_CENCABO</v>
      </c>
      <c r="G1917" s="11" t="str">
        <f>IFERROR(IF(VLOOKUP(A1917,[13]PRIORIZADOS!$A:$G,7,FALSE)="","",VLOOKUP(A1917,[13]PRIORIZADOS!$A:$G,7,FALSE)),"")</f>
        <v>CENTRO DE CAPACITACION BOLIVAR - CENCABO</v>
      </c>
      <c r="H1917" s="11" t="str">
        <f>IFERROR(IF(VLOOKUP(A1917,[13]PRIORIZADOS!$A:$H,8,FALSE)="","",VLOOKUP(A1917,[13]PRIORIZADOS!$A:$H,8,FALSE)),"")</f>
        <v>Autoevaluación Institucional y Pruebas SABER 11</v>
      </c>
      <c r="I1917" s="11" t="str">
        <f>IFERROR(IF(VLOOKUP(A1917,[13]PRIORIZADOS!$A:$I,9,FALSE)="","",VLOOKUP(A1917,[13]PRIORIZADOS!$A:$I,9,FALSE)),"")</f>
        <v>SEGUIMIENTO_Y_SUPERVISIÓN.</v>
      </c>
      <c r="J1917" s="11" t="str">
        <f>IFERROR(IF(VLOOKUP(A1917,[13]PRIORIZADOS!$A:$J,10,FALSE)="","",VLOOKUP(A1917,[13]PRIORIZADOS!$A:$J,10,FALSE)),"")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17" s="11" t="str">
        <f>IFERROR(IF(VLOOKUP(A1917,[13]PRIORIZADOS!$A:$K,11,FALSE)="","",VLOOKUP(A1917,[13]PRIORIZADOS!$A:$K,11,FALSE)),"")</f>
        <v xml:space="preserve">JORGE WILLIAM BONILLA ROMERO </v>
      </c>
      <c r="L1917" s="11" t="str">
        <f>IFERROR(IF(VLOOKUP(A1917,[13]PRIORIZADOS!$A:$L,12,FALSE)="","",VLOOKUP(A1917,[13]PRIORIZADOS!$A:$L,12,FALSE)),"")</f>
        <v>JOSÉ MAXIMILIANO CHAPARRO BARRERA</v>
      </c>
      <c r="M1917" s="71">
        <f>IFERROR(IF(VLOOKUP(A1917,[13]PRIORIZADOS!$A:$M,13,FALSE)="","",VLOOKUP(A1917,[13]PRIORIZADOS!$A:$M,13,FALSE)),"")</f>
        <v>45807</v>
      </c>
      <c r="N1917" s="71">
        <f>IFERROR(IF(VLOOKUP(A1917,[13]PRIORIZADOS!$A:$N,14,FALSE)="","",VLOOKUP(A1917,[13]PRIORIZADOS!$A:$N,14,FALSE)),"")</f>
        <v>45807</v>
      </c>
      <c r="O1917" s="71">
        <f>IFERROR(IF(VLOOKUP(A1917,[13]PRIORIZADOS!$A:$O,15,FALSE)="","",VLOOKUP(A1917,[13]PRIORIZADOS!$A:$O,15,FALSE)),"")</f>
        <v>45807</v>
      </c>
      <c r="P1917" s="11" t="str">
        <f>IFERROR(IF(VLOOKUP(A1917,[13]PRIORIZADOS!$A:$P,16,FALSE)="","",VLOOKUP(A1917,[13]PRIORIZADOS!$A:$P,16,FALSE)),"")</f>
        <v>Visitas de evaluación con fines de mejoramiento</v>
      </c>
      <c r="Q1917" s="122" t="s">
        <v>417</v>
      </c>
      <c r="R1917" s="11" t="str">
        <f>IFERROR(IF(VLOOKUP(A1917,[13]PRIORIZADOS!$A:$R,18,FALSE)="","",VLOOKUP(A1917,[13]PRIORIZADOS!$A:$R,18,FALSE)),"")</f>
        <v>Se identifican inconsistencias y diferencias en la información reportada en el sistema SIMAT, lo que puede afectar el seguimiento y la gestión adecuada de los datos institucionales.</v>
      </c>
      <c r="S1917" s="11" t="str">
        <f>IFERROR(IF(VLOOKUP(A1917,[13]PRIORIZADOS!$A:$S,19,FALSE)="","",VLOOKUP(A1917,[13]PRIORIZADOS!$A:$S,19,FALSE)),"")</f>
        <v>Ajustar la información en el aplicativo conforme a la población atendida.</v>
      </c>
      <c r="T1917" s="70" t="str">
        <f>IFERROR(IF(VLOOKUP(A1917,[13]PRIORIZADOS!$A:$T,20,FALSE)="","",VLOOKUP(A1917,[13]PRIORIZADOS!$A:$T,20,FALSE)),"")</f>
        <v>No</v>
      </c>
      <c r="U1917" s="11" t="str">
        <f>IFERROR(IF(VLOOKUP(A1917,[13]PRIORIZADOS!$A:$U,21,FALSE)="","",VLOOKUP(A1917,[13]PRIORIZADOS!$A:$U,21,FALSE)),"")</f>
        <v>Radicar en la DLE Santa Fe - La Candelaria los avances correspondientes en julio de 2025.</v>
      </c>
    </row>
    <row r="1918" spans="1:21" s="1" customFormat="1" ht="96">
      <c r="A1918" s="69">
        <f>IF([13]PRIORIZADOS!A81="","",[13]PRIORIZADOS!A81)</f>
        <v>1885</v>
      </c>
      <c r="B1918" s="70">
        <f>IFERROR(IF(VLOOKUP(A1918,[13]PRIORIZADOS!$A:$B,2,FALSE)="","",VLOOKUP(A1918,[13]PRIORIZADOS!$A:$B,2,FALSE)),"")</f>
        <v>9</v>
      </c>
      <c r="C1918" s="11" t="str">
        <f>IFERROR(IF(VLOOKUP(A1918,[13]PRIORIZADOS!$A:$C,3,FALSE)="","",VLOOKUP(A1918,[13]PRIORIZADOS!$A:$C,3,FALSE)),"")</f>
        <v xml:space="preserve">SANTA FE Y CANDELARIA </v>
      </c>
      <c r="D1918" s="11" t="str">
        <f>IFERROR(IF(VLOOKUP(A1918,[13]PRIORIZADOS!$A:$D,4,FALSE)="","",VLOOKUP(A1918,[13]PRIORIZADOS!$A:$D,4,FALSE)),"")</f>
        <v>PRIVADO</v>
      </c>
      <c r="E1918" s="11" t="str">
        <f>IFERROR(IF(VLOOKUP(A1918,[13]PRIORIZADOS!$A:$E,5,FALSE)="","",VLOOKUP(A1918,[13]PRIORIZADOS!$A:$E,5,FALSE)),"")</f>
        <v>Educación de Jóvenes y Adultos</v>
      </c>
      <c r="F1918" s="11" t="str">
        <f>IFERROR(IF(VLOOKUP(A1918,[13]PRIORIZADOS!$A:$F,6,FALSE)="","",VLOOKUP(A1918,[13]PRIORIZADOS!$A:$F,6,FALSE)),"")</f>
        <v>CENTRO_DE_CAPACITACION_BOLIVAR_CENCABO</v>
      </c>
      <c r="G1918" s="11" t="str">
        <f>IFERROR(IF(VLOOKUP(A1918,[13]PRIORIZADOS!$A:$G,7,FALSE)="","",VLOOKUP(A1918,[13]PRIORIZADOS!$A:$G,7,FALSE)),"")</f>
        <v>CENTRO DE CAPACITACION BOLIVAR - CENCABO</v>
      </c>
      <c r="H1918" s="11" t="str">
        <f>IFERROR(IF(VLOOKUP(A1918,[13]PRIORIZADOS!$A:$H,8,FALSE)="","",VLOOKUP(A1918,[13]PRIORIZADOS!$A:$H,8,FALSE)),"")</f>
        <v>Autoevaluación Institucional y Pruebas SABER 11</v>
      </c>
      <c r="I1918" s="11" t="str">
        <f>IFERROR(IF(VLOOKUP(A1918,[13]PRIORIZADOS!$A:$I,9,FALSE)="","",VLOOKUP(A1918,[13]PRIORIZADOS!$A:$I,9,FALSE)),"")</f>
        <v>EVALUACIÓN_CON_FINES_DE_MEJORAMIENTO.</v>
      </c>
      <c r="J1918" s="11" t="str">
        <f>IFERROR(IF(VLOOKUP(A1918,[13]PRIORIZADOS!$A:$J,10,FALSE)="","",VLOOKUP(A1918,[13]PRIORIZADOS!$A:$J,10,FALSE)),"")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18" s="11" t="str">
        <f>IFERROR(IF(VLOOKUP(A1918,[13]PRIORIZADOS!$A:$K,11,FALSE)="","",VLOOKUP(A1918,[13]PRIORIZADOS!$A:$K,11,FALSE)),"")</f>
        <v xml:space="preserve">JORGE WILLIAM BONILLA ROMERO </v>
      </c>
      <c r="L1918" s="11" t="str">
        <f>IFERROR(IF(VLOOKUP(A1918,[13]PRIORIZADOS!$A:$L,12,FALSE)="","",VLOOKUP(A1918,[13]PRIORIZADOS!$A:$L,12,FALSE)),"")</f>
        <v>JOSÉ MAXIMILIANO CHAPARRO BARRERA</v>
      </c>
      <c r="M1918" s="71">
        <f>IFERROR(IF(VLOOKUP(A1918,[13]PRIORIZADOS!$A:$M,13,FALSE)="","",VLOOKUP(A1918,[13]PRIORIZADOS!$A:$M,13,FALSE)),"")</f>
        <v>45807</v>
      </c>
      <c r="N1918" s="71">
        <f>IFERROR(IF(VLOOKUP(A1918,[13]PRIORIZADOS!$A:$N,14,FALSE)="","",VLOOKUP(A1918,[13]PRIORIZADOS!$A:$N,14,FALSE)),"")</f>
        <v>45807</v>
      </c>
      <c r="O1918" s="71">
        <f>IFERROR(IF(VLOOKUP(A1918,[13]PRIORIZADOS!$A:$O,15,FALSE)="","",VLOOKUP(A1918,[13]PRIORIZADOS!$A:$O,15,FALSE)),"")</f>
        <v>45807</v>
      </c>
      <c r="P1918" s="11" t="str">
        <f>IFERROR(IF(VLOOKUP(A1918,[13]PRIORIZADOS!$A:$P,16,FALSE)="","",VLOOKUP(A1918,[13]PRIORIZADOS!$A:$P,16,FALSE)),"")</f>
        <v>Visitas de evaluación con fines de mejoramiento</v>
      </c>
      <c r="Q1918" s="122" t="s">
        <v>417</v>
      </c>
      <c r="R1918" s="11" t="str">
        <f>IFERROR(IF(VLOOKUP(A1918,[13]PRIORIZADOS!$A:$R,18,FALSE)="","",VLOOKUP(A1918,[13]PRIORIZADOS!$A:$R,18,FALSE)),"")</f>
        <v xml:space="preserve">No se evidencia seguimiento a los casos convivenciales, ni la existencia de un plan de trabajo formal del comité. </v>
      </c>
      <c r="S1918" s="11" t="str">
        <f>IFERROR(IF(VLOOKUP(A1918,[13]PRIORIZADOS!$A:$S,19,FALSE)="","",VLOOKUP(A1918,[13]PRIORIZADOS!$A:$S,19,FALSE)),"")</f>
        <v>Diseñar indicadores de gestión convivencial y formular un plan de trabajo que incluya un enfoque diferencial, de derechos humanos y de justicia restaurativa en el proceso convivencial. Además, elaborar un cronograma de reuniones para dar seguimiento a estas acciones.</v>
      </c>
      <c r="T1918" s="70" t="str">
        <f>IFERROR(IF(VLOOKUP(A1918,[13]PRIORIZADOS!$A:$T,20,FALSE)="","",VLOOKUP(A1918,[13]PRIORIZADOS!$A:$T,20,FALSE)),"")</f>
        <v>No</v>
      </c>
      <c r="U1918" s="11" t="str">
        <f>IFERROR(IF(VLOOKUP(A1918,[13]PRIORIZADOS!$A:$U,21,FALSE)="","",VLOOKUP(A1918,[13]PRIORIZADOS!$A:$U,21,FALSE)),"")</f>
        <v>Radicar en la DLE Santa Fe - La Candelaria los avances correspondientes en julio de 2025.</v>
      </c>
    </row>
    <row r="1919" spans="1:21" s="1" customFormat="1" ht="60">
      <c r="A1919" s="69">
        <f>IF([13]PRIORIZADOS!A82="","",[13]PRIORIZADOS!A82)</f>
        <v>1886</v>
      </c>
      <c r="B1919" s="70">
        <f>IFERROR(IF(VLOOKUP(A1919,[13]PRIORIZADOS!$A:$B,2,FALSE)="","",VLOOKUP(A1919,[13]PRIORIZADOS!$A:$B,2,FALSE)),"")</f>
        <v>9</v>
      </c>
      <c r="C1919" s="11" t="str">
        <f>IFERROR(IF(VLOOKUP(A1919,[13]PRIORIZADOS!$A:$C,3,FALSE)="","",VLOOKUP(A1919,[13]PRIORIZADOS!$A:$C,3,FALSE)),"")</f>
        <v xml:space="preserve">SANTA FE Y CANDELARIA </v>
      </c>
      <c r="D1919" s="11" t="str">
        <f>IFERROR(IF(VLOOKUP(A1919,[13]PRIORIZADOS!$A:$D,4,FALSE)="","",VLOOKUP(A1919,[13]PRIORIZADOS!$A:$D,4,FALSE)),"")</f>
        <v>PRIVADO</v>
      </c>
      <c r="E1919" s="11" t="str">
        <f>IFERROR(IF(VLOOKUP(A1919,[13]PRIORIZADOS!$A:$E,5,FALSE)="","",VLOOKUP(A1919,[13]PRIORIZADOS!$A:$E,5,FALSE)),"")</f>
        <v>Educación de Jóvenes y Adultos</v>
      </c>
      <c r="F1919" s="11" t="str">
        <f>IFERROR(IF(VLOOKUP(A1919,[13]PRIORIZADOS!$A:$F,6,FALSE)="","",VLOOKUP(A1919,[13]PRIORIZADOS!$A:$F,6,FALSE)),"")</f>
        <v>CENTRO_DE_CAPACITACION_BOLIVAR_CENCABO</v>
      </c>
      <c r="G1919" s="11" t="str">
        <f>IFERROR(IF(VLOOKUP(A1919,[13]PRIORIZADOS!$A:$G,7,FALSE)="","",VLOOKUP(A1919,[13]PRIORIZADOS!$A:$G,7,FALSE)),"")</f>
        <v>CENTRO DE CAPACITACION BOLIVAR - CENCABO</v>
      </c>
      <c r="H1919" s="11" t="str">
        <f>IFERROR(IF(VLOOKUP(A1919,[13]PRIORIZADOS!$A:$H,8,FALSE)="","",VLOOKUP(A1919,[13]PRIORIZADOS!$A:$H,8,FALSE)),"")</f>
        <v>Autoevaluación Institucional y Pruebas SABER 11</v>
      </c>
      <c r="I1919" s="11" t="str">
        <f>IFERROR(IF(VLOOKUP(A1919,[13]PRIORIZADOS!$A:$I,9,FALSE)="","",VLOOKUP(A1919,[13]PRIORIZADOS!$A:$I,9,FALSE)),"")</f>
        <v>EVALUACIÓN_CON_FINES_DE_MEJORAMIENTO.</v>
      </c>
      <c r="J1919" s="11" t="str">
        <f>IFERROR(IF(VLOOKUP(A1919,[13]PRIORIZADOS!$A:$J,10,FALSE)="","",VLOOKUP(A1919,[13]PRIORIZADOS!$A:$J,10,FALSE)),"")</f>
        <v>Revisar la actualización, socialización e implementación del Sistema Institucional de Evaluación de Estudiantes - SIEE, en articulación con la actualización del PEI y la normatividad vigente.</v>
      </c>
      <c r="K1919" s="11" t="str">
        <f>IFERROR(IF(VLOOKUP(A1919,[13]PRIORIZADOS!$A:$K,11,FALSE)="","",VLOOKUP(A1919,[13]PRIORIZADOS!$A:$K,11,FALSE)),"")</f>
        <v xml:space="preserve">JORGE WILLIAM BONILLA ROMERO </v>
      </c>
      <c r="L1919" s="11" t="str">
        <f>IFERROR(IF(VLOOKUP(A1919,[13]PRIORIZADOS!$A:$L,12,FALSE)="","",VLOOKUP(A1919,[13]PRIORIZADOS!$A:$L,12,FALSE)),"")</f>
        <v>JOSÉ MAXIMILIANO CHAPARRO BARRERA</v>
      </c>
      <c r="M1919" s="71">
        <f>IFERROR(IF(VLOOKUP(A1919,[13]PRIORIZADOS!$A:$M,13,FALSE)="","",VLOOKUP(A1919,[13]PRIORIZADOS!$A:$M,13,FALSE)),"")</f>
        <v>45807</v>
      </c>
      <c r="N1919" s="71">
        <f>IFERROR(IF(VLOOKUP(A1919,[13]PRIORIZADOS!$A:$N,14,FALSE)="","",VLOOKUP(A1919,[13]PRIORIZADOS!$A:$N,14,FALSE)),"")</f>
        <v>45807</v>
      </c>
      <c r="O1919" s="71">
        <f>IFERROR(IF(VLOOKUP(A1919,[13]PRIORIZADOS!$A:$O,15,FALSE)="","",VLOOKUP(A1919,[13]PRIORIZADOS!$A:$O,15,FALSE)),"")</f>
        <v>45807</v>
      </c>
      <c r="P1919" s="11" t="str">
        <f>IFERROR(IF(VLOOKUP(A1919,[13]PRIORIZADOS!$A:$P,16,FALSE)="","",VLOOKUP(A1919,[13]PRIORIZADOS!$A:$P,16,FALSE)),"")</f>
        <v>Visitas de evaluación con fines de mejoramiento</v>
      </c>
      <c r="Q1919" s="122" t="s">
        <v>417</v>
      </c>
      <c r="R1919" s="11" t="str">
        <f>IFERROR(IF(VLOOKUP(A1919,[13]PRIORIZADOS!$A:$R,18,FALSE)="","",VLOOKUP(A1919,[13]PRIORIZADOS!$A:$R,18,FALSE)),"")</f>
        <v>No se evidencia articulación ni coherencia oportuna entre el SIEE y el PEI, lo que dificulta la integración efectiva de los procesos institucionales.</v>
      </c>
      <c r="S1919" s="11" t="str">
        <f>IFERROR(IF(VLOOKUP(A1919,[13]PRIORIZADOS!$A:$S,19,FALSE)="","",VLOOKUP(A1919,[13]PRIORIZADOS!$A:$S,19,FALSE)),"")</f>
        <v>Se debe elaborar un plan de trabajo oportuno sobre las recuperaciones y revaloraciones señaladas en el SIEE, acorde con los periodos académicos desarrollados.</v>
      </c>
      <c r="T1919" s="70" t="str">
        <f>IFERROR(IF(VLOOKUP(A1919,[13]PRIORIZADOS!$A:$T,20,FALSE)="","",VLOOKUP(A1919,[13]PRIORIZADOS!$A:$T,20,FALSE)),"")</f>
        <v>No</v>
      </c>
      <c r="U1919" s="11" t="str">
        <f>IFERROR(IF(VLOOKUP(A1919,[13]PRIORIZADOS!$A:$U,21,FALSE)="","",VLOOKUP(A1919,[13]PRIORIZADOS!$A:$U,21,FALSE)),"")</f>
        <v>Radicar en la DLE Santa Fe - La Candelaria los avances correspondientes en julio de 2025.</v>
      </c>
    </row>
    <row r="1920" spans="1:21" s="1" customFormat="1" ht="48">
      <c r="A1920" s="69">
        <f>IF([13]PRIORIZADOS!A83="","",[13]PRIORIZADOS!A83)</f>
        <v>1887</v>
      </c>
      <c r="B1920" s="70">
        <f>IFERROR(IF(VLOOKUP(A1920,[13]PRIORIZADOS!$A:$B,2,FALSE)="","",VLOOKUP(A1920,[13]PRIORIZADOS!$A:$B,2,FALSE)),"")</f>
        <v>9</v>
      </c>
      <c r="C1920" s="11" t="str">
        <f>IFERROR(IF(VLOOKUP(A1920,[13]PRIORIZADOS!$A:$C,3,FALSE)="","",VLOOKUP(A1920,[13]PRIORIZADOS!$A:$C,3,FALSE)),"")</f>
        <v xml:space="preserve">SANTA FE Y CANDELARIA </v>
      </c>
      <c r="D1920" s="11" t="str">
        <f>IFERROR(IF(VLOOKUP(A1920,[13]PRIORIZADOS!$A:$D,4,FALSE)="","",VLOOKUP(A1920,[13]PRIORIZADOS!$A:$D,4,FALSE)),"")</f>
        <v>PRIVADO</v>
      </c>
      <c r="E1920" s="11" t="str">
        <f>IFERROR(IF(VLOOKUP(A1920,[13]PRIORIZADOS!$A:$E,5,FALSE)="","",VLOOKUP(A1920,[13]PRIORIZADOS!$A:$E,5,FALSE)),"")</f>
        <v>Educación de Jóvenes y Adultos</v>
      </c>
      <c r="F1920" s="11" t="str">
        <f>IFERROR(IF(VLOOKUP(A1920,[13]PRIORIZADOS!$A:$F,6,FALSE)="","",VLOOKUP(A1920,[13]PRIORIZADOS!$A:$F,6,FALSE)),"")</f>
        <v>CENTRO_DE_CAPACITACION_BOLIVAR_CENCABO</v>
      </c>
      <c r="G1920" s="11" t="str">
        <f>IFERROR(IF(VLOOKUP(A1920,[13]PRIORIZADOS!$A:$G,7,FALSE)="","",VLOOKUP(A1920,[13]PRIORIZADOS!$A:$G,7,FALSE)),"")</f>
        <v>CENTRO DE CAPACITACION BOLIVAR - CENCABO</v>
      </c>
      <c r="H1920" s="11" t="str">
        <f>IFERROR(IF(VLOOKUP(A1920,[13]PRIORIZADOS!$A:$H,8,FALSE)="","",VLOOKUP(A1920,[13]PRIORIZADOS!$A:$H,8,FALSE)),"")</f>
        <v>Autoevaluación Institucional y Pruebas SABER 11</v>
      </c>
      <c r="I1920" s="11" t="str">
        <f>IFERROR(IF(VLOOKUP(A1920,[13]PRIORIZADOS!$A:$I,9,FALSE)="","",VLOOKUP(A1920,[13]PRIORIZADOS!$A:$I,9,FALSE)),"")</f>
        <v>EVALUACIÓN_CON_FINES_DE_MEJORAMIENTO.</v>
      </c>
      <c r="J1920" s="11" t="str">
        <f>IFERROR(IF(VLOOKUP(A1920,[13]PRIORIZADOS!$A:$J,10,FALSE)="","",VLOOKUP(A1920,[13]PRIORIZADOS!$A:$J,10,FALSE)),"")</f>
        <v>Revisar el calendario escolar, jornada escolar, la intensidad horaria mínima anual en cada nivel y las modificaciones que se realicen al mismo, de acuerdo con lo previsto en la normatividad vigente.</v>
      </c>
      <c r="K1920" s="11" t="str">
        <f>IFERROR(IF(VLOOKUP(A1920,[13]PRIORIZADOS!$A:$K,11,FALSE)="","",VLOOKUP(A1920,[13]PRIORIZADOS!$A:$K,11,FALSE)),"")</f>
        <v xml:space="preserve">JORGE WILLIAM BONILLA ROMERO </v>
      </c>
      <c r="L1920" s="11" t="str">
        <f>IFERROR(IF(VLOOKUP(A1920,[13]PRIORIZADOS!$A:$L,12,FALSE)="","",VLOOKUP(A1920,[13]PRIORIZADOS!$A:$L,12,FALSE)),"")</f>
        <v>JOSÉ MAXIMILIANO CHAPARRO BARRERA</v>
      </c>
      <c r="M1920" s="71">
        <f>IFERROR(IF(VLOOKUP(A1920,[13]PRIORIZADOS!$A:$M,13,FALSE)="","",VLOOKUP(A1920,[13]PRIORIZADOS!$A:$M,13,FALSE)),"")</f>
        <v>45807</v>
      </c>
      <c r="N1920" s="71">
        <f>IFERROR(IF(VLOOKUP(A1920,[13]PRIORIZADOS!$A:$N,14,FALSE)="","",VLOOKUP(A1920,[13]PRIORIZADOS!$A:$N,14,FALSE)),"")</f>
        <v>45807</v>
      </c>
      <c r="O1920" s="71">
        <f>IFERROR(IF(VLOOKUP(A1920,[13]PRIORIZADOS!$A:$O,15,FALSE)="","",VLOOKUP(A1920,[13]PRIORIZADOS!$A:$O,15,FALSE)),"")</f>
        <v>45807</v>
      </c>
      <c r="P1920" s="11" t="str">
        <f>IFERROR(IF(VLOOKUP(A1920,[13]PRIORIZADOS!$A:$P,16,FALSE)="","",VLOOKUP(A1920,[13]PRIORIZADOS!$A:$P,16,FALSE)),"")</f>
        <v>Visitas de evaluación con fines de mejoramiento</v>
      </c>
      <c r="Q1920" s="122" t="s">
        <v>417</v>
      </c>
      <c r="R1920" s="11" t="str">
        <f>IFERROR(IF(VLOOKUP(A1920,[13]PRIORIZADOS!$A:$R,18,FALSE)="","",VLOOKUP(A1920,[13]PRIORIZADOS!$A:$R,18,FALSE)),"")</f>
        <v>No se evidencia el cumplimiento de la intensidad horaria establecida, lo que puede afectar la calidad del proceso educativo.</v>
      </c>
      <c r="S1920" s="11" t="str">
        <f>IFERROR(IF(VLOOKUP(A1920,[13]PRIORIZADOS!$A:$S,19,FALSE)="","",VLOOKUP(A1920,[13]PRIORIZADOS!$A:$S,19,FALSE)),"")</f>
        <v>Se solicita revisar el cumplimiento de la intensidad horaria establecida por la normatividad vigente.</v>
      </c>
      <c r="T1920" s="70" t="str">
        <f>IFERROR(IF(VLOOKUP(A1920,[13]PRIORIZADOS!$A:$T,20,FALSE)="","",VLOOKUP(A1920,[13]PRIORIZADOS!$A:$T,20,FALSE)),"")</f>
        <v>No</v>
      </c>
      <c r="U1920" s="11" t="str">
        <f>IFERROR(IF(VLOOKUP(A1920,[13]PRIORIZADOS!$A:$U,21,FALSE)="","",VLOOKUP(A1920,[13]PRIORIZADOS!$A:$U,21,FALSE)),"")</f>
        <v>Radicar en la DLE Santa Fe - La Candelaria los avances correspondientes en julio de 2025.</v>
      </c>
    </row>
    <row r="1921" spans="1:21" s="1" customFormat="1" ht="48">
      <c r="A1921" s="69">
        <f>IF([13]PRIORIZADOS!A84="","",[13]PRIORIZADOS!A84)</f>
        <v>1888</v>
      </c>
      <c r="B1921" s="70">
        <f>IFERROR(IF(VLOOKUP(A1921,[13]PRIORIZADOS!$A:$B,2,FALSE)="","",VLOOKUP(A1921,[13]PRIORIZADOS!$A:$B,2,FALSE)),"")</f>
        <v>9</v>
      </c>
      <c r="C1921" s="11" t="str">
        <f>IFERROR(IF(VLOOKUP(A1921,[13]PRIORIZADOS!$A:$C,3,FALSE)="","",VLOOKUP(A1921,[13]PRIORIZADOS!$A:$C,3,FALSE)),"")</f>
        <v xml:space="preserve">SANTA FE Y CANDELARIA </v>
      </c>
      <c r="D1921" s="11" t="str">
        <f>IFERROR(IF(VLOOKUP(A1921,[13]PRIORIZADOS!$A:$D,4,FALSE)="","",VLOOKUP(A1921,[13]PRIORIZADOS!$A:$D,4,FALSE)),"")</f>
        <v>PRIVADO</v>
      </c>
      <c r="E1921" s="11" t="str">
        <f>IFERROR(IF(VLOOKUP(A1921,[13]PRIORIZADOS!$A:$E,5,FALSE)="","",VLOOKUP(A1921,[13]PRIORIZADOS!$A:$E,5,FALSE)),"")</f>
        <v>Educación de Jóvenes y Adultos</v>
      </c>
      <c r="F1921" s="11" t="str">
        <f>IFERROR(IF(VLOOKUP(A1921,[13]PRIORIZADOS!$A:$F,6,FALSE)="","",VLOOKUP(A1921,[13]PRIORIZADOS!$A:$F,6,FALSE)),"")</f>
        <v>CENTRO_DE_CAPACITACION_BOLIVAR_CENCABO</v>
      </c>
      <c r="G1921" s="11" t="str">
        <f>IFERROR(IF(VLOOKUP(A1921,[13]PRIORIZADOS!$A:$G,7,FALSE)="","",VLOOKUP(A1921,[13]PRIORIZADOS!$A:$G,7,FALSE)),"")</f>
        <v>CENTRO DE CAPACITACION BOLIVAR - CENCABO</v>
      </c>
      <c r="H1921" s="11" t="str">
        <f>IFERROR(IF(VLOOKUP(A1921,[13]PRIORIZADOS!$A:$H,8,FALSE)="","",VLOOKUP(A1921,[13]PRIORIZADOS!$A:$H,8,FALSE)),"")</f>
        <v>Autoevaluación Institucional y Pruebas SABER 11</v>
      </c>
      <c r="I1921" s="11" t="str">
        <f>IFERROR(IF(VLOOKUP(A1921,[13]PRIORIZADOS!$A:$I,9,FALSE)="","",VLOOKUP(A1921,[13]PRIORIZADOS!$A:$I,9,FALSE)),"")</f>
        <v>EVALUACIÓN_CON_FINES_DE_MEJORAMIENTO.</v>
      </c>
      <c r="J1921" s="11" t="str">
        <f>IFERROR(IF(VLOOKUP(A1921,[13]PRIORIZADOS!$A:$J,10,FALSE)="","",VLOOKUP(A1921,[13]PRIORIZADOS!$A:$J,10,FALSE)),"")</f>
        <v>Verificar el funcionamiento del Gobierno Escolar e instancias de participación con base en la información sobre conformación reportada por la institución educativa.</v>
      </c>
      <c r="K1921" s="11" t="str">
        <f>IFERROR(IF(VLOOKUP(A1921,[13]PRIORIZADOS!$A:$K,11,FALSE)="","",VLOOKUP(A1921,[13]PRIORIZADOS!$A:$K,11,FALSE)),"")</f>
        <v xml:space="preserve">JORGE WILLIAM BONILLA ROMERO </v>
      </c>
      <c r="L1921" s="11" t="str">
        <f>IFERROR(IF(VLOOKUP(A1921,[13]PRIORIZADOS!$A:$L,12,FALSE)="","",VLOOKUP(A1921,[13]PRIORIZADOS!$A:$L,12,FALSE)),"")</f>
        <v>JOSÉ MAXIMILIANO CHAPARRO BARRERA</v>
      </c>
      <c r="M1921" s="71">
        <f>IFERROR(IF(VLOOKUP(A1921,[13]PRIORIZADOS!$A:$M,13,FALSE)="","",VLOOKUP(A1921,[13]PRIORIZADOS!$A:$M,13,FALSE)),"")</f>
        <v>45807</v>
      </c>
      <c r="N1921" s="71">
        <f>IFERROR(IF(VLOOKUP(A1921,[13]PRIORIZADOS!$A:$N,14,FALSE)="","",VLOOKUP(A1921,[13]PRIORIZADOS!$A:$N,14,FALSE)),"")</f>
        <v>45807</v>
      </c>
      <c r="O1921" s="71">
        <f>IFERROR(IF(VLOOKUP(A1921,[13]PRIORIZADOS!$A:$O,15,FALSE)="","",VLOOKUP(A1921,[13]PRIORIZADOS!$A:$O,15,FALSE)),"")</f>
        <v>45807</v>
      </c>
      <c r="P1921" s="11" t="str">
        <f>IFERROR(IF(VLOOKUP(A1921,[13]PRIORIZADOS!$A:$P,16,FALSE)="","",VLOOKUP(A1921,[13]PRIORIZADOS!$A:$P,16,FALSE)),"")</f>
        <v>Visitas de evaluación con fines de mejoramiento</v>
      </c>
      <c r="Q1921" s="122" t="s">
        <v>417</v>
      </c>
      <c r="R1921" s="11" t="str">
        <f>IFERROR(IF(VLOOKUP(A1921,[13]PRIORIZADOS!$A:$R,18,FALSE)="","",VLOOKUP(A1921,[13]PRIORIZADOS!$A:$R,18,FALSE)),"")</f>
        <v>Se observan actas de conformación del Gobierno Escolar, pero no se evidencian documentos que reflejen su gestión y seguimiento.</v>
      </c>
      <c r="S1921" s="11" t="str">
        <f>IFERROR(IF(VLOOKUP(A1921,[13]PRIORIZADOS!$A:$S,19,FALSE)="","",VLOOKUP(A1921,[13]PRIORIZADOS!$A:$S,19,FALSE)),"")</f>
        <v>Es necesario dejar evidencia de las acciones adelantadas en cada instancia.</v>
      </c>
      <c r="T1921" s="70" t="str">
        <f>IFERROR(IF(VLOOKUP(A1921,[13]PRIORIZADOS!$A:$T,20,FALSE)="","",VLOOKUP(A1921,[13]PRIORIZADOS!$A:$T,20,FALSE)),"")</f>
        <v>No</v>
      </c>
      <c r="U1921" s="11" t="str">
        <f>IFERROR(IF(VLOOKUP(A1921,[13]PRIORIZADOS!$A:$U,21,FALSE)="","",VLOOKUP(A1921,[13]PRIORIZADOS!$A:$U,21,FALSE)),"")</f>
        <v>Radicar en la DLE Santa Fe - La Candelaria los avances correspondientes en julio de 2025.</v>
      </c>
    </row>
    <row r="1922" spans="1:21" s="1" customFormat="1" ht="84">
      <c r="A1922" s="69">
        <f>IF([13]PRIORIZADOS!A85="","",[13]PRIORIZADOS!A85)</f>
        <v>1889</v>
      </c>
      <c r="B1922" s="70">
        <f>IFERROR(IF(VLOOKUP(A1922,[13]PRIORIZADOS!$A:$B,2,FALSE)="","",VLOOKUP(A1922,[13]PRIORIZADOS!$A:$B,2,FALSE)),"")</f>
        <v>9</v>
      </c>
      <c r="C1922" s="11" t="str">
        <f>IFERROR(IF(VLOOKUP(A1922,[13]PRIORIZADOS!$A:$C,3,FALSE)="","",VLOOKUP(A1922,[13]PRIORIZADOS!$A:$C,3,FALSE)),"")</f>
        <v xml:space="preserve">SANTA FE Y CANDELARIA </v>
      </c>
      <c r="D1922" s="11" t="str">
        <f>IFERROR(IF(VLOOKUP(A1922,[13]PRIORIZADOS!$A:$D,4,FALSE)="","",VLOOKUP(A1922,[13]PRIORIZADOS!$A:$D,4,FALSE)),"")</f>
        <v>PRIVADO</v>
      </c>
      <c r="E1922" s="11" t="str">
        <f>IFERROR(IF(VLOOKUP(A1922,[13]PRIORIZADOS!$A:$E,5,FALSE)="","",VLOOKUP(A1922,[13]PRIORIZADOS!$A:$E,5,FALSE)),"")</f>
        <v>Educación de Jóvenes y Adultos</v>
      </c>
      <c r="F1922" s="11" t="str">
        <f>IFERROR(IF(VLOOKUP(A1922,[13]PRIORIZADOS!$A:$F,6,FALSE)="","",VLOOKUP(A1922,[13]PRIORIZADOS!$A:$F,6,FALSE)),"")</f>
        <v>CENTRO_DE_CAPACITACION_BOLIVAR_CENCABO</v>
      </c>
      <c r="G1922" s="11" t="str">
        <f>IFERROR(IF(VLOOKUP(A1922,[13]PRIORIZADOS!$A:$G,7,FALSE)="","",VLOOKUP(A1922,[13]PRIORIZADOS!$A:$G,7,FALSE)),"")</f>
        <v>CENTRO DE CAPACITACION BOLIVAR - CENCABO</v>
      </c>
      <c r="H1922" s="11" t="str">
        <f>IFERROR(IF(VLOOKUP(A1922,[13]PRIORIZADOS!$A:$H,8,FALSE)="","",VLOOKUP(A1922,[13]PRIORIZADOS!$A:$H,8,FALSE)),"")</f>
        <v>Autoevaluación Institucional y Pruebas SABER 11</v>
      </c>
      <c r="I1922" s="11" t="str">
        <f>IFERROR(IF(VLOOKUP(A1922,[13]PRIORIZADOS!$A:$I,9,FALSE)="","",VLOOKUP(A1922,[13]PRIORIZADOS!$A:$I,9,FALSE)),"")</f>
        <v>EVALUACIÓN_CON_FINES_DE_MEJORAMIENTO.</v>
      </c>
      <c r="J1922" s="11" t="str">
        <f>IFERROR(IF(VLOOKUP(A1922,[13]PRIORIZADOS!$A:$J,10,FALSE)="","",VLOOKUP(A1922,[13]PRIORIZADOS!$A:$J,10,FALSE)),"")</f>
        <v>Verificar las condiciones en cuanto a: la estructura administrativa, condiciones de la planta física y medios educativos adecuados.</v>
      </c>
      <c r="K1922" s="11" t="str">
        <f>IFERROR(IF(VLOOKUP(A1922,[13]PRIORIZADOS!$A:$K,11,FALSE)="","",VLOOKUP(A1922,[13]PRIORIZADOS!$A:$K,11,FALSE)),"")</f>
        <v xml:space="preserve">JORGE WILLIAM BONILLA ROMERO </v>
      </c>
      <c r="L1922" s="11" t="str">
        <f>IFERROR(IF(VLOOKUP(A1922,[13]PRIORIZADOS!$A:$L,12,FALSE)="","",VLOOKUP(A1922,[13]PRIORIZADOS!$A:$L,12,FALSE)),"")</f>
        <v>JOSÉ MAXIMILIANO CHAPARRO BARRERA</v>
      </c>
      <c r="M1922" s="71">
        <f>IFERROR(IF(VLOOKUP(A1922,[13]PRIORIZADOS!$A:$M,13,FALSE)="","",VLOOKUP(A1922,[13]PRIORIZADOS!$A:$M,13,FALSE)),"")</f>
        <v>45807</v>
      </c>
      <c r="N1922" s="71">
        <f>IFERROR(IF(VLOOKUP(A1922,[13]PRIORIZADOS!$A:$N,14,FALSE)="","",VLOOKUP(A1922,[13]PRIORIZADOS!$A:$N,14,FALSE)),"")</f>
        <v>45807</v>
      </c>
      <c r="O1922" s="71">
        <f>IFERROR(IF(VLOOKUP(A1922,[13]PRIORIZADOS!$A:$O,15,FALSE)="","",VLOOKUP(A1922,[13]PRIORIZADOS!$A:$O,15,FALSE)),"")</f>
        <v>45807</v>
      </c>
      <c r="P1922" s="11" t="str">
        <f>IFERROR(IF(VLOOKUP(A1922,[13]PRIORIZADOS!$A:$P,16,FALSE)="","",VLOOKUP(A1922,[13]PRIORIZADOS!$A:$P,16,FALSE)),"")</f>
        <v>Visitas de evaluación con fines de mejoramiento</v>
      </c>
      <c r="Q1922" s="122" t="s">
        <v>417</v>
      </c>
      <c r="R1922" s="11" t="str">
        <f>IFERROR(IF(VLOOKUP(A1922,[13]PRIORIZADOS!$A:$R,18,FALSE)="","",VLOOKUP(A1922,[13]PRIORIZADOS!$A:$R,18,FALSE)),"")</f>
        <v xml:space="preserve">Los elementos para la prestación del servicio coinciden con lo registrado en la plataforma EVI; sin embargo, se evidencian observaciones relacionadas con su mantenimiento. </v>
      </c>
      <c r="S1922" s="11" t="str">
        <f>IFERROR(IF(VLOOKUP(A1922,[13]PRIORIZADOS!$A:$S,19,FALSE)="","",VLOOKUP(A1922,[13]PRIORIZADOS!$A:$S,19,FALSE)),"")</f>
        <v>Adecuar los elementos de seguridad en pisos, paredes, cableado y tomacorrientes, así como gestionar la firma de convenios que clarifiquen el uso de ambientes compartidos. Además, verificar que el perfil del docente contratado sea acorde con el desarrollo de sus funciones.</v>
      </c>
      <c r="T1922" s="70" t="str">
        <f>IFERROR(IF(VLOOKUP(A1922,[13]PRIORIZADOS!$A:$T,20,FALSE)="","",VLOOKUP(A1922,[13]PRIORIZADOS!$A:$T,20,FALSE)),"")</f>
        <v>No</v>
      </c>
      <c r="U1922" s="11" t="str">
        <f>IFERROR(IF(VLOOKUP(A1922,[13]PRIORIZADOS!$A:$U,21,FALSE)="","",VLOOKUP(A1922,[13]PRIORIZADOS!$A:$U,21,FALSE)),"")</f>
        <v>Radicar en la DLE Santa Fe - La Candelaria los avances correspondientes en julio de 2025.</v>
      </c>
    </row>
    <row r="1923" spans="1:21" s="1" customFormat="1" ht="60">
      <c r="A1923" s="69">
        <f>IF([13]PRIORIZADOS!A86="","",[13]PRIORIZADOS!A86)</f>
        <v>1890</v>
      </c>
      <c r="B1923" s="70">
        <f>IFERROR(IF(VLOOKUP(A1923,[13]PRIORIZADOS!$A:$B,2,FALSE)="","",VLOOKUP(A1923,[13]PRIORIZADOS!$A:$B,2,FALSE)),"")</f>
        <v>10</v>
      </c>
      <c r="C1923" s="11" t="str">
        <f>IFERROR(IF(VLOOKUP(A1923,[13]PRIORIZADOS!$A:$C,3,FALSE)="","",VLOOKUP(A1923,[13]PRIORIZADOS!$A:$C,3,FALSE)),"")</f>
        <v xml:space="preserve">SANTA FE Y CANDELARIA </v>
      </c>
      <c r="D1923" s="11" t="str">
        <f>IFERROR(IF(VLOOKUP(A1923,[13]PRIORIZADOS!$A:$D,4,FALSE)="","",VLOOKUP(A1923,[13]PRIORIZADOS!$A:$D,4,FALSE)),"")</f>
        <v>OFICIAL</v>
      </c>
      <c r="E1923" s="11" t="str">
        <f>IFERROR(IF(VLOOKUP(A1923,[13]PRIORIZADOS!$A:$E,5,FALSE)="","",VLOOKUP(A1923,[13]PRIORIZADOS!$A:$E,5,FALSE)),"")</f>
        <v>EPBM</v>
      </c>
      <c r="F1923" s="11" t="str">
        <f>IFERROR(IF(VLOOKUP(A1923,[13]PRIORIZADOS!$A:$F,6,FALSE)="","",VLOOKUP(A1923,[13]PRIORIZADOS!$A:$F,6,FALSE)),"")</f>
        <v>COLEGIO_INTEGRADA_LA_CANDELARIA_IED</v>
      </c>
      <c r="G1923" s="11" t="str">
        <f>IFERROR(IF(VLOOKUP(A1923,[13]PRIORIZADOS!$A:$G,7,FALSE)="","",VLOOKUP(A1923,[13]PRIORIZADOS!$A:$G,7,FALSE)),"")</f>
        <v>LA CONCORDIA</v>
      </c>
      <c r="H1923" s="11" t="str">
        <f>IFERROR(IF(VLOOKUP(A1923,[13]PRIORIZADOS!$A:$H,8,FALSE)="","",VLOOKUP(A1923,[13]PRIORIZADOS!$A:$H,8,FALSE)),"")</f>
        <v>Convivencia escolar</v>
      </c>
      <c r="I1923" s="11" t="str">
        <f>IFERROR(IF(VLOOKUP(A1923,[13]PRIORIZADOS!$A:$I,9,FALSE)="","",VLOOKUP(A1923,[13]PRIORIZADOS!$A:$I,9,FALSE)),"")</f>
        <v>SEGUIMIENTO_Y_SUPERVISIÓN.</v>
      </c>
      <c r="J1923" s="11" t="str">
        <f>IFERROR(IF(VLOOKUP(A1923,[13]PRIORIZADOS!$A:$J,10,FALSE)="","",VLOOKUP(A1923,[13]PRIORIZADOS!$A:$J,10,FALSE)),"")</f>
        <v>Proponer estrategias en la formulación, verificar su elaboración y realizar seguimiento semestral al desarrollo de  las acciones establecidas en los planes de mejoramiento por pruebas SABER 11 de los establecimientos de educación formal.</v>
      </c>
      <c r="K1923" s="11" t="str">
        <f>IFERROR(IF(VLOOKUP(A1923,[13]PRIORIZADOS!$A:$K,11,FALSE)="","",VLOOKUP(A1923,[13]PRIORIZADOS!$A:$K,11,FALSE)),"")</f>
        <v xml:space="preserve">JORGE WILLIAM BONILLA ROMERO </v>
      </c>
      <c r="L1923" s="11" t="str">
        <f>IFERROR(IF(VLOOKUP(A1923,[13]PRIORIZADOS!$A:$L,12,FALSE)="","",VLOOKUP(A1923,[13]PRIORIZADOS!$A:$L,12,FALSE)),"")</f>
        <v>JOSÉ MAXIMILIANO CHAPARRO BARRERA</v>
      </c>
      <c r="M1923" s="71">
        <f>IFERROR(IF(VLOOKUP(A1923,[13]PRIORIZADOS!$A:$M,13,FALSE)="","",VLOOKUP(A1923,[13]PRIORIZADOS!$A:$M,13,FALSE)),"")</f>
        <v>45874</v>
      </c>
      <c r="N1923" s="71">
        <f>IFERROR(IF(VLOOKUP(A1923,[13]PRIORIZADOS!$A:$N,14,FALSE)="","",VLOOKUP(A1923,[13]PRIORIZADOS!$A:$N,14,FALSE)),"")</f>
        <v>45874</v>
      </c>
      <c r="O1923" s="71">
        <f>IFERROR(IF(VLOOKUP(A1923,[13]PRIORIZADOS!$A:$O,15,FALSE)="","",VLOOKUP(A1923,[13]PRIORIZADOS!$A:$O,15,FALSE)),"")</f>
        <v>45874</v>
      </c>
      <c r="P1923" s="11" t="str">
        <f>IFERROR(IF(VLOOKUP(A1923,[13]PRIORIZADOS!$A:$P,16,FALSE)="","",VLOOKUP(A1923,[13]PRIORIZADOS!$A:$P,16,FALSE)),"")</f>
        <v>Visitas de evaluación con fines de mejoramiento</v>
      </c>
      <c r="Q1923" s="2" t="s">
        <v>418</v>
      </c>
      <c r="R1923" s="11" t="str">
        <f>IFERROR(IF(VLOOKUP(A1923,[13]PRIORIZADOS!$A:$R,18,FALSE)="","",VLOOKUP(A1923,[13]PRIORIZADOS!$A:$R,18,FALSE)),"")</f>
        <v>Se encuentra que la IED desarrolla estrategias de fortalecimiento de habilidades a través de lo que denomina las 3 S`s (solo, sentado y en silencio).</v>
      </c>
      <c r="S1923" s="11" t="str">
        <f>IFERROR(IF(VLOOKUP(A1923,[13]PRIORIZADOS!$A:$S,19,FALSE)="","",VLOOKUP(A1923,[13]PRIORIZADOS!$A:$S,19,FALSE)),"")</f>
        <v xml:space="preserve">Se sugiere continuar con el proceso de validación de resultados, en aras trabajar con el diagnóstico actualizado del colegio.   </v>
      </c>
      <c r="T1923" s="70" t="str">
        <f>IFERROR(IF(VLOOKUP(A1923,[13]PRIORIZADOS!$A:$T,20,FALSE)="","",VLOOKUP(A1923,[13]PRIORIZADOS!$A:$T,20,FALSE)),"")</f>
        <v>No</v>
      </c>
      <c r="U1923" s="11" t="str">
        <f>IFERROR(IF(VLOOKUP(A1923,[13]PRIORIZADOS!$A:$U,21,FALSE)="","",VLOOKUP(A1923,[13]PRIORIZADOS!$A:$U,21,FALSE)),"")</f>
        <v xml:space="preserve">Análisis acorde a los próximos resultados. </v>
      </c>
    </row>
    <row r="1924" spans="1:21" s="1" customFormat="1" ht="48">
      <c r="A1924" s="69">
        <f>IF([13]PRIORIZADOS!A87="","",[13]PRIORIZADOS!A87)</f>
        <v>1891</v>
      </c>
      <c r="B1924" s="70">
        <f>IFERROR(IF(VLOOKUP(A1924,[13]PRIORIZADOS!$A:$B,2,FALSE)="","",VLOOKUP(A1924,[13]PRIORIZADOS!$A:$B,2,FALSE)),"")</f>
        <v>10</v>
      </c>
      <c r="C1924" s="11" t="str">
        <f>IFERROR(IF(VLOOKUP(A1924,[13]PRIORIZADOS!$A:$C,3,FALSE)="","",VLOOKUP(A1924,[13]PRIORIZADOS!$A:$C,3,FALSE)),"")</f>
        <v xml:space="preserve">SANTA FE Y CANDELARIA </v>
      </c>
      <c r="D1924" s="11" t="str">
        <f>IFERROR(IF(VLOOKUP(A1924,[13]PRIORIZADOS!$A:$D,4,FALSE)="","",VLOOKUP(A1924,[13]PRIORIZADOS!$A:$D,4,FALSE)),"")</f>
        <v>OFICIAL</v>
      </c>
      <c r="E1924" s="11" t="str">
        <f>IFERROR(IF(VLOOKUP(A1924,[13]PRIORIZADOS!$A:$E,5,FALSE)="","",VLOOKUP(A1924,[13]PRIORIZADOS!$A:$E,5,FALSE)),"")</f>
        <v>EPBM</v>
      </c>
      <c r="F1924" s="11" t="str">
        <f>IFERROR(IF(VLOOKUP(A1924,[13]PRIORIZADOS!$A:$F,6,FALSE)="","",VLOOKUP(A1924,[13]PRIORIZADOS!$A:$F,6,FALSE)),"")</f>
        <v>COLEGIO_INTEGRADA_LA_CANDELARIA_IED</v>
      </c>
      <c r="G1924" s="11" t="str">
        <f>IFERROR(IF(VLOOKUP(A1924,[13]PRIORIZADOS!$A:$G,7,FALSE)="","",VLOOKUP(A1924,[13]PRIORIZADOS!$A:$G,7,FALSE)),"")</f>
        <v>LA CONCORDIA</v>
      </c>
      <c r="H1924" s="11" t="str">
        <f>IFERROR(IF(VLOOKUP(A1924,[13]PRIORIZADOS!$A:$H,8,FALSE)="","",VLOOKUP(A1924,[13]PRIORIZADOS!$A:$H,8,FALSE)),"")</f>
        <v>Convivencia escolar</v>
      </c>
      <c r="I1924" s="11" t="str">
        <f>IFERROR(IF(VLOOKUP(A1924,[13]PRIORIZADOS!$A:$I,9,FALSE)="","",VLOOKUP(A1924,[13]PRIORIZADOS!$A:$I,9,FALSE)),"")</f>
        <v>SEGUIMIENTO_Y_SUPERVISIÓN.</v>
      </c>
      <c r="J1924" s="11" t="str">
        <f>IFERROR(IF(VLOOKUP(A1924,[13]PRIORIZADOS!$A:$J,10,FALSE)="","",VLOOKUP(A1924,[13]PRIORIZADOS!$A:$J,10,FALSE)),"")</f>
        <v xml:space="preserve">Verificar la implementación por parte de los colegios, de acciones realizadas para la prevención y atención de las situaciones de convivencia en el entorno escolar, según lo establecido en la Directiva 01 de 2022 del MEN. </v>
      </c>
      <c r="K1924" s="11" t="str">
        <f>IFERROR(IF(VLOOKUP(A1924,[13]PRIORIZADOS!$A:$K,11,FALSE)="","",VLOOKUP(A1924,[13]PRIORIZADOS!$A:$K,11,FALSE)),"")</f>
        <v xml:space="preserve">JORGE WILLIAM BONILLA ROMERO </v>
      </c>
      <c r="L1924" s="11" t="str">
        <f>IFERROR(IF(VLOOKUP(A1924,[13]PRIORIZADOS!$A:$L,12,FALSE)="","",VLOOKUP(A1924,[13]PRIORIZADOS!$A:$L,12,FALSE)),"")</f>
        <v>JOSÉ MAXIMILIANO CHAPARRO BARRERA</v>
      </c>
      <c r="M1924" s="71">
        <f>IFERROR(IF(VLOOKUP(A1924,[13]PRIORIZADOS!$A:$M,13,FALSE)="","",VLOOKUP(A1924,[13]PRIORIZADOS!$A:$M,13,FALSE)),"")</f>
        <v>45874</v>
      </c>
      <c r="N1924" s="71">
        <f>IFERROR(IF(VLOOKUP(A1924,[13]PRIORIZADOS!$A:$N,14,FALSE)="","",VLOOKUP(A1924,[13]PRIORIZADOS!$A:$N,14,FALSE)),"")</f>
        <v>45874</v>
      </c>
      <c r="O1924" s="71">
        <f>IFERROR(IF(VLOOKUP(A1924,[13]PRIORIZADOS!$A:$O,15,FALSE)="","",VLOOKUP(A1924,[13]PRIORIZADOS!$A:$O,15,FALSE)),"")</f>
        <v>45874</v>
      </c>
      <c r="P1924" s="11" t="str">
        <f>IFERROR(IF(VLOOKUP(A1924,[13]PRIORIZADOS!$A:$P,16,FALSE)="","",VLOOKUP(A1924,[13]PRIORIZADOS!$A:$P,16,FALSE)),"")</f>
        <v>Visitas de evaluación con fines de mejoramiento</v>
      </c>
      <c r="Q1924" s="2" t="s">
        <v>418</v>
      </c>
      <c r="R1924" s="11" t="str">
        <f>IFERROR(IF(VLOOKUP(A1924,[13]PRIORIZADOS!$A:$R,18,FALSE)="","",VLOOKUP(A1924,[13]PRIORIZADOS!$A:$R,18,FALSE)),"")</f>
        <v xml:space="preserve">Se evidencia seguimiento constante a través de diferentes instancias en el colegio, acompañamiento con OCE y desarrollo de talleres con estudiantes.  </v>
      </c>
      <c r="S1924" s="11" t="str">
        <f>IFERROR(IF(VLOOKUP(A1924,[13]PRIORIZADOS!$A:$S,19,FALSE)="","",VLOOKUP(A1924,[13]PRIORIZADOS!$A:$S,19,FALSE)),"")</f>
        <v>Se sugiere estandarizar documento de índice de conflicto por semestre según el plan estratégico institucional.</v>
      </c>
      <c r="T1924" s="70" t="str">
        <f>IFERROR(IF(VLOOKUP(A1924,[13]PRIORIZADOS!$A:$T,20,FALSE)="","",VLOOKUP(A1924,[13]PRIORIZADOS!$A:$T,20,FALSE)),"")</f>
        <v>No</v>
      </c>
      <c r="U1924" s="11" t="str">
        <f>IFERROR(IF(VLOOKUP(A1924,[13]PRIORIZADOS!$A:$U,21,FALSE)="","",VLOOKUP(A1924,[13]PRIORIZADOS!$A:$U,21,FALSE)),"")</f>
        <v>Seguimiento según novedad.</v>
      </c>
    </row>
    <row r="1925" spans="1:21" s="1" customFormat="1" ht="72">
      <c r="A1925" s="69">
        <f>IF([13]PRIORIZADOS!A88="","",[13]PRIORIZADOS!A88)</f>
        <v>1892</v>
      </c>
      <c r="B1925" s="70">
        <f>IFERROR(IF(VLOOKUP(A1925,[13]PRIORIZADOS!$A:$B,2,FALSE)="","",VLOOKUP(A1925,[13]PRIORIZADOS!$A:$B,2,FALSE)),"")</f>
        <v>10</v>
      </c>
      <c r="C1925" s="11" t="str">
        <f>IFERROR(IF(VLOOKUP(A1925,[13]PRIORIZADOS!$A:$C,3,FALSE)="","",VLOOKUP(A1925,[13]PRIORIZADOS!$A:$C,3,FALSE)),"")</f>
        <v xml:space="preserve">SANTA FE Y CANDELARIA </v>
      </c>
      <c r="D1925" s="11" t="str">
        <f>IFERROR(IF(VLOOKUP(A1925,[13]PRIORIZADOS!$A:$D,4,FALSE)="","",VLOOKUP(A1925,[13]PRIORIZADOS!$A:$D,4,FALSE)),"")</f>
        <v>OFICIAL</v>
      </c>
      <c r="E1925" s="11" t="str">
        <f>IFERROR(IF(VLOOKUP(A1925,[13]PRIORIZADOS!$A:$E,5,FALSE)="","",VLOOKUP(A1925,[13]PRIORIZADOS!$A:$E,5,FALSE)),"")</f>
        <v>EPBM</v>
      </c>
      <c r="F1925" s="11" t="str">
        <f>IFERROR(IF(VLOOKUP(A1925,[13]PRIORIZADOS!$A:$F,6,FALSE)="","",VLOOKUP(A1925,[13]PRIORIZADOS!$A:$F,6,FALSE)),"")</f>
        <v>COLEGIO_INTEGRADA_LA_CANDELARIA_IED</v>
      </c>
      <c r="G1925" s="11" t="str">
        <f>IFERROR(IF(VLOOKUP(A1925,[13]PRIORIZADOS!$A:$G,7,FALSE)="","",VLOOKUP(A1925,[13]PRIORIZADOS!$A:$G,7,FALSE)),"")</f>
        <v>LA CONCORDIA</v>
      </c>
      <c r="H1925" s="11" t="str">
        <f>IFERROR(IF(VLOOKUP(A1925,[13]PRIORIZADOS!$A:$H,8,FALSE)="","",VLOOKUP(A1925,[13]PRIORIZADOS!$A:$H,8,FALSE)),"")</f>
        <v>Convivencia escolar</v>
      </c>
      <c r="I1925" s="11" t="str">
        <f>IFERROR(IF(VLOOKUP(A1925,[13]PRIORIZADOS!$A:$I,9,FALSE)="","",VLOOKUP(A1925,[13]PRIORIZADOS!$A:$I,9,FALSE)),"")</f>
        <v>SEGUIMIENTO_Y_SUPERVISIÓN.</v>
      </c>
      <c r="J1925" s="11" t="str">
        <f>IFERROR(IF(VLOOKUP(A1925,[13]PRIORIZADOS!$A:$J,10,FALSE)="","",VLOOKUP(A1925,[13]PRIORIZADOS!$A:$J,10,FALSE)),"")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25" s="11" t="str">
        <f>IFERROR(IF(VLOOKUP(A1925,[13]PRIORIZADOS!$A:$K,11,FALSE)="","",VLOOKUP(A1925,[13]PRIORIZADOS!$A:$K,11,FALSE)),"")</f>
        <v xml:space="preserve">JORGE WILLIAM BONILLA ROMERO </v>
      </c>
      <c r="L1925" s="11" t="str">
        <f>IFERROR(IF(VLOOKUP(A1925,[13]PRIORIZADOS!$A:$L,12,FALSE)="","",VLOOKUP(A1925,[13]PRIORIZADOS!$A:$L,12,FALSE)),"")</f>
        <v>JOSÉ MAXIMILIANO CHAPARRO BARRERA</v>
      </c>
      <c r="M1925" s="71">
        <f>IFERROR(IF(VLOOKUP(A1925,[13]PRIORIZADOS!$A:$M,13,FALSE)="","",VLOOKUP(A1925,[13]PRIORIZADOS!$A:$M,13,FALSE)),"")</f>
        <v>45874</v>
      </c>
      <c r="N1925" s="71">
        <f>IFERROR(IF(VLOOKUP(A1925,[13]PRIORIZADOS!$A:$N,14,FALSE)="","",VLOOKUP(A1925,[13]PRIORIZADOS!$A:$N,14,FALSE)),"")</f>
        <v>45874</v>
      </c>
      <c r="O1925" s="71">
        <f>IFERROR(IF(VLOOKUP(A1925,[13]PRIORIZADOS!$A:$O,15,FALSE)="","",VLOOKUP(A1925,[13]PRIORIZADOS!$A:$O,15,FALSE)),"")</f>
        <v>45874</v>
      </c>
      <c r="P1925" s="11" t="str">
        <f>IFERROR(IF(VLOOKUP(A1925,[13]PRIORIZADOS!$A:$P,16,FALSE)="","",VLOOKUP(A1925,[13]PRIORIZADOS!$A:$P,16,FALSE)),"")</f>
        <v>Visitas de evaluación con fines de mejoramiento</v>
      </c>
      <c r="Q1925" s="2" t="s">
        <v>418</v>
      </c>
      <c r="R1925" s="11" t="str">
        <f>IFERROR(IF(VLOOKUP(A1925,[13]PRIORIZADOS!$A:$R,18,FALSE)="","",VLOOKUP(A1925,[13]PRIORIZADOS!$A:$R,18,FALSE)),"")</f>
        <v>Se evidencia implementación de las acciones requeridas para la conformación de los planes de ajustes razonable.</v>
      </c>
      <c r="S1925" s="11" t="str">
        <f>IFERROR(IF(VLOOKUP(A1925,[13]PRIORIZADOS!$A:$S,19,FALSE)="","",VLOOKUP(A1925,[13]PRIORIZADOS!$A:$S,19,FALSE)),"")</f>
        <v>No se generan recomendaciones más allá de continuar con la socialización y construcción colectiva de los planes.</v>
      </c>
      <c r="T1925" s="70" t="str">
        <f>IFERROR(IF(VLOOKUP(A1925,[13]PRIORIZADOS!$A:$T,20,FALSE)="","",VLOOKUP(A1925,[13]PRIORIZADOS!$A:$T,20,FALSE)),"")</f>
        <v>No</v>
      </c>
      <c r="U1925" s="11" t="str">
        <f>IFERROR(IF(VLOOKUP(A1925,[13]PRIORIZADOS!$A:$U,21,FALSE)="","",VLOOKUP(A1925,[13]PRIORIZADOS!$A:$U,21,FALSE)),"")</f>
        <v>Se hará seguimiento en la atención de casos.</v>
      </c>
    </row>
    <row r="1926" spans="1:21" s="1" customFormat="1" ht="84">
      <c r="A1926" s="69">
        <f>IF([13]PRIORIZADOS!A89="","",[13]PRIORIZADOS!A89)</f>
        <v>1893</v>
      </c>
      <c r="B1926" s="70">
        <f>IFERROR(IF(VLOOKUP(A1926,[13]PRIORIZADOS!$A:$B,2,FALSE)="","",VLOOKUP(A1926,[13]PRIORIZADOS!$A:$B,2,FALSE)),"")</f>
        <v>10</v>
      </c>
      <c r="C1926" s="11" t="str">
        <f>IFERROR(IF(VLOOKUP(A1926,[13]PRIORIZADOS!$A:$C,3,FALSE)="","",VLOOKUP(A1926,[13]PRIORIZADOS!$A:$C,3,FALSE)),"")</f>
        <v xml:space="preserve">SANTA FE Y CANDELARIA </v>
      </c>
      <c r="D1926" s="11" t="str">
        <f>IFERROR(IF(VLOOKUP(A1926,[13]PRIORIZADOS!$A:$D,4,FALSE)="","",VLOOKUP(A1926,[13]PRIORIZADOS!$A:$D,4,FALSE)),"")</f>
        <v>OFICIAL</v>
      </c>
      <c r="E1926" s="11" t="str">
        <f>IFERROR(IF(VLOOKUP(A1926,[13]PRIORIZADOS!$A:$E,5,FALSE)="","",VLOOKUP(A1926,[13]PRIORIZADOS!$A:$E,5,FALSE)),"")</f>
        <v>EPBM</v>
      </c>
      <c r="F1926" s="11" t="str">
        <f>IFERROR(IF(VLOOKUP(A1926,[13]PRIORIZADOS!$A:$F,6,FALSE)="","",VLOOKUP(A1926,[13]PRIORIZADOS!$A:$F,6,FALSE)),"")</f>
        <v>COLEGIO_INTEGRADA_LA_CANDELARIA_IED</v>
      </c>
      <c r="G1926" s="11" t="str">
        <f>IFERROR(IF(VLOOKUP(A1926,[13]PRIORIZADOS!$A:$G,7,FALSE)="","",VLOOKUP(A1926,[13]PRIORIZADOS!$A:$G,7,FALSE)),"")</f>
        <v>LA CONCORDIA</v>
      </c>
      <c r="H1926" s="11" t="str">
        <f>IFERROR(IF(VLOOKUP(A1926,[13]PRIORIZADOS!$A:$H,8,FALSE)="","",VLOOKUP(A1926,[13]PRIORIZADOS!$A:$H,8,FALSE)),"")</f>
        <v>Convivencia escolar</v>
      </c>
      <c r="I1926" s="11" t="str">
        <f>IFERROR(IF(VLOOKUP(A1926,[13]PRIORIZADOS!$A:$I,9,FALSE)="","",VLOOKUP(A1926,[13]PRIORIZADOS!$A:$I,9,FALSE)),"")</f>
        <v>EVALUACIÓN_CON_FINES_DE_MEJORAMIENTO.</v>
      </c>
      <c r="J1926" s="11" t="str">
        <f>IFERROR(IF(VLOOKUP(A1926,[13]PRIORIZADOS!$A:$J,10,FALSE)="","",VLOOKUP(A1926,[13]PRIORIZADOS!$A:$J,10,FALSE)),"")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26" s="11" t="str">
        <f>IFERROR(IF(VLOOKUP(A1926,[13]PRIORIZADOS!$A:$K,11,FALSE)="","",VLOOKUP(A1926,[13]PRIORIZADOS!$A:$K,11,FALSE)),"")</f>
        <v xml:space="preserve">JORGE WILLIAM BONILLA ROMERO </v>
      </c>
      <c r="L1926" s="11" t="str">
        <f>IFERROR(IF(VLOOKUP(A1926,[13]PRIORIZADOS!$A:$L,12,FALSE)="","",VLOOKUP(A1926,[13]PRIORIZADOS!$A:$L,12,FALSE)),"")</f>
        <v>JOSÉ MAXIMILIANO CHAPARRO BARRERA</v>
      </c>
      <c r="M1926" s="71">
        <f>IFERROR(IF(VLOOKUP(A1926,[13]PRIORIZADOS!$A:$M,13,FALSE)="","",VLOOKUP(A1926,[13]PRIORIZADOS!$A:$M,13,FALSE)),"")</f>
        <v>45874</v>
      </c>
      <c r="N1926" s="71">
        <f>IFERROR(IF(VLOOKUP(A1926,[13]PRIORIZADOS!$A:$N,14,FALSE)="","",VLOOKUP(A1926,[13]PRIORIZADOS!$A:$N,14,FALSE)),"")</f>
        <v>45874</v>
      </c>
      <c r="O1926" s="71">
        <f>IFERROR(IF(VLOOKUP(A1926,[13]PRIORIZADOS!$A:$O,15,FALSE)="","",VLOOKUP(A1926,[13]PRIORIZADOS!$A:$O,15,FALSE)),"")</f>
        <v>45874</v>
      </c>
      <c r="P1926" s="11" t="str">
        <f>IFERROR(IF(VLOOKUP(A1926,[13]PRIORIZADOS!$A:$P,16,FALSE)="","",VLOOKUP(A1926,[13]PRIORIZADOS!$A:$P,16,FALSE)),"")</f>
        <v>Visitas de evaluación con fines de mejoramiento</v>
      </c>
      <c r="Q1926" s="2" t="s">
        <v>418</v>
      </c>
      <c r="R1926" s="11" t="str">
        <f>IFERROR(IF(VLOOKUP(A1926,[13]PRIORIZADOS!$A:$R,18,FALSE)="","",VLOOKUP(A1926,[13]PRIORIZADOS!$A:$R,18,FALSE)),"")</f>
        <v>Se evidencia desarrollo constante de construcción y evaluación del Manual.</v>
      </c>
      <c r="S1926" s="11" t="str">
        <f>IFERROR(IF(VLOOKUP(A1926,[13]PRIORIZADOS!$A:$S,19,FALSE)="","",VLOOKUP(A1926,[13]PRIORIZADOS!$A:$S,19,FALSE)),"")</f>
        <v xml:space="preserve">Se sugiere genarar registro de las atenciones realizadas a la comunidad educativa. </v>
      </c>
      <c r="T1926" s="70" t="str">
        <f>IFERROR(IF(VLOOKUP(A1926,[13]PRIORIZADOS!$A:$T,20,FALSE)="","",VLOOKUP(A1926,[13]PRIORIZADOS!$A:$T,20,FALSE)),"")</f>
        <v>No</v>
      </c>
      <c r="U1926" s="11" t="str">
        <f>IFERROR(IF(VLOOKUP(A1926,[13]PRIORIZADOS!$A:$U,21,FALSE)="","",VLOOKUP(A1926,[13]PRIORIZADOS!$A:$U,21,FALSE)),"")</f>
        <v>Se realizará seguimiento a la actividad en caso de presentarse alguna queja.</v>
      </c>
    </row>
    <row r="1927" spans="1:21" s="1" customFormat="1" ht="48">
      <c r="A1927" s="69">
        <f>IF([13]PRIORIZADOS!A90="","",[13]PRIORIZADOS!A90)</f>
        <v>1894</v>
      </c>
      <c r="B1927" s="70">
        <f>IFERROR(IF(VLOOKUP(A1927,[13]PRIORIZADOS!$A:$B,2,FALSE)="","",VLOOKUP(A1927,[13]PRIORIZADOS!$A:$B,2,FALSE)),"")</f>
        <v>10</v>
      </c>
      <c r="C1927" s="11" t="str">
        <f>IFERROR(IF(VLOOKUP(A1927,[13]PRIORIZADOS!$A:$C,3,FALSE)="","",VLOOKUP(A1927,[13]PRIORIZADOS!$A:$C,3,FALSE)),"")</f>
        <v xml:space="preserve">SANTA FE Y CANDELARIA </v>
      </c>
      <c r="D1927" s="11" t="str">
        <f>IFERROR(IF(VLOOKUP(A1927,[13]PRIORIZADOS!$A:$D,4,FALSE)="","",VLOOKUP(A1927,[13]PRIORIZADOS!$A:$D,4,FALSE)),"")</f>
        <v>OFICIAL</v>
      </c>
      <c r="E1927" s="11" t="str">
        <f>IFERROR(IF(VLOOKUP(A1927,[13]PRIORIZADOS!$A:$E,5,FALSE)="","",VLOOKUP(A1927,[13]PRIORIZADOS!$A:$E,5,FALSE)),"")</f>
        <v>EPBM</v>
      </c>
      <c r="F1927" s="11" t="str">
        <f>IFERROR(IF(VLOOKUP(A1927,[13]PRIORIZADOS!$A:$F,6,FALSE)="","",VLOOKUP(A1927,[13]PRIORIZADOS!$A:$F,6,FALSE)),"")</f>
        <v>COLEGIO_INTEGRADA_LA_CANDELARIA_IED</v>
      </c>
      <c r="G1927" s="11" t="str">
        <f>IFERROR(IF(VLOOKUP(A1927,[13]PRIORIZADOS!$A:$G,7,FALSE)="","",VLOOKUP(A1927,[13]PRIORIZADOS!$A:$G,7,FALSE)),"")</f>
        <v>LA CONCORDIA</v>
      </c>
      <c r="H1927" s="11" t="str">
        <f>IFERROR(IF(VLOOKUP(A1927,[13]PRIORIZADOS!$A:$H,8,FALSE)="","",VLOOKUP(A1927,[13]PRIORIZADOS!$A:$H,8,FALSE)),"")</f>
        <v>Convivencia escolar</v>
      </c>
      <c r="I1927" s="11" t="str">
        <f>IFERROR(IF(VLOOKUP(A1927,[13]PRIORIZADOS!$A:$I,9,FALSE)="","",VLOOKUP(A1927,[13]PRIORIZADOS!$A:$I,9,FALSE)),"")</f>
        <v>EVALUACIÓN_CON_FINES_DE_MEJORAMIENTO.</v>
      </c>
      <c r="J1927" s="11" t="str">
        <f>IFERROR(IF(VLOOKUP(A1927,[13]PRIORIZADOS!$A:$J,10,FALSE)="","",VLOOKUP(A1927,[13]PRIORIZADOS!$A:$J,10,FALSE)),"")</f>
        <v>Revisar la actualización, socialización e implementación del Sistema Institucional de Evaluación de Estudiantes - SIEE, en articulación con la actualización del PEI y la normatividad vigente.</v>
      </c>
      <c r="K1927" s="11" t="str">
        <f>IFERROR(IF(VLOOKUP(A1927,[13]PRIORIZADOS!$A:$K,11,FALSE)="","",VLOOKUP(A1927,[13]PRIORIZADOS!$A:$K,11,FALSE)),"")</f>
        <v xml:space="preserve">JORGE WILLIAM BONILLA ROMERO </v>
      </c>
      <c r="L1927" s="11" t="str">
        <f>IFERROR(IF(VLOOKUP(A1927,[13]PRIORIZADOS!$A:$L,12,FALSE)="","",VLOOKUP(A1927,[13]PRIORIZADOS!$A:$L,12,FALSE)),"")</f>
        <v>JOSÉ MAXIMILIANO CHAPARRO BARRERA</v>
      </c>
      <c r="M1927" s="71">
        <f>IFERROR(IF(VLOOKUP(A1927,[13]PRIORIZADOS!$A:$M,13,FALSE)="","",VLOOKUP(A1927,[13]PRIORIZADOS!$A:$M,13,FALSE)),"")</f>
        <v>45874</v>
      </c>
      <c r="N1927" s="71">
        <f>IFERROR(IF(VLOOKUP(A1927,[13]PRIORIZADOS!$A:$N,14,FALSE)="","",VLOOKUP(A1927,[13]PRIORIZADOS!$A:$N,14,FALSE)),"")</f>
        <v>45874</v>
      </c>
      <c r="O1927" s="71">
        <f>IFERROR(IF(VLOOKUP(A1927,[13]PRIORIZADOS!$A:$O,15,FALSE)="","",VLOOKUP(A1927,[13]PRIORIZADOS!$A:$O,15,FALSE)),"")</f>
        <v>45874</v>
      </c>
      <c r="P1927" s="11" t="str">
        <f>IFERROR(IF(VLOOKUP(A1927,[13]PRIORIZADOS!$A:$P,16,FALSE)="","",VLOOKUP(A1927,[13]PRIORIZADOS!$A:$P,16,FALSE)),"")</f>
        <v>Visitas de evaluación con fines de mejoramiento</v>
      </c>
      <c r="Q1927" s="2" t="s">
        <v>418</v>
      </c>
      <c r="R1927" s="11" t="str">
        <f>IFERROR(IF(VLOOKUP(A1927,[13]PRIORIZADOS!$A:$R,18,FALSE)="","",VLOOKUP(A1927,[13]PRIORIZADOS!$A:$R,18,FALSE)),"")</f>
        <v>Se evidencia un SIEE acorde con los reportes de calificaciones, actas de comisión de evaluación y actas de consejo académico.</v>
      </c>
      <c r="S1927" s="11" t="str">
        <f>IFERROR(IF(VLOOKUP(A1927,[13]PRIORIZADOS!$A:$S,19,FALSE)="","",VLOOKUP(A1927,[13]PRIORIZADOS!$A:$S,19,FALSE)),"")</f>
        <v xml:space="preserve">La IED continuara generando acciones de mejora continua sobre el SIEE, en función del desarrollo de aprendizaje de los estudiantes. </v>
      </c>
      <c r="T1927" s="70" t="str">
        <f>IFERROR(IF(VLOOKUP(A1927,[13]PRIORIZADOS!$A:$T,20,FALSE)="","",VLOOKUP(A1927,[13]PRIORIZADOS!$A:$T,20,FALSE)),"")</f>
        <v>No</v>
      </c>
      <c r="U1927" s="11" t="str">
        <f>IFERROR(IF(VLOOKUP(A1927,[13]PRIORIZADOS!$A:$U,21,FALSE)="","",VLOOKUP(A1927,[13]PRIORIZADOS!$A:$U,21,FALSE)),"")</f>
        <v>Realizar la modificación al SIEE en caso de que la institucion educativa lo requiera.</v>
      </c>
    </row>
    <row r="1928" spans="1:21" s="1" customFormat="1" ht="48">
      <c r="A1928" s="69">
        <f>IF([13]PRIORIZADOS!A91="","",[13]PRIORIZADOS!A91)</f>
        <v>1895</v>
      </c>
      <c r="B1928" s="70">
        <f>IFERROR(IF(VLOOKUP(A1928,[13]PRIORIZADOS!$A:$B,2,FALSE)="","",VLOOKUP(A1928,[13]PRIORIZADOS!$A:$B,2,FALSE)),"")</f>
        <v>10</v>
      </c>
      <c r="C1928" s="11" t="str">
        <f>IFERROR(IF(VLOOKUP(A1928,[13]PRIORIZADOS!$A:$C,3,FALSE)="","",VLOOKUP(A1928,[13]PRIORIZADOS!$A:$C,3,FALSE)),"")</f>
        <v xml:space="preserve">SANTA FE Y CANDELARIA </v>
      </c>
      <c r="D1928" s="11" t="str">
        <f>IFERROR(IF(VLOOKUP(A1928,[13]PRIORIZADOS!$A:$D,4,FALSE)="","",VLOOKUP(A1928,[13]PRIORIZADOS!$A:$D,4,FALSE)),"")</f>
        <v>OFICIAL</v>
      </c>
      <c r="E1928" s="11" t="str">
        <f>IFERROR(IF(VLOOKUP(A1928,[13]PRIORIZADOS!$A:$E,5,FALSE)="","",VLOOKUP(A1928,[13]PRIORIZADOS!$A:$E,5,FALSE)),"")</f>
        <v>EPBM</v>
      </c>
      <c r="F1928" s="11" t="str">
        <f>IFERROR(IF(VLOOKUP(A1928,[13]PRIORIZADOS!$A:$F,6,FALSE)="","",VLOOKUP(A1928,[13]PRIORIZADOS!$A:$F,6,FALSE)),"")</f>
        <v>COLEGIO_INTEGRADA_LA_CANDELARIA_IED</v>
      </c>
      <c r="G1928" s="11" t="str">
        <f>IFERROR(IF(VLOOKUP(A1928,[13]PRIORIZADOS!$A:$G,7,FALSE)="","",VLOOKUP(A1928,[13]PRIORIZADOS!$A:$G,7,FALSE)),"")</f>
        <v>LA CONCORDIA</v>
      </c>
      <c r="H1928" s="11" t="str">
        <f>IFERROR(IF(VLOOKUP(A1928,[13]PRIORIZADOS!$A:$H,8,FALSE)="","",VLOOKUP(A1928,[13]PRIORIZADOS!$A:$H,8,FALSE)),"")</f>
        <v>Convivencia escolar</v>
      </c>
      <c r="I1928" s="11" t="str">
        <f>IFERROR(IF(VLOOKUP(A1928,[13]PRIORIZADOS!$A:$I,9,FALSE)="","",VLOOKUP(A1928,[13]PRIORIZADOS!$A:$I,9,FALSE)),"")</f>
        <v>EVALUACIÓN_CON_FINES_DE_MEJORAMIENTO.</v>
      </c>
      <c r="J1928" s="11" t="str">
        <f>IFERROR(IF(VLOOKUP(A1928,[13]PRIORIZADOS!$A:$J,10,FALSE)="","",VLOOKUP(A1928,[13]PRIORIZADOS!$A:$J,10,FALSE)),"")</f>
        <v>Verificar el funcionamiento del Gobierno Escolar e instancias de participación con base en la información sobre conformación reportada por la institución educativa.</v>
      </c>
      <c r="K1928" s="11" t="str">
        <f>IFERROR(IF(VLOOKUP(A1928,[13]PRIORIZADOS!$A:$K,11,FALSE)="","",VLOOKUP(A1928,[13]PRIORIZADOS!$A:$K,11,FALSE)),"")</f>
        <v xml:space="preserve">JORGE WILLIAM BONILLA ROMERO </v>
      </c>
      <c r="L1928" s="11" t="str">
        <f>IFERROR(IF(VLOOKUP(A1928,[13]PRIORIZADOS!$A:$L,12,FALSE)="","",VLOOKUP(A1928,[13]PRIORIZADOS!$A:$L,12,FALSE)),"")</f>
        <v>JOSÉ MAXIMILIANO CHAPARRO BARRERA</v>
      </c>
      <c r="M1928" s="71">
        <f>IFERROR(IF(VLOOKUP(A1928,[13]PRIORIZADOS!$A:$M,13,FALSE)="","",VLOOKUP(A1928,[13]PRIORIZADOS!$A:$M,13,FALSE)),"")</f>
        <v>45874</v>
      </c>
      <c r="N1928" s="71">
        <f>IFERROR(IF(VLOOKUP(A1928,[13]PRIORIZADOS!$A:$N,14,FALSE)="","",VLOOKUP(A1928,[13]PRIORIZADOS!$A:$N,14,FALSE)),"")</f>
        <v>45874</v>
      </c>
      <c r="O1928" s="71">
        <f>IFERROR(IF(VLOOKUP(A1928,[13]PRIORIZADOS!$A:$O,15,FALSE)="","",VLOOKUP(A1928,[13]PRIORIZADOS!$A:$O,15,FALSE)),"")</f>
        <v>45874</v>
      </c>
      <c r="P1928" s="11" t="str">
        <f>IFERROR(IF(VLOOKUP(A1928,[13]PRIORIZADOS!$A:$P,16,FALSE)="","",VLOOKUP(A1928,[13]PRIORIZADOS!$A:$P,16,FALSE)),"")</f>
        <v>Visitas de evaluación con fines de mejoramiento</v>
      </c>
      <c r="Q1928" s="2" t="s">
        <v>418</v>
      </c>
      <c r="R1928" s="11" t="str">
        <f>IFERROR(IF(VLOOKUP(A1928,[13]PRIORIZADOS!$A:$R,18,FALSE)="","",VLOOKUP(A1928,[13]PRIORIZADOS!$A:$R,18,FALSE)),"")</f>
        <v>Se evidencia reporte de las actas de conformación y ejecución de gobierno escolar.</v>
      </c>
      <c r="S1928" s="11" t="str">
        <f>IFERROR(IF(VLOOKUP(A1928,[13]PRIORIZADOS!$A:$S,19,FALSE)="","",VLOOKUP(A1928,[13]PRIORIZADOS!$A:$S,19,FALSE)),"")</f>
        <v>La IED continuará con la gestión de promoción y desarrollo de actividades de las instancias de participación.</v>
      </c>
      <c r="T1928" s="70" t="str">
        <f>IFERROR(IF(VLOOKUP(A1928,[13]PRIORIZADOS!$A:$T,20,FALSE)="","",VLOOKUP(A1928,[13]PRIORIZADOS!$A:$T,20,FALSE)),"")</f>
        <v>No</v>
      </c>
      <c r="U1928" s="11" t="str">
        <f>IFERROR(IF(VLOOKUP(A1928,[13]PRIORIZADOS!$A:$U,21,FALSE)="","",VLOOKUP(A1928,[13]PRIORIZADOS!$A:$U,21,FALSE)),"")</f>
        <v>Se hará seguimiento en la siguiente vigencia.</v>
      </c>
    </row>
    <row r="1929" spans="1:21" s="1" customFormat="1" ht="72">
      <c r="A1929" s="69">
        <f>IF([13]PRIORIZADOS!A92="","",[13]PRIORIZADOS!A92)</f>
        <v>1896</v>
      </c>
      <c r="B1929" s="70">
        <f>IFERROR(IF(VLOOKUP(A1929,[13]PRIORIZADOS!$A:$B,2,FALSE)="","",VLOOKUP(A1929,[13]PRIORIZADOS!$A:$B,2,FALSE)),"")</f>
        <v>10</v>
      </c>
      <c r="C1929" s="11" t="str">
        <f>IFERROR(IF(VLOOKUP(A1929,[13]PRIORIZADOS!$A:$C,3,FALSE)="","",VLOOKUP(A1929,[13]PRIORIZADOS!$A:$C,3,FALSE)),"")</f>
        <v xml:space="preserve">SANTA FE Y CANDELARIA </v>
      </c>
      <c r="D1929" s="11" t="str">
        <f>IFERROR(IF(VLOOKUP(A1929,[13]PRIORIZADOS!$A:$D,4,FALSE)="","",VLOOKUP(A1929,[13]PRIORIZADOS!$A:$D,4,FALSE)),"")</f>
        <v>OFICIAL</v>
      </c>
      <c r="E1929" s="11" t="str">
        <f>IFERROR(IF(VLOOKUP(A1929,[13]PRIORIZADOS!$A:$E,5,FALSE)="","",VLOOKUP(A1929,[13]PRIORIZADOS!$A:$E,5,FALSE)),"")</f>
        <v>EPBM</v>
      </c>
      <c r="F1929" s="11" t="str">
        <f>IFERROR(IF(VLOOKUP(A1929,[13]PRIORIZADOS!$A:$F,6,FALSE)="","",VLOOKUP(A1929,[13]PRIORIZADOS!$A:$F,6,FALSE)),"")</f>
        <v>COLEGIO_INTEGRADA_LA_CANDELARIA_IED</v>
      </c>
      <c r="G1929" s="11" t="str">
        <f>IFERROR(IF(VLOOKUP(A1929,[13]PRIORIZADOS!$A:$G,7,FALSE)="","",VLOOKUP(A1929,[13]PRIORIZADOS!$A:$G,7,FALSE)),"")</f>
        <v>LA CONCORDIA</v>
      </c>
      <c r="H1929" s="11" t="str">
        <f>IFERROR(IF(VLOOKUP(A1929,[13]PRIORIZADOS!$A:$H,8,FALSE)="","",VLOOKUP(A1929,[13]PRIORIZADOS!$A:$H,8,FALSE)),"")</f>
        <v>Convivencia escolar</v>
      </c>
      <c r="I1929" s="11" t="str">
        <f>IFERROR(IF(VLOOKUP(A1929,[13]PRIORIZADOS!$A:$I,9,FALSE)="","",VLOOKUP(A1929,[13]PRIORIZADOS!$A:$I,9,FALSE)),"")</f>
        <v>EVALUACIÓN_CON_FINES_DE_MEJORAMIENTO.</v>
      </c>
      <c r="J1929" s="11" t="str">
        <f>IFERROR(IF(VLOOKUP(A1929,[13]PRIORIZADOS!$A:$J,10,FALSE)="","",VLOOKUP(A1929,[13]PRIORIZADOS!$A:$J,10,FALSE)),"")</f>
        <v>Verificar las condiciones en cuanto a: la estructura administrativa, condiciones de la planta física y medios educativos adecuados.</v>
      </c>
      <c r="K1929" s="11" t="str">
        <f>IFERROR(IF(VLOOKUP(A1929,[13]PRIORIZADOS!$A:$K,11,FALSE)="","",VLOOKUP(A1929,[13]PRIORIZADOS!$A:$K,11,FALSE)),"")</f>
        <v xml:space="preserve">JORGE WILLIAM BONILLA ROMERO </v>
      </c>
      <c r="L1929" s="11" t="str">
        <f>IFERROR(IF(VLOOKUP(A1929,[13]PRIORIZADOS!$A:$L,12,FALSE)="","",VLOOKUP(A1929,[13]PRIORIZADOS!$A:$L,12,FALSE)),"")</f>
        <v>JOSÉ MAXIMILIANO CHAPARRO BARRERA</v>
      </c>
      <c r="M1929" s="71">
        <f>IFERROR(IF(VLOOKUP(A1929,[13]PRIORIZADOS!$A:$M,13,FALSE)="","",VLOOKUP(A1929,[13]PRIORIZADOS!$A:$M,13,FALSE)),"")</f>
        <v>45874</v>
      </c>
      <c r="N1929" s="71">
        <f>IFERROR(IF(VLOOKUP(A1929,[13]PRIORIZADOS!$A:$N,14,FALSE)="","",VLOOKUP(A1929,[13]PRIORIZADOS!$A:$N,14,FALSE)),"")</f>
        <v>45874</v>
      </c>
      <c r="O1929" s="71">
        <f>IFERROR(IF(VLOOKUP(A1929,[13]PRIORIZADOS!$A:$O,15,FALSE)="","",VLOOKUP(A1929,[13]PRIORIZADOS!$A:$O,15,FALSE)),"")</f>
        <v>45874</v>
      </c>
      <c r="P1929" s="11" t="str">
        <f>IFERROR(IF(VLOOKUP(A1929,[13]PRIORIZADOS!$A:$P,16,FALSE)="","",VLOOKUP(A1929,[13]PRIORIZADOS!$A:$P,16,FALSE)),"")</f>
        <v>Visitas de evaluación con fines de mejoramiento</v>
      </c>
      <c r="Q1929" s="2" t="s">
        <v>418</v>
      </c>
      <c r="R1929" s="11" t="str">
        <f>IFERROR(IF(VLOOKUP(A1929,[13]PRIORIZADOS!$A:$R,18,FALSE)="","",VLOOKUP(A1929,[13]PRIORIZADOS!$A:$R,18,FALSE)),"")</f>
        <v xml:space="preserve">Se evidencia gestión para el funcionamiento adecuado en desarrollo de la prestación del servicio educativo.  Observando una parte de las instalaciones en obra, aislada de la circulación de estudiantes.  </v>
      </c>
      <c r="S1929" s="11" t="str">
        <f>IFERROR(IF(VLOOKUP(A1929,[13]PRIORIZADOS!$A:$S,19,FALSE)="","",VLOOKUP(A1929,[13]PRIORIZADOS!$A:$S,19,FALSE)),"")</f>
        <v>Adelantar el trámite para la actualización de nomenclatura SEDE A: CRA 2 # 12 C 30 y SEDE C Inmaculada: CRA 2 # 17 - 55 en el RCO.</v>
      </c>
      <c r="T1929" s="70" t="str">
        <f>IFERROR(IF(VLOOKUP(A1929,[13]PRIORIZADOS!$A:$T,20,FALSE)="","",VLOOKUP(A1929,[13]PRIORIZADOS!$A:$T,20,FALSE)),"")</f>
        <v>No</v>
      </c>
      <c r="U1929" s="11" t="str">
        <f>IFERROR(IF(VLOOKUP(A1929,[13]PRIORIZADOS!$A:$U,21,FALSE)="","",VLOOKUP(A1929,[13]PRIORIZADOS!$A:$U,21,FALSE)),"")</f>
        <v>Se solicita hacer entrega de los avances sobre las acciones observadas dentro de los 30 días siguientes a la visita.</v>
      </c>
    </row>
    <row r="1930" spans="1:21" s="1" customFormat="1" ht="60">
      <c r="A1930" s="69">
        <f>IF([13]PRIORIZADOS!A93="","",[13]PRIORIZADOS!A93)</f>
        <v>1898</v>
      </c>
      <c r="B1930" s="70">
        <f>IFERROR(IF(VLOOKUP(A1930,[13]PRIORIZADOS!$A:$B,2,FALSE)="","",VLOOKUP(A1930,[13]PRIORIZADOS!$A:$B,2,FALSE)),"")</f>
        <v>11</v>
      </c>
      <c r="C1930" s="11" t="str">
        <f>IFERROR(IF(VLOOKUP(A1930,[13]PRIORIZADOS!$A:$C,3,FALSE)="","",VLOOKUP(A1930,[13]PRIORIZADOS!$A:$C,3,FALSE)),"")</f>
        <v xml:space="preserve">SANTA FE Y CANDELARIA </v>
      </c>
      <c r="D1930" s="11" t="str">
        <f>IFERROR(IF(VLOOKUP(A1930,[13]PRIORIZADOS!$A:$D,4,FALSE)="","",VLOOKUP(A1930,[13]PRIORIZADOS!$A:$D,4,FALSE)),"")</f>
        <v>OFICIAL</v>
      </c>
      <c r="E1930" s="11" t="str">
        <f>IFERROR(IF(VLOOKUP(A1930,[13]PRIORIZADOS!$A:$E,5,FALSE)="","",VLOOKUP(A1930,[13]PRIORIZADOS!$A:$E,5,FALSE)),"")</f>
        <v>EPBM</v>
      </c>
      <c r="F1930" s="11" t="str">
        <f>IFERROR(IF(VLOOKUP(A1930,[13]PRIORIZADOS!$A:$F,6,FALSE)="","",VLOOKUP(A1930,[13]PRIORIZADOS!$A:$F,6,FALSE)),"")</f>
        <v>COLEGIO_AULAS_COLOMBIANAS_SAN_LUIS_IED</v>
      </c>
      <c r="G1930" s="11" t="str">
        <f>IFERROR(IF(VLOOKUP(A1930,[13]PRIORIZADOS!$A:$G,7,FALSE)="","",VLOOKUP(A1930,[13]PRIORIZADOS!$A:$G,7,FALSE)),"")</f>
        <v>AULAS COLOMBIANAS EL CONSUELO</v>
      </c>
      <c r="H1930" s="11" t="str">
        <f>IFERROR(IF(VLOOKUP(A1930,[13]PRIORIZADOS!$A:$H,8,FALSE)="","",VLOOKUP(A1930,[13]PRIORIZADOS!$A:$H,8,FALSE)),"")</f>
        <v>Convivencia escolar</v>
      </c>
      <c r="I1930" s="11" t="str">
        <f>IFERROR(IF(VLOOKUP(A1930,[13]PRIORIZADOS!$A:$I,9,FALSE)="","",VLOOKUP(A1930,[13]PRIORIZADOS!$A:$I,9,FALSE)),"")</f>
        <v>SEGUIMIENTO_Y_SUPERVISIÓN.</v>
      </c>
      <c r="J1930" s="11" t="str">
        <f>IFERROR(IF(VLOOKUP(A1930,[13]PRIORIZADOS!$A:$J,10,FALSE)="","",VLOOKUP(A1930,[13]PRIORIZADOS!$A:$J,10,FALSE)),"")</f>
        <v>Proponer estrategias en la formulación, verificar su elaboración y realizar seguimiento semestral al desarrollo de  las acciones establecidas en los planes de mejoramiento por pruebas SABER 11 de los establecimientos de educación formal.</v>
      </c>
      <c r="K1930" s="11" t="str">
        <f>IFERROR(IF(VLOOKUP(A1930,[13]PRIORIZADOS!$A:$K,11,FALSE)="","",VLOOKUP(A1930,[13]PRIORIZADOS!$A:$K,11,FALSE)),"")</f>
        <v>DAMARIS RUT CÁRDENAS MORENO</v>
      </c>
      <c r="L1930" s="11" t="str">
        <f>IFERROR(IF(VLOOKUP(A1930,[13]PRIORIZADOS!$A:$L,12,FALSE)="","",VLOOKUP(A1930,[13]PRIORIZADOS!$A:$L,12,FALSE)),"")</f>
        <v xml:space="preserve">JORGE WILLIAM BONILLA ROMERO </v>
      </c>
      <c r="M1930" s="71">
        <f>IFERROR(IF(VLOOKUP(A1930,[13]PRIORIZADOS!$A:$M,13,FALSE)="","",VLOOKUP(A1930,[13]PRIORIZADOS!$A:$M,13,FALSE)),"")</f>
        <v>45881</v>
      </c>
      <c r="N1930" s="71">
        <f>IFERROR(IF(VLOOKUP(A1930,[13]PRIORIZADOS!$A:$N,14,FALSE)="","",VLOOKUP(A1930,[13]PRIORIZADOS!$A:$N,14,FALSE)),"")</f>
        <v>45881</v>
      </c>
      <c r="O1930" s="71">
        <f>IFERROR(IF(VLOOKUP(A1930,[13]PRIORIZADOS!$A:$O,15,FALSE)="","",VLOOKUP(A1930,[13]PRIORIZADOS!$A:$O,15,FALSE)),"")</f>
        <v>45881</v>
      </c>
      <c r="P1930" s="11" t="str">
        <f>IFERROR(IF(VLOOKUP(A1930,[13]PRIORIZADOS!$A:$P,16,FALSE)="","",VLOOKUP(A1930,[13]PRIORIZADOS!$A:$P,16,FALSE)),"")</f>
        <v>Visitas de evaluación con fines de mejoramiento</v>
      </c>
      <c r="Q1930" s="38" t="s">
        <v>419</v>
      </c>
      <c r="R1930" s="11" t="str">
        <f>IFERROR(IF(VLOOKUP(A1930,[13]PRIORIZADOS!$A:$R,18,FALSE)="","",VLOOKUP(A1930,[13]PRIORIZADOS!$A:$R,18,FALSE)),"")</f>
        <v>EL programa desarrollado corresponde a una estrategia de la entidad, pero no es una herramienta propia de la institución educativa para generar mejoramiento en las pruebas saber.</v>
      </c>
      <c r="S1930" s="11" t="str">
        <f>IFERROR(IF(VLOOKUP(A1930,[13]PRIORIZADOS!$A:$S,19,FALSE)="","",VLOOKUP(A1930,[13]PRIORIZADOS!$A:$S,19,FALSE)),"")</f>
        <v xml:space="preserve">Formular y proponer estrategia que permita análisis y seguimiento de los resultados de Pruebas saber aprobado por Consejo académico y Consejo Directivo. </v>
      </c>
      <c r="T1930" s="70" t="str">
        <f>IFERROR(IF(VLOOKUP(A1930,[13]PRIORIZADOS!$A:$T,20,FALSE)="","",VLOOKUP(A1930,[13]PRIORIZADOS!$A:$T,20,FALSE)),"")</f>
        <v>Si</v>
      </c>
      <c r="U1930" s="11" t="str">
        <f>IFERROR(IF(VLOOKUP(A1930,[13]PRIORIZADOS!$A:$U,21,FALSE)="","",VLOOKUP(A1930,[13]PRIORIZADOS!$A:$U,21,FALSE)),"")</f>
        <v>El ELIV verificará la información aportada por la IED a noviembre de 2025.</v>
      </c>
    </row>
    <row r="1931" spans="1:21" s="1" customFormat="1" ht="84">
      <c r="A1931" s="69">
        <f>IF([13]PRIORIZADOS!A94="","",[13]PRIORIZADOS!A94)</f>
        <v>1899</v>
      </c>
      <c r="B1931" s="70">
        <f>IFERROR(IF(VLOOKUP(A1931,[13]PRIORIZADOS!$A:$B,2,FALSE)="","",VLOOKUP(A1931,[13]PRIORIZADOS!$A:$B,2,FALSE)),"")</f>
        <v>11</v>
      </c>
      <c r="C1931" s="11" t="str">
        <f>IFERROR(IF(VLOOKUP(A1931,[13]PRIORIZADOS!$A:$C,3,FALSE)="","",VLOOKUP(A1931,[13]PRIORIZADOS!$A:$C,3,FALSE)),"")</f>
        <v xml:space="preserve">SANTA FE Y CANDELARIA </v>
      </c>
      <c r="D1931" s="11" t="str">
        <f>IFERROR(IF(VLOOKUP(A1931,[13]PRIORIZADOS!$A:$D,4,FALSE)="","",VLOOKUP(A1931,[13]PRIORIZADOS!$A:$D,4,FALSE)),"")</f>
        <v>OFICIAL</v>
      </c>
      <c r="E1931" s="11" t="str">
        <f>IFERROR(IF(VLOOKUP(A1931,[13]PRIORIZADOS!$A:$E,5,FALSE)="","",VLOOKUP(A1931,[13]PRIORIZADOS!$A:$E,5,FALSE)),"")</f>
        <v>EPBM</v>
      </c>
      <c r="F1931" s="11" t="str">
        <f>IFERROR(IF(VLOOKUP(A1931,[13]PRIORIZADOS!$A:$F,6,FALSE)="","",VLOOKUP(A1931,[13]PRIORIZADOS!$A:$F,6,FALSE)),"")</f>
        <v>COLEGIO_AULAS_COLOMBIANAS_SAN_LUIS_IED</v>
      </c>
      <c r="G1931" s="11" t="str">
        <f>IFERROR(IF(VLOOKUP(A1931,[13]PRIORIZADOS!$A:$G,7,FALSE)="","",VLOOKUP(A1931,[13]PRIORIZADOS!$A:$G,7,FALSE)),"")</f>
        <v>AULAS COLOMBIANAS EL CONSUELO</v>
      </c>
      <c r="H1931" s="11" t="str">
        <f>IFERROR(IF(VLOOKUP(A1931,[13]PRIORIZADOS!$A:$H,8,FALSE)="","",VLOOKUP(A1931,[13]PRIORIZADOS!$A:$H,8,FALSE)),"")</f>
        <v>Convivencia escolar</v>
      </c>
      <c r="I1931" s="11" t="str">
        <f>IFERROR(IF(VLOOKUP(A1931,[13]PRIORIZADOS!$A:$I,9,FALSE)="","",VLOOKUP(A1931,[13]PRIORIZADOS!$A:$I,9,FALSE)),"")</f>
        <v>SEGUIMIENTO_Y_SUPERVISIÓN.</v>
      </c>
      <c r="J1931" s="11" t="str">
        <f>IFERROR(IF(VLOOKUP(A1931,[13]PRIORIZADOS!$A:$J,10,FALSE)="","",VLOOKUP(A1931,[13]PRIORIZADOS!$A:$J,10,FALSE)),"")</f>
        <v xml:space="preserve">Verificar la implementación por parte de los colegios, de acciones realizadas para la prevención y atención de las situaciones de convivencia en el entorno escolar, según lo establecido en la Directiva 01 de 2022 del MEN. </v>
      </c>
      <c r="K1931" s="11" t="str">
        <f>IFERROR(IF(VLOOKUP(A1931,[13]PRIORIZADOS!$A:$K,11,FALSE)="","",VLOOKUP(A1931,[13]PRIORIZADOS!$A:$K,11,FALSE)),"")</f>
        <v>DAMARIS RUT CÁRDENAS MORENO</v>
      </c>
      <c r="L1931" s="11" t="str">
        <f>IFERROR(IF(VLOOKUP(A1931,[13]PRIORIZADOS!$A:$L,12,FALSE)="","",VLOOKUP(A1931,[13]PRIORIZADOS!$A:$L,12,FALSE)),"")</f>
        <v xml:space="preserve">JORGE WILLIAM BONILLA ROMERO </v>
      </c>
      <c r="M1931" s="71">
        <f>IFERROR(IF(VLOOKUP(A1931,[13]PRIORIZADOS!$A:$M,13,FALSE)="","",VLOOKUP(A1931,[13]PRIORIZADOS!$A:$M,13,FALSE)),"")</f>
        <v>45881</v>
      </c>
      <c r="N1931" s="71">
        <f>IFERROR(IF(VLOOKUP(A1931,[13]PRIORIZADOS!$A:$N,14,FALSE)="","",VLOOKUP(A1931,[13]PRIORIZADOS!$A:$N,14,FALSE)),"")</f>
        <v>45881</v>
      </c>
      <c r="O1931" s="71">
        <f>IFERROR(IF(VLOOKUP(A1931,[13]PRIORIZADOS!$A:$O,15,FALSE)="","",VLOOKUP(A1931,[13]PRIORIZADOS!$A:$O,15,FALSE)),"")</f>
        <v>45881</v>
      </c>
      <c r="P1931" s="11" t="str">
        <f>IFERROR(IF(VLOOKUP(A1931,[13]PRIORIZADOS!$A:$P,16,FALSE)="","",VLOOKUP(A1931,[13]PRIORIZADOS!$A:$P,16,FALSE)),"")</f>
        <v>Visitas de evaluación con fines de mejoramiento</v>
      </c>
      <c r="Q1931" s="38" t="s">
        <v>419</v>
      </c>
      <c r="R1931" s="11" t="str">
        <f>IFERROR(IF(VLOOKUP(A1931,[13]PRIORIZADOS!$A:$R,18,FALSE)="","",VLOOKUP(A1931,[13]PRIORIZADOS!$A:$R,18,FALSE)),"")</f>
        <v xml:space="preserve">Si bien las acciones de verificación documental de contratación corresponden a nivel central (oficina de personal), por lo demás la institución realiza los correspondientes reportes a Sistema de Alertas y programa actividades de prevención. </v>
      </c>
      <c r="S1931" s="11" t="str">
        <f>IFERROR(IF(VLOOKUP(A1931,[13]PRIORIZADOS!$A:$S,19,FALSE)="","",VLOOKUP(A1931,[13]PRIORIZADOS!$A:$S,19,FALSE)),"")</f>
        <v xml:space="preserve">Continuar realizando los reportes y realizando las actividades de prevención relacionadas. </v>
      </c>
      <c r="T1931" s="70" t="str">
        <f>IFERROR(IF(VLOOKUP(A1931,[13]PRIORIZADOS!$A:$T,20,FALSE)="","",VLOOKUP(A1931,[13]PRIORIZADOS!$A:$T,20,FALSE)),"")</f>
        <v>No</v>
      </c>
      <c r="U1931" s="11" t="str">
        <f>IFERROR(IF(VLOOKUP(A1931,[13]PRIORIZADOS!$A:$U,21,FALSE)="","",VLOOKUP(A1931,[13]PRIORIZADOS!$A:$U,21,FALSE)),"")</f>
        <v xml:space="preserve">En caso de presentarse alguna queja o situación reportada, se realizará seguimiento a la implementación de la Directiva. </v>
      </c>
    </row>
    <row r="1932" spans="1:21" s="1" customFormat="1" ht="84">
      <c r="A1932" s="69">
        <f>IF([13]PRIORIZADOS!A95="","",[13]PRIORIZADOS!A95)</f>
        <v>1900</v>
      </c>
      <c r="B1932" s="70">
        <f>IFERROR(IF(VLOOKUP(A1932,[13]PRIORIZADOS!$A:$B,2,FALSE)="","",VLOOKUP(A1932,[13]PRIORIZADOS!$A:$B,2,FALSE)),"")</f>
        <v>11</v>
      </c>
      <c r="C1932" s="11" t="str">
        <f>IFERROR(IF(VLOOKUP(A1932,[13]PRIORIZADOS!$A:$C,3,FALSE)="","",VLOOKUP(A1932,[13]PRIORIZADOS!$A:$C,3,FALSE)),"")</f>
        <v xml:space="preserve">SANTA FE Y CANDELARIA </v>
      </c>
      <c r="D1932" s="11" t="str">
        <f>IFERROR(IF(VLOOKUP(A1932,[13]PRIORIZADOS!$A:$D,4,FALSE)="","",VLOOKUP(A1932,[13]PRIORIZADOS!$A:$D,4,FALSE)),"")</f>
        <v>OFICIAL</v>
      </c>
      <c r="E1932" s="11" t="str">
        <f>IFERROR(IF(VLOOKUP(A1932,[13]PRIORIZADOS!$A:$E,5,FALSE)="","",VLOOKUP(A1932,[13]PRIORIZADOS!$A:$E,5,FALSE)),"")</f>
        <v>EPBM</v>
      </c>
      <c r="F1932" s="11" t="str">
        <f>IFERROR(IF(VLOOKUP(A1932,[13]PRIORIZADOS!$A:$F,6,FALSE)="","",VLOOKUP(A1932,[13]PRIORIZADOS!$A:$F,6,FALSE)),"")</f>
        <v>COLEGIO_AULAS_COLOMBIANAS_SAN_LUIS_IED</v>
      </c>
      <c r="G1932" s="11" t="str">
        <f>IFERROR(IF(VLOOKUP(A1932,[13]PRIORIZADOS!$A:$G,7,FALSE)="","",VLOOKUP(A1932,[13]PRIORIZADOS!$A:$G,7,FALSE)),"")</f>
        <v>AULAS COLOMBIANAS EL CONSUELO</v>
      </c>
      <c r="H1932" s="11" t="str">
        <f>IFERROR(IF(VLOOKUP(A1932,[13]PRIORIZADOS!$A:$H,8,FALSE)="","",VLOOKUP(A1932,[13]PRIORIZADOS!$A:$H,8,FALSE)),"")</f>
        <v>Convivencia escolar</v>
      </c>
      <c r="I1932" s="11" t="str">
        <f>IFERROR(IF(VLOOKUP(A1932,[13]PRIORIZADOS!$A:$I,9,FALSE)="","",VLOOKUP(A1932,[13]PRIORIZADOS!$A:$I,9,FALSE)),"")</f>
        <v>SEGUIMIENTO_Y_SUPERVISIÓN.</v>
      </c>
      <c r="J1932" s="11" t="str">
        <f>IFERROR(IF(VLOOKUP(A1932,[13]PRIORIZADOS!$A:$J,10,FALSE)="","",VLOOKUP(A1932,[13]PRIORIZADOS!$A:$J,10,FALSE)),"")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32" s="11" t="str">
        <f>IFERROR(IF(VLOOKUP(A1932,[13]PRIORIZADOS!$A:$K,11,FALSE)="","",VLOOKUP(A1932,[13]PRIORIZADOS!$A:$K,11,FALSE)),"")</f>
        <v>DAMARIS RUT CÁRDENAS MORENO</v>
      </c>
      <c r="L1932" s="11" t="str">
        <f>IFERROR(IF(VLOOKUP(A1932,[13]PRIORIZADOS!$A:$L,12,FALSE)="","",VLOOKUP(A1932,[13]PRIORIZADOS!$A:$L,12,FALSE)),"")</f>
        <v xml:space="preserve">JORGE WILLIAM BONILLA ROMERO </v>
      </c>
      <c r="M1932" s="71">
        <f>IFERROR(IF(VLOOKUP(A1932,[13]PRIORIZADOS!$A:$M,13,FALSE)="","",VLOOKUP(A1932,[13]PRIORIZADOS!$A:$M,13,FALSE)),"")</f>
        <v>45881</v>
      </c>
      <c r="N1932" s="71">
        <f>IFERROR(IF(VLOOKUP(A1932,[13]PRIORIZADOS!$A:$N,14,FALSE)="","",VLOOKUP(A1932,[13]PRIORIZADOS!$A:$N,14,FALSE)),"")</f>
        <v>45881</v>
      </c>
      <c r="O1932" s="71">
        <f>IFERROR(IF(VLOOKUP(A1932,[13]PRIORIZADOS!$A:$O,15,FALSE)="","",VLOOKUP(A1932,[13]PRIORIZADOS!$A:$O,15,FALSE)),"")</f>
        <v>45881</v>
      </c>
      <c r="P1932" s="11" t="str">
        <f>IFERROR(IF(VLOOKUP(A1932,[13]PRIORIZADOS!$A:$P,16,FALSE)="","",VLOOKUP(A1932,[13]PRIORIZADOS!$A:$P,16,FALSE)),"")</f>
        <v>Visitas de evaluación con fines de mejoramiento</v>
      </c>
      <c r="Q1932" s="38" t="s">
        <v>419</v>
      </c>
      <c r="R1932" s="11" t="str">
        <f>IFERROR(IF(VLOOKUP(A1932,[13]PRIORIZADOS!$A:$R,18,FALSE)="","",VLOOKUP(A1932,[13]PRIORIZADOS!$A:$R,18,FALSE)),"")</f>
        <v>El formato que esta manejando el colegio ha tenido modificaciones al formato establecido por el MEN. Actualmente el colegio se encuentra de fortalecimiento de procesos para la atención adecuada de los estudiantes con diagnostico y con presunción.</v>
      </c>
      <c r="S1932" s="11" t="str">
        <f>IFERROR(IF(VLOOKUP(A1932,[13]PRIORIZADOS!$A:$S,19,FALSE)="","",VLOOKUP(A1932,[13]PRIORIZADOS!$A:$S,19,FALSE)),"")</f>
        <v xml:space="preserve">Se solicita al colegio realizar los ajustes por asignatura con las estrategias evaluativas de cada asignatura por periodo con los ajustes razonables requeridos. </v>
      </c>
      <c r="T1932" s="70" t="str">
        <f>IFERROR(IF(VLOOKUP(A1932,[13]PRIORIZADOS!$A:$T,20,FALSE)="","",VLOOKUP(A1932,[13]PRIORIZADOS!$A:$T,20,FALSE)),"")</f>
        <v>Si</v>
      </c>
      <c r="U1932" s="11" t="str">
        <f>IFERROR(IF(VLOOKUP(A1932,[13]PRIORIZADOS!$A:$U,21,FALSE)="","",VLOOKUP(A1932,[13]PRIORIZADOS!$A:$U,21,FALSE)),"")</f>
        <v xml:space="preserve">Se solicita plan de mejoramiento para el 07 de noviembre de 2025. Se realizara seguimiento en vigencia 2026, puesto que no hay radicación de plan de mejoramiento en 2025 por parte de la institución educativa. </v>
      </c>
    </row>
    <row r="1933" spans="1:21" s="1" customFormat="1" ht="118.5">
      <c r="A1933" s="69">
        <f>IF([13]PRIORIZADOS!A96="","",[13]PRIORIZADOS!A96)</f>
        <v>1901</v>
      </c>
      <c r="B1933" s="70">
        <f>IFERROR(IF(VLOOKUP(A1933,[13]PRIORIZADOS!$A:$B,2,FALSE)="","",VLOOKUP(A1933,[13]PRIORIZADOS!$A:$B,2,FALSE)),"")</f>
        <v>11</v>
      </c>
      <c r="C1933" s="11" t="str">
        <f>IFERROR(IF(VLOOKUP(A1933,[13]PRIORIZADOS!$A:$C,3,FALSE)="","",VLOOKUP(A1933,[13]PRIORIZADOS!$A:$C,3,FALSE)),"")</f>
        <v xml:space="preserve">SANTA FE Y CANDELARIA </v>
      </c>
      <c r="D1933" s="11" t="str">
        <f>IFERROR(IF(VLOOKUP(A1933,[13]PRIORIZADOS!$A:$D,4,FALSE)="","",VLOOKUP(A1933,[13]PRIORIZADOS!$A:$D,4,FALSE)),"")</f>
        <v>OFICIAL</v>
      </c>
      <c r="E1933" s="11" t="str">
        <f>IFERROR(IF(VLOOKUP(A1933,[13]PRIORIZADOS!$A:$E,5,FALSE)="","",VLOOKUP(A1933,[13]PRIORIZADOS!$A:$E,5,FALSE)),"")</f>
        <v>EPBM</v>
      </c>
      <c r="F1933" s="11" t="str">
        <f>IFERROR(IF(VLOOKUP(A1933,[13]PRIORIZADOS!$A:$F,6,FALSE)="","",VLOOKUP(A1933,[13]PRIORIZADOS!$A:$F,6,FALSE)),"")</f>
        <v>COLEGIO_AULAS_COLOMBIANAS_SAN_LUIS_IED</v>
      </c>
      <c r="G1933" s="11" t="str">
        <f>IFERROR(IF(VLOOKUP(A1933,[13]PRIORIZADOS!$A:$G,7,FALSE)="","",VLOOKUP(A1933,[13]PRIORIZADOS!$A:$G,7,FALSE)),"")</f>
        <v>AULAS COLOMBIANAS EL CONSUELO</v>
      </c>
      <c r="H1933" s="11" t="str">
        <f>IFERROR(IF(VLOOKUP(A1933,[13]PRIORIZADOS!$A:$H,8,FALSE)="","",VLOOKUP(A1933,[13]PRIORIZADOS!$A:$H,8,FALSE)),"")</f>
        <v>Convivencia escolar</v>
      </c>
      <c r="I1933" s="11" t="str">
        <f>IFERROR(IF(VLOOKUP(A1933,[13]PRIORIZADOS!$A:$I,9,FALSE)="","",VLOOKUP(A1933,[13]PRIORIZADOS!$A:$I,9,FALSE)),"")</f>
        <v>EVALUACIÓN_CON_FINES_DE_MEJORAMIENTO.</v>
      </c>
      <c r="J1933" s="11" t="str">
        <f>IFERROR(IF(VLOOKUP(A1933,[13]PRIORIZADOS!$A:$J,10,FALSE)="","",VLOOKUP(A1933,[13]PRIORIZADOS!$A:$J,10,FALSE)),"")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33" s="11" t="str">
        <f>IFERROR(IF(VLOOKUP(A1933,[13]PRIORIZADOS!$A:$K,11,FALSE)="","",VLOOKUP(A1933,[13]PRIORIZADOS!$A:$K,11,FALSE)),"")</f>
        <v>DAMARIS RUT CÁRDENAS MORENO</v>
      </c>
      <c r="L1933" s="11" t="str">
        <f>IFERROR(IF(VLOOKUP(A1933,[13]PRIORIZADOS!$A:$L,12,FALSE)="","",VLOOKUP(A1933,[13]PRIORIZADOS!$A:$L,12,FALSE)),"")</f>
        <v xml:space="preserve">JORGE WILLIAM BONILLA ROMERO </v>
      </c>
      <c r="M1933" s="71">
        <f>IFERROR(IF(VLOOKUP(A1933,[13]PRIORIZADOS!$A:$M,13,FALSE)="","",VLOOKUP(A1933,[13]PRIORIZADOS!$A:$M,13,FALSE)),"")</f>
        <v>45881</v>
      </c>
      <c r="N1933" s="71">
        <f>IFERROR(IF(VLOOKUP(A1933,[13]PRIORIZADOS!$A:$N,14,FALSE)="","",VLOOKUP(A1933,[13]PRIORIZADOS!$A:$N,14,FALSE)),"")</f>
        <v>45881</v>
      </c>
      <c r="O1933" s="71">
        <f>IFERROR(IF(VLOOKUP(A1933,[13]PRIORIZADOS!$A:$O,15,FALSE)="","",VLOOKUP(A1933,[13]PRIORIZADOS!$A:$O,15,FALSE)),"")</f>
        <v>45881</v>
      </c>
      <c r="P1933" s="11" t="str">
        <f>IFERROR(IF(VLOOKUP(A1933,[13]PRIORIZADOS!$A:$P,16,FALSE)="","",VLOOKUP(A1933,[13]PRIORIZADOS!$A:$P,16,FALSE)),"")</f>
        <v>Visitas de evaluación con fines de mejoramiento</v>
      </c>
      <c r="Q1933" s="38" t="s">
        <v>419</v>
      </c>
      <c r="R1933" s="11" t="str">
        <f>IFERROR(IF(VLOOKUP(A1933,[13]PRIORIZADOS!$A:$R,18,FALSE)="","",VLOOKUP(A1933,[13]PRIORIZADOS!$A:$R,18,FALSE)),"")</f>
        <v>La ultima actualización de Manual de convivencia se desarrolla en 2023, lo existente en la actualidad es un propuesta que aún no ha sido trabajada con la comunidad educativa.</v>
      </c>
      <c r="S1933" s="11" t="str">
        <f>IFERROR(IF(VLOOKUP(A1933,[13]PRIORIZADOS!$A:$S,19,FALSE)="","",VLOOKUP(A1933,[13]PRIORIZADOS!$A:$S,19,FALSE)),"")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T1933" s="70" t="str">
        <f>IFERROR(IF(VLOOKUP(A1933,[13]PRIORIZADOS!$A:$T,20,FALSE)="","",VLOOKUP(A1933,[13]PRIORIZADOS!$A:$T,20,FALSE)),"")</f>
        <v>Si</v>
      </c>
      <c r="U1933" s="11" t="str">
        <f>IFERROR(IF(VLOOKUP(A1933,[13]PRIORIZADOS!$A:$U,21,FALSE)="","",VLOOKUP(A1933,[13]PRIORIZADOS!$A:$U,21,FALSE)),"")</f>
        <v xml:space="preserve">Se solicita plan de mejoramiento para el 07 de noviembre de 2025.Se realizara seguimiento en vigencia 2026, puesto que no hay radicación de plan de mejoramiento en 2025 por parte de la institución educativa. </v>
      </c>
    </row>
    <row r="1934" spans="1:21" s="1" customFormat="1" ht="60">
      <c r="A1934" s="69">
        <f>IF([13]PRIORIZADOS!A97="","",[13]PRIORIZADOS!A97)</f>
        <v>1902</v>
      </c>
      <c r="B1934" s="70">
        <f>IFERROR(IF(VLOOKUP(A1934,[13]PRIORIZADOS!$A:$B,2,FALSE)="","",VLOOKUP(A1934,[13]PRIORIZADOS!$A:$B,2,FALSE)),"")</f>
        <v>11</v>
      </c>
      <c r="C1934" s="11" t="str">
        <f>IFERROR(IF(VLOOKUP(A1934,[13]PRIORIZADOS!$A:$C,3,FALSE)="","",VLOOKUP(A1934,[13]PRIORIZADOS!$A:$C,3,FALSE)),"")</f>
        <v xml:space="preserve">SANTA FE Y CANDELARIA </v>
      </c>
      <c r="D1934" s="11" t="str">
        <f>IFERROR(IF(VLOOKUP(A1934,[13]PRIORIZADOS!$A:$D,4,FALSE)="","",VLOOKUP(A1934,[13]PRIORIZADOS!$A:$D,4,FALSE)),"")</f>
        <v>OFICIAL</v>
      </c>
      <c r="E1934" s="11" t="str">
        <f>IFERROR(IF(VLOOKUP(A1934,[13]PRIORIZADOS!$A:$E,5,FALSE)="","",VLOOKUP(A1934,[13]PRIORIZADOS!$A:$E,5,FALSE)),"")</f>
        <v>EPBM</v>
      </c>
      <c r="F1934" s="11" t="str">
        <f>IFERROR(IF(VLOOKUP(A1934,[13]PRIORIZADOS!$A:$F,6,FALSE)="","",VLOOKUP(A1934,[13]PRIORIZADOS!$A:$F,6,FALSE)),"")</f>
        <v>COLEGIO_AULAS_COLOMBIANAS_SAN_LUIS_IED</v>
      </c>
      <c r="G1934" s="11" t="str">
        <f>IFERROR(IF(VLOOKUP(A1934,[13]PRIORIZADOS!$A:$G,7,FALSE)="","",VLOOKUP(A1934,[13]PRIORIZADOS!$A:$G,7,FALSE)),"")</f>
        <v>AULAS COLOMBIANAS EL CONSUELO</v>
      </c>
      <c r="H1934" s="11" t="str">
        <f>IFERROR(IF(VLOOKUP(A1934,[13]PRIORIZADOS!$A:$H,8,FALSE)="","",VLOOKUP(A1934,[13]PRIORIZADOS!$A:$H,8,FALSE)),"")</f>
        <v>Convivencia escolar</v>
      </c>
      <c r="I1934" s="11" t="str">
        <f>IFERROR(IF(VLOOKUP(A1934,[13]PRIORIZADOS!$A:$I,9,FALSE)="","",VLOOKUP(A1934,[13]PRIORIZADOS!$A:$I,9,FALSE)),"")</f>
        <v>EVALUACIÓN_CON_FINES_DE_MEJORAMIENTO.</v>
      </c>
      <c r="J1934" s="11" t="str">
        <f>IFERROR(IF(VLOOKUP(A1934,[13]PRIORIZADOS!$A:$J,10,FALSE)="","",VLOOKUP(A1934,[13]PRIORIZADOS!$A:$J,10,FALSE)),"")</f>
        <v>Revisar la actualización, socialización e implementación del Sistema Institucional de Evaluación de Estudiantes - SIEE, en articulación con la actualización del PEI y la normatividad vigente.</v>
      </c>
      <c r="K1934" s="11" t="str">
        <f>IFERROR(IF(VLOOKUP(A1934,[13]PRIORIZADOS!$A:$K,11,FALSE)="","",VLOOKUP(A1934,[13]PRIORIZADOS!$A:$K,11,FALSE)),"")</f>
        <v>DAMARIS RUT CÁRDENAS MORENO</v>
      </c>
      <c r="L1934" s="11" t="str">
        <f>IFERROR(IF(VLOOKUP(A1934,[13]PRIORIZADOS!$A:$L,12,FALSE)="","",VLOOKUP(A1934,[13]PRIORIZADOS!$A:$L,12,FALSE)),"")</f>
        <v xml:space="preserve">JORGE WILLIAM BONILLA ROMERO </v>
      </c>
      <c r="M1934" s="71">
        <f>IFERROR(IF(VLOOKUP(A1934,[13]PRIORIZADOS!$A:$M,13,FALSE)="","",VLOOKUP(A1934,[13]PRIORIZADOS!$A:$M,13,FALSE)),"")</f>
        <v>45881</v>
      </c>
      <c r="N1934" s="71">
        <f>IFERROR(IF(VLOOKUP(A1934,[13]PRIORIZADOS!$A:$N,14,FALSE)="","",VLOOKUP(A1934,[13]PRIORIZADOS!$A:$N,14,FALSE)),"")</f>
        <v>45881</v>
      </c>
      <c r="O1934" s="71">
        <f>IFERROR(IF(VLOOKUP(A1934,[13]PRIORIZADOS!$A:$O,15,FALSE)="","",VLOOKUP(A1934,[13]PRIORIZADOS!$A:$O,15,FALSE)),"")</f>
        <v>45881</v>
      </c>
      <c r="P1934" s="11" t="str">
        <f>IFERROR(IF(VLOOKUP(A1934,[13]PRIORIZADOS!$A:$P,16,FALSE)="","",VLOOKUP(A1934,[13]PRIORIZADOS!$A:$P,16,FALSE)),"")</f>
        <v>Visitas de evaluación con fines de mejoramiento</v>
      </c>
      <c r="Q1934" s="38" t="s">
        <v>419</v>
      </c>
      <c r="R1934" s="11" t="str">
        <f>IFERROR(IF(VLOOKUP(A1934,[13]PRIORIZADOS!$A:$R,18,FALSE)="","",VLOOKUP(A1934,[13]PRIORIZADOS!$A:$R,18,FALSE)),"")</f>
        <v xml:space="preserve">Documento del año 2023, en proceso de actualización. </v>
      </c>
      <c r="S1934" s="11" t="str">
        <f>IFERROR(IF(VLOOKUP(A1934,[13]PRIORIZADOS!$A:$S,19,FALSE)="","",VLOOKUP(A1934,[13]PRIORIZADOS!$A:$S,19,FALSE)),"")</f>
        <v>Revisar la actualización, socialización e implementación del Sistema Institucional de Evaluación de Estudiantes - SIEE, en articulación con la actualización del PEI y la normatividad vigente.</v>
      </c>
      <c r="T1934" s="70" t="str">
        <f>IFERROR(IF(VLOOKUP(A1934,[13]PRIORIZADOS!$A:$T,20,FALSE)="","",VLOOKUP(A1934,[13]PRIORIZADOS!$A:$T,20,FALSE)),"")</f>
        <v>Si</v>
      </c>
      <c r="U1934" s="11" t="str">
        <f>IFERROR(IF(VLOOKUP(A1934,[13]PRIORIZADOS!$A:$U,21,FALSE)="","",VLOOKUP(A1934,[13]PRIORIZADOS!$A:$U,21,FALSE)),"")</f>
        <v xml:space="preserve">Se solicita plan de mejoramiento para el 07 de noviembre de 2025. Se realizara seguimiento en vigencia 2026, puesto que no hay radicación de plan de mejoramiento en 2025 por parte de la institución educativa. </v>
      </c>
    </row>
    <row r="1935" spans="1:21" s="1" customFormat="1" ht="72">
      <c r="A1935" s="69">
        <f>IF([13]PRIORIZADOS!A98="","",[13]PRIORIZADOS!A98)</f>
        <v>1903</v>
      </c>
      <c r="B1935" s="70">
        <f>IFERROR(IF(VLOOKUP(A1935,[13]PRIORIZADOS!$A:$B,2,FALSE)="","",VLOOKUP(A1935,[13]PRIORIZADOS!$A:$B,2,FALSE)),"")</f>
        <v>11</v>
      </c>
      <c r="C1935" s="11" t="str">
        <f>IFERROR(IF(VLOOKUP(A1935,[13]PRIORIZADOS!$A:$C,3,FALSE)="","",VLOOKUP(A1935,[13]PRIORIZADOS!$A:$C,3,FALSE)),"")</f>
        <v xml:space="preserve">SANTA FE Y CANDELARIA </v>
      </c>
      <c r="D1935" s="11" t="str">
        <f>IFERROR(IF(VLOOKUP(A1935,[13]PRIORIZADOS!$A:$D,4,FALSE)="","",VLOOKUP(A1935,[13]PRIORIZADOS!$A:$D,4,FALSE)),"")</f>
        <v>OFICIAL</v>
      </c>
      <c r="E1935" s="11" t="str">
        <f>IFERROR(IF(VLOOKUP(A1935,[13]PRIORIZADOS!$A:$E,5,FALSE)="","",VLOOKUP(A1935,[13]PRIORIZADOS!$A:$E,5,FALSE)),"")</f>
        <v>EPBM</v>
      </c>
      <c r="F1935" s="11" t="str">
        <f>IFERROR(IF(VLOOKUP(A1935,[13]PRIORIZADOS!$A:$F,6,FALSE)="","",VLOOKUP(A1935,[13]PRIORIZADOS!$A:$F,6,FALSE)),"")</f>
        <v>COLEGIO_AULAS_COLOMBIANAS_SAN_LUIS_IED</v>
      </c>
      <c r="G1935" s="11" t="str">
        <f>IFERROR(IF(VLOOKUP(A1935,[13]PRIORIZADOS!$A:$G,7,FALSE)="","",VLOOKUP(A1935,[13]PRIORIZADOS!$A:$G,7,FALSE)),"")</f>
        <v>AULAS COLOMBIANAS EL CONSUELO</v>
      </c>
      <c r="H1935" s="11" t="str">
        <f>IFERROR(IF(VLOOKUP(A1935,[13]PRIORIZADOS!$A:$H,8,FALSE)="","",VLOOKUP(A1935,[13]PRIORIZADOS!$A:$H,8,FALSE)),"")</f>
        <v>Convivencia escolar</v>
      </c>
      <c r="I1935" s="11" t="str">
        <f>IFERROR(IF(VLOOKUP(A1935,[13]PRIORIZADOS!$A:$I,9,FALSE)="","",VLOOKUP(A1935,[13]PRIORIZADOS!$A:$I,9,FALSE)),"")</f>
        <v>EVALUACIÓN_CON_FINES_DE_MEJORAMIENTO.</v>
      </c>
      <c r="J1935" s="11" t="str">
        <f>IFERROR(IF(VLOOKUP(A1935,[13]PRIORIZADOS!$A:$J,10,FALSE)="","",VLOOKUP(A1935,[13]PRIORIZADOS!$A:$J,10,FALSE)),"")</f>
        <v>Verificar el funcionamiento del Gobierno Escolar e instancias de participación con base en la información sobre conformación reportada por la institución educativa.</v>
      </c>
      <c r="K1935" s="11" t="str">
        <f>IFERROR(IF(VLOOKUP(A1935,[13]PRIORIZADOS!$A:$K,11,FALSE)="","",VLOOKUP(A1935,[13]PRIORIZADOS!$A:$K,11,FALSE)),"")</f>
        <v>DAMARIS RUT CÁRDENAS MORENO</v>
      </c>
      <c r="L1935" s="11" t="str">
        <f>IFERROR(IF(VLOOKUP(A1935,[13]PRIORIZADOS!$A:$L,12,FALSE)="","",VLOOKUP(A1935,[13]PRIORIZADOS!$A:$L,12,FALSE)),"")</f>
        <v xml:space="preserve">JORGE WILLIAM BONILLA ROMERO </v>
      </c>
      <c r="M1935" s="71">
        <f>IFERROR(IF(VLOOKUP(A1935,[13]PRIORIZADOS!$A:$M,13,FALSE)="","",VLOOKUP(A1935,[13]PRIORIZADOS!$A:$M,13,FALSE)),"")</f>
        <v>45881</v>
      </c>
      <c r="N1935" s="71">
        <f>IFERROR(IF(VLOOKUP(A1935,[13]PRIORIZADOS!$A:$N,14,FALSE)="","",VLOOKUP(A1935,[13]PRIORIZADOS!$A:$N,14,FALSE)),"")</f>
        <v>45881</v>
      </c>
      <c r="O1935" s="71">
        <f>IFERROR(IF(VLOOKUP(A1935,[13]PRIORIZADOS!$A:$O,15,FALSE)="","",VLOOKUP(A1935,[13]PRIORIZADOS!$A:$O,15,FALSE)),"")</f>
        <v>45881</v>
      </c>
      <c r="P1935" s="11" t="str">
        <f>IFERROR(IF(VLOOKUP(A1935,[13]PRIORIZADOS!$A:$P,16,FALSE)="","",VLOOKUP(A1935,[13]PRIORIZADOS!$A:$P,16,FALSE)),"")</f>
        <v>Visitas de evaluación con fines de mejoramiento</v>
      </c>
      <c r="Q1935" s="38" t="s">
        <v>419</v>
      </c>
      <c r="R1935" s="11" t="str">
        <f>IFERROR(IF(VLOOKUP(A1935,[13]PRIORIZADOS!$A:$R,18,FALSE)="","",VLOOKUP(A1935,[13]PRIORIZADOS!$A:$R,18,FALSE)),"")</f>
        <v xml:space="preserve">Se encuentran actas de conformación y reuniones periódicas de los diferentes estamentos del Gobierno Escolar. </v>
      </c>
      <c r="S1935" s="11" t="str">
        <f>IFERROR(IF(VLOOKUP(A1935,[13]PRIORIZADOS!$A:$S,19,FALSE)="","",VLOOKUP(A1935,[13]PRIORIZADOS!$A:$S,19,FALSE)),"")</f>
        <v>Se solicita institución completar la información en aplicativo SAE, puesto que si bien en actas en físico se encuentra la información de manera adecuada, es necesario generar el reporte completo en aplicativo.</v>
      </c>
      <c r="T1935" s="70" t="str">
        <f>IFERROR(IF(VLOOKUP(A1935,[13]PRIORIZADOS!$A:$T,20,FALSE)="","",VLOOKUP(A1935,[13]PRIORIZADOS!$A:$T,20,FALSE)),"")</f>
        <v>Si</v>
      </c>
      <c r="U1935" s="11" t="str">
        <f>IFERROR(IF(VLOOKUP(A1935,[13]PRIORIZADOS!$A:$U,21,FALSE)="","",VLOOKUP(A1935,[13]PRIORIZADOS!$A:$U,21,FALSE)),"")</f>
        <v xml:space="preserve">Se solicita plan de mejoramiento para el 07 de noviembre de 2025.Se realizara seguimiento en vigencia 2026, puesto que no hay radicación de plan de mejoramiento en 2025 por parte de la institución educativa. </v>
      </c>
    </row>
    <row r="1936" spans="1:21" s="1" customFormat="1" ht="84">
      <c r="A1936" s="69">
        <f>IF([13]PRIORIZADOS!A99="","",[13]PRIORIZADOS!A99)</f>
        <v>1904</v>
      </c>
      <c r="B1936" s="70">
        <f>IFERROR(IF(VLOOKUP(A1936,[13]PRIORIZADOS!$A:$B,2,FALSE)="","",VLOOKUP(A1936,[13]PRIORIZADOS!$A:$B,2,FALSE)),"")</f>
        <v>11</v>
      </c>
      <c r="C1936" s="11" t="str">
        <f>IFERROR(IF(VLOOKUP(A1936,[13]PRIORIZADOS!$A:$C,3,FALSE)="","",VLOOKUP(A1936,[13]PRIORIZADOS!$A:$C,3,FALSE)),"")</f>
        <v xml:space="preserve">SANTA FE Y CANDELARIA </v>
      </c>
      <c r="D1936" s="11" t="str">
        <f>IFERROR(IF(VLOOKUP(A1936,[13]PRIORIZADOS!$A:$D,4,FALSE)="","",VLOOKUP(A1936,[13]PRIORIZADOS!$A:$D,4,FALSE)),"")</f>
        <v>OFICIAL</v>
      </c>
      <c r="E1936" s="11" t="str">
        <f>IFERROR(IF(VLOOKUP(A1936,[13]PRIORIZADOS!$A:$E,5,FALSE)="","",VLOOKUP(A1936,[13]PRIORIZADOS!$A:$E,5,FALSE)),"")</f>
        <v>EPBM</v>
      </c>
      <c r="F1936" s="11" t="str">
        <f>IFERROR(IF(VLOOKUP(A1936,[13]PRIORIZADOS!$A:$F,6,FALSE)="","",VLOOKUP(A1936,[13]PRIORIZADOS!$A:$F,6,FALSE)),"")</f>
        <v>COLEGIO_AULAS_COLOMBIANAS_SAN_LUIS_IED</v>
      </c>
      <c r="G1936" s="11" t="str">
        <f>IFERROR(IF(VLOOKUP(A1936,[13]PRIORIZADOS!$A:$G,7,FALSE)="","",VLOOKUP(A1936,[13]PRIORIZADOS!$A:$G,7,FALSE)),"")</f>
        <v>AULAS COLOMBIANAS EL CONSUELO</v>
      </c>
      <c r="H1936" s="11" t="str">
        <f>IFERROR(IF(VLOOKUP(A1936,[13]PRIORIZADOS!$A:$H,8,FALSE)="","",VLOOKUP(A1936,[13]PRIORIZADOS!$A:$H,8,FALSE)),"")</f>
        <v>Convivencia escolar</v>
      </c>
      <c r="I1936" s="11" t="str">
        <f>IFERROR(IF(VLOOKUP(A1936,[13]PRIORIZADOS!$A:$I,9,FALSE)="","",VLOOKUP(A1936,[13]PRIORIZADOS!$A:$I,9,FALSE)),"")</f>
        <v>EVALUACIÓN_CON_FINES_DE_MEJORAMIENTO.</v>
      </c>
      <c r="J1936" s="11" t="str">
        <f>IFERROR(IF(VLOOKUP(A1936,[13]PRIORIZADOS!$A:$J,10,FALSE)="","",VLOOKUP(A1936,[13]PRIORIZADOS!$A:$J,10,FALSE)),"")</f>
        <v>Verificar las condiciones en cuanto a: la estructura administrativa, condiciones de la planta física y medios educativos adecuados.</v>
      </c>
      <c r="K1936" s="11" t="str">
        <f>IFERROR(IF(VLOOKUP(A1936,[13]PRIORIZADOS!$A:$K,11,FALSE)="","",VLOOKUP(A1936,[13]PRIORIZADOS!$A:$K,11,FALSE)),"")</f>
        <v>DAMARIS RUT CÁRDENAS MORENO</v>
      </c>
      <c r="L1936" s="11" t="str">
        <f>IFERROR(IF(VLOOKUP(A1936,[13]PRIORIZADOS!$A:$L,12,FALSE)="","",VLOOKUP(A1936,[13]PRIORIZADOS!$A:$L,12,FALSE)),"")</f>
        <v xml:space="preserve">JORGE WILLIAM BONILLA ROMERO </v>
      </c>
      <c r="M1936" s="71">
        <f>IFERROR(IF(VLOOKUP(A1936,[13]PRIORIZADOS!$A:$M,13,FALSE)="","",VLOOKUP(A1936,[13]PRIORIZADOS!$A:$M,13,FALSE)),"")</f>
        <v>45881</v>
      </c>
      <c r="N1936" s="71">
        <f>IFERROR(IF(VLOOKUP(A1936,[13]PRIORIZADOS!$A:$N,14,FALSE)="","",VLOOKUP(A1936,[13]PRIORIZADOS!$A:$N,14,FALSE)),"")</f>
        <v>45881</v>
      </c>
      <c r="O1936" s="71">
        <f>IFERROR(IF(VLOOKUP(A1936,[13]PRIORIZADOS!$A:$O,15,FALSE)="","",VLOOKUP(A1936,[13]PRIORIZADOS!$A:$O,15,FALSE)),"")</f>
        <v>45881</v>
      </c>
      <c r="P1936" s="11" t="str">
        <f>IFERROR(IF(VLOOKUP(A1936,[13]PRIORIZADOS!$A:$P,16,FALSE)="","",VLOOKUP(A1936,[13]PRIORIZADOS!$A:$P,16,FALSE)),"")</f>
        <v>Visitas de evaluación con fines de mejoramiento</v>
      </c>
      <c r="Q1936" s="38" t="s">
        <v>419</v>
      </c>
      <c r="R1936" s="11" t="str">
        <f>IFERROR(IF(VLOOKUP(A1936,[13]PRIORIZADOS!$A:$R,18,FALSE)="","",VLOOKUP(A1936,[13]PRIORIZADOS!$A:$R,18,FALSE)),"")</f>
        <v>En sede C los espacios son suficientes sin embargo requieren mejoras en la dotación. Sede A tiene necesidades de mobiliario de Dirección de dotaciones. Sede B y Sede C se requiere servicio de internet. Sede A Y B no son espacios adaptados para estudiantes con movilidad reducida.</v>
      </c>
      <c r="S1936" s="11" t="str">
        <f>IFERROR(IF(VLOOKUP(A1936,[13]PRIORIZADOS!$A:$S,19,FALSE)="","",VLOOKUP(A1936,[13]PRIORIZADOS!$A:$S,19,FALSE)),"")</f>
        <v xml:space="preserve">Se sugiere al colegio gestionar con la SED adelantar diligencias en buscar de las mejores de la planta física de las distintas sedes. </v>
      </c>
      <c r="T1936" s="70" t="str">
        <f>IFERROR(IF(VLOOKUP(A1936,[13]PRIORIZADOS!$A:$T,20,FALSE)="","",VLOOKUP(A1936,[13]PRIORIZADOS!$A:$T,20,FALSE)),"")</f>
        <v>No</v>
      </c>
      <c r="U1936" s="11" t="str">
        <f>IFERROR(IF(VLOOKUP(A1936,[13]PRIORIZADOS!$A:$U,21,FALSE)="","",VLOOKUP(A1936,[13]PRIORIZADOS!$A:$U,21,FALSE)),"")</f>
        <v xml:space="preserve">Se solicita plan de mejoramiento para el 07 de noviembre de 2025.Se realizara seguimiento en vigencia 2026, puesto que no hay radicación de plan de mejoramiento en 2025 por parte de la institución educativa. </v>
      </c>
    </row>
    <row r="1937" spans="1:21" s="1" customFormat="1" ht="48">
      <c r="A1937" s="69">
        <f>IF([13]PRIORIZADOS!A100="","",[13]PRIORIZADOS!A100)</f>
        <v>1905</v>
      </c>
      <c r="B1937" s="70">
        <f>IFERROR(IF(VLOOKUP(A1937,[13]PRIORIZADOS!$A:$B,2,FALSE)="","",VLOOKUP(A1937,[13]PRIORIZADOS!$A:$B,2,FALSE)),"")</f>
        <v>12</v>
      </c>
      <c r="C1937" s="11" t="str">
        <f>IFERROR(IF(VLOOKUP(A1937,[13]PRIORIZADOS!$A:$C,3,FALSE)="","",VLOOKUP(A1937,[13]PRIORIZADOS!$A:$C,3,FALSE)),"")</f>
        <v xml:space="preserve">SANTA FE Y CANDELARIA </v>
      </c>
      <c r="D1937" s="11" t="str">
        <f>IFERROR(IF(VLOOKUP(A1937,[13]PRIORIZADOS!$A:$D,4,FALSE)="","",VLOOKUP(A1937,[13]PRIORIZADOS!$A:$D,4,FALSE)),"")</f>
        <v>PRIVADO</v>
      </c>
      <c r="E1937" s="11" t="str">
        <f>IFERROR(IF(VLOOKUP(A1937,[13]PRIORIZADOS!$A:$E,5,FALSE)="","",VLOOKUP(A1937,[13]PRIORIZADOS!$A:$E,5,FALSE)),"")</f>
        <v>EPBM</v>
      </c>
      <c r="F1937" s="11" t="str">
        <f>IFERROR(IF(VLOOKUP(A1937,[13]PRIORIZADOS!$A:$F,6,FALSE)="","",VLOOKUP(A1937,[13]PRIORIZADOS!$A:$F,6,FALSE)),"")</f>
        <v>LICEO_JULIO_CESAR_GARCIA</v>
      </c>
      <c r="G1937" s="11" t="str">
        <f>IFERROR(IF(VLOOKUP(A1937,[13]PRIORIZADOS!$A:$G,7,FALSE)="","",VLOOKUP(A1937,[13]PRIORIZADOS!$A:$G,7,FALSE)),"")</f>
        <v>LICEO JULIO CESAR GARCIA</v>
      </c>
      <c r="H1937" s="11" t="str">
        <f>IFERROR(IF(VLOOKUP(A1937,[13]PRIORIZADOS!$A:$H,8,FALSE)="","",VLOOKUP(A1937,[13]PRIORIZADOS!$A:$H,8,FALSE)),"")</f>
        <v>Autoevaluación Institucional y Pruebas SABER 11</v>
      </c>
      <c r="I1937" s="11" t="str">
        <f>IFERROR(IF(VLOOKUP(A1937,[13]PRIORIZADOS!$A:$I,9,FALSE)="","",VLOOKUP(A1937,[13]PRIORIZADOS!$A:$I,9,FALSE)),"")</f>
        <v>SEGUIMIENTO_Y_SUPERVISIÓN.</v>
      </c>
      <c r="J1937" s="11" t="str">
        <f>IFERROR(IF(VLOOKUP(A1937,[13]PRIORIZADOS!$A:$J,10,FALSE)="","",VLOOKUP(A1937,[13]PRIORIZADOS!$A:$J,10,FALSE)),"")</f>
        <v>Realizar visitas para verificar la información registrada sobre la autoevaluación institucional en el aplicativo EVI, a los establecimientos de educación formal no oficial.</v>
      </c>
      <c r="K1937" s="11" t="str">
        <f>IFERROR(IF(VLOOKUP(A1937,[13]PRIORIZADOS!$A:$K,11,FALSE)="","",VLOOKUP(A1937,[13]PRIORIZADOS!$A:$K,11,FALSE)),"")</f>
        <v>DAMARIS RUT CÁRDENAS MORENO</v>
      </c>
      <c r="L1937" s="11" t="str">
        <f>IFERROR(IF(VLOOKUP(A1937,[13]PRIORIZADOS!$A:$L,12,FALSE)="","",VLOOKUP(A1937,[13]PRIORIZADOS!$A:$L,12,FALSE)),"")</f>
        <v xml:space="preserve">JORGE WILLIAM BONILLA ROMERO </v>
      </c>
      <c r="M1937" s="71">
        <f>IFERROR(IF(VLOOKUP(A1937,[13]PRIORIZADOS!$A:$M,13,FALSE)="","",VLOOKUP(A1937,[13]PRIORIZADOS!$A:$M,13,FALSE)),"")</f>
        <v>45825</v>
      </c>
      <c r="N1937" s="71">
        <f>IFERROR(IF(VLOOKUP(A1937,[13]PRIORIZADOS!$A:$N,14,FALSE)="","",VLOOKUP(A1937,[13]PRIORIZADOS!$A:$N,14,FALSE)),"")</f>
        <v>45825</v>
      </c>
      <c r="O1937" s="71">
        <f>IFERROR(IF(VLOOKUP(A1937,[13]PRIORIZADOS!$A:$O,15,FALSE)="","",VLOOKUP(A1937,[13]PRIORIZADOS!$A:$O,15,FALSE)),"")</f>
        <v>45825</v>
      </c>
      <c r="P1937" s="11" t="str">
        <f>IFERROR(IF(VLOOKUP(A1937,[13]PRIORIZADOS!$A:$P,16,FALSE)="","",VLOOKUP(A1937,[13]PRIORIZADOS!$A:$P,16,FALSE)),"")</f>
        <v>Visitas de evaluación con fines de mejoramiento</v>
      </c>
      <c r="Q1937" s="122" t="s">
        <v>420</v>
      </c>
      <c r="R1937" s="11" t="str">
        <f>IFERROR(IF(VLOOKUP(A1937,[13]PRIORIZADOS!$A:$R,18,FALSE)="","",VLOOKUP(A1937,[13]PRIORIZADOS!$A:$R,18,FALSE)),"")</f>
        <v>En recorrido se encuentra coincidencia de espacios físicos con lo reportado en EVI, también información sobre contratación docente y pagos de seguridad social.</v>
      </c>
      <c r="S1937" s="11" t="str">
        <f>IFERROR(IF(VLOOKUP(A1937,[13]PRIORIZADOS!$A:$S,19,FALSE)="","",VLOOKUP(A1937,[13]PRIORIZADOS!$A:$S,19,FALSE)),"")</f>
        <v>Evaluar financieramente adaptación de espacios para personas con discapacidad</v>
      </c>
      <c r="T1937" s="70" t="str">
        <f>IFERROR(IF(VLOOKUP(A1937,[13]PRIORIZADOS!$A:$T,20,FALSE)="","",VLOOKUP(A1937,[13]PRIORIZADOS!$A:$T,20,FALSE)),"")</f>
        <v>No</v>
      </c>
      <c r="U1937" s="11" t="str">
        <f>IFERROR(IF(VLOOKUP(A1937,[13]PRIORIZADOS!$A:$U,21,FALSE)="","",VLOOKUP(A1937,[13]PRIORIZADOS!$A:$U,21,FALSE)),"")</f>
        <v>En revisión de autoevaluación de aplicativo EVI para vigencia 2026, se realizará seguimiento de la institución.</v>
      </c>
    </row>
    <row r="1938" spans="1:21" s="1" customFormat="1" ht="60">
      <c r="A1938" s="69">
        <f>IF([13]PRIORIZADOS!A101="","",[13]PRIORIZADOS!A101)</f>
        <v>1906</v>
      </c>
      <c r="B1938" s="70">
        <f>IFERROR(IF(VLOOKUP(A1938,[13]PRIORIZADOS!$A:$B,2,FALSE)="","",VLOOKUP(A1938,[13]PRIORIZADOS!$A:$B,2,FALSE)),"")</f>
        <v>12</v>
      </c>
      <c r="C1938" s="11" t="str">
        <f>IFERROR(IF(VLOOKUP(A1938,[13]PRIORIZADOS!$A:$C,3,FALSE)="","",VLOOKUP(A1938,[13]PRIORIZADOS!$A:$C,3,FALSE)),"")</f>
        <v xml:space="preserve">SANTA FE Y CANDELARIA </v>
      </c>
      <c r="D1938" s="11" t="str">
        <f>IFERROR(IF(VLOOKUP(A1938,[13]PRIORIZADOS!$A:$D,4,FALSE)="","",VLOOKUP(A1938,[13]PRIORIZADOS!$A:$D,4,FALSE)),"")</f>
        <v>PRIVADO</v>
      </c>
      <c r="E1938" s="11" t="str">
        <f>IFERROR(IF(VLOOKUP(A1938,[13]PRIORIZADOS!$A:$E,5,FALSE)="","",VLOOKUP(A1938,[13]PRIORIZADOS!$A:$E,5,FALSE)),"")</f>
        <v>EPBM</v>
      </c>
      <c r="F1938" s="11" t="str">
        <f>IFERROR(IF(VLOOKUP(A1938,[13]PRIORIZADOS!$A:$F,6,FALSE)="","",VLOOKUP(A1938,[13]PRIORIZADOS!$A:$F,6,FALSE)),"")</f>
        <v>LICEO_JULIO_CESAR_GARCIA</v>
      </c>
      <c r="G1938" s="11" t="str">
        <f>IFERROR(IF(VLOOKUP(A1938,[13]PRIORIZADOS!$A:$G,7,FALSE)="","",VLOOKUP(A1938,[13]PRIORIZADOS!$A:$G,7,FALSE)),"")</f>
        <v>LICEO JULIO CESAR GARCIA</v>
      </c>
      <c r="H1938" s="11" t="str">
        <f>IFERROR(IF(VLOOKUP(A1938,[13]PRIORIZADOS!$A:$H,8,FALSE)="","",VLOOKUP(A1938,[13]PRIORIZADOS!$A:$H,8,FALSE)),"")</f>
        <v>Autoevaluación Institucional y Pruebas SABER 11</v>
      </c>
      <c r="I1938" s="11" t="str">
        <f>IFERROR(IF(VLOOKUP(A1938,[13]PRIORIZADOS!$A:$I,9,FALSE)="","",VLOOKUP(A1938,[13]PRIORIZADOS!$A:$I,9,FALSE)),"")</f>
        <v>SEGUIMIENTO_Y_SUPERVISIÓN.</v>
      </c>
      <c r="J1938" s="11" t="str">
        <f>IFERROR(IF(VLOOKUP(A1938,[13]PRIORIZADOS!$A:$J,10,FALSE)="","",VLOOKUP(A1938,[13]PRIORIZADOS!$A:$J,10,FALSE)),"")</f>
        <v>Proponer estrategias en la formulación, verificar su elaboración y realizar seguimiento semestral al desarrollo de  las acciones establecidas en los planes de mejoramiento por pruebas SABER 11 de los establecimientos de educación formal.</v>
      </c>
      <c r="K1938" s="11" t="str">
        <f>IFERROR(IF(VLOOKUP(A1938,[13]PRIORIZADOS!$A:$K,11,FALSE)="","",VLOOKUP(A1938,[13]PRIORIZADOS!$A:$K,11,FALSE)),"")</f>
        <v>DAMARIS RUT CÁRDENAS MORENO</v>
      </c>
      <c r="L1938" s="11" t="str">
        <f>IFERROR(IF(VLOOKUP(A1938,[13]PRIORIZADOS!$A:$L,12,FALSE)="","",VLOOKUP(A1938,[13]PRIORIZADOS!$A:$L,12,FALSE)),"")</f>
        <v xml:space="preserve">JORGE WILLIAM BONILLA ROMERO </v>
      </c>
      <c r="M1938" s="71">
        <f>IFERROR(IF(VLOOKUP(A1938,[13]PRIORIZADOS!$A:$M,13,FALSE)="","",VLOOKUP(A1938,[13]PRIORIZADOS!$A:$M,13,FALSE)),"")</f>
        <v>45825</v>
      </c>
      <c r="N1938" s="71">
        <f>IFERROR(IF(VLOOKUP(A1938,[13]PRIORIZADOS!$A:$N,14,FALSE)="","",VLOOKUP(A1938,[13]PRIORIZADOS!$A:$N,14,FALSE)),"")</f>
        <v>45825</v>
      </c>
      <c r="O1938" s="71">
        <f>IFERROR(IF(VLOOKUP(A1938,[13]PRIORIZADOS!$A:$O,15,FALSE)="","",VLOOKUP(A1938,[13]PRIORIZADOS!$A:$O,15,FALSE)),"")</f>
        <v>45825</v>
      </c>
      <c r="P1938" s="11" t="str">
        <f>IFERROR(IF(VLOOKUP(A1938,[13]PRIORIZADOS!$A:$P,16,FALSE)="","",VLOOKUP(A1938,[13]PRIORIZADOS!$A:$P,16,FALSE)),"")</f>
        <v>Visitas de evaluación con fines de mejoramiento</v>
      </c>
      <c r="Q1938" s="122" t="s">
        <v>420</v>
      </c>
      <c r="R1938" s="11" t="str">
        <f>IFERROR(IF(VLOOKUP(A1938,[13]PRIORIZADOS!$A:$R,18,FALSE)="","",VLOOKUP(A1938,[13]PRIORIZADOS!$A:$R,18,FALSE)),"")</f>
        <v xml:space="preserve">Existen acciones dispersas no articuladas al PEI, no como una política de la institución educativa pero hacen parte de las estrategias de evaluación. </v>
      </c>
      <c r="S1938" s="11" t="str">
        <f>IFERROR(IF(VLOOKUP(A1938,[13]PRIORIZADOS!$A:$S,19,FALSE)="","",VLOOKUP(A1938,[13]PRIORIZADOS!$A:$S,19,FALSE)),"")</f>
        <v xml:space="preserve">Es necesario que desde estamentos de gobierno escolar como las Comisiones de evaluación, consejo académico y consejo directivo, adoptar estrategias de mejoramiento sobre Pruebas Saber 11. </v>
      </c>
      <c r="T1938" s="70" t="str">
        <f>IFERROR(IF(VLOOKUP(A1938,[13]PRIORIZADOS!$A:$T,20,FALSE)="","",VLOOKUP(A1938,[13]PRIORIZADOS!$A:$T,20,FALSE)),"")</f>
        <v>Si</v>
      </c>
      <c r="U1938" s="11" t="str">
        <f>IFERROR(IF(VLOOKUP(A1938,[13]PRIORIZADOS!$A:$U,21,FALSE)="","",VLOOKUP(A1938,[13]PRIORIZADOS!$A:$U,21,FALSE)),"")</f>
        <v xml:space="preserve">EL colegio entregará plan de mejoramiento para el mes de agosto de 2025. Se realizara seguimiento en vigencia 2026, puesto que no hay radicación de plan de mejoramiento en 2025 por parte de la institución educativa. </v>
      </c>
    </row>
    <row r="1939" spans="1:21" s="1" customFormat="1" ht="48">
      <c r="A1939" s="69">
        <f>IF([13]PRIORIZADOS!A102="","",[13]PRIORIZADOS!A102)</f>
        <v>1907</v>
      </c>
      <c r="B1939" s="70">
        <f>IFERROR(IF(VLOOKUP(A1939,[13]PRIORIZADOS!$A:$B,2,FALSE)="","",VLOOKUP(A1939,[13]PRIORIZADOS!$A:$B,2,FALSE)),"")</f>
        <v>12</v>
      </c>
      <c r="C1939" s="11" t="str">
        <f>IFERROR(IF(VLOOKUP(A1939,[13]PRIORIZADOS!$A:$C,3,FALSE)="","",VLOOKUP(A1939,[13]PRIORIZADOS!$A:$C,3,FALSE)),"")</f>
        <v xml:space="preserve">SANTA FE Y CANDELARIA </v>
      </c>
      <c r="D1939" s="11" t="str">
        <f>IFERROR(IF(VLOOKUP(A1939,[13]PRIORIZADOS!$A:$D,4,FALSE)="","",VLOOKUP(A1939,[13]PRIORIZADOS!$A:$D,4,FALSE)),"")</f>
        <v>PRIVADO</v>
      </c>
      <c r="E1939" s="11" t="str">
        <f>IFERROR(IF(VLOOKUP(A1939,[13]PRIORIZADOS!$A:$E,5,FALSE)="","",VLOOKUP(A1939,[13]PRIORIZADOS!$A:$E,5,FALSE)),"")</f>
        <v>EPBM</v>
      </c>
      <c r="F1939" s="11" t="str">
        <f>IFERROR(IF(VLOOKUP(A1939,[13]PRIORIZADOS!$A:$F,6,FALSE)="","",VLOOKUP(A1939,[13]PRIORIZADOS!$A:$F,6,FALSE)),"")</f>
        <v>LICEO_JULIO_CESAR_GARCIA</v>
      </c>
      <c r="G1939" s="11" t="str">
        <f>IFERROR(IF(VLOOKUP(A1939,[13]PRIORIZADOS!$A:$G,7,FALSE)="","",VLOOKUP(A1939,[13]PRIORIZADOS!$A:$G,7,FALSE)),"")</f>
        <v>LICEO JULIO CESAR GARCIA</v>
      </c>
      <c r="H1939" s="11" t="str">
        <f>IFERROR(IF(VLOOKUP(A1939,[13]PRIORIZADOS!$A:$H,8,FALSE)="","",VLOOKUP(A1939,[13]PRIORIZADOS!$A:$H,8,FALSE)),"")</f>
        <v>Autoevaluación Institucional y Pruebas SABER 11</v>
      </c>
      <c r="I1939" s="11" t="str">
        <f>IFERROR(IF(VLOOKUP(A1939,[13]PRIORIZADOS!$A:$I,9,FALSE)="","",VLOOKUP(A1939,[13]PRIORIZADOS!$A:$I,9,FALSE)),"")</f>
        <v>SEGUIMIENTO_Y_SUPERVISIÓN.</v>
      </c>
      <c r="J1939" s="11" t="str">
        <f>IFERROR(IF(VLOOKUP(A1939,[13]PRIORIZADOS!$A:$J,10,FALSE)="","",VLOOKUP(A1939,[13]PRIORIZADOS!$A:$J,10,FALSE)),"")</f>
        <v xml:space="preserve">Verificar la implementación por parte de los colegios, de acciones realizadas para la prevención y atención de las situaciones de convivencia en el entorno escolar, según lo establecido en la Directiva 01 de 2022 del MEN. </v>
      </c>
      <c r="K1939" s="11" t="str">
        <f>IFERROR(IF(VLOOKUP(A1939,[13]PRIORIZADOS!$A:$K,11,FALSE)="","",VLOOKUP(A1939,[13]PRIORIZADOS!$A:$K,11,FALSE)),"")</f>
        <v>DAMARIS RUT CÁRDENAS MORENO</v>
      </c>
      <c r="L1939" s="11" t="str">
        <f>IFERROR(IF(VLOOKUP(A1939,[13]PRIORIZADOS!$A:$L,12,FALSE)="","",VLOOKUP(A1939,[13]PRIORIZADOS!$A:$L,12,FALSE)),"")</f>
        <v xml:space="preserve">JORGE WILLIAM BONILLA ROMERO </v>
      </c>
      <c r="M1939" s="71">
        <f>IFERROR(IF(VLOOKUP(A1939,[13]PRIORIZADOS!$A:$M,13,FALSE)="","",VLOOKUP(A1939,[13]PRIORIZADOS!$A:$M,13,FALSE)),"")</f>
        <v>45825</v>
      </c>
      <c r="N1939" s="71">
        <f>IFERROR(IF(VLOOKUP(A1939,[13]PRIORIZADOS!$A:$N,14,FALSE)="","",VLOOKUP(A1939,[13]PRIORIZADOS!$A:$N,14,FALSE)),"")</f>
        <v>45825</v>
      </c>
      <c r="O1939" s="71">
        <f>IFERROR(IF(VLOOKUP(A1939,[13]PRIORIZADOS!$A:$O,15,FALSE)="","",VLOOKUP(A1939,[13]PRIORIZADOS!$A:$O,15,FALSE)),"")</f>
        <v>45825</v>
      </c>
      <c r="P1939" s="11" t="str">
        <f>IFERROR(IF(VLOOKUP(A1939,[13]PRIORIZADOS!$A:$P,16,FALSE)="","",VLOOKUP(A1939,[13]PRIORIZADOS!$A:$P,16,FALSE)),"")</f>
        <v>Visitas de evaluación con fines de mejoramiento</v>
      </c>
      <c r="Q1939" s="122" t="s">
        <v>420</v>
      </c>
      <c r="R1939" s="11" t="str">
        <f>IFERROR(IF(VLOOKUP(A1939,[13]PRIORIZADOS!$A:$R,18,FALSE)="","",VLOOKUP(A1939,[13]PRIORIZADOS!$A:$R,18,FALSE)),"")</f>
        <v xml:space="preserve">Se encuentra evidencia documental hasta el mes de julio relacionada con antecedentes de delitos sexuales como indica la Directiva 01. </v>
      </c>
      <c r="S1939" s="11" t="str">
        <f>IFERROR(IF(VLOOKUP(A1939,[13]PRIORIZADOS!$A:$S,19,FALSE)="","",VLOOKUP(A1939,[13]PRIORIZADOS!$A:$S,19,FALSE)),"")</f>
        <v xml:space="preserve">Se invita a colegio a continuar fortaleciendo procesos de implementación y socialización de la directiva. </v>
      </c>
      <c r="T1939" s="70" t="str">
        <f>IFERROR(IF(VLOOKUP(A1939,[13]PRIORIZADOS!$A:$T,20,FALSE)="","",VLOOKUP(A1939,[13]PRIORIZADOS!$A:$T,20,FALSE)),"")</f>
        <v>No</v>
      </c>
      <c r="U1939" s="11" t="str">
        <f>IFERROR(IF(VLOOKUP(A1939,[13]PRIORIZADOS!$A:$U,21,FALSE)="","",VLOOKUP(A1939,[13]PRIORIZADOS!$A:$U,21,FALSE)),"")</f>
        <v>En mesa de rectores se realizará capacitación sobre las acciones derivadas de la Directiva 01 de 2022 del MEN.</v>
      </c>
    </row>
    <row r="1940" spans="1:21" s="1" customFormat="1" ht="72">
      <c r="A1940" s="69">
        <f>IF([13]PRIORIZADOS!A103="","",[13]PRIORIZADOS!A103)</f>
        <v>1908</v>
      </c>
      <c r="B1940" s="70">
        <f>IFERROR(IF(VLOOKUP(A1940,[13]PRIORIZADOS!$A:$B,2,FALSE)="","",VLOOKUP(A1940,[13]PRIORIZADOS!$A:$B,2,FALSE)),"")</f>
        <v>12</v>
      </c>
      <c r="C1940" s="11" t="str">
        <f>IFERROR(IF(VLOOKUP(A1940,[13]PRIORIZADOS!$A:$C,3,FALSE)="","",VLOOKUP(A1940,[13]PRIORIZADOS!$A:$C,3,FALSE)),"")</f>
        <v xml:space="preserve">SANTA FE Y CANDELARIA </v>
      </c>
      <c r="D1940" s="11" t="str">
        <f>IFERROR(IF(VLOOKUP(A1940,[13]PRIORIZADOS!$A:$D,4,FALSE)="","",VLOOKUP(A1940,[13]PRIORIZADOS!$A:$D,4,FALSE)),"")</f>
        <v>PRIVADO</v>
      </c>
      <c r="E1940" s="11" t="str">
        <f>IFERROR(IF(VLOOKUP(A1940,[13]PRIORIZADOS!$A:$E,5,FALSE)="","",VLOOKUP(A1940,[13]PRIORIZADOS!$A:$E,5,FALSE)),"")</f>
        <v>EPBM</v>
      </c>
      <c r="F1940" s="11" t="str">
        <f>IFERROR(IF(VLOOKUP(A1940,[13]PRIORIZADOS!$A:$F,6,FALSE)="","",VLOOKUP(A1940,[13]PRIORIZADOS!$A:$F,6,FALSE)),"")</f>
        <v>LICEO_JULIO_CESAR_GARCIA</v>
      </c>
      <c r="G1940" s="11" t="str">
        <f>IFERROR(IF(VLOOKUP(A1940,[13]PRIORIZADOS!$A:$G,7,FALSE)="","",VLOOKUP(A1940,[13]PRIORIZADOS!$A:$G,7,FALSE)),"")</f>
        <v>LICEO JULIO CESAR GARCIA</v>
      </c>
      <c r="H1940" s="11" t="str">
        <f>IFERROR(IF(VLOOKUP(A1940,[13]PRIORIZADOS!$A:$H,8,FALSE)="","",VLOOKUP(A1940,[13]PRIORIZADOS!$A:$H,8,FALSE)),"")</f>
        <v>Autoevaluación Institucional y Pruebas SABER 11</v>
      </c>
      <c r="I1940" s="11" t="str">
        <f>IFERROR(IF(VLOOKUP(A1940,[13]PRIORIZADOS!$A:$I,9,FALSE)="","",VLOOKUP(A1940,[13]PRIORIZADOS!$A:$I,9,FALSE)),"")</f>
        <v>SEGUIMIENTO_Y_SUPERVISIÓN.</v>
      </c>
      <c r="J1940" s="11" t="str">
        <f>IFERROR(IF(VLOOKUP(A1940,[13]PRIORIZADOS!$A:$J,10,FALSE)="","",VLOOKUP(A1940,[13]PRIORIZADOS!$A:$J,10,FALSE)),"")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40" s="11" t="str">
        <f>IFERROR(IF(VLOOKUP(A1940,[13]PRIORIZADOS!$A:$K,11,FALSE)="","",VLOOKUP(A1940,[13]PRIORIZADOS!$A:$K,11,FALSE)),"")</f>
        <v>DAMARIS RUT CÁRDENAS MORENO</v>
      </c>
      <c r="L1940" s="11" t="str">
        <f>IFERROR(IF(VLOOKUP(A1940,[13]PRIORIZADOS!$A:$L,12,FALSE)="","",VLOOKUP(A1940,[13]PRIORIZADOS!$A:$L,12,FALSE)),"")</f>
        <v xml:space="preserve">JORGE WILLIAM BONILLA ROMERO </v>
      </c>
      <c r="M1940" s="71">
        <f>IFERROR(IF(VLOOKUP(A1940,[13]PRIORIZADOS!$A:$M,13,FALSE)="","",VLOOKUP(A1940,[13]PRIORIZADOS!$A:$M,13,FALSE)),"")</f>
        <v>45825</v>
      </c>
      <c r="N1940" s="71">
        <f>IFERROR(IF(VLOOKUP(A1940,[13]PRIORIZADOS!$A:$N,14,FALSE)="","",VLOOKUP(A1940,[13]PRIORIZADOS!$A:$N,14,FALSE)),"")</f>
        <v>45825</v>
      </c>
      <c r="O1940" s="71">
        <f>IFERROR(IF(VLOOKUP(A1940,[13]PRIORIZADOS!$A:$O,15,FALSE)="","",VLOOKUP(A1940,[13]PRIORIZADOS!$A:$O,15,FALSE)),"")</f>
        <v>45825</v>
      </c>
      <c r="P1940" s="11" t="str">
        <f>IFERROR(IF(VLOOKUP(A1940,[13]PRIORIZADOS!$A:$P,16,FALSE)="","",VLOOKUP(A1940,[13]PRIORIZADOS!$A:$P,16,FALSE)),"")</f>
        <v>Visitas de evaluación con fines de mejoramiento</v>
      </c>
      <c r="Q1940" s="122" t="s">
        <v>420</v>
      </c>
      <c r="R1940" s="11" t="str">
        <f>IFERROR(IF(VLOOKUP(A1940,[13]PRIORIZADOS!$A:$R,18,FALSE)="","",VLOOKUP(A1940,[13]PRIORIZADOS!$A:$R,18,FALSE)),"")</f>
        <v xml:space="preserve">El colegio manifiesta no tener estudiantes con PIAR; sin embargo, en SIMAT se evidencian 3 marcados con discapacidad y el colegio tiene casos con posibles indicios de necesidad de acompañamiento. </v>
      </c>
      <c r="S1940" s="11" t="str">
        <f>IFERROR(IF(VLOOKUP(A1940,[13]PRIORIZADOS!$A:$S,19,FALSE)="","",VLOOKUP(A1940,[13]PRIORIZADOS!$A:$S,19,FALSE)),"")</f>
        <v xml:space="preserve">Se solicita al colegio revisar formato PIAR e implementar con estudiantes que tengan los indicios, y revisar aplicativo SIMAT para realizar la actualización respectiva. </v>
      </c>
      <c r="T1940" s="70" t="str">
        <f>IFERROR(IF(VLOOKUP(A1940,[13]PRIORIZADOS!$A:$T,20,FALSE)="","",VLOOKUP(A1940,[13]PRIORIZADOS!$A:$T,20,FALSE)),"")</f>
        <v>Si</v>
      </c>
      <c r="U1940" s="11" t="str">
        <f>IFERROR(IF(VLOOKUP(A1940,[13]PRIORIZADOS!$A:$U,21,FALSE)="","",VLOOKUP(A1940,[13]PRIORIZADOS!$A:$U,21,FALSE)),"")</f>
        <v xml:space="preserve">EL colegio entregará plan de mejoramiento para el mes de agosto de 2025. Se realizara seguimiento en vigencia 2026, puesto que no hay radicación de plan de mejoramiento en 2025 por parte de la institución educativa. </v>
      </c>
    </row>
    <row r="1941" spans="1:21" s="1" customFormat="1" ht="84">
      <c r="A1941" s="69">
        <f>IF([13]PRIORIZADOS!A104="","",[13]PRIORIZADOS!A104)</f>
        <v>1909</v>
      </c>
      <c r="B1941" s="70">
        <f>IFERROR(IF(VLOOKUP(A1941,[13]PRIORIZADOS!$A:$B,2,FALSE)="","",VLOOKUP(A1941,[13]PRIORIZADOS!$A:$B,2,FALSE)),"")</f>
        <v>12</v>
      </c>
      <c r="C1941" s="11" t="str">
        <f>IFERROR(IF(VLOOKUP(A1941,[13]PRIORIZADOS!$A:$C,3,FALSE)="","",VLOOKUP(A1941,[13]PRIORIZADOS!$A:$C,3,FALSE)),"")</f>
        <v xml:space="preserve">SANTA FE Y CANDELARIA </v>
      </c>
      <c r="D1941" s="11" t="str">
        <f>IFERROR(IF(VLOOKUP(A1941,[13]PRIORIZADOS!$A:$D,4,FALSE)="","",VLOOKUP(A1941,[13]PRIORIZADOS!$A:$D,4,FALSE)),"")</f>
        <v>PRIVADO</v>
      </c>
      <c r="E1941" s="11" t="str">
        <f>IFERROR(IF(VLOOKUP(A1941,[13]PRIORIZADOS!$A:$E,5,FALSE)="","",VLOOKUP(A1941,[13]PRIORIZADOS!$A:$E,5,FALSE)),"")</f>
        <v>EPBM</v>
      </c>
      <c r="F1941" s="11" t="str">
        <f>IFERROR(IF(VLOOKUP(A1941,[13]PRIORIZADOS!$A:$F,6,FALSE)="","",VLOOKUP(A1941,[13]PRIORIZADOS!$A:$F,6,FALSE)),"")</f>
        <v>LICEO_JULIO_CESAR_GARCIA</v>
      </c>
      <c r="G1941" s="11" t="str">
        <f>IFERROR(IF(VLOOKUP(A1941,[13]PRIORIZADOS!$A:$G,7,FALSE)="","",VLOOKUP(A1941,[13]PRIORIZADOS!$A:$G,7,FALSE)),"")</f>
        <v>LICEO JULIO CESAR GARCIA</v>
      </c>
      <c r="H1941" s="11" t="str">
        <f>IFERROR(IF(VLOOKUP(A1941,[13]PRIORIZADOS!$A:$H,8,FALSE)="","",VLOOKUP(A1941,[13]PRIORIZADOS!$A:$H,8,FALSE)),"")</f>
        <v>Autoevaluación Institucional y Pruebas SABER 11</v>
      </c>
      <c r="I1941" s="11" t="str">
        <f>IFERROR(IF(VLOOKUP(A1941,[13]PRIORIZADOS!$A:$I,9,FALSE)="","",VLOOKUP(A1941,[13]PRIORIZADOS!$A:$I,9,FALSE)),"")</f>
        <v>EVALUACIÓN_CON_FINES_DE_MEJORAMIENTO.</v>
      </c>
      <c r="J1941" s="11" t="str">
        <f>IFERROR(IF(VLOOKUP(A1941,[13]PRIORIZADOS!$A:$J,10,FALSE)="","",VLOOKUP(A1941,[13]PRIORIZADOS!$A:$J,10,FALSE)),"")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41" s="11" t="str">
        <f>IFERROR(IF(VLOOKUP(A1941,[13]PRIORIZADOS!$A:$K,11,FALSE)="","",VLOOKUP(A1941,[13]PRIORIZADOS!$A:$K,11,FALSE)),"")</f>
        <v>DAMARIS RUT CÁRDENAS MORENO</v>
      </c>
      <c r="L1941" s="11" t="str">
        <f>IFERROR(IF(VLOOKUP(A1941,[13]PRIORIZADOS!$A:$L,12,FALSE)="","",VLOOKUP(A1941,[13]PRIORIZADOS!$A:$L,12,FALSE)),"")</f>
        <v xml:space="preserve">JORGE WILLIAM BONILLA ROMERO </v>
      </c>
      <c r="M1941" s="71">
        <f>IFERROR(IF(VLOOKUP(A1941,[13]PRIORIZADOS!$A:$M,13,FALSE)="","",VLOOKUP(A1941,[13]PRIORIZADOS!$A:$M,13,FALSE)),"")</f>
        <v>45825</v>
      </c>
      <c r="N1941" s="71">
        <f>IFERROR(IF(VLOOKUP(A1941,[13]PRIORIZADOS!$A:$N,14,FALSE)="","",VLOOKUP(A1941,[13]PRIORIZADOS!$A:$N,14,FALSE)),"")</f>
        <v>45825</v>
      </c>
      <c r="O1941" s="71">
        <f>IFERROR(IF(VLOOKUP(A1941,[13]PRIORIZADOS!$A:$O,15,FALSE)="","",VLOOKUP(A1941,[13]PRIORIZADOS!$A:$O,15,FALSE)),"")</f>
        <v>45825</v>
      </c>
      <c r="P1941" s="11" t="str">
        <f>IFERROR(IF(VLOOKUP(A1941,[13]PRIORIZADOS!$A:$P,16,FALSE)="","",VLOOKUP(A1941,[13]PRIORIZADOS!$A:$P,16,FALSE)),"")</f>
        <v>Visitas de evaluación con fines de mejoramiento</v>
      </c>
      <c r="Q1941" s="122" t="s">
        <v>420</v>
      </c>
      <c r="R1941" s="11" t="str">
        <f>IFERROR(IF(VLOOKUP(A1941,[13]PRIORIZADOS!$A:$R,18,FALSE)="","",VLOOKUP(A1941,[13]PRIORIZADOS!$A:$R,18,FALSE)),"")</f>
        <v xml:space="preserve">El documento fue participativo en el proceso de adopción, más no en la construcción, sin embargo el mismo no incorpora los enfoques de ley. </v>
      </c>
      <c r="S1941" s="11" t="str">
        <f>IFERROR(IF(VLOOKUP(A1941,[13]PRIORIZADOS!$A:$S,19,FALSE)="","",VLOOKUP(A1941,[13]PRIORIZADOS!$A:$S,19,FALSE)),"")</f>
        <v xml:space="preserve">Elaborar diagnóstico de convivencia escolar, construir Plan de Convivencia Escolar revisando el debido proceso y el abordaje de enfoques de género y de justicia restaurativa. </v>
      </c>
      <c r="T1941" s="70" t="str">
        <f>IFERROR(IF(VLOOKUP(A1941,[13]PRIORIZADOS!$A:$T,20,FALSE)="","",VLOOKUP(A1941,[13]PRIORIZADOS!$A:$T,20,FALSE)),"")</f>
        <v>Si</v>
      </c>
      <c r="U1941" s="11" t="str">
        <f>IFERROR(IF(VLOOKUP(A1941,[13]PRIORIZADOS!$A:$U,21,FALSE)="","",VLOOKUP(A1941,[13]PRIORIZADOS!$A:$U,21,FALSE)),"")</f>
        <v xml:space="preserve">El colegio entregará plan de mejoramiento para el mes de agosto de 2025. Se realizara seguimiento en vigencia 2026, puesto que no hay radicación de plan de mejoramiento en 2025 por parte de la institución educativa. </v>
      </c>
    </row>
    <row r="1942" spans="1:21" s="1" customFormat="1" ht="48">
      <c r="A1942" s="69">
        <f>IF([13]PRIORIZADOS!A105="","",[13]PRIORIZADOS!A105)</f>
        <v>1910</v>
      </c>
      <c r="B1942" s="70">
        <f>IFERROR(IF(VLOOKUP(A1942,[13]PRIORIZADOS!$A:$B,2,FALSE)="","",VLOOKUP(A1942,[13]PRIORIZADOS!$A:$B,2,FALSE)),"")</f>
        <v>12</v>
      </c>
      <c r="C1942" s="11" t="str">
        <f>IFERROR(IF(VLOOKUP(A1942,[13]PRIORIZADOS!$A:$C,3,FALSE)="","",VLOOKUP(A1942,[13]PRIORIZADOS!$A:$C,3,FALSE)),"")</f>
        <v xml:space="preserve">SANTA FE Y CANDELARIA </v>
      </c>
      <c r="D1942" s="11" t="str">
        <f>IFERROR(IF(VLOOKUP(A1942,[13]PRIORIZADOS!$A:$D,4,FALSE)="","",VLOOKUP(A1942,[13]PRIORIZADOS!$A:$D,4,FALSE)),"")</f>
        <v>PRIVADO</v>
      </c>
      <c r="E1942" s="11" t="str">
        <f>IFERROR(IF(VLOOKUP(A1942,[13]PRIORIZADOS!$A:$E,5,FALSE)="","",VLOOKUP(A1942,[13]PRIORIZADOS!$A:$E,5,FALSE)),"")</f>
        <v>EPBM</v>
      </c>
      <c r="F1942" s="11" t="str">
        <f>IFERROR(IF(VLOOKUP(A1942,[13]PRIORIZADOS!$A:$F,6,FALSE)="","",VLOOKUP(A1942,[13]PRIORIZADOS!$A:$F,6,FALSE)),"")</f>
        <v>LICEO_JULIO_CESAR_GARCIA</v>
      </c>
      <c r="G1942" s="11" t="str">
        <f>IFERROR(IF(VLOOKUP(A1942,[13]PRIORIZADOS!$A:$G,7,FALSE)="","",VLOOKUP(A1942,[13]PRIORIZADOS!$A:$G,7,FALSE)),"")</f>
        <v>LICEO JULIO CESAR GARCIA</v>
      </c>
      <c r="H1942" s="11" t="str">
        <f>IFERROR(IF(VLOOKUP(A1942,[13]PRIORIZADOS!$A:$H,8,FALSE)="","",VLOOKUP(A1942,[13]PRIORIZADOS!$A:$H,8,FALSE)),"")</f>
        <v>Autoevaluación Institucional y Pruebas SABER 11</v>
      </c>
      <c r="I1942" s="11" t="str">
        <f>IFERROR(IF(VLOOKUP(A1942,[13]PRIORIZADOS!$A:$I,9,FALSE)="","",VLOOKUP(A1942,[13]PRIORIZADOS!$A:$I,9,FALSE)),"")</f>
        <v>EVALUACIÓN_CON_FINES_DE_MEJORAMIENTO.</v>
      </c>
      <c r="J1942" s="11" t="str">
        <f>IFERROR(IF(VLOOKUP(A1942,[13]PRIORIZADOS!$A:$J,10,FALSE)="","",VLOOKUP(A1942,[13]PRIORIZADOS!$A:$J,10,FALSE)),"")</f>
        <v>Revisar la actualización, socialización e implementación del Sistema Institucional de Evaluación de Estudiantes - SIEE, en articulación con la actualización del PEI y la normatividad vigente.</v>
      </c>
      <c r="K1942" s="11" t="str">
        <f>IFERROR(IF(VLOOKUP(A1942,[13]PRIORIZADOS!$A:$K,11,FALSE)="","",VLOOKUP(A1942,[13]PRIORIZADOS!$A:$K,11,FALSE)),"")</f>
        <v>DAMARIS RUT CÁRDENAS MORENO</v>
      </c>
      <c r="L1942" s="11" t="str">
        <f>IFERROR(IF(VLOOKUP(A1942,[13]PRIORIZADOS!$A:$L,12,FALSE)="","",VLOOKUP(A1942,[13]PRIORIZADOS!$A:$L,12,FALSE)),"")</f>
        <v xml:space="preserve">JORGE WILLIAM BONILLA ROMERO </v>
      </c>
      <c r="M1942" s="71">
        <f>IFERROR(IF(VLOOKUP(A1942,[13]PRIORIZADOS!$A:$M,13,FALSE)="","",VLOOKUP(A1942,[13]PRIORIZADOS!$A:$M,13,FALSE)),"")</f>
        <v>45825</v>
      </c>
      <c r="N1942" s="71">
        <f>IFERROR(IF(VLOOKUP(A1942,[13]PRIORIZADOS!$A:$N,14,FALSE)="","",VLOOKUP(A1942,[13]PRIORIZADOS!$A:$N,14,FALSE)),"")</f>
        <v>45825</v>
      </c>
      <c r="O1942" s="71">
        <f>IFERROR(IF(VLOOKUP(A1942,[13]PRIORIZADOS!$A:$O,15,FALSE)="","",VLOOKUP(A1942,[13]PRIORIZADOS!$A:$O,15,FALSE)),"")</f>
        <v>45825</v>
      </c>
      <c r="P1942" s="11" t="str">
        <f>IFERROR(IF(VLOOKUP(A1942,[13]PRIORIZADOS!$A:$P,16,FALSE)="","",VLOOKUP(A1942,[13]PRIORIZADOS!$A:$P,16,FALSE)),"")</f>
        <v>Visitas de evaluación con fines de mejoramiento</v>
      </c>
      <c r="Q1942" s="122" t="s">
        <v>420</v>
      </c>
      <c r="R1942" s="11" t="str">
        <f>IFERROR(IF(VLOOKUP(A1942,[13]PRIORIZADOS!$A:$R,18,FALSE)="","",VLOOKUP(A1942,[13]PRIORIZADOS!$A:$R,18,FALSE)),"")</f>
        <v>La última actualización de PEI corresponde al 2025, el organigrama no corresponde a la realidad institucional.</v>
      </c>
      <c r="S1942" s="11" t="str">
        <f>IFERROR(IF(VLOOKUP(A1942,[13]PRIORIZADOS!$A:$S,19,FALSE)="","",VLOOKUP(A1942,[13]PRIORIZADOS!$A:$S,19,FALSE)),"")</f>
        <v>EL colegio actualizará documentos, rediseñando organiza grama institucional, estructurando servicio social para 10 y 11, plan de formación docente.</v>
      </c>
      <c r="T1942" s="70" t="str">
        <f>IFERROR(IF(VLOOKUP(A1942,[13]PRIORIZADOS!$A:$T,20,FALSE)="","",VLOOKUP(A1942,[13]PRIORIZADOS!$A:$T,20,FALSE)),"")</f>
        <v>Si</v>
      </c>
      <c r="U1942" s="11" t="str">
        <f>IFERROR(IF(VLOOKUP(A1942,[13]PRIORIZADOS!$A:$U,21,FALSE)="","",VLOOKUP(A1942,[13]PRIORIZADOS!$A:$U,21,FALSE)),"")</f>
        <v xml:space="preserve">El colegio entregará plan de mejoramiento para el mes de agosto de 2025. Se realizara seguimiento en vigencia 2026, puesto que no hay radicación de plan de mejoramiento en 2025 por parte de la institución educativa. </v>
      </c>
    </row>
    <row r="1943" spans="1:21" s="1" customFormat="1" ht="48">
      <c r="A1943" s="69">
        <f>IF([13]PRIORIZADOS!A106="","",[13]PRIORIZADOS!A106)</f>
        <v>1911</v>
      </c>
      <c r="B1943" s="70">
        <f>IFERROR(IF(VLOOKUP(A1943,[13]PRIORIZADOS!$A:$B,2,FALSE)="","",VLOOKUP(A1943,[13]PRIORIZADOS!$A:$B,2,FALSE)),"")</f>
        <v>12</v>
      </c>
      <c r="C1943" s="11" t="str">
        <f>IFERROR(IF(VLOOKUP(A1943,[13]PRIORIZADOS!$A:$C,3,FALSE)="","",VLOOKUP(A1943,[13]PRIORIZADOS!$A:$C,3,FALSE)),"")</f>
        <v xml:space="preserve">SANTA FE Y CANDELARIA </v>
      </c>
      <c r="D1943" s="11" t="str">
        <f>IFERROR(IF(VLOOKUP(A1943,[13]PRIORIZADOS!$A:$D,4,FALSE)="","",VLOOKUP(A1943,[13]PRIORIZADOS!$A:$D,4,FALSE)),"")</f>
        <v>PRIVADO</v>
      </c>
      <c r="E1943" s="11" t="str">
        <f>IFERROR(IF(VLOOKUP(A1943,[13]PRIORIZADOS!$A:$E,5,FALSE)="","",VLOOKUP(A1943,[13]PRIORIZADOS!$A:$E,5,FALSE)),"")</f>
        <v>EPBM</v>
      </c>
      <c r="F1943" s="11" t="str">
        <f>IFERROR(IF(VLOOKUP(A1943,[13]PRIORIZADOS!$A:$F,6,FALSE)="","",VLOOKUP(A1943,[13]PRIORIZADOS!$A:$F,6,FALSE)),"")</f>
        <v>LICEO_JULIO_CESAR_GARCIA</v>
      </c>
      <c r="G1943" s="11" t="str">
        <f>IFERROR(IF(VLOOKUP(A1943,[13]PRIORIZADOS!$A:$G,7,FALSE)="","",VLOOKUP(A1943,[13]PRIORIZADOS!$A:$G,7,FALSE)),"")</f>
        <v>LICEO JULIO CESAR GARCIA</v>
      </c>
      <c r="H1943" s="11" t="str">
        <f>IFERROR(IF(VLOOKUP(A1943,[13]PRIORIZADOS!$A:$H,8,FALSE)="","",VLOOKUP(A1943,[13]PRIORIZADOS!$A:$H,8,FALSE)),"")</f>
        <v>Autoevaluación Institucional y Pruebas SABER 11</v>
      </c>
      <c r="I1943" s="11" t="str">
        <f>IFERROR(IF(VLOOKUP(A1943,[13]PRIORIZADOS!$A:$I,9,FALSE)="","",VLOOKUP(A1943,[13]PRIORIZADOS!$A:$I,9,FALSE)),"")</f>
        <v>EVALUACIÓN_CON_FINES_DE_MEJORAMIENTO.</v>
      </c>
      <c r="J1943" s="11" t="str">
        <f>IFERROR(IF(VLOOKUP(A1943,[13]PRIORIZADOS!$A:$J,10,FALSE)="","",VLOOKUP(A1943,[13]PRIORIZADOS!$A:$J,10,FALSE)),"")</f>
        <v>Revisar el calendario escolar, jornada escolar, la intensidad horaria mínima anual en cada nivel y las modificaciones que se realicen al mismo, de acuerdo con lo previsto en la normatividad vigente.</v>
      </c>
      <c r="K1943" s="11" t="str">
        <f>IFERROR(IF(VLOOKUP(A1943,[13]PRIORIZADOS!$A:$K,11,FALSE)="","",VLOOKUP(A1943,[13]PRIORIZADOS!$A:$K,11,FALSE)),"")</f>
        <v>DAMARIS RUT CÁRDENAS MORENO</v>
      </c>
      <c r="L1943" s="11" t="str">
        <f>IFERROR(IF(VLOOKUP(A1943,[13]PRIORIZADOS!$A:$L,12,FALSE)="","",VLOOKUP(A1943,[13]PRIORIZADOS!$A:$L,12,FALSE)),"")</f>
        <v xml:space="preserve">JORGE WILLIAM BONILLA ROMERO </v>
      </c>
      <c r="M1943" s="71">
        <f>IFERROR(IF(VLOOKUP(A1943,[13]PRIORIZADOS!$A:$M,13,FALSE)="","",VLOOKUP(A1943,[13]PRIORIZADOS!$A:$M,13,FALSE)),"")</f>
        <v>45825</v>
      </c>
      <c r="N1943" s="71">
        <f>IFERROR(IF(VLOOKUP(A1943,[13]PRIORIZADOS!$A:$N,14,FALSE)="","",VLOOKUP(A1943,[13]PRIORIZADOS!$A:$N,14,FALSE)),"")</f>
        <v>45825</v>
      </c>
      <c r="O1943" s="71">
        <f>IFERROR(IF(VLOOKUP(A1943,[13]PRIORIZADOS!$A:$O,15,FALSE)="","",VLOOKUP(A1943,[13]PRIORIZADOS!$A:$O,15,FALSE)),"")</f>
        <v>45825</v>
      </c>
      <c r="P1943" s="11" t="str">
        <f>IFERROR(IF(VLOOKUP(A1943,[13]PRIORIZADOS!$A:$P,16,FALSE)="","",VLOOKUP(A1943,[13]PRIORIZADOS!$A:$P,16,FALSE)),"")</f>
        <v>Visitas de evaluación con fines de mejoramiento</v>
      </c>
      <c r="Q1943" s="122" t="s">
        <v>420</v>
      </c>
      <c r="R1943" s="11" t="str">
        <f>IFERROR(IF(VLOOKUP(A1943,[13]PRIORIZADOS!$A:$R,18,FALSE)="","",VLOOKUP(A1943,[13]PRIORIZADOS!$A:$R,18,FALSE)),"")</f>
        <v>Se observa cumplimiento de lo informado en Calendario Escolar y lo reglado en la normativa relacionada.</v>
      </c>
      <c r="S1943" s="11" t="str">
        <f>IFERROR(IF(VLOOKUP(A1943,[13]PRIORIZADOS!$A:$S,19,FALSE)="","",VLOOKUP(A1943,[13]PRIORIZADOS!$A:$S,19,FALSE)),"")</f>
        <v xml:space="preserve">Continuar con el desarrollo del calendario académico y su respectiva implementación. </v>
      </c>
      <c r="T1943" s="70" t="str">
        <f>IFERROR(IF(VLOOKUP(A1943,[13]PRIORIZADOS!$A:$T,20,FALSE)="","",VLOOKUP(A1943,[13]PRIORIZADOS!$A:$T,20,FALSE)),"")</f>
        <v>No</v>
      </c>
      <c r="U1943" s="11" t="str">
        <f>IFERROR(IF(VLOOKUP(A1943,[13]PRIORIZADOS!$A:$U,21,FALSE)="","",VLOOKUP(A1943,[13]PRIORIZADOS!$A:$U,21,FALSE)),"")</f>
        <v xml:space="preserve">Se generará revisión de las condiciones de prestación del servicio para la siguiente vigencia. </v>
      </c>
    </row>
    <row r="1944" spans="1:21" s="1" customFormat="1" ht="48">
      <c r="A1944" s="69">
        <f>IF([13]PRIORIZADOS!A107="","",[13]PRIORIZADOS!A107)</f>
        <v>1912</v>
      </c>
      <c r="B1944" s="70">
        <f>IFERROR(IF(VLOOKUP(A1944,[13]PRIORIZADOS!$A:$B,2,FALSE)="","",VLOOKUP(A1944,[13]PRIORIZADOS!$A:$B,2,FALSE)),"")</f>
        <v>12</v>
      </c>
      <c r="C1944" s="11" t="str">
        <f>IFERROR(IF(VLOOKUP(A1944,[13]PRIORIZADOS!$A:$C,3,FALSE)="","",VLOOKUP(A1944,[13]PRIORIZADOS!$A:$C,3,FALSE)),"")</f>
        <v xml:space="preserve">SANTA FE Y CANDELARIA </v>
      </c>
      <c r="D1944" s="11" t="str">
        <f>IFERROR(IF(VLOOKUP(A1944,[13]PRIORIZADOS!$A:$D,4,FALSE)="","",VLOOKUP(A1944,[13]PRIORIZADOS!$A:$D,4,FALSE)),"")</f>
        <v>PRIVADO</v>
      </c>
      <c r="E1944" s="11" t="str">
        <f>IFERROR(IF(VLOOKUP(A1944,[13]PRIORIZADOS!$A:$E,5,FALSE)="","",VLOOKUP(A1944,[13]PRIORIZADOS!$A:$E,5,FALSE)),"")</f>
        <v>EPBM</v>
      </c>
      <c r="F1944" s="11" t="str">
        <f>IFERROR(IF(VLOOKUP(A1944,[13]PRIORIZADOS!$A:$F,6,FALSE)="","",VLOOKUP(A1944,[13]PRIORIZADOS!$A:$F,6,FALSE)),"")</f>
        <v>LICEO_JULIO_CESAR_GARCIA</v>
      </c>
      <c r="G1944" s="11" t="str">
        <f>IFERROR(IF(VLOOKUP(A1944,[13]PRIORIZADOS!$A:$G,7,FALSE)="","",VLOOKUP(A1944,[13]PRIORIZADOS!$A:$G,7,FALSE)),"")</f>
        <v>LICEO JULIO CESAR GARCIA</v>
      </c>
      <c r="H1944" s="11" t="str">
        <f>IFERROR(IF(VLOOKUP(A1944,[13]PRIORIZADOS!$A:$H,8,FALSE)="","",VLOOKUP(A1944,[13]PRIORIZADOS!$A:$H,8,FALSE)),"")</f>
        <v>Autoevaluación Institucional y Pruebas SABER 11</v>
      </c>
      <c r="I1944" s="11" t="str">
        <f>IFERROR(IF(VLOOKUP(A1944,[13]PRIORIZADOS!$A:$I,9,FALSE)="","",VLOOKUP(A1944,[13]PRIORIZADOS!$A:$I,9,FALSE)),"")</f>
        <v>EVALUACIÓN_CON_FINES_DE_MEJORAMIENTO.</v>
      </c>
      <c r="J1944" s="11" t="str">
        <f>IFERROR(IF(VLOOKUP(A1944,[13]PRIORIZADOS!$A:$J,10,FALSE)="","",VLOOKUP(A1944,[13]PRIORIZADOS!$A:$J,10,FALSE)),"")</f>
        <v>Verificar el funcionamiento del Gobierno Escolar e instancias de participación con base en la información sobre conformación reportada por la institución educativa.</v>
      </c>
      <c r="K1944" s="11" t="str">
        <f>IFERROR(IF(VLOOKUP(A1944,[13]PRIORIZADOS!$A:$K,11,FALSE)="","",VLOOKUP(A1944,[13]PRIORIZADOS!$A:$K,11,FALSE)),"")</f>
        <v>DAMARIS RUT CÁRDENAS MORENO</v>
      </c>
      <c r="L1944" s="11" t="str">
        <f>IFERROR(IF(VLOOKUP(A1944,[13]PRIORIZADOS!$A:$L,12,FALSE)="","",VLOOKUP(A1944,[13]PRIORIZADOS!$A:$L,12,FALSE)),"")</f>
        <v xml:space="preserve">JORGE WILLIAM BONILLA ROMERO </v>
      </c>
      <c r="M1944" s="71">
        <f>IFERROR(IF(VLOOKUP(A1944,[13]PRIORIZADOS!$A:$M,13,FALSE)="","",VLOOKUP(A1944,[13]PRIORIZADOS!$A:$M,13,FALSE)),"")</f>
        <v>45825</v>
      </c>
      <c r="N1944" s="71">
        <f>IFERROR(IF(VLOOKUP(A1944,[13]PRIORIZADOS!$A:$N,14,FALSE)="","",VLOOKUP(A1944,[13]PRIORIZADOS!$A:$N,14,FALSE)),"")</f>
        <v>45825</v>
      </c>
      <c r="O1944" s="71">
        <f>IFERROR(IF(VLOOKUP(A1944,[13]PRIORIZADOS!$A:$O,15,FALSE)="","",VLOOKUP(A1944,[13]PRIORIZADOS!$A:$O,15,FALSE)),"")</f>
        <v>45825</v>
      </c>
      <c r="P1944" s="11" t="str">
        <f>IFERROR(IF(VLOOKUP(A1944,[13]PRIORIZADOS!$A:$P,16,FALSE)="","",VLOOKUP(A1944,[13]PRIORIZADOS!$A:$P,16,FALSE)),"")</f>
        <v>Visitas de evaluación con fines de mejoramiento</v>
      </c>
      <c r="Q1944" s="122" t="s">
        <v>420</v>
      </c>
      <c r="R1944" s="11" t="str">
        <f>IFERROR(IF(VLOOKUP(A1944,[13]PRIORIZADOS!$A:$R,18,FALSE)="","",VLOOKUP(A1944,[13]PRIORIZADOS!$A:$R,18,FALSE)),"")</f>
        <v>Se observa cargue de actas de conformación, así como actas de reuniones que evidencian operatividad en el ejercicio de cada estamento.</v>
      </c>
      <c r="S1944" s="11" t="str">
        <f>IFERROR(IF(VLOOKUP(A1944,[13]PRIORIZADOS!$A:$S,19,FALSE)="","",VLOOKUP(A1944,[13]PRIORIZADOS!$A:$S,19,FALSE)),"")</f>
        <v xml:space="preserve">Continuar con el desarrollo del cronograma de actividades sean función de cada estamento del gobierno escolar. </v>
      </c>
      <c r="T1944" s="70" t="str">
        <f>IFERROR(IF(VLOOKUP(A1944,[13]PRIORIZADOS!$A:$T,20,FALSE)="","",VLOOKUP(A1944,[13]PRIORIZADOS!$A:$T,20,FALSE)),"")</f>
        <v>No</v>
      </c>
      <c r="U1944" s="11" t="str">
        <f>IFERROR(IF(VLOOKUP(A1944,[13]PRIORIZADOS!$A:$U,21,FALSE)="","",VLOOKUP(A1944,[13]PRIORIZADOS!$A:$U,21,FALSE)),"")</f>
        <v xml:space="preserve">Se generará revisión de las condiciones de prestación del servicio y conformación de cada uno de los estamentos de gobierno escolar para la siguiente vigencia. </v>
      </c>
    </row>
    <row r="1945" spans="1:21" s="1" customFormat="1" ht="60">
      <c r="A1945" s="69">
        <f>IF([13]PRIORIZADOS!A108="","",[13]PRIORIZADOS!A108)</f>
        <v>1913</v>
      </c>
      <c r="B1945" s="70">
        <f>IFERROR(IF(VLOOKUP(A1945,[13]PRIORIZADOS!$A:$B,2,FALSE)="","",VLOOKUP(A1945,[13]PRIORIZADOS!$A:$B,2,FALSE)),"")</f>
        <v>12</v>
      </c>
      <c r="C1945" s="11" t="str">
        <f>IFERROR(IF(VLOOKUP(A1945,[13]PRIORIZADOS!$A:$C,3,FALSE)="","",VLOOKUP(A1945,[13]PRIORIZADOS!$A:$C,3,FALSE)),"")</f>
        <v xml:space="preserve">SANTA FE Y CANDELARIA </v>
      </c>
      <c r="D1945" s="11" t="str">
        <f>IFERROR(IF(VLOOKUP(A1945,[13]PRIORIZADOS!$A:$D,4,FALSE)="","",VLOOKUP(A1945,[13]PRIORIZADOS!$A:$D,4,FALSE)),"")</f>
        <v>PRIVADO</v>
      </c>
      <c r="E1945" s="11" t="str">
        <f>IFERROR(IF(VLOOKUP(A1945,[13]PRIORIZADOS!$A:$E,5,FALSE)="","",VLOOKUP(A1945,[13]PRIORIZADOS!$A:$E,5,FALSE)),"")</f>
        <v>EPBM</v>
      </c>
      <c r="F1945" s="11" t="str">
        <f>IFERROR(IF(VLOOKUP(A1945,[13]PRIORIZADOS!$A:$F,6,FALSE)="","",VLOOKUP(A1945,[13]PRIORIZADOS!$A:$F,6,FALSE)),"")</f>
        <v>LICEO_JULIO_CESAR_GARCIA</v>
      </c>
      <c r="G1945" s="11" t="str">
        <f>IFERROR(IF(VLOOKUP(A1945,[13]PRIORIZADOS!$A:$G,7,FALSE)="","",VLOOKUP(A1945,[13]PRIORIZADOS!$A:$G,7,FALSE)),"")</f>
        <v>LICEO JULIO CESAR GARCIA</v>
      </c>
      <c r="H1945" s="11" t="str">
        <f>IFERROR(IF(VLOOKUP(A1945,[13]PRIORIZADOS!$A:$H,8,FALSE)="","",VLOOKUP(A1945,[13]PRIORIZADOS!$A:$H,8,FALSE)),"")</f>
        <v>Autoevaluación Institucional y Pruebas SABER 11</v>
      </c>
      <c r="I1945" s="11" t="str">
        <f>IFERROR(IF(VLOOKUP(A1945,[13]PRIORIZADOS!$A:$I,9,FALSE)="","",VLOOKUP(A1945,[13]PRIORIZADOS!$A:$I,9,FALSE)),"")</f>
        <v>EVALUACIÓN_CON_FINES_DE_MEJORAMIENTO.</v>
      </c>
      <c r="J1945" s="11" t="str">
        <f>IFERROR(IF(VLOOKUP(A1945,[13]PRIORIZADOS!$A:$J,10,FALSE)="","",VLOOKUP(A1945,[13]PRIORIZADOS!$A:$J,10,FALSE)),"")</f>
        <v>Verificar las condiciones en cuanto a: la estructura administrativa, condiciones de la planta física y medios educativos adecuados.</v>
      </c>
      <c r="K1945" s="11" t="str">
        <f>IFERROR(IF(VLOOKUP(A1945,[13]PRIORIZADOS!$A:$K,11,FALSE)="","",VLOOKUP(A1945,[13]PRIORIZADOS!$A:$K,11,FALSE)),"")</f>
        <v>DAMARIS RUT CÁRDENAS MORENO</v>
      </c>
      <c r="L1945" s="11" t="str">
        <f>IFERROR(IF(VLOOKUP(A1945,[13]PRIORIZADOS!$A:$L,12,FALSE)="","",VLOOKUP(A1945,[13]PRIORIZADOS!$A:$L,12,FALSE)),"")</f>
        <v xml:space="preserve">JORGE WILLIAM BONILLA ROMERO </v>
      </c>
      <c r="M1945" s="71">
        <f>IFERROR(IF(VLOOKUP(A1945,[13]PRIORIZADOS!$A:$M,13,FALSE)="","",VLOOKUP(A1945,[13]PRIORIZADOS!$A:$M,13,FALSE)),"")</f>
        <v>45825</v>
      </c>
      <c r="N1945" s="71">
        <f>IFERROR(IF(VLOOKUP(A1945,[13]PRIORIZADOS!$A:$N,14,FALSE)="","",VLOOKUP(A1945,[13]PRIORIZADOS!$A:$N,14,FALSE)),"")</f>
        <v>45825</v>
      </c>
      <c r="O1945" s="71">
        <f>IFERROR(IF(VLOOKUP(A1945,[13]PRIORIZADOS!$A:$O,15,FALSE)="","",VLOOKUP(A1945,[13]PRIORIZADOS!$A:$O,15,FALSE)),"")</f>
        <v>45825</v>
      </c>
      <c r="P1945" s="11" t="str">
        <f>IFERROR(IF(VLOOKUP(A1945,[13]PRIORIZADOS!$A:$P,16,FALSE)="","",VLOOKUP(A1945,[13]PRIORIZADOS!$A:$P,16,FALSE)),"")</f>
        <v>Visitas de evaluación con fines de mejoramiento</v>
      </c>
      <c r="Q1945" s="122" t="s">
        <v>420</v>
      </c>
      <c r="R1945" s="11" t="str">
        <f>IFERROR(IF(VLOOKUP(A1945,[13]PRIORIZADOS!$A:$R,18,FALSE)="","",VLOOKUP(A1945,[13]PRIORIZADOS!$A:$R,18,FALSE)),"")</f>
        <v xml:space="preserve">Se evidencia adecuado mantenimiento en planta física y mobiliario; sin embargo, el colegio no cuenta con espacios adaptados para personal con movilidad reducida y /o discapacidad. </v>
      </c>
      <c r="S1945" s="11" t="str">
        <f>IFERROR(IF(VLOOKUP(A1945,[13]PRIORIZADOS!$A:$S,19,FALSE)="","",VLOOKUP(A1945,[13]PRIORIZADOS!$A:$S,19,FALSE)),"")</f>
        <v>Evaluar financieramente la adaptación de espacios para personas con discapacidad</v>
      </c>
      <c r="T1945" s="70" t="str">
        <f>IFERROR(IF(VLOOKUP(A1945,[13]PRIORIZADOS!$A:$T,20,FALSE)="","",VLOOKUP(A1945,[13]PRIORIZADOS!$A:$T,20,FALSE)),"")</f>
        <v>No</v>
      </c>
      <c r="U1945" s="11" t="str">
        <f>IFERROR(IF(VLOOKUP(A1945,[13]PRIORIZADOS!$A:$U,21,FALSE)="","",VLOOKUP(A1945,[13]PRIORIZADOS!$A:$U,21,FALSE)),"")</f>
        <v xml:space="preserve">Se generará proceso de capacitación sobre las condiciones de espacios y ambientes escolares en mesa de rectores. </v>
      </c>
    </row>
    <row r="1946" spans="1:21" s="1" customFormat="1" ht="107.25">
      <c r="A1946" s="69">
        <f>IF([13]PRIORIZADOS!A109="","",[13]PRIORIZADOS!A109)</f>
        <v>1914</v>
      </c>
      <c r="B1946" s="70">
        <f>IFERROR(IF(VLOOKUP(A1946,[13]PRIORIZADOS!$A:$B,2,FALSE)="","",VLOOKUP(A1946,[13]PRIORIZADOS!$A:$B,2,FALSE)),"")</f>
        <v>13</v>
      </c>
      <c r="C1946" s="11" t="str">
        <f>IFERROR(IF(VLOOKUP(A1946,[13]PRIORIZADOS!$A:$C,3,FALSE)="","",VLOOKUP(A1946,[13]PRIORIZADOS!$A:$C,3,FALSE)),"")</f>
        <v xml:space="preserve">SANTA FE Y CANDELARIA </v>
      </c>
      <c r="D1946" s="11" t="str">
        <f>IFERROR(IF(VLOOKUP(A1946,[13]PRIORIZADOS!$A:$D,4,FALSE)="","",VLOOKUP(A1946,[13]PRIORIZADOS!$A:$D,4,FALSE)),"")</f>
        <v>PRIVADO_IETDH</v>
      </c>
      <c r="E1946" s="11" t="str">
        <f>IFERROR(IF(VLOOKUP(A1946,[13]PRIORIZADOS!$A:$E,5,FALSE)="","",VLOOKUP(A1946,[13]PRIORIZADOS!$A:$E,5,FALSE)),"")</f>
        <v>IETDH</v>
      </c>
      <c r="F1946" s="11" t="str">
        <f>IFERROR(IF(VLOOKUP(A1946,[13]PRIORIZADOS!$A:$F,6,FALSE)="","",VLOOKUP(A1946,[13]PRIORIZADOS!$A:$F,6,FALSE)),"")</f>
        <v>CAMPO_ALTO_ACESALUD_S.A._SANTA_FE</v>
      </c>
      <c r="G1946" s="11" t="str">
        <f>IFERROR(IF(VLOOKUP(A1946,[13]PRIORIZADOS!$A:$G,7,FALSE)="","",VLOOKUP(A1946,[13]PRIORIZADOS!$A:$G,7,FALSE)),"")</f>
        <v>CAMPO ALTO ACESALUD S.A. SANTA FE</v>
      </c>
      <c r="H1946" s="11" t="str">
        <f>IFERROR(IF(VLOOKUP(A1946,[13]PRIORIZADOS!$A:$H,8,FALSE)="","",VLOOKUP(A1946,[13]PRIORIZADOS!$A:$H,8,FALSE)),"")</f>
        <v>IETDH priorizadas por cada ELIV (seguimiento a PMI, que no se hayan visitado en los últimos 3 años)</v>
      </c>
      <c r="I1946" s="11" t="str">
        <f>IFERROR(IF(VLOOKUP(A1946,[13]PRIORIZADOS!$A:$I,9,FALSE)="","",VLOOKUP(A1946,[13]PRIORIZADOS!$A:$I,9,FALSE)),"")</f>
        <v>SEGUIMIENTO_Y_SUPERVISIÓN.</v>
      </c>
      <c r="J1946" s="11" t="str">
        <f>IFERROR(IF(VLOOKUP(A1946,[13]PRIORIZADOS!$A:$J,10,FALSE)="","",VLOOKUP(A1946,[13]PRIORIZADOS!$A:$J,10,FALSE)),"")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946" s="11" t="str">
        <f>IFERROR(IF(VLOOKUP(A1946,[13]PRIORIZADOS!$A:$K,11,FALSE)="","",VLOOKUP(A1946,[13]PRIORIZADOS!$A:$K,11,FALSE)),"")</f>
        <v xml:space="preserve">JORGE WILLIAM BONILLA ROMERO </v>
      </c>
      <c r="L1946" s="11" t="str">
        <f>IFERROR(IF(VLOOKUP(A1946,[13]PRIORIZADOS!$A:$L,12,FALSE)="","",VLOOKUP(A1946,[13]PRIORIZADOS!$A:$L,12,FALSE)),"")</f>
        <v>JOSÉ MAXIMILIANO CHAPARRO BARRERA</v>
      </c>
      <c r="M1946" s="71">
        <f>IFERROR(IF(VLOOKUP(A1946,[13]PRIORIZADOS!$A:$M,13,FALSE)="","",VLOOKUP(A1946,[13]PRIORIZADOS!$A:$M,13,FALSE)),"")</f>
        <v>45898</v>
      </c>
      <c r="N1946" s="71">
        <f>IFERROR(IF(VLOOKUP(A1946,[13]PRIORIZADOS!$A:$N,14,FALSE)="","",VLOOKUP(A1946,[13]PRIORIZADOS!$A:$N,14,FALSE)),"")</f>
        <v>45898</v>
      </c>
      <c r="O1946" s="71">
        <f>IFERROR(IF(VLOOKUP(A1946,[13]PRIORIZADOS!$A:$O,15,FALSE)="","",VLOOKUP(A1946,[13]PRIORIZADOS!$A:$O,15,FALSE)),"")</f>
        <v>45912</v>
      </c>
      <c r="P1946" s="11" t="str">
        <f>IFERROR(IF(VLOOKUP(A1946,[13]PRIORIZADOS!$A:$P,16,FALSE)="","",VLOOKUP(A1946,[13]PRIORIZADOS!$A:$P,16,FALSE)),"")</f>
        <v>Visitas de evaluación con fines de mejoramiento</v>
      </c>
      <c r="Q1946" s="22" t="s">
        <v>421</v>
      </c>
      <c r="R1946" s="11" t="str">
        <f>IFERROR(IF(VLOOKUP(A1946,[13]PRIORIZADOS!$A:$R,18,FALSE)="","",VLOOKUP(A1946,[13]PRIORIZADOS!$A:$R,18,FALSE)),"")</f>
        <v xml:space="preserve"> Se evidencia registro de información de matrícula, novedades de estudiantes certificados en el aplicativo institucional.
Se evidencia reporte del cambio año a año de los costos totales de los programas aprobados.
Se evidencia clarificación de los costes la la ficha de matricula, y forma de pago en el contrato de matrícula aportado.</v>
      </c>
      <c r="S1946" s="11" t="str">
        <f>IFERROR(IF(VLOOKUP(A1946,[13]PRIORIZADOS!$A:$S,19,FALSE)="","",VLOOKUP(A1946,[13]PRIORIZADOS!$A:$S,19,FALSE)),"")</f>
        <v xml:space="preserve">El EE debe continuar con el proceso de registro de estudiantes conforme a la autorización de los programas por parte de la SED </v>
      </c>
      <c r="T1946" s="70" t="str">
        <f>IFERROR(IF(VLOOKUP(A1946,[13]PRIORIZADOS!$A:$T,20,FALSE)="","",VLOOKUP(A1946,[13]PRIORIZADOS!$A:$T,20,FALSE)),"")</f>
        <v>No</v>
      </c>
      <c r="U1946" s="11" t="str">
        <f>IFERROR(IF(VLOOKUP(A1946,[13]PRIORIZADOS!$A:$U,21,FALSE)="","",VLOOKUP(A1946,[13]PRIORIZADOS!$A:$U,21,FALSE)),"")</f>
        <v>El ELIV continuará con el proceso de renovación de los programas según lo solicitado por la ETDH y se hará seguimiento al reporte en el aplicativo SIET para la siguente vigencia.</v>
      </c>
    </row>
    <row r="1947" spans="1:21" s="1" customFormat="1" ht="48">
      <c r="A1947" s="69">
        <f>IF([13]PRIORIZADOS!A110="","",[13]PRIORIZADOS!A110)</f>
        <v>1915</v>
      </c>
      <c r="B1947" s="70">
        <f>IFERROR(IF(VLOOKUP(A1947,[13]PRIORIZADOS!$A:$B,2,FALSE)="","",VLOOKUP(A1947,[13]PRIORIZADOS!$A:$B,2,FALSE)),"")</f>
        <v>13</v>
      </c>
      <c r="C1947" s="11" t="str">
        <f>IFERROR(IF(VLOOKUP(A1947,[13]PRIORIZADOS!$A:$C,3,FALSE)="","",VLOOKUP(A1947,[13]PRIORIZADOS!$A:$C,3,FALSE)),"")</f>
        <v xml:space="preserve">SANTA FE Y CANDELARIA </v>
      </c>
      <c r="D1947" s="11" t="str">
        <f>IFERROR(IF(VLOOKUP(A1947,[13]PRIORIZADOS!$A:$D,4,FALSE)="","",VLOOKUP(A1947,[13]PRIORIZADOS!$A:$D,4,FALSE)),"")</f>
        <v>PRIVADO_IETDH</v>
      </c>
      <c r="E1947" s="11" t="str">
        <f>IFERROR(IF(VLOOKUP(A1947,[13]PRIORIZADOS!$A:$E,5,FALSE)="","",VLOOKUP(A1947,[13]PRIORIZADOS!$A:$E,5,FALSE)),"")</f>
        <v>IETDH</v>
      </c>
      <c r="F1947" s="11" t="str">
        <f>IFERROR(IF(VLOOKUP(A1947,[13]PRIORIZADOS!$A:$F,6,FALSE)="","",VLOOKUP(A1947,[13]PRIORIZADOS!$A:$F,6,FALSE)),"")</f>
        <v>CAMPO_ALTO_ACESALUD_S.A._SANTA_FE</v>
      </c>
      <c r="G1947" s="11" t="str">
        <f>IFERROR(IF(VLOOKUP(A1947,[13]PRIORIZADOS!$A:$G,7,FALSE)="","",VLOOKUP(A1947,[13]PRIORIZADOS!$A:$G,7,FALSE)),"")</f>
        <v>CAMPO ALTO ACESALUD S.A. SANTA FE</v>
      </c>
      <c r="H1947" s="11" t="str">
        <f>IFERROR(IF(VLOOKUP(A1947,[13]PRIORIZADOS!$A:$H,8,FALSE)="","",VLOOKUP(A1947,[13]PRIORIZADOS!$A:$H,8,FALSE)),"")</f>
        <v>IETDH priorizadas por cada ELIV (seguimiento a PMI, que no se hayan visitado en los últimos 3 años)</v>
      </c>
      <c r="I1947" s="11" t="str">
        <f>IFERROR(IF(VLOOKUP(A1947,[13]PRIORIZADOS!$A:$I,9,FALSE)="","",VLOOKUP(A1947,[13]PRIORIZADOS!$A:$I,9,FALSE)),"")</f>
        <v>SEGUIMIENTO_Y_SUPERVISIÓN.</v>
      </c>
      <c r="J1947" s="11" t="str">
        <f>IFERROR(IF(VLOOKUP(A1947,[13]PRIORIZADOS!$A:$J,10,FALSE)="","",VLOOKUP(A1947,[13]PRIORIZADOS!$A:$J,10,FALSE)),"")</f>
        <v>Adelantar visitas para verificar que el desarrollo de los programas de ETDH, esté de acuerdo con lo autorizado y la normatividad vigente, para propender por su pertinencia, legalidad y actualización constante.</v>
      </c>
      <c r="K1947" s="11" t="str">
        <f>IFERROR(IF(VLOOKUP(A1947,[13]PRIORIZADOS!$A:$K,11,FALSE)="","",VLOOKUP(A1947,[13]PRIORIZADOS!$A:$K,11,FALSE)),"")</f>
        <v xml:space="preserve">JORGE WILLIAM BONILLA ROMERO </v>
      </c>
      <c r="L1947" s="11" t="str">
        <f>IFERROR(IF(VLOOKUP(A1947,[13]PRIORIZADOS!$A:$L,12,FALSE)="","",VLOOKUP(A1947,[13]PRIORIZADOS!$A:$L,12,FALSE)),"")</f>
        <v>JOSÉ MAXIMILIANO CHAPARRO BARRERA</v>
      </c>
      <c r="M1947" s="71">
        <f>IFERROR(IF(VLOOKUP(A1947,[13]PRIORIZADOS!$A:$M,13,FALSE)="","",VLOOKUP(A1947,[13]PRIORIZADOS!$A:$M,13,FALSE)),"")</f>
        <v>45898</v>
      </c>
      <c r="N1947" s="71">
        <f>IFERROR(IF(VLOOKUP(A1947,[13]PRIORIZADOS!$A:$N,14,FALSE)="","",VLOOKUP(A1947,[13]PRIORIZADOS!$A:$N,14,FALSE)),"")</f>
        <v>45898</v>
      </c>
      <c r="O1947" s="71">
        <f>IFERROR(IF(VLOOKUP(A1947,[13]PRIORIZADOS!$A:$O,15,FALSE)="","",VLOOKUP(A1947,[13]PRIORIZADOS!$A:$O,15,FALSE)),"")</f>
        <v>45898</v>
      </c>
      <c r="P1947" s="11" t="str">
        <f>IFERROR(IF(VLOOKUP(A1947,[13]PRIORIZADOS!$A:$P,16,FALSE)="","",VLOOKUP(A1947,[13]PRIORIZADOS!$A:$P,16,FALSE)),"")</f>
        <v>Visitas de evaluación con fines de mejoramiento</v>
      </c>
      <c r="Q1947" s="22" t="s">
        <v>421</v>
      </c>
      <c r="R1947" s="11" t="str">
        <f>IFERROR(IF(VLOOKUP(A1947,[13]PRIORIZADOS!$A:$R,18,FALSE)="","",VLOOKUP(A1947,[13]PRIORIZADOS!$A:$R,18,FALSE)),"")</f>
        <v xml:space="preserve">Se observa que los programas se encuentran acorde con lo autorizado.
</v>
      </c>
      <c r="S1947" s="11" t="str">
        <f>IFERROR(IF(VLOOKUP(A1947,[13]PRIORIZADOS!$A:$S,19,FALSE)="","",VLOOKUP(A1947,[13]PRIORIZADOS!$A:$S,19,FALSE)),"")</f>
        <v>El EE continuará desarrollando la oferta institucional conforme a los programas autorizados.</v>
      </c>
      <c r="T1947" s="70" t="str">
        <f>IFERROR(IF(VLOOKUP(A1947,[13]PRIORIZADOS!$A:$T,20,FALSE)="","",VLOOKUP(A1947,[13]PRIORIZADOS!$A:$T,20,FALSE)),"")</f>
        <v>No</v>
      </c>
      <c r="U1947" s="11" t="str">
        <f>IFERROR(IF(VLOOKUP(A1947,[13]PRIORIZADOS!$A:$U,21,FALSE)="","",VLOOKUP(A1947,[13]PRIORIZADOS!$A:$U,21,FALSE)),"")</f>
        <v>El ELIV generará seguimiento para la siguiente vigencia, conforme el informe de incremento de costos de cada año.</v>
      </c>
    </row>
    <row r="1948" spans="1:21" s="1" customFormat="1" ht="118.5">
      <c r="A1948" s="69">
        <f>IF([13]PRIORIZADOS!A111="","",[13]PRIORIZADOS!A111)</f>
        <v>1916</v>
      </c>
      <c r="B1948" s="70">
        <f>IFERROR(IF(VLOOKUP(A1948,[13]PRIORIZADOS!$A:$B,2,FALSE)="","",VLOOKUP(A1948,[13]PRIORIZADOS!$A:$B,2,FALSE)),"")</f>
        <v>13</v>
      </c>
      <c r="C1948" s="11" t="str">
        <f>IFERROR(IF(VLOOKUP(A1948,[13]PRIORIZADOS!$A:$C,3,FALSE)="","",VLOOKUP(A1948,[13]PRIORIZADOS!$A:$C,3,FALSE)),"")</f>
        <v xml:space="preserve">SANTA FE Y CANDELARIA </v>
      </c>
      <c r="D1948" s="11" t="str">
        <f>IFERROR(IF(VLOOKUP(A1948,[13]PRIORIZADOS!$A:$D,4,FALSE)="","",VLOOKUP(A1948,[13]PRIORIZADOS!$A:$D,4,FALSE)),"")</f>
        <v>PRIVADO_IETDH</v>
      </c>
      <c r="E1948" s="11" t="str">
        <f>IFERROR(IF(VLOOKUP(A1948,[13]PRIORIZADOS!$A:$E,5,FALSE)="","",VLOOKUP(A1948,[13]PRIORIZADOS!$A:$E,5,FALSE)),"")</f>
        <v>IETDH</v>
      </c>
      <c r="F1948" s="11" t="str">
        <f>IFERROR(IF(VLOOKUP(A1948,[13]PRIORIZADOS!$A:$F,6,FALSE)="","",VLOOKUP(A1948,[13]PRIORIZADOS!$A:$F,6,FALSE)),"")</f>
        <v>CAMPO_ALTO_ACESALUD_S.A._SANTA_FE</v>
      </c>
      <c r="G1948" s="11" t="str">
        <f>IFERROR(IF(VLOOKUP(A1948,[13]PRIORIZADOS!$A:$G,7,FALSE)="","",VLOOKUP(A1948,[13]PRIORIZADOS!$A:$G,7,FALSE)),"")</f>
        <v>CAMPO ALTO ACESALUD S.A. SANTA FE</v>
      </c>
      <c r="H1948" s="11" t="str">
        <f>IFERROR(IF(VLOOKUP(A1948,[13]PRIORIZADOS!$A:$H,8,FALSE)="","",VLOOKUP(A1948,[13]PRIORIZADOS!$A:$H,8,FALSE)),"")</f>
        <v>IETDH priorizadas por cada ELIV (seguimiento a PMI, que no se hayan visitado en los últimos 3 años)</v>
      </c>
      <c r="I1948" s="11" t="str">
        <f>IFERROR(IF(VLOOKUP(A1948,[13]PRIORIZADOS!$A:$I,9,FALSE)="","",VLOOKUP(A1948,[13]PRIORIZADOS!$A:$I,9,FALSE)),"")</f>
        <v>EVALUACIÓN_CON_FINES_DE_MEJORAMIENTO.</v>
      </c>
      <c r="J1948" s="11" t="str">
        <f>IFERROR(IF(VLOOKUP(A1948,[13]PRIORIZADOS!$A:$J,10,FALSE)="","",VLOOKUP(A1948,[13]PRIORIZADOS!$A:$J,10,FALSE)),"")</f>
        <v>Verificar las condiciones en cuanto a: la estructura administrativa, condiciones de la planta física y medios educativos adecuados.</v>
      </c>
      <c r="K1948" s="11" t="str">
        <f>IFERROR(IF(VLOOKUP(A1948,[13]PRIORIZADOS!$A:$K,11,FALSE)="","",VLOOKUP(A1948,[13]PRIORIZADOS!$A:$K,11,FALSE)),"")</f>
        <v xml:space="preserve">JORGE WILLIAM BONILLA ROMERO </v>
      </c>
      <c r="L1948" s="11" t="str">
        <f>IFERROR(IF(VLOOKUP(A1948,[13]PRIORIZADOS!$A:$L,12,FALSE)="","",VLOOKUP(A1948,[13]PRIORIZADOS!$A:$L,12,FALSE)),"")</f>
        <v>JOSÉ MAXIMILIANO CHAPARRO BARRERA</v>
      </c>
      <c r="M1948" s="71">
        <f>IFERROR(IF(VLOOKUP(A1948,[13]PRIORIZADOS!$A:$M,13,FALSE)="","",VLOOKUP(A1948,[13]PRIORIZADOS!$A:$M,13,FALSE)),"")</f>
        <v>45898</v>
      </c>
      <c r="N1948" s="71">
        <f>IFERROR(IF(VLOOKUP(A1948,[13]PRIORIZADOS!$A:$N,14,FALSE)="","",VLOOKUP(A1948,[13]PRIORIZADOS!$A:$N,14,FALSE)),"")</f>
        <v>45898</v>
      </c>
      <c r="O1948" s="71" t="str">
        <f>IFERROR(IF(VLOOKUP(A1948,[13]PRIORIZADOS!$A:$O,15,FALSE)="","",VLOOKUP(A1948,[13]PRIORIZADOS!$A:$O,15,FALSE)),"")</f>
        <v/>
      </c>
      <c r="P1948" s="11" t="str">
        <f>IFERROR(IF(VLOOKUP(A1948,[13]PRIORIZADOS!$A:$P,16,FALSE)="","",VLOOKUP(A1948,[13]PRIORIZADOS!$A:$P,16,FALSE)),"")</f>
        <v>Visitas de evaluación con fines de mejoramiento</v>
      </c>
      <c r="Q1948" s="22" t="s">
        <v>421</v>
      </c>
      <c r="R1948" s="11" t="str">
        <f>IFERROR(IF(VLOOKUP(A1948,[13]PRIORIZADOS!$A:$R,18,FALSE)="","",VLOOKUP(A1948,[13]PRIORIZADOS!$A:$R,18,FALSE)),"")</f>
        <v xml:space="preserve">Se observan algunas aulas con afectación de iluminación, ventilación, restricción en el acceso requerido de emergencia y columna en uno de los salones que impide una adecuada visualización del tablero y expositor. 
El EE presenta acceso y oficinas a través de un inmueble que no se encuentra autorizado para funcionamiento de la ETDH. </v>
      </c>
      <c r="S1948" s="11" t="str">
        <f>IFERROR(IF(VLOOKUP(A1948,[13]PRIORIZADOS!$A:$S,19,FALSE)="","",VLOOKUP(A1948,[13]PRIORIZADOS!$A:$S,19,FALSE)),"")</f>
        <v>En desarrollo de lo evidenciado el establecimiento presentará informe que de cuenta de las acciones de mejora y correctivas frente a la observación realizada.</v>
      </c>
      <c r="T1948" s="70" t="str">
        <f>IFERROR(IF(VLOOKUP(A1948,[13]PRIORIZADOS!$A:$T,20,FALSE)="","",VLOOKUP(A1948,[13]PRIORIZADOS!$A:$T,20,FALSE)),"")</f>
        <v>Si</v>
      </c>
      <c r="U1948" s="11" t="str">
        <f>IFERROR(IF(VLOOKUP(A1948,[13]PRIORIZADOS!$A:$U,21,FALSE)="","",VLOOKUP(A1948,[13]PRIORIZADOS!$A:$U,21,FALSE)),"")</f>
        <v>El ELIV generará seguimiento a la entrega de reportes seguimiento a la adecuación que se encuentra desarrollando la ETDH dado su avance y en el primer semestre de 2026.</v>
      </c>
    </row>
    <row r="1949" spans="1:21" s="1" customFormat="1" ht="107.25">
      <c r="A1949" s="69">
        <f>IF([13]PRIORIZADOS!A112="","",[13]PRIORIZADOS!A112)</f>
        <v>1917</v>
      </c>
      <c r="B1949" s="70">
        <f>IFERROR(IF(VLOOKUP(A1949,[13]PRIORIZADOS!$A:$B,2,FALSE)="","",VLOOKUP(A1949,[13]PRIORIZADOS!$A:$B,2,FALSE)),"")</f>
        <v>14</v>
      </c>
      <c r="C1949" s="11" t="str">
        <f>IFERROR(IF(VLOOKUP(A1949,[13]PRIORIZADOS!$A:$C,3,FALSE)="","",VLOOKUP(A1949,[13]PRIORIZADOS!$A:$C,3,FALSE)),"")</f>
        <v xml:space="preserve">SANTA FE Y CANDELARIA </v>
      </c>
      <c r="D1949" s="11" t="str">
        <f>IFERROR(IF(VLOOKUP(A1949,[13]PRIORIZADOS!$A:$D,4,FALSE)="","",VLOOKUP(A1949,[13]PRIORIZADOS!$A:$D,4,FALSE)),"")</f>
        <v>PRIVADO_IETDH</v>
      </c>
      <c r="E1949" s="11" t="str">
        <f>IFERROR(IF(VLOOKUP(A1949,[13]PRIORIZADOS!$A:$E,5,FALSE)="","",VLOOKUP(A1949,[13]PRIORIZADOS!$A:$E,5,FALSE)),"")</f>
        <v>IETDH</v>
      </c>
      <c r="F1949" s="11" t="str">
        <f>IFERROR(IF(VLOOKUP(A1949,[13]PRIORIZADOS!$A:$F,6,FALSE)="","",VLOOKUP(A1949,[13]PRIORIZADOS!$A:$F,6,FALSE)),"")</f>
        <v>CENTRO_ANDINO_DE_ESTUDIOS_TECNICOS</v>
      </c>
      <c r="G1949" s="11" t="str">
        <f>IFERROR(IF(VLOOKUP(A1949,[13]PRIORIZADOS!$A:$G,7,FALSE)="","",VLOOKUP(A1949,[13]PRIORIZADOS!$A:$G,7,FALSE)),"")</f>
        <v>CENTRO ANDINO DE ESTUDIOS TECNICOS</v>
      </c>
      <c r="H1949" s="11" t="str">
        <f>IFERROR(IF(VLOOKUP(A1949,[13]PRIORIZADOS!$A:$H,8,FALSE)="","",VLOOKUP(A1949,[13]PRIORIZADOS!$A:$H,8,FALSE)),"")</f>
        <v>IETDH priorizadas por cada ELIV (seguimiento a PMI, que no se hayan visitado en los últimos 3 años)</v>
      </c>
      <c r="I1949" s="11" t="str">
        <f>IFERROR(IF(VLOOKUP(A1949,[13]PRIORIZADOS!$A:$I,9,FALSE)="","",VLOOKUP(A1949,[13]PRIORIZADOS!$A:$I,9,FALSE)),"")</f>
        <v>SEGUIMIENTO_Y_SUPERVISIÓN.</v>
      </c>
      <c r="J1949" s="11" t="str">
        <f>IFERROR(IF(VLOOKUP(A1949,[13]PRIORIZADOS!$A:$J,10,FALSE)="","",VLOOKUP(A1949,[13]PRIORIZADOS!$A:$J,10,FALSE)),"")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1949" s="11" t="str">
        <f>IFERROR(IF(VLOOKUP(A1949,[13]PRIORIZADOS!$A:$K,11,FALSE)="","",VLOOKUP(A1949,[13]PRIORIZADOS!$A:$K,11,FALSE)),"")</f>
        <v xml:space="preserve">JORGE WILLIAM BONILLA ROMERO </v>
      </c>
      <c r="L1949" s="11" t="str">
        <f>IFERROR(IF(VLOOKUP(A1949,[13]PRIORIZADOS!$A:$L,12,FALSE)="","",VLOOKUP(A1949,[13]PRIORIZADOS!$A:$L,12,FALSE)),"")</f>
        <v>JOSÉ MAXIMILIANO CHAPARRO BARRERA</v>
      </c>
      <c r="M1949" s="71">
        <f>IFERROR(IF(VLOOKUP(A1949,[13]PRIORIZADOS!$A:$M,13,FALSE)="","",VLOOKUP(A1949,[13]PRIORIZADOS!$A:$M,13,FALSE)),"")</f>
        <v>45896</v>
      </c>
      <c r="N1949" s="71">
        <f>IFERROR(IF(VLOOKUP(A1949,[13]PRIORIZADOS!$A:$N,14,FALSE)="","",VLOOKUP(A1949,[13]PRIORIZADOS!$A:$N,14,FALSE)),"")</f>
        <v>45896</v>
      </c>
      <c r="O1949" s="71">
        <f>IFERROR(IF(VLOOKUP(A1949,[13]PRIORIZADOS!$A:$O,15,FALSE)="","",VLOOKUP(A1949,[13]PRIORIZADOS!$A:$O,15,FALSE)),"")</f>
        <v>45896</v>
      </c>
      <c r="P1949" s="11" t="str">
        <f>IFERROR(IF(VLOOKUP(A1949,[13]PRIORIZADOS!$A:$P,16,FALSE)="","",VLOOKUP(A1949,[13]PRIORIZADOS!$A:$P,16,FALSE)),"")</f>
        <v>Visitas de evaluación con fines de mejoramiento</v>
      </c>
      <c r="Q1949" s="2" t="s">
        <v>422</v>
      </c>
      <c r="R1949" s="11" t="str">
        <f>IFERROR(IF(VLOOKUP(A1949,[13]PRIORIZADOS!$A:$R,18,FALSE)="","",VLOOKUP(A1949,[13]PRIORIZADOS!$A:$R,18,FALSE)),"")</f>
        <v xml:space="preserve"> Se evidencia registro de información de matrícula, novedades de estudiantes certificados en el aplicativo institucional.
 No se evidencia soporte de reporte del cambio año a año de los costos totales de los programas aprobados.
 No se evidencia que los costes estén en ficha de matricula, contrato de matrícula no aportado.</v>
      </c>
      <c r="S1949" s="11" t="str">
        <f>IFERROR(IF(VLOOKUP(A1949,[13]PRIORIZADOS!$A:$S,19,FALSE)="","",VLOOKUP(A1949,[13]PRIORIZADOS!$A:$S,19,FALSE)),"")</f>
        <v>El EE debe continuar con el proceso de registro de estudiantes.  El EE presentará a  la Dirección Local el informe de incrementos conforme lo ha desarrollado para 2025. El EE presentará modelo de contrato de matricula con la relación de costos.</v>
      </c>
      <c r="T1949" s="70" t="str">
        <f>IFERROR(IF(VLOOKUP(A1949,[13]PRIORIZADOS!$A:$T,20,FALSE)="","",VLOOKUP(A1949,[13]PRIORIZADOS!$A:$T,20,FALSE)),"")</f>
        <v>Si</v>
      </c>
      <c r="U1949" s="11" t="str">
        <f>IFERROR(IF(VLOOKUP(A1949,[13]PRIORIZADOS!$A:$U,21,FALSE)="","",VLOOKUP(A1949,[13]PRIORIZADOS!$A:$U,21,FALSE)),"")</f>
        <v>El ELIV generará seguimiento a la entrega de reportes seguimiento a la adecuación que se encuentra desarrollando la ETDH dado su avance y en el primer semestre de 2026.</v>
      </c>
    </row>
    <row r="1950" spans="1:21" s="1" customFormat="1" ht="48">
      <c r="A1950" s="69">
        <f>IF([13]PRIORIZADOS!A113="","",[13]PRIORIZADOS!A113)</f>
        <v>1918</v>
      </c>
      <c r="B1950" s="70">
        <f>IFERROR(IF(VLOOKUP(A1950,[13]PRIORIZADOS!$A:$B,2,FALSE)="","",VLOOKUP(A1950,[13]PRIORIZADOS!$A:$B,2,FALSE)),"")</f>
        <v>14</v>
      </c>
      <c r="C1950" s="11" t="str">
        <f>IFERROR(IF(VLOOKUP(A1950,[13]PRIORIZADOS!$A:$C,3,FALSE)="","",VLOOKUP(A1950,[13]PRIORIZADOS!$A:$C,3,FALSE)),"")</f>
        <v xml:space="preserve">SANTA FE Y CANDELARIA </v>
      </c>
      <c r="D1950" s="11" t="str">
        <f>IFERROR(IF(VLOOKUP(A1950,[13]PRIORIZADOS!$A:$D,4,FALSE)="","",VLOOKUP(A1950,[13]PRIORIZADOS!$A:$D,4,FALSE)),"")</f>
        <v>PRIVADO_IETDH</v>
      </c>
      <c r="E1950" s="11" t="str">
        <f>IFERROR(IF(VLOOKUP(A1950,[13]PRIORIZADOS!$A:$E,5,FALSE)="","",VLOOKUP(A1950,[13]PRIORIZADOS!$A:$E,5,FALSE)),"")</f>
        <v>IETDH</v>
      </c>
      <c r="F1950" s="11" t="str">
        <f>IFERROR(IF(VLOOKUP(A1950,[13]PRIORIZADOS!$A:$F,6,FALSE)="","",VLOOKUP(A1950,[13]PRIORIZADOS!$A:$F,6,FALSE)),"")</f>
        <v>CENTRO_ANDINO_DE_ESTUDIOS_TECNICOS</v>
      </c>
      <c r="G1950" s="11" t="str">
        <f>IFERROR(IF(VLOOKUP(A1950,[13]PRIORIZADOS!$A:$G,7,FALSE)="","",VLOOKUP(A1950,[13]PRIORIZADOS!$A:$G,7,FALSE)),"")</f>
        <v>CENTRO ANDINO DE ESTUDIOS TECNICOS</v>
      </c>
      <c r="H1950" s="11" t="str">
        <f>IFERROR(IF(VLOOKUP(A1950,[13]PRIORIZADOS!$A:$H,8,FALSE)="","",VLOOKUP(A1950,[13]PRIORIZADOS!$A:$H,8,FALSE)),"")</f>
        <v>IETDH priorizadas por cada ELIV (seguimiento a PMI, que no se hayan visitado en los últimos 3 años)</v>
      </c>
      <c r="I1950" s="11" t="str">
        <f>IFERROR(IF(VLOOKUP(A1950,[13]PRIORIZADOS!$A:$I,9,FALSE)="","",VLOOKUP(A1950,[13]PRIORIZADOS!$A:$I,9,FALSE)),"")</f>
        <v>SEGUIMIENTO_Y_SUPERVISIÓN.</v>
      </c>
      <c r="J1950" s="11" t="str">
        <f>IFERROR(IF(VLOOKUP(A1950,[13]PRIORIZADOS!$A:$J,10,FALSE)="","",VLOOKUP(A1950,[13]PRIORIZADOS!$A:$J,10,FALSE)),"")</f>
        <v>Adelantar visitas para verificar que el desarrollo de los programas de ETDH, esté de acuerdo con lo autorizado y la normatividad vigente, para propender por su pertinencia, legalidad y actualización constante.</v>
      </c>
      <c r="K1950" s="11" t="str">
        <f>IFERROR(IF(VLOOKUP(A1950,[13]PRIORIZADOS!$A:$K,11,FALSE)="","",VLOOKUP(A1950,[13]PRIORIZADOS!$A:$K,11,FALSE)),"")</f>
        <v xml:space="preserve">JORGE WILLIAM BONILLA ROMERO </v>
      </c>
      <c r="L1950" s="11" t="str">
        <f>IFERROR(IF(VLOOKUP(A1950,[13]PRIORIZADOS!$A:$L,12,FALSE)="","",VLOOKUP(A1950,[13]PRIORIZADOS!$A:$L,12,FALSE)),"")</f>
        <v>JOSÉ MAXIMILIANO CHAPARRO BARRERA</v>
      </c>
      <c r="M1950" s="71">
        <f>IFERROR(IF(VLOOKUP(A1950,[13]PRIORIZADOS!$A:$M,13,FALSE)="","",VLOOKUP(A1950,[13]PRIORIZADOS!$A:$M,13,FALSE)),"")</f>
        <v>45896</v>
      </c>
      <c r="N1950" s="71">
        <f>IFERROR(IF(VLOOKUP(A1950,[13]PRIORIZADOS!$A:$N,14,FALSE)="","",VLOOKUP(A1950,[13]PRIORIZADOS!$A:$N,14,FALSE)),"")</f>
        <v>45896</v>
      </c>
      <c r="O1950" s="71">
        <f>IFERROR(IF(VLOOKUP(A1950,[13]PRIORIZADOS!$A:$O,15,FALSE)="","",VLOOKUP(A1950,[13]PRIORIZADOS!$A:$O,15,FALSE)),"")</f>
        <v>45896</v>
      </c>
      <c r="P1950" s="11" t="str">
        <f>IFERROR(IF(VLOOKUP(A1950,[13]PRIORIZADOS!$A:$P,16,FALSE)="","",VLOOKUP(A1950,[13]PRIORIZADOS!$A:$P,16,FALSE)),"")</f>
        <v>Visitas de evaluación con fines de mejoramiento</v>
      </c>
      <c r="Q1950" s="2" t="s">
        <v>422</v>
      </c>
      <c r="R1950" s="11" t="str">
        <f>IFERROR(IF(VLOOKUP(A1950,[13]PRIORIZADOS!$A:$R,18,FALSE)="","",VLOOKUP(A1950,[13]PRIORIZADOS!$A:$R,18,FALSE)),"")</f>
        <v>Se observa que los programas se encuentran acorde con lo autorizado.
Se evidencia que el EE tiene la oferta de desarrollo  paralela en tres programas.</v>
      </c>
      <c r="S1950" s="11" t="str">
        <f>IFERROR(IF(VLOOKUP(A1950,[13]PRIORIZADOS!$A:$S,19,FALSE)="","",VLOOKUP(A1950,[13]PRIORIZADOS!$A:$S,19,FALSE)),"")</f>
        <v>El EE presentará informe sobre las características y el desarrollo  de la propuesta de desarrollo de programas paralelos que desarrolla.</v>
      </c>
      <c r="T1950" s="70" t="str">
        <f>IFERROR(IF(VLOOKUP(A1950,[13]PRIORIZADOS!$A:$T,20,FALSE)="","",VLOOKUP(A1950,[13]PRIORIZADOS!$A:$T,20,FALSE)),"")</f>
        <v>Si</v>
      </c>
      <c r="U1950" s="11" t="str">
        <f>IFERROR(IF(VLOOKUP(A1950,[13]PRIORIZADOS!$A:$U,21,FALSE)="","",VLOOKUP(A1950,[13]PRIORIZADOS!$A:$U,21,FALSE)),"")</f>
        <v>El ELIV generará seguimiento a la entrega de reportes seguimiento a la adecuación que se encuentra desarrollando la ETDH dado su avance y en el primer semestre de 2026.</v>
      </c>
    </row>
    <row r="1951" spans="1:21" s="1" customFormat="1" ht="48">
      <c r="A1951" s="69">
        <f>IF([13]PRIORIZADOS!A114="","",[13]PRIORIZADOS!A114)</f>
        <v>1919</v>
      </c>
      <c r="B1951" s="70">
        <f>IFERROR(IF(VLOOKUP(A1951,[13]PRIORIZADOS!$A:$B,2,FALSE)="","",VLOOKUP(A1951,[13]PRIORIZADOS!$A:$B,2,FALSE)),"")</f>
        <v>14</v>
      </c>
      <c r="C1951" s="11" t="str">
        <f>IFERROR(IF(VLOOKUP(A1951,[13]PRIORIZADOS!$A:$C,3,FALSE)="","",VLOOKUP(A1951,[13]PRIORIZADOS!$A:$C,3,FALSE)),"")</f>
        <v xml:space="preserve">SANTA FE Y CANDELARIA </v>
      </c>
      <c r="D1951" s="11" t="str">
        <f>IFERROR(IF(VLOOKUP(A1951,[13]PRIORIZADOS!$A:$D,4,FALSE)="","",VLOOKUP(A1951,[13]PRIORIZADOS!$A:$D,4,FALSE)),"")</f>
        <v>PRIVADO_IETDH</v>
      </c>
      <c r="E1951" s="11" t="str">
        <f>IFERROR(IF(VLOOKUP(A1951,[13]PRIORIZADOS!$A:$E,5,FALSE)="","",VLOOKUP(A1951,[13]PRIORIZADOS!$A:$E,5,FALSE)),"")</f>
        <v>IETDH</v>
      </c>
      <c r="F1951" s="11" t="str">
        <f>IFERROR(IF(VLOOKUP(A1951,[13]PRIORIZADOS!$A:$F,6,FALSE)="","",VLOOKUP(A1951,[13]PRIORIZADOS!$A:$F,6,FALSE)),"")</f>
        <v>CENTRO_ANDINO_DE_ESTUDIOS_TECNICOS</v>
      </c>
      <c r="G1951" s="11" t="str">
        <f>IFERROR(IF(VLOOKUP(A1951,[13]PRIORIZADOS!$A:$G,7,FALSE)="","",VLOOKUP(A1951,[13]PRIORIZADOS!$A:$G,7,FALSE)),"")</f>
        <v>CENTRO ANDINO DE ESTUDIOS TECNICOS</v>
      </c>
      <c r="H1951" s="11" t="str">
        <f>IFERROR(IF(VLOOKUP(A1951,[13]PRIORIZADOS!$A:$H,8,FALSE)="","",VLOOKUP(A1951,[13]PRIORIZADOS!$A:$H,8,FALSE)),"")</f>
        <v>IETDH priorizadas por cada ELIV (seguimiento a PMI, que no se hayan visitado en los últimos 3 años)</v>
      </c>
      <c r="I1951" s="11" t="str">
        <f>IFERROR(IF(VLOOKUP(A1951,[13]PRIORIZADOS!$A:$I,9,FALSE)="","",VLOOKUP(A1951,[13]PRIORIZADOS!$A:$I,9,FALSE)),"")</f>
        <v>EVALUACIÓN_CON_FINES_DE_MEJORAMIENTO.</v>
      </c>
      <c r="J1951" s="11" t="str">
        <f>IFERROR(IF(VLOOKUP(A1951,[13]PRIORIZADOS!$A:$J,10,FALSE)="","",VLOOKUP(A1951,[13]PRIORIZADOS!$A:$J,10,FALSE)),"")</f>
        <v>Verificar las condiciones en cuanto a: la estructura administrativa, condiciones de la planta física y medios educativos adecuados.</v>
      </c>
      <c r="K1951" s="11" t="str">
        <f>IFERROR(IF(VLOOKUP(A1951,[13]PRIORIZADOS!$A:$K,11,FALSE)="","",VLOOKUP(A1951,[13]PRIORIZADOS!$A:$K,11,FALSE)),"")</f>
        <v xml:space="preserve">JORGE WILLIAM BONILLA ROMERO </v>
      </c>
      <c r="L1951" s="11" t="str">
        <f>IFERROR(IF(VLOOKUP(A1951,[13]PRIORIZADOS!$A:$L,12,FALSE)="","",VLOOKUP(A1951,[13]PRIORIZADOS!$A:$L,12,FALSE)),"")</f>
        <v>JOSÉ MAXIMILIANO CHAPARRO BARRERA</v>
      </c>
      <c r="M1951" s="71">
        <f>IFERROR(IF(VLOOKUP(A1951,[13]PRIORIZADOS!$A:$M,13,FALSE)="","",VLOOKUP(A1951,[13]PRIORIZADOS!$A:$M,13,FALSE)),"")</f>
        <v>45896</v>
      </c>
      <c r="N1951" s="71">
        <f>IFERROR(IF(VLOOKUP(A1951,[13]PRIORIZADOS!$A:$N,14,FALSE)="","",VLOOKUP(A1951,[13]PRIORIZADOS!$A:$N,14,FALSE)),"")</f>
        <v>45896</v>
      </c>
      <c r="O1951" s="71">
        <f>IFERROR(IF(VLOOKUP(A1951,[13]PRIORIZADOS!$A:$O,15,FALSE)="","",VLOOKUP(A1951,[13]PRIORIZADOS!$A:$O,15,FALSE)),"")</f>
        <v>45896</v>
      </c>
      <c r="P1951" s="11" t="str">
        <f>IFERROR(IF(VLOOKUP(A1951,[13]PRIORIZADOS!$A:$P,16,FALSE)="","",VLOOKUP(A1951,[13]PRIORIZADOS!$A:$P,16,FALSE)),"")</f>
        <v>Visitas de evaluación con fines de mejoramiento</v>
      </c>
      <c r="Q1951" s="2" t="s">
        <v>422</v>
      </c>
      <c r="R1951" s="11" t="str">
        <f>IFERROR(IF(VLOOKUP(A1951,[13]PRIORIZADOS!$A:$R,18,FALSE)="","",VLOOKUP(A1951,[13]PRIORIZADOS!$A:$R,18,FALSE)),"")</f>
        <v xml:space="preserve">Se observan aulas en condiciones adecuadas y espacios de abiertos o de recreación limitados. </v>
      </c>
      <c r="S1951" s="11" t="str">
        <f>IFERROR(IF(VLOOKUP(A1951,[13]PRIORIZADOS!$A:$S,19,FALSE)="","",VLOOKUP(A1951,[13]PRIORIZADOS!$A:$S,19,FALSE)),"")</f>
        <v>En desarrollo de lo evidenciado el establecimiento presentará informe que de cuenta de mejoras con respecto a la observación realizada.</v>
      </c>
      <c r="T1951" s="70" t="str">
        <f>IFERROR(IF(VLOOKUP(A1951,[13]PRIORIZADOS!$A:$T,20,FALSE)="","",VLOOKUP(A1951,[13]PRIORIZADOS!$A:$T,20,FALSE)),"")</f>
        <v>Si</v>
      </c>
      <c r="U1951" s="11" t="str">
        <f>IFERROR(IF(VLOOKUP(A1951,[13]PRIORIZADOS!$A:$U,21,FALSE)="","",VLOOKUP(A1951,[13]PRIORIZADOS!$A:$U,21,FALSE)),"")</f>
        <v>El ELIV generará seguimiento a la entrega de reportes seguimiento a la adecuación que se encuentra desarrollando la ETDH dado su avance y en el primer semestre de 2026.</v>
      </c>
    </row>
    <row r="1952" spans="1:21" s="1" customFormat="1" ht="72">
      <c r="A1952" s="69">
        <f>IF([13]PRIORIZADOS!A115="","",[13]PRIORIZADOS!A115)</f>
        <v>1920</v>
      </c>
      <c r="B1952" s="70">
        <f>IFERROR(IF(VLOOKUP(A1952,[13]PRIORIZADOS!$A:$B,2,FALSE)="","",VLOOKUP(A1952,[13]PRIORIZADOS!$A:$B,2,FALSE)),"")</f>
        <v>15</v>
      </c>
      <c r="C1952" s="11" t="str">
        <f>IFERROR(IF(VLOOKUP(A1952,[13]PRIORIZADOS!$A:$C,3,FALSE)="","",VLOOKUP(A1952,[13]PRIORIZADOS!$A:$C,3,FALSE)),"")</f>
        <v xml:space="preserve">SANTA FE Y CANDELARIA </v>
      </c>
      <c r="D1952" s="11" t="str">
        <f>IFERROR(IF(VLOOKUP(A1952,[13]PRIORIZADOS!$A:$D,4,FALSE)="","",VLOOKUP(A1952,[13]PRIORIZADOS!$A:$D,4,FALSE)),"")</f>
        <v>PRIVADO</v>
      </c>
      <c r="E1952" s="11" t="str">
        <f>IFERROR(IF(VLOOKUP(A1952,[13]PRIORIZADOS!$A:$E,5,FALSE)="","",VLOOKUP(A1952,[13]PRIORIZADOS!$A:$E,5,FALSE)),"")</f>
        <v>EPBM</v>
      </c>
      <c r="F1952" s="11" t="str">
        <f>IFERROR(IF(VLOOKUP(A1952,[13]PRIORIZADOS!$A:$F,6,FALSE)="","",VLOOKUP(A1952,[13]PRIORIZADOS!$A:$F,6,FALSE)),"")</f>
        <v>COLEGIO_DE_LAS_MERCEDES</v>
      </c>
      <c r="G1952" s="11" t="str">
        <f>IFERROR(IF(VLOOKUP(A1952,[13]PRIORIZADOS!$A:$G,7,FALSE)="","",VLOOKUP(A1952,[13]PRIORIZADOS!$A:$G,7,FALSE)),"")</f>
        <v>COLEGIO DE LAS MERCEDES</v>
      </c>
      <c r="H1952" s="11" t="str">
        <f>IFERROR(IF(VLOOKUP(A1952,[13]PRIORIZADOS!$A:$H,8,FALSE)="","",VLOOKUP(A1952,[13]PRIORIZADOS!$A:$H,8,FALSE)),"")</f>
        <v>Colegios Nuevos (creados en los últimos 2 años) / Seguimiento a los PMI acordados en 2024</v>
      </c>
      <c r="I1952" s="11" t="str">
        <f>IFERROR(IF(VLOOKUP(A1952,[13]PRIORIZADOS!$A:$I,9,FALSE)="","",VLOOKUP(A1952,[13]PRIORIZADOS!$A:$I,9,FALSE)),"")</f>
        <v>SEGUIMIENTO_Y_SUPERVISIÓN.</v>
      </c>
      <c r="J1952" s="11" t="str">
        <f>IFERROR(IF(VLOOKUP(A1952,[13]PRIORIZADOS!$A:$J,10,FALSE)="","",VLOOKUP(A1952,[13]PRIORIZADOS!$A:$J,10,FALSE)),"")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952" s="11" t="str">
        <f>IFERROR(IF(VLOOKUP(A1952,[13]PRIORIZADOS!$A:$K,11,FALSE)="","",VLOOKUP(A1952,[13]PRIORIZADOS!$A:$K,11,FALSE)),"")</f>
        <v xml:space="preserve">JORGE WILLIAM BONILLA ROMERO </v>
      </c>
      <c r="L1952" s="11" t="str">
        <f>IFERROR(IF(VLOOKUP(A1952,[13]PRIORIZADOS!$A:$L,12,FALSE)="","",VLOOKUP(A1952,[13]PRIORIZADOS!$A:$L,12,FALSE)),"")</f>
        <v>JOSÉ MAXIMILIANO CHAPARRO BARRERA</v>
      </c>
      <c r="M1952" s="71">
        <f>IFERROR(IF(VLOOKUP(A1952,[13]PRIORIZADOS!$A:$M,13,FALSE)="","",VLOOKUP(A1952,[13]PRIORIZADOS!$A:$M,13,FALSE)),"")</f>
        <v>45863</v>
      </c>
      <c r="N1952" s="71">
        <f>IFERROR(IF(VLOOKUP(A1952,[13]PRIORIZADOS!$A:$N,14,FALSE)="","",VLOOKUP(A1952,[13]PRIORIZADOS!$A:$N,14,FALSE)),"")</f>
        <v>45863</v>
      </c>
      <c r="O1952" s="71">
        <f>IFERROR(IF(VLOOKUP(A1952,[13]PRIORIZADOS!$A:$O,15,FALSE)="","",VLOOKUP(A1952,[13]PRIORIZADOS!$A:$O,15,FALSE)),"")</f>
        <v>45863</v>
      </c>
      <c r="P1952" s="11" t="str">
        <f>IFERROR(IF(VLOOKUP(A1952,[13]PRIORIZADOS!$A:$P,16,FALSE)="","",VLOOKUP(A1952,[13]PRIORIZADOS!$A:$P,16,FALSE)),"")</f>
        <v>Visitas de evaluación con fines de mejoramiento</v>
      </c>
      <c r="Q1952" s="248" t="s">
        <v>423</v>
      </c>
      <c r="R1952" s="11" t="str">
        <f>IFERROR(IF(VLOOKUP(A1952,[13]PRIORIZADOS!$A:$R,18,FALSE)="","",VLOOKUP(A1952,[13]PRIORIZADOS!$A:$R,18,FALSE)),"")</f>
        <v>No se encontró el plan de mejoramiento requerido en el año 2024</v>
      </c>
      <c r="S1952" s="11" t="str">
        <f>IFERROR(IF(VLOOKUP(A1952,[13]PRIORIZADOS!$A:$S,19,FALSE)="","",VLOOKUP(A1952,[13]PRIORIZADOS!$A:$S,19,FALSE)),"")</f>
        <v>Retomar las observaciones realizadas en 2024 mas las que se  evidenciaron en visita 2025 para la estructuración de un plan de mejoramiento</v>
      </c>
      <c r="T1952" s="70" t="str">
        <f>IFERROR(IF(VLOOKUP(A1952,[13]PRIORIZADOS!$A:$T,20,FALSE)="","",VLOOKUP(A1952,[13]PRIORIZADOS!$A:$T,20,FALSE)),"")</f>
        <v>Si</v>
      </c>
      <c r="U1952" s="11" t="str">
        <f>IFERROR(IF(VLOOKUP(A1952,[13]PRIORIZADOS!$A:$U,21,FALSE)="","",VLOOKUP(A1952,[13]PRIORIZADOS!$A:$U,21,FALSE)),"")</f>
        <v>Requerir a la institución la presentación de un plan de mejoramiento, seguimiento en el mes de octubre.
El EE No entrego plan de mejoramiento en la fecha acordada.  Se oficia para reporte del plan el 27 OCT 2025 con radicado S-2025-333655.  
Se realizará seguimiento al plan de mejoramiento en 2026.</v>
      </c>
    </row>
    <row r="1953" spans="1:21" s="1" customFormat="1" ht="60">
      <c r="A1953" s="69">
        <f>IF([13]PRIORIZADOS!A116="","",[13]PRIORIZADOS!A116)</f>
        <v>1921</v>
      </c>
      <c r="B1953" s="70">
        <f>IFERROR(IF(VLOOKUP(A1953,[13]PRIORIZADOS!$A:$B,2,FALSE)="","",VLOOKUP(A1953,[13]PRIORIZADOS!$A:$B,2,FALSE)),"")</f>
        <v>15</v>
      </c>
      <c r="C1953" s="11" t="str">
        <f>IFERROR(IF(VLOOKUP(A1953,[13]PRIORIZADOS!$A:$C,3,FALSE)="","",VLOOKUP(A1953,[13]PRIORIZADOS!$A:$C,3,FALSE)),"")</f>
        <v xml:space="preserve">SANTA FE Y CANDELARIA </v>
      </c>
      <c r="D1953" s="11" t="str">
        <f>IFERROR(IF(VLOOKUP(A1953,[13]PRIORIZADOS!$A:$D,4,FALSE)="","",VLOOKUP(A1953,[13]PRIORIZADOS!$A:$D,4,FALSE)),"")</f>
        <v>PRIVADO</v>
      </c>
      <c r="E1953" s="11" t="str">
        <f>IFERROR(IF(VLOOKUP(A1953,[13]PRIORIZADOS!$A:$E,5,FALSE)="","",VLOOKUP(A1953,[13]PRIORIZADOS!$A:$E,5,FALSE)),"")</f>
        <v>EPBM</v>
      </c>
      <c r="F1953" s="11" t="str">
        <f>IFERROR(IF(VLOOKUP(A1953,[13]PRIORIZADOS!$A:$F,6,FALSE)="","",VLOOKUP(A1953,[13]PRIORIZADOS!$A:$F,6,FALSE)),"")</f>
        <v>COLEGIO_DE_LAS_MERCEDES</v>
      </c>
      <c r="G1953" s="11" t="str">
        <f>IFERROR(IF(VLOOKUP(A1953,[13]PRIORIZADOS!$A:$G,7,FALSE)="","",VLOOKUP(A1953,[13]PRIORIZADOS!$A:$G,7,FALSE)),"")</f>
        <v>COLEGIO DE LAS MERCEDES</v>
      </c>
      <c r="H1953" s="11" t="str">
        <f>IFERROR(IF(VLOOKUP(A1953,[13]PRIORIZADOS!$A:$H,8,FALSE)="","",VLOOKUP(A1953,[13]PRIORIZADOS!$A:$H,8,FALSE)),"")</f>
        <v>Colegios Nuevos (creados en los últimos 2 años) / Seguimiento a los PMI acordados en 2025</v>
      </c>
      <c r="I1953" s="11" t="str">
        <f>IFERROR(IF(VLOOKUP(A1953,[13]PRIORIZADOS!$A:$I,9,FALSE)="","",VLOOKUP(A1953,[13]PRIORIZADOS!$A:$I,9,FALSE)),"")</f>
        <v>SEGUIMIENTO_Y_SUPERVISIÓN.</v>
      </c>
      <c r="J1953" s="11" t="str">
        <f>IFERROR(IF(VLOOKUP(A1953,[13]PRIORIZADOS!$A:$J,10,FALSE)="","",VLOOKUP(A1953,[13]PRIORIZADOS!$A:$J,10,FALSE)),"")</f>
        <v>Realizar visitas para verificar la información registrada sobre la autoevaluación institucional en el aplicativo EVI, a los establecimientos de educación formal no oficial.</v>
      </c>
      <c r="K1953" s="11" t="str">
        <f>IFERROR(IF(VLOOKUP(A1953,[13]PRIORIZADOS!$A:$K,11,FALSE)="","",VLOOKUP(A1953,[13]PRIORIZADOS!$A:$K,11,FALSE)),"")</f>
        <v xml:space="preserve">JORGE WILLIAM BONILLA ROMERO </v>
      </c>
      <c r="L1953" s="11" t="str">
        <f>IFERROR(IF(VLOOKUP(A1953,[13]PRIORIZADOS!$A:$L,12,FALSE)="","",VLOOKUP(A1953,[13]PRIORIZADOS!$A:$L,12,FALSE)),"")</f>
        <v>JOSÉ MAXIMILIANO CHAPARRO BARRERA</v>
      </c>
      <c r="M1953" s="71">
        <f>IFERROR(IF(VLOOKUP(A1953,[13]PRIORIZADOS!$A:$M,13,FALSE)="","",VLOOKUP(A1953,[13]PRIORIZADOS!$A:$M,13,FALSE)),"")</f>
        <v>45863</v>
      </c>
      <c r="N1953" s="71">
        <f>IFERROR(IF(VLOOKUP(A1953,[13]PRIORIZADOS!$A:$N,14,FALSE)="","",VLOOKUP(A1953,[13]PRIORIZADOS!$A:$N,14,FALSE)),"")</f>
        <v>45863</v>
      </c>
      <c r="O1953" s="71">
        <f>IFERROR(IF(VLOOKUP(A1953,[13]PRIORIZADOS!$A:$O,15,FALSE)="","",VLOOKUP(A1953,[13]PRIORIZADOS!$A:$O,15,FALSE)),"")</f>
        <v>45863</v>
      </c>
      <c r="P1953" s="11" t="str">
        <f>IFERROR(IF(VLOOKUP(A1953,[13]PRIORIZADOS!$A:$P,16,FALSE)="","",VLOOKUP(A1953,[13]PRIORIZADOS!$A:$P,16,FALSE)),"")</f>
        <v>Visitas de evaluación con fines de mejoramiento</v>
      </c>
      <c r="Q1953" s="248" t="s">
        <v>423</v>
      </c>
      <c r="R1953" s="11" t="str">
        <f>IFERROR(IF(VLOOKUP(A1953,[13]PRIORIZADOS!$A:$R,18,FALSE)="","",VLOOKUP(A1953,[13]PRIORIZADOS!$A:$R,18,FALSE)),"")</f>
        <v xml:space="preserve">Se evidenció que la información cargada en el EVI no da cuenta de la realidad institucional, en aspectos como: la formalización de contratos, espacios lúdicos, académicos y otros. </v>
      </c>
      <c r="S1953" s="11" t="str">
        <f>IFERROR(IF(VLOOKUP(A1953,[13]PRIORIZADOS!$A:$S,19,FALSE)="","",VLOOKUP(A1953,[13]PRIORIZADOS!$A:$S,19,FALSE)),"")</f>
        <v>Continuar con la elaboración del plan de mejoramiento ue se había formulado y con el que derivan las acciones de la presente visita.</v>
      </c>
      <c r="T1953" s="70" t="str">
        <f>IFERROR(IF(VLOOKUP(A1953,[13]PRIORIZADOS!$A:$T,20,FALSE)="","",VLOOKUP(A1953,[13]PRIORIZADOS!$A:$T,20,FALSE)),"")</f>
        <v>Si</v>
      </c>
      <c r="U1953" s="11" t="str">
        <f>IFERROR(IF(VLOOKUP(A1953,[13]PRIORIZADOS!$A:$U,21,FALSE)="","",VLOOKUP(A1953,[13]PRIORIZADOS!$A:$U,21,FALSE)),"")</f>
        <v>Solicitar a la institución educativa el plan de mejoramiento septiembre de 2025 y revisar los avances octubre de 2025.  
El EE No entrego plan de mejoramiento en la fecha acordada.  Se oficia para reporte del plan el 27 OCT 2025 con radicado S-2025-333655.  
Se realizará seguimiento al plan de mejoramiento en 2026.</v>
      </c>
    </row>
    <row r="1954" spans="1:21" s="1" customFormat="1" ht="60">
      <c r="A1954" s="69">
        <f>IF([13]PRIORIZADOS!A117="","",[13]PRIORIZADOS!A117)</f>
        <v>1923</v>
      </c>
      <c r="B1954" s="70">
        <f>IFERROR(IF(VLOOKUP(A1954,[13]PRIORIZADOS!$A:$B,2,FALSE)="","",VLOOKUP(A1954,[13]PRIORIZADOS!$A:$B,2,FALSE)),"")</f>
        <v>15</v>
      </c>
      <c r="C1954" s="11" t="str">
        <f>IFERROR(IF(VLOOKUP(A1954,[13]PRIORIZADOS!$A:$C,3,FALSE)="","",VLOOKUP(A1954,[13]PRIORIZADOS!$A:$C,3,FALSE)),"")</f>
        <v xml:space="preserve">SANTA FE Y CANDELARIA </v>
      </c>
      <c r="D1954" s="11" t="str">
        <f>IFERROR(IF(VLOOKUP(A1954,[13]PRIORIZADOS!$A:$D,4,FALSE)="","",VLOOKUP(A1954,[13]PRIORIZADOS!$A:$D,4,FALSE)),"")</f>
        <v>PRIVADO</v>
      </c>
      <c r="E1954" s="11" t="str">
        <f>IFERROR(IF(VLOOKUP(A1954,[13]PRIORIZADOS!$A:$E,5,FALSE)="","",VLOOKUP(A1954,[13]PRIORIZADOS!$A:$E,5,FALSE)),"")</f>
        <v>EPBM</v>
      </c>
      <c r="F1954" s="11" t="str">
        <f>IFERROR(IF(VLOOKUP(A1954,[13]PRIORIZADOS!$A:$F,6,FALSE)="","",VLOOKUP(A1954,[13]PRIORIZADOS!$A:$F,6,FALSE)),"")</f>
        <v>COLEGIO_DE_LAS_MERCEDES</v>
      </c>
      <c r="G1954" s="11" t="str">
        <f>IFERROR(IF(VLOOKUP(A1954,[13]PRIORIZADOS!$A:$G,7,FALSE)="","",VLOOKUP(A1954,[13]PRIORIZADOS!$A:$G,7,FALSE)),"")</f>
        <v>COLEGIO DE LAS MERCEDES</v>
      </c>
      <c r="H1954" s="11" t="str">
        <f>IFERROR(IF(VLOOKUP(A1954,[13]PRIORIZADOS!$A:$H,8,FALSE)="","",VLOOKUP(A1954,[13]PRIORIZADOS!$A:$H,8,FALSE)),"")</f>
        <v>Colegios Nuevos (creados en los últimos 2 años) / Seguimiento a los PMI acordados en 2027</v>
      </c>
      <c r="I1954" s="11" t="str">
        <f>IFERROR(IF(VLOOKUP(A1954,[13]PRIORIZADOS!$A:$I,9,FALSE)="","",VLOOKUP(A1954,[13]PRIORIZADOS!$A:$I,9,FALSE)),"")</f>
        <v>SEGUIMIENTO_Y_SUPERVISIÓN.</v>
      </c>
      <c r="J1954" s="11" t="str">
        <f>IFERROR(IF(VLOOKUP(A1954,[13]PRIORIZADOS!$A:$J,10,FALSE)="","",VLOOKUP(A1954,[13]PRIORIZADOS!$A:$J,10,FALSE)),"")</f>
        <v xml:space="preserve">Verificar la implementación por parte de los colegios, de acciones realizadas para la prevención y atención de las situaciones de convivencia en el entorno escolar, según lo establecido en la Directiva 01 de 2022 del MEN. </v>
      </c>
      <c r="K1954" s="11" t="str">
        <f>IFERROR(IF(VLOOKUP(A1954,[13]PRIORIZADOS!$A:$K,11,FALSE)="","",VLOOKUP(A1954,[13]PRIORIZADOS!$A:$K,11,FALSE)),"")</f>
        <v xml:space="preserve">JORGE WILLIAM BONILLA ROMERO </v>
      </c>
      <c r="L1954" s="11" t="str">
        <f>IFERROR(IF(VLOOKUP(A1954,[13]PRIORIZADOS!$A:$L,12,FALSE)="","",VLOOKUP(A1954,[13]PRIORIZADOS!$A:$L,12,FALSE)),"")</f>
        <v>JOSÉ MAXIMILIANO CHAPARRO BARRERA</v>
      </c>
      <c r="M1954" s="71">
        <f>IFERROR(IF(VLOOKUP(A1954,[13]PRIORIZADOS!$A:$M,13,FALSE)="","",VLOOKUP(A1954,[13]PRIORIZADOS!$A:$M,13,FALSE)),"")</f>
        <v>45863</v>
      </c>
      <c r="N1954" s="71">
        <f>IFERROR(IF(VLOOKUP(A1954,[13]PRIORIZADOS!$A:$N,14,FALSE)="","",VLOOKUP(A1954,[13]PRIORIZADOS!$A:$N,14,FALSE)),"")</f>
        <v>45863</v>
      </c>
      <c r="O1954" s="71">
        <f>IFERROR(IF(VLOOKUP(A1954,[13]PRIORIZADOS!$A:$O,15,FALSE)="","",VLOOKUP(A1954,[13]PRIORIZADOS!$A:$O,15,FALSE)),"")</f>
        <v>45863</v>
      </c>
      <c r="P1954" s="11" t="str">
        <f>IFERROR(IF(VLOOKUP(A1954,[13]PRIORIZADOS!$A:$P,16,FALSE)="","",VLOOKUP(A1954,[13]PRIORIZADOS!$A:$P,16,FALSE)),"")</f>
        <v>Visitas de evaluación con fines de mejoramiento</v>
      </c>
      <c r="Q1954" s="248" t="s">
        <v>423</v>
      </c>
      <c r="R1954" s="11" t="str">
        <f>IFERROR(IF(VLOOKUP(A1954,[13]PRIORIZADOS!$A:$R,18,FALSE)="","",VLOOKUP(A1954,[13]PRIORIZADOS!$A:$R,18,FALSE)),"")</f>
        <v xml:space="preserve">Se evidencia que la IE no realiza la  implementación de la directiva en ninguno de sus componentes. </v>
      </c>
      <c r="S1954" s="11" t="str">
        <f>IFERROR(IF(VLOOKUP(A1954,[13]PRIORIZADOS!$A:$S,19,FALSE)="","",VLOOKUP(A1954,[13]PRIORIZADOS!$A:$S,19,FALSE)),"")</f>
        <v xml:space="preserve">Implementar la directiva 01 de 2022 y remitir soportes de lo actuado </v>
      </c>
      <c r="T1954" s="70" t="str">
        <f>IFERROR(IF(VLOOKUP(A1954,[13]PRIORIZADOS!$A:$T,20,FALSE)="","",VLOOKUP(A1954,[13]PRIORIZADOS!$A:$T,20,FALSE)),"")</f>
        <v>Si</v>
      </c>
      <c r="U1954" s="11" t="str">
        <f>IFERROR(IF(VLOOKUP(A1954,[13]PRIORIZADOS!$A:$U,21,FALSE)="","",VLOOKUP(A1954,[13]PRIORIZADOS!$A:$U,21,FALSE)),"")</f>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
    </row>
    <row r="1955" spans="1:21" s="1" customFormat="1" ht="72">
      <c r="A1955" s="69">
        <f>IF([13]PRIORIZADOS!A118="","",[13]PRIORIZADOS!A118)</f>
        <v>1924</v>
      </c>
      <c r="B1955" s="70">
        <f>IFERROR(IF(VLOOKUP(A1955,[13]PRIORIZADOS!$A:$B,2,FALSE)="","",VLOOKUP(A1955,[13]PRIORIZADOS!$A:$B,2,FALSE)),"")</f>
        <v>15</v>
      </c>
      <c r="C1955" s="11" t="str">
        <f>IFERROR(IF(VLOOKUP(A1955,[13]PRIORIZADOS!$A:$C,3,FALSE)="","",VLOOKUP(A1955,[13]PRIORIZADOS!$A:$C,3,FALSE)),"")</f>
        <v xml:space="preserve">SANTA FE Y CANDELARIA </v>
      </c>
      <c r="D1955" s="11" t="str">
        <f>IFERROR(IF(VLOOKUP(A1955,[13]PRIORIZADOS!$A:$D,4,FALSE)="","",VLOOKUP(A1955,[13]PRIORIZADOS!$A:$D,4,FALSE)),"")</f>
        <v>PRIVADO</v>
      </c>
      <c r="E1955" s="11" t="str">
        <f>IFERROR(IF(VLOOKUP(A1955,[13]PRIORIZADOS!$A:$E,5,FALSE)="","",VLOOKUP(A1955,[13]PRIORIZADOS!$A:$E,5,FALSE)),"")</f>
        <v>EPBM</v>
      </c>
      <c r="F1955" s="11" t="str">
        <f>IFERROR(IF(VLOOKUP(A1955,[13]PRIORIZADOS!$A:$F,6,FALSE)="","",VLOOKUP(A1955,[13]PRIORIZADOS!$A:$F,6,FALSE)),"")</f>
        <v>COLEGIO_DE_LAS_MERCEDES</v>
      </c>
      <c r="G1955" s="11" t="str">
        <f>IFERROR(IF(VLOOKUP(A1955,[13]PRIORIZADOS!$A:$G,7,FALSE)="","",VLOOKUP(A1955,[13]PRIORIZADOS!$A:$G,7,FALSE)),"")</f>
        <v>COLEGIO DE LAS MERCEDES</v>
      </c>
      <c r="H1955" s="11" t="str">
        <f>IFERROR(IF(VLOOKUP(A1955,[13]PRIORIZADOS!$A:$H,8,FALSE)="","",VLOOKUP(A1955,[13]PRIORIZADOS!$A:$H,8,FALSE)),"")</f>
        <v>Colegios Nuevos (creados en los últimos 2 años) / Seguimiento a los PMI acordados en 2028</v>
      </c>
      <c r="I1955" s="11" t="str">
        <f>IFERROR(IF(VLOOKUP(A1955,[13]PRIORIZADOS!$A:$I,9,FALSE)="","",VLOOKUP(A1955,[13]PRIORIZADOS!$A:$I,9,FALSE)),"")</f>
        <v>SEGUIMIENTO_Y_SUPERVISIÓN.</v>
      </c>
      <c r="J1955" s="11" t="str">
        <f>IFERROR(IF(VLOOKUP(A1955,[13]PRIORIZADOS!$A:$J,10,FALSE)="","",VLOOKUP(A1955,[13]PRIORIZADOS!$A:$J,10,FALSE)),"")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55" s="11" t="str">
        <f>IFERROR(IF(VLOOKUP(A1955,[13]PRIORIZADOS!$A:$K,11,FALSE)="","",VLOOKUP(A1955,[13]PRIORIZADOS!$A:$K,11,FALSE)),"")</f>
        <v xml:space="preserve">JORGE WILLIAM BONILLA ROMERO </v>
      </c>
      <c r="L1955" s="11" t="str">
        <f>IFERROR(IF(VLOOKUP(A1955,[13]PRIORIZADOS!$A:$L,12,FALSE)="","",VLOOKUP(A1955,[13]PRIORIZADOS!$A:$L,12,FALSE)),"")</f>
        <v>JOSÉ MAXIMILIANO CHAPARRO BARRERA</v>
      </c>
      <c r="M1955" s="71">
        <f>IFERROR(IF(VLOOKUP(A1955,[13]PRIORIZADOS!$A:$M,13,FALSE)="","",VLOOKUP(A1955,[13]PRIORIZADOS!$A:$M,13,FALSE)),"")</f>
        <v>45863</v>
      </c>
      <c r="N1955" s="71">
        <f>IFERROR(IF(VLOOKUP(A1955,[13]PRIORIZADOS!$A:$N,14,FALSE)="","",VLOOKUP(A1955,[13]PRIORIZADOS!$A:$N,14,FALSE)),"")</f>
        <v>45863</v>
      </c>
      <c r="O1955" s="71">
        <f>IFERROR(IF(VLOOKUP(A1955,[13]PRIORIZADOS!$A:$O,15,FALSE)="","",VLOOKUP(A1955,[13]PRIORIZADOS!$A:$O,15,FALSE)),"")</f>
        <v>45863</v>
      </c>
      <c r="P1955" s="11" t="str">
        <f>IFERROR(IF(VLOOKUP(A1955,[13]PRIORIZADOS!$A:$P,16,FALSE)="","",VLOOKUP(A1955,[13]PRIORIZADOS!$A:$P,16,FALSE)),"")</f>
        <v>Visitas de evaluación con fines de mejoramiento</v>
      </c>
      <c r="Q1955" s="248" t="s">
        <v>423</v>
      </c>
      <c r="R1955" s="11" t="str">
        <f>IFERROR(IF(VLOOKUP(A1955,[13]PRIORIZADOS!$A:$R,18,FALSE)="","",VLOOKUP(A1955,[13]PRIORIZADOS!$A:$R,18,FALSE)),"")</f>
        <v>Se evidencia que hay un estudiante que requiere PIAR no registrado en SIMAT y dos estudiantes que están registrados en SIMAT con requerimiento PIAR pero que actualmente no están en la institución educativa.</v>
      </c>
      <c r="S1955" s="11" t="str">
        <f>IFERROR(IF(VLOOKUP(A1955,[13]PRIORIZADOS!$A:$S,19,FALSE)="","",VLOOKUP(A1955,[13]PRIORIZADOS!$A:$S,19,FALSE)),"")</f>
        <v>Actualizar la información del aplicativo SIMAT y elaborar el plan de ajuste según lo enunciado.</v>
      </c>
      <c r="T1955" s="70" t="str">
        <f>IFERROR(IF(VLOOKUP(A1955,[13]PRIORIZADOS!$A:$T,20,FALSE)="","",VLOOKUP(A1955,[13]PRIORIZADOS!$A:$T,20,FALSE)),"")</f>
        <v>Si</v>
      </c>
      <c r="U1955" s="11" t="str">
        <f>IFERROR(IF(VLOOKUP(A1955,[13]PRIORIZADOS!$A:$U,21,FALSE)="","",VLOOKUP(A1955,[13]PRIORIZADOS!$A:$U,21,FALSE)),"")</f>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
    </row>
    <row r="1956" spans="1:21" s="1" customFormat="1" ht="84">
      <c r="A1956" s="69">
        <f>IF([13]PRIORIZADOS!A119="","",[13]PRIORIZADOS!A119)</f>
        <v>1925</v>
      </c>
      <c r="B1956" s="70">
        <f>IFERROR(IF(VLOOKUP(A1956,[13]PRIORIZADOS!$A:$B,2,FALSE)="","",VLOOKUP(A1956,[13]PRIORIZADOS!$A:$B,2,FALSE)),"")</f>
        <v>15</v>
      </c>
      <c r="C1956" s="11" t="str">
        <f>IFERROR(IF(VLOOKUP(A1956,[13]PRIORIZADOS!$A:$C,3,FALSE)="","",VLOOKUP(A1956,[13]PRIORIZADOS!$A:$C,3,FALSE)),"")</f>
        <v xml:space="preserve">SANTA FE Y CANDELARIA </v>
      </c>
      <c r="D1956" s="11" t="str">
        <f>IFERROR(IF(VLOOKUP(A1956,[13]PRIORIZADOS!$A:$D,4,FALSE)="","",VLOOKUP(A1956,[13]PRIORIZADOS!$A:$D,4,FALSE)),"")</f>
        <v>PRIVADO</v>
      </c>
      <c r="E1956" s="11" t="str">
        <f>IFERROR(IF(VLOOKUP(A1956,[13]PRIORIZADOS!$A:$E,5,FALSE)="","",VLOOKUP(A1956,[13]PRIORIZADOS!$A:$E,5,FALSE)),"")</f>
        <v>EPBM</v>
      </c>
      <c r="F1956" s="11" t="str">
        <f>IFERROR(IF(VLOOKUP(A1956,[13]PRIORIZADOS!$A:$F,6,FALSE)="","",VLOOKUP(A1956,[13]PRIORIZADOS!$A:$F,6,FALSE)),"")</f>
        <v>COLEGIO_DE_LAS_MERCEDES</v>
      </c>
      <c r="G1956" s="11" t="str">
        <f>IFERROR(IF(VLOOKUP(A1956,[13]PRIORIZADOS!$A:$G,7,FALSE)="","",VLOOKUP(A1956,[13]PRIORIZADOS!$A:$G,7,FALSE)),"")</f>
        <v>COLEGIO DE LAS MERCEDES</v>
      </c>
      <c r="H1956" s="11" t="str">
        <f>IFERROR(IF(VLOOKUP(A1956,[13]PRIORIZADOS!$A:$H,8,FALSE)="","",VLOOKUP(A1956,[13]PRIORIZADOS!$A:$H,8,FALSE)),"")</f>
        <v>Colegios Nuevos (creados en los últimos 2 años) / Seguimiento a los PMI acordados en 2029</v>
      </c>
      <c r="I1956" s="11" t="str">
        <f>IFERROR(IF(VLOOKUP(A1956,[13]PRIORIZADOS!$A:$I,9,FALSE)="","",VLOOKUP(A1956,[13]PRIORIZADOS!$A:$I,9,FALSE)),"")</f>
        <v>EVALUACIÓN_CON_FINES_DE_MEJORAMIENTO.</v>
      </c>
      <c r="J1956" s="11" t="str">
        <f>IFERROR(IF(VLOOKUP(A1956,[13]PRIORIZADOS!$A:$J,10,FALSE)="","",VLOOKUP(A1956,[13]PRIORIZADOS!$A:$J,10,FALSE)),"")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56" s="11" t="str">
        <f>IFERROR(IF(VLOOKUP(A1956,[13]PRIORIZADOS!$A:$K,11,FALSE)="","",VLOOKUP(A1956,[13]PRIORIZADOS!$A:$K,11,FALSE)),"")</f>
        <v xml:space="preserve">JORGE WILLIAM BONILLA ROMERO </v>
      </c>
      <c r="L1956" s="11" t="str">
        <f>IFERROR(IF(VLOOKUP(A1956,[13]PRIORIZADOS!$A:$L,12,FALSE)="","",VLOOKUP(A1956,[13]PRIORIZADOS!$A:$L,12,FALSE)),"")</f>
        <v>JOSÉ MAXIMILIANO CHAPARRO BARRERA</v>
      </c>
      <c r="M1956" s="71">
        <f>IFERROR(IF(VLOOKUP(A1956,[13]PRIORIZADOS!$A:$M,13,FALSE)="","",VLOOKUP(A1956,[13]PRIORIZADOS!$A:$M,13,FALSE)),"")</f>
        <v>45863</v>
      </c>
      <c r="N1956" s="71">
        <f>IFERROR(IF(VLOOKUP(A1956,[13]PRIORIZADOS!$A:$N,14,FALSE)="","",VLOOKUP(A1956,[13]PRIORIZADOS!$A:$N,14,FALSE)),"")</f>
        <v>45863</v>
      </c>
      <c r="O1956" s="71">
        <f>IFERROR(IF(VLOOKUP(A1956,[13]PRIORIZADOS!$A:$O,15,FALSE)="","",VLOOKUP(A1956,[13]PRIORIZADOS!$A:$O,15,FALSE)),"")</f>
        <v>45863</v>
      </c>
      <c r="P1956" s="11" t="str">
        <f>IFERROR(IF(VLOOKUP(A1956,[13]PRIORIZADOS!$A:$P,16,FALSE)="","",VLOOKUP(A1956,[13]PRIORIZADOS!$A:$P,16,FALSE)),"")</f>
        <v>Visitas de evaluación con fines de mejoramiento</v>
      </c>
      <c r="Q1956" s="248" t="s">
        <v>423</v>
      </c>
      <c r="R1956" s="11" t="str">
        <f>IFERROR(IF(VLOOKUP(A1956,[13]PRIORIZADOS!$A:$R,18,FALSE)="","",VLOOKUP(A1956,[13]PRIORIZADOS!$A:$R,18,FALSE)),"")</f>
        <v xml:space="preserve">Se encuentra desactualizado es necesario revisar y construir con la comunidad educativa, incluir normatividad de género, enfoque de derechos humanos e inclusión, así como, criterios de razonabilidad y proporcionalidad  </v>
      </c>
      <c r="S1956" s="11" t="str">
        <f>IFERROR(IF(VLOOKUP(A1956,[13]PRIORIZADOS!$A:$S,19,FALSE)="","",VLOOKUP(A1956,[13]PRIORIZADOS!$A:$S,19,FALSE)),"")</f>
        <v>Realizar los ajustes correspondientes al manual de convivencia y verifica la forma como se hace la entrega a la  comunidad educativa el código QR que facilitan no esta generando el ingreso</v>
      </c>
      <c r="T1956" s="70" t="str">
        <f>IFERROR(IF(VLOOKUP(A1956,[13]PRIORIZADOS!$A:$T,20,FALSE)="","",VLOOKUP(A1956,[13]PRIORIZADOS!$A:$T,20,FALSE)),"")</f>
        <v>Si</v>
      </c>
      <c r="U1956" s="11" t="str">
        <f>IFERROR(IF(VLOOKUP(A1956,[13]PRIORIZADOS!$A:$U,21,FALSE)="","",VLOOKUP(A1956,[13]PRIORIZADOS!$A:$U,21,FALSE)),"")</f>
        <v>Se verificaran los avances,cosntruccion y socialización del manual de convivencia antes del inicio del año  escolar 2026.
El EE No entrego plan de mejoramiento en la fecha acordada.  Se oficia para reporte del plan el 27 OCT 2025 con radicado S-2025-333655.  
Se realizará seguimiento al plan de mejoramiento en 2026.</v>
      </c>
    </row>
    <row r="1957" spans="1:21" s="1" customFormat="1" ht="72">
      <c r="A1957" s="69">
        <f>IF([13]PRIORIZADOS!A120="","",[13]PRIORIZADOS!A120)</f>
        <v>1926</v>
      </c>
      <c r="B1957" s="70">
        <f>IFERROR(IF(VLOOKUP(A1957,[13]PRIORIZADOS!$A:$B,2,FALSE)="","",VLOOKUP(A1957,[13]PRIORIZADOS!$A:$B,2,FALSE)),"")</f>
        <v>15</v>
      </c>
      <c r="C1957" s="11" t="str">
        <f>IFERROR(IF(VLOOKUP(A1957,[13]PRIORIZADOS!$A:$C,3,FALSE)="","",VLOOKUP(A1957,[13]PRIORIZADOS!$A:$C,3,FALSE)),"")</f>
        <v xml:space="preserve">SANTA FE Y CANDELARIA </v>
      </c>
      <c r="D1957" s="11" t="str">
        <f>IFERROR(IF(VLOOKUP(A1957,[13]PRIORIZADOS!$A:$D,4,FALSE)="","",VLOOKUP(A1957,[13]PRIORIZADOS!$A:$D,4,FALSE)),"")</f>
        <v>PRIVADO</v>
      </c>
      <c r="E1957" s="11" t="str">
        <f>IFERROR(IF(VLOOKUP(A1957,[13]PRIORIZADOS!$A:$E,5,FALSE)="","",VLOOKUP(A1957,[13]PRIORIZADOS!$A:$E,5,FALSE)),"")</f>
        <v>EPBM</v>
      </c>
      <c r="F1957" s="11" t="str">
        <f>IFERROR(IF(VLOOKUP(A1957,[13]PRIORIZADOS!$A:$F,6,FALSE)="","",VLOOKUP(A1957,[13]PRIORIZADOS!$A:$F,6,FALSE)),"")</f>
        <v>COLEGIO_DE_LAS_MERCEDES</v>
      </c>
      <c r="G1957" s="11" t="str">
        <f>IFERROR(IF(VLOOKUP(A1957,[13]PRIORIZADOS!$A:$G,7,FALSE)="","",VLOOKUP(A1957,[13]PRIORIZADOS!$A:$G,7,FALSE)),"")</f>
        <v>COLEGIO DE LAS MERCEDES</v>
      </c>
      <c r="H1957" s="11" t="str">
        <f>IFERROR(IF(VLOOKUP(A1957,[13]PRIORIZADOS!$A:$H,8,FALSE)="","",VLOOKUP(A1957,[13]PRIORIZADOS!$A:$H,8,FALSE)),"")</f>
        <v>Colegios Nuevos (creados en los últimos 2 años) / Seguimiento a los PMI acordados en 2030</v>
      </c>
      <c r="I1957" s="11" t="str">
        <f>IFERROR(IF(VLOOKUP(A1957,[13]PRIORIZADOS!$A:$I,9,FALSE)="","",VLOOKUP(A1957,[13]PRIORIZADOS!$A:$I,9,FALSE)),"")</f>
        <v>EVALUACIÓN_CON_FINES_DE_MEJORAMIENTO.</v>
      </c>
      <c r="J1957" s="11" t="str">
        <f>IFERROR(IF(VLOOKUP(A1957,[13]PRIORIZADOS!$A:$J,10,FALSE)="","",VLOOKUP(A1957,[13]PRIORIZADOS!$A:$J,10,FALSE)),"")</f>
        <v>Revisar la actualización, socialización e implementación del Sistema Institucional de Evaluación de Estudiantes - SIEE, en articulación con la actualización del PEI y la normatividad vigente.</v>
      </c>
      <c r="K1957" s="11" t="str">
        <f>IFERROR(IF(VLOOKUP(A1957,[13]PRIORIZADOS!$A:$K,11,FALSE)="","",VLOOKUP(A1957,[13]PRIORIZADOS!$A:$K,11,FALSE)),"")</f>
        <v xml:space="preserve">JORGE WILLIAM BONILLA ROMERO </v>
      </c>
      <c r="L1957" s="11" t="str">
        <f>IFERROR(IF(VLOOKUP(A1957,[13]PRIORIZADOS!$A:$L,12,FALSE)="","",VLOOKUP(A1957,[13]PRIORIZADOS!$A:$L,12,FALSE)),"")</f>
        <v>JOSÉ MAXIMILIANO CHAPARRO BARRERA</v>
      </c>
      <c r="M1957" s="71">
        <f>IFERROR(IF(VLOOKUP(A1957,[13]PRIORIZADOS!$A:$M,13,FALSE)="","",VLOOKUP(A1957,[13]PRIORIZADOS!$A:$M,13,FALSE)),"")</f>
        <v>45863</v>
      </c>
      <c r="N1957" s="71">
        <f>IFERROR(IF(VLOOKUP(A1957,[13]PRIORIZADOS!$A:$N,14,FALSE)="","",VLOOKUP(A1957,[13]PRIORIZADOS!$A:$N,14,FALSE)),"")</f>
        <v>45863</v>
      </c>
      <c r="O1957" s="71">
        <f>IFERROR(IF(VLOOKUP(A1957,[13]PRIORIZADOS!$A:$O,15,FALSE)="","",VLOOKUP(A1957,[13]PRIORIZADOS!$A:$O,15,FALSE)),"")</f>
        <v>45863</v>
      </c>
      <c r="P1957" s="11" t="str">
        <f>IFERROR(IF(VLOOKUP(A1957,[13]PRIORIZADOS!$A:$P,16,FALSE)="","",VLOOKUP(A1957,[13]PRIORIZADOS!$A:$P,16,FALSE)),"")</f>
        <v>Visitas de evaluación con fines de mejoramiento</v>
      </c>
      <c r="Q1957" s="248" t="s">
        <v>423</v>
      </c>
      <c r="R1957" s="11" t="str">
        <f>IFERROR(IF(VLOOKUP(A1957,[13]PRIORIZADOS!$A:$R,18,FALSE)="","",VLOOKUP(A1957,[13]PRIORIZADOS!$A:$R,18,FALSE)),"")</f>
        <v>Se observa que el SIEE da cumplimiento a las necesidades de la comunidad educativa en función de la socialización, construcción y normatividad, se dan cuenta de acciones de seguimiento y recuperación.</v>
      </c>
      <c r="S1957" s="11" t="str">
        <f>IFERROR(IF(VLOOKUP(A1957,[13]PRIORIZADOS!$A:$S,19,FALSE)="","",VLOOKUP(A1957,[13]PRIORIZADOS!$A:$S,19,FALSE)),"")</f>
        <v>Continuar con las actividades de seguimiento conforme a las necesidades de la comunidad educativa en función del avance de los procesos valorativos de los estudiantes.</v>
      </c>
      <c r="T1957" s="70" t="str">
        <f>IFERROR(IF(VLOOKUP(A1957,[13]PRIORIZADOS!$A:$T,20,FALSE)="","",VLOOKUP(A1957,[13]PRIORIZADOS!$A:$T,20,FALSE)),"")</f>
        <v>No</v>
      </c>
      <c r="U1957" s="11" t="str">
        <f>IFERROR(IF(VLOOKUP(A1957,[13]PRIORIZADOS!$A:$U,21,FALSE)="","",VLOOKUP(A1957,[13]PRIORIZADOS!$A:$U,21,FALSE)),"")</f>
        <v>Se realizará asesoría de requerir la institución educativa.
El EE No entrego plan de mejoramiento en la fecha acordada.  Se oficia para reporte del plan el 27 OCT 2025 con radicado S-2025-333655.  
Se realizará seguimiento al plan de mejoramiento en 2026.</v>
      </c>
    </row>
    <row r="1958" spans="1:21" s="1" customFormat="1" ht="60">
      <c r="A1958" s="69">
        <f>IF([13]PRIORIZADOS!A121="","",[13]PRIORIZADOS!A121)</f>
        <v>1927</v>
      </c>
      <c r="B1958" s="70">
        <f>IFERROR(IF(VLOOKUP(A1958,[13]PRIORIZADOS!$A:$B,2,FALSE)="","",VLOOKUP(A1958,[13]PRIORIZADOS!$A:$B,2,FALSE)),"")</f>
        <v>15</v>
      </c>
      <c r="C1958" s="11" t="str">
        <f>IFERROR(IF(VLOOKUP(A1958,[13]PRIORIZADOS!$A:$C,3,FALSE)="","",VLOOKUP(A1958,[13]PRIORIZADOS!$A:$C,3,FALSE)),"")</f>
        <v xml:space="preserve">SANTA FE Y CANDELARIA </v>
      </c>
      <c r="D1958" s="11" t="str">
        <f>IFERROR(IF(VLOOKUP(A1958,[13]PRIORIZADOS!$A:$D,4,FALSE)="","",VLOOKUP(A1958,[13]PRIORIZADOS!$A:$D,4,FALSE)),"")</f>
        <v>PRIVADO</v>
      </c>
      <c r="E1958" s="11" t="str">
        <f>IFERROR(IF(VLOOKUP(A1958,[13]PRIORIZADOS!$A:$E,5,FALSE)="","",VLOOKUP(A1958,[13]PRIORIZADOS!$A:$E,5,FALSE)),"")</f>
        <v>EPBM</v>
      </c>
      <c r="F1958" s="11" t="str">
        <f>IFERROR(IF(VLOOKUP(A1958,[13]PRIORIZADOS!$A:$F,6,FALSE)="","",VLOOKUP(A1958,[13]PRIORIZADOS!$A:$F,6,FALSE)),"")</f>
        <v>COLEGIO_DE_LAS_MERCEDES</v>
      </c>
      <c r="G1958" s="11" t="str">
        <f>IFERROR(IF(VLOOKUP(A1958,[13]PRIORIZADOS!$A:$G,7,FALSE)="","",VLOOKUP(A1958,[13]PRIORIZADOS!$A:$G,7,FALSE)),"")</f>
        <v>COLEGIO DE LAS MERCEDES</v>
      </c>
      <c r="H1958" s="11" t="str">
        <f>IFERROR(IF(VLOOKUP(A1958,[13]PRIORIZADOS!$A:$H,8,FALSE)="","",VLOOKUP(A1958,[13]PRIORIZADOS!$A:$H,8,FALSE)),"")</f>
        <v>Colegios Nuevos (creados en los últimos 2 años) / Seguimiento a los PMI acordados en 2031</v>
      </c>
      <c r="I1958" s="11" t="str">
        <f>IFERROR(IF(VLOOKUP(A1958,[13]PRIORIZADOS!$A:$I,9,FALSE)="","",VLOOKUP(A1958,[13]PRIORIZADOS!$A:$I,9,FALSE)),"")</f>
        <v>EVALUACIÓN_CON_FINES_DE_MEJORAMIENTO.</v>
      </c>
      <c r="J1958" s="11" t="str">
        <f>IFERROR(IF(VLOOKUP(A1958,[13]PRIORIZADOS!$A:$J,10,FALSE)="","",VLOOKUP(A1958,[13]PRIORIZADOS!$A:$J,10,FALSE)),"")</f>
        <v>Verificar el funcionamiento del Gobierno Escolar e instancias de participación con base en la información sobre conformación reportada por la institución educativa.</v>
      </c>
      <c r="K1958" s="11" t="str">
        <f>IFERROR(IF(VLOOKUP(A1958,[13]PRIORIZADOS!$A:$K,11,FALSE)="","",VLOOKUP(A1958,[13]PRIORIZADOS!$A:$K,11,FALSE)),"")</f>
        <v xml:space="preserve">JORGE WILLIAM BONILLA ROMERO </v>
      </c>
      <c r="L1958" s="11" t="str">
        <f>IFERROR(IF(VLOOKUP(A1958,[13]PRIORIZADOS!$A:$L,12,FALSE)="","",VLOOKUP(A1958,[13]PRIORIZADOS!$A:$L,12,FALSE)),"")</f>
        <v>JOSÉ MAXIMILIANO CHAPARRO BARRERA</v>
      </c>
      <c r="M1958" s="71">
        <f>IFERROR(IF(VLOOKUP(A1958,[13]PRIORIZADOS!$A:$M,13,FALSE)="","",VLOOKUP(A1958,[13]PRIORIZADOS!$A:$M,13,FALSE)),"")</f>
        <v>45863</v>
      </c>
      <c r="N1958" s="71">
        <f>IFERROR(IF(VLOOKUP(A1958,[13]PRIORIZADOS!$A:$N,14,FALSE)="","",VLOOKUP(A1958,[13]PRIORIZADOS!$A:$N,14,FALSE)),"")</f>
        <v>45863</v>
      </c>
      <c r="O1958" s="71">
        <f>IFERROR(IF(VLOOKUP(A1958,[13]PRIORIZADOS!$A:$O,15,FALSE)="","",VLOOKUP(A1958,[13]PRIORIZADOS!$A:$O,15,FALSE)),"")</f>
        <v>45863</v>
      </c>
      <c r="P1958" s="11" t="str">
        <f>IFERROR(IF(VLOOKUP(A1958,[13]PRIORIZADOS!$A:$P,16,FALSE)="","",VLOOKUP(A1958,[13]PRIORIZADOS!$A:$P,16,FALSE)),"")</f>
        <v>Visitas de evaluación con fines de mejoramiento</v>
      </c>
      <c r="Q1958" s="248" t="s">
        <v>423</v>
      </c>
      <c r="R1958" s="11" t="str">
        <f>IFERROR(IF(VLOOKUP(A1958,[13]PRIORIZADOS!$A:$R,18,FALSE)="","",VLOOKUP(A1958,[13]PRIORIZADOS!$A:$R,18,FALSE)),"")</f>
        <v xml:space="preserve">Se observa conformación de los órganos de gobierno escolar, pero no de la totalidad de ejecución de las instancias de participación, incluida la escuela de padres. </v>
      </c>
      <c r="S1958" s="11" t="str">
        <f>IFERROR(IF(VLOOKUP(A1958,[13]PRIORIZADOS!$A:$S,19,FALSE)="","",VLOOKUP(A1958,[13]PRIORIZADOS!$A:$S,19,FALSE)),"")</f>
        <v>Presentar las actas que den cuanta del funcionamiento de gobierno escolar vigencia 2025.</v>
      </c>
      <c r="T1958" s="70" t="str">
        <f>IFERROR(IF(VLOOKUP(A1958,[13]PRIORIZADOS!$A:$T,20,FALSE)="","",VLOOKUP(A1958,[13]PRIORIZADOS!$A:$T,20,FALSE)),"")</f>
        <v>Si</v>
      </c>
      <c r="U1958" s="11" t="str">
        <f>IFERROR(IF(VLOOKUP(A1958,[13]PRIORIZADOS!$A:$U,21,FALSE)="","",VLOOKUP(A1958,[13]PRIORIZADOS!$A:$U,21,FALSE)),"")</f>
        <v>Verificar lo propuesto en el plan de mejoramiento y realizar seguimiento en el mes de octubre.
El EE No entrego plan de mejoramiento en la fecha acordada.  Se oficia para reporte del plan el 27 OCT 2025 con radicado S-2025-333655.  
Se realizará seguimiento al plan de mejoramiento en 2026.</v>
      </c>
    </row>
    <row r="1959" spans="1:21" s="1" customFormat="1" ht="96">
      <c r="A1959" s="69">
        <f>IF([13]PRIORIZADOS!A122="","",[13]PRIORIZADOS!A122)</f>
        <v>1928</v>
      </c>
      <c r="B1959" s="70">
        <f>IFERROR(IF(VLOOKUP(A1959,[13]PRIORIZADOS!$A:$B,2,FALSE)="","",VLOOKUP(A1959,[13]PRIORIZADOS!$A:$B,2,FALSE)),"")</f>
        <v>15</v>
      </c>
      <c r="C1959" s="11" t="str">
        <f>IFERROR(IF(VLOOKUP(A1959,[13]PRIORIZADOS!$A:$C,3,FALSE)="","",VLOOKUP(A1959,[13]PRIORIZADOS!$A:$C,3,FALSE)),"")</f>
        <v xml:space="preserve">SANTA FE Y CANDELARIA </v>
      </c>
      <c r="D1959" s="11" t="str">
        <f>IFERROR(IF(VLOOKUP(A1959,[13]PRIORIZADOS!$A:$D,4,FALSE)="","",VLOOKUP(A1959,[13]PRIORIZADOS!$A:$D,4,FALSE)),"")</f>
        <v>PRIVADO</v>
      </c>
      <c r="E1959" s="11" t="str">
        <f>IFERROR(IF(VLOOKUP(A1959,[13]PRIORIZADOS!$A:$E,5,FALSE)="","",VLOOKUP(A1959,[13]PRIORIZADOS!$A:$E,5,FALSE)),"")</f>
        <v>EPBM</v>
      </c>
      <c r="F1959" s="11" t="str">
        <f>IFERROR(IF(VLOOKUP(A1959,[13]PRIORIZADOS!$A:$F,6,FALSE)="","",VLOOKUP(A1959,[13]PRIORIZADOS!$A:$F,6,FALSE)),"")</f>
        <v>COLEGIO_DE_LAS_MERCEDES</v>
      </c>
      <c r="G1959" s="11" t="str">
        <f>IFERROR(IF(VLOOKUP(A1959,[13]PRIORIZADOS!$A:$G,7,FALSE)="","",VLOOKUP(A1959,[13]PRIORIZADOS!$A:$G,7,FALSE)),"")</f>
        <v>COLEGIO DE LAS MERCEDES</v>
      </c>
      <c r="H1959" s="11" t="str">
        <f>IFERROR(IF(VLOOKUP(A1959,[13]PRIORIZADOS!$A:$H,8,FALSE)="","",VLOOKUP(A1959,[13]PRIORIZADOS!$A:$H,8,FALSE)),"")</f>
        <v>Colegios Nuevos (creados en los últimos 2 años) / Seguimiento a los PMI acordados en 2032</v>
      </c>
      <c r="I1959" s="11" t="str">
        <f>IFERROR(IF(VLOOKUP(A1959,[13]PRIORIZADOS!$A:$I,9,FALSE)="","",VLOOKUP(A1959,[13]PRIORIZADOS!$A:$I,9,FALSE)),"")</f>
        <v>EVALUACIÓN_CON_FINES_DE_MEJORAMIENTO.</v>
      </c>
      <c r="J1959" s="11" t="str">
        <f>IFERROR(IF(VLOOKUP(A1959,[13]PRIORIZADOS!$A:$J,10,FALSE)="","",VLOOKUP(A1959,[13]PRIORIZADOS!$A:$J,10,FALSE)),"")</f>
        <v>Verificar las condiciones en cuanto a: la estructura administrativa, condiciones de la planta física y medios educativos adecuados.</v>
      </c>
      <c r="K1959" s="11" t="str">
        <f>IFERROR(IF(VLOOKUP(A1959,[13]PRIORIZADOS!$A:$K,11,FALSE)="","",VLOOKUP(A1959,[13]PRIORIZADOS!$A:$K,11,FALSE)),"")</f>
        <v xml:space="preserve">JORGE WILLIAM BONILLA ROMERO </v>
      </c>
      <c r="L1959" s="11" t="str">
        <f>IFERROR(IF(VLOOKUP(A1959,[13]PRIORIZADOS!$A:$L,12,FALSE)="","",VLOOKUP(A1959,[13]PRIORIZADOS!$A:$L,12,FALSE)),"")</f>
        <v>JOSÉ MAXIMILIANO CHAPARRO BARRERA</v>
      </c>
      <c r="M1959" s="71">
        <f>IFERROR(IF(VLOOKUP(A1959,[13]PRIORIZADOS!$A:$M,13,FALSE)="","",VLOOKUP(A1959,[13]PRIORIZADOS!$A:$M,13,FALSE)),"")</f>
        <v>45863</v>
      </c>
      <c r="N1959" s="71">
        <f>IFERROR(IF(VLOOKUP(A1959,[13]PRIORIZADOS!$A:$N,14,FALSE)="","",VLOOKUP(A1959,[13]PRIORIZADOS!$A:$N,14,FALSE)),"")</f>
        <v>45863</v>
      </c>
      <c r="O1959" s="71">
        <f>IFERROR(IF(VLOOKUP(A1959,[13]PRIORIZADOS!$A:$O,15,FALSE)="","",VLOOKUP(A1959,[13]PRIORIZADOS!$A:$O,15,FALSE)),"")</f>
        <v>45863</v>
      </c>
      <c r="P1959" s="11" t="str">
        <f>IFERROR(IF(VLOOKUP(A1959,[13]PRIORIZADOS!$A:$P,16,FALSE)="","",VLOOKUP(A1959,[13]PRIORIZADOS!$A:$P,16,FALSE)),"")</f>
        <v>Visitas de evaluación con fines de mejoramiento</v>
      </c>
      <c r="Q1959" s="248" t="s">
        <v>423</v>
      </c>
      <c r="R1959" s="11" t="str">
        <f>IFERROR(IF(VLOOKUP(A1959,[13]PRIORIZADOS!$A:$R,18,FALSE)="","",VLOOKUP(A1959,[13]PRIORIZADOS!$A:$R,18,FALSE)),"")</f>
        <v>Se encontró deficiente mantenimiento de la planta física, la infraestructura no corresponde con lo reportado en el EVI, las baterías sanitarias no son suficientes, los contratos de docentes y administrativos no están legalizados, no se pudo verificar pago de seguridad social. No reporta salidas escolares</v>
      </c>
      <c r="S1959" s="11" t="str">
        <f>IFERROR(IF(VLOOKUP(A1959,[13]PRIORIZADOS!$A:$S,19,FALSE)="","",VLOOKUP(A1959,[13]PRIORIZADOS!$A:$S,19,FALSE)),"")</f>
        <v>Actualizar hojas de vida y legalizar los contratos, aportar información actualizada del pago de seguridad social, presentar plan de mejoramiento de las adecuaciones a la infraestructura, cumplir con lo establecido en la directiva 055.</v>
      </c>
      <c r="T1959" s="70" t="str">
        <f>IFERROR(IF(VLOOKUP(A1959,[13]PRIORIZADOS!$A:$T,20,FALSE)="","",VLOOKUP(A1959,[13]PRIORIZADOS!$A:$T,20,FALSE)),"")</f>
        <v>si</v>
      </c>
      <c r="U1959" s="11" t="str">
        <f>IFERROR(IF(VLOOKUP(A1959,[13]PRIORIZADOS!$A:$U,21,FALSE)="","",VLOOKUP(A1959,[13]PRIORIZADOS!$A:$U,21,FALSE)),"")</f>
        <v>Verificar lo propuesto en el plan de mejoramiento y realizar seguimiento en el mes de octubre. Revisar cumplimiento de pago de seguridad social.
El EE No entrego plan de mejoramiento en la fecha acordada.  Se oficia para reporte del plan el 27 OCT 2025 con radicado S-2025-333655.  
Se realizará seguimiento al plan de mejoramiento en 2026.</v>
      </c>
    </row>
    <row r="1960" spans="1:21" s="1" customFormat="1" ht="28.5">
      <c r="A1960" s="69" t="str">
        <f>IF([13]PRIORIZADOS!A123="","",[13]PRIORIZADOS!A123)</f>
        <v/>
      </c>
      <c r="B1960" s="70" t="str">
        <f>IFERROR(IF(VLOOKUP(A1960,[13]PRIORIZADOS!$A:$B,2,FALSE)="","",VLOOKUP(A1960,[13]PRIORIZADOS!$A:$B,2,FALSE)),"")</f>
        <v/>
      </c>
      <c r="C1960" s="11" t="str">
        <f>IFERROR(IF(VLOOKUP(A1960,[13]PRIORIZADOS!$A:$C,3,FALSE)="","",VLOOKUP(A1960,[13]PRIORIZADOS!$A:$C,3,FALSE)),"")</f>
        <v/>
      </c>
      <c r="D1960" s="11" t="str">
        <f>IFERROR(IF(VLOOKUP(A1960,[13]PRIORIZADOS!$A:$D,4,FALSE)="","",VLOOKUP(A1960,[13]PRIORIZADOS!$A:$D,4,FALSE)),"")</f>
        <v/>
      </c>
      <c r="E1960" s="11" t="str">
        <f>IFERROR(IF(VLOOKUP(A1960,[13]PRIORIZADOS!$A:$E,5,FALSE)="","",VLOOKUP(A1960,[13]PRIORIZADOS!$A:$E,5,FALSE)),"")</f>
        <v/>
      </c>
      <c r="F1960" s="11" t="str">
        <f>IFERROR(IF(VLOOKUP(A1960,[13]PRIORIZADOS!$A:$F,6,FALSE)="","",VLOOKUP(A1960,[13]PRIORIZADOS!$A:$F,6,FALSE)),"")</f>
        <v/>
      </c>
      <c r="G1960" s="11" t="str">
        <f>IFERROR(IF(VLOOKUP(A1960,[13]PRIORIZADOS!$A:$G,7,FALSE)="","",VLOOKUP(A1960,[13]PRIORIZADOS!$A:$G,7,FALSE)),"")</f>
        <v/>
      </c>
      <c r="H1960" s="11" t="str">
        <f>IFERROR(IF(VLOOKUP(A1960,[13]PRIORIZADOS!$A:$H,8,FALSE)="","",VLOOKUP(A1960,[13]PRIORIZADOS!$A:$H,8,FALSE)),"")</f>
        <v/>
      </c>
      <c r="I1960" s="11" t="str">
        <f>IFERROR(IF(VLOOKUP(A1960,[13]PRIORIZADOS!$A:$I,9,FALSE)="","",VLOOKUP(A1960,[13]PRIORIZADOS!$A:$I,9,FALSE)),"")</f>
        <v/>
      </c>
      <c r="J1960" s="11" t="str">
        <f>IFERROR(IF(VLOOKUP(A1960,[13]PRIORIZADOS!$A:$J,10,FALSE)="","",VLOOKUP(A1960,[13]PRIORIZADOS!$A:$J,10,FALSE)),"")</f>
        <v/>
      </c>
      <c r="K1960" s="11" t="str">
        <f>IFERROR(IF(VLOOKUP(A1960,[13]PRIORIZADOS!$A:$K,11,FALSE)="","",VLOOKUP(A1960,[13]PRIORIZADOS!$A:$K,11,FALSE)),"")</f>
        <v/>
      </c>
      <c r="L1960" s="11" t="str">
        <f>IFERROR(IF(VLOOKUP(A1960,[13]PRIORIZADOS!$A:$L,12,FALSE)="","",VLOOKUP(A1960,[13]PRIORIZADOS!$A:$L,12,FALSE)),"")</f>
        <v/>
      </c>
      <c r="M1960" s="71" t="str">
        <f>IFERROR(IF(VLOOKUP(A1960,[13]PRIORIZADOS!$A:$M,13,FALSE)="","",VLOOKUP(A1960,[13]PRIORIZADOS!$A:$M,13,FALSE)),"")</f>
        <v/>
      </c>
      <c r="N1960" s="71" t="str">
        <f>IFERROR(IF(VLOOKUP(A1960,[13]PRIORIZADOS!$A:$N,14,FALSE)="","",VLOOKUP(A1960,[13]PRIORIZADOS!$A:$N,14,FALSE)),"")</f>
        <v/>
      </c>
      <c r="O1960" s="71" t="str">
        <f>IFERROR(IF(VLOOKUP(A1960,[13]PRIORIZADOS!$A:$O,15,FALSE)="","",VLOOKUP(A1960,[13]PRIORIZADOS!$A:$O,15,FALSE)),"")</f>
        <v/>
      </c>
      <c r="P1960" s="11" t="str">
        <f>IFERROR(IF(VLOOKUP(A1960,[13]PRIORIZADOS!$A:$P,16,FALSE)="","",VLOOKUP(A1960,[13]PRIORIZADOS!$A:$P,16,FALSE)),"")</f>
        <v/>
      </c>
      <c r="Q1960" s="248" t="s">
        <v>423</v>
      </c>
      <c r="R1960" s="11" t="str">
        <f>IFERROR(IF(VLOOKUP(A1960,[13]PRIORIZADOS!$A:$R,18,FALSE)="","",VLOOKUP(A1960,[13]PRIORIZADOS!$A:$R,18,FALSE)),"")</f>
        <v/>
      </c>
      <c r="S1960" s="11" t="str">
        <f>IFERROR(IF(VLOOKUP(A1960,[13]PRIORIZADOS!$A:$S,19,FALSE)="","",VLOOKUP(A1960,[13]PRIORIZADOS!$A:$S,19,FALSE)),"")</f>
        <v/>
      </c>
      <c r="T1960" s="70" t="str">
        <f>IFERROR(IF(VLOOKUP(A1960,[13]PRIORIZADOS!$A:$T,20,FALSE)="","",VLOOKUP(A1960,[13]PRIORIZADOS!$A:$T,20,FALSE)),"")</f>
        <v/>
      </c>
      <c r="U1960" s="11" t="str">
        <f>IFERROR(IF(VLOOKUP(A1960,[13]PRIORIZADOS!$A:$U,21,FALSE)="","",VLOOKUP(A1960,[13]PRIORIZADOS!$A:$U,21,FALSE)),"")</f>
        <v/>
      </c>
    </row>
    <row r="1961" spans="1:21" s="1" customFormat="1" ht="54" customHeight="1">
      <c r="A1961" s="69">
        <f>IF([14]PRIORIZADOS!A8="","",[14]PRIORIZADOS!A8)</f>
        <v>1929</v>
      </c>
      <c r="B1961" s="70">
        <f>IFERROR(IF(VLOOKUP(A1961,[14]PRIORIZADOS!$A:$B,2,FALSE)="","",VLOOKUP(A1961,[14]PRIORIZADOS!$A:$B,2,FALSE)),"")</f>
        <v>1</v>
      </c>
      <c r="C1961" s="11" t="s">
        <v>424</v>
      </c>
      <c r="D1961" s="11" t="str">
        <f>IFERROR(IF(VLOOKUP(A1961,[14]PRIORIZADOS!$A:$D,4,FALSE)="","",VLOOKUP(A1961,[14]PRIORIZADOS!$A:$D,4,FALSE)),"")</f>
        <v>PRIVADO</v>
      </c>
      <c r="E1961" s="11" t="str">
        <f>IFERROR(IF(VLOOKUP(A1961,[14]PRIORIZADOS!$A:$E,5,FALSE)="","",VLOOKUP(A1961,[14]PRIORIZADOS!$A:$E,5,FALSE)),"")</f>
        <v>Educación de Jóvenes y Adultos</v>
      </c>
      <c r="F1961" s="11" t="str">
        <f>IFERROR(IF(VLOOKUP(A1961,[14]PRIORIZADOS!$A:$F,6,FALSE)="","",VLOOKUP(A1961,[14]PRIORIZADOS!$A:$F,6,FALSE)),"")</f>
        <v>INSTITUTO_FORMATES</v>
      </c>
      <c r="G1961" s="11" t="str">
        <f>IFERROR(IF(VLOOKUP(A1961,[14]PRIORIZADOS!$A:$G,7,FALSE)="","",VLOOKUP(A1961,[14]PRIORIZADOS!$A:$G,7,FALSE)),"")</f>
        <v>INSTITUTO_FORMATES</v>
      </c>
      <c r="H1961" s="11" t="str">
        <f>IFERROR(IF(VLOOKUP(A1961,[14]PRIORIZADOS!$A:$H,8,FALSE)="","",VLOOKUP(A1961,[14]PRIORIZADOS!$A:$H,8,FALSE)),"")</f>
        <v>Autoevaluación Institucional y Pruebas SABER 11</v>
      </c>
      <c r="I1961" s="11" t="str">
        <f>IFERROR(IF(VLOOKUP(A1961,[14]PRIORIZADOS!$A:$I,9,FALSE)="","",VLOOKUP(A1961,[14]PRIORIZADOS!$A:$I,9,FALSE)),"")</f>
        <v>SEGUIMIENTO_Y_SUPERVISIÓN.</v>
      </c>
      <c r="J1961" s="11" t="str">
        <f>IFERROR(IF(VLOOKUP(A1961,[14]PRIORIZADOS!$A:$J,10,FALSE)="","",VLOOKUP(A1961,[14]PRIORIZADOS!$A:$J,10,FALSE)),"")</f>
        <v>Realizar visitas para verificar la información registrada sobre la autoevaluación institucional en el aplicativo EVI, a los establecimientos de educación formal no oficial.</v>
      </c>
      <c r="K1961" s="11" t="str">
        <f>IFERROR(IF(VLOOKUP(A1961,[14]PRIORIZADOS!$A:$K,11,FALSE)="","",VLOOKUP(A1961,[14]PRIORIZADOS!$A:$K,11,FALSE)),"")</f>
        <v>ALBA DEL PILAR CUBIDES CÁCERES</v>
      </c>
      <c r="L1961" s="11" t="str">
        <f>IFERROR(IF(VLOOKUP(A1961,[14]PRIORIZADOS!$A:$L,12,FALSE)="","",VLOOKUP(A1961,[14]PRIORIZADOS!$A:$L,12,FALSE)),"")</f>
        <v>SONIA CONSTANZA URREGO GONZÁLEZ</v>
      </c>
      <c r="M1961" s="71">
        <f>IFERROR(IF(VLOOKUP(A1961,[14]PRIORIZADOS!$A:$M,13,FALSE)="","",VLOOKUP(A1961,[14]PRIORIZADOS!$A:$M,13,FALSE)),"")</f>
        <v>45881</v>
      </c>
      <c r="N1961" s="71">
        <f>IFERROR(IF(VLOOKUP(A1961,[14]PRIORIZADOS!$A:$N,14,FALSE)="","",VLOOKUP(A1961,[14]PRIORIZADOS!$A:$N,14,FALSE)),"")</f>
        <v>45933</v>
      </c>
      <c r="O1961" s="71">
        <f>IFERROR(IF(VLOOKUP(A1961,[14]PRIORIZADOS!$A:$O,15,FALSE)="","",VLOOKUP(A1961,[14]PRIORIZADOS!$A:$O,15,FALSE)),"")</f>
        <v>45933</v>
      </c>
      <c r="P1961" s="11" t="str">
        <f>IFERROR(IF(VLOOKUP(A1961,[14]PRIORIZADOS!$A:$P,16,FALSE)="","",VLOOKUP(A1961,[14]PRIORIZADOS!$A:$P,16,FALSE)),"")</f>
        <v>Visitas de evaluación con fines de seguimiento</v>
      </c>
      <c r="Q1961" s="249" t="s">
        <v>425</v>
      </c>
      <c r="R1961" s="11" t="str">
        <f>IFERROR(IF(VLOOKUP(A1961,[14]PRIORIZADOS!$A:$R,18,FALSE)="","",VLOOKUP(A1961,[14]PRIORIZADOS!$A:$R,18,FALSE)),"")</f>
        <v>Una vez realizada visita, se encuentra que la informaciòn reporrtada coindide en cuanto espacios físicos, dotación y estructura administrativa, no obstante la vinculación docente no está acorde con lo establedido en la normatividad vigente</v>
      </c>
      <c r="S1961" s="11" t="str">
        <f>IFERROR(IF(VLOOKUP(A1961,[14]PRIORIZADOS!$A:$S,19,FALSE)="","",VLOOKUP(A1961,[14]PRIORIZADOS!$A:$S,19,FALSE)),"")</f>
        <v>Seguir con los proceso de revisión y autoevaluanión anual.</v>
      </c>
      <c r="T1961" s="70" t="str">
        <f>IFERROR(IF(VLOOKUP(A1961,[14]PRIORIZADOS!$A:$T,20,FALSE)="","",VLOOKUP(A1961,[14]PRIORIZADOS!$A:$T,20,FALSE)),"")</f>
        <v>Si</v>
      </c>
      <c r="U1961" s="11" t="str">
        <f>IFERROR(IF(VLOOKUP(A1961,[14]PRIORIZADOS!$A:$U,21,FALSE)="","",VLOOKUP(A1961,[14]PRIORIZADOS!$A:$U,21,FALSE)),"")</f>
        <v>Ninguna</v>
      </c>
    </row>
    <row r="1962" spans="1:21" s="1" customFormat="1" ht="60">
      <c r="A1962" s="69">
        <f>IF([14]PRIORIZADOS!A9="","",[14]PRIORIZADOS!A9)</f>
        <v>1930</v>
      </c>
      <c r="B1962" s="70">
        <f>IFERROR(IF(VLOOKUP(A1962,[14]PRIORIZADOS!$A:$B,2,FALSE)="","",VLOOKUP(A1962,[14]PRIORIZADOS!$A:$B,2,FALSE)),"")</f>
        <v>1</v>
      </c>
      <c r="C1962" s="11" t="s">
        <v>424</v>
      </c>
      <c r="D1962" s="11" t="str">
        <f>IFERROR(IF(VLOOKUP(A1962,[14]PRIORIZADOS!$A:$D,4,FALSE)="","",VLOOKUP(A1962,[14]PRIORIZADOS!$A:$D,4,FALSE)),"")</f>
        <v>PRIVADO</v>
      </c>
      <c r="E1962" s="11" t="str">
        <f>IFERROR(IF(VLOOKUP(A1962,[14]PRIORIZADOS!$A:$E,5,FALSE)="","",VLOOKUP(A1962,[14]PRIORIZADOS!$A:$E,5,FALSE)),"")</f>
        <v>Educación de Jóvenes y Adultos</v>
      </c>
      <c r="F1962" s="11" t="str">
        <f>IFERROR(IF(VLOOKUP(A1962,[14]PRIORIZADOS!$A:$F,6,FALSE)="","",VLOOKUP(A1962,[14]PRIORIZADOS!$A:$F,6,FALSE)),"")</f>
        <v>INSTITUTO_FORMATES</v>
      </c>
      <c r="G1962" s="11" t="str">
        <f>IFERROR(IF(VLOOKUP(A1962,[14]PRIORIZADOS!$A:$G,7,FALSE)="","",VLOOKUP(A1962,[14]PRIORIZADOS!$A:$G,7,FALSE)),"")</f>
        <v>INSTITUTO_FORMATES</v>
      </c>
      <c r="H1962" s="11" t="str">
        <f>IFERROR(IF(VLOOKUP(A1962,[14]PRIORIZADOS!$A:$H,8,FALSE)="","",VLOOKUP(A1962,[14]PRIORIZADOS!$A:$H,8,FALSE)),"")</f>
        <v>Autoevaluación Institucional y Pruebas SABER 11</v>
      </c>
      <c r="I1962" s="11" t="str">
        <f>IFERROR(IF(VLOOKUP(A1962,[14]PRIORIZADOS!$A:$I,9,FALSE)="","",VLOOKUP(A1962,[14]PRIORIZADOS!$A:$I,9,FALSE)),"")</f>
        <v>SEGUIMIENTO_Y_SUPERVISIÓN.</v>
      </c>
      <c r="J1962" s="11" t="str">
        <f>IFERROR(IF(VLOOKUP(A1962,[14]PRIORIZADOS!$A:$J,10,FALSE)="","",VLOOKUP(A1962,[14]PRIORIZADOS!$A:$J,10,FALSE)),"")</f>
        <v>Proponer estrategias en la formulación, verificar su elaboración y realizar seguimiento semestral al desarrollo de  las acciones establecidas en los planes de mejoramiento por pruebas SABER 11 de los establecimientos de educación formal.</v>
      </c>
      <c r="K1962" s="11" t="str">
        <f>IFERROR(IF(VLOOKUP(A1962,[14]PRIORIZADOS!$A:$K,11,FALSE)="","",VLOOKUP(A1962,[14]PRIORIZADOS!$A:$K,11,FALSE)),"")</f>
        <v>ALBA DEL PILAR CUBIDES CÁCERES</v>
      </c>
      <c r="L1962" s="11" t="str">
        <f>IFERROR(IF(VLOOKUP(A1962,[14]PRIORIZADOS!$A:$L,12,FALSE)="","",VLOOKUP(A1962,[14]PRIORIZADOS!$A:$L,12,FALSE)),"")</f>
        <v>SONIA CONSTANZA URREGO GONZÁLEZ</v>
      </c>
      <c r="M1962" s="71">
        <f>IFERROR(IF(VLOOKUP(A1962,[14]PRIORIZADOS!$A:$M,13,FALSE)="","",VLOOKUP(A1962,[14]PRIORIZADOS!$A:$M,13,FALSE)),"")</f>
        <v>45881</v>
      </c>
      <c r="N1962" s="71">
        <f>IFERROR(IF(VLOOKUP(A1962,[14]PRIORIZADOS!$A:$N,14,FALSE)="","",VLOOKUP(A1962,[14]PRIORIZADOS!$A:$N,14,FALSE)),"")</f>
        <v>45933</v>
      </c>
      <c r="O1962" s="71">
        <f>IFERROR(IF(VLOOKUP(A1962,[14]PRIORIZADOS!$A:$O,15,FALSE)="","",VLOOKUP(A1962,[14]PRIORIZADOS!$A:$O,15,FALSE)),"")</f>
        <v>45933</v>
      </c>
      <c r="P1962" s="11" t="str">
        <f>IFERROR(IF(VLOOKUP(A1962,[14]PRIORIZADOS!$A:$P,16,FALSE)="","",VLOOKUP(A1962,[14]PRIORIZADOS!$A:$P,16,FALSE)),"")</f>
        <v>Visitas de evaluación con fines de seguimiento</v>
      </c>
      <c r="Q1962" s="250" t="s">
        <v>425</v>
      </c>
      <c r="R1962" s="11" t="str">
        <f>IFERROR(IF(VLOOKUP(A1962,[14]PRIORIZADOS!$A:$R,18,FALSE)="","",VLOOKUP(A1962,[14]PRIORIZADOS!$A:$R,18,FALSE)),"")</f>
        <v>Realizada vìsita se observa que, la instituciòn no actualizò el curriculo ni el plan de estudios de acuerdo a la pruebas saber, pero si  implementó  acciones para mejorar las pruebas SABER 11</v>
      </c>
      <c r="S1962" s="11" t="str">
        <f>IFERROR(IF(VLOOKUP(A1962,[14]PRIORIZADOS!$A:$S,19,FALSE)="","",VLOOKUP(A1962,[14]PRIORIZADOS!$A:$S,19,FALSE)),"")</f>
        <v>Se debe presentar plan de mejoramiento a màs tardar el dìa 20 de octubre  de 2025, en el cual se informe las actividades, el tiempo y el funcionario a cargo</v>
      </c>
      <c r="T1962" s="70" t="str">
        <f>IFERROR(IF(VLOOKUP(A1962,[14]PRIORIZADOS!$A:$T,20,FALSE)="","",VLOOKUP(A1962,[14]PRIORIZADOS!$A:$T,20,FALSE)),"")</f>
        <v>Si</v>
      </c>
      <c r="U1962" s="11" t="str">
        <f>IFERROR(IF(VLOOKUP(A1962,[14]PRIORIZADOS!$A:$U,21,FALSE)="","",VLOOKUP(A1962,[14]PRIORIZADOS!$A:$U,21,FALSE)),"")</f>
        <v>Realizar visita cuando se ejecute  la totalidad del plan de mejora</v>
      </c>
    </row>
    <row r="1963" spans="1:21" s="1" customFormat="1" ht="84">
      <c r="A1963" s="69">
        <f>IF([14]PRIORIZADOS!A10="","",[14]PRIORIZADOS!A10)</f>
        <v>1931</v>
      </c>
      <c r="B1963" s="70">
        <f>IFERROR(IF(VLOOKUP(A1963,[14]PRIORIZADOS!$A:$B,2,FALSE)="","",VLOOKUP(A1963,[14]PRIORIZADOS!$A:$B,2,FALSE)),"")</f>
        <v>1</v>
      </c>
      <c r="C1963" s="11" t="s">
        <v>424</v>
      </c>
      <c r="D1963" s="11" t="str">
        <f>IFERROR(IF(VLOOKUP(A1963,[14]PRIORIZADOS!$A:$D,4,FALSE)="","",VLOOKUP(A1963,[14]PRIORIZADOS!$A:$D,4,FALSE)),"")</f>
        <v>PRIVADO</v>
      </c>
      <c r="E1963" s="11" t="str">
        <f>IFERROR(IF(VLOOKUP(A1963,[14]PRIORIZADOS!$A:$E,5,FALSE)="","",VLOOKUP(A1963,[14]PRIORIZADOS!$A:$E,5,FALSE)),"")</f>
        <v>Educación de Jóvenes y Adultos</v>
      </c>
      <c r="F1963" s="11" t="str">
        <f>IFERROR(IF(VLOOKUP(A1963,[14]PRIORIZADOS!$A:$F,6,FALSE)="","",VLOOKUP(A1963,[14]PRIORIZADOS!$A:$F,6,FALSE)),"")</f>
        <v>INSTITUTO_FORMATES</v>
      </c>
      <c r="G1963" s="11" t="str">
        <f>IFERROR(IF(VLOOKUP(A1963,[14]PRIORIZADOS!$A:$G,7,FALSE)="","",VLOOKUP(A1963,[14]PRIORIZADOS!$A:$G,7,FALSE)),"")</f>
        <v>INSTITUTO_FORMATES</v>
      </c>
      <c r="H1963" s="11" t="str">
        <f>IFERROR(IF(VLOOKUP(A1963,[14]PRIORIZADOS!$A:$H,8,FALSE)="","",VLOOKUP(A1963,[14]PRIORIZADOS!$A:$H,8,FALSE)),"")</f>
        <v>Autoevaluación Institucional y Pruebas SABER 11</v>
      </c>
      <c r="I1963" s="11" t="str">
        <f>IFERROR(IF(VLOOKUP(A1963,[14]PRIORIZADOS!$A:$I,9,FALSE)="","",VLOOKUP(A1963,[14]PRIORIZADOS!$A:$I,9,FALSE)),"")</f>
        <v>SEGUIMIENTO_Y_SUPERVISIÓN.</v>
      </c>
      <c r="J1963" s="11" t="str">
        <f>IFERROR(IF(VLOOKUP(A1963,[14]PRIORIZADOS!$A:$J,10,FALSE)="","",VLOOKUP(A1963,[14]PRIORIZADOS!$A:$J,10,FALSE)),"")</f>
        <v xml:space="preserve">Verificar la implementación por parte de los colegios, de acciones realizadas para la prevención y atención de las situaciones de convivencia en el entorno escolar, según lo establecido en la Directiva 01 de 2022 del MEN. </v>
      </c>
      <c r="K1963" s="11" t="str">
        <f>IFERROR(IF(VLOOKUP(A1963,[14]PRIORIZADOS!$A:$K,11,FALSE)="","",VLOOKUP(A1963,[14]PRIORIZADOS!$A:$K,11,FALSE)),"")</f>
        <v>ALBA DEL PILAR CUBIDES CÁCERES</v>
      </c>
      <c r="L1963" s="11" t="str">
        <f>IFERROR(IF(VLOOKUP(A1963,[14]PRIORIZADOS!$A:$L,12,FALSE)="","",VLOOKUP(A1963,[14]PRIORIZADOS!$A:$L,12,FALSE)),"")</f>
        <v>SONIA CONSTANZA URREGO GONZÁLEZ</v>
      </c>
      <c r="M1963" s="71">
        <f>IFERROR(IF(VLOOKUP(A1963,[14]PRIORIZADOS!$A:$M,13,FALSE)="","",VLOOKUP(A1963,[14]PRIORIZADOS!$A:$M,13,FALSE)),"")</f>
        <v>45883</v>
      </c>
      <c r="N1963" s="71">
        <f>IFERROR(IF(VLOOKUP(A1963,[14]PRIORIZADOS!$A:$N,14,FALSE)="","",VLOOKUP(A1963,[14]PRIORIZADOS!$A:$N,14,FALSE)),"")</f>
        <v>45933</v>
      </c>
      <c r="O1963" s="71">
        <f>IFERROR(IF(VLOOKUP(A1963,[14]PRIORIZADOS!$A:$O,15,FALSE)="","",VLOOKUP(A1963,[14]PRIORIZADOS!$A:$O,15,FALSE)),"")</f>
        <v>45933</v>
      </c>
      <c r="P1963" s="11" t="str">
        <f>IFERROR(IF(VLOOKUP(A1963,[14]PRIORIZADOS!$A:$P,16,FALSE)="","",VLOOKUP(A1963,[14]PRIORIZADOS!$A:$P,16,FALSE)),"")</f>
        <v>Visitas de evaluación con fines de seguimiento</v>
      </c>
      <c r="Q1963" s="250" t="s">
        <v>425</v>
      </c>
      <c r="R1963" s="11" t="str">
        <f>IFERROR(IF(VLOOKUP(A1963,[14]PRIORIZADOS!$A:$R,18,FALSE)="","",VLOOKUP(A1963,[14]PRIORIZADOS!$A:$R,18,FALSE)),"")</f>
        <v xml:space="preserve">La instituciòn no cumple teniendo en cuenta que,no  tiene conformado el comite de acuerdo al art 12 de la ley 1620 de 2013, por lo que no ha realizado aaciones para la prevención y atención de las situaciones de convivencia </v>
      </c>
      <c r="S1963" s="11" t="str">
        <f>IFERROR(IF(VLOOKUP(A1963,[14]PRIORIZADOS!$A:$S,19,FALSE)="","",VLOOKUP(A1963,[14]PRIORIZADOS!$A:$S,19,FALSE)),"")</f>
        <v>Se debe presentar plan de mejoramiento a màs tardar el dìa 20 de octubre de 2025, en el cual se informe las actividades, el tiempo y el funcionario a cargo; por lo queno se han realizado acciones de prevención y ayención a las situaciones de convivencia</v>
      </c>
      <c r="T1963" s="70" t="str">
        <f>IFERROR(IF(VLOOKUP(A1963,[14]PRIORIZADOS!$A:$T,20,FALSE)="","",VLOOKUP(A1963,[14]PRIORIZADOS!$A:$T,20,FALSE)),"")</f>
        <v>Si</v>
      </c>
      <c r="U1963" s="11" t="str">
        <f>IFERROR(IF(VLOOKUP(A1963,[14]PRIORIZADOS!$A:$U,21,FALSE)="","",VLOOKUP(A1963,[14]PRIORIZADOS!$A:$U,21,FALSE)),"")</f>
        <v>Realizar visita cuando se ejecute  la totalidad del plan de mejora</v>
      </c>
    </row>
    <row r="1964" spans="1:21" s="1" customFormat="1" ht="72">
      <c r="A1964" s="69">
        <f>IF([14]PRIORIZADOS!A11="","",[14]PRIORIZADOS!A11)</f>
        <v>1932</v>
      </c>
      <c r="B1964" s="70">
        <f>IFERROR(IF(VLOOKUP(A1964,[14]PRIORIZADOS!$A:$B,2,FALSE)="","",VLOOKUP(A1964,[14]PRIORIZADOS!$A:$B,2,FALSE)),"")</f>
        <v>1</v>
      </c>
      <c r="C1964" s="11" t="s">
        <v>424</v>
      </c>
      <c r="D1964" s="11" t="str">
        <f>IFERROR(IF(VLOOKUP(A1964,[14]PRIORIZADOS!$A:$D,4,FALSE)="","",VLOOKUP(A1964,[14]PRIORIZADOS!$A:$D,4,FALSE)),"")</f>
        <v>PRIVADO</v>
      </c>
      <c r="E1964" s="11" t="str">
        <f>IFERROR(IF(VLOOKUP(A1964,[14]PRIORIZADOS!$A:$E,5,FALSE)="","",VLOOKUP(A1964,[14]PRIORIZADOS!$A:$E,5,FALSE)),"")</f>
        <v>Educación de Jóvenes y Adultos</v>
      </c>
      <c r="F1964" s="11" t="str">
        <f>IFERROR(IF(VLOOKUP(A1964,[14]PRIORIZADOS!$A:$F,6,FALSE)="","",VLOOKUP(A1964,[14]PRIORIZADOS!$A:$F,6,FALSE)),"")</f>
        <v>INSTITUTO_FORMATES</v>
      </c>
      <c r="G1964" s="11" t="str">
        <f>IFERROR(IF(VLOOKUP(A1964,[14]PRIORIZADOS!$A:$G,7,FALSE)="","",VLOOKUP(A1964,[14]PRIORIZADOS!$A:$G,7,FALSE)),"")</f>
        <v>INSTITUTO_FORMATES</v>
      </c>
      <c r="H1964" s="11" t="str">
        <f>IFERROR(IF(VLOOKUP(A1964,[14]PRIORIZADOS!$A:$H,8,FALSE)="","",VLOOKUP(A1964,[14]PRIORIZADOS!$A:$H,8,FALSE)),"")</f>
        <v>Autoevaluación Institucional y Pruebas SABER 11</v>
      </c>
      <c r="I1964" s="11" t="str">
        <f>IFERROR(IF(VLOOKUP(A1964,[14]PRIORIZADOS!$A:$I,9,FALSE)="","",VLOOKUP(A1964,[14]PRIORIZADOS!$A:$I,9,FALSE)),"")</f>
        <v>SEGUIMIENTO_Y_SUPERVISIÓN.</v>
      </c>
      <c r="J1964" s="11" t="str">
        <f>IFERROR(IF(VLOOKUP(A1964,[14]PRIORIZADOS!$A:$J,10,FALSE)="","",VLOOKUP(A1964,[14]PRIORIZADOS!$A:$J,10,FALSE)),"")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64" s="11" t="str">
        <f>IFERROR(IF(VLOOKUP(A1964,[14]PRIORIZADOS!$A:$K,11,FALSE)="","",VLOOKUP(A1964,[14]PRIORIZADOS!$A:$K,11,FALSE)),"")</f>
        <v>ALBA DEL PILAR CUBIDES CÁCERES</v>
      </c>
      <c r="L1964" s="11" t="str">
        <f>IFERROR(IF(VLOOKUP(A1964,[14]PRIORIZADOS!$A:$L,12,FALSE)="","",VLOOKUP(A1964,[14]PRIORIZADOS!$A:$L,12,FALSE)),"")</f>
        <v>SONIA CONSTANZA URREGO GONZÁLEZ</v>
      </c>
      <c r="M1964" s="71">
        <f>IFERROR(IF(VLOOKUP(A1964,[14]PRIORIZADOS!$A:$M,13,FALSE)="","",VLOOKUP(A1964,[14]PRIORIZADOS!$A:$M,13,FALSE)),"")</f>
        <v>45883</v>
      </c>
      <c r="N1964" s="71">
        <f>IFERROR(IF(VLOOKUP(A1964,[14]PRIORIZADOS!$A:$N,14,FALSE)="","",VLOOKUP(A1964,[14]PRIORIZADOS!$A:$N,14,FALSE)),"")</f>
        <v>45933</v>
      </c>
      <c r="O1964" s="71">
        <f>IFERROR(IF(VLOOKUP(A1964,[14]PRIORIZADOS!$A:$O,15,FALSE)="","",VLOOKUP(A1964,[14]PRIORIZADOS!$A:$O,15,FALSE)),"")</f>
        <v>45933</v>
      </c>
      <c r="P1964" s="11" t="str">
        <f>IFERROR(IF(VLOOKUP(A1964,[14]PRIORIZADOS!$A:$P,16,FALSE)="","",VLOOKUP(A1964,[14]PRIORIZADOS!$A:$P,16,FALSE)),"")</f>
        <v>Visitas de evaluación con fines de seguimiento</v>
      </c>
      <c r="Q1964" s="250" t="s">
        <v>425</v>
      </c>
      <c r="R1964" s="11" t="str">
        <f>IFERROR(IF(VLOOKUP(A1964,[14]PRIORIZADOS!$A:$R,18,FALSE)="","",VLOOKUP(A1964,[14]PRIORIZADOS!$A:$R,18,FALSE)),"")</f>
        <v xml:space="preserve">La Institución  no cuenta con estudiantes  de NEEE </v>
      </c>
      <c r="S1964" s="11" t="str">
        <f>IFERROR(IF(VLOOKUP(A1964,[14]PRIORIZADOS!$A:$S,19,FALSE)="","",VLOOKUP(A1964,[14]PRIORIZADOS!$A:$S,19,FALSE)),"")</f>
        <v>Ninguna</v>
      </c>
      <c r="T1964" s="70" t="str">
        <f>IFERROR(IF(VLOOKUP(A1964,[14]PRIORIZADOS!$A:$T,20,FALSE)="","",VLOOKUP(A1964,[14]PRIORIZADOS!$A:$T,20,FALSE)),"")</f>
        <v>No</v>
      </c>
      <c r="U1964" s="11" t="str">
        <f>IFERROR(IF(VLOOKUP(A1964,[14]PRIORIZADOS!$A:$U,21,FALSE)="","",VLOOKUP(A1964,[14]PRIORIZADOS!$A:$U,21,FALSE)),"")</f>
        <v>Ninguna</v>
      </c>
    </row>
    <row r="1965" spans="1:21" s="1" customFormat="1" ht="84">
      <c r="A1965" s="69">
        <f>IF([14]PRIORIZADOS!A12="","",[14]PRIORIZADOS!A12)</f>
        <v>1933</v>
      </c>
      <c r="B1965" s="70">
        <f>IFERROR(IF(VLOOKUP(A1965,[14]PRIORIZADOS!$A:$B,2,FALSE)="","",VLOOKUP(A1965,[14]PRIORIZADOS!$A:$B,2,FALSE)),"")</f>
        <v>1</v>
      </c>
      <c r="C1965" s="11" t="s">
        <v>424</v>
      </c>
      <c r="D1965" s="11" t="str">
        <f>IFERROR(IF(VLOOKUP(A1965,[14]PRIORIZADOS!$A:$D,4,FALSE)="","",VLOOKUP(A1965,[14]PRIORIZADOS!$A:$D,4,FALSE)),"")</f>
        <v>PRIVADO</v>
      </c>
      <c r="E1965" s="11" t="str">
        <f>IFERROR(IF(VLOOKUP(A1965,[14]PRIORIZADOS!$A:$E,5,FALSE)="","",VLOOKUP(A1965,[14]PRIORIZADOS!$A:$E,5,FALSE)),"")</f>
        <v>Educación de Jóvenes y Adultos</v>
      </c>
      <c r="F1965" s="11" t="str">
        <f>IFERROR(IF(VLOOKUP(A1965,[14]PRIORIZADOS!$A:$F,6,FALSE)="","",VLOOKUP(A1965,[14]PRIORIZADOS!$A:$F,6,FALSE)),"")</f>
        <v>INSTITUTO_FORMATES</v>
      </c>
      <c r="G1965" s="11" t="str">
        <f>IFERROR(IF(VLOOKUP(A1965,[14]PRIORIZADOS!$A:$G,7,FALSE)="","",VLOOKUP(A1965,[14]PRIORIZADOS!$A:$G,7,FALSE)),"")</f>
        <v>INSTITUTO_FORMATES</v>
      </c>
      <c r="H1965" s="11" t="str">
        <f>IFERROR(IF(VLOOKUP(A1965,[14]PRIORIZADOS!$A:$H,8,FALSE)="","",VLOOKUP(A1965,[14]PRIORIZADOS!$A:$H,8,FALSE)),"")</f>
        <v>Autoevaluación Institucional y Pruebas SABER 11</v>
      </c>
      <c r="I1965" s="11" t="str">
        <f>IFERROR(IF(VLOOKUP(A1965,[14]PRIORIZADOS!$A:$I,9,FALSE)="","",VLOOKUP(A1965,[14]PRIORIZADOS!$A:$I,9,FALSE)),"")</f>
        <v>EVALUACIÓN_CON_FINES_DE_MEJORAMIENTO.</v>
      </c>
      <c r="J1965" s="11" t="str">
        <f>IFERROR(IF(VLOOKUP(A1965,[14]PRIORIZADOS!$A:$J,10,FALSE)="","",VLOOKUP(A1965,[14]PRIORIZADOS!$A:$J,10,FALSE)),"")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65" s="11" t="str">
        <f>IFERROR(IF(VLOOKUP(A1965,[14]PRIORIZADOS!$A:$K,11,FALSE)="","",VLOOKUP(A1965,[14]PRIORIZADOS!$A:$K,11,FALSE)),"")</f>
        <v>ALBA DEL PILAR CUBIDES CÁCERES</v>
      </c>
      <c r="L1965" s="11" t="str">
        <f>IFERROR(IF(VLOOKUP(A1965,[14]PRIORIZADOS!$A:$L,12,FALSE)="","",VLOOKUP(A1965,[14]PRIORIZADOS!$A:$L,12,FALSE)),"")</f>
        <v>SONIA CONSTANZA URREGO GONZÁLEZ</v>
      </c>
      <c r="M1965" s="71">
        <f>IFERROR(IF(VLOOKUP(A1965,[14]PRIORIZADOS!$A:$M,13,FALSE)="","",VLOOKUP(A1965,[14]PRIORIZADOS!$A:$M,13,FALSE)),"")</f>
        <v>45883</v>
      </c>
      <c r="N1965" s="71">
        <f>IFERROR(IF(VLOOKUP(A1965,[14]PRIORIZADOS!$A:$N,14,FALSE)="","",VLOOKUP(A1965,[14]PRIORIZADOS!$A:$N,14,FALSE)),"")</f>
        <v>45933</v>
      </c>
      <c r="O1965" s="71">
        <f>IFERROR(IF(VLOOKUP(A1965,[14]PRIORIZADOS!$A:$O,15,FALSE)="","",VLOOKUP(A1965,[14]PRIORIZADOS!$A:$O,15,FALSE)),"")</f>
        <v>45933</v>
      </c>
      <c r="P1965" s="11" t="str">
        <f>IFERROR(IF(VLOOKUP(A1965,[14]PRIORIZADOS!$A:$P,16,FALSE)="","",VLOOKUP(A1965,[14]PRIORIZADOS!$A:$P,16,FALSE)),"")</f>
        <v>Visitas de evaluación con fines de mejoramiento</v>
      </c>
      <c r="Q1965" s="250" t="s">
        <v>425</v>
      </c>
      <c r="R1965" s="11" t="str">
        <f>IFERROR(IF(VLOOKUP(A1965,[14]PRIORIZADOS!$A:$R,18,FALSE)="","",VLOOKUP(A1965,[14]PRIORIZADOS!$A:$R,18,FALSE)),"")</f>
        <v>Se debe construìr el manual de convivencia de forma participativa, incluìr diferentes enfoques de respeto y activar comitè de convivencia</v>
      </c>
      <c r="S1965" s="11" t="str">
        <f>IFERROR(IF(VLOOKUP(A1965,[14]PRIORIZADOS!$A:$S,19,FALSE)="","",VLOOKUP(A1965,[14]PRIORIZADOS!$A:$S,19,FALSE)),"")</f>
        <v>Se debe presentar plan de mejoramiento a màs tardar el dìa 20 de octubre de 2025, en el cual se informe las actividades, el tiempo y el funcionario a cargo del proceso</v>
      </c>
      <c r="T1965" s="70" t="str">
        <f>IFERROR(IF(VLOOKUP(A1965,[14]PRIORIZADOS!$A:$T,20,FALSE)="","",VLOOKUP(A1965,[14]PRIORIZADOS!$A:$T,20,FALSE)),"")</f>
        <v>Si</v>
      </c>
      <c r="U1965" s="11" t="str">
        <f>IFERROR(IF(VLOOKUP(A1965,[14]PRIORIZADOS!$A:$U,21,FALSE)="","",VLOOKUP(A1965,[14]PRIORIZADOS!$A:$U,21,FALSE)),"")</f>
        <v>Realizar visita cuando se ejecute  la totalidad del plan de mejora</v>
      </c>
    </row>
    <row r="1966" spans="1:21" s="1" customFormat="1" ht="72">
      <c r="A1966" s="69">
        <f>IF([14]PRIORIZADOS!A13="","",[14]PRIORIZADOS!A13)</f>
        <v>1934</v>
      </c>
      <c r="B1966" s="70">
        <f>IFERROR(IF(VLOOKUP(A1966,[14]PRIORIZADOS!$A:$B,2,FALSE)="","",VLOOKUP(A1966,[14]PRIORIZADOS!$A:$B,2,FALSE)),"")</f>
        <v>1</v>
      </c>
      <c r="C1966" s="11" t="s">
        <v>424</v>
      </c>
      <c r="D1966" s="11" t="str">
        <f>IFERROR(IF(VLOOKUP(A1966,[14]PRIORIZADOS!$A:$D,4,FALSE)="","",VLOOKUP(A1966,[14]PRIORIZADOS!$A:$D,4,FALSE)),"")</f>
        <v>PRIVADO</v>
      </c>
      <c r="E1966" s="11" t="str">
        <f>IFERROR(IF(VLOOKUP(A1966,[14]PRIORIZADOS!$A:$E,5,FALSE)="","",VLOOKUP(A1966,[14]PRIORIZADOS!$A:$E,5,FALSE)),"")</f>
        <v>Educación de Jóvenes y Adultos</v>
      </c>
      <c r="F1966" s="11" t="str">
        <f>IFERROR(IF(VLOOKUP(A1966,[14]PRIORIZADOS!$A:$F,6,FALSE)="","",VLOOKUP(A1966,[14]PRIORIZADOS!$A:$F,6,FALSE)),"")</f>
        <v>INSTITUTO_FORMATES</v>
      </c>
      <c r="G1966" s="11" t="str">
        <f>IFERROR(IF(VLOOKUP(A1966,[14]PRIORIZADOS!$A:$G,7,FALSE)="","",VLOOKUP(A1966,[14]PRIORIZADOS!$A:$G,7,FALSE)),"")</f>
        <v>INSTITUTO_FORMATES</v>
      </c>
      <c r="H1966" s="11" t="str">
        <f>IFERROR(IF(VLOOKUP(A1966,[14]PRIORIZADOS!$A:$H,8,FALSE)="","",VLOOKUP(A1966,[14]PRIORIZADOS!$A:$H,8,FALSE)),"")</f>
        <v>Autoevaluación Institucional y Pruebas SABER 11</v>
      </c>
      <c r="I1966" s="11" t="str">
        <f>IFERROR(IF(VLOOKUP(A1966,[14]PRIORIZADOS!$A:$I,9,FALSE)="","",VLOOKUP(A1966,[14]PRIORIZADOS!$A:$I,9,FALSE)),"")</f>
        <v>EVALUACIÓN_CON_FINES_DE_MEJORAMIENTO.</v>
      </c>
      <c r="J1966" s="11" t="str">
        <f>IFERROR(IF(VLOOKUP(A1966,[14]PRIORIZADOS!$A:$J,10,FALSE)="","",VLOOKUP(A1966,[14]PRIORIZADOS!$A:$J,10,FALSE)),"")</f>
        <v>Revisar la actualización, socialización e implementación del Sistema Institucional de Evaluación de Estudiantes - SIEE, en articulación con la actualización del PEI y la normatividad vigente.</v>
      </c>
      <c r="K1966" s="11" t="str">
        <f>IFERROR(IF(VLOOKUP(A1966,[14]PRIORIZADOS!$A:$K,11,FALSE)="","",VLOOKUP(A1966,[14]PRIORIZADOS!$A:$K,11,FALSE)),"")</f>
        <v>ALBA DEL PILAR CUBIDES CÁCERES</v>
      </c>
      <c r="L1966" s="11" t="str">
        <f>IFERROR(IF(VLOOKUP(A1966,[14]PRIORIZADOS!$A:$L,12,FALSE)="","",VLOOKUP(A1966,[14]PRIORIZADOS!$A:$L,12,FALSE)),"")</f>
        <v>SONIA CONSTANZA URREGO GONZÁLEZ</v>
      </c>
      <c r="M1966" s="71">
        <f>IFERROR(IF(VLOOKUP(A1966,[14]PRIORIZADOS!$A:$M,13,FALSE)="","",VLOOKUP(A1966,[14]PRIORIZADOS!$A:$M,13,FALSE)),"")</f>
        <v>45883</v>
      </c>
      <c r="N1966" s="71">
        <f>IFERROR(IF(VLOOKUP(A1966,[14]PRIORIZADOS!$A:$N,14,FALSE)="","",VLOOKUP(A1966,[14]PRIORIZADOS!$A:$N,14,FALSE)),"")</f>
        <v>45933</v>
      </c>
      <c r="O1966" s="71">
        <f>IFERROR(IF(VLOOKUP(A1966,[14]PRIORIZADOS!$A:$O,15,FALSE)="","",VLOOKUP(A1966,[14]PRIORIZADOS!$A:$O,15,FALSE)),"")</f>
        <v>45933</v>
      </c>
      <c r="P1966" s="11" t="str">
        <f>IFERROR(IF(VLOOKUP(A1966,[14]PRIORIZADOS!$A:$P,16,FALSE)="","",VLOOKUP(A1966,[14]PRIORIZADOS!$A:$P,16,FALSE)),"")</f>
        <v>Visitas de evaluación con fines de mejoramiento</v>
      </c>
      <c r="Q1966" s="250" t="s">
        <v>425</v>
      </c>
      <c r="R1966" s="11" t="str">
        <f>IFERROR(IF(VLOOKUP(A1966,[14]PRIORIZADOS!$A:$R,18,FALSE)="","",VLOOKUP(A1966,[14]PRIORIZADOS!$A:$R,18,FALSE)),"")</f>
        <v>El SIEE se encuentra  implementado. No obstante no se ha  conformado el comité de evaluación y promoción el cual es obligatorio según decreto 1290 de 2009 art. 5 y decreto 1075 de 2015 art. 2.3.3.3.3.3. 11 Numeral 3,4,5</v>
      </c>
      <c r="S1966" s="11" t="str">
        <f>IFERROR(IF(VLOOKUP(A1966,[14]PRIORIZADOS!$A:$S,19,FALSE)="","",VLOOKUP(A1966,[14]PRIORIZADOS!$A:$S,19,FALSE)),"")</f>
        <v>Se debe presentar plan de mejoramiento a màs tardar el dìa 20 de octubre  de 2025, en el cual se informe las actividades, el tiempo y el funcionario a cargo</v>
      </c>
      <c r="T1966" s="70" t="str">
        <f>IFERROR(IF(VLOOKUP(A1966,[14]PRIORIZADOS!$A:$T,20,FALSE)="","",VLOOKUP(A1966,[14]PRIORIZADOS!$A:$T,20,FALSE)),"")</f>
        <v>Si</v>
      </c>
      <c r="U1966" s="11" t="str">
        <f>IFERROR(IF(VLOOKUP(A1966,[14]PRIORIZADOS!$A:$U,21,FALSE)="","",VLOOKUP(A1966,[14]PRIORIZADOS!$A:$U,21,FALSE)),"")</f>
        <v>Realizar visita cuando se ejecute  la totalidad del plan de mejora</v>
      </c>
    </row>
    <row r="1967" spans="1:21" s="1" customFormat="1" ht="48">
      <c r="A1967" s="69">
        <f>IF([14]PRIORIZADOS!A14="","",[14]PRIORIZADOS!A14)</f>
        <v>1935</v>
      </c>
      <c r="B1967" s="70">
        <f>IFERROR(IF(VLOOKUP(A1967,[14]PRIORIZADOS!$A:$B,2,FALSE)="","",VLOOKUP(A1967,[14]PRIORIZADOS!$A:$B,2,FALSE)),"")</f>
        <v>1</v>
      </c>
      <c r="C1967" s="11" t="s">
        <v>424</v>
      </c>
      <c r="D1967" s="11" t="str">
        <f>IFERROR(IF(VLOOKUP(A1967,[14]PRIORIZADOS!$A:$D,4,FALSE)="","",VLOOKUP(A1967,[14]PRIORIZADOS!$A:$D,4,FALSE)),"")</f>
        <v>PRIVADO</v>
      </c>
      <c r="E1967" s="11" t="str">
        <f>IFERROR(IF(VLOOKUP(A1967,[14]PRIORIZADOS!$A:$E,5,FALSE)="","",VLOOKUP(A1967,[14]PRIORIZADOS!$A:$E,5,FALSE)),"")</f>
        <v>Educación de Jóvenes y Adultos</v>
      </c>
      <c r="F1967" s="11" t="str">
        <f>IFERROR(IF(VLOOKUP(A1967,[14]PRIORIZADOS!$A:$F,6,FALSE)="","",VLOOKUP(A1967,[14]PRIORIZADOS!$A:$F,6,FALSE)),"")</f>
        <v>INSTITUTO_FORMATES</v>
      </c>
      <c r="G1967" s="11" t="str">
        <f>IFERROR(IF(VLOOKUP(A1967,[14]PRIORIZADOS!$A:$G,7,FALSE)="","",VLOOKUP(A1967,[14]PRIORIZADOS!$A:$G,7,FALSE)),"")</f>
        <v>INSTITUTO_FORMATES</v>
      </c>
      <c r="H1967" s="11" t="str">
        <f>IFERROR(IF(VLOOKUP(A1967,[14]PRIORIZADOS!$A:$H,8,FALSE)="","",VLOOKUP(A1967,[14]PRIORIZADOS!$A:$H,8,FALSE)),"")</f>
        <v>Autoevaluación Institucional y Pruebas SABER 11</v>
      </c>
      <c r="I1967" s="11" t="str">
        <f>IFERROR(IF(VLOOKUP(A1967,[14]PRIORIZADOS!$A:$I,9,FALSE)="","",VLOOKUP(A1967,[14]PRIORIZADOS!$A:$I,9,FALSE)),"")</f>
        <v>EVALUACIÓN_CON_FINES_DE_MEJORAMIENTO.</v>
      </c>
      <c r="J1967" s="11" t="str">
        <f>IFERROR(IF(VLOOKUP(A1967,[14]PRIORIZADOS!$A:$J,10,FALSE)="","",VLOOKUP(A1967,[14]PRIORIZADOS!$A:$J,10,FALSE)),"")</f>
        <v>Revisar el calendario escolar, jornada escolar, la intensidad horaria mínima anual en cada nivel y las modificaciones que se realicen al mismo, de acuerdo con lo previsto en la normatividad vigente.</v>
      </c>
      <c r="K1967" s="11" t="str">
        <f>IFERROR(IF(VLOOKUP(A1967,[14]PRIORIZADOS!$A:$K,11,FALSE)="","",VLOOKUP(A1967,[14]PRIORIZADOS!$A:$K,11,FALSE)),"")</f>
        <v>ALBA DEL PILAR CUBIDES CÁCERES</v>
      </c>
      <c r="L1967" s="11" t="str">
        <f>IFERROR(IF(VLOOKUP(A1967,[14]PRIORIZADOS!$A:$L,12,FALSE)="","",VLOOKUP(A1967,[14]PRIORIZADOS!$A:$L,12,FALSE)),"")</f>
        <v>SONIA CONSTANZA URREGO GONZÁLEZ</v>
      </c>
      <c r="M1967" s="71">
        <f>IFERROR(IF(VLOOKUP(A1967,[14]PRIORIZADOS!$A:$M,13,FALSE)="","",VLOOKUP(A1967,[14]PRIORIZADOS!$A:$M,13,FALSE)),"")</f>
        <v>45883</v>
      </c>
      <c r="N1967" s="71">
        <f>IFERROR(IF(VLOOKUP(A1967,[14]PRIORIZADOS!$A:$N,14,FALSE)="","",VLOOKUP(A1967,[14]PRIORIZADOS!$A:$N,14,FALSE)),"")</f>
        <v>45933</v>
      </c>
      <c r="O1967" s="71">
        <f>IFERROR(IF(VLOOKUP(A1967,[14]PRIORIZADOS!$A:$O,15,FALSE)="","",VLOOKUP(A1967,[14]PRIORIZADOS!$A:$O,15,FALSE)),"")</f>
        <v>45933</v>
      </c>
      <c r="P1967" s="11" t="str">
        <f>IFERROR(IF(VLOOKUP(A1967,[14]PRIORIZADOS!$A:$P,16,FALSE)="","",VLOOKUP(A1967,[14]PRIORIZADOS!$A:$P,16,FALSE)),"")</f>
        <v>Visitas de evaluación con fines de mejoramiento</v>
      </c>
      <c r="Q1967" s="250" t="s">
        <v>425</v>
      </c>
      <c r="R1967" s="11" t="str">
        <f>IFERROR(IF(VLOOKUP(A1967,[14]PRIORIZADOS!$A:$R,18,FALSE)="","",VLOOKUP(A1967,[14]PRIORIZADOS!$A:$R,18,FALSE)),"")</f>
        <v>Cumple con el número de semanas y horas por ciclo. Realizó reporte de información del Calendario Escolar.</v>
      </c>
      <c r="S1967" s="11" t="str">
        <f>IFERROR(IF(VLOOKUP(A1967,[14]PRIORIZADOS!$A:$S,19,FALSE)="","",VLOOKUP(A1967,[14]PRIORIZADOS!$A:$S,19,FALSE)),"")</f>
        <v xml:space="preserve">Continuar con el cumplimiento del calendario.  </v>
      </c>
      <c r="T1967" s="70" t="str">
        <f>IFERROR(IF(VLOOKUP(A1967,[14]PRIORIZADOS!$A:$T,20,FALSE)="","",VLOOKUP(A1967,[14]PRIORIZADOS!$A:$T,20,FALSE)),"")</f>
        <v>No</v>
      </c>
      <c r="U1967" s="11" t="str">
        <f>IFERROR(IF(VLOOKUP(A1967,[14]PRIORIZADOS!$A:$U,21,FALSE)="","",VLOOKUP(A1967,[14]PRIORIZADOS!$A:$U,21,FALSE)),"")</f>
        <v>Seguir con su cumplimiento</v>
      </c>
    </row>
    <row r="1968" spans="1:21" s="1" customFormat="1" ht="48">
      <c r="A1968" s="69">
        <f>IF([14]PRIORIZADOS!A15="","",[14]PRIORIZADOS!A15)</f>
        <v>1936</v>
      </c>
      <c r="B1968" s="70">
        <f>IFERROR(IF(VLOOKUP(A1968,[14]PRIORIZADOS!$A:$B,2,FALSE)="","",VLOOKUP(A1968,[14]PRIORIZADOS!$A:$B,2,FALSE)),"")</f>
        <v>1</v>
      </c>
      <c r="C1968" s="11" t="s">
        <v>424</v>
      </c>
      <c r="D1968" s="11" t="str">
        <f>IFERROR(IF(VLOOKUP(A1968,[14]PRIORIZADOS!$A:$D,4,FALSE)="","",VLOOKUP(A1968,[14]PRIORIZADOS!$A:$D,4,FALSE)),"")</f>
        <v>PRIVADO</v>
      </c>
      <c r="E1968" s="11" t="str">
        <f>IFERROR(IF(VLOOKUP(A1968,[14]PRIORIZADOS!$A:$E,5,FALSE)="","",VLOOKUP(A1968,[14]PRIORIZADOS!$A:$E,5,FALSE)),"")</f>
        <v>Educación de Jóvenes y Adultos</v>
      </c>
      <c r="F1968" s="11" t="str">
        <f>IFERROR(IF(VLOOKUP(A1968,[14]PRIORIZADOS!$A:$F,6,FALSE)="","",VLOOKUP(A1968,[14]PRIORIZADOS!$A:$F,6,FALSE)),"")</f>
        <v>INSTITUTO_FORMATES</v>
      </c>
      <c r="G1968" s="11" t="str">
        <f>IFERROR(IF(VLOOKUP(A1968,[14]PRIORIZADOS!$A:$G,7,FALSE)="","",VLOOKUP(A1968,[14]PRIORIZADOS!$A:$G,7,FALSE)),"")</f>
        <v>INSTITUTO_FORMATES</v>
      </c>
      <c r="H1968" s="11" t="str">
        <f>IFERROR(IF(VLOOKUP(A1968,[14]PRIORIZADOS!$A:$H,8,FALSE)="","",VLOOKUP(A1968,[14]PRIORIZADOS!$A:$H,8,FALSE)),"")</f>
        <v>Autoevaluación Institucional y Pruebas SABER 11</v>
      </c>
      <c r="I1968" s="11" t="str">
        <f>IFERROR(IF(VLOOKUP(A1968,[14]PRIORIZADOS!$A:$I,9,FALSE)="","",VLOOKUP(A1968,[14]PRIORIZADOS!$A:$I,9,FALSE)),"")</f>
        <v>EVALUACIÓN_CON_FINES_DE_MEJORAMIENTO.</v>
      </c>
      <c r="J1968" s="11" t="str">
        <f>IFERROR(IF(VLOOKUP(A1968,[14]PRIORIZADOS!$A:$J,10,FALSE)="","",VLOOKUP(A1968,[14]PRIORIZADOS!$A:$J,10,FALSE)),"")</f>
        <v>Verificar el funcionamiento del Gobierno Escolar e instancias de participación con base en la información sobre conformación reportada por la institución educativa.</v>
      </c>
      <c r="K1968" s="11" t="str">
        <f>IFERROR(IF(VLOOKUP(A1968,[14]PRIORIZADOS!$A:$K,11,FALSE)="","",VLOOKUP(A1968,[14]PRIORIZADOS!$A:$K,11,FALSE)),"")</f>
        <v>ALBA DEL PILAR CUBIDES CÁCERES</v>
      </c>
      <c r="L1968" s="11" t="str">
        <f>IFERROR(IF(VLOOKUP(A1968,[14]PRIORIZADOS!$A:$L,12,FALSE)="","",VLOOKUP(A1968,[14]PRIORIZADOS!$A:$L,12,FALSE)),"")</f>
        <v>SONIA CONSTANZA URREGO GONZÁLEZ</v>
      </c>
      <c r="M1968" s="71">
        <f>IFERROR(IF(VLOOKUP(A1968,[14]PRIORIZADOS!$A:$M,13,FALSE)="","",VLOOKUP(A1968,[14]PRIORIZADOS!$A:$M,13,FALSE)),"")</f>
        <v>45883</v>
      </c>
      <c r="N1968" s="71">
        <f>IFERROR(IF(VLOOKUP(A1968,[14]PRIORIZADOS!$A:$N,14,FALSE)="","",VLOOKUP(A1968,[14]PRIORIZADOS!$A:$N,14,FALSE)),"")</f>
        <v>45933</v>
      </c>
      <c r="O1968" s="71">
        <f>IFERROR(IF(VLOOKUP(A1968,[14]PRIORIZADOS!$A:$O,15,FALSE)="","",VLOOKUP(A1968,[14]PRIORIZADOS!$A:$O,15,FALSE)),"")</f>
        <v>45933</v>
      </c>
      <c r="P1968" s="11" t="str">
        <f>IFERROR(IF(VLOOKUP(A1968,[14]PRIORIZADOS!$A:$P,16,FALSE)="","",VLOOKUP(A1968,[14]PRIORIZADOS!$A:$P,16,FALSE)),"")</f>
        <v>Visitas de evaluación con fines de mejoramiento</v>
      </c>
      <c r="Q1968" s="250" t="s">
        <v>425</v>
      </c>
      <c r="R1968" s="11" t="str">
        <f>IFERROR(IF(VLOOKUP(A1968,[14]PRIORIZADOS!$A:$R,18,FALSE)="","",VLOOKUP(A1968,[14]PRIORIZADOS!$A:$R,18,FALSE)),"")</f>
        <v>No se observa evidencia como se convocò a elecciòn, ni como  funciona el  gobierno escolar e instancias de participaciòn.</v>
      </c>
      <c r="S1968" s="11" t="str">
        <f>IFERROR(IF(VLOOKUP(A1968,[14]PRIORIZADOS!$A:$S,19,FALSE)="","",VLOOKUP(A1968,[14]PRIORIZADOS!$A:$S,19,FALSE)),"")</f>
        <v>Se debe presentar plan de mejoramiento a màs tardar el dìa 20 de octubre  de 2025, en el cual se informe las actividades, el tiempo y el funcionario a cargo</v>
      </c>
      <c r="T1968" s="70" t="str">
        <f>IFERROR(IF(VLOOKUP(A1968,[14]PRIORIZADOS!$A:$T,20,FALSE)="","",VLOOKUP(A1968,[14]PRIORIZADOS!$A:$T,20,FALSE)),"")</f>
        <v>Si</v>
      </c>
      <c r="U1968" s="11" t="str">
        <f>IFERROR(IF(VLOOKUP(A1968,[14]PRIORIZADOS!$A:$U,21,FALSE)="","",VLOOKUP(A1968,[14]PRIORIZADOS!$A:$U,21,FALSE)),"")</f>
        <v>Realizar visita cuando se ejecute  la totalidad del plan de mejora</v>
      </c>
    </row>
    <row r="1969" spans="1:21" s="1" customFormat="1" ht="48">
      <c r="A1969" s="69">
        <f>IF([14]PRIORIZADOS!A16="","",[14]PRIORIZADOS!A16)</f>
        <v>1937</v>
      </c>
      <c r="B1969" s="70">
        <f>IFERROR(IF(VLOOKUP(A1969,[14]PRIORIZADOS!$A:$B,2,FALSE)="","",VLOOKUP(A1969,[14]PRIORIZADOS!$A:$B,2,FALSE)),"")</f>
        <v>1</v>
      </c>
      <c r="C1969" s="11" t="s">
        <v>424</v>
      </c>
      <c r="D1969" s="11" t="str">
        <f>IFERROR(IF(VLOOKUP(A1969,[14]PRIORIZADOS!$A:$D,4,FALSE)="","",VLOOKUP(A1969,[14]PRIORIZADOS!$A:$D,4,FALSE)),"")</f>
        <v>PRIVADO</v>
      </c>
      <c r="E1969" s="11" t="str">
        <f>IFERROR(IF(VLOOKUP(A1969,[14]PRIORIZADOS!$A:$E,5,FALSE)="","",VLOOKUP(A1969,[14]PRIORIZADOS!$A:$E,5,FALSE)),"")</f>
        <v>Educación de Jóvenes y Adultos</v>
      </c>
      <c r="F1969" s="11" t="str">
        <f>IFERROR(IF(VLOOKUP(A1969,[14]PRIORIZADOS!$A:$F,6,FALSE)="","",VLOOKUP(A1969,[14]PRIORIZADOS!$A:$F,6,FALSE)),"")</f>
        <v>INSTITUTO_FORMATES</v>
      </c>
      <c r="G1969" s="11" t="str">
        <f>IFERROR(IF(VLOOKUP(A1969,[14]PRIORIZADOS!$A:$G,7,FALSE)="","",VLOOKUP(A1969,[14]PRIORIZADOS!$A:$G,7,FALSE)),"")</f>
        <v>INSTITUTO_FORMATES</v>
      </c>
      <c r="H1969" s="11" t="str">
        <f>IFERROR(IF(VLOOKUP(A1969,[14]PRIORIZADOS!$A:$H,8,FALSE)="","",VLOOKUP(A1969,[14]PRIORIZADOS!$A:$H,8,FALSE)),"")</f>
        <v>Autoevaluación Institucional y Pruebas SABER 11</v>
      </c>
      <c r="I1969" s="11" t="str">
        <f>IFERROR(IF(VLOOKUP(A1969,[14]PRIORIZADOS!$A:$I,9,FALSE)="","",VLOOKUP(A1969,[14]PRIORIZADOS!$A:$I,9,FALSE)),"")</f>
        <v>EVALUACIÓN_CON_FINES_DE_MEJORAMIENTO.</v>
      </c>
      <c r="J1969" s="11" t="str">
        <f>IFERROR(IF(VLOOKUP(A1969,[14]PRIORIZADOS!$A:$J,10,FALSE)="","",VLOOKUP(A1969,[14]PRIORIZADOS!$A:$J,10,FALSE)),"")</f>
        <v>Verificar las condiciones en cuanto a: la estructura administrativa, condiciones de la planta física y medios educativos adecuados.</v>
      </c>
      <c r="K1969" s="11" t="str">
        <f>IFERROR(IF(VLOOKUP(A1969,[14]PRIORIZADOS!$A:$K,11,FALSE)="","",VLOOKUP(A1969,[14]PRIORIZADOS!$A:$K,11,FALSE)),"")</f>
        <v>ALBA DEL PILAR CUBIDES CÁCERES</v>
      </c>
      <c r="L1969" s="11" t="str">
        <f>IFERROR(IF(VLOOKUP(A1969,[14]PRIORIZADOS!$A:$L,12,FALSE)="","",VLOOKUP(A1969,[14]PRIORIZADOS!$A:$L,12,FALSE)),"")</f>
        <v>SONIA CONSTANZA URREGO GONZÁLEZ</v>
      </c>
      <c r="M1969" s="71">
        <f>IFERROR(IF(VLOOKUP(A1969,[14]PRIORIZADOS!$A:$M,13,FALSE)="","",VLOOKUP(A1969,[14]PRIORIZADOS!$A:$M,13,FALSE)),"")</f>
        <v>45883</v>
      </c>
      <c r="N1969" s="71">
        <f>IFERROR(IF(VLOOKUP(A1969,[14]PRIORIZADOS!$A:$N,14,FALSE)="","",VLOOKUP(A1969,[14]PRIORIZADOS!$A:$N,14,FALSE)),"")</f>
        <v>45933</v>
      </c>
      <c r="O1969" s="71">
        <f>IFERROR(IF(VLOOKUP(A1969,[14]PRIORIZADOS!$A:$O,15,FALSE)="","",VLOOKUP(A1969,[14]PRIORIZADOS!$A:$O,15,FALSE)),"")</f>
        <v>45933</v>
      </c>
      <c r="P1969" s="11" t="str">
        <f>IFERROR(IF(VLOOKUP(A1969,[14]PRIORIZADOS!$A:$P,16,FALSE)="","",VLOOKUP(A1969,[14]PRIORIZADOS!$A:$P,16,FALSE)),"")</f>
        <v>Visitas de evaluación con fines de mejoramiento</v>
      </c>
      <c r="Q1969" s="250" t="s">
        <v>425</v>
      </c>
      <c r="R1969" s="11" t="str">
        <f>IFERROR(IF(VLOOKUP(A1969,[14]PRIORIZADOS!$A:$R,18,FALSE)="","",VLOOKUP(A1969,[14]PRIORIZADOS!$A:$R,18,FALSE)),"")</f>
        <v>Se observan espacios dotados biblioteca, àrea administrativa, salones baños. No obstante no se cuenta con baño de discapacidad</v>
      </c>
      <c r="S1969" s="11" t="str">
        <f>IFERROR(IF(VLOOKUP(A1969,[14]PRIORIZADOS!$A:$S,19,FALSE)="","",VLOOKUP(A1969,[14]PRIORIZADOS!$A:$S,19,FALSE)),"")</f>
        <v>Se debe presentar plan de mejoramiento a màs tardar el  20 de octubre de 2025  en el cual se informe las actividades, el tiempo y el funcionario a cargo</v>
      </c>
      <c r="T1969" s="70" t="str">
        <f>IFERROR(IF(VLOOKUP(A1969,[14]PRIORIZADOS!$A:$T,20,FALSE)="","",VLOOKUP(A1969,[14]PRIORIZADOS!$A:$T,20,FALSE)),"")</f>
        <v>Si</v>
      </c>
      <c r="U1969" s="11" t="str">
        <f>IFERROR(IF(VLOOKUP(A1969,[14]PRIORIZADOS!$A:$U,21,FALSE)="","",VLOOKUP(A1969,[14]PRIORIZADOS!$A:$U,21,FALSE)),"")</f>
        <v>Realizar visita cuando se ejecute  la totalidad del plan de mejora</v>
      </c>
    </row>
    <row r="1970" spans="1:21" s="1" customFormat="1" ht="72">
      <c r="A1970" s="69">
        <f>IF([14]PRIORIZADOS!A17="","",[14]PRIORIZADOS!A17)</f>
        <v>1938</v>
      </c>
      <c r="B1970" s="70">
        <f>IFERROR(IF(VLOOKUP(A1970,[14]PRIORIZADOS!$A:$B,2,FALSE)="","",VLOOKUP(A1970,[14]PRIORIZADOS!$A:$B,2,FALSE)),"")</f>
        <v>2</v>
      </c>
      <c r="C1970" s="11" t="s">
        <v>424</v>
      </c>
      <c r="D1970" s="11" t="str">
        <f>IFERROR(IF(VLOOKUP(A1970,[14]PRIORIZADOS!$A:$D,4,FALSE)="","",VLOOKUP(A1970,[14]PRIORIZADOS!$A:$D,4,FALSE)),"")</f>
        <v>PRIVADO</v>
      </c>
      <c r="E1970" s="11" t="str">
        <f>IFERROR(IF(VLOOKUP(A1970,[14]PRIORIZADOS!$A:$E,5,FALSE)="","",VLOOKUP(A1970,[14]PRIORIZADOS!$A:$E,5,FALSE)),"")</f>
        <v>Educación de Jóvenes y Adultos</v>
      </c>
      <c r="F1970" s="11" t="str">
        <f>IFERROR(IF(VLOOKUP(A1970,[14]PRIORIZADOS!$A:$F,6,FALSE)="","",VLOOKUP(A1970,[14]PRIORIZADOS!$A:$F,6,FALSE)),"")</f>
        <v>CENTRO_DE_ESTUDIOS_SAN_BASILIO</v>
      </c>
      <c r="G1970" s="11" t="str">
        <f>IFERROR(IF(VLOOKUP(A1970,[14]PRIORIZADOS!$A:$G,7,FALSE)="","",VLOOKUP(A1970,[14]PRIORIZADOS!$A:$G,7,FALSE)),"")</f>
        <v>CENTRO DE ESTUDIOS SAN BASILIO</v>
      </c>
      <c r="H1970" s="11" t="str">
        <f>IFERROR(IF(VLOOKUP(A1970,[14]PRIORIZADOS!$A:$H,8,FALSE)="","",VLOOKUP(A1970,[14]PRIORIZADOS!$A:$H,8,FALSE)),"")</f>
        <v>Autoevaluación Institucional y Pruebas SABER 11</v>
      </c>
      <c r="I1970" s="11" t="str">
        <f>IFERROR(IF(VLOOKUP(A1970,[14]PRIORIZADOS!$A:$I,9,FALSE)="","",VLOOKUP(A1970,[14]PRIORIZADOS!$A:$I,9,FALSE)),"")</f>
        <v>SEGUIMIENTO_Y_SUPERVISIÓN.</v>
      </c>
      <c r="J1970" s="11" t="str">
        <f>IFERROR(IF(VLOOKUP(A1970,[14]PRIORIZADOS!$A:$J,10,FALSE)="","",VLOOKUP(A1970,[14]PRIORIZADOS!$A:$J,10,FALSE)),"")</f>
        <v>Realizar visitas para verificar la información registrada sobre la autoevaluación institucional en el aplicativo EVI, a los establecimientos de educación formal no oficial.</v>
      </c>
      <c r="K1970" s="11" t="str">
        <f>IFERROR(IF(VLOOKUP(A1970,[14]PRIORIZADOS!$A:$K,11,FALSE)="","",VLOOKUP(A1970,[14]PRIORIZADOS!$A:$K,11,FALSE)),"")</f>
        <v>GETULIO ALBERTO FLÓREZ MORENO</v>
      </c>
      <c r="L1970" s="11" t="str">
        <f>IFERROR(IF(VLOOKUP(A1970,[14]PRIORIZADOS!$A:$L,12,FALSE)="","",VLOOKUP(A1970,[14]PRIORIZADOS!$A:$L,12,FALSE)),"")</f>
        <v>JUAN MANUEL SANCHEZ MORA</v>
      </c>
      <c r="M1970" s="71">
        <f>IFERROR(IF(VLOOKUP(A1970,[14]PRIORIZADOS!$A:$M,13,FALSE)="","",VLOOKUP(A1970,[14]PRIORIZADOS!$A:$M,13,FALSE)),"")</f>
        <v>45735</v>
      </c>
      <c r="N1970" s="71">
        <f>IFERROR(IF(VLOOKUP(A1970,[14]PRIORIZADOS!$A:$N,14,FALSE)="","",VLOOKUP(A1970,[14]PRIORIZADOS!$A:$N,14,FALSE)),"")</f>
        <v>45919</v>
      </c>
      <c r="O1970" s="71">
        <f>IFERROR(IF(VLOOKUP(A1970,[14]PRIORIZADOS!$A:$O,15,FALSE)="","",VLOOKUP(A1970,[14]PRIORIZADOS!$A:$O,15,FALSE)),"")</f>
        <v>45919</v>
      </c>
      <c r="P1970" s="11" t="str">
        <f>IFERROR(IF(VLOOKUP(A1970,[14]PRIORIZADOS!$A:$P,16,FALSE)="","",VLOOKUP(A1970,[14]PRIORIZADOS!$A:$P,16,FALSE)),"")</f>
        <v>Visitas de evaluación con fines de seguimiento</v>
      </c>
      <c r="Q1970" s="22" t="s">
        <v>426</v>
      </c>
      <c r="R1970" s="11" t="str">
        <f>IFERROR(IF(VLOOKUP(A1970,[14]PRIORIZADOS!$A:$R,18,FALSE)="","",VLOOKUP(A1970,[14]PRIORIZADOS!$A:$R,18,FALSE)),"")</f>
        <v>Se verificó que la instituciónn realiza pago de segurudad sicial y vinculación docente conforme lo estabkecido en la normas, no obstante, los espacios y mobiarios  requieren ser acondacionados paea la población con disdcapascidad</v>
      </c>
      <c r="S1970" s="11" t="str">
        <f>IFERROR(IF(VLOOKUP(A1970,[14]PRIORIZADOS!$A:$S,19,FALSE)="","",VLOOKUP(A1970,[14]PRIORIZADOS!$A:$S,19,FALSE)),"")</f>
        <v>Entregar plan de mejoramiento antes de 18 de octubre que contemple los aspectos de infraestructura</v>
      </c>
      <c r="T1970" s="70" t="str">
        <f>IFERROR(IF(VLOOKUP(A1970,[14]PRIORIZADOS!$A:$T,20,FALSE)="","",VLOOKUP(A1970,[14]PRIORIZADOS!$A:$T,20,FALSE)),"")</f>
        <v>Si</v>
      </c>
      <c r="U1970" s="11" t="str">
        <f>IFERROR(IF(VLOOKUP(A1970,[14]PRIORIZADOS!$A:$U,21,FALSE)="","",VLOOKUP(A1970,[14]PRIORIZADOS!$A:$U,21,FALSE)),"")</f>
        <v>Verificar la formulación del plan de mejoramiento en el mescde noviembre.</v>
      </c>
    </row>
    <row r="1971" spans="1:21" s="1" customFormat="1" ht="60">
      <c r="A1971" s="69">
        <f>IF([14]PRIORIZADOS!A18="","",[14]PRIORIZADOS!A18)</f>
        <v>1939</v>
      </c>
      <c r="B1971" s="70">
        <f>IFERROR(IF(VLOOKUP(A1971,[14]PRIORIZADOS!$A:$B,2,FALSE)="","",VLOOKUP(A1971,[14]PRIORIZADOS!$A:$B,2,FALSE)),"")</f>
        <v>2</v>
      </c>
      <c r="C1971" s="11" t="s">
        <v>424</v>
      </c>
      <c r="D1971" s="11" t="str">
        <f>IFERROR(IF(VLOOKUP(A1971,[14]PRIORIZADOS!$A:$D,4,FALSE)="","",VLOOKUP(A1971,[14]PRIORIZADOS!$A:$D,4,FALSE)),"")</f>
        <v>PRIVADO</v>
      </c>
      <c r="E1971" s="11" t="str">
        <f>IFERROR(IF(VLOOKUP(A1971,[14]PRIORIZADOS!$A:$E,5,FALSE)="","",VLOOKUP(A1971,[14]PRIORIZADOS!$A:$E,5,FALSE)),"")</f>
        <v>Educación de Jóvenes y Adultos</v>
      </c>
      <c r="F1971" s="11" t="str">
        <f>IFERROR(IF(VLOOKUP(A1971,[14]PRIORIZADOS!$A:$F,6,FALSE)="","",VLOOKUP(A1971,[14]PRIORIZADOS!$A:$F,6,FALSE)),"")</f>
        <v>CENTRO_DE_ESTUDIOS_SAN_BASILIO</v>
      </c>
      <c r="G1971" s="11" t="str">
        <f>IFERROR(IF(VLOOKUP(A1971,[14]PRIORIZADOS!$A:$G,7,FALSE)="","",VLOOKUP(A1971,[14]PRIORIZADOS!$A:$G,7,FALSE)),"")</f>
        <v>CENTRO DE ESTUDIOS SAN BASILIO</v>
      </c>
      <c r="H1971" s="11" t="str">
        <f>IFERROR(IF(VLOOKUP(A1971,[14]PRIORIZADOS!$A:$H,8,FALSE)="","",VLOOKUP(A1971,[14]PRIORIZADOS!$A:$H,8,FALSE)),"")</f>
        <v>Autoevaluación Institucional y Pruebas SABER 11</v>
      </c>
      <c r="I1971" s="11" t="str">
        <f>IFERROR(IF(VLOOKUP(A1971,[14]PRIORIZADOS!$A:$I,9,FALSE)="","",VLOOKUP(A1971,[14]PRIORIZADOS!$A:$I,9,FALSE)),"")</f>
        <v>SEGUIMIENTO_Y_SUPERVISIÓN.</v>
      </c>
      <c r="J1971" s="11" t="str">
        <f>IFERROR(IF(VLOOKUP(A1971,[14]PRIORIZADOS!$A:$J,10,FALSE)="","",VLOOKUP(A1971,[14]PRIORIZADOS!$A:$J,10,FALSE)),"")</f>
        <v>Proponer estrategias en la formulación, verificar su elaboración y realizar seguimiento semestral al desarrollo de  las acciones establecidas en los planes de mejoramiento por pruebas SABER 11 de los establecimientos de educación formal.</v>
      </c>
      <c r="K1971" s="11" t="str">
        <f>IFERROR(IF(VLOOKUP(A1971,[14]PRIORIZADOS!$A:$K,11,FALSE)="","",VLOOKUP(A1971,[14]PRIORIZADOS!$A:$K,11,FALSE)),"")</f>
        <v>GETULIO ALBERTO FLÓREZ MORENO</v>
      </c>
      <c r="L1971" s="11" t="str">
        <f>IFERROR(IF(VLOOKUP(A1971,[14]PRIORIZADOS!$A:$L,12,FALSE)="","",VLOOKUP(A1971,[14]PRIORIZADOS!$A:$L,12,FALSE)),"")</f>
        <v>JUAN MANUEL SANCHEZ MORA</v>
      </c>
      <c r="M1971" s="71">
        <f>IFERROR(IF(VLOOKUP(A1971,[14]PRIORIZADOS!$A:$M,13,FALSE)="","",VLOOKUP(A1971,[14]PRIORIZADOS!$A:$M,13,FALSE)),"")</f>
        <v>45735</v>
      </c>
      <c r="N1971" s="71">
        <f>IFERROR(IF(VLOOKUP(A1971,[14]PRIORIZADOS!$A:$N,14,FALSE)="","",VLOOKUP(A1971,[14]PRIORIZADOS!$A:$N,14,FALSE)),"")</f>
        <v>45919</v>
      </c>
      <c r="O1971" s="71">
        <f>IFERROR(IF(VLOOKUP(A1971,[14]PRIORIZADOS!$A:$O,15,FALSE)="","",VLOOKUP(A1971,[14]PRIORIZADOS!$A:$O,15,FALSE)),"")</f>
        <v>45919</v>
      </c>
      <c r="P1971" s="11" t="str">
        <f>IFERROR(IF(VLOOKUP(A1971,[14]PRIORIZADOS!$A:$P,16,FALSE)="","",VLOOKUP(A1971,[14]PRIORIZADOS!$A:$P,16,FALSE)),"")</f>
        <v>Visitas de evaluación con fines de seguimiento</v>
      </c>
      <c r="Q1971" s="22" t="s">
        <v>426</v>
      </c>
      <c r="R1971" s="11" t="str">
        <f>IFERROR(IF(VLOOKUP(A1971,[14]PRIORIZADOS!$A:$R,18,FALSE)="","",VLOOKUP(A1971,[14]PRIORIZADOS!$A:$R,18,FALSE)),"")</f>
        <v xml:space="preserve">No se evidenció estrategias para el seguimiento semestral al desarrollo de  las pruebas SABER 11. </v>
      </c>
      <c r="S1971" s="11" t="str">
        <f>IFERROR(IF(VLOOKUP(A1971,[14]PRIORIZADOS!$A:$S,19,FALSE)="","",VLOOKUP(A1971,[14]PRIORIZADOS!$A:$S,19,FALSE)),"")</f>
        <v>Se sugiere implementar la revisión y análisis de los resultados de las pruebas saber 11.</v>
      </c>
      <c r="T1971" s="70" t="str">
        <f>IFERROR(IF(VLOOKUP(A1971,[14]PRIORIZADOS!$A:$T,20,FALSE)="","",VLOOKUP(A1971,[14]PRIORIZADOS!$A:$T,20,FALSE)),"")</f>
        <v>Si</v>
      </c>
      <c r="U1971" s="11" t="str">
        <f>IFERROR(IF(VLOOKUP(A1971,[14]PRIORIZADOS!$A:$U,21,FALSE)="","",VLOOKUP(A1971,[14]PRIORIZADOS!$A:$U,21,FALSE)),"")</f>
        <v xml:space="preserve">Se adelantará seguimiento sobre el plan de mejoramiento que porponga la institución educativa. </v>
      </c>
    </row>
    <row r="1972" spans="1:21" s="1" customFormat="1" ht="48">
      <c r="A1972" s="69">
        <f>IF([14]PRIORIZADOS!A19="","",[14]PRIORIZADOS!A19)</f>
        <v>1940</v>
      </c>
      <c r="B1972" s="70">
        <f>IFERROR(IF(VLOOKUP(A1972,[14]PRIORIZADOS!$A:$B,2,FALSE)="","",VLOOKUP(A1972,[14]PRIORIZADOS!$A:$B,2,FALSE)),"")</f>
        <v>2</v>
      </c>
      <c r="C1972" s="11" t="s">
        <v>424</v>
      </c>
      <c r="D1972" s="11" t="str">
        <f>IFERROR(IF(VLOOKUP(A1972,[14]PRIORIZADOS!$A:$D,4,FALSE)="","",VLOOKUP(A1972,[14]PRIORIZADOS!$A:$D,4,FALSE)),"")</f>
        <v>PRIVADO</v>
      </c>
      <c r="E1972" s="11" t="str">
        <f>IFERROR(IF(VLOOKUP(A1972,[14]PRIORIZADOS!$A:$E,5,FALSE)="","",VLOOKUP(A1972,[14]PRIORIZADOS!$A:$E,5,FALSE)),"")</f>
        <v>Educación de Jóvenes y Adultos</v>
      </c>
      <c r="F1972" s="11" t="str">
        <f>IFERROR(IF(VLOOKUP(A1972,[14]PRIORIZADOS!$A:$F,6,FALSE)="","",VLOOKUP(A1972,[14]PRIORIZADOS!$A:$F,6,FALSE)),"")</f>
        <v>CENTRO_DE_ESTUDIOS_SAN_BASILIO</v>
      </c>
      <c r="G1972" s="11" t="str">
        <f>IFERROR(IF(VLOOKUP(A1972,[14]PRIORIZADOS!$A:$G,7,FALSE)="","",VLOOKUP(A1972,[14]PRIORIZADOS!$A:$G,7,FALSE)),"")</f>
        <v>CENTRO DE ESTUDIOS SAN BASILIO</v>
      </c>
      <c r="H1972" s="11" t="str">
        <f>IFERROR(IF(VLOOKUP(A1972,[14]PRIORIZADOS!$A:$H,8,FALSE)="","",VLOOKUP(A1972,[14]PRIORIZADOS!$A:$H,8,FALSE)),"")</f>
        <v>Autoevaluación Institucional y Pruebas SABER 11</v>
      </c>
      <c r="I1972" s="11" t="str">
        <f>IFERROR(IF(VLOOKUP(A1972,[14]PRIORIZADOS!$A:$I,9,FALSE)="","",VLOOKUP(A1972,[14]PRIORIZADOS!$A:$I,9,FALSE)),"")</f>
        <v>SEGUIMIENTO_Y_SUPERVISIÓN.</v>
      </c>
      <c r="J1972" s="11" t="str">
        <f>IFERROR(IF(VLOOKUP(A1972,[14]PRIORIZADOS!$A:$J,10,FALSE)="","",VLOOKUP(A1972,[14]PRIORIZADOS!$A:$J,10,FALSE)),"")</f>
        <v xml:space="preserve">Verificar la implementación por parte de los colegios, de acciones realizadas para la prevención y atención de las situaciones de convivencia en el entorno escolar, según lo establecido en la Directiva 01 de 2022 del MEN. </v>
      </c>
      <c r="K1972" s="11" t="str">
        <f>IFERROR(IF(VLOOKUP(A1972,[14]PRIORIZADOS!$A:$K,11,FALSE)="","",VLOOKUP(A1972,[14]PRIORIZADOS!$A:$K,11,FALSE)),"")</f>
        <v>GETULIO ALBERTO FLÓREZ MORENO</v>
      </c>
      <c r="L1972" s="11" t="str">
        <f>IFERROR(IF(VLOOKUP(A1972,[14]PRIORIZADOS!$A:$L,12,FALSE)="","",VLOOKUP(A1972,[14]PRIORIZADOS!$A:$L,12,FALSE)),"")</f>
        <v>JUAN MANUEL SANCHEZ MORA</v>
      </c>
      <c r="M1972" s="71">
        <f>IFERROR(IF(VLOOKUP(A1972,[14]PRIORIZADOS!$A:$M,13,FALSE)="","",VLOOKUP(A1972,[14]PRIORIZADOS!$A:$M,13,FALSE)),"")</f>
        <v>45735</v>
      </c>
      <c r="N1972" s="71">
        <f>IFERROR(IF(VLOOKUP(A1972,[14]PRIORIZADOS!$A:$N,14,FALSE)="","",VLOOKUP(A1972,[14]PRIORIZADOS!$A:$N,14,FALSE)),"")</f>
        <v>45919</v>
      </c>
      <c r="O1972" s="71">
        <f>IFERROR(IF(VLOOKUP(A1972,[14]PRIORIZADOS!$A:$O,15,FALSE)="","",VLOOKUP(A1972,[14]PRIORIZADOS!$A:$O,15,FALSE)),"")</f>
        <v>45919</v>
      </c>
      <c r="P1972" s="11" t="str">
        <f>IFERROR(IF(VLOOKUP(A1972,[14]PRIORIZADOS!$A:$P,16,FALSE)="","",VLOOKUP(A1972,[14]PRIORIZADOS!$A:$P,16,FALSE)),"")</f>
        <v>Visitas de evaluación con fines de seguimiento</v>
      </c>
      <c r="Q1972" s="22" t="s">
        <v>426</v>
      </c>
      <c r="R1972" s="11" t="str">
        <f>IFERROR(IF(VLOOKUP(A1972,[14]PRIORIZADOS!$A:$R,18,FALSE)="","",VLOOKUP(A1972,[14]PRIORIZADOS!$A:$R,18,FALSE)),"")</f>
        <v xml:space="preserve">Aunque se realiza la consulta de las inhabilidades del personal vinculado al inicio del año no lo hacen cada 4 meses. </v>
      </c>
      <c r="S1972" s="11" t="str">
        <f>IFERROR(IF(VLOOKUP(A1972,[14]PRIORIZADOS!$A:$S,19,FALSE)="","",VLOOKUP(A1972,[14]PRIORIZADOS!$A:$S,19,FALSE)),"")</f>
        <v>Se orienta adelantar esta actividad en el tiempo estipulado.</v>
      </c>
      <c r="T1972" s="70" t="str">
        <f>IFERROR(IF(VLOOKUP(A1972,[14]PRIORIZADOS!$A:$T,20,FALSE)="","",VLOOKUP(A1972,[14]PRIORIZADOS!$A:$T,20,FALSE)),"")</f>
        <v>Si</v>
      </c>
      <c r="U1972" s="11" t="str">
        <f>IFERROR(IF(VLOOKUP(A1972,[14]PRIORIZADOS!$A:$U,21,FALSE)="","",VLOOKUP(A1972,[14]PRIORIZADOS!$A:$U,21,FALSE)),"")</f>
        <v xml:space="preserve">Actualizar la revisión del certificado de antecedentes de inhabilidades por delitos sexuales para todos los docentes y personal administrativo del colegio. </v>
      </c>
    </row>
    <row r="1973" spans="1:21" s="1" customFormat="1" ht="72">
      <c r="A1973" s="69">
        <f>IF([14]PRIORIZADOS!A20="","",[14]PRIORIZADOS!A20)</f>
        <v>1941</v>
      </c>
      <c r="B1973" s="70">
        <f>IFERROR(IF(VLOOKUP(A1973,[14]PRIORIZADOS!$A:$B,2,FALSE)="","",VLOOKUP(A1973,[14]PRIORIZADOS!$A:$B,2,FALSE)),"")</f>
        <v>2</v>
      </c>
      <c r="C1973" s="11" t="s">
        <v>424</v>
      </c>
      <c r="D1973" s="11" t="str">
        <f>IFERROR(IF(VLOOKUP(A1973,[14]PRIORIZADOS!$A:$D,4,FALSE)="","",VLOOKUP(A1973,[14]PRIORIZADOS!$A:$D,4,FALSE)),"")</f>
        <v>PRIVADO</v>
      </c>
      <c r="E1973" s="11" t="str">
        <f>IFERROR(IF(VLOOKUP(A1973,[14]PRIORIZADOS!$A:$E,5,FALSE)="","",VLOOKUP(A1973,[14]PRIORIZADOS!$A:$E,5,FALSE)),"")</f>
        <v>Educación de Jóvenes y Adultos</v>
      </c>
      <c r="F1973" s="11" t="str">
        <f>IFERROR(IF(VLOOKUP(A1973,[14]PRIORIZADOS!$A:$F,6,FALSE)="","",VLOOKUP(A1973,[14]PRIORIZADOS!$A:$F,6,FALSE)),"")</f>
        <v>CENTRO_DE_ESTUDIOS_SAN_BASILIO</v>
      </c>
      <c r="G1973" s="11" t="str">
        <f>IFERROR(IF(VLOOKUP(A1973,[14]PRIORIZADOS!$A:$G,7,FALSE)="","",VLOOKUP(A1973,[14]PRIORIZADOS!$A:$G,7,FALSE)),"")</f>
        <v>CENTRO DE ESTUDIOS SAN BASILIO</v>
      </c>
      <c r="H1973" s="11" t="str">
        <f>IFERROR(IF(VLOOKUP(A1973,[14]PRIORIZADOS!$A:$H,8,FALSE)="","",VLOOKUP(A1973,[14]PRIORIZADOS!$A:$H,8,FALSE)),"")</f>
        <v>Autoevaluación Institucional y Pruebas SABER 11</v>
      </c>
      <c r="I1973" s="11" t="str">
        <f>IFERROR(IF(VLOOKUP(A1973,[14]PRIORIZADOS!$A:$I,9,FALSE)="","",VLOOKUP(A1973,[14]PRIORIZADOS!$A:$I,9,FALSE)),"")</f>
        <v>SEGUIMIENTO_Y_SUPERVISIÓN.</v>
      </c>
      <c r="J1973" s="11" t="str">
        <f>IFERROR(IF(VLOOKUP(A1973,[14]PRIORIZADOS!$A:$J,10,FALSE)="","",VLOOKUP(A1973,[14]PRIORIZADOS!$A:$J,10,FALSE)),"")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73" s="11" t="str">
        <f>IFERROR(IF(VLOOKUP(A1973,[14]PRIORIZADOS!$A:$K,11,FALSE)="","",VLOOKUP(A1973,[14]PRIORIZADOS!$A:$K,11,FALSE)),"")</f>
        <v>GETULIO ALBERTO FLÓREZ MORENO</v>
      </c>
      <c r="L1973" s="11" t="str">
        <f>IFERROR(IF(VLOOKUP(A1973,[14]PRIORIZADOS!$A:$L,12,FALSE)="","",VLOOKUP(A1973,[14]PRIORIZADOS!$A:$L,12,FALSE)),"")</f>
        <v>JUAN MANUEL SANCHEZ MORA</v>
      </c>
      <c r="M1973" s="71">
        <f>IFERROR(IF(VLOOKUP(A1973,[14]PRIORIZADOS!$A:$M,13,FALSE)="","",VLOOKUP(A1973,[14]PRIORIZADOS!$A:$M,13,FALSE)),"")</f>
        <v>45735</v>
      </c>
      <c r="N1973" s="71">
        <f>IFERROR(IF(VLOOKUP(A1973,[14]PRIORIZADOS!$A:$N,14,FALSE)="","",VLOOKUP(A1973,[14]PRIORIZADOS!$A:$N,14,FALSE)),"")</f>
        <v>45919</v>
      </c>
      <c r="O1973" s="71">
        <f>IFERROR(IF(VLOOKUP(A1973,[14]PRIORIZADOS!$A:$O,15,FALSE)="","",VLOOKUP(A1973,[14]PRIORIZADOS!$A:$O,15,FALSE)),"")</f>
        <v>45919</v>
      </c>
      <c r="P1973" s="11" t="str">
        <f>IFERROR(IF(VLOOKUP(A1973,[14]PRIORIZADOS!$A:$P,16,FALSE)="","",VLOOKUP(A1973,[14]PRIORIZADOS!$A:$P,16,FALSE)),"")</f>
        <v>Visitas de evaluación con fines de seguimiento</v>
      </c>
      <c r="Q1973" s="22" t="s">
        <v>426</v>
      </c>
      <c r="R1973" s="11" t="str">
        <f>IFERROR(IF(VLOOKUP(A1973,[14]PRIORIZADOS!$A:$R,18,FALSE)="","",VLOOKUP(A1973,[14]PRIORIZADOS!$A:$R,18,FALSE)),"")</f>
        <v xml:space="preserve">La Rectora y Director Administrativo manifestaron al momento de la visita que, en el año 2025 no tienen estudiantes en condición de discapacidad. En el SIMAT se visualizan porque no han actualizado los registros de estudiantes ya egresados. </v>
      </c>
      <c r="S1973" s="11" t="str">
        <f>IFERROR(IF(VLOOKUP(A1973,[14]PRIORIZADOS!$A:$S,19,FALSE)="","",VLOOKUP(A1973,[14]PRIORIZADOS!$A:$S,19,FALSE)),"")</f>
        <v>la Rectora y el Director Administrativo se comprometen a actualizar el SIMAT en la presente semana</v>
      </c>
      <c r="T1973" s="70" t="str">
        <f>IFERROR(IF(VLOOKUP(A1973,[14]PRIORIZADOS!$A:$T,20,FALSE)="","",VLOOKUP(A1973,[14]PRIORIZADOS!$A:$T,20,FALSE)),"")</f>
        <v>Si</v>
      </c>
      <c r="U1973" s="11" t="str">
        <f>IFERROR(IF(VLOOKUP(A1973,[14]PRIORIZADOS!$A:$U,21,FALSE)="","",VLOOKUP(A1973,[14]PRIORIZADOS!$A:$U,21,FALSE)),"")</f>
        <v>Se adelantará la revisión en el sistema SIMAT en el mes de octubre de 2025</v>
      </c>
    </row>
    <row r="1974" spans="1:21" s="1" customFormat="1" ht="84">
      <c r="A1974" s="69">
        <f>IF([14]PRIORIZADOS!A21="","",[14]PRIORIZADOS!A21)</f>
        <v>1942</v>
      </c>
      <c r="B1974" s="70">
        <f>IFERROR(IF(VLOOKUP(A1974,[14]PRIORIZADOS!$A:$B,2,FALSE)="","",VLOOKUP(A1974,[14]PRIORIZADOS!$A:$B,2,FALSE)),"")</f>
        <v>2</v>
      </c>
      <c r="C1974" s="11" t="s">
        <v>424</v>
      </c>
      <c r="D1974" s="11" t="str">
        <f>IFERROR(IF(VLOOKUP(A1974,[14]PRIORIZADOS!$A:$D,4,FALSE)="","",VLOOKUP(A1974,[14]PRIORIZADOS!$A:$D,4,FALSE)),"")</f>
        <v>PRIVADO</v>
      </c>
      <c r="E1974" s="11" t="str">
        <f>IFERROR(IF(VLOOKUP(A1974,[14]PRIORIZADOS!$A:$E,5,FALSE)="","",VLOOKUP(A1974,[14]PRIORIZADOS!$A:$E,5,FALSE)),"")</f>
        <v>Educación de Jóvenes y Adultos</v>
      </c>
      <c r="F1974" s="11" t="str">
        <f>IFERROR(IF(VLOOKUP(A1974,[14]PRIORIZADOS!$A:$F,6,FALSE)="","",VLOOKUP(A1974,[14]PRIORIZADOS!$A:$F,6,FALSE)),"")</f>
        <v>CENTRO_DE_ESTUDIOS_SAN_BASILIO</v>
      </c>
      <c r="G1974" s="11" t="str">
        <f>IFERROR(IF(VLOOKUP(A1974,[14]PRIORIZADOS!$A:$G,7,FALSE)="","",VLOOKUP(A1974,[14]PRIORIZADOS!$A:$G,7,FALSE)),"")</f>
        <v>CENTRO DE ESTUDIOS SAN BASILIO</v>
      </c>
      <c r="H1974" s="11" t="str">
        <f>IFERROR(IF(VLOOKUP(A1974,[14]PRIORIZADOS!$A:$H,8,FALSE)="","",VLOOKUP(A1974,[14]PRIORIZADOS!$A:$H,8,FALSE)),"")</f>
        <v>Autoevaluación Institucional y Pruebas SABER 11</v>
      </c>
      <c r="I1974" s="11" t="str">
        <f>IFERROR(IF(VLOOKUP(A1974,[14]PRIORIZADOS!$A:$I,9,FALSE)="","",VLOOKUP(A1974,[14]PRIORIZADOS!$A:$I,9,FALSE)),"")</f>
        <v>EVALUACIÓN_CON_FINES_DE_MEJORAMIENTO.</v>
      </c>
      <c r="J1974" s="11" t="str">
        <f>IFERROR(IF(VLOOKUP(A1974,[14]PRIORIZADOS!$A:$J,10,FALSE)="","",VLOOKUP(A1974,[14]PRIORIZADOS!$A:$J,10,FALSE)),"")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74" s="11" t="str">
        <f>IFERROR(IF(VLOOKUP(A1974,[14]PRIORIZADOS!$A:$K,11,FALSE)="","",VLOOKUP(A1974,[14]PRIORIZADOS!$A:$K,11,FALSE)),"")</f>
        <v>GETULIO ALBERTO FLÓREZ MORENO</v>
      </c>
      <c r="L1974" s="11" t="str">
        <f>IFERROR(IF(VLOOKUP(A1974,[14]PRIORIZADOS!$A:$L,12,FALSE)="","",VLOOKUP(A1974,[14]PRIORIZADOS!$A:$L,12,FALSE)),"")</f>
        <v>JUAN MANUEL SANCHEZ MORA</v>
      </c>
      <c r="M1974" s="71">
        <f>IFERROR(IF(VLOOKUP(A1974,[14]PRIORIZADOS!$A:$M,13,FALSE)="","",VLOOKUP(A1974,[14]PRIORIZADOS!$A:$M,13,FALSE)),"")</f>
        <v>45735</v>
      </c>
      <c r="N1974" s="71">
        <f>IFERROR(IF(VLOOKUP(A1974,[14]PRIORIZADOS!$A:$N,14,FALSE)="","",VLOOKUP(A1974,[14]PRIORIZADOS!$A:$N,14,FALSE)),"")</f>
        <v>45919</v>
      </c>
      <c r="O1974" s="71">
        <f>IFERROR(IF(VLOOKUP(A1974,[14]PRIORIZADOS!$A:$O,15,FALSE)="","",VLOOKUP(A1974,[14]PRIORIZADOS!$A:$O,15,FALSE)),"")</f>
        <v>45919</v>
      </c>
      <c r="P1974" s="11" t="str">
        <f>IFERROR(IF(VLOOKUP(A1974,[14]PRIORIZADOS!$A:$P,16,FALSE)="","",VLOOKUP(A1974,[14]PRIORIZADOS!$A:$P,16,FALSE)),"")</f>
        <v>Visitas de evaluación con fines de mejoramiento</v>
      </c>
      <c r="Q1974" s="22" t="s">
        <v>426</v>
      </c>
      <c r="R1974" s="11" t="str">
        <f>IFERROR(IF(VLOOKUP(A1974,[14]PRIORIZADOS!$A:$R,18,FALSE)="","",VLOOKUP(A1974,[14]PRIORIZADOS!$A:$R,18,FALSE)),"")</f>
        <v>En el manual de convivencia está plasmado la ruta de atención integral y los protocolos de las situaciones de convivencia escolar tipo I, tipo II y tipo III.</v>
      </c>
      <c r="S1974" s="11" t="str">
        <f>IFERROR(IF(VLOOKUP(A1974,[14]PRIORIZADOS!$A:$S,19,FALSE)="","",VLOOKUP(A1974,[14]PRIORIZADOS!$A:$S,19,FALSE)),"")</f>
        <v>Consultar siempre los protocolos de atención versión 5.o emitido por parte de la secretaria de educación del distrito.</v>
      </c>
      <c r="T1974" s="70" t="str">
        <f>IFERROR(IF(VLOOKUP(A1974,[14]PRIORIZADOS!$A:$T,20,FALSE)="","",VLOOKUP(A1974,[14]PRIORIZADOS!$A:$T,20,FALSE)),"")</f>
        <v>Si</v>
      </c>
      <c r="U1974" s="11" t="str">
        <f>IFERROR(IF(VLOOKUP(A1974,[14]PRIORIZADOS!$A:$U,21,FALSE)="","",VLOOKUP(A1974,[14]PRIORIZADOS!$A:$U,21,FALSE)),"")</f>
        <v xml:space="preserve">Solicitar apoyo y asesoría a la oficina para la convivencia escolar para los casos que se presenten con la comunidad educativa  </v>
      </c>
    </row>
    <row r="1975" spans="1:21" s="1" customFormat="1" ht="72">
      <c r="A1975" s="69">
        <f>IF([14]PRIORIZADOS!A22="","",[14]PRIORIZADOS!A22)</f>
        <v>1943</v>
      </c>
      <c r="B1975" s="70">
        <f>IFERROR(IF(VLOOKUP(A1975,[14]PRIORIZADOS!$A:$B,2,FALSE)="","",VLOOKUP(A1975,[14]PRIORIZADOS!$A:$B,2,FALSE)),"")</f>
        <v>2</v>
      </c>
      <c r="C1975" s="11" t="s">
        <v>424</v>
      </c>
      <c r="D1975" s="11" t="str">
        <f>IFERROR(IF(VLOOKUP(A1975,[14]PRIORIZADOS!$A:$D,4,FALSE)="","",VLOOKUP(A1975,[14]PRIORIZADOS!$A:$D,4,FALSE)),"")</f>
        <v>PRIVADO</v>
      </c>
      <c r="E1975" s="11" t="str">
        <f>IFERROR(IF(VLOOKUP(A1975,[14]PRIORIZADOS!$A:$E,5,FALSE)="","",VLOOKUP(A1975,[14]PRIORIZADOS!$A:$E,5,FALSE)),"")</f>
        <v>Educación de Jóvenes y Adultos</v>
      </c>
      <c r="F1975" s="11" t="str">
        <f>IFERROR(IF(VLOOKUP(A1975,[14]PRIORIZADOS!$A:$F,6,FALSE)="","",VLOOKUP(A1975,[14]PRIORIZADOS!$A:$F,6,FALSE)),"")</f>
        <v>CENTRO_DE_ESTUDIOS_SAN_BASILIO</v>
      </c>
      <c r="G1975" s="11" t="str">
        <f>IFERROR(IF(VLOOKUP(A1975,[14]PRIORIZADOS!$A:$G,7,FALSE)="","",VLOOKUP(A1975,[14]PRIORIZADOS!$A:$G,7,FALSE)),"")</f>
        <v>CENTRO DE ESTUDIOS SAN BASILIO</v>
      </c>
      <c r="H1975" s="11" t="str">
        <f>IFERROR(IF(VLOOKUP(A1975,[14]PRIORIZADOS!$A:$H,8,FALSE)="","",VLOOKUP(A1975,[14]PRIORIZADOS!$A:$H,8,FALSE)),"")</f>
        <v>Autoevaluación Institucional y Pruebas SABER 11</v>
      </c>
      <c r="I1975" s="11" t="str">
        <f>IFERROR(IF(VLOOKUP(A1975,[14]PRIORIZADOS!$A:$I,9,FALSE)="","",VLOOKUP(A1975,[14]PRIORIZADOS!$A:$I,9,FALSE)),"")</f>
        <v>EVALUACIÓN_CON_FINES_DE_MEJORAMIENTO.</v>
      </c>
      <c r="J1975" s="11" t="str">
        <f>IFERROR(IF(VLOOKUP(A1975,[14]PRIORIZADOS!$A:$J,10,FALSE)="","",VLOOKUP(A1975,[14]PRIORIZADOS!$A:$J,10,FALSE)),"")</f>
        <v>Revisar la actualización, socialización e implementación del Sistema Institucional de Evaluación de Estudiantes - SIEE, en articulación con la actualización del PEI y la normatividad vigente.</v>
      </c>
      <c r="K1975" s="11" t="str">
        <f>IFERROR(IF(VLOOKUP(A1975,[14]PRIORIZADOS!$A:$K,11,FALSE)="","",VLOOKUP(A1975,[14]PRIORIZADOS!$A:$K,11,FALSE)),"")</f>
        <v>GETULIO ALBERTO FLÓREZ MORENO</v>
      </c>
      <c r="L1975" s="11" t="str">
        <f>IFERROR(IF(VLOOKUP(A1975,[14]PRIORIZADOS!$A:$L,12,FALSE)="","",VLOOKUP(A1975,[14]PRIORIZADOS!$A:$L,12,FALSE)),"")</f>
        <v>JUAN MANUEL SANCHEZ MORA</v>
      </c>
      <c r="M1975" s="71">
        <f>IFERROR(IF(VLOOKUP(A1975,[14]PRIORIZADOS!$A:$M,13,FALSE)="","",VLOOKUP(A1975,[14]PRIORIZADOS!$A:$M,13,FALSE)),"")</f>
        <v>45735</v>
      </c>
      <c r="N1975" s="71">
        <f>IFERROR(IF(VLOOKUP(A1975,[14]PRIORIZADOS!$A:$N,14,FALSE)="","",VLOOKUP(A1975,[14]PRIORIZADOS!$A:$N,14,FALSE)),"")</f>
        <v>45919</v>
      </c>
      <c r="O1975" s="71">
        <f>IFERROR(IF(VLOOKUP(A1975,[14]PRIORIZADOS!$A:$O,15,FALSE)="","",VLOOKUP(A1975,[14]PRIORIZADOS!$A:$O,15,FALSE)),"")</f>
        <v>45919</v>
      </c>
      <c r="P1975" s="11" t="str">
        <f>IFERROR(IF(VLOOKUP(A1975,[14]PRIORIZADOS!$A:$P,16,FALSE)="","",VLOOKUP(A1975,[14]PRIORIZADOS!$A:$P,16,FALSE)),"")</f>
        <v>Visitas de evaluación con fines de mejoramiento</v>
      </c>
      <c r="Q1975" s="22" t="s">
        <v>426</v>
      </c>
      <c r="R1975" s="11" t="str">
        <f>IFERROR(IF(VLOOKUP(A1975,[14]PRIORIZADOS!$A:$R,18,FALSE)="","",VLOOKUP(A1975,[14]PRIORIZADOS!$A:$R,18,FALSE)),"")</f>
        <v xml:space="preserve">Durante la visita se observa poca actualizacion del SIEE, posee criterios mínimos de valoración y no establece procesos de promoción acordes con la normativa vigente. 
</v>
      </c>
      <c r="S1975" s="11" t="str">
        <f>IFERROR(IF(VLOOKUP(A1975,[14]PRIORIZADOS!$A:$S,19,FALSE)="","",VLOOKUP(A1975,[14]PRIORIZADOS!$A:$S,19,FALSE)),"")</f>
        <v xml:space="preserve">Es procedente la actualización del SIEE tomando en consideración lo contemplado por la ley 115 de 1995 y normas asociadas. </v>
      </c>
      <c r="T1975" s="70" t="str">
        <f>IFERROR(IF(VLOOKUP(A1975,[14]PRIORIZADOS!$A:$T,20,FALSE)="","",VLOOKUP(A1975,[14]PRIORIZADOS!$A:$T,20,FALSE)),"")</f>
        <v>Si</v>
      </c>
      <c r="U1975" s="11" t="str">
        <f>IFERROR(IF(VLOOKUP(A1975,[14]PRIORIZADOS!$A:$U,21,FALSE)="","",VLOOKUP(A1975,[14]PRIORIZADOS!$A:$U,21,FALSE)),"")</f>
        <v>Es procedente adelantar seguimiento a la actualización del SIEE.</v>
      </c>
    </row>
    <row r="1976" spans="1:21" s="1" customFormat="1" ht="48">
      <c r="A1976" s="69">
        <f>IF([14]PRIORIZADOS!A23="","",[14]PRIORIZADOS!A23)</f>
        <v>1944</v>
      </c>
      <c r="B1976" s="70">
        <f>IFERROR(IF(VLOOKUP(A1976,[14]PRIORIZADOS!$A:$B,2,FALSE)="","",VLOOKUP(A1976,[14]PRIORIZADOS!$A:$B,2,FALSE)),"")</f>
        <v>2</v>
      </c>
      <c r="C1976" s="11" t="s">
        <v>424</v>
      </c>
      <c r="D1976" s="11" t="str">
        <f>IFERROR(IF(VLOOKUP(A1976,[14]PRIORIZADOS!$A:$D,4,FALSE)="","",VLOOKUP(A1976,[14]PRIORIZADOS!$A:$D,4,FALSE)),"")</f>
        <v>PRIVADO</v>
      </c>
      <c r="E1976" s="11" t="str">
        <f>IFERROR(IF(VLOOKUP(A1976,[14]PRIORIZADOS!$A:$E,5,FALSE)="","",VLOOKUP(A1976,[14]PRIORIZADOS!$A:$E,5,FALSE)),"")</f>
        <v>Educación de Jóvenes y Adultos</v>
      </c>
      <c r="F1976" s="11" t="str">
        <f>IFERROR(IF(VLOOKUP(A1976,[14]PRIORIZADOS!$A:$F,6,FALSE)="","",VLOOKUP(A1976,[14]PRIORIZADOS!$A:$F,6,FALSE)),"")</f>
        <v>CENTRO_DE_ESTUDIOS_SAN_BASILIO</v>
      </c>
      <c r="G1976" s="11" t="str">
        <f>IFERROR(IF(VLOOKUP(A1976,[14]PRIORIZADOS!$A:$G,7,FALSE)="","",VLOOKUP(A1976,[14]PRIORIZADOS!$A:$G,7,FALSE)),"")</f>
        <v>CENTRO DE ESTUDIOS SAN BASILIO</v>
      </c>
      <c r="H1976" s="11" t="str">
        <f>IFERROR(IF(VLOOKUP(A1976,[14]PRIORIZADOS!$A:$H,8,FALSE)="","",VLOOKUP(A1976,[14]PRIORIZADOS!$A:$H,8,FALSE)),"")</f>
        <v>Autoevaluación Institucional y Pruebas SABER 11</v>
      </c>
      <c r="I1976" s="11" t="str">
        <f>IFERROR(IF(VLOOKUP(A1976,[14]PRIORIZADOS!$A:$I,9,FALSE)="","",VLOOKUP(A1976,[14]PRIORIZADOS!$A:$I,9,FALSE)),"")</f>
        <v>EVALUACIÓN_CON_FINES_DE_MEJORAMIENTO.</v>
      </c>
      <c r="J1976" s="11" t="str">
        <f>IFERROR(IF(VLOOKUP(A1976,[14]PRIORIZADOS!$A:$J,10,FALSE)="","",VLOOKUP(A1976,[14]PRIORIZADOS!$A:$J,10,FALSE)),"")</f>
        <v>Revisar el calendario escolar, jornada escolar, la intensidad horaria mínima anual en cada nivel y las modificaciones que se realicen al mismo, de acuerdo con lo previsto en la normatividad vigente.</v>
      </c>
      <c r="K1976" s="11" t="str">
        <f>IFERROR(IF(VLOOKUP(A1976,[14]PRIORIZADOS!$A:$K,11,FALSE)="","",VLOOKUP(A1976,[14]PRIORIZADOS!$A:$K,11,FALSE)),"")</f>
        <v>GETULIO ALBERTO FLÓREZ MORENO</v>
      </c>
      <c r="L1976" s="11" t="str">
        <f>IFERROR(IF(VLOOKUP(A1976,[14]PRIORIZADOS!$A:$L,12,FALSE)="","",VLOOKUP(A1976,[14]PRIORIZADOS!$A:$L,12,FALSE)),"")</f>
        <v>JUAN MANUEL SANCHEZ MORA</v>
      </c>
      <c r="M1976" s="71">
        <f>IFERROR(IF(VLOOKUP(A1976,[14]PRIORIZADOS!$A:$M,13,FALSE)="","",VLOOKUP(A1976,[14]PRIORIZADOS!$A:$M,13,FALSE)),"")</f>
        <v>45735</v>
      </c>
      <c r="N1976" s="71">
        <f>IFERROR(IF(VLOOKUP(A1976,[14]PRIORIZADOS!$A:$N,14,FALSE)="","",VLOOKUP(A1976,[14]PRIORIZADOS!$A:$N,14,FALSE)),"")</f>
        <v>45919</v>
      </c>
      <c r="O1976" s="71">
        <f>IFERROR(IF(VLOOKUP(A1976,[14]PRIORIZADOS!$A:$O,15,FALSE)="","",VLOOKUP(A1976,[14]PRIORIZADOS!$A:$O,15,FALSE)),"")</f>
        <v>45919</v>
      </c>
      <c r="P1976" s="11" t="str">
        <f>IFERROR(IF(VLOOKUP(A1976,[14]PRIORIZADOS!$A:$P,16,FALSE)="","",VLOOKUP(A1976,[14]PRIORIZADOS!$A:$P,16,FALSE)),"")</f>
        <v>Visitas de evaluación con fines de mejoramiento</v>
      </c>
      <c r="Q1976" s="22" t="s">
        <v>426</v>
      </c>
      <c r="R1976" s="11" t="str">
        <f>IFERROR(IF(VLOOKUP(A1976,[14]PRIORIZADOS!$A:$R,18,FALSE)="","",VLOOKUP(A1976,[14]PRIORIZADOS!$A:$R,18,FALSE)),"")</f>
        <v>Se evidencia la intensidad horaria y las horas mínimas anuales de cada ciclo se ajustan para los de preescolar, básica y media.</v>
      </c>
      <c r="S1976" s="11" t="str">
        <f>IFERROR(IF(VLOOKUP(A1976,[14]PRIORIZADOS!$A:$S,19,FALSE)="","",VLOOKUP(A1976,[14]PRIORIZADOS!$A:$S,19,FALSE)),"")</f>
        <v>Cumplie el calendario académico</v>
      </c>
      <c r="T1976" s="70" t="str">
        <f>IFERROR(IF(VLOOKUP(A1976,[14]PRIORIZADOS!$A:$T,20,FALSE)="","",VLOOKUP(A1976,[14]PRIORIZADOS!$A:$T,20,FALSE)),"")</f>
        <v>No</v>
      </c>
      <c r="U1976" s="11" t="str">
        <f>IFERROR(IF(VLOOKUP(A1976,[14]PRIORIZADOS!$A:$U,21,FALSE)="","",VLOOKUP(A1976,[14]PRIORIZADOS!$A:$U,21,FALSE)),"")</f>
        <v>Continuar con el cumplimiento del calendario</v>
      </c>
    </row>
    <row r="1977" spans="1:21" s="1" customFormat="1" ht="60">
      <c r="A1977" s="69">
        <f>IF([14]PRIORIZADOS!A24="","",[14]PRIORIZADOS!A24)</f>
        <v>1945</v>
      </c>
      <c r="B1977" s="70">
        <f>IFERROR(IF(VLOOKUP(A1977,[14]PRIORIZADOS!$A:$B,2,FALSE)="","",VLOOKUP(A1977,[14]PRIORIZADOS!$A:$B,2,FALSE)),"")</f>
        <v>2</v>
      </c>
      <c r="C1977" s="11" t="s">
        <v>424</v>
      </c>
      <c r="D1977" s="11" t="str">
        <f>IFERROR(IF(VLOOKUP(A1977,[14]PRIORIZADOS!$A:$D,4,FALSE)="","",VLOOKUP(A1977,[14]PRIORIZADOS!$A:$D,4,FALSE)),"")</f>
        <v>PRIVADO</v>
      </c>
      <c r="E1977" s="11" t="str">
        <f>IFERROR(IF(VLOOKUP(A1977,[14]PRIORIZADOS!$A:$E,5,FALSE)="","",VLOOKUP(A1977,[14]PRIORIZADOS!$A:$E,5,FALSE)),"")</f>
        <v>Educación de Jóvenes y Adultos</v>
      </c>
      <c r="F1977" s="11" t="str">
        <f>IFERROR(IF(VLOOKUP(A1977,[14]PRIORIZADOS!$A:$F,6,FALSE)="","",VLOOKUP(A1977,[14]PRIORIZADOS!$A:$F,6,FALSE)),"")</f>
        <v>CENTRO_DE_ESTUDIOS_SAN_BASILIO</v>
      </c>
      <c r="G1977" s="11" t="str">
        <f>IFERROR(IF(VLOOKUP(A1977,[14]PRIORIZADOS!$A:$G,7,FALSE)="","",VLOOKUP(A1977,[14]PRIORIZADOS!$A:$G,7,FALSE)),"")</f>
        <v>CENTRO DE ESTUDIOS SAN BASILIO</v>
      </c>
      <c r="H1977" s="11" t="str">
        <f>IFERROR(IF(VLOOKUP(A1977,[14]PRIORIZADOS!$A:$H,8,FALSE)="","",VLOOKUP(A1977,[14]PRIORIZADOS!$A:$H,8,FALSE)),"")</f>
        <v>Autoevaluación Institucional y Pruebas SABER 11</v>
      </c>
      <c r="I1977" s="11" t="str">
        <f>IFERROR(IF(VLOOKUP(A1977,[14]PRIORIZADOS!$A:$I,9,FALSE)="","",VLOOKUP(A1977,[14]PRIORIZADOS!$A:$I,9,FALSE)),"")</f>
        <v>EVALUACIÓN_CON_FINES_DE_MEJORAMIENTO.</v>
      </c>
      <c r="J1977" s="11" t="str">
        <f>IFERROR(IF(VLOOKUP(A1977,[14]PRIORIZADOS!$A:$J,10,FALSE)="","",VLOOKUP(A1977,[14]PRIORIZADOS!$A:$J,10,FALSE)),"")</f>
        <v>Verificar el funcionamiento del Gobierno Escolar e instancias de participación con base en la información sobre conformación reportada por la institución educativa.</v>
      </c>
      <c r="K1977" s="11" t="str">
        <f>IFERROR(IF(VLOOKUP(A1977,[14]PRIORIZADOS!$A:$K,11,FALSE)="","",VLOOKUP(A1977,[14]PRIORIZADOS!$A:$K,11,FALSE)),"")</f>
        <v>GETULIO ALBERTO FLÓREZ MORENO</v>
      </c>
      <c r="L1977" s="11" t="str">
        <f>IFERROR(IF(VLOOKUP(A1977,[14]PRIORIZADOS!$A:$L,12,FALSE)="","",VLOOKUP(A1977,[14]PRIORIZADOS!$A:$L,12,FALSE)),"")</f>
        <v>JUAN MANUEL SANCHEZ MORA</v>
      </c>
      <c r="M1977" s="71">
        <f>IFERROR(IF(VLOOKUP(A1977,[14]PRIORIZADOS!$A:$M,13,FALSE)="","",VLOOKUP(A1977,[14]PRIORIZADOS!$A:$M,13,FALSE)),"")</f>
        <v>45735</v>
      </c>
      <c r="N1977" s="71">
        <f>IFERROR(IF(VLOOKUP(A1977,[14]PRIORIZADOS!$A:$N,14,FALSE)="","",VLOOKUP(A1977,[14]PRIORIZADOS!$A:$N,14,FALSE)),"")</f>
        <v>45919</v>
      </c>
      <c r="O1977" s="71">
        <f>IFERROR(IF(VLOOKUP(A1977,[14]PRIORIZADOS!$A:$O,15,FALSE)="","",VLOOKUP(A1977,[14]PRIORIZADOS!$A:$O,15,FALSE)),"")</f>
        <v>45919</v>
      </c>
      <c r="P1977" s="11" t="str">
        <f>IFERROR(IF(VLOOKUP(A1977,[14]PRIORIZADOS!$A:$P,16,FALSE)="","",VLOOKUP(A1977,[14]PRIORIZADOS!$A:$P,16,FALSE)),"")</f>
        <v>Visitas de evaluación con fines de mejoramiento</v>
      </c>
      <c r="Q1977" s="251" t="s">
        <v>426</v>
      </c>
      <c r="R1977" s="11" t="str">
        <f>IFERROR(IF(VLOOKUP(A1977,[14]PRIORIZADOS!$A:$R,18,FALSE)="","",VLOOKUP(A1977,[14]PRIORIZADOS!$A:$R,18,FALSE)),"")</f>
        <v>Tanto las actas del Consejo Directivo y el Consejo Académico están conformados en debida forma, se observan en la visita actas de sesión de los Consejos las cuales tienen funciones registradas en el PEI.</v>
      </c>
      <c r="S1977" s="11" t="str">
        <f>IFERROR(IF(VLOOKUP(A1977,[14]PRIORIZADOS!$A:$S,19,FALSE)="","",VLOOKUP(A1977,[14]PRIORIZADOS!$A:$S,19,FALSE)),"")</f>
        <v xml:space="preserve">Se sugiere continuar con la reuniones periódicas y su documentación a través de actas. </v>
      </c>
      <c r="T1977" s="70" t="str">
        <f>IFERROR(IF(VLOOKUP(A1977,[14]PRIORIZADOS!$A:$T,20,FALSE)="","",VLOOKUP(A1977,[14]PRIORIZADOS!$A:$T,20,FALSE)),"")</f>
        <v>No</v>
      </c>
      <c r="U1977" s="11" t="str">
        <f>IFERROR(IF(VLOOKUP(A1977,[14]PRIORIZADOS!$A:$U,21,FALSE)="","",VLOOKUP(A1977,[14]PRIORIZADOS!$A:$U,21,FALSE)),"")</f>
        <v xml:space="preserve">Continura con el cumplimiento de la instancia de Gobierno Escolar. </v>
      </c>
    </row>
    <row r="1978" spans="1:21" s="1" customFormat="1" ht="60">
      <c r="A1978" s="69">
        <f>IF([14]PRIORIZADOS!A25="","",[14]PRIORIZADOS!A25)</f>
        <v>1946</v>
      </c>
      <c r="B1978" s="70">
        <f>IFERROR(IF(VLOOKUP(A1978,[14]PRIORIZADOS!$A:$B,2,FALSE)="","",VLOOKUP(A1978,[14]PRIORIZADOS!$A:$B,2,FALSE)),"")</f>
        <v>2</v>
      </c>
      <c r="C1978" s="11" t="s">
        <v>424</v>
      </c>
      <c r="D1978" s="11" t="str">
        <f>IFERROR(IF(VLOOKUP(A1978,[14]PRIORIZADOS!$A:$D,4,FALSE)="","",VLOOKUP(A1978,[14]PRIORIZADOS!$A:$D,4,FALSE)),"")</f>
        <v>PRIVADO</v>
      </c>
      <c r="E1978" s="11" t="str">
        <f>IFERROR(IF(VLOOKUP(A1978,[14]PRIORIZADOS!$A:$E,5,FALSE)="","",VLOOKUP(A1978,[14]PRIORIZADOS!$A:$E,5,FALSE)),"")</f>
        <v>Educación de Jóvenes y Adultos</v>
      </c>
      <c r="F1978" s="11" t="str">
        <f>IFERROR(IF(VLOOKUP(A1978,[14]PRIORIZADOS!$A:$F,6,FALSE)="","",VLOOKUP(A1978,[14]PRIORIZADOS!$A:$F,6,FALSE)),"")</f>
        <v>CENTRO_DE_ESTUDIOS_SAN_BASILIO</v>
      </c>
      <c r="G1978" s="11" t="str">
        <f>IFERROR(IF(VLOOKUP(A1978,[14]PRIORIZADOS!$A:$G,7,FALSE)="","",VLOOKUP(A1978,[14]PRIORIZADOS!$A:$G,7,FALSE)),"")</f>
        <v>CENTRO DE ESTUDIOS SAN BASILIO</v>
      </c>
      <c r="H1978" s="11" t="str">
        <f>IFERROR(IF(VLOOKUP(A1978,[14]PRIORIZADOS!$A:$H,8,FALSE)="","",VLOOKUP(A1978,[14]PRIORIZADOS!$A:$H,8,FALSE)),"")</f>
        <v>Autoevaluación Institucional y Pruebas SABER 11</v>
      </c>
      <c r="I1978" s="11" t="str">
        <f>IFERROR(IF(VLOOKUP(A1978,[14]PRIORIZADOS!$A:$I,9,FALSE)="","",VLOOKUP(A1978,[14]PRIORIZADOS!$A:$I,9,FALSE)),"")</f>
        <v>EVALUACIÓN_CON_FINES_DE_MEJORAMIENTO.</v>
      </c>
      <c r="J1978" s="11" t="str">
        <f>IFERROR(IF(VLOOKUP(A1978,[14]PRIORIZADOS!$A:$J,10,FALSE)="","",VLOOKUP(A1978,[14]PRIORIZADOS!$A:$J,10,FALSE)),"")</f>
        <v>Verificar las condiciones en cuanto a: la estructura administrativa, condiciones de la planta física y medios educativos adecuados.</v>
      </c>
      <c r="K1978" s="11" t="str">
        <f>IFERROR(IF(VLOOKUP(A1978,[14]PRIORIZADOS!$A:$K,11,FALSE)="","",VLOOKUP(A1978,[14]PRIORIZADOS!$A:$K,11,FALSE)),"")</f>
        <v>GETULIO ALBERTO FLÓREZ MORENO</v>
      </c>
      <c r="L1978" s="11" t="str">
        <f>IFERROR(IF(VLOOKUP(A1978,[14]PRIORIZADOS!$A:$L,12,FALSE)="","",VLOOKUP(A1978,[14]PRIORIZADOS!$A:$L,12,FALSE)),"")</f>
        <v>JUAN MANUEL SANCHEZ MORA</v>
      </c>
      <c r="M1978" s="71">
        <f>IFERROR(IF(VLOOKUP(A1978,[14]PRIORIZADOS!$A:$M,13,FALSE)="","",VLOOKUP(A1978,[14]PRIORIZADOS!$A:$M,13,FALSE)),"")</f>
        <v>45735</v>
      </c>
      <c r="N1978" s="71">
        <f>IFERROR(IF(VLOOKUP(A1978,[14]PRIORIZADOS!$A:$N,14,FALSE)="","",VLOOKUP(A1978,[14]PRIORIZADOS!$A:$N,14,FALSE)),"")</f>
        <v>45919</v>
      </c>
      <c r="O1978" s="71">
        <f>IFERROR(IF(VLOOKUP(A1978,[14]PRIORIZADOS!$A:$O,15,FALSE)="","",VLOOKUP(A1978,[14]PRIORIZADOS!$A:$O,15,FALSE)),"")</f>
        <v>45919</v>
      </c>
      <c r="P1978" s="11" t="str">
        <f>IFERROR(IF(VLOOKUP(A1978,[14]PRIORIZADOS!$A:$P,16,FALSE)="","",VLOOKUP(A1978,[14]PRIORIZADOS!$A:$P,16,FALSE)),"")</f>
        <v>Visitas de evaluación con fines de mejoramiento</v>
      </c>
      <c r="Q1978" s="252" t="s">
        <v>426</v>
      </c>
      <c r="R1978" s="11" t="str">
        <f>IFERROR(IF(VLOOKUP(A1978,[14]PRIORIZADOS!$A:$R,18,FALSE)="","",VLOOKUP(A1978,[14]PRIORIZADOS!$A:$R,18,FALSE)),"")</f>
        <v>La planta física autorizada cuenta con los espacios pedagógicos necesarios para el servicio educativo, de igual forma cuenta con un buen estado del mobiliario para funciones administrativas.</v>
      </c>
      <c r="S1978" s="11" t="str">
        <f>IFERROR(IF(VLOOKUP(A1978,[14]PRIORIZADOS!$A:$S,19,FALSE)="","",VLOOKUP(A1978,[14]PRIORIZADOS!$A:$S,19,FALSE)),"")</f>
        <v xml:space="preserve">Se recomienda continuar con el mantenimientpo de la planta física y su dotación en óptimas condiciones. </v>
      </c>
      <c r="T1978" s="70" t="str">
        <f>IFERROR(IF(VLOOKUP(A1978,[14]PRIORIZADOS!$A:$T,20,FALSE)="","",VLOOKUP(A1978,[14]PRIORIZADOS!$A:$T,20,FALSE)),"")</f>
        <v>Si</v>
      </c>
      <c r="U1978" s="11" t="str">
        <f>IFERROR(IF(VLOOKUP(A1978,[14]PRIORIZADOS!$A:$U,21,FALSE)="","",VLOOKUP(A1978,[14]PRIORIZADOS!$A:$U,21,FALSE)),"")</f>
        <v>En virtud de posible matrícula para estudiantes en condición de discapacidad, se recomienda acondicionar los ambientes pedagógicos para la población con alguna discapacidad</v>
      </c>
    </row>
    <row r="1979" spans="1:21" s="1" customFormat="1" ht="48">
      <c r="A1979" s="69">
        <f>IF([14]PRIORIZADOS!A26="","",[14]PRIORIZADOS!A26)</f>
        <v>1947</v>
      </c>
      <c r="B1979" s="70">
        <f>IFERROR(IF(VLOOKUP(A1979,[14]PRIORIZADOS!$A:$B,2,FALSE)="","",VLOOKUP(A1979,[14]PRIORIZADOS!$A:$B,2,FALSE)),"")</f>
        <v>3</v>
      </c>
      <c r="C1979" s="11" t="s">
        <v>424</v>
      </c>
      <c r="D1979" s="11" t="str">
        <f>IFERROR(IF(VLOOKUP(A1979,[14]PRIORIZADOS!$A:$D,4,FALSE)="","",VLOOKUP(A1979,[14]PRIORIZADOS!$A:$D,4,FALSE)),"")</f>
        <v>PRIVADO</v>
      </c>
      <c r="E1979" s="11" t="str">
        <f>IFERROR(IF(VLOOKUP(A1979,[14]PRIORIZADOS!$A:$E,5,FALSE)="","",VLOOKUP(A1979,[14]PRIORIZADOS!$A:$E,5,FALSE)),"")</f>
        <v>Educación de Jóvenes y Adultos</v>
      </c>
      <c r="F1979" s="11" t="str">
        <f>IFERROR(IF(VLOOKUP(A1979,[14]PRIORIZADOS!$A:$F,6,FALSE)="","",VLOOKUP(A1979,[14]PRIORIZADOS!$A:$F,6,FALSE)),"")</f>
        <v>CENTRO_DE_ESTUDIOS_PRO_PYMES</v>
      </c>
      <c r="G1979" s="11" t="str">
        <f>IFERROR(IF(VLOOKUP(A1979,[14]PRIORIZADOS!$A:$G,7,FALSE)="","",VLOOKUP(A1979,[14]PRIORIZADOS!$A:$G,7,FALSE)),"")</f>
        <v>CENTRO DE ESTUDIOS PRO-PYMES</v>
      </c>
      <c r="H1979" s="11" t="str">
        <f>IFERROR(IF(VLOOKUP(A1979,[14]PRIORIZADOS!$A:$H,8,FALSE)="","",VLOOKUP(A1979,[14]PRIORIZADOS!$A:$H,8,FALSE)),"")</f>
        <v>Autoevaluación Institucional y Pruebas SABER 11</v>
      </c>
      <c r="I1979" s="11" t="str">
        <f>IFERROR(IF(VLOOKUP(A1979,[14]PRIORIZADOS!$A:$I,9,FALSE)="","",VLOOKUP(A1979,[14]PRIORIZADOS!$A:$I,9,FALSE)),"")</f>
        <v>SEGUIMIENTO_Y_SUPERVISIÓN.</v>
      </c>
      <c r="J1979" s="11" t="str">
        <f>IFERROR(IF(VLOOKUP(A1979,[14]PRIORIZADOS!$A:$J,10,FALSE)="","",VLOOKUP(A1979,[14]PRIORIZADOS!$A:$J,10,FALSE)),"")</f>
        <v>Realizar visitas para verificar la información registrada sobre la autoevaluación institucional en el aplicativo EVI, a los establecimientos de educación formal no oficial.</v>
      </c>
      <c r="K1979" s="11" t="str">
        <f>IFERROR(IF(VLOOKUP(A1979,[14]PRIORIZADOS!$A:$K,11,FALSE)="","",VLOOKUP(A1979,[14]PRIORIZADOS!$A:$K,11,FALSE)),"")</f>
        <v>MARTHA RUT SILVA ABRIL</v>
      </c>
      <c r="L1979" s="11" t="str">
        <f>IFERROR(IF(VLOOKUP(A1979,[14]PRIORIZADOS!$A:$L,12,FALSE)="","",VLOOKUP(A1979,[14]PRIORIZADOS!$A:$L,12,FALSE)),"")</f>
        <v>JUAN MANUEL SANCHEZ MORA</v>
      </c>
      <c r="M1979" s="71">
        <f>IFERROR(IF(VLOOKUP(A1979,[14]PRIORIZADOS!$A:$M,13,FALSE)="","",VLOOKUP(A1979,[14]PRIORIZADOS!$A:$M,13,FALSE)),"")</f>
        <v>45874</v>
      </c>
      <c r="N1979" s="71">
        <f>IFERROR(IF(VLOOKUP(A1979,[14]PRIORIZADOS!$A:$N,14,FALSE)="","",VLOOKUP(A1979,[14]PRIORIZADOS!$A:$N,14,FALSE)),"")</f>
        <v>45854</v>
      </c>
      <c r="O1979" s="71">
        <f>IFERROR(IF(VLOOKUP(A1979,[14]PRIORIZADOS!$A:$O,15,FALSE)="","",VLOOKUP(A1979,[14]PRIORIZADOS!$A:$O,15,FALSE)),"")</f>
        <v>45854</v>
      </c>
      <c r="P1979" s="11" t="str">
        <f>IFERROR(IF(VLOOKUP(A1979,[14]PRIORIZADOS!$A:$P,16,FALSE)="","",VLOOKUP(A1979,[14]PRIORIZADOS!$A:$P,16,FALSE)),"")</f>
        <v>Visitas de evaluación con fines de seguimiento</v>
      </c>
      <c r="Q1979" s="22" t="s">
        <v>427</v>
      </c>
      <c r="R1979" s="11" t="str">
        <f>IFERROR(IF(VLOOKUP(A1979,[14]PRIORIZADOS!$A:$R,18,FALSE)="","",VLOOKUP(A1979,[14]PRIORIZADOS!$A:$R,18,FALSE)),"")</f>
        <v>Se evidenció que la institucion no cuenta con espacios pedagogios, pago de parafiscales ni afiliacion a seguridad social integral de sus empleados.</v>
      </c>
      <c r="S1979" s="11" t="str">
        <f>IFERROR(IF(VLOOKUP(A1979,[14]PRIORIZADOS!$A:$S,19,FALSE)="","",VLOOKUP(A1979,[14]PRIORIZADOS!$A:$S,19,FALSE)),"")</f>
        <v>Reportar información, realizar ajustes alos espacios pedagógicos y administrativos y baterias de baños y realizar las afiliaciones correspondientes.</v>
      </c>
      <c r="T1979" s="70" t="str">
        <f>IFERROR(IF(VLOOKUP(A1979,[14]PRIORIZADOS!$A:$T,20,FALSE)="","",VLOOKUP(A1979,[14]PRIORIZADOS!$A:$T,20,FALSE)),"")</f>
        <v>Si</v>
      </c>
      <c r="U1979" s="11" t="str">
        <f>IFERROR(IF(VLOOKUP(A1979,[14]PRIORIZADOS!$A:$U,21,FALSE)="","",VLOOKUP(A1979,[14]PRIORIZADOS!$A:$U,21,FALSE)),"")</f>
        <v>Verificar la formulación del plan de mejoramiento fijado parta el 1 de septiembre de 2025</v>
      </c>
    </row>
    <row r="1980" spans="1:21" s="1" customFormat="1" ht="60">
      <c r="A1980" s="69">
        <f>IF([14]PRIORIZADOS!A27="","",[14]PRIORIZADOS!A27)</f>
        <v>1948</v>
      </c>
      <c r="B1980" s="70">
        <f>IFERROR(IF(VLOOKUP(A1980,[14]PRIORIZADOS!$A:$B,2,FALSE)="","",VLOOKUP(A1980,[14]PRIORIZADOS!$A:$B,2,FALSE)),"")</f>
        <v>3</v>
      </c>
      <c r="C1980" s="11" t="s">
        <v>424</v>
      </c>
      <c r="D1980" s="11" t="str">
        <f>IFERROR(IF(VLOOKUP(A1980,[14]PRIORIZADOS!$A:$D,4,FALSE)="","",VLOOKUP(A1980,[14]PRIORIZADOS!$A:$D,4,FALSE)),"")</f>
        <v>PRIVADO</v>
      </c>
      <c r="E1980" s="11" t="str">
        <f>IFERROR(IF(VLOOKUP(A1980,[14]PRIORIZADOS!$A:$E,5,FALSE)="","",VLOOKUP(A1980,[14]PRIORIZADOS!$A:$E,5,FALSE)),"")</f>
        <v>Educación de Jóvenes y Adultos</v>
      </c>
      <c r="F1980" s="11" t="str">
        <f>IFERROR(IF(VLOOKUP(A1980,[14]PRIORIZADOS!$A:$F,6,FALSE)="","",VLOOKUP(A1980,[14]PRIORIZADOS!$A:$F,6,FALSE)),"")</f>
        <v>CENTRO_DE_ESTUDIOS_PRO_PYMES</v>
      </c>
      <c r="G1980" s="11" t="str">
        <f>IFERROR(IF(VLOOKUP(A1980,[14]PRIORIZADOS!$A:$G,7,FALSE)="","",VLOOKUP(A1980,[14]PRIORIZADOS!$A:$G,7,FALSE)),"")</f>
        <v>CENTRO DE ESTUDIOS PRO-PYMES</v>
      </c>
      <c r="H1980" s="11" t="str">
        <f>IFERROR(IF(VLOOKUP(A1980,[14]PRIORIZADOS!$A:$H,8,FALSE)="","",VLOOKUP(A1980,[14]PRIORIZADOS!$A:$H,8,FALSE)),"")</f>
        <v>Autoevaluación Institucional y Pruebas SABER 11</v>
      </c>
      <c r="I1980" s="11" t="str">
        <f>IFERROR(IF(VLOOKUP(A1980,[14]PRIORIZADOS!$A:$I,9,FALSE)="","",VLOOKUP(A1980,[14]PRIORIZADOS!$A:$I,9,FALSE)),"")</f>
        <v>SEGUIMIENTO_Y_SUPERVISIÓN.</v>
      </c>
      <c r="J1980" s="11" t="str">
        <f>IFERROR(IF(VLOOKUP(A1980,[14]PRIORIZADOS!$A:$J,10,FALSE)="","",VLOOKUP(A1980,[14]PRIORIZADOS!$A:$J,10,FALSE)),"")</f>
        <v>Proponer estrategias en la formulación, verificar su elaboración y realizar seguimiento semestral al desarrollo de  las acciones establecidas en los planes de mejoramiento por pruebas SABER 11 de los establecimientos de educación formal.</v>
      </c>
      <c r="K1980" s="11" t="str">
        <f>IFERROR(IF(VLOOKUP(A1980,[14]PRIORIZADOS!$A:$K,11,FALSE)="","",VLOOKUP(A1980,[14]PRIORIZADOS!$A:$K,11,FALSE)),"")</f>
        <v>MARTHA RUT SILVA ABRIL</v>
      </c>
      <c r="L1980" s="11" t="str">
        <f>IFERROR(IF(VLOOKUP(A1980,[14]PRIORIZADOS!$A:$L,12,FALSE)="","",VLOOKUP(A1980,[14]PRIORIZADOS!$A:$L,12,FALSE)),"")</f>
        <v>JUAN MANUEL SANCHEZ MORA</v>
      </c>
      <c r="M1980" s="71">
        <f>IFERROR(IF(VLOOKUP(A1980,[14]PRIORIZADOS!$A:$M,13,FALSE)="","",VLOOKUP(A1980,[14]PRIORIZADOS!$A:$M,13,FALSE)),"")</f>
        <v>45874</v>
      </c>
      <c r="N1980" s="71">
        <f>IFERROR(IF(VLOOKUP(A1980,[14]PRIORIZADOS!$A:$N,14,FALSE)="","",VLOOKUP(A1980,[14]PRIORIZADOS!$A:$N,14,FALSE)),"")</f>
        <v>45854</v>
      </c>
      <c r="O1980" s="71">
        <f>IFERROR(IF(VLOOKUP(A1980,[14]PRIORIZADOS!$A:$O,15,FALSE)="","",VLOOKUP(A1980,[14]PRIORIZADOS!$A:$O,15,FALSE)),"")</f>
        <v>45854</v>
      </c>
      <c r="P1980" s="11" t="str">
        <f>IFERROR(IF(VLOOKUP(A1980,[14]PRIORIZADOS!$A:$P,16,FALSE)="","",VLOOKUP(A1980,[14]PRIORIZADOS!$A:$P,16,FALSE)),"")</f>
        <v>Visitas de evaluación con fines de seguimiento</v>
      </c>
      <c r="Q1980" s="22" t="s">
        <v>427</v>
      </c>
      <c r="R1980" s="11" t="str">
        <f>IFERROR(IF(VLOOKUP(A1980,[14]PRIORIZADOS!$A:$R,18,FALSE)="","",VLOOKUP(A1980,[14]PRIORIZADOS!$A:$R,18,FALSE)),"")</f>
        <v>Se observó que no cuenta con estrategias de mejora con base en los resultados de las pruebas SABER 11 y la implementación de mejora.</v>
      </c>
      <c r="S1980" s="11" t="str">
        <f>IFERROR(IF(VLOOKUP(A1980,[14]PRIORIZADOS!$A:$S,19,FALSE)="","",VLOOKUP(A1980,[14]PRIORIZADOS!$A:$S,19,FALSE)),"")</f>
        <v>Diseñar estrategias para la revisión y análisis de los últimos resultados de las pruebas SABER 11 asi mismo en la implementación de acciones de seguimiento.</v>
      </c>
      <c r="T1980" s="70" t="str">
        <f>IFERROR(IF(VLOOKUP(A1980,[14]PRIORIZADOS!$A:$T,20,FALSE)="","",VLOOKUP(A1980,[14]PRIORIZADOS!$A:$T,20,FALSE)),"")</f>
        <v>Si</v>
      </c>
      <c r="U1980" s="11" t="str">
        <f>IFERROR(IF(VLOOKUP(A1980,[14]PRIORIZADOS!$A:$U,21,FALSE)="","",VLOOKUP(A1980,[14]PRIORIZADOS!$A:$U,21,FALSE)),"")</f>
        <v>Verificar la formulación del plan de mejoramiento fijado parta el 1 de septiembre de 2025</v>
      </c>
    </row>
    <row r="1981" spans="1:21" s="1" customFormat="1" ht="84">
      <c r="A1981" s="69">
        <f>IF([14]PRIORIZADOS!A28="","",[14]PRIORIZADOS!A28)</f>
        <v>1949</v>
      </c>
      <c r="B1981" s="70">
        <f>IFERROR(IF(VLOOKUP(A1981,[14]PRIORIZADOS!$A:$B,2,FALSE)="","",VLOOKUP(A1981,[14]PRIORIZADOS!$A:$B,2,FALSE)),"")</f>
        <v>3</v>
      </c>
      <c r="C1981" s="11" t="s">
        <v>424</v>
      </c>
      <c r="D1981" s="11" t="str">
        <f>IFERROR(IF(VLOOKUP(A1981,[14]PRIORIZADOS!$A:$D,4,FALSE)="","",VLOOKUP(A1981,[14]PRIORIZADOS!$A:$D,4,FALSE)),"")</f>
        <v>PRIVADO</v>
      </c>
      <c r="E1981" s="11" t="str">
        <f>IFERROR(IF(VLOOKUP(A1981,[14]PRIORIZADOS!$A:$E,5,FALSE)="","",VLOOKUP(A1981,[14]PRIORIZADOS!$A:$E,5,FALSE)),"")</f>
        <v>Educación de Jóvenes y Adultos</v>
      </c>
      <c r="F1981" s="11" t="str">
        <f>IFERROR(IF(VLOOKUP(A1981,[14]PRIORIZADOS!$A:$F,6,FALSE)="","",VLOOKUP(A1981,[14]PRIORIZADOS!$A:$F,6,FALSE)),"")</f>
        <v>CENTRO_DE_ESTUDIOS_PRO_PYMES</v>
      </c>
      <c r="G1981" s="11" t="str">
        <f>IFERROR(IF(VLOOKUP(A1981,[14]PRIORIZADOS!$A:$G,7,FALSE)="","",VLOOKUP(A1981,[14]PRIORIZADOS!$A:$G,7,FALSE)),"")</f>
        <v>CENTRO DE ESTUDIOS PRO-PYMES</v>
      </c>
      <c r="H1981" s="11" t="str">
        <f>IFERROR(IF(VLOOKUP(A1981,[14]PRIORIZADOS!$A:$H,8,FALSE)="","",VLOOKUP(A1981,[14]PRIORIZADOS!$A:$H,8,FALSE)),"")</f>
        <v>Autoevaluación Institucional y Pruebas SABER 11</v>
      </c>
      <c r="I1981" s="11" t="str">
        <f>IFERROR(IF(VLOOKUP(A1981,[14]PRIORIZADOS!$A:$I,9,FALSE)="","",VLOOKUP(A1981,[14]PRIORIZADOS!$A:$I,9,FALSE)),"")</f>
        <v>SEGUIMIENTO_Y_SUPERVISIÓN.</v>
      </c>
      <c r="J1981" s="11" t="str">
        <f>IFERROR(IF(VLOOKUP(A1981,[14]PRIORIZADOS!$A:$J,10,FALSE)="","",VLOOKUP(A1981,[14]PRIORIZADOS!$A:$J,10,FALSE)),"")</f>
        <v xml:space="preserve">Verificar la implementación por parte de los colegios, de acciones realizadas para la prevención y atención de las situaciones de convivencia en el entorno escolar, según lo establecido en la Directiva 01 de 2022 del MEN. </v>
      </c>
      <c r="K1981" s="11" t="str">
        <f>IFERROR(IF(VLOOKUP(A1981,[14]PRIORIZADOS!$A:$K,11,FALSE)="","",VLOOKUP(A1981,[14]PRIORIZADOS!$A:$K,11,FALSE)),"")</f>
        <v>MARTHA RUT SILVA ABRIL</v>
      </c>
      <c r="L1981" s="11" t="str">
        <f>IFERROR(IF(VLOOKUP(A1981,[14]PRIORIZADOS!$A:$L,12,FALSE)="","",VLOOKUP(A1981,[14]PRIORIZADOS!$A:$L,12,FALSE)),"")</f>
        <v>JUAN MANUEL SANCHEZ MORA</v>
      </c>
      <c r="M1981" s="71">
        <f>IFERROR(IF(VLOOKUP(A1981,[14]PRIORIZADOS!$A:$M,13,FALSE)="","",VLOOKUP(A1981,[14]PRIORIZADOS!$A:$M,13,FALSE)),"")</f>
        <v>45874</v>
      </c>
      <c r="N1981" s="71">
        <f>IFERROR(IF(VLOOKUP(A1981,[14]PRIORIZADOS!$A:$N,14,FALSE)="","",VLOOKUP(A1981,[14]PRIORIZADOS!$A:$N,14,FALSE)),"")</f>
        <v>45854</v>
      </c>
      <c r="O1981" s="71">
        <f>IFERROR(IF(VLOOKUP(A1981,[14]PRIORIZADOS!$A:$O,15,FALSE)="","",VLOOKUP(A1981,[14]PRIORIZADOS!$A:$O,15,FALSE)),"")</f>
        <v>45854</v>
      </c>
      <c r="P1981" s="11" t="str">
        <f>IFERROR(IF(VLOOKUP(A1981,[14]PRIORIZADOS!$A:$P,16,FALSE)="","",VLOOKUP(A1981,[14]PRIORIZADOS!$A:$P,16,FALSE)),"")</f>
        <v>Visitas de evaluación con fines de seguimiento</v>
      </c>
      <c r="Q1981" s="22" t="s">
        <v>427</v>
      </c>
      <c r="R1981" s="11" t="str">
        <f>IFERROR(IF(VLOOKUP(A1981,[14]PRIORIZADOS!$A:$R,18,FALSE)="","",VLOOKUP(A1981,[14]PRIORIZADOS!$A:$R,18,FALSE)),"")</f>
        <v>Se evidenció que no cuenta con la consulta para la vinculación de docentes en el sistema para la verificación de las inhabilidades por delitos sexuales.</v>
      </c>
      <c r="S1981" s="11" t="str">
        <f>IFERROR(IF(VLOOKUP(A1981,[14]PRIORIZADOS!$A:$S,19,FALSE)="","",VLOOKUP(A1981,[14]PRIORIZADOS!$A:$S,19,FALSE)),"")</f>
        <v>Realizar consulta cda 4 meses en el sistema para la verficación de las inhabilidades acorde con lo establecido en la Directiva 01 de 2022 del MEN e incorporar en la carpeta de las hojas de vida de los docentes y demás personal vinculado a la institución.</v>
      </c>
      <c r="T1981" s="70" t="str">
        <f>IFERROR(IF(VLOOKUP(A1981,[14]PRIORIZADOS!$A:$T,20,FALSE)="","",VLOOKUP(A1981,[14]PRIORIZADOS!$A:$T,20,FALSE)),"")</f>
        <v>Si</v>
      </c>
      <c r="U1981" s="11" t="str">
        <f>IFERROR(IF(VLOOKUP(A1981,[14]PRIORIZADOS!$A:$U,21,FALSE)="","",VLOOKUP(A1981,[14]PRIORIZADOS!$A:$U,21,FALSE)),"")</f>
        <v>Verificar la formulación del plan de mejoramiento fijado parta el 1 de septiembre de 2025</v>
      </c>
    </row>
    <row r="1982" spans="1:21" s="1" customFormat="1" ht="72">
      <c r="A1982" s="69">
        <f>IF([14]PRIORIZADOS!A29="","",[14]PRIORIZADOS!A29)</f>
        <v>1950</v>
      </c>
      <c r="B1982" s="70">
        <f>IFERROR(IF(VLOOKUP(A1982,[14]PRIORIZADOS!$A:$B,2,FALSE)="","",VLOOKUP(A1982,[14]PRIORIZADOS!$A:$B,2,FALSE)),"")</f>
        <v>3</v>
      </c>
      <c r="C1982" s="11" t="s">
        <v>424</v>
      </c>
      <c r="D1982" s="11" t="str">
        <f>IFERROR(IF(VLOOKUP(A1982,[14]PRIORIZADOS!$A:$D,4,FALSE)="","",VLOOKUP(A1982,[14]PRIORIZADOS!$A:$D,4,FALSE)),"")</f>
        <v>PRIVADO</v>
      </c>
      <c r="E1982" s="11" t="str">
        <f>IFERROR(IF(VLOOKUP(A1982,[14]PRIORIZADOS!$A:$E,5,FALSE)="","",VLOOKUP(A1982,[14]PRIORIZADOS!$A:$E,5,FALSE)),"")</f>
        <v>Educación de Jóvenes y Adultos</v>
      </c>
      <c r="F1982" s="11" t="str">
        <f>IFERROR(IF(VLOOKUP(A1982,[14]PRIORIZADOS!$A:$F,6,FALSE)="","",VLOOKUP(A1982,[14]PRIORIZADOS!$A:$F,6,FALSE)),"")</f>
        <v>CENTRO_DE_ESTUDIOS_PRO_PYMES</v>
      </c>
      <c r="G1982" s="11" t="str">
        <f>IFERROR(IF(VLOOKUP(A1982,[14]PRIORIZADOS!$A:$G,7,FALSE)="","",VLOOKUP(A1982,[14]PRIORIZADOS!$A:$G,7,FALSE)),"")</f>
        <v>CENTRO DE ESTUDIOS PRO-PYMES</v>
      </c>
      <c r="H1982" s="11" t="str">
        <f>IFERROR(IF(VLOOKUP(A1982,[14]PRIORIZADOS!$A:$H,8,FALSE)="","",VLOOKUP(A1982,[14]PRIORIZADOS!$A:$H,8,FALSE)),"")</f>
        <v>Autoevaluación Institucional y Pruebas SABER 11</v>
      </c>
      <c r="I1982" s="11" t="str">
        <f>IFERROR(IF(VLOOKUP(A1982,[14]PRIORIZADOS!$A:$I,9,FALSE)="","",VLOOKUP(A1982,[14]PRIORIZADOS!$A:$I,9,FALSE)),"")</f>
        <v>SEGUIMIENTO_Y_SUPERVISIÓN.</v>
      </c>
      <c r="J1982" s="11" t="str">
        <f>IFERROR(IF(VLOOKUP(A1982,[14]PRIORIZADOS!$A:$J,10,FALSE)="","",VLOOKUP(A1982,[14]PRIORIZADOS!$A:$J,10,FALSE)),"")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82" s="11" t="str">
        <f>IFERROR(IF(VLOOKUP(A1982,[14]PRIORIZADOS!$A:$K,11,FALSE)="","",VLOOKUP(A1982,[14]PRIORIZADOS!$A:$K,11,FALSE)),"")</f>
        <v>MARTHA RUT SILVA ABRIL</v>
      </c>
      <c r="L1982" s="11" t="str">
        <f>IFERROR(IF(VLOOKUP(A1982,[14]PRIORIZADOS!$A:$L,12,FALSE)="","",VLOOKUP(A1982,[14]PRIORIZADOS!$A:$L,12,FALSE)),"")</f>
        <v>JUAN MANUEL SANCHEZ MORA</v>
      </c>
      <c r="M1982" s="71">
        <f>IFERROR(IF(VLOOKUP(A1982,[14]PRIORIZADOS!$A:$M,13,FALSE)="","",VLOOKUP(A1982,[14]PRIORIZADOS!$A:$M,13,FALSE)),"")</f>
        <v>45874</v>
      </c>
      <c r="N1982" s="71">
        <f>IFERROR(IF(VLOOKUP(A1982,[14]PRIORIZADOS!$A:$N,14,FALSE)="","",VLOOKUP(A1982,[14]PRIORIZADOS!$A:$N,14,FALSE)),"")</f>
        <v>45854</v>
      </c>
      <c r="O1982" s="71">
        <f>IFERROR(IF(VLOOKUP(A1982,[14]PRIORIZADOS!$A:$O,15,FALSE)="","",VLOOKUP(A1982,[14]PRIORIZADOS!$A:$O,15,FALSE)),"")</f>
        <v>45854</v>
      </c>
      <c r="P1982" s="11" t="str">
        <f>IFERROR(IF(VLOOKUP(A1982,[14]PRIORIZADOS!$A:$P,16,FALSE)="","",VLOOKUP(A1982,[14]PRIORIZADOS!$A:$P,16,FALSE)),"")</f>
        <v>Visitas de evaluación con fines de seguimiento</v>
      </c>
      <c r="Q1982" s="22" t="s">
        <v>427</v>
      </c>
      <c r="R1982" s="11" t="str">
        <f>IFERROR(IF(VLOOKUP(A1982,[14]PRIORIZADOS!$A:$R,18,FALSE)="","",VLOOKUP(A1982,[14]PRIORIZADOS!$A:$R,18,FALSE)),"")</f>
        <v>Se evidenció que la institucion no cuenta con Planes Individuales de Ajustes Razonables -PIAR, en marco del Decreto 1421 de 2017, por cuanto no tiene estudiantes con discapacidad.</v>
      </c>
      <c r="S1982" s="11" t="str">
        <f>IFERROR(IF(VLOOKUP(A1982,[14]PRIORIZADOS!$A:$S,19,FALSE)="","",VLOOKUP(A1982,[14]PRIORIZADOS!$A:$S,19,FALSE)),"")</f>
        <v>Estrucutrar un modelo de PIAR acorde con lo establecido en la norma.</v>
      </c>
      <c r="T1982" s="70" t="str">
        <f>IFERROR(IF(VLOOKUP(A1982,[14]PRIORIZADOS!$A:$T,20,FALSE)="","",VLOOKUP(A1982,[14]PRIORIZADOS!$A:$T,20,FALSE)),"")</f>
        <v>Si</v>
      </c>
      <c r="U1982" s="11" t="str">
        <f>IFERROR(IF(VLOOKUP(A1982,[14]PRIORIZADOS!$A:$U,21,FALSE)="","",VLOOKUP(A1982,[14]PRIORIZADOS!$A:$U,21,FALSE)),"")</f>
        <v>Verficar la formalación del plan de mejoramiento fijado parta el 1 de septiembre de 2025</v>
      </c>
    </row>
    <row r="1983" spans="1:21" s="1" customFormat="1" ht="84">
      <c r="A1983" s="69">
        <f>IF([14]PRIORIZADOS!A30="","",[14]PRIORIZADOS!A30)</f>
        <v>1951</v>
      </c>
      <c r="B1983" s="70">
        <f>IFERROR(IF(VLOOKUP(A1983,[14]PRIORIZADOS!$A:$B,2,FALSE)="","",VLOOKUP(A1983,[14]PRIORIZADOS!$A:$B,2,FALSE)),"")</f>
        <v>3</v>
      </c>
      <c r="C1983" s="11" t="s">
        <v>424</v>
      </c>
      <c r="D1983" s="11" t="str">
        <f>IFERROR(IF(VLOOKUP(A1983,[14]PRIORIZADOS!$A:$D,4,FALSE)="","",VLOOKUP(A1983,[14]PRIORIZADOS!$A:$D,4,FALSE)),"")</f>
        <v>PRIVADO</v>
      </c>
      <c r="E1983" s="11" t="str">
        <f>IFERROR(IF(VLOOKUP(A1983,[14]PRIORIZADOS!$A:$E,5,FALSE)="","",VLOOKUP(A1983,[14]PRIORIZADOS!$A:$E,5,FALSE)),"")</f>
        <v>Educación de Jóvenes y Adultos</v>
      </c>
      <c r="F1983" s="11" t="str">
        <f>IFERROR(IF(VLOOKUP(A1983,[14]PRIORIZADOS!$A:$F,6,FALSE)="","",VLOOKUP(A1983,[14]PRIORIZADOS!$A:$F,6,FALSE)),"")</f>
        <v>CENTRO_DE_ESTUDIOS_PRO_PYMES</v>
      </c>
      <c r="G1983" s="11" t="str">
        <f>IFERROR(IF(VLOOKUP(A1983,[14]PRIORIZADOS!$A:$G,7,FALSE)="","",VLOOKUP(A1983,[14]PRIORIZADOS!$A:$G,7,FALSE)),"")</f>
        <v>CENTRO DE ESTUDIOS PRO-PYMES</v>
      </c>
      <c r="H1983" s="11" t="str">
        <f>IFERROR(IF(VLOOKUP(A1983,[14]PRIORIZADOS!$A:$H,8,FALSE)="","",VLOOKUP(A1983,[14]PRIORIZADOS!$A:$H,8,FALSE)),"")</f>
        <v>Autoevaluación Institucional y Pruebas SABER 11</v>
      </c>
      <c r="I1983" s="11" t="str">
        <f>IFERROR(IF(VLOOKUP(A1983,[14]PRIORIZADOS!$A:$I,9,FALSE)="","",VLOOKUP(A1983,[14]PRIORIZADOS!$A:$I,9,FALSE)),"")</f>
        <v>EVALUACIÓN_CON_FINES_DE_MEJORAMIENTO.</v>
      </c>
      <c r="J1983" s="11" t="str">
        <f>IFERROR(IF(VLOOKUP(A1983,[14]PRIORIZADOS!$A:$J,10,FALSE)="","",VLOOKUP(A1983,[14]PRIORIZADOS!$A:$J,10,FALSE)),"")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83" s="11" t="str">
        <f>IFERROR(IF(VLOOKUP(A1983,[14]PRIORIZADOS!$A:$K,11,FALSE)="","",VLOOKUP(A1983,[14]PRIORIZADOS!$A:$K,11,FALSE)),"")</f>
        <v>MARTHA RUT SILVA ABRIL</v>
      </c>
      <c r="L1983" s="11" t="str">
        <f>IFERROR(IF(VLOOKUP(A1983,[14]PRIORIZADOS!$A:$L,12,FALSE)="","",VLOOKUP(A1983,[14]PRIORIZADOS!$A:$L,12,FALSE)),"")</f>
        <v>JUAN MANUEL SANCHEZ MORA</v>
      </c>
      <c r="M1983" s="71">
        <f>IFERROR(IF(VLOOKUP(A1983,[14]PRIORIZADOS!$A:$M,13,FALSE)="","",VLOOKUP(A1983,[14]PRIORIZADOS!$A:$M,13,FALSE)),"")</f>
        <v>45874</v>
      </c>
      <c r="N1983" s="71">
        <f>IFERROR(IF(VLOOKUP(A1983,[14]PRIORIZADOS!$A:$N,14,FALSE)="","",VLOOKUP(A1983,[14]PRIORIZADOS!$A:$N,14,FALSE)),"")</f>
        <v>45854</v>
      </c>
      <c r="O1983" s="71">
        <f>IFERROR(IF(VLOOKUP(A1983,[14]PRIORIZADOS!$A:$O,15,FALSE)="","",VLOOKUP(A1983,[14]PRIORIZADOS!$A:$O,15,FALSE)),"")</f>
        <v>45854</v>
      </c>
      <c r="P1983" s="11" t="str">
        <f>IFERROR(IF(VLOOKUP(A1983,[14]PRIORIZADOS!$A:$P,16,FALSE)="","",VLOOKUP(A1983,[14]PRIORIZADOS!$A:$P,16,FALSE)),"")</f>
        <v>Visitas de evaluación con fines de mejoramiento</v>
      </c>
      <c r="Q1983" s="22" t="s">
        <v>427</v>
      </c>
      <c r="R1983" s="11" t="str">
        <f>IFERROR(IF(VLOOKUP(A1983,[14]PRIORIZADOS!$A:$R,18,FALSE)="","",VLOOKUP(A1983,[14]PRIORIZADOS!$A:$R,18,FALSE)),"")</f>
        <v>Se obervó que el manual de convivencia estaba desactualizado y sin la debida socialización y adopción correspondente.</v>
      </c>
      <c r="S1983" s="11" t="str">
        <f>IFERROR(IF(VLOOKUP(A1983,[14]PRIORIZADOS!$A:$S,19,FALSE)="","",VLOOKUP(A1983,[14]PRIORIZADOS!$A:$S,19,FALSE)),"")</f>
        <v>Ajustar y adoptar el manual de convivencia de conformidad con lo establecido en el Decreto 1075 de 2015 y la Ley 1620 de 2013 y demás normas concordantes.</v>
      </c>
      <c r="T1983" s="70" t="str">
        <f>IFERROR(IF(VLOOKUP(A1983,[14]PRIORIZADOS!$A:$T,20,FALSE)="","",VLOOKUP(A1983,[14]PRIORIZADOS!$A:$T,20,FALSE)),"")</f>
        <v>Si</v>
      </c>
      <c r="U1983" s="11" t="str">
        <f>IFERROR(IF(VLOOKUP(A1983,[14]PRIORIZADOS!$A:$U,21,FALSE)="","",VLOOKUP(A1983,[14]PRIORIZADOS!$A:$U,21,FALSE)),"")</f>
        <v>Verificar la formulación del plan de mejoramiento fijado parta el 1 de septiembre de 2025</v>
      </c>
    </row>
    <row r="1984" spans="1:21" s="1" customFormat="1" ht="48">
      <c r="A1984" s="69">
        <f>IF([14]PRIORIZADOS!A31="","",[14]PRIORIZADOS!A31)</f>
        <v>1952</v>
      </c>
      <c r="B1984" s="70">
        <f>IFERROR(IF(VLOOKUP(A1984,[14]PRIORIZADOS!$A:$B,2,FALSE)="","",VLOOKUP(A1984,[14]PRIORIZADOS!$A:$B,2,FALSE)),"")</f>
        <v>3</v>
      </c>
      <c r="C1984" s="11" t="s">
        <v>424</v>
      </c>
      <c r="D1984" s="11" t="str">
        <f>IFERROR(IF(VLOOKUP(A1984,[14]PRIORIZADOS!$A:$D,4,FALSE)="","",VLOOKUP(A1984,[14]PRIORIZADOS!$A:$D,4,FALSE)),"")</f>
        <v>PRIVADO</v>
      </c>
      <c r="E1984" s="11" t="str">
        <f>IFERROR(IF(VLOOKUP(A1984,[14]PRIORIZADOS!$A:$E,5,FALSE)="","",VLOOKUP(A1984,[14]PRIORIZADOS!$A:$E,5,FALSE)),"")</f>
        <v>Educación de Jóvenes y Adultos</v>
      </c>
      <c r="F1984" s="11" t="str">
        <f>IFERROR(IF(VLOOKUP(A1984,[14]PRIORIZADOS!$A:$F,6,FALSE)="","",VLOOKUP(A1984,[14]PRIORIZADOS!$A:$F,6,FALSE)),"")</f>
        <v>CENTRO_DE_ESTUDIOS_PRO_PYMES</v>
      </c>
      <c r="G1984" s="11" t="str">
        <f>IFERROR(IF(VLOOKUP(A1984,[14]PRIORIZADOS!$A:$G,7,FALSE)="","",VLOOKUP(A1984,[14]PRIORIZADOS!$A:$G,7,FALSE)),"")</f>
        <v>CENTRO DE ESTUDIOS PRO-PYMES</v>
      </c>
      <c r="H1984" s="11" t="str">
        <f>IFERROR(IF(VLOOKUP(A1984,[14]PRIORIZADOS!$A:$H,8,FALSE)="","",VLOOKUP(A1984,[14]PRIORIZADOS!$A:$H,8,FALSE)),"")</f>
        <v>Autoevaluación Institucional y Pruebas SABER 11</v>
      </c>
      <c r="I1984" s="11" t="str">
        <f>IFERROR(IF(VLOOKUP(A1984,[14]PRIORIZADOS!$A:$I,9,FALSE)="","",VLOOKUP(A1984,[14]PRIORIZADOS!$A:$I,9,FALSE)),"")</f>
        <v>EVALUACIÓN_CON_FINES_DE_MEJORAMIENTO.</v>
      </c>
      <c r="J1984" s="11" t="str">
        <f>IFERROR(IF(VLOOKUP(A1984,[14]PRIORIZADOS!$A:$J,10,FALSE)="","",VLOOKUP(A1984,[14]PRIORIZADOS!$A:$J,10,FALSE)),"")</f>
        <v>Revisar la actualización, socialización e implementación del Sistema Institucional de Evaluación de Estudiantes - SIEE, en articulación con la actualización del PEI y la normatividad vigente.</v>
      </c>
      <c r="K1984" s="11" t="str">
        <f>IFERROR(IF(VLOOKUP(A1984,[14]PRIORIZADOS!$A:$K,11,FALSE)="","",VLOOKUP(A1984,[14]PRIORIZADOS!$A:$K,11,FALSE)),"")</f>
        <v>MARTHA RUT SILVA ABRIL</v>
      </c>
      <c r="L1984" s="11" t="str">
        <f>IFERROR(IF(VLOOKUP(A1984,[14]PRIORIZADOS!$A:$L,12,FALSE)="","",VLOOKUP(A1984,[14]PRIORIZADOS!$A:$L,12,FALSE)),"")</f>
        <v>JUAN MANUEL SANCHEZ MORA</v>
      </c>
      <c r="M1984" s="71">
        <f>IFERROR(IF(VLOOKUP(A1984,[14]PRIORIZADOS!$A:$M,13,FALSE)="","",VLOOKUP(A1984,[14]PRIORIZADOS!$A:$M,13,FALSE)),"")</f>
        <v>45874</v>
      </c>
      <c r="N1984" s="71">
        <f>IFERROR(IF(VLOOKUP(A1984,[14]PRIORIZADOS!$A:$N,14,FALSE)="","",VLOOKUP(A1984,[14]PRIORIZADOS!$A:$N,14,FALSE)),"")</f>
        <v>45854</v>
      </c>
      <c r="O1984" s="71">
        <f>IFERROR(IF(VLOOKUP(A1984,[14]PRIORIZADOS!$A:$O,15,FALSE)="","",VLOOKUP(A1984,[14]PRIORIZADOS!$A:$O,15,FALSE)),"")</f>
        <v>45854</v>
      </c>
      <c r="P1984" s="11" t="str">
        <f>IFERROR(IF(VLOOKUP(A1984,[14]PRIORIZADOS!$A:$P,16,FALSE)="","",VLOOKUP(A1984,[14]PRIORIZADOS!$A:$P,16,FALSE)),"")</f>
        <v>Visitas de evaluación con fines de mejoramiento</v>
      </c>
      <c r="Q1984" s="22" t="s">
        <v>427</v>
      </c>
      <c r="R1984" s="11" t="str">
        <f>IFERROR(IF(VLOOKUP(A1984,[14]PRIORIZADOS!$A:$R,18,FALSE)="","",VLOOKUP(A1984,[14]PRIORIZADOS!$A:$R,18,FALSE)),"")</f>
        <v>Se evidencia la desactualización del Sistema Institucional de Evaluacion de Estudiantes, esclas de valoración cualitativa y sin articulacion con el PEI</v>
      </c>
      <c r="S1984" s="11" t="str">
        <f>IFERROR(IF(VLOOKUP(A1984,[14]PRIORIZADOS!$A:$S,19,FALSE)="","",VLOOKUP(A1984,[14]PRIORIZADOS!$A:$S,19,FALSE)),"")</f>
        <v xml:space="preserve">Realizar la actualización del SIEE, incluyendo las esclas de valoración y articularlo con el PEI </v>
      </c>
      <c r="T1984" s="70" t="str">
        <f>IFERROR(IF(VLOOKUP(A1984,[14]PRIORIZADOS!$A:$T,20,FALSE)="","",VLOOKUP(A1984,[14]PRIORIZADOS!$A:$T,20,FALSE)),"")</f>
        <v>Si</v>
      </c>
      <c r="U1984" s="11" t="str">
        <f>IFERROR(IF(VLOOKUP(A1984,[14]PRIORIZADOS!$A:$U,21,FALSE)="","",VLOOKUP(A1984,[14]PRIORIZADOS!$A:$U,21,FALSE)),"")</f>
        <v>Verificar la formulación del plan de mejoramiento fijado parta el 1 de septiembre de 2025</v>
      </c>
    </row>
    <row r="1985" spans="1:21" s="1" customFormat="1" ht="48">
      <c r="A1985" s="69">
        <f>IF([14]PRIORIZADOS!A32="","",[14]PRIORIZADOS!A32)</f>
        <v>1953</v>
      </c>
      <c r="B1985" s="70">
        <f>IFERROR(IF(VLOOKUP(A1985,[14]PRIORIZADOS!$A:$B,2,FALSE)="","",VLOOKUP(A1985,[14]PRIORIZADOS!$A:$B,2,FALSE)),"")</f>
        <v>3</v>
      </c>
      <c r="C1985" s="11" t="s">
        <v>424</v>
      </c>
      <c r="D1985" s="11" t="str">
        <f>IFERROR(IF(VLOOKUP(A1985,[14]PRIORIZADOS!$A:$D,4,FALSE)="","",VLOOKUP(A1985,[14]PRIORIZADOS!$A:$D,4,FALSE)),"")</f>
        <v>PRIVADO</v>
      </c>
      <c r="E1985" s="11" t="str">
        <f>IFERROR(IF(VLOOKUP(A1985,[14]PRIORIZADOS!$A:$E,5,FALSE)="","",VLOOKUP(A1985,[14]PRIORIZADOS!$A:$E,5,FALSE)),"")</f>
        <v>Educación de Jóvenes y Adultos</v>
      </c>
      <c r="F1985" s="11" t="str">
        <f>IFERROR(IF(VLOOKUP(A1985,[14]PRIORIZADOS!$A:$F,6,FALSE)="","",VLOOKUP(A1985,[14]PRIORIZADOS!$A:$F,6,FALSE)),"")</f>
        <v>CENTRO_DE_ESTUDIOS_PRO_PYMES</v>
      </c>
      <c r="G1985" s="11" t="str">
        <f>IFERROR(IF(VLOOKUP(A1985,[14]PRIORIZADOS!$A:$G,7,FALSE)="","",VLOOKUP(A1985,[14]PRIORIZADOS!$A:$G,7,FALSE)),"")</f>
        <v>CENTRO DE ESTUDIOS PRO-PYMES</v>
      </c>
      <c r="H1985" s="11" t="str">
        <f>IFERROR(IF(VLOOKUP(A1985,[14]PRIORIZADOS!$A:$H,8,FALSE)="","",VLOOKUP(A1985,[14]PRIORIZADOS!$A:$H,8,FALSE)),"")</f>
        <v>Autoevaluación Institucional y Pruebas SABER 11</v>
      </c>
      <c r="I1985" s="11" t="str">
        <f>IFERROR(IF(VLOOKUP(A1985,[14]PRIORIZADOS!$A:$I,9,FALSE)="","",VLOOKUP(A1985,[14]PRIORIZADOS!$A:$I,9,FALSE)),"")</f>
        <v>EVALUACIÓN_CON_FINES_DE_MEJORAMIENTO.</v>
      </c>
      <c r="J1985" s="11" t="str">
        <f>IFERROR(IF(VLOOKUP(A1985,[14]PRIORIZADOS!$A:$J,10,FALSE)="","",VLOOKUP(A1985,[14]PRIORIZADOS!$A:$J,10,FALSE)),"")</f>
        <v>Revisar el calendario escolar, jornada escolar, la intensidad horaria mínima anual en cada nivel y las modificaciones que se realicen al mismo, de acuerdo con lo previsto en la normatividad vigente.</v>
      </c>
      <c r="K1985" s="11" t="str">
        <f>IFERROR(IF(VLOOKUP(A1985,[14]PRIORIZADOS!$A:$K,11,FALSE)="","",VLOOKUP(A1985,[14]PRIORIZADOS!$A:$K,11,FALSE)),"")</f>
        <v>MARTHA RUT SILVA ABRIL</v>
      </c>
      <c r="L1985" s="11" t="str">
        <f>IFERROR(IF(VLOOKUP(A1985,[14]PRIORIZADOS!$A:$L,12,FALSE)="","",VLOOKUP(A1985,[14]PRIORIZADOS!$A:$L,12,FALSE)),"")</f>
        <v>JUAN MANUEL SANCHEZ MORA</v>
      </c>
      <c r="M1985" s="71">
        <f>IFERROR(IF(VLOOKUP(A1985,[14]PRIORIZADOS!$A:$M,13,FALSE)="","",VLOOKUP(A1985,[14]PRIORIZADOS!$A:$M,13,FALSE)),"")</f>
        <v>45874</v>
      </c>
      <c r="N1985" s="71">
        <f>IFERROR(IF(VLOOKUP(A1985,[14]PRIORIZADOS!$A:$N,14,FALSE)="","",VLOOKUP(A1985,[14]PRIORIZADOS!$A:$N,14,FALSE)),"")</f>
        <v>45854</v>
      </c>
      <c r="O1985" s="71">
        <f>IFERROR(IF(VLOOKUP(A1985,[14]PRIORIZADOS!$A:$O,15,FALSE)="","",VLOOKUP(A1985,[14]PRIORIZADOS!$A:$O,15,FALSE)),"")</f>
        <v>45854</v>
      </c>
      <c r="P1985" s="11" t="str">
        <f>IFERROR(IF(VLOOKUP(A1985,[14]PRIORIZADOS!$A:$P,16,FALSE)="","",VLOOKUP(A1985,[14]PRIORIZADOS!$A:$P,16,FALSE)),"")</f>
        <v>Visitas de evaluación con fines de mejoramiento</v>
      </c>
      <c r="Q1985" s="22" t="s">
        <v>427</v>
      </c>
      <c r="R1985" s="11" t="str">
        <f>IFERROR(IF(VLOOKUP(A1985,[14]PRIORIZADOS!$A:$R,18,FALSE)="","",VLOOKUP(A1985,[14]PRIORIZADOS!$A:$R,18,FALSE)),"")</f>
        <v>Se verifca que el calendario se ajusta a las intensidades mínimas establecidas, reportar la información según formatos establecidos</v>
      </c>
      <c r="S1985" s="11" t="str">
        <f>IFERROR(IF(VLOOKUP(A1985,[14]PRIORIZADOS!$A:$S,19,FALSE)="","",VLOOKUP(A1985,[14]PRIORIZADOS!$A:$S,19,FALSE)),"")</f>
        <v>Continuar con la implementación del calendario en cuanto a las semanas de desarrollo institucional y las instensidades de las áreas fundamentales.</v>
      </c>
      <c r="T1985" s="70" t="str">
        <f>IFERROR(IF(VLOOKUP(A1985,[14]PRIORIZADOS!$A:$T,20,FALSE)="","",VLOOKUP(A1985,[14]PRIORIZADOS!$A:$T,20,FALSE)),"")</f>
        <v>Si</v>
      </c>
      <c r="U1985" s="11" t="str">
        <f>IFERROR(IF(VLOOKUP(A1985,[14]PRIORIZADOS!$A:$U,21,FALSE)="","",VLOOKUP(A1985,[14]PRIORIZADOS!$A:$U,21,FALSE)),"")</f>
        <v>Verificar la formulación del plan de mejoramiento fijado parta el 1 de septiembre de 2025</v>
      </c>
    </row>
    <row r="1986" spans="1:21" s="1" customFormat="1" ht="72">
      <c r="A1986" s="69">
        <f>IF([14]PRIORIZADOS!A33="","",[14]PRIORIZADOS!A33)</f>
        <v>1954</v>
      </c>
      <c r="B1986" s="70">
        <f>IFERROR(IF(VLOOKUP(A1986,[14]PRIORIZADOS!$A:$B,2,FALSE)="","",VLOOKUP(A1986,[14]PRIORIZADOS!$A:$B,2,FALSE)),"")</f>
        <v>3</v>
      </c>
      <c r="C1986" s="11" t="s">
        <v>424</v>
      </c>
      <c r="D1986" s="11" t="str">
        <f>IFERROR(IF(VLOOKUP(A1986,[14]PRIORIZADOS!$A:$D,4,FALSE)="","",VLOOKUP(A1986,[14]PRIORIZADOS!$A:$D,4,FALSE)),"")</f>
        <v>PRIVADO</v>
      </c>
      <c r="E1986" s="11" t="str">
        <f>IFERROR(IF(VLOOKUP(A1986,[14]PRIORIZADOS!$A:$E,5,FALSE)="","",VLOOKUP(A1986,[14]PRIORIZADOS!$A:$E,5,FALSE)),"")</f>
        <v>Educación de Jóvenes y Adultos</v>
      </c>
      <c r="F1986" s="11" t="str">
        <f>IFERROR(IF(VLOOKUP(A1986,[14]PRIORIZADOS!$A:$F,6,FALSE)="","",VLOOKUP(A1986,[14]PRIORIZADOS!$A:$F,6,FALSE)),"")</f>
        <v>CENTRO_DE_ESTUDIOS_PRO_PYMES</v>
      </c>
      <c r="G1986" s="11" t="str">
        <f>IFERROR(IF(VLOOKUP(A1986,[14]PRIORIZADOS!$A:$G,7,FALSE)="","",VLOOKUP(A1986,[14]PRIORIZADOS!$A:$G,7,FALSE)),"")</f>
        <v>CENTRO DE ESTUDIOS PRO-PYMES</v>
      </c>
      <c r="H1986" s="11" t="str">
        <f>IFERROR(IF(VLOOKUP(A1986,[14]PRIORIZADOS!$A:$H,8,FALSE)="","",VLOOKUP(A1986,[14]PRIORIZADOS!$A:$H,8,FALSE)),"")</f>
        <v>Autoevaluación Institucional y Pruebas SABER 11</v>
      </c>
      <c r="I1986" s="11" t="str">
        <f>IFERROR(IF(VLOOKUP(A1986,[14]PRIORIZADOS!$A:$I,9,FALSE)="","",VLOOKUP(A1986,[14]PRIORIZADOS!$A:$I,9,FALSE)),"")</f>
        <v>EVALUACIÓN_CON_FINES_DE_MEJORAMIENTO.</v>
      </c>
      <c r="J1986" s="11" t="str">
        <f>IFERROR(IF(VLOOKUP(A1986,[14]PRIORIZADOS!$A:$J,10,FALSE)="","",VLOOKUP(A1986,[14]PRIORIZADOS!$A:$J,10,FALSE)),"")</f>
        <v>Verificar el funcionamiento del Gobierno Escolar e instancias de participación con base en la información sobre conformación reportada por la institución educativa.</v>
      </c>
      <c r="K1986" s="11" t="str">
        <f>IFERROR(IF(VLOOKUP(A1986,[14]PRIORIZADOS!$A:$K,11,FALSE)="","",VLOOKUP(A1986,[14]PRIORIZADOS!$A:$K,11,FALSE)),"")</f>
        <v>MARTHA RUT SILVA ABRIL</v>
      </c>
      <c r="L1986" s="11" t="str">
        <f>IFERROR(IF(VLOOKUP(A1986,[14]PRIORIZADOS!$A:$L,12,FALSE)="","",VLOOKUP(A1986,[14]PRIORIZADOS!$A:$L,12,FALSE)),"")</f>
        <v>JUAN MANUEL SANCHEZ MORA</v>
      </c>
      <c r="M1986" s="71">
        <f>IFERROR(IF(VLOOKUP(A1986,[14]PRIORIZADOS!$A:$M,13,FALSE)="","",VLOOKUP(A1986,[14]PRIORIZADOS!$A:$M,13,FALSE)),"")</f>
        <v>45874</v>
      </c>
      <c r="N1986" s="71">
        <f>IFERROR(IF(VLOOKUP(A1986,[14]PRIORIZADOS!$A:$N,14,FALSE)="","",VLOOKUP(A1986,[14]PRIORIZADOS!$A:$N,14,FALSE)),"")</f>
        <v>45854</v>
      </c>
      <c r="O1986" s="71">
        <f>IFERROR(IF(VLOOKUP(A1986,[14]PRIORIZADOS!$A:$O,15,FALSE)="","",VLOOKUP(A1986,[14]PRIORIZADOS!$A:$O,15,FALSE)),"")</f>
        <v>45854</v>
      </c>
      <c r="P1986" s="11" t="str">
        <f>IFERROR(IF(VLOOKUP(A1986,[14]PRIORIZADOS!$A:$P,16,FALSE)="","",VLOOKUP(A1986,[14]PRIORIZADOS!$A:$P,16,FALSE)),"")</f>
        <v>Visitas de evaluación con fines de mejoramiento</v>
      </c>
      <c r="Q1986" s="22" t="s">
        <v>427</v>
      </c>
      <c r="R1986" s="11" t="str">
        <f>IFERROR(IF(VLOOKUP(A1986,[14]PRIORIZADOS!$A:$R,18,FALSE)="","",VLOOKUP(A1986,[14]PRIORIZADOS!$A:$R,18,FALSE)),"")</f>
        <v>Se observó que las actas de conformación del gobierno no fueron reportadas en el aplicativo SAE, y no reposan actas de reunión en la cual se evidencie el funcionamiento de cada órgano del gobierno escolar.</v>
      </c>
      <c r="S1986" s="11" t="str">
        <f>IFERROR(IF(VLOOKUP(A1986,[14]PRIORIZADOS!$A:$S,19,FALSE)="","",VLOOKUP(A1986,[14]PRIORIZADOS!$A:$S,19,FALSE)),"")</f>
        <v>Cargar la actas en el aplicativo SAE, verficar las actas de funcionamiento de los organos del gobierno escolar elizar las sesiones con cada órgano del gobierno escolar de conformidad con la periodicidad y funciones establecidas en la norma.</v>
      </c>
      <c r="T1986" s="70" t="str">
        <f>IFERROR(IF(VLOOKUP(A1986,[14]PRIORIZADOS!$A:$T,20,FALSE)="","",VLOOKUP(A1986,[14]PRIORIZADOS!$A:$T,20,FALSE)),"")</f>
        <v>Si</v>
      </c>
      <c r="U1986" s="11" t="str">
        <f>IFERROR(IF(VLOOKUP(A1986,[14]PRIORIZADOS!$A:$U,21,FALSE)="","",VLOOKUP(A1986,[14]PRIORIZADOS!$A:$U,21,FALSE)),"")</f>
        <v>Verificar la formulación del plan de mejoramiento fijado parta el 1 de septiembre de 2025</v>
      </c>
    </row>
    <row r="1987" spans="1:21" s="1" customFormat="1" ht="48">
      <c r="A1987" s="69">
        <f>IF([14]PRIORIZADOS!A34="","",[14]PRIORIZADOS!A34)</f>
        <v>1955</v>
      </c>
      <c r="B1987" s="70">
        <f>IFERROR(IF(VLOOKUP(A1987,[14]PRIORIZADOS!$A:$B,2,FALSE)="","",VLOOKUP(A1987,[14]PRIORIZADOS!$A:$B,2,FALSE)),"")</f>
        <v>3</v>
      </c>
      <c r="C1987" s="11" t="s">
        <v>424</v>
      </c>
      <c r="D1987" s="11" t="str">
        <f>IFERROR(IF(VLOOKUP(A1987,[14]PRIORIZADOS!$A:$D,4,FALSE)="","",VLOOKUP(A1987,[14]PRIORIZADOS!$A:$D,4,FALSE)),"")</f>
        <v>PRIVADO</v>
      </c>
      <c r="E1987" s="11" t="str">
        <f>IFERROR(IF(VLOOKUP(A1987,[14]PRIORIZADOS!$A:$E,5,FALSE)="","",VLOOKUP(A1987,[14]PRIORIZADOS!$A:$E,5,FALSE)),"")</f>
        <v>Educación de Jóvenes y Adultos</v>
      </c>
      <c r="F1987" s="11" t="str">
        <f>IFERROR(IF(VLOOKUP(A1987,[14]PRIORIZADOS!$A:$F,6,FALSE)="","",VLOOKUP(A1987,[14]PRIORIZADOS!$A:$F,6,FALSE)),"")</f>
        <v>CENTRO_DE_ESTUDIOS_PRO_PYMES</v>
      </c>
      <c r="G1987" s="11" t="str">
        <f>IFERROR(IF(VLOOKUP(A1987,[14]PRIORIZADOS!$A:$G,7,FALSE)="","",VLOOKUP(A1987,[14]PRIORIZADOS!$A:$G,7,FALSE)),"")</f>
        <v>CENTRO DE ESTUDIOS PRO-PYMES</v>
      </c>
      <c r="H1987" s="11" t="str">
        <f>IFERROR(IF(VLOOKUP(A1987,[14]PRIORIZADOS!$A:$H,8,FALSE)="","",VLOOKUP(A1987,[14]PRIORIZADOS!$A:$H,8,FALSE)),"")</f>
        <v>Autoevaluación Institucional y Pruebas SABER 11</v>
      </c>
      <c r="I1987" s="11" t="str">
        <f>IFERROR(IF(VLOOKUP(A1987,[14]PRIORIZADOS!$A:$I,9,FALSE)="","",VLOOKUP(A1987,[14]PRIORIZADOS!$A:$I,9,FALSE)),"")</f>
        <v>EVALUACIÓN_CON_FINES_DE_MEJORAMIENTO.</v>
      </c>
      <c r="J1987" s="11" t="str">
        <f>IFERROR(IF(VLOOKUP(A1987,[14]PRIORIZADOS!$A:$J,10,FALSE)="","",VLOOKUP(A1987,[14]PRIORIZADOS!$A:$J,10,FALSE)),"")</f>
        <v>Verificar las condiciones en cuanto a: la estructura administrativa, condiciones de la planta física y medios educativos adecuados.</v>
      </c>
      <c r="K1987" s="11" t="str">
        <f>IFERROR(IF(VLOOKUP(A1987,[14]PRIORIZADOS!$A:$K,11,FALSE)="","",VLOOKUP(A1987,[14]PRIORIZADOS!$A:$K,11,FALSE)),"")</f>
        <v>MARTHA RUT SILVA ABRIL</v>
      </c>
      <c r="L1987" s="11" t="str">
        <f>IFERROR(IF(VLOOKUP(A1987,[14]PRIORIZADOS!$A:$L,12,FALSE)="","",VLOOKUP(A1987,[14]PRIORIZADOS!$A:$L,12,FALSE)),"")</f>
        <v>JUAN MANUEL SANCHEZ MORA</v>
      </c>
      <c r="M1987" s="71">
        <f>IFERROR(IF(VLOOKUP(A1987,[14]PRIORIZADOS!$A:$M,13,FALSE)="","",VLOOKUP(A1987,[14]PRIORIZADOS!$A:$M,13,FALSE)),"")</f>
        <v>45874</v>
      </c>
      <c r="N1987" s="71">
        <f>IFERROR(IF(VLOOKUP(A1987,[14]PRIORIZADOS!$A:$N,14,FALSE)="","",VLOOKUP(A1987,[14]PRIORIZADOS!$A:$N,14,FALSE)),"")</f>
        <v>45854</v>
      </c>
      <c r="O1987" s="71">
        <f>IFERROR(IF(VLOOKUP(A1987,[14]PRIORIZADOS!$A:$O,15,FALSE)="","",VLOOKUP(A1987,[14]PRIORIZADOS!$A:$O,15,FALSE)),"")</f>
        <v>45854</v>
      </c>
      <c r="P1987" s="11" t="str">
        <f>IFERROR(IF(VLOOKUP(A1987,[14]PRIORIZADOS!$A:$P,16,FALSE)="","",VLOOKUP(A1987,[14]PRIORIZADOS!$A:$P,16,FALSE)),"")</f>
        <v>Visitas de evaluación con fines de mejoramiento</v>
      </c>
      <c r="Q1987" s="22" t="s">
        <v>427</v>
      </c>
      <c r="R1987" s="11" t="str">
        <f>IFERROR(IF(VLOOKUP(A1987,[14]PRIORIZADOS!$A:$R,18,FALSE)="","",VLOOKUP(A1987,[14]PRIORIZADOS!$A:$R,18,FALSE)),"")</f>
        <v>Se evidencia que la planta física requiere de mejoras adecuación de espacios y dotación adecuada a la población estudiantil atendida.</v>
      </c>
      <c r="S1987" s="11" t="str">
        <f>IFERROR(IF(VLOOKUP(A1987,[14]PRIORIZADOS!$A:$S,19,FALSE)="","",VLOOKUP(A1987,[14]PRIORIZADOS!$A:$S,19,FALSE)),"")</f>
        <v>Reorganización y adecuación de espacios pedagógicos como aulas de clase, biblioteca, laboratorios y baños y otros.</v>
      </c>
      <c r="T1987" s="70" t="str">
        <f>IFERROR(IF(VLOOKUP(A1987,[14]PRIORIZADOS!$A:$T,20,FALSE)="","",VLOOKUP(A1987,[14]PRIORIZADOS!$A:$T,20,FALSE)),"")</f>
        <v>Si</v>
      </c>
      <c r="U1987" s="11" t="str">
        <f>IFERROR(IF(VLOOKUP(A1987,[14]PRIORIZADOS!$A:$U,21,FALSE)="","",VLOOKUP(A1987,[14]PRIORIZADOS!$A:$U,21,FALSE)),"")</f>
        <v>Verificar la formulación del plan de mejoramiento fijado parta el 1 de septiembre de 2025</v>
      </c>
    </row>
    <row r="1988" spans="1:21" s="1" customFormat="1" ht="96">
      <c r="A1988" s="69">
        <f>IF([14]PRIORIZADOS!A35="","",[14]PRIORIZADOS!A35)</f>
        <v>1956</v>
      </c>
      <c r="B1988" s="70">
        <f>IFERROR(IF(VLOOKUP(A1988,[14]PRIORIZADOS!$A:$B,2,FALSE)="","",VLOOKUP(A1988,[14]PRIORIZADOS!$A:$B,2,FALSE)),"")</f>
        <v>4</v>
      </c>
      <c r="C1988" s="11" t="s">
        <v>424</v>
      </c>
      <c r="D1988" s="11" t="str">
        <f>IFERROR(IF(VLOOKUP(A1988,[14]PRIORIZADOS!$A:$D,4,FALSE)="","",VLOOKUP(A1988,[14]PRIORIZADOS!$A:$D,4,FALSE)),"")</f>
        <v>PRIVADO</v>
      </c>
      <c r="E1988" s="11" t="str">
        <f>IFERROR(IF(VLOOKUP(A1988,[14]PRIORIZADOS!$A:$E,5,FALSE)="","",VLOOKUP(A1988,[14]PRIORIZADOS!$A:$E,5,FALSE)),"")</f>
        <v>Educación de Jóvenes y Adultos</v>
      </c>
      <c r="F1988" s="11" t="str">
        <f>IFERROR(IF(VLOOKUP(A1988,[14]PRIORIZADOS!$A:$F,6,FALSE)="","",VLOOKUP(A1988,[14]PRIORIZADOS!$A:$F,6,FALSE)),"")</f>
        <v>INSTITUCION_EDUCATIVA_FRAY_LUIS_DE_LEON</v>
      </c>
      <c r="G1988" s="11" t="str">
        <f>IFERROR(IF(VLOOKUP(A1988,[14]PRIORIZADOS!$A:$G,7,FALSE)="","",VLOOKUP(A1988,[14]PRIORIZADOS!$A:$G,7,FALSE)),"")</f>
        <v>INSTITUCION EDUCATIVA FRAY LUIS DE LEON</v>
      </c>
      <c r="H1988" s="11" t="str">
        <f>IFERROR(IF(VLOOKUP(A1988,[14]PRIORIZADOS!$A:$H,8,FALSE)="","",VLOOKUP(A1988,[14]PRIORIZADOS!$A:$H,8,FALSE)),"")</f>
        <v>Autoevaluación Institucional y Pruebas SABER 11</v>
      </c>
      <c r="I1988" s="11" t="str">
        <f>IFERROR(IF(VLOOKUP(A1988,[14]PRIORIZADOS!$A:$I,9,FALSE)="","",VLOOKUP(A1988,[14]PRIORIZADOS!$A:$I,9,FALSE)),"")</f>
        <v>SEGUIMIENTO_Y_SUPERVISIÓN.</v>
      </c>
      <c r="J1988" s="11" t="str">
        <f>IFERROR(IF(VLOOKUP(A1988,[14]PRIORIZADOS!$A:$J,10,FALSE)="","",VLOOKUP(A1988,[14]PRIORIZADOS!$A:$J,10,FALSE)),"")</f>
        <v>Realizar visitas para verificar la información registrada sobre la autoevaluación institucional en el aplicativo EVI, a los establecimientos de educación formal no oficial.</v>
      </c>
      <c r="K1988" s="11" t="str">
        <f>IFERROR(IF(VLOOKUP(A1988,[14]PRIORIZADOS!$A:$K,11,FALSE)="","",VLOOKUP(A1988,[14]PRIORIZADOS!$A:$K,11,FALSE)),"")</f>
        <v>SONIA YAMILE ARTEAGA MELO</v>
      </c>
      <c r="L1988" s="11" t="str">
        <f>IFERROR(IF(VLOOKUP(A1988,[14]PRIORIZADOS!$A:$L,12,FALSE)="","",VLOOKUP(A1988,[14]PRIORIZADOS!$A:$L,12,FALSE)),"")</f>
        <v>JENNIFFER ESPERANZA GONZÁLEZ GÓMEZ</v>
      </c>
      <c r="M1988" s="71">
        <f>IFERROR(IF(VLOOKUP(A1988,[14]PRIORIZADOS!$A:$M,13,FALSE)="","",VLOOKUP(A1988,[14]PRIORIZADOS!$A:$M,13,FALSE)),"")</f>
        <v>45937</v>
      </c>
      <c r="N1988" s="71">
        <f>IFERROR(IF(VLOOKUP(A1988,[14]PRIORIZADOS!$A:$N,14,FALSE)="","",VLOOKUP(A1988,[14]PRIORIZADOS!$A:$N,14,FALSE)),"")</f>
        <v>45908</v>
      </c>
      <c r="O1988" s="71">
        <f>IFERROR(IF(VLOOKUP(A1988,[14]PRIORIZADOS!$A:$O,15,FALSE)="","",VLOOKUP(A1988,[14]PRIORIZADOS!$A:$O,15,FALSE)),"")</f>
        <v>45909</v>
      </c>
      <c r="P1988" s="11" t="str">
        <f>IFERROR(IF(VLOOKUP(A1988,[14]PRIORIZADOS!$A:$P,16,FALSE)="","",VLOOKUP(A1988,[14]PRIORIZADOS!$A:$P,16,FALSE)),"")</f>
        <v>Visitas de evaluación con fines de seguimiento</v>
      </c>
      <c r="Q1988" s="22" t="s">
        <v>428</v>
      </c>
      <c r="R1988" s="11" t="str">
        <f>IFERROR(IF(VLOOKUP(A1988,[14]PRIORIZADOS!$A:$R,18,FALSE)="","",VLOOKUP(A1988,[14]PRIORIZADOS!$A:$R,18,FALSE)),"")</f>
        <v>La instittución ha diligenciado la información en el aplicativo EVI, sin embargo lo reportado no coincide con la realidad, no cancelan seguridad social, no cuenta con el número de unidades santitarias que reporta, ni con el número de computadores, ni con el número de textos en biblioteca.</v>
      </c>
      <c r="S1988" s="11" t="str">
        <f>IFERROR(IF(VLOOKUP(A1988,[14]PRIORIZADOS!$A:$S,19,FALSE)="","",VLOOKUP(A1988,[14]PRIORIZADOS!$A:$S,19,FALSE)),"")</f>
        <v>Debe subsanar la situación, realizando reporte fiel de la información en el formulario de autoevaluación EVI.</v>
      </c>
      <c r="T1988" s="70" t="str">
        <f>IFERROR(IF(VLOOKUP(A1988,[14]PRIORIZADOS!$A:$T,20,FALSE)="","",VLOOKUP(A1988,[14]PRIORIZADOS!$A:$T,20,FALSE)),"")</f>
        <v>Si</v>
      </c>
      <c r="U1988" s="11" t="str">
        <f>IFERROR(IF(VLOOKUP(A1988,[14]PRIORIZADOS!$A:$U,21,FALSE)="","",VLOOKUP(A1988,[14]PRIORIZADOS!$A:$U,21,FALSE)),"")</f>
        <v>Verificación de reporte de información para futura vigencia en aplicativo EVI, y validación en campo.</v>
      </c>
    </row>
    <row r="1989" spans="1:21" s="1" customFormat="1" ht="60">
      <c r="A1989" s="69">
        <f>IF([14]PRIORIZADOS!A36="","",[14]PRIORIZADOS!A36)</f>
        <v>1957</v>
      </c>
      <c r="B1989" s="70">
        <f>IFERROR(IF(VLOOKUP(A1989,[14]PRIORIZADOS!$A:$B,2,FALSE)="","",VLOOKUP(A1989,[14]PRIORIZADOS!$A:$B,2,FALSE)),"")</f>
        <v>4</v>
      </c>
      <c r="C1989" s="11" t="s">
        <v>424</v>
      </c>
      <c r="D1989" s="11" t="str">
        <f>IFERROR(IF(VLOOKUP(A1989,[14]PRIORIZADOS!$A:$D,4,FALSE)="","",VLOOKUP(A1989,[14]PRIORIZADOS!$A:$D,4,FALSE)),"")</f>
        <v>PRIVADO</v>
      </c>
      <c r="E1989" s="11" t="str">
        <f>IFERROR(IF(VLOOKUP(A1989,[14]PRIORIZADOS!$A:$E,5,FALSE)="","",VLOOKUP(A1989,[14]PRIORIZADOS!$A:$E,5,FALSE)),"")</f>
        <v>Educación de Jóvenes y Adultos</v>
      </c>
      <c r="F1989" s="11" t="str">
        <f>IFERROR(IF(VLOOKUP(A1989,[14]PRIORIZADOS!$A:$F,6,FALSE)="","",VLOOKUP(A1989,[14]PRIORIZADOS!$A:$F,6,FALSE)),"")</f>
        <v>INSTITUCION_EDUCATIVA_FRAY_LUIS_DE_LEON</v>
      </c>
      <c r="G1989" s="11" t="str">
        <f>IFERROR(IF(VLOOKUP(A1989,[14]PRIORIZADOS!$A:$G,7,FALSE)="","",VLOOKUP(A1989,[14]PRIORIZADOS!$A:$G,7,FALSE)),"")</f>
        <v>INSTITUCION EDUCATIVA FRAY LUIS DE LEON</v>
      </c>
      <c r="H1989" s="11" t="str">
        <f>IFERROR(IF(VLOOKUP(A1989,[14]PRIORIZADOS!$A:$H,8,FALSE)="","",VLOOKUP(A1989,[14]PRIORIZADOS!$A:$H,8,FALSE)),"")</f>
        <v>Autoevaluación Institucional y Pruebas SABER 11</v>
      </c>
      <c r="I1989" s="11" t="str">
        <f>IFERROR(IF(VLOOKUP(A1989,[14]PRIORIZADOS!$A:$I,9,FALSE)="","",VLOOKUP(A1989,[14]PRIORIZADOS!$A:$I,9,FALSE)),"")</f>
        <v>SEGUIMIENTO_Y_SUPERVISIÓN.</v>
      </c>
      <c r="J1989" s="11" t="str">
        <f>IFERROR(IF(VLOOKUP(A1989,[14]PRIORIZADOS!$A:$J,10,FALSE)="","",VLOOKUP(A1989,[14]PRIORIZADOS!$A:$J,10,FALSE)),"")</f>
        <v>Proponer estrategias en la formulación, verificar su elaboración y realizar seguimiento semestral al desarrollo de  las acciones establecidas en los planes de mejoramiento por pruebas SABER 11 de los establecimientos de educación formal.</v>
      </c>
      <c r="K1989" s="11" t="str">
        <f>IFERROR(IF(VLOOKUP(A1989,[14]PRIORIZADOS!$A:$K,11,FALSE)="","",VLOOKUP(A1989,[14]PRIORIZADOS!$A:$K,11,FALSE)),"")</f>
        <v>SONIA YAMILE ARTEAGA MELO</v>
      </c>
      <c r="L1989" s="11" t="str">
        <f>IFERROR(IF(VLOOKUP(A1989,[14]PRIORIZADOS!$A:$L,12,FALSE)="","",VLOOKUP(A1989,[14]PRIORIZADOS!$A:$L,12,FALSE)),"")</f>
        <v>JENNIFFER ESPERANZA GONZÁLEZ GÓMEZ</v>
      </c>
      <c r="M1989" s="71">
        <f>IFERROR(IF(VLOOKUP(A1989,[14]PRIORIZADOS!$A:$M,13,FALSE)="","",VLOOKUP(A1989,[14]PRIORIZADOS!$A:$M,13,FALSE)),"")</f>
        <v>45937</v>
      </c>
      <c r="N1989" s="71">
        <f>IFERROR(IF(VLOOKUP(A1989,[14]PRIORIZADOS!$A:$N,14,FALSE)="","",VLOOKUP(A1989,[14]PRIORIZADOS!$A:$N,14,FALSE)),"")</f>
        <v>45909</v>
      </c>
      <c r="O1989" s="71">
        <f>IFERROR(IF(VLOOKUP(A1989,[14]PRIORIZADOS!$A:$O,15,FALSE)="","",VLOOKUP(A1989,[14]PRIORIZADOS!$A:$O,15,FALSE)),"")</f>
        <v>45909</v>
      </c>
      <c r="P1989" s="11" t="str">
        <f>IFERROR(IF(VLOOKUP(A1989,[14]PRIORIZADOS!$A:$P,16,FALSE)="","",VLOOKUP(A1989,[14]PRIORIZADOS!$A:$P,16,FALSE)),"")</f>
        <v>Visitas de evaluación con fines de seguimiento</v>
      </c>
      <c r="Q1989" s="22" t="s">
        <v>428</v>
      </c>
      <c r="R1989" s="11" t="str">
        <f>IFERROR(IF(VLOOKUP(A1989,[14]PRIORIZADOS!$A:$R,18,FALSE)="","",VLOOKUP(A1989,[14]PRIORIZADOS!$A:$R,18,FALSE)),"")</f>
        <v>Informan que el colegio ha identificado como razones para el bajo desempeño en las pruebas SABER 11, la falta de interés de los estudiantes, falta de compromiso, bases académicas deficientes.</v>
      </c>
      <c r="S1989" s="11" t="str">
        <f>IFERROR(IF(VLOOKUP(A1989,[14]PRIORIZADOS!$A:$S,19,FALSE)="","",VLOOKUP(A1989,[14]PRIORIZADOS!$A:$S,19,FALSE)),"")</f>
        <v xml:space="preserve">Revisar los resultados y la relación con las asignaturas del plan de estudio. 
Considerar estrategia diferente a la oferta del curso Pre ICFES.
</v>
      </c>
      <c r="T1989" s="70" t="str">
        <f>IFERROR(IF(VLOOKUP(A1989,[14]PRIORIZADOS!$A:$T,20,FALSE)="","",VLOOKUP(A1989,[14]PRIORIZADOS!$A:$T,20,FALSE)),"")</f>
        <v>Si</v>
      </c>
      <c r="U1989" s="11" t="str">
        <f>IFERROR(IF(VLOOKUP(A1989,[14]PRIORIZADOS!$A:$U,21,FALSE)="","",VLOOKUP(A1989,[14]PRIORIZADOS!$A:$U,21,FALSE)),"")</f>
        <v xml:space="preserve">Verificar el análisis los resultados y las acciones en las asignaturas que presentan puntajes más bajos </v>
      </c>
    </row>
    <row r="1990" spans="1:21" s="1" customFormat="1" ht="60">
      <c r="A1990" s="69">
        <f>IF([14]PRIORIZADOS!A37="","",[14]PRIORIZADOS!A37)</f>
        <v>1958</v>
      </c>
      <c r="B1990" s="70">
        <f>IFERROR(IF(VLOOKUP(A1990,[14]PRIORIZADOS!$A:$B,2,FALSE)="","",VLOOKUP(A1990,[14]PRIORIZADOS!$A:$B,2,FALSE)),"")</f>
        <v>4</v>
      </c>
      <c r="C1990" s="11" t="s">
        <v>424</v>
      </c>
      <c r="D1990" s="11" t="str">
        <f>IFERROR(IF(VLOOKUP(A1990,[14]PRIORIZADOS!$A:$D,4,FALSE)="","",VLOOKUP(A1990,[14]PRIORIZADOS!$A:$D,4,FALSE)),"")</f>
        <v>PRIVADO</v>
      </c>
      <c r="E1990" s="11" t="str">
        <f>IFERROR(IF(VLOOKUP(A1990,[14]PRIORIZADOS!$A:$E,5,FALSE)="","",VLOOKUP(A1990,[14]PRIORIZADOS!$A:$E,5,FALSE)),"")</f>
        <v>Educación de Jóvenes y Adultos</v>
      </c>
      <c r="F1990" s="11" t="str">
        <f>IFERROR(IF(VLOOKUP(A1990,[14]PRIORIZADOS!$A:$F,6,FALSE)="","",VLOOKUP(A1990,[14]PRIORIZADOS!$A:$F,6,FALSE)),"")</f>
        <v>INSTITUCION_EDUCATIVA_FRAY_LUIS_DE_LEON</v>
      </c>
      <c r="G1990" s="11" t="str">
        <f>IFERROR(IF(VLOOKUP(A1990,[14]PRIORIZADOS!$A:$G,7,FALSE)="","",VLOOKUP(A1990,[14]PRIORIZADOS!$A:$G,7,FALSE)),"")</f>
        <v>INSTITUCION EDUCATIVA FRAY LUIS DE LEON</v>
      </c>
      <c r="H1990" s="11" t="str">
        <f>IFERROR(IF(VLOOKUP(A1990,[14]PRIORIZADOS!$A:$H,8,FALSE)="","",VLOOKUP(A1990,[14]PRIORIZADOS!$A:$H,8,FALSE)),"")</f>
        <v>Autoevaluación Institucional y Pruebas SABER 11</v>
      </c>
      <c r="I1990" s="11" t="str">
        <f>IFERROR(IF(VLOOKUP(A1990,[14]PRIORIZADOS!$A:$I,9,FALSE)="","",VLOOKUP(A1990,[14]PRIORIZADOS!$A:$I,9,FALSE)),"")</f>
        <v>SEGUIMIENTO_Y_SUPERVISIÓN.</v>
      </c>
      <c r="J1990" s="11" t="str">
        <f>IFERROR(IF(VLOOKUP(A1990,[14]PRIORIZADOS!$A:$J,10,FALSE)="","",VLOOKUP(A1990,[14]PRIORIZADOS!$A:$J,10,FALSE)),"")</f>
        <v xml:space="preserve">Verificar la implementación por parte de los colegios, de acciones realizadas para la prevención y atención de las situaciones de convivencia en el entorno escolar, según lo establecido en la Directiva 01 de 2022 del MEN. </v>
      </c>
      <c r="K1990" s="11" t="str">
        <f>IFERROR(IF(VLOOKUP(A1990,[14]PRIORIZADOS!$A:$K,11,FALSE)="","",VLOOKUP(A1990,[14]PRIORIZADOS!$A:$K,11,FALSE)),"")</f>
        <v>SONIA YAMILE ARTEAGA MELO</v>
      </c>
      <c r="L1990" s="11" t="str">
        <f>IFERROR(IF(VLOOKUP(A1990,[14]PRIORIZADOS!$A:$L,12,FALSE)="","",VLOOKUP(A1990,[14]PRIORIZADOS!$A:$L,12,FALSE)),"")</f>
        <v>JENNIFFER ESPERANZA GONZÁLEZ GÓMEZ</v>
      </c>
      <c r="M1990" s="71">
        <f>IFERROR(IF(VLOOKUP(A1990,[14]PRIORIZADOS!$A:$M,13,FALSE)="","",VLOOKUP(A1990,[14]PRIORIZADOS!$A:$M,13,FALSE)),"")</f>
        <v>45937</v>
      </c>
      <c r="N1990" s="71">
        <f>IFERROR(IF(VLOOKUP(A1990,[14]PRIORIZADOS!$A:$N,14,FALSE)="","",VLOOKUP(A1990,[14]PRIORIZADOS!$A:$N,14,FALSE)),"")</f>
        <v>45909</v>
      </c>
      <c r="O1990" s="71">
        <f>IFERROR(IF(VLOOKUP(A1990,[14]PRIORIZADOS!$A:$O,15,FALSE)="","",VLOOKUP(A1990,[14]PRIORIZADOS!$A:$O,15,FALSE)),"")</f>
        <v>45909</v>
      </c>
      <c r="P1990" s="11" t="str">
        <f>IFERROR(IF(VLOOKUP(A1990,[14]PRIORIZADOS!$A:$P,16,FALSE)="","",VLOOKUP(A1990,[14]PRIORIZADOS!$A:$P,16,FALSE)),"")</f>
        <v>Visitas de evaluación con fines de seguimiento</v>
      </c>
      <c r="Q1990" s="22" t="s">
        <v>428</v>
      </c>
      <c r="R1990" s="11" t="str">
        <f>IFERROR(IF(VLOOKUP(A1990,[14]PRIORIZADOS!$A:$R,18,FALSE)="","",VLOOKUP(A1990,[14]PRIORIZADOS!$A:$R,18,FALSE)),"")</f>
        <v>En las carpetas de las Hojas de Vida de docentes, no hay soporte de realizar consulta de antecedentes para cumplimiento de  la Directiva 01/2022 del MEN.</v>
      </c>
      <c r="S1990" s="11" t="str">
        <f>IFERROR(IF(VLOOKUP(A1990,[14]PRIORIZADOS!$A:$S,19,FALSE)="","",VLOOKUP(A1990,[14]PRIORIZADOS!$A:$S,19,FALSE)),"")</f>
        <v>Se solicita revisar normativa de archivo, organizar expedientes de docentes vinculados y dar cumplimiento a normativa vigente.</v>
      </c>
      <c r="T1990" s="70" t="str">
        <f>IFERROR(IF(VLOOKUP(A1990,[14]PRIORIZADOS!$A:$T,20,FALSE)="","",VLOOKUP(A1990,[14]PRIORIZADOS!$A:$T,20,FALSE)),"")</f>
        <v>Si</v>
      </c>
      <c r="U1990" s="11" t="str">
        <f>IFERROR(IF(VLOOKUP(A1990,[14]PRIORIZADOS!$A:$U,21,FALSE)="","",VLOOKUP(A1990,[14]PRIORIZADOS!$A:$U,21,FALSE)),"")</f>
        <v>Verificar la organización de archivo y seguimiento a consulta de reporte de antecedentes.</v>
      </c>
    </row>
    <row r="1991" spans="1:21" s="1" customFormat="1" ht="72">
      <c r="A1991" s="69">
        <f>IF([14]PRIORIZADOS!A38="","",[14]PRIORIZADOS!A38)</f>
        <v>1959</v>
      </c>
      <c r="B1991" s="70">
        <f>IFERROR(IF(VLOOKUP(A1991,[14]PRIORIZADOS!$A:$B,2,FALSE)="","",VLOOKUP(A1991,[14]PRIORIZADOS!$A:$B,2,FALSE)),"")</f>
        <v>4</v>
      </c>
      <c r="C1991" s="11" t="s">
        <v>424</v>
      </c>
      <c r="D1991" s="11" t="str">
        <f>IFERROR(IF(VLOOKUP(A1991,[14]PRIORIZADOS!$A:$D,4,FALSE)="","",VLOOKUP(A1991,[14]PRIORIZADOS!$A:$D,4,FALSE)),"")</f>
        <v>PRIVADO</v>
      </c>
      <c r="E1991" s="11" t="str">
        <f>IFERROR(IF(VLOOKUP(A1991,[14]PRIORIZADOS!$A:$E,5,FALSE)="","",VLOOKUP(A1991,[14]PRIORIZADOS!$A:$E,5,FALSE)),"")</f>
        <v>Educación de Jóvenes y Adultos</v>
      </c>
      <c r="F1991" s="11" t="str">
        <f>IFERROR(IF(VLOOKUP(A1991,[14]PRIORIZADOS!$A:$F,6,FALSE)="","",VLOOKUP(A1991,[14]PRIORIZADOS!$A:$F,6,FALSE)),"")</f>
        <v>INSTITUCION_EDUCATIVA_FRAY_LUIS_DE_LEON</v>
      </c>
      <c r="G1991" s="11" t="str">
        <f>IFERROR(IF(VLOOKUP(A1991,[14]PRIORIZADOS!$A:$G,7,FALSE)="","",VLOOKUP(A1991,[14]PRIORIZADOS!$A:$G,7,FALSE)),"")</f>
        <v>INSTITUCION EDUCATIVA FRAY LUIS DE LEON</v>
      </c>
      <c r="H1991" s="11" t="str">
        <f>IFERROR(IF(VLOOKUP(A1991,[14]PRIORIZADOS!$A:$H,8,FALSE)="","",VLOOKUP(A1991,[14]PRIORIZADOS!$A:$H,8,FALSE)),"")</f>
        <v>Autoevaluación Institucional y Pruebas SABER 11</v>
      </c>
      <c r="I1991" s="11" t="str">
        <f>IFERROR(IF(VLOOKUP(A1991,[14]PRIORIZADOS!$A:$I,9,FALSE)="","",VLOOKUP(A1991,[14]PRIORIZADOS!$A:$I,9,FALSE)),"")</f>
        <v>SEGUIMIENTO_Y_SUPERVISIÓN.</v>
      </c>
      <c r="J1991" s="11" t="str">
        <f>IFERROR(IF(VLOOKUP(A1991,[14]PRIORIZADOS!$A:$J,10,FALSE)="","",VLOOKUP(A1991,[14]PRIORIZADOS!$A:$J,10,FALSE)),"")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1991" s="11" t="str">
        <f>IFERROR(IF(VLOOKUP(A1991,[14]PRIORIZADOS!$A:$K,11,FALSE)="","",VLOOKUP(A1991,[14]PRIORIZADOS!$A:$K,11,FALSE)),"")</f>
        <v>SONIA YAMILE ARTEAGA MELO</v>
      </c>
      <c r="L1991" s="11" t="str">
        <f>IFERROR(IF(VLOOKUP(A1991,[14]PRIORIZADOS!$A:$L,12,FALSE)="","",VLOOKUP(A1991,[14]PRIORIZADOS!$A:$L,12,FALSE)),"")</f>
        <v>JENNIFFER ESPERANZA GONZÁLEZ GÓMEZ</v>
      </c>
      <c r="M1991" s="71">
        <f>IFERROR(IF(VLOOKUP(A1991,[14]PRIORIZADOS!$A:$M,13,FALSE)="","",VLOOKUP(A1991,[14]PRIORIZADOS!$A:$M,13,FALSE)),"")</f>
        <v>45937</v>
      </c>
      <c r="N1991" s="71">
        <f>IFERROR(IF(VLOOKUP(A1991,[14]PRIORIZADOS!$A:$N,14,FALSE)="","",VLOOKUP(A1991,[14]PRIORIZADOS!$A:$N,14,FALSE)),"")</f>
        <v>45909</v>
      </c>
      <c r="O1991" s="71">
        <f>IFERROR(IF(VLOOKUP(A1991,[14]PRIORIZADOS!$A:$O,15,FALSE)="","",VLOOKUP(A1991,[14]PRIORIZADOS!$A:$O,15,FALSE)),"")</f>
        <v>45909</v>
      </c>
      <c r="P1991" s="11" t="str">
        <f>IFERROR(IF(VLOOKUP(A1991,[14]PRIORIZADOS!$A:$P,16,FALSE)="","",VLOOKUP(A1991,[14]PRIORIZADOS!$A:$P,16,FALSE)),"")</f>
        <v>Visitas de evaluación con fines de seguimiento</v>
      </c>
      <c r="Q1991" s="22" t="s">
        <v>428</v>
      </c>
      <c r="R1991" s="11" t="str">
        <f>IFERROR(IF(VLOOKUP(A1991,[14]PRIORIZADOS!$A:$R,18,FALSE)="","",VLOOKUP(A1991,[14]PRIORIZADOS!$A:$R,18,FALSE)),"")</f>
        <v>En aplicativo SIMAT se evidencian diez estudiantes marcados con discapacidad.  El colegio informa que actualmente solo tienen un estudiante con discapacidad.
Presentan documento PIAR del estudiante.</v>
      </c>
      <c r="S1991" s="11" t="str">
        <f>IFERROR(IF(VLOOKUP(A1991,[14]PRIORIZADOS!$A:$S,19,FALSE)="","",VLOOKUP(A1991,[14]PRIORIZADOS!$A:$S,19,FALSE)),"")</f>
        <v>Se solicita actualizar aplicativo SIMAT, y se realizan observaciones generales sobre el diligenciamiento del instrumento.</v>
      </c>
      <c r="T1991" s="70" t="str">
        <f>IFERROR(IF(VLOOKUP(A1991,[14]PRIORIZADOS!$A:$T,20,FALSE)="","",VLOOKUP(A1991,[14]PRIORIZADOS!$A:$T,20,FALSE)),"")</f>
        <v>Si</v>
      </c>
      <c r="U1991" s="11" t="str">
        <f>IFERROR(IF(VLOOKUP(A1991,[14]PRIORIZADOS!$A:$U,21,FALSE)="","",VLOOKUP(A1991,[14]PRIORIZADOS!$A:$U,21,FALSE)),"")</f>
        <v>Verificar estado de matrícula SIMAT.</v>
      </c>
    </row>
    <row r="1992" spans="1:21" s="1" customFormat="1" ht="84">
      <c r="A1992" s="69">
        <f>IF([14]PRIORIZADOS!A39="","",[14]PRIORIZADOS!A39)</f>
        <v>1960</v>
      </c>
      <c r="B1992" s="70">
        <f>IFERROR(IF(VLOOKUP(A1992,[14]PRIORIZADOS!$A:$B,2,FALSE)="","",VLOOKUP(A1992,[14]PRIORIZADOS!$A:$B,2,FALSE)),"")</f>
        <v>4</v>
      </c>
      <c r="C1992" s="11" t="s">
        <v>424</v>
      </c>
      <c r="D1992" s="11" t="str">
        <f>IFERROR(IF(VLOOKUP(A1992,[14]PRIORIZADOS!$A:$D,4,FALSE)="","",VLOOKUP(A1992,[14]PRIORIZADOS!$A:$D,4,FALSE)),"")</f>
        <v>PRIVADO</v>
      </c>
      <c r="E1992" s="11" t="str">
        <f>IFERROR(IF(VLOOKUP(A1992,[14]PRIORIZADOS!$A:$E,5,FALSE)="","",VLOOKUP(A1992,[14]PRIORIZADOS!$A:$E,5,FALSE)),"")</f>
        <v>Educación de Jóvenes y Adultos</v>
      </c>
      <c r="F1992" s="11" t="str">
        <f>IFERROR(IF(VLOOKUP(A1992,[14]PRIORIZADOS!$A:$F,6,FALSE)="","",VLOOKUP(A1992,[14]PRIORIZADOS!$A:$F,6,FALSE)),"")</f>
        <v>INSTITUCION_EDUCATIVA_FRAY_LUIS_DE_LEON</v>
      </c>
      <c r="G1992" s="11" t="str">
        <f>IFERROR(IF(VLOOKUP(A1992,[14]PRIORIZADOS!$A:$G,7,FALSE)="","",VLOOKUP(A1992,[14]PRIORIZADOS!$A:$G,7,FALSE)),"")</f>
        <v>INSTITUCION EDUCATIVA FRAY LUIS DE LEON</v>
      </c>
      <c r="H1992" s="11" t="str">
        <f>IFERROR(IF(VLOOKUP(A1992,[14]PRIORIZADOS!$A:$H,8,FALSE)="","",VLOOKUP(A1992,[14]PRIORIZADOS!$A:$H,8,FALSE)),"")</f>
        <v>Autoevaluación Institucional y Pruebas SABER 11</v>
      </c>
      <c r="I1992" s="11" t="str">
        <f>IFERROR(IF(VLOOKUP(A1992,[14]PRIORIZADOS!$A:$I,9,FALSE)="","",VLOOKUP(A1992,[14]PRIORIZADOS!$A:$I,9,FALSE)),"")</f>
        <v>EVALUACIÓN_CON_FINES_DE_MEJORAMIENTO.</v>
      </c>
      <c r="J1992" s="11" t="str">
        <f>IFERROR(IF(VLOOKUP(A1992,[14]PRIORIZADOS!$A:$J,10,FALSE)="","",VLOOKUP(A1992,[14]PRIORIZADOS!$A:$J,10,FALSE)),"")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1992" s="11" t="str">
        <f>IFERROR(IF(VLOOKUP(A1992,[14]PRIORIZADOS!$A:$K,11,FALSE)="","",VLOOKUP(A1992,[14]PRIORIZADOS!$A:$K,11,FALSE)),"")</f>
        <v>SONIA YAMILE ARTEAGA MELO</v>
      </c>
      <c r="L1992" s="11" t="str">
        <f>IFERROR(IF(VLOOKUP(A1992,[14]PRIORIZADOS!$A:$L,12,FALSE)="","",VLOOKUP(A1992,[14]PRIORIZADOS!$A:$L,12,FALSE)),"")</f>
        <v>JENNIFFER ESPERANZA GONZÁLEZ GÓMEZ</v>
      </c>
      <c r="M1992" s="71">
        <f>IFERROR(IF(VLOOKUP(A1992,[14]PRIORIZADOS!$A:$M,13,FALSE)="","",VLOOKUP(A1992,[14]PRIORIZADOS!$A:$M,13,FALSE)),"")</f>
        <v>45937</v>
      </c>
      <c r="N1992" s="71">
        <f>IFERROR(IF(VLOOKUP(A1992,[14]PRIORIZADOS!$A:$N,14,FALSE)="","",VLOOKUP(A1992,[14]PRIORIZADOS!$A:$N,14,FALSE)),"")</f>
        <v>45908</v>
      </c>
      <c r="O1992" s="71">
        <f>IFERROR(IF(VLOOKUP(A1992,[14]PRIORIZADOS!$A:$O,15,FALSE)="","",VLOOKUP(A1992,[14]PRIORIZADOS!$A:$O,15,FALSE)),"")</f>
        <v>45909</v>
      </c>
      <c r="P1992" s="11" t="str">
        <f>IFERROR(IF(VLOOKUP(A1992,[14]PRIORIZADOS!$A:$P,16,FALSE)="","",VLOOKUP(A1992,[14]PRIORIZADOS!$A:$P,16,FALSE)),"")</f>
        <v>Visitas de evaluación con fines de mejoramiento</v>
      </c>
      <c r="Q1992" s="22" t="s">
        <v>428</v>
      </c>
      <c r="R1992" s="11" t="str">
        <f>IFERROR(IF(VLOOKUP(A1992,[14]PRIORIZADOS!$A:$R,18,FALSE)="","",VLOOKUP(A1992,[14]PRIORIZADOS!$A:$R,18,FALSE)),"")</f>
        <v>El manual de convivencia Escolar, tiene falencias respecto a diferenciación entre faltas y situaciones, tema de servicio social, atención población con discapacidad, PRAE, entre otros.</v>
      </c>
      <c r="S1992" s="11" t="str">
        <f>IFERROR(IF(VLOOKUP(A1992,[14]PRIORIZADOS!$A:$S,19,FALSE)="","",VLOOKUP(A1992,[14]PRIORIZADOS!$A:$S,19,FALSE)),"")</f>
        <v xml:space="preserve">Realizar la actualización del manual de convivencia Escolar, e amenra participativa, toamdo como referencia orientaciones actualizadas brindadas por la SED. </v>
      </c>
      <c r="T1992" s="70" t="str">
        <f>IFERROR(IF(VLOOKUP(A1992,[14]PRIORIZADOS!$A:$T,20,FALSE)="","",VLOOKUP(A1992,[14]PRIORIZADOS!$A:$T,20,FALSE)),"")</f>
        <v>Si</v>
      </c>
      <c r="U1992" s="11" t="str">
        <f>IFERROR(IF(VLOOKUP(A1992,[14]PRIORIZADOS!$A:$U,21,FALSE)="","",VLOOKUP(A1992,[14]PRIORIZADOS!$A:$U,21,FALSE)),"")</f>
        <v>Verificación y análisis del nuevo Manual de Convivencia Escolar.</v>
      </c>
    </row>
    <row r="1993" spans="1:21" s="1" customFormat="1" ht="60">
      <c r="A1993" s="69">
        <f>IF([14]PRIORIZADOS!A40="","",[14]PRIORIZADOS!A40)</f>
        <v>1961</v>
      </c>
      <c r="B1993" s="70">
        <f>IFERROR(IF(VLOOKUP(A1993,[14]PRIORIZADOS!$A:$B,2,FALSE)="","",VLOOKUP(A1993,[14]PRIORIZADOS!$A:$B,2,FALSE)),"")</f>
        <v>4</v>
      </c>
      <c r="C1993" s="11" t="s">
        <v>424</v>
      </c>
      <c r="D1993" s="11" t="str">
        <f>IFERROR(IF(VLOOKUP(A1993,[14]PRIORIZADOS!$A:$D,4,FALSE)="","",VLOOKUP(A1993,[14]PRIORIZADOS!$A:$D,4,FALSE)),"")</f>
        <v>PRIVADO</v>
      </c>
      <c r="E1993" s="11" t="str">
        <f>IFERROR(IF(VLOOKUP(A1993,[14]PRIORIZADOS!$A:$E,5,FALSE)="","",VLOOKUP(A1993,[14]PRIORIZADOS!$A:$E,5,FALSE)),"")</f>
        <v>Educación de Jóvenes y Adultos</v>
      </c>
      <c r="F1993" s="11" t="str">
        <f>IFERROR(IF(VLOOKUP(A1993,[14]PRIORIZADOS!$A:$F,6,FALSE)="","",VLOOKUP(A1993,[14]PRIORIZADOS!$A:$F,6,FALSE)),"")</f>
        <v>INSTITUCION_EDUCATIVA_FRAY_LUIS_DE_LEON</v>
      </c>
      <c r="G1993" s="11" t="str">
        <f>IFERROR(IF(VLOOKUP(A1993,[14]PRIORIZADOS!$A:$G,7,FALSE)="","",VLOOKUP(A1993,[14]PRIORIZADOS!$A:$G,7,FALSE)),"")</f>
        <v>INSTITUCION EDUCATIVA FRAY LUIS DE LEON</v>
      </c>
      <c r="H1993" s="11" t="str">
        <f>IFERROR(IF(VLOOKUP(A1993,[14]PRIORIZADOS!$A:$H,8,FALSE)="","",VLOOKUP(A1993,[14]PRIORIZADOS!$A:$H,8,FALSE)),"")</f>
        <v>Autoevaluación Institucional y Pruebas SABER 11</v>
      </c>
      <c r="I1993" s="11" t="str">
        <f>IFERROR(IF(VLOOKUP(A1993,[14]PRIORIZADOS!$A:$I,9,FALSE)="","",VLOOKUP(A1993,[14]PRIORIZADOS!$A:$I,9,FALSE)),"")</f>
        <v>EVALUACIÓN_CON_FINES_DE_MEJORAMIENTO.</v>
      </c>
      <c r="J1993" s="11" t="str">
        <f>IFERROR(IF(VLOOKUP(A1993,[14]PRIORIZADOS!$A:$J,10,FALSE)="","",VLOOKUP(A1993,[14]PRIORIZADOS!$A:$J,10,FALSE)),"")</f>
        <v>Revisar la actualización, socialización e implementación del Sistema Institucional de Evaluación de Estudiantes - SIEE, en articulación con la actualización del PEI y la normatividad vigente.</v>
      </c>
      <c r="K1993" s="11" t="str">
        <f>IFERROR(IF(VLOOKUP(A1993,[14]PRIORIZADOS!$A:$K,11,FALSE)="","",VLOOKUP(A1993,[14]PRIORIZADOS!$A:$K,11,FALSE)),"")</f>
        <v>SONIA YAMILE ARTEAGA MELO</v>
      </c>
      <c r="L1993" s="11" t="str">
        <f>IFERROR(IF(VLOOKUP(A1993,[14]PRIORIZADOS!$A:$L,12,FALSE)="","",VLOOKUP(A1993,[14]PRIORIZADOS!$A:$L,12,FALSE)),"")</f>
        <v>JENNIFFER ESPERANZA GONZÁLEZ GÓMEZ</v>
      </c>
      <c r="M1993" s="71">
        <f>IFERROR(IF(VLOOKUP(A1993,[14]PRIORIZADOS!$A:$M,13,FALSE)="","",VLOOKUP(A1993,[14]PRIORIZADOS!$A:$M,13,FALSE)),"")</f>
        <v>45937</v>
      </c>
      <c r="N1993" s="71">
        <f>IFERROR(IF(VLOOKUP(A1993,[14]PRIORIZADOS!$A:$N,14,FALSE)="","",VLOOKUP(A1993,[14]PRIORIZADOS!$A:$N,14,FALSE)),"")</f>
        <v>45909</v>
      </c>
      <c r="O1993" s="71">
        <f>IFERROR(IF(VLOOKUP(A1993,[14]PRIORIZADOS!$A:$O,15,FALSE)="","",VLOOKUP(A1993,[14]PRIORIZADOS!$A:$O,15,FALSE)),"")</f>
        <v>45909</v>
      </c>
      <c r="P1993" s="11" t="str">
        <f>IFERROR(IF(VLOOKUP(A1993,[14]PRIORIZADOS!$A:$P,16,FALSE)="","",VLOOKUP(A1993,[14]PRIORIZADOS!$A:$P,16,FALSE)),"")</f>
        <v>Visitas de evaluación con fines de mejoramiento</v>
      </c>
      <c r="Q1993" s="22" t="s">
        <v>428</v>
      </c>
      <c r="R1993" s="11" t="str">
        <f>IFERROR(IF(VLOOKUP(A1993,[14]PRIORIZADOS!$A:$R,18,FALSE)="","",VLOOKUP(A1993,[14]PRIORIZADOS!$A:$R,18,FALSE)),"")</f>
        <v>Se identifican falencias en la definición del valor porcentual de cada periodo escolar, gestión de las comisiones de evalución y promoción, y criterios de aprobación y reprobación de año escolar.</v>
      </c>
      <c r="S1993" s="11" t="str">
        <f>IFERROR(IF(VLOOKUP(A1993,[14]PRIORIZADOS!$A:$S,19,FALSE)="","",VLOOKUP(A1993,[14]PRIORIZADOS!$A:$S,19,FALSE)),"")</f>
        <v>Se solicita redefinir aspectos del SIEE.</v>
      </c>
      <c r="T1993" s="70" t="str">
        <f>IFERROR(IF(VLOOKUP(A1993,[14]PRIORIZADOS!$A:$T,20,FALSE)="","",VLOOKUP(A1993,[14]PRIORIZADOS!$A:$T,20,FALSE)),"")</f>
        <v>Si</v>
      </c>
      <c r="U1993" s="11" t="str">
        <f>IFERROR(IF(VLOOKUP(A1993,[14]PRIORIZADOS!$A:$U,21,FALSE)="","",VLOOKUP(A1993,[14]PRIORIZADOS!$A:$U,21,FALSE)),"")</f>
        <v xml:space="preserve">Verificar estructuración del SIEE, validando cumplimeitno de la normativa vigente y pertinencia. </v>
      </c>
    </row>
    <row r="1994" spans="1:21" s="1" customFormat="1" ht="48">
      <c r="A1994" s="69">
        <f>IF([14]PRIORIZADOS!A41="","",[14]PRIORIZADOS!A41)</f>
        <v>1962</v>
      </c>
      <c r="B1994" s="70">
        <f>IFERROR(IF(VLOOKUP(A1994,[14]PRIORIZADOS!$A:$B,2,FALSE)="","",VLOOKUP(A1994,[14]PRIORIZADOS!$A:$B,2,FALSE)),"")</f>
        <v>4</v>
      </c>
      <c r="C1994" s="11" t="s">
        <v>424</v>
      </c>
      <c r="D1994" s="11" t="str">
        <f>IFERROR(IF(VLOOKUP(A1994,[14]PRIORIZADOS!$A:$D,4,FALSE)="","",VLOOKUP(A1994,[14]PRIORIZADOS!$A:$D,4,FALSE)),"")</f>
        <v>PRIVADO</v>
      </c>
      <c r="E1994" s="11" t="str">
        <f>IFERROR(IF(VLOOKUP(A1994,[14]PRIORIZADOS!$A:$E,5,FALSE)="","",VLOOKUP(A1994,[14]PRIORIZADOS!$A:$E,5,FALSE)),"")</f>
        <v>Educación de Jóvenes y Adultos</v>
      </c>
      <c r="F1994" s="11" t="str">
        <f>IFERROR(IF(VLOOKUP(A1994,[14]PRIORIZADOS!$A:$F,6,FALSE)="","",VLOOKUP(A1994,[14]PRIORIZADOS!$A:$F,6,FALSE)),"")</f>
        <v>INSTITUCION_EDUCATIVA_FRAY_LUIS_DE_LEON</v>
      </c>
      <c r="G1994" s="11" t="str">
        <f>IFERROR(IF(VLOOKUP(A1994,[14]PRIORIZADOS!$A:$G,7,FALSE)="","",VLOOKUP(A1994,[14]PRIORIZADOS!$A:$G,7,FALSE)),"")</f>
        <v>INSTITUCION EDUCATIVA FRAY LUIS DE LEON</v>
      </c>
      <c r="H1994" s="11" t="str">
        <f>IFERROR(IF(VLOOKUP(A1994,[14]PRIORIZADOS!$A:$H,8,FALSE)="","",VLOOKUP(A1994,[14]PRIORIZADOS!$A:$H,8,FALSE)),"")</f>
        <v>Autoevaluación Institucional y Pruebas SABER 11</v>
      </c>
      <c r="I1994" s="11" t="str">
        <f>IFERROR(IF(VLOOKUP(A1994,[14]PRIORIZADOS!$A:$I,9,FALSE)="","",VLOOKUP(A1994,[14]PRIORIZADOS!$A:$I,9,FALSE)),"")</f>
        <v>EVALUACIÓN_CON_FINES_DE_MEJORAMIENTO.</v>
      </c>
      <c r="J1994" s="11" t="str">
        <f>IFERROR(IF(VLOOKUP(A1994,[14]PRIORIZADOS!$A:$J,10,FALSE)="","",VLOOKUP(A1994,[14]PRIORIZADOS!$A:$J,10,FALSE)),"")</f>
        <v>Revisar el calendario escolar, jornada escolar, la intensidad horaria mínima anual en cada nivel y las modificaciones que se realicen al mismo, de acuerdo con lo previsto en la normatividad vigente.</v>
      </c>
      <c r="K1994" s="11" t="str">
        <f>IFERROR(IF(VLOOKUP(A1994,[14]PRIORIZADOS!$A:$K,11,FALSE)="","",VLOOKUP(A1994,[14]PRIORIZADOS!$A:$K,11,FALSE)),"")</f>
        <v>SONIA YAMILE ARTEAGA MELO</v>
      </c>
      <c r="L1994" s="11" t="str">
        <f>IFERROR(IF(VLOOKUP(A1994,[14]PRIORIZADOS!$A:$L,12,FALSE)="","",VLOOKUP(A1994,[14]PRIORIZADOS!$A:$L,12,FALSE)),"")</f>
        <v>JENNIFFER ESPERANZA GONZÁLEZ GÓMEZ</v>
      </c>
      <c r="M1994" s="71">
        <f>IFERROR(IF(VLOOKUP(A1994,[14]PRIORIZADOS!$A:$M,13,FALSE)="","",VLOOKUP(A1994,[14]PRIORIZADOS!$A:$M,13,FALSE)),"")</f>
        <v>45937</v>
      </c>
      <c r="N1994" s="71">
        <f>IFERROR(IF(VLOOKUP(A1994,[14]PRIORIZADOS!$A:$N,14,FALSE)="","",VLOOKUP(A1994,[14]PRIORIZADOS!$A:$N,14,FALSE)),"")</f>
        <v>45909</v>
      </c>
      <c r="O1994" s="71">
        <f>IFERROR(IF(VLOOKUP(A1994,[14]PRIORIZADOS!$A:$O,15,FALSE)="","",VLOOKUP(A1994,[14]PRIORIZADOS!$A:$O,15,FALSE)),"")</f>
        <v>45909</v>
      </c>
      <c r="P1994" s="11" t="str">
        <f>IFERROR(IF(VLOOKUP(A1994,[14]PRIORIZADOS!$A:$P,16,FALSE)="","",VLOOKUP(A1994,[14]PRIORIZADOS!$A:$P,16,FALSE)),"")</f>
        <v>Visitas de evaluación con fines de mejoramiento</v>
      </c>
      <c r="Q1994" s="22" t="s">
        <v>428</v>
      </c>
      <c r="R1994" s="11" t="str">
        <f>IFERROR(IF(VLOOKUP(A1994,[14]PRIORIZADOS!$A:$R,18,FALSE)="","",VLOOKUP(A1994,[14]PRIORIZADOS!$A:$R,18,FALSE)),"")</f>
        <v>Cuenta con la oferta de jornada tarde, noche y fin de semana, cumple con lo requerido de acuerdo con normativa.</v>
      </c>
      <c r="S1994" s="11" t="str">
        <f>IFERROR(IF(VLOOKUP(A1994,[14]PRIORIZADOS!$A:$S,19,FALSE)="","",VLOOKUP(A1994,[14]PRIORIZADOS!$A:$S,19,FALSE)),"")</f>
        <v>Cumple con lo requerido</v>
      </c>
      <c r="T1994" s="70" t="str">
        <f>IFERROR(IF(VLOOKUP(A1994,[14]PRIORIZADOS!$A:$T,20,FALSE)="","",VLOOKUP(A1994,[14]PRIORIZADOS!$A:$T,20,FALSE)),"")</f>
        <v>No</v>
      </c>
      <c r="U1994" s="11" t="str">
        <f>IFERROR(IF(VLOOKUP(A1994,[14]PRIORIZADOS!$A:$U,21,FALSE)="","",VLOOKUP(A1994,[14]PRIORIZADOS!$A:$U,21,FALSE)),"")</f>
        <v>Realizar nueva verificación.</v>
      </c>
    </row>
    <row r="1995" spans="1:21" s="1" customFormat="1" ht="84">
      <c r="A1995" s="69">
        <f>IF([14]PRIORIZADOS!A42="","",[14]PRIORIZADOS!A42)</f>
        <v>1963</v>
      </c>
      <c r="B1995" s="70">
        <f>IFERROR(IF(VLOOKUP(A1995,[14]PRIORIZADOS!$A:$B,2,FALSE)="","",VLOOKUP(A1995,[14]PRIORIZADOS!$A:$B,2,FALSE)),"")</f>
        <v>4</v>
      </c>
      <c r="C1995" s="11" t="s">
        <v>424</v>
      </c>
      <c r="D1995" s="11" t="str">
        <f>IFERROR(IF(VLOOKUP(A1995,[14]PRIORIZADOS!$A:$D,4,FALSE)="","",VLOOKUP(A1995,[14]PRIORIZADOS!$A:$D,4,FALSE)),"")</f>
        <v>PRIVADO</v>
      </c>
      <c r="E1995" s="11" t="str">
        <f>IFERROR(IF(VLOOKUP(A1995,[14]PRIORIZADOS!$A:$E,5,FALSE)="","",VLOOKUP(A1995,[14]PRIORIZADOS!$A:$E,5,FALSE)),"")</f>
        <v>Educación de Jóvenes y Adultos</v>
      </c>
      <c r="F1995" s="11" t="str">
        <f>IFERROR(IF(VLOOKUP(A1995,[14]PRIORIZADOS!$A:$F,6,FALSE)="","",VLOOKUP(A1995,[14]PRIORIZADOS!$A:$F,6,FALSE)),"")</f>
        <v>INSTITUCION_EDUCATIVA_FRAY_LUIS_DE_LEON</v>
      </c>
      <c r="G1995" s="11" t="str">
        <f>IFERROR(IF(VLOOKUP(A1995,[14]PRIORIZADOS!$A:$G,7,FALSE)="","",VLOOKUP(A1995,[14]PRIORIZADOS!$A:$G,7,FALSE)),"")</f>
        <v>INSTITUCION EDUCATIVA FRAY LUIS DE LEON</v>
      </c>
      <c r="H1995" s="11" t="str">
        <f>IFERROR(IF(VLOOKUP(A1995,[14]PRIORIZADOS!$A:$H,8,FALSE)="","",VLOOKUP(A1995,[14]PRIORIZADOS!$A:$H,8,FALSE)),"")</f>
        <v>Autoevaluación Institucional y Pruebas SABER 11</v>
      </c>
      <c r="I1995" s="11" t="str">
        <f>IFERROR(IF(VLOOKUP(A1995,[14]PRIORIZADOS!$A:$I,9,FALSE)="","",VLOOKUP(A1995,[14]PRIORIZADOS!$A:$I,9,FALSE)),"")</f>
        <v>EVALUACIÓN_CON_FINES_DE_MEJORAMIENTO.</v>
      </c>
      <c r="J1995" s="11" t="str">
        <f>IFERROR(IF(VLOOKUP(A1995,[14]PRIORIZADOS!$A:$J,10,FALSE)="","",VLOOKUP(A1995,[14]PRIORIZADOS!$A:$J,10,FALSE)),"")</f>
        <v>Verificar el funcionamiento del Gobierno Escolar e instancias de participación con base en la información sobre conformación reportada por la institución educativa.</v>
      </c>
      <c r="K1995" s="11" t="str">
        <f>IFERROR(IF(VLOOKUP(A1995,[14]PRIORIZADOS!$A:$K,11,FALSE)="","",VLOOKUP(A1995,[14]PRIORIZADOS!$A:$K,11,FALSE)),"")</f>
        <v>SONIA YAMILE ARTEAGA MELO</v>
      </c>
      <c r="L1995" s="11" t="str">
        <f>IFERROR(IF(VLOOKUP(A1995,[14]PRIORIZADOS!$A:$L,12,FALSE)="","",VLOOKUP(A1995,[14]PRIORIZADOS!$A:$L,12,FALSE)),"")</f>
        <v>JENNIFFER ESPERANZA GONZÁLEZ GÓMEZ</v>
      </c>
      <c r="M1995" s="71">
        <f>IFERROR(IF(VLOOKUP(A1995,[14]PRIORIZADOS!$A:$M,13,FALSE)="","",VLOOKUP(A1995,[14]PRIORIZADOS!$A:$M,13,FALSE)),"")</f>
        <v>45937</v>
      </c>
      <c r="N1995" s="71">
        <f>IFERROR(IF(VLOOKUP(A1995,[14]PRIORIZADOS!$A:$N,14,FALSE)="","",VLOOKUP(A1995,[14]PRIORIZADOS!$A:$N,14,FALSE)),"")</f>
        <v>45909</v>
      </c>
      <c r="O1995" s="71">
        <f>IFERROR(IF(VLOOKUP(A1995,[14]PRIORIZADOS!$A:$O,15,FALSE)="","",VLOOKUP(A1995,[14]PRIORIZADOS!$A:$O,15,FALSE)),"")</f>
        <v>45909</v>
      </c>
      <c r="P1995" s="11" t="str">
        <f>IFERROR(IF(VLOOKUP(A1995,[14]PRIORIZADOS!$A:$P,16,FALSE)="","",VLOOKUP(A1995,[14]PRIORIZADOS!$A:$P,16,FALSE)),"")</f>
        <v>Visitas de evaluación con fines de mejoramiento</v>
      </c>
      <c r="Q1995" s="22" t="s">
        <v>428</v>
      </c>
      <c r="R1995" s="11" t="str">
        <f>IFERROR(IF(VLOOKUP(A1995,[14]PRIORIZADOS!$A:$R,18,FALSE)="","",VLOOKUP(A1995,[14]PRIORIZADOS!$A:$R,18,FALSE)),"")</f>
        <v>Se identifica que el gobierno escolar e instancias de participación se encuentran conformadas.  En las actas revisadas se evidencia que no hay riguroso manejo de los temas de acuerdo con la instancia, y que no se reunen con la periodicidad necesaria.</v>
      </c>
      <c r="S1995" s="11" t="str">
        <f>IFERROR(IF(VLOOKUP(A1995,[14]PRIORIZADOS!$A:$S,19,FALSE)="","",VLOOKUP(A1995,[14]PRIORIZADOS!$A:$S,19,FALSE)),"")</f>
        <v>Sesionar con la periodicidad que la norma determina, y que en cada instancia se aborden los temas puntuales de la mísma.</v>
      </c>
      <c r="T1995" s="70" t="str">
        <f>IFERROR(IF(VLOOKUP(A1995,[14]PRIORIZADOS!$A:$T,20,FALSE)="","",VLOOKUP(A1995,[14]PRIORIZADOS!$A:$T,20,FALSE)),"")</f>
        <v>Si</v>
      </c>
      <c r="U1995" s="11" t="str">
        <f>IFERROR(IF(VLOOKUP(A1995,[14]PRIORIZADOS!$A:$U,21,FALSE)="","",VLOOKUP(A1995,[14]PRIORIZADOS!$A:$U,21,FALSE)),"")</f>
        <v>Realizar verificación documental de actas de reunión.</v>
      </c>
    </row>
    <row r="1996" spans="1:21" s="1" customFormat="1" ht="60">
      <c r="A1996" s="69">
        <f>IF([14]PRIORIZADOS!A43="","",[14]PRIORIZADOS!A43)</f>
        <v>1964</v>
      </c>
      <c r="B1996" s="70">
        <f>IFERROR(IF(VLOOKUP(A1996,[14]PRIORIZADOS!$A:$B,2,FALSE)="","",VLOOKUP(A1996,[14]PRIORIZADOS!$A:$B,2,FALSE)),"")</f>
        <v>4</v>
      </c>
      <c r="C1996" s="11" t="s">
        <v>424</v>
      </c>
      <c r="D1996" s="11" t="str">
        <f>IFERROR(IF(VLOOKUP(A1996,[14]PRIORIZADOS!$A:$D,4,FALSE)="","",VLOOKUP(A1996,[14]PRIORIZADOS!$A:$D,4,FALSE)),"")</f>
        <v>PRIVADO</v>
      </c>
      <c r="E1996" s="11" t="str">
        <f>IFERROR(IF(VLOOKUP(A1996,[14]PRIORIZADOS!$A:$E,5,FALSE)="","",VLOOKUP(A1996,[14]PRIORIZADOS!$A:$E,5,FALSE)),"")</f>
        <v>Educación de Jóvenes y Adultos</v>
      </c>
      <c r="F1996" s="11" t="str">
        <f>IFERROR(IF(VLOOKUP(A1996,[14]PRIORIZADOS!$A:$F,6,FALSE)="","",VLOOKUP(A1996,[14]PRIORIZADOS!$A:$F,6,FALSE)),"")</f>
        <v>INSTITUCION_EDUCATIVA_FRAY_LUIS_DE_LEON</v>
      </c>
      <c r="G1996" s="11" t="str">
        <f>IFERROR(IF(VLOOKUP(A1996,[14]PRIORIZADOS!$A:$G,7,FALSE)="","",VLOOKUP(A1996,[14]PRIORIZADOS!$A:$G,7,FALSE)),"")</f>
        <v>INSTITUCION EDUCATIVA FRAY LUIS DE LEON</v>
      </c>
      <c r="H1996" s="11" t="str">
        <f>IFERROR(IF(VLOOKUP(A1996,[14]PRIORIZADOS!$A:$H,8,FALSE)="","",VLOOKUP(A1996,[14]PRIORIZADOS!$A:$H,8,FALSE)),"")</f>
        <v>Autoevaluación Institucional y Pruebas SABER 11</v>
      </c>
      <c r="I1996" s="11" t="str">
        <f>IFERROR(IF(VLOOKUP(A1996,[14]PRIORIZADOS!$A:$I,9,FALSE)="","",VLOOKUP(A1996,[14]PRIORIZADOS!$A:$I,9,FALSE)),"")</f>
        <v>EVALUACIÓN_CON_FINES_DE_MEJORAMIENTO.</v>
      </c>
      <c r="J1996" s="11" t="str">
        <f>IFERROR(IF(VLOOKUP(A1996,[14]PRIORIZADOS!$A:$J,10,FALSE)="","",VLOOKUP(A1996,[14]PRIORIZADOS!$A:$J,10,FALSE)),"")</f>
        <v>Verificar las condiciones en cuanto a: la estructura administrativa, condiciones de la planta física y medios educativos adecuados.</v>
      </c>
      <c r="K1996" s="11" t="str">
        <f>IFERROR(IF(VLOOKUP(A1996,[14]PRIORIZADOS!$A:$K,11,FALSE)="","",VLOOKUP(A1996,[14]PRIORIZADOS!$A:$K,11,FALSE)),"")</f>
        <v>SONIA YAMILE ARTEAGA MELO</v>
      </c>
      <c r="L1996" s="11" t="str">
        <f>IFERROR(IF(VLOOKUP(A1996,[14]PRIORIZADOS!$A:$L,12,FALSE)="","",VLOOKUP(A1996,[14]PRIORIZADOS!$A:$L,12,FALSE)),"")</f>
        <v>JENNIFFER ESPERANZA GONZÁLEZ GÓMEZ</v>
      </c>
      <c r="M1996" s="71">
        <f>IFERROR(IF(VLOOKUP(A1996,[14]PRIORIZADOS!$A:$M,13,FALSE)="","",VLOOKUP(A1996,[14]PRIORIZADOS!$A:$M,13,FALSE)),"")</f>
        <v>45937</v>
      </c>
      <c r="N1996" s="71">
        <f>IFERROR(IF(VLOOKUP(A1996,[14]PRIORIZADOS!$A:$N,14,FALSE)="","",VLOOKUP(A1996,[14]PRIORIZADOS!$A:$N,14,FALSE)),"")</f>
        <v>45909</v>
      </c>
      <c r="O1996" s="71">
        <f>IFERROR(IF(VLOOKUP(A1996,[14]PRIORIZADOS!$A:$O,15,FALSE)="","",VLOOKUP(A1996,[14]PRIORIZADOS!$A:$O,15,FALSE)),"")</f>
        <v>45909</v>
      </c>
      <c r="P1996" s="11" t="str">
        <f>IFERROR(IF(VLOOKUP(A1996,[14]PRIORIZADOS!$A:$P,16,FALSE)="","",VLOOKUP(A1996,[14]PRIORIZADOS!$A:$P,16,FALSE)),"")</f>
        <v>Visitas de evaluación con fines de mejoramiento</v>
      </c>
      <c r="Q1996" s="22" t="s">
        <v>428</v>
      </c>
      <c r="R1996" s="11" t="str">
        <f>IFERROR(IF(VLOOKUP(A1996,[14]PRIORIZADOS!$A:$R,18,FALSE)="","",VLOOKUP(A1996,[14]PRIORIZADOS!$A:$R,18,FALSE)),"")</f>
        <v>La planta física es compartida con el Colegio Reina de Gales, esta institución funciona en el piso 3, comparten uso de baterias sanitarias en segundo piso, tienda escolar primer piso, no hay biblioteca.</v>
      </c>
      <c r="S1996" s="11" t="str">
        <f>IFERROR(IF(VLOOKUP(A1996,[14]PRIORIZADOS!$A:$S,19,FALSE)="","",VLOOKUP(A1996,[14]PRIORIZADOS!$A:$S,19,FALSE)),"")</f>
        <v>Requiere mejoras en baterias sanitarias, adecuación de biblioteca y enfermería.</v>
      </c>
      <c r="T1996" s="70" t="str">
        <f>IFERROR(IF(VLOOKUP(A1996,[14]PRIORIZADOS!$A:$T,20,FALSE)="","",VLOOKUP(A1996,[14]PRIORIZADOS!$A:$T,20,FALSE)),"")</f>
        <v>Si</v>
      </c>
      <c r="U1996" s="11" t="str">
        <f>IFERROR(IF(VLOOKUP(A1996,[14]PRIORIZADOS!$A:$U,21,FALSE)="","",VLOOKUP(A1996,[14]PRIORIZADOS!$A:$U,21,FALSE)),"")</f>
        <v>Nueva visita de verificación.</v>
      </c>
    </row>
    <row r="1997" spans="1:21" s="1" customFormat="1" ht="72">
      <c r="A1997" s="69">
        <f>IF([14]PRIORIZADOS!A44="","",[14]PRIORIZADOS!A44)</f>
        <v>1965</v>
      </c>
      <c r="B1997" s="70">
        <f>IFERROR(IF(VLOOKUP(A1997,[14]PRIORIZADOS!$A:$B,2,FALSE)="","",VLOOKUP(A1997,[14]PRIORIZADOS!$A:$B,2,FALSE)),"")</f>
        <v>5</v>
      </c>
      <c r="C1997" s="11" t="s">
        <v>424</v>
      </c>
      <c r="D1997" s="11" t="str">
        <f>IFERROR(IF(VLOOKUP(A1997,[14]PRIORIZADOS!$A:$D,4,FALSE)="","",VLOOKUP(A1997,[14]PRIORIZADOS!$A:$D,4,FALSE)),"")</f>
        <v>PRIVADO</v>
      </c>
      <c r="E1997" s="11" t="str">
        <f>IFERROR(IF(VLOOKUP(A1997,[14]PRIORIZADOS!$A:$E,5,FALSE)="","",VLOOKUP(A1997,[14]PRIORIZADOS!$A:$E,5,FALSE)),"")</f>
        <v>Educación de Jóvenes y Adultos</v>
      </c>
      <c r="F1997" s="11" t="str">
        <f>IFERROR(IF(VLOOKUP(A1997,[14]PRIORIZADOS!$A:$F,6,FALSE)="","",VLOOKUP(A1997,[14]PRIORIZADOS!$A:$F,6,FALSE)),"")</f>
        <v>COLEGIO_CULTURAL_DEL_NORTE</v>
      </c>
      <c r="G1997" s="11" t="str">
        <f>IFERROR(IF(VLOOKUP(A1997,[14]PRIORIZADOS!$A:$G,7,FALSE)="","",VLOOKUP(A1997,[14]PRIORIZADOS!$A:$G,7,FALSE)),"")</f>
        <v>COLEGIO CULTURAL DEL NORTE</v>
      </c>
      <c r="H1997" s="11" t="str">
        <f>IFERROR(IF(VLOOKUP(A1997,[14]PRIORIZADOS!$A:$H,8,FALSE)="","",VLOOKUP(A1997,[14]PRIORIZADOS!$A:$H,8,FALSE)),"")</f>
        <v>Autoevaluación Institucional y Pruebas SABER 11</v>
      </c>
      <c r="I1997" s="11" t="str">
        <f>IFERROR(IF(VLOOKUP(A1997,[14]PRIORIZADOS!$A:$I,9,FALSE)="","",VLOOKUP(A1997,[14]PRIORIZADOS!$A:$I,9,FALSE)),"")</f>
        <v>SEGUIMIENTO_Y_SUPERVISIÓN.</v>
      </c>
      <c r="J1997" s="11" t="str">
        <f>IFERROR(IF(VLOOKUP(A1997,[14]PRIORIZADOS!$A:$J,10,FALSE)="","",VLOOKUP(A1997,[14]PRIORIZADOS!$A:$J,10,FALSE)),"")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1997" s="11" t="str">
        <f>IFERROR(IF(VLOOKUP(A1997,[14]PRIORIZADOS!$A:$K,11,FALSE)="","",VLOOKUP(A1997,[14]PRIORIZADOS!$A:$K,11,FALSE)),"")</f>
        <v>MARTHA RUT SILVA ABRIL</v>
      </c>
      <c r="L1997" s="11" t="str">
        <f>IFERROR(IF(VLOOKUP(A1997,[14]PRIORIZADOS!$A:$L,12,FALSE)="","",VLOOKUP(A1997,[14]PRIORIZADOS!$A:$L,12,FALSE)),"")</f>
        <v>JUAN MANUEL SANCHEZ MORA</v>
      </c>
      <c r="M1997" s="71">
        <f>IFERROR(IF(VLOOKUP(A1997,[14]PRIORIZADOS!$A:$M,13,FALSE)="","",VLOOKUP(A1997,[14]PRIORIZADOS!$A:$M,13,FALSE)),"")</f>
        <v>45916</v>
      </c>
      <c r="N1997" s="71">
        <f>IFERROR(IF(VLOOKUP(A1997,[14]PRIORIZADOS!$A:$N,14,FALSE)="","",VLOOKUP(A1997,[14]PRIORIZADOS!$A:$N,14,FALSE)),"")</f>
        <v>45904</v>
      </c>
      <c r="O1997" s="71">
        <f>IFERROR(IF(VLOOKUP(A1997,[14]PRIORIZADOS!$A:$O,15,FALSE)="","",VLOOKUP(A1997,[14]PRIORIZADOS!$A:$O,15,FALSE)),"")</f>
        <v>45904</v>
      </c>
      <c r="P1997" s="11" t="str">
        <f>IFERROR(IF(VLOOKUP(A1997,[14]PRIORIZADOS!$A:$P,16,FALSE)="","",VLOOKUP(A1997,[14]PRIORIZADOS!$A:$P,16,FALSE)),"")</f>
        <v>Visitas de evaluación con fines de seguimiento</v>
      </c>
      <c r="Q1997" s="22" t="s">
        <v>429</v>
      </c>
      <c r="R1997" s="11" t="str">
        <f>IFERROR(IF(VLOOKUP(A1997,[14]PRIORIZADOS!$A:$R,18,FALSE)="","",VLOOKUP(A1997,[14]PRIORIZADOS!$A:$R,18,FALSE)),"")</f>
        <v xml:space="preserve">Se observó que la institución no elaboró ni cargo en el aplicativo EVI el plan de mejoramiento para superar el régimen controlado </v>
      </c>
      <c r="S1997" s="11" t="str">
        <f>IFERROR(IF(VLOOKUP(A1997,[14]PRIORIZADOS!$A:$S,19,FALSE)="","",VLOOKUP(A1997,[14]PRIORIZADOS!$A:$S,19,FALSE)),"")</f>
        <v>Elaborar el plan de mejoramiento para superar el régimen controlado y subirlo al  aplicativo EVI.</v>
      </c>
      <c r="T1997" s="70" t="str">
        <f>IFERROR(IF(VLOOKUP(A1997,[14]PRIORIZADOS!$A:$T,20,FALSE)="","",VLOOKUP(A1997,[14]PRIORIZADOS!$A:$T,20,FALSE)),"")</f>
        <v>Si</v>
      </c>
      <c r="U1997" s="11" t="str">
        <f>IFERROR(IF(VLOOKUP(A1997,[14]PRIORIZADOS!$A:$U,21,FALSE)="","",VLOOKUP(A1997,[14]PRIORIZADOS!$A:$U,21,FALSE)),"")</f>
        <v>Plan de mejoramiento 17 de octubre de 2025.</v>
      </c>
    </row>
    <row r="1998" spans="1:21" s="1" customFormat="1" ht="48">
      <c r="A1998" s="69">
        <f>IF([14]PRIORIZADOS!A45="","",[14]PRIORIZADOS!A45)</f>
        <v>1966</v>
      </c>
      <c r="B1998" s="70">
        <f>IFERROR(IF(VLOOKUP(A1998,[14]PRIORIZADOS!$A:$B,2,FALSE)="","",VLOOKUP(A1998,[14]PRIORIZADOS!$A:$B,2,FALSE)),"")</f>
        <v>5</v>
      </c>
      <c r="C1998" s="11" t="s">
        <v>424</v>
      </c>
      <c r="D1998" s="11" t="str">
        <f>IFERROR(IF(VLOOKUP(A1998,[14]PRIORIZADOS!$A:$D,4,FALSE)="","",VLOOKUP(A1998,[14]PRIORIZADOS!$A:$D,4,FALSE)),"")</f>
        <v>PRIVADO</v>
      </c>
      <c r="E1998" s="11" t="str">
        <f>IFERROR(IF(VLOOKUP(A1998,[14]PRIORIZADOS!$A:$E,5,FALSE)="","",VLOOKUP(A1998,[14]PRIORIZADOS!$A:$E,5,FALSE)),"")</f>
        <v>Educación de Jóvenes y Adultos</v>
      </c>
      <c r="F1998" s="11" t="str">
        <f>IFERROR(IF(VLOOKUP(A1998,[14]PRIORIZADOS!$A:$F,6,FALSE)="","",VLOOKUP(A1998,[14]PRIORIZADOS!$A:$F,6,FALSE)),"")</f>
        <v>COLEGIO_CULTURAL_DEL_NORTE</v>
      </c>
      <c r="G1998" s="11" t="str">
        <f>IFERROR(IF(VLOOKUP(A1998,[14]PRIORIZADOS!$A:$G,7,FALSE)="","",VLOOKUP(A1998,[14]PRIORIZADOS!$A:$G,7,FALSE)),"")</f>
        <v>COLEGIO CULTURAL DEL NORTE</v>
      </c>
      <c r="H1998" s="11" t="str">
        <f>IFERROR(IF(VLOOKUP(A1998,[14]PRIORIZADOS!$A:$H,8,FALSE)="","",VLOOKUP(A1998,[14]PRIORIZADOS!$A:$H,8,FALSE)),"")</f>
        <v>Autoevaluación Institucional y Pruebas SABER 11</v>
      </c>
      <c r="I1998" s="11" t="str">
        <f>IFERROR(IF(VLOOKUP(A1998,[14]PRIORIZADOS!$A:$I,9,FALSE)="","",VLOOKUP(A1998,[14]PRIORIZADOS!$A:$I,9,FALSE)),"")</f>
        <v>SEGUIMIENTO_Y_SUPERVISIÓN.</v>
      </c>
      <c r="J1998" s="11" t="str">
        <f>IFERROR(IF(VLOOKUP(A1998,[14]PRIORIZADOS!$A:$J,10,FALSE)="","",VLOOKUP(A1998,[14]PRIORIZADOS!$A:$J,10,FALSE)),"")</f>
        <v>Realizar visitas para verificar la información registrada sobre la autoevaluación institucional en el aplicativo EVI, a los establecimientos de educación formal no oficial.</v>
      </c>
      <c r="K1998" s="11" t="str">
        <f>IFERROR(IF(VLOOKUP(A1998,[14]PRIORIZADOS!$A:$K,11,FALSE)="","",VLOOKUP(A1998,[14]PRIORIZADOS!$A:$K,11,FALSE)),"")</f>
        <v>MARTHA RUT SILVA ABRIL</v>
      </c>
      <c r="L1998" s="11" t="str">
        <f>IFERROR(IF(VLOOKUP(A1998,[14]PRIORIZADOS!$A:$L,12,FALSE)="","",VLOOKUP(A1998,[14]PRIORIZADOS!$A:$L,12,FALSE)),"")</f>
        <v>JUAN MANUEL SANCHEZ MORA</v>
      </c>
      <c r="M1998" s="71">
        <f>IFERROR(IF(VLOOKUP(A1998,[14]PRIORIZADOS!$A:$M,13,FALSE)="","",VLOOKUP(A1998,[14]PRIORIZADOS!$A:$M,13,FALSE)),"")</f>
        <v>45916</v>
      </c>
      <c r="N1998" s="71">
        <f>IFERROR(IF(VLOOKUP(A1998,[14]PRIORIZADOS!$A:$N,14,FALSE)="","",VLOOKUP(A1998,[14]PRIORIZADOS!$A:$N,14,FALSE)),"")</f>
        <v>45904</v>
      </c>
      <c r="O1998" s="71">
        <f>IFERROR(IF(VLOOKUP(A1998,[14]PRIORIZADOS!$A:$O,15,FALSE)="","",VLOOKUP(A1998,[14]PRIORIZADOS!$A:$O,15,FALSE)),"")</f>
        <v>45904</v>
      </c>
      <c r="P1998" s="11" t="str">
        <f>IFERROR(IF(VLOOKUP(A1998,[14]PRIORIZADOS!$A:$P,16,FALSE)="","",VLOOKUP(A1998,[14]PRIORIZADOS!$A:$P,16,FALSE)),"")</f>
        <v>Visitas de evaluación con fines de seguimiento</v>
      </c>
      <c r="Q1998" s="22" t="s">
        <v>429</v>
      </c>
      <c r="R1998" s="11" t="str">
        <f>IFERROR(IF(VLOOKUP(A1998,[14]PRIORIZADOS!$A:$R,18,FALSE)="","",VLOOKUP(A1998,[14]PRIORIZADOS!$A:$R,18,FALSE)),"")</f>
        <v>Se evidenció que la autoevaluación no corresponde con la realidad institucional en aspectos relacionados con la planta física, entre otros.</v>
      </c>
      <c r="S1998" s="11" t="str">
        <f>IFERROR(IF(VLOOKUP(A1998,[14]PRIORIZADOS!$A:$S,19,FALSE)="","",VLOOKUP(A1998,[14]PRIORIZADOS!$A:$S,19,FALSE)),"")</f>
        <v xml:space="preserve">Reportar la información de acuerdo con la realidad institucional, realizar los ajustes en planta física espacios pedagógicos y administrativos </v>
      </c>
      <c r="T1998" s="70" t="str">
        <f>IFERROR(IF(VLOOKUP(A1998,[14]PRIORIZADOS!$A:$T,20,FALSE)="","",VLOOKUP(A1998,[14]PRIORIZADOS!$A:$T,20,FALSE)),"")</f>
        <v>Si</v>
      </c>
      <c r="U1998" s="11" t="str">
        <f>IFERROR(IF(VLOOKUP(A1998,[14]PRIORIZADOS!$A:$U,21,FALSE)="","",VLOOKUP(A1998,[14]PRIORIZADOS!$A:$U,21,FALSE)),"")</f>
        <v>Plan de mejoramiento 17 de octubre de 2025.</v>
      </c>
    </row>
    <row r="1999" spans="1:21" s="1" customFormat="1" ht="60">
      <c r="A1999" s="69">
        <f>IF([14]PRIORIZADOS!A46="","",[14]PRIORIZADOS!A46)</f>
        <v>1967</v>
      </c>
      <c r="B1999" s="70">
        <f>IFERROR(IF(VLOOKUP(A1999,[14]PRIORIZADOS!$A:$B,2,FALSE)="","",VLOOKUP(A1999,[14]PRIORIZADOS!$A:$B,2,FALSE)),"")</f>
        <v>5</v>
      </c>
      <c r="C1999" s="11" t="s">
        <v>424</v>
      </c>
      <c r="D1999" s="11" t="str">
        <f>IFERROR(IF(VLOOKUP(A1999,[14]PRIORIZADOS!$A:$D,4,FALSE)="","",VLOOKUP(A1999,[14]PRIORIZADOS!$A:$D,4,FALSE)),"")</f>
        <v>PRIVADO</v>
      </c>
      <c r="E1999" s="11" t="str">
        <f>IFERROR(IF(VLOOKUP(A1999,[14]PRIORIZADOS!$A:$E,5,FALSE)="","",VLOOKUP(A1999,[14]PRIORIZADOS!$A:$E,5,FALSE)),"")</f>
        <v>Educación de Jóvenes y Adultos</v>
      </c>
      <c r="F1999" s="11" t="str">
        <f>IFERROR(IF(VLOOKUP(A1999,[14]PRIORIZADOS!$A:$F,6,FALSE)="","",VLOOKUP(A1999,[14]PRIORIZADOS!$A:$F,6,FALSE)),"")</f>
        <v>COLEGIO_CULTURAL_DEL_NORTE</v>
      </c>
      <c r="G1999" s="11" t="str">
        <f>IFERROR(IF(VLOOKUP(A1999,[14]PRIORIZADOS!$A:$G,7,FALSE)="","",VLOOKUP(A1999,[14]PRIORIZADOS!$A:$G,7,FALSE)),"")</f>
        <v>COLEGIO CULTURAL DEL NORTE</v>
      </c>
      <c r="H1999" s="11" t="str">
        <f>IFERROR(IF(VLOOKUP(A1999,[14]PRIORIZADOS!$A:$H,8,FALSE)="","",VLOOKUP(A1999,[14]PRIORIZADOS!$A:$H,8,FALSE)),"")</f>
        <v>Autoevaluación Institucional y Pruebas SABER 11</v>
      </c>
      <c r="I1999" s="11" t="str">
        <f>IFERROR(IF(VLOOKUP(A1999,[14]PRIORIZADOS!$A:$I,9,FALSE)="","",VLOOKUP(A1999,[14]PRIORIZADOS!$A:$I,9,FALSE)),"")</f>
        <v>SEGUIMIENTO_Y_SUPERVISIÓN.</v>
      </c>
      <c r="J1999" s="11" t="str">
        <f>IFERROR(IF(VLOOKUP(A1999,[14]PRIORIZADOS!$A:$J,10,FALSE)="","",VLOOKUP(A1999,[14]PRIORIZADOS!$A:$J,10,FALSE)),"")</f>
        <v>Proponer estrategias en la formulación, verificar su elaboración y realizar seguimiento semestral al desarrollo de  las acciones establecidas en los planes de mejoramiento por pruebas SABER 11 de los establecimientos de educación formal.</v>
      </c>
      <c r="K1999" s="11" t="str">
        <f>IFERROR(IF(VLOOKUP(A1999,[14]PRIORIZADOS!$A:$K,11,FALSE)="","",VLOOKUP(A1999,[14]PRIORIZADOS!$A:$K,11,FALSE)),"")</f>
        <v>MARTHA RUT SILVA ABRIL</v>
      </c>
      <c r="L1999" s="11" t="str">
        <f>IFERROR(IF(VLOOKUP(A1999,[14]PRIORIZADOS!$A:$L,12,FALSE)="","",VLOOKUP(A1999,[14]PRIORIZADOS!$A:$L,12,FALSE)),"")</f>
        <v>JUAN MANUEL SANCHEZ MORA</v>
      </c>
      <c r="M1999" s="71">
        <f>IFERROR(IF(VLOOKUP(A1999,[14]PRIORIZADOS!$A:$M,13,FALSE)="","",VLOOKUP(A1999,[14]PRIORIZADOS!$A:$M,13,FALSE)),"")</f>
        <v>45916</v>
      </c>
      <c r="N1999" s="71">
        <f>IFERROR(IF(VLOOKUP(A1999,[14]PRIORIZADOS!$A:$N,14,FALSE)="","",VLOOKUP(A1999,[14]PRIORIZADOS!$A:$N,14,FALSE)),"")</f>
        <v>45904</v>
      </c>
      <c r="O1999" s="71">
        <f>IFERROR(IF(VLOOKUP(A1999,[14]PRIORIZADOS!$A:$O,15,FALSE)="","",VLOOKUP(A1999,[14]PRIORIZADOS!$A:$O,15,FALSE)),"")</f>
        <v>45904</v>
      </c>
      <c r="P1999" s="11" t="str">
        <f>IFERROR(IF(VLOOKUP(A1999,[14]PRIORIZADOS!$A:$P,16,FALSE)="","",VLOOKUP(A1999,[14]PRIORIZADOS!$A:$P,16,FALSE)),"")</f>
        <v>Visitas de evaluación con fines de seguimiento</v>
      </c>
      <c r="Q1999" s="22" t="s">
        <v>429</v>
      </c>
      <c r="R1999" s="11" t="str">
        <f>IFERROR(IF(VLOOKUP(A1999,[14]PRIORIZADOS!$A:$R,18,FALSE)="","",VLOOKUP(A1999,[14]PRIORIZADOS!$A:$R,18,FALSE)),"")</f>
        <v>Se evidenció que no cuenta con estrategias producto del análisis de resultados en la pruebas SABER 11 tampoco la implementación de acciones de seguimiento.</v>
      </c>
      <c r="S1999" s="11" t="str">
        <f>IFERROR(IF(VLOOKUP(A1999,[14]PRIORIZADOS!$A:$S,19,FALSE)="","",VLOOKUP(A1999,[14]PRIORIZADOS!$A:$S,19,FALSE)),"")</f>
        <v>Diseñar e implementar estrategias para la revisión y análisis de los últimos resultados de las pruebas SABER y realizar acciones de seguimiento.</v>
      </c>
      <c r="T1999" s="70" t="str">
        <f>IFERROR(IF(VLOOKUP(A1999,[14]PRIORIZADOS!$A:$T,20,FALSE)="","",VLOOKUP(A1999,[14]PRIORIZADOS!$A:$T,20,FALSE)),"")</f>
        <v>Si</v>
      </c>
      <c r="U1999" s="11" t="str">
        <f>IFERROR(IF(VLOOKUP(A1999,[14]PRIORIZADOS!$A:$U,21,FALSE)="","",VLOOKUP(A1999,[14]PRIORIZADOS!$A:$U,21,FALSE)),"")</f>
        <v>Plan de mejoramiento 17 de octubre de 2025.</v>
      </c>
    </row>
    <row r="2000" spans="1:21" s="1" customFormat="1" ht="72">
      <c r="A2000" s="69">
        <f>IF([14]PRIORIZADOS!A47="","",[14]PRIORIZADOS!A47)</f>
        <v>1968</v>
      </c>
      <c r="B2000" s="70">
        <f>IFERROR(IF(VLOOKUP(A2000,[14]PRIORIZADOS!$A:$B,2,FALSE)="","",VLOOKUP(A2000,[14]PRIORIZADOS!$A:$B,2,FALSE)),"")</f>
        <v>5</v>
      </c>
      <c r="C2000" s="11" t="s">
        <v>424</v>
      </c>
      <c r="D2000" s="11" t="str">
        <f>IFERROR(IF(VLOOKUP(A2000,[14]PRIORIZADOS!$A:$D,4,FALSE)="","",VLOOKUP(A2000,[14]PRIORIZADOS!$A:$D,4,FALSE)),"")</f>
        <v>PRIVADO</v>
      </c>
      <c r="E2000" s="11" t="str">
        <f>IFERROR(IF(VLOOKUP(A2000,[14]PRIORIZADOS!$A:$E,5,FALSE)="","",VLOOKUP(A2000,[14]PRIORIZADOS!$A:$E,5,FALSE)),"")</f>
        <v>Educación de Jóvenes y Adultos</v>
      </c>
      <c r="F2000" s="11" t="str">
        <f>IFERROR(IF(VLOOKUP(A2000,[14]PRIORIZADOS!$A:$F,6,FALSE)="","",VLOOKUP(A2000,[14]PRIORIZADOS!$A:$F,6,FALSE)),"")</f>
        <v>COLEGIO_CULTURAL_DEL_NORTE</v>
      </c>
      <c r="G2000" s="11" t="str">
        <f>IFERROR(IF(VLOOKUP(A2000,[14]PRIORIZADOS!$A:$G,7,FALSE)="","",VLOOKUP(A2000,[14]PRIORIZADOS!$A:$G,7,FALSE)),"")</f>
        <v>COLEGIO CULTURAL DEL NORTE</v>
      </c>
      <c r="H2000" s="11" t="str">
        <f>IFERROR(IF(VLOOKUP(A2000,[14]PRIORIZADOS!$A:$H,8,FALSE)="","",VLOOKUP(A2000,[14]PRIORIZADOS!$A:$H,8,FALSE)),"")</f>
        <v>Autoevaluación Institucional y Pruebas SABER 11</v>
      </c>
      <c r="I2000" s="11" t="str">
        <f>IFERROR(IF(VLOOKUP(A2000,[14]PRIORIZADOS!$A:$I,9,FALSE)="","",VLOOKUP(A2000,[14]PRIORIZADOS!$A:$I,9,FALSE)),"")</f>
        <v>SEGUIMIENTO_Y_SUPERVISIÓN.</v>
      </c>
      <c r="J2000" s="11" t="str">
        <f>IFERROR(IF(VLOOKUP(A2000,[14]PRIORIZADOS!$A:$J,10,FALSE)="","",VLOOKUP(A2000,[14]PRIORIZADOS!$A:$J,10,FALSE)),"")</f>
        <v xml:space="preserve">Verificar la implementación por parte de los colegios, de acciones realizadas para la prevención y atención de las situaciones de convivencia en el entorno escolar, según lo establecido en la Directiva 01 de 2022 del MEN. </v>
      </c>
      <c r="K2000" s="11" t="str">
        <f>IFERROR(IF(VLOOKUP(A2000,[14]PRIORIZADOS!$A:$K,11,FALSE)="","",VLOOKUP(A2000,[14]PRIORIZADOS!$A:$K,11,FALSE)),"")</f>
        <v>MARTHA RUT SILVA ABRIL</v>
      </c>
      <c r="L2000" s="11" t="str">
        <f>IFERROR(IF(VLOOKUP(A2000,[14]PRIORIZADOS!$A:$L,12,FALSE)="","",VLOOKUP(A2000,[14]PRIORIZADOS!$A:$L,12,FALSE)),"")</f>
        <v>JUAN MANUEL SANCHEZ MORA</v>
      </c>
      <c r="M2000" s="71">
        <f>IFERROR(IF(VLOOKUP(A2000,[14]PRIORIZADOS!$A:$M,13,FALSE)="","",VLOOKUP(A2000,[14]PRIORIZADOS!$A:$M,13,FALSE)),"")</f>
        <v>45916</v>
      </c>
      <c r="N2000" s="71">
        <f>IFERROR(IF(VLOOKUP(A2000,[14]PRIORIZADOS!$A:$N,14,FALSE)="","",VLOOKUP(A2000,[14]PRIORIZADOS!$A:$N,14,FALSE)),"")</f>
        <v>45904</v>
      </c>
      <c r="O2000" s="71">
        <f>IFERROR(IF(VLOOKUP(A2000,[14]PRIORIZADOS!$A:$O,15,FALSE)="","",VLOOKUP(A2000,[14]PRIORIZADOS!$A:$O,15,FALSE)),"")</f>
        <v>45904</v>
      </c>
      <c r="P2000" s="11" t="str">
        <f>IFERROR(IF(VLOOKUP(A2000,[14]PRIORIZADOS!$A:$P,16,FALSE)="","",VLOOKUP(A2000,[14]PRIORIZADOS!$A:$P,16,FALSE)),"")</f>
        <v>Visitas de evaluación con fines de seguimiento</v>
      </c>
      <c r="Q2000" s="22" t="s">
        <v>429</v>
      </c>
      <c r="R2000" s="11" t="str">
        <f>IFERROR(IF(VLOOKUP(A2000,[14]PRIORIZADOS!$A:$R,18,FALSE)="","",VLOOKUP(A2000,[14]PRIORIZADOS!$A:$R,18,FALSE)),"")</f>
        <v>Se evidenció que no realiza consulta de inhabilidades por delitos sexuales para la vicunlación de docentes.</v>
      </c>
      <c r="S2000" s="11" t="str">
        <f>IFERROR(IF(VLOOKUP(A2000,[14]PRIORIZADOS!$A:$S,19,FALSE)="","",VLOOKUP(A2000,[14]PRIORIZADOS!$A:$S,19,FALSE)),"")</f>
        <v>Realizar consulta cada 4 meses en el sistema para la verficación de inhabilidades por delitos sexuales en cumplimiento de la Directiva Ministeral para todo el personal vinculado a la institución.</v>
      </c>
      <c r="T2000" s="70" t="str">
        <f>IFERROR(IF(VLOOKUP(A2000,[14]PRIORIZADOS!$A:$T,20,FALSE)="","",VLOOKUP(A2000,[14]PRIORIZADOS!$A:$T,20,FALSE)),"")</f>
        <v>Si</v>
      </c>
      <c r="U2000" s="11" t="str">
        <f>IFERROR(IF(VLOOKUP(A2000,[14]PRIORIZADOS!$A:$U,21,FALSE)="","",VLOOKUP(A2000,[14]PRIORIZADOS!$A:$U,21,FALSE)),"")</f>
        <v>Plan de mejoramiento 17 de octubre de 2025.</v>
      </c>
    </row>
    <row r="2001" spans="1:21" s="1" customFormat="1" ht="72">
      <c r="A2001" s="69">
        <f>IF([14]PRIORIZADOS!A48="","",[14]PRIORIZADOS!A48)</f>
        <v>1969</v>
      </c>
      <c r="B2001" s="70">
        <f>IFERROR(IF(VLOOKUP(A2001,[14]PRIORIZADOS!$A:$B,2,FALSE)="","",VLOOKUP(A2001,[14]PRIORIZADOS!$A:$B,2,FALSE)),"")</f>
        <v>5</v>
      </c>
      <c r="C2001" s="11" t="s">
        <v>424</v>
      </c>
      <c r="D2001" s="11" t="str">
        <f>IFERROR(IF(VLOOKUP(A2001,[14]PRIORIZADOS!$A:$D,4,FALSE)="","",VLOOKUP(A2001,[14]PRIORIZADOS!$A:$D,4,FALSE)),"")</f>
        <v>PRIVADO</v>
      </c>
      <c r="E2001" s="11" t="str">
        <f>IFERROR(IF(VLOOKUP(A2001,[14]PRIORIZADOS!$A:$E,5,FALSE)="","",VLOOKUP(A2001,[14]PRIORIZADOS!$A:$E,5,FALSE)),"")</f>
        <v>Educación de Jóvenes y Adultos</v>
      </c>
      <c r="F2001" s="11" t="str">
        <f>IFERROR(IF(VLOOKUP(A2001,[14]PRIORIZADOS!$A:$F,6,FALSE)="","",VLOOKUP(A2001,[14]PRIORIZADOS!$A:$F,6,FALSE)),"")</f>
        <v>COLEGIO_CULTURAL_DEL_NORTE</v>
      </c>
      <c r="G2001" s="11" t="str">
        <f>IFERROR(IF(VLOOKUP(A2001,[14]PRIORIZADOS!$A:$G,7,FALSE)="","",VLOOKUP(A2001,[14]PRIORIZADOS!$A:$G,7,FALSE)),"")</f>
        <v>COLEGIO CULTURAL DEL NORTE</v>
      </c>
      <c r="H2001" s="11" t="str">
        <f>IFERROR(IF(VLOOKUP(A2001,[14]PRIORIZADOS!$A:$H,8,FALSE)="","",VLOOKUP(A2001,[14]PRIORIZADOS!$A:$H,8,FALSE)),"")</f>
        <v>Autoevaluación Institucional y Pruebas SABER 11</v>
      </c>
      <c r="I2001" s="11" t="str">
        <f>IFERROR(IF(VLOOKUP(A2001,[14]PRIORIZADOS!$A:$I,9,FALSE)="","",VLOOKUP(A2001,[14]PRIORIZADOS!$A:$I,9,FALSE)),"")</f>
        <v>SEGUIMIENTO_Y_SUPERVISIÓN.</v>
      </c>
      <c r="J2001" s="11" t="str">
        <f>IFERROR(IF(VLOOKUP(A2001,[14]PRIORIZADOS!$A:$J,10,FALSE)="","",VLOOKUP(A2001,[14]PRIORIZADOS!$A:$J,10,FALSE)),"")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01" s="11" t="str">
        <f>IFERROR(IF(VLOOKUP(A2001,[14]PRIORIZADOS!$A:$K,11,FALSE)="","",VLOOKUP(A2001,[14]PRIORIZADOS!$A:$K,11,FALSE)),"")</f>
        <v>MARTHA RUT SILVA ABRIL</v>
      </c>
      <c r="L2001" s="11" t="str">
        <f>IFERROR(IF(VLOOKUP(A2001,[14]PRIORIZADOS!$A:$L,12,FALSE)="","",VLOOKUP(A2001,[14]PRIORIZADOS!$A:$L,12,FALSE)),"")</f>
        <v>JUAN MANUEL SANCHEZ MORA</v>
      </c>
      <c r="M2001" s="71">
        <f>IFERROR(IF(VLOOKUP(A2001,[14]PRIORIZADOS!$A:$M,13,FALSE)="","",VLOOKUP(A2001,[14]PRIORIZADOS!$A:$M,13,FALSE)),"")</f>
        <v>45916</v>
      </c>
      <c r="N2001" s="71">
        <f>IFERROR(IF(VLOOKUP(A2001,[14]PRIORIZADOS!$A:$N,14,FALSE)="","",VLOOKUP(A2001,[14]PRIORIZADOS!$A:$N,14,FALSE)),"")</f>
        <v>45904</v>
      </c>
      <c r="O2001" s="71">
        <f>IFERROR(IF(VLOOKUP(A2001,[14]PRIORIZADOS!$A:$O,15,FALSE)="","",VLOOKUP(A2001,[14]PRIORIZADOS!$A:$O,15,FALSE)),"")</f>
        <v>45904</v>
      </c>
      <c r="P2001" s="11" t="str">
        <f>IFERROR(IF(VLOOKUP(A2001,[14]PRIORIZADOS!$A:$P,16,FALSE)="","",VLOOKUP(A2001,[14]PRIORIZADOS!$A:$P,16,FALSE)),"")</f>
        <v>Visitas de evaluación con fines de seguimiento</v>
      </c>
      <c r="Q2001" s="22" t="s">
        <v>429</v>
      </c>
      <c r="R2001" s="11" t="str">
        <f>IFERROR(IF(VLOOKUP(A2001,[14]PRIORIZADOS!$A:$R,18,FALSE)="","",VLOOKUP(A2001,[14]PRIORIZADOS!$A:$R,18,FALSE)),"")</f>
        <v>Se encontró que la institución educativa no cuenta con aplicación del PIAR diseñado para los estudiantes con discapacidad.</v>
      </c>
      <c r="S2001" s="11" t="str">
        <f>IFERROR(IF(VLOOKUP(A2001,[14]PRIORIZADOS!$A:$S,19,FALSE)="","",VLOOKUP(A2001,[14]PRIORIZADOS!$A:$S,19,FALSE)),"")</f>
        <v>Elaborar y aplicar los PIAR acorde con lo establecido en la norma según la necesidad educativa de los estudiantes.</v>
      </c>
      <c r="T2001" s="70" t="str">
        <f>IFERROR(IF(VLOOKUP(A2001,[14]PRIORIZADOS!$A:$T,20,FALSE)="","",VLOOKUP(A2001,[14]PRIORIZADOS!$A:$T,20,FALSE)),"")</f>
        <v>Si</v>
      </c>
      <c r="U2001" s="11" t="str">
        <f>IFERROR(IF(VLOOKUP(A2001,[14]PRIORIZADOS!$A:$U,21,FALSE)="","",VLOOKUP(A2001,[14]PRIORIZADOS!$A:$U,21,FALSE)),"")</f>
        <v>Plan de mejoramiento 17 de octubre de 2025.</v>
      </c>
    </row>
    <row r="2002" spans="1:21" s="1" customFormat="1" ht="84">
      <c r="A2002" s="69">
        <f>IF([14]PRIORIZADOS!A49="","",[14]PRIORIZADOS!A49)</f>
        <v>1970</v>
      </c>
      <c r="B2002" s="70">
        <f>IFERROR(IF(VLOOKUP(A2002,[14]PRIORIZADOS!$A:$B,2,FALSE)="","",VLOOKUP(A2002,[14]PRIORIZADOS!$A:$B,2,FALSE)),"")</f>
        <v>5</v>
      </c>
      <c r="C2002" s="11" t="s">
        <v>424</v>
      </c>
      <c r="D2002" s="11" t="str">
        <f>IFERROR(IF(VLOOKUP(A2002,[14]PRIORIZADOS!$A:$D,4,FALSE)="","",VLOOKUP(A2002,[14]PRIORIZADOS!$A:$D,4,FALSE)),"")</f>
        <v>PRIVADO</v>
      </c>
      <c r="E2002" s="11" t="str">
        <f>IFERROR(IF(VLOOKUP(A2002,[14]PRIORIZADOS!$A:$E,5,FALSE)="","",VLOOKUP(A2002,[14]PRIORIZADOS!$A:$E,5,FALSE)),"")</f>
        <v>Educación de Jóvenes y Adultos</v>
      </c>
      <c r="F2002" s="11" t="str">
        <f>IFERROR(IF(VLOOKUP(A2002,[14]PRIORIZADOS!$A:$F,6,FALSE)="","",VLOOKUP(A2002,[14]PRIORIZADOS!$A:$F,6,FALSE)),"")</f>
        <v>COLEGIO_CULTURAL_DEL_NORTE</v>
      </c>
      <c r="G2002" s="11" t="str">
        <f>IFERROR(IF(VLOOKUP(A2002,[14]PRIORIZADOS!$A:$G,7,FALSE)="","",VLOOKUP(A2002,[14]PRIORIZADOS!$A:$G,7,FALSE)),"")</f>
        <v>COLEGIO CULTURAL DEL NORTE</v>
      </c>
      <c r="H2002" s="11" t="str">
        <f>IFERROR(IF(VLOOKUP(A2002,[14]PRIORIZADOS!$A:$H,8,FALSE)="","",VLOOKUP(A2002,[14]PRIORIZADOS!$A:$H,8,FALSE)),"")</f>
        <v>Autoevaluación Institucional y Pruebas SABER 11</v>
      </c>
      <c r="I2002" s="11" t="str">
        <f>IFERROR(IF(VLOOKUP(A2002,[14]PRIORIZADOS!$A:$I,9,FALSE)="","",VLOOKUP(A2002,[14]PRIORIZADOS!$A:$I,9,FALSE)),"")</f>
        <v>EVALUACIÓN_CON_FINES_DE_MEJORAMIENTO.</v>
      </c>
      <c r="J2002" s="11" t="str">
        <f>IFERROR(IF(VLOOKUP(A2002,[14]PRIORIZADOS!$A:$J,10,FALSE)="","",VLOOKUP(A2002,[14]PRIORIZADOS!$A:$J,10,FALSE)),"")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02" s="11" t="str">
        <f>IFERROR(IF(VLOOKUP(A2002,[14]PRIORIZADOS!$A:$K,11,FALSE)="","",VLOOKUP(A2002,[14]PRIORIZADOS!$A:$K,11,FALSE)),"")</f>
        <v>MARTHA RUT SILVA ABRIL</v>
      </c>
      <c r="L2002" s="11" t="str">
        <f>IFERROR(IF(VLOOKUP(A2002,[14]PRIORIZADOS!$A:$L,12,FALSE)="","",VLOOKUP(A2002,[14]PRIORIZADOS!$A:$L,12,FALSE)),"")</f>
        <v>JUAN MANUEL SANCHEZ MORA</v>
      </c>
      <c r="M2002" s="71">
        <f>IFERROR(IF(VLOOKUP(A2002,[14]PRIORIZADOS!$A:$M,13,FALSE)="","",VLOOKUP(A2002,[14]PRIORIZADOS!$A:$M,13,FALSE)),"")</f>
        <v>45916</v>
      </c>
      <c r="N2002" s="71">
        <f>IFERROR(IF(VLOOKUP(A2002,[14]PRIORIZADOS!$A:$N,14,FALSE)="","",VLOOKUP(A2002,[14]PRIORIZADOS!$A:$N,14,FALSE)),"")</f>
        <v>45904</v>
      </c>
      <c r="O2002" s="71">
        <f>IFERROR(IF(VLOOKUP(A2002,[14]PRIORIZADOS!$A:$O,15,FALSE)="","",VLOOKUP(A2002,[14]PRIORIZADOS!$A:$O,15,FALSE)),"")</f>
        <v>45904</v>
      </c>
      <c r="P2002" s="11" t="str">
        <f>IFERROR(IF(VLOOKUP(A2002,[14]PRIORIZADOS!$A:$P,16,FALSE)="","",VLOOKUP(A2002,[14]PRIORIZADOS!$A:$P,16,FALSE)),"")</f>
        <v>Visitas de evaluación con fines de mejoramiento</v>
      </c>
      <c r="Q2002" s="22" t="s">
        <v>429</v>
      </c>
      <c r="R2002" s="11" t="str">
        <f>IFERROR(IF(VLOOKUP(A2002,[14]PRIORIZADOS!$A:$R,18,FALSE)="","",VLOOKUP(A2002,[14]PRIORIZADOS!$A:$R,18,FALSE)),"")</f>
        <v>Se observó que el manual de convivencia estaba desactualizado y no se fue construido con la participación de la comunidad educativa.</v>
      </c>
      <c r="S2002" s="11" t="str">
        <f>IFERROR(IF(VLOOKUP(A2002,[14]PRIORIZADOS!$A:$S,19,FALSE)="","",VLOOKUP(A2002,[14]PRIORIZADOS!$A:$S,19,FALSE)),"")</f>
        <v>Realizar la actualización del manual de convivencia incluyendo los protocolos de atención y enfoques restaurativos y adoptarlo de forma participativa.</v>
      </c>
      <c r="T2002" s="70" t="str">
        <f>IFERROR(IF(VLOOKUP(A2002,[14]PRIORIZADOS!$A:$T,20,FALSE)="","",VLOOKUP(A2002,[14]PRIORIZADOS!$A:$T,20,FALSE)),"")</f>
        <v>Si</v>
      </c>
      <c r="U2002" s="11" t="str">
        <f>IFERROR(IF(VLOOKUP(A2002,[14]PRIORIZADOS!$A:$U,21,FALSE)="","",VLOOKUP(A2002,[14]PRIORIZADOS!$A:$U,21,FALSE)),"")</f>
        <v>Plan de mejoramiento 17 de octubre de 2025.</v>
      </c>
    </row>
    <row r="2003" spans="1:21" s="1" customFormat="1" ht="48">
      <c r="A2003" s="69">
        <f>IF([14]PRIORIZADOS!A50="","",[14]PRIORIZADOS!A50)</f>
        <v>1971</v>
      </c>
      <c r="B2003" s="70">
        <f>IFERROR(IF(VLOOKUP(A2003,[14]PRIORIZADOS!$A:$B,2,FALSE)="","",VLOOKUP(A2003,[14]PRIORIZADOS!$A:$B,2,FALSE)),"")</f>
        <v>5</v>
      </c>
      <c r="C2003" s="11" t="s">
        <v>424</v>
      </c>
      <c r="D2003" s="11" t="str">
        <f>IFERROR(IF(VLOOKUP(A2003,[14]PRIORIZADOS!$A:$D,4,FALSE)="","",VLOOKUP(A2003,[14]PRIORIZADOS!$A:$D,4,FALSE)),"")</f>
        <v>PRIVADO</v>
      </c>
      <c r="E2003" s="11" t="str">
        <f>IFERROR(IF(VLOOKUP(A2003,[14]PRIORIZADOS!$A:$E,5,FALSE)="","",VLOOKUP(A2003,[14]PRIORIZADOS!$A:$E,5,FALSE)),"")</f>
        <v>Educación de Jóvenes y Adultos</v>
      </c>
      <c r="F2003" s="11" t="str">
        <f>IFERROR(IF(VLOOKUP(A2003,[14]PRIORIZADOS!$A:$F,6,FALSE)="","",VLOOKUP(A2003,[14]PRIORIZADOS!$A:$F,6,FALSE)),"")</f>
        <v>COLEGIO_CULTURAL_DEL_NORTE</v>
      </c>
      <c r="G2003" s="11" t="str">
        <f>IFERROR(IF(VLOOKUP(A2003,[14]PRIORIZADOS!$A:$G,7,FALSE)="","",VLOOKUP(A2003,[14]PRIORIZADOS!$A:$G,7,FALSE)),"")</f>
        <v>COLEGIO CULTURAL DEL NORTE</v>
      </c>
      <c r="H2003" s="11" t="str">
        <f>IFERROR(IF(VLOOKUP(A2003,[14]PRIORIZADOS!$A:$H,8,FALSE)="","",VLOOKUP(A2003,[14]PRIORIZADOS!$A:$H,8,FALSE)),"")</f>
        <v>Autoevaluación Institucional y Pruebas SABER 11</v>
      </c>
      <c r="I2003" s="11" t="str">
        <f>IFERROR(IF(VLOOKUP(A2003,[14]PRIORIZADOS!$A:$I,9,FALSE)="","",VLOOKUP(A2003,[14]PRIORIZADOS!$A:$I,9,FALSE)),"")</f>
        <v>EVALUACIÓN_CON_FINES_DE_MEJORAMIENTO.</v>
      </c>
      <c r="J2003" s="11" t="str">
        <f>IFERROR(IF(VLOOKUP(A2003,[14]PRIORIZADOS!$A:$J,10,FALSE)="","",VLOOKUP(A2003,[14]PRIORIZADOS!$A:$J,10,FALSE)),"")</f>
        <v>Revisar la actualización, socialización e implementación del Sistema Institucional de Evaluación de Estudiantes - SIEE, en articulación con la actualización del PEI y la normatividad vigente.</v>
      </c>
      <c r="K2003" s="11" t="str">
        <f>IFERROR(IF(VLOOKUP(A2003,[14]PRIORIZADOS!$A:$K,11,FALSE)="","",VLOOKUP(A2003,[14]PRIORIZADOS!$A:$K,11,FALSE)),"")</f>
        <v>MARTHA RUT SILVA ABRIL</v>
      </c>
      <c r="L2003" s="11" t="str">
        <f>IFERROR(IF(VLOOKUP(A2003,[14]PRIORIZADOS!$A:$L,12,FALSE)="","",VLOOKUP(A2003,[14]PRIORIZADOS!$A:$L,12,FALSE)),"")</f>
        <v>JUAN MANUEL SANCHEZ MORA</v>
      </c>
      <c r="M2003" s="71">
        <f>IFERROR(IF(VLOOKUP(A2003,[14]PRIORIZADOS!$A:$M,13,FALSE)="","",VLOOKUP(A2003,[14]PRIORIZADOS!$A:$M,13,FALSE)),"")</f>
        <v>45916</v>
      </c>
      <c r="N2003" s="71">
        <f>IFERROR(IF(VLOOKUP(A2003,[14]PRIORIZADOS!$A:$N,14,FALSE)="","",VLOOKUP(A2003,[14]PRIORIZADOS!$A:$N,14,FALSE)),"")</f>
        <v>45904</v>
      </c>
      <c r="O2003" s="71">
        <f>IFERROR(IF(VLOOKUP(A2003,[14]PRIORIZADOS!$A:$O,15,FALSE)="","",VLOOKUP(A2003,[14]PRIORIZADOS!$A:$O,15,FALSE)),"")</f>
        <v>45904</v>
      </c>
      <c r="P2003" s="11" t="str">
        <f>IFERROR(IF(VLOOKUP(A2003,[14]PRIORIZADOS!$A:$P,16,FALSE)="","",VLOOKUP(A2003,[14]PRIORIZADOS!$A:$P,16,FALSE)),"")</f>
        <v>Visitas de evaluación con fines de mejoramiento</v>
      </c>
      <c r="Q2003" s="22" t="s">
        <v>429</v>
      </c>
      <c r="R2003" s="11" t="str">
        <f>IFERROR(IF(VLOOKUP(A2003,[14]PRIORIZADOS!$A:$R,18,FALSE)="","",VLOOKUP(A2003,[14]PRIORIZADOS!$A:$R,18,FALSE)),"")</f>
        <v>Se evidenció desactialuzación del SIEE, no cuenta con socialización ni articulación con el PEI.</v>
      </c>
      <c r="S2003" s="11" t="str">
        <f>IFERROR(IF(VLOOKUP(A2003,[14]PRIORIZADOS!$A:$S,19,FALSE)="","",VLOOKUP(A2003,[14]PRIORIZADOS!$A:$S,19,FALSE)),"")</f>
        <v>Actualizar el SIEE con la participación de la comunidad educativa y dejar evidencia.</v>
      </c>
      <c r="T2003" s="70" t="str">
        <f>IFERROR(IF(VLOOKUP(A2003,[14]PRIORIZADOS!$A:$T,20,FALSE)="","",VLOOKUP(A2003,[14]PRIORIZADOS!$A:$T,20,FALSE)),"")</f>
        <v>Si</v>
      </c>
      <c r="U2003" s="11" t="str">
        <f>IFERROR(IF(VLOOKUP(A2003,[14]PRIORIZADOS!$A:$U,21,FALSE)="","",VLOOKUP(A2003,[14]PRIORIZADOS!$A:$U,21,FALSE)),"")</f>
        <v>Plan de mejoramiento 17 de octubre de 2025.</v>
      </c>
    </row>
    <row r="2004" spans="1:21" s="1" customFormat="1" ht="48">
      <c r="A2004" s="69">
        <f>IF([14]PRIORIZADOS!A51="","",[14]PRIORIZADOS!A51)</f>
        <v>1972</v>
      </c>
      <c r="B2004" s="70">
        <f>IFERROR(IF(VLOOKUP(A2004,[14]PRIORIZADOS!$A:$B,2,FALSE)="","",VLOOKUP(A2004,[14]PRIORIZADOS!$A:$B,2,FALSE)),"")</f>
        <v>5</v>
      </c>
      <c r="C2004" s="11" t="s">
        <v>424</v>
      </c>
      <c r="D2004" s="11" t="str">
        <f>IFERROR(IF(VLOOKUP(A2004,[14]PRIORIZADOS!$A:$D,4,FALSE)="","",VLOOKUP(A2004,[14]PRIORIZADOS!$A:$D,4,FALSE)),"")</f>
        <v>PRIVADO</v>
      </c>
      <c r="E2004" s="11" t="str">
        <f>IFERROR(IF(VLOOKUP(A2004,[14]PRIORIZADOS!$A:$E,5,FALSE)="","",VLOOKUP(A2004,[14]PRIORIZADOS!$A:$E,5,FALSE)),"")</f>
        <v>Educación de Jóvenes y Adultos</v>
      </c>
      <c r="F2004" s="11" t="str">
        <f>IFERROR(IF(VLOOKUP(A2004,[14]PRIORIZADOS!$A:$F,6,FALSE)="","",VLOOKUP(A2004,[14]PRIORIZADOS!$A:$F,6,FALSE)),"")</f>
        <v>COLEGIO_CULTURAL_DEL_NORTE</v>
      </c>
      <c r="G2004" s="11" t="str">
        <f>IFERROR(IF(VLOOKUP(A2004,[14]PRIORIZADOS!$A:$G,7,FALSE)="","",VLOOKUP(A2004,[14]PRIORIZADOS!$A:$G,7,FALSE)),"")</f>
        <v>COLEGIO CULTURAL DEL NORTE</v>
      </c>
      <c r="H2004" s="11" t="str">
        <f>IFERROR(IF(VLOOKUP(A2004,[14]PRIORIZADOS!$A:$H,8,FALSE)="","",VLOOKUP(A2004,[14]PRIORIZADOS!$A:$H,8,FALSE)),"")</f>
        <v>Autoevaluación Institucional y Pruebas SABER 11</v>
      </c>
      <c r="I2004" s="11" t="str">
        <f>IFERROR(IF(VLOOKUP(A2004,[14]PRIORIZADOS!$A:$I,9,FALSE)="","",VLOOKUP(A2004,[14]PRIORIZADOS!$A:$I,9,FALSE)),"")</f>
        <v>EVALUACIÓN_CON_FINES_DE_MEJORAMIENTO.</v>
      </c>
      <c r="J2004" s="11" t="str">
        <f>IFERROR(IF(VLOOKUP(A2004,[14]PRIORIZADOS!$A:$J,10,FALSE)="","",VLOOKUP(A2004,[14]PRIORIZADOS!$A:$J,10,FALSE)),"")</f>
        <v>Revisar el calendario escolar, jornada escolar, la intensidad horaria mínima anual en cada nivel y las modificaciones que se realicen al mismo, de acuerdo con lo previsto en la normatividad vigente.</v>
      </c>
      <c r="K2004" s="11" t="str">
        <f>IFERROR(IF(VLOOKUP(A2004,[14]PRIORIZADOS!$A:$K,11,FALSE)="","",VLOOKUP(A2004,[14]PRIORIZADOS!$A:$K,11,FALSE)),"")</f>
        <v>MARTHA RUT SILVA ABRIL</v>
      </c>
      <c r="L2004" s="11" t="str">
        <f>IFERROR(IF(VLOOKUP(A2004,[14]PRIORIZADOS!$A:$L,12,FALSE)="","",VLOOKUP(A2004,[14]PRIORIZADOS!$A:$L,12,FALSE)),"")</f>
        <v>JUAN MANUEL SANCHEZ MORA</v>
      </c>
      <c r="M2004" s="71">
        <f>IFERROR(IF(VLOOKUP(A2004,[14]PRIORIZADOS!$A:$M,13,FALSE)="","",VLOOKUP(A2004,[14]PRIORIZADOS!$A:$M,13,FALSE)),"")</f>
        <v>45916</v>
      </c>
      <c r="N2004" s="71">
        <f>IFERROR(IF(VLOOKUP(A2004,[14]PRIORIZADOS!$A:$N,14,FALSE)="","",VLOOKUP(A2004,[14]PRIORIZADOS!$A:$N,14,FALSE)),"")</f>
        <v>45904</v>
      </c>
      <c r="O2004" s="71">
        <f>IFERROR(IF(VLOOKUP(A2004,[14]PRIORIZADOS!$A:$O,15,FALSE)="","",VLOOKUP(A2004,[14]PRIORIZADOS!$A:$O,15,FALSE)),"")</f>
        <v>45904</v>
      </c>
      <c r="P2004" s="11" t="str">
        <f>IFERROR(IF(VLOOKUP(A2004,[14]PRIORIZADOS!$A:$P,16,FALSE)="","",VLOOKUP(A2004,[14]PRIORIZADOS!$A:$P,16,FALSE)),"")</f>
        <v>Visitas de evaluación con fines de mejoramiento</v>
      </c>
      <c r="Q2004" s="22" t="s">
        <v>429</v>
      </c>
      <c r="R2004" s="11" t="str">
        <f>IFERROR(IF(VLOOKUP(A2004,[14]PRIORIZADOS!$A:$R,18,FALSE)="","",VLOOKUP(A2004,[14]PRIORIZADOS!$A:$R,18,FALSE)),"")</f>
        <v>Se verificó que el calendario escolar debe ajustarse a las semanas efectivas de trabajo académico por ciclos.</v>
      </c>
      <c r="S2004" s="11" t="str">
        <f>IFERROR(IF(VLOOKUP(A2004,[14]PRIORIZADOS!$A:$S,19,FALSE)="","",VLOOKUP(A2004,[14]PRIORIZADOS!$A:$S,19,FALSE)),"")</f>
        <v>Ajustar el reporte de calendario escolar con relación al total de semanas efectivas de trabajo académico.</v>
      </c>
      <c r="T2004" s="70" t="str">
        <f>IFERROR(IF(VLOOKUP(A2004,[14]PRIORIZADOS!$A:$T,20,FALSE)="","",VLOOKUP(A2004,[14]PRIORIZADOS!$A:$T,20,FALSE)),"")</f>
        <v>Si</v>
      </c>
      <c r="U2004" s="11" t="str">
        <f>IFERROR(IF(VLOOKUP(A2004,[14]PRIORIZADOS!$A:$U,21,FALSE)="","",VLOOKUP(A2004,[14]PRIORIZADOS!$A:$U,21,FALSE)),"")</f>
        <v>Plan de mejoramiento 17 de octubre de 2025.</v>
      </c>
    </row>
    <row r="2005" spans="1:21" s="1" customFormat="1" ht="48">
      <c r="A2005" s="69">
        <f>IF([14]PRIORIZADOS!A52="","",[14]PRIORIZADOS!A52)</f>
        <v>1973</v>
      </c>
      <c r="B2005" s="70">
        <f>IFERROR(IF(VLOOKUP(A2005,[14]PRIORIZADOS!$A:$B,2,FALSE)="","",VLOOKUP(A2005,[14]PRIORIZADOS!$A:$B,2,FALSE)),"")</f>
        <v>5</v>
      </c>
      <c r="C2005" s="11" t="s">
        <v>424</v>
      </c>
      <c r="D2005" s="11" t="str">
        <f>IFERROR(IF(VLOOKUP(A2005,[14]PRIORIZADOS!$A:$D,4,FALSE)="","",VLOOKUP(A2005,[14]PRIORIZADOS!$A:$D,4,FALSE)),"")</f>
        <v>PRIVADO</v>
      </c>
      <c r="E2005" s="11" t="str">
        <f>IFERROR(IF(VLOOKUP(A2005,[14]PRIORIZADOS!$A:$E,5,FALSE)="","",VLOOKUP(A2005,[14]PRIORIZADOS!$A:$E,5,FALSE)),"")</f>
        <v>Educación de Jóvenes y Adultos</v>
      </c>
      <c r="F2005" s="11" t="str">
        <f>IFERROR(IF(VLOOKUP(A2005,[14]PRIORIZADOS!$A:$F,6,FALSE)="","",VLOOKUP(A2005,[14]PRIORIZADOS!$A:$F,6,FALSE)),"")</f>
        <v>COLEGIO_CULTURAL_DEL_NORTE</v>
      </c>
      <c r="G2005" s="11" t="str">
        <f>IFERROR(IF(VLOOKUP(A2005,[14]PRIORIZADOS!$A:$G,7,FALSE)="","",VLOOKUP(A2005,[14]PRIORIZADOS!$A:$G,7,FALSE)),"")</f>
        <v>COLEGIO CULTURAL DEL NORTE</v>
      </c>
      <c r="H2005" s="11" t="str">
        <f>IFERROR(IF(VLOOKUP(A2005,[14]PRIORIZADOS!$A:$H,8,FALSE)="","",VLOOKUP(A2005,[14]PRIORIZADOS!$A:$H,8,FALSE)),"")</f>
        <v>Autoevaluación Institucional y Pruebas SABER 11</v>
      </c>
      <c r="I2005" s="11" t="str">
        <f>IFERROR(IF(VLOOKUP(A2005,[14]PRIORIZADOS!$A:$I,9,FALSE)="","",VLOOKUP(A2005,[14]PRIORIZADOS!$A:$I,9,FALSE)),"")</f>
        <v>EVALUACIÓN_CON_FINES_DE_MEJORAMIENTO.</v>
      </c>
      <c r="J2005" s="11" t="str">
        <f>IFERROR(IF(VLOOKUP(A2005,[14]PRIORIZADOS!$A:$J,10,FALSE)="","",VLOOKUP(A2005,[14]PRIORIZADOS!$A:$J,10,FALSE)),"")</f>
        <v>Verificar el funcionamiento del Gobierno Escolar e instancias de participación con base en la información sobre conformación reportada por la institución educativa.</v>
      </c>
      <c r="K2005" s="11" t="str">
        <f>IFERROR(IF(VLOOKUP(A2005,[14]PRIORIZADOS!$A:$K,11,FALSE)="","",VLOOKUP(A2005,[14]PRIORIZADOS!$A:$K,11,FALSE)),"")</f>
        <v>MARTHA RUT SILVA ABRIL</v>
      </c>
      <c r="L2005" s="11" t="str">
        <f>IFERROR(IF(VLOOKUP(A2005,[14]PRIORIZADOS!$A:$L,12,FALSE)="","",VLOOKUP(A2005,[14]PRIORIZADOS!$A:$L,12,FALSE)),"")</f>
        <v>JUAN MANUEL SANCHEZ MORA</v>
      </c>
      <c r="M2005" s="71">
        <f>IFERROR(IF(VLOOKUP(A2005,[14]PRIORIZADOS!$A:$M,13,FALSE)="","",VLOOKUP(A2005,[14]PRIORIZADOS!$A:$M,13,FALSE)),"")</f>
        <v>45916</v>
      </c>
      <c r="N2005" s="71">
        <f>IFERROR(IF(VLOOKUP(A2005,[14]PRIORIZADOS!$A:$N,14,FALSE)="","",VLOOKUP(A2005,[14]PRIORIZADOS!$A:$N,14,FALSE)),"")</f>
        <v>45904</v>
      </c>
      <c r="O2005" s="71">
        <f>IFERROR(IF(VLOOKUP(A2005,[14]PRIORIZADOS!$A:$O,15,FALSE)="","",VLOOKUP(A2005,[14]PRIORIZADOS!$A:$O,15,FALSE)),"")</f>
        <v>45904</v>
      </c>
      <c r="P2005" s="11" t="str">
        <f>IFERROR(IF(VLOOKUP(A2005,[14]PRIORIZADOS!$A:$P,16,FALSE)="","",VLOOKUP(A2005,[14]PRIORIZADOS!$A:$P,16,FALSE)),"")</f>
        <v>Visitas de evaluación con fines de mejoramiento</v>
      </c>
      <c r="Q2005" s="22" t="s">
        <v>429</v>
      </c>
      <c r="R2005" s="11" t="str">
        <f>IFERROR(IF(VLOOKUP(A2005,[14]PRIORIZADOS!$A:$R,18,FALSE)="","",VLOOKUP(A2005,[14]PRIORIZADOS!$A:$R,18,FALSE)),"")</f>
        <v>Se verficó la no conformación del gobierno escolar y por ende no se registró funcionamiento del mismo.</v>
      </c>
      <c r="S2005" s="11" t="str">
        <f>IFERROR(IF(VLOOKUP(A2005,[14]PRIORIZADOS!$A:$S,19,FALSE)="","",VLOOKUP(A2005,[14]PRIORIZADOS!$A:$S,19,FALSE)),"")</f>
        <v>Registrar la conformación del gobienro escolar y su operatividad.</v>
      </c>
      <c r="T2005" s="70" t="str">
        <f>IFERROR(IF(VLOOKUP(A2005,[14]PRIORIZADOS!$A:$T,20,FALSE)="","",VLOOKUP(A2005,[14]PRIORIZADOS!$A:$T,20,FALSE)),"")</f>
        <v>Si</v>
      </c>
      <c r="U2005" s="11" t="str">
        <f>IFERROR(IF(VLOOKUP(A2005,[14]PRIORIZADOS!$A:$U,21,FALSE)="","",VLOOKUP(A2005,[14]PRIORIZADOS!$A:$U,21,FALSE)),"")</f>
        <v>Plan de mejoramiento 17 de octubre de 2025.</v>
      </c>
    </row>
    <row r="2006" spans="1:21" s="1" customFormat="1" ht="72">
      <c r="A2006" s="69">
        <f>IF([14]PRIORIZADOS!A53="","",[14]PRIORIZADOS!A53)</f>
        <v>1974</v>
      </c>
      <c r="B2006" s="70">
        <f>IFERROR(IF(VLOOKUP(A2006,[14]PRIORIZADOS!$A:$B,2,FALSE)="","",VLOOKUP(A2006,[14]PRIORIZADOS!$A:$B,2,FALSE)),"")</f>
        <v>5</v>
      </c>
      <c r="C2006" s="11" t="s">
        <v>424</v>
      </c>
      <c r="D2006" s="11" t="str">
        <f>IFERROR(IF(VLOOKUP(A2006,[14]PRIORIZADOS!$A:$D,4,FALSE)="","",VLOOKUP(A2006,[14]PRIORIZADOS!$A:$D,4,FALSE)),"")</f>
        <v>PRIVADO</v>
      </c>
      <c r="E2006" s="11" t="str">
        <f>IFERROR(IF(VLOOKUP(A2006,[14]PRIORIZADOS!$A:$E,5,FALSE)="","",VLOOKUP(A2006,[14]PRIORIZADOS!$A:$E,5,FALSE)),"")</f>
        <v>Educación de Jóvenes y Adultos</v>
      </c>
      <c r="F2006" s="11" t="str">
        <f>IFERROR(IF(VLOOKUP(A2006,[14]PRIORIZADOS!$A:$F,6,FALSE)="","",VLOOKUP(A2006,[14]PRIORIZADOS!$A:$F,6,FALSE)),"")</f>
        <v>COLEGIO_CULTURAL_DEL_NORTE</v>
      </c>
      <c r="G2006" s="11" t="str">
        <f>IFERROR(IF(VLOOKUP(A2006,[14]PRIORIZADOS!$A:$G,7,FALSE)="","",VLOOKUP(A2006,[14]PRIORIZADOS!$A:$G,7,FALSE)),"")</f>
        <v>COLEGIO CULTURAL DEL NORTE</v>
      </c>
      <c r="H2006" s="11" t="str">
        <f>IFERROR(IF(VLOOKUP(A2006,[14]PRIORIZADOS!$A:$H,8,FALSE)="","",VLOOKUP(A2006,[14]PRIORIZADOS!$A:$H,8,FALSE)),"")</f>
        <v>Autoevaluación Institucional y Pruebas SABER 11</v>
      </c>
      <c r="I2006" s="11" t="str">
        <f>IFERROR(IF(VLOOKUP(A2006,[14]PRIORIZADOS!$A:$I,9,FALSE)="","",VLOOKUP(A2006,[14]PRIORIZADOS!$A:$I,9,FALSE)),"")</f>
        <v>EVALUACIÓN_CON_FINES_DE_MEJORAMIENTO.</v>
      </c>
      <c r="J2006" s="11" t="str">
        <f>IFERROR(IF(VLOOKUP(A2006,[14]PRIORIZADOS!$A:$J,10,FALSE)="","",VLOOKUP(A2006,[14]PRIORIZADOS!$A:$J,10,FALSE)),"")</f>
        <v>Verificar las condiciones en cuanto a: la estructura administrativa, condiciones de la planta física y medios educativos adecuados.</v>
      </c>
      <c r="K2006" s="11" t="str">
        <f>IFERROR(IF(VLOOKUP(A2006,[14]PRIORIZADOS!$A:$K,11,FALSE)="","",VLOOKUP(A2006,[14]PRIORIZADOS!$A:$K,11,FALSE)),"")</f>
        <v>MARTHA RUT SILVA ABRIL</v>
      </c>
      <c r="L2006" s="11" t="str">
        <f>IFERROR(IF(VLOOKUP(A2006,[14]PRIORIZADOS!$A:$L,12,FALSE)="","",VLOOKUP(A2006,[14]PRIORIZADOS!$A:$L,12,FALSE)),"")</f>
        <v>JUAN MANUEL SANCHEZ MORA</v>
      </c>
      <c r="M2006" s="71">
        <f>IFERROR(IF(VLOOKUP(A2006,[14]PRIORIZADOS!$A:$M,13,FALSE)="","",VLOOKUP(A2006,[14]PRIORIZADOS!$A:$M,13,FALSE)),"")</f>
        <v>45916</v>
      </c>
      <c r="N2006" s="71">
        <f>IFERROR(IF(VLOOKUP(A2006,[14]PRIORIZADOS!$A:$N,14,FALSE)="","",VLOOKUP(A2006,[14]PRIORIZADOS!$A:$N,14,FALSE)),"")</f>
        <v>45904</v>
      </c>
      <c r="O2006" s="71">
        <f>IFERROR(IF(VLOOKUP(A2006,[14]PRIORIZADOS!$A:$O,15,FALSE)="","",VLOOKUP(A2006,[14]PRIORIZADOS!$A:$O,15,FALSE)),"")</f>
        <v>45904</v>
      </c>
      <c r="P2006" s="11" t="str">
        <f>IFERROR(IF(VLOOKUP(A2006,[14]PRIORIZADOS!$A:$P,16,FALSE)="","",VLOOKUP(A2006,[14]PRIORIZADOS!$A:$P,16,FALSE)),"")</f>
        <v>Visitas de evaluación con fines de mejoramiento</v>
      </c>
      <c r="Q2006" s="22" t="s">
        <v>429</v>
      </c>
      <c r="R2006" s="11" t="str">
        <f>IFERROR(IF(VLOOKUP(A2006,[14]PRIORIZADOS!$A:$R,18,FALSE)="","",VLOOKUP(A2006,[14]PRIORIZADOS!$A:$R,18,FALSE)),"")</f>
        <v>Se observó  que la planta física no cuenta con espacios administrativos como orientación escolar, enfermería, secretaría, espacios pedagógicos mínimos requeridos, como laboratorios, biblioteca, sala de profesores entre otros.</v>
      </c>
      <c r="S2006" s="11" t="str">
        <f>IFERROR(IF(VLOOKUP(A2006,[14]PRIORIZADOS!$A:$S,19,FALSE)="","",VLOOKUP(A2006,[14]PRIORIZADOS!$A:$S,19,FALSE)),"")</f>
        <v>Adecuar los espacios administrativos y pedagógicos mínimos para la prestación del servicio educativo.</v>
      </c>
      <c r="T2006" s="70" t="str">
        <f>IFERROR(IF(VLOOKUP(A2006,[14]PRIORIZADOS!$A:$T,20,FALSE)="","",VLOOKUP(A2006,[14]PRIORIZADOS!$A:$T,20,FALSE)),"")</f>
        <v>Si</v>
      </c>
      <c r="U2006" s="11" t="str">
        <f>IFERROR(IF(VLOOKUP(A2006,[14]PRIORIZADOS!$A:$U,21,FALSE)="","",VLOOKUP(A2006,[14]PRIORIZADOS!$A:$U,21,FALSE)),"")</f>
        <v>Plan de mejoramiento 17 de octubre de 2025.</v>
      </c>
    </row>
    <row r="2007" spans="1:21" s="1" customFormat="1" ht="72">
      <c r="A2007" s="69">
        <f>IF([14]PRIORIZADOS!A54="","",[14]PRIORIZADOS!A54)</f>
        <v>1975</v>
      </c>
      <c r="B2007" s="70">
        <f>IFERROR(IF(VLOOKUP(A2007,[14]PRIORIZADOS!$A:$B,2,FALSE)="","",VLOOKUP(A2007,[14]PRIORIZADOS!$A:$B,2,FALSE)),"")</f>
        <v>6</v>
      </c>
      <c r="C2007" s="11" t="s">
        <v>424</v>
      </c>
      <c r="D2007" s="11" t="str">
        <f>IFERROR(IF(VLOOKUP(A2007,[14]PRIORIZADOS!$A:$D,4,FALSE)="","",VLOOKUP(A2007,[14]PRIORIZADOS!$A:$D,4,FALSE)),"")</f>
        <v>PRIVADO</v>
      </c>
      <c r="E2007" s="11" t="str">
        <f>IFERROR(IF(VLOOKUP(A2007,[14]PRIORIZADOS!$A:$E,5,FALSE)="","",VLOOKUP(A2007,[14]PRIORIZADOS!$A:$E,5,FALSE)),"")</f>
        <v>Educación de Jóvenes y Adultos</v>
      </c>
      <c r="F2007" s="11" t="str">
        <f>IFERROR(IF(VLOOKUP(A2007,[14]PRIORIZADOS!$A:$F,6,FALSE)="","",VLOOKUP(A2007,[14]PRIORIZADOS!$A:$F,6,FALSE)),"")</f>
        <v>COLEGIO_INSCAP</v>
      </c>
      <c r="G2007" s="11" t="str">
        <f>IFERROR(IF(VLOOKUP(A2007,[14]PRIORIZADOS!$A:$G,7,FALSE)="","",VLOOKUP(A2007,[14]PRIORIZADOS!$A:$G,7,FALSE)),"")</f>
        <v>COLEGIO INSCAP</v>
      </c>
      <c r="H2007" s="11" t="str">
        <f>IFERROR(IF(VLOOKUP(A2007,[14]PRIORIZADOS!$A:$H,8,FALSE)="","",VLOOKUP(A2007,[14]PRIORIZADOS!$A:$H,8,FALSE)),"")</f>
        <v>Autoevaluación Institucional y Pruebas SABER 11</v>
      </c>
      <c r="I2007" s="11" t="str">
        <f>IFERROR(IF(VLOOKUP(A2007,[14]PRIORIZADOS!$A:$I,9,FALSE)="","",VLOOKUP(A2007,[14]PRIORIZADOS!$A:$I,9,FALSE)),"")</f>
        <v>SEGUIMIENTO_Y_SUPERVISIÓN.</v>
      </c>
      <c r="J2007" s="11" t="str">
        <f>IFERROR(IF(VLOOKUP(A2007,[14]PRIORIZADOS!$A:$J,10,FALSE)="","",VLOOKUP(A2007,[14]PRIORIZADOS!$A:$J,10,FALSE)),"")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007" s="11" t="str">
        <f>IFERROR(IF(VLOOKUP(A2007,[14]PRIORIZADOS!$A:$K,11,FALSE)="","",VLOOKUP(A2007,[14]PRIORIZADOS!$A:$K,11,FALSE)),"")</f>
        <v>ALBA DEL PILAR CUBIDES CÁCERES</v>
      </c>
      <c r="L2007" s="11" t="str">
        <f>IFERROR(IF(VLOOKUP(A2007,[14]PRIORIZADOS!$A:$L,12,FALSE)="","",VLOOKUP(A2007,[14]PRIORIZADOS!$A:$L,12,FALSE)),"")</f>
        <v>SONIA CONSTANZA URREGO GONZÁLEZ</v>
      </c>
      <c r="M2007" s="71">
        <f>IFERROR(IF(VLOOKUP(A2007,[14]PRIORIZADOS!$A:$M,13,FALSE)="","",VLOOKUP(A2007,[14]PRIORIZADOS!$A:$M,13,FALSE)),"")</f>
        <v>45909</v>
      </c>
      <c r="N2007" s="71">
        <f>IFERROR(IF(VLOOKUP(A2007,[14]PRIORIZADOS!$A:$N,14,FALSE)="","",VLOOKUP(A2007,[14]PRIORIZADOS!$A:$N,14,FALSE)),"")</f>
        <v>45909</v>
      </c>
      <c r="O2007" s="71">
        <f>IFERROR(IF(VLOOKUP(A2007,[14]PRIORIZADOS!$A:$O,15,FALSE)="","",VLOOKUP(A2007,[14]PRIORIZADOS!$A:$O,15,FALSE)),"")</f>
        <v>45909</v>
      </c>
      <c r="P2007" s="11" t="str">
        <f>IFERROR(IF(VLOOKUP(A2007,[14]PRIORIZADOS!$A:$P,16,FALSE)="","",VLOOKUP(A2007,[14]PRIORIZADOS!$A:$P,16,FALSE)),"")</f>
        <v>Visitas de evaluación con fines de seguimiento</v>
      </c>
      <c r="Q2007" s="250" t="s">
        <v>430</v>
      </c>
      <c r="R2007" s="11" t="str">
        <f>IFERROR(IF(VLOOKUP(A2007,[14]PRIORIZADOS!$A:$R,18,FALSE)="","",VLOOKUP(A2007,[14]PRIORIZADOS!$A:$R,18,FALSE)),"")</f>
        <v xml:space="preserve">La institución paga parafiscales se encuentra al dia </v>
      </c>
      <c r="S2007" s="11" t="str">
        <f>IFERROR(IF(VLOOKUP(A2007,[14]PRIORIZADOS!$A:$S,19,FALSE)="","",VLOOKUP(A2007,[14]PRIORIZADOS!$A:$S,19,FALSE)),"")</f>
        <v>Seguir dando cumplimiento a la norma</v>
      </c>
      <c r="T2007" s="70" t="str">
        <f>IFERROR(IF(VLOOKUP(A2007,[14]PRIORIZADOS!$A:$T,20,FALSE)="","",VLOOKUP(A2007,[14]PRIORIZADOS!$A:$T,20,FALSE)),"")</f>
        <v>No</v>
      </c>
      <c r="U2007" s="11" t="str">
        <f>IFERROR(IF(VLOOKUP(A2007,[14]PRIORIZADOS!$A:$U,21,FALSE)="","",VLOOKUP(A2007,[14]PRIORIZADOS!$A:$U,21,FALSE)),"")</f>
        <v>Realizar visita cuando se ejecute  la totalidad del plan de mejora</v>
      </c>
    </row>
    <row r="2008" spans="1:21" s="1" customFormat="1" ht="36">
      <c r="A2008" s="69">
        <f>IF([14]PRIORIZADOS!A55="","",[14]PRIORIZADOS!A55)</f>
        <v>1976</v>
      </c>
      <c r="B2008" s="70">
        <f>IFERROR(IF(VLOOKUP(A2008,[14]PRIORIZADOS!$A:$B,2,FALSE)="","",VLOOKUP(A2008,[14]PRIORIZADOS!$A:$B,2,FALSE)),"")</f>
        <v>6</v>
      </c>
      <c r="C2008" s="11" t="s">
        <v>424</v>
      </c>
      <c r="D2008" s="11" t="str">
        <f>IFERROR(IF(VLOOKUP(A2008,[14]PRIORIZADOS!$A:$D,4,FALSE)="","",VLOOKUP(A2008,[14]PRIORIZADOS!$A:$D,4,FALSE)),"")</f>
        <v>PRIVADO</v>
      </c>
      <c r="E2008" s="11" t="str">
        <f>IFERROR(IF(VLOOKUP(A2008,[14]PRIORIZADOS!$A:$E,5,FALSE)="","",VLOOKUP(A2008,[14]PRIORIZADOS!$A:$E,5,FALSE)),"")</f>
        <v>Educación de Jóvenes y Adultos</v>
      </c>
      <c r="F2008" s="11" t="str">
        <f>IFERROR(IF(VLOOKUP(A2008,[14]PRIORIZADOS!$A:$F,6,FALSE)="","",VLOOKUP(A2008,[14]PRIORIZADOS!$A:$F,6,FALSE)),"")</f>
        <v>COLEGIO_INSCAP</v>
      </c>
      <c r="G2008" s="11" t="str">
        <f>IFERROR(IF(VLOOKUP(A2008,[14]PRIORIZADOS!$A:$G,7,FALSE)="","",VLOOKUP(A2008,[14]PRIORIZADOS!$A:$G,7,FALSE)),"")</f>
        <v>COLEGIO INSCAP</v>
      </c>
      <c r="H2008" s="11" t="str">
        <f>IFERROR(IF(VLOOKUP(A2008,[14]PRIORIZADOS!$A:$H,8,FALSE)="","",VLOOKUP(A2008,[14]PRIORIZADOS!$A:$H,8,FALSE)),"")</f>
        <v>Autoevaluación Institucional y Pruebas SABER 11</v>
      </c>
      <c r="I2008" s="11" t="str">
        <f>IFERROR(IF(VLOOKUP(A2008,[14]PRIORIZADOS!$A:$I,9,FALSE)="","",VLOOKUP(A2008,[14]PRIORIZADOS!$A:$I,9,FALSE)),"")</f>
        <v>SEGUIMIENTO_Y_SUPERVISIÓN.</v>
      </c>
      <c r="J2008" s="11" t="str">
        <f>IFERROR(IF(VLOOKUP(A2008,[14]PRIORIZADOS!$A:$J,10,FALSE)="","",VLOOKUP(A2008,[14]PRIORIZADOS!$A:$J,10,FALSE)),"")</f>
        <v>Realizar visitas para verificar la información registrada sobre la autoevaluación institucional en el aplicativo EVI, a los establecimientos de educación formal no oficial.</v>
      </c>
      <c r="K2008" s="11" t="str">
        <f>IFERROR(IF(VLOOKUP(A2008,[14]PRIORIZADOS!$A:$K,11,FALSE)="","",VLOOKUP(A2008,[14]PRIORIZADOS!$A:$K,11,FALSE)),"")</f>
        <v>ALBA DEL PILAR CUBIDES CÁCERES</v>
      </c>
      <c r="L2008" s="11" t="str">
        <f>IFERROR(IF(VLOOKUP(A2008,[14]PRIORIZADOS!$A:$L,12,FALSE)="","",VLOOKUP(A2008,[14]PRIORIZADOS!$A:$L,12,FALSE)),"")</f>
        <v>SONIA CONSTANZA URREGO GONZÁLEZ</v>
      </c>
      <c r="M2008" s="71">
        <f>IFERROR(IF(VLOOKUP(A2008,[14]PRIORIZADOS!$A:$M,13,FALSE)="","",VLOOKUP(A2008,[14]PRIORIZADOS!$A:$M,13,FALSE)),"")</f>
        <v>45909</v>
      </c>
      <c r="N2008" s="71">
        <f>IFERROR(IF(VLOOKUP(A2008,[14]PRIORIZADOS!$A:$N,14,FALSE)="","",VLOOKUP(A2008,[14]PRIORIZADOS!$A:$N,14,FALSE)),"")</f>
        <v>45909</v>
      </c>
      <c r="O2008" s="71">
        <f>IFERROR(IF(VLOOKUP(A2008,[14]PRIORIZADOS!$A:$O,15,FALSE)="","",VLOOKUP(A2008,[14]PRIORIZADOS!$A:$O,15,FALSE)),"")</f>
        <v>45909</v>
      </c>
      <c r="P2008" s="11" t="str">
        <f>IFERROR(IF(VLOOKUP(A2008,[14]PRIORIZADOS!$A:$P,16,FALSE)="","",VLOOKUP(A2008,[14]PRIORIZADOS!$A:$P,16,FALSE)),"")</f>
        <v>Visitas de evaluación con fines de seguimiento</v>
      </c>
      <c r="Q2008" s="250" t="s">
        <v>430</v>
      </c>
      <c r="R2008" s="11" t="str">
        <f>IFERROR(IF(VLOOKUP(A2008,[14]PRIORIZADOS!$A:$R,18,FALSE)="","",VLOOKUP(A2008,[14]PRIORIZADOS!$A:$R,18,FALSE)),"")</f>
        <v>Una vez realizada visita, se encuentra que la informaciòn reportada en el EVI coincide.</v>
      </c>
      <c r="S2008" s="11" t="str">
        <f>IFERROR(IF(VLOOKUP(A2008,[14]PRIORIZADOS!$A:$S,19,FALSE)="","",VLOOKUP(A2008,[14]PRIORIZADOS!$A:$S,19,FALSE)),"")</f>
        <v>Seguir conservando el orden en cuanto al reporte en el EVI</v>
      </c>
      <c r="T2008" s="70" t="str">
        <f>IFERROR(IF(VLOOKUP(A2008,[14]PRIORIZADOS!$A:$T,20,FALSE)="","",VLOOKUP(A2008,[14]PRIORIZADOS!$A:$T,20,FALSE)),"")</f>
        <v>No</v>
      </c>
      <c r="U2008" s="11" t="str">
        <f>IFERROR(IF(VLOOKUP(A2008,[14]PRIORIZADOS!$A:$U,21,FALSE)="","",VLOOKUP(A2008,[14]PRIORIZADOS!$A:$U,21,FALSE)),"")</f>
        <v>Seguir con su cumplimiento</v>
      </c>
    </row>
    <row r="2009" spans="1:21" s="1" customFormat="1" ht="72">
      <c r="A2009" s="69">
        <f>IF([14]PRIORIZADOS!A56="","",[14]PRIORIZADOS!A56)</f>
        <v>1977</v>
      </c>
      <c r="B2009" s="70">
        <f>IFERROR(IF(VLOOKUP(A2009,[14]PRIORIZADOS!$A:$B,2,FALSE)="","",VLOOKUP(A2009,[14]PRIORIZADOS!$A:$B,2,FALSE)),"")</f>
        <v>6</v>
      </c>
      <c r="C2009" s="11" t="s">
        <v>424</v>
      </c>
      <c r="D2009" s="11" t="str">
        <f>IFERROR(IF(VLOOKUP(A2009,[14]PRIORIZADOS!$A:$D,4,FALSE)="","",VLOOKUP(A2009,[14]PRIORIZADOS!$A:$D,4,FALSE)),"")</f>
        <v>PRIVADO</v>
      </c>
      <c r="E2009" s="11" t="str">
        <f>IFERROR(IF(VLOOKUP(A2009,[14]PRIORIZADOS!$A:$E,5,FALSE)="","",VLOOKUP(A2009,[14]PRIORIZADOS!$A:$E,5,FALSE)),"")</f>
        <v>Educación de Jóvenes y Adultos</v>
      </c>
      <c r="F2009" s="11" t="str">
        <f>IFERROR(IF(VLOOKUP(A2009,[14]PRIORIZADOS!$A:$F,6,FALSE)="","",VLOOKUP(A2009,[14]PRIORIZADOS!$A:$F,6,FALSE)),"")</f>
        <v>COLEGIO_INSCAP</v>
      </c>
      <c r="G2009" s="11" t="str">
        <f>IFERROR(IF(VLOOKUP(A2009,[14]PRIORIZADOS!$A:$G,7,FALSE)="","",VLOOKUP(A2009,[14]PRIORIZADOS!$A:$G,7,FALSE)),"")</f>
        <v>COLEGIO INSCAP</v>
      </c>
      <c r="H2009" s="11" t="str">
        <f>IFERROR(IF(VLOOKUP(A2009,[14]PRIORIZADOS!$A:$H,8,FALSE)="","",VLOOKUP(A2009,[14]PRIORIZADOS!$A:$H,8,FALSE)),"")</f>
        <v>Autoevaluación Institucional y Pruebas SABER 11</v>
      </c>
      <c r="I2009" s="11" t="str">
        <f>IFERROR(IF(VLOOKUP(A2009,[14]PRIORIZADOS!$A:$I,9,FALSE)="","",VLOOKUP(A2009,[14]PRIORIZADOS!$A:$I,9,FALSE)),"")</f>
        <v>SEGUIMIENTO_Y_SUPERVISIÓN.</v>
      </c>
      <c r="J2009" s="11" t="str">
        <f>IFERROR(IF(VLOOKUP(A2009,[14]PRIORIZADOS!$A:$J,10,FALSE)="","",VLOOKUP(A2009,[14]PRIORIZADOS!$A:$J,10,FALSE)),"")</f>
        <v>Proponer estrategias en la formulación, verificar su elaboración y realizar seguimiento semestral al desarrollo de  las acciones establecidas en los planes de mejoramiento por pruebas SABER 11 de los establecimientos de educación formal.</v>
      </c>
      <c r="K2009" s="11" t="str">
        <f>IFERROR(IF(VLOOKUP(A2009,[14]PRIORIZADOS!$A:$K,11,FALSE)="","",VLOOKUP(A2009,[14]PRIORIZADOS!$A:$K,11,FALSE)),"")</f>
        <v>ALBA DEL PILAR CUBIDES CÁCERES</v>
      </c>
      <c r="L2009" s="11" t="str">
        <f>IFERROR(IF(VLOOKUP(A2009,[14]PRIORIZADOS!$A:$L,12,FALSE)="","",VLOOKUP(A2009,[14]PRIORIZADOS!$A:$L,12,FALSE)),"")</f>
        <v>SONIA CONSTANZA URREGO GONZÁLEZ</v>
      </c>
      <c r="M2009" s="71">
        <f>IFERROR(IF(VLOOKUP(A2009,[14]PRIORIZADOS!$A:$M,13,FALSE)="","",VLOOKUP(A2009,[14]PRIORIZADOS!$A:$M,13,FALSE)),"")</f>
        <v>45909</v>
      </c>
      <c r="N2009" s="71">
        <f>IFERROR(IF(VLOOKUP(A2009,[14]PRIORIZADOS!$A:$N,14,FALSE)="","",VLOOKUP(A2009,[14]PRIORIZADOS!$A:$N,14,FALSE)),"")</f>
        <v>45909</v>
      </c>
      <c r="O2009" s="71">
        <f>IFERROR(IF(VLOOKUP(A2009,[14]PRIORIZADOS!$A:$O,15,FALSE)="","",VLOOKUP(A2009,[14]PRIORIZADOS!$A:$O,15,FALSE)),"")</f>
        <v>45909</v>
      </c>
      <c r="P2009" s="11" t="str">
        <f>IFERROR(IF(VLOOKUP(A2009,[14]PRIORIZADOS!$A:$P,16,FALSE)="","",VLOOKUP(A2009,[14]PRIORIZADOS!$A:$P,16,FALSE)),"")</f>
        <v>Visitas de evaluación con fines de seguimiento</v>
      </c>
      <c r="Q2009" s="250" t="s">
        <v>430</v>
      </c>
      <c r="R2009" s="11" t="str">
        <f>IFERROR(IF(VLOOKUP(A2009,[14]PRIORIZADOS!$A:$R,18,FALSE)="","",VLOOKUP(A2009,[14]PRIORIZADOS!$A:$R,18,FALSE)),"")</f>
        <v>Realizada vìsita se observa que, la instituciòn no actualizò el curriculo ni el plan de estudios de acuerdo a la pruebas saber, como tampoco ha implementado acciones para mejorar las pruebas SABER 11</v>
      </c>
      <c r="S2009" s="11" t="str">
        <f>IFERROR(IF(VLOOKUP(A2009,[14]PRIORIZADOS!$A:$S,19,FALSE)="","",VLOOKUP(A2009,[14]PRIORIZADOS!$A:$S,19,FALSE)),"")</f>
        <v>Se debe presentar plan de mejoramiento a màs tardar el dìa 30  de septiembre de 2025, en el cual se informe las actividades, el tiempo y el funcionario a cargo</v>
      </c>
      <c r="T2009" s="70" t="str">
        <f>IFERROR(IF(VLOOKUP(A2009,[14]PRIORIZADOS!$A:$T,20,FALSE)="","",VLOOKUP(A2009,[14]PRIORIZADOS!$A:$T,20,FALSE)),"")</f>
        <v>Si</v>
      </c>
      <c r="U2009" s="11" t="str">
        <f>IFERROR(IF(VLOOKUP(A2009,[14]PRIORIZADOS!$A:$U,21,FALSE)="","",VLOOKUP(A2009,[14]PRIORIZADOS!$A:$U,21,FALSE)),"")</f>
        <v>Implementar acciones para mejorar aprendizajes en las pruebas SABER 11, las cuales deben ser aprobadas por el consejo directivo y consejo acadèmico</v>
      </c>
    </row>
    <row r="2010" spans="1:21" s="1" customFormat="1" ht="48">
      <c r="A2010" s="69">
        <f>IF([14]PRIORIZADOS!A57="","",[14]PRIORIZADOS!A57)</f>
        <v>1978</v>
      </c>
      <c r="B2010" s="70">
        <f>IFERROR(IF(VLOOKUP(A2010,[14]PRIORIZADOS!$A:$B,2,FALSE)="","",VLOOKUP(A2010,[14]PRIORIZADOS!$A:$B,2,FALSE)),"")</f>
        <v>6</v>
      </c>
      <c r="C2010" s="11" t="s">
        <v>424</v>
      </c>
      <c r="D2010" s="11" t="str">
        <f>IFERROR(IF(VLOOKUP(A2010,[14]PRIORIZADOS!$A:$D,4,FALSE)="","",VLOOKUP(A2010,[14]PRIORIZADOS!$A:$D,4,FALSE)),"")</f>
        <v>PRIVADO</v>
      </c>
      <c r="E2010" s="11" t="str">
        <f>IFERROR(IF(VLOOKUP(A2010,[14]PRIORIZADOS!$A:$E,5,FALSE)="","",VLOOKUP(A2010,[14]PRIORIZADOS!$A:$E,5,FALSE)),"")</f>
        <v>Educación de Jóvenes y Adultos</v>
      </c>
      <c r="F2010" s="11" t="str">
        <f>IFERROR(IF(VLOOKUP(A2010,[14]PRIORIZADOS!$A:$F,6,FALSE)="","",VLOOKUP(A2010,[14]PRIORIZADOS!$A:$F,6,FALSE)),"")</f>
        <v>COLEGIO_INSCAP</v>
      </c>
      <c r="G2010" s="11" t="str">
        <f>IFERROR(IF(VLOOKUP(A2010,[14]PRIORIZADOS!$A:$G,7,FALSE)="","",VLOOKUP(A2010,[14]PRIORIZADOS!$A:$G,7,FALSE)),"")</f>
        <v>COLEGIO INSCAP</v>
      </c>
      <c r="H2010" s="11" t="str">
        <f>IFERROR(IF(VLOOKUP(A2010,[14]PRIORIZADOS!$A:$H,8,FALSE)="","",VLOOKUP(A2010,[14]PRIORIZADOS!$A:$H,8,FALSE)),"")</f>
        <v>Autoevaluación Institucional y Pruebas SABER 11</v>
      </c>
      <c r="I2010" s="11" t="str">
        <f>IFERROR(IF(VLOOKUP(A2010,[14]PRIORIZADOS!$A:$I,9,FALSE)="","",VLOOKUP(A2010,[14]PRIORIZADOS!$A:$I,9,FALSE)),"")</f>
        <v>SEGUIMIENTO_Y_SUPERVISIÓN.</v>
      </c>
      <c r="J2010" s="11" t="str">
        <f>IFERROR(IF(VLOOKUP(A2010,[14]PRIORIZADOS!$A:$J,10,FALSE)="","",VLOOKUP(A2010,[14]PRIORIZADOS!$A:$J,10,FALSE)),"")</f>
        <v xml:space="preserve">Verificar la implementación por parte de los colegios, de acciones realizadas para la prevención y atención de las situaciones de convivencia en el entorno escolar, según lo establecido en la Directiva 01 de 2022 del MEN. </v>
      </c>
      <c r="K2010" s="11" t="str">
        <f>IFERROR(IF(VLOOKUP(A2010,[14]PRIORIZADOS!$A:$K,11,FALSE)="","",VLOOKUP(A2010,[14]PRIORIZADOS!$A:$K,11,FALSE)),"")</f>
        <v>ALBA DEL PILAR CUBIDES CÁCERES</v>
      </c>
      <c r="L2010" s="11" t="str">
        <f>IFERROR(IF(VLOOKUP(A2010,[14]PRIORIZADOS!$A:$L,12,FALSE)="","",VLOOKUP(A2010,[14]PRIORIZADOS!$A:$L,12,FALSE)),"")</f>
        <v>SONIA CONSTANZA URREGO GONZÁLEZ</v>
      </c>
      <c r="M2010" s="71">
        <f>IFERROR(IF(VLOOKUP(A2010,[14]PRIORIZADOS!$A:$M,13,FALSE)="","",VLOOKUP(A2010,[14]PRIORIZADOS!$A:$M,13,FALSE)),"")</f>
        <v>45909</v>
      </c>
      <c r="N2010" s="71">
        <f>IFERROR(IF(VLOOKUP(A2010,[14]PRIORIZADOS!$A:$N,14,FALSE)="","",VLOOKUP(A2010,[14]PRIORIZADOS!$A:$N,14,FALSE)),"")</f>
        <v>45909</v>
      </c>
      <c r="O2010" s="71">
        <f>IFERROR(IF(VLOOKUP(A2010,[14]PRIORIZADOS!$A:$O,15,FALSE)="","",VLOOKUP(A2010,[14]PRIORIZADOS!$A:$O,15,FALSE)),"")</f>
        <v>45909</v>
      </c>
      <c r="P2010" s="11" t="str">
        <f>IFERROR(IF(VLOOKUP(A2010,[14]PRIORIZADOS!$A:$P,16,FALSE)="","",VLOOKUP(A2010,[14]PRIORIZADOS!$A:$P,16,FALSE)),"")</f>
        <v>Visitas de evaluación con fines de seguimiento</v>
      </c>
      <c r="Q2010" s="250" t="s">
        <v>430</v>
      </c>
      <c r="R2010" s="11" t="str">
        <f>IFERROR(IF(VLOOKUP(A2010,[14]PRIORIZADOS!$A:$R,18,FALSE)="","",VLOOKUP(A2010,[14]PRIORIZADOS!$A:$R,18,FALSE)),"")</f>
        <v>La instituciòn cumple parcialmente, debe activar el comite de convivencia, reunirlo cada dos meses, desarrollar actividades de prevenciòn y promociòn</v>
      </c>
      <c r="S2010" s="11" t="str">
        <f>IFERROR(IF(VLOOKUP(A2010,[14]PRIORIZADOS!$A:$S,19,FALSE)="","",VLOOKUP(A2010,[14]PRIORIZADOS!$A:$S,19,FALSE)),"")</f>
        <v>Se debe presentar plan de mejoramiento a màs tardar el dìa 30  de septiembre de 2025, en el cual se informe las actividades, el tiempo y el funcionario a cargo</v>
      </c>
      <c r="T2010" s="70" t="str">
        <f>IFERROR(IF(VLOOKUP(A2010,[14]PRIORIZADOS!$A:$T,20,FALSE)="","",VLOOKUP(A2010,[14]PRIORIZADOS!$A:$T,20,FALSE)),"")</f>
        <v>Si</v>
      </c>
      <c r="U2010" s="11" t="str">
        <f>IFERROR(IF(VLOOKUP(A2010,[14]PRIORIZADOS!$A:$U,21,FALSE)="","",VLOOKUP(A2010,[14]PRIORIZADOS!$A:$U,21,FALSE)),"")</f>
        <v>Implementar acciones para prevenciòn  y atenciòn de las situaciones de convivencia</v>
      </c>
    </row>
    <row r="2011" spans="1:21" s="1" customFormat="1" ht="72">
      <c r="A2011" s="69">
        <f>IF([14]PRIORIZADOS!A58="","",[14]PRIORIZADOS!A58)</f>
        <v>1979</v>
      </c>
      <c r="B2011" s="70">
        <f>IFERROR(IF(VLOOKUP(A2011,[14]PRIORIZADOS!$A:$B,2,FALSE)="","",VLOOKUP(A2011,[14]PRIORIZADOS!$A:$B,2,FALSE)),"")</f>
        <v>6</v>
      </c>
      <c r="C2011" s="11" t="s">
        <v>424</v>
      </c>
      <c r="D2011" s="11" t="str">
        <f>IFERROR(IF(VLOOKUP(A2011,[14]PRIORIZADOS!$A:$D,4,FALSE)="","",VLOOKUP(A2011,[14]PRIORIZADOS!$A:$D,4,FALSE)),"")</f>
        <v>PRIVADO</v>
      </c>
      <c r="E2011" s="11" t="str">
        <f>IFERROR(IF(VLOOKUP(A2011,[14]PRIORIZADOS!$A:$E,5,FALSE)="","",VLOOKUP(A2011,[14]PRIORIZADOS!$A:$E,5,FALSE)),"")</f>
        <v>Educación de Jóvenes y Adultos</v>
      </c>
      <c r="F2011" s="11" t="str">
        <f>IFERROR(IF(VLOOKUP(A2011,[14]PRIORIZADOS!$A:$F,6,FALSE)="","",VLOOKUP(A2011,[14]PRIORIZADOS!$A:$F,6,FALSE)),"")</f>
        <v>COLEGIO_INSCAP</v>
      </c>
      <c r="G2011" s="11" t="str">
        <f>IFERROR(IF(VLOOKUP(A2011,[14]PRIORIZADOS!$A:$G,7,FALSE)="","",VLOOKUP(A2011,[14]PRIORIZADOS!$A:$G,7,FALSE)),"")</f>
        <v>COLEGIO INSCAP</v>
      </c>
      <c r="H2011" s="11" t="str">
        <f>IFERROR(IF(VLOOKUP(A2011,[14]PRIORIZADOS!$A:$H,8,FALSE)="","",VLOOKUP(A2011,[14]PRIORIZADOS!$A:$H,8,FALSE)),"")</f>
        <v>Autoevaluación Institucional y Pruebas SABER 11</v>
      </c>
      <c r="I2011" s="11" t="str">
        <f>IFERROR(IF(VLOOKUP(A2011,[14]PRIORIZADOS!$A:$I,9,FALSE)="","",VLOOKUP(A2011,[14]PRIORIZADOS!$A:$I,9,FALSE)),"")</f>
        <v>SEGUIMIENTO_Y_SUPERVISIÓN.</v>
      </c>
      <c r="J2011" s="11" t="str">
        <f>IFERROR(IF(VLOOKUP(A2011,[14]PRIORIZADOS!$A:$J,10,FALSE)="","",VLOOKUP(A2011,[14]PRIORIZADOS!$A:$J,10,FALSE)),"")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11" s="11" t="str">
        <f>IFERROR(IF(VLOOKUP(A2011,[14]PRIORIZADOS!$A:$K,11,FALSE)="","",VLOOKUP(A2011,[14]PRIORIZADOS!$A:$K,11,FALSE)),"")</f>
        <v>ALBA DEL PILAR CUBIDES CÁCERES</v>
      </c>
      <c r="L2011" s="11" t="str">
        <f>IFERROR(IF(VLOOKUP(A2011,[14]PRIORIZADOS!$A:$L,12,FALSE)="","",VLOOKUP(A2011,[14]PRIORIZADOS!$A:$L,12,FALSE)),"")</f>
        <v>SONIA CONSTANZA URREGO GONZÁLEZ</v>
      </c>
      <c r="M2011" s="71">
        <f>IFERROR(IF(VLOOKUP(A2011,[14]PRIORIZADOS!$A:$M,13,FALSE)="","",VLOOKUP(A2011,[14]PRIORIZADOS!$A:$M,13,FALSE)),"")</f>
        <v>45909</v>
      </c>
      <c r="N2011" s="71">
        <f>IFERROR(IF(VLOOKUP(A2011,[14]PRIORIZADOS!$A:$N,14,FALSE)="","",VLOOKUP(A2011,[14]PRIORIZADOS!$A:$N,14,FALSE)),"")</f>
        <v>45909</v>
      </c>
      <c r="O2011" s="71">
        <f>IFERROR(IF(VLOOKUP(A2011,[14]PRIORIZADOS!$A:$O,15,FALSE)="","",VLOOKUP(A2011,[14]PRIORIZADOS!$A:$O,15,FALSE)),"")</f>
        <v>45909</v>
      </c>
      <c r="P2011" s="11" t="str">
        <f>IFERROR(IF(VLOOKUP(A2011,[14]PRIORIZADOS!$A:$P,16,FALSE)="","",VLOOKUP(A2011,[14]PRIORIZADOS!$A:$P,16,FALSE)),"")</f>
        <v>Visitas de evaluación con fines de seguimiento</v>
      </c>
      <c r="Q2011" s="250" t="s">
        <v>430</v>
      </c>
      <c r="R2011" s="11" t="str">
        <f>IFERROR(IF(VLOOKUP(A2011,[14]PRIORIZADOS!$A:$R,18,FALSE)="","",VLOOKUP(A2011,[14]PRIORIZADOS!$A:$R,18,FALSE)),"")</f>
        <v>No se cuenta con orientador, a fin que acompañe el proceso de elaboraciòn del PIAR</v>
      </c>
      <c r="S2011" s="11" t="str">
        <f>IFERROR(IF(VLOOKUP(A2011,[14]PRIORIZADOS!$A:$S,19,FALSE)="","",VLOOKUP(A2011,[14]PRIORIZADOS!$A:$S,19,FALSE)),"")</f>
        <v>Se debe presentar plan de mejoramiento a màs tardar el dìa 30  de septiembre de 2025, en el cual se informe las actividades, el tiempo y el funcionario a cargo</v>
      </c>
      <c r="T2011" s="70" t="str">
        <f>IFERROR(IF(VLOOKUP(A2011,[14]PRIORIZADOS!$A:$T,20,FALSE)="","",VLOOKUP(A2011,[14]PRIORIZADOS!$A:$T,20,FALSE)),"")</f>
        <v>Si</v>
      </c>
      <c r="U2011" s="11" t="str">
        <f>IFERROR(IF(VLOOKUP(A2011,[14]PRIORIZADOS!$A:$U,21,FALSE)="","",VLOOKUP(A2011,[14]PRIORIZADOS!$A:$U,21,FALSE)),"")</f>
        <v>Contar con  orientador  a fin que acompañe el proceso de elaboraciòn, socializaciòn y avance del PIAR.</v>
      </c>
    </row>
    <row r="2012" spans="1:21" s="1" customFormat="1" ht="84">
      <c r="A2012" s="69">
        <f>IF([14]PRIORIZADOS!A59="","",[14]PRIORIZADOS!A59)</f>
        <v>1980</v>
      </c>
      <c r="B2012" s="70">
        <f>IFERROR(IF(VLOOKUP(A2012,[14]PRIORIZADOS!$A:$B,2,FALSE)="","",VLOOKUP(A2012,[14]PRIORIZADOS!$A:$B,2,FALSE)),"")</f>
        <v>6</v>
      </c>
      <c r="C2012" s="11" t="s">
        <v>424</v>
      </c>
      <c r="D2012" s="11" t="str">
        <f>IFERROR(IF(VLOOKUP(A2012,[14]PRIORIZADOS!$A:$D,4,FALSE)="","",VLOOKUP(A2012,[14]PRIORIZADOS!$A:$D,4,FALSE)),"")</f>
        <v>PRIVADO</v>
      </c>
      <c r="E2012" s="11" t="str">
        <f>IFERROR(IF(VLOOKUP(A2012,[14]PRIORIZADOS!$A:$E,5,FALSE)="","",VLOOKUP(A2012,[14]PRIORIZADOS!$A:$E,5,FALSE)),"")</f>
        <v>Educación de Jóvenes y Adultos</v>
      </c>
      <c r="F2012" s="11" t="str">
        <f>IFERROR(IF(VLOOKUP(A2012,[14]PRIORIZADOS!$A:$F,6,FALSE)="","",VLOOKUP(A2012,[14]PRIORIZADOS!$A:$F,6,FALSE)),"")</f>
        <v>COLEGIO_INSCAP</v>
      </c>
      <c r="G2012" s="11" t="str">
        <f>IFERROR(IF(VLOOKUP(A2012,[14]PRIORIZADOS!$A:$G,7,FALSE)="","",VLOOKUP(A2012,[14]PRIORIZADOS!$A:$G,7,FALSE)),"")</f>
        <v>COLEGIO INSCAP</v>
      </c>
      <c r="H2012" s="11" t="str">
        <f>IFERROR(IF(VLOOKUP(A2012,[14]PRIORIZADOS!$A:$H,8,FALSE)="","",VLOOKUP(A2012,[14]PRIORIZADOS!$A:$H,8,FALSE)),"")</f>
        <v>Autoevaluación Institucional y Pruebas SABER 11</v>
      </c>
      <c r="I2012" s="11" t="str">
        <f>IFERROR(IF(VLOOKUP(A2012,[14]PRIORIZADOS!$A:$I,9,FALSE)="","",VLOOKUP(A2012,[14]PRIORIZADOS!$A:$I,9,FALSE)),"")</f>
        <v>EVALUACIÓN_CON_FINES_DE_MEJORAMIENTO.</v>
      </c>
      <c r="J2012" s="11" t="str">
        <f>IFERROR(IF(VLOOKUP(A2012,[14]PRIORIZADOS!$A:$J,10,FALSE)="","",VLOOKUP(A2012,[14]PRIORIZADOS!$A:$J,10,FALSE)),"")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12" s="11" t="str">
        <f>IFERROR(IF(VLOOKUP(A2012,[14]PRIORIZADOS!$A:$K,11,FALSE)="","",VLOOKUP(A2012,[14]PRIORIZADOS!$A:$K,11,FALSE)),"")</f>
        <v>ALBA DEL PILAR CUBIDES CÁCERES</v>
      </c>
      <c r="L2012" s="11" t="str">
        <f>IFERROR(IF(VLOOKUP(A2012,[14]PRIORIZADOS!$A:$L,12,FALSE)="","",VLOOKUP(A2012,[14]PRIORIZADOS!$A:$L,12,FALSE)),"")</f>
        <v>SONIA CONSTANZA URREGO GONZÁLEZ</v>
      </c>
      <c r="M2012" s="71">
        <f>IFERROR(IF(VLOOKUP(A2012,[14]PRIORIZADOS!$A:$M,13,FALSE)="","",VLOOKUP(A2012,[14]PRIORIZADOS!$A:$M,13,FALSE)),"")</f>
        <v>45909</v>
      </c>
      <c r="N2012" s="71">
        <f>IFERROR(IF(VLOOKUP(A2012,[14]PRIORIZADOS!$A:$N,14,FALSE)="","",VLOOKUP(A2012,[14]PRIORIZADOS!$A:$N,14,FALSE)),"")</f>
        <v>45909</v>
      </c>
      <c r="O2012" s="71">
        <f>IFERROR(IF(VLOOKUP(A2012,[14]PRIORIZADOS!$A:$O,15,FALSE)="","",VLOOKUP(A2012,[14]PRIORIZADOS!$A:$O,15,FALSE)),"")</f>
        <v>45909</v>
      </c>
      <c r="P2012" s="11" t="str">
        <f>IFERROR(IF(VLOOKUP(A2012,[14]PRIORIZADOS!$A:$P,16,FALSE)="","",VLOOKUP(A2012,[14]PRIORIZADOS!$A:$P,16,FALSE)),"")</f>
        <v>Visitas de evaluación con fines de mejoramiento</v>
      </c>
      <c r="Q2012" s="250" t="s">
        <v>430</v>
      </c>
      <c r="R2012" s="11" t="str">
        <f>IFERROR(IF(VLOOKUP(A2012,[14]PRIORIZADOS!$A:$R,18,FALSE)="","",VLOOKUP(A2012,[14]PRIORIZADOS!$A:$R,18,FALSE)),"")</f>
        <v>Se debe construìr el manual de convivencia de forma participativa, incluìr diferentes enfoques de respeto y activar comitè de convivencia</v>
      </c>
      <c r="S2012" s="11" t="str">
        <f>IFERROR(IF(VLOOKUP(A2012,[14]PRIORIZADOS!$A:$S,19,FALSE)="","",VLOOKUP(A2012,[14]PRIORIZADOS!$A:$S,19,FALSE)),"")</f>
        <v>Se debe presentar plan de mejoramiento a màs tardar el dìa 30  de septiembre de 2025, en el cual se informe las actividades, el tiempo y el funcionario a cargo</v>
      </c>
      <c r="T2012" s="70" t="str">
        <f>IFERROR(IF(VLOOKUP(A2012,[14]PRIORIZADOS!$A:$T,20,FALSE)="","",VLOOKUP(A2012,[14]PRIORIZADOS!$A:$T,20,FALSE)),"")</f>
        <v>Si</v>
      </c>
      <c r="U2012" s="11" t="str">
        <f>IFERROR(IF(VLOOKUP(A2012,[14]PRIORIZADOS!$A:$U,21,FALSE)="","",VLOOKUP(A2012,[14]PRIORIZADOS!$A:$U,21,FALSE)),"")</f>
        <v>Implementar actividades para la construcciòn partipativa del manual de convivencia y cumplimiento de las demàs normas aplicables al caso</v>
      </c>
    </row>
    <row r="2013" spans="1:21" s="1" customFormat="1" ht="60">
      <c r="A2013" s="69">
        <f>IF([14]PRIORIZADOS!A60="","",[14]PRIORIZADOS!A60)</f>
        <v>1981</v>
      </c>
      <c r="B2013" s="70">
        <f>IFERROR(IF(VLOOKUP(A2013,[14]PRIORIZADOS!$A:$B,2,FALSE)="","",VLOOKUP(A2013,[14]PRIORIZADOS!$A:$B,2,FALSE)),"")</f>
        <v>6</v>
      </c>
      <c r="C2013" s="11" t="s">
        <v>424</v>
      </c>
      <c r="D2013" s="11" t="str">
        <f>IFERROR(IF(VLOOKUP(A2013,[14]PRIORIZADOS!$A:$D,4,FALSE)="","",VLOOKUP(A2013,[14]PRIORIZADOS!$A:$D,4,FALSE)),"")</f>
        <v>PRIVADO</v>
      </c>
      <c r="E2013" s="11" t="str">
        <f>IFERROR(IF(VLOOKUP(A2013,[14]PRIORIZADOS!$A:$E,5,FALSE)="","",VLOOKUP(A2013,[14]PRIORIZADOS!$A:$E,5,FALSE)),"")</f>
        <v>Educación de Jóvenes y Adultos</v>
      </c>
      <c r="F2013" s="11" t="str">
        <f>IFERROR(IF(VLOOKUP(A2013,[14]PRIORIZADOS!$A:$F,6,FALSE)="","",VLOOKUP(A2013,[14]PRIORIZADOS!$A:$F,6,FALSE)),"")</f>
        <v>COLEGIO_INSCAP</v>
      </c>
      <c r="G2013" s="11" t="str">
        <f>IFERROR(IF(VLOOKUP(A2013,[14]PRIORIZADOS!$A:$G,7,FALSE)="","",VLOOKUP(A2013,[14]PRIORIZADOS!$A:$G,7,FALSE)),"")</f>
        <v>COLEGIO INSCAP</v>
      </c>
      <c r="H2013" s="11" t="str">
        <f>IFERROR(IF(VLOOKUP(A2013,[14]PRIORIZADOS!$A:$H,8,FALSE)="","",VLOOKUP(A2013,[14]PRIORIZADOS!$A:$H,8,FALSE)),"")</f>
        <v>Autoevaluación Institucional y Pruebas SABER 11</v>
      </c>
      <c r="I2013" s="11" t="str">
        <f>IFERROR(IF(VLOOKUP(A2013,[14]PRIORIZADOS!$A:$I,9,FALSE)="","",VLOOKUP(A2013,[14]PRIORIZADOS!$A:$I,9,FALSE)),"")</f>
        <v>EVALUACIÓN_CON_FINES_DE_MEJORAMIENTO.</v>
      </c>
      <c r="J2013" s="11" t="str">
        <f>IFERROR(IF(VLOOKUP(A2013,[14]PRIORIZADOS!$A:$J,10,FALSE)="","",VLOOKUP(A2013,[14]PRIORIZADOS!$A:$J,10,FALSE)),"")</f>
        <v>Revisar la actualización, socialización e implementación del Sistema Institucional de Evaluación de Estudiantes - SIEE, en articulación con la actualización del PEI y la normatividad vigente.</v>
      </c>
      <c r="K2013" s="11" t="str">
        <f>IFERROR(IF(VLOOKUP(A2013,[14]PRIORIZADOS!$A:$K,11,FALSE)="","",VLOOKUP(A2013,[14]PRIORIZADOS!$A:$K,11,FALSE)),"")</f>
        <v>ALBA DEL PILAR CUBIDES CÁCERES</v>
      </c>
      <c r="L2013" s="11" t="str">
        <f>IFERROR(IF(VLOOKUP(A2013,[14]PRIORIZADOS!$A:$L,12,FALSE)="","",VLOOKUP(A2013,[14]PRIORIZADOS!$A:$L,12,FALSE)),"")</f>
        <v>SONIA CONSTANZA URREGO GONZÁLEZ</v>
      </c>
      <c r="M2013" s="71">
        <f>IFERROR(IF(VLOOKUP(A2013,[14]PRIORIZADOS!$A:$M,13,FALSE)="","",VLOOKUP(A2013,[14]PRIORIZADOS!$A:$M,13,FALSE)),"")</f>
        <v>45909</v>
      </c>
      <c r="N2013" s="71">
        <f>IFERROR(IF(VLOOKUP(A2013,[14]PRIORIZADOS!$A:$N,14,FALSE)="","",VLOOKUP(A2013,[14]PRIORIZADOS!$A:$N,14,FALSE)),"")</f>
        <v>45909</v>
      </c>
      <c r="O2013" s="71">
        <f>IFERROR(IF(VLOOKUP(A2013,[14]PRIORIZADOS!$A:$O,15,FALSE)="","",VLOOKUP(A2013,[14]PRIORIZADOS!$A:$O,15,FALSE)),"")</f>
        <v>45909</v>
      </c>
      <c r="P2013" s="11" t="str">
        <f>IFERROR(IF(VLOOKUP(A2013,[14]PRIORIZADOS!$A:$P,16,FALSE)="","",VLOOKUP(A2013,[14]PRIORIZADOS!$A:$P,16,FALSE)),"")</f>
        <v>Visitas de evaluación con fines de mejoramiento</v>
      </c>
      <c r="Q2013" s="249" t="s">
        <v>430</v>
      </c>
      <c r="R2013" s="11" t="str">
        <f>IFERROR(IF(VLOOKUP(A2013,[14]PRIORIZADOS!$A:$R,18,FALSE)="","",VLOOKUP(A2013,[14]PRIORIZADOS!$A:$R,18,FALSE)),"")</f>
        <v>El SIEE se encuentra  implementado. No obstante no se cuenta con comisiones de evaluaciòn y promociòn, estas se confunden con las funciones  del consejo acadèmico</v>
      </c>
      <c r="S2013" s="11" t="str">
        <f>IFERROR(IF(VLOOKUP(A2013,[14]PRIORIZADOS!$A:$S,19,FALSE)="","",VLOOKUP(A2013,[14]PRIORIZADOS!$A:$S,19,FALSE)),"")</f>
        <v>Se debe presentar plan de mejoramiento a màs tardar el dìa 30  de septiembre de 2025, en el cual se informe las actividades, el tiempo y el funcionario a cargo</v>
      </c>
      <c r="T2013" s="70" t="str">
        <f>IFERROR(IF(VLOOKUP(A2013,[14]PRIORIZADOS!$A:$T,20,FALSE)="","",VLOOKUP(A2013,[14]PRIORIZADOS!$A:$T,20,FALSE)),"")</f>
        <v>Si</v>
      </c>
      <c r="U2013" s="11" t="str">
        <f>IFERROR(IF(VLOOKUP(A2013,[14]PRIORIZADOS!$A:$U,21,FALSE)="","",VLOOKUP(A2013,[14]PRIORIZADOS!$A:$U,21,FALSE)),"")</f>
        <v>Establecer las  funciones del consejo acadèmico y  de las  comisiones de evaluaciòn y promociòn, para no entrar en confusiòn.</v>
      </c>
    </row>
    <row r="2014" spans="1:21" s="1" customFormat="1" ht="48">
      <c r="A2014" s="69">
        <f>IF([14]PRIORIZADOS!A61="","",[14]PRIORIZADOS!A61)</f>
        <v>1982</v>
      </c>
      <c r="B2014" s="70">
        <f>IFERROR(IF(VLOOKUP(A2014,[14]PRIORIZADOS!$A:$B,2,FALSE)="","",VLOOKUP(A2014,[14]PRIORIZADOS!$A:$B,2,FALSE)),"")</f>
        <v>6</v>
      </c>
      <c r="C2014" s="11" t="s">
        <v>424</v>
      </c>
      <c r="D2014" s="11" t="str">
        <f>IFERROR(IF(VLOOKUP(A2014,[14]PRIORIZADOS!$A:$D,4,FALSE)="","",VLOOKUP(A2014,[14]PRIORIZADOS!$A:$D,4,FALSE)),"")</f>
        <v>PRIVADO</v>
      </c>
      <c r="E2014" s="11" t="str">
        <f>IFERROR(IF(VLOOKUP(A2014,[14]PRIORIZADOS!$A:$E,5,FALSE)="","",VLOOKUP(A2014,[14]PRIORIZADOS!$A:$E,5,FALSE)),"")</f>
        <v>Educación de Jóvenes y Adultos</v>
      </c>
      <c r="F2014" s="11" t="str">
        <f>IFERROR(IF(VLOOKUP(A2014,[14]PRIORIZADOS!$A:$F,6,FALSE)="","",VLOOKUP(A2014,[14]PRIORIZADOS!$A:$F,6,FALSE)),"")</f>
        <v>COLEGIO_INSCAP</v>
      </c>
      <c r="G2014" s="11" t="str">
        <f>IFERROR(IF(VLOOKUP(A2014,[14]PRIORIZADOS!$A:$G,7,FALSE)="","",VLOOKUP(A2014,[14]PRIORIZADOS!$A:$G,7,FALSE)),"")</f>
        <v>COLEGIO INSCAP</v>
      </c>
      <c r="H2014" s="11" t="str">
        <f>IFERROR(IF(VLOOKUP(A2014,[14]PRIORIZADOS!$A:$H,8,FALSE)="","",VLOOKUP(A2014,[14]PRIORIZADOS!$A:$H,8,FALSE)),"")</f>
        <v>Autoevaluación Institucional y Pruebas SABER 11</v>
      </c>
      <c r="I2014" s="11" t="str">
        <f>IFERROR(IF(VLOOKUP(A2014,[14]PRIORIZADOS!$A:$I,9,FALSE)="","",VLOOKUP(A2014,[14]PRIORIZADOS!$A:$I,9,FALSE)),"")</f>
        <v>EVALUACIÓN_CON_FINES_DE_MEJORAMIENTO.</v>
      </c>
      <c r="J2014" s="11" t="str">
        <f>IFERROR(IF(VLOOKUP(A2014,[14]PRIORIZADOS!$A:$J,10,FALSE)="","",VLOOKUP(A2014,[14]PRIORIZADOS!$A:$J,10,FALSE)),"")</f>
        <v>Revisar el calendario escolar, jornada escolar, la intensidad horaria mínima anual en cada nivel y las modificaciones que se realicen al mismo, de acuerdo con lo previsto en la normatividad vigente.</v>
      </c>
      <c r="K2014" s="11" t="str">
        <f>IFERROR(IF(VLOOKUP(A2014,[14]PRIORIZADOS!$A:$K,11,FALSE)="","",VLOOKUP(A2014,[14]PRIORIZADOS!$A:$K,11,FALSE)),"")</f>
        <v>ALBA DEL PILAR CUBIDES CÁCERES</v>
      </c>
      <c r="L2014" s="11" t="str">
        <f>IFERROR(IF(VLOOKUP(A2014,[14]PRIORIZADOS!$A:$L,12,FALSE)="","",VLOOKUP(A2014,[14]PRIORIZADOS!$A:$L,12,FALSE)),"")</f>
        <v>SONIA CONSTANZA URREGO GONZÁLEZ</v>
      </c>
      <c r="M2014" s="71">
        <f>IFERROR(IF(VLOOKUP(A2014,[14]PRIORIZADOS!$A:$M,13,FALSE)="","",VLOOKUP(A2014,[14]PRIORIZADOS!$A:$M,13,FALSE)),"")</f>
        <v>45909</v>
      </c>
      <c r="N2014" s="71">
        <f>IFERROR(IF(VLOOKUP(A2014,[14]PRIORIZADOS!$A:$N,14,FALSE)="","",VLOOKUP(A2014,[14]PRIORIZADOS!$A:$N,14,FALSE)),"")</f>
        <v>45909</v>
      </c>
      <c r="O2014" s="71">
        <f>IFERROR(IF(VLOOKUP(A2014,[14]PRIORIZADOS!$A:$O,15,FALSE)="","",VLOOKUP(A2014,[14]PRIORIZADOS!$A:$O,15,FALSE)),"")</f>
        <v>45909</v>
      </c>
      <c r="P2014" s="11" t="str">
        <f>IFERROR(IF(VLOOKUP(A2014,[14]PRIORIZADOS!$A:$P,16,FALSE)="","",VLOOKUP(A2014,[14]PRIORIZADOS!$A:$P,16,FALSE)),"")</f>
        <v>Visitas de evaluación con fines de mejoramiento</v>
      </c>
      <c r="Q2014" s="250" t="s">
        <v>430</v>
      </c>
      <c r="R2014" s="11" t="str">
        <f>IFERROR(IF(VLOOKUP(A2014,[14]PRIORIZADOS!$A:$R,18,FALSE)="","",VLOOKUP(A2014,[14]PRIORIZADOS!$A:$R,18,FALSE)),"")</f>
        <v>Cumple con el número de semanas y horas por ciclo. Realizó reporte de información del Calendario Escolar.</v>
      </c>
      <c r="S2014" s="11" t="str">
        <f>IFERROR(IF(VLOOKUP(A2014,[14]PRIORIZADOS!$A:$S,19,FALSE)="","",VLOOKUP(A2014,[14]PRIORIZADOS!$A:$S,19,FALSE)),"")</f>
        <v xml:space="preserve">Continuar con el cumplimiento del calendario.  </v>
      </c>
      <c r="T2014" s="70" t="str">
        <f>IFERROR(IF(VLOOKUP(A2014,[14]PRIORIZADOS!$A:$T,20,FALSE)="","",VLOOKUP(A2014,[14]PRIORIZADOS!$A:$T,20,FALSE)),"")</f>
        <v>No</v>
      </c>
      <c r="U2014" s="11" t="str">
        <f>IFERROR(IF(VLOOKUP(A2014,[14]PRIORIZADOS!$A:$U,21,FALSE)="","",VLOOKUP(A2014,[14]PRIORIZADOS!$A:$U,21,FALSE)),"")</f>
        <v>Seguir con su cumplimiento</v>
      </c>
    </row>
    <row r="2015" spans="1:21" s="1" customFormat="1" ht="48">
      <c r="A2015" s="69">
        <f>IF([14]PRIORIZADOS!A62="","",[14]PRIORIZADOS!A62)</f>
        <v>1983</v>
      </c>
      <c r="B2015" s="70">
        <f>IFERROR(IF(VLOOKUP(A2015,[14]PRIORIZADOS!$A:$B,2,FALSE)="","",VLOOKUP(A2015,[14]PRIORIZADOS!$A:$B,2,FALSE)),"")</f>
        <v>6</v>
      </c>
      <c r="C2015" s="11" t="s">
        <v>424</v>
      </c>
      <c r="D2015" s="11" t="str">
        <f>IFERROR(IF(VLOOKUP(A2015,[14]PRIORIZADOS!$A:$D,4,FALSE)="","",VLOOKUP(A2015,[14]PRIORIZADOS!$A:$D,4,FALSE)),"")</f>
        <v>PRIVADO</v>
      </c>
      <c r="E2015" s="11" t="str">
        <f>IFERROR(IF(VLOOKUP(A2015,[14]PRIORIZADOS!$A:$E,5,FALSE)="","",VLOOKUP(A2015,[14]PRIORIZADOS!$A:$E,5,FALSE)),"")</f>
        <v>Educación de Jóvenes y Adultos</v>
      </c>
      <c r="F2015" s="11" t="str">
        <f>IFERROR(IF(VLOOKUP(A2015,[14]PRIORIZADOS!$A:$F,6,FALSE)="","",VLOOKUP(A2015,[14]PRIORIZADOS!$A:$F,6,FALSE)),"")</f>
        <v>COLEGIO_INSCAP</v>
      </c>
      <c r="G2015" s="11" t="str">
        <f>IFERROR(IF(VLOOKUP(A2015,[14]PRIORIZADOS!$A:$G,7,FALSE)="","",VLOOKUP(A2015,[14]PRIORIZADOS!$A:$G,7,FALSE)),"")</f>
        <v>COLEGIO INSCAP</v>
      </c>
      <c r="H2015" s="11" t="str">
        <f>IFERROR(IF(VLOOKUP(A2015,[14]PRIORIZADOS!$A:$H,8,FALSE)="","",VLOOKUP(A2015,[14]PRIORIZADOS!$A:$H,8,FALSE)),"")</f>
        <v>Autoevaluación Institucional y Pruebas SABER 11</v>
      </c>
      <c r="I2015" s="11" t="str">
        <f>IFERROR(IF(VLOOKUP(A2015,[14]PRIORIZADOS!$A:$I,9,FALSE)="","",VLOOKUP(A2015,[14]PRIORIZADOS!$A:$I,9,FALSE)),"")</f>
        <v>EVALUACIÓN_CON_FINES_DE_MEJORAMIENTO.</v>
      </c>
      <c r="J2015" s="11" t="str">
        <f>IFERROR(IF(VLOOKUP(A2015,[14]PRIORIZADOS!$A:$J,10,FALSE)="","",VLOOKUP(A2015,[14]PRIORIZADOS!$A:$J,10,FALSE)),"")</f>
        <v>Verificar el funcionamiento del Gobierno Escolar e instancias de participación con base en la información sobre conformación reportada por la institución educativa.</v>
      </c>
      <c r="K2015" s="11" t="str">
        <f>IFERROR(IF(VLOOKUP(A2015,[14]PRIORIZADOS!$A:$K,11,FALSE)="","",VLOOKUP(A2015,[14]PRIORIZADOS!$A:$K,11,FALSE)),"")</f>
        <v>ALBA DEL PILAR CUBIDES CÁCERES</v>
      </c>
      <c r="L2015" s="11" t="str">
        <f>IFERROR(IF(VLOOKUP(A2015,[14]PRIORIZADOS!$A:$L,12,FALSE)="","",VLOOKUP(A2015,[14]PRIORIZADOS!$A:$L,12,FALSE)),"")</f>
        <v>SONIA CONSTANZA URREGO GONZÁLEZ</v>
      </c>
      <c r="M2015" s="71">
        <f>IFERROR(IF(VLOOKUP(A2015,[14]PRIORIZADOS!$A:$M,13,FALSE)="","",VLOOKUP(A2015,[14]PRIORIZADOS!$A:$M,13,FALSE)),"")</f>
        <v>45909</v>
      </c>
      <c r="N2015" s="71">
        <f>IFERROR(IF(VLOOKUP(A2015,[14]PRIORIZADOS!$A:$N,14,FALSE)="","",VLOOKUP(A2015,[14]PRIORIZADOS!$A:$N,14,FALSE)),"")</f>
        <v>45909</v>
      </c>
      <c r="O2015" s="71">
        <f>IFERROR(IF(VLOOKUP(A2015,[14]PRIORIZADOS!$A:$O,15,FALSE)="","",VLOOKUP(A2015,[14]PRIORIZADOS!$A:$O,15,FALSE)),"")</f>
        <v>45909</v>
      </c>
      <c r="P2015" s="11" t="str">
        <f>IFERROR(IF(VLOOKUP(A2015,[14]PRIORIZADOS!$A:$P,16,FALSE)="","",VLOOKUP(A2015,[14]PRIORIZADOS!$A:$P,16,FALSE)),"")</f>
        <v>Visitas de evaluación con fines de mejoramiento</v>
      </c>
      <c r="Q2015" s="250" t="s">
        <v>430</v>
      </c>
      <c r="R2015" s="11" t="str">
        <f>IFERROR(IF(VLOOKUP(A2015,[14]PRIORIZADOS!$A:$R,18,FALSE)="","",VLOOKUP(A2015,[14]PRIORIZADOS!$A:$R,18,FALSE)),"")</f>
        <v>No se observa evidencia como se convocò a elecciòn, n i como  funciona el  gobierno escolar e instancias de participaciòn.</v>
      </c>
      <c r="S2015" s="11" t="str">
        <f>IFERROR(IF(VLOOKUP(A2015,[14]PRIORIZADOS!$A:$S,19,FALSE)="","",VLOOKUP(A2015,[14]PRIORIZADOS!$A:$S,19,FALSE)),"")</f>
        <v>Se debe presentar plan de mejoramiento a màs tardar el dìa 30  de septiembre de 2025, en el cual se informe las actividades, el tiempo y el funcionario a cargo</v>
      </c>
      <c r="T2015" s="70" t="str">
        <f>IFERROR(IF(VLOOKUP(A2015,[14]PRIORIZADOS!$A:$T,20,FALSE)="","",VLOOKUP(A2015,[14]PRIORIZADOS!$A:$T,20,FALSE)),"")</f>
        <v>Si</v>
      </c>
      <c r="U2015" s="11" t="str">
        <f>IFERROR(IF(VLOOKUP(A2015,[14]PRIORIZADOS!$A:$U,21,FALSE)="","",VLOOKUP(A2015,[14]PRIORIZADOS!$A:$U,21,FALSE)),"")</f>
        <v>Implementar las acciones para superar el presunto incumplimiento frente al tema</v>
      </c>
    </row>
    <row r="2016" spans="1:21" s="1" customFormat="1" ht="48">
      <c r="A2016" s="69">
        <f>IF([14]PRIORIZADOS!A63="","",[14]PRIORIZADOS!A63)</f>
        <v>1984</v>
      </c>
      <c r="B2016" s="70">
        <f>IFERROR(IF(VLOOKUP(A2016,[14]PRIORIZADOS!$A:$B,2,FALSE)="","",VLOOKUP(A2016,[14]PRIORIZADOS!$A:$B,2,FALSE)),"")</f>
        <v>6</v>
      </c>
      <c r="C2016" s="11" t="s">
        <v>424</v>
      </c>
      <c r="D2016" s="11" t="str">
        <f>IFERROR(IF(VLOOKUP(A2016,[14]PRIORIZADOS!$A:$D,4,FALSE)="","",VLOOKUP(A2016,[14]PRIORIZADOS!$A:$D,4,FALSE)),"")</f>
        <v>PRIVADO</v>
      </c>
      <c r="E2016" s="11" t="str">
        <f>IFERROR(IF(VLOOKUP(A2016,[14]PRIORIZADOS!$A:$E,5,FALSE)="","",VLOOKUP(A2016,[14]PRIORIZADOS!$A:$E,5,FALSE)),"")</f>
        <v>Educación de Jóvenes y Adultos</v>
      </c>
      <c r="F2016" s="11" t="str">
        <f>IFERROR(IF(VLOOKUP(A2016,[14]PRIORIZADOS!$A:$F,6,FALSE)="","",VLOOKUP(A2016,[14]PRIORIZADOS!$A:$F,6,FALSE)),"")</f>
        <v>COLEGIO_INSCAP</v>
      </c>
      <c r="G2016" s="11" t="str">
        <f>IFERROR(IF(VLOOKUP(A2016,[14]PRIORIZADOS!$A:$G,7,FALSE)="","",VLOOKUP(A2016,[14]PRIORIZADOS!$A:$G,7,FALSE)),"")</f>
        <v>COLEGIO INSCAP</v>
      </c>
      <c r="H2016" s="11" t="str">
        <f>IFERROR(IF(VLOOKUP(A2016,[14]PRIORIZADOS!$A:$H,8,FALSE)="","",VLOOKUP(A2016,[14]PRIORIZADOS!$A:$H,8,FALSE)),"")</f>
        <v>Autoevaluación Institucional y Pruebas SABER 11</v>
      </c>
      <c r="I2016" s="11" t="str">
        <f>IFERROR(IF(VLOOKUP(A2016,[14]PRIORIZADOS!$A:$I,9,FALSE)="","",VLOOKUP(A2016,[14]PRIORIZADOS!$A:$I,9,FALSE)),"")</f>
        <v>EVALUACIÓN_CON_FINES_DE_MEJORAMIENTO.</v>
      </c>
      <c r="J2016" s="11" t="str">
        <f>IFERROR(IF(VLOOKUP(A2016,[14]PRIORIZADOS!$A:$J,10,FALSE)="","",VLOOKUP(A2016,[14]PRIORIZADOS!$A:$J,10,FALSE)),"")</f>
        <v>Verificar las condiciones en cuanto a: la estructura administrativa, condiciones de la planta física y medios educativos adecuados.</v>
      </c>
      <c r="K2016" s="11" t="str">
        <f>IFERROR(IF(VLOOKUP(A2016,[14]PRIORIZADOS!$A:$K,11,FALSE)="","",VLOOKUP(A2016,[14]PRIORIZADOS!$A:$K,11,FALSE)),"")</f>
        <v>ALBA DEL PILAR CUBIDES CÁCERES</v>
      </c>
      <c r="L2016" s="11" t="str">
        <f>IFERROR(IF(VLOOKUP(A2016,[14]PRIORIZADOS!$A:$L,12,FALSE)="","",VLOOKUP(A2016,[14]PRIORIZADOS!$A:$L,12,FALSE)),"")</f>
        <v>SONIA CONSTANZA URREGO GONZÁLEZ</v>
      </c>
      <c r="M2016" s="71">
        <f>IFERROR(IF(VLOOKUP(A2016,[14]PRIORIZADOS!$A:$M,13,FALSE)="","",VLOOKUP(A2016,[14]PRIORIZADOS!$A:$M,13,FALSE)),"")</f>
        <v>45909</v>
      </c>
      <c r="N2016" s="71">
        <f>IFERROR(IF(VLOOKUP(A2016,[14]PRIORIZADOS!$A:$N,14,FALSE)="","",VLOOKUP(A2016,[14]PRIORIZADOS!$A:$N,14,FALSE)),"")</f>
        <v>45909</v>
      </c>
      <c r="O2016" s="71">
        <f>IFERROR(IF(VLOOKUP(A2016,[14]PRIORIZADOS!$A:$O,15,FALSE)="","",VLOOKUP(A2016,[14]PRIORIZADOS!$A:$O,15,FALSE)),"")</f>
        <v>45909</v>
      </c>
      <c r="P2016" s="11" t="str">
        <f>IFERROR(IF(VLOOKUP(A2016,[14]PRIORIZADOS!$A:$P,16,FALSE)="","",VLOOKUP(A2016,[14]PRIORIZADOS!$A:$P,16,FALSE)),"")</f>
        <v>Visitas de evaluación con fines de mejoramiento</v>
      </c>
      <c r="Q2016" s="250" t="s">
        <v>430</v>
      </c>
      <c r="R2016" s="11" t="str">
        <f>IFERROR(IF(VLOOKUP(A2016,[14]PRIORIZADOS!$A:$R,18,FALSE)="","",VLOOKUP(A2016,[14]PRIORIZADOS!$A:$R,18,FALSE)),"")</f>
        <v>Se observan espacios dotados biblioteca, aula mùltiple, àrea administrativa, salones baños. No obstante no se cuenta con baño de discapacidad</v>
      </c>
      <c r="S2016" s="11" t="str">
        <f>IFERROR(IF(VLOOKUP(A2016,[14]PRIORIZADOS!$A:$S,19,FALSE)="","",VLOOKUP(A2016,[14]PRIORIZADOS!$A:$S,19,FALSE)),"")</f>
        <v>Se debe presentar plan de mejoramiento a màs tardar el dìa 30  de septiembre de 2025, en el cual se informe las actividades, el tiempo y el funcionario a cargo</v>
      </c>
      <c r="T2016" s="70" t="str">
        <f>IFERROR(IF(VLOOKUP(A2016,[14]PRIORIZADOS!$A:$T,20,FALSE)="","",VLOOKUP(A2016,[14]PRIORIZADOS!$A:$T,20,FALSE)),"")</f>
        <v>Si</v>
      </c>
      <c r="U2016" s="11" t="str">
        <f>IFERROR(IF(VLOOKUP(A2016,[14]PRIORIZADOS!$A:$U,21,FALSE)="","",VLOOKUP(A2016,[14]PRIORIZADOS!$A:$U,21,FALSE)),"")</f>
        <v>Adecuar baño para discapacidad</v>
      </c>
    </row>
    <row r="2017" spans="1:21" s="1" customFormat="1" ht="72">
      <c r="A2017" s="69">
        <f>IF([14]PRIORIZADOS!A64="","",[14]PRIORIZADOS!A64)</f>
        <v>1985</v>
      </c>
      <c r="B2017" s="70">
        <f>IFERROR(IF(VLOOKUP(A2017,[14]PRIORIZADOS!$A:$B,2,FALSE)="","",VLOOKUP(A2017,[14]PRIORIZADOS!$A:$B,2,FALSE)),"")</f>
        <v>7</v>
      </c>
      <c r="C2017" s="11" t="s">
        <v>424</v>
      </c>
      <c r="D2017" s="11" t="str">
        <f>IFERROR(IF(VLOOKUP(A2017,[14]PRIORIZADOS!$A:$D,4,FALSE)="","",VLOOKUP(A2017,[14]PRIORIZADOS!$A:$D,4,FALSE)),"")</f>
        <v>PRIVADO</v>
      </c>
      <c r="E2017" s="11" t="str">
        <f>IFERROR(IF(VLOOKUP(A2017,[14]PRIORIZADOS!$A:$E,5,FALSE)="","",VLOOKUP(A2017,[14]PRIORIZADOS!$A:$E,5,FALSE)),"")</f>
        <v>Educación de Jóvenes y Adultos</v>
      </c>
      <c r="F2017" s="11" t="str">
        <f>IFERROR(IF(VLOOKUP(A2017,[14]PRIORIZADOS!$A:$F,6,FALSE)="","",VLOOKUP(A2017,[14]PRIORIZADOS!$A:$F,6,FALSE)),"")</f>
        <v>LICEO_BRITANICO_SUPERIOR</v>
      </c>
      <c r="G2017" s="11" t="str">
        <f>IFERROR(IF(VLOOKUP(A2017,[14]PRIORIZADOS!$A:$G,7,FALSE)="","",VLOOKUP(A2017,[14]PRIORIZADOS!$A:$G,7,FALSE)),"")</f>
        <v>LICEO BRITANICO SUPERIOR</v>
      </c>
      <c r="H2017" s="11" t="str">
        <f>IFERROR(IF(VLOOKUP(A2017,[14]PRIORIZADOS!$A:$H,8,FALSE)="","",VLOOKUP(A2017,[14]PRIORIZADOS!$A:$H,8,FALSE)),"")</f>
        <v>Autoevaluación Institucional y Pruebas SABER 11</v>
      </c>
      <c r="I2017" s="11" t="str">
        <f>IFERROR(IF(VLOOKUP(A2017,[14]PRIORIZADOS!$A:$I,9,FALSE)="","",VLOOKUP(A2017,[14]PRIORIZADOS!$A:$I,9,FALSE)),"")</f>
        <v>SEGUIMIENTO_Y_SUPERVISIÓN.</v>
      </c>
      <c r="J2017" s="11" t="str">
        <f>IFERROR(IF(VLOOKUP(A2017,[14]PRIORIZADOS!$A:$J,10,FALSE)="","",VLOOKUP(A2017,[14]PRIORIZADOS!$A:$J,10,FALSE)),"")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017" s="11" t="str">
        <f>IFERROR(IF(VLOOKUP(A2017,[14]PRIORIZADOS!$A:$K,11,FALSE)="","",VLOOKUP(A2017,[14]PRIORIZADOS!$A:$K,11,FALSE)),"")</f>
        <v>SONIA CONSTANZA URREGO GONZÁLEZ</v>
      </c>
      <c r="L2017" s="11" t="str">
        <f>IFERROR(IF(VLOOKUP(A2017,[14]PRIORIZADOS!$A:$L,12,FALSE)="","",VLOOKUP(A2017,[14]PRIORIZADOS!$A:$L,12,FALSE)),"")</f>
        <v>ALBA DEL PILAR CUBIDES CÁCERES</v>
      </c>
      <c r="M2017" s="71">
        <f>IFERROR(IF(VLOOKUP(A2017,[14]PRIORIZADOS!$A:$M,13,FALSE)="","",VLOOKUP(A2017,[14]PRIORIZADOS!$A:$M,13,FALSE)),"")</f>
        <v>45895</v>
      </c>
      <c r="N2017" s="71">
        <f>IFERROR(IF(VLOOKUP(A2017,[14]PRIORIZADOS!$A:$N,14,FALSE)="","",VLOOKUP(A2017,[14]PRIORIZADOS!$A:$N,14,FALSE)),"")</f>
        <v>45881</v>
      </c>
      <c r="O2017" s="71">
        <f>IFERROR(IF(VLOOKUP(A2017,[14]PRIORIZADOS!$A:$O,15,FALSE)="","",VLOOKUP(A2017,[14]PRIORIZADOS!$A:$O,15,FALSE)),"")</f>
        <v>45881</v>
      </c>
      <c r="P2017" s="11" t="str">
        <f>IFERROR(IF(VLOOKUP(A2017,[14]PRIORIZADOS!$A:$P,16,FALSE)="","",VLOOKUP(A2017,[14]PRIORIZADOS!$A:$P,16,FALSE)),"")</f>
        <v>Visitas de evaluación con fines de seguimiento</v>
      </c>
      <c r="Q2017" s="27" t="s">
        <v>431</v>
      </c>
      <c r="R2017" s="11" t="str">
        <f>IFERROR(IF(VLOOKUP(A2017,[14]PRIORIZADOS!$A:$R,18,FALSE)="","",VLOOKUP(A2017,[14]PRIORIZADOS!$A:$R,18,FALSE)),"")</f>
        <v>Se programa mesa técnica de trabajo  con las directivas de la institución, con el fin de socializar visita y  presentación del Plan de Mejoramiento Institucional por situaciones encontradas y superación de causas que lo clasificaron en régimen controlado.</v>
      </c>
      <c r="S2017" s="11" t="str">
        <f>IFERROR(IF(VLOOKUP(A2017,[14]PRIORIZADOS!$A:$S,19,FALSE)="","",VLOOKUP(A2017,[14]PRIORIZADOS!$A:$S,19,FALSE)),"")</f>
        <v>Cumplimiento de acciones proyectadas en el PMI</v>
      </c>
      <c r="T2017" s="70" t="str">
        <f>IFERROR(IF(VLOOKUP(A2017,[14]PRIORIZADOS!$A:$T,20,FALSE)="","",VLOOKUP(A2017,[14]PRIORIZADOS!$A:$T,20,FALSE)),"")</f>
        <v>Si</v>
      </c>
      <c r="U2017" s="11" t="str">
        <f>IFERROR(IF(VLOOKUP(A2017,[14]PRIORIZADOS!$A:$U,21,FALSE)="","",VLOOKUP(A2017,[14]PRIORIZADOS!$A:$U,21,FALSE)),"")</f>
        <v>Verificar el cumplimiento de las acciones proyectadas en el PMI</v>
      </c>
    </row>
    <row r="2018" spans="1:21" s="1" customFormat="1" ht="72">
      <c r="A2018" s="69">
        <f>IF([14]PRIORIZADOS!A65="","",[14]PRIORIZADOS!A65)</f>
        <v>1986</v>
      </c>
      <c r="B2018" s="70">
        <f>IFERROR(IF(VLOOKUP(A2018,[14]PRIORIZADOS!$A:$B,2,FALSE)="","",VLOOKUP(A2018,[14]PRIORIZADOS!$A:$B,2,FALSE)),"")</f>
        <v>7</v>
      </c>
      <c r="C2018" s="11" t="s">
        <v>424</v>
      </c>
      <c r="D2018" s="11" t="str">
        <f>IFERROR(IF(VLOOKUP(A2018,[14]PRIORIZADOS!$A:$D,4,FALSE)="","",VLOOKUP(A2018,[14]PRIORIZADOS!$A:$D,4,FALSE)),"")</f>
        <v>PRIVADO</v>
      </c>
      <c r="E2018" s="11" t="str">
        <f>IFERROR(IF(VLOOKUP(A2018,[14]PRIORIZADOS!$A:$E,5,FALSE)="","",VLOOKUP(A2018,[14]PRIORIZADOS!$A:$E,5,FALSE)),"")</f>
        <v>Educación de Jóvenes y Adultos</v>
      </c>
      <c r="F2018" s="11" t="str">
        <f>IFERROR(IF(VLOOKUP(A2018,[14]PRIORIZADOS!$A:$F,6,FALSE)="","",VLOOKUP(A2018,[14]PRIORIZADOS!$A:$F,6,FALSE)),"")</f>
        <v>LICEO_BRITANICO_SUPERIOR</v>
      </c>
      <c r="G2018" s="11" t="str">
        <f>IFERROR(IF(VLOOKUP(A2018,[14]PRIORIZADOS!$A:$G,7,FALSE)="","",VLOOKUP(A2018,[14]PRIORIZADOS!$A:$G,7,FALSE)),"")</f>
        <v>LICEO BRITANICO SUPERIOR</v>
      </c>
      <c r="H2018" s="11" t="str">
        <f>IFERROR(IF(VLOOKUP(A2018,[14]PRIORIZADOS!$A:$H,8,FALSE)="","",VLOOKUP(A2018,[14]PRIORIZADOS!$A:$H,8,FALSE)),"")</f>
        <v>Autoevaluación Institucional y Pruebas SABER 11</v>
      </c>
      <c r="I2018" s="11" t="str">
        <f>IFERROR(IF(VLOOKUP(A2018,[14]PRIORIZADOS!$A:$I,9,FALSE)="","",VLOOKUP(A2018,[14]PRIORIZADOS!$A:$I,9,FALSE)),"")</f>
        <v>SEGUIMIENTO_Y_SUPERVISIÓN.</v>
      </c>
      <c r="J2018" s="11" t="str">
        <f>IFERROR(IF(VLOOKUP(A2018,[14]PRIORIZADOS!$A:$J,10,FALSE)="","",VLOOKUP(A2018,[14]PRIORIZADOS!$A:$J,10,FALSE)),"")</f>
        <v>Realizar visitas para verificar la información registrada sobre la autoevaluación institucional en el aplicativo EVI, a los establecimientos de educación formal no oficial.</v>
      </c>
      <c r="K2018" s="11" t="str">
        <f>IFERROR(IF(VLOOKUP(A2018,[14]PRIORIZADOS!$A:$K,11,FALSE)="","",VLOOKUP(A2018,[14]PRIORIZADOS!$A:$K,11,FALSE)),"")</f>
        <v>SONIA CONSTANZA URREGO GONZÁLEZ</v>
      </c>
      <c r="L2018" s="11" t="str">
        <f>IFERROR(IF(VLOOKUP(A2018,[14]PRIORIZADOS!$A:$L,12,FALSE)="","",VLOOKUP(A2018,[14]PRIORIZADOS!$A:$L,12,FALSE)),"")</f>
        <v>ALBA DEL PILAR CUBIDES CÁCERES</v>
      </c>
      <c r="M2018" s="71">
        <f>IFERROR(IF(VLOOKUP(A2018,[14]PRIORIZADOS!$A:$M,13,FALSE)="","",VLOOKUP(A2018,[14]PRIORIZADOS!$A:$M,13,FALSE)),"")</f>
        <v>45895</v>
      </c>
      <c r="N2018" s="71">
        <f>IFERROR(IF(VLOOKUP(A2018,[14]PRIORIZADOS!$A:$N,14,FALSE)="","",VLOOKUP(A2018,[14]PRIORIZADOS!$A:$N,14,FALSE)),"")</f>
        <v>45881</v>
      </c>
      <c r="O2018" s="71">
        <f>IFERROR(IF(VLOOKUP(A2018,[14]PRIORIZADOS!$A:$O,15,FALSE)="","",VLOOKUP(A2018,[14]PRIORIZADOS!$A:$O,15,FALSE)),"")</f>
        <v>45881</v>
      </c>
      <c r="P2018" s="11" t="str">
        <f>IFERROR(IF(VLOOKUP(A2018,[14]PRIORIZADOS!$A:$P,16,FALSE)="","",VLOOKUP(A2018,[14]PRIORIZADOS!$A:$P,16,FALSE)),"")</f>
        <v>Visitas de evaluación con fines de seguimiento</v>
      </c>
      <c r="Q2018" s="27" t="s">
        <v>431</v>
      </c>
      <c r="R2018" s="11" t="str">
        <f>IFERROR(IF(VLOOKUP(A2018,[14]PRIORIZADOS!$A:$R,18,FALSE)="","",VLOOKUP(A2018,[14]PRIORIZADOS!$A:$R,18,FALSE)),"")</f>
        <v>Al momento de la visita se encontró que la totalidad de la información reportada en el aplicativo EVI, no corresponde con la realidad. Ejemplo de ello son los computadores de uso de estudiantes, el servicio de internet, entre otros.</v>
      </c>
      <c r="S2018" s="11" t="str">
        <f>IFERROR(IF(VLOOKUP(A2018,[14]PRIORIZADOS!$A:$S,19,FALSE)="","",VLOOKUP(A2018,[14]PRIORIZADOS!$A:$S,19,FALSE)),"")</f>
        <v>Revisión de lo consignado en el aplicativo EVI y que por la remodelación actual, no se haya permitido visualizar lo descrito.</v>
      </c>
      <c r="T2018" s="70" t="str">
        <f>IFERROR(IF(VLOOKUP(A2018,[14]PRIORIZADOS!$A:$T,20,FALSE)="","",VLOOKUP(A2018,[14]PRIORIZADOS!$A:$T,20,FALSE)),"")</f>
        <v>Si</v>
      </c>
      <c r="U2018" s="11" t="str">
        <f>IFERROR(IF(VLOOKUP(A2018,[14]PRIORIZADOS!$A:$U,21,FALSE)="","",VLOOKUP(A2018,[14]PRIORIZADOS!$A:$U,21,FALSE)),"")</f>
        <v>Verificar con registro fotográfico, los elementos que no se hayan podido visualizar en el momento de la visita y que tienen correspondencia con lo registrado en EVI.</v>
      </c>
    </row>
    <row r="2019" spans="1:21" s="1" customFormat="1" ht="60">
      <c r="A2019" s="69">
        <f>IF([14]PRIORIZADOS!A66="","",[14]PRIORIZADOS!A66)</f>
        <v>1987</v>
      </c>
      <c r="B2019" s="70">
        <f>IFERROR(IF(VLOOKUP(A2019,[14]PRIORIZADOS!$A:$B,2,FALSE)="","",VLOOKUP(A2019,[14]PRIORIZADOS!$A:$B,2,FALSE)),"")</f>
        <v>7</v>
      </c>
      <c r="C2019" s="11" t="s">
        <v>424</v>
      </c>
      <c r="D2019" s="11" t="str">
        <f>IFERROR(IF(VLOOKUP(A2019,[14]PRIORIZADOS!$A:$D,4,FALSE)="","",VLOOKUP(A2019,[14]PRIORIZADOS!$A:$D,4,FALSE)),"")</f>
        <v>PRIVADO</v>
      </c>
      <c r="E2019" s="11" t="str">
        <f>IFERROR(IF(VLOOKUP(A2019,[14]PRIORIZADOS!$A:$E,5,FALSE)="","",VLOOKUP(A2019,[14]PRIORIZADOS!$A:$E,5,FALSE)),"")</f>
        <v>Educación de Jóvenes y Adultos</v>
      </c>
      <c r="F2019" s="11" t="str">
        <f>IFERROR(IF(VLOOKUP(A2019,[14]PRIORIZADOS!$A:$F,6,FALSE)="","",VLOOKUP(A2019,[14]PRIORIZADOS!$A:$F,6,FALSE)),"")</f>
        <v>LICEO_BRITANICO_SUPERIOR</v>
      </c>
      <c r="G2019" s="11" t="str">
        <f>IFERROR(IF(VLOOKUP(A2019,[14]PRIORIZADOS!$A:$G,7,FALSE)="","",VLOOKUP(A2019,[14]PRIORIZADOS!$A:$G,7,FALSE)),"")</f>
        <v>LICEO BRITANICO SUPERIOR</v>
      </c>
      <c r="H2019" s="11" t="str">
        <f>IFERROR(IF(VLOOKUP(A2019,[14]PRIORIZADOS!$A:$H,8,FALSE)="","",VLOOKUP(A2019,[14]PRIORIZADOS!$A:$H,8,FALSE)),"")</f>
        <v>Autoevaluación Institucional y Pruebas SABER 11</v>
      </c>
      <c r="I2019" s="11" t="str">
        <f>IFERROR(IF(VLOOKUP(A2019,[14]PRIORIZADOS!$A:$I,9,FALSE)="","",VLOOKUP(A2019,[14]PRIORIZADOS!$A:$I,9,FALSE)),"")</f>
        <v>SEGUIMIENTO_Y_SUPERVISIÓN.</v>
      </c>
      <c r="J2019" s="11" t="str">
        <f>IFERROR(IF(VLOOKUP(A2019,[14]PRIORIZADOS!$A:$J,10,FALSE)="","",VLOOKUP(A2019,[14]PRIORIZADOS!$A:$J,10,FALSE)),"")</f>
        <v>Proponer estrategias en la formulación, verificar su elaboración y realizar seguimiento semestral al desarrollo de  las acciones establecidas en los planes de mejoramiento por pruebas SABER 11 de los establecimientos de educación formal.</v>
      </c>
      <c r="K2019" s="11" t="str">
        <f>IFERROR(IF(VLOOKUP(A2019,[14]PRIORIZADOS!$A:$K,11,FALSE)="","",VLOOKUP(A2019,[14]PRIORIZADOS!$A:$K,11,FALSE)),"")</f>
        <v>SONIA CONSTANZA URREGO GONZÁLEZ</v>
      </c>
      <c r="L2019" s="11" t="str">
        <f>IFERROR(IF(VLOOKUP(A2019,[14]PRIORIZADOS!$A:$L,12,FALSE)="","",VLOOKUP(A2019,[14]PRIORIZADOS!$A:$L,12,FALSE)),"")</f>
        <v>ALBA DEL PILAR CUBIDES CÁCERES</v>
      </c>
      <c r="M2019" s="71">
        <f>IFERROR(IF(VLOOKUP(A2019,[14]PRIORIZADOS!$A:$M,13,FALSE)="","",VLOOKUP(A2019,[14]PRIORIZADOS!$A:$M,13,FALSE)),"")</f>
        <v>45895</v>
      </c>
      <c r="N2019" s="71">
        <f>IFERROR(IF(VLOOKUP(A2019,[14]PRIORIZADOS!$A:$N,14,FALSE)="","",VLOOKUP(A2019,[14]PRIORIZADOS!$A:$N,14,FALSE)),"")</f>
        <v>45881</v>
      </c>
      <c r="O2019" s="71">
        <f>IFERROR(IF(VLOOKUP(A2019,[14]PRIORIZADOS!$A:$O,15,FALSE)="","",VLOOKUP(A2019,[14]PRIORIZADOS!$A:$O,15,FALSE)),"")</f>
        <v>45881</v>
      </c>
      <c r="P2019" s="11" t="str">
        <f>IFERROR(IF(VLOOKUP(A2019,[14]PRIORIZADOS!$A:$P,16,FALSE)="","",VLOOKUP(A2019,[14]PRIORIZADOS!$A:$P,16,FALSE)),"")</f>
        <v>Visitas de evaluación con fines de seguimiento</v>
      </c>
      <c r="Q2019" s="27" t="s">
        <v>431</v>
      </c>
      <c r="R2019" s="11" t="str">
        <f>IFERROR(IF(VLOOKUP(A2019,[14]PRIORIZADOS!$A:$R,18,FALSE)="","",VLOOKUP(A2019,[14]PRIORIZADOS!$A:$R,18,FALSE)),"")</f>
        <v>La institución educativa se encuentra clasificada en nivel D, no se ha realizado el análsis de los últimos resultados, ni se han creado estrtegias para subir el nivel en las pruebas.</v>
      </c>
      <c r="S2019" s="11" t="str">
        <f>IFERROR(IF(VLOOKUP(A2019,[14]PRIORIZADOS!$A:$S,19,FALSE)="","",VLOOKUP(A2019,[14]PRIORIZADOS!$A:$S,19,FALSE)),"")</f>
        <v xml:space="preserve">Revisar los resultados obtenidos en los últimos años y la relación con las asignaturas del plan de estudio. Elaborar un plan de mejoramiento sobre las acciones a tomar. </v>
      </c>
      <c r="T2019" s="70" t="str">
        <f>IFERROR(IF(VLOOKUP(A2019,[14]PRIORIZADOS!$A:$T,20,FALSE)="","",VLOOKUP(A2019,[14]PRIORIZADOS!$A:$T,20,FALSE)),"")</f>
        <v>Si</v>
      </c>
      <c r="U2019" s="11" t="str">
        <f>IFERROR(IF(VLOOKUP(A2019,[14]PRIORIZADOS!$A:$U,21,FALSE)="","",VLOOKUP(A2019,[14]PRIORIZADOS!$A:$U,21,FALSE)),"")</f>
        <v>Verificar el cumplimiento a las acciones proyectadas por la institución en el PMI.</v>
      </c>
    </row>
    <row r="2020" spans="1:21" s="1" customFormat="1" ht="48">
      <c r="A2020" s="69">
        <f>IF([14]PRIORIZADOS!A67="","",[14]PRIORIZADOS!A67)</f>
        <v>1988</v>
      </c>
      <c r="B2020" s="70">
        <f>IFERROR(IF(VLOOKUP(A2020,[14]PRIORIZADOS!$A:$B,2,FALSE)="","",VLOOKUP(A2020,[14]PRIORIZADOS!$A:$B,2,FALSE)),"")</f>
        <v>7</v>
      </c>
      <c r="C2020" s="11" t="s">
        <v>424</v>
      </c>
      <c r="D2020" s="11" t="str">
        <f>IFERROR(IF(VLOOKUP(A2020,[14]PRIORIZADOS!$A:$D,4,FALSE)="","",VLOOKUP(A2020,[14]PRIORIZADOS!$A:$D,4,FALSE)),"")</f>
        <v>PRIVADO</v>
      </c>
      <c r="E2020" s="11" t="str">
        <f>IFERROR(IF(VLOOKUP(A2020,[14]PRIORIZADOS!$A:$E,5,FALSE)="","",VLOOKUP(A2020,[14]PRIORIZADOS!$A:$E,5,FALSE)),"")</f>
        <v>Educación de Jóvenes y Adultos</v>
      </c>
      <c r="F2020" s="11" t="str">
        <f>IFERROR(IF(VLOOKUP(A2020,[14]PRIORIZADOS!$A:$F,6,FALSE)="","",VLOOKUP(A2020,[14]PRIORIZADOS!$A:$F,6,FALSE)),"")</f>
        <v>LICEO_BRITANICO_SUPERIOR</v>
      </c>
      <c r="G2020" s="11" t="str">
        <f>IFERROR(IF(VLOOKUP(A2020,[14]PRIORIZADOS!$A:$G,7,FALSE)="","",VLOOKUP(A2020,[14]PRIORIZADOS!$A:$G,7,FALSE)),"")</f>
        <v>LICEO BRITANICO SUPERIOR</v>
      </c>
      <c r="H2020" s="11" t="str">
        <f>IFERROR(IF(VLOOKUP(A2020,[14]PRIORIZADOS!$A:$H,8,FALSE)="","",VLOOKUP(A2020,[14]PRIORIZADOS!$A:$H,8,FALSE)),"")</f>
        <v>Autoevaluación Institucional y Pruebas SABER 11</v>
      </c>
      <c r="I2020" s="11" t="str">
        <f>IFERROR(IF(VLOOKUP(A2020,[14]PRIORIZADOS!$A:$I,9,FALSE)="","",VLOOKUP(A2020,[14]PRIORIZADOS!$A:$I,9,FALSE)),"")</f>
        <v>SEGUIMIENTO_Y_SUPERVISIÓN.</v>
      </c>
      <c r="J2020" s="11" t="str">
        <f>IFERROR(IF(VLOOKUP(A2020,[14]PRIORIZADOS!$A:$J,10,FALSE)="","",VLOOKUP(A2020,[14]PRIORIZADOS!$A:$J,10,FALSE)),"")</f>
        <v xml:space="preserve">Verificar la implementación por parte de los colegios, de acciones realizadas para la prevención y atención de las situaciones de convivencia en el entorno escolar, según lo establecido en la Directiva 01 de 2022 del MEN. </v>
      </c>
      <c r="K2020" s="11" t="str">
        <f>IFERROR(IF(VLOOKUP(A2020,[14]PRIORIZADOS!$A:$K,11,FALSE)="","",VLOOKUP(A2020,[14]PRIORIZADOS!$A:$K,11,FALSE)),"")</f>
        <v>SONIA CONSTANZA URREGO GONZÁLEZ</v>
      </c>
      <c r="L2020" s="11" t="str">
        <f>IFERROR(IF(VLOOKUP(A2020,[14]PRIORIZADOS!$A:$L,12,FALSE)="","",VLOOKUP(A2020,[14]PRIORIZADOS!$A:$L,12,FALSE)),"")</f>
        <v>ALBA DEL PILAR CUBIDES CÁCERES</v>
      </c>
      <c r="M2020" s="71">
        <f>IFERROR(IF(VLOOKUP(A2020,[14]PRIORIZADOS!$A:$M,13,FALSE)="","",VLOOKUP(A2020,[14]PRIORIZADOS!$A:$M,13,FALSE)),"")</f>
        <v>45895</v>
      </c>
      <c r="N2020" s="71">
        <f>IFERROR(IF(VLOOKUP(A2020,[14]PRIORIZADOS!$A:$N,14,FALSE)="","",VLOOKUP(A2020,[14]PRIORIZADOS!$A:$N,14,FALSE)),"")</f>
        <v>45881</v>
      </c>
      <c r="O2020" s="71">
        <f>IFERROR(IF(VLOOKUP(A2020,[14]PRIORIZADOS!$A:$O,15,FALSE)="","",VLOOKUP(A2020,[14]PRIORIZADOS!$A:$O,15,FALSE)),"")</f>
        <v>45881</v>
      </c>
      <c r="P2020" s="11" t="str">
        <f>IFERROR(IF(VLOOKUP(A2020,[14]PRIORIZADOS!$A:$P,16,FALSE)="","",VLOOKUP(A2020,[14]PRIORIZADOS!$A:$P,16,FALSE)),"")</f>
        <v>Visitas de evaluación con fines de seguimiento</v>
      </c>
      <c r="Q2020" s="27" t="s">
        <v>431</v>
      </c>
      <c r="R2020" s="11" t="str">
        <f>IFERROR(IF(VLOOKUP(A2020,[14]PRIORIZADOS!$A:$R,18,FALSE)="","",VLOOKUP(A2020,[14]PRIORIZADOS!$A:$R,18,FALSE)),"")</f>
        <v>No se realiza la consulta de inhabliddes por delitos sexuales.</v>
      </c>
      <c r="S2020" s="11" t="str">
        <f>IFERROR(IF(VLOOKUP(A2020,[14]PRIORIZADOS!$A:$S,19,FALSE)="","",VLOOKUP(A2020,[14]PRIORIZADOS!$A:$S,19,FALSE)),"")</f>
        <v xml:space="preserve">Realizar la consulta inicial y cada 4 meses, dejando el respectivo soporte, en cumplimiento de la Directiva 01 de 2022  </v>
      </c>
      <c r="T2020" s="70" t="str">
        <f>IFERROR(IF(VLOOKUP(A2020,[14]PRIORIZADOS!$A:$T,20,FALSE)="","",VLOOKUP(A2020,[14]PRIORIZADOS!$A:$T,20,FALSE)),"")</f>
        <v>Si</v>
      </c>
      <c r="U2020" s="11" t="str">
        <f>IFERROR(IF(VLOOKUP(A2020,[14]PRIORIZADOS!$A:$U,21,FALSE)="","",VLOOKUP(A2020,[14]PRIORIZADOS!$A:$U,21,FALSE)),"")</f>
        <v xml:space="preserve">Verificar la consulta periodica de acuerdo con lo establecido en la directiva 01 del 2022. </v>
      </c>
    </row>
    <row r="2021" spans="1:21" s="1" customFormat="1" ht="72">
      <c r="A2021" s="69">
        <f>IF([14]PRIORIZADOS!A68="","",[14]PRIORIZADOS!A68)</f>
        <v>1989</v>
      </c>
      <c r="B2021" s="70">
        <f>IFERROR(IF(VLOOKUP(A2021,[14]PRIORIZADOS!$A:$B,2,FALSE)="","",VLOOKUP(A2021,[14]PRIORIZADOS!$A:$B,2,FALSE)),"")</f>
        <v>7</v>
      </c>
      <c r="C2021" s="11" t="s">
        <v>424</v>
      </c>
      <c r="D2021" s="11" t="str">
        <f>IFERROR(IF(VLOOKUP(A2021,[14]PRIORIZADOS!$A:$D,4,FALSE)="","",VLOOKUP(A2021,[14]PRIORIZADOS!$A:$D,4,FALSE)),"")</f>
        <v>PRIVADO</v>
      </c>
      <c r="E2021" s="11" t="str">
        <f>IFERROR(IF(VLOOKUP(A2021,[14]PRIORIZADOS!$A:$E,5,FALSE)="","",VLOOKUP(A2021,[14]PRIORIZADOS!$A:$E,5,FALSE)),"")</f>
        <v>Educación de Jóvenes y Adultos</v>
      </c>
      <c r="F2021" s="11" t="str">
        <f>IFERROR(IF(VLOOKUP(A2021,[14]PRIORIZADOS!$A:$F,6,FALSE)="","",VLOOKUP(A2021,[14]PRIORIZADOS!$A:$F,6,FALSE)),"")</f>
        <v>LICEO_BRITANICO_SUPERIOR</v>
      </c>
      <c r="G2021" s="11" t="str">
        <f>IFERROR(IF(VLOOKUP(A2021,[14]PRIORIZADOS!$A:$G,7,FALSE)="","",VLOOKUP(A2021,[14]PRIORIZADOS!$A:$G,7,FALSE)),"")</f>
        <v>LICEO BRITANICO SUPERIOR</v>
      </c>
      <c r="H2021" s="11" t="str">
        <f>IFERROR(IF(VLOOKUP(A2021,[14]PRIORIZADOS!$A:$H,8,FALSE)="","",VLOOKUP(A2021,[14]PRIORIZADOS!$A:$H,8,FALSE)),"")</f>
        <v>Autoevaluación Institucional y Pruebas SABER 11</v>
      </c>
      <c r="I2021" s="11" t="str">
        <f>IFERROR(IF(VLOOKUP(A2021,[14]PRIORIZADOS!$A:$I,9,FALSE)="","",VLOOKUP(A2021,[14]PRIORIZADOS!$A:$I,9,FALSE)),"")</f>
        <v>SEGUIMIENTO_Y_SUPERVISIÓN.</v>
      </c>
      <c r="J2021" s="11" t="str">
        <f>IFERROR(IF(VLOOKUP(A2021,[14]PRIORIZADOS!$A:$J,10,FALSE)="","",VLOOKUP(A2021,[14]PRIORIZADOS!$A:$J,10,FALSE)),"")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21" s="11" t="str">
        <f>IFERROR(IF(VLOOKUP(A2021,[14]PRIORIZADOS!$A:$K,11,FALSE)="","",VLOOKUP(A2021,[14]PRIORIZADOS!$A:$K,11,FALSE)),"")</f>
        <v>SONIA CONSTANZA URREGO GONZÁLEZ</v>
      </c>
      <c r="L2021" s="11" t="str">
        <f>IFERROR(IF(VLOOKUP(A2021,[14]PRIORIZADOS!$A:$L,12,FALSE)="","",VLOOKUP(A2021,[14]PRIORIZADOS!$A:$L,12,FALSE)),"")</f>
        <v>ALBA DEL PILAR CUBIDES CÁCERES</v>
      </c>
      <c r="M2021" s="71">
        <f>IFERROR(IF(VLOOKUP(A2021,[14]PRIORIZADOS!$A:$M,13,FALSE)="","",VLOOKUP(A2021,[14]PRIORIZADOS!$A:$M,13,FALSE)),"")</f>
        <v>45895</v>
      </c>
      <c r="N2021" s="71">
        <f>IFERROR(IF(VLOOKUP(A2021,[14]PRIORIZADOS!$A:$N,14,FALSE)="","",VLOOKUP(A2021,[14]PRIORIZADOS!$A:$N,14,FALSE)),"")</f>
        <v>45881</v>
      </c>
      <c r="O2021" s="71">
        <f>IFERROR(IF(VLOOKUP(A2021,[14]PRIORIZADOS!$A:$O,15,FALSE)="","",VLOOKUP(A2021,[14]PRIORIZADOS!$A:$O,15,FALSE)),"")</f>
        <v>45881</v>
      </c>
      <c r="P2021" s="11" t="str">
        <f>IFERROR(IF(VLOOKUP(A2021,[14]PRIORIZADOS!$A:$P,16,FALSE)="","",VLOOKUP(A2021,[14]PRIORIZADOS!$A:$P,16,FALSE)),"")</f>
        <v>Visitas de evaluación con fines de seguimiento</v>
      </c>
      <c r="Q2021" s="27" t="s">
        <v>431</v>
      </c>
      <c r="R2021" s="11" t="str">
        <f>IFERROR(IF(VLOOKUP(A2021,[14]PRIORIZADOS!$A:$R,18,FALSE)="","",VLOOKUP(A2021,[14]PRIORIZADOS!$A:$R,18,FALSE)),"")</f>
        <v>No hay estudiantes matriculados, que lo requieran.</v>
      </c>
      <c r="S2021" s="11" t="str">
        <f>IFERROR(IF(VLOOKUP(A2021,[14]PRIORIZADOS!$A:$S,19,FALSE)="","",VLOOKUP(A2021,[14]PRIORIZADOS!$A:$S,19,FALSE)),"")</f>
        <v>Realizar los respectivos PIAR, acorde a las necesidades del estudiante, en el momento de requerirse.</v>
      </c>
      <c r="T2021" s="70" t="str">
        <f>IFERROR(IF(VLOOKUP(A2021,[14]PRIORIZADOS!$A:$T,20,FALSE)="","",VLOOKUP(A2021,[14]PRIORIZADOS!$A:$T,20,FALSE)),"")</f>
        <v>No</v>
      </c>
      <c r="U2021" s="11" t="str">
        <f>IFERROR(IF(VLOOKUP(A2021,[14]PRIORIZADOS!$A:$U,21,FALSE)="","",VLOOKUP(A2021,[14]PRIORIZADOS!$A:$U,21,FALSE)),"")</f>
        <v>Revisión contra la matrícula, de la existencia de estudiantes que requieran atención por discapacidad, transtorrnos de aprendizaje y talentos excepcionales.</v>
      </c>
    </row>
    <row r="2022" spans="1:21" s="1" customFormat="1" ht="84">
      <c r="A2022" s="69">
        <f>IF([14]PRIORIZADOS!A69="","",[14]PRIORIZADOS!A69)</f>
        <v>1990</v>
      </c>
      <c r="B2022" s="70">
        <f>IFERROR(IF(VLOOKUP(A2022,[14]PRIORIZADOS!$A:$B,2,FALSE)="","",VLOOKUP(A2022,[14]PRIORIZADOS!$A:$B,2,FALSE)),"")</f>
        <v>7</v>
      </c>
      <c r="C2022" s="11" t="s">
        <v>424</v>
      </c>
      <c r="D2022" s="11" t="str">
        <f>IFERROR(IF(VLOOKUP(A2022,[14]PRIORIZADOS!$A:$D,4,FALSE)="","",VLOOKUP(A2022,[14]PRIORIZADOS!$A:$D,4,FALSE)),"")</f>
        <v>PRIVADO</v>
      </c>
      <c r="E2022" s="11" t="str">
        <f>IFERROR(IF(VLOOKUP(A2022,[14]PRIORIZADOS!$A:$E,5,FALSE)="","",VLOOKUP(A2022,[14]PRIORIZADOS!$A:$E,5,FALSE)),"")</f>
        <v>Educación de Jóvenes y Adultos</v>
      </c>
      <c r="F2022" s="11" t="str">
        <f>IFERROR(IF(VLOOKUP(A2022,[14]PRIORIZADOS!$A:$F,6,FALSE)="","",VLOOKUP(A2022,[14]PRIORIZADOS!$A:$F,6,FALSE)),"")</f>
        <v>LICEO_BRITANICO_SUPERIOR</v>
      </c>
      <c r="G2022" s="11" t="str">
        <f>IFERROR(IF(VLOOKUP(A2022,[14]PRIORIZADOS!$A:$G,7,FALSE)="","",VLOOKUP(A2022,[14]PRIORIZADOS!$A:$G,7,FALSE)),"")</f>
        <v>LICEO BRITANICO SUPERIOR</v>
      </c>
      <c r="H2022" s="11" t="str">
        <f>IFERROR(IF(VLOOKUP(A2022,[14]PRIORIZADOS!$A:$H,8,FALSE)="","",VLOOKUP(A2022,[14]PRIORIZADOS!$A:$H,8,FALSE)),"")</f>
        <v>Autoevaluación Institucional y Pruebas SABER 11</v>
      </c>
      <c r="I2022" s="11" t="str">
        <f>IFERROR(IF(VLOOKUP(A2022,[14]PRIORIZADOS!$A:$I,9,FALSE)="","",VLOOKUP(A2022,[14]PRIORIZADOS!$A:$I,9,FALSE)),"")</f>
        <v>EVALUACIÓN_CON_FINES_DE_MEJORAMIENTO.</v>
      </c>
      <c r="J2022" s="11" t="str">
        <f>IFERROR(IF(VLOOKUP(A2022,[14]PRIORIZADOS!$A:$J,10,FALSE)="","",VLOOKUP(A2022,[14]PRIORIZADOS!$A:$J,10,FALSE)),"")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22" s="11" t="str">
        <f>IFERROR(IF(VLOOKUP(A2022,[14]PRIORIZADOS!$A:$K,11,FALSE)="","",VLOOKUP(A2022,[14]PRIORIZADOS!$A:$K,11,FALSE)),"")</f>
        <v>SONIA CONSTANZA URREGO GONZÁLEZ</v>
      </c>
      <c r="L2022" s="11" t="str">
        <f>IFERROR(IF(VLOOKUP(A2022,[14]PRIORIZADOS!$A:$L,12,FALSE)="","",VLOOKUP(A2022,[14]PRIORIZADOS!$A:$L,12,FALSE)),"")</f>
        <v>ALBA DEL PILAR CUBIDES CÁCERES</v>
      </c>
      <c r="M2022" s="71">
        <f>IFERROR(IF(VLOOKUP(A2022,[14]PRIORIZADOS!$A:$M,13,FALSE)="","",VLOOKUP(A2022,[14]PRIORIZADOS!$A:$M,13,FALSE)),"")</f>
        <v>45895</v>
      </c>
      <c r="N2022" s="71">
        <f>IFERROR(IF(VLOOKUP(A2022,[14]PRIORIZADOS!$A:$N,14,FALSE)="","",VLOOKUP(A2022,[14]PRIORIZADOS!$A:$N,14,FALSE)),"")</f>
        <v>45881</v>
      </c>
      <c r="O2022" s="71">
        <f>IFERROR(IF(VLOOKUP(A2022,[14]PRIORIZADOS!$A:$O,15,FALSE)="","",VLOOKUP(A2022,[14]PRIORIZADOS!$A:$O,15,FALSE)),"")</f>
        <v>45881</v>
      </c>
      <c r="P2022" s="11" t="str">
        <f>IFERROR(IF(VLOOKUP(A2022,[14]PRIORIZADOS!$A:$P,16,FALSE)="","",VLOOKUP(A2022,[14]PRIORIZADOS!$A:$P,16,FALSE)),"")</f>
        <v>Visitas de evaluación con fines de mejoramiento</v>
      </c>
      <c r="Q2022" s="27" t="s">
        <v>431</v>
      </c>
      <c r="R2022" s="11" t="str">
        <f>IFERROR(IF(VLOOKUP(A2022,[14]PRIORIZADOS!$A:$R,18,FALSE)="","",VLOOKUP(A2022,[14]PRIORIZADOS!$A:$R,18,FALSE)),"")</f>
        <v>El Manual de Convivencia se encuentra en formato digital (incompleto), no ha sido adoptado mediante acto administrativo, por lo que no se puede evidenciar la fecha de actualización.</v>
      </c>
      <c r="S2022" s="11" t="str">
        <f>IFERROR(IF(VLOOKUP(A2022,[14]PRIORIZADOS!$A:$S,19,FALSE)="","",VLOOKUP(A2022,[14]PRIORIZADOS!$A:$S,19,FALSE)),"")</f>
        <v>Se deben hacer los ajustes a lugar, acorde a la normatividad vigente, y presentarlo a la Dirección Local de Educación para recibir observaciones parte del ELIV.</v>
      </c>
      <c r="T2022" s="70" t="str">
        <f>IFERROR(IF(VLOOKUP(A2022,[14]PRIORIZADOS!$A:$T,20,FALSE)="","",VLOOKUP(A2022,[14]PRIORIZADOS!$A:$T,20,FALSE)),"")</f>
        <v>Si</v>
      </c>
      <c r="U2022" s="11" t="str">
        <f>IFERROR(IF(VLOOKUP(A2022,[14]PRIORIZADOS!$A:$U,21,FALSE)="","",VLOOKUP(A2022,[14]PRIORIZADOS!$A:$U,21,FALSE)),"")</f>
        <v>Revisar los ajustes realizados al Manual, emitiendo las observaciones a lugar.</v>
      </c>
    </row>
    <row r="2023" spans="1:21" s="1" customFormat="1" ht="48">
      <c r="A2023" s="69">
        <f>IF([14]PRIORIZADOS!A70="","",[14]PRIORIZADOS!A70)</f>
        <v>1991</v>
      </c>
      <c r="B2023" s="70">
        <f>IFERROR(IF(VLOOKUP(A2023,[14]PRIORIZADOS!$A:$B,2,FALSE)="","",VLOOKUP(A2023,[14]PRIORIZADOS!$A:$B,2,FALSE)),"")</f>
        <v>7</v>
      </c>
      <c r="C2023" s="11" t="s">
        <v>424</v>
      </c>
      <c r="D2023" s="11" t="str">
        <f>IFERROR(IF(VLOOKUP(A2023,[14]PRIORIZADOS!$A:$D,4,FALSE)="","",VLOOKUP(A2023,[14]PRIORIZADOS!$A:$D,4,FALSE)),"")</f>
        <v>PRIVADO</v>
      </c>
      <c r="E2023" s="11" t="str">
        <f>IFERROR(IF(VLOOKUP(A2023,[14]PRIORIZADOS!$A:$E,5,FALSE)="","",VLOOKUP(A2023,[14]PRIORIZADOS!$A:$E,5,FALSE)),"")</f>
        <v>Educación de Jóvenes y Adultos</v>
      </c>
      <c r="F2023" s="11" t="str">
        <f>IFERROR(IF(VLOOKUP(A2023,[14]PRIORIZADOS!$A:$F,6,FALSE)="","",VLOOKUP(A2023,[14]PRIORIZADOS!$A:$F,6,FALSE)),"")</f>
        <v>LICEO_BRITANICO_SUPERIOR</v>
      </c>
      <c r="G2023" s="11" t="str">
        <f>IFERROR(IF(VLOOKUP(A2023,[14]PRIORIZADOS!$A:$G,7,FALSE)="","",VLOOKUP(A2023,[14]PRIORIZADOS!$A:$G,7,FALSE)),"")</f>
        <v>LICEO BRITANICO SUPERIOR</v>
      </c>
      <c r="H2023" s="11" t="str">
        <f>IFERROR(IF(VLOOKUP(A2023,[14]PRIORIZADOS!$A:$H,8,FALSE)="","",VLOOKUP(A2023,[14]PRIORIZADOS!$A:$H,8,FALSE)),"")</f>
        <v>Autoevaluación Institucional y Pruebas SABER 11</v>
      </c>
      <c r="I2023" s="11" t="str">
        <f>IFERROR(IF(VLOOKUP(A2023,[14]PRIORIZADOS!$A:$I,9,FALSE)="","",VLOOKUP(A2023,[14]PRIORIZADOS!$A:$I,9,FALSE)),"")</f>
        <v>EVALUACIÓN_CON_FINES_DE_MEJORAMIENTO.</v>
      </c>
      <c r="J2023" s="11" t="str">
        <f>IFERROR(IF(VLOOKUP(A2023,[14]PRIORIZADOS!$A:$J,10,FALSE)="","",VLOOKUP(A2023,[14]PRIORIZADOS!$A:$J,10,FALSE)),"")</f>
        <v>Revisar la actualización, socialización e implementación del Sistema Institucional de Evaluación de Estudiantes - SIEE, en articulación con la actualización del PEI y la normatividad vigente.</v>
      </c>
      <c r="K2023" s="11" t="str">
        <f>IFERROR(IF(VLOOKUP(A2023,[14]PRIORIZADOS!$A:$K,11,FALSE)="","",VLOOKUP(A2023,[14]PRIORIZADOS!$A:$K,11,FALSE)),"")</f>
        <v>SONIA CONSTANZA URREGO GONZÁLEZ</v>
      </c>
      <c r="L2023" s="11" t="str">
        <f>IFERROR(IF(VLOOKUP(A2023,[14]PRIORIZADOS!$A:$L,12,FALSE)="","",VLOOKUP(A2023,[14]PRIORIZADOS!$A:$L,12,FALSE)),"")</f>
        <v>ALBA DEL PILAR CUBIDES CÁCERES</v>
      </c>
      <c r="M2023" s="71">
        <f>IFERROR(IF(VLOOKUP(A2023,[14]PRIORIZADOS!$A:$M,13,FALSE)="","",VLOOKUP(A2023,[14]PRIORIZADOS!$A:$M,13,FALSE)),"")</f>
        <v>45895</v>
      </c>
      <c r="N2023" s="71">
        <f>IFERROR(IF(VLOOKUP(A2023,[14]PRIORIZADOS!$A:$N,14,FALSE)="","",VLOOKUP(A2023,[14]PRIORIZADOS!$A:$N,14,FALSE)),"")</f>
        <v>45881</v>
      </c>
      <c r="O2023" s="71">
        <f>IFERROR(IF(VLOOKUP(A2023,[14]PRIORIZADOS!$A:$O,15,FALSE)="","",VLOOKUP(A2023,[14]PRIORIZADOS!$A:$O,15,FALSE)),"")</f>
        <v>45881</v>
      </c>
      <c r="P2023" s="11" t="str">
        <f>IFERROR(IF(VLOOKUP(A2023,[14]PRIORIZADOS!$A:$P,16,FALSE)="","",VLOOKUP(A2023,[14]PRIORIZADOS!$A:$P,16,FALSE)),"")</f>
        <v>Visitas de evaluación con fines de mejoramiento</v>
      </c>
      <c r="Q2023" s="27" t="s">
        <v>431</v>
      </c>
      <c r="R2023" s="11" t="str">
        <f>IFERROR(IF(VLOOKUP(A2023,[14]PRIORIZADOS!$A:$R,18,FALSE)="","",VLOOKUP(A2023,[14]PRIORIZADOS!$A:$R,18,FALSE)),"")</f>
        <v>Revisado el SIEE, cuenta con los criterios de evaluación y promoción y  escala valorativa.</v>
      </c>
      <c r="S2023" s="11" t="str">
        <f>IFERROR(IF(VLOOKUP(A2023,[14]PRIORIZADOS!$A:$S,19,FALSE)="","",VLOOKUP(A2023,[14]PRIORIZADOS!$A:$S,19,FALSE)),"")</f>
        <v xml:space="preserve">Hacer seguimiento constante para determinar la necesidad de actualizar el SIEE. </v>
      </c>
      <c r="T2023" s="70" t="str">
        <f>IFERROR(IF(VLOOKUP(A2023,[14]PRIORIZADOS!$A:$T,20,FALSE)="","",VLOOKUP(A2023,[14]PRIORIZADOS!$A:$T,20,FALSE)),"")</f>
        <v>Si</v>
      </c>
      <c r="U2023" s="11" t="str">
        <f>IFERROR(IF(VLOOKUP(A2023,[14]PRIORIZADOS!$A:$U,21,FALSE)="","",VLOOKUP(A2023,[14]PRIORIZADOS!$A:$U,21,FALSE)),"")</f>
        <v>Verificar la implementación del SIEE, a través de lo consignado en actas del Comité.</v>
      </c>
    </row>
    <row r="2024" spans="1:21" s="1" customFormat="1" ht="48">
      <c r="A2024" s="69">
        <f>IF([14]PRIORIZADOS!A71="","",[14]PRIORIZADOS!A71)</f>
        <v>1992</v>
      </c>
      <c r="B2024" s="70">
        <f>IFERROR(IF(VLOOKUP(A2024,[14]PRIORIZADOS!$A:$B,2,FALSE)="","",VLOOKUP(A2024,[14]PRIORIZADOS!$A:$B,2,FALSE)),"")</f>
        <v>7</v>
      </c>
      <c r="C2024" s="11" t="s">
        <v>424</v>
      </c>
      <c r="D2024" s="11" t="str">
        <f>IFERROR(IF(VLOOKUP(A2024,[14]PRIORIZADOS!$A:$D,4,FALSE)="","",VLOOKUP(A2024,[14]PRIORIZADOS!$A:$D,4,FALSE)),"")</f>
        <v>PRIVADO</v>
      </c>
      <c r="E2024" s="11" t="str">
        <f>IFERROR(IF(VLOOKUP(A2024,[14]PRIORIZADOS!$A:$E,5,FALSE)="","",VLOOKUP(A2024,[14]PRIORIZADOS!$A:$E,5,FALSE)),"")</f>
        <v>Educación de Jóvenes y Adultos</v>
      </c>
      <c r="F2024" s="11" t="str">
        <f>IFERROR(IF(VLOOKUP(A2024,[14]PRIORIZADOS!$A:$F,6,FALSE)="","",VLOOKUP(A2024,[14]PRIORIZADOS!$A:$F,6,FALSE)),"")</f>
        <v>LICEO_BRITANICO_SUPERIOR</v>
      </c>
      <c r="G2024" s="11" t="str">
        <f>IFERROR(IF(VLOOKUP(A2024,[14]PRIORIZADOS!$A:$G,7,FALSE)="","",VLOOKUP(A2024,[14]PRIORIZADOS!$A:$G,7,FALSE)),"")</f>
        <v>LICEO BRITANICO SUPERIOR</v>
      </c>
      <c r="H2024" s="11" t="str">
        <f>IFERROR(IF(VLOOKUP(A2024,[14]PRIORIZADOS!$A:$H,8,FALSE)="","",VLOOKUP(A2024,[14]PRIORIZADOS!$A:$H,8,FALSE)),"")</f>
        <v>Autoevaluación Institucional y Pruebas SABER 11</v>
      </c>
      <c r="I2024" s="11" t="str">
        <f>IFERROR(IF(VLOOKUP(A2024,[14]PRIORIZADOS!$A:$I,9,FALSE)="","",VLOOKUP(A2024,[14]PRIORIZADOS!$A:$I,9,FALSE)),"")</f>
        <v>EVALUACIÓN_CON_FINES_DE_MEJORAMIENTO.</v>
      </c>
      <c r="J2024" s="11" t="str">
        <f>IFERROR(IF(VLOOKUP(A2024,[14]PRIORIZADOS!$A:$J,10,FALSE)="","",VLOOKUP(A2024,[14]PRIORIZADOS!$A:$J,10,FALSE)),"")</f>
        <v>Revisar el calendario escolar, jornada escolar, la intensidad horaria mínima anual en cada nivel y las modificaciones que se realicen al mismo, de acuerdo con lo previsto en la normatividad vigente.</v>
      </c>
      <c r="K2024" s="11" t="str">
        <f>IFERROR(IF(VLOOKUP(A2024,[14]PRIORIZADOS!$A:$K,11,FALSE)="","",VLOOKUP(A2024,[14]PRIORIZADOS!$A:$K,11,FALSE)),"")</f>
        <v>SONIA CONSTANZA URREGO GONZÁLEZ</v>
      </c>
      <c r="L2024" s="11" t="str">
        <f>IFERROR(IF(VLOOKUP(A2024,[14]PRIORIZADOS!$A:$L,12,FALSE)="","",VLOOKUP(A2024,[14]PRIORIZADOS!$A:$L,12,FALSE)),"")</f>
        <v>ALBA DEL PILAR CUBIDES CÁCERES</v>
      </c>
      <c r="M2024" s="71">
        <f>IFERROR(IF(VLOOKUP(A2024,[14]PRIORIZADOS!$A:$M,13,FALSE)="","",VLOOKUP(A2024,[14]PRIORIZADOS!$A:$M,13,FALSE)),"")</f>
        <v>45895</v>
      </c>
      <c r="N2024" s="71">
        <f>IFERROR(IF(VLOOKUP(A2024,[14]PRIORIZADOS!$A:$N,14,FALSE)="","",VLOOKUP(A2024,[14]PRIORIZADOS!$A:$N,14,FALSE)),"")</f>
        <v>45881</v>
      </c>
      <c r="O2024" s="71">
        <f>IFERROR(IF(VLOOKUP(A2024,[14]PRIORIZADOS!$A:$O,15,FALSE)="","",VLOOKUP(A2024,[14]PRIORIZADOS!$A:$O,15,FALSE)),"")</f>
        <v>45881</v>
      </c>
      <c r="P2024" s="11" t="str">
        <f>IFERROR(IF(VLOOKUP(A2024,[14]PRIORIZADOS!$A:$P,16,FALSE)="","",VLOOKUP(A2024,[14]PRIORIZADOS!$A:$P,16,FALSE)),"")</f>
        <v>Visitas de evaluación con fines de mejoramiento</v>
      </c>
      <c r="Q2024" s="27" t="s">
        <v>431</v>
      </c>
      <c r="R2024" s="11" t="str">
        <f>IFERROR(IF(VLOOKUP(A2024,[14]PRIORIZADOS!$A:$R,18,FALSE)="","",VLOOKUP(A2024,[14]PRIORIZADOS!$A:$R,18,FALSE)),"")</f>
        <v>Cumple con el número de semanas y horas por nivel. Realizó reporte de información del Calendario Escolar.</v>
      </c>
      <c r="S2024" s="11" t="str">
        <f>IFERROR(IF(VLOOKUP(A2024,[14]PRIORIZADOS!$A:$S,19,FALSE)="","",VLOOKUP(A2024,[14]PRIORIZADOS!$A:$S,19,FALSE)),"")</f>
        <v xml:space="preserve">Continuar con el cumplimiento del calendario.  </v>
      </c>
      <c r="T2024" s="70" t="str">
        <f>IFERROR(IF(VLOOKUP(A2024,[14]PRIORIZADOS!$A:$T,20,FALSE)="","",VLOOKUP(A2024,[14]PRIORIZADOS!$A:$T,20,FALSE)),"")</f>
        <v>No</v>
      </c>
      <c r="U2024" s="11" t="str">
        <f>IFERROR(IF(VLOOKUP(A2024,[14]PRIORIZADOS!$A:$U,21,FALSE)="","",VLOOKUP(A2024,[14]PRIORIZADOS!$A:$U,21,FALSE)),"")</f>
        <v>Seguimiento al cumplimiento del calendario escolar.</v>
      </c>
    </row>
    <row r="2025" spans="1:21" s="1" customFormat="1" ht="48">
      <c r="A2025" s="69">
        <f>IF([14]PRIORIZADOS!A72="","",[14]PRIORIZADOS!A72)</f>
        <v>1993</v>
      </c>
      <c r="B2025" s="70">
        <f>IFERROR(IF(VLOOKUP(A2025,[14]PRIORIZADOS!$A:$B,2,FALSE)="","",VLOOKUP(A2025,[14]PRIORIZADOS!$A:$B,2,FALSE)),"")</f>
        <v>7</v>
      </c>
      <c r="C2025" s="11" t="s">
        <v>424</v>
      </c>
      <c r="D2025" s="11" t="str">
        <f>IFERROR(IF(VLOOKUP(A2025,[14]PRIORIZADOS!$A:$D,4,FALSE)="","",VLOOKUP(A2025,[14]PRIORIZADOS!$A:$D,4,FALSE)),"")</f>
        <v>PRIVADO</v>
      </c>
      <c r="E2025" s="11" t="str">
        <f>IFERROR(IF(VLOOKUP(A2025,[14]PRIORIZADOS!$A:$E,5,FALSE)="","",VLOOKUP(A2025,[14]PRIORIZADOS!$A:$E,5,FALSE)),"")</f>
        <v>Educación de Jóvenes y Adultos</v>
      </c>
      <c r="F2025" s="11" t="str">
        <f>IFERROR(IF(VLOOKUP(A2025,[14]PRIORIZADOS!$A:$F,6,FALSE)="","",VLOOKUP(A2025,[14]PRIORIZADOS!$A:$F,6,FALSE)),"")</f>
        <v>LICEO_BRITANICO_SUPERIOR</v>
      </c>
      <c r="G2025" s="11" t="str">
        <f>IFERROR(IF(VLOOKUP(A2025,[14]PRIORIZADOS!$A:$G,7,FALSE)="","",VLOOKUP(A2025,[14]PRIORIZADOS!$A:$G,7,FALSE)),"")</f>
        <v>LICEO BRITANICO SUPERIOR</v>
      </c>
      <c r="H2025" s="11" t="str">
        <f>IFERROR(IF(VLOOKUP(A2025,[14]PRIORIZADOS!$A:$H,8,FALSE)="","",VLOOKUP(A2025,[14]PRIORIZADOS!$A:$H,8,FALSE)),"")</f>
        <v>Autoevaluación Institucional y Pruebas SABER 11</v>
      </c>
      <c r="I2025" s="11" t="str">
        <f>IFERROR(IF(VLOOKUP(A2025,[14]PRIORIZADOS!$A:$I,9,FALSE)="","",VLOOKUP(A2025,[14]PRIORIZADOS!$A:$I,9,FALSE)),"")</f>
        <v>EVALUACIÓN_CON_FINES_DE_MEJORAMIENTO.</v>
      </c>
      <c r="J2025" s="11" t="str">
        <f>IFERROR(IF(VLOOKUP(A2025,[14]PRIORIZADOS!$A:$J,10,FALSE)="","",VLOOKUP(A2025,[14]PRIORIZADOS!$A:$J,10,FALSE)),"")</f>
        <v>Verificar el funcionamiento del Gobierno Escolar e instancias de participación con base en la información sobre conformación reportada por la institución educativa.</v>
      </c>
      <c r="K2025" s="11" t="str">
        <f>IFERROR(IF(VLOOKUP(A2025,[14]PRIORIZADOS!$A:$K,11,FALSE)="","",VLOOKUP(A2025,[14]PRIORIZADOS!$A:$K,11,FALSE)),"")</f>
        <v>SONIA CONSTANZA URREGO GONZÁLEZ</v>
      </c>
      <c r="L2025" s="11" t="str">
        <f>IFERROR(IF(VLOOKUP(A2025,[14]PRIORIZADOS!$A:$L,12,FALSE)="","",VLOOKUP(A2025,[14]PRIORIZADOS!$A:$L,12,FALSE)),"")</f>
        <v>ALBA DEL PILAR CUBIDES CÁCERES</v>
      </c>
      <c r="M2025" s="71">
        <f>IFERROR(IF(VLOOKUP(A2025,[14]PRIORIZADOS!$A:$M,13,FALSE)="","",VLOOKUP(A2025,[14]PRIORIZADOS!$A:$M,13,FALSE)),"")</f>
        <v>45895</v>
      </c>
      <c r="N2025" s="71">
        <f>IFERROR(IF(VLOOKUP(A2025,[14]PRIORIZADOS!$A:$N,14,FALSE)="","",VLOOKUP(A2025,[14]PRIORIZADOS!$A:$N,14,FALSE)),"")</f>
        <v>45881</v>
      </c>
      <c r="O2025" s="71">
        <f>IFERROR(IF(VLOOKUP(A2025,[14]PRIORIZADOS!$A:$O,15,FALSE)="","",VLOOKUP(A2025,[14]PRIORIZADOS!$A:$O,15,FALSE)),"")</f>
        <v>45881</v>
      </c>
      <c r="P2025" s="11" t="str">
        <f>IFERROR(IF(VLOOKUP(A2025,[14]PRIORIZADOS!$A:$P,16,FALSE)="","",VLOOKUP(A2025,[14]PRIORIZADOS!$A:$P,16,FALSE)),"")</f>
        <v>Visitas de evaluación con fines de mejoramiento</v>
      </c>
      <c r="Q2025" s="27" t="s">
        <v>431</v>
      </c>
      <c r="R2025" s="11" t="str">
        <f>IFERROR(IF(VLOOKUP(A2025,[14]PRIORIZADOS!$A:$R,18,FALSE)="","",VLOOKUP(A2025,[14]PRIORIZADOS!$A:$R,18,FALSE)),"")</f>
        <v xml:space="preserve">Se conformó el Gobierno Escolar con reporte en el aplicativo SAE. No se evidencian actas de reunión de los órganos de gobierno. </v>
      </c>
      <c r="S2025" s="11" t="str">
        <f>IFERROR(IF(VLOOKUP(A2025,[14]PRIORIZADOS!$A:$S,19,FALSE)="","",VLOOKUP(A2025,[14]PRIORIZADOS!$A:$S,19,FALSE)),"")</f>
        <v xml:space="preserve">Realizar las reuniones periodicas de cada uno de los estamentos de Gobierno Escolar, acorde con su reglamento. </v>
      </c>
      <c r="T2025" s="70" t="str">
        <f>IFERROR(IF(VLOOKUP(A2025,[14]PRIORIZADOS!$A:$T,20,FALSE)="","",VLOOKUP(A2025,[14]PRIORIZADOS!$A:$T,20,FALSE)),"")</f>
        <v>Si</v>
      </c>
      <c r="U2025" s="11" t="str">
        <f>IFERROR(IF(VLOOKUP(A2025,[14]PRIORIZADOS!$A:$U,21,FALSE)="","",VLOOKUP(A2025,[14]PRIORIZADOS!$A:$U,21,FALSE)),"")</f>
        <v>Verificar el funcionamiento del Gobierno Escolar, a través de las  actas de reunión.</v>
      </c>
    </row>
    <row r="2026" spans="1:21" s="1" customFormat="1" ht="84">
      <c r="A2026" s="69">
        <f>IF([14]PRIORIZADOS!A73="","",[14]PRIORIZADOS!A73)</f>
        <v>1994</v>
      </c>
      <c r="B2026" s="70">
        <f>IFERROR(IF(VLOOKUP(A2026,[14]PRIORIZADOS!$A:$B,2,FALSE)="","",VLOOKUP(A2026,[14]PRIORIZADOS!$A:$B,2,FALSE)),"")</f>
        <v>7</v>
      </c>
      <c r="C2026" s="11" t="s">
        <v>424</v>
      </c>
      <c r="D2026" s="11" t="str">
        <f>IFERROR(IF(VLOOKUP(A2026,[14]PRIORIZADOS!$A:$D,4,FALSE)="","",VLOOKUP(A2026,[14]PRIORIZADOS!$A:$D,4,FALSE)),"")</f>
        <v>PRIVADO</v>
      </c>
      <c r="E2026" s="11" t="str">
        <f>IFERROR(IF(VLOOKUP(A2026,[14]PRIORIZADOS!$A:$E,5,FALSE)="","",VLOOKUP(A2026,[14]PRIORIZADOS!$A:$E,5,FALSE)),"")</f>
        <v>Educación de Jóvenes y Adultos</v>
      </c>
      <c r="F2026" s="11" t="str">
        <f>IFERROR(IF(VLOOKUP(A2026,[14]PRIORIZADOS!$A:$F,6,FALSE)="","",VLOOKUP(A2026,[14]PRIORIZADOS!$A:$F,6,FALSE)),"")</f>
        <v>LICEO_BRITANICO_SUPERIOR</v>
      </c>
      <c r="G2026" s="11" t="str">
        <f>IFERROR(IF(VLOOKUP(A2026,[14]PRIORIZADOS!$A:$G,7,FALSE)="","",VLOOKUP(A2026,[14]PRIORIZADOS!$A:$G,7,FALSE)),"")</f>
        <v>LICEO BRITANICO SUPERIOR</v>
      </c>
      <c r="H2026" s="11" t="str">
        <f>IFERROR(IF(VLOOKUP(A2026,[14]PRIORIZADOS!$A:$H,8,FALSE)="","",VLOOKUP(A2026,[14]PRIORIZADOS!$A:$H,8,FALSE)),"")</f>
        <v>Autoevaluación Institucional y Pruebas SABER 11</v>
      </c>
      <c r="I2026" s="11" t="str">
        <f>IFERROR(IF(VLOOKUP(A2026,[14]PRIORIZADOS!$A:$I,9,FALSE)="","",VLOOKUP(A2026,[14]PRIORIZADOS!$A:$I,9,FALSE)),"")</f>
        <v>EVALUACIÓN_CON_FINES_DE_MEJORAMIENTO.</v>
      </c>
      <c r="J2026" s="11" t="str">
        <f>IFERROR(IF(VLOOKUP(A2026,[14]PRIORIZADOS!$A:$J,10,FALSE)="","",VLOOKUP(A2026,[14]PRIORIZADOS!$A:$J,10,FALSE)),"")</f>
        <v>Verificar las condiciones en cuanto a: la estructura administrativa, condiciones de la planta física y medios educativos adecuados.</v>
      </c>
      <c r="K2026" s="11" t="str">
        <f>IFERROR(IF(VLOOKUP(A2026,[14]PRIORIZADOS!$A:$K,11,FALSE)="","",VLOOKUP(A2026,[14]PRIORIZADOS!$A:$K,11,FALSE)),"")</f>
        <v>SONIA CONSTANZA URREGO GONZÁLEZ</v>
      </c>
      <c r="L2026" s="11" t="str">
        <f>IFERROR(IF(VLOOKUP(A2026,[14]PRIORIZADOS!$A:$L,12,FALSE)="","",VLOOKUP(A2026,[14]PRIORIZADOS!$A:$L,12,FALSE)),"")</f>
        <v>ALBA DEL PILAR CUBIDES CÁCERES</v>
      </c>
      <c r="M2026" s="71">
        <f>IFERROR(IF(VLOOKUP(A2026,[14]PRIORIZADOS!$A:$M,13,FALSE)="","",VLOOKUP(A2026,[14]PRIORIZADOS!$A:$M,13,FALSE)),"")</f>
        <v>45895</v>
      </c>
      <c r="N2026" s="71">
        <f>IFERROR(IF(VLOOKUP(A2026,[14]PRIORIZADOS!$A:$N,14,FALSE)="","",VLOOKUP(A2026,[14]PRIORIZADOS!$A:$N,14,FALSE)),"")</f>
        <v>45881</v>
      </c>
      <c r="O2026" s="71">
        <f>IFERROR(IF(VLOOKUP(A2026,[14]PRIORIZADOS!$A:$O,15,FALSE)="","",VLOOKUP(A2026,[14]PRIORIZADOS!$A:$O,15,FALSE)),"")</f>
        <v>45881</v>
      </c>
      <c r="P2026" s="11" t="str">
        <f>IFERROR(IF(VLOOKUP(A2026,[14]PRIORIZADOS!$A:$P,16,FALSE)="","",VLOOKUP(A2026,[14]PRIORIZADOS!$A:$P,16,FALSE)),"")</f>
        <v>Visitas de evaluación con fines de mejoramiento</v>
      </c>
      <c r="Q2026" s="28" t="s">
        <v>431</v>
      </c>
      <c r="R2026" s="11" t="str">
        <f>IFERROR(IF(VLOOKUP(A2026,[14]PRIORIZADOS!$A:$R,18,FALSE)="","",VLOOKUP(A2026,[14]PRIORIZADOS!$A:$R,18,FALSE)),"")</f>
        <v xml:space="preserve">No se evidencian espacios suficientes y dotados, en cuanto a ambientes de aprendizaje. Los servicios sanitarios no son suficientes. A pesar de no tener estudiantes con discapacidad física, no tienen espacios adecuados en caso de requerirlo. </v>
      </c>
      <c r="S2026" s="11" t="str">
        <f>IFERROR(IF(VLOOKUP(A2026,[14]PRIORIZADOS!$A:$S,19,FALSE)="","",VLOOKUP(A2026,[14]PRIORIZADOS!$A:$S,19,FALSE)),"")</f>
        <v>Terminar obras de remodelción que permita evidenciar la suficiencia y funcionabilidad de los espacios.</v>
      </c>
      <c r="T2026" s="70" t="str">
        <f>IFERROR(IF(VLOOKUP(A2026,[14]PRIORIZADOS!$A:$T,20,FALSE)="","",VLOOKUP(A2026,[14]PRIORIZADOS!$A:$T,20,FALSE)),"")</f>
        <v>Si</v>
      </c>
      <c r="U2026" s="11" t="str">
        <f>IFERROR(IF(VLOOKUP(A2026,[14]PRIORIZADOS!$A:$U,21,FALSE)="","",VLOOKUP(A2026,[14]PRIORIZADOS!$A:$U,21,FALSE)),"")</f>
        <v>Verificar con registro fotográfico, los avances de acuerdo a los plazos registrados en el PMI</v>
      </c>
    </row>
    <row r="2027" spans="1:21" s="1" customFormat="1" ht="36">
      <c r="A2027" s="69">
        <f>IF([14]PRIORIZADOS!A74="","",[14]PRIORIZADOS!A74)</f>
        <v>1995</v>
      </c>
      <c r="B2027" s="70">
        <f>IFERROR(IF(VLOOKUP(A2027,[14]PRIORIZADOS!$A:$B,2,FALSE)="","",VLOOKUP(A2027,[14]PRIORIZADOS!$A:$B,2,FALSE)),"")</f>
        <v>8</v>
      </c>
      <c r="C2027" s="11" t="s">
        <v>424</v>
      </c>
      <c r="D2027" s="11" t="str">
        <f>IFERROR(IF(VLOOKUP(A2027,[14]PRIORIZADOS!$A:$D,4,FALSE)="","",VLOOKUP(A2027,[14]PRIORIZADOS!$A:$D,4,FALSE)),"")</f>
        <v>PRIVADO</v>
      </c>
      <c r="E2027" s="11" t="str">
        <f>IFERROR(IF(VLOOKUP(A2027,[14]PRIORIZADOS!$A:$E,5,FALSE)="","",VLOOKUP(A2027,[14]PRIORIZADOS!$A:$E,5,FALSE)),"")</f>
        <v>Educación de Jóvenes y Adultos</v>
      </c>
      <c r="F2027" s="11" t="str">
        <f>IFERROR(IF(VLOOKUP(A2027,[14]PRIORIZADOS!$A:$F,6,FALSE)="","",VLOOKUP(A2027,[14]PRIORIZADOS!$A:$F,6,FALSE)),"")</f>
        <v>COLEGIO_TECNISISTEMAS</v>
      </c>
      <c r="G2027" s="11" t="str">
        <f>IFERROR(IF(VLOOKUP(A2027,[14]PRIORIZADOS!$A:$G,7,FALSE)="","",VLOOKUP(A2027,[14]PRIORIZADOS!$A:$G,7,FALSE)),"")</f>
        <v>COLEGIO TECNISISTEMAS</v>
      </c>
      <c r="H2027" s="11" t="str">
        <f>IFERROR(IF(VLOOKUP(A2027,[14]PRIORIZADOS!$A:$H,8,FALSE)="","",VLOOKUP(A2027,[14]PRIORIZADOS!$A:$H,8,FALSE)),"")</f>
        <v>Autoevaluación Institucional y Pruebas SABER 11</v>
      </c>
      <c r="I2027" s="11" t="str">
        <f>IFERROR(IF(VLOOKUP(A2027,[14]PRIORIZADOS!$A:$I,9,FALSE)="","",VLOOKUP(A2027,[14]PRIORIZADOS!$A:$I,9,FALSE)),"")</f>
        <v>SEGUIMIENTO_Y_SUPERVISIÓN.</v>
      </c>
      <c r="J2027" s="11" t="str">
        <f>IFERROR(IF(VLOOKUP(A2027,[14]PRIORIZADOS!$A:$J,10,FALSE)="","",VLOOKUP(A2027,[14]PRIORIZADOS!$A:$J,10,FALSE)),"")</f>
        <v>Realizar visitas para verificar la información registrada sobre la autoevaluación institucional en el aplicativo EVI, a los establecimientos de educación formal no oficial.</v>
      </c>
      <c r="K2027" s="11" t="str">
        <f>IFERROR(IF(VLOOKUP(A2027,[14]PRIORIZADOS!$A:$K,11,FALSE)="","",VLOOKUP(A2027,[14]PRIORIZADOS!$A:$K,11,FALSE)),"")</f>
        <v>ALBA DEL PILAR CUBIDES CÁCERES</v>
      </c>
      <c r="L2027" s="11" t="str">
        <f>IFERROR(IF(VLOOKUP(A2027,[14]PRIORIZADOS!$A:$L,12,FALSE)="","",VLOOKUP(A2027,[14]PRIORIZADOS!$A:$L,12,FALSE)),"")</f>
        <v>SONIA CONSTANZA URREGO GONZÁLEZ</v>
      </c>
      <c r="M2027" s="71">
        <f>IFERROR(IF(VLOOKUP(A2027,[14]PRIORIZADOS!$A:$M,13,FALSE)="","",VLOOKUP(A2027,[14]PRIORIZADOS!$A:$M,13,FALSE)),"")</f>
        <v>45916</v>
      </c>
      <c r="N2027" s="71">
        <f>IFERROR(IF(VLOOKUP(A2027,[14]PRIORIZADOS!$A:$N,14,FALSE)="","",VLOOKUP(A2027,[14]PRIORIZADOS!$A:$N,14,FALSE)),"")</f>
        <v>45883</v>
      </c>
      <c r="O2027" s="71">
        <f>IFERROR(IF(VLOOKUP(A2027,[14]PRIORIZADOS!$A:$O,15,FALSE)="","",VLOOKUP(A2027,[14]PRIORIZADOS!$A:$O,15,FALSE)),"")</f>
        <v>45883</v>
      </c>
      <c r="P2027" s="11" t="str">
        <f>IFERROR(IF(VLOOKUP(A2027,[14]PRIORIZADOS!$A:$P,16,FALSE)="","",VLOOKUP(A2027,[14]PRIORIZADOS!$A:$P,16,FALSE)),"")</f>
        <v>Visitas de evaluación con fines de seguimiento</v>
      </c>
      <c r="Q2027" s="250" t="s">
        <v>432</v>
      </c>
      <c r="R2027" s="11" t="str">
        <f>IFERROR(IF(VLOOKUP(A2027,[14]PRIORIZADOS!$A:$R,18,FALSE)="","",VLOOKUP(A2027,[14]PRIORIZADOS!$A:$R,18,FALSE)),"")</f>
        <v xml:space="preserve">Al momento de la visita se encontró que la totalidad de la información reportada en el aplicativo EVI, corresponde con la realidad. </v>
      </c>
      <c r="S2027" s="11" t="str">
        <f>IFERROR(IF(VLOOKUP(A2027,[14]PRIORIZADOS!$A:$S,19,FALSE)="","",VLOOKUP(A2027,[14]PRIORIZADOS!$A:$S,19,FALSE)),"")</f>
        <v>Seguir conservando el orden en cuanto a la reporte en el EVI</v>
      </c>
      <c r="T2027" s="70" t="str">
        <f>IFERROR(IF(VLOOKUP(A2027,[14]PRIORIZADOS!$A:$T,20,FALSE)="","",VLOOKUP(A2027,[14]PRIORIZADOS!$A:$T,20,FALSE)),"")</f>
        <v>No</v>
      </c>
      <c r="U2027" s="11" t="str">
        <f>IFERROR(IF(VLOOKUP(A2027,[14]PRIORIZADOS!$A:$U,21,FALSE)="","",VLOOKUP(A2027,[14]PRIORIZADOS!$A:$U,21,FALSE)),"")</f>
        <v>Seguir con su cumplimiento</v>
      </c>
    </row>
    <row r="2028" spans="1:21" s="1" customFormat="1" ht="60">
      <c r="A2028" s="69">
        <f>IF([14]PRIORIZADOS!A75="","",[14]PRIORIZADOS!A75)</f>
        <v>1996</v>
      </c>
      <c r="B2028" s="70">
        <f>IFERROR(IF(VLOOKUP(A2028,[14]PRIORIZADOS!$A:$B,2,FALSE)="","",VLOOKUP(A2028,[14]PRIORIZADOS!$A:$B,2,FALSE)),"")</f>
        <v>8</v>
      </c>
      <c r="C2028" s="11" t="s">
        <v>424</v>
      </c>
      <c r="D2028" s="11" t="str">
        <f>IFERROR(IF(VLOOKUP(A2028,[14]PRIORIZADOS!$A:$D,4,FALSE)="","",VLOOKUP(A2028,[14]PRIORIZADOS!$A:$D,4,FALSE)),"")</f>
        <v>PRIVADO</v>
      </c>
      <c r="E2028" s="11" t="str">
        <f>IFERROR(IF(VLOOKUP(A2028,[14]PRIORIZADOS!$A:$E,5,FALSE)="","",VLOOKUP(A2028,[14]PRIORIZADOS!$A:$E,5,FALSE)),"")</f>
        <v>Educación de Jóvenes y Adultos</v>
      </c>
      <c r="F2028" s="11" t="str">
        <f>IFERROR(IF(VLOOKUP(A2028,[14]PRIORIZADOS!$A:$F,6,FALSE)="","",VLOOKUP(A2028,[14]PRIORIZADOS!$A:$F,6,FALSE)),"")</f>
        <v>COLEGIO_TECNISISTEMAS</v>
      </c>
      <c r="G2028" s="11" t="str">
        <f>IFERROR(IF(VLOOKUP(A2028,[14]PRIORIZADOS!$A:$G,7,FALSE)="","",VLOOKUP(A2028,[14]PRIORIZADOS!$A:$G,7,FALSE)),"")</f>
        <v>COLEGIO TECNISISTEMAS</v>
      </c>
      <c r="H2028" s="11" t="str">
        <f>IFERROR(IF(VLOOKUP(A2028,[14]PRIORIZADOS!$A:$H,8,FALSE)="","",VLOOKUP(A2028,[14]PRIORIZADOS!$A:$H,8,FALSE)),"")</f>
        <v>Autoevaluación Institucional y Pruebas SABER 11</v>
      </c>
      <c r="I2028" s="11" t="str">
        <f>IFERROR(IF(VLOOKUP(A2028,[14]PRIORIZADOS!$A:$I,9,FALSE)="","",VLOOKUP(A2028,[14]PRIORIZADOS!$A:$I,9,FALSE)),"")</f>
        <v>SEGUIMIENTO_Y_SUPERVISIÓN.</v>
      </c>
      <c r="J2028" s="11" t="str">
        <f>IFERROR(IF(VLOOKUP(A2028,[14]PRIORIZADOS!$A:$J,10,FALSE)="","",VLOOKUP(A2028,[14]PRIORIZADOS!$A:$J,10,FALSE)),"")</f>
        <v>Proponer estrategias en la formulación, verificar su elaboración y realizar seguimiento semestral al desarrollo de  las acciones establecidas en los planes de mejoramiento por pruebas SABER 11 de los establecimientos de educación formal.</v>
      </c>
      <c r="K2028" s="11" t="str">
        <f>IFERROR(IF(VLOOKUP(A2028,[14]PRIORIZADOS!$A:$K,11,FALSE)="","",VLOOKUP(A2028,[14]PRIORIZADOS!$A:$K,11,FALSE)),"")</f>
        <v>ALBA DEL PILAR CUBIDES CÁCERES</v>
      </c>
      <c r="L2028" s="11" t="str">
        <f>IFERROR(IF(VLOOKUP(A2028,[14]PRIORIZADOS!$A:$L,12,FALSE)="","",VLOOKUP(A2028,[14]PRIORIZADOS!$A:$L,12,FALSE)),"")</f>
        <v>SONIA CONSTANZA URREGO GONZÁLEZ</v>
      </c>
      <c r="M2028" s="71">
        <f>IFERROR(IF(VLOOKUP(A2028,[14]PRIORIZADOS!$A:$M,13,FALSE)="","",VLOOKUP(A2028,[14]PRIORIZADOS!$A:$M,13,FALSE)),"")</f>
        <v>45916</v>
      </c>
      <c r="N2028" s="71">
        <f>IFERROR(IF(VLOOKUP(A2028,[14]PRIORIZADOS!$A:$N,14,FALSE)="","",VLOOKUP(A2028,[14]PRIORIZADOS!$A:$N,14,FALSE)),"")</f>
        <v>45883</v>
      </c>
      <c r="O2028" s="71">
        <f>IFERROR(IF(VLOOKUP(A2028,[14]PRIORIZADOS!$A:$O,15,FALSE)="","",VLOOKUP(A2028,[14]PRIORIZADOS!$A:$O,15,FALSE)),"")</f>
        <v>45883</v>
      </c>
      <c r="P2028" s="11" t="str">
        <f>IFERROR(IF(VLOOKUP(A2028,[14]PRIORIZADOS!$A:$P,16,FALSE)="","",VLOOKUP(A2028,[14]PRIORIZADOS!$A:$P,16,FALSE)),"")</f>
        <v>Visitas de evaluación con fines de seguimiento</v>
      </c>
      <c r="Q2028" s="250" t="s">
        <v>432</v>
      </c>
      <c r="R2028" s="11" t="str">
        <f>IFERROR(IF(VLOOKUP(A2028,[14]PRIORIZADOS!$A:$R,18,FALSE)="","",VLOOKUP(A2028,[14]PRIORIZADOS!$A:$R,18,FALSE)),"")</f>
        <v>La institución educativa se encuentra clasificada en nivel C, y se han realizado acciones específicas basadas en los resultados</v>
      </c>
      <c r="S2028" s="11" t="str">
        <f>IFERROR(IF(VLOOKUP(A2028,[14]PRIORIZADOS!$A:$S,19,FALSE)="","",VLOOKUP(A2028,[14]PRIORIZADOS!$A:$S,19,FALSE)),"")</f>
        <v>Como acción de mejora se adoptó la estrategía FOCUS TRAINNIG, la cual incluye palneación, aplicación, evaluación y retroalimentación.</v>
      </c>
      <c r="T2028" s="70" t="str">
        <f>IFERROR(IF(VLOOKUP(A2028,[14]PRIORIZADOS!$A:$T,20,FALSE)="","",VLOOKUP(A2028,[14]PRIORIZADOS!$A:$T,20,FALSE)),"")</f>
        <v>SI</v>
      </c>
      <c r="U2028" s="11" t="str">
        <f>IFERROR(IF(VLOOKUP(A2028,[14]PRIORIZADOS!$A:$U,21,FALSE)="","",VLOOKUP(A2028,[14]PRIORIZADOS!$A:$U,21,FALSE)),"")</f>
        <v>Ultima  semana del mes de noviembre de 2025</v>
      </c>
    </row>
    <row r="2029" spans="1:21" s="1" customFormat="1" ht="48">
      <c r="A2029" s="69">
        <f>IF([14]PRIORIZADOS!A76="","",[14]PRIORIZADOS!A76)</f>
        <v>1997</v>
      </c>
      <c r="B2029" s="70">
        <f>IFERROR(IF(VLOOKUP(A2029,[14]PRIORIZADOS!$A:$B,2,FALSE)="","",VLOOKUP(A2029,[14]PRIORIZADOS!$A:$B,2,FALSE)),"")</f>
        <v>8</v>
      </c>
      <c r="C2029" s="11" t="s">
        <v>424</v>
      </c>
      <c r="D2029" s="11" t="str">
        <f>IFERROR(IF(VLOOKUP(A2029,[14]PRIORIZADOS!$A:$D,4,FALSE)="","",VLOOKUP(A2029,[14]PRIORIZADOS!$A:$D,4,FALSE)),"")</f>
        <v>PRIVADO</v>
      </c>
      <c r="E2029" s="11" t="str">
        <f>IFERROR(IF(VLOOKUP(A2029,[14]PRIORIZADOS!$A:$E,5,FALSE)="","",VLOOKUP(A2029,[14]PRIORIZADOS!$A:$E,5,FALSE)),"")</f>
        <v>Educación de Jóvenes y Adultos</v>
      </c>
      <c r="F2029" s="11" t="str">
        <f>IFERROR(IF(VLOOKUP(A2029,[14]PRIORIZADOS!$A:$F,6,FALSE)="","",VLOOKUP(A2029,[14]PRIORIZADOS!$A:$F,6,FALSE)),"")</f>
        <v>COLEGIO_TECNISISTEMAS</v>
      </c>
      <c r="G2029" s="11" t="str">
        <f>IFERROR(IF(VLOOKUP(A2029,[14]PRIORIZADOS!$A:$G,7,FALSE)="","",VLOOKUP(A2029,[14]PRIORIZADOS!$A:$G,7,FALSE)),"")</f>
        <v>COLEGIO TECNISISTEMAS</v>
      </c>
      <c r="H2029" s="11" t="str">
        <f>IFERROR(IF(VLOOKUP(A2029,[14]PRIORIZADOS!$A:$H,8,FALSE)="","",VLOOKUP(A2029,[14]PRIORIZADOS!$A:$H,8,FALSE)),"")</f>
        <v>Autoevaluación Institucional y Pruebas SABER 11</v>
      </c>
      <c r="I2029" s="11" t="str">
        <f>IFERROR(IF(VLOOKUP(A2029,[14]PRIORIZADOS!$A:$I,9,FALSE)="","",VLOOKUP(A2029,[14]PRIORIZADOS!$A:$I,9,FALSE)),"")</f>
        <v>SEGUIMIENTO_Y_SUPERVISIÓN.</v>
      </c>
      <c r="J2029" s="11" t="str">
        <f>IFERROR(IF(VLOOKUP(A2029,[14]PRIORIZADOS!$A:$J,10,FALSE)="","",VLOOKUP(A2029,[14]PRIORIZADOS!$A:$J,10,FALSE)),"")</f>
        <v xml:space="preserve">Verificar la implementación por parte de los colegios, de acciones realizadas para la prevención y atención de las situaciones de convivencia en el entorno escolar, según lo establecido en la Directiva 01 de 2022 del MEN. </v>
      </c>
      <c r="K2029" s="11" t="str">
        <f>IFERROR(IF(VLOOKUP(A2029,[14]PRIORIZADOS!$A:$K,11,FALSE)="","",VLOOKUP(A2029,[14]PRIORIZADOS!$A:$K,11,FALSE)),"")</f>
        <v>ALBA DEL PILAR CUBIDES CÁCERES</v>
      </c>
      <c r="L2029" s="11" t="str">
        <f>IFERROR(IF(VLOOKUP(A2029,[14]PRIORIZADOS!$A:$L,12,FALSE)="","",VLOOKUP(A2029,[14]PRIORIZADOS!$A:$L,12,FALSE)),"")</f>
        <v>SONIA CONSTANZA URREGO GONZÁLEZ</v>
      </c>
      <c r="M2029" s="71">
        <f>IFERROR(IF(VLOOKUP(A2029,[14]PRIORIZADOS!$A:$M,13,FALSE)="","",VLOOKUP(A2029,[14]PRIORIZADOS!$A:$M,13,FALSE)),"")</f>
        <v>45916</v>
      </c>
      <c r="N2029" s="71">
        <f>IFERROR(IF(VLOOKUP(A2029,[14]PRIORIZADOS!$A:$N,14,FALSE)="","",VLOOKUP(A2029,[14]PRIORIZADOS!$A:$N,14,FALSE)),"")</f>
        <v>45883</v>
      </c>
      <c r="O2029" s="71">
        <f>IFERROR(IF(VLOOKUP(A2029,[14]PRIORIZADOS!$A:$O,15,FALSE)="","",VLOOKUP(A2029,[14]PRIORIZADOS!$A:$O,15,FALSE)),"")</f>
        <v>45883</v>
      </c>
      <c r="P2029" s="11" t="str">
        <f>IFERROR(IF(VLOOKUP(A2029,[14]PRIORIZADOS!$A:$P,16,FALSE)="","",VLOOKUP(A2029,[14]PRIORIZADOS!$A:$P,16,FALSE)),"")</f>
        <v>Visitas de evaluación con fines de seguimiento</v>
      </c>
      <c r="Q2029" s="250" t="s">
        <v>432</v>
      </c>
      <c r="R2029" s="11" t="str">
        <f>IFERROR(IF(VLOOKUP(A2029,[14]PRIORIZADOS!$A:$R,18,FALSE)="","",VLOOKUP(A2029,[14]PRIORIZADOS!$A:$R,18,FALSE)),"")</f>
        <v>Realiza consulta de inhabilidades por delitos sexuales</v>
      </c>
      <c r="S2029" s="11" t="str">
        <f>IFERROR(IF(VLOOKUP(A2029,[14]PRIORIZADOS!$A:$S,19,FALSE)="","",VLOOKUP(A2029,[14]PRIORIZADOS!$A:$S,19,FALSE)),"")</f>
        <v xml:space="preserve">Continuar el  cumplimiento de la Directiva 01 de 2022  </v>
      </c>
      <c r="T2029" s="70" t="str">
        <f>IFERROR(IF(VLOOKUP(A2029,[14]PRIORIZADOS!$A:$T,20,FALSE)="","",VLOOKUP(A2029,[14]PRIORIZADOS!$A:$T,20,FALSE)),"")</f>
        <v>NO</v>
      </c>
      <c r="U2029" s="11" t="str">
        <f>IFERROR(IF(VLOOKUP(A2029,[14]PRIORIZADOS!$A:$U,21,FALSE)="","",VLOOKUP(A2029,[14]PRIORIZADOS!$A:$U,21,FALSE)),"")</f>
        <v>Seguir con su cumplimiento</v>
      </c>
    </row>
    <row r="2030" spans="1:21" s="1" customFormat="1" ht="72">
      <c r="A2030" s="69">
        <f>IF([14]PRIORIZADOS!A77="","",[14]PRIORIZADOS!A77)</f>
        <v>1998</v>
      </c>
      <c r="B2030" s="70">
        <f>IFERROR(IF(VLOOKUP(A2030,[14]PRIORIZADOS!$A:$B,2,FALSE)="","",VLOOKUP(A2030,[14]PRIORIZADOS!$A:$B,2,FALSE)),"")</f>
        <v>8</v>
      </c>
      <c r="C2030" s="11" t="s">
        <v>424</v>
      </c>
      <c r="D2030" s="11" t="str">
        <f>IFERROR(IF(VLOOKUP(A2030,[14]PRIORIZADOS!$A:$D,4,FALSE)="","",VLOOKUP(A2030,[14]PRIORIZADOS!$A:$D,4,FALSE)),"")</f>
        <v>PRIVADO</v>
      </c>
      <c r="E2030" s="11" t="str">
        <f>IFERROR(IF(VLOOKUP(A2030,[14]PRIORIZADOS!$A:$E,5,FALSE)="","",VLOOKUP(A2030,[14]PRIORIZADOS!$A:$E,5,FALSE)),"")</f>
        <v>Educación de Jóvenes y Adultos</v>
      </c>
      <c r="F2030" s="11" t="str">
        <f>IFERROR(IF(VLOOKUP(A2030,[14]PRIORIZADOS!$A:$F,6,FALSE)="","",VLOOKUP(A2030,[14]PRIORIZADOS!$A:$F,6,FALSE)),"")</f>
        <v>COLEGIO_TECNISISTEMAS</v>
      </c>
      <c r="G2030" s="11" t="str">
        <f>IFERROR(IF(VLOOKUP(A2030,[14]PRIORIZADOS!$A:$G,7,FALSE)="","",VLOOKUP(A2030,[14]PRIORIZADOS!$A:$G,7,FALSE)),"")</f>
        <v>COLEGIO TECNISISTEMAS</v>
      </c>
      <c r="H2030" s="11" t="str">
        <f>IFERROR(IF(VLOOKUP(A2030,[14]PRIORIZADOS!$A:$H,8,FALSE)="","",VLOOKUP(A2030,[14]PRIORIZADOS!$A:$H,8,FALSE)),"")</f>
        <v>Autoevaluación Institucional y Pruebas SABER 11</v>
      </c>
      <c r="I2030" s="11" t="str">
        <f>IFERROR(IF(VLOOKUP(A2030,[14]PRIORIZADOS!$A:$I,9,FALSE)="","",VLOOKUP(A2030,[14]PRIORIZADOS!$A:$I,9,FALSE)),"")</f>
        <v>SEGUIMIENTO_Y_SUPERVISIÓN.</v>
      </c>
      <c r="J2030" s="11" t="str">
        <f>IFERROR(IF(VLOOKUP(A2030,[14]PRIORIZADOS!$A:$J,10,FALSE)="","",VLOOKUP(A2030,[14]PRIORIZADOS!$A:$J,10,FALSE)),"")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30" s="11" t="str">
        <f>IFERROR(IF(VLOOKUP(A2030,[14]PRIORIZADOS!$A:$K,11,FALSE)="","",VLOOKUP(A2030,[14]PRIORIZADOS!$A:$K,11,FALSE)),"")</f>
        <v>ALBA DEL PILAR CUBIDES CÁCERES</v>
      </c>
      <c r="L2030" s="11" t="str">
        <f>IFERROR(IF(VLOOKUP(A2030,[14]PRIORIZADOS!$A:$L,12,FALSE)="","",VLOOKUP(A2030,[14]PRIORIZADOS!$A:$L,12,FALSE)),"")</f>
        <v>SONIA CONSTANZA URREGO GONZÁLEZ</v>
      </c>
      <c r="M2030" s="71">
        <f>IFERROR(IF(VLOOKUP(A2030,[14]PRIORIZADOS!$A:$M,13,FALSE)="","",VLOOKUP(A2030,[14]PRIORIZADOS!$A:$M,13,FALSE)),"")</f>
        <v>45916</v>
      </c>
      <c r="N2030" s="71">
        <f>IFERROR(IF(VLOOKUP(A2030,[14]PRIORIZADOS!$A:$N,14,FALSE)="","",VLOOKUP(A2030,[14]PRIORIZADOS!$A:$N,14,FALSE)),"")</f>
        <v>45883</v>
      </c>
      <c r="O2030" s="71">
        <f>IFERROR(IF(VLOOKUP(A2030,[14]PRIORIZADOS!$A:$O,15,FALSE)="","",VLOOKUP(A2030,[14]PRIORIZADOS!$A:$O,15,FALSE)),"")</f>
        <v>45883</v>
      </c>
      <c r="P2030" s="11" t="str">
        <f>IFERROR(IF(VLOOKUP(A2030,[14]PRIORIZADOS!$A:$P,16,FALSE)="","",VLOOKUP(A2030,[14]PRIORIZADOS!$A:$P,16,FALSE)),"")</f>
        <v>Visitas de evaluación con fines de seguimiento</v>
      </c>
      <c r="Q2030" s="250" t="s">
        <v>432</v>
      </c>
      <c r="R2030" s="11" t="str">
        <f>IFERROR(IF(VLOOKUP(A2030,[14]PRIORIZADOS!$A:$R,18,FALSE)="","",VLOOKUP(A2030,[14]PRIORIZADOS!$A:$R,18,FALSE)),"")</f>
        <v>Cuentan con 12 estudiantes de inclusión, reportados en el SIMAT los cuales coinciden con los datos d ela visita</v>
      </c>
      <c r="S2030" s="11" t="str">
        <f>IFERROR(IF(VLOOKUP(A2030,[14]PRIORIZADOS!$A:$S,19,FALSE)="","",VLOOKUP(A2030,[14]PRIORIZADOS!$A:$S,19,FALSE)),"")</f>
        <v>Proseguir con  la elaboración, implementación, avance y socialización del PIAR</v>
      </c>
      <c r="T2030" s="70" t="str">
        <f>IFERROR(IF(VLOOKUP(A2030,[14]PRIORIZADOS!$A:$T,20,FALSE)="","",VLOOKUP(A2030,[14]PRIORIZADOS!$A:$T,20,FALSE)),"")</f>
        <v>No</v>
      </c>
      <c r="U2030" s="11" t="str">
        <f>IFERROR(IF(VLOOKUP(A2030,[14]PRIORIZADOS!$A:$U,21,FALSE)="","",VLOOKUP(A2030,[14]PRIORIZADOS!$A:$U,21,FALSE)),"")</f>
        <v>Seguir con su cumplimiento</v>
      </c>
    </row>
    <row r="2031" spans="1:21" s="1" customFormat="1" ht="84">
      <c r="A2031" s="69">
        <f>IF([14]PRIORIZADOS!A78="","",[14]PRIORIZADOS!A78)</f>
        <v>1999</v>
      </c>
      <c r="B2031" s="70">
        <f>IFERROR(IF(VLOOKUP(A2031,[14]PRIORIZADOS!$A:$B,2,FALSE)="","",VLOOKUP(A2031,[14]PRIORIZADOS!$A:$B,2,FALSE)),"")</f>
        <v>8</v>
      </c>
      <c r="C2031" s="11" t="s">
        <v>424</v>
      </c>
      <c r="D2031" s="11" t="str">
        <f>IFERROR(IF(VLOOKUP(A2031,[14]PRIORIZADOS!$A:$D,4,FALSE)="","",VLOOKUP(A2031,[14]PRIORIZADOS!$A:$D,4,FALSE)),"")</f>
        <v>PRIVADO</v>
      </c>
      <c r="E2031" s="11" t="str">
        <f>IFERROR(IF(VLOOKUP(A2031,[14]PRIORIZADOS!$A:$E,5,FALSE)="","",VLOOKUP(A2031,[14]PRIORIZADOS!$A:$E,5,FALSE)),"")</f>
        <v>Educación de Jóvenes y Adultos</v>
      </c>
      <c r="F2031" s="11" t="str">
        <f>IFERROR(IF(VLOOKUP(A2031,[14]PRIORIZADOS!$A:$F,6,FALSE)="","",VLOOKUP(A2031,[14]PRIORIZADOS!$A:$F,6,FALSE)),"")</f>
        <v>COLEGIO_TECNISISTEMAS</v>
      </c>
      <c r="G2031" s="11" t="str">
        <f>IFERROR(IF(VLOOKUP(A2031,[14]PRIORIZADOS!$A:$G,7,FALSE)="","",VLOOKUP(A2031,[14]PRIORIZADOS!$A:$G,7,FALSE)),"")</f>
        <v>COLEGIO TECNISISTEMAS</v>
      </c>
      <c r="H2031" s="11" t="str">
        <f>IFERROR(IF(VLOOKUP(A2031,[14]PRIORIZADOS!$A:$H,8,FALSE)="","",VLOOKUP(A2031,[14]PRIORIZADOS!$A:$H,8,FALSE)),"")</f>
        <v>Autoevaluación Institucional y Pruebas SABER 11</v>
      </c>
      <c r="I2031" s="11" t="str">
        <f>IFERROR(IF(VLOOKUP(A2031,[14]PRIORIZADOS!$A:$I,9,FALSE)="","",VLOOKUP(A2031,[14]PRIORIZADOS!$A:$I,9,FALSE)),"")</f>
        <v>EVALUACIÓN_CON_FINES_DE_MEJORAMIENTO.</v>
      </c>
      <c r="J2031" s="11" t="str">
        <f>IFERROR(IF(VLOOKUP(A2031,[14]PRIORIZADOS!$A:$J,10,FALSE)="","",VLOOKUP(A2031,[14]PRIORIZADOS!$A:$J,10,FALSE)),"")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31" s="11" t="str">
        <f>IFERROR(IF(VLOOKUP(A2031,[14]PRIORIZADOS!$A:$K,11,FALSE)="","",VLOOKUP(A2031,[14]PRIORIZADOS!$A:$K,11,FALSE)),"")</f>
        <v>ALBA DEL PILAR CUBIDES CÁCERES</v>
      </c>
      <c r="L2031" s="11" t="str">
        <f>IFERROR(IF(VLOOKUP(A2031,[14]PRIORIZADOS!$A:$L,12,FALSE)="","",VLOOKUP(A2031,[14]PRIORIZADOS!$A:$L,12,FALSE)),"")</f>
        <v>SONIA CONSTANZA URREGO GONZÁLEZ</v>
      </c>
      <c r="M2031" s="71">
        <f>IFERROR(IF(VLOOKUP(A2031,[14]PRIORIZADOS!$A:$M,13,FALSE)="","",VLOOKUP(A2031,[14]PRIORIZADOS!$A:$M,13,FALSE)),"")</f>
        <v>45916</v>
      </c>
      <c r="N2031" s="71">
        <f>IFERROR(IF(VLOOKUP(A2031,[14]PRIORIZADOS!$A:$N,14,FALSE)="","",VLOOKUP(A2031,[14]PRIORIZADOS!$A:$N,14,FALSE)),"")</f>
        <v>45883</v>
      </c>
      <c r="O2031" s="71">
        <f>IFERROR(IF(VLOOKUP(A2031,[14]PRIORIZADOS!$A:$O,15,FALSE)="","",VLOOKUP(A2031,[14]PRIORIZADOS!$A:$O,15,FALSE)),"")</f>
        <v>45883</v>
      </c>
      <c r="P2031" s="11" t="str">
        <f>IFERROR(IF(VLOOKUP(A2031,[14]PRIORIZADOS!$A:$P,16,FALSE)="","",VLOOKUP(A2031,[14]PRIORIZADOS!$A:$P,16,FALSE)),"")</f>
        <v>Visitas de evaluación con fines de mejoramiento</v>
      </c>
      <c r="Q2031" s="30" t="s">
        <v>432</v>
      </c>
      <c r="R2031" s="11" t="str">
        <f>IFERROR(IF(VLOOKUP(A2031,[14]PRIORIZADOS!$A:$R,18,FALSE)="","",VLOOKUP(A2031,[14]PRIORIZADOS!$A:$R,18,FALSE)),"")</f>
        <v>El Manual de Convivencia se encuentra en físico, cumple parcialmente se debe actualizar  según orientaciones de la SED</v>
      </c>
      <c r="S2031" s="11" t="str">
        <f>IFERROR(IF(VLOOKUP(A2031,[14]PRIORIZADOS!$A:$S,19,FALSE)="","",VLOOKUP(A2031,[14]PRIORIZADOS!$A:$S,19,FALSE)),"")</f>
        <v>Se deben hacer los ajustes a lugar, acorde a la normatividad vigente, y presentarlo a la Dirección Local de Educación para recibir observaciones parte del ELIV.</v>
      </c>
      <c r="T2031" s="70" t="str">
        <f>IFERROR(IF(VLOOKUP(A2031,[14]PRIORIZADOS!$A:$T,20,FALSE)="","",VLOOKUP(A2031,[14]PRIORIZADOS!$A:$T,20,FALSE)),"")</f>
        <v>Si</v>
      </c>
      <c r="U2031" s="11" t="str">
        <f>IFERROR(IF(VLOOKUP(A2031,[14]PRIORIZADOS!$A:$U,21,FALSE)="","",VLOOKUP(A2031,[14]PRIORIZADOS!$A:$U,21,FALSE)),"")</f>
        <v>Última semana del mes de noviembre de 2025</v>
      </c>
    </row>
    <row r="2032" spans="1:21" s="1" customFormat="1" ht="72">
      <c r="A2032" s="69">
        <f>IF([14]PRIORIZADOS!A79="","",[14]PRIORIZADOS!A79)</f>
        <v>2000</v>
      </c>
      <c r="B2032" s="70">
        <f>IFERROR(IF(VLOOKUP(A2032,[14]PRIORIZADOS!$A:$B,2,FALSE)="","",VLOOKUP(A2032,[14]PRIORIZADOS!$A:$B,2,FALSE)),"")</f>
        <v>8</v>
      </c>
      <c r="C2032" s="11" t="s">
        <v>424</v>
      </c>
      <c r="D2032" s="11" t="str">
        <f>IFERROR(IF(VLOOKUP(A2032,[14]PRIORIZADOS!$A:$D,4,FALSE)="","",VLOOKUP(A2032,[14]PRIORIZADOS!$A:$D,4,FALSE)),"")</f>
        <v>PRIVADO</v>
      </c>
      <c r="E2032" s="11" t="str">
        <f>IFERROR(IF(VLOOKUP(A2032,[14]PRIORIZADOS!$A:$E,5,FALSE)="","",VLOOKUP(A2032,[14]PRIORIZADOS!$A:$E,5,FALSE)),"")</f>
        <v>Educación de Jóvenes y Adultos</v>
      </c>
      <c r="F2032" s="11" t="str">
        <f>IFERROR(IF(VLOOKUP(A2032,[14]PRIORIZADOS!$A:$F,6,FALSE)="","",VLOOKUP(A2032,[14]PRIORIZADOS!$A:$F,6,FALSE)),"")</f>
        <v>COLEGIO_TECNISISTEMAS</v>
      </c>
      <c r="G2032" s="11" t="str">
        <f>IFERROR(IF(VLOOKUP(A2032,[14]PRIORIZADOS!$A:$G,7,FALSE)="","",VLOOKUP(A2032,[14]PRIORIZADOS!$A:$G,7,FALSE)),"")</f>
        <v>COLEGIO TECNISISTEMAS</v>
      </c>
      <c r="H2032" s="11" t="str">
        <f>IFERROR(IF(VLOOKUP(A2032,[14]PRIORIZADOS!$A:$H,8,FALSE)="","",VLOOKUP(A2032,[14]PRIORIZADOS!$A:$H,8,FALSE)),"")</f>
        <v>Autoevaluación Institucional y Pruebas SABER 11</v>
      </c>
      <c r="I2032" s="11" t="str">
        <f>IFERROR(IF(VLOOKUP(A2032,[14]PRIORIZADOS!$A:$I,9,FALSE)="","",VLOOKUP(A2032,[14]PRIORIZADOS!$A:$I,9,FALSE)),"")</f>
        <v>EVALUACIÓN_CON_FINES_DE_MEJORAMIENTO.</v>
      </c>
      <c r="J2032" s="11" t="str">
        <f>IFERROR(IF(VLOOKUP(A2032,[14]PRIORIZADOS!$A:$J,10,FALSE)="","",VLOOKUP(A2032,[14]PRIORIZADOS!$A:$J,10,FALSE)),"")</f>
        <v>Revisar la actualización, socialización e implementación del Sistema Institucional de Evaluación de Estudiantes - SIEE, en articulación con la actualización del PEI y la normatividad vigente.</v>
      </c>
      <c r="K2032" s="11" t="str">
        <f>IFERROR(IF(VLOOKUP(A2032,[14]PRIORIZADOS!$A:$K,11,FALSE)="","",VLOOKUP(A2032,[14]PRIORIZADOS!$A:$K,11,FALSE)),"")</f>
        <v>ALBA DEL PILAR CUBIDES CÁCERES</v>
      </c>
      <c r="L2032" s="11" t="str">
        <f>IFERROR(IF(VLOOKUP(A2032,[14]PRIORIZADOS!$A:$L,12,FALSE)="","",VLOOKUP(A2032,[14]PRIORIZADOS!$A:$L,12,FALSE)),"")</f>
        <v>SONIA CONSTANZA URREGO GONZÁLEZ</v>
      </c>
      <c r="M2032" s="71">
        <f>IFERROR(IF(VLOOKUP(A2032,[14]PRIORIZADOS!$A:$M,13,FALSE)="","",VLOOKUP(A2032,[14]PRIORIZADOS!$A:$M,13,FALSE)),"")</f>
        <v>45916</v>
      </c>
      <c r="N2032" s="71">
        <f>IFERROR(IF(VLOOKUP(A2032,[14]PRIORIZADOS!$A:$N,14,FALSE)="","",VLOOKUP(A2032,[14]PRIORIZADOS!$A:$N,14,FALSE)),"")</f>
        <v>45883</v>
      </c>
      <c r="O2032" s="71">
        <f>IFERROR(IF(VLOOKUP(A2032,[14]PRIORIZADOS!$A:$O,15,FALSE)="","",VLOOKUP(A2032,[14]PRIORIZADOS!$A:$O,15,FALSE)),"")</f>
        <v>45883</v>
      </c>
      <c r="P2032" s="11" t="str">
        <f>IFERROR(IF(VLOOKUP(A2032,[14]PRIORIZADOS!$A:$P,16,FALSE)="","",VLOOKUP(A2032,[14]PRIORIZADOS!$A:$P,16,FALSE)),"")</f>
        <v>Visitas de evaluación con fines de mejoramiento</v>
      </c>
      <c r="Q2032" s="250" t="s">
        <v>432</v>
      </c>
      <c r="R2032" s="11" t="str">
        <f>IFERROR(IF(VLOOKUP(A2032,[14]PRIORIZADOS!$A:$R,18,FALSE)="","",VLOOKUP(A2032,[14]PRIORIZADOS!$A:$R,18,FALSE)),"")</f>
        <v>Revisado el SIEE se encuentra contemplado en PEI y en el manual de convivencia , establece escala valorativa, temas d eplanes de mejoramiento, distribución prorcentajes ,críterios y propósitos de evaluación</v>
      </c>
      <c r="S2032" s="11" t="str">
        <f>IFERROR(IF(VLOOKUP(A2032,[14]PRIORIZADOS!$A:$S,19,FALSE)="","",VLOOKUP(A2032,[14]PRIORIZADOS!$A:$S,19,FALSE)),"")</f>
        <v>Seguir ejecutándolo</v>
      </c>
      <c r="T2032" s="70" t="str">
        <f>IFERROR(IF(VLOOKUP(A2032,[14]PRIORIZADOS!$A:$T,20,FALSE)="","",VLOOKUP(A2032,[14]PRIORIZADOS!$A:$T,20,FALSE)),"")</f>
        <v>No</v>
      </c>
      <c r="U2032" s="11" t="str">
        <f>IFERROR(IF(VLOOKUP(A2032,[14]PRIORIZADOS!$A:$U,21,FALSE)="","",VLOOKUP(A2032,[14]PRIORIZADOS!$A:$U,21,FALSE)),"")</f>
        <v>Seguir con su cumplimiento</v>
      </c>
    </row>
    <row r="2033" spans="1:21" s="1" customFormat="1" ht="48">
      <c r="A2033" s="69">
        <f>IF([14]PRIORIZADOS!A80="","",[14]PRIORIZADOS!A80)</f>
        <v>2001</v>
      </c>
      <c r="B2033" s="70">
        <f>IFERROR(IF(VLOOKUP(A2033,[14]PRIORIZADOS!$A:$B,2,FALSE)="","",VLOOKUP(A2033,[14]PRIORIZADOS!$A:$B,2,FALSE)),"")</f>
        <v>8</v>
      </c>
      <c r="C2033" s="11" t="s">
        <v>424</v>
      </c>
      <c r="D2033" s="11" t="str">
        <f>IFERROR(IF(VLOOKUP(A2033,[14]PRIORIZADOS!$A:$D,4,FALSE)="","",VLOOKUP(A2033,[14]PRIORIZADOS!$A:$D,4,FALSE)),"")</f>
        <v>PRIVADO</v>
      </c>
      <c r="E2033" s="11" t="str">
        <f>IFERROR(IF(VLOOKUP(A2033,[14]PRIORIZADOS!$A:$E,5,FALSE)="","",VLOOKUP(A2033,[14]PRIORIZADOS!$A:$E,5,FALSE)),"")</f>
        <v>Educación de Jóvenes y Adultos</v>
      </c>
      <c r="F2033" s="11" t="str">
        <f>IFERROR(IF(VLOOKUP(A2033,[14]PRIORIZADOS!$A:$F,6,FALSE)="","",VLOOKUP(A2033,[14]PRIORIZADOS!$A:$F,6,FALSE)),"")</f>
        <v>COLEGIO_TECNISISTEMAS</v>
      </c>
      <c r="G2033" s="11" t="str">
        <f>IFERROR(IF(VLOOKUP(A2033,[14]PRIORIZADOS!$A:$G,7,FALSE)="","",VLOOKUP(A2033,[14]PRIORIZADOS!$A:$G,7,FALSE)),"")</f>
        <v>COLEGIO TECNISISTEMAS</v>
      </c>
      <c r="H2033" s="11" t="str">
        <f>IFERROR(IF(VLOOKUP(A2033,[14]PRIORIZADOS!$A:$H,8,FALSE)="","",VLOOKUP(A2033,[14]PRIORIZADOS!$A:$H,8,FALSE)),"")</f>
        <v>Autoevaluación Institucional y Pruebas SABER 11</v>
      </c>
      <c r="I2033" s="11" t="str">
        <f>IFERROR(IF(VLOOKUP(A2033,[14]PRIORIZADOS!$A:$I,9,FALSE)="","",VLOOKUP(A2033,[14]PRIORIZADOS!$A:$I,9,FALSE)),"")</f>
        <v>EVALUACIÓN_CON_FINES_DE_MEJORAMIENTO.</v>
      </c>
      <c r="J2033" s="11" t="str">
        <f>IFERROR(IF(VLOOKUP(A2033,[14]PRIORIZADOS!$A:$J,10,FALSE)="","",VLOOKUP(A2033,[14]PRIORIZADOS!$A:$J,10,FALSE)),"")</f>
        <v>Revisar el calendario escolar, jornada escolar, la intensidad horaria mínima anual en cada nivel y las modificaciones que se realicen al mismo, de acuerdo con lo previsto en la normatividad vigente.</v>
      </c>
      <c r="K2033" s="11" t="str">
        <f>IFERROR(IF(VLOOKUP(A2033,[14]PRIORIZADOS!$A:$K,11,FALSE)="","",VLOOKUP(A2033,[14]PRIORIZADOS!$A:$K,11,FALSE)),"")</f>
        <v>ALBA DEL PILAR CUBIDES CÁCERES</v>
      </c>
      <c r="L2033" s="11" t="str">
        <f>IFERROR(IF(VLOOKUP(A2033,[14]PRIORIZADOS!$A:$L,12,FALSE)="","",VLOOKUP(A2033,[14]PRIORIZADOS!$A:$L,12,FALSE)),"")</f>
        <v>SONIA CONSTANZA URREGO GONZÁLEZ</v>
      </c>
      <c r="M2033" s="71">
        <f>IFERROR(IF(VLOOKUP(A2033,[14]PRIORIZADOS!$A:$M,13,FALSE)="","",VLOOKUP(A2033,[14]PRIORIZADOS!$A:$M,13,FALSE)),"")</f>
        <v>45916</v>
      </c>
      <c r="N2033" s="71">
        <f>IFERROR(IF(VLOOKUP(A2033,[14]PRIORIZADOS!$A:$N,14,FALSE)="","",VLOOKUP(A2033,[14]PRIORIZADOS!$A:$N,14,FALSE)),"")</f>
        <v>45883</v>
      </c>
      <c r="O2033" s="71">
        <f>IFERROR(IF(VLOOKUP(A2033,[14]PRIORIZADOS!$A:$O,15,FALSE)="","",VLOOKUP(A2033,[14]PRIORIZADOS!$A:$O,15,FALSE)),"")</f>
        <v>45883</v>
      </c>
      <c r="P2033" s="11" t="str">
        <f>IFERROR(IF(VLOOKUP(A2033,[14]PRIORIZADOS!$A:$P,16,FALSE)="","",VLOOKUP(A2033,[14]PRIORIZADOS!$A:$P,16,FALSE)),"")</f>
        <v>Visitas de evaluación con fines de mejoramiento</v>
      </c>
      <c r="Q2033" s="250" t="s">
        <v>432</v>
      </c>
      <c r="R2033" s="11" t="str">
        <f>IFERROR(IF(VLOOKUP(A2033,[14]PRIORIZADOS!$A:$R,18,FALSE)="","",VLOOKUP(A2033,[14]PRIORIZADOS!$A:$R,18,FALSE)),"")</f>
        <v>Cumple con el número de semanas y horas por ciclo. Realizó reporte de información del Calendario Escolar.</v>
      </c>
      <c r="S2033" s="11" t="str">
        <f>IFERROR(IF(VLOOKUP(A2033,[14]PRIORIZADOS!$A:$S,19,FALSE)="","",VLOOKUP(A2033,[14]PRIORIZADOS!$A:$S,19,FALSE)),"")</f>
        <v xml:space="preserve">Continuar con el cumplimiento del calendario.  </v>
      </c>
      <c r="T2033" s="70" t="str">
        <f>IFERROR(IF(VLOOKUP(A2033,[14]PRIORIZADOS!$A:$T,20,FALSE)="","",VLOOKUP(A2033,[14]PRIORIZADOS!$A:$T,20,FALSE)),"")</f>
        <v>No</v>
      </c>
      <c r="U2033" s="11" t="str">
        <f>IFERROR(IF(VLOOKUP(A2033,[14]PRIORIZADOS!$A:$U,21,FALSE)="","",VLOOKUP(A2033,[14]PRIORIZADOS!$A:$U,21,FALSE)),"")</f>
        <v>Seguir con su cumplimiento</v>
      </c>
    </row>
    <row r="2034" spans="1:21" s="1" customFormat="1" ht="48">
      <c r="A2034" s="69">
        <f>IF([14]PRIORIZADOS!A81="","",[14]PRIORIZADOS!A81)</f>
        <v>2002</v>
      </c>
      <c r="B2034" s="70">
        <f>IFERROR(IF(VLOOKUP(A2034,[14]PRIORIZADOS!$A:$B,2,FALSE)="","",VLOOKUP(A2034,[14]PRIORIZADOS!$A:$B,2,FALSE)),"")</f>
        <v>8</v>
      </c>
      <c r="C2034" s="11" t="s">
        <v>424</v>
      </c>
      <c r="D2034" s="11" t="str">
        <f>IFERROR(IF(VLOOKUP(A2034,[14]PRIORIZADOS!$A:$D,4,FALSE)="","",VLOOKUP(A2034,[14]PRIORIZADOS!$A:$D,4,FALSE)),"")</f>
        <v>PRIVADO</v>
      </c>
      <c r="E2034" s="11" t="str">
        <f>IFERROR(IF(VLOOKUP(A2034,[14]PRIORIZADOS!$A:$E,5,FALSE)="","",VLOOKUP(A2034,[14]PRIORIZADOS!$A:$E,5,FALSE)),"")</f>
        <v>Educación de Jóvenes y Adultos</v>
      </c>
      <c r="F2034" s="11" t="str">
        <f>IFERROR(IF(VLOOKUP(A2034,[14]PRIORIZADOS!$A:$F,6,FALSE)="","",VLOOKUP(A2034,[14]PRIORIZADOS!$A:$F,6,FALSE)),"")</f>
        <v>COLEGIO_TECNISISTEMAS</v>
      </c>
      <c r="G2034" s="11" t="str">
        <f>IFERROR(IF(VLOOKUP(A2034,[14]PRIORIZADOS!$A:$G,7,FALSE)="","",VLOOKUP(A2034,[14]PRIORIZADOS!$A:$G,7,FALSE)),"")</f>
        <v>COLEGIO TECNISISTEMAS</v>
      </c>
      <c r="H2034" s="11" t="str">
        <f>IFERROR(IF(VLOOKUP(A2034,[14]PRIORIZADOS!$A:$H,8,FALSE)="","",VLOOKUP(A2034,[14]PRIORIZADOS!$A:$H,8,FALSE)),"")</f>
        <v>Autoevaluación Institucional y Pruebas SABER 11</v>
      </c>
      <c r="I2034" s="11" t="str">
        <f>IFERROR(IF(VLOOKUP(A2034,[14]PRIORIZADOS!$A:$I,9,FALSE)="","",VLOOKUP(A2034,[14]PRIORIZADOS!$A:$I,9,FALSE)),"")</f>
        <v>EVALUACIÓN_CON_FINES_DE_MEJORAMIENTO.</v>
      </c>
      <c r="J2034" s="11" t="str">
        <f>IFERROR(IF(VLOOKUP(A2034,[14]PRIORIZADOS!$A:$J,10,FALSE)="","",VLOOKUP(A2034,[14]PRIORIZADOS!$A:$J,10,FALSE)),"")</f>
        <v>Verificar el funcionamiento del Gobierno Escolar e instancias de participación con base en la información sobre conformación reportada por la institución educativa.</v>
      </c>
      <c r="K2034" s="11" t="str">
        <f>IFERROR(IF(VLOOKUP(A2034,[14]PRIORIZADOS!$A:$K,11,FALSE)="","",VLOOKUP(A2034,[14]PRIORIZADOS!$A:$K,11,FALSE)),"")</f>
        <v>ALBA DEL PILAR CUBIDES CÁCERES</v>
      </c>
      <c r="L2034" s="11" t="str">
        <f>IFERROR(IF(VLOOKUP(A2034,[14]PRIORIZADOS!$A:$L,12,FALSE)="","",VLOOKUP(A2034,[14]PRIORIZADOS!$A:$L,12,FALSE)),"")</f>
        <v>SONIA CONSTANZA URREGO GONZÁLEZ</v>
      </c>
      <c r="M2034" s="71">
        <f>IFERROR(IF(VLOOKUP(A2034,[14]PRIORIZADOS!$A:$M,13,FALSE)="","",VLOOKUP(A2034,[14]PRIORIZADOS!$A:$M,13,FALSE)),"")</f>
        <v>45916</v>
      </c>
      <c r="N2034" s="71">
        <f>IFERROR(IF(VLOOKUP(A2034,[14]PRIORIZADOS!$A:$N,14,FALSE)="","",VLOOKUP(A2034,[14]PRIORIZADOS!$A:$N,14,FALSE)),"")</f>
        <v>45883</v>
      </c>
      <c r="O2034" s="71">
        <f>IFERROR(IF(VLOOKUP(A2034,[14]PRIORIZADOS!$A:$O,15,FALSE)="","",VLOOKUP(A2034,[14]PRIORIZADOS!$A:$O,15,FALSE)),"")</f>
        <v>45883</v>
      </c>
      <c r="P2034" s="11" t="str">
        <f>IFERROR(IF(VLOOKUP(A2034,[14]PRIORIZADOS!$A:$P,16,FALSE)="","",VLOOKUP(A2034,[14]PRIORIZADOS!$A:$P,16,FALSE)),"")</f>
        <v>Visitas de evaluación con fines de mejoramiento</v>
      </c>
      <c r="Q2034" s="250" t="s">
        <v>432</v>
      </c>
      <c r="R2034" s="11" t="str">
        <f>IFERROR(IF(VLOOKUP(A2034,[14]PRIORIZADOS!$A:$R,18,FALSE)="","",VLOOKUP(A2034,[14]PRIORIZADOS!$A:$R,18,FALSE)),"")</f>
        <v>Se conformó el Gobierno Escolar con reporte en el aplicativo SAE. Se evidencian actas de conformación y reunión de acuerdo con la norma</v>
      </c>
      <c r="S2034" s="11" t="str">
        <f>IFERROR(IF(VLOOKUP(A2034,[14]PRIORIZADOS!$A:$S,19,FALSE)="","",VLOOKUP(A2034,[14]PRIORIZADOS!$A:$S,19,FALSE)),"")</f>
        <v xml:space="preserve">Continuar con  reuniones periodicas de cada uno de los estamentos de Gobierno Escolar, acorde con su reglamento. </v>
      </c>
      <c r="T2034" s="70" t="str">
        <f>IFERROR(IF(VLOOKUP(A2034,[14]PRIORIZADOS!$A:$T,20,FALSE)="","",VLOOKUP(A2034,[14]PRIORIZADOS!$A:$T,20,FALSE)),"")</f>
        <v>No</v>
      </c>
      <c r="U2034" s="11" t="str">
        <f>IFERROR(IF(VLOOKUP(A2034,[14]PRIORIZADOS!$A:$U,21,FALSE)="","",VLOOKUP(A2034,[14]PRIORIZADOS!$A:$U,21,FALSE)),"")</f>
        <v>Seguir con su cumplimiento</v>
      </c>
    </row>
    <row r="2035" spans="1:21" s="1" customFormat="1" ht="48">
      <c r="A2035" s="69">
        <f>IF([14]PRIORIZADOS!A82="","",[14]PRIORIZADOS!A82)</f>
        <v>2003</v>
      </c>
      <c r="B2035" s="70">
        <f>IFERROR(IF(VLOOKUP(A2035,[14]PRIORIZADOS!$A:$B,2,FALSE)="","",VLOOKUP(A2035,[14]PRIORIZADOS!$A:$B,2,FALSE)),"")</f>
        <v>8</v>
      </c>
      <c r="C2035" s="11" t="s">
        <v>424</v>
      </c>
      <c r="D2035" s="11" t="str">
        <f>IFERROR(IF(VLOOKUP(A2035,[14]PRIORIZADOS!$A:$D,4,FALSE)="","",VLOOKUP(A2035,[14]PRIORIZADOS!$A:$D,4,FALSE)),"")</f>
        <v>PRIVADO</v>
      </c>
      <c r="E2035" s="11" t="str">
        <f>IFERROR(IF(VLOOKUP(A2035,[14]PRIORIZADOS!$A:$E,5,FALSE)="","",VLOOKUP(A2035,[14]PRIORIZADOS!$A:$E,5,FALSE)),"")</f>
        <v>Educación de Jóvenes y Adultos</v>
      </c>
      <c r="F2035" s="11" t="str">
        <f>IFERROR(IF(VLOOKUP(A2035,[14]PRIORIZADOS!$A:$F,6,FALSE)="","",VLOOKUP(A2035,[14]PRIORIZADOS!$A:$F,6,FALSE)),"")</f>
        <v>COLEGIO_TECNISISTEMAS</v>
      </c>
      <c r="G2035" s="11" t="str">
        <f>IFERROR(IF(VLOOKUP(A2035,[14]PRIORIZADOS!$A:$G,7,FALSE)="","",VLOOKUP(A2035,[14]PRIORIZADOS!$A:$G,7,FALSE)),"")</f>
        <v>COLEGIO TECNISISTEMAS</v>
      </c>
      <c r="H2035" s="11" t="str">
        <f>IFERROR(IF(VLOOKUP(A2035,[14]PRIORIZADOS!$A:$H,8,FALSE)="","",VLOOKUP(A2035,[14]PRIORIZADOS!$A:$H,8,FALSE)),"")</f>
        <v>Autoevaluación Institucional y Pruebas SABER 11</v>
      </c>
      <c r="I2035" s="11" t="str">
        <f>IFERROR(IF(VLOOKUP(A2035,[14]PRIORIZADOS!$A:$I,9,FALSE)="","",VLOOKUP(A2035,[14]PRIORIZADOS!$A:$I,9,FALSE)),"")</f>
        <v>EVALUACIÓN_CON_FINES_DE_MEJORAMIENTO.</v>
      </c>
      <c r="J2035" s="11" t="str">
        <f>IFERROR(IF(VLOOKUP(A2035,[14]PRIORIZADOS!$A:$J,10,FALSE)="","",VLOOKUP(A2035,[14]PRIORIZADOS!$A:$J,10,FALSE)),"")</f>
        <v>Verificar las condiciones en cuanto a: la estructura administrativa, condiciones de la planta física y medios educativos adecuados.</v>
      </c>
      <c r="K2035" s="11" t="str">
        <f>IFERROR(IF(VLOOKUP(A2035,[14]PRIORIZADOS!$A:$K,11,FALSE)="","",VLOOKUP(A2035,[14]PRIORIZADOS!$A:$K,11,FALSE)),"")</f>
        <v>ALBA DEL PILAR CUBIDES CÁCERES</v>
      </c>
      <c r="L2035" s="11" t="str">
        <f>IFERROR(IF(VLOOKUP(A2035,[14]PRIORIZADOS!$A:$L,12,FALSE)="","",VLOOKUP(A2035,[14]PRIORIZADOS!$A:$L,12,FALSE)),"")</f>
        <v>SONIA CONSTANZA URREGO GONZÁLEZ</v>
      </c>
      <c r="M2035" s="71">
        <f>IFERROR(IF(VLOOKUP(A2035,[14]PRIORIZADOS!$A:$M,13,FALSE)="","",VLOOKUP(A2035,[14]PRIORIZADOS!$A:$M,13,FALSE)),"")</f>
        <v>45916</v>
      </c>
      <c r="N2035" s="71">
        <f>IFERROR(IF(VLOOKUP(A2035,[14]PRIORIZADOS!$A:$N,14,FALSE)="","",VLOOKUP(A2035,[14]PRIORIZADOS!$A:$N,14,FALSE)),"")</f>
        <v>45883</v>
      </c>
      <c r="O2035" s="71">
        <f>IFERROR(IF(VLOOKUP(A2035,[14]PRIORIZADOS!$A:$O,15,FALSE)="","",VLOOKUP(A2035,[14]PRIORIZADOS!$A:$O,15,FALSE)),"")</f>
        <v>45883</v>
      </c>
      <c r="P2035" s="11" t="str">
        <f>IFERROR(IF(VLOOKUP(A2035,[14]PRIORIZADOS!$A:$P,16,FALSE)="","",VLOOKUP(A2035,[14]PRIORIZADOS!$A:$P,16,FALSE)),"")</f>
        <v>Visitas de evaluación con fines de mejoramiento</v>
      </c>
      <c r="Q2035" s="250" t="s">
        <v>432</v>
      </c>
      <c r="R2035" s="11" t="str">
        <f>IFERROR(IF(VLOOKUP(A2035,[14]PRIORIZADOS!$A:$R,18,FALSE)="","",VLOOKUP(A2035,[14]PRIORIZADOS!$A:$R,18,FALSE)),"")</f>
        <v>Se evidencian espacios suficientes y dotados, en cuanto a ambientes de aprendizaje. Los servicios sanitarios  son suficientes, todo en perfecto orden y aseo</v>
      </c>
      <c r="S2035" s="11" t="str">
        <f>IFERROR(IF(VLOOKUP(A2035,[14]PRIORIZADOS!$A:$S,19,FALSE)="","",VLOOKUP(A2035,[14]PRIORIZADOS!$A:$S,19,FALSE)),"")</f>
        <v>Conservar la planta física con el orden y aseo, que se evidencio en la visita.</v>
      </c>
      <c r="T2035" s="70" t="str">
        <f>IFERROR(IF(VLOOKUP(A2035,[14]PRIORIZADOS!$A:$T,20,FALSE)="","",VLOOKUP(A2035,[14]PRIORIZADOS!$A:$T,20,FALSE)),"")</f>
        <v>No</v>
      </c>
      <c r="U2035" s="11" t="str">
        <f>IFERROR(IF(VLOOKUP(A2035,[14]PRIORIZADOS!$A:$U,21,FALSE)="","",VLOOKUP(A2035,[14]PRIORIZADOS!$A:$U,21,FALSE)),"")</f>
        <v>Seguir con su cumplimiento</v>
      </c>
    </row>
    <row r="2036" spans="1:21" s="1" customFormat="1" ht="72">
      <c r="A2036" s="69">
        <f>IF([14]PRIORIZADOS!A83="","",[14]PRIORIZADOS!A83)</f>
        <v>2004</v>
      </c>
      <c r="B2036" s="70">
        <f>IFERROR(IF(VLOOKUP(A2036,[14]PRIORIZADOS!$A:$B,2,FALSE)="","",VLOOKUP(A2036,[14]PRIORIZADOS!$A:$B,2,FALSE)),"")</f>
        <v>9</v>
      </c>
      <c r="C2036" s="11" t="s">
        <v>424</v>
      </c>
      <c r="D2036" s="11" t="str">
        <f>IFERROR(IF(VLOOKUP(A2036,[14]PRIORIZADOS!$A:$D,4,FALSE)="","",VLOOKUP(A2036,[14]PRIORIZADOS!$A:$D,4,FALSE)),"")</f>
        <v>PRIVADO</v>
      </c>
      <c r="E2036" s="11" t="str">
        <f>IFERROR(IF(VLOOKUP(A2036,[14]PRIORIZADOS!$A:$E,5,FALSE)="","",VLOOKUP(A2036,[14]PRIORIZADOS!$A:$E,5,FALSE)),"")</f>
        <v>Educación de Jóvenes y Adultos</v>
      </c>
      <c r="F2036" s="11" t="str">
        <f>IFERROR(IF(VLOOKUP(A2036,[14]PRIORIZADOS!$A:$F,6,FALSE)="","",VLOOKUP(A2036,[14]PRIORIZADOS!$A:$F,6,FALSE)),"")</f>
        <v>LATINOAMERICANA_DE_SISTEMAS_Y_EDUCACION_LASIT</v>
      </c>
      <c r="G2036" s="11" t="str">
        <f>IFERROR(IF(VLOOKUP(A2036,[14]PRIORIZADOS!$A:$G,7,FALSE)="","",VLOOKUP(A2036,[14]PRIORIZADOS!$A:$G,7,FALSE)),"")</f>
        <v>LATINOAMERICANA DE SISTEMAS Y EDUCACION LASIT</v>
      </c>
      <c r="H2036" s="11" t="str">
        <f>IFERROR(IF(VLOOKUP(A2036,[14]PRIORIZADOS!$A:$H,8,FALSE)="","",VLOOKUP(A2036,[14]PRIORIZADOS!$A:$H,8,FALSE)),"")</f>
        <v>Autoevaluación Institucional y Pruebas SABER 11</v>
      </c>
      <c r="I2036" s="11" t="str">
        <f>IFERROR(IF(VLOOKUP(A2036,[14]PRIORIZADOS!$A:$I,9,FALSE)="","",VLOOKUP(A2036,[14]PRIORIZADOS!$A:$I,9,FALSE)),"")</f>
        <v>SEGUIMIENTO_Y_SUPERVISIÓN.</v>
      </c>
      <c r="J2036" s="11" t="str">
        <f>IFERROR(IF(VLOOKUP(A2036,[14]PRIORIZADOS!$A:$J,10,FALSE)="","",VLOOKUP(A2036,[14]PRIORIZADOS!$A:$J,10,FALSE)),"")</f>
        <v>Realizar visitas para verificar la información registrada sobre la autoevaluación institucional en el aplicativo EVI, a los establecimientos de educación formal no oficial.</v>
      </c>
      <c r="K2036" s="11" t="str">
        <f>IFERROR(IF(VLOOKUP(A2036,[14]PRIORIZADOS!$A:$K,11,FALSE)="","",VLOOKUP(A2036,[14]PRIORIZADOS!$A:$K,11,FALSE)),"")</f>
        <v>SANDRA OLINDA GONZÁLEZ REYES</v>
      </c>
      <c r="L2036" s="11" t="str">
        <f>IFERROR(IF(VLOOKUP(A2036,[14]PRIORIZADOS!$A:$L,12,FALSE)="","",VLOOKUP(A2036,[14]PRIORIZADOS!$A:$L,12,FALSE)),"")</f>
        <v>DANIEL ALEJANDRO GRANOBLES</v>
      </c>
      <c r="M2036" s="71">
        <f>IFERROR(IF(VLOOKUP(A2036,[14]PRIORIZADOS!$A:$M,13,FALSE)="","",VLOOKUP(A2036,[14]PRIORIZADOS!$A:$M,13,FALSE)),"")</f>
        <v>45729</v>
      </c>
      <c r="N2036" s="71">
        <f>IFERROR(IF(VLOOKUP(A2036,[14]PRIORIZADOS!$A:$N,14,FALSE)="","",VLOOKUP(A2036,[14]PRIORIZADOS!$A:$N,14,FALSE)),"")</f>
        <v>45758</v>
      </c>
      <c r="O2036" s="71">
        <f>IFERROR(IF(VLOOKUP(A2036,[14]PRIORIZADOS!$A:$O,15,FALSE)="","",VLOOKUP(A2036,[14]PRIORIZADOS!$A:$O,15,FALSE)),"")</f>
        <v>45758</v>
      </c>
      <c r="P2036" s="11" t="str">
        <f>IFERROR(IF(VLOOKUP(A2036,[14]PRIORIZADOS!$A:$P,16,FALSE)="","",VLOOKUP(A2036,[14]PRIORIZADOS!$A:$P,16,FALSE)),"")</f>
        <v>Visitas de evaluación con fines de seguimiento</v>
      </c>
      <c r="Q2036" s="253" t="s">
        <v>433</v>
      </c>
      <c r="R2036" s="11" t="str">
        <f>IFERROR(IF(VLOOKUP(A2036,[14]PRIORIZADOS!$A:$R,18,FALSE)="","",VLOOKUP(A2036,[14]PRIORIZADOS!$A:$R,18,FALSE)),"")</f>
        <v>La IE no presenta las planillas de pago de salud, pensión y parafiscales de sus trabajadores. La sala de sistemas esta en mantenimiento por lo que no puede evidenciar # de computadores y su funcionamiento.</v>
      </c>
      <c r="S2036" s="11" t="str">
        <f>IFERROR(IF(VLOOKUP(A2036,[14]PRIORIZADOS!$A:$S,19,FALSE)="","",VLOOKUP(A2036,[14]PRIORIZADOS!$A:$S,19,FALSE)),"")</f>
        <v>Allegar con el plan de mejormiento las planillas de aportes y remitir registro fotográfico  de la sala de sistemas. Plazo 30 de abril.</v>
      </c>
      <c r="T2036" s="70" t="str">
        <f>IFERROR(IF(VLOOKUP(A2036,[14]PRIORIZADOS!$A:$T,20,FALSE)="","",VLOOKUP(A2036,[14]PRIORIZADOS!$A:$T,20,FALSE)),"")</f>
        <v>Si</v>
      </c>
      <c r="U2036" s="11" t="str">
        <f>IFERROR(IF(VLOOKUP(A2036,[14]PRIORIZADOS!$A:$U,21,FALSE)="","",VLOOKUP(A2036,[14]PRIORIZADOS!$A:$U,21,FALSE)),"")</f>
        <v>Verificar planillas  de pago de la presente vigencia de acuerdo con  el tiempo, y por e tipo de contratacion para autoevaluacion 2025. Revisar registro fotográfico de la sala de sistemas</v>
      </c>
    </row>
    <row r="2037" spans="1:21" s="1" customFormat="1" ht="72">
      <c r="A2037" s="69">
        <f>IF([14]PRIORIZADOS!A84="","",[14]PRIORIZADOS!A84)</f>
        <v>2005</v>
      </c>
      <c r="B2037" s="70">
        <f>IFERROR(IF(VLOOKUP(A2037,[14]PRIORIZADOS!$A:$B,2,FALSE)="","",VLOOKUP(A2037,[14]PRIORIZADOS!$A:$B,2,FALSE)),"")</f>
        <v>9</v>
      </c>
      <c r="C2037" s="11" t="s">
        <v>424</v>
      </c>
      <c r="D2037" s="11" t="str">
        <f>IFERROR(IF(VLOOKUP(A2037,[14]PRIORIZADOS!$A:$D,4,FALSE)="","",VLOOKUP(A2037,[14]PRIORIZADOS!$A:$D,4,FALSE)),"")</f>
        <v>PRIVADO</v>
      </c>
      <c r="E2037" s="11" t="str">
        <f>IFERROR(IF(VLOOKUP(A2037,[14]PRIORIZADOS!$A:$E,5,FALSE)="","",VLOOKUP(A2037,[14]PRIORIZADOS!$A:$E,5,FALSE)),"")</f>
        <v>Educación de Jóvenes y Adultos</v>
      </c>
      <c r="F2037" s="11" t="str">
        <f>IFERROR(IF(VLOOKUP(A2037,[14]PRIORIZADOS!$A:$F,6,FALSE)="","",VLOOKUP(A2037,[14]PRIORIZADOS!$A:$F,6,FALSE)),"")</f>
        <v>LATINOAMERICANA_DE_SISTEMAS_Y_EDUCACION_LASIT</v>
      </c>
      <c r="G2037" s="11" t="str">
        <f>IFERROR(IF(VLOOKUP(A2037,[14]PRIORIZADOS!$A:$G,7,FALSE)="","",VLOOKUP(A2037,[14]PRIORIZADOS!$A:$G,7,FALSE)),"")</f>
        <v>LATINOAMERICANA DE SISTEMAS Y EDUCACION LASIT</v>
      </c>
      <c r="H2037" s="11" t="str">
        <f>IFERROR(IF(VLOOKUP(A2037,[14]PRIORIZADOS!$A:$H,8,FALSE)="","",VLOOKUP(A2037,[14]PRIORIZADOS!$A:$H,8,FALSE)),"")</f>
        <v>Autoevaluación Institucional y Pruebas SABER 11</v>
      </c>
      <c r="I2037" s="11" t="str">
        <f>IFERROR(IF(VLOOKUP(A2037,[14]PRIORIZADOS!$A:$I,9,FALSE)="","",VLOOKUP(A2037,[14]PRIORIZADOS!$A:$I,9,FALSE)),"")</f>
        <v>SEGUIMIENTO_Y_SUPERVISIÓN.</v>
      </c>
      <c r="J2037" s="11" t="str">
        <f>IFERROR(IF(VLOOKUP(A2037,[14]PRIORIZADOS!$A:$J,10,FALSE)="","",VLOOKUP(A2037,[14]PRIORIZADOS!$A:$J,10,FALSE)),"")</f>
        <v>Proponer estrategias en la formulación, verificar su elaboración y realizar seguimiento semestral al desarrollo de  las acciones establecidas en los planes de mejoramiento por pruebas SABER 11 de los establecimientos de educación formal.</v>
      </c>
      <c r="K2037" s="11" t="str">
        <f>IFERROR(IF(VLOOKUP(A2037,[14]PRIORIZADOS!$A:$K,11,FALSE)="","",VLOOKUP(A2037,[14]PRIORIZADOS!$A:$K,11,FALSE)),"")</f>
        <v>SANDRA OLINDA GONZÁLEZ REYES</v>
      </c>
      <c r="L2037" s="11" t="str">
        <f>IFERROR(IF(VLOOKUP(A2037,[14]PRIORIZADOS!$A:$L,12,FALSE)="","",VLOOKUP(A2037,[14]PRIORIZADOS!$A:$L,12,FALSE)),"")</f>
        <v>DANIEL ALEJANDRO GRANOBLES</v>
      </c>
      <c r="M2037" s="71">
        <f>IFERROR(IF(VLOOKUP(A2037,[14]PRIORIZADOS!$A:$M,13,FALSE)="","",VLOOKUP(A2037,[14]PRIORIZADOS!$A:$M,13,FALSE)),"")</f>
        <v>45729</v>
      </c>
      <c r="N2037" s="71">
        <f>IFERROR(IF(VLOOKUP(A2037,[14]PRIORIZADOS!$A:$N,14,FALSE)="","",VLOOKUP(A2037,[14]PRIORIZADOS!$A:$N,14,FALSE)),"")</f>
        <v>45758</v>
      </c>
      <c r="O2037" s="71">
        <f>IFERROR(IF(VLOOKUP(A2037,[14]PRIORIZADOS!$A:$O,15,FALSE)="","",VLOOKUP(A2037,[14]PRIORIZADOS!$A:$O,15,FALSE)),"")</f>
        <v>45758</v>
      </c>
      <c r="P2037" s="11" t="str">
        <f>IFERROR(IF(VLOOKUP(A2037,[14]PRIORIZADOS!$A:$P,16,FALSE)="","",VLOOKUP(A2037,[14]PRIORIZADOS!$A:$P,16,FALSE)),"")</f>
        <v>Visitas de evaluación con fines de seguimiento</v>
      </c>
      <c r="Q2037" s="7" t="s">
        <v>433</v>
      </c>
      <c r="R2037" s="11" t="str">
        <f>IFERROR(IF(VLOOKUP(A2037,[14]PRIORIZADOS!$A:$R,18,FALSE)="","",VLOOKUP(A2037,[14]PRIORIZADOS!$A:$R,18,FALSE)),"")</f>
        <v>Se constato el bajo resultado en las  Pruebas saber clasificacion b, sin embargo no hay un análisis de las pruebas ni plan de mejoramiento.</v>
      </c>
      <c r="S2037" s="11" t="str">
        <f>IFERROR(IF(VLOOKUP(A2037,[14]PRIORIZADOS!$A:$S,19,FALSE)="","",VLOOKUP(A2037,[14]PRIORIZADOS!$A:$S,19,FALSE)),"")</f>
        <v>Revisar los resultados y la relación con las asignaturas del plan de estudio, analizando los resultados obtenidos  de los últimos años. Elaborar plan de mejoramiento sobre todos los indicadores y remitirlo a la DLE antes del 30 de abril</v>
      </c>
      <c r="T2037" s="70" t="str">
        <f>IFERROR(IF(VLOOKUP(A2037,[14]PRIORIZADOS!$A:$T,20,FALSE)="","",VLOOKUP(A2037,[14]PRIORIZADOS!$A:$T,20,FALSE)),"")</f>
        <v>Si</v>
      </c>
      <c r="U2037" s="11" t="str">
        <f>IFERROR(IF(VLOOKUP(A2037,[14]PRIORIZADOS!$A:$U,21,FALSE)="","",VLOOKUP(A2037,[14]PRIORIZADOS!$A:$U,21,FALSE)),"")</f>
        <v xml:space="preserve">Verificar la presentacion del plan con su resultados y las acciones en las asignaturas que presentan puntajes más bajos </v>
      </c>
    </row>
    <row r="2038" spans="1:21" s="1" customFormat="1" ht="72">
      <c r="A2038" s="69">
        <f>IF([14]PRIORIZADOS!A85="","",[14]PRIORIZADOS!A85)</f>
        <v>2006</v>
      </c>
      <c r="B2038" s="70">
        <f>IFERROR(IF(VLOOKUP(A2038,[14]PRIORIZADOS!$A:$B,2,FALSE)="","",VLOOKUP(A2038,[14]PRIORIZADOS!$A:$B,2,FALSE)),"")</f>
        <v>9</v>
      </c>
      <c r="C2038" s="11" t="s">
        <v>424</v>
      </c>
      <c r="D2038" s="11" t="str">
        <f>IFERROR(IF(VLOOKUP(A2038,[14]PRIORIZADOS!$A:$D,4,FALSE)="","",VLOOKUP(A2038,[14]PRIORIZADOS!$A:$D,4,FALSE)),"")</f>
        <v>PRIVADO</v>
      </c>
      <c r="E2038" s="11" t="str">
        <f>IFERROR(IF(VLOOKUP(A2038,[14]PRIORIZADOS!$A:$E,5,FALSE)="","",VLOOKUP(A2038,[14]PRIORIZADOS!$A:$E,5,FALSE)),"")</f>
        <v>Educación de Jóvenes y Adultos</v>
      </c>
      <c r="F2038" s="11" t="str">
        <f>IFERROR(IF(VLOOKUP(A2038,[14]PRIORIZADOS!$A:$F,6,FALSE)="","",VLOOKUP(A2038,[14]PRIORIZADOS!$A:$F,6,FALSE)),"")</f>
        <v>LATINOAMERICANA_DE_SISTEMAS_Y_EDUCACION_LASIT</v>
      </c>
      <c r="G2038" s="11" t="str">
        <f>IFERROR(IF(VLOOKUP(A2038,[14]PRIORIZADOS!$A:$G,7,FALSE)="","",VLOOKUP(A2038,[14]PRIORIZADOS!$A:$G,7,FALSE)),"")</f>
        <v>LATINOAMERICANA DE SISTEMAS Y EDUCACION LASIT</v>
      </c>
      <c r="H2038" s="11" t="str">
        <f>IFERROR(IF(VLOOKUP(A2038,[14]PRIORIZADOS!$A:$H,8,FALSE)="","",VLOOKUP(A2038,[14]PRIORIZADOS!$A:$H,8,FALSE)),"")</f>
        <v>Autoevaluación Institucional y Pruebas SABER 11</v>
      </c>
      <c r="I2038" s="11" t="str">
        <f>IFERROR(IF(VLOOKUP(A2038,[14]PRIORIZADOS!$A:$I,9,FALSE)="","",VLOOKUP(A2038,[14]PRIORIZADOS!$A:$I,9,FALSE)),"")</f>
        <v>SEGUIMIENTO_Y_SUPERVISIÓN.</v>
      </c>
      <c r="J2038" s="11" t="str">
        <f>IFERROR(IF(VLOOKUP(A2038,[14]PRIORIZADOS!$A:$J,10,FALSE)="","",VLOOKUP(A2038,[14]PRIORIZADOS!$A:$J,10,FALSE)),"")</f>
        <v xml:space="preserve">Verificar la implementación por parte de los colegios, de acciones realizadas para la prevención y atención de las situaciones de convivencia en el entorno escolar, según lo establecido en la Directiva 01 de 2022 del MEN. </v>
      </c>
      <c r="K2038" s="11" t="str">
        <f>IFERROR(IF(VLOOKUP(A2038,[14]PRIORIZADOS!$A:$K,11,FALSE)="","",VLOOKUP(A2038,[14]PRIORIZADOS!$A:$K,11,FALSE)),"")</f>
        <v>SANDRA OLINDA GONZÁLEZ REYES</v>
      </c>
      <c r="L2038" s="11" t="str">
        <f>IFERROR(IF(VLOOKUP(A2038,[14]PRIORIZADOS!$A:$L,12,FALSE)="","",VLOOKUP(A2038,[14]PRIORIZADOS!$A:$L,12,FALSE)),"")</f>
        <v>DANIEL ALEJANDRO GRANOBLES</v>
      </c>
      <c r="M2038" s="71">
        <f>IFERROR(IF(VLOOKUP(A2038,[14]PRIORIZADOS!$A:$M,13,FALSE)="","",VLOOKUP(A2038,[14]PRIORIZADOS!$A:$M,13,FALSE)),"")</f>
        <v>45729</v>
      </c>
      <c r="N2038" s="71">
        <f>IFERROR(IF(VLOOKUP(A2038,[14]PRIORIZADOS!$A:$N,14,FALSE)="","",VLOOKUP(A2038,[14]PRIORIZADOS!$A:$N,14,FALSE)),"")</f>
        <v>45758</v>
      </c>
      <c r="O2038" s="71">
        <f>IFERROR(IF(VLOOKUP(A2038,[14]PRIORIZADOS!$A:$O,15,FALSE)="","",VLOOKUP(A2038,[14]PRIORIZADOS!$A:$O,15,FALSE)),"")</f>
        <v>45758</v>
      </c>
      <c r="P2038" s="11" t="str">
        <f>IFERROR(IF(VLOOKUP(A2038,[14]PRIORIZADOS!$A:$P,16,FALSE)="","",VLOOKUP(A2038,[14]PRIORIZADOS!$A:$P,16,FALSE)),"")</f>
        <v>Visitas de evaluación con fines de seguimiento</v>
      </c>
      <c r="Q2038" s="7" t="s">
        <v>433</v>
      </c>
      <c r="R2038" s="11" t="str">
        <f>IFERROR(IF(VLOOKUP(A2038,[14]PRIORIZADOS!$A:$R,18,FALSE)="","",VLOOKUP(A2038,[14]PRIORIZADOS!$A:$R,18,FALSE)),"")</f>
        <v>Verificadas las hojas de vida de los trabajadores no se evuencio consulta de antecedentes de delitos sexuales.</v>
      </c>
      <c r="S2038" s="11" t="str">
        <f>IFERROR(IF(VLOOKUP(A2038,[14]PRIORIZADOS!$A:$S,19,FALSE)="","",VLOOKUP(A2038,[14]PRIORIZADOS!$A:$S,19,FALSE)),"")</f>
        <v>Realizar las consultas en la página de la Policía de todos los funcionarios de la institución y anexarla a la hoja de vida.  Elaborar plan de mejoramiento sobre todos los indicadores y remitirlo a la DLE antes del 30 de abril.</v>
      </c>
      <c r="T2038" s="70" t="str">
        <f>IFERROR(IF(VLOOKUP(A2038,[14]PRIORIZADOS!$A:$T,20,FALSE)="","",VLOOKUP(A2038,[14]PRIORIZADOS!$A:$T,20,FALSE)),"")</f>
        <v>si</v>
      </c>
      <c r="U2038" s="11" t="str">
        <f>IFERROR(IF(VLOOKUP(A2038,[14]PRIORIZADOS!$A:$U,21,FALSE)="","",VLOOKUP(A2038,[14]PRIORIZADOS!$A:$U,21,FALSE)),"")</f>
        <v>Verificar las consultas de antecedentes de los empledos  remitidas en el plan de mejoramiento.</v>
      </c>
    </row>
    <row r="2039" spans="1:21" s="1" customFormat="1" ht="118.5">
      <c r="A2039" s="69">
        <f>IF([14]PRIORIZADOS!A86="","",[14]PRIORIZADOS!A86)</f>
        <v>2007</v>
      </c>
      <c r="B2039" s="70">
        <f>IFERROR(IF(VLOOKUP(A2039,[14]PRIORIZADOS!$A:$B,2,FALSE)="","",VLOOKUP(A2039,[14]PRIORIZADOS!$A:$B,2,FALSE)),"")</f>
        <v>9</v>
      </c>
      <c r="C2039" s="11" t="s">
        <v>424</v>
      </c>
      <c r="D2039" s="11" t="str">
        <f>IFERROR(IF(VLOOKUP(A2039,[14]PRIORIZADOS!$A:$D,4,FALSE)="","",VLOOKUP(A2039,[14]PRIORIZADOS!$A:$D,4,FALSE)),"")</f>
        <v>PRIVADO</v>
      </c>
      <c r="E2039" s="11" t="str">
        <f>IFERROR(IF(VLOOKUP(A2039,[14]PRIORIZADOS!$A:$E,5,FALSE)="","",VLOOKUP(A2039,[14]PRIORIZADOS!$A:$E,5,FALSE)),"")</f>
        <v>Educación de Jóvenes y Adultos</v>
      </c>
      <c r="F2039" s="11" t="str">
        <f>IFERROR(IF(VLOOKUP(A2039,[14]PRIORIZADOS!$A:$F,6,FALSE)="","",VLOOKUP(A2039,[14]PRIORIZADOS!$A:$F,6,FALSE)),"")</f>
        <v>LATINOAMERICANA_DE_SISTEMAS_Y_EDUCACION_LASIT</v>
      </c>
      <c r="G2039" s="11" t="str">
        <f>IFERROR(IF(VLOOKUP(A2039,[14]PRIORIZADOS!$A:$G,7,FALSE)="","",VLOOKUP(A2039,[14]PRIORIZADOS!$A:$G,7,FALSE)),"")</f>
        <v>LATINOAMERICANA DE SISTEMAS Y EDUCACION LASIT</v>
      </c>
      <c r="H2039" s="11" t="str">
        <f>IFERROR(IF(VLOOKUP(A2039,[14]PRIORIZADOS!$A:$H,8,FALSE)="","",VLOOKUP(A2039,[14]PRIORIZADOS!$A:$H,8,FALSE)),"")</f>
        <v>Autoevaluación Institucional y Pruebas SABER 11</v>
      </c>
      <c r="I2039" s="11" t="str">
        <f>IFERROR(IF(VLOOKUP(A2039,[14]PRIORIZADOS!$A:$I,9,FALSE)="","",VLOOKUP(A2039,[14]PRIORIZADOS!$A:$I,9,FALSE)),"")</f>
        <v>SEGUIMIENTO_Y_SUPERVISIÓN.</v>
      </c>
      <c r="J2039" s="11" t="str">
        <f>IFERROR(IF(VLOOKUP(A2039,[14]PRIORIZADOS!$A:$J,10,FALSE)="","",VLOOKUP(A2039,[14]PRIORIZADOS!$A:$J,10,FALSE)),"")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39" s="11" t="str">
        <f>IFERROR(IF(VLOOKUP(A2039,[14]PRIORIZADOS!$A:$K,11,FALSE)="","",VLOOKUP(A2039,[14]PRIORIZADOS!$A:$K,11,FALSE)),"")</f>
        <v>SANDRA OLINDA GONZÁLEZ REYES</v>
      </c>
      <c r="L2039" s="11" t="str">
        <f>IFERROR(IF(VLOOKUP(A2039,[14]PRIORIZADOS!$A:$L,12,FALSE)="","",VLOOKUP(A2039,[14]PRIORIZADOS!$A:$L,12,FALSE)),"")</f>
        <v>DANIEL ALEJANDRO GRANOBLES</v>
      </c>
      <c r="M2039" s="71">
        <f>IFERROR(IF(VLOOKUP(A2039,[14]PRIORIZADOS!$A:$M,13,FALSE)="","",VLOOKUP(A2039,[14]PRIORIZADOS!$A:$M,13,FALSE)),"")</f>
        <v>45729</v>
      </c>
      <c r="N2039" s="71">
        <f>IFERROR(IF(VLOOKUP(A2039,[14]PRIORIZADOS!$A:$N,14,FALSE)="","",VLOOKUP(A2039,[14]PRIORIZADOS!$A:$N,14,FALSE)),"")</f>
        <v>45758</v>
      </c>
      <c r="O2039" s="71">
        <f>IFERROR(IF(VLOOKUP(A2039,[14]PRIORIZADOS!$A:$O,15,FALSE)="","",VLOOKUP(A2039,[14]PRIORIZADOS!$A:$O,15,FALSE)),"")</f>
        <v>45758</v>
      </c>
      <c r="P2039" s="11" t="str">
        <f>IFERROR(IF(VLOOKUP(A2039,[14]PRIORIZADOS!$A:$P,16,FALSE)="","",VLOOKUP(A2039,[14]PRIORIZADOS!$A:$P,16,FALSE)),"")</f>
        <v>Visitas de evaluación con fines de seguimiento</v>
      </c>
      <c r="Q2039" s="7" t="s">
        <v>433</v>
      </c>
      <c r="R2039" s="11" t="str">
        <f>IFERROR(IF(VLOOKUP(A2039,[14]PRIORIZADOS!$A:$R,18,FALSE)="","",VLOOKUP(A2039,[14]PRIORIZADOS!$A:$R,18,FALSE)),"")</f>
        <v>Se realizó consulta en el SIMAT encontrándose 5 estudiantes de inlusión, sin embago al momento de la visita el rector informa que no hay estudiantes de inclusion.</v>
      </c>
      <c r="S2039" s="11" t="str">
        <f>IFERROR(IF(VLOOKUP(A2039,[14]PRIORIZADOS!$A:$S,19,FALSE)="","",VLOOKUP(A2039,[14]PRIORIZADOS!$A:$S,19,FALSE)),"")</f>
        <v>Realizar la revisión en el SIMAT, para actualizar el estado de los estudiantes. Elaborar plan de mejoramiento sobre todos los indicadores antes del 30 de abril.  Realizar la actualización del Manual de Convivencia para incorporar los enfoques diferenciales e inclusivos y                        contener lo establecido en el decreto 1421 del 2017, para atender los caso de que se presenten con esta población.</v>
      </c>
      <c r="T2039" s="70" t="str">
        <f>IFERROR(IF(VLOOKUP(A2039,[14]PRIORIZADOS!$A:$T,20,FALSE)="","",VLOOKUP(A2039,[14]PRIORIZADOS!$A:$T,20,FALSE)),"")</f>
        <v>Si</v>
      </c>
      <c r="U2039" s="11" t="str">
        <f>IFERROR(IF(VLOOKUP(A2039,[14]PRIORIZADOS!$A:$U,21,FALSE)="","",VLOOKUP(A2039,[14]PRIORIZADOS!$A:$U,21,FALSE)),"")</f>
        <v>Verificar la actualizacion del SIMAT y las modificaciones en manual de convivencia respecto a la poblacion con discapacidad.con fecha límite el 31 de julio.</v>
      </c>
    </row>
    <row r="2040" spans="1:21" s="1" customFormat="1" ht="84">
      <c r="A2040" s="69">
        <f>IF([14]PRIORIZADOS!A87="","",[14]PRIORIZADOS!A87)</f>
        <v>2008</v>
      </c>
      <c r="B2040" s="70">
        <f>IFERROR(IF(VLOOKUP(A2040,[14]PRIORIZADOS!$A:$B,2,FALSE)="","",VLOOKUP(A2040,[14]PRIORIZADOS!$A:$B,2,FALSE)),"")</f>
        <v>9</v>
      </c>
      <c r="C2040" s="11" t="s">
        <v>424</v>
      </c>
      <c r="D2040" s="11" t="str">
        <f>IFERROR(IF(VLOOKUP(A2040,[14]PRIORIZADOS!$A:$D,4,FALSE)="","",VLOOKUP(A2040,[14]PRIORIZADOS!$A:$D,4,FALSE)),"")</f>
        <v>PRIVADO</v>
      </c>
      <c r="E2040" s="11" t="str">
        <f>IFERROR(IF(VLOOKUP(A2040,[14]PRIORIZADOS!$A:$E,5,FALSE)="","",VLOOKUP(A2040,[14]PRIORIZADOS!$A:$E,5,FALSE)),"")</f>
        <v>Educación de Jóvenes y Adultos</v>
      </c>
      <c r="F2040" s="11" t="str">
        <f>IFERROR(IF(VLOOKUP(A2040,[14]PRIORIZADOS!$A:$F,6,FALSE)="","",VLOOKUP(A2040,[14]PRIORIZADOS!$A:$F,6,FALSE)),"")</f>
        <v>LATINOAMERICANA_DE_SISTEMAS_Y_EDUCACION_LASIT</v>
      </c>
      <c r="G2040" s="11" t="str">
        <f>IFERROR(IF(VLOOKUP(A2040,[14]PRIORIZADOS!$A:$G,7,FALSE)="","",VLOOKUP(A2040,[14]PRIORIZADOS!$A:$G,7,FALSE)),"")</f>
        <v>LATINOAMERICANA DE SISTEMAS Y EDUCACION LASIT</v>
      </c>
      <c r="H2040" s="11" t="str">
        <f>IFERROR(IF(VLOOKUP(A2040,[14]PRIORIZADOS!$A:$H,8,FALSE)="","",VLOOKUP(A2040,[14]PRIORIZADOS!$A:$H,8,FALSE)),"")</f>
        <v>Autoevaluación Institucional y Pruebas SABER 11</v>
      </c>
      <c r="I2040" s="11" t="str">
        <f>IFERROR(IF(VLOOKUP(A2040,[14]PRIORIZADOS!$A:$I,9,FALSE)="","",VLOOKUP(A2040,[14]PRIORIZADOS!$A:$I,9,FALSE)),"")</f>
        <v>EVALUACIÓN_CON_FINES_DE_MEJORAMIENTO.</v>
      </c>
      <c r="J2040" s="11" t="str">
        <f>IFERROR(IF(VLOOKUP(A2040,[14]PRIORIZADOS!$A:$J,10,FALSE)="","",VLOOKUP(A2040,[14]PRIORIZADOS!$A:$J,10,FALSE)),"")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40" s="11" t="str">
        <f>IFERROR(IF(VLOOKUP(A2040,[14]PRIORIZADOS!$A:$K,11,FALSE)="","",VLOOKUP(A2040,[14]PRIORIZADOS!$A:$K,11,FALSE)),"")</f>
        <v>SANDRA OLINDA GONZÁLEZ REYES</v>
      </c>
      <c r="L2040" s="11" t="str">
        <f>IFERROR(IF(VLOOKUP(A2040,[14]PRIORIZADOS!$A:$L,12,FALSE)="","",VLOOKUP(A2040,[14]PRIORIZADOS!$A:$L,12,FALSE)),"")</f>
        <v>DANIEL ALEJANDRO GRANOBLES</v>
      </c>
      <c r="M2040" s="71">
        <f>IFERROR(IF(VLOOKUP(A2040,[14]PRIORIZADOS!$A:$M,13,FALSE)="","",VLOOKUP(A2040,[14]PRIORIZADOS!$A:$M,13,FALSE)),"")</f>
        <v>45729</v>
      </c>
      <c r="N2040" s="71">
        <f>IFERROR(IF(VLOOKUP(A2040,[14]PRIORIZADOS!$A:$N,14,FALSE)="","",VLOOKUP(A2040,[14]PRIORIZADOS!$A:$N,14,FALSE)),"")</f>
        <v>45758</v>
      </c>
      <c r="O2040" s="71">
        <f>IFERROR(IF(VLOOKUP(A2040,[14]PRIORIZADOS!$A:$O,15,FALSE)="","",VLOOKUP(A2040,[14]PRIORIZADOS!$A:$O,15,FALSE)),"")</f>
        <v>45758</v>
      </c>
      <c r="P2040" s="11" t="str">
        <f>IFERROR(IF(VLOOKUP(A2040,[14]PRIORIZADOS!$A:$P,16,FALSE)="","",VLOOKUP(A2040,[14]PRIORIZADOS!$A:$P,16,FALSE)),"")</f>
        <v>Visitas de evaluación con fines de mejoramiento</v>
      </c>
      <c r="Q2040" s="7" t="s">
        <v>433</v>
      </c>
      <c r="R2040" s="11" t="str">
        <f>IFERROR(IF(VLOOKUP(A2040,[14]PRIORIZADOS!$A:$R,18,FALSE)="","",VLOOKUP(A2040,[14]PRIORIZADOS!$A:$R,18,FALSE)),"")</f>
        <v>Se encontro que al manual de convivencia esta en proceso de actualizacion.</v>
      </c>
      <c r="S2040" s="11" t="str">
        <f>IFERROR(IF(VLOOKUP(A2040,[14]PRIORIZADOS!$A:$S,19,FALSE)="","",VLOOKUP(A2040,[14]PRIORIZADOS!$A:$S,19,FALSE)),"")</f>
        <v>Realizar la actualización del manual convivencia.            Elaborar plan de mejoramiento sobre todos los indicadores y remitirlo antes del 30 de abril</v>
      </c>
      <c r="T2040" s="70" t="str">
        <f>IFERROR(IF(VLOOKUP(A2040,[14]PRIORIZADOS!$A:$T,20,FALSE)="","",VLOOKUP(A2040,[14]PRIORIZADOS!$A:$T,20,FALSE)),"")</f>
        <v>Si</v>
      </c>
      <c r="U2040" s="11" t="str">
        <f>IFERROR(IF(VLOOKUP(A2040,[14]PRIORIZADOS!$A:$U,21,FALSE)="","",VLOOKUP(A2040,[14]PRIORIZADOS!$A:$U,21,FALSE)),"")</f>
        <v>Revisar la actualización y adopcion del manual de convivencia con fecha límite el 31 de julio</v>
      </c>
    </row>
    <row r="2041" spans="1:21" s="1" customFormat="1" ht="60">
      <c r="A2041" s="69">
        <f>IF([14]PRIORIZADOS!A88="","",[14]PRIORIZADOS!A88)</f>
        <v>2009</v>
      </c>
      <c r="B2041" s="70">
        <f>IFERROR(IF(VLOOKUP(A2041,[14]PRIORIZADOS!$A:$B,2,FALSE)="","",VLOOKUP(A2041,[14]PRIORIZADOS!$A:$B,2,FALSE)),"")</f>
        <v>9</v>
      </c>
      <c r="C2041" s="11" t="s">
        <v>424</v>
      </c>
      <c r="D2041" s="11" t="str">
        <f>IFERROR(IF(VLOOKUP(A2041,[14]PRIORIZADOS!$A:$D,4,FALSE)="","",VLOOKUP(A2041,[14]PRIORIZADOS!$A:$D,4,FALSE)),"")</f>
        <v>PRIVADO</v>
      </c>
      <c r="E2041" s="11" t="str">
        <f>IFERROR(IF(VLOOKUP(A2041,[14]PRIORIZADOS!$A:$E,5,FALSE)="","",VLOOKUP(A2041,[14]PRIORIZADOS!$A:$E,5,FALSE)),"")</f>
        <v>Educación de Jóvenes y Adultos</v>
      </c>
      <c r="F2041" s="11" t="str">
        <f>IFERROR(IF(VLOOKUP(A2041,[14]PRIORIZADOS!$A:$F,6,FALSE)="","",VLOOKUP(A2041,[14]PRIORIZADOS!$A:$F,6,FALSE)),"")</f>
        <v>LATINOAMERICANA_DE_SISTEMAS_Y_EDUCACION_LASIT</v>
      </c>
      <c r="G2041" s="11" t="str">
        <f>IFERROR(IF(VLOOKUP(A2041,[14]PRIORIZADOS!$A:$G,7,FALSE)="","",VLOOKUP(A2041,[14]PRIORIZADOS!$A:$G,7,FALSE)),"")</f>
        <v>LATINOAMERICANA DE SISTEMAS Y EDUCACION LASIT</v>
      </c>
      <c r="H2041" s="11" t="str">
        <f>IFERROR(IF(VLOOKUP(A2041,[14]PRIORIZADOS!$A:$H,8,FALSE)="","",VLOOKUP(A2041,[14]PRIORIZADOS!$A:$H,8,FALSE)),"")</f>
        <v>Autoevaluación Institucional y Pruebas SABER 11</v>
      </c>
      <c r="I2041" s="11" t="str">
        <f>IFERROR(IF(VLOOKUP(A2041,[14]PRIORIZADOS!$A:$I,9,FALSE)="","",VLOOKUP(A2041,[14]PRIORIZADOS!$A:$I,9,FALSE)),"")</f>
        <v>EVALUACIÓN_CON_FINES_DE_MEJORAMIENTO.</v>
      </c>
      <c r="J2041" s="11" t="str">
        <f>IFERROR(IF(VLOOKUP(A2041,[14]PRIORIZADOS!$A:$J,10,FALSE)="","",VLOOKUP(A2041,[14]PRIORIZADOS!$A:$J,10,FALSE)),"")</f>
        <v>Revisar la actualización, socialización e implementación del Sistema Institucional de Evaluación de Estudiantes - SIEE, en articulación con la actualización del PEI y la normatividad vigente.</v>
      </c>
      <c r="K2041" s="11" t="str">
        <f>IFERROR(IF(VLOOKUP(A2041,[14]PRIORIZADOS!$A:$K,11,FALSE)="","",VLOOKUP(A2041,[14]PRIORIZADOS!$A:$K,11,FALSE)),"")</f>
        <v>SANDRA OLINDA GONZÁLEZ REYES</v>
      </c>
      <c r="L2041" s="11" t="str">
        <f>IFERROR(IF(VLOOKUP(A2041,[14]PRIORIZADOS!$A:$L,12,FALSE)="","",VLOOKUP(A2041,[14]PRIORIZADOS!$A:$L,12,FALSE)),"")</f>
        <v>DANIEL ALEJANDRO GRANOBLES</v>
      </c>
      <c r="M2041" s="71">
        <f>IFERROR(IF(VLOOKUP(A2041,[14]PRIORIZADOS!$A:$M,13,FALSE)="","",VLOOKUP(A2041,[14]PRIORIZADOS!$A:$M,13,FALSE)),"")</f>
        <v>45729</v>
      </c>
      <c r="N2041" s="71">
        <f>IFERROR(IF(VLOOKUP(A2041,[14]PRIORIZADOS!$A:$N,14,FALSE)="","",VLOOKUP(A2041,[14]PRIORIZADOS!$A:$N,14,FALSE)),"")</f>
        <v>45758</v>
      </c>
      <c r="O2041" s="71">
        <f>IFERROR(IF(VLOOKUP(A2041,[14]PRIORIZADOS!$A:$O,15,FALSE)="","",VLOOKUP(A2041,[14]PRIORIZADOS!$A:$O,15,FALSE)),"")</f>
        <v>45758</v>
      </c>
      <c r="P2041" s="11" t="str">
        <f>IFERROR(IF(VLOOKUP(A2041,[14]PRIORIZADOS!$A:$P,16,FALSE)="","",VLOOKUP(A2041,[14]PRIORIZADOS!$A:$P,16,FALSE)),"")</f>
        <v>Visitas de evaluación con fines de mejoramiento</v>
      </c>
      <c r="Q2041" s="7" t="s">
        <v>433</v>
      </c>
      <c r="R2041" s="11" t="str">
        <f>IFERROR(IF(VLOOKUP(A2041,[14]PRIORIZADOS!$A:$R,18,FALSE)="","",VLOOKUP(A2041,[14]PRIORIZADOS!$A:$R,18,FALSE)),"")</f>
        <v>Se realizó retroalimentación sobre  el SIEE, el cual no está en consonancia con el PEI, asi mismo se observa que debe ajustar la escala de valoración para que coincida con las certificaciones expedidas.</v>
      </c>
      <c r="S2041" s="11" t="str">
        <f>IFERROR(IF(VLOOKUP(A2041,[14]PRIORIZADOS!$A:$S,19,FALSE)="","",VLOOKUP(A2041,[14]PRIORIZADOS!$A:$S,19,FALSE)),"")</f>
        <v>Realizar los ajustes de conformidad con las observaciones al SIIE realizada sen la visita</v>
      </c>
      <c r="T2041" s="70" t="str">
        <f>IFERROR(IF(VLOOKUP(A2041,[14]PRIORIZADOS!$A:$T,20,FALSE)="","",VLOOKUP(A2041,[14]PRIORIZADOS!$A:$T,20,FALSE)),"")</f>
        <v>Si</v>
      </c>
      <c r="U2041" s="11" t="str">
        <f>IFERROR(IF(VLOOKUP(A2041,[14]PRIORIZADOS!$A:$U,21,FALSE)="","",VLOOKUP(A2041,[14]PRIORIZADOS!$A:$U,21,FALSE)),"")</f>
        <v>Revisar la actualización del manual de convivencia en lo relacionado con el  SIIE con fecha límite el 31 de julio</v>
      </c>
    </row>
    <row r="2042" spans="1:21" s="1" customFormat="1" ht="48">
      <c r="A2042" s="69">
        <f>IF([14]PRIORIZADOS!A89="","",[14]PRIORIZADOS!A89)</f>
        <v>2010</v>
      </c>
      <c r="B2042" s="70">
        <f>IFERROR(IF(VLOOKUP(A2042,[14]PRIORIZADOS!$A:$B,2,FALSE)="","",VLOOKUP(A2042,[14]PRIORIZADOS!$A:$B,2,FALSE)),"")</f>
        <v>9</v>
      </c>
      <c r="C2042" s="11" t="s">
        <v>424</v>
      </c>
      <c r="D2042" s="11" t="str">
        <f>IFERROR(IF(VLOOKUP(A2042,[14]PRIORIZADOS!$A:$D,4,FALSE)="","",VLOOKUP(A2042,[14]PRIORIZADOS!$A:$D,4,FALSE)),"")</f>
        <v>PRIVADO</v>
      </c>
      <c r="E2042" s="11" t="str">
        <f>IFERROR(IF(VLOOKUP(A2042,[14]PRIORIZADOS!$A:$E,5,FALSE)="","",VLOOKUP(A2042,[14]PRIORIZADOS!$A:$E,5,FALSE)),"")</f>
        <v>Educación de Jóvenes y Adultos</v>
      </c>
      <c r="F2042" s="11" t="str">
        <f>IFERROR(IF(VLOOKUP(A2042,[14]PRIORIZADOS!$A:$F,6,FALSE)="","",VLOOKUP(A2042,[14]PRIORIZADOS!$A:$F,6,FALSE)),"")</f>
        <v>LATINOAMERICANA_DE_SISTEMAS_Y_EDUCACION_LASIT</v>
      </c>
      <c r="G2042" s="11" t="str">
        <f>IFERROR(IF(VLOOKUP(A2042,[14]PRIORIZADOS!$A:$G,7,FALSE)="","",VLOOKUP(A2042,[14]PRIORIZADOS!$A:$G,7,FALSE)),"")</f>
        <v>LATINOAMERICANA DE SISTEMAS Y EDUCACION LASIT</v>
      </c>
      <c r="H2042" s="11" t="str">
        <f>IFERROR(IF(VLOOKUP(A2042,[14]PRIORIZADOS!$A:$H,8,FALSE)="","",VLOOKUP(A2042,[14]PRIORIZADOS!$A:$H,8,FALSE)),"")</f>
        <v>Autoevaluación Institucional y Pruebas SABER 11</v>
      </c>
      <c r="I2042" s="11" t="str">
        <f>IFERROR(IF(VLOOKUP(A2042,[14]PRIORIZADOS!$A:$I,9,FALSE)="","",VLOOKUP(A2042,[14]PRIORIZADOS!$A:$I,9,FALSE)),"")</f>
        <v>EVALUACIÓN_CON_FINES_DE_MEJORAMIENTO.</v>
      </c>
      <c r="J2042" s="11" t="str">
        <f>IFERROR(IF(VLOOKUP(A2042,[14]PRIORIZADOS!$A:$J,10,FALSE)="","",VLOOKUP(A2042,[14]PRIORIZADOS!$A:$J,10,FALSE)),"")</f>
        <v>Revisar el calendario escolar, jornada escolar, la intensidad horaria mínima anual en cada nivel y las modificaciones que se realicen al mismo, de acuerdo con lo previsto en la normatividad vigente.</v>
      </c>
      <c r="K2042" s="11" t="str">
        <f>IFERROR(IF(VLOOKUP(A2042,[14]PRIORIZADOS!$A:$K,11,FALSE)="","",VLOOKUP(A2042,[14]PRIORIZADOS!$A:$K,11,FALSE)),"")</f>
        <v>SANDRA OLINDA GONZÁLEZ REYES</v>
      </c>
      <c r="L2042" s="11" t="str">
        <f>IFERROR(IF(VLOOKUP(A2042,[14]PRIORIZADOS!$A:$L,12,FALSE)="","",VLOOKUP(A2042,[14]PRIORIZADOS!$A:$L,12,FALSE)),"")</f>
        <v>DANIEL ALEJANDRO GRANOBLES</v>
      </c>
      <c r="M2042" s="71">
        <f>IFERROR(IF(VLOOKUP(A2042,[14]PRIORIZADOS!$A:$M,13,FALSE)="","",VLOOKUP(A2042,[14]PRIORIZADOS!$A:$M,13,FALSE)),"")</f>
        <v>45729</v>
      </c>
      <c r="N2042" s="71">
        <f>IFERROR(IF(VLOOKUP(A2042,[14]PRIORIZADOS!$A:$N,14,FALSE)="","",VLOOKUP(A2042,[14]PRIORIZADOS!$A:$N,14,FALSE)),"")</f>
        <v>45758</v>
      </c>
      <c r="O2042" s="71">
        <f>IFERROR(IF(VLOOKUP(A2042,[14]PRIORIZADOS!$A:$O,15,FALSE)="","",VLOOKUP(A2042,[14]PRIORIZADOS!$A:$O,15,FALSE)),"")</f>
        <v>45758</v>
      </c>
      <c r="P2042" s="11" t="str">
        <f>IFERROR(IF(VLOOKUP(A2042,[14]PRIORIZADOS!$A:$P,16,FALSE)="","",VLOOKUP(A2042,[14]PRIORIZADOS!$A:$P,16,FALSE)),"")</f>
        <v>Visitas de evaluación con fines de mejoramiento</v>
      </c>
      <c r="Q2042" s="7" t="s">
        <v>433</v>
      </c>
      <c r="R2042" s="11" t="str">
        <f>IFERROR(IF(VLOOKUP(A2042,[14]PRIORIZADOS!$A:$R,18,FALSE)="","",VLOOKUP(A2042,[14]PRIORIZADOS!$A:$R,18,FALSE)),"")</f>
        <v>La intensidad horaria y las horas mínimas  se ajustan para los ciclos de básica pero no en media.</v>
      </c>
      <c r="S2042" s="11" t="str">
        <f>IFERROR(IF(VLOOKUP(A2042,[14]PRIORIZADOS!$A:$S,19,FALSE)="","",VLOOKUP(A2042,[14]PRIORIZADOS!$A:$S,19,FALSE)),"")</f>
        <v>Realizar ajuste al calendario académico para los ciclos de media y socializarlo con los estudiantes, presentarlo para revisión antes del 30 de abril</v>
      </c>
      <c r="T2042" s="70" t="str">
        <f>IFERROR(IF(VLOOKUP(A2042,[14]PRIORIZADOS!$A:$T,20,FALSE)="","",VLOOKUP(A2042,[14]PRIORIZADOS!$A:$T,20,FALSE)),"")</f>
        <v>Si</v>
      </c>
      <c r="U2042" s="11" t="str">
        <f>IFERROR(IF(VLOOKUP(A2042,[14]PRIORIZADOS!$A:$U,21,FALSE)="","",VLOOKUP(A2042,[14]PRIORIZADOS!$A:$U,21,FALSE)),"")</f>
        <v xml:space="preserve">Verificar el calendario escolar allegado y la socialización con los estudiantes con fecha límite el 31 de julio. </v>
      </c>
    </row>
    <row r="2043" spans="1:21" s="1" customFormat="1" ht="60">
      <c r="A2043" s="69">
        <f>IF([14]PRIORIZADOS!A90="","",[14]PRIORIZADOS!A90)</f>
        <v>2011</v>
      </c>
      <c r="B2043" s="70">
        <f>IFERROR(IF(VLOOKUP(A2043,[14]PRIORIZADOS!$A:$B,2,FALSE)="","",VLOOKUP(A2043,[14]PRIORIZADOS!$A:$B,2,FALSE)),"")</f>
        <v>9</v>
      </c>
      <c r="C2043" s="11" t="s">
        <v>424</v>
      </c>
      <c r="D2043" s="11" t="str">
        <f>IFERROR(IF(VLOOKUP(A2043,[14]PRIORIZADOS!$A:$D,4,FALSE)="","",VLOOKUP(A2043,[14]PRIORIZADOS!$A:$D,4,FALSE)),"")</f>
        <v>PRIVADO</v>
      </c>
      <c r="E2043" s="11" t="str">
        <f>IFERROR(IF(VLOOKUP(A2043,[14]PRIORIZADOS!$A:$E,5,FALSE)="","",VLOOKUP(A2043,[14]PRIORIZADOS!$A:$E,5,FALSE)),"")</f>
        <v>Educación de Jóvenes y Adultos</v>
      </c>
      <c r="F2043" s="11" t="str">
        <f>IFERROR(IF(VLOOKUP(A2043,[14]PRIORIZADOS!$A:$F,6,FALSE)="","",VLOOKUP(A2043,[14]PRIORIZADOS!$A:$F,6,FALSE)),"")</f>
        <v>LATINOAMERICANA_DE_SISTEMAS_Y_EDUCACION_LASIT</v>
      </c>
      <c r="G2043" s="11" t="str">
        <f>IFERROR(IF(VLOOKUP(A2043,[14]PRIORIZADOS!$A:$G,7,FALSE)="","",VLOOKUP(A2043,[14]PRIORIZADOS!$A:$G,7,FALSE)),"")</f>
        <v>LATINOAMERICANA DE SISTEMAS Y EDUCACION LASIT</v>
      </c>
      <c r="H2043" s="11" t="str">
        <f>IFERROR(IF(VLOOKUP(A2043,[14]PRIORIZADOS!$A:$H,8,FALSE)="","",VLOOKUP(A2043,[14]PRIORIZADOS!$A:$H,8,FALSE)),"")</f>
        <v>Autoevaluación Institucional y Pruebas SABER 11</v>
      </c>
      <c r="I2043" s="11" t="str">
        <f>IFERROR(IF(VLOOKUP(A2043,[14]PRIORIZADOS!$A:$I,9,FALSE)="","",VLOOKUP(A2043,[14]PRIORIZADOS!$A:$I,9,FALSE)),"")</f>
        <v>EVALUACIÓN_CON_FINES_DE_MEJORAMIENTO.</v>
      </c>
      <c r="J2043" s="11" t="str">
        <f>IFERROR(IF(VLOOKUP(A2043,[14]PRIORIZADOS!$A:$J,10,FALSE)="","",VLOOKUP(A2043,[14]PRIORIZADOS!$A:$J,10,FALSE)),"")</f>
        <v>Verificar el funcionamiento del Gobierno Escolar e instancias de participación con base en la información sobre conformación reportada por la institución educativa.</v>
      </c>
      <c r="K2043" s="11" t="str">
        <f>IFERROR(IF(VLOOKUP(A2043,[14]PRIORIZADOS!$A:$K,11,FALSE)="","",VLOOKUP(A2043,[14]PRIORIZADOS!$A:$K,11,FALSE)),"")</f>
        <v>SANDRA OLINDA GONZÁLEZ REYES</v>
      </c>
      <c r="L2043" s="11" t="str">
        <f>IFERROR(IF(VLOOKUP(A2043,[14]PRIORIZADOS!$A:$L,12,FALSE)="","",VLOOKUP(A2043,[14]PRIORIZADOS!$A:$L,12,FALSE)),"")</f>
        <v>DANIEL ALEJANDRO GRANOBLES</v>
      </c>
      <c r="M2043" s="71">
        <f>IFERROR(IF(VLOOKUP(A2043,[14]PRIORIZADOS!$A:$M,13,FALSE)="","",VLOOKUP(A2043,[14]PRIORIZADOS!$A:$M,13,FALSE)),"")</f>
        <v>45729</v>
      </c>
      <c r="N2043" s="71">
        <f>IFERROR(IF(VLOOKUP(A2043,[14]PRIORIZADOS!$A:$N,14,FALSE)="","",VLOOKUP(A2043,[14]PRIORIZADOS!$A:$N,14,FALSE)),"")</f>
        <v>45758</v>
      </c>
      <c r="O2043" s="71">
        <f>IFERROR(IF(VLOOKUP(A2043,[14]PRIORIZADOS!$A:$O,15,FALSE)="","",VLOOKUP(A2043,[14]PRIORIZADOS!$A:$O,15,FALSE)),"")</f>
        <v>45758</v>
      </c>
      <c r="P2043" s="11" t="str">
        <f>IFERROR(IF(VLOOKUP(A2043,[14]PRIORIZADOS!$A:$P,16,FALSE)="","",VLOOKUP(A2043,[14]PRIORIZADOS!$A:$P,16,FALSE)),"")</f>
        <v>Visitas de evaluación con fines de mejoramiento</v>
      </c>
      <c r="Q2043" s="7" t="s">
        <v>433</v>
      </c>
      <c r="R2043" s="11" t="str">
        <f>IFERROR(IF(VLOOKUP(A2043,[14]PRIORIZADOS!$A:$R,18,FALSE)="","",VLOOKUP(A2043,[14]PRIORIZADOS!$A:$R,18,FALSE)),"")</f>
        <v>Se evidenciaron las actas de conformación de gobierno escolar, las cuales deberán cargarse en el SAE. Sobre el funcionamiento no hay evidencia de que hayan sesionado.</v>
      </c>
      <c r="S2043" s="11" t="str">
        <f>IFERROR(IF(VLOOKUP(A2043,[14]PRIORIZADOS!$A:$S,19,FALSE)="","",VLOOKUP(A2043,[14]PRIORIZADOS!$A:$S,19,FALSE)),"")</f>
        <v>Cargar las actas de conformación en el aplicativo SAE Sesionar con cada órgano de gobierno de conformidad con la periodicidad establecida en la norma</v>
      </c>
      <c r="T2043" s="70" t="str">
        <f>IFERROR(IF(VLOOKUP(A2043,[14]PRIORIZADOS!$A:$T,20,FALSE)="","",VLOOKUP(A2043,[14]PRIORIZADOS!$A:$T,20,FALSE)),"")</f>
        <v>Si</v>
      </c>
      <c r="U2043" s="11" t="str">
        <f>IFERROR(IF(VLOOKUP(A2043,[14]PRIORIZADOS!$A:$U,21,FALSE)="","",VLOOKUP(A2043,[14]PRIORIZADOS!$A:$U,21,FALSE)),"")</f>
        <v>Verificar el SAE  y verificar las actas que evidencien el funcionamiento de  los organos de gobierno.</v>
      </c>
    </row>
    <row r="2044" spans="1:21" s="1" customFormat="1" ht="48">
      <c r="A2044" s="69">
        <f>IF([14]PRIORIZADOS!A91="","",[14]PRIORIZADOS!A91)</f>
        <v>2012</v>
      </c>
      <c r="B2044" s="70">
        <f>IFERROR(IF(VLOOKUP(A2044,[14]PRIORIZADOS!$A:$B,2,FALSE)="","",VLOOKUP(A2044,[14]PRIORIZADOS!$A:$B,2,FALSE)),"")</f>
        <v>9</v>
      </c>
      <c r="C2044" s="11" t="s">
        <v>424</v>
      </c>
      <c r="D2044" s="11" t="str">
        <f>IFERROR(IF(VLOOKUP(A2044,[14]PRIORIZADOS!$A:$D,4,FALSE)="","",VLOOKUP(A2044,[14]PRIORIZADOS!$A:$D,4,FALSE)),"")</f>
        <v>PRIVADO</v>
      </c>
      <c r="E2044" s="11" t="str">
        <f>IFERROR(IF(VLOOKUP(A2044,[14]PRIORIZADOS!$A:$E,5,FALSE)="","",VLOOKUP(A2044,[14]PRIORIZADOS!$A:$E,5,FALSE)),"")</f>
        <v>Educación de Jóvenes y Adultos</v>
      </c>
      <c r="F2044" s="11" t="str">
        <f>IFERROR(IF(VLOOKUP(A2044,[14]PRIORIZADOS!$A:$F,6,FALSE)="","",VLOOKUP(A2044,[14]PRIORIZADOS!$A:$F,6,FALSE)),"")</f>
        <v>LATINOAMERICANA_DE_SISTEMAS_Y_EDUCACION_LASIT</v>
      </c>
      <c r="G2044" s="11" t="str">
        <f>IFERROR(IF(VLOOKUP(A2044,[14]PRIORIZADOS!$A:$G,7,FALSE)="","",VLOOKUP(A2044,[14]PRIORIZADOS!$A:$G,7,FALSE)),"")</f>
        <v>LATINOAMERICANA DE SISTEMAS Y EDUCACION LASIT</v>
      </c>
      <c r="H2044" s="11" t="str">
        <f>IFERROR(IF(VLOOKUP(A2044,[14]PRIORIZADOS!$A:$H,8,FALSE)="","",VLOOKUP(A2044,[14]PRIORIZADOS!$A:$H,8,FALSE)),"")</f>
        <v>Autoevaluación Institucional y Pruebas SABER 11</v>
      </c>
      <c r="I2044" s="11" t="str">
        <f>IFERROR(IF(VLOOKUP(A2044,[14]PRIORIZADOS!$A:$I,9,FALSE)="","",VLOOKUP(A2044,[14]PRIORIZADOS!$A:$I,9,FALSE)),"")</f>
        <v>EVALUACIÓN_CON_FINES_DE_MEJORAMIENTO.</v>
      </c>
      <c r="J2044" s="11" t="str">
        <f>IFERROR(IF(VLOOKUP(A2044,[14]PRIORIZADOS!$A:$J,10,FALSE)="","",VLOOKUP(A2044,[14]PRIORIZADOS!$A:$J,10,FALSE)),"")</f>
        <v>Verificar las condiciones en cuanto a: la estructura administrativa, condiciones de la planta física y medios educativos adecuados.</v>
      </c>
      <c r="K2044" s="11" t="str">
        <f>IFERROR(IF(VLOOKUP(A2044,[14]PRIORIZADOS!$A:$K,11,FALSE)="","",VLOOKUP(A2044,[14]PRIORIZADOS!$A:$K,11,FALSE)),"")</f>
        <v>SANDRA OLINDA GONZÁLEZ REYES</v>
      </c>
      <c r="L2044" s="11" t="str">
        <f>IFERROR(IF(VLOOKUP(A2044,[14]PRIORIZADOS!$A:$L,12,FALSE)="","",VLOOKUP(A2044,[14]PRIORIZADOS!$A:$L,12,FALSE)),"")</f>
        <v>DANIEL ALEJANDRO GRANOBLES</v>
      </c>
      <c r="M2044" s="71">
        <f>IFERROR(IF(VLOOKUP(A2044,[14]PRIORIZADOS!$A:$M,13,FALSE)="","",VLOOKUP(A2044,[14]PRIORIZADOS!$A:$M,13,FALSE)),"")</f>
        <v>45729</v>
      </c>
      <c r="N2044" s="71">
        <f>IFERROR(IF(VLOOKUP(A2044,[14]PRIORIZADOS!$A:$N,14,FALSE)="","",VLOOKUP(A2044,[14]PRIORIZADOS!$A:$N,14,FALSE)),"")</f>
        <v>45758</v>
      </c>
      <c r="O2044" s="71">
        <f>IFERROR(IF(VLOOKUP(A2044,[14]PRIORIZADOS!$A:$O,15,FALSE)="","",VLOOKUP(A2044,[14]PRIORIZADOS!$A:$O,15,FALSE)),"")</f>
        <v>45758</v>
      </c>
      <c r="P2044" s="11" t="str">
        <f>IFERROR(IF(VLOOKUP(A2044,[14]PRIORIZADOS!$A:$P,16,FALSE)="","",VLOOKUP(A2044,[14]PRIORIZADOS!$A:$P,16,FALSE)),"")</f>
        <v>Visitas de evaluación con fines de mejoramiento</v>
      </c>
      <c r="Q2044" s="8" t="s">
        <v>433</v>
      </c>
      <c r="R2044" s="11" t="str">
        <f>IFERROR(IF(VLOOKUP(A2044,[14]PRIORIZADOS!$A:$R,18,FALSE)="","",VLOOKUP(A2044,[14]PRIORIZADOS!$A:$R,18,FALSE)),"")</f>
        <v xml:space="preserve">Existen espacios para cada ambiente sin embargo se evidencia falta de organización </v>
      </c>
      <c r="S2044" s="11" t="str">
        <f>IFERROR(IF(VLOOKUP(A2044,[14]PRIORIZADOS!$A:$S,19,FALSE)="","",VLOOKUP(A2044,[14]PRIORIZADOS!$A:$S,19,FALSE)),"")</f>
        <v>Realizar y entregar plan de mejoramiento que incorporeel proceso de reesttructuración y reorganozación de espacios del 30 de abril</v>
      </c>
      <c r="T2044" s="70" t="str">
        <f>IFERROR(IF(VLOOKUP(A2044,[14]PRIORIZADOS!$A:$T,20,FALSE)="","",VLOOKUP(A2044,[14]PRIORIZADOS!$A:$T,20,FALSE)),"")</f>
        <v>Si</v>
      </c>
      <c r="U2044" s="11" t="str">
        <f>IFERROR(IF(VLOOKUP(A2044,[14]PRIORIZADOS!$A:$U,21,FALSE)="","",VLOOKUP(A2044,[14]PRIORIZADOS!$A:$U,21,FALSE)),"")</f>
        <v>Revisar plan de mejoramiento que contenga las acciones e informe con registro fotografico de avance en la reestructuración de los espacios.</v>
      </c>
    </row>
    <row r="2045" spans="1:21" s="1" customFormat="1" ht="72">
      <c r="A2045" s="69">
        <f>IF([14]PRIORIZADOS!A92="","",[14]PRIORIZADOS!A92)</f>
        <v>2013</v>
      </c>
      <c r="B2045" s="70">
        <f>IFERROR(IF(VLOOKUP(A2045,[14]PRIORIZADOS!$A:$B,2,FALSE)="","",VLOOKUP(A2045,[14]PRIORIZADOS!$A:$B,2,FALSE)),"")</f>
        <v>10</v>
      </c>
      <c r="C2045" s="11" t="s">
        <v>424</v>
      </c>
      <c r="D2045" s="11" t="str">
        <f>IFERROR(IF(VLOOKUP(A2045,[14]PRIORIZADOS!$A:$D,4,FALSE)="","",VLOOKUP(A2045,[14]PRIORIZADOS!$A:$D,4,FALSE)),"")</f>
        <v>PRIVADO</v>
      </c>
      <c r="E2045" s="11" t="str">
        <f>IFERROR(IF(VLOOKUP(A2045,[14]PRIORIZADOS!$A:$E,5,FALSE)="","",VLOOKUP(A2045,[14]PRIORIZADOS!$A:$E,5,FALSE)),"")</f>
        <v>Educación de Jóvenes y Adultos</v>
      </c>
      <c r="F2045" s="11" t="str">
        <f>IFERROR(IF(VLOOKUP(A2045,[14]PRIORIZADOS!$A:$F,6,FALSE)="","",VLOOKUP(A2045,[14]PRIORIZADOS!$A:$F,6,FALSE)),"")</f>
        <v>COLEGIO_CENCOSISTEMAS_SUBA</v>
      </c>
      <c r="G2045" s="11" t="str">
        <f>IFERROR(IF(VLOOKUP(A2045,[14]PRIORIZADOS!$A:$G,7,FALSE)="","",VLOOKUP(A2045,[14]PRIORIZADOS!$A:$G,7,FALSE)),"")</f>
        <v>COLEGIO CENCOSISTEMAS SUBA</v>
      </c>
      <c r="H2045" s="11" t="str">
        <f>IFERROR(IF(VLOOKUP(A2045,[14]PRIORIZADOS!$A:$H,8,FALSE)="","",VLOOKUP(A2045,[14]PRIORIZADOS!$A:$H,8,FALSE)),"")</f>
        <v>Autoevaluación Institucional y Pruebas SABER 11</v>
      </c>
      <c r="I2045" s="11" t="str">
        <f>IFERROR(IF(VLOOKUP(A2045,[14]PRIORIZADOS!$A:$I,9,FALSE)="","",VLOOKUP(A2045,[14]PRIORIZADOS!$A:$I,9,FALSE)),"")</f>
        <v>SEGUIMIENTO_Y_SUPERVISIÓN.</v>
      </c>
      <c r="J2045" s="11" t="str">
        <f>IFERROR(IF(VLOOKUP(A2045,[14]PRIORIZADOS!$A:$J,10,FALSE)="","",VLOOKUP(A2045,[14]PRIORIZADOS!$A:$J,10,FALSE)),"")</f>
        <v>Realizar visitas para verificar la información registrada sobre la autoevaluación institucional en el aplicativo EVI, a los establecimientos de educación formal no oficial.</v>
      </c>
      <c r="K2045" s="11" t="str">
        <f>IFERROR(IF(VLOOKUP(A2045,[14]PRIORIZADOS!$A:$K,11,FALSE)="","",VLOOKUP(A2045,[14]PRIORIZADOS!$A:$K,11,FALSE)),"")</f>
        <v>JENNIFFER ESPERANZA GONZÁLEZ GÓMEZ</v>
      </c>
      <c r="L2045" s="11" t="str">
        <f>IFERROR(IF(VLOOKUP(A2045,[14]PRIORIZADOS!$A:$L,12,FALSE)="","",VLOOKUP(A2045,[14]PRIORIZADOS!$A:$L,12,FALSE)),"")</f>
        <v>SONIA YAMILE ARTEAGA MELO</v>
      </c>
      <c r="M2045" s="71">
        <f>IFERROR(IF(VLOOKUP(A2045,[14]PRIORIZADOS!$A:$M,13,FALSE)="","",VLOOKUP(A2045,[14]PRIORIZADOS!$A:$M,13,FALSE)),"")</f>
        <v>45867</v>
      </c>
      <c r="N2045" s="71">
        <f>IFERROR(IF(VLOOKUP(A2045,[14]PRIORIZADOS!$A:$N,14,FALSE)="","",VLOOKUP(A2045,[14]PRIORIZADOS!$A:$N,14,FALSE)),"")</f>
        <v>45880</v>
      </c>
      <c r="O2045" s="71">
        <f>IFERROR(IF(VLOOKUP(A2045,[14]PRIORIZADOS!$A:$O,15,FALSE)="","",VLOOKUP(A2045,[14]PRIORIZADOS!$A:$O,15,FALSE)),"")</f>
        <v>45880</v>
      </c>
      <c r="P2045" s="11" t="str">
        <f>IFERROR(IF(VLOOKUP(A2045,[14]PRIORIZADOS!$A:$P,16,FALSE)="","",VLOOKUP(A2045,[14]PRIORIZADOS!$A:$P,16,FALSE)),"")</f>
        <v>Visitas de evaluación con fines de seguimiento</v>
      </c>
      <c r="Q2045" s="22" t="s">
        <v>434</v>
      </c>
      <c r="R2045" s="11" t="str">
        <f>IFERROR(IF(VLOOKUP(A2045,[14]PRIORIZADOS!$A:$R,18,FALSE)="","",VLOOKUP(A2045,[14]PRIORIZADOS!$A:$R,18,FALSE)),"")</f>
        <v>Se evidencio que la instittución diligenia el aplicativo EVI,conforme la infrastructura con la que cuenta, sin embargo por baja matricula esta haciendo rotacion de docentes los cuales pertenecen a otra isntitucion</v>
      </c>
      <c r="S2045" s="11" t="str">
        <f>IFERROR(IF(VLOOKUP(A2045,[14]PRIORIZADOS!$A:$S,19,FALSE)="","",VLOOKUP(A2045,[14]PRIORIZADOS!$A:$S,19,FALSE)),"")</f>
        <v>Revisar la sostenibilidad del proyecto educaivo y  Elaborar plan de mejoramiento sobre todos los indicadores y remitirlo  antes del 1 de septiembre</v>
      </c>
      <c r="T2045" s="70" t="str">
        <f>IFERROR(IF(VLOOKUP(A2045,[14]PRIORIZADOS!$A:$T,20,FALSE)="","",VLOOKUP(A2045,[14]PRIORIZADOS!$A:$T,20,FALSE)),"")</f>
        <v>Si</v>
      </c>
      <c r="U2045" s="11" t="str">
        <f>IFERROR(IF(VLOOKUP(A2045,[14]PRIORIZADOS!$A:$U,21,FALSE)="","",VLOOKUP(A2045,[14]PRIORIZADOS!$A:$U,21,FALSE)),"")</f>
        <v>Verificar el diligenciamiento y publicación de documentos en el aplicativo EVI para la vigencia 2026.</v>
      </c>
    </row>
    <row r="2046" spans="1:21" s="1" customFormat="1" ht="60">
      <c r="A2046" s="69">
        <f>IF([14]PRIORIZADOS!A93="","",[14]PRIORIZADOS!A93)</f>
        <v>2014</v>
      </c>
      <c r="B2046" s="70">
        <f>IFERROR(IF(VLOOKUP(A2046,[14]PRIORIZADOS!$A:$B,2,FALSE)="","",VLOOKUP(A2046,[14]PRIORIZADOS!$A:$B,2,FALSE)),"")</f>
        <v>10</v>
      </c>
      <c r="C2046" s="11" t="s">
        <v>424</v>
      </c>
      <c r="D2046" s="11" t="str">
        <f>IFERROR(IF(VLOOKUP(A2046,[14]PRIORIZADOS!$A:$D,4,FALSE)="","",VLOOKUP(A2046,[14]PRIORIZADOS!$A:$D,4,FALSE)),"")</f>
        <v>PRIVADO</v>
      </c>
      <c r="E2046" s="11" t="str">
        <f>IFERROR(IF(VLOOKUP(A2046,[14]PRIORIZADOS!$A:$E,5,FALSE)="","",VLOOKUP(A2046,[14]PRIORIZADOS!$A:$E,5,FALSE)),"")</f>
        <v>Educación de Jóvenes y Adultos</v>
      </c>
      <c r="F2046" s="11" t="str">
        <f>IFERROR(IF(VLOOKUP(A2046,[14]PRIORIZADOS!$A:$F,6,FALSE)="","",VLOOKUP(A2046,[14]PRIORIZADOS!$A:$F,6,FALSE)),"")</f>
        <v>COLEGIO_CENCOSISTEMAS_SUBA</v>
      </c>
      <c r="G2046" s="11" t="str">
        <f>IFERROR(IF(VLOOKUP(A2046,[14]PRIORIZADOS!$A:$G,7,FALSE)="","",VLOOKUP(A2046,[14]PRIORIZADOS!$A:$G,7,FALSE)),"")</f>
        <v>COLEGIO CENCOSISTEMAS SUBA</v>
      </c>
      <c r="H2046" s="11" t="str">
        <f>IFERROR(IF(VLOOKUP(A2046,[14]PRIORIZADOS!$A:$H,8,FALSE)="","",VLOOKUP(A2046,[14]PRIORIZADOS!$A:$H,8,FALSE)),"")</f>
        <v>Autoevaluación Institucional y Pruebas SABER 11</v>
      </c>
      <c r="I2046" s="11" t="str">
        <f>IFERROR(IF(VLOOKUP(A2046,[14]PRIORIZADOS!$A:$I,9,FALSE)="","",VLOOKUP(A2046,[14]PRIORIZADOS!$A:$I,9,FALSE)),"")</f>
        <v>SEGUIMIENTO_Y_SUPERVISIÓN.</v>
      </c>
      <c r="J2046" s="11" t="str">
        <f>IFERROR(IF(VLOOKUP(A2046,[14]PRIORIZADOS!$A:$J,10,FALSE)="","",VLOOKUP(A2046,[14]PRIORIZADOS!$A:$J,10,FALSE)),"")</f>
        <v>Proponer estrategias en la formulación, verificar su elaboración y realizar seguimiento semestral al desarrollo de  las acciones establecidas en los planes de mejoramiento por pruebas SABER 11 de los establecimientos de educación formal.</v>
      </c>
      <c r="K2046" s="11" t="str">
        <f>IFERROR(IF(VLOOKUP(A2046,[14]PRIORIZADOS!$A:$K,11,FALSE)="","",VLOOKUP(A2046,[14]PRIORIZADOS!$A:$K,11,FALSE)),"")</f>
        <v>JENNIFFER ESPERANZA GONZÁLEZ GÓMEZ</v>
      </c>
      <c r="L2046" s="11" t="str">
        <f>IFERROR(IF(VLOOKUP(A2046,[14]PRIORIZADOS!$A:$L,12,FALSE)="","",VLOOKUP(A2046,[14]PRIORIZADOS!$A:$L,12,FALSE)),"")</f>
        <v>SONIA YAMILE ARTEAGA MELO</v>
      </c>
      <c r="M2046" s="71">
        <f>IFERROR(IF(VLOOKUP(A2046,[14]PRIORIZADOS!$A:$M,13,FALSE)="","",VLOOKUP(A2046,[14]PRIORIZADOS!$A:$M,13,FALSE)),"")</f>
        <v>45867</v>
      </c>
      <c r="N2046" s="71">
        <f>IFERROR(IF(VLOOKUP(A2046,[14]PRIORIZADOS!$A:$N,14,FALSE)="","",VLOOKUP(A2046,[14]PRIORIZADOS!$A:$N,14,FALSE)),"")</f>
        <v>45880</v>
      </c>
      <c r="O2046" s="71">
        <f>IFERROR(IF(VLOOKUP(A2046,[14]PRIORIZADOS!$A:$O,15,FALSE)="","",VLOOKUP(A2046,[14]PRIORIZADOS!$A:$O,15,FALSE)),"")</f>
        <v>45880</v>
      </c>
      <c r="P2046" s="11" t="str">
        <f>IFERROR(IF(VLOOKUP(A2046,[14]PRIORIZADOS!$A:$P,16,FALSE)="","",VLOOKUP(A2046,[14]PRIORIZADOS!$A:$P,16,FALSE)),"")</f>
        <v>Visitas de evaluación con fines de seguimiento</v>
      </c>
      <c r="Q2046" s="22" t="s">
        <v>434</v>
      </c>
      <c r="R2046" s="11" t="str">
        <f>IFERROR(IF(VLOOKUP(A2046,[14]PRIORIZADOS!$A:$R,18,FALSE)="","",VLOOKUP(A2046,[14]PRIORIZADOS!$A:$R,18,FALSE)),"")</f>
        <v>Se verificó el bajo resultado en las  Pruebas saber y la retroaliemntación realizada por los docentesa cerca de la evaluación de las  causales, para implementar acciones de mejora</v>
      </c>
      <c r="S2046" s="11" t="str">
        <f>IFERROR(IF(VLOOKUP(A2046,[14]PRIORIZADOS!$A:$S,19,FALSE)="","",VLOOKUP(A2046,[14]PRIORIZADOS!$A:$S,19,FALSE)),"")</f>
        <v>Revisar los resultados y la relación con las asignaturas del plan de estudio. Elaborar plan de mejoramiento sobre todos los indicadores y remitirlo a la DLE antes del 1 de septiembre</v>
      </c>
      <c r="T2046" s="70" t="str">
        <f>IFERROR(IF(VLOOKUP(A2046,[14]PRIORIZADOS!$A:$T,20,FALSE)="","",VLOOKUP(A2046,[14]PRIORIZADOS!$A:$T,20,FALSE)),"")</f>
        <v>Si</v>
      </c>
      <c r="U2046" s="11" t="str">
        <f>IFERROR(IF(VLOOKUP(A2046,[14]PRIORIZADOS!$A:$U,21,FALSE)="","",VLOOKUP(A2046,[14]PRIORIZADOS!$A:$U,21,FALSE)),"")</f>
        <v>Verificar los resultados y las acciones en las asignaturas que presentan puntajes más bajos en la próxima calificación de las pruebas</v>
      </c>
    </row>
    <row r="2047" spans="1:21" s="1" customFormat="1" ht="72">
      <c r="A2047" s="69">
        <f>IF([14]PRIORIZADOS!A94="","",[14]PRIORIZADOS!A94)</f>
        <v>2015</v>
      </c>
      <c r="B2047" s="70">
        <f>IFERROR(IF(VLOOKUP(A2047,[14]PRIORIZADOS!$A:$B,2,FALSE)="","",VLOOKUP(A2047,[14]PRIORIZADOS!$A:$B,2,FALSE)),"")</f>
        <v>10</v>
      </c>
      <c r="C2047" s="11" t="s">
        <v>424</v>
      </c>
      <c r="D2047" s="11" t="str">
        <f>IFERROR(IF(VLOOKUP(A2047,[14]PRIORIZADOS!$A:$D,4,FALSE)="","",VLOOKUP(A2047,[14]PRIORIZADOS!$A:$D,4,FALSE)),"")</f>
        <v>PRIVADO</v>
      </c>
      <c r="E2047" s="11" t="str">
        <f>IFERROR(IF(VLOOKUP(A2047,[14]PRIORIZADOS!$A:$E,5,FALSE)="","",VLOOKUP(A2047,[14]PRIORIZADOS!$A:$E,5,FALSE)),"")</f>
        <v>Educación de Jóvenes y Adultos</v>
      </c>
      <c r="F2047" s="11" t="str">
        <f>IFERROR(IF(VLOOKUP(A2047,[14]PRIORIZADOS!$A:$F,6,FALSE)="","",VLOOKUP(A2047,[14]PRIORIZADOS!$A:$F,6,FALSE)),"")</f>
        <v>COLEGIO_CENCOSISTEMAS_SUBA</v>
      </c>
      <c r="G2047" s="11" t="str">
        <f>IFERROR(IF(VLOOKUP(A2047,[14]PRIORIZADOS!$A:$G,7,FALSE)="","",VLOOKUP(A2047,[14]PRIORIZADOS!$A:$G,7,FALSE)),"")</f>
        <v>COLEGIO CENCOSISTEMAS SUBA</v>
      </c>
      <c r="H2047" s="11" t="str">
        <f>IFERROR(IF(VLOOKUP(A2047,[14]PRIORIZADOS!$A:$H,8,FALSE)="","",VLOOKUP(A2047,[14]PRIORIZADOS!$A:$H,8,FALSE)),"")</f>
        <v>Autoevaluación Institucional y Pruebas SABER 11</v>
      </c>
      <c r="I2047" s="11" t="str">
        <f>IFERROR(IF(VLOOKUP(A2047,[14]PRIORIZADOS!$A:$I,9,FALSE)="","",VLOOKUP(A2047,[14]PRIORIZADOS!$A:$I,9,FALSE)),"")</f>
        <v>SEGUIMIENTO_Y_SUPERVISIÓN.</v>
      </c>
      <c r="J2047" s="11" t="str">
        <f>IFERROR(IF(VLOOKUP(A2047,[14]PRIORIZADOS!$A:$J,10,FALSE)="","",VLOOKUP(A2047,[14]PRIORIZADOS!$A:$J,10,FALSE)),"")</f>
        <v xml:space="preserve">Verificar la implementación por parte de los colegios, de acciones realizadas para la prevención y atención de las situaciones de convivencia en el entorno escolar, según lo establecido en la Directiva 01 de 2022 del MEN. </v>
      </c>
      <c r="K2047" s="11" t="str">
        <f>IFERROR(IF(VLOOKUP(A2047,[14]PRIORIZADOS!$A:$K,11,FALSE)="","",VLOOKUP(A2047,[14]PRIORIZADOS!$A:$K,11,FALSE)),"")</f>
        <v>JENNIFFER ESPERANZA GONZÁLEZ GÓMEZ</v>
      </c>
      <c r="L2047" s="11" t="str">
        <f>IFERROR(IF(VLOOKUP(A2047,[14]PRIORIZADOS!$A:$L,12,FALSE)="","",VLOOKUP(A2047,[14]PRIORIZADOS!$A:$L,12,FALSE)),"")</f>
        <v>SONIA YAMILE ARTEAGA MELO</v>
      </c>
      <c r="M2047" s="71">
        <f>IFERROR(IF(VLOOKUP(A2047,[14]PRIORIZADOS!$A:$M,13,FALSE)="","",VLOOKUP(A2047,[14]PRIORIZADOS!$A:$M,13,FALSE)),"")</f>
        <v>45867</v>
      </c>
      <c r="N2047" s="71">
        <f>IFERROR(IF(VLOOKUP(A2047,[14]PRIORIZADOS!$A:$N,14,FALSE)="","",VLOOKUP(A2047,[14]PRIORIZADOS!$A:$N,14,FALSE)),"")</f>
        <v>45880</v>
      </c>
      <c r="O2047" s="71">
        <f>IFERROR(IF(VLOOKUP(A2047,[14]PRIORIZADOS!$A:$O,15,FALSE)="","",VLOOKUP(A2047,[14]PRIORIZADOS!$A:$O,15,FALSE)),"")</f>
        <v>45880</v>
      </c>
      <c r="P2047" s="11" t="str">
        <f>IFERROR(IF(VLOOKUP(A2047,[14]PRIORIZADOS!$A:$P,16,FALSE)="","",VLOOKUP(A2047,[14]PRIORIZADOS!$A:$P,16,FALSE)),"")</f>
        <v>Visitas de evaluación con fines de seguimiento</v>
      </c>
      <c r="Q2047" s="22" t="s">
        <v>434</v>
      </c>
      <c r="R2047" s="11" t="str">
        <f>IFERROR(IF(VLOOKUP(A2047,[14]PRIORIZADOS!$A:$R,18,FALSE)="","",VLOOKUP(A2047,[14]PRIORIZADOS!$A:$R,18,FALSE)),"")</f>
        <v>Se verificaron las consulta en la página de la policia de los antecedentes de los docentes de conformidad a la directiva  001 del 2022, del mes de agosto.  no han tenido conflictos que ameriten la activación de rutas.</v>
      </c>
      <c r="S2047" s="11" t="str">
        <f>IFERROR(IF(VLOOKUP(A2047,[14]PRIORIZADOS!$A:$S,19,FALSE)="","",VLOOKUP(A2047,[14]PRIORIZADOS!$A:$S,19,FALSE)),"")</f>
        <v xml:space="preserve">Continuar con las consultas en la pagina de antecedentes sexuales. e incluir y desarollar en el manual de convivencia los protocolos de atención </v>
      </c>
      <c r="T2047" s="70" t="str">
        <f>IFERROR(IF(VLOOKUP(A2047,[14]PRIORIZADOS!$A:$T,20,FALSE)="","",VLOOKUP(A2047,[14]PRIORIZADOS!$A:$T,20,FALSE)),"")</f>
        <v>si</v>
      </c>
      <c r="U2047" s="11" t="str">
        <f>IFERROR(IF(VLOOKUP(A2047,[14]PRIORIZADOS!$A:$U,21,FALSE)="","",VLOOKUP(A2047,[14]PRIORIZADOS!$A:$U,21,FALSE)),"")</f>
        <v>Verificar las modificaciones en manual de convivencia respecto a los protocolos de atención para la vigencia 2026</v>
      </c>
    </row>
    <row r="2048" spans="1:21" s="1" customFormat="1" ht="84">
      <c r="A2048" s="69">
        <f>IF([14]PRIORIZADOS!A95="","",[14]PRIORIZADOS!A95)</f>
        <v>2016</v>
      </c>
      <c r="B2048" s="70">
        <f>IFERROR(IF(VLOOKUP(A2048,[14]PRIORIZADOS!$A:$B,2,FALSE)="","",VLOOKUP(A2048,[14]PRIORIZADOS!$A:$B,2,FALSE)),"")</f>
        <v>10</v>
      </c>
      <c r="C2048" s="11" t="s">
        <v>424</v>
      </c>
      <c r="D2048" s="11" t="str">
        <f>IFERROR(IF(VLOOKUP(A2048,[14]PRIORIZADOS!$A:$D,4,FALSE)="","",VLOOKUP(A2048,[14]PRIORIZADOS!$A:$D,4,FALSE)),"")</f>
        <v>PRIVADO</v>
      </c>
      <c r="E2048" s="11" t="str">
        <f>IFERROR(IF(VLOOKUP(A2048,[14]PRIORIZADOS!$A:$E,5,FALSE)="","",VLOOKUP(A2048,[14]PRIORIZADOS!$A:$E,5,FALSE)),"")</f>
        <v>Educación de Jóvenes y Adultos</v>
      </c>
      <c r="F2048" s="11" t="str">
        <f>IFERROR(IF(VLOOKUP(A2048,[14]PRIORIZADOS!$A:$F,6,FALSE)="","",VLOOKUP(A2048,[14]PRIORIZADOS!$A:$F,6,FALSE)),"")</f>
        <v>COLEGIO_CENCOSISTEMAS_SUBA</v>
      </c>
      <c r="G2048" s="11" t="str">
        <f>IFERROR(IF(VLOOKUP(A2048,[14]PRIORIZADOS!$A:$G,7,FALSE)="","",VLOOKUP(A2048,[14]PRIORIZADOS!$A:$G,7,FALSE)),"")</f>
        <v>COLEGIO CENCOSISTEMAS SUBA</v>
      </c>
      <c r="H2048" s="11" t="str">
        <f>IFERROR(IF(VLOOKUP(A2048,[14]PRIORIZADOS!$A:$H,8,FALSE)="","",VLOOKUP(A2048,[14]PRIORIZADOS!$A:$H,8,FALSE)),"")</f>
        <v>Autoevaluación Institucional y Pruebas SABER 11</v>
      </c>
      <c r="I2048" s="11" t="str">
        <f>IFERROR(IF(VLOOKUP(A2048,[14]PRIORIZADOS!$A:$I,9,FALSE)="","",VLOOKUP(A2048,[14]PRIORIZADOS!$A:$I,9,FALSE)),"")</f>
        <v>SEGUIMIENTO_Y_SUPERVISIÓN.</v>
      </c>
      <c r="J2048" s="11" t="str">
        <f>IFERROR(IF(VLOOKUP(A2048,[14]PRIORIZADOS!$A:$J,10,FALSE)="","",VLOOKUP(A2048,[14]PRIORIZADOS!$A:$J,10,FALSE)),"")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48" s="11" t="str">
        <f>IFERROR(IF(VLOOKUP(A2048,[14]PRIORIZADOS!$A:$K,11,FALSE)="","",VLOOKUP(A2048,[14]PRIORIZADOS!$A:$K,11,FALSE)),"")</f>
        <v>JENNIFFER ESPERANZA GONZÁLEZ GÓMEZ</v>
      </c>
      <c r="L2048" s="11" t="str">
        <f>IFERROR(IF(VLOOKUP(A2048,[14]PRIORIZADOS!$A:$L,12,FALSE)="","",VLOOKUP(A2048,[14]PRIORIZADOS!$A:$L,12,FALSE)),"")</f>
        <v>SONIA YAMILE ARTEAGA MELO</v>
      </c>
      <c r="M2048" s="71">
        <f>IFERROR(IF(VLOOKUP(A2048,[14]PRIORIZADOS!$A:$M,13,FALSE)="","",VLOOKUP(A2048,[14]PRIORIZADOS!$A:$M,13,FALSE)),"")</f>
        <v>45867</v>
      </c>
      <c r="N2048" s="71">
        <f>IFERROR(IF(VLOOKUP(A2048,[14]PRIORIZADOS!$A:$N,14,FALSE)="","",VLOOKUP(A2048,[14]PRIORIZADOS!$A:$N,14,FALSE)),"")</f>
        <v>45880</v>
      </c>
      <c r="O2048" s="71">
        <f>IFERROR(IF(VLOOKUP(A2048,[14]PRIORIZADOS!$A:$O,15,FALSE)="","",VLOOKUP(A2048,[14]PRIORIZADOS!$A:$O,15,FALSE)),"")</f>
        <v>45880</v>
      </c>
      <c r="P2048" s="11" t="str">
        <f>IFERROR(IF(VLOOKUP(A2048,[14]PRIORIZADOS!$A:$P,16,FALSE)="","",VLOOKUP(A2048,[14]PRIORIZADOS!$A:$P,16,FALSE)),"")</f>
        <v>Visitas de evaluación con fines de seguimiento</v>
      </c>
      <c r="Q2048" s="22" t="s">
        <v>434</v>
      </c>
      <c r="R2048" s="11" t="str">
        <f>IFERROR(IF(VLOOKUP(A2048,[14]PRIORIZADOS!$A:$R,18,FALSE)="","",VLOOKUP(A2048,[14]PRIORIZADOS!$A:$R,18,FALSE)),"")</f>
        <v xml:space="preserve">Se evidenció en el SIMAT que el colegio  tiene1  estudiante matriculados en condición de discapacidad; se debe elaborar el PIAR del estudiante </v>
      </c>
      <c r="S2048" s="11" t="str">
        <f>IFERROR(IF(VLOOKUP(A2048,[14]PRIORIZADOS!$A:$S,19,FALSE)="","",VLOOKUP(A2048,[14]PRIORIZADOS!$A:$S,19,FALSE)),"")</f>
        <v xml:space="preserve">
Realizar la actualización del Manual de Convivencia para incorporar los enfoques diferenciales e inclusivos.                        Elaborar plan de mejoramiento sobre todos los indicadores y remitirlo a inspección y vigilancia antes del 1 de septiembre </v>
      </c>
      <c r="T2048" s="70" t="str">
        <f>IFERROR(IF(VLOOKUP(A2048,[14]PRIORIZADOS!$A:$T,20,FALSE)="","",VLOOKUP(A2048,[14]PRIORIZADOS!$A:$T,20,FALSE)),"")</f>
        <v>Si</v>
      </c>
      <c r="U2048" s="11" t="str">
        <f>IFERROR(IF(VLOOKUP(A2048,[14]PRIORIZADOS!$A:$U,21,FALSE)="","",VLOOKUP(A2048,[14]PRIORIZADOS!$A:$U,21,FALSE)),"")</f>
        <v>Verificar las modificaciones en manual de convivencia para la vigencia 2026</v>
      </c>
    </row>
    <row r="2049" spans="1:21" s="1" customFormat="1" ht="84">
      <c r="A2049" s="69">
        <f>IF([14]PRIORIZADOS!A96="","",[14]PRIORIZADOS!A96)</f>
        <v>2017</v>
      </c>
      <c r="B2049" s="70">
        <f>IFERROR(IF(VLOOKUP(A2049,[14]PRIORIZADOS!$A:$B,2,FALSE)="","",VLOOKUP(A2049,[14]PRIORIZADOS!$A:$B,2,FALSE)),"")</f>
        <v>10</v>
      </c>
      <c r="C2049" s="11" t="s">
        <v>424</v>
      </c>
      <c r="D2049" s="11" t="str">
        <f>IFERROR(IF(VLOOKUP(A2049,[14]PRIORIZADOS!$A:$D,4,FALSE)="","",VLOOKUP(A2049,[14]PRIORIZADOS!$A:$D,4,FALSE)),"")</f>
        <v>PRIVADO</v>
      </c>
      <c r="E2049" s="11" t="str">
        <f>IFERROR(IF(VLOOKUP(A2049,[14]PRIORIZADOS!$A:$E,5,FALSE)="","",VLOOKUP(A2049,[14]PRIORIZADOS!$A:$E,5,FALSE)),"")</f>
        <v>Educación de Jóvenes y Adultos</v>
      </c>
      <c r="F2049" s="11" t="str">
        <f>IFERROR(IF(VLOOKUP(A2049,[14]PRIORIZADOS!$A:$F,6,FALSE)="","",VLOOKUP(A2049,[14]PRIORIZADOS!$A:$F,6,FALSE)),"")</f>
        <v>COLEGIO_CENCOSISTEMAS_SUBA</v>
      </c>
      <c r="G2049" s="11" t="str">
        <f>IFERROR(IF(VLOOKUP(A2049,[14]PRIORIZADOS!$A:$G,7,FALSE)="","",VLOOKUP(A2049,[14]PRIORIZADOS!$A:$G,7,FALSE)),"")</f>
        <v>COLEGIO CENCOSISTEMAS SUBA</v>
      </c>
      <c r="H2049" s="11" t="str">
        <f>IFERROR(IF(VLOOKUP(A2049,[14]PRIORIZADOS!$A:$H,8,FALSE)="","",VLOOKUP(A2049,[14]PRIORIZADOS!$A:$H,8,FALSE)),"")</f>
        <v>Autoevaluación Institucional y Pruebas SABER 11</v>
      </c>
      <c r="I2049" s="11" t="str">
        <f>IFERROR(IF(VLOOKUP(A2049,[14]PRIORIZADOS!$A:$I,9,FALSE)="","",VLOOKUP(A2049,[14]PRIORIZADOS!$A:$I,9,FALSE)),"")</f>
        <v>EVALUACIÓN_CON_FINES_DE_MEJORAMIENTO.</v>
      </c>
      <c r="J2049" s="11" t="str">
        <f>IFERROR(IF(VLOOKUP(A2049,[14]PRIORIZADOS!$A:$J,10,FALSE)="","",VLOOKUP(A2049,[14]PRIORIZADOS!$A:$J,10,FALSE)),"")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49" s="11" t="str">
        <f>IFERROR(IF(VLOOKUP(A2049,[14]PRIORIZADOS!$A:$K,11,FALSE)="","",VLOOKUP(A2049,[14]PRIORIZADOS!$A:$K,11,FALSE)),"")</f>
        <v>JENNIFFER ESPERANZA GONZÁLEZ GÓMEZ</v>
      </c>
      <c r="L2049" s="11" t="str">
        <f>IFERROR(IF(VLOOKUP(A2049,[14]PRIORIZADOS!$A:$L,12,FALSE)="","",VLOOKUP(A2049,[14]PRIORIZADOS!$A:$L,12,FALSE)),"")</f>
        <v>SONIA YAMILE ARTEAGA MELO</v>
      </c>
      <c r="M2049" s="71">
        <f>IFERROR(IF(VLOOKUP(A2049,[14]PRIORIZADOS!$A:$M,13,FALSE)="","",VLOOKUP(A2049,[14]PRIORIZADOS!$A:$M,13,FALSE)),"")</f>
        <v>45867</v>
      </c>
      <c r="N2049" s="71">
        <f>IFERROR(IF(VLOOKUP(A2049,[14]PRIORIZADOS!$A:$N,14,FALSE)="","",VLOOKUP(A2049,[14]PRIORIZADOS!$A:$N,14,FALSE)),"")</f>
        <v>45880</v>
      </c>
      <c r="O2049" s="71">
        <f>IFERROR(IF(VLOOKUP(A2049,[14]PRIORIZADOS!$A:$O,15,FALSE)="","",VLOOKUP(A2049,[14]PRIORIZADOS!$A:$O,15,FALSE)),"")</f>
        <v>45880</v>
      </c>
      <c r="P2049" s="11" t="str">
        <f>IFERROR(IF(VLOOKUP(A2049,[14]PRIORIZADOS!$A:$P,16,FALSE)="","",VLOOKUP(A2049,[14]PRIORIZADOS!$A:$P,16,FALSE)),"")</f>
        <v>Visitas de evaluación con fines de mejoramiento</v>
      </c>
      <c r="Q2049" s="22" t="s">
        <v>434</v>
      </c>
      <c r="R2049" s="11" t="str">
        <f>IFERROR(IF(VLOOKUP(A2049,[14]PRIORIZADOS!$A:$R,18,FALSE)="","",VLOOKUP(A2049,[14]PRIORIZADOS!$A:$R,18,FALSE)),"")</f>
        <v>Se encontro que al revisar el manual de convivencia , con la última actualización, falta añadir algunas normas en el marco jurídico, falta desarrollar lo que tiene que ver con protocolos de atencion, entre otros.</v>
      </c>
      <c r="S2049" s="11" t="str">
        <f>IFERROR(IF(VLOOKUP(A2049,[14]PRIORIZADOS!$A:$S,19,FALSE)="","",VLOOKUP(A2049,[14]PRIORIZADOS!$A:$S,19,FALSE)),"")</f>
        <v xml:space="preserve">Realizar la actualización del manuel convivencia.            
Elaborar plan de mejoramiento sobre todos los indicadores y remitirlo a inspección y vigilancia antes del 1 de septiembre </v>
      </c>
      <c r="T2049" s="70" t="str">
        <f>IFERROR(IF(VLOOKUP(A2049,[14]PRIORIZADOS!$A:$T,20,FALSE)="","",VLOOKUP(A2049,[14]PRIORIZADOS!$A:$T,20,FALSE)),"")</f>
        <v>Si</v>
      </c>
      <c r="U2049" s="11" t="str">
        <f>IFERROR(IF(VLOOKUP(A2049,[14]PRIORIZADOS!$A:$U,21,FALSE)="","",VLOOKUP(A2049,[14]PRIORIZADOS!$A:$U,21,FALSE)),"")</f>
        <v>Revisar la actualización del manual de convivencia ccon vigencia 2026</v>
      </c>
    </row>
    <row r="2050" spans="1:21" s="1" customFormat="1" ht="60">
      <c r="A2050" s="69">
        <f>IF([14]PRIORIZADOS!A97="","",[14]PRIORIZADOS!A97)</f>
        <v>2018</v>
      </c>
      <c r="B2050" s="70">
        <f>IFERROR(IF(VLOOKUP(A2050,[14]PRIORIZADOS!$A:$B,2,FALSE)="","",VLOOKUP(A2050,[14]PRIORIZADOS!$A:$B,2,FALSE)),"")</f>
        <v>10</v>
      </c>
      <c r="C2050" s="11" t="s">
        <v>424</v>
      </c>
      <c r="D2050" s="11" t="str">
        <f>IFERROR(IF(VLOOKUP(A2050,[14]PRIORIZADOS!$A:$D,4,FALSE)="","",VLOOKUP(A2050,[14]PRIORIZADOS!$A:$D,4,FALSE)),"")</f>
        <v>PRIVADO</v>
      </c>
      <c r="E2050" s="11" t="str">
        <f>IFERROR(IF(VLOOKUP(A2050,[14]PRIORIZADOS!$A:$E,5,FALSE)="","",VLOOKUP(A2050,[14]PRIORIZADOS!$A:$E,5,FALSE)),"")</f>
        <v>Educación de Jóvenes y Adultos</v>
      </c>
      <c r="F2050" s="11" t="str">
        <f>IFERROR(IF(VLOOKUP(A2050,[14]PRIORIZADOS!$A:$F,6,FALSE)="","",VLOOKUP(A2050,[14]PRIORIZADOS!$A:$F,6,FALSE)),"")</f>
        <v>COLEGIO_CENCOSISTEMAS_SUBA</v>
      </c>
      <c r="G2050" s="11" t="str">
        <f>IFERROR(IF(VLOOKUP(A2050,[14]PRIORIZADOS!$A:$G,7,FALSE)="","",VLOOKUP(A2050,[14]PRIORIZADOS!$A:$G,7,FALSE)),"")</f>
        <v>COLEGIO CENCOSISTEMAS SUBA</v>
      </c>
      <c r="H2050" s="11" t="str">
        <f>IFERROR(IF(VLOOKUP(A2050,[14]PRIORIZADOS!$A:$H,8,FALSE)="","",VLOOKUP(A2050,[14]PRIORIZADOS!$A:$H,8,FALSE)),"")</f>
        <v>Autoevaluación Institucional y Pruebas SABER 11</v>
      </c>
      <c r="I2050" s="11" t="str">
        <f>IFERROR(IF(VLOOKUP(A2050,[14]PRIORIZADOS!$A:$I,9,FALSE)="","",VLOOKUP(A2050,[14]PRIORIZADOS!$A:$I,9,FALSE)),"")</f>
        <v>EVALUACIÓN_CON_FINES_DE_MEJORAMIENTO.</v>
      </c>
      <c r="J2050" s="11" t="str">
        <f>IFERROR(IF(VLOOKUP(A2050,[14]PRIORIZADOS!$A:$J,10,FALSE)="","",VLOOKUP(A2050,[14]PRIORIZADOS!$A:$J,10,FALSE)),"")</f>
        <v>Revisar la actualización, socialización e implementación del Sistema Institucional de Evaluación de Estudiantes - SIEE, en articulación con la actualización del PEI y la normatividad vigente.</v>
      </c>
      <c r="K2050" s="11" t="str">
        <f>IFERROR(IF(VLOOKUP(A2050,[14]PRIORIZADOS!$A:$K,11,FALSE)="","",VLOOKUP(A2050,[14]PRIORIZADOS!$A:$K,11,FALSE)),"")</f>
        <v>JENNIFFER ESPERANZA GONZÁLEZ GÓMEZ</v>
      </c>
      <c r="L2050" s="11" t="str">
        <f>IFERROR(IF(VLOOKUP(A2050,[14]PRIORIZADOS!$A:$L,12,FALSE)="","",VLOOKUP(A2050,[14]PRIORIZADOS!$A:$L,12,FALSE)),"")</f>
        <v>SONIA YAMILE ARTEAGA MELO</v>
      </c>
      <c r="M2050" s="71">
        <f>IFERROR(IF(VLOOKUP(A2050,[14]PRIORIZADOS!$A:$M,13,FALSE)="","",VLOOKUP(A2050,[14]PRIORIZADOS!$A:$M,13,FALSE)),"")</f>
        <v>45867</v>
      </c>
      <c r="N2050" s="71">
        <f>IFERROR(IF(VLOOKUP(A2050,[14]PRIORIZADOS!$A:$N,14,FALSE)="","",VLOOKUP(A2050,[14]PRIORIZADOS!$A:$N,14,FALSE)),"")</f>
        <v>45880</v>
      </c>
      <c r="O2050" s="71">
        <f>IFERROR(IF(VLOOKUP(A2050,[14]PRIORIZADOS!$A:$O,15,FALSE)="","",VLOOKUP(A2050,[14]PRIORIZADOS!$A:$O,15,FALSE)),"")</f>
        <v>45880</v>
      </c>
      <c r="P2050" s="11" t="str">
        <f>IFERROR(IF(VLOOKUP(A2050,[14]PRIORIZADOS!$A:$P,16,FALSE)="","",VLOOKUP(A2050,[14]PRIORIZADOS!$A:$P,16,FALSE)),"")</f>
        <v>Visitas de evaluación con fines de mejoramiento</v>
      </c>
      <c r="Q2050" s="22" t="s">
        <v>434</v>
      </c>
      <c r="R2050" s="11" t="str">
        <f>IFERROR(IF(VLOOKUP(A2050,[14]PRIORIZADOS!$A:$R,18,FALSE)="","",VLOOKUP(A2050,[14]PRIORIZADOS!$A:$R,18,FALSE)),"")</f>
        <v>Se realizó retroalimentación sobre  el SIEE, el cual está en consonancia con el PEI, asi mismo ajustar los certificados eliminando las notas por proyectos transversales</v>
      </c>
      <c r="S2050" s="11" t="str">
        <f>IFERROR(IF(VLOOKUP(A2050,[14]PRIORIZADOS!$A:$S,19,FALSE)="","",VLOOKUP(A2050,[14]PRIORIZADOS!$A:$S,19,FALSE)),"")</f>
        <v xml:space="preserve">Realizar los ajustes de conformidad con las observaciomnes realizada sen la visita, re todos los indicadores y remitirlo a inspección y vigilancia, antes del 1 de septiembre </v>
      </c>
      <c r="T2050" s="70" t="str">
        <f>IFERROR(IF(VLOOKUP(A2050,[14]PRIORIZADOS!$A:$T,20,FALSE)="","",VLOOKUP(A2050,[14]PRIORIZADOS!$A:$T,20,FALSE)),"")</f>
        <v>Si</v>
      </c>
      <c r="U2050" s="11" t="str">
        <f>IFERROR(IF(VLOOKUP(A2050,[14]PRIORIZADOS!$A:$U,21,FALSE)="","",VLOOKUP(A2050,[14]PRIORIZADOS!$A:$U,21,FALSE)),"")</f>
        <v>Revisar la actualización del manual de convivencia en lo relacionado con el  SIIE  vigencia 2026</v>
      </c>
    </row>
    <row r="2051" spans="1:21" s="1" customFormat="1" ht="48">
      <c r="A2051" s="69">
        <f>IF([14]PRIORIZADOS!A98="","",[14]PRIORIZADOS!A98)</f>
        <v>2019</v>
      </c>
      <c r="B2051" s="70">
        <f>IFERROR(IF(VLOOKUP(A2051,[14]PRIORIZADOS!$A:$B,2,FALSE)="","",VLOOKUP(A2051,[14]PRIORIZADOS!$A:$B,2,FALSE)),"")</f>
        <v>10</v>
      </c>
      <c r="C2051" s="11" t="s">
        <v>424</v>
      </c>
      <c r="D2051" s="11" t="str">
        <f>IFERROR(IF(VLOOKUP(A2051,[14]PRIORIZADOS!$A:$D,4,FALSE)="","",VLOOKUP(A2051,[14]PRIORIZADOS!$A:$D,4,FALSE)),"")</f>
        <v>PRIVADO</v>
      </c>
      <c r="E2051" s="11" t="str">
        <f>IFERROR(IF(VLOOKUP(A2051,[14]PRIORIZADOS!$A:$E,5,FALSE)="","",VLOOKUP(A2051,[14]PRIORIZADOS!$A:$E,5,FALSE)),"")</f>
        <v>Educación de Jóvenes y Adultos</v>
      </c>
      <c r="F2051" s="11" t="str">
        <f>IFERROR(IF(VLOOKUP(A2051,[14]PRIORIZADOS!$A:$F,6,FALSE)="","",VLOOKUP(A2051,[14]PRIORIZADOS!$A:$F,6,FALSE)),"")</f>
        <v>COLEGIO_CENCOSISTEMAS_SUBA</v>
      </c>
      <c r="G2051" s="11" t="str">
        <f>IFERROR(IF(VLOOKUP(A2051,[14]PRIORIZADOS!$A:$G,7,FALSE)="","",VLOOKUP(A2051,[14]PRIORIZADOS!$A:$G,7,FALSE)),"")</f>
        <v>COLEGIO CENCOSISTEMAS SUBA</v>
      </c>
      <c r="H2051" s="11" t="str">
        <f>IFERROR(IF(VLOOKUP(A2051,[14]PRIORIZADOS!$A:$H,8,FALSE)="","",VLOOKUP(A2051,[14]PRIORIZADOS!$A:$H,8,FALSE)),"")</f>
        <v>Autoevaluación Institucional y Pruebas SABER 11</v>
      </c>
      <c r="I2051" s="11" t="str">
        <f>IFERROR(IF(VLOOKUP(A2051,[14]PRIORIZADOS!$A:$I,9,FALSE)="","",VLOOKUP(A2051,[14]PRIORIZADOS!$A:$I,9,FALSE)),"")</f>
        <v>EVALUACIÓN_CON_FINES_DE_MEJORAMIENTO.</v>
      </c>
      <c r="J2051" s="11" t="str">
        <f>IFERROR(IF(VLOOKUP(A2051,[14]PRIORIZADOS!$A:$J,10,FALSE)="","",VLOOKUP(A2051,[14]PRIORIZADOS!$A:$J,10,FALSE)),"")</f>
        <v>Revisar el calendario escolar, jornada escolar, la intensidad horaria mínima anual en cada nivel y las modificaciones que se realicen al mismo, de acuerdo con lo previsto en la normatividad vigente.</v>
      </c>
      <c r="K2051" s="11" t="str">
        <f>IFERROR(IF(VLOOKUP(A2051,[14]PRIORIZADOS!$A:$K,11,FALSE)="","",VLOOKUP(A2051,[14]PRIORIZADOS!$A:$K,11,FALSE)),"")</f>
        <v>JENNIFFER ESPERANZA GONZÁLEZ GÓMEZ</v>
      </c>
      <c r="L2051" s="11" t="str">
        <f>IFERROR(IF(VLOOKUP(A2051,[14]PRIORIZADOS!$A:$L,12,FALSE)="","",VLOOKUP(A2051,[14]PRIORIZADOS!$A:$L,12,FALSE)),"")</f>
        <v>SONIA YAMILE ARTEAGA MELO</v>
      </c>
      <c r="M2051" s="71">
        <f>IFERROR(IF(VLOOKUP(A2051,[14]PRIORIZADOS!$A:$M,13,FALSE)="","",VLOOKUP(A2051,[14]PRIORIZADOS!$A:$M,13,FALSE)),"")</f>
        <v>45867</v>
      </c>
      <c r="N2051" s="71">
        <f>IFERROR(IF(VLOOKUP(A2051,[14]PRIORIZADOS!$A:$N,14,FALSE)="","",VLOOKUP(A2051,[14]PRIORIZADOS!$A:$N,14,FALSE)),"")</f>
        <v>45880</v>
      </c>
      <c r="O2051" s="71">
        <f>IFERROR(IF(VLOOKUP(A2051,[14]PRIORIZADOS!$A:$O,15,FALSE)="","",VLOOKUP(A2051,[14]PRIORIZADOS!$A:$O,15,FALSE)),"")</f>
        <v>45880</v>
      </c>
      <c r="P2051" s="11" t="str">
        <f>IFERROR(IF(VLOOKUP(A2051,[14]PRIORIZADOS!$A:$P,16,FALSE)="","",VLOOKUP(A2051,[14]PRIORIZADOS!$A:$P,16,FALSE)),"")</f>
        <v>Visitas de evaluación con fines de mejoramiento</v>
      </c>
      <c r="Q2051" s="22" t="s">
        <v>434</v>
      </c>
      <c r="R2051" s="11" t="str">
        <f>IFERROR(IF(VLOOKUP(A2051,[14]PRIORIZADOS!$A:$R,18,FALSE)="","",VLOOKUP(A2051,[14]PRIORIZADOS!$A:$R,18,FALSE)),"")</f>
        <v>La intensidad horaria y las horas mínimas anuales de cada ciclo  se ajustan a la normatividad vigente.</v>
      </c>
      <c r="S2051" s="11" t="str">
        <f>IFERROR(IF(VLOOKUP(A2051,[14]PRIORIZADOS!$A:$S,19,FALSE)="","",VLOOKUP(A2051,[14]PRIORIZADOS!$A:$S,19,FALSE)),"")</f>
        <v>Socializar con los estudianes, la normatividad de los CILOS, para lograr menor decersion.</v>
      </c>
      <c r="T2051" s="70" t="str">
        <f>IFERROR(IF(VLOOKUP(A2051,[14]PRIORIZADOS!$A:$T,20,FALSE)="","",VLOOKUP(A2051,[14]PRIORIZADOS!$A:$T,20,FALSE)),"")</f>
        <v>Si</v>
      </c>
      <c r="U2051" s="11" t="str">
        <f>IFERROR(IF(VLOOKUP(A2051,[14]PRIORIZADOS!$A:$U,21,FALSE)="","",VLOOKUP(A2051,[14]PRIORIZADOS!$A:$U,21,FALSE)),"")</f>
        <v>Verificar el calendario escolar para la vigencia 2026</v>
      </c>
    </row>
    <row r="2052" spans="1:21" s="1" customFormat="1" ht="60">
      <c r="A2052" s="69">
        <f>IF([14]PRIORIZADOS!A99="","",[14]PRIORIZADOS!A99)</f>
        <v>2020</v>
      </c>
      <c r="B2052" s="70">
        <f>IFERROR(IF(VLOOKUP(A2052,[14]PRIORIZADOS!$A:$B,2,FALSE)="","",VLOOKUP(A2052,[14]PRIORIZADOS!$A:$B,2,FALSE)),"")</f>
        <v>10</v>
      </c>
      <c r="C2052" s="11" t="s">
        <v>424</v>
      </c>
      <c r="D2052" s="11" t="str">
        <f>IFERROR(IF(VLOOKUP(A2052,[14]PRIORIZADOS!$A:$D,4,FALSE)="","",VLOOKUP(A2052,[14]PRIORIZADOS!$A:$D,4,FALSE)),"")</f>
        <v>PRIVADO</v>
      </c>
      <c r="E2052" s="11" t="str">
        <f>IFERROR(IF(VLOOKUP(A2052,[14]PRIORIZADOS!$A:$E,5,FALSE)="","",VLOOKUP(A2052,[14]PRIORIZADOS!$A:$E,5,FALSE)),"")</f>
        <v>Educación de Jóvenes y Adultos</v>
      </c>
      <c r="F2052" s="11" t="str">
        <f>IFERROR(IF(VLOOKUP(A2052,[14]PRIORIZADOS!$A:$F,6,FALSE)="","",VLOOKUP(A2052,[14]PRIORIZADOS!$A:$F,6,FALSE)),"")</f>
        <v>COLEGIO_CENCOSISTEMAS_SUBA</v>
      </c>
      <c r="G2052" s="11" t="str">
        <f>IFERROR(IF(VLOOKUP(A2052,[14]PRIORIZADOS!$A:$G,7,FALSE)="","",VLOOKUP(A2052,[14]PRIORIZADOS!$A:$G,7,FALSE)),"")</f>
        <v>COLEGIO CENCOSISTEMAS SUBA</v>
      </c>
      <c r="H2052" s="11" t="str">
        <f>IFERROR(IF(VLOOKUP(A2052,[14]PRIORIZADOS!$A:$H,8,FALSE)="","",VLOOKUP(A2052,[14]PRIORIZADOS!$A:$H,8,FALSE)),"")</f>
        <v>Autoevaluación Institucional y Pruebas SABER 11</v>
      </c>
      <c r="I2052" s="11" t="str">
        <f>IFERROR(IF(VLOOKUP(A2052,[14]PRIORIZADOS!$A:$I,9,FALSE)="","",VLOOKUP(A2052,[14]PRIORIZADOS!$A:$I,9,FALSE)),"")</f>
        <v>EVALUACIÓN_CON_FINES_DE_MEJORAMIENTO.</v>
      </c>
      <c r="J2052" s="11" t="str">
        <f>IFERROR(IF(VLOOKUP(A2052,[14]PRIORIZADOS!$A:$J,10,FALSE)="","",VLOOKUP(A2052,[14]PRIORIZADOS!$A:$J,10,FALSE)),"")</f>
        <v>Verificar el funcionamiento del Gobierno Escolar e instancias de participación con base en la información sobre conformación reportada por la institución educativa.</v>
      </c>
      <c r="K2052" s="11" t="str">
        <f>IFERROR(IF(VLOOKUP(A2052,[14]PRIORIZADOS!$A:$K,11,FALSE)="","",VLOOKUP(A2052,[14]PRIORIZADOS!$A:$K,11,FALSE)),"")</f>
        <v>JENNIFFER ESPERANZA GONZÁLEZ GÓMEZ</v>
      </c>
      <c r="L2052" s="11" t="str">
        <f>IFERROR(IF(VLOOKUP(A2052,[14]PRIORIZADOS!$A:$L,12,FALSE)="","",VLOOKUP(A2052,[14]PRIORIZADOS!$A:$L,12,FALSE)),"")</f>
        <v>SONIA YAMILE ARTEAGA MELO</v>
      </c>
      <c r="M2052" s="71">
        <f>IFERROR(IF(VLOOKUP(A2052,[14]PRIORIZADOS!$A:$M,13,FALSE)="","",VLOOKUP(A2052,[14]PRIORIZADOS!$A:$M,13,FALSE)),"")</f>
        <v>45867</v>
      </c>
      <c r="N2052" s="71">
        <f>IFERROR(IF(VLOOKUP(A2052,[14]PRIORIZADOS!$A:$N,14,FALSE)="","",VLOOKUP(A2052,[14]PRIORIZADOS!$A:$N,14,FALSE)),"")</f>
        <v>45880</v>
      </c>
      <c r="O2052" s="71">
        <f>IFERROR(IF(VLOOKUP(A2052,[14]PRIORIZADOS!$A:$O,15,FALSE)="","",VLOOKUP(A2052,[14]PRIORIZADOS!$A:$O,15,FALSE)),"")</f>
        <v>45880</v>
      </c>
      <c r="P2052" s="11" t="str">
        <f>IFERROR(IF(VLOOKUP(A2052,[14]PRIORIZADOS!$A:$P,16,FALSE)="","",VLOOKUP(A2052,[14]PRIORIZADOS!$A:$P,16,FALSE)),"")</f>
        <v>Visitas de evaluación con fines de mejoramiento</v>
      </c>
      <c r="Q2052" s="22" t="s">
        <v>434</v>
      </c>
      <c r="R2052" s="11" t="str">
        <f>IFERROR(IF(VLOOKUP(A2052,[14]PRIORIZADOS!$A:$R,18,FALSE)="","",VLOOKUP(A2052,[14]PRIORIZADOS!$A:$R,18,FALSE)),"")</f>
        <v>Se evidenciaron las actas de conformación de gobierno escolar, las cuales deberán cargarse en el SAE. Sobre el funcionamiento no han sesionado.</v>
      </c>
      <c r="S2052" s="11" t="str">
        <f>IFERROR(IF(VLOOKUP(A2052,[14]PRIORIZADOS!$A:$S,19,FALSE)="","",VLOOKUP(A2052,[14]PRIORIZADOS!$A:$S,19,FALSE)),"")</f>
        <v>Cargar las actas de conformación en el aplicativo SAE a1 de septiembre . Sesionar con cada órgano de gobierno de conformidad con la periodicidad establecida en la norma</v>
      </c>
      <c r="T2052" s="70" t="str">
        <f>IFERROR(IF(VLOOKUP(A2052,[14]PRIORIZADOS!$A:$T,20,FALSE)="","",VLOOKUP(A2052,[14]PRIORIZADOS!$A:$T,20,FALSE)),"")</f>
        <v>Si</v>
      </c>
      <c r="U2052" s="11" t="str">
        <f>IFERROR(IF(VLOOKUP(A2052,[14]PRIORIZADOS!$A:$U,21,FALSE)="","",VLOOKUP(A2052,[14]PRIORIZADOS!$A:$U,21,FALSE)),"")</f>
        <v>Verificar el SAE  y el funcionamiento de  los organos de gobierno mediantes las evidencias presentadas por la IE.</v>
      </c>
    </row>
    <row r="2053" spans="1:21" s="1" customFormat="1" ht="48">
      <c r="A2053" s="69">
        <f>IF([14]PRIORIZADOS!A100="","",[14]PRIORIZADOS!A100)</f>
        <v>2021</v>
      </c>
      <c r="B2053" s="70">
        <f>IFERROR(IF(VLOOKUP(A2053,[14]PRIORIZADOS!$A:$B,2,FALSE)="","",VLOOKUP(A2053,[14]PRIORIZADOS!$A:$B,2,FALSE)),"")</f>
        <v>10</v>
      </c>
      <c r="C2053" s="11" t="s">
        <v>424</v>
      </c>
      <c r="D2053" s="11" t="str">
        <f>IFERROR(IF(VLOOKUP(A2053,[14]PRIORIZADOS!$A:$D,4,FALSE)="","",VLOOKUP(A2053,[14]PRIORIZADOS!$A:$D,4,FALSE)),"")</f>
        <v>PRIVADO</v>
      </c>
      <c r="E2053" s="11" t="str">
        <f>IFERROR(IF(VLOOKUP(A2053,[14]PRIORIZADOS!$A:$E,5,FALSE)="","",VLOOKUP(A2053,[14]PRIORIZADOS!$A:$E,5,FALSE)),"")</f>
        <v>Educación de Jóvenes y Adultos</v>
      </c>
      <c r="F2053" s="11" t="str">
        <f>IFERROR(IF(VLOOKUP(A2053,[14]PRIORIZADOS!$A:$F,6,FALSE)="","",VLOOKUP(A2053,[14]PRIORIZADOS!$A:$F,6,FALSE)),"")</f>
        <v>COLEGIO_CENCOSISTEMAS_SUBA</v>
      </c>
      <c r="G2053" s="11" t="str">
        <f>IFERROR(IF(VLOOKUP(A2053,[14]PRIORIZADOS!$A:$G,7,FALSE)="","",VLOOKUP(A2053,[14]PRIORIZADOS!$A:$G,7,FALSE)),"")</f>
        <v>COLEGIO CENCOSISTEMAS SUBA</v>
      </c>
      <c r="H2053" s="11" t="str">
        <f>IFERROR(IF(VLOOKUP(A2053,[14]PRIORIZADOS!$A:$H,8,FALSE)="","",VLOOKUP(A2053,[14]PRIORIZADOS!$A:$H,8,FALSE)),"")</f>
        <v>Autoevaluación Institucional y Pruebas SABER 11</v>
      </c>
      <c r="I2053" s="11" t="str">
        <f>IFERROR(IF(VLOOKUP(A2053,[14]PRIORIZADOS!$A:$I,9,FALSE)="","",VLOOKUP(A2053,[14]PRIORIZADOS!$A:$I,9,FALSE)),"")</f>
        <v>EVALUACIÓN_CON_FINES_DE_MEJORAMIENTO.</v>
      </c>
      <c r="J2053" s="11" t="str">
        <f>IFERROR(IF(VLOOKUP(A2053,[14]PRIORIZADOS!$A:$J,10,FALSE)="","",VLOOKUP(A2053,[14]PRIORIZADOS!$A:$J,10,FALSE)),"")</f>
        <v>Verificar las condiciones en cuanto a: la estructura administrativa, condiciones de la planta física y medios educativos adecuados.</v>
      </c>
      <c r="K2053" s="11" t="str">
        <f>IFERROR(IF(VLOOKUP(A2053,[14]PRIORIZADOS!$A:$K,11,FALSE)="","",VLOOKUP(A2053,[14]PRIORIZADOS!$A:$K,11,FALSE)),"")</f>
        <v>JENNIFFER ESPERANZA GONZÁLEZ GÓMEZ</v>
      </c>
      <c r="L2053" s="11" t="str">
        <f>IFERROR(IF(VLOOKUP(A2053,[14]PRIORIZADOS!$A:$L,12,FALSE)="","",VLOOKUP(A2053,[14]PRIORIZADOS!$A:$L,12,FALSE)),"")</f>
        <v>SONIA YAMILE ARTEAGA MELO</v>
      </c>
      <c r="M2053" s="71">
        <f>IFERROR(IF(VLOOKUP(A2053,[14]PRIORIZADOS!$A:$M,13,FALSE)="","",VLOOKUP(A2053,[14]PRIORIZADOS!$A:$M,13,FALSE)),"")</f>
        <v>45867</v>
      </c>
      <c r="N2053" s="71">
        <f>IFERROR(IF(VLOOKUP(A2053,[14]PRIORIZADOS!$A:$N,14,FALSE)="","",VLOOKUP(A2053,[14]PRIORIZADOS!$A:$N,14,FALSE)),"")</f>
        <v>45880</v>
      </c>
      <c r="O2053" s="71">
        <f>IFERROR(IF(VLOOKUP(A2053,[14]PRIORIZADOS!$A:$O,15,FALSE)="","",VLOOKUP(A2053,[14]PRIORIZADOS!$A:$O,15,FALSE)),"")</f>
        <v>45880</v>
      </c>
      <c r="P2053" s="11" t="str">
        <f>IFERROR(IF(VLOOKUP(A2053,[14]PRIORIZADOS!$A:$P,16,FALSE)="","",VLOOKUP(A2053,[14]PRIORIZADOS!$A:$P,16,FALSE)),"")</f>
        <v>Visitas de evaluación con fines de mejoramiento</v>
      </c>
      <c r="Q2053" s="22" t="s">
        <v>434</v>
      </c>
      <c r="R2053" s="11" t="str">
        <f>IFERROR(IF(VLOOKUP(A2053,[14]PRIORIZADOS!$A:$R,18,FALSE)="","",VLOOKUP(A2053,[14]PRIORIZADOS!$A:$R,18,FALSE)),"")</f>
        <v>Existen espacios  suficientes pero falta reorganizar parta optimizar los recursos</v>
      </c>
      <c r="S2053" s="11" t="str">
        <f>IFERROR(IF(VLOOKUP(A2053,[14]PRIORIZADOS!$A:$S,19,FALSE)="","",VLOOKUP(A2053,[14]PRIORIZADOS!$A:$S,19,FALSE)),"")</f>
        <v>Se llama la atención respecto  a la posibilidad de una reorganozación de espacios  de acuerdo a su funcionalidad y comodidad</v>
      </c>
      <c r="T2053" s="70" t="str">
        <f>IFERROR(IF(VLOOKUP(A2053,[14]PRIORIZADOS!$A:$T,20,FALSE)="","",VLOOKUP(A2053,[14]PRIORIZADOS!$A:$T,20,FALSE)),"")</f>
        <v>Si</v>
      </c>
      <c r="U2053" s="11" t="str">
        <f>IFERROR(IF(VLOOKUP(A2053,[14]PRIORIZADOS!$A:$U,21,FALSE)="","",VLOOKUP(A2053,[14]PRIORIZADOS!$A:$U,21,FALSE)),"")</f>
        <v>Revisar en el plan de mejormeiento si se tuvo en consideración las observaciones respecto a la reorganización de espacios</v>
      </c>
    </row>
    <row r="2054" spans="1:21" s="1" customFormat="1" ht="84">
      <c r="A2054" s="69">
        <f>IF([14]PRIORIZADOS!A101="","",[14]PRIORIZADOS!A101)</f>
        <v>2022</v>
      </c>
      <c r="B2054" s="70">
        <f>IFERROR(IF(VLOOKUP(A2054,[14]PRIORIZADOS!$A:$B,2,FALSE)="","",VLOOKUP(A2054,[14]PRIORIZADOS!$A:$B,2,FALSE)),"")</f>
        <v>11</v>
      </c>
      <c r="C2054" s="11" t="s">
        <v>424</v>
      </c>
      <c r="D2054" s="11" t="str">
        <f>IFERROR(IF(VLOOKUP(A2054,[14]PRIORIZADOS!$A:$D,4,FALSE)="","",VLOOKUP(A2054,[14]PRIORIZADOS!$A:$D,4,FALSE)),"")</f>
        <v>PRIVADO</v>
      </c>
      <c r="E2054" s="11" t="str">
        <f>IFERROR(IF(VLOOKUP(A2054,[14]PRIORIZADOS!$A:$E,5,FALSE)="","",VLOOKUP(A2054,[14]PRIORIZADOS!$A:$E,5,FALSE)),"")</f>
        <v>Educación de Jóvenes y Adultos</v>
      </c>
      <c r="F2054" s="11" t="str">
        <f>IFERROR(IF(VLOOKUP(A2054,[14]PRIORIZADOS!$A:$F,6,FALSE)="","",VLOOKUP(A2054,[14]PRIORIZADOS!$A:$F,6,FALSE)),"")</f>
        <v>NUEVO_INSTITUTO_SAN_MIGUEL</v>
      </c>
      <c r="G2054" s="11" t="str">
        <f>IFERROR(IF(VLOOKUP(A2054,[14]PRIORIZADOS!$A:$G,7,FALSE)="","",VLOOKUP(A2054,[14]PRIORIZADOS!$A:$G,7,FALSE)),"")</f>
        <v>NUEVO INSTITUTO SAN MIGUEL</v>
      </c>
      <c r="H2054" s="11" t="str">
        <f>IFERROR(IF(VLOOKUP(A2054,[14]PRIORIZADOS!$A:$H,8,FALSE)="","",VLOOKUP(A2054,[14]PRIORIZADOS!$A:$H,8,FALSE)),"")</f>
        <v>Autoevaluación Institucional y Pruebas SABER 11</v>
      </c>
      <c r="I2054" s="11" t="str">
        <f>IFERROR(IF(VLOOKUP(A2054,[14]PRIORIZADOS!$A:$I,9,FALSE)="","",VLOOKUP(A2054,[14]PRIORIZADOS!$A:$I,9,FALSE)),"")</f>
        <v>SEGUIMIENTO_Y_SUPERVISIÓN.</v>
      </c>
      <c r="J2054" s="11" t="str">
        <f>IFERROR(IF(VLOOKUP(A2054,[14]PRIORIZADOS!$A:$J,10,FALSE)="","",VLOOKUP(A2054,[14]PRIORIZADOS!$A:$J,10,FALSE)),"")</f>
        <v>Realizar visitas para verificar la información registrada sobre la autoevaluación institucional en el aplicativo EVI, a los establecimientos de educación formal no oficial.</v>
      </c>
      <c r="K2054" s="11" t="str">
        <f>IFERROR(IF(VLOOKUP(A2054,[14]PRIORIZADOS!$A:$K,11,FALSE)="","",VLOOKUP(A2054,[14]PRIORIZADOS!$A:$K,11,FALSE)),"")</f>
        <v>MARÍA LILIA MENDEZ DE BUITRAGO</v>
      </c>
      <c r="L2054" s="11" t="str">
        <f>IFERROR(IF(VLOOKUP(A2054,[14]PRIORIZADOS!$A:$L,12,FALSE)="","",VLOOKUP(A2054,[14]PRIORIZADOS!$A:$L,12,FALSE)),"")</f>
        <v>SONIA CONSTANZA URREGO GONZÁLEZ</v>
      </c>
      <c r="M2054" s="71">
        <f>IFERROR(IF(VLOOKUP(A2054,[14]PRIORIZADOS!$A:$M,13,FALSE)="","",VLOOKUP(A2054,[14]PRIORIZADOS!$A:$M,13,FALSE)),"")</f>
        <v>45735</v>
      </c>
      <c r="N2054" s="71">
        <f>IFERROR(IF(VLOOKUP(A2054,[14]PRIORIZADOS!$A:$N,14,FALSE)="","",VLOOKUP(A2054,[14]PRIORIZADOS!$A:$N,14,FALSE)),"")</f>
        <v>45777</v>
      </c>
      <c r="O2054" s="71">
        <f>IFERROR(IF(VLOOKUP(A2054,[14]PRIORIZADOS!$A:$O,15,FALSE)="","",VLOOKUP(A2054,[14]PRIORIZADOS!$A:$O,15,FALSE)),"")</f>
        <v>45777</v>
      </c>
      <c r="P2054" s="11" t="str">
        <f>IFERROR(IF(VLOOKUP(A2054,[14]PRIORIZADOS!$A:$P,16,FALSE)="","",VLOOKUP(A2054,[14]PRIORIZADOS!$A:$P,16,FALSE)),"")</f>
        <v>Visitas de evaluación con fines de seguimiento</v>
      </c>
      <c r="Q2054" s="7" t="s">
        <v>435</v>
      </c>
      <c r="R2054" s="11" t="str">
        <f>IFERROR(IF(VLOOKUP(A2054,[14]PRIORIZADOS!$A:$R,18,FALSE)="","",VLOOKUP(A2054,[14]PRIORIZADOS!$A:$R,18,FALSE)),"")</f>
        <v xml:space="preserve">Se evidenció que la instittución ha diligenciado el aplicativo EVI, sin embargo no en su totalidad,  fue sujeto de tarifas historicas .Al momento de la visita no presentan las planillas de pago de salud, pensión y parafiscales,no hay espacios para biblioteca, ni sala de sistemas </v>
      </c>
      <c r="S2054" s="11" t="str">
        <f>IFERROR(IF(VLOOKUP(A2054,[14]PRIORIZADOS!$A:$S,19,FALSE)="","",VLOOKUP(A2054,[14]PRIORIZADOS!$A:$S,19,FALSE)),"")</f>
        <v>Realizar la revisión de la normatividad relacionada con los espacios minimos  Aportar en el plan de mejoramiento las planillas de aportes de seguridad social en salud, pensión y parafiscales del personal docente.</v>
      </c>
      <c r="T2054" s="70" t="str">
        <f>IFERROR(IF(VLOOKUP(A2054,[14]PRIORIZADOS!$A:$T,20,FALSE)="","",VLOOKUP(A2054,[14]PRIORIZADOS!$A:$T,20,FALSE)),"")</f>
        <v>Si</v>
      </c>
      <c r="U2054" s="11" t="str">
        <f>IFERROR(IF(VLOOKUP(A2054,[14]PRIORIZADOS!$A:$U,21,FALSE)="","",VLOOKUP(A2054,[14]PRIORIZADOS!$A:$U,21,FALSE)),"")</f>
        <v>Verificar planillas  de pago y horas en el aplicativo EVI para la vigencia 2026 entregadas con la formulación del plan de mejoramiento.</v>
      </c>
    </row>
    <row r="2055" spans="1:21" s="1" customFormat="1" ht="72">
      <c r="A2055" s="69">
        <f>IF([14]PRIORIZADOS!A102="","",[14]PRIORIZADOS!A102)</f>
        <v>2023</v>
      </c>
      <c r="B2055" s="70">
        <f>IFERROR(IF(VLOOKUP(A2055,[14]PRIORIZADOS!$A:$B,2,FALSE)="","",VLOOKUP(A2055,[14]PRIORIZADOS!$A:$B,2,FALSE)),"")</f>
        <v>11</v>
      </c>
      <c r="C2055" s="11" t="s">
        <v>424</v>
      </c>
      <c r="D2055" s="11" t="str">
        <f>IFERROR(IF(VLOOKUP(A2055,[14]PRIORIZADOS!$A:$D,4,FALSE)="","",VLOOKUP(A2055,[14]PRIORIZADOS!$A:$D,4,FALSE)),"")</f>
        <v>PRIVADO</v>
      </c>
      <c r="E2055" s="11" t="str">
        <f>IFERROR(IF(VLOOKUP(A2055,[14]PRIORIZADOS!$A:$E,5,FALSE)="","",VLOOKUP(A2055,[14]PRIORIZADOS!$A:$E,5,FALSE)),"")</f>
        <v>Educación de Jóvenes y Adultos</v>
      </c>
      <c r="F2055" s="11" t="str">
        <f>IFERROR(IF(VLOOKUP(A2055,[14]PRIORIZADOS!$A:$F,6,FALSE)="","",VLOOKUP(A2055,[14]PRIORIZADOS!$A:$F,6,FALSE)),"")</f>
        <v>NUEVO_INSTITUTO_SAN_MIGUEL</v>
      </c>
      <c r="G2055" s="11" t="str">
        <f>IFERROR(IF(VLOOKUP(A2055,[14]PRIORIZADOS!$A:$G,7,FALSE)="","",VLOOKUP(A2055,[14]PRIORIZADOS!$A:$G,7,FALSE)),"")</f>
        <v>NUEVO INSTITUTO SAN MIGUEL</v>
      </c>
      <c r="H2055" s="11" t="str">
        <f>IFERROR(IF(VLOOKUP(A2055,[14]PRIORIZADOS!$A:$H,8,FALSE)="","",VLOOKUP(A2055,[14]PRIORIZADOS!$A:$H,8,FALSE)),"")</f>
        <v>Autoevaluación Institucional y Pruebas SABER 11</v>
      </c>
      <c r="I2055" s="11" t="str">
        <f>IFERROR(IF(VLOOKUP(A2055,[14]PRIORIZADOS!$A:$I,9,FALSE)="","",VLOOKUP(A2055,[14]PRIORIZADOS!$A:$I,9,FALSE)),"")</f>
        <v>SEGUIMIENTO_Y_SUPERVISIÓN.</v>
      </c>
      <c r="J2055" s="11" t="str">
        <f>IFERROR(IF(VLOOKUP(A2055,[14]PRIORIZADOS!$A:$J,10,FALSE)="","",VLOOKUP(A2055,[14]PRIORIZADOS!$A:$J,10,FALSE)),"")</f>
        <v>Proponer estrategias en la formulación, verificar su elaboración y realizar seguimiento semestral al desarrollo de  las acciones establecidas en los planes de mejoramiento por pruebas SABER 11 de los establecimientos de educación formal.</v>
      </c>
      <c r="K2055" s="11" t="str">
        <f>IFERROR(IF(VLOOKUP(A2055,[14]PRIORIZADOS!$A:$K,11,FALSE)="","",VLOOKUP(A2055,[14]PRIORIZADOS!$A:$K,11,FALSE)),"")</f>
        <v>MARÍA LILIA MENDEZ DE BUITRAGO</v>
      </c>
      <c r="L2055" s="11" t="str">
        <f>IFERROR(IF(VLOOKUP(A2055,[14]PRIORIZADOS!$A:$L,12,FALSE)="","",VLOOKUP(A2055,[14]PRIORIZADOS!$A:$L,12,FALSE)),"")</f>
        <v>SONIA CONSTANZA URREGO GONZÁLEZ</v>
      </c>
      <c r="M2055" s="71">
        <f>IFERROR(IF(VLOOKUP(A2055,[14]PRIORIZADOS!$A:$M,13,FALSE)="","",VLOOKUP(A2055,[14]PRIORIZADOS!$A:$M,13,FALSE)),"")</f>
        <v>45735</v>
      </c>
      <c r="N2055" s="71">
        <f>IFERROR(IF(VLOOKUP(A2055,[14]PRIORIZADOS!$A:$N,14,FALSE)="","",VLOOKUP(A2055,[14]PRIORIZADOS!$A:$N,14,FALSE)),"")</f>
        <v>45777</v>
      </c>
      <c r="O2055" s="71">
        <f>IFERROR(IF(VLOOKUP(A2055,[14]PRIORIZADOS!$A:$O,15,FALSE)="","",VLOOKUP(A2055,[14]PRIORIZADOS!$A:$O,15,FALSE)),"")</f>
        <v>45777</v>
      </c>
      <c r="P2055" s="11" t="str">
        <f>IFERROR(IF(VLOOKUP(A2055,[14]PRIORIZADOS!$A:$P,16,FALSE)="","",VLOOKUP(A2055,[14]PRIORIZADOS!$A:$P,16,FALSE)),"")</f>
        <v>Visitas de evaluación con fines de seguimiento</v>
      </c>
      <c r="Q2055" s="7" t="s">
        <v>435</v>
      </c>
      <c r="R2055" s="11" t="str">
        <f>IFERROR(IF(VLOOKUP(A2055,[14]PRIORIZADOS!$A:$R,18,FALSE)="","",VLOOKUP(A2055,[14]PRIORIZADOS!$A:$R,18,FALSE)),"")</f>
        <v>Se constató el bajo resultado en las  Pruebas saber, sin emabargo no hay un análisis de las pruebas.</v>
      </c>
      <c r="S2055" s="11" t="str">
        <f>IFERROR(IF(VLOOKUP(A2055,[14]PRIORIZADOS!$A:$S,19,FALSE)="","",VLOOKUP(A2055,[14]PRIORIZADOS!$A:$S,19,FALSE)),"")</f>
        <v xml:space="preserve">Revisar los resultados y la relación con las asignaturas del plan de estudio, analizando los resultados obtenidos  de los últimos años. Elaborar plan de mejoramiento sobre todos los indicadores y remitirlo antes del 16 de mayo </v>
      </c>
      <c r="T2055" s="70" t="str">
        <f>IFERROR(IF(VLOOKUP(A2055,[14]PRIORIZADOS!$A:$T,20,FALSE)="","",VLOOKUP(A2055,[14]PRIORIZADOS!$A:$T,20,FALSE)),"")</f>
        <v>Si</v>
      </c>
      <c r="U2055" s="11" t="str">
        <f>IFERROR(IF(VLOOKUP(A2055,[14]PRIORIZADOS!$A:$U,21,FALSE)="","",VLOOKUP(A2055,[14]PRIORIZADOS!$A:$U,21,FALSE)),"")</f>
        <v xml:space="preserve">Verificar el análisis los resultados y las acciones en las asignaturas que presentan puntajes más bajos reflejadas en el plan de mejoramiento. </v>
      </c>
    </row>
    <row r="2056" spans="1:21" s="1" customFormat="1" ht="72">
      <c r="A2056" s="69">
        <f>IF([14]PRIORIZADOS!A103="","",[14]PRIORIZADOS!A103)</f>
        <v>2024</v>
      </c>
      <c r="B2056" s="70">
        <f>IFERROR(IF(VLOOKUP(A2056,[14]PRIORIZADOS!$A:$B,2,FALSE)="","",VLOOKUP(A2056,[14]PRIORIZADOS!$A:$B,2,FALSE)),"")</f>
        <v>11</v>
      </c>
      <c r="C2056" s="11" t="s">
        <v>424</v>
      </c>
      <c r="D2056" s="11" t="str">
        <f>IFERROR(IF(VLOOKUP(A2056,[14]PRIORIZADOS!$A:$D,4,FALSE)="","",VLOOKUP(A2056,[14]PRIORIZADOS!$A:$D,4,FALSE)),"")</f>
        <v>PRIVADO</v>
      </c>
      <c r="E2056" s="11" t="str">
        <f>IFERROR(IF(VLOOKUP(A2056,[14]PRIORIZADOS!$A:$E,5,FALSE)="","",VLOOKUP(A2056,[14]PRIORIZADOS!$A:$E,5,FALSE)),"")</f>
        <v>Educación de Jóvenes y Adultos</v>
      </c>
      <c r="F2056" s="11" t="str">
        <f>IFERROR(IF(VLOOKUP(A2056,[14]PRIORIZADOS!$A:$F,6,FALSE)="","",VLOOKUP(A2056,[14]PRIORIZADOS!$A:$F,6,FALSE)),"")</f>
        <v>NUEVO_INSTITUTO_SAN_MIGUEL</v>
      </c>
      <c r="G2056" s="11" t="str">
        <f>IFERROR(IF(VLOOKUP(A2056,[14]PRIORIZADOS!$A:$G,7,FALSE)="","",VLOOKUP(A2056,[14]PRIORIZADOS!$A:$G,7,FALSE)),"")</f>
        <v>NUEVO INSTITUTO SAN MIGUEL</v>
      </c>
      <c r="H2056" s="11" t="str">
        <f>IFERROR(IF(VLOOKUP(A2056,[14]PRIORIZADOS!$A:$H,8,FALSE)="","",VLOOKUP(A2056,[14]PRIORIZADOS!$A:$H,8,FALSE)),"")</f>
        <v>Autoevaluación Institucional y Pruebas SABER 11</v>
      </c>
      <c r="I2056" s="11" t="str">
        <f>IFERROR(IF(VLOOKUP(A2056,[14]PRIORIZADOS!$A:$I,9,FALSE)="","",VLOOKUP(A2056,[14]PRIORIZADOS!$A:$I,9,FALSE)),"")</f>
        <v>SEGUIMIENTO_Y_SUPERVISIÓN.</v>
      </c>
      <c r="J2056" s="11" t="str">
        <f>IFERROR(IF(VLOOKUP(A2056,[14]PRIORIZADOS!$A:$J,10,FALSE)="","",VLOOKUP(A2056,[14]PRIORIZADOS!$A:$J,10,FALSE)),"")</f>
        <v xml:space="preserve">Verificar la implementación por parte de los colegios, de acciones realizadas para la prevención y atención de las situaciones de convivencia en el entorno escolar, según lo establecido en la Directiva 01 de 2022 del MEN. </v>
      </c>
      <c r="K2056" s="11" t="str">
        <f>IFERROR(IF(VLOOKUP(A2056,[14]PRIORIZADOS!$A:$K,11,FALSE)="","",VLOOKUP(A2056,[14]PRIORIZADOS!$A:$K,11,FALSE)),"")</f>
        <v>MARÍA LILIA MENDEZ DE BUITRAGO</v>
      </c>
      <c r="L2056" s="11" t="str">
        <f>IFERROR(IF(VLOOKUP(A2056,[14]PRIORIZADOS!$A:$L,12,FALSE)="","",VLOOKUP(A2056,[14]PRIORIZADOS!$A:$L,12,FALSE)),"")</f>
        <v>SONIA CONSTANZA URREGO GONZÁLEZ</v>
      </c>
      <c r="M2056" s="71">
        <f>IFERROR(IF(VLOOKUP(A2056,[14]PRIORIZADOS!$A:$M,13,FALSE)="","",VLOOKUP(A2056,[14]PRIORIZADOS!$A:$M,13,FALSE)),"")</f>
        <v>45735</v>
      </c>
      <c r="N2056" s="71">
        <f>IFERROR(IF(VLOOKUP(A2056,[14]PRIORIZADOS!$A:$N,14,FALSE)="","",VLOOKUP(A2056,[14]PRIORIZADOS!$A:$N,14,FALSE)),"")</f>
        <v>45777</v>
      </c>
      <c r="O2056" s="71">
        <f>IFERROR(IF(VLOOKUP(A2056,[14]PRIORIZADOS!$A:$O,15,FALSE)="","",VLOOKUP(A2056,[14]PRIORIZADOS!$A:$O,15,FALSE)),"")</f>
        <v>45777</v>
      </c>
      <c r="P2056" s="11" t="str">
        <f>IFERROR(IF(VLOOKUP(A2056,[14]PRIORIZADOS!$A:$P,16,FALSE)="","",VLOOKUP(A2056,[14]PRIORIZADOS!$A:$P,16,FALSE)),"")</f>
        <v>Visitas de evaluación con fines de seguimiento</v>
      </c>
      <c r="Q2056" s="7" t="s">
        <v>435</v>
      </c>
      <c r="R2056" s="11" t="str">
        <f>IFERROR(IF(VLOOKUP(A2056,[14]PRIORIZADOS!$A:$R,18,FALSE)="","",VLOOKUP(A2056,[14]PRIORIZADOS!$A:$R,18,FALSE)),"")</f>
        <v>Se verificaron las consulta en la página de la policia de los antecedentes de delitos sexuales en las hojas de vida de los docentes de conformidad a la directiva  001 del 2022 y no se encontró dicha consulta</v>
      </c>
      <c r="S2056" s="11" t="str">
        <f>IFERROR(IF(VLOOKUP(A2056,[14]PRIORIZADOS!$A:$S,19,FALSE)="","",VLOOKUP(A2056,[14]PRIORIZADOS!$A:$S,19,FALSE)),"")</f>
        <v>Realizar las consultas en la página de la Policía de todos los funcionarios de la institución y anexarla a la hoja de vida.  Elaborar plan de mejoramiento sobre todos los indicadores y remitirlo  antes del 16 e mayo</v>
      </c>
      <c r="T2056" s="70" t="str">
        <f>IFERROR(IF(VLOOKUP(A2056,[14]PRIORIZADOS!$A:$T,20,FALSE)="","",VLOOKUP(A2056,[14]PRIORIZADOS!$A:$T,20,FALSE)),"")</f>
        <v>Si</v>
      </c>
      <c r="U2056" s="11" t="str">
        <f>IFERROR(IF(VLOOKUP(A2056,[14]PRIORIZADOS!$A:$U,21,FALSE)="","",VLOOKUP(A2056,[14]PRIORIZADOS!$A:$U,21,FALSE)),"")</f>
        <v>Verificar las consultas de antecedentes de los empledos remitidas con el plan de mejoramiento</v>
      </c>
    </row>
    <row r="2057" spans="1:21" s="1" customFormat="1" ht="142.5">
      <c r="A2057" s="69">
        <f>IF([14]PRIORIZADOS!A104="","",[14]PRIORIZADOS!A104)</f>
        <v>2025</v>
      </c>
      <c r="B2057" s="70">
        <f>IFERROR(IF(VLOOKUP(A2057,[14]PRIORIZADOS!$A:$B,2,FALSE)="","",VLOOKUP(A2057,[14]PRIORIZADOS!$A:$B,2,FALSE)),"")</f>
        <v>11</v>
      </c>
      <c r="C2057" s="11" t="s">
        <v>424</v>
      </c>
      <c r="D2057" s="11" t="str">
        <f>IFERROR(IF(VLOOKUP(A2057,[14]PRIORIZADOS!$A:$D,4,FALSE)="","",VLOOKUP(A2057,[14]PRIORIZADOS!$A:$D,4,FALSE)),"")</f>
        <v>PRIVADO</v>
      </c>
      <c r="E2057" s="11" t="str">
        <f>IFERROR(IF(VLOOKUP(A2057,[14]PRIORIZADOS!$A:$E,5,FALSE)="","",VLOOKUP(A2057,[14]PRIORIZADOS!$A:$E,5,FALSE)),"")</f>
        <v>Educación de Jóvenes y Adultos</v>
      </c>
      <c r="F2057" s="11" t="str">
        <f>IFERROR(IF(VLOOKUP(A2057,[14]PRIORIZADOS!$A:$F,6,FALSE)="","",VLOOKUP(A2057,[14]PRIORIZADOS!$A:$F,6,FALSE)),"")</f>
        <v>NUEVO_INSTITUTO_SAN_MIGUEL</v>
      </c>
      <c r="G2057" s="11" t="str">
        <f>IFERROR(IF(VLOOKUP(A2057,[14]PRIORIZADOS!$A:$G,7,FALSE)="","",VLOOKUP(A2057,[14]PRIORIZADOS!$A:$G,7,FALSE)),"")</f>
        <v>NUEVO INSTITUTO SAN MIGUEL</v>
      </c>
      <c r="H2057" s="11" t="str">
        <f>IFERROR(IF(VLOOKUP(A2057,[14]PRIORIZADOS!$A:$H,8,FALSE)="","",VLOOKUP(A2057,[14]PRIORIZADOS!$A:$H,8,FALSE)),"")</f>
        <v>Autoevaluación Institucional y Pruebas SABER 11</v>
      </c>
      <c r="I2057" s="11" t="str">
        <f>IFERROR(IF(VLOOKUP(A2057,[14]PRIORIZADOS!$A:$I,9,FALSE)="","",VLOOKUP(A2057,[14]PRIORIZADOS!$A:$I,9,FALSE)),"")</f>
        <v>SEGUIMIENTO_Y_SUPERVISIÓN.</v>
      </c>
      <c r="J2057" s="11" t="str">
        <f>IFERROR(IF(VLOOKUP(A2057,[14]PRIORIZADOS!$A:$J,10,FALSE)="","",VLOOKUP(A2057,[14]PRIORIZADOS!$A:$J,10,FALSE)),"")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57" s="11" t="str">
        <f>IFERROR(IF(VLOOKUP(A2057,[14]PRIORIZADOS!$A:$K,11,FALSE)="","",VLOOKUP(A2057,[14]PRIORIZADOS!$A:$K,11,FALSE)),"")</f>
        <v>MARÍA LILIA MENDEZ DE BUITRAGO</v>
      </c>
      <c r="L2057" s="11" t="str">
        <f>IFERROR(IF(VLOOKUP(A2057,[14]PRIORIZADOS!$A:$L,12,FALSE)="","",VLOOKUP(A2057,[14]PRIORIZADOS!$A:$L,12,FALSE)),"")</f>
        <v>SONIA CONSTANZA URREGO GONZÁLEZ</v>
      </c>
      <c r="M2057" s="71">
        <f>IFERROR(IF(VLOOKUP(A2057,[14]PRIORIZADOS!$A:$M,13,FALSE)="","",VLOOKUP(A2057,[14]PRIORIZADOS!$A:$M,13,FALSE)),"")</f>
        <v>45735</v>
      </c>
      <c r="N2057" s="71">
        <f>IFERROR(IF(VLOOKUP(A2057,[14]PRIORIZADOS!$A:$N,14,FALSE)="","",VLOOKUP(A2057,[14]PRIORIZADOS!$A:$N,14,FALSE)),"")</f>
        <v>45777</v>
      </c>
      <c r="O2057" s="71">
        <f>IFERROR(IF(VLOOKUP(A2057,[14]PRIORIZADOS!$A:$O,15,FALSE)="","",VLOOKUP(A2057,[14]PRIORIZADOS!$A:$O,15,FALSE)),"")</f>
        <v>45777</v>
      </c>
      <c r="P2057" s="11" t="str">
        <f>IFERROR(IF(VLOOKUP(A2057,[14]PRIORIZADOS!$A:$P,16,FALSE)="","",VLOOKUP(A2057,[14]PRIORIZADOS!$A:$P,16,FALSE)),"")</f>
        <v>Visitas de evaluación con fines de seguimiento</v>
      </c>
      <c r="Q2057" s="7" t="s">
        <v>435</v>
      </c>
      <c r="R2057" s="11" t="str">
        <f>IFERROR(IF(VLOOKUP(A2057,[14]PRIORIZADOS!$A:$R,18,FALSE)="","",VLOOKUP(A2057,[14]PRIORIZADOS!$A:$R,18,FALSE)),"")</f>
        <v xml:space="preserve">Se realizó consulta en el SIMAT encontrándose  que no tiene caracterizado ningun estudiantes de inlusión, transtornos o talentos excepcionales, situación corroborada en la IE por lo tanto no han elaborado PIAR </v>
      </c>
      <c r="S2057" s="11" t="str">
        <f>IFERROR(IF(VLOOKUP(A2057,[14]PRIORIZADOS!$A:$S,19,FALSE)="","",VLOOKUP(A2057,[14]PRIORIZADOS!$A:$S,19,FALSE)),"")</f>
        <v xml:space="preserve">
Realizar la actualización del Manual de Convivencia para incorporar los enfoques diferenciales e inclusivos                        Se le indica que el Manual de convivencia debe contener lo establecido en el decreto en caso de que se presente vinculación de esta población.Realizar la revisión en el SIMAT, para actualizar el estado de los estudiantes. Elaborar plan de mejoramiento sobre todos los indicadores y remitirlo antes del 16 de mayo</v>
      </c>
      <c r="T2057" s="70" t="str">
        <f>IFERROR(IF(VLOOKUP(A2057,[14]PRIORIZADOS!$A:$T,20,FALSE)="","",VLOOKUP(A2057,[14]PRIORIZADOS!$A:$T,20,FALSE)),"")</f>
        <v>Si</v>
      </c>
      <c r="U2057" s="11" t="str">
        <f>IFERROR(IF(VLOOKUP(A2057,[14]PRIORIZADOS!$A:$U,21,FALSE)="","",VLOOKUP(A2057,[14]PRIORIZADOS!$A:$U,21,FALSE)),"")</f>
        <v>Verificar las modificaciones en manual de convivencia respecto a la poblacion con discapacidad.con fecha límite el 31 de julio.</v>
      </c>
    </row>
    <row r="2058" spans="1:21" s="1" customFormat="1" ht="84">
      <c r="A2058" s="69">
        <f>IF([14]PRIORIZADOS!A105="","",[14]PRIORIZADOS!A105)</f>
        <v>2026</v>
      </c>
      <c r="B2058" s="70">
        <f>IFERROR(IF(VLOOKUP(A2058,[14]PRIORIZADOS!$A:$B,2,FALSE)="","",VLOOKUP(A2058,[14]PRIORIZADOS!$A:$B,2,FALSE)),"")</f>
        <v>11</v>
      </c>
      <c r="C2058" s="11" t="s">
        <v>424</v>
      </c>
      <c r="D2058" s="11" t="str">
        <f>IFERROR(IF(VLOOKUP(A2058,[14]PRIORIZADOS!$A:$D,4,FALSE)="","",VLOOKUP(A2058,[14]PRIORIZADOS!$A:$D,4,FALSE)),"")</f>
        <v>PRIVADO</v>
      </c>
      <c r="E2058" s="11" t="str">
        <f>IFERROR(IF(VLOOKUP(A2058,[14]PRIORIZADOS!$A:$E,5,FALSE)="","",VLOOKUP(A2058,[14]PRIORIZADOS!$A:$E,5,FALSE)),"")</f>
        <v>Educación de Jóvenes y Adultos</v>
      </c>
      <c r="F2058" s="11" t="str">
        <f>IFERROR(IF(VLOOKUP(A2058,[14]PRIORIZADOS!$A:$F,6,FALSE)="","",VLOOKUP(A2058,[14]PRIORIZADOS!$A:$F,6,FALSE)),"")</f>
        <v>NUEVO_INSTITUTO_SAN_MIGUEL</v>
      </c>
      <c r="G2058" s="11" t="str">
        <f>IFERROR(IF(VLOOKUP(A2058,[14]PRIORIZADOS!$A:$G,7,FALSE)="","",VLOOKUP(A2058,[14]PRIORIZADOS!$A:$G,7,FALSE)),"")</f>
        <v>NUEVO INSTITUTO SAN MIGUEL</v>
      </c>
      <c r="H2058" s="11" t="str">
        <f>IFERROR(IF(VLOOKUP(A2058,[14]PRIORIZADOS!$A:$H,8,FALSE)="","",VLOOKUP(A2058,[14]PRIORIZADOS!$A:$H,8,FALSE)),"")</f>
        <v>Autoevaluación Institucional y Pruebas SABER 11</v>
      </c>
      <c r="I2058" s="11" t="str">
        <f>IFERROR(IF(VLOOKUP(A2058,[14]PRIORIZADOS!$A:$I,9,FALSE)="","",VLOOKUP(A2058,[14]PRIORIZADOS!$A:$I,9,FALSE)),"")</f>
        <v>EVALUACIÓN_CON_FINES_DE_MEJORAMIENTO.</v>
      </c>
      <c r="J2058" s="11" t="str">
        <f>IFERROR(IF(VLOOKUP(A2058,[14]PRIORIZADOS!$A:$J,10,FALSE)="","",VLOOKUP(A2058,[14]PRIORIZADOS!$A:$J,10,FALSE)),"")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58" s="11" t="str">
        <f>IFERROR(IF(VLOOKUP(A2058,[14]PRIORIZADOS!$A:$K,11,FALSE)="","",VLOOKUP(A2058,[14]PRIORIZADOS!$A:$K,11,FALSE)),"")</f>
        <v>MARÍA LILIA MENDEZ DE BUITRAGO</v>
      </c>
      <c r="L2058" s="11" t="str">
        <f>IFERROR(IF(VLOOKUP(A2058,[14]PRIORIZADOS!$A:$L,12,FALSE)="","",VLOOKUP(A2058,[14]PRIORIZADOS!$A:$L,12,FALSE)),"")</f>
        <v>SONIA CONSTANZA URREGO GONZÁLEZ</v>
      </c>
      <c r="M2058" s="71">
        <f>IFERROR(IF(VLOOKUP(A2058,[14]PRIORIZADOS!$A:$M,13,FALSE)="","",VLOOKUP(A2058,[14]PRIORIZADOS!$A:$M,13,FALSE)),"")</f>
        <v>45735</v>
      </c>
      <c r="N2058" s="71">
        <f>IFERROR(IF(VLOOKUP(A2058,[14]PRIORIZADOS!$A:$N,14,FALSE)="","",VLOOKUP(A2058,[14]PRIORIZADOS!$A:$N,14,FALSE)),"")</f>
        <v>45777</v>
      </c>
      <c r="O2058" s="71">
        <f>IFERROR(IF(VLOOKUP(A2058,[14]PRIORIZADOS!$A:$O,15,FALSE)="","",VLOOKUP(A2058,[14]PRIORIZADOS!$A:$O,15,FALSE)),"")</f>
        <v>45777</v>
      </c>
      <c r="P2058" s="11" t="str">
        <f>IFERROR(IF(VLOOKUP(A2058,[14]PRIORIZADOS!$A:$P,16,FALSE)="","",VLOOKUP(A2058,[14]PRIORIZADOS!$A:$P,16,FALSE)),"")</f>
        <v>Visitas de evaluación con fines de mejoramiento</v>
      </c>
      <c r="Q2058" s="7" t="s">
        <v>435</v>
      </c>
      <c r="R2058" s="11" t="str">
        <f>IFERROR(IF(VLOOKUP(A2058,[14]PRIORIZADOS!$A:$R,18,FALSE)="","",VLOOKUP(A2058,[14]PRIORIZADOS!$A:$R,18,FALSE)),"")</f>
        <v>Se encontro que al manual de convivencia se le estan realizando algunas modificaciones y no ha sido adoptado</v>
      </c>
      <c r="S2058" s="11" t="str">
        <f>IFERROR(IF(VLOOKUP(A2058,[14]PRIORIZADOS!$A:$S,19,FALSE)="","",VLOOKUP(A2058,[14]PRIORIZADOS!$A:$S,19,FALSE)),"")</f>
        <v>Realizar la actualización del manuel convivencia.            Elaborar plan de mejoramiento sobre todos los indicadores y remitirlo antes del 30 de abril</v>
      </c>
      <c r="T2058" s="70" t="str">
        <f>IFERROR(IF(VLOOKUP(A2058,[14]PRIORIZADOS!$A:$T,20,FALSE)="","",VLOOKUP(A2058,[14]PRIORIZADOS!$A:$T,20,FALSE)),"")</f>
        <v>Si</v>
      </c>
      <c r="U2058" s="11" t="str">
        <f>IFERROR(IF(VLOOKUP(A2058,[14]PRIORIZADOS!$A:$U,21,FALSE)="","",VLOOKUP(A2058,[14]PRIORIZADOS!$A:$U,21,FALSE)),"")</f>
        <v>Revisar la actualización del manual de convivencia ccon fecha límite el 31 de julio</v>
      </c>
    </row>
    <row r="2059" spans="1:21" s="1" customFormat="1" ht="48">
      <c r="A2059" s="69">
        <f>IF([14]PRIORIZADOS!A106="","",[14]PRIORIZADOS!A106)</f>
        <v>2027</v>
      </c>
      <c r="B2059" s="70">
        <f>IFERROR(IF(VLOOKUP(A2059,[14]PRIORIZADOS!$A:$B,2,FALSE)="","",VLOOKUP(A2059,[14]PRIORIZADOS!$A:$B,2,FALSE)),"")</f>
        <v>11</v>
      </c>
      <c r="C2059" s="11" t="s">
        <v>424</v>
      </c>
      <c r="D2059" s="11" t="str">
        <f>IFERROR(IF(VLOOKUP(A2059,[14]PRIORIZADOS!$A:$D,4,FALSE)="","",VLOOKUP(A2059,[14]PRIORIZADOS!$A:$D,4,FALSE)),"")</f>
        <v>PRIVADO</v>
      </c>
      <c r="E2059" s="11" t="str">
        <f>IFERROR(IF(VLOOKUP(A2059,[14]PRIORIZADOS!$A:$E,5,FALSE)="","",VLOOKUP(A2059,[14]PRIORIZADOS!$A:$E,5,FALSE)),"")</f>
        <v>Educación de Jóvenes y Adultos</v>
      </c>
      <c r="F2059" s="11" t="str">
        <f>IFERROR(IF(VLOOKUP(A2059,[14]PRIORIZADOS!$A:$F,6,FALSE)="","",VLOOKUP(A2059,[14]PRIORIZADOS!$A:$F,6,FALSE)),"")</f>
        <v>NUEVO_INSTITUTO_SAN_MIGUEL</v>
      </c>
      <c r="G2059" s="11" t="str">
        <f>IFERROR(IF(VLOOKUP(A2059,[14]PRIORIZADOS!$A:$G,7,FALSE)="","",VLOOKUP(A2059,[14]PRIORIZADOS!$A:$G,7,FALSE)),"")</f>
        <v>NUEVO INSTITUTO SAN MIGUEL</v>
      </c>
      <c r="H2059" s="11" t="str">
        <f>IFERROR(IF(VLOOKUP(A2059,[14]PRIORIZADOS!$A:$H,8,FALSE)="","",VLOOKUP(A2059,[14]PRIORIZADOS!$A:$H,8,FALSE)),"")</f>
        <v>Autoevaluación Institucional y Pruebas SABER 11</v>
      </c>
      <c r="I2059" s="11" t="str">
        <f>IFERROR(IF(VLOOKUP(A2059,[14]PRIORIZADOS!$A:$I,9,FALSE)="","",VLOOKUP(A2059,[14]PRIORIZADOS!$A:$I,9,FALSE)),"")</f>
        <v>EVALUACIÓN_CON_FINES_DE_MEJORAMIENTO.</v>
      </c>
      <c r="J2059" s="11" t="str">
        <f>IFERROR(IF(VLOOKUP(A2059,[14]PRIORIZADOS!$A:$J,10,FALSE)="","",VLOOKUP(A2059,[14]PRIORIZADOS!$A:$J,10,FALSE)),"")</f>
        <v>Revisar la actualización, socialización e implementación del Sistema Institucional de Evaluación de Estudiantes - SIEE, en articulación con la actualización del PEI y la normatividad vigente.</v>
      </c>
      <c r="K2059" s="11" t="str">
        <f>IFERROR(IF(VLOOKUP(A2059,[14]PRIORIZADOS!$A:$K,11,FALSE)="","",VLOOKUP(A2059,[14]PRIORIZADOS!$A:$K,11,FALSE)),"")</f>
        <v>MARÍA LILIA MENDEZ DE BUITRAGO</v>
      </c>
      <c r="L2059" s="11" t="str">
        <f>IFERROR(IF(VLOOKUP(A2059,[14]PRIORIZADOS!$A:$L,12,FALSE)="","",VLOOKUP(A2059,[14]PRIORIZADOS!$A:$L,12,FALSE)),"")</f>
        <v>SONIA CONSTANZA URREGO GONZÁLEZ</v>
      </c>
      <c r="M2059" s="71">
        <f>IFERROR(IF(VLOOKUP(A2059,[14]PRIORIZADOS!$A:$M,13,FALSE)="","",VLOOKUP(A2059,[14]PRIORIZADOS!$A:$M,13,FALSE)),"")</f>
        <v>45735</v>
      </c>
      <c r="N2059" s="71">
        <f>IFERROR(IF(VLOOKUP(A2059,[14]PRIORIZADOS!$A:$N,14,FALSE)="","",VLOOKUP(A2059,[14]PRIORIZADOS!$A:$N,14,FALSE)),"")</f>
        <v>45777</v>
      </c>
      <c r="O2059" s="71">
        <f>IFERROR(IF(VLOOKUP(A2059,[14]PRIORIZADOS!$A:$O,15,FALSE)="","",VLOOKUP(A2059,[14]PRIORIZADOS!$A:$O,15,FALSE)),"")</f>
        <v>45777</v>
      </c>
      <c r="P2059" s="11" t="str">
        <f>IFERROR(IF(VLOOKUP(A2059,[14]PRIORIZADOS!$A:$P,16,FALSE)="","",VLOOKUP(A2059,[14]PRIORIZADOS!$A:$P,16,FALSE)),"")</f>
        <v>Visitas de evaluación con fines de mejoramiento</v>
      </c>
      <c r="Q2059" s="7" t="s">
        <v>435</v>
      </c>
      <c r="R2059" s="11" t="str">
        <f>IFERROR(IF(VLOOKUP(A2059,[14]PRIORIZADOS!$A:$R,18,FALSE)="","",VLOOKUP(A2059,[14]PRIORIZADOS!$A:$R,18,FALSE)),"")</f>
        <v>Se realizó retroalimentación sobre  el SIEE, no lo desarrollan por CLEI, sino por áreas.</v>
      </c>
      <c r="S2059" s="11" t="str">
        <f>IFERROR(IF(VLOOKUP(A2059,[14]PRIORIZADOS!$A:$S,19,FALSE)="","",VLOOKUP(A2059,[14]PRIORIZADOS!$A:$S,19,FALSE)),"")</f>
        <v>Realizar los ajustes de conformidad con las observaciones al SIIE realizada sen la visita</v>
      </c>
      <c r="T2059" s="70" t="str">
        <f>IFERROR(IF(VLOOKUP(A2059,[14]PRIORIZADOS!$A:$T,20,FALSE)="","",VLOOKUP(A2059,[14]PRIORIZADOS!$A:$T,20,FALSE)),"")</f>
        <v>Si</v>
      </c>
      <c r="U2059" s="11" t="str">
        <f>IFERROR(IF(VLOOKUP(A2059,[14]PRIORIZADOS!$A:$U,21,FALSE)="","",VLOOKUP(A2059,[14]PRIORIZADOS!$A:$U,21,FALSE)),"")</f>
        <v>Revisar la actualización del manual de convivencia en lo relacionado con el  SIIE con fecha límite el 31 de julio</v>
      </c>
    </row>
    <row r="2060" spans="1:21" s="1" customFormat="1" ht="60">
      <c r="A2060" s="69">
        <f>IF([14]PRIORIZADOS!A107="","",[14]PRIORIZADOS!A107)</f>
        <v>2028</v>
      </c>
      <c r="B2060" s="70">
        <f>IFERROR(IF(VLOOKUP(A2060,[14]PRIORIZADOS!$A:$B,2,FALSE)="","",VLOOKUP(A2060,[14]PRIORIZADOS!$A:$B,2,FALSE)),"")</f>
        <v>11</v>
      </c>
      <c r="C2060" s="11" t="s">
        <v>424</v>
      </c>
      <c r="D2060" s="11" t="str">
        <f>IFERROR(IF(VLOOKUP(A2060,[14]PRIORIZADOS!$A:$D,4,FALSE)="","",VLOOKUP(A2060,[14]PRIORIZADOS!$A:$D,4,FALSE)),"")</f>
        <v>PRIVADO</v>
      </c>
      <c r="E2060" s="11" t="str">
        <f>IFERROR(IF(VLOOKUP(A2060,[14]PRIORIZADOS!$A:$E,5,FALSE)="","",VLOOKUP(A2060,[14]PRIORIZADOS!$A:$E,5,FALSE)),"")</f>
        <v>Educación de Jóvenes y Adultos</v>
      </c>
      <c r="F2060" s="11" t="str">
        <f>IFERROR(IF(VLOOKUP(A2060,[14]PRIORIZADOS!$A:$F,6,FALSE)="","",VLOOKUP(A2060,[14]PRIORIZADOS!$A:$F,6,FALSE)),"")</f>
        <v>NUEVO_INSTITUTO_SAN_MIGUEL</v>
      </c>
      <c r="G2060" s="11" t="str">
        <f>IFERROR(IF(VLOOKUP(A2060,[14]PRIORIZADOS!$A:$G,7,FALSE)="","",VLOOKUP(A2060,[14]PRIORIZADOS!$A:$G,7,FALSE)),"")</f>
        <v>NUEVO INSTITUTO SAN MIGUEL</v>
      </c>
      <c r="H2060" s="11" t="str">
        <f>IFERROR(IF(VLOOKUP(A2060,[14]PRIORIZADOS!$A:$H,8,FALSE)="","",VLOOKUP(A2060,[14]PRIORIZADOS!$A:$H,8,FALSE)),"")</f>
        <v>Autoevaluación Institucional y Pruebas SABER 11</v>
      </c>
      <c r="I2060" s="11" t="str">
        <f>IFERROR(IF(VLOOKUP(A2060,[14]PRIORIZADOS!$A:$I,9,FALSE)="","",VLOOKUP(A2060,[14]PRIORIZADOS!$A:$I,9,FALSE)),"")</f>
        <v>EVALUACIÓN_CON_FINES_DE_MEJORAMIENTO.</v>
      </c>
      <c r="J2060" s="11" t="str">
        <f>IFERROR(IF(VLOOKUP(A2060,[14]PRIORIZADOS!$A:$J,10,FALSE)="","",VLOOKUP(A2060,[14]PRIORIZADOS!$A:$J,10,FALSE)),"")</f>
        <v>Revisar el calendario escolar, jornada escolar, la intensidad horaria mínima anual en cada nivel y las modificaciones que se realicen al mismo, de acuerdo con lo previsto en la normatividad vigente.</v>
      </c>
      <c r="K2060" s="11" t="str">
        <f>IFERROR(IF(VLOOKUP(A2060,[14]PRIORIZADOS!$A:$K,11,FALSE)="","",VLOOKUP(A2060,[14]PRIORIZADOS!$A:$K,11,FALSE)),"")</f>
        <v>MARÍA LILIA MENDEZ DE BUITRAGO</v>
      </c>
      <c r="L2060" s="11" t="str">
        <f>IFERROR(IF(VLOOKUP(A2060,[14]PRIORIZADOS!$A:$L,12,FALSE)="","",VLOOKUP(A2060,[14]PRIORIZADOS!$A:$L,12,FALSE)),"")</f>
        <v>SONIA CONSTANZA URREGO GONZÁLEZ</v>
      </c>
      <c r="M2060" s="71">
        <f>IFERROR(IF(VLOOKUP(A2060,[14]PRIORIZADOS!$A:$M,13,FALSE)="","",VLOOKUP(A2060,[14]PRIORIZADOS!$A:$M,13,FALSE)),"")</f>
        <v>45735</v>
      </c>
      <c r="N2060" s="71">
        <f>IFERROR(IF(VLOOKUP(A2060,[14]PRIORIZADOS!$A:$N,14,FALSE)="","",VLOOKUP(A2060,[14]PRIORIZADOS!$A:$N,14,FALSE)),"")</f>
        <v>45777</v>
      </c>
      <c r="O2060" s="71">
        <f>IFERROR(IF(VLOOKUP(A2060,[14]PRIORIZADOS!$A:$O,15,FALSE)="","",VLOOKUP(A2060,[14]PRIORIZADOS!$A:$O,15,FALSE)),"")</f>
        <v>45777</v>
      </c>
      <c r="P2060" s="11" t="str">
        <f>IFERROR(IF(VLOOKUP(A2060,[14]PRIORIZADOS!$A:$P,16,FALSE)="","",VLOOKUP(A2060,[14]PRIORIZADOS!$A:$P,16,FALSE)),"")</f>
        <v>Visitas de evaluación con fines de mejoramiento</v>
      </c>
      <c r="Q2060" s="7" t="s">
        <v>435</v>
      </c>
      <c r="R2060" s="11" t="str">
        <f>IFERROR(IF(VLOOKUP(A2060,[14]PRIORIZADOS!$A:$R,18,FALSE)="","",VLOOKUP(A2060,[14]PRIORIZADOS!$A:$R,18,FALSE)),"")</f>
        <v>La intensidad horaria y las horas mínimas anuales de cada ciclo se ajustan para los ciclos de básica, sin ambargo se deben revisar las horas mínimas para los ciclos de media</v>
      </c>
      <c r="S2060" s="11" t="str">
        <f>IFERROR(IF(VLOOKUP(A2060,[14]PRIORIZADOS!$A:$S,19,FALSE)="","",VLOOKUP(A2060,[14]PRIORIZADOS!$A:$S,19,FALSE)),"")</f>
        <v>Realizar ajuste al calendario académico y socializarlo con los estudianes, presentarlo para revisión antes del 16 de mayo</v>
      </c>
      <c r="T2060" s="70" t="str">
        <f>IFERROR(IF(VLOOKUP(A2060,[14]PRIORIZADOS!$A:$T,20,FALSE)="","",VLOOKUP(A2060,[14]PRIORIZADOS!$A:$T,20,FALSE)),"")</f>
        <v>Si</v>
      </c>
      <c r="U2060" s="11" t="str">
        <f>IFERROR(IF(VLOOKUP(A2060,[14]PRIORIZADOS!$A:$U,21,FALSE)="","",VLOOKUP(A2060,[14]PRIORIZADOS!$A:$U,21,FALSE)),"")</f>
        <v xml:space="preserve">Verificar el calendario escolar entregado y la socialización con los estudiantes con fecha límite el 31 de julio. </v>
      </c>
    </row>
    <row r="2061" spans="1:21" s="1" customFormat="1" ht="60">
      <c r="A2061" s="69">
        <f>IF([14]PRIORIZADOS!A108="","",[14]PRIORIZADOS!A108)</f>
        <v>2029</v>
      </c>
      <c r="B2061" s="70">
        <f>IFERROR(IF(VLOOKUP(A2061,[14]PRIORIZADOS!$A:$B,2,FALSE)="","",VLOOKUP(A2061,[14]PRIORIZADOS!$A:$B,2,FALSE)),"")</f>
        <v>11</v>
      </c>
      <c r="C2061" s="11" t="s">
        <v>424</v>
      </c>
      <c r="D2061" s="11" t="str">
        <f>IFERROR(IF(VLOOKUP(A2061,[14]PRIORIZADOS!$A:$D,4,FALSE)="","",VLOOKUP(A2061,[14]PRIORIZADOS!$A:$D,4,FALSE)),"")</f>
        <v>PRIVADO</v>
      </c>
      <c r="E2061" s="11" t="str">
        <f>IFERROR(IF(VLOOKUP(A2061,[14]PRIORIZADOS!$A:$E,5,FALSE)="","",VLOOKUP(A2061,[14]PRIORIZADOS!$A:$E,5,FALSE)),"")</f>
        <v>Educación de Jóvenes y Adultos</v>
      </c>
      <c r="F2061" s="11" t="str">
        <f>IFERROR(IF(VLOOKUP(A2061,[14]PRIORIZADOS!$A:$F,6,FALSE)="","",VLOOKUP(A2061,[14]PRIORIZADOS!$A:$F,6,FALSE)),"")</f>
        <v>NUEVO_INSTITUTO_SAN_MIGUEL</v>
      </c>
      <c r="G2061" s="11" t="str">
        <f>IFERROR(IF(VLOOKUP(A2061,[14]PRIORIZADOS!$A:$G,7,FALSE)="","",VLOOKUP(A2061,[14]PRIORIZADOS!$A:$G,7,FALSE)),"")</f>
        <v>NUEVO INSTITUTO SAN MIGUEL</v>
      </c>
      <c r="H2061" s="11" t="str">
        <f>IFERROR(IF(VLOOKUP(A2061,[14]PRIORIZADOS!$A:$H,8,FALSE)="","",VLOOKUP(A2061,[14]PRIORIZADOS!$A:$H,8,FALSE)),"")</f>
        <v>Autoevaluación Institucional y Pruebas SABER 11</v>
      </c>
      <c r="I2061" s="11" t="str">
        <f>IFERROR(IF(VLOOKUP(A2061,[14]PRIORIZADOS!$A:$I,9,FALSE)="","",VLOOKUP(A2061,[14]PRIORIZADOS!$A:$I,9,FALSE)),"")</f>
        <v>EVALUACIÓN_CON_FINES_DE_MEJORAMIENTO.</v>
      </c>
      <c r="J2061" s="11" t="str">
        <f>IFERROR(IF(VLOOKUP(A2061,[14]PRIORIZADOS!$A:$J,10,FALSE)="","",VLOOKUP(A2061,[14]PRIORIZADOS!$A:$J,10,FALSE)),"")</f>
        <v>Verificar el funcionamiento del Gobierno Escolar e instancias de participación con base en la información sobre conformación reportada por la institución educativa.</v>
      </c>
      <c r="K2061" s="11" t="str">
        <f>IFERROR(IF(VLOOKUP(A2061,[14]PRIORIZADOS!$A:$K,11,FALSE)="","",VLOOKUP(A2061,[14]PRIORIZADOS!$A:$K,11,FALSE)),"")</f>
        <v>MARÍA LILIA MENDEZ DE BUITRAGO</v>
      </c>
      <c r="L2061" s="11" t="str">
        <f>IFERROR(IF(VLOOKUP(A2061,[14]PRIORIZADOS!$A:$L,12,FALSE)="","",VLOOKUP(A2061,[14]PRIORIZADOS!$A:$L,12,FALSE)),"")</f>
        <v>SONIA CONSTANZA URREGO GONZÁLEZ</v>
      </c>
      <c r="M2061" s="71">
        <f>IFERROR(IF(VLOOKUP(A2061,[14]PRIORIZADOS!$A:$M,13,FALSE)="","",VLOOKUP(A2061,[14]PRIORIZADOS!$A:$M,13,FALSE)),"")</f>
        <v>45735</v>
      </c>
      <c r="N2061" s="71">
        <f>IFERROR(IF(VLOOKUP(A2061,[14]PRIORIZADOS!$A:$N,14,FALSE)="","",VLOOKUP(A2061,[14]PRIORIZADOS!$A:$N,14,FALSE)),"")</f>
        <v>45777</v>
      </c>
      <c r="O2061" s="71">
        <f>IFERROR(IF(VLOOKUP(A2061,[14]PRIORIZADOS!$A:$O,15,FALSE)="","",VLOOKUP(A2061,[14]PRIORIZADOS!$A:$O,15,FALSE)),"")</f>
        <v>45777</v>
      </c>
      <c r="P2061" s="11" t="str">
        <f>IFERROR(IF(VLOOKUP(A2061,[14]PRIORIZADOS!$A:$P,16,FALSE)="","",VLOOKUP(A2061,[14]PRIORIZADOS!$A:$P,16,FALSE)),"")</f>
        <v>Visitas de evaluación con fines de mejoramiento</v>
      </c>
      <c r="Q2061" s="7" t="s">
        <v>435</v>
      </c>
      <c r="R2061" s="11" t="str">
        <f>IFERROR(IF(VLOOKUP(A2061,[14]PRIORIZADOS!$A:$R,18,FALSE)="","",VLOOKUP(A2061,[14]PRIORIZADOS!$A:$R,18,FALSE)),"")</f>
        <v>Se evidenciaron las actas de conformación de gobierno escolar, las cuales deberán cargarse en el SAE. Sobre el funcionamiento no hay evidencia de que hayan sesionado.</v>
      </c>
      <c r="S2061" s="11" t="str">
        <f>IFERROR(IF(VLOOKUP(A2061,[14]PRIORIZADOS!$A:$S,19,FALSE)="","",VLOOKUP(A2061,[14]PRIORIZADOS!$A:$S,19,FALSE)),"")</f>
        <v>Cargar las actas de conformación en el aplicativo SAE Sesionar con cada órgano de gobierno de conformidad con la periodicidad establecida en la norma</v>
      </c>
      <c r="T2061" s="70" t="str">
        <f>IFERROR(IF(VLOOKUP(A2061,[14]PRIORIZADOS!$A:$T,20,FALSE)="","",VLOOKUP(A2061,[14]PRIORIZADOS!$A:$T,20,FALSE)),"")</f>
        <v>Si</v>
      </c>
      <c r="U2061" s="11" t="str">
        <f>IFERROR(IF(VLOOKUP(A2061,[14]PRIORIZADOS!$A:$U,21,FALSE)="","",VLOOKUP(A2061,[14]PRIORIZADOS!$A:$U,21,FALSE)),"")</f>
        <v>Verificar el SAE  y verificar las actas que evidenciens el funcionamiento de  los organos de gobierno para el segundo semestre .</v>
      </c>
    </row>
    <row r="2062" spans="1:21" s="1" customFormat="1" ht="84">
      <c r="A2062" s="69">
        <f>IF([14]PRIORIZADOS!A109="","",[14]PRIORIZADOS!A109)</f>
        <v>2030</v>
      </c>
      <c r="B2062" s="70">
        <f>IFERROR(IF(VLOOKUP(A2062,[14]PRIORIZADOS!$A:$B,2,FALSE)="","",VLOOKUP(A2062,[14]PRIORIZADOS!$A:$B,2,FALSE)),"")</f>
        <v>11</v>
      </c>
      <c r="C2062" s="11" t="s">
        <v>424</v>
      </c>
      <c r="D2062" s="11" t="str">
        <f>IFERROR(IF(VLOOKUP(A2062,[14]PRIORIZADOS!$A:$D,4,FALSE)="","",VLOOKUP(A2062,[14]PRIORIZADOS!$A:$D,4,FALSE)),"")</f>
        <v>PRIVADO</v>
      </c>
      <c r="E2062" s="11" t="str">
        <f>IFERROR(IF(VLOOKUP(A2062,[14]PRIORIZADOS!$A:$E,5,FALSE)="","",VLOOKUP(A2062,[14]PRIORIZADOS!$A:$E,5,FALSE)),"")</f>
        <v>Educación de Jóvenes y Adultos</v>
      </c>
      <c r="F2062" s="11" t="str">
        <f>IFERROR(IF(VLOOKUP(A2062,[14]PRIORIZADOS!$A:$F,6,FALSE)="","",VLOOKUP(A2062,[14]PRIORIZADOS!$A:$F,6,FALSE)),"")</f>
        <v>NUEVO_INSTITUTO_SAN_MIGUEL</v>
      </c>
      <c r="G2062" s="11" t="str">
        <f>IFERROR(IF(VLOOKUP(A2062,[14]PRIORIZADOS!$A:$G,7,FALSE)="","",VLOOKUP(A2062,[14]PRIORIZADOS!$A:$G,7,FALSE)),"")</f>
        <v>NUEVO INSTITUTO SAN MIGUEL</v>
      </c>
      <c r="H2062" s="11" t="str">
        <f>IFERROR(IF(VLOOKUP(A2062,[14]PRIORIZADOS!$A:$H,8,FALSE)="","",VLOOKUP(A2062,[14]PRIORIZADOS!$A:$H,8,FALSE)),"")</f>
        <v>Autoevaluación Institucional y Pruebas SABER 11</v>
      </c>
      <c r="I2062" s="11" t="str">
        <f>IFERROR(IF(VLOOKUP(A2062,[14]PRIORIZADOS!$A:$I,9,FALSE)="","",VLOOKUP(A2062,[14]PRIORIZADOS!$A:$I,9,FALSE)),"")</f>
        <v>EVALUACIÓN_CON_FINES_DE_MEJORAMIENTO.</v>
      </c>
      <c r="J2062" s="11" t="str">
        <f>IFERROR(IF(VLOOKUP(A2062,[14]PRIORIZADOS!$A:$J,10,FALSE)="","",VLOOKUP(A2062,[14]PRIORIZADOS!$A:$J,10,FALSE)),"")</f>
        <v>Verificar las condiciones en cuanto a: la estructura administrativa, condiciones de la planta física y medios educativos adecuados.</v>
      </c>
      <c r="K2062" s="11" t="str">
        <f>IFERROR(IF(VLOOKUP(A2062,[14]PRIORIZADOS!$A:$K,11,FALSE)="","",VLOOKUP(A2062,[14]PRIORIZADOS!$A:$K,11,FALSE)),"")</f>
        <v>MARÍA LILIA MENDEZ DE BUITRAGO</v>
      </c>
      <c r="L2062" s="11" t="str">
        <f>IFERROR(IF(VLOOKUP(A2062,[14]PRIORIZADOS!$A:$L,12,FALSE)="","",VLOOKUP(A2062,[14]PRIORIZADOS!$A:$L,12,FALSE)),"")</f>
        <v>SONIA CONSTANZA URREGO GONZÁLEZ</v>
      </c>
      <c r="M2062" s="71">
        <f>IFERROR(IF(VLOOKUP(A2062,[14]PRIORIZADOS!$A:$M,13,FALSE)="","",VLOOKUP(A2062,[14]PRIORIZADOS!$A:$M,13,FALSE)),"")</f>
        <v>45735</v>
      </c>
      <c r="N2062" s="71">
        <f>IFERROR(IF(VLOOKUP(A2062,[14]PRIORIZADOS!$A:$N,14,FALSE)="","",VLOOKUP(A2062,[14]PRIORIZADOS!$A:$N,14,FALSE)),"")</f>
        <v>45777</v>
      </c>
      <c r="O2062" s="71">
        <f>IFERROR(IF(VLOOKUP(A2062,[14]PRIORIZADOS!$A:$O,15,FALSE)="","",VLOOKUP(A2062,[14]PRIORIZADOS!$A:$O,15,FALSE)),"")</f>
        <v>45777</v>
      </c>
      <c r="P2062" s="11" t="str">
        <f>IFERROR(IF(VLOOKUP(A2062,[14]PRIORIZADOS!$A:$P,16,FALSE)="","",VLOOKUP(A2062,[14]PRIORIZADOS!$A:$P,16,FALSE)),"")</f>
        <v>Visitas de evaluación con fines de mejoramiento</v>
      </c>
      <c r="Q2062" s="8" t="s">
        <v>435</v>
      </c>
      <c r="R2062" s="11" t="str">
        <f>IFERROR(IF(VLOOKUP(A2062,[14]PRIORIZADOS!$A:$R,18,FALSE)="","",VLOOKUP(A2062,[14]PRIORIZADOS!$A:$R,18,FALSE)),"")</f>
        <v>Existen espacios para cada ambiente sin embargo se evidencian falta de organización y espacios idoneos</v>
      </c>
      <c r="S2062" s="11" t="str">
        <f>IFERROR(IF(VLOOKUP(A2062,[14]PRIORIZADOS!$A:$S,19,FALSE)="","",VLOOKUP(A2062,[14]PRIORIZADOS!$A:$S,19,FALSE)),"")</f>
        <v>Realizar restructuración y reorganización de espacios para laboratorios, sala de informática, orientación escolar y biblioteca ya que adolece de ellos, según las orientaciones realizadas e incoporar como actividad a realizar en el plan de mejoramiento .</v>
      </c>
      <c r="T2062" s="70" t="str">
        <f>IFERROR(IF(VLOOKUP(A2062,[14]PRIORIZADOS!$A:$T,20,FALSE)="","",VLOOKUP(A2062,[14]PRIORIZADOS!$A:$T,20,FALSE)),"")</f>
        <v>Si</v>
      </c>
      <c r="U2062" s="11" t="str">
        <f>IFERROR(IF(VLOOKUP(A2062,[14]PRIORIZADOS!$A:$U,21,FALSE)="","",VLOOKUP(A2062,[14]PRIORIZADOS!$A:$U,21,FALSE)),"")</f>
        <v>Revisar informe con registro fotograficos de la adecuación de s espacios una vez la IE entregue el plan mejoramiento y las evidencias de esta acción.</v>
      </c>
    </row>
    <row r="2063" spans="1:21" s="1" customFormat="1" ht="72">
      <c r="A2063" s="69">
        <f>IF([14]PRIORIZADOS!A110="","",[14]PRIORIZADOS!A110)</f>
        <v>2031</v>
      </c>
      <c r="B2063" s="70">
        <f>IFERROR(IF(VLOOKUP(A2063,[14]PRIORIZADOS!$A:$B,2,FALSE)="","",VLOOKUP(A2063,[14]PRIORIZADOS!$A:$B,2,FALSE)),"")</f>
        <v>12</v>
      </c>
      <c r="C2063" s="11" t="s">
        <v>424</v>
      </c>
      <c r="D2063" s="11" t="str">
        <f>IFERROR(IF(VLOOKUP(A2063,[14]PRIORIZADOS!$A:$D,4,FALSE)="","",VLOOKUP(A2063,[14]PRIORIZADOS!$A:$D,4,FALSE)),"")</f>
        <v>PRIVADO</v>
      </c>
      <c r="E2063" s="11" t="str">
        <f>IFERROR(IF(VLOOKUP(A2063,[14]PRIORIZADOS!$A:$E,5,FALSE)="","",VLOOKUP(A2063,[14]PRIORIZADOS!$A:$E,5,FALSE)),"")</f>
        <v>Educación de Jóvenes y Adultos</v>
      </c>
      <c r="F2063" s="11" t="str">
        <f>IFERROR(IF(VLOOKUP(A2063,[14]PRIORIZADOS!$A:$F,6,FALSE)="","",VLOOKUP(A2063,[14]PRIORIZADOS!$A:$F,6,FALSE)),"")</f>
        <v>INSTITUTO_INTEGRADO_DE_SUBA_</v>
      </c>
      <c r="G2063" s="11" t="str">
        <f>IFERROR(IF(VLOOKUP(A2063,[14]PRIORIZADOS!$A:$G,7,FALSE)="","",VLOOKUP(A2063,[14]PRIORIZADOS!$A:$G,7,FALSE)),"")</f>
        <v>INSTITUTO INTEGRADO DE SUBA</v>
      </c>
      <c r="H2063" s="11" t="str">
        <f>IFERROR(IF(VLOOKUP(A2063,[14]PRIORIZADOS!$A:$H,8,FALSE)="","",VLOOKUP(A2063,[14]PRIORIZADOS!$A:$H,8,FALSE)),"")</f>
        <v>Autoevaluación Institucional y Pruebas SABER 11</v>
      </c>
      <c r="I2063" s="11" t="str">
        <f>IFERROR(IF(VLOOKUP(A2063,[14]PRIORIZADOS!$A:$I,9,FALSE)="","",VLOOKUP(A2063,[14]PRIORIZADOS!$A:$I,9,FALSE)),"")</f>
        <v>SEGUIMIENTO_Y_SUPERVISIÓN.</v>
      </c>
      <c r="J2063" s="11" t="str">
        <f>IFERROR(IF(VLOOKUP(A2063,[14]PRIORIZADOS!$A:$J,10,FALSE)="","",VLOOKUP(A2063,[14]PRIORIZADOS!$A:$J,10,FALSE)),"")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063" s="11" t="str">
        <f>IFERROR(IF(VLOOKUP(A2063,[14]PRIORIZADOS!$A:$K,11,FALSE)="","",VLOOKUP(A2063,[14]PRIORIZADOS!$A:$K,11,FALSE)),"")</f>
        <v>JUAN MANUEL SANCHEZ MORA</v>
      </c>
      <c r="L2063" s="11" t="str">
        <f>IFERROR(IF(VLOOKUP(A2063,[14]PRIORIZADOS!$A:$L,12,FALSE)="","",VLOOKUP(A2063,[14]PRIORIZADOS!$A:$L,12,FALSE)),"")</f>
        <v>MARTHA RUT SILVA ABRIL</v>
      </c>
      <c r="M2063" s="71">
        <f>IFERROR(IF(VLOOKUP(A2063,[14]PRIORIZADOS!$A:$M,13,FALSE)="","",VLOOKUP(A2063,[14]PRIORIZADOS!$A:$M,13,FALSE)),"")</f>
        <v>45804</v>
      </c>
      <c r="N2063" s="71">
        <f>IFERROR(IF(VLOOKUP(A2063,[14]PRIORIZADOS!$A:$N,14,FALSE)="","",VLOOKUP(A2063,[14]PRIORIZADOS!$A:$N,14,FALSE)),"")</f>
        <v>45863</v>
      </c>
      <c r="O2063" s="71">
        <f>IFERROR(IF(VLOOKUP(A2063,[14]PRIORIZADOS!$A:$O,15,FALSE)="","",VLOOKUP(A2063,[14]PRIORIZADOS!$A:$O,15,FALSE)),"")</f>
        <v>45863</v>
      </c>
      <c r="P2063" s="11" t="str">
        <f>IFERROR(IF(VLOOKUP(A2063,[14]PRIORIZADOS!$A:$P,16,FALSE)="","",VLOOKUP(A2063,[14]PRIORIZADOS!$A:$P,16,FALSE)),"")</f>
        <v>Visitas de evaluación con fines de seguimiento</v>
      </c>
      <c r="Q2063" s="153" t="s">
        <v>436</v>
      </c>
      <c r="R2063" s="11" t="str">
        <f>IFERROR(IF(VLOOKUP(A2063,[14]PRIORIZADOS!$A:$R,18,FALSE)="","",VLOOKUP(A2063,[14]PRIORIZADOS!$A:$R,18,FALSE)),"")</f>
        <v>Se observó que la institucion educativa no cargo el plan de mejoramiento en el aplicativo EVI, sin embargo, ha realizado adecuaciones en el PEI y la planta fisica, se encuentra en proceso de mejora.</v>
      </c>
      <c r="S2063" s="11" t="str">
        <f>IFERROR(IF(VLOOKUP(A2063,[14]PRIORIZADOS!$A:$S,19,FALSE)="","",VLOOKUP(A2063,[14]PRIORIZADOS!$A:$S,19,FALSE)),"")</f>
        <v>Reportar plan de mejoramiento en el aplicativo EVI y continuar con la mejoras respectivas.</v>
      </c>
      <c r="T2063" s="70" t="str">
        <f>IFERROR(IF(VLOOKUP(A2063,[14]PRIORIZADOS!$A:$T,20,FALSE)="","",VLOOKUP(A2063,[14]PRIORIZADOS!$A:$T,20,FALSE)),"")</f>
        <v>Si</v>
      </c>
      <c r="U2063" s="11" t="str">
        <f>IFERROR(IF(VLOOKUP(A2063,[14]PRIORIZADOS!$A:$U,21,FALSE)="","",VLOOKUP(A2063,[14]PRIORIZADOS!$A:$U,21,FALSE)),"")</f>
        <v>Verficar la informacion del plan de mejoramiento fijado para el 12 de septiembre de 2025.</v>
      </c>
    </row>
    <row r="2064" spans="1:21" s="1" customFormat="1" ht="72">
      <c r="A2064" s="69">
        <f>IF([14]PRIORIZADOS!A111="","",[14]PRIORIZADOS!A111)</f>
        <v>2032</v>
      </c>
      <c r="B2064" s="70">
        <f>IFERROR(IF(VLOOKUP(A2064,[14]PRIORIZADOS!$A:$B,2,FALSE)="","",VLOOKUP(A2064,[14]PRIORIZADOS!$A:$B,2,FALSE)),"")</f>
        <v>12</v>
      </c>
      <c r="C2064" s="11" t="s">
        <v>424</v>
      </c>
      <c r="D2064" s="11" t="str">
        <f>IFERROR(IF(VLOOKUP(A2064,[14]PRIORIZADOS!$A:$D,4,FALSE)="","",VLOOKUP(A2064,[14]PRIORIZADOS!$A:$D,4,FALSE)),"")</f>
        <v>PRIVADO</v>
      </c>
      <c r="E2064" s="11" t="str">
        <f>IFERROR(IF(VLOOKUP(A2064,[14]PRIORIZADOS!$A:$E,5,FALSE)="","",VLOOKUP(A2064,[14]PRIORIZADOS!$A:$E,5,FALSE)),"")</f>
        <v>Educación de Jóvenes y Adultos</v>
      </c>
      <c r="F2064" s="11" t="str">
        <f>IFERROR(IF(VLOOKUP(A2064,[14]PRIORIZADOS!$A:$F,6,FALSE)="","",VLOOKUP(A2064,[14]PRIORIZADOS!$A:$F,6,FALSE)),"")</f>
        <v>INSTITUTO_INTEGRADO_DE_SUBA_</v>
      </c>
      <c r="G2064" s="11" t="str">
        <f>IFERROR(IF(VLOOKUP(A2064,[14]PRIORIZADOS!$A:$G,7,FALSE)="","",VLOOKUP(A2064,[14]PRIORIZADOS!$A:$G,7,FALSE)),"")</f>
        <v>INSTITUTO INTEGRADO DE SUBA</v>
      </c>
      <c r="H2064" s="11" t="str">
        <f>IFERROR(IF(VLOOKUP(A2064,[14]PRIORIZADOS!$A:$H,8,FALSE)="","",VLOOKUP(A2064,[14]PRIORIZADOS!$A:$H,8,FALSE)),"")</f>
        <v>Autoevaluación Institucional y Pruebas SABER 11</v>
      </c>
      <c r="I2064" s="11" t="str">
        <f>IFERROR(IF(VLOOKUP(A2064,[14]PRIORIZADOS!$A:$I,9,FALSE)="","",VLOOKUP(A2064,[14]PRIORIZADOS!$A:$I,9,FALSE)),"")</f>
        <v>SEGUIMIENTO_Y_SUPERVISIÓN.</v>
      </c>
      <c r="J2064" s="11" t="str">
        <f>IFERROR(IF(VLOOKUP(A2064,[14]PRIORIZADOS!$A:$J,10,FALSE)="","",VLOOKUP(A2064,[14]PRIORIZADOS!$A:$J,10,FALSE)),"")</f>
        <v>Realizar visitas para verificar la información registrada sobre la autoevaluación institucional en el aplicativo EVI, a los establecimientos de educación formal no oficial.</v>
      </c>
      <c r="K2064" s="11" t="str">
        <f>IFERROR(IF(VLOOKUP(A2064,[14]PRIORIZADOS!$A:$K,11,FALSE)="","",VLOOKUP(A2064,[14]PRIORIZADOS!$A:$K,11,FALSE)),"")</f>
        <v>JUAN MANUEL SANCHEZ MORA</v>
      </c>
      <c r="L2064" s="11" t="str">
        <f>IFERROR(IF(VLOOKUP(A2064,[14]PRIORIZADOS!$A:$L,12,FALSE)="","",VLOOKUP(A2064,[14]PRIORIZADOS!$A:$L,12,FALSE)),"")</f>
        <v>MARTHA RUT SILVA ABRIL</v>
      </c>
      <c r="M2064" s="71">
        <f>IFERROR(IF(VLOOKUP(A2064,[14]PRIORIZADOS!$A:$M,13,FALSE)="","",VLOOKUP(A2064,[14]PRIORIZADOS!$A:$M,13,FALSE)),"")</f>
        <v>45804</v>
      </c>
      <c r="N2064" s="71">
        <f>IFERROR(IF(VLOOKUP(A2064,[14]PRIORIZADOS!$A:$N,14,FALSE)="","",VLOOKUP(A2064,[14]PRIORIZADOS!$A:$N,14,FALSE)),"")</f>
        <v>45863</v>
      </c>
      <c r="O2064" s="71">
        <f>IFERROR(IF(VLOOKUP(A2064,[14]PRIORIZADOS!$A:$O,15,FALSE)="","",VLOOKUP(A2064,[14]PRIORIZADOS!$A:$O,15,FALSE)),"")</f>
        <v>45863</v>
      </c>
      <c r="P2064" s="11" t="str">
        <f>IFERROR(IF(VLOOKUP(A2064,[14]PRIORIZADOS!$A:$P,16,FALSE)="","",VLOOKUP(A2064,[14]PRIORIZADOS!$A:$P,16,FALSE)),"")</f>
        <v>Visitas de evaluación con fines de seguimiento</v>
      </c>
      <c r="Q2064" s="153" t="s">
        <v>436</v>
      </c>
      <c r="R2064" s="11" t="str">
        <f>IFERROR(IF(VLOOKUP(A2064,[14]PRIORIZADOS!$A:$R,18,FALSE)="","",VLOOKUP(A2064,[14]PRIORIZADOS!$A:$R,18,FALSE)),"")</f>
        <v>Se observó que la institucion educativa diligenció la autoevaluacion en el aplicativo EVI, sinembargo, lo reportado no correponde con los pagos a seguridad social integral y parafiscales, asi como los contratos laborles, espacios pedogicos.</v>
      </c>
      <c r="S2064" s="11" t="str">
        <f>IFERROR(IF(VLOOKUP(A2064,[14]PRIORIZADOS!$A:$S,19,FALSE)="","",VLOOKUP(A2064,[14]PRIORIZADOS!$A:$S,19,FALSE)),"")</f>
        <v>Reportar plan de mejoramiento en el aplicativo EVI y continuar con la mejoras respectivas.</v>
      </c>
      <c r="T2064" s="70" t="str">
        <f>IFERROR(IF(VLOOKUP(A2064,[14]PRIORIZADOS!$A:$T,20,FALSE)="","",VLOOKUP(A2064,[14]PRIORIZADOS!$A:$T,20,FALSE)),"")</f>
        <v>Si</v>
      </c>
      <c r="U2064" s="11" t="str">
        <f>IFERROR(IF(VLOOKUP(A2064,[14]PRIORIZADOS!$A:$U,21,FALSE)="","",VLOOKUP(A2064,[14]PRIORIZADOS!$A:$U,21,FALSE)),"")</f>
        <v>Verficar la informacion del plan de mejoramiento fijado para el 12 de septiembre de 2025.</v>
      </c>
    </row>
    <row r="2065" spans="1:21" s="1" customFormat="1" ht="60">
      <c r="A2065" s="69">
        <f>IF([14]PRIORIZADOS!A112="","",[14]PRIORIZADOS!A112)</f>
        <v>2033</v>
      </c>
      <c r="B2065" s="70">
        <f>IFERROR(IF(VLOOKUP(A2065,[14]PRIORIZADOS!$A:$B,2,FALSE)="","",VLOOKUP(A2065,[14]PRIORIZADOS!$A:$B,2,FALSE)),"")</f>
        <v>12</v>
      </c>
      <c r="C2065" s="11" t="s">
        <v>424</v>
      </c>
      <c r="D2065" s="11" t="str">
        <f>IFERROR(IF(VLOOKUP(A2065,[14]PRIORIZADOS!$A:$D,4,FALSE)="","",VLOOKUP(A2065,[14]PRIORIZADOS!$A:$D,4,FALSE)),"")</f>
        <v>PRIVADO</v>
      </c>
      <c r="E2065" s="11" t="str">
        <f>IFERROR(IF(VLOOKUP(A2065,[14]PRIORIZADOS!$A:$E,5,FALSE)="","",VLOOKUP(A2065,[14]PRIORIZADOS!$A:$E,5,FALSE)),"")</f>
        <v>Educación de Jóvenes y Adultos</v>
      </c>
      <c r="F2065" s="11" t="str">
        <f>IFERROR(IF(VLOOKUP(A2065,[14]PRIORIZADOS!$A:$F,6,FALSE)="","",VLOOKUP(A2065,[14]PRIORIZADOS!$A:$F,6,FALSE)),"")</f>
        <v>INSTITUTO_INTEGRADO_DE_SUBA_</v>
      </c>
      <c r="G2065" s="11" t="str">
        <f>IFERROR(IF(VLOOKUP(A2065,[14]PRIORIZADOS!$A:$G,7,FALSE)="","",VLOOKUP(A2065,[14]PRIORIZADOS!$A:$G,7,FALSE)),"")</f>
        <v>INSTITUTO INTEGRADO DE SUBA</v>
      </c>
      <c r="H2065" s="11" t="str">
        <f>IFERROR(IF(VLOOKUP(A2065,[14]PRIORIZADOS!$A:$H,8,FALSE)="","",VLOOKUP(A2065,[14]PRIORIZADOS!$A:$H,8,FALSE)),"")</f>
        <v>Autoevaluación Institucional y Pruebas SABER 11</v>
      </c>
      <c r="I2065" s="11" t="str">
        <f>IFERROR(IF(VLOOKUP(A2065,[14]PRIORIZADOS!$A:$I,9,FALSE)="","",VLOOKUP(A2065,[14]PRIORIZADOS!$A:$I,9,FALSE)),"")</f>
        <v>SEGUIMIENTO_Y_SUPERVISIÓN.</v>
      </c>
      <c r="J2065" s="11" t="str">
        <f>IFERROR(IF(VLOOKUP(A2065,[14]PRIORIZADOS!$A:$J,10,FALSE)="","",VLOOKUP(A2065,[14]PRIORIZADOS!$A:$J,10,FALSE)),"")</f>
        <v>Proponer estrategias en la formulación, verificar su elaboración y realizar seguimiento semestral al desarrollo de  las acciones establecidas en los planes de mejoramiento por pruebas SABER 11 de los establecimientos de educación formal.</v>
      </c>
      <c r="K2065" s="11" t="str">
        <f>IFERROR(IF(VLOOKUP(A2065,[14]PRIORIZADOS!$A:$K,11,FALSE)="","",VLOOKUP(A2065,[14]PRIORIZADOS!$A:$K,11,FALSE)),"")</f>
        <v>JUAN MANUEL SANCHEZ MORA</v>
      </c>
      <c r="L2065" s="11" t="str">
        <f>IFERROR(IF(VLOOKUP(A2065,[14]PRIORIZADOS!$A:$L,12,FALSE)="","",VLOOKUP(A2065,[14]PRIORIZADOS!$A:$L,12,FALSE)),"")</f>
        <v>MARTHA RUT SILVA ABRIL</v>
      </c>
      <c r="M2065" s="71">
        <f>IFERROR(IF(VLOOKUP(A2065,[14]PRIORIZADOS!$A:$M,13,FALSE)="","",VLOOKUP(A2065,[14]PRIORIZADOS!$A:$M,13,FALSE)),"")</f>
        <v>45804</v>
      </c>
      <c r="N2065" s="71">
        <f>IFERROR(IF(VLOOKUP(A2065,[14]PRIORIZADOS!$A:$N,14,FALSE)="","",VLOOKUP(A2065,[14]PRIORIZADOS!$A:$N,14,FALSE)),"")</f>
        <v>45863</v>
      </c>
      <c r="O2065" s="71">
        <f>IFERROR(IF(VLOOKUP(A2065,[14]PRIORIZADOS!$A:$O,15,FALSE)="","",VLOOKUP(A2065,[14]PRIORIZADOS!$A:$O,15,FALSE)),"")</f>
        <v>45863</v>
      </c>
      <c r="P2065" s="11" t="str">
        <f>IFERROR(IF(VLOOKUP(A2065,[14]PRIORIZADOS!$A:$P,16,FALSE)="","",VLOOKUP(A2065,[14]PRIORIZADOS!$A:$P,16,FALSE)),"")</f>
        <v>Visitas de evaluación con fines de seguimiento</v>
      </c>
      <c r="Q2065" s="153" t="s">
        <v>436</v>
      </c>
      <c r="R2065" s="11" t="str">
        <f>IFERROR(IF(VLOOKUP(A2065,[14]PRIORIZADOS!$A:$R,18,FALSE)="","",VLOOKUP(A2065,[14]PRIORIZADOS!$A:$R,18,FALSE)),"")</f>
        <v>Se observó que la institución educativa no cuenta con estrategias producto del análisis de los resultados de la pruebas SABER 11 e implentación de acciones de seguimiento.</v>
      </c>
      <c r="S2065" s="11" t="str">
        <f>IFERROR(IF(VLOOKUP(A2065,[14]PRIORIZADOS!$A:$S,19,FALSE)="","",VLOOKUP(A2065,[14]PRIORIZADOS!$A:$S,19,FALSE)),"")</f>
        <v>Diseñar estrategias para la revisión y análisis de los últimos resultados de las pruebas SABER 11, así mismo, en la implementación de las acciones de seguimiento.</v>
      </c>
      <c r="T2065" s="70" t="str">
        <f>IFERROR(IF(VLOOKUP(A2065,[14]PRIORIZADOS!$A:$T,20,FALSE)="","",VLOOKUP(A2065,[14]PRIORIZADOS!$A:$T,20,FALSE)),"")</f>
        <v>Si</v>
      </c>
      <c r="U2065" s="11" t="str">
        <f>IFERROR(IF(VLOOKUP(A2065,[14]PRIORIZADOS!$A:$U,21,FALSE)="","",VLOOKUP(A2065,[14]PRIORIZADOS!$A:$U,21,FALSE)),"")</f>
        <v>Verficar la informacion del plan de mejoramiento fijado para el 12 de septiembre de 2025.</v>
      </c>
    </row>
    <row r="2066" spans="1:21" s="1" customFormat="1" ht="60">
      <c r="A2066" s="69">
        <f>IF([14]PRIORIZADOS!A113="","",[14]PRIORIZADOS!A113)</f>
        <v>2034</v>
      </c>
      <c r="B2066" s="70">
        <f>IFERROR(IF(VLOOKUP(A2066,[14]PRIORIZADOS!$A:$B,2,FALSE)="","",VLOOKUP(A2066,[14]PRIORIZADOS!$A:$B,2,FALSE)),"")</f>
        <v>12</v>
      </c>
      <c r="C2066" s="11" t="s">
        <v>424</v>
      </c>
      <c r="D2066" s="11" t="str">
        <f>IFERROR(IF(VLOOKUP(A2066,[14]PRIORIZADOS!$A:$D,4,FALSE)="","",VLOOKUP(A2066,[14]PRIORIZADOS!$A:$D,4,FALSE)),"")</f>
        <v>PRIVADO</v>
      </c>
      <c r="E2066" s="11" t="str">
        <f>IFERROR(IF(VLOOKUP(A2066,[14]PRIORIZADOS!$A:$E,5,FALSE)="","",VLOOKUP(A2066,[14]PRIORIZADOS!$A:$E,5,FALSE)),"")</f>
        <v>Educación de Jóvenes y Adultos</v>
      </c>
      <c r="F2066" s="11" t="str">
        <f>IFERROR(IF(VLOOKUP(A2066,[14]PRIORIZADOS!$A:$F,6,FALSE)="","",VLOOKUP(A2066,[14]PRIORIZADOS!$A:$F,6,FALSE)),"")</f>
        <v>INSTITUTO_INTEGRADO_DE_SUBA_</v>
      </c>
      <c r="G2066" s="11" t="str">
        <f>IFERROR(IF(VLOOKUP(A2066,[14]PRIORIZADOS!$A:$G,7,FALSE)="","",VLOOKUP(A2066,[14]PRIORIZADOS!$A:$G,7,FALSE)),"")</f>
        <v>INSTITUTO INTEGRADO DE SUBA</v>
      </c>
      <c r="H2066" s="11" t="str">
        <f>IFERROR(IF(VLOOKUP(A2066,[14]PRIORIZADOS!$A:$H,8,FALSE)="","",VLOOKUP(A2066,[14]PRIORIZADOS!$A:$H,8,FALSE)),"")</f>
        <v>Autoevaluación Institucional y Pruebas SABER 11</v>
      </c>
      <c r="I2066" s="11" t="str">
        <f>IFERROR(IF(VLOOKUP(A2066,[14]PRIORIZADOS!$A:$I,9,FALSE)="","",VLOOKUP(A2066,[14]PRIORIZADOS!$A:$I,9,FALSE)),"")</f>
        <v>SEGUIMIENTO_Y_SUPERVISIÓN.</v>
      </c>
      <c r="J2066" s="11" t="str">
        <f>IFERROR(IF(VLOOKUP(A2066,[14]PRIORIZADOS!$A:$J,10,FALSE)="","",VLOOKUP(A2066,[14]PRIORIZADOS!$A:$J,10,FALSE)),"")</f>
        <v xml:space="preserve">Verificar la implementación por parte de los colegios, de acciones realizadas para la prevención y atención de las situaciones de convivencia en el entorno escolar, según lo establecido en la Directiva 01 de 2022 del MEN. </v>
      </c>
      <c r="K2066" s="11" t="str">
        <f>IFERROR(IF(VLOOKUP(A2066,[14]PRIORIZADOS!$A:$K,11,FALSE)="","",VLOOKUP(A2066,[14]PRIORIZADOS!$A:$K,11,FALSE)),"")</f>
        <v>JUAN MANUEL SANCHEZ MORA</v>
      </c>
      <c r="L2066" s="11" t="str">
        <f>IFERROR(IF(VLOOKUP(A2066,[14]PRIORIZADOS!$A:$L,12,FALSE)="","",VLOOKUP(A2066,[14]PRIORIZADOS!$A:$L,12,FALSE)),"")</f>
        <v>MARTHA RUT SILVA ABRIL</v>
      </c>
      <c r="M2066" s="71">
        <f>IFERROR(IF(VLOOKUP(A2066,[14]PRIORIZADOS!$A:$M,13,FALSE)="","",VLOOKUP(A2066,[14]PRIORIZADOS!$A:$M,13,FALSE)),"")</f>
        <v>45804</v>
      </c>
      <c r="N2066" s="71">
        <f>IFERROR(IF(VLOOKUP(A2066,[14]PRIORIZADOS!$A:$N,14,FALSE)="","",VLOOKUP(A2066,[14]PRIORIZADOS!$A:$N,14,FALSE)),"")</f>
        <v>45863</v>
      </c>
      <c r="O2066" s="71">
        <f>IFERROR(IF(VLOOKUP(A2066,[14]PRIORIZADOS!$A:$O,15,FALSE)="","",VLOOKUP(A2066,[14]PRIORIZADOS!$A:$O,15,FALSE)),"")</f>
        <v>45863</v>
      </c>
      <c r="P2066" s="11" t="str">
        <f>IFERROR(IF(VLOOKUP(A2066,[14]PRIORIZADOS!$A:$P,16,FALSE)="","",VLOOKUP(A2066,[14]PRIORIZADOS!$A:$P,16,FALSE)),"")</f>
        <v>Visitas de evaluación con fines de seguimiento</v>
      </c>
      <c r="Q2066" s="153" t="s">
        <v>436</v>
      </c>
      <c r="R2066" s="11" t="str">
        <f>IFERROR(IF(VLOOKUP(A2066,[14]PRIORIZADOS!$A:$R,18,FALSE)="","",VLOOKUP(A2066,[14]PRIORIZADOS!$A:$R,18,FALSE)),"")</f>
        <v>Se obervó que la institución educativa realiza la consulta en el sistema de inhabilidades por delitos sexuales al momento de la vinculación del personal.</v>
      </c>
      <c r="S2066" s="11" t="str">
        <f>IFERROR(IF(VLOOKUP(A2066,[14]PRIORIZADOS!$A:$S,19,FALSE)="","",VLOOKUP(A2066,[14]PRIORIZADOS!$A:$S,19,FALSE)),"")</f>
        <v>Continuar cumpliendo con la Directiva 01 de 2022 del MEN en el sentido de realizar la consulta de inhabilidades por deitos sexuales cada 4 meses de todo el personal que labora en el plantel.</v>
      </c>
      <c r="T2066" s="70" t="str">
        <f>IFERROR(IF(VLOOKUP(A2066,[14]PRIORIZADOS!$A:$T,20,FALSE)="","",VLOOKUP(A2066,[14]PRIORIZADOS!$A:$T,20,FALSE)),"")</f>
        <v>No</v>
      </c>
      <c r="U2066" s="11" t="str">
        <f>IFERROR(IF(VLOOKUP(A2066,[14]PRIORIZADOS!$A:$U,21,FALSE)="","",VLOOKUP(A2066,[14]PRIORIZADOS!$A:$U,21,FALSE)),"")</f>
        <v>Verficar la informacion del plan de mejoramiento fijado para el 12 de septiembre de 2025.</v>
      </c>
    </row>
    <row r="2067" spans="1:21" s="1" customFormat="1" ht="72">
      <c r="A2067" s="69">
        <f>IF([14]PRIORIZADOS!A114="","",[14]PRIORIZADOS!A114)</f>
        <v>2035</v>
      </c>
      <c r="B2067" s="70">
        <f>IFERROR(IF(VLOOKUP(A2067,[14]PRIORIZADOS!$A:$B,2,FALSE)="","",VLOOKUP(A2067,[14]PRIORIZADOS!$A:$B,2,FALSE)),"")</f>
        <v>12</v>
      </c>
      <c r="C2067" s="11" t="s">
        <v>424</v>
      </c>
      <c r="D2067" s="11" t="str">
        <f>IFERROR(IF(VLOOKUP(A2067,[14]PRIORIZADOS!$A:$D,4,FALSE)="","",VLOOKUP(A2067,[14]PRIORIZADOS!$A:$D,4,FALSE)),"")</f>
        <v>PRIVADO</v>
      </c>
      <c r="E2067" s="11" t="str">
        <f>IFERROR(IF(VLOOKUP(A2067,[14]PRIORIZADOS!$A:$E,5,FALSE)="","",VLOOKUP(A2067,[14]PRIORIZADOS!$A:$E,5,FALSE)),"")</f>
        <v>Educación de Jóvenes y Adultos</v>
      </c>
      <c r="F2067" s="11" t="str">
        <f>IFERROR(IF(VLOOKUP(A2067,[14]PRIORIZADOS!$A:$F,6,FALSE)="","",VLOOKUP(A2067,[14]PRIORIZADOS!$A:$F,6,FALSE)),"")</f>
        <v>INSTITUTO_INTEGRADO_DE_SUBA_</v>
      </c>
      <c r="G2067" s="11" t="str">
        <f>IFERROR(IF(VLOOKUP(A2067,[14]PRIORIZADOS!$A:$G,7,FALSE)="","",VLOOKUP(A2067,[14]PRIORIZADOS!$A:$G,7,FALSE)),"")</f>
        <v>INSTITUTO INTEGRADO DE SUBA</v>
      </c>
      <c r="H2067" s="11" t="str">
        <f>IFERROR(IF(VLOOKUP(A2067,[14]PRIORIZADOS!$A:$H,8,FALSE)="","",VLOOKUP(A2067,[14]PRIORIZADOS!$A:$H,8,FALSE)),"")</f>
        <v>Autoevaluación Institucional y Pruebas SABER 11</v>
      </c>
      <c r="I2067" s="11" t="str">
        <f>IFERROR(IF(VLOOKUP(A2067,[14]PRIORIZADOS!$A:$I,9,FALSE)="","",VLOOKUP(A2067,[14]PRIORIZADOS!$A:$I,9,FALSE)),"")</f>
        <v>SEGUIMIENTO_Y_SUPERVISIÓN.</v>
      </c>
      <c r="J2067" s="11" t="str">
        <f>IFERROR(IF(VLOOKUP(A2067,[14]PRIORIZADOS!$A:$J,10,FALSE)="","",VLOOKUP(A2067,[14]PRIORIZADOS!$A:$J,10,FALSE)),"")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67" s="11" t="str">
        <f>IFERROR(IF(VLOOKUP(A2067,[14]PRIORIZADOS!$A:$K,11,FALSE)="","",VLOOKUP(A2067,[14]PRIORIZADOS!$A:$K,11,FALSE)),"")</f>
        <v>JUAN MANUEL SANCHEZ MORA</v>
      </c>
      <c r="L2067" s="11" t="str">
        <f>IFERROR(IF(VLOOKUP(A2067,[14]PRIORIZADOS!$A:$L,12,FALSE)="","",VLOOKUP(A2067,[14]PRIORIZADOS!$A:$L,12,FALSE)),"")</f>
        <v>MARTHA RUT SILVA ABRIL</v>
      </c>
      <c r="M2067" s="71">
        <f>IFERROR(IF(VLOOKUP(A2067,[14]PRIORIZADOS!$A:$M,13,FALSE)="","",VLOOKUP(A2067,[14]PRIORIZADOS!$A:$M,13,FALSE)),"")</f>
        <v>45804</v>
      </c>
      <c r="N2067" s="71">
        <f>IFERROR(IF(VLOOKUP(A2067,[14]PRIORIZADOS!$A:$N,14,FALSE)="","",VLOOKUP(A2067,[14]PRIORIZADOS!$A:$N,14,FALSE)),"")</f>
        <v>45863</v>
      </c>
      <c r="O2067" s="71">
        <f>IFERROR(IF(VLOOKUP(A2067,[14]PRIORIZADOS!$A:$O,15,FALSE)="","",VLOOKUP(A2067,[14]PRIORIZADOS!$A:$O,15,FALSE)),"")</f>
        <v>45863</v>
      </c>
      <c r="P2067" s="11" t="str">
        <f>IFERROR(IF(VLOOKUP(A2067,[14]PRIORIZADOS!$A:$P,16,FALSE)="","",VLOOKUP(A2067,[14]PRIORIZADOS!$A:$P,16,FALSE)),"")</f>
        <v>Visitas de evaluación con fines de seguimiento</v>
      </c>
      <c r="Q2067" s="153" t="s">
        <v>436</v>
      </c>
      <c r="R2067" s="11" t="str">
        <f>IFERROR(IF(VLOOKUP(A2067,[14]PRIORIZADOS!$A:$R,18,FALSE)="","",VLOOKUP(A2067,[14]PRIORIZADOS!$A:$R,18,FALSE)),"")</f>
        <v>Se evidenció que la institucion no cuenta con Planes Individuales de Ajustes Razonables -PIAR, en marco del Decreto 1421 de 2017, por cuanto no tiene estudiantes con discapacidad.</v>
      </c>
      <c r="S2067" s="11" t="str">
        <f>IFERROR(IF(VLOOKUP(A2067,[14]PRIORIZADOS!$A:$S,19,FALSE)="","",VLOOKUP(A2067,[14]PRIORIZADOS!$A:$S,19,FALSE)),"")</f>
        <v>Estructurar un modelo de PIAR acorde con lo establecido en la norma.</v>
      </c>
      <c r="T2067" s="70" t="str">
        <f>IFERROR(IF(VLOOKUP(A2067,[14]PRIORIZADOS!$A:$T,20,FALSE)="","",VLOOKUP(A2067,[14]PRIORIZADOS!$A:$T,20,FALSE)),"")</f>
        <v>Si</v>
      </c>
      <c r="U2067" s="11" t="str">
        <f>IFERROR(IF(VLOOKUP(A2067,[14]PRIORIZADOS!$A:$U,21,FALSE)="","",VLOOKUP(A2067,[14]PRIORIZADOS!$A:$U,21,FALSE)),"")</f>
        <v>Verficar la informacion del plan de mejoramiento fijado para el 12 de septiembre de 2025.</v>
      </c>
    </row>
    <row r="2068" spans="1:21" s="1" customFormat="1" ht="84">
      <c r="A2068" s="69">
        <f>IF([14]PRIORIZADOS!A115="","",[14]PRIORIZADOS!A115)</f>
        <v>2036</v>
      </c>
      <c r="B2068" s="70">
        <f>IFERROR(IF(VLOOKUP(A2068,[14]PRIORIZADOS!$A:$B,2,FALSE)="","",VLOOKUP(A2068,[14]PRIORIZADOS!$A:$B,2,FALSE)),"")</f>
        <v>12</v>
      </c>
      <c r="C2068" s="11" t="s">
        <v>424</v>
      </c>
      <c r="D2068" s="11" t="str">
        <f>IFERROR(IF(VLOOKUP(A2068,[14]PRIORIZADOS!$A:$D,4,FALSE)="","",VLOOKUP(A2068,[14]PRIORIZADOS!$A:$D,4,FALSE)),"")</f>
        <v>PRIVADO</v>
      </c>
      <c r="E2068" s="11" t="str">
        <f>IFERROR(IF(VLOOKUP(A2068,[14]PRIORIZADOS!$A:$E,5,FALSE)="","",VLOOKUP(A2068,[14]PRIORIZADOS!$A:$E,5,FALSE)),"")</f>
        <v>Educación de Jóvenes y Adultos</v>
      </c>
      <c r="F2068" s="11" t="str">
        <f>IFERROR(IF(VLOOKUP(A2068,[14]PRIORIZADOS!$A:$F,6,FALSE)="","",VLOOKUP(A2068,[14]PRIORIZADOS!$A:$F,6,FALSE)),"")</f>
        <v>INSTITUTO_INTEGRADO_DE_SUBA_</v>
      </c>
      <c r="G2068" s="11" t="str">
        <f>IFERROR(IF(VLOOKUP(A2068,[14]PRIORIZADOS!$A:$G,7,FALSE)="","",VLOOKUP(A2068,[14]PRIORIZADOS!$A:$G,7,FALSE)),"")</f>
        <v>INSTITUTO INTEGRADO DE SUBA</v>
      </c>
      <c r="H2068" s="11" t="str">
        <f>IFERROR(IF(VLOOKUP(A2068,[14]PRIORIZADOS!$A:$H,8,FALSE)="","",VLOOKUP(A2068,[14]PRIORIZADOS!$A:$H,8,FALSE)),"")</f>
        <v>Autoevaluación Institucional y Pruebas SABER 11</v>
      </c>
      <c r="I2068" s="11" t="str">
        <f>IFERROR(IF(VLOOKUP(A2068,[14]PRIORIZADOS!$A:$I,9,FALSE)="","",VLOOKUP(A2068,[14]PRIORIZADOS!$A:$I,9,FALSE)),"")</f>
        <v>EVALUACIÓN_CON_FINES_DE_MEJORAMIENTO.</v>
      </c>
      <c r="J2068" s="11" t="str">
        <f>IFERROR(IF(VLOOKUP(A2068,[14]PRIORIZADOS!$A:$J,10,FALSE)="","",VLOOKUP(A2068,[14]PRIORIZADOS!$A:$J,10,FALSE)),"")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68" s="11" t="str">
        <f>IFERROR(IF(VLOOKUP(A2068,[14]PRIORIZADOS!$A:$K,11,FALSE)="","",VLOOKUP(A2068,[14]PRIORIZADOS!$A:$K,11,FALSE)),"")</f>
        <v>JUAN MANUEL SANCHEZ MORA</v>
      </c>
      <c r="L2068" s="11" t="str">
        <f>IFERROR(IF(VLOOKUP(A2068,[14]PRIORIZADOS!$A:$L,12,FALSE)="","",VLOOKUP(A2068,[14]PRIORIZADOS!$A:$L,12,FALSE)),"")</f>
        <v>MARTHA RUT SILVA ABRIL</v>
      </c>
      <c r="M2068" s="71">
        <f>IFERROR(IF(VLOOKUP(A2068,[14]PRIORIZADOS!$A:$M,13,FALSE)="","",VLOOKUP(A2068,[14]PRIORIZADOS!$A:$M,13,FALSE)),"")</f>
        <v>45804</v>
      </c>
      <c r="N2068" s="71">
        <f>IFERROR(IF(VLOOKUP(A2068,[14]PRIORIZADOS!$A:$N,14,FALSE)="","",VLOOKUP(A2068,[14]PRIORIZADOS!$A:$N,14,FALSE)),"")</f>
        <v>45863</v>
      </c>
      <c r="O2068" s="71">
        <f>IFERROR(IF(VLOOKUP(A2068,[14]PRIORIZADOS!$A:$O,15,FALSE)="","",VLOOKUP(A2068,[14]PRIORIZADOS!$A:$O,15,FALSE)),"")</f>
        <v>45863</v>
      </c>
      <c r="P2068" s="11" t="str">
        <f>IFERROR(IF(VLOOKUP(A2068,[14]PRIORIZADOS!$A:$P,16,FALSE)="","",VLOOKUP(A2068,[14]PRIORIZADOS!$A:$P,16,FALSE)),"")</f>
        <v>Visitas de evaluación con fines de mejoramiento</v>
      </c>
      <c r="Q2068" s="153" t="s">
        <v>436</v>
      </c>
      <c r="R2068" s="11" t="str">
        <f>IFERROR(IF(VLOOKUP(A2068,[14]PRIORIZADOS!$A:$R,18,FALSE)="","",VLOOKUP(A2068,[14]PRIORIZADOS!$A:$R,18,FALSE)),"")</f>
        <v>Se observó que el manual de convivencia no fue socializado, ni debidamente adoptado por los respectivos órganos del gobierno escolar, tampoco cuenta con los procolos de atención.</v>
      </c>
      <c r="S2068" s="11" t="str">
        <f>IFERROR(IF(VLOOKUP(A2068,[14]PRIORIZADOS!$A:$S,19,FALSE)="","",VLOOKUP(A2068,[14]PRIORIZADOS!$A:$S,19,FALSE)),"")</f>
        <v>Ajustar y adoptar el manual de convivencia de conformidad con lo establecido en la Decreto 1075 de 2015 y la Ley 1620 de 2013</v>
      </c>
      <c r="T2068" s="70" t="str">
        <f>IFERROR(IF(VLOOKUP(A2068,[14]PRIORIZADOS!$A:$T,20,FALSE)="","",VLOOKUP(A2068,[14]PRIORIZADOS!$A:$T,20,FALSE)),"")</f>
        <v>Si</v>
      </c>
      <c r="U2068" s="11" t="str">
        <f>IFERROR(IF(VLOOKUP(A2068,[14]PRIORIZADOS!$A:$U,21,FALSE)="","",VLOOKUP(A2068,[14]PRIORIZADOS!$A:$U,21,FALSE)),"")</f>
        <v>Verficar la informacion del plan de mejoramiento fijado para el 12 de septiembre de 2025.</v>
      </c>
    </row>
    <row r="2069" spans="1:21" s="1" customFormat="1" ht="48">
      <c r="A2069" s="69">
        <f>IF([14]PRIORIZADOS!A116="","",[14]PRIORIZADOS!A116)</f>
        <v>2037</v>
      </c>
      <c r="B2069" s="70">
        <f>IFERROR(IF(VLOOKUP(A2069,[14]PRIORIZADOS!$A:$B,2,FALSE)="","",VLOOKUP(A2069,[14]PRIORIZADOS!$A:$B,2,FALSE)),"")</f>
        <v>12</v>
      </c>
      <c r="C2069" s="11" t="s">
        <v>424</v>
      </c>
      <c r="D2069" s="11" t="str">
        <f>IFERROR(IF(VLOOKUP(A2069,[14]PRIORIZADOS!$A:$D,4,FALSE)="","",VLOOKUP(A2069,[14]PRIORIZADOS!$A:$D,4,FALSE)),"")</f>
        <v>PRIVADO</v>
      </c>
      <c r="E2069" s="11" t="str">
        <f>IFERROR(IF(VLOOKUP(A2069,[14]PRIORIZADOS!$A:$E,5,FALSE)="","",VLOOKUP(A2069,[14]PRIORIZADOS!$A:$E,5,FALSE)),"")</f>
        <v>Educación de Jóvenes y Adultos</v>
      </c>
      <c r="F2069" s="11" t="str">
        <f>IFERROR(IF(VLOOKUP(A2069,[14]PRIORIZADOS!$A:$F,6,FALSE)="","",VLOOKUP(A2069,[14]PRIORIZADOS!$A:$F,6,FALSE)),"")</f>
        <v>INSTITUTO_INTEGRADO_DE_SUBA_</v>
      </c>
      <c r="G2069" s="11" t="str">
        <f>IFERROR(IF(VLOOKUP(A2069,[14]PRIORIZADOS!$A:$G,7,FALSE)="","",VLOOKUP(A2069,[14]PRIORIZADOS!$A:$G,7,FALSE)),"")</f>
        <v>INSTITUTO INTEGRADO DE SUBA</v>
      </c>
      <c r="H2069" s="11" t="str">
        <f>IFERROR(IF(VLOOKUP(A2069,[14]PRIORIZADOS!$A:$H,8,FALSE)="","",VLOOKUP(A2069,[14]PRIORIZADOS!$A:$H,8,FALSE)),"")</f>
        <v>Autoevaluación Institucional y Pruebas SABER 11</v>
      </c>
      <c r="I2069" s="11" t="str">
        <f>IFERROR(IF(VLOOKUP(A2069,[14]PRIORIZADOS!$A:$I,9,FALSE)="","",VLOOKUP(A2069,[14]PRIORIZADOS!$A:$I,9,FALSE)),"")</f>
        <v>EVALUACIÓN_CON_FINES_DE_MEJORAMIENTO.</v>
      </c>
      <c r="J2069" s="11" t="str">
        <f>IFERROR(IF(VLOOKUP(A2069,[14]PRIORIZADOS!$A:$J,10,FALSE)="","",VLOOKUP(A2069,[14]PRIORIZADOS!$A:$J,10,FALSE)),"")</f>
        <v>Revisar la actualización, socialización e implementación del Sistema Institucional de Evaluación de Estudiantes - SIEE, en articulación con la actualización del PEI y la normatividad vigente.</v>
      </c>
      <c r="K2069" s="11" t="str">
        <f>IFERROR(IF(VLOOKUP(A2069,[14]PRIORIZADOS!$A:$K,11,FALSE)="","",VLOOKUP(A2069,[14]PRIORIZADOS!$A:$K,11,FALSE)),"")</f>
        <v>JUAN MANUEL SANCHEZ MORA</v>
      </c>
      <c r="L2069" s="11" t="str">
        <f>IFERROR(IF(VLOOKUP(A2069,[14]PRIORIZADOS!$A:$L,12,FALSE)="","",VLOOKUP(A2069,[14]PRIORIZADOS!$A:$L,12,FALSE)),"")</f>
        <v>MARTHA RUT SILVA ABRIL</v>
      </c>
      <c r="M2069" s="71">
        <f>IFERROR(IF(VLOOKUP(A2069,[14]PRIORIZADOS!$A:$M,13,FALSE)="","",VLOOKUP(A2069,[14]PRIORIZADOS!$A:$M,13,FALSE)),"")</f>
        <v>45804</v>
      </c>
      <c r="N2069" s="71">
        <f>IFERROR(IF(VLOOKUP(A2069,[14]PRIORIZADOS!$A:$N,14,FALSE)="","",VLOOKUP(A2069,[14]PRIORIZADOS!$A:$N,14,FALSE)),"")</f>
        <v>45863</v>
      </c>
      <c r="O2069" s="71">
        <f>IFERROR(IF(VLOOKUP(A2069,[14]PRIORIZADOS!$A:$O,15,FALSE)="","",VLOOKUP(A2069,[14]PRIORIZADOS!$A:$O,15,FALSE)),"")</f>
        <v>45863</v>
      </c>
      <c r="P2069" s="11" t="str">
        <f>IFERROR(IF(VLOOKUP(A2069,[14]PRIORIZADOS!$A:$P,16,FALSE)="","",VLOOKUP(A2069,[14]PRIORIZADOS!$A:$P,16,FALSE)),"")</f>
        <v>Visitas de evaluación con fines de mejoramiento</v>
      </c>
      <c r="Q2069" s="153" t="s">
        <v>436</v>
      </c>
      <c r="R2069" s="11" t="str">
        <f>IFERROR(IF(VLOOKUP(A2069,[14]PRIORIZADOS!$A:$R,18,FALSE)="","",VLOOKUP(A2069,[14]PRIORIZADOS!$A:$R,18,FALSE)),"")</f>
        <v>Se observó desactualizacion de SIEE, sin articulacion con el PEI</v>
      </c>
      <c r="S2069" s="11" t="str">
        <f>IFERROR(IF(VLOOKUP(A2069,[14]PRIORIZADOS!$A:$S,19,FALSE)="","",VLOOKUP(A2069,[14]PRIORIZADOS!$A:$S,19,FALSE)),"")</f>
        <v>Realizar actualzación del SIEE en articulación con el PEI de conformidad con los lineamientos establecidos en la norma.</v>
      </c>
      <c r="T2069" s="70" t="str">
        <f>IFERROR(IF(VLOOKUP(A2069,[14]PRIORIZADOS!$A:$T,20,FALSE)="","",VLOOKUP(A2069,[14]PRIORIZADOS!$A:$T,20,FALSE)),"")</f>
        <v>Si</v>
      </c>
      <c r="U2069" s="11" t="str">
        <f>IFERROR(IF(VLOOKUP(A2069,[14]PRIORIZADOS!$A:$U,21,FALSE)="","",VLOOKUP(A2069,[14]PRIORIZADOS!$A:$U,21,FALSE)),"")</f>
        <v>Verficar la informacion del plan de mejoramiento fijado para el 12 de septiembre de 2025.</v>
      </c>
    </row>
    <row r="2070" spans="1:21" s="1" customFormat="1" ht="48">
      <c r="A2070" s="69">
        <f>IF([14]PRIORIZADOS!A117="","",[14]PRIORIZADOS!A117)</f>
        <v>2038</v>
      </c>
      <c r="B2070" s="70">
        <f>IFERROR(IF(VLOOKUP(A2070,[14]PRIORIZADOS!$A:$B,2,FALSE)="","",VLOOKUP(A2070,[14]PRIORIZADOS!$A:$B,2,FALSE)),"")</f>
        <v>12</v>
      </c>
      <c r="C2070" s="11" t="s">
        <v>424</v>
      </c>
      <c r="D2070" s="11" t="str">
        <f>IFERROR(IF(VLOOKUP(A2070,[14]PRIORIZADOS!$A:$D,4,FALSE)="","",VLOOKUP(A2070,[14]PRIORIZADOS!$A:$D,4,FALSE)),"")</f>
        <v>PRIVADO</v>
      </c>
      <c r="E2070" s="11" t="str">
        <f>IFERROR(IF(VLOOKUP(A2070,[14]PRIORIZADOS!$A:$E,5,FALSE)="","",VLOOKUP(A2070,[14]PRIORIZADOS!$A:$E,5,FALSE)),"")</f>
        <v>Educación de Jóvenes y Adultos</v>
      </c>
      <c r="F2070" s="11" t="str">
        <f>IFERROR(IF(VLOOKUP(A2070,[14]PRIORIZADOS!$A:$F,6,FALSE)="","",VLOOKUP(A2070,[14]PRIORIZADOS!$A:$F,6,FALSE)),"")</f>
        <v>INSTITUTO_INTEGRADO_DE_SUBA_</v>
      </c>
      <c r="G2070" s="11" t="str">
        <f>IFERROR(IF(VLOOKUP(A2070,[14]PRIORIZADOS!$A:$G,7,FALSE)="","",VLOOKUP(A2070,[14]PRIORIZADOS!$A:$G,7,FALSE)),"")</f>
        <v>INSTITUTO INTEGRADO DE SUBA</v>
      </c>
      <c r="H2070" s="11" t="str">
        <f>IFERROR(IF(VLOOKUP(A2070,[14]PRIORIZADOS!$A:$H,8,FALSE)="","",VLOOKUP(A2070,[14]PRIORIZADOS!$A:$H,8,FALSE)),"")</f>
        <v>Autoevaluación Institucional y Pruebas SABER 11</v>
      </c>
      <c r="I2070" s="11" t="str">
        <f>IFERROR(IF(VLOOKUP(A2070,[14]PRIORIZADOS!$A:$I,9,FALSE)="","",VLOOKUP(A2070,[14]PRIORIZADOS!$A:$I,9,FALSE)),"")</f>
        <v>EVALUACIÓN_CON_FINES_DE_MEJORAMIENTO.</v>
      </c>
      <c r="J2070" s="11" t="str">
        <f>IFERROR(IF(VLOOKUP(A2070,[14]PRIORIZADOS!$A:$J,10,FALSE)="","",VLOOKUP(A2070,[14]PRIORIZADOS!$A:$J,10,FALSE)),"")</f>
        <v>Revisar el calendario escolar, jornada escolar, la intensidad horaria mínima anual en cada nivel y las modificaciones que se realicen al mismo, de acuerdo con lo previsto en la normatividad vigente.</v>
      </c>
      <c r="K2070" s="11" t="str">
        <f>IFERROR(IF(VLOOKUP(A2070,[14]PRIORIZADOS!$A:$K,11,FALSE)="","",VLOOKUP(A2070,[14]PRIORIZADOS!$A:$K,11,FALSE)),"")</f>
        <v>JUAN MANUEL SANCHEZ MORA</v>
      </c>
      <c r="L2070" s="11" t="str">
        <f>IFERROR(IF(VLOOKUP(A2070,[14]PRIORIZADOS!$A:$L,12,FALSE)="","",VLOOKUP(A2070,[14]PRIORIZADOS!$A:$L,12,FALSE)),"")</f>
        <v>MARTHA RUT SILVA ABRIL</v>
      </c>
      <c r="M2070" s="71">
        <f>IFERROR(IF(VLOOKUP(A2070,[14]PRIORIZADOS!$A:$M,13,FALSE)="","",VLOOKUP(A2070,[14]PRIORIZADOS!$A:$M,13,FALSE)),"")</f>
        <v>45804</v>
      </c>
      <c r="N2070" s="71">
        <f>IFERROR(IF(VLOOKUP(A2070,[14]PRIORIZADOS!$A:$N,14,FALSE)="","",VLOOKUP(A2070,[14]PRIORIZADOS!$A:$N,14,FALSE)),"")</f>
        <v>45863</v>
      </c>
      <c r="O2070" s="71">
        <f>IFERROR(IF(VLOOKUP(A2070,[14]PRIORIZADOS!$A:$O,15,FALSE)="","",VLOOKUP(A2070,[14]PRIORIZADOS!$A:$O,15,FALSE)),"")</f>
        <v>45863</v>
      </c>
      <c r="P2070" s="11" t="str">
        <f>IFERROR(IF(VLOOKUP(A2070,[14]PRIORIZADOS!$A:$P,16,FALSE)="","",VLOOKUP(A2070,[14]PRIORIZADOS!$A:$P,16,FALSE)),"")</f>
        <v>Visitas de evaluación con fines de mejoramiento</v>
      </c>
      <c r="Q2070" s="153" t="s">
        <v>436</v>
      </c>
      <c r="R2070" s="11" t="str">
        <f>IFERROR(IF(VLOOKUP(A2070,[14]PRIORIZADOS!$A:$R,18,FALSE)="","",VLOOKUP(A2070,[14]PRIORIZADOS!$A:$R,18,FALSE)),"")</f>
        <v>Se observó que el calendario académico se ajusta a las intensidades mínimas establecidas.</v>
      </c>
      <c r="S2070" s="11" t="str">
        <f>IFERROR(IF(VLOOKUP(A2070,[14]PRIORIZADOS!$A:$S,19,FALSE)="","",VLOOKUP(A2070,[14]PRIORIZADOS!$A:$S,19,FALSE)),"")</f>
        <v>Continuar con el reporte y la ejecución del calendario académico.</v>
      </c>
      <c r="T2070" s="70" t="str">
        <f>IFERROR(IF(VLOOKUP(A2070,[14]PRIORIZADOS!$A:$T,20,FALSE)="","",VLOOKUP(A2070,[14]PRIORIZADOS!$A:$T,20,FALSE)),"")</f>
        <v>Si</v>
      </c>
      <c r="U2070" s="11" t="str">
        <f>IFERROR(IF(VLOOKUP(A2070,[14]PRIORIZADOS!$A:$U,21,FALSE)="","",VLOOKUP(A2070,[14]PRIORIZADOS!$A:$U,21,FALSE)),"")</f>
        <v>Verficar la informacion del plan de mejoramiento fijado para el 12 de septiembre de 2025.</v>
      </c>
    </row>
    <row r="2071" spans="1:21" s="1" customFormat="1" ht="60">
      <c r="A2071" s="69">
        <f>IF([14]PRIORIZADOS!A118="","",[14]PRIORIZADOS!A118)</f>
        <v>2039</v>
      </c>
      <c r="B2071" s="70">
        <f>IFERROR(IF(VLOOKUP(A2071,[14]PRIORIZADOS!$A:$B,2,FALSE)="","",VLOOKUP(A2071,[14]PRIORIZADOS!$A:$B,2,FALSE)),"")</f>
        <v>12</v>
      </c>
      <c r="C2071" s="11" t="s">
        <v>424</v>
      </c>
      <c r="D2071" s="11" t="str">
        <f>IFERROR(IF(VLOOKUP(A2071,[14]PRIORIZADOS!$A:$D,4,FALSE)="","",VLOOKUP(A2071,[14]PRIORIZADOS!$A:$D,4,FALSE)),"")</f>
        <v>PRIVADO</v>
      </c>
      <c r="E2071" s="11" t="str">
        <f>IFERROR(IF(VLOOKUP(A2071,[14]PRIORIZADOS!$A:$E,5,FALSE)="","",VLOOKUP(A2071,[14]PRIORIZADOS!$A:$E,5,FALSE)),"")</f>
        <v>Educación de Jóvenes y Adultos</v>
      </c>
      <c r="F2071" s="11" t="str">
        <f>IFERROR(IF(VLOOKUP(A2071,[14]PRIORIZADOS!$A:$F,6,FALSE)="","",VLOOKUP(A2071,[14]PRIORIZADOS!$A:$F,6,FALSE)),"")</f>
        <v>INSTITUTO_INTEGRADO_DE_SUBA_</v>
      </c>
      <c r="G2071" s="11" t="str">
        <f>IFERROR(IF(VLOOKUP(A2071,[14]PRIORIZADOS!$A:$G,7,FALSE)="","",VLOOKUP(A2071,[14]PRIORIZADOS!$A:$G,7,FALSE)),"")</f>
        <v>INSTITUTO INTEGRADO DE SUBA</v>
      </c>
      <c r="H2071" s="11" t="str">
        <f>IFERROR(IF(VLOOKUP(A2071,[14]PRIORIZADOS!$A:$H,8,FALSE)="","",VLOOKUP(A2071,[14]PRIORIZADOS!$A:$H,8,FALSE)),"")</f>
        <v>Autoevaluación Institucional y Pruebas SABER 11</v>
      </c>
      <c r="I2071" s="11" t="str">
        <f>IFERROR(IF(VLOOKUP(A2071,[14]PRIORIZADOS!$A:$I,9,FALSE)="","",VLOOKUP(A2071,[14]PRIORIZADOS!$A:$I,9,FALSE)),"")</f>
        <v>EVALUACIÓN_CON_FINES_DE_MEJORAMIENTO.</v>
      </c>
      <c r="J2071" s="11" t="str">
        <f>IFERROR(IF(VLOOKUP(A2071,[14]PRIORIZADOS!$A:$J,10,FALSE)="","",VLOOKUP(A2071,[14]PRIORIZADOS!$A:$J,10,FALSE)),"")</f>
        <v>Verificar el funcionamiento del Gobierno Escolar e instancias de participación con base en la información sobre conformación reportada por la institución educativa.</v>
      </c>
      <c r="K2071" s="11" t="str">
        <f>IFERROR(IF(VLOOKUP(A2071,[14]PRIORIZADOS!$A:$K,11,FALSE)="","",VLOOKUP(A2071,[14]PRIORIZADOS!$A:$K,11,FALSE)),"")</f>
        <v>JUAN MANUEL SANCHEZ MORA</v>
      </c>
      <c r="L2071" s="11" t="str">
        <f>IFERROR(IF(VLOOKUP(A2071,[14]PRIORIZADOS!$A:$L,12,FALSE)="","",VLOOKUP(A2071,[14]PRIORIZADOS!$A:$L,12,FALSE)),"")</f>
        <v>MARTHA RUT SILVA ABRIL</v>
      </c>
      <c r="M2071" s="71">
        <f>IFERROR(IF(VLOOKUP(A2071,[14]PRIORIZADOS!$A:$M,13,FALSE)="","",VLOOKUP(A2071,[14]PRIORIZADOS!$A:$M,13,FALSE)),"")</f>
        <v>45804</v>
      </c>
      <c r="N2071" s="71">
        <f>IFERROR(IF(VLOOKUP(A2071,[14]PRIORIZADOS!$A:$N,14,FALSE)="","",VLOOKUP(A2071,[14]PRIORIZADOS!$A:$N,14,FALSE)),"")</f>
        <v>45863</v>
      </c>
      <c r="O2071" s="71">
        <f>IFERROR(IF(VLOOKUP(A2071,[14]PRIORIZADOS!$A:$O,15,FALSE)="","",VLOOKUP(A2071,[14]PRIORIZADOS!$A:$O,15,FALSE)),"")</f>
        <v>45863</v>
      </c>
      <c r="P2071" s="11" t="str">
        <f>IFERROR(IF(VLOOKUP(A2071,[14]PRIORIZADOS!$A:$P,16,FALSE)="","",VLOOKUP(A2071,[14]PRIORIZADOS!$A:$P,16,FALSE)),"")</f>
        <v>Visitas de evaluación con fines de mejoramiento</v>
      </c>
      <c r="Q2071" s="153" t="s">
        <v>436</v>
      </c>
      <c r="R2071" s="11" t="str">
        <f>IFERROR(IF(VLOOKUP(A2071,[14]PRIORIZADOS!$A:$R,18,FALSE)="","",VLOOKUP(A2071,[14]PRIORIZADOS!$A:$R,18,FALSE)),"")</f>
        <v>Se observó actas de conformación del gobierno escolar y registro de actas de funcionamiento, sin embargo, no se encontró conformación de la Comisión de Evaluación y Promoción.</v>
      </c>
      <c r="S2071" s="11" t="str">
        <f>IFERROR(IF(VLOOKUP(A2071,[14]PRIORIZADOS!$A:$S,19,FALSE)="","",VLOOKUP(A2071,[14]PRIORIZADOS!$A:$S,19,FALSE)),"")</f>
        <v>Continuar con el funcionamiento de gobierno escolar y realizar la conformación,de la Comisión de Evaluación y Promoción así como la operatividad .</v>
      </c>
      <c r="T2071" s="70" t="str">
        <f>IFERROR(IF(VLOOKUP(A2071,[14]PRIORIZADOS!$A:$T,20,FALSE)="","",VLOOKUP(A2071,[14]PRIORIZADOS!$A:$T,20,FALSE)),"")</f>
        <v>Si</v>
      </c>
      <c r="U2071" s="11" t="str">
        <f>IFERROR(IF(VLOOKUP(A2071,[14]PRIORIZADOS!$A:$U,21,FALSE)="","",VLOOKUP(A2071,[14]PRIORIZADOS!$A:$U,21,FALSE)),"")</f>
        <v>Verficar la informacion del plan de mejoramiento fijado para el 12 de septiembre de 2025.</v>
      </c>
    </row>
    <row r="2072" spans="1:21" s="1" customFormat="1" ht="48">
      <c r="A2072" s="69">
        <f>IF([14]PRIORIZADOS!A119="","",[14]PRIORIZADOS!A119)</f>
        <v>2040</v>
      </c>
      <c r="B2072" s="70">
        <f>IFERROR(IF(VLOOKUP(A2072,[14]PRIORIZADOS!$A:$B,2,FALSE)="","",VLOOKUP(A2072,[14]PRIORIZADOS!$A:$B,2,FALSE)),"")</f>
        <v>12</v>
      </c>
      <c r="C2072" s="11" t="s">
        <v>424</v>
      </c>
      <c r="D2072" s="11" t="str">
        <f>IFERROR(IF(VLOOKUP(A2072,[14]PRIORIZADOS!$A:$D,4,FALSE)="","",VLOOKUP(A2072,[14]PRIORIZADOS!$A:$D,4,FALSE)),"")</f>
        <v>PRIVADO</v>
      </c>
      <c r="E2072" s="11" t="str">
        <f>IFERROR(IF(VLOOKUP(A2072,[14]PRIORIZADOS!$A:$E,5,FALSE)="","",VLOOKUP(A2072,[14]PRIORIZADOS!$A:$E,5,FALSE)),"")</f>
        <v>Educación de Jóvenes y Adultos</v>
      </c>
      <c r="F2072" s="11" t="str">
        <f>IFERROR(IF(VLOOKUP(A2072,[14]PRIORIZADOS!$A:$F,6,FALSE)="","",VLOOKUP(A2072,[14]PRIORIZADOS!$A:$F,6,FALSE)),"")</f>
        <v>INSTITUTO_INTEGRADO_DE_SUBA_</v>
      </c>
      <c r="G2072" s="11" t="str">
        <f>IFERROR(IF(VLOOKUP(A2072,[14]PRIORIZADOS!$A:$G,7,FALSE)="","",VLOOKUP(A2072,[14]PRIORIZADOS!$A:$G,7,FALSE)),"")</f>
        <v>INSTITUTO INTEGRADO DE SUBA</v>
      </c>
      <c r="H2072" s="11" t="str">
        <f>IFERROR(IF(VLOOKUP(A2072,[14]PRIORIZADOS!$A:$H,8,FALSE)="","",VLOOKUP(A2072,[14]PRIORIZADOS!$A:$H,8,FALSE)),"")</f>
        <v>Autoevaluación Institucional y Pruebas SABER 11</v>
      </c>
      <c r="I2072" s="11" t="str">
        <f>IFERROR(IF(VLOOKUP(A2072,[14]PRIORIZADOS!$A:$I,9,FALSE)="","",VLOOKUP(A2072,[14]PRIORIZADOS!$A:$I,9,FALSE)),"")</f>
        <v>EVALUACIÓN_CON_FINES_DE_MEJORAMIENTO.</v>
      </c>
      <c r="J2072" s="11" t="str">
        <f>IFERROR(IF(VLOOKUP(A2072,[14]PRIORIZADOS!$A:$J,10,FALSE)="","",VLOOKUP(A2072,[14]PRIORIZADOS!$A:$J,10,FALSE)),"")</f>
        <v>Verificar las condiciones en cuanto a: la estructura administrativa, condiciones de la planta física y medios educativos adecuados.</v>
      </c>
      <c r="K2072" s="11" t="str">
        <f>IFERROR(IF(VLOOKUP(A2072,[14]PRIORIZADOS!$A:$K,11,FALSE)="","",VLOOKUP(A2072,[14]PRIORIZADOS!$A:$K,11,FALSE)),"")</f>
        <v>JUAN MANUEL SANCHEZ MORA</v>
      </c>
      <c r="L2072" s="11" t="str">
        <f>IFERROR(IF(VLOOKUP(A2072,[14]PRIORIZADOS!$A:$L,12,FALSE)="","",VLOOKUP(A2072,[14]PRIORIZADOS!$A:$L,12,FALSE)),"")</f>
        <v>MARTHA RUT SILVA ABRIL</v>
      </c>
      <c r="M2072" s="71">
        <f>IFERROR(IF(VLOOKUP(A2072,[14]PRIORIZADOS!$A:$M,13,FALSE)="","",VLOOKUP(A2072,[14]PRIORIZADOS!$A:$M,13,FALSE)),"")</f>
        <v>45804</v>
      </c>
      <c r="N2072" s="71">
        <f>IFERROR(IF(VLOOKUP(A2072,[14]PRIORIZADOS!$A:$N,14,FALSE)="","",VLOOKUP(A2072,[14]PRIORIZADOS!$A:$N,14,FALSE)),"")</f>
        <v>45863</v>
      </c>
      <c r="O2072" s="71">
        <f>IFERROR(IF(VLOOKUP(A2072,[14]PRIORIZADOS!$A:$O,15,FALSE)="","",VLOOKUP(A2072,[14]PRIORIZADOS!$A:$O,15,FALSE)),"")</f>
        <v>45863</v>
      </c>
      <c r="P2072" s="11" t="str">
        <f>IFERROR(IF(VLOOKUP(A2072,[14]PRIORIZADOS!$A:$P,16,FALSE)="","",VLOOKUP(A2072,[14]PRIORIZADOS!$A:$P,16,FALSE)),"")</f>
        <v>Visitas de evaluación con fines de mejoramiento</v>
      </c>
      <c r="Q2072" s="153" t="s">
        <v>436</v>
      </c>
      <c r="R2072" s="11" t="str">
        <f>IFERROR(IF(VLOOKUP(A2072,[14]PRIORIZADOS!$A:$R,18,FALSE)="","",VLOOKUP(A2072,[14]PRIORIZADOS!$A:$R,18,FALSE)),"")</f>
        <v>Se observó que la planta física requiere continuar mejorando, en espacios pedagógicos, como sala de profesores, servicio de orentación escolar, entre otros.</v>
      </c>
      <c r="S2072" s="11" t="str">
        <f>IFERROR(IF(VLOOKUP(A2072,[14]PRIORIZADOS!$A:$S,19,FALSE)="","",VLOOKUP(A2072,[14]PRIORIZADOS!$A:$S,19,FALSE)),"")</f>
        <v>Continuar con la adecuación de los espacios pedagógicos y recreativos.</v>
      </c>
      <c r="T2072" s="70" t="str">
        <f>IFERROR(IF(VLOOKUP(A2072,[14]PRIORIZADOS!$A:$T,20,FALSE)="","",VLOOKUP(A2072,[14]PRIORIZADOS!$A:$T,20,FALSE)),"")</f>
        <v>Si</v>
      </c>
      <c r="U2072" s="11" t="str">
        <f>IFERROR(IF(VLOOKUP(A2072,[14]PRIORIZADOS!$A:$U,21,FALSE)="","",VLOOKUP(A2072,[14]PRIORIZADOS!$A:$U,21,FALSE)),"")</f>
        <v>Verficar la informacion del plan de mejoramiento fijado para el 12 de septiembre de 2025.</v>
      </c>
    </row>
    <row r="2073" spans="1:21" s="1" customFormat="1" ht="84">
      <c r="A2073" s="69">
        <f>IF([14]PRIORIZADOS!A120="","",[14]PRIORIZADOS!A120)</f>
        <v>2041</v>
      </c>
      <c r="B2073" s="70">
        <f>IFERROR(IF(VLOOKUP(A2073,[14]PRIORIZADOS!$A:$B,2,FALSE)="","",VLOOKUP(A2073,[14]PRIORIZADOS!$A:$B,2,FALSE)),"")</f>
        <v>13</v>
      </c>
      <c r="C2073" s="11" t="s">
        <v>424</v>
      </c>
      <c r="D2073" s="11" t="str">
        <f>IFERROR(IF(VLOOKUP(A2073,[14]PRIORIZADOS!$A:$D,4,FALSE)="","",VLOOKUP(A2073,[14]PRIORIZADOS!$A:$D,4,FALSE)),"")</f>
        <v>PRIVADO</v>
      </c>
      <c r="E2073" s="11" t="str">
        <f>IFERROR(IF(VLOOKUP(A2073,[14]PRIORIZADOS!$A:$E,5,FALSE)="","",VLOOKUP(A2073,[14]PRIORIZADOS!$A:$E,5,FALSE)),"")</f>
        <v>Educación de Jóvenes y Adultos</v>
      </c>
      <c r="F2073" s="11" t="str">
        <f>IFERROR(IF(VLOOKUP(A2073,[14]PRIORIZADOS!$A:$F,6,FALSE)="","",VLOOKUP(A2073,[14]PRIORIZADOS!$A:$F,6,FALSE)),"")</f>
        <v>INSTITUTO_CENTRAL_DE_ESTUDIOS</v>
      </c>
      <c r="G2073" s="11" t="str">
        <f>IFERROR(IF(VLOOKUP(A2073,[14]PRIORIZADOS!$A:$G,7,FALSE)="","",VLOOKUP(A2073,[14]PRIORIZADOS!$A:$G,7,FALSE)),"")</f>
        <v>INSTITUTO CENTRAL DE ESTUDIOS</v>
      </c>
      <c r="H2073" s="11" t="str">
        <f>IFERROR(IF(VLOOKUP(A2073,[14]PRIORIZADOS!$A:$H,8,FALSE)="","",VLOOKUP(A2073,[14]PRIORIZADOS!$A:$H,8,FALSE)),"")</f>
        <v>Autoevaluación Institucional y Pruebas SABER 11</v>
      </c>
      <c r="I2073" s="11" t="str">
        <f>IFERROR(IF(VLOOKUP(A2073,[14]PRIORIZADOS!$A:$I,9,FALSE)="","",VLOOKUP(A2073,[14]PRIORIZADOS!$A:$I,9,FALSE)),"")</f>
        <v>SEGUIMIENTO_Y_SUPERVISIÓN.</v>
      </c>
      <c r="J2073" s="11" t="str">
        <f>IFERROR(IF(VLOOKUP(A2073,[14]PRIORIZADOS!$A:$J,10,FALSE)="","",VLOOKUP(A2073,[14]PRIORIZADOS!$A:$J,10,FALSE)),"")</f>
        <v>Realizar visitas para verificar la información registrada sobre la autoevaluación institucional en el aplicativo EVI, a los establecimientos de educación formal no oficial.</v>
      </c>
      <c r="K2073" s="11" t="str">
        <f>IFERROR(IF(VLOOKUP(A2073,[14]PRIORIZADOS!$A:$K,11,FALSE)="","",VLOOKUP(A2073,[14]PRIORIZADOS!$A:$K,11,FALSE)),"")</f>
        <v>JENNIFFER ESPERANZA GONZÁLEZ GÓMEZ</v>
      </c>
      <c r="L2073" s="11" t="str">
        <f>IFERROR(IF(VLOOKUP(A2073,[14]PRIORIZADOS!$A:$L,12,FALSE)="","",VLOOKUP(A2073,[14]PRIORIZADOS!$A:$L,12,FALSE)),"")</f>
        <v>SONIA YAMILE ARTEAGA MELO</v>
      </c>
      <c r="M2073" s="71">
        <f>IFERROR(IF(VLOOKUP(A2073,[14]PRIORIZADOS!$A:$M,13,FALSE)="","",VLOOKUP(A2073,[14]PRIORIZADOS!$A:$M,13,FALSE)),"")</f>
        <v>45742</v>
      </c>
      <c r="N2073" s="71">
        <f>IFERROR(IF(VLOOKUP(A2073,[14]PRIORIZADOS!$A:$N,14,FALSE)="","",VLOOKUP(A2073,[14]PRIORIZADOS!$A:$N,14,FALSE)),"")</f>
        <v>45744</v>
      </c>
      <c r="O2073" s="71">
        <f>IFERROR(IF(VLOOKUP(A2073,[14]PRIORIZADOS!$A:$O,15,FALSE)="","",VLOOKUP(A2073,[14]PRIORIZADOS!$A:$O,15,FALSE)),"")</f>
        <v>45744</v>
      </c>
      <c r="P2073" s="11" t="str">
        <f>IFERROR(IF(VLOOKUP(A2073,[14]PRIORIZADOS!$A:$P,16,FALSE)="","",VLOOKUP(A2073,[14]PRIORIZADOS!$A:$P,16,FALSE)),"")</f>
        <v>Visitas de evaluación con fines de seguimiento</v>
      </c>
      <c r="Q2073" s="253" t="s">
        <v>437</v>
      </c>
      <c r="R2073" s="11" t="str">
        <f>IFERROR(IF(VLOOKUP(A2073,[14]PRIORIZADOS!$A:$R,18,FALSE)="","",VLOOKUP(A2073,[14]PRIORIZADOS!$A:$R,18,FALSE)),"")</f>
        <v>Se evidencio que la instittución no ha diligenciado el aplicativo EVI, por lo cual se realizaron requerimientos respecto a docentes, baños, computadores, horas mínimas en calendario académico con el fin de verificar aspectos que se requieren para el diligenciamiento del aplicativo EVI</v>
      </c>
      <c r="S2073" s="11" t="str">
        <f>IFERROR(IF(VLOOKUP(A2073,[14]PRIORIZADOS!$A:$S,19,FALSE)="","",VLOOKUP(A2073,[14]PRIORIZADOS!$A:$S,19,FALSE)),"")</f>
        <v>Realizar la revisión de la normatividad relacionada con las tarifas y  diligenciar la plataforma para la vigencia 2026  de  manera competa. Elaborar plan de mejoramiento sobre todos los indicadores y remitirlo  antes del 20 de abril</v>
      </c>
      <c r="T2073" s="70" t="str">
        <f>IFERROR(IF(VLOOKUP(A2073,[14]PRIORIZADOS!$A:$T,20,FALSE)="","",VLOOKUP(A2073,[14]PRIORIZADOS!$A:$T,20,FALSE)),"")</f>
        <v>Si</v>
      </c>
      <c r="U2073" s="11" t="str">
        <f>IFERROR(IF(VLOOKUP(A2073,[14]PRIORIZADOS!$A:$U,21,FALSE)="","",VLOOKUP(A2073,[14]PRIORIZADOS!$A:$U,21,FALSE)),"")</f>
        <v>Verificar el diligenciamiento y publicación de documentos en el aplicativo EVI para la vigencia 2026.</v>
      </c>
    </row>
    <row r="2074" spans="1:21" s="1" customFormat="1" ht="72">
      <c r="A2074" s="69">
        <f>IF([14]PRIORIZADOS!A121="","",[14]PRIORIZADOS!A121)</f>
        <v>2042</v>
      </c>
      <c r="B2074" s="70">
        <f>IFERROR(IF(VLOOKUP(A2074,[14]PRIORIZADOS!$A:$B,2,FALSE)="","",VLOOKUP(A2074,[14]PRIORIZADOS!$A:$B,2,FALSE)),"")</f>
        <v>13</v>
      </c>
      <c r="C2074" s="11" t="s">
        <v>424</v>
      </c>
      <c r="D2074" s="11" t="str">
        <f>IFERROR(IF(VLOOKUP(A2074,[14]PRIORIZADOS!$A:$D,4,FALSE)="","",VLOOKUP(A2074,[14]PRIORIZADOS!$A:$D,4,FALSE)),"")</f>
        <v>PRIVADO</v>
      </c>
      <c r="E2074" s="11" t="str">
        <f>IFERROR(IF(VLOOKUP(A2074,[14]PRIORIZADOS!$A:$E,5,FALSE)="","",VLOOKUP(A2074,[14]PRIORIZADOS!$A:$E,5,FALSE)),"")</f>
        <v>Educación de Jóvenes y Adultos</v>
      </c>
      <c r="F2074" s="11" t="str">
        <f>IFERROR(IF(VLOOKUP(A2074,[14]PRIORIZADOS!$A:$F,6,FALSE)="","",VLOOKUP(A2074,[14]PRIORIZADOS!$A:$F,6,FALSE)),"")</f>
        <v>INSTITUTO_CENTRAL_DE_ESTUDIOS</v>
      </c>
      <c r="G2074" s="11" t="str">
        <f>IFERROR(IF(VLOOKUP(A2074,[14]PRIORIZADOS!$A:$G,7,FALSE)="","",VLOOKUP(A2074,[14]PRIORIZADOS!$A:$G,7,FALSE)),"")</f>
        <v>INSTITUTO CENTRAL DE ESTUDIOS</v>
      </c>
      <c r="H2074" s="11" t="str">
        <f>IFERROR(IF(VLOOKUP(A2074,[14]PRIORIZADOS!$A:$H,8,FALSE)="","",VLOOKUP(A2074,[14]PRIORIZADOS!$A:$H,8,FALSE)),"")</f>
        <v>Autoevaluación Institucional y Pruebas SABER 11</v>
      </c>
      <c r="I2074" s="11" t="str">
        <f>IFERROR(IF(VLOOKUP(A2074,[14]PRIORIZADOS!$A:$I,9,FALSE)="","",VLOOKUP(A2074,[14]PRIORIZADOS!$A:$I,9,FALSE)),"")</f>
        <v>SEGUIMIENTO_Y_SUPERVISIÓN.</v>
      </c>
      <c r="J2074" s="11" t="str">
        <f>IFERROR(IF(VLOOKUP(A2074,[14]PRIORIZADOS!$A:$J,10,FALSE)="","",VLOOKUP(A2074,[14]PRIORIZADOS!$A:$J,10,FALSE)),"")</f>
        <v>Proponer estrategias en la formulación, verificar su elaboración y realizar seguimiento semestral al desarrollo de  las acciones establecidas en los planes de mejoramiento por pruebas SABER 11 de los establecimientos de educación formal.</v>
      </c>
      <c r="K2074" s="11" t="str">
        <f>IFERROR(IF(VLOOKUP(A2074,[14]PRIORIZADOS!$A:$K,11,FALSE)="","",VLOOKUP(A2074,[14]PRIORIZADOS!$A:$K,11,FALSE)),"")</f>
        <v>JENNIFFER ESPERANZA GONZÁLEZ GÓMEZ</v>
      </c>
      <c r="L2074" s="11" t="str">
        <f>IFERROR(IF(VLOOKUP(A2074,[14]PRIORIZADOS!$A:$L,12,FALSE)="","",VLOOKUP(A2074,[14]PRIORIZADOS!$A:$L,12,FALSE)),"")</f>
        <v>SONIA YAMILE ARTEAGA MELO</v>
      </c>
      <c r="M2074" s="71">
        <f>IFERROR(IF(VLOOKUP(A2074,[14]PRIORIZADOS!$A:$M,13,FALSE)="","",VLOOKUP(A2074,[14]PRIORIZADOS!$A:$M,13,FALSE)),"")</f>
        <v>45742</v>
      </c>
      <c r="N2074" s="71">
        <f>IFERROR(IF(VLOOKUP(A2074,[14]PRIORIZADOS!$A:$N,14,FALSE)="","",VLOOKUP(A2074,[14]PRIORIZADOS!$A:$N,14,FALSE)),"")</f>
        <v>45744</v>
      </c>
      <c r="O2074" s="71">
        <f>IFERROR(IF(VLOOKUP(A2074,[14]PRIORIZADOS!$A:$O,15,FALSE)="","",VLOOKUP(A2074,[14]PRIORIZADOS!$A:$O,15,FALSE)),"")</f>
        <v>45744</v>
      </c>
      <c r="P2074" s="11" t="str">
        <f>IFERROR(IF(VLOOKUP(A2074,[14]PRIORIZADOS!$A:$P,16,FALSE)="","",VLOOKUP(A2074,[14]PRIORIZADOS!$A:$P,16,FALSE)),"")</f>
        <v>Visitas de evaluación con fines de seguimiento</v>
      </c>
      <c r="Q2074" s="7" t="s">
        <v>437</v>
      </c>
      <c r="R2074" s="11" t="str">
        <f>IFERROR(IF(VLOOKUP(A2074,[14]PRIORIZADOS!$A:$R,18,FALSE)="","",VLOOKUP(A2074,[14]PRIORIZADOS!$A:$R,18,FALSE)),"")</f>
        <v>Se verificó el bajo resultado en las  Pruebas saber y la retroaliemntación realizada por los docentesa cerca de la evaluación de las  causales, asignaturas con más bajo resultado  y acciones de mejora.</v>
      </c>
      <c r="S2074" s="11" t="str">
        <f>IFERROR(IF(VLOOKUP(A2074,[14]PRIORIZADOS!$A:$S,19,FALSE)="","",VLOOKUP(A2074,[14]PRIORIZADOS!$A:$S,19,FALSE)),"")</f>
        <v>Revisar los resultados y la relación con las asignaturas del plan de estudio. Elaborar plan de mejoramiento sobre todos los indicadores y remitirlo a la DLE antes del 20 de abril</v>
      </c>
      <c r="T2074" s="70" t="str">
        <f>IFERROR(IF(VLOOKUP(A2074,[14]PRIORIZADOS!$A:$T,20,FALSE)="","",VLOOKUP(A2074,[14]PRIORIZADOS!$A:$T,20,FALSE)),"")</f>
        <v>Si</v>
      </c>
      <c r="U2074" s="11" t="str">
        <f>IFERROR(IF(VLOOKUP(A2074,[14]PRIORIZADOS!$A:$U,21,FALSE)="","",VLOOKUP(A2074,[14]PRIORIZADOS!$A:$U,21,FALSE)),"")</f>
        <v>Verificar los resultados y las acciones en las asignaturas que presentan puntajes más bajos en la próxima calificación de las pruebas</v>
      </c>
    </row>
    <row r="2075" spans="1:21" s="1" customFormat="1" ht="96">
      <c r="A2075" s="69">
        <f>IF([14]PRIORIZADOS!A122="","",[14]PRIORIZADOS!A122)</f>
        <v>2043</v>
      </c>
      <c r="B2075" s="70">
        <f>IFERROR(IF(VLOOKUP(A2075,[14]PRIORIZADOS!$A:$B,2,FALSE)="","",VLOOKUP(A2075,[14]PRIORIZADOS!$A:$B,2,FALSE)),"")</f>
        <v>13</v>
      </c>
      <c r="C2075" s="11" t="s">
        <v>424</v>
      </c>
      <c r="D2075" s="11" t="str">
        <f>IFERROR(IF(VLOOKUP(A2075,[14]PRIORIZADOS!$A:$D,4,FALSE)="","",VLOOKUP(A2075,[14]PRIORIZADOS!$A:$D,4,FALSE)),"")</f>
        <v>PRIVADO</v>
      </c>
      <c r="E2075" s="11" t="str">
        <f>IFERROR(IF(VLOOKUP(A2075,[14]PRIORIZADOS!$A:$E,5,FALSE)="","",VLOOKUP(A2075,[14]PRIORIZADOS!$A:$E,5,FALSE)),"")</f>
        <v>Educación de Jóvenes y Adultos</v>
      </c>
      <c r="F2075" s="11" t="str">
        <f>IFERROR(IF(VLOOKUP(A2075,[14]PRIORIZADOS!$A:$F,6,FALSE)="","",VLOOKUP(A2075,[14]PRIORIZADOS!$A:$F,6,FALSE)),"")</f>
        <v>INSTITUTO_CENTRAL_DE_ESTUDIOS</v>
      </c>
      <c r="G2075" s="11" t="str">
        <f>IFERROR(IF(VLOOKUP(A2075,[14]PRIORIZADOS!$A:$G,7,FALSE)="","",VLOOKUP(A2075,[14]PRIORIZADOS!$A:$G,7,FALSE)),"")</f>
        <v>INSTITUTO CENTRAL DE ESTUDIOS</v>
      </c>
      <c r="H2075" s="11" t="str">
        <f>IFERROR(IF(VLOOKUP(A2075,[14]PRIORIZADOS!$A:$H,8,FALSE)="","",VLOOKUP(A2075,[14]PRIORIZADOS!$A:$H,8,FALSE)),"")</f>
        <v>Autoevaluación Institucional y Pruebas SABER 11</v>
      </c>
      <c r="I2075" s="11" t="str">
        <f>IFERROR(IF(VLOOKUP(A2075,[14]PRIORIZADOS!$A:$I,9,FALSE)="","",VLOOKUP(A2075,[14]PRIORIZADOS!$A:$I,9,FALSE)),"")</f>
        <v>SEGUIMIENTO_Y_SUPERVISIÓN.</v>
      </c>
      <c r="J2075" s="11" t="str">
        <f>IFERROR(IF(VLOOKUP(A2075,[14]PRIORIZADOS!$A:$J,10,FALSE)="","",VLOOKUP(A2075,[14]PRIORIZADOS!$A:$J,10,FALSE)),"")</f>
        <v xml:space="preserve">Verificar la implementación por parte de los colegios, de acciones realizadas para la prevención y atención de las situaciones de convivencia en el entorno escolar, según lo establecido en la Directiva 01 de 2022 del MEN. </v>
      </c>
      <c r="K2075" s="11" t="str">
        <f>IFERROR(IF(VLOOKUP(A2075,[14]PRIORIZADOS!$A:$K,11,FALSE)="","",VLOOKUP(A2075,[14]PRIORIZADOS!$A:$K,11,FALSE)),"")</f>
        <v>JENNIFFER ESPERANZA GONZÁLEZ GÓMEZ</v>
      </c>
      <c r="L2075" s="11" t="str">
        <f>IFERROR(IF(VLOOKUP(A2075,[14]PRIORIZADOS!$A:$L,12,FALSE)="","",VLOOKUP(A2075,[14]PRIORIZADOS!$A:$L,12,FALSE)),"")</f>
        <v>SONIA YAMILE ARTEAGA MELO</v>
      </c>
      <c r="M2075" s="71">
        <f>IFERROR(IF(VLOOKUP(A2075,[14]PRIORIZADOS!$A:$M,13,FALSE)="","",VLOOKUP(A2075,[14]PRIORIZADOS!$A:$M,13,FALSE)),"")</f>
        <v>45742</v>
      </c>
      <c r="N2075" s="71">
        <f>IFERROR(IF(VLOOKUP(A2075,[14]PRIORIZADOS!$A:$N,14,FALSE)="","",VLOOKUP(A2075,[14]PRIORIZADOS!$A:$N,14,FALSE)),"")</f>
        <v>45744</v>
      </c>
      <c r="O2075" s="71">
        <f>IFERROR(IF(VLOOKUP(A2075,[14]PRIORIZADOS!$A:$O,15,FALSE)="","",VLOOKUP(A2075,[14]PRIORIZADOS!$A:$O,15,FALSE)),"")</f>
        <v>45744</v>
      </c>
      <c r="P2075" s="11" t="str">
        <f>IFERROR(IF(VLOOKUP(A2075,[14]PRIORIZADOS!$A:$P,16,FALSE)="","",VLOOKUP(A2075,[14]PRIORIZADOS!$A:$P,16,FALSE)),"")</f>
        <v>Visitas de evaluación con fines de seguimiento</v>
      </c>
      <c r="Q2075" s="7" t="s">
        <v>437</v>
      </c>
      <c r="R2075" s="11" t="str">
        <f>IFERROR(IF(VLOOKUP(A2075,[14]PRIORIZADOS!$A:$R,18,FALSE)="","",VLOOKUP(A2075,[14]PRIORIZADOS!$A:$R,18,FALSE)),"")</f>
        <v>Se verificaron las consulta en la página de la policia de los antecedentes de los docentes de conformidad a la directiva  001 del 2022, del mes de febrero. se encuentra que no tienen acceso al sistemas y de alertas y no han tenido conflictos que ameriten la activación de rutas.</v>
      </c>
      <c r="S2075" s="11" t="str">
        <f>IFERROR(IF(VLOOKUP(A2075,[14]PRIORIZADOS!$A:$S,19,FALSE)="","",VLOOKUP(A2075,[14]PRIORIZADOS!$A:$S,19,FALSE)),"")</f>
        <v xml:space="preserve">Continuar con las consultas en la pagina de antecedentes sexuales. Solicitar la clave y usuario del sistema de alertas e incluir y desarollar en el manual de convivencia los protocolos de atención </v>
      </c>
      <c r="T2075" s="70" t="str">
        <f>IFERROR(IF(VLOOKUP(A2075,[14]PRIORIZADOS!$A:$T,20,FALSE)="","",VLOOKUP(A2075,[14]PRIORIZADOS!$A:$T,20,FALSE)),"")</f>
        <v>si</v>
      </c>
      <c r="U2075" s="11" t="str">
        <f>IFERROR(IF(VLOOKUP(A2075,[14]PRIORIZADOS!$A:$U,21,FALSE)="","",VLOOKUP(A2075,[14]PRIORIZADOS!$A:$U,21,FALSE)),"")</f>
        <v>Verificar las modificaciones en manual de convivencia respecto a los protocolos de atención revisión que se llevará a cabo con fecha limite 31 de julio</v>
      </c>
    </row>
    <row r="2076" spans="1:21" s="1" customFormat="1" ht="118.5">
      <c r="A2076" s="69">
        <f>IF([14]PRIORIZADOS!A123="","",[14]PRIORIZADOS!A123)</f>
        <v>2044</v>
      </c>
      <c r="B2076" s="70">
        <f>IFERROR(IF(VLOOKUP(A2076,[14]PRIORIZADOS!$A:$B,2,FALSE)="","",VLOOKUP(A2076,[14]PRIORIZADOS!$A:$B,2,FALSE)),"")</f>
        <v>13</v>
      </c>
      <c r="C2076" s="11" t="s">
        <v>424</v>
      </c>
      <c r="D2076" s="11" t="str">
        <f>IFERROR(IF(VLOOKUP(A2076,[14]PRIORIZADOS!$A:$D,4,FALSE)="","",VLOOKUP(A2076,[14]PRIORIZADOS!$A:$D,4,FALSE)),"")</f>
        <v>PRIVADO</v>
      </c>
      <c r="E2076" s="11" t="str">
        <f>IFERROR(IF(VLOOKUP(A2076,[14]PRIORIZADOS!$A:$E,5,FALSE)="","",VLOOKUP(A2076,[14]PRIORIZADOS!$A:$E,5,FALSE)),"")</f>
        <v>Educación de Jóvenes y Adultos</v>
      </c>
      <c r="F2076" s="11" t="str">
        <f>IFERROR(IF(VLOOKUP(A2076,[14]PRIORIZADOS!$A:$F,6,FALSE)="","",VLOOKUP(A2076,[14]PRIORIZADOS!$A:$F,6,FALSE)),"")</f>
        <v>INSTITUTO_CENTRAL_DE_ESTUDIOS</v>
      </c>
      <c r="G2076" s="11" t="str">
        <f>IFERROR(IF(VLOOKUP(A2076,[14]PRIORIZADOS!$A:$G,7,FALSE)="","",VLOOKUP(A2076,[14]PRIORIZADOS!$A:$G,7,FALSE)),"")</f>
        <v>INSTITUTO CENTRAL DE ESTUDIOS</v>
      </c>
      <c r="H2076" s="11" t="str">
        <f>IFERROR(IF(VLOOKUP(A2076,[14]PRIORIZADOS!$A:$H,8,FALSE)="","",VLOOKUP(A2076,[14]PRIORIZADOS!$A:$H,8,FALSE)),"")</f>
        <v>Autoevaluación Institucional y Pruebas SABER 11</v>
      </c>
      <c r="I2076" s="11" t="str">
        <f>IFERROR(IF(VLOOKUP(A2076,[14]PRIORIZADOS!$A:$I,9,FALSE)="","",VLOOKUP(A2076,[14]PRIORIZADOS!$A:$I,9,FALSE)),"")</f>
        <v>SEGUIMIENTO_Y_SUPERVISIÓN.</v>
      </c>
      <c r="J2076" s="11" t="str">
        <f>IFERROR(IF(VLOOKUP(A2076,[14]PRIORIZADOS!$A:$J,10,FALSE)="","",VLOOKUP(A2076,[14]PRIORIZADOS!$A:$J,10,FALSE)),"")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76" s="11" t="str">
        <f>IFERROR(IF(VLOOKUP(A2076,[14]PRIORIZADOS!$A:$K,11,FALSE)="","",VLOOKUP(A2076,[14]PRIORIZADOS!$A:$K,11,FALSE)),"")</f>
        <v>JENNIFFER ESPERANZA GONZÁLEZ GÓMEZ</v>
      </c>
      <c r="L2076" s="11" t="str">
        <f>IFERROR(IF(VLOOKUP(A2076,[14]PRIORIZADOS!$A:$L,12,FALSE)="","",VLOOKUP(A2076,[14]PRIORIZADOS!$A:$L,12,FALSE)),"")</f>
        <v>SONIA YAMILE ARTEAGA MELO</v>
      </c>
      <c r="M2076" s="71">
        <f>IFERROR(IF(VLOOKUP(A2076,[14]PRIORIZADOS!$A:$M,13,FALSE)="","",VLOOKUP(A2076,[14]PRIORIZADOS!$A:$M,13,FALSE)),"")</f>
        <v>45742</v>
      </c>
      <c r="N2076" s="71">
        <f>IFERROR(IF(VLOOKUP(A2076,[14]PRIORIZADOS!$A:$N,14,FALSE)="","",VLOOKUP(A2076,[14]PRIORIZADOS!$A:$N,14,FALSE)),"")</f>
        <v>45744</v>
      </c>
      <c r="O2076" s="71">
        <f>IFERROR(IF(VLOOKUP(A2076,[14]PRIORIZADOS!$A:$O,15,FALSE)="","",VLOOKUP(A2076,[14]PRIORIZADOS!$A:$O,15,FALSE)),"")</f>
        <v>45744</v>
      </c>
      <c r="P2076" s="11" t="str">
        <f>IFERROR(IF(VLOOKUP(A2076,[14]PRIORIZADOS!$A:$P,16,FALSE)="","",VLOOKUP(A2076,[14]PRIORIZADOS!$A:$P,16,FALSE)),"")</f>
        <v>Visitas de evaluación con fines de seguimiento</v>
      </c>
      <c r="Q2076" s="7" t="s">
        <v>437</v>
      </c>
      <c r="R2076" s="11" t="str">
        <f>IFERROR(IF(VLOOKUP(A2076,[14]PRIORIZADOS!$A:$R,18,FALSE)="","",VLOOKUP(A2076,[14]PRIORIZADOS!$A:$R,18,FALSE)),"")</f>
        <v>Se evidenció en el SIMAT que el colegio no tiene estudiantes matriculados en condición de discapacidad; además  la rectora manifiesta que no tiene estudiantes diagnosticados con talentos excepcionales y trastornos de aprendizaje a la fecha.</v>
      </c>
      <c r="S2076" s="11" t="str">
        <f>IFERROR(IF(VLOOKUP(A2076,[14]PRIORIZADOS!$A:$S,19,FALSE)="","",VLOOKUP(A2076,[14]PRIORIZADOS!$A:$S,19,FALSE)),"")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20 de abril</v>
      </c>
      <c r="T2076" s="70" t="str">
        <f>IFERROR(IF(VLOOKUP(A2076,[14]PRIORIZADOS!$A:$T,20,FALSE)="","",VLOOKUP(A2076,[14]PRIORIZADOS!$A:$T,20,FALSE)),"")</f>
        <v>Si</v>
      </c>
      <c r="U2076" s="11" t="str">
        <f>IFERROR(IF(VLOOKUP(A2076,[14]PRIORIZADOS!$A:$U,21,FALSE)="","",VLOOKUP(A2076,[14]PRIORIZADOS!$A:$U,21,FALSE)),"")</f>
        <v>Verificar las modificaciones en manual de convivencia respecto a la poblacion con discapacidad.con fecha límite el 31 de julio</v>
      </c>
    </row>
    <row r="2077" spans="1:21" s="1" customFormat="1" ht="84">
      <c r="A2077" s="69">
        <f>IF([14]PRIORIZADOS!A124="","",[14]PRIORIZADOS!A124)</f>
        <v>2045</v>
      </c>
      <c r="B2077" s="70">
        <f>IFERROR(IF(VLOOKUP(A2077,[14]PRIORIZADOS!$A:$B,2,FALSE)="","",VLOOKUP(A2077,[14]PRIORIZADOS!$A:$B,2,FALSE)),"")</f>
        <v>13</v>
      </c>
      <c r="C2077" s="11" t="s">
        <v>424</v>
      </c>
      <c r="D2077" s="11" t="str">
        <f>IFERROR(IF(VLOOKUP(A2077,[14]PRIORIZADOS!$A:$D,4,FALSE)="","",VLOOKUP(A2077,[14]PRIORIZADOS!$A:$D,4,FALSE)),"")</f>
        <v>PRIVADO</v>
      </c>
      <c r="E2077" s="11" t="str">
        <f>IFERROR(IF(VLOOKUP(A2077,[14]PRIORIZADOS!$A:$E,5,FALSE)="","",VLOOKUP(A2077,[14]PRIORIZADOS!$A:$E,5,FALSE)),"")</f>
        <v>Educación de Jóvenes y Adultos</v>
      </c>
      <c r="F2077" s="11" t="str">
        <f>IFERROR(IF(VLOOKUP(A2077,[14]PRIORIZADOS!$A:$F,6,FALSE)="","",VLOOKUP(A2077,[14]PRIORIZADOS!$A:$F,6,FALSE)),"")</f>
        <v>INSTITUTO_CENTRAL_DE_ESTUDIOS</v>
      </c>
      <c r="G2077" s="11" t="str">
        <f>IFERROR(IF(VLOOKUP(A2077,[14]PRIORIZADOS!$A:$G,7,FALSE)="","",VLOOKUP(A2077,[14]PRIORIZADOS!$A:$G,7,FALSE)),"")</f>
        <v>INSTITUTO CENTRAL DE ESTUDIOS</v>
      </c>
      <c r="H2077" s="11" t="str">
        <f>IFERROR(IF(VLOOKUP(A2077,[14]PRIORIZADOS!$A:$H,8,FALSE)="","",VLOOKUP(A2077,[14]PRIORIZADOS!$A:$H,8,FALSE)),"")</f>
        <v>Autoevaluación Institucional y Pruebas SABER 11</v>
      </c>
      <c r="I2077" s="11" t="str">
        <f>IFERROR(IF(VLOOKUP(A2077,[14]PRIORIZADOS!$A:$I,9,FALSE)="","",VLOOKUP(A2077,[14]PRIORIZADOS!$A:$I,9,FALSE)),"")</f>
        <v>EVALUACIÓN_CON_FINES_DE_MEJORAMIENTO.</v>
      </c>
      <c r="J2077" s="11" t="str">
        <f>IFERROR(IF(VLOOKUP(A2077,[14]PRIORIZADOS!$A:$J,10,FALSE)="","",VLOOKUP(A2077,[14]PRIORIZADOS!$A:$J,10,FALSE)),"")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77" s="11" t="str">
        <f>IFERROR(IF(VLOOKUP(A2077,[14]PRIORIZADOS!$A:$K,11,FALSE)="","",VLOOKUP(A2077,[14]PRIORIZADOS!$A:$K,11,FALSE)),"")</f>
        <v>JENNIFFER ESPERANZA GONZÁLEZ GÓMEZ</v>
      </c>
      <c r="L2077" s="11" t="str">
        <f>IFERROR(IF(VLOOKUP(A2077,[14]PRIORIZADOS!$A:$L,12,FALSE)="","",VLOOKUP(A2077,[14]PRIORIZADOS!$A:$L,12,FALSE)),"")</f>
        <v>SONIA YAMILE ARTEAGA MELO</v>
      </c>
      <c r="M2077" s="71">
        <f>IFERROR(IF(VLOOKUP(A2077,[14]PRIORIZADOS!$A:$M,13,FALSE)="","",VLOOKUP(A2077,[14]PRIORIZADOS!$A:$M,13,FALSE)),"")</f>
        <v>45742</v>
      </c>
      <c r="N2077" s="71">
        <f>IFERROR(IF(VLOOKUP(A2077,[14]PRIORIZADOS!$A:$N,14,FALSE)="","",VLOOKUP(A2077,[14]PRIORIZADOS!$A:$N,14,FALSE)),"")</f>
        <v>45744</v>
      </c>
      <c r="O2077" s="71">
        <f>IFERROR(IF(VLOOKUP(A2077,[14]PRIORIZADOS!$A:$O,15,FALSE)="","",VLOOKUP(A2077,[14]PRIORIZADOS!$A:$O,15,FALSE)),"")</f>
        <v>45744</v>
      </c>
      <c r="P2077" s="11" t="str">
        <f>IFERROR(IF(VLOOKUP(A2077,[14]PRIORIZADOS!$A:$P,16,FALSE)="","",VLOOKUP(A2077,[14]PRIORIZADOS!$A:$P,16,FALSE)),"")</f>
        <v>Visitas de evaluación con fines de mejoramiento</v>
      </c>
      <c r="Q2077" s="7" t="s">
        <v>437</v>
      </c>
      <c r="R2077" s="11" t="str">
        <f>IFERROR(IF(VLOOKUP(A2077,[14]PRIORIZADOS!$A:$R,18,FALSE)="","",VLOOKUP(A2077,[14]PRIORIZADOS!$A:$R,18,FALSE)),"")</f>
        <v>Se encontro que al revisar el manual de convivencia , con la última actualización, falta añadir algunas normas en el marco jurídico, falta desarrollar lo que tiene que ver con protocolos de atencion, entre otros.</v>
      </c>
      <c r="S2077" s="11" t="str">
        <f>IFERROR(IF(VLOOKUP(A2077,[14]PRIORIZADOS!$A:$S,19,FALSE)="","",VLOOKUP(A2077,[14]PRIORIZADOS!$A:$S,19,FALSE)),"")</f>
        <v>Realizar la actualización del manuel convivencia.            Elaborar plan de mejoramiento sobre todos los indicadores y remitirlo a la DLE antes del 20 de abril</v>
      </c>
      <c r="T2077" s="70" t="str">
        <f>IFERROR(IF(VLOOKUP(A2077,[14]PRIORIZADOS!$A:$T,20,FALSE)="","",VLOOKUP(A2077,[14]PRIORIZADOS!$A:$T,20,FALSE)),"")</f>
        <v>Si</v>
      </c>
      <c r="U2077" s="11" t="str">
        <f>IFERROR(IF(VLOOKUP(A2077,[14]PRIORIZADOS!$A:$U,21,FALSE)="","",VLOOKUP(A2077,[14]PRIORIZADOS!$A:$U,21,FALSE)),"")</f>
        <v>Revisar la actualización del manual de convivencia ccon fecha límite el 31 de julio</v>
      </c>
    </row>
    <row r="2078" spans="1:21" s="1" customFormat="1" ht="60">
      <c r="A2078" s="69">
        <f>IF([14]PRIORIZADOS!A125="","",[14]PRIORIZADOS!A125)</f>
        <v>2046</v>
      </c>
      <c r="B2078" s="70">
        <f>IFERROR(IF(VLOOKUP(A2078,[14]PRIORIZADOS!$A:$B,2,FALSE)="","",VLOOKUP(A2078,[14]PRIORIZADOS!$A:$B,2,FALSE)),"")</f>
        <v>13</v>
      </c>
      <c r="C2078" s="11" t="s">
        <v>424</v>
      </c>
      <c r="D2078" s="11" t="str">
        <f>IFERROR(IF(VLOOKUP(A2078,[14]PRIORIZADOS!$A:$D,4,FALSE)="","",VLOOKUP(A2078,[14]PRIORIZADOS!$A:$D,4,FALSE)),"")</f>
        <v>PRIVADO</v>
      </c>
      <c r="E2078" s="11" t="str">
        <f>IFERROR(IF(VLOOKUP(A2078,[14]PRIORIZADOS!$A:$E,5,FALSE)="","",VLOOKUP(A2078,[14]PRIORIZADOS!$A:$E,5,FALSE)),"")</f>
        <v>Educación de Jóvenes y Adultos</v>
      </c>
      <c r="F2078" s="11" t="str">
        <f>IFERROR(IF(VLOOKUP(A2078,[14]PRIORIZADOS!$A:$F,6,FALSE)="","",VLOOKUP(A2078,[14]PRIORIZADOS!$A:$F,6,FALSE)),"")</f>
        <v>INSTITUTO_CENTRAL_DE_ESTUDIOS</v>
      </c>
      <c r="G2078" s="11" t="str">
        <f>IFERROR(IF(VLOOKUP(A2078,[14]PRIORIZADOS!$A:$G,7,FALSE)="","",VLOOKUP(A2078,[14]PRIORIZADOS!$A:$G,7,FALSE)),"")</f>
        <v>INSTITUTO CENTRAL DE ESTUDIOS</v>
      </c>
      <c r="H2078" s="11" t="str">
        <f>IFERROR(IF(VLOOKUP(A2078,[14]PRIORIZADOS!$A:$H,8,FALSE)="","",VLOOKUP(A2078,[14]PRIORIZADOS!$A:$H,8,FALSE)),"")</f>
        <v>Autoevaluación Institucional y Pruebas SABER 11</v>
      </c>
      <c r="I2078" s="11" t="str">
        <f>IFERROR(IF(VLOOKUP(A2078,[14]PRIORIZADOS!$A:$I,9,FALSE)="","",VLOOKUP(A2078,[14]PRIORIZADOS!$A:$I,9,FALSE)),"")</f>
        <v>EVALUACIÓN_CON_FINES_DE_MEJORAMIENTO.</v>
      </c>
      <c r="J2078" s="11" t="str">
        <f>IFERROR(IF(VLOOKUP(A2078,[14]PRIORIZADOS!$A:$J,10,FALSE)="","",VLOOKUP(A2078,[14]PRIORIZADOS!$A:$J,10,FALSE)),"")</f>
        <v>Revisar la actualización, socialización e implementación del Sistema Institucional de Evaluación de Estudiantes - SIEE, en articulación con la actualización del PEI y la normatividad vigente.</v>
      </c>
      <c r="K2078" s="11" t="str">
        <f>IFERROR(IF(VLOOKUP(A2078,[14]PRIORIZADOS!$A:$K,11,FALSE)="","",VLOOKUP(A2078,[14]PRIORIZADOS!$A:$K,11,FALSE)),"")</f>
        <v>JENNIFFER ESPERANZA GONZÁLEZ GÓMEZ</v>
      </c>
      <c r="L2078" s="11" t="str">
        <f>IFERROR(IF(VLOOKUP(A2078,[14]PRIORIZADOS!$A:$L,12,FALSE)="","",VLOOKUP(A2078,[14]PRIORIZADOS!$A:$L,12,FALSE)),"")</f>
        <v>SONIA YAMILE ARTEAGA MELO</v>
      </c>
      <c r="M2078" s="71">
        <f>IFERROR(IF(VLOOKUP(A2078,[14]PRIORIZADOS!$A:$M,13,FALSE)="","",VLOOKUP(A2078,[14]PRIORIZADOS!$A:$M,13,FALSE)),"")</f>
        <v>45742</v>
      </c>
      <c r="N2078" s="71">
        <f>IFERROR(IF(VLOOKUP(A2078,[14]PRIORIZADOS!$A:$N,14,FALSE)="","",VLOOKUP(A2078,[14]PRIORIZADOS!$A:$N,14,FALSE)),"")</f>
        <v>45744</v>
      </c>
      <c r="O2078" s="71">
        <f>IFERROR(IF(VLOOKUP(A2078,[14]PRIORIZADOS!$A:$O,15,FALSE)="","",VLOOKUP(A2078,[14]PRIORIZADOS!$A:$O,15,FALSE)),"")</f>
        <v>45744</v>
      </c>
      <c r="P2078" s="11" t="str">
        <f>IFERROR(IF(VLOOKUP(A2078,[14]PRIORIZADOS!$A:$P,16,FALSE)="","",VLOOKUP(A2078,[14]PRIORIZADOS!$A:$P,16,FALSE)),"")</f>
        <v>Visitas de evaluación con fines de mejoramiento</v>
      </c>
      <c r="Q2078" s="7" t="s">
        <v>437</v>
      </c>
      <c r="R2078" s="11" t="str">
        <f>IFERROR(IF(VLOOKUP(A2078,[14]PRIORIZADOS!$A:$R,18,FALSE)="","",VLOOKUP(A2078,[14]PRIORIZADOS!$A:$R,18,FALSE)),"")</f>
        <v>Se realizó retroalimentación sobre  el SIEE, el cual no está en consonancia con el PEI, asi mismo ajustar la escala de valoración para que sea coincidente con las certificaciones expedidas.</v>
      </c>
      <c r="S2078" s="11" t="str">
        <f>IFERROR(IF(VLOOKUP(A2078,[14]PRIORIZADOS!$A:$S,19,FALSE)="","",VLOOKUP(A2078,[14]PRIORIZADOS!$A:$S,19,FALSE)),"")</f>
        <v>Realizar los ajustes de conformidad con las observaciomnes realizada sen la visita</v>
      </c>
      <c r="T2078" s="70" t="str">
        <f>IFERROR(IF(VLOOKUP(A2078,[14]PRIORIZADOS!$A:$T,20,FALSE)="","",VLOOKUP(A2078,[14]PRIORIZADOS!$A:$T,20,FALSE)),"")</f>
        <v>Si</v>
      </c>
      <c r="U2078" s="11" t="str">
        <f>IFERROR(IF(VLOOKUP(A2078,[14]PRIORIZADOS!$A:$U,21,FALSE)="","",VLOOKUP(A2078,[14]PRIORIZADOS!$A:$U,21,FALSE)),"")</f>
        <v>Revisar la actualización del manual de convivencia en lo relacionado con el  SIIE con fecha límite el 31 de julio</v>
      </c>
    </row>
    <row r="2079" spans="1:21" s="1" customFormat="1" ht="48">
      <c r="A2079" s="69">
        <f>IF([14]PRIORIZADOS!A126="","",[14]PRIORIZADOS!A126)</f>
        <v>2047</v>
      </c>
      <c r="B2079" s="70">
        <f>IFERROR(IF(VLOOKUP(A2079,[14]PRIORIZADOS!$A:$B,2,FALSE)="","",VLOOKUP(A2079,[14]PRIORIZADOS!$A:$B,2,FALSE)),"")</f>
        <v>13</v>
      </c>
      <c r="C2079" s="11" t="s">
        <v>424</v>
      </c>
      <c r="D2079" s="11" t="str">
        <f>IFERROR(IF(VLOOKUP(A2079,[14]PRIORIZADOS!$A:$D,4,FALSE)="","",VLOOKUP(A2079,[14]PRIORIZADOS!$A:$D,4,FALSE)),"")</f>
        <v>PRIVADO</v>
      </c>
      <c r="E2079" s="11" t="str">
        <f>IFERROR(IF(VLOOKUP(A2079,[14]PRIORIZADOS!$A:$E,5,FALSE)="","",VLOOKUP(A2079,[14]PRIORIZADOS!$A:$E,5,FALSE)),"")</f>
        <v>Educación de Jóvenes y Adultos</v>
      </c>
      <c r="F2079" s="11" t="str">
        <f>IFERROR(IF(VLOOKUP(A2079,[14]PRIORIZADOS!$A:$F,6,FALSE)="","",VLOOKUP(A2079,[14]PRIORIZADOS!$A:$F,6,FALSE)),"")</f>
        <v>INSTITUTO_CENTRAL_DE_ESTUDIOS</v>
      </c>
      <c r="G2079" s="11" t="str">
        <f>IFERROR(IF(VLOOKUP(A2079,[14]PRIORIZADOS!$A:$G,7,FALSE)="","",VLOOKUP(A2079,[14]PRIORIZADOS!$A:$G,7,FALSE)),"")</f>
        <v>INSTITUTO CENTRAL DE ESTUDIOS</v>
      </c>
      <c r="H2079" s="11" t="str">
        <f>IFERROR(IF(VLOOKUP(A2079,[14]PRIORIZADOS!$A:$H,8,FALSE)="","",VLOOKUP(A2079,[14]PRIORIZADOS!$A:$H,8,FALSE)),"")</f>
        <v>Autoevaluación Institucional y Pruebas SABER 11</v>
      </c>
      <c r="I2079" s="11" t="str">
        <f>IFERROR(IF(VLOOKUP(A2079,[14]PRIORIZADOS!$A:$I,9,FALSE)="","",VLOOKUP(A2079,[14]PRIORIZADOS!$A:$I,9,FALSE)),"")</f>
        <v>EVALUACIÓN_CON_FINES_DE_MEJORAMIENTO.</v>
      </c>
      <c r="J2079" s="11" t="str">
        <f>IFERROR(IF(VLOOKUP(A2079,[14]PRIORIZADOS!$A:$J,10,FALSE)="","",VLOOKUP(A2079,[14]PRIORIZADOS!$A:$J,10,FALSE)),"")</f>
        <v>Revisar el calendario escolar, jornada escolar, la intensidad horaria mínima anual en cada nivel y las modificaciones que se realicen al mismo, de acuerdo con lo previsto en la normatividad vigente.</v>
      </c>
      <c r="K2079" s="11" t="str">
        <f>IFERROR(IF(VLOOKUP(A2079,[14]PRIORIZADOS!$A:$K,11,FALSE)="","",VLOOKUP(A2079,[14]PRIORIZADOS!$A:$K,11,FALSE)),"")</f>
        <v>JENNIFFER ESPERANZA GONZÁLEZ GÓMEZ</v>
      </c>
      <c r="L2079" s="11" t="str">
        <f>IFERROR(IF(VLOOKUP(A2079,[14]PRIORIZADOS!$A:$L,12,FALSE)="","",VLOOKUP(A2079,[14]PRIORIZADOS!$A:$L,12,FALSE)),"")</f>
        <v>SONIA YAMILE ARTEAGA MELO</v>
      </c>
      <c r="M2079" s="71">
        <f>IFERROR(IF(VLOOKUP(A2079,[14]PRIORIZADOS!$A:$M,13,FALSE)="","",VLOOKUP(A2079,[14]PRIORIZADOS!$A:$M,13,FALSE)),"")</f>
        <v>45742</v>
      </c>
      <c r="N2079" s="71">
        <f>IFERROR(IF(VLOOKUP(A2079,[14]PRIORIZADOS!$A:$N,14,FALSE)="","",VLOOKUP(A2079,[14]PRIORIZADOS!$A:$N,14,FALSE)),"")</f>
        <v>45744</v>
      </c>
      <c r="O2079" s="71">
        <f>IFERROR(IF(VLOOKUP(A2079,[14]PRIORIZADOS!$A:$O,15,FALSE)="","",VLOOKUP(A2079,[14]PRIORIZADOS!$A:$O,15,FALSE)),"")</f>
        <v>45744</v>
      </c>
      <c r="P2079" s="11" t="str">
        <f>IFERROR(IF(VLOOKUP(A2079,[14]PRIORIZADOS!$A:$P,16,FALSE)="","",VLOOKUP(A2079,[14]PRIORIZADOS!$A:$P,16,FALSE)),"")</f>
        <v>Visitas de evaluación con fines de mejoramiento</v>
      </c>
      <c r="Q2079" s="7" t="s">
        <v>437</v>
      </c>
      <c r="R2079" s="11" t="str">
        <f>IFERROR(IF(VLOOKUP(A2079,[14]PRIORIZADOS!$A:$R,18,FALSE)="","",VLOOKUP(A2079,[14]PRIORIZADOS!$A:$R,18,FALSE)),"")</f>
        <v>La intensidad horaria y las horas mínimas anuales de cada ciclo no se ajustan a la normatividad vigente.</v>
      </c>
      <c r="S2079" s="11" t="str">
        <f>IFERROR(IF(VLOOKUP(A2079,[14]PRIORIZADOS!$A:$S,19,FALSE)="","",VLOOKUP(A2079,[14]PRIORIZADOS!$A:$S,19,FALSE)),"")</f>
        <v>Realizar ajuste al calendario académico y socializarlo con los estudianes, presentarlo para revisión antes del 20 de abril</v>
      </c>
      <c r="T2079" s="70" t="str">
        <f>IFERROR(IF(VLOOKUP(A2079,[14]PRIORIZADOS!$A:$T,20,FALSE)="","",VLOOKUP(A2079,[14]PRIORIZADOS!$A:$T,20,FALSE)),"")</f>
        <v>Si</v>
      </c>
      <c r="U2079" s="11" t="str">
        <f>IFERROR(IF(VLOOKUP(A2079,[14]PRIORIZADOS!$A:$U,21,FALSE)="","",VLOOKUP(A2079,[14]PRIORIZADOS!$A:$U,21,FALSE)),"")</f>
        <v xml:space="preserve">Verificar el calendario escolar allegado y la socialización con los estudiantes con fecha límite el 31 de julio. </v>
      </c>
    </row>
    <row r="2080" spans="1:21" s="1" customFormat="1" ht="60">
      <c r="A2080" s="69">
        <f>IF([14]PRIORIZADOS!A127="","",[14]PRIORIZADOS!A127)</f>
        <v>2048</v>
      </c>
      <c r="B2080" s="70">
        <f>IFERROR(IF(VLOOKUP(A2080,[14]PRIORIZADOS!$A:$B,2,FALSE)="","",VLOOKUP(A2080,[14]PRIORIZADOS!$A:$B,2,FALSE)),"")</f>
        <v>13</v>
      </c>
      <c r="C2080" s="11" t="s">
        <v>424</v>
      </c>
      <c r="D2080" s="11" t="str">
        <f>IFERROR(IF(VLOOKUP(A2080,[14]PRIORIZADOS!$A:$D,4,FALSE)="","",VLOOKUP(A2080,[14]PRIORIZADOS!$A:$D,4,FALSE)),"")</f>
        <v>PRIVADO</v>
      </c>
      <c r="E2080" s="11" t="str">
        <f>IFERROR(IF(VLOOKUP(A2080,[14]PRIORIZADOS!$A:$E,5,FALSE)="","",VLOOKUP(A2080,[14]PRIORIZADOS!$A:$E,5,FALSE)),"")</f>
        <v>Educación de Jóvenes y Adultos</v>
      </c>
      <c r="F2080" s="11" t="str">
        <f>IFERROR(IF(VLOOKUP(A2080,[14]PRIORIZADOS!$A:$F,6,FALSE)="","",VLOOKUP(A2080,[14]PRIORIZADOS!$A:$F,6,FALSE)),"")</f>
        <v>INSTITUTO_CENTRAL_DE_ESTUDIOS</v>
      </c>
      <c r="G2080" s="11" t="str">
        <f>IFERROR(IF(VLOOKUP(A2080,[14]PRIORIZADOS!$A:$G,7,FALSE)="","",VLOOKUP(A2080,[14]PRIORIZADOS!$A:$G,7,FALSE)),"")</f>
        <v>INSTITUTO CENTRAL DE ESTUDIOS</v>
      </c>
      <c r="H2080" s="11" t="str">
        <f>IFERROR(IF(VLOOKUP(A2080,[14]PRIORIZADOS!$A:$H,8,FALSE)="","",VLOOKUP(A2080,[14]PRIORIZADOS!$A:$H,8,FALSE)),"")</f>
        <v>Autoevaluación Institucional y Pruebas SABER 11</v>
      </c>
      <c r="I2080" s="11" t="str">
        <f>IFERROR(IF(VLOOKUP(A2080,[14]PRIORIZADOS!$A:$I,9,FALSE)="","",VLOOKUP(A2080,[14]PRIORIZADOS!$A:$I,9,FALSE)),"")</f>
        <v>EVALUACIÓN_CON_FINES_DE_MEJORAMIENTO.</v>
      </c>
      <c r="J2080" s="11" t="str">
        <f>IFERROR(IF(VLOOKUP(A2080,[14]PRIORIZADOS!$A:$J,10,FALSE)="","",VLOOKUP(A2080,[14]PRIORIZADOS!$A:$J,10,FALSE)),"")</f>
        <v>Verificar el funcionamiento del Gobierno Escolar e instancias de participación con base en la información sobre conformación reportada por la institución educativa.</v>
      </c>
      <c r="K2080" s="11" t="str">
        <f>IFERROR(IF(VLOOKUP(A2080,[14]PRIORIZADOS!$A:$K,11,FALSE)="","",VLOOKUP(A2080,[14]PRIORIZADOS!$A:$K,11,FALSE)),"")</f>
        <v>JENNIFFER ESPERANZA GONZÁLEZ GÓMEZ</v>
      </c>
      <c r="L2080" s="11" t="str">
        <f>IFERROR(IF(VLOOKUP(A2080,[14]PRIORIZADOS!$A:$L,12,FALSE)="","",VLOOKUP(A2080,[14]PRIORIZADOS!$A:$L,12,FALSE)),"")</f>
        <v>SONIA YAMILE ARTEAGA MELO</v>
      </c>
      <c r="M2080" s="71">
        <f>IFERROR(IF(VLOOKUP(A2080,[14]PRIORIZADOS!$A:$M,13,FALSE)="","",VLOOKUP(A2080,[14]PRIORIZADOS!$A:$M,13,FALSE)),"")</f>
        <v>45742</v>
      </c>
      <c r="N2080" s="71">
        <f>IFERROR(IF(VLOOKUP(A2080,[14]PRIORIZADOS!$A:$N,14,FALSE)="","",VLOOKUP(A2080,[14]PRIORIZADOS!$A:$N,14,FALSE)),"")</f>
        <v>45744</v>
      </c>
      <c r="O2080" s="71">
        <f>IFERROR(IF(VLOOKUP(A2080,[14]PRIORIZADOS!$A:$O,15,FALSE)="","",VLOOKUP(A2080,[14]PRIORIZADOS!$A:$O,15,FALSE)),"")</f>
        <v>45744</v>
      </c>
      <c r="P2080" s="11" t="str">
        <f>IFERROR(IF(VLOOKUP(A2080,[14]PRIORIZADOS!$A:$P,16,FALSE)="","",VLOOKUP(A2080,[14]PRIORIZADOS!$A:$P,16,FALSE)),"")</f>
        <v>Visitas de evaluación con fines de mejoramiento</v>
      </c>
      <c r="Q2080" s="7" t="s">
        <v>437</v>
      </c>
      <c r="R2080" s="11" t="str">
        <f>IFERROR(IF(VLOOKUP(A2080,[14]PRIORIZADOS!$A:$R,18,FALSE)="","",VLOOKUP(A2080,[14]PRIORIZADOS!$A:$R,18,FALSE)),"")</f>
        <v>Se evidenciaron las actas de conformación de gobierno escolar, las cuales deberán cargarse en el SAE. Sobre el funcionamiento no han sesionado.</v>
      </c>
      <c r="S2080" s="11" t="str">
        <f>IFERROR(IF(VLOOKUP(A2080,[14]PRIORIZADOS!$A:$S,19,FALSE)="","",VLOOKUP(A2080,[14]PRIORIZADOS!$A:$S,19,FALSE)),"")</f>
        <v>Cargar las actas de conformación en el aplicativo SAE antes del 19 de abril. Sesionar con cada órgano de gobierno de conformidad con la periodicidad establecida en la norma</v>
      </c>
      <c r="T2080" s="70" t="str">
        <f>IFERROR(IF(VLOOKUP(A2080,[14]PRIORIZADOS!$A:$T,20,FALSE)="","",VLOOKUP(A2080,[14]PRIORIZADOS!$A:$T,20,FALSE)),"")</f>
        <v>Si</v>
      </c>
      <c r="U2080" s="11" t="str">
        <f>IFERROR(IF(VLOOKUP(A2080,[14]PRIORIZADOS!$A:$U,21,FALSE)="","",VLOOKUP(A2080,[14]PRIORIZADOS!$A:$U,21,FALSE)),"")</f>
        <v>Verificar el SAE  y el funcionamiento de  los organos de gobierno mediantes las evidencias presentadas por la IE.</v>
      </c>
    </row>
    <row r="2081" spans="1:21" s="1" customFormat="1" ht="48">
      <c r="A2081" s="69">
        <f>IF([14]PRIORIZADOS!A128="","",[14]PRIORIZADOS!A128)</f>
        <v>2049</v>
      </c>
      <c r="B2081" s="70">
        <f>IFERROR(IF(VLOOKUP(A2081,[14]PRIORIZADOS!$A:$B,2,FALSE)="","",VLOOKUP(A2081,[14]PRIORIZADOS!$A:$B,2,FALSE)),"")</f>
        <v>13</v>
      </c>
      <c r="C2081" s="11" t="s">
        <v>424</v>
      </c>
      <c r="D2081" s="11" t="str">
        <f>IFERROR(IF(VLOOKUP(A2081,[14]PRIORIZADOS!$A:$D,4,FALSE)="","",VLOOKUP(A2081,[14]PRIORIZADOS!$A:$D,4,FALSE)),"")</f>
        <v>PRIVADO</v>
      </c>
      <c r="E2081" s="11" t="str">
        <f>IFERROR(IF(VLOOKUP(A2081,[14]PRIORIZADOS!$A:$E,5,FALSE)="","",VLOOKUP(A2081,[14]PRIORIZADOS!$A:$E,5,FALSE)),"")</f>
        <v>Educación de Jóvenes y Adultos</v>
      </c>
      <c r="F2081" s="11" t="str">
        <f>IFERROR(IF(VLOOKUP(A2081,[14]PRIORIZADOS!$A:$F,6,FALSE)="","",VLOOKUP(A2081,[14]PRIORIZADOS!$A:$F,6,FALSE)),"")</f>
        <v>INSTITUTO_CENTRAL_DE_ESTUDIOS</v>
      </c>
      <c r="G2081" s="11" t="str">
        <f>IFERROR(IF(VLOOKUP(A2081,[14]PRIORIZADOS!$A:$G,7,FALSE)="","",VLOOKUP(A2081,[14]PRIORIZADOS!$A:$G,7,FALSE)),"")</f>
        <v>INSTITUTO CENTRAL DE ESTUDIOS</v>
      </c>
      <c r="H2081" s="11" t="str">
        <f>IFERROR(IF(VLOOKUP(A2081,[14]PRIORIZADOS!$A:$H,8,FALSE)="","",VLOOKUP(A2081,[14]PRIORIZADOS!$A:$H,8,FALSE)),"")</f>
        <v>Autoevaluación Institucional y Pruebas SABER 11</v>
      </c>
      <c r="I2081" s="11" t="str">
        <f>IFERROR(IF(VLOOKUP(A2081,[14]PRIORIZADOS!$A:$I,9,FALSE)="","",VLOOKUP(A2081,[14]PRIORIZADOS!$A:$I,9,FALSE)),"")</f>
        <v>EVALUACIÓN_CON_FINES_DE_MEJORAMIENTO.</v>
      </c>
      <c r="J2081" s="11" t="str">
        <f>IFERROR(IF(VLOOKUP(A2081,[14]PRIORIZADOS!$A:$J,10,FALSE)="","",VLOOKUP(A2081,[14]PRIORIZADOS!$A:$J,10,FALSE)),"")</f>
        <v>Verificar las condiciones en cuanto a: la estructura administrativa, condiciones de la planta física y medios educativos adecuados.</v>
      </c>
      <c r="K2081" s="11" t="str">
        <f>IFERROR(IF(VLOOKUP(A2081,[14]PRIORIZADOS!$A:$K,11,FALSE)="","",VLOOKUP(A2081,[14]PRIORIZADOS!$A:$K,11,FALSE)),"")</f>
        <v>JENNIFFER ESPERANZA GONZÁLEZ GÓMEZ</v>
      </c>
      <c r="L2081" s="11" t="str">
        <f>IFERROR(IF(VLOOKUP(A2081,[14]PRIORIZADOS!$A:$L,12,FALSE)="","",VLOOKUP(A2081,[14]PRIORIZADOS!$A:$L,12,FALSE)),"")</f>
        <v>SONIA YAMILE ARTEAGA MELO</v>
      </c>
      <c r="M2081" s="71">
        <f>IFERROR(IF(VLOOKUP(A2081,[14]PRIORIZADOS!$A:$M,13,FALSE)="","",VLOOKUP(A2081,[14]PRIORIZADOS!$A:$M,13,FALSE)),"")</f>
        <v>45742</v>
      </c>
      <c r="N2081" s="71">
        <f>IFERROR(IF(VLOOKUP(A2081,[14]PRIORIZADOS!$A:$N,14,FALSE)="","",VLOOKUP(A2081,[14]PRIORIZADOS!$A:$N,14,FALSE)),"")</f>
        <v>45744</v>
      </c>
      <c r="O2081" s="71">
        <f>IFERROR(IF(VLOOKUP(A2081,[14]PRIORIZADOS!$A:$O,15,FALSE)="","",VLOOKUP(A2081,[14]PRIORIZADOS!$A:$O,15,FALSE)),"")</f>
        <v>45744</v>
      </c>
      <c r="P2081" s="11" t="str">
        <f>IFERROR(IF(VLOOKUP(A2081,[14]PRIORIZADOS!$A:$P,16,FALSE)="","",VLOOKUP(A2081,[14]PRIORIZADOS!$A:$P,16,FALSE)),"")</f>
        <v>Visitas de evaluación con fines de mejoramiento</v>
      </c>
      <c r="Q2081" s="7" t="s">
        <v>437</v>
      </c>
      <c r="R2081" s="11" t="str">
        <f>IFERROR(IF(VLOOKUP(A2081,[14]PRIORIZADOS!$A:$R,18,FALSE)="","",VLOOKUP(A2081,[14]PRIORIZADOS!$A:$R,18,FALSE)),"")</f>
        <v>Existen espacios on suficientes pero falta redistribución para cada ambiente, teniendo en cuenta la funcionalidad</v>
      </c>
      <c r="S2081" s="11" t="str">
        <f>IFERROR(IF(VLOOKUP(A2081,[14]PRIORIZADOS!$A:$S,19,FALSE)="","",VLOOKUP(A2081,[14]PRIORIZADOS!$A:$S,19,FALSE)),"")</f>
        <v>Se llama la atención respecto  a la posibilidad de una reorganozación de espacios  de acuerdo a su funcionalidad y comodidad</v>
      </c>
      <c r="T2081" s="70" t="str">
        <f>IFERROR(IF(VLOOKUP(A2081,[14]PRIORIZADOS!$A:$T,20,FALSE)="","",VLOOKUP(A2081,[14]PRIORIZADOS!$A:$T,20,FALSE)),"")</f>
        <v>Si</v>
      </c>
      <c r="U2081" s="11" t="str">
        <f>IFERROR(IF(VLOOKUP(A2081,[14]PRIORIZADOS!$A:$U,21,FALSE)="","",VLOOKUP(A2081,[14]PRIORIZADOS!$A:$U,21,FALSE)),"")</f>
        <v>Revisar en el plan de mejormiento si se tuvo en consideración las observaciones respecto a la reorganización de espacios</v>
      </c>
    </row>
    <row r="2082" spans="1:21" s="1" customFormat="1" ht="166.5">
      <c r="A2082" s="69">
        <f>IF([14]PRIORIZADOS!A129="","",[14]PRIORIZADOS!A129)</f>
        <v>2050</v>
      </c>
      <c r="B2082" s="70">
        <f>IFERROR(IF(VLOOKUP(A2082,[14]PRIORIZADOS!$A:$B,2,FALSE)="","",VLOOKUP(A2082,[14]PRIORIZADOS!$A:$B,2,FALSE)),"")</f>
        <v>14</v>
      </c>
      <c r="C2082" s="11" t="s">
        <v>424</v>
      </c>
      <c r="D2082" s="11" t="str">
        <f>IFERROR(IF(VLOOKUP(A2082,[14]PRIORIZADOS!$A:$D,4,FALSE)="","",VLOOKUP(A2082,[14]PRIORIZADOS!$A:$D,4,FALSE)),"")</f>
        <v>PRIVADO</v>
      </c>
      <c r="E2082" s="11" t="str">
        <f>IFERROR(IF(VLOOKUP(A2082,[14]PRIORIZADOS!$A:$E,5,FALSE)="","",VLOOKUP(A2082,[14]PRIORIZADOS!$A:$E,5,FALSE)),"")</f>
        <v>EPBM</v>
      </c>
      <c r="F2082" s="11" t="str">
        <f>IFERROR(IF(VLOOKUP(A2082,[14]PRIORIZADOS!$A:$F,6,FALSE)="","",VLOOKUP(A2082,[14]PRIORIZADOS!$A:$F,6,FALSE)),"")</f>
        <v>GIMNASIO_DE_EDUCACION_MEDIA_ACADEMICA_Y_TECNICA_FRANCISCANO_DE_SUBA</v>
      </c>
      <c r="G2082" s="11" t="str">
        <f>IFERROR(IF(VLOOKUP(A2082,[14]PRIORIZADOS!$A:$G,7,FALSE)="","",VLOOKUP(A2082,[14]PRIORIZADOS!$A:$G,7,FALSE)),"")</f>
        <v>GIMNASIO_DE_EDUCACION_MEDIA_ACADEMICA_Y_TECNICA_FRANCISCANO_DE_SUBA</v>
      </c>
      <c r="H2082" s="11" t="str">
        <f>IFERROR(IF(VLOOKUP(A2082,[14]PRIORIZADOS!$A:$H,8,FALSE)="","",VLOOKUP(A2082,[14]PRIORIZADOS!$A:$H,8,FALSE)),"")</f>
        <v>Autoevaluación Institucional y Pruebas SABER 11</v>
      </c>
      <c r="I2082" s="11" t="str">
        <f>IFERROR(IF(VLOOKUP(A2082,[14]PRIORIZADOS!$A:$I,9,FALSE)="","",VLOOKUP(A2082,[14]PRIORIZADOS!$A:$I,9,FALSE)),"")</f>
        <v>SEGUIMIENTO_Y_SUPERVISIÓN.</v>
      </c>
      <c r="J2082" s="11" t="str">
        <f>IFERROR(IF(VLOOKUP(A2082,[14]PRIORIZADOS!$A:$J,10,FALSE)="","",VLOOKUP(A2082,[14]PRIORIZADOS!$A:$J,10,FALSE)),"")</f>
        <v>Proponer estrategias en la formulación, verificar su elaboración y realizar seguimiento semestral al desarrollo de  las acciones establecidas en los planes de mejoramiento por pruebas SABER 11 de los establecimientos de educación formal.</v>
      </c>
      <c r="K2082" s="11" t="str">
        <f>IFERROR(IF(VLOOKUP(A2082,[14]PRIORIZADOS!$A:$K,11,FALSE)="","",VLOOKUP(A2082,[14]PRIORIZADOS!$A:$K,11,FALSE)),"")</f>
        <v>DANIEL ALEJANDRO GRANOBLES</v>
      </c>
      <c r="L2082" s="11" t="str">
        <f>IFERROR(IF(VLOOKUP(A2082,[14]PRIORIZADOS!$A:$L,12,FALSE)="","",VLOOKUP(A2082,[14]PRIORIZADOS!$A:$L,12,FALSE)),"")</f>
        <v>SANDRA OLINDA GONZÁLEZ REYES</v>
      </c>
      <c r="M2082" s="71" t="str">
        <f>IFERROR(IF(VLOOKUP(A2082,[14]PRIORIZADOS!$A:$M,13,FALSE)="","",VLOOKUP(A2082,[14]PRIORIZADOS!$A:$M,13,FALSE)),"")</f>
        <v>26/03/2025</v>
      </c>
      <c r="N2082" s="71">
        <f>IFERROR(IF(VLOOKUP(A2082,[14]PRIORIZADOS!$A:$N,14,FALSE)="","",VLOOKUP(A2082,[14]PRIORIZADOS!$A:$N,14,FALSE)),"")</f>
        <v>45770</v>
      </c>
      <c r="O2082" s="71">
        <f>IFERROR(IF(VLOOKUP(A2082,[14]PRIORIZADOS!$A:$O,15,FALSE)="","",VLOOKUP(A2082,[14]PRIORIZADOS!$A:$O,15,FALSE)),"")</f>
        <v>45770</v>
      </c>
      <c r="P2082" s="11" t="str">
        <f>IFERROR(IF(VLOOKUP(A2082,[14]PRIORIZADOS!$A:$P,16,FALSE)="","",VLOOKUP(A2082,[14]PRIORIZADOS!$A:$P,16,FALSE)),"")</f>
        <v>Visitas de evaluación con fines de seguimiento</v>
      </c>
      <c r="Q2082" s="7" t="s">
        <v>438</v>
      </c>
      <c r="R2082" s="11" t="str">
        <f>IFERROR(IF(VLOOKUP(A2082,[14]PRIORIZADOS!$A:$R,18,FALSE)="","",VLOOKUP(A2082,[14]PRIORIZADOS!$A:$R,18,FALSE)),"")</f>
        <v>No hay una evaluación de resultados que permita determinar las dificultades y crear estrategias pedagógicas para superar los resultados, razón por la cual se realizó retroalimentación sobre las estrategias pedagógicas implementadas, el uso de materiales y acompañamiento docente en procesos de ajuste al plan de estudios de las áreas de matemáticas, español e idioma extranjero, fortaleciendo los procesos de pensamiento crítico, comunicación oral y escrita, lectura y así fortalecer el entrenamiento en la presentación de pruebas</v>
      </c>
      <c r="S2082" s="11" t="str">
        <f>IFERROR(IF(VLOOKUP(A2082,[14]PRIORIZADOS!$A:$S,19,FALSE)="","",VLOOKUP(A2082,[14]PRIORIZADOS!$A:$S,19,FALSE)),"")</f>
        <v>Realizar el análisis de los resultados , teniendo en cuenta la asesoria prestada en lo relacionado con  la  inclusión de un plan de formación docente,  revisión del plan de estudios e inclusión en el SIIE de las estrategias de refuerzo en las área relacionadas con bajo indicador.</v>
      </c>
      <c r="T2082" s="70" t="str">
        <f>IFERROR(IF(VLOOKUP(A2082,[14]PRIORIZADOS!$A:$T,20,FALSE)="","",VLOOKUP(A2082,[14]PRIORIZADOS!$A:$T,20,FALSE)),"")</f>
        <v>Si</v>
      </c>
      <c r="U2082" s="11" t="str">
        <f>IFERROR(IF(VLOOKUP(A2082,[14]PRIORIZADOS!$A:$U,21,FALSE)="","",VLOOKUP(A2082,[14]PRIORIZADOS!$A:$U,21,FALSE)),"")</f>
        <v>Revisar el análisis de la pruebas saber, el plan de formación de docentes, los planes de estudio y el SIIE en el manual de convivencia.</v>
      </c>
    </row>
    <row r="2083" spans="1:21" s="1" customFormat="1" ht="96">
      <c r="A2083" s="69">
        <f>IF([14]PRIORIZADOS!A130="","",[14]PRIORIZADOS!A130)</f>
        <v>2051</v>
      </c>
      <c r="B2083" s="70">
        <f>IFERROR(IF(VLOOKUP(A2083,[14]PRIORIZADOS!$A:$B,2,FALSE)="","",VLOOKUP(A2083,[14]PRIORIZADOS!$A:$B,2,FALSE)),"")</f>
        <v>14</v>
      </c>
      <c r="C2083" s="11" t="s">
        <v>424</v>
      </c>
      <c r="D2083" s="11" t="str">
        <f>IFERROR(IF(VLOOKUP(A2083,[14]PRIORIZADOS!$A:$D,4,FALSE)="","",VLOOKUP(A2083,[14]PRIORIZADOS!$A:$D,4,FALSE)),"")</f>
        <v>PRIVADO</v>
      </c>
      <c r="E2083" s="11" t="str">
        <f>IFERROR(IF(VLOOKUP(A2083,[14]PRIORIZADOS!$A:$E,5,FALSE)="","",VLOOKUP(A2083,[14]PRIORIZADOS!$A:$E,5,FALSE)),"")</f>
        <v>EPBM</v>
      </c>
      <c r="F2083" s="11" t="str">
        <f>IFERROR(IF(VLOOKUP(A2083,[14]PRIORIZADOS!$A:$F,6,FALSE)="","",VLOOKUP(A2083,[14]PRIORIZADOS!$A:$F,6,FALSE)),"")</f>
        <v>GIMNASIO_DE_EDUCACION_MEDIA_ACADEMICA_Y_TECNICA_FRANCISCANO_DE_SUBA</v>
      </c>
      <c r="G2083" s="11" t="str">
        <f>IFERROR(IF(VLOOKUP(A2083,[14]PRIORIZADOS!$A:$G,7,FALSE)="","",VLOOKUP(A2083,[14]PRIORIZADOS!$A:$G,7,FALSE)),"")</f>
        <v>GIMNASIO_DE_EDUCACION_MEDIA_ACADEMICA_Y_TECNICA_FRANCISCANO_DE_SUBA</v>
      </c>
      <c r="H2083" s="11" t="str">
        <f>IFERROR(IF(VLOOKUP(A2083,[14]PRIORIZADOS!$A:$H,8,FALSE)="","",VLOOKUP(A2083,[14]PRIORIZADOS!$A:$H,8,FALSE)),"")</f>
        <v>Autoevaluación Institucional y Pruebas SABER 11</v>
      </c>
      <c r="I2083" s="11" t="str">
        <f>IFERROR(IF(VLOOKUP(A2083,[14]PRIORIZADOS!$A:$I,9,FALSE)="","",VLOOKUP(A2083,[14]PRIORIZADOS!$A:$I,9,FALSE)),"")</f>
        <v>SEGUIMIENTO_Y_SUPERVISIÓN.</v>
      </c>
      <c r="J2083" s="11" t="str">
        <f>IFERROR(IF(VLOOKUP(A2083,[14]PRIORIZADOS!$A:$J,10,FALSE)="","",VLOOKUP(A2083,[14]PRIORIZADOS!$A:$J,10,FALSE)),"")</f>
        <v>Realizar visitas para verificar la información registrada sobre la autoevaluación institucional en el aplicativo EVI, a los establecimientos de educación formal no oficial.</v>
      </c>
      <c r="K2083" s="11" t="str">
        <f>IFERROR(IF(VLOOKUP(A2083,[14]PRIORIZADOS!$A:$K,11,FALSE)="","",VLOOKUP(A2083,[14]PRIORIZADOS!$A:$K,11,FALSE)),"")</f>
        <v>DANIEL ALEJANDRO GRANOBLES</v>
      </c>
      <c r="L2083" s="11" t="str">
        <f>IFERROR(IF(VLOOKUP(A2083,[14]PRIORIZADOS!$A:$L,12,FALSE)="","",VLOOKUP(A2083,[14]PRIORIZADOS!$A:$L,12,FALSE)),"")</f>
        <v>SANDRA OLINDA GONZÁLEZ REYES</v>
      </c>
      <c r="M2083" s="71" t="str">
        <f>IFERROR(IF(VLOOKUP(A2083,[14]PRIORIZADOS!$A:$M,13,FALSE)="","",VLOOKUP(A2083,[14]PRIORIZADOS!$A:$M,13,FALSE)),"")</f>
        <v>26/03/2025</v>
      </c>
      <c r="N2083" s="71">
        <f>IFERROR(IF(VLOOKUP(A2083,[14]PRIORIZADOS!$A:$N,14,FALSE)="","",VLOOKUP(A2083,[14]PRIORIZADOS!$A:$N,14,FALSE)),"")</f>
        <v>45770</v>
      </c>
      <c r="O2083" s="71">
        <f>IFERROR(IF(VLOOKUP(A2083,[14]PRIORIZADOS!$A:$O,15,FALSE)="","",VLOOKUP(A2083,[14]PRIORIZADOS!$A:$O,15,FALSE)),"")</f>
        <v>45770</v>
      </c>
      <c r="P2083" s="11" t="str">
        <f>IFERROR(IF(VLOOKUP(A2083,[14]PRIORIZADOS!$A:$P,16,FALSE)="","",VLOOKUP(A2083,[14]PRIORIZADOS!$A:$P,16,FALSE)),"")</f>
        <v>Visitas de evaluación con fines de seguimiento</v>
      </c>
      <c r="Q2083" s="7" t="s">
        <v>438</v>
      </c>
      <c r="R2083" s="11" t="str">
        <f>IFERROR(IF(VLOOKUP(A2083,[14]PRIORIZADOS!$A:$R,18,FALSE)="","",VLOOKUP(A2083,[14]PRIORIZADOS!$A:$R,18,FALSE)),"")</f>
        <v>Se evidencio que la institución registra la informacion en el EVI  en consonancia con la  prestación del servicio, se esta cumplinedo con los indicadores prioritarios relacionados con el proceso contractual de docentes, la afiliación y pago de la SSI  y los registros contables de conformidad a la normatividad vigente y aplicable</v>
      </c>
      <c r="S2083" s="11" t="str">
        <f>IFERROR(IF(VLOOKUP(A2083,[14]PRIORIZADOS!$A:$S,19,FALSE)="","",VLOOKUP(A2083,[14]PRIORIZADOS!$A:$S,19,FALSE)),"")</f>
        <v>Continuar con el cumplimiento de los indicadores prioritarios con respecto a la contratación , afiliación y pago de los aportes de SSI y llevar registros contables</v>
      </c>
      <c r="T2083" s="70" t="str">
        <f>IFERROR(IF(VLOOKUP(A2083,[14]PRIORIZADOS!$A:$T,20,FALSE)="","",VLOOKUP(A2083,[14]PRIORIZADOS!$A:$T,20,FALSE)),"")</f>
        <v>No</v>
      </c>
      <c r="U2083" s="11" t="str">
        <f>IFERROR(IF(VLOOKUP(A2083,[14]PRIORIZADOS!$A:$U,21,FALSE)="","",VLOOKUP(A2083,[14]PRIORIZADOS!$A:$U,21,FALSE)),"")</f>
        <v>Verificar cumplimiento de proceso contractual integral del personal docente y administrativo</v>
      </c>
    </row>
    <row r="2084" spans="1:21" s="1" customFormat="1" ht="118.5">
      <c r="A2084" s="69">
        <f>IF([14]PRIORIZADOS!A131="","",[14]PRIORIZADOS!A131)</f>
        <v>2052</v>
      </c>
      <c r="B2084" s="70">
        <f>IFERROR(IF(VLOOKUP(A2084,[14]PRIORIZADOS!$A:$B,2,FALSE)="","",VLOOKUP(A2084,[14]PRIORIZADOS!$A:$B,2,FALSE)),"")</f>
        <v>14</v>
      </c>
      <c r="C2084" s="11" t="s">
        <v>424</v>
      </c>
      <c r="D2084" s="11" t="str">
        <f>IFERROR(IF(VLOOKUP(A2084,[14]PRIORIZADOS!$A:$D,4,FALSE)="","",VLOOKUP(A2084,[14]PRIORIZADOS!$A:$D,4,FALSE)),"")</f>
        <v>PRIVADO</v>
      </c>
      <c r="E2084" s="11" t="str">
        <f>IFERROR(IF(VLOOKUP(A2084,[14]PRIORIZADOS!$A:$E,5,FALSE)="","",VLOOKUP(A2084,[14]PRIORIZADOS!$A:$E,5,FALSE)),"")</f>
        <v>EPBM</v>
      </c>
      <c r="F2084" s="11" t="str">
        <f>IFERROR(IF(VLOOKUP(A2084,[14]PRIORIZADOS!$A:$F,6,FALSE)="","",VLOOKUP(A2084,[14]PRIORIZADOS!$A:$F,6,FALSE)),"")</f>
        <v>GIMNASIO_DE_EDUCACION_MEDIA_ACADEMICA_Y_TECNICA_FRANCISCANO_DE_SUBA</v>
      </c>
      <c r="G2084" s="11" t="str">
        <f>IFERROR(IF(VLOOKUP(A2084,[14]PRIORIZADOS!$A:$G,7,FALSE)="","",VLOOKUP(A2084,[14]PRIORIZADOS!$A:$G,7,FALSE)),"")</f>
        <v>GIMNASIO_DE_EDUCACION_MEDIA_ACADEMICA_Y_TECNICA_FRANCISCANO_DE_SUBA</v>
      </c>
      <c r="H2084" s="11" t="str">
        <f>IFERROR(IF(VLOOKUP(A2084,[14]PRIORIZADOS!$A:$H,8,FALSE)="","",VLOOKUP(A2084,[14]PRIORIZADOS!$A:$H,8,FALSE)),"")</f>
        <v>Autoevaluación Institucional y Pruebas SABER 11</v>
      </c>
      <c r="I2084" s="11" t="str">
        <f>IFERROR(IF(VLOOKUP(A2084,[14]PRIORIZADOS!$A:$I,9,FALSE)="","",VLOOKUP(A2084,[14]PRIORIZADOS!$A:$I,9,FALSE)),"")</f>
        <v>SEGUIMIENTO_Y_SUPERVISIÓN.</v>
      </c>
      <c r="J2084" s="11" t="str">
        <f>IFERROR(IF(VLOOKUP(A2084,[14]PRIORIZADOS!$A:$J,10,FALSE)="","",VLOOKUP(A2084,[14]PRIORIZADOS!$A:$J,10,FALSE)),"")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84" s="11" t="str">
        <f>IFERROR(IF(VLOOKUP(A2084,[14]PRIORIZADOS!$A:$K,11,FALSE)="","",VLOOKUP(A2084,[14]PRIORIZADOS!$A:$K,11,FALSE)),"")</f>
        <v>DANIEL ALEJANDRO GRANOBLES</v>
      </c>
      <c r="L2084" s="11" t="str">
        <f>IFERROR(IF(VLOOKUP(A2084,[14]PRIORIZADOS!$A:$L,12,FALSE)="","",VLOOKUP(A2084,[14]PRIORIZADOS!$A:$L,12,FALSE)),"")</f>
        <v>SANDRA OLINDA GONZÁLEZ REYES</v>
      </c>
      <c r="M2084" s="71" t="str">
        <f>IFERROR(IF(VLOOKUP(A2084,[14]PRIORIZADOS!$A:$M,13,FALSE)="","",VLOOKUP(A2084,[14]PRIORIZADOS!$A:$M,13,FALSE)),"")</f>
        <v>26/03/2025</v>
      </c>
      <c r="N2084" s="71">
        <f>IFERROR(IF(VLOOKUP(A2084,[14]PRIORIZADOS!$A:$N,14,FALSE)="","",VLOOKUP(A2084,[14]PRIORIZADOS!$A:$N,14,FALSE)),"")</f>
        <v>45770</v>
      </c>
      <c r="O2084" s="71">
        <f>IFERROR(IF(VLOOKUP(A2084,[14]PRIORIZADOS!$A:$O,15,FALSE)="","",VLOOKUP(A2084,[14]PRIORIZADOS!$A:$O,15,FALSE)),"")</f>
        <v>45770</v>
      </c>
      <c r="P2084" s="11" t="str">
        <f>IFERROR(IF(VLOOKUP(A2084,[14]PRIORIZADOS!$A:$P,16,FALSE)="","",VLOOKUP(A2084,[14]PRIORIZADOS!$A:$P,16,FALSE)),"")</f>
        <v>Visitas de evaluación con fines de seguimiento</v>
      </c>
      <c r="Q2084" s="254" t="s">
        <v>438</v>
      </c>
      <c r="R2084" s="11" t="str">
        <f>IFERROR(IF(VLOOKUP(A2084,[14]PRIORIZADOS!$A:$R,18,FALSE)="","",VLOOKUP(A2084,[14]PRIORIZADOS!$A:$R,18,FALSE)),"")</f>
        <v xml:space="preserve">Se realizó consulta en el SIMAT encontrándose el no registro de  estudiantes de inlusión, sin embago al momento de la visita el rector informa que atiende 4  estudiantes de inclusión, sin embargo cuentan dos de ellos con diagnosticos, aun no e ha avanzado en la elaboración del PIAR, dado que se encuentra contratada una nueva profesional para el área de Orientación </v>
      </c>
      <c r="S2084" s="11" t="str">
        <f>IFERROR(IF(VLOOKUP(A2084,[14]PRIORIZADOS!$A:$S,19,FALSE)="","",VLOOKUP(A2084,[14]PRIORIZADOS!$A:$S,19,FALSE)),"")</f>
        <v xml:space="preserve">
Debe de realizarse  actualización del Manual de Convivencia para incorporar los enfoques diferenciales e inclusivo en el marco del Decreto 1427 de 2017, soliictar los diagnosticos de los estudiantes y registralos en el SIMAT, e informar a la DILE sobre estos avances a fecha 30 de junio.</v>
      </c>
      <c r="T2084" s="70" t="str">
        <f>IFERROR(IF(VLOOKUP(A2084,[14]PRIORIZADOS!$A:$T,20,FALSE)="","",VLOOKUP(A2084,[14]PRIORIZADOS!$A:$T,20,FALSE)),"")</f>
        <v>Si</v>
      </c>
      <c r="U2084" s="11" t="str">
        <f>IFERROR(IF(VLOOKUP(A2084,[14]PRIORIZADOS!$A:$U,21,FALSE)="","",VLOOKUP(A2084,[14]PRIORIZADOS!$A:$U,21,FALSE)),"")</f>
        <v>Verificar las modificaciones en manual de convivencia respecto a la poblacion con discapacidad.con fecha 30 de junio</v>
      </c>
    </row>
    <row r="2085" spans="1:21" s="1" customFormat="1" ht="72">
      <c r="A2085" s="69">
        <f>IF([14]PRIORIZADOS!A132="","",[14]PRIORIZADOS!A132)</f>
        <v>2053</v>
      </c>
      <c r="B2085" s="70">
        <f>IFERROR(IF(VLOOKUP(A2085,[14]PRIORIZADOS!$A:$B,2,FALSE)="","",VLOOKUP(A2085,[14]PRIORIZADOS!$A:$B,2,FALSE)),"")</f>
        <v>14</v>
      </c>
      <c r="C2085" s="11" t="s">
        <v>424</v>
      </c>
      <c r="D2085" s="11" t="str">
        <f>IFERROR(IF(VLOOKUP(A2085,[14]PRIORIZADOS!$A:$D,4,FALSE)="","",VLOOKUP(A2085,[14]PRIORIZADOS!$A:$D,4,FALSE)),"")</f>
        <v>PRIVADO</v>
      </c>
      <c r="E2085" s="11" t="str">
        <f>IFERROR(IF(VLOOKUP(A2085,[14]PRIORIZADOS!$A:$E,5,FALSE)="","",VLOOKUP(A2085,[14]PRIORIZADOS!$A:$E,5,FALSE)),"")</f>
        <v>EPBM</v>
      </c>
      <c r="F2085" s="11" t="str">
        <f>IFERROR(IF(VLOOKUP(A2085,[14]PRIORIZADOS!$A:$F,6,FALSE)="","",VLOOKUP(A2085,[14]PRIORIZADOS!$A:$F,6,FALSE)),"")</f>
        <v>GIMNASIO_DE_EDUCACION_MEDIA_ACADEMICA_Y_TECNICA_FRANCISCANO_DE_SUBA</v>
      </c>
      <c r="G2085" s="11" t="str">
        <f>IFERROR(IF(VLOOKUP(A2085,[14]PRIORIZADOS!$A:$G,7,FALSE)="","",VLOOKUP(A2085,[14]PRIORIZADOS!$A:$G,7,FALSE)),"")</f>
        <v>GIMNASIO_DE_EDUCACION_MEDIA_ACADEMICA_Y_TECNICA_FRANCISCANO_DE_SUBA</v>
      </c>
      <c r="H2085" s="11" t="str">
        <f>IFERROR(IF(VLOOKUP(A2085,[14]PRIORIZADOS!$A:$H,8,FALSE)="","",VLOOKUP(A2085,[14]PRIORIZADOS!$A:$H,8,FALSE)),"")</f>
        <v>Autoevaluación Institucional y Pruebas SABER 11</v>
      </c>
      <c r="I2085" s="11" t="str">
        <f>IFERROR(IF(VLOOKUP(A2085,[14]PRIORIZADOS!$A:$I,9,FALSE)="","",VLOOKUP(A2085,[14]PRIORIZADOS!$A:$I,9,FALSE)),"")</f>
        <v>SEGUIMIENTO_Y_SUPERVISIÓN.</v>
      </c>
      <c r="J2085" s="11" t="str">
        <f>IFERROR(IF(VLOOKUP(A2085,[14]PRIORIZADOS!$A:$J,10,FALSE)="","",VLOOKUP(A2085,[14]PRIORIZADOS!$A:$J,10,FALSE)),"")</f>
        <v xml:space="preserve">Verificar la implementación por parte de los colegios, de acciones realizadas para la prevención y atención de las situaciones de convivencia en el entorno escolar, según lo establecido en la Directiva 01 de 2022 del MEN. </v>
      </c>
      <c r="K2085" s="11" t="str">
        <f>IFERROR(IF(VLOOKUP(A2085,[14]PRIORIZADOS!$A:$K,11,FALSE)="","",VLOOKUP(A2085,[14]PRIORIZADOS!$A:$K,11,FALSE)),"")</f>
        <v>DANIEL ALEJANDRO GRANOBLES</v>
      </c>
      <c r="L2085" s="11" t="str">
        <f>IFERROR(IF(VLOOKUP(A2085,[14]PRIORIZADOS!$A:$L,12,FALSE)="","",VLOOKUP(A2085,[14]PRIORIZADOS!$A:$L,12,FALSE)),"")</f>
        <v>SANDRA OLINDA GONZÁLEZ REYES</v>
      </c>
      <c r="M2085" s="71" t="str">
        <f>IFERROR(IF(VLOOKUP(A2085,[14]PRIORIZADOS!$A:$M,13,FALSE)="","",VLOOKUP(A2085,[14]PRIORIZADOS!$A:$M,13,FALSE)),"")</f>
        <v>26/03/2025</v>
      </c>
      <c r="N2085" s="71">
        <f>IFERROR(IF(VLOOKUP(A2085,[14]PRIORIZADOS!$A:$N,14,FALSE)="","",VLOOKUP(A2085,[14]PRIORIZADOS!$A:$N,14,FALSE)),"")</f>
        <v>45770</v>
      </c>
      <c r="O2085" s="71">
        <f>IFERROR(IF(VLOOKUP(A2085,[14]PRIORIZADOS!$A:$O,15,FALSE)="","",VLOOKUP(A2085,[14]PRIORIZADOS!$A:$O,15,FALSE)),"")</f>
        <v>45770</v>
      </c>
      <c r="P2085" s="11" t="str">
        <f>IFERROR(IF(VLOOKUP(A2085,[14]PRIORIZADOS!$A:$P,16,FALSE)="","",VLOOKUP(A2085,[14]PRIORIZADOS!$A:$P,16,FALSE)),"")</f>
        <v>Visitas de evaluación con fines de seguimiento</v>
      </c>
      <c r="Q2085" s="7" t="s">
        <v>438</v>
      </c>
      <c r="R2085" s="11" t="str">
        <f>IFERROR(IF(VLOOKUP(A2085,[14]PRIORIZADOS!$A:$R,18,FALSE)="","",VLOOKUP(A2085,[14]PRIORIZADOS!$A:$R,18,FALSE)),"")</f>
        <v>Se solicitó el soporte de la consulta realizada en la página de la policia de los antecedentes de delitos sexuales en las hojas de vida del personal contratado de conformidad a la directiva  001 del 2022 y no se encontró dicha consulta</v>
      </c>
      <c r="S2085" s="11" t="str">
        <f>IFERROR(IF(VLOOKUP(A2085,[14]PRIORIZADOS!$A:$S,19,FALSE)="","",VLOOKUP(A2085,[14]PRIORIZADOS!$A:$S,19,FALSE)),"")</f>
        <v>Realizar las consultas en la página de la Policía de todos los funcionarios de la institución y anexarla a la hoja de vida.  Elaborar plan de mejoramiento sobre todos los indicadores y remitirlo a la DLE el 30 de junio de 2025</v>
      </c>
      <c r="T2085" s="70" t="str">
        <f>IFERROR(IF(VLOOKUP(A2085,[14]PRIORIZADOS!$A:$T,20,FALSE)="","",VLOOKUP(A2085,[14]PRIORIZADOS!$A:$T,20,FALSE)),"")</f>
        <v>si</v>
      </c>
      <c r="U2085" s="11" t="str">
        <f>IFERROR(IF(VLOOKUP(A2085,[14]PRIORIZADOS!$A:$U,21,FALSE)="","",VLOOKUP(A2085,[14]PRIORIZADOS!$A:$U,21,FALSE)),"")</f>
        <v>Verificar las consultas de antecedentes de los empledos y remitirlas en el plan de mejoramiento</v>
      </c>
    </row>
    <row r="2086" spans="1:21" s="1" customFormat="1" ht="96">
      <c r="A2086" s="69">
        <f>IF([14]PRIORIZADOS!A133="","",[14]PRIORIZADOS!A133)</f>
        <v>2054</v>
      </c>
      <c r="B2086" s="70">
        <f>IFERROR(IF(VLOOKUP(A2086,[14]PRIORIZADOS!$A:$B,2,FALSE)="","",VLOOKUP(A2086,[14]PRIORIZADOS!$A:$B,2,FALSE)),"")</f>
        <v>14</v>
      </c>
      <c r="C2086" s="11" t="s">
        <v>424</v>
      </c>
      <c r="D2086" s="11" t="str">
        <f>IFERROR(IF(VLOOKUP(A2086,[14]PRIORIZADOS!$A:$D,4,FALSE)="","",VLOOKUP(A2086,[14]PRIORIZADOS!$A:$D,4,FALSE)),"")</f>
        <v>PRIVADO</v>
      </c>
      <c r="E2086" s="11" t="str">
        <f>IFERROR(IF(VLOOKUP(A2086,[14]PRIORIZADOS!$A:$E,5,FALSE)="","",VLOOKUP(A2086,[14]PRIORIZADOS!$A:$E,5,FALSE)),"")</f>
        <v>EPBM</v>
      </c>
      <c r="F2086" s="11" t="str">
        <f>IFERROR(IF(VLOOKUP(A2086,[14]PRIORIZADOS!$A:$F,6,FALSE)="","",VLOOKUP(A2086,[14]PRIORIZADOS!$A:$F,6,FALSE)),"")</f>
        <v>GIMNASIO_DE_EDUCACION_MEDIA_ACADEMICA_Y_TECNICA_FRANCISCANO_DE_SUBA</v>
      </c>
      <c r="G2086" s="11" t="str">
        <f>IFERROR(IF(VLOOKUP(A2086,[14]PRIORIZADOS!$A:$G,7,FALSE)="","",VLOOKUP(A2086,[14]PRIORIZADOS!$A:$G,7,FALSE)),"")</f>
        <v>GIMNASIO_DE_EDUCACION_MEDIA_ACADEMICA_Y_TECNICA_FRANCISCANO_DE_SUBA</v>
      </c>
      <c r="H2086" s="11" t="str">
        <f>IFERROR(IF(VLOOKUP(A2086,[14]PRIORIZADOS!$A:$H,8,FALSE)="","",VLOOKUP(A2086,[14]PRIORIZADOS!$A:$H,8,FALSE)),"")</f>
        <v>Autoevaluación Institucional y Pruebas SABER 11</v>
      </c>
      <c r="I2086" s="11" t="str">
        <f>IFERROR(IF(VLOOKUP(A2086,[14]PRIORIZADOS!$A:$I,9,FALSE)="","",VLOOKUP(A2086,[14]PRIORIZADOS!$A:$I,9,FALSE)),"")</f>
        <v>EVALUACIÓN_CON_FINES_DE_MEJORAMIENTO.</v>
      </c>
      <c r="J2086" s="11" t="str">
        <f>IFERROR(IF(VLOOKUP(A2086,[14]PRIORIZADOS!$A:$J,10,FALSE)="","",VLOOKUP(A2086,[14]PRIORIZADOS!$A:$J,10,FALSE)),"")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86" s="11" t="str">
        <f>IFERROR(IF(VLOOKUP(A2086,[14]PRIORIZADOS!$A:$K,11,FALSE)="","",VLOOKUP(A2086,[14]PRIORIZADOS!$A:$K,11,FALSE)),"")</f>
        <v>DANIEL ALEJANDRO GRANOBLES</v>
      </c>
      <c r="L2086" s="11" t="str">
        <f>IFERROR(IF(VLOOKUP(A2086,[14]PRIORIZADOS!$A:$L,12,FALSE)="","",VLOOKUP(A2086,[14]PRIORIZADOS!$A:$L,12,FALSE)),"")</f>
        <v>SANDRA OLINDA GONZÁLEZ REYES</v>
      </c>
      <c r="M2086" s="71" t="str">
        <f>IFERROR(IF(VLOOKUP(A2086,[14]PRIORIZADOS!$A:$M,13,FALSE)="","",VLOOKUP(A2086,[14]PRIORIZADOS!$A:$M,13,FALSE)),"")</f>
        <v>26/03/2025</v>
      </c>
      <c r="N2086" s="71">
        <f>IFERROR(IF(VLOOKUP(A2086,[14]PRIORIZADOS!$A:$N,14,FALSE)="","",VLOOKUP(A2086,[14]PRIORIZADOS!$A:$N,14,FALSE)),"")</f>
        <v>45770</v>
      </c>
      <c r="O2086" s="71">
        <f>IFERROR(IF(VLOOKUP(A2086,[14]PRIORIZADOS!$A:$O,15,FALSE)="","",VLOOKUP(A2086,[14]PRIORIZADOS!$A:$O,15,FALSE)),"")</f>
        <v>45770</v>
      </c>
      <c r="P2086" s="11" t="str">
        <f>IFERROR(IF(VLOOKUP(A2086,[14]PRIORIZADOS!$A:$P,16,FALSE)="","",VLOOKUP(A2086,[14]PRIORIZADOS!$A:$P,16,FALSE)),"")</f>
        <v>Visitas de evaluación con fines de mejoramiento</v>
      </c>
      <c r="Q2086" s="7" t="s">
        <v>438</v>
      </c>
      <c r="R2086" s="11" t="str">
        <f>IFERROR(IF(VLOOKUP(A2086,[14]PRIORIZADOS!$A:$R,18,FALSE)="","",VLOOKUP(A2086,[14]PRIORIZADOS!$A:$R,18,FALSE)),"")</f>
        <v xml:space="preserve">La institución cuenta con manual de convivencia aprobado por el consejo directivo, sin embargo se encuentra en proceso de actualización en lo relacionado con las faltas disciplinarias y situacion es de convivencia en el marco del debido proceso y, socializarlo con la comunidad educativa. </v>
      </c>
      <c r="S2086" s="11" t="str">
        <f>IFERROR(IF(VLOOKUP(A2086,[14]PRIORIZADOS!$A:$S,19,FALSE)="","",VLOOKUP(A2086,[14]PRIORIZADOS!$A:$S,19,FALSE)),"")</f>
        <v>Debe ser enviado a la DILE , para su revisión fecha 30 de junio de 2025 con la evidencia de la socialización con la comunidad educativa.</v>
      </c>
      <c r="T2086" s="70" t="str">
        <f>IFERROR(IF(VLOOKUP(A2086,[14]PRIORIZADOS!$A:$T,20,FALSE)="","",VLOOKUP(A2086,[14]PRIORIZADOS!$A:$T,20,FALSE)),"")</f>
        <v>Si</v>
      </c>
      <c r="U2086" s="11" t="str">
        <f>IFERROR(IF(VLOOKUP(A2086,[14]PRIORIZADOS!$A:$U,21,FALSE)="","",VLOOKUP(A2086,[14]PRIORIZADOS!$A:$U,21,FALSE)),"")</f>
        <v xml:space="preserve">Se realizará revisión del manual de convivencia en lo relacionado con las faltas disciplinarias y situacion es de convivencia en el marco deldebido proceso y la evidencia de socialización durante el segundo semestre 2025. </v>
      </c>
    </row>
    <row r="2087" spans="1:21" s="1" customFormat="1" ht="60">
      <c r="A2087" s="69">
        <f>IF([14]PRIORIZADOS!A134="","",[14]PRIORIZADOS!A134)</f>
        <v>2055</v>
      </c>
      <c r="B2087" s="70">
        <f>IFERROR(IF(VLOOKUP(A2087,[14]PRIORIZADOS!$A:$B,2,FALSE)="","",VLOOKUP(A2087,[14]PRIORIZADOS!$A:$B,2,FALSE)),"")</f>
        <v>14</v>
      </c>
      <c r="C2087" s="11" t="s">
        <v>424</v>
      </c>
      <c r="D2087" s="11" t="str">
        <f>IFERROR(IF(VLOOKUP(A2087,[14]PRIORIZADOS!$A:$D,4,FALSE)="","",VLOOKUP(A2087,[14]PRIORIZADOS!$A:$D,4,FALSE)),"")</f>
        <v>PRIVADO</v>
      </c>
      <c r="E2087" s="11" t="str">
        <f>IFERROR(IF(VLOOKUP(A2087,[14]PRIORIZADOS!$A:$E,5,FALSE)="","",VLOOKUP(A2087,[14]PRIORIZADOS!$A:$E,5,FALSE)),"")</f>
        <v>EPBM</v>
      </c>
      <c r="F2087" s="11" t="str">
        <f>IFERROR(IF(VLOOKUP(A2087,[14]PRIORIZADOS!$A:$F,6,FALSE)="","",VLOOKUP(A2087,[14]PRIORIZADOS!$A:$F,6,FALSE)),"")</f>
        <v>GIMNASIO_DE_EDUCACION_MEDIA_ACADEMICA_Y_TECNICA_FRANCISCANO_DE_SUBA</v>
      </c>
      <c r="G2087" s="11" t="str">
        <f>IFERROR(IF(VLOOKUP(A2087,[14]PRIORIZADOS!$A:$G,7,FALSE)="","",VLOOKUP(A2087,[14]PRIORIZADOS!$A:$G,7,FALSE)),"")</f>
        <v>GIMNASIO_DE_EDUCACION_MEDIA_ACADEMICA_Y_TECNICA_FRANCISCANO_DE_SUBA</v>
      </c>
      <c r="H2087" s="11" t="str">
        <f>IFERROR(IF(VLOOKUP(A2087,[14]PRIORIZADOS!$A:$H,8,FALSE)="","",VLOOKUP(A2087,[14]PRIORIZADOS!$A:$H,8,FALSE)),"")</f>
        <v>Autoevaluación Institucional y Pruebas SABER 11</v>
      </c>
      <c r="I2087" s="11" t="str">
        <f>IFERROR(IF(VLOOKUP(A2087,[14]PRIORIZADOS!$A:$I,9,FALSE)="","",VLOOKUP(A2087,[14]PRIORIZADOS!$A:$I,9,FALSE)),"")</f>
        <v>EVALUACIÓN_CON_FINES_DE_MEJORAMIENTO.</v>
      </c>
      <c r="J2087" s="11" t="str">
        <f>IFERROR(IF(VLOOKUP(A2087,[14]PRIORIZADOS!$A:$J,10,FALSE)="","",VLOOKUP(A2087,[14]PRIORIZADOS!$A:$J,10,FALSE)),"")</f>
        <v>Revisar la actualización, socialización e implementación del Sistema Institucional de Evaluación de Estudiantes - SIEE, en articulación con la actualización del PEI y la normatividad vigente.</v>
      </c>
      <c r="K2087" s="11" t="str">
        <f>IFERROR(IF(VLOOKUP(A2087,[14]PRIORIZADOS!$A:$K,11,FALSE)="","",VLOOKUP(A2087,[14]PRIORIZADOS!$A:$K,11,FALSE)),"")</f>
        <v>DANIEL ALEJANDRO GRANOBLES</v>
      </c>
      <c r="L2087" s="11" t="str">
        <f>IFERROR(IF(VLOOKUP(A2087,[14]PRIORIZADOS!$A:$L,12,FALSE)="","",VLOOKUP(A2087,[14]PRIORIZADOS!$A:$L,12,FALSE)),"")</f>
        <v>SANDRA OLINDA GONZÁLEZ REYES</v>
      </c>
      <c r="M2087" s="71" t="str">
        <f>IFERROR(IF(VLOOKUP(A2087,[14]PRIORIZADOS!$A:$M,13,FALSE)="","",VLOOKUP(A2087,[14]PRIORIZADOS!$A:$M,13,FALSE)),"")</f>
        <v>26/03/2025</v>
      </c>
      <c r="N2087" s="71">
        <f>IFERROR(IF(VLOOKUP(A2087,[14]PRIORIZADOS!$A:$N,14,FALSE)="","",VLOOKUP(A2087,[14]PRIORIZADOS!$A:$N,14,FALSE)),"")</f>
        <v>45770</v>
      </c>
      <c r="O2087" s="71">
        <f>IFERROR(IF(VLOOKUP(A2087,[14]PRIORIZADOS!$A:$O,15,FALSE)="","",VLOOKUP(A2087,[14]PRIORIZADOS!$A:$O,15,FALSE)),"")</f>
        <v>45770</v>
      </c>
      <c r="P2087" s="11" t="str">
        <f>IFERROR(IF(VLOOKUP(A2087,[14]PRIORIZADOS!$A:$P,16,FALSE)="","",VLOOKUP(A2087,[14]PRIORIZADOS!$A:$P,16,FALSE)),"")</f>
        <v>Visitas de evaluación con fines de mejoramiento</v>
      </c>
      <c r="Q2087" s="7" t="s">
        <v>438</v>
      </c>
      <c r="R2087" s="11" t="str">
        <f>IFERROR(IF(VLOOKUP(A2087,[14]PRIORIZADOS!$A:$R,18,FALSE)="","",VLOOKUP(A2087,[14]PRIORIZADOS!$A:$R,18,FALSE)),"")</f>
        <v>Se realizó retroalimentación sobre  el SIEE, el cual no está en consonancia con el PEI, asi mismo se observa que debe ajustar la escala de valoración para que coincida con las certificaciones expedidas.</v>
      </c>
      <c r="S2087" s="11" t="str">
        <f>IFERROR(IF(VLOOKUP(A2087,[14]PRIORIZADOS!$A:$S,19,FALSE)="","",VLOOKUP(A2087,[14]PRIORIZADOS!$A:$S,19,FALSE)),"")</f>
        <v>Realizar los ajustes de conformidad con las observaciones al SIIE realizada sen la visita</v>
      </c>
      <c r="T2087" s="70" t="str">
        <f>IFERROR(IF(VLOOKUP(A2087,[14]PRIORIZADOS!$A:$T,20,FALSE)="","",VLOOKUP(A2087,[14]PRIORIZADOS!$A:$T,20,FALSE)),"")</f>
        <v>Si</v>
      </c>
      <c r="U2087" s="11" t="str">
        <f>IFERROR(IF(VLOOKUP(A2087,[14]PRIORIZADOS!$A:$U,21,FALSE)="","",VLOOKUP(A2087,[14]PRIORIZADOS!$A:$U,21,FALSE)),"")</f>
        <v>Revisar la actualización del manual de convivencia en lo relacionado con el  SIIE con fecha 30 de junio</v>
      </c>
    </row>
    <row r="2088" spans="1:21" s="1" customFormat="1" ht="60">
      <c r="A2088" s="69">
        <f>IF([14]PRIORIZADOS!A135="","",[14]PRIORIZADOS!A135)</f>
        <v>2056</v>
      </c>
      <c r="B2088" s="70">
        <f>IFERROR(IF(VLOOKUP(A2088,[14]PRIORIZADOS!$A:$B,2,FALSE)="","",VLOOKUP(A2088,[14]PRIORIZADOS!$A:$B,2,FALSE)),"")</f>
        <v>14</v>
      </c>
      <c r="C2088" s="11" t="s">
        <v>424</v>
      </c>
      <c r="D2088" s="11" t="str">
        <f>IFERROR(IF(VLOOKUP(A2088,[14]PRIORIZADOS!$A:$D,4,FALSE)="","",VLOOKUP(A2088,[14]PRIORIZADOS!$A:$D,4,FALSE)),"")</f>
        <v>PRIVADO</v>
      </c>
      <c r="E2088" s="11" t="str">
        <f>IFERROR(IF(VLOOKUP(A2088,[14]PRIORIZADOS!$A:$E,5,FALSE)="","",VLOOKUP(A2088,[14]PRIORIZADOS!$A:$E,5,FALSE)),"")</f>
        <v>EPBM</v>
      </c>
      <c r="F2088" s="11" t="str">
        <f>IFERROR(IF(VLOOKUP(A2088,[14]PRIORIZADOS!$A:$F,6,FALSE)="","",VLOOKUP(A2088,[14]PRIORIZADOS!$A:$F,6,FALSE)),"")</f>
        <v>GIMNASIO_DE_EDUCACION_MEDIA_ACADEMICA_Y_TECNICA_FRANCISCANO_DE_SUBA</v>
      </c>
      <c r="G2088" s="11" t="str">
        <f>IFERROR(IF(VLOOKUP(A2088,[14]PRIORIZADOS!$A:$G,7,FALSE)="","",VLOOKUP(A2088,[14]PRIORIZADOS!$A:$G,7,FALSE)),"")</f>
        <v>GIMNASIO_DE_EDUCACION_MEDIA_ACADEMICA_Y_TECNICA_FRANCISCANO_DE_SUBA</v>
      </c>
      <c r="H2088" s="11" t="str">
        <f>IFERROR(IF(VLOOKUP(A2088,[14]PRIORIZADOS!$A:$H,8,FALSE)="","",VLOOKUP(A2088,[14]PRIORIZADOS!$A:$H,8,FALSE)),"")</f>
        <v>Autoevaluación Institucional y Pruebas SABER 11</v>
      </c>
      <c r="I2088" s="11" t="str">
        <f>IFERROR(IF(VLOOKUP(A2088,[14]PRIORIZADOS!$A:$I,9,FALSE)="","",VLOOKUP(A2088,[14]PRIORIZADOS!$A:$I,9,FALSE)),"")</f>
        <v>EVALUACIÓN_CON_FINES_DE_MEJORAMIENTO.</v>
      </c>
      <c r="J2088" s="11" t="str">
        <f>IFERROR(IF(VLOOKUP(A2088,[14]PRIORIZADOS!$A:$J,10,FALSE)="","",VLOOKUP(A2088,[14]PRIORIZADOS!$A:$J,10,FALSE)),"")</f>
        <v>Revisar el calendario escolar, jornada escolar, la intensidad horaria mínima anual en cada nivel y las modificaciones que se realicen al mismo, de acuerdo con lo previsto en la normatividad vigente.</v>
      </c>
      <c r="K2088" s="11" t="str">
        <f>IFERROR(IF(VLOOKUP(A2088,[14]PRIORIZADOS!$A:$K,11,FALSE)="","",VLOOKUP(A2088,[14]PRIORIZADOS!$A:$K,11,FALSE)),"")</f>
        <v>DANIEL ALEJANDRO GRANOBLES</v>
      </c>
      <c r="L2088" s="11" t="str">
        <f>IFERROR(IF(VLOOKUP(A2088,[14]PRIORIZADOS!$A:$L,12,FALSE)="","",VLOOKUP(A2088,[14]PRIORIZADOS!$A:$L,12,FALSE)),"")</f>
        <v>SANDRA OLINDA GONZÁLEZ REYES</v>
      </c>
      <c r="M2088" s="71" t="str">
        <f>IFERROR(IF(VLOOKUP(A2088,[14]PRIORIZADOS!$A:$M,13,FALSE)="","",VLOOKUP(A2088,[14]PRIORIZADOS!$A:$M,13,FALSE)),"")</f>
        <v>26/03/2025</v>
      </c>
      <c r="N2088" s="71">
        <f>IFERROR(IF(VLOOKUP(A2088,[14]PRIORIZADOS!$A:$N,14,FALSE)="","",VLOOKUP(A2088,[14]PRIORIZADOS!$A:$N,14,FALSE)),"")</f>
        <v>45770</v>
      </c>
      <c r="O2088" s="71">
        <f>IFERROR(IF(VLOOKUP(A2088,[14]PRIORIZADOS!$A:$O,15,FALSE)="","",VLOOKUP(A2088,[14]PRIORIZADOS!$A:$O,15,FALSE)),"")</f>
        <v>45770</v>
      </c>
      <c r="P2088" s="11" t="str">
        <f>IFERROR(IF(VLOOKUP(A2088,[14]PRIORIZADOS!$A:$P,16,FALSE)="","",VLOOKUP(A2088,[14]PRIORIZADOS!$A:$P,16,FALSE)),"")</f>
        <v>Visitas de evaluación con fines de mejoramiento</v>
      </c>
      <c r="Q2088" s="7" t="s">
        <v>438</v>
      </c>
      <c r="R2088" s="11" t="str">
        <f>IFERROR(IF(VLOOKUP(A2088,[14]PRIORIZADOS!$A:$R,18,FALSE)="","",VLOOKUP(A2088,[14]PRIORIZADOS!$A:$R,18,FALSE)),"")</f>
        <v>La intensidad horaria y las horas mínimas anuales de cada ciclo se ajustan para los ciclos de básica, sin ambargo se deben revisar las horas mínimas para los ciclos de media</v>
      </c>
      <c r="S2088" s="11" t="str">
        <f>IFERROR(IF(VLOOKUP(A2088,[14]PRIORIZADOS!$A:$S,19,FALSE)="","",VLOOKUP(A2088,[14]PRIORIZADOS!$A:$S,19,FALSE)),"")</f>
        <v>Realizar ajuste al calendario académico y socializarlo con los estudianes, presentarlo para revisión antes del 31 de mayo</v>
      </c>
      <c r="T2088" s="70" t="str">
        <f>IFERROR(IF(VLOOKUP(A2088,[14]PRIORIZADOS!$A:$T,20,FALSE)="","",VLOOKUP(A2088,[14]PRIORIZADOS!$A:$T,20,FALSE)),"")</f>
        <v>Si</v>
      </c>
      <c r="U2088" s="11" t="str">
        <f>IFERROR(IF(VLOOKUP(A2088,[14]PRIORIZADOS!$A:$U,21,FALSE)="","",VLOOKUP(A2088,[14]PRIORIZADOS!$A:$U,21,FALSE)),"")</f>
        <v>Verificar el calendario escolar allegado y la socialización con la comunidad educativa con fecha 30 de junio</v>
      </c>
    </row>
    <row r="2089" spans="1:21" s="1" customFormat="1" ht="72">
      <c r="A2089" s="69">
        <f>IF([14]PRIORIZADOS!A136="","",[14]PRIORIZADOS!A136)</f>
        <v>2057</v>
      </c>
      <c r="B2089" s="70">
        <f>IFERROR(IF(VLOOKUP(A2089,[14]PRIORIZADOS!$A:$B,2,FALSE)="","",VLOOKUP(A2089,[14]PRIORIZADOS!$A:$B,2,FALSE)),"")</f>
        <v>14</v>
      </c>
      <c r="C2089" s="11" t="s">
        <v>424</v>
      </c>
      <c r="D2089" s="11" t="str">
        <f>IFERROR(IF(VLOOKUP(A2089,[14]PRIORIZADOS!$A:$D,4,FALSE)="","",VLOOKUP(A2089,[14]PRIORIZADOS!$A:$D,4,FALSE)),"")</f>
        <v>PRIVADO</v>
      </c>
      <c r="E2089" s="11" t="str">
        <f>IFERROR(IF(VLOOKUP(A2089,[14]PRIORIZADOS!$A:$E,5,FALSE)="","",VLOOKUP(A2089,[14]PRIORIZADOS!$A:$E,5,FALSE)),"")</f>
        <v>EPBM</v>
      </c>
      <c r="F2089" s="11" t="str">
        <f>IFERROR(IF(VLOOKUP(A2089,[14]PRIORIZADOS!$A:$F,6,FALSE)="","",VLOOKUP(A2089,[14]PRIORIZADOS!$A:$F,6,FALSE)),"")</f>
        <v>GIMNASIO_DE_EDUCACION_MEDIA_ACADEMICA_Y_TECNICA_FRANCISCANO_DE_SUBA</v>
      </c>
      <c r="G2089" s="11" t="str">
        <f>IFERROR(IF(VLOOKUP(A2089,[14]PRIORIZADOS!$A:$G,7,FALSE)="","",VLOOKUP(A2089,[14]PRIORIZADOS!$A:$G,7,FALSE)),"")</f>
        <v>GIMNASIO_DE_EDUCACION_MEDIA_ACADEMICA_Y_TECNICA_FRANCISCANO_DE_SUBA</v>
      </c>
      <c r="H2089" s="11" t="str">
        <f>IFERROR(IF(VLOOKUP(A2089,[14]PRIORIZADOS!$A:$H,8,FALSE)="","",VLOOKUP(A2089,[14]PRIORIZADOS!$A:$H,8,FALSE)),"")</f>
        <v>Autoevaluación Institucional y Pruebas SABER 11</v>
      </c>
      <c r="I2089" s="11" t="str">
        <f>IFERROR(IF(VLOOKUP(A2089,[14]PRIORIZADOS!$A:$I,9,FALSE)="","",VLOOKUP(A2089,[14]PRIORIZADOS!$A:$I,9,FALSE)),"")</f>
        <v>EVALUACIÓN_CON_FINES_DE_MEJORAMIENTO.</v>
      </c>
      <c r="J2089" s="11" t="str">
        <f>IFERROR(IF(VLOOKUP(A2089,[14]PRIORIZADOS!$A:$J,10,FALSE)="","",VLOOKUP(A2089,[14]PRIORIZADOS!$A:$J,10,FALSE)),"")</f>
        <v>Verificar el funcionamiento del Gobierno Escolar e instancias de participación con base en la información sobre conformación reportada por la institución educativa.</v>
      </c>
      <c r="K2089" s="11" t="str">
        <f>IFERROR(IF(VLOOKUP(A2089,[14]PRIORIZADOS!$A:$K,11,FALSE)="","",VLOOKUP(A2089,[14]PRIORIZADOS!$A:$K,11,FALSE)),"")</f>
        <v>DANIEL ALEJANDRO GRANOBLES</v>
      </c>
      <c r="L2089" s="11" t="str">
        <f>IFERROR(IF(VLOOKUP(A2089,[14]PRIORIZADOS!$A:$L,12,FALSE)="","",VLOOKUP(A2089,[14]PRIORIZADOS!$A:$L,12,FALSE)),"")</f>
        <v>SANDRA OLINDA GONZÁLEZ REYES</v>
      </c>
      <c r="M2089" s="71" t="str">
        <f>IFERROR(IF(VLOOKUP(A2089,[14]PRIORIZADOS!$A:$M,13,FALSE)="","",VLOOKUP(A2089,[14]PRIORIZADOS!$A:$M,13,FALSE)),"")</f>
        <v>26/03/2025</v>
      </c>
      <c r="N2089" s="71">
        <f>IFERROR(IF(VLOOKUP(A2089,[14]PRIORIZADOS!$A:$N,14,FALSE)="","",VLOOKUP(A2089,[14]PRIORIZADOS!$A:$N,14,FALSE)),"")</f>
        <v>45770</v>
      </c>
      <c r="O2089" s="71">
        <f>IFERROR(IF(VLOOKUP(A2089,[14]PRIORIZADOS!$A:$O,15,FALSE)="","",VLOOKUP(A2089,[14]PRIORIZADOS!$A:$O,15,FALSE)),"")</f>
        <v>45770</v>
      </c>
      <c r="P2089" s="11" t="str">
        <f>IFERROR(IF(VLOOKUP(A2089,[14]PRIORIZADOS!$A:$P,16,FALSE)="","",VLOOKUP(A2089,[14]PRIORIZADOS!$A:$P,16,FALSE)),"")</f>
        <v>Visitas de evaluación con fines de mejoramiento</v>
      </c>
      <c r="Q2089" s="8" t="s">
        <v>438</v>
      </c>
      <c r="R2089" s="11" t="str">
        <f>IFERROR(IF(VLOOKUP(A2089,[14]PRIORIZADOS!$A:$R,18,FALSE)="","",VLOOKUP(A2089,[14]PRIORIZADOS!$A:$R,18,FALSE)),"")</f>
        <v>Se evidenciaron las actas de conformación de gobierno escolar, las cuales deberán cargarse en el SAE. Sobre el funcionamiento e realizó en febrero la primera reunión de planeación e informe del año anterior .</v>
      </c>
      <c r="S2089" s="11" t="str">
        <f>IFERROR(IF(VLOOKUP(A2089,[14]PRIORIZADOS!$A:$S,19,FALSE)="","",VLOOKUP(A2089,[14]PRIORIZADOS!$A:$S,19,FALSE)),"")</f>
        <v>Cargar las actas de conformación en el aplicativo SAE Sesionar con cada órgano de gobierno de conformidad con la periodicidad establecida en la norma</v>
      </c>
      <c r="T2089" s="70" t="str">
        <f>IFERROR(IF(VLOOKUP(A2089,[14]PRIORIZADOS!$A:$T,20,FALSE)="","",VLOOKUP(A2089,[14]PRIORIZADOS!$A:$T,20,FALSE)),"")</f>
        <v>Si</v>
      </c>
      <c r="U2089" s="11" t="str">
        <f>IFERROR(IF(VLOOKUP(A2089,[14]PRIORIZADOS!$A:$U,21,FALSE)="","",VLOOKUP(A2089,[14]PRIORIZADOS!$A:$U,21,FALSE)),"")</f>
        <v>Verificar el SAE  y verificar las actas que evidenciens el funcionamiento de  los organos de gobierno.</v>
      </c>
    </row>
    <row r="2090" spans="1:21" s="1" customFormat="1" ht="35.25" customHeight="1">
      <c r="A2090" s="69">
        <f>IF([14]PRIORIZADOS!A137="","",[14]PRIORIZADOS!A137)</f>
        <v>2058</v>
      </c>
      <c r="B2090" s="70">
        <f>IFERROR(IF(VLOOKUP(A2090,[14]PRIORIZADOS!$A:$B,2,FALSE)="","",VLOOKUP(A2090,[14]PRIORIZADOS!$A:$B,2,FALSE)),"")</f>
        <v>14</v>
      </c>
      <c r="C2090" s="11" t="str">
        <f>IFERROR(IF(VLOOKUP(A2090,[14]PRIORIZADOS!$A:$C,3,FALSE)="","",VLOOKUP(A2090,[14]PRIORIZADOS!$A:$C,3,FALSE)),"")</f>
        <v>SUBA</v>
      </c>
      <c r="D2090" s="11" t="str">
        <f>IFERROR(IF(VLOOKUP(A2090,[14]PRIORIZADOS!$A:$D,4,FALSE)="","",VLOOKUP(A2090,[14]PRIORIZADOS!$A:$D,4,FALSE)),"")</f>
        <v>PRIVADO</v>
      </c>
      <c r="E2090" s="11" t="str">
        <f>IFERROR(IF(VLOOKUP(A2090,[14]PRIORIZADOS!$A:$E,5,FALSE)="","",VLOOKUP(A2090,[14]PRIORIZADOS!$A:$E,5,FALSE)),"")</f>
        <v>EPBM</v>
      </c>
      <c r="F2090" s="11" t="str">
        <f>IFERROR(IF(VLOOKUP(A2090,[14]PRIORIZADOS!$A:$F,6,FALSE)="","",VLOOKUP(A2090,[14]PRIORIZADOS!$A:$F,6,FALSE)),"")</f>
        <v>GIMNASIO_DE_EDUCACION_MEDIA_ACADEMICA_Y_TECNICA_FRANCISCANO_DE_SUBA</v>
      </c>
      <c r="G2090" s="11" t="str">
        <f>IFERROR(IF(VLOOKUP(A2090,[14]PRIORIZADOS!$A:$G,7,FALSE)="","",VLOOKUP(A2090,[14]PRIORIZADOS!$A:$G,7,FALSE)),"")</f>
        <v>GIMNASIO_DE_EDUCACION_MEDIA_ACADEMICA_Y_TECNICA_FRANCISCANO_DE_SUBA</v>
      </c>
      <c r="H2090" s="11" t="str">
        <f>IFERROR(IF(VLOOKUP(A2090,[14]PRIORIZADOS!$A:$H,8,FALSE)="","",VLOOKUP(A2090,[14]PRIORIZADOS!$A:$H,8,FALSE)),"")</f>
        <v>Autoevaluación Institucional y Pruebas SABER 11</v>
      </c>
      <c r="I2090" s="11" t="str">
        <f>IFERROR(IF(VLOOKUP(A2090,[14]PRIORIZADOS!$A:$I,9,FALSE)="","",VLOOKUP(A2090,[14]PRIORIZADOS!$A:$I,9,FALSE)),"")</f>
        <v>EVALUACIÓN_CON_FINES_DE_MEJORAMIENTO.</v>
      </c>
      <c r="J2090" s="11" t="str">
        <f>IFERROR(IF(VLOOKUP(A2090,[14]PRIORIZADOS!$A:$J,10,FALSE)="","",VLOOKUP(A2090,[14]PRIORIZADOS!$A:$J,10,FALSE)),"")</f>
        <v>Verificar las condiciones en cuanto a: la estructura administrativa, condiciones de la planta física y medios educativos adecuados.</v>
      </c>
      <c r="K2090" s="11" t="str">
        <f>IFERROR(IF(VLOOKUP(A2090,[14]PRIORIZADOS!$A:$K,11,FALSE)="","",VLOOKUP(A2090,[14]PRIORIZADOS!$A:$K,11,FALSE)),"")</f>
        <v>DANIEL ALEJANDRO GRANOBLES</v>
      </c>
      <c r="L2090" s="11" t="str">
        <f>IFERROR(IF(VLOOKUP(A2090,[14]PRIORIZADOS!$A:$L,12,FALSE)="","",VLOOKUP(A2090,[14]PRIORIZADOS!$A:$L,12,FALSE)),"")</f>
        <v>SANDRA OLINDA GONZÁLEZ REYES</v>
      </c>
      <c r="M2090" s="71" t="str">
        <f>IFERROR(IF(VLOOKUP(A2090,[14]PRIORIZADOS!$A:$M,13,FALSE)="","",VLOOKUP(A2090,[14]PRIORIZADOS!$A:$M,13,FALSE)),"")</f>
        <v>26/03/2025</v>
      </c>
      <c r="N2090" s="71">
        <f>IFERROR(IF(VLOOKUP(A2090,[14]PRIORIZADOS!$A:$N,14,FALSE)="","",VLOOKUP(A2090,[14]PRIORIZADOS!$A:$N,14,FALSE)),"")</f>
        <v>45770</v>
      </c>
      <c r="O2090" s="71">
        <f>IFERROR(IF(VLOOKUP(A2090,[14]PRIORIZADOS!$A:$O,15,FALSE)="","",VLOOKUP(A2090,[14]PRIORIZADOS!$A:$O,15,FALSE)),"")</f>
        <v>45770</v>
      </c>
      <c r="P2090" s="11" t="str">
        <f>IFERROR(IF(VLOOKUP(A2090,[14]PRIORIZADOS!$A:$P,16,FALSE)="","",VLOOKUP(A2090,[14]PRIORIZADOS!$A:$P,16,FALSE)),"")</f>
        <v>Visitas de evaluación con fines de mejoramiento</v>
      </c>
      <c r="Q2090" s="253" t="s">
        <v>438</v>
      </c>
      <c r="R2090" s="11" t="str">
        <f>IFERROR(IF(VLOOKUP(A2090,[14]PRIORIZADOS!$A:$R,18,FALSE)="","",VLOOKUP(A2090,[14]PRIORIZADOS!$A:$R,18,FALSE)),"")</f>
        <v xml:space="preserve">Existen espacios adecuados para la prestación del servicio educativo autorizado </v>
      </c>
      <c r="S2090" s="11" t="str">
        <f>IFERROR(IF(VLOOKUP(A2090,[14]PRIORIZADOS!$A:$S,19,FALSE)="","",VLOOKUP(A2090,[14]PRIORIZADOS!$A:$S,19,FALSE)),"")</f>
        <v>Continuar con el plan de inversión propuesto</v>
      </c>
      <c r="T2090" s="70" t="str">
        <f>IFERROR(IF(VLOOKUP(A2090,[14]PRIORIZADOS!$A:$T,20,FALSE)="","",VLOOKUP(A2090,[14]PRIORIZADOS!$A:$T,20,FALSE)),"")</f>
        <v>Si</v>
      </c>
      <c r="U2090" s="11" t="str">
        <f>IFERROR(IF(VLOOKUP(A2090,[14]PRIORIZADOS!$A:$U,21,FALSE)="","",VLOOKUP(A2090,[14]PRIORIZADOS!$A:$U,21,FALSE)),"")</f>
        <v>Enviar informe en cumplimiento del plan de mejoramiento al 30 de junio de 2025</v>
      </c>
    </row>
    <row r="2091" spans="1:21" s="1" customFormat="1" ht="36">
      <c r="A2091" s="69">
        <f>IF([14]PRIORIZADOS!A138="","",[14]PRIORIZADOS!A138)</f>
        <v>2059</v>
      </c>
      <c r="B2091" s="70">
        <f>IFERROR(IF(VLOOKUP(A2091,[14]PRIORIZADOS!$A:$B,2,FALSE)="","",VLOOKUP(A2091,[14]PRIORIZADOS!$A:$B,2,FALSE)),"")</f>
        <v>15</v>
      </c>
      <c r="C2091" s="11" t="s">
        <v>424</v>
      </c>
      <c r="D2091" s="11" t="str">
        <f>IFERROR(IF(VLOOKUP(A2091,[14]PRIORIZADOS!$A:$D,4,FALSE)="","",VLOOKUP(A2091,[14]PRIORIZADOS!$A:$D,4,FALSE)),"")</f>
        <v>PRIVADO</v>
      </c>
      <c r="E2091" s="11" t="str">
        <f>IFERROR(IF(VLOOKUP(A2091,[14]PRIORIZADOS!$A:$E,5,FALSE)="","",VLOOKUP(A2091,[14]PRIORIZADOS!$A:$E,5,FALSE)),"")</f>
        <v>EPBM</v>
      </c>
      <c r="F2091" s="11" t="str">
        <f>IFERROR(IF(VLOOKUP(A2091,[14]PRIORIZADOS!$A:$F,6,FALSE)="","",VLOOKUP(A2091,[14]PRIORIZADOS!$A:$F,6,FALSE)),"")</f>
        <v>COLEGIO_PEDAGOGICO_NEOGRANADINO</v>
      </c>
      <c r="G2091" s="11" t="str">
        <f>IFERROR(IF(VLOOKUP(A2091,[14]PRIORIZADOS!$A:$G,7,FALSE)="","",VLOOKUP(A2091,[14]PRIORIZADOS!$A:$G,7,FALSE)),"")</f>
        <v>COLEGIO PEDAGOGICO NEOGRANADINO</v>
      </c>
      <c r="H2091" s="11" t="str">
        <f>IFERROR(IF(VLOOKUP(A2091,[14]PRIORIZADOS!$A:$H,8,FALSE)="","",VLOOKUP(A2091,[14]PRIORIZADOS!$A:$H,8,FALSE)),"")</f>
        <v>Autoevaluación Institucional y Pruebas SABER 11</v>
      </c>
      <c r="I2091" s="11" t="str">
        <f>IFERROR(IF(VLOOKUP(A2091,[14]PRIORIZADOS!$A:$I,9,FALSE)="","",VLOOKUP(A2091,[14]PRIORIZADOS!$A:$I,9,FALSE)),"")</f>
        <v>SEGUIMIENTO_Y_SUPERVISIÓN.</v>
      </c>
      <c r="J2091" s="11" t="str">
        <f>IFERROR(IF(VLOOKUP(A2091,[14]PRIORIZADOS!$A:$J,10,FALSE)="","",VLOOKUP(A2091,[14]PRIORIZADOS!$A:$J,10,FALSE)),"")</f>
        <v>Realizar visitas para verificar la información registrada sobre la autoevaluación institucional en el aplicativo EVI, a los establecimientos de educación formal no oficial.</v>
      </c>
      <c r="K2091" s="11" t="str">
        <f>IFERROR(IF(VLOOKUP(A2091,[14]PRIORIZADOS!$A:$K,11,FALSE)="","",VLOOKUP(A2091,[14]PRIORIZADOS!$A:$K,11,FALSE)),"")</f>
        <v>ALBA DEL PILAR CUBIDES CÁCERES</v>
      </c>
      <c r="L2091" s="11" t="str">
        <f>IFERROR(IF(VLOOKUP(A2091,[14]PRIORIZADOS!$A:$L,12,FALSE)="","",VLOOKUP(A2091,[14]PRIORIZADOS!$A:$L,12,FALSE)),"")</f>
        <v>SONIA CONSTANZA URREGO GONZÁLEZ</v>
      </c>
      <c r="M2091" s="71" t="str">
        <f>IFERROR(IF(VLOOKUP(A2091,[14]PRIORIZADOS!$A:$M,13,FALSE)="","",VLOOKUP(A2091,[14]PRIORIZADOS!$A:$M,13,FALSE)),"")</f>
        <v>15/7/2025</v>
      </c>
      <c r="N2091" s="71">
        <f>IFERROR(IF(VLOOKUP(A2091,[14]PRIORIZADOS!$A:$N,14,FALSE)="","",VLOOKUP(A2091,[14]PRIORIZADOS!$A:$N,14,FALSE)),"")</f>
        <v>45883</v>
      </c>
      <c r="O2091" s="71">
        <f>IFERROR(IF(VLOOKUP(A2091,[14]PRIORIZADOS!$A:$O,15,FALSE)="","",VLOOKUP(A2091,[14]PRIORIZADOS!$A:$O,15,FALSE)),"")</f>
        <v>45883</v>
      </c>
      <c r="P2091" s="11" t="str">
        <f>IFERROR(IF(VLOOKUP(A2091,[14]PRIORIZADOS!$A:$P,16,FALSE)="","",VLOOKUP(A2091,[14]PRIORIZADOS!$A:$P,16,FALSE)),"")</f>
        <v>Visitas de evaluación con fines de seguimiento</v>
      </c>
      <c r="Q2091" s="250" t="s">
        <v>439</v>
      </c>
      <c r="R2091" s="11" t="str">
        <f>IFERROR(IF(VLOOKUP(A2091,[14]PRIORIZADOS!$A:$R,18,FALSE)="","",VLOOKUP(A2091,[14]PRIORIZADOS!$A:$R,18,FALSE)),"")</f>
        <v xml:space="preserve">Al momento de la visita se encontró que la totalidad de la información reportada en el aplicativo EVI corresponde con la realidad. </v>
      </c>
      <c r="S2091" s="11" t="str">
        <f>IFERROR(IF(VLOOKUP(A2091,[14]PRIORIZADOS!$A:$S,19,FALSE)="","",VLOOKUP(A2091,[14]PRIORIZADOS!$A:$S,19,FALSE)),"")</f>
        <v>Seguir conservando el orden en cuanto a la reporte en el EVI</v>
      </c>
      <c r="T2091" s="70" t="str">
        <f>IFERROR(IF(VLOOKUP(A2091,[14]PRIORIZADOS!$A:$T,20,FALSE)="","",VLOOKUP(A2091,[14]PRIORIZADOS!$A:$T,20,FALSE)),"")</f>
        <v>No</v>
      </c>
      <c r="U2091" s="11" t="str">
        <f>IFERROR(IF(VLOOKUP(A2091,[14]PRIORIZADOS!$A:$U,21,FALSE)="","",VLOOKUP(A2091,[14]PRIORIZADOS!$A:$U,21,FALSE)),"")</f>
        <v>Seguir con su cumplimiento</v>
      </c>
    </row>
    <row r="2092" spans="1:21" s="1" customFormat="1" ht="60">
      <c r="A2092" s="69">
        <f>IF([14]PRIORIZADOS!A139="","",[14]PRIORIZADOS!A139)</f>
        <v>2060</v>
      </c>
      <c r="B2092" s="70">
        <f>IFERROR(IF(VLOOKUP(A2092,[14]PRIORIZADOS!$A:$B,2,FALSE)="","",VLOOKUP(A2092,[14]PRIORIZADOS!$A:$B,2,FALSE)),"")</f>
        <v>15</v>
      </c>
      <c r="C2092" s="11" t="s">
        <v>424</v>
      </c>
      <c r="D2092" s="11" t="str">
        <f>IFERROR(IF(VLOOKUP(A2092,[14]PRIORIZADOS!$A:$D,4,FALSE)="","",VLOOKUP(A2092,[14]PRIORIZADOS!$A:$D,4,FALSE)),"")</f>
        <v>PRIVADO</v>
      </c>
      <c r="E2092" s="11" t="str">
        <f>IFERROR(IF(VLOOKUP(A2092,[14]PRIORIZADOS!$A:$E,5,FALSE)="","",VLOOKUP(A2092,[14]PRIORIZADOS!$A:$E,5,FALSE)),"")</f>
        <v>EPBM</v>
      </c>
      <c r="F2092" s="11" t="str">
        <f>IFERROR(IF(VLOOKUP(A2092,[14]PRIORIZADOS!$A:$F,6,FALSE)="","",VLOOKUP(A2092,[14]PRIORIZADOS!$A:$F,6,FALSE)),"")</f>
        <v>COLEGIO_PEDAGOGICO_NEOGRANADINO</v>
      </c>
      <c r="G2092" s="11" t="str">
        <f>IFERROR(IF(VLOOKUP(A2092,[14]PRIORIZADOS!$A:$G,7,FALSE)="","",VLOOKUP(A2092,[14]PRIORIZADOS!$A:$G,7,FALSE)),"")</f>
        <v>COLEGIO PEDAGOGICO NEOGRANADINO</v>
      </c>
      <c r="H2092" s="11" t="str">
        <f>IFERROR(IF(VLOOKUP(A2092,[14]PRIORIZADOS!$A:$H,8,FALSE)="","",VLOOKUP(A2092,[14]PRIORIZADOS!$A:$H,8,FALSE)),"")</f>
        <v>Autoevaluación Institucional y Pruebas SABER 11</v>
      </c>
      <c r="I2092" s="11" t="str">
        <f>IFERROR(IF(VLOOKUP(A2092,[14]PRIORIZADOS!$A:$I,9,FALSE)="","",VLOOKUP(A2092,[14]PRIORIZADOS!$A:$I,9,FALSE)),"")</f>
        <v>SEGUIMIENTO_Y_SUPERVISIÓN.</v>
      </c>
      <c r="J2092" s="11" t="str">
        <f>IFERROR(IF(VLOOKUP(A2092,[14]PRIORIZADOS!$A:$J,10,FALSE)="","",VLOOKUP(A2092,[14]PRIORIZADOS!$A:$J,10,FALSE)),"")</f>
        <v>Proponer estrategias en la formulación, verificar su elaboración y realizar seguimiento semestral al desarrollo de  las acciones establecidas en los planes de mejoramiento por pruebas SABER 11 de los establecimientos de educación formal.</v>
      </c>
      <c r="K2092" s="11" t="str">
        <f>IFERROR(IF(VLOOKUP(A2092,[14]PRIORIZADOS!$A:$K,11,FALSE)="","",VLOOKUP(A2092,[14]PRIORIZADOS!$A:$K,11,FALSE)),"")</f>
        <v>ALBA DEL PILAR CUBIDES CÁCERES</v>
      </c>
      <c r="L2092" s="11" t="str">
        <f>IFERROR(IF(VLOOKUP(A2092,[14]PRIORIZADOS!$A:$L,12,FALSE)="","",VLOOKUP(A2092,[14]PRIORIZADOS!$A:$L,12,FALSE)),"")</f>
        <v>SONIA CONSTANZA URREGO GONZÁLEZ</v>
      </c>
      <c r="M2092" s="71" t="str">
        <f>IFERROR(IF(VLOOKUP(A2092,[14]PRIORIZADOS!$A:$M,13,FALSE)="","",VLOOKUP(A2092,[14]PRIORIZADOS!$A:$M,13,FALSE)),"")</f>
        <v>15/7/2025</v>
      </c>
      <c r="N2092" s="71">
        <f>IFERROR(IF(VLOOKUP(A2092,[14]PRIORIZADOS!$A:$N,14,FALSE)="","",VLOOKUP(A2092,[14]PRIORIZADOS!$A:$N,14,FALSE)),"")</f>
        <v>45883</v>
      </c>
      <c r="O2092" s="71">
        <f>IFERROR(IF(VLOOKUP(A2092,[14]PRIORIZADOS!$A:$O,15,FALSE)="","",VLOOKUP(A2092,[14]PRIORIZADOS!$A:$O,15,FALSE)),"")</f>
        <v>45883</v>
      </c>
      <c r="P2092" s="11" t="str">
        <f>IFERROR(IF(VLOOKUP(A2092,[14]PRIORIZADOS!$A:$P,16,FALSE)="","",VLOOKUP(A2092,[14]PRIORIZADOS!$A:$P,16,FALSE)),"")</f>
        <v>Visitas de evaluación con fines de seguimiento</v>
      </c>
      <c r="Q2092" s="250" t="s">
        <v>439</v>
      </c>
      <c r="R2092" s="11" t="str">
        <f>IFERROR(IF(VLOOKUP(A2092,[14]PRIORIZADOS!$A:$R,18,FALSE)="","",VLOOKUP(A2092,[14]PRIORIZADOS!$A:$R,18,FALSE)),"")</f>
        <v>La institución educativa se encuentra clasificada en nivel D y realizó  el análsis de los últimos resultados.</v>
      </c>
      <c r="S2092" s="11" t="str">
        <f>IFERROR(IF(VLOOKUP(A2092,[14]PRIORIZADOS!$A:$S,19,FALSE)="","",VLOOKUP(A2092,[14]PRIORIZADOS!$A:$S,19,FALSE)),"")</f>
        <v>Se realizo plan de choque  para preparación del ICFES, por DISDAKALIA y docentes del colegio, implementados pruebas desde el grado 1 BP</v>
      </c>
      <c r="T2092" s="70" t="str">
        <f>IFERROR(IF(VLOOKUP(A2092,[14]PRIORIZADOS!$A:$T,20,FALSE)="","",VLOOKUP(A2092,[14]PRIORIZADOS!$A:$T,20,FALSE)),"")</f>
        <v>SI</v>
      </c>
      <c r="U2092" s="11" t="str">
        <f>IFERROR(IF(VLOOKUP(A2092,[14]PRIORIZADOS!$A:$U,21,FALSE)="","",VLOOKUP(A2092,[14]PRIORIZADOS!$A:$U,21,FALSE)),"")</f>
        <v>Verificar el cumplimiento a las acciones proyectadas por la institución en el PMI.</v>
      </c>
    </row>
    <row r="2093" spans="1:21" s="1" customFormat="1" ht="48">
      <c r="A2093" s="69">
        <f>IF([14]PRIORIZADOS!A140="","",[14]PRIORIZADOS!A140)</f>
        <v>2061</v>
      </c>
      <c r="B2093" s="70">
        <f>IFERROR(IF(VLOOKUP(A2093,[14]PRIORIZADOS!$A:$B,2,FALSE)="","",VLOOKUP(A2093,[14]PRIORIZADOS!$A:$B,2,FALSE)),"")</f>
        <v>15</v>
      </c>
      <c r="C2093" s="11" t="s">
        <v>424</v>
      </c>
      <c r="D2093" s="11" t="str">
        <f>IFERROR(IF(VLOOKUP(A2093,[14]PRIORIZADOS!$A:$D,4,FALSE)="","",VLOOKUP(A2093,[14]PRIORIZADOS!$A:$D,4,FALSE)),"")</f>
        <v>PRIVADO</v>
      </c>
      <c r="E2093" s="11" t="str">
        <f>IFERROR(IF(VLOOKUP(A2093,[14]PRIORIZADOS!$A:$E,5,FALSE)="","",VLOOKUP(A2093,[14]PRIORIZADOS!$A:$E,5,FALSE)),"")</f>
        <v>EPBM</v>
      </c>
      <c r="F2093" s="11" t="str">
        <f>IFERROR(IF(VLOOKUP(A2093,[14]PRIORIZADOS!$A:$F,6,FALSE)="","",VLOOKUP(A2093,[14]PRIORIZADOS!$A:$F,6,FALSE)),"")</f>
        <v>COLEGIO_PEDAGOGICO_NEOGRANADINO</v>
      </c>
      <c r="G2093" s="11" t="str">
        <f>IFERROR(IF(VLOOKUP(A2093,[14]PRIORIZADOS!$A:$G,7,FALSE)="","",VLOOKUP(A2093,[14]PRIORIZADOS!$A:$G,7,FALSE)),"")</f>
        <v>COLEGIO PEDAGOGICO NEOGRANADINO</v>
      </c>
      <c r="H2093" s="11" t="str">
        <f>IFERROR(IF(VLOOKUP(A2093,[14]PRIORIZADOS!$A:$H,8,FALSE)="","",VLOOKUP(A2093,[14]PRIORIZADOS!$A:$H,8,FALSE)),"")</f>
        <v>Autoevaluación Institucional y Pruebas SABER 11</v>
      </c>
      <c r="I2093" s="11" t="str">
        <f>IFERROR(IF(VLOOKUP(A2093,[14]PRIORIZADOS!$A:$I,9,FALSE)="","",VLOOKUP(A2093,[14]PRIORIZADOS!$A:$I,9,FALSE)),"")</f>
        <v>SEGUIMIENTO_Y_SUPERVISIÓN.</v>
      </c>
      <c r="J2093" s="11" t="str">
        <f>IFERROR(IF(VLOOKUP(A2093,[14]PRIORIZADOS!$A:$J,10,FALSE)="","",VLOOKUP(A2093,[14]PRIORIZADOS!$A:$J,10,FALSE)),"")</f>
        <v xml:space="preserve">Verificar la implementación por parte de los colegios, de acciones realizadas para la prevención y atención de las situaciones de convivencia en el entorno escolar, según lo establecido en la Directiva 01 de 2022 del MEN. </v>
      </c>
      <c r="K2093" s="11" t="str">
        <f>IFERROR(IF(VLOOKUP(A2093,[14]PRIORIZADOS!$A:$K,11,FALSE)="","",VLOOKUP(A2093,[14]PRIORIZADOS!$A:$K,11,FALSE)),"")</f>
        <v>ALBA DEL PILAR CUBIDES CÁCERES</v>
      </c>
      <c r="L2093" s="11" t="str">
        <f>IFERROR(IF(VLOOKUP(A2093,[14]PRIORIZADOS!$A:$L,12,FALSE)="","",VLOOKUP(A2093,[14]PRIORIZADOS!$A:$L,12,FALSE)),"")</f>
        <v>SONIA CONSTANZA URREGO GONZÁLEZ</v>
      </c>
      <c r="M2093" s="71" t="str">
        <f>IFERROR(IF(VLOOKUP(A2093,[14]PRIORIZADOS!$A:$M,13,FALSE)="","",VLOOKUP(A2093,[14]PRIORIZADOS!$A:$M,13,FALSE)),"")</f>
        <v>15/7/2025</v>
      </c>
      <c r="N2093" s="71">
        <f>IFERROR(IF(VLOOKUP(A2093,[14]PRIORIZADOS!$A:$N,14,FALSE)="","",VLOOKUP(A2093,[14]PRIORIZADOS!$A:$N,14,FALSE)),"")</f>
        <v>45883</v>
      </c>
      <c r="O2093" s="71">
        <f>IFERROR(IF(VLOOKUP(A2093,[14]PRIORIZADOS!$A:$O,15,FALSE)="","",VLOOKUP(A2093,[14]PRIORIZADOS!$A:$O,15,FALSE)),"")</f>
        <v>45883</v>
      </c>
      <c r="P2093" s="11" t="str">
        <f>IFERROR(IF(VLOOKUP(A2093,[14]PRIORIZADOS!$A:$P,16,FALSE)="","",VLOOKUP(A2093,[14]PRIORIZADOS!$A:$P,16,FALSE)),"")</f>
        <v>Visitas de evaluación con fines de seguimiento</v>
      </c>
      <c r="Q2093" s="249" t="s">
        <v>439</v>
      </c>
      <c r="R2093" s="11" t="str">
        <f>IFERROR(IF(VLOOKUP(A2093,[14]PRIORIZADOS!$A:$R,18,FALSE)="","",VLOOKUP(A2093,[14]PRIORIZADOS!$A:$R,18,FALSE)),"")</f>
        <v>Se realiza la consulta de inhabliddes por delitos sexuales.</v>
      </c>
      <c r="S2093" s="11" t="str">
        <f>IFERROR(IF(VLOOKUP(A2093,[14]PRIORIZADOS!$A:$S,19,FALSE)="","",VLOOKUP(A2093,[14]PRIORIZADOS!$A:$S,19,FALSE)),"")</f>
        <v>Conservar la peridiocidad en la consulta d elos antecedentes</v>
      </c>
      <c r="T2093" s="70" t="str">
        <f>IFERROR(IF(VLOOKUP(A2093,[14]PRIORIZADOS!$A:$T,20,FALSE)="","",VLOOKUP(A2093,[14]PRIORIZADOS!$A:$T,20,FALSE)),"")</f>
        <v>No</v>
      </c>
      <c r="U2093" s="11" t="str">
        <f>IFERROR(IF(VLOOKUP(A2093,[14]PRIORIZADOS!$A:$U,21,FALSE)="","",VLOOKUP(A2093,[14]PRIORIZADOS!$A:$U,21,FALSE)),"")</f>
        <v>Seguier dando cumplimiento a la norma</v>
      </c>
    </row>
    <row r="2094" spans="1:21" s="1" customFormat="1" ht="72">
      <c r="A2094" s="69">
        <f>IF([14]PRIORIZADOS!A141="","",[14]PRIORIZADOS!A141)</f>
        <v>2062</v>
      </c>
      <c r="B2094" s="70">
        <f>IFERROR(IF(VLOOKUP(A2094,[14]PRIORIZADOS!$A:$B,2,FALSE)="","",VLOOKUP(A2094,[14]PRIORIZADOS!$A:$B,2,FALSE)),"")</f>
        <v>15</v>
      </c>
      <c r="C2094" s="11" t="s">
        <v>424</v>
      </c>
      <c r="D2094" s="11" t="str">
        <f>IFERROR(IF(VLOOKUP(A2094,[14]PRIORIZADOS!$A:$D,4,FALSE)="","",VLOOKUP(A2094,[14]PRIORIZADOS!$A:$D,4,FALSE)),"")</f>
        <v>PRIVADO</v>
      </c>
      <c r="E2094" s="11" t="str">
        <f>IFERROR(IF(VLOOKUP(A2094,[14]PRIORIZADOS!$A:$E,5,FALSE)="","",VLOOKUP(A2094,[14]PRIORIZADOS!$A:$E,5,FALSE)),"")</f>
        <v>EPBM</v>
      </c>
      <c r="F2094" s="11" t="str">
        <f>IFERROR(IF(VLOOKUP(A2094,[14]PRIORIZADOS!$A:$F,6,FALSE)="","",VLOOKUP(A2094,[14]PRIORIZADOS!$A:$F,6,FALSE)),"")</f>
        <v>COLEGIO_PEDAGOGICO_NEOGRANADINO</v>
      </c>
      <c r="G2094" s="11" t="str">
        <f>IFERROR(IF(VLOOKUP(A2094,[14]PRIORIZADOS!$A:$G,7,FALSE)="","",VLOOKUP(A2094,[14]PRIORIZADOS!$A:$G,7,FALSE)),"")</f>
        <v>COLEGIO PEDAGOGICO NEOGRANADINO</v>
      </c>
      <c r="H2094" s="11" t="str">
        <f>IFERROR(IF(VLOOKUP(A2094,[14]PRIORIZADOS!$A:$H,8,FALSE)="","",VLOOKUP(A2094,[14]PRIORIZADOS!$A:$H,8,FALSE)),"")</f>
        <v>Autoevaluación Institucional y Pruebas SABER 11</v>
      </c>
      <c r="I2094" s="11" t="str">
        <f>IFERROR(IF(VLOOKUP(A2094,[14]PRIORIZADOS!$A:$I,9,FALSE)="","",VLOOKUP(A2094,[14]PRIORIZADOS!$A:$I,9,FALSE)),"")</f>
        <v>SEGUIMIENTO_Y_SUPERVISIÓN.</v>
      </c>
      <c r="J2094" s="11" t="str">
        <f>IFERROR(IF(VLOOKUP(A2094,[14]PRIORIZADOS!$A:$J,10,FALSE)="","",VLOOKUP(A2094,[14]PRIORIZADOS!$A:$J,10,FALSE)),"")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094" s="11" t="str">
        <f>IFERROR(IF(VLOOKUP(A2094,[14]PRIORIZADOS!$A:$K,11,FALSE)="","",VLOOKUP(A2094,[14]PRIORIZADOS!$A:$K,11,FALSE)),"")</f>
        <v>ALBA DEL PILAR CUBIDES CÁCERES</v>
      </c>
      <c r="L2094" s="11" t="str">
        <f>IFERROR(IF(VLOOKUP(A2094,[14]PRIORIZADOS!$A:$L,12,FALSE)="","",VLOOKUP(A2094,[14]PRIORIZADOS!$A:$L,12,FALSE)),"")</f>
        <v>SONIA CONSTANZA URREGO GONZÁLEZ</v>
      </c>
      <c r="M2094" s="71" t="str">
        <f>IFERROR(IF(VLOOKUP(A2094,[14]PRIORIZADOS!$A:$M,13,FALSE)="","",VLOOKUP(A2094,[14]PRIORIZADOS!$A:$M,13,FALSE)),"")</f>
        <v>15/7/2025</v>
      </c>
      <c r="N2094" s="71">
        <f>IFERROR(IF(VLOOKUP(A2094,[14]PRIORIZADOS!$A:$N,14,FALSE)="","",VLOOKUP(A2094,[14]PRIORIZADOS!$A:$N,14,FALSE)),"")</f>
        <v>45883</v>
      </c>
      <c r="O2094" s="71">
        <f>IFERROR(IF(VLOOKUP(A2094,[14]PRIORIZADOS!$A:$O,15,FALSE)="","",VLOOKUP(A2094,[14]PRIORIZADOS!$A:$O,15,FALSE)),"")</f>
        <v>45883</v>
      </c>
      <c r="P2094" s="11" t="str">
        <f>IFERROR(IF(VLOOKUP(A2094,[14]PRIORIZADOS!$A:$P,16,FALSE)="","",VLOOKUP(A2094,[14]PRIORIZADOS!$A:$P,16,FALSE)),"")</f>
        <v>Visitas de evaluación con fines de seguimiento</v>
      </c>
      <c r="Q2094" s="250" t="s">
        <v>439</v>
      </c>
      <c r="R2094" s="11" t="str">
        <f>IFERROR(IF(VLOOKUP(A2094,[14]PRIORIZADOS!$A:$R,18,FALSE)="","",VLOOKUP(A2094,[14]PRIORIZADOS!$A:$R,18,FALSE)),"")</f>
        <v>Cuentan con 10 estudiantes de inclusión.</v>
      </c>
      <c r="S2094" s="11" t="str">
        <f>IFERROR(IF(VLOOKUP(A2094,[14]PRIORIZADOS!$A:$S,19,FALSE)="","",VLOOKUP(A2094,[14]PRIORIZADOS!$A:$S,19,FALSE)),"")</f>
        <v>Todos cuentan con  PIAR, acorde a las necesidades del estudiante.</v>
      </c>
      <c r="T2094" s="70" t="str">
        <f>IFERROR(IF(VLOOKUP(A2094,[14]PRIORIZADOS!$A:$T,20,FALSE)="","",VLOOKUP(A2094,[14]PRIORIZADOS!$A:$T,20,FALSE)),"")</f>
        <v>No</v>
      </c>
      <c r="U2094" s="11" t="str">
        <f>IFERROR(IF(VLOOKUP(A2094,[14]PRIORIZADOS!$A:$U,21,FALSE)="","",VLOOKUP(A2094,[14]PRIORIZADOS!$A:$U,21,FALSE)),"")</f>
        <v>Seguir con su cumplimiento</v>
      </c>
    </row>
    <row r="2095" spans="1:21" s="1" customFormat="1" ht="84">
      <c r="A2095" s="69">
        <f>IF([14]PRIORIZADOS!A142="","",[14]PRIORIZADOS!A142)</f>
        <v>2063</v>
      </c>
      <c r="B2095" s="70">
        <f>IFERROR(IF(VLOOKUP(A2095,[14]PRIORIZADOS!$A:$B,2,FALSE)="","",VLOOKUP(A2095,[14]PRIORIZADOS!$A:$B,2,FALSE)),"")</f>
        <v>15</v>
      </c>
      <c r="C2095" s="11" t="s">
        <v>424</v>
      </c>
      <c r="D2095" s="11" t="str">
        <f>IFERROR(IF(VLOOKUP(A2095,[14]PRIORIZADOS!$A:$D,4,FALSE)="","",VLOOKUP(A2095,[14]PRIORIZADOS!$A:$D,4,FALSE)),"")</f>
        <v>PRIVADO</v>
      </c>
      <c r="E2095" s="11" t="str">
        <f>IFERROR(IF(VLOOKUP(A2095,[14]PRIORIZADOS!$A:$E,5,FALSE)="","",VLOOKUP(A2095,[14]PRIORIZADOS!$A:$E,5,FALSE)),"")</f>
        <v>EPBM</v>
      </c>
      <c r="F2095" s="11" t="str">
        <f>IFERROR(IF(VLOOKUP(A2095,[14]PRIORIZADOS!$A:$F,6,FALSE)="","",VLOOKUP(A2095,[14]PRIORIZADOS!$A:$F,6,FALSE)),"")</f>
        <v>COLEGIO_PEDAGOGICO_NEOGRANADINO</v>
      </c>
      <c r="G2095" s="11" t="str">
        <f>IFERROR(IF(VLOOKUP(A2095,[14]PRIORIZADOS!$A:$G,7,FALSE)="","",VLOOKUP(A2095,[14]PRIORIZADOS!$A:$G,7,FALSE)),"")</f>
        <v>COLEGIO PEDAGOGICO NEOGRANADINO</v>
      </c>
      <c r="H2095" s="11" t="str">
        <f>IFERROR(IF(VLOOKUP(A2095,[14]PRIORIZADOS!$A:$H,8,FALSE)="","",VLOOKUP(A2095,[14]PRIORIZADOS!$A:$H,8,FALSE)),"")</f>
        <v>Autoevaluación Institucional y Pruebas SABER 11</v>
      </c>
      <c r="I2095" s="11" t="str">
        <f>IFERROR(IF(VLOOKUP(A2095,[14]PRIORIZADOS!$A:$I,9,FALSE)="","",VLOOKUP(A2095,[14]PRIORIZADOS!$A:$I,9,FALSE)),"")</f>
        <v>EVALUACIÓN_CON_FINES_DE_MEJORAMIENTO.</v>
      </c>
      <c r="J2095" s="11" t="str">
        <f>IFERROR(IF(VLOOKUP(A2095,[14]PRIORIZADOS!$A:$J,10,FALSE)="","",VLOOKUP(A2095,[14]PRIORIZADOS!$A:$J,10,FALSE)),"")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095" s="11" t="str">
        <f>IFERROR(IF(VLOOKUP(A2095,[14]PRIORIZADOS!$A:$K,11,FALSE)="","",VLOOKUP(A2095,[14]PRIORIZADOS!$A:$K,11,FALSE)),"")</f>
        <v>ALBA DEL PILAR CUBIDES CÁCERES</v>
      </c>
      <c r="L2095" s="11" t="str">
        <f>IFERROR(IF(VLOOKUP(A2095,[14]PRIORIZADOS!$A:$L,12,FALSE)="","",VLOOKUP(A2095,[14]PRIORIZADOS!$A:$L,12,FALSE)),"")</f>
        <v>SONIA CONSTANZA URREGO GONZÁLEZ</v>
      </c>
      <c r="M2095" s="71" t="str">
        <f>IFERROR(IF(VLOOKUP(A2095,[14]PRIORIZADOS!$A:$M,13,FALSE)="","",VLOOKUP(A2095,[14]PRIORIZADOS!$A:$M,13,FALSE)),"")</f>
        <v>15/7/2025</v>
      </c>
      <c r="N2095" s="71">
        <f>IFERROR(IF(VLOOKUP(A2095,[14]PRIORIZADOS!$A:$N,14,FALSE)="","",VLOOKUP(A2095,[14]PRIORIZADOS!$A:$N,14,FALSE)),"")</f>
        <v>45883</v>
      </c>
      <c r="O2095" s="71">
        <f>IFERROR(IF(VLOOKUP(A2095,[14]PRIORIZADOS!$A:$O,15,FALSE)="","",VLOOKUP(A2095,[14]PRIORIZADOS!$A:$O,15,FALSE)),"")</f>
        <v>45883</v>
      </c>
      <c r="P2095" s="11" t="str">
        <f>IFERROR(IF(VLOOKUP(A2095,[14]PRIORIZADOS!$A:$P,16,FALSE)="","",VLOOKUP(A2095,[14]PRIORIZADOS!$A:$P,16,FALSE)),"")</f>
        <v>Visitas de evaluación con fines de mejoramiento</v>
      </c>
      <c r="Q2095" s="250" t="s">
        <v>439</v>
      </c>
      <c r="R2095" s="11" t="str">
        <f>IFERROR(IF(VLOOKUP(A2095,[14]PRIORIZADOS!$A:$R,18,FALSE)="","",VLOOKUP(A2095,[14]PRIORIZADOS!$A:$R,18,FALSE)),"")</f>
        <v>El Manual de Convivencia se encuentra en físico y se debe realizar actualización de acuerdo con las orientaciones de la SED</v>
      </c>
      <c r="S2095" s="11" t="str">
        <f>IFERROR(IF(VLOOKUP(A2095,[14]PRIORIZADOS!$A:$S,19,FALSE)="","",VLOOKUP(A2095,[14]PRIORIZADOS!$A:$S,19,FALSE)),"")</f>
        <v>Realizar actualización</v>
      </c>
      <c r="T2095" s="70" t="str">
        <f>IFERROR(IF(VLOOKUP(A2095,[14]PRIORIZADOS!$A:$T,20,FALSE)="","",VLOOKUP(A2095,[14]PRIORIZADOS!$A:$T,20,FALSE)),"")</f>
        <v>Si</v>
      </c>
      <c r="U2095" s="11" t="str">
        <f>IFERROR(IF(VLOOKUP(A2095,[14]PRIORIZADOS!$A:$U,21,FALSE)="","",VLOOKUP(A2095,[14]PRIORIZADOS!$A:$U,21,FALSE)),"")</f>
        <v>Última semana del mes de noviembre de 2025</v>
      </c>
    </row>
    <row r="2096" spans="1:21" s="1" customFormat="1" ht="48">
      <c r="A2096" s="69">
        <f>IF([14]PRIORIZADOS!A143="","",[14]PRIORIZADOS!A143)</f>
        <v>2064</v>
      </c>
      <c r="B2096" s="70">
        <f>IFERROR(IF(VLOOKUP(A2096,[14]PRIORIZADOS!$A:$B,2,FALSE)="","",VLOOKUP(A2096,[14]PRIORIZADOS!$A:$B,2,FALSE)),"")</f>
        <v>15</v>
      </c>
      <c r="C2096" s="11" t="s">
        <v>424</v>
      </c>
      <c r="D2096" s="11" t="str">
        <f>IFERROR(IF(VLOOKUP(A2096,[14]PRIORIZADOS!$A:$D,4,FALSE)="","",VLOOKUP(A2096,[14]PRIORIZADOS!$A:$D,4,FALSE)),"")</f>
        <v>PRIVADO</v>
      </c>
      <c r="E2096" s="11" t="str">
        <f>IFERROR(IF(VLOOKUP(A2096,[14]PRIORIZADOS!$A:$E,5,FALSE)="","",VLOOKUP(A2096,[14]PRIORIZADOS!$A:$E,5,FALSE)),"")</f>
        <v>EPBM</v>
      </c>
      <c r="F2096" s="11" t="str">
        <f>IFERROR(IF(VLOOKUP(A2096,[14]PRIORIZADOS!$A:$F,6,FALSE)="","",VLOOKUP(A2096,[14]PRIORIZADOS!$A:$F,6,FALSE)),"")</f>
        <v>COLEGIO_PEDAGOGICO_NEOGRANADINO</v>
      </c>
      <c r="G2096" s="11" t="str">
        <f>IFERROR(IF(VLOOKUP(A2096,[14]PRIORIZADOS!$A:$G,7,FALSE)="","",VLOOKUP(A2096,[14]PRIORIZADOS!$A:$G,7,FALSE)),"")</f>
        <v>COLEGIO PEDAGOGICO NEOGRANADINO</v>
      </c>
      <c r="H2096" s="11" t="str">
        <f>IFERROR(IF(VLOOKUP(A2096,[14]PRIORIZADOS!$A:$H,8,FALSE)="","",VLOOKUP(A2096,[14]PRIORIZADOS!$A:$H,8,FALSE)),"")</f>
        <v>Autoevaluación Institucional y Pruebas SABER 11</v>
      </c>
      <c r="I2096" s="11" t="str">
        <f>IFERROR(IF(VLOOKUP(A2096,[14]PRIORIZADOS!$A:$I,9,FALSE)="","",VLOOKUP(A2096,[14]PRIORIZADOS!$A:$I,9,FALSE)),"")</f>
        <v>EVALUACIÓN_CON_FINES_DE_MEJORAMIENTO.</v>
      </c>
      <c r="J2096" s="11" t="str">
        <f>IFERROR(IF(VLOOKUP(A2096,[14]PRIORIZADOS!$A:$J,10,FALSE)="","",VLOOKUP(A2096,[14]PRIORIZADOS!$A:$J,10,FALSE)),"")</f>
        <v>Revisar la actualización, socialización e implementación del Sistema Institucional de Evaluación de Estudiantes - SIEE, en articulación con la actualización del PEI y la normatividad vigente.</v>
      </c>
      <c r="K2096" s="11" t="str">
        <f>IFERROR(IF(VLOOKUP(A2096,[14]PRIORIZADOS!$A:$K,11,FALSE)="","",VLOOKUP(A2096,[14]PRIORIZADOS!$A:$K,11,FALSE)),"")</f>
        <v>ALBA DEL PILAR CUBIDES CÁCERES</v>
      </c>
      <c r="L2096" s="11" t="str">
        <f>IFERROR(IF(VLOOKUP(A2096,[14]PRIORIZADOS!$A:$L,12,FALSE)="","",VLOOKUP(A2096,[14]PRIORIZADOS!$A:$L,12,FALSE)),"")</f>
        <v>SONIA CONSTANZA URREGO GONZÁLEZ</v>
      </c>
      <c r="M2096" s="71" t="str">
        <f>IFERROR(IF(VLOOKUP(A2096,[14]PRIORIZADOS!$A:$M,13,FALSE)="","",VLOOKUP(A2096,[14]PRIORIZADOS!$A:$M,13,FALSE)),"")</f>
        <v>15/7/2025</v>
      </c>
      <c r="N2096" s="71">
        <f>IFERROR(IF(VLOOKUP(A2096,[14]PRIORIZADOS!$A:$N,14,FALSE)="","",VLOOKUP(A2096,[14]PRIORIZADOS!$A:$N,14,FALSE)),"")</f>
        <v>45883</v>
      </c>
      <c r="O2096" s="71">
        <f>IFERROR(IF(VLOOKUP(A2096,[14]PRIORIZADOS!$A:$O,15,FALSE)="","",VLOOKUP(A2096,[14]PRIORIZADOS!$A:$O,15,FALSE)),"")</f>
        <v>45883</v>
      </c>
      <c r="P2096" s="11" t="str">
        <f>IFERROR(IF(VLOOKUP(A2096,[14]PRIORIZADOS!$A:$P,16,FALSE)="","",VLOOKUP(A2096,[14]PRIORIZADOS!$A:$P,16,FALSE)),"")</f>
        <v>Visitas de evaluación con fines de mejoramiento</v>
      </c>
      <c r="Q2096" s="250" t="s">
        <v>439</v>
      </c>
      <c r="R2096" s="11" t="str">
        <f>IFERROR(IF(VLOOKUP(A2096,[14]PRIORIZADOS!$A:$R,18,FALSE)="","",VLOOKUP(A2096,[14]PRIORIZADOS!$A:$R,18,FALSE)),"")</f>
        <v>Revisado el SIEE, cuenta con los criterios de evaluación y promoción y  escala valorativa.</v>
      </c>
      <c r="S2096" s="11" t="str">
        <f>IFERROR(IF(VLOOKUP(A2096,[14]PRIORIZADOS!$A:$S,19,FALSE)="","",VLOOKUP(A2096,[14]PRIORIZADOS!$A:$S,19,FALSE)),"")</f>
        <v xml:space="preserve">Hacer seguimiento constante para determinar la necesidad de actualizar el SIEE. </v>
      </c>
      <c r="T2096" s="70" t="str">
        <f>IFERROR(IF(VLOOKUP(A2096,[14]PRIORIZADOS!$A:$T,20,FALSE)="","",VLOOKUP(A2096,[14]PRIORIZADOS!$A:$T,20,FALSE)),"")</f>
        <v>No</v>
      </c>
      <c r="U2096" s="11" t="str">
        <f>IFERROR(IF(VLOOKUP(A2096,[14]PRIORIZADOS!$A:$U,21,FALSE)="","",VLOOKUP(A2096,[14]PRIORIZADOS!$A:$U,21,FALSE)),"")</f>
        <v>Seguir con su cumplimiento</v>
      </c>
    </row>
    <row r="2097" spans="1:21" s="1" customFormat="1" ht="48">
      <c r="A2097" s="69">
        <f>IF([14]PRIORIZADOS!A144="","",[14]PRIORIZADOS!A144)</f>
        <v>2065</v>
      </c>
      <c r="B2097" s="70">
        <f>IFERROR(IF(VLOOKUP(A2097,[14]PRIORIZADOS!$A:$B,2,FALSE)="","",VLOOKUP(A2097,[14]PRIORIZADOS!$A:$B,2,FALSE)),"")</f>
        <v>15</v>
      </c>
      <c r="C2097" s="11" t="s">
        <v>424</v>
      </c>
      <c r="D2097" s="11" t="str">
        <f>IFERROR(IF(VLOOKUP(A2097,[14]PRIORIZADOS!$A:$D,4,FALSE)="","",VLOOKUP(A2097,[14]PRIORIZADOS!$A:$D,4,FALSE)),"")</f>
        <v>PRIVADO</v>
      </c>
      <c r="E2097" s="11" t="str">
        <f>IFERROR(IF(VLOOKUP(A2097,[14]PRIORIZADOS!$A:$E,5,FALSE)="","",VLOOKUP(A2097,[14]PRIORIZADOS!$A:$E,5,FALSE)),"")</f>
        <v>EPBM</v>
      </c>
      <c r="F2097" s="11" t="str">
        <f>IFERROR(IF(VLOOKUP(A2097,[14]PRIORIZADOS!$A:$F,6,FALSE)="","",VLOOKUP(A2097,[14]PRIORIZADOS!$A:$F,6,FALSE)),"")</f>
        <v>COLEGIO_PEDAGOGICO_NEOGRANADINO</v>
      </c>
      <c r="G2097" s="11" t="str">
        <f>IFERROR(IF(VLOOKUP(A2097,[14]PRIORIZADOS!$A:$G,7,FALSE)="","",VLOOKUP(A2097,[14]PRIORIZADOS!$A:$G,7,FALSE)),"")</f>
        <v>COLEGIO PEDAGOGICO NEOGRANADINO</v>
      </c>
      <c r="H2097" s="11" t="str">
        <f>IFERROR(IF(VLOOKUP(A2097,[14]PRIORIZADOS!$A:$H,8,FALSE)="","",VLOOKUP(A2097,[14]PRIORIZADOS!$A:$H,8,FALSE)),"")</f>
        <v>Autoevaluación Institucional y Pruebas SABER 11</v>
      </c>
      <c r="I2097" s="11" t="str">
        <f>IFERROR(IF(VLOOKUP(A2097,[14]PRIORIZADOS!$A:$I,9,FALSE)="","",VLOOKUP(A2097,[14]PRIORIZADOS!$A:$I,9,FALSE)),"")</f>
        <v>EVALUACIÓN_CON_FINES_DE_MEJORAMIENTO.</v>
      </c>
      <c r="J2097" s="11" t="str">
        <f>IFERROR(IF(VLOOKUP(A2097,[14]PRIORIZADOS!$A:$J,10,FALSE)="","",VLOOKUP(A2097,[14]PRIORIZADOS!$A:$J,10,FALSE)),"")</f>
        <v>Revisar el calendario escolar, jornada escolar, la intensidad horaria mínima anual en cada nivel y las modificaciones que se realicen al mismo, de acuerdo con lo previsto en la normatividad vigente.</v>
      </c>
      <c r="K2097" s="11" t="str">
        <f>IFERROR(IF(VLOOKUP(A2097,[14]PRIORIZADOS!$A:$K,11,FALSE)="","",VLOOKUP(A2097,[14]PRIORIZADOS!$A:$K,11,FALSE)),"")</f>
        <v>ALBA DEL PILAR CUBIDES CÁCERES</v>
      </c>
      <c r="L2097" s="11" t="str">
        <f>IFERROR(IF(VLOOKUP(A2097,[14]PRIORIZADOS!$A:$L,12,FALSE)="","",VLOOKUP(A2097,[14]PRIORIZADOS!$A:$L,12,FALSE)),"")</f>
        <v>SONIA CONSTANZA URREGO GONZÁLEZ</v>
      </c>
      <c r="M2097" s="71" t="str">
        <f>IFERROR(IF(VLOOKUP(A2097,[14]PRIORIZADOS!$A:$M,13,FALSE)="","",VLOOKUP(A2097,[14]PRIORIZADOS!$A:$M,13,FALSE)),"")</f>
        <v>15/7/2025</v>
      </c>
      <c r="N2097" s="71">
        <f>IFERROR(IF(VLOOKUP(A2097,[14]PRIORIZADOS!$A:$N,14,FALSE)="","",VLOOKUP(A2097,[14]PRIORIZADOS!$A:$N,14,FALSE)),"")</f>
        <v>45883</v>
      </c>
      <c r="O2097" s="71">
        <f>IFERROR(IF(VLOOKUP(A2097,[14]PRIORIZADOS!$A:$O,15,FALSE)="","",VLOOKUP(A2097,[14]PRIORIZADOS!$A:$O,15,FALSE)),"")</f>
        <v>45883</v>
      </c>
      <c r="P2097" s="11" t="str">
        <f>IFERROR(IF(VLOOKUP(A2097,[14]PRIORIZADOS!$A:$P,16,FALSE)="","",VLOOKUP(A2097,[14]PRIORIZADOS!$A:$P,16,FALSE)),"")</f>
        <v>Visitas de evaluación con fines de mejoramiento</v>
      </c>
      <c r="Q2097" s="30" t="s">
        <v>439</v>
      </c>
      <c r="R2097" s="11" t="str">
        <f>IFERROR(IF(VLOOKUP(A2097,[14]PRIORIZADOS!$A:$R,18,FALSE)="","",VLOOKUP(A2097,[14]PRIORIZADOS!$A:$R,18,FALSE)),"")</f>
        <v>Cumple con el número de semanas y horas por nivel. Realizó reporte de información del Calendario Escolar.</v>
      </c>
      <c r="S2097" s="11" t="str">
        <f>IFERROR(IF(VLOOKUP(A2097,[14]PRIORIZADOS!$A:$S,19,FALSE)="","",VLOOKUP(A2097,[14]PRIORIZADOS!$A:$S,19,FALSE)),"")</f>
        <v xml:space="preserve">Continuar con el cumplimiento del calendario.  </v>
      </c>
      <c r="T2097" s="70" t="str">
        <f>IFERROR(IF(VLOOKUP(A2097,[14]PRIORIZADOS!$A:$T,20,FALSE)="","",VLOOKUP(A2097,[14]PRIORIZADOS!$A:$T,20,FALSE)),"")</f>
        <v>No</v>
      </c>
      <c r="U2097" s="11" t="str">
        <f>IFERROR(IF(VLOOKUP(A2097,[14]PRIORIZADOS!$A:$U,21,FALSE)="","",VLOOKUP(A2097,[14]PRIORIZADOS!$A:$U,21,FALSE)),"")</f>
        <v>Seguimiento al cumplimiento del calendario escolar.</v>
      </c>
    </row>
    <row r="2098" spans="1:21" s="1" customFormat="1" ht="48">
      <c r="A2098" s="69">
        <f>IF([14]PRIORIZADOS!A145="","",[14]PRIORIZADOS!A145)</f>
        <v>2066</v>
      </c>
      <c r="B2098" s="70">
        <f>IFERROR(IF(VLOOKUP(A2098,[14]PRIORIZADOS!$A:$B,2,FALSE)="","",VLOOKUP(A2098,[14]PRIORIZADOS!$A:$B,2,FALSE)),"")</f>
        <v>15</v>
      </c>
      <c r="C2098" s="11" t="s">
        <v>424</v>
      </c>
      <c r="D2098" s="11" t="str">
        <f>IFERROR(IF(VLOOKUP(A2098,[14]PRIORIZADOS!$A:$D,4,FALSE)="","",VLOOKUP(A2098,[14]PRIORIZADOS!$A:$D,4,FALSE)),"")</f>
        <v>PRIVADO</v>
      </c>
      <c r="E2098" s="11" t="str">
        <f>IFERROR(IF(VLOOKUP(A2098,[14]PRIORIZADOS!$A:$E,5,FALSE)="","",VLOOKUP(A2098,[14]PRIORIZADOS!$A:$E,5,FALSE)),"")</f>
        <v>EPBM</v>
      </c>
      <c r="F2098" s="11" t="str">
        <f>IFERROR(IF(VLOOKUP(A2098,[14]PRIORIZADOS!$A:$F,6,FALSE)="","",VLOOKUP(A2098,[14]PRIORIZADOS!$A:$F,6,FALSE)),"")</f>
        <v>COLEGIO_PEDAGOGICO_NEOGRANADINO</v>
      </c>
      <c r="G2098" s="11" t="str">
        <f>IFERROR(IF(VLOOKUP(A2098,[14]PRIORIZADOS!$A:$G,7,FALSE)="","",VLOOKUP(A2098,[14]PRIORIZADOS!$A:$G,7,FALSE)),"")</f>
        <v>COLEGIO PEDAGOGICO NEOGRANADINO</v>
      </c>
      <c r="H2098" s="11" t="str">
        <f>IFERROR(IF(VLOOKUP(A2098,[14]PRIORIZADOS!$A:$H,8,FALSE)="","",VLOOKUP(A2098,[14]PRIORIZADOS!$A:$H,8,FALSE)),"")</f>
        <v>Autoevaluación Institucional y Pruebas SABER 11</v>
      </c>
      <c r="I2098" s="11" t="str">
        <f>IFERROR(IF(VLOOKUP(A2098,[14]PRIORIZADOS!$A:$I,9,FALSE)="","",VLOOKUP(A2098,[14]PRIORIZADOS!$A:$I,9,FALSE)),"")</f>
        <v>EVALUACIÓN_CON_FINES_DE_MEJORAMIENTO.</v>
      </c>
      <c r="J2098" s="11" t="str">
        <f>IFERROR(IF(VLOOKUP(A2098,[14]PRIORIZADOS!$A:$J,10,FALSE)="","",VLOOKUP(A2098,[14]PRIORIZADOS!$A:$J,10,FALSE)),"")</f>
        <v>Verificar el funcionamiento del Gobierno Escolar e instancias de participación con base en la información sobre conformación reportada por la institución educativa.</v>
      </c>
      <c r="K2098" s="11" t="str">
        <f>IFERROR(IF(VLOOKUP(A2098,[14]PRIORIZADOS!$A:$K,11,FALSE)="","",VLOOKUP(A2098,[14]PRIORIZADOS!$A:$K,11,FALSE)),"")</f>
        <v>ALBA DEL PILAR CUBIDES CÁCERES</v>
      </c>
      <c r="L2098" s="11" t="str">
        <f>IFERROR(IF(VLOOKUP(A2098,[14]PRIORIZADOS!$A:$L,12,FALSE)="","",VLOOKUP(A2098,[14]PRIORIZADOS!$A:$L,12,FALSE)),"")</f>
        <v>SONIA CONSTANZA URREGO GONZÁLEZ</v>
      </c>
      <c r="M2098" s="71" t="str">
        <f>IFERROR(IF(VLOOKUP(A2098,[14]PRIORIZADOS!$A:$M,13,FALSE)="","",VLOOKUP(A2098,[14]PRIORIZADOS!$A:$M,13,FALSE)),"")</f>
        <v>15/7/2025</v>
      </c>
      <c r="N2098" s="71">
        <f>IFERROR(IF(VLOOKUP(A2098,[14]PRIORIZADOS!$A:$N,14,FALSE)="","",VLOOKUP(A2098,[14]PRIORIZADOS!$A:$N,14,FALSE)),"")</f>
        <v>45883</v>
      </c>
      <c r="O2098" s="71">
        <f>IFERROR(IF(VLOOKUP(A2098,[14]PRIORIZADOS!$A:$O,15,FALSE)="","",VLOOKUP(A2098,[14]PRIORIZADOS!$A:$O,15,FALSE)),"")</f>
        <v>45883</v>
      </c>
      <c r="P2098" s="11" t="str">
        <f>IFERROR(IF(VLOOKUP(A2098,[14]PRIORIZADOS!$A:$P,16,FALSE)="","",VLOOKUP(A2098,[14]PRIORIZADOS!$A:$P,16,FALSE)),"")</f>
        <v>Visitas de evaluación con fines de mejoramiento</v>
      </c>
      <c r="Q2098" s="250" t="s">
        <v>439</v>
      </c>
      <c r="R2098" s="11" t="str">
        <f>IFERROR(IF(VLOOKUP(A2098,[14]PRIORIZADOS!$A:$R,18,FALSE)="","",VLOOKUP(A2098,[14]PRIORIZADOS!$A:$R,18,FALSE)),"")</f>
        <v xml:space="preserve">Se conformó el Gobierno Escolar con reporte en el aplicativo SAE. Se evidencian actas de reunión de los órganos de gobierno. </v>
      </c>
      <c r="S2098" s="11" t="str">
        <f>IFERROR(IF(VLOOKUP(A2098,[14]PRIORIZADOS!$A:$S,19,FALSE)="","",VLOOKUP(A2098,[14]PRIORIZADOS!$A:$S,19,FALSE)),"")</f>
        <v xml:space="preserve">Realizar las reuniones periodicas de cada uno de los estamentos de Gobierno Escolar, acorde con su reglamento. </v>
      </c>
      <c r="T2098" s="70" t="str">
        <f>IFERROR(IF(VLOOKUP(A2098,[14]PRIORIZADOS!$A:$T,20,FALSE)="","",VLOOKUP(A2098,[14]PRIORIZADOS!$A:$T,20,FALSE)),"")</f>
        <v>No</v>
      </c>
      <c r="U2098" s="11" t="str">
        <f>IFERROR(IF(VLOOKUP(A2098,[14]PRIORIZADOS!$A:$U,21,FALSE)="","",VLOOKUP(A2098,[14]PRIORIZADOS!$A:$U,21,FALSE)),"")</f>
        <v>Verificar la conformación del Gobierno Escolar para la vigencia 2026.</v>
      </c>
    </row>
    <row r="2099" spans="1:21" s="1" customFormat="1" ht="48">
      <c r="A2099" s="69">
        <f>IF([14]PRIORIZADOS!A146="","",[14]PRIORIZADOS!A146)</f>
        <v>2067</v>
      </c>
      <c r="B2099" s="70">
        <f>IFERROR(IF(VLOOKUP(A2099,[14]PRIORIZADOS!$A:$B,2,FALSE)="","",VLOOKUP(A2099,[14]PRIORIZADOS!$A:$B,2,FALSE)),"")</f>
        <v>15</v>
      </c>
      <c r="C2099" s="11" t="s">
        <v>424</v>
      </c>
      <c r="D2099" s="11" t="str">
        <f>IFERROR(IF(VLOOKUP(A2099,[14]PRIORIZADOS!$A:$D,4,FALSE)="","",VLOOKUP(A2099,[14]PRIORIZADOS!$A:$D,4,FALSE)),"")</f>
        <v>PRIVADO</v>
      </c>
      <c r="E2099" s="11" t="str">
        <f>IFERROR(IF(VLOOKUP(A2099,[14]PRIORIZADOS!$A:$E,5,FALSE)="","",VLOOKUP(A2099,[14]PRIORIZADOS!$A:$E,5,FALSE)),"")</f>
        <v>EPBM</v>
      </c>
      <c r="F2099" s="11" t="str">
        <f>IFERROR(IF(VLOOKUP(A2099,[14]PRIORIZADOS!$A:$F,6,FALSE)="","",VLOOKUP(A2099,[14]PRIORIZADOS!$A:$F,6,FALSE)),"")</f>
        <v>COLEGIO_PEDAGOGICO_NEOGRANADINO</v>
      </c>
      <c r="G2099" s="11" t="str">
        <f>IFERROR(IF(VLOOKUP(A2099,[14]PRIORIZADOS!$A:$G,7,FALSE)="","",VLOOKUP(A2099,[14]PRIORIZADOS!$A:$G,7,FALSE)),"")</f>
        <v>COLEGIO PEDAGOGICO NEOGRANADINO</v>
      </c>
      <c r="H2099" s="11" t="str">
        <f>IFERROR(IF(VLOOKUP(A2099,[14]PRIORIZADOS!$A:$H,8,FALSE)="","",VLOOKUP(A2099,[14]PRIORIZADOS!$A:$H,8,FALSE)),"")</f>
        <v>Autoevaluación Institucional y Pruebas SABER 11</v>
      </c>
      <c r="I2099" s="11" t="str">
        <f>IFERROR(IF(VLOOKUP(A2099,[14]PRIORIZADOS!$A:$I,9,FALSE)="","",VLOOKUP(A2099,[14]PRIORIZADOS!$A:$I,9,FALSE)),"")</f>
        <v>EVALUACIÓN_CON_FINES_DE_MEJORAMIENTO.</v>
      </c>
      <c r="J2099" s="11" t="str">
        <f>IFERROR(IF(VLOOKUP(A2099,[14]PRIORIZADOS!$A:$J,10,FALSE)="","",VLOOKUP(A2099,[14]PRIORIZADOS!$A:$J,10,FALSE)),"")</f>
        <v>Verificar las condiciones en cuanto a: la estructura administrativa, condiciones de la planta física y medios educativos adecuados.</v>
      </c>
      <c r="K2099" s="11" t="str">
        <f>IFERROR(IF(VLOOKUP(A2099,[14]PRIORIZADOS!$A:$K,11,FALSE)="","",VLOOKUP(A2099,[14]PRIORIZADOS!$A:$K,11,FALSE)),"")</f>
        <v>ALBA DEL PILAR CUBIDES CÁCERES</v>
      </c>
      <c r="L2099" s="11" t="str">
        <f>IFERROR(IF(VLOOKUP(A2099,[14]PRIORIZADOS!$A:$L,12,FALSE)="","",VLOOKUP(A2099,[14]PRIORIZADOS!$A:$L,12,FALSE)),"")</f>
        <v>SONIA CONSTANZA URREGO GONZÁLEZ</v>
      </c>
      <c r="M2099" s="71" t="str">
        <f>IFERROR(IF(VLOOKUP(A2099,[14]PRIORIZADOS!$A:$M,13,FALSE)="","",VLOOKUP(A2099,[14]PRIORIZADOS!$A:$M,13,FALSE)),"")</f>
        <v>15/7/2025</v>
      </c>
      <c r="N2099" s="71">
        <f>IFERROR(IF(VLOOKUP(A2099,[14]PRIORIZADOS!$A:$N,14,FALSE)="","",VLOOKUP(A2099,[14]PRIORIZADOS!$A:$N,14,FALSE)),"")</f>
        <v>45883</v>
      </c>
      <c r="O2099" s="71">
        <f>IFERROR(IF(VLOOKUP(A2099,[14]PRIORIZADOS!$A:$O,15,FALSE)="","",VLOOKUP(A2099,[14]PRIORIZADOS!$A:$O,15,FALSE)),"")</f>
        <v>45883</v>
      </c>
      <c r="P2099" s="11" t="str">
        <f>IFERROR(IF(VLOOKUP(A2099,[14]PRIORIZADOS!$A:$P,16,FALSE)="","",VLOOKUP(A2099,[14]PRIORIZADOS!$A:$P,16,FALSE)),"")</f>
        <v>Visitas de evaluación con fines de mejoramiento</v>
      </c>
      <c r="Q2099" s="250" t="s">
        <v>439</v>
      </c>
      <c r="R2099" s="11" t="str">
        <f>IFERROR(IF(VLOOKUP(A2099,[14]PRIORIZADOS!$A:$R,18,FALSE)="","",VLOOKUP(A2099,[14]PRIORIZADOS!$A:$R,18,FALSE)),"")</f>
        <v xml:space="preserve">Se observan espacios suficientes y dotados, en cuanto a ambientes de aprendizaje. Los servicios sanitarios son suficientes. </v>
      </c>
      <c r="S2099" s="11" t="str">
        <f>IFERROR(IF(VLOOKUP(A2099,[14]PRIORIZADOS!$A:$S,19,FALSE)="","",VLOOKUP(A2099,[14]PRIORIZADOS!$A:$S,19,FALSE)),"")</f>
        <v>Proseguir con el cuidado y manteniemiento de la palnta física</v>
      </c>
      <c r="T2099" s="70" t="str">
        <f>IFERROR(IF(VLOOKUP(A2099,[14]PRIORIZADOS!$A:$T,20,FALSE)="","",VLOOKUP(A2099,[14]PRIORIZADOS!$A:$T,20,FALSE)),"")</f>
        <v>No</v>
      </c>
      <c r="U2099" s="11" t="str">
        <f>IFERROR(IF(VLOOKUP(A2099,[14]PRIORIZADOS!$A:$U,21,FALSE)="","",VLOOKUP(A2099,[14]PRIORIZADOS!$A:$U,21,FALSE)),"")</f>
        <v>Seguir con su cumplimiento</v>
      </c>
    </row>
    <row r="2100" spans="1:21" s="1" customFormat="1" ht="48">
      <c r="A2100" s="69">
        <f>IF([14]PRIORIZADOS!A147="","",[14]PRIORIZADOS!A147)</f>
        <v>2068</v>
      </c>
      <c r="B2100" s="70">
        <f>IFERROR(IF(VLOOKUP(A2100,[14]PRIORIZADOS!$A:$B,2,FALSE)="","",VLOOKUP(A2100,[14]PRIORIZADOS!$A:$B,2,FALSE)),"")</f>
        <v>16</v>
      </c>
      <c r="C2100" s="11" t="s">
        <v>424</v>
      </c>
      <c r="D2100" s="11" t="str">
        <f>IFERROR(IF(VLOOKUP(A2100,[14]PRIORIZADOS!$A:$D,4,FALSE)="","",VLOOKUP(A2100,[14]PRIORIZADOS!$A:$D,4,FALSE)),"")</f>
        <v>PRIVADO</v>
      </c>
      <c r="E2100" s="11" t="str">
        <f>IFERROR(IF(VLOOKUP(A2100,[14]PRIORIZADOS!$A:$E,5,FALSE)="","",VLOOKUP(A2100,[14]PRIORIZADOS!$A:$E,5,FALSE)),"")</f>
        <v>EPBM</v>
      </c>
      <c r="F2100" s="11" t="str">
        <f>IFERROR(IF(VLOOKUP(A2100,[14]PRIORIZADOS!$A:$F,6,FALSE)="","",VLOOKUP(A2100,[14]PRIORIZADOS!$A:$F,6,FALSE)),"")</f>
        <v>COLEGIO_INTEGRADO_EDUARDO_CABALLERO_CALDERON</v>
      </c>
      <c r="G2100" s="11" t="str">
        <f>IFERROR(IF(VLOOKUP(A2100,[14]PRIORIZADOS!$A:$G,7,FALSE)="","",VLOOKUP(A2100,[14]PRIORIZADOS!$A:$G,7,FALSE)),"")</f>
        <v>COLEGIO INTEGRADO EDUARDO CABALLERO CALDERON</v>
      </c>
      <c r="H2100" s="11" t="str">
        <f>IFERROR(IF(VLOOKUP(A2100,[14]PRIORIZADOS!$A:$H,8,FALSE)="","",VLOOKUP(A2100,[14]PRIORIZADOS!$A:$H,8,FALSE)),"")</f>
        <v>Autoevaluación Institucional y Pruebas SABER 11</v>
      </c>
      <c r="I2100" s="11" t="str">
        <f>IFERROR(IF(VLOOKUP(A2100,[14]PRIORIZADOS!$A:$I,9,FALSE)="","",VLOOKUP(A2100,[14]PRIORIZADOS!$A:$I,9,FALSE)),"")</f>
        <v>SEGUIMIENTO_Y_SUPERVISIÓN.</v>
      </c>
      <c r="J2100" s="11" t="str">
        <f>IFERROR(IF(VLOOKUP(A2100,[14]PRIORIZADOS!$A:$J,10,FALSE)="","",VLOOKUP(A2100,[14]PRIORIZADOS!$A:$J,10,FALSE)),"")</f>
        <v>Realizar visitas para verificar la información registrada sobre la autoevaluación institucional en el aplicativo EVI, a los establecimientos de educación formal no oficial.</v>
      </c>
      <c r="K2100" s="11" t="str">
        <f>IFERROR(IF(VLOOKUP(A2100,[14]PRIORIZADOS!$A:$K,11,FALSE)="","",VLOOKUP(A2100,[14]PRIORIZADOS!$A:$K,11,FALSE)),"")</f>
        <v>JUAN MANUEL SANCHEZ MORA</v>
      </c>
      <c r="L2100" s="11" t="str">
        <f>IFERROR(IF(VLOOKUP(A2100,[14]PRIORIZADOS!$A:$L,12,FALSE)="","",VLOOKUP(A2100,[14]PRIORIZADOS!$A:$L,12,FALSE)),"")</f>
        <v>MARTHA RUT SILVA ABRIL</v>
      </c>
      <c r="M2100" s="71">
        <f>IFERROR(IF(VLOOKUP(A2100,[14]PRIORIZADOS!$A:$M,13,FALSE)="","",VLOOKUP(A2100,[14]PRIORIZADOS!$A:$M,13,FALSE)),"")</f>
        <v>45818</v>
      </c>
      <c r="N2100" s="71">
        <f>IFERROR(IF(VLOOKUP(A2100,[14]PRIORIZADOS!$A:$N,14,FALSE)="","",VLOOKUP(A2100,[14]PRIORIZADOS!$A:$N,14,FALSE)),"")</f>
        <v>45807</v>
      </c>
      <c r="O2100" s="71">
        <f>IFERROR(IF(VLOOKUP(A2100,[14]PRIORIZADOS!$A:$O,15,FALSE)="","",VLOOKUP(A2100,[14]PRIORIZADOS!$A:$O,15,FALSE)),"")</f>
        <v>45807</v>
      </c>
      <c r="P2100" s="11" t="str">
        <f>IFERROR(IF(VLOOKUP(A2100,[14]PRIORIZADOS!$A:$P,16,FALSE)="","",VLOOKUP(A2100,[14]PRIORIZADOS!$A:$P,16,FALSE)),"")</f>
        <v>Visitas de evaluación con fines de seguimiento</v>
      </c>
      <c r="Q2100" s="7" t="s">
        <v>440</v>
      </c>
      <c r="R2100" s="11" t="str">
        <f>IFERROR(IF(VLOOKUP(A2100,[14]PRIORIZADOS!$A:$R,18,FALSE)="","",VLOOKUP(A2100,[14]PRIORIZADOS!$A:$R,18,FALSE)),"")</f>
        <v>La informacion reportada no corresponde con la realidad, en aspectos relacionados con la planta física y bibliobanco, entre otros.</v>
      </c>
      <c r="S2100" s="11" t="str">
        <f>IFERROR(IF(VLOOKUP(A2100,[14]PRIORIZADOS!$A:$S,19,FALSE)="","",VLOOKUP(A2100,[14]PRIORIZADOS!$A:$S,19,FALSE)),"")</f>
        <v xml:space="preserve">Reportar información de acuerdo con las condiciones de la institución ajustes en planta física, espacios pedagógicos y administrativos </v>
      </c>
      <c r="T2100" s="70" t="str">
        <f>IFERROR(IF(VLOOKUP(A2100,[14]PRIORIZADOS!$A:$T,20,FALSE)="","",VLOOKUP(A2100,[14]PRIORIZADOS!$A:$T,20,FALSE)),"")</f>
        <v>Si</v>
      </c>
      <c r="U2100" s="11" t="str">
        <f>IFERROR(IF(VLOOKUP(A2100,[14]PRIORIZADOS!$A:$U,21,FALSE)="","",VLOOKUP(A2100,[14]PRIORIZADOS!$A:$U,21,FALSE)),"")</f>
        <v>Verficar la informacion del plan de mejoramiento fijado para el 12 de septiembre de 2025.</v>
      </c>
    </row>
    <row r="2101" spans="1:21" s="1" customFormat="1" ht="60">
      <c r="A2101" s="69">
        <f>IF([14]PRIORIZADOS!A148="","",[14]PRIORIZADOS!A148)</f>
        <v>2069</v>
      </c>
      <c r="B2101" s="70">
        <f>IFERROR(IF(VLOOKUP(A2101,[14]PRIORIZADOS!$A:$B,2,FALSE)="","",VLOOKUP(A2101,[14]PRIORIZADOS!$A:$B,2,FALSE)),"")</f>
        <v>16</v>
      </c>
      <c r="C2101" s="11" t="s">
        <v>424</v>
      </c>
      <c r="D2101" s="11" t="str">
        <f>IFERROR(IF(VLOOKUP(A2101,[14]PRIORIZADOS!$A:$D,4,FALSE)="","",VLOOKUP(A2101,[14]PRIORIZADOS!$A:$D,4,FALSE)),"")</f>
        <v>PRIVADO</v>
      </c>
      <c r="E2101" s="11" t="str">
        <f>IFERROR(IF(VLOOKUP(A2101,[14]PRIORIZADOS!$A:$E,5,FALSE)="","",VLOOKUP(A2101,[14]PRIORIZADOS!$A:$E,5,FALSE)),"")</f>
        <v>EPBM</v>
      </c>
      <c r="F2101" s="11" t="str">
        <f>IFERROR(IF(VLOOKUP(A2101,[14]PRIORIZADOS!$A:$F,6,FALSE)="","",VLOOKUP(A2101,[14]PRIORIZADOS!$A:$F,6,FALSE)),"")</f>
        <v>COLEGIO_INTEGRADO_EDUARDO_CABALLERO_CALDERON</v>
      </c>
      <c r="G2101" s="11" t="str">
        <f>IFERROR(IF(VLOOKUP(A2101,[14]PRIORIZADOS!$A:$G,7,FALSE)="","",VLOOKUP(A2101,[14]PRIORIZADOS!$A:$G,7,FALSE)),"")</f>
        <v>COLEGIO INTEGRADO EDUARDO CABALLERO CALDERON</v>
      </c>
      <c r="H2101" s="11" t="str">
        <f>IFERROR(IF(VLOOKUP(A2101,[14]PRIORIZADOS!$A:$H,8,FALSE)="","",VLOOKUP(A2101,[14]PRIORIZADOS!$A:$H,8,FALSE)),"")</f>
        <v>Autoevaluación Institucional y Pruebas SABER 11</v>
      </c>
      <c r="I2101" s="11" t="str">
        <f>IFERROR(IF(VLOOKUP(A2101,[14]PRIORIZADOS!$A:$I,9,FALSE)="","",VLOOKUP(A2101,[14]PRIORIZADOS!$A:$I,9,FALSE)),"")</f>
        <v>SEGUIMIENTO_Y_SUPERVISIÓN.</v>
      </c>
      <c r="J2101" s="11" t="str">
        <f>IFERROR(IF(VLOOKUP(A2101,[14]PRIORIZADOS!$A:$J,10,FALSE)="","",VLOOKUP(A2101,[14]PRIORIZADOS!$A:$J,10,FALSE)),"")</f>
        <v>Proponer estrategias en la formulación, verificar su elaboración y realizar seguimiento semestral al desarrollo de  las acciones establecidas en los planes de mejoramiento por pruebas SABER 11 de los establecimientos de educación formal.</v>
      </c>
      <c r="K2101" s="11" t="str">
        <f>IFERROR(IF(VLOOKUP(A2101,[14]PRIORIZADOS!$A:$K,11,FALSE)="","",VLOOKUP(A2101,[14]PRIORIZADOS!$A:$K,11,FALSE)),"")</f>
        <v>JUAN MANUEL SANCHEZ MORA</v>
      </c>
      <c r="L2101" s="11" t="str">
        <f>IFERROR(IF(VLOOKUP(A2101,[14]PRIORIZADOS!$A:$L,12,FALSE)="","",VLOOKUP(A2101,[14]PRIORIZADOS!$A:$L,12,FALSE)),"")</f>
        <v>MARTHA RUT SILVA ABRIL</v>
      </c>
      <c r="M2101" s="71">
        <f>IFERROR(IF(VLOOKUP(A2101,[14]PRIORIZADOS!$A:$M,13,FALSE)="","",VLOOKUP(A2101,[14]PRIORIZADOS!$A:$M,13,FALSE)),"")</f>
        <v>45818</v>
      </c>
      <c r="N2101" s="71">
        <f>IFERROR(IF(VLOOKUP(A2101,[14]PRIORIZADOS!$A:$N,14,FALSE)="","",VLOOKUP(A2101,[14]PRIORIZADOS!$A:$N,14,FALSE)),"")</f>
        <v>45807</v>
      </c>
      <c r="O2101" s="71">
        <f>IFERROR(IF(VLOOKUP(A2101,[14]PRIORIZADOS!$A:$O,15,FALSE)="","",VLOOKUP(A2101,[14]PRIORIZADOS!$A:$O,15,FALSE)),"")</f>
        <v>45807</v>
      </c>
      <c r="P2101" s="11" t="str">
        <f>IFERROR(IF(VLOOKUP(A2101,[14]PRIORIZADOS!$A:$P,16,FALSE)="","",VLOOKUP(A2101,[14]PRIORIZADOS!$A:$P,16,FALSE)),"")</f>
        <v>Visitas de evaluación con fines de seguimiento</v>
      </c>
      <c r="Q2101" s="7" t="s">
        <v>440</v>
      </c>
      <c r="R2101" s="11" t="str">
        <f>IFERROR(IF(VLOOKUP(A2101,[14]PRIORIZADOS!$A:$R,18,FALSE)="","",VLOOKUP(A2101,[14]PRIORIZADOS!$A:$R,18,FALSE)),"")</f>
        <v>Se observó que no cuenta con estrategias producto del analisis de los reultado de las pruebas SABER 11 e implementacion de acciones de seguimiento</v>
      </c>
      <c r="S2101" s="11" t="str">
        <f>IFERROR(IF(VLOOKUP(A2101,[14]PRIORIZADOS!$A:$S,19,FALSE)="","",VLOOKUP(A2101,[14]PRIORIZADOS!$A:$S,19,FALSE)),"")</f>
        <v>Diseñar e implementar estrategias para la revisión y análisis de los últimos resultados de las pruebas SABER y realizar acciones de seguimiento</v>
      </c>
      <c r="T2101" s="70" t="str">
        <f>IFERROR(IF(VLOOKUP(A2101,[14]PRIORIZADOS!$A:$T,20,FALSE)="","",VLOOKUP(A2101,[14]PRIORIZADOS!$A:$T,20,FALSE)),"")</f>
        <v>Si</v>
      </c>
      <c r="U2101" s="11" t="str">
        <f>IFERROR(IF(VLOOKUP(A2101,[14]PRIORIZADOS!$A:$U,21,FALSE)="","",VLOOKUP(A2101,[14]PRIORIZADOS!$A:$U,21,FALSE)),"")</f>
        <v>Verficar la informacion del plan de mejoramiento fijado para el 12 de septiembre de 2025.</v>
      </c>
    </row>
    <row r="2102" spans="1:21" s="1" customFormat="1" ht="84">
      <c r="A2102" s="69">
        <f>IF([14]PRIORIZADOS!A149="","",[14]PRIORIZADOS!A149)</f>
        <v>2070</v>
      </c>
      <c r="B2102" s="70">
        <f>IFERROR(IF(VLOOKUP(A2102,[14]PRIORIZADOS!$A:$B,2,FALSE)="","",VLOOKUP(A2102,[14]PRIORIZADOS!$A:$B,2,FALSE)),"")</f>
        <v>16</v>
      </c>
      <c r="C2102" s="11" t="s">
        <v>424</v>
      </c>
      <c r="D2102" s="11" t="str">
        <f>IFERROR(IF(VLOOKUP(A2102,[14]PRIORIZADOS!$A:$D,4,FALSE)="","",VLOOKUP(A2102,[14]PRIORIZADOS!$A:$D,4,FALSE)),"")</f>
        <v>PRIVADO</v>
      </c>
      <c r="E2102" s="11" t="str">
        <f>IFERROR(IF(VLOOKUP(A2102,[14]PRIORIZADOS!$A:$E,5,FALSE)="","",VLOOKUP(A2102,[14]PRIORIZADOS!$A:$E,5,FALSE)),"")</f>
        <v>EPBM</v>
      </c>
      <c r="F2102" s="11" t="str">
        <f>IFERROR(IF(VLOOKUP(A2102,[14]PRIORIZADOS!$A:$F,6,FALSE)="","",VLOOKUP(A2102,[14]PRIORIZADOS!$A:$F,6,FALSE)),"")</f>
        <v>COLEGIO_INTEGRADO_EDUARDO_CABALLERO_CALDERON</v>
      </c>
      <c r="G2102" s="11" t="str">
        <f>IFERROR(IF(VLOOKUP(A2102,[14]PRIORIZADOS!$A:$G,7,FALSE)="","",VLOOKUP(A2102,[14]PRIORIZADOS!$A:$G,7,FALSE)),"")</f>
        <v>COLEGIO INTEGRADO EDUARDO CABALLERO CALDERON</v>
      </c>
      <c r="H2102" s="11" t="str">
        <f>IFERROR(IF(VLOOKUP(A2102,[14]PRIORIZADOS!$A:$H,8,FALSE)="","",VLOOKUP(A2102,[14]PRIORIZADOS!$A:$H,8,FALSE)),"")</f>
        <v>Autoevaluación Institucional y Pruebas SABER 11</v>
      </c>
      <c r="I2102" s="11" t="str">
        <f>IFERROR(IF(VLOOKUP(A2102,[14]PRIORIZADOS!$A:$I,9,FALSE)="","",VLOOKUP(A2102,[14]PRIORIZADOS!$A:$I,9,FALSE)),"")</f>
        <v>SEGUIMIENTO_Y_SUPERVISIÓN.</v>
      </c>
      <c r="J2102" s="11" t="str">
        <f>IFERROR(IF(VLOOKUP(A2102,[14]PRIORIZADOS!$A:$J,10,FALSE)="","",VLOOKUP(A2102,[14]PRIORIZADOS!$A:$J,10,FALSE)),"")</f>
        <v xml:space="preserve">Verificar la implementación por parte de los colegios, de acciones realizadas para la prevención y atención de las situaciones de convivencia en el entorno escolar, según lo establecido en la Directiva 01 de 2022 del MEN. </v>
      </c>
      <c r="K2102" s="11" t="str">
        <f>IFERROR(IF(VLOOKUP(A2102,[14]PRIORIZADOS!$A:$K,11,FALSE)="","",VLOOKUP(A2102,[14]PRIORIZADOS!$A:$K,11,FALSE)),"")</f>
        <v>JUAN MANUEL SANCHEZ MORA</v>
      </c>
      <c r="L2102" s="11" t="str">
        <f>IFERROR(IF(VLOOKUP(A2102,[14]PRIORIZADOS!$A:$L,12,FALSE)="","",VLOOKUP(A2102,[14]PRIORIZADOS!$A:$L,12,FALSE)),"")</f>
        <v>MARTHA RUT SILVA ABRIL</v>
      </c>
      <c r="M2102" s="71">
        <f>IFERROR(IF(VLOOKUP(A2102,[14]PRIORIZADOS!$A:$M,13,FALSE)="","",VLOOKUP(A2102,[14]PRIORIZADOS!$A:$M,13,FALSE)),"")</f>
        <v>45818</v>
      </c>
      <c r="N2102" s="71">
        <f>IFERROR(IF(VLOOKUP(A2102,[14]PRIORIZADOS!$A:$N,14,FALSE)="","",VLOOKUP(A2102,[14]PRIORIZADOS!$A:$N,14,FALSE)),"")</f>
        <v>45807</v>
      </c>
      <c r="O2102" s="71">
        <f>IFERROR(IF(VLOOKUP(A2102,[14]PRIORIZADOS!$A:$O,15,FALSE)="","",VLOOKUP(A2102,[14]PRIORIZADOS!$A:$O,15,FALSE)),"")</f>
        <v>45807</v>
      </c>
      <c r="P2102" s="11" t="str">
        <f>IFERROR(IF(VLOOKUP(A2102,[14]PRIORIZADOS!$A:$P,16,FALSE)="","",VLOOKUP(A2102,[14]PRIORIZADOS!$A:$P,16,FALSE)),"")</f>
        <v>Visitas de evaluación con fines de seguimiento</v>
      </c>
      <c r="Q2102" s="7" t="s">
        <v>440</v>
      </c>
      <c r="R2102" s="11" t="str">
        <f>IFERROR(IF(VLOOKUP(A2102,[14]PRIORIZADOS!$A:$R,18,FALSE)="","",VLOOKUP(A2102,[14]PRIORIZADOS!$A:$R,18,FALSE)),"")</f>
        <v>Se evidenció que no cuenta con la consuta para l vinculcion de docentes en el sistema para la verficacion de las inhabilidades por delitos sexuales</v>
      </c>
      <c r="S2102" s="11" t="str">
        <f>IFERROR(IF(VLOOKUP(A2102,[14]PRIORIZADOS!$A:$S,19,FALSE)="","",VLOOKUP(A2102,[14]PRIORIZADOS!$A:$S,19,FALSE)),"")</f>
        <v>Realizar consulta cada 4 meses en el sistema para la verfificacion de las inhabilidades por delitos sexuales acorde con lo establecido en la Directiva e incorporar en la carpeta de las hojas de vida de los docentes y demas personal vincuado a la institucion</v>
      </c>
      <c r="T2102" s="70" t="str">
        <f>IFERROR(IF(VLOOKUP(A2102,[14]PRIORIZADOS!$A:$T,20,FALSE)="","",VLOOKUP(A2102,[14]PRIORIZADOS!$A:$T,20,FALSE)),"")</f>
        <v>Si</v>
      </c>
      <c r="U2102" s="11" t="str">
        <f>IFERROR(IF(VLOOKUP(A2102,[14]PRIORIZADOS!$A:$U,21,FALSE)="","",VLOOKUP(A2102,[14]PRIORIZADOS!$A:$U,21,FALSE)),"")</f>
        <v>Aportar consulta de inhbilidades en l plan de mejoramiento</v>
      </c>
    </row>
    <row r="2103" spans="1:21" s="1" customFormat="1" ht="72">
      <c r="A2103" s="69">
        <f>IF([14]PRIORIZADOS!A150="","",[14]PRIORIZADOS!A150)</f>
        <v>2071</v>
      </c>
      <c r="B2103" s="70">
        <f>IFERROR(IF(VLOOKUP(A2103,[14]PRIORIZADOS!$A:$B,2,FALSE)="","",VLOOKUP(A2103,[14]PRIORIZADOS!$A:$B,2,FALSE)),"")</f>
        <v>16</v>
      </c>
      <c r="C2103" s="11" t="s">
        <v>424</v>
      </c>
      <c r="D2103" s="11" t="str">
        <f>IFERROR(IF(VLOOKUP(A2103,[14]PRIORIZADOS!$A:$D,4,FALSE)="","",VLOOKUP(A2103,[14]PRIORIZADOS!$A:$D,4,FALSE)),"")</f>
        <v>PRIVADO</v>
      </c>
      <c r="E2103" s="11" t="str">
        <f>IFERROR(IF(VLOOKUP(A2103,[14]PRIORIZADOS!$A:$E,5,FALSE)="","",VLOOKUP(A2103,[14]PRIORIZADOS!$A:$E,5,FALSE)),"")</f>
        <v>EPBM</v>
      </c>
      <c r="F2103" s="11" t="str">
        <f>IFERROR(IF(VLOOKUP(A2103,[14]PRIORIZADOS!$A:$F,6,FALSE)="","",VLOOKUP(A2103,[14]PRIORIZADOS!$A:$F,6,FALSE)),"")</f>
        <v>COLEGIO_INTEGRADO_EDUARDO_CABALLERO_CALDERON</v>
      </c>
      <c r="G2103" s="11" t="str">
        <f>IFERROR(IF(VLOOKUP(A2103,[14]PRIORIZADOS!$A:$G,7,FALSE)="","",VLOOKUP(A2103,[14]PRIORIZADOS!$A:$G,7,FALSE)),"")</f>
        <v>COLEGIO INTEGRADO EDUARDO CABALLERO CALDERON</v>
      </c>
      <c r="H2103" s="11" t="str">
        <f>IFERROR(IF(VLOOKUP(A2103,[14]PRIORIZADOS!$A:$H,8,FALSE)="","",VLOOKUP(A2103,[14]PRIORIZADOS!$A:$H,8,FALSE)),"")</f>
        <v>Autoevaluación Institucional y Pruebas SABER 11</v>
      </c>
      <c r="I2103" s="11" t="str">
        <f>IFERROR(IF(VLOOKUP(A2103,[14]PRIORIZADOS!$A:$I,9,FALSE)="","",VLOOKUP(A2103,[14]PRIORIZADOS!$A:$I,9,FALSE)),"")</f>
        <v>SEGUIMIENTO_Y_SUPERVISIÓN.</v>
      </c>
      <c r="J2103" s="11" t="str">
        <f>IFERROR(IF(VLOOKUP(A2103,[14]PRIORIZADOS!$A:$J,10,FALSE)="","",VLOOKUP(A2103,[14]PRIORIZADOS!$A:$J,10,FALSE)),"")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03" s="11" t="str">
        <f>IFERROR(IF(VLOOKUP(A2103,[14]PRIORIZADOS!$A:$K,11,FALSE)="","",VLOOKUP(A2103,[14]PRIORIZADOS!$A:$K,11,FALSE)),"")</f>
        <v>JUAN MANUEL SANCHEZ MORA</v>
      </c>
      <c r="L2103" s="11" t="str">
        <f>IFERROR(IF(VLOOKUP(A2103,[14]PRIORIZADOS!$A:$L,12,FALSE)="","",VLOOKUP(A2103,[14]PRIORIZADOS!$A:$L,12,FALSE)),"")</f>
        <v>MARTHA RUT SILVA ABRIL</v>
      </c>
      <c r="M2103" s="71">
        <f>IFERROR(IF(VLOOKUP(A2103,[14]PRIORIZADOS!$A:$M,13,FALSE)="","",VLOOKUP(A2103,[14]PRIORIZADOS!$A:$M,13,FALSE)),"")</f>
        <v>45818</v>
      </c>
      <c r="N2103" s="71">
        <f>IFERROR(IF(VLOOKUP(A2103,[14]PRIORIZADOS!$A:$N,14,FALSE)="","",VLOOKUP(A2103,[14]PRIORIZADOS!$A:$N,14,FALSE)),"")</f>
        <v>45807</v>
      </c>
      <c r="O2103" s="71">
        <f>IFERROR(IF(VLOOKUP(A2103,[14]PRIORIZADOS!$A:$O,15,FALSE)="","",VLOOKUP(A2103,[14]PRIORIZADOS!$A:$O,15,FALSE)),"")</f>
        <v>45807</v>
      </c>
      <c r="P2103" s="11" t="str">
        <f>IFERROR(IF(VLOOKUP(A2103,[14]PRIORIZADOS!$A:$P,16,FALSE)="","",VLOOKUP(A2103,[14]PRIORIZADOS!$A:$P,16,FALSE)),"")</f>
        <v>Visitas de evaluación con fines de seguimiento</v>
      </c>
      <c r="Q2103" s="7" t="s">
        <v>440</v>
      </c>
      <c r="R2103" s="11" t="str">
        <f>IFERROR(IF(VLOOKUP(A2103,[14]PRIORIZADOS!$A:$R,18,FALSE)="","",VLOOKUP(A2103,[14]PRIORIZADOS!$A:$R,18,FALSE)),"")</f>
        <v>Se observó que la institución no cuenta con la implementación de los PIAR para cada uno de los estudiantes con discapacidad.</v>
      </c>
      <c r="S2103" s="11" t="str">
        <f>IFERROR(IF(VLOOKUP(A2103,[14]PRIORIZADOS!$A:$S,19,FALSE)="","",VLOOKUP(A2103,[14]PRIORIZADOS!$A:$S,19,FALSE)),"")</f>
        <v>Estructurar los PIAR acorde con lo establecido en la norma y, segun necesidades de los estudiantes en los formatos estandarizados</v>
      </c>
      <c r="T2103" s="70" t="str">
        <f>IFERROR(IF(VLOOKUP(A2103,[14]PRIORIZADOS!$A:$T,20,FALSE)="","",VLOOKUP(A2103,[14]PRIORIZADOS!$A:$T,20,FALSE)),"")</f>
        <v>Si</v>
      </c>
      <c r="U2103" s="11" t="str">
        <f>IFERROR(IF(VLOOKUP(A2103,[14]PRIORIZADOS!$A:$U,21,FALSE)="","",VLOOKUP(A2103,[14]PRIORIZADOS!$A:$U,21,FALSE)),"")</f>
        <v>Implementar y estructurara los PIAR y realizar el segumiento respectivo durante el primer trimestre de 2026</v>
      </c>
    </row>
    <row r="2104" spans="1:21" s="1" customFormat="1" ht="84">
      <c r="A2104" s="69">
        <f>IF([14]PRIORIZADOS!A151="","",[14]PRIORIZADOS!A151)</f>
        <v>2072</v>
      </c>
      <c r="B2104" s="70">
        <f>IFERROR(IF(VLOOKUP(A2104,[14]PRIORIZADOS!$A:$B,2,FALSE)="","",VLOOKUP(A2104,[14]PRIORIZADOS!$A:$B,2,FALSE)),"")</f>
        <v>16</v>
      </c>
      <c r="C2104" s="11" t="s">
        <v>424</v>
      </c>
      <c r="D2104" s="11" t="str">
        <f>IFERROR(IF(VLOOKUP(A2104,[14]PRIORIZADOS!$A:$D,4,FALSE)="","",VLOOKUP(A2104,[14]PRIORIZADOS!$A:$D,4,FALSE)),"")</f>
        <v>PRIVADO</v>
      </c>
      <c r="E2104" s="11" t="str">
        <f>IFERROR(IF(VLOOKUP(A2104,[14]PRIORIZADOS!$A:$E,5,FALSE)="","",VLOOKUP(A2104,[14]PRIORIZADOS!$A:$E,5,FALSE)),"")</f>
        <v>EPBM</v>
      </c>
      <c r="F2104" s="11" t="str">
        <f>IFERROR(IF(VLOOKUP(A2104,[14]PRIORIZADOS!$A:$F,6,FALSE)="","",VLOOKUP(A2104,[14]PRIORIZADOS!$A:$F,6,FALSE)),"")</f>
        <v>COLEGIO_INTEGRADO_EDUARDO_CABALLERO_CALDERON</v>
      </c>
      <c r="G2104" s="11" t="str">
        <f>IFERROR(IF(VLOOKUP(A2104,[14]PRIORIZADOS!$A:$G,7,FALSE)="","",VLOOKUP(A2104,[14]PRIORIZADOS!$A:$G,7,FALSE)),"")</f>
        <v>COLEGIO INTEGRADO EDUARDO CABALLERO CALDERON</v>
      </c>
      <c r="H2104" s="11" t="str">
        <f>IFERROR(IF(VLOOKUP(A2104,[14]PRIORIZADOS!$A:$H,8,FALSE)="","",VLOOKUP(A2104,[14]PRIORIZADOS!$A:$H,8,FALSE)),"")</f>
        <v>Autoevaluación Institucional y Pruebas SABER 11</v>
      </c>
      <c r="I2104" s="11" t="str">
        <f>IFERROR(IF(VLOOKUP(A2104,[14]PRIORIZADOS!$A:$I,9,FALSE)="","",VLOOKUP(A2104,[14]PRIORIZADOS!$A:$I,9,FALSE)),"")</f>
        <v>EVALUACIÓN_CON_FINES_DE_MEJORAMIENTO.</v>
      </c>
      <c r="J2104" s="11" t="str">
        <f>IFERROR(IF(VLOOKUP(A2104,[14]PRIORIZADOS!$A:$J,10,FALSE)="","",VLOOKUP(A2104,[14]PRIORIZADOS!$A:$J,10,FALSE)),"")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04" s="11" t="str">
        <f>IFERROR(IF(VLOOKUP(A2104,[14]PRIORIZADOS!$A:$K,11,FALSE)="","",VLOOKUP(A2104,[14]PRIORIZADOS!$A:$K,11,FALSE)),"")</f>
        <v>JUAN MANUEL SANCHEZ MORA</v>
      </c>
      <c r="L2104" s="11" t="str">
        <f>IFERROR(IF(VLOOKUP(A2104,[14]PRIORIZADOS!$A:$L,12,FALSE)="","",VLOOKUP(A2104,[14]PRIORIZADOS!$A:$L,12,FALSE)),"")</f>
        <v>MARTHA RUT SILVA ABRIL</v>
      </c>
      <c r="M2104" s="71">
        <f>IFERROR(IF(VLOOKUP(A2104,[14]PRIORIZADOS!$A:$M,13,FALSE)="","",VLOOKUP(A2104,[14]PRIORIZADOS!$A:$M,13,FALSE)),"")</f>
        <v>45818</v>
      </c>
      <c r="N2104" s="71">
        <f>IFERROR(IF(VLOOKUP(A2104,[14]PRIORIZADOS!$A:$N,14,FALSE)="","",VLOOKUP(A2104,[14]PRIORIZADOS!$A:$N,14,FALSE)),"")</f>
        <v>45807</v>
      </c>
      <c r="O2104" s="71">
        <f>IFERROR(IF(VLOOKUP(A2104,[14]PRIORIZADOS!$A:$O,15,FALSE)="","",VLOOKUP(A2104,[14]PRIORIZADOS!$A:$O,15,FALSE)),"")</f>
        <v>45807</v>
      </c>
      <c r="P2104" s="11" t="str">
        <f>IFERROR(IF(VLOOKUP(A2104,[14]PRIORIZADOS!$A:$P,16,FALSE)="","",VLOOKUP(A2104,[14]PRIORIZADOS!$A:$P,16,FALSE)),"")</f>
        <v>Visitas de evaluación con fines de mejoramiento</v>
      </c>
      <c r="Q2104" s="7" t="s">
        <v>440</v>
      </c>
      <c r="R2104" s="11" t="str">
        <f>IFERROR(IF(VLOOKUP(A2104,[14]PRIORIZADOS!$A:$R,18,FALSE)="","",VLOOKUP(A2104,[14]PRIORIZADOS!$A:$R,18,FALSE)),"")</f>
        <v>se observó que el manual de convivenciacia está desactualizado y no fue adoptado por el Consejo Directivo</v>
      </c>
      <c r="S2104" s="11" t="str">
        <f>IFERROR(IF(VLOOKUP(A2104,[14]PRIORIZADOS!$A:$S,19,FALSE)="","",VLOOKUP(A2104,[14]PRIORIZADOS!$A:$S,19,FALSE)),"")</f>
        <v>Adoptar y actualizar el manuel de conveivencia de confromidad con lo establecido en el Decreto 1075 de 2015 y la Ley 1620 de 2013</v>
      </c>
      <c r="T2104" s="70" t="str">
        <f>IFERROR(IF(VLOOKUP(A2104,[14]PRIORIZADOS!$A:$T,20,FALSE)="","",VLOOKUP(A2104,[14]PRIORIZADOS!$A:$T,20,FALSE)),"")</f>
        <v>Si</v>
      </c>
      <c r="U2104" s="11" t="str">
        <f>IFERROR(IF(VLOOKUP(A2104,[14]PRIORIZADOS!$A:$U,21,FALSE)="","",VLOOKUP(A2104,[14]PRIORIZADOS!$A:$U,21,FALSE)),"")</f>
        <v>Verficar la informacion del plan de mejoramiento fijado para el 12 de septiembre de 2025.</v>
      </c>
    </row>
    <row r="2105" spans="1:21" s="1" customFormat="1" ht="48">
      <c r="A2105" s="69">
        <f>IF([14]PRIORIZADOS!A152="","",[14]PRIORIZADOS!A152)</f>
        <v>2073</v>
      </c>
      <c r="B2105" s="70">
        <f>IFERROR(IF(VLOOKUP(A2105,[14]PRIORIZADOS!$A:$B,2,FALSE)="","",VLOOKUP(A2105,[14]PRIORIZADOS!$A:$B,2,FALSE)),"")</f>
        <v>16</v>
      </c>
      <c r="C2105" s="11" t="s">
        <v>424</v>
      </c>
      <c r="D2105" s="11" t="str">
        <f>IFERROR(IF(VLOOKUP(A2105,[14]PRIORIZADOS!$A:$D,4,FALSE)="","",VLOOKUP(A2105,[14]PRIORIZADOS!$A:$D,4,FALSE)),"")</f>
        <v>PRIVADO</v>
      </c>
      <c r="E2105" s="11" t="str">
        <f>IFERROR(IF(VLOOKUP(A2105,[14]PRIORIZADOS!$A:$E,5,FALSE)="","",VLOOKUP(A2105,[14]PRIORIZADOS!$A:$E,5,FALSE)),"")</f>
        <v>EPBM</v>
      </c>
      <c r="F2105" s="11" t="str">
        <f>IFERROR(IF(VLOOKUP(A2105,[14]PRIORIZADOS!$A:$F,6,FALSE)="","",VLOOKUP(A2105,[14]PRIORIZADOS!$A:$F,6,FALSE)),"")</f>
        <v>COLEGIO_INTEGRADO_EDUARDO_CABALLERO_CALDERON</v>
      </c>
      <c r="G2105" s="11" t="str">
        <f>IFERROR(IF(VLOOKUP(A2105,[14]PRIORIZADOS!$A:$G,7,FALSE)="","",VLOOKUP(A2105,[14]PRIORIZADOS!$A:$G,7,FALSE)),"")</f>
        <v>COLEGIO INTEGRADO EDUARDO CABALLERO CALDERON</v>
      </c>
      <c r="H2105" s="11" t="str">
        <f>IFERROR(IF(VLOOKUP(A2105,[14]PRIORIZADOS!$A:$H,8,FALSE)="","",VLOOKUP(A2105,[14]PRIORIZADOS!$A:$H,8,FALSE)),"")</f>
        <v>Autoevaluación Institucional y Pruebas SABER 11</v>
      </c>
      <c r="I2105" s="11" t="str">
        <f>IFERROR(IF(VLOOKUP(A2105,[14]PRIORIZADOS!$A:$I,9,FALSE)="","",VLOOKUP(A2105,[14]PRIORIZADOS!$A:$I,9,FALSE)),"")</f>
        <v>EVALUACIÓN_CON_FINES_DE_MEJORAMIENTO.</v>
      </c>
      <c r="J2105" s="11" t="str">
        <f>IFERROR(IF(VLOOKUP(A2105,[14]PRIORIZADOS!$A:$J,10,FALSE)="","",VLOOKUP(A2105,[14]PRIORIZADOS!$A:$J,10,FALSE)),"")</f>
        <v>Revisar la actualización, socialización e implementación del Sistema Institucional de Evaluación de Estudiantes - SIEE, en articulación con la actualización del PEI y la normatividad vigente.</v>
      </c>
      <c r="K2105" s="11" t="str">
        <f>IFERROR(IF(VLOOKUP(A2105,[14]PRIORIZADOS!$A:$K,11,FALSE)="","",VLOOKUP(A2105,[14]PRIORIZADOS!$A:$K,11,FALSE)),"")</f>
        <v>JUAN MANUEL SANCHEZ MORA</v>
      </c>
      <c r="L2105" s="11" t="str">
        <f>IFERROR(IF(VLOOKUP(A2105,[14]PRIORIZADOS!$A:$L,12,FALSE)="","",VLOOKUP(A2105,[14]PRIORIZADOS!$A:$L,12,FALSE)),"")</f>
        <v>MARTHA RUT SILVA ABRIL</v>
      </c>
      <c r="M2105" s="71">
        <f>IFERROR(IF(VLOOKUP(A2105,[14]PRIORIZADOS!$A:$M,13,FALSE)="","",VLOOKUP(A2105,[14]PRIORIZADOS!$A:$M,13,FALSE)),"")</f>
        <v>45818</v>
      </c>
      <c r="N2105" s="71">
        <f>IFERROR(IF(VLOOKUP(A2105,[14]PRIORIZADOS!$A:$N,14,FALSE)="","",VLOOKUP(A2105,[14]PRIORIZADOS!$A:$N,14,FALSE)),"")</f>
        <v>45807</v>
      </c>
      <c r="O2105" s="71">
        <f>IFERROR(IF(VLOOKUP(A2105,[14]PRIORIZADOS!$A:$O,15,FALSE)="","",VLOOKUP(A2105,[14]PRIORIZADOS!$A:$O,15,FALSE)),"")</f>
        <v>45807</v>
      </c>
      <c r="P2105" s="11" t="str">
        <f>IFERROR(IF(VLOOKUP(A2105,[14]PRIORIZADOS!$A:$P,16,FALSE)="","",VLOOKUP(A2105,[14]PRIORIZADOS!$A:$P,16,FALSE)),"")</f>
        <v>Visitas de evaluación con fines de mejoramiento</v>
      </c>
      <c r="Q2105" s="7" t="s">
        <v>440</v>
      </c>
      <c r="R2105" s="11" t="str">
        <f>IFERROR(IF(VLOOKUP(A2105,[14]PRIORIZADOS!$A:$R,18,FALSE)="","",VLOOKUP(A2105,[14]PRIORIZADOS!$A:$R,18,FALSE)),"")</f>
        <v>Se evidencia desactualización del SIEE, no se observa socialización ni articulación con el PEI</v>
      </c>
      <c r="S2105" s="11" t="str">
        <f>IFERROR(IF(VLOOKUP(A2105,[14]PRIORIZADOS!$A:$S,19,FALSE)="","",VLOOKUP(A2105,[14]PRIORIZADOS!$A:$S,19,FALSE)),"")</f>
        <v>Realizar actualización socialización  y articulación con el PEI</v>
      </c>
      <c r="T2105" s="70" t="str">
        <f>IFERROR(IF(VLOOKUP(A2105,[14]PRIORIZADOS!$A:$T,20,FALSE)="","",VLOOKUP(A2105,[14]PRIORIZADOS!$A:$T,20,FALSE)),"")</f>
        <v>Si</v>
      </c>
      <c r="U2105" s="11" t="str">
        <f>IFERROR(IF(VLOOKUP(A2105,[14]PRIORIZADOS!$A:$U,21,FALSE)="","",VLOOKUP(A2105,[14]PRIORIZADOS!$A:$U,21,FALSE)),"")</f>
        <v xml:space="preserve">Verificar plan de mejoramiento componente del PEI durante el primer trimestre de 2026 </v>
      </c>
    </row>
    <row r="2106" spans="1:21" s="1" customFormat="1" ht="48">
      <c r="A2106" s="69">
        <f>IF([14]PRIORIZADOS!A153="","",[14]PRIORIZADOS!A153)</f>
        <v>2074</v>
      </c>
      <c r="B2106" s="70">
        <f>IFERROR(IF(VLOOKUP(A2106,[14]PRIORIZADOS!$A:$B,2,FALSE)="","",VLOOKUP(A2106,[14]PRIORIZADOS!$A:$B,2,FALSE)),"")</f>
        <v>16</v>
      </c>
      <c r="C2106" s="11" t="s">
        <v>424</v>
      </c>
      <c r="D2106" s="11" t="str">
        <f>IFERROR(IF(VLOOKUP(A2106,[14]PRIORIZADOS!$A:$D,4,FALSE)="","",VLOOKUP(A2106,[14]PRIORIZADOS!$A:$D,4,FALSE)),"")</f>
        <v>PRIVADO</v>
      </c>
      <c r="E2106" s="11" t="str">
        <f>IFERROR(IF(VLOOKUP(A2106,[14]PRIORIZADOS!$A:$E,5,FALSE)="","",VLOOKUP(A2106,[14]PRIORIZADOS!$A:$E,5,FALSE)),"")</f>
        <v>EPBM</v>
      </c>
      <c r="F2106" s="11" t="str">
        <f>IFERROR(IF(VLOOKUP(A2106,[14]PRIORIZADOS!$A:$F,6,FALSE)="","",VLOOKUP(A2106,[14]PRIORIZADOS!$A:$F,6,FALSE)),"")</f>
        <v>COLEGIO_INTEGRADO_EDUARDO_CABALLERO_CALDERON</v>
      </c>
      <c r="G2106" s="11" t="str">
        <f>IFERROR(IF(VLOOKUP(A2106,[14]PRIORIZADOS!$A:$G,7,FALSE)="","",VLOOKUP(A2106,[14]PRIORIZADOS!$A:$G,7,FALSE)),"")</f>
        <v>COLEGIO INTEGRADO EDUARDO CABALLERO CALDERON</v>
      </c>
      <c r="H2106" s="11" t="str">
        <f>IFERROR(IF(VLOOKUP(A2106,[14]PRIORIZADOS!$A:$H,8,FALSE)="","",VLOOKUP(A2106,[14]PRIORIZADOS!$A:$H,8,FALSE)),"")</f>
        <v>Autoevaluación Institucional y Pruebas SABER 11</v>
      </c>
      <c r="I2106" s="11" t="str">
        <f>IFERROR(IF(VLOOKUP(A2106,[14]PRIORIZADOS!$A:$I,9,FALSE)="","",VLOOKUP(A2106,[14]PRIORIZADOS!$A:$I,9,FALSE)),"")</f>
        <v>EVALUACIÓN_CON_FINES_DE_MEJORAMIENTO.</v>
      </c>
      <c r="J2106" s="11" t="str">
        <f>IFERROR(IF(VLOOKUP(A2106,[14]PRIORIZADOS!$A:$J,10,FALSE)="","",VLOOKUP(A2106,[14]PRIORIZADOS!$A:$J,10,FALSE)),"")</f>
        <v>Revisar el calendario escolar, jornada escolar, la intensidad horaria mínima anual en cada nivel y las modificaciones que se realicen al mismo, de acuerdo con lo previsto en la normatividad vigente.</v>
      </c>
      <c r="K2106" s="11" t="str">
        <f>IFERROR(IF(VLOOKUP(A2106,[14]PRIORIZADOS!$A:$K,11,FALSE)="","",VLOOKUP(A2106,[14]PRIORIZADOS!$A:$K,11,FALSE)),"")</f>
        <v>JUAN MANUEL SANCHEZ MORA</v>
      </c>
      <c r="L2106" s="11" t="str">
        <f>IFERROR(IF(VLOOKUP(A2106,[14]PRIORIZADOS!$A:$L,12,FALSE)="","",VLOOKUP(A2106,[14]PRIORIZADOS!$A:$L,12,FALSE)),"")</f>
        <v>MARTHA RUT SILVA ABRIL</v>
      </c>
      <c r="M2106" s="71">
        <f>IFERROR(IF(VLOOKUP(A2106,[14]PRIORIZADOS!$A:$M,13,FALSE)="","",VLOOKUP(A2106,[14]PRIORIZADOS!$A:$M,13,FALSE)),"")</f>
        <v>45818</v>
      </c>
      <c r="N2106" s="71">
        <f>IFERROR(IF(VLOOKUP(A2106,[14]PRIORIZADOS!$A:$N,14,FALSE)="","",VLOOKUP(A2106,[14]PRIORIZADOS!$A:$N,14,FALSE)),"")</f>
        <v>45807</v>
      </c>
      <c r="O2106" s="71">
        <f>IFERROR(IF(VLOOKUP(A2106,[14]PRIORIZADOS!$A:$O,15,FALSE)="","",VLOOKUP(A2106,[14]PRIORIZADOS!$A:$O,15,FALSE)),"")</f>
        <v>45807</v>
      </c>
      <c r="P2106" s="11" t="str">
        <f>IFERROR(IF(VLOOKUP(A2106,[14]PRIORIZADOS!$A:$P,16,FALSE)="","",VLOOKUP(A2106,[14]PRIORIZADOS!$A:$P,16,FALSE)),"")</f>
        <v>Visitas de evaluación con fines de mejoramiento</v>
      </c>
      <c r="Q2106" s="7" t="s">
        <v>440</v>
      </c>
      <c r="R2106" s="11" t="str">
        <f>IFERROR(IF(VLOOKUP(A2106,[14]PRIORIZADOS!$A:$R,18,FALSE)="","",VLOOKUP(A2106,[14]PRIORIZADOS!$A:$R,18,FALSE)),"")</f>
        <v>Se verificó que el calendario escolar se ajusta a las intensidades mínimas estableciadas.</v>
      </c>
      <c r="S2106" s="11" t="str">
        <f>IFERROR(IF(VLOOKUP(A2106,[14]PRIORIZADOS!$A:$S,19,FALSE)="","",VLOOKUP(A2106,[14]PRIORIZADOS!$A:$S,19,FALSE)),"")</f>
        <v>Continuar con la apliccion del calendario tanto en semanas efectivas de trabajo académico con estudiantes y la intensidad horaria</v>
      </c>
      <c r="T2106" s="70" t="str">
        <f>IFERROR(IF(VLOOKUP(A2106,[14]PRIORIZADOS!$A:$T,20,FALSE)="","",VLOOKUP(A2106,[14]PRIORIZADOS!$A:$T,20,FALSE)),"")</f>
        <v>No</v>
      </c>
      <c r="U2106" s="11" t="str">
        <f>IFERROR(IF(VLOOKUP(A2106,[14]PRIORIZADOS!$A:$U,21,FALSE)="","",VLOOKUP(A2106,[14]PRIORIZADOS!$A:$U,21,FALSE)),"")</f>
        <v>Verificar la continuidad de la ejecucion del calendario escolar en el primer semestre de 2025</v>
      </c>
    </row>
    <row r="2107" spans="1:21" s="1" customFormat="1" ht="48">
      <c r="A2107" s="69">
        <f>IF([14]PRIORIZADOS!A154="","",[14]PRIORIZADOS!A154)</f>
        <v>2075</v>
      </c>
      <c r="B2107" s="70">
        <f>IFERROR(IF(VLOOKUP(A2107,[14]PRIORIZADOS!$A:$B,2,FALSE)="","",VLOOKUP(A2107,[14]PRIORIZADOS!$A:$B,2,FALSE)),"")</f>
        <v>16</v>
      </c>
      <c r="C2107" s="11" t="s">
        <v>424</v>
      </c>
      <c r="D2107" s="11" t="str">
        <f>IFERROR(IF(VLOOKUP(A2107,[14]PRIORIZADOS!$A:$D,4,FALSE)="","",VLOOKUP(A2107,[14]PRIORIZADOS!$A:$D,4,FALSE)),"")</f>
        <v>PRIVADO</v>
      </c>
      <c r="E2107" s="11" t="str">
        <f>IFERROR(IF(VLOOKUP(A2107,[14]PRIORIZADOS!$A:$E,5,FALSE)="","",VLOOKUP(A2107,[14]PRIORIZADOS!$A:$E,5,FALSE)),"")</f>
        <v>EPBM</v>
      </c>
      <c r="F2107" s="11" t="str">
        <f>IFERROR(IF(VLOOKUP(A2107,[14]PRIORIZADOS!$A:$F,6,FALSE)="","",VLOOKUP(A2107,[14]PRIORIZADOS!$A:$F,6,FALSE)),"")</f>
        <v>COLEGIO_INTEGRADO_EDUARDO_CABALLERO_CALDERON</v>
      </c>
      <c r="G2107" s="11" t="str">
        <f>IFERROR(IF(VLOOKUP(A2107,[14]PRIORIZADOS!$A:$G,7,FALSE)="","",VLOOKUP(A2107,[14]PRIORIZADOS!$A:$G,7,FALSE)),"")</f>
        <v>COLEGIO INTEGRADO EDUARDO CABALLERO CALDERON</v>
      </c>
      <c r="H2107" s="11" t="str">
        <f>IFERROR(IF(VLOOKUP(A2107,[14]PRIORIZADOS!$A:$H,8,FALSE)="","",VLOOKUP(A2107,[14]PRIORIZADOS!$A:$H,8,FALSE)),"")</f>
        <v>Autoevaluación Institucional y Pruebas SABER 11</v>
      </c>
      <c r="I2107" s="11" t="str">
        <f>IFERROR(IF(VLOOKUP(A2107,[14]PRIORIZADOS!$A:$I,9,FALSE)="","",VLOOKUP(A2107,[14]PRIORIZADOS!$A:$I,9,FALSE)),"")</f>
        <v>EVALUACIÓN_CON_FINES_DE_MEJORAMIENTO.</v>
      </c>
      <c r="J2107" s="11" t="str">
        <f>IFERROR(IF(VLOOKUP(A2107,[14]PRIORIZADOS!$A:$J,10,FALSE)="","",VLOOKUP(A2107,[14]PRIORIZADOS!$A:$J,10,FALSE)),"")</f>
        <v>Verificar el funcionamiento del Gobierno Escolar e instancias de participación con base en la información sobre conformación reportada por la institución educativa.</v>
      </c>
      <c r="K2107" s="11" t="str">
        <f>IFERROR(IF(VLOOKUP(A2107,[14]PRIORIZADOS!$A:$K,11,FALSE)="","",VLOOKUP(A2107,[14]PRIORIZADOS!$A:$K,11,FALSE)),"")</f>
        <v>JUAN MANUEL SANCHEZ MORA</v>
      </c>
      <c r="L2107" s="11" t="str">
        <f>IFERROR(IF(VLOOKUP(A2107,[14]PRIORIZADOS!$A:$L,12,FALSE)="","",VLOOKUP(A2107,[14]PRIORIZADOS!$A:$L,12,FALSE)),"")</f>
        <v>MARTHA RUT SILVA ABRIL</v>
      </c>
      <c r="M2107" s="71">
        <f>IFERROR(IF(VLOOKUP(A2107,[14]PRIORIZADOS!$A:$M,13,FALSE)="","",VLOOKUP(A2107,[14]PRIORIZADOS!$A:$M,13,FALSE)),"")</f>
        <v>45818</v>
      </c>
      <c r="N2107" s="71">
        <f>IFERROR(IF(VLOOKUP(A2107,[14]PRIORIZADOS!$A:$N,14,FALSE)="","",VLOOKUP(A2107,[14]PRIORIZADOS!$A:$N,14,FALSE)),"")</f>
        <v>45807</v>
      </c>
      <c r="O2107" s="71">
        <f>IFERROR(IF(VLOOKUP(A2107,[14]PRIORIZADOS!$A:$O,15,FALSE)="","",VLOOKUP(A2107,[14]PRIORIZADOS!$A:$O,15,FALSE)),"")</f>
        <v>45807</v>
      </c>
      <c r="P2107" s="11" t="str">
        <f>IFERROR(IF(VLOOKUP(A2107,[14]PRIORIZADOS!$A:$P,16,FALSE)="","",VLOOKUP(A2107,[14]PRIORIZADOS!$A:$P,16,FALSE)),"")</f>
        <v>Visitas de evaluación con fines de mejoramiento</v>
      </c>
      <c r="Q2107" s="7" t="s">
        <v>440</v>
      </c>
      <c r="R2107" s="11" t="str">
        <f>IFERROR(IF(VLOOKUP(A2107,[14]PRIORIZADOS!$A:$R,18,FALSE)="","",VLOOKUP(A2107,[14]PRIORIZADOS!$A:$R,18,FALSE)),"")</f>
        <v xml:space="preserve">Se verificó la conformación y funcionamiento del gobierno escolar </v>
      </c>
      <c r="S2107" s="11" t="str">
        <f>IFERROR(IF(VLOOKUP(A2107,[14]PRIORIZADOS!$A:$S,19,FALSE)="","",VLOOKUP(A2107,[14]PRIORIZADOS!$A:$S,19,FALSE)),"")</f>
        <v>Continuar con las reuniones respectivas en cada un de los órganos del gobierno escolar</v>
      </c>
      <c r="T2107" s="70" t="str">
        <f>IFERROR(IF(VLOOKUP(A2107,[14]PRIORIZADOS!$A:$T,20,FALSE)="","",VLOOKUP(A2107,[14]PRIORIZADOS!$A:$T,20,FALSE)),"")</f>
        <v>No</v>
      </c>
      <c r="U2107" s="11" t="str">
        <f>IFERROR(IF(VLOOKUP(A2107,[14]PRIORIZADOS!$A:$U,21,FALSE)="","",VLOOKUP(A2107,[14]PRIORIZADOS!$A:$U,21,FALSE)),"")</f>
        <v>Verificar la continidad de reuniones y el registro en actas durante el primer trimestre de 2026</v>
      </c>
    </row>
    <row r="2108" spans="1:21" s="1" customFormat="1" ht="48">
      <c r="A2108" s="69">
        <f>IF([14]PRIORIZADOS!A155="","",[14]PRIORIZADOS!A155)</f>
        <v>2076</v>
      </c>
      <c r="B2108" s="70">
        <f>IFERROR(IF(VLOOKUP(A2108,[14]PRIORIZADOS!$A:$B,2,FALSE)="","",VLOOKUP(A2108,[14]PRIORIZADOS!$A:$B,2,FALSE)),"")</f>
        <v>16</v>
      </c>
      <c r="C2108" s="11" t="s">
        <v>424</v>
      </c>
      <c r="D2108" s="11" t="str">
        <f>IFERROR(IF(VLOOKUP(A2108,[14]PRIORIZADOS!$A:$D,4,FALSE)="","",VLOOKUP(A2108,[14]PRIORIZADOS!$A:$D,4,FALSE)),"")</f>
        <v>PRIVADO</v>
      </c>
      <c r="E2108" s="11" t="str">
        <f>IFERROR(IF(VLOOKUP(A2108,[14]PRIORIZADOS!$A:$E,5,FALSE)="","",VLOOKUP(A2108,[14]PRIORIZADOS!$A:$E,5,FALSE)),"")</f>
        <v>EPBM</v>
      </c>
      <c r="F2108" s="11" t="str">
        <f>IFERROR(IF(VLOOKUP(A2108,[14]PRIORIZADOS!$A:$F,6,FALSE)="","",VLOOKUP(A2108,[14]PRIORIZADOS!$A:$F,6,FALSE)),"")</f>
        <v>COLEGIO_INTEGRADO_EDUARDO_CABALLERO_CALDERON</v>
      </c>
      <c r="G2108" s="11" t="str">
        <f>IFERROR(IF(VLOOKUP(A2108,[14]PRIORIZADOS!$A:$G,7,FALSE)="","",VLOOKUP(A2108,[14]PRIORIZADOS!$A:$G,7,FALSE)),"")</f>
        <v>COLEGIO INTEGRADO EDUARDO CABALLERO CALDERON</v>
      </c>
      <c r="H2108" s="11" t="str">
        <f>IFERROR(IF(VLOOKUP(A2108,[14]PRIORIZADOS!$A:$H,8,FALSE)="","",VLOOKUP(A2108,[14]PRIORIZADOS!$A:$H,8,FALSE)),"")</f>
        <v>Autoevaluación Institucional y Pruebas SABER 11</v>
      </c>
      <c r="I2108" s="11" t="str">
        <f>IFERROR(IF(VLOOKUP(A2108,[14]PRIORIZADOS!$A:$I,9,FALSE)="","",VLOOKUP(A2108,[14]PRIORIZADOS!$A:$I,9,FALSE)),"")</f>
        <v>EVALUACIÓN_CON_FINES_DE_MEJORAMIENTO.</v>
      </c>
      <c r="J2108" s="11" t="str">
        <f>IFERROR(IF(VLOOKUP(A2108,[14]PRIORIZADOS!$A:$J,10,FALSE)="","",VLOOKUP(A2108,[14]PRIORIZADOS!$A:$J,10,FALSE)),"")</f>
        <v>Verificar las condiciones en cuanto a: la estructura administrativa, condiciones de la planta física y medios educativos adecuados.</v>
      </c>
      <c r="K2108" s="11" t="str">
        <f>IFERROR(IF(VLOOKUP(A2108,[14]PRIORIZADOS!$A:$K,11,FALSE)="","",VLOOKUP(A2108,[14]PRIORIZADOS!$A:$K,11,FALSE)),"")</f>
        <v>JUAN MANUEL SANCHEZ MORA</v>
      </c>
      <c r="L2108" s="11" t="str">
        <f>IFERROR(IF(VLOOKUP(A2108,[14]PRIORIZADOS!$A:$L,12,FALSE)="","",VLOOKUP(A2108,[14]PRIORIZADOS!$A:$L,12,FALSE)),"")</f>
        <v>MARTHA RUT SILVA ABRIL</v>
      </c>
      <c r="M2108" s="71">
        <f>IFERROR(IF(VLOOKUP(A2108,[14]PRIORIZADOS!$A:$M,13,FALSE)="","",VLOOKUP(A2108,[14]PRIORIZADOS!$A:$M,13,FALSE)),"")</f>
        <v>45818</v>
      </c>
      <c r="N2108" s="71">
        <f>IFERROR(IF(VLOOKUP(A2108,[14]PRIORIZADOS!$A:$N,14,FALSE)="","",VLOOKUP(A2108,[14]PRIORIZADOS!$A:$N,14,FALSE)),"")</f>
        <v>45807</v>
      </c>
      <c r="O2108" s="71">
        <f>IFERROR(IF(VLOOKUP(A2108,[14]PRIORIZADOS!$A:$O,15,FALSE)="","",VLOOKUP(A2108,[14]PRIORIZADOS!$A:$O,15,FALSE)),"")</f>
        <v>45807</v>
      </c>
      <c r="P2108" s="11" t="str">
        <f>IFERROR(IF(VLOOKUP(A2108,[14]PRIORIZADOS!$A:$P,16,FALSE)="","",VLOOKUP(A2108,[14]PRIORIZADOS!$A:$P,16,FALSE)),"")</f>
        <v>Visitas de evaluación con fines de mejoramiento</v>
      </c>
      <c r="Q2108" s="7" t="s">
        <v>440</v>
      </c>
      <c r="R2108" s="11" t="str">
        <f>IFERROR(IF(VLOOKUP(A2108,[14]PRIORIZADOS!$A:$R,18,FALSE)="","",VLOOKUP(A2108,[14]PRIORIZADOS!$A:$R,18,FALSE)),"")</f>
        <v>En el recorrido por la planta física se observó que no cuenta con espacios administrativos y espacios pedagógicos mínimos.</v>
      </c>
      <c r="S2108" s="11" t="str">
        <f>IFERROR(IF(VLOOKUP(A2108,[14]PRIORIZADOS!$A:$S,19,FALSE)="","",VLOOKUP(A2108,[14]PRIORIZADOS!$A:$S,19,FALSE)),"")</f>
        <v>Implementar y generar espacios adecudos para la parte administrativa y espacios pedagógicos como aulas de clase para los diferentes grados, biblioteca, entre otros.</v>
      </c>
      <c r="T2108" s="70" t="str">
        <f>IFERROR(IF(VLOOKUP(A2108,[14]PRIORIZADOS!$A:$T,20,FALSE)="","",VLOOKUP(A2108,[14]PRIORIZADOS!$A:$T,20,FALSE)),"")</f>
        <v>Si</v>
      </c>
      <c r="U2108" s="11" t="str">
        <f>IFERROR(IF(VLOOKUP(A2108,[14]PRIORIZADOS!$A:$U,21,FALSE)="","",VLOOKUP(A2108,[14]PRIORIZADOS!$A:$U,21,FALSE)),"")</f>
        <v>Verficar la informacion del plan de mejoramiento fijado para el 12 de septiembre de 2025.</v>
      </c>
    </row>
    <row r="2109" spans="1:21" s="1" customFormat="1" ht="36">
      <c r="A2109" s="69">
        <f>IF([14]PRIORIZADOS!A156="","",[14]PRIORIZADOS!A156)</f>
        <v>2077</v>
      </c>
      <c r="B2109" s="70">
        <f>IFERROR(IF(VLOOKUP(A2109,[14]PRIORIZADOS!$A:$B,2,FALSE)="","",VLOOKUP(A2109,[14]PRIORIZADOS!$A:$B,2,FALSE)),"")</f>
        <v>17</v>
      </c>
      <c r="C2109" s="11" t="s">
        <v>424</v>
      </c>
      <c r="D2109" s="11" t="str">
        <f>IFERROR(IF(VLOOKUP(A2109,[14]PRIORIZADOS!$A:$D,4,FALSE)="","",VLOOKUP(A2109,[14]PRIORIZADOS!$A:$D,4,FALSE)),"")</f>
        <v>PRIVADO</v>
      </c>
      <c r="E2109" s="11" t="str">
        <f>IFERROR(IF(VLOOKUP(A2109,[14]PRIORIZADOS!$A:$E,5,FALSE)="","",VLOOKUP(A2109,[14]PRIORIZADOS!$A:$E,5,FALSE)),"")</f>
        <v>EPBM</v>
      </c>
      <c r="F2109" s="11" t="str">
        <f>IFERROR(IF(VLOOKUP(A2109,[14]PRIORIZADOS!$A:$F,6,FALSE)="","",VLOOKUP(A2109,[14]PRIORIZADOS!$A:$F,6,FALSE)),"")</f>
        <v>COLEGIO_NEIL_ARMSTRONG</v>
      </c>
      <c r="G2109" s="11" t="str">
        <f>IFERROR(IF(VLOOKUP(A2109,[14]PRIORIZADOS!$A:$G,7,FALSE)="","",VLOOKUP(A2109,[14]PRIORIZADOS!$A:$G,7,FALSE)),"")</f>
        <v>COLEGIO NEIL ARMSTRONG</v>
      </c>
      <c r="H2109" s="11" t="str">
        <f>IFERROR(IF(VLOOKUP(A2109,[14]PRIORIZADOS!$A:$H,8,FALSE)="","",VLOOKUP(A2109,[14]PRIORIZADOS!$A:$H,8,FALSE)),"")</f>
        <v>Autoevaluación Institucional y Pruebas SABER 11</v>
      </c>
      <c r="I2109" s="11" t="str">
        <f>IFERROR(IF(VLOOKUP(A2109,[14]PRIORIZADOS!$A:$I,9,FALSE)="","",VLOOKUP(A2109,[14]PRIORIZADOS!$A:$I,9,FALSE)),"")</f>
        <v>SEGUIMIENTO_Y_SUPERVISIÓN.</v>
      </c>
      <c r="J2109" s="11" t="str">
        <f>IFERROR(IF(VLOOKUP(A2109,[14]PRIORIZADOS!$A:$J,10,FALSE)="","",VLOOKUP(A2109,[14]PRIORIZADOS!$A:$J,10,FALSE)),"")</f>
        <v>Realizar visitas para verificar la información registrada sobre la autoevaluación institucional en el aplicativo EVI, a los establecimientos de educación formal no oficial.</v>
      </c>
      <c r="K2109" s="11" t="str">
        <f>IFERROR(IF(VLOOKUP(A2109,[14]PRIORIZADOS!$A:$K,11,FALSE)="","",VLOOKUP(A2109,[14]PRIORIZADOS!$A:$K,11,FALSE)),"")</f>
        <v>SONIA CONSTANZA URREGO GONZÁLEZ</v>
      </c>
      <c r="L2109" s="11" t="str">
        <f>IFERROR(IF(VLOOKUP(A2109,[14]PRIORIZADOS!$A:$L,12,FALSE)="","",VLOOKUP(A2109,[14]PRIORIZADOS!$A:$L,12,FALSE)),"")</f>
        <v>ALBA DEL PILAR CUBIDES CÁCERES</v>
      </c>
      <c r="M2109" s="71">
        <f>IFERROR(IF(VLOOKUP(A2109,[14]PRIORIZADOS!$A:$M,13,FALSE)="","",VLOOKUP(A2109,[14]PRIORIZADOS!$A:$M,13,FALSE)),"")</f>
        <v>45818</v>
      </c>
      <c r="N2109" s="71">
        <f>IFERROR(IF(VLOOKUP(A2109,[14]PRIORIZADOS!$A:$N,14,FALSE)="","",VLOOKUP(A2109,[14]PRIORIZADOS!$A:$N,14,FALSE)),"")</f>
        <v>45818</v>
      </c>
      <c r="O2109" s="71">
        <f>IFERROR(IF(VLOOKUP(A2109,[14]PRIORIZADOS!$A:$O,15,FALSE)="","",VLOOKUP(A2109,[14]PRIORIZADOS!$A:$O,15,FALSE)),"")</f>
        <v>45818</v>
      </c>
      <c r="P2109" s="11" t="str">
        <f>IFERROR(IF(VLOOKUP(A2109,[14]PRIORIZADOS!$A:$P,16,FALSE)="","",VLOOKUP(A2109,[14]PRIORIZADOS!$A:$P,16,FALSE)),"")</f>
        <v>Visitas de evaluación con fines de seguimiento</v>
      </c>
      <c r="Q2109" s="2" t="s">
        <v>441</v>
      </c>
      <c r="R2109" s="11" t="str">
        <f>IFERROR(IF(VLOOKUP(A2109,[14]PRIORIZADOS!$A:$R,18,FALSE)="","",VLOOKUP(A2109,[14]PRIORIZADOS!$A:$R,18,FALSE)),"")</f>
        <v>Al momento de la visita se evidencia la congruencia entre lo consignado en el aplicativo EVI con la realidad institucional.</v>
      </c>
      <c r="S2109" s="11" t="str">
        <f>IFERROR(IF(VLOOKUP(A2109,[14]PRIORIZADOS!$A:$S,19,FALSE)="","",VLOOKUP(A2109,[14]PRIORIZADOS!$A:$S,19,FALSE)),"")</f>
        <v>Revisar los items en el aplicativo que requieran revisión y/o refuerzo, de acuerdo con la calificación dada.</v>
      </c>
      <c r="T2109" s="70" t="str">
        <f>IFERROR(IF(VLOOKUP(A2109,[14]PRIORIZADOS!$A:$T,20,FALSE)="","",VLOOKUP(A2109,[14]PRIORIZADOS!$A:$T,20,FALSE)),"")</f>
        <v>No</v>
      </c>
      <c r="U2109" s="11" t="str">
        <f>IFERROR(IF(VLOOKUP(A2109,[14]PRIORIZADOS!$A:$U,21,FALSE)="","",VLOOKUP(A2109,[14]PRIORIZADOS!$A:$U,21,FALSE)),"")</f>
        <v>Verificar las acciones de refuerzo realizadas por la institución, en pro de mejorar la calificación dada.</v>
      </c>
    </row>
    <row r="2110" spans="1:21" s="1" customFormat="1" ht="60">
      <c r="A2110" s="69">
        <f>IF([14]PRIORIZADOS!A157="","",[14]PRIORIZADOS!A157)</f>
        <v>2078</v>
      </c>
      <c r="B2110" s="70">
        <f>IFERROR(IF(VLOOKUP(A2110,[14]PRIORIZADOS!$A:$B,2,FALSE)="","",VLOOKUP(A2110,[14]PRIORIZADOS!$A:$B,2,FALSE)),"")</f>
        <v>17</v>
      </c>
      <c r="C2110" s="11" t="s">
        <v>424</v>
      </c>
      <c r="D2110" s="11" t="str">
        <f>IFERROR(IF(VLOOKUP(A2110,[14]PRIORIZADOS!$A:$D,4,FALSE)="","",VLOOKUP(A2110,[14]PRIORIZADOS!$A:$D,4,FALSE)),"")</f>
        <v>PRIVADO</v>
      </c>
      <c r="E2110" s="11" t="str">
        <f>IFERROR(IF(VLOOKUP(A2110,[14]PRIORIZADOS!$A:$E,5,FALSE)="","",VLOOKUP(A2110,[14]PRIORIZADOS!$A:$E,5,FALSE)),"")</f>
        <v>EPBM</v>
      </c>
      <c r="F2110" s="11" t="str">
        <f>IFERROR(IF(VLOOKUP(A2110,[14]PRIORIZADOS!$A:$F,6,FALSE)="","",VLOOKUP(A2110,[14]PRIORIZADOS!$A:$F,6,FALSE)),"")</f>
        <v>COLEGIO_NEIL_ARMSTRONG</v>
      </c>
      <c r="G2110" s="11" t="str">
        <f>IFERROR(IF(VLOOKUP(A2110,[14]PRIORIZADOS!$A:$G,7,FALSE)="","",VLOOKUP(A2110,[14]PRIORIZADOS!$A:$G,7,FALSE)),"")</f>
        <v>COLEGIO NEIL ARMSTRONG</v>
      </c>
      <c r="H2110" s="11" t="str">
        <f>IFERROR(IF(VLOOKUP(A2110,[14]PRIORIZADOS!$A:$H,8,FALSE)="","",VLOOKUP(A2110,[14]PRIORIZADOS!$A:$H,8,FALSE)),"")</f>
        <v>Autoevaluación Institucional y Pruebas SABER 11</v>
      </c>
      <c r="I2110" s="11" t="str">
        <f>IFERROR(IF(VLOOKUP(A2110,[14]PRIORIZADOS!$A:$I,9,FALSE)="","",VLOOKUP(A2110,[14]PRIORIZADOS!$A:$I,9,FALSE)),"")</f>
        <v>SEGUIMIENTO_Y_SUPERVISIÓN.</v>
      </c>
      <c r="J2110" s="11" t="str">
        <f>IFERROR(IF(VLOOKUP(A2110,[14]PRIORIZADOS!$A:$J,10,FALSE)="","",VLOOKUP(A2110,[14]PRIORIZADOS!$A:$J,10,FALSE)),"")</f>
        <v>Proponer estrategias en la formulación, verificar su elaboración y realizar seguimiento semestral al desarrollo de  las acciones establecidas en los planes de mejoramiento por pruebas SABER 11 de los establecimientos de educación formal.</v>
      </c>
      <c r="K2110" s="11" t="str">
        <f>IFERROR(IF(VLOOKUP(A2110,[14]PRIORIZADOS!$A:$K,11,FALSE)="","",VLOOKUP(A2110,[14]PRIORIZADOS!$A:$K,11,FALSE)),"")</f>
        <v>SONIA CONSTANZA URREGO GONZÁLEZ</v>
      </c>
      <c r="L2110" s="11" t="str">
        <f>IFERROR(IF(VLOOKUP(A2110,[14]PRIORIZADOS!$A:$L,12,FALSE)="","",VLOOKUP(A2110,[14]PRIORIZADOS!$A:$L,12,FALSE)),"")</f>
        <v>ALBA DEL PILAR CUBIDES CÁCERES</v>
      </c>
      <c r="M2110" s="71">
        <f>IFERROR(IF(VLOOKUP(A2110,[14]PRIORIZADOS!$A:$M,13,FALSE)="","",VLOOKUP(A2110,[14]PRIORIZADOS!$A:$M,13,FALSE)),"")</f>
        <v>45818</v>
      </c>
      <c r="N2110" s="71">
        <f>IFERROR(IF(VLOOKUP(A2110,[14]PRIORIZADOS!$A:$N,14,FALSE)="","",VLOOKUP(A2110,[14]PRIORIZADOS!$A:$N,14,FALSE)),"")</f>
        <v>45818</v>
      </c>
      <c r="O2110" s="71">
        <f>IFERROR(IF(VLOOKUP(A2110,[14]PRIORIZADOS!$A:$O,15,FALSE)="","",VLOOKUP(A2110,[14]PRIORIZADOS!$A:$O,15,FALSE)),"")</f>
        <v>45818</v>
      </c>
      <c r="P2110" s="11" t="str">
        <f>IFERROR(IF(VLOOKUP(A2110,[14]PRIORIZADOS!$A:$P,16,FALSE)="","",VLOOKUP(A2110,[14]PRIORIZADOS!$A:$P,16,FALSE)),"")</f>
        <v>Visitas de evaluación con fines de seguimiento</v>
      </c>
      <c r="Q2110" s="2" t="s">
        <v>441</v>
      </c>
      <c r="R2110" s="11" t="str">
        <f>IFERROR(IF(VLOOKUP(A2110,[14]PRIORIZADOS!$A:$R,18,FALSE)="","",VLOOKUP(A2110,[14]PRIORIZADOS!$A:$R,18,FALSE)),"")</f>
        <v>La institución educativa se encuentra clasificada en nivel A, no se ha realizado el análsis de los últimos resultados, ni se han creado estrtegias para subir el nivel en las pruebas.</v>
      </c>
      <c r="S2110" s="11" t="str">
        <f>IFERROR(IF(VLOOKUP(A2110,[14]PRIORIZADOS!$A:$S,19,FALSE)="","",VLOOKUP(A2110,[14]PRIORIZADOS!$A:$S,19,FALSE)),"")</f>
        <v xml:space="preserve">Revisar los resultados y la relación con las asignaturas del plan de estudio, analizando los resultados obtenidos  de los últimos años y elaborar un plan de mejoramiento sobre las acciones a tomar. </v>
      </c>
      <c r="T2110" s="70" t="str">
        <f>IFERROR(IF(VLOOKUP(A2110,[14]PRIORIZADOS!$A:$T,20,FALSE)="","",VLOOKUP(A2110,[14]PRIORIZADOS!$A:$T,20,FALSE)),"")</f>
        <v>Si</v>
      </c>
      <c r="U2110" s="11" t="str">
        <f>IFERROR(IF(VLOOKUP(A2110,[14]PRIORIZADOS!$A:$U,21,FALSE)="","",VLOOKUP(A2110,[14]PRIORIZADOS!$A:$U,21,FALSE)),"")</f>
        <v>Verificar el cumplimiento a las acciones implementadas por la institución en el PMI.</v>
      </c>
    </row>
    <row r="2111" spans="1:21" s="1" customFormat="1" ht="60">
      <c r="A2111" s="69">
        <f>IF([14]PRIORIZADOS!A158="","",[14]PRIORIZADOS!A158)</f>
        <v>2079</v>
      </c>
      <c r="B2111" s="70">
        <f>IFERROR(IF(VLOOKUP(A2111,[14]PRIORIZADOS!$A:$B,2,FALSE)="","",VLOOKUP(A2111,[14]PRIORIZADOS!$A:$B,2,FALSE)),"")</f>
        <v>17</v>
      </c>
      <c r="C2111" s="11" t="s">
        <v>424</v>
      </c>
      <c r="D2111" s="11" t="str">
        <f>IFERROR(IF(VLOOKUP(A2111,[14]PRIORIZADOS!$A:$D,4,FALSE)="","",VLOOKUP(A2111,[14]PRIORIZADOS!$A:$D,4,FALSE)),"")</f>
        <v>PRIVADO</v>
      </c>
      <c r="E2111" s="11" t="str">
        <f>IFERROR(IF(VLOOKUP(A2111,[14]PRIORIZADOS!$A:$E,5,FALSE)="","",VLOOKUP(A2111,[14]PRIORIZADOS!$A:$E,5,FALSE)),"")</f>
        <v>EPBM</v>
      </c>
      <c r="F2111" s="11" t="str">
        <f>IFERROR(IF(VLOOKUP(A2111,[14]PRIORIZADOS!$A:$F,6,FALSE)="","",VLOOKUP(A2111,[14]PRIORIZADOS!$A:$F,6,FALSE)),"")</f>
        <v>COLEGIO_NEIL_ARMSTRONG</v>
      </c>
      <c r="G2111" s="11" t="str">
        <f>IFERROR(IF(VLOOKUP(A2111,[14]PRIORIZADOS!$A:$G,7,FALSE)="","",VLOOKUP(A2111,[14]PRIORIZADOS!$A:$G,7,FALSE)),"")</f>
        <v>COLEGIO NEIL ARMSTRONG</v>
      </c>
      <c r="H2111" s="11" t="str">
        <f>IFERROR(IF(VLOOKUP(A2111,[14]PRIORIZADOS!$A:$H,8,FALSE)="","",VLOOKUP(A2111,[14]PRIORIZADOS!$A:$H,8,FALSE)),"")</f>
        <v>Autoevaluación Institucional y Pruebas SABER 11</v>
      </c>
      <c r="I2111" s="11" t="str">
        <f>IFERROR(IF(VLOOKUP(A2111,[14]PRIORIZADOS!$A:$I,9,FALSE)="","",VLOOKUP(A2111,[14]PRIORIZADOS!$A:$I,9,FALSE)),"")</f>
        <v>SEGUIMIENTO_Y_SUPERVISIÓN.</v>
      </c>
      <c r="J2111" s="11" t="str">
        <f>IFERROR(IF(VLOOKUP(A2111,[14]PRIORIZADOS!$A:$J,10,FALSE)="","",VLOOKUP(A2111,[14]PRIORIZADOS!$A:$J,10,FALSE)),"")</f>
        <v xml:space="preserve">Verificar la implementación por parte de los colegios, de acciones realizadas para la prevención y atención de las situaciones de convivencia en el entorno escolar, según lo establecido en la Directiva 01 de 2022 del MEN. </v>
      </c>
      <c r="K2111" s="11" t="str">
        <f>IFERROR(IF(VLOOKUP(A2111,[14]PRIORIZADOS!$A:$K,11,FALSE)="","",VLOOKUP(A2111,[14]PRIORIZADOS!$A:$K,11,FALSE)),"")</f>
        <v>SONIA CONSTANZA URREGO GONZÁLEZ</v>
      </c>
      <c r="L2111" s="11" t="str">
        <f>IFERROR(IF(VLOOKUP(A2111,[14]PRIORIZADOS!$A:$L,12,FALSE)="","",VLOOKUP(A2111,[14]PRIORIZADOS!$A:$L,12,FALSE)),"")</f>
        <v>ALBA DEL PILAR CUBIDES CÁCERES</v>
      </c>
      <c r="M2111" s="71">
        <f>IFERROR(IF(VLOOKUP(A2111,[14]PRIORIZADOS!$A:$M,13,FALSE)="","",VLOOKUP(A2111,[14]PRIORIZADOS!$A:$M,13,FALSE)),"")</f>
        <v>45818</v>
      </c>
      <c r="N2111" s="71">
        <f>IFERROR(IF(VLOOKUP(A2111,[14]PRIORIZADOS!$A:$N,14,FALSE)="","",VLOOKUP(A2111,[14]PRIORIZADOS!$A:$N,14,FALSE)),"")</f>
        <v>45818</v>
      </c>
      <c r="O2111" s="71">
        <f>IFERROR(IF(VLOOKUP(A2111,[14]PRIORIZADOS!$A:$O,15,FALSE)="","",VLOOKUP(A2111,[14]PRIORIZADOS!$A:$O,15,FALSE)),"")</f>
        <v>45818</v>
      </c>
      <c r="P2111" s="11" t="str">
        <f>IFERROR(IF(VLOOKUP(A2111,[14]PRIORIZADOS!$A:$P,16,FALSE)="","",VLOOKUP(A2111,[14]PRIORIZADOS!$A:$P,16,FALSE)),"")</f>
        <v>Visitas de evaluación con fines de seguimiento</v>
      </c>
      <c r="Q2111" s="2" t="s">
        <v>441</v>
      </c>
      <c r="R2111" s="11" t="str">
        <f>IFERROR(IF(VLOOKUP(A2111,[14]PRIORIZADOS!$A:$R,18,FALSE)="","",VLOOKUP(A2111,[14]PRIORIZADOS!$A:$R,18,FALSE)),"")</f>
        <v>Se encontró que cuenta  con la consulta actualizada de inhabilidades por delitos sexuales para la mayoria de los trabajadores.</v>
      </c>
      <c r="S2111" s="11" t="str">
        <f>IFERROR(IF(VLOOKUP(A2111,[14]PRIORIZADOS!$A:$S,19,FALSE)="","",VLOOKUP(A2111,[14]PRIORIZADOS!$A:$S,19,FALSE)),"")</f>
        <v xml:space="preserve">Actualizar la consulta de los trabajadores faltantes y realizar la consulta de todos y cada uno de los trabajadores cada 4 meses, dejando el respectivo soporte, en cumplimiento de la Directiva 01 de 2022  </v>
      </c>
      <c r="T2111" s="70" t="str">
        <f>IFERROR(IF(VLOOKUP(A2111,[14]PRIORIZADOS!$A:$T,20,FALSE)="","",VLOOKUP(A2111,[14]PRIORIZADOS!$A:$T,20,FALSE)),"")</f>
        <v>No</v>
      </c>
      <c r="U2111" s="11" t="str">
        <f>IFERROR(IF(VLOOKUP(A2111,[14]PRIORIZADOS!$A:$U,21,FALSE)="","",VLOOKUP(A2111,[14]PRIORIZADOS!$A:$U,21,FALSE)),"")</f>
        <v>Verificar que la consulta periodica se realiza de acuerdo con lo establecido en la directiva 01 del 2022 y revizar que se realicen los reportes a que haya lugar en el sistema  de alertas.</v>
      </c>
    </row>
    <row r="2112" spans="1:21" s="1" customFormat="1" ht="72">
      <c r="A2112" s="69">
        <f>IF([14]PRIORIZADOS!A159="","",[14]PRIORIZADOS!A159)</f>
        <v>2080</v>
      </c>
      <c r="B2112" s="70">
        <f>IFERROR(IF(VLOOKUP(A2112,[14]PRIORIZADOS!$A:$B,2,FALSE)="","",VLOOKUP(A2112,[14]PRIORIZADOS!$A:$B,2,FALSE)),"")</f>
        <v>17</v>
      </c>
      <c r="C2112" s="11" t="s">
        <v>424</v>
      </c>
      <c r="D2112" s="11" t="str">
        <f>IFERROR(IF(VLOOKUP(A2112,[14]PRIORIZADOS!$A:$D,4,FALSE)="","",VLOOKUP(A2112,[14]PRIORIZADOS!$A:$D,4,FALSE)),"")</f>
        <v>PRIVADO</v>
      </c>
      <c r="E2112" s="11" t="str">
        <f>IFERROR(IF(VLOOKUP(A2112,[14]PRIORIZADOS!$A:$E,5,FALSE)="","",VLOOKUP(A2112,[14]PRIORIZADOS!$A:$E,5,FALSE)),"")</f>
        <v>EPBM</v>
      </c>
      <c r="F2112" s="11" t="str">
        <f>IFERROR(IF(VLOOKUP(A2112,[14]PRIORIZADOS!$A:$F,6,FALSE)="","",VLOOKUP(A2112,[14]PRIORIZADOS!$A:$F,6,FALSE)),"")</f>
        <v>COLEGIO_NEIL_ARMSTRONG</v>
      </c>
      <c r="G2112" s="11" t="str">
        <f>IFERROR(IF(VLOOKUP(A2112,[14]PRIORIZADOS!$A:$G,7,FALSE)="","",VLOOKUP(A2112,[14]PRIORIZADOS!$A:$G,7,FALSE)),"")</f>
        <v>COLEGIO NEIL ARMSTRONG</v>
      </c>
      <c r="H2112" s="11" t="str">
        <f>IFERROR(IF(VLOOKUP(A2112,[14]PRIORIZADOS!$A:$H,8,FALSE)="","",VLOOKUP(A2112,[14]PRIORIZADOS!$A:$H,8,FALSE)),"")</f>
        <v>Autoevaluación Institucional y Pruebas SABER 11</v>
      </c>
      <c r="I2112" s="11" t="str">
        <f>IFERROR(IF(VLOOKUP(A2112,[14]PRIORIZADOS!$A:$I,9,FALSE)="","",VLOOKUP(A2112,[14]PRIORIZADOS!$A:$I,9,FALSE)),"")</f>
        <v>SEGUIMIENTO_Y_SUPERVISIÓN.</v>
      </c>
      <c r="J2112" s="11" t="str">
        <f>IFERROR(IF(VLOOKUP(A2112,[14]PRIORIZADOS!$A:$J,10,FALSE)="","",VLOOKUP(A2112,[14]PRIORIZADOS!$A:$J,10,FALSE)),"")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12" s="11" t="str">
        <f>IFERROR(IF(VLOOKUP(A2112,[14]PRIORIZADOS!$A:$K,11,FALSE)="","",VLOOKUP(A2112,[14]PRIORIZADOS!$A:$K,11,FALSE)),"")</f>
        <v>SONIA CONSTANZA URREGO GONZÁLEZ</v>
      </c>
      <c r="L2112" s="11" t="str">
        <f>IFERROR(IF(VLOOKUP(A2112,[14]PRIORIZADOS!$A:$L,12,FALSE)="","",VLOOKUP(A2112,[14]PRIORIZADOS!$A:$L,12,FALSE)),"")</f>
        <v>ALBA DEL PILAR CUBIDES CÁCERES</v>
      </c>
      <c r="M2112" s="71">
        <f>IFERROR(IF(VLOOKUP(A2112,[14]PRIORIZADOS!$A:$M,13,FALSE)="","",VLOOKUP(A2112,[14]PRIORIZADOS!$A:$M,13,FALSE)),"")</f>
        <v>45818</v>
      </c>
      <c r="N2112" s="71">
        <f>IFERROR(IF(VLOOKUP(A2112,[14]PRIORIZADOS!$A:$N,14,FALSE)="","",VLOOKUP(A2112,[14]PRIORIZADOS!$A:$N,14,FALSE)),"")</f>
        <v>45818</v>
      </c>
      <c r="O2112" s="71">
        <f>IFERROR(IF(VLOOKUP(A2112,[14]PRIORIZADOS!$A:$O,15,FALSE)="","",VLOOKUP(A2112,[14]PRIORIZADOS!$A:$O,15,FALSE)),"")</f>
        <v>45818</v>
      </c>
      <c r="P2112" s="11" t="str">
        <f>IFERROR(IF(VLOOKUP(A2112,[14]PRIORIZADOS!$A:$P,16,FALSE)="","",VLOOKUP(A2112,[14]PRIORIZADOS!$A:$P,16,FALSE)),"")</f>
        <v>Visitas de evaluación con fines de seguimiento</v>
      </c>
      <c r="Q2112" s="2" t="s">
        <v>441</v>
      </c>
      <c r="R2112" s="11" t="str">
        <f>IFERROR(IF(VLOOKUP(A2112,[14]PRIORIZADOS!$A:$R,18,FALSE)="","",VLOOKUP(A2112,[14]PRIORIZADOS!$A:$R,18,FALSE)),"")</f>
        <v>Se encontraron carpetas incompletas de la caracterización y PIAR para los estudiantes que lo requieren y que permiten determinar las discapacidades y acciones a realizar con cada estudiante.</v>
      </c>
      <c r="S2112" s="11" t="str">
        <f>IFERROR(IF(VLOOKUP(A2112,[14]PRIORIZADOS!$A:$S,19,FALSE)="","",VLOOKUP(A2112,[14]PRIORIZADOS!$A:$S,19,FALSE)),"")</f>
        <v>Realizar los ajustes, acorde a las necesidades del estudiante.</v>
      </c>
      <c r="T2112" s="70" t="str">
        <f>IFERROR(IF(VLOOKUP(A2112,[14]PRIORIZADOS!$A:$T,20,FALSE)="","",VLOOKUP(A2112,[14]PRIORIZADOS!$A:$T,20,FALSE)),"")</f>
        <v>Si</v>
      </c>
      <c r="U2112" s="11" t="str">
        <f>IFERROR(IF(VLOOKUP(A2112,[14]PRIORIZADOS!$A:$U,21,FALSE)="","",VLOOKUP(A2112,[14]PRIORIZADOS!$A:$U,21,FALSE)),"")</f>
        <v>Revisión de carpetas PIAR y los ajustes realizados, acorde a lo reportado por los docentes.</v>
      </c>
    </row>
    <row r="2113" spans="1:21" s="1" customFormat="1" ht="84">
      <c r="A2113" s="69">
        <f>IF([14]PRIORIZADOS!A160="","",[14]PRIORIZADOS!A160)</f>
        <v>2081</v>
      </c>
      <c r="B2113" s="70">
        <f>IFERROR(IF(VLOOKUP(A2113,[14]PRIORIZADOS!$A:$B,2,FALSE)="","",VLOOKUP(A2113,[14]PRIORIZADOS!$A:$B,2,FALSE)),"")</f>
        <v>17</v>
      </c>
      <c r="C2113" s="11" t="s">
        <v>424</v>
      </c>
      <c r="D2113" s="11" t="str">
        <f>IFERROR(IF(VLOOKUP(A2113,[14]PRIORIZADOS!$A:$D,4,FALSE)="","",VLOOKUP(A2113,[14]PRIORIZADOS!$A:$D,4,FALSE)),"")</f>
        <v>PRIVADO</v>
      </c>
      <c r="E2113" s="11" t="str">
        <f>IFERROR(IF(VLOOKUP(A2113,[14]PRIORIZADOS!$A:$E,5,FALSE)="","",VLOOKUP(A2113,[14]PRIORIZADOS!$A:$E,5,FALSE)),"")</f>
        <v>EPBM</v>
      </c>
      <c r="F2113" s="11" t="str">
        <f>IFERROR(IF(VLOOKUP(A2113,[14]PRIORIZADOS!$A:$F,6,FALSE)="","",VLOOKUP(A2113,[14]PRIORIZADOS!$A:$F,6,FALSE)),"")</f>
        <v>COLEGIO_NEIL_ARMSTRONG</v>
      </c>
      <c r="G2113" s="11" t="str">
        <f>IFERROR(IF(VLOOKUP(A2113,[14]PRIORIZADOS!$A:$G,7,FALSE)="","",VLOOKUP(A2113,[14]PRIORIZADOS!$A:$G,7,FALSE)),"")</f>
        <v>COLEGIO NEIL ARMSTRONG</v>
      </c>
      <c r="H2113" s="11" t="str">
        <f>IFERROR(IF(VLOOKUP(A2113,[14]PRIORIZADOS!$A:$H,8,FALSE)="","",VLOOKUP(A2113,[14]PRIORIZADOS!$A:$H,8,FALSE)),"")</f>
        <v>Autoevaluación Institucional y Pruebas SABER 11</v>
      </c>
      <c r="I2113" s="11" t="str">
        <f>IFERROR(IF(VLOOKUP(A2113,[14]PRIORIZADOS!$A:$I,9,FALSE)="","",VLOOKUP(A2113,[14]PRIORIZADOS!$A:$I,9,FALSE)),"")</f>
        <v>EVALUACIÓN_CON_FINES_DE_MEJORAMIENTO.</v>
      </c>
      <c r="J2113" s="11" t="str">
        <f>IFERROR(IF(VLOOKUP(A2113,[14]PRIORIZADOS!$A:$J,10,FALSE)="","",VLOOKUP(A2113,[14]PRIORIZADOS!$A:$J,10,FALSE)),"")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13" s="11" t="str">
        <f>IFERROR(IF(VLOOKUP(A2113,[14]PRIORIZADOS!$A:$K,11,FALSE)="","",VLOOKUP(A2113,[14]PRIORIZADOS!$A:$K,11,FALSE)),"")</f>
        <v>SONIA CONSTANZA URREGO GONZÁLEZ</v>
      </c>
      <c r="L2113" s="11" t="str">
        <f>IFERROR(IF(VLOOKUP(A2113,[14]PRIORIZADOS!$A:$L,12,FALSE)="","",VLOOKUP(A2113,[14]PRIORIZADOS!$A:$L,12,FALSE)),"")</f>
        <v>ALBA DEL PILAR CUBIDES CÁCERES</v>
      </c>
      <c r="M2113" s="71">
        <f>IFERROR(IF(VLOOKUP(A2113,[14]PRIORIZADOS!$A:$M,13,FALSE)="","",VLOOKUP(A2113,[14]PRIORIZADOS!$A:$M,13,FALSE)),"")</f>
        <v>45818</v>
      </c>
      <c r="N2113" s="71">
        <f>IFERROR(IF(VLOOKUP(A2113,[14]PRIORIZADOS!$A:$N,14,FALSE)="","",VLOOKUP(A2113,[14]PRIORIZADOS!$A:$N,14,FALSE)),"")</f>
        <v>45818</v>
      </c>
      <c r="O2113" s="71">
        <f>IFERROR(IF(VLOOKUP(A2113,[14]PRIORIZADOS!$A:$O,15,FALSE)="","",VLOOKUP(A2113,[14]PRIORIZADOS!$A:$O,15,FALSE)),"")</f>
        <v>45818</v>
      </c>
      <c r="P2113" s="11" t="str">
        <f>IFERROR(IF(VLOOKUP(A2113,[14]PRIORIZADOS!$A:$P,16,FALSE)="","",VLOOKUP(A2113,[14]PRIORIZADOS!$A:$P,16,FALSE)),"")</f>
        <v>Visitas de evaluación con fines de mejoramiento</v>
      </c>
      <c r="Q2113" s="2" t="s">
        <v>441</v>
      </c>
      <c r="R2113" s="11" t="str">
        <f>IFERROR(IF(VLOOKUP(A2113,[14]PRIORIZADOS!$A:$R,18,FALSE)="","",VLOOKUP(A2113,[14]PRIORIZADOS!$A:$R,18,FALSE)),"")</f>
        <v>Se encontró que la última actualización es de noviembre del año 2024 y será sujeto de revisión por parte del ELIV.</v>
      </c>
      <c r="S2113" s="11" t="str">
        <f>IFERROR(IF(VLOOKUP(A2113,[14]PRIORIZADOS!$A:$S,19,FALSE)="","",VLOOKUP(A2113,[14]PRIORIZADOS!$A:$S,19,FALSE)),"")</f>
        <v xml:space="preserve">Hacer seguimiento constante a la necesidad de actualizar el manual de convivencia según la normatividad vigente. </v>
      </c>
      <c r="T2113" s="70" t="str">
        <f>IFERROR(IF(VLOOKUP(A2113,[14]PRIORIZADOS!$A:$T,20,FALSE)="","",VLOOKUP(A2113,[14]PRIORIZADOS!$A:$T,20,FALSE)),"")</f>
        <v>No</v>
      </c>
      <c r="U2113" s="11" t="str">
        <f>IFERROR(IF(VLOOKUP(A2113,[14]PRIORIZADOS!$A:$U,21,FALSE)="","",VLOOKUP(A2113,[14]PRIORIZADOS!$A:$U,21,FALSE)),"")</f>
        <v>Revisar los ajustes al Manual, acorde a las observaciones realizadas por parte del ELIV, así como su socialización.</v>
      </c>
    </row>
    <row r="2114" spans="1:21" s="1" customFormat="1" ht="48">
      <c r="A2114" s="69">
        <f>IF([14]PRIORIZADOS!A161="","",[14]PRIORIZADOS!A161)</f>
        <v>2082</v>
      </c>
      <c r="B2114" s="70">
        <f>IFERROR(IF(VLOOKUP(A2114,[14]PRIORIZADOS!$A:$B,2,FALSE)="","",VLOOKUP(A2114,[14]PRIORIZADOS!$A:$B,2,FALSE)),"")</f>
        <v>17</v>
      </c>
      <c r="C2114" s="11" t="s">
        <v>424</v>
      </c>
      <c r="D2114" s="11" t="str">
        <f>IFERROR(IF(VLOOKUP(A2114,[14]PRIORIZADOS!$A:$D,4,FALSE)="","",VLOOKUP(A2114,[14]PRIORIZADOS!$A:$D,4,FALSE)),"")</f>
        <v>PRIVADO</v>
      </c>
      <c r="E2114" s="11" t="str">
        <f>IFERROR(IF(VLOOKUP(A2114,[14]PRIORIZADOS!$A:$E,5,FALSE)="","",VLOOKUP(A2114,[14]PRIORIZADOS!$A:$E,5,FALSE)),"")</f>
        <v>EPBM</v>
      </c>
      <c r="F2114" s="11" t="str">
        <f>IFERROR(IF(VLOOKUP(A2114,[14]PRIORIZADOS!$A:$F,6,FALSE)="","",VLOOKUP(A2114,[14]PRIORIZADOS!$A:$F,6,FALSE)),"")</f>
        <v>COLEGIO_NEIL_ARMSTRONG</v>
      </c>
      <c r="G2114" s="11" t="str">
        <f>IFERROR(IF(VLOOKUP(A2114,[14]PRIORIZADOS!$A:$G,7,FALSE)="","",VLOOKUP(A2114,[14]PRIORIZADOS!$A:$G,7,FALSE)),"")</f>
        <v>COLEGIO NEIL ARMSTRONG</v>
      </c>
      <c r="H2114" s="11" t="str">
        <f>IFERROR(IF(VLOOKUP(A2114,[14]PRIORIZADOS!$A:$H,8,FALSE)="","",VLOOKUP(A2114,[14]PRIORIZADOS!$A:$H,8,FALSE)),"")</f>
        <v>Autoevaluación Institucional y Pruebas SABER 11</v>
      </c>
      <c r="I2114" s="11" t="str">
        <f>IFERROR(IF(VLOOKUP(A2114,[14]PRIORIZADOS!$A:$I,9,FALSE)="","",VLOOKUP(A2114,[14]PRIORIZADOS!$A:$I,9,FALSE)),"")</f>
        <v>EVALUACIÓN_CON_FINES_DE_MEJORAMIENTO.</v>
      </c>
      <c r="J2114" s="11" t="str">
        <f>IFERROR(IF(VLOOKUP(A2114,[14]PRIORIZADOS!$A:$J,10,FALSE)="","",VLOOKUP(A2114,[14]PRIORIZADOS!$A:$J,10,FALSE)),"")</f>
        <v>Revisar la actualización, socialización e implementación del Sistema Institucional de Evaluación de Estudiantes - SIEE, en articulación con la actualización del PEI y la normatividad vigente.</v>
      </c>
      <c r="K2114" s="11" t="str">
        <f>IFERROR(IF(VLOOKUP(A2114,[14]PRIORIZADOS!$A:$K,11,FALSE)="","",VLOOKUP(A2114,[14]PRIORIZADOS!$A:$K,11,FALSE)),"")</f>
        <v>SONIA CONSTANZA URREGO GONZÁLEZ</v>
      </c>
      <c r="L2114" s="11" t="str">
        <f>IFERROR(IF(VLOOKUP(A2114,[14]PRIORIZADOS!$A:$L,12,FALSE)="","",VLOOKUP(A2114,[14]PRIORIZADOS!$A:$L,12,FALSE)),"")</f>
        <v>ALBA DEL PILAR CUBIDES CÁCERES</v>
      </c>
      <c r="M2114" s="71">
        <f>IFERROR(IF(VLOOKUP(A2114,[14]PRIORIZADOS!$A:$M,13,FALSE)="","",VLOOKUP(A2114,[14]PRIORIZADOS!$A:$M,13,FALSE)),"")</f>
        <v>45818</v>
      </c>
      <c r="N2114" s="71">
        <f>IFERROR(IF(VLOOKUP(A2114,[14]PRIORIZADOS!$A:$N,14,FALSE)="","",VLOOKUP(A2114,[14]PRIORIZADOS!$A:$N,14,FALSE)),"")</f>
        <v>45818</v>
      </c>
      <c r="O2114" s="71">
        <f>IFERROR(IF(VLOOKUP(A2114,[14]PRIORIZADOS!$A:$O,15,FALSE)="","",VLOOKUP(A2114,[14]PRIORIZADOS!$A:$O,15,FALSE)),"")</f>
        <v>45818</v>
      </c>
      <c r="P2114" s="11" t="str">
        <f>IFERROR(IF(VLOOKUP(A2114,[14]PRIORIZADOS!$A:$P,16,FALSE)="","",VLOOKUP(A2114,[14]PRIORIZADOS!$A:$P,16,FALSE)),"")</f>
        <v>Visitas de evaluación con fines de mejoramiento</v>
      </c>
      <c r="Q2114" s="2" t="s">
        <v>441</v>
      </c>
      <c r="R2114" s="11" t="str">
        <f>IFERROR(IF(VLOOKUP(A2114,[14]PRIORIZADOS!$A:$R,18,FALSE)="","",VLOOKUP(A2114,[14]PRIORIZADOS!$A:$R,18,FALSE)),"")</f>
        <v>Revisado el SIEE cuenta con los criterios de evaluación y promoción y  escala valorativa.</v>
      </c>
      <c r="S2114" s="11" t="str">
        <f>IFERROR(IF(VLOOKUP(A2114,[14]PRIORIZADOS!$A:$S,19,FALSE)="","",VLOOKUP(A2114,[14]PRIORIZADOS!$A:$S,19,FALSE)),"")</f>
        <v xml:space="preserve">Hacer seguimiento constante para determinar la necesidad de actualizar el SIEE. </v>
      </c>
      <c r="T2114" s="70" t="str">
        <f>IFERROR(IF(VLOOKUP(A2114,[14]PRIORIZADOS!$A:$T,20,FALSE)="","",VLOOKUP(A2114,[14]PRIORIZADOS!$A:$T,20,FALSE)),"")</f>
        <v>No</v>
      </c>
      <c r="U2114" s="11" t="str">
        <f>IFERROR(IF(VLOOKUP(A2114,[14]PRIORIZADOS!$A:$U,21,FALSE)="","",VLOOKUP(A2114,[14]PRIORIZADOS!$A:$U,21,FALSE)),"")</f>
        <v>Verificar que exista o no la necesidad de actualización del SIEE.</v>
      </c>
    </row>
    <row r="2115" spans="1:21" s="1" customFormat="1" ht="60">
      <c r="A2115" s="69">
        <f>IF([14]PRIORIZADOS!A162="","",[14]PRIORIZADOS!A162)</f>
        <v>2083</v>
      </c>
      <c r="B2115" s="70">
        <f>IFERROR(IF(VLOOKUP(A2115,[14]PRIORIZADOS!$A:$B,2,FALSE)="","",VLOOKUP(A2115,[14]PRIORIZADOS!$A:$B,2,FALSE)),"")</f>
        <v>17</v>
      </c>
      <c r="C2115" s="11" t="s">
        <v>424</v>
      </c>
      <c r="D2115" s="11" t="str">
        <f>IFERROR(IF(VLOOKUP(A2115,[14]PRIORIZADOS!$A:$D,4,FALSE)="","",VLOOKUP(A2115,[14]PRIORIZADOS!$A:$D,4,FALSE)),"")</f>
        <v>PRIVADO</v>
      </c>
      <c r="E2115" s="11" t="str">
        <f>IFERROR(IF(VLOOKUP(A2115,[14]PRIORIZADOS!$A:$E,5,FALSE)="","",VLOOKUP(A2115,[14]PRIORIZADOS!$A:$E,5,FALSE)),"")</f>
        <v>EPBM</v>
      </c>
      <c r="F2115" s="11" t="str">
        <f>IFERROR(IF(VLOOKUP(A2115,[14]PRIORIZADOS!$A:$F,6,FALSE)="","",VLOOKUP(A2115,[14]PRIORIZADOS!$A:$F,6,FALSE)),"")</f>
        <v>COLEGIO_NEIL_ARMSTRONG</v>
      </c>
      <c r="G2115" s="11" t="str">
        <f>IFERROR(IF(VLOOKUP(A2115,[14]PRIORIZADOS!$A:$G,7,FALSE)="","",VLOOKUP(A2115,[14]PRIORIZADOS!$A:$G,7,FALSE)),"")</f>
        <v>COLEGIO NEIL ARMSTRONG</v>
      </c>
      <c r="H2115" s="11" t="str">
        <f>IFERROR(IF(VLOOKUP(A2115,[14]PRIORIZADOS!$A:$H,8,FALSE)="","",VLOOKUP(A2115,[14]PRIORIZADOS!$A:$H,8,FALSE)),"")</f>
        <v>Autoevaluación Institucional y Pruebas SABER 11</v>
      </c>
      <c r="I2115" s="11" t="str">
        <f>IFERROR(IF(VLOOKUP(A2115,[14]PRIORIZADOS!$A:$I,9,FALSE)="","",VLOOKUP(A2115,[14]PRIORIZADOS!$A:$I,9,FALSE)),"")</f>
        <v>EVALUACIÓN_CON_FINES_DE_MEJORAMIENTO.</v>
      </c>
      <c r="J2115" s="11" t="str">
        <f>IFERROR(IF(VLOOKUP(A2115,[14]PRIORIZADOS!$A:$J,10,FALSE)="","",VLOOKUP(A2115,[14]PRIORIZADOS!$A:$J,10,FALSE)),"")</f>
        <v>Revisar el calendario escolar, jornada escolar, la intensidad horaria mínima anual en cada nivel y las modificaciones que se realicen al mismo, de acuerdo con lo previsto en la normatividad vigente.</v>
      </c>
      <c r="K2115" s="11" t="str">
        <f>IFERROR(IF(VLOOKUP(A2115,[14]PRIORIZADOS!$A:$K,11,FALSE)="","",VLOOKUP(A2115,[14]PRIORIZADOS!$A:$K,11,FALSE)),"")</f>
        <v>SONIA CONSTANZA URREGO GONZÁLEZ</v>
      </c>
      <c r="L2115" s="11" t="str">
        <f>IFERROR(IF(VLOOKUP(A2115,[14]PRIORIZADOS!$A:$L,12,FALSE)="","",VLOOKUP(A2115,[14]PRIORIZADOS!$A:$L,12,FALSE)),"")</f>
        <v>ALBA DEL PILAR CUBIDES CÁCERES</v>
      </c>
      <c r="M2115" s="71">
        <f>IFERROR(IF(VLOOKUP(A2115,[14]PRIORIZADOS!$A:$M,13,FALSE)="","",VLOOKUP(A2115,[14]PRIORIZADOS!$A:$M,13,FALSE)),"")</f>
        <v>45818</v>
      </c>
      <c r="N2115" s="71">
        <f>IFERROR(IF(VLOOKUP(A2115,[14]PRIORIZADOS!$A:$N,14,FALSE)="","",VLOOKUP(A2115,[14]PRIORIZADOS!$A:$N,14,FALSE)),"")</f>
        <v>45818</v>
      </c>
      <c r="O2115" s="71">
        <f>IFERROR(IF(VLOOKUP(A2115,[14]PRIORIZADOS!$A:$O,15,FALSE)="","",VLOOKUP(A2115,[14]PRIORIZADOS!$A:$O,15,FALSE)),"")</f>
        <v>45818</v>
      </c>
      <c r="P2115" s="11" t="str">
        <f>IFERROR(IF(VLOOKUP(A2115,[14]PRIORIZADOS!$A:$P,16,FALSE)="","",VLOOKUP(A2115,[14]PRIORIZADOS!$A:$P,16,FALSE)),"")</f>
        <v>Visitas de evaluación con fines de mejoramiento</v>
      </c>
      <c r="Q2115" s="2" t="s">
        <v>441</v>
      </c>
      <c r="R2115" s="11" t="str">
        <f>IFERROR(IF(VLOOKUP(A2115,[14]PRIORIZADOS!$A:$R,18,FALSE)="","",VLOOKUP(A2115,[14]PRIORIZADOS!$A:$R,18,FALSE)),"")</f>
        <v>Cumple con el número de semanas y horas por cada nivel y realizó reporte de información del calendario escolar. El reporte a la SED no se encuentra firmado por rectoria.</v>
      </c>
      <c r="S2115" s="11" t="str">
        <f>IFERROR(IF(VLOOKUP(A2115,[14]PRIORIZADOS!$A:$S,19,FALSE)="","",VLOOKUP(A2115,[14]PRIORIZADOS!$A:$S,19,FALSE)),"")</f>
        <v xml:space="preserve">Continuar con el cumplimiento del calendario.  </v>
      </c>
      <c r="T2115" s="70" t="str">
        <f>IFERROR(IF(VLOOKUP(A2115,[14]PRIORIZADOS!$A:$T,20,FALSE)="","",VLOOKUP(A2115,[14]PRIORIZADOS!$A:$T,20,FALSE)),"")</f>
        <v>No</v>
      </c>
      <c r="U2115" s="11" t="str">
        <f>IFERROR(IF(VLOOKUP(A2115,[14]PRIORIZADOS!$A:$U,21,FALSE)="","",VLOOKUP(A2115,[14]PRIORIZADOS!$A:$U,21,FALSE)),"")</f>
        <v>Seguimiento al cumplimiento del calendario escolar.</v>
      </c>
    </row>
    <row r="2116" spans="1:21" s="1" customFormat="1" ht="60">
      <c r="A2116" s="69">
        <f>IF([14]PRIORIZADOS!A163="","",[14]PRIORIZADOS!A163)</f>
        <v>2084</v>
      </c>
      <c r="B2116" s="70">
        <f>IFERROR(IF(VLOOKUP(A2116,[14]PRIORIZADOS!$A:$B,2,FALSE)="","",VLOOKUP(A2116,[14]PRIORIZADOS!$A:$B,2,FALSE)),"")</f>
        <v>17</v>
      </c>
      <c r="C2116" s="11" t="s">
        <v>424</v>
      </c>
      <c r="D2116" s="11" t="str">
        <f>IFERROR(IF(VLOOKUP(A2116,[14]PRIORIZADOS!$A:$D,4,FALSE)="","",VLOOKUP(A2116,[14]PRIORIZADOS!$A:$D,4,FALSE)),"")</f>
        <v>PRIVADO</v>
      </c>
      <c r="E2116" s="11" t="str">
        <f>IFERROR(IF(VLOOKUP(A2116,[14]PRIORIZADOS!$A:$E,5,FALSE)="","",VLOOKUP(A2116,[14]PRIORIZADOS!$A:$E,5,FALSE)),"")</f>
        <v>EPBM</v>
      </c>
      <c r="F2116" s="11" t="str">
        <f>IFERROR(IF(VLOOKUP(A2116,[14]PRIORIZADOS!$A:$F,6,FALSE)="","",VLOOKUP(A2116,[14]PRIORIZADOS!$A:$F,6,FALSE)),"")</f>
        <v>COLEGIO_NEIL_ARMSTRONG</v>
      </c>
      <c r="G2116" s="11" t="str">
        <f>IFERROR(IF(VLOOKUP(A2116,[14]PRIORIZADOS!$A:$G,7,FALSE)="","",VLOOKUP(A2116,[14]PRIORIZADOS!$A:$G,7,FALSE)),"")</f>
        <v>COLEGIO NEIL ARMSTRONG</v>
      </c>
      <c r="H2116" s="11" t="str">
        <f>IFERROR(IF(VLOOKUP(A2116,[14]PRIORIZADOS!$A:$H,8,FALSE)="","",VLOOKUP(A2116,[14]PRIORIZADOS!$A:$H,8,FALSE)),"")</f>
        <v>Autoevaluación Institucional y Pruebas SABER 11</v>
      </c>
      <c r="I2116" s="11" t="str">
        <f>IFERROR(IF(VLOOKUP(A2116,[14]PRIORIZADOS!$A:$I,9,FALSE)="","",VLOOKUP(A2116,[14]PRIORIZADOS!$A:$I,9,FALSE)),"")</f>
        <v>EVALUACIÓN_CON_FINES_DE_MEJORAMIENTO.</v>
      </c>
      <c r="J2116" s="11" t="str">
        <f>IFERROR(IF(VLOOKUP(A2116,[14]PRIORIZADOS!$A:$J,10,FALSE)="","",VLOOKUP(A2116,[14]PRIORIZADOS!$A:$J,10,FALSE)),"")</f>
        <v>Verificar el funcionamiento del Gobierno Escolar e instancias de participación con base en la información sobre conformación reportada por la institución educativa.</v>
      </c>
      <c r="K2116" s="11" t="str">
        <f>IFERROR(IF(VLOOKUP(A2116,[14]PRIORIZADOS!$A:$K,11,FALSE)="","",VLOOKUP(A2116,[14]PRIORIZADOS!$A:$K,11,FALSE)),"")</f>
        <v>SONIA CONSTANZA URREGO GONZÁLEZ</v>
      </c>
      <c r="L2116" s="11" t="str">
        <f>IFERROR(IF(VLOOKUP(A2116,[14]PRIORIZADOS!$A:$L,12,FALSE)="","",VLOOKUP(A2116,[14]PRIORIZADOS!$A:$L,12,FALSE)),"")</f>
        <v>ALBA DEL PILAR CUBIDES CÁCERES</v>
      </c>
      <c r="M2116" s="71">
        <f>IFERROR(IF(VLOOKUP(A2116,[14]PRIORIZADOS!$A:$M,13,FALSE)="","",VLOOKUP(A2116,[14]PRIORIZADOS!$A:$M,13,FALSE)),"")</f>
        <v>45818</v>
      </c>
      <c r="N2116" s="71">
        <f>IFERROR(IF(VLOOKUP(A2116,[14]PRIORIZADOS!$A:$N,14,FALSE)="","",VLOOKUP(A2116,[14]PRIORIZADOS!$A:$N,14,FALSE)),"")</f>
        <v>45818</v>
      </c>
      <c r="O2116" s="71">
        <f>IFERROR(IF(VLOOKUP(A2116,[14]PRIORIZADOS!$A:$O,15,FALSE)="","",VLOOKUP(A2116,[14]PRIORIZADOS!$A:$O,15,FALSE)),"")</f>
        <v>45818</v>
      </c>
      <c r="P2116" s="11" t="str">
        <f>IFERROR(IF(VLOOKUP(A2116,[14]PRIORIZADOS!$A:$P,16,FALSE)="","",VLOOKUP(A2116,[14]PRIORIZADOS!$A:$P,16,FALSE)),"")</f>
        <v>Visitas de evaluación con fines de mejoramiento</v>
      </c>
      <c r="Q2116" s="2" t="s">
        <v>441</v>
      </c>
      <c r="R2116" s="11" t="str">
        <f>IFERROR(IF(VLOOKUP(A2116,[14]PRIORIZADOS!$A:$R,18,FALSE)="","",VLOOKUP(A2116,[14]PRIORIZADOS!$A:$R,18,FALSE)),"")</f>
        <v>Se conformó el gobierno escolar con reporte en el aplicativo SAE y se evidencian actas de reunión de los órganos de gobierno. El Consejo de Padres quedó mal cargado en SAE.</v>
      </c>
      <c r="S2116" s="11" t="str">
        <f>IFERROR(IF(VLOOKUP(A2116,[14]PRIORIZADOS!$A:$S,19,FALSE)="","",VLOOKUP(A2116,[14]PRIORIZADOS!$A:$S,19,FALSE)),"")</f>
        <v>Realizar las reuniones periodicas de cada uno de los estamentos de gobierno escolar, acorde con su reglamento. Allegar a la DLE el acta completa de los integrantes del Consejo de Padres.</v>
      </c>
      <c r="T2116" s="70" t="str">
        <f>IFERROR(IF(VLOOKUP(A2116,[14]PRIORIZADOS!$A:$T,20,FALSE)="","",VLOOKUP(A2116,[14]PRIORIZADOS!$A:$T,20,FALSE)),"")</f>
        <v>No</v>
      </c>
      <c r="U2116" s="11" t="str">
        <f>IFERROR(IF(VLOOKUP(A2116,[14]PRIORIZADOS!$A:$U,21,FALSE)="","",VLOOKUP(A2116,[14]PRIORIZADOS!$A:$U,21,FALSE)),"")</f>
        <v>Verificar el funcionamiento del Gobierno Escolar, a través de las  actas de reunión.</v>
      </c>
    </row>
    <row r="2117" spans="1:21" s="1" customFormat="1" ht="72">
      <c r="A2117" s="69">
        <f>IF([14]PRIORIZADOS!A164="","",[14]PRIORIZADOS!A164)</f>
        <v>2085</v>
      </c>
      <c r="B2117" s="70">
        <f>IFERROR(IF(VLOOKUP(A2117,[14]PRIORIZADOS!$A:$B,2,FALSE)="","",VLOOKUP(A2117,[14]PRIORIZADOS!$A:$B,2,FALSE)),"")</f>
        <v>17</v>
      </c>
      <c r="C2117" s="11" t="s">
        <v>424</v>
      </c>
      <c r="D2117" s="11" t="str">
        <f>IFERROR(IF(VLOOKUP(A2117,[14]PRIORIZADOS!$A:$D,4,FALSE)="","",VLOOKUP(A2117,[14]PRIORIZADOS!$A:$D,4,FALSE)),"")</f>
        <v>PRIVADO</v>
      </c>
      <c r="E2117" s="11" t="str">
        <f>IFERROR(IF(VLOOKUP(A2117,[14]PRIORIZADOS!$A:$E,5,FALSE)="","",VLOOKUP(A2117,[14]PRIORIZADOS!$A:$E,5,FALSE)),"")</f>
        <v>EPBM</v>
      </c>
      <c r="F2117" s="11" t="str">
        <f>IFERROR(IF(VLOOKUP(A2117,[14]PRIORIZADOS!$A:$F,6,FALSE)="","",VLOOKUP(A2117,[14]PRIORIZADOS!$A:$F,6,FALSE)),"")</f>
        <v>COLEGIO_NEIL_ARMSTRONG</v>
      </c>
      <c r="G2117" s="11" t="str">
        <f>IFERROR(IF(VLOOKUP(A2117,[14]PRIORIZADOS!$A:$G,7,FALSE)="","",VLOOKUP(A2117,[14]PRIORIZADOS!$A:$G,7,FALSE)),"")</f>
        <v>COLEGIO NEIL ARMSTRONG</v>
      </c>
      <c r="H2117" s="11" t="str">
        <f>IFERROR(IF(VLOOKUP(A2117,[14]PRIORIZADOS!$A:$H,8,FALSE)="","",VLOOKUP(A2117,[14]PRIORIZADOS!$A:$H,8,FALSE)),"")</f>
        <v>Autoevaluación Institucional y Pruebas SABER 11</v>
      </c>
      <c r="I2117" s="11" t="str">
        <f>IFERROR(IF(VLOOKUP(A2117,[14]PRIORIZADOS!$A:$I,9,FALSE)="","",VLOOKUP(A2117,[14]PRIORIZADOS!$A:$I,9,FALSE)),"")</f>
        <v>EVALUACIÓN_CON_FINES_DE_MEJORAMIENTO.</v>
      </c>
      <c r="J2117" s="11" t="str">
        <f>IFERROR(IF(VLOOKUP(A2117,[14]PRIORIZADOS!$A:$J,10,FALSE)="","",VLOOKUP(A2117,[14]PRIORIZADOS!$A:$J,10,FALSE)),"")</f>
        <v>Verificar las condiciones en cuanto a: la estructura administrativa, condiciones de la planta física y medios educativos adecuados.</v>
      </c>
      <c r="K2117" s="11" t="str">
        <f>IFERROR(IF(VLOOKUP(A2117,[14]PRIORIZADOS!$A:$K,11,FALSE)="","",VLOOKUP(A2117,[14]PRIORIZADOS!$A:$K,11,FALSE)),"")</f>
        <v>SONIA CONSTANZA URREGO GONZÁLEZ</v>
      </c>
      <c r="L2117" s="11" t="str">
        <f>IFERROR(IF(VLOOKUP(A2117,[14]PRIORIZADOS!$A:$L,12,FALSE)="","",VLOOKUP(A2117,[14]PRIORIZADOS!$A:$L,12,FALSE)),"")</f>
        <v>ALBA DEL PILAR CUBIDES CÁCERES</v>
      </c>
      <c r="M2117" s="71">
        <f>IFERROR(IF(VLOOKUP(A2117,[14]PRIORIZADOS!$A:$M,13,FALSE)="","",VLOOKUP(A2117,[14]PRIORIZADOS!$A:$M,13,FALSE)),"")</f>
        <v>45818</v>
      </c>
      <c r="N2117" s="71">
        <f>IFERROR(IF(VLOOKUP(A2117,[14]PRIORIZADOS!$A:$N,14,FALSE)="","",VLOOKUP(A2117,[14]PRIORIZADOS!$A:$N,14,FALSE)),"")</f>
        <v>45818</v>
      </c>
      <c r="O2117" s="71">
        <f>IFERROR(IF(VLOOKUP(A2117,[14]PRIORIZADOS!$A:$O,15,FALSE)="","",VLOOKUP(A2117,[14]PRIORIZADOS!$A:$O,15,FALSE)),"")</f>
        <v>45818</v>
      </c>
      <c r="P2117" s="11" t="str">
        <f>IFERROR(IF(VLOOKUP(A2117,[14]PRIORIZADOS!$A:$P,16,FALSE)="","",VLOOKUP(A2117,[14]PRIORIZADOS!$A:$P,16,FALSE)),"")</f>
        <v>Visitas de evaluación con fines de mejoramiento</v>
      </c>
      <c r="Q2117" s="2" t="s">
        <v>441</v>
      </c>
      <c r="R2117" s="11" t="str">
        <f>IFERROR(IF(VLOOKUP(A2117,[14]PRIORIZADOS!$A:$R,18,FALSE)="","",VLOOKUP(A2117,[14]PRIORIZADOS!$A:$R,18,FALSE)),"")</f>
        <v>Cuenta con espacios suficientes y dotados, amplios y adecuados, que generan bienestar y seguridad a los estudiantes. A pesar de no tener estudiantes con discapacidad física, no tienen espacios adecuados en caso de requerirlo. .</v>
      </c>
      <c r="S2117" s="11" t="str">
        <f>IFERROR(IF(VLOOKUP(A2117,[14]PRIORIZADOS!$A:$S,19,FALSE)="","",VLOOKUP(A2117,[14]PRIORIZADOS!$A:$S,19,FALSE)),"")</f>
        <v>Realizar adecuaciones minimas como rampas de acceso para el ingreso de personas con discapacidad física, entre otros.</v>
      </c>
      <c r="T2117" s="70" t="str">
        <f>IFERROR(IF(VLOOKUP(A2117,[14]PRIORIZADOS!$A:$T,20,FALSE)="","",VLOOKUP(A2117,[14]PRIORIZADOS!$A:$T,20,FALSE)),"")</f>
        <v>Si</v>
      </c>
      <c r="U2117" s="11" t="str">
        <f>IFERROR(IF(VLOOKUP(A2117,[14]PRIORIZADOS!$A:$U,21,FALSE)="","",VLOOKUP(A2117,[14]PRIORIZADOS!$A:$U,21,FALSE)),"")</f>
        <v>Verificar con registro fotográfico, los avances de acuerdo a los plazos registrados en el PMI</v>
      </c>
    </row>
    <row r="2118" spans="1:21" s="1" customFormat="1" ht="72">
      <c r="A2118" s="69">
        <f>IF([14]PRIORIZADOS!A165="","",[14]PRIORIZADOS!A165)</f>
        <v>2086</v>
      </c>
      <c r="B2118" s="70">
        <f>IFERROR(IF(VLOOKUP(A2118,[14]PRIORIZADOS!$A:$B,2,FALSE)="","",VLOOKUP(A2118,[14]PRIORIZADOS!$A:$B,2,FALSE)),"")</f>
        <v>18</v>
      </c>
      <c r="C2118" s="11" t="s">
        <v>424</v>
      </c>
      <c r="D2118" s="11" t="str">
        <f>IFERROR(IF(VLOOKUP(A2118,[14]PRIORIZADOS!$A:$D,4,FALSE)="","",VLOOKUP(A2118,[14]PRIORIZADOS!$A:$D,4,FALSE)),"")</f>
        <v>PRIVADO</v>
      </c>
      <c r="E2118" s="11" t="str">
        <f>IFERROR(IF(VLOOKUP(A2118,[14]PRIORIZADOS!$A:$E,5,FALSE)="","",VLOOKUP(A2118,[14]PRIORIZADOS!$A:$E,5,FALSE)),"")</f>
        <v>EPBM</v>
      </c>
      <c r="F2118" s="11" t="str">
        <f>IFERROR(IF(VLOOKUP(A2118,[14]PRIORIZADOS!$A:$F,6,FALSE)="","",VLOOKUP(A2118,[14]PRIORIZADOS!$A:$F,6,FALSE)),"")</f>
        <v>COLEGIO_REINA_DE_GALES</v>
      </c>
      <c r="G2118" s="11" t="str">
        <f>IFERROR(IF(VLOOKUP(A2118,[14]PRIORIZADOS!$A:$G,7,FALSE)="","",VLOOKUP(A2118,[14]PRIORIZADOS!$A:$G,7,FALSE)),"")</f>
        <v>COLEGIO REINA DE GALES</v>
      </c>
      <c r="H2118" s="11" t="str">
        <f>IFERROR(IF(VLOOKUP(A2118,[14]PRIORIZADOS!$A:$H,8,FALSE)="","",VLOOKUP(A2118,[14]PRIORIZADOS!$A:$H,8,FALSE)),"")</f>
        <v>Autoevaluación Institucional y Pruebas SABER 11</v>
      </c>
      <c r="I2118" s="11" t="str">
        <f>IFERROR(IF(VLOOKUP(A2118,[14]PRIORIZADOS!$A:$I,9,FALSE)="","",VLOOKUP(A2118,[14]PRIORIZADOS!$A:$I,9,FALSE)),"")</f>
        <v>SEGUIMIENTO_Y_SUPERVISIÓN.</v>
      </c>
      <c r="J2118" s="11" t="str">
        <f>IFERROR(IF(VLOOKUP(A2118,[14]PRIORIZADOS!$A:$J,10,FALSE)="","",VLOOKUP(A2118,[14]PRIORIZADOS!$A:$J,10,FALSE)),"")</f>
        <v>Realizar visitas para verificar la información registrada sobre la autoevaluación institucional en el aplicativo EVI, a los establecimientos de educación formal no oficial.</v>
      </c>
      <c r="K2118" s="11" t="str">
        <f>IFERROR(IF(VLOOKUP(A2118,[14]PRIORIZADOS!$A:$K,11,FALSE)="","",VLOOKUP(A2118,[14]PRIORIZADOS!$A:$K,11,FALSE)),"")</f>
        <v>MARTHA RUT SILVA ABRIL</v>
      </c>
      <c r="L2118" s="11" t="str">
        <f>IFERROR(IF(VLOOKUP(A2118,[14]PRIORIZADOS!$A:$L,12,FALSE)="","",VLOOKUP(A2118,[14]PRIORIZADOS!$A:$L,12,FALSE)),"")</f>
        <v>JUAN MANUEL SANCHEZ MORA</v>
      </c>
      <c r="M2118" s="71">
        <f>IFERROR(IF(VLOOKUP(A2118,[14]PRIORIZADOS!$A:$M,13,FALSE)="","",VLOOKUP(A2118,[14]PRIORIZADOS!$A:$M,13,FALSE)),"")</f>
        <v>45742</v>
      </c>
      <c r="N2118" s="71">
        <f>IFERROR(IF(VLOOKUP(A2118,[14]PRIORIZADOS!$A:$N,14,FALSE)="","",VLOOKUP(A2118,[14]PRIORIZADOS!$A:$N,14,FALSE)),"")</f>
        <v>45749</v>
      </c>
      <c r="O2118" s="71">
        <f>IFERROR(IF(VLOOKUP(A2118,[14]PRIORIZADOS!$A:$O,15,FALSE)="","",VLOOKUP(A2118,[14]PRIORIZADOS!$A:$O,15,FALSE)),"")</f>
        <v>45749</v>
      </c>
      <c r="P2118" s="11" t="str">
        <f>IFERROR(IF(VLOOKUP(A2118,[14]PRIORIZADOS!$A:$P,16,FALSE)="","",VLOOKUP(A2118,[14]PRIORIZADOS!$A:$P,16,FALSE)),"")</f>
        <v>Visitas de evaluación con fines de seguimiento</v>
      </c>
      <c r="Q2118" s="153" t="s">
        <v>442</v>
      </c>
      <c r="R2118" s="11" t="str">
        <f>IFERROR(IF(VLOOKUP(A2118,[14]PRIORIZADOS!$A:$R,18,FALSE)="","",VLOOKUP(A2118,[14]PRIORIZADOS!$A:$R,18,FALSE)),"")</f>
        <v>Se evidencio que la institucion diligenció la autoevaluacion en el aplicativo EVI, sin embargo, las areas construidas no corresponden con lo reportado, no cuentan con biblioteca, ni la cantidad de unidades sanitarias, entre otros aspectos.</v>
      </c>
      <c r="S2118" s="11" t="str">
        <f>IFERROR(IF(VLOOKUP(A2118,[14]PRIORIZADOS!$A:$S,19,FALSE)="","",VLOOKUP(A2118,[14]PRIORIZADOS!$A:$S,19,FALSE)),"")</f>
        <v>Reportar informacion segun la condiciones de la institucion, realizar ajustes en espacios pedagogicos y adecuacion de baños</v>
      </c>
      <c r="T2118" s="70" t="str">
        <f>IFERROR(IF(VLOOKUP(A2118,[14]PRIORIZADOS!$A:$T,20,FALSE)="","",VLOOKUP(A2118,[14]PRIORIZADOS!$A:$T,20,FALSE)),"")</f>
        <v>Si</v>
      </c>
      <c r="U2118" s="11" t="str">
        <f>IFERROR(IF(VLOOKUP(A2118,[14]PRIORIZADOS!$A:$U,21,FALSE)="","",VLOOKUP(A2118,[14]PRIORIZADOS!$A:$U,21,FALSE)),"")</f>
        <v>Verificar la formulación del plan de mejoramiento fijado para 9 de mayo de 2025</v>
      </c>
    </row>
    <row r="2119" spans="1:21" s="1" customFormat="1" ht="60">
      <c r="A2119" s="69">
        <f>IF([14]PRIORIZADOS!A166="","",[14]PRIORIZADOS!A166)</f>
        <v>2087</v>
      </c>
      <c r="B2119" s="70">
        <f>IFERROR(IF(VLOOKUP(A2119,[14]PRIORIZADOS!$A:$B,2,FALSE)="","",VLOOKUP(A2119,[14]PRIORIZADOS!$A:$B,2,FALSE)),"")</f>
        <v>18</v>
      </c>
      <c r="C2119" s="11" t="s">
        <v>424</v>
      </c>
      <c r="D2119" s="11" t="str">
        <f>IFERROR(IF(VLOOKUP(A2119,[14]PRIORIZADOS!$A:$D,4,FALSE)="","",VLOOKUP(A2119,[14]PRIORIZADOS!$A:$D,4,FALSE)),"")</f>
        <v>PRIVADO</v>
      </c>
      <c r="E2119" s="11" t="str">
        <f>IFERROR(IF(VLOOKUP(A2119,[14]PRIORIZADOS!$A:$E,5,FALSE)="","",VLOOKUP(A2119,[14]PRIORIZADOS!$A:$E,5,FALSE)),"")</f>
        <v>EPBM</v>
      </c>
      <c r="F2119" s="11" t="str">
        <f>IFERROR(IF(VLOOKUP(A2119,[14]PRIORIZADOS!$A:$F,6,FALSE)="","",VLOOKUP(A2119,[14]PRIORIZADOS!$A:$F,6,FALSE)),"")</f>
        <v>COLEGIO_REINA_DE_GALES</v>
      </c>
      <c r="G2119" s="11" t="str">
        <f>IFERROR(IF(VLOOKUP(A2119,[14]PRIORIZADOS!$A:$G,7,FALSE)="","",VLOOKUP(A2119,[14]PRIORIZADOS!$A:$G,7,FALSE)),"")</f>
        <v>COLEGIO REINA DE GALES</v>
      </c>
      <c r="H2119" s="11" t="str">
        <f>IFERROR(IF(VLOOKUP(A2119,[14]PRIORIZADOS!$A:$H,8,FALSE)="","",VLOOKUP(A2119,[14]PRIORIZADOS!$A:$H,8,FALSE)),"")</f>
        <v>Autoevaluación Institucional y Pruebas SABER 11</v>
      </c>
      <c r="I2119" s="11" t="str">
        <f>IFERROR(IF(VLOOKUP(A2119,[14]PRIORIZADOS!$A:$I,9,FALSE)="","",VLOOKUP(A2119,[14]PRIORIZADOS!$A:$I,9,FALSE)),"")</f>
        <v>SEGUIMIENTO_Y_SUPERVISIÓN.</v>
      </c>
      <c r="J2119" s="11" t="str">
        <f>IFERROR(IF(VLOOKUP(A2119,[14]PRIORIZADOS!$A:$J,10,FALSE)="","",VLOOKUP(A2119,[14]PRIORIZADOS!$A:$J,10,FALSE)),"")</f>
        <v>Proponer estrategias en la formulación, verificar su elaboración y realizar seguimiento semestral al desarrollo de  las acciones establecidas en los planes de mejoramiento por pruebas SABER 11 de los establecimientos de educación formal.</v>
      </c>
      <c r="K2119" s="11" t="str">
        <f>IFERROR(IF(VLOOKUP(A2119,[14]PRIORIZADOS!$A:$K,11,FALSE)="","",VLOOKUP(A2119,[14]PRIORIZADOS!$A:$K,11,FALSE)),"")</f>
        <v>MARTHA RUT SILVA ABRIL</v>
      </c>
      <c r="L2119" s="11" t="str">
        <f>IFERROR(IF(VLOOKUP(A2119,[14]PRIORIZADOS!$A:$L,12,FALSE)="","",VLOOKUP(A2119,[14]PRIORIZADOS!$A:$L,12,FALSE)),"")</f>
        <v>JUAN MANUEL SANCHEZ MORA</v>
      </c>
      <c r="M2119" s="71">
        <f>IFERROR(IF(VLOOKUP(A2119,[14]PRIORIZADOS!$A:$M,13,FALSE)="","",VLOOKUP(A2119,[14]PRIORIZADOS!$A:$M,13,FALSE)),"")</f>
        <v>45742</v>
      </c>
      <c r="N2119" s="71">
        <f>IFERROR(IF(VLOOKUP(A2119,[14]PRIORIZADOS!$A:$N,14,FALSE)="","",VLOOKUP(A2119,[14]PRIORIZADOS!$A:$N,14,FALSE)),"")</f>
        <v>45749</v>
      </c>
      <c r="O2119" s="71">
        <f>IFERROR(IF(VLOOKUP(A2119,[14]PRIORIZADOS!$A:$O,15,FALSE)="","",VLOOKUP(A2119,[14]PRIORIZADOS!$A:$O,15,FALSE)),"")</f>
        <v>45749</v>
      </c>
      <c r="P2119" s="11" t="str">
        <f>IFERROR(IF(VLOOKUP(A2119,[14]PRIORIZADOS!$A:$P,16,FALSE)="","",VLOOKUP(A2119,[14]PRIORIZADOS!$A:$P,16,FALSE)),"")</f>
        <v>Visitas de evaluación con fines de seguimiento</v>
      </c>
      <c r="Q2119" s="153" t="s">
        <v>442</v>
      </c>
      <c r="R2119" s="11" t="str">
        <f>IFERROR(IF(VLOOKUP(A2119,[14]PRIORIZADOS!$A:$R,18,FALSE)="","",VLOOKUP(A2119,[14]PRIORIZADOS!$A:$R,18,FALSE)),"")</f>
        <v>Se observó que no cuenta con   estrategias producto del análisis de los  los resultados de las pruebas SABER 11 e implementacion de acciones de seguimiento.</v>
      </c>
      <c r="S2119" s="11" t="str">
        <f>IFERROR(IF(VLOOKUP(A2119,[14]PRIORIZADOS!$A:$S,19,FALSE)="","",VLOOKUP(A2119,[14]PRIORIZADOS!$A:$S,19,FALSE)),"")</f>
        <v>Diseñar estrategias para la revision y analisis de los ultimos resultados de las Pruebas SABER, asi mismo,  en la  implementación de acciones de seguimiento.</v>
      </c>
      <c r="T2119" s="70" t="str">
        <f>IFERROR(IF(VLOOKUP(A2119,[14]PRIORIZADOS!$A:$T,20,FALSE)="","",VLOOKUP(A2119,[14]PRIORIZADOS!$A:$T,20,FALSE)),"")</f>
        <v>Si</v>
      </c>
      <c r="U2119" s="11" t="str">
        <f>IFERROR(IF(VLOOKUP(A2119,[14]PRIORIZADOS!$A:$U,21,FALSE)="","",VLOOKUP(A2119,[14]PRIORIZADOS!$A:$U,21,FALSE)),"")</f>
        <v>Verificar la formulación del plan de mejoramiento fijado para 9 de mayo de 2025</v>
      </c>
    </row>
    <row r="2120" spans="1:21" s="1" customFormat="1" ht="84">
      <c r="A2120" s="69">
        <f>IF([14]PRIORIZADOS!A167="","",[14]PRIORIZADOS!A167)</f>
        <v>2088</v>
      </c>
      <c r="B2120" s="70">
        <f>IFERROR(IF(VLOOKUP(A2120,[14]PRIORIZADOS!$A:$B,2,FALSE)="","",VLOOKUP(A2120,[14]PRIORIZADOS!$A:$B,2,FALSE)),"")</f>
        <v>18</v>
      </c>
      <c r="C2120" s="11" t="s">
        <v>424</v>
      </c>
      <c r="D2120" s="11" t="str">
        <f>IFERROR(IF(VLOOKUP(A2120,[14]PRIORIZADOS!$A:$D,4,FALSE)="","",VLOOKUP(A2120,[14]PRIORIZADOS!$A:$D,4,FALSE)),"")</f>
        <v>PRIVADO</v>
      </c>
      <c r="E2120" s="11" t="str">
        <f>IFERROR(IF(VLOOKUP(A2120,[14]PRIORIZADOS!$A:$E,5,FALSE)="","",VLOOKUP(A2120,[14]PRIORIZADOS!$A:$E,5,FALSE)),"")</f>
        <v>EPBM</v>
      </c>
      <c r="F2120" s="11" t="str">
        <f>IFERROR(IF(VLOOKUP(A2120,[14]PRIORIZADOS!$A:$F,6,FALSE)="","",VLOOKUP(A2120,[14]PRIORIZADOS!$A:$F,6,FALSE)),"")</f>
        <v>COLEGIO_REINA_DE_GALES</v>
      </c>
      <c r="G2120" s="11" t="str">
        <f>IFERROR(IF(VLOOKUP(A2120,[14]PRIORIZADOS!$A:$G,7,FALSE)="","",VLOOKUP(A2120,[14]PRIORIZADOS!$A:$G,7,FALSE)),"")</f>
        <v>COLEGIO REINA DE GALES</v>
      </c>
      <c r="H2120" s="11" t="str">
        <f>IFERROR(IF(VLOOKUP(A2120,[14]PRIORIZADOS!$A:$H,8,FALSE)="","",VLOOKUP(A2120,[14]PRIORIZADOS!$A:$H,8,FALSE)),"")</f>
        <v>Autoevaluación Institucional y Pruebas SABER 11</v>
      </c>
      <c r="I2120" s="11" t="str">
        <f>IFERROR(IF(VLOOKUP(A2120,[14]PRIORIZADOS!$A:$I,9,FALSE)="","",VLOOKUP(A2120,[14]PRIORIZADOS!$A:$I,9,FALSE)),"")</f>
        <v>SEGUIMIENTO_Y_SUPERVISIÓN.</v>
      </c>
      <c r="J2120" s="11" t="str">
        <f>IFERROR(IF(VLOOKUP(A2120,[14]PRIORIZADOS!$A:$J,10,FALSE)="","",VLOOKUP(A2120,[14]PRIORIZADOS!$A:$J,10,FALSE)),"")</f>
        <v xml:space="preserve">Verificar la implementación por parte de los colegios, de acciones realizadas para la prevención y atención de las situaciones de convivencia en el entorno escolar, según lo establecido en la Directiva 01 de 2022 del MEN. </v>
      </c>
      <c r="K2120" s="11" t="str">
        <f>IFERROR(IF(VLOOKUP(A2120,[14]PRIORIZADOS!$A:$K,11,FALSE)="","",VLOOKUP(A2120,[14]PRIORIZADOS!$A:$K,11,FALSE)),"")</f>
        <v>MARTHA RUT SILVA ABRIL</v>
      </c>
      <c r="L2120" s="11" t="str">
        <f>IFERROR(IF(VLOOKUP(A2120,[14]PRIORIZADOS!$A:$L,12,FALSE)="","",VLOOKUP(A2120,[14]PRIORIZADOS!$A:$L,12,FALSE)),"")</f>
        <v>JUAN MANUEL SANCHEZ MORA</v>
      </c>
      <c r="M2120" s="71">
        <f>IFERROR(IF(VLOOKUP(A2120,[14]PRIORIZADOS!$A:$M,13,FALSE)="","",VLOOKUP(A2120,[14]PRIORIZADOS!$A:$M,13,FALSE)),"")</f>
        <v>45742</v>
      </c>
      <c r="N2120" s="71">
        <f>IFERROR(IF(VLOOKUP(A2120,[14]PRIORIZADOS!$A:$N,14,FALSE)="","",VLOOKUP(A2120,[14]PRIORIZADOS!$A:$N,14,FALSE)),"")</f>
        <v>45749</v>
      </c>
      <c r="O2120" s="71">
        <f>IFERROR(IF(VLOOKUP(A2120,[14]PRIORIZADOS!$A:$O,15,FALSE)="","",VLOOKUP(A2120,[14]PRIORIZADOS!$A:$O,15,FALSE)),"")</f>
        <v>45749</v>
      </c>
      <c r="P2120" s="11" t="str">
        <f>IFERROR(IF(VLOOKUP(A2120,[14]PRIORIZADOS!$A:$P,16,FALSE)="","",VLOOKUP(A2120,[14]PRIORIZADOS!$A:$P,16,FALSE)),"")</f>
        <v>Visitas de evaluación con fines de seguimiento</v>
      </c>
      <c r="Q2120" s="153" t="s">
        <v>442</v>
      </c>
      <c r="R2120" s="11" t="str">
        <f>IFERROR(IF(VLOOKUP(A2120,[14]PRIORIZADOS!$A:$R,18,FALSE)="","",VLOOKUP(A2120,[14]PRIORIZADOS!$A:$R,18,FALSE)),"")</f>
        <v>Se evidenció que no cuenta con la consulta para la vinculacion de docentes en el sistema para la verficacion de las inhabilidades por delitos sexuales.</v>
      </c>
      <c r="S2120" s="11" t="str">
        <f>IFERROR(IF(VLOOKUP(A2120,[14]PRIORIZADOS!$A:$S,19,FALSE)="","",VLOOKUP(A2120,[14]PRIORIZADOS!$A:$S,19,FALSE)),"")</f>
        <v>Realizar consulta cada 4 meses en el sistema para la verficacion de las inhabilidades acorde con lo establecido en la Directva 01 de 2022 del MEN e incorporar en la carpeta de las hojas de vida de los docentes y demás personal vinculado a la institución.</v>
      </c>
      <c r="T2120" s="70" t="str">
        <f>IFERROR(IF(VLOOKUP(A2120,[14]PRIORIZADOS!$A:$T,20,FALSE)="","",VLOOKUP(A2120,[14]PRIORIZADOS!$A:$T,20,FALSE)),"")</f>
        <v>Si</v>
      </c>
      <c r="U2120" s="11" t="str">
        <f>IFERROR(IF(VLOOKUP(A2120,[14]PRIORIZADOS!$A:$U,21,FALSE)="","",VLOOKUP(A2120,[14]PRIORIZADOS!$A:$U,21,FALSE)),"")</f>
        <v>Verificar la formulación del plan de mejoramiento fijado para 9 de mayo de 2025</v>
      </c>
    </row>
    <row r="2121" spans="1:21" s="1" customFormat="1" ht="72">
      <c r="A2121" s="69">
        <f>IF([14]PRIORIZADOS!A168="","",[14]PRIORIZADOS!A168)</f>
        <v>2089</v>
      </c>
      <c r="B2121" s="70">
        <f>IFERROR(IF(VLOOKUP(A2121,[14]PRIORIZADOS!$A:$B,2,FALSE)="","",VLOOKUP(A2121,[14]PRIORIZADOS!$A:$B,2,FALSE)),"")</f>
        <v>18</v>
      </c>
      <c r="C2121" s="11" t="s">
        <v>424</v>
      </c>
      <c r="D2121" s="11" t="str">
        <f>IFERROR(IF(VLOOKUP(A2121,[14]PRIORIZADOS!$A:$D,4,FALSE)="","",VLOOKUP(A2121,[14]PRIORIZADOS!$A:$D,4,FALSE)),"")</f>
        <v>PRIVADO</v>
      </c>
      <c r="E2121" s="11" t="str">
        <f>IFERROR(IF(VLOOKUP(A2121,[14]PRIORIZADOS!$A:$E,5,FALSE)="","",VLOOKUP(A2121,[14]PRIORIZADOS!$A:$E,5,FALSE)),"")</f>
        <v>EPBM</v>
      </c>
      <c r="F2121" s="11" t="str">
        <f>IFERROR(IF(VLOOKUP(A2121,[14]PRIORIZADOS!$A:$F,6,FALSE)="","",VLOOKUP(A2121,[14]PRIORIZADOS!$A:$F,6,FALSE)),"")</f>
        <v>COLEGIO_REINA_DE_GALES</v>
      </c>
      <c r="G2121" s="11" t="str">
        <f>IFERROR(IF(VLOOKUP(A2121,[14]PRIORIZADOS!$A:$G,7,FALSE)="","",VLOOKUP(A2121,[14]PRIORIZADOS!$A:$G,7,FALSE)),"")</f>
        <v>COLEGIO REINA DE GALES</v>
      </c>
      <c r="H2121" s="11" t="str">
        <f>IFERROR(IF(VLOOKUP(A2121,[14]PRIORIZADOS!$A:$H,8,FALSE)="","",VLOOKUP(A2121,[14]PRIORIZADOS!$A:$H,8,FALSE)),"")</f>
        <v>Autoevaluación Institucional y Pruebas SABER 11</v>
      </c>
      <c r="I2121" s="11" t="str">
        <f>IFERROR(IF(VLOOKUP(A2121,[14]PRIORIZADOS!$A:$I,9,FALSE)="","",VLOOKUP(A2121,[14]PRIORIZADOS!$A:$I,9,FALSE)),"")</f>
        <v>SEGUIMIENTO_Y_SUPERVISIÓN.</v>
      </c>
      <c r="J2121" s="11" t="str">
        <f>IFERROR(IF(VLOOKUP(A2121,[14]PRIORIZADOS!$A:$J,10,FALSE)="","",VLOOKUP(A2121,[14]PRIORIZADOS!$A:$J,10,FALSE)),"")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21" s="11" t="str">
        <f>IFERROR(IF(VLOOKUP(A2121,[14]PRIORIZADOS!$A:$K,11,FALSE)="","",VLOOKUP(A2121,[14]PRIORIZADOS!$A:$K,11,FALSE)),"")</f>
        <v>MARTHA RUT SILVA ABRIL</v>
      </c>
      <c r="L2121" s="11" t="str">
        <f>IFERROR(IF(VLOOKUP(A2121,[14]PRIORIZADOS!$A:$L,12,FALSE)="","",VLOOKUP(A2121,[14]PRIORIZADOS!$A:$L,12,FALSE)),"")</f>
        <v>JUAN MANUEL SANCHEZ MORA</v>
      </c>
      <c r="M2121" s="71">
        <f>IFERROR(IF(VLOOKUP(A2121,[14]PRIORIZADOS!$A:$M,13,FALSE)="","",VLOOKUP(A2121,[14]PRIORIZADOS!$A:$M,13,FALSE)),"")</f>
        <v>45742</v>
      </c>
      <c r="N2121" s="71">
        <f>IFERROR(IF(VLOOKUP(A2121,[14]PRIORIZADOS!$A:$N,14,FALSE)="","",VLOOKUP(A2121,[14]PRIORIZADOS!$A:$N,14,FALSE)),"")</f>
        <v>45749</v>
      </c>
      <c r="O2121" s="71">
        <f>IFERROR(IF(VLOOKUP(A2121,[14]PRIORIZADOS!$A:$O,15,FALSE)="","",VLOOKUP(A2121,[14]PRIORIZADOS!$A:$O,15,FALSE)),"")</f>
        <v>45749</v>
      </c>
      <c r="P2121" s="11" t="str">
        <f>IFERROR(IF(VLOOKUP(A2121,[14]PRIORIZADOS!$A:$P,16,FALSE)="","",VLOOKUP(A2121,[14]PRIORIZADOS!$A:$P,16,FALSE)),"")</f>
        <v>Visitas de evaluación con fines de seguimiento</v>
      </c>
      <c r="Q2121" s="153" t="s">
        <v>442</v>
      </c>
      <c r="R2121" s="11" t="str">
        <f>IFERROR(IF(VLOOKUP(A2121,[14]PRIORIZADOS!$A:$R,18,FALSE)="","",VLOOKUP(A2121,[14]PRIORIZADOS!$A:$R,18,FALSE)),"")</f>
        <v>Los PIAR para la población de inclusión se encuentran en proceso de construcción.</v>
      </c>
      <c r="S2121" s="11" t="str">
        <f>IFERROR(IF(VLOOKUP(A2121,[14]PRIORIZADOS!$A:$S,19,FALSE)="","",VLOOKUP(A2121,[14]PRIORIZADOS!$A:$S,19,FALSE)),"")</f>
        <v>Estruturar los PIAR acorde con lo etablecido en la norma, y según necesidades de los estudiantes en los formatos estandarizados.</v>
      </c>
      <c r="T2121" s="70" t="str">
        <f>IFERROR(IF(VLOOKUP(A2121,[14]PRIORIZADOS!$A:$T,20,FALSE)="","",VLOOKUP(A2121,[14]PRIORIZADOS!$A:$T,20,FALSE)),"")</f>
        <v>Si</v>
      </c>
      <c r="U2121" s="11" t="str">
        <f>IFERROR(IF(VLOOKUP(A2121,[14]PRIORIZADOS!$A:$U,21,FALSE)="","",VLOOKUP(A2121,[14]PRIORIZADOS!$A:$U,21,FALSE)),"")</f>
        <v>Verificar la formulación del plan de mejoramiento fijado para 9 de mayo de 2025</v>
      </c>
    </row>
    <row r="2122" spans="1:21" s="1" customFormat="1" ht="84">
      <c r="A2122" s="69">
        <f>IF([14]PRIORIZADOS!A169="","",[14]PRIORIZADOS!A169)</f>
        <v>2090</v>
      </c>
      <c r="B2122" s="70">
        <f>IFERROR(IF(VLOOKUP(A2122,[14]PRIORIZADOS!$A:$B,2,FALSE)="","",VLOOKUP(A2122,[14]PRIORIZADOS!$A:$B,2,FALSE)),"")</f>
        <v>18</v>
      </c>
      <c r="C2122" s="11" t="s">
        <v>424</v>
      </c>
      <c r="D2122" s="11" t="str">
        <f>IFERROR(IF(VLOOKUP(A2122,[14]PRIORIZADOS!$A:$D,4,FALSE)="","",VLOOKUP(A2122,[14]PRIORIZADOS!$A:$D,4,FALSE)),"")</f>
        <v>PRIVADO</v>
      </c>
      <c r="E2122" s="11" t="str">
        <f>IFERROR(IF(VLOOKUP(A2122,[14]PRIORIZADOS!$A:$E,5,FALSE)="","",VLOOKUP(A2122,[14]PRIORIZADOS!$A:$E,5,FALSE)),"")</f>
        <v>EPBM</v>
      </c>
      <c r="F2122" s="11" t="str">
        <f>IFERROR(IF(VLOOKUP(A2122,[14]PRIORIZADOS!$A:$F,6,FALSE)="","",VLOOKUP(A2122,[14]PRIORIZADOS!$A:$F,6,FALSE)),"")</f>
        <v>COLEGIO_REINA_DE_GALES</v>
      </c>
      <c r="G2122" s="11" t="str">
        <f>IFERROR(IF(VLOOKUP(A2122,[14]PRIORIZADOS!$A:$G,7,FALSE)="","",VLOOKUP(A2122,[14]PRIORIZADOS!$A:$G,7,FALSE)),"")</f>
        <v>COLEGIO REINA DE GALES</v>
      </c>
      <c r="H2122" s="11" t="str">
        <f>IFERROR(IF(VLOOKUP(A2122,[14]PRIORIZADOS!$A:$H,8,FALSE)="","",VLOOKUP(A2122,[14]PRIORIZADOS!$A:$H,8,FALSE)),"")</f>
        <v>Autoevaluación Institucional y Pruebas SABER 11</v>
      </c>
      <c r="I2122" s="11" t="str">
        <f>IFERROR(IF(VLOOKUP(A2122,[14]PRIORIZADOS!$A:$I,9,FALSE)="","",VLOOKUP(A2122,[14]PRIORIZADOS!$A:$I,9,FALSE)),"")</f>
        <v>EVALUACIÓN_CON_FINES_DE_MEJORAMIENTO.</v>
      </c>
      <c r="J2122" s="11" t="str">
        <f>IFERROR(IF(VLOOKUP(A2122,[14]PRIORIZADOS!$A:$J,10,FALSE)="","",VLOOKUP(A2122,[14]PRIORIZADOS!$A:$J,10,FALSE)),"")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22" s="11" t="str">
        <f>IFERROR(IF(VLOOKUP(A2122,[14]PRIORIZADOS!$A:$K,11,FALSE)="","",VLOOKUP(A2122,[14]PRIORIZADOS!$A:$K,11,FALSE)),"")</f>
        <v>MARTHA RUT SILVA ABRIL</v>
      </c>
      <c r="L2122" s="11" t="str">
        <f>IFERROR(IF(VLOOKUP(A2122,[14]PRIORIZADOS!$A:$L,12,FALSE)="","",VLOOKUP(A2122,[14]PRIORIZADOS!$A:$L,12,FALSE)),"")</f>
        <v>JUAN MANUEL SANCHEZ MORA</v>
      </c>
      <c r="M2122" s="71">
        <f>IFERROR(IF(VLOOKUP(A2122,[14]PRIORIZADOS!$A:$M,13,FALSE)="","",VLOOKUP(A2122,[14]PRIORIZADOS!$A:$M,13,FALSE)),"")</f>
        <v>45742</v>
      </c>
      <c r="N2122" s="71">
        <f>IFERROR(IF(VLOOKUP(A2122,[14]PRIORIZADOS!$A:$N,14,FALSE)="","",VLOOKUP(A2122,[14]PRIORIZADOS!$A:$N,14,FALSE)),"")</f>
        <v>45749</v>
      </c>
      <c r="O2122" s="71">
        <f>IFERROR(IF(VLOOKUP(A2122,[14]PRIORIZADOS!$A:$O,15,FALSE)="","",VLOOKUP(A2122,[14]PRIORIZADOS!$A:$O,15,FALSE)),"")</f>
        <v>45749</v>
      </c>
      <c r="P2122" s="11" t="str">
        <f>IFERROR(IF(VLOOKUP(A2122,[14]PRIORIZADOS!$A:$P,16,FALSE)="","",VLOOKUP(A2122,[14]PRIORIZADOS!$A:$P,16,FALSE)),"")</f>
        <v>Visitas de evaluación con fines de mejoramiento</v>
      </c>
      <c r="Q2122" s="153" t="s">
        <v>442</v>
      </c>
      <c r="R2122" s="11" t="str">
        <f>IFERROR(IF(VLOOKUP(A2122,[14]PRIORIZADOS!$A:$R,18,FALSE)="","",VLOOKUP(A2122,[14]PRIORIZADOS!$A:$R,18,FALSE)),"")</f>
        <v>Verificado el manual de convivencia se evidencia que está desactualizado y sin la debida adopcion del Consejo Directivo.</v>
      </c>
      <c r="S2122" s="11" t="str">
        <f>IFERROR(IF(VLOOKUP(A2122,[14]PRIORIZADOS!$A:$S,19,FALSE)="","",VLOOKUP(A2122,[14]PRIORIZADOS!$A:$S,19,FALSE)),"")</f>
        <v>Ajustar y adoptar el manual de convivencia de confromidad con lo establecido en el Decreto 1075 de 2015 y la Ley 1620 de 2013.</v>
      </c>
      <c r="T2122" s="70" t="str">
        <f>IFERROR(IF(VLOOKUP(A2122,[14]PRIORIZADOS!$A:$T,20,FALSE)="","",VLOOKUP(A2122,[14]PRIORIZADOS!$A:$T,20,FALSE)),"")</f>
        <v>Si</v>
      </c>
      <c r="U2122" s="11" t="str">
        <f>IFERROR(IF(VLOOKUP(A2122,[14]PRIORIZADOS!$A:$U,21,FALSE)="","",VLOOKUP(A2122,[14]PRIORIZADOS!$A:$U,21,FALSE)),"")</f>
        <v>Verificar la formulación del plan de mejoramiento fijado para 9 de mayo de 2025</v>
      </c>
    </row>
    <row r="2123" spans="1:21" s="1" customFormat="1" ht="48">
      <c r="A2123" s="69">
        <f>IF([14]PRIORIZADOS!A170="","",[14]PRIORIZADOS!A170)</f>
        <v>2091</v>
      </c>
      <c r="B2123" s="70">
        <f>IFERROR(IF(VLOOKUP(A2123,[14]PRIORIZADOS!$A:$B,2,FALSE)="","",VLOOKUP(A2123,[14]PRIORIZADOS!$A:$B,2,FALSE)),"")</f>
        <v>18</v>
      </c>
      <c r="C2123" s="11" t="s">
        <v>424</v>
      </c>
      <c r="D2123" s="11" t="str">
        <f>IFERROR(IF(VLOOKUP(A2123,[14]PRIORIZADOS!$A:$D,4,FALSE)="","",VLOOKUP(A2123,[14]PRIORIZADOS!$A:$D,4,FALSE)),"")</f>
        <v>PRIVADO</v>
      </c>
      <c r="E2123" s="11" t="str">
        <f>IFERROR(IF(VLOOKUP(A2123,[14]PRIORIZADOS!$A:$E,5,FALSE)="","",VLOOKUP(A2123,[14]PRIORIZADOS!$A:$E,5,FALSE)),"")</f>
        <v>EPBM</v>
      </c>
      <c r="F2123" s="11" t="str">
        <f>IFERROR(IF(VLOOKUP(A2123,[14]PRIORIZADOS!$A:$F,6,FALSE)="","",VLOOKUP(A2123,[14]PRIORIZADOS!$A:$F,6,FALSE)),"")</f>
        <v>COLEGIO_REINA_DE_GALES</v>
      </c>
      <c r="G2123" s="11" t="str">
        <f>IFERROR(IF(VLOOKUP(A2123,[14]PRIORIZADOS!$A:$G,7,FALSE)="","",VLOOKUP(A2123,[14]PRIORIZADOS!$A:$G,7,FALSE)),"")</f>
        <v>COLEGIO REINA DE GALES</v>
      </c>
      <c r="H2123" s="11" t="str">
        <f>IFERROR(IF(VLOOKUP(A2123,[14]PRIORIZADOS!$A:$H,8,FALSE)="","",VLOOKUP(A2123,[14]PRIORIZADOS!$A:$H,8,FALSE)),"")</f>
        <v>Autoevaluación Institucional y Pruebas SABER 11</v>
      </c>
      <c r="I2123" s="11" t="str">
        <f>IFERROR(IF(VLOOKUP(A2123,[14]PRIORIZADOS!$A:$I,9,FALSE)="","",VLOOKUP(A2123,[14]PRIORIZADOS!$A:$I,9,FALSE)),"")</f>
        <v>EVALUACIÓN_CON_FINES_DE_MEJORAMIENTO.</v>
      </c>
      <c r="J2123" s="11" t="str">
        <f>IFERROR(IF(VLOOKUP(A2123,[14]PRIORIZADOS!$A:$J,10,FALSE)="","",VLOOKUP(A2123,[14]PRIORIZADOS!$A:$J,10,FALSE)),"")</f>
        <v>Revisar la actualización, socialización e implementación del Sistema Institucional de Evaluación de Estudiantes - SIEE, en articulación con la actualización del PEI y la normatividad vigente.</v>
      </c>
      <c r="K2123" s="11" t="str">
        <f>IFERROR(IF(VLOOKUP(A2123,[14]PRIORIZADOS!$A:$K,11,FALSE)="","",VLOOKUP(A2123,[14]PRIORIZADOS!$A:$K,11,FALSE)),"")</f>
        <v>MARTHA RUT SILVA ABRIL</v>
      </c>
      <c r="L2123" s="11" t="str">
        <f>IFERROR(IF(VLOOKUP(A2123,[14]PRIORIZADOS!$A:$L,12,FALSE)="","",VLOOKUP(A2123,[14]PRIORIZADOS!$A:$L,12,FALSE)),"")</f>
        <v>JUAN MANUEL SANCHEZ MORA</v>
      </c>
      <c r="M2123" s="71">
        <f>IFERROR(IF(VLOOKUP(A2123,[14]PRIORIZADOS!$A:$M,13,FALSE)="","",VLOOKUP(A2123,[14]PRIORIZADOS!$A:$M,13,FALSE)),"")</f>
        <v>45742</v>
      </c>
      <c r="N2123" s="71">
        <f>IFERROR(IF(VLOOKUP(A2123,[14]PRIORIZADOS!$A:$N,14,FALSE)="","",VLOOKUP(A2123,[14]PRIORIZADOS!$A:$N,14,FALSE)),"")</f>
        <v>45749</v>
      </c>
      <c r="O2123" s="71">
        <f>IFERROR(IF(VLOOKUP(A2123,[14]PRIORIZADOS!$A:$O,15,FALSE)="","",VLOOKUP(A2123,[14]PRIORIZADOS!$A:$O,15,FALSE)),"")</f>
        <v>45749</v>
      </c>
      <c r="P2123" s="11" t="str">
        <f>IFERROR(IF(VLOOKUP(A2123,[14]PRIORIZADOS!$A:$P,16,FALSE)="","",VLOOKUP(A2123,[14]PRIORIZADOS!$A:$P,16,FALSE)),"")</f>
        <v>Visitas de evaluación con fines de mejoramiento</v>
      </c>
      <c r="Q2123" s="153" t="s">
        <v>442</v>
      </c>
      <c r="R2123" s="11" t="str">
        <f>IFERROR(IF(VLOOKUP(A2123,[14]PRIORIZADOS!$A:$R,18,FALSE)="","",VLOOKUP(A2123,[14]PRIORIZADOS!$A:$R,18,FALSE)),"")</f>
        <v>Se evidencia desactualización del SIEE, escalas de valoracion cualitativa sin articulacion con el PEI.</v>
      </c>
      <c r="S2123" s="11" t="str">
        <f>IFERROR(IF(VLOOKUP(A2123,[14]PRIORIZADOS!$A:$S,19,FALSE)="","",VLOOKUP(A2123,[14]PRIORIZADOS!$A:$S,19,FALSE)),"")</f>
        <v>Realizar actualizacion del SIEE incluyendo las escalas de valoracion cualitativa y articularlo con el PEI siguiendo los parametros establecidos en la norma.</v>
      </c>
      <c r="T2123" s="70" t="str">
        <f>IFERROR(IF(VLOOKUP(A2123,[14]PRIORIZADOS!$A:$T,20,FALSE)="","",VLOOKUP(A2123,[14]PRIORIZADOS!$A:$T,20,FALSE)),"")</f>
        <v>Si</v>
      </c>
      <c r="U2123" s="11" t="str">
        <f>IFERROR(IF(VLOOKUP(A2123,[14]PRIORIZADOS!$A:$U,21,FALSE)="","",VLOOKUP(A2123,[14]PRIORIZADOS!$A:$U,21,FALSE)),"")</f>
        <v>Verificar la formulación del plan de mejoramiento fijado para 9 de mayo de 2025</v>
      </c>
    </row>
    <row r="2124" spans="1:21" s="1" customFormat="1" ht="48">
      <c r="A2124" s="69">
        <f>IF([14]PRIORIZADOS!A171="","",[14]PRIORIZADOS!A171)</f>
        <v>2092</v>
      </c>
      <c r="B2124" s="70">
        <f>IFERROR(IF(VLOOKUP(A2124,[14]PRIORIZADOS!$A:$B,2,FALSE)="","",VLOOKUP(A2124,[14]PRIORIZADOS!$A:$B,2,FALSE)),"")</f>
        <v>18</v>
      </c>
      <c r="C2124" s="11" t="s">
        <v>424</v>
      </c>
      <c r="D2124" s="11" t="str">
        <f>IFERROR(IF(VLOOKUP(A2124,[14]PRIORIZADOS!$A:$D,4,FALSE)="","",VLOOKUP(A2124,[14]PRIORIZADOS!$A:$D,4,FALSE)),"")</f>
        <v>PRIVADO</v>
      </c>
      <c r="E2124" s="11" t="str">
        <f>IFERROR(IF(VLOOKUP(A2124,[14]PRIORIZADOS!$A:$E,5,FALSE)="","",VLOOKUP(A2124,[14]PRIORIZADOS!$A:$E,5,FALSE)),"")</f>
        <v>EPBM</v>
      </c>
      <c r="F2124" s="11" t="str">
        <f>IFERROR(IF(VLOOKUP(A2124,[14]PRIORIZADOS!$A:$F,6,FALSE)="","",VLOOKUP(A2124,[14]PRIORIZADOS!$A:$F,6,FALSE)),"")</f>
        <v>COLEGIO_REINA_DE_GALES</v>
      </c>
      <c r="G2124" s="11" t="str">
        <f>IFERROR(IF(VLOOKUP(A2124,[14]PRIORIZADOS!$A:$G,7,FALSE)="","",VLOOKUP(A2124,[14]PRIORIZADOS!$A:$G,7,FALSE)),"")</f>
        <v>COLEGIO REINA DE GALES</v>
      </c>
      <c r="H2124" s="11" t="str">
        <f>IFERROR(IF(VLOOKUP(A2124,[14]PRIORIZADOS!$A:$H,8,FALSE)="","",VLOOKUP(A2124,[14]PRIORIZADOS!$A:$H,8,FALSE)),"")</f>
        <v>Autoevaluación Institucional y Pruebas SABER 11</v>
      </c>
      <c r="I2124" s="11" t="str">
        <f>IFERROR(IF(VLOOKUP(A2124,[14]PRIORIZADOS!$A:$I,9,FALSE)="","",VLOOKUP(A2124,[14]PRIORIZADOS!$A:$I,9,FALSE)),"")</f>
        <v>EVALUACIÓN_CON_FINES_DE_MEJORAMIENTO.</v>
      </c>
      <c r="J2124" s="11" t="str">
        <f>IFERROR(IF(VLOOKUP(A2124,[14]PRIORIZADOS!$A:$J,10,FALSE)="","",VLOOKUP(A2124,[14]PRIORIZADOS!$A:$J,10,FALSE)),"")</f>
        <v>Revisar el calendario escolar, jornada escolar, la intensidad horaria mínima anual en cada nivel y las modificaciones que se realicen al mismo, de acuerdo con lo previsto en la normatividad vigente.</v>
      </c>
      <c r="K2124" s="11" t="str">
        <f>IFERROR(IF(VLOOKUP(A2124,[14]PRIORIZADOS!$A:$K,11,FALSE)="","",VLOOKUP(A2124,[14]PRIORIZADOS!$A:$K,11,FALSE)),"")</f>
        <v>MARTHA RUT SILVA ABRIL</v>
      </c>
      <c r="L2124" s="11" t="str">
        <f>IFERROR(IF(VLOOKUP(A2124,[14]PRIORIZADOS!$A:$L,12,FALSE)="","",VLOOKUP(A2124,[14]PRIORIZADOS!$A:$L,12,FALSE)),"")</f>
        <v>JUAN MANUEL SANCHEZ MORA</v>
      </c>
      <c r="M2124" s="71">
        <f>IFERROR(IF(VLOOKUP(A2124,[14]PRIORIZADOS!$A:$M,13,FALSE)="","",VLOOKUP(A2124,[14]PRIORIZADOS!$A:$M,13,FALSE)),"")</f>
        <v>45742</v>
      </c>
      <c r="N2124" s="71">
        <f>IFERROR(IF(VLOOKUP(A2124,[14]PRIORIZADOS!$A:$N,14,FALSE)="","",VLOOKUP(A2124,[14]PRIORIZADOS!$A:$N,14,FALSE)),"")</f>
        <v>45749</v>
      </c>
      <c r="O2124" s="71">
        <f>IFERROR(IF(VLOOKUP(A2124,[14]PRIORIZADOS!$A:$O,15,FALSE)="","",VLOOKUP(A2124,[14]PRIORIZADOS!$A:$O,15,FALSE)),"")</f>
        <v>45749</v>
      </c>
      <c r="P2124" s="11" t="str">
        <f>IFERROR(IF(VLOOKUP(A2124,[14]PRIORIZADOS!$A:$P,16,FALSE)="","",VLOOKUP(A2124,[14]PRIORIZADOS!$A:$P,16,FALSE)),"")</f>
        <v>Visitas de evaluación con fines de mejoramiento</v>
      </c>
      <c r="Q2124" s="153" t="s">
        <v>442</v>
      </c>
      <c r="R2124" s="11" t="str">
        <f>IFERROR(IF(VLOOKUP(A2124,[14]PRIORIZADOS!$A:$R,18,FALSE)="","",VLOOKUP(A2124,[14]PRIORIZADOS!$A:$R,18,FALSE)),"")</f>
        <v>Se verifica que el calendario se ajusta a  las intensidades minimas establecidas.</v>
      </c>
      <c r="S2124" s="11" t="str">
        <f>IFERROR(IF(VLOOKUP(A2124,[14]PRIORIZADOS!$A:$S,19,FALSE)="","",VLOOKUP(A2124,[14]PRIORIZADOS!$A:$S,19,FALSE)),"")</f>
        <v>Continuar con la implementación del calendario en cuanto a las semanas de desarrollo académico y las intensidades de las áreas fundamentales.</v>
      </c>
      <c r="T2124" s="70" t="str">
        <f>IFERROR(IF(VLOOKUP(A2124,[14]PRIORIZADOS!$A:$T,20,FALSE)="","",VLOOKUP(A2124,[14]PRIORIZADOS!$A:$T,20,FALSE)),"")</f>
        <v>No</v>
      </c>
      <c r="U2124" s="11" t="str">
        <f>IFERROR(IF(VLOOKUP(A2124,[14]PRIORIZADOS!$A:$U,21,FALSE)="","",VLOOKUP(A2124,[14]PRIORIZADOS!$A:$U,21,FALSE)),"")</f>
        <v>Revisar el calendario en caso de presentarse queja o para la siguiente vigencia.</v>
      </c>
    </row>
    <row r="2125" spans="1:21" s="1" customFormat="1" ht="60">
      <c r="A2125" s="69">
        <f>IF([14]PRIORIZADOS!A172="","",[14]PRIORIZADOS!A172)</f>
        <v>2093</v>
      </c>
      <c r="B2125" s="70">
        <f>IFERROR(IF(VLOOKUP(A2125,[14]PRIORIZADOS!$A:$B,2,FALSE)="","",VLOOKUP(A2125,[14]PRIORIZADOS!$A:$B,2,FALSE)),"")</f>
        <v>18</v>
      </c>
      <c r="C2125" s="11" t="s">
        <v>424</v>
      </c>
      <c r="D2125" s="11" t="str">
        <f>IFERROR(IF(VLOOKUP(A2125,[14]PRIORIZADOS!$A:$D,4,FALSE)="","",VLOOKUP(A2125,[14]PRIORIZADOS!$A:$D,4,FALSE)),"")</f>
        <v>PRIVADO</v>
      </c>
      <c r="E2125" s="11" t="str">
        <f>IFERROR(IF(VLOOKUP(A2125,[14]PRIORIZADOS!$A:$E,5,FALSE)="","",VLOOKUP(A2125,[14]PRIORIZADOS!$A:$E,5,FALSE)),"")</f>
        <v>EPBM</v>
      </c>
      <c r="F2125" s="11" t="str">
        <f>IFERROR(IF(VLOOKUP(A2125,[14]PRIORIZADOS!$A:$F,6,FALSE)="","",VLOOKUP(A2125,[14]PRIORIZADOS!$A:$F,6,FALSE)),"")</f>
        <v>COLEGIO_REINA_DE_GALES</v>
      </c>
      <c r="G2125" s="11" t="str">
        <f>IFERROR(IF(VLOOKUP(A2125,[14]PRIORIZADOS!$A:$G,7,FALSE)="","",VLOOKUP(A2125,[14]PRIORIZADOS!$A:$G,7,FALSE)),"")</f>
        <v>COLEGIO REINA DE GALES</v>
      </c>
      <c r="H2125" s="11" t="str">
        <f>IFERROR(IF(VLOOKUP(A2125,[14]PRIORIZADOS!$A:$H,8,FALSE)="","",VLOOKUP(A2125,[14]PRIORIZADOS!$A:$H,8,FALSE)),"")</f>
        <v>Autoevaluación Institucional y Pruebas SABER 11</v>
      </c>
      <c r="I2125" s="11" t="str">
        <f>IFERROR(IF(VLOOKUP(A2125,[14]PRIORIZADOS!$A:$I,9,FALSE)="","",VLOOKUP(A2125,[14]PRIORIZADOS!$A:$I,9,FALSE)),"")</f>
        <v>EVALUACIÓN_CON_FINES_DE_MEJORAMIENTO.</v>
      </c>
      <c r="J2125" s="11" t="str">
        <f>IFERROR(IF(VLOOKUP(A2125,[14]PRIORIZADOS!$A:$J,10,FALSE)="","",VLOOKUP(A2125,[14]PRIORIZADOS!$A:$J,10,FALSE)),"")</f>
        <v>Verificar el funcionamiento del Gobierno Escolar e instancias de participación con base en la información sobre conformación reportada por la institución educativa.</v>
      </c>
      <c r="K2125" s="11" t="str">
        <f>IFERROR(IF(VLOOKUP(A2125,[14]PRIORIZADOS!$A:$K,11,FALSE)="","",VLOOKUP(A2125,[14]PRIORIZADOS!$A:$K,11,FALSE)),"")</f>
        <v>MARTHA RUT SILVA ABRIL</v>
      </c>
      <c r="L2125" s="11" t="str">
        <f>IFERROR(IF(VLOOKUP(A2125,[14]PRIORIZADOS!$A:$L,12,FALSE)="","",VLOOKUP(A2125,[14]PRIORIZADOS!$A:$L,12,FALSE)),"")</f>
        <v>JUAN MANUEL SANCHEZ MORA</v>
      </c>
      <c r="M2125" s="71">
        <f>IFERROR(IF(VLOOKUP(A2125,[14]PRIORIZADOS!$A:$M,13,FALSE)="","",VLOOKUP(A2125,[14]PRIORIZADOS!$A:$M,13,FALSE)),"")</f>
        <v>45742</v>
      </c>
      <c r="N2125" s="71">
        <f>IFERROR(IF(VLOOKUP(A2125,[14]PRIORIZADOS!$A:$N,14,FALSE)="","",VLOOKUP(A2125,[14]PRIORIZADOS!$A:$N,14,FALSE)),"")</f>
        <v>45749</v>
      </c>
      <c r="O2125" s="71">
        <f>IFERROR(IF(VLOOKUP(A2125,[14]PRIORIZADOS!$A:$O,15,FALSE)="","",VLOOKUP(A2125,[14]PRIORIZADOS!$A:$O,15,FALSE)),"")</f>
        <v>45749</v>
      </c>
      <c r="P2125" s="11" t="str">
        <f>IFERROR(IF(VLOOKUP(A2125,[14]PRIORIZADOS!$A:$P,16,FALSE)="","",VLOOKUP(A2125,[14]PRIORIZADOS!$A:$P,16,FALSE)),"")</f>
        <v>Visitas de evaluación con fines de mejoramiento</v>
      </c>
      <c r="Q2125" s="153" t="s">
        <v>442</v>
      </c>
      <c r="R2125" s="11" t="str">
        <f>IFERROR(IF(VLOOKUP(A2125,[14]PRIORIZADOS!$A:$R,18,FALSE)="","",VLOOKUP(A2125,[14]PRIORIZADOS!$A:$R,18,FALSE)),"")</f>
        <v xml:space="preserve">Cargar las actas de conformación en el aplicativo SAE, y sesionar con cada organo del gobierno escolar de confromidad con la periodicidad y funciones establecidas en la norma  </v>
      </c>
      <c r="S2125" s="11" t="str">
        <f>IFERROR(IF(VLOOKUP(A2125,[14]PRIORIZADOS!$A:$S,19,FALSE)="","",VLOOKUP(A2125,[14]PRIORIZADOS!$A:$S,19,FALSE)),"")</f>
        <v>Verficar el SAE y verificar las actas que evidencien el funcionamiento de los organos del gobierno escolar</v>
      </c>
      <c r="T2125" s="70" t="str">
        <f>IFERROR(IF(VLOOKUP(A2125,[14]PRIORIZADOS!$A:$T,20,FALSE)="","",VLOOKUP(A2125,[14]PRIORIZADOS!$A:$T,20,FALSE)),"")</f>
        <v>Si</v>
      </c>
      <c r="U2125" s="11" t="str">
        <f>IFERROR(IF(VLOOKUP(A2125,[14]PRIORIZADOS!$A:$U,21,FALSE)="","",VLOOKUP(A2125,[14]PRIORIZADOS!$A:$U,21,FALSE)),"")</f>
        <v>Verificar la formulación del plan de mejoramiento fijado para 9 de mayo de 2025</v>
      </c>
    </row>
    <row r="2126" spans="1:21" s="1" customFormat="1" ht="48">
      <c r="A2126" s="69">
        <f>IF([14]PRIORIZADOS!A173="","",[14]PRIORIZADOS!A173)</f>
        <v>2094</v>
      </c>
      <c r="B2126" s="70">
        <f>IFERROR(IF(VLOOKUP(A2126,[14]PRIORIZADOS!$A:$B,2,FALSE)="","",VLOOKUP(A2126,[14]PRIORIZADOS!$A:$B,2,FALSE)),"")</f>
        <v>18</v>
      </c>
      <c r="C2126" s="11" t="s">
        <v>424</v>
      </c>
      <c r="D2126" s="11" t="str">
        <f>IFERROR(IF(VLOOKUP(A2126,[14]PRIORIZADOS!$A:$D,4,FALSE)="","",VLOOKUP(A2126,[14]PRIORIZADOS!$A:$D,4,FALSE)),"")</f>
        <v>PRIVADO</v>
      </c>
      <c r="E2126" s="11" t="str">
        <f>IFERROR(IF(VLOOKUP(A2126,[14]PRIORIZADOS!$A:$E,5,FALSE)="","",VLOOKUP(A2126,[14]PRIORIZADOS!$A:$E,5,FALSE)),"")</f>
        <v>EPBM</v>
      </c>
      <c r="F2126" s="11" t="str">
        <f>IFERROR(IF(VLOOKUP(A2126,[14]PRIORIZADOS!$A:$F,6,FALSE)="","",VLOOKUP(A2126,[14]PRIORIZADOS!$A:$F,6,FALSE)),"")</f>
        <v>COLEGIO_REINA_DE_GALES</v>
      </c>
      <c r="G2126" s="11" t="str">
        <f>IFERROR(IF(VLOOKUP(A2126,[14]PRIORIZADOS!$A:$G,7,FALSE)="","",VLOOKUP(A2126,[14]PRIORIZADOS!$A:$G,7,FALSE)),"")</f>
        <v>COLEGIO REINA DE GALES</v>
      </c>
      <c r="H2126" s="11" t="str">
        <f>IFERROR(IF(VLOOKUP(A2126,[14]PRIORIZADOS!$A:$H,8,FALSE)="","",VLOOKUP(A2126,[14]PRIORIZADOS!$A:$H,8,FALSE)),"")</f>
        <v>Autoevaluación Institucional y Pruebas SABER 11</v>
      </c>
      <c r="I2126" s="11" t="str">
        <f>IFERROR(IF(VLOOKUP(A2126,[14]PRIORIZADOS!$A:$I,9,FALSE)="","",VLOOKUP(A2126,[14]PRIORIZADOS!$A:$I,9,FALSE)),"")</f>
        <v>EVALUACIÓN_CON_FINES_DE_MEJORAMIENTO.</v>
      </c>
      <c r="J2126" s="11" t="str">
        <f>IFERROR(IF(VLOOKUP(A2126,[14]PRIORIZADOS!$A:$J,10,FALSE)="","",VLOOKUP(A2126,[14]PRIORIZADOS!$A:$J,10,FALSE)),"")</f>
        <v>Verificar las condiciones en cuanto a: la estructura administrativa, condiciones de la planta física y medios educativos adecuados.</v>
      </c>
      <c r="K2126" s="11" t="str">
        <f>IFERROR(IF(VLOOKUP(A2126,[14]PRIORIZADOS!$A:$K,11,FALSE)="","",VLOOKUP(A2126,[14]PRIORIZADOS!$A:$K,11,FALSE)),"")</f>
        <v>MARTHA RUT SILVA ABRIL</v>
      </c>
      <c r="L2126" s="11" t="str">
        <f>IFERROR(IF(VLOOKUP(A2126,[14]PRIORIZADOS!$A:$L,12,FALSE)="","",VLOOKUP(A2126,[14]PRIORIZADOS!$A:$L,12,FALSE)),"")</f>
        <v>JUAN MANUEL SANCHEZ MORA</v>
      </c>
      <c r="M2126" s="71">
        <f>IFERROR(IF(VLOOKUP(A2126,[14]PRIORIZADOS!$A:$M,13,FALSE)="","",VLOOKUP(A2126,[14]PRIORIZADOS!$A:$M,13,FALSE)),"")</f>
        <v>45742</v>
      </c>
      <c r="N2126" s="71">
        <f>IFERROR(IF(VLOOKUP(A2126,[14]PRIORIZADOS!$A:$N,14,FALSE)="","",VLOOKUP(A2126,[14]PRIORIZADOS!$A:$N,14,FALSE)),"")</f>
        <v>45749</v>
      </c>
      <c r="O2126" s="71">
        <f>IFERROR(IF(VLOOKUP(A2126,[14]PRIORIZADOS!$A:$O,15,FALSE)="","",VLOOKUP(A2126,[14]PRIORIZADOS!$A:$O,15,FALSE)),"")</f>
        <v>45749</v>
      </c>
      <c r="P2126" s="11" t="str">
        <f>IFERROR(IF(VLOOKUP(A2126,[14]PRIORIZADOS!$A:$P,16,FALSE)="","",VLOOKUP(A2126,[14]PRIORIZADOS!$A:$P,16,FALSE)),"")</f>
        <v>Visitas de evaluación con fines de mejoramiento</v>
      </c>
      <c r="Q2126" s="153" t="s">
        <v>442</v>
      </c>
      <c r="R2126" s="11" t="str">
        <f>IFERROR(IF(VLOOKUP(A2126,[14]PRIORIZADOS!$A:$R,18,FALSE)="","",VLOOKUP(A2126,[14]PRIORIZADOS!$A:$R,18,FALSE)),"")</f>
        <v xml:space="preserve">Se evidencia que se requieren mejoras en la planta física, adecuación de espacios y dotación adecuada a la población estudiantil atendida. </v>
      </c>
      <c r="S2126" s="11" t="str">
        <f>IFERROR(IF(VLOOKUP(A2126,[14]PRIORIZADOS!$A:$S,19,FALSE)="","",VLOOKUP(A2126,[14]PRIORIZADOS!$A:$S,19,FALSE)),"")</f>
        <v>Reorganizacion y adecuación de espacios pedagogicos como la biblioteca, laboratorios y baños.</v>
      </c>
      <c r="T2126" s="70" t="str">
        <f>IFERROR(IF(VLOOKUP(A2126,[14]PRIORIZADOS!$A:$T,20,FALSE)="","",VLOOKUP(A2126,[14]PRIORIZADOS!$A:$T,20,FALSE)),"")</f>
        <v>Si</v>
      </c>
      <c r="U2126" s="11" t="str">
        <f>IFERROR(IF(VLOOKUP(A2126,[14]PRIORIZADOS!$A:$U,21,FALSE)="","",VLOOKUP(A2126,[14]PRIORIZADOS!$A:$U,21,FALSE)),"")</f>
        <v>Verificar la formulación del plan de mejoramiento fijado para 9 de mayo de 2025</v>
      </c>
    </row>
    <row r="2127" spans="1:21" s="1" customFormat="1" ht="60">
      <c r="A2127" s="69">
        <f>IF([14]PRIORIZADOS!A174="","",[14]PRIORIZADOS!A174)</f>
        <v>2095</v>
      </c>
      <c r="B2127" s="70">
        <f>IFERROR(IF(VLOOKUP(A2127,[14]PRIORIZADOS!$A:$B,2,FALSE)="","",VLOOKUP(A2127,[14]PRIORIZADOS!$A:$B,2,FALSE)),"")</f>
        <v>19</v>
      </c>
      <c r="C2127" s="11" t="s">
        <v>424</v>
      </c>
      <c r="D2127" s="11" t="str">
        <f>IFERROR(IF(VLOOKUP(A2127,[14]PRIORIZADOS!$A:$D,4,FALSE)="","",VLOOKUP(A2127,[14]PRIORIZADOS!$A:$D,4,FALSE)),"")</f>
        <v>PRIVADO</v>
      </c>
      <c r="E2127" s="11" t="str">
        <f>IFERROR(IF(VLOOKUP(A2127,[14]PRIORIZADOS!$A:$E,5,FALSE)="","",VLOOKUP(A2127,[14]PRIORIZADOS!$A:$E,5,FALSE)),"")</f>
        <v>EPBM</v>
      </c>
      <c r="F2127" s="11" t="str">
        <f>IFERROR(IF(VLOOKUP(A2127,[14]PRIORIZADOS!$A:$F,6,FALSE)="","",VLOOKUP(A2127,[14]PRIORIZADOS!$A:$F,6,FALSE)),"")</f>
        <v>GIMNASIO_SANTANDER</v>
      </c>
      <c r="G2127" s="11" t="str">
        <f>IFERROR(IF(VLOOKUP(A2127,[14]PRIORIZADOS!$A:$G,7,FALSE)="","",VLOOKUP(A2127,[14]PRIORIZADOS!$A:$G,7,FALSE)),"")</f>
        <v>GIMNASIO SANTANDER</v>
      </c>
      <c r="H2127" s="11" t="str">
        <f>IFERROR(IF(VLOOKUP(A2127,[14]PRIORIZADOS!$A:$H,8,FALSE)="","",VLOOKUP(A2127,[14]PRIORIZADOS!$A:$H,8,FALSE)),"")</f>
        <v>Autoevaluación Institucional y Pruebas SABER 11</v>
      </c>
      <c r="I2127" s="11" t="str">
        <f>IFERROR(IF(VLOOKUP(A2127,[14]PRIORIZADOS!$A:$I,9,FALSE)="","",VLOOKUP(A2127,[14]PRIORIZADOS!$A:$I,9,FALSE)),"")</f>
        <v>SEGUIMIENTO_Y_SUPERVISIÓN.</v>
      </c>
      <c r="J2127" s="11" t="str">
        <f>IFERROR(IF(VLOOKUP(A2127,[14]PRIORIZADOS!$A:$J,10,FALSE)="","",VLOOKUP(A2127,[14]PRIORIZADOS!$A:$J,10,FALSE)),"")</f>
        <v>Realizar visitas para verificar la información registrada sobre la autoevaluación institucional en el aplicativo EVI, a los establecimientos de educación formal no oficial.</v>
      </c>
      <c r="K2127" s="11" t="str">
        <f>IFERROR(IF(VLOOKUP(A2127,[14]PRIORIZADOS!$A:$K,11,FALSE)="","",VLOOKUP(A2127,[14]PRIORIZADOS!$A:$K,11,FALSE)),"")</f>
        <v>SONIA CONSTANZA URREGO GONZÁLEZ</v>
      </c>
      <c r="L2127" s="11" t="str">
        <f>IFERROR(IF(VLOOKUP(A2127,[14]PRIORIZADOS!$A:$L,12,FALSE)="","",VLOOKUP(A2127,[14]PRIORIZADOS!$A:$L,12,FALSE)),"")</f>
        <v>ALBA DEL PILAR CUBIDES CÁCERES</v>
      </c>
      <c r="M2127" s="71">
        <f>IFERROR(IF(VLOOKUP(A2127,[14]PRIORIZADOS!$A:$M,13,FALSE)="","",VLOOKUP(A2127,[14]PRIORIZADOS!$A:$M,13,FALSE)),"")</f>
        <v>45755</v>
      </c>
      <c r="N2127" s="71">
        <f>IFERROR(IF(VLOOKUP(A2127,[14]PRIORIZADOS!$A:$N,14,FALSE)="","",VLOOKUP(A2127,[14]PRIORIZADOS!$A:$N,14,FALSE)),"")</f>
        <v>45749</v>
      </c>
      <c r="O2127" s="71">
        <f>IFERROR(IF(VLOOKUP(A2127,[14]PRIORIZADOS!$A:$O,15,FALSE)="","",VLOOKUP(A2127,[14]PRIORIZADOS!$A:$O,15,FALSE)),"")</f>
        <v>45749</v>
      </c>
      <c r="P2127" s="11" t="str">
        <f>IFERROR(IF(VLOOKUP(A2127,[14]PRIORIZADOS!$A:$P,16,FALSE)="","",VLOOKUP(A2127,[14]PRIORIZADOS!$A:$P,16,FALSE)),"")</f>
        <v>Visitas de evaluación con fines de seguimiento</v>
      </c>
      <c r="Q2127" s="31" t="s">
        <v>443</v>
      </c>
      <c r="R2127" s="11" t="str">
        <f>IFERROR(IF(VLOOKUP(A2127,[14]PRIORIZADOS!$A:$R,18,FALSE)="","",VLOOKUP(A2127,[14]PRIORIZADOS!$A:$R,18,FALSE)),"")</f>
        <v>Al momento de la visita se encontró que en aspectos como baterias de baños, número de computadores, espacios recreativos la información no corresponde con la reportada  en el aplicativo EVI.</v>
      </c>
      <c r="S2127" s="11" t="str">
        <f>IFERROR(IF(VLOOKUP(A2127,[14]PRIORIZADOS!$A:$S,19,FALSE)="","",VLOOKUP(A2127,[14]PRIORIZADOS!$A:$S,19,FALSE)),"")</f>
        <v>Realizar la revisión de la normatividad relacionada con los espacios minimos y acorde a ella, aportar en el plan de mejormiento los ajustes a realizar en la institución, antes del 20 de abril de 2025.</v>
      </c>
      <c r="T2127" s="70" t="str">
        <f>IFERROR(IF(VLOOKUP(A2127,[14]PRIORIZADOS!$A:$T,20,FALSE)="","",VLOOKUP(A2127,[14]PRIORIZADOS!$A:$T,20,FALSE)),"")</f>
        <v>Si</v>
      </c>
      <c r="U2127" s="11" t="str">
        <f>IFERROR(IF(VLOOKUP(A2127,[14]PRIORIZADOS!$A:$U,21,FALSE)="","",VLOOKUP(A2127,[14]PRIORIZADOS!$A:$U,21,FALSE)),"")</f>
        <v>Verificar con registro fotográfico, los avances de acuerdo a los plazos registrados en el PMI</v>
      </c>
    </row>
    <row r="2128" spans="1:21" s="1" customFormat="1" ht="60">
      <c r="A2128" s="69">
        <f>IF([14]PRIORIZADOS!A175="","",[14]PRIORIZADOS!A175)</f>
        <v>2096</v>
      </c>
      <c r="B2128" s="70">
        <f>IFERROR(IF(VLOOKUP(A2128,[14]PRIORIZADOS!$A:$B,2,FALSE)="","",VLOOKUP(A2128,[14]PRIORIZADOS!$A:$B,2,FALSE)),"")</f>
        <v>19</v>
      </c>
      <c r="C2128" s="11" t="s">
        <v>424</v>
      </c>
      <c r="D2128" s="11" t="str">
        <f>IFERROR(IF(VLOOKUP(A2128,[14]PRIORIZADOS!$A:$D,4,FALSE)="","",VLOOKUP(A2128,[14]PRIORIZADOS!$A:$D,4,FALSE)),"")</f>
        <v>PRIVADO</v>
      </c>
      <c r="E2128" s="11" t="str">
        <f>IFERROR(IF(VLOOKUP(A2128,[14]PRIORIZADOS!$A:$E,5,FALSE)="","",VLOOKUP(A2128,[14]PRIORIZADOS!$A:$E,5,FALSE)),"")</f>
        <v>EPBM</v>
      </c>
      <c r="F2128" s="11" t="str">
        <f>IFERROR(IF(VLOOKUP(A2128,[14]PRIORIZADOS!$A:$F,6,FALSE)="","",VLOOKUP(A2128,[14]PRIORIZADOS!$A:$F,6,FALSE)),"")</f>
        <v>GIMNASIO_SANTANDER</v>
      </c>
      <c r="G2128" s="11" t="str">
        <f>IFERROR(IF(VLOOKUP(A2128,[14]PRIORIZADOS!$A:$G,7,FALSE)="","",VLOOKUP(A2128,[14]PRIORIZADOS!$A:$G,7,FALSE)),"")</f>
        <v>GIMNASIO SANTANDER</v>
      </c>
      <c r="H2128" s="11" t="str">
        <f>IFERROR(IF(VLOOKUP(A2128,[14]PRIORIZADOS!$A:$H,8,FALSE)="","",VLOOKUP(A2128,[14]PRIORIZADOS!$A:$H,8,FALSE)),"")</f>
        <v>Autoevaluación Institucional y Pruebas SABER 11</v>
      </c>
      <c r="I2128" s="11" t="str">
        <f>IFERROR(IF(VLOOKUP(A2128,[14]PRIORIZADOS!$A:$I,9,FALSE)="","",VLOOKUP(A2128,[14]PRIORIZADOS!$A:$I,9,FALSE)),"")</f>
        <v>SEGUIMIENTO_Y_SUPERVISIÓN.</v>
      </c>
      <c r="J2128" s="11" t="str">
        <f>IFERROR(IF(VLOOKUP(A2128,[14]PRIORIZADOS!$A:$J,10,FALSE)="","",VLOOKUP(A2128,[14]PRIORIZADOS!$A:$J,10,FALSE)),"")</f>
        <v>Proponer estrategias en la formulación, verificar su elaboración y realizar seguimiento semestral al desarrollo de  las acciones establecidas en los planes de mejoramiento por pruebas SABER 11 de los establecimientos de educación formal.</v>
      </c>
      <c r="K2128" s="11" t="str">
        <f>IFERROR(IF(VLOOKUP(A2128,[14]PRIORIZADOS!$A:$K,11,FALSE)="","",VLOOKUP(A2128,[14]PRIORIZADOS!$A:$K,11,FALSE)),"")</f>
        <v>SONIA CONSTANZA URREGO GONZÁLEZ</v>
      </c>
      <c r="L2128" s="11" t="str">
        <f>IFERROR(IF(VLOOKUP(A2128,[14]PRIORIZADOS!$A:$L,12,FALSE)="","",VLOOKUP(A2128,[14]PRIORIZADOS!$A:$L,12,FALSE)),"")</f>
        <v>ALBA DEL PILAR CUBIDES CÁCERES</v>
      </c>
      <c r="M2128" s="71">
        <f>IFERROR(IF(VLOOKUP(A2128,[14]PRIORIZADOS!$A:$M,13,FALSE)="","",VLOOKUP(A2128,[14]PRIORIZADOS!$A:$M,13,FALSE)),"")</f>
        <v>45755</v>
      </c>
      <c r="N2128" s="71">
        <f>IFERROR(IF(VLOOKUP(A2128,[14]PRIORIZADOS!$A:$N,14,FALSE)="","",VLOOKUP(A2128,[14]PRIORIZADOS!$A:$N,14,FALSE)),"")</f>
        <v>45749</v>
      </c>
      <c r="O2128" s="71">
        <f>IFERROR(IF(VLOOKUP(A2128,[14]PRIORIZADOS!$A:$O,15,FALSE)="","",VLOOKUP(A2128,[14]PRIORIZADOS!$A:$O,15,FALSE)),"")</f>
        <v>45749</v>
      </c>
      <c r="P2128" s="11" t="str">
        <f>IFERROR(IF(VLOOKUP(A2128,[14]PRIORIZADOS!$A:$P,16,FALSE)="","",VLOOKUP(A2128,[14]PRIORIZADOS!$A:$P,16,FALSE)),"")</f>
        <v>Visitas de evaluación con fines de seguimiento</v>
      </c>
      <c r="Q2128" s="27" t="s">
        <v>443</v>
      </c>
      <c r="R2128" s="11" t="str">
        <f>IFERROR(IF(VLOOKUP(A2128,[14]PRIORIZADOS!$A:$R,18,FALSE)="","",VLOOKUP(A2128,[14]PRIORIZADOS!$A:$R,18,FALSE)),"")</f>
        <v>La institución educativa se encuentra clasificada en nivel B, no realiza el análsis, ni crea estrtegias para subir el nivel en las pruebas.</v>
      </c>
      <c r="S2128" s="11" t="str">
        <f>IFERROR(IF(VLOOKUP(A2128,[14]PRIORIZADOS!$A:$S,19,FALSE)="","",VLOOKUP(A2128,[14]PRIORIZADOS!$A:$S,19,FALSE)),"")</f>
        <v xml:space="preserve">Revisar los resultados y la relación con las asignaturas del plan de estudio, analizando los resultados obtenidos  de los últimos años y elaborar un plan de mejoramiento sobre las acciones a tomar. </v>
      </c>
      <c r="T2128" s="70" t="str">
        <f>IFERROR(IF(VLOOKUP(A2128,[14]PRIORIZADOS!$A:$T,20,FALSE)="","",VLOOKUP(A2128,[14]PRIORIZADOS!$A:$T,20,FALSE)),"")</f>
        <v>Si</v>
      </c>
      <c r="U2128" s="11" t="str">
        <f>IFERROR(IF(VLOOKUP(A2128,[14]PRIORIZADOS!$A:$U,21,FALSE)="","",VLOOKUP(A2128,[14]PRIORIZADOS!$A:$U,21,FALSE)),"")</f>
        <v>Verificar los resultados y las acciones en las asignaturas que presentan puntajes más bajos en la próxima calificación de las pruebas</v>
      </c>
    </row>
    <row r="2129" spans="1:21" s="1" customFormat="1" ht="84">
      <c r="A2129" s="69">
        <f>IF([14]PRIORIZADOS!A176="","",[14]PRIORIZADOS!A176)</f>
        <v>2097</v>
      </c>
      <c r="B2129" s="70">
        <f>IFERROR(IF(VLOOKUP(A2129,[14]PRIORIZADOS!$A:$B,2,FALSE)="","",VLOOKUP(A2129,[14]PRIORIZADOS!$A:$B,2,FALSE)),"")</f>
        <v>19</v>
      </c>
      <c r="C2129" s="11" t="s">
        <v>424</v>
      </c>
      <c r="D2129" s="11" t="str">
        <f>IFERROR(IF(VLOOKUP(A2129,[14]PRIORIZADOS!$A:$D,4,FALSE)="","",VLOOKUP(A2129,[14]PRIORIZADOS!$A:$D,4,FALSE)),"")</f>
        <v>PRIVADO</v>
      </c>
      <c r="E2129" s="11" t="str">
        <f>IFERROR(IF(VLOOKUP(A2129,[14]PRIORIZADOS!$A:$E,5,FALSE)="","",VLOOKUP(A2129,[14]PRIORIZADOS!$A:$E,5,FALSE)),"")</f>
        <v>EPBM</v>
      </c>
      <c r="F2129" s="11" t="str">
        <f>IFERROR(IF(VLOOKUP(A2129,[14]PRIORIZADOS!$A:$F,6,FALSE)="","",VLOOKUP(A2129,[14]PRIORIZADOS!$A:$F,6,FALSE)),"")</f>
        <v>GIMNASIO_SANTANDER</v>
      </c>
      <c r="G2129" s="11" t="str">
        <f>IFERROR(IF(VLOOKUP(A2129,[14]PRIORIZADOS!$A:$G,7,FALSE)="","",VLOOKUP(A2129,[14]PRIORIZADOS!$A:$G,7,FALSE)),"")</f>
        <v>GIMNASIO SANTANDER</v>
      </c>
      <c r="H2129" s="11" t="str">
        <f>IFERROR(IF(VLOOKUP(A2129,[14]PRIORIZADOS!$A:$H,8,FALSE)="","",VLOOKUP(A2129,[14]PRIORIZADOS!$A:$H,8,FALSE)),"")</f>
        <v>Autoevaluación Institucional y Pruebas SABER 11</v>
      </c>
      <c r="I2129" s="11" t="str">
        <f>IFERROR(IF(VLOOKUP(A2129,[14]PRIORIZADOS!$A:$I,9,FALSE)="","",VLOOKUP(A2129,[14]PRIORIZADOS!$A:$I,9,FALSE)),"")</f>
        <v>SEGUIMIENTO_Y_SUPERVISIÓN.</v>
      </c>
      <c r="J2129" s="11" t="str">
        <f>IFERROR(IF(VLOOKUP(A2129,[14]PRIORIZADOS!$A:$J,10,FALSE)="","",VLOOKUP(A2129,[14]PRIORIZADOS!$A:$J,10,FALSE)),"")</f>
        <v xml:space="preserve">Verificar la implementación por parte de los colegios, de acciones realizadas para la prevención y atención de las situaciones de convivencia en el entorno escolar, según lo establecido en la Directiva 01 de 2022 del MEN. </v>
      </c>
      <c r="K2129" s="11" t="str">
        <f>IFERROR(IF(VLOOKUP(A2129,[14]PRIORIZADOS!$A:$K,11,FALSE)="","",VLOOKUP(A2129,[14]PRIORIZADOS!$A:$K,11,FALSE)),"")</f>
        <v>SONIA CONSTANZA URREGO GONZÁLEZ</v>
      </c>
      <c r="L2129" s="11" t="str">
        <f>IFERROR(IF(VLOOKUP(A2129,[14]PRIORIZADOS!$A:$L,12,FALSE)="","",VLOOKUP(A2129,[14]PRIORIZADOS!$A:$L,12,FALSE)),"")</f>
        <v>ALBA DEL PILAR CUBIDES CÁCERES</v>
      </c>
      <c r="M2129" s="71">
        <f>IFERROR(IF(VLOOKUP(A2129,[14]PRIORIZADOS!$A:$M,13,FALSE)="","",VLOOKUP(A2129,[14]PRIORIZADOS!$A:$M,13,FALSE)),"")</f>
        <v>45755</v>
      </c>
      <c r="N2129" s="71">
        <f>IFERROR(IF(VLOOKUP(A2129,[14]PRIORIZADOS!$A:$N,14,FALSE)="","",VLOOKUP(A2129,[14]PRIORIZADOS!$A:$N,14,FALSE)),"")</f>
        <v>45692</v>
      </c>
      <c r="O2129" s="71">
        <f>IFERROR(IF(VLOOKUP(A2129,[14]PRIORIZADOS!$A:$O,15,FALSE)="","",VLOOKUP(A2129,[14]PRIORIZADOS!$A:$O,15,FALSE)),"")</f>
        <v>45749</v>
      </c>
      <c r="P2129" s="11" t="str">
        <f>IFERROR(IF(VLOOKUP(A2129,[14]PRIORIZADOS!$A:$P,16,FALSE)="","",VLOOKUP(A2129,[14]PRIORIZADOS!$A:$P,16,FALSE)),"")</f>
        <v>Visitas de evaluación con fines de seguimiento</v>
      </c>
      <c r="Q2129" s="27" t="s">
        <v>443</v>
      </c>
      <c r="R2129" s="11" t="str">
        <f>IFERROR(IF(VLOOKUP(A2129,[14]PRIORIZADOS!$A:$R,18,FALSE)="","",VLOOKUP(A2129,[14]PRIORIZADOS!$A:$R,18,FALSE)),"")</f>
        <v>Verificadas las hojas de vida de los docentes de conformidad a la directiva  001 del 2022, se encuentran las consultas en la página de la policia de los antecedentes de delitos sexuales y queda pendiente por estar sobre el tiempo, la nueva consulta.</v>
      </c>
      <c r="S2129" s="11" t="str">
        <f>IFERROR(IF(VLOOKUP(A2129,[14]PRIORIZADOS!$A:$S,19,FALSE)="","",VLOOKUP(A2129,[14]PRIORIZADOS!$A:$S,19,FALSE)),"")</f>
        <v xml:space="preserve">Realizar la consulta cada 4 meses, dejando el respectivo soporte, en cumplimiento de la Directiva 01 de 2022  </v>
      </c>
      <c r="T2129" s="70" t="str">
        <f>IFERROR(IF(VLOOKUP(A2129,[14]PRIORIZADOS!$A:$T,20,FALSE)="","",VLOOKUP(A2129,[14]PRIORIZADOS!$A:$T,20,FALSE)),"")</f>
        <v>No</v>
      </c>
      <c r="U2129" s="11" t="str">
        <f>IFERROR(IF(VLOOKUP(A2129,[14]PRIORIZADOS!$A:$U,21,FALSE)="","",VLOOKUP(A2129,[14]PRIORIZADOS!$A:$U,21,FALSE)),"")</f>
        <v>Verificar la consulta realizada a los 4 meses de realizada la primera.</v>
      </c>
    </row>
    <row r="2130" spans="1:21" s="1" customFormat="1" ht="72">
      <c r="A2130" s="69">
        <f>IF([14]PRIORIZADOS!A177="","",[14]PRIORIZADOS!A177)</f>
        <v>2098</v>
      </c>
      <c r="B2130" s="70">
        <f>IFERROR(IF(VLOOKUP(A2130,[14]PRIORIZADOS!$A:$B,2,FALSE)="","",VLOOKUP(A2130,[14]PRIORIZADOS!$A:$B,2,FALSE)),"")</f>
        <v>19</v>
      </c>
      <c r="C2130" s="11" t="s">
        <v>424</v>
      </c>
      <c r="D2130" s="11" t="str">
        <f>IFERROR(IF(VLOOKUP(A2130,[14]PRIORIZADOS!$A:$D,4,FALSE)="","",VLOOKUP(A2130,[14]PRIORIZADOS!$A:$D,4,FALSE)),"")</f>
        <v>PRIVADO</v>
      </c>
      <c r="E2130" s="11" t="str">
        <f>IFERROR(IF(VLOOKUP(A2130,[14]PRIORIZADOS!$A:$E,5,FALSE)="","",VLOOKUP(A2130,[14]PRIORIZADOS!$A:$E,5,FALSE)),"")</f>
        <v>EPBM</v>
      </c>
      <c r="F2130" s="11" t="str">
        <f>IFERROR(IF(VLOOKUP(A2130,[14]PRIORIZADOS!$A:$F,6,FALSE)="","",VLOOKUP(A2130,[14]PRIORIZADOS!$A:$F,6,FALSE)),"")</f>
        <v>GIMNASIO_SANTANDER</v>
      </c>
      <c r="G2130" s="11" t="str">
        <f>IFERROR(IF(VLOOKUP(A2130,[14]PRIORIZADOS!$A:$G,7,FALSE)="","",VLOOKUP(A2130,[14]PRIORIZADOS!$A:$G,7,FALSE)),"")</f>
        <v>GIMNASIO SANTANDER</v>
      </c>
      <c r="H2130" s="11" t="str">
        <f>IFERROR(IF(VLOOKUP(A2130,[14]PRIORIZADOS!$A:$H,8,FALSE)="","",VLOOKUP(A2130,[14]PRIORIZADOS!$A:$H,8,FALSE)),"")</f>
        <v>Autoevaluación Institucional y Pruebas SABER 11</v>
      </c>
      <c r="I2130" s="11" t="str">
        <f>IFERROR(IF(VLOOKUP(A2130,[14]PRIORIZADOS!$A:$I,9,FALSE)="","",VLOOKUP(A2130,[14]PRIORIZADOS!$A:$I,9,FALSE)),"")</f>
        <v>SEGUIMIENTO_Y_SUPERVISIÓN.</v>
      </c>
      <c r="J2130" s="11" t="str">
        <f>IFERROR(IF(VLOOKUP(A2130,[14]PRIORIZADOS!$A:$J,10,FALSE)="","",VLOOKUP(A2130,[14]PRIORIZADOS!$A:$J,10,FALSE)),"")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30" s="11" t="str">
        <f>IFERROR(IF(VLOOKUP(A2130,[14]PRIORIZADOS!$A:$K,11,FALSE)="","",VLOOKUP(A2130,[14]PRIORIZADOS!$A:$K,11,FALSE)),"")</f>
        <v>SONIA CONSTANZA URREGO GONZÁLEZ</v>
      </c>
      <c r="L2130" s="11" t="str">
        <f>IFERROR(IF(VLOOKUP(A2130,[14]PRIORIZADOS!$A:$L,12,FALSE)="","",VLOOKUP(A2130,[14]PRIORIZADOS!$A:$L,12,FALSE)),"")</f>
        <v>ALBA DEL PILAR CUBIDES CÁCERES</v>
      </c>
      <c r="M2130" s="71">
        <f>IFERROR(IF(VLOOKUP(A2130,[14]PRIORIZADOS!$A:$M,13,FALSE)="","",VLOOKUP(A2130,[14]PRIORIZADOS!$A:$M,13,FALSE)),"")</f>
        <v>45755</v>
      </c>
      <c r="N2130" s="71">
        <f>IFERROR(IF(VLOOKUP(A2130,[14]PRIORIZADOS!$A:$N,14,FALSE)="","",VLOOKUP(A2130,[14]PRIORIZADOS!$A:$N,14,FALSE)),"")</f>
        <v>45749</v>
      </c>
      <c r="O2130" s="71">
        <f>IFERROR(IF(VLOOKUP(A2130,[14]PRIORIZADOS!$A:$O,15,FALSE)="","",VLOOKUP(A2130,[14]PRIORIZADOS!$A:$O,15,FALSE)),"")</f>
        <v>45692</v>
      </c>
      <c r="P2130" s="11" t="str">
        <f>IFERROR(IF(VLOOKUP(A2130,[14]PRIORIZADOS!$A:$P,16,FALSE)="","",VLOOKUP(A2130,[14]PRIORIZADOS!$A:$P,16,FALSE)),"")</f>
        <v>Visitas de evaluación con fines de seguimiento</v>
      </c>
      <c r="Q2130" s="27" t="s">
        <v>443</v>
      </c>
      <c r="R2130" s="11" t="str">
        <f>IFERROR(IF(VLOOKUP(A2130,[14]PRIORIZADOS!$A:$R,18,FALSE)="","",VLOOKUP(A2130,[14]PRIORIZADOS!$A:$R,18,FALSE)),"")</f>
        <v>Se deben soportar en la norma, para la construcción del Plan Individual de Ajustes Razonables PIAR.</v>
      </c>
      <c r="S2130" s="11" t="str">
        <f>IFERROR(IF(VLOOKUP(A2130,[14]PRIORIZADOS!$A:$S,19,FALSE)="","",VLOOKUP(A2130,[14]PRIORIZADOS!$A:$S,19,FALSE)),"")</f>
        <v>Realizar los PIAR en el formato establecido, con las acciones completas a seguir con cada estudiante según Decreto 1421 de 2017. Incluir en el Plan de mejoramiento a entregar.</v>
      </c>
      <c r="T2130" s="70" t="str">
        <f>IFERROR(IF(VLOOKUP(A2130,[14]PRIORIZADOS!$A:$T,20,FALSE)="","",VLOOKUP(A2130,[14]PRIORIZADOS!$A:$T,20,FALSE)),"")</f>
        <v>Si</v>
      </c>
      <c r="U2130" s="11" t="str">
        <f>IFERROR(IF(VLOOKUP(A2130,[14]PRIORIZADOS!$A:$U,21,FALSE)="","",VLOOKUP(A2130,[14]PRIORIZADOS!$A:$U,21,FALSE)),"")</f>
        <v>Verificar el ajuste realizado a cada uno de los PIAR.</v>
      </c>
    </row>
    <row r="2131" spans="1:21" s="1" customFormat="1" ht="84">
      <c r="A2131" s="69">
        <f>IF([14]PRIORIZADOS!A178="","",[14]PRIORIZADOS!A178)</f>
        <v>2099</v>
      </c>
      <c r="B2131" s="70">
        <f>IFERROR(IF(VLOOKUP(A2131,[14]PRIORIZADOS!$A:$B,2,FALSE)="","",VLOOKUP(A2131,[14]PRIORIZADOS!$A:$B,2,FALSE)),"")</f>
        <v>19</v>
      </c>
      <c r="C2131" s="11" t="s">
        <v>424</v>
      </c>
      <c r="D2131" s="11" t="str">
        <f>IFERROR(IF(VLOOKUP(A2131,[14]PRIORIZADOS!$A:$D,4,FALSE)="","",VLOOKUP(A2131,[14]PRIORIZADOS!$A:$D,4,FALSE)),"")</f>
        <v>PRIVADO</v>
      </c>
      <c r="E2131" s="11" t="str">
        <f>IFERROR(IF(VLOOKUP(A2131,[14]PRIORIZADOS!$A:$E,5,FALSE)="","",VLOOKUP(A2131,[14]PRIORIZADOS!$A:$E,5,FALSE)),"")</f>
        <v>EPBM</v>
      </c>
      <c r="F2131" s="11" t="str">
        <f>IFERROR(IF(VLOOKUP(A2131,[14]PRIORIZADOS!$A:$F,6,FALSE)="","",VLOOKUP(A2131,[14]PRIORIZADOS!$A:$F,6,FALSE)),"")</f>
        <v>GIMNASIO_SANTANDER</v>
      </c>
      <c r="G2131" s="11" t="str">
        <f>IFERROR(IF(VLOOKUP(A2131,[14]PRIORIZADOS!$A:$G,7,FALSE)="","",VLOOKUP(A2131,[14]PRIORIZADOS!$A:$G,7,FALSE)),"")</f>
        <v>GIMNASIO SANTANDER</v>
      </c>
      <c r="H2131" s="11" t="str">
        <f>IFERROR(IF(VLOOKUP(A2131,[14]PRIORIZADOS!$A:$H,8,FALSE)="","",VLOOKUP(A2131,[14]PRIORIZADOS!$A:$H,8,FALSE)),"")</f>
        <v>Autoevaluación Institucional y Pruebas SABER 11</v>
      </c>
      <c r="I2131" s="11" t="str">
        <f>IFERROR(IF(VLOOKUP(A2131,[14]PRIORIZADOS!$A:$I,9,FALSE)="","",VLOOKUP(A2131,[14]PRIORIZADOS!$A:$I,9,FALSE)),"")</f>
        <v>EVALUACIÓN_CON_FINES_DE_MEJORAMIENTO.</v>
      </c>
      <c r="J2131" s="11" t="str">
        <f>IFERROR(IF(VLOOKUP(A2131,[14]PRIORIZADOS!$A:$J,10,FALSE)="","",VLOOKUP(A2131,[14]PRIORIZADOS!$A:$J,10,FALSE)),"")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31" s="11" t="str">
        <f>IFERROR(IF(VLOOKUP(A2131,[14]PRIORIZADOS!$A:$K,11,FALSE)="","",VLOOKUP(A2131,[14]PRIORIZADOS!$A:$K,11,FALSE)),"")</f>
        <v>SONIA CONSTANZA URREGO GONZÁLEZ</v>
      </c>
      <c r="L2131" s="11" t="str">
        <f>IFERROR(IF(VLOOKUP(A2131,[14]PRIORIZADOS!$A:$L,12,FALSE)="","",VLOOKUP(A2131,[14]PRIORIZADOS!$A:$L,12,FALSE)),"")</f>
        <v>ALBA DEL PILAR CUBIDES CÁCERES</v>
      </c>
      <c r="M2131" s="71">
        <f>IFERROR(IF(VLOOKUP(A2131,[14]PRIORIZADOS!$A:$M,13,FALSE)="","",VLOOKUP(A2131,[14]PRIORIZADOS!$A:$M,13,FALSE)),"")</f>
        <v>45755</v>
      </c>
      <c r="N2131" s="71">
        <f>IFERROR(IF(VLOOKUP(A2131,[14]PRIORIZADOS!$A:$N,14,FALSE)="","",VLOOKUP(A2131,[14]PRIORIZADOS!$A:$N,14,FALSE)),"")</f>
        <v>45749</v>
      </c>
      <c r="O2131" s="71">
        <f>IFERROR(IF(VLOOKUP(A2131,[14]PRIORIZADOS!$A:$O,15,FALSE)="","",VLOOKUP(A2131,[14]PRIORIZADOS!$A:$O,15,FALSE)),"")</f>
        <v>45692</v>
      </c>
      <c r="P2131" s="11" t="str">
        <f>IFERROR(IF(VLOOKUP(A2131,[14]PRIORIZADOS!$A:$P,16,FALSE)="","",VLOOKUP(A2131,[14]PRIORIZADOS!$A:$P,16,FALSE)),"")</f>
        <v>Visitas de evaluación con fines de mejoramiento</v>
      </c>
      <c r="Q2131" s="27" t="s">
        <v>443</v>
      </c>
      <c r="R2131" s="11" t="str">
        <f>IFERROR(IF(VLOOKUP(A2131,[14]PRIORIZADOS!$A:$R,18,FALSE)="","",VLOOKUP(A2131,[14]PRIORIZADOS!$A:$R,18,FALSE)),"")</f>
        <v>Se encontró que la última actualización es del año 2024 y será sujeto de revisión por parte del ELIV.</v>
      </c>
      <c r="S2131" s="11" t="str">
        <f>IFERROR(IF(VLOOKUP(A2131,[14]PRIORIZADOS!$A:$S,19,FALSE)="","",VLOOKUP(A2131,[14]PRIORIZADOS!$A:$S,19,FALSE)),"")</f>
        <v>Actualizar el manual de convivencia según la normatividad vigente y observaciones realizadas porparte del ELIV.</v>
      </c>
      <c r="T2131" s="70" t="str">
        <f>IFERROR(IF(VLOOKUP(A2131,[14]PRIORIZADOS!$A:$T,20,FALSE)="","",VLOOKUP(A2131,[14]PRIORIZADOS!$A:$T,20,FALSE)),"")</f>
        <v>Si</v>
      </c>
      <c r="U2131" s="11" t="str">
        <f>IFERROR(IF(VLOOKUP(A2131,[14]PRIORIZADOS!$A:$U,21,FALSE)="","",VLOOKUP(A2131,[14]PRIORIZADOS!$A:$U,21,FALSE)),"")</f>
        <v>Verificar la actualización del manual de convivencia.</v>
      </c>
    </row>
    <row r="2132" spans="1:21" s="1" customFormat="1" ht="48">
      <c r="A2132" s="69">
        <f>IF([14]PRIORIZADOS!A179="","",[14]PRIORIZADOS!A179)</f>
        <v>2100</v>
      </c>
      <c r="B2132" s="70">
        <f>IFERROR(IF(VLOOKUP(A2132,[14]PRIORIZADOS!$A:$B,2,FALSE)="","",VLOOKUP(A2132,[14]PRIORIZADOS!$A:$B,2,FALSE)),"")</f>
        <v>19</v>
      </c>
      <c r="C2132" s="11" t="s">
        <v>424</v>
      </c>
      <c r="D2132" s="11" t="str">
        <f>IFERROR(IF(VLOOKUP(A2132,[14]PRIORIZADOS!$A:$D,4,FALSE)="","",VLOOKUP(A2132,[14]PRIORIZADOS!$A:$D,4,FALSE)),"")</f>
        <v>PRIVADO</v>
      </c>
      <c r="E2132" s="11" t="str">
        <f>IFERROR(IF(VLOOKUP(A2132,[14]PRIORIZADOS!$A:$E,5,FALSE)="","",VLOOKUP(A2132,[14]PRIORIZADOS!$A:$E,5,FALSE)),"")</f>
        <v>EPBM</v>
      </c>
      <c r="F2132" s="11" t="str">
        <f>IFERROR(IF(VLOOKUP(A2132,[14]PRIORIZADOS!$A:$F,6,FALSE)="","",VLOOKUP(A2132,[14]PRIORIZADOS!$A:$F,6,FALSE)),"")</f>
        <v>GIMNASIO_SANTANDER</v>
      </c>
      <c r="G2132" s="11" t="str">
        <f>IFERROR(IF(VLOOKUP(A2132,[14]PRIORIZADOS!$A:$G,7,FALSE)="","",VLOOKUP(A2132,[14]PRIORIZADOS!$A:$G,7,FALSE)),"")</f>
        <v>GIMNASIO SANTANDER</v>
      </c>
      <c r="H2132" s="11" t="str">
        <f>IFERROR(IF(VLOOKUP(A2132,[14]PRIORIZADOS!$A:$H,8,FALSE)="","",VLOOKUP(A2132,[14]PRIORIZADOS!$A:$H,8,FALSE)),"")</f>
        <v>Autoevaluación Institucional y Pruebas SABER 11</v>
      </c>
      <c r="I2132" s="11" t="str">
        <f>IFERROR(IF(VLOOKUP(A2132,[14]PRIORIZADOS!$A:$I,9,FALSE)="","",VLOOKUP(A2132,[14]PRIORIZADOS!$A:$I,9,FALSE)),"")</f>
        <v>EVALUACIÓN_CON_FINES_DE_MEJORAMIENTO.</v>
      </c>
      <c r="J2132" s="11" t="str">
        <f>IFERROR(IF(VLOOKUP(A2132,[14]PRIORIZADOS!$A:$J,10,FALSE)="","",VLOOKUP(A2132,[14]PRIORIZADOS!$A:$J,10,FALSE)),"")</f>
        <v>Revisar la actualización, socialización e implementación del Sistema Institucional de Evaluación de Estudiantes - SIEE, en articulación con la actualización del PEI y la normatividad vigente.</v>
      </c>
      <c r="K2132" s="11" t="str">
        <f>IFERROR(IF(VLOOKUP(A2132,[14]PRIORIZADOS!$A:$K,11,FALSE)="","",VLOOKUP(A2132,[14]PRIORIZADOS!$A:$K,11,FALSE)),"")</f>
        <v>SONIA CONSTANZA URREGO GONZÁLEZ</v>
      </c>
      <c r="L2132" s="11" t="str">
        <f>IFERROR(IF(VLOOKUP(A2132,[14]PRIORIZADOS!$A:$L,12,FALSE)="","",VLOOKUP(A2132,[14]PRIORIZADOS!$A:$L,12,FALSE)),"")</f>
        <v>ALBA DEL PILAR CUBIDES CÁCERES</v>
      </c>
      <c r="M2132" s="71">
        <f>IFERROR(IF(VLOOKUP(A2132,[14]PRIORIZADOS!$A:$M,13,FALSE)="","",VLOOKUP(A2132,[14]PRIORIZADOS!$A:$M,13,FALSE)),"")</f>
        <v>45755</v>
      </c>
      <c r="N2132" s="71">
        <f>IFERROR(IF(VLOOKUP(A2132,[14]PRIORIZADOS!$A:$N,14,FALSE)="","",VLOOKUP(A2132,[14]PRIORIZADOS!$A:$N,14,FALSE)),"")</f>
        <v>45692</v>
      </c>
      <c r="O2132" s="71">
        <f>IFERROR(IF(VLOOKUP(A2132,[14]PRIORIZADOS!$A:$O,15,FALSE)="","",VLOOKUP(A2132,[14]PRIORIZADOS!$A:$O,15,FALSE)),"")</f>
        <v>45749</v>
      </c>
      <c r="P2132" s="11" t="str">
        <f>IFERROR(IF(VLOOKUP(A2132,[14]PRIORIZADOS!$A:$P,16,FALSE)="","",VLOOKUP(A2132,[14]PRIORIZADOS!$A:$P,16,FALSE)),"")</f>
        <v>Visitas de evaluación con fines de mejoramiento</v>
      </c>
      <c r="Q2132" s="27" t="s">
        <v>443</v>
      </c>
      <c r="R2132" s="11" t="str">
        <f>IFERROR(IF(VLOOKUP(A2132,[14]PRIORIZADOS!$A:$R,18,FALSE)="","",VLOOKUP(A2132,[14]PRIORIZADOS!$A:$R,18,FALSE)),"")</f>
        <v>Se realizará retroalimentación sobre  el SIEE, posterior a su valoración por parte del ELIV</v>
      </c>
      <c r="S2132" s="11" t="str">
        <f>IFERROR(IF(VLOOKUP(A2132,[14]PRIORIZADOS!$A:$S,19,FALSE)="","",VLOOKUP(A2132,[14]PRIORIZADOS!$A:$S,19,FALSE)),"")</f>
        <v>Se allegará valoración para posterior revisión y ajustes por parte de la institución.</v>
      </c>
      <c r="T2132" s="70" t="str">
        <f>IFERROR(IF(VLOOKUP(A2132,[14]PRIORIZADOS!$A:$T,20,FALSE)="","",VLOOKUP(A2132,[14]PRIORIZADOS!$A:$T,20,FALSE)),"")</f>
        <v>Si</v>
      </c>
      <c r="U2132" s="11" t="str">
        <f>IFERROR(IF(VLOOKUP(A2132,[14]PRIORIZADOS!$A:$U,21,FALSE)="","",VLOOKUP(A2132,[14]PRIORIZADOS!$A:$U,21,FALSE)),"")</f>
        <v>Verificar los ajustes realizados.</v>
      </c>
    </row>
    <row r="2133" spans="1:21" s="1" customFormat="1" ht="48">
      <c r="A2133" s="69">
        <f>IF([14]PRIORIZADOS!A180="","",[14]PRIORIZADOS!A180)</f>
        <v>2101</v>
      </c>
      <c r="B2133" s="70">
        <f>IFERROR(IF(VLOOKUP(A2133,[14]PRIORIZADOS!$A:$B,2,FALSE)="","",VLOOKUP(A2133,[14]PRIORIZADOS!$A:$B,2,FALSE)),"")</f>
        <v>19</v>
      </c>
      <c r="C2133" s="11" t="s">
        <v>424</v>
      </c>
      <c r="D2133" s="11" t="str">
        <f>IFERROR(IF(VLOOKUP(A2133,[14]PRIORIZADOS!$A:$D,4,FALSE)="","",VLOOKUP(A2133,[14]PRIORIZADOS!$A:$D,4,FALSE)),"")</f>
        <v>PRIVADO</v>
      </c>
      <c r="E2133" s="11" t="str">
        <f>IFERROR(IF(VLOOKUP(A2133,[14]PRIORIZADOS!$A:$E,5,FALSE)="","",VLOOKUP(A2133,[14]PRIORIZADOS!$A:$E,5,FALSE)),"")</f>
        <v>EPBM</v>
      </c>
      <c r="F2133" s="11" t="str">
        <f>IFERROR(IF(VLOOKUP(A2133,[14]PRIORIZADOS!$A:$F,6,FALSE)="","",VLOOKUP(A2133,[14]PRIORIZADOS!$A:$F,6,FALSE)),"")</f>
        <v>GIMNASIO_SANTANDER</v>
      </c>
      <c r="G2133" s="11" t="str">
        <f>IFERROR(IF(VLOOKUP(A2133,[14]PRIORIZADOS!$A:$G,7,FALSE)="","",VLOOKUP(A2133,[14]PRIORIZADOS!$A:$G,7,FALSE)),"")</f>
        <v>GIMNASIO SANTANDER</v>
      </c>
      <c r="H2133" s="11" t="str">
        <f>IFERROR(IF(VLOOKUP(A2133,[14]PRIORIZADOS!$A:$H,8,FALSE)="","",VLOOKUP(A2133,[14]PRIORIZADOS!$A:$H,8,FALSE)),"")</f>
        <v>Autoevaluación Institucional y Pruebas SABER 11</v>
      </c>
      <c r="I2133" s="11" t="str">
        <f>IFERROR(IF(VLOOKUP(A2133,[14]PRIORIZADOS!$A:$I,9,FALSE)="","",VLOOKUP(A2133,[14]PRIORIZADOS!$A:$I,9,FALSE)),"")</f>
        <v>EVALUACIÓN_CON_FINES_DE_MEJORAMIENTO.</v>
      </c>
      <c r="J2133" s="11" t="str">
        <f>IFERROR(IF(VLOOKUP(A2133,[14]PRIORIZADOS!$A:$J,10,FALSE)="","",VLOOKUP(A2133,[14]PRIORIZADOS!$A:$J,10,FALSE)),"")</f>
        <v>Revisar el calendario escolar, jornada escolar, la intensidad horaria mínima anual en cada nivel y las modificaciones que se realicen al mismo, de acuerdo con lo previsto en la normatividad vigente.</v>
      </c>
      <c r="K2133" s="11" t="str">
        <f>IFERROR(IF(VLOOKUP(A2133,[14]PRIORIZADOS!$A:$K,11,FALSE)="","",VLOOKUP(A2133,[14]PRIORIZADOS!$A:$K,11,FALSE)),"")</f>
        <v>SONIA CONSTANZA URREGO GONZÁLEZ</v>
      </c>
      <c r="L2133" s="11" t="str">
        <f>IFERROR(IF(VLOOKUP(A2133,[14]PRIORIZADOS!$A:$L,12,FALSE)="","",VLOOKUP(A2133,[14]PRIORIZADOS!$A:$L,12,FALSE)),"")</f>
        <v>ALBA DEL PILAR CUBIDES CÁCERES</v>
      </c>
      <c r="M2133" s="71">
        <f>IFERROR(IF(VLOOKUP(A2133,[14]PRIORIZADOS!$A:$M,13,FALSE)="","",VLOOKUP(A2133,[14]PRIORIZADOS!$A:$M,13,FALSE)),"")</f>
        <v>45755</v>
      </c>
      <c r="N2133" s="71">
        <f>IFERROR(IF(VLOOKUP(A2133,[14]PRIORIZADOS!$A:$N,14,FALSE)="","",VLOOKUP(A2133,[14]PRIORIZADOS!$A:$N,14,FALSE)),"")</f>
        <v>45749</v>
      </c>
      <c r="O2133" s="71">
        <f>IFERROR(IF(VLOOKUP(A2133,[14]PRIORIZADOS!$A:$O,15,FALSE)="","",VLOOKUP(A2133,[14]PRIORIZADOS!$A:$O,15,FALSE)),"")</f>
        <v>45749</v>
      </c>
      <c r="P2133" s="11" t="str">
        <f>IFERROR(IF(VLOOKUP(A2133,[14]PRIORIZADOS!$A:$P,16,FALSE)="","",VLOOKUP(A2133,[14]PRIORIZADOS!$A:$P,16,FALSE)),"")</f>
        <v>Visitas de evaluación con fines de mejoramiento</v>
      </c>
      <c r="Q2133" s="27" t="s">
        <v>443</v>
      </c>
      <c r="R2133" s="11" t="str">
        <f>IFERROR(IF(VLOOKUP(A2133,[14]PRIORIZADOS!$A:$R,18,FALSE)="","",VLOOKUP(A2133,[14]PRIORIZADOS!$A:$R,18,FALSE)),"")</f>
        <v xml:space="preserve">Cumple con el número de semanas y horas por cada nivel y realizó reporte de información del calendario escolar. </v>
      </c>
      <c r="S2133" s="11" t="str">
        <f>IFERROR(IF(VLOOKUP(A2133,[14]PRIORIZADOS!$A:$S,19,FALSE)="","",VLOOKUP(A2133,[14]PRIORIZADOS!$A:$S,19,FALSE)),"")</f>
        <v xml:space="preserve">Continuar con la ejecución del calendario académico.  </v>
      </c>
      <c r="T2133" s="70" t="str">
        <f>IFERROR(IF(VLOOKUP(A2133,[14]PRIORIZADOS!$A:$T,20,FALSE)="","",VLOOKUP(A2133,[14]PRIORIZADOS!$A:$T,20,FALSE)),"")</f>
        <v>No</v>
      </c>
      <c r="U2133" s="11" t="str">
        <f>IFERROR(IF(VLOOKUP(A2133,[14]PRIORIZADOS!$A:$U,21,FALSE)="","",VLOOKUP(A2133,[14]PRIORIZADOS!$A:$U,21,FALSE)),"")</f>
        <v>Verificar el cumplimiento a  la ejecución del  calendario  académico.</v>
      </c>
    </row>
    <row r="2134" spans="1:21" s="1" customFormat="1" ht="48">
      <c r="A2134" s="69">
        <f>IF([14]PRIORIZADOS!A181="","",[14]PRIORIZADOS!A181)</f>
        <v>2102</v>
      </c>
      <c r="B2134" s="70">
        <f>IFERROR(IF(VLOOKUP(A2134,[14]PRIORIZADOS!$A:$B,2,FALSE)="","",VLOOKUP(A2134,[14]PRIORIZADOS!$A:$B,2,FALSE)),"")</f>
        <v>19</v>
      </c>
      <c r="C2134" s="11" t="s">
        <v>424</v>
      </c>
      <c r="D2134" s="11" t="str">
        <f>IFERROR(IF(VLOOKUP(A2134,[14]PRIORIZADOS!$A:$D,4,FALSE)="","",VLOOKUP(A2134,[14]PRIORIZADOS!$A:$D,4,FALSE)),"")</f>
        <v>PRIVADO</v>
      </c>
      <c r="E2134" s="11" t="str">
        <f>IFERROR(IF(VLOOKUP(A2134,[14]PRIORIZADOS!$A:$E,5,FALSE)="","",VLOOKUP(A2134,[14]PRIORIZADOS!$A:$E,5,FALSE)),"")</f>
        <v>EPBM</v>
      </c>
      <c r="F2134" s="11" t="str">
        <f>IFERROR(IF(VLOOKUP(A2134,[14]PRIORIZADOS!$A:$F,6,FALSE)="","",VLOOKUP(A2134,[14]PRIORIZADOS!$A:$F,6,FALSE)),"")</f>
        <v>GIMNASIO_SANTANDER</v>
      </c>
      <c r="G2134" s="11" t="str">
        <f>IFERROR(IF(VLOOKUP(A2134,[14]PRIORIZADOS!$A:$G,7,FALSE)="","",VLOOKUP(A2134,[14]PRIORIZADOS!$A:$G,7,FALSE)),"")</f>
        <v>GIMNASIO SANTANDER</v>
      </c>
      <c r="H2134" s="11" t="str">
        <f>IFERROR(IF(VLOOKUP(A2134,[14]PRIORIZADOS!$A:$H,8,FALSE)="","",VLOOKUP(A2134,[14]PRIORIZADOS!$A:$H,8,FALSE)),"")</f>
        <v>Autoevaluación Institucional y Pruebas SABER 11</v>
      </c>
      <c r="I2134" s="11" t="str">
        <f>IFERROR(IF(VLOOKUP(A2134,[14]PRIORIZADOS!$A:$I,9,FALSE)="","",VLOOKUP(A2134,[14]PRIORIZADOS!$A:$I,9,FALSE)),"")</f>
        <v>EVALUACIÓN_CON_FINES_DE_MEJORAMIENTO.</v>
      </c>
      <c r="J2134" s="11" t="str">
        <f>IFERROR(IF(VLOOKUP(A2134,[14]PRIORIZADOS!$A:$J,10,FALSE)="","",VLOOKUP(A2134,[14]PRIORIZADOS!$A:$J,10,FALSE)),"")</f>
        <v>Verificar el funcionamiento del Gobierno Escolar e instancias de participación con base en la información sobre conformación reportada por la institución educativa.</v>
      </c>
      <c r="K2134" s="11" t="str">
        <f>IFERROR(IF(VLOOKUP(A2134,[14]PRIORIZADOS!$A:$K,11,FALSE)="","",VLOOKUP(A2134,[14]PRIORIZADOS!$A:$K,11,FALSE)),"")</f>
        <v>SONIA CONSTANZA URREGO GONZÁLEZ</v>
      </c>
      <c r="L2134" s="11" t="str">
        <f>IFERROR(IF(VLOOKUP(A2134,[14]PRIORIZADOS!$A:$L,12,FALSE)="","",VLOOKUP(A2134,[14]PRIORIZADOS!$A:$L,12,FALSE)),"")</f>
        <v>ALBA DEL PILAR CUBIDES CÁCERES</v>
      </c>
      <c r="M2134" s="71">
        <f>IFERROR(IF(VLOOKUP(A2134,[14]PRIORIZADOS!$A:$M,13,FALSE)="","",VLOOKUP(A2134,[14]PRIORIZADOS!$A:$M,13,FALSE)),"")</f>
        <v>45755</v>
      </c>
      <c r="N2134" s="71">
        <f>IFERROR(IF(VLOOKUP(A2134,[14]PRIORIZADOS!$A:$N,14,FALSE)="","",VLOOKUP(A2134,[14]PRIORIZADOS!$A:$N,14,FALSE)),"")</f>
        <v>45749</v>
      </c>
      <c r="O2134" s="71">
        <f>IFERROR(IF(VLOOKUP(A2134,[14]PRIORIZADOS!$A:$O,15,FALSE)="","",VLOOKUP(A2134,[14]PRIORIZADOS!$A:$O,15,FALSE)),"")</f>
        <v>45749</v>
      </c>
      <c r="P2134" s="11" t="str">
        <f>IFERROR(IF(VLOOKUP(A2134,[14]PRIORIZADOS!$A:$P,16,FALSE)="","",VLOOKUP(A2134,[14]PRIORIZADOS!$A:$P,16,FALSE)),"")</f>
        <v>Visitas de evaluación con fines de mejoramiento</v>
      </c>
      <c r="Q2134" s="27" t="s">
        <v>443</v>
      </c>
      <c r="R2134" s="11" t="str">
        <f>IFERROR(IF(VLOOKUP(A2134,[14]PRIORIZADOS!$A:$R,18,FALSE)="","",VLOOKUP(A2134,[14]PRIORIZADOS!$A:$R,18,FALSE)),"")</f>
        <v>No reporto Gobierno Escolar en el apicativo SAE</v>
      </c>
      <c r="S2134" s="11" t="str">
        <f>IFERROR(IF(VLOOKUP(A2134,[14]PRIORIZADOS!$A:$S,19,FALSE)="","",VLOOKUP(A2134,[14]PRIORIZADOS!$A:$S,19,FALSE)),"")</f>
        <v>Cargar las actas de conformación en el aplicativo SAE sesionar con cada órgano de gobierno de conformidad con la periodicidad establecida en la norma.</v>
      </c>
      <c r="T2134" s="70" t="str">
        <f>IFERROR(IF(VLOOKUP(A2134,[14]PRIORIZADOS!$A:$T,20,FALSE)="","",VLOOKUP(A2134,[14]PRIORIZADOS!$A:$T,20,FALSE)),"")</f>
        <v>Si</v>
      </c>
      <c r="U2134" s="11" t="str">
        <f>IFERROR(IF(VLOOKUP(A2134,[14]PRIORIZADOS!$A:$U,21,FALSE)="","",VLOOKUP(A2134,[14]PRIORIZADOS!$A:$U,21,FALSE)),"")</f>
        <v>Verificar el cargue de las actas en el eplicativo SAE y sesiones de cada órgano de Gobierno Escolar.</v>
      </c>
    </row>
    <row r="2135" spans="1:21" s="1" customFormat="1" ht="178.5">
      <c r="A2135" s="69">
        <f>IF([14]PRIORIZADOS!A182="","",[14]PRIORIZADOS!A182)</f>
        <v>2103</v>
      </c>
      <c r="B2135" s="70">
        <f>IFERROR(IF(VLOOKUP(A2135,[14]PRIORIZADOS!$A:$B,2,FALSE)="","",VLOOKUP(A2135,[14]PRIORIZADOS!$A:$B,2,FALSE)),"")</f>
        <v>19</v>
      </c>
      <c r="C2135" s="11" t="s">
        <v>424</v>
      </c>
      <c r="D2135" s="11" t="str">
        <f>IFERROR(IF(VLOOKUP(A2135,[14]PRIORIZADOS!$A:$D,4,FALSE)="","",VLOOKUP(A2135,[14]PRIORIZADOS!$A:$D,4,FALSE)),"")</f>
        <v>PRIVADO</v>
      </c>
      <c r="E2135" s="11" t="str">
        <f>IFERROR(IF(VLOOKUP(A2135,[14]PRIORIZADOS!$A:$E,5,FALSE)="","",VLOOKUP(A2135,[14]PRIORIZADOS!$A:$E,5,FALSE)),"")</f>
        <v>EPBM</v>
      </c>
      <c r="F2135" s="11" t="str">
        <f>IFERROR(IF(VLOOKUP(A2135,[14]PRIORIZADOS!$A:$F,6,FALSE)="","",VLOOKUP(A2135,[14]PRIORIZADOS!$A:$F,6,FALSE)),"")</f>
        <v>GIMNASIO_SANTANDER</v>
      </c>
      <c r="G2135" s="11" t="str">
        <f>IFERROR(IF(VLOOKUP(A2135,[14]PRIORIZADOS!$A:$G,7,FALSE)="","",VLOOKUP(A2135,[14]PRIORIZADOS!$A:$G,7,FALSE)),"")</f>
        <v>GIMNASIO SANTANDER</v>
      </c>
      <c r="H2135" s="11" t="str">
        <f>IFERROR(IF(VLOOKUP(A2135,[14]PRIORIZADOS!$A:$H,8,FALSE)="","",VLOOKUP(A2135,[14]PRIORIZADOS!$A:$H,8,FALSE)),"")</f>
        <v>Autoevaluación Institucional y Pruebas SABER 11</v>
      </c>
      <c r="I2135" s="11" t="str">
        <f>IFERROR(IF(VLOOKUP(A2135,[14]PRIORIZADOS!$A:$I,9,FALSE)="","",VLOOKUP(A2135,[14]PRIORIZADOS!$A:$I,9,FALSE)),"")</f>
        <v>EVALUACIÓN_CON_FINES_DE_MEJORAMIENTO.</v>
      </c>
      <c r="J2135" s="11" t="str">
        <f>IFERROR(IF(VLOOKUP(A2135,[14]PRIORIZADOS!$A:$J,10,FALSE)="","",VLOOKUP(A2135,[14]PRIORIZADOS!$A:$J,10,FALSE)),"")</f>
        <v>Verificar las condiciones en cuanto a: la estructura administrativa, condiciones de la planta física y medios educativos adecuados.</v>
      </c>
      <c r="K2135" s="11" t="str">
        <f>IFERROR(IF(VLOOKUP(A2135,[14]PRIORIZADOS!$A:$K,11,FALSE)="","",VLOOKUP(A2135,[14]PRIORIZADOS!$A:$K,11,FALSE)),"")</f>
        <v>SONIA CONSTANZA URREGO GONZÁLEZ</v>
      </c>
      <c r="L2135" s="11" t="str">
        <f>IFERROR(IF(VLOOKUP(A2135,[14]PRIORIZADOS!$A:$L,12,FALSE)="","",VLOOKUP(A2135,[14]PRIORIZADOS!$A:$L,12,FALSE)),"")</f>
        <v>ALBA DEL PILAR CUBIDES CÁCERES</v>
      </c>
      <c r="M2135" s="71">
        <f>IFERROR(IF(VLOOKUP(A2135,[14]PRIORIZADOS!$A:$M,13,FALSE)="","",VLOOKUP(A2135,[14]PRIORIZADOS!$A:$M,13,FALSE)),"")</f>
        <v>45755</v>
      </c>
      <c r="N2135" s="71">
        <f>IFERROR(IF(VLOOKUP(A2135,[14]PRIORIZADOS!$A:$N,14,FALSE)="","",VLOOKUP(A2135,[14]PRIORIZADOS!$A:$N,14,FALSE)),"")</f>
        <v>45749</v>
      </c>
      <c r="O2135" s="71">
        <f>IFERROR(IF(VLOOKUP(A2135,[14]PRIORIZADOS!$A:$O,15,FALSE)="","",VLOOKUP(A2135,[14]PRIORIZADOS!$A:$O,15,FALSE)),"")</f>
        <v>45749</v>
      </c>
      <c r="P2135" s="11" t="str">
        <f>IFERROR(IF(VLOOKUP(A2135,[14]PRIORIZADOS!$A:$P,16,FALSE)="","",VLOOKUP(A2135,[14]PRIORIZADOS!$A:$P,16,FALSE)),"")</f>
        <v>Visitas de evaluación con fines de mejoramiento</v>
      </c>
      <c r="Q2135" s="27" t="s">
        <v>443</v>
      </c>
      <c r="R2135" s="11" t="str">
        <f>IFERROR(IF(VLOOKUP(A2135,[14]PRIORIZADOS!$A:$R,18,FALSE)="","",VLOOKUP(A2135,[14]PRIORIZADOS!$A:$R,18,FALSE)),"")</f>
        <v>Se debe realizar una valoración de la planta física y establecer estrategias que mitiguen el riesgo  de accidentalidad, teniendo en cuenta el Plan de Gestión del Riesgo. A pesar de no tener estudiantes con discapacidad física, no tiene espacios adecuado en caso de requerirlo. Adecuación y ambientación para las aulas de primera infancia. Revisar visualización al tablero de algunas aulas y tomar mediadas, ya que brillan desde algunos puntos del aula. Las baterias de baños no son suficientes, debe mirar la posibilidad de ampliar y tomar medidas de ventilación en algunas de ellas.</v>
      </c>
      <c r="S2135" s="11" t="str">
        <f>IFERROR(IF(VLOOKUP(A2135,[14]PRIORIZADOS!$A:$S,19,FALSE)="","",VLOOKUP(A2135,[14]PRIORIZADOS!$A:$S,19,FALSE)),"")</f>
        <v>Realizar las adecuaciones en los espacios mencionados e incluirlo en el Plan de Mejoramiento a remitir a la DLE antes del 20 de abril de 2025.</v>
      </c>
      <c r="T2135" s="70" t="str">
        <f>IFERROR(IF(VLOOKUP(A2135,[14]PRIORIZADOS!$A:$T,20,FALSE)="","",VLOOKUP(A2135,[14]PRIORIZADOS!$A:$T,20,FALSE)),"")</f>
        <v>Si</v>
      </c>
      <c r="U2135" s="11" t="str">
        <f>IFERROR(IF(VLOOKUP(A2135,[14]PRIORIZADOS!$A:$U,21,FALSE)="","",VLOOKUP(A2135,[14]PRIORIZADOS!$A:$U,21,FALSE)),"")</f>
        <v>Verificar con registro fotográfico, los avances de acuerdo a los plazos registrados en el PMI</v>
      </c>
    </row>
    <row r="2136" spans="1:21" s="1" customFormat="1" ht="48">
      <c r="A2136" s="69">
        <f>IF([14]PRIORIZADOS!A183="","",[14]PRIORIZADOS!A183)</f>
        <v>2104</v>
      </c>
      <c r="B2136" s="70">
        <f>IFERROR(IF(VLOOKUP(A2136,[14]PRIORIZADOS!$A:$B,2,FALSE)="","",VLOOKUP(A2136,[14]PRIORIZADOS!$A:$B,2,FALSE)),"")</f>
        <v>20</v>
      </c>
      <c r="C2136" s="11" t="s">
        <v>424</v>
      </c>
      <c r="D2136" s="11" t="str">
        <f>IFERROR(IF(VLOOKUP(A2136,[14]PRIORIZADOS!$A:$D,4,FALSE)="","",VLOOKUP(A2136,[14]PRIORIZADOS!$A:$D,4,FALSE)),"")</f>
        <v>PRIVADO</v>
      </c>
      <c r="E2136" s="11" t="str">
        <f>IFERROR(IF(VLOOKUP(A2136,[14]PRIORIZADOS!$A:$E,5,FALSE)="","",VLOOKUP(A2136,[14]PRIORIZADOS!$A:$E,5,FALSE)),"")</f>
        <v>EPBM</v>
      </c>
      <c r="F2136" s="11" t="str">
        <f>IFERROR(IF(VLOOKUP(A2136,[14]PRIORIZADOS!$A:$F,6,FALSE)="","",VLOOKUP(A2136,[14]PRIORIZADOS!$A:$F,6,FALSE)),"")</f>
        <v>COLEGIO_VAN_LEEUWENHOEK</v>
      </c>
      <c r="G2136" s="11" t="str">
        <f>IFERROR(IF(VLOOKUP(A2136,[14]PRIORIZADOS!$A:$G,7,FALSE)="","",VLOOKUP(A2136,[14]PRIORIZADOS!$A:$G,7,FALSE)),"")</f>
        <v>COLEGIO VAN LEEUWENHOEK</v>
      </c>
      <c r="H2136" s="11" t="str">
        <f>IFERROR(IF(VLOOKUP(A2136,[14]PRIORIZADOS!$A:$H,8,FALSE)="","",VLOOKUP(A2136,[14]PRIORIZADOS!$A:$H,8,FALSE)),"")</f>
        <v>Autoevaluación Institucional y Pruebas SABER 11</v>
      </c>
      <c r="I2136" s="11" t="str">
        <f>IFERROR(IF(VLOOKUP(A2136,[14]PRIORIZADOS!$A:$I,9,FALSE)="","",VLOOKUP(A2136,[14]PRIORIZADOS!$A:$I,9,FALSE)),"")</f>
        <v>SEGUIMIENTO_Y_SUPERVISIÓN.</v>
      </c>
      <c r="J2136" s="11" t="str">
        <f>IFERROR(IF(VLOOKUP(A2136,[14]PRIORIZADOS!$A:$J,10,FALSE)="","",VLOOKUP(A2136,[14]PRIORIZADOS!$A:$J,10,FALSE)),"")</f>
        <v>Realizar visitas para verificar la información registrada sobre la autoevaluación institucional en el aplicativo EVI, a los establecimientos de educación formal no oficial.</v>
      </c>
      <c r="K2136" s="11" t="str">
        <f>IFERROR(IF(VLOOKUP(A2136,[14]PRIORIZADOS!$A:$K,11,FALSE)="","",VLOOKUP(A2136,[14]PRIORIZADOS!$A:$K,11,FALSE)),"")</f>
        <v>SONIA CONSTANZA URREGO GONZÁLEZ</v>
      </c>
      <c r="L2136" s="11" t="str">
        <f>IFERROR(IF(VLOOKUP(A2136,[14]PRIORIZADOS!$A:$L,12,FALSE)="","",VLOOKUP(A2136,[14]PRIORIZADOS!$A:$L,12,FALSE)),"")</f>
        <v>ALBA DEL PILAR CUBIDES CÁCERES</v>
      </c>
      <c r="M2136" s="71" t="str">
        <f>IFERROR(IF(VLOOKUP(A2136,[14]PRIORIZADOS!$A:$M,13,FALSE)="","",VLOOKUP(A2136,[14]PRIORIZADOS!$A:$M,13,FALSE)),"")</f>
        <v>13/05/2025</v>
      </c>
      <c r="N2136" s="71">
        <f>IFERROR(IF(VLOOKUP(A2136,[14]PRIORIZADOS!$A:$N,14,FALSE)="","",VLOOKUP(A2136,[14]PRIORIZADOS!$A:$N,14,FALSE)),"")</f>
        <v>45789</v>
      </c>
      <c r="O2136" s="71">
        <f>IFERROR(IF(VLOOKUP(A2136,[14]PRIORIZADOS!$A:$O,15,FALSE)="","",VLOOKUP(A2136,[14]PRIORIZADOS!$A:$O,15,FALSE)),"")</f>
        <v>45789</v>
      </c>
      <c r="P2136" s="11" t="str">
        <f>IFERROR(IF(VLOOKUP(A2136,[14]PRIORIZADOS!$A:$P,16,FALSE)="","",VLOOKUP(A2136,[14]PRIORIZADOS!$A:$P,16,FALSE)),"")</f>
        <v>Visitas de evaluación con fines de seguimiento</v>
      </c>
      <c r="Q2136" s="27" t="s">
        <v>444</v>
      </c>
      <c r="R2136" s="11" t="str">
        <f>IFERROR(IF(VLOOKUP(A2136,[14]PRIORIZADOS!$A:$R,18,FALSE)="","",VLOOKUP(A2136,[14]PRIORIZADOS!$A:$R,18,FALSE)),"")</f>
        <v>Al momento de la visita se encontró que las baterias de baños, no corresponde con la reportada  en el aplicativo EVI.</v>
      </c>
      <c r="S2136" s="11" t="str">
        <f>IFERROR(IF(VLOOKUP(A2136,[14]PRIORIZADOS!$A:$S,19,FALSE)="","",VLOOKUP(A2136,[14]PRIORIZADOS!$A:$S,19,FALSE)),"")</f>
        <v>Realizar la revisión de la normatividad relacionada con los espacios minimos  Aportar en el plan de mejormiento antes del 2 de junio de 2025.</v>
      </c>
      <c r="T2136" s="70" t="str">
        <f>IFERROR(IF(VLOOKUP(A2136,[14]PRIORIZADOS!$A:$T,20,FALSE)="","",VLOOKUP(A2136,[14]PRIORIZADOS!$A:$T,20,FALSE)),"")</f>
        <v>Si</v>
      </c>
      <c r="U2136" s="11" t="str">
        <f>IFERROR(IF(VLOOKUP(A2136,[14]PRIORIZADOS!$A:$U,21,FALSE)="","",VLOOKUP(A2136,[14]PRIORIZADOS!$A:$U,21,FALSE)),"")</f>
        <v>Verificar con registro fotográfico, los avances de acuerdo a los plazos registrados en el PMI</v>
      </c>
    </row>
    <row r="2137" spans="1:21" s="1" customFormat="1" ht="60">
      <c r="A2137" s="69">
        <f>IF([14]PRIORIZADOS!A184="","",[14]PRIORIZADOS!A184)</f>
        <v>2105</v>
      </c>
      <c r="B2137" s="70">
        <f>IFERROR(IF(VLOOKUP(A2137,[14]PRIORIZADOS!$A:$B,2,FALSE)="","",VLOOKUP(A2137,[14]PRIORIZADOS!$A:$B,2,FALSE)),"")</f>
        <v>20</v>
      </c>
      <c r="C2137" s="11" t="s">
        <v>424</v>
      </c>
      <c r="D2137" s="11" t="str">
        <f>IFERROR(IF(VLOOKUP(A2137,[14]PRIORIZADOS!$A:$D,4,FALSE)="","",VLOOKUP(A2137,[14]PRIORIZADOS!$A:$D,4,FALSE)),"")</f>
        <v>PRIVADO</v>
      </c>
      <c r="E2137" s="11" t="str">
        <f>IFERROR(IF(VLOOKUP(A2137,[14]PRIORIZADOS!$A:$E,5,FALSE)="","",VLOOKUP(A2137,[14]PRIORIZADOS!$A:$E,5,FALSE)),"")</f>
        <v>EPBM</v>
      </c>
      <c r="F2137" s="11" t="str">
        <f>IFERROR(IF(VLOOKUP(A2137,[14]PRIORIZADOS!$A:$F,6,FALSE)="","",VLOOKUP(A2137,[14]PRIORIZADOS!$A:$F,6,FALSE)),"")</f>
        <v>COLEGIO_VAN_LEEUWENHOEK</v>
      </c>
      <c r="G2137" s="11" t="str">
        <f>IFERROR(IF(VLOOKUP(A2137,[14]PRIORIZADOS!$A:$G,7,FALSE)="","",VLOOKUP(A2137,[14]PRIORIZADOS!$A:$G,7,FALSE)),"")</f>
        <v>COLEGIO VAN LEEUWENHOEK</v>
      </c>
      <c r="H2137" s="11" t="str">
        <f>IFERROR(IF(VLOOKUP(A2137,[14]PRIORIZADOS!$A:$H,8,FALSE)="","",VLOOKUP(A2137,[14]PRIORIZADOS!$A:$H,8,FALSE)),"")</f>
        <v>Autoevaluación Institucional y Pruebas SABER 11</v>
      </c>
      <c r="I2137" s="11" t="str">
        <f>IFERROR(IF(VLOOKUP(A2137,[14]PRIORIZADOS!$A:$I,9,FALSE)="","",VLOOKUP(A2137,[14]PRIORIZADOS!$A:$I,9,FALSE)),"")</f>
        <v>SEGUIMIENTO_Y_SUPERVISIÓN.</v>
      </c>
      <c r="J2137" s="11" t="str">
        <f>IFERROR(IF(VLOOKUP(A2137,[14]PRIORIZADOS!$A:$J,10,FALSE)="","",VLOOKUP(A2137,[14]PRIORIZADOS!$A:$J,10,FALSE)),"")</f>
        <v>Proponer estrategias en la formulación, verificar su elaboración y realizar seguimiento semestral al desarrollo de  las acciones establecidas en los planes de mejoramiento por pruebas SABER 11 de los establecimientos de educación formal.</v>
      </c>
      <c r="K2137" s="11" t="str">
        <f>IFERROR(IF(VLOOKUP(A2137,[14]PRIORIZADOS!$A:$K,11,FALSE)="","",VLOOKUP(A2137,[14]PRIORIZADOS!$A:$K,11,FALSE)),"")</f>
        <v>SONIA CONSTANZA URREGO GONZÁLEZ</v>
      </c>
      <c r="L2137" s="11" t="str">
        <f>IFERROR(IF(VLOOKUP(A2137,[14]PRIORIZADOS!$A:$L,12,FALSE)="","",VLOOKUP(A2137,[14]PRIORIZADOS!$A:$L,12,FALSE)),"")</f>
        <v>ALBA DEL PILAR CUBIDES CÁCERES</v>
      </c>
      <c r="M2137" s="71" t="str">
        <f>IFERROR(IF(VLOOKUP(A2137,[14]PRIORIZADOS!$A:$M,13,FALSE)="","",VLOOKUP(A2137,[14]PRIORIZADOS!$A:$M,13,FALSE)),"")</f>
        <v>13/05/2025</v>
      </c>
      <c r="N2137" s="71">
        <f>IFERROR(IF(VLOOKUP(A2137,[14]PRIORIZADOS!$A:$N,14,FALSE)="","",VLOOKUP(A2137,[14]PRIORIZADOS!$A:$N,14,FALSE)),"")</f>
        <v>45789</v>
      </c>
      <c r="O2137" s="71">
        <f>IFERROR(IF(VLOOKUP(A2137,[14]PRIORIZADOS!$A:$O,15,FALSE)="","",VLOOKUP(A2137,[14]PRIORIZADOS!$A:$O,15,FALSE)),"")</f>
        <v>45789</v>
      </c>
      <c r="P2137" s="11" t="str">
        <f>IFERROR(IF(VLOOKUP(A2137,[14]PRIORIZADOS!$A:$P,16,FALSE)="","",VLOOKUP(A2137,[14]PRIORIZADOS!$A:$P,16,FALSE)),"")</f>
        <v>Visitas de evaluación con fines de seguimiento</v>
      </c>
      <c r="Q2137" s="27" t="s">
        <v>444</v>
      </c>
      <c r="R2137" s="11" t="str">
        <f>IFERROR(IF(VLOOKUP(A2137,[14]PRIORIZADOS!$A:$R,18,FALSE)="","",VLOOKUP(A2137,[14]PRIORIZADOS!$A:$R,18,FALSE)),"")</f>
        <v>La institución educativa se encuentra clasificada en nivel B, no realiza el análsis, ni crea estrtegias para subir el nivel en las pruebas.</v>
      </c>
      <c r="S2137" s="11" t="str">
        <f>IFERROR(IF(VLOOKUP(A2137,[14]PRIORIZADOS!$A:$S,19,FALSE)="","",VLOOKUP(A2137,[14]PRIORIZADOS!$A:$S,19,FALSE)),"")</f>
        <v xml:space="preserve">Revisar los resultados y la relación con las asignaturas del plan de estudio, analizando los resultados obtenidos  de los últimos años y elaborar un plan de mejoramiento sobre las acciones a tomar. </v>
      </c>
      <c r="T2137" s="70" t="str">
        <f>IFERROR(IF(VLOOKUP(A2137,[14]PRIORIZADOS!$A:$T,20,FALSE)="","",VLOOKUP(A2137,[14]PRIORIZADOS!$A:$T,20,FALSE)),"")</f>
        <v>Si</v>
      </c>
      <c r="U2137" s="11" t="str">
        <f>IFERROR(IF(VLOOKUP(A2137,[14]PRIORIZADOS!$A:$U,21,FALSE)="","",VLOOKUP(A2137,[14]PRIORIZADOS!$A:$U,21,FALSE)),"")</f>
        <v>Verificar los resultados y las acciones en las asignaturas que presentan puntajes más bajos en la próxima calificación de las pruebas</v>
      </c>
    </row>
    <row r="2138" spans="1:21" s="1" customFormat="1" ht="48">
      <c r="A2138" s="69">
        <f>IF([14]PRIORIZADOS!A185="","",[14]PRIORIZADOS!A185)</f>
        <v>2106</v>
      </c>
      <c r="B2138" s="70">
        <f>IFERROR(IF(VLOOKUP(A2138,[14]PRIORIZADOS!$A:$B,2,FALSE)="","",VLOOKUP(A2138,[14]PRIORIZADOS!$A:$B,2,FALSE)),"")</f>
        <v>20</v>
      </c>
      <c r="C2138" s="11" t="s">
        <v>424</v>
      </c>
      <c r="D2138" s="11" t="str">
        <f>IFERROR(IF(VLOOKUP(A2138,[14]PRIORIZADOS!$A:$D,4,FALSE)="","",VLOOKUP(A2138,[14]PRIORIZADOS!$A:$D,4,FALSE)),"")</f>
        <v>PRIVADO</v>
      </c>
      <c r="E2138" s="11" t="str">
        <f>IFERROR(IF(VLOOKUP(A2138,[14]PRIORIZADOS!$A:$E,5,FALSE)="","",VLOOKUP(A2138,[14]PRIORIZADOS!$A:$E,5,FALSE)),"")</f>
        <v>EPBM</v>
      </c>
      <c r="F2138" s="11" t="str">
        <f>IFERROR(IF(VLOOKUP(A2138,[14]PRIORIZADOS!$A:$F,6,FALSE)="","",VLOOKUP(A2138,[14]PRIORIZADOS!$A:$F,6,FALSE)),"")</f>
        <v>COLEGIO_VAN_LEEUWENHOEK</v>
      </c>
      <c r="G2138" s="11" t="str">
        <f>IFERROR(IF(VLOOKUP(A2138,[14]PRIORIZADOS!$A:$G,7,FALSE)="","",VLOOKUP(A2138,[14]PRIORIZADOS!$A:$G,7,FALSE)),"")</f>
        <v>COLEGIO VAN LEEUWENHOEK</v>
      </c>
      <c r="H2138" s="11" t="str">
        <f>IFERROR(IF(VLOOKUP(A2138,[14]PRIORIZADOS!$A:$H,8,FALSE)="","",VLOOKUP(A2138,[14]PRIORIZADOS!$A:$H,8,FALSE)),"")</f>
        <v>Autoevaluación Institucional y Pruebas SABER 11</v>
      </c>
      <c r="I2138" s="11" t="str">
        <f>IFERROR(IF(VLOOKUP(A2138,[14]PRIORIZADOS!$A:$I,9,FALSE)="","",VLOOKUP(A2138,[14]PRIORIZADOS!$A:$I,9,FALSE)),"")</f>
        <v>SEGUIMIENTO_Y_SUPERVISIÓN.</v>
      </c>
      <c r="J2138" s="11" t="str">
        <f>IFERROR(IF(VLOOKUP(A2138,[14]PRIORIZADOS!$A:$J,10,FALSE)="","",VLOOKUP(A2138,[14]PRIORIZADOS!$A:$J,10,FALSE)),"")</f>
        <v xml:space="preserve">Verificar la implementación por parte de los colegios, de acciones realizadas para la prevención y atención de las situaciones de convivencia en el entorno escolar, según lo establecido en la Directiva 01 de 2022 del MEN. </v>
      </c>
      <c r="K2138" s="11" t="str">
        <f>IFERROR(IF(VLOOKUP(A2138,[14]PRIORIZADOS!$A:$K,11,FALSE)="","",VLOOKUP(A2138,[14]PRIORIZADOS!$A:$K,11,FALSE)),"")</f>
        <v>SONIA CONSTANZA URREGO GONZÁLEZ</v>
      </c>
      <c r="L2138" s="11" t="str">
        <f>IFERROR(IF(VLOOKUP(A2138,[14]PRIORIZADOS!$A:$L,12,FALSE)="","",VLOOKUP(A2138,[14]PRIORIZADOS!$A:$L,12,FALSE)),"")</f>
        <v>ALBA DEL PILAR CUBIDES CÁCERES</v>
      </c>
      <c r="M2138" s="71" t="str">
        <f>IFERROR(IF(VLOOKUP(A2138,[14]PRIORIZADOS!$A:$M,13,FALSE)="","",VLOOKUP(A2138,[14]PRIORIZADOS!$A:$M,13,FALSE)),"")</f>
        <v>13/05/2025</v>
      </c>
      <c r="N2138" s="71">
        <f>IFERROR(IF(VLOOKUP(A2138,[14]PRIORIZADOS!$A:$N,14,FALSE)="","",VLOOKUP(A2138,[14]PRIORIZADOS!$A:$N,14,FALSE)),"")</f>
        <v>45789</v>
      </c>
      <c r="O2138" s="71">
        <f>IFERROR(IF(VLOOKUP(A2138,[14]PRIORIZADOS!$A:$O,15,FALSE)="","",VLOOKUP(A2138,[14]PRIORIZADOS!$A:$O,15,FALSE)),"")</f>
        <v>45789</v>
      </c>
      <c r="P2138" s="11" t="str">
        <f>IFERROR(IF(VLOOKUP(A2138,[14]PRIORIZADOS!$A:$P,16,FALSE)="","",VLOOKUP(A2138,[14]PRIORIZADOS!$A:$P,16,FALSE)),"")</f>
        <v>Visitas de evaluación con fines de seguimiento</v>
      </c>
      <c r="Q2138" s="27" t="s">
        <v>444</v>
      </c>
      <c r="R2138" s="11" t="str">
        <f>IFERROR(IF(VLOOKUP(A2138,[14]PRIORIZADOS!$A:$R,18,FALSE)="","",VLOOKUP(A2138,[14]PRIORIZADOS!$A:$R,18,FALSE)),"")</f>
        <v>Se encontró que cuenta  con la consulta de inhabliddes por delitos sexuales para el inicio del año 2025.</v>
      </c>
      <c r="S2138" s="11" t="str">
        <f>IFERROR(IF(VLOOKUP(A2138,[14]PRIORIZADOS!$A:$S,19,FALSE)="","",VLOOKUP(A2138,[14]PRIORIZADOS!$A:$S,19,FALSE)),"")</f>
        <v xml:space="preserve">Realizar la consulta cada 4 meses, dejando el respectivo soporte, en cumplimiento de la Directiva 01 de 2022  </v>
      </c>
      <c r="T2138" s="70" t="str">
        <f>IFERROR(IF(VLOOKUP(A2138,[14]PRIORIZADOS!$A:$T,20,FALSE)="","",VLOOKUP(A2138,[14]PRIORIZADOS!$A:$T,20,FALSE)),"")</f>
        <v>No</v>
      </c>
      <c r="U2138" s="11" t="str">
        <f>IFERROR(IF(VLOOKUP(A2138,[14]PRIORIZADOS!$A:$U,21,FALSE)="","",VLOOKUP(A2138,[14]PRIORIZADOS!$A:$U,21,FALSE)),"")</f>
        <v xml:space="preserve">Verificar la consulta periodica de acuerdo con lo establecido en la directiva 01 del 2022. </v>
      </c>
    </row>
    <row r="2139" spans="1:21" s="1" customFormat="1" ht="72">
      <c r="A2139" s="69">
        <f>IF([14]PRIORIZADOS!A186="","",[14]PRIORIZADOS!A186)</f>
        <v>2107</v>
      </c>
      <c r="B2139" s="70">
        <f>IFERROR(IF(VLOOKUP(A2139,[14]PRIORIZADOS!$A:$B,2,FALSE)="","",VLOOKUP(A2139,[14]PRIORIZADOS!$A:$B,2,FALSE)),"")</f>
        <v>20</v>
      </c>
      <c r="C2139" s="11" t="s">
        <v>424</v>
      </c>
      <c r="D2139" s="11" t="str">
        <f>IFERROR(IF(VLOOKUP(A2139,[14]PRIORIZADOS!$A:$D,4,FALSE)="","",VLOOKUP(A2139,[14]PRIORIZADOS!$A:$D,4,FALSE)),"")</f>
        <v>PRIVADO</v>
      </c>
      <c r="E2139" s="11" t="str">
        <f>IFERROR(IF(VLOOKUP(A2139,[14]PRIORIZADOS!$A:$E,5,FALSE)="","",VLOOKUP(A2139,[14]PRIORIZADOS!$A:$E,5,FALSE)),"")</f>
        <v>EPBM</v>
      </c>
      <c r="F2139" s="11" t="str">
        <f>IFERROR(IF(VLOOKUP(A2139,[14]PRIORIZADOS!$A:$F,6,FALSE)="","",VLOOKUP(A2139,[14]PRIORIZADOS!$A:$F,6,FALSE)),"")</f>
        <v>COLEGIO_VAN_LEEUWENHOEK</v>
      </c>
      <c r="G2139" s="11" t="str">
        <f>IFERROR(IF(VLOOKUP(A2139,[14]PRIORIZADOS!$A:$G,7,FALSE)="","",VLOOKUP(A2139,[14]PRIORIZADOS!$A:$G,7,FALSE)),"")</f>
        <v>COLEGIO VAN LEEUWENHOEK</v>
      </c>
      <c r="H2139" s="11" t="str">
        <f>IFERROR(IF(VLOOKUP(A2139,[14]PRIORIZADOS!$A:$H,8,FALSE)="","",VLOOKUP(A2139,[14]PRIORIZADOS!$A:$H,8,FALSE)),"")</f>
        <v>Autoevaluación Institucional y Pruebas SABER 11</v>
      </c>
      <c r="I2139" s="11" t="str">
        <f>IFERROR(IF(VLOOKUP(A2139,[14]PRIORIZADOS!$A:$I,9,FALSE)="","",VLOOKUP(A2139,[14]PRIORIZADOS!$A:$I,9,FALSE)),"")</f>
        <v>SEGUIMIENTO_Y_SUPERVISIÓN.</v>
      </c>
      <c r="J2139" s="11" t="str">
        <f>IFERROR(IF(VLOOKUP(A2139,[14]PRIORIZADOS!$A:$J,10,FALSE)="","",VLOOKUP(A2139,[14]PRIORIZADOS!$A:$J,10,FALSE)),"")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39" s="11" t="str">
        <f>IFERROR(IF(VLOOKUP(A2139,[14]PRIORIZADOS!$A:$K,11,FALSE)="","",VLOOKUP(A2139,[14]PRIORIZADOS!$A:$K,11,FALSE)),"")</f>
        <v>SONIA CONSTANZA URREGO GONZÁLEZ</v>
      </c>
      <c r="L2139" s="11" t="str">
        <f>IFERROR(IF(VLOOKUP(A2139,[14]PRIORIZADOS!$A:$L,12,FALSE)="","",VLOOKUP(A2139,[14]PRIORIZADOS!$A:$L,12,FALSE)),"")</f>
        <v>ALBA DEL PILAR CUBIDES CÁCERES</v>
      </c>
      <c r="M2139" s="71" t="str">
        <f>IFERROR(IF(VLOOKUP(A2139,[14]PRIORIZADOS!$A:$M,13,FALSE)="","",VLOOKUP(A2139,[14]PRIORIZADOS!$A:$M,13,FALSE)),"")</f>
        <v>13/05/2025</v>
      </c>
      <c r="N2139" s="71">
        <f>IFERROR(IF(VLOOKUP(A2139,[14]PRIORIZADOS!$A:$N,14,FALSE)="","",VLOOKUP(A2139,[14]PRIORIZADOS!$A:$N,14,FALSE)),"")</f>
        <v>45789</v>
      </c>
      <c r="O2139" s="71">
        <f>IFERROR(IF(VLOOKUP(A2139,[14]PRIORIZADOS!$A:$O,15,FALSE)="","",VLOOKUP(A2139,[14]PRIORIZADOS!$A:$O,15,FALSE)),"")</f>
        <v>45789</v>
      </c>
      <c r="P2139" s="11" t="str">
        <f>IFERROR(IF(VLOOKUP(A2139,[14]PRIORIZADOS!$A:$P,16,FALSE)="","",VLOOKUP(A2139,[14]PRIORIZADOS!$A:$P,16,FALSE)),"")</f>
        <v>Visitas de evaluación con fines de seguimiento</v>
      </c>
      <c r="Q2139" s="27" t="s">
        <v>444</v>
      </c>
      <c r="R2139" s="11" t="str">
        <f>IFERROR(IF(VLOOKUP(A2139,[14]PRIORIZADOS!$A:$R,18,FALSE)="","",VLOOKUP(A2139,[14]PRIORIZADOS!$A:$R,18,FALSE)),"")</f>
        <v>Se encontró que existe PIAR para los estudiantes que lo requieren y que permiten determinar las discapacidades y acciones a realizar con cada estudiante.</v>
      </c>
      <c r="S2139" s="11" t="str">
        <f>IFERROR(IF(VLOOKUP(A2139,[14]PRIORIZADOS!$A:$S,19,FALSE)="","",VLOOKUP(A2139,[14]PRIORIZADOS!$A:$S,19,FALSE)),"")</f>
        <v>Realizar seguimiento y ajustes acorde a las necesidades del estudiante.</v>
      </c>
      <c r="T2139" s="70" t="str">
        <f>IFERROR(IF(VLOOKUP(A2139,[14]PRIORIZADOS!$A:$T,20,FALSE)="","",VLOOKUP(A2139,[14]PRIORIZADOS!$A:$T,20,FALSE)),"")</f>
        <v>No</v>
      </c>
      <c r="U2139" s="11" t="str">
        <f>IFERROR(IF(VLOOKUP(A2139,[14]PRIORIZADOS!$A:$U,21,FALSE)="","",VLOOKUP(A2139,[14]PRIORIZADOS!$A:$U,21,FALSE)),"")</f>
        <v>Realizar el Seguimiento y ajustes acorde a lo reportado por los docentes.</v>
      </c>
    </row>
    <row r="2140" spans="1:21" s="1" customFormat="1" ht="84">
      <c r="A2140" s="69">
        <f>IF([14]PRIORIZADOS!A187="","",[14]PRIORIZADOS!A187)</f>
        <v>2108</v>
      </c>
      <c r="B2140" s="70">
        <f>IFERROR(IF(VLOOKUP(A2140,[14]PRIORIZADOS!$A:$B,2,FALSE)="","",VLOOKUP(A2140,[14]PRIORIZADOS!$A:$B,2,FALSE)),"")</f>
        <v>20</v>
      </c>
      <c r="C2140" s="11" t="s">
        <v>424</v>
      </c>
      <c r="D2140" s="11" t="str">
        <f>IFERROR(IF(VLOOKUP(A2140,[14]PRIORIZADOS!$A:$D,4,FALSE)="","",VLOOKUP(A2140,[14]PRIORIZADOS!$A:$D,4,FALSE)),"")</f>
        <v>PRIVADO</v>
      </c>
      <c r="E2140" s="11" t="str">
        <f>IFERROR(IF(VLOOKUP(A2140,[14]PRIORIZADOS!$A:$E,5,FALSE)="","",VLOOKUP(A2140,[14]PRIORIZADOS!$A:$E,5,FALSE)),"")</f>
        <v>EPBM</v>
      </c>
      <c r="F2140" s="11" t="str">
        <f>IFERROR(IF(VLOOKUP(A2140,[14]PRIORIZADOS!$A:$F,6,FALSE)="","",VLOOKUP(A2140,[14]PRIORIZADOS!$A:$F,6,FALSE)),"")</f>
        <v>COLEGIO_VAN_LEEUWENHOEK</v>
      </c>
      <c r="G2140" s="11" t="str">
        <f>IFERROR(IF(VLOOKUP(A2140,[14]PRIORIZADOS!$A:$G,7,FALSE)="","",VLOOKUP(A2140,[14]PRIORIZADOS!$A:$G,7,FALSE)),"")</f>
        <v>COLEGIO VAN LEEUWENHOEK</v>
      </c>
      <c r="H2140" s="11" t="str">
        <f>IFERROR(IF(VLOOKUP(A2140,[14]PRIORIZADOS!$A:$H,8,FALSE)="","",VLOOKUP(A2140,[14]PRIORIZADOS!$A:$H,8,FALSE)),"")</f>
        <v>Autoevaluación Institucional y Pruebas SABER 11</v>
      </c>
      <c r="I2140" s="11" t="str">
        <f>IFERROR(IF(VLOOKUP(A2140,[14]PRIORIZADOS!$A:$I,9,FALSE)="","",VLOOKUP(A2140,[14]PRIORIZADOS!$A:$I,9,FALSE)),"")</f>
        <v>EVALUACIÓN_CON_FINES_DE_MEJORAMIENTO.</v>
      </c>
      <c r="J2140" s="11" t="str">
        <f>IFERROR(IF(VLOOKUP(A2140,[14]PRIORIZADOS!$A:$J,10,FALSE)="","",VLOOKUP(A2140,[14]PRIORIZADOS!$A:$J,10,FALSE)),"")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40" s="11" t="str">
        <f>IFERROR(IF(VLOOKUP(A2140,[14]PRIORIZADOS!$A:$K,11,FALSE)="","",VLOOKUP(A2140,[14]PRIORIZADOS!$A:$K,11,FALSE)),"")</f>
        <v>SONIA CONSTANZA URREGO GONZÁLEZ</v>
      </c>
      <c r="L2140" s="11" t="str">
        <f>IFERROR(IF(VLOOKUP(A2140,[14]PRIORIZADOS!$A:$L,12,FALSE)="","",VLOOKUP(A2140,[14]PRIORIZADOS!$A:$L,12,FALSE)),"")</f>
        <v>ALBA DEL PILAR CUBIDES CÁCERES</v>
      </c>
      <c r="M2140" s="71" t="str">
        <f>IFERROR(IF(VLOOKUP(A2140,[14]PRIORIZADOS!$A:$M,13,FALSE)="","",VLOOKUP(A2140,[14]PRIORIZADOS!$A:$M,13,FALSE)),"")</f>
        <v>13/05/2025</v>
      </c>
      <c r="N2140" s="71">
        <f>IFERROR(IF(VLOOKUP(A2140,[14]PRIORIZADOS!$A:$N,14,FALSE)="","",VLOOKUP(A2140,[14]PRIORIZADOS!$A:$N,14,FALSE)),"")</f>
        <v>45789</v>
      </c>
      <c r="O2140" s="71">
        <f>IFERROR(IF(VLOOKUP(A2140,[14]PRIORIZADOS!$A:$O,15,FALSE)="","",VLOOKUP(A2140,[14]PRIORIZADOS!$A:$O,15,FALSE)),"")</f>
        <v>45789</v>
      </c>
      <c r="P2140" s="11" t="str">
        <f>IFERROR(IF(VLOOKUP(A2140,[14]PRIORIZADOS!$A:$P,16,FALSE)="","",VLOOKUP(A2140,[14]PRIORIZADOS!$A:$P,16,FALSE)),"")</f>
        <v>Visitas de evaluación con fines de mejoramiento</v>
      </c>
      <c r="Q2140" s="27" t="s">
        <v>444</v>
      </c>
      <c r="R2140" s="11" t="str">
        <f>IFERROR(IF(VLOOKUP(A2140,[14]PRIORIZADOS!$A:$R,18,FALSE)="","",VLOOKUP(A2140,[14]PRIORIZADOS!$A:$R,18,FALSE)),"")</f>
        <v>Se encontró que la última actualización es de noviembre del año 2024 y será sujeto de revisión por parte del ELIV.</v>
      </c>
      <c r="S2140" s="11" t="str">
        <f>IFERROR(IF(VLOOKUP(A2140,[14]PRIORIZADOS!$A:$S,19,FALSE)="","",VLOOKUP(A2140,[14]PRIORIZADOS!$A:$S,19,FALSE)),"")</f>
        <v>Hacer seguimiento constante a la necesidad de actualizar el manual de convivencia según la normatividad vigente. Realizar ajuste al manual acorde con las observaciones realizadas por parte del ELIV</v>
      </c>
      <c r="T2140" s="70" t="str">
        <f>IFERROR(IF(VLOOKUP(A2140,[14]PRIORIZADOS!$A:$T,20,FALSE)="","",VLOOKUP(A2140,[14]PRIORIZADOS!$A:$T,20,FALSE)),"")</f>
        <v>No</v>
      </c>
      <c r="U2140" s="11" t="str">
        <f>IFERROR(IF(VLOOKUP(A2140,[14]PRIORIZADOS!$A:$U,21,FALSE)="","",VLOOKUP(A2140,[14]PRIORIZADOS!$A:$U,21,FALSE)),"")</f>
        <v>Verificar los ajustes realizados al Manual, acorde a las observaciones realizadas por parte del ELIV.</v>
      </c>
    </row>
    <row r="2141" spans="1:21" s="1" customFormat="1" ht="48">
      <c r="A2141" s="69">
        <f>IF([14]PRIORIZADOS!A188="","",[14]PRIORIZADOS!A188)</f>
        <v>2109</v>
      </c>
      <c r="B2141" s="70">
        <f>IFERROR(IF(VLOOKUP(A2141,[14]PRIORIZADOS!$A:$B,2,FALSE)="","",VLOOKUP(A2141,[14]PRIORIZADOS!$A:$B,2,FALSE)),"")</f>
        <v>20</v>
      </c>
      <c r="C2141" s="11" t="s">
        <v>424</v>
      </c>
      <c r="D2141" s="11" t="str">
        <f>IFERROR(IF(VLOOKUP(A2141,[14]PRIORIZADOS!$A:$D,4,FALSE)="","",VLOOKUP(A2141,[14]PRIORIZADOS!$A:$D,4,FALSE)),"")</f>
        <v>PRIVADO</v>
      </c>
      <c r="E2141" s="11" t="str">
        <f>IFERROR(IF(VLOOKUP(A2141,[14]PRIORIZADOS!$A:$E,5,FALSE)="","",VLOOKUP(A2141,[14]PRIORIZADOS!$A:$E,5,FALSE)),"")</f>
        <v>EPBM</v>
      </c>
      <c r="F2141" s="11" t="str">
        <f>IFERROR(IF(VLOOKUP(A2141,[14]PRIORIZADOS!$A:$F,6,FALSE)="","",VLOOKUP(A2141,[14]PRIORIZADOS!$A:$F,6,FALSE)),"")</f>
        <v>COLEGIO_VAN_LEEUWENHOEK</v>
      </c>
      <c r="G2141" s="11" t="str">
        <f>IFERROR(IF(VLOOKUP(A2141,[14]PRIORIZADOS!$A:$G,7,FALSE)="","",VLOOKUP(A2141,[14]PRIORIZADOS!$A:$G,7,FALSE)),"")</f>
        <v>COLEGIO VAN LEEUWENHOEK</v>
      </c>
      <c r="H2141" s="11" t="str">
        <f>IFERROR(IF(VLOOKUP(A2141,[14]PRIORIZADOS!$A:$H,8,FALSE)="","",VLOOKUP(A2141,[14]PRIORIZADOS!$A:$H,8,FALSE)),"")</f>
        <v>Autoevaluación Institucional y Pruebas SABER 11</v>
      </c>
      <c r="I2141" s="11" t="str">
        <f>IFERROR(IF(VLOOKUP(A2141,[14]PRIORIZADOS!$A:$I,9,FALSE)="","",VLOOKUP(A2141,[14]PRIORIZADOS!$A:$I,9,FALSE)),"")</f>
        <v>EVALUACIÓN_CON_FINES_DE_MEJORAMIENTO.</v>
      </c>
      <c r="J2141" s="11" t="str">
        <f>IFERROR(IF(VLOOKUP(A2141,[14]PRIORIZADOS!$A:$J,10,FALSE)="","",VLOOKUP(A2141,[14]PRIORIZADOS!$A:$J,10,FALSE)),"")</f>
        <v>Revisar la actualización, socialización e implementación del Sistema Institucional de Evaluación de Estudiantes - SIEE, en articulación con la actualización del PEI y la normatividad vigente.</v>
      </c>
      <c r="K2141" s="11" t="str">
        <f>IFERROR(IF(VLOOKUP(A2141,[14]PRIORIZADOS!$A:$K,11,FALSE)="","",VLOOKUP(A2141,[14]PRIORIZADOS!$A:$K,11,FALSE)),"")</f>
        <v>SONIA CONSTANZA URREGO GONZÁLEZ</v>
      </c>
      <c r="L2141" s="11" t="str">
        <f>IFERROR(IF(VLOOKUP(A2141,[14]PRIORIZADOS!$A:$L,12,FALSE)="","",VLOOKUP(A2141,[14]PRIORIZADOS!$A:$L,12,FALSE)),"")</f>
        <v>ALBA DEL PILAR CUBIDES CÁCERES</v>
      </c>
      <c r="M2141" s="71" t="str">
        <f>IFERROR(IF(VLOOKUP(A2141,[14]PRIORIZADOS!$A:$M,13,FALSE)="","",VLOOKUP(A2141,[14]PRIORIZADOS!$A:$M,13,FALSE)),"")</f>
        <v>13/05/2025</v>
      </c>
      <c r="N2141" s="71">
        <f>IFERROR(IF(VLOOKUP(A2141,[14]PRIORIZADOS!$A:$N,14,FALSE)="","",VLOOKUP(A2141,[14]PRIORIZADOS!$A:$N,14,FALSE)),"")</f>
        <v>45789</v>
      </c>
      <c r="O2141" s="71">
        <f>IFERROR(IF(VLOOKUP(A2141,[14]PRIORIZADOS!$A:$O,15,FALSE)="","",VLOOKUP(A2141,[14]PRIORIZADOS!$A:$O,15,FALSE)),"")</f>
        <v>45789</v>
      </c>
      <c r="P2141" s="11" t="str">
        <f>IFERROR(IF(VLOOKUP(A2141,[14]PRIORIZADOS!$A:$P,16,FALSE)="","",VLOOKUP(A2141,[14]PRIORIZADOS!$A:$P,16,FALSE)),"")</f>
        <v>Visitas de evaluación con fines de mejoramiento</v>
      </c>
      <c r="Q2141" s="47" t="s">
        <v>444</v>
      </c>
      <c r="R2141" s="11" t="str">
        <f>IFERROR(IF(VLOOKUP(A2141,[14]PRIORIZADOS!$A:$R,18,FALSE)="","",VLOOKUP(A2141,[14]PRIORIZADOS!$A:$R,18,FALSE)),"")</f>
        <v>Revisado el SIEE cuenta con los criterios de evaluación y promoción y  escala valorativa.</v>
      </c>
      <c r="S2141" s="11" t="str">
        <f>IFERROR(IF(VLOOKUP(A2141,[14]PRIORIZADOS!$A:$S,19,FALSE)="","",VLOOKUP(A2141,[14]PRIORIZADOS!$A:$S,19,FALSE)),"")</f>
        <v xml:space="preserve">Hacer seguimiento constante para determinar la necesidad de actualizar el SIEE. </v>
      </c>
      <c r="T2141" s="70" t="str">
        <f>IFERROR(IF(VLOOKUP(A2141,[14]PRIORIZADOS!$A:$T,20,FALSE)="","",VLOOKUP(A2141,[14]PRIORIZADOS!$A:$T,20,FALSE)),"")</f>
        <v>No</v>
      </c>
      <c r="U2141" s="11" t="str">
        <f>IFERROR(IF(VLOOKUP(A2141,[14]PRIORIZADOS!$A:$U,21,FALSE)="","",VLOOKUP(A2141,[14]PRIORIZADOS!$A:$U,21,FALSE)),"")</f>
        <v>Verificar que exista o no la necesidad de actualización del SIEE.</v>
      </c>
    </row>
    <row r="2142" spans="1:21" s="1" customFormat="1" ht="60">
      <c r="A2142" s="69">
        <f>IF([14]PRIORIZADOS!A189="","",[14]PRIORIZADOS!A189)</f>
        <v>2110</v>
      </c>
      <c r="B2142" s="70">
        <f>IFERROR(IF(VLOOKUP(A2142,[14]PRIORIZADOS!$A:$B,2,FALSE)="","",VLOOKUP(A2142,[14]PRIORIZADOS!$A:$B,2,FALSE)),"")</f>
        <v>20</v>
      </c>
      <c r="C2142" s="11" t="s">
        <v>424</v>
      </c>
      <c r="D2142" s="11" t="str">
        <f>IFERROR(IF(VLOOKUP(A2142,[14]PRIORIZADOS!$A:$D,4,FALSE)="","",VLOOKUP(A2142,[14]PRIORIZADOS!$A:$D,4,FALSE)),"")</f>
        <v>PRIVADO</v>
      </c>
      <c r="E2142" s="11" t="str">
        <f>IFERROR(IF(VLOOKUP(A2142,[14]PRIORIZADOS!$A:$E,5,FALSE)="","",VLOOKUP(A2142,[14]PRIORIZADOS!$A:$E,5,FALSE)),"")</f>
        <v>EPBM</v>
      </c>
      <c r="F2142" s="11" t="str">
        <f>IFERROR(IF(VLOOKUP(A2142,[14]PRIORIZADOS!$A:$F,6,FALSE)="","",VLOOKUP(A2142,[14]PRIORIZADOS!$A:$F,6,FALSE)),"")</f>
        <v>COLEGIO_VAN_LEEUWENHOEK</v>
      </c>
      <c r="G2142" s="11" t="str">
        <f>IFERROR(IF(VLOOKUP(A2142,[14]PRIORIZADOS!$A:$G,7,FALSE)="","",VLOOKUP(A2142,[14]PRIORIZADOS!$A:$G,7,FALSE)),"")</f>
        <v>COLEGIO VAN LEEUWENHOEK</v>
      </c>
      <c r="H2142" s="11" t="str">
        <f>IFERROR(IF(VLOOKUP(A2142,[14]PRIORIZADOS!$A:$H,8,FALSE)="","",VLOOKUP(A2142,[14]PRIORIZADOS!$A:$H,8,FALSE)),"")</f>
        <v>Autoevaluación Institucional y Pruebas SABER 11</v>
      </c>
      <c r="I2142" s="11" t="str">
        <f>IFERROR(IF(VLOOKUP(A2142,[14]PRIORIZADOS!$A:$I,9,FALSE)="","",VLOOKUP(A2142,[14]PRIORIZADOS!$A:$I,9,FALSE)),"")</f>
        <v>EVALUACIÓN_CON_FINES_DE_MEJORAMIENTO.</v>
      </c>
      <c r="J2142" s="11" t="str">
        <f>IFERROR(IF(VLOOKUP(A2142,[14]PRIORIZADOS!$A:$J,10,FALSE)="","",VLOOKUP(A2142,[14]PRIORIZADOS!$A:$J,10,FALSE)),"")</f>
        <v>Revisar el calendario escolar, jornada escolar, la intensidad horaria mínima anual en cada nivel y las modificaciones que se realicen al mismo, de acuerdo con lo previsto en la normatividad vigente.</v>
      </c>
      <c r="K2142" s="11" t="str">
        <f>IFERROR(IF(VLOOKUP(A2142,[14]PRIORIZADOS!$A:$K,11,FALSE)="","",VLOOKUP(A2142,[14]PRIORIZADOS!$A:$K,11,FALSE)),"")</f>
        <v>SONIA CONSTANZA URREGO GONZÁLEZ</v>
      </c>
      <c r="L2142" s="11" t="str">
        <f>IFERROR(IF(VLOOKUP(A2142,[14]PRIORIZADOS!$A:$L,12,FALSE)="","",VLOOKUP(A2142,[14]PRIORIZADOS!$A:$L,12,FALSE)),"")</f>
        <v>ALBA DEL PILAR CUBIDES CÁCERES</v>
      </c>
      <c r="M2142" s="71" t="str">
        <f>IFERROR(IF(VLOOKUP(A2142,[14]PRIORIZADOS!$A:$M,13,FALSE)="","",VLOOKUP(A2142,[14]PRIORIZADOS!$A:$M,13,FALSE)),"")</f>
        <v>13/05/2025</v>
      </c>
      <c r="N2142" s="71">
        <f>IFERROR(IF(VLOOKUP(A2142,[14]PRIORIZADOS!$A:$N,14,FALSE)="","",VLOOKUP(A2142,[14]PRIORIZADOS!$A:$N,14,FALSE)),"")</f>
        <v>45789</v>
      </c>
      <c r="O2142" s="71">
        <f>IFERROR(IF(VLOOKUP(A2142,[14]PRIORIZADOS!$A:$O,15,FALSE)="","",VLOOKUP(A2142,[14]PRIORIZADOS!$A:$O,15,FALSE)),"")</f>
        <v>45789</v>
      </c>
      <c r="P2142" s="11" t="str">
        <f>IFERROR(IF(VLOOKUP(A2142,[14]PRIORIZADOS!$A:$P,16,FALSE)="","",VLOOKUP(A2142,[14]PRIORIZADOS!$A:$P,16,FALSE)),"")</f>
        <v>Visitas de evaluación con fines de mejoramiento</v>
      </c>
      <c r="Q2142" s="48" t="s">
        <v>444</v>
      </c>
      <c r="R2142" s="11" t="str">
        <f>IFERROR(IF(VLOOKUP(A2142,[14]PRIORIZADOS!$A:$R,18,FALSE)="","",VLOOKUP(A2142,[14]PRIORIZADOS!$A:$R,18,FALSE)),"")</f>
        <v>Cumple con el número de semanas y horas por cada nivel y realizó reporte de información del calendario escolar. El reporte a la SED no se encuentra firmado por rectoria.</v>
      </c>
      <c r="S2142" s="11" t="str">
        <f>IFERROR(IF(VLOOKUP(A2142,[14]PRIORIZADOS!$A:$S,19,FALSE)="","",VLOOKUP(A2142,[14]PRIORIZADOS!$A:$S,19,FALSE)),"")</f>
        <v xml:space="preserve">Cargar documento informado en el aplicativo y continuar con el cumplimiento del calendario.  </v>
      </c>
      <c r="T2142" s="70" t="str">
        <f>IFERROR(IF(VLOOKUP(A2142,[14]PRIORIZADOS!$A:$T,20,FALSE)="","",VLOOKUP(A2142,[14]PRIORIZADOS!$A:$T,20,FALSE)),"")</f>
        <v>No</v>
      </c>
      <c r="U2142" s="11" t="str">
        <f>IFERROR(IF(VLOOKUP(A2142,[14]PRIORIZADOS!$A:$U,21,FALSE)="","",VLOOKUP(A2142,[14]PRIORIZADOS!$A:$U,21,FALSE)),"")</f>
        <v>Verificar el cumplimiento del calendario académico.</v>
      </c>
    </row>
    <row r="2143" spans="1:21" s="1" customFormat="1" ht="48">
      <c r="A2143" s="69">
        <f>IF([14]PRIORIZADOS!A190="","",[14]PRIORIZADOS!A190)</f>
        <v>2111</v>
      </c>
      <c r="B2143" s="70">
        <f>IFERROR(IF(VLOOKUP(A2143,[14]PRIORIZADOS!$A:$B,2,FALSE)="","",VLOOKUP(A2143,[14]PRIORIZADOS!$A:$B,2,FALSE)),"")</f>
        <v>20</v>
      </c>
      <c r="C2143" s="11" t="s">
        <v>424</v>
      </c>
      <c r="D2143" s="11" t="str">
        <f>IFERROR(IF(VLOOKUP(A2143,[14]PRIORIZADOS!$A:$D,4,FALSE)="","",VLOOKUP(A2143,[14]PRIORIZADOS!$A:$D,4,FALSE)),"")</f>
        <v>PRIVADO</v>
      </c>
      <c r="E2143" s="11" t="str">
        <f>IFERROR(IF(VLOOKUP(A2143,[14]PRIORIZADOS!$A:$E,5,FALSE)="","",VLOOKUP(A2143,[14]PRIORIZADOS!$A:$E,5,FALSE)),"")</f>
        <v>EPBM</v>
      </c>
      <c r="F2143" s="11" t="str">
        <f>IFERROR(IF(VLOOKUP(A2143,[14]PRIORIZADOS!$A:$F,6,FALSE)="","",VLOOKUP(A2143,[14]PRIORIZADOS!$A:$F,6,FALSE)),"")</f>
        <v>COLEGIO_VAN_LEEUWENHOEK</v>
      </c>
      <c r="G2143" s="11" t="str">
        <f>IFERROR(IF(VLOOKUP(A2143,[14]PRIORIZADOS!$A:$G,7,FALSE)="","",VLOOKUP(A2143,[14]PRIORIZADOS!$A:$G,7,FALSE)),"")</f>
        <v>COLEGIO VAN LEEUWENHOEK</v>
      </c>
      <c r="H2143" s="11" t="str">
        <f>IFERROR(IF(VLOOKUP(A2143,[14]PRIORIZADOS!$A:$H,8,FALSE)="","",VLOOKUP(A2143,[14]PRIORIZADOS!$A:$H,8,FALSE)),"")</f>
        <v>Autoevaluación Institucional y Pruebas SABER 11</v>
      </c>
      <c r="I2143" s="11" t="str">
        <f>IFERROR(IF(VLOOKUP(A2143,[14]PRIORIZADOS!$A:$I,9,FALSE)="","",VLOOKUP(A2143,[14]PRIORIZADOS!$A:$I,9,FALSE)),"")</f>
        <v>EVALUACIÓN_CON_FINES_DE_MEJORAMIENTO.</v>
      </c>
      <c r="J2143" s="11" t="str">
        <f>IFERROR(IF(VLOOKUP(A2143,[14]PRIORIZADOS!$A:$J,10,FALSE)="","",VLOOKUP(A2143,[14]PRIORIZADOS!$A:$J,10,FALSE)),"")</f>
        <v>Verificar el funcionamiento del Gobierno Escolar e instancias de participación con base en la información sobre conformación reportada por la institución educativa.</v>
      </c>
      <c r="K2143" s="11" t="str">
        <f>IFERROR(IF(VLOOKUP(A2143,[14]PRIORIZADOS!$A:$K,11,FALSE)="","",VLOOKUP(A2143,[14]PRIORIZADOS!$A:$K,11,FALSE)),"")</f>
        <v>SONIA CONSTANZA URREGO GONZÁLEZ</v>
      </c>
      <c r="L2143" s="11" t="str">
        <f>IFERROR(IF(VLOOKUP(A2143,[14]PRIORIZADOS!$A:$L,12,FALSE)="","",VLOOKUP(A2143,[14]PRIORIZADOS!$A:$L,12,FALSE)),"")</f>
        <v>ALBA DEL PILAR CUBIDES CÁCERES</v>
      </c>
      <c r="M2143" s="71" t="str">
        <f>IFERROR(IF(VLOOKUP(A2143,[14]PRIORIZADOS!$A:$M,13,FALSE)="","",VLOOKUP(A2143,[14]PRIORIZADOS!$A:$M,13,FALSE)),"")</f>
        <v>13/05/2025</v>
      </c>
      <c r="N2143" s="71">
        <f>IFERROR(IF(VLOOKUP(A2143,[14]PRIORIZADOS!$A:$N,14,FALSE)="","",VLOOKUP(A2143,[14]PRIORIZADOS!$A:$N,14,FALSE)),"")</f>
        <v>45789</v>
      </c>
      <c r="O2143" s="71">
        <f>IFERROR(IF(VLOOKUP(A2143,[14]PRIORIZADOS!$A:$O,15,FALSE)="","",VLOOKUP(A2143,[14]PRIORIZADOS!$A:$O,15,FALSE)),"")</f>
        <v>45789</v>
      </c>
      <c r="P2143" s="11" t="str">
        <f>IFERROR(IF(VLOOKUP(A2143,[14]PRIORIZADOS!$A:$P,16,FALSE)="","",VLOOKUP(A2143,[14]PRIORIZADOS!$A:$P,16,FALSE)),"")</f>
        <v>Visitas de evaluación con fines de mejoramiento</v>
      </c>
      <c r="Q2143" s="48" t="s">
        <v>444</v>
      </c>
      <c r="R2143" s="11" t="str">
        <f>IFERROR(IF(VLOOKUP(A2143,[14]PRIORIZADOS!$A:$R,18,FALSE)="","",VLOOKUP(A2143,[14]PRIORIZADOS!$A:$R,18,FALSE)),"")</f>
        <v>Se conformó el gobierno escolar con reporte en el aplicativo SAE y se evidencian actas de reunión de los óragcos de gobierno.</v>
      </c>
      <c r="S2143" s="11" t="str">
        <f>IFERROR(IF(VLOOKUP(A2143,[14]PRIORIZADOS!$A:$S,19,FALSE)="","",VLOOKUP(A2143,[14]PRIORIZADOS!$A:$S,19,FALSE)),"")</f>
        <v xml:space="preserve">Realizar las reuniones periodicas de cada uno de los estamentos de gobierno escolar </v>
      </c>
      <c r="T2143" s="70" t="str">
        <f>IFERROR(IF(VLOOKUP(A2143,[14]PRIORIZADOS!$A:$T,20,FALSE)="","",VLOOKUP(A2143,[14]PRIORIZADOS!$A:$T,20,FALSE)),"")</f>
        <v>No</v>
      </c>
      <c r="U2143" s="11" t="str">
        <f>IFERROR(IF(VLOOKUP(A2143,[14]PRIORIZADOS!$A:$U,21,FALSE)="","",VLOOKUP(A2143,[14]PRIORIZADOS!$A:$U,21,FALSE)),"")</f>
        <v>Verificar el funcionamiento del Gobierno Escolar a través de la revisión de actas de sus reuniones.</v>
      </c>
    </row>
    <row r="2144" spans="1:21" s="1" customFormat="1" ht="178.5">
      <c r="A2144" s="69">
        <f>IF([14]PRIORIZADOS!A191="","",[14]PRIORIZADOS!A191)</f>
        <v>2112</v>
      </c>
      <c r="B2144" s="70">
        <f>IFERROR(IF(VLOOKUP(A2144,[14]PRIORIZADOS!$A:$B,2,FALSE)="","",VLOOKUP(A2144,[14]PRIORIZADOS!$A:$B,2,FALSE)),"")</f>
        <v>20</v>
      </c>
      <c r="C2144" s="11" t="s">
        <v>424</v>
      </c>
      <c r="D2144" s="11" t="str">
        <f>IFERROR(IF(VLOOKUP(A2144,[14]PRIORIZADOS!$A:$D,4,FALSE)="","",VLOOKUP(A2144,[14]PRIORIZADOS!$A:$D,4,FALSE)),"")</f>
        <v>PRIVADO</v>
      </c>
      <c r="E2144" s="11" t="str">
        <f>IFERROR(IF(VLOOKUP(A2144,[14]PRIORIZADOS!$A:$E,5,FALSE)="","",VLOOKUP(A2144,[14]PRIORIZADOS!$A:$E,5,FALSE)),"")</f>
        <v>EPBM</v>
      </c>
      <c r="F2144" s="11" t="str">
        <f>IFERROR(IF(VLOOKUP(A2144,[14]PRIORIZADOS!$A:$F,6,FALSE)="","",VLOOKUP(A2144,[14]PRIORIZADOS!$A:$F,6,FALSE)),"")</f>
        <v>COLEGIO_VAN_LEEUWENHOEK</v>
      </c>
      <c r="G2144" s="11" t="str">
        <f>IFERROR(IF(VLOOKUP(A2144,[14]PRIORIZADOS!$A:$G,7,FALSE)="","",VLOOKUP(A2144,[14]PRIORIZADOS!$A:$G,7,FALSE)),"")</f>
        <v>COLEGIO VAN LEEUWENHOEK</v>
      </c>
      <c r="H2144" s="11" t="str">
        <f>IFERROR(IF(VLOOKUP(A2144,[14]PRIORIZADOS!$A:$H,8,FALSE)="","",VLOOKUP(A2144,[14]PRIORIZADOS!$A:$H,8,FALSE)),"")</f>
        <v>Autoevaluación Institucional y Pruebas SABER 11</v>
      </c>
      <c r="I2144" s="11" t="str">
        <f>IFERROR(IF(VLOOKUP(A2144,[14]PRIORIZADOS!$A:$I,9,FALSE)="","",VLOOKUP(A2144,[14]PRIORIZADOS!$A:$I,9,FALSE)),"")</f>
        <v>EVALUACIÓN_CON_FINES_DE_MEJORAMIENTO.</v>
      </c>
      <c r="J2144" s="11" t="str">
        <f>IFERROR(IF(VLOOKUP(A2144,[14]PRIORIZADOS!$A:$J,10,FALSE)="","",VLOOKUP(A2144,[14]PRIORIZADOS!$A:$J,10,FALSE)),"")</f>
        <v>Verificar las condiciones en cuanto a: la estructura administrativa, condiciones de la planta física y medios educativos adecuados.</v>
      </c>
      <c r="K2144" s="11" t="str">
        <f>IFERROR(IF(VLOOKUP(A2144,[14]PRIORIZADOS!$A:$K,11,FALSE)="","",VLOOKUP(A2144,[14]PRIORIZADOS!$A:$K,11,FALSE)),"")</f>
        <v>SONIA CONSTANZA URREGO GONZÁLEZ</v>
      </c>
      <c r="L2144" s="11" t="str">
        <f>IFERROR(IF(VLOOKUP(A2144,[14]PRIORIZADOS!$A:$L,12,FALSE)="","",VLOOKUP(A2144,[14]PRIORIZADOS!$A:$L,12,FALSE)),"")</f>
        <v>ALBA DEL PILAR CUBIDES CÁCERES</v>
      </c>
      <c r="M2144" s="71" t="str">
        <f>IFERROR(IF(VLOOKUP(A2144,[14]PRIORIZADOS!$A:$M,13,FALSE)="","",VLOOKUP(A2144,[14]PRIORIZADOS!$A:$M,13,FALSE)),"")</f>
        <v>13/05/2025</v>
      </c>
      <c r="N2144" s="71">
        <f>IFERROR(IF(VLOOKUP(A2144,[14]PRIORIZADOS!$A:$N,14,FALSE)="","",VLOOKUP(A2144,[14]PRIORIZADOS!$A:$N,14,FALSE)),"")</f>
        <v>45789</v>
      </c>
      <c r="O2144" s="71">
        <f>IFERROR(IF(VLOOKUP(A2144,[14]PRIORIZADOS!$A:$O,15,FALSE)="","",VLOOKUP(A2144,[14]PRIORIZADOS!$A:$O,15,FALSE)),"")</f>
        <v>45789</v>
      </c>
      <c r="P2144" s="11" t="str">
        <f>IFERROR(IF(VLOOKUP(A2144,[14]PRIORIZADOS!$A:$P,16,FALSE)="","",VLOOKUP(A2144,[14]PRIORIZADOS!$A:$P,16,FALSE)),"")</f>
        <v>Visitas de evaluación con fines de mejoramiento</v>
      </c>
      <c r="Q2144" s="48" t="s">
        <v>444</v>
      </c>
      <c r="R2144" s="11" t="str">
        <f>IFERROR(IF(VLOOKUP(A2144,[14]PRIORIZADOS!$A:$R,18,FALSE)="","",VLOOKUP(A2144,[14]PRIORIZADOS!$A:$R,18,FALSE)),"")</f>
        <v>Se debe realizar una valoración de la planta física y establecer estrategias que mitiguen el riesgo  de accidentalidad, teniendo en cuenta el Plan de Gestión del Riesgo. A pesar de no tener estudiantes con discapacidad física, no tiene espacios adecuado en caso de requerirlo. Revisar visualización al tablero de algunas aulas y tomar medidas, garantizando la visualización a los estudiantes. Las baterias de baños no son suficientes, debe mirar la posibilidad de ampliar y tomar medidas de ventilación en algunas de ellas. Se requiere documentar el convenio de espacios lúdico recreativos.</v>
      </c>
      <c r="S2144" s="11" t="str">
        <f>IFERROR(IF(VLOOKUP(A2144,[14]PRIORIZADOS!$A:$S,19,FALSE)="","",VLOOKUP(A2144,[14]PRIORIZADOS!$A:$S,19,FALSE)),"")</f>
        <v>Realizar las adecuaciones en los espacios mencionados e incluirlo en el Plan de Mejoramiento a remitir a la DLE antes del 2 de junio de 2025.</v>
      </c>
      <c r="T2144" s="70" t="str">
        <f>IFERROR(IF(VLOOKUP(A2144,[14]PRIORIZADOS!$A:$T,20,FALSE)="","",VLOOKUP(A2144,[14]PRIORIZADOS!$A:$T,20,FALSE)),"")</f>
        <v>Si</v>
      </c>
      <c r="U2144" s="11" t="str">
        <f>IFERROR(IF(VLOOKUP(A2144,[14]PRIORIZADOS!$A:$U,21,FALSE)="","",VLOOKUP(A2144,[14]PRIORIZADOS!$A:$U,21,FALSE)),"")</f>
        <v>Verificar con registro fotográfico, los avances de acuerdo a los plazos registrados en el PMI</v>
      </c>
    </row>
    <row r="2145" spans="1:21" s="1" customFormat="1" ht="48">
      <c r="A2145" s="69">
        <f>IF([14]PRIORIZADOS!A192="","",[14]PRIORIZADOS!A192)</f>
        <v>2113</v>
      </c>
      <c r="B2145" s="70">
        <f>IFERROR(IF(VLOOKUP(A2145,[14]PRIORIZADOS!$A:$B,2,FALSE)="","",VLOOKUP(A2145,[14]PRIORIZADOS!$A:$B,2,FALSE)),"")</f>
        <v>21</v>
      </c>
      <c r="C2145" s="11" t="s">
        <v>424</v>
      </c>
      <c r="D2145" s="11" t="str">
        <f>IFERROR(IF(VLOOKUP(A2145,[14]PRIORIZADOS!$A:$D,4,FALSE)="","",VLOOKUP(A2145,[14]PRIORIZADOS!$A:$D,4,FALSE)),"")</f>
        <v>PRIVADO</v>
      </c>
      <c r="E2145" s="11" t="str">
        <f>IFERROR(IF(VLOOKUP(A2145,[14]PRIORIZADOS!$A:$E,5,FALSE)="","",VLOOKUP(A2145,[14]PRIORIZADOS!$A:$E,5,FALSE)),"")</f>
        <v>EPBM</v>
      </c>
      <c r="F2145" s="11" t="str">
        <f>IFERROR(IF(VLOOKUP(A2145,[14]PRIORIZADOS!$A:$F,6,FALSE)="","",VLOOKUP(A2145,[14]PRIORIZADOS!$A:$F,6,FALSE)),"")</f>
        <v>GIMNASIO_MODERNO_GENERACION_DEL_FUTURO</v>
      </c>
      <c r="G2145" s="11" t="str">
        <f>IFERROR(IF(VLOOKUP(A2145,[14]PRIORIZADOS!$A:$G,7,FALSE)="","",VLOOKUP(A2145,[14]PRIORIZADOS!$A:$G,7,FALSE)),"")</f>
        <v>GIMNASIO MODERNO GENERACION DEL FUTURO</v>
      </c>
      <c r="H2145" s="11" t="str">
        <f>IFERROR(IF(VLOOKUP(A2145,[14]PRIORIZADOS!$A:$H,8,FALSE)="","",VLOOKUP(A2145,[14]PRIORIZADOS!$A:$H,8,FALSE)),"")</f>
        <v>Autoevaluación Institucional y Pruebas SABER 11</v>
      </c>
      <c r="I2145" s="11" t="str">
        <f>IFERROR(IF(VLOOKUP(A2145,[14]PRIORIZADOS!$A:$I,9,FALSE)="","",VLOOKUP(A2145,[14]PRIORIZADOS!$A:$I,9,FALSE)),"")</f>
        <v>SEGUIMIENTO_Y_SUPERVISIÓN.</v>
      </c>
      <c r="J2145" s="11" t="str">
        <f>IFERROR(IF(VLOOKUP(A2145,[14]PRIORIZADOS!$A:$J,10,FALSE)="","",VLOOKUP(A2145,[14]PRIORIZADOS!$A:$J,10,FALSE)),"")</f>
        <v>Realizar visitas para verificar la información registrada sobre la autoevaluación institucional en el aplicativo EVI, a los establecimientos de educación formal no oficial.</v>
      </c>
      <c r="K2145" s="11" t="str">
        <f>IFERROR(IF(VLOOKUP(A2145,[14]PRIORIZADOS!$A:$K,11,FALSE)="","",VLOOKUP(A2145,[14]PRIORIZADOS!$A:$K,11,FALSE)),"")</f>
        <v>JENNIFFER ESPERANZA GONZÁLEZ GÓMEZ</v>
      </c>
      <c r="L2145" s="11" t="str">
        <f>IFERROR(IF(VLOOKUP(A2145,[14]PRIORIZADOS!$A:$L,12,FALSE)="","",VLOOKUP(A2145,[14]PRIORIZADOS!$A:$L,12,FALSE)),"")</f>
        <v>SONIA YAMILE ARTEAGA MELO</v>
      </c>
      <c r="M2145" s="71">
        <f>IFERROR(IF(VLOOKUP(A2145,[14]PRIORIZADOS!$A:$M,13,FALSE)="","",VLOOKUP(A2145,[14]PRIORIZADOS!$A:$M,13,FALSE)),"")</f>
        <v>45895</v>
      </c>
      <c r="N2145" s="71">
        <f>IFERROR(IF(VLOOKUP(A2145,[14]PRIORIZADOS!$A:$N,14,FALSE)="","",VLOOKUP(A2145,[14]PRIORIZADOS!$A:$N,14,FALSE)),"")</f>
        <v>45776</v>
      </c>
      <c r="O2145" s="71">
        <f>IFERROR(IF(VLOOKUP(A2145,[14]PRIORIZADOS!$A:$O,15,FALSE)="","",VLOOKUP(A2145,[14]PRIORIZADOS!$A:$O,15,FALSE)),"")</f>
        <v>45776</v>
      </c>
      <c r="P2145" s="11" t="str">
        <f>IFERROR(IF(VLOOKUP(A2145,[14]PRIORIZADOS!$A:$P,16,FALSE)="","",VLOOKUP(A2145,[14]PRIORIZADOS!$A:$P,16,FALSE)),"")</f>
        <v>Visitas de evaluación con fines de mejoramiento</v>
      </c>
      <c r="Q2145" s="253" t="s">
        <v>445</v>
      </c>
      <c r="R2145" s="11" t="str">
        <f>IFERROR(IF(VLOOKUP(A2145,[14]PRIORIZADOS!$A:$R,18,FALSE)="","",VLOOKUP(A2145,[14]PRIORIZADOS!$A:$R,18,FALSE)),"")</f>
        <v>Se evidencio que la instittución respondio el EVI con cifras diferentes a la realidad en cuanto a las baterias de baño y espacio de biblioteca.</v>
      </c>
      <c r="S2145" s="11" t="str">
        <f>IFERROR(IF(VLOOKUP(A2145,[14]PRIORIZADOS!$A:$S,19,FALSE)="","",VLOOKUP(A2145,[14]PRIORIZADOS!$A:$S,19,FALSE)),"")</f>
        <v xml:space="preserve"> La institución elaborará plan de mejoramiento sobre todos los indicadores y remitirlo a la DLE antes del 15 de mayo</v>
      </c>
      <c r="T2145" s="70" t="str">
        <f>IFERROR(IF(VLOOKUP(A2145,[14]PRIORIZADOS!$A:$T,20,FALSE)="","",VLOOKUP(A2145,[14]PRIORIZADOS!$A:$T,20,FALSE)),"")</f>
        <v>Si</v>
      </c>
      <c r="U2145" s="11" t="str">
        <f>IFERROR(IF(VLOOKUP(A2145,[14]PRIORIZADOS!$A:$U,21,FALSE)="","",VLOOKUP(A2145,[14]PRIORIZADOS!$A:$U,21,FALSE)),"")</f>
        <v>Verificar el diligenciamiento y publicación de documentos en el aplicativo EVI para la vigencia 2026.</v>
      </c>
    </row>
    <row r="2146" spans="1:21" s="1" customFormat="1" ht="72">
      <c r="A2146" s="69">
        <f>IF([14]PRIORIZADOS!A193="","",[14]PRIORIZADOS!A193)</f>
        <v>2114</v>
      </c>
      <c r="B2146" s="70">
        <f>IFERROR(IF(VLOOKUP(A2146,[14]PRIORIZADOS!$A:$B,2,FALSE)="","",VLOOKUP(A2146,[14]PRIORIZADOS!$A:$B,2,FALSE)),"")</f>
        <v>21</v>
      </c>
      <c r="C2146" s="11" t="s">
        <v>424</v>
      </c>
      <c r="D2146" s="11" t="str">
        <f>IFERROR(IF(VLOOKUP(A2146,[14]PRIORIZADOS!$A:$D,4,FALSE)="","",VLOOKUP(A2146,[14]PRIORIZADOS!$A:$D,4,FALSE)),"")</f>
        <v>PRIVADO</v>
      </c>
      <c r="E2146" s="11" t="str">
        <f>IFERROR(IF(VLOOKUP(A2146,[14]PRIORIZADOS!$A:$E,5,FALSE)="","",VLOOKUP(A2146,[14]PRIORIZADOS!$A:$E,5,FALSE)),"")</f>
        <v>EPBM</v>
      </c>
      <c r="F2146" s="11" t="str">
        <f>IFERROR(IF(VLOOKUP(A2146,[14]PRIORIZADOS!$A:$F,6,FALSE)="","",VLOOKUP(A2146,[14]PRIORIZADOS!$A:$F,6,FALSE)),"")</f>
        <v>GIMNASIO_MODERNO_GENERACION_DEL_FUTURO</v>
      </c>
      <c r="G2146" s="11" t="str">
        <f>IFERROR(IF(VLOOKUP(A2146,[14]PRIORIZADOS!$A:$G,7,FALSE)="","",VLOOKUP(A2146,[14]PRIORIZADOS!$A:$G,7,FALSE)),"")</f>
        <v>GIMNASIO MODERNO GENERACION DEL FUTURO</v>
      </c>
      <c r="H2146" s="11" t="str">
        <f>IFERROR(IF(VLOOKUP(A2146,[14]PRIORIZADOS!$A:$H,8,FALSE)="","",VLOOKUP(A2146,[14]PRIORIZADOS!$A:$H,8,FALSE)),"")</f>
        <v>Autoevaluación Institucional y Pruebas SABER 11</v>
      </c>
      <c r="I2146" s="11" t="str">
        <f>IFERROR(IF(VLOOKUP(A2146,[14]PRIORIZADOS!$A:$I,9,FALSE)="","",VLOOKUP(A2146,[14]PRIORIZADOS!$A:$I,9,FALSE)),"")</f>
        <v>SEGUIMIENTO_Y_SUPERVISIÓN.</v>
      </c>
      <c r="J2146" s="11" t="str">
        <f>IFERROR(IF(VLOOKUP(A2146,[14]PRIORIZADOS!$A:$J,10,FALSE)="","",VLOOKUP(A2146,[14]PRIORIZADOS!$A:$J,10,FALSE)),"")</f>
        <v>Proponer estrategias en la formulación, verificar su elaboración y realizar seguimiento semestral al desarrollo de  las acciones establecidas en los planes de mejoramiento por pruebas SABER 11 de los establecimientos de educación formal.</v>
      </c>
      <c r="K2146" s="11" t="str">
        <f>IFERROR(IF(VLOOKUP(A2146,[14]PRIORIZADOS!$A:$K,11,FALSE)="","",VLOOKUP(A2146,[14]PRIORIZADOS!$A:$K,11,FALSE)),"")</f>
        <v>JENNIFFER ESPERANZA GONZÁLEZ GÓMEZ</v>
      </c>
      <c r="L2146" s="11" t="str">
        <f>IFERROR(IF(VLOOKUP(A2146,[14]PRIORIZADOS!$A:$L,12,FALSE)="","",VLOOKUP(A2146,[14]PRIORIZADOS!$A:$L,12,FALSE)),"")</f>
        <v>SONIA YAMILE ARTEAGA MELO</v>
      </c>
      <c r="M2146" s="71">
        <f>IFERROR(IF(VLOOKUP(A2146,[14]PRIORIZADOS!$A:$M,13,FALSE)="","",VLOOKUP(A2146,[14]PRIORIZADOS!$A:$M,13,FALSE)),"")</f>
        <v>45895</v>
      </c>
      <c r="N2146" s="71">
        <f>IFERROR(IF(VLOOKUP(A2146,[14]PRIORIZADOS!$A:$N,14,FALSE)="","",VLOOKUP(A2146,[14]PRIORIZADOS!$A:$N,14,FALSE)),"")</f>
        <v>45776</v>
      </c>
      <c r="O2146" s="71">
        <f>IFERROR(IF(VLOOKUP(A2146,[14]PRIORIZADOS!$A:$O,15,FALSE)="","",VLOOKUP(A2146,[14]PRIORIZADOS!$A:$O,15,FALSE)),"")</f>
        <v>45776</v>
      </c>
      <c r="P2146" s="11" t="str">
        <f>IFERROR(IF(VLOOKUP(A2146,[14]PRIORIZADOS!$A:$P,16,FALSE)="","",VLOOKUP(A2146,[14]PRIORIZADOS!$A:$P,16,FALSE)),"")</f>
        <v>Visitas de evaluación con fines de mejoramiento</v>
      </c>
      <c r="Q2146" s="7" t="s">
        <v>445</v>
      </c>
      <c r="R2146" s="11" t="str">
        <f>IFERROR(IF(VLOOKUP(A2146,[14]PRIORIZADOS!$A:$R,18,FALSE)="","",VLOOKUP(A2146,[14]PRIORIZADOS!$A:$R,18,FALSE)),"")</f>
        <v>Se verificó el bajo resultado en las  Pruebas saber y la retroaliemntación realizada por los docentesa cerca de la evaluación de las  causales, asignaturas con más bajo resultado  y acciones de mejora.</v>
      </c>
      <c r="S2146" s="11" t="str">
        <f>IFERROR(IF(VLOOKUP(A2146,[14]PRIORIZADOS!$A:$S,19,FALSE)="","",VLOOKUP(A2146,[14]PRIORIZADOS!$A:$S,19,FALSE)),"")</f>
        <v>Revisar los resultados y la relación con las asignaturas del plan de estudio. Elaborar plan de mejoramiento sobre todos los indicadores y remitirlo a la DEL antes del 15 de mayo</v>
      </c>
      <c r="T2146" s="70" t="str">
        <f>IFERROR(IF(VLOOKUP(A2146,[14]PRIORIZADOS!$A:$T,20,FALSE)="","",VLOOKUP(A2146,[14]PRIORIZADOS!$A:$T,20,FALSE)),"")</f>
        <v>Si</v>
      </c>
      <c r="U2146" s="11" t="str">
        <f>IFERROR(IF(VLOOKUP(A2146,[14]PRIORIZADOS!$A:$U,21,FALSE)="","",VLOOKUP(A2146,[14]PRIORIZADOS!$A:$U,21,FALSE)),"")</f>
        <v>Verificar los resultados y las acciones en las asignaturas que presentan puntajes más bajos en la próxima calificación de las pruebas</v>
      </c>
    </row>
    <row r="2147" spans="1:21" s="1" customFormat="1" ht="48">
      <c r="A2147" s="69">
        <f>IF([14]PRIORIZADOS!A194="","",[14]PRIORIZADOS!A194)</f>
        <v>2115</v>
      </c>
      <c r="B2147" s="70">
        <f>IFERROR(IF(VLOOKUP(A2147,[14]PRIORIZADOS!$A:$B,2,FALSE)="","",VLOOKUP(A2147,[14]PRIORIZADOS!$A:$B,2,FALSE)),"")</f>
        <v>21</v>
      </c>
      <c r="C2147" s="11" t="s">
        <v>424</v>
      </c>
      <c r="D2147" s="11" t="str">
        <f>IFERROR(IF(VLOOKUP(A2147,[14]PRIORIZADOS!$A:$D,4,FALSE)="","",VLOOKUP(A2147,[14]PRIORIZADOS!$A:$D,4,FALSE)),"")</f>
        <v>PRIVADO</v>
      </c>
      <c r="E2147" s="11" t="str">
        <f>IFERROR(IF(VLOOKUP(A2147,[14]PRIORIZADOS!$A:$E,5,FALSE)="","",VLOOKUP(A2147,[14]PRIORIZADOS!$A:$E,5,FALSE)),"")</f>
        <v>EPBM</v>
      </c>
      <c r="F2147" s="11" t="str">
        <f>IFERROR(IF(VLOOKUP(A2147,[14]PRIORIZADOS!$A:$F,6,FALSE)="","",VLOOKUP(A2147,[14]PRIORIZADOS!$A:$F,6,FALSE)),"")</f>
        <v>GIMNASIO_MODERNO_GENERACION_DEL_FUTURO</v>
      </c>
      <c r="G2147" s="11" t="str">
        <f>IFERROR(IF(VLOOKUP(A2147,[14]PRIORIZADOS!$A:$G,7,FALSE)="","",VLOOKUP(A2147,[14]PRIORIZADOS!$A:$G,7,FALSE)),"")</f>
        <v>GIMNASIO MODERNO GENERACION DEL FUTURO</v>
      </c>
      <c r="H2147" s="11" t="str">
        <f>IFERROR(IF(VLOOKUP(A2147,[14]PRIORIZADOS!$A:$H,8,FALSE)="","",VLOOKUP(A2147,[14]PRIORIZADOS!$A:$H,8,FALSE)),"")</f>
        <v>Autoevaluación Institucional y Pruebas SABER 11</v>
      </c>
      <c r="I2147" s="11" t="str">
        <f>IFERROR(IF(VLOOKUP(A2147,[14]PRIORIZADOS!$A:$I,9,FALSE)="","",VLOOKUP(A2147,[14]PRIORIZADOS!$A:$I,9,FALSE)),"")</f>
        <v>SEGUIMIENTO_Y_SUPERVISIÓN.</v>
      </c>
      <c r="J2147" s="11" t="str">
        <f>IFERROR(IF(VLOOKUP(A2147,[14]PRIORIZADOS!$A:$J,10,FALSE)="","",VLOOKUP(A2147,[14]PRIORIZADOS!$A:$J,10,FALSE)),"")</f>
        <v xml:space="preserve">Verificar la implementación por parte de los colegios, de acciones realizadas para la prevención y atención de las situaciones de convivencia en el entorno escolar, según lo establecido en la Directiva 01 de 2022 del MEN. </v>
      </c>
      <c r="K2147" s="11" t="str">
        <f>IFERROR(IF(VLOOKUP(A2147,[14]PRIORIZADOS!$A:$K,11,FALSE)="","",VLOOKUP(A2147,[14]PRIORIZADOS!$A:$K,11,FALSE)),"")</f>
        <v>JENNIFFER ESPERANZA GONZÁLEZ GÓMEZ</v>
      </c>
      <c r="L2147" s="11" t="str">
        <f>IFERROR(IF(VLOOKUP(A2147,[14]PRIORIZADOS!$A:$L,12,FALSE)="","",VLOOKUP(A2147,[14]PRIORIZADOS!$A:$L,12,FALSE)),"")</f>
        <v>SONIA YAMILE ARTEAGA MELO</v>
      </c>
      <c r="M2147" s="71">
        <f>IFERROR(IF(VLOOKUP(A2147,[14]PRIORIZADOS!$A:$M,13,FALSE)="","",VLOOKUP(A2147,[14]PRIORIZADOS!$A:$M,13,FALSE)),"")</f>
        <v>45895</v>
      </c>
      <c r="N2147" s="71">
        <f>IFERROR(IF(VLOOKUP(A2147,[14]PRIORIZADOS!$A:$N,14,FALSE)="","",VLOOKUP(A2147,[14]PRIORIZADOS!$A:$N,14,FALSE)),"")</f>
        <v>45776</v>
      </c>
      <c r="O2147" s="71">
        <f>IFERROR(IF(VLOOKUP(A2147,[14]PRIORIZADOS!$A:$O,15,FALSE)="","",VLOOKUP(A2147,[14]PRIORIZADOS!$A:$O,15,FALSE)),"")</f>
        <v>45776</v>
      </c>
      <c r="P2147" s="11" t="str">
        <f>IFERROR(IF(VLOOKUP(A2147,[14]PRIORIZADOS!$A:$P,16,FALSE)="","",VLOOKUP(A2147,[14]PRIORIZADOS!$A:$P,16,FALSE)),"")</f>
        <v>Visitas de evaluación con fines de mejoramiento</v>
      </c>
      <c r="Q2147" s="7" t="s">
        <v>445</v>
      </c>
      <c r="R2147" s="11" t="str">
        <f>IFERROR(IF(VLOOKUP(A2147,[14]PRIORIZADOS!$A:$R,18,FALSE)="","",VLOOKUP(A2147,[14]PRIORIZADOS!$A:$R,18,FALSE)),"")</f>
        <v xml:space="preserve"> las consulta en la página de la policia de los antecedentes de los docentes de conformidad a la directiva  001 del 2022, no han realizado la consulta esta vigencia</v>
      </c>
      <c r="S2147" s="11" t="str">
        <f>IFERROR(IF(VLOOKUP(A2147,[14]PRIORIZADOS!$A:$S,19,FALSE)="","",VLOOKUP(A2147,[14]PRIORIZADOS!$A:$S,19,FALSE)),"")</f>
        <v xml:space="preserve">Continuar con las consultas en la pagina de antecedentes sexuales. Solicitar </v>
      </c>
      <c r="T2147" s="70" t="str">
        <f>IFERROR(IF(VLOOKUP(A2147,[14]PRIORIZADOS!$A:$T,20,FALSE)="","",VLOOKUP(A2147,[14]PRIORIZADOS!$A:$T,20,FALSE)),"")</f>
        <v>Si</v>
      </c>
      <c r="U2147" s="11" t="str">
        <f>IFERROR(IF(VLOOKUP(A2147,[14]PRIORIZADOS!$A:$U,21,FALSE)="","",VLOOKUP(A2147,[14]PRIORIZADOS!$A:$U,21,FALSE)),"")</f>
        <v>Verificar las modificaciones en manual de convivencia respecto a los protocolos de atención revisión que se llevará a cabo con fecha limite 31 de julio</v>
      </c>
    </row>
    <row r="2148" spans="1:21" s="1" customFormat="1" ht="118.5">
      <c r="A2148" s="69">
        <f>IF([14]PRIORIZADOS!A195="","",[14]PRIORIZADOS!A195)</f>
        <v>2116</v>
      </c>
      <c r="B2148" s="70">
        <f>IFERROR(IF(VLOOKUP(A2148,[14]PRIORIZADOS!$A:$B,2,FALSE)="","",VLOOKUP(A2148,[14]PRIORIZADOS!$A:$B,2,FALSE)),"")</f>
        <v>21</v>
      </c>
      <c r="C2148" s="11" t="s">
        <v>424</v>
      </c>
      <c r="D2148" s="11" t="str">
        <f>IFERROR(IF(VLOOKUP(A2148,[14]PRIORIZADOS!$A:$D,4,FALSE)="","",VLOOKUP(A2148,[14]PRIORIZADOS!$A:$D,4,FALSE)),"")</f>
        <v>PRIVADO</v>
      </c>
      <c r="E2148" s="11" t="str">
        <f>IFERROR(IF(VLOOKUP(A2148,[14]PRIORIZADOS!$A:$E,5,FALSE)="","",VLOOKUP(A2148,[14]PRIORIZADOS!$A:$E,5,FALSE)),"")</f>
        <v>EPBM</v>
      </c>
      <c r="F2148" s="11" t="str">
        <f>IFERROR(IF(VLOOKUP(A2148,[14]PRIORIZADOS!$A:$F,6,FALSE)="","",VLOOKUP(A2148,[14]PRIORIZADOS!$A:$F,6,FALSE)),"")</f>
        <v>GIMNASIO_MODERNO_GENERACION_DEL_FUTURO</v>
      </c>
      <c r="G2148" s="11" t="str">
        <f>IFERROR(IF(VLOOKUP(A2148,[14]PRIORIZADOS!$A:$G,7,FALSE)="","",VLOOKUP(A2148,[14]PRIORIZADOS!$A:$G,7,FALSE)),"")</f>
        <v>GIMNASIO MODERNO GENERACION DEL FUTURO</v>
      </c>
      <c r="H2148" s="11" t="str">
        <f>IFERROR(IF(VLOOKUP(A2148,[14]PRIORIZADOS!$A:$H,8,FALSE)="","",VLOOKUP(A2148,[14]PRIORIZADOS!$A:$H,8,FALSE)),"")</f>
        <v>Autoevaluación Institucional y Pruebas SABER 11</v>
      </c>
      <c r="I2148" s="11" t="str">
        <f>IFERROR(IF(VLOOKUP(A2148,[14]PRIORIZADOS!$A:$I,9,FALSE)="","",VLOOKUP(A2148,[14]PRIORIZADOS!$A:$I,9,FALSE)),"")</f>
        <v>SEGUIMIENTO_Y_SUPERVISIÓN.</v>
      </c>
      <c r="J2148" s="11" t="str">
        <f>IFERROR(IF(VLOOKUP(A2148,[14]PRIORIZADOS!$A:$J,10,FALSE)="","",VLOOKUP(A2148,[14]PRIORIZADOS!$A:$J,10,FALSE)),"")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48" s="11" t="str">
        <f>IFERROR(IF(VLOOKUP(A2148,[14]PRIORIZADOS!$A:$K,11,FALSE)="","",VLOOKUP(A2148,[14]PRIORIZADOS!$A:$K,11,FALSE)),"")</f>
        <v>JENNIFFER ESPERANZA GONZÁLEZ GÓMEZ</v>
      </c>
      <c r="L2148" s="11" t="str">
        <f>IFERROR(IF(VLOOKUP(A2148,[14]PRIORIZADOS!$A:$L,12,FALSE)="","",VLOOKUP(A2148,[14]PRIORIZADOS!$A:$L,12,FALSE)),"")</f>
        <v>SONIA YAMILE ARTEAGA MELO</v>
      </c>
      <c r="M2148" s="71">
        <f>IFERROR(IF(VLOOKUP(A2148,[14]PRIORIZADOS!$A:$M,13,FALSE)="","",VLOOKUP(A2148,[14]PRIORIZADOS!$A:$M,13,FALSE)),"")</f>
        <v>45895</v>
      </c>
      <c r="N2148" s="71">
        <f>IFERROR(IF(VLOOKUP(A2148,[14]PRIORIZADOS!$A:$N,14,FALSE)="","",VLOOKUP(A2148,[14]PRIORIZADOS!$A:$N,14,FALSE)),"")</f>
        <v>45776</v>
      </c>
      <c r="O2148" s="71">
        <f>IFERROR(IF(VLOOKUP(A2148,[14]PRIORIZADOS!$A:$O,15,FALSE)="","",VLOOKUP(A2148,[14]PRIORIZADOS!$A:$O,15,FALSE)),"")</f>
        <v>45776</v>
      </c>
      <c r="P2148" s="11" t="str">
        <f>IFERROR(IF(VLOOKUP(A2148,[14]PRIORIZADOS!$A:$P,16,FALSE)="","",VLOOKUP(A2148,[14]PRIORIZADOS!$A:$P,16,FALSE)),"")</f>
        <v>Visitas de evaluación con fines de mejoramiento</v>
      </c>
      <c r="Q2148" s="7" t="s">
        <v>445</v>
      </c>
      <c r="R2148" s="11" t="str">
        <f>IFERROR(IF(VLOOKUP(A2148,[14]PRIORIZADOS!$A:$R,18,FALSE)="","",VLOOKUP(A2148,[14]PRIORIZADOS!$A:$R,18,FALSE)),"")</f>
        <v>Se evidenció en el SIMAT que el colegio  tiene estudiantes matriculados en condición de discapacidad; no llevan carpetas con los PIAR de los estudiantes</v>
      </c>
      <c r="S2148" s="11" t="str">
        <f>IFERROR(IF(VLOOKUP(A2148,[14]PRIORIZADOS!$A:$S,19,FALSE)="","",VLOOKUP(A2148,[14]PRIORIZADOS!$A:$S,19,FALSE)),"")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15 de mayo</v>
      </c>
      <c r="T2148" s="70" t="str">
        <f>IFERROR(IF(VLOOKUP(A2148,[14]PRIORIZADOS!$A:$T,20,FALSE)="","",VLOOKUP(A2148,[14]PRIORIZADOS!$A:$T,20,FALSE)),"")</f>
        <v>Si</v>
      </c>
      <c r="U2148" s="11" t="str">
        <f>IFERROR(IF(VLOOKUP(A2148,[14]PRIORIZADOS!$A:$U,21,FALSE)="","",VLOOKUP(A2148,[14]PRIORIZADOS!$A:$U,21,FALSE)),"")</f>
        <v>Verificar las modificaciones en manual de convivencia respecto a la poblacion con discapacidad.con fecha límite el 31 de julio</v>
      </c>
    </row>
    <row r="2149" spans="1:21" s="1" customFormat="1" ht="84">
      <c r="A2149" s="69">
        <f>IF([14]PRIORIZADOS!A196="","",[14]PRIORIZADOS!A196)</f>
        <v>2117</v>
      </c>
      <c r="B2149" s="70">
        <f>IFERROR(IF(VLOOKUP(A2149,[14]PRIORIZADOS!$A:$B,2,FALSE)="","",VLOOKUP(A2149,[14]PRIORIZADOS!$A:$B,2,FALSE)),"")</f>
        <v>21</v>
      </c>
      <c r="C2149" s="11" t="s">
        <v>424</v>
      </c>
      <c r="D2149" s="11" t="str">
        <f>IFERROR(IF(VLOOKUP(A2149,[14]PRIORIZADOS!$A:$D,4,FALSE)="","",VLOOKUP(A2149,[14]PRIORIZADOS!$A:$D,4,FALSE)),"")</f>
        <v>PRIVADO</v>
      </c>
      <c r="E2149" s="11" t="str">
        <f>IFERROR(IF(VLOOKUP(A2149,[14]PRIORIZADOS!$A:$E,5,FALSE)="","",VLOOKUP(A2149,[14]PRIORIZADOS!$A:$E,5,FALSE)),"")</f>
        <v>EPBM</v>
      </c>
      <c r="F2149" s="11" t="str">
        <f>IFERROR(IF(VLOOKUP(A2149,[14]PRIORIZADOS!$A:$F,6,FALSE)="","",VLOOKUP(A2149,[14]PRIORIZADOS!$A:$F,6,FALSE)),"")</f>
        <v>GIMNASIO_MODERNO_GENERACION_DEL_FUTURO</v>
      </c>
      <c r="G2149" s="11" t="str">
        <f>IFERROR(IF(VLOOKUP(A2149,[14]PRIORIZADOS!$A:$G,7,FALSE)="","",VLOOKUP(A2149,[14]PRIORIZADOS!$A:$G,7,FALSE)),"")</f>
        <v>GIMNASIO MODERNO GENERACION DEL FUTURO</v>
      </c>
      <c r="H2149" s="11" t="str">
        <f>IFERROR(IF(VLOOKUP(A2149,[14]PRIORIZADOS!$A:$H,8,FALSE)="","",VLOOKUP(A2149,[14]PRIORIZADOS!$A:$H,8,FALSE)),"")</f>
        <v>Autoevaluación Institucional y Pruebas SABER 11</v>
      </c>
      <c r="I2149" s="11" t="str">
        <f>IFERROR(IF(VLOOKUP(A2149,[14]PRIORIZADOS!$A:$I,9,FALSE)="","",VLOOKUP(A2149,[14]PRIORIZADOS!$A:$I,9,FALSE)),"")</f>
        <v>EVALUACIÓN_CON_FINES_DE_MEJORAMIENTO.</v>
      </c>
      <c r="J2149" s="11" t="str">
        <f>IFERROR(IF(VLOOKUP(A2149,[14]PRIORIZADOS!$A:$J,10,FALSE)="","",VLOOKUP(A2149,[14]PRIORIZADOS!$A:$J,10,FALSE)),"")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49" s="11" t="str">
        <f>IFERROR(IF(VLOOKUP(A2149,[14]PRIORIZADOS!$A:$K,11,FALSE)="","",VLOOKUP(A2149,[14]PRIORIZADOS!$A:$K,11,FALSE)),"")</f>
        <v>JENNIFFER ESPERANZA GONZÁLEZ GÓMEZ</v>
      </c>
      <c r="L2149" s="11" t="str">
        <f>IFERROR(IF(VLOOKUP(A2149,[14]PRIORIZADOS!$A:$L,12,FALSE)="","",VLOOKUP(A2149,[14]PRIORIZADOS!$A:$L,12,FALSE)),"")</f>
        <v>SONIA YAMILE ARTEAGA MELO</v>
      </c>
      <c r="M2149" s="71">
        <f>IFERROR(IF(VLOOKUP(A2149,[14]PRIORIZADOS!$A:$M,13,FALSE)="","",VLOOKUP(A2149,[14]PRIORIZADOS!$A:$M,13,FALSE)),"")</f>
        <v>45895</v>
      </c>
      <c r="N2149" s="71">
        <f>IFERROR(IF(VLOOKUP(A2149,[14]PRIORIZADOS!$A:$N,14,FALSE)="","",VLOOKUP(A2149,[14]PRIORIZADOS!$A:$N,14,FALSE)),"")</f>
        <v>45776</v>
      </c>
      <c r="O2149" s="71">
        <f>IFERROR(IF(VLOOKUP(A2149,[14]PRIORIZADOS!$A:$O,15,FALSE)="","",VLOOKUP(A2149,[14]PRIORIZADOS!$A:$O,15,FALSE)),"")</f>
        <v>45776</v>
      </c>
      <c r="P2149" s="11" t="str">
        <f>IFERROR(IF(VLOOKUP(A2149,[14]PRIORIZADOS!$A:$P,16,FALSE)="","",VLOOKUP(A2149,[14]PRIORIZADOS!$A:$P,16,FALSE)),"")</f>
        <v>Visitas de evaluación con fines de mejoramiento</v>
      </c>
      <c r="Q2149" s="7" t="s">
        <v>445</v>
      </c>
      <c r="R2149" s="11" t="str">
        <f>IFERROR(IF(VLOOKUP(A2149,[14]PRIORIZADOS!$A:$R,18,FALSE)="","",VLOOKUP(A2149,[14]PRIORIZADOS!$A:$R,18,FALSE)),"")</f>
        <v>Se encontro que al revisar el manual de convivencia , con la última actualización, falta añadir algunas normas en el marco jurídico, falta desarrollar lo que tiene que ver con protocolos de atencion, debido proceso, entre otros.</v>
      </c>
      <c r="S2149" s="11" t="str">
        <f>IFERROR(IF(VLOOKUP(A2149,[14]PRIORIZADOS!$A:$S,19,FALSE)="","",VLOOKUP(A2149,[14]PRIORIZADOS!$A:$S,19,FALSE)),"")</f>
        <v>Elaborar plan de mejoramiento sobre todos los indicadores y DEL antes del 15 de mayo</v>
      </c>
      <c r="T2149" s="70" t="str">
        <f>IFERROR(IF(VLOOKUP(A2149,[14]PRIORIZADOS!$A:$T,20,FALSE)="","",VLOOKUP(A2149,[14]PRIORIZADOS!$A:$T,20,FALSE)),"")</f>
        <v>Si</v>
      </c>
      <c r="U2149" s="11" t="str">
        <f>IFERROR(IF(VLOOKUP(A2149,[14]PRIORIZADOS!$A:$U,21,FALSE)="","",VLOOKUP(A2149,[14]PRIORIZADOS!$A:$U,21,FALSE)),"")</f>
        <v>Revisar la actualización del manual de convivencia ccon fecha límite el 31 de julio</v>
      </c>
    </row>
    <row r="2150" spans="1:21" s="1" customFormat="1" ht="60">
      <c r="A2150" s="69">
        <f>IF([14]PRIORIZADOS!A197="","",[14]PRIORIZADOS!A197)</f>
        <v>2118</v>
      </c>
      <c r="B2150" s="70">
        <f>IFERROR(IF(VLOOKUP(A2150,[14]PRIORIZADOS!$A:$B,2,FALSE)="","",VLOOKUP(A2150,[14]PRIORIZADOS!$A:$B,2,FALSE)),"")</f>
        <v>21</v>
      </c>
      <c r="C2150" s="11" t="s">
        <v>424</v>
      </c>
      <c r="D2150" s="11" t="str">
        <f>IFERROR(IF(VLOOKUP(A2150,[14]PRIORIZADOS!$A:$D,4,FALSE)="","",VLOOKUP(A2150,[14]PRIORIZADOS!$A:$D,4,FALSE)),"")</f>
        <v>PRIVADO</v>
      </c>
      <c r="E2150" s="11" t="str">
        <f>IFERROR(IF(VLOOKUP(A2150,[14]PRIORIZADOS!$A:$E,5,FALSE)="","",VLOOKUP(A2150,[14]PRIORIZADOS!$A:$E,5,FALSE)),"")</f>
        <v>EPBM</v>
      </c>
      <c r="F2150" s="11" t="str">
        <f>IFERROR(IF(VLOOKUP(A2150,[14]PRIORIZADOS!$A:$F,6,FALSE)="","",VLOOKUP(A2150,[14]PRIORIZADOS!$A:$F,6,FALSE)),"")</f>
        <v>GIMNASIO_MODERNO_GENERACION_DEL_FUTURO</v>
      </c>
      <c r="G2150" s="11" t="str">
        <f>IFERROR(IF(VLOOKUP(A2150,[14]PRIORIZADOS!$A:$G,7,FALSE)="","",VLOOKUP(A2150,[14]PRIORIZADOS!$A:$G,7,FALSE)),"")</f>
        <v>GIMNASIO MODERNO GENERACION DEL FUTURO</v>
      </c>
      <c r="H2150" s="11" t="str">
        <f>IFERROR(IF(VLOOKUP(A2150,[14]PRIORIZADOS!$A:$H,8,FALSE)="","",VLOOKUP(A2150,[14]PRIORIZADOS!$A:$H,8,FALSE)),"")</f>
        <v>Autoevaluación Institucional y Pruebas SABER 11</v>
      </c>
      <c r="I2150" s="11" t="str">
        <f>IFERROR(IF(VLOOKUP(A2150,[14]PRIORIZADOS!$A:$I,9,FALSE)="","",VLOOKUP(A2150,[14]PRIORIZADOS!$A:$I,9,FALSE)),"")</f>
        <v>EVALUACIÓN_CON_FINES_DE_MEJORAMIENTO.</v>
      </c>
      <c r="J2150" s="11" t="str">
        <f>IFERROR(IF(VLOOKUP(A2150,[14]PRIORIZADOS!$A:$J,10,FALSE)="","",VLOOKUP(A2150,[14]PRIORIZADOS!$A:$J,10,FALSE)),"")</f>
        <v>Revisar la actualización, socialización e implementación del Sistema Institucional de Evaluación de Estudiantes - SIEE, en articulación con la actualización del PEI y la normatividad vigente.</v>
      </c>
      <c r="K2150" s="11" t="str">
        <f>IFERROR(IF(VLOOKUP(A2150,[14]PRIORIZADOS!$A:$K,11,FALSE)="","",VLOOKUP(A2150,[14]PRIORIZADOS!$A:$K,11,FALSE)),"")</f>
        <v>JENNIFFER ESPERANZA GONZÁLEZ GÓMEZ</v>
      </c>
      <c r="L2150" s="11" t="str">
        <f>IFERROR(IF(VLOOKUP(A2150,[14]PRIORIZADOS!$A:$L,12,FALSE)="","",VLOOKUP(A2150,[14]PRIORIZADOS!$A:$L,12,FALSE)),"")</f>
        <v>SONIA YAMILE ARTEAGA MELO</v>
      </c>
      <c r="M2150" s="71">
        <f>IFERROR(IF(VLOOKUP(A2150,[14]PRIORIZADOS!$A:$M,13,FALSE)="","",VLOOKUP(A2150,[14]PRIORIZADOS!$A:$M,13,FALSE)),"")</f>
        <v>45895</v>
      </c>
      <c r="N2150" s="71">
        <f>IFERROR(IF(VLOOKUP(A2150,[14]PRIORIZADOS!$A:$N,14,FALSE)="","",VLOOKUP(A2150,[14]PRIORIZADOS!$A:$N,14,FALSE)),"")</f>
        <v>45776</v>
      </c>
      <c r="O2150" s="71">
        <f>IFERROR(IF(VLOOKUP(A2150,[14]PRIORIZADOS!$A:$O,15,FALSE)="","",VLOOKUP(A2150,[14]PRIORIZADOS!$A:$O,15,FALSE)),"")</f>
        <v>45776</v>
      </c>
      <c r="P2150" s="11" t="str">
        <f>IFERROR(IF(VLOOKUP(A2150,[14]PRIORIZADOS!$A:$P,16,FALSE)="","",VLOOKUP(A2150,[14]PRIORIZADOS!$A:$P,16,FALSE)),"")</f>
        <v>Visitas de evaluación con fines de mejoramiento</v>
      </c>
      <c r="Q2150" s="7" t="s">
        <v>445</v>
      </c>
      <c r="R2150" s="11" t="str">
        <f>IFERROR(IF(VLOOKUP(A2150,[14]PRIORIZADOS!$A:$R,18,FALSE)="","",VLOOKUP(A2150,[14]PRIORIZADOS!$A:$R,18,FALSE)),"")</f>
        <v>Se realizó retroalimentación sobre  el SIEE, el cual no está en consonancia con el PEI, se retroalimento sobre el funcionamiento de las comisiones de promoción.</v>
      </c>
      <c r="S2150" s="11" t="str">
        <f>IFERROR(IF(VLOOKUP(A2150,[14]PRIORIZADOS!$A:$S,19,FALSE)="","",VLOOKUP(A2150,[14]PRIORIZADOS!$A:$S,19,FALSE)),"")</f>
        <v>Realizar los ajustes de conformidad con las observaciones realizada mediante la programacion de su plan de mejoramiento en la visita DEL antes del 15 de mayo</v>
      </c>
      <c r="T2150" s="70" t="str">
        <f>IFERROR(IF(VLOOKUP(A2150,[14]PRIORIZADOS!$A:$T,20,FALSE)="","",VLOOKUP(A2150,[14]PRIORIZADOS!$A:$T,20,FALSE)),"")</f>
        <v>Si</v>
      </c>
      <c r="U2150" s="11" t="str">
        <f>IFERROR(IF(VLOOKUP(A2150,[14]PRIORIZADOS!$A:$U,21,FALSE)="","",VLOOKUP(A2150,[14]PRIORIZADOS!$A:$U,21,FALSE)),"")</f>
        <v>Revisar la actualización del manual de convivencia en lo relacionado con el  SIIE con fecha límite el 31 de julio</v>
      </c>
    </row>
    <row r="2151" spans="1:21" s="1" customFormat="1" ht="48">
      <c r="A2151" s="69">
        <f>IF([14]PRIORIZADOS!A198="","",[14]PRIORIZADOS!A198)</f>
        <v>2119</v>
      </c>
      <c r="B2151" s="70">
        <f>IFERROR(IF(VLOOKUP(A2151,[14]PRIORIZADOS!$A:$B,2,FALSE)="","",VLOOKUP(A2151,[14]PRIORIZADOS!$A:$B,2,FALSE)),"")</f>
        <v>21</v>
      </c>
      <c r="C2151" s="11" t="s">
        <v>424</v>
      </c>
      <c r="D2151" s="11" t="str">
        <f>IFERROR(IF(VLOOKUP(A2151,[14]PRIORIZADOS!$A:$D,4,FALSE)="","",VLOOKUP(A2151,[14]PRIORIZADOS!$A:$D,4,FALSE)),"")</f>
        <v>PRIVADO</v>
      </c>
      <c r="E2151" s="11" t="str">
        <f>IFERROR(IF(VLOOKUP(A2151,[14]PRIORIZADOS!$A:$E,5,FALSE)="","",VLOOKUP(A2151,[14]PRIORIZADOS!$A:$E,5,FALSE)),"")</f>
        <v>EPBM</v>
      </c>
      <c r="F2151" s="11" t="str">
        <f>IFERROR(IF(VLOOKUP(A2151,[14]PRIORIZADOS!$A:$F,6,FALSE)="","",VLOOKUP(A2151,[14]PRIORIZADOS!$A:$F,6,FALSE)),"")</f>
        <v>GIMNASIO_MODERNO_GENERACION_DEL_FUTURO</v>
      </c>
      <c r="G2151" s="11" t="str">
        <f>IFERROR(IF(VLOOKUP(A2151,[14]PRIORIZADOS!$A:$G,7,FALSE)="","",VLOOKUP(A2151,[14]PRIORIZADOS!$A:$G,7,FALSE)),"")</f>
        <v>GIMNASIO MODERNO GENERACION DEL FUTURO</v>
      </c>
      <c r="H2151" s="11" t="str">
        <f>IFERROR(IF(VLOOKUP(A2151,[14]PRIORIZADOS!$A:$H,8,FALSE)="","",VLOOKUP(A2151,[14]PRIORIZADOS!$A:$H,8,FALSE)),"")</f>
        <v>Autoevaluación Institucional y Pruebas SABER 11</v>
      </c>
      <c r="I2151" s="11" t="str">
        <f>IFERROR(IF(VLOOKUP(A2151,[14]PRIORIZADOS!$A:$I,9,FALSE)="","",VLOOKUP(A2151,[14]PRIORIZADOS!$A:$I,9,FALSE)),"")</f>
        <v>EVALUACIÓN_CON_FINES_DE_MEJORAMIENTO.</v>
      </c>
      <c r="J2151" s="11" t="str">
        <f>IFERROR(IF(VLOOKUP(A2151,[14]PRIORIZADOS!$A:$J,10,FALSE)="","",VLOOKUP(A2151,[14]PRIORIZADOS!$A:$J,10,FALSE)),"")</f>
        <v>Revisar el calendario escolar, jornada escolar, la intensidad horaria mínima anual en cada nivel y las modificaciones que se realicen al mismo, de acuerdo con lo previsto en la normatividad vigente.</v>
      </c>
      <c r="K2151" s="11" t="str">
        <f>IFERROR(IF(VLOOKUP(A2151,[14]PRIORIZADOS!$A:$K,11,FALSE)="","",VLOOKUP(A2151,[14]PRIORIZADOS!$A:$K,11,FALSE)),"")</f>
        <v>JENNIFFER ESPERANZA GONZÁLEZ GÓMEZ</v>
      </c>
      <c r="L2151" s="11" t="str">
        <f>IFERROR(IF(VLOOKUP(A2151,[14]PRIORIZADOS!$A:$L,12,FALSE)="","",VLOOKUP(A2151,[14]PRIORIZADOS!$A:$L,12,FALSE)),"")</f>
        <v>SONIA YAMILE ARTEAGA MELO</v>
      </c>
      <c r="M2151" s="71">
        <f>IFERROR(IF(VLOOKUP(A2151,[14]PRIORIZADOS!$A:$M,13,FALSE)="","",VLOOKUP(A2151,[14]PRIORIZADOS!$A:$M,13,FALSE)),"")</f>
        <v>45895</v>
      </c>
      <c r="N2151" s="71">
        <f>IFERROR(IF(VLOOKUP(A2151,[14]PRIORIZADOS!$A:$N,14,FALSE)="","",VLOOKUP(A2151,[14]PRIORIZADOS!$A:$N,14,FALSE)),"")</f>
        <v>45776</v>
      </c>
      <c r="O2151" s="71">
        <f>IFERROR(IF(VLOOKUP(A2151,[14]PRIORIZADOS!$A:$O,15,FALSE)="","",VLOOKUP(A2151,[14]PRIORIZADOS!$A:$O,15,FALSE)),"")</f>
        <v>45776</v>
      </c>
      <c r="P2151" s="11" t="str">
        <f>IFERROR(IF(VLOOKUP(A2151,[14]PRIORIZADOS!$A:$P,16,FALSE)="","",VLOOKUP(A2151,[14]PRIORIZADOS!$A:$P,16,FALSE)),"")</f>
        <v>Visitas de evaluación con fines de mejoramiento</v>
      </c>
      <c r="Q2151" s="7" t="s">
        <v>445</v>
      </c>
      <c r="R2151" s="11" t="str">
        <f>IFERROR(IF(VLOOKUP(A2151,[14]PRIORIZADOS!$A:$R,18,FALSE)="","",VLOOKUP(A2151,[14]PRIORIZADOS!$A:$R,18,FALSE)),"")</f>
        <v>La intensidad horaria y las horas mínimas anuales de cada ciclo  se ajustan a la normatividad vigente.</v>
      </c>
      <c r="S2151" s="11" t="str">
        <f>IFERROR(IF(VLOOKUP(A2151,[14]PRIORIZADOS!$A:$S,19,FALSE)="","",VLOOKUP(A2151,[14]PRIORIZADOS!$A:$S,19,FALSE)),"")</f>
        <v>Continuar con la implementación del calendario en cuanto a las semanas de desarrollo institucional y las instensidades de las áreas fundamentales.</v>
      </c>
      <c r="T2151" s="70" t="str">
        <f>IFERROR(IF(VLOOKUP(A2151,[14]PRIORIZADOS!$A:$T,20,FALSE)="","",VLOOKUP(A2151,[14]PRIORIZADOS!$A:$T,20,FALSE)),"")</f>
        <v>No</v>
      </c>
      <c r="U2151" s="11" t="str">
        <f>IFERROR(IF(VLOOKUP(A2151,[14]PRIORIZADOS!$A:$U,21,FALSE)="","",VLOOKUP(A2151,[14]PRIORIZADOS!$A:$U,21,FALSE)),"")</f>
        <v>Verificar el cumplimiento del calendario académico para 2026</v>
      </c>
    </row>
    <row r="2152" spans="1:21" s="1" customFormat="1" ht="48">
      <c r="A2152" s="69">
        <f>IF([14]PRIORIZADOS!A199="","",[14]PRIORIZADOS!A199)</f>
        <v>2120</v>
      </c>
      <c r="B2152" s="70">
        <f>IFERROR(IF(VLOOKUP(A2152,[14]PRIORIZADOS!$A:$B,2,FALSE)="","",VLOOKUP(A2152,[14]PRIORIZADOS!$A:$B,2,FALSE)),"")</f>
        <v>21</v>
      </c>
      <c r="C2152" s="11" t="s">
        <v>424</v>
      </c>
      <c r="D2152" s="11" t="str">
        <f>IFERROR(IF(VLOOKUP(A2152,[14]PRIORIZADOS!$A:$D,4,FALSE)="","",VLOOKUP(A2152,[14]PRIORIZADOS!$A:$D,4,FALSE)),"")</f>
        <v>PRIVADO</v>
      </c>
      <c r="E2152" s="11" t="str">
        <f>IFERROR(IF(VLOOKUP(A2152,[14]PRIORIZADOS!$A:$E,5,FALSE)="","",VLOOKUP(A2152,[14]PRIORIZADOS!$A:$E,5,FALSE)),"")</f>
        <v>EPBM</v>
      </c>
      <c r="F2152" s="11" t="str">
        <f>IFERROR(IF(VLOOKUP(A2152,[14]PRIORIZADOS!$A:$F,6,FALSE)="","",VLOOKUP(A2152,[14]PRIORIZADOS!$A:$F,6,FALSE)),"")</f>
        <v>GIMNASIO_MODERNO_GENERACION_DEL_FUTURO</v>
      </c>
      <c r="G2152" s="11" t="str">
        <f>IFERROR(IF(VLOOKUP(A2152,[14]PRIORIZADOS!$A:$G,7,FALSE)="","",VLOOKUP(A2152,[14]PRIORIZADOS!$A:$G,7,FALSE)),"")</f>
        <v>GIMNASIO MODERNO GENERACION DEL FUTURO</v>
      </c>
      <c r="H2152" s="11" t="str">
        <f>IFERROR(IF(VLOOKUP(A2152,[14]PRIORIZADOS!$A:$H,8,FALSE)="","",VLOOKUP(A2152,[14]PRIORIZADOS!$A:$H,8,FALSE)),"")</f>
        <v>Autoevaluación Institucional y Pruebas SABER 11</v>
      </c>
      <c r="I2152" s="11" t="str">
        <f>IFERROR(IF(VLOOKUP(A2152,[14]PRIORIZADOS!$A:$I,9,FALSE)="","",VLOOKUP(A2152,[14]PRIORIZADOS!$A:$I,9,FALSE)),"")</f>
        <v>EVALUACIÓN_CON_FINES_DE_MEJORAMIENTO.</v>
      </c>
      <c r="J2152" s="11" t="str">
        <f>IFERROR(IF(VLOOKUP(A2152,[14]PRIORIZADOS!$A:$J,10,FALSE)="","",VLOOKUP(A2152,[14]PRIORIZADOS!$A:$J,10,FALSE)),"")</f>
        <v>Verificar el funcionamiento del Gobierno Escolar e instancias de participación con base en la información sobre conformación reportada por la institución educativa.</v>
      </c>
      <c r="K2152" s="11" t="str">
        <f>IFERROR(IF(VLOOKUP(A2152,[14]PRIORIZADOS!$A:$K,11,FALSE)="","",VLOOKUP(A2152,[14]PRIORIZADOS!$A:$K,11,FALSE)),"")</f>
        <v>JENNIFFER ESPERANZA GONZÁLEZ GÓMEZ</v>
      </c>
      <c r="L2152" s="11" t="str">
        <f>IFERROR(IF(VLOOKUP(A2152,[14]PRIORIZADOS!$A:$L,12,FALSE)="","",VLOOKUP(A2152,[14]PRIORIZADOS!$A:$L,12,FALSE)),"")</f>
        <v>SONIA YAMILE ARTEAGA MELO</v>
      </c>
      <c r="M2152" s="71">
        <f>IFERROR(IF(VLOOKUP(A2152,[14]PRIORIZADOS!$A:$M,13,FALSE)="","",VLOOKUP(A2152,[14]PRIORIZADOS!$A:$M,13,FALSE)),"")</f>
        <v>45895</v>
      </c>
      <c r="N2152" s="71">
        <f>IFERROR(IF(VLOOKUP(A2152,[14]PRIORIZADOS!$A:$N,14,FALSE)="","",VLOOKUP(A2152,[14]PRIORIZADOS!$A:$N,14,FALSE)),"")</f>
        <v>45776</v>
      </c>
      <c r="O2152" s="71">
        <f>IFERROR(IF(VLOOKUP(A2152,[14]PRIORIZADOS!$A:$O,15,FALSE)="","",VLOOKUP(A2152,[14]PRIORIZADOS!$A:$O,15,FALSE)),"")</f>
        <v>45776</v>
      </c>
      <c r="P2152" s="11" t="str">
        <f>IFERROR(IF(VLOOKUP(A2152,[14]PRIORIZADOS!$A:$P,16,FALSE)="","",VLOOKUP(A2152,[14]PRIORIZADOS!$A:$P,16,FALSE)),"")</f>
        <v>Visitas de evaluación con fines de mejoramiento</v>
      </c>
      <c r="Q2152" s="7" t="s">
        <v>445</v>
      </c>
      <c r="R2152" s="11" t="str">
        <f>IFERROR(IF(VLOOKUP(A2152,[14]PRIORIZADOS!$A:$R,18,FALSE)="","",VLOOKUP(A2152,[14]PRIORIZADOS!$A:$R,18,FALSE)),"")</f>
        <v>Se evidenciaron las actas de conformación de gobierno escolar, las cuales estan  cargadas en el SAE. Sobre el funcionamiento no han sesionado.</v>
      </c>
      <c r="S2152" s="11" t="str">
        <f>IFERROR(IF(VLOOKUP(A2152,[14]PRIORIZADOS!$A:$S,19,FALSE)="","",VLOOKUP(A2152,[14]PRIORIZADOS!$A:$S,19,FALSE)),"")</f>
        <v xml:space="preserve"> Sesionar con cada órgano de gobierno de conformidad con la periodicidad establecida en la norma</v>
      </c>
      <c r="T2152" s="70" t="str">
        <f>IFERROR(IF(VLOOKUP(A2152,[14]PRIORIZADOS!$A:$T,20,FALSE)="","",VLOOKUP(A2152,[14]PRIORIZADOS!$A:$T,20,FALSE)),"")</f>
        <v>Si</v>
      </c>
      <c r="U2152" s="11" t="str">
        <f>IFERROR(IF(VLOOKUP(A2152,[14]PRIORIZADOS!$A:$U,21,FALSE)="","",VLOOKUP(A2152,[14]PRIORIZADOS!$A:$U,21,FALSE)),"")</f>
        <v>Verificar el SAE  y verificar el funcionamiento de  los organos de gobierno.</v>
      </c>
    </row>
    <row r="2153" spans="1:21" s="1" customFormat="1" ht="48">
      <c r="A2153" s="69">
        <f>IF([14]PRIORIZADOS!A200="","",[14]PRIORIZADOS!A200)</f>
        <v>2121</v>
      </c>
      <c r="B2153" s="70">
        <f>IFERROR(IF(VLOOKUP(A2153,[14]PRIORIZADOS!$A:$B,2,FALSE)="","",VLOOKUP(A2153,[14]PRIORIZADOS!$A:$B,2,FALSE)),"")</f>
        <v>21</v>
      </c>
      <c r="C2153" s="11" t="s">
        <v>424</v>
      </c>
      <c r="D2153" s="11" t="str">
        <f>IFERROR(IF(VLOOKUP(A2153,[14]PRIORIZADOS!$A:$D,4,FALSE)="","",VLOOKUP(A2153,[14]PRIORIZADOS!$A:$D,4,FALSE)),"")</f>
        <v>PRIVADO</v>
      </c>
      <c r="E2153" s="11" t="str">
        <f>IFERROR(IF(VLOOKUP(A2153,[14]PRIORIZADOS!$A:$E,5,FALSE)="","",VLOOKUP(A2153,[14]PRIORIZADOS!$A:$E,5,FALSE)),"")</f>
        <v>EPBM</v>
      </c>
      <c r="F2153" s="11" t="str">
        <f>IFERROR(IF(VLOOKUP(A2153,[14]PRIORIZADOS!$A:$F,6,FALSE)="","",VLOOKUP(A2153,[14]PRIORIZADOS!$A:$F,6,FALSE)),"")</f>
        <v>GIMNASIO_MODERNO_GENERACION_DEL_FUTURO</v>
      </c>
      <c r="G2153" s="11" t="str">
        <f>IFERROR(IF(VLOOKUP(A2153,[14]PRIORIZADOS!$A:$G,7,FALSE)="","",VLOOKUP(A2153,[14]PRIORIZADOS!$A:$G,7,FALSE)),"")</f>
        <v>GIMNASIO MODERNO GENERACION DEL FUTURO</v>
      </c>
      <c r="H2153" s="11" t="str">
        <f>IFERROR(IF(VLOOKUP(A2153,[14]PRIORIZADOS!$A:$H,8,FALSE)="","",VLOOKUP(A2153,[14]PRIORIZADOS!$A:$H,8,FALSE)),"")</f>
        <v>Autoevaluación Institucional y Pruebas SABER 11</v>
      </c>
      <c r="I2153" s="11" t="str">
        <f>IFERROR(IF(VLOOKUP(A2153,[14]PRIORIZADOS!$A:$I,9,FALSE)="","",VLOOKUP(A2153,[14]PRIORIZADOS!$A:$I,9,FALSE)),"")</f>
        <v>EVALUACIÓN_CON_FINES_DE_MEJORAMIENTO.</v>
      </c>
      <c r="J2153" s="11" t="str">
        <f>IFERROR(IF(VLOOKUP(A2153,[14]PRIORIZADOS!$A:$J,10,FALSE)="","",VLOOKUP(A2153,[14]PRIORIZADOS!$A:$J,10,FALSE)),"")</f>
        <v>Verificar las condiciones en cuanto a: la estructura administrativa, condiciones de la planta física y medios educativos adecuados.</v>
      </c>
      <c r="K2153" s="11" t="str">
        <f>IFERROR(IF(VLOOKUP(A2153,[14]PRIORIZADOS!$A:$K,11,FALSE)="","",VLOOKUP(A2153,[14]PRIORIZADOS!$A:$K,11,FALSE)),"")</f>
        <v>JENNIFFER ESPERANZA GONZÁLEZ GÓMEZ</v>
      </c>
      <c r="L2153" s="11" t="str">
        <f>IFERROR(IF(VLOOKUP(A2153,[14]PRIORIZADOS!$A:$L,12,FALSE)="","",VLOOKUP(A2153,[14]PRIORIZADOS!$A:$L,12,FALSE)),"")</f>
        <v>SONIA YAMILE ARTEAGA MELO</v>
      </c>
      <c r="M2153" s="71">
        <f>IFERROR(IF(VLOOKUP(A2153,[14]PRIORIZADOS!$A:$M,13,FALSE)="","",VLOOKUP(A2153,[14]PRIORIZADOS!$A:$M,13,FALSE)),"")</f>
        <v>45895</v>
      </c>
      <c r="N2153" s="71">
        <f>IFERROR(IF(VLOOKUP(A2153,[14]PRIORIZADOS!$A:$N,14,FALSE)="","",VLOOKUP(A2153,[14]PRIORIZADOS!$A:$N,14,FALSE)),"")</f>
        <v>45776</v>
      </c>
      <c r="O2153" s="71">
        <f>IFERROR(IF(VLOOKUP(A2153,[14]PRIORIZADOS!$A:$O,15,FALSE)="","",VLOOKUP(A2153,[14]PRIORIZADOS!$A:$O,15,FALSE)),"")</f>
        <v>45776</v>
      </c>
      <c r="P2153" s="11" t="str">
        <f>IFERROR(IF(VLOOKUP(A2153,[14]PRIORIZADOS!$A:$P,16,FALSE)="","",VLOOKUP(A2153,[14]PRIORIZADOS!$A:$P,16,FALSE)),"")</f>
        <v>Visitas de evaluación con fines de mejoramiento</v>
      </c>
      <c r="Q2153" s="8" t="s">
        <v>445</v>
      </c>
      <c r="R2153" s="11" t="str">
        <f>IFERROR(IF(VLOOKUP(A2153,[14]PRIORIZADOS!$A:$R,18,FALSE)="","",VLOOKUP(A2153,[14]PRIORIZADOS!$A:$R,18,FALSE)),"")</f>
        <v>se encuentra hacinamiento, en todos los espacios de la isntitucion, no cuenta con medios educativos idoneos para la prestacion del servicio</v>
      </c>
      <c r="S2153" s="11" t="str">
        <f>IFERROR(IF(VLOOKUP(A2153,[14]PRIORIZADOS!$A:$S,19,FALSE)="","",VLOOKUP(A2153,[14]PRIORIZADOS!$A:$S,19,FALSE)),"")</f>
        <v>Elaborar plan de mejoramiento sobre todos los indicadores y DEL antes del 15 de mayo</v>
      </c>
      <c r="T2153" s="70" t="str">
        <f>IFERROR(IF(VLOOKUP(A2153,[14]PRIORIZADOS!$A:$T,20,FALSE)="","",VLOOKUP(A2153,[14]PRIORIZADOS!$A:$T,20,FALSE)),"")</f>
        <v>Si</v>
      </c>
      <c r="U2153" s="11" t="str">
        <f>IFERROR(IF(VLOOKUP(A2153,[14]PRIORIZADOS!$A:$U,21,FALSE)="","",VLOOKUP(A2153,[14]PRIORIZADOS!$A:$U,21,FALSE)),"")</f>
        <v>Enviar informe con registro fotograficos de los espacios.</v>
      </c>
    </row>
    <row r="2154" spans="1:21" s="1" customFormat="1" ht="96">
      <c r="A2154" s="69">
        <f>IF([14]PRIORIZADOS!A201="","",[14]PRIORIZADOS!A201)</f>
        <v>2122</v>
      </c>
      <c r="B2154" s="70">
        <f>IFERROR(IF(VLOOKUP(A2154,[14]PRIORIZADOS!$A:$B,2,FALSE)="","",VLOOKUP(A2154,[14]PRIORIZADOS!$A:$B,2,FALSE)),"")</f>
        <v>22</v>
      </c>
      <c r="C2154" s="11" t="s">
        <v>424</v>
      </c>
      <c r="D2154" s="11" t="str">
        <f>IFERROR(IF(VLOOKUP(A2154,[14]PRIORIZADOS!$A:$D,4,FALSE)="","",VLOOKUP(A2154,[14]PRIORIZADOS!$A:$D,4,FALSE)),"")</f>
        <v>PRIVADO</v>
      </c>
      <c r="E2154" s="11" t="str">
        <f>IFERROR(IF(VLOOKUP(A2154,[14]PRIORIZADOS!$A:$E,5,FALSE)="","",VLOOKUP(A2154,[14]PRIORIZADOS!$A:$E,5,FALSE)),"")</f>
        <v>Educación de Jóvenes y Adultos</v>
      </c>
      <c r="F2154" s="11" t="str">
        <f>IFERROR(IF(VLOOKUP(A2154,[14]PRIORIZADOS!$A:$F,6,FALSE)="","",VLOOKUP(A2154,[14]PRIORIZADOS!$A:$F,6,FALSE)),"")</f>
        <v>COLEGIO_INSTITUTO_SANTIAGO_DE_COMPOSTELA</v>
      </c>
      <c r="G2154" s="11" t="str">
        <f>IFERROR(IF(VLOOKUP(A2154,[14]PRIORIZADOS!$A:$G,7,FALSE)="","",VLOOKUP(A2154,[14]PRIORIZADOS!$A:$G,7,FALSE)),"")</f>
        <v>COLEGIO INSTITUTO SANTIAGO DE COMPOSTELA</v>
      </c>
      <c r="H2154" s="11" t="str">
        <f>IFERROR(IF(VLOOKUP(A2154,[14]PRIORIZADOS!$A:$H,8,FALSE)="","",VLOOKUP(A2154,[14]PRIORIZADOS!$A:$H,8,FALSE)),"")</f>
        <v>Autoevaluación Institucional y Pruebas SABER 11</v>
      </c>
      <c r="I2154" s="11" t="str">
        <f>IFERROR(IF(VLOOKUP(A2154,[14]PRIORIZADOS!$A:$I,9,FALSE)="","",VLOOKUP(A2154,[14]PRIORIZADOS!$A:$I,9,FALSE)),"")</f>
        <v>SEGUIMIENTO_Y_SUPERVISIÓN.</v>
      </c>
      <c r="J2154" s="11" t="str">
        <f>IFERROR(IF(VLOOKUP(A2154,[14]PRIORIZADOS!$A:$J,10,FALSE)="","",VLOOKUP(A2154,[14]PRIORIZADOS!$A:$J,10,FALSE)),"")</f>
        <v>Realizar visitas para verificar la información registrada sobre la autoevaluación institucional en el aplicativo EVI, a los establecimientos de educación formal no oficial.</v>
      </c>
      <c r="K2154" s="11" t="str">
        <f>IFERROR(IF(VLOOKUP(A2154,[14]PRIORIZADOS!$A:$K,11,FALSE)="","",VLOOKUP(A2154,[14]PRIORIZADOS!$A:$K,11,FALSE)),"")</f>
        <v>SONIA YAMILE ARTEAGA MELO</v>
      </c>
      <c r="L2154" s="11" t="str">
        <f>IFERROR(IF(VLOOKUP(A2154,[14]PRIORIZADOS!$A:$L,12,FALSE)="","",VLOOKUP(A2154,[14]PRIORIZADOS!$A:$L,12,FALSE)),"")</f>
        <v>JENNIFFER ESPERANZA GONZÁLEZ GÓMEZ</v>
      </c>
      <c r="M2154" s="71">
        <f>IFERROR(IF(VLOOKUP(A2154,[14]PRIORIZADOS!$A:$M,13,FALSE)="","",VLOOKUP(A2154,[14]PRIORIZADOS!$A:$M,13,FALSE)),"")</f>
        <v>45958</v>
      </c>
      <c r="N2154" s="71">
        <f>IFERROR(IF(VLOOKUP(A2154,[14]PRIORIZADOS!$A:$N,14,FALSE)="","",VLOOKUP(A2154,[14]PRIORIZADOS!$A:$N,14,FALSE)),"")</f>
        <v>45769</v>
      </c>
      <c r="O2154" s="71">
        <f>IFERROR(IF(VLOOKUP(A2154,[14]PRIORIZADOS!$A:$O,15,FALSE)="","",VLOOKUP(A2154,[14]PRIORIZADOS!$A:$O,15,FALSE)),"")</f>
        <v>45769</v>
      </c>
      <c r="P2154" s="11" t="str">
        <f>IFERROR(IF(VLOOKUP(A2154,[14]PRIORIZADOS!$A:$P,16,FALSE)="","",VLOOKUP(A2154,[14]PRIORIZADOS!$A:$P,16,FALSE)),"")</f>
        <v>Visitas de evaluación con fines de seguimiento</v>
      </c>
      <c r="Q2154" s="153" t="s">
        <v>446</v>
      </c>
      <c r="R2154" s="11" t="str">
        <f>IFERROR(IF(VLOOKUP(A2154,[14]PRIORIZADOS!$A:$R,18,FALSE)="","",VLOOKUP(A2154,[14]PRIORIZADOS!$A:$R,18,FALSE)),"")</f>
        <v>La instittución ha diligenciado la información en el aplicativo EVI, sin embargo lo reportado no coincide con la realidad, no cancelan seguridad social, no cuenta con el número de unidades santitarias que reporta, ni con el número de computadores, ni con el número de textos en biblioteca.</v>
      </c>
      <c r="S2154" s="11" t="str">
        <f>IFERROR(IF(VLOOKUP(A2154,[14]PRIORIZADOS!$A:$S,19,FALSE)="","",VLOOKUP(A2154,[14]PRIORIZADOS!$A:$S,19,FALSE)),"")</f>
        <v>Debe subsanar la situación, realizando reporte fiel de la información en el formulario de autoevaluación EVI.</v>
      </c>
      <c r="T2154" s="70" t="str">
        <f>IFERROR(IF(VLOOKUP(A2154,[14]PRIORIZADOS!$A:$T,20,FALSE)="","",VLOOKUP(A2154,[14]PRIORIZADOS!$A:$T,20,FALSE)),"")</f>
        <v>Si</v>
      </c>
      <c r="U2154" s="11" t="str">
        <f>IFERROR(IF(VLOOKUP(A2154,[14]PRIORIZADOS!$A:$U,21,FALSE)="","",VLOOKUP(A2154,[14]PRIORIZADOS!$A:$U,21,FALSE)),"")</f>
        <v>Verificación de reporte de información para futura vigencia en aplicativo EVI, y validación en campo.</v>
      </c>
    </row>
    <row r="2155" spans="1:21" s="1" customFormat="1" ht="72">
      <c r="A2155" s="69">
        <f>IF([14]PRIORIZADOS!A202="","",[14]PRIORIZADOS!A202)</f>
        <v>2123</v>
      </c>
      <c r="B2155" s="70">
        <f>IFERROR(IF(VLOOKUP(A2155,[14]PRIORIZADOS!$A:$B,2,FALSE)="","",VLOOKUP(A2155,[14]PRIORIZADOS!$A:$B,2,FALSE)),"")</f>
        <v>22</v>
      </c>
      <c r="C2155" s="11" t="s">
        <v>424</v>
      </c>
      <c r="D2155" s="11" t="str">
        <f>IFERROR(IF(VLOOKUP(A2155,[14]PRIORIZADOS!$A:$D,4,FALSE)="","",VLOOKUP(A2155,[14]PRIORIZADOS!$A:$D,4,FALSE)),"")</f>
        <v>PRIVADO</v>
      </c>
      <c r="E2155" s="11" t="str">
        <f>IFERROR(IF(VLOOKUP(A2155,[14]PRIORIZADOS!$A:$E,5,FALSE)="","",VLOOKUP(A2155,[14]PRIORIZADOS!$A:$E,5,FALSE)),"")</f>
        <v>Educación de Jóvenes y Adultos</v>
      </c>
      <c r="F2155" s="11" t="str">
        <f>IFERROR(IF(VLOOKUP(A2155,[14]PRIORIZADOS!$A:$F,6,FALSE)="","",VLOOKUP(A2155,[14]PRIORIZADOS!$A:$F,6,FALSE)),"")</f>
        <v>COLEGIO_INSTITUTO_SANTIAGO_DE_COMPOSTELA</v>
      </c>
      <c r="G2155" s="11" t="str">
        <f>IFERROR(IF(VLOOKUP(A2155,[14]PRIORIZADOS!$A:$G,7,FALSE)="","",VLOOKUP(A2155,[14]PRIORIZADOS!$A:$G,7,FALSE)),"")</f>
        <v>COLEGIO INSTITUTO SANTIAGO DE COMPOSTELA</v>
      </c>
      <c r="H2155" s="11" t="str">
        <f>IFERROR(IF(VLOOKUP(A2155,[14]PRIORIZADOS!$A:$H,8,FALSE)="","",VLOOKUP(A2155,[14]PRIORIZADOS!$A:$H,8,FALSE)),"")</f>
        <v>Autoevaluación Institucional y Pruebas SABER 11</v>
      </c>
      <c r="I2155" s="11" t="str">
        <f>IFERROR(IF(VLOOKUP(A2155,[14]PRIORIZADOS!$A:$I,9,FALSE)="","",VLOOKUP(A2155,[14]PRIORIZADOS!$A:$I,9,FALSE)),"")</f>
        <v>SEGUIMIENTO_Y_SUPERVISIÓN.</v>
      </c>
      <c r="J2155" s="11" t="str">
        <f>IFERROR(IF(VLOOKUP(A2155,[14]PRIORIZADOS!$A:$J,10,FALSE)="","",VLOOKUP(A2155,[14]PRIORIZADOS!$A:$J,10,FALSE)),"")</f>
        <v>Proponer estrategias en la formulación, verificar su elaboración y realizar seguimiento semestral al desarrollo de  las acciones establecidas en los planes de mejoramiento por pruebas SABER 11 de los establecimientos de educación formal.</v>
      </c>
      <c r="K2155" s="11" t="str">
        <f>IFERROR(IF(VLOOKUP(A2155,[14]PRIORIZADOS!$A:$K,11,FALSE)="","",VLOOKUP(A2155,[14]PRIORIZADOS!$A:$K,11,FALSE)),"")</f>
        <v>SONIA YAMILE ARTEAGA MELO</v>
      </c>
      <c r="L2155" s="11" t="str">
        <f>IFERROR(IF(VLOOKUP(A2155,[14]PRIORIZADOS!$A:$L,12,FALSE)="","",VLOOKUP(A2155,[14]PRIORIZADOS!$A:$L,12,FALSE)),"")</f>
        <v>JENNIFFER ESPERANZA GONZÁLEZ GÓMEZ</v>
      </c>
      <c r="M2155" s="71">
        <f>IFERROR(IF(VLOOKUP(A2155,[14]PRIORIZADOS!$A:$M,13,FALSE)="","",VLOOKUP(A2155,[14]PRIORIZADOS!$A:$M,13,FALSE)),"")</f>
        <v>45958</v>
      </c>
      <c r="N2155" s="71">
        <f>IFERROR(IF(VLOOKUP(A2155,[14]PRIORIZADOS!$A:$N,14,FALSE)="","",VLOOKUP(A2155,[14]PRIORIZADOS!$A:$N,14,FALSE)),"")</f>
        <v>45769</v>
      </c>
      <c r="O2155" s="71">
        <f>IFERROR(IF(VLOOKUP(A2155,[14]PRIORIZADOS!$A:$O,15,FALSE)="","",VLOOKUP(A2155,[14]PRIORIZADOS!$A:$O,15,FALSE)),"")</f>
        <v>45769</v>
      </c>
      <c r="P2155" s="11" t="str">
        <f>IFERROR(IF(VLOOKUP(A2155,[14]PRIORIZADOS!$A:$P,16,FALSE)="","",VLOOKUP(A2155,[14]PRIORIZADOS!$A:$P,16,FALSE)),"")</f>
        <v>Visitas de evaluación con fines de seguimiento</v>
      </c>
      <c r="Q2155" s="153" t="s">
        <v>446</v>
      </c>
      <c r="R2155" s="11" t="str">
        <f>IFERROR(IF(VLOOKUP(A2155,[14]PRIORIZADOS!$A:$R,18,FALSE)="","",VLOOKUP(A2155,[14]PRIORIZADOS!$A:$R,18,FALSE)),"")</f>
        <v>Directivos de la institución no tienen definida ruta de seguimiento y expectativa de mejora de resultados</v>
      </c>
      <c r="S2155" s="11" t="str">
        <f>IFERROR(IF(VLOOKUP(A2155,[14]PRIORIZADOS!$A:$S,19,FALSE)="","",VLOOKUP(A2155,[14]PRIORIZADOS!$A:$S,19,FALSE)),"")</f>
        <v>Revisar los resultados y la relación con las asignaturas del plan de estudio, analizando los resultados obtenidos  de los últimos años. Elaborar plan de mejoramiento sobre todos los indicadores y remitirlo a la DLE el 30 d emayo del año en curso.</v>
      </c>
      <c r="T2155" s="70" t="str">
        <f>IFERROR(IF(VLOOKUP(A2155,[14]PRIORIZADOS!$A:$T,20,FALSE)="","",VLOOKUP(A2155,[14]PRIORIZADOS!$A:$T,20,FALSE)),"")</f>
        <v>Si</v>
      </c>
      <c r="U2155" s="11" t="str">
        <f>IFERROR(IF(VLOOKUP(A2155,[14]PRIORIZADOS!$A:$U,21,FALSE)="","",VLOOKUP(A2155,[14]PRIORIZADOS!$A:$U,21,FALSE)),"")</f>
        <v xml:space="preserve">Verificar el análisis los resultados y las acciones en las asignaturas que presentan puntajes más bajos </v>
      </c>
    </row>
    <row r="2156" spans="1:21" s="1" customFormat="1" ht="48">
      <c r="A2156" s="69">
        <f>IF([14]PRIORIZADOS!A203="","",[14]PRIORIZADOS!A203)</f>
        <v>2124</v>
      </c>
      <c r="B2156" s="70">
        <f>IFERROR(IF(VLOOKUP(A2156,[14]PRIORIZADOS!$A:$B,2,FALSE)="","",VLOOKUP(A2156,[14]PRIORIZADOS!$A:$B,2,FALSE)),"")</f>
        <v>22</v>
      </c>
      <c r="C2156" s="11" t="s">
        <v>424</v>
      </c>
      <c r="D2156" s="11" t="str">
        <f>IFERROR(IF(VLOOKUP(A2156,[14]PRIORIZADOS!$A:$D,4,FALSE)="","",VLOOKUP(A2156,[14]PRIORIZADOS!$A:$D,4,FALSE)),"")</f>
        <v>PRIVADO</v>
      </c>
      <c r="E2156" s="11" t="str">
        <f>IFERROR(IF(VLOOKUP(A2156,[14]PRIORIZADOS!$A:$E,5,FALSE)="","",VLOOKUP(A2156,[14]PRIORIZADOS!$A:$E,5,FALSE)),"")</f>
        <v>Educación de Jóvenes y Adultos</v>
      </c>
      <c r="F2156" s="11" t="str">
        <f>IFERROR(IF(VLOOKUP(A2156,[14]PRIORIZADOS!$A:$F,6,FALSE)="","",VLOOKUP(A2156,[14]PRIORIZADOS!$A:$F,6,FALSE)),"")</f>
        <v>COLEGIO_INSTITUTO_SANTIAGO_DE_COMPOSTELA</v>
      </c>
      <c r="G2156" s="11" t="str">
        <f>IFERROR(IF(VLOOKUP(A2156,[14]PRIORIZADOS!$A:$G,7,FALSE)="","",VLOOKUP(A2156,[14]PRIORIZADOS!$A:$G,7,FALSE)),"")</f>
        <v>COLEGIO INSTITUTO SANTIAGO DE COMPOSTELA</v>
      </c>
      <c r="H2156" s="11" t="str">
        <f>IFERROR(IF(VLOOKUP(A2156,[14]PRIORIZADOS!$A:$H,8,FALSE)="","",VLOOKUP(A2156,[14]PRIORIZADOS!$A:$H,8,FALSE)),"")</f>
        <v>Autoevaluación Institucional y Pruebas SABER 11</v>
      </c>
      <c r="I2156" s="11" t="str">
        <f>IFERROR(IF(VLOOKUP(A2156,[14]PRIORIZADOS!$A:$I,9,FALSE)="","",VLOOKUP(A2156,[14]PRIORIZADOS!$A:$I,9,FALSE)),"")</f>
        <v>SEGUIMIENTO_Y_SUPERVISIÓN.</v>
      </c>
      <c r="J2156" s="11" t="str">
        <f>IFERROR(IF(VLOOKUP(A2156,[14]PRIORIZADOS!$A:$J,10,FALSE)="","",VLOOKUP(A2156,[14]PRIORIZADOS!$A:$J,10,FALSE)),"")</f>
        <v xml:space="preserve">Verificar la implementación por parte de los colegios, de acciones realizadas para la prevención y atención de las situaciones de convivencia en el entorno escolar, según lo establecido en la Directiva 01 de 2022 del MEN. </v>
      </c>
      <c r="K2156" s="11" t="str">
        <f>IFERROR(IF(VLOOKUP(A2156,[14]PRIORIZADOS!$A:$K,11,FALSE)="","",VLOOKUP(A2156,[14]PRIORIZADOS!$A:$K,11,FALSE)),"")</f>
        <v>SONIA YAMILE ARTEAGA MELO</v>
      </c>
      <c r="L2156" s="11" t="str">
        <f>IFERROR(IF(VLOOKUP(A2156,[14]PRIORIZADOS!$A:$L,12,FALSE)="","",VLOOKUP(A2156,[14]PRIORIZADOS!$A:$L,12,FALSE)),"")</f>
        <v>JENNIFFER ESPERANZA GONZÁLEZ GÓMEZ</v>
      </c>
      <c r="M2156" s="71">
        <f>IFERROR(IF(VLOOKUP(A2156,[14]PRIORIZADOS!$A:$M,13,FALSE)="","",VLOOKUP(A2156,[14]PRIORIZADOS!$A:$M,13,FALSE)),"")</f>
        <v>45958</v>
      </c>
      <c r="N2156" s="71">
        <f>IFERROR(IF(VLOOKUP(A2156,[14]PRIORIZADOS!$A:$N,14,FALSE)="","",VLOOKUP(A2156,[14]PRIORIZADOS!$A:$N,14,FALSE)),"")</f>
        <v>45769</v>
      </c>
      <c r="O2156" s="71">
        <f>IFERROR(IF(VLOOKUP(A2156,[14]PRIORIZADOS!$A:$O,15,FALSE)="","",VLOOKUP(A2156,[14]PRIORIZADOS!$A:$O,15,FALSE)),"")</f>
        <v>45769</v>
      </c>
      <c r="P2156" s="11" t="str">
        <f>IFERROR(IF(VLOOKUP(A2156,[14]PRIORIZADOS!$A:$P,16,FALSE)="","",VLOOKUP(A2156,[14]PRIORIZADOS!$A:$P,16,FALSE)),"")</f>
        <v>Visitas de evaluación con fines de seguimiento</v>
      </c>
      <c r="Q2156" s="153" t="s">
        <v>446</v>
      </c>
      <c r="R2156" s="11" t="str">
        <f>IFERROR(IF(VLOOKUP(A2156,[14]PRIORIZADOS!$A:$R,18,FALSE)="","",VLOOKUP(A2156,[14]PRIORIZADOS!$A:$R,18,FALSE)),"")</f>
        <v>No presentan archivo de las Hojas de Vida de Docentes, por consiguiente no hay evidencia de cumplimiento de la Directiva 01/2022 del MEN.</v>
      </c>
      <c r="S2156" s="11" t="str">
        <f>IFERROR(IF(VLOOKUP(A2156,[14]PRIORIZADOS!$A:$S,19,FALSE)="","",VLOOKUP(A2156,[14]PRIORIZADOS!$A:$S,19,FALSE)),"")</f>
        <v>Se solicita revisar normativa de archivo, organizar expedientes de docentes vincualdos y consultar los antecedentes respectivos.</v>
      </c>
      <c r="T2156" s="70" t="str">
        <f>IFERROR(IF(VLOOKUP(A2156,[14]PRIORIZADOS!$A:$T,20,FALSE)="","",VLOOKUP(A2156,[14]PRIORIZADOS!$A:$T,20,FALSE)),"")</f>
        <v>Si</v>
      </c>
      <c r="U2156" s="11" t="str">
        <f>IFERROR(IF(VLOOKUP(A2156,[14]PRIORIZADOS!$A:$U,21,FALSE)="","",VLOOKUP(A2156,[14]PRIORIZADOS!$A:$U,21,FALSE)),"")</f>
        <v>Verificar la organización de archivo y seguimiento a consulta de reporte de antecedentes.</v>
      </c>
    </row>
    <row r="2157" spans="1:21" s="1" customFormat="1" ht="84">
      <c r="A2157" s="69">
        <f>IF([14]PRIORIZADOS!A204="","",[14]PRIORIZADOS!A204)</f>
        <v>2125</v>
      </c>
      <c r="B2157" s="70">
        <f>IFERROR(IF(VLOOKUP(A2157,[14]PRIORIZADOS!$A:$B,2,FALSE)="","",VLOOKUP(A2157,[14]PRIORIZADOS!$A:$B,2,FALSE)),"")</f>
        <v>22</v>
      </c>
      <c r="C2157" s="11" t="s">
        <v>424</v>
      </c>
      <c r="D2157" s="11" t="str">
        <f>IFERROR(IF(VLOOKUP(A2157,[14]PRIORIZADOS!$A:$D,4,FALSE)="","",VLOOKUP(A2157,[14]PRIORIZADOS!$A:$D,4,FALSE)),"")</f>
        <v>PRIVADO</v>
      </c>
      <c r="E2157" s="11" t="str">
        <f>IFERROR(IF(VLOOKUP(A2157,[14]PRIORIZADOS!$A:$E,5,FALSE)="","",VLOOKUP(A2157,[14]PRIORIZADOS!$A:$E,5,FALSE)),"")</f>
        <v>Educación de Jóvenes y Adultos</v>
      </c>
      <c r="F2157" s="11" t="str">
        <f>IFERROR(IF(VLOOKUP(A2157,[14]PRIORIZADOS!$A:$F,6,FALSE)="","",VLOOKUP(A2157,[14]PRIORIZADOS!$A:$F,6,FALSE)),"")</f>
        <v>COLEGIO_INSTITUTO_SANTIAGO_DE_COMPOSTELA</v>
      </c>
      <c r="G2157" s="11" t="str">
        <f>IFERROR(IF(VLOOKUP(A2157,[14]PRIORIZADOS!$A:$G,7,FALSE)="","",VLOOKUP(A2157,[14]PRIORIZADOS!$A:$G,7,FALSE)),"")</f>
        <v>COLEGIO INSTITUTO SANTIAGO DE COMPOSTELA</v>
      </c>
      <c r="H2157" s="11" t="str">
        <f>IFERROR(IF(VLOOKUP(A2157,[14]PRIORIZADOS!$A:$H,8,FALSE)="","",VLOOKUP(A2157,[14]PRIORIZADOS!$A:$H,8,FALSE)),"")</f>
        <v>Autoevaluación Institucional y Pruebas SABER 11</v>
      </c>
      <c r="I2157" s="11" t="str">
        <f>IFERROR(IF(VLOOKUP(A2157,[14]PRIORIZADOS!$A:$I,9,FALSE)="","",VLOOKUP(A2157,[14]PRIORIZADOS!$A:$I,9,FALSE)),"")</f>
        <v>SEGUIMIENTO_Y_SUPERVISIÓN.</v>
      </c>
      <c r="J2157" s="11" t="str">
        <f>IFERROR(IF(VLOOKUP(A2157,[14]PRIORIZADOS!$A:$J,10,FALSE)="","",VLOOKUP(A2157,[14]PRIORIZADOS!$A:$J,10,FALSE)),"")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57" s="11" t="str">
        <f>IFERROR(IF(VLOOKUP(A2157,[14]PRIORIZADOS!$A:$K,11,FALSE)="","",VLOOKUP(A2157,[14]PRIORIZADOS!$A:$K,11,FALSE)),"")</f>
        <v>SONIA YAMILE ARTEAGA MELO</v>
      </c>
      <c r="L2157" s="11" t="str">
        <f>IFERROR(IF(VLOOKUP(A2157,[14]PRIORIZADOS!$A:$L,12,FALSE)="","",VLOOKUP(A2157,[14]PRIORIZADOS!$A:$L,12,FALSE)),"")</f>
        <v>JENNIFFER ESPERANZA GONZÁLEZ GÓMEZ</v>
      </c>
      <c r="M2157" s="71">
        <f>IFERROR(IF(VLOOKUP(A2157,[14]PRIORIZADOS!$A:$M,13,FALSE)="","",VLOOKUP(A2157,[14]PRIORIZADOS!$A:$M,13,FALSE)),"")</f>
        <v>45958</v>
      </c>
      <c r="N2157" s="71">
        <f>IFERROR(IF(VLOOKUP(A2157,[14]PRIORIZADOS!$A:$N,14,FALSE)="","",VLOOKUP(A2157,[14]PRIORIZADOS!$A:$N,14,FALSE)),"")</f>
        <v>45769</v>
      </c>
      <c r="O2157" s="71">
        <f>IFERROR(IF(VLOOKUP(A2157,[14]PRIORIZADOS!$A:$O,15,FALSE)="","",VLOOKUP(A2157,[14]PRIORIZADOS!$A:$O,15,FALSE)),"")</f>
        <v>45769</v>
      </c>
      <c r="P2157" s="11" t="str">
        <f>IFERROR(IF(VLOOKUP(A2157,[14]PRIORIZADOS!$A:$P,16,FALSE)="","",VLOOKUP(A2157,[14]PRIORIZADOS!$A:$P,16,FALSE)),"")</f>
        <v>Visitas de evaluación con fines de seguimiento</v>
      </c>
      <c r="Q2157" s="255" t="s">
        <v>446</v>
      </c>
      <c r="R2157" s="11" t="str">
        <f>IFERROR(IF(VLOOKUP(A2157,[14]PRIORIZADOS!$A:$R,18,FALSE)="","",VLOOKUP(A2157,[14]PRIORIZADOS!$A:$R,18,FALSE)),"")</f>
        <v>En SIMAT, reporta a dieciocho (18) estudiantes caracterizados con discapacidad, sin embargo no presenta PIAR para ninguno de ellos.
Manifiesta que es un error en el reporte porque no tiene matrícula de estudiantes con NEE</v>
      </c>
      <c r="S2157" s="11" t="str">
        <f>IFERROR(IF(VLOOKUP(A2157,[14]PRIORIZADOS!$A:$S,19,FALSE)="","",VLOOKUP(A2157,[14]PRIORIZADOS!$A:$S,19,FALSE)),"")</f>
        <v>Actualizar información de estudiantes en aplicativo SIMAT.</v>
      </c>
      <c r="T2157" s="70" t="str">
        <f>IFERROR(IF(VLOOKUP(A2157,[14]PRIORIZADOS!$A:$T,20,FALSE)="","",VLOOKUP(A2157,[14]PRIORIZADOS!$A:$T,20,FALSE)),"")</f>
        <v>Si</v>
      </c>
      <c r="U2157" s="11" t="str">
        <f>IFERROR(IF(VLOOKUP(A2157,[14]PRIORIZADOS!$A:$U,21,FALSE)="","",VLOOKUP(A2157,[14]PRIORIZADOS!$A:$U,21,FALSE)),"")</f>
        <v>Verificar estado de SIMAT, gestión que se realiza con la oficina de cobertura.</v>
      </c>
    </row>
    <row r="2158" spans="1:21" s="1" customFormat="1" ht="84">
      <c r="A2158" s="69">
        <f>IF([14]PRIORIZADOS!A205="","",[14]PRIORIZADOS!A205)</f>
        <v>2126</v>
      </c>
      <c r="B2158" s="70">
        <f>IFERROR(IF(VLOOKUP(A2158,[14]PRIORIZADOS!$A:$B,2,FALSE)="","",VLOOKUP(A2158,[14]PRIORIZADOS!$A:$B,2,FALSE)),"")</f>
        <v>22</v>
      </c>
      <c r="C2158" s="11" t="s">
        <v>424</v>
      </c>
      <c r="D2158" s="11" t="str">
        <f>IFERROR(IF(VLOOKUP(A2158,[14]PRIORIZADOS!$A:$D,4,FALSE)="","",VLOOKUP(A2158,[14]PRIORIZADOS!$A:$D,4,FALSE)),"")</f>
        <v>PRIVADO</v>
      </c>
      <c r="E2158" s="11" t="str">
        <f>IFERROR(IF(VLOOKUP(A2158,[14]PRIORIZADOS!$A:$E,5,FALSE)="","",VLOOKUP(A2158,[14]PRIORIZADOS!$A:$E,5,FALSE)),"")</f>
        <v>Educación de Jóvenes y Adultos</v>
      </c>
      <c r="F2158" s="11" t="str">
        <f>IFERROR(IF(VLOOKUP(A2158,[14]PRIORIZADOS!$A:$F,6,FALSE)="","",VLOOKUP(A2158,[14]PRIORIZADOS!$A:$F,6,FALSE)),"")</f>
        <v>COLEGIO_INSTITUTO_SANTIAGO_DE_COMPOSTELA</v>
      </c>
      <c r="G2158" s="11" t="str">
        <f>IFERROR(IF(VLOOKUP(A2158,[14]PRIORIZADOS!$A:$G,7,FALSE)="","",VLOOKUP(A2158,[14]PRIORIZADOS!$A:$G,7,FALSE)),"")</f>
        <v>COLEGIO INSTITUTO SANTIAGO DE COMPOSTELA</v>
      </c>
      <c r="H2158" s="11" t="str">
        <f>IFERROR(IF(VLOOKUP(A2158,[14]PRIORIZADOS!$A:$H,8,FALSE)="","",VLOOKUP(A2158,[14]PRIORIZADOS!$A:$H,8,FALSE)),"")</f>
        <v>Autoevaluación Institucional y Pruebas SABER 11</v>
      </c>
      <c r="I2158" s="11" t="str">
        <f>IFERROR(IF(VLOOKUP(A2158,[14]PRIORIZADOS!$A:$I,9,FALSE)="","",VLOOKUP(A2158,[14]PRIORIZADOS!$A:$I,9,FALSE)),"")</f>
        <v>EVALUACIÓN_CON_FINES_DE_MEJORAMIENTO.</v>
      </c>
      <c r="J2158" s="11" t="str">
        <f>IFERROR(IF(VLOOKUP(A2158,[14]PRIORIZADOS!$A:$J,10,FALSE)="","",VLOOKUP(A2158,[14]PRIORIZADOS!$A:$J,10,FALSE)),"")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58" s="11" t="str">
        <f>IFERROR(IF(VLOOKUP(A2158,[14]PRIORIZADOS!$A:$K,11,FALSE)="","",VLOOKUP(A2158,[14]PRIORIZADOS!$A:$K,11,FALSE)),"")</f>
        <v>SONIA YAMILE ARTEAGA MELO</v>
      </c>
      <c r="L2158" s="11" t="str">
        <f>IFERROR(IF(VLOOKUP(A2158,[14]PRIORIZADOS!$A:$L,12,FALSE)="","",VLOOKUP(A2158,[14]PRIORIZADOS!$A:$L,12,FALSE)),"")</f>
        <v>JENNIFFER ESPERANZA GONZÁLEZ GÓMEZ</v>
      </c>
      <c r="M2158" s="71">
        <f>IFERROR(IF(VLOOKUP(A2158,[14]PRIORIZADOS!$A:$M,13,FALSE)="","",VLOOKUP(A2158,[14]PRIORIZADOS!$A:$M,13,FALSE)),"")</f>
        <v>45958</v>
      </c>
      <c r="N2158" s="71">
        <f>IFERROR(IF(VLOOKUP(A2158,[14]PRIORIZADOS!$A:$N,14,FALSE)="","",VLOOKUP(A2158,[14]PRIORIZADOS!$A:$N,14,FALSE)),"")</f>
        <v>45769</v>
      </c>
      <c r="O2158" s="71">
        <f>IFERROR(IF(VLOOKUP(A2158,[14]PRIORIZADOS!$A:$O,15,FALSE)="","",VLOOKUP(A2158,[14]PRIORIZADOS!$A:$O,15,FALSE)),"")</f>
        <v>45769</v>
      </c>
      <c r="P2158" s="11" t="str">
        <f>IFERROR(IF(VLOOKUP(A2158,[14]PRIORIZADOS!$A:$P,16,FALSE)="","",VLOOKUP(A2158,[14]PRIORIZADOS!$A:$P,16,FALSE)),"")</f>
        <v>Visitas de evaluación con fines de mejoramiento</v>
      </c>
      <c r="Q2158" s="7" t="s">
        <v>446</v>
      </c>
      <c r="R2158" s="11" t="str">
        <f>IFERROR(IF(VLOOKUP(A2158,[14]PRIORIZADOS!$A:$R,18,FALSE)="","",VLOOKUP(A2158,[14]PRIORIZADOS!$A:$R,18,FALSE)),"")</f>
        <v>Documento no actualizado, no cumple con la normativa vigente.</v>
      </c>
      <c r="S2158" s="11" t="str">
        <f>IFERROR(IF(VLOOKUP(A2158,[14]PRIORIZADOS!$A:$S,19,FALSE)="","",VLOOKUP(A2158,[14]PRIORIZADOS!$A:$S,19,FALSE)),"")</f>
        <v>Realizar la actualización del manual convivencia Escolar. En el plan de mejoramiento incluir el cronograma para actualziación del documento.</v>
      </c>
      <c r="T2158" s="70" t="str">
        <f>IFERROR(IF(VLOOKUP(A2158,[14]PRIORIZADOS!$A:$T,20,FALSE)="","",VLOOKUP(A2158,[14]PRIORIZADOS!$A:$T,20,FALSE)),"")</f>
        <v>Si</v>
      </c>
      <c r="U2158" s="11" t="str">
        <f>IFERROR(IF(VLOOKUP(A2158,[14]PRIORIZADOS!$A:$U,21,FALSE)="","",VLOOKUP(A2158,[14]PRIORIZADOS!$A:$U,21,FALSE)),"")</f>
        <v>Verificar documento actualizado.</v>
      </c>
    </row>
    <row r="2159" spans="1:21" s="1" customFormat="1" ht="48">
      <c r="A2159" s="69">
        <f>IF([14]PRIORIZADOS!A206="","",[14]PRIORIZADOS!A206)</f>
        <v>2127</v>
      </c>
      <c r="B2159" s="70">
        <f>IFERROR(IF(VLOOKUP(A2159,[14]PRIORIZADOS!$A:$B,2,FALSE)="","",VLOOKUP(A2159,[14]PRIORIZADOS!$A:$B,2,FALSE)),"")</f>
        <v>22</v>
      </c>
      <c r="C2159" s="11" t="s">
        <v>424</v>
      </c>
      <c r="D2159" s="11" t="str">
        <f>IFERROR(IF(VLOOKUP(A2159,[14]PRIORIZADOS!$A:$D,4,FALSE)="","",VLOOKUP(A2159,[14]PRIORIZADOS!$A:$D,4,FALSE)),"")</f>
        <v>PRIVADO</v>
      </c>
      <c r="E2159" s="11" t="str">
        <f>IFERROR(IF(VLOOKUP(A2159,[14]PRIORIZADOS!$A:$E,5,FALSE)="","",VLOOKUP(A2159,[14]PRIORIZADOS!$A:$E,5,FALSE)),"")</f>
        <v>Educación de Jóvenes y Adultos</v>
      </c>
      <c r="F2159" s="11" t="str">
        <f>IFERROR(IF(VLOOKUP(A2159,[14]PRIORIZADOS!$A:$F,6,FALSE)="","",VLOOKUP(A2159,[14]PRIORIZADOS!$A:$F,6,FALSE)),"")</f>
        <v>COLEGIO_INSTITUTO_SANTIAGO_DE_COMPOSTELA</v>
      </c>
      <c r="G2159" s="11" t="str">
        <f>IFERROR(IF(VLOOKUP(A2159,[14]PRIORIZADOS!$A:$G,7,FALSE)="","",VLOOKUP(A2159,[14]PRIORIZADOS!$A:$G,7,FALSE)),"")</f>
        <v>COLEGIO INSTITUTO SANTIAGO DE COMPOSTELA</v>
      </c>
      <c r="H2159" s="11" t="str">
        <f>IFERROR(IF(VLOOKUP(A2159,[14]PRIORIZADOS!$A:$H,8,FALSE)="","",VLOOKUP(A2159,[14]PRIORIZADOS!$A:$H,8,FALSE)),"")</f>
        <v>Autoevaluación Institucional y Pruebas SABER 11</v>
      </c>
      <c r="I2159" s="11" t="str">
        <f>IFERROR(IF(VLOOKUP(A2159,[14]PRIORIZADOS!$A:$I,9,FALSE)="","",VLOOKUP(A2159,[14]PRIORIZADOS!$A:$I,9,FALSE)),"")</f>
        <v>EVALUACIÓN_CON_FINES_DE_MEJORAMIENTO.</v>
      </c>
      <c r="J2159" s="11" t="str">
        <f>IFERROR(IF(VLOOKUP(A2159,[14]PRIORIZADOS!$A:$J,10,FALSE)="","",VLOOKUP(A2159,[14]PRIORIZADOS!$A:$J,10,FALSE)),"")</f>
        <v>Revisar la actualización, socialización e implementación del Sistema Institucional de Evaluación de Estudiantes - SIEE, en articulación con la actualización del PEI y la normatividad vigente.</v>
      </c>
      <c r="K2159" s="11" t="str">
        <f>IFERROR(IF(VLOOKUP(A2159,[14]PRIORIZADOS!$A:$K,11,FALSE)="","",VLOOKUP(A2159,[14]PRIORIZADOS!$A:$K,11,FALSE)),"")</f>
        <v>SONIA YAMILE ARTEAGA MELO</v>
      </c>
      <c r="L2159" s="11" t="str">
        <f>IFERROR(IF(VLOOKUP(A2159,[14]PRIORIZADOS!$A:$L,12,FALSE)="","",VLOOKUP(A2159,[14]PRIORIZADOS!$A:$L,12,FALSE)),"")</f>
        <v>JENNIFFER ESPERANZA GONZÁLEZ GÓMEZ</v>
      </c>
      <c r="M2159" s="71">
        <f>IFERROR(IF(VLOOKUP(A2159,[14]PRIORIZADOS!$A:$M,13,FALSE)="","",VLOOKUP(A2159,[14]PRIORIZADOS!$A:$M,13,FALSE)),"")</f>
        <v>45958</v>
      </c>
      <c r="N2159" s="71">
        <f>IFERROR(IF(VLOOKUP(A2159,[14]PRIORIZADOS!$A:$N,14,FALSE)="","",VLOOKUP(A2159,[14]PRIORIZADOS!$A:$N,14,FALSE)),"")</f>
        <v>45769</v>
      </c>
      <c r="O2159" s="71">
        <f>IFERROR(IF(VLOOKUP(A2159,[14]PRIORIZADOS!$A:$O,15,FALSE)="","",VLOOKUP(A2159,[14]PRIORIZADOS!$A:$O,15,FALSE)),"")</f>
        <v>45769</v>
      </c>
      <c r="P2159" s="11" t="str">
        <f>IFERROR(IF(VLOOKUP(A2159,[14]PRIORIZADOS!$A:$P,16,FALSE)="","",VLOOKUP(A2159,[14]PRIORIZADOS!$A:$P,16,FALSE)),"")</f>
        <v>Visitas de evaluación con fines de mejoramiento</v>
      </c>
      <c r="Q2159" s="7" t="s">
        <v>446</v>
      </c>
      <c r="R2159" s="11" t="str">
        <f>IFERROR(IF(VLOOKUP(A2159,[14]PRIORIZADOS!$A:$R,18,FALSE)="","",VLOOKUP(A2159,[14]PRIORIZADOS!$A:$R,18,FALSE)),"")</f>
        <v>No se evidencia que cuenten con un SIEE debidamente estructurado, ni estrategias de seguimiento y acompañamiento a estudiantes.</v>
      </c>
      <c r="S2159" s="11" t="str">
        <f>IFERROR(IF(VLOOKUP(A2159,[14]PRIORIZADOS!$A:$S,19,FALSE)="","",VLOOKUP(A2159,[14]PRIORIZADOS!$A:$S,19,FALSE)),"")</f>
        <v>Elaborar documento SIEE, abordando los  mínimos exigidos por la normativa vigente.</v>
      </c>
      <c r="T2159" s="70" t="str">
        <f>IFERROR(IF(VLOOKUP(A2159,[14]PRIORIZADOS!$A:$T,20,FALSE)="","",VLOOKUP(A2159,[14]PRIORIZADOS!$A:$T,20,FALSE)),"")</f>
        <v>Si</v>
      </c>
      <c r="U2159" s="11" t="str">
        <f>IFERROR(IF(VLOOKUP(A2159,[14]PRIORIZADOS!$A:$U,21,FALSE)="","",VLOOKUP(A2159,[14]PRIORIZADOS!$A:$U,21,FALSE)),"")</f>
        <v>Verificar documento actualizado.</v>
      </c>
    </row>
    <row r="2160" spans="1:21" s="1" customFormat="1" ht="48">
      <c r="A2160" s="69">
        <f>IF([14]PRIORIZADOS!A207="","",[14]PRIORIZADOS!A207)</f>
        <v>2128</v>
      </c>
      <c r="B2160" s="70">
        <f>IFERROR(IF(VLOOKUP(A2160,[14]PRIORIZADOS!$A:$B,2,FALSE)="","",VLOOKUP(A2160,[14]PRIORIZADOS!$A:$B,2,FALSE)),"")</f>
        <v>22</v>
      </c>
      <c r="C2160" s="11" t="s">
        <v>424</v>
      </c>
      <c r="D2160" s="11" t="str">
        <f>IFERROR(IF(VLOOKUP(A2160,[14]PRIORIZADOS!$A:$D,4,FALSE)="","",VLOOKUP(A2160,[14]PRIORIZADOS!$A:$D,4,FALSE)),"")</f>
        <v>PRIVADO</v>
      </c>
      <c r="E2160" s="11" t="str">
        <f>IFERROR(IF(VLOOKUP(A2160,[14]PRIORIZADOS!$A:$E,5,FALSE)="","",VLOOKUP(A2160,[14]PRIORIZADOS!$A:$E,5,FALSE)),"")</f>
        <v>Educación de Jóvenes y Adultos</v>
      </c>
      <c r="F2160" s="11" t="str">
        <f>IFERROR(IF(VLOOKUP(A2160,[14]PRIORIZADOS!$A:$F,6,FALSE)="","",VLOOKUP(A2160,[14]PRIORIZADOS!$A:$F,6,FALSE)),"")</f>
        <v>COLEGIO_INSTITUTO_SANTIAGO_DE_COMPOSTELA</v>
      </c>
      <c r="G2160" s="11" t="str">
        <f>IFERROR(IF(VLOOKUP(A2160,[14]PRIORIZADOS!$A:$G,7,FALSE)="","",VLOOKUP(A2160,[14]PRIORIZADOS!$A:$G,7,FALSE)),"")</f>
        <v>COLEGIO INSTITUTO SANTIAGO DE COMPOSTELA</v>
      </c>
      <c r="H2160" s="11" t="str">
        <f>IFERROR(IF(VLOOKUP(A2160,[14]PRIORIZADOS!$A:$H,8,FALSE)="","",VLOOKUP(A2160,[14]PRIORIZADOS!$A:$H,8,FALSE)),"")</f>
        <v>Autoevaluación Institucional y Pruebas SABER 11</v>
      </c>
      <c r="I2160" s="11" t="str">
        <f>IFERROR(IF(VLOOKUP(A2160,[14]PRIORIZADOS!$A:$I,9,FALSE)="","",VLOOKUP(A2160,[14]PRIORIZADOS!$A:$I,9,FALSE)),"")</f>
        <v>EVALUACIÓN_CON_FINES_DE_MEJORAMIENTO.</v>
      </c>
      <c r="J2160" s="11" t="str">
        <f>IFERROR(IF(VLOOKUP(A2160,[14]PRIORIZADOS!$A:$J,10,FALSE)="","",VLOOKUP(A2160,[14]PRIORIZADOS!$A:$J,10,FALSE)),"")</f>
        <v>Revisar el calendario escolar, jornada escolar, la intensidad horaria mínima anual en cada nivel y las modificaciones que se realicen al mismo, de acuerdo con lo previsto en la normatividad vigente.</v>
      </c>
      <c r="K2160" s="11" t="str">
        <f>IFERROR(IF(VLOOKUP(A2160,[14]PRIORIZADOS!$A:$K,11,FALSE)="","",VLOOKUP(A2160,[14]PRIORIZADOS!$A:$K,11,FALSE)),"")</f>
        <v>SONIA YAMILE ARTEAGA MELO</v>
      </c>
      <c r="L2160" s="11" t="str">
        <f>IFERROR(IF(VLOOKUP(A2160,[14]PRIORIZADOS!$A:$L,12,FALSE)="","",VLOOKUP(A2160,[14]PRIORIZADOS!$A:$L,12,FALSE)),"")</f>
        <v>JENNIFFER ESPERANZA GONZÁLEZ GÓMEZ</v>
      </c>
      <c r="M2160" s="71">
        <f>IFERROR(IF(VLOOKUP(A2160,[14]PRIORIZADOS!$A:$M,13,FALSE)="","",VLOOKUP(A2160,[14]PRIORIZADOS!$A:$M,13,FALSE)),"")</f>
        <v>45958</v>
      </c>
      <c r="N2160" s="71">
        <f>IFERROR(IF(VLOOKUP(A2160,[14]PRIORIZADOS!$A:$N,14,FALSE)="","",VLOOKUP(A2160,[14]PRIORIZADOS!$A:$N,14,FALSE)),"")</f>
        <v>45769</v>
      </c>
      <c r="O2160" s="71">
        <f>IFERROR(IF(VLOOKUP(A2160,[14]PRIORIZADOS!$A:$O,15,FALSE)="","",VLOOKUP(A2160,[14]PRIORIZADOS!$A:$O,15,FALSE)),"")</f>
        <v>45769</v>
      </c>
      <c r="P2160" s="11" t="str">
        <f>IFERROR(IF(VLOOKUP(A2160,[14]PRIORIZADOS!$A:$P,16,FALSE)="","",VLOOKUP(A2160,[14]PRIORIZADOS!$A:$P,16,FALSE)),"")</f>
        <v>Visitas de evaluación con fines de mejoramiento</v>
      </c>
      <c r="Q2160" s="7" t="s">
        <v>446</v>
      </c>
      <c r="R2160" s="11" t="str">
        <f>IFERROR(IF(VLOOKUP(A2160,[14]PRIORIZADOS!$A:$R,18,FALSE)="","",VLOOKUP(A2160,[14]PRIORIZADOS!$A:$R,18,FALSE)),"")</f>
        <v>Informa que manejan jornada mañana, nocturna y fin de semana.
Debe revisarce contabilización de cumplimiento de horas.</v>
      </c>
      <c r="S2160" s="11" t="str">
        <f>IFERROR(IF(VLOOKUP(A2160,[14]PRIORIZADOS!$A:$S,19,FALSE)="","",VLOOKUP(A2160,[14]PRIORIZADOS!$A:$S,19,FALSE)),"")</f>
        <v>Realizar ajuste al calendario académico y socializarlo con los estudianes, presentarlo para revisión antes del 30 de mayo.</v>
      </c>
      <c r="T2160" s="70" t="str">
        <f>IFERROR(IF(VLOOKUP(A2160,[14]PRIORIZADOS!$A:$T,20,FALSE)="","",VLOOKUP(A2160,[14]PRIORIZADOS!$A:$T,20,FALSE)),"")</f>
        <v>Si</v>
      </c>
      <c r="U2160" s="11" t="str">
        <f>IFERROR(IF(VLOOKUP(A2160,[14]PRIORIZADOS!$A:$U,21,FALSE)="","",VLOOKUP(A2160,[14]PRIORIZADOS!$A:$U,21,FALSE)),"")</f>
        <v>Verificar calendario escolar.</v>
      </c>
    </row>
    <row r="2161" spans="1:21" s="1" customFormat="1" ht="48">
      <c r="A2161" s="69">
        <f>IF([14]PRIORIZADOS!A208="","",[14]PRIORIZADOS!A208)</f>
        <v>2129</v>
      </c>
      <c r="B2161" s="70">
        <f>IFERROR(IF(VLOOKUP(A2161,[14]PRIORIZADOS!$A:$B,2,FALSE)="","",VLOOKUP(A2161,[14]PRIORIZADOS!$A:$B,2,FALSE)),"")</f>
        <v>22</v>
      </c>
      <c r="C2161" s="11" t="s">
        <v>424</v>
      </c>
      <c r="D2161" s="11" t="str">
        <f>IFERROR(IF(VLOOKUP(A2161,[14]PRIORIZADOS!$A:$D,4,FALSE)="","",VLOOKUP(A2161,[14]PRIORIZADOS!$A:$D,4,FALSE)),"")</f>
        <v>PRIVADO</v>
      </c>
      <c r="E2161" s="11" t="str">
        <f>IFERROR(IF(VLOOKUP(A2161,[14]PRIORIZADOS!$A:$E,5,FALSE)="","",VLOOKUP(A2161,[14]PRIORIZADOS!$A:$E,5,FALSE)),"")</f>
        <v>Educación de Jóvenes y Adultos</v>
      </c>
      <c r="F2161" s="11" t="str">
        <f>IFERROR(IF(VLOOKUP(A2161,[14]PRIORIZADOS!$A:$F,6,FALSE)="","",VLOOKUP(A2161,[14]PRIORIZADOS!$A:$F,6,FALSE)),"")</f>
        <v>COLEGIO_INSTITUTO_SANTIAGO_DE_COMPOSTELA</v>
      </c>
      <c r="G2161" s="11" t="str">
        <f>IFERROR(IF(VLOOKUP(A2161,[14]PRIORIZADOS!$A:$G,7,FALSE)="","",VLOOKUP(A2161,[14]PRIORIZADOS!$A:$G,7,FALSE)),"")</f>
        <v>COLEGIO INSTITUTO SANTIAGO DE COMPOSTELA</v>
      </c>
      <c r="H2161" s="11" t="str">
        <f>IFERROR(IF(VLOOKUP(A2161,[14]PRIORIZADOS!$A:$H,8,FALSE)="","",VLOOKUP(A2161,[14]PRIORIZADOS!$A:$H,8,FALSE)),"")</f>
        <v>Autoevaluación Institucional y Pruebas SABER 11</v>
      </c>
      <c r="I2161" s="11" t="str">
        <f>IFERROR(IF(VLOOKUP(A2161,[14]PRIORIZADOS!$A:$I,9,FALSE)="","",VLOOKUP(A2161,[14]PRIORIZADOS!$A:$I,9,FALSE)),"")</f>
        <v>EVALUACIÓN_CON_FINES_DE_MEJORAMIENTO.</v>
      </c>
      <c r="J2161" s="11" t="str">
        <f>IFERROR(IF(VLOOKUP(A2161,[14]PRIORIZADOS!$A:$J,10,FALSE)="","",VLOOKUP(A2161,[14]PRIORIZADOS!$A:$J,10,FALSE)),"")</f>
        <v>Verificar el funcionamiento del Gobierno Escolar e instancias de participación con base en la información sobre conformación reportada por la institución educativa.</v>
      </c>
      <c r="K2161" s="11" t="str">
        <f>IFERROR(IF(VLOOKUP(A2161,[14]PRIORIZADOS!$A:$K,11,FALSE)="","",VLOOKUP(A2161,[14]PRIORIZADOS!$A:$K,11,FALSE)),"")</f>
        <v>SONIA YAMILE ARTEAGA MELO</v>
      </c>
      <c r="L2161" s="11" t="str">
        <f>IFERROR(IF(VLOOKUP(A2161,[14]PRIORIZADOS!$A:$L,12,FALSE)="","",VLOOKUP(A2161,[14]PRIORIZADOS!$A:$L,12,FALSE)),"")</f>
        <v>JENNIFFER ESPERANZA GONZÁLEZ GÓMEZ</v>
      </c>
      <c r="M2161" s="71">
        <f>IFERROR(IF(VLOOKUP(A2161,[14]PRIORIZADOS!$A:$M,13,FALSE)="","",VLOOKUP(A2161,[14]PRIORIZADOS!$A:$M,13,FALSE)),"")</f>
        <v>45958</v>
      </c>
      <c r="N2161" s="71">
        <f>IFERROR(IF(VLOOKUP(A2161,[14]PRIORIZADOS!$A:$N,14,FALSE)="","",VLOOKUP(A2161,[14]PRIORIZADOS!$A:$N,14,FALSE)),"")</f>
        <v>45769</v>
      </c>
      <c r="O2161" s="71">
        <f>IFERROR(IF(VLOOKUP(A2161,[14]PRIORIZADOS!$A:$O,15,FALSE)="","",VLOOKUP(A2161,[14]PRIORIZADOS!$A:$O,15,FALSE)),"")</f>
        <v>45769</v>
      </c>
      <c r="P2161" s="11" t="str">
        <f>IFERROR(IF(VLOOKUP(A2161,[14]PRIORIZADOS!$A:$P,16,FALSE)="","",VLOOKUP(A2161,[14]PRIORIZADOS!$A:$P,16,FALSE)),"")</f>
        <v>Visitas de evaluación con fines de mejoramiento</v>
      </c>
      <c r="Q2161" s="7" t="s">
        <v>446</v>
      </c>
      <c r="R2161" s="11" t="str">
        <f>IFERROR(IF(VLOOKUP(A2161,[14]PRIORIZADOS!$A:$R,18,FALSE)="","",VLOOKUP(A2161,[14]PRIORIZADOS!$A:$R,18,FALSE)),"")</f>
        <v>No aporta evidencia de conformación de instancias de gobierno escolar, por consiguiente tampoco hay evidencia de funcionamiento.</v>
      </c>
      <c r="S2161" s="11" t="str">
        <f>IFERROR(IF(VLOOKUP(A2161,[14]PRIORIZADOS!$A:$S,19,FALSE)="","",VLOOKUP(A2161,[14]PRIORIZADOS!$A:$S,19,FALSE)),"")</f>
        <v>Se requiere la conformación de las instancias de gobierno escolar, y reporte en el aplicativo SAE.</v>
      </c>
      <c r="T2161" s="70" t="str">
        <f>IFERROR(IF(VLOOKUP(A2161,[14]PRIORIZADOS!$A:$T,20,FALSE)="","",VLOOKUP(A2161,[14]PRIORIZADOS!$A:$T,20,FALSE)),"")</f>
        <v>Si</v>
      </c>
      <c r="U2161" s="11" t="str">
        <f>IFERROR(IF(VLOOKUP(A2161,[14]PRIORIZADOS!$A:$U,21,FALSE)="","",VLOOKUP(A2161,[14]PRIORIZADOS!$A:$U,21,FALSE)),"")</f>
        <v>Verificación de cargue de actas en aplicativo SAE.</v>
      </c>
    </row>
    <row r="2162" spans="1:21" s="1" customFormat="1" ht="36">
      <c r="A2162" s="69">
        <f>IF([14]PRIORIZADOS!A209="","",[14]PRIORIZADOS!A209)</f>
        <v>2130</v>
      </c>
      <c r="B2162" s="70">
        <f>IFERROR(IF(VLOOKUP(A2162,[14]PRIORIZADOS!$A:$B,2,FALSE)="","",VLOOKUP(A2162,[14]PRIORIZADOS!$A:$B,2,FALSE)),"")</f>
        <v>22</v>
      </c>
      <c r="C2162" s="11" t="s">
        <v>424</v>
      </c>
      <c r="D2162" s="11" t="str">
        <f>IFERROR(IF(VLOOKUP(A2162,[14]PRIORIZADOS!$A:$D,4,FALSE)="","",VLOOKUP(A2162,[14]PRIORIZADOS!$A:$D,4,FALSE)),"")</f>
        <v>PRIVADO</v>
      </c>
      <c r="E2162" s="11" t="str">
        <f>IFERROR(IF(VLOOKUP(A2162,[14]PRIORIZADOS!$A:$E,5,FALSE)="","",VLOOKUP(A2162,[14]PRIORIZADOS!$A:$E,5,FALSE)),"")</f>
        <v>Educación de Jóvenes y Adultos</v>
      </c>
      <c r="F2162" s="11" t="str">
        <f>IFERROR(IF(VLOOKUP(A2162,[14]PRIORIZADOS!$A:$F,6,FALSE)="","",VLOOKUP(A2162,[14]PRIORIZADOS!$A:$F,6,FALSE)),"")</f>
        <v>COLEGIO_INSTITUTO_SANTIAGO_DE_COMPOSTELA</v>
      </c>
      <c r="G2162" s="11" t="str">
        <f>IFERROR(IF(VLOOKUP(A2162,[14]PRIORIZADOS!$A:$G,7,FALSE)="","",VLOOKUP(A2162,[14]PRIORIZADOS!$A:$G,7,FALSE)),"")</f>
        <v>COLEGIO INSTITUTO SANTIAGO DE COMPOSTELA</v>
      </c>
      <c r="H2162" s="11" t="str">
        <f>IFERROR(IF(VLOOKUP(A2162,[14]PRIORIZADOS!$A:$H,8,FALSE)="","",VLOOKUP(A2162,[14]PRIORIZADOS!$A:$H,8,FALSE)),"")</f>
        <v>Autoevaluación Institucional y Pruebas SABER 11</v>
      </c>
      <c r="I2162" s="11" t="str">
        <f>IFERROR(IF(VLOOKUP(A2162,[14]PRIORIZADOS!$A:$I,9,FALSE)="","",VLOOKUP(A2162,[14]PRIORIZADOS!$A:$I,9,FALSE)),"")</f>
        <v>EVALUACIÓN_CON_FINES_DE_MEJORAMIENTO.</v>
      </c>
      <c r="J2162" s="11" t="str">
        <f>IFERROR(IF(VLOOKUP(A2162,[14]PRIORIZADOS!$A:$J,10,FALSE)="","",VLOOKUP(A2162,[14]PRIORIZADOS!$A:$J,10,FALSE)),"")</f>
        <v>Verificar las condiciones en cuanto a: la estructura administrativa, condiciones de la planta física y medios educativos adecuados.</v>
      </c>
      <c r="K2162" s="11" t="str">
        <f>IFERROR(IF(VLOOKUP(A2162,[14]PRIORIZADOS!$A:$K,11,FALSE)="","",VLOOKUP(A2162,[14]PRIORIZADOS!$A:$K,11,FALSE)),"")</f>
        <v>SONIA YAMILE ARTEAGA MELO</v>
      </c>
      <c r="L2162" s="11" t="str">
        <f>IFERROR(IF(VLOOKUP(A2162,[14]PRIORIZADOS!$A:$L,12,FALSE)="","",VLOOKUP(A2162,[14]PRIORIZADOS!$A:$L,12,FALSE)),"")</f>
        <v>JENNIFFER ESPERANZA GONZÁLEZ GÓMEZ</v>
      </c>
      <c r="M2162" s="71">
        <f>IFERROR(IF(VLOOKUP(A2162,[14]PRIORIZADOS!$A:$M,13,FALSE)="","",VLOOKUP(A2162,[14]PRIORIZADOS!$A:$M,13,FALSE)),"")</f>
        <v>45958</v>
      </c>
      <c r="N2162" s="71">
        <f>IFERROR(IF(VLOOKUP(A2162,[14]PRIORIZADOS!$A:$N,14,FALSE)="","",VLOOKUP(A2162,[14]PRIORIZADOS!$A:$N,14,FALSE)),"")</f>
        <v>45769</v>
      </c>
      <c r="O2162" s="71">
        <f>IFERROR(IF(VLOOKUP(A2162,[14]PRIORIZADOS!$A:$O,15,FALSE)="","",VLOOKUP(A2162,[14]PRIORIZADOS!$A:$O,15,FALSE)),"")</f>
        <v>45769</v>
      </c>
      <c r="P2162" s="11" t="str">
        <f>IFERROR(IF(VLOOKUP(A2162,[14]PRIORIZADOS!$A:$P,16,FALSE)="","",VLOOKUP(A2162,[14]PRIORIZADOS!$A:$P,16,FALSE)),"")</f>
        <v>Visitas de evaluación con fines de mejoramiento</v>
      </c>
      <c r="Q2162" s="8" t="s">
        <v>446</v>
      </c>
      <c r="R2162" s="11" t="str">
        <f>IFERROR(IF(VLOOKUP(A2162,[14]PRIORIZADOS!$A:$R,18,FALSE)="","",VLOOKUP(A2162,[14]PRIORIZADOS!$A:$R,18,FALSE)),"")</f>
        <v>Planta administrativa con dotación en regular estado, condiciones de la planta física en deterioro.</v>
      </c>
      <c r="S2162" s="11" t="str">
        <f>IFERROR(IF(VLOOKUP(A2162,[14]PRIORIZADOS!$A:$S,19,FALSE)="","",VLOOKUP(A2162,[14]PRIORIZADOS!$A:$S,19,FALSE)),"")</f>
        <v>Se recomienda mejorar el estado de la planta física, la disposición de aulas, mantenimiento a muebles y enseres</v>
      </c>
      <c r="T2162" s="70" t="str">
        <f>IFERROR(IF(VLOOKUP(A2162,[14]PRIORIZADOS!$A:$T,20,FALSE)="","",VLOOKUP(A2162,[14]PRIORIZADOS!$A:$T,20,FALSE)),"")</f>
        <v>Si</v>
      </c>
      <c r="U2162" s="11" t="str">
        <f>IFERROR(IF(VLOOKUP(A2162,[14]PRIORIZADOS!$A:$U,21,FALSE)="","",VLOOKUP(A2162,[14]PRIORIZADOS!$A:$U,21,FALSE)),"")</f>
        <v>Verificación a través de visita administrativa.</v>
      </c>
    </row>
    <row r="2163" spans="1:21" s="1" customFormat="1" ht="60">
      <c r="A2163" s="69">
        <f>IF([14]PRIORIZADOS!A210="","",[14]PRIORIZADOS!A210)</f>
        <v>2131</v>
      </c>
      <c r="B2163" s="70">
        <f>IFERROR(IF(VLOOKUP(A2163,[14]PRIORIZADOS!$A:$B,2,FALSE)="","",VLOOKUP(A2163,[14]PRIORIZADOS!$A:$B,2,FALSE)),"")</f>
        <v>23</v>
      </c>
      <c r="C2163" s="11" t="s">
        <v>424</v>
      </c>
      <c r="D2163" s="11" t="str">
        <f>IFERROR(IF(VLOOKUP(A2163,[14]PRIORIZADOS!$A:$D,4,FALSE)="","",VLOOKUP(A2163,[14]PRIORIZADOS!$A:$D,4,FALSE)),"")</f>
        <v>PRIVADO</v>
      </c>
      <c r="E2163" s="11" t="str">
        <f>IFERROR(IF(VLOOKUP(A2163,[14]PRIORIZADOS!$A:$E,5,FALSE)="","",VLOOKUP(A2163,[14]PRIORIZADOS!$A:$E,5,FALSE)),"")</f>
        <v>EPBM</v>
      </c>
      <c r="F2163" s="11" t="str">
        <f>IFERROR(IF(VLOOKUP(A2163,[14]PRIORIZADOS!$A:$F,6,FALSE)="","",VLOOKUP(A2163,[14]PRIORIZADOS!$A:$F,6,FALSE)),"")</f>
        <v>GIMNASIO_ROMANO_MIXTO</v>
      </c>
      <c r="G2163" s="11" t="str">
        <f>IFERROR(IF(VLOOKUP(A2163,[14]PRIORIZADOS!$A:$G,7,FALSE)="","",VLOOKUP(A2163,[14]PRIORIZADOS!$A:$G,7,FALSE)),"")</f>
        <v>GIMNASIO ROMANO MIXTO</v>
      </c>
      <c r="H2163" s="11" t="str">
        <f>IFERROR(IF(VLOOKUP(A2163,[14]PRIORIZADOS!$A:$H,8,FALSE)="","",VLOOKUP(A2163,[14]PRIORIZADOS!$A:$H,8,FALSE)),"")</f>
        <v>Autoevaluación Institucional y Pruebas SABER 11</v>
      </c>
      <c r="I2163" s="11" t="str">
        <f>IFERROR(IF(VLOOKUP(A2163,[14]PRIORIZADOS!$A:$I,9,FALSE)="","",VLOOKUP(A2163,[14]PRIORIZADOS!$A:$I,9,FALSE)),"")</f>
        <v>SEGUIMIENTO_Y_SUPERVISIÓN.</v>
      </c>
      <c r="J2163" s="11" t="str">
        <f>IFERROR(IF(VLOOKUP(A2163,[14]PRIORIZADOS!$A:$J,10,FALSE)="","",VLOOKUP(A2163,[14]PRIORIZADOS!$A:$J,10,FALSE)),"")</f>
        <v>Realizar visitas para verificar la información registrada sobre la autoevaluación institucional en el aplicativo EVI, a los establecimientos de educación formal no oficial.</v>
      </c>
      <c r="K2163" s="11" t="str">
        <f>IFERROR(IF(VLOOKUP(A2163,[14]PRIORIZADOS!$A:$K,11,FALSE)="","",VLOOKUP(A2163,[14]PRIORIZADOS!$A:$K,11,FALSE)),"")</f>
        <v>GETULIO ALBERTO FLÓREZ MORENO</v>
      </c>
      <c r="L2163" s="11" t="str">
        <f>IFERROR(IF(VLOOKUP(A2163,[14]PRIORIZADOS!$A:$L,12,FALSE)="","",VLOOKUP(A2163,[14]PRIORIZADOS!$A:$L,12,FALSE)),"")</f>
        <v>JUAN MANUEL SANCHEZ MORA</v>
      </c>
      <c r="M2163" s="71">
        <f>IFERROR(IF(VLOOKUP(A2163,[14]PRIORIZADOS!$A:$M,13,FALSE)="","",VLOOKUP(A2163,[14]PRIORIZADOS!$A:$M,13,FALSE)),"")</f>
        <v>45720</v>
      </c>
      <c r="N2163" s="71">
        <f>IFERROR(IF(VLOOKUP(A2163,[14]PRIORIZADOS!$A:$N,14,FALSE)="","",VLOOKUP(A2163,[14]PRIORIZADOS!$A:$N,14,FALSE)),"")</f>
        <v>45919</v>
      </c>
      <c r="O2163" s="71">
        <f>IFERROR(IF(VLOOKUP(A2163,[14]PRIORIZADOS!$A:$O,15,FALSE)="","",VLOOKUP(A2163,[14]PRIORIZADOS!$A:$O,15,FALSE)),"")</f>
        <v>45919</v>
      </c>
      <c r="P2163" s="11" t="str">
        <f>IFERROR(IF(VLOOKUP(A2163,[14]PRIORIZADOS!$A:$P,16,FALSE)="","",VLOOKUP(A2163,[14]PRIORIZADOS!$A:$P,16,FALSE)),"")</f>
        <v>Visitas de evaluación con fines de seguimiento</v>
      </c>
      <c r="Q2163" s="22" t="s">
        <v>447</v>
      </c>
      <c r="R2163" s="11" t="str">
        <f>IFERROR(IF(VLOOKUP(A2163,[14]PRIORIZADOS!$A:$R,18,FALSE)="","",VLOOKUP(A2163,[14]PRIORIZADOS!$A:$R,18,FALSE)),"")</f>
        <v>Presentaron el diligenciamiento del aplicativo EVI en debida forma y se verifica que se cobran a los padres de familia los mismos valores aprobados en la Resolución de costos educativos.</v>
      </c>
      <c r="S2163" s="11" t="str">
        <f>IFERROR(IF(VLOOKUP(A2163,[14]PRIORIZADOS!$A:$S,19,FALSE)="","",VLOOKUP(A2163,[14]PRIORIZADOS!$A:$S,19,FALSE)),"")</f>
        <v xml:space="preserve">Se sugiere publicar la totalidad de la Resolución en un lugar visible para la comunidad educativa. </v>
      </c>
      <c r="T2163" s="70" t="str">
        <f>IFERROR(IF(VLOOKUP(A2163,[14]PRIORIZADOS!$A:$T,20,FALSE)="","",VLOOKUP(A2163,[14]PRIORIZADOS!$A:$T,20,FALSE)),"")</f>
        <v>Si</v>
      </c>
      <c r="U2163" s="11" t="str">
        <f>IFERROR(IF(VLOOKUP(A2163,[14]PRIORIZADOS!$A:$U,21,FALSE)="","",VLOOKUP(A2163,[14]PRIORIZADOS!$A:$U,21,FALSE)),"")</f>
        <v xml:space="preserve">Se realizará seguimiento a la publicación de la Resolución en lugar visible del colegio. </v>
      </c>
    </row>
    <row r="2164" spans="1:21" s="1" customFormat="1" ht="60">
      <c r="A2164" s="69">
        <f>IF([14]PRIORIZADOS!A211="","",[14]PRIORIZADOS!A211)</f>
        <v>2132</v>
      </c>
      <c r="B2164" s="70">
        <f>IFERROR(IF(VLOOKUP(A2164,[14]PRIORIZADOS!$A:$B,2,FALSE)="","",VLOOKUP(A2164,[14]PRIORIZADOS!$A:$B,2,FALSE)),"")</f>
        <v>23</v>
      </c>
      <c r="C2164" s="11" t="s">
        <v>424</v>
      </c>
      <c r="D2164" s="11" t="str">
        <f>IFERROR(IF(VLOOKUP(A2164,[14]PRIORIZADOS!$A:$D,4,FALSE)="","",VLOOKUP(A2164,[14]PRIORIZADOS!$A:$D,4,FALSE)),"")</f>
        <v>PRIVADO</v>
      </c>
      <c r="E2164" s="11" t="str">
        <f>IFERROR(IF(VLOOKUP(A2164,[14]PRIORIZADOS!$A:$E,5,FALSE)="","",VLOOKUP(A2164,[14]PRIORIZADOS!$A:$E,5,FALSE)),"")</f>
        <v>EPBM</v>
      </c>
      <c r="F2164" s="11" t="str">
        <f>IFERROR(IF(VLOOKUP(A2164,[14]PRIORIZADOS!$A:$F,6,FALSE)="","",VLOOKUP(A2164,[14]PRIORIZADOS!$A:$F,6,FALSE)),"")</f>
        <v>GIMNASIO_ROMANO_MIXTO</v>
      </c>
      <c r="G2164" s="11" t="str">
        <f>IFERROR(IF(VLOOKUP(A2164,[14]PRIORIZADOS!$A:$G,7,FALSE)="","",VLOOKUP(A2164,[14]PRIORIZADOS!$A:$G,7,FALSE)),"")</f>
        <v>GIMNASIO ROMANO MIXTO</v>
      </c>
      <c r="H2164" s="11" t="str">
        <f>IFERROR(IF(VLOOKUP(A2164,[14]PRIORIZADOS!$A:$H,8,FALSE)="","",VLOOKUP(A2164,[14]PRIORIZADOS!$A:$H,8,FALSE)),"")</f>
        <v>Autoevaluación Institucional y Pruebas SABER 11</v>
      </c>
      <c r="I2164" s="11" t="str">
        <f>IFERROR(IF(VLOOKUP(A2164,[14]PRIORIZADOS!$A:$I,9,FALSE)="","",VLOOKUP(A2164,[14]PRIORIZADOS!$A:$I,9,FALSE)),"")</f>
        <v>SEGUIMIENTO_Y_SUPERVISIÓN.</v>
      </c>
      <c r="J2164" s="11" t="str">
        <f>IFERROR(IF(VLOOKUP(A2164,[14]PRIORIZADOS!$A:$J,10,FALSE)="","",VLOOKUP(A2164,[14]PRIORIZADOS!$A:$J,10,FALSE)),"")</f>
        <v>Proponer estrategias en la formulación, verificar su elaboración y realizar seguimiento semestral al desarrollo de  las acciones establecidas en los planes de mejoramiento por pruebas SABER 11 de los establecimientos de educación formal.</v>
      </c>
      <c r="K2164" s="11" t="str">
        <f>IFERROR(IF(VLOOKUP(A2164,[14]PRIORIZADOS!$A:$K,11,FALSE)="","",VLOOKUP(A2164,[14]PRIORIZADOS!$A:$K,11,FALSE)),"")</f>
        <v>GETULIO ALBERTO FLÓREZ MORENO</v>
      </c>
      <c r="L2164" s="11" t="str">
        <f>IFERROR(IF(VLOOKUP(A2164,[14]PRIORIZADOS!$A:$L,12,FALSE)="","",VLOOKUP(A2164,[14]PRIORIZADOS!$A:$L,12,FALSE)),"")</f>
        <v>JUAN MANUEL SANCHEZ MORA</v>
      </c>
      <c r="M2164" s="71">
        <f>IFERROR(IF(VLOOKUP(A2164,[14]PRIORIZADOS!$A:$M,13,FALSE)="","",VLOOKUP(A2164,[14]PRIORIZADOS!$A:$M,13,FALSE)),"")</f>
        <v>45720</v>
      </c>
      <c r="N2164" s="71">
        <f>IFERROR(IF(VLOOKUP(A2164,[14]PRIORIZADOS!$A:$N,14,FALSE)="","",VLOOKUP(A2164,[14]PRIORIZADOS!$A:$N,14,FALSE)),"")</f>
        <v>45919</v>
      </c>
      <c r="O2164" s="71">
        <f>IFERROR(IF(VLOOKUP(A2164,[14]PRIORIZADOS!$A:$O,15,FALSE)="","",VLOOKUP(A2164,[14]PRIORIZADOS!$A:$O,15,FALSE)),"")</f>
        <v>45919</v>
      </c>
      <c r="P2164" s="11" t="str">
        <f>IFERROR(IF(VLOOKUP(A2164,[14]PRIORIZADOS!$A:$P,16,FALSE)="","",VLOOKUP(A2164,[14]PRIORIZADOS!$A:$P,16,FALSE)),"")</f>
        <v>Visitas de evaluación con fines de seguimiento</v>
      </c>
      <c r="Q2164" s="22" t="s">
        <v>447</v>
      </c>
      <c r="R2164" s="11" t="str">
        <f>IFERROR(IF(VLOOKUP(A2164,[14]PRIORIZADOS!$A:$R,18,FALSE)="","",VLOOKUP(A2164,[14]PRIORIZADOS!$A:$R,18,FALSE)),"")</f>
        <v xml:space="preserve">No e evidencia estrategias para el seguimiento semestral al desarrollo de  las pruebas SABER 11 </v>
      </c>
      <c r="S2164" s="11" t="str">
        <f>IFERROR(IF(VLOOKUP(A2164,[14]PRIORIZADOS!$A:$S,19,FALSE)="","",VLOOKUP(A2164,[14]PRIORIZADOS!$A:$S,19,FALSE)),"")</f>
        <v>Se sugiere implementar la revisión y análisis de los resultados de las pruebas saber 11.</v>
      </c>
      <c r="T2164" s="70" t="str">
        <f>IFERROR(IF(VLOOKUP(A2164,[14]PRIORIZADOS!$A:$T,20,FALSE)="","",VLOOKUP(A2164,[14]PRIORIZADOS!$A:$T,20,FALSE)),"")</f>
        <v>Si</v>
      </c>
      <c r="U2164" s="11" t="str">
        <f>IFERROR(IF(VLOOKUP(A2164,[14]PRIORIZADOS!$A:$U,21,FALSE)="","",VLOOKUP(A2164,[14]PRIORIZADOS!$A:$U,21,FALSE)),"")</f>
        <v xml:space="preserve">Se adelantará seguimiento sobre el plan de mejoramiento que porponga la institución educativa. </v>
      </c>
    </row>
    <row r="2165" spans="1:21" s="1" customFormat="1" ht="48">
      <c r="A2165" s="69">
        <f>IF([14]PRIORIZADOS!A212="","",[14]PRIORIZADOS!A212)</f>
        <v>2133</v>
      </c>
      <c r="B2165" s="70">
        <f>IFERROR(IF(VLOOKUP(A2165,[14]PRIORIZADOS!$A:$B,2,FALSE)="","",VLOOKUP(A2165,[14]PRIORIZADOS!$A:$B,2,FALSE)),"")</f>
        <v>23</v>
      </c>
      <c r="C2165" s="11" t="s">
        <v>424</v>
      </c>
      <c r="D2165" s="11" t="str">
        <f>IFERROR(IF(VLOOKUP(A2165,[14]PRIORIZADOS!$A:$D,4,FALSE)="","",VLOOKUP(A2165,[14]PRIORIZADOS!$A:$D,4,FALSE)),"")</f>
        <v>PRIVADO</v>
      </c>
      <c r="E2165" s="11" t="str">
        <f>IFERROR(IF(VLOOKUP(A2165,[14]PRIORIZADOS!$A:$E,5,FALSE)="","",VLOOKUP(A2165,[14]PRIORIZADOS!$A:$E,5,FALSE)),"")</f>
        <v>EPBM</v>
      </c>
      <c r="F2165" s="11" t="str">
        <f>IFERROR(IF(VLOOKUP(A2165,[14]PRIORIZADOS!$A:$F,6,FALSE)="","",VLOOKUP(A2165,[14]PRIORIZADOS!$A:$F,6,FALSE)),"")</f>
        <v>GIMNASIO_ROMANO_MIXTO</v>
      </c>
      <c r="G2165" s="11" t="str">
        <f>IFERROR(IF(VLOOKUP(A2165,[14]PRIORIZADOS!$A:$G,7,FALSE)="","",VLOOKUP(A2165,[14]PRIORIZADOS!$A:$G,7,FALSE)),"")</f>
        <v>GIMNASIO ROMANO MIXTO</v>
      </c>
      <c r="H2165" s="11" t="str">
        <f>IFERROR(IF(VLOOKUP(A2165,[14]PRIORIZADOS!$A:$H,8,FALSE)="","",VLOOKUP(A2165,[14]PRIORIZADOS!$A:$H,8,FALSE)),"")</f>
        <v>Autoevaluación Institucional y Pruebas SABER 11</v>
      </c>
      <c r="I2165" s="11" t="str">
        <f>IFERROR(IF(VLOOKUP(A2165,[14]PRIORIZADOS!$A:$I,9,FALSE)="","",VLOOKUP(A2165,[14]PRIORIZADOS!$A:$I,9,FALSE)),"")</f>
        <v>SEGUIMIENTO_Y_SUPERVISIÓN.</v>
      </c>
      <c r="J2165" s="11" t="str">
        <f>IFERROR(IF(VLOOKUP(A2165,[14]PRIORIZADOS!$A:$J,10,FALSE)="","",VLOOKUP(A2165,[14]PRIORIZADOS!$A:$J,10,FALSE)),"")</f>
        <v xml:space="preserve">Verificar la implementación por parte de los colegios, de acciones realizadas para la prevención y atención de las situaciones de convivencia en el entorno escolar, según lo establecido en la Directiva 01 de 2022 del MEN. </v>
      </c>
      <c r="K2165" s="11" t="str">
        <f>IFERROR(IF(VLOOKUP(A2165,[14]PRIORIZADOS!$A:$K,11,FALSE)="","",VLOOKUP(A2165,[14]PRIORIZADOS!$A:$K,11,FALSE)),"")</f>
        <v>GETULIO ALBERTO FLÓREZ MORENO</v>
      </c>
      <c r="L2165" s="11" t="str">
        <f>IFERROR(IF(VLOOKUP(A2165,[14]PRIORIZADOS!$A:$L,12,FALSE)="","",VLOOKUP(A2165,[14]PRIORIZADOS!$A:$L,12,FALSE)),"")</f>
        <v>JUAN MANUEL SANCHEZ MORA</v>
      </c>
      <c r="M2165" s="71">
        <f>IFERROR(IF(VLOOKUP(A2165,[14]PRIORIZADOS!$A:$M,13,FALSE)="","",VLOOKUP(A2165,[14]PRIORIZADOS!$A:$M,13,FALSE)),"")</f>
        <v>45720</v>
      </c>
      <c r="N2165" s="71">
        <f>IFERROR(IF(VLOOKUP(A2165,[14]PRIORIZADOS!$A:$N,14,FALSE)="","",VLOOKUP(A2165,[14]PRIORIZADOS!$A:$N,14,FALSE)),"")</f>
        <v>45919</v>
      </c>
      <c r="O2165" s="71">
        <f>IFERROR(IF(VLOOKUP(A2165,[14]PRIORIZADOS!$A:$O,15,FALSE)="","",VLOOKUP(A2165,[14]PRIORIZADOS!$A:$O,15,FALSE)),"")</f>
        <v>45919</v>
      </c>
      <c r="P2165" s="11" t="str">
        <f>IFERROR(IF(VLOOKUP(A2165,[14]PRIORIZADOS!$A:$P,16,FALSE)="","",VLOOKUP(A2165,[14]PRIORIZADOS!$A:$P,16,FALSE)),"")</f>
        <v>Visitas de evaluación con fines de seguimiento</v>
      </c>
      <c r="Q2165" s="22" t="s">
        <v>447</v>
      </c>
      <c r="R2165" s="11" t="str">
        <f>IFERROR(IF(VLOOKUP(A2165,[14]PRIORIZADOS!$A:$R,18,FALSE)="","",VLOOKUP(A2165,[14]PRIORIZADOS!$A:$R,18,FALSE)),"")</f>
        <v xml:space="preserve">Aunque se realiza la consulta de las inhabilidades del personal vinculado al inicio del año no lo hacen cada 4 meses. </v>
      </c>
      <c r="S2165" s="11" t="str">
        <f>IFERROR(IF(VLOOKUP(A2165,[14]PRIORIZADOS!$A:$S,19,FALSE)="","",VLOOKUP(A2165,[14]PRIORIZADOS!$A:$S,19,FALSE)),"")</f>
        <v>Se orienta adelantar esta actividad en el tiempo estipulado.</v>
      </c>
      <c r="T2165" s="70" t="str">
        <f>IFERROR(IF(VLOOKUP(A2165,[14]PRIORIZADOS!$A:$T,20,FALSE)="","",VLOOKUP(A2165,[14]PRIORIZADOS!$A:$T,20,FALSE)),"")</f>
        <v>Si</v>
      </c>
      <c r="U2165" s="11" t="str">
        <f>IFERROR(IF(VLOOKUP(A2165,[14]PRIORIZADOS!$A:$U,21,FALSE)="","",VLOOKUP(A2165,[14]PRIORIZADOS!$A:$U,21,FALSE)),"")</f>
        <v xml:space="preserve">Actualizar la revisión del certificado de antecedentes de inhabilidades por delitos sexuales para todos los docentes y personal administrativo del colegio. </v>
      </c>
    </row>
    <row r="2166" spans="1:21" s="1" customFormat="1" ht="72">
      <c r="A2166" s="69">
        <f>IF([14]PRIORIZADOS!A213="","",[14]PRIORIZADOS!A213)</f>
        <v>2134</v>
      </c>
      <c r="B2166" s="70">
        <f>IFERROR(IF(VLOOKUP(A2166,[14]PRIORIZADOS!$A:$B,2,FALSE)="","",VLOOKUP(A2166,[14]PRIORIZADOS!$A:$B,2,FALSE)),"")</f>
        <v>23</v>
      </c>
      <c r="C2166" s="11" t="s">
        <v>424</v>
      </c>
      <c r="D2166" s="11" t="str">
        <f>IFERROR(IF(VLOOKUP(A2166,[14]PRIORIZADOS!$A:$D,4,FALSE)="","",VLOOKUP(A2166,[14]PRIORIZADOS!$A:$D,4,FALSE)),"")</f>
        <v>PRIVADO</v>
      </c>
      <c r="E2166" s="11" t="str">
        <f>IFERROR(IF(VLOOKUP(A2166,[14]PRIORIZADOS!$A:$E,5,FALSE)="","",VLOOKUP(A2166,[14]PRIORIZADOS!$A:$E,5,FALSE)),"")</f>
        <v>EPBM</v>
      </c>
      <c r="F2166" s="11" t="str">
        <f>IFERROR(IF(VLOOKUP(A2166,[14]PRIORIZADOS!$A:$F,6,FALSE)="","",VLOOKUP(A2166,[14]PRIORIZADOS!$A:$F,6,FALSE)),"")</f>
        <v>GIMNASIO_ROMANO_MIXTO</v>
      </c>
      <c r="G2166" s="11" t="str">
        <f>IFERROR(IF(VLOOKUP(A2166,[14]PRIORIZADOS!$A:$G,7,FALSE)="","",VLOOKUP(A2166,[14]PRIORIZADOS!$A:$G,7,FALSE)),"")</f>
        <v>GIMNASIO ROMANO MIXTO</v>
      </c>
      <c r="H2166" s="11" t="str">
        <f>IFERROR(IF(VLOOKUP(A2166,[14]PRIORIZADOS!$A:$H,8,FALSE)="","",VLOOKUP(A2166,[14]PRIORIZADOS!$A:$H,8,FALSE)),"")</f>
        <v>Autoevaluación Institucional y Pruebas SABER 11</v>
      </c>
      <c r="I2166" s="11" t="str">
        <f>IFERROR(IF(VLOOKUP(A2166,[14]PRIORIZADOS!$A:$I,9,FALSE)="","",VLOOKUP(A2166,[14]PRIORIZADOS!$A:$I,9,FALSE)),"")</f>
        <v>SEGUIMIENTO_Y_SUPERVISIÓN.</v>
      </c>
      <c r="J2166" s="11" t="str">
        <f>IFERROR(IF(VLOOKUP(A2166,[14]PRIORIZADOS!$A:$J,10,FALSE)="","",VLOOKUP(A2166,[14]PRIORIZADOS!$A:$J,10,FALSE)),"")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66" s="11" t="str">
        <f>IFERROR(IF(VLOOKUP(A2166,[14]PRIORIZADOS!$A:$K,11,FALSE)="","",VLOOKUP(A2166,[14]PRIORIZADOS!$A:$K,11,FALSE)),"")</f>
        <v>GETULIO ALBERTO FLÓREZ MORENO</v>
      </c>
      <c r="L2166" s="11" t="str">
        <f>IFERROR(IF(VLOOKUP(A2166,[14]PRIORIZADOS!$A:$L,12,FALSE)="","",VLOOKUP(A2166,[14]PRIORIZADOS!$A:$L,12,FALSE)),"")</f>
        <v>JUAN MANUEL SANCHEZ MORA</v>
      </c>
      <c r="M2166" s="71">
        <f>IFERROR(IF(VLOOKUP(A2166,[14]PRIORIZADOS!$A:$M,13,FALSE)="","",VLOOKUP(A2166,[14]PRIORIZADOS!$A:$M,13,FALSE)),"")</f>
        <v>45720</v>
      </c>
      <c r="N2166" s="71">
        <f>IFERROR(IF(VLOOKUP(A2166,[14]PRIORIZADOS!$A:$N,14,FALSE)="","",VLOOKUP(A2166,[14]PRIORIZADOS!$A:$N,14,FALSE)),"")</f>
        <v>45919</v>
      </c>
      <c r="O2166" s="71">
        <f>IFERROR(IF(VLOOKUP(A2166,[14]PRIORIZADOS!$A:$O,15,FALSE)="","",VLOOKUP(A2166,[14]PRIORIZADOS!$A:$O,15,FALSE)),"")</f>
        <v>45919</v>
      </c>
      <c r="P2166" s="11" t="str">
        <f>IFERROR(IF(VLOOKUP(A2166,[14]PRIORIZADOS!$A:$P,16,FALSE)="","",VLOOKUP(A2166,[14]PRIORIZADOS!$A:$P,16,FALSE)),"")</f>
        <v>Visitas de evaluación con fines de seguimiento</v>
      </c>
      <c r="Q2166" s="22" t="s">
        <v>447</v>
      </c>
      <c r="R2166" s="11" t="str">
        <f>IFERROR(IF(VLOOKUP(A2166,[14]PRIORIZADOS!$A:$R,18,FALSE)="","",VLOOKUP(A2166,[14]PRIORIZADOS!$A:$R,18,FALSE)),"")</f>
        <v xml:space="preserve">Al momento de la visita la Rectora Jimena Cruz manifiesta no tener estudiantes en condición de discapacidad, no obstante en revisión en el SIMAT hay 1 estudiante registrado con discapacidad psicosocial mental.  </v>
      </c>
      <c r="S2166" s="11" t="str">
        <f>IFERROR(IF(VLOOKUP(A2166,[14]PRIORIZADOS!$A:$S,19,FALSE)="","",VLOOKUP(A2166,[14]PRIORIZADOS!$A:$S,19,FALSE)),"")</f>
        <v>Se sugiere elaborar PIAR para el mencionado estudiante.</v>
      </c>
      <c r="T2166" s="70" t="str">
        <f>IFERROR(IF(VLOOKUP(A2166,[14]PRIORIZADOS!$A:$T,20,FALSE)="","",VLOOKUP(A2166,[14]PRIORIZADOS!$A:$T,20,FALSE)),"")</f>
        <v>Si</v>
      </c>
      <c r="U2166" s="11" t="str">
        <f>IFERROR(IF(VLOOKUP(A2166,[14]PRIORIZADOS!$A:$U,21,FALSE)="","",VLOOKUP(A2166,[14]PRIORIZADOS!$A:$U,21,FALSE)),"")</f>
        <v xml:space="preserve">Se realizará seguimiento del PIAR elaborado por el colegio y firmado por los padres de familia. </v>
      </c>
    </row>
    <row r="2167" spans="1:21" s="1" customFormat="1" ht="142.5">
      <c r="A2167" s="69">
        <f>IF([14]PRIORIZADOS!A214="","",[14]PRIORIZADOS!A214)</f>
        <v>2135</v>
      </c>
      <c r="B2167" s="70">
        <f>IFERROR(IF(VLOOKUP(A2167,[14]PRIORIZADOS!$A:$B,2,FALSE)="","",VLOOKUP(A2167,[14]PRIORIZADOS!$A:$B,2,FALSE)),"")</f>
        <v>23</v>
      </c>
      <c r="C2167" s="11" t="s">
        <v>424</v>
      </c>
      <c r="D2167" s="11" t="str">
        <f>IFERROR(IF(VLOOKUP(A2167,[14]PRIORIZADOS!$A:$D,4,FALSE)="","",VLOOKUP(A2167,[14]PRIORIZADOS!$A:$D,4,FALSE)),"")</f>
        <v>PRIVADO</v>
      </c>
      <c r="E2167" s="11" t="str">
        <f>IFERROR(IF(VLOOKUP(A2167,[14]PRIORIZADOS!$A:$E,5,FALSE)="","",VLOOKUP(A2167,[14]PRIORIZADOS!$A:$E,5,FALSE)),"")</f>
        <v>EPBM</v>
      </c>
      <c r="F2167" s="11" t="str">
        <f>IFERROR(IF(VLOOKUP(A2167,[14]PRIORIZADOS!$A:$F,6,FALSE)="","",VLOOKUP(A2167,[14]PRIORIZADOS!$A:$F,6,FALSE)),"")</f>
        <v>GIMNASIO_ROMANO_MIXTO</v>
      </c>
      <c r="G2167" s="11" t="str">
        <f>IFERROR(IF(VLOOKUP(A2167,[14]PRIORIZADOS!$A:$G,7,FALSE)="","",VLOOKUP(A2167,[14]PRIORIZADOS!$A:$G,7,FALSE)),"")</f>
        <v>GIMNASIO ROMANO MIXTO</v>
      </c>
      <c r="H2167" s="11" t="str">
        <f>IFERROR(IF(VLOOKUP(A2167,[14]PRIORIZADOS!$A:$H,8,FALSE)="","",VLOOKUP(A2167,[14]PRIORIZADOS!$A:$H,8,FALSE)),"")</f>
        <v>Autoevaluación Institucional y Pruebas SABER 11</v>
      </c>
      <c r="I2167" s="11" t="str">
        <f>IFERROR(IF(VLOOKUP(A2167,[14]PRIORIZADOS!$A:$I,9,FALSE)="","",VLOOKUP(A2167,[14]PRIORIZADOS!$A:$I,9,FALSE)),"")</f>
        <v>EVALUACIÓN_CON_FINES_DE_MEJORAMIENTO.</v>
      </c>
      <c r="J2167" s="11" t="str">
        <f>IFERROR(IF(VLOOKUP(A2167,[14]PRIORIZADOS!$A:$J,10,FALSE)="","",VLOOKUP(A2167,[14]PRIORIZADOS!$A:$J,10,FALSE)),"")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67" s="11" t="str">
        <f>IFERROR(IF(VLOOKUP(A2167,[14]PRIORIZADOS!$A:$K,11,FALSE)="","",VLOOKUP(A2167,[14]PRIORIZADOS!$A:$K,11,FALSE)),"")</f>
        <v>GETULIO ALBERTO FLÓREZ MORENO</v>
      </c>
      <c r="L2167" s="11" t="str">
        <f>IFERROR(IF(VLOOKUP(A2167,[14]PRIORIZADOS!$A:$L,12,FALSE)="","",VLOOKUP(A2167,[14]PRIORIZADOS!$A:$L,12,FALSE)),"")</f>
        <v>JUAN MANUEL SANCHEZ MORA</v>
      </c>
      <c r="M2167" s="71">
        <f>IFERROR(IF(VLOOKUP(A2167,[14]PRIORIZADOS!$A:$M,13,FALSE)="","",VLOOKUP(A2167,[14]PRIORIZADOS!$A:$M,13,FALSE)),"")</f>
        <v>45720</v>
      </c>
      <c r="N2167" s="71">
        <f>IFERROR(IF(VLOOKUP(A2167,[14]PRIORIZADOS!$A:$N,14,FALSE)="","",VLOOKUP(A2167,[14]PRIORIZADOS!$A:$N,14,FALSE)),"")</f>
        <v>45919</v>
      </c>
      <c r="O2167" s="71">
        <f>IFERROR(IF(VLOOKUP(A2167,[14]PRIORIZADOS!$A:$O,15,FALSE)="","",VLOOKUP(A2167,[14]PRIORIZADOS!$A:$O,15,FALSE)),"")</f>
        <v>45919</v>
      </c>
      <c r="P2167" s="11" t="str">
        <f>IFERROR(IF(VLOOKUP(A2167,[14]PRIORIZADOS!$A:$P,16,FALSE)="","",VLOOKUP(A2167,[14]PRIORIZADOS!$A:$P,16,FALSE)),"")</f>
        <v>Visitas de evaluación con fines de mejoramiento</v>
      </c>
      <c r="Q2167" s="22" t="s">
        <v>447</v>
      </c>
      <c r="R2167" s="11" t="str">
        <f>IFERROR(IF(VLOOKUP(A2167,[14]PRIORIZADOS!$A:$R,18,FALSE)="","",VLOOKUP(A2167,[14]PRIORIZADOS!$A:$R,18,FALSE)),"")</f>
        <v xml:space="preserve">Se evidencia que en la misión es importante reevaluarla para tener en cuenta la educación regular y el énfasis ambiental que posee el colegio.                 En la visión es fundamental proyectase en el mediano plazo (10 años) y tener en cuenta el ajuste de  educación regular                                                             </v>
      </c>
      <c r="S2167" s="11" t="str">
        <f>IFERROR(IF(VLOOKUP(A2167,[14]PRIORIZADOS!$A:$S,19,FALSE)="","",VLOOKUP(A2167,[14]PRIORIZADOS!$A:$S,19,FALSE)),"")</f>
        <v xml:space="preserve">Se debe continuar con la actualización con base en el nombre del PEI en el horizonte institucional fundamentado en ambiental y ecologico. Se encontró mision y vision dentro del manual de convivencia suministrado en la visita el cual tien fecha de actualizacion año 2024. Se debe ubicar en lugar visible y de manera fisica la la mision y la vision de la institución educativa. Poca articulación con Ley 1098 de 2006 y Ley 1620 de 2013
</v>
      </c>
      <c r="T2167" s="70" t="str">
        <f>IFERROR(IF(VLOOKUP(A2167,[14]PRIORIZADOS!$A:$T,20,FALSE)="","",VLOOKUP(A2167,[14]PRIORIZADOS!$A:$T,20,FALSE)),"")</f>
        <v>Si</v>
      </c>
      <c r="U2167" s="11" t="str">
        <f>IFERROR(IF(VLOOKUP(A2167,[14]PRIORIZADOS!$A:$U,21,FALSE)="","",VLOOKUP(A2167,[14]PRIORIZADOS!$A:$U,21,FALSE)),"")</f>
        <v xml:space="preserve">Se debe adelantar seguimiento a las actualizaciones y dcoumento final propuesto por el colegio. </v>
      </c>
    </row>
    <row r="2168" spans="1:21" s="1" customFormat="1" ht="72">
      <c r="A2168" s="69">
        <f>IF([14]PRIORIZADOS!A215="","",[14]PRIORIZADOS!A215)</f>
        <v>2136</v>
      </c>
      <c r="B2168" s="70">
        <f>IFERROR(IF(VLOOKUP(A2168,[14]PRIORIZADOS!$A:$B,2,FALSE)="","",VLOOKUP(A2168,[14]PRIORIZADOS!$A:$B,2,FALSE)),"")</f>
        <v>23</v>
      </c>
      <c r="C2168" s="11" t="s">
        <v>424</v>
      </c>
      <c r="D2168" s="11" t="str">
        <f>IFERROR(IF(VLOOKUP(A2168,[14]PRIORIZADOS!$A:$D,4,FALSE)="","",VLOOKUP(A2168,[14]PRIORIZADOS!$A:$D,4,FALSE)),"")</f>
        <v>PRIVADO</v>
      </c>
      <c r="E2168" s="11" t="str">
        <f>IFERROR(IF(VLOOKUP(A2168,[14]PRIORIZADOS!$A:$E,5,FALSE)="","",VLOOKUP(A2168,[14]PRIORIZADOS!$A:$E,5,FALSE)),"")</f>
        <v>EPBM</v>
      </c>
      <c r="F2168" s="11" t="str">
        <f>IFERROR(IF(VLOOKUP(A2168,[14]PRIORIZADOS!$A:$F,6,FALSE)="","",VLOOKUP(A2168,[14]PRIORIZADOS!$A:$F,6,FALSE)),"")</f>
        <v>GIMNASIO_ROMANO_MIXTO</v>
      </c>
      <c r="G2168" s="11" t="str">
        <f>IFERROR(IF(VLOOKUP(A2168,[14]PRIORIZADOS!$A:$G,7,FALSE)="","",VLOOKUP(A2168,[14]PRIORIZADOS!$A:$G,7,FALSE)),"")</f>
        <v>GIMNASIO ROMANO MIXTO</v>
      </c>
      <c r="H2168" s="11" t="str">
        <f>IFERROR(IF(VLOOKUP(A2168,[14]PRIORIZADOS!$A:$H,8,FALSE)="","",VLOOKUP(A2168,[14]PRIORIZADOS!$A:$H,8,FALSE)),"")</f>
        <v>Autoevaluación Institucional y Pruebas SABER 11</v>
      </c>
      <c r="I2168" s="11" t="str">
        <f>IFERROR(IF(VLOOKUP(A2168,[14]PRIORIZADOS!$A:$I,9,FALSE)="","",VLOOKUP(A2168,[14]PRIORIZADOS!$A:$I,9,FALSE)),"")</f>
        <v>EVALUACIÓN_CON_FINES_DE_MEJORAMIENTO.</v>
      </c>
      <c r="J2168" s="11" t="str">
        <f>IFERROR(IF(VLOOKUP(A2168,[14]PRIORIZADOS!$A:$J,10,FALSE)="","",VLOOKUP(A2168,[14]PRIORIZADOS!$A:$J,10,FALSE)),"")</f>
        <v>Revisar la actualización, socialización e implementación del Sistema Institucional de Evaluación de Estudiantes - SIEE, en articulación con la actualización del PEI y la normatividad vigente.</v>
      </c>
      <c r="K2168" s="11" t="str">
        <f>IFERROR(IF(VLOOKUP(A2168,[14]PRIORIZADOS!$A:$K,11,FALSE)="","",VLOOKUP(A2168,[14]PRIORIZADOS!$A:$K,11,FALSE)),"")</f>
        <v>GETULIO ALBERTO FLÓREZ MORENO</v>
      </c>
      <c r="L2168" s="11" t="str">
        <f>IFERROR(IF(VLOOKUP(A2168,[14]PRIORIZADOS!$A:$L,12,FALSE)="","",VLOOKUP(A2168,[14]PRIORIZADOS!$A:$L,12,FALSE)),"")</f>
        <v>JUAN MANUEL SANCHEZ MORA</v>
      </c>
      <c r="M2168" s="71">
        <f>IFERROR(IF(VLOOKUP(A2168,[14]PRIORIZADOS!$A:$M,13,FALSE)="","",VLOOKUP(A2168,[14]PRIORIZADOS!$A:$M,13,FALSE)),"")</f>
        <v>45720</v>
      </c>
      <c r="N2168" s="71">
        <f>IFERROR(IF(VLOOKUP(A2168,[14]PRIORIZADOS!$A:$N,14,FALSE)="","",VLOOKUP(A2168,[14]PRIORIZADOS!$A:$N,14,FALSE)),"")</f>
        <v>45919</v>
      </c>
      <c r="O2168" s="71">
        <f>IFERROR(IF(VLOOKUP(A2168,[14]PRIORIZADOS!$A:$O,15,FALSE)="","",VLOOKUP(A2168,[14]PRIORIZADOS!$A:$O,15,FALSE)),"")</f>
        <v>45919</v>
      </c>
      <c r="P2168" s="11" t="str">
        <f>IFERROR(IF(VLOOKUP(A2168,[14]PRIORIZADOS!$A:$P,16,FALSE)="","",VLOOKUP(A2168,[14]PRIORIZADOS!$A:$P,16,FALSE)),"")</f>
        <v>Visitas de evaluación con fines de mejoramiento</v>
      </c>
      <c r="Q2168" s="22" t="s">
        <v>447</v>
      </c>
      <c r="R2168" s="11" t="str">
        <f>IFERROR(IF(VLOOKUP(A2168,[14]PRIORIZADOS!$A:$R,18,FALSE)="","",VLOOKUP(A2168,[14]PRIORIZADOS!$A:$R,18,FALSE)),"")</f>
        <v xml:space="preserve">Durante la visita se observa poca actualizacion del SIEE, posee criterios mínimos de valoración y no establece procesos de promoción acordes con la normativa vigente. 
</v>
      </c>
      <c r="S2168" s="11" t="str">
        <f>IFERROR(IF(VLOOKUP(A2168,[14]PRIORIZADOS!$A:$S,19,FALSE)="","",VLOOKUP(A2168,[14]PRIORIZADOS!$A:$S,19,FALSE)),"")</f>
        <v xml:space="preserve">Es procedente la actualización del SIEE en gran maedida, tomando en consideración lo contemplado por la ley 115 de 1995 y normas asociadas. </v>
      </c>
      <c r="T2168" s="70" t="str">
        <f>IFERROR(IF(VLOOKUP(A2168,[14]PRIORIZADOS!$A:$T,20,FALSE)="","",VLOOKUP(A2168,[14]PRIORIZADOS!$A:$T,20,FALSE)),"")</f>
        <v>Si</v>
      </c>
      <c r="U2168" s="11" t="str">
        <f>IFERROR(IF(VLOOKUP(A2168,[14]PRIORIZADOS!$A:$U,21,FALSE)="","",VLOOKUP(A2168,[14]PRIORIZADOS!$A:$U,21,FALSE)),"")</f>
        <v>Es procedente adelantar seguimiento a la actualización del SIEE.</v>
      </c>
    </row>
    <row r="2169" spans="1:21" s="1" customFormat="1" ht="48">
      <c r="A2169" s="69">
        <f>IF([14]PRIORIZADOS!A216="","",[14]PRIORIZADOS!A216)</f>
        <v>2137</v>
      </c>
      <c r="B2169" s="70">
        <f>IFERROR(IF(VLOOKUP(A2169,[14]PRIORIZADOS!$A:$B,2,FALSE)="","",VLOOKUP(A2169,[14]PRIORIZADOS!$A:$B,2,FALSE)),"")</f>
        <v>23</v>
      </c>
      <c r="C2169" s="11" t="s">
        <v>424</v>
      </c>
      <c r="D2169" s="11" t="str">
        <f>IFERROR(IF(VLOOKUP(A2169,[14]PRIORIZADOS!$A:$D,4,FALSE)="","",VLOOKUP(A2169,[14]PRIORIZADOS!$A:$D,4,FALSE)),"")</f>
        <v>PRIVADO</v>
      </c>
      <c r="E2169" s="11" t="str">
        <f>IFERROR(IF(VLOOKUP(A2169,[14]PRIORIZADOS!$A:$E,5,FALSE)="","",VLOOKUP(A2169,[14]PRIORIZADOS!$A:$E,5,FALSE)),"")</f>
        <v>EPBM</v>
      </c>
      <c r="F2169" s="11" t="str">
        <f>IFERROR(IF(VLOOKUP(A2169,[14]PRIORIZADOS!$A:$F,6,FALSE)="","",VLOOKUP(A2169,[14]PRIORIZADOS!$A:$F,6,FALSE)),"")</f>
        <v>GIMNASIO_ROMANO_MIXTO</v>
      </c>
      <c r="G2169" s="11" t="str">
        <f>IFERROR(IF(VLOOKUP(A2169,[14]PRIORIZADOS!$A:$G,7,FALSE)="","",VLOOKUP(A2169,[14]PRIORIZADOS!$A:$G,7,FALSE)),"")</f>
        <v>GIMNASIO ROMANO MIXTO</v>
      </c>
      <c r="H2169" s="11" t="str">
        <f>IFERROR(IF(VLOOKUP(A2169,[14]PRIORIZADOS!$A:$H,8,FALSE)="","",VLOOKUP(A2169,[14]PRIORIZADOS!$A:$H,8,FALSE)),"")</f>
        <v>Autoevaluación Institucional y Pruebas SABER 11</v>
      </c>
      <c r="I2169" s="11" t="str">
        <f>IFERROR(IF(VLOOKUP(A2169,[14]PRIORIZADOS!$A:$I,9,FALSE)="","",VLOOKUP(A2169,[14]PRIORIZADOS!$A:$I,9,FALSE)),"")</f>
        <v>EVALUACIÓN_CON_FINES_DE_MEJORAMIENTO.</v>
      </c>
      <c r="J2169" s="11" t="str">
        <f>IFERROR(IF(VLOOKUP(A2169,[14]PRIORIZADOS!$A:$J,10,FALSE)="","",VLOOKUP(A2169,[14]PRIORIZADOS!$A:$J,10,FALSE)),"")</f>
        <v>Revisar el calendario escolar, jornada escolar, la intensidad horaria mínima anual en cada nivel y las modificaciones que se realicen al mismo, de acuerdo con lo previsto en la normatividad vigente.</v>
      </c>
      <c r="K2169" s="11" t="str">
        <f>IFERROR(IF(VLOOKUP(A2169,[14]PRIORIZADOS!$A:$K,11,FALSE)="","",VLOOKUP(A2169,[14]PRIORIZADOS!$A:$K,11,FALSE)),"")</f>
        <v>GETULIO ALBERTO FLÓREZ MORENO</v>
      </c>
      <c r="L2169" s="11" t="str">
        <f>IFERROR(IF(VLOOKUP(A2169,[14]PRIORIZADOS!$A:$L,12,FALSE)="","",VLOOKUP(A2169,[14]PRIORIZADOS!$A:$L,12,FALSE)),"")</f>
        <v>JUAN MANUEL SANCHEZ MORA</v>
      </c>
      <c r="M2169" s="71">
        <f>IFERROR(IF(VLOOKUP(A2169,[14]PRIORIZADOS!$A:$M,13,FALSE)="","",VLOOKUP(A2169,[14]PRIORIZADOS!$A:$M,13,FALSE)),"")</f>
        <v>45720</v>
      </c>
      <c r="N2169" s="71">
        <f>IFERROR(IF(VLOOKUP(A2169,[14]PRIORIZADOS!$A:$N,14,FALSE)="","",VLOOKUP(A2169,[14]PRIORIZADOS!$A:$N,14,FALSE)),"")</f>
        <v>45919</v>
      </c>
      <c r="O2169" s="71">
        <f>IFERROR(IF(VLOOKUP(A2169,[14]PRIORIZADOS!$A:$O,15,FALSE)="","",VLOOKUP(A2169,[14]PRIORIZADOS!$A:$O,15,FALSE)),"")</f>
        <v>45919</v>
      </c>
      <c r="P2169" s="11" t="str">
        <f>IFERROR(IF(VLOOKUP(A2169,[14]PRIORIZADOS!$A:$P,16,FALSE)="","",VLOOKUP(A2169,[14]PRIORIZADOS!$A:$P,16,FALSE)),"")</f>
        <v>Visitas de evaluación con fines de mejoramiento</v>
      </c>
      <c r="Q2169" s="22" t="s">
        <v>447</v>
      </c>
      <c r="R2169" s="11" t="str">
        <f>IFERROR(IF(VLOOKUP(A2169,[14]PRIORIZADOS!$A:$R,18,FALSE)="","",VLOOKUP(A2169,[14]PRIORIZADOS!$A:$R,18,FALSE)),"")</f>
        <v>La intensidad horaria y las horas mínimas anuales de cada ciclo se ajustan para los ciclos de preescolar, básica y media</v>
      </c>
      <c r="S2169" s="11" t="str">
        <f>IFERROR(IF(VLOOKUP(A2169,[14]PRIORIZADOS!$A:$S,19,FALSE)="","",VLOOKUP(A2169,[14]PRIORIZADOS!$A:$S,19,FALSE)),"")</f>
        <v>Cumplie el calendario académico</v>
      </c>
      <c r="T2169" s="70" t="str">
        <f>IFERROR(IF(VLOOKUP(A2169,[14]PRIORIZADOS!$A:$T,20,FALSE)="","",VLOOKUP(A2169,[14]PRIORIZADOS!$A:$T,20,FALSE)),"")</f>
        <v>No</v>
      </c>
      <c r="U2169" s="11" t="str">
        <f>IFERROR(IF(VLOOKUP(A2169,[14]PRIORIZADOS!$A:$U,21,FALSE)="","",VLOOKUP(A2169,[14]PRIORIZADOS!$A:$U,21,FALSE)),"")</f>
        <v>Continuar con el cumplimiento del calendario</v>
      </c>
    </row>
    <row r="2170" spans="1:21" s="1" customFormat="1" ht="84">
      <c r="A2170" s="69">
        <f>IF([14]PRIORIZADOS!A217="","",[14]PRIORIZADOS!A217)</f>
        <v>2138</v>
      </c>
      <c r="B2170" s="70">
        <f>IFERROR(IF(VLOOKUP(A2170,[14]PRIORIZADOS!$A:$B,2,FALSE)="","",VLOOKUP(A2170,[14]PRIORIZADOS!$A:$B,2,FALSE)),"")</f>
        <v>23</v>
      </c>
      <c r="C2170" s="11" t="s">
        <v>424</v>
      </c>
      <c r="D2170" s="11" t="str">
        <f>IFERROR(IF(VLOOKUP(A2170,[14]PRIORIZADOS!$A:$D,4,FALSE)="","",VLOOKUP(A2170,[14]PRIORIZADOS!$A:$D,4,FALSE)),"")</f>
        <v>PRIVADO</v>
      </c>
      <c r="E2170" s="11" t="str">
        <f>IFERROR(IF(VLOOKUP(A2170,[14]PRIORIZADOS!$A:$E,5,FALSE)="","",VLOOKUP(A2170,[14]PRIORIZADOS!$A:$E,5,FALSE)),"")</f>
        <v>EPBM</v>
      </c>
      <c r="F2170" s="11" t="str">
        <f>IFERROR(IF(VLOOKUP(A2170,[14]PRIORIZADOS!$A:$F,6,FALSE)="","",VLOOKUP(A2170,[14]PRIORIZADOS!$A:$F,6,FALSE)),"")</f>
        <v>GIMNASIO_ROMANO_MIXTO</v>
      </c>
      <c r="G2170" s="11" t="str">
        <f>IFERROR(IF(VLOOKUP(A2170,[14]PRIORIZADOS!$A:$G,7,FALSE)="","",VLOOKUP(A2170,[14]PRIORIZADOS!$A:$G,7,FALSE)),"")</f>
        <v>GIMNASIO ROMANO MIXTO</v>
      </c>
      <c r="H2170" s="11" t="str">
        <f>IFERROR(IF(VLOOKUP(A2170,[14]PRIORIZADOS!$A:$H,8,FALSE)="","",VLOOKUP(A2170,[14]PRIORIZADOS!$A:$H,8,FALSE)),"")</f>
        <v>Autoevaluación Institucional y Pruebas SABER 11</v>
      </c>
      <c r="I2170" s="11" t="str">
        <f>IFERROR(IF(VLOOKUP(A2170,[14]PRIORIZADOS!$A:$I,9,FALSE)="","",VLOOKUP(A2170,[14]PRIORIZADOS!$A:$I,9,FALSE)),"")</f>
        <v>EVALUACIÓN_CON_FINES_DE_MEJORAMIENTO.</v>
      </c>
      <c r="J2170" s="11" t="str">
        <f>IFERROR(IF(VLOOKUP(A2170,[14]PRIORIZADOS!$A:$J,10,FALSE)="","",VLOOKUP(A2170,[14]PRIORIZADOS!$A:$J,10,FALSE)),"")</f>
        <v>Verificar el funcionamiento del Gobierno Escolar e instancias de participación con base en la información sobre conformación reportada por la institución educativa.</v>
      </c>
      <c r="K2170" s="11" t="str">
        <f>IFERROR(IF(VLOOKUP(A2170,[14]PRIORIZADOS!$A:$K,11,FALSE)="","",VLOOKUP(A2170,[14]PRIORIZADOS!$A:$K,11,FALSE)),"")</f>
        <v>GETULIO ALBERTO FLÓREZ MORENO</v>
      </c>
      <c r="L2170" s="11" t="str">
        <f>IFERROR(IF(VLOOKUP(A2170,[14]PRIORIZADOS!$A:$L,12,FALSE)="","",VLOOKUP(A2170,[14]PRIORIZADOS!$A:$L,12,FALSE)),"")</f>
        <v>JUAN MANUEL SANCHEZ MORA</v>
      </c>
      <c r="M2170" s="71">
        <f>IFERROR(IF(VLOOKUP(A2170,[14]PRIORIZADOS!$A:$M,13,FALSE)="","",VLOOKUP(A2170,[14]PRIORIZADOS!$A:$M,13,FALSE)),"")</f>
        <v>45720</v>
      </c>
      <c r="N2170" s="71">
        <f>IFERROR(IF(VLOOKUP(A2170,[14]PRIORIZADOS!$A:$N,14,FALSE)="","",VLOOKUP(A2170,[14]PRIORIZADOS!$A:$N,14,FALSE)),"")</f>
        <v>45919</v>
      </c>
      <c r="O2170" s="71">
        <f>IFERROR(IF(VLOOKUP(A2170,[14]PRIORIZADOS!$A:$O,15,FALSE)="","",VLOOKUP(A2170,[14]PRIORIZADOS!$A:$O,15,FALSE)),"")</f>
        <v>45919</v>
      </c>
      <c r="P2170" s="11" t="str">
        <f>IFERROR(IF(VLOOKUP(A2170,[14]PRIORIZADOS!$A:$P,16,FALSE)="","",VLOOKUP(A2170,[14]PRIORIZADOS!$A:$P,16,FALSE)),"")</f>
        <v>Visitas de evaluación con fines de mejoramiento</v>
      </c>
      <c r="Q2170" s="23" t="s">
        <v>447</v>
      </c>
      <c r="R2170" s="11" t="str">
        <f>IFERROR(IF(VLOOKUP(A2170,[14]PRIORIZADOS!$A:$R,18,FALSE)="","",VLOOKUP(A2170,[14]PRIORIZADOS!$A:$R,18,FALSE)),"")</f>
        <v xml:space="preserve">De acuerdo con información proporcionada por la Rectora existen los espacios de participación escolar, los cuales fueron radicados al SAE, pero no son muy operativos. No se logró encontar la carpeta que permitiera evidenciar las Actas de conformación.  </v>
      </c>
      <c r="S2170" s="11" t="str">
        <f>IFERROR(IF(VLOOKUP(A2170,[14]PRIORIZADOS!$A:$S,19,FALSE)="","",VLOOKUP(A2170,[14]PRIORIZADOS!$A:$S,19,FALSE)),"")</f>
        <v xml:space="preserve">Se sugiere la ubicación de las carpetas con las actas respectivas e imprimir un mayor dinamismo al funcionamiento de fichos Consejos. </v>
      </c>
      <c r="T2170" s="70" t="str">
        <f>IFERROR(IF(VLOOKUP(A2170,[14]PRIORIZADOS!$A:$T,20,FALSE)="","",VLOOKUP(A2170,[14]PRIORIZADOS!$A:$T,20,FALSE)),"")</f>
        <v>Si</v>
      </c>
      <c r="U2170" s="11" t="str">
        <f>IFERROR(IF(VLOOKUP(A2170,[14]PRIORIZADOS!$A:$U,21,FALSE)="","",VLOOKUP(A2170,[14]PRIORIZADOS!$A:$U,21,FALSE)),"")</f>
        <v xml:space="preserve">Es procedente adelantar seguimiento al hallazgo de las carpetas respectivas y su funcionamiento al interior del colegio. </v>
      </c>
    </row>
    <row r="2171" spans="1:21" s="1" customFormat="1" ht="96">
      <c r="A2171" s="69">
        <f>IF([14]PRIORIZADOS!A218="","",[14]PRIORIZADOS!A218)</f>
        <v>2139</v>
      </c>
      <c r="B2171" s="70">
        <f>IFERROR(IF(VLOOKUP(A2171,[14]PRIORIZADOS!$A:$B,2,FALSE)="","",VLOOKUP(A2171,[14]PRIORIZADOS!$A:$B,2,FALSE)),"")</f>
        <v>23</v>
      </c>
      <c r="C2171" s="11" t="s">
        <v>424</v>
      </c>
      <c r="D2171" s="11" t="str">
        <f>IFERROR(IF(VLOOKUP(A2171,[14]PRIORIZADOS!$A:$D,4,FALSE)="","",VLOOKUP(A2171,[14]PRIORIZADOS!$A:$D,4,FALSE)),"")</f>
        <v>PRIVADO</v>
      </c>
      <c r="E2171" s="11" t="str">
        <f>IFERROR(IF(VLOOKUP(A2171,[14]PRIORIZADOS!$A:$E,5,FALSE)="","",VLOOKUP(A2171,[14]PRIORIZADOS!$A:$E,5,FALSE)),"")</f>
        <v>EPBM</v>
      </c>
      <c r="F2171" s="11" t="str">
        <f>IFERROR(IF(VLOOKUP(A2171,[14]PRIORIZADOS!$A:$F,6,FALSE)="","",VLOOKUP(A2171,[14]PRIORIZADOS!$A:$F,6,FALSE)),"")</f>
        <v>GIMNASIO_ROMANO_MIXTO</v>
      </c>
      <c r="G2171" s="11" t="str">
        <f>IFERROR(IF(VLOOKUP(A2171,[14]PRIORIZADOS!$A:$G,7,FALSE)="","",VLOOKUP(A2171,[14]PRIORIZADOS!$A:$G,7,FALSE)),"")</f>
        <v>GIMNASIO ROMANO MIXTO</v>
      </c>
      <c r="H2171" s="11" t="str">
        <f>IFERROR(IF(VLOOKUP(A2171,[14]PRIORIZADOS!$A:$H,8,FALSE)="","",VLOOKUP(A2171,[14]PRIORIZADOS!$A:$H,8,FALSE)),"")</f>
        <v>Autoevaluación Institucional y Pruebas SABER 11</v>
      </c>
      <c r="I2171" s="11" t="str">
        <f>IFERROR(IF(VLOOKUP(A2171,[14]PRIORIZADOS!$A:$I,9,FALSE)="","",VLOOKUP(A2171,[14]PRIORIZADOS!$A:$I,9,FALSE)),"")</f>
        <v>EVALUACIÓN_CON_FINES_DE_MEJORAMIENTO.</v>
      </c>
      <c r="J2171" s="11" t="str">
        <f>IFERROR(IF(VLOOKUP(A2171,[14]PRIORIZADOS!$A:$J,10,FALSE)="","",VLOOKUP(A2171,[14]PRIORIZADOS!$A:$J,10,FALSE)),"")</f>
        <v>Verificar las condiciones en cuanto a: la estructura administrativa, condiciones de la planta física y medios educativos adecuados.</v>
      </c>
      <c r="K2171" s="11" t="str">
        <f>IFERROR(IF(VLOOKUP(A2171,[14]PRIORIZADOS!$A:$K,11,FALSE)="","",VLOOKUP(A2171,[14]PRIORIZADOS!$A:$K,11,FALSE)),"")</f>
        <v>GETULIO ALBERTO FLÓREZ MORENO</v>
      </c>
      <c r="L2171" s="11" t="str">
        <f>IFERROR(IF(VLOOKUP(A2171,[14]PRIORIZADOS!$A:$L,12,FALSE)="","",VLOOKUP(A2171,[14]PRIORIZADOS!$A:$L,12,FALSE)),"")</f>
        <v>JUAN MANUEL SANCHEZ MORA</v>
      </c>
      <c r="M2171" s="71">
        <f>IFERROR(IF(VLOOKUP(A2171,[14]PRIORIZADOS!$A:$M,13,FALSE)="","",VLOOKUP(A2171,[14]PRIORIZADOS!$A:$M,13,FALSE)),"")</f>
        <v>45720</v>
      </c>
      <c r="N2171" s="71">
        <f>IFERROR(IF(VLOOKUP(A2171,[14]PRIORIZADOS!$A:$N,14,FALSE)="","",VLOOKUP(A2171,[14]PRIORIZADOS!$A:$N,14,FALSE)),"")</f>
        <v>45919</v>
      </c>
      <c r="O2171" s="71">
        <f>IFERROR(IF(VLOOKUP(A2171,[14]PRIORIZADOS!$A:$O,15,FALSE)="","",VLOOKUP(A2171,[14]PRIORIZADOS!$A:$O,15,FALSE)),"")</f>
        <v>45919</v>
      </c>
      <c r="P2171" s="11" t="str">
        <f>IFERROR(IF(VLOOKUP(A2171,[14]PRIORIZADOS!$A:$P,16,FALSE)="","",VLOOKUP(A2171,[14]PRIORIZADOS!$A:$P,16,FALSE)),"")</f>
        <v>Visitas de evaluación con fines de mejoramiento</v>
      </c>
      <c r="Q2171" s="22" t="s">
        <v>447</v>
      </c>
      <c r="R2171" s="11" t="str">
        <f>IFERROR(IF(VLOOKUP(A2171,[14]PRIORIZADOS!$A:$R,18,FALSE)="","",VLOOKUP(A2171,[14]PRIORIZADOS!$A:$R,18,FALSE)),"")</f>
        <v>En en recorrido por las instalaciones se observa que un  edifico con 4 pisos, lo cual requiere de mantenimiento en la mayoría de espacios locativos.  De igual forma se eviencia que los baños deben ser mejorados y adecuados en buena medida. Se requiere mantenimiento del piso y pintura a nivel general.</v>
      </c>
      <c r="S2171" s="11" t="str">
        <f>IFERROR(IF(VLOOKUP(A2171,[14]PRIORIZADOS!$A:$S,19,FALSE)="","",VLOOKUP(A2171,[14]PRIORIZADOS!$A:$S,19,FALSE)),"")</f>
        <v>El colegio asume el compromiso de adelantar los mantenimientos locativos requeridos periódicamente, dando prioridad a los hallazgos que mayor potencialidad de ocasionar incidentes.</v>
      </c>
      <c r="T2171" s="70" t="str">
        <f>IFERROR(IF(VLOOKUP(A2171,[14]PRIORIZADOS!$A:$T,20,FALSE)="","",VLOOKUP(A2171,[14]PRIORIZADOS!$A:$T,20,FALSE)),"")</f>
        <v>Si</v>
      </c>
      <c r="U2171" s="11" t="str">
        <f>IFERROR(IF(VLOOKUP(A2171,[14]PRIORIZADOS!$A:$U,21,FALSE)="","",VLOOKUP(A2171,[14]PRIORIZADOS!$A:$U,21,FALSE)),"")</f>
        <v>Enviar informe con registro fotograficos de los espacios en óptimas condicidones.</v>
      </c>
    </row>
    <row r="2172" spans="1:21" s="1" customFormat="1" ht="48">
      <c r="A2172" s="69">
        <f>IF([14]PRIORIZADOS!A219="","",[14]PRIORIZADOS!A219)</f>
        <v>2140</v>
      </c>
      <c r="B2172" s="70">
        <f>IFERROR(IF(VLOOKUP(A2172,[14]PRIORIZADOS!$A:$B,2,FALSE)="","",VLOOKUP(A2172,[14]PRIORIZADOS!$A:$B,2,FALSE)),"")</f>
        <v>24</v>
      </c>
      <c r="C2172" s="11" t="s">
        <v>424</v>
      </c>
      <c r="D2172" s="11" t="str">
        <f>IFERROR(IF(VLOOKUP(A2172,[14]PRIORIZADOS!$A:$D,4,FALSE)="","",VLOOKUP(A2172,[14]PRIORIZADOS!$A:$D,4,FALSE)),"")</f>
        <v>PRIVADO</v>
      </c>
      <c r="E2172" s="11" t="str">
        <f>IFERROR(IF(VLOOKUP(A2172,[14]PRIORIZADOS!$A:$E,5,FALSE)="","",VLOOKUP(A2172,[14]PRIORIZADOS!$A:$E,5,FALSE)),"")</f>
        <v>EPBM</v>
      </c>
      <c r="F2172" s="11" t="str">
        <f>IFERROR(IF(VLOOKUP(A2172,[14]PRIORIZADOS!$A:$F,6,FALSE)="","",VLOOKUP(A2172,[14]PRIORIZADOS!$A:$F,6,FALSE)),"")</f>
        <v>LICEO_HOMERICO</v>
      </c>
      <c r="G2172" s="11" t="str">
        <f>IFERROR(IF(VLOOKUP(A2172,[14]PRIORIZADOS!$A:$G,7,FALSE)="","",VLOOKUP(A2172,[14]PRIORIZADOS!$A:$G,7,FALSE)),"")</f>
        <v>LICEO HOMERICO</v>
      </c>
      <c r="H2172" s="11" t="str">
        <f>IFERROR(IF(VLOOKUP(A2172,[14]PRIORIZADOS!$A:$H,8,FALSE)="","",VLOOKUP(A2172,[14]PRIORIZADOS!$A:$H,8,FALSE)),"")</f>
        <v>Autoevaluación Institucional y Pruebas SABER 11</v>
      </c>
      <c r="I2172" s="11" t="str">
        <f>IFERROR(IF(VLOOKUP(A2172,[14]PRIORIZADOS!$A:$I,9,FALSE)="","",VLOOKUP(A2172,[14]PRIORIZADOS!$A:$I,9,FALSE)),"")</f>
        <v>SEGUIMIENTO_Y_SUPERVISIÓN.</v>
      </c>
      <c r="J2172" s="11" t="str">
        <f>IFERROR(IF(VLOOKUP(A2172,[14]PRIORIZADOS!$A:$J,10,FALSE)="","",VLOOKUP(A2172,[14]PRIORIZADOS!$A:$J,10,FALSE)),"")</f>
        <v>Realizar visitas para verificar la información registrada sobre la autoevaluación institucional en el aplicativo EVI, a los establecimientos de educación formal no oficial.</v>
      </c>
      <c r="K2172" s="11" t="str">
        <f>IFERROR(IF(VLOOKUP(A2172,[14]PRIORIZADOS!$A:$K,11,FALSE)="","",VLOOKUP(A2172,[14]PRIORIZADOS!$A:$K,11,FALSE)),"")</f>
        <v>DANIEL ALEJANDRO GRANOBLES</v>
      </c>
      <c r="L2172" s="11" t="str">
        <f>IFERROR(IF(VLOOKUP(A2172,[14]PRIORIZADOS!$A:$L,12,FALSE)="","",VLOOKUP(A2172,[14]PRIORIZADOS!$A:$L,12,FALSE)),"")</f>
        <v>SANDRA OLINDA GONZÁLEZ REYES</v>
      </c>
      <c r="M2172" s="71">
        <f>IFERROR(IF(VLOOKUP(A2172,[14]PRIORIZADOS!$A:$M,13,FALSE)="","",VLOOKUP(A2172,[14]PRIORIZADOS!$A:$M,13,FALSE)),"")</f>
        <v>45873</v>
      </c>
      <c r="N2172" s="71">
        <f>IFERROR(IF(VLOOKUP(A2172,[14]PRIORIZADOS!$A:$N,14,FALSE)="","",VLOOKUP(A2172,[14]PRIORIZADOS!$A:$N,14,FALSE)),"")</f>
        <v>45765</v>
      </c>
      <c r="O2172" s="71">
        <f>IFERROR(IF(VLOOKUP(A2172,[14]PRIORIZADOS!$A:$O,15,FALSE)="","",VLOOKUP(A2172,[14]PRIORIZADOS!$A:$O,15,FALSE)),"")</f>
        <v>45765</v>
      </c>
      <c r="P2172" s="11" t="str">
        <f>IFERROR(IF(VLOOKUP(A2172,[14]PRIORIZADOS!$A:$P,16,FALSE)="","",VLOOKUP(A2172,[14]PRIORIZADOS!$A:$P,16,FALSE)),"")</f>
        <v>Visitas de evaluación con fines de seguimiento</v>
      </c>
      <c r="Q2172" s="253" t="s">
        <v>448</v>
      </c>
      <c r="R2172" s="11" t="str">
        <f>IFERROR(IF(VLOOKUP(A2172,[14]PRIORIZADOS!$A:$R,18,FALSE)="","",VLOOKUP(A2172,[14]PRIORIZADOS!$A:$R,18,FALSE)),"")</f>
        <v>Se evidencio que la institución registra la informacion en el EVI  en consonancia con la  prestación del servicio,conformidad a la normatividad vigente y aplicable</v>
      </c>
      <c r="S2172" s="11" t="str">
        <f>IFERROR(IF(VLOOKUP(A2172,[14]PRIORIZADOS!$A:$S,19,FALSE)="","",VLOOKUP(A2172,[14]PRIORIZADOS!$A:$S,19,FALSE)),"")</f>
        <v>Continuar con el cumplimiento de los indicadores prioritarios con respecto a la contratación , afiliación y pago de los aportes de SSI y llevar registros contables</v>
      </c>
      <c r="T2172" s="70" t="str">
        <f>IFERROR(IF(VLOOKUP(A2172,[14]PRIORIZADOS!$A:$T,20,FALSE)="","",VLOOKUP(A2172,[14]PRIORIZADOS!$A:$T,20,FALSE)),"")</f>
        <v>SI</v>
      </c>
      <c r="U2172" s="11" t="str">
        <f>IFERROR(IF(VLOOKUP(A2172,[14]PRIORIZADOS!$A:$U,21,FALSE)="","",VLOOKUP(A2172,[14]PRIORIZADOS!$A:$U,21,FALSE)),"")</f>
        <v>Verificar cumplimiento de proceso contractual integral del personal docente y administrativo</v>
      </c>
    </row>
    <row r="2173" spans="1:21" s="1" customFormat="1" ht="72">
      <c r="A2173" s="69">
        <f>IF([14]PRIORIZADOS!A220="","",[14]PRIORIZADOS!A220)</f>
        <v>2141</v>
      </c>
      <c r="B2173" s="70">
        <f>IFERROR(IF(VLOOKUP(A2173,[14]PRIORIZADOS!$A:$B,2,FALSE)="","",VLOOKUP(A2173,[14]PRIORIZADOS!$A:$B,2,FALSE)),"")</f>
        <v>24</v>
      </c>
      <c r="C2173" s="11" t="s">
        <v>424</v>
      </c>
      <c r="D2173" s="11" t="str">
        <f>IFERROR(IF(VLOOKUP(A2173,[14]PRIORIZADOS!$A:$D,4,FALSE)="","",VLOOKUP(A2173,[14]PRIORIZADOS!$A:$D,4,FALSE)),"")</f>
        <v>PRIVADO</v>
      </c>
      <c r="E2173" s="11" t="str">
        <f>IFERROR(IF(VLOOKUP(A2173,[14]PRIORIZADOS!$A:$E,5,FALSE)="","",VLOOKUP(A2173,[14]PRIORIZADOS!$A:$E,5,FALSE)),"")</f>
        <v>EPBM</v>
      </c>
      <c r="F2173" s="11" t="str">
        <f>IFERROR(IF(VLOOKUP(A2173,[14]PRIORIZADOS!$A:$F,6,FALSE)="","",VLOOKUP(A2173,[14]PRIORIZADOS!$A:$F,6,FALSE)),"")</f>
        <v>LICEO_HOMERICO</v>
      </c>
      <c r="G2173" s="11" t="str">
        <f>IFERROR(IF(VLOOKUP(A2173,[14]PRIORIZADOS!$A:$G,7,FALSE)="","",VLOOKUP(A2173,[14]PRIORIZADOS!$A:$G,7,FALSE)),"")</f>
        <v>LICEO HOMERICO</v>
      </c>
      <c r="H2173" s="11" t="str">
        <f>IFERROR(IF(VLOOKUP(A2173,[14]PRIORIZADOS!$A:$H,8,FALSE)="","",VLOOKUP(A2173,[14]PRIORIZADOS!$A:$H,8,FALSE)),"")</f>
        <v>Autoevaluación Institucional y Pruebas SABER 11</v>
      </c>
      <c r="I2173" s="11" t="str">
        <f>IFERROR(IF(VLOOKUP(A2173,[14]PRIORIZADOS!$A:$I,9,FALSE)="","",VLOOKUP(A2173,[14]PRIORIZADOS!$A:$I,9,FALSE)),"")</f>
        <v>SEGUIMIENTO_Y_SUPERVISIÓN.</v>
      </c>
      <c r="J2173" s="11" t="str">
        <f>IFERROR(IF(VLOOKUP(A2173,[14]PRIORIZADOS!$A:$J,10,FALSE)="","",VLOOKUP(A2173,[14]PRIORIZADOS!$A:$J,10,FALSE)),"")</f>
        <v>Proponer estrategias en la formulación, verificar su elaboración y realizar seguimiento semestral al desarrollo de  las acciones establecidas en los planes de mejoramiento por pruebas SABER 11 de los establecimientos de educación formal.</v>
      </c>
      <c r="K2173" s="11" t="str">
        <f>IFERROR(IF(VLOOKUP(A2173,[14]PRIORIZADOS!$A:$K,11,FALSE)="","",VLOOKUP(A2173,[14]PRIORIZADOS!$A:$K,11,FALSE)),"")</f>
        <v>DANIEL ALEJANDRO GRANOBLES</v>
      </c>
      <c r="L2173" s="11" t="str">
        <f>IFERROR(IF(VLOOKUP(A2173,[14]PRIORIZADOS!$A:$L,12,FALSE)="","",VLOOKUP(A2173,[14]PRIORIZADOS!$A:$L,12,FALSE)),"")</f>
        <v>SANDRA OLINDA GONZÁLEZ REYES</v>
      </c>
      <c r="M2173" s="71">
        <f>IFERROR(IF(VLOOKUP(A2173,[14]PRIORIZADOS!$A:$M,13,FALSE)="","",VLOOKUP(A2173,[14]PRIORIZADOS!$A:$M,13,FALSE)),"")</f>
        <v>45873</v>
      </c>
      <c r="N2173" s="71">
        <f>IFERROR(IF(VLOOKUP(A2173,[14]PRIORIZADOS!$A:$N,14,FALSE)="","",VLOOKUP(A2173,[14]PRIORIZADOS!$A:$N,14,FALSE)),"")</f>
        <v>45765</v>
      </c>
      <c r="O2173" s="71">
        <f>IFERROR(IF(VLOOKUP(A2173,[14]PRIORIZADOS!$A:$O,15,FALSE)="","",VLOOKUP(A2173,[14]PRIORIZADOS!$A:$O,15,FALSE)),"")</f>
        <v>45765</v>
      </c>
      <c r="P2173" s="11" t="str">
        <f>IFERROR(IF(VLOOKUP(A2173,[14]PRIORIZADOS!$A:$P,16,FALSE)="","",VLOOKUP(A2173,[14]PRIORIZADOS!$A:$P,16,FALSE)),"")</f>
        <v>Visitas de evaluación con fines de seguimiento</v>
      </c>
      <c r="Q2173" s="7" t="s">
        <v>448</v>
      </c>
      <c r="R2173" s="11" t="str">
        <f>IFERROR(IF(VLOOKUP(A2173,[14]PRIORIZADOS!$A:$R,18,FALSE)="","",VLOOKUP(A2173,[14]PRIORIZADOS!$A:$R,18,FALSE)),"")</f>
        <v>Se realizó retoralimentacion sobre las estrategias pedagogicas implementadas , el uso de materiales y es necesario que el colegio realice una intervención al plan de estudios y los procesos de evalaución externa</v>
      </c>
      <c r="S2173" s="11" t="str">
        <f>IFERROR(IF(VLOOKUP(A2173,[14]PRIORIZADOS!$A:$S,19,FALSE)="","",VLOOKUP(A2173,[14]PRIORIZADOS!$A:$S,19,FALSE)),"")</f>
        <v xml:space="preserve">Realizar seguimiento a la estrategia implementada con el propsoito de fortalecer los resultados en las pruebas externas </v>
      </c>
      <c r="T2173" s="70" t="str">
        <f>IFERROR(IF(VLOOKUP(A2173,[14]PRIORIZADOS!$A:$T,20,FALSE)="","",VLOOKUP(A2173,[14]PRIORIZADOS!$A:$T,20,FALSE)),"")</f>
        <v>Si</v>
      </c>
      <c r="U2173" s="11" t="str">
        <f>IFERROR(IF(VLOOKUP(A2173,[14]PRIORIZADOS!$A:$U,21,FALSE)="","",VLOOKUP(A2173,[14]PRIORIZADOS!$A:$U,21,FALSE)),"")</f>
        <v>Realizar seguimiento al plan de mejoramiento propuesto</v>
      </c>
    </row>
    <row r="2174" spans="1:21" s="1" customFormat="1" ht="72">
      <c r="A2174" s="69">
        <f>IF([14]PRIORIZADOS!A221="","",[14]PRIORIZADOS!A221)</f>
        <v>2142</v>
      </c>
      <c r="B2174" s="70">
        <f>IFERROR(IF(VLOOKUP(A2174,[14]PRIORIZADOS!$A:$B,2,FALSE)="","",VLOOKUP(A2174,[14]PRIORIZADOS!$A:$B,2,FALSE)),"")</f>
        <v>24</v>
      </c>
      <c r="C2174" s="11" t="s">
        <v>424</v>
      </c>
      <c r="D2174" s="11" t="str">
        <f>IFERROR(IF(VLOOKUP(A2174,[14]PRIORIZADOS!$A:$D,4,FALSE)="","",VLOOKUP(A2174,[14]PRIORIZADOS!$A:$D,4,FALSE)),"")</f>
        <v>PRIVADO</v>
      </c>
      <c r="E2174" s="11" t="str">
        <f>IFERROR(IF(VLOOKUP(A2174,[14]PRIORIZADOS!$A:$E,5,FALSE)="","",VLOOKUP(A2174,[14]PRIORIZADOS!$A:$E,5,FALSE)),"")</f>
        <v>EPBM</v>
      </c>
      <c r="F2174" s="11" t="str">
        <f>IFERROR(IF(VLOOKUP(A2174,[14]PRIORIZADOS!$A:$F,6,FALSE)="","",VLOOKUP(A2174,[14]PRIORIZADOS!$A:$F,6,FALSE)),"")</f>
        <v>LICEO_HOMERICO</v>
      </c>
      <c r="G2174" s="11" t="str">
        <f>IFERROR(IF(VLOOKUP(A2174,[14]PRIORIZADOS!$A:$G,7,FALSE)="","",VLOOKUP(A2174,[14]PRIORIZADOS!$A:$G,7,FALSE)),"")</f>
        <v>LICEO HOMERICO</v>
      </c>
      <c r="H2174" s="11" t="str">
        <f>IFERROR(IF(VLOOKUP(A2174,[14]PRIORIZADOS!$A:$H,8,FALSE)="","",VLOOKUP(A2174,[14]PRIORIZADOS!$A:$H,8,FALSE)),"")</f>
        <v>Autoevaluación Institucional y Pruebas SABER 11</v>
      </c>
      <c r="I2174" s="11" t="str">
        <f>IFERROR(IF(VLOOKUP(A2174,[14]PRIORIZADOS!$A:$I,9,FALSE)="","",VLOOKUP(A2174,[14]PRIORIZADOS!$A:$I,9,FALSE)),"")</f>
        <v>SEGUIMIENTO_Y_SUPERVISIÓN.</v>
      </c>
      <c r="J2174" s="11" t="str">
        <f>IFERROR(IF(VLOOKUP(A2174,[14]PRIORIZADOS!$A:$J,10,FALSE)="","",VLOOKUP(A2174,[14]PRIORIZADOS!$A:$J,10,FALSE)),"")</f>
        <v xml:space="preserve">Verificar la implementación por parte de los colegios, de acciones realizadas para la prevención y atención de las situaciones de convivencia en el entorno escolar, según lo establecido en la Directiva 01 de 2022 del MEN. </v>
      </c>
      <c r="K2174" s="11" t="str">
        <f>IFERROR(IF(VLOOKUP(A2174,[14]PRIORIZADOS!$A:$K,11,FALSE)="","",VLOOKUP(A2174,[14]PRIORIZADOS!$A:$K,11,FALSE)),"")</f>
        <v>DANIEL ALEJANDRO GRANOBLES</v>
      </c>
      <c r="L2174" s="11" t="str">
        <f>IFERROR(IF(VLOOKUP(A2174,[14]PRIORIZADOS!$A:$L,12,FALSE)="","",VLOOKUP(A2174,[14]PRIORIZADOS!$A:$L,12,FALSE)),"")</f>
        <v>SANDRA OLINDA GONZÁLEZ REYES</v>
      </c>
      <c r="M2174" s="71">
        <f>IFERROR(IF(VLOOKUP(A2174,[14]PRIORIZADOS!$A:$M,13,FALSE)="","",VLOOKUP(A2174,[14]PRIORIZADOS!$A:$M,13,FALSE)),"")</f>
        <v>45873</v>
      </c>
      <c r="N2174" s="71">
        <f>IFERROR(IF(VLOOKUP(A2174,[14]PRIORIZADOS!$A:$N,14,FALSE)="","",VLOOKUP(A2174,[14]PRIORIZADOS!$A:$N,14,FALSE)),"")</f>
        <v>45765</v>
      </c>
      <c r="O2174" s="71">
        <f>IFERROR(IF(VLOOKUP(A2174,[14]PRIORIZADOS!$A:$O,15,FALSE)="","",VLOOKUP(A2174,[14]PRIORIZADOS!$A:$O,15,FALSE)),"")</f>
        <v>45765</v>
      </c>
      <c r="P2174" s="11" t="str">
        <f>IFERROR(IF(VLOOKUP(A2174,[14]PRIORIZADOS!$A:$P,16,FALSE)="","",VLOOKUP(A2174,[14]PRIORIZADOS!$A:$P,16,FALSE)),"")</f>
        <v>Visitas de evaluación con fines de seguimiento</v>
      </c>
      <c r="Q2174" s="7" t="s">
        <v>448</v>
      </c>
      <c r="R2174" s="11" t="str">
        <f>IFERROR(IF(VLOOKUP(A2174,[14]PRIORIZADOS!$A:$R,18,FALSE)="","",VLOOKUP(A2174,[14]PRIORIZADOS!$A:$R,18,FALSE)),"")</f>
        <v>Se solicitó el soporte de la consulta realizada en la página de la policia de los antecedentes de delitos sexuales en las hojas de vida del personal contratado de conformidad a la directiva  001 del 2022 y no se encontró dicha consulta</v>
      </c>
      <c r="S2174" s="11" t="str">
        <f>IFERROR(IF(VLOOKUP(A2174,[14]PRIORIZADOS!$A:$S,19,FALSE)="","",VLOOKUP(A2174,[14]PRIORIZADOS!$A:$S,19,FALSE)),"")</f>
        <v>Realizar las consultas en la página de la Policía de todos los funcionarios de la institución y anexarla a la hoja de vida.  Elaborar plan de mejoramiento sobre todos los indicadores y remitirlo a la DLE el 30 de junio de 2025</v>
      </c>
      <c r="T2174" s="70" t="str">
        <f>IFERROR(IF(VLOOKUP(A2174,[14]PRIORIZADOS!$A:$T,20,FALSE)="","",VLOOKUP(A2174,[14]PRIORIZADOS!$A:$T,20,FALSE)),"")</f>
        <v>si</v>
      </c>
      <c r="U2174" s="11" t="str">
        <f>IFERROR(IF(VLOOKUP(A2174,[14]PRIORIZADOS!$A:$U,21,FALSE)="","",VLOOKUP(A2174,[14]PRIORIZADOS!$A:$U,21,FALSE)),"")</f>
        <v>Verificar las consultas de antecedentes de los empledos y remitirlas en el plan de mejoramiento</v>
      </c>
    </row>
    <row r="2175" spans="1:21" s="1" customFormat="1" ht="72">
      <c r="A2175" s="69">
        <f>IF([14]PRIORIZADOS!A222="","",[14]PRIORIZADOS!A222)</f>
        <v>2143</v>
      </c>
      <c r="B2175" s="70">
        <f>IFERROR(IF(VLOOKUP(A2175,[14]PRIORIZADOS!$A:$B,2,FALSE)="","",VLOOKUP(A2175,[14]PRIORIZADOS!$A:$B,2,FALSE)),"")</f>
        <v>24</v>
      </c>
      <c r="C2175" s="11" t="s">
        <v>424</v>
      </c>
      <c r="D2175" s="11" t="str">
        <f>IFERROR(IF(VLOOKUP(A2175,[14]PRIORIZADOS!$A:$D,4,FALSE)="","",VLOOKUP(A2175,[14]PRIORIZADOS!$A:$D,4,FALSE)),"")</f>
        <v>PRIVADO</v>
      </c>
      <c r="E2175" s="11" t="str">
        <f>IFERROR(IF(VLOOKUP(A2175,[14]PRIORIZADOS!$A:$E,5,FALSE)="","",VLOOKUP(A2175,[14]PRIORIZADOS!$A:$E,5,FALSE)),"")</f>
        <v>EPBM</v>
      </c>
      <c r="F2175" s="11" t="str">
        <f>IFERROR(IF(VLOOKUP(A2175,[14]PRIORIZADOS!$A:$F,6,FALSE)="","",VLOOKUP(A2175,[14]PRIORIZADOS!$A:$F,6,FALSE)),"")</f>
        <v>LICEO_HOMERICO</v>
      </c>
      <c r="G2175" s="11" t="str">
        <f>IFERROR(IF(VLOOKUP(A2175,[14]PRIORIZADOS!$A:$G,7,FALSE)="","",VLOOKUP(A2175,[14]PRIORIZADOS!$A:$G,7,FALSE)),"")</f>
        <v>LICEO HOMERICO</v>
      </c>
      <c r="H2175" s="11" t="str">
        <f>IFERROR(IF(VLOOKUP(A2175,[14]PRIORIZADOS!$A:$H,8,FALSE)="","",VLOOKUP(A2175,[14]PRIORIZADOS!$A:$H,8,FALSE)),"")</f>
        <v>Autoevaluación Institucional y Pruebas SABER 11</v>
      </c>
      <c r="I2175" s="11" t="str">
        <f>IFERROR(IF(VLOOKUP(A2175,[14]PRIORIZADOS!$A:$I,9,FALSE)="","",VLOOKUP(A2175,[14]PRIORIZADOS!$A:$I,9,FALSE)),"")</f>
        <v>SEGUIMIENTO_Y_SUPERVISIÓN.</v>
      </c>
      <c r="J2175" s="11" t="str">
        <f>IFERROR(IF(VLOOKUP(A2175,[14]PRIORIZADOS!$A:$J,10,FALSE)="","",VLOOKUP(A2175,[14]PRIORIZADOS!$A:$J,10,FALSE)),"")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75" s="11" t="str">
        <f>IFERROR(IF(VLOOKUP(A2175,[14]PRIORIZADOS!$A:$K,11,FALSE)="","",VLOOKUP(A2175,[14]PRIORIZADOS!$A:$K,11,FALSE)),"")</f>
        <v>DANIEL ALEJANDRO GRANOBLES</v>
      </c>
      <c r="L2175" s="11" t="str">
        <f>IFERROR(IF(VLOOKUP(A2175,[14]PRIORIZADOS!$A:$L,12,FALSE)="","",VLOOKUP(A2175,[14]PRIORIZADOS!$A:$L,12,FALSE)),"")</f>
        <v>SANDRA OLINDA GONZÁLEZ REYES</v>
      </c>
      <c r="M2175" s="71">
        <f>IFERROR(IF(VLOOKUP(A2175,[14]PRIORIZADOS!$A:$M,13,FALSE)="","",VLOOKUP(A2175,[14]PRIORIZADOS!$A:$M,13,FALSE)),"")</f>
        <v>45873</v>
      </c>
      <c r="N2175" s="71">
        <f>IFERROR(IF(VLOOKUP(A2175,[14]PRIORIZADOS!$A:$N,14,FALSE)="","",VLOOKUP(A2175,[14]PRIORIZADOS!$A:$N,14,FALSE)),"")</f>
        <v>45765</v>
      </c>
      <c r="O2175" s="71">
        <f>IFERROR(IF(VLOOKUP(A2175,[14]PRIORIZADOS!$A:$O,15,FALSE)="","",VLOOKUP(A2175,[14]PRIORIZADOS!$A:$O,15,FALSE)),"")</f>
        <v>45765</v>
      </c>
      <c r="P2175" s="11" t="str">
        <f>IFERROR(IF(VLOOKUP(A2175,[14]PRIORIZADOS!$A:$P,16,FALSE)="","",VLOOKUP(A2175,[14]PRIORIZADOS!$A:$P,16,FALSE)),"")</f>
        <v>Visitas de evaluación con fines de seguimiento</v>
      </c>
      <c r="Q2175" s="7" t="s">
        <v>448</v>
      </c>
      <c r="R2175" s="11" t="str">
        <f>IFERROR(IF(VLOOKUP(A2175,[14]PRIORIZADOS!$A:$R,18,FALSE)="","",VLOOKUP(A2175,[14]PRIORIZADOS!$A:$R,18,FALSE)),"")</f>
        <v xml:space="preserve">Se realizó consulta en el SIMAT encontrándose el no registro de  estudiantes de inlusión, sin embago al momento de la visita el rector informa que no se atiende población en inclusión,  </v>
      </c>
      <c r="S2175" s="11" t="str">
        <f>IFERROR(IF(VLOOKUP(A2175,[14]PRIORIZADOS!$A:$S,19,FALSE)="","",VLOOKUP(A2175,[14]PRIORIZADOS!$A:$S,19,FALSE)),"")</f>
        <v xml:space="preserve">
Debe de realizarse  actualización del Manual de Convivencia para incorporar los enfoques diferenciales e inclusivo en el marco del Decreto 1421 de 2017</v>
      </c>
      <c r="T2175" s="70" t="str">
        <f>IFERROR(IF(VLOOKUP(A2175,[14]PRIORIZADOS!$A:$T,20,FALSE)="","",VLOOKUP(A2175,[14]PRIORIZADOS!$A:$T,20,FALSE)),"")</f>
        <v>Si</v>
      </c>
      <c r="U2175" s="11" t="str">
        <f>IFERROR(IF(VLOOKUP(A2175,[14]PRIORIZADOS!$A:$U,21,FALSE)="","",VLOOKUP(A2175,[14]PRIORIZADOS!$A:$U,21,FALSE)),"")</f>
        <v>Verificar las modificaciones en manual de convivencia respecto a la poblacion con discapacidad.con fecha 30 de junio</v>
      </c>
    </row>
    <row r="2176" spans="1:21" s="1" customFormat="1" ht="84">
      <c r="A2176" s="69">
        <f>IF([14]PRIORIZADOS!A223="","",[14]PRIORIZADOS!A223)</f>
        <v>2144</v>
      </c>
      <c r="B2176" s="70">
        <f>IFERROR(IF(VLOOKUP(A2176,[14]PRIORIZADOS!$A:$B,2,FALSE)="","",VLOOKUP(A2176,[14]PRIORIZADOS!$A:$B,2,FALSE)),"")</f>
        <v>24</v>
      </c>
      <c r="C2176" s="11" t="s">
        <v>424</v>
      </c>
      <c r="D2176" s="11" t="str">
        <f>IFERROR(IF(VLOOKUP(A2176,[14]PRIORIZADOS!$A:$D,4,FALSE)="","",VLOOKUP(A2176,[14]PRIORIZADOS!$A:$D,4,FALSE)),"")</f>
        <v>PRIVADO</v>
      </c>
      <c r="E2176" s="11" t="str">
        <f>IFERROR(IF(VLOOKUP(A2176,[14]PRIORIZADOS!$A:$E,5,FALSE)="","",VLOOKUP(A2176,[14]PRIORIZADOS!$A:$E,5,FALSE)),"")</f>
        <v>EPBM</v>
      </c>
      <c r="F2176" s="11" t="str">
        <f>IFERROR(IF(VLOOKUP(A2176,[14]PRIORIZADOS!$A:$F,6,FALSE)="","",VLOOKUP(A2176,[14]PRIORIZADOS!$A:$F,6,FALSE)),"")</f>
        <v>LICEO_HOMERICO</v>
      </c>
      <c r="G2176" s="11" t="str">
        <f>IFERROR(IF(VLOOKUP(A2176,[14]PRIORIZADOS!$A:$G,7,FALSE)="","",VLOOKUP(A2176,[14]PRIORIZADOS!$A:$G,7,FALSE)),"")</f>
        <v>LICEO HOMERICO</v>
      </c>
      <c r="H2176" s="11" t="str">
        <f>IFERROR(IF(VLOOKUP(A2176,[14]PRIORIZADOS!$A:$H,8,FALSE)="","",VLOOKUP(A2176,[14]PRIORIZADOS!$A:$H,8,FALSE)),"")</f>
        <v>Autoevaluación Institucional y Pruebas SABER 11</v>
      </c>
      <c r="I2176" s="11" t="str">
        <f>IFERROR(IF(VLOOKUP(A2176,[14]PRIORIZADOS!$A:$I,9,FALSE)="","",VLOOKUP(A2176,[14]PRIORIZADOS!$A:$I,9,FALSE)),"")</f>
        <v>EVALUACIÓN_CON_FINES_DE_MEJORAMIENTO.</v>
      </c>
      <c r="J2176" s="11" t="str">
        <f>IFERROR(IF(VLOOKUP(A2176,[14]PRIORIZADOS!$A:$J,10,FALSE)="","",VLOOKUP(A2176,[14]PRIORIZADOS!$A:$J,10,FALSE)),"")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76" s="11" t="str">
        <f>IFERROR(IF(VLOOKUP(A2176,[14]PRIORIZADOS!$A:$K,11,FALSE)="","",VLOOKUP(A2176,[14]PRIORIZADOS!$A:$K,11,FALSE)),"")</f>
        <v>DANIEL ALEJANDRO GRANOBLES</v>
      </c>
      <c r="L2176" s="11" t="str">
        <f>IFERROR(IF(VLOOKUP(A2176,[14]PRIORIZADOS!$A:$L,12,FALSE)="","",VLOOKUP(A2176,[14]PRIORIZADOS!$A:$L,12,FALSE)),"")</f>
        <v>SANDRA OLINDA GONZÁLEZ REYES</v>
      </c>
      <c r="M2176" s="71">
        <f>IFERROR(IF(VLOOKUP(A2176,[14]PRIORIZADOS!$A:$M,13,FALSE)="","",VLOOKUP(A2176,[14]PRIORIZADOS!$A:$M,13,FALSE)),"")</f>
        <v>45873</v>
      </c>
      <c r="N2176" s="71">
        <f>IFERROR(IF(VLOOKUP(A2176,[14]PRIORIZADOS!$A:$N,14,FALSE)="","",VLOOKUP(A2176,[14]PRIORIZADOS!$A:$N,14,FALSE)),"")</f>
        <v>45766</v>
      </c>
      <c r="O2176" s="71">
        <f>IFERROR(IF(VLOOKUP(A2176,[14]PRIORIZADOS!$A:$O,15,FALSE)="","",VLOOKUP(A2176,[14]PRIORIZADOS!$A:$O,15,FALSE)),"")</f>
        <v>45766</v>
      </c>
      <c r="P2176" s="11" t="str">
        <f>IFERROR(IF(VLOOKUP(A2176,[14]PRIORIZADOS!$A:$P,16,FALSE)="","",VLOOKUP(A2176,[14]PRIORIZADOS!$A:$P,16,FALSE)),"")</f>
        <v>Visitas de evaluación con fines de mejoramiento</v>
      </c>
      <c r="Q2176" s="7" t="s">
        <v>448</v>
      </c>
      <c r="R2176" s="11" t="str">
        <f>IFERROR(IF(VLOOKUP(A2176,[14]PRIORIZADOS!$A:$R,18,FALSE)="","",VLOOKUP(A2176,[14]PRIORIZADOS!$A:$R,18,FALSE)),"")</f>
        <v>El manual de convivencia se encuentra en proceso de actualización, presentación a la comunidad educativa para su aprobación</v>
      </c>
      <c r="S2176" s="11" t="str">
        <f>IFERROR(IF(VLOOKUP(A2176,[14]PRIORIZADOS!$A:$S,19,FALSE)="","",VLOOKUP(A2176,[14]PRIORIZADOS!$A:$S,19,FALSE)),"")</f>
        <v>Debe ser enviado para su revisión a fecha 30 de junio de 2025</v>
      </c>
      <c r="T2176" s="70" t="str">
        <f>IFERROR(IF(VLOOKUP(A2176,[14]PRIORIZADOS!$A:$T,20,FALSE)="","",VLOOKUP(A2176,[14]PRIORIZADOS!$A:$T,20,FALSE)),"")</f>
        <v>Si</v>
      </c>
      <c r="U2176" s="11" t="str">
        <f>IFERROR(IF(VLOOKUP(A2176,[14]PRIORIZADOS!$A:$U,21,FALSE)="","",VLOOKUP(A2176,[14]PRIORIZADOS!$A:$U,21,FALSE)),"")</f>
        <v>Revisión del manual de convivencia y retroalimentación al colegio</v>
      </c>
    </row>
    <row r="2177" spans="1:21" s="1" customFormat="1" ht="60">
      <c r="A2177" s="69">
        <f>IF([14]PRIORIZADOS!A224="","",[14]PRIORIZADOS!A224)</f>
        <v>2145</v>
      </c>
      <c r="B2177" s="70">
        <f>IFERROR(IF(VLOOKUP(A2177,[14]PRIORIZADOS!$A:$B,2,FALSE)="","",VLOOKUP(A2177,[14]PRIORIZADOS!$A:$B,2,FALSE)),"")</f>
        <v>24</v>
      </c>
      <c r="C2177" s="11" t="s">
        <v>424</v>
      </c>
      <c r="D2177" s="11" t="str">
        <f>IFERROR(IF(VLOOKUP(A2177,[14]PRIORIZADOS!$A:$D,4,FALSE)="","",VLOOKUP(A2177,[14]PRIORIZADOS!$A:$D,4,FALSE)),"")</f>
        <v>PRIVADO</v>
      </c>
      <c r="E2177" s="11" t="str">
        <f>IFERROR(IF(VLOOKUP(A2177,[14]PRIORIZADOS!$A:$E,5,FALSE)="","",VLOOKUP(A2177,[14]PRIORIZADOS!$A:$E,5,FALSE)),"")</f>
        <v>EPBM</v>
      </c>
      <c r="F2177" s="11" t="str">
        <f>IFERROR(IF(VLOOKUP(A2177,[14]PRIORIZADOS!$A:$F,6,FALSE)="","",VLOOKUP(A2177,[14]PRIORIZADOS!$A:$F,6,FALSE)),"")</f>
        <v>LICEO_HOMERICO</v>
      </c>
      <c r="G2177" s="11" t="str">
        <f>IFERROR(IF(VLOOKUP(A2177,[14]PRIORIZADOS!$A:$G,7,FALSE)="","",VLOOKUP(A2177,[14]PRIORIZADOS!$A:$G,7,FALSE)),"")</f>
        <v>LICEO HOMERICO</v>
      </c>
      <c r="H2177" s="11" t="str">
        <f>IFERROR(IF(VLOOKUP(A2177,[14]PRIORIZADOS!$A:$H,8,FALSE)="","",VLOOKUP(A2177,[14]PRIORIZADOS!$A:$H,8,FALSE)),"")</f>
        <v>Autoevaluación Institucional y Pruebas SABER 11</v>
      </c>
      <c r="I2177" s="11" t="str">
        <f>IFERROR(IF(VLOOKUP(A2177,[14]PRIORIZADOS!$A:$I,9,FALSE)="","",VLOOKUP(A2177,[14]PRIORIZADOS!$A:$I,9,FALSE)),"")</f>
        <v>EVALUACIÓN_CON_FINES_DE_MEJORAMIENTO.</v>
      </c>
      <c r="J2177" s="11" t="str">
        <f>IFERROR(IF(VLOOKUP(A2177,[14]PRIORIZADOS!$A:$J,10,FALSE)="","",VLOOKUP(A2177,[14]PRIORIZADOS!$A:$J,10,FALSE)),"")</f>
        <v>Revisar la actualización, socialización e implementación del Sistema Institucional de Evaluación de Estudiantes - SIEE, en articulación con la actualización del PEI y la normatividad vigente.</v>
      </c>
      <c r="K2177" s="11" t="str">
        <f>IFERROR(IF(VLOOKUP(A2177,[14]PRIORIZADOS!$A:$K,11,FALSE)="","",VLOOKUP(A2177,[14]PRIORIZADOS!$A:$K,11,FALSE)),"")</f>
        <v>DANIEL ALEJANDRO GRANOBLES</v>
      </c>
      <c r="L2177" s="11" t="str">
        <f>IFERROR(IF(VLOOKUP(A2177,[14]PRIORIZADOS!$A:$L,12,FALSE)="","",VLOOKUP(A2177,[14]PRIORIZADOS!$A:$L,12,FALSE)),"")</f>
        <v>SANDRA OLINDA GONZÁLEZ REYES</v>
      </c>
      <c r="M2177" s="71">
        <f>IFERROR(IF(VLOOKUP(A2177,[14]PRIORIZADOS!$A:$M,13,FALSE)="","",VLOOKUP(A2177,[14]PRIORIZADOS!$A:$M,13,FALSE)),"")</f>
        <v>45873</v>
      </c>
      <c r="N2177" s="71">
        <f>IFERROR(IF(VLOOKUP(A2177,[14]PRIORIZADOS!$A:$N,14,FALSE)="","",VLOOKUP(A2177,[14]PRIORIZADOS!$A:$N,14,FALSE)),"")</f>
        <v>45766</v>
      </c>
      <c r="O2177" s="71">
        <f>IFERROR(IF(VLOOKUP(A2177,[14]PRIORIZADOS!$A:$O,15,FALSE)="","",VLOOKUP(A2177,[14]PRIORIZADOS!$A:$O,15,FALSE)),"")</f>
        <v>45766</v>
      </c>
      <c r="P2177" s="11" t="str">
        <f>IFERROR(IF(VLOOKUP(A2177,[14]PRIORIZADOS!$A:$P,16,FALSE)="","",VLOOKUP(A2177,[14]PRIORIZADOS!$A:$P,16,FALSE)),"")</f>
        <v>Visitas de evaluación con fines de mejoramiento</v>
      </c>
      <c r="Q2177" s="7" t="s">
        <v>448</v>
      </c>
      <c r="R2177" s="11" t="str">
        <f>IFERROR(IF(VLOOKUP(A2177,[14]PRIORIZADOS!$A:$R,18,FALSE)="","",VLOOKUP(A2177,[14]PRIORIZADOS!$A:$R,18,FALSE)),"")</f>
        <v>Se realizó retroalimentación sobre  el SIEE, el cual no está en consonancia con el PEI, asi mismo se observa que debe ajustar la escala de valoración para que coincida con las certificaciones expedidas.</v>
      </c>
      <c r="S2177" s="11" t="str">
        <f>IFERROR(IF(VLOOKUP(A2177,[14]PRIORIZADOS!$A:$S,19,FALSE)="","",VLOOKUP(A2177,[14]PRIORIZADOS!$A:$S,19,FALSE)),"")</f>
        <v>Realizar los ajustes de conformidad con las observaciones al SIIE realizada sen la visita</v>
      </c>
      <c r="T2177" s="70" t="str">
        <f>IFERROR(IF(VLOOKUP(A2177,[14]PRIORIZADOS!$A:$T,20,FALSE)="","",VLOOKUP(A2177,[14]PRIORIZADOS!$A:$T,20,FALSE)),"")</f>
        <v>Si</v>
      </c>
      <c r="U2177" s="11" t="str">
        <f>IFERROR(IF(VLOOKUP(A2177,[14]PRIORIZADOS!$A:$U,21,FALSE)="","",VLOOKUP(A2177,[14]PRIORIZADOS!$A:$U,21,FALSE)),"")</f>
        <v>Revisar la actualización del manual de convivencia en lo relacionado con el  SIIE con fecha 30 de junio</v>
      </c>
    </row>
    <row r="2178" spans="1:21" s="1" customFormat="1" ht="48">
      <c r="A2178" s="69">
        <f>IF([14]PRIORIZADOS!A225="","",[14]PRIORIZADOS!A225)</f>
        <v>2146</v>
      </c>
      <c r="B2178" s="70">
        <f>IFERROR(IF(VLOOKUP(A2178,[14]PRIORIZADOS!$A:$B,2,FALSE)="","",VLOOKUP(A2178,[14]PRIORIZADOS!$A:$B,2,FALSE)),"")</f>
        <v>24</v>
      </c>
      <c r="C2178" s="11" t="s">
        <v>424</v>
      </c>
      <c r="D2178" s="11" t="str">
        <f>IFERROR(IF(VLOOKUP(A2178,[14]PRIORIZADOS!$A:$D,4,FALSE)="","",VLOOKUP(A2178,[14]PRIORIZADOS!$A:$D,4,FALSE)),"")</f>
        <v>PRIVADO</v>
      </c>
      <c r="E2178" s="11" t="str">
        <f>IFERROR(IF(VLOOKUP(A2178,[14]PRIORIZADOS!$A:$E,5,FALSE)="","",VLOOKUP(A2178,[14]PRIORIZADOS!$A:$E,5,FALSE)),"")</f>
        <v>EPBM</v>
      </c>
      <c r="F2178" s="11" t="str">
        <f>IFERROR(IF(VLOOKUP(A2178,[14]PRIORIZADOS!$A:$F,6,FALSE)="","",VLOOKUP(A2178,[14]PRIORIZADOS!$A:$F,6,FALSE)),"")</f>
        <v>LICEO_HOMERICO</v>
      </c>
      <c r="G2178" s="11" t="str">
        <f>IFERROR(IF(VLOOKUP(A2178,[14]PRIORIZADOS!$A:$G,7,FALSE)="","",VLOOKUP(A2178,[14]PRIORIZADOS!$A:$G,7,FALSE)),"")</f>
        <v>LICEO HOMERICO</v>
      </c>
      <c r="H2178" s="11" t="str">
        <f>IFERROR(IF(VLOOKUP(A2178,[14]PRIORIZADOS!$A:$H,8,FALSE)="","",VLOOKUP(A2178,[14]PRIORIZADOS!$A:$H,8,FALSE)),"")</f>
        <v>Autoevaluación Institucional y Pruebas SABER 11</v>
      </c>
      <c r="I2178" s="11" t="str">
        <f>IFERROR(IF(VLOOKUP(A2178,[14]PRIORIZADOS!$A:$I,9,FALSE)="","",VLOOKUP(A2178,[14]PRIORIZADOS!$A:$I,9,FALSE)),"")</f>
        <v>EVALUACIÓN_CON_FINES_DE_MEJORAMIENTO.</v>
      </c>
      <c r="J2178" s="11" t="str">
        <f>IFERROR(IF(VLOOKUP(A2178,[14]PRIORIZADOS!$A:$J,10,FALSE)="","",VLOOKUP(A2178,[14]PRIORIZADOS!$A:$J,10,FALSE)),"")</f>
        <v>Revisar el calendario escolar, jornada escolar, la intensidad horaria mínima anual en cada nivel y las modificaciones que se realicen al mismo, de acuerdo con lo previsto en la normatividad vigente.</v>
      </c>
      <c r="K2178" s="11" t="str">
        <f>IFERROR(IF(VLOOKUP(A2178,[14]PRIORIZADOS!$A:$K,11,FALSE)="","",VLOOKUP(A2178,[14]PRIORIZADOS!$A:$K,11,FALSE)),"")</f>
        <v>DANIEL ALEJANDRO GRANOBLES</v>
      </c>
      <c r="L2178" s="11" t="str">
        <f>IFERROR(IF(VLOOKUP(A2178,[14]PRIORIZADOS!$A:$L,12,FALSE)="","",VLOOKUP(A2178,[14]PRIORIZADOS!$A:$L,12,FALSE)),"")</f>
        <v>SANDRA OLINDA GONZÁLEZ REYES</v>
      </c>
      <c r="M2178" s="71">
        <f>IFERROR(IF(VLOOKUP(A2178,[14]PRIORIZADOS!$A:$M,13,FALSE)="","",VLOOKUP(A2178,[14]PRIORIZADOS!$A:$M,13,FALSE)),"")</f>
        <v>45873</v>
      </c>
      <c r="N2178" s="71">
        <f>IFERROR(IF(VLOOKUP(A2178,[14]PRIORIZADOS!$A:$N,14,FALSE)="","",VLOOKUP(A2178,[14]PRIORIZADOS!$A:$N,14,FALSE)),"")</f>
        <v>45934</v>
      </c>
      <c r="O2178" s="71">
        <f>IFERROR(IF(VLOOKUP(A2178,[14]PRIORIZADOS!$A:$O,15,FALSE)="","",VLOOKUP(A2178,[14]PRIORIZADOS!$A:$O,15,FALSE)),"")</f>
        <v>45766</v>
      </c>
      <c r="P2178" s="11" t="str">
        <f>IFERROR(IF(VLOOKUP(A2178,[14]PRIORIZADOS!$A:$P,16,FALSE)="","",VLOOKUP(A2178,[14]PRIORIZADOS!$A:$P,16,FALSE)),"")</f>
        <v>Visitas de evaluación con fines de mejoramiento</v>
      </c>
      <c r="Q2178" s="7" t="s">
        <v>448</v>
      </c>
      <c r="R2178" s="11" t="str">
        <f>IFERROR(IF(VLOOKUP(A2178,[14]PRIORIZADOS!$A:$R,18,FALSE)="","",VLOOKUP(A2178,[14]PRIORIZADOS!$A:$R,18,FALSE)),"")</f>
        <v>El calendario cumple con lo establecido, sin embargo es preciso que se revise el tiempo académico destinado con los proyectos pedagogicos obligatorios</v>
      </c>
      <c r="S2178" s="11" t="str">
        <f>IFERROR(IF(VLOOKUP(A2178,[14]PRIORIZADOS!$A:$S,19,FALSE)="","",VLOOKUP(A2178,[14]PRIORIZADOS!$A:$S,19,FALSE)),"")</f>
        <v>Presentar la propuesta de ajuste al calendario con respecto a la inclusion de los proyectos pedagogicos</v>
      </c>
      <c r="T2178" s="70" t="str">
        <f>IFERROR(IF(VLOOKUP(A2178,[14]PRIORIZADOS!$A:$T,20,FALSE)="","",VLOOKUP(A2178,[14]PRIORIZADOS!$A:$T,20,FALSE)),"")</f>
        <v>Si</v>
      </c>
      <c r="U2178" s="11" t="str">
        <f>IFERROR(IF(VLOOKUP(A2178,[14]PRIORIZADOS!$A:$U,21,FALSE)="","",VLOOKUP(A2178,[14]PRIORIZADOS!$A:$U,21,FALSE)),"")</f>
        <v>Verificar el calendario escolar allegado y la socialización con la comunidad educativa con fecha 30 de junio</v>
      </c>
    </row>
    <row r="2179" spans="1:21" s="1" customFormat="1" ht="72">
      <c r="A2179" s="69">
        <f>IF([14]PRIORIZADOS!A226="","",[14]PRIORIZADOS!A226)</f>
        <v>2147</v>
      </c>
      <c r="B2179" s="70">
        <f>IFERROR(IF(VLOOKUP(A2179,[14]PRIORIZADOS!$A:$B,2,FALSE)="","",VLOOKUP(A2179,[14]PRIORIZADOS!$A:$B,2,FALSE)),"")</f>
        <v>24</v>
      </c>
      <c r="C2179" s="11" t="s">
        <v>424</v>
      </c>
      <c r="D2179" s="11" t="str">
        <f>IFERROR(IF(VLOOKUP(A2179,[14]PRIORIZADOS!$A:$D,4,FALSE)="","",VLOOKUP(A2179,[14]PRIORIZADOS!$A:$D,4,FALSE)),"")</f>
        <v>PRIVADO</v>
      </c>
      <c r="E2179" s="11" t="str">
        <f>IFERROR(IF(VLOOKUP(A2179,[14]PRIORIZADOS!$A:$E,5,FALSE)="","",VLOOKUP(A2179,[14]PRIORIZADOS!$A:$E,5,FALSE)),"")</f>
        <v>EPBM</v>
      </c>
      <c r="F2179" s="11" t="str">
        <f>IFERROR(IF(VLOOKUP(A2179,[14]PRIORIZADOS!$A:$F,6,FALSE)="","",VLOOKUP(A2179,[14]PRIORIZADOS!$A:$F,6,FALSE)),"")</f>
        <v>LICEO_HOMERICO</v>
      </c>
      <c r="G2179" s="11" t="str">
        <f>IFERROR(IF(VLOOKUP(A2179,[14]PRIORIZADOS!$A:$G,7,FALSE)="","",VLOOKUP(A2179,[14]PRIORIZADOS!$A:$G,7,FALSE)),"")</f>
        <v>LICEO HOMERICO</v>
      </c>
      <c r="H2179" s="11" t="str">
        <f>IFERROR(IF(VLOOKUP(A2179,[14]PRIORIZADOS!$A:$H,8,FALSE)="","",VLOOKUP(A2179,[14]PRIORIZADOS!$A:$H,8,FALSE)),"")</f>
        <v>Autoevaluación Institucional y Pruebas SABER 11</v>
      </c>
      <c r="I2179" s="11" t="str">
        <f>IFERROR(IF(VLOOKUP(A2179,[14]PRIORIZADOS!$A:$I,9,FALSE)="","",VLOOKUP(A2179,[14]PRIORIZADOS!$A:$I,9,FALSE)),"")</f>
        <v>EVALUACIÓN_CON_FINES_DE_MEJORAMIENTO.</v>
      </c>
      <c r="J2179" s="11" t="str">
        <f>IFERROR(IF(VLOOKUP(A2179,[14]PRIORIZADOS!$A:$J,10,FALSE)="","",VLOOKUP(A2179,[14]PRIORIZADOS!$A:$J,10,FALSE)),"")</f>
        <v>Verificar el funcionamiento del Gobierno Escolar e instancias de participación con base en la información sobre conformación reportada por la institución educativa.</v>
      </c>
      <c r="K2179" s="11" t="str">
        <f>IFERROR(IF(VLOOKUP(A2179,[14]PRIORIZADOS!$A:$K,11,FALSE)="","",VLOOKUP(A2179,[14]PRIORIZADOS!$A:$K,11,FALSE)),"")</f>
        <v>DANIEL ALEJANDRO GRANOBLES</v>
      </c>
      <c r="L2179" s="11" t="str">
        <f>IFERROR(IF(VLOOKUP(A2179,[14]PRIORIZADOS!$A:$L,12,FALSE)="","",VLOOKUP(A2179,[14]PRIORIZADOS!$A:$L,12,FALSE)),"")</f>
        <v>SANDRA OLINDA GONZÁLEZ REYES</v>
      </c>
      <c r="M2179" s="71">
        <f>IFERROR(IF(VLOOKUP(A2179,[14]PRIORIZADOS!$A:$M,13,FALSE)="","",VLOOKUP(A2179,[14]PRIORIZADOS!$A:$M,13,FALSE)),"")</f>
        <v>45873</v>
      </c>
      <c r="N2179" s="71">
        <f>IFERROR(IF(VLOOKUP(A2179,[14]PRIORIZADOS!$A:$N,14,FALSE)="","",VLOOKUP(A2179,[14]PRIORIZADOS!$A:$N,14,FALSE)),"")</f>
        <v>45934</v>
      </c>
      <c r="O2179" s="71">
        <f>IFERROR(IF(VLOOKUP(A2179,[14]PRIORIZADOS!$A:$O,15,FALSE)="","",VLOOKUP(A2179,[14]PRIORIZADOS!$A:$O,15,FALSE)),"")</f>
        <v>45766</v>
      </c>
      <c r="P2179" s="11" t="str">
        <f>IFERROR(IF(VLOOKUP(A2179,[14]PRIORIZADOS!$A:$P,16,FALSE)="","",VLOOKUP(A2179,[14]PRIORIZADOS!$A:$P,16,FALSE)),"")</f>
        <v>Visitas de evaluación con fines de mejoramiento</v>
      </c>
      <c r="Q2179" s="7" t="s">
        <v>448</v>
      </c>
      <c r="R2179" s="11" t="str">
        <f>IFERROR(IF(VLOOKUP(A2179,[14]PRIORIZADOS!$A:$R,18,FALSE)="","",VLOOKUP(A2179,[14]PRIORIZADOS!$A:$R,18,FALSE)),"")</f>
        <v>Se evidenciaron las actas de conformación de gobierno escolar, las cuales deberán cargarse en el SAE. Sobre el funcionamiento e realizó en febrero la primera reunión de planeación e informe del año anterior .</v>
      </c>
      <c r="S2179" s="11" t="str">
        <f>IFERROR(IF(VLOOKUP(A2179,[14]PRIORIZADOS!$A:$S,19,FALSE)="","",VLOOKUP(A2179,[14]PRIORIZADOS!$A:$S,19,FALSE)),"")</f>
        <v>Cargar las actas de conformación en el aplicativo SAE y sesionar con cada órgano de gobierno de conformidad con la periodicidad establecida en la norma</v>
      </c>
      <c r="T2179" s="70" t="str">
        <f>IFERROR(IF(VLOOKUP(A2179,[14]PRIORIZADOS!$A:$T,20,FALSE)="","",VLOOKUP(A2179,[14]PRIORIZADOS!$A:$T,20,FALSE)),"")</f>
        <v>Si</v>
      </c>
      <c r="U2179" s="11" t="str">
        <f>IFERROR(IF(VLOOKUP(A2179,[14]PRIORIZADOS!$A:$U,21,FALSE)="","",VLOOKUP(A2179,[14]PRIORIZADOS!$A:$U,21,FALSE)),"")</f>
        <v>Verificar el SAE  y las actas que evidenciens el funcionamiento de  los organos de gobierno.</v>
      </c>
    </row>
    <row r="2180" spans="1:21" s="1" customFormat="1" ht="48">
      <c r="A2180" s="69">
        <f>IF([14]PRIORIZADOS!A227="","",[14]PRIORIZADOS!A227)</f>
        <v>2148</v>
      </c>
      <c r="B2180" s="70">
        <f>IFERROR(IF(VLOOKUP(A2180,[14]PRIORIZADOS!$A:$B,2,FALSE)="","",VLOOKUP(A2180,[14]PRIORIZADOS!$A:$B,2,FALSE)),"")</f>
        <v>24</v>
      </c>
      <c r="C2180" s="11" t="s">
        <v>424</v>
      </c>
      <c r="D2180" s="11" t="str">
        <f>IFERROR(IF(VLOOKUP(A2180,[14]PRIORIZADOS!$A:$D,4,FALSE)="","",VLOOKUP(A2180,[14]PRIORIZADOS!$A:$D,4,FALSE)),"")</f>
        <v>PRIVADO</v>
      </c>
      <c r="E2180" s="11" t="str">
        <f>IFERROR(IF(VLOOKUP(A2180,[14]PRIORIZADOS!$A:$E,5,FALSE)="","",VLOOKUP(A2180,[14]PRIORIZADOS!$A:$E,5,FALSE)),"")</f>
        <v>EPBM</v>
      </c>
      <c r="F2180" s="11" t="str">
        <f>IFERROR(IF(VLOOKUP(A2180,[14]PRIORIZADOS!$A:$F,6,FALSE)="","",VLOOKUP(A2180,[14]PRIORIZADOS!$A:$F,6,FALSE)),"")</f>
        <v>LICEO_HOMERICO</v>
      </c>
      <c r="G2180" s="11" t="str">
        <f>IFERROR(IF(VLOOKUP(A2180,[14]PRIORIZADOS!$A:$G,7,FALSE)="","",VLOOKUP(A2180,[14]PRIORIZADOS!$A:$G,7,FALSE)),"")</f>
        <v>LICEO HOMERICO</v>
      </c>
      <c r="H2180" s="11" t="str">
        <f>IFERROR(IF(VLOOKUP(A2180,[14]PRIORIZADOS!$A:$H,8,FALSE)="","",VLOOKUP(A2180,[14]PRIORIZADOS!$A:$H,8,FALSE)),"")</f>
        <v>Autoevaluación Institucional y Pruebas SABER 11</v>
      </c>
      <c r="I2180" s="11" t="str">
        <f>IFERROR(IF(VLOOKUP(A2180,[14]PRIORIZADOS!$A:$I,9,FALSE)="","",VLOOKUP(A2180,[14]PRIORIZADOS!$A:$I,9,FALSE)),"")</f>
        <v>EVALUACIÓN_CON_FINES_DE_MEJORAMIENTO.</v>
      </c>
      <c r="J2180" s="11" t="str">
        <f>IFERROR(IF(VLOOKUP(A2180,[14]PRIORIZADOS!$A:$J,10,FALSE)="","",VLOOKUP(A2180,[14]PRIORIZADOS!$A:$J,10,FALSE)),"")</f>
        <v>Verificar las condiciones en cuanto a: la estructura administrativa, condiciones de la planta física y medios educativos adecuados.</v>
      </c>
      <c r="K2180" s="11" t="str">
        <f>IFERROR(IF(VLOOKUP(A2180,[14]PRIORIZADOS!$A:$K,11,FALSE)="","",VLOOKUP(A2180,[14]PRIORIZADOS!$A:$K,11,FALSE)),"")</f>
        <v>DANIEL ALEJANDRO GRANOBLES</v>
      </c>
      <c r="L2180" s="11" t="str">
        <f>IFERROR(IF(VLOOKUP(A2180,[14]PRIORIZADOS!$A:$L,12,FALSE)="","",VLOOKUP(A2180,[14]PRIORIZADOS!$A:$L,12,FALSE)),"")</f>
        <v>SANDRA OLINDA GONZÁLEZ REYES</v>
      </c>
      <c r="M2180" s="71">
        <f>IFERROR(IF(VLOOKUP(A2180,[14]PRIORIZADOS!$A:$M,13,FALSE)="","",VLOOKUP(A2180,[14]PRIORIZADOS!$A:$M,13,FALSE)),"")</f>
        <v>45873</v>
      </c>
      <c r="N2180" s="71">
        <f>IFERROR(IF(VLOOKUP(A2180,[14]PRIORIZADOS!$A:$N,14,FALSE)="","",VLOOKUP(A2180,[14]PRIORIZADOS!$A:$N,14,FALSE)),"")</f>
        <v>45934</v>
      </c>
      <c r="O2180" s="71">
        <f>IFERROR(IF(VLOOKUP(A2180,[14]PRIORIZADOS!$A:$O,15,FALSE)="","",VLOOKUP(A2180,[14]PRIORIZADOS!$A:$O,15,FALSE)),"")</f>
        <v>45766</v>
      </c>
      <c r="P2180" s="11" t="str">
        <f>IFERROR(IF(VLOOKUP(A2180,[14]PRIORIZADOS!$A:$P,16,FALSE)="","",VLOOKUP(A2180,[14]PRIORIZADOS!$A:$P,16,FALSE)),"")</f>
        <v>Visitas de evaluación con fines de mejoramiento</v>
      </c>
      <c r="Q2180" s="7" t="s">
        <v>448</v>
      </c>
      <c r="R2180" s="11" t="str">
        <f>IFERROR(IF(VLOOKUP(A2180,[14]PRIORIZADOS!$A:$R,18,FALSE)="","",VLOOKUP(A2180,[14]PRIORIZADOS!$A:$R,18,FALSE)),"")</f>
        <v xml:space="preserve">Existen espacios adecuados para la prestación del servicio educativo autorizado </v>
      </c>
      <c r="S2180" s="11" t="str">
        <f>IFERROR(IF(VLOOKUP(A2180,[14]PRIORIZADOS!$A:$S,19,FALSE)="","",VLOOKUP(A2180,[14]PRIORIZADOS!$A:$S,19,FALSE)),"")</f>
        <v>Continuar con el plan de inversión propuesto, se insistio que el espacio debe ser para uso exclusivo educativo y no con los espacios de residencia</v>
      </c>
      <c r="T2180" s="70" t="str">
        <f>IFERROR(IF(VLOOKUP(A2180,[14]PRIORIZADOS!$A:$T,20,FALSE)="","",VLOOKUP(A2180,[14]PRIORIZADOS!$A:$T,20,FALSE)),"")</f>
        <v>Si</v>
      </c>
      <c r="U2180" s="11" t="str">
        <f>IFERROR(IF(VLOOKUP(A2180,[14]PRIORIZADOS!$A:$U,21,FALSE)="","",VLOOKUP(A2180,[14]PRIORIZADOS!$A:$U,21,FALSE)),"")</f>
        <v>Revisar el plan de mejoramiento programado para entrega el 30 de junio de 2025</v>
      </c>
    </row>
    <row r="2181" spans="1:21" s="1" customFormat="1" ht="36">
      <c r="A2181" s="69">
        <f>IF([14]PRIORIZADOS!A228="","",[14]PRIORIZADOS!A228)</f>
        <v>2149</v>
      </c>
      <c r="B2181" s="70">
        <v>25</v>
      </c>
      <c r="C2181" s="11" t="s">
        <v>424</v>
      </c>
      <c r="D2181" s="11" t="str">
        <f>IFERROR(IF(VLOOKUP(A2181,[14]PRIORIZADOS!$A:$D,4,FALSE)="","",VLOOKUP(A2181,[14]PRIORIZADOS!$A:$D,4,FALSE)),"")</f>
        <v>PRIVADO</v>
      </c>
      <c r="E2181" s="11" t="str">
        <f>IFERROR(IF(VLOOKUP(A2181,[14]PRIORIZADOS!$A:$E,5,FALSE)="","",VLOOKUP(A2181,[14]PRIORIZADOS!$A:$E,5,FALSE)),"")</f>
        <v>EPBM</v>
      </c>
      <c r="F2181" s="11" t="str">
        <f>IFERROR(IF(VLOOKUP(A2181,[14]PRIORIZADOS!$A:$F,6,FALSE)="","",VLOOKUP(A2181,[14]PRIORIZADOS!$A:$F,6,FALSE)),"")</f>
        <v>LICEO_RIOBAMBA</v>
      </c>
      <c r="G2181" s="11" t="str">
        <f>IFERROR(IF(VLOOKUP(A2181,[14]PRIORIZADOS!$A:$G,7,FALSE)="","",VLOOKUP(A2181,[14]PRIORIZADOS!$A:$G,7,FALSE)),"")</f>
        <v>LICEO RIOBAMBA</v>
      </c>
      <c r="H2181" s="11" t="str">
        <f>IFERROR(IF(VLOOKUP(A2181,[14]PRIORIZADOS!$A:$H,8,FALSE)="","",VLOOKUP(A2181,[14]PRIORIZADOS!$A:$H,8,FALSE)),"")</f>
        <v>Autoevaluación Institucional y Pruebas SABER 11</v>
      </c>
      <c r="I2181" s="11" t="str">
        <f>IFERROR(IF(VLOOKUP(A2181,[14]PRIORIZADOS!$A:$I,9,FALSE)="","",VLOOKUP(A2181,[14]PRIORIZADOS!$A:$I,9,FALSE)),"")</f>
        <v>SEGUIMIENTO_Y_SUPERVISIÓN.</v>
      </c>
      <c r="J2181" s="11" t="str">
        <f>IFERROR(IF(VLOOKUP(A2181,[14]PRIORIZADOS!$A:$J,10,FALSE)="","",VLOOKUP(A2181,[14]PRIORIZADOS!$A:$J,10,FALSE)),"")</f>
        <v>Realizar visitas para verificar la información registrada sobre la autoevaluación institucional en el aplicativo EVI, a los establecimientos de educación formal no oficial.</v>
      </c>
      <c r="K2181" s="11" t="str">
        <f>IFERROR(IF(VLOOKUP(A2181,[14]PRIORIZADOS!$A:$K,11,FALSE)="","",VLOOKUP(A2181,[14]PRIORIZADOS!$A:$K,11,FALSE)),"")</f>
        <v>SONIA YAMILE ARTEAGA MELO</v>
      </c>
      <c r="L2181" s="11" t="str">
        <f>IFERROR(IF(VLOOKUP(A2181,[14]PRIORIZADOS!$A:$L,12,FALSE)="","",VLOOKUP(A2181,[14]PRIORIZADOS!$A:$L,12,FALSE)),"")</f>
        <v>JENNIFFER ESPERANZA GONZÁLEZ GÓMEZ</v>
      </c>
      <c r="M2181" s="71">
        <f>IFERROR(IF(VLOOKUP(A2181,[14]PRIORIZADOS!$A:$M,13,FALSE)="","",VLOOKUP(A2181,[14]PRIORIZADOS!$A:$M,13,FALSE)),"")</f>
        <v>45881</v>
      </c>
      <c r="N2181" s="71">
        <f>IFERROR(IF(VLOOKUP(A2181,[14]PRIORIZADOS!$A:$N,14,FALSE)="","",VLOOKUP(A2181,[14]PRIORIZADOS!$A:$N,14,FALSE)),"")</f>
        <v>45790</v>
      </c>
      <c r="O2181" s="71">
        <f>IFERROR(IF(VLOOKUP(A2181,[14]PRIORIZADOS!$A:$O,15,FALSE)="","",VLOOKUP(A2181,[14]PRIORIZADOS!$A:$O,15,FALSE)),"")</f>
        <v>45790</v>
      </c>
      <c r="P2181" s="11" t="str">
        <f>IFERROR(IF(VLOOKUP(A2181,[14]PRIORIZADOS!$A:$P,16,FALSE)="","",VLOOKUP(A2181,[14]PRIORIZADOS!$A:$P,16,FALSE)),"")</f>
        <v>Visitas de evaluación con fines de seguimiento</v>
      </c>
      <c r="Q2181" s="7" t="s">
        <v>449</v>
      </c>
      <c r="R2181" s="11" t="str">
        <f>IFERROR(IF(VLOOKUP(A2181,[14]PRIORIZADOS!$A:$R,18,FALSE)="","",VLOOKUP(A2181,[14]PRIORIZADOS!$A:$R,18,FALSE)),"")</f>
        <v xml:space="preserve">La información reportada en el aplicativo EVI para al vigencia 2024, coincide con la realidad de la institución educativa </v>
      </c>
      <c r="S2181" s="11" t="str">
        <f>IFERROR(IF(VLOOKUP(A2181,[14]PRIORIZADOS!$A:$S,19,FALSE)="","",VLOOKUP(A2181,[14]PRIORIZADOS!$A:$S,19,FALSE)),"")</f>
        <v>La situación encontrada no presenta irregularidades</v>
      </c>
      <c r="T2181" s="70" t="str">
        <f>IFERROR(IF(VLOOKUP(A2181,[14]PRIORIZADOS!$A:$T,20,FALSE)="","",VLOOKUP(A2181,[14]PRIORIZADOS!$A:$T,20,FALSE)),"")</f>
        <v>No</v>
      </c>
      <c r="U2181" s="11" t="str">
        <f>IFERROR(IF(VLOOKUP(A2181,[14]PRIORIZADOS!$A:$U,21,FALSE)="","",VLOOKUP(A2181,[14]PRIORIZADOS!$A:$U,21,FALSE)),"")</f>
        <v>Verificación del reporte de autoevaluación en la siguiente vigencia.</v>
      </c>
    </row>
    <row r="2182" spans="1:21" s="1" customFormat="1" ht="72">
      <c r="A2182" s="69">
        <f>IF([14]PRIORIZADOS!A229="","",[14]PRIORIZADOS!A229)</f>
        <v>2150</v>
      </c>
      <c r="B2182" s="70">
        <f>IFERROR(IF(VLOOKUP(A2182,[14]PRIORIZADOS!$A:$B,2,FALSE)="","",VLOOKUP(A2182,[14]PRIORIZADOS!$A:$B,2,FALSE)),"")</f>
        <v>25</v>
      </c>
      <c r="C2182" s="11" t="s">
        <v>424</v>
      </c>
      <c r="D2182" s="11" t="str">
        <f>IFERROR(IF(VLOOKUP(A2182,[14]PRIORIZADOS!$A:$D,4,FALSE)="","",VLOOKUP(A2182,[14]PRIORIZADOS!$A:$D,4,FALSE)),"")</f>
        <v>PRIVADO</v>
      </c>
      <c r="E2182" s="11" t="str">
        <f>IFERROR(IF(VLOOKUP(A2182,[14]PRIORIZADOS!$A:$E,5,FALSE)="","",VLOOKUP(A2182,[14]PRIORIZADOS!$A:$E,5,FALSE)),"")</f>
        <v>EPBM</v>
      </c>
      <c r="F2182" s="11" t="str">
        <f>IFERROR(IF(VLOOKUP(A2182,[14]PRIORIZADOS!$A:$F,6,FALSE)="","",VLOOKUP(A2182,[14]PRIORIZADOS!$A:$F,6,FALSE)),"")</f>
        <v>LICEO_RIOBAMBA</v>
      </c>
      <c r="G2182" s="11" t="str">
        <f>IFERROR(IF(VLOOKUP(A2182,[14]PRIORIZADOS!$A:$G,7,FALSE)="","",VLOOKUP(A2182,[14]PRIORIZADOS!$A:$G,7,FALSE)),"")</f>
        <v>LICEO RIOBAMBA</v>
      </c>
      <c r="H2182" s="11" t="str">
        <f>IFERROR(IF(VLOOKUP(A2182,[14]PRIORIZADOS!$A:$H,8,FALSE)="","",VLOOKUP(A2182,[14]PRIORIZADOS!$A:$H,8,FALSE)),"")</f>
        <v>Autoevaluación Institucional y Pruebas SABER 11</v>
      </c>
      <c r="I2182" s="11" t="str">
        <f>IFERROR(IF(VLOOKUP(A2182,[14]PRIORIZADOS!$A:$I,9,FALSE)="","",VLOOKUP(A2182,[14]PRIORIZADOS!$A:$I,9,FALSE)),"")</f>
        <v>SEGUIMIENTO_Y_SUPERVISIÓN.</v>
      </c>
      <c r="J2182" s="11" t="str">
        <f>IFERROR(IF(VLOOKUP(A2182,[14]PRIORIZADOS!$A:$J,10,FALSE)="","",VLOOKUP(A2182,[14]PRIORIZADOS!$A:$J,10,FALSE)),"")</f>
        <v>Proponer estrategias en la formulación, verificar su elaboración y realizar seguimiento semestral al desarrollo de  las acciones establecidas en los planes de mejoramiento por pruebas SABER 11 de los establecimientos de educación formal.</v>
      </c>
      <c r="K2182" s="11" t="str">
        <f>IFERROR(IF(VLOOKUP(A2182,[14]PRIORIZADOS!$A:$K,11,FALSE)="","",VLOOKUP(A2182,[14]PRIORIZADOS!$A:$K,11,FALSE)),"")</f>
        <v>SONIA YAMILE ARTEAGA MELO</v>
      </c>
      <c r="L2182" s="11" t="str">
        <f>IFERROR(IF(VLOOKUP(A2182,[14]PRIORIZADOS!$A:$L,12,FALSE)="","",VLOOKUP(A2182,[14]PRIORIZADOS!$A:$L,12,FALSE)),"")</f>
        <v>JENNIFFER ESPERANZA GONZÁLEZ GÓMEZ</v>
      </c>
      <c r="M2182" s="71">
        <f>IFERROR(IF(VLOOKUP(A2182,[14]PRIORIZADOS!$A:$M,13,FALSE)="","",VLOOKUP(A2182,[14]PRIORIZADOS!$A:$M,13,FALSE)),"")</f>
        <v>45881</v>
      </c>
      <c r="N2182" s="71">
        <f>IFERROR(IF(VLOOKUP(A2182,[14]PRIORIZADOS!$A:$N,14,FALSE)="","",VLOOKUP(A2182,[14]PRIORIZADOS!$A:$N,14,FALSE)),"")</f>
        <v>45790</v>
      </c>
      <c r="O2182" s="71">
        <f>IFERROR(IF(VLOOKUP(A2182,[14]PRIORIZADOS!$A:$O,15,FALSE)="","",VLOOKUP(A2182,[14]PRIORIZADOS!$A:$O,15,FALSE)),"")</f>
        <v>45790</v>
      </c>
      <c r="P2182" s="11" t="str">
        <f>IFERROR(IF(VLOOKUP(A2182,[14]PRIORIZADOS!$A:$P,16,FALSE)="","",VLOOKUP(A2182,[14]PRIORIZADOS!$A:$P,16,FALSE)),"")</f>
        <v>Visitas de evaluación con fines de seguimiento</v>
      </c>
      <c r="Q2182" s="7" t="s">
        <v>449</v>
      </c>
      <c r="R2182" s="11" t="str">
        <f>IFERROR(IF(VLOOKUP(A2182,[14]PRIORIZADOS!$A:$R,18,FALSE)="","",VLOOKUP(A2182,[14]PRIORIZADOS!$A:$R,18,FALSE)),"")</f>
        <v>El colegio informa que como estrategia para mejorar el resultado en pruebas SABER 11, realiza talleres y simulacros de preparación para estudiates de grado décimo y once.</v>
      </c>
      <c r="S2182" s="11" t="str">
        <f>IFERROR(IF(VLOOKUP(A2182,[14]PRIORIZADOS!$A:$S,19,FALSE)="","",VLOOKUP(A2182,[14]PRIORIZADOS!$A:$S,19,FALSE)),"")</f>
        <v>El colegio reconoce necesidad de implementar acciones que conlleven a mejorar el desempeño en pruebas SABER 11, desde los primeros años de formación académica.  Plantean revisar el enfoque del PEI</v>
      </c>
      <c r="T2182" s="70" t="str">
        <f>IFERROR(IF(VLOOKUP(A2182,[14]PRIORIZADOS!$A:$T,20,FALSE)="","",VLOOKUP(A2182,[14]PRIORIZADOS!$A:$T,20,FALSE)),"")</f>
        <v>Si</v>
      </c>
      <c r="U2182" s="11" t="str">
        <f>IFERROR(IF(VLOOKUP(A2182,[14]PRIORIZADOS!$A:$U,21,FALSE)="","",VLOOKUP(A2182,[14]PRIORIZADOS!$A:$U,21,FALSE)),"")</f>
        <v>Verificar el desarrollo del trabajo participativo para actualizar el PEI.</v>
      </c>
    </row>
    <row r="2183" spans="1:21" s="1" customFormat="1" ht="96">
      <c r="A2183" s="69">
        <f>IF([14]PRIORIZADOS!A230="","",[14]PRIORIZADOS!A230)</f>
        <v>2151</v>
      </c>
      <c r="B2183" s="70">
        <f>IFERROR(IF(VLOOKUP(A2183,[14]PRIORIZADOS!$A:$B,2,FALSE)="","",VLOOKUP(A2183,[14]PRIORIZADOS!$A:$B,2,FALSE)),"")</f>
        <v>25</v>
      </c>
      <c r="C2183" s="11" t="s">
        <v>424</v>
      </c>
      <c r="D2183" s="11" t="str">
        <f>IFERROR(IF(VLOOKUP(A2183,[14]PRIORIZADOS!$A:$D,4,FALSE)="","",VLOOKUP(A2183,[14]PRIORIZADOS!$A:$D,4,FALSE)),"")</f>
        <v>PRIVADO</v>
      </c>
      <c r="E2183" s="11" t="str">
        <f>IFERROR(IF(VLOOKUP(A2183,[14]PRIORIZADOS!$A:$E,5,FALSE)="","",VLOOKUP(A2183,[14]PRIORIZADOS!$A:$E,5,FALSE)),"")</f>
        <v>EPBM</v>
      </c>
      <c r="F2183" s="11" t="str">
        <f>IFERROR(IF(VLOOKUP(A2183,[14]PRIORIZADOS!$A:$F,6,FALSE)="","",VLOOKUP(A2183,[14]PRIORIZADOS!$A:$F,6,FALSE)),"")</f>
        <v>LICEO_RIOBAMBA</v>
      </c>
      <c r="G2183" s="11" t="str">
        <f>IFERROR(IF(VLOOKUP(A2183,[14]PRIORIZADOS!$A:$G,7,FALSE)="","",VLOOKUP(A2183,[14]PRIORIZADOS!$A:$G,7,FALSE)),"")</f>
        <v>LICEO RIOBAMBA</v>
      </c>
      <c r="H2183" s="11" t="str">
        <f>IFERROR(IF(VLOOKUP(A2183,[14]PRIORIZADOS!$A:$H,8,FALSE)="","",VLOOKUP(A2183,[14]PRIORIZADOS!$A:$H,8,FALSE)),"")</f>
        <v>Autoevaluación Institucional y Pruebas SABER 11</v>
      </c>
      <c r="I2183" s="11" t="str">
        <f>IFERROR(IF(VLOOKUP(A2183,[14]PRIORIZADOS!$A:$I,9,FALSE)="","",VLOOKUP(A2183,[14]PRIORIZADOS!$A:$I,9,FALSE)),"")</f>
        <v>SEGUIMIENTO_Y_SUPERVISIÓN.</v>
      </c>
      <c r="J2183" s="11" t="str">
        <f>IFERROR(IF(VLOOKUP(A2183,[14]PRIORIZADOS!$A:$J,10,FALSE)="","",VLOOKUP(A2183,[14]PRIORIZADOS!$A:$J,10,FALSE)),"")</f>
        <v xml:space="preserve">Verificar la implementación por parte de los colegios, de acciones realizadas para la prevención y atención de las situaciones de convivencia en el entorno escolar, según lo establecido en la Directiva 01 de 2022 del MEN. </v>
      </c>
      <c r="K2183" s="11" t="str">
        <f>IFERROR(IF(VLOOKUP(A2183,[14]PRIORIZADOS!$A:$K,11,FALSE)="","",VLOOKUP(A2183,[14]PRIORIZADOS!$A:$K,11,FALSE)),"")</f>
        <v>SONIA YAMILE ARTEAGA MELO</v>
      </c>
      <c r="L2183" s="11" t="str">
        <f>IFERROR(IF(VLOOKUP(A2183,[14]PRIORIZADOS!$A:$L,12,FALSE)="","",VLOOKUP(A2183,[14]PRIORIZADOS!$A:$L,12,FALSE)),"")</f>
        <v>JENNIFFER ESPERANZA GONZÁLEZ GÓMEZ</v>
      </c>
      <c r="M2183" s="71">
        <f>IFERROR(IF(VLOOKUP(A2183,[14]PRIORIZADOS!$A:$M,13,FALSE)="","",VLOOKUP(A2183,[14]PRIORIZADOS!$A:$M,13,FALSE)),"")</f>
        <v>45881</v>
      </c>
      <c r="N2183" s="71">
        <f>IFERROR(IF(VLOOKUP(A2183,[14]PRIORIZADOS!$A:$N,14,FALSE)="","",VLOOKUP(A2183,[14]PRIORIZADOS!$A:$N,14,FALSE)),"")</f>
        <v>45790</v>
      </c>
      <c r="O2183" s="71">
        <f>IFERROR(IF(VLOOKUP(A2183,[14]PRIORIZADOS!$A:$O,15,FALSE)="","",VLOOKUP(A2183,[14]PRIORIZADOS!$A:$O,15,FALSE)),"")</f>
        <v>45790</v>
      </c>
      <c r="P2183" s="11" t="str">
        <f>IFERROR(IF(VLOOKUP(A2183,[14]PRIORIZADOS!$A:$P,16,FALSE)="","",VLOOKUP(A2183,[14]PRIORIZADOS!$A:$P,16,FALSE)),"")</f>
        <v>Visitas de evaluación con fines de seguimiento</v>
      </c>
      <c r="Q2183" s="7" t="s">
        <v>449</v>
      </c>
      <c r="R2183" s="11" t="str">
        <f>IFERROR(IF(VLOOKUP(A2183,[14]PRIORIZADOS!$A:$R,18,FALSE)="","",VLOOKUP(A2183,[14]PRIORIZADOS!$A:$R,18,FALSE)),"")</f>
        <v>Informan que desde Orientación Escolar y con articulación con docentes de aula, desarrollan actividades de promoción y prevención de situaciones que puedan afectar la convivencia escolar.
Informan que durante el año lectivo no se han presetado situaciones de convivencia tipo II o III.</v>
      </c>
      <c r="S2183" s="11" t="str">
        <f>IFERROR(IF(VLOOKUP(A2183,[14]PRIORIZADOS!$A:$S,19,FALSE)="","",VLOOKUP(A2183,[14]PRIORIZADOS!$A:$S,19,FALSE)),"")</f>
        <v>Se reitera la importancia de documentar las acciones de promoción y prevención que se lleven a cabo, y el tener en cuenta que pueden articulas su actuar con Entidades a fines a temas relevantes para la comunidad educativa.</v>
      </c>
      <c r="T2183" s="70" t="str">
        <f>IFERROR(IF(VLOOKUP(A2183,[14]PRIORIZADOS!$A:$T,20,FALSE)="","",VLOOKUP(A2183,[14]PRIORIZADOS!$A:$T,20,FALSE)),"")</f>
        <v>Si</v>
      </c>
      <c r="U2183" s="11" t="str">
        <f>IFERROR(IF(VLOOKUP(A2183,[14]PRIORIZADOS!$A:$U,21,FALSE)="","",VLOOKUP(A2183,[14]PRIORIZADOS!$A:$U,21,FALSE)),"")</f>
        <v>Verificar que se adopte la recomendación de documentar las acciones adelantadas.</v>
      </c>
    </row>
    <row r="2184" spans="1:21" s="1" customFormat="1" ht="72">
      <c r="A2184" s="69">
        <f>IF([14]PRIORIZADOS!A231="","",[14]PRIORIZADOS!A231)</f>
        <v>2152</v>
      </c>
      <c r="B2184" s="70">
        <f>IFERROR(IF(VLOOKUP(A2184,[14]PRIORIZADOS!$A:$B,2,FALSE)="","",VLOOKUP(A2184,[14]PRIORIZADOS!$A:$B,2,FALSE)),"")</f>
        <v>25</v>
      </c>
      <c r="C2184" s="11" t="s">
        <v>424</v>
      </c>
      <c r="D2184" s="11" t="str">
        <f>IFERROR(IF(VLOOKUP(A2184,[14]PRIORIZADOS!$A:$D,4,FALSE)="","",VLOOKUP(A2184,[14]PRIORIZADOS!$A:$D,4,FALSE)),"")</f>
        <v>PRIVADO</v>
      </c>
      <c r="E2184" s="11" t="str">
        <f>IFERROR(IF(VLOOKUP(A2184,[14]PRIORIZADOS!$A:$E,5,FALSE)="","",VLOOKUP(A2184,[14]PRIORIZADOS!$A:$E,5,FALSE)),"")</f>
        <v>EPBM</v>
      </c>
      <c r="F2184" s="11" t="str">
        <f>IFERROR(IF(VLOOKUP(A2184,[14]PRIORIZADOS!$A:$F,6,FALSE)="","",VLOOKUP(A2184,[14]PRIORIZADOS!$A:$F,6,FALSE)),"")</f>
        <v>LICEO_RIOBAMBA</v>
      </c>
      <c r="G2184" s="11" t="str">
        <f>IFERROR(IF(VLOOKUP(A2184,[14]PRIORIZADOS!$A:$G,7,FALSE)="","",VLOOKUP(A2184,[14]PRIORIZADOS!$A:$G,7,FALSE)),"")</f>
        <v>LICEO RIOBAMBA</v>
      </c>
      <c r="H2184" s="11" t="str">
        <f>IFERROR(IF(VLOOKUP(A2184,[14]PRIORIZADOS!$A:$H,8,FALSE)="","",VLOOKUP(A2184,[14]PRIORIZADOS!$A:$H,8,FALSE)),"")</f>
        <v>Autoevaluación Institucional y Pruebas SABER 11</v>
      </c>
      <c r="I2184" s="11" t="str">
        <f>IFERROR(IF(VLOOKUP(A2184,[14]PRIORIZADOS!$A:$I,9,FALSE)="","",VLOOKUP(A2184,[14]PRIORIZADOS!$A:$I,9,FALSE)),"")</f>
        <v>SEGUIMIENTO_Y_SUPERVISIÓN.</v>
      </c>
      <c r="J2184" s="11" t="str">
        <f>IFERROR(IF(VLOOKUP(A2184,[14]PRIORIZADOS!$A:$J,10,FALSE)="","",VLOOKUP(A2184,[14]PRIORIZADOS!$A:$J,10,FALSE)),"")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84" s="11" t="str">
        <f>IFERROR(IF(VLOOKUP(A2184,[14]PRIORIZADOS!$A:$K,11,FALSE)="","",VLOOKUP(A2184,[14]PRIORIZADOS!$A:$K,11,FALSE)),"")</f>
        <v>SONIA YAMILE ARTEAGA MELO</v>
      </c>
      <c r="L2184" s="11" t="str">
        <f>IFERROR(IF(VLOOKUP(A2184,[14]PRIORIZADOS!$A:$L,12,FALSE)="","",VLOOKUP(A2184,[14]PRIORIZADOS!$A:$L,12,FALSE)),"")</f>
        <v>JENNIFFER ESPERANZA GONZÁLEZ GÓMEZ</v>
      </c>
      <c r="M2184" s="71">
        <f>IFERROR(IF(VLOOKUP(A2184,[14]PRIORIZADOS!$A:$M,13,FALSE)="","",VLOOKUP(A2184,[14]PRIORIZADOS!$A:$M,13,FALSE)),"")</f>
        <v>45881</v>
      </c>
      <c r="N2184" s="71">
        <f>IFERROR(IF(VLOOKUP(A2184,[14]PRIORIZADOS!$A:$N,14,FALSE)="","",VLOOKUP(A2184,[14]PRIORIZADOS!$A:$N,14,FALSE)),"")</f>
        <v>45790</v>
      </c>
      <c r="O2184" s="71">
        <f>IFERROR(IF(VLOOKUP(A2184,[14]PRIORIZADOS!$A:$O,15,FALSE)="","",VLOOKUP(A2184,[14]PRIORIZADOS!$A:$O,15,FALSE)),"")</f>
        <v>45790</v>
      </c>
      <c r="P2184" s="11" t="str">
        <f>IFERROR(IF(VLOOKUP(A2184,[14]PRIORIZADOS!$A:$P,16,FALSE)="","",VLOOKUP(A2184,[14]PRIORIZADOS!$A:$P,16,FALSE)),"")</f>
        <v>Visitas de evaluación con fines de seguimiento</v>
      </c>
      <c r="Q2184" s="7" t="s">
        <v>449</v>
      </c>
      <c r="R2184" s="11" t="str">
        <f>IFERROR(IF(VLOOKUP(A2184,[14]PRIORIZADOS!$A:$R,18,FALSE)="","",VLOOKUP(A2184,[14]PRIORIZADOS!$A:$R,18,FALSE)),"")</f>
        <v>El colegio adelanta el diligenciamiento del formato dispuesto por el Ministerio de Salud de los PIAR.
Los estudiantes  identificados con una Necesidad educativa especial, cuentan con su documento.</v>
      </c>
      <c r="S2184" s="11" t="str">
        <f>IFERROR(IF(VLOOKUP(A2184,[14]PRIORIZADOS!$A:$S,19,FALSE)="","",VLOOKUP(A2184,[14]PRIORIZADOS!$A:$S,19,FALSE)),"")</f>
        <v>El trabajo de elaboración del PIAR recae sobre el Orientador Escolar, se orienta en el sentido de la necesidad de participación de los docentes de su elaboración.</v>
      </c>
      <c r="T2184" s="70" t="str">
        <f>IFERROR(IF(VLOOKUP(A2184,[14]PRIORIZADOS!$A:$T,20,FALSE)="","",VLOOKUP(A2184,[14]PRIORIZADOS!$A:$T,20,FALSE)),"")</f>
        <v>Si</v>
      </c>
      <c r="U2184" s="11" t="str">
        <f>IFERROR(IF(VLOOKUP(A2184,[14]PRIORIZADOS!$A:$U,21,FALSE)="","",VLOOKUP(A2184,[14]PRIORIZADOS!$A:$U,21,FALSE)),"")</f>
        <v>Verificar que a través del plan de mejormaiento se vincule a los docentes de aula en la elaboración del PIAR.</v>
      </c>
    </row>
    <row r="2185" spans="1:21" s="1" customFormat="1" ht="96">
      <c r="A2185" s="69">
        <f>IF([14]PRIORIZADOS!A232="","",[14]PRIORIZADOS!A232)</f>
        <v>2153</v>
      </c>
      <c r="B2185" s="70">
        <f>IFERROR(IF(VLOOKUP(A2185,[14]PRIORIZADOS!$A:$B,2,FALSE)="","",VLOOKUP(A2185,[14]PRIORIZADOS!$A:$B,2,FALSE)),"")</f>
        <v>25</v>
      </c>
      <c r="C2185" s="11" t="s">
        <v>424</v>
      </c>
      <c r="D2185" s="11" t="str">
        <f>IFERROR(IF(VLOOKUP(A2185,[14]PRIORIZADOS!$A:$D,4,FALSE)="","",VLOOKUP(A2185,[14]PRIORIZADOS!$A:$D,4,FALSE)),"")</f>
        <v>PRIVADO</v>
      </c>
      <c r="E2185" s="11" t="str">
        <f>IFERROR(IF(VLOOKUP(A2185,[14]PRIORIZADOS!$A:$E,5,FALSE)="","",VLOOKUP(A2185,[14]PRIORIZADOS!$A:$E,5,FALSE)),"")</f>
        <v>EPBM</v>
      </c>
      <c r="F2185" s="11" t="str">
        <f>IFERROR(IF(VLOOKUP(A2185,[14]PRIORIZADOS!$A:$F,6,FALSE)="","",VLOOKUP(A2185,[14]PRIORIZADOS!$A:$F,6,FALSE)),"")</f>
        <v>LICEO_RIOBAMBA</v>
      </c>
      <c r="G2185" s="11" t="str">
        <f>IFERROR(IF(VLOOKUP(A2185,[14]PRIORIZADOS!$A:$G,7,FALSE)="","",VLOOKUP(A2185,[14]PRIORIZADOS!$A:$G,7,FALSE)),"")</f>
        <v>LICEO RIOBAMBA</v>
      </c>
      <c r="H2185" s="11" t="str">
        <f>IFERROR(IF(VLOOKUP(A2185,[14]PRIORIZADOS!$A:$H,8,FALSE)="","",VLOOKUP(A2185,[14]PRIORIZADOS!$A:$H,8,FALSE)),"")</f>
        <v>Autoevaluación Institucional y Pruebas SABER 11</v>
      </c>
      <c r="I2185" s="11" t="str">
        <f>IFERROR(IF(VLOOKUP(A2185,[14]PRIORIZADOS!$A:$I,9,FALSE)="","",VLOOKUP(A2185,[14]PRIORIZADOS!$A:$I,9,FALSE)),"")</f>
        <v>EVALUACIÓN_CON_FINES_DE_MEJORAMIENTO.</v>
      </c>
      <c r="J2185" s="11" t="str">
        <f>IFERROR(IF(VLOOKUP(A2185,[14]PRIORIZADOS!$A:$J,10,FALSE)="","",VLOOKUP(A2185,[14]PRIORIZADOS!$A:$J,10,FALSE)),"")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85" s="11" t="str">
        <f>IFERROR(IF(VLOOKUP(A2185,[14]PRIORIZADOS!$A:$K,11,FALSE)="","",VLOOKUP(A2185,[14]PRIORIZADOS!$A:$K,11,FALSE)),"")</f>
        <v>SONIA YAMILE ARTEAGA MELO</v>
      </c>
      <c r="L2185" s="11" t="str">
        <f>IFERROR(IF(VLOOKUP(A2185,[14]PRIORIZADOS!$A:$L,12,FALSE)="","",VLOOKUP(A2185,[14]PRIORIZADOS!$A:$L,12,FALSE)),"")</f>
        <v>JENNIFFER ESPERANZA GONZÁLEZ GÓMEZ</v>
      </c>
      <c r="M2185" s="71">
        <f>IFERROR(IF(VLOOKUP(A2185,[14]PRIORIZADOS!$A:$M,13,FALSE)="","",VLOOKUP(A2185,[14]PRIORIZADOS!$A:$M,13,FALSE)),"")</f>
        <v>45881</v>
      </c>
      <c r="N2185" s="71">
        <f>IFERROR(IF(VLOOKUP(A2185,[14]PRIORIZADOS!$A:$N,14,FALSE)="","",VLOOKUP(A2185,[14]PRIORIZADOS!$A:$N,14,FALSE)),"")</f>
        <v>45790</v>
      </c>
      <c r="O2185" s="71">
        <f>IFERROR(IF(VLOOKUP(A2185,[14]PRIORIZADOS!$A:$O,15,FALSE)="","",VLOOKUP(A2185,[14]PRIORIZADOS!$A:$O,15,FALSE)),"")</f>
        <v>45790</v>
      </c>
      <c r="P2185" s="11" t="str">
        <f>IFERROR(IF(VLOOKUP(A2185,[14]PRIORIZADOS!$A:$P,16,FALSE)="","",VLOOKUP(A2185,[14]PRIORIZADOS!$A:$P,16,FALSE)),"")</f>
        <v>Visitas de evaluación con fines de mejoramiento</v>
      </c>
      <c r="Q2185" s="7" t="s">
        <v>449</v>
      </c>
      <c r="R2185" s="11" t="str">
        <f>IFERROR(IF(VLOOKUP(A2185,[14]PRIORIZADOS!$A:$R,18,FALSE)="","",VLOOKUP(A2185,[14]PRIORIZADOS!$A:$R,18,FALSE)),"")</f>
        <v>El colegio cuenta con un Manual de Convivencia Escolar, actualizado y adoptado para el año escolar 2025.
Se identifica que en el documento hay falencias respecto de la diferenciación entre las faltas disciplinarias y situaciones de convivencia definidas en el marco de la Ley 162/2013.</v>
      </c>
      <c r="S2185" s="11" t="str">
        <f>IFERROR(IF(VLOOKUP(A2185,[14]PRIORIZADOS!$A:$S,19,FALSE)="","",VLOOKUP(A2185,[14]PRIORIZADOS!$A:$S,19,FALSE)),"")</f>
        <v>Se debe realizar la actualización del Manual de Convivencia Escolar, de acuerdo con las orientaciones dadas por la SED en el año 2022, con la incorporación del enfoque de género, enfoque diferencial por orientación sexual e identidad de género y enfoque restaurativo.</v>
      </c>
      <c r="T2185" s="70" t="str">
        <f>IFERROR(IF(VLOOKUP(A2185,[14]PRIORIZADOS!$A:$T,20,FALSE)="","",VLOOKUP(A2185,[14]PRIORIZADOS!$A:$T,20,FALSE)),"")</f>
        <v>Si</v>
      </c>
      <c r="U2185" s="11" t="str">
        <f>IFERROR(IF(VLOOKUP(A2185,[14]PRIORIZADOS!$A:$U,21,FALSE)="","",VLOOKUP(A2185,[14]PRIORIZADOS!$A:$U,21,FALSE)),"")</f>
        <v>Validar cronograma para actualización del Manual de Convivencia Escolar, prestar asesoría si es requerida y verificar contenido del documento actualizado.</v>
      </c>
    </row>
    <row r="2186" spans="1:21" s="1" customFormat="1" ht="60">
      <c r="A2186" s="69">
        <f>IF([14]PRIORIZADOS!A233="","",[14]PRIORIZADOS!A233)</f>
        <v>2154</v>
      </c>
      <c r="B2186" s="70">
        <f>IFERROR(IF(VLOOKUP(A2186,[14]PRIORIZADOS!$A:$B,2,FALSE)="","",VLOOKUP(A2186,[14]PRIORIZADOS!$A:$B,2,FALSE)),"")</f>
        <v>25</v>
      </c>
      <c r="C2186" s="11" t="s">
        <v>424</v>
      </c>
      <c r="D2186" s="11" t="str">
        <f>IFERROR(IF(VLOOKUP(A2186,[14]PRIORIZADOS!$A:$D,4,FALSE)="","",VLOOKUP(A2186,[14]PRIORIZADOS!$A:$D,4,FALSE)),"")</f>
        <v>PRIVADO</v>
      </c>
      <c r="E2186" s="11" t="str">
        <f>IFERROR(IF(VLOOKUP(A2186,[14]PRIORIZADOS!$A:$E,5,FALSE)="","",VLOOKUP(A2186,[14]PRIORIZADOS!$A:$E,5,FALSE)),"")</f>
        <v>EPBM</v>
      </c>
      <c r="F2186" s="11" t="str">
        <f>IFERROR(IF(VLOOKUP(A2186,[14]PRIORIZADOS!$A:$F,6,FALSE)="","",VLOOKUP(A2186,[14]PRIORIZADOS!$A:$F,6,FALSE)),"")</f>
        <v>LICEO_RIOBAMBA</v>
      </c>
      <c r="G2186" s="11" t="str">
        <f>IFERROR(IF(VLOOKUP(A2186,[14]PRIORIZADOS!$A:$G,7,FALSE)="","",VLOOKUP(A2186,[14]PRIORIZADOS!$A:$G,7,FALSE)),"")</f>
        <v>LICEO RIOBAMBA</v>
      </c>
      <c r="H2186" s="11" t="str">
        <f>IFERROR(IF(VLOOKUP(A2186,[14]PRIORIZADOS!$A:$H,8,FALSE)="","",VLOOKUP(A2186,[14]PRIORIZADOS!$A:$H,8,FALSE)),"")</f>
        <v>Autoevaluación Institucional y Pruebas SABER 11</v>
      </c>
      <c r="I2186" s="11" t="str">
        <f>IFERROR(IF(VLOOKUP(A2186,[14]PRIORIZADOS!$A:$I,9,FALSE)="","",VLOOKUP(A2186,[14]PRIORIZADOS!$A:$I,9,FALSE)),"")</f>
        <v>EVALUACIÓN_CON_FINES_DE_MEJORAMIENTO.</v>
      </c>
      <c r="J2186" s="11" t="str">
        <f>IFERROR(IF(VLOOKUP(A2186,[14]PRIORIZADOS!$A:$J,10,FALSE)="","",VLOOKUP(A2186,[14]PRIORIZADOS!$A:$J,10,FALSE)),"")</f>
        <v>Revisar la actualización, socialización e implementación del Sistema Institucional de Evaluación de Estudiantes - SIEE, en articulación con la actualización del PEI y la normatividad vigente.</v>
      </c>
      <c r="K2186" s="11" t="str">
        <f>IFERROR(IF(VLOOKUP(A2186,[14]PRIORIZADOS!$A:$K,11,FALSE)="","",VLOOKUP(A2186,[14]PRIORIZADOS!$A:$K,11,FALSE)),"")</f>
        <v>SONIA YAMILE ARTEAGA MELO</v>
      </c>
      <c r="L2186" s="11" t="str">
        <f>IFERROR(IF(VLOOKUP(A2186,[14]PRIORIZADOS!$A:$L,12,FALSE)="","",VLOOKUP(A2186,[14]PRIORIZADOS!$A:$L,12,FALSE)),"")</f>
        <v>JENNIFFER ESPERANZA GONZÁLEZ GÓMEZ</v>
      </c>
      <c r="M2186" s="71">
        <f>IFERROR(IF(VLOOKUP(A2186,[14]PRIORIZADOS!$A:$M,13,FALSE)="","",VLOOKUP(A2186,[14]PRIORIZADOS!$A:$M,13,FALSE)),"")</f>
        <v>45881</v>
      </c>
      <c r="N2186" s="71">
        <f>IFERROR(IF(VLOOKUP(A2186,[14]PRIORIZADOS!$A:$N,14,FALSE)="","",VLOOKUP(A2186,[14]PRIORIZADOS!$A:$N,14,FALSE)),"")</f>
        <v>45790</v>
      </c>
      <c r="O2186" s="71">
        <f>IFERROR(IF(VLOOKUP(A2186,[14]PRIORIZADOS!$A:$O,15,FALSE)="","",VLOOKUP(A2186,[14]PRIORIZADOS!$A:$O,15,FALSE)),"")</f>
        <v>45790</v>
      </c>
      <c r="P2186" s="11" t="str">
        <f>IFERROR(IF(VLOOKUP(A2186,[14]PRIORIZADOS!$A:$P,16,FALSE)="","",VLOOKUP(A2186,[14]PRIORIZADOS!$A:$P,16,FALSE)),"")</f>
        <v>Visitas de evaluación con fines de mejoramiento</v>
      </c>
      <c r="Q2186" s="7" t="s">
        <v>449</v>
      </c>
      <c r="R2186" s="11" t="str">
        <f>IFERROR(IF(VLOOKUP(A2186,[14]PRIORIZADOS!$A:$R,18,FALSE)="","",VLOOKUP(A2186,[14]PRIORIZADOS!$A:$R,18,FALSE)),"")</f>
        <v>El colegio tiene definido el Sistema Institucional de Evaluación Escolar-SIEE, y está incorporado en el Mnaual de Convivencia, requieren ampliarse conceptos en el documento.</v>
      </c>
      <c r="S2186" s="11" t="str">
        <f>IFERROR(IF(VLOOKUP(A2186,[14]PRIORIZADOS!$A:$S,19,FALSE)="","",VLOOKUP(A2186,[14]PRIORIZADOS!$A:$S,19,FALSE)),"")</f>
        <v>Se debe realizar ajustes en el SIEE, incluyendo acciones de seguimiento para los planes de mejoramiento de estudiantes, estructura de los informes académicos.</v>
      </c>
      <c r="T2186" s="70" t="str">
        <f>IFERROR(IF(VLOOKUP(A2186,[14]PRIORIZADOS!$A:$T,20,FALSE)="","",VLOOKUP(A2186,[14]PRIORIZADOS!$A:$T,20,FALSE)),"")</f>
        <v>Si</v>
      </c>
      <c r="U2186" s="11" t="str">
        <f>IFERROR(IF(VLOOKUP(A2186,[14]PRIORIZADOS!$A:$U,21,FALSE)="","",VLOOKUP(A2186,[14]PRIORIZADOS!$A:$U,21,FALSE)),"")</f>
        <v>Verificación La actualización del SIEE.</v>
      </c>
    </row>
    <row r="2187" spans="1:21" s="1" customFormat="1" ht="48">
      <c r="A2187" s="69">
        <f>IF([14]PRIORIZADOS!A234="","",[14]PRIORIZADOS!A234)</f>
        <v>2155</v>
      </c>
      <c r="B2187" s="70">
        <f>IFERROR(IF(VLOOKUP(A2187,[14]PRIORIZADOS!$A:$B,2,FALSE)="","",VLOOKUP(A2187,[14]PRIORIZADOS!$A:$B,2,FALSE)),"")</f>
        <v>25</v>
      </c>
      <c r="C2187" s="11" t="s">
        <v>424</v>
      </c>
      <c r="D2187" s="11" t="str">
        <f>IFERROR(IF(VLOOKUP(A2187,[14]PRIORIZADOS!$A:$D,4,FALSE)="","",VLOOKUP(A2187,[14]PRIORIZADOS!$A:$D,4,FALSE)),"")</f>
        <v>PRIVADO</v>
      </c>
      <c r="E2187" s="11" t="str">
        <f>IFERROR(IF(VLOOKUP(A2187,[14]PRIORIZADOS!$A:$E,5,FALSE)="","",VLOOKUP(A2187,[14]PRIORIZADOS!$A:$E,5,FALSE)),"")</f>
        <v>EPBM</v>
      </c>
      <c r="F2187" s="11" t="str">
        <f>IFERROR(IF(VLOOKUP(A2187,[14]PRIORIZADOS!$A:$F,6,FALSE)="","",VLOOKUP(A2187,[14]PRIORIZADOS!$A:$F,6,FALSE)),"")</f>
        <v>LICEO_RIOBAMBA</v>
      </c>
      <c r="G2187" s="11" t="str">
        <f>IFERROR(IF(VLOOKUP(A2187,[14]PRIORIZADOS!$A:$G,7,FALSE)="","",VLOOKUP(A2187,[14]PRIORIZADOS!$A:$G,7,FALSE)),"")</f>
        <v>LICEO RIOBAMBA</v>
      </c>
      <c r="H2187" s="11" t="str">
        <f>IFERROR(IF(VLOOKUP(A2187,[14]PRIORIZADOS!$A:$H,8,FALSE)="","",VLOOKUP(A2187,[14]PRIORIZADOS!$A:$H,8,FALSE)),"")</f>
        <v>Autoevaluación Institucional y Pruebas SABER 11</v>
      </c>
      <c r="I2187" s="11" t="str">
        <f>IFERROR(IF(VLOOKUP(A2187,[14]PRIORIZADOS!$A:$I,9,FALSE)="","",VLOOKUP(A2187,[14]PRIORIZADOS!$A:$I,9,FALSE)),"")</f>
        <v>EVALUACIÓN_CON_FINES_DE_MEJORAMIENTO.</v>
      </c>
      <c r="J2187" s="11" t="str">
        <f>IFERROR(IF(VLOOKUP(A2187,[14]PRIORIZADOS!$A:$J,10,FALSE)="","",VLOOKUP(A2187,[14]PRIORIZADOS!$A:$J,10,FALSE)),"")</f>
        <v>Revisar el calendario escolar, jornada escolar, la intensidad horaria mínima anual en cada nivel y las modificaciones que se realicen al mismo, de acuerdo con lo previsto en la normatividad vigente.</v>
      </c>
      <c r="K2187" s="11" t="str">
        <f>IFERROR(IF(VLOOKUP(A2187,[14]PRIORIZADOS!$A:$K,11,FALSE)="","",VLOOKUP(A2187,[14]PRIORIZADOS!$A:$K,11,FALSE)),"")</f>
        <v>SONIA YAMILE ARTEAGA MELO</v>
      </c>
      <c r="L2187" s="11" t="str">
        <f>IFERROR(IF(VLOOKUP(A2187,[14]PRIORIZADOS!$A:$L,12,FALSE)="","",VLOOKUP(A2187,[14]PRIORIZADOS!$A:$L,12,FALSE)),"")</f>
        <v>JENNIFFER ESPERANZA GONZÁLEZ GÓMEZ</v>
      </c>
      <c r="M2187" s="71">
        <f>IFERROR(IF(VLOOKUP(A2187,[14]PRIORIZADOS!$A:$M,13,FALSE)="","",VLOOKUP(A2187,[14]PRIORIZADOS!$A:$M,13,FALSE)),"")</f>
        <v>45881</v>
      </c>
      <c r="N2187" s="71">
        <f>IFERROR(IF(VLOOKUP(A2187,[14]PRIORIZADOS!$A:$N,14,FALSE)="","",VLOOKUP(A2187,[14]PRIORIZADOS!$A:$N,14,FALSE)),"")</f>
        <v>45790</v>
      </c>
      <c r="O2187" s="71">
        <f>IFERROR(IF(VLOOKUP(A2187,[14]PRIORIZADOS!$A:$O,15,FALSE)="","",VLOOKUP(A2187,[14]PRIORIZADOS!$A:$O,15,FALSE)),"")</f>
        <v>45790</v>
      </c>
      <c r="P2187" s="11" t="str">
        <f>IFERROR(IF(VLOOKUP(A2187,[14]PRIORIZADOS!$A:$P,16,FALSE)="","",VLOOKUP(A2187,[14]PRIORIZADOS!$A:$P,16,FALSE)),"")</f>
        <v>Visitas de evaluación con fines de mejoramiento</v>
      </c>
      <c r="Q2187" s="7" t="s">
        <v>449</v>
      </c>
      <c r="R2187" s="11" t="str">
        <f>IFERROR(IF(VLOOKUP(A2187,[14]PRIORIZADOS!$A:$R,18,FALSE)="","",VLOOKUP(A2187,[14]PRIORIZADOS!$A:$R,18,FALSE)),"")</f>
        <v>En la verificación del calendario escolar, cumplimiento de la jornada e intensidad horaria, se encuentra conforme a lo defindio en la normatividad.</v>
      </c>
      <c r="S2187" s="11" t="str">
        <f>IFERROR(IF(VLOOKUP(A2187,[14]PRIORIZADOS!$A:$S,19,FALSE)="","",VLOOKUP(A2187,[14]PRIORIZADOS!$A:$S,19,FALSE)),"")</f>
        <v>Continuar la implementación del calendario en semanas de desarrollo académico e intensidades</v>
      </c>
      <c r="T2187" s="70" t="str">
        <f>IFERROR(IF(VLOOKUP(A2187,[14]PRIORIZADOS!$A:$T,20,FALSE)="","",VLOOKUP(A2187,[14]PRIORIZADOS!$A:$T,20,FALSE)),"")</f>
        <v>No</v>
      </c>
      <c r="U2187" s="11" t="str">
        <f>IFERROR(IF(VLOOKUP(A2187,[14]PRIORIZADOS!$A:$U,21,FALSE)="","",VLOOKUP(A2187,[14]PRIORIZADOS!$A:$U,21,FALSE)),"")</f>
        <v>Verificación de la continuidad en el cumplimiento en siguiente año lectivo o en caso de presentarse queja.</v>
      </c>
    </row>
    <row r="2188" spans="1:21" s="1" customFormat="1" ht="60">
      <c r="A2188" s="69">
        <f>IF([14]PRIORIZADOS!A235="","",[14]PRIORIZADOS!A235)</f>
        <v>2156</v>
      </c>
      <c r="B2188" s="70">
        <f>IFERROR(IF(VLOOKUP(A2188,[14]PRIORIZADOS!$A:$B,2,FALSE)="","",VLOOKUP(A2188,[14]PRIORIZADOS!$A:$B,2,FALSE)),"")</f>
        <v>25</v>
      </c>
      <c r="C2188" s="11" t="s">
        <v>424</v>
      </c>
      <c r="D2188" s="11" t="str">
        <f>IFERROR(IF(VLOOKUP(A2188,[14]PRIORIZADOS!$A:$D,4,FALSE)="","",VLOOKUP(A2188,[14]PRIORIZADOS!$A:$D,4,FALSE)),"")</f>
        <v>PRIVADO</v>
      </c>
      <c r="E2188" s="11" t="str">
        <f>IFERROR(IF(VLOOKUP(A2188,[14]PRIORIZADOS!$A:$E,5,FALSE)="","",VLOOKUP(A2188,[14]PRIORIZADOS!$A:$E,5,FALSE)),"")</f>
        <v>EPBM</v>
      </c>
      <c r="F2188" s="11" t="str">
        <f>IFERROR(IF(VLOOKUP(A2188,[14]PRIORIZADOS!$A:$F,6,FALSE)="","",VLOOKUP(A2188,[14]PRIORIZADOS!$A:$F,6,FALSE)),"")</f>
        <v>LICEO_RIOBAMBA</v>
      </c>
      <c r="G2188" s="11" t="str">
        <f>IFERROR(IF(VLOOKUP(A2188,[14]PRIORIZADOS!$A:$G,7,FALSE)="","",VLOOKUP(A2188,[14]PRIORIZADOS!$A:$G,7,FALSE)),"")</f>
        <v>LICEO RIOBAMBA</v>
      </c>
      <c r="H2188" s="11" t="str">
        <f>IFERROR(IF(VLOOKUP(A2188,[14]PRIORIZADOS!$A:$H,8,FALSE)="","",VLOOKUP(A2188,[14]PRIORIZADOS!$A:$H,8,FALSE)),"")</f>
        <v>Autoevaluación Institucional y Pruebas SABER 11</v>
      </c>
      <c r="I2188" s="11" t="str">
        <f>IFERROR(IF(VLOOKUP(A2188,[14]PRIORIZADOS!$A:$I,9,FALSE)="","",VLOOKUP(A2188,[14]PRIORIZADOS!$A:$I,9,FALSE)),"")</f>
        <v>EVALUACIÓN_CON_FINES_DE_MEJORAMIENTO.</v>
      </c>
      <c r="J2188" s="11" t="str">
        <f>IFERROR(IF(VLOOKUP(A2188,[14]PRIORIZADOS!$A:$J,10,FALSE)="","",VLOOKUP(A2188,[14]PRIORIZADOS!$A:$J,10,FALSE)),"")</f>
        <v>Verificar el funcionamiento del Gobierno Escolar e instancias de participación con base en la información sobre conformación reportada por la institución educativa.</v>
      </c>
      <c r="K2188" s="11" t="str">
        <f>IFERROR(IF(VLOOKUP(A2188,[14]PRIORIZADOS!$A:$K,11,FALSE)="","",VLOOKUP(A2188,[14]PRIORIZADOS!$A:$K,11,FALSE)),"")</f>
        <v>SONIA YAMILE ARTEAGA MELO</v>
      </c>
      <c r="L2188" s="11" t="str">
        <f>IFERROR(IF(VLOOKUP(A2188,[14]PRIORIZADOS!$A:$L,12,FALSE)="","",VLOOKUP(A2188,[14]PRIORIZADOS!$A:$L,12,FALSE)),"")</f>
        <v>JENNIFFER ESPERANZA GONZÁLEZ GÓMEZ</v>
      </c>
      <c r="M2188" s="71">
        <f>IFERROR(IF(VLOOKUP(A2188,[14]PRIORIZADOS!$A:$M,13,FALSE)="","",VLOOKUP(A2188,[14]PRIORIZADOS!$A:$M,13,FALSE)),"")</f>
        <v>45881</v>
      </c>
      <c r="N2188" s="71">
        <f>IFERROR(IF(VLOOKUP(A2188,[14]PRIORIZADOS!$A:$N,14,FALSE)="","",VLOOKUP(A2188,[14]PRIORIZADOS!$A:$N,14,FALSE)),"")</f>
        <v>45790</v>
      </c>
      <c r="O2188" s="71">
        <f>IFERROR(IF(VLOOKUP(A2188,[14]PRIORIZADOS!$A:$O,15,FALSE)="","",VLOOKUP(A2188,[14]PRIORIZADOS!$A:$O,15,FALSE)),"")</f>
        <v>45790</v>
      </c>
      <c r="P2188" s="11" t="str">
        <f>IFERROR(IF(VLOOKUP(A2188,[14]PRIORIZADOS!$A:$P,16,FALSE)="","",VLOOKUP(A2188,[14]PRIORIZADOS!$A:$P,16,FALSE)),"")</f>
        <v>Visitas de evaluación con fines de mejoramiento</v>
      </c>
      <c r="Q2188" s="7" t="s">
        <v>449</v>
      </c>
      <c r="R2188" s="11" t="str">
        <f>IFERROR(IF(VLOOKUP(A2188,[14]PRIORIZADOS!$A:$R,18,FALSE)="","",VLOOKUP(A2188,[14]PRIORIZADOS!$A:$R,18,FALSE)),"")</f>
        <v>Se encuentran conformados las instancias de gobierno escolar, no hay evidencias de funcionamiento.</v>
      </c>
      <c r="S2188" s="11" t="str">
        <f>IFERROR(IF(VLOOKUP(A2188,[14]PRIORIZADOS!$A:$S,19,FALSE)="","",VLOOKUP(A2188,[14]PRIORIZADOS!$A:$S,19,FALSE)),"")</f>
        <v>Se asesora sobre la operatividad de las instancias del gobierno escolar, colegio se compromete a regularizar su funcionamiento y elaborar actas de los encuentros.</v>
      </c>
      <c r="T2188" s="70" t="str">
        <f>IFERROR(IF(VLOOKUP(A2188,[14]PRIORIZADOS!$A:$T,20,FALSE)="","",VLOOKUP(A2188,[14]PRIORIZADOS!$A:$T,20,FALSE)),"")</f>
        <v>Si</v>
      </c>
      <c r="U2188" s="11" t="str">
        <f>IFERROR(IF(VLOOKUP(A2188,[14]PRIORIZADOS!$A:$U,21,FALSE)="","",VLOOKUP(A2188,[14]PRIORIZADOS!$A:$U,21,FALSE)),"")</f>
        <v>Validar el cumplimiento de la normatividad respecto a funcionamiento de instancias de gobierno escolar a través de verificación de actas de reuniones realizadas.</v>
      </c>
    </row>
    <row r="2189" spans="1:21" s="1" customFormat="1" ht="60">
      <c r="A2189" s="69">
        <f>IF([14]PRIORIZADOS!A236="","",[14]PRIORIZADOS!A236)</f>
        <v>2157</v>
      </c>
      <c r="B2189" s="70">
        <f>IFERROR(IF(VLOOKUP(A2189,[14]PRIORIZADOS!$A:$B,2,FALSE)="","",VLOOKUP(A2189,[14]PRIORIZADOS!$A:$B,2,FALSE)),"")</f>
        <v>25</v>
      </c>
      <c r="C2189" s="11" t="s">
        <v>424</v>
      </c>
      <c r="D2189" s="11" t="str">
        <f>IFERROR(IF(VLOOKUP(A2189,[14]PRIORIZADOS!$A:$D,4,FALSE)="","",VLOOKUP(A2189,[14]PRIORIZADOS!$A:$D,4,FALSE)),"")</f>
        <v>PRIVADO</v>
      </c>
      <c r="E2189" s="11" t="str">
        <f>IFERROR(IF(VLOOKUP(A2189,[14]PRIORIZADOS!$A:$E,5,FALSE)="","",VLOOKUP(A2189,[14]PRIORIZADOS!$A:$E,5,FALSE)),"")</f>
        <v>EPBM</v>
      </c>
      <c r="F2189" s="11" t="str">
        <f>IFERROR(IF(VLOOKUP(A2189,[14]PRIORIZADOS!$A:$F,6,FALSE)="","",VLOOKUP(A2189,[14]PRIORIZADOS!$A:$F,6,FALSE)),"")</f>
        <v>LICEO_RIOBAMBA</v>
      </c>
      <c r="G2189" s="11" t="str">
        <f>IFERROR(IF(VLOOKUP(A2189,[14]PRIORIZADOS!$A:$G,7,FALSE)="","",VLOOKUP(A2189,[14]PRIORIZADOS!$A:$G,7,FALSE)),"")</f>
        <v>LICEO RIOBAMBA</v>
      </c>
      <c r="H2189" s="11" t="str">
        <f>IFERROR(IF(VLOOKUP(A2189,[14]PRIORIZADOS!$A:$H,8,FALSE)="","",VLOOKUP(A2189,[14]PRIORIZADOS!$A:$H,8,FALSE)),"")</f>
        <v>Autoevaluación Institucional y Pruebas SABER 11</v>
      </c>
      <c r="I2189" s="11" t="str">
        <f>IFERROR(IF(VLOOKUP(A2189,[14]PRIORIZADOS!$A:$I,9,FALSE)="","",VLOOKUP(A2189,[14]PRIORIZADOS!$A:$I,9,FALSE)),"")</f>
        <v>EVALUACIÓN_CON_FINES_DE_MEJORAMIENTO.</v>
      </c>
      <c r="J2189" s="11" t="str">
        <f>IFERROR(IF(VLOOKUP(A2189,[14]PRIORIZADOS!$A:$J,10,FALSE)="","",VLOOKUP(A2189,[14]PRIORIZADOS!$A:$J,10,FALSE)),"")</f>
        <v>Verificar las condiciones en cuanto a: la estructura administrativa, condiciones de la planta física y medios educativos adecuados.</v>
      </c>
      <c r="K2189" s="11" t="str">
        <f>IFERROR(IF(VLOOKUP(A2189,[14]PRIORIZADOS!$A:$K,11,FALSE)="","",VLOOKUP(A2189,[14]PRIORIZADOS!$A:$K,11,FALSE)),"")</f>
        <v>SONIA YAMILE ARTEAGA MELO</v>
      </c>
      <c r="L2189" s="11" t="str">
        <f>IFERROR(IF(VLOOKUP(A2189,[14]PRIORIZADOS!$A:$L,12,FALSE)="","",VLOOKUP(A2189,[14]PRIORIZADOS!$A:$L,12,FALSE)),"")</f>
        <v>JENNIFFER ESPERANZA GONZÁLEZ GÓMEZ</v>
      </c>
      <c r="M2189" s="71">
        <f>IFERROR(IF(VLOOKUP(A2189,[14]PRIORIZADOS!$A:$M,13,FALSE)="","",VLOOKUP(A2189,[14]PRIORIZADOS!$A:$M,13,FALSE)),"")</f>
        <v>45881</v>
      </c>
      <c r="N2189" s="71">
        <f>IFERROR(IF(VLOOKUP(A2189,[14]PRIORIZADOS!$A:$N,14,FALSE)="","",VLOOKUP(A2189,[14]PRIORIZADOS!$A:$N,14,FALSE)),"")</f>
        <v>45790</v>
      </c>
      <c r="O2189" s="71">
        <f>IFERROR(IF(VLOOKUP(A2189,[14]PRIORIZADOS!$A:$O,15,FALSE)="","",VLOOKUP(A2189,[14]PRIORIZADOS!$A:$O,15,FALSE)),"")</f>
        <v>45790</v>
      </c>
      <c r="P2189" s="11" t="str">
        <f>IFERROR(IF(VLOOKUP(A2189,[14]PRIORIZADOS!$A:$P,16,FALSE)="","",VLOOKUP(A2189,[14]PRIORIZADOS!$A:$P,16,FALSE)),"")</f>
        <v>Visitas de evaluación con fines de mejoramiento</v>
      </c>
      <c r="Q2189" s="7" t="s">
        <v>449</v>
      </c>
      <c r="R2189" s="11" t="str">
        <f>IFERROR(IF(VLOOKUP(A2189,[14]PRIORIZADOS!$A:$R,18,FALSE)="","",VLOOKUP(A2189,[14]PRIORIZADOS!$A:$R,18,FALSE)),"")</f>
        <v>La conformación de la planta administrativa es adecuada, se encuentran algunas aulas con poca ventilación e iluminación, y varios pupitres y tableros acrílicos en regular estado de conservación.</v>
      </c>
      <c r="S2189" s="11" t="str">
        <f>IFERROR(IF(VLOOKUP(A2189,[14]PRIORIZADOS!$A:$S,19,FALSE)="","",VLOOKUP(A2189,[14]PRIORIZADOS!$A:$S,19,FALSE)),"")</f>
        <v>Deben adelantarse acciones para mejorar ventilación e iluminación de algunas aulas, cambios y/o mantenimiento de mobiliario para estudiantes y reemplazo de algunos tableros.</v>
      </c>
      <c r="T2189" s="70" t="str">
        <f>IFERROR(IF(VLOOKUP(A2189,[14]PRIORIZADOS!$A:$T,20,FALSE)="","",VLOOKUP(A2189,[14]PRIORIZADOS!$A:$T,20,FALSE)),"")</f>
        <v>Si</v>
      </c>
      <c r="U2189" s="11" t="str">
        <f>IFERROR(IF(VLOOKUP(A2189,[14]PRIORIZADOS!$A:$U,21,FALSE)="","",VLOOKUP(A2189,[14]PRIORIZADOS!$A:$U,21,FALSE)),"")</f>
        <v>Verificación de las acciones a relaizar, mediante solicitud de reporte fotográfico o visita administrativa.</v>
      </c>
    </row>
    <row r="2190" spans="1:21" s="1" customFormat="1" ht="60">
      <c r="A2190" s="69">
        <f>IF([14]PRIORIZADOS!A237="","",[14]PRIORIZADOS!A237)</f>
        <v>2158</v>
      </c>
      <c r="B2190" s="70">
        <f>IFERROR(IF(VLOOKUP(A2190,[14]PRIORIZADOS!$A:$B,2,FALSE)="","",VLOOKUP(A2190,[14]PRIORIZADOS!$A:$B,2,FALSE)),"")</f>
        <v>26</v>
      </c>
      <c r="C2190" s="11" t="s">
        <v>424</v>
      </c>
      <c r="D2190" s="11" t="str">
        <f>IFERROR(IF(VLOOKUP(A2190,[14]PRIORIZADOS!$A:$D,4,FALSE)="","",VLOOKUP(A2190,[14]PRIORIZADOS!$A:$D,4,FALSE)),"")</f>
        <v>PRIVADO</v>
      </c>
      <c r="E2190" s="11" t="str">
        <f>IFERROR(IF(VLOOKUP(A2190,[14]PRIORIZADOS!$A:$E,5,FALSE)="","",VLOOKUP(A2190,[14]PRIORIZADOS!$A:$E,5,FALSE)),"")</f>
        <v>EPBM</v>
      </c>
      <c r="F2190" s="11" t="str">
        <f>IFERROR(IF(VLOOKUP(A2190,[14]PRIORIZADOS!$A:$F,6,FALSE)="","",VLOOKUP(A2190,[14]PRIORIZADOS!$A:$F,6,FALSE)),"")</f>
        <v>GIMNASIO_ESPECIALIZADO_DEL_NORTE</v>
      </c>
      <c r="G2190" s="11" t="str">
        <f>IFERROR(IF(VLOOKUP(A2190,[14]PRIORIZADOS!$A:$G,7,FALSE)="","",VLOOKUP(A2190,[14]PRIORIZADOS!$A:$G,7,FALSE)),"")</f>
        <v>GIMNASIO ESPECIALIZADO DEL NORTE</v>
      </c>
      <c r="H2190" s="11" t="str">
        <f>IFERROR(IF(VLOOKUP(A2190,[14]PRIORIZADOS!$A:$H,8,FALSE)="","",VLOOKUP(A2190,[14]PRIORIZADOS!$A:$H,8,FALSE)),"")</f>
        <v>Autoevaluación Institucional y Pruebas SABER 11</v>
      </c>
      <c r="I2190" s="11" t="str">
        <f>IFERROR(IF(VLOOKUP(A2190,[14]PRIORIZADOS!$A:$I,9,FALSE)="","",VLOOKUP(A2190,[14]PRIORIZADOS!$A:$I,9,FALSE)),"")</f>
        <v>SEGUIMIENTO_Y_SUPERVISIÓN.</v>
      </c>
      <c r="J2190" s="11" t="str">
        <f>IFERROR(IF(VLOOKUP(A2190,[14]PRIORIZADOS!$A:$J,10,FALSE)="","",VLOOKUP(A2190,[14]PRIORIZADOS!$A:$J,10,FALSE)),"")</f>
        <v>Realizar visitas para verificar la información registrada sobre la autoevaluación institucional en el aplicativo EVI, a los establecimientos de educación formal no oficial.</v>
      </c>
      <c r="K2190" s="11" t="str">
        <f>IFERROR(IF(VLOOKUP(A2190,[14]PRIORIZADOS!$A:$K,11,FALSE)="","",VLOOKUP(A2190,[14]PRIORIZADOS!$A:$K,11,FALSE)),"")</f>
        <v>GETULIO ALBERTO FLÓREZ MORENO</v>
      </c>
      <c r="L2190" s="11" t="str">
        <f>IFERROR(IF(VLOOKUP(A2190,[14]PRIORIZADOS!$A:$L,12,FALSE)="","",VLOOKUP(A2190,[14]PRIORIZADOS!$A:$L,12,FALSE)),"")</f>
        <v>MARÍA LILIA MENDEZ DE BUITRAGO</v>
      </c>
      <c r="M2190" s="71">
        <f>IFERROR(IF(VLOOKUP(A2190,[14]PRIORIZADOS!$A:$M,13,FALSE)="","",VLOOKUP(A2190,[14]PRIORIZADOS!$A:$M,13,FALSE)),"")</f>
        <v>45904</v>
      </c>
      <c r="N2190" s="71">
        <f>IFERROR(IF(VLOOKUP(A2190,[14]PRIORIZADOS!$A:$N,14,FALSE)="","",VLOOKUP(A2190,[14]PRIORIZADOS!$A:$N,14,FALSE)),"")</f>
        <v>45720</v>
      </c>
      <c r="O2190" s="71">
        <f>IFERROR(IF(VLOOKUP(A2190,[14]PRIORIZADOS!$A:$O,15,FALSE)="","",VLOOKUP(A2190,[14]PRIORIZADOS!$A:$O,15,FALSE)),"")</f>
        <v>45720</v>
      </c>
      <c r="P2190" s="11" t="str">
        <f>IFERROR(IF(VLOOKUP(A2190,[14]PRIORIZADOS!$A:$P,16,FALSE)="","",VLOOKUP(A2190,[14]PRIORIZADOS!$A:$P,16,FALSE)),"")</f>
        <v>Visitas de evaluación con fines de seguimiento</v>
      </c>
      <c r="Q2190" s="7" t="s">
        <v>450</v>
      </c>
      <c r="R2190" s="11" t="str">
        <f>IFERROR(IF(VLOOKUP(A2190,[14]PRIORIZADOS!$A:$R,18,FALSE)="","",VLOOKUP(A2190,[14]PRIORIZADOS!$A:$R,18,FALSE)),"")</f>
        <v>Presentaron el diligenciamiento del aplicativo EVI en debida forma y se verifica que se cobran a los padres de familia los mismos valores aprobados en la Resolución de costos educativos.</v>
      </c>
      <c r="S2190" s="11" t="str">
        <f>IFERROR(IF(VLOOKUP(A2190,[14]PRIORIZADOS!$A:$S,19,FALSE)="","",VLOOKUP(A2190,[14]PRIORIZADOS!$A:$S,19,FALSE)),"")</f>
        <v xml:space="preserve">Se sugiere publicar la Resolución en un lugar visible para la comunidad educativa. </v>
      </c>
      <c r="T2190" s="70" t="str">
        <f>IFERROR(IF(VLOOKUP(A2190,[14]PRIORIZADOS!$A:$T,20,FALSE)="","",VLOOKUP(A2190,[14]PRIORIZADOS!$A:$T,20,FALSE)),"")</f>
        <v>No</v>
      </c>
      <c r="U2190" s="11" t="str">
        <f>IFERROR(IF(VLOOKUP(A2190,[14]PRIORIZADOS!$A:$U,21,FALSE)="","",VLOOKUP(A2190,[14]PRIORIZADOS!$A:$U,21,FALSE)),"")</f>
        <v/>
      </c>
    </row>
    <row r="2191" spans="1:21" s="1" customFormat="1" ht="72">
      <c r="A2191" s="69">
        <f>IF([14]PRIORIZADOS!A238="","",[14]PRIORIZADOS!A238)</f>
        <v>2159</v>
      </c>
      <c r="B2191" s="70">
        <f>IFERROR(IF(VLOOKUP(A2191,[14]PRIORIZADOS!$A:$B,2,FALSE)="","",VLOOKUP(A2191,[14]PRIORIZADOS!$A:$B,2,FALSE)),"")</f>
        <v>26</v>
      </c>
      <c r="C2191" s="11" t="s">
        <v>424</v>
      </c>
      <c r="D2191" s="11" t="str">
        <f>IFERROR(IF(VLOOKUP(A2191,[14]PRIORIZADOS!$A:$D,4,FALSE)="","",VLOOKUP(A2191,[14]PRIORIZADOS!$A:$D,4,FALSE)),"")</f>
        <v>PRIVADO</v>
      </c>
      <c r="E2191" s="11" t="str">
        <f>IFERROR(IF(VLOOKUP(A2191,[14]PRIORIZADOS!$A:$E,5,FALSE)="","",VLOOKUP(A2191,[14]PRIORIZADOS!$A:$E,5,FALSE)),"")</f>
        <v>EPBM</v>
      </c>
      <c r="F2191" s="11" t="str">
        <f>IFERROR(IF(VLOOKUP(A2191,[14]PRIORIZADOS!$A:$F,6,FALSE)="","",VLOOKUP(A2191,[14]PRIORIZADOS!$A:$F,6,FALSE)),"")</f>
        <v>GIMNASIO_ESPECIALIZADO_DEL_NORTE</v>
      </c>
      <c r="G2191" s="11" t="str">
        <f>IFERROR(IF(VLOOKUP(A2191,[14]PRIORIZADOS!$A:$G,7,FALSE)="","",VLOOKUP(A2191,[14]PRIORIZADOS!$A:$G,7,FALSE)),"")</f>
        <v>GIMNASIO ESPECIALIZADO DEL NORTE</v>
      </c>
      <c r="H2191" s="11" t="str">
        <f>IFERROR(IF(VLOOKUP(A2191,[14]PRIORIZADOS!$A:$H,8,FALSE)="","",VLOOKUP(A2191,[14]PRIORIZADOS!$A:$H,8,FALSE)),"")</f>
        <v>Autoevaluación Institucional y Pruebas SABER 11</v>
      </c>
      <c r="I2191" s="11" t="str">
        <f>IFERROR(IF(VLOOKUP(A2191,[14]PRIORIZADOS!$A:$I,9,FALSE)="","",VLOOKUP(A2191,[14]PRIORIZADOS!$A:$I,9,FALSE)),"")</f>
        <v>SEGUIMIENTO_Y_SUPERVISIÓN.</v>
      </c>
      <c r="J2191" s="11" t="str">
        <f>IFERROR(IF(VLOOKUP(A2191,[14]PRIORIZADOS!$A:$J,10,FALSE)="","",VLOOKUP(A2191,[14]PRIORIZADOS!$A:$J,10,FALSE)),"")</f>
        <v>Proponer estrategias en la formulación, verificar su elaboración y realizar seguimiento semestral al desarrollo de  las acciones establecidas en los planes de mejoramiento por pruebas SABER 11 de los establecimientos de educación formal.</v>
      </c>
      <c r="K2191" s="11" t="str">
        <f>IFERROR(IF(VLOOKUP(A2191,[14]PRIORIZADOS!$A:$K,11,FALSE)="","",VLOOKUP(A2191,[14]PRIORIZADOS!$A:$K,11,FALSE)),"")</f>
        <v>GETULIO ALBERTO FLÓREZ MORENO</v>
      </c>
      <c r="L2191" s="11" t="str">
        <f>IFERROR(IF(VLOOKUP(A2191,[14]PRIORIZADOS!$A:$L,12,FALSE)="","",VLOOKUP(A2191,[14]PRIORIZADOS!$A:$L,12,FALSE)),"")</f>
        <v>MARÍA LILIA MENDEZ DE BUITRAGO</v>
      </c>
      <c r="M2191" s="71">
        <f>IFERROR(IF(VLOOKUP(A2191,[14]PRIORIZADOS!$A:$M,13,FALSE)="","",VLOOKUP(A2191,[14]PRIORIZADOS!$A:$M,13,FALSE)),"")</f>
        <v>45904</v>
      </c>
      <c r="N2191" s="71">
        <f>IFERROR(IF(VLOOKUP(A2191,[14]PRIORIZADOS!$A:$N,14,FALSE)="","",VLOOKUP(A2191,[14]PRIORIZADOS!$A:$N,14,FALSE)),"")</f>
        <v>45720</v>
      </c>
      <c r="O2191" s="71">
        <f>IFERROR(IF(VLOOKUP(A2191,[14]PRIORIZADOS!$A:$O,15,FALSE)="","",VLOOKUP(A2191,[14]PRIORIZADOS!$A:$O,15,FALSE)),"")</f>
        <v>45720</v>
      </c>
      <c r="P2191" s="11" t="str">
        <f>IFERROR(IF(VLOOKUP(A2191,[14]PRIORIZADOS!$A:$P,16,FALSE)="","",VLOOKUP(A2191,[14]PRIORIZADOS!$A:$P,16,FALSE)),"")</f>
        <v>Visitas de evaluación con fines de seguimiento</v>
      </c>
      <c r="Q2191" s="7" t="s">
        <v>450</v>
      </c>
      <c r="R2191" s="11" t="str">
        <f>IFERROR(IF(VLOOKUP(A2191,[14]PRIORIZADOS!$A:$R,18,FALSE)="","",VLOOKUP(A2191,[14]PRIORIZADOS!$A:$R,18,FALSE)),"")</f>
        <v xml:space="preserve">Al colegio no lo clasifican en las pruebas SABER por la baja población en grado 11. </v>
      </c>
      <c r="S2191" s="11" t="str">
        <f>IFERROR(IF(VLOOKUP(A2191,[14]PRIORIZADOS!$A:$S,19,FALSE)="","",VLOOKUP(A2191,[14]PRIORIZADOS!$A:$S,19,FALSE)),"")</f>
        <v>Se sugiere revisar lo que el icfes evalua a la población con discapacidad para que el colegio incorpore esta información y de esta forma se familiarce con las pruebas y se tenga en cuenta en su sistema de evaluación.</v>
      </c>
      <c r="T2191" s="70" t="str">
        <f>IFERROR(IF(VLOOKUP(A2191,[14]PRIORIZADOS!$A:$T,20,FALSE)="","",VLOOKUP(A2191,[14]PRIORIZADOS!$A:$T,20,FALSE)),"")</f>
        <v>Si</v>
      </c>
      <c r="U2191" s="11" t="str">
        <f>IFERROR(IF(VLOOKUP(A2191,[14]PRIORIZADOS!$A:$U,21,FALSE)="","",VLOOKUP(A2191,[14]PRIORIZADOS!$A:$U,21,FALSE)),"")</f>
        <v>Por ser institución educativa con alto porcentaje de menores en condiciones de discapacidad, para el SIE se sugiere armonizarlo con la población en condición especial con base en los requerimientos de las pruebas saber.</v>
      </c>
    </row>
    <row r="2192" spans="1:21" s="1" customFormat="1" ht="48">
      <c r="A2192" s="69">
        <f>IF([14]PRIORIZADOS!A239="","",[14]PRIORIZADOS!A239)</f>
        <v>2160</v>
      </c>
      <c r="B2192" s="70">
        <f>IFERROR(IF(VLOOKUP(A2192,[14]PRIORIZADOS!$A:$B,2,FALSE)="","",VLOOKUP(A2192,[14]PRIORIZADOS!$A:$B,2,FALSE)),"")</f>
        <v>26</v>
      </c>
      <c r="C2192" s="11" t="s">
        <v>424</v>
      </c>
      <c r="D2192" s="11" t="str">
        <f>IFERROR(IF(VLOOKUP(A2192,[14]PRIORIZADOS!$A:$D,4,FALSE)="","",VLOOKUP(A2192,[14]PRIORIZADOS!$A:$D,4,FALSE)),"")</f>
        <v>PRIVADO</v>
      </c>
      <c r="E2192" s="11" t="str">
        <f>IFERROR(IF(VLOOKUP(A2192,[14]PRIORIZADOS!$A:$E,5,FALSE)="","",VLOOKUP(A2192,[14]PRIORIZADOS!$A:$E,5,FALSE)),"")</f>
        <v>EPBM</v>
      </c>
      <c r="F2192" s="11" t="str">
        <f>IFERROR(IF(VLOOKUP(A2192,[14]PRIORIZADOS!$A:$F,6,FALSE)="","",VLOOKUP(A2192,[14]PRIORIZADOS!$A:$F,6,FALSE)),"")</f>
        <v>GIMNASIO_ESPECIALIZADO_DEL_NORTE</v>
      </c>
      <c r="G2192" s="11" t="str">
        <f>IFERROR(IF(VLOOKUP(A2192,[14]PRIORIZADOS!$A:$G,7,FALSE)="","",VLOOKUP(A2192,[14]PRIORIZADOS!$A:$G,7,FALSE)),"")</f>
        <v>GIMNASIO ESPECIALIZADO DEL NORTE</v>
      </c>
      <c r="H2192" s="11" t="str">
        <f>IFERROR(IF(VLOOKUP(A2192,[14]PRIORIZADOS!$A:$H,8,FALSE)="","",VLOOKUP(A2192,[14]PRIORIZADOS!$A:$H,8,FALSE)),"")</f>
        <v>Autoevaluación Institucional y Pruebas SABER 11</v>
      </c>
      <c r="I2192" s="11" t="str">
        <f>IFERROR(IF(VLOOKUP(A2192,[14]PRIORIZADOS!$A:$I,9,FALSE)="","",VLOOKUP(A2192,[14]PRIORIZADOS!$A:$I,9,FALSE)),"")</f>
        <v>SEGUIMIENTO_Y_SUPERVISIÓN.</v>
      </c>
      <c r="J2192" s="11" t="str">
        <f>IFERROR(IF(VLOOKUP(A2192,[14]PRIORIZADOS!$A:$J,10,FALSE)="","",VLOOKUP(A2192,[14]PRIORIZADOS!$A:$J,10,FALSE)),"")</f>
        <v xml:space="preserve">Verificar la implementación por parte de los colegios, de acciones realizadas para la prevención y atención de las situaciones de convivencia en el entorno escolar, según lo establecido en la Directiva 01 de 2022 del MEN. </v>
      </c>
      <c r="K2192" s="11" t="str">
        <f>IFERROR(IF(VLOOKUP(A2192,[14]PRIORIZADOS!$A:$K,11,FALSE)="","",VLOOKUP(A2192,[14]PRIORIZADOS!$A:$K,11,FALSE)),"")</f>
        <v>GETULIO ALBERTO FLÓREZ MORENO</v>
      </c>
      <c r="L2192" s="11" t="str">
        <f>IFERROR(IF(VLOOKUP(A2192,[14]PRIORIZADOS!$A:$L,12,FALSE)="","",VLOOKUP(A2192,[14]PRIORIZADOS!$A:$L,12,FALSE)),"")</f>
        <v>MARÍA LILIA MENDEZ DE BUITRAGO</v>
      </c>
      <c r="M2192" s="71">
        <f>IFERROR(IF(VLOOKUP(A2192,[14]PRIORIZADOS!$A:$M,13,FALSE)="","",VLOOKUP(A2192,[14]PRIORIZADOS!$A:$M,13,FALSE)),"")</f>
        <v>45904</v>
      </c>
      <c r="N2192" s="71">
        <f>IFERROR(IF(VLOOKUP(A2192,[14]PRIORIZADOS!$A:$N,14,FALSE)="","",VLOOKUP(A2192,[14]PRIORIZADOS!$A:$N,14,FALSE)),"")</f>
        <v>45720</v>
      </c>
      <c r="O2192" s="71">
        <f>IFERROR(IF(VLOOKUP(A2192,[14]PRIORIZADOS!$A:$O,15,FALSE)="","",VLOOKUP(A2192,[14]PRIORIZADOS!$A:$O,15,FALSE)),"")</f>
        <v>45720</v>
      </c>
      <c r="P2192" s="11" t="str">
        <f>IFERROR(IF(VLOOKUP(A2192,[14]PRIORIZADOS!$A:$P,16,FALSE)="","",VLOOKUP(A2192,[14]PRIORIZADOS!$A:$P,16,FALSE)),"")</f>
        <v>Visitas de evaluación con fines de seguimiento</v>
      </c>
      <c r="Q2192" s="7" t="s">
        <v>450</v>
      </c>
      <c r="R2192" s="11" t="str">
        <f>IFERROR(IF(VLOOKUP(A2192,[14]PRIORIZADOS!$A:$R,18,FALSE)="","",VLOOKUP(A2192,[14]PRIORIZADOS!$A:$R,18,FALSE)),"")</f>
        <v xml:space="preserve">Aunque se realiza la consulta de las inhabilidades del personal vinculadono al inicio del año no lo hacen cada 4 meses. </v>
      </c>
      <c r="S2192" s="11" t="str">
        <f>IFERROR(IF(VLOOKUP(A2192,[14]PRIORIZADOS!$A:$S,19,FALSE)="","",VLOOKUP(A2192,[14]PRIORIZADOS!$A:$S,19,FALSE)),"")</f>
        <v>Se orienta adelantar esta actividad en el tiempo estipulado.</v>
      </c>
      <c r="T2192" s="70" t="str">
        <f>IFERROR(IF(VLOOKUP(A2192,[14]PRIORIZADOS!$A:$T,20,FALSE)="","",VLOOKUP(A2192,[14]PRIORIZADOS!$A:$T,20,FALSE)),"")</f>
        <v>Si</v>
      </c>
      <c r="U2192" s="11" t="str">
        <f>IFERROR(IF(VLOOKUP(A2192,[14]PRIORIZADOS!$A:$U,21,FALSE)="","",VLOOKUP(A2192,[14]PRIORIZADOS!$A:$U,21,FALSE)),"")</f>
        <v xml:space="preserve">Actualizar la revisión del certificado de antecedentes de inhabilidades por delitos sexuales para todos los docentes y personal administrativo del colegio. </v>
      </c>
    </row>
    <row r="2193" spans="1:21" s="1" customFormat="1" ht="72">
      <c r="A2193" s="69">
        <f>IF([14]PRIORIZADOS!A240="","",[14]PRIORIZADOS!A240)</f>
        <v>2161</v>
      </c>
      <c r="B2193" s="70">
        <f>IFERROR(IF(VLOOKUP(A2193,[14]PRIORIZADOS!$A:$B,2,FALSE)="","",VLOOKUP(A2193,[14]PRIORIZADOS!$A:$B,2,FALSE)),"")</f>
        <v>26</v>
      </c>
      <c r="C2193" s="11" t="s">
        <v>424</v>
      </c>
      <c r="D2193" s="11" t="str">
        <f>IFERROR(IF(VLOOKUP(A2193,[14]PRIORIZADOS!$A:$D,4,FALSE)="","",VLOOKUP(A2193,[14]PRIORIZADOS!$A:$D,4,FALSE)),"")</f>
        <v>PRIVADO</v>
      </c>
      <c r="E2193" s="11" t="str">
        <f>IFERROR(IF(VLOOKUP(A2193,[14]PRIORIZADOS!$A:$E,5,FALSE)="","",VLOOKUP(A2193,[14]PRIORIZADOS!$A:$E,5,FALSE)),"")</f>
        <v>EPBM</v>
      </c>
      <c r="F2193" s="11" t="str">
        <f>IFERROR(IF(VLOOKUP(A2193,[14]PRIORIZADOS!$A:$F,6,FALSE)="","",VLOOKUP(A2193,[14]PRIORIZADOS!$A:$F,6,FALSE)),"")</f>
        <v>GIMNASIO_ESPECIALIZADO_DEL_NORTE</v>
      </c>
      <c r="G2193" s="11" t="str">
        <f>IFERROR(IF(VLOOKUP(A2193,[14]PRIORIZADOS!$A:$G,7,FALSE)="","",VLOOKUP(A2193,[14]PRIORIZADOS!$A:$G,7,FALSE)),"")</f>
        <v>GIMNASIO ESPECIALIZADO DEL NORTE</v>
      </c>
      <c r="H2193" s="11" t="str">
        <f>IFERROR(IF(VLOOKUP(A2193,[14]PRIORIZADOS!$A:$H,8,FALSE)="","",VLOOKUP(A2193,[14]PRIORIZADOS!$A:$H,8,FALSE)),"")</f>
        <v>Autoevaluación Institucional y Pruebas SABER 11</v>
      </c>
      <c r="I2193" s="11" t="str">
        <f>IFERROR(IF(VLOOKUP(A2193,[14]PRIORIZADOS!$A:$I,9,FALSE)="","",VLOOKUP(A2193,[14]PRIORIZADOS!$A:$I,9,FALSE)),"")</f>
        <v>SEGUIMIENTO_Y_SUPERVISIÓN.</v>
      </c>
      <c r="J2193" s="11" t="str">
        <f>IFERROR(IF(VLOOKUP(A2193,[14]PRIORIZADOS!$A:$J,10,FALSE)="","",VLOOKUP(A2193,[14]PRIORIZADOS!$A:$J,10,FALSE)),"")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193" s="11" t="str">
        <f>IFERROR(IF(VLOOKUP(A2193,[14]PRIORIZADOS!$A:$K,11,FALSE)="","",VLOOKUP(A2193,[14]PRIORIZADOS!$A:$K,11,FALSE)),"")</f>
        <v>GETULIO ALBERTO FLÓREZ MORENO</v>
      </c>
      <c r="L2193" s="11" t="str">
        <f>IFERROR(IF(VLOOKUP(A2193,[14]PRIORIZADOS!$A:$L,12,FALSE)="","",VLOOKUP(A2193,[14]PRIORIZADOS!$A:$L,12,FALSE)),"")</f>
        <v>MARÍA LILIA MENDEZ DE BUITRAGO</v>
      </c>
      <c r="M2193" s="71">
        <f>IFERROR(IF(VLOOKUP(A2193,[14]PRIORIZADOS!$A:$M,13,FALSE)="","",VLOOKUP(A2193,[14]PRIORIZADOS!$A:$M,13,FALSE)),"")</f>
        <v>45904</v>
      </c>
      <c r="N2193" s="71">
        <f>IFERROR(IF(VLOOKUP(A2193,[14]PRIORIZADOS!$A:$N,14,FALSE)="","",VLOOKUP(A2193,[14]PRIORIZADOS!$A:$N,14,FALSE)),"")</f>
        <v>45720</v>
      </c>
      <c r="O2193" s="71">
        <f>IFERROR(IF(VLOOKUP(A2193,[14]PRIORIZADOS!$A:$O,15,FALSE)="","",VLOOKUP(A2193,[14]PRIORIZADOS!$A:$O,15,FALSE)),"")</f>
        <v>45720</v>
      </c>
      <c r="P2193" s="11" t="str">
        <f>IFERROR(IF(VLOOKUP(A2193,[14]PRIORIZADOS!$A:$P,16,FALSE)="","",VLOOKUP(A2193,[14]PRIORIZADOS!$A:$P,16,FALSE)),"")</f>
        <v>Visitas de evaluación con fines de seguimiento</v>
      </c>
      <c r="Q2193" s="7" t="s">
        <v>450</v>
      </c>
      <c r="R2193" s="11" t="str">
        <f>IFERROR(IF(VLOOKUP(A2193,[14]PRIORIZADOS!$A:$R,18,FALSE)="","",VLOOKUP(A2193,[14]PRIORIZADOS!$A:$R,18,FALSE)),"")</f>
        <v xml:space="preserve">Posterior a la revisión de la documentación entregada por el colegio se evidencia el diligenciamiento y consolidación de los correspondientes  PIAR.en las AZ respectivas. El algunos no se observa las firmas de los padres de familia. </v>
      </c>
      <c r="S2193" s="11" t="str">
        <f>IFERROR(IF(VLOOKUP(A2193,[14]PRIORIZADOS!$A:$S,19,FALSE)="","",VLOOKUP(A2193,[14]PRIORIZADOS!$A:$S,19,FALSE)),"")</f>
        <v>Se sugiere la firma el PIAR por parte de los padres de familia.</v>
      </c>
      <c r="T2193" s="70" t="str">
        <f>IFERROR(IF(VLOOKUP(A2193,[14]PRIORIZADOS!$A:$T,20,FALSE)="","",VLOOKUP(A2193,[14]PRIORIZADOS!$A:$T,20,FALSE)),"")</f>
        <v>Si</v>
      </c>
      <c r="U2193" s="11" t="str">
        <f>IFERROR(IF(VLOOKUP(A2193,[14]PRIORIZADOS!$A:$U,21,FALSE)="","",VLOOKUP(A2193,[14]PRIORIZADOS!$A:$U,21,FALSE)),"")</f>
        <v xml:space="preserve">Se verificarán los PIAR firmados por los padres de familia. </v>
      </c>
    </row>
    <row r="2194" spans="1:21" s="1" customFormat="1" ht="178.5">
      <c r="A2194" s="69">
        <f>IF([14]PRIORIZADOS!A241="","",[14]PRIORIZADOS!A241)</f>
        <v>2162</v>
      </c>
      <c r="B2194" s="70">
        <f>IFERROR(IF(VLOOKUP(A2194,[14]PRIORIZADOS!$A:$B,2,FALSE)="","",VLOOKUP(A2194,[14]PRIORIZADOS!$A:$B,2,FALSE)),"")</f>
        <v>26</v>
      </c>
      <c r="C2194" s="11" t="s">
        <v>424</v>
      </c>
      <c r="D2194" s="11" t="str">
        <f>IFERROR(IF(VLOOKUP(A2194,[14]PRIORIZADOS!$A:$D,4,FALSE)="","",VLOOKUP(A2194,[14]PRIORIZADOS!$A:$D,4,FALSE)),"")</f>
        <v>PRIVADO</v>
      </c>
      <c r="E2194" s="11" t="str">
        <f>IFERROR(IF(VLOOKUP(A2194,[14]PRIORIZADOS!$A:$E,5,FALSE)="","",VLOOKUP(A2194,[14]PRIORIZADOS!$A:$E,5,FALSE)),"")</f>
        <v>EPBM</v>
      </c>
      <c r="F2194" s="11" t="str">
        <f>IFERROR(IF(VLOOKUP(A2194,[14]PRIORIZADOS!$A:$F,6,FALSE)="","",VLOOKUP(A2194,[14]PRIORIZADOS!$A:$F,6,FALSE)),"")</f>
        <v>GIMNASIO_ESPECIALIZADO_DEL_NORTE</v>
      </c>
      <c r="G2194" s="11" t="str">
        <f>IFERROR(IF(VLOOKUP(A2194,[14]PRIORIZADOS!$A:$G,7,FALSE)="","",VLOOKUP(A2194,[14]PRIORIZADOS!$A:$G,7,FALSE)),"")</f>
        <v>GIMNASIO ESPECIALIZADO DEL NORTE</v>
      </c>
      <c r="H2194" s="11" t="str">
        <f>IFERROR(IF(VLOOKUP(A2194,[14]PRIORIZADOS!$A:$H,8,FALSE)="","",VLOOKUP(A2194,[14]PRIORIZADOS!$A:$H,8,FALSE)),"")</f>
        <v>Autoevaluación Institucional y Pruebas SABER 11</v>
      </c>
      <c r="I2194" s="11" t="str">
        <f>IFERROR(IF(VLOOKUP(A2194,[14]PRIORIZADOS!$A:$I,9,FALSE)="","",VLOOKUP(A2194,[14]PRIORIZADOS!$A:$I,9,FALSE)),"")</f>
        <v>EVALUACIÓN_CON_FINES_DE_MEJORAMIENTO.</v>
      </c>
      <c r="J2194" s="11" t="str">
        <f>IFERROR(IF(VLOOKUP(A2194,[14]PRIORIZADOS!$A:$J,10,FALSE)="","",VLOOKUP(A2194,[14]PRIORIZADOS!$A:$J,10,FALSE)),"")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194" s="11" t="str">
        <f>IFERROR(IF(VLOOKUP(A2194,[14]PRIORIZADOS!$A:$K,11,FALSE)="","",VLOOKUP(A2194,[14]PRIORIZADOS!$A:$K,11,FALSE)),"")</f>
        <v>GETULIO ALBERTO FLÓREZ MORENO</v>
      </c>
      <c r="L2194" s="11" t="str">
        <f>IFERROR(IF(VLOOKUP(A2194,[14]PRIORIZADOS!$A:$L,12,FALSE)="","",VLOOKUP(A2194,[14]PRIORIZADOS!$A:$L,12,FALSE)),"")</f>
        <v>MARÍA LILIA MENDEZ DE BUITRAGO</v>
      </c>
      <c r="M2194" s="71">
        <f>IFERROR(IF(VLOOKUP(A2194,[14]PRIORIZADOS!$A:$M,13,FALSE)="","",VLOOKUP(A2194,[14]PRIORIZADOS!$A:$M,13,FALSE)),"")</f>
        <v>45904</v>
      </c>
      <c r="N2194" s="71">
        <f>IFERROR(IF(VLOOKUP(A2194,[14]PRIORIZADOS!$A:$N,14,FALSE)="","",VLOOKUP(A2194,[14]PRIORIZADOS!$A:$N,14,FALSE)),"")</f>
        <v>45720</v>
      </c>
      <c r="O2194" s="71">
        <f>IFERROR(IF(VLOOKUP(A2194,[14]PRIORIZADOS!$A:$O,15,FALSE)="","",VLOOKUP(A2194,[14]PRIORIZADOS!$A:$O,15,FALSE)),"")</f>
        <v>45720</v>
      </c>
      <c r="P2194" s="11" t="str">
        <f>IFERROR(IF(VLOOKUP(A2194,[14]PRIORIZADOS!$A:$P,16,FALSE)="","",VLOOKUP(A2194,[14]PRIORIZADOS!$A:$P,16,FALSE)),"")</f>
        <v>Visitas de evaluación con fines de mejoramiento</v>
      </c>
      <c r="Q2194" s="7" t="s">
        <v>450</v>
      </c>
      <c r="R2194" s="11" t="str">
        <f>IFERROR(IF(VLOOKUP(A2194,[14]PRIORIZADOS!$A:$R,18,FALSE)="","",VLOOKUP(A2194,[14]PRIORIZADOS!$A:$R,18,FALSE)),"")</f>
        <v>En la lectura y análisis del Manual se evidencia que en la misión es importante reevaluarla para tener en cuenta la educación regular, conservando el enfoque inclusivo.                   En la visión es fundamental proyectase en el mediano plazo (10 años) y tener en cuenta el ajuste de  educación regular conservando el enfoque inclusivo.                                                            Se recomienda la revisión del componente de educación inicial teniendo en cuenta los lineamiento del MEN en educación inicial, referentes tecnicos, activiudades rectoras y en general lo establecido en el Decreto 1411 de 2022.</v>
      </c>
      <c r="S2194" s="11" t="str">
        <f>IFERROR(IF(VLOOKUP(A2194,[14]PRIORIZADOS!$A:$S,19,FALSE)="","",VLOOKUP(A2194,[14]PRIORIZADOS!$A:$S,19,FALSE)),"")</f>
        <v xml:space="preserve">Posterior a la revisión del Manual de Convivencia se observa que cumple con los contenidos fundamentales, no obstante hay que hacer los ajustes mencionados en la situación encontrada.  </v>
      </c>
      <c r="T2194" s="70" t="str">
        <f>IFERROR(IF(VLOOKUP(A2194,[14]PRIORIZADOS!$A:$T,20,FALSE)="","",VLOOKUP(A2194,[14]PRIORIZADOS!$A:$T,20,FALSE)),"")</f>
        <v>Si</v>
      </c>
      <c r="U2194" s="11" t="str">
        <f>IFERROR(IF(VLOOKUP(A2194,[14]PRIORIZADOS!$A:$U,21,FALSE)="","",VLOOKUP(A2194,[14]PRIORIZADOS!$A:$U,21,FALSE)),"")</f>
        <v xml:space="preserve">Seguimiento sobre el ajuste y actualización de la Misión institucional incluyendo en enfoque de educación regular.   Seguimiento al ajuste y actualización de la Visión institucional incluyendo en enfoque de educación regular, y ampliando la proyección institucional.                                       </v>
      </c>
    </row>
    <row r="2195" spans="1:21" s="1" customFormat="1" ht="130.5">
      <c r="A2195" s="69">
        <f>IF([14]PRIORIZADOS!A242="","",[14]PRIORIZADOS!A242)</f>
        <v>2163</v>
      </c>
      <c r="B2195" s="70">
        <f>IFERROR(IF(VLOOKUP(A2195,[14]PRIORIZADOS!$A:$B,2,FALSE)="","",VLOOKUP(A2195,[14]PRIORIZADOS!$A:$B,2,FALSE)),"")</f>
        <v>26</v>
      </c>
      <c r="C2195" s="11" t="s">
        <v>424</v>
      </c>
      <c r="D2195" s="11" t="str">
        <f>IFERROR(IF(VLOOKUP(A2195,[14]PRIORIZADOS!$A:$D,4,FALSE)="","",VLOOKUP(A2195,[14]PRIORIZADOS!$A:$D,4,FALSE)),"")</f>
        <v>PRIVADO</v>
      </c>
      <c r="E2195" s="11" t="str">
        <f>IFERROR(IF(VLOOKUP(A2195,[14]PRIORIZADOS!$A:$E,5,FALSE)="","",VLOOKUP(A2195,[14]PRIORIZADOS!$A:$E,5,FALSE)),"")</f>
        <v>EPBM</v>
      </c>
      <c r="F2195" s="11" t="str">
        <f>IFERROR(IF(VLOOKUP(A2195,[14]PRIORIZADOS!$A:$F,6,FALSE)="","",VLOOKUP(A2195,[14]PRIORIZADOS!$A:$F,6,FALSE)),"")</f>
        <v>GIMNASIO_ESPECIALIZADO_DEL_NORTE</v>
      </c>
      <c r="G2195" s="11" t="str">
        <f>IFERROR(IF(VLOOKUP(A2195,[14]PRIORIZADOS!$A:$G,7,FALSE)="","",VLOOKUP(A2195,[14]PRIORIZADOS!$A:$G,7,FALSE)),"")</f>
        <v>GIMNASIO ESPECIALIZADO DEL NORTE</v>
      </c>
      <c r="H2195" s="11" t="str">
        <f>IFERROR(IF(VLOOKUP(A2195,[14]PRIORIZADOS!$A:$H,8,FALSE)="","",VLOOKUP(A2195,[14]PRIORIZADOS!$A:$H,8,FALSE)),"")</f>
        <v>Autoevaluación Institucional y Pruebas SABER 11</v>
      </c>
      <c r="I2195" s="11" t="str">
        <f>IFERROR(IF(VLOOKUP(A2195,[14]PRIORIZADOS!$A:$I,9,FALSE)="","",VLOOKUP(A2195,[14]PRIORIZADOS!$A:$I,9,FALSE)),"")</f>
        <v>EVALUACIÓN_CON_FINES_DE_MEJORAMIENTO.</v>
      </c>
      <c r="J2195" s="11" t="str">
        <f>IFERROR(IF(VLOOKUP(A2195,[14]PRIORIZADOS!$A:$J,10,FALSE)="","",VLOOKUP(A2195,[14]PRIORIZADOS!$A:$J,10,FALSE)),"")</f>
        <v>Revisar la actualización, socialización e implementación del Sistema Institucional de Evaluación de Estudiantes - SIEE, en articulación con la actualización del PEI y la normatividad vigente.</v>
      </c>
      <c r="K2195" s="11" t="str">
        <f>IFERROR(IF(VLOOKUP(A2195,[14]PRIORIZADOS!$A:$K,11,FALSE)="","",VLOOKUP(A2195,[14]PRIORIZADOS!$A:$K,11,FALSE)),"")</f>
        <v>GETULIO ALBERTO FLÓREZ MORENO</v>
      </c>
      <c r="L2195" s="11" t="str">
        <f>IFERROR(IF(VLOOKUP(A2195,[14]PRIORIZADOS!$A:$L,12,FALSE)="","",VLOOKUP(A2195,[14]PRIORIZADOS!$A:$L,12,FALSE)),"")</f>
        <v>MARÍA LILIA MENDEZ DE BUITRAGO</v>
      </c>
      <c r="M2195" s="71">
        <f>IFERROR(IF(VLOOKUP(A2195,[14]PRIORIZADOS!$A:$M,13,FALSE)="","",VLOOKUP(A2195,[14]PRIORIZADOS!$A:$M,13,FALSE)),"")</f>
        <v>45904</v>
      </c>
      <c r="N2195" s="71">
        <f>IFERROR(IF(VLOOKUP(A2195,[14]PRIORIZADOS!$A:$N,14,FALSE)="","",VLOOKUP(A2195,[14]PRIORIZADOS!$A:$N,14,FALSE)),"")</f>
        <v>45720</v>
      </c>
      <c r="O2195" s="71">
        <f>IFERROR(IF(VLOOKUP(A2195,[14]PRIORIZADOS!$A:$O,15,FALSE)="","",VLOOKUP(A2195,[14]PRIORIZADOS!$A:$O,15,FALSE)),"")</f>
        <v>45720</v>
      </c>
      <c r="P2195" s="11" t="str">
        <f>IFERROR(IF(VLOOKUP(A2195,[14]PRIORIZADOS!$A:$P,16,FALSE)="","",VLOOKUP(A2195,[14]PRIORIZADOS!$A:$P,16,FALSE)),"")</f>
        <v>Visitas de evaluación con fines de mejoramiento</v>
      </c>
      <c r="Q2195" s="7" t="s">
        <v>450</v>
      </c>
      <c r="R2195" s="11" t="str">
        <f>IFERROR(IF(VLOOKUP(A2195,[14]PRIORIZADOS!$A:$R,18,FALSE)="","",VLOOKUP(A2195,[14]PRIORIZADOS!$A:$R,18,FALSE)),"")</f>
        <v>En la revisión del Sistema Institucional de Evaluación se evidencia poca articulación de las pruebas y estrategias  aplicadas a la población en condición especial con los requerimientos de las pruebas saber.</v>
      </c>
      <c r="S2195" s="11" t="str">
        <f>IFERROR(IF(VLOOKUP(A2195,[14]PRIORIZADOS!$A:$S,19,FALSE)="","",VLOOKUP(A2195,[14]PRIORIZADOS!$A:$S,19,FALSE)),"")</f>
        <v>Como compromiso se acuerda Indagar con la entidad ICFES como se evalúa la población estudiantil con discapacidad, para así ajustar las planeaciones de grado 11° "preparación de presentación de las pruebas" y de ser procedente la elaboración de una Guía para la evaluación de estudiantes del sistema SIEE con los requisitos de las pruebas ICFES para los estudiantes de grado 11° (PC) con discapacidad.</v>
      </c>
      <c r="T2195" s="70" t="str">
        <f>IFERROR(IF(VLOOKUP(A2195,[14]PRIORIZADOS!$A:$T,20,FALSE)="","",VLOOKUP(A2195,[14]PRIORIZADOS!$A:$T,20,FALSE)),"")</f>
        <v>Si</v>
      </c>
      <c r="U2195" s="11" t="str">
        <f>IFERROR(IF(VLOOKUP(A2195,[14]PRIORIZADOS!$A:$U,21,FALSE)="","",VLOOKUP(A2195,[14]PRIORIZADOS!$A:$U,21,FALSE)),"")</f>
        <v>Verificar el juste y actualización del sistema de evaluación de estudiantes.</v>
      </c>
    </row>
    <row r="2196" spans="1:21" s="1" customFormat="1" ht="48">
      <c r="A2196" s="69">
        <f>IF([14]PRIORIZADOS!A243="","",[14]PRIORIZADOS!A243)</f>
        <v>2164</v>
      </c>
      <c r="B2196" s="70">
        <f>IFERROR(IF(VLOOKUP(A2196,[14]PRIORIZADOS!$A:$B,2,FALSE)="","",VLOOKUP(A2196,[14]PRIORIZADOS!$A:$B,2,FALSE)),"")</f>
        <v>26</v>
      </c>
      <c r="C2196" s="11" t="s">
        <v>424</v>
      </c>
      <c r="D2196" s="11" t="str">
        <f>IFERROR(IF(VLOOKUP(A2196,[14]PRIORIZADOS!$A:$D,4,FALSE)="","",VLOOKUP(A2196,[14]PRIORIZADOS!$A:$D,4,FALSE)),"")</f>
        <v>PRIVADO</v>
      </c>
      <c r="E2196" s="11" t="str">
        <f>IFERROR(IF(VLOOKUP(A2196,[14]PRIORIZADOS!$A:$E,5,FALSE)="","",VLOOKUP(A2196,[14]PRIORIZADOS!$A:$E,5,FALSE)),"")</f>
        <v>EPBM</v>
      </c>
      <c r="F2196" s="11" t="str">
        <f>IFERROR(IF(VLOOKUP(A2196,[14]PRIORIZADOS!$A:$F,6,FALSE)="","",VLOOKUP(A2196,[14]PRIORIZADOS!$A:$F,6,FALSE)),"")</f>
        <v>GIMNASIO_ESPECIALIZADO_DEL_NORTE</v>
      </c>
      <c r="G2196" s="11" t="str">
        <f>IFERROR(IF(VLOOKUP(A2196,[14]PRIORIZADOS!$A:$G,7,FALSE)="","",VLOOKUP(A2196,[14]PRIORIZADOS!$A:$G,7,FALSE)),"")</f>
        <v>GIMNASIO ESPECIALIZADO DEL NORTE</v>
      </c>
      <c r="H2196" s="11" t="str">
        <f>IFERROR(IF(VLOOKUP(A2196,[14]PRIORIZADOS!$A:$H,8,FALSE)="","",VLOOKUP(A2196,[14]PRIORIZADOS!$A:$H,8,FALSE)),"")</f>
        <v>Autoevaluación Institucional y Pruebas SABER 11</v>
      </c>
      <c r="I2196" s="11" t="str">
        <f>IFERROR(IF(VLOOKUP(A2196,[14]PRIORIZADOS!$A:$I,9,FALSE)="","",VLOOKUP(A2196,[14]PRIORIZADOS!$A:$I,9,FALSE)),"")</f>
        <v>EVALUACIÓN_CON_FINES_DE_MEJORAMIENTO.</v>
      </c>
      <c r="J2196" s="11" t="str">
        <f>IFERROR(IF(VLOOKUP(A2196,[14]PRIORIZADOS!$A:$J,10,FALSE)="","",VLOOKUP(A2196,[14]PRIORIZADOS!$A:$J,10,FALSE)),"")</f>
        <v>Revisar el calendario escolar, jornada escolar, la intensidad horaria mínima anual en cada nivel y las modificaciones que se realicen al mismo, de acuerdo con lo previsto en la normatividad vigente.</v>
      </c>
      <c r="K2196" s="11" t="str">
        <f>IFERROR(IF(VLOOKUP(A2196,[14]PRIORIZADOS!$A:$K,11,FALSE)="","",VLOOKUP(A2196,[14]PRIORIZADOS!$A:$K,11,FALSE)),"")</f>
        <v>GETULIO ALBERTO FLÓREZ MORENO</v>
      </c>
      <c r="L2196" s="11" t="str">
        <f>IFERROR(IF(VLOOKUP(A2196,[14]PRIORIZADOS!$A:$L,12,FALSE)="","",VLOOKUP(A2196,[14]PRIORIZADOS!$A:$L,12,FALSE)),"")</f>
        <v>MARÍA LILIA MENDEZ DE BUITRAGO</v>
      </c>
      <c r="M2196" s="71">
        <f>IFERROR(IF(VLOOKUP(A2196,[14]PRIORIZADOS!$A:$M,13,FALSE)="","",VLOOKUP(A2196,[14]PRIORIZADOS!$A:$M,13,FALSE)),"")</f>
        <v>45904</v>
      </c>
      <c r="N2196" s="71">
        <f>IFERROR(IF(VLOOKUP(A2196,[14]PRIORIZADOS!$A:$N,14,FALSE)="","",VLOOKUP(A2196,[14]PRIORIZADOS!$A:$N,14,FALSE)),"")</f>
        <v>45720</v>
      </c>
      <c r="O2196" s="71">
        <f>IFERROR(IF(VLOOKUP(A2196,[14]PRIORIZADOS!$A:$O,15,FALSE)="","",VLOOKUP(A2196,[14]PRIORIZADOS!$A:$O,15,FALSE)),"")</f>
        <v>45720</v>
      </c>
      <c r="P2196" s="11" t="str">
        <f>IFERROR(IF(VLOOKUP(A2196,[14]PRIORIZADOS!$A:$P,16,FALSE)="","",VLOOKUP(A2196,[14]PRIORIZADOS!$A:$P,16,FALSE)),"")</f>
        <v>Visitas de evaluación con fines de mejoramiento</v>
      </c>
      <c r="Q2196" s="7" t="s">
        <v>450</v>
      </c>
      <c r="R2196" s="11" t="str">
        <f>IFERROR(IF(VLOOKUP(A2196,[14]PRIORIZADOS!$A:$R,18,FALSE)="","",VLOOKUP(A2196,[14]PRIORIZADOS!$A:$R,18,FALSE)),"")</f>
        <v>La intensidad horaria y las horas mínimas anuales de cada ciclo se ajustan para los ciclos de preescolar, básica y media</v>
      </c>
      <c r="S2196" s="11" t="str">
        <f>IFERROR(IF(VLOOKUP(A2196,[14]PRIORIZADOS!$A:$S,19,FALSE)="","",VLOOKUP(A2196,[14]PRIORIZADOS!$A:$S,19,FALSE)),"")</f>
        <v>Cumplie el calendario académico</v>
      </c>
      <c r="T2196" s="70" t="str">
        <f>IFERROR(IF(VLOOKUP(A2196,[14]PRIORIZADOS!$A:$T,20,FALSE)="","",VLOOKUP(A2196,[14]PRIORIZADOS!$A:$T,20,FALSE)),"")</f>
        <v>No</v>
      </c>
      <c r="U2196" s="11" t="str">
        <f>IFERROR(IF(VLOOKUP(A2196,[14]PRIORIZADOS!$A:$U,21,FALSE)="","",VLOOKUP(A2196,[14]PRIORIZADOS!$A:$U,21,FALSE)),"")</f>
        <v>Continuar con el cumplimiento del calendario</v>
      </c>
    </row>
    <row r="2197" spans="1:21" s="1" customFormat="1" ht="84">
      <c r="A2197" s="69">
        <f>IF([14]PRIORIZADOS!A244="","",[14]PRIORIZADOS!A244)</f>
        <v>2165</v>
      </c>
      <c r="B2197" s="70">
        <f>IFERROR(IF(VLOOKUP(A2197,[14]PRIORIZADOS!$A:$B,2,FALSE)="","",VLOOKUP(A2197,[14]PRIORIZADOS!$A:$B,2,FALSE)),"")</f>
        <v>26</v>
      </c>
      <c r="C2197" s="11" t="s">
        <v>424</v>
      </c>
      <c r="D2197" s="11" t="str">
        <f>IFERROR(IF(VLOOKUP(A2197,[14]PRIORIZADOS!$A:$D,4,FALSE)="","",VLOOKUP(A2197,[14]PRIORIZADOS!$A:$D,4,FALSE)),"")</f>
        <v>PRIVADO</v>
      </c>
      <c r="E2197" s="11" t="str">
        <f>IFERROR(IF(VLOOKUP(A2197,[14]PRIORIZADOS!$A:$E,5,FALSE)="","",VLOOKUP(A2197,[14]PRIORIZADOS!$A:$E,5,FALSE)),"")</f>
        <v>EPBM</v>
      </c>
      <c r="F2197" s="11" t="str">
        <f>IFERROR(IF(VLOOKUP(A2197,[14]PRIORIZADOS!$A:$F,6,FALSE)="","",VLOOKUP(A2197,[14]PRIORIZADOS!$A:$F,6,FALSE)),"")</f>
        <v>GIMNASIO_ESPECIALIZADO_DEL_NORTE</v>
      </c>
      <c r="G2197" s="11" t="str">
        <f>IFERROR(IF(VLOOKUP(A2197,[14]PRIORIZADOS!$A:$G,7,FALSE)="","",VLOOKUP(A2197,[14]PRIORIZADOS!$A:$G,7,FALSE)),"")</f>
        <v>GIMNASIO ESPECIALIZADO DEL NORTE</v>
      </c>
      <c r="H2197" s="11" t="str">
        <f>IFERROR(IF(VLOOKUP(A2197,[14]PRIORIZADOS!$A:$H,8,FALSE)="","",VLOOKUP(A2197,[14]PRIORIZADOS!$A:$H,8,FALSE)),"")</f>
        <v>Autoevaluación Institucional y Pruebas SABER 11</v>
      </c>
      <c r="I2197" s="11" t="str">
        <f>IFERROR(IF(VLOOKUP(A2197,[14]PRIORIZADOS!$A:$I,9,FALSE)="","",VLOOKUP(A2197,[14]PRIORIZADOS!$A:$I,9,FALSE)),"")</f>
        <v>EVALUACIÓN_CON_FINES_DE_MEJORAMIENTO.</v>
      </c>
      <c r="J2197" s="11" t="str">
        <f>IFERROR(IF(VLOOKUP(A2197,[14]PRIORIZADOS!$A:$J,10,FALSE)="","",VLOOKUP(A2197,[14]PRIORIZADOS!$A:$J,10,FALSE)),"")</f>
        <v>Verificar el funcionamiento del Gobierno Escolar e instancias de participación con base en la información sobre conformación reportada por la institución educativa.</v>
      </c>
      <c r="K2197" s="11" t="str">
        <f>IFERROR(IF(VLOOKUP(A2197,[14]PRIORIZADOS!$A:$K,11,FALSE)="","",VLOOKUP(A2197,[14]PRIORIZADOS!$A:$K,11,FALSE)),"")</f>
        <v>GETULIO ALBERTO FLÓREZ MORENO</v>
      </c>
      <c r="L2197" s="11" t="str">
        <f>IFERROR(IF(VLOOKUP(A2197,[14]PRIORIZADOS!$A:$L,12,FALSE)="","",VLOOKUP(A2197,[14]PRIORIZADOS!$A:$L,12,FALSE)),"")</f>
        <v>MARÍA LILIA MENDEZ DE BUITRAGO</v>
      </c>
      <c r="M2197" s="71">
        <f>IFERROR(IF(VLOOKUP(A2197,[14]PRIORIZADOS!$A:$M,13,FALSE)="","",VLOOKUP(A2197,[14]PRIORIZADOS!$A:$M,13,FALSE)),"")</f>
        <v>45904</v>
      </c>
      <c r="N2197" s="71">
        <f>IFERROR(IF(VLOOKUP(A2197,[14]PRIORIZADOS!$A:$N,14,FALSE)="","",VLOOKUP(A2197,[14]PRIORIZADOS!$A:$N,14,FALSE)),"")</f>
        <v>45720</v>
      </c>
      <c r="O2197" s="71">
        <f>IFERROR(IF(VLOOKUP(A2197,[14]PRIORIZADOS!$A:$O,15,FALSE)="","",VLOOKUP(A2197,[14]PRIORIZADOS!$A:$O,15,FALSE)),"")</f>
        <v>45720</v>
      </c>
      <c r="P2197" s="11" t="str">
        <f>IFERROR(IF(VLOOKUP(A2197,[14]PRIORIZADOS!$A:$P,16,FALSE)="","",VLOOKUP(A2197,[14]PRIORIZADOS!$A:$P,16,FALSE)),"")</f>
        <v>Visitas de evaluación con fines de mejoramiento</v>
      </c>
      <c r="Q2197" s="8" t="s">
        <v>450</v>
      </c>
      <c r="R2197" s="11" t="str">
        <f>IFERROR(IF(VLOOKUP(A2197,[14]PRIORIZADOS!$A:$R,18,FALSE)="","",VLOOKUP(A2197,[14]PRIORIZADOS!$A:$R,18,FALSE)),"")</f>
        <v xml:space="preserve">En la visita se evidencia actas de conformación de gobierno escolar, las cuales fueron cargardas en el SAE.                 El consejo directivo, el consejo académico e instancias de particpación son operativos, para los Consejos se programan 12 reuniones al año. </v>
      </c>
      <c r="S2197" s="11" t="str">
        <f>IFERROR(IF(VLOOKUP(A2197,[14]PRIORIZADOS!$A:$S,19,FALSE)="","",VLOOKUP(A2197,[14]PRIORIZADOS!$A:$S,19,FALSE)),"")</f>
        <v>Se invita al colegio a continuar sesionando  con cada órgano de gobierno de conformidad con la periodicidad establecida en la norma.</v>
      </c>
      <c r="T2197" s="70" t="str">
        <f>IFERROR(IF(VLOOKUP(A2197,[14]PRIORIZADOS!$A:$T,20,FALSE)="","",VLOOKUP(A2197,[14]PRIORIZADOS!$A:$T,20,FALSE)),"")</f>
        <v>No</v>
      </c>
      <c r="U2197" s="11" t="str">
        <f>IFERROR(IF(VLOOKUP(A2197,[14]PRIORIZADOS!$A:$U,21,FALSE)="","",VLOOKUP(A2197,[14]PRIORIZADOS!$A:$U,21,FALSE)),"")</f>
        <v>Hacer seguimiento al cumplimiento del compromiso.</v>
      </c>
    </row>
    <row r="2198" spans="1:21" s="1" customFormat="1" ht="84">
      <c r="A2198" s="69">
        <f>IF([14]PRIORIZADOS!A245="","",[14]PRIORIZADOS!A245)</f>
        <v>2166</v>
      </c>
      <c r="B2198" s="70">
        <f>IFERROR(IF(VLOOKUP(A2198,[14]PRIORIZADOS!$A:$B,2,FALSE)="","",VLOOKUP(A2198,[14]PRIORIZADOS!$A:$B,2,FALSE)),"")</f>
        <v>26</v>
      </c>
      <c r="C2198" s="11" t="s">
        <v>424</v>
      </c>
      <c r="D2198" s="11" t="str">
        <f>IFERROR(IF(VLOOKUP(A2198,[14]PRIORIZADOS!$A:$D,4,FALSE)="","",VLOOKUP(A2198,[14]PRIORIZADOS!$A:$D,4,FALSE)),"")</f>
        <v>PRIVADO</v>
      </c>
      <c r="E2198" s="11" t="str">
        <f>IFERROR(IF(VLOOKUP(A2198,[14]PRIORIZADOS!$A:$E,5,FALSE)="","",VLOOKUP(A2198,[14]PRIORIZADOS!$A:$E,5,FALSE)),"")</f>
        <v>EPBM</v>
      </c>
      <c r="F2198" s="11" t="str">
        <f>IFERROR(IF(VLOOKUP(A2198,[14]PRIORIZADOS!$A:$F,6,FALSE)="","",VLOOKUP(A2198,[14]PRIORIZADOS!$A:$F,6,FALSE)),"")</f>
        <v>GIMNASIO_ESPECIALIZADO_DEL_NORTE</v>
      </c>
      <c r="G2198" s="11" t="str">
        <f>IFERROR(IF(VLOOKUP(A2198,[14]PRIORIZADOS!$A:$G,7,FALSE)="","",VLOOKUP(A2198,[14]PRIORIZADOS!$A:$G,7,FALSE)),"")</f>
        <v>GIMNASIO ESPECIALIZADO DEL NORTE</v>
      </c>
      <c r="H2198" s="11" t="str">
        <f>IFERROR(IF(VLOOKUP(A2198,[14]PRIORIZADOS!$A:$H,8,FALSE)="","",VLOOKUP(A2198,[14]PRIORIZADOS!$A:$H,8,FALSE)),"")</f>
        <v>Autoevaluación Institucional y Pruebas SABER 11</v>
      </c>
      <c r="I2198" s="11" t="str">
        <f>IFERROR(IF(VLOOKUP(A2198,[14]PRIORIZADOS!$A:$I,9,FALSE)="","",VLOOKUP(A2198,[14]PRIORIZADOS!$A:$I,9,FALSE)),"")</f>
        <v>EVALUACIÓN_CON_FINES_DE_MEJORAMIENTO.</v>
      </c>
      <c r="J2198" s="11" t="str">
        <f>IFERROR(IF(VLOOKUP(A2198,[14]PRIORIZADOS!$A:$J,10,FALSE)="","",VLOOKUP(A2198,[14]PRIORIZADOS!$A:$J,10,FALSE)),"")</f>
        <v>Verificar las condiciones en cuanto a: la estructura administrativa, condiciones de la planta física y medios educativos adecuados.</v>
      </c>
      <c r="K2198" s="11" t="str">
        <f>IFERROR(IF(VLOOKUP(A2198,[14]PRIORIZADOS!$A:$K,11,FALSE)="","",VLOOKUP(A2198,[14]PRIORIZADOS!$A:$K,11,FALSE)),"")</f>
        <v>GETULIO ALBERTO FLÓREZ MORENO</v>
      </c>
      <c r="L2198" s="11" t="str">
        <f>IFERROR(IF(VLOOKUP(A2198,[14]PRIORIZADOS!$A:$L,12,FALSE)="","",VLOOKUP(A2198,[14]PRIORIZADOS!$A:$L,12,FALSE)),"")</f>
        <v>MARÍA LILIA MENDEZ DE BUITRAGO</v>
      </c>
      <c r="M2198" s="71">
        <f>IFERROR(IF(VLOOKUP(A2198,[14]PRIORIZADOS!$A:$M,13,FALSE)="","",VLOOKUP(A2198,[14]PRIORIZADOS!$A:$M,13,FALSE)),"")</f>
        <v>45904</v>
      </c>
      <c r="N2198" s="71">
        <f>IFERROR(IF(VLOOKUP(A2198,[14]PRIORIZADOS!$A:$N,14,FALSE)="","",VLOOKUP(A2198,[14]PRIORIZADOS!$A:$N,14,FALSE)),"")</f>
        <v>45720</v>
      </c>
      <c r="O2198" s="71">
        <f>IFERROR(IF(VLOOKUP(A2198,[14]PRIORIZADOS!$A:$O,15,FALSE)="","",VLOOKUP(A2198,[14]PRIORIZADOS!$A:$O,15,FALSE)),"")</f>
        <v>45720</v>
      </c>
      <c r="P2198" s="11" t="str">
        <f>IFERROR(IF(VLOOKUP(A2198,[14]PRIORIZADOS!$A:$P,16,FALSE)="","",VLOOKUP(A2198,[14]PRIORIZADOS!$A:$P,16,FALSE)),"")</f>
        <v>Visitas de evaluación con fines de mejoramiento</v>
      </c>
      <c r="Q2198" s="7" t="s">
        <v>450</v>
      </c>
      <c r="R2198" s="11" t="str">
        <f>IFERROR(IF(VLOOKUP(A2198,[14]PRIORIZADOS!$A:$R,18,FALSE)="","",VLOOKUP(A2198,[14]PRIORIZADOS!$A:$R,18,FALSE)),"")</f>
        <v>En en recorrido por las instalaciones se observa que el 5 piso se requiere mantenimiento de espacios locativos.  De igual forma se eviencia que existen algunos espacios del 6 pis que requieren mantenimiento del piso y pintura a nivel general.</v>
      </c>
      <c r="S2198" s="11" t="str">
        <f>IFERROR(IF(VLOOKUP(A2198,[14]PRIORIZADOS!$A:$S,19,FALSE)="","",VLOOKUP(A2198,[14]PRIORIZADOS!$A:$S,19,FALSE)),"")</f>
        <v>El colegio asume el compromiso de adelantar los mantenimientos locativos requeridos periódicamente, dando prioridad a los hallazgos que mayor potencialidad de ocasionar incidentes.</v>
      </c>
      <c r="T2198" s="70" t="str">
        <f>IFERROR(IF(VLOOKUP(A2198,[14]PRIORIZADOS!$A:$T,20,FALSE)="","",VLOOKUP(A2198,[14]PRIORIZADOS!$A:$T,20,FALSE)),"")</f>
        <v>Si</v>
      </c>
      <c r="U2198" s="11" t="str">
        <f>IFERROR(IF(VLOOKUP(A2198,[14]PRIORIZADOS!$A:$U,21,FALSE)="","",VLOOKUP(A2198,[14]PRIORIZADOS!$A:$U,21,FALSE)),"")</f>
        <v>Enviar informe con registro fotograficos de los espacios en óptimas condicidones.</v>
      </c>
    </row>
    <row r="2199" spans="1:21" s="1" customFormat="1" ht="36">
      <c r="A2199" s="69">
        <f>IF([14]PRIORIZADOS!A246="","",[14]PRIORIZADOS!A246)</f>
        <v>2167</v>
      </c>
      <c r="B2199" s="70">
        <f>IFERROR(IF(VLOOKUP(A2199,[14]PRIORIZADOS!$A:$B,2,FALSE)="","",VLOOKUP(A2199,[14]PRIORIZADOS!$A:$B,2,FALSE)),"")</f>
        <v>27</v>
      </c>
      <c r="C2199" s="11" t="s">
        <v>424</v>
      </c>
      <c r="D2199" s="11" t="str">
        <f>IFERROR(IF(VLOOKUP(A2199,[14]PRIORIZADOS!$A:$D,4,FALSE)="","",VLOOKUP(A2199,[14]PRIORIZADOS!$A:$D,4,FALSE)),"")</f>
        <v>PRIVADO</v>
      </c>
      <c r="E2199" s="11" t="str">
        <f>IFERROR(IF(VLOOKUP(A2199,[14]PRIORIZADOS!$A:$E,5,FALSE)="","",VLOOKUP(A2199,[14]PRIORIZADOS!$A:$E,5,FALSE)),"")</f>
        <v>EPBM</v>
      </c>
      <c r="F2199" s="11" t="str">
        <f>IFERROR(IF(VLOOKUP(A2199,[14]PRIORIZADOS!$A:$F,6,FALSE)="","",VLOOKUP(A2199,[14]PRIORIZADOS!$A:$F,6,FALSE)),"")</f>
        <v>COLEGIO_SAN_ANSELMO</v>
      </c>
      <c r="G2199" s="11" t="str">
        <f>IFERROR(IF(VLOOKUP(A2199,[14]PRIORIZADOS!$A:$G,7,FALSE)="","",VLOOKUP(A2199,[14]PRIORIZADOS!$A:$G,7,FALSE)),"")</f>
        <v>COLEGIO SAN ANSELMO</v>
      </c>
      <c r="H2199" s="11" t="str">
        <f>IFERROR(IF(VLOOKUP(A2199,[14]PRIORIZADOS!$A:$H,8,FALSE)="","",VLOOKUP(A2199,[14]PRIORIZADOS!$A:$H,8,FALSE)),"")</f>
        <v>Autoevaluación Institucional y Pruebas SABER 11</v>
      </c>
      <c r="I2199" s="11" t="str">
        <f>IFERROR(IF(VLOOKUP(A2199,[14]PRIORIZADOS!$A:$I,9,FALSE)="","",VLOOKUP(A2199,[14]PRIORIZADOS!$A:$I,9,FALSE)),"")</f>
        <v>SEGUIMIENTO_Y_SUPERVISIÓN.</v>
      </c>
      <c r="J2199" s="11" t="str">
        <f>IFERROR(IF(VLOOKUP(A2199,[14]PRIORIZADOS!$A:$J,10,FALSE)="","",VLOOKUP(A2199,[14]PRIORIZADOS!$A:$J,10,FALSE)),"")</f>
        <v>Realizar visitas para verificar la información registrada sobre la autoevaluación institucional en el aplicativo EVI, a los establecimientos de educación formal no oficial.</v>
      </c>
      <c r="K2199" s="11" t="str">
        <f>IFERROR(IF(VLOOKUP(A2199,[14]PRIORIZADOS!$A:$K,11,FALSE)="","",VLOOKUP(A2199,[14]PRIORIZADOS!$A:$K,11,FALSE)),"")</f>
        <v>ALBA DEL PILAR CUBIDES CÁCERES</v>
      </c>
      <c r="L2199" s="11" t="str">
        <f>IFERROR(IF(VLOOKUP(A2199,[14]PRIORIZADOS!$A:$L,12,FALSE)="","",VLOOKUP(A2199,[14]PRIORIZADOS!$A:$L,12,FALSE)),"")</f>
        <v>SONIA CONSTANZA URREGO GONZÁLEZ</v>
      </c>
      <c r="M2199" s="71" t="str">
        <f>IFERROR(IF(VLOOKUP(A2199,[14]PRIORIZADOS!$A:$M,13,FALSE)="","",VLOOKUP(A2199,[14]PRIORIZADOS!$A:$M,13,FALSE)),"")</f>
        <v>28/10/2025</v>
      </c>
      <c r="N2199" s="71">
        <f>IFERROR(IF(VLOOKUP(A2199,[14]PRIORIZADOS!$A:$N,14,FALSE)="","",VLOOKUP(A2199,[14]PRIORIZADOS!$A:$N,14,FALSE)),"")</f>
        <v>45898</v>
      </c>
      <c r="O2199" s="71">
        <f>IFERROR(IF(VLOOKUP(A2199,[14]PRIORIZADOS!$A:$O,15,FALSE)="","",VLOOKUP(A2199,[14]PRIORIZADOS!$A:$O,15,FALSE)),"")</f>
        <v>45898</v>
      </c>
      <c r="P2199" s="11" t="str">
        <f>IFERROR(IF(VLOOKUP(A2199,[14]PRIORIZADOS!$A:$P,16,FALSE)="","",VLOOKUP(A2199,[14]PRIORIZADOS!$A:$P,16,FALSE)),"")</f>
        <v>Visitas de evaluación con fines de seguimiento</v>
      </c>
      <c r="Q2199" s="31" t="s">
        <v>451</v>
      </c>
      <c r="R2199" s="11" t="str">
        <f>IFERROR(IF(VLOOKUP(A2199,[14]PRIORIZADOS!$A:$R,18,FALSE)="","",VLOOKUP(A2199,[14]PRIORIZADOS!$A:$R,18,FALSE)),"")</f>
        <v xml:space="preserve">Al momento de la visita se encontró que la totalidad de la información reportada en el aplicativo EVI corresponde con la realidad. </v>
      </c>
      <c r="S2199" s="11" t="str">
        <f>IFERROR(IF(VLOOKUP(A2199,[14]PRIORIZADOS!$A:$S,19,FALSE)="","",VLOOKUP(A2199,[14]PRIORIZADOS!$A:$S,19,FALSE)),"")</f>
        <v>Seguir conservando el orden en cuanto a la reporte en el EVI</v>
      </c>
      <c r="T2199" s="70" t="str">
        <f>IFERROR(IF(VLOOKUP(A2199,[14]PRIORIZADOS!$A:$T,20,FALSE)="","",VLOOKUP(A2199,[14]PRIORIZADOS!$A:$T,20,FALSE)),"")</f>
        <v>No</v>
      </c>
      <c r="U2199" s="11" t="str">
        <f>IFERROR(IF(VLOOKUP(A2199,[14]PRIORIZADOS!$A:$U,21,FALSE)="","",VLOOKUP(A2199,[14]PRIORIZADOS!$A:$U,21,FALSE)),"")</f>
        <v>Seguir con su cumplimiento</v>
      </c>
    </row>
    <row r="2200" spans="1:21" s="1" customFormat="1" ht="60">
      <c r="A2200" s="69">
        <f>IF([14]PRIORIZADOS!A247="","",[14]PRIORIZADOS!A247)</f>
        <v>2168</v>
      </c>
      <c r="B2200" s="70">
        <f>IFERROR(IF(VLOOKUP(A2200,[14]PRIORIZADOS!$A:$B,2,FALSE)="","",VLOOKUP(A2200,[14]PRIORIZADOS!$A:$B,2,FALSE)),"")</f>
        <v>27</v>
      </c>
      <c r="C2200" s="11" t="s">
        <v>424</v>
      </c>
      <c r="D2200" s="11" t="str">
        <f>IFERROR(IF(VLOOKUP(A2200,[14]PRIORIZADOS!$A:$D,4,FALSE)="","",VLOOKUP(A2200,[14]PRIORIZADOS!$A:$D,4,FALSE)),"")</f>
        <v>PRIVADO</v>
      </c>
      <c r="E2200" s="11" t="str">
        <f>IFERROR(IF(VLOOKUP(A2200,[14]PRIORIZADOS!$A:$E,5,FALSE)="","",VLOOKUP(A2200,[14]PRIORIZADOS!$A:$E,5,FALSE)),"")</f>
        <v>EPBM</v>
      </c>
      <c r="F2200" s="11" t="str">
        <f>IFERROR(IF(VLOOKUP(A2200,[14]PRIORIZADOS!$A:$F,6,FALSE)="","",VLOOKUP(A2200,[14]PRIORIZADOS!$A:$F,6,FALSE)),"")</f>
        <v>COLEGIO_SAN_ANSELMO</v>
      </c>
      <c r="G2200" s="11" t="str">
        <f>IFERROR(IF(VLOOKUP(A2200,[14]PRIORIZADOS!$A:$G,7,FALSE)="","",VLOOKUP(A2200,[14]PRIORIZADOS!$A:$G,7,FALSE)),"")</f>
        <v>COLEGIO SAN ANSELMO</v>
      </c>
      <c r="H2200" s="11" t="str">
        <f>IFERROR(IF(VLOOKUP(A2200,[14]PRIORIZADOS!$A:$H,8,FALSE)="","",VLOOKUP(A2200,[14]PRIORIZADOS!$A:$H,8,FALSE)),"")</f>
        <v>Autoevaluación Institucional y Pruebas SABER 11</v>
      </c>
      <c r="I2200" s="11" t="str">
        <f>IFERROR(IF(VLOOKUP(A2200,[14]PRIORIZADOS!$A:$I,9,FALSE)="","",VLOOKUP(A2200,[14]PRIORIZADOS!$A:$I,9,FALSE)),"")</f>
        <v>SEGUIMIENTO_Y_SUPERVISIÓN.</v>
      </c>
      <c r="J2200" s="11" t="str">
        <f>IFERROR(IF(VLOOKUP(A2200,[14]PRIORIZADOS!$A:$J,10,FALSE)="","",VLOOKUP(A2200,[14]PRIORIZADOS!$A:$J,10,FALSE)),"")</f>
        <v>Proponer estrategias en la formulación, verificar su elaboración y realizar seguimiento semestral al desarrollo de  las acciones establecidas en los planes de mejoramiento por pruebas SABER 11 de los establecimientos de educación formal.</v>
      </c>
      <c r="K2200" s="11" t="str">
        <f>IFERROR(IF(VLOOKUP(A2200,[14]PRIORIZADOS!$A:$K,11,FALSE)="","",VLOOKUP(A2200,[14]PRIORIZADOS!$A:$K,11,FALSE)),"")</f>
        <v>ALBA DEL PILAR CUBIDES CÁCERES</v>
      </c>
      <c r="L2200" s="11" t="str">
        <f>IFERROR(IF(VLOOKUP(A2200,[14]PRIORIZADOS!$A:$L,12,FALSE)="","",VLOOKUP(A2200,[14]PRIORIZADOS!$A:$L,12,FALSE)),"")</f>
        <v>SONIA CONSTANZA URREGO GONZÁLEZ</v>
      </c>
      <c r="M2200" s="71" t="str">
        <f>IFERROR(IF(VLOOKUP(A2200,[14]PRIORIZADOS!$A:$M,13,FALSE)="","",VLOOKUP(A2200,[14]PRIORIZADOS!$A:$M,13,FALSE)),"")</f>
        <v>28/10/2025</v>
      </c>
      <c r="N2200" s="71">
        <f>IFERROR(IF(VLOOKUP(A2200,[14]PRIORIZADOS!$A:$N,14,FALSE)="","",VLOOKUP(A2200,[14]PRIORIZADOS!$A:$N,14,FALSE)),"")</f>
        <v>45898</v>
      </c>
      <c r="O2200" s="71">
        <f>IFERROR(IF(VLOOKUP(A2200,[14]PRIORIZADOS!$A:$O,15,FALSE)="","",VLOOKUP(A2200,[14]PRIORIZADOS!$A:$O,15,FALSE)),"")</f>
        <v>45898</v>
      </c>
      <c r="P2200" s="11" t="str">
        <f>IFERROR(IF(VLOOKUP(A2200,[14]PRIORIZADOS!$A:$P,16,FALSE)="","",VLOOKUP(A2200,[14]PRIORIZADOS!$A:$P,16,FALSE)),"")</f>
        <v>Visitas de evaluación con fines de seguimiento</v>
      </c>
      <c r="Q2200" s="27" t="s">
        <v>451</v>
      </c>
      <c r="R2200" s="11" t="str">
        <f>IFERROR(IF(VLOOKUP(A2200,[14]PRIORIZADOS!$A:$R,18,FALSE)="","",VLOOKUP(A2200,[14]PRIORIZADOS!$A:$R,18,FALSE)),"")</f>
        <v>La institución educativa se encuentra clasificada en nivel B y realizó  el análsis de los últimos resultados.</v>
      </c>
      <c r="S2200" s="11" t="str">
        <f>IFERROR(IF(VLOOKUP(A2200,[14]PRIORIZADOS!$A:$S,19,FALSE)="","",VLOOKUP(A2200,[14]PRIORIZADOS!$A:$S,19,FALSE)),"")</f>
        <v>Curso de preparación para las pruebas año 2025, simulacros, preguntas tipo ICFES</v>
      </c>
      <c r="T2200" s="70" t="str">
        <f>IFERROR(IF(VLOOKUP(A2200,[14]PRIORIZADOS!$A:$T,20,FALSE)="","",VLOOKUP(A2200,[14]PRIORIZADOS!$A:$T,20,FALSE)),"")</f>
        <v>No</v>
      </c>
      <c r="U2200" s="11" t="str">
        <f>IFERROR(IF(VLOOKUP(A2200,[14]PRIORIZADOS!$A:$U,21,FALSE)="","",VLOOKUP(A2200,[14]PRIORIZADOS!$A:$U,21,FALSE)),"")</f>
        <v>Seguir con su cumplimiento</v>
      </c>
    </row>
    <row r="2201" spans="1:21" s="1" customFormat="1" ht="48">
      <c r="A2201" s="69">
        <f>IF([14]PRIORIZADOS!A248="","",[14]PRIORIZADOS!A248)</f>
        <v>2169</v>
      </c>
      <c r="B2201" s="70">
        <f>IFERROR(IF(VLOOKUP(A2201,[14]PRIORIZADOS!$A:$B,2,FALSE)="","",VLOOKUP(A2201,[14]PRIORIZADOS!$A:$B,2,FALSE)),"")</f>
        <v>27</v>
      </c>
      <c r="C2201" s="11" t="s">
        <v>424</v>
      </c>
      <c r="D2201" s="11" t="str">
        <f>IFERROR(IF(VLOOKUP(A2201,[14]PRIORIZADOS!$A:$D,4,FALSE)="","",VLOOKUP(A2201,[14]PRIORIZADOS!$A:$D,4,FALSE)),"")</f>
        <v>PRIVADO</v>
      </c>
      <c r="E2201" s="11" t="str">
        <f>IFERROR(IF(VLOOKUP(A2201,[14]PRIORIZADOS!$A:$E,5,FALSE)="","",VLOOKUP(A2201,[14]PRIORIZADOS!$A:$E,5,FALSE)),"")</f>
        <v>EPBM</v>
      </c>
      <c r="F2201" s="11" t="str">
        <f>IFERROR(IF(VLOOKUP(A2201,[14]PRIORIZADOS!$A:$F,6,FALSE)="","",VLOOKUP(A2201,[14]PRIORIZADOS!$A:$F,6,FALSE)),"")</f>
        <v>COLEGIO_SAN_ANSELMO</v>
      </c>
      <c r="G2201" s="11" t="str">
        <f>IFERROR(IF(VLOOKUP(A2201,[14]PRIORIZADOS!$A:$G,7,FALSE)="","",VLOOKUP(A2201,[14]PRIORIZADOS!$A:$G,7,FALSE)),"")</f>
        <v>COLEGIO SAN ANSELMO</v>
      </c>
      <c r="H2201" s="11" t="str">
        <f>IFERROR(IF(VLOOKUP(A2201,[14]PRIORIZADOS!$A:$H,8,FALSE)="","",VLOOKUP(A2201,[14]PRIORIZADOS!$A:$H,8,FALSE)),"")</f>
        <v>Autoevaluación Institucional y Pruebas SABER 11</v>
      </c>
      <c r="I2201" s="11" t="str">
        <f>IFERROR(IF(VLOOKUP(A2201,[14]PRIORIZADOS!$A:$I,9,FALSE)="","",VLOOKUP(A2201,[14]PRIORIZADOS!$A:$I,9,FALSE)),"")</f>
        <v>SEGUIMIENTO_Y_SUPERVISIÓN.</v>
      </c>
      <c r="J2201" s="11" t="str">
        <f>IFERROR(IF(VLOOKUP(A2201,[14]PRIORIZADOS!$A:$J,10,FALSE)="","",VLOOKUP(A2201,[14]PRIORIZADOS!$A:$J,10,FALSE)),"")</f>
        <v xml:space="preserve">Verificar la implementación por parte de los colegios, de acciones realizadas para la prevención y atención de las situaciones de convivencia en el entorno escolar, según lo establecido en la Directiva 01 de 2022 del MEN. </v>
      </c>
      <c r="K2201" s="11" t="str">
        <f>IFERROR(IF(VLOOKUP(A2201,[14]PRIORIZADOS!$A:$K,11,FALSE)="","",VLOOKUP(A2201,[14]PRIORIZADOS!$A:$K,11,FALSE)),"")</f>
        <v>ALBA DEL PILAR CUBIDES CÁCERES</v>
      </c>
      <c r="L2201" s="11" t="str">
        <f>IFERROR(IF(VLOOKUP(A2201,[14]PRIORIZADOS!$A:$L,12,FALSE)="","",VLOOKUP(A2201,[14]PRIORIZADOS!$A:$L,12,FALSE)),"")</f>
        <v>SONIA CONSTANZA URREGO GONZÁLEZ</v>
      </c>
      <c r="M2201" s="71" t="str">
        <f>IFERROR(IF(VLOOKUP(A2201,[14]PRIORIZADOS!$A:$M,13,FALSE)="","",VLOOKUP(A2201,[14]PRIORIZADOS!$A:$M,13,FALSE)),"")</f>
        <v>28/10/2025</v>
      </c>
      <c r="N2201" s="71">
        <f>IFERROR(IF(VLOOKUP(A2201,[14]PRIORIZADOS!$A:$N,14,FALSE)="","",VLOOKUP(A2201,[14]PRIORIZADOS!$A:$N,14,FALSE)),"")</f>
        <v>45898</v>
      </c>
      <c r="O2201" s="71">
        <f>IFERROR(IF(VLOOKUP(A2201,[14]PRIORIZADOS!$A:$O,15,FALSE)="","",VLOOKUP(A2201,[14]PRIORIZADOS!$A:$O,15,FALSE)),"")</f>
        <v>45898</v>
      </c>
      <c r="P2201" s="11" t="str">
        <f>IFERROR(IF(VLOOKUP(A2201,[14]PRIORIZADOS!$A:$P,16,FALSE)="","",VLOOKUP(A2201,[14]PRIORIZADOS!$A:$P,16,FALSE)),"")</f>
        <v>Visitas de evaluación con fines de seguimiento</v>
      </c>
      <c r="Q2201" s="27" t="s">
        <v>451</v>
      </c>
      <c r="R2201" s="11" t="str">
        <f>IFERROR(IF(VLOOKUP(A2201,[14]PRIORIZADOS!$A:$R,18,FALSE)="","",VLOOKUP(A2201,[14]PRIORIZADOS!$A:$R,18,FALSE)),"")</f>
        <v>La institución no realiza  consulta de antecedentes por delitos sexuales</v>
      </c>
      <c r="S2201" s="11" t="str">
        <f>IFERROR(IF(VLOOKUP(A2201,[14]PRIORIZADOS!$A:$S,19,FALSE)="","",VLOOKUP(A2201,[14]PRIORIZADOS!$A:$S,19,FALSE)),"")</f>
        <v>Dar cumplimiento a lo establecido en la directiva 01 de 2022</v>
      </c>
      <c r="T2201" s="70" t="str">
        <f>IFERROR(IF(VLOOKUP(A2201,[14]PRIORIZADOS!$A:$T,20,FALSE)="","",VLOOKUP(A2201,[14]PRIORIZADOS!$A:$T,20,FALSE)),"")</f>
        <v>SI</v>
      </c>
      <c r="U2201" s="11" t="str">
        <f>IFERROR(IF(VLOOKUP(A2201,[14]PRIORIZADOS!$A:$U,21,FALSE)="","",VLOOKUP(A2201,[14]PRIORIZADOS!$A:$U,21,FALSE)),"")</f>
        <v>El plazo para realizar esta actividad, vence el 19 de septiembre de 2025</v>
      </c>
    </row>
    <row r="2202" spans="1:21" s="1" customFormat="1" ht="72">
      <c r="A2202" s="69">
        <f>IF([14]PRIORIZADOS!A249="","",[14]PRIORIZADOS!A249)</f>
        <v>2170</v>
      </c>
      <c r="B2202" s="70">
        <f>IFERROR(IF(VLOOKUP(A2202,[14]PRIORIZADOS!$A:$B,2,FALSE)="","",VLOOKUP(A2202,[14]PRIORIZADOS!$A:$B,2,FALSE)),"")</f>
        <v>27</v>
      </c>
      <c r="C2202" s="11" t="s">
        <v>424</v>
      </c>
      <c r="D2202" s="11" t="str">
        <f>IFERROR(IF(VLOOKUP(A2202,[14]PRIORIZADOS!$A:$D,4,FALSE)="","",VLOOKUP(A2202,[14]PRIORIZADOS!$A:$D,4,FALSE)),"")</f>
        <v>PRIVADO</v>
      </c>
      <c r="E2202" s="11" t="str">
        <f>IFERROR(IF(VLOOKUP(A2202,[14]PRIORIZADOS!$A:$E,5,FALSE)="","",VLOOKUP(A2202,[14]PRIORIZADOS!$A:$E,5,FALSE)),"")</f>
        <v>EPBM</v>
      </c>
      <c r="F2202" s="11" t="str">
        <f>IFERROR(IF(VLOOKUP(A2202,[14]PRIORIZADOS!$A:$F,6,FALSE)="","",VLOOKUP(A2202,[14]PRIORIZADOS!$A:$F,6,FALSE)),"")</f>
        <v>COLEGIO_SAN_ANSELMO</v>
      </c>
      <c r="G2202" s="11" t="str">
        <f>IFERROR(IF(VLOOKUP(A2202,[14]PRIORIZADOS!$A:$G,7,FALSE)="","",VLOOKUP(A2202,[14]PRIORIZADOS!$A:$G,7,FALSE)),"")</f>
        <v>COLEGIO SAN ANSELMO</v>
      </c>
      <c r="H2202" s="11" t="str">
        <f>IFERROR(IF(VLOOKUP(A2202,[14]PRIORIZADOS!$A:$H,8,FALSE)="","",VLOOKUP(A2202,[14]PRIORIZADOS!$A:$H,8,FALSE)),"")</f>
        <v>Autoevaluación Institucional y Pruebas SABER 11</v>
      </c>
      <c r="I2202" s="11" t="str">
        <f>IFERROR(IF(VLOOKUP(A2202,[14]PRIORIZADOS!$A:$I,9,FALSE)="","",VLOOKUP(A2202,[14]PRIORIZADOS!$A:$I,9,FALSE)),"")</f>
        <v>SEGUIMIENTO_Y_SUPERVISIÓN.</v>
      </c>
      <c r="J2202" s="11" t="str">
        <f>IFERROR(IF(VLOOKUP(A2202,[14]PRIORIZADOS!$A:$J,10,FALSE)="","",VLOOKUP(A2202,[14]PRIORIZADOS!$A:$J,10,FALSE)),"")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02" s="11" t="str">
        <f>IFERROR(IF(VLOOKUP(A2202,[14]PRIORIZADOS!$A:$K,11,FALSE)="","",VLOOKUP(A2202,[14]PRIORIZADOS!$A:$K,11,FALSE)),"")</f>
        <v>ALBA DEL PILAR CUBIDES CÁCERES</v>
      </c>
      <c r="L2202" s="11" t="str">
        <f>IFERROR(IF(VLOOKUP(A2202,[14]PRIORIZADOS!$A:$L,12,FALSE)="","",VLOOKUP(A2202,[14]PRIORIZADOS!$A:$L,12,FALSE)),"")</f>
        <v>SONIA CONSTANZA URREGO GONZÁLEZ</v>
      </c>
      <c r="M2202" s="71" t="str">
        <f>IFERROR(IF(VLOOKUP(A2202,[14]PRIORIZADOS!$A:$M,13,FALSE)="","",VLOOKUP(A2202,[14]PRIORIZADOS!$A:$M,13,FALSE)),"")</f>
        <v>28/10/2025</v>
      </c>
      <c r="N2202" s="71">
        <f>IFERROR(IF(VLOOKUP(A2202,[14]PRIORIZADOS!$A:$N,14,FALSE)="","",VLOOKUP(A2202,[14]PRIORIZADOS!$A:$N,14,FALSE)),"")</f>
        <v>45898</v>
      </c>
      <c r="O2202" s="71">
        <f>IFERROR(IF(VLOOKUP(A2202,[14]PRIORIZADOS!$A:$O,15,FALSE)="","",VLOOKUP(A2202,[14]PRIORIZADOS!$A:$O,15,FALSE)),"")</f>
        <v>45898</v>
      </c>
      <c r="P2202" s="11" t="str">
        <f>IFERROR(IF(VLOOKUP(A2202,[14]PRIORIZADOS!$A:$P,16,FALSE)="","",VLOOKUP(A2202,[14]PRIORIZADOS!$A:$P,16,FALSE)),"")</f>
        <v>Visitas de evaluación con fines de seguimiento</v>
      </c>
      <c r="Q2202" s="27" t="s">
        <v>451</v>
      </c>
      <c r="R2202" s="11" t="str">
        <f>IFERROR(IF(VLOOKUP(A2202,[14]PRIORIZADOS!$A:$R,18,FALSE)="","",VLOOKUP(A2202,[14]PRIORIZADOS!$A:$R,18,FALSE)),"")</f>
        <v>La institución cuenta con Plan de Ajustes Razonables</v>
      </c>
      <c r="S2202" s="11" t="str">
        <f>IFERROR(IF(VLOOKUP(A2202,[14]PRIORIZADOS!$A:$S,19,FALSE)="","",VLOOKUP(A2202,[14]PRIORIZADOS!$A:$S,19,FALSE)),"")</f>
        <v>Debe incluír estrategías para la elaboración, ejecución y evaluación del PIAR. De otro lado debe ser firmado por los padres de familia</v>
      </c>
      <c r="T2202" s="70" t="str">
        <f>IFERROR(IF(VLOOKUP(A2202,[14]PRIORIZADOS!$A:$T,20,FALSE)="","",VLOOKUP(A2202,[14]PRIORIZADOS!$A:$T,20,FALSE)),"")</f>
        <v>SI</v>
      </c>
      <c r="U2202" s="11" t="str">
        <f>IFERROR(IF(VLOOKUP(A2202,[14]PRIORIZADOS!$A:$U,21,FALSE)="","",VLOOKUP(A2202,[14]PRIORIZADOS!$A:$U,21,FALSE)),"")</f>
        <v>Verificar el cumplimiento a las acciones proyectadas por la institución en el PMI.</v>
      </c>
    </row>
    <row r="2203" spans="1:21" s="1" customFormat="1" ht="84">
      <c r="A2203" s="69">
        <f>IF([14]PRIORIZADOS!A250="","",[14]PRIORIZADOS!A250)</f>
        <v>2171</v>
      </c>
      <c r="B2203" s="70">
        <f>IFERROR(IF(VLOOKUP(A2203,[14]PRIORIZADOS!$A:$B,2,FALSE)="","",VLOOKUP(A2203,[14]PRIORIZADOS!$A:$B,2,FALSE)),"")</f>
        <v>27</v>
      </c>
      <c r="C2203" s="11" t="s">
        <v>424</v>
      </c>
      <c r="D2203" s="11" t="str">
        <f>IFERROR(IF(VLOOKUP(A2203,[14]PRIORIZADOS!$A:$D,4,FALSE)="","",VLOOKUP(A2203,[14]PRIORIZADOS!$A:$D,4,FALSE)),"")</f>
        <v>PRIVADO</v>
      </c>
      <c r="E2203" s="11" t="str">
        <f>IFERROR(IF(VLOOKUP(A2203,[14]PRIORIZADOS!$A:$E,5,FALSE)="","",VLOOKUP(A2203,[14]PRIORIZADOS!$A:$E,5,FALSE)),"")</f>
        <v>EPBM</v>
      </c>
      <c r="F2203" s="11" t="str">
        <f>IFERROR(IF(VLOOKUP(A2203,[14]PRIORIZADOS!$A:$F,6,FALSE)="","",VLOOKUP(A2203,[14]PRIORIZADOS!$A:$F,6,FALSE)),"")</f>
        <v>COLEGIO_SAN_ANSELMO</v>
      </c>
      <c r="G2203" s="11" t="str">
        <f>IFERROR(IF(VLOOKUP(A2203,[14]PRIORIZADOS!$A:$G,7,FALSE)="","",VLOOKUP(A2203,[14]PRIORIZADOS!$A:$G,7,FALSE)),"")</f>
        <v>COLEGIO SAN ANSELMO</v>
      </c>
      <c r="H2203" s="11" t="str">
        <f>IFERROR(IF(VLOOKUP(A2203,[14]PRIORIZADOS!$A:$H,8,FALSE)="","",VLOOKUP(A2203,[14]PRIORIZADOS!$A:$H,8,FALSE)),"")</f>
        <v>Autoevaluación Institucional y Pruebas SABER 11</v>
      </c>
      <c r="I2203" s="11" t="str">
        <f>IFERROR(IF(VLOOKUP(A2203,[14]PRIORIZADOS!$A:$I,9,FALSE)="","",VLOOKUP(A2203,[14]PRIORIZADOS!$A:$I,9,FALSE)),"")</f>
        <v>EVALUACIÓN_CON_FINES_DE_MEJORAMIENTO.</v>
      </c>
      <c r="J2203" s="11" t="str">
        <f>IFERROR(IF(VLOOKUP(A2203,[14]PRIORIZADOS!$A:$J,10,FALSE)="","",VLOOKUP(A2203,[14]PRIORIZADOS!$A:$J,10,FALSE)),"")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03" s="11" t="str">
        <f>IFERROR(IF(VLOOKUP(A2203,[14]PRIORIZADOS!$A:$K,11,FALSE)="","",VLOOKUP(A2203,[14]PRIORIZADOS!$A:$K,11,FALSE)),"")</f>
        <v>ALBA DEL PILAR CUBIDES CÁCERES</v>
      </c>
      <c r="L2203" s="11" t="str">
        <f>IFERROR(IF(VLOOKUP(A2203,[14]PRIORIZADOS!$A:$L,12,FALSE)="","",VLOOKUP(A2203,[14]PRIORIZADOS!$A:$L,12,FALSE)),"")</f>
        <v>SONIA CONSTANZA URREGO GONZÁLEZ</v>
      </c>
      <c r="M2203" s="71" t="str">
        <f>IFERROR(IF(VLOOKUP(A2203,[14]PRIORIZADOS!$A:$M,13,FALSE)="","",VLOOKUP(A2203,[14]PRIORIZADOS!$A:$M,13,FALSE)),"")</f>
        <v>28/10/2025</v>
      </c>
      <c r="N2203" s="71">
        <f>IFERROR(IF(VLOOKUP(A2203,[14]PRIORIZADOS!$A:$N,14,FALSE)="","",VLOOKUP(A2203,[14]PRIORIZADOS!$A:$N,14,FALSE)),"")</f>
        <v>45898</v>
      </c>
      <c r="O2203" s="71">
        <f>IFERROR(IF(VLOOKUP(A2203,[14]PRIORIZADOS!$A:$O,15,FALSE)="","",VLOOKUP(A2203,[14]PRIORIZADOS!$A:$O,15,FALSE)),"")</f>
        <v>45898</v>
      </c>
      <c r="P2203" s="11" t="str">
        <f>IFERROR(IF(VLOOKUP(A2203,[14]PRIORIZADOS!$A:$P,16,FALSE)="","",VLOOKUP(A2203,[14]PRIORIZADOS!$A:$P,16,FALSE)),"")</f>
        <v>Visitas de evaluación con fines de mejoramiento</v>
      </c>
      <c r="Q2203" s="27" t="s">
        <v>451</v>
      </c>
      <c r="R2203" s="11" t="str">
        <f>IFERROR(IF(VLOOKUP(A2203,[14]PRIORIZADOS!$A:$R,18,FALSE)="","",VLOOKUP(A2203,[14]PRIORIZADOS!$A:$R,18,FALSE)),"")</f>
        <v>El Manual de Convivencia se encuentra en físico y se debe realizar actualización de acuerdo con las orientaciones de la SED</v>
      </c>
      <c r="S2203" s="11" t="str">
        <f>IFERROR(IF(VLOOKUP(A2203,[14]PRIORIZADOS!$A:$S,19,FALSE)="","",VLOOKUP(A2203,[14]PRIORIZADOS!$A:$S,19,FALSE)),"")</f>
        <v>Realizar actualización del manual de convivencia y entregar para revisión de inspección y vigilancia</v>
      </c>
      <c r="T2203" s="70" t="str">
        <f>IFERROR(IF(VLOOKUP(A2203,[14]PRIORIZADOS!$A:$T,20,FALSE)="","",VLOOKUP(A2203,[14]PRIORIZADOS!$A:$T,20,FALSE)),"")</f>
        <v>Si</v>
      </c>
      <c r="U2203" s="11" t="str">
        <f>IFERROR(IF(VLOOKUP(A2203,[14]PRIORIZADOS!$A:$U,21,FALSE)="","",VLOOKUP(A2203,[14]PRIORIZADOS!$A:$U,21,FALSE)),"")</f>
        <v>Verificar el cumplimiento a las acciones proyectadas por la institución en el PMI.</v>
      </c>
    </row>
    <row r="2204" spans="1:21" s="1" customFormat="1" ht="48">
      <c r="A2204" s="69">
        <f>IF([14]PRIORIZADOS!A251="","",[14]PRIORIZADOS!A251)</f>
        <v>2172</v>
      </c>
      <c r="B2204" s="70">
        <f>IFERROR(IF(VLOOKUP(A2204,[14]PRIORIZADOS!$A:$B,2,FALSE)="","",VLOOKUP(A2204,[14]PRIORIZADOS!$A:$B,2,FALSE)),"")</f>
        <v>27</v>
      </c>
      <c r="C2204" s="11" t="s">
        <v>424</v>
      </c>
      <c r="D2204" s="11" t="str">
        <f>IFERROR(IF(VLOOKUP(A2204,[14]PRIORIZADOS!$A:$D,4,FALSE)="","",VLOOKUP(A2204,[14]PRIORIZADOS!$A:$D,4,FALSE)),"")</f>
        <v>PRIVADO</v>
      </c>
      <c r="E2204" s="11" t="str">
        <f>IFERROR(IF(VLOOKUP(A2204,[14]PRIORIZADOS!$A:$E,5,FALSE)="","",VLOOKUP(A2204,[14]PRIORIZADOS!$A:$E,5,FALSE)),"")</f>
        <v>EPBM</v>
      </c>
      <c r="F2204" s="11" t="str">
        <f>IFERROR(IF(VLOOKUP(A2204,[14]PRIORIZADOS!$A:$F,6,FALSE)="","",VLOOKUP(A2204,[14]PRIORIZADOS!$A:$F,6,FALSE)),"")</f>
        <v>COLEGIO_SAN_ANSELMO</v>
      </c>
      <c r="G2204" s="11" t="str">
        <f>IFERROR(IF(VLOOKUP(A2204,[14]PRIORIZADOS!$A:$G,7,FALSE)="","",VLOOKUP(A2204,[14]PRIORIZADOS!$A:$G,7,FALSE)),"")</f>
        <v>COLEGIO SAN ANSELMO</v>
      </c>
      <c r="H2204" s="11" t="str">
        <f>IFERROR(IF(VLOOKUP(A2204,[14]PRIORIZADOS!$A:$H,8,FALSE)="","",VLOOKUP(A2204,[14]PRIORIZADOS!$A:$H,8,FALSE)),"")</f>
        <v>Autoevaluación Institucional y Pruebas SABER 11</v>
      </c>
      <c r="I2204" s="11" t="str">
        <f>IFERROR(IF(VLOOKUP(A2204,[14]PRIORIZADOS!$A:$I,9,FALSE)="","",VLOOKUP(A2204,[14]PRIORIZADOS!$A:$I,9,FALSE)),"")</f>
        <v>EVALUACIÓN_CON_FINES_DE_MEJORAMIENTO.</v>
      </c>
      <c r="J2204" s="11" t="str">
        <f>IFERROR(IF(VLOOKUP(A2204,[14]PRIORIZADOS!$A:$J,10,FALSE)="","",VLOOKUP(A2204,[14]PRIORIZADOS!$A:$J,10,FALSE)),"")</f>
        <v>Revisar la actualización, socialización e implementación del Sistema Institucional de Evaluación de Estudiantes - SIEE, en articulación con la actualización del PEI y la normatividad vigente.</v>
      </c>
      <c r="K2204" s="11" t="str">
        <f>IFERROR(IF(VLOOKUP(A2204,[14]PRIORIZADOS!$A:$K,11,FALSE)="","",VLOOKUP(A2204,[14]PRIORIZADOS!$A:$K,11,FALSE)),"")</f>
        <v>ALBA DEL PILAR CUBIDES CÁCERES</v>
      </c>
      <c r="L2204" s="11" t="str">
        <f>IFERROR(IF(VLOOKUP(A2204,[14]PRIORIZADOS!$A:$L,12,FALSE)="","",VLOOKUP(A2204,[14]PRIORIZADOS!$A:$L,12,FALSE)),"")</f>
        <v>SONIA CONSTANZA URREGO GONZÁLEZ</v>
      </c>
      <c r="M2204" s="71" t="str">
        <f>IFERROR(IF(VLOOKUP(A2204,[14]PRIORIZADOS!$A:$M,13,FALSE)="","",VLOOKUP(A2204,[14]PRIORIZADOS!$A:$M,13,FALSE)),"")</f>
        <v>28/10/2025</v>
      </c>
      <c r="N2204" s="71">
        <f>IFERROR(IF(VLOOKUP(A2204,[14]PRIORIZADOS!$A:$N,14,FALSE)="","",VLOOKUP(A2204,[14]PRIORIZADOS!$A:$N,14,FALSE)),"")</f>
        <v>45898</v>
      </c>
      <c r="O2204" s="71">
        <f>IFERROR(IF(VLOOKUP(A2204,[14]PRIORIZADOS!$A:$O,15,FALSE)="","",VLOOKUP(A2204,[14]PRIORIZADOS!$A:$O,15,FALSE)),"")</f>
        <v>45898</v>
      </c>
      <c r="P2204" s="11" t="str">
        <f>IFERROR(IF(VLOOKUP(A2204,[14]PRIORIZADOS!$A:$P,16,FALSE)="","",VLOOKUP(A2204,[14]PRIORIZADOS!$A:$P,16,FALSE)),"")</f>
        <v>Visitas de evaluación con fines de mejoramiento</v>
      </c>
      <c r="Q2204" s="27" t="s">
        <v>451</v>
      </c>
      <c r="R2204" s="11" t="str">
        <f>IFERROR(IF(VLOOKUP(A2204,[14]PRIORIZADOS!$A:$R,18,FALSE)="","",VLOOKUP(A2204,[14]PRIORIZADOS!$A:$R,18,FALSE)),"")</f>
        <v>Revisado el SIEE, cuenta con los criterios de evaluación y promoción y  escala valorativa.</v>
      </c>
      <c r="S2204" s="11" t="str">
        <f>IFERROR(IF(VLOOKUP(A2204,[14]PRIORIZADOS!$A:$S,19,FALSE)="","",VLOOKUP(A2204,[14]PRIORIZADOS!$A:$S,19,FALSE)),"")</f>
        <v xml:space="preserve">Hacer seguimiento constante para determinar la necesidad de actualizar el SIEE. </v>
      </c>
      <c r="T2204" s="70" t="str">
        <f>IFERROR(IF(VLOOKUP(A2204,[14]PRIORIZADOS!$A:$T,20,FALSE)="","",VLOOKUP(A2204,[14]PRIORIZADOS!$A:$T,20,FALSE)),"")</f>
        <v>No</v>
      </c>
      <c r="U2204" s="11" t="str">
        <f>IFERROR(IF(VLOOKUP(A2204,[14]PRIORIZADOS!$A:$U,21,FALSE)="","",VLOOKUP(A2204,[14]PRIORIZADOS!$A:$U,21,FALSE)),"")</f>
        <v>Seguir con su cumplimiento</v>
      </c>
    </row>
    <row r="2205" spans="1:21" s="1" customFormat="1" ht="48">
      <c r="A2205" s="69">
        <f>IF([14]PRIORIZADOS!A252="","",[14]PRIORIZADOS!A252)</f>
        <v>2173</v>
      </c>
      <c r="B2205" s="70">
        <f>IFERROR(IF(VLOOKUP(A2205,[14]PRIORIZADOS!$A:$B,2,FALSE)="","",VLOOKUP(A2205,[14]PRIORIZADOS!$A:$B,2,FALSE)),"")</f>
        <v>27</v>
      </c>
      <c r="C2205" s="11" t="s">
        <v>424</v>
      </c>
      <c r="D2205" s="11" t="str">
        <f>IFERROR(IF(VLOOKUP(A2205,[14]PRIORIZADOS!$A:$D,4,FALSE)="","",VLOOKUP(A2205,[14]PRIORIZADOS!$A:$D,4,FALSE)),"")</f>
        <v>PRIVADO</v>
      </c>
      <c r="E2205" s="11" t="str">
        <f>IFERROR(IF(VLOOKUP(A2205,[14]PRIORIZADOS!$A:$E,5,FALSE)="","",VLOOKUP(A2205,[14]PRIORIZADOS!$A:$E,5,FALSE)),"")</f>
        <v>EPBM</v>
      </c>
      <c r="F2205" s="11" t="str">
        <f>IFERROR(IF(VLOOKUP(A2205,[14]PRIORIZADOS!$A:$F,6,FALSE)="","",VLOOKUP(A2205,[14]PRIORIZADOS!$A:$F,6,FALSE)),"")</f>
        <v>COLEGIO_SAN_ANSELMO</v>
      </c>
      <c r="G2205" s="11" t="str">
        <f>IFERROR(IF(VLOOKUP(A2205,[14]PRIORIZADOS!$A:$G,7,FALSE)="","",VLOOKUP(A2205,[14]PRIORIZADOS!$A:$G,7,FALSE)),"")</f>
        <v>COLEGIO SAN ANSELMO</v>
      </c>
      <c r="H2205" s="11" t="str">
        <f>IFERROR(IF(VLOOKUP(A2205,[14]PRIORIZADOS!$A:$H,8,FALSE)="","",VLOOKUP(A2205,[14]PRIORIZADOS!$A:$H,8,FALSE)),"")</f>
        <v>Autoevaluación Institucional y Pruebas SABER 11</v>
      </c>
      <c r="I2205" s="11" t="str">
        <f>IFERROR(IF(VLOOKUP(A2205,[14]PRIORIZADOS!$A:$I,9,FALSE)="","",VLOOKUP(A2205,[14]PRIORIZADOS!$A:$I,9,FALSE)),"")</f>
        <v>EVALUACIÓN_CON_FINES_DE_MEJORAMIENTO.</v>
      </c>
      <c r="J2205" s="11" t="str">
        <f>IFERROR(IF(VLOOKUP(A2205,[14]PRIORIZADOS!$A:$J,10,FALSE)="","",VLOOKUP(A2205,[14]PRIORIZADOS!$A:$J,10,FALSE)),"")</f>
        <v>Revisar el calendario escolar, jornada escolar, la intensidad horaria mínima anual en cada nivel y las modificaciones que se realicen al mismo, de acuerdo con lo previsto en la normatividad vigente.</v>
      </c>
      <c r="K2205" s="11" t="str">
        <f>IFERROR(IF(VLOOKUP(A2205,[14]PRIORIZADOS!$A:$K,11,FALSE)="","",VLOOKUP(A2205,[14]PRIORIZADOS!$A:$K,11,FALSE)),"")</f>
        <v>ALBA DEL PILAR CUBIDES CÁCERES</v>
      </c>
      <c r="L2205" s="11" t="str">
        <f>IFERROR(IF(VLOOKUP(A2205,[14]PRIORIZADOS!$A:$L,12,FALSE)="","",VLOOKUP(A2205,[14]PRIORIZADOS!$A:$L,12,FALSE)),"")</f>
        <v>SONIA CONSTANZA URREGO GONZÁLEZ</v>
      </c>
      <c r="M2205" s="71" t="str">
        <f>IFERROR(IF(VLOOKUP(A2205,[14]PRIORIZADOS!$A:$M,13,FALSE)="","",VLOOKUP(A2205,[14]PRIORIZADOS!$A:$M,13,FALSE)),"")</f>
        <v>28/10/2025</v>
      </c>
      <c r="N2205" s="71">
        <f>IFERROR(IF(VLOOKUP(A2205,[14]PRIORIZADOS!$A:$N,14,FALSE)="","",VLOOKUP(A2205,[14]PRIORIZADOS!$A:$N,14,FALSE)),"")</f>
        <v>45898</v>
      </c>
      <c r="O2205" s="71">
        <f>IFERROR(IF(VLOOKUP(A2205,[14]PRIORIZADOS!$A:$O,15,FALSE)="","",VLOOKUP(A2205,[14]PRIORIZADOS!$A:$O,15,FALSE)),"")</f>
        <v>45898</v>
      </c>
      <c r="P2205" s="11" t="str">
        <f>IFERROR(IF(VLOOKUP(A2205,[14]PRIORIZADOS!$A:$P,16,FALSE)="","",VLOOKUP(A2205,[14]PRIORIZADOS!$A:$P,16,FALSE)),"")</f>
        <v>Visitas de evaluación con fines de mejoramiento</v>
      </c>
      <c r="Q2205" s="27" t="s">
        <v>451</v>
      </c>
      <c r="R2205" s="11" t="str">
        <f>IFERROR(IF(VLOOKUP(A2205,[14]PRIORIZADOS!$A:$R,18,FALSE)="","",VLOOKUP(A2205,[14]PRIORIZADOS!$A:$R,18,FALSE)),"")</f>
        <v>Cumple con el número de semanas y horas por nivel. Realizó reporte de información del Calendario Escolar.</v>
      </c>
      <c r="S2205" s="11" t="str">
        <f>IFERROR(IF(VLOOKUP(A2205,[14]PRIORIZADOS!$A:$S,19,FALSE)="","",VLOOKUP(A2205,[14]PRIORIZADOS!$A:$S,19,FALSE)),"")</f>
        <v xml:space="preserve">Continuar con el cumplimiento del calendario.  </v>
      </c>
      <c r="T2205" s="70" t="str">
        <f>IFERROR(IF(VLOOKUP(A2205,[14]PRIORIZADOS!$A:$T,20,FALSE)="","",VLOOKUP(A2205,[14]PRIORIZADOS!$A:$T,20,FALSE)),"")</f>
        <v>No</v>
      </c>
      <c r="U2205" s="11" t="str">
        <f>IFERROR(IF(VLOOKUP(A2205,[14]PRIORIZADOS!$A:$U,21,FALSE)="","",VLOOKUP(A2205,[14]PRIORIZADOS!$A:$U,21,FALSE)),"")</f>
        <v>Seguir con su cumplimiento</v>
      </c>
    </row>
    <row r="2206" spans="1:21" s="1" customFormat="1" ht="48">
      <c r="A2206" s="69">
        <f>IF([14]PRIORIZADOS!A253="","",[14]PRIORIZADOS!A253)</f>
        <v>2174</v>
      </c>
      <c r="B2206" s="70">
        <f>IFERROR(IF(VLOOKUP(A2206,[14]PRIORIZADOS!$A:$B,2,FALSE)="","",VLOOKUP(A2206,[14]PRIORIZADOS!$A:$B,2,FALSE)),"")</f>
        <v>27</v>
      </c>
      <c r="C2206" s="11" t="s">
        <v>424</v>
      </c>
      <c r="D2206" s="11" t="str">
        <f>IFERROR(IF(VLOOKUP(A2206,[14]PRIORIZADOS!$A:$D,4,FALSE)="","",VLOOKUP(A2206,[14]PRIORIZADOS!$A:$D,4,FALSE)),"")</f>
        <v>PRIVADO</v>
      </c>
      <c r="E2206" s="11" t="str">
        <f>IFERROR(IF(VLOOKUP(A2206,[14]PRIORIZADOS!$A:$E,5,FALSE)="","",VLOOKUP(A2206,[14]PRIORIZADOS!$A:$E,5,FALSE)),"")</f>
        <v>EPBM</v>
      </c>
      <c r="F2206" s="11" t="str">
        <f>IFERROR(IF(VLOOKUP(A2206,[14]PRIORIZADOS!$A:$F,6,FALSE)="","",VLOOKUP(A2206,[14]PRIORIZADOS!$A:$F,6,FALSE)),"")</f>
        <v>COLEGIO_SAN_ANSELMO</v>
      </c>
      <c r="G2206" s="11" t="str">
        <f>IFERROR(IF(VLOOKUP(A2206,[14]PRIORIZADOS!$A:$G,7,FALSE)="","",VLOOKUP(A2206,[14]PRIORIZADOS!$A:$G,7,FALSE)),"")</f>
        <v>COLEGIO SAN ANSELMO</v>
      </c>
      <c r="H2206" s="11" t="str">
        <f>IFERROR(IF(VLOOKUP(A2206,[14]PRIORIZADOS!$A:$H,8,FALSE)="","",VLOOKUP(A2206,[14]PRIORIZADOS!$A:$H,8,FALSE)),"")</f>
        <v>Autoevaluación Institucional y Pruebas SABER 11</v>
      </c>
      <c r="I2206" s="11" t="str">
        <f>IFERROR(IF(VLOOKUP(A2206,[14]PRIORIZADOS!$A:$I,9,FALSE)="","",VLOOKUP(A2206,[14]PRIORIZADOS!$A:$I,9,FALSE)),"")</f>
        <v>EVALUACIÓN_CON_FINES_DE_MEJORAMIENTO.</v>
      </c>
      <c r="J2206" s="11" t="str">
        <f>IFERROR(IF(VLOOKUP(A2206,[14]PRIORIZADOS!$A:$J,10,FALSE)="","",VLOOKUP(A2206,[14]PRIORIZADOS!$A:$J,10,FALSE)),"")</f>
        <v>Verificar el funcionamiento del Gobierno Escolar e instancias de participación con base en la información sobre conformación reportada por la institución educativa.</v>
      </c>
      <c r="K2206" s="11" t="str">
        <f>IFERROR(IF(VLOOKUP(A2206,[14]PRIORIZADOS!$A:$K,11,FALSE)="","",VLOOKUP(A2206,[14]PRIORIZADOS!$A:$K,11,FALSE)),"")</f>
        <v>ALBA DEL PILAR CUBIDES CÁCERES</v>
      </c>
      <c r="L2206" s="11" t="str">
        <f>IFERROR(IF(VLOOKUP(A2206,[14]PRIORIZADOS!$A:$L,12,FALSE)="","",VLOOKUP(A2206,[14]PRIORIZADOS!$A:$L,12,FALSE)),"")</f>
        <v>SONIA CONSTANZA URREGO GONZÁLEZ</v>
      </c>
      <c r="M2206" s="71" t="str">
        <f>IFERROR(IF(VLOOKUP(A2206,[14]PRIORIZADOS!$A:$M,13,FALSE)="","",VLOOKUP(A2206,[14]PRIORIZADOS!$A:$M,13,FALSE)),"")</f>
        <v>28/10/2025</v>
      </c>
      <c r="N2206" s="71">
        <f>IFERROR(IF(VLOOKUP(A2206,[14]PRIORIZADOS!$A:$N,14,FALSE)="","",VLOOKUP(A2206,[14]PRIORIZADOS!$A:$N,14,FALSE)),"")</f>
        <v>45898</v>
      </c>
      <c r="O2206" s="71">
        <f>IFERROR(IF(VLOOKUP(A2206,[14]PRIORIZADOS!$A:$O,15,FALSE)="","",VLOOKUP(A2206,[14]PRIORIZADOS!$A:$O,15,FALSE)),"")</f>
        <v>45898</v>
      </c>
      <c r="P2206" s="11" t="str">
        <f>IFERROR(IF(VLOOKUP(A2206,[14]PRIORIZADOS!$A:$P,16,FALSE)="","",VLOOKUP(A2206,[14]PRIORIZADOS!$A:$P,16,FALSE)),"")</f>
        <v>Visitas de evaluación con fines de mejoramiento</v>
      </c>
      <c r="Q2206" s="27" t="s">
        <v>451</v>
      </c>
      <c r="R2206" s="11" t="str">
        <f>IFERROR(IF(VLOOKUP(A2206,[14]PRIORIZADOS!$A:$R,18,FALSE)="","",VLOOKUP(A2206,[14]PRIORIZADOS!$A:$R,18,FALSE)),"")</f>
        <v xml:space="preserve">Se conformó el Gobierno Escolar con reporte en el aplicativo SAE. Se evidencian actas de reunión de los órganos de gobierno. </v>
      </c>
      <c r="S2206" s="11" t="str">
        <f>IFERROR(IF(VLOOKUP(A2206,[14]PRIORIZADOS!$A:$S,19,FALSE)="","",VLOOKUP(A2206,[14]PRIORIZADOS!$A:$S,19,FALSE)),"")</f>
        <v>Realizar reuniones cada dos meses del comite de  convivencia escolar y de manera extraordibaria cuando se requiera.</v>
      </c>
      <c r="T2206" s="70" t="str">
        <f>IFERROR(IF(VLOOKUP(A2206,[14]PRIORIZADOS!$A:$T,20,FALSE)="","",VLOOKUP(A2206,[14]PRIORIZADOS!$A:$T,20,FALSE)),"")</f>
        <v>Si</v>
      </c>
      <c r="U2206" s="11" t="str">
        <f>IFERROR(IF(VLOOKUP(A2206,[14]PRIORIZADOS!$A:$U,21,FALSE)="","",VLOOKUP(A2206,[14]PRIORIZADOS!$A:$U,21,FALSE)),"")</f>
        <v>Verificar el funcionamiento del Gobierno Escolar, a través de las  actas de reunión.</v>
      </c>
    </row>
    <row r="2207" spans="1:21" s="1" customFormat="1" ht="60">
      <c r="A2207" s="69">
        <f>IF([14]PRIORIZADOS!A254="","",[14]PRIORIZADOS!A254)</f>
        <v>2175</v>
      </c>
      <c r="B2207" s="70">
        <f>IFERROR(IF(VLOOKUP(A2207,[14]PRIORIZADOS!$A:$B,2,FALSE)="","",VLOOKUP(A2207,[14]PRIORIZADOS!$A:$B,2,FALSE)),"")</f>
        <v>27</v>
      </c>
      <c r="C2207" s="11" t="s">
        <v>424</v>
      </c>
      <c r="D2207" s="11" t="str">
        <f>IFERROR(IF(VLOOKUP(A2207,[14]PRIORIZADOS!$A:$D,4,FALSE)="","",VLOOKUP(A2207,[14]PRIORIZADOS!$A:$D,4,FALSE)),"")</f>
        <v>PRIVADO</v>
      </c>
      <c r="E2207" s="11" t="str">
        <f>IFERROR(IF(VLOOKUP(A2207,[14]PRIORIZADOS!$A:$E,5,FALSE)="","",VLOOKUP(A2207,[14]PRIORIZADOS!$A:$E,5,FALSE)),"")</f>
        <v>EPBM</v>
      </c>
      <c r="F2207" s="11" t="str">
        <f>IFERROR(IF(VLOOKUP(A2207,[14]PRIORIZADOS!$A:$F,6,FALSE)="","",VLOOKUP(A2207,[14]PRIORIZADOS!$A:$F,6,FALSE)),"")</f>
        <v>COLEGIO_SAN_ANSELMO</v>
      </c>
      <c r="G2207" s="11" t="str">
        <f>IFERROR(IF(VLOOKUP(A2207,[14]PRIORIZADOS!$A:$G,7,FALSE)="","",VLOOKUP(A2207,[14]PRIORIZADOS!$A:$G,7,FALSE)),"")</f>
        <v>COLEGIO SAN ANSELMO</v>
      </c>
      <c r="H2207" s="11" t="str">
        <f>IFERROR(IF(VLOOKUP(A2207,[14]PRIORIZADOS!$A:$H,8,FALSE)="","",VLOOKUP(A2207,[14]PRIORIZADOS!$A:$H,8,FALSE)),"")</f>
        <v>Autoevaluación Institucional y Pruebas SABER 11</v>
      </c>
      <c r="I2207" s="11" t="str">
        <f>IFERROR(IF(VLOOKUP(A2207,[14]PRIORIZADOS!$A:$I,9,FALSE)="","",VLOOKUP(A2207,[14]PRIORIZADOS!$A:$I,9,FALSE)),"")</f>
        <v>EVALUACIÓN_CON_FINES_DE_MEJORAMIENTO.</v>
      </c>
      <c r="J2207" s="11" t="str">
        <f>IFERROR(IF(VLOOKUP(A2207,[14]PRIORIZADOS!$A:$J,10,FALSE)="","",VLOOKUP(A2207,[14]PRIORIZADOS!$A:$J,10,FALSE)),"")</f>
        <v>Verificar las condiciones en cuanto a: la estructura administrativa, condiciones de la planta física y medios educativos adecuados.</v>
      </c>
      <c r="K2207" s="11" t="str">
        <f>IFERROR(IF(VLOOKUP(A2207,[14]PRIORIZADOS!$A:$K,11,FALSE)="","",VLOOKUP(A2207,[14]PRIORIZADOS!$A:$K,11,FALSE)),"")</f>
        <v>ALBA DEL PILAR CUBIDES CÁCERES</v>
      </c>
      <c r="L2207" s="11" t="str">
        <f>IFERROR(IF(VLOOKUP(A2207,[14]PRIORIZADOS!$A:$L,12,FALSE)="","",VLOOKUP(A2207,[14]PRIORIZADOS!$A:$L,12,FALSE)),"")</f>
        <v>SONIA CONSTANZA URREGO GONZÁLEZ</v>
      </c>
      <c r="M2207" s="71" t="str">
        <f>IFERROR(IF(VLOOKUP(A2207,[14]PRIORIZADOS!$A:$M,13,FALSE)="","",VLOOKUP(A2207,[14]PRIORIZADOS!$A:$M,13,FALSE)),"")</f>
        <v>28/10/2025</v>
      </c>
      <c r="N2207" s="71">
        <f>IFERROR(IF(VLOOKUP(A2207,[14]PRIORIZADOS!$A:$N,14,FALSE)="","",VLOOKUP(A2207,[14]PRIORIZADOS!$A:$N,14,FALSE)),"")</f>
        <v>45898</v>
      </c>
      <c r="O2207" s="71">
        <f>IFERROR(IF(VLOOKUP(A2207,[14]PRIORIZADOS!$A:$O,15,FALSE)="","",VLOOKUP(A2207,[14]PRIORIZADOS!$A:$O,15,FALSE)),"")</f>
        <v>45898</v>
      </c>
      <c r="P2207" s="11" t="str">
        <f>IFERROR(IF(VLOOKUP(A2207,[14]PRIORIZADOS!$A:$P,16,FALSE)="","",VLOOKUP(A2207,[14]PRIORIZADOS!$A:$P,16,FALSE)),"")</f>
        <v>Visitas de evaluación con fines de mejoramiento</v>
      </c>
      <c r="Q2207" s="28" t="s">
        <v>451</v>
      </c>
      <c r="R2207" s="11" t="str">
        <f>IFERROR(IF(VLOOKUP(A2207,[14]PRIORIZADOS!$A:$R,18,FALSE)="","",VLOOKUP(A2207,[14]PRIORIZADOS!$A:$R,18,FALSE)),"")</f>
        <v>Se observan espacios suficientes,  canchas de futbol sintéticas en cuanto a ambientes de aprendizaje. Los servicios sanitarios son suficientes, la mayoría de salones poseen baño</v>
      </c>
      <c r="S2207" s="11" t="str">
        <f>IFERROR(IF(VLOOKUP(A2207,[14]PRIORIZADOS!$A:$S,19,FALSE)="","",VLOOKUP(A2207,[14]PRIORIZADOS!$A:$S,19,FALSE)),"")</f>
        <v>Proseguir con el cuidado y manteniemiento de la planta física</v>
      </c>
      <c r="T2207" s="70" t="str">
        <f>IFERROR(IF(VLOOKUP(A2207,[14]PRIORIZADOS!$A:$T,20,FALSE)="","",VLOOKUP(A2207,[14]PRIORIZADOS!$A:$T,20,FALSE)),"")</f>
        <v>No</v>
      </c>
      <c r="U2207" s="11" t="str">
        <f>IFERROR(IF(VLOOKUP(A2207,[14]PRIORIZADOS!$A:$U,21,FALSE)="","",VLOOKUP(A2207,[14]PRIORIZADOS!$A:$U,21,FALSE)),"")</f>
        <v>Seguir con su cumplimiento</v>
      </c>
    </row>
    <row r="2208" spans="1:21" s="1" customFormat="1" ht="36">
      <c r="A2208" s="69">
        <f>IF([14]PRIORIZADOS!A255="","",[14]PRIORIZADOS!A255)</f>
        <v>2176</v>
      </c>
      <c r="B2208" s="70">
        <f>IFERROR(IF(VLOOKUP(A2208,[14]PRIORIZADOS!$A:$B,2,FALSE)="","",VLOOKUP(A2208,[14]PRIORIZADOS!$A:$B,2,FALSE)),"")</f>
        <v>28</v>
      </c>
      <c r="C2208" s="11" t="s">
        <v>424</v>
      </c>
      <c r="D2208" s="11" t="str">
        <f>IFERROR(IF(VLOOKUP(A2208,[14]PRIORIZADOS!$A:$D,4,FALSE)="","",VLOOKUP(A2208,[14]PRIORIZADOS!$A:$D,4,FALSE)),"")</f>
        <v>PRIVADO</v>
      </c>
      <c r="E2208" s="11" t="str">
        <f>IFERROR(IF(VLOOKUP(A2208,[14]PRIORIZADOS!$A:$E,5,FALSE)="","",VLOOKUP(A2208,[14]PRIORIZADOS!$A:$E,5,FALSE)),"")</f>
        <v>EPBM</v>
      </c>
      <c r="F2208" s="11" t="str">
        <f>IFERROR(IF(VLOOKUP(A2208,[14]PRIORIZADOS!$A:$F,6,FALSE)="","",VLOOKUP(A2208,[14]PRIORIZADOS!$A:$F,6,FALSE)),"")</f>
        <v>GIMNASIO_ARTISTICO_DE_SUBA</v>
      </c>
      <c r="G2208" s="11" t="str">
        <f>IFERROR(IF(VLOOKUP(A2208,[14]PRIORIZADOS!$A:$G,7,FALSE)="","",VLOOKUP(A2208,[14]PRIORIZADOS!$A:$G,7,FALSE)),"")</f>
        <v>GIMNASIO ARTISTICO DE SUBA</v>
      </c>
      <c r="H2208" s="11" t="str">
        <f>IFERROR(IF(VLOOKUP(A2208,[14]PRIORIZADOS!$A:$H,8,FALSE)="","",VLOOKUP(A2208,[14]PRIORIZADOS!$A:$H,8,FALSE)),"")</f>
        <v>Autoevaluación Institucional y Pruebas SABER 11</v>
      </c>
      <c r="I2208" s="11" t="str">
        <f>IFERROR(IF(VLOOKUP(A2208,[14]PRIORIZADOS!$A:$I,9,FALSE)="","",VLOOKUP(A2208,[14]PRIORIZADOS!$A:$I,9,FALSE)),"")</f>
        <v>SEGUIMIENTO_Y_SUPERVISIÓN.</v>
      </c>
      <c r="J2208" s="11" t="str">
        <f>IFERROR(IF(VLOOKUP(A2208,[14]PRIORIZADOS!$A:$J,10,FALSE)="","",VLOOKUP(A2208,[14]PRIORIZADOS!$A:$J,10,FALSE)),"")</f>
        <v>Realizar visitas para verificar la información registrada sobre la autoevaluación institucional en el aplicativo EVI, a los establecimientos de educación formal no oficial.</v>
      </c>
      <c r="K2208" s="11" t="str">
        <f>IFERROR(IF(VLOOKUP(A2208,[14]PRIORIZADOS!$A:$K,11,FALSE)="","",VLOOKUP(A2208,[14]PRIORIZADOS!$A:$K,11,FALSE)),"")</f>
        <v>JENNIFFER ESPERANZA GONZÁLEZ GÓMEZ</v>
      </c>
      <c r="L2208" s="11" t="str">
        <f>IFERROR(IF(VLOOKUP(A2208,[14]PRIORIZADOS!$A:$L,12,FALSE)="","",VLOOKUP(A2208,[14]PRIORIZADOS!$A:$L,12,FALSE)),"")</f>
        <v>SONIA YAMILE ARTEAGA MELO</v>
      </c>
      <c r="M2208" s="71">
        <f>IFERROR(IF(VLOOKUP(A2208,[14]PRIORIZADOS!$A:$M,13,FALSE)="","",VLOOKUP(A2208,[14]PRIORIZADOS!$A:$M,13,FALSE)),"")</f>
        <v>45909</v>
      </c>
      <c r="N2208" s="71">
        <f>IFERROR(IF(VLOOKUP(A2208,[14]PRIORIZADOS!$A:$N,14,FALSE)="","",VLOOKUP(A2208,[14]PRIORIZADOS!$A:$N,14,FALSE)),"")</f>
        <v>45926</v>
      </c>
      <c r="O2208" s="71">
        <f>IFERROR(IF(VLOOKUP(A2208,[14]PRIORIZADOS!$A:$O,15,FALSE)="","",VLOOKUP(A2208,[14]PRIORIZADOS!$A:$O,15,FALSE)),"")</f>
        <v>45926</v>
      </c>
      <c r="P2208" s="11" t="str">
        <f>IFERROR(IF(VLOOKUP(A2208,[14]PRIORIZADOS!$A:$P,16,FALSE)="","",VLOOKUP(A2208,[14]PRIORIZADOS!$A:$P,16,FALSE)),"")</f>
        <v>Visitas de evaluación con fines de seguimiento</v>
      </c>
      <c r="Q2208" s="22" t="s">
        <v>452</v>
      </c>
      <c r="R2208" s="11" t="str">
        <f>IFERROR(IF(VLOOKUP(A2208,[14]PRIORIZADOS!$A:$R,18,FALSE)="","",VLOOKUP(A2208,[14]PRIORIZADOS!$A:$R,18,FALSE)),"")</f>
        <v>Se evidencio que la instittución respondio el EVI con cifras coherentes a la realidad institucional</v>
      </c>
      <c r="S2208" s="11" t="str">
        <f>IFERROR(IF(VLOOKUP(A2208,[14]PRIORIZADOS!$A:$S,19,FALSE)="","",VLOOKUP(A2208,[14]PRIORIZADOS!$A:$S,19,FALSE)),"")</f>
        <v xml:space="preserve"> La institución elaborará  el EVI onforme lo establecido a la norma para proceso de tarifas 2026</v>
      </c>
      <c r="T2208" s="70" t="str">
        <f>IFERROR(IF(VLOOKUP(A2208,[14]PRIORIZADOS!$A:$T,20,FALSE)="","",VLOOKUP(A2208,[14]PRIORIZADOS!$A:$T,20,FALSE)),"")</f>
        <v>no</v>
      </c>
      <c r="U2208" s="11" t="str">
        <f>IFERROR(IF(VLOOKUP(A2208,[14]PRIORIZADOS!$A:$U,21,FALSE)="","",VLOOKUP(A2208,[14]PRIORIZADOS!$A:$U,21,FALSE)),"")</f>
        <v>Verificar el diligenciamiento y publicación de documentos en el aplicativo EVI para la vigencia 2026.</v>
      </c>
    </row>
    <row r="2209" spans="1:21" s="1" customFormat="1" ht="72">
      <c r="A2209" s="69">
        <f>IF([14]PRIORIZADOS!A256="","",[14]PRIORIZADOS!A256)</f>
        <v>2177</v>
      </c>
      <c r="B2209" s="70">
        <f>IFERROR(IF(VLOOKUP(A2209,[14]PRIORIZADOS!$A:$B,2,FALSE)="","",VLOOKUP(A2209,[14]PRIORIZADOS!$A:$B,2,FALSE)),"")</f>
        <v>28</v>
      </c>
      <c r="C2209" s="11" t="s">
        <v>424</v>
      </c>
      <c r="D2209" s="11" t="str">
        <f>IFERROR(IF(VLOOKUP(A2209,[14]PRIORIZADOS!$A:$D,4,FALSE)="","",VLOOKUP(A2209,[14]PRIORIZADOS!$A:$D,4,FALSE)),"")</f>
        <v>PRIVADO</v>
      </c>
      <c r="E2209" s="11" t="str">
        <f>IFERROR(IF(VLOOKUP(A2209,[14]PRIORIZADOS!$A:$E,5,FALSE)="","",VLOOKUP(A2209,[14]PRIORIZADOS!$A:$E,5,FALSE)),"")</f>
        <v>EPBM</v>
      </c>
      <c r="F2209" s="11" t="str">
        <f>IFERROR(IF(VLOOKUP(A2209,[14]PRIORIZADOS!$A:$F,6,FALSE)="","",VLOOKUP(A2209,[14]PRIORIZADOS!$A:$F,6,FALSE)),"")</f>
        <v>GIMNASIO_ARTISTICO_DE_SUBA</v>
      </c>
      <c r="G2209" s="11" t="str">
        <f>IFERROR(IF(VLOOKUP(A2209,[14]PRIORIZADOS!$A:$G,7,FALSE)="","",VLOOKUP(A2209,[14]PRIORIZADOS!$A:$G,7,FALSE)),"")</f>
        <v>GIMNASIO ARTISTICO DE SUBA</v>
      </c>
      <c r="H2209" s="11" t="str">
        <f>IFERROR(IF(VLOOKUP(A2209,[14]PRIORIZADOS!$A:$H,8,FALSE)="","",VLOOKUP(A2209,[14]PRIORIZADOS!$A:$H,8,FALSE)),"")</f>
        <v>Autoevaluación Institucional y Pruebas SABER 11</v>
      </c>
      <c r="I2209" s="11" t="str">
        <f>IFERROR(IF(VLOOKUP(A2209,[14]PRIORIZADOS!$A:$I,9,FALSE)="","",VLOOKUP(A2209,[14]PRIORIZADOS!$A:$I,9,FALSE)),"")</f>
        <v>SEGUIMIENTO_Y_SUPERVISIÓN.</v>
      </c>
      <c r="J2209" s="11" t="str">
        <f>IFERROR(IF(VLOOKUP(A2209,[14]PRIORIZADOS!$A:$J,10,FALSE)="","",VLOOKUP(A2209,[14]PRIORIZADOS!$A:$J,10,FALSE)),"")</f>
        <v>Proponer estrategias en la formulación, verificar su elaboración y realizar seguimiento semestral al desarrollo de  las acciones establecidas en los planes de mejoramiento por pruebas SABER 11 de los establecimientos de educación formal.</v>
      </c>
      <c r="K2209" s="11" t="str">
        <f>IFERROR(IF(VLOOKUP(A2209,[14]PRIORIZADOS!$A:$K,11,FALSE)="","",VLOOKUP(A2209,[14]PRIORIZADOS!$A:$K,11,FALSE)),"")</f>
        <v>JENNIFFER ESPERANZA GONZÁLEZ GÓMEZ</v>
      </c>
      <c r="L2209" s="11" t="str">
        <f>IFERROR(IF(VLOOKUP(A2209,[14]PRIORIZADOS!$A:$L,12,FALSE)="","",VLOOKUP(A2209,[14]PRIORIZADOS!$A:$L,12,FALSE)),"")</f>
        <v>SONIA YAMILE ARTEAGA MELO</v>
      </c>
      <c r="M2209" s="71">
        <f>IFERROR(IF(VLOOKUP(A2209,[14]PRIORIZADOS!$A:$M,13,FALSE)="","",VLOOKUP(A2209,[14]PRIORIZADOS!$A:$M,13,FALSE)),"")</f>
        <v>45909</v>
      </c>
      <c r="N2209" s="71">
        <f>IFERROR(IF(VLOOKUP(A2209,[14]PRIORIZADOS!$A:$N,14,FALSE)="","",VLOOKUP(A2209,[14]PRIORIZADOS!$A:$N,14,FALSE)),"")</f>
        <v>45926</v>
      </c>
      <c r="O2209" s="71">
        <f>IFERROR(IF(VLOOKUP(A2209,[14]PRIORIZADOS!$A:$O,15,FALSE)="","",VLOOKUP(A2209,[14]PRIORIZADOS!$A:$O,15,FALSE)),"")</f>
        <v>45926</v>
      </c>
      <c r="P2209" s="11" t="str">
        <f>IFERROR(IF(VLOOKUP(A2209,[14]PRIORIZADOS!$A:$P,16,FALSE)="","",VLOOKUP(A2209,[14]PRIORIZADOS!$A:$P,16,FALSE)),"")</f>
        <v>Visitas de evaluación con fines de seguimiento</v>
      </c>
      <c r="Q2209" s="22" t="s">
        <v>452</v>
      </c>
      <c r="R2209" s="11" t="str">
        <f>IFERROR(IF(VLOOKUP(A2209,[14]PRIORIZADOS!$A:$R,18,FALSE)="","",VLOOKUP(A2209,[14]PRIORIZADOS!$A:$R,18,FALSE)),"")</f>
        <v>Se verificó el bajo resultado en las  Pruebas saber y la retroaliemntación realizada por los docentes a cerca de la evaluación de las  causales, asignaturas con más bajo resultado  y acciones de mejora.</v>
      </c>
      <c r="S2209" s="11" t="str">
        <f>IFERROR(IF(VLOOKUP(A2209,[14]PRIORIZADOS!$A:$S,19,FALSE)="","",VLOOKUP(A2209,[14]PRIORIZADOS!$A:$S,19,FALSE)),"")</f>
        <v xml:space="preserve">Revisar los resultados y la relación con las asignaturas del plan de estudio. Elaborar plan de mejoramiento sobre todos los indicadores y remitirlo a la DEL antes del 1 de noviembre </v>
      </c>
      <c r="T2209" s="70" t="str">
        <f>IFERROR(IF(VLOOKUP(A2209,[14]PRIORIZADOS!$A:$T,20,FALSE)="","",VLOOKUP(A2209,[14]PRIORIZADOS!$A:$T,20,FALSE)),"")</f>
        <v>Si</v>
      </c>
      <c r="U2209" s="11" t="str">
        <f>IFERROR(IF(VLOOKUP(A2209,[14]PRIORIZADOS!$A:$U,21,FALSE)="","",VLOOKUP(A2209,[14]PRIORIZADOS!$A:$U,21,FALSE)),"")</f>
        <v>Verificar los resultados y las acciones en las asignaturas que presentan puntajes más bajos en la próxima calificación de las pruebas</v>
      </c>
    </row>
    <row r="2210" spans="1:21" s="1" customFormat="1" ht="60">
      <c r="A2210" s="69">
        <f>IF([14]PRIORIZADOS!A257="","",[14]PRIORIZADOS!A257)</f>
        <v>2178</v>
      </c>
      <c r="B2210" s="70">
        <f>IFERROR(IF(VLOOKUP(A2210,[14]PRIORIZADOS!$A:$B,2,FALSE)="","",VLOOKUP(A2210,[14]PRIORIZADOS!$A:$B,2,FALSE)),"")</f>
        <v>28</v>
      </c>
      <c r="C2210" s="11" t="s">
        <v>424</v>
      </c>
      <c r="D2210" s="11" t="str">
        <f>IFERROR(IF(VLOOKUP(A2210,[14]PRIORIZADOS!$A:$D,4,FALSE)="","",VLOOKUP(A2210,[14]PRIORIZADOS!$A:$D,4,FALSE)),"")</f>
        <v>PRIVADO</v>
      </c>
      <c r="E2210" s="11" t="str">
        <f>IFERROR(IF(VLOOKUP(A2210,[14]PRIORIZADOS!$A:$E,5,FALSE)="","",VLOOKUP(A2210,[14]PRIORIZADOS!$A:$E,5,FALSE)),"")</f>
        <v>EPBM</v>
      </c>
      <c r="F2210" s="11" t="str">
        <f>IFERROR(IF(VLOOKUP(A2210,[14]PRIORIZADOS!$A:$F,6,FALSE)="","",VLOOKUP(A2210,[14]PRIORIZADOS!$A:$F,6,FALSE)),"")</f>
        <v>GIMNASIO_ARTISTICO_DE_SUBA</v>
      </c>
      <c r="G2210" s="11" t="str">
        <f>IFERROR(IF(VLOOKUP(A2210,[14]PRIORIZADOS!$A:$G,7,FALSE)="","",VLOOKUP(A2210,[14]PRIORIZADOS!$A:$G,7,FALSE)),"")</f>
        <v>GIMNASIO ARTISTICO DE SUBA</v>
      </c>
      <c r="H2210" s="11" t="str">
        <f>IFERROR(IF(VLOOKUP(A2210,[14]PRIORIZADOS!$A:$H,8,FALSE)="","",VLOOKUP(A2210,[14]PRIORIZADOS!$A:$H,8,FALSE)),"")</f>
        <v>Autoevaluación Institucional y Pruebas SABER 11</v>
      </c>
      <c r="I2210" s="11" t="str">
        <f>IFERROR(IF(VLOOKUP(A2210,[14]PRIORIZADOS!$A:$I,9,FALSE)="","",VLOOKUP(A2210,[14]PRIORIZADOS!$A:$I,9,FALSE)),"")</f>
        <v>SEGUIMIENTO_Y_SUPERVISIÓN.</v>
      </c>
      <c r="J2210" s="11" t="str">
        <f>IFERROR(IF(VLOOKUP(A2210,[14]PRIORIZADOS!$A:$J,10,FALSE)="","",VLOOKUP(A2210,[14]PRIORIZADOS!$A:$J,10,FALSE)),"")</f>
        <v xml:space="preserve">Verificar la implementación por parte de los colegios, de acciones realizadas para la prevención y atención de las situaciones de convivencia en el entorno escolar, según lo establecido en la Directiva 01 de 2022 del MEN. </v>
      </c>
      <c r="K2210" s="11" t="str">
        <f>IFERROR(IF(VLOOKUP(A2210,[14]PRIORIZADOS!$A:$K,11,FALSE)="","",VLOOKUP(A2210,[14]PRIORIZADOS!$A:$K,11,FALSE)),"")</f>
        <v>JENNIFFER ESPERANZA GONZÁLEZ GÓMEZ</v>
      </c>
      <c r="L2210" s="11" t="str">
        <f>IFERROR(IF(VLOOKUP(A2210,[14]PRIORIZADOS!$A:$L,12,FALSE)="","",VLOOKUP(A2210,[14]PRIORIZADOS!$A:$L,12,FALSE)),"")</f>
        <v>SONIA YAMILE ARTEAGA MELO</v>
      </c>
      <c r="M2210" s="71">
        <f>IFERROR(IF(VLOOKUP(A2210,[14]PRIORIZADOS!$A:$M,13,FALSE)="","",VLOOKUP(A2210,[14]PRIORIZADOS!$A:$M,13,FALSE)),"")</f>
        <v>45909</v>
      </c>
      <c r="N2210" s="71">
        <f>IFERROR(IF(VLOOKUP(A2210,[14]PRIORIZADOS!$A:$N,14,FALSE)="","",VLOOKUP(A2210,[14]PRIORIZADOS!$A:$N,14,FALSE)),"")</f>
        <v>45926</v>
      </c>
      <c r="O2210" s="71">
        <f>IFERROR(IF(VLOOKUP(A2210,[14]PRIORIZADOS!$A:$O,15,FALSE)="","",VLOOKUP(A2210,[14]PRIORIZADOS!$A:$O,15,FALSE)),"")</f>
        <v>45926</v>
      </c>
      <c r="P2210" s="11" t="str">
        <f>IFERROR(IF(VLOOKUP(A2210,[14]PRIORIZADOS!$A:$P,16,FALSE)="","",VLOOKUP(A2210,[14]PRIORIZADOS!$A:$P,16,FALSE)),"")</f>
        <v>Visitas de evaluación con fines de seguimiento</v>
      </c>
      <c r="Q2210" s="22" t="s">
        <v>452</v>
      </c>
      <c r="R2210" s="11" t="str">
        <f>IFERROR(IF(VLOOKUP(A2210,[14]PRIORIZADOS!$A:$R,18,FALSE)="","",VLOOKUP(A2210,[14]PRIORIZADOS!$A:$R,18,FALSE)),"")</f>
        <v xml:space="preserve"> las consulta en la página de la policia de los antecedentes de los docentes de conformidad a la directiva  001 del 2022, se realizaron, se deja observacion sobre su temporalidad</v>
      </c>
      <c r="S2210" s="11" t="str">
        <f>IFERROR(IF(VLOOKUP(A2210,[14]PRIORIZADOS!$A:$S,19,FALSE)="","",VLOOKUP(A2210,[14]PRIORIZADOS!$A:$S,19,FALSE)),"")</f>
        <v>Continuar con las consultas en la pagina de antecedentes sexuales cada cuatro meses</v>
      </c>
      <c r="T2210" s="70" t="str">
        <f>IFERROR(IF(VLOOKUP(A2210,[14]PRIORIZADOS!$A:$T,20,FALSE)="","",VLOOKUP(A2210,[14]PRIORIZADOS!$A:$T,20,FALSE)),"")</f>
        <v>Si</v>
      </c>
      <c r="U2210" s="11" t="str">
        <f>IFERROR(IF(VLOOKUP(A2210,[14]PRIORIZADOS!$A:$U,21,FALSE)="","",VLOOKUP(A2210,[14]PRIORIZADOS!$A:$U,21,FALSE)),"")</f>
        <v>verificar el seguimiento a los antecedentes durante la vigencia 2026</v>
      </c>
    </row>
    <row r="2211" spans="1:21" s="1" customFormat="1" ht="118.5">
      <c r="A2211" s="69">
        <f>IF([14]PRIORIZADOS!A258="","",[14]PRIORIZADOS!A258)</f>
        <v>2179</v>
      </c>
      <c r="B2211" s="70">
        <f>IFERROR(IF(VLOOKUP(A2211,[14]PRIORIZADOS!$A:$B,2,FALSE)="","",VLOOKUP(A2211,[14]PRIORIZADOS!$A:$B,2,FALSE)),"")</f>
        <v>28</v>
      </c>
      <c r="C2211" s="11" t="s">
        <v>424</v>
      </c>
      <c r="D2211" s="11" t="str">
        <f>IFERROR(IF(VLOOKUP(A2211,[14]PRIORIZADOS!$A:$D,4,FALSE)="","",VLOOKUP(A2211,[14]PRIORIZADOS!$A:$D,4,FALSE)),"")</f>
        <v>PRIVADO</v>
      </c>
      <c r="E2211" s="11" t="str">
        <f>IFERROR(IF(VLOOKUP(A2211,[14]PRIORIZADOS!$A:$E,5,FALSE)="","",VLOOKUP(A2211,[14]PRIORIZADOS!$A:$E,5,FALSE)),"")</f>
        <v>EPBM</v>
      </c>
      <c r="F2211" s="11" t="str">
        <f>IFERROR(IF(VLOOKUP(A2211,[14]PRIORIZADOS!$A:$F,6,FALSE)="","",VLOOKUP(A2211,[14]PRIORIZADOS!$A:$F,6,FALSE)),"")</f>
        <v>GIMNASIO_ARTISTICO_DE_SUBA</v>
      </c>
      <c r="G2211" s="11" t="str">
        <f>IFERROR(IF(VLOOKUP(A2211,[14]PRIORIZADOS!$A:$G,7,FALSE)="","",VLOOKUP(A2211,[14]PRIORIZADOS!$A:$G,7,FALSE)),"")</f>
        <v>GIMNASIO ARTISTICO DE SUBA</v>
      </c>
      <c r="H2211" s="11" t="str">
        <f>IFERROR(IF(VLOOKUP(A2211,[14]PRIORIZADOS!$A:$H,8,FALSE)="","",VLOOKUP(A2211,[14]PRIORIZADOS!$A:$H,8,FALSE)),"")</f>
        <v>Autoevaluación Institucional y Pruebas SABER 11</v>
      </c>
      <c r="I2211" s="11" t="str">
        <f>IFERROR(IF(VLOOKUP(A2211,[14]PRIORIZADOS!$A:$I,9,FALSE)="","",VLOOKUP(A2211,[14]PRIORIZADOS!$A:$I,9,FALSE)),"")</f>
        <v>SEGUIMIENTO_Y_SUPERVISIÓN.</v>
      </c>
      <c r="J2211" s="11" t="str">
        <f>IFERROR(IF(VLOOKUP(A2211,[14]PRIORIZADOS!$A:$J,10,FALSE)="","",VLOOKUP(A2211,[14]PRIORIZADOS!$A:$J,10,FALSE)),"")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11" s="11" t="str">
        <f>IFERROR(IF(VLOOKUP(A2211,[14]PRIORIZADOS!$A:$K,11,FALSE)="","",VLOOKUP(A2211,[14]PRIORIZADOS!$A:$K,11,FALSE)),"")</f>
        <v>JENNIFFER ESPERANZA GONZÁLEZ GÓMEZ</v>
      </c>
      <c r="L2211" s="11" t="str">
        <f>IFERROR(IF(VLOOKUP(A2211,[14]PRIORIZADOS!$A:$L,12,FALSE)="","",VLOOKUP(A2211,[14]PRIORIZADOS!$A:$L,12,FALSE)),"")</f>
        <v>SONIA YAMILE ARTEAGA MELO</v>
      </c>
      <c r="M2211" s="71">
        <f>IFERROR(IF(VLOOKUP(A2211,[14]PRIORIZADOS!$A:$M,13,FALSE)="","",VLOOKUP(A2211,[14]PRIORIZADOS!$A:$M,13,FALSE)),"")</f>
        <v>45909</v>
      </c>
      <c r="N2211" s="71">
        <f>IFERROR(IF(VLOOKUP(A2211,[14]PRIORIZADOS!$A:$N,14,FALSE)="","",VLOOKUP(A2211,[14]PRIORIZADOS!$A:$N,14,FALSE)),"")</f>
        <v>45926</v>
      </c>
      <c r="O2211" s="71">
        <f>IFERROR(IF(VLOOKUP(A2211,[14]PRIORIZADOS!$A:$O,15,FALSE)="","",VLOOKUP(A2211,[14]PRIORIZADOS!$A:$O,15,FALSE)),"")</f>
        <v>45926</v>
      </c>
      <c r="P2211" s="11" t="str">
        <f>IFERROR(IF(VLOOKUP(A2211,[14]PRIORIZADOS!$A:$P,16,FALSE)="","",VLOOKUP(A2211,[14]PRIORIZADOS!$A:$P,16,FALSE)),"")</f>
        <v>Visitas de evaluación con fines de seguimiento</v>
      </c>
      <c r="Q2211" s="24" t="s">
        <v>452</v>
      </c>
      <c r="R2211" s="11" t="str">
        <f>IFERROR(IF(VLOOKUP(A2211,[14]PRIORIZADOS!$A:$R,18,FALSE)="","",VLOOKUP(A2211,[14]PRIORIZADOS!$A:$R,18,FALSE)),"")</f>
        <v>Se evidenció en el SIMAT que el colegio  tiene estudiantes matriculados en condición de discapacidad;  llevan carpetas con los PIAR de los estudiantes y  un proceso de educacion inclusiva</v>
      </c>
      <c r="S2211" s="11" t="str">
        <f>IFERROR(IF(VLOOKUP(A2211,[14]PRIORIZADOS!$A:$S,19,FALSE)="","",VLOOKUP(A2211,[14]PRIORIZADOS!$A:$S,19,FALSE)),"")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1 de noviembre </v>
      </c>
      <c r="T2211" s="70" t="str">
        <f>IFERROR(IF(VLOOKUP(A2211,[14]PRIORIZADOS!$A:$T,20,FALSE)="","",VLOOKUP(A2211,[14]PRIORIZADOS!$A:$T,20,FALSE)),"")</f>
        <v>No</v>
      </c>
      <c r="U2211" s="11" t="str">
        <f>IFERROR(IF(VLOOKUP(A2211,[14]PRIORIZADOS!$A:$U,21,FALSE)="","",VLOOKUP(A2211,[14]PRIORIZADOS!$A:$U,21,FALSE)),"")</f>
        <v>Verificar las modificaciones en manual de convivencia respecto a la población con discapacidad.cpara la vigencia 2026</v>
      </c>
    </row>
    <row r="2212" spans="1:21" s="1" customFormat="1" ht="84">
      <c r="A2212" s="69">
        <f>IF([14]PRIORIZADOS!A259="","",[14]PRIORIZADOS!A259)</f>
        <v>2180</v>
      </c>
      <c r="B2212" s="70">
        <f>IFERROR(IF(VLOOKUP(A2212,[14]PRIORIZADOS!$A:$B,2,FALSE)="","",VLOOKUP(A2212,[14]PRIORIZADOS!$A:$B,2,FALSE)),"")</f>
        <v>28</v>
      </c>
      <c r="C2212" s="11" t="s">
        <v>424</v>
      </c>
      <c r="D2212" s="11" t="str">
        <f>IFERROR(IF(VLOOKUP(A2212,[14]PRIORIZADOS!$A:$D,4,FALSE)="","",VLOOKUP(A2212,[14]PRIORIZADOS!$A:$D,4,FALSE)),"")</f>
        <v>PRIVADO</v>
      </c>
      <c r="E2212" s="11" t="str">
        <f>IFERROR(IF(VLOOKUP(A2212,[14]PRIORIZADOS!$A:$E,5,FALSE)="","",VLOOKUP(A2212,[14]PRIORIZADOS!$A:$E,5,FALSE)),"")</f>
        <v>EPBM</v>
      </c>
      <c r="F2212" s="11" t="str">
        <f>IFERROR(IF(VLOOKUP(A2212,[14]PRIORIZADOS!$A:$F,6,FALSE)="","",VLOOKUP(A2212,[14]PRIORIZADOS!$A:$F,6,FALSE)),"")</f>
        <v>GIMNASIO_ARTISTICO_DE_SUBA</v>
      </c>
      <c r="G2212" s="11" t="str">
        <f>IFERROR(IF(VLOOKUP(A2212,[14]PRIORIZADOS!$A:$G,7,FALSE)="","",VLOOKUP(A2212,[14]PRIORIZADOS!$A:$G,7,FALSE)),"")</f>
        <v>GIMNASIO ARTISTICO DE SUBA</v>
      </c>
      <c r="H2212" s="11" t="str">
        <f>IFERROR(IF(VLOOKUP(A2212,[14]PRIORIZADOS!$A:$H,8,FALSE)="","",VLOOKUP(A2212,[14]PRIORIZADOS!$A:$H,8,FALSE)),"")</f>
        <v>Autoevaluación Institucional y Pruebas SABER 11</v>
      </c>
      <c r="I2212" s="11" t="str">
        <f>IFERROR(IF(VLOOKUP(A2212,[14]PRIORIZADOS!$A:$I,9,FALSE)="","",VLOOKUP(A2212,[14]PRIORIZADOS!$A:$I,9,FALSE)),"")</f>
        <v>EVALUACIÓN_CON_FINES_DE_MEJORAMIENTO.</v>
      </c>
      <c r="J2212" s="11" t="str">
        <f>IFERROR(IF(VLOOKUP(A2212,[14]PRIORIZADOS!$A:$J,10,FALSE)="","",VLOOKUP(A2212,[14]PRIORIZADOS!$A:$J,10,FALSE)),"")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12" s="11" t="str">
        <f>IFERROR(IF(VLOOKUP(A2212,[14]PRIORIZADOS!$A:$K,11,FALSE)="","",VLOOKUP(A2212,[14]PRIORIZADOS!$A:$K,11,FALSE)),"")</f>
        <v>JENNIFFER ESPERANZA GONZÁLEZ GÓMEZ</v>
      </c>
      <c r="L2212" s="11" t="str">
        <f>IFERROR(IF(VLOOKUP(A2212,[14]PRIORIZADOS!$A:$L,12,FALSE)="","",VLOOKUP(A2212,[14]PRIORIZADOS!$A:$L,12,FALSE)),"")</f>
        <v>SONIA YAMILE ARTEAGA MELO</v>
      </c>
      <c r="M2212" s="71">
        <f>IFERROR(IF(VLOOKUP(A2212,[14]PRIORIZADOS!$A:$M,13,FALSE)="","",VLOOKUP(A2212,[14]PRIORIZADOS!$A:$M,13,FALSE)),"")</f>
        <v>45909</v>
      </c>
      <c r="N2212" s="71">
        <f>IFERROR(IF(VLOOKUP(A2212,[14]PRIORIZADOS!$A:$N,14,FALSE)="","",VLOOKUP(A2212,[14]PRIORIZADOS!$A:$N,14,FALSE)),"")</f>
        <v>45926</v>
      </c>
      <c r="O2212" s="71">
        <f>IFERROR(IF(VLOOKUP(A2212,[14]PRIORIZADOS!$A:$O,15,FALSE)="","",VLOOKUP(A2212,[14]PRIORIZADOS!$A:$O,15,FALSE)),"")</f>
        <v>45926</v>
      </c>
      <c r="P2212" s="11" t="str">
        <f>IFERROR(IF(VLOOKUP(A2212,[14]PRIORIZADOS!$A:$P,16,FALSE)="","",VLOOKUP(A2212,[14]PRIORIZADOS!$A:$P,16,FALSE)),"")</f>
        <v>Visitas de evaluación con fines de mejoramiento</v>
      </c>
      <c r="Q2212" s="22" t="s">
        <v>452</v>
      </c>
      <c r="R2212" s="11" t="str">
        <f>IFERROR(IF(VLOOKUP(A2212,[14]PRIORIZADOS!$A:$R,18,FALSE)="","",VLOOKUP(A2212,[14]PRIORIZADOS!$A:$R,18,FALSE)),"")</f>
        <v>Se encontro que al revisar el manual de convivencia , con la última actualización, falta añadir algunas normas en el marco jurídico, falta desarrollar lo que tiene que ver con protocolos de atencion, debido proceso, entre otros.</v>
      </c>
      <c r="S2212" s="11" t="str">
        <f>IFERROR(IF(VLOOKUP(A2212,[14]PRIORIZADOS!$A:$S,19,FALSE)="","",VLOOKUP(A2212,[14]PRIORIZADOS!$A:$S,19,FALSE)),"")</f>
        <v xml:space="preserve">Elaborar plan de mejoramiento sobre todos los indicadores y DEL antes del 1 de noviembre </v>
      </c>
      <c r="T2212" s="70" t="str">
        <f>IFERROR(IF(VLOOKUP(A2212,[14]PRIORIZADOS!$A:$T,20,FALSE)="","",VLOOKUP(A2212,[14]PRIORIZADOS!$A:$T,20,FALSE)),"")</f>
        <v>Si</v>
      </c>
      <c r="U2212" s="11" t="str">
        <f>IFERROR(IF(VLOOKUP(A2212,[14]PRIORIZADOS!$A:$U,21,FALSE)="","",VLOOKUP(A2212,[14]PRIORIZADOS!$A:$U,21,FALSE)),"")</f>
        <v>Revisar la actualización del manual de convivencia para la vigencia 2026</v>
      </c>
    </row>
    <row r="2213" spans="1:21" s="1" customFormat="1" ht="60">
      <c r="A2213" s="69">
        <f>IF([14]PRIORIZADOS!A260="","",[14]PRIORIZADOS!A260)</f>
        <v>2181</v>
      </c>
      <c r="B2213" s="70">
        <f>IFERROR(IF(VLOOKUP(A2213,[14]PRIORIZADOS!$A:$B,2,FALSE)="","",VLOOKUP(A2213,[14]PRIORIZADOS!$A:$B,2,FALSE)),"")</f>
        <v>28</v>
      </c>
      <c r="C2213" s="11" t="s">
        <v>424</v>
      </c>
      <c r="D2213" s="11" t="str">
        <f>IFERROR(IF(VLOOKUP(A2213,[14]PRIORIZADOS!$A:$D,4,FALSE)="","",VLOOKUP(A2213,[14]PRIORIZADOS!$A:$D,4,FALSE)),"")</f>
        <v>PRIVADO</v>
      </c>
      <c r="E2213" s="11" t="str">
        <f>IFERROR(IF(VLOOKUP(A2213,[14]PRIORIZADOS!$A:$E,5,FALSE)="","",VLOOKUP(A2213,[14]PRIORIZADOS!$A:$E,5,FALSE)),"")</f>
        <v>EPBM</v>
      </c>
      <c r="F2213" s="11" t="str">
        <f>IFERROR(IF(VLOOKUP(A2213,[14]PRIORIZADOS!$A:$F,6,FALSE)="","",VLOOKUP(A2213,[14]PRIORIZADOS!$A:$F,6,FALSE)),"")</f>
        <v>GIMNASIO_ARTISTICO_DE_SUBA</v>
      </c>
      <c r="G2213" s="11" t="str">
        <f>IFERROR(IF(VLOOKUP(A2213,[14]PRIORIZADOS!$A:$G,7,FALSE)="","",VLOOKUP(A2213,[14]PRIORIZADOS!$A:$G,7,FALSE)),"")</f>
        <v>GIMNASIO ARTISTICO DE SUBA</v>
      </c>
      <c r="H2213" s="11" t="str">
        <f>IFERROR(IF(VLOOKUP(A2213,[14]PRIORIZADOS!$A:$H,8,FALSE)="","",VLOOKUP(A2213,[14]PRIORIZADOS!$A:$H,8,FALSE)),"")</f>
        <v>Autoevaluación Institucional y Pruebas SABER 11</v>
      </c>
      <c r="I2213" s="11" t="str">
        <f>IFERROR(IF(VLOOKUP(A2213,[14]PRIORIZADOS!$A:$I,9,FALSE)="","",VLOOKUP(A2213,[14]PRIORIZADOS!$A:$I,9,FALSE)),"")</f>
        <v>EVALUACIÓN_CON_FINES_DE_MEJORAMIENTO.</v>
      </c>
      <c r="J2213" s="11" t="str">
        <f>IFERROR(IF(VLOOKUP(A2213,[14]PRIORIZADOS!$A:$J,10,FALSE)="","",VLOOKUP(A2213,[14]PRIORIZADOS!$A:$J,10,FALSE)),"")</f>
        <v>Revisar la actualización, socialización e implementación del Sistema Institucional de Evaluación de Estudiantes - SIEE, en articulación con la actualización del PEI y la normatividad vigente.</v>
      </c>
      <c r="K2213" s="11" t="str">
        <f>IFERROR(IF(VLOOKUP(A2213,[14]PRIORIZADOS!$A:$K,11,FALSE)="","",VLOOKUP(A2213,[14]PRIORIZADOS!$A:$K,11,FALSE)),"")</f>
        <v>JENNIFFER ESPERANZA GONZÁLEZ GÓMEZ</v>
      </c>
      <c r="L2213" s="11" t="str">
        <f>IFERROR(IF(VLOOKUP(A2213,[14]PRIORIZADOS!$A:$L,12,FALSE)="","",VLOOKUP(A2213,[14]PRIORIZADOS!$A:$L,12,FALSE)),"")</f>
        <v>SONIA YAMILE ARTEAGA MELO</v>
      </c>
      <c r="M2213" s="71">
        <f>IFERROR(IF(VLOOKUP(A2213,[14]PRIORIZADOS!$A:$M,13,FALSE)="","",VLOOKUP(A2213,[14]PRIORIZADOS!$A:$M,13,FALSE)),"")</f>
        <v>45909</v>
      </c>
      <c r="N2213" s="71">
        <f>IFERROR(IF(VLOOKUP(A2213,[14]PRIORIZADOS!$A:$N,14,FALSE)="","",VLOOKUP(A2213,[14]PRIORIZADOS!$A:$N,14,FALSE)),"")</f>
        <v>45926</v>
      </c>
      <c r="O2213" s="71">
        <f>IFERROR(IF(VLOOKUP(A2213,[14]PRIORIZADOS!$A:$O,15,FALSE)="","",VLOOKUP(A2213,[14]PRIORIZADOS!$A:$O,15,FALSE)),"")</f>
        <v>45926</v>
      </c>
      <c r="P2213" s="11" t="str">
        <f>IFERROR(IF(VLOOKUP(A2213,[14]PRIORIZADOS!$A:$P,16,FALSE)="","",VLOOKUP(A2213,[14]PRIORIZADOS!$A:$P,16,FALSE)),"")</f>
        <v>Visitas de evaluación con fines de mejoramiento</v>
      </c>
      <c r="Q2213" s="22" t="s">
        <v>452</v>
      </c>
      <c r="R2213" s="11" t="str">
        <f>IFERROR(IF(VLOOKUP(A2213,[14]PRIORIZADOS!$A:$R,18,FALSE)="","",VLOOKUP(A2213,[14]PRIORIZADOS!$A:$R,18,FALSE)),"")</f>
        <v>Se realizó retroalimentación sobre  el SIEE, el cual  está en consonancia con el PEI, se retroalimento sobre el funcionamiento de las comisiones de promoción.</v>
      </c>
      <c r="S2213" s="11" t="str">
        <f>IFERROR(IF(VLOOKUP(A2213,[14]PRIORIZADOS!$A:$S,19,FALSE)="","",VLOOKUP(A2213,[14]PRIORIZADOS!$A:$S,19,FALSE)),"")</f>
        <v xml:space="preserve">Realizar los ajustes de conformidad con las observaciones realizada mediante la programacion de su plan de mejoramiento en la visita del antes del 1 de noviembre </v>
      </c>
      <c r="T2213" s="70" t="str">
        <f>IFERROR(IF(VLOOKUP(A2213,[14]PRIORIZADOS!$A:$T,20,FALSE)="","",VLOOKUP(A2213,[14]PRIORIZADOS!$A:$T,20,FALSE)),"")</f>
        <v>Si</v>
      </c>
      <c r="U2213" s="11" t="str">
        <f>IFERROR(IF(VLOOKUP(A2213,[14]PRIORIZADOS!$A:$U,21,FALSE)="","",VLOOKUP(A2213,[14]PRIORIZADOS!$A:$U,21,FALSE)),"")</f>
        <v>Revisar la actualización del manual de convivencia en lo relacionado con el  SIIE vigencia 2026</v>
      </c>
    </row>
    <row r="2214" spans="1:21" s="1" customFormat="1" ht="48">
      <c r="A2214" s="69">
        <f>IF([14]PRIORIZADOS!A261="","",[14]PRIORIZADOS!A261)</f>
        <v>2182</v>
      </c>
      <c r="B2214" s="70">
        <f>IFERROR(IF(VLOOKUP(A2214,[14]PRIORIZADOS!$A:$B,2,FALSE)="","",VLOOKUP(A2214,[14]PRIORIZADOS!$A:$B,2,FALSE)),"")</f>
        <v>28</v>
      </c>
      <c r="C2214" s="11" t="s">
        <v>424</v>
      </c>
      <c r="D2214" s="11" t="str">
        <f>IFERROR(IF(VLOOKUP(A2214,[14]PRIORIZADOS!$A:$D,4,FALSE)="","",VLOOKUP(A2214,[14]PRIORIZADOS!$A:$D,4,FALSE)),"")</f>
        <v>PRIVADO</v>
      </c>
      <c r="E2214" s="11" t="str">
        <f>IFERROR(IF(VLOOKUP(A2214,[14]PRIORIZADOS!$A:$E,5,FALSE)="","",VLOOKUP(A2214,[14]PRIORIZADOS!$A:$E,5,FALSE)),"")</f>
        <v>EPBM</v>
      </c>
      <c r="F2214" s="11" t="str">
        <f>IFERROR(IF(VLOOKUP(A2214,[14]PRIORIZADOS!$A:$F,6,FALSE)="","",VLOOKUP(A2214,[14]PRIORIZADOS!$A:$F,6,FALSE)),"")</f>
        <v>GIMNASIO_ARTISTICO_DE_SUBA</v>
      </c>
      <c r="G2214" s="11" t="str">
        <f>IFERROR(IF(VLOOKUP(A2214,[14]PRIORIZADOS!$A:$G,7,FALSE)="","",VLOOKUP(A2214,[14]PRIORIZADOS!$A:$G,7,FALSE)),"")</f>
        <v>GIMNASIO ARTISTICO DE SUBA</v>
      </c>
      <c r="H2214" s="11" t="str">
        <f>IFERROR(IF(VLOOKUP(A2214,[14]PRIORIZADOS!$A:$H,8,FALSE)="","",VLOOKUP(A2214,[14]PRIORIZADOS!$A:$H,8,FALSE)),"")</f>
        <v>Autoevaluación Institucional y Pruebas SABER 11</v>
      </c>
      <c r="I2214" s="11" t="str">
        <f>IFERROR(IF(VLOOKUP(A2214,[14]PRIORIZADOS!$A:$I,9,FALSE)="","",VLOOKUP(A2214,[14]PRIORIZADOS!$A:$I,9,FALSE)),"")</f>
        <v>EVALUACIÓN_CON_FINES_DE_MEJORAMIENTO.</v>
      </c>
      <c r="J2214" s="11" t="str">
        <f>IFERROR(IF(VLOOKUP(A2214,[14]PRIORIZADOS!$A:$J,10,FALSE)="","",VLOOKUP(A2214,[14]PRIORIZADOS!$A:$J,10,FALSE)),"")</f>
        <v>Revisar el calendario escolar, jornada escolar, la intensidad horaria mínima anual en cada nivel y las modificaciones que se realicen al mismo, de acuerdo con lo previsto en la normatividad vigente.</v>
      </c>
      <c r="K2214" s="11" t="str">
        <f>IFERROR(IF(VLOOKUP(A2214,[14]PRIORIZADOS!$A:$K,11,FALSE)="","",VLOOKUP(A2214,[14]PRIORIZADOS!$A:$K,11,FALSE)),"")</f>
        <v>JENNIFFER ESPERANZA GONZÁLEZ GÓMEZ</v>
      </c>
      <c r="L2214" s="11" t="str">
        <f>IFERROR(IF(VLOOKUP(A2214,[14]PRIORIZADOS!$A:$L,12,FALSE)="","",VLOOKUP(A2214,[14]PRIORIZADOS!$A:$L,12,FALSE)),"")</f>
        <v>SONIA YAMILE ARTEAGA MELO</v>
      </c>
      <c r="M2214" s="71">
        <f>IFERROR(IF(VLOOKUP(A2214,[14]PRIORIZADOS!$A:$M,13,FALSE)="","",VLOOKUP(A2214,[14]PRIORIZADOS!$A:$M,13,FALSE)),"")</f>
        <v>45909</v>
      </c>
      <c r="N2214" s="71">
        <f>IFERROR(IF(VLOOKUP(A2214,[14]PRIORIZADOS!$A:$N,14,FALSE)="","",VLOOKUP(A2214,[14]PRIORIZADOS!$A:$N,14,FALSE)),"")</f>
        <v>45926</v>
      </c>
      <c r="O2214" s="71">
        <f>IFERROR(IF(VLOOKUP(A2214,[14]PRIORIZADOS!$A:$O,15,FALSE)="","",VLOOKUP(A2214,[14]PRIORIZADOS!$A:$O,15,FALSE)),"")</f>
        <v>45926</v>
      </c>
      <c r="P2214" s="11" t="str">
        <f>IFERROR(IF(VLOOKUP(A2214,[14]PRIORIZADOS!$A:$P,16,FALSE)="","",VLOOKUP(A2214,[14]PRIORIZADOS!$A:$P,16,FALSE)),"")</f>
        <v>Visitas de evaluación con fines de mejoramiento</v>
      </c>
      <c r="Q2214" s="22" t="s">
        <v>452</v>
      </c>
      <c r="R2214" s="11" t="str">
        <f>IFERROR(IF(VLOOKUP(A2214,[14]PRIORIZADOS!$A:$R,18,FALSE)="","",VLOOKUP(A2214,[14]PRIORIZADOS!$A:$R,18,FALSE)),"")</f>
        <v>La intensidad horaria y las horas mínimas anuales de cada ciclo  se ajustan a la normatividad vigente.</v>
      </c>
      <c r="S2214" s="11" t="str">
        <f>IFERROR(IF(VLOOKUP(A2214,[14]PRIORIZADOS!$A:$S,19,FALSE)="","",VLOOKUP(A2214,[14]PRIORIZADOS!$A:$S,19,FALSE)),"")</f>
        <v>continuar con el proceso para la vigencia 2026</v>
      </c>
      <c r="T2214" s="70" t="str">
        <f>IFERROR(IF(VLOOKUP(A2214,[14]PRIORIZADOS!$A:$T,20,FALSE)="","",VLOOKUP(A2214,[14]PRIORIZADOS!$A:$T,20,FALSE)),"")</f>
        <v>No</v>
      </c>
      <c r="U2214" s="11" t="str">
        <f>IFERROR(IF(VLOOKUP(A2214,[14]PRIORIZADOS!$A:$U,21,FALSE)="","",VLOOKUP(A2214,[14]PRIORIZADOS!$A:$U,21,FALSE)),"")</f>
        <v>se realizará la nueva verificacion en 2026</v>
      </c>
    </row>
    <row r="2215" spans="1:21" s="1" customFormat="1" ht="48">
      <c r="A2215" s="69">
        <f>IF([14]PRIORIZADOS!A262="","",[14]PRIORIZADOS!A262)</f>
        <v>2183</v>
      </c>
      <c r="B2215" s="70">
        <f>IFERROR(IF(VLOOKUP(A2215,[14]PRIORIZADOS!$A:$B,2,FALSE)="","",VLOOKUP(A2215,[14]PRIORIZADOS!$A:$B,2,FALSE)),"")</f>
        <v>28</v>
      </c>
      <c r="C2215" s="11" t="s">
        <v>424</v>
      </c>
      <c r="D2215" s="11" t="str">
        <f>IFERROR(IF(VLOOKUP(A2215,[14]PRIORIZADOS!$A:$D,4,FALSE)="","",VLOOKUP(A2215,[14]PRIORIZADOS!$A:$D,4,FALSE)),"")</f>
        <v>PRIVADO</v>
      </c>
      <c r="E2215" s="11" t="str">
        <f>IFERROR(IF(VLOOKUP(A2215,[14]PRIORIZADOS!$A:$E,5,FALSE)="","",VLOOKUP(A2215,[14]PRIORIZADOS!$A:$E,5,FALSE)),"")</f>
        <v>EPBM</v>
      </c>
      <c r="F2215" s="11" t="str">
        <f>IFERROR(IF(VLOOKUP(A2215,[14]PRIORIZADOS!$A:$F,6,FALSE)="","",VLOOKUP(A2215,[14]PRIORIZADOS!$A:$F,6,FALSE)),"")</f>
        <v>GIMNASIO_ARTISTICO_DE_SUBA</v>
      </c>
      <c r="G2215" s="11" t="str">
        <f>IFERROR(IF(VLOOKUP(A2215,[14]PRIORIZADOS!$A:$G,7,FALSE)="","",VLOOKUP(A2215,[14]PRIORIZADOS!$A:$G,7,FALSE)),"")</f>
        <v>GIMNASIO ARTISTICO DE SUBA</v>
      </c>
      <c r="H2215" s="11" t="str">
        <f>IFERROR(IF(VLOOKUP(A2215,[14]PRIORIZADOS!$A:$H,8,FALSE)="","",VLOOKUP(A2215,[14]PRIORIZADOS!$A:$H,8,FALSE)),"")</f>
        <v>Autoevaluación Institucional y Pruebas SABER 11</v>
      </c>
      <c r="I2215" s="11" t="str">
        <f>IFERROR(IF(VLOOKUP(A2215,[14]PRIORIZADOS!$A:$I,9,FALSE)="","",VLOOKUP(A2215,[14]PRIORIZADOS!$A:$I,9,FALSE)),"")</f>
        <v>EVALUACIÓN_CON_FINES_DE_MEJORAMIENTO.</v>
      </c>
      <c r="J2215" s="11" t="str">
        <f>IFERROR(IF(VLOOKUP(A2215,[14]PRIORIZADOS!$A:$J,10,FALSE)="","",VLOOKUP(A2215,[14]PRIORIZADOS!$A:$J,10,FALSE)),"")</f>
        <v>Verificar el funcionamiento del Gobierno Escolar e instancias de participación con base en la información sobre conformación reportada por la institución educativa.</v>
      </c>
      <c r="K2215" s="11" t="str">
        <f>IFERROR(IF(VLOOKUP(A2215,[14]PRIORIZADOS!$A:$K,11,FALSE)="","",VLOOKUP(A2215,[14]PRIORIZADOS!$A:$K,11,FALSE)),"")</f>
        <v>JENNIFFER ESPERANZA GONZÁLEZ GÓMEZ</v>
      </c>
      <c r="L2215" s="11" t="str">
        <f>IFERROR(IF(VLOOKUP(A2215,[14]PRIORIZADOS!$A:$L,12,FALSE)="","",VLOOKUP(A2215,[14]PRIORIZADOS!$A:$L,12,FALSE)),"")</f>
        <v>SONIA YAMILE ARTEAGA MELO</v>
      </c>
      <c r="M2215" s="71">
        <f>IFERROR(IF(VLOOKUP(A2215,[14]PRIORIZADOS!$A:$M,13,FALSE)="","",VLOOKUP(A2215,[14]PRIORIZADOS!$A:$M,13,FALSE)),"")</f>
        <v>45909</v>
      </c>
      <c r="N2215" s="71">
        <f>IFERROR(IF(VLOOKUP(A2215,[14]PRIORIZADOS!$A:$N,14,FALSE)="","",VLOOKUP(A2215,[14]PRIORIZADOS!$A:$N,14,FALSE)),"")</f>
        <v>45926</v>
      </c>
      <c r="O2215" s="71">
        <f>IFERROR(IF(VLOOKUP(A2215,[14]PRIORIZADOS!$A:$O,15,FALSE)="","",VLOOKUP(A2215,[14]PRIORIZADOS!$A:$O,15,FALSE)),"")</f>
        <v>45926</v>
      </c>
      <c r="P2215" s="11" t="str">
        <f>IFERROR(IF(VLOOKUP(A2215,[14]PRIORIZADOS!$A:$P,16,FALSE)="","",VLOOKUP(A2215,[14]PRIORIZADOS!$A:$P,16,FALSE)),"")</f>
        <v>Visitas de evaluación con fines de mejoramiento</v>
      </c>
      <c r="Q2215" s="22" t="s">
        <v>452</v>
      </c>
      <c r="R2215" s="11" t="str">
        <f>IFERROR(IF(VLOOKUP(A2215,[14]PRIORIZADOS!$A:$R,18,FALSE)="","",VLOOKUP(A2215,[14]PRIORIZADOS!$A:$R,18,FALSE)),"")</f>
        <v>Se evidenciaron las actas de conformación de gobierno escolar, las cuales estan  cargadas en el SAE. Sobre el funcionamiento han sesionado.</v>
      </c>
      <c r="S2215" s="11" t="str">
        <f>IFERROR(IF(VLOOKUP(A2215,[14]PRIORIZADOS!$A:$S,19,FALSE)="","",VLOOKUP(A2215,[14]PRIORIZADOS!$A:$S,19,FALSE)),"")</f>
        <v xml:space="preserve"> Sesionar con cada órgano de gobierno de conformidad con la periodicidad establecida en la norma</v>
      </c>
      <c r="T2215" s="70" t="str">
        <f>IFERROR(IF(VLOOKUP(A2215,[14]PRIORIZADOS!$A:$T,20,FALSE)="","",VLOOKUP(A2215,[14]PRIORIZADOS!$A:$T,20,FALSE)),"")</f>
        <v>Si</v>
      </c>
      <c r="U2215" s="11" t="str">
        <f>IFERROR(IF(VLOOKUP(A2215,[14]PRIORIZADOS!$A:$U,21,FALSE)="","",VLOOKUP(A2215,[14]PRIORIZADOS!$A:$U,21,FALSE)),"")</f>
        <v>Verificar el SAE  y verificar el funcionamiento de  los organos de gobierno.</v>
      </c>
    </row>
    <row r="2216" spans="1:21" s="1" customFormat="1" ht="36">
      <c r="A2216" s="69">
        <f>IF([14]PRIORIZADOS!A263="","",[14]PRIORIZADOS!A263)</f>
        <v>2184</v>
      </c>
      <c r="B2216" s="70">
        <f>IFERROR(IF(VLOOKUP(A2216,[14]PRIORIZADOS!$A:$B,2,FALSE)="","",VLOOKUP(A2216,[14]PRIORIZADOS!$A:$B,2,FALSE)),"")</f>
        <v>28</v>
      </c>
      <c r="C2216" s="11" t="s">
        <v>424</v>
      </c>
      <c r="D2216" s="11" t="str">
        <f>IFERROR(IF(VLOOKUP(A2216,[14]PRIORIZADOS!$A:$D,4,FALSE)="","",VLOOKUP(A2216,[14]PRIORIZADOS!$A:$D,4,FALSE)),"")</f>
        <v>PRIVADO</v>
      </c>
      <c r="E2216" s="11" t="str">
        <f>IFERROR(IF(VLOOKUP(A2216,[14]PRIORIZADOS!$A:$E,5,FALSE)="","",VLOOKUP(A2216,[14]PRIORIZADOS!$A:$E,5,FALSE)),"")</f>
        <v>EPBM</v>
      </c>
      <c r="F2216" s="11" t="str">
        <f>IFERROR(IF(VLOOKUP(A2216,[14]PRIORIZADOS!$A:$F,6,FALSE)="","",VLOOKUP(A2216,[14]PRIORIZADOS!$A:$F,6,FALSE)),"")</f>
        <v>GIMNASIO_ARTISTICO_DE_SUBA</v>
      </c>
      <c r="G2216" s="11" t="str">
        <f>IFERROR(IF(VLOOKUP(A2216,[14]PRIORIZADOS!$A:$G,7,FALSE)="","",VLOOKUP(A2216,[14]PRIORIZADOS!$A:$G,7,FALSE)),"")</f>
        <v>GIMNASIO ARTISTICO DE SUBA</v>
      </c>
      <c r="H2216" s="11" t="str">
        <f>IFERROR(IF(VLOOKUP(A2216,[14]PRIORIZADOS!$A:$H,8,FALSE)="","",VLOOKUP(A2216,[14]PRIORIZADOS!$A:$H,8,FALSE)),"")</f>
        <v>Autoevaluación Institucional y Pruebas SABER 11</v>
      </c>
      <c r="I2216" s="11" t="str">
        <f>IFERROR(IF(VLOOKUP(A2216,[14]PRIORIZADOS!$A:$I,9,FALSE)="","",VLOOKUP(A2216,[14]PRIORIZADOS!$A:$I,9,FALSE)),"")</f>
        <v>EVALUACIÓN_CON_FINES_DE_MEJORAMIENTO.</v>
      </c>
      <c r="J2216" s="11" t="str">
        <f>IFERROR(IF(VLOOKUP(A2216,[14]PRIORIZADOS!$A:$J,10,FALSE)="","",VLOOKUP(A2216,[14]PRIORIZADOS!$A:$J,10,FALSE)),"")</f>
        <v>Verificar las condiciones en cuanto a: la estructura administrativa, condiciones de la planta física y medios educativos adecuados.</v>
      </c>
      <c r="K2216" s="11" t="str">
        <f>IFERROR(IF(VLOOKUP(A2216,[14]PRIORIZADOS!$A:$K,11,FALSE)="","",VLOOKUP(A2216,[14]PRIORIZADOS!$A:$K,11,FALSE)),"")</f>
        <v>JENNIFFER ESPERANZA GONZÁLEZ GÓMEZ</v>
      </c>
      <c r="L2216" s="11" t="str">
        <f>IFERROR(IF(VLOOKUP(A2216,[14]PRIORIZADOS!$A:$L,12,FALSE)="","",VLOOKUP(A2216,[14]PRIORIZADOS!$A:$L,12,FALSE)),"")</f>
        <v>SONIA YAMILE ARTEAGA MELO</v>
      </c>
      <c r="M2216" s="71">
        <f>IFERROR(IF(VLOOKUP(A2216,[14]PRIORIZADOS!$A:$M,13,FALSE)="","",VLOOKUP(A2216,[14]PRIORIZADOS!$A:$M,13,FALSE)),"")</f>
        <v>45909</v>
      </c>
      <c r="N2216" s="71">
        <f>IFERROR(IF(VLOOKUP(A2216,[14]PRIORIZADOS!$A:$N,14,FALSE)="","",VLOOKUP(A2216,[14]PRIORIZADOS!$A:$N,14,FALSE)),"")</f>
        <v>45926</v>
      </c>
      <c r="O2216" s="71">
        <f>IFERROR(IF(VLOOKUP(A2216,[14]PRIORIZADOS!$A:$O,15,FALSE)="","",VLOOKUP(A2216,[14]PRIORIZADOS!$A:$O,15,FALSE)),"")</f>
        <v>45926</v>
      </c>
      <c r="P2216" s="11" t="str">
        <f>IFERROR(IF(VLOOKUP(A2216,[14]PRIORIZADOS!$A:$P,16,FALSE)="","",VLOOKUP(A2216,[14]PRIORIZADOS!$A:$P,16,FALSE)),"")</f>
        <v>Visitas de evaluación con fines de mejoramiento</v>
      </c>
      <c r="Q2216" s="149" t="s">
        <v>452</v>
      </c>
      <c r="R2216" s="11" t="str">
        <f>IFERROR(IF(VLOOKUP(A2216,[14]PRIORIZADOS!$A:$R,18,FALSE)="","",VLOOKUP(A2216,[14]PRIORIZADOS!$A:$R,18,FALSE)),"")</f>
        <v>se encuentra espacios limpios, no maneja sala de informatica, accede por tablets, no cuenta con baño de discapacidad</v>
      </c>
      <c r="S2216" s="11" t="str">
        <f>IFERROR(IF(VLOOKUP(A2216,[14]PRIORIZADOS!$A:$S,19,FALSE)="","",VLOOKUP(A2216,[14]PRIORIZADOS!$A:$S,19,FALSE)),"")</f>
        <v>continuar proceso de adaptación de medios educativos para los estudiantes con diagnsotico</v>
      </c>
      <c r="T2216" s="70" t="str">
        <f>IFERROR(IF(VLOOKUP(A2216,[14]PRIORIZADOS!$A:$T,20,FALSE)="","",VLOOKUP(A2216,[14]PRIORIZADOS!$A:$T,20,FALSE)),"")</f>
        <v>Si</v>
      </c>
      <c r="U2216" s="11" t="str">
        <f>IFERROR(IF(VLOOKUP(A2216,[14]PRIORIZADOS!$A:$U,21,FALSE)="","",VLOOKUP(A2216,[14]PRIORIZADOS!$A:$U,21,FALSE)),"")</f>
        <v>Se realizara la nueva verificacion en 2026</v>
      </c>
    </row>
    <row r="2217" spans="1:21" s="1" customFormat="1" ht="48">
      <c r="A2217" s="69">
        <f>IF([14]PRIORIZADOS!A264="","",[14]PRIORIZADOS!A264)</f>
        <v>2185</v>
      </c>
      <c r="B2217" s="70">
        <f>IFERROR(IF(VLOOKUP(A2217,[14]PRIORIZADOS!$A:$B,2,FALSE)="","",VLOOKUP(A2217,[14]PRIORIZADOS!$A:$B,2,FALSE)),"")</f>
        <v>29</v>
      </c>
      <c r="C2217" s="11" t="s">
        <v>424</v>
      </c>
      <c r="D2217" s="11" t="str">
        <f>IFERROR(IF(VLOOKUP(A2217,[14]PRIORIZADOS!$A:$D,4,FALSE)="","",VLOOKUP(A2217,[14]PRIORIZADOS!$A:$D,4,FALSE)),"")</f>
        <v>PRIVADO</v>
      </c>
      <c r="E2217" s="11" t="str">
        <f>IFERROR(IF(VLOOKUP(A2217,[14]PRIORIZADOS!$A:$E,5,FALSE)="","",VLOOKUP(A2217,[14]PRIORIZADOS!$A:$E,5,FALSE)),"")</f>
        <v>EPBM</v>
      </c>
      <c r="F2217" s="11" t="str">
        <f>IFERROR(IF(VLOOKUP(A2217,[14]PRIORIZADOS!$A:$F,6,FALSE)="","",VLOOKUP(A2217,[14]PRIORIZADOS!$A:$F,6,FALSE)),"")</f>
        <v>GIMNASIO_LA_CAMPIÑA</v>
      </c>
      <c r="G2217" s="11" t="str">
        <f>IFERROR(IF(VLOOKUP(A2217,[14]PRIORIZADOS!$A:$G,7,FALSE)="","",VLOOKUP(A2217,[14]PRIORIZADOS!$A:$G,7,FALSE)),"")</f>
        <v>GIMNASIO LA CAMPIÑA</v>
      </c>
      <c r="H2217" s="11" t="str">
        <f>IFERROR(IF(VLOOKUP(A2217,[14]PRIORIZADOS!$A:$H,8,FALSE)="","",VLOOKUP(A2217,[14]PRIORIZADOS!$A:$H,8,FALSE)),"")</f>
        <v>Autoevaluación Institucional y Pruebas SABER 11</v>
      </c>
      <c r="I2217" s="11" t="str">
        <f>IFERROR(IF(VLOOKUP(A2217,[14]PRIORIZADOS!$A:$I,9,FALSE)="","",VLOOKUP(A2217,[14]PRIORIZADOS!$A:$I,9,FALSE)),"")</f>
        <v>SEGUIMIENTO_Y_SUPERVISIÓN.</v>
      </c>
      <c r="J2217" s="11" t="str">
        <f>IFERROR(IF(VLOOKUP(A2217,[14]PRIORIZADOS!$A:$J,10,FALSE)="","",VLOOKUP(A2217,[14]PRIORIZADOS!$A:$J,10,FALSE)),"")</f>
        <v>Realizar visitas para verificar la información registrada sobre la autoevaluación institucional en el aplicativo EVI, a los establecimientos de educación formal no oficial.</v>
      </c>
      <c r="K2217" s="11" t="str">
        <f>IFERROR(IF(VLOOKUP(A2217,[14]PRIORIZADOS!$A:$K,11,FALSE)="","",VLOOKUP(A2217,[14]PRIORIZADOS!$A:$K,11,FALSE)),"")</f>
        <v>JUAN MANUEL SANCHEZ MORA</v>
      </c>
      <c r="L2217" s="11" t="str">
        <f>IFERROR(IF(VLOOKUP(A2217,[14]PRIORIZADOS!$A:$L,12,FALSE)="","",VLOOKUP(A2217,[14]PRIORIZADOS!$A:$L,12,FALSE)),"")</f>
        <v>MARTHA RUT SILVA ABRIL</v>
      </c>
      <c r="M2217" s="71">
        <f>IFERROR(IF(VLOOKUP(A2217,[14]PRIORIZADOS!$A:$M,13,FALSE)="","",VLOOKUP(A2217,[14]PRIORIZADOS!$A:$M,13,FALSE)),"")</f>
        <v>45860</v>
      </c>
      <c r="N2217" s="71">
        <f>IFERROR(IF(VLOOKUP(A2217,[14]PRIORIZADOS!$A:$N,14,FALSE)="","",VLOOKUP(A2217,[14]PRIORIZADOS!$A:$N,14,FALSE)),"")</f>
        <v>45890</v>
      </c>
      <c r="O2217" s="71">
        <f>IFERROR(IF(VLOOKUP(A2217,[14]PRIORIZADOS!$A:$O,15,FALSE)="","",VLOOKUP(A2217,[14]PRIORIZADOS!$A:$O,15,FALSE)),"")</f>
        <v>45890</v>
      </c>
      <c r="P2217" s="11" t="str">
        <f>IFERROR(IF(VLOOKUP(A2217,[14]PRIORIZADOS!$A:$P,16,FALSE)="","",VLOOKUP(A2217,[14]PRIORIZADOS!$A:$P,16,FALSE)),"")</f>
        <v>Visitas de evaluación con fines de seguimiento</v>
      </c>
      <c r="Q2217" s="24" t="s">
        <v>453</v>
      </c>
      <c r="R2217" s="11" t="str">
        <f>IFERROR(IF(VLOOKUP(A2217,[14]PRIORIZADOS!$A:$R,18,FALSE)="","",VLOOKUP(A2217,[14]PRIORIZADOS!$A:$R,18,FALSE)),"")</f>
        <v xml:space="preserve">La información reportada no corresponde con la realialidad de la institucion eductaiva </v>
      </c>
      <c r="S2217" s="11" t="str">
        <f>IFERROR(IF(VLOOKUP(A2217,[14]PRIORIZADOS!$A:$S,19,FALSE)="","",VLOOKUP(A2217,[14]PRIORIZADOS!$A:$S,19,FALSE)),"")</f>
        <v>Reportar la información de acuerdo con la realidad institucional, realizar los ajustes en planta física y espacios pedagógicos y administrativos.</v>
      </c>
      <c r="T2217" s="70" t="str">
        <f>IFERROR(IF(VLOOKUP(A2217,[14]PRIORIZADOS!$A:$T,20,FALSE)="","",VLOOKUP(A2217,[14]PRIORIZADOS!$A:$T,20,FALSE)),"")</f>
        <v>Si</v>
      </c>
      <c r="U2217" s="11" t="str">
        <f>IFERROR(IF(VLOOKUP(A2217,[14]PRIORIZADOS!$A:$U,21,FALSE)="","",VLOOKUP(A2217,[14]PRIORIZADOS!$A:$U,21,FALSE)),"")</f>
        <v>Revisar el plan de mejoramiento de fecha 3 de octubre de 2025</v>
      </c>
    </row>
    <row r="2218" spans="1:21" s="1" customFormat="1" ht="60">
      <c r="A2218" s="69">
        <f>IF([14]PRIORIZADOS!A265="","",[14]PRIORIZADOS!A265)</f>
        <v>2186</v>
      </c>
      <c r="B2218" s="70">
        <f>IFERROR(IF(VLOOKUP(A2218,[14]PRIORIZADOS!$A:$B,2,FALSE)="","",VLOOKUP(A2218,[14]PRIORIZADOS!$A:$B,2,FALSE)),"")</f>
        <v>29</v>
      </c>
      <c r="C2218" s="11" t="s">
        <v>424</v>
      </c>
      <c r="D2218" s="11" t="str">
        <f>IFERROR(IF(VLOOKUP(A2218,[14]PRIORIZADOS!$A:$D,4,FALSE)="","",VLOOKUP(A2218,[14]PRIORIZADOS!$A:$D,4,FALSE)),"")</f>
        <v>PRIVADO</v>
      </c>
      <c r="E2218" s="11" t="str">
        <f>IFERROR(IF(VLOOKUP(A2218,[14]PRIORIZADOS!$A:$E,5,FALSE)="","",VLOOKUP(A2218,[14]PRIORIZADOS!$A:$E,5,FALSE)),"")</f>
        <v>EPBM</v>
      </c>
      <c r="F2218" s="11" t="str">
        <f>IFERROR(IF(VLOOKUP(A2218,[14]PRIORIZADOS!$A:$F,6,FALSE)="","",VLOOKUP(A2218,[14]PRIORIZADOS!$A:$F,6,FALSE)),"")</f>
        <v>GIMNASIO_LA_CAMPIÑA</v>
      </c>
      <c r="G2218" s="11" t="str">
        <f>IFERROR(IF(VLOOKUP(A2218,[14]PRIORIZADOS!$A:$G,7,FALSE)="","",VLOOKUP(A2218,[14]PRIORIZADOS!$A:$G,7,FALSE)),"")</f>
        <v>GIMNASIO LA CAMPIÑA</v>
      </c>
      <c r="H2218" s="11" t="str">
        <f>IFERROR(IF(VLOOKUP(A2218,[14]PRIORIZADOS!$A:$H,8,FALSE)="","",VLOOKUP(A2218,[14]PRIORIZADOS!$A:$H,8,FALSE)),"")</f>
        <v>Autoevaluación Institucional y Pruebas SABER 11</v>
      </c>
      <c r="I2218" s="11" t="str">
        <f>IFERROR(IF(VLOOKUP(A2218,[14]PRIORIZADOS!$A:$I,9,FALSE)="","",VLOOKUP(A2218,[14]PRIORIZADOS!$A:$I,9,FALSE)),"")</f>
        <v>SEGUIMIENTO_Y_SUPERVISIÓN.</v>
      </c>
      <c r="J2218" s="11" t="str">
        <f>IFERROR(IF(VLOOKUP(A2218,[14]PRIORIZADOS!$A:$J,10,FALSE)="","",VLOOKUP(A2218,[14]PRIORIZADOS!$A:$J,10,FALSE)),"")</f>
        <v>Proponer estrategias en la formulación, verificar su elaboración y realizar seguimiento semestral al desarrollo de  las acciones establecidas en los planes de mejoramiento por pruebas SABER 11 de los establecimientos de educación formal.</v>
      </c>
      <c r="K2218" s="11" t="str">
        <f>IFERROR(IF(VLOOKUP(A2218,[14]PRIORIZADOS!$A:$K,11,FALSE)="","",VLOOKUP(A2218,[14]PRIORIZADOS!$A:$K,11,FALSE)),"")</f>
        <v>JUAN MANUEL SANCHEZ MORA</v>
      </c>
      <c r="L2218" s="11" t="str">
        <f>IFERROR(IF(VLOOKUP(A2218,[14]PRIORIZADOS!$A:$L,12,FALSE)="","",VLOOKUP(A2218,[14]PRIORIZADOS!$A:$L,12,FALSE)),"")</f>
        <v>MARTHA RUT SILVA ABRIL</v>
      </c>
      <c r="M2218" s="71">
        <f>IFERROR(IF(VLOOKUP(A2218,[14]PRIORIZADOS!$A:$M,13,FALSE)="","",VLOOKUP(A2218,[14]PRIORIZADOS!$A:$M,13,FALSE)),"")</f>
        <v>45860</v>
      </c>
      <c r="N2218" s="71">
        <f>IFERROR(IF(VLOOKUP(A2218,[14]PRIORIZADOS!$A:$N,14,FALSE)="","",VLOOKUP(A2218,[14]PRIORIZADOS!$A:$N,14,FALSE)),"")</f>
        <v>45890</v>
      </c>
      <c r="O2218" s="71">
        <f>IFERROR(IF(VLOOKUP(A2218,[14]PRIORIZADOS!$A:$O,15,FALSE)="","",VLOOKUP(A2218,[14]PRIORIZADOS!$A:$O,15,FALSE)),"")</f>
        <v>45890</v>
      </c>
      <c r="P2218" s="11" t="str">
        <f>IFERROR(IF(VLOOKUP(A2218,[14]PRIORIZADOS!$A:$P,16,FALSE)="","",VLOOKUP(A2218,[14]PRIORIZADOS!$A:$P,16,FALSE)),"")</f>
        <v>Visitas de evaluación con fines de seguimiento</v>
      </c>
      <c r="Q2218" s="22" t="s">
        <v>453</v>
      </c>
      <c r="R2218" s="11" t="str">
        <f>IFERROR(IF(VLOOKUP(A2218,[14]PRIORIZADOS!$A:$R,18,FALSE)="","",VLOOKUP(A2218,[14]PRIORIZADOS!$A:$R,18,FALSE)),"")</f>
        <v>Se observó que no cuenta con estrategias producto del análisis de los resultados en las pruebas SABER 11 tampoco la implementación de acciones de seguimiento</v>
      </c>
      <c r="S2218" s="11" t="str">
        <f>IFERROR(IF(VLOOKUP(A2218,[14]PRIORIZADOS!$A:$S,19,FALSE)="","",VLOOKUP(A2218,[14]PRIORIZADOS!$A:$S,19,FALSE)),"")</f>
        <v>Diseñar e implementar estrategias para la revisión y análisis de los últimos resultados de las pruebas saber y realizar acciones de seguimiento.</v>
      </c>
      <c r="T2218" s="70" t="str">
        <f>IFERROR(IF(VLOOKUP(A2218,[14]PRIORIZADOS!$A:$T,20,FALSE)="","",VLOOKUP(A2218,[14]PRIORIZADOS!$A:$T,20,FALSE)),"")</f>
        <v>Si</v>
      </c>
      <c r="U2218" s="11" t="str">
        <f>IFERROR(IF(VLOOKUP(A2218,[14]PRIORIZADOS!$A:$U,21,FALSE)="","",VLOOKUP(A2218,[14]PRIORIZADOS!$A:$U,21,FALSE)),"")</f>
        <v>Revisar el plan de mejoramiento de fecha 3 de octubre de 2025</v>
      </c>
    </row>
    <row r="2219" spans="1:21" s="1" customFormat="1" ht="72">
      <c r="A2219" s="69">
        <f>IF([14]PRIORIZADOS!A266="","",[14]PRIORIZADOS!A266)</f>
        <v>2187</v>
      </c>
      <c r="B2219" s="70">
        <f>IFERROR(IF(VLOOKUP(A2219,[14]PRIORIZADOS!$A:$B,2,FALSE)="","",VLOOKUP(A2219,[14]PRIORIZADOS!$A:$B,2,FALSE)),"")</f>
        <v>29</v>
      </c>
      <c r="C2219" s="11" t="s">
        <v>424</v>
      </c>
      <c r="D2219" s="11" t="str">
        <f>IFERROR(IF(VLOOKUP(A2219,[14]PRIORIZADOS!$A:$D,4,FALSE)="","",VLOOKUP(A2219,[14]PRIORIZADOS!$A:$D,4,FALSE)),"")</f>
        <v>PRIVADO</v>
      </c>
      <c r="E2219" s="11" t="str">
        <f>IFERROR(IF(VLOOKUP(A2219,[14]PRIORIZADOS!$A:$E,5,FALSE)="","",VLOOKUP(A2219,[14]PRIORIZADOS!$A:$E,5,FALSE)),"")</f>
        <v>EPBM</v>
      </c>
      <c r="F2219" s="11" t="str">
        <f>IFERROR(IF(VLOOKUP(A2219,[14]PRIORIZADOS!$A:$F,6,FALSE)="","",VLOOKUP(A2219,[14]PRIORIZADOS!$A:$F,6,FALSE)),"")</f>
        <v>GIMNASIO_LA_CAMPIÑA</v>
      </c>
      <c r="G2219" s="11" t="str">
        <f>IFERROR(IF(VLOOKUP(A2219,[14]PRIORIZADOS!$A:$G,7,FALSE)="","",VLOOKUP(A2219,[14]PRIORIZADOS!$A:$G,7,FALSE)),"")</f>
        <v>GIMNASIO LA CAMPIÑA</v>
      </c>
      <c r="H2219" s="11" t="str">
        <f>IFERROR(IF(VLOOKUP(A2219,[14]PRIORIZADOS!$A:$H,8,FALSE)="","",VLOOKUP(A2219,[14]PRIORIZADOS!$A:$H,8,FALSE)),"")</f>
        <v>Autoevaluación Institucional y Pruebas SABER 11</v>
      </c>
      <c r="I2219" s="11" t="str">
        <f>IFERROR(IF(VLOOKUP(A2219,[14]PRIORIZADOS!$A:$I,9,FALSE)="","",VLOOKUP(A2219,[14]PRIORIZADOS!$A:$I,9,FALSE)),"")</f>
        <v>SEGUIMIENTO_Y_SUPERVISIÓN.</v>
      </c>
      <c r="J2219" s="11" t="str">
        <f>IFERROR(IF(VLOOKUP(A2219,[14]PRIORIZADOS!$A:$J,10,FALSE)="","",VLOOKUP(A2219,[14]PRIORIZADOS!$A:$J,10,FALSE)),"")</f>
        <v xml:space="preserve">Verificar la implementación por parte de los colegios, de acciones realizadas para la prevención y atención de las situaciones de convivencia en el entorno escolar, según lo establecido en la Directiva 01 de 2022 del MEN. </v>
      </c>
      <c r="K2219" s="11" t="str">
        <f>IFERROR(IF(VLOOKUP(A2219,[14]PRIORIZADOS!$A:$K,11,FALSE)="","",VLOOKUP(A2219,[14]PRIORIZADOS!$A:$K,11,FALSE)),"")</f>
        <v>JUAN MANUEL SANCHEZ MORA</v>
      </c>
      <c r="L2219" s="11" t="str">
        <f>IFERROR(IF(VLOOKUP(A2219,[14]PRIORIZADOS!$A:$L,12,FALSE)="","",VLOOKUP(A2219,[14]PRIORIZADOS!$A:$L,12,FALSE)),"")</f>
        <v>MARTHA RUT SILVA ABRIL</v>
      </c>
      <c r="M2219" s="71">
        <f>IFERROR(IF(VLOOKUP(A2219,[14]PRIORIZADOS!$A:$M,13,FALSE)="","",VLOOKUP(A2219,[14]PRIORIZADOS!$A:$M,13,FALSE)),"")</f>
        <v>45860</v>
      </c>
      <c r="N2219" s="71">
        <f>IFERROR(IF(VLOOKUP(A2219,[14]PRIORIZADOS!$A:$N,14,FALSE)="","",VLOOKUP(A2219,[14]PRIORIZADOS!$A:$N,14,FALSE)),"")</f>
        <v>45890</v>
      </c>
      <c r="O2219" s="71">
        <f>IFERROR(IF(VLOOKUP(A2219,[14]PRIORIZADOS!$A:$O,15,FALSE)="","",VLOOKUP(A2219,[14]PRIORIZADOS!$A:$O,15,FALSE)),"")</f>
        <v>45890</v>
      </c>
      <c r="P2219" s="11" t="str">
        <f>IFERROR(IF(VLOOKUP(A2219,[14]PRIORIZADOS!$A:$P,16,FALSE)="","",VLOOKUP(A2219,[14]PRIORIZADOS!$A:$P,16,FALSE)),"")</f>
        <v>Visitas de evaluación con fines de seguimiento</v>
      </c>
      <c r="Q2219" s="22" t="s">
        <v>453</v>
      </c>
      <c r="R2219" s="11" t="str">
        <f>IFERROR(IF(VLOOKUP(A2219,[14]PRIORIZADOS!$A:$R,18,FALSE)="","",VLOOKUP(A2219,[14]PRIORIZADOS!$A:$R,18,FALSE)),"")</f>
        <v>Se evidenció que no realiza consulta de  inhabilidades por delitos sexuales para la vinculación de docentes.</v>
      </c>
      <c r="S2219" s="11" t="str">
        <f>IFERROR(IF(VLOOKUP(A2219,[14]PRIORIZADOS!$A:$S,19,FALSE)="","",VLOOKUP(A2219,[14]PRIORIZADOS!$A:$S,19,FALSE)),"")</f>
        <v>Realizar consulta cada 4 meses en el sistema para la verficación de inhabilidades por delitos sexuales en cumplimiento de la Directiva Ministerial para todo el personal vinculado a la institución.</v>
      </c>
      <c r="T2219" s="70" t="str">
        <f>IFERROR(IF(VLOOKUP(A2219,[14]PRIORIZADOS!$A:$T,20,FALSE)="","",VLOOKUP(A2219,[14]PRIORIZADOS!$A:$T,20,FALSE)),"")</f>
        <v>Si</v>
      </c>
      <c r="U2219" s="11" t="str">
        <f>IFERROR(IF(VLOOKUP(A2219,[14]PRIORIZADOS!$A:$U,21,FALSE)="","",VLOOKUP(A2219,[14]PRIORIZADOS!$A:$U,21,FALSE)),"")</f>
        <v>Revisar el plan de mejoramiento de fecha 3 de octubre de 2025</v>
      </c>
    </row>
    <row r="2220" spans="1:21" s="1" customFormat="1" ht="72">
      <c r="A2220" s="69">
        <f>IF([14]PRIORIZADOS!A267="","",[14]PRIORIZADOS!A267)</f>
        <v>2188</v>
      </c>
      <c r="B2220" s="70">
        <f>IFERROR(IF(VLOOKUP(A2220,[14]PRIORIZADOS!$A:$B,2,FALSE)="","",VLOOKUP(A2220,[14]PRIORIZADOS!$A:$B,2,FALSE)),"")</f>
        <v>29</v>
      </c>
      <c r="C2220" s="11" t="s">
        <v>424</v>
      </c>
      <c r="D2220" s="11" t="str">
        <f>IFERROR(IF(VLOOKUP(A2220,[14]PRIORIZADOS!$A:$D,4,FALSE)="","",VLOOKUP(A2220,[14]PRIORIZADOS!$A:$D,4,FALSE)),"")</f>
        <v>PRIVADO</v>
      </c>
      <c r="E2220" s="11" t="str">
        <f>IFERROR(IF(VLOOKUP(A2220,[14]PRIORIZADOS!$A:$E,5,FALSE)="","",VLOOKUP(A2220,[14]PRIORIZADOS!$A:$E,5,FALSE)),"")</f>
        <v>EPBM</v>
      </c>
      <c r="F2220" s="11" t="str">
        <f>IFERROR(IF(VLOOKUP(A2220,[14]PRIORIZADOS!$A:$F,6,FALSE)="","",VLOOKUP(A2220,[14]PRIORIZADOS!$A:$F,6,FALSE)),"")</f>
        <v>GIMNASIO_LA_CAMPIÑA</v>
      </c>
      <c r="G2220" s="11" t="str">
        <f>IFERROR(IF(VLOOKUP(A2220,[14]PRIORIZADOS!$A:$G,7,FALSE)="","",VLOOKUP(A2220,[14]PRIORIZADOS!$A:$G,7,FALSE)),"")</f>
        <v>GIMNASIO LA CAMPIÑA</v>
      </c>
      <c r="H2220" s="11" t="str">
        <f>IFERROR(IF(VLOOKUP(A2220,[14]PRIORIZADOS!$A:$H,8,FALSE)="","",VLOOKUP(A2220,[14]PRIORIZADOS!$A:$H,8,FALSE)),"")</f>
        <v>Autoevaluación Institucional y Pruebas SABER 11</v>
      </c>
      <c r="I2220" s="11" t="str">
        <f>IFERROR(IF(VLOOKUP(A2220,[14]PRIORIZADOS!$A:$I,9,FALSE)="","",VLOOKUP(A2220,[14]PRIORIZADOS!$A:$I,9,FALSE)),"")</f>
        <v>SEGUIMIENTO_Y_SUPERVISIÓN.</v>
      </c>
      <c r="J2220" s="11" t="str">
        <f>IFERROR(IF(VLOOKUP(A2220,[14]PRIORIZADOS!$A:$J,10,FALSE)="","",VLOOKUP(A2220,[14]PRIORIZADOS!$A:$J,10,FALSE)),"")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20" s="11" t="str">
        <f>IFERROR(IF(VLOOKUP(A2220,[14]PRIORIZADOS!$A:$K,11,FALSE)="","",VLOOKUP(A2220,[14]PRIORIZADOS!$A:$K,11,FALSE)),"")</f>
        <v>JUAN MANUEL SANCHEZ MORA</v>
      </c>
      <c r="L2220" s="11" t="str">
        <f>IFERROR(IF(VLOOKUP(A2220,[14]PRIORIZADOS!$A:$L,12,FALSE)="","",VLOOKUP(A2220,[14]PRIORIZADOS!$A:$L,12,FALSE)),"")</f>
        <v>MARTHA RUT SILVA ABRIL</v>
      </c>
      <c r="M2220" s="71">
        <f>IFERROR(IF(VLOOKUP(A2220,[14]PRIORIZADOS!$A:$M,13,FALSE)="","",VLOOKUP(A2220,[14]PRIORIZADOS!$A:$M,13,FALSE)),"")</f>
        <v>45860</v>
      </c>
      <c r="N2220" s="71">
        <f>IFERROR(IF(VLOOKUP(A2220,[14]PRIORIZADOS!$A:$N,14,FALSE)="","",VLOOKUP(A2220,[14]PRIORIZADOS!$A:$N,14,FALSE)),"")</f>
        <v>45890</v>
      </c>
      <c r="O2220" s="71">
        <f>IFERROR(IF(VLOOKUP(A2220,[14]PRIORIZADOS!$A:$O,15,FALSE)="","",VLOOKUP(A2220,[14]PRIORIZADOS!$A:$O,15,FALSE)),"")</f>
        <v>45890</v>
      </c>
      <c r="P2220" s="11" t="str">
        <f>IFERROR(IF(VLOOKUP(A2220,[14]PRIORIZADOS!$A:$P,16,FALSE)="","",VLOOKUP(A2220,[14]PRIORIZADOS!$A:$P,16,FALSE)),"")</f>
        <v>Visitas de evaluación con fines de seguimiento</v>
      </c>
      <c r="Q2220" s="22" t="s">
        <v>453</v>
      </c>
      <c r="R2220" s="11" t="str">
        <f>IFERROR(IF(VLOOKUP(A2220,[14]PRIORIZADOS!$A:$R,18,FALSE)="","",VLOOKUP(A2220,[14]PRIORIZADOS!$A:$R,18,FALSE)),"")</f>
        <v>Se encontró que la institución no cuenta con la aplicación del PIAR diseñado para cada uno de los estudiantes con discapacidad.</v>
      </c>
      <c r="S2220" s="11" t="str">
        <f>IFERROR(IF(VLOOKUP(A2220,[14]PRIORIZADOS!$A:$S,19,FALSE)="","",VLOOKUP(A2220,[14]PRIORIZADOS!$A:$S,19,FALSE)),"")</f>
        <v>Elaborar y aplicar los PIAR acorde con lo establecido en la norma según la necesidad de los estudiantes.</v>
      </c>
      <c r="T2220" s="70" t="str">
        <f>IFERROR(IF(VLOOKUP(A2220,[14]PRIORIZADOS!$A:$T,20,FALSE)="","",VLOOKUP(A2220,[14]PRIORIZADOS!$A:$T,20,FALSE)),"")</f>
        <v>Si</v>
      </c>
      <c r="U2220" s="11" t="str">
        <f>IFERROR(IF(VLOOKUP(A2220,[14]PRIORIZADOS!$A:$U,21,FALSE)="","",VLOOKUP(A2220,[14]PRIORIZADOS!$A:$U,21,FALSE)),"")</f>
        <v>Revisar el plan de mejoramiento de fecha 3 de octubre de 2025</v>
      </c>
    </row>
    <row r="2221" spans="1:21" s="1" customFormat="1" ht="84">
      <c r="A2221" s="69">
        <f>IF([14]PRIORIZADOS!A268="","",[14]PRIORIZADOS!A268)</f>
        <v>2189</v>
      </c>
      <c r="B2221" s="70">
        <f>IFERROR(IF(VLOOKUP(A2221,[14]PRIORIZADOS!$A:$B,2,FALSE)="","",VLOOKUP(A2221,[14]PRIORIZADOS!$A:$B,2,FALSE)),"")</f>
        <v>29</v>
      </c>
      <c r="C2221" s="11" t="s">
        <v>424</v>
      </c>
      <c r="D2221" s="11" t="str">
        <f>IFERROR(IF(VLOOKUP(A2221,[14]PRIORIZADOS!$A:$D,4,FALSE)="","",VLOOKUP(A2221,[14]PRIORIZADOS!$A:$D,4,FALSE)),"")</f>
        <v>PRIVADO</v>
      </c>
      <c r="E2221" s="11" t="str">
        <f>IFERROR(IF(VLOOKUP(A2221,[14]PRIORIZADOS!$A:$E,5,FALSE)="","",VLOOKUP(A2221,[14]PRIORIZADOS!$A:$E,5,FALSE)),"")</f>
        <v>EPBM</v>
      </c>
      <c r="F2221" s="11" t="str">
        <f>IFERROR(IF(VLOOKUP(A2221,[14]PRIORIZADOS!$A:$F,6,FALSE)="","",VLOOKUP(A2221,[14]PRIORIZADOS!$A:$F,6,FALSE)),"")</f>
        <v>GIMNASIO_LA_CAMPIÑA</v>
      </c>
      <c r="G2221" s="11" t="str">
        <f>IFERROR(IF(VLOOKUP(A2221,[14]PRIORIZADOS!$A:$G,7,FALSE)="","",VLOOKUP(A2221,[14]PRIORIZADOS!$A:$G,7,FALSE)),"")</f>
        <v>GIMNASIO LA CAMPIÑA</v>
      </c>
      <c r="H2221" s="11" t="str">
        <f>IFERROR(IF(VLOOKUP(A2221,[14]PRIORIZADOS!$A:$H,8,FALSE)="","",VLOOKUP(A2221,[14]PRIORIZADOS!$A:$H,8,FALSE)),"")</f>
        <v>Autoevaluación Institucional y Pruebas SABER 11</v>
      </c>
      <c r="I2221" s="11" t="str">
        <f>IFERROR(IF(VLOOKUP(A2221,[14]PRIORIZADOS!$A:$I,9,FALSE)="","",VLOOKUP(A2221,[14]PRIORIZADOS!$A:$I,9,FALSE)),"")</f>
        <v>EVALUACIÓN_CON_FINES_DE_MEJORAMIENTO.</v>
      </c>
      <c r="J2221" s="11" t="str">
        <f>IFERROR(IF(VLOOKUP(A2221,[14]PRIORIZADOS!$A:$J,10,FALSE)="","",VLOOKUP(A2221,[14]PRIORIZADOS!$A:$J,10,FALSE)),"")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21" s="11" t="str">
        <f>IFERROR(IF(VLOOKUP(A2221,[14]PRIORIZADOS!$A:$K,11,FALSE)="","",VLOOKUP(A2221,[14]PRIORIZADOS!$A:$K,11,FALSE)),"")</f>
        <v>JUAN MANUEL SANCHEZ MORA</v>
      </c>
      <c r="L2221" s="11" t="str">
        <f>IFERROR(IF(VLOOKUP(A2221,[14]PRIORIZADOS!$A:$L,12,FALSE)="","",VLOOKUP(A2221,[14]PRIORIZADOS!$A:$L,12,FALSE)),"")</f>
        <v>MARTHA RUT SILVA ABRIL</v>
      </c>
      <c r="M2221" s="71">
        <f>IFERROR(IF(VLOOKUP(A2221,[14]PRIORIZADOS!$A:$M,13,FALSE)="","",VLOOKUP(A2221,[14]PRIORIZADOS!$A:$M,13,FALSE)),"")</f>
        <v>45860</v>
      </c>
      <c r="N2221" s="71">
        <f>IFERROR(IF(VLOOKUP(A2221,[14]PRIORIZADOS!$A:$N,14,FALSE)="","",VLOOKUP(A2221,[14]PRIORIZADOS!$A:$N,14,FALSE)),"")</f>
        <v>45890</v>
      </c>
      <c r="O2221" s="71">
        <f>IFERROR(IF(VLOOKUP(A2221,[14]PRIORIZADOS!$A:$O,15,FALSE)="","",VLOOKUP(A2221,[14]PRIORIZADOS!$A:$O,15,FALSE)),"")</f>
        <v>45890</v>
      </c>
      <c r="P2221" s="11" t="str">
        <f>IFERROR(IF(VLOOKUP(A2221,[14]PRIORIZADOS!$A:$P,16,FALSE)="","",VLOOKUP(A2221,[14]PRIORIZADOS!$A:$P,16,FALSE)),"")</f>
        <v>Visitas de evaluación con fines de mejoramiento</v>
      </c>
      <c r="Q2221" s="22" t="s">
        <v>453</v>
      </c>
      <c r="R2221" s="11" t="str">
        <f>IFERROR(IF(VLOOKUP(A2221,[14]PRIORIZADOS!$A:$R,18,FALSE)="","",VLOOKUP(A2221,[14]PRIORIZADOS!$A:$R,18,FALSE)),"")</f>
        <v>Se observó que el manual de convivencia se encuentra actualizado a julio de 2025, sin embargo, se requiere ajustes relacionados con protocolos de atención, entre otros.</v>
      </c>
      <c r="S2221" s="11" t="str">
        <f>IFERROR(IF(VLOOKUP(A2221,[14]PRIORIZADOS!$A:$S,19,FALSE)="","",VLOOKUP(A2221,[14]PRIORIZADOS!$A:$S,19,FALSE)),"")</f>
        <v>Ajustar el manual de convivencia en los diferentes aspectos relacionados con protolos de atención y enfoques restaurativos.</v>
      </c>
      <c r="T2221" s="70" t="str">
        <f>IFERROR(IF(VLOOKUP(A2221,[14]PRIORIZADOS!$A:$T,20,FALSE)="","",VLOOKUP(A2221,[14]PRIORIZADOS!$A:$T,20,FALSE)),"")</f>
        <v>Si</v>
      </c>
      <c r="U2221" s="11" t="str">
        <f>IFERROR(IF(VLOOKUP(A2221,[14]PRIORIZADOS!$A:$U,21,FALSE)="","",VLOOKUP(A2221,[14]PRIORIZADOS!$A:$U,21,FALSE)),"")</f>
        <v>Revisar el plan de mejoramiento de fecha 3 de octubre de 2025</v>
      </c>
    </row>
    <row r="2222" spans="1:21" s="1" customFormat="1" ht="48">
      <c r="A2222" s="69">
        <f>IF([14]PRIORIZADOS!A269="","",[14]PRIORIZADOS!A269)</f>
        <v>2190</v>
      </c>
      <c r="B2222" s="70">
        <f>IFERROR(IF(VLOOKUP(A2222,[14]PRIORIZADOS!$A:$B,2,FALSE)="","",VLOOKUP(A2222,[14]PRIORIZADOS!$A:$B,2,FALSE)),"")</f>
        <v>29</v>
      </c>
      <c r="C2222" s="11" t="s">
        <v>424</v>
      </c>
      <c r="D2222" s="11" t="str">
        <f>IFERROR(IF(VLOOKUP(A2222,[14]PRIORIZADOS!$A:$D,4,FALSE)="","",VLOOKUP(A2222,[14]PRIORIZADOS!$A:$D,4,FALSE)),"")</f>
        <v>PRIVADO</v>
      </c>
      <c r="E2222" s="11" t="str">
        <f>IFERROR(IF(VLOOKUP(A2222,[14]PRIORIZADOS!$A:$E,5,FALSE)="","",VLOOKUP(A2222,[14]PRIORIZADOS!$A:$E,5,FALSE)),"")</f>
        <v>EPBM</v>
      </c>
      <c r="F2222" s="11" t="str">
        <f>IFERROR(IF(VLOOKUP(A2222,[14]PRIORIZADOS!$A:$F,6,FALSE)="","",VLOOKUP(A2222,[14]PRIORIZADOS!$A:$F,6,FALSE)),"")</f>
        <v>GIMNASIO_LA_CAMPIÑA</v>
      </c>
      <c r="G2222" s="11" t="str">
        <f>IFERROR(IF(VLOOKUP(A2222,[14]PRIORIZADOS!$A:$G,7,FALSE)="","",VLOOKUP(A2222,[14]PRIORIZADOS!$A:$G,7,FALSE)),"")</f>
        <v>GIMNASIO LA CAMPIÑA</v>
      </c>
      <c r="H2222" s="11" t="str">
        <f>IFERROR(IF(VLOOKUP(A2222,[14]PRIORIZADOS!$A:$H,8,FALSE)="","",VLOOKUP(A2222,[14]PRIORIZADOS!$A:$H,8,FALSE)),"")</f>
        <v>Autoevaluación Institucional y Pruebas SABER 11</v>
      </c>
      <c r="I2222" s="11" t="str">
        <f>IFERROR(IF(VLOOKUP(A2222,[14]PRIORIZADOS!$A:$I,9,FALSE)="","",VLOOKUP(A2222,[14]PRIORIZADOS!$A:$I,9,FALSE)),"")</f>
        <v>EVALUACIÓN_CON_FINES_DE_MEJORAMIENTO.</v>
      </c>
      <c r="J2222" s="11" t="str">
        <f>IFERROR(IF(VLOOKUP(A2222,[14]PRIORIZADOS!$A:$J,10,FALSE)="","",VLOOKUP(A2222,[14]PRIORIZADOS!$A:$J,10,FALSE)),"")</f>
        <v>Revisar la actualización, socialización e implementación del Sistema Institucional de Evaluación de Estudiantes - SIEE, en articulación con la actualización del PEI y la normatividad vigente.</v>
      </c>
      <c r="K2222" s="11" t="str">
        <f>IFERROR(IF(VLOOKUP(A2222,[14]PRIORIZADOS!$A:$K,11,FALSE)="","",VLOOKUP(A2222,[14]PRIORIZADOS!$A:$K,11,FALSE)),"")</f>
        <v>JUAN MANUEL SANCHEZ MORA</v>
      </c>
      <c r="L2222" s="11" t="str">
        <f>IFERROR(IF(VLOOKUP(A2222,[14]PRIORIZADOS!$A:$L,12,FALSE)="","",VLOOKUP(A2222,[14]PRIORIZADOS!$A:$L,12,FALSE)),"")</f>
        <v>MARTHA RUT SILVA ABRIL</v>
      </c>
      <c r="M2222" s="71">
        <f>IFERROR(IF(VLOOKUP(A2222,[14]PRIORIZADOS!$A:$M,13,FALSE)="","",VLOOKUP(A2222,[14]PRIORIZADOS!$A:$M,13,FALSE)),"")</f>
        <v>45860</v>
      </c>
      <c r="N2222" s="71">
        <f>IFERROR(IF(VLOOKUP(A2222,[14]PRIORIZADOS!$A:$N,14,FALSE)="","",VLOOKUP(A2222,[14]PRIORIZADOS!$A:$N,14,FALSE)),"")</f>
        <v>45890</v>
      </c>
      <c r="O2222" s="71">
        <f>IFERROR(IF(VLOOKUP(A2222,[14]PRIORIZADOS!$A:$O,15,FALSE)="","",VLOOKUP(A2222,[14]PRIORIZADOS!$A:$O,15,FALSE)),"")</f>
        <v>45890</v>
      </c>
      <c r="P2222" s="11" t="str">
        <f>IFERROR(IF(VLOOKUP(A2222,[14]PRIORIZADOS!$A:$P,16,FALSE)="","",VLOOKUP(A2222,[14]PRIORIZADOS!$A:$P,16,FALSE)),"")</f>
        <v>Visitas de evaluación con fines de mejoramiento</v>
      </c>
      <c r="Q2222" s="22" t="s">
        <v>453</v>
      </c>
      <c r="R2222" s="11" t="str">
        <f>IFERROR(IF(VLOOKUP(A2222,[14]PRIORIZADOS!$A:$R,18,FALSE)="","",VLOOKUP(A2222,[14]PRIORIZADOS!$A:$R,18,FALSE)),"")</f>
        <v xml:space="preserve">Se evidenció desactualización del SIE, no cuenta con socialización ni articulación con el PEI </v>
      </c>
      <c r="S2222" s="11" t="str">
        <f>IFERROR(IF(VLOOKUP(A2222,[14]PRIORIZADOS!$A:$S,19,FALSE)="","",VLOOKUP(A2222,[14]PRIORIZADOS!$A:$S,19,FALSE)),"")</f>
        <v>Actualizar el SIEE con la participacion de la comiunidad educativa y dejar evidencia.</v>
      </c>
      <c r="T2222" s="70" t="str">
        <f>IFERROR(IF(VLOOKUP(A2222,[14]PRIORIZADOS!$A:$T,20,FALSE)="","",VLOOKUP(A2222,[14]PRIORIZADOS!$A:$T,20,FALSE)),"")</f>
        <v>Si</v>
      </c>
      <c r="U2222" s="11" t="str">
        <f>IFERROR(IF(VLOOKUP(A2222,[14]PRIORIZADOS!$A:$U,21,FALSE)="","",VLOOKUP(A2222,[14]PRIORIZADOS!$A:$U,21,FALSE)),"")</f>
        <v>Revisar el plan de mejoramiento de fecha 3 de octubre de 2025</v>
      </c>
    </row>
    <row r="2223" spans="1:21" s="1" customFormat="1" ht="48">
      <c r="A2223" s="69">
        <f>IF([14]PRIORIZADOS!A270="","",[14]PRIORIZADOS!A270)</f>
        <v>2191</v>
      </c>
      <c r="B2223" s="70">
        <f>IFERROR(IF(VLOOKUP(A2223,[14]PRIORIZADOS!$A:$B,2,FALSE)="","",VLOOKUP(A2223,[14]PRIORIZADOS!$A:$B,2,FALSE)),"")</f>
        <v>29</v>
      </c>
      <c r="C2223" s="11" t="s">
        <v>424</v>
      </c>
      <c r="D2223" s="11" t="str">
        <f>IFERROR(IF(VLOOKUP(A2223,[14]PRIORIZADOS!$A:$D,4,FALSE)="","",VLOOKUP(A2223,[14]PRIORIZADOS!$A:$D,4,FALSE)),"")</f>
        <v>PRIVADO</v>
      </c>
      <c r="E2223" s="11" t="str">
        <f>IFERROR(IF(VLOOKUP(A2223,[14]PRIORIZADOS!$A:$E,5,FALSE)="","",VLOOKUP(A2223,[14]PRIORIZADOS!$A:$E,5,FALSE)),"")</f>
        <v>EPBM</v>
      </c>
      <c r="F2223" s="11" t="str">
        <f>IFERROR(IF(VLOOKUP(A2223,[14]PRIORIZADOS!$A:$F,6,FALSE)="","",VLOOKUP(A2223,[14]PRIORIZADOS!$A:$F,6,FALSE)),"")</f>
        <v>GIMNASIO_LA_CAMPIÑA</v>
      </c>
      <c r="G2223" s="11" t="str">
        <f>IFERROR(IF(VLOOKUP(A2223,[14]PRIORIZADOS!$A:$G,7,FALSE)="","",VLOOKUP(A2223,[14]PRIORIZADOS!$A:$G,7,FALSE)),"")</f>
        <v>GIMNASIO LA CAMPIÑA</v>
      </c>
      <c r="H2223" s="11" t="str">
        <f>IFERROR(IF(VLOOKUP(A2223,[14]PRIORIZADOS!$A:$H,8,FALSE)="","",VLOOKUP(A2223,[14]PRIORIZADOS!$A:$H,8,FALSE)),"")</f>
        <v>Autoevaluación Institucional y Pruebas SABER 11</v>
      </c>
      <c r="I2223" s="11" t="str">
        <f>IFERROR(IF(VLOOKUP(A2223,[14]PRIORIZADOS!$A:$I,9,FALSE)="","",VLOOKUP(A2223,[14]PRIORIZADOS!$A:$I,9,FALSE)),"")</f>
        <v>EVALUACIÓN_CON_FINES_DE_MEJORAMIENTO.</v>
      </c>
      <c r="J2223" s="11" t="str">
        <f>IFERROR(IF(VLOOKUP(A2223,[14]PRIORIZADOS!$A:$J,10,FALSE)="","",VLOOKUP(A2223,[14]PRIORIZADOS!$A:$J,10,FALSE)),"")</f>
        <v>Revisar el calendario escolar, jornada escolar, la intensidad horaria mínima anual en cada nivel y las modificaciones que se realicen al mismo, de acuerdo con lo previsto en la normatividad vigente.</v>
      </c>
      <c r="K2223" s="11" t="str">
        <f>IFERROR(IF(VLOOKUP(A2223,[14]PRIORIZADOS!$A:$K,11,FALSE)="","",VLOOKUP(A2223,[14]PRIORIZADOS!$A:$K,11,FALSE)),"")</f>
        <v>JUAN MANUEL SANCHEZ MORA</v>
      </c>
      <c r="L2223" s="11" t="str">
        <f>IFERROR(IF(VLOOKUP(A2223,[14]PRIORIZADOS!$A:$L,12,FALSE)="","",VLOOKUP(A2223,[14]PRIORIZADOS!$A:$L,12,FALSE)),"")</f>
        <v>MARTHA RUT SILVA ABRIL</v>
      </c>
      <c r="M2223" s="71">
        <f>IFERROR(IF(VLOOKUP(A2223,[14]PRIORIZADOS!$A:$M,13,FALSE)="","",VLOOKUP(A2223,[14]PRIORIZADOS!$A:$M,13,FALSE)),"")</f>
        <v>45860</v>
      </c>
      <c r="N2223" s="71">
        <f>IFERROR(IF(VLOOKUP(A2223,[14]PRIORIZADOS!$A:$N,14,FALSE)="","",VLOOKUP(A2223,[14]PRIORIZADOS!$A:$N,14,FALSE)),"")</f>
        <v>45890</v>
      </c>
      <c r="O2223" s="71">
        <f>IFERROR(IF(VLOOKUP(A2223,[14]PRIORIZADOS!$A:$O,15,FALSE)="","",VLOOKUP(A2223,[14]PRIORIZADOS!$A:$O,15,FALSE)),"")</f>
        <v>45890</v>
      </c>
      <c r="P2223" s="11" t="str">
        <f>IFERROR(IF(VLOOKUP(A2223,[14]PRIORIZADOS!$A:$P,16,FALSE)="","",VLOOKUP(A2223,[14]PRIORIZADOS!$A:$P,16,FALSE)),"")</f>
        <v>Visitas de evaluación con fines de mejoramiento</v>
      </c>
      <c r="Q2223" s="22" t="s">
        <v>453</v>
      </c>
      <c r="R2223" s="11" t="str">
        <f>IFERROR(IF(VLOOKUP(A2223,[14]PRIORIZADOS!$A:$R,18,FALSE)="","",VLOOKUP(A2223,[14]PRIORIZADOS!$A:$R,18,FALSE)),"")</f>
        <v>Se verficó que el calendario escolar debe ajustarse a las intensidades mínimas establecidas.</v>
      </c>
      <c r="S2223" s="11" t="str">
        <f>IFERROR(IF(VLOOKUP(A2223,[14]PRIORIZADOS!$A:$S,19,FALSE)="","",VLOOKUP(A2223,[14]PRIORIZADOS!$A:$S,19,FALSE)),"")</f>
        <v>Ajustar el reporte del calendario escolar con relación al total de horas semanales academicas y jornada escolar.</v>
      </c>
      <c r="T2223" s="70" t="str">
        <f>IFERROR(IF(VLOOKUP(A2223,[14]PRIORIZADOS!$A:$T,20,FALSE)="","",VLOOKUP(A2223,[14]PRIORIZADOS!$A:$T,20,FALSE)),"")</f>
        <v>Si</v>
      </c>
      <c r="U2223" s="11" t="str">
        <f>IFERROR(IF(VLOOKUP(A2223,[14]PRIORIZADOS!$A:$U,21,FALSE)="","",VLOOKUP(A2223,[14]PRIORIZADOS!$A:$U,21,FALSE)),"")</f>
        <v>Revisar el plan de mejoramiento de fecha 3 de octubre de 2025</v>
      </c>
    </row>
    <row r="2224" spans="1:21" s="1" customFormat="1" ht="48">
      <c r="A2224" s="69">
        <f>IF([14]PRIORIZADOS!A271="","",[14]PRIORIZADOS!A271)</f>
        <v>2192</v>
      </c>
      <c r="B2224" s="70">
        <f>IFERROR(IF(VLOOKUP(A2224,[14]PRIORIZADOS!$A:$B,2,FALSE)="","",VLOOKUP(A2224,[14]PRIORIZADOS!$A:$B,2,FALSE)),"")</f>
        <v>29</v>
      </c>
      <c r="C2224" s="11" t="s">
        <v>424</v>
      </c>
      <c r="D2224" s="11" t="str">
        <f>IFERROR(IF(VLOOKUP(A2224,[14]PRIORIZADOS!$A:$D,4,FALSE)="","",VLOOKUP(A2224,[14]PRIORIZADOS!$A:$D,4,FALSE)),"")</f>
        <v>PRIVADO</v>
      </c>
      <c r="E2224" s="11" t="str">
        <f>IFERROR(IF(VLOOKUP(A2224,[14]PRIORIZADOS!$A:$E,5,FALSE)="","",VLOOKUP(A2224,[14]PRIORIZADOS!$A:$E,5,FALSE)),"")</f>
        <v>EPBM</v>
      </c>
      <c r="F2224" s="11" t="str">
        <f>IFERROR(IF(VLOOKUP(A2224,[14]PRIORIZADOS!$A:$F,6,FALSE)="","",VLOOKUP(A2224,[14]PRIORIZADOS!$A:$F,6,FALSE)),"")</f>
        <v>GIMNASIO_LA_CAMPIÑA</v>
      </c>
      <c r="G2224" s="11" t="str">
        <f>IFERROR(IF(VLOOKUP(A2224,[14]PRIORIZADOS!$A:$G,7,FALSE)="","",VLOOKUP(A2224,[14]PRIORIZADOS!$A:$G,7,FALSE)),"")</f>
        <v>GIMNASIO LA CAMPIÑA</v>
      </c>
      <c r="H2224" s="11" t="str">
        <f>IFERROR(IF(VLOOKUP(A2224,[14]PRIORIZADOS!$A:$H,8,FALSE)="","",VLOOKUP(A2224,[14]PRIORIZADOS!$A:$H,8,FALSE)),"")</f>
        <v>Autoevaluación Institucional y Pruebas SABER 11</v>
      </c>
      <c r="I2224" s="11" t="str">
        <f>IFERROR(IF(VLOOKUP(A2224,[14]PRIORIZADOS!$A:$I,9,FALSE)="","",VLOOKUP(A2224,[14]PRIORIZADOS!$A:$I,9,FALSE)),"")</f>
        <v>EVALUACIÓN_CON_FINES_DE_MEJORAMIENTO.</v>
      </c>
      <c r="J2224" s="11" t="str">
        <f>IFERROR(IF(VLOOKUP(A2224,[14]PRIORIZADOS!$A:$J,10,FALSE)="","",VLOOKUP(A2224,[14]PRIORIZADOS!$A:$J,10,FALSE)),"")</f>
        <v>Verificar el funcionamiento del Gobierno Escolar e instancias de participación con base en la información sobre conformación reportada por la institución educativa.</v>
      </c>
      <c r="K2224" s="11" t="str">
        <f>IFERROR(IF(VLOOKUP(A2224,[14]PRIORIZADOS!$A:$K,11,FALSE)="","",VLOOKUP(A2224,[14]PRIORIZADOS!$A:$K,11,FALSE)),"")</f>
        <v>JUAN MANUEL SANCHEZ MORA</v>
      </c>
      <c r="L2224" s="11" t="str">
        <f>IFERROR(IF(VLOOKUP(A2224,[14]PRIORIZADOS!$A:$L,12,FALSE)="","",VLOOKUP(A2224,[14]PRIORIZADOS!$A:$L,12,FALSE)),"")</f>
        <v>MARTHA RUT SILVA ABRIL</v>
      </c>
      <c r="M2224" s="71">
        <f>IFERROR(IF(VLOOKUP(A2224,[14]PRIORIZADOS!$A:$M,13,FALSE)="","",VLOOKUP(A2224,[14]PRIORIZADOS!$A:$M,13,FALSE)),"")</f>
        <v>45860</v>
      </c>
      <c r="N2224" s="71">
        <f>IFERROR(IF(VLOOKUP(A2224,[14]PRIORIZADOS!$A:$N,14,FALSE)="","",VLOOKUP(A2224,[14]PRIORIZADOS!$A:$N,14,FALSE)),"")</f>
        <v>45890</v>
      </c>
      <c r="O2224" s="71">
        <f>IFERROR(IF(VLOOKUP(A2224,[14]PRIORIZADOS!$A:$O,15,FALSE)="","",VLOOKUP(A2224,[14]PRIORIZADOS!$A:$O,15,FALSE)),"")</f>
        <v>45890</v>
      </c>
      <c r="P2224" s="11" t="str">
        <f>IFERROR(IF(VLOOKUP(A2224,[14]PRIORIZADOS!$A:$P,16,FALSE)="","",VLOOKUP(A2224,[14]PRIORIZADOS!$A:$P,16,FALSE)),"")</f>
        <v>Visitas de evaluación con fines de mejoramiento</v>
      </c>
      <c r="Q2224" s="22" t="s">
        <v>453</v>
      </c>
      <c r="R2224" s="11" t="str">
        <f>IFERROR(IF(VLOOKUP(A2224,[14]PRIORIZADOS!$A:$R,18,FALSE)="","",VLOOKUP(A2224,[14]PRIORIZADOS!$A:$R,18,FALSE)),"")</f>
        <v>Se verficó que el gobierno escolar se encuentra conformado pero no hay evidencia de su operatividad.</v>
      </c>
      <c r="S2224" s="11" t="str">
        <f>IFERROR(IF(VLOOKUP(A2224,[14]PRIORIZADOS!$A:$S,19,FALSE)="","",VLOOKUP(A2224,[14]PRIORIZADOS!$A:$S,19,FALSE)),"")</f>
        <v>Documentar el funcionamiento del gobierno escolar según las reuniones que se realicen.</v>
      </c>
      <c r="T2224" s="70" t="str">
        <f>IFERROR(IF(VLOOKUP(A2224,[14]PRIORIZADOS!$A:$T,20,FALSE)="","",VLOOKUP(A2224,[14]PRIORIZADOS!$A:$T,20,FALSE)),"")</f>
        <v>Si</v>
      </c>
      <c r="U2224" s="11" t="str">
        <f>IFERROR(IF(VLOOKUP(A2224,[14]PRIORIZADOS!$A:$U,21,FALSE)="","",VLOOKUP(A2224,[14]PRIORIZADOS!$A:$U,21,FALSE)),"")</f>
        <v>Revisar el plan de mejoramiento de fecha 3 de octubre de 2025</v>
      </c>
    </row>
    <row r="2225" spans="1:21" s="1" customFormat="1" ht="48">
      <c r="A2225" s="69">
        <f>IF([14]PRIORIZADOS!A272="","",[14]PRIORIZADOS!A272)</f>
        <v>2193</v>
      </c>
      <c r="B2225" s="70">
        <f>IFERROR(IF(VLOOKUP(A2225,[14]PRIORIZADOS!$A:$B,2,FALSE)="","",VLOOKUP(A2225,[14]PRIORIZADOS!$A:$B,2,FALSE)),"")</f>
        <v>29</v>
      </c>
      <c r="C2225" s="11" t="s">
        <v>424</v>
      </c>
      <c r="D2225" s="11" t="str">
        <f>IFERROR(IF(VLOOKUP(A2225,[14]PRIORIZADOS!$A:$D,4,FALSE)="","",VLOOKUP(A2225,[14]PRIORIZADOS!$A:$D,4,FALSE)),"")</f>
        <v>PRIVADO</v>
      </c>
      <c r="E2225" s="11" t="str">
        <f>IFERROR(IF(VLOOKUP(A2225,[14]PRIORIZADOS!$A:$E,5,FALSE)="","",VLOOKUP(A2225,[14]PRIORIZADOS!$A:$E,5,FALSE)),"")</f>
        <v>EPBM</v>
      </c>
      <c r="F2225" s="11" t="str">
        <f>IFERROR(IF(VLOOKUP(A2225,[14]PRIORIZADOS!$A:$F,6,FALSE)="","",VLOOKUP(A2225,[14]PRIORIZADOS!$A:$F,6,FALSE)),"")</f>
        <v>GIMNASIO_LA_CAMPIÑA</v>
      </c>
      <c r="G2225" s="11" t="str">
        <f>IFERROR(IF(VLOOKUP(A2225,[14]PRIORIZADOS!$A:$G,7,FALSE)="","",VLOOKUP(A2225,[14]PRIORIZADOS!$A:$G,7,FALSE)),"")</f>
        <v>GIMNASIO LA CAMPIÑA</v>
      </c>
      <c r="H2225" s="11" t="str">
        <f>IFERROR(IF(VLOOKUP(A2225,[14]PRIORIZADOS!$A:$H,8,FALSE)="","",VLOOKUP(A2225,[14]PRIORIZADOS!$A:$H,8,FALSE)),"")</f>
        <v>Autoevaluación Institucional y Pruebas SABER 11</v>
      </c>
      <c r="I2225" s="11" t="str">
        <f>IFERROR(IF(VLOOKUP(A2225,[14]PRIORIZADOS!$A:$I,9,FALSE)="","",VLOOKUP(A2225,[14]PRIORIZADOS!$A:$I,9,FALSE)),"")</f>
        <v>EVALUACIÓN_CON_FINES_DE_MEJORAMIENTO.</v>
      </c>
      <c r="J2225" s="11" t="str">
        <f>IFERROR(IF(VLOOKUP(A2225,[14]PRIORIZADOS!$A:$J,10,FALSE)="","",VLOOKUP(A2225,[14]PRIORIZADOS!$A:$J,10,FALSE)),"")</f>
        <v>Verificar las condiciones en cuanto a: la estructura administrativa, condiciones de la planta física y medios educativos adecuados.</v>
      </c>
      <c r="K2225" s="11" t="str">
        <f>IFERROR(IF(VLOOKUP(A2225,[14]PRIORIZADOS!$A:$K,11,FALSE)="","",VLOOKUP(A2225,[14]PRIORIZADOS!$A:$K,11,FALSE)),"")</f>
        <v>JUAN MANUEL SANCHEZ MORA</v>
      </c>
      <c r="L2225" s="11" t="str">
        <f>IFERROR(IF(VLOOKUP(A2225,[14]PRIORIZADOS!$A:$L,12,FALSE)="","",VLOOKUP(A2225,[14]PRIORIZADOS!$A:$L,12,FALSE)),"")</f>
        <v>MARTHA RUT SILVA ABRIL</v>
      </c>
      <c r="M2225" s="71">
        <f>IFERROR(IF(VLOOKUP(A2225,[14]PRIORIZADOS!$A:$M,13,FALSE)="","",VLOOKUP(A2225,[14]PRIORIZADOS!$A:$M,13,FALSE)),"")</f>
        <v>45860</v>
      </c>
      <c r="N2225" s="71">
        <f>IFERROR(IF(VLOOKUP(A2225,[14]PRIORIZADOS!$A:$N,14,FALSE)="","",VLOOKUP(A2225,[14]PRIORIZADOS!$A:$N,14,FALSE)),"")</f>
        <v>45890</v>
      </c>
      <c r="O2225" s="71">
        <f>IFERROR(IF(VLOOKUP(A2225,[14]PRIORIZADOS!$A:$O,15,FALSE)="","",VLOOKUP(A2225,[14]PRIORIZADOS!$A:$O,15,FALSE)),"")</f>
        <v>45890</v>
      </c>
      <c r="P2225" s="11" t="str">
        <f>IFERROR(IF(VLOOKUP(A2225,[14]PRIORIZADOS!$A:$P,16,FALSE)="","",VLOOKUP(A2225,[14]PRIORIZADOS!$A:$P,16,FALSE)),"")</f>
        <v>Visitas de evaluación con fines de mejoramiento</v>
      </c>
      <c r="Q2225" s="22" t="s">
        <v>453</v>
      </c>
      <c r="R2225" s="11" t="str">
        <f>IFERROR(IF(VLOOKUP(A2225,[14]PRIORIZADOS!$A:$R,18,FALSE)="","",VLOOKUP(A2225,[14]PRIORIZADOS!$A:$R,18,FALSE)),"")</f>
        <v>se observó en el recorrido por la planta fisica que no cuenta con espacios administrativos, como orientación escolar, enfermería, bliblioteca y secretaría.</v>
      </c>
      <c r="S2225" s="11" t="str">
        <f>IFERROR(IF(VLOOKUP(A2225,[14]PRIORIZADOS!$A:$S,19,FALSE)="","",VLOOKUP(A2225,[14]PRIORIZADOS!$A:$S,19,FALSE)),"")</f>
        <v>Adecuar los espacios administrativos y pedagógicos mínimos para la prestación del servicio educativo.</v>
      </c>
      <c r="T2225" s="70" t="str">
        <f>IFERROR(IF(VLOOKUP(A2225,[14]PRIORIZADOS!$A:$T,20,FALSE)="","",VLOOKUP(A2225,[14]PRIORIZADOS!$A:$T,20,FALSE)),"")</f>
        <v>Si</v>
      </c>
      <c r="U2225" s="11" t="str">
        <f>IFERROR(IF(VLOOKUP(A2225,[14]PRIORIZADOS!$A:$U,21,FALSE)="","",VLOOKUP(A2225,[14]PRIORIZADOS!$A:$U,21,FALSE)),"")</f>
        <v>Revisar el plan de mejoramiento de fecha 3 de octubre de 2025</v>
      </c>
    </row>
    <row r="2226" spans="1:21" s="1" customFormat="1" ht="36">
      <c r="A2226" s="69">
        <f>IF([14]PRIORIZADOS!A273="","",[14]PRIORIZADOS!A273)</f>
        <v>2194</v>
      </c>
      <c r="B2226" s="70">
        <f>IFERROR(IF(VLOOKUP(A2226,[14]PRIORIZADOS!$A:$B,2,FALSE)="","",VLOOKUP(A2226,[14]PRIORIZADOS!$A:$B,2,FALSE)),"")</f>
        <v>30</v>
      </c>
      <c r="C2226" s="11" t="s">
        <v>424</v>
      </c>
      <c r="D2226" s="11" t="str">
        <f>IFERROR(IF(VLOOKUP(A2226,[14]PRIORIZADOS!$A:$D,4,FALSE)="","",VLOOKUP(A2226,[14]PRIORIZADOS!$A:$D,4,FALSE)),"")</f>
        <v>PRIVADO</v>
      </c>
      <c r="E2226" s="11" t="str">
        <f>IFERROR(IF(VLOOKUP(A2226,[14]PRIORIZADOS!$A:$E,5,FALSE)="","",VLOOKUP(A2226,[14]PRIORIZADOS!$A:$E,5,FALSE)),"")</f>
        <v>EPBM</v>
      </c>
      <c r="F2226" s="11" t="str">
        <f>IFERROR(IF(VLOOKUP(A2226,[14]PRIORIZADOS!$A:$F,6,FALSE)="","",VLOOKUP(A2226,[14]PRIORIZADOS!$A:$F,6,FALSE)),"")</f>
        <v>GIMNASIO_CAMPESTRE_DE_GUILFORD</v>
      </c>
      <c r="G2226" s="11" t="str">
        <f>IFERROR(IF(VLOOKUP(A2226,[14]PRIORIZADOS!$A:$G,7,FALSE)="","",VLOOKUP(A2226,[14]PRIORIZADOS!$A:$G,7,FALSE)),"")</f>
        <v>GIMNASIO CAMPESTRE DE GUILFORD</v>
      </c>
      <c r="H2226" s="11" t="str">
        <f>IFERROR(IF(VLOOKUP(A2226,[14]PRIORIZADOS!$A:$H,8,FALSE)="","",VLOOKUP(A2226,[14]PRIORIZADOS!$A:$H,8,FALSE)),"")</f>
        <v>Autoevaluación Institucional y Pruebas SABER 11</v>
      </c>
      <c r="I2226" s="11" t="str">
        <f>IFERROR(IF(VLOOKUP(A2226,[14]PRIORIZADOS!$A:$I,9,FALSE)="","",VLOOKUP(A2226,[14]PRIORIZADOS!$A:$I,9,FALSE)),"")</f>
        <v>SEGUIMIENTO_Y_SUPERVISIÓN.</v>
      </c>
      <c r="J2226" s="11" t="str">
        <f>IFERROR(IF(VLOOKUP(A2226,[14]PRIORIZADOS!$A:$J,10,FALSE)="","",VLOOKUP(A2226,[14]PRIORIZADOS!$A:$J,10,FALSE)),"")</f>
        <v>Realizar visitas para verificar la información registrada sobre la autoevaluación institucional en el aplicativo EVI, a los establecimientos de educación formal no oficial.</v>
      </c>
      <c r="K2226" s="11" t="str">
        <f>IFERROR(IF(VLOOKUP(A2226,[14]PRIORIZADOS!$A:$K,11,FALSE)="","",VLOOKUP(A2226,[14]PRIORIZADOS!$A:$K,11,FALSE)),"")</f>
        <v>MARTHA RUT SILVA ABRIL</v>
      </c>
      <c r="L2226" s="11" t="str">
        <f>IFERROR(IF(VLOOKUP(A2226,[14]PRIORIZADOS!$A:$L,12,FALSE)="","",VLOOKUP(A2226,[14]PRIORIZADOS!$A:$L,12,FALSE)),"")</f>
        <v>JUAN MANUEL SANCHEZ MORA</v>
      </c>
      <c r="M2226" s="71">
        <f>IFERROR(IF(VLOOKUP(A2226,[14]PRIORIZADOS!$A:$M,13,FALSE)="","",VLOOKUP(A2226,[14]PRIORIZADOS!$A:$M,13,FALSE)),"")</f>
        <v>45853</v>
      </c>
      <c r="N2226" s="71">
        <f>IFERROR(IF(VLOOKUP(A2226,[14]PRIORIZADOS!$A:$N,14,FALSE)="","",VLOOKUP(A2226,[14]PRIORIZADOS!$A:$N,14,FALSE)),"")</f>
        <v>45776</v>
      </c>
      <c r="O2226" s="71">
        <f>IFERROR(IF(VLOOKUP(A2226,[14]PRIORIZADOS!$A:$O,15,FALSE)="","",VLOOKUP(A2226,[14]PRIORIZADOS!$A:$O,15,FALSE)),"")</f>
        <v>45776</v>
      </c>
      <c r="P2226" s="11" t="str">
        <f>IFERROR(IF(VLOOKUP(A2226,[14]PRIORIZADOS!$A:$P,16,FALSE)="","",VLOOKUP(A2226,[14]PRIORIZADOS!$A:$P,16,FALSE)),"")</f>
        <v>Visitas de evaluación con fines de seguimiento</v>
      </c>
      <c r="Q2226" s="7" t="s">
        <v>454</v>
      </c>
      <c r="R2226" s="11" t="str">
        <f>IFERROR(IF(VLOOKUP(A2226,[14]PRIORIZADOS!$A:$R,18,FALSE)="","",VLOOKUP(A2226,[14]PRIORIZADOS!$A:$R,18,FALSE)),"")</f>
        <v>Revision aleatoria de la autoevaluacion registrada en el aplicativo EVI observando el cumplimiento en aspectos revisados</v>
      </c>
      <c r="S2226" s="11" t="str">
        <f>IFERROR(IF(VLOOKUP(A2226,[14]PRIORIZADOS!$A:$S,19,FALSE)="","",VLOOKUP(A2226,[14]PRIORIZADOS!$A:$S,19,FALSE)),"")</f>
        <v xml:space="preserve">Continuar con el dilgenciamiento en el aplicativo EVI segun realidad institucional </v>
      </c>
      <c r="T2226" s="70" t="str">
        <f>IFERROR(IF(VLOOKUP(A2226,[14]PRIORIZADOS!$A:$T,20,FALSE)="","",VLOOKUP(A2226,[14]PRIORIZADOS!$A:$T,20,FALSE)),"")</f>
        <v>No</v>
      </c>
      <c r="U2226" s="11" t="str">
        <f>IFERROR(IF(VLOOKUP(A2226,[14]PRIORIZADOS!$A:$U,21,FALSE)="","",VLOOKUP(A2226,[14]PRIORIZADOS!$A:$U,21,FALSE)),"")</f>
        <v>Revisar la autoevaluación institucional en el aplicativo EVI para las tarifas vigencia 2026</v>
      </c>
    </row>
    <row r="2227" spans="1:21" s="1" customFormat="1" ht="60">
      <c r="A2227" s="69">
        <f>IF([14]PRIORIZADOS!A274="","",[14]PRIORIZADOS!A274)</f>
        <v>2195</v>
      </c>
      <c r="B2227" s="70">
        <f>IFERROR(IF(VLOOKUP(A2227,[14]PRIORIZADOS!$A:$B,2,FALSE)="","",VLOOKUP(A2227,[14]PRIORIZADOS!$A:$B,2,FALSE)),"")</f>
        <v>30</v>
      </c>
      <c r="C2227" s="11" t="s">
        <v>424</v>
      </c>
      <c r="D2227" s="11" t="str">
        <f>IFERROR(IF(VLOOKUP(A2227,[14]PRIORIZADOS!$A:$D,4,FALSE)="","",VLOOKUP(A2227,[14]PRIORIZADOS!$A:$D,4,FALSE)),"")</f>
        <v>PRIVADO</v>
      </c>
      <c r="E2227" s="11" t="str">
        <f>IFERROR(IF(VLOOKUP(A2227,[14]PRIORIZADOS!$A:$E,5,FALSE)="","",VLOOKUP(A2227,[14]PRIORIZADOS!$A:$E,5,FALSE)),"")</f>
        <v>EPBM</v>
      </c>
      <c r="F2227" s="11" t="str">
        <f>IFERROR(IF(VLOOKUP(A2227,[14]PRIORIZADOS!$A:$F,6,FALSE)="","",VLOOKUP(A2227,[14]PRIORIZADOS!$A:$F,6,FALSE)),"")</f>
        <v>GIMNASIO_CAMPESTRE_DE_GUILFORD</v>
      </c>
      <c r="G2227" s="11" t="str">
        <f>IFERROR(IF(VLOOKUP(A2227,[14]PRIORIZADOS!$A:$G,7,FALSE)="","",VLOOKUP(A2227,[14]PRIORIZADOS!$A:$G,7,FALSE)),"")</f>
        <v>GIMNASIO CAMPESTRE DE GUILFORD</v>
      </c>
      <c r="H2227" s="11" t="str">
        <f>IFERROR(IF(VLOOKUP(A2227,[14]PRIORIZADOS!$A:$H,8,FALSE)="","",VLOOKUP(A2227,[14]PRIORIZADOS!$A:$H,8,FALSE)),"")</f>
        <v>Autoevaluación Institucional y Pruebas SABER 11</v>
      </c>
      <c r="I2227" s="11" t="str">
        <f>IFERROR(IF(VLOOKUP(A2227,[14]PRIORIZADOS!$A:$I,9,FALSE)="","",VLOOKUP(A2227,[14]PRIORIZADOS!$A:$I,9,FALSE)),"")</f>
        <v>SEGUIMIENTO_Y_SUPERVISIÓN.</v>
      </c>
      <c r="J2227" s="11" t="str">
        <f>IFERROR(IF(VLOOKUP(A2227,[14]PRIORIZADOS!$A:$J,10,FALSE)="","",VLOOKUP(A2227,[14]PRIORIZADOS!$A:$J,10,FALSE)),"")</f>
        <v>Proponer estrategias en la formulación, verificar su elaboración y realizar seguimiento semestral al desarrollo de  las acciones establecidas en los planes de mejoramiento por pruebas SABER 11 de los establecimientos de educación formal.</v>
      </c>
      <c r="K2227" s="11" t="str">
        <f>IFERROR(IF(VLOOKUP(A2227,[14]PRIORIZADOS!$A:$K,11,FALSE)="","",VLOOKUP(A2227,[14]PRIORIZADOS!$A:$K,11,FALSE)),"")</f>
        <v>MARTHA RUT SILVA ABRIL</v>
      </c>
      <c r="L2227" s="11" t="str">
        <f>IFERROR(IF(VLOOKUP(A2227,[14]PRIORIZADOS!$A:$L,12,FALSE)="","",VLOOKUP(A2227,[14]PRIORIZADOS!$A:$L,12,FALSE)),"")</f>
        <v>JUAN MANUEL SANCHEZ MORA</v>
      </c>
      <c r="M2227" s="71">
        <f>IFERROR(IF(VLOOKUP(A2227,[14]PRIORIZADOS!$A:$M,13,FALSE)="","",VLOOKUP(A2227,[14]PRIORIZADOS!$A:$M,13,FALSE)),"")</f>
        <v>45853</v>
      </c>
      <c r="N2227" s="71">
        <f>IFERROR(IF(VLOOKUP(A2227,[14]PRIORIZADOS!$A:$N,14,FALSE)="","",VLOOKUP(A2227,[14]PRIORIZADOS!$A:$N,14,FALSE)),"")</f>
        <v>45776</v>
      </c>
      <c r="O2227" s="71">
        <f>IFERROR(IF(VLOOKUP(A2227,[14]PRIORIZADOS!$A:$O,15,FALSE)="","",VLOOKUP(A2227,[14]PRIORIZADOS!$A:$O,15,FALSE)),"")</f>
        <v>45776</v>
      </c>
      <c r="P2227" s="11" t="str">
        <f>IFERROR(IF(VLOOKUP(A2227,[14]PRIORIZADOS!$A:$P,16,FALSE)="","",VLOOKUP(A2227,[14]PRIORIZADOS!$A:$P,16,FALSE)),"")</f>
        <v>Visitas de evaluación con fines de seguimiento</v>
      </c>
      <c r="Q2227" s="7" t="s">
        <v>454</v>
      </c>
      <c r="R2227" s="11" t="str">
        <f>IFERROR(IF(VLOOKUP(A2227,[14]PRIORIZADOS!$A:$R,18,FALSE)="","",VLOOKUP(A2227,[14]PRIORIZADOS!$A:$R,18,FALSE)),"")</f>
        <v xml:space="preserve">Realizan el analisis e implementan acciones de mejora con respecto al resultado de las pruebas saber </v>
      </c>
      <c r="S2227" s="11" t="str">
        <f>IFERROR(IF(VLOOKUP(A2227,[14]PRIORIZADOS!$A:$S,19,FALSE)="","",VLOOKUP(A2227,[14]PRIORIZADOS!$A:$S,19,FALSE)),"")</f>
        <v>Continuar con el analisis y aplicacion de los planes de mejoramiento, asicomo los procesos de Gestion de Calidad</v>
      </c>
      <c r="T2227" s="70" t="str">
        <f>IFERROR(IF(VLOOKUP(A2227,[14]PRIORIZADOS!$A:$T,20,FALSE)="","",VLOOKUP(A2227,[14]PRIORIZADOS!$A:$T,20,FALSE)),"")</f>
        <v>No</v>
      </c>
      <c r="U2227" s="11" t="str">
        <f>IFERROR(IF(VLOOKUP(A2227,[14]PRIORIZADOS!$A:$U,21,FALSE)="","",VLOOKUP(A2227,[14]PRIORIZADOS!$A:$U,21,FALSE)),"")</f>
        <v>Verificar nuevamente en caso de ser necesario o por queja</v>
      </c>
    </row>
    <row r="2228" spans="1:21" s="1" customFormat="1" ht="48">
      <c r="A2228" s="69">
        <f>IF([14]PRIORIZADOS!A275="","",[14]PRIORIZADOS!A275)</f>
        <v>2196</v>
      </c>
      <c r="B2228" s="70">
        <f>IFERROR(IF(VLOOKUP(A2228,[14]PRIORIZADOS!$A:$B,2,FALSE)="","",VLOOKUP(A2228,[14]PRIORIZADOS!$A:$B,2,FALSE)),"")</f>
        <v>30</v>
      </c>
      <c r="C2228" s="11" t="s">
        <v>424</v>
      </c>
      <c r="D2228" s="11" t="str">
        <f>IFERROR(IF(VLOOKUP(A2228,[14]PRIORIZADOS!$A:$D,4,FALSE)="","",VLOOKUP(A2228,[14]PRIORIZADOS!$A:$D,4,FALSE)),"")</f>
        <v>PRIVADO</v>
      </c>
      <c r="E2228" s="11" t="str">
        <f>IFERROR(IF(VLOOKUP(A2228,[14]PRIORIZADOS!$A:$E,5,FALSE)="","",VLOOKUP(A2228,[14]PRIORIZADOS!$A:$E,5,FALSE)),"")</f>
        <v>EPBM</v>
      </c>
      <c r="F2228" s="11" t="str">
        <f>IFERROR(IF(VLOOKUP(A2228,[14]PRIORIZADOS!$A:$F,6,FALSE)="","",VLOOKUP(A2228,[14]PRIORIZADOS!$A:$F,6,FALSE)),"")</f>
        <v>GIMNASIO_CAMPESTRE_DE_GUILFORD</v>
      </c>
      <c r="G2228" s="11" t="str">
        <f>IFERROR(IF(VLOOKUP(A2228,[14]PRIORIZADOS!$A:$G,7,FALSE)="","",VLOOKUP(A2228,[14]PRIORIZADOS!$A:$G,7,FALSE)),"")</f>
        <v>GIMNASIO CAMPESTRE DE GUILFORD</v>
      </c>
      <c r="H2228" s="11" t="str">
        <f>IFERROR(IF(VLOOKUP(A2228,[14]PRIORIZADOS!$A:$H,8,FALSE)="","",VLOOKUP(A2228,[14]PRIORIZADOS!$A:$H,8,FALSE)),"")</f>
        <v>Autoevaluación Institucional y Pruebas SABER 11</v>
      </c>
      <c r="I2228" s="11" t="str">
        <f>IFERROR(IF(VLOOKUP(A2228,[14]PRIORIZADOS!$A:$I,9,FALSE)="","",VLOOKUP(A2228,[14]PRIORIZADOS!$A:$I,9,FALSE)),"")</f>
        <v>SEGUIMIENTO_Y_SUPERVISIÓN.</v>
      </c>
      <c r="J2228" s="11" t="str">
        <f>IFERROR(IF(VLOOKUP(A2228,[14]PRIORIZADOS!$A:$J,10,FALSE)="","",VLOOKUP(A2228,[14]PRIORIZADOS!$A:$J,10,FALSE)),"")</f>
        <v xml:space="preserve">Verificar la implementación por parte de los colegios, de acciones realizadas para la prevención y atención de las situaciones de convivencia en el entorno escolar, según lo establecido en la Directiva 01 de 2022 del MEN. </v>
      </c>
      <c r="K2228" s="11" t="str">
        <f>IFERROR(IF(VLOOKUP(A2228,[14]PRIORIZADOS!$A:$K,11,FALSE)="","",VLOOKUP(A2228,[14]PRIORIZADOS!$A:$K,11,FALSE)),"")</f>
        <v>MARTHA RUT SILVA ABRIL</v>
      </c>
      <c r="L2228" s="11" t="str">
        <f>IFERROR(IF(VLOOKUP(A2228,[14]PRIORIZADOS!$A:$L,12,FALSE)="","",VLOOKUP(A2228,[14]PRIORIZADOS!$A:$L,12,FALSE)),"")</f>
        <v>JUAN MANUEL SANCHEZ MORA</v>
      </c>
      <c r="M2228" s="71">
        <f>IFERROR(IF(VLOOKUP(A2228,[14]PRIORIZADOS!$A:$M,13,FALSE)="","",VLOOKUP(A2228,[14]PRIORIZADOS!$A:$M,13,FALSE)),"")</f>
        <v>45853</v>
      </c>
      <c r="N2228" s="71">
        <f>IFERROR(IF(VLOOKUP(A2228,[14]PRIORIZADOS!$A:$N,14,FALSE)="","",VLOOKUP(A2228,[14]PRIORIZADOS!$A:$N,14,FALSE)),"")</f>
        <v>45776</v>
      </c>
      <c r="O2228" s="71">
        <f>IFERROR(IF(VLOOKUP(A2228,[14]PRIORIZADOS!$A:$O,15,FALSE)="","",VLOOKUP(A2228,[14]PRIORIZADOS!$A:$O,15,FALSE)),"")</f>
        <v>45776</v>
      </c>
      <c r="P2228" s="11" t="str">
        <f>IFERROR(IF(VLOOKUP(A2228,[14]PRIORIZADOS!$A:$P,16,FALSE)="","",VLOOKUP(A2228,[14]PRIORIZADOS!$A:$P,16,FALSE)),"")</f>
        <v>Visitas de evaluación con fines de seguimiento</v>
      </c>
      <c r="Q2228" s="7" t="s">
        <v>454</v>
      </c>
      <c r="R2228" s="11" t="str">
        <f>IFERROR(IF(VLOOKUP(A2228,[14]PRIORIZADOS!$A:$R,18,FALSE)="","",VLOOKUP(A2228,[14]PRIORIZADOS!$A:$R,18,FALSE)),"")</f>
        <v xml:space="preserve">Se evidencio que no cuentan con la consulta para la vinculacion de docentes en el sistema para la verficacion de las inhabilidades por delitos sexuales </v>
      </c>
      <c r="S2228" s="11" t="str">
        <f>IFERROR(IF(VLOOKUP(A2228,[14]PRIORIZADOS!$A:$S,19,FALSE)="","",VLOOKUP(A2228,[14]PRIORIZADOS!$A:$S,19,FALSE)),"")</f>
        <v>Realizar consulta cada 4 meses en el sistema pra la verficacion de las inhabilidades acorde con lo establecido en la Directiva 01 de 2022 del MEN.</v>
      </c>
      <c r="T2228" s="70" t="str">
        <f>IFERROR(IF(VLOOKUP(A2228,[14]PRIORIZADOS!$A:$T,20,FALSE)="","",VLOOKUP(A2228,[14]PRIORIZADOS!$A:$T,20,FALSE)),"")</f>
        <v>Si</v>
      </c>
      <c r="U2228" s="11" t="str">
        <f>IFERROR(IF(VLOOKUP(A2228,[14]PRIORIZADOS!$A:$U,21,FALSE)="","",VLOOKUP(A2228,[14]PRIORIZADOS!$A:$U,21,FALSE)),"")</f>
        <v>Revisar el plan de mejoramiento con fecha de entrega 4/06/2025</v>
      </c>
    </row>
    <row r="2229" spans="1:21" s="1" customFormat="1" ht="72">
      <c r="A2229" s="69">
        <f>IF([14]PRIORIZADOS!A276="","",[14]PRIORIZADOS!A276)</f>
        <v>2197</v>
      </c>
      <c r="B2229" s="70">
        <f>IFERROR(IF(VLOOKUP(A2229,[14]PRIORIZADOS!$A:$B,2,FALSE)="","",VLOOKUP(A2229,[14]PRIORIZADOS!$A:$B,2,FALSE)),"")</f>
        <v>30</v>
      </c>
      <c r="C2229" s="11" t="s">
        <v>424</v>
      </c>
      <c r="D2229" s="11" t="str">
        <f>IFERROR(IF(VLOOKUP(A2229,[14]PRIORIZADOS!$A:$D,4,FALSE)="","",VLOOKUP(A2229,[14]PRIORIZADOS!$A:$D,4,FALSE)),"")</f>
        <v>PRIVADO</v>
      </c>
      <c r="E2229" s="11" t="str">
        <f>IFERROR(IF(VLOOKUP(A2229,[14]PRIORIZADOS!$A:$E,5,FALSE)="","",VLOOKUP(A2229,[14]PRIORIZADOS!$A:$E,5,FALSE)),"")</f>
        <v>EPBM</v>
      </c>
      <c r="F2229" s="11" t="str">
        <f>IFERROR(IF(VLOOKUP(A2229,[14]PRIORIZADOS!$A:$F,6,FALSE)="","",VLOOKUP(A2229,[14]PRIORIZADOS!$A:$F,6,FALSE)),"")</f>
        <v>GIMNASIO_CAMPESTRE_DE_GUILFORD</v>
      </c>
      <c r="G2229" s="11" t="str">
        <f>IFERROR(IF(VLOOKUP(A2229,[14]PRIORIZADOS!$A:$G,7,FALSE)="","",VLOOKUP(A2229,[14]PRIORIZADOS!$A:$G,7,FALSE)),"")</f>
        <v>GIMNASIO CAMPESTRE DE GUILFORD</v>
      </c>
      <c r="H2229" s="11" t="str">
        <f>IFERROR(IF(VLOOKUP(A2229,[14]PRIORIZADOS!$A:$H,8,FALSE)="","",VLOOKUP(A2229,[14]PRIORIZADOS!$A:$H,8,FALSE)),"")</f>
        <v>Autoevaluación Institucional y Pruebas SABER 11</v>
      </c>
      <c r="I2229" s="11" t="str">
        <f>IFERROR(IF(VLOOKUP(A2229,[14]PRIORIZADOS!$A:$I,9,FALSE)="","",VLOOKUP(A2229,[14]PRIORIZADOS!$A:$I,9,FALSE)),"")</f>
        <v>SEGUIMIENTO_Y_SUPERVISIÓN.</v>
      </c>
      <c r="J2229" s="11" t="str">
        <f>IFERROR(IF(VLOOKUP(A2229,[14]PRIORIZADOS!$A:$J,10,FALSE)="","",VLOOKUP(A2229,[14]PRIORIZADOS!$A:$J,10,FALSE)),"")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29" s="11" t="str">
        <f>IFERROR(IF(VLOOKUP(A2229,[14]PRIORIZADOS!$A:$K,11,FALSE)="","",VLOOKUP(A2229,[14]PRIORIZADOS!$A:$K,11,FALSE)),"")</f>
        <v>MARTHA RUT SILVA ABRIL</v>
      </c>
      <c r="L2229" s="11" t="str">
        <f>IFERROR(IF(VLOOKUP(A2229,[14]PRIORIZADOS!$A:$L,12,FALSE)="","",VLOOKUP(A2229,[14]PRIORIZADOS!$A:$L,12,FALSE)),"")</f>
        <v>JUAN MANUEL SANCHEZ MORA</v>
      </c>
      <c r="M2229" s="71">
        <f>IFERROR(IF(VLOOKUP(A2229,[14]PRIORIZADOS!$A:$M,13,FALSE)="","",VLOOKUP(A2229,[14]PRIORIZADOS!$A:$M,13,FALSE)),"")</f>
        <v>45853</v>
      </c>
      <c r="N2229" s="71">
        <f>IFERROR(IF(VLOOKUP(A2229,[14]PRIORIZADOS!$A:$N,14,FALSE)="","",VLOOKUP(A2229,[14]PRIORIZADOS!$A:$N,14,FALSE)),"")</f>
        <v>45776</v>
      </c>
      <c r="O2229" s="71">
        <f>IFERROR(IF(VLOOKUP(A2229,[14]PRIORIZADOS!$A:$O,15,FALSE)="","",VLOOKUP(A2229,[14]PRIORIZADOS!$A:$O,15,FALSE)),"")</f>
        <v>45776</v>
      </c>
      <c r="P2229" s="11" t="str">
        <f>IFERROR(IF(VLOOKUP(A2229,[14]PRIORIZADOS!$A:$P,16,FALSE)="","",VLOOKUP(A2229,[14]PRIORIZADOS!$A:$P,16,FALSE)),"")</f>
        <v>Visitas de evaluación con fines de seguimiento</v>
      </c>
      <c r="Q2229" s="7" t="s">
        <v>454</v>
      </c>
      <c r="R2229" s="11" t="str">
        <f>IFERROR(IF(VLOOKUP(A2229,[14]PRIORIZADOS!$A:$R,18,FALSE)="","",VLOOKUP(A2229,[14]PRIORIZADOS!$A:$R,18,FALSE)),"")</f>
        <v>Cuentan con grn catidad de esytudiantes con NEE, elboran y desarrollan los ajustes razonables, sin embargo se realizaron algunas observaciones</v>
      </c>
      <c r="S2229" s="11" t="str">
        <f>IFERROR(IF(VLOOKUP(A2229,[14]PRIORIZADOS!$A:$S,19,FALSE)="","",VLOOKUP(A2229,[14]PRIORIZADOS!$A:$S,19,FALSE)),"")</f>
        <v xml:space="preserve">Continuar con el dilegenciamiento de los ajustes razonables e implementar los formatos preestablecidos para ello, cumpliendo con todas los aspectos relacionados en el Decreto 1421 de 2017. </v>
      </c>
      <c r="T2229" s="70" t="str">
        <f>IFERROR(IF(VLOOKUP(A2229,[14]PRIORIZADOS!$A:$T,20,FALSE)="","",VLOOKUP(A2229,[14]PRIORIZADOS!$A:$T,20,FALSE)),"")</f>
        <v>Si</v>
      </c>
      <c r="U2229" s="11" t="str">
        <f>IFERROR(IF(VLOOKUP(A2229,[14]PRIORIZADOS!$A:$U,21,FALSE)="","",VLOOKUP(A2229,[14]PRIORIZADOS!$A:$U,21,FALSE)),"")</f>
        <v>Revisar el plan de mejoramiento con fecha de entrega 4/06/2025</v>
      </c>
    </row>
    <row r="2230" spans="1:21" s="1" customFormat="1" ht="84">
      <c r="A2230" s="69">
        <f>IF([14]PRIORIZADOS!A277="","",[14]PRIORIZADOS!A277)</f>
        <v>2198</v>
      </c>
      <c r="B2230" s="70">
        <f>IFERROR(IF(VLOOKUP(A2230,[14]PRIORIZADOS!$A:$B,2,FALSE)="","",VLOOKUP(A2230,[14]PRIORIZADOS!$A:$B,2,FALSE)),"")</f>
        <v>30</v>
      </c>
      <c r="C2230" s="11" t="s">
        <v>424</v>
      </c>
      <c r="D2230" s="11" t="str">
        <f>IFERROR(IF(VLOOKUP(A2230,[14]PRIORIZADOS!$A:$D,4,FALSE)="","",VLOOKUP(A2230,[14]PRIORIZADOS!$A:$D,4,FALSE)),"")</f>
        <v>PRIVADO</v>
      </c>
      <c r="E2230" s="11" t="str">
        <f>IFERROR(IF(VLOOKUP(A2230,[14]PRIORIZADOS!$A:$E,5,FALSE)="","",VLOOKUP(A2230,[14]PRIORIZADOS!$A:$E,5,FALSE)),"")</f>
        <v>EPBM</v>
      </c>
      <c r="F2230" s="11" t="str">
        <f>IFERROR(IF(VLOOKUP(A2230,[14]PRIORIZADOS!$A:$F,6,FALSE)="","",VLOOKUP(A2230,[14]PRIORIZADOS!$A:$F,6,FALSE)),"")</f>
        <v>GIMNASIO_CAMPESTRE_DE_GUILFORD</v>
      </c>
      <c r="G2230" s="11" t="str">
        <f>IFERROR(IF(VLOOKUP(A2230,[14]PRIORIZADOS!$A:$G,7,FALSE)="","",VLOOKUP(A2230,[14]PRIORIZADOS!$A:$G,7,FALSE)),"")</f>
        <v>GIMNASIO CAMPESTRE DE GUILFORD</v>
      </c>
      <c r="H2230" s="11" t="str">
        <f>IFERROR(IF(VLOOKUP(A2230,[14]PRIORIZADOS!$A:$H,8,FALSE)="","",VLOOKUP(A2230,[14]PRIORIZADOS!$A:$H,8,FALSE)),"")</f>
        <v>Autoevaluación Institucional y Pruebas SABER 11</v>
      </c>
      <c r="I2230" s="11" t="str">
        <f>IFERROR(IF(VLOOKUP(A2230,[14]PRIORIZADOS!$A:$I,9,FALSE)="","",VLOOKUP(A2230,[14]PRIORIZADOS!$A:$I,9,FALSE)),"")</f>
        <v>EVALUACIÓN_CON_FINES_DE_MEJORAMIENTO.</v>
      </c>
      <c r="J2230" s="11" t="str">
        <f>IFERROR(IF(VLOOKUP(A2230,[14]PRIORIZADOS!$A:$J,10,FALSE)="","",VLOOKUP(A2230,[14]PRIORIZADOS!$A:$J,10,FALSE)),"")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30" s="11" t="str">
        <f>IFERROR(IF(VLOOKUP(A2230,[14]PRIORIZADOS!$A:$K,11,FALSE)="","",VLOOKUP(A2230,[14]PRIORIZADOS!$A:$K,11,FALSE)),"")</f>
        <v>MARTHA RUT SILVA ABRIL</v>
      </c>
      <c r="L2230" s="11" t="str">
        <f>IFERROR(IF(VLOOKUP(A2230,[14]PRIORIZADOS!$A:$L,12,FALSE)="","",VLOOKUP(A2230,[14]PRIORIZADOS!$A:$L,12,FALSE)),"")</f>
        <v>JUAN MANUEL SANCHEZ MORA</v>
      </c>
      <c r="M2230" s="71">
        <f>IFERROR(IF(VLOOKUP(A2230,[14]PRIORIZADOS!$A:$M,13,FALSE)="","",VLOOKUP(A2230,[14]PRIORIZADOS!$A:$M,13,FALSE)),"")</f>
        <v>45853</v>
      </c>
      <c r="N2230" s="71">
        <f>IFERROR(IF(VLOOKUP(A2230,[14]PRIORIZADOS!$A:$N,14,FALSE)="","",VLOOKUP(A2230,[14]PRIORIZADOS!$A:$N,14,FALSE)),"")</f>
        <v>45776</v>
      </c>
      <c r="O2230" s="71">
        <f>IFERROR(IF(VLOOKUP(A2230,[14]PRIORIZADOS!$A:$O,15,FALSE)="","",VLOOKUP(A2230,[14]PRIORIZADOS!$A:$O,15,FALSE)),"")</f>
        <v>45776</v>
      </c>
      <c r="P2230" s="11" t="str">
        <f>IFERROR(IF(VLOOKUP(A2230,[14]PRIORIZADOS!$A:$P,16,FALSE)="","",VLOOKUP(A2230,[14]PRIORIZADOS!$A:$P,16,FALSE)),"")</f>
        <v>Visitas de evaluación con fines de mejoramiento</v>
      </c>
      <c r="Q2230" s="7" t="s">
        <v>454</v>
      </c>
      <c r="R2230" s="11" t="str">
        <f>IFERROR(IF(VLOOKUP(A2230,[14]PRIORIZADOS!$A:$R,18,FALSE)="","",VLOOKUP(A2230,[14]PRIORIZADOS!$A:$R,18,FALSE)),"")</f>
        <v>Realizar la atualizacion del manual de convivencia incluyendo los enfoques diferenciales, debido proceso, protocolos de atención y demas componentes señalados en el Decreto 1075 de 2015.</v>
      </c>
      <c r="S2230" s="11" t="str">
        <f>IFERROR(IF(VLOOKUP(A2230,[14]PRIORIZADOS!$A:$S,19,FALSE)="","",VLOOKUP(A2230,[14]PRIORIZADOS!$A:$S,19,FALSE)),"")</f>
        <v>Realizar la actualizacion del manual de convivencia incluyendo los enfoques diferenciales, debido proceso, protocolos de atencion</v>
      </c>
      <c r="T2230" s="70" t="str">
        <f>IFERROR(IF(VLOOKUP(A2230,[14]PRIORIZADOS!$A:$T,20,FALSE)="","",VLOOKUP(A2230,[14]PRIORIZADOS!$A:$T,20,FALSE)),"")</f>
        <v>Si</v>
      </c>
      <c r="U2230" s="11" t="str">
        <f>IFERROR(IF(VLOOKUP(A2230,[14]PRIORIZADOS!$A:$U,21,FALSE)="","",VLOOKUP(A2230,[14]PRIORIZADOS!$A:$U,21,FALSE)),"")</f>
        <v>Revisar el plan de mejoramiento con fecha de entrega 4/06/2025</v>
      </c>
    </row>
    <row r="2231" spans="1:21" s="1" customFormat="1" ht="48">
      <c r="A2231" s="69">
        <f>IF([14]PRIORIZADOS!A278="","",[14]PRIORIZADOS!A278)</f>
        <v>2199</v>
      </c>
      <c r="B2231" s="70">
        <f>IFERROR(IF(VLOOKUP(A2231,[14]PRIORIZADOS!$A:$B,2,FALSE)="","",VLOOKUP(A2231,[14]PRIORIZADOS!$A:$B,2,FALSE)),"")</f>
        <v>30</v>
      </c>
      <c r="C2231" s="11" t="s">
        <v>424</v>
      </c>
      <c r="D2231" s="11" t="str">
        <f>IFERROR(IF(VLOOKUP(A2231,[14]PRIORIZADOS!$A:$D,4,FALSE)="","",VLOOKUP(A2231,[14]PRIORIZADOS!$A:$D,4,FALSE)),"")</f>
        <v>PRIVADO</v>
      </c>
      <c r="E2231" s="11" t="str">
        <f>IFERROR(IF(VLOOKUP(A2231,[14]PRIORIZADOS!$A:$E,5,FALSE)="","",VLOOKUP(A2231,[14]PRIORIZADOS!$A:$E,5,FALSE)),"")</f>
        <v>EPBM</v>
      </c>
      <c r="F2231" s="11" t="str">
        <f>IFERROR(IF(VLOOKUP(A2231,[14]PRIORIZADOS!$A:$F,6,FALSE)="","",VLOOKUP(A2231,[14]PRIORIZADOS!$A:$F,6,FALSE)),"")</f>
        <v>GIMNASIO_CAMPESTRE_DE_GUILFORD</v>
      </c>
      <c r="G2231" s="11" t="str">
        <f>IFERROR(IF(VLOOKUP(A2231,[14]PRIORIZADOS!$A:$G,7,FALSE)="","",VLOOKUP(A2231,[14]PRIORIZADOS!$A:$G,7,FALSE)),"")</f>
        <v>GIMNASIO CAMPESTRE DE GUILFORD</v>
      </c>
      <c r="H2231" s="11" t="str">
        <f>IFERROR(IF(VLOOKUP(A2231,[14]PRIORIZADOS!$A:$H,8,FALSE)="","",VLOOKUP(A2231,[14]PRIORIZADOS!$A:$H,8,FALSE)),"")</f>
        <v>Autoevaluación Institucional y Pruebas SABER 11</v>
      </c>
      <c r="I2231" s="11" t="str">
        <f>IFERROR(IF(VLOOKUP(A2231,[14]PRIORIZADOS!$A:$I,9,FALSE)="","",VLOOKUP(A2231,[14]PRIORIZADOS!$A:$I,9,FALSE)),"")</f>
        <v>EVALUACIÓN_CON_FINES_DE_MEJORAMIENTO.</v>
      </c>
      <c r="J2231" s="11" t="str">
        <f>IFERROR(IF(VLOOKUP(A2231,[14]PRIORIZADOS!$A:$J,10,FALSE)="","",VLOOKUP(A2231,[14]PRIORIZADOS!$A:$J,10,FALSE)),"")</f>
        <v>Revisar la actualización, socialización e implementación del Sistema Institucional de Evaluación de Estudiantes - SIEE, en articulación con la actualización del PEI y la normatividad vigente.</v>
      </c>
      <c r="K2231" s="11" t="str">
        <f>IFERROR(IF(VLOOKUP(A2231,[14]PRIORIZADOS!$A:$K,11,FALSE)="","",VLOOKUP(A2231,[14]PRIORIZADOS!$A:$K,11,FALSE)),"")</f>
        <v>MARTHA RUT SILVA ABRIL</v>
      </c>
      <c r="L2231" s="11" t="str">
        <f>IFERROR(IF(VLOOKUP(A2231,[14]PRIORIZADOS!$A:$L,12,FALSE)="","",VLOOKUP(A2231,[14]PRIORIZADOS!$A:$L,12,FALSE)),"")</f>
        <v>JUAN MANUEL SANCHEZ MORA</v>
      </c>
      <c r="M2231" s="71">
        <f>IFERROR(IF(VLOOKUP(A2231,[14]PRIORIZADOS!$A:$M,13,FALSE)="","",VLOOKUP(A2231,[14]PRIORIZADOS!$A:$M,13,FALSE)),"")</f>
        <v>45853</v>
      </c>
      <c r="N2231" s="71">
        <f>IFERROR(IF(VLOOKUP(A2231,[14]PRIORIZADOS!$A:$N,14,FALSE)="","",VLOOKUP(A2231,[14]PRIORIZADOS!$A:$N,14,FALSE)),"")</f>
        <v>45776</v>
      </c>
      <c r="O2231" s="71">
        <f>IFERROR(IF(VLOOKUP(A2231,[14]PRIORIZADOS!$A:$O,15,FALSE)="","",VLOOKUP(A2231,[14]PRIORIZADOS!$A:$O,15,FALSE)),"")</f>
        <v>45776</v>
      </c>
      <c r="P2231" s="11" t="str">
        <f>IFERROR(IF(VLOOKUP(A2231,[14]PRIORIZADOS!$A:$P,16,FALSE)="","",VLOOKUP(A2231,[14]PRIORIZADOS!$A:$P,16,FALSE)),"")</f>
        <v>Visitas de evaluación con fines de mejoramiento</v>
      </c>
      <c r="Q2231" s="7" t="s">
        <v>454</v>
      </c>
      <c r="R2231" s="11" t="str">
        <f>IFERROR(IF(VLOOKUP(A2231,[14]PRIORIZADOS!$A:$R,18,FALSE)="","",VLOOKUP(A2231,[14]PRIORIZADOS!$A:$R,18,FALSE)),"")</f>
        <v xml:space="preserve">Se evidenció que cuenta con los criterios de evaluacion, sin embargo, se requiere incluir dichos aspectos en el PEI </v>
      </c>
      <c r="S2231" s="11" t="str">
        <f>IFERROR(IF(VLOOKUP(A2231,[14]PRIORIZADOS!$A:$S,19,FALSE)="","",VLOOKUP(A2231,[14]PRIORIZADOS!$A:$S,19,FALSE)),"")</f>
        <v xml:space="preserve">Actualizar el SIEE conforme lo establecido en el PEI </v>
      </c>
      <c r="T2231" s="70" t="str">
        <f>IFERROR(IF(VLOOKUP(A2231,[14]PRIORIZADOS!$A:$T,20,FALSE)="","",VLOOKUP(A2231,[14]PRIORIZADOS!$A:$T,20,FALSE)),"")</f>
        <v>No</v>
      </c>
      <c r="U2231" s="11" t="str">
        <f>IFERROR(IF(VLOOKUP(A2231,[14]PRIORIZADOS!$A:$U,21,FALSE)="","",VLOOKUP(A2231,[14]PRIORIZADOS!$A:$U,21,FALSE)),"")</f>
        <v>Revisar el SIEE actualizado para la vigencia 2026.</v>
      </c>
    </row>
    <row r="2232" spans="1:21" s="1" customFormat="1" ht="48">
      <c r="A2232" s="69">
        <f>IF([14]PRIORIZADOS!A279="","",[14]PRIORIZADOS!A279)</f>
        <v>2200</v>
      </c>
      <c r="B2232" s="70">
        <f>IFERROR(IF(VLOOKUP(A2232,[14]PRIORIZADOS!$A:$B,2,FALSE)="","",VLOOKUP(A2232,[14]PRIORIZADOS!$A:$B,2,FALSE)),"")</f>
        <v>30</v>
      </c>
      <c r="C2232" s="11" t="s">
        <v>424</v>
      </c>
      <c r="D2232" s="11" t="str">
        <f>IFERROR(IF(VLOOKUP(A2232,[14]PRIORIZADOS!$A:$D,4,FALSE)="","",VLOOKUP(A2232,[14]PRIORIZADOS!$A:$D,4,FALSE)),"")</f>
        <v>PRIVADO</v>
      </c>
      <c r="E2232" s="11" t="str">
        <f>IFERROR(IF(VLOOKUP(A2232,[14]PRIORIZADOS!$A:$E,5,FALSE)="","",VLOOKUP(A2232,[14]PRIORIZADOS!$A:$E,5,FALSE)),"")</f>
        <v>EPBM</v>
      </c>
      <c r="F2232" s="11" t="str">
        <f>IFERROR(IF(VLOOKUP(A2232,[14]PRIORIZADOS!$A:$F,6,FALSE)="","",VLOOKUP(A2232,[14]PRIORIZADOS!$A:$F,6,FALSE)),"")</f>
        <v>GIMNASIO_CAMPESTRE_DE_GUILFORD</v>
      </c>
      <c r="G2232" s="11" t="str">
        <f>IFERROR(IF(VLOOKUP(A2232,[14]PRIORIZADOS!$A:$G,7,FALSE)="","",VLOOKUP(A2232,[14]PRIORIZADOS!$A:$G,7,FALSE)),"")</f>
        <v>GIMNASIO CAMPESTRE DE GUILFORD</v>
      </c>
      <c r="H2232" s="11" t="str">
        <f>IFERROR(IF(VLOOKUP(A2232,[14]PRIORIZADOS!$A:$H,8,FALSE)="","",VLOOKUP(A2232,[14]PRIORIZADOS!$A:$H,8,FALSE)),"")</f>
        <v>Autoevaluación Institucional y Pruebas SABER 11</v>
      </c>
      <c r="I2232" s="11" t="str">
        <f>IFERROR(IF(VLOOKUP(A2232,[14]PRIORIZADOS!$A:$I,9,FALSE)="","",VLOOKUP(A2232,[14]PRIORIZADOS!$A:$I,9,FALSE)),"")</f>
        <v>EVALUACIÓN_CON_FINES_DE_MEJORAMIENTO.</v>
      </c>
      <c r="J2232" s="11" t="str">
        <f>IFERROR(IF(VLOOKUP(A2232,[14]PRIORIZADOS!$A:$J,10,FALSE)="","",VLOOKUP(A2232,[14]PRIORIZADOS!$A:$J,10,FALSE)),"")</f>
        <v>Revisar el calendario escolar, jornada escolar, la intensidad horaria mínima anual en cada nivel y las modificaciones que se realicen al mismo, de acuerdo con lo previsto en la normatividad vigente.</v>
      </c>
      <c r="K2232" s="11" t="str">
        <f>IFERROR(IF(VLOOKUP(A2232,[14]PRIORIZADOS!$A:$K,11,FALSE)="","",VLOOKUP(A2232,[14]PRIORIZADOS!$A:$K,11,FALSE)),"")</f>
        <v>MARTHA RUT SILVA ABRIL</v>
      </c>
      <c r="L2232" s="11" t="str">
        <f>IFERROR(IF(VLOOKUP(A2232,[14]PRIORIZADOS!$A:$L,12,FALSE)="","",VLOOKUP(A2232,[14]PRIORIZADOS!$A:$L,12,FALSE)),"")</f>
        <v>JUAN MANUEL SANCHEZ MORA</v>
      </c>
      <c r="M2232" s="71">
        <f>IFERROR(IF(VLOOKUP(A2232,[14]PRIORIZADOS!$A:$M,13,FALSE)="","",VLOOKUP(A2232,[14]PRIORIZADOS!$A:$M,13,FALSE)),"")</f>
        <v>45853</v>
      </c>
      <c r="N2232" s="71">
        <f>IFERROR(IF(VLOOKUP(A2232,[14]PRIORIZADOS!$A:$N,14,FALSE)="","",VLOOKUP(A2232,[14]PRIORIZADOS!$A:$N,14,FALSE)),"")</f>
        <v>45776</v>
      </c>
      <c r="O2232" s="71">
        <f>IFERROR(IF(VLOOKUP(A2232,[14]PRIORIZADOS!$A:$O,15,FALSE)="","",VLOOKUP(A2232,[14]PRIORIZADOS!$A:$O,15,FALSE)),"")</f>
        <v>45776</v>
      </c>
      <c r="P2232" s="11" t="str">
        <f>IFERROR(IF(VLOOKUP(A2232,[14]PRIORIZADOS!$A:$P,16,FALSE)="","",VLOOKUP(A2232,[14]PRIORIZADOS!$A:$P,16,FALSE)),"")</f>
        <v>Visitas de evaluación con fines de mejoramiento</v>
      </c>
      <c r="Q2232" s="253" t="s">
        <v>454</v>
      </c>
      <c r="R2232" s="11" t="str">
        <f>IFERROR(IF(VLOOKUP(A2232,[14]PRIORIZADOS!$A:$R,18,FALSE)="","",VLOOKUP(A2232,[14]PRIORIZADOS!$A:$R,18,FALSE)),"")</f>
        <v xml:space="preserve">El calendario escolar y la intensidad horaria se ajusta a las horas minimas para cada uno de los niveles </v>
      </c>
      <c r="S2232" s="11" t="str">
        <f>IFERROR(IF(VLOOKUP(A2232,[14]PRIORIZADOS!$A:$S,19,FALSE)="","",VLOOKUP(A2232,[14]PRIORIZADOS!$A:$S,19,FALSE)),"")</f>
        <v xml:space="preserve">Continuar con el cumplimiento del calendario escolar </v>
      </c>
      <c r="T2232" s="70" t="str">
        <f>IFERROR(IF(VLOOKUP(A2232,[14]PRIORIZADOS!$A:$T,20,FALSE)="","",VLOOKUP(A2232,[14]PRIORIZADOS!$A:$T,20,FALSE)),"")</f>
        <v>No</v>
      </c>
      <c r="U2232" s="11" t="str">
        <f>IFERROR(IF(VLOOKUP(A2232,[14]PRIORIZADOS!$A:$U,21,FALSE)="","",VLOOKUP(A2232,[14]PRIORIZADOS!$A:$U,21,FALSE)),"")</f>
        <v xml:space="preserve">Verificar nuevamente el calendario escolar en caso de ser necesario o por queja </v>
      </c>
    </row>
    <row r="2233" spans="1:21" s="1" customFormat="1" ht="48">
      <c r="A2233" s="69">
        <f>IF([14]PRIORIZADOS!A280="","",[14]PRIORIZADOS!A280)</f>
        <v>2201</v>
      </c>
      <c r="B2233" s="70">
        <f>IFERROR(IF(VLOOKUP(A2233,[14]PRIORIZADOS!$A:$B,2,FALSE)="","",VLOOKUP(A2233,[14]PRIORIZADOS!$A:$B,2,FALSE)),"")</f>
        <v>30</v>
      </c>
      <c r="C2233" s="11" t="s">
        <v>424</v>
      </c>
      <c r="D2233" s="11" t="str">
        <f>IFERROR(IF(VLOOKUP(A2233,[14]PRIORIZADOS!$A:$D,4,FALSE)="","",VLOOKUP(A2233,[14]PRIORIZADOS!$A:$D,4,FALSE)),"")</f>
        <v>PRIVADO</v>
      </c>
      <c r="E2233" s="11" t="str">
        <f>IFERROR(IF(VLOOKUP(A2233,[14]PRIORIZADOS!$A:$E,5,FALSE)="","",VLOOKUP(A2233,[14]PRIORIZADOS!$A:$E,5,FALSE)),"")</f>
        <v>EPBM</v>
      </c>
      <c r="F2233" s="11" t="str">
        <f>IFERROR(IF(VLOOKUP(A2233,[14]PRIORIZADOS!$A:$F,6,FALSE)="","",VLOOKUP(A2233,[14]PRIORIZADOS!$A:$F,6,FALSE)),"")</f>
        <v>GIMNASIO_CAMPESTRE_DE_GUILFORD</v>
      </c>
      <c r="G2233" s="11" t="str">
        <f>IFERROR(IF(VLOOKUP(A2233,[14]PRIORIZADOS!$A:$G,7,FALSE)="","",VLOOKUP(A2233,[14]PRIORIZADOS!$A:$G,7,FALSE)),"")</f>
        <v>GIMNASIO CAMPESTRE DE GUILFORD</v>
      </c>
      <c r="H2233" s="11" t="str">
        <f>IFERROR(IF(VLOOKUP(A2233,[14]PRIORIZADOS!$A:$H,8,FALSE)="","",VLOOKUP(A2233,[14]PRIORIZADOS!$A:$H,8,FALSE)),"")</f>
        <v>Autoevaluación Institucional y Pruebas SABER 11</v>
      </c>
      <c r="I2233" s="11" t="str">
        <f>IFERROR(IF(VLOOKUP(A2233,[14]PRIORIZADOS!$A:$I,9,FALSE)="","",VLOOKUP(A2233,[14]PRIORIZADOS!$A:$I,9,FALSE)),"")</f>
        <v>EVALUACIÓN_CON_FINES_DE_MEJORAMIENTO.</v>
      </c>
      <c r="J2233" s="11" t="str">
        <f>IFERROR(IF(VLOOKUP(A2233,[14]PRIORIZADOS!$A:$J,10,FALSE)="","",VLOOKUP(A2233,[14]PRIORIZADOS!$A:$J,10,FALSE)),"")</f>
        <v>Verificar el funcionamiento del Gobierno Escolar e instancias de participación con base en la información sobre conformación reportada por la institución educativa.</v>
      </c>
      <c r="K2233" s="11" t="str">
        <f>IFERROR(IF(VLOOKUP(A2233,[14]PRIORIZADOS!$A:$K,11,FALSE)="","",VLOOKUP(A2233,[14]PRIORIZADOS!$A:$K,11,FALSE)),"")</f>
        <v>MARTHA RUT SILVA ABRIL</v>
      </c>
      <c r="L2233" s="11" t="str">
        <f>IFERROR(IF(VLOOKUP(A2233,[14]PRIORIZADOS!$A:$L,12,FALSE)="","",VLOOKUP(A2233,[14]PRIORIZADOS!$A:$L,12,FALSE)),"")</f>
        <v>JUAN MANUEL SANCHEZ MORA</v>
      </c>
      <c r="M2233" s="71">
        <f>IFERROR(IF(VLOOKUP(A2233,[14]PRIORIZADOS!$A:$M,13,FALSE)="","",VLOOKUP(A2233,[14]PRIORIZADOS!$A:$M,13,FALSE)),"")</f>
        <v>45853</v>
      </c>
      <c r="N2233" s="71">
        <f>IFERROR(IF(VLOOKUP(A2233,[14]PRIORIZADOS!$A:$N,14,FALSE)="","",VLOOKUP(A2233,[14]PRIORIZADOS!$A:$N,14,FALSE)),"")</f>
        <v>45776</v>
      </c>
      <c r="O2233" s="71">
        <f>IFERROR(IF(VLOOKUP(A2233,[14]PRIORIZADOS!$A:$O,15,FALSE)="","",VLOOKUP(A2233,[14]PRIORIZADOS!$A:$O,15,FALSE)),"")</f>
        <v>45776</v>
      </c>
      <c r="P2233" s="11" t="str">
        <f>IFERROR(IF(VLOOKUP(A2233,[14]PRIORIZADOS!$A:$P,16,FALSE)="","",VLOOKUP(A2233,[14]PRIORIZADOS!$A:$P,16,FALSE)),"")</f>
        <v>Visitas de evaluación con fines de mejoramiento</v>
      </c>
      <c r="Q2233" s="7" t="s">
        <v>454</v>
      </c>
      <c r="R2233" s="11" t="str">
        <f>IFERROR(IF(VLOOKUP(A2233,[14]PRIORIZADOS!$A:$R,18,FALSE)="","",VLOOKUP(A2233,[14]PRIORIZADOS!$A:$R,18,FALSE)),"")</f>
        <v>Se evidenció el cumplimiento de la conformacion del gobierno escolar, sin embargo, no registra reporte en la platforma SAE</v>
      </c>
      <c r="S2233" s="11" t="str">
        <f>IFERROR(IF(VLOOKUP(A2233,[14]PRIORIZADOS!$A:$S,19,FALSE)="","",VLOOKUP(A2233,[14]PRIORIZADOS!$A:$S,19,FALSE)),"")</f>
        <v>Registrar las actas de conformacion en la plataforma SAE y que los gobiernos e instancias empericen a sesionar mínimo cada dos meses</v>
      </c>
      <c r="T2233" s="70" t="str">
        <f>IFERROR(IF(VLOOKUP(A2233,[14]PRIORIZADOS!$A:$T,20,FALSE)="","",VLOOKUP(A2233,[14]PRIORIZADOS!$A:$T,20,FALSE)),"")</f>
        <v>Si</v>
      </c>
      <c r="U2233" s="11" t="str">
        <f>IFERROR(IF(VLOOKUP(A2233,[14]PRIORIZADOS!$A:$U,21,FALSE)="","",VLOOKUP(A2233,[14]PRIORIZADOS!$A:$U,21,FALSE)),"")</f>
        <v>Verificar las actas de conformación en el SAE y las actas de las sesiones realizadas.</v>
      </c>
    </row>
    <row r="2234" spans="1:21" s="1" customFormat="1" ht="48">
      <c r="A2234" s="69">
        <f>IF([14]PRIORIZADOS!A281="","",[14]PRIORIZADOS!A281)</f>
        <v>2202</v>
      </c>
      <c r="B2234" s="70">
        <f>IFERROR(IF(VLOOKUP(A2234,[14]PRIORIZADOS!$A:$B,2,FALSE)="","",VLOOKUP(A2234,[14]PRIORIZADOS!$A:$B,2,FALSE)),"")</f>
        <v>30</v>
      </c>
      <c r="C2234" s="11" t="s">
        <v>424</v>
      </c>
      <c r="D2234" s="11" t="str">
        <f>IFERROR(IF(VLOOKUP(A2234,[14]PRIORIZADOS!$A:$D,4,FALSE)="","",VLOOKUP(A2234,[14]PRIORIZADOS!$A:$D,4,FALSE)),"")</f>
        <v>PRIVADO</v>
      </c>
      <c r="E2234" s="11" t="str">
        <f>IFERROR(IF(VLOOKUP(A2234,[14]PRIORIZADOS!$A:$E,5,FALSE)="","",VLOOKUP(A2234,[14]PRIORIZADOS!$A:$E,5,FALSE)),"")</f>
        <v>EPBM</v>
      </c>
      <c r="F2234" s="11" t="str">
        <f>IFERROR(IF(VLOOKUP(A2234,[14]PRIORIZADOS!$A:$F,6,FALSE)="","",VLOOKUP(A2234,[14]PRIORIZADOS!$A:$F,6,FALSE)),"")</f>
        <v>GIMNASIO_CAMPESTRE_DE_GUILFORD</v>
      </c>
      <c r="G2234" s="11" t="str">
        <f>IFERROR(IF(VLOOKUP(A2234,[14]PRIORIZADOS!$A:$G,7,FALSE)="","",VLOOKUP(A2234,[14]PRIORIZADOS!$A:$G,7,FALSE)),"")</f>
        <v>GIMNASIO CAMPESTRE DE GUILFORD</v>
      </c>
      <c r="H2234" s="11" t="str">
        <f>IFERROR(IF(VLOOKUP(A2234,[14]PRIORIZADOS!$A:$H,8,FALSE)="","",VLOOKUP(A2234,[14]PRIORIZADOS!$A:$H,8,FALSE)),"")</f>
        <v>Autoevaluación Institucional y Pruebas SABER 11</v>
      </c>
      <c r="I2234" s="11" t="str">
        <f>IFERROR(IF(VLOOKUP(A2234,[14]PRIORIZADOS!$A:$I,9,FALSE)="","",VLOOKUP(A2234,[14]PRIORIZADOS!$A:$I,9,FALSE)),"")</f>
        <v>EVALUACIÓN_CON_FINES_DE_MEJORAMIENTO.</v>
      </c>
      <c r="J2234" s="11" t="str">
        <f>IFERROR(IF(VLOOKUP(A2234,[14]PRIORIZADOS!$A:$J,10,FALSE)="","",VLOOKUP(A2234,[14]PRIORIZADOS!$A:$J,10,FALSE)),"")</f>
        <v>Verificar las condiciones en cuanto a: la estructura administrativa, condiciones de la planta física y medios educativos adecuados.</v>
      </c>
      <c r="K2234" s="11" t="str">
        <f>IFERROR(IF(VLOOKUP(A2234,[14]PRIORIZADOS!$A:$K,11,FALSE)="","",VLOOKUP(A2234,[14]PRIORIZADOS!$A:$K,11,FALSE)),"")</f>
        <v>MARTHA RUT SILVA ABRIL</v>
      </c>
      <c r="L2234" s="11" t="str">
        <f>IFERROR(IF(VLOOKUP(A2234,[14]PRIORIZADOS!$A:$L,12,FALSE)="","",VLOOKUP(A2234,[14]PRIORIZADOS!$A:$L,12,FALSE)),"")</f>
        <v>JUAN MANUEL SANCHEZ MORA</v>
      </c>
      <c r="M2234" s="71">
        <f>IFERROR(IF(VLOOKUP(A2234,[14]PRIORIZADOS!$A:$M,13,FALSE)="","",VLOOKUP(A2234,[14]PRIORIZADOS!$A:$M,13,FALSE)),"")</f>
        <v>45853</v>
      </c>
      <c r="N2234" s="71">
        <f>IFERROR(IF(VLOOKUP(A2234,[14]PRIORIZADOS!$A:$N,14,FALSE)="","",VLOOKUP(A2234,[14]PRIORIZADOS!$A:$N,14,FALSE)),"")</f>
        <v>45776</v>
      </c>
      <c r="O2234" s="71">
        <f>IFERROR(IF(VLOOKUP(A2234,[14]PRIORIZADOS!$A:$O,15,FALSE)="","",VLOOKUP(A2234,[14]PRIORIZADOS!$A:$O,15,FALSE)),"")</f>
        <v>45776</v>
      </c>
      <c r="P2234" s="11" t="str">
        <f>IFERROR(IF(VLOOKUP(A2234,[14]PRIORIZADOS!$A:$P,16,FALSE)="","",VLOOKUP(A2234,[14]PRIORIZADOS!$A:$P,16,FALSE)),"")</f>
        <v>Visitas de evaluación con fines de mejoramiento</v>
      </c>
      <c r="Q2234" s="7" t="s">
        <v>454</v>
      </c>
      <c r="R2234" s="11" t="str">
        <f>IFERROR(IF(VLOOKUP(A2234,[14]PRIORIZADOS!$A:$R,18,FALSE)="","",VLOOKUP(A2234,[14]PRIORIZADOS!$A:$R,18,FALSE)),"")</f>
        <v>En recorrido por la planta fisica se observa que cuenta con espacios minimos requerido para la atención de la población estudiantil.</v>
      </c>
      <c r="S2234" s="11" t="str">
        <f>IFERROR(IF(VLOOKUP(A2234,[14]PRIORIZADOS!$A:$S,19,FALSE)="","",VLOOKUP(A2234,[14]PRIORIZADOS!$A:$S,19,FALSE)),"")</f>
        <v xml:space="preserve">Continuar con el mantenimiento y sostenimiento de los espacios recreativos y pedagógicos </v>
      </c>
      <c r="T2234" s="70" t="str">
        <f>IFERROR(IF(VLOOKUP(A2234,[14]PRIORIZADOS!$A:$T,20,FALSE)="","",VLOOKUP(A2234,[14]PRIORIZADOS!$A:$T,20,FALSE)),"")</f>
        <v>No</v>
      </c>
      <c r="U2234" s="11" t="str">
        <f>IFERROR(IF(VLOOKUP(A2234,[14]PRIORIZADOS!$A:$U,21,FALSE)="","",VLOOKUP(A2234,[14]PRIORIZADOS!$A:$U,21,FALSE)),"")</f>
        <v>Realizar nueva visita en casos de ser necesario o por queja.</v>
      </c>
    </row>
    <row r="2235" spans="1:21" s="1" customFormat="1" ht="96">
      <c r="A2235" s="69">
        <f>IF([14]PRIORIZADOS!A282="","",[14]PRIORIZADOS!A282)</f>
        <v>2203</v>
      </c>
      <c r="B2235" s="70">
        <f>IFERROR(IF(VLOOKUP(A2235,[14]PRIORIZADOS!$A:$B,2,FALSE)="","",VLOOKUP(A2235,[14]PRIORIZADOS!$A:$B,2,FALSE)),"")</f>
        <v>31</v>
      </c>
      <c r="C2235" s="11" t="s">
        <v>424</v>
      </c>
      <c r="D2235" s="11" t="str">
        <f>IFERROR(IF(VLOOKUP(A2235,[14]PRIORIZADOS!$A:$D,4,FALSE)="","",VLOOKUP(A2235,[14]PRIORIZADOS!$A:$D,4,FALSE)),"")</f>
        <v>PRIVADO</v>
      </c>
      <c r="E2235" s="11" t="str">
        <f>IFERROR(IF(VLOOKUP(A2235,[14]PRIORIZADOS!$A:$E,5,FALSE)="","",VLOOKUP(A2235,[14]PRIORIZADOS!$A:$E,5,FALSE)),"")</f>
        <v>EPBM</v>
      </c>
      <c r="F2235" s="11" t="str">
        <f>IFERROR(IF(VLOOKUP(A2235,[14]PRIORIZADOS!$A:$F,6,FALSE)="","",VLOOKUP(A2235,[14]PRIORIZADOS!$A:$F,6,FALSE)),"")</f>
        <v>INSTITUTO_PSICOPEDAGOGICO_ROSAL_DE_SUBA</v>
      </c>
      <c r="G2235" s="11" t="str">
        <f>IFERROR(IF(VLOOKUP(A2235,[14]PRIORIZADOS!$A:$G,7,FALSE)="","",VLOOKUP(A2235,[14]PRIORIZADOS!$A:$G,7,FALSE)),"")</f>
        <v>INSTITUTO PSICOPEDAGOGICO ROSAL DE SUBA</v>
      </c>
      <c r="H2235" s="11" t="str">
        <f>IFERROR(IF(VLOOKUP(A2235,[14]PRIORIZADOS!$A:$H,8,FALSE)="","",VLOOKUP(A2235,[14]PRIORIZADOS!$A:$H,8,FALSE)),"")</f>
        <v>Autoevaluación Institucional y Pruebas SABER 11</v>
      </c>
      <c r="I2235" s="11" t="str">
        <f>IFERROR(IF(VLOOKUP(A2235,[14]PRIORIZADOS!$A:$I,9,FALSE)="","",VLOOKUP(A2235,[14]PRIORIZADOS!$A:$I,9,FALSE)),"")</f>
        <v>SEGUIMIENTO_Y_SUPERVISIÓN.</v>
      </c>
      <c r="J2235" s="11" t="str">
        <f>IFERROR(IF(VLOOKUP(A2235,[14]PRIORIZADOS!$A:$J,10,FALSE)="","",VLOOKUP(A2235,[14]PRIORIZADOS!$A:$J,10,FALSE)),"")</f>
        <v>Realizar visitas para verificar la información registrada sobre la autoevaluación institucional en el aplicativo EVI, a los establecimientos de educación formal no oficial.</v>
      </c>
      <c r="K2235" s="11" t="str">
        <f>IFERROR(IF(VLOOKUP(A2235,[14]PRIORIZADOS!$A:$K,11,FALSE)="","",VLOOKUP(A2235,[14]PRIORIZADOS!$A:$K,11,FALSE)),"")</f>
        <v>SANDRA OLINDA GONZÁLEZ REYES</v>
      </c>
      <c r="L2235" s="11" t="str">
        <f>IFERROR(IF(VLOOKUP(A2235,[14]PRIORIZADOS!$A:$L,12,FALSE)="","",VLOOKUP(A2235,[14]PRIORIZADOS!$A:$L,12,FALSE)),"")</f>
        <v>DANIEL ALEJANDRO GRANOBLES</v>
      </c>
      <c r="M2235" s="71">
        <f>IFERROR(IF(VLOOKUP(A2235,[14]PRIORIZADOS!$A:$M,13,FALSE)="","",VLOOKUP(A2235,[14]PRIORIZADOS!$A:$M,13,FALSE)),"")</f>
        <v>45776</v>
      </c>
      <c r="N2235" s="71">
        <f>IFERROR(IF(VLOOKUP(A2235,[14]PRIORIZADOS!$A:$N,14,FALSE)="","",VLOOKUP(A2235,[14]PRIORIZADOS!$A:$N,14,FALSE)),"")</f>
        <v>45790</v>
      </c>
      <c r="O2235" s="71">
        <f>IFERROR(IF(VLOOKUP(A2235,[14]PRIORIZADOS!$A:$O,15,FALSE)="","",VLOOKUP(A2235,[14]PRIORIZADOS!$A:$O,15,FALSE)),"")</f>
        <v>45790</v>
      </c>
      <c r="P2235" s="11" t="str">
        <f>IFERROR(IF(VLOOKUP(A2235,[14]PRIORIZADOS!$A:$P,16,FALSE)="","",VLOOKUP(A2235,[14]PRIORIZADOS!$A:$P,16,FALSE)),"")</f>
        <v>Visitas de evaluación con fines de seguimiento</v>
      </c>
      <c r="Q2235" s="38" t="s">
        <v>455</v>
      </c>
      <c r="R2235" s="11" t="str">
        <f>IFERROR(IF(VLOOKUP(A2235,[14]PRIORIZADOS!$A:$R,18,FALSE)="","",VLOOKUP(A2235,[14]PRIORIZADOS!$A:$R,18,FALSE)),"")</f>
        <v>Se evidencio que la instittución ha diligenciado el aplicativo EVI, sin embargo al momento de la visita no presentan las planillas de pago de salud, pensión y parafiscales, por lo cual se realiza requerimiento de las mismas para el plan de mejoramiento, así como los contratos de los docentes</v>
      </c>
      <c r="S2235" s="11" t="str">
        <f>IFERROR(IF(VLOOKUP(A2235,[14]PRIORIZADOS!$A:$S,19,FALSE)="","",VLOOKUP(A2235,[14]PRIORIZADOS!$A:$S,19,FALSE)),"")</f>
        <v>Realizar la revisión de la normatividad relacionada con las tarifas  Aportar en el plan de mejormiento las planillas de aportes y contratoa laborales de los docentes</v>
      </c>
      <c r="T2235" s="70" t="str">
        <f>IFERROR(IF(VLOOKUP(A2235,[14]PRIORIZADOS!$A:$T,20,FALSE)="","",VLOOKUP(A2235,[14]PRIORIZADOS!$A:$T,20,FALSE)),"")</f>
        <v>Si</v>
      </c>
      <c r="U2235" s="11" t="str">
        <f>IFERROR(IF(VLOOKUP(A2235,[14]PRIORIZADOS!$A:$U,21,FALSE)="","",VLOOKUP(A2235,[14]PRIORIZADOS!$A:$U,21,FALSE)),"")</f>
        <v xml:space="preserve">Verificar planillas  de pago del 2025 y la certificación publicada en el aplicativo EVI para la vigencia 2026. </v>
      </c>
    </row>
    <row r="2236" spans="1:21" s="1" customFormat="1" ht="60">
      <c r="A2236" s="69">
        <f>IF([14]PRIORIZADOS!A283="","",[14]PRIORIZADOS!A283)</f>
        <v>2204</v>
      </c>
      <c r="B2236" s="70">
        <f>IFERROR(IF(VLOOKUP(A2236,[14]PRIORIZADOS!$A:$B,2,FALSE)="","",VLOOKUP(A2236,[14]PRIORIZADOS!$A:$B,2,FALSE)),"")</f>
        <v>31</v>
      </c>
      <c r="C2236" s="11" t="s">
        <v>424</v>
      </c>
      <c r="D2236" s="11" t="str">
        <f>IFERROR(IF(VLOOKUP(A2236,[14]PRIORIZADOS!$A:$D,4,FALSE)="","",VLOOKUP(A2236,[14]PRIORIZADOS!$A:$D,4,FALSE)),"")</f>
        <v>PRIVADO</v>
      </c>
      <c r="E2236" s="11" t="str">
        <f>IFERROR(IF(VLOOKUP(A2236,[14]PRIORIZADOS!$A:$E,5,FALSE)="","",VLOOKUP(A2236,[14]PRIORIZADOS!$A:$E,5,FALSE)),"")</f>
        <v>EPBM</v>
      </c>
      <c r="F2236" s="11" t="str">
        <f>IFERROR(IF(VLOOKUP(A2236,[14]PRIORIZADOS!$A:$F,6,FALSE)="","",VLOOKUP(A2236,[14]PRIORIZADOS!$A:$F,6,FALSE)),"")</f>
        <v>INSTITUTO_PSICOPEDAGOGICO_ROSAL_DE_SUBA</v>
      </c>
      <c r="G2236" s="11" t="str">
        <f>IFERROR(IF(VLOOKUP(A2236,[14]PRIORIZADOS!$A:$G,7,FALSE)="","",VLOOKUP(A2236,[14]PRIORIZADOS!$A:$G,7,FALSE)),"")</f>
        <v>INSTITUTO PSICOPEDAGOGICO ROSAL DE SUBA</v>
      </c>
      <c r="H2236" s="11" t="str">
        <f>IFERROR(IF(VLOOKUP(A2236,[14]PRIORIZADOS!$A:$H,8,FALSE)="","",VLOOKUP(A2236,[14]PRIORIZADOS!$A:$H,8,FALSE)),"")</f>
        <v>Autoevaluación Institucional y Pruebas SABER 11</v>
      </c>
      <c r="I2236" s="11" t="str">
        <f>IFERROR(IF(VLOOKUP(A2236,[14]PRIORIZADOS!$A:$I,9,FALSE)="","",VLOOKUP(A2236,[14]PRIORIZADOS!$A:$I,9,FALSE)),"")</f>
        <v>SEGUIMIENTO_Y_SUPERVISIÓN.</v>
      </c>
      <c r="J2236" s="11" t="str">
        <f>IFERROR(IF(VLOOKUP(A2236,[14]PRIORIZADOS!$A:$J,10,FALSE)="","",VLOOKUP(A2236,[14]PRIORIZADOS!$A:$J,10,FALSE)),"")</f>
        <v>Proponer estrategias en la formulación, verificar su elaboración y realizar seguimiento semestral al desarrollo de  las acciones establecidas en los planes de mejoramiento por pruebas SABER 11 de los establecimientos de educación formal.</v>
      </c>
      <c r="K2236" s="11" t="str">
        <f>IFERROR(IF(VLOOKUP(A2236,[14]PRIORIZADOS!$A:$K,11,FALSE)="","",VLOOKUP(A2236,[14]PRIORIZADOS!$A:$K,11,FALSE)),"")</f>
        <v>SANDRA OLINDA GONZÁLEZ REYES</v>
      </c>
      <c r="L2236" s="11" t="str">
        <f>IFERROR(IF(VLOOKUP(A2236,[14]PRIORIZADOS!$A:$L,12,FALSE)="","",VLOOKUP(A2236,[14]PRIORIZADOS!$A:$L,12,FALSE)),"")</f>
        <v>DANIEL ALEJANDRO GRANOBLES</v>
      </c>
      <c r="M2236" s="71">
        <f>IFERROR(IF(VLOOKUP(A2236,[14]PRIORIZADOS!$A:$M,13,FALSE)="","",VLOOKUP(A2236,[14]PRIORIZADOS!$A:$M,13,FALSE)),"")</f>
        <v>45776</v>
      </c>
      <c r="N2236" s="71">
        <f>IFERROR(IF(VLOOKUP(A2236,[14]PRIORIZADOS!$A:$N,14,FALSE)="","",VLOOKUP(A2236,[14]PRIORIZADOS!$A:$N,14,FALSE)),"")</f>
        <v>45790</v>
      </c>
      <c r="O2236" s="71">
        <f>IFERROR(IF(VLOOKUP(A2236,[14]PRIORIZADOS!$A:$O,15,FALSE)="","",VLOOKUP(A2236,[14]PRIORIZADOS!$A:$O,15,FALSE)),"")</f>
        <v>45790</v>
      </c>
      <c r="P2236" s="11" t="str">
        <f>IFERROR(IF(VLOOKUP(A2236,[14]PRIORIZADOS!$A:$P,16,FALSE)="","",VLOOKUP(A2236,[14]PRIORIZADOS!$A:$P,16,FALSE)),"")</f>
        <v>Visitas de evaluación con fines de seguimiento</v>
      </c>
      <c r="Q2236" s="38" t="s">
        <v>455</v>
      </c>
      <c r="R2236" s="11" t="str">
        <f>IFERROR(IF(VLOOKUP(A2236,[14]PRIORIZADOS!$A:$R,18,FALSE)="","",VLOOKUP(A2236,[14]PRIORIZADOS!$A:$R,18,FALSE)),"")</f>
        <v>La institución educativa en el año 2023 obtuvo  clasificacion A , para el 2024 con puntaje de 273.08 tambien obtuvo calificación A con los mejores resultados en matemática e inglés</v>
      </c>
      <c r="S2236" s="11" t="str">
        <f>IFERROR(IF(VLOOKUP(A2236,[14]PRIORIZADOS!$A:$S,19,FALSE)="","",VLOOKUP(A2236,[14]PRIORIZADOS!$A:$S,19,FALSE)),"")</f>
        <v>Revisar los resultados y la relación con las asignaturas del plan de estudio. Elaborar plan de mejoramiento sobre todos los indicadores y remitirlo a la DLE antes del 30 de mayo</v>
      </c>
      <c r="T2236" s="70" t="str">
        <f>IFERROR(IF(VLOOKUP(A2236,[14]PRIORIZADOS!$A:$T,20,FALSE)="","",VLOOKUP(A2236,[14]PRIORIZADOS!$A:$T,20,FALSE)),"")</f>
        <v>Si</v>
      </c>
      <c r="U2236" s="11" t="str">
        <f>IFERROR(IF(VLOOKUP(A2236,[14]PRIORIZADOS!$A:$U,21,FALSE)="","",VLOOKUP(A2236,[14]PRIORIZADOS!$A:$U,21,FALSE)),"")</f>
        <v xml:space="preserve">Verificar el análisis los resultados y las acciones en las asignaturas que presentan puntajes más bajos </v>
      </c>
    </row>
    <row r="2237" spans="1:21" s="1" customFormat="1" ht="84">
      <c r="A2237" s="69">
        <f>IF([14]PRIORIZADOS!A284="","",[14]PRIORIZADOS!A284)</f>
        <v>2205</v>
      </c>
      <c r="B2237" s="70">
        <f>IFERROR(IF(VLOOKUP(A2237,[14]PRIORIZADOS!$A:$B,2,FALSE)="","",VLOOKUP(A2237,[14]PRIORIZADOS!$A:$B,2,FALSE)),"")</f>
        <v>31</v>
      </c>
      <c r="C2237" s="11" t="s">
        <v>424</v>
      </c>
      <c r="D2237" s="11" t="str">
        <f>IFERROR(IF(VLOOKUP(A2237,[14]PRIORIZADOS!$A:$D,4,FALSE)="","",VLOOKUP(A2237,[14]PRIORIZADOS!$A:$D,4,FALSE)),"")</f>
        <v>PRIVADO</v>
      </c>
      <c r="E2237" s="11" t="str">
        <f>IFERROR(IF(VLOOKUP(A2237,[14]PRIORIZADOS!$A:$E,5,FALSE)="","",VLOOKUP(A2237,[14]PRIORIZADOS!$A:$E,5,FALSE)),"")</f>
        <v>EPBM</v>
      </c>
      <c r="F2237" s="11" t="str">
        <f>IFERROR(IF(VLOOKUP(A2237,[14]PRIORIZADOS!$A:$F,6,FALSE)="","",VLOOKUP(A2237,[14]PRIORIZADOS!$A:$F,6,FALSE)),"")</f>
        <v>INSTITUTO_PSICOPEDAGOGICO_ROSAL_DE_SUBA</v>
      </c>
      <c r="G2237" s="11" t="str">
        <f>IFERROR(IF(VLOOKUP(A2237,[14]PRIORIZADOS!$A:$G,7,FALSE)="","",VLOOKUP(A2237,[14]PRIORIZADOS!$A:$G,7,FALSE)),"")</f>
        <v>INSTITUTO PSICOPEDAGOGICO ROSAL DE SUBA</v>
      </c>
      <c r="H2237" s="11" t="str">
        <f>IFERROR(IF(VLOOKUP(A2237,[14]PRIORIZADOS!$A:$H,8,FALSE)="","",VLOOKUP(A2237,[14]PRIORIZADOS!$A:$H,8,FALSE)),"")</f>
        <v>Autoevaluación Institucional y Pruebas SABER 11</v>
      </c>
      <c r="I2237" s="11" t="str">
        <f>IFERROR(IF(VLOOKUP(A2237,[14]PRIORIZADOS!$A:$I,9,FALSE)="","",VLOOKUP(A2237,[14]PRIORIZADOS!$A:$I,9,FALSE)),"")</f>
        <v>SEGUIMIENTO_Y_SUPERVISIÓN.</v>
      </c>
      <c r="J2237" s="11" t="str">
        <f>IFERROR(IF(VLOOKUP(A2237,[14]PRIORIZADOS!$A:$J,10,FALSE)="","",VLOOKUP(A2237,[14]PRIORIZADOS!$A:$J,10,FALSE)),"")</f>
        <v xml:space="preserve">Verificar la implementación por parte de los colegios, de acciones realizadas para la prevención y atención de las situaciones de convivencia en el entorno escolar, según lo establecido en la Directiva 01 de 2022 del MEN. </v>
      </c>
      <c r="K2237" s="11" t="str">
        <f>IFERROR(IF(VLOOKUP(A2237,[14]PRIORIZADOS!$A:$K,11,FALSE)="","",VLOOKUP(A2237,[14]PRIORIZADOS!$A:$K,11,FALSE)),"")</f>
        <v>SANDRA OLINDA GONZÁLEZ REYES</v>
      </c>
      <c r="L2237" s="11" t="str">
        <f>IFERROR(IF(VLOOKUP(A2237,[14]PRIORIZADOS!$A:$L,12,FALSE)="","",VLOOKUP(A2237,[14]PRIORIZADOS!$A:$L,12,FALSE)),"")</f>
        <v>DANIEL ALEJANDRO GRANOBLES</v>
      </c>
      <c r="M2237" s="71">
        <f>IFERROR(IF(VLOOKUP(A2237,[14]PRIORIZADOS!$A:$M,13,FALSE)="","",VLOOKUP(A2237,[14]PRIORIZADOS!$A:$M,13,FALSE)),"")</f>
        <v>45776</v>
      </c>
      <c r="N2237" s="71">
        <f>IFERROR(IF(VLOOKUP(A2237,[14]PRIORIZADOS!$A:$N,14,FALSE)="","",VLOOKUP(A2237,[14]PRIORIZADOS!$A:$N,14,FALSE)),"")</f>
        <v>45790</v>
      </c>
      <c r="O2237" s="71">
        <f>IFERROR(IF(VLOOKUP(A2237,[14]PRIORIZADOS!$A:$O,15,FALSE)="","",VLOOKUP(A2237,[14]PRIORIZADOS!$A:$O,15,FALSE)),"")</f>
        <v>45790</v>
      </c>
      <c r="P2237" s="11" t="str">
        <f>IFERROR(IF(VLOOKUP(A2237,[14]PRIORIZADOS!$A:$P,16,FALSE)="","",VLOOKUP(A2237,[14]PRIORIZADOS!$A:$P,16,FALSE)),"")</f>
        <v>Visitas de evaluación con fines de seguimiento</v>
      </c>
      <c r="Q2237" s="38" t="s">
        <v>455</v>
      </c>
      <c r="R2237" s="11" t="str">
        <f>IFERROR(IF(VLOOKUP(A2237,[14]PRIORIZADOS!$A:$R,18,FALSE)="","",VLOOKUP(A2237,[14]PRIORIZADOS!$A:$R,18,FALSE)),"")</f>
        <v>Se verificaron las consulta en la página de la policia de los antecedentes de delitos sexuales en las hojas de vida de los docentes de conformidad a la directiva  001 del 2022 y no se encontró dicha consulta. no se han presentado situaciones de convivencia II o III</v>
      </c>
      <c r="S2237" s="11" t="str">
        <f>IFERROR(IF(VLOOKUP(A2237,[14]PRIORIZADOS!$A:$S,19,FALSE)="","",VLOOKUP(A2237,[14]PRIORIZADOS!$A:$S,19,FALSE)),"")</f>
        <v>Realizar las consultas en la página de la Policía de todos los funcionarios de la institución y anexarla a la hoja de vida.  Elaborar plan de mejoramiento sobre todos los indicadores y remitirlo a la DLE antes del 30 de mayo</v>
      </c>
      <c r="T2237" s="70" t="str">
        <f>IFERROR(IF(VLOOKUP(A2237,[14]PRIORIZADOS!$A:$T,20,FALSE)="","",VLOOKUP(A2237,[14]PRIORIZADOS!$A:$T,20,FALSE)),"")</f>
        <v>si</v>
      </c>
      <c r="U2237" s="11" t="str">
        <f>IFERROR(IF(VLOOKUP(A2237,[14]PRIORIZADOS!$A:$U,21,FALSE)="","",VLOOKUP(A2237,[14]PRIORIZADOS!$A:$U,21,FALSE)),"")</f>
        <v>Verificar las consultas de antecedentes de los empledos y remitirlas en el plan de mejoramiento</v>
      </c>
    </row>
    <row r="2238" spans="1:21" s="1" customFormat="1" ht="142.5">
      <c r="A2238" s="69">
        <f>IF([14]PRIORIZADOS!A285="","",[14]PRIORIZADOS!A285)</f>
        <v>2206</v>
      </c>
      <c r="B2238" s="70">
        <f>IFERROR(IF(VLOOKUP(A2238,[14]PRIORIZADOS!$A:$B,2,FALSE)="","",VLOOKUP(A2238,[14]PRIORIZADOS!$A:$B,2,FALSE)),"")</f>
        <v>31</v>
      </c>
      <c r="C2238" s="11" t="s">
        <v>424</v>
      </c>
      <c r="D2238" s="11" t="str">
        <f>IFERROR(IF(VLOOKUP(A2238,[14]PRIORIZADOS!$A:$D,4,FALSE)="","",VLOOKUP(A2238,[14]PRIORIZADOS!$A:$D,4,FALSE)),"")</f>
        <v>PRIVADO</v>
      </c>
      <c r="E2238" s="11" t="str">
        <f>IFERROR(IF(VLOOKUP(A2238,[14]PRIORIZADOS!$A:$E,5,FALSE)="","",VLOOKUP(A2238,[14]PRIORIZADOS!$A:$E,5,FALSE)),"")</f>
        <v>EPBM</v>
      </c>
      <c r="F2238" s="11" t="str">
        <f>IFERROR(IF(VLOOKUP(A2238,[14]PRIORIZADOS!$A:$F,6,FALSE)="","",VLOOKUP(A2238,[14]PRIORIZADOS!$A:$F,6,FALSE)),"")</f>
        <v>INSTITUTO_PSICOPEDAGOGICO_ROSAL_DE_SUBA</v>
      </c>
      <c r="G2238" s="11" t="str">
        <f>IFERROR(IF(VLOOKUP(A2238,[14]PRIORIZADOS!$A:$G,7,FALSE)="","",VLOOKUP(A2238,[14]PRIORIZADOS!$A:$G,7,FALSE)),"")</f>
        <v>INSTITUTO PSICOPEDAGOGICO ROSAL DE SUBA</v>
      </c>
      <c r="H2238" s="11" t="str">
        <f>IFERROR(IF(VLOOKUP(A2238,[14]PRIORIZADOS!$A:$H,8,FALSE)="","",VLOOKUP(A2238,[14]PRIORIZADOS!$A:$H,8,FALSE)),"")</f>
        <v>Autoevaluación Institucional y Pruebas SABER 11</v>
      </c>
      <c r="I2238" s="11" t="str">
        <f>IFERROR(IF(VLOOKUP(A2238,[14]PRIORIZADOS!$A:$I,9,FALSE)="","",VLOOKUP(A2238,[14]PRIORIZADOS!$A:$I,9,FALSE)),"")</f>
        <v>SEGUIMIENTO_Y_SUPERVISIÓN.</v>
      </c>
      <c r="J2238" s="11" t="str">
        <f>IFERROR(IF(VLOOKUP(A2238,[14]PRIORIZADOS!$A:$J,10,FALSE)="","",VLOOKUP(A2238,[14]PRIORIZADOS!$A:$J,10,FALSE)),"")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38" s="11" t="str">
        <f>IFERROR(IF(VLOOKUP(A2238,[14]PRIORIZADOS!$A:$K,11,FALSE)="","",VLOOKUP(A2238,[14]PRIORIZADOS!$A:$K,11,FALSE)),"")</f>
        <v>SANDRA OLINDA GONZÁLEZ REYES</v>
      </c>
      <c r="L2238" s="11" t="str">
        <f>IFERROR(IF(VLOOKUP(A2238,[14]PRIORIZADOS!$A:$L,12,FALSE)="","",VLOOKUP(A2238,[14]PRIORIZADOS!$A:$L,12,FALSE)),"")</f>
        <v>DANIEL ALEJANDRO GRANOBLES</v>
      </c>
      <c r="M2238" s="71">
        <f>IFERROR(IF(VLOOKUP(A2238,[14]PRIORIZADOS!$A:$M,13,FALSE)="","",VLOOKUP(A2238,[14]PRIORIZADOS!$A:$M,13,FALSE)),"")</f>
        <v>45776</v>
      </c>
      <c r="N2238" s="71">
        <f>IFERROR(IF(VLOOKUP(A2238,[14]PRIORIZADOS!$A:$N,14,FALSE)="","",VLOOKUP(A2238,[14]PRIORIZADOS!$A:$N,14,FALSE)),"")</f>
        <v>45790</v>
      </c>
      <c r="O2238" s="71">
        <f>IFERROR(IF(VLOOKUP(A2238,[14]PRIORIZADOS!$A:$O,15,FALSE)="","",VLOOKUP(A2238,[14]PRIORIZADOS!$A:$O,15,FALSE)),"")</f>
        <v>45790</v>
      </c>
      <c r="P2238" s="11" t="str">
        <f>IFERROR(IF(VLOOKUP(A2238,[14]PRIORIZADOS!$A:$P,16,FALSE)="","",VLOOKUP(A2238,[14]PRIORIZADOS!$A:$P,16,FALSE)),"")</f>
        <v>Visitas de evaluación con fines de seguimiento</v>
      </c>
      <c r="Q2238" s="38" t="s">
        <v>455</v>
      </c>
      <c r="R2238" s="11" t="str">
        <f>IFERROR(IF(VLOOKUP(A2238,[14]PRIORIZADOS!$A:$R,18,FALSE)="","",VLOOKUP(A2238,[14]PRIORIZADOS!$A:$R,18,FALSE)),"")</f>
        <v>Se realizó consulta en el SIMAT encontrándose 3 estudiantes de inlusión, sin embago al momento de la visita la rectora informa que no se han realizado PIAR</v>
      </c>
      <c r="S2238" s="11" t="str">
        <f>IFERROR(IF(VLOOKUP(A2238,[14]PRIORIZADOS!$A:$S,19,FALSE)="","",VLOOKUP(A2238,[14]PRIORIZADOS!$A:$S,19,FALSE)),"")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 Debe elaborar el PIAR de los estudiantes con discapacidad que tiene. Elaborar plan de mejoramiento sobre todos los indicadores y remitirlo a la DLE antes del 30 de mayo</v>
      </c>
      <c r="T2238" s="70" t="str">
        <f>IFERROR(IF(VLOOKUP(A2238,[14]PRIORIZADOS!$A:$T,20,FALSE)="","",VLOOKUP(A2238,[14]PRIORIZADOS!$A:$T,20,FALSE)),"")</f>
        <v>Si</v>
      </c>
      <c r="U2238" s="11" t="str">
        <f>IFERROR(IF(VLOOKUP(A2238,[14]PRIORIZADOS!$A:$U,21,FALSE)="","",VLOOKUP(A2238,[14]PRIORIZADOS!$A:$U,21,FALSE)),"")</f>
        <v>Verificar los PIAR elaborados a los estudiantes con discapacidad y asi como las modificaciones en manual de convivencia respecto a la poblacion con discapacidad.con fecha límite el 31 de julio.</v>
      </c>
    </row>
    <row r="2239" spans="1:21" s="1" customFormat="1" ht="84">
      <c r="A2239" s="69">
        <f>IF([14]PRIORIZADOS!A286="","",[14]PRIORIZADOS!A286)</f>
        <v>2207</v>
      </c>
      <c r="B2239" s="70">
        <f>IFERROR(IF(VLOOKUP(A2239,[14]PRIORIZADOS!$A:$B,2,FALSE)="","",VLOOKUP(A2239,[14]PRIORIZADOS!$A:$B,2,FALSE)),"")</f>
        <v>31</v>
      </c>
      <c r="C2239" s="11" t="s">
        <v>424</v>
      </c>
      <c r="D2239" s="11" t="str">
        <f>IFERROR(IF(VLOOKUP(A2239,[14]PRIORIZADOS!$A:$D,4,FALSE)="","",VLOOKUP(A2239,[14]PRIORIZADOS!$A:$D,4,FALSE)),"")</f>
        <v>PRIVADO</v>
      </c>
      <c r="E2239" s="11" t="str">
        <f>IFERROR(IF(VLOOKUP(A2239,[14]PRIORIZADOS!$A:$E,5,FALSE)="","",VLOOKUP(A2239,[14]PRIORIZADOS!$A:$E,5,FALSE)),"")</f>
        <v>EPBM</v>
      </c>
      <c r="F2239" s="11" t="str">
        <f>IFERROR(IF(VLOOKUP(A2239,[14]PRIORIZADOS!$A:$F,6,FALSE)="","",VLOOKUP(A2239,[14]PRIORIZADOS!$A:$F,6,FALSE)),"")</f>
        <v>INSTITUTO_PSICOPEDAGOGICO_ROSAL_DE_SUBA</v>
      </c>
      <c r="G2239" s="11" t="str">
        <f>IFERROR(IF(VLOOKUP(A2239,[14]PRIORIZADOS!$A:$G,7,FALSE)="","",VLOOKUP(A2239,[14]PRIORIZADOS!$A:$G,7,FALSE)),"")</f>
        <v>INSTITUTO PSICOPEDAGOGICO ROSAL DE SUBA</v>
      </c>
      <c r="H2239" s="11" t="str">
        <f>IFERROR(IF(VLOOKUP(A2239,[14]PRIORIZADOS!$A:$H,8,FALSE)="","",VLOOKUP(A2239,[14]PRIORIZADOS!$A:$H,8,FALSE)),"")</f>
        <v>Autoevaluación Institucional y Pruebas SABER 11</v>
      </c>
      <c r="I2239" s="11" t="str">
        <f>IFERROR(IF(VLOOKUP(A2239,[14]PRIORIZADOS!$A:$I,9,FALSE)="","",VLOOKUP(A2239,[14]PRIORIZADOS!$A:$I,9,FALSE)),"")</f>
        <v>EVALUACIÓN_CON_FINES_DE_MEJORAMIENTO.</v>
      </c>
      <c r="J2239" s="11" t="str">
        <f>IFERROR(IF(VLOOKUP(A2239,[14]PRIORIZADOS!$A:$J,10,FALSE)="","",VLOOKUP(A2239,[14]PRIORIZADOS!$A:$J,10,FALSE)),"")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39" s="11" t="str">
        <f>IFERROR(IF(VLOOKUP(A2239,[14]PRIORIZADOS!$A:$K,11,FALSE)="","",VLOOKUP(A2239,[14]PRIORIZADOS!$A:$K,11,FALSE)),"")</f>
        <v>SANDRA OLINDA GONZÁLEZ REYES</v>
      </c>
      <c r="L2239" s="11" t="str">
        <f>IFERROR(IF(VLOOKUP(A2239,[14]PRIORIZADOS!$A:$L,12,FALSE)="","",VLOOKUP(A2239,[14]PRIORIZADOS!$A:$L,12,FALSE)),"")</f>
        <v>DANIEL ALEJANDRO GRANOBLES</v>
      </c>
      <c r="M2239" s="71">
        <f>IFERROR(IF(VLOOKUP(A2239,[14]PRIORIZADOS!$A:$M,13,FALSE)="","",VLOOKUP(A2239,[14]PRIORIZADOS!$A:$M,13,FALSE)),"")</f>
        <v>45776</v>
      </c>
      <c r="N2239" s="71">
        <f>IFERROR(IF(VLOOKUP(A2239,[14]PRIORIZADOS!$A:$N,14,FALSE)="","",VLOOKUP(A2239,[14]PRIORIZADOS!$A:$N,14,FALSE)),"")</f>
        <v>45790</v>
      </c>
      <c r="O2239" s="71">
        <f>IFERROR(IF(VLOOKUP(A2239,[14]PRIORIZADOS!$A:$O,15,FALSE)="","",VLOOKUP(A2239,[14]PRIORIZADOS!$A:$O,15,FALSE)),"")</f>
        <v>45790</v>
      </c>
      <c r="P2239" s="11" t="str">
        <f>IFERROR(IF(VLOOKUP(A2239,[14]PRIORIZADOS!$A:$P,16,FALSE)="","",VLOOKUP(A2239,[14]PRIORIZADOS!$A:$P,16,FALSE)),"")</f>
        <v>Visitas de evaluación con fines de mejoramiento</v>
      </c>
      <c r="Q2239" s="38" t="s">
        <v>455</v>
      </c>
      <c r="R2239" s="11" t="str">
        <f>IFERROR(IF(VLOOKUP(A2239,[14]PRIORIZADOS!$A:$R,18,FALSE)="","",VLOOKUP(A2239,[14]PRIORIZADOS!$A:$R,18,FALSE)),"")</f>
        <v>Se encontro que al manual de convivencia no ha sido adoptado por parte del Consejo Directivo</v>
      </c>
      <c r="S2239" s="11" t="str">
        <f>IFERROR(IF(VLOOKUP(A2239,[14]PRIORIZADOS!$A:$S,19,FALSE)="","",VLOOKUP(A2239,[14]PRIORIZADOS!$A:$S,19,FALSE)),"")</f>
        <v xml:space="preserve">Actualizar el Manual de convivencia de forma participativa y conforme la establecido en la normatividad vigente. </v>
      </c>
      <c r="T2239" s="70" t="str">
        <f>IFERROR(IF(VLOOKUP(A2239,[14]PRIORIZADOS!$A:$T,20,FALSE)="","",VLOOKUP(A2239,[14]PRIORIZADOS!$A:$T,20,FALSE)),"")</f>
        <v>Si</v>
      </c>
      <c r="U2239" s="11" t="str">
        <f>IFERROR(IF(VLOOKUP(A2239,[14]PRIORIZADOS!$A:$U,21,FALSE)="","",VLOOKUP(A2239,[14]PRIORIZADOS!$A:$U,21,FALSE)),"")</f>
        <v>Revisar la actualización del manual de convivencia ccon fecha límite el 31 de julio</v>
      </c>
    </row>
    <row r="2240" spans="1:21" s="1" customFormat="1" ht="48">
      <c r="A2240" s="69">
        <f>IF([14]PRIORIZADOS!A287="","",[14]PRIORIZADOS!A287)</f>
        <v>2208</v>
      </c>
      <c r="B2240" s="70">
        <f>IFERROR(IF(VLOOKUP(A2240,[14]PRIORIZADOS!$A:$B,2,FALSE)="","",VLOOKUP(A2240,[14]PRIORIZADOS!$A:$B,2,FALSE)),"")</f>
        <v>31</v>
      </c>
      <c r="C2240" s="11" t="s">
        <v>424</v>
      </c>
      <c r="D2240" s="11" t="str">
        <f>IFERROR(IF(VLOOKUP(A2240,[14]PRIORIZADOS!$A:$D,4,FALSE)="","",VLOOKUP(A2240,[14]PRIORIZADOS!$A:$D,4,FALSE)),"")</f>
        <v>PRIVADO</v>
      </c>
      <c r="E2240" s="11" t="str">
        <f>IFERROR(IF(VLOOKUP(A2240,[14]PRIORIZADOS!$A:$E,5,FALSE)="","",VLOOKUP(A2240,[14]PRIORIZADOS!$A:$E,5,FALSE)),"")</f>
        <v>EPBM</v>
      </c>
      <c r="F2240" s="11" t="str">
        <f>IFERROR(IF(VLOOKUP(A2240,[14]PRIORIZADOS!$A:$F,6,FALSE)="","",VLOOKUP(A2240,[14]PRIORIZADOS!$A:$F,6,FALSE)),"")</f>
        <v>INSTITUTO_PSICOPEDAGOGICO_ROSAL_DE_SUBA</v>
      </c>
      <c r="G2240" s="11" t="str">
        <f>IFERROR(IF(VLOOKUP(A2240,[14]PRIORIZADOS!$A:$G,7,FALSE)="","",VLOOKUP(A2240,[14]PRIORIZADOS!$A:$G,7,FALSE)),"")</f>
        <v>INSTITUTO PSICOPEDAGOGICO ROSAL DE SUBA</v>
      </c>
      <c r="H2240" s="11" t="str">
        <f>IFERROR(IF(VLOOKUP(A2240,[14]PRIORIZADOS!$A:$H,8,FALSE)="","",VLOOKUP(A2240,[14]PRIORIZADOS!$A:$H,8,FALSE)),"")</f>
        <v>Autoevaluación Institucional y Pruebas SABER 11</v>
      </c>
      <c r="I2240" s="11" t="str">
        <f>IFERROR(IF(VLOOKUP(A2240,[14]PRIORIZADOS!$A:$I,9,FALSE)="","",VLOOKUP(A2240,[14]PRIORIZADOS!$A:$I,9,FALSE)),"")</f>
        <v>EVALUACIÓN_CON_FINES_DE_MEJORAMIENTO.</v>
      </c>
      <c r="J2240" s="11" t="str">
        <f>IFERROR(IF(VLOOKUP(A2240,[14]PRIORIZADOS!$A:$J,10,FALSE)="","",VLOOKUP(A2240,[14]PRIORIZADOS!$A:$J,10,FALSE)),"")</f>
        <v>Revisar la actualización, socialización e implementación del Sistema Institucional de Evaluación de Estudiantes - SIEE, en articulación con la actualización del PEI y la normatividad vigente.</v>
      </c>
      <c r="K2240" s="11" t="str">
        <f>IFERROR(IF(VLOOKUP(A2240,[14]PRIORIZADOS!$A:$K,11,FALSE)="","",VLOOKUP(A2240,[14]PRIORIZADOS!$A:$K,11,FALSE)),"")</f>
        <v>SANDRA OLINDA GONZÁLEZ REYES</v>
      </c>
      <c r="L2240" s="11" t="str">
        <f>IFERROR(IF(VLOOKUP(A2240,[14]PRIORIZADOS!$A:$L,12,FALSE)="","",VLOOKUP(A2240,[14]PRIORIZADOS!$A:$L,12,FALSE)),"")</f>
        <v>DANIEL ALEJANDRO GRANOBLES</v>
      </c>
      <c r="M2240" s="71">
        <f>IFERROR(IF(VLOOKUP(A2240,[14]PRIORIZADOS!$A:$M,13,FALSE)="","",VLOOKUP(A2240,[14]PRIORIZADOS!$A:$M,13,FALSE)),"")</f>
        <v>45776</v>
      </c>
      <c r="N2240" s="71">
        <f>IFERROR(IF(VLOOKUP(A2240,[14]PRIORIZADOS!$A:$N,14,FALSE)="","",VLOOKUP(A2240,[14]PRIORIZADOS!$A:$N,14,FALSE)),"")</f>
        <v>45790</v>
      </c>
      <c r="O2240" s="71">
        <f>IFERROR(IF(VLOOKUP(A2240,[14]PRIORIZADOS!$A:$O,15,FALSE)="","",VLOOKUP(A2240,[14]PRIORIZADOS!$A:$O,15,FALSE)),"")</f>
        <v>45790</v>
      </c>
      <c r="P2240" s="11" t="str">
        <f>IFERROR(IF(VLOOKUP(A2240,[14]PRIORIZADOS!$A:$P,16,FALSE)="","",VLOOKUP(A2240,[14]PRIORIZADOS!$A:$P,16,FALSE)),"")</f>
        <v>Visitas de evaluación con fines de mejoramiento</v>
      </c>
      <c r="Q2240" s="38" t="s">
        <v>455</v>
      </c>
      <c r="R2240" s="11" t="str">
        <f>IFERROR(IF(VLOOKUP(A2240,[14]PRIORIZADOS!$A:$R,18,FALSE)="","",VLOOKUP(A2240,[14]PRIORIZADOS!$A:$R,18,FALSE)),"")</f>
        <v>Se realizó retroalimentación sobre  el SIEE, el cual no está en consonancia con el PEI.</v>
      </c>
      <c r="S2240" s="11" t="str">
        <f>IFERROR(IF(VLOOKUP(A2240,[14]PRIORIZADOS!$A:$S,19,FALSE)="","",VLOOKUP(A2240,[14]PRIORIZADOS!$A:$S,19,FALSE)),"")</f>
        <v>Realizar los ajustes de conformidad con las observaciones al SIIE realizada sen la visita</v>
      </c>
      <c r="T2240" s="70" t="str">
        <f>IFERROR(IF(VLOOKUP(A2240,[14]PRIORIZADOS!$A:$T,20,FALSE)="","",VLOOKUP(A2240,[14]PRIORIZADOS!$A:$T,20,FALSE)),"")</f>
        <v>Si</v>
      </c>
      <c r="U2240" s="11" t="str">
        <f>IFERROR(IF(VLOOKUP(A2240,[14]PRIORIZADOS!$A:$U,21,FALSE)="","",VLOOKUP(A2240,[14]PRIORIZADOS!$A:$U,21,FALSE)),"")</f>
        <v>Revisar la actualización del manual de convivencia en lo relacionado con el  SIIE con fecha límite el 31 de julio</v>
      </c>
    </row>
    <row r="2241" spans="1:21" s="1" customFormat="1" ht="48">
      <c r="A2241" s="69">
        <f>IF([14]PRIORIZADOS!A288="","",[14]PRIORIZADOS!A288)</f>
        <v>2209</v>
      </c>
      <c r="B2241" s="70">
        <f>IFERROR(IF(VLOOKUP(A2241,[14]PRIORIZADOS!$A:$B,2,FALSE)="","",VLOOKUP(A2241,[14]PRIORIZADOS!$A:$B,2,FALSE)),"")</f>
        <v>31</v>
      </c>
      <c r="C2241" s="11" t="s">
        <v>424</v>
      </c>
      <c r="D2241" s="11" t="str">
        <f>IFERROR(IF(VLOOKUP(A2241,[14]PRIORIZADOS!$A:$D,4,FALSE)="","",VLOOKUP(A2241,[14]PRIORIZADOS!$A:$D,4,FALSE)),"")</f>
        <v>PRIVADO</v>
      </c>
      <c r="E2241" s="11" t="str">
        <f>IFERROR(IF(VLOOKUP(A2241,[14]PRIORIZADOS!$A:$E,5,FALSE)="","",VLOOKUP(A2241,[14]PRIORIZADOS!$A:$E,5,FALSE)),"")</f>
        <v>EPBM</v>
      </c>
      <c r="F2241" s="11" t="str">
        <f>IFERROR(IF(VLOOKUP(A2241,[14]PRIORIZADOS!$A:$F,6,FALSE)="","",VLOOKUP(A2241,[14]PRIORIZADOS!$A:$F,6,FALSE)),"")</f>
        <v>INSTITUTO_PSICOPEDAGOGICO_ROSAL_DE_SUBA</v>
      </c>
      <c r="G2241" s="11" t="str">
        <f>IFERROR(IF(VLOOKUP(A2241,[14]PRIORIZADOS!$A:$G,7,FALSE)="","",VLOOKUP(A2241,[14]PRIORIZADOS!$A:$G,7,FALSE)),"")</f>
        <v>INSTITUTO PSICOPEDAGOGICO ROSAL DE SUBA</v>
      </c>
      <c r="H2241" s="11" t="str">
        <f>IFERROR(IF(VLOOKUP(A2241,[14]PRIORIZADOS!$A:$H,8,FALSE)="","",VLOOKUP(A2241,[14]PRIORIZADOS!$A:$H,8,FALSE)),"")</f>
        <v>Autoevaluación Institucional y Pruebas SABER 11</v>
      </c>
      <c r="I2241" s="11" t="str">
        <f>IFERROR(IF(VLOOKUP(A2241,[14]PRIORIZADOS!$A:$I,9,FALSE)="","",VLOOKUP(A2241,[14]PRIORIZADOS!$A:$I,9,FALSE)),"")</f>
        <v>EVALUACIÓN_CON_FINES_DE_MEJORAMIENTO.</v>
      </c>
      <c r="J2241" s="11" t="str">
        <f>IFERROR(IF(VLOOKUP(A2241,[14]PRIORIZADOS!$A:$J,10,FALSE)="","",VLOOKUP(A2241,[14]PRIORIZADOS!$A:$J,10,FALSE)),"")</f>
        <v>Revisar el calendario escolar, jornada escolar, la intensidad horaria mínima anual en cada nivel y las modificaciones que se realicen al mismo, de acuerdo con lo previsto en la normatividad vigente.</v>
      </c>
      <c r="K2241" s="11" t="str">
        <f>IFERROR(IF(VLOOKUP(A2241,[14]PRIORIZADOS!$A:$K,11,FALSE)="","",VLOOKUP(A2241,[14]PRIORIZADOS!$A:$K,11,FALSE)),"")</f>
        <v>SANDRA OLINDA GONZÁLEZ REYES</v>
      </c>
      <c r="L2241" s="11" t="str">
        <f>IFERROR(IF(VLOOKUP(A2241,[14]PRIORIZADOS!$A:$L,12,FALSE)="","",VLOOKUP(A2241,[14]PRIORIZADOS!$A:$L,12,FALSE)),"")</f>
        <v>DANIEL ALEJANDRO GRANOBLES</v>
      </c>
      <c r="M2241" s="71">
        <f>IFERROR(IF(VLOOKUP(A2241,[14]PRIORIZADOS!$A:$M,13,FALSE)="","",VLOOKUP(A2241,[14]PRIORIZADOS!$A:$M,13,FALSE)),"")</f>
        <v>45776</v>
      </c>
      <c r="N2241" s="71">
        <f>IFERROR(IF(VLOOKUP(A2241,[14]PRIORIZADOS!$A:$N,14,FALSE)="","",VLOOKUP(A2241,[14]PRIORIZADOS!$A:$N,14,FALSE)),"")</f>
        <v>45790</v>
      </c>
      <c r="O2241" s="71">
        <f>IFERROR(IF(VLOOKUP(A2241,[14]PRIORIZADOS!$A:$O,15,FALSE)="","",VLOOKUP(A2241,[14]PRIORIZADOS!$A:$O,15,FALSE)),"")</f>
        <v>45790</v>
      </c>
      <c r="P2241" s="11" t="str">
        <f>IFERROR(IF(VLOOKUP(A2241,[14]PRIORIZADOS!$A:$P,16,FALSE)="","",VLOOKUP(A2241,[14]PRIORIZADOS!$A:$P,16,FALSE)),"")</f>
        <v>Visitas de evaluación con fines de mejoramiento</v>
      </c>
      <c r="Q2241" s="38" t="s">
        <v>455</v>
      </c>
      <c r="R2241" s="11" t="str">
        <f>IFERROR(IF(VLOOKUP(A2241,[14]PRIORIZADOS!$A:$R,18,FALSE)="","",VLOOKUP(A2241,[14]PRIORIZADOS!$A:$R,18,FALSE)),"")</f>
        <v>La intensidad horaria y las horas mínimas anuales de cada ciclo se ajustan para los ciclos de preescolar, básica y media</v>
      </c>
      <c r="S2241" s="11" t="str">
        <f>IFERROR(IF(VLOOKUP(A2241,[14]PRIORIZADOS!$A:$S,19,FALSE)="","",VLOOKUP(A2241,[14]PRIORIZADOS!$A:$S,19,FALSE)),"")</f>
        <v>Cumplie el calendario académico</v>
      </c>
      <c r="T2241" s="70" t="str">
        <f>IFERROR(IF(VLOOKUP(A2241,[14]PRIORIZADOS!$A:$T,20,FALSE)="","",VLOOKUP(A2241,[14]PRIORIZADOS!$A:$T,20,FALSE)),"")</f>
        <v>No</v>
      </c>
      <c r="U2241" s="11" t="str">
        <f>IFERROR(IF(VLOOKUP(A2241,[14]PRIORIZADOS!$A:$U,21,FALSE)="","",VLOOKUP(A2241,[14]PRIORIZADOS!$A:$U,21,FALSE)),"")</f>
        <v>Continuar con el cumplimiento del calendario</v>
      </c>
    </row>
    <row r="2242" spans="1:21" s="1" customFormat="1" ht="72">
      <c r="A2242" s="69">
        <f>IF([14]PRIORIZADOS!A289="","",[14]PRIORIZADOS!A289)</f>
        <v>2210</v>
      </c>
      <c r="B2242" s="70">
        <f>IFERROR(IF(VLOOKUP(A2242,[14]PRIORIZADOS!$A:$B,2,FALSE)="","",VLOOKUP(A2242,[14]PRIORIZADOS!$A:$B,2,FALSE)),"")</f>
        <v>31</v>
      </c>
      <c r="C2242" s="11" t="s">
        <v>424</v>
      </c>
      <c r="D2242" s="11" t="str">
        <f>IFERROR(IF(VLOOKUP(A2242,[14]PRIORIZADOS!$A:$D,4,FALSE)="","",VLOOKUP(A2242,[14]PRIORIZADOS!$A:$D,4,FALSE)),"")</f>
        <v>PRIVADO</v>
      </c>
      <c r="E2242" s="11" t="str">
        <f>IFERROR(IF(VLOOKUP(A2242,[14]PRIORIZADOS!$A:$E,5,FALSE)="","",VLOOKUP(A2242,[14]PRIORIZADOS!$A:$E,5,FALSE)),"")</f>
        <v>EPBM</v>
      </c>
      <c r="F2242" s="11" t="str">
        <f>IFERROR(IF(VLOOKUP(A2242,[14]PRIORIZADOS!$A:$F,6,FALSE)="","",VLOOKUP(A2242,[14]PRIORIZADOS!$A:$F,6,FALSE)),"")</f>
        <v>INSTITUTO_PSICOPEDAGOGICO_ROSAL_DE_SUBA</v>
      </c>
      <c r="G2242" s="11" t="str">
        <f>IFERROR(IF(VLOOKUP(A2242,[14]PRIORIZADOS!$A:$G,7,FALSE)="","",VLOOKUP(A2242,[14]PRIORIZADOS!$A:$G,7,FALSE)),"")</f>
        <v>INSTITUTO PSICOPEDAGOGICO ROSAL DE SUBA</v>
      </c>
      <c r="H2242" s="11" t="str">
        <f>IFERROR(IF(VLOOKUP(A2242,[14]PRIORIZADOS!$A:$H,8,FALSE)="","",VLOOKUP(A2242,[14]PRIORIZADOS!$A:$H,8,FALSE)),"")</f>
        <v>Autoevaluación Institucional y Pruebas SABER 11</v>
      </c>
      <c r="I2242" s="11" t="str">
        <f>IFERROR(IF(VLOOKUP(A2242,[14]PRIORIZADOS!$A:$I,9,FALSE)="","",VLOOKUP(A2242,[14]PRIORIZADOS!$A:$I,9,FALSE)),"")</f>
        <v>EVALUACIÓN_CON_FINES_DE_MEJORAMIENTO.</v>
      </c>
      <c r="J2242" s="11" t="str">
        <f>IFERROR(IF(VLOOKUP(A2242,[14]PRIORIZADOS!$A:$J,10,FALSE)="","",VLOOKUP(A2242,[14]PRIORIZADOS!$A:$J,10,FALSE)),"")</f>
        <v>Verificar el funcionamiento del Gobierno Escolar e instancias de participación con base en la información sobre conformación reportada por la institución educativa.</v>
      </c>
      <c r="K2242" s="11" t="str">
        <f>IFERROR(IF(VLOOKUP(A2242,[14]PRIORIZADOS!$A:$K,11,FALSE)="","",VLOOKUP(A2242,[14]PRIORIZADOS!$A:$K,11,FALSE)),"")</f>
        <v>SANDRA OLINDA GONZÁLEZ REYES</v>
      </c>
      <c r="L2242" s="11" t="str">
        <f>IFERROR(IF(VLOOKUP(A2242,[14]PRIORIZADOS!$A:$L,12,FALSE)="","",VLOOKUP(A2242,[14]PRIORIZADOS!$A:$L,12,FALSE)),"")</f>
        <v>DANIEL ALEJANDRO GRANOBLES</v>
      </c>
      <c r="M2242" s="71">
        <f>IFERROR(IF(VLOOKUP(A2242,[14]PRIORIZADOS!$A:$M,13,FALSE)="","",VLOOKUP(A2242,[14]PRIORIZADOS!$A:$M,13,FALSE)),"")</f>
        <v>45776</v>
      </c>
      <c r="N2242" s="71">
        <f>IFERROR(IF(VLOOKUP(A2242,[14]PRIORIZADOS!$A:$N,14,FALSE)="","",VLOOKUP(A2242,[14]PRIORIZADOS!$A:$N,14,FALSE)),"")</f>
        <v>45790</v>
      </c>
      <c r="O2242" s="71">
        <f>IFERROR(IF(VLOOKUP(A2242,[14]PRIORIZADOS!$A:$O,15,FALSE)="","",VLOOKUP(A2242,[14]PRIORIZADOS!$A:$O,15,FALSE)),"")</f>
        <v>45790</v>
      </c>
      <c r="P2242" s="11" t="str">
        <f>IFERROR(IF(VLOOKUP(A2242,[14]PRIORIZADOS!$A:$P,16,FALSE)="","",VLOOKUP(A2242,[14]PRIORIZADOS!$A:$P,16,FALSE)),"")</f>
        <v>Visitas de evaluación con fines de mejoramiento</v>
      </c>
      <c r="Q2242" s="38" t="s">
        <v>455</v>
      </c>
      <c r="R2242" s="11" t="str">
        <f>IFERROR(IF(VLOOKUP(A2242,[14]PRIORIZADOS!$A:$R,18,FALSE)="","",VLOOKUP(A2242,[14]PRIORIZADOS!$A:$R,18,FALSE)),"")</f>
        <v>Se evidenciaron las actas de conformación de gobierno escolar, las cuales fueron cargardas en el SAE. Sobre el funcionamiento no hay evidencia de que hayan sesionado.</v>
      </c>
      <c r="S2242" s="11" t="str">
        <f>IFERROR(IF(VLOOKUP(A2242,[14]PRIORIZADOS!$A:$S,19,FALSE)="","",VLOOKUP(A2242,[14]PRIORIZADOS!$A:$S,19,FALSE)),"")</f>
        <v>Sesionar con cada órgano de gobierno de conformidad con la periodicidad establecida en la norma. Elaborar plan de mejoramiento con la programación de las reuniones  de los órganos de gobierno el 30 de mayo</v>
      </c>
      <c r="T2242" s="70" t="str">
        <f>IFERROR(IF(VLOOKUP(A2242,[14]PRIORIZADOS!$A:$T,20,FALSE)="","",VLOOKUP(A2242,[14]PRIORIZADOS!$A:$T,20,FALSE)),"")</f>
        <v>Si</v>
      </c>
      <c r="U2242" s="11" t="str">
        <f>IFERROR(IF(VLOOKUP(A2242,[14]PRIORIZADOS!$A:$U,21,FALSE)="","",VLOOKUP(A2242,[14]PRIORIZADOS!$A:$U,21,FALSE)),"")</f>
        <v>Verificar las actas que evidencien el funcionamiento de  los órganos de gobierno.</v>
      </c>
    </row>
    <row r="2243" spans="1:21" s="1" customFormat="1" ht="84">
      <c r="A2243" s="69">
        <f>IF([14]PRIORIZADOS!A290="","",[14]PRIORIZADOS!A290)</f>
        <v>2211</v>
      </c>
      <c r="B2243" s="70">
        <f>IFERROR(IF(VLOOKUP(A2243,[14]PRIORIZADOS!$A:$B,2,FALSE)="","",VLOOKUP(A2243,[14]PRIORIZADOS!$A:$B,2,FALSE)),"")</f>
        <v>31</v>
      </c>
      <c r="C2243" s="11" t="s">
        <v>424</v>
      </c>
      <c r="D2243" s="11" t="str">
        <f>IFERROR(IF(VLOOKUP(A2243,[14]PRIORIZADOS!$A:$D,4,FALSE)="","",VLOOKUP(A2243,[14]PRIORIZADOS!$A:$D,4,FALSE)),"")</f>
        <v>PRIVADO</v>
      </c>
      <c r="E2243" s="11" t="str">
        <f>IFERROR(IF(VLOOKUP(A2243,[14]PRIORIZADOS!$A:$E,5,FALSE)="","",VLOOKUP(A2243,[14]PRIORIZADOS!$A:$E,5,FALSE)),"")</f>
        <v>EPBM</v>
      </c>
      <c r="F2243" s="11" t="str">
        <f>IFERROR(IF(VLOOKUP(A2243,[14]PRIORIZADOS!$A:$F,6,FALSE)="","",VLOOKUP(A2243,[14]PRIORIZADOS!$A:$F,6,FALSE)),"")</f>
        <v>INSTITUTO_PSICOPEDAGOGICO_ROSAL_DE_SUBA</v>
      </c>
      <c r="G2243" s="11" t="str">
        <f>IFERROR(IF(VLOOKUP(A2243,[14]PRIORIZADOS!$A:$G,7,FALSE)="","",VLOOKUP(A2243,[14]PRIORIZADOS!$A:$G,7,FALSE)),"")</f>
        <v>INSTITUTO PSICOPEDAGOGICO ROSAL DE SUBA</v>
      </c>
      <c r="H2243" s="11" t="str">
        <f>IFERROR(IF(VLOOKUP(A2243,[14]PRIORIZADOS!$A:$H,8,FALSE)="","",VLOOKUP(A2243,[14]PRIORIZADOS!$A:$H,8,FALSE)),"")</f>
        <v>Autoevaluación Institucional y Pruebas SABER 11</v>
      </c>
      <c r="I2243" s="11" t="str">
        <f>IFERROR(IF(VLOOKUP(A2243,[14]PRIORIZADOS!$A:$I,9,FALSE)="","",VLOOKUP(A2243,[14]PRIORIZADOS!$A:$I,9,FALSE)),"")</f>
        <v>EVALUACIÓN_CON_FINES_DE_MEJORAMIENTO.</v>
      </c>
      <c r="J2243" s="11" t="str">
        <f>IFERROR(IF(VLOOKUP(A2243,[14]PRIORIZADOS!$A:$J,10,FALSE)="","",VLOOKUP(A2243,[14]PRIORIZADOS!$A:$J,10,FALSE)),"")</f>
        <v>Verificar las condiciones en cuanto a: la estructura administrativa, condiciones de la planta física y medios educativos adecuados.</v>
      </c>
      <c r="K2243" s="11" t="str">
        <f>IFERROR(IF(VLOOKUP(A2243,[14]PRIORIZADOS!$A:$K,11,FALSE)="","",VLOOKUP(A2243,[14]PRIORIZADOS!$A:$K,11,FALSE)),"")</f>
        <v>SANDRA OLINDA GONZÁLEZ REYES</v>
      </c>
      <c r="L2243" s="11" t="str">
        <f>IFERROR(IF(VLOOKUP(A2243,[14]PRIORIZADOS!$A:$L,12,FALSE)="","",VLOOKUP(A2243,[14]PRIORIZADOS!$A:$L,12,FALSE)),"")</f>
        <v>DANIEL ALEJANDRO GRANOBLES</v>
      </c>
      <c r="M2243" s="71">
        <f>IFERROR(IF(VLOOKUP(A2243,[14]PRIORIZADOS!$A:$M,13,FALSE)="","",VLOOKUP(A2243,[14]PRIORIZADOS!$A:$M,13,FALSE)),"")</f>
        <v>45776</v>
      </c>
      <c r="N2243" s="71">
        <f>IFERROR(IF(VLOOKUP(A2243,[14]PRIORIZADOS!$A:$N,14,FALSE)="","",VLOOKUP(A2243,[14]PRIORIZADOS!$A:$N,14,FALSE)),"")</f>
        <v>45790</v>
      </c>
      <c r="O2243" s="71">
        <f>IFERROR(IF(VLOOKUP(A2243,[14]PRIORIZADOS!$A:$O,15,FALSE)="","",VLOOKUP(A2243,[14]PRIORIZADOS!$A:$O,15,FALSE)),"")</f>
        <v>45790</v>
      </c>
      <c r="P2243" s="11" t="str">
        <f>IFERROR(IF(VLOOKUP(A2243,[14]PRIORIZADOS!$A:$P,16,FALSE)="","",VLOOKUP(A2243,[14]PRIORIZADOS!$A:$P,16,FALSE)),"")</f>
        <v>Visitas de evaluación con fines de mejoramiento</v>
      </c>
      <c r="Q2243" s="38" t="s">
        <v>455</v>
      </c>
      <c r="R2243" s="11" t="str">
        <f>IFERROR(IF(VLOOKUP(A2243,[14]PRIORIZADOS!$A:$R,18,FALSE)="","",VLOOKUP(A2243,[14]PRIORIZADOS!$A:$R,18,FALSE)),"")</f>
        <v xml:space="preserve">Existen espacios para los ambientes pedagógicos. Sin embargo, no existe biblioteca, área de recreación interna, hay espacios sin utilizar, se evidencian falta de organización y aseo. estan pendeintes por legalización de sede para preescolar y básica primaria </v>
      </c>
      <c r="S2243" s="11" t="str">
        <f>IFERROR(IF(VLOOKUP(A2243,[14]PRIORIZADOS!$A:$S,19,FALSE)="","",VLOOKUP(A2243,[14]PRIORIZADOS!$A:$S,19,FALSE)),"")</f>
        <v>Restructuración y reorganozación de espacios antes del 30 de mayo</v>
      </c>
      <c r="T2243" s="70" t="str">
        <f>IFERROR(IF(VLOOKUP(A2243,[14]PRIORIZADOS!$A:$T,20,FALSE)="","",VLOOKUP(A2243,[14]PRIORIZADOS!$A:$T,20,FALSE)),"")</f>
        <v>Si</v>
      </c>
      <c r="U2243" s="11" t="str">
        <f>IFERROR(IF(VLOOKUP(A2243,[14]PRIORIZADOS!$A:$U,21,FALSE)="","",VLOOKUP(A2243,[14]PRIORIZADOS!$A:$U,21,FALSE)),"")</f>
        <v>Enviar informe con registro fotograficos de los espacios.</v>
      </c>
    </row>
    <row r="2244" spans="1:21" s="1" customFormat="1" ht="36">
      <c r="A2244" s="69">
        <f>IF([14]PRIORIZADOS!A291="","",[14]PRIORIZADOS!A291)</f>
        <v>2212</v>
      </c>
      <c r="B2244" s="70">
        <f>IFERROR(IF(VLOOKUP(A2244,[14]PRIORIZADOS!$A:$B,2,FALSE)="","",VLOOKUP(A2244,[14]PRIORIZADOS!$A:$B,2,FALSE)),"")</f>
        <v>32</v>
      </c>
      <c r="C2244" s="11" t="s">
        <v>424</v>
      </c>
      <c r="D2244" s="11" t="str">
        <f>IFERROR(IF(VLOOKUP(A2244,[14]PRIORIZADOS!$A:$D,4,FALSE)="","",VLOOKUP(A2244,[14]PRIORIZADOS!$A:$D,4,FALSE)),"")</f>
        <v>PRIVADO</v>
      </c>
      <c r="E2244" s="11" t="str">
        <f>IFERROR(IF(VLOOKUP(A2244,[14]PRIORIZADOS!$A:$E,5,FALSE)="","",VLOOKUP(A2244,[14]PRIORIZADOS!$A:$E,5,FALSE)),"")</f>
        <v>EPBM</v>
      </c>
      <c r="F2244" s="11" t="str">
        <f>IFERROR(IF(VLOOKUP(A2244,[14]PRIORIZADOS!$A:$F,6,FALSE)="","",VLOOKUP(A2244,[14]PRIORIZADOS!$A:$F,6,FALSE)),"")</f>
        <v>LICEO_BET_EL</v>
      </c>
      <c r="G2244" s="11" t="str">
        <f>IFERROR(IF(VLOOKUP(A2244,[14]PRIORIZADOS!$A:$G,7,FALSE)="","",VLOOKUP(A2244,[14]PRIORIZADOS!$A:$G,7,FALSE)),"")</f>
        <v>LICEO BET-EL</v>
      </c>
      <c r="H2244" s="11" t="str">
        <f>IFERROR(IF(VLOOKUP(A2244,[14]PRIORIZADOS!$A:$H,8,FALSE)="","",VLOOKUP(A2244,[14]PRIORIZADOS!$A:$H,8,FALSE)),"")</f>
        <v>Autoevaluación Institucional y Pruebas SABER 11</v>
      </c>
      <c r="I2244" s="11" t="str">
        <f>IFERROR(IF(VLOOKUP(A2244,[14]PRIORIZADOS!$A:$I,9,FALSE)="","",VLOOKUP(A2244,[14]PRIORIZADOS!$A:$I,9,FALSE)),"")</f>
        <v>SEGUIMIENTO_Y_SUPERVISIÓN.</v>
      </c>
      <c r="J2244" s="11" t="str">
        <f>IFERROR(IF(VLOOKUP(A2244,[14]PRIORIZADOS!$A:$J,10,FALSE)="","",VLOOKUP(A2244,[14]PRIORIZADOS!$A:$J,10,FALSE)),"")</f>
        <v>Realizar visitas para verificar la información registrada sobre la autoevaluación institucional en el aplicativo EVI, a los establecimientos de educación formal no oficial.</v>
      </c>
      <c r="K2244" s="11" t="str">
        <f>IFERROR(IF(VLOOKUP(A2244,[14]PRIORIZADOS!$A:$K,11,FALSE)="","",VLOOKUP(A2244,[14]PRIORIZADOS!$A:$K,11,FALSE)),"")</f>
        <v>SANDRA OLINDA GONZÁLEZ REYES</v>
      </c>
      <c r="L2244" s="11" t="str">
        <f>IFERROR(IF(VLOOKUP(A2244,[14]PRIORIZADOS!$A:$L,12,FALSE)="","",VLOOKUP(A2244,[14]PRIORIZADOS!$A:$L,12,FALSE)),"")</f>
        <v>DANIEL ALEJANDRO GRANOBLES</v>
      </c>
      <c r="M2244" s="71">
        <f>IFERROR(IF(VLOOKUP(A2244,[14]PRIORIZADOS!$A:$M,13,FALSE)="","",VLOOKUP(A2244,[14]PRIORIZADOS!$A:$M,13,FALSE)),"")</f>
        <v>45790</v>
      </c>
      <c r="N2244" s="71">
        <f>IFERROR(IF(VLOOKUP(A2244,[14]PRIORIZADOS!$A:$N,14,FALSE)="","",VLOOKUP(A2244,[14]PRIORIZADOS!$A:$N,14,FALSE)),"")</f>
        <v>45807</v>
      </c>
      <c r="O2244" s="71">
        <f>IFERROR(IF(VLOOKUP(A2244,[14]PRIORIZADOS!$A:$O,15,FALSE)="","",VLOOKUP(A2244,[14]PRIORIZADOS!$A:$O,15,FALSE)),"")</f>
        <v>45807</v>
      </c>
      <c r="P2244" s="11" t="str">
        <f>IFERROR(IF(VLOOKUP(A2244,[14]PRIORIZADOS!$A:$P,16,FALSE)="","",VLOOKUP(A2244,[14]PRIORIZADOS!$A:$P,16,FALSE)),"")</f>
        <v>Visitas de evaluación con fines de seguimiento</v>
      </c>
      <c r="Q2244" s="7" t="s">
        <v>456</v>
      </c>
      <c r="R2244" s="11" t="str">
        <f>IFERROR(IF(VLOOKUP(A2244,[14]PRIORIZADOS!$A:$R,18,FALSE)="","",VLOOKUP(A2244,[14]PRIORIZADOS!$A:$R,18,FALSE)),"")</f>
        <v>Se evidencio que la instittución ha diligenciado el aplicativo EVI y cuenta con la resolución de Tarifas para 2025</v>
      </c>
      <c r="S2244" s="11" t="str">
        <f>IFERROR(IF(VLOOKUP(A2244,[14]PRIORIZADOS!$A:$S,19,FALSE)="","",VLOOKUP(A2244,[14]PRIORIZADOS!$A:$S,19,FALSE)),"")</f>
        <v>Continuar con el diligenciamiento  del aplicativo y la publicación de los documentos requeridos</v>
      </c>
      <c r="T2244" s="70" t="str">
        <f>IFERROR(IF(VLOOKUP(A2244,[14]PRIORIZADOS!$A:$T,20,FALSE)="","",VLOOKUP(A2244,[14]PRIORIZADOS!$A:$T,20,FALSE)),"")</f>
        <v>No</v>
      </c>
      <c r="U2244" s="11" t="str">
        <f>IFERROR(IF(VLOOKUP(A2244,[14]PRIORIZADOS!$A:$U,21,FALSE)="","",VLOOKUP(A2244,[14]PRIORIZADOS!$A:$U,21,FALSE)),"")</f>
        <v>Verificar a autoevaluación 2025 en el procedimiento para autorización de tarifas 2026.</v>
      </c>
    </row>
    <row r="2245" spans="1:21" s="1" customFormat="1" ht="84">
      <c r="A2245" s="69">
        <f>IF([14]PRIORIZADOS!A292="","",[14]PRIORIZADOS!A292)</f>
        <v>2213</v>
      </c>
      <c r="B2245" s="70">
        <f>IFERROR(IF(VLOOKUP(A2245,[14]PRIORIZADOS!$A:$B,2,FALSE)="","",VLOOKUP(A2245,[14]PRIORIZADOS!$A:$B,2,FALSE)),"")</f>
        <v>32</v>
      </c>
      <c r="C2245" s="11" t="s">
        <v>424</v>
      </c>
      <c r="D2245" s="11" t="str">
        <f>IFERROR(IF(VLOOKUP(A2245,[14]PRIORIZADOS!$A:$D,4,FALSE)="","",VLOOKUP(A2245,[14]PRIORIZADOS!$A:$D,4,FALSE)),"")</f>
        <v>PRIVADO</v>
      </c>
      <c r="E2245" s="11" t="str">
        <f>IFERROR(IF(VLOOKUP(A2245,[14]PRIORIZADOS!$A:$E,5,FALSE)="","",VLOOKUP(A2245,[14]PRIORIZADOS!$A:$E,5,FALSE)),"")</f>
        <v>EPBM</v>
      </c>
      <c r="F2245" s="11" t="str">
        <f>IFERROR(IF(VLOOKUP(A2245,[14]PRIORIZADOS!$A:$F,6,FALSE)="","",VLOOKUP(A2245,[14]PRIORIZADOS!$A:$F,6,FALSE)),"")</f>
        <v>LICEO_BET_EL</v>
      </c>
      <c r="G2245" s="11" t="str">
        <f>IFERROR(IF(VLOOKUP(A2245,[14]PRIORIZADOS!$A:$G,7,FALSE)="","",VLOOKUP(A2245,[14]PRIORIZADOS!$A:$G,7,FALSE)),"")</f>
        <v>LICEO BET-EL</v>
      </c>
      <c r="H2245" s="11" t="str">
        <f>IFERROR(IF(VLOOKUP(A2245,[14]PRIORIZADOS!$A:$H,8,FALSE)="","",VLOOKUP(A2245,[14]PRIORIZADOS!$A:$H,8,FALSE)),"")</f>
        <v>Autoevaluación Institucional y Pruebas SABER 11</v>
      </c>
      <c r="I2245" s="11" t="str">
        <f>IFERROR(IF(VLOOKUP(A2245,[14]PRIORIZADOS!$A:$I,9,FALSE)="","",VLOOKUP(A2245,[14]PRIORIZADOS!$A:$I,9,FALSE)),"")</f>
        <v>SEGUIMIENTO_Y_SUPERVISIÓN.</v>
      </c>
      <c r="J2245" s="11" t="str">
        <f>IFERROR(IF(VLOOKUP(A2245,[14]PRIORIZADOS!$A:$J,10,FALSE)="","",VLOOKUP(A2245,[14]PRIORIZADOS!$A:$J,10,FALSE)),"")</f>
        <v>Proponer estrategias en la formulación, verificar su elaboración y realizar seguimiento semestral al desarrollo de  las acciones establecidas en los planes de mejoramiento por pruebas SABER 11 de los establecimientos de educación formal.</v>
      </c>
      <c r="K2245" s="11" t="str">
        <f>IFERROR(IF(VLOOKUP(A2245,[14]PRIORIZADOS!$A:$K,11,FALSE)="","",VLOOKUP(A2245,[14]PRIORIZADOS!$A:$K,11,FALSE)),"")</f>
        <v>SANDRA OLINDA GONZÁLEZ REYES</v>
      </c>
      <c r="L2245" s="11" t="str">
        <f>IFERROR(IF(VLOOKUP(A2245,[14]PRIORIZADOS!$A:$L,12,FALSE)="","",VLOOKUP(A2245,[14]PRIORIZADOS!$A:$L,12,FALSE)),"")</f>
        <v>DANIEL ALEJANDRO GRANOBLES</v>
      </c>
      <c r="M2245" s="71">
        <f>IFERROR(IF(VLOOKUP(A2245,[14]PRIORIZADOS!$A:$M,13,FALSE)="","",VLOOKUP(A2245,[14]PRIORIZADOS!$A:$M,13,FALSE)),"")</f>
        <v>45790</v>
      </c>
      <c r="N2245" s="71">
        <f>IFERROR(IF(VLOOKUP(A2245,[14]PRIORIZADOS!$A:$N,14,FALSE)="","",VLOOKUP(A2245,[14]PRIORIZADOS!$A:$N,14,FALSE)),"")</f>
        <v>45807</v>
      </c>
      <c r="O2245" s="71">
        <f>IFERROR(IF(VLOOKUP(A2245,[14]PRIORIZADOS!$A:$O,15,FALSE)="","",VLOOKUP(A2245,[14]PRIORIZADOS!$A:$O,15,FALSE)),"")</f>
        <v>45807</v>
      </c>
      <c r="P2245" s="11" t="str">
        <f>IFERROR(IF(VLOOKUP(A2245,[14]PRIORIZADOS!$A:$P,16,FALSE)="","",VLOOKUP(A2245,[14]PRIORIZADOS!$A:$P,16,FALSE)),"")</f>
        <v>Visitas de evaluación con fines de seguimiento</v>
      </c>
      <c r="Q2245" s="7" t="s">
        <v>456</v>
      </c>
      <c r="R2245" s="11" t="str">
        <f>IFERROR(IF(VLOOKUP(A2245,[14]PRIORIZADOS!$A:$R,18,FALSE)="","",VLOOKUP(A2245,[14]PRIORIZADOS!$A:$R,18,FALSE)),"")</f>
        <v>Se revisó la clasificación en el ICFES que es A, situación que se corroboro en la institución, cada año se realiza retoalimentación con docentes y grupo intrgral saber quienes cooperan con estrategias para la revisión de textos y pruebas</v>
      </c>
      <c r="S2245" s="11" t="str">
        <f>IFERROR(IF(VLOOKUP(A2245,[14]PRIORIZADOS!$A:$S,19,FALSE)="","",VLOOKUP(A2245,[14]PRIORIZADOS!$A:$S,19,FALSE)),"")</f>
        <v>Realizar la comparación de los resultados de las pruebas 2025  y avanzar en la construcción de banco de preguntas ICFES</v>
      </c>
      <c r="T2245" s="70" t="str">
        <f>IFERROR(IF(VLOOKUP(A2245,[14]PRIORIZADOS!$A:$T,20,FALSE)="","",VLOOKUP(A2245,[14]PRIORIZADOS!$A:$T,20,FALSE)),"")</f>
        <v>No</v>
      </c>
      <c r="U2245" s="11" t="str">
        <f>IFERROR(IF(VLOOKUP(A2245,[14]PRIORIZADOS!$A:$U,21,FALSE)="","",VLOOKUP(A2245,[14]PRIORIZADOS!$A:$U,21,FALSE)),"")</f>
        <v xml:space="preserve">Continuar con revisión de los resultados y valorara las estrategias </v>
      </c>
    </row>
    <row r="2246" spans="1:21" s="1" customFormat="1" ht="84">
      <c r="A2246" s="69">
        <f>IF([14]PRIORIZADOS!A293="","",[14]PRIORIZADOS!A293)</f>
        <v>2214</v>
      </c>
      <c r="B2246" s="70">
        <f>IFERROR(IF(VLOOKUP(A2246,[14]PRIORIZADOS!$A:$B,2,FALSE)="","",VLOOKUP(A2246,[14]PRIORIZADOS!$A:$B,2,FALSE)),"")</f>
        <v>32</v>
      </c>
      <c r="C2246" s="11" t="s">
        <v>424</v>
      </c>
      <c r="D2246" s="11" t="str">
        <f>IFERROR(IF(VLOOKUP(A2246,[14]PRIORIZADOS!$A:$D,4,FALSE)="","",VLOOKUP(A2246,[14]PRIORIZADOS!$A:$D,4,FALSE)),"")</f>
        <v>PRIVADO</v>
      </c>
      <c r="E2246" s="11" t="str">
        <f>IFERROR(IF(VLOOKUP(A2246,[14]PRIORIZADOS!$A:$E,5,FALSE)="","",VLOOKUP(A2246,[14]PRIORIZADOS!$A:$E,5,FALSE)),"")</f>
        <v>EPBM</v>
      </c>
      <c r="F2246" s="11" t="str">
        <f>IFERROR(IF(VLOOKUP(A2246,[14]PRIORIZADOS!$A:$F,6,FALSE)="","",VLOOKUP(A2246,[14]PRIORIZADOS!$A:$F,6,FALSE)),"")</f>
        <v>LICEO_BET_EL</v>
      </c>
      <c r="G2246" s="11" t="str">
        <f>IFERROR(IF(VLOOKUP(A2246,[14]PRIORIZADOS!$A:$G,7,FALSE)="","",VLOOKUP(A2246,[14]PRIORIZADOS!$A:$G,7,FALSE)),"")</f>
        <v>LICEO BET-EL</v>
      </c>
      <c r="H2246" s="11" t="str">
        <f>IFERROR(IF(VLOOKUP(A2246,[14]PRIORIZADOS!$A:$H,8,FALSE)="","",VLOOKUP(A2246,[14]PRIORIZADOS!$A:$H,8,FALSE)),"")</f>
        <v>Autoevaluación Institucional y Pruebas SABER 11</v>
      </c>
      <c r="I2246" s="11" t="str">
        <f>IFERROR(IF(VLOOKUP(A2246,[14]PRIORIZADOS!$A:$I,9,FALSE)="","",VLOOKUP(A2246,[14]PRIORIZADOS!$A:$I,9,FALSE)),"")</f>
        <v>SEGUIMIENTO_Y_SUPERVISIÓN.</v>
      </c>
      <c r="J2246" s="11" t="str">
        <f>IFERROR(IF(VLOOKUP(A2246,[14]PRIORIZADOS!$A:$J,10,FALSE)="","",VLOOKUP(A2246,[14]PRIORIZADOS!$A:$J,10,FALSE)),"")</f>
        <v xml:space="preserve">Verificar la implementación por parte de los colegios, de acciones realizadas para la prevención y atención de las situaciones de convivencia en el entorno escolar, según lo establecido en la Directiva 01 de 2022 del MEN. </v>
      </c>
      <c r="K2246" s="11" t="str">
        <f>IFERROR(IF(VLOOKUP(A2246,[14]PRIORIZADOS!$A:$K,11,FALSE)="","",VLOOKUP(A2246,[14]PRIORIZADOS!$A:$K,11,FALSE)),"")</f>
        <v>SANDRA OLINDA GONZÁLEZ REYES</v>
      </c>
      <c r="L2246" s="11" t="str">
        <f>IFERROR(IF(VLOOKUP(A2246,[14]PRIORIZADOS!$A:$L,12,FALSE)="","",VLOOKUP(A2246,[14]PRIORIZADOS!$A:$L,12,FALSE)),"")</f>
        <v>DANIEL ALEJANDRO GRANOBLES</v>
      </c>
      <c r="M2246" s="71">
        <f>IFERROR(IF(VLOOKUP(A2246,[14]PRIORIZADOS!$A:$M,13,FALSE)="","",VLOOKUP(A2246,[14]PRIORIZADOS!$A:$M,13,FALSE)),"")</f>
        <v>45790</v>
      </c>
      <c r="N2246" s="71">
        <f>IFERROR(IF(VLOOKUP(A2246,[14]PRIORIZADOS!$A:$N,14,FALSE)="","",VLOOKUP(A2246,[14]PRIORIZADOS!$A:$N,14,FALSE)),"")</f>
        <v>45807</v>
      </c>
      <c r="O2246" s="71">
        <f>IFERROR(IF(VLOOKUP(A2246,[14]PRIORIZADOS!$A:$O,15,FALSE)="","",VLOOKUP(A2246,[14]PRIORIZADOS!$A:$O,15,FALSE)),"")</f>
        <v>45807</v>
      </c>
      <c r="P2246" s="11" t="str">
        <f>IFERROR(IF(VLOOKUP(A2246,[14]PRIORIZADOS!$A:$P,16,FALSE)="","",VLOOKUP(A2246,[14]PRIORIZADOS!$A:$P,16,FALSE)),"")</f>
        <v>Visitas de evaluación con fines de seguimiento</v>
      </c>
      <c r="Q2246" s="7" t="s">
        <v>456</v>
      </c>
      <c r="R2246" s="11" t="str">
        <f>IFERROR(IF(VLOOKUP(A2246,[14]PRIORIZADOS!$A:$R,18,FALSE)="","",VLOOKUP(A2246,[14]PRIORIZADOS!$A:$R,18,FALSE)),"")</f>
        <v xml:space="preserve">Se verificó las consulta en la página de la policia de los antecedentes de delitos sexuales ubicadas en las hojas de vida de los empleados de conformidad a la directiva  001 del 2022, se encuentra constituido del comite de convivencia, tienen clave para el Sistema de Alertas. </v>
      </c>
      <c r="S2246" s="11" t="str">
        <f>IFERROR(IF(VLOOKUP(A2246,[14]PRIORIZADOS!$A:$S,19,FALSE)="","",VLOOKUP(A2246,[14]PRIORIZADOS!$A:$S,19,FALSE)),"")</f>
        <v>Mantener en la carpeta de cada docente y administrativo la  consulta de la página de la Policía y los realizar los reportes al Sistema de Alertas de ser necesario</v>
      </c>
      <c r="T2246" s="70" t="str">
        <f>IFERROR(IF(VLOOKUP(A2246,[14]PRIORIZADOS!$A:$T,20,FALSE)="","",VLOOKUP(A2246,[14]PRIORIZADOS!$A:$T,20,FALSE)),"")</f>
        <v>No</v>
      </c>
      <c r="U2246" s="11" t="str">
        <f>IFERROR(IF(VLOOKUP(A2246,[14]PRIORIZADOS!$A:$U,21,FALSE)="","",VLOOKUP(A2246,[14]PRIORIZADOS!$A:$U,21,FALSE)),"")</f>
        <v xml:space="preserve">Verificar la implementación de la Directiva 01 de 2022 en caso de requerirse </v>
      </c>
    </row>
    <row r="2247" spans="1:21" s="1" customFormat="1" ht="72">
      <c r="A2247" s="69">
        <f>IF([14]PRIORIZADOS!A294="","",[14]PRIORIZADOS!A294)</f>
        <v>2215</v>
      </c>
      <c r="B2247" s="70">
        <f>IFERROR(IF(VLOOKUP(A2247,[14]PRIORIZADOS!$A:$B,2,FALSE)="","",VLOOKUP(A2247,[14]PRIORIZADOS!$A:$B,2,FALSE)),"")</f>
        <v>32</v>
      </c>
      <c r="C2247" s="11" t="s">
        <v>424</v>
      </c>
      <c r="D2247" s="11" t="str">
        <f>IFERROR(IF(VLOOKUP(A2247,[14]PRIORIZADOS!$A:$D,4,FALSE)="","",VLOOKUP(A2247,[14]PRIORIZADOS!$A:$D,4,FALSE)),"")</f>
        <v>PRIVADO</v>
      </c>
      <c r="E2247" s="11" t="str">
        <f>IFERROR(IF(VLOOKUP(A2247,[14]PRIORIZADOS!$A:$E,5,FALSE)="","",VLOOKUP(A2247,[14]PRIORIZADOS!$A:$E,5,FALSE)),"")</f>
        <v>EPBM</v>
      </c>
      <c r="F2247" s="11" t="str">
        <f>IFERROR(IF(VLOOKUP(A2247,[14]PRIORIZADOS!$A:$F,6,FALSE)="","",VLOOKUP(A2247,[14]PRIORIZADOS!$A:$F,6,FALSE)),"")</f>
        <v>LICEO_BET_EL</v>
      </c>
      <c r="G2247" s="11" t="str">
        <f>IFERROR(IF(VLOOKUP(A2247,[14]PRIORIZADOS!$A:$G,7,FALSE)="","",VLOOKUP(A2247,[14]PRIORIZADOS!$A:$G,7,FALSE)),"")</f>
        <v>LICEO BET-EL</v>
      </c>
      <c r="H2247" s="11" t="str">
        <f>IFERROR(IF(VLOOKUP(A2247,[14]PRIORIZADOS!$A:$H,8,FALSE)="","",VLOOKUP(A2247,[14]PRIORIZADOS!$A:$H,8,FALSE)),"")</f>
        <v>Autoevaluación Institucional y Pruebas SABER 11</v>
      </c>
      <c r="I2247" s="11" t="str">
        <f>IFERROR(IF(VLOOKUP(A2247,[14]PRIORIZADOS!$A:$I,9,FALSE)="","",VLOOKUP(A2247,[14]PRIORIZADOS!$A:$I,9,FALSE)),"")</f>
        <v>SEGUIMIENTO_Y_SUPERVISIÓN.</v>
      </c>
      <c r="J2247" s="11" t="str">
        <f>IFERROR(IF(VLOOKUP(A2247,[14]PRIORIZADOS!$A:$J,10,FALSE)="","",VLOOKUP(A2247,[14]PRIORIZADOS!$A:$J,10,FALSE)),"")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47" s="11" t="str">
        <f>IFERROR(IF(VLOOKUP(A2247,[14]PRIORIZADOS!$A:$K,11,FALSE)="","",VLOOKUP(A2247,[14]PRIORIZADOS!$A:$K,11,FALSE)),"")</f>
        <v>SANDRA OLINDA GONZÁLEZ REYES</v>
      </c>
      <c r="L2247" s="11" t="str">
        <f>IFERROR(IF(VLOOKUP(A2247,[14]PRIORIZADOS!$A:$L,12,FALSE)="","",VLOOKUP(A2247,[14]PRIORIZADOS!$A:$L,12,FALSE)),"")</f>
        <v>DANIEL ALEJANDRO GRANOBLES</v>
      </c>
      <c r="M2247" s="71">
        <f>IFERROR(IF(VLOOKUP(A2247,[14]PRIORIZADOS!$A:$M,13,FALSE)="","",VLOOKUP(A2247,[14]PRIORIZADOS!$A:$M,13,FALSE)),"")</f>
        <v>45790</v>
      </c>
      <c r="N2247" s="71">
        <f>IFERROR(IF(VLOOKUP(A2247,[14]PRIORIZADOS!$A:$N,14,FALSE)="","",VLOOKUP(A2247,[14]PRIORIZADOS!$A:$N,14,FALSE)),"")</f>
        <v>45807</v>
      </c>
      <c r="O2247" s="71">
        <f>IFERROR(IF(VLOOKUP(A2247,[14]PRIORIZADOS!$A:$O,15,FALSE)="","",VLOOKUP(A2247,[14]PRIORIZADOS!$A:$O,15,FALSE)),"")</f>
        <v>45807</v>
      </c>
      <c r="P2247" s="11" t="str">
        <f>IFERROR(IF(VLOOKUP(A2247,[14]PRIORIZADOS!$A:$P,16,FALSE)="","",VLOOKUP(A2247,[14]PRIORIZADOS!$A:$P,16,FALSE)),"")</f>
        <v>Visitas de evaluación con fines de seguimiento</v>
      </c>
      <c r="Q2247" s="7" t="s">
        <v>456</v>
      </c>
      <c r="R2247" s="11" t="str">
        <f>IFERROR(IF(VLOOKUP(A2247,[14]PRIORIZADOS!$A:$R,18,FALSE)="","",VLOOKUP(A2247,[14]PRIORIZADOS!$A:$R,18,FALSE)),"")</f>
        <v>Se realizó consulta en el SIMAT encontrándose que no tienen los estudiantes de inclusión sin embargo el rector informa que  hay estudiantes de inclusión con PIAR.</v>
      </c>
      <c r="S2247" s="11" t="str">
        <f>IFERROR(IF(VLOOKUP(A2247,[14]PRIORIZADOS!$A:$S,19,FALSE)="","",VLOOKUP(A2247,[14]PRIORIZADOS!$A:$S,19,FALSE)),"")</f>
        <v xml:space="preserve">
Realizar la actualización del SIMAT, Elaborar el PIAR pendiente y realizar el seguimiento  de cada uno. de los ya existentes</v>
      </c>
      <c r="T2247" s="70" t="str">
        <f>IFERROR(IF(VLOOKUP(A2247,[14]PRIORIZADOS!$A:$T,20,FALSE)="","",VLOOKUP(A2247,[14]PRIORIZADOS!$A:$T,20,FALSE)),"")</f>
        <v>Si</v>
      </c>
      <c r="U2247" s="11" t="str">
        <f>IFERROR(IF(VLOOKUP(A2247,[14]PRIORIZADOS!$A:$U,21,FALSE)="","",VLOOKUP(A2247,[14]PRIORIZADOS!$A:$U,21,FALSE)),"")</f>
        <v>Revisar el reporte SIMAT y los PIAR de los estudiantes reportados</v>
      </c>
    </row>
    <row r="2248" spans="1:21" s="1" customFormat="1" ht="84">
      <c r="A2248" s="69">
        <f>IF([14]PRIORIZADOS!A295="","",[14]PRIORIZADOS!A295)</f>
        <v>2216</v>
      </c>
      <c r="B2248" s="70">
        <f>IFERROR(IF(VLOOKUP(A2248,[14]PRIORIZADOS!$A:$B,2,FALSE)="","",VLOOKUP(A2248,[14]PRIORIZADOS!$A:$B,2,FALSE)),"")</f>
        <v>32</v>
      </c>
      <c r="C2248" s="11" t="s">
        <v>424</v>
      </c>
      <c r="D2248" s="11" t="str">
        <f>IFERROR(IF(VLOOKUP(A2248,[14]PRIORIZADOS!$A:$D,4,FALSE)="","",VLOOKUP(A2248,[14]PRIORIZADOS!$A:$D,4,FALSE)),"")</f>
        <v>PRIVADO</v>
      </c>
      <c r="E2248" s="11" t="str">
        <f>IFERROR(IF(VLOOKUP(A2248,[14]PRIORIZADOS!$A:$E,5,FALSE)="","",VLOOKUP(A2248,[14]PRIORIZADOS!$A:$E,5,FALSE)),"")</f>
        <v>EPBM</v>
      </c>
      <c r="F2248" s="11" t="str">
        <f>IFERROR(IF(VLOOKUP(A2248,[14]PRIORIZADOS!$A:$F,6,FALSE)="","",VLOOKUP(A2248,[14]PRIORIZADOS!$A:$F,6,FALSE)),"")</f>
        <v>LICEO_BET_EL</v>
      </c>
      <c r="G2248" s="11" t="str">
        <f>IFERROR(IF(VLOOKUP(A2248,[14]PRIORIZADOS!$A:$G,7,FALSE)="","",VLOOKUP(A2248,[14]PRIORIZADOS!$A:$G,7,FALSE)),"")</f>
        <v>LICEO BET-EL</v>
      </c>
      <c r="H2248" s="11" t="str">
        <f>IFERROR(IF(VLOOKUP(A2248,[14]PRIORIZADOS!$A:$H,8,FALSE)="","",VLOOKUP(A2248,[14]PRIORIZADOS!$A:$H,8,FALSE)),"")</f>
        <v>Autoevaluación Institucional y Pruebas SABER 11</v>
      </c>
      <c r="I2248" s="11" t="str">
        <f>IFERROR(IF(VLOOKUP(A2248,[14]PRIORIZADOS!$A:$I,9,FALSE)="","",VLOOKUP(A2248,[14]PRIORIZADOS!$A:$I,9,FALSE)),"")</f>
        <v>EVALUACIÓN_CON_FINES_DE_MEJORAMIENTO.</v>
      </c>
      <c r="J2248" s="11" t="str">
        <f>IFERROR(IF(VLOOKUP(A2248,[14]PRIORIZADOS!$A:$J,10,FALSE)="","",VLOOKUP(A2248,[14]PRIORIZADOS!$A:$J,10,FALSE)),"")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48" s="11" t="str">
        <f>IFERROR(IF(VLOOKUP(A2248,[14]PRIORIZADOS!$A:$K,11,FALSE)="","",VLOOKUP(A2248,[14]PRIORIZADOS!$A:$K,11,FALSE)),"")</f>
        <v>SANDRA OLINDA GONZÁLEZ REYES</v>
      </c>
      <c r="L2248" s="11" t="str">
        <f>IFERROR(IF(VLOOKUP(A2248,[14]PRIORIZADOS!$A:$L,12,FALSE)="","",VLOOKUP(A2248,[14]PRIORIZADOS!$A:$L,12,FALSE)),"")</f>
        <v>DANIEL ALEJANDRO GRANOBLES</v>
      </c>
      <c r="M2248" s="71">
        <f>IFERROR(IF(VLOOKUP(A2248,[14]PRIORIZADOS!$A:$M,13,FALSE)="","",VLOOKUP(A2248,[14]PRIORIZADOS!$A:$M,13,FALSE)),"")</f>
        <v>45790</v>
      </c>
      <c r="N2248" s="71">
        <f>IFERROR(IF(VLOOKUP(A2248,[14]PRIORIZADOS!$A:$N,14,FALSE)="","",VLOOKUP(A2248,[14]PRIORIZADOS!$A:$N,14,FALSE)),"")</f>
        <v>45807</v>
      </c>
      <c r="O2248" s="71">
        <f>IFERROR(IF(VLOOKUP(A2248,[14]PRIORIZADOS!$A:$O,15,FALSE)="","",VLOOKUP(A2248,[14]PRIORIZADOS!$A:$O,15,FALSE)),"")</f>
        <v>45807</v>
      </c>
      <c r="P2248" s="11" t="str">
        <f>IFERROR(IF(VLOOKUP(A2248,[14]PRIORIZADOS!$A:$P,16,FALSE)="","",VLOOKUP(A2248,[14]PRIORIZADOS!$A:$P,16,FALSE)),"")</f>
        <v>Visitas de evaluación con fines de mejoramiento</v>
      </c>
      <c r="Q2248" s="7" t="s">
        <v>456</v>
      </c>
      <c r="R2248" s="11" t="str">
        <f>IFERROR(IF(VLOOKUP(A2248,[14]PRIORIZADOS!$A:$R,18,FALSE)="","",VLOOKUP(A2248,[14]PRIORIZADOS!$A:$R,18,FALSE)),"")</f>
        <v>Se encontro un manual de convivencia con la normatividad la clasificación de las faltas y situciones, debido proceso</v>
      </c>
      <c r="S2248" s="11" t="str">
        <f>IFERROR(IF(VLOOKUP(A2248,[14]PRIORIZADOS!$A:$S,19,FALSE)="","",VLOOKUP(A2248,[14]PRIORIZADOS!$A:$S,19,FALSE)),"")</f>
        <v>Realizar la revisión periodica  del manual dando aplicabilidad a la normna de convivencia y realizar ajustes en lo relacionadao con las condiciones para realizar el servicio social.</v>
      </c>
      <c r="T2248" s="70" t="str">
        <f>IFERROR(IF(VLOOKUP(A2248,[14]PRIORIZADOS!$A:$T,20,FALSE)="","",VLOOKUP(A2248,[14]PRIORIZADOS!$A:$T,20,FALSE)),"")</f>
        <v>Si</v>
      </c>
      <c r="U2248" s="11" t="str">
        <f>IFERROR(IF(VLOOKUP(A2248,[14]PRIORIZADOS!$A:$U,21,FALSE)="","",VLOOKUP(A2248,[14]PRIORIZADOS!$A:$U,21,FALSE)),"")</f>
        <v>Realizar la revisión periódica del manual de convivencia y revisar las condicones para la prestación del servicio social ofrecidads por la institución.</v>
      </c>
    </row>
    <row r="2249" spans="1:21" s="1" customFormat="1" ht="60">
      <c r="A2249" s="69">
        <f>IF([14]PRIORIZADOS!A296="","",[14]PRIORIZADOS!A296)</f>
        <v>2217</v>
      </c>
      <c r="B2249" s="70">
        <f>IFERROR(IF(VLOOKUP(A2249,[14]PRIORIZADOS!$A:$B,2,FALSE)="","",VLOOKUP(A2249,[14]PRIORIZADOS!$A:$B,2,FALSE)),"")</f>
        <v>32</v>
      </c>
      <c r="C2249" s="11" t="s">
        <v>424</v>
      </c>
      <c r="D2249" s="11" t="str">
        <f>IFERROR(IF(VLOOKUP(A2249,[14]PRIORIZADOS!$A:$D,4,FALSE)="","",VLOOKUP(A2249,[14]PRIORIZADOS!$A:$D,4,FALSE)),"")</f>
        <v>PRIVADO</v>
      </c>
      <c r="E2249" s="11" t="str">
        <f>IFERROR(IF(VLOOKUP(A2249,[14]PRIORIZADOS!$A:$E,5,FALSE)="","",VLOOKUP(A2249,[14]PRIORIZADOS!$A:$E,5,FALSE)),"")</f>
        <v>EPBM</v>
      </c>
      <c r="F2249" s="11" t="str">
        <f>IFERROR(IF(VLOOKUP(A2249,[14]PRIORIZADOS!$A:$F,6,FALSE)="","",VLOOKUP(A2249,[14]PRIORIZADOS!$A:$F,6,FALSE)),"")</f>
        <v>LICEO_BET_EL</v>
      </c>
      <c r="G2249" s="11" t="str">
        <f>IFERROR(IF(VLOOKUP(A2249,[14]PRIORIZADOS!$A:$G,7,FALSE)="","",VLOOKUP(A2249,[14]PRIORIZADOS!$A:$G,7,FALSE)),"")</f>
        <v>LICEO BET-EL</v>
      </c>
      <c r="H2249" s="11" t="str">
        <f>IFERROR(IF(VLOOKUP(A2249,[14]PRIORIZADOS!$A:$H,8,FALSE)="","",VLOOKUP(A2249,[14]PRIORIZADOS!$A:$H,8,FALSE)),"")</f>
        <v>Autoevaluación Institucional y Pruebas SABER 11</v>
      </c>
      <c r="I2249" s="11" t="str">
        <f>IFERROR(IF(VLOOKUP(A2249,[14]PRIORIZADOS!$A:$I,9,FALSE)="","",VLOOKUP(A2249,[14]PRIORIZADOS!$A:$I,9,FALSE)),"")</f>
        <v>EVALUACIÓN_CON_FINES_DE_MEJORAMIENTO.</v>
      </c>
      <c r="J2249" s="11" t="str">
        <f>IFERROR(IF(VLOOKUP(A2249,[14]PRIORIZADOS!$A:$J,10,FALSE)="","",VLOOKUP(A2249,[14]PRIORIZADOS!$A:$J,10,FALSE)),"")</f>
        <v>Revisar la actualización, socialización e implementación del Sistema Institucional de Evaluación de Estudiantes - SIEE, en articulación con la actualización del PEI y la normatividad vigente.</v>
      </c>
      <c r="K2249" s="11" t="str">
        <f>IFERROR(IF(VLOOKUP(A2249,[14]PRIORIZADOS!$A:$K,11,FALSE)="","",VLOOKUP(A2249,[14]PRIORIZADOS!$A:$K,11,FALSE)),"")</f>
        <v>SANDRA OLINDA GONZÁLEZ REYES</v>
      </c>
      <c r="L2249" s="11" t="str">
        <f>IFERROR(IF(VLOOKUP(A2249,[14]PRIORIZADOS!$A:$L,12,FALSE)="","",VLOOKUP(A2249,[14]PRIORIZADOS!$A:$L,12,FALSE)),"")</f>
        <v>DANIEL ALEJANDRO GRANOBLES</v>
      </c>
      <c r="M2249" s="71">
        <f>IFERROR(IF(VLOOKUP(A2249,[14]PRIORIZADOS!$A:$M,13,FALSE)="","",VLOOKUP(A2249,[14]PRIORIZADOS!$A:$M,13,FALSE)),"")</f>
        <v>45790</v>
      </c>
      <c r="N2249" s="71">
        <f>IFERROR(IF(VLOOKUP(A2249,[14]PRIORIZADOS!$A:$N,14,FALSE)="","",VLOOKUP(A2249,[14]PRIORIZADOS!$A:$N,14,FALSE)),"")</f>
        <v>45807</v>
      </c>
      <c r="O2249" s="71">
        <f>IFERROR(IF(VLOOKUP(A2249,[14]PRIORIZADOS!$A:$O,15,FALSE)="","",VLOOKUP(A2249,[14]PRIORIZADOS!$A:$O,15,FALSE)),"")</f>
        <v>45807</v>
      </c>
      <c r="P2249" s="11" t="str">
        <f>IFERROR(IF(VLOOKUP(A2249,[14]PRIORIZADOS!$A:$P,16,FALSE)="","",VLOOKUP(A2249,[14]PRIORIZADOS!$A:$P,16,FALSE)),"")</f>
        <v>Visitas de evaluación con fines de mejoramiento</v>
      </c>
      <c r="Q2249" s="7" t="s">
        <v>456</v>
      </c>
      <c r="R2249" s="11" t="str">
        <f>IFERROR(IF(VLOOKUP(A2249,[14]PRIORIZADOS!$A:$R,18,FALSE)="","",VLOOKUP(A2249,[14]PRIORIZADOS!$A:$R,18,FALSE)),"")</f>
        <v xml:space="preserve">Se encontraron algunos aspectos del manual pendientes por aclarar como el sistema institucional de evaluación, diferenciando el ciclo de preescolar de los demás </v>
      </c>
      <c r="S2249" s="11" t="str">
        <f>IFERROR(IF(VLOOKUP(A2249,[14]PRIORIZADOS!$A:$S,19,FALSE)="","",VLOOKUP(A2249,[14]PRIORIZADOS!$A:$S,19,FALSE)),"")</f>
        <v xml:space="preserve">Realizar la actualización del manual convivencia en lo relaciondao con el SIEE          </v>
      </c>
      <c r="T2249" s="70" t="str">
        <f>IFERROR(IF(VLOOKUP(A2249,[14]PRIORIZADOS!$A:$T,20,FALSE)="","",VLOOKUP(A2249,[14]PRIORIZADOS!$A:$T,20,FALSE)),"")</f>
        <v>Si</v>
      </c>
      <c r="U2249" s="11" t="str">
        <f>IFERROR(IF(VLOOKUP(A2249,[14]PRIORIZADOS!$A:$U,21,FALSE)="","",VLOOKUP(A2249,[14]PRIORIZADOS!$A:$U,21,FALSE)),"")</f>
        <v>Revisar la actualización del manual de convivencia respcto al SIEE</v>
      </c>
    </row>
    <row r="2250" spans="1:21" s="1" customFormat="1" ht="48">
      <c r="A2250" s="69">
        <f>IF([14]PRIORIZADOS!A297="","",[14]PRIORIZADOS!A297)</f>
        <v>2218</v>
      </c>
      <c r="B2250" s="70">
        <f>IFERROR(IF(VLOOKUP(A2250,[14]PRIORIZADOS!$A:$B,2,FALSE)="","",VLOOKUP(A2250,[14]PRIORIZADOS!$A:$B,2,FALSE)),"")</f>
        <v>32</v>
      </c>
      <c r="C2250" s="11" t="s">
        <v>424</v>
      </c>
      <c r="D2250" s="11" t="str">
        <f>IFERROR(IF(VLOOKUP(A2250,[14]PRIORIZADOS!$A:$D,4,FALSE)="","",VLOOKUP(A2250,[14]PRIORIZADOS!$A:$D,4,FALSE)),"")</f>
        <v>PRIVADO</v>
      </c>
      <c r="E2250" s="11" t="str">
        <f>IFERROR(IF(VLOOKUP(A2250,[14]PRIORIZADOS!$A:$E,5,FALSE)="","",VLOOKUP(A2250,[14]PRIORIZADOS!$A:$E,5,FALSE)),"")</f>
        <v>EPBM</v>
      </c>
      <c r="F2250" s="11" t="str">
        <f>IFERROR(IF(VLOOKUP(A2250,[14]PRIORIZADOS!$A:$F,6,FALSE)="","",VLOOKUP(A2250,[14]PRIORIZADOS!$A:$F,6,FALSE)),"")</f>
        <v>LICEO_BET_EL</v>
      </c>
      <c r="G2250" s="11" t="str">
        <f>IFERROR(IF(VLOOKUP(A2250,[14]PRIORIZADOS!$A:$G,7,FALSE)="","",VLOOKUP(A2250,[14]PRIORIZADOS!$A:$G,7,FALSE)),"")</f>
        <v>LICEO BET-EL</v>
      </c>
      <c r="H2250" s="11" t="str">
        <f>IFERROR(IF(VLOOKUP(A2250,[14]PRIORIZADOS!$A:$H,8,FALSE)="","",VLOOKUP(A2250,[14]PRIORIZADOS!$A:$H,8,FALSE)),"")</f>
        <v>Autoevaluación Institucional y Pruebas SABER 11</v>
      </c>
      <c r="I2250" s="11" t="str">
        <f>IFERROR(IF(VLOOKUP(A2250,[14]PRIORIZADOS!$A:$I,9,FALSE)="","",VLOOKUP(A2250,[14]PRIORIZADOS!$A:$I,9,FALSE)),"")</f>
        <v>EVALUACIÓN_CON_FINES_DE_MEJORAMIENTO.</v>
      </c>
      <c r="J2250" s="11" t="str">
        <f>IFERROR(IF(VLOOKUP(A2250,[14]PRIORIZADOS!$A:$J,10,FALSE)="","",VLOOKUP(A2250,[14]PRIORIZADOS!$A:$J,10,FALSE)),"")</f>
        <v>Revisar el calendario escolar, jornada escolar, la intensidad horaria mínima anual en cada nivel y las modificaciones que se realicen al mismo, de acuerdo con lo previsto en la normatividad vigente.</v>
      </c>
      <c r="K2250" s="11" t="str">
        <f>IFERROR(IF(VLOOKUP(A2250,[14]PRIORIZADOS!$A:$K,11,FALSE)="","",VLOOKUP(A2250,[14]PRIORIZADOS!$A:$K,11,FALSE)),"")</f>
        <v>SANDRA OLINDA GONZÁLEZ REYES</v>
      </c>
      <c r="L2250" s="11" t="str">
        <f>IFERROR(IF(VLOOKUP(A2250,[14]PRIORIZADOS!$A:$L,12,FALSE)="","",VLOOKUP(A2250,[14]PRIORIZADOS!$A:$L,12,FALSE)),"")</f>
        <v>DANIEL ALEJANDRO GRANOBLES</v>
      </c>
      <c r="M2250" s="71">
        <f>IFERROR(IF(VLOOKUP(A2250,[14]PRIORIZADOS!$A:$M,13,FALSE)="","",VLOOKUP(A2250,[14]PRIORIZADOS!$A:$M,13,FALSE)),"")</f>
        <v>45790</v>
      </c>
      <c r="N2250" s="71">
        <f>IFERROR(IF(VLOOKUP(A2250,[14]PRIORIZADOS!$A:$N,14,FALSE)="","",VLOOKUP(A2250,[14]PRIORIZADOS!$A:$N,14,FALSE)),"")</f>
        <v>45807</v>
      </c>
      <c r="O2250" s="71">
        <f>IFERROR(IF(VLOOKUP(A2250,[14]PRIORIZADOS!$A:$O,15,FALSE)="","",VLOOKUP(A2250,[14]PRIORIZADOS!$A:$O,15,FALSE)),"")</f>
        <v>45807</v>
      </c>
      <c r="P2250" s="11" t="str">
        <f>IFERROR(IF(VLOOKUP(A2250,[14]PRIORIZADOS!$A:$P,16,FALSE)="","",VLOOKUP(A2250,[14]PRIORIZADOS!$A:$P,16,FALSE)),"")</f>
        <v>Visitas de evaluación con fines de mejoramiento</v>
      </c>
      <c r="Q2250" s="7" t="s">
        <v>456</v>
      </c>
      <c r="R2250" s="11" t="str">
        <f>IFERROR(IF(VLOOKUP(A2250,[14]PRIORIZADOS!$A:$R,18,FALSE)="","",VLOOKUP(A2250,[14]PRIORIZADOS!$A:$R,18,FALSE)),"")</f>
        <v>La intensidad horaria y las horas mínimas anuales de cada ciclo se ajustan para preescolar, básica y media</v>
      </c>
      <c r="S2250" s="11" t="str">
        <f>IFERROR(IF(VLOOKUP(A2250,[14]PRIORIZADOS!$A:$S,19,FALSE)="","",VLOOKUP(A2250,[14]PRIORIZADOS!$A:$S,19,FALSE)),"")</f>
        <v>Mantener las actividades en el calendario académico</v>
      </c>
      <c r="T2250" s="70" t="str">
        <f>IFERROR(IF(VLOOKUP(A2250,[14]PRIORIZADOS!$A:$T,20,FALSE)="","",VLOOKUP(A2250,[14]PRIORIZADOS!$A:$T,20,FALSE)),"")</f>
        <v>No</v>
      </c>
      <c r="U2250" s="11" t="str">
        <f>IFERROR(IF(VLOOKUP(A2250,[14]PRIORIZADOS!$A:$U,21,FALSE)="","",VLOOKUP(A2250,[14]PRIORIZADOS!$A:$U,21,FALSE)),"")</f>
        <v>Revisar el calendario en caso de presentarse queja</v>
      </c>
    </row>
    <row r="2251" spans="1:21" s="1" customFormat="1" ht="60">
      <c r="A2251" s="69">
        <f>IF([14]PRIORIZADOS!A298="","",[14]PRIORIZADOS!A298)</f>
        <v>2219</v>
      </c>
      <c r="B2251" s="70">
        <f>IFERROR(IF(VLOOKUP(A2251,[14]PRIORIZADOS!$A:$B,2,FALSE)="","",VLOOKUP(A2251,[14]PRIORIZADOS!$A:$B,2,FALSE)),"")</f>
        <v>32</v>
      </c>
      <c r="C2251" s="11" t="s">
        <v>424</v>
      </c>
      <c r="D2251" s="11" t="str">
        <f>IFERROR(IF(VLOOKUP(A2251,[14]PRIORIZADOS!$A:$D,4,FALSE)="","",VLOOKUP(A2251,[14]PRIORIZADOS!$A:$D,4,FALSE)),"")</f>
        <v>PRIVADO</v>
      </c>
      <c r="E2251" s="11" t="str">
        <f>IFERROR(IF(VLOOKUP(A2251,[14]PRIORIZADOS!$A:$E,5,FALSE)="","",VLOOKUP(A2251,[14]PRIORIZADOS!$A:$E,5,FALSE)),"")</f>
        <v>EPBM</v>
      </c>
      <c r="F2251" s="11" t="str">
        <f>IFERROR(IF(VLOOKUP(A2251,[14]PRIORIZADOS!$A:$F,6,FALSE)="","",VLOOKUP(A2251,[14]PRIORIZADOS!$A:$F,6,FALSE)),"")</f>
        <v>LICEO_BET_EL</v>
      </c>
      <c r="G2251" s="11" t="str">
        <f>IFERROR(IF(VLOOKUP(A2251,[14]PRIORIZADOS!$A:$G,7,FALSE)="","",VLOOKUP(A2251,[14]PRIORIZADOS!$A:$G,7,FALSE)),"")</f>
        <v>LICEO BET-EL</v>
      </c>
      <c r="H2251" s="11" t="str">
        <f>IFERROR(IF(VLOOKUP(A2251,[14]PRIORIZADOS!$A:$H,8,FALSE)="","",VLOOKUP(A2251,[14]PRIORIZADOS!$A:$H,8,FALSE)),"")</f>
        <v>Autoevaluación Institucional y Pruebas SABER 11</v>
      </c>
      <c r="I2251" s="11" t="str">
        <f>IFERROR(IF(VLOOKUP(A2251,[14]PRIORIZADOS!$A:$I,9,FALSE)="","",VLOOKUP(A2251,[14]PRIORIZADOS!$A:$I,9,FALSE)),"")</f>
        <v>EVALUACIÓN_CON_FINES_DE_MEJORAMIENTO.</v>
      </c>
      <c r="J2251" s="11" t="str">
        <f>IFERROR(IF(VLOOKUP(A2251,[14]PRIORIZADOS!$A:$J,10,FALSE)="","",VLOOKUP(A2251,[14]PRIORIZADOS!$A:$J,10,FALSE)),"")</f>
        <v>Verificar el funcionamiento del Gobierno Escolar e instancias de participación con base en la información sobre conformación reportada por la institución educativa.</v>
      </c>
      <c r="K2251" s="11" t="str">
        <f>IFERROR(IF(VLOOKUP(A2251,[14]PRIORIZADOS!$A:$K,11,FALSE)="","",VLOOKUP(A2251,[14]PRIORIZADOS!$A:$K,11,FALSE)),"")</f>
        <v>SANDRA OLINDA GONZÁLEZ REYES</v>
      </c>
      <c r="L2251" s="11" t="str">
        <f>IFERROR(IF(VLOOKUP(A2251,[14]PRIORIZADOS!$A:$L,12,FALSE)="","",VLOOKUP(A2251,[14]PRIORIZADOS!$A:$L,12,FALSE)),"")</f>
        <v>DANIEL ALEJANDRO GRANOBLES</v>
      </c>
      <c r="M2251" s="71">
        <f>IFERROR(IF(VLOOKUP(A2251,[14]PRIORIZADOS!$A:$M,13,FALSE)="","",VLOOKUP(A2251,[14]PRIORIZADOS!$A:$M,13,FALSE)),"")</f>
        <v>45790</v>
      </c>
      <c r="N2251" s="71">
        <f>IFERROR(IF(VLOOKUP(A2251,[14]PRIORIZADOS!$A:$N,14,FALSE)="","",VLOOKUP(A2251,[14]PRIORIZADOS!$A:$N,14,FALSE)),"")</f>
        <v>45807</v>
      </c>
      <c r="O2251" s="71">
        <f>IFERROR(IF(VLOOKUP(A2251,[14]PRIORIZADOS!$A:$O,15,FALSE)="","",VLOOKUP(A2251,[14]PRIORIZADOS!$A:$O,15,FALSE)),"")</f>
        <v>45807</v>
      </c>
      <c r="P2251" s="11" t="str">
        <f>IFERROR(IF(VLOOKUP(A2251,[14]PRIORIZADOS!$A:$P,16,FALSE)="","",VLOOKUP(A2251,[14]PRIORIZADOS!$A:$P,16,FALSE)),"")</f>
        <v>Visitas de evaluación con fines de mejoramiento</v>
      </c>
      <c r="Q2251" s="7" t="s">
        <v>456</v>
      </c>
      <c r="R2251" s="11" t="str">
        <f>IFERROR(IF(VLOOKUP(A2251,[14]PRIORIZADOS!$A:$R,18,FALSE)="","",VLOOKUP(A2251,[14]PRIORIZADOS!$A:$R,18,FALSE)),"")</f>
        <v>Se evidenciaron las actas de conformación de gobierno escolar, las cuales deberán cargarse en el SAE. Sobre el funcionamiento no hay evidencia de que hayan sesionado.</v>
      </c>
      <c r="S2251" s="11" t="str">
        <f>IFERROR(IF(VLOOKUP(A2251,[14]PRIORIZADOS!$A:$S,19,FALSE)="","",VLOOKUP(A2251,[14]PRIORIZADOS!$A:$S,19,FALSE)),"")</f>
        <v>Cargar las actas de conformación en el aplicativo SAE Sesionar con cada órgano de gobierno de conformidad con la periodicidad establecida en la norma</v>
      </c>
      <c r="T2251" s="70" t="str">
        <f>IFERROR(IF(VLOOKUP(A2251,[14]PRIORIZADOS!$A:$T,20,FALSE)="","",VLOOKUP(A2251,[14]PRIORIZADOS!$A:$T,20,FALSE)),"")</f>
        <v>Si</v>
      </c>
      <c r="U2251" s="11" t="str">
        <f>IFERROR(IF(VLOOKUP(A2251,[14]PRIORIZADOS!$A:$U,21,FALSE)="","",VLOOKUP(A2251,[14]PRIORIZADOS!$A:$U,21,FALSE)),"")</f>
        <v>Verificar el SAE  y verificar las actas que evidencien el funcionamiento de  los órganos de gobierno.</v>
      </c>
    </row>
    <row r="2252" spans="1:21" s="1" customFormat="1" ht="60">
      <c r="A2252" s="69">
        <f>IF([14]PRIORIZADOS!A299="","",[14]PRIORIZADOS!A299)</f>
        <v>2220</v>
      </c>
      <c r="B2252" s="70">
        <f>IFERROR(IF(VLOOKUP(A2252,[14]PRIORIZADOS!$A:$B,2,FALSE)="","",VLOOKUP(A2252,[14]PRIORIZADOS!$A:$B,2,FALSE)),"")</f>
        <v>32</v>
      </c>
      <c r="C2252" s="11" t="s">
        <v>424</v>
      </c>
      <c r="D2252" s="11" t="str">
        <f>IFERROR(IF(VLOOKUP(A2252,[14]PRIORIZADOS!$A:$D,4,FALSE)="","",VLOOKUP(A2252,[14]PRIORIZADOS!$A:$D,4,FALSE)),"")</f>
        <v>PRIVADO</v>
      </c>
      <c r="E2252" s="11" t="str">
        <f>IFERROR(IF(VLOOKUP(A2252,[14]PRIORIZADOS!$A:$E,5,FALSE)="","",VLOOKUP(A2252,[14]PRIORIZADOS!$A:$E,5,FALSE)),"")</f>
        <v>EPBM</v>
      </c>
      <c r="F2252" s="11" t="str">
        <f>IFERROR(IF(VLOOKUP(A2252,[14]PRIORIZADOS!$A:$F,6,FALSE)="","",VLOOKUP(A2252,[14]PRIORIZADOS!$A:$F,6,FALSE)),"")</f>
        <v>LICEO_BET_EL</v>
      </c>
      <c r="G2252" s="11" t="str">
        <f>IFERROR(IF(VLOOKUP(A2252,[14]PRIORIZADOS!$A:$G,7,FALSE)="","",VLOOKUP(A2252,[14]PRIORIZADOS!$A:$G,7,FALSE)),"")</f>
        <v>LICEO BET-EL</v>
      </c>
      <c r="H2252" s="11" t="str">
        <f>IFERROR(IF(VLOOKUP(A2252,[14]PRIORIZADOS!$A:$H,8,FALSE)="","",VLOOKUP(A2252,[14]PRIORIZADOS!$A:$H,8,FALSE)),"")</f>
        <v>Autoevaluación Institucional y Pruebas SABER 11</v>
      </c>
      <c r="I2252" s="11" t="str">
        <f>IFERROR(IF(VLOOKUP(A2252,[14]PRIORIZADOS!$A:$I,9,FALSE)="","",VLOOKUP(A2252,[14]PRIORIZADOS!$A:$I,9,FALSE)),"")</f>
        <v>EVALUACIÓN_CON_FINES_DE_MEJORAMIENTO.</v>
      </c>
      <c r="J2252" s="11" t="str">
        <f>IFERROR(IF(VLOOKUP(A2252,[14]PRIORIZADOS!$A:$J,10,FALSE)="","",VLOOKUP(A2252,[14]PRIORIZADOS!$A:$J,10,FALSE)),"")</f>
        <v>Verificar las condiciones en cuanto a: la estructura administrativa, condiciones de la planta física y medios educativos adecuados.</v>
      </c>
      <c r="K2252" s="11" t="str">
        <f>IFERROR(IF(VLOOKUP(A2252,[14]PRIORIZADOS!$A:$K,11,FALSE)="","",VLOOKUP(A2252,[14]PRIORIZADOS!$A:$K,11,FALSE)),"")</f>
        <v>SANDRA OLINDA GONZÁLEZ REYES</v>
      </c>
      <c r="L2252" s="11" t="str">
        <f>IFERROR(IF(VLOOKUP(A2252,[14]PRIORIZADOS!$A:$L,12,FALSE)="","",VLOOKUP(A2252,[14]PRIORIZADOS!$A:$L,12,FALSE)),"")</f>
        <v>DANIEL ALEJANDRO GRANOBLES</v>
      </c>
      <c r="M2252" s="71">
        <f>IFERROR(IF(VLOOKUP(A2252,[14]PRIORIZADOS!$A:$M,13,FALSE)="","",VLOOKUP(A2252,[14]PRIORIZADOS!$A:$M,13,FALSE)),"")</f>
        <v>45790</v>
      </c>
      <c r="N2252" s="71">
        <f>IFERROR(IF(VLOOKUP(A2252,[14]PRIORIZADOS!$A:$N,14,FALSE)="","",VLOOKUP(A2252,[14]PRIORIZADOS!$A:$N,14,FALSE)),"")</f>
        <v>45807</v>
      </c>
      <c r="O2252" s="71">
        <f>IFERROR(IF(VLOOKUP(A2252,[14]PRIORIZADOS!$A:$O,15,FALSE)="","",VLOOKUP(A2252,[14]PRIORIZADOS!$A:$O,15,FALSE)),"")</f>
        <v>45807</v>
      </c>
      <c r="P2252" s="11" t="str">
        <f>IFERROR(IF(VLOOKUP(A2252,[14]PRIORIZADOS!$A:$P,16,FALSE)="","",VLOOKUP(A2252,[14]PRIORIZADOS!$A:$P,16,FALSE)),"")</f>
        <v>Visitas de evaluación con fines de mejoramiento</v>
      </c>
      <c r="Q2252" s="7" t="s">
        <v>456</v>
      </c>
      <c r="R2252" s="11" t="str">
        <f>IFERROR(IF(VLOOKUP(A2252,[14]PRIORIZADOS!$A:$R,18,FALSE)="","",VLOOKUP(A2252,[14]PRIORIZADOS!$A:$R,18,FALSE)),"")</f>
        <v xml:space="preserve">Existen espacios para cada ambiente organizadosy limpios, unidades sanitarias suficientes, ascensor para discapacitados, uso exclusivo de parque aledaño, enfermeria con ducha </v>
      </c>
      <c r="S2252" s="11" t="str">
        <f>IFERROR(IF(VLOOKUP(A2252,[14]PRIORIZADOS!$A:$S,19,FALSE)="","",VLOOKUP(A2252,[14]PRIORIZADOS!$A:$S,19,FALSE)),"")</f>
        <v>Habilitar la ducha de la enfermeria</v>
      </c>
      <c r="T2252" s="70" t="str">
        <f>IFERROR(IF(VLOOKUP(A2252,[14]PRIORIZADOS!$A:$T,20,FALSE)="","",VLOOKUP(A2252,[14]PRIORIZADOS!$A:$T,20,FALSE)),"")</f>
        <v>Si</v>
      </c>
      <c r="U2252" s="11" t="str">
        <f>IFERROR(IF(VLOOKUP(A2252,[14]PRIORIZADOS!$A:$U,21,FALSE)="","",VLOOKUP(A2252,[14]PRIORIZADOS!$A:$U,21,FALSE)),"")</f>
        <v>Verificar mediante registro fotografico la ducha habilitada.</v>
      </c>
    </row>
    <row r="2253" spans="1:21" s="1" customFormat="1" ht="43.5">
      <c r="A2253" s="69">
        <f>IF([14]PRIORIZADOS!A300="","",[14]PRIORIZADOS!A300)</f>
        <v>2221</v>
      </c>
      <c r="B2253" s="70">
        <f>IFERROR(IF(VLOOKUP(A2253,[14]PRIORIZADOS!$A:$B,2,FALSE)="","",VLOOKUP(A2253,[14]PRIORIZADOS!$A:$B,2,FALSE)),"")</f>
        <v>33</v>
      </c>
      <c r="C2253" s="11" t="s">
        <v>424</v>
      </c>
      <c r="D2253" s="11" t="str">
        <f>IFERROR(IF(VLOOKUP(A2253,[14]PRIORIZADOS!$A:$D,4,FALSE)="","",VLOOKUP(A2253,[14]PRIORIZADOS!$A:$D,4,FALSE)),"")</f>
        <v>PRIVADO</v>
      </c>
      <c r="E2253" s="11" t="str">
        <f>IFERROR(IF(VLOOKUP(A2253,[14]PRIORIZADOS!$A:$E,5,FALSE)="","",VLOOKUP(A2253,[14]PRIORIZADOS!$A:$E,5,FALSE)),"")</f>
        <v>EPBM</v>
      </c>
      <c r="F2253" s="11" t="str">
        <f>IFERROR(IF(VLOOKUP(A2253,[14]PRIORIZADOS!$A:$F,6,FALSE)="","",VLOOKUP(A2253,[14]PRIORIZADOS!$A:$F,6,FALSE)),"")</f>
        <v>INSTITUTO_TECNICO_COMERCIAL_CERROS_DE_SUBA</v>
      </c>
      <c r="G2253" s="11" t="str">
        <f>IFERROR(IF(VLOOKUP(A2253,[14]PRIORIZADOS!$A:$G,7,FALSE)="","",VLOOKUP(A2253,[14]PRIORIZADOS!$A:$G,7,FALSE)),"")</f>
        <v>INSTITUTO TECNICO COMERCIAL CERROS DE SUBA</v>
      </c>
      <c r="H2253" s="11" t="str">
        <f>IFERROR(IF(VLOOKUP(A2253,[14]PRIORIZADOS!$A:$H,8,FALSE)="","",VLOOKUP(A2253,[14]PRIORIZADOS!$A:$H,8,FALSE)),"")</f>
        <v>Autoevaluación Institucional y Pruebas SABER 11</v>
      </c>
      <c r="I2253" s="11" t="str">
        <f>IFERROR(IF(VLOOKUP(A2253,[14]PRIORIZADOS!$A:$I,9,FALSE)="","",VLOOKUP(A2253,[14]PRIORIZADOS!$A:$I,9,FALSE)),"")</f>
        <v>SEGUIMIENTO_Y_SUPERVISIÓN.</v>
      </c>
      <c r="J2253" s="11" t="str">
        <f>IFERROR(IF(VLOOKUP(A2253,[14]PRIORIZADOS!$A:$J,10,FALSE)="","",VLOOKUP(A2253,[14]PRIORIZADOS!$A:$J,10,FALSE)),"")</f>
        <v>Realizar visitas para verificar la información registrada sobre la autoevaluación institucional en el aplicativo EVI, a los establecimientos de educación formal no oficial.</v>
      </c>
      <c r="K2253" s="11" t="str">
        <f>IFERROR(IF(VLOOKUP(A2253,[14]PRIORIZADOS!$A:$K,11,FALSE)="","",VLOOKUP(A2253,[14]PRIORIZADOS!$A:$K,11,FALSE)),"")</f>
        <v>DANIEL ALEJANDRO GRANOBLES</v>
      </c>
      <c r="L2253" s="11" t="str">
        <f>IFERROR(IF(VLOOKUP(A2253,[14]PRIORIZADOS!$A:$L,12,FALSE)="","",VLOOKUP(A2253,[14]PRIORIZADOS!$A:$L,12,FALSE)),"")</f>
        <v>SANDRA OLINDA GONZÁLEZ REYES</v>
      </c>
      <c r="M2253" s="71">
        <f>IFERROR(IF(VLOOKUP(A2253,[14]PRIORIZADOS!$A:$M,13,FALSE)="","",VLOOKUP(A2253,[14]PRIORIZADOS!$A:$M,13,FALSE)),"")</f>
        <v>45797</v>
      </c>
      <c r="N2253" s="71">
        <f>IFERROR(IF(VLOOKUP(A2253,[14]PRIORIZADOS!$A:$N,14,FALSE)="","",VLOOKUP(A2253,[14]PRIORIZADOS!$A:$N,14,FALSE)),"")</f>
        <v>45818</v>
      </c>
      <c r="O2253" s="71">
        <f>IFERROR(IF(VLOOKUP(A2253,[14]PRIORIZADOS!$A:$O,15,FALSE)="","",VLOOKUP(A2253,[14]PRIORIZADOS!$A:$O,15,FALSE)),"")</f>
        <v>45818</v>
      </c>
      <c r="P2253" s="11" t="str">
        <f>IFERROR(IF(VLOOKUP(A2253,[14]PRIORIZADOS!$A:$P,16,FALSE)="","",VLOOKUP(A2253,[14]PRIORIZADOS!$A:$P,16,FALSE)),"")</f>
        <v>Visitas de evaluación con fines de seguimiento</v>
      </c>
      <c r="Q2253" s="7" t="s">
        <v>457</v>
      </c>
      <c r="R2253" s="11" t="str">
        <f>IFERROR(IF(VLOOKUP(A2253,[14]PRIORIZADOS!$A:$R,18,FALSE)="","",VLOOKUP(A2253,[14]PRIORIZADOS!$A:$R,18,FALSE)),"")</f>
        <v>Se evidencio que la instittución ha diligenciado el aplicativo EVI y cuenta con la resolución de Tarifas para 2025</v>
      </c>
      <c r="S2253" s="11" t="str">
        <f>IFERROR(IF(VLOOKUP(A2253,[14]PRIORIZADOS!$A:$S,19,FALSE)="","",VLOOKUP(A2253,[14]PRIORIZADOS!$A:$S,19,FALSE)),"")</f>
        <v>Continuar con el diligenciamiento  del aplicativo y la publicación de los documentos requeridos</v>
      </c>
      <c r="T2253" s="70" t="str">
        <f>IFERROR(IF(VLOOKUP(A2253,[14]PRIORIZADOS!$A:$T,20,FALSE)="","",VLOOKUP(A2253,[14]PRIORIZADOS!$A:$T,20,FALSE)),"")</f>
        <v>No</v>
      </c>
      <c r="U2253" s="11" t="str">
        <f>IFERROR(IF(VLOOKUP(A2253,[14]PRIORIZADOS!$A:$U,21,FALSE)="","",VLOOKUP(A2253,[14]PRIORIZADOS!$A:$U,21,FALSE)),"")</f>
        <v>Verificar el proceso de tarifas 2026</v>
      </c>
    </row>
    <row r="2254" spans="1:21" s="1" customFormat="1" ht="107.25">
      <c r="A2254" s="69">
        <f>IF([14]PRIORIZADOS!A301="","",[14]PRIORIZADOS!A301)</f>
        <v>2222</v>
      </c>
      <c r="B2254" s="70">
        <f>IFERROR(IF(VLOOKUP(A2254,[14]PRIORIZADOS!$A:$B,2,FALSE)="","",VLOOKUP(A2254,[14]PRIORIZADOS!$A:$B,2,FALSE)),"")</f>
        <v>33</v>
      </c>
      <c r="C2254" s="11" t="s">
        <v>424</v>
      </c>
      <c r="D2254" s="11" t="str">
        <f>IFERROR(IF(VLOOKUP(A2254,[14]PRIORIZADOS!$A:$D,4,FALSE)="","",VLOOKUP(A2254,[14]PRIORIZADOS!$A:$D,4,FALSE)),"")</f>
        <v>PRIVADO</v>
      </c>
      <c r="E2254" s="11" t="str">
        <f>IFERROR(IF(VLOOKUP(A2254,[14]PRIORIZADOS!$A:$E,5,FALSE)="","",VLOOKUP(A2254,[14]PRIORIZADOS!$A:$E,5,FALSE)),"")</f>
        <v>EPBM</v>
      </c>
      <c r="F2254" s="11" t="str">
        <f>IFERROR(IF(VLOOKUP(A2254,[14]PRIORIZADOS!$A:$F,6,FALSE)="","",VLOOKUP(A2254,[14]PRIORIZADOS!$A:$F,6,FALSE)),"")</f>
        <v>INSTITUTO_TECNICO_COMERCIAL_CERROS_DE_SUBA</v>
      </c>
      <c r="G2254" s="11" t="str">
        <f>IFERROR(IF(VLOOKUP(A2254,[14]PRIORIZADOS!$A:$G,7,FALSE)="","",VLOOKUP(A2254,[14]PRIORIZADOS!$A:$G,7,FALSE)),"")</f>
        <v>INSTITUTO TECNICO COMERCIAL CERROS DE SUBA</v>
      </c>
      <c r="H2254" s="11" t="str">
        <f>IFERROR(IF(VLOOKUP(A2254,[14]PRIORIZADOS!$A:$H,8,FALSE)="","",VLOOKUP(A2254,[14]PRIORIZADOS!$A:$H,8,FALSE)),"")</f>
        <v>Autoevaluación Institucional y Pruebas SABER 11</v>
      </c>
      <c r="I2254" s="11" t="str">
        <f>IFERROR(IF(VLOOKUP(A2254,[14]PRIORIZADOS!$A:$I,9,FALSE)="","",VLOOKUP(A2254,[14]PRIORIZADOS!$A:$I,9,FALSE)),"")</f>
        <v>SEGUIMIENTO_Y_SUPERVISIÓN.</v>
      </c>
      <c r="J2254" s="11" t="str">
        <f>IFERROR(IF(VLOOKUP(A2254,[14]PRIORIZADOS!$A:$J,10,FALSE)="","",VLOOKUP(A2254,[14]PRIORIZADOS!$A:$J,10,FALSE)),"")</f>
        <v>Proponer estrategias en la formulación, verificar su elaboración y realizar seguimiento semestral al desarrollo de  las acciones establecidas en los planes de mejoramiento por pruebas SABER 11 de los establecimientos de educación formal.</v>
      </c>
      <c r="K2254" s="11" t="str">
        <f>IFERROR(IF(VLOOKUP(A2254,[14]PRIORIZADOS!$A:$K,11,FALSE)="","",VLOOKUP(A2254,[14]PRIORIZADOS!$A:$K,11,FALSE)),"")</f>
        <v>DANIEL ALEJANDRO GRANOBLES</v>
      </c>
      <c r="L2254" s="11" t="str">
        <f>IFERROR(IF(VLOOKUP(A2254,[14]PRIORIZADOS!$A:$L,12,FALSE)="","",VLOOKUP(A2254,[14]PRIORIZADOS!$A:$L,12,FALSE)),"")</f>
        <v>SANDRA OLINDA GONZÁLEZ REYES</v>
      </c>
      <c r="M2254" s="71">
        <f>IFERROR(IF(VLOOKUP(A2254,[14]PRIORIZADOS!$A:$M,13,FALSE)="","",VLOOKUP(A2254,[14]PRIORIZADOS!$A:$M,13,FALSE)),"")</f>
        <v>45797</v>
      </c>
      <c r="N2254" s="71">
        <f>IFERROR(IF(VLOOKUP(A2254,[14]PRIORIZADOS!$A:$N,14,FALSE)="","",VLOOKUP(A2254,[14]PRIORIZADOS!$A:$N,14,FALSE)),"")</f>
        <v>45818</v>
      </c>
      <c r="O2254" s="71">
        <f>IFERROR(IF(VLOOKUP(A2254,[14]PRIORIZADOS!$A:$O,15,FALSE)="","",VLOOKUP(A2254,[14]PRIORIZADOS!$A:$O,15,FALSE)),"")</f>
        <v>45818</v>
      </c>
      <c r="P2254" s="11" t="str">
        <f>IFERROR(IF(VLOOKUP(A2254,[14]PRIORIZADOS!$A:$P,16,FALSE)="","",VLOOKUP(A2254,[14]PRIORIZADOS!$A:$P,16,FALSE)),"")</f>
        <v>Visitas de evaluación con fines de seguimiento</v>
      </c>
      <c r="Q2254" s="7" t="s">
        <v>457</v>
      </c>
      <c r="R2254" s="11" t="str">
        <f>IFERROR(IF(VLOOKUP(A2254,[14]PRIORIZADOS!$A:$R,18,FALSE)="","",VLOOKUP(A2254,[14]PRIORIZADOS!$A:$R,18,FALSE)),"")</f>
        <v>Se encuentra clasificado en B en las pruebas ICFES, resultado que se revisó con los docentes,el cual presentan un diagnostico que han impactado estos resulatdos y han considerado: El impacto del aprendizaje en Pandemia, e interes de los estudiantes y la variedad de practicas docentes en la realización en este tipo de pruebas</v>
      </c>
      <c r="S2254" s="11" t="str">
        <f>IFERROR(IF(VLOOKUP(A2254,[14]PRIORIZADOS!$A:$S,19,FALSE)="","",VLOOKUP(A2254,[14]PRIORIZADOS!$A:$S,19,FALSE)),"")</f>
        <v>Realizar seguimiento a los resultados en las araes de matematicas, lenguaje , idioma extranjero para fortalecer estas areas desde el curriculo, entrenamiento a docentes en la preparación de preguntas en este tipo de estilo, fortalecer los procesos lectores, comprensión y logica matematica</v>
      </c>
      <c r="T2254" s="70" t="str">
        <f>IFERROR(IF(VLOOKUP(A2254,[14]PRIORIZADOS!$A:$T,20,FALSE)="","",VLOOKUP(A2254,[14]PRIORIZADOS!$A:$T,20,FALSE)),"")</f>
        <v>No</v>
      </c>
      <c r="U2254" s="11" t="str">
        <f>IFERROR(IF(VLOOKUP(A2254,[14]PRIORIZADOS!$A:$U,21,FALSE)="","",VLOOKUP(A2254,[14]PRIORIZADOS!$A:$U,21,FALSE)),"")</f>
        <v xml:space="preserve">Continuar con revisión de los resultados y valorara las estrategias </v>
      </c>
    </row>
    <row r="2255" spans="1:21" s="1" customFormat="1" ht="60">
      <c r="A2255" s="69">
        <f>IF([14]PRIORIZADOS!A302="","",[14]PRIORIZADOS!A302)</f>
        <v>2223</v>
      </c>
      <c r="B2255" s="70">
        <f>IFERROR(IF(VLOOKUP(A2255,[14]PRIORIZADOS!$A:$B,2,FALSE)="","",VLOOKUP(A2255,[14]PRIORIZADOS!$A:$B,2,FALSE)),"")</f>
        <v>33</v>
      </c>
      <c r="C2255" s="11" t="s">
        <v>424</v>
      </c>
      <c r="D2255" s="11" t="str">
        <f>IFERROR(IF(VLOOKUP(A2255,[14]PRIORIZADOS!$A:$D,4,FALSE)="","",VLOOKUP(A2255,[14]PRIORIZADOS!$A:$D,4,FALSE)),"")</f>
        <v>PRIVADO</v>
      </c>
      <c r="E2255" s="11" t="str">
        <f>IFERROR(IF(VLOOKUP(A2255,[14]PRIORIZADOS!$A:$E,5,FALSE)="","",VLOOKUP(A2255,[14]PRIORIZADOS!$A:$E,5,FALSE)),"")</f>
        <v>EPBM</v>
      </c>
      <c r="F2255" s="11" t="str">
        <f>IFERROR(IF(VLOOKUP(A2255,[14]PRIORIZADOS!$A:$F,6,FALSE)="","",VLOOKUP(A2255,[14]PRIORIZADOS!$A:$F,6,FALSE)),"")</f>
        <v>INSTITUTO_TECNICO_COMERCIAL_CERROS_DE_SUBA</v>
      </c>
      <c r="G2255" s="11" t="str">
        <f>IFERROR(IF(VLOOKUP(A2255,[14]PRIORIZADOS!$A:$G,7,FALSE)="","",VLOOKUP(A2255,[14]PRIORIZADOS!$A:$G,7,FALSE)),"")</f>
        <v>INSTITUTO TECNICO COMERCIAL CERROS DE SUBA</v>
      </c>
      <c r="H2255" s="11" t="str">
        <f>IFERROR(IF(VLOOKUP(A2255,[14]PRIORIZADOS!$A:$H,8,FALSE)="","",VLOOKUP(A2255,[14]PRIORIZADOS!$A:$H,8,FALSE)),"")</f>
        <v>Autoevaluación Institucional y Pruebas SABER 11</v>
      </c>
      <c r="I2255" s="11" t="str">
        <f>IFERROR(IF(VLOOKUP(A2255,[14]PRIORIZADOS!$A:$I,9,FALSE)="","",VLOOKUP(A2255,[14]PRIORIZADOS!$A:$I,9,FALSE)),"")</f>
        <v>SEGUIMIENTO_Y_SUPERVISIÓN.</v>
      </c>
      <c r="J2255" s="11" t="str">
        <f>IFERROR(IF(VLOOKUP(A2255,[14]PRIORIZADOS!$A:$J,10,FALSE)="","",VLOOKUP(A2255,[14]PRIORIZADOS!$A:$J,10,FALSE)),"")</f>
        <v xml:space="preserve">Verificar la implementación por parte de los colegios, de acciones realizadas para la prevención y atención de las situaciones de convivencia en el entorno escolar, según lo establecido en la Directiva 01 de 2022 del MEN. </v>
      </c>
      <c r="K2255" s="11" t="str">
        <f>IFERROR(IF(VLOOKUP(A2255,[14]PRIORIZADOS!$A:$K,11,FALSE)="","",VLOOKUP(A2255,[14]PRIORIZADOS!$A:$K,11,FALSE)),"")</f>
        <v>DANIEL ALEJANDRO GRANOBLES</v>
      </c>
      <c r="L2255" s="11" t="str">
        <f>IFERROR(IF(VLOOKUP(A2255,[14]PRIORIZADOS!$A:$L,12,FALSE)="","",VLOOKUP(A2255,[14]PRIORIZADOS!$A:$L,12,FALSE)),"")</f>
        <v>SANDRA OLINDA GONZÁLEZ REYES</v>
      </c>
      <c r="M2255" s="71">
        <f>IFERROR(IF(VLOOKUP(A2255,[14]PRIORIZADOS!$A:$M,13,FALSE)="","",VLOOKUP(A2255,[14]PRIORIZADOS!$A:$M,13,FALSE)),"")</f>
        <v>45797</v>
      </c>
      <c r="N2255" s="71">
        <f>IFERROR(IF(VLOOKUP(A2255,[14]PRIORIZADOS!$A:$N,14,FALSE)="","",VLOOKUP(A2255,[14]PRIORIZADOS!$A:$N,14,FALSE)),"")</f>
        <v>45818</v>
      </c>
      <c r="O2255" s="71">
        <f>IFERROR(IF(VLOOKUP(A2255,[14]PRIORIZADOS!$A:$O,15,FALSE)="","",VLOOKUP(A2255,[14]PRIORIZADOS!$A:$O,15,FALSE)),"")</f>
        <v>45818</v>
      </c>
      <c r="P2255" s="11" t="str">
        <f>IFERROR(IF(VLOOKUP(A2255,[14]PRIORIZADOS!$A:$P,16,FALSE)="","",VLOOKUP(A2255,[14]PRIORIZADOS!$A:$P,16,FALSE)),"")</f>
        <v>Visitas de evaluación con fines de seguimiento</v>
      </c>
      <c r="Q2255" s="7" t="s">
        <v>457</v>
      </c>
      <c r="R2255" s="11" t="str">
        <f>IFERROR(IF(VLOOKUP(A2255,[14]PRIORIZADOS!$A:$R,18,FALSE)="","",VLOOKUP(A2255,[14]PRIORIZADOS!$A:$R,18,FALSE)),"")</f>
        <v xml:space="preserve">Se verificó las consulta en la página de la policia de los antecedentes de delitos sexuales ubicadas en las hojas de vida de los empleados de conformidad a la directiva  001 del 2022, </v>
      </c>
      <c r="S2255" s="11" t="str">
        <f>IFERROR(IF(VLOOKUP(A2255,[14]PRIORIZADOS!$A:$S,19,FALSE)="","",VLOOKUP(A2255,[14]PRIORIZADOS!$A:$S,19,FALSE)),"")</f>
        <v>Mantener en la carpeta de cada docente y administrativo la  consulta de la página de la Policia cada cuatro meses</v>
      </c>
      <c r="T2255" s="70" t="str">
        <f>IFERROR(IF(VLOOKUP(A2255,[14]PRIORIZADOS!$A:$T,20,FALSE)="","",VLOOKUP(A2255,[14]PRIORIZADOS!$A:$T,20,FALSE)),"")</f>
        <v>No</v>
      </c>
      <c r="U2255" s="11" t="str">
        <f>IFERROR(IF(VLOOKUP(A2255,[14]PRIORIZADOS!$A:$U,21,FALSE)="","",VLOOKUP(A2255,[14]PRIORIZADOS!$A:$U,21,FALSE)),"")</f>
        <v xml:space="preserve">Continuar con la verificación de antecedentes </v>
      </c>
    </row>
    <row r="2256" spans="1:21" s="1" customFormat="1" ht="72">
      <c r="A2256" s="69">
        <f>IF([14]PRIORIZADOS!A303="","",[14]PRIORIZADOS!A303)</f>
        <v>2224</v>
      </c>
      <c r="B2256" s="70">
        <f>IFERROR(IF(VLOOKUP(A2256,[14]PRIORIZADOS!$A:$B,2,FALSE)="","",VLOOKUP(A2256,[14]PRIORIZADOS!$A:$B,2,FALSE)),"")</f>
        <v>33</v>
      </c>
      <c r="C2256" s="11" t="s">
        <v>424</v>
      </c>
      <c r="D2256" s="11" t="str">
        <f>IFERROR(IF(VLOOKUP(A2256,[14]PRIORIZADOS!$A:$D,4,FALSE)="","",VLOOKUP(A2256,[14]PRIORIZADOS!$A:$D,4,FALSE)),"")</f>
        <v>PRIVADO</v>
      </c>
      <c r="E2256" s="11" t="str">
        <f>IFERROR(IF(VLOOKUP(A2256,[14]PRIORIZADOS!$A:$E,5,FALSE)="","",VLOOKUP(A2256,[14]PRIORIZADOS!$A:$E,5,FALSE)),"")</f>
        <v>EPBM</v>
      </c>
      <c r="F2256" s="11" t="str">
        <f>IFERROR(IF(VLOOKUP(A2256,[14]PRIORIZADOS!$A:$F,6,FALSE)="","",VLOOKUP(A2256,[14]PRIORIZADOS!$A:$F,6,FALSE)),"")</f>
        <v>INSTITUTO_TECNICO_COMERCIAL_CERROS_DE_SUBA</v>
      </c>
      <c r="G2256" s="11" t="str">
        <f>IFERROR(IF(VLOOKUP(A2256,[14]PRIORIZADOS!$A:$G,7,FALSE)="","",VLOOKUP(A2256,[14]PRIORIZADOS!$A:$G,7,FALSE)),"")</f>
        <v>INSTITUTO TECNICO COMERCIAL CERROS DE SUBA</v>
      </c>
      <c r="H2256" s="11" t="str">
        <f>IFERROR(IF(VLOOKUP(A2256,[14]PRIORIZADOS!$A:$H,8,FALSE)="","",VLOOKUP(A2256,[14]PRIORIZADOS!$A:$H,8,FALSE)),"")</f>
        <v>Autoevaluación Institucional y Pruebas SABER 11</v>
      </c>
      <c r="I2256" s="11" t="str">
        <f>IFERROR(IF(VLOOKUP(A2256,[14]PRIORIZADOS!$A:$I,9,FALSE)="","",VLOOKUP(A2256,[14]PRIORIZADOS!$A:$I,9,FALSE)),"")</f>
        <v>SEGUIMIENTO_Y_SUPERVISIÓN.</v>
      </c>
      <c r="J2256" s="11" t="str">
        <f>IFERROR(IF(VLOOKUP(A2256,[14]PRIORIZADOS!$A:$J,10,FALSE)="","",VLOOKUP(A2256,[14]PRIORIZADOS!$A:$J,10,FALSE)),"")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56" s="11" t="str">
        <f>IFERROR(IF(VLOOKUP(A2256,[14]PRIORIZADOS!$A:$K,11,FALSE)="","",VLOOKUP(A2256,[14]PRIORIZADOS!$A:$K,11,FALSE)),"")</f>
        <v>DANIEL ALEJANDRO GRANOBLES</v>
      </c>
      <c r="L2256" s="11" t="str">
        <f>IFERROR(IF(VLOOKUP(A2256,[14]PRIORIZADOS!$A:$L,12,FALSE)="","",VLOOKUP(A2256,[14]PRIORIZADOS!$A:$L,12,FALSE)),"")</f>
        <v>SANDRA OLINDA GONZÁLEZ REYES</v>
      </c>
      <c r="M2256" s="71">
        <f>IFERROR(IF(VLOOKUP(A2256,[14]PRIORIZADOS!$A:$M,13,FALSE)="","",VLOOKUP(A2256,[14]PRIORIZADOS!$A:$M,13,FALSE)),"")</f>
        <v>45797</v>
      </c>
      <c r="N2256" s="71">
        <f>IFERROR(IF(VLOOKUP(A2256,[14]PRIORIZADOS!$A:$N,14,FALSE)="","",VLOOKUP(A2256,[14]PRIORIZADOS!$A:$N,14,FALSE)),"")</f>
        <v>45818</v>
      </c>
      <c r="O2256" s="71">
        <f>IFERROR(IF(VLOOKUP(A2256,[14]PRIORIZADOS!$A:$O,15,FALSE)="","",VLOOKUP(A2256,[14]PRIORIZADOS!$A:$O,15,FALSE)),"")</f>
        <v>45818</v>
      </c>
      <c r="P2256" s="11" t="str">
        <f>IFERROR(IF(VLOOKUP(A2256,[14]PRIORIZADOS!$A:$P,16,FALSE)="","",VLOOKUP(A2256,[14]PRIORIZADOS!$A:$P,16,FALSE)),"")</f>
        <v>Visitas de evaluación con fines de seguimiento</v>
      </c>
      <c r="Q2256" s="7" t="s">
        <v>457</v>
      </c>
      <c r="R2256" s="11" t="str">
        <f>IFERROR(IF(VLOOKUP(A2256,[14]PRIORIZADOS!$A:$R,18,FALSE)="","",VLOOKUP(A2256,[14]PRIORIZADOS!$A:$R,18,FALSE)),"")</f>
        <v>Se encuentran 11 estudiantes identificados como población de inclusión, 7 de ellos estan registrados en el SIMAT, cada uno cuenta con el PIAR</v>
      </c>
      <c r="S2256" s="11" t="str">
        <f>IFERROR(IF(VLOOKUP(A2256,[14]PRIORIZADOS!$A:$S,19,FALSE)="","",VLOOKUP(A2256,[14]PRIORIZADOS!$A:$S,19,FALSE)),"")</f>
        <v xml:space="preserve">
Realizar la actualización del SIMAT, con la población de inclusión </v>
      </c>
      <c r="T2256" s="70" t="str">
        <f>IFERROR(IF(VLOOKUP(A2256,[14]PRIORIZADOS!$A:$T,20,FALSE)="","",VLOOKUP(A2256,[14]PRIORIZADOS!$A:$T,20,FALSE)),"")</f>
        <v>Si</v>
      </c>
      <c r="U2256" s="11" t="str">
        <f>IFERROR(IF(VLOOKUP(A2256,[14]PRIORIZADOS!$A:$U,21,FALSE)="","",VLOOKUP(A2256,[14]PRIORIZADOS!$A:$U,21,FALSE)),"")</f>
        <v>Revisar el reporte SIMAT y los PIAR de los estudiantes reportados</v>
      </c>
    </row>
    <row r="2257" spans="1:21" s="1" customFormat="1" ht="84">
      <c r="A2257" s="69">
        <f>IF([14]PRIORIZADOS!A304="","",[14]PRIORIZADOS!A304)</f>
        <v>2225</v>
      </c>
      <c r="B2257" s="70">
        <f>IFERROR(IF(VLOOKUP(A2257,[14]PRIORIZADOS!$A:$B,2,FALSE)="","",VLOOKUP(A2257,[14]PRIORIZADOS!$A:$B,2,FALSE)),"")</f>
        <v>33</v>
      </c>
      <c r="C2257" s="11" t="s">
        <v>424</v>
      </c>
      <c r="D2257" s="11" t="str">
        <f>IFERROR(IF(VLOOKUP(A2257,[14]PRIORIZADOS!$A:$D,4,FALSE)="","",VLOOKUP(A2257,[14]PRIORIZADOS!$A:$D,4,FALSE)),"")</f>
        <v>PRIVADO</v>
      </c>
      <c r="E2257" s="11" t="str">
        <f>IFERROR(IF(VLOOKUP(A2257,[14]PRIORIZADOS!$A:$E,5,FALSE)="","",VLOOKUP(A2257,[14]PRIORIZADOS!$A:$E,5,FALSE)),"")</f>
        <v>EPBM</v>
      </c>
      <c r="F2257" s="11" t="str">
        <f>IFERROR(IF(VLOOKUP(A2257,[14]PRIORIZADOS!$A:$F,6,FALSE)="","",VLOOKUP(A2257,[14]PRIORIZADOS!$A:$F,6,FALSE)),"")</f>
        <v>INSTITUTO_TECNICO_COMERCIAL_CERROS_DE_SUBA</v>
      </c>
      <c r="G2257" s="11" t="str">
        <f>IFERROR(IF(VLOOKUP(A2257,[14]PRIORIZADOS!$A:$G,7,FALSE)="","",VLOOKUP(A2257,[14]PRIORIZADOS!$A:$G,7,FALSE)),"")</f>
        <v>INSTITUTO TECNICO COMERCIAL CERROS DE SUBA</v>
      </c>
      <c r="H2257" s="11" t="str">
        <f>IFERROR(IF(VLOOKUP(A2257,[14]PRIORIZADOS!$A:$H,8,FALSE)="","",VLOOKUP(A2257,[14]PRIORIZADOS!$A:$H,8,FALSE)),"")</f>
        <v>Autoevaluación Institucional y Pruebas SABER 11</v>
      </c>
      <c r="I2257" s="11" t="str">
        <f>IFERROR(IF(VLOOKUP(A2257,[14]PRIORIZADOS!$A:$I,9,FALSE)="","",VLOOKUP(A2257,[14]PRIORIZADOS!$A:$I,9,FALSE)),"")</f>
        <v>EVALUACIÓN_CON_FINES_DE_MEJORAMIENTO.</v>
      </c>
      <c r="J2257" s="11" t="str">
        <f>IFERROR(IF(VLOOKUP(A2257,[14]PRIORIZADOS!$A:$J,10,FALSE)="","",VLOOKUP(A2257,[14]PRIORIZADOS!$A:$J,10,FALSE)),"")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57" s="11" t="str">
        <f>IFERROR(IF(VLOOKUP(A2257,[14]PRIORIZADOS!$A:$K,11,FALSE)="","",VLOOKUP(A2257,[14]PRIORIZADOS!$A:$K,11,FALSE)),"")</f>
        <v>DANIEL ALEJANDRO GRANOBLES</v>
      </c>
      <c r="L2257" s="11" t="str">
        <f>IFERROR(IF(VLOOKUP(A2257,[14]PRIORIZADOS!$A:$L,12,FALSE)="","",VLOOKUP(A2257,[14]PRIORIZADOS!$A:$L,12,FALSE)),"")</f>
        <v>SANDRA OLINDA GONZÁLEZ REYES</v>
      </c>
      <c r="M2257" s="71">
        <f>IFERROR(IF(VLOOKUP(A2257,[14]PRIORIZADOS!$A:$M,13,FALSE)="","",VLOOKUP(A2257,[14]PRIORIZADOS!$A:$M,13,FALSE)),"")</f>
        <v>45797</v>
      </c>
      <c r="N2257" s="71">
        <f>IFERROR(IF(VLOOKUP(A2257,[14]PRIORIZADOS!$A:$N,14,FALSE)="","",VLOOKUP(A2257,[14]PRIORIZADOS!$A:$N,14,FALSE)),"")</f>
        <v>45818</v>
      </c>
      <c r="O2257" s="71">
        <f>IFERROR(IF(VLOOKUP(A2257,[14]PRIORIZADOS!$A:$O,15,FALSE)="","",VLOOKUP(A2257,[14]PRIORIZADOS!$A:$O,15,FALSE)),"")</f>
        <v>45818</v>
      </c>
      <c r="P2257" s="11" t="str">
        <f>IFERROR(IF(VLOOKUP(A2257,[14]PRIORIZADOS!$A:$P,16,FALSE)="","",VLOOKUP(A2257,[14]PRIORIZADOS!$A:$P,16,FALSE)),"")</f>
        <v>Visitas de evaluación con fines de mejoramiento</v>
      </c>
      <c r="Q2257" s="7" t="s">
        <v>457</v>
      </c>
      <c r="R2257" s="11" t="str">
        <f>IFERROR(IF(VLOOKUP(A2257,[14]PRIORIZADOS!$A:$R,18,FALSE)="","",VLOOKUP(A2257,[14]PRIORIZADOS!$A:$R,18,FALSE)),"")</f>
        <v>La institucion cuenta con el Manual de Convivencia, aprobado y adoptado por la ciomunidad educativa, incluye los procedimientos para la activación de la ruta integral  y el debido proceso</v>
      </c>
      <c r="S2257" s="11" t="str">
        <f>IFERROR(IF(VLOOKUP(A2257,[14]PRIORIZADOS!$A:$S,19,FALSE)="","",VLOOKUP(A2257,[14]PRIORIZADOS!$A:$S,19,FALSE)),"")</f>
        <v>Actualizar el manual de convivencia entregarlo para revisión.</v>
      </c>
      <c r="T2257" s="70" t="str">
        <f>IFERROR(IF(VLOOKUP(A2257,[14]PRIORIZADOS!$A:$T,20,FALSE)="","",VLOOKUP(A2257,[14]PRIORIZADOS!$A:$T,20,FALSE)),"")</f>
        <v>Si</v>
      </c>
      <c r="U2257" s="11" t="str">
        <f>IFERROR(IF(VLOOKUP(A2257,[14]PRIORIZADOS!$A:$U,21,FALSE)="","",VLOOKUP(A2257,[14]PRIORIZADOS!$A:$U,21,FALSE)),"")</f>
        <v>Revisión del manual de convivencia y entrega de las observaciones realizadas.</v>
      </c>
    </row>
    <row r="2258" spans="1:21" s="1" customFormat="1" ht="96">
      <c r="A2258" s="69">
        <f>IF([14]PRIORIZADOS!A305="","",[14]PRIORIZADOS!A305)</f>
        <v>2226</v>
      </c>
      <c r="B2258" s="70">
        <f>IFERROR(IF(VLOOKUP(A2258,[14]PRIORIZADOS!$A:$B,2,FALSE)="","",VLOOKUP(A2258,[14]PRIORIZADOS!$A:$B,2,FALSE)),"")</f>
        <v>33</v>
      </c>
      <c r="C2258" s="11" t="s">
        <v>424</v>
      </c>
      <c r="D2258" s="11" t="str">
        <f>IFERROR(IF(VLOOKUP(A2258,[14]PRIORIZADOS!$A:$D,4,FALSE)="","",VLOOKUP(A2258,[14]PRIORIZADOS!$A:$D,4,FALSE)),"")</f>
        <v>PRIVADO</v>
      </c>
      <c r="E2258" s="11" t="str">
        <f>IFERROR(IF(VLOOKUP(A2258,[14]PRIORIZADOS!$A:$E,5,FALSE)="","",VLOOKUP(A2258,[14]PRIORIZADOS!$A:$E,5,FALSE)),"")</f>
        <v>EPBM</v>
      </c>
      <c r="F2258" s="11" t="str">
        <f>IFERROR(IF(VLOOKUP(A2258,[14]PRIORIZADOS!$A:$F,6,FALSE)="","",VLOOKUP(A2258,[14]PRIORIZADOS!$A:$F,6,FALSE)),"")</f>
        <v>INSTITUTO_TECNICO_COMERCIAL_CERROS_DE_SUBA</v>
      </c>
      <c r="G2258" s="11" t="str">
        <f>IFERROR(IF(VLOOKUP(A2258,[14]PRIORIZADOS!$A:$G,7,FALSE)="","",VLOOKUP(A2258,[14]PRIORIZADOS!$A:$G,7,FALSE)),"")</f>
        <v>INSTITUTO TECNICO COMERCIAL CERROS DE SUBA</v>
      </c>
      <c r="H2258" s="11" t="str">
        <f>IFERROR(IF(VLOOKUP(A2258,[14]PRIORIZADOS!$A:$H,8,FALSE)="","",VLOOKUP(A2258,[14]PRIORIZADOS!$A:$H,8,FALSE)),"")</f>
        <v>Autoevaluación Institucional y Pruebas SABER 11</v>
      </c>
      <c r="I2258" s="11" t="str">
        <f>IFERROR(IF(VLOOKUP(A2258,[14]PRIORIZADOS!$A:$I,9,FALSE)="","",VLOOKUP(A2258,[14]PRIORIZADOS!$A:$I,9,FALSE)),"")</f>
        <v>EVALUACIÓN_CON_FINES_DE_MEJORAMIENTO.</v>
      </c>
      <c r="J2258" s="11" t="str">
        <f>IFERROR(IF(VLOOKUP(A2258,[14]PRIORIZADOS!$A:$J,10,FALSE)="","",VLOOKUP(A2258,[14]PRIORIZADOS!$A:$J,10,FALSE)),"")</f>
        <v>Revisar la actualización, socialización e implementación del Sistema Institucional de Evaluación de Estudiantes - SIEE, en articulación con la actualización del PEI y la normatividad vigente.</v>
      </c>
      <c r="K2258" s="11" t="str">
        <f>IFERROR(IF(VLOOKUP(A2258,[14]PRIORIZADOS!$A:$K,11,FALSE)="","",VLOOKUP(A2258,[14]PRIORIZADOS!$A:$K,11,FALSE)),"")</f>
        <v>DANIEL ALEJANDRO GRANOBLES</v>
      </c>
      <c r="L2258" s="11" t="str">
        <f>IFERROR(IF(VLOOKUP(A2258,[14]PRIORIZADOS!$A:$L,12,FALSE)="","",VLOOKUP(A2258,[14]PRIORIZADOS!$A:$L,12,FALSE)),"")</f>
        <v>SANDRA OLINDA GONZÁLEZ REYES</v>
      </c>
      <c r="M2258" s="71">
        <f>IFERROR(IF(VLOOKUP(A2258,[14]PRIORIZADOS!$A:$M,13,FALSE)="","",VLOOKUP(A2258,[14]PRIORIZADOS!$A:$M,13,FALSE)),"")</f>
        <v>45797</v>
      </c>
      <c r="N2258" s="71">
        <f>IFERROR(IF(VLOOKUP(A2258,[14]PRIORIZADOS!$A:$N,14,FALSE)="","",VLOOKUP(A2258,[14]PRIORIZADOS!$A:$N,14,FALSE)),"")</f>
        <v>45818</v>
      </c>
      <c r="O2258" s="71">
        <f>IFERROR(IF(VLOOKUP(A2258,[14]PRIORIZADOS!$A:$O,15,FALSE)="","",VLOOKUP(A2258,[14]PRIORIZADOS!$A:$O,15,FALSE)),"")</f>
        <v>45818</v>
      </c>
      <c r="P2258" s="11" t="str">
        <f>IFERROR(IF(VLOOKUP(A2258,[14]PRIORIZADOS!$A:$P,16,FALSE)="","",VLOOKUP(A2258,[14]PRIORIZADOS!$A:$P,16,FALSE)),"")</f>
        <v>Visitas de evaluación con fines de mejoramiento</v>
      </c>
      <c r="Q2258" s="7" t="s">
        <v>457</v>
      </c>
      <c r="R2258" s="11" t="str">
        <f>IFERROR(IF(VLOOKUP(A2258,[14]PRIORIZADOS!$A:$R,18,FALSE)="","",VLOOKUP(A2258,[14]PRIORIZADOS!$A:$R,18,FALSE)),"")</f>
        <v>La institución cuenta con el SIEE adoptado por el Consejo Directivos, es preciso revisar la evaluación en el nivel de preescolar, el nombramiento de las areas fundamentales en los certificados expedidos en los niveles de educación básica secundaria y media, asicomo el enfasis y su certificación.</v>
      </c>
      <c r="S2258" s="11" t="str">
        <f>IFERROR(IF(VLOOKUP(A2258,[14]PRIORIZADOS!$A:$S,19,FALSE)="","",VLOOKUP(A2258,[14]PRIORIZADOS!$A:$S,19,FALSE)),"")</f>
        <v>Ajustar el SIEE para los grados de preescolar y sobre el enfasis en Gestión Empresarial</v>
      </c>
      <c r="T2258" s="70" t="str">
        <f>IFERROR(IF(VLOOKUP(A2258,[14]PRIORIZADOS!$A:$T,20,FALSE)="","",VLOOKUP(A2258,[14]PRIORIZADOS!$A:$T,20,FALSE)),"")</f>
        <v>Si</v>
      </c>
      <c r="U2258" s="11" t="str">
        <f>IFERROR(IF(VLOOKUP(A2258,[14]PRIORIZADOS!$A:$U,21,FALSE)="","",VLOOKUP(A2258,[14]PRIORIZADOS!$A:$U,21,FALSE)),"")</f>
        <v>La institución allegara la correción de los certificados expedidos para el nivel de educación basíca y media ; se organizará la mesa de trabajo con los directivos y su equipo para el proceso de profundaización.</v>
      </c>
    </row>
    <row r="2259" spans="1:21" s="1" customFormat="1" ht="48">
      <c r="A2259" s="69">
        <f>IF([14]PRIORIZADOS!A306="","",[14]PRIORIZADOS!A306)</f>
        <v>2227</v>
      </c>
      <c r="B2259" s="70">
        <f>IFERROR(IF(VLOOKUP(A2259,[14]PRIORIZADOS!$A:$B,2,FALSE)="","",VLOOKUP(A2259,[14]PRIORIZADOS!$A:$B,2,FALSE)),"")</f>
        <v>33</v>
      </c>
      <c r="C2259" s="11" t="s">
        <v>424</v>
      </c>
      <c r="D2259" s="11" t="str">
        <f>IFERROR(IF(VLOOKUP(A2259,[14]PRIORIZADOS!$A:$D,4,FALSE)="","",VLOOKUP(A2259,[14]PRIORIZADOS!$A:$D,4,FALSE)),"")</f>
        <v>PRIVADO</v>
      </c>
      <c r="E2259" s="11" t="str">
        <f>IFERROR(IF(VLOOKUP(A2259,[14]PRIORIZADOS!$A:$E,5,FALSE)="","",VLOOKUP(A2259,[14]PRIORIZADOS!$A:$E,5,FALSE)),"")</f>
        <v>EPBM</v>
      </c>
      <c r="F2259" s="11" t="str">
        <f>IFERROR(IF(VLOOKUP(A2259,[14]PRIORIZADOS!$A:$F,6,FALSE)="","",VLOOKUP(A2259,[14]PRIORIZADOS!$A:$F,6,FALSE)),"")</f>
        <v>INSTITUTO_TECNICO_COMERCIAL_CERROS_DE_SUBA</v>
      </c>
      <c r="G2259" s="11" t="str">
        <f>IFERROR(IF(VLOOKUP(A2259,[14]PRIORIZADOS!$A:$G,7,FALSE)="","",VLOOKUP(A2259,[14]PRIORIZADOS!$A:$G,7,FALSE)),"")</f>
        <v>INSTITUTO TECNICO COMERCIAL CERROS DE SUBA</v>
      </c>
      <c r="H2259" s="11" t="str">
        <f>IFERROR(IF(VLOOKUP(A2259,[14]PRIORIZADOS!$A:$H,8,FALSE)="","",VLOOKUP(A2259,[14]PRIORIZADOS!$A:$H,8,FALSE)),"")</f>
        <v>Autoevaluación Institucional y Pruebas SABER 11</v>
      </c>
      <c r="I2259" s="11" t="str">
        <f>IFERROR(IF(VLOOKUP(A2259,[14]PRIORIZADOS!$A:$I,9,FALSE)="","",VLOOKUP(A2259,[14]PRIORIZADOS!$A:$I,9,FALSE)),"")</f>
        <v>EVALUACIÓN_CON_FINES_DE_MEJORAMIENTO.</v>
      </c>
      <c r="J2259" s="11" t="str">
        <f>IFERROR(IF(VLOOKUP(A2259,[14]PRIORIZADOS!$A:$J,10,FALSE)="","",VLOOKUP(A2259,[14]PRIORIZADOS!$A:$J,10,FALSE)),"")</f>
        <v>Revisar el calendario escolar, jornada escolar, la intensidad horaria mínima anual en cada nivel y las modificaciones que se realicen al mismo, de acuerdo con lo previsto en la normatividad vigente.</v>
      </c>
      <c r="K2259" s="11" t="str">
        <f>IFERROR(IF(VLOOKUP(A2259,[14]PRIORIZADOS!$A:$K,11,FALSE)="","",VLOOKUP(A2259,[14]PRIORIZADOS!$A:$K,11,FALSE)),"")</f>
        <v>DANIEL ALEJANDRO GRANOBLES</v>
      </c>
      <c r="L2259" s="11" t="str">
        <f>IFERROR(IF(VLOOKUP(A2259,[14]PRIORIZADOS!$A:$L,12,FALSE)="","",VLOOKUP(A2259,[14]PRIORIZADOS!$A:$L,12,FALSE)),"")</f>
        <v>SANDRA OLINDA GONZÁLEZ REYES</v>
      </c>
      <c r="M2259" s="71">
        <f>IFERROR(IF(VLOOKUP(A2259,[14]PRIORIZADOS!$A:$M,13,FALSE)="","",VLOOKUP(A2259,[14]PRIORIZADOS!$A:$M,13,FALSE)),"")</f>
        <v>45797</v>
      </c>
      <c r="N2259" s="71">
        <f>IFERROR(IF(VLOOKUP(A2259,[14]PRIORIZADOS!$A:$N,14,FALSE)="","",VLOOKUP(A2259,[14]PRIORIZADOS!$A:$N,14,FALSE)),"")</f>
        <v>45818</v>
      </c>
      <c r="O2259" s="71">
        <f>IFERROR(IF(VLOOKUP(A2259,[14]PRIORIZADOS!$A:$O,15,FALSE)="","",VLOOKUP(A2259,[14]PRIORIZADOS!$A:$O,15,FALSE)),"")</f>
        <v>45818</v>
      </c>
      <c r="P2259" s="11" t="str">
        <f>IFERROR(IF(VLOOKUP(A2259,[14]PRIORIZADOS!$A:$P,16,FALSE)="","",VLOOKUP(A2259,[14]PRIORIZADOS!$A:$P,16,FALSE)),"")</f>
        <v>Visitas de evaluación con fines de mejoramiento</v>
      </c>
      <c r="Q2259" s="7" t="s">
        <v>457</v>
      </c>
      <c r="R2259" s="11" t="str">
        <f>IFERROR(IF(VLOOKUP(A2259,[14]PRIORIZADOS!$A:$R,18,FALSE)="","",VLOOKUP(A2259,[14]PRIORIZADOS!$A:$R,18,FALSE)),"")</f>
        <v>La intensidad horaria y las horas mínimas anuales de cada ciclo se ajustan para preescolar, básica y media</v>
      </c>
      <c r="S2259" s="11" t="str">
        <f>IFERROR(IF(VLOOKUP(A2259,[14]PRIORIZADOS!$A:$S,19,FALSE)="","",VLOOKUP(A2259,[14]PRIORIZADOS!$A:$S,19,FALSE)),"")</f>
        <v>Mantener las actividades en el calendario académico</v>
      </c>
      <c r="T2259" s="70" t="str">
        <f>IFERROR(IF(VLOOKUP(A2259,[14]PRIORIZADOS!$A:$T,20,FALSE)="","",VLOOKUP(A2259,[14]PRIORIZADOS!$A:$T,20,FALSE)),"")</f>
        <v>No</v>
      </c>
      <c r="U2259" s="11" t="str">
        <f>IFERROR(IF(VLOOKUP(A2259,[14]PRIORIZADOS!$A:$U,21,FALSE)="","",VLOOKUP(A2259,[14]PRIORIZADOS!$A:$U,21,FALSE)),"")</f>
        <v>Cumplie con el calendario académico.</v>
      </c>
    </row>
    <row r="2260" spans="1:21" s="1" customFormat="1" ht="48">
      <c r="A2260" s="69">
        <f>IF([14]PRIORIZADOS!A307="","",[14]PRIORIZADOS!A307)</f>
        <v>2228</v>
      </c>
      <c r="B2260" s="70">
        <f>IFERROR(IF(VLOOKUP(A2260,[14]PRIORIZADOS!$A:$B,2,FALSE)="","",VLOOKUP(A2260,[14]PRIORIZADOS!$A:$B,2,FALSE)),"")</f>
        <v>33</v>
      </c>
      <c r="C2260" s="11" t="s">
        <v>424</v>
      </c>
      <c r="D2260" s="11" t="str">
        <f>IFERROR(IF(VLOOKUP(A2260,[14]PRIORIZADOS!$A:$D,4,FALSE)="","",VLOOKUP(A2260,[14]PRIORIZADOS!$A:$D,4,FALSE)),"")</f>
        <v>PRIVADO</v>
      </c>
      <c r="E2260" s="11" t="str">
        <f>IFERROR(IF(VLOOKUP(A2260,[14]PRIORIZADOS!$A:$E,5,FALSE)="","",VLOOKUP(A2260,[14]PRIORIZADOS!$A:$E,5,FALSE)),"")</f>
        <v>EPBM</v>
      </c>
      <c r="F2260" s="11" t="str">
        <f>IFERROR(IF(VLOOKUP(A2260,[14]PRIORIZADOS!$A:$F,6,FALSE)="","",VLOOKUP(A2260,[14]PRIORIZADOS!$A:$F,6,FALSE)),"")</f>
        <v>INSTITUTO_TECNICO_COMERCIAL_CERROS_DE_SUBA</v>
      </c>
      <c r="G2260" s="11" t="str">
        <f>IFERROR(IF(VLOOKUP(A2260,[14]PRIORIZADOS!$A:$G,7,FALSE)="","",VLOOKUP(A2260,[14]PRIORIZADOS!$A:$G,7,FALSE)),"")</f>
        <v>INSTITUTO TECNICO COMERCIAL CERROS DE SUBA</v>
      </c>
      <c r="H2260" s="11" t="str">
        <f>IFERROR(IF(VLOOKUP(A2260,[14]PRIORIZADOS!$A:$H,8,FALSE)="","",VLOOKUP(A2260,[14]PRIORIZADOS!$A:$H,8,FALSE)),"")</f>
        <v>Autoevaluación Institucional y Pruebas SABER 11</v>
      </c>
      <c r="I2260" s="11" t="str">
        <f>IFERROR(IF(VLOOKUP(A2260,[14]PRIORIZADOS!$A:$I,9,FALSE)="","",VLOOKUP(A2260,[14]PRIORIZADOS!$A:$I,9,FALSE)),"")</f>
        <v>EVALUACIÓN_CON_FINES_DE_MEJORAMIENTO.</v>
      </c>
      <c r="J2260" s="11" t="str">
        <f>IFERROR(IF(VLOOKUP(A2260,[14]PRIORIZADOS!$A:$J,10,FALSE)="","",VLOOKUP(A2260,[14]PRIORIZADOS!$A:$J,10,FALSE)),"")</f>
        <v>Verificar el funcionamiento del Gobierno Escolar e instancias de participación con base en la información sobre conformación reportada por la institución educativa.</v>
      </c>
      <c r="K2260" s="11" t="str">
        <f>IFERROR(IF(VLOOKUP(A2260,[14]PRIORIZADOS!$A:$K,11,FALSE)="","",VLOOKUP(A2260,[14]PRIORIZADOS!$A:$K,11,FALSE)),"")</f>
        <v>DANIEL ALEJANDRO GRANOBLES</v>
      </c>
      <c r="L2260" s="11" t="str">
        <f>IFERROR(IF(VLOOKUP(A2260,[14]PRIORIZADOS!$A:$L,12,FALSE)="","",VLOOKUP(A2260,[14]PRIORIZADOS!$A:$L,12,FALSE)),"")</f>
        <v>SANDRA OLINDA GONZÁLEZ REYES</v>
      </c>
      <c r="M2260" s="71">
        <f>IFERROR(IF(VLOOKUP(A2260,[14]PRIORIZADOS!$A:$M,13,FALSE)="","",VLOOKUP(A2260,[14]PRIORIZADOS!$A:$M,13,FALSE)),"")</f>
        <v>45797</v>
      </c>
      <c r="N2260" s="71">
        <f>IFERROR(IF(VLOOKUP(A2260,[14]PRIORIZADOS!$A:$N,14,FALSE)="","",VLOOKUP(A2260,[14]PRIORIZADOS!$A:$N,14,FALSE)),"")</f>
        <v>45818</v>
      </c>
      <c r="O2260" s="71">
        <f>IFERROR(IF(VLOOKUP(A2260,[14]PRIORIZADOS!$A:$O,15,FALSE)="","",VLOOKUP(A2260,[14]PRIORIZADOS!$A:$O,15,FALSE)),"")</f>
        <v>45818</v>
      </c>
      <c r="P2260" s="11" t="str">
        <f>IFERROR(IF(VLOOKUP(A2260,[14]PRIORIZADOS!$A:$P,16,FALSE)="","",VLOOKUP(A2260,[14]PRIORIZADOS!$A:$P,16,FALSE)),"")</f>
        <v>Visitas de evaluación con fines de mejoramiento</v>
      </c>
      <c r="Q2260" s="7" t="s">
        <v>457</v>
      </c>
      <c r="R2260" s="11" t="str">
        <f>IFERROR(IF(VLOOKUP(A2260,[14]PRIORIZADOS!$A:$R,18,FALSE)="","",VLOOKUP(A2260,[14]PRIORIZADOS!$A:$R,18,FALSE)),"")</f>
        <v>Se evidenciaron las actas de conformación de gobierno escolar, las cuales estn cargadas en el SAE. Cada órgano sesiona, presentan actas .</v>
      </c>
      <c r="S2260" s="11" t="str">
        <f>IFERROR(IF(VLOOKUP(A2260,[14]PRIORIZADOS!$A:$S,19,FALSE)="","",VLOOKUP(A2260,[14]PRIORIZADOS!$A:$S,19,FALSE)),"")</f>
        <v>Continuar sesionando cada órgano de gobierno realizando los aportes correpondientes</v>
      </c>
      <c r="T2260" s="70" t="str">
        <f>IFERROR(IF(VLOOKUP(A2260,[14]PRIORIZADOS!$A:$T,20,FALSE)="","",VLOOKUP(A2260,[14]PRIORIZADOS!$A:$T,20,FALSE)),"")</f>
        <v>No</v>
      </c>
      <c r="U2260" s="11" t="str">
        <f>IFERROR(IF(VLOOKUP(A2260,[14]PRIORIZADOS!$A:$U,21,FALSE)="","",VLOOKUP(A2260,[14]PRIORIZADOS!$A:$U,21,FALSE)),"")</f>
        <v>Cumplir con las sesiones de acuerdo a la normtividad y a las situaciones presentadas en la institución educativa.</v>
      </c>
    </row>
    <row r="2261" spans="1:21" s="1" customFormat="1" ht="60">
      <c r="A2261" s="69">
        <f>IF([14]PRIORIZADOS!A308="","",[14]PRIORIZADOS!A308)</f>
        <v>2229</v>
      </c>
      <c r="B2261" s="70">
        <f>IFERROR(IF(VLOOKUP(A2261,[14]PRIORIZADOS!$A:$B,2,FALSE)="","",VLOOKUP(A2261,[14]PRIORIZADOS!$A:$B,2,FALSE)),"")</f>
        <v>33</v>
      </c>
      <c r="C2261" s="11" t="s">
        <v>424</v>
      </c>
      <c r="D2261" s="11" t="str">
        <f>IFERROR(IF(VLOOKUP(A2261,[14]PRIORIZADOS!$A:$D,4,FALSE)="","",VLOOKUP(A2261,[14]PRIORIZADOS!$A:$D,4,FALSE)),"")</f>
        <v>PRIVADO</v>
      </c>
      <c r="E2261" s="11" t="str">
        <f>IFERROR(IF(VLOOKUP(A2261,[14]PRIORIZADOS!$A:$E,5,FALSE)="","",VLOOKUP(A2261,[14]PRIORIZADOS!$A:$E,5,FALSE)),"")</f>
        <v>EPBM</v>
      </c>
      <c r="F2261" s="11" t="str">
        <f>IFERROR(IF(VLOOKUP(A2261,[14]PRIORIZADOS!$A:$F,6,FALSE)="","",VLOOKUP(A2261,[14]PRIORIZADOS!$A:$F,6,FALSE)),"")</f>
        <v>INSTITUTO_TECNICO_COMERCIAL_CERROS_DE_SUBA</v>
      </c>
      <c r="G2261" s="11" t="str">
        <f>IFERROR(IF(VLOOKUP(A2261,[14]PRIORIZADOS!$A:$G,7,FALSE)="","",VLOOKUP(A2261,[14]PRIORIZADOS!$A:$G,7,FALSE)),"")</f>
        <v>INSTITUTO TECNICO COMERCIAL CERROS DE SUBA</v>
      </c>
      <c r="H2261" s="11" t="str">
        <f>IFERROR(IF(VLOOKUP(A2261,[14]PRIORIZADOS!$A:$H,8,FALSE)="","",VLOOKUP(A2261,[14]PRIORIZADOS!$A:$H,8,FALSE)),"")</f>
        <v>Autoevaluación Institucional y Pruebas SABER 11</v>
      </c>
      <c r="I2261" s="11" t="str">
        <f>IFERROR(IF(VLOOKUP(A2261,[14]PRIORIZADOS!$A:$I,9,FALSE)="","",VLOOKUP(A2261,[14]PRIORIZADOS!$A:$I,9,FALSE)),"")</f>
        <v>EVALUACIÓN_CON_FINES_DE_MEJORAMIENTO.</v>
      </c>
      <c r="J2261" s="11" t="str">
        <f>IFERROR(IF(VLOOKUP(A2261,[14]PRIORIZADOS!$A:$J,10,FALSE)="","",VLOOKUP(A2261,[14]PRIORIZADOS!$A:$J,10,FALSE)),"")</f>
        <v>Verificar las condiciones en cuanto a: la estructura administrativa, condiciones de la planta física y medios educativos adecuados.</v>
      </c>
      <c r="K2261" s="11" t="str">
        <f>IFERROR(IF(VLOOKUP(A2261,[14]PRIORIZADOS!$A:$K,11,FALSE)="","",VLOOKUP(A2261,[14]PRIORIZADOS!$A:$K,11,FALSE)),"")</f>
        <v>DANIEL ALEJANDRO GRANOBLES</v>
      </c>
      <c r="L2261" s="11" t="str">
        <f>IFERROR(IF(VLOOKUP(A2261,[14]PRIORIZADOS!$A:$L,12,FALSE)="","",VLOOKUP(A2261,[14]PRIORIZADOS!$A:$L,12,FALSE)),"")</f>
        <v>SANDRA OLINDA GONZÁLEZ REYES</v>
      </c>
      <c r="M2261" s="71">
        <f>IFERROR(IF(VLOOKUP(A2261,[14]PRIORIZADOS!$A:$M,13,FALSE)="","",VLOOKUP(A2261,[14]PRIORIZADOS!$A:$M,13,FALSE)),"")</f>
        <v>45797</v>
      </c>
      <c r="N2261" s="71">
        <f>IFERROR(IF(VLOOKUP(A2261,[14]PRIORIZADOS!$A:$N,14,FALSE)="","",VLOOKUP(A2261,[14]PRIORIZADOS!$A:$N,14,FALSE)),"")</f>
        <v>45818</v>
      </c>
      <c r="O2261" s="71">
        <f>IFERROR(IF(VLOOKUP(A2261,[14]PRIORIZADOS!$A:$O,15,FALSE)="","",VLOOKUP(A2261,[14]PRIORIZADOS!$A:$O,15,FALSE)),"")</f>
        <v>45818</v>
      </c>
      <c r="P2261" s="11" t="str">
        <f>IFERROR(IF(VLOOKUP(A2261,[14]PRIORIZADOS!$A:$P,16,FALSE)="","",VLOOKUP(A2261,[14]PRIORIZADOS!$A:$P,16,FALSE)),"")</f>
        <v>Visitas de evaluación con fines de mejoramiento</v>
      </c>
      <c r="Q2261" s="7" t="s">
        <v>457</v>
      </c>
      <c r="R2261" s="11" t="str">
        <f>IFERROR(IF(VLOOKUP(A2261,[14]PRIORIZADOS!$A:$R,18,FALSE)="","",VLOOKUP(A2261,[14]PRIORIZADOS!$A:$R,18,FALSE)),"")</f>
        <v>Existen espacios para cada ambiente,  unidades sanitarias suficientes,enfermeria, espacios que requieren reorganización  y reubicación y documentos para incluir las dos direcciones pendientes .</v>
      </c>
      <c r="S2261" s="11" t="str">
        <f>IFERROR(IF(VLOOKUP(A2261,[14]PRIORIZADOS!$A:$S,19,FALSE)="","",VLOOKUP(A2261,[14]PRIORIZADOS!$A:$S,19,FALSE)),"")</f>
        <v xml:space="preserve">Verificar las licencias  y direcciones de los predios, asi como la vista realizada donde se legalizó la institución </v>
      </c>
      <c r="T2261" s="70" t="str">
        <f>IFERROR(IF(VLOOKUP(A2261,[14]PRIORIZADOS!$A:$T,20,FALSE)="","",VLOOKUP(A2261,[14]PRIORIZADOS!$A:$T,20,FALSE)),"")</f>
        <v>Si</v>
      </c>
      <c r="U2261" s="11" t="str">
        <f>IFERROR(IF(VLOOKUP(A2261,[14]PRIORIZADOS!$A:$U,21,FALSE)="","",VLOOKUP(A2261,[14]PRIORIZADOS!$A:$U,21,FALSE)),"")</f>
        <v>registro fotografico.</v>
      </c>
    </row>
    <row r="2262" spans="1:21" s="1" customFormat="1" ht="43.5">
      <c r="A2262" s="69">
        <f>IF([14]PRIORIZADOS!A309="","",[14]PRIORIZADOS!A309)</f>
        <v>2230</v>
      </c>
      <c r="B2262" s="70">
        <f>IFERROR(IF(VLOOKUP(A2262,[14]PRIORIZADOS!$A:$B,2,FALSE)="","",VLOOKUP(A2262,[14]PRIORIZADOS!$A:$B,2,FALSE)),"")</f>
        <v>34</v>
      </c>
      <c r="C2262" s="11" t="s">
        <v>424</v>
      </c>
      <c r="D2262" s="11" t="str">
        <f>IFERROR(IF(VLOOKUP(A2262,[14]PRIORIZADOS!$A:$D,4,FALSE)="","",VLOOKUP(A2262,[14]PRIORIZADOS!$A:$D,4,FALSE)),"")</f>
        <v>PRIVADO</v>
      </c>
      <c r="E2262" s="11" t="str">
        <f>IFERROR(IF(VLOOKUP(A2262,[14]PRIORIZADOS!$A:$E,5,FALSE)="","",VLOOKUP(A2262,[14]PRIORIZADOS!$A:$E,5,FALSE)),"")</f>
        <v>EPBM</v>
      </c>
      <c r="F2262" s="11" t="str">
        <f>IFERROR(IF(VLOOKUP(A2262,[14]PRIORIZADOS!$A:$F,6,FALSE)="","",VLOOKUP(A2262,[14]PRIORIZADOS!$A:$F,6,FALSE)),"")</f>
        <v>LICEO_GLOBERTH_MIXTO</v>
      </c>
      <c r="G2262" s="11" t="str">
        <f>IFERROR(IF(VLOOKUP(A2262,[14]PRIORIZADOS!$A:$G,7,FALSE)="","",VLOOKUP(A2262,[14]PRIORIZADOS!$A:$G,7,FALSE)),"")</f>
        <v>LICEO GLOBERTH MIXTO</v>
      </c>
      <c r="H2262" s="11" t="str">
        <f>IFERROR(IF(VLOOKUP(A2262,[14]PRIORIZADOS!$A:$H,8,FALSE)="","",VLOOKUP(A2262,[14]PRIORIZADOS!$A:$H,8,FALSE)),"")</f>
        <v>Autoevaluación Institucional y Pruebas SABER 11</v>
      </c>
      <c r="I2262" s="11" t="str">
        <f>IFERROR(IF(VLOOKUP(A2262,[14]PRIORIZADOS!$A:$I,9,FALSE)="","",VLOOKUP(A2262,[14]PRIORIZADOS!$A:$I,9,FALSE)),"")</f>
        <v>SEGUIMIENTO_Y_SUPERVISIÓN.</v>
      </c>
      <c r="J2262" s="11" t="str">
        <f>IFERROR(IF(VLOOKUP(A2262,[14]PRIORIZADOS!$A:$J,10,FALSE)="","",VLOOKUP(A2262,[14]PRIORIZADOS!$A:$J,10,FALSE)),"")</f>
        <v>Realizar visitas para verificar la información registrada sobre la autoevaluación institucional en el aplicativo EVI, a los establecimientos de educación formal no oficial.</v>
      </c>
      <c r="K2262" s="11" t="str">
        <f>IFERROR(IF(VLOOKUP(A2262,[14]PRIORIZADOS!$A:$K,11,FALSE)="","",VLOOKUP(A2262,[14]PRIORIZADOS!$A:$K,11,FALSE)),"")</f>
        <v>SONIA CONSTANZA URREGO GONZÁLEZ</v>
      </c>
      <c r="L2262" s="11" t="str">
        <f>IFERROR(IF(VLOOKUP(A2262,[14]PRIORIZADOS!$A:$L,12,FALSE)="","",VLOOKUP(A2262,[14]PRIORIZADOS!$A:$L,12,FALSE)),"")</f>
        <v>ALBA DEL PILAR CUBIDES CÁCERES</v>
      </c>
      <c r="M2262" s="71">
        <f>IFERROR(IF(VLOOKUP(A2262,[14]PRIORIZADOS!$A:$M,13,FALSE)="","",VLOOKUP(A2262,[14]PRIORIZADOS!$A:$M,13,FALSE)),"")</f>
        <v>45785</v>
      </c>
      <c r="N2262" s="71">
        <f>IFERROR(IF(VLOOKUP(A2262,[14]PRIORIZADOS!$A:$N,14,FALSE)="","",VLOOKUP(A2262,[14]PRIORIZADOS!$A:$N,14,FALSE)),"")</f>
        <v>45874</v>
      </c>
      <c r="O2262" s="71">
        <f>IFERROR(IF(VLOOKUP(A2262,[14]PRIORIZADOS!$A:$O,15,FALSE)="","",VLOOKUP(A2262,[14]PRIORIZADOS!$A:$O,15,FALSE)),"")</f>
        <v>45874</v>
      </c>
      <c r="P2262" s="11" t="str">
        <f>IFERROR(IF(VLOOKUP(A2262,[14]PRIORIZADOS!$A:$P,16,FALSE)="","",VLOOKUP(A2262,[14]PRIORIZADOS!$A:$P,16,FALSE)),"")</f>
        <v>Visitas de evaluación con fines de seguimiento</v>
      </c>
      <c r="Q2262" s="27" t="s">
        <v>458</v>
      </c>
      <c r="R2262" s="11" t="str">
        <f>IFERROR(IF(VLOOKUP(A2262,[14]PRIORIZADOS!$A:$R,18,FALSE)="","",VLOOKUP(A2262,[14]PRIORIZADOS!$A:$R,18,FALSE)),"")</f>
        <v>Al momento de la visita se evidencia la congruencia entre lo consignado en el aplicativo EVI con la realidad institucional.</v>
      </c>
      <c r="S2262" s="11" t="str">
        <f>IFERROR(IF(VLOOKUP(A2262,[14]PRIORIZADOS!$A:$S,19,FALSE)="","",VLOOKUP(A2262,[14]PRIORIZADOS!$A:$S,19,FALSE)),"")</f>
        <v>Realizar la autoevaliación institucional 2025 con los mismos criterios de pertinenecia</v>
      </c>
      <c r="T2262" s="70" t="str">
        <f>IFERROR(IF(VLOOKUP(A2262,[14]PRIORIZADOS!$A:$T,20,FALSE)="","",VLOOKUP(A2262,[14]PRIORIZADOS!$A:$T,20,FALSE)),"")</f>
        <v>No</v>
      </c>
      <c r="U2262" s="11" t="str">
        <f>IFERROR(IF(VLOOKUP(A2262,[14]PRIORIZADOS!$A:$U,21,FALSE)="","",VLOOKUP(A2262,[14]PRIORIZADOS!$A:$U,21,FALSE)),"")</f>
        <v>Verificar la autoevaluación institucional en el procedimiento de autorización de tarifas educativas 2026</v>
      </c>
    </row>
    <row r="2263" spans="1:21" s="1" customFormat="1" ht="72">
      <c r="A2263" s="69">
        <f>IF([14]PRIORIZADOS!A310="","",[14]PRIORIZADOS!A310)</f>
        <v>2231</v>
      </c>
      <c r="B2263" s="70">
        <f>IFERROR(IF(VLOOKUP(A2263,[14]PRIORIZADOS!$A:$B,2,FALSE)="","",VLOOKUP(A2263,[14]PRIORIZADOS!$A:$B,2,FALSE)),"")</f>
        <v>34</v>
      </c>
      <c r="C2263" s="11" t="s">
        <v>424</v>
      </c>
      <c r="D2263" s="11" t="str">
        <f>IFERROR(IF(VLOOKUP(A2263,[14]PRIORIZADOS!$A:$D,4,FALSE)="","",VLOOKUP(A2263,[14]PRIORIZADOS!$A:$D,4,FALSE)),"")</f>
        <v>PRIVADO</v>
      </c>
      <c r="E2263" s="11" t="str">
        <f>IFERROR(IF(VLOOKUP(A2263,[14]PRIORIZADOS!$A:$E,5,FALSE)="","",VLOOKUP(A2263,[14]PRIORIZADOS!$A:$E,5,FALSE)),"")</f>
        <v>EPBM</v>
      </c>
      <c r="F2263" s="11" t="str">
        <f>IFERROR(IF(VLOOKUP(A2263,[14]PRIORIZADOS!$A:$F,6,FALSE)="","",VLOOKUP(A2263,[14]PRIORIZADOS!$A:$F,6,FALSE)),"")</f>
        <v>LICEO_GLOBERTH_MIXTO</v>
      </c>
      <c r="G2263" s="11" t="str">
        <f>IFERROR(IF(VLOOKUP(A2263,[14]PRIORIZADOS!$A:$G,7,FALSE)="","",VLOOKUP(A2263,[14]PRIORIZADOS!$A:$G,7,FALSE)),"")</f>
        <v>LICEO GLOBERTH MIXTO</v>
      </c>
      <c r="H2263" s="11" t="str">
        <f>IFERROR(IF(VLOOKUP(A2263,[14]PRIORIZADOS!$A:$H,8,FALSE)="","",VLOOKUP(A2263,[14]PRIORIZADOS!$A:$H,8,FALSE)),"")</f>
        <v>Autoevaluación Institucional y Pruebas SABER 11</v>
      </c>
      <c r="I2263" s="11" t="str">
        <f>IFERROR(IF(VLOOKUP(A2263,[14]PRIORIZADOS!$A:$I,9,FALSE)="","",VLOOKUP(A2263,[14]PRIORIZADOS!$A:$I,9,FALSE)),"")</f>
        <v>SEGUIMIENTO_Y_SUPERVISIÓN.</v>
      </c>
      <c r="J2263" s="11" t="str">
        <f>IFERROR(IF(VLOOKUP(A2263,[14]PRIORIZADOS!$A:$J,10,FALSE)="","",VLOOKUP(A2263,[14]PRIORIZADOS!$A:$J,10,FALSE)),"")</f>
        <v>Proponer estrategias en la formulación, verificar su elaboración y realizar seguimiento semestral al desarrollo de  las acciones establecidas en los planes de mejoramiento por pruebas SABER 11 de los establecimientos de educación formal.</v>
      </c>
      <c r="K2263" s="11" t="str">
        <f>IFERROR(IF(VLOOKUP(A2263,[14]PRIORIZADOS!$A:$K,11,FALSE)="","",VLOOKUP(A2263,[14]PRIORIZADOS!$A:$K,11,FALSE)),"")</f>
        <v>SONIA CONSTANZA URREGO GONZÁLEZ</v>
      </c>
      <c r="L2263" s="11" t="str">
        <f>IFERROR(IF(VLOOKUP(A2263,[14]PRIORIZADOS!$A:$L,12,FALSE)="","",VLOOKUP(A2263,[14]PRIORIZADOS!$A:$L,12,FALSE)),"")</f>
        <v>ALBA DEL PILAR CUBIDES CÁCERES</v>
      </c>
      <c r="M2263" s="71">
        <f>IFERROR(IF(VLOOKUP(A2263,[14]PRIORIZADOS!$A:$M,13,FALSE)="","",VLOOKUP(A2263,[14]PRIORIZADOS!$A:$M,13,FALSE)),"")</f>
        <v>45785</v>
      </c>
      <c r="N2263" s="71">
        <f>IFERROR(IF(VLOOKUP(A2263,[14]PRIORIZADOS!$A:$N,14,FALSE)="","",VLOOKUP(A2263,[14]PRIORIZADOS!$A:$N,14,FALSE)),"")</f>
        <v>45874</v>
      </c>
      <c r="O2263" s="71">
        <f>IFERROR(IF(VLOOKUP(A2263,[14]PRIORIZADOS!$A:$O,15,FALSE)="","",VLOOKUP(A2263,[14]PRIORIZADOS!$A:$O,15,FALSE)),"")</f>
        <v>45874</v>
      </c>
      <c r="P2263" s="11" t="str">
        <f>IFERROR(IF(VLOOKUP(A2263,[14]PRIORIZADOS!$A:$P,16,FALSE)="","",VLOOKUP(A2263,[14]PRIORIZADOS!$A:$P,16,FALSE)),"")</f>
        <v>Visitas de evaluación con fines de seguimiento</v>
      </c>
      <c r="Q2263" s="27" t="s">
        <v>458</v>
      </c>
      <c r="R2263" s="11" t="str">
        <f>IFERROR(IF(VLOOKUP(A2263,[14]PRIORIZADOS!$A:$R,18,FALSE)="","",VLOOKUP(A2263,[14]PRIORIZADOS!$A:$R,18,FALSE)),"")</f>
        <v>La institución educativa se encuentra clasificada en nivel A. Se realiza análisis de los resultados año a año,para encontrar las áreas que tienen falencias y asi, creae estrtegias para subir el nivel en las pruebas.</v>
      </c>
      <c r="S2263" s="11" t="str">
        <f>IFERROR(IF(VLOOKUP(A2263,[14]PRIORIZADOS!$A:$S,19,FALSE)="","",VLOOKUP(A2263,[14]PRIORIZADOS!$A:$S,19,FALSE)),"")</f>
        <v xml:space="preserve">Revisar los resultados obtenidos y la relación con las asignaturas del plan de estudios. Elaborar un plan de mejoramiento sobre las acciones a tomar. </v>
      </c>
      <c r="T2263" s="70" t="str">
        <f>IFERROR(IF(VLOOKUP(A2263,[14]PRIORIZADOS!$A:$T,20,FALSE)="","",VLOOKUP(A2263,[14]PRIORIZADOS!$A:$T,20,FALSE)),"")</f>
        <v>Si</v>
      </c>
      <c r="U2263" s="11" t="str">
        <f>IFERROR(IF(VLOOKUP(A2263,[14]PRIORIZADOS!$A:$U,21,FALSE)="","",VLOOKUP(A2263,[14]PRIORIZADOS!$A:$U,21,FALSE)),"")</f>
        <v>Verificar el cumplimiento a las acciones proyectadas por la institución en el PMI.</v>
      </c>
    </row>
    <row r="2264" spans="1:21" s="1" customFormat="1" ht="48">
      <c r="A2264" s="69">
        <f>IF([14]PRIORIZADOS!A311="","",[14]PRIORIZADOS!A311)</f>
        <v>2232</v>
      </c>
      <c r="B2264" s="70">
        <f>IFERROR(IF(VLOOKUP(A2264,[14]PRIORIZADOS!$A:$B,2,FALSE)="","",VLOOKUP(A2264,[14]PRIORIZADOS!$A:$B,2,FALSE)),"")</f>
        <v>34</v>
      </c>
      <c r="C2264" s="11" t="s">
        <v>424</v>
      </c>
      <c r="D2264" s="11" t="str">
        <f>IFERROR(IF(VLOOKUP(A2264,[14]PRIORIZADOS!$A:$D,4,FALSE)="","",VLOOKUP(A2264,[14]PRIORIZADOS!$A:$D,4,FALSE)),"")</f>
        <v>PRIVADO</v>
      </c>
      <c r="E2264" s="11" t="str">
        <f>IFERROR(IF(VLOOKUP(A2264,[14]PRIORIZADOS!$A:$E,5,FALSE)="","",VLOOKUP(A2264,[14]PRIORIZADOS!$A:$E,5,FALSE)),"")</f>
        <v>EPBM</v>
      </c>
      <c r="F2264" s="11" t="str">
        <f>IFERROR(IF(VLOOKUP(A2264,[14]PRIORIZADOS!$A:$F,6,FALSE)="","",VLOOKUP(A2264,[14]PRIORIZADOS!$A:$F,6,FALSE)),"")</f>
        <v>LICEO_GLOBERTH_MIXTO</v>
      </c>
      <c r="G2264" s="11" t="str">
        <f>IFERROR(IF(VLOOKUP(A2264,[14]PRIORIZADOS!$A:$G,7,FALSE)="","",VLOOKUP(A2264,[14]PRIORIZADOS!$A:$G,7,FALSE)),"")</f>
        <v>LICEO GLOBERTH MIXTO</v>
      </c>
      <c r="H2264" s="11" t="str">
        <f>IFERROR(IF(VLOOKUP(A2264,[14]PRIORIZADOS!$A:$H,8,FALSE)="","",VLOOKUP(A2264,[14]PRIORIZADOS!$A:$H,8,FALSE)),"")</f>
        <v>Autoevaluación Institucional y Pruebas SABER 11</v>
      </c>
      <c r="I2264" s="11" t="str">
        <f>IFERROR(IF(VLOOKUP(A2264,[14]PRIORIZADOS!$A:$I,9,FALSE)="","",VLOOKUP(A2264,[14]PRIORIZADOS!$A:$I,9,FALSE)),"")</f>
        <v>SEGUIMIENTO_Y_SUPERVISIÓN.</v>
      </c>
      <c r="J2264" s="11" t="str">
        <f>IFERROR(IF(VLOOKUP(A2264,[14]PRIORIZADOS!$A:$J,10,FALSE)="","",VLOOKUP(A2264,[14]PRIORIZADOS!$A:$J,10,FALSE)),"")</f>
        <v xml:space="preserve">Verificar la implementación por parte de los colegios, de acciones realizadas para la prevención y atención de las situaciones de convivencia en el entorno escolar, según lo establecido en la Directiva 01 de 2022 del MEN. </v>
      </c>
      <c r="K2264" s="11" t="str">
        <f>IFERROR(IF(VLOOKUP(A2264,[14]PRIORIZADOS!$A:$K,11,FALSE)="","",VLOOKUP(A2264,[14]PRIORIZADOS!$A:$K,11,FALSE)),"")</f>
        <v>SONIA CONSTANZA URREGO GONZÁLEZ</v>
      </c>
      <c r="L2264" s="11" t="str">
        <f>IFERROR(IF(VLOOKUP(A2264,[14]PRIORIZADOS!$A:$L,12,FALSE)="","",VLOOKUP(A2264,[14]PRIORIZADOS!$A:$L,12,FALSE)),"")</f>
        <v>ALBA DEL PILAR CUBIDES CÁCERES</v>
      </c>
      <c r="M2264" s="71">
        <f>IFERROR(IF(VLOOKUP(A2264,[14]PRIORIZADOS!$A:$M,13,FALSE)="","",VLOOKUP(A2264,[14]PRIORIZADOS!$A:$M,13,FALSE)),"")</f>
        <v>45785</v>
      </c>
      <c r="N2264" s="71">
        <f>IFERROR(IF(VLOOKUP(A2264,[14]PRIORIZADOS!$A:$N,14,FALSE)="","",VLOOKUP(A2264,[14]PRIORIZADOS!$A:$N,14,FALSE)),"")</f>
        <v>45874</v>
      </c>
      <c r="O2264" s="71">
        <f>IFERROR(IF(VLOOKUP(A2264,[14]PRIORIZADOS!$A:$O,15,FALSE)="","",VLOOKUP(A2264,[14]PRIORIZADOS!$A:$O,15,FALSE)),"")</f>
        <v>45874</v>
      </c>
      <c r="P2264" s="11" t="str">
        <f>IFERROR(IF(VLOOKUP(A2264,[14]PRIORIZADOS!$A:$P,16,FALSE)="","",VLOOKUP(A2264,[14]PRIORIZADOS!$A:$P,16,FALSE)),"")</f>
        <v>Visitas de evaluación con fines de seguimiento</v>
      </c>
      <c r="Q2264" s="27" t="s">
        <v>458</v>
      </c>
      <c r="R2264" s="11" t="str">
        <f>IFERROR(IF(VLOOKUP(A2264,[14]PRIORIZADOS!$A:$R,18,FALSE)="","",VLOOKUP(A2264,[14]PRIORIZADOS!$A:$R,18,FALSE)),"")</f>
        <v>No se verifican a través de consulta cada 4 meses, las inhabliddes por delitos sexuales de los trabajadores.</v>
      </c>
      <c r="S2264" s="11" t="str">
        <f>IFERROR(IF(VLOOKUP(A2264,[14]PRIORIZADOS!$A:$S,19,FALSE)="","",VLOOKUP(A2264,[14]PRIORIZADOS!$A:$S,19,FALSE)),"")</f>
        <v xml:space="preserve">Realizar la consulta cada 4 meses, dejando el respectivo soporte, en cumplimiento de la Directiva 01 de 2022  </v>
      </c>
      <c r="T2264" s="70" t="str">
        <f>IFERROR(IF(VLOOKUP(A2264,[14]PRIORIZADOS!$A:$T,20,FALSE)="","",VLOOKUP(A2264,[14]PRIORIZADOS!$A:$T,20,FALSE)),"")</f>
        <v>Si</v>
      </c>
      <c r="U2264" s="11" t="str">
        <f>IFERROR(IF(VLOOKUP(A2264,[14]PRIORIZADOS!$A:$U,21,FALSE)="","",VLOOKUP(A2264,[14]PRIORIZADOS!$A:$U,21,FALSE)),"")</f>
        <v xml:space="preserve">Verificar la consulta periodica de acuerdo con lo establecido en la directiva 01 del 2022. </v>
      </c>
    </row>
    <row r="2265" spans="1:21" s="1" customFormat="1" ht="72">
      <c r="A2265" s="69">
        <f>IF([14]PRIORIZADOS!A312="","",[14]PRIORIZADOS!A312)</f>
        <v>2233</v>
      </c>
      <c r="B2265" s="70">
        <f>IFERROR(IF(VLOOKUP(A2265,[14]PRIORIZADOS!$A:$B,2,FALSE)="","",VLOOKUP(A2265,[14]PRIORIZADOS!$A:$B,2,FALSE)),"")</f>
        <v>34</v>
      </c>
      <c r="C2265" s="11" t="s">
        <v>424</v>
      </c>
      <c r="D2265" s="11" t="str">
        <f>IFERROR(IF(VLOOKUP(A2265,[14]PRIORIZADOS!$A:$D,4,FALSE)="","",VLOOKUP(A2265,[14]PRIORIZADOS!$A:$D,4,FALSE)),"")</f>
        <v>PRIVADO</v>
      </c>
      <c r="E2265" s="11" t="str">
        <f>IFERROR(IF(VLOOKUP(A2265,[14]PRIORIZADOS!$A:$E,5,FALSE)="","",VLOOKUP(A2265,[14]PRIORIZADOS!$A:$E,5,FALSE)),"")</f>
        <v>EPBM</v>
      </c>
      <c r="F2265" s="11" t="str">
        <f>IFERROR(IF(VLOOKUP(A2265,[14]PRIORIZADOS!$A:$F,6,FALSE)="","",VLOOKUP(A2265,[14]PRIORIZADOS!$A:$F,6,FALSE)),"")</f>
        <v>LICEO_GLOBERTH_MIXTO</v>
      </c>
      <c r="G2265" s="11" t="str">
        <f>IFERROR(IF(VLOOKUP(A2265,[14]PRIORIZADOS!$A:$G,7,FALSE)="","",VLOOKUP(A2265,[14]PRIORIZADOS!$A:$G,7,FALSE)),"")</f>
        <v>LICEO GLOBERTH MIXTO</v>
      </c>
      <c r="H2265" s="11" t="str">
        <f>IFERROR(IF(VLOOKUP(A2265,[14]PRIORIZADOS!$A:$H,8,FALSE)="","",VLOOKUP(A2265,[14]PRIORIZADOS!$A:$H,8,FALSE)),"")</f>
        <v>Autoevaluación Institucional y Pruebas SABER 11</v>
      </c>
      <c r="I2265" s="11" t="str">
        <f>IFERROR(IF(VLOOKUP(A2265,[14]PRIORIZADOS!$A:$I,9,FALSE)="","",VLOOKUP(A2265,[14]PRIORIZADOS!$A:$I,9,FALSE)),"")</f>
        <v>SEGUIMIENTO_Y_SUPERVISIÓN.</v>
      </c>
      <c r="J2265" s="11" t="str">
        <f>IFERROR(IF(VLOOKUP(A2265,[14]PRIORIZADOS!$A:$J,10,FALSE)="","",VLOOKUP(A2265,[14]PRIORIZADOS!$A:$J,10,FALSE)),"")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65" s="11" t="str">
        <f>IFERROR(IF(VLOOKUP(A2265,[14]PRIORIZADOS!$A:$K,11,FALSE)="","",VLOOKUP(A2265,[14]PRIORIZADOS!$A:$K,11,FALSE)),"")</f>
        <v>SONIA CONSTANZA URREGO GONZÁLEZ</v>
      </c>
      <c r="L2265" s="11" t="str">
        <f>IFERROR(IF(VLOOKUP(A2265,[14]PRIORIZADOS!$A:$L,12,FALSE)="","",VLOOKUP(A2265,[14]PRIORIZADOS!$A:$L,12,FALSE)),"")</f>
        <v>ALBA DEL PILAR CUBIDES CÁCERES</v>
      </c>
      <c r="M2265" s="71">
        <f>IFERROR(IF(VLOOKUP(A2265,[14]PRIORIZADOS!$A:$M,13,FALSE)="","",VLOOKUP(A2265,[14]PRIORIZADOS!$A:$M,13,FALSE)),"")</f>
        <v>45785</v>
      </c>
      <c r="N2265" s="71">
        <f>IFERROR(IF(VLOOKUP(A2265,[14]PRIORIZADOS!$A:$N,14,FALSE)="","",VLOOKUP(A2265,[14]PRIORIZADOS!$A:$N,14,FALSE)),"")</f>
        <v>45874</v>
      </c>
      <c r="O2265" s="71">
        <f>IFERROR(IF(VLOOKUP(A2265,[14]PRIORIZADOS!$A:$O,15,FALSE)="","",VLOOKUP(A2265,[14]PRIORIZADOS!$A:$O,15,FALSE)),"")</f>
        <v>45874</v>
      </c>
      <c r="P2265" s="11" t="str">
        <f>IFERROR(IF(VLOOKUP(A2265,[14]PRIORIZADOS!$A:$P,16,FALSE)="","",VLOOKUP(A2265,[14]PRIORIZADOS!$A:$P,16,FALSE)),"")</f>
        <v>Visitas de evaluación con fines de seguimiento</v>
      </c>
      <c r="Q2265" s="27" t="s">
        <v>458</v>
      </c>
      <c r="R2265" s="11" t="str">
        <f>IFERROR(IF(VLOOKUP(A2265,[14]PRIORIZADOS!$A:$R,18,FALSE)="","",VLOOKUP(A2265,[14]PRIORIZADOS!$A:$R,18,FALSE)),"")</f>
        <v>Se evidenció la existencia de un PIAR para  los estudiantes que lo requieren, seguimiento y ajustes. Sin embargo, en algunos casos, se presentan inconvenientes de corresponsabilidad por parte de los padres.</v>
      </c>
      <c r="S2265" s="11" t="str">
        <f>IFERROR(IF(VLOOKUP(A2265,[14]PRIORIZADOS!$A:$S,19,FALSE)="","",VLOOKUP(A2265,[14]PRIORIZADOS!$A:$S,19,FALSE)),"")</f>
        <v>Continuar con los proceso de inclusión, haciendo estricto seguimiento sobre la corresponsabilidad de lospadres en los procesos de sus hijos.</v>
      </c>
      <c r="T2265" s="70" t="str">
        <f>IFERROR(IF(VLOOKUP(A2265,[14]PRIORIZADOS!$A:$T,20,FALSE)="","",VLOOKUP(A2265,[14]PRIORIZADOS!$A:$T,20,FALSE)),"")</f>
        <v>No</v>
      </c>
      <c r="U2265" s="11" t="str">
        <f>IFERROR(IF(VLOOKUP(A2265,[14]PRIORIZADOS!$A:$U,21,FALSE)="","",VLOOKUP(A2265,[14]PRIORIZADOS!$A:$U,21,FALSE)),"")</f>
        <v>Verificar nuevamente los procesos de inclusión en caso de presentarse queja.</v>
      </c>
    </row>
    <row r="2266" spans="1:21" s="1" customFormat="1" ht="84">
      <c r="A2266" s="69">
        <f>IF([14]PRIORIZADOS!A313="","",[14]PRIORIZADOS!A313)</f>
        <v>2234</v>
      </c>
      <c r="B2266" s="70">
        <f>IFERROR(IF(VLOOKUP(A2266,[14]PRIORIZADOS!$A:$B,2,FALSE)="","",VLOOKUP(A2266,[14]PRIORIZADOS!$A:$B,2,FALSE)),"")</f>
        <v>34</v>
      </c>
      <c r="C2266" s="11" t="s">
        <v>424</v>
      </c>
      <c r="D2266" s="11" t="str">
        <f>IFERROR(IF(VLOOKUP(A2266,[14]PRIORIZADOS!$A:$D,4,FALSE)="","",VLOOKUP(A2266,[14]PRIORIZADOS!$A:$D,4,FALSE)),"")</f>
        <v>PRIVADO</v>
      </c>
      <c r="E2266" s="11" t="str">
        <f>IFERROR(IF(VLOOKUP(A2266,[14]PRIORIZADOS!$A:$E,5,FALSE)="","",VLOOKUP(A2266,[14]PRIORIZADOS!$A:$E,5,FALSE)),"")</f>
        <v>EPBM</v>
      </c>
      <c r="F2266" s="11" t="str">
        <f>IFERROR(IF(VLOOKUP(A2266,[14]PRIORIZADOS!$A:$F,6,FALSE)="","",VLOOKUP(A2266,[14]PRIORIZADOS!$A:$F,6,FALSE)),"")</f>
        <v>LICEO_GLOBERTH_MIXTO</v>
      </c>
      <c r="G2266" s="11" t="str">
        <f>IFERROR(IF(VLOOKUP(A2266,[14]PRIORIZADOS!$A:$G,7,FALSE)="","",VLOOKUP(A2266,[14]PRIORIZADOS!$A:$G,7,FALSE)),"")</f>
        <v>LICEO GLOBERTH MIXTO</v>
      </c>
      <c r="H2266" s="11" t="str">
        <f>IFERROR(IF(VLOOKUP(A2266,[14]PRIORIZADOS!$A:$H,8,FALSE)="","",VLOOKUP(A2266,[14]PRIORIZADOS!$A:$H,8,FALSE)),"")</f>
        <v>Autoevaluación Institucional y Pruebas SABER 11</v>
      </c>
      <c r="I2266" s="11" t="str">
        <f>IFERROR(IF(VLOOKUP(A2266,[14]PRIORIZADOS!$A:$I,9,FALSE)="","",VLOOKUP(A2266,[14]PRIORIZADOS!$A:$I,9,FALSE)),"")</f>
        <v>EVALUACIÓN_CON_FINES_DE_MEJORAMIENTO.</v>
      </c>
      <c r="J2266" s="11" t="str">
        <f>IFERROR(IF(VLOOKUP(A2266,[14]PRIORIZADOS!$A:$J,10,FALSE)="","",VLOOKUP(A2266,[14]PRIORIZADOS!$A:$J,10,FALSE)),"")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66" s="11" t="str">
        <f>IFERROR(IF(VLOOKUP(A2266,[14]PRIORIZADOS!$A:$K,11,FALSE)="","",VLOOKUP(A2266,[14]PRIORIZADOS!$A:$K,11,FALSE)),"")</f>
        <v>SONIA CONSTANZA URREGO GONZÁLEZ</v>
      </c>
      <c r="L2266" s="11" t="str">
        <f>IFERROR(IF(VLOOKUP(A2266,[14]PRIORIZADOS!$A:$L,12,FALSE)="","",VLOOKUP(A2266,[14]PRIORIZADOS!$A:$L,12,FALSE)),"")</f>
        <v>ALBA DEL PILAR CUBIDES CÁCERES</v>
      </c>
      <c r="M2266" s="71">
        <f>IFERROR(IF(VLOOKUP(A2266,[14]PRIORIZADOS!$A:$M,13,FALSE)="","",VLOOKUP(A2266,[14]PRIORIZADOS!$A:$M,13,FALSE)),"")</f>
        <v>45785</v>
      </c>
      <c r="N2266" s="71">
        <f>IFERROR(IF(VLOOKUP(A2266,[14]PRIORIZADOS!$A:$N,14,FALSE)="","",VLOOKUP(A2266,[14]PRIORIZADOS!$A:$N,14,FALSE)),"")</f>
        <v>45874</v>
      </c>
      <c r="O2266" s="71">
        <f>IFERROR(IF(VLOOKUP(A2266,[14]PRIORIZADOS!$A:$O,15,FALSE)="","",VLOOKUP(A2266,[14]PRIORIZADOS!$A:$O,15,FALSE)),"")</f>
        <v>45874</v>
      </c>
      <c r="P2266" s="11" t="str">
        <f>IFERROR(IF(VLOOKUP(A2266,[14]PRIORIZADOS!$A:$P,16,FALSE)="","",VLOOKUP(A2266,[14]PRIORIZADOS!$A:$P,16,FALSE)),"")</f>
        <v>Visitas de evaluación con fines de mejoramiento</v>
      </c>
      <c r="Q2266" s="27" t="s">
        <v>458</v>
      </c>
      <c r="R2266" s="11" t="str">
        <f>IFERROR(IF(VLOOKUP(A2266,[14]PRIORIZADOS!$A:$R,18,FALSE)="","",VLOOKUP(A2266,[14]PRIORIZADOS!$A:$R,18,FALSE)),"")</f>
        <v xml:space="preserve">Se encontró que el manual está incompleto, faltan temas que debe ser abordados. </v>
      </c>
      <c r="S2266" s="11" t="str">
        <f>IFERROR(IF(VLOOKUP(A2266,[14]PRIORIZADOS!$A:$S,19,FALSE)="","",VLOOKUP(A2266,[14]PRIORIZADOS!$A:$S,19,FALSE)),"")</f>
        <v>Incluir en el manual las temáticas faltantes y realizar los ajustes al mismo, de acuerdo a las orientaciones dadas por parte del ELIV</v>
      </c>
      <c r="T2266" s="70" t="str">
        <f>IFERROR(IF(VLOOKUP(A2266,[14]PRIORIZADOS!$A:$T,20,FALSE)="","",VLOOKUP(A2266,[14]PRIORIZADOS!$A:$T,20,FALSE)),"")</f>
        <v>Si</v>
      </c>
      <c r="U2266" s="11" t="str">
        <f>IFERROR(IF(VLOOKUP(A2266,[14]PRIORIZADOS!$A:$U,21,FALSE)="","",VLOOKUP(A2266,[14]PRIORIZADOS!$A:$U,21,FALSE)),"")</f>
        <v>Verificar los ajustes realizados al Manual, acorde a las observaciones realizadas por parte del ELIV.</v>
      </c>
    </row>
    <row r="2267" spans="1:21" s="1" customFormat="1" ht="48">
      <c r="A2267" s="69">
        <f>IF([14]PRIORIZADOS!A314="","",[14]PRIORIZADOS!A314)</f>
        <v>2235</v>
      </c>
      <c r="B2267" s="70">
        <f>IFERROR(IF(VLOOKUP(A2267,[14]PRIORIZADOS!$A:$B,2,FALSE)="","",VLOOKUP(A2267,[14]PRIORIZADOS!$A:$B,2,FALSE)),"")</f>
        <v>34</v>
      </c>
      <c r="C2267" s="11" t="s">
        <v>424</v>
      </c>
      <c r="D2267" s="11" t="str">
        <f>IFERROR(IF(VLOOKUP(A2267,[14]PRIORIZADOS!$A:$D,4,FALSE)="","",VLOOKUP(A2267,[14]PRIORIZADOS!$A:$D,4,FALSE)),"")</f>
        <v>PRIVADO</v>
      </c>
      <c r="E2267" s="11" t="str">
        <f>IFERROR(IF(VLOOKUP(A2267,[14]PRIORIZADOS!$A:$E,5,FALSE)="","",VLOOKUP(A2267,[14]PRIORIZADOS!$A:$E,5,FALSE)),"")</f>
        <v>EPBM</v>
      </c>
      <c r="F2267" s="11" t="str">
        <f>IFERROR(IF(VLOOKUP(A2267,[14]PRIORIZADOS!$A:$F,6,FALSE)="","",VLOOKUP(A2267,[14]PRIORIZADOS!$A:$F,6,FALSE)),"")</f>
        <v>LICEO_GLOBERTH_MIXTO</v>
      </c>
      <c r="G2267" s="11" t="str">
        <f>IFERROR(IF(VLOOKUP(A2267,[14]PRIORIZADOS!$A:$G,7,FALSE)="","",VLOOKUP(A2267,[14]PRIORIZADOS!$A:$G,7,FALSE)),"")</f>
        <v>LICEO GLOBERTH MIXTO</v>
      </c>
      <c r="H2267" s="11" t="str">
        <f>IFERROR(IF(VLOOKUP(A2267,[14]PRIORIZADOS!$A:$H,8,FALSE)="","",VLOOKUP(A2267,[14]PRIORIZADOS!$A:$H,8,FALSE)),"")</f>
        <v>Autoevaluación Institucional y Pruebas SABER 11</v>
      </c>
      <c r="I2267" s="11" t="str">
        <f>IFERROR(IF(VLOOKUP(A2267,[14]PRIORIZADOS!$A:$I,9,FALSE)="","",VLOOKUP(A2267,[14]PRIORIZADOS!$A:$I,9,FALSE)),"")</f>
        <v>EVALUACIÓN_CON_FINES_DE_MEJORAMIENTO.</v>
      </c>
      <c r="J2267" s="11" t="str">
        <f>IFERROR(IF(VLOOKUP(A2267,[14]PRIORIZADOS!$A:$J,10,FALSE)="","",VLOOKUP(A2267,[14]PRIORIZADOS!$A:$J,10,FALSE)),"")</f>
        <v>Revisar la actualización, socialización e implementación del Sistema Institucional de Evaluación de Estudiantes - SIEE, en articulación con la actualización del PEI y la normatividad vigente.</v>
      </c>
      <c r="K2267" s="11" t="str">
        <f>IFERROR(IF(VLOOKUP(A2267,[14]PRIORIZADOS!$A:$K,11,FALSE)="","",VLOOKUP(A2267,[14]PRIORIZADOS!$A:$K,11,FALSE)),"")</f>
        <v>SONIA CONSTANZA URREGO GONZÁLEZ</v>
      </c>
      <c r="L2267" s="11" t="str">
        <f>IFERROR(IF(VLOOKUP(A2267,[14]PRIORIZADOS!$A:$L,12,FALSE)="","",VLOOKUP(A2267,[14]PRIORIZADOS!$A:$L,12,FALSE)),"")</f>
        <v>ALBA DEL PILAR CUBIDES CÁCERES</v>
      </c>
      <c r="M2267" s="71">
        <f>IFERROR(IF(VLOOKUP(A2267,[14]PRIORIZADOS!$A:$M,13,FALSE)="","",VLOOKUP(A2267,[14]PRIORIZADOS!$A:$M,13,FALSE)),"")</f>
        <v>45785</v>
      </c>
      <c r="N2267" s="71">
        <f>IFERROR(IF(VLOOKUP(A2267,[14]PRIORIZADOS!$A:$N,14,FALSE)="","",VLOOKUP(A2267,[14]PRIORIZADOS!$A:$N,14,FALSE)),"")</f>
        <v>45874</v>
      </c>
      <c r="O2267" s="71">
        <f>IFERROR(IF(VLOOKUP(A2267,[14]PRIORIZADOS!$A:$O,15,FALSE)="","",VLOOKUP(A2267,[14]PRIORIZADOS!$A:$O,15,FALSE)),"")</f>
        <v>45874</v>
      </c>
      <c r="P2267" s="11" t="str">
        <f>IFERROR(IF(VLOOKUP(A2267,[14]PRIORIZADOS!$A:$P,16,FALSE)="","",VLOOKUP(A2267,[14]PRIORIZADOS!$A:$P,16,FALSE)),"")</f>
        <v>Visitas de evaluación con fines de mejoramiento</v>
      </c>
      <c r="Q2267" s="27" t="s">
        <v>458</v>
      </c>
      <c r="R2267" s="11" t="str">
        <f>IFERROR(IF(VLOOKUP(A2267,[14]PRIORIZADOS!$A:$R,18,FALSE)="","",VLOOKUP(A2267,[14]PRIORIZADOS!$A:$R,18,FALSE)),"")</f>
        <v>Revisado el SIEE cuenta con los criterios de evaluación y promoción y  escala valorativa.</v>
      </c>
      <c r="S2267" s="11" t="str">
        <f>IFERROR(IF(VLOOKUP(A2267,[14]PRIORIZADOS!$A:$S,19,FALSE)="","",VLOOKUP(A2267,[14]PRIORIZADOS!$A:$S,19,FALSE)),"")</f>
        <v xml:space="preserve">Hacer seguimiento constante para determinar la necesidad de actualizar el SIEE. </v>
      </c>
      <c r="T2267" s="70" t="str">
        <f>IFERROR(IF(VLOOKUP(A2267,[14]PRIORIZADOS!$A:$T,20,FALSE)="","",VLOOKUP(A2267,[14]PRIORIZADOS!$A:$T,20,FALSE)),"")</f>
        <v>No</v>
      </c>
      <c r="U2267" s="11" t="str">
        <f>IFERROR(IF(VLOOKUP(A2267,[14]PRIORIZADOS!$A:$U,21,FALSE)="","",VLOOKUP(A2267,[14]PRIORIZADOS!$A:$U,21,FALSE)),"")</f>
        <v>Revisar nuevamente el SIEE en caso de presentarse queja.</v>
      </c>
    </row>
    <row r="2268" spans="1:21" s="1" customFormat="1" ht="48">
      <c r="A2268" s="69">
        <f>IF([14]PRIORIZADOS!A315="","",[14]PRIORIZADOS!A315)</f>
        <v>2236</v>
      </c>
      <c r="B2268" s="70">
        <f>IFERROR(IF(VLOOKUP(A2268,[14]PRIORIZADOS!$A:$B,2,FALSE)="","",VLOOKUP(A2268,[14]PRIORIZADOS!$A:$B,2,FALSE)),"")</f>
        <v>34</v>
      </c>
      <c r="C2268" s="11" t="s">
        <v>424</v>
      </c>
      <c r="D2268" s="11" t="str">
        <f>IFERROR(IF(VLOOKUP(A2268,[14]PRIORIZADOS!$A:$D,4,FALSE)="","",VLOOKUP(A2268,[14]PRIORIZADOS!$A:$D,4,FALSE)),"")</f>
        <v>PRIVADO</v>
      </c>
      <c r="E2268" s="11" t="str">
        <f>IFERROR(IF(VLOOKUP(A2268,[14]PRIORIZADOS!$A:$E,5,FALSE)="","",VLOOKUP(A2268,[14]PRIORIZADOS!$A:$E,5,FALSE)),"")</f>
        <v>EPBM</v>
      </c>
      <c r="F2268" s="11" t="str">
        <f>IFERROR(IF(VLOOKUP(A2268,[14]PRIORIZADOS!$A:$F,6,FALSE)="","",VLOOKUP(A2268,[14]PRIORIZADOS!$A:$F,6,FALSE)),"")</f>
        <v>LICEO_GLOBERTH_MIXTO</v>
      </c>
      <c r="G2268" s="11" t="str">
        <f>IFERROR(IF(VLOOKUP(A2268,[14]PRIORIZADOS!$A:$G,7,FALSE)="","",VLOOKUP(A2268,[14]PRIORIZADOS!$A:$G,7,FALSE)),"")</f>
        <v>LICEO GLOBERTH MIXTO</v>
      </c>
      <c r="H2268" s="11" t="str">
        <f>IFERROR(IF(VLOOKUP(A2268,[14]PRIORIZADOS!$A:$H,8,FALSE)="","",VLOOKUP(A2268,[14]PRIORIZADOS!$A:$H,8,FALSE)),"")</f>
        <v>Autoevaluación Institucional y Pruebas SABER 11</v>
      </c>
      <c r="I2268" s="11" t="str">
        <f>IFERROR(IF(VLOOKUP(A2268,[14]PRIORIZADOS!$A:$I,9,FALSE)="","",VLOOKUP(A2268,[14]PRIORIZADOS!$A:$I,9,FALSE)),"")</f>
        <v>EVALUACIÓN_CON_FINES_DE_MEJORAMIENTO.</v>
      </c>
      <c r="J2268" s="11" t="str">
        <f>IFERROR(IF(VLOOKUP(A2268,[14]PRIORIZADOS!$A:$J,10,FALSE)="","",VLOOKUP(A2268,[14]PRIORIZADOS!$A:$J,10,FALSE)),"")</f>
        <v>Revisar el calendario escolar, jornada escolar, la intensidad horaria mínima anual en cada nivel y las modificaciones que se realicen al mismo, de acuerdo con lo previsto en la normatividad vigente.</v>
      </c>
      <c r="K2268" s="11" t="str">
        <f>IFERROR(IF(VLOOKUP(A2268,[14]PRIORIZADOS!$A:$K,11,FALSE)="","",VLOOKUP(A2268,[14]PRIORIZADOS!$A:$K,11,FALSE)),"")</f>
        <v>SONIA CONSTANZA URREGO GONZÁLEZ</v>
      </c>
      <c r="L2268" s="11" t="str">
        <f>IFERROR(IF(VLOOKUP(A2268,[14]PRIORIZADOS!$A:$L,12,FALSE)="","",VLOOKUP(A2268,[14]PRIORIZADOS!$A:$L,12,FALSE)),"")</f>
        <v>ALBA DEL PILAR CUBIDES CÁCERES</v>
      </c>
      <c r="M2268" s="71">
        <f>IFERROR(IF(VLOOKUP(A2268,[14]PRIORIZADOS!$A:$M,13,FALSE)="","",VLOOKUP(A2268,[14]PRIORIZADOS!$A:$M,13,FALSE)),"")</f>
        <v>45785</v>
      </c>
      <c r="N2268" s="71">
        <f>IFERROR(IF(VLOOKUP(A2268,[14]PRIORIZADOS!$A:$N,14,FALSE)="","",VLOOKUP(A2268,[14]PRIORIZADOS!$A:$N,14,FALSE)),"")</f>
        <v>45874</v>
      </c>
      <c r="O2268" s="71">
        <f>IFERROR(IF(VLOOKUP(A2268,[14]PRIORIZADOS!$A:$O,15,FALSE)="","",VLOOKUP(A2268,[14]PRIORIZADOS!$A:$O,15,FALSE)),"")</f>
        <v>45874</v>
      </c>
      <c r="P2268" s="11" t="str">
        <f>IFERROR(IF(VLOOKUP(A2268,[14]PRIORIZADOS!$A:$P,16,FALSE)="","",VLOOKUP(A2268,[14]PRIORIZADOS!$A:$P,16,FALSE)),"")</f>
        <v>Visitas de evaluación con fines de mejoramiento</v>
      </c>
      <c r="Q2268" s="27" t="s">
        <v>458</v>
      </c>
      <c r="R2268" s="11" t="str">
        <f>IFERROR(IF(VLOOKUP(A2268,[14]PRIORIZADOS!$A:$R,18,FALSE)="","",VLOOKUP(A2268,[14]PRIORIZADOS!$A:$R,18,FALSE)),"")</f>
        <v>Cumple con el número de semanas y horas por cada nivel y realizó reporte de información del calendario escolar.</v>
      </c>
      <c r="S2268" s="11" t="str">
        <f>IFERROR(IF(VLOOKUP(A2268,[14]PRIORIZADOS!$A:$S,19,FALSE)="","",VLOOKUP(A2268,[14]PRIORIZADOS!$A:$S,19,FALSE)),"")</f>
        <v xml:space="preserve">Continuar con el cumplimiento del calendario.  </v>
      </c>
      <c r="T2268" s="70" t="str">
        <f>IFERROR(IF(VLOOKUP(A2268,[14]PRIORIZADOS!$A:$T,20,FALSE)="","",VLOOKUP(A2268,[14]PRIORIZADOS!$A:$T,20,FALSE)),"")</f>
        <v>No</v>
      </c>
      <c r="U2268" s="11" t="str">
        <f>IFERROR(IF(VLOOKUP(A2268,[14]PRIORIZADOS!$A:$U,21,FALSE)="","",VLOOKUP(A2268,[14]PRIORIZADOS!$A:$U,21,FALSE)),"")</f>
        <v>Revisar nuevamente el calendario escolar en caso que se presente queja.</v>
      </c>
    </row>
    <row r="2269" spans="1:21" s="1" customFormat="1" ht="48">
      <c r="A2269" s="69">
        <f>IF([14]PRIORIZADOS!A316="","",[14]PRIORIZADOS!A316)</f>
        <v>2237</v>
      </c>
      <c r="B2269" s="70">
        <f>IFERROR(IF(VLOOKUP(A2269,[14]PRIORIZADOS!$A:$B,2,FALSE)="","",VLOOKUP(A2269,[14]PRIORIZADOS!$A:$B,2,FALSE)),"")</f>
        <v>34</v>
      </c>
      <c r="C2269" s="11" t="s">
        <v>424</v>
      </c>
      <c r="D2269" s="11" t="str">
        <f>IFERROR(IF(VLOOKUP(A2269,[14]PRIORIZADOS!$A:$D,4,FALSE)="","",VLOOKUP(A2269,[14]PRIORIZADOS!$A:$D,4,FALSE)),"")</f>
        <v>PRIVADO</v>
      </c>
      <c r="E2269" s="11" t="str">
        <f>IFERROR(IF(VLOOKUP(A2269,[14]PRIORIZADOS!$A:$E,5,FALSE)="","",VLOOKUP(A2269,[14]PRIORIZADOS!$A:$E,5,FALSE)),"")</f>
        <v>EPBM</v>
      </c>
      <c r="F2269" s="11" t="str">
        <f>IFERROR(IF(VLOOKUP(A2269,[14]PRIORIZADOS!$A:$F,6,FALSE)="","",VLOOKUP(A2269,[14]PRIORIZADOS!$A:$F,6,FALSE)),"")</f>
        <v>LICEO_GLOBERTH_MIXTO</v>
      </c>
      <c r="G2269" s="11" t="str">
        <f>IFERROR(IF(VLOOKUP(A2269,[14]PRIORIZADOS!$A:$G,7,FALSE)="","",VLOOKUP(A2269,[14]PRIORIZADOS!$A:$G,7,FALSE)),"")</f>
        <v>LICEO GLOBERTH MIXTO</v>
      </c>
      <c r="H2269" s="11" t="str">
        <f>IFERROR(IF(VLOOKUP(A2269,[14]PRIORIZADOS!$A:$H,8,FALSE)="","",VLOOKUP(A2269,[14]PRIORIZADOS!$A:$H,8,FALSE)),"")</f>
        <v>Autoevaluación Institucional y Pruebas SABER 11</v>
      </c>
      <c r="I2269" s="11" t="str">
        <f>IFERROR(IF(VLOOKUP(A2269,[14]PRIORIZADOS!$A:$I,9,FALSE)="","",VLOOKUP(A2269,[14]PRIORIZADOS!$A:$I,9,FALSE)),"")</f>
        <v>EVALUACIÓN_CON_FINES_DE_MEJORAMIENTO.</v>
      </c>
      <c r="J2269" s="11" t="str">
        <f>IFERROR(IF(VLOOKUP(A2269,[14]PRIORIZADOS!$A:$J,10,FALSE)="","",VLOOKUP(A2269,[14]PRIORIZADOS!$A:$J,10,FALSE)),"")</f>
        <v>Verificar el funcionamiento del Gobierno Escolar e instancias de participación con base en la información sobre conformación reportada por la institución educativa.</v>
      </c>
      <c r="K2269" s="11" t="str">
        <f>IFERROR(IF(VLOOKUP(A2269,[14]PRIORIZADOS!$A:$K,11,FALSE)="","",VLOOKUP(A2269,[14]PRIORIZADOS!$A:$K,11,FALSE)),"")</f>
        <v>SONIA CONSTANZA URREGO GONZÁLEZ</v>
      </c>
      <c r="L2269" s="11" t="str">
        <f>IFERROR(IF(VLOOKUP(A2269,[14]PRIORIZADOS!$A:$L,12,FALSE)="","",VLOOKUP(A2269,[14]PRIORIZADOS!$A:$L,12,FALSE)),"")</f>
        <v>ALBA DEL PILAR CUBIDES CÁCERES</v>
      </c>
      <c r="M2269" s="71">
        <f>IFERROR(IF(VLOOKUP(A2269,[14]PRIORIZADOS!$A:$M,13,FALSE)="","",VLOOKUP(A2269,[14]PRIORIZADOS!$A:$M,13,FALSE)),"")</f>
        <v>45785</v>
      </c>
      <c r="N2269" s="71">
        <f>IFERROR(IF(VLOOKUP(A2269,[14]PRIORIZADOS!$A:$N,14,FALSE)="","",VLOOKUP(A2269,[14]PRIORIZADOS!$A:$N,14,FALSE)),"")</f>
        <v>45874</v>
      </c>
      <c r="O2269" s="71">
        <f>IFERROR(IF(VLOOKUP(A2269,[14]PRIORIZADOS!$A:$O,15,FALSE)="","",VLOOKUP(A2269,[14]PRIORIZADOS!$A:$O,15,FALSE)),"")</f>
        <v>45874</v>
      </c>
      <c r="P2269" s="11" t="str">
        <f>IFERROR(IF(VLOOKUP(A2269,[14]PRIORIZADOS!$A:$P,16,FALSE)="","",VLOOKUP(A2269,[14]PRIORIZADOS!$A:$P,16,FALSE)),"")</f>
        <v>Visitas de evaluación con fines de mejoramiento</v>
      </c>
      <c r="Q2269" s="27" t="s">
        <v>458</v>
      </c>
      <c r="R2269" s="11" t="str">
        <f>IFERROR(IF(VLOOKUP(A2269,[14]PRIORIZADOS!$A:$R,18,FALSE)="","",VLOOKUP(A2269,[14]PRIORIZADOS!$A:$R,18,FALSE)),"")</f>
        <v>Se conformó el Gobierno Escolar y fue reportado en el aplicativo SAE. Se evidencian actas de reunión de los órganos de Gobierno.</v>
      </c>
      <c r="S2269" s="11" t="str">
        <f>IFERROR(IF(VLOOKUP(A2269,[14]PRIORIZADOS!$A:$S,19,FALSE)="","",VLOOKUP(A2269,[14]PRIORIZADOS!$A:$S,19,FALSE)),"")</f>
        <v xml:space="preserve">Realizar las reuniones de acuerdo a su reglamento, de cada uno de los órganos de Gobierno Escolar. </v>
      </c>
      <c r="T2269" s="70" t="str">
        <f>IFERROR(IF(VLOOKUP(A2269,[14]PRIORIZADOS!$A:$T,20,FALSE)="","",VLOOKUP(A2269,[14]PRIORIZADOS!$A:$T,20,FALSE)),"")</f>
        <v>No</v>
      </c>
      <c r="U2269" s="11" t="str">
        <f>IFERROR(IF(VLOOKUP(A2269,[14]PRIORIZADOS!$A:$U,21,FALSE)="","",VLOOKUP(A2269,[14]PRIORIZADOS!$A:$U,21,FALSE)),"")</f>
        <v>Verificar el funcionamiento del Gobierno Escolar a través de la revisión de actas de sus reuniones.</v>
      </c>
    </row>
    <row r="2270" spans="1:21" s="1" customFormat="1" ht="72">
      <c r="A2270" s="69">
        <f>IF([14]PRIORIZADOS!A317="","",[14]PRIORIZADOS!A317)</f>
        <v>2238</v>
      </c>
      <c r="B2270" s="70">
        <f>IFERROR(IF(VLOOKUP(A2270,[14]PRIORIZADOS!$A:$B,2,FALSE)="","",VLOOKUP(A2270,[14]PRIORIZADOS!$A:$B,2,FALSE)),"")</f>
        <v>34</v>
      </c>
      <c r="C2270" s="11" t="s">
        <v>424</v>
      </c>
      <c r="D2270" s="11" t="str">
        <f>IFERROR(IF(VLOOKUP(A2270,[14]PRIORIZADOS!$A:$D,4,FALSE)="","",VLOOKUP(A2270,[14]PRIORIZADOS!$A:$D,4,FALSE)),"")</f>
        <v>PRIVADO</v>
      </c>
      <c r="E2270" s="11" t="str">
        <f>IFERROR(IF(VLOOKUP(A2270,[14]PRIORIZADOS!$A:$E,5,FALSE)="","",VLOOKUP(A2270,[14]PRIORIZADOS!$A:$E,5,FALSE)),"")</f>
        <v>EPBM</v>
      </c>
      <c r="F2270" s="11" t="str">
        <f>IFERROR(IF(VLOOKUP(A2270,[14]PRIORIZADOS!$A:$F,6,FALSE)="","",VLOOKUP(A2270,[14]PRIORIZADOS!$A:$F,6,FALSE)),"")</f>
        <v>LICEO_GLOBERTH_MIXTO</v>
      </c>
      <c r="G2270" s="11" t="str">
        <f>IFERROR(IF(VLOOKUP(A2270,[14]PRIORIZADOS!$A:$G,7,FALSE)="","",VLOOKUP(A2270,[14]PRIORIZADOS!$A:$G,7,FALSE)),"")</f>
        <v>LICEO GLOBERTH MIXTO</v>
      </c>
      <c r="H2270" s="11" t="str">
        <f>IFERROR(IF(VLOOKUP(A2270,[14]PRIORIZADOS!$A:$H,8,FALSE)="","",VLOOKUP(A2270,[14]PRIORIZADOS!$A:$H,8,FALSE)),"")</f>
        <v>Autoevaluación Institucional y Pruebas SABER 11</v>
      </c>
      <c r="I2270" s="11" t="str">
        <f>IFERROR(IF(VLOOKUP(A2270,[14]PRIORIZADOS!$A:$I,9,FALSE)="","",VLOOKUP(A2270,[14]PRIORIZADOS!$A:$I,9,FALSE)),"")</f>
        <v>EVALUACIÓN_CON_FINES_DE_MEJORAMIENTO.</v>
      </c>
      <c r="J2270" s="11" t="str">
        <f>IFERROR(IF(VLOOKUP(A2270,[14]PRIORIZADOS!$A:$J,10,FALSE)="","",VLOOKUP(A2270,[14]PRIORIZADOS!$A:$J,10,FALSE)),"")</f>
        <v>Verificar las condiciones en cuanto a: la estructura administrativa, condiciones de la planta física y medios educativos adecuados.</v>
      </c>
      <c r="K2270" s="11" t="str">
        <f>IFERROR(IF(VLOOKUP(A2270,[14]PRIORIZADOS!$A:$K,11,FALSE)="","",VLOOKUP(A2270,[14]PRIORIZADOS!$A:$K,11,FALSE)),"")</f>
        <v>SONIA CONSTANZA URREGO GONZÁLEZ</v>
      </c>
      <c r="L2270" s="11" t="str">
        <f>IFERROR(IF(VLOOKUP(A2270,[14]PRIORIZADOS!$A:$L,12,FALSE)="","",VLOOKUP(A2270,[14]PRIORIZADOS!$A:$L,12,FALSE)),"")</f>
        <v>ALBA DEL PILAR CUBIDES CÁCERES</v>
      </c>
      <c r="M2270" s="71">
        <f>IFERROR(IF(VLOOKUP(A2270,[14]PRIORIZADOS!$A:$M,13,FALSE)="","",VLOOKUP(A2270,[14]PRIORIZADOS!$A:$M,13,FALSE)),"")</f>
        <v>45785</v>
      </c>
      <c r="N2270" s="71">
        <f>IFERROR(IF(VLOOKUP(A2270,[14]PRIORIZADOS!$A:$N,14,FALSE)="","",VLOOKUP(A2270,[14]PRIORIZADOS!$A:$N,14,FALSE)),"")</f>
        <v>45874</v>
      </c>
      <c r="O2270" s="71">
        <f>IFERROR(IF(VLOOKUP(A2270,[14]PRIORIZADOS!$A:$O,15,FALSE)="","",VLOOKUP(A2270,[14]PRIORIZADOS!$A:$O,15,FALSE)),"")</f>
        <v>45874</v>
      </c>
      <c r="P2270" s="11" t="str">
        <f>IFERROR(IF(VLOOKUP(A2270,[14]PRIORIZADOS!$A:$P,16,FALSE)="","",VLOOKUP(A2270,[14]PRIORIZADOS!$A:$P,16,FALSE)),"")</f>
        <v>Visitas de evaluación con fines de mejoramiento</v>
      </c>
      <c r="Q2270" s="28" t="s">
        <v>458</v>
      </c>
      <c r="R2270" s="11" t="str">
        <f>IFERROR(IF(VLOOKUP(A2270,[14]PRIORIZADOS!$A:$R,18,FALSE)="","",VLOOKUP(A2270,[14]PRIORIZADOS!$A:$R,18,FALSE)),"")</f>
        <v>Cuenta con espacios suficientes, dotados, amplios y adecuados, que generan bienestar y seguridad a los estudiantes. A pesar de no tener estudiantes con discapacidad física, no tienen espacios adecuados en caso de requerirlo.</v>
      </c>
      <c r="S2270" s="11" t="str">
        <f>IFERROR(IF(VLOOKUP(A2270,[14]PRIORIZADOS!$A:$S,19,FALSE)="","",VLOOKUP(A2270,[14]PRIORIZADOS!$A:$S,19,FALSE)),"")</f>
        <v>Realizar adecuaciones minimas como rampas de acceso para el ingreso de personas con discapacidad física, entre otros.</v>
      </c>
      <c r="T2270" s="70" t="str">
        <f>IFERROR(IF(VLOOKUP(A2270,[14]PRIORIZADOS!$A:$T,20,FALSE)="","",VLOOKUP(A2270,[14]PRIORIZADOS!$A:$T,20,FALSE)),"")</f>
        <v>Si</v>
      </c>
      <c r="U2270" s="11" t="str">
        <f>IFERROR(IF(VLOOKUP(A2270,[14]PRIORIZADOS!$A:$U,21,FALSE)="","",VLOOKUP(A2270,[14]PRIORIZADOS!$A:$U,21,FALSE)),"")</f>
        <v>Verificar con registro fotográfico, los avances de acuerdo a los plazos registrados en el PMI</v>
      </c>
    </row>
    <row r="2271" spans="1:21" s="1" customFormat="1" ht="84">
      <c r="A2271" s="69">
        <f>IF([14]PRIORIZADOS!A318="","",[14]PRIORIZADOS!A318)</f>
        <v>2239</v>
      </c>
      <c r="B2271" s="70">
        <f>IFERROR(IF(VLOOKUP(A2271,[14]PRIORIZADOS!$A:$B,2,FALSE)="","",VLOOKUP(A2271,[14]PRIORIZADOS!$A:$B,2,FALSE)),"")</f>
        <v>35</v>
      </c>
      <c r="C2271" s="11" t="s">
        <v>424</v>
      </c>
      <c r="D2271" s="11" t="str">
        <f>IFERROR(IF(VLOOKUP(A2271,[14]PRIORIZADOS!$A:$D,4,FALSE)="","",VLOOKUP(A2271,[14]PRIORIZADOS!$A:$D,4,FALSE)),"")</f>
        <v>PRIVADO</v>
      </c>
      <c r="E2271" s="11" t="str">
        <f>IFERROR(IF(VLOOKUP(A2271,[14]PRIORIZADOS!$A:$E,5,FALSE)="","",VLOOKUP(A2271,[14]PRIORIZADOS!$A:$E,5,FALSE)),"")</f>
        <v>EPBM</v>
      </c>
      <c r="F2271" s="11" t="str">
        <f>IFERROR(IF(VLOOKUP(A2271,[14]PRIORIZADOS!$A:$F,6,FALSE)="","",VLOOKUP(A2271,[14]PRIORIZADOS!$A:$F,6,FALSE)),"")</f>
        <v>GIMNASIO_BOSQUES_DEL_NOGAL</v>
      </c>
      <c r="G2271" s="11" t="str">
        <f>IFERROR(IF(VLOOKUP(A2271,[14]PRIORIZADOS!$A:$G,7,FALSE)="","",VLOOKUP(A2271,[14]PRIORIZADOS!$A:$G,7,FALSE)),"")</f>
        <v>GIMNASIO BOSQUES DEL NOGAL</v>
      </c>
      <c r="H2271" s="11" t="str">
        <f>IFERROR(IF(VLOOKUP(A2271,[14]PRIORIZADOS!$A:$H,8,FALSE)="","",VLOOKUP(A2271,[14]PRIORIZADOS!$A:$H,8,FALSE)),"")</f>
        <v>Autoevaluación Institucional y Pruebas SABER 11</v>
      </c>
      <c r="I2271" s="11" t="str">
        <f>IFERROR(IF(VLOOKUP(A2271,[14]PRIORIZADOS!$A:$I,9,FALSE)="","",VLOOKUP(A2271,[14]PRIORIZADOS!$A:$I,9,FALSE)),"")</f>
        <v>SEGUIMIENTO_Y_SUPERVISIÓN.</v>
      </c>
      <c r="J2271" s="11" t="str">
        <f>IFERROR(IF(VLOOKUP(A2271,[14]PRIORIZADOS!$A:$J,10,FALSE)="","",VLOOKUP(A2271,[14]PRIORIZADOS!$A:$J,10,FALSE)),"")</f>
        <v>Realizar visitas para verificar la información registrada sobre la autoevaluación institucional en el aplicativo EVI, a los establecimientos de educación formal no oficial.</v>
      </c>
      <c r="K2271" s="11" t="str">
        <f>IFERROR(IF(VLOOKUP(A2271,[14]PRIORIZADOS!$A:$K,11,FALSE)="","",VLOOKUP(A2271,[14]PRIORIZADOS!$A:$K,11,FALSE)),"")</f>
        <v>DANIEL ALEJANDRO GRANOBLES</v>
      </c>
      <c r="L2271" s="11" t="str">
        <f>IFERROR(IF(VLOOKUP(A2271,[14]PRIORIZADOS!$A:$L,12,FALSE)="","",VLOOKUP(A2271,[14]PRIORIZADOS!$A:$L,12,FALSE)),"")</f>
        <v>SANDRA OLINDA GONZÁLEZ REYES</v>
      </c>
      <c r="M2271" s="71">
        <f>IFERROR(IF(VLOOKUP(A2271,[14]PRIORIZADOS!$A:$M,13,FALSE)="","",VLOOKUP(A2271,[14]PRIORIZADOS!$A:$M,13,FALSE)),"")</f>
        <v>45860</v>
      </c>
      <c r="N2271" s="71">
        <f>IFERROR(IF(VLOOKUP(A2271,[14]PRIORIZADOS!$A:$N,14,FALSE)="","",VLOOKUP(A2271,[14]PRIORIZADOS!$A:$N,14,FALSE)),"")</f>
        <v>45882</v>
      </c>
      <c r="O2271" s="71">
        <f>IFERROR(IF(VLOOKUP(A2271,[14]PRIORIZADOS!$A:$O,15,FALSE)="","",VLOOKUP(A2271,[14]PRIORIZADOS!$A:$O,15,FALSE)),"")</f>
        <v>45882</v>
      </c>
      <c r="P2271" s="11" t="str">
        <f>IFERROR(IF(VLOOKUP(A2271,[14]PRIORIZADOS!$A:$P,16,FALSE)="","",VLOOKUP(A2271,[14]PRIORIZADOS!$A:$P,16,FALSE)),"")</f>
        <v>Visitas de evaluación con fines de seguimiento</v>
      </c>
      <c r="Q2271" s="256" t="s">
        <v>459</v>
      </c>
      <c r="R2271" s="11" t="str">
        <f>IFERROR(IF(VLOOKUP(A2271,[14]PRIORIZADOS!$A:$R,18,FALSE)="","",VLOOKUP(A2271,[14]PRIORIZADOS!$A:$R,18,FALSE)),"")</f>
        <v xml:space="preserve">Se evidencio que la información registrada en el aplicativo EVI, no corresponde a la verificada en la visita en cuanto a computadores, baños, número de docentes </v>
      </c>
      <c r="S2271" s="11" t="str">
        <f>IFERROR(IF(VLOOKUP(A2271,[14]PRIORIZADOS!$A:$S,19,FALSE)="","",VLOOKUP(A2271,[14]PRIORIZADOS!$A:$S,19,FALSE)),"")</f>
        <v>Realizar la revisión de la normatividad relacionada con las tarifas y  diligenciar la plataforma para la vigencia 2026  de  manera completa y ajustada a la realidad de la institución. Elaborar plan de mejoramiento sobre todos los indicadores y remitirlo hasta el 30 de septiembre</v>
      </c>
      <c r="T2271" s="70" t="str">
        <f>IFERROR(IF(VLOOKUP(A2271,[14]PRIORIZADOS!$A:$T,20,FALSE)="","",VLOOKUP(A2271,[14]PRIORIZADOS!$A:$T,20,FALSE)),"")</f>
        <v>Si</v>
      </c>
      <c r="U2271" s="11" t="str">
        <f>IFERROR(IF(VLOOKUP(A2271,[14]PRIORIZADOS!$A:$U,21,FALSE)="","",VLOOKUP(A2271,[14]PRIORIZADOS!$A:$U,21,FALSE)),"")</f>
        <v>Verificar la información diligenciada y publicación de documentos en el aplicativo EVI para la vigencia 2026.</v>
      </c>
    </row>
    <row r="2272" spans="1:21" s="1" customFormat="1" ht="72">
      <c r="A2272" s="69">
        <f>IF([14]PRIORIZADOS!A319="","",[14]PRIORIZADOS!A319)</f>
        <v>2240</v>
      </c>
      <c r="B2272" s="70">
        <f>IFERROR(IF(VLOOKUP(A2272,[14]PRIORIZADOS!$A:$B,2,FALSE)="","",VLOOKUP(A2272,[14]PRIORIZADOS!$A:$B,2,FALSE)),"")</f>
        <v>35</v>
      </c>
      <c r="C2272" s="11" t="s">
        <v>424</v>
      </c>
      <c r="D2272" s="11" t="str">
        <f>IFERROR(IF(VLOOKUP(A2272,[14]PRIORIZADOS!$A:$D,4,FALSE)="","",VLOOKUP(A2272,[14]PRIORIZADOS!$A:$D,4,FALSE)),"")</f>
        <v>PRIVADO</v>
      </c>
      <c r="E2272" s="11" t="str">
        <f>IFERROR(IF(VLOOKUP(A2272,[14]PRIORIZADOS!$A:$E,5,FALSE)="","",VLOOKUP(A2272,[14]PRIORIZADOS!$A:$E,5,FALSE)),"")</f>
        <v>EPBM</v>
      </c>
      <c r="F2272" s="11" t="str">
        <f>IFERROR(IF(VLOOKUP(A2272,[14]PRIORIZADOS!$A:$F,6,FALSE)="","",VLOOKUP(A2272,[14]PRIORIZADOS!$A:$F,6,FALSE)),"")</f>
        <v>GIMNASIO_BOSQUES_DEL_NOGAL</v>
      </c>
      <c r="G2272" s="11" t="str">
        <f>IFERROR(IF(VLOOKUP(A2272,[14]PRIORIZADOS!$A:$G,7,FALSE)="","",VLOOKUP(A2272,[14]PRIORIZADOS!$A:$G,7,FALSE)),"")</f>
        <v>GIMNASIO BOSQUES DEL NOGAL</v>
      </c>
      <c r="H2272" s="11" t="str">
        <f>IFERROR(IF(VLOOKUP(A2272,[14]PRIORIZADOS!$A:$H,8,FALSE)="","",VLOOKUP(A2272,[14]PRIORIZADOS!$A:$H,8,FALSE)),"")</f>
        <v>Autoevaluación Institucional y Pruebas SABER 11</v>
      </c>
      <c r="I2272" s="11" t="str">
        <f>IFERROR(IF(VLOOKUP(A2272,[14]PRIORIZADOS!$A:$I,9,FALSE)="","",VLOOKUP(A2272,[14]PRIORIZADOS!$A:$I,9,FALSE)),"")</f>
        <v>SEGUIMIENTO_Y_SUPERVISIÓN.</v>
      </c>
      <c r="J2272" s="11" t="str">
        <f>IFERROR(IF(VLOOKUP(A2272,[14]PRIORIZADOS!$A:$J,10,FALSE)="","",VLOOKUP(A2272,[14]PRIORIZADOS!$A:$J,10,FALSE)),"")</f>
        <v>Proponer estrategias en la formulación, verificar su elaboración y realizar seguimiento semestral al desarrollo de  las acciones establecidas en los planes de mejoramiento por pruebas SABER 11 de los establecimientos de educación formal.</v>
      </c>
      <c r="K2272" s="11" t="str">
        <f>IFERROR(IF(VLOOKUP(A2272,[14]PRIORIZADOS!$A:$K,11,FALSE)="","",VLOOKUP(A2272,[14]PRIORIZADOS!$A:$K,11,FALSE)),"")</f>
        <v>DANIEL ALEJANDRO GRANOBLES</v>
      </c>
      <c r="L2272" s="11" t="str">
        <f>IFERROR(IF(VLOOKUP(A2272,[14]PRIORIZADOS!$A:$L,12,FALSE)="","",VLOOKUP(A2272,[14]PRIORIZADOS!$A:$L,12,FALSE)),"")</f>
        <v>SANDRA OLINDA GONZÁLEZ REYES</v>
      </c>
      <c r="M2272" s="71">
        <f>IFERROR(IF(VLOOKUP(A2272,[14]PRIORIZADOS!$A:$M,13,FALSE)="","",VLOOKUP(A2272,[14]PRIORIZADOS!$A:$M,13,FALSE)),"")</f>
        <v>45860</v>
      </c>
      <c r="N2272" s="71">
        <f>IFERROR(IF(VLOOKUP(A2272,[14]PRIORIZADOS!$A:$N,14,FALSE)="","",VLOOKUP(A2272,[14]PRIORIZADOS!$A:$N,14,FALSE)),"")</f>
        <v>45882</v>
      </c>
      <c r="O2272" s="71">
        <f>IFERROR(IF(VLOOKUP(A2272,[14]PRIORIZADOS!$A:$O,15,FALSE)="","",VLOOKUP(A2272,[14]PRIORIZADOS!$A:$O,15,FALSE)),"")</f>
        <v>45882</v>
      </c>
      <c r="P2272" s="11" t="str">
        <f>IFERROR(IF(VLOOKUP(A2272,[14]PRIORIZADOS!$A:$P,16,FALSE)="","",VLOOKUP(A2272,[14]PRIORIZADOS!$A:$P,16,FALSE)),"")</f>
        <v>Visitas de evaluación con fines de seguimiento</v>
      </c>
      <c r="Q2272" s="256" t="s">
        <v>459</v>
      </c>
      <c r="R2272" s="11" t="str">
        <f>IFERROR(IF(VLOOKUP(A2272,[14]PRIORIZADOS!$A:$R,18,FALSE)="","",VLOOKUP(A2272,[14]PRIORIZADOS!$A:$R,18,FALSE)),"")</f>
        <v>Se verificó el bajo resultado en las  Pruebas saber y la retroaliemntación realizada por los docentes cerca de la evaluación de las  causales, asignaturas con más bajo resultado  y acciones de mejora.</v>
      </c>
      <c r="S2272" s="11" t="str">
        <f>IFERROR(IF(VLOOKUP(A2272,[14]PRIORIZADOS!$A:$S,19,FALSE)="","",VLOOKUP(A2272,[14]PRIORIZADOS!$A:$S,19,FALSE)),"")</f>
        <v>Revisar los resultados y la relación con las asignaturas del plan de estudio. Elaborar plan de mejoramiento sobre todos los indicadores y remitirlo a la DLE antes del 30 de septiembre</v>
      </c>
      <c r="T2272" s="70" t="str">
        <f>IFERROR(IF(VLOOKUP(A2272,[14]PRIORIZADOS!$A:$T,20,FALSE)="","",VLOOKUP(A2272,[14]PRIORIZADOS!$A:$T,20,FALSE)),"")</f>
        <v>Si</v>
      </c>
      <c r="U2272" s="11" t="str">
        <f>IFERROR(IF(VLOOKUP(A2272,[14]PRIORIZADOS!$A:$U,21,FALSE)="","",VLOOKUP(A2272,[14]PRIORIZADOS!$A:$U,21,FALSE)),"")</f>
        <v>Verificar los resultados y las acciones en las asignaturas que presentan puntajes más bajos en la próxima calificación de las pruebas</v>
      </c>
    </row>
    <row r="2273" spans="1:21" s="1" customFormat="1" ht="60">
      <c r="A2273" s="69">
        <f>IF([14]PRIORIZADOS!A320="","",[14]PRIORIZADOS!A320)</f>
        <v>2241</v>
      </c>
      <c r="B2273" s="70">
        <f>IFERROR(IF(VLOOKUP(A2273,[14]PRIORIZADOS!$A:$B,2,FALSE)="","",VLOOKUP(A2273,[14]PRIORIZADOS!$A:$B,2,FALSE)),"")</f>
        <v>35</v>
      </c>
      <c r="C2273" s="11" t="s">
        <v>424</v>
      </c>
      <c r="D2273" s="11" t="str">
        <f>IFERROR(IF(VLOOKUP(A2273,[14]PRIORIZADOS!$A:$D,4,FALSE)="","",VLOOKUP(A2273,[14]PRIORIZADOS!$A:$D,4,FALSE)),"")</f>
        <v>PRIVADO</v>
      </c>
      <c r="E2273" s="11" t="str">
        <f>IFERROR(IF(VLOOKUP(A2273,[14]PRIORIZADOS!$A:$E,5,FALSE)="","",VLOOKUP(A2273,[14]PRIORIZADOS!$A:$E,5,FALSE)),"")</f>
        <v>EPBM</v>
      </c>
      <c r="F2273" s="11" t="str">
        <f>IFERROR(IF(VLOOKUP(A2273,[14]PRIORIZADOS!$A:$F,6,FALSE)="","",VLOOKUP(A2273,[14]PRIORIZADOS!$A:$F,6,FALSE)),"")</f>
        <v>GIMNASIO_BOSQUES_DEL_NOGAL</v>
      </c>
      <c r="G2273" s="11" t="str">
        <f>IFERROR(IF(VLOOKUP(A2273,[14]PRIORIZADOS!$A:$G,7,FALSE)="","",VLOOKUP(A2273,[14]PRIORIZADOS!$A:$G,7,FALSE)),"")</f>
        <v>GIMNASIO BOSQUES DEL NOGAL</v>
      </c>
      <c r="H2273" s="11" t="str">
        <f>IFERROR(IF(VLOOKUP(A2273,[14]PRIORIZADOS!$A:$H,8,FALSE)="","",VLOOKUP(A2273,[14]PRIORIZADOS!$A:$H,8,FALSE)),"")</f>
        <v>Autoevaluación Institucional y Pruebas SABER 11</v>
      </c>
      <c r="I2273" s="11" t="str">
        <f>IFERROR(IF(VLOOKUP(A2273,[14]PRIORIZADOS!$A:$I,9,FALSE)="","",VLOOKUP(A2273,[14]PRIORIZADOS!$A:$I,9,FALSE)),"")</f>
        <v>SEGUIMIENTO_Y_SUPERVISIÓN.</v>
      </c>
      <c r="J2273" s="11" t="str">
        <f>IFERROR(IF(VLOOKUP(A2273,[14]PRIORIZADOS!$A:$J,10,FALSE)="","",VLOOKUP(A2273,[14]PRIORIZADOS!$A:$J,10,FALSE)),"")</f>
        <v xml:space="preserve">Verificar la implementación por parte de los colegios, de acciones realizadas para la prevención y atención de las situaciones de convivencia en el entorno escolar, según lo establecido en la Directiva 01 de 2022 del MEN. </v>
      </c>
      <c r="K2273" s="11" t="str">
        <f>IFERROR(IF(VLOOKUP(A2273,[14]PRIORIZADOS!$A:$K,11,FALSE)="","",VLOOKUP(A2273,[14]PRIORIZADOS!$A:$K,11,FALSE)),"")</f>
        <v>DANIEL ALEJANDRO GRANOBLES</v>
      </c>
      <c r="L2273" s="11" t="str">
        <f>IFERROR(IF(VLOOKUP(A2273,[14]PRIORIZADOS!$A:$L,12,FALSE)="","",VLOOKUP(A2273,[14]PRIORIZADOS!$A:$L,12,FALSE)),"")</f>
        <v>SANDRA OLINDA GONZÁLEZ REYES</v>
      </c>
      <c r="M2273" s="71">
        <f>IFERROR(IF(VLOOKUP(A2273,[14]PRIORIZADOS!$A:$M,13,FALSE)="","",VLOOKUP(A2273,[14]PRIORIZADOS!$A:$M,13,FALSE)),"")</f>
        <v>45860</v>
      </c>
      <c r="N2273" s="71">
        <f>IFERROR(IF(VLOOKUP(A2273,[14]PRIORIZADOS!$A:$N,14,FALSE)="","",VLOOKUP(A2273,[14]PRIORIZADOS!$A:$N,14,FALSE)),"")</f>
        <v>45882</v>
      </c>
      <c r="O2273" s="71">
        <f>IFERROR(IF(VLOOKUP(A2273,[14]PRIORIZADOS!$A:$O,15,FALSE)="","",VLOOKUP(A2273,[14]PRIORIZADOS!$A:$O,15,FALSE)),"")</f>
        <v>45882</v>
      </c>
      <c r="P2273" s="11" t="str">
        <f>IFERROR(IF(VLOOKUP(A2273,[14]PRIORIZADOS!$A:$P,16,FALSE)="","",VLOOKUP(A2273,[14]PRIORIZADOS!$A:$P,16,FALSE)),"")</f>
        <v>Visitas de evaluación con fines de seguimiento</v>
      </c>
      <c r="Q2273" s="256" t="s">
        <v>459</v>
      </c>
      <c r="R2273" s="11" t="str">
        <f>IFERROR(IF(VLOOKUP(A2273,[14]PRIORIZADOS!$A:$R,18,FALSE)="","",VLOOKUP(A2273,[14]PRIORIZADOS!$A:$R,18,FALSE)),"")</f>
        <v>Se verificaron las consulta en la página de la policia de los antecedentes de los docentes de conformidad a la directiva  001 del 2022, encontarndose que no se ha realizado</v>
      </c>
      <c r="S2273" s="11" t="str">
        <f>IFERROR(IF(VLOOKUP(A2273,[14]PRIORIZADOS!$A:$S,19,FALSE)="","",VLOOKUP(A2273,[14]PRIORIZADOS!$A:$S,19,FALSE)),"")</f>
        <v xml:space="preserve">Realizar las consultas en la pagina de antecedentes sexuales. y desarollar en el manual de convivencia los protocolos de atención </v>
      </c>
      <c r="T2273" s="70" t="str">
        <f>IFERROR(IF(VLOOKUP(A2273,[14]PRIORIZADOS!$A:$T,20,FALSE)="","",VLOOKUP(A2273,[14]PRIORIZADOS!$A:$T,20,FALSE)),"")</f>
        <v>Si</v>
      </c>
      <c r="U2273" s="11" t="str">
        <f>IFERROR(IF(VLOOKUP(A2273,[14]PRIORIZADOS!$A:$U,21,FALSE)="","",VLOOKUP(A2273,[14]PRIORIZADOS!$A:$U,21,FALSE)),"")</f>
        <v>Verificar las modificaciones en manual de convivencia respecto a los protocolos de atención revisión que se llevará a cabo con fecha limite 30 de septiembre</v>
      </c>
    </row>
    <row r="2274" spans="1:21" s="1" customFormat="1" ht="130.5">
      <c r="A2274" s="69">
        <f>IF([14]PRIORIZADOS!A321="","",[14]PRIORIZADOS!A321)</f>
        <v>2242</v>
      </c>
      <c r="B2274" s="70">
        <f>IFERROR(IF(VLOOKUP(A2274,[14]PRIORIZADOS!$A:$B,2,FALSE)="","",VLOOKUP(A2274,[14]PRIORIZADOS!$A:$B,2,FALSE)),"")</f>
        <v>35</v>
      </c>
      <c r="C2274" s="11" t="s">
        <v>424</v>
      </c>
      <c r="D2274" s="11" t="str">
        <f>IFERROR(IF(VLOOKUP(A2274,[14]PRIORIZADOS!$A:$D,4,FALSE)="","",VLOOKUP(A2274,[14]PRIORIZADOS!$A:$D,4,FALSE)),"")</f>
        <v>PRIVADO</v>
      </c>
      <c r="E2274" s="11" t="str">
        <f>IFERROR(IF(VLOOKUP(A2274,[14]PRIORIZADOS!$A:$E,5,FALSE)="","",VLOOKUP(A2274,[14]PRIORIZADOS!$A:$E,5,FALSE)),"")</f>
        <v>EPBM</v>
      </c>
      <c r="F2274" s="11" t="str">
        <f>IFERROR(IF(VLOOKUP(A2274,[14]PRIORIZADOS!$A:$F,6,FALSE)="","",VLOOKUP(A2274,[14]PRIORIZADOS!$A:$F,6,FALSE)),"")</f>
        <v>GIMNASIO_BOSQUES_DEL_NOGAL</v>
      </c>
      <c r="G2274" s="11" t="str">
        <f>IFERROR(IF(VLOOKUP(A2274,[14]PRIORIZADOS!$A:$G,7,FALSE)="","",VLOOKUP(A2274,[14]PRIORIZADOS!$A:$G,7,FALSE)),"")</f>
        <v>GIMNASIO BOSQUES DEL NOGAL</v>
      </c>
      <c r="H2274" s="11" t="str">
        <f>IFERROR(IF(VLOOKUP(A2274,[14]PRIORIZADOS!$A:$H,8,FALSE)="","",VLOOKUP(A2274,[14]PRIORIZADOS!$A:$H,8,FALSE)),"")</f>
        <v>Autoevaluación Institucional y Pruebas SABER 11</v>
      </c>
      <c r="I2274" s="11" t="str">
        <f>IFERROR(IF(VLOOKUP(A2274,[14]PRIORIZADOS!$A:$I,9,FALSE)="","",VLOOKUP(A2274,[14]PRIORIZADOS!$A:$I,9,FALSE)),"")</f>
        <v>SEGUIMIENTO_Y_SUPERVISIÓN.</v>
      </c>
      <c r="J2274" s="11" t="str">
        <f>IFERROR(IF(VLOOKUP(A2274,[14]PRIORIZADOS!$A:$J,10,FALSE)="","",VLOOKUP(A2274,[14]PRIORIZADOS!$A:$J,10,FALSE)),"")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74" s="11" t="str">
        <f>IFERROR(IF(VLOOKUP(A2274,[14]PRIORIZADOS!$A:$K,11,FALSE)="","",VLOOKUP(A2274,[14]PRIORIZADOS!$A:$K,11,FALSE)),"")</f>
        <v>DANIEL ALEJANDRO GRANOBLES</v>
      </c>
      <c r="L2274" s="11" t="str">
        <f>IFERROR(IF(VLOOKUP(A2274,[14]PRIORIZADOS!$A:$L,12,FALSE)="","",VLOOKUP(A2274,[14]PRIORIZADOS!$A:$L,12,FALSE)),"")</f>
        <v>SANDRA OLINDA GONZÁLEZ REYES</v>
      </c>
      <c r="M2274" s="71">
        <f>IFERROR(IF(VLOOKUP(A2274,[14]PRIORIZADOS!$A:$M,13,FALSE)="","",VLOOKUP(A2274,[14]PRIORIZADOS!$A:$M,13,FALSE)),"")</f>
        <v>45860</v>
      </c>
      <c r="N2274" s="71">
        <f>IFERROR(IF(VLOOKUP(A2274,[14]PRIORIZADOS!$A:$N,14,FALSE)="","",VLOOKUP(A2274,[14]PRIORIZADOS!$A:$N,14,FALSE)),"")</f>
        <v>45882</v>
      </c>
      <c r="O2274" s="71">
        <f>IFERROR(IF(VLOOKUP(A2274,[14]PRIORIZADOS!$A:$O,15,FALSE)="","",VLOOKUP(A2274,[14]PRIORIZADOS!$A:$O,15,FALSE)),"")</f>
        <v>45882</v>
      </c>
      <c r="P2274" s="11" t="str">
        <f>IFERROR(IF(VLOOKUP(A2274,[14]PRIORIZADOS!$A:$P,16,FALSE)="","",VLOOKUP(A2274,[14]PRIORIZADOS!$A:$P,16,FALSE)),"")</f>
        <v>Visitas de evaluación con fines de seguimiento</v>
      </c>
      <c r="Q2274" s="256" t="s">
        <v>459</v>
      </c>
      <c r="R2274" s="11" t="str">
        <f>IFERROR(IF(VLOOKUP(A2274,[14]PRIORIZADOS!$A:$R,18,FALSE)="","",VLOOKUP(A2274,[14]PRIORIZADOS!$A:$R,18,FALSE)),"")</f>
        <v>Se evidenció en el SIMAT que el colegio no tiene estudiantes matriculados en condición de discapacidad; además  la rectora manifiesta que no tiene estudiantes diagnosticados con talentos excepcionales y trastornos de aprendizaje a la fecha.</v>
      </c>
      <c r="S2274" s="11" t="str">
        <f>IFERROR(IF(VLOOKUP(A2274,[14]PRIORIZADOS!$A:$S,19,FALSE)="","",VLOOKUP(A2274,[14]PRIORIZADOS!$A:$S,19,FALSE)),"")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30 de septiembre</v>
      </c>
      <c r="T2274" s="70" t="str">
        <f>IFERROR(IF(VLOOKUP(A2274,[14]PRIORIZADOS!$A:$T,20,FALSE)="","",VLOOKUP(A2274,[14]PRIORIZADOS!$A:$T,20,FALSE)),"")</f>
        <v>Si</v>
      </c>
      <c r="U2274" s="11" t="str">
        <f>IFERROR(IF(VLOOKUP(A2274,[14]PRIORIZADOS!$A:$U,21,FALSE)="","",VLOOKUP(A2274,[14]PRIORIZADOS!$A:$U,21,FALSE)),"")</f>
        <v>Verificar las modificaciones en manual de convivencia respecto a la poblacion con discapacidad.con fecha límite el 31 de julio</v>
      </c>
    </row>
    <row r="2275" spans="1:21" s="1" customFormat="1" ht="84">
      <c r="A2275" s="69">
        <f>IF([14]PRIORIZADOS!A322="","",[14]PRIORIZADOS!A322)</f>
        <v>2243</v>
      </c>
      <c r="B2275" s="70">
        <f>IFERROR(IF(VLOOKUP(A2275,[14]PRIORIZADOS!$A:$B,2,FALSE)="","",VLOOKUP(A2275,[14]PRIORIZADOS!$A:$B,2,FALSE)),"")</f>
        <v>35</v>
      </c>
      <c r="C2275" s="11" t="s">
        <v>424</v>
      </c>
      <c r="D2275" s="11" t="str">
        <f>IFERROR(IF(VLOOKUP(A2275,[14]PRIORIZADOS!$A:$D,4,FALSE)="","",VLOOKUP(A2275,[14]PRIORIZADOS!$A:$D,4,FALSE)),"")</f>
        <v>PRIVADO</v>
      </c>
      <c r="E2275" s="11" t="str">
        <f>IFERROR(IF(VLOOKUP(A2275,[14]PRIORIZADOS!$A:$E,5,FALSE)="","",VLOOKUP(A2275,[14]PRIORIZADOS!$A:$E,5,FALSE)),"")</f>
        <v>EPBM</v>
      </c>
      <c r="F2275" s="11" t="str">
        <f>IFERROR(IF(VLOOKUP(A2275,[14]PRIORIZADOS!$A:$F,6,FALSE)="","",VLOOKUP(A2275,[14]PRIORIZADOS!$A:$F,6,FALSE)),"")</f>
        <v>GIMNASIO_BOSQUES_DEL_NOGAL</v>
      </c>
      <c r="G2275" s="11" t="str">
        <f>IFERROR(IF(VLOOKUP(A2275,[14]PRIORIZADOS!$A:$G,7,FALSE)="","",VLOOKUP(A2275,[14]PRIORIZADOS!$A:$G,7,FALSE)),"")</f>
        <v>GIMNASIO BOSQUES DEL NOGAL</v>
      </c>
      <c r="H2275" s="11" t="str">
        <f>IFERROR(IF(VLOOKUP(A2275,[14]PRIORIZADOS!$A:$H,8,FALSE)="","",VLOOKUP(A2275,[14]PRIORIZADOS!$A:$H,8,FALSE)),"")</f>
        <v>Autoevaluación Institucional y Pruebas SABER 11</v>
      </c>
      <c r="I2275" s="11" t="str">
        <f>IFERROR(IF(VLOOKUP(A2275,[14]PRIORIZADOS!$A:$I,9,FALSE)="","",VLOOKUP(A2275,[14]PRIORIZADOS!$A:$I,9,FALSE)),"")</f>
        <v>EVALUACIÓN_CON_FINES_DE_MEJORAMIENTO.</v>
      </c>
      <c r="J2275" s="11" t="str">
        <f>IFERROR(IF(VLOOKUP(A2275,[14]PRIORIZADOS!$A:$J,10,FALSE)="","",VLOOKUP(A2275,[14]PRIORIZADOS!$A:$J,10,FALSE)),"")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75" s="11" t="str">
        <f>IFERROR(IF(VLOOKUP(A2275,[14]PRIORIZADOS!$A:$K,11,FALSE)="","",VLOOKUP(A2275,[14]PRIORIZADOS!$A:$K,11,FALSE)),"")</f>
        <v>DANIEL ALEJANDRO GRANOBLES</v>
      </c>
      <c r="L2275" s="11" t="str">
        <f>IFERROR(IF(VLOOKUP(A2275,[14]PRIORIZADOS!$A:$L,12,FALSE)="","",VLOOKUP(A2275,[14]PRIORIZADOS!$A:$L,12,FALSE)),"")</f>
        <v>SANDRA OLINDA GONZÁLEZ REYES</v>
      </c>
      <c r="M2275" s="71">
        <f>IFERROR(IF(VLOOKUP(A2275,[14]PRIORIZADOS!$A:$M,13,FALSE)="","",VLOOKUP(A2275,[14]PRIORIZADOS!$A:$M,13,FALSE)),"")</f>
        <v>45860</v>
      </c>
      <c r="N2275" s="71">
        <f>IFERROR(IF(VLOOKUP(A2275,[14]PRIORIZADOS!$A:$N,14,FALSE)="","",VLOOKUP(A2275,[14]PRIORIZADOS!$A:$N,14,FALSE)),"")</f>
        <v>45882</v>
      </c>
      <c r="O2275" s="71">
        <f>IFERROR(IF(VLOOKUP(A2275,[14]PRIORIZADOS!$A:$O,15,FALSE)="","",VLOOKUP(A2275,[14]PRIORIZADOS!$A:$O,15,FALSE)),"")</f>
        <v>45882</v>
      </c>
      <c r="P2275" s="11" t="str">
        <f>IFERROR(IF(VLOOKUP(A2275,[14]PRIORIZADOS!$A:$P,16,FALSE)="","",VLOOKUP(A2275,[14]PRIORIZADOS!$A:$P,16,FALSE)),"")</f>
        <v>Visitas de evaluación con fines de mejoramiento</v>
      </c>
      <c r="Q2275" s="256" t="s">
        <v>459</v>
      </c>
      <c r="R2275" s="11" t="str">
        <f>IFERROR(IF(VLOOKUP(A2275,[14]PRIORIZADOS!$A:$R,18,FALSE)="","",VLOOKUP(A2275,[14]PRIORIZADOS!$A:$R,18,FALSE)),"")</f>
        <v>Se encontro que al revisar el manual de convivencia , con la última actualización, falta añadir algunas normas en el marco jurídico, falta desarrollar lo que tiene que ver con protocolos de atencion, entre otros.</v>
      </c>
      <c r="S2275" s="11" t="str">
        <f>IFERROR(IF(VLOOKUP(A2275,[14]PRIORIZADOS!$A:$S,19,FALSE)="","",VLOOKUP(A2275,[14]PRIORIZADOS!$A:$S,19,FALSE)),"")</f>
        <v>Realizar la actualización del manuel convivencia.            Elaborar plan de mejoramiento sobre todos los indicadores y remitirlo a la DLE antes del 30 de septiembre</v>
      </c>
      <c r="T2275" s="70" t="str">
        <f>IFERROR(IF(VLOOKUP(A2275,[14]PRIORIZADOS!$A:$T,20,FALSE)="","",VLOOKUP(A2275,[14]PRIORIZADOS!$A:$T,20,FALSE)),"")</f>
        <v>Si</v>
      </c>
      <c r="U2275" s="11" t="str">
        <f>IFERROR(IF(VLOOKUP(A2275,[14]PRIORIZADOS!$A:$U,21,FALSE)="","",VLOOKUP(A2275,[14]PRIORIZADOS!$A:$U,21,FALSE)),"")</f>
        <v>Revisar la actualización del manual de convivencia ccon fecha límite el 30 de septiembre</v>
      </c>
    </row>
    <row r="2276" spans="1:21" s="1" customFormat="1" ht="48">
      <c r="A2276" s="69">
        <f>IF([14]PRIORIZADOS!A323="","",[14]PRIORIZADOS!A323)</f>
        <v>2244</v>
      </c>
      <c r="B2276" s="70">
        <f>IFERROR(IF(VLOOKUP(A2276,[14]PRIORIZADOS!$A:$B,2,FALSE)="","",VLOOKUP(A2276,[14]PRIORIZADOS!$A:$B,2,FALSE)),"")</f>
        <v>35</v>
      </c>
      <c r="C2276" s="11" t="s">
        <v>424</v>
      </c>
      <c r="D2276" s="11" t="str">
        <f>IFERROR(IF(VLOOKUP(A2276,[14]PRIORIZADOS!$A:$D,4,FALSE)="","",VLOOKUP(A2276,[14]PRIORIZADOS!$A:$D,4,FALSE)),"")</f>
        <v>PRIVADO</v>
      </c>
      <c r="E2276" s="11" t="str">
        <f>IFERROR(IF(VLOOKUP(A2276,[14]PRIORIZADOS!$A:$E,5,FALSE)="","",VLOOKUP(A2276,[14]PRIORIZADOS!$A:$E,5,FALSE)),"")</f>
        <v>EPBM</v>
      </c>
      <c r="F2276" s="11" t="str">
        <f>IFERROR(IF(VLOOKUP(A2276,[14]PRIORIZADOS!$A:$F,6,FALSE)="","",VLOOKUP(A2276,[14]PRIORIZADOS!$A:$F,6,FALSE)),"")</f>
        <v>GIMNASIO_BOSQUES_DEL_NOGAL</v>
      </c>
      <c r="G2276" s="11" t="str">
        <f>IFERROR(IF(VLOOKUP(A2276,[14]PRIORIZADOS!$A:$G,7,FALSE)="","",VLOOKUP(A2276,[14]PRIORIZADOS!$A:$G,7,FALSE)),"")</f>
        <v>GIMNASIO BOSQUES DEL NOGAL</v>
      </c>
      <c r="H2276" s="11" t="str">
        <f>IFERROR(IF(VLOOKUP(A2276,[14]PRIORIZADOS!$A:$H,8,FALSE)="","",VLOOKUP(A2276,[14]PRIORIZADOS!$A:$H,8,FALSE)),"")</f>
        <v>Autoevaluación Institucional y Pruebas SABER 11</v>
      </c>
      <c r="I2276" s="11" t="str">
        <f>IFERROR(IF(VLOOKUP(A2276,[14]PRIORIZADOS!$A:$I,9,FALSE)="","",VLOOKUP(A2276,[14]PRIORIZADOS!$A:$I,9,FALSE)),"")</f>
        <v>EVALUACIÓN_CON_FINES_DE_MEJORAMIENTO.</v>
      </c>
      <c r="J2276" s="11" t="str">
        <f>IFERROR(IF(VLOOKUP(A2276,[14]PRIORIZADOS!$A:$J,10,FALSE)="","",VLOOKUP(A2276,[14]PRIORIZADOS!$A:$J,10,FALSE)),"")</f>
        <v>Revisar la actualización, socialización e implementación del Sistema Institucional de Evaluación de Estudiantes - SIEE, en articulación con la actualización del PEI y la normatividad vigente.</v>
      </c>
      <c r="K2276" s="11" t="str">
        <f>IFERROR(IF(VLOOKUP(A2276,[14]PRIORIZADOS!$A:$K,11,FALSE)="","",VLOOKUP(A2276,[14]PRIORIZADOS!$A:$K,11,FALSE)),"")</f>
        <v>DANIEL ALEJANDRO GRANOBLES</v>
      </c>
      <c r="L2276" s="11" t="str">
        <f>IFERROR(IF(VLOOKUP(A2276,[14]PRIORIZADOS!$A:$L,12,FALSE)="","",VLOOKUP(A2276,[14]PRIORIZADOS!$A:$L,12,FALSE)),"")</f>
        <v>SANDRA OLINDA GONZÁLEZ REYES</v>
      </c>
      <c r="M2276" s="71">
        <f>IFERROR(IF(VLOOKUP(A2276,[14]PRIORIZADOS!$A:$M,13,FALSE)="","",VLOOKUP(A2276,[14]PRIORIZADOS!$A:$M,13,FALSE)),"")</f>
        <v>45860</v>
      </c>
      <c r="N2276" s="71">
        <f>IFERROR(IF(VLOOKUP(A2276,[14]PRIORIZADOS!$A:$N,14,FALSE)="","",VLOOKUP(A2276,[14]PRIORIZADOS!$A:$N,14,FALSE)),"")</f>
        <v>45882</v>
      </c>
      <c r="O2276" s="71">
        <f>IFERROR(IF(VLOOKUP(A2276,[14]PRIORIZADOS!$A:$O,15,FALSE)="","",VLOOKUP(A2276,[14]PRIORIZADOS!$A:$O,15,FALSE)),"")</f>
        <v>45882</v>
      </c>
      <c r="P2276" s="11" t="str">
        <f>IFERROR(IF(VLOOKUP(A2276,[14]PRIORIZADOS!$A:$P,16,FALSE)="","",VLOOKUP(A2276,[14]PRIORIZADOS!$A:$P,16,FALSE)),"")</f>
        <v>Visitas de evaluación con fines de mejoramiento</v>
      </c>
      <c r="Q2276" s="256" t="s">
        <v>459</v>
      </c>
      <c r="R2276" s="11" t="str">
        <f>IFERROR(IF(VLOOKUP(A2276,[14]PRIORIZADOS!$A:$R,18,FALSE)="","",VLOOKUP(A2276,[14]PRIORIZADOS!$A:$R,18,FALSE)),"")</f>
        <v>Se realizó retroalimentación sobre  el SIEE, el cual está en consonancia con el PEI</v>
      </c>
      <c r="S2276" s="11" t="str">
        <f>IFERROR(IF(VLOOKUP(A2276,[14]PRIORIZADOS!$A:$S,19,FALSE)="","",VLOOKUP(A2276,[14]PRIORIZADOS!$A:$S,19,FALSE)),"")</f>
        <v>Continuar la implementación de las acciones establecidas en el SIIE</v>
      </c>
      <c r="T2276" s="70" t="str">
        <f>IFERROR(IF(VLOOKUP(A2276,[14]PRIORIZADOS!$A:$T,20,FALSE)="","",VLOOKUP(A2276,[14]PRIORIZADOS!$A:$T,20,FALSE)),"")</f>
        <v>No</v>
      </c>
      <c r="U2276" s="11" t="str">
        <f>IFERROR(IF(VLOOKUP(A2276,[14]PRIORIZADOS!$A:$U,21,FALSE)="","",VLOOKUP(A2276,[14]PRIORIZADOS!$A:$U,21,FALSE)),"")</f>
        <v>Revisar en caso de ser necesario o presentarse queja</v>
      </c>
    </row>
    <row r="2277" spans="1:21" s="1" customFormat="1" ht="48">
      <c r="A2277" s="69">
        <f>IF([14]PRIORIZADOS!A324="","",[14]PRIORIZADOS!A324)</f>
        <v>2245</v>
      </c>
      <c r="B2277" s="70">
        <f>IFERROR(IF(VLOOKUP(A2277,[14]PRIORIZADOS!$A:$B,2,FALSE)="","",VLOOKUP(A2277,[14]PRIORIZADOS!$A:$B,2,FALSE)),"")</f>
        <v>35</v>
      </c>
      <c r="C2277" s="11" t="s">
        <v>424</v>
      </c>
      <c r="D2277" s="11" t="str">
        <f>IFERROR(IF(VLOOKUP(A2277,[14]PRIORIZADOS!$A:$D,4,FALSE)="","",VLOOKUP(A2277,[14]PRIORIZADOS!$A:$D,4,FALSE)),"")</f>
        <v>PRIVADO</v>
      </c>
      <c r="E2277" s="11" t="str">
        <f>IFERROR(IF(VLOOKUP(A2277,[14]PRIORIZADOS!$A:$E,5,FALSE)="","",VLOOKUP(A2277,[14]PRIORIZADOS!$A:$E,5,FALSE)),"")</f>
        <v>EPBM</v>
      </c>
      <c r="F2277" s="11" t="str">
        <f>IFERROR(IF(VLOOKUP(A2277,[14]PRIORIZADOS!$A:$F,6,FALSE)="","",VLOOKUP(A2277,[14]PRIORIZADOS!$A:$F,6,FALSE)),"")</f>
        <v>GIMNASIO_BOSQUES_DEL_NOGAL</v>
      </c>
      <c r="G2277" s="11" t="str">
        <f>IFERROR(IF(VLOOKUP(A2277,[14]PRIORIZADOS!$A:$G,7,FALSE)="","",VLOOKUP(A2277,[14]PRIORIZADOS!$A:$G,7,FALSE)),"")</f>
        <v>GIMNASIO BOSQUES DEL NOGAL</v>
      </c>
      <c r="H2277" s="11" t="str">
        <f>IFERROR(IF(VLOOKUP(A2277,[14]PRIORIZADOS!$A:$H,8,FALSE)="","",VLOOKUP(A2277,[14]PRIORIZADOS!$A:$H,8,FALSE)),"")</f>
        <v>Autoevaluación Institucional y Pruebas SABER 11</v>
      </c>
      <c r="I2277" s="11" t="str">
        <f>IFERROR(IF(VLOOKUP(A2277,[14]PRIORIZADOS!$A:$I,9,FALSE)="","",VLOOKUP(A2277,[14]PRIORIZADOS!$A:$I,9,FALSE)),"")</f>
        <v>EVALUACIÓN_CON_FINES_DE_MEJORAMIENTO.</v>
      </c>
      <c r="J2277" s="11" t="str">
        <f>IFERROR(IF(VLOOKUP(A2277,[14]PRIORIZADOS!$A:$J,10,FALSE)="","",VLOOKUP(A2277,[14]PRIORIZADOS!$A:$J,10,FALSE)),"")</f>
        <v>Revisar el calendario escolar, jornada escolar, la intensidad horaria mínima anual en cada nivel y las modificaciones que se realicen al mismo, de acuerdo con lo previsto en la normatividad vigente.</v>
      </c>
      <c r="K2277" s="11" t="str">
        <f>IFERROR(IF(VLOOKUP(A2277,[14]PRIORIZADOS!$A:$K,11,FALSE)="","",VLOOKUP(A2277,[14]PRIORIZADOS!$A:$K,11,FALSE)),"")</f>
        <v>DANIEL ALEJANDRO GRANOBLES</v>
      </c>
      <c r="L2277" s="11" t="str">
        <f>IFERROR(IF(VLOOKUP(A2277,[14]PRIORIZADOS!$A:$L,12,FALSE)="","",VLOOKUP(A2277,[14]PRIORIZADOS!$A:$L,12,FALSE)),"")</f>
        <v>SANDRA OLINDA GONZÁLEZ REYES</v>
      </c>
      <c r="M2277" s="71">
        <f>IFERROR(IF(VLOOKUP(A2277,[14]PRIORIZADOS!$A:$M,13,FALSE)="","",VLOOKUP(A2277,[14]PRIORIZADOS!$A:$M,13,FALSE)),"")</f>
        <v>45860</v>
      </c>
      <c r="N2277" s="71">
        <f>IFERROR(IF(VLOOKUP(A2277,[14]PRIORIZADOS!$A:$N,14,FALSE)="","",VLOOKUP(A2277,[14]PRIORIZADOS!$A:$N,14,FALSE)),"")</f>
        <v>45882</v>
      </c>
      <c r="O2277" s="71">
        <f>IFERROR(IF(VLOOKUP(A2277,[14]PRIORIZADOS!$A:$O,15,FALSE)="","",VLOOKUP(A2277,[14]PRIORIZADOS!$A:$O,15,FALSE)),"")</f>
        <v>45882</v>
      </c>
      <c r="P2277" s="11" t="str">
        <f>IFERROR(IF(VLOOKUP(A2277,[14]PRIORIZADOS!$A:$P,16,FALSE)="","",VLOOKUP(A2277,[14]PRIORIZADOS!$A:$P,16,FALSE)),"")</f>
        <v>Visitas de evaluación con fines de mejoramiento</v>
      </c>
      <c r="Q2277" s="256" t="s">
        <v>459</v>
      </c>
      <c r="R2277" s="11" t="str">
        <f>IFERROR(IF(VLOOKUP(A2277,[14]PRIORIZADOS!$A:$R,18,FALSE)="","",VLOOKUP(A2277,[14]PRIORIZADOS!$A:$R,18,FALSE)),"")</f>
        <v>La intensidad horaria y las horas mínimas anuales de cada ciclo no se ajustan a la normatividad vigente.</v>
      </c>
      <c r="S2277" s="11" t="str">
        <f>IFERROR(IF(VLOOKUP(A2277,[14]PRIORIZADOS!$A:$S,19,FALSE)="","",VLOOKUP(A2277,[14]PRIORIZADOS!$A:$S,19,FALSE)),"")</f>
        <v xml:space="preserve">Continuar con el desarrollo del calendario </v>
      </c>
      <c r="T2277" s="70" t="str">
        <f>IFERROR(IF(VLOOKUP(A2277,[14]PRIORIZADOS!$A:$T,20,FALSE)="","",VLOOKUP(A2277,[14]PRIORIZADOS!$A:$T,20,FALSE)),"")</f>
        <v>No</v>
      </c>
      <c r="U2277" s="11" t="str">
        <f>IFERROR(IF(VLOOKUP(A2277,[14]PRIORIZADOS!$A:$U,21,FALSE)="","",VLOOKUP(A2277,[14]PRIORIZADOS!$A:$U,21,FALSE)),"")</f>
        <v xml:space="preserve">Realizar la revisión del calendario para la proxima vigencia </v>
      </c>
    </row>
    <row r="2278" spans="1:21" s="1" customFormat="1" ht="48">
      <c r="A2278" s="69">
        <f>IF([14]PRIORIZADOS!A325="","",[14]PRIORIZADOS!A325)</f>
        <v>2246</v>
      </c>
      <c r="B2278" s="70">
        <f>IFERROR(IF(VLOOKUP(A2278,[14]PRIORIZADOS!$A:$B,2,FALSE)="","",VLOOKUP(A2278,[14]PRIORIZADOS!$A:$B,2,FALSE)),"")</f>
        <v>35</v>
      </c>
      <c r="C2278" s="11" t="s">
        <v>424</v>
      </c>
      <c r="D2278" s="11" t="str">
        <f>IFERROR(IF(VLOOKUP(A2278,[14]PRIORIZADOS!$A:$D,4,FALSE)="","",VLOOKUP(A2278,[14]PRIORIZADOS!$A:$D,4,FALSE)),"")</f>
        <v>PRIVADO</v>
      </c>
      <c r="E2278" s="11" t="str">
        <f>IFERROR(IF(VLOOKUP(A2278,[14]PRIORIZADOS!$A:$E,5,FALSE)="","",VLOOKUP(A2278,[14]PRIORIZADOS!$A:$E,5,FALSE)),"")</f>
        <v>EPBM</v>
      </c>
      <c r="F2278" s="11" t="str">
        <f>IFERROR(IF(VLOOKUP(A2278,[14]PRIORIZADOS!$A:$F,6,FALSE)="","",VLOOKUP(A2278,[14]PRIORIZADOS!$A:$F,6,FALSE)),"")</f>
        <v>GIMNASIO_BOSQUES_DEL_NOGAL</v>
      </c>
      <c r="G2278" s="11" t="str">
        <f>IFERROR(IF(VLOOKUP(A2278,[14]PRIORIZADOS!$A:$G,7,FALSE)="","",VLOOKUP(A2278,[14]PRIORIZADOS!$A:$G,7,FALSE)),"")</f>
        <v>GIMNASIO BOSQUES DEL NOGAL</v>
      </c>
      <c r="H2278" s="11" t="str">
        <f>IFERROR(IF(VLOOKUP(A2278,[14]PRIORIZADOS!$A:$H,8,FALSE)="","",VLOOKUP(A2278,[14]PRIORIZADOS!$A:$H,8,FALSE)),"")</f>
        <v>Autoevaluación Institucional y Pruebas SABER 11</v>
      </c>
      <c r="I2278" s="11" t="str">
        <f>IFERROR(IF(VLOOKUP(A2278,[14]PRIORIZADOS!$A:$I,9,FALSE)="","",VLOOKUP(A2278,[14]PRIORIZADOS!$A:$I,9,FALSE)),"")</f>
        <v>EVALUACIÓN_CON_FINES_DE_MEJORAMIENTO.</v>
      </c>
      <c r="J2278" s="11" t="str">
        <f>IFERROR(IF(VLOOKUP(A2278,[14]PRIORIZADOS!$A:$J,10,FALSE)="","",VLOOKUP(A2278,[14]PRIORIZADOS!$A:$J,10,FALSE)),"")</f>
        <v>Verificar el funcionamiento del Gobierno Escolar e instancias de participación con base en la información sobre conformación reportada por la institución educativa.</v>
      </c>
      <c r="K2278" s="11" t="str">
        <f>IFERROR(IF(VLOOKUP(A2278,[14]PRIORIZADOS!$A:$K,11,FALSE)="","",VLOOKUP(A2278,[14]PRIORIZADOS!$A:$K,11,FALSE)),"")</f>
        <v>DANIEL ALEJANDRO GRANOBLES</v>
      </c>
      <c r="L2278" s="11" t="str">
        <f>IFERROR(IF(VLOOKUP(A2278,[14]PRIORIZADOS!$A:$L,12,FALSE)="","",VLOOKUP(A2278,[14]PRIORIZADOS!$A:$L,12,FALSE)),"")</f>
        <v>SANDRA OLINDA GONZÁLEZ REYES</v>
      </c>
      <c r="M2278" s="71">
        <f>IFERROR(IF(VLOOKUP(A2278,[14]PRIORIZADOS!$A:$M,13,FALSE)="","",VLOOKUP(A2278,[14]PRIORIZADOS!$A:$M,13,FALSE)),"")</f>
        <v>45860</v>
      </c>
      <c r="N2278" s="71">
        <f>IFERROR(IF(VLOOKUP(A2278,[14]PRIORIZADOS!$A:$N,14,FALSE)="","",VLOOKUP(A2278,[14]PRIORIZADOS!$A:$N,14,FALSE)),"")</f>
        <v>45882</v>
      </c>
      <c r="O2278" s="71">
        <f>IFERROR(IF(VLOOKUP(A2278,[14]PRIORIZADOS!$A:$O,15,FALSE)="","",VLOOKUP(A2278,[14]PRIORIZADOS!$A:$O,15,FALSE)),"")</f>
        <v>45882</v>
      </c>
      <c r="P2278" s="11" t="str">
        <f>IFERROR(IF(VLOOKUP(A2278,[14]PRIORIZADOS!$A:$P,16,FALSE)="","",VLOOKUP(A2278,[14]PRIORIZADOS!$A:$P,16,FALSE)),"")</f>
        <v>Visitas de evaluación con fines de mejoramiento</v>
      </c>
      <c r="Q2278" s="257" t="s">
        <v>459</v>
      </c>
      <c r="R2278" s="11" t="str">
        <f>IFERROR(IF(VLOOKUP(A2278,[14]PRIORIZADOS!$A:$R,18,FALSE)="","",VLOOKUP(A2278,[14]PRIORIZADOS!$A:$R,18,FALSE)),"")</f>
        <v xml:space="preserve">Se evidenciaron las actas de conformación de gobierno escolar, las cuales deberán cargarse en el SAE. </v>
      </c>
      <c r="S2278" s="11" t="str">
        <f>IFERROR(IF(VLOOKUP(A2278,[14]PRIORIZADOS!$A:$S,19,FALSE)="","",VLOOKUP(A2278,[14]PRIORIZADOS!$A:$S,19,FALSE)),"")</f>
        <v>Sesionar con cada órgano de gobierno de conformidad con la periodicidad establecida en la norma</v>
      </c>
      <c r="T2278" s="70" t="str">
        <f>IFERROR(IF(VLOOKUP(A2278,[14]PRIORIZADOS!$A:$T,20,FALSE)="","",VLOOKUP(A2278,[14]PRIORIZADOS!$A:$T,20,FALSE)),"")</f>
        <v>No</v>
      </c>
      <c r="U2278" s="11" t="str">
        <f>IFERROR(IF(VLOOKUP(A2278,[14]PRIORIZADOS!$A:$U,21,FALSE)="","",VLOOKUP(A2278,[14]PRIORIZADOS!$A:$U,21,FALSE)),"")</f>
        <v>Verificar el SAE  y el funcionamiento de  los organos de gobierno mediantes las evidencias presentadas por la IE.</v>
      </c>
    </row>
    <row r="2279" spans="1:21" s="1" customFormat="1" ht="48">
      <c r="A2279" s="69">
        <f>IF([14]PRIORIZADOS!A326="","",[14]PRIORIZADOS!A326)</f>
        <v>2247</v>
      </c>
      <c r="B2279" s="70">
        <f>IFERROR(IF(VLOOKUP(A2279,[14]PRIORIZADOS!$A:$B,2,FALSE)="","",VLOOKUP(A2279,[14]PRIORIZADOS!$A:$B,2,FALSE)),"")</f>
        <v>35</v>
      </c>
      <c r="C2279" s="11" t="s">
        <v>424</v>
      </c>
      <c r="D2279" s="11" t="str">
        <f>IFERROR(IF(VLOOKUP(A2279,[14]PRIORIZADOS!$A:$D,4,FALSE)="","",VLOOKUP(A2279,[14]PRIORIZADOS!$A:$D,4,FALSE)),"")</f>
        <v>PRIVADO</v>
      </c>
      <c r="E2279" s="11" t="str">
        <f>IFERROR(IF(VLOOKUP(A2279,[14]PRIORIZADOS!$A:$E,5,FALSE)="","",VLOOKUP(A2279,[14]PRIORIZADOS!$A:$E,5,FALSE)),"")</f>
        <v>EPBM</v>
      </c>
      <c r="F2279" s="11" t="str">
        <f>IFERROR(IF(VLOOKUP(A2279,[14]PRIORIZADOS!$A:$F,6,FALSE)="","",VLOOKUP(A2279,[14]PRIORIZADOS!$A:$F,6,FALSE)),"")</f>
        <v>GIMNASIO_BOSQUES_DEL_NOGAL</v>
      </c>
      <c r="G2279" s="11" t="str">
        <f>IFERROR(IF(VLOOKUP(A2279,[14]PRIORIZADOS!$A:$G,7,FALSE)="","",VLOOKUP(A2279,[14]PRIORIZADOS!$A:$G,7,FALSE)),"")</f>
        <v>GIMNASIO BOSQUES DEL NOGAL</v>
      </c>
      <c r="H2279" s="11" t="str">
        <f>IFERROR(IF(VLOOKUP(A2279,[14]PRIORIZADOS!$A:$H,8,FALSE)="","",VLOOKUP(A2279,[14]PRIORIZADOS!$A:$H,8,FALSE)),"")</f>
        <v>Autoevaluación Institucional y Pruebas SABER 11</v>
      </c>
      <c r="I2279" s="11" t="str">
        <f>IFERROR(IF(VLOOKUP(A2279,[14]PRIORIZADOS!$A:$I,9,FALSE)="","",VLOOKUP(A2279,[14]PRIORIZADOS!$A:$I,9,FALSE)),"")</f>
        <v>EVALUACIÓN_CON_FINES_DE_MEJORAMIENTO.</v>
      </c>
      <c r="J2279" s="11" t="str">
        <f>IFERROR(IF(VLOOKUP(A2279,[14]PRIORIZADOS!$A:$J,10,FALSE)="","",VLOOKUP(A2279,[14]PRIORIZADOS!$A:$J,10,FALSE)),"")</f>
        <v>Verificar las condiciones en cuanto a: la estructura administrativa, condiciones de la planta física y medios educativos adecuados.</v>
      </c>
      <c r="K2279" s="11" t="str">
        <f>IFERROR(IF(VLOOKUP(A2279,[14]PRIORIZADOS!$A:$K,11,FALSE)="","",VLOOKUP(A2279,[14]PRIORIZADOS!$A:$K,11,FALSE)),"")</f>
        <v>DANIEL ALEJANDRO GRANOBLES</v>
      </c>
      <c r="L2279" s="11" t="str">
        <f>IFERROR(IF(VLOOKUP(A2279,[14]PRIORIZADOS!$A:$L,12,FALSE)="","",VLOOKUP(A2279,[14]PRIORIZADOS!$A:$L,12,FALSE)),"")</f>
        <v>SANDRA OLINDA GONZÁLEZ REYES</v>
      </c>
      <c r="M2279" s="71">
        <f>IFERROR(IF(VLOOKUP(A2279,[14]PRIORIZADOS!$A:$M,13,FALSE)="","",VLOOKUP(A2279,[14]PRIORIZADOS!$A:$M,13,FALSE)),"")</f>
        <v>45860</v>
      </c>
      <c r="N2279" s="71">
        <f>IFERROR(IF(VLOOKUP(A2279,[14]PRIORIZADOS!$A:$N,14,FALSE)="","",VLOOKUP(A2279,[14]PRIORIZADOS!$A:$N,14,FALSE)),"")</f>
        <v>45882</v>
      </c>
      <c r="O2279" s="71">
        <f>IFERROR(IF(VLOOKUP(A2279,[14]PRIORIZADOS!$A:$O,15,FALSE)="","",VLOOKUP(A2279,[14]PRIORIZADOS!$A:$O,15,FALSE)),"")</f>
        <v>45882</v>
      </c>
      <c r="P2279" s="11" t="str">
        <f>IFERROR(IF(VLOOKUP(A2279,[14]PRIORIZADOS!$A:$P,16,FALSE)="","",VLOOKUP(A2279,[14]PRIORIZADOS!$A:$P,16,FALSE)),"")</f>
        <v>Visitas de evaluación con fines de mejoramiento</v>
      </c>
      <c r="Q2279" s="258" t="s">
        <v>459</v>
      </c>
      <c r="R2279" s="11" t="str">
        <f>IFERROR(IF(VLOOKUP(A2279,[14]PRIORIZADOS!$A:$R,18,FALSE)="","",VLOOKUP(A2279,[14]PRIORIZADOS!$A:$R,18,FALSE)),"")</f>
        <v>No hay biblioteca, espacio de primeros auxilios, no todos los computadores tienen acceso a internet, hay hacinamiento, falta ventilación y mejores condicones de aseo.</v>
      </c>
      <c r="S2279" s="11" t="str">
        <f>IFERROR(IF(VLOOKUP(A2279,[14]PRIORIZADOS!$A:$S,19,FALSE)="","",VLOOKUP(A2279,[14]PRIORIZADOS!$A:$S,19,FALSE)),"")</f>
        <v>Revisar una reorganización de espacios y vertificar la matrícula. Dar acceso a la totalidad de computadores y crear acciones de para planeación de aseo</v>
      </c>
      <c r="T2279" s="70" t="str">
        <f>IFERROR(IF(VLOOKUP(A2279,[14]PRIORIZADOS!$A:$T,20,FALSE)="","",VLOOKUP(A2279,[14]PRIORIZADOS!$A:$T,20,FALSE)),"")</f>
        <v>Si</v>
      </c>
      <c r="U2279" s="11" t="str">
        <f>IFERROR(IF(VLOOKUP(A2279,[14]PRIORIZADOS!$A:$U,21,FALSE)="","",VLOOKUP(A2279,[14]PRIORIZADOS!$A:$U,21,FALSE)),"")</f>
        <v>Revisar en el plan de mejormeiento si se tuvo en consideración las observaciones respecto a la reorganización de espacios, aseo e intenert</v>
      </c>
    </row>
    <row r="2280" spans="1:21" s="1" customFormat="1" ht="60">
      <c r="A2280" s="69">
        <f>IF([14]PRIORIZADOS!A327="","",[14]PRIORIZADOS!A327)</f>
        <v>2248</v>
      </c>
      <c r="B2280" s="70">
        <f>IFERROR(IF(VLOOKUP(A2280,[14]PRIORIZADOS!$A:$B,2,FALSE)="","",VLOOKUP(A2280,[14]PRIORIZADOS!$A:$B,2,FALSE)),"")</f>
        <v>36</v>
      </c>
      <c r="C2280" s="11" t="s">
        <v>424</v>
      </c>
      <c r="D2280" s="11" t="str">
        <f>IFERROR(IF(VLOOKUP(A2280,[14]PRIORIZADOS!$A:$D,4,FALSE)="","",VLOOKUP(A2280,[14]PRIORIZADOS!$A:$D,4,FALSE)),"")</f>
        <v>PRIVADO</v>
      </c>
      <c r="E2280" s="11" t="str">
        <f>IFERROR(IF(VLOOKUP(A2280,[14]PRIORIZADOS!$A:$E,5,FALSE)="","",VLOOKUP(A2280,[14]PRIORIZADOS!$A:$E,5,FALSE)),"")</f>
        <v>EPBM</v>
      </c>
      <c r="F2280" s="11" t="str">
        <f>IFERROR(IF(VLOOKUP(A2280,[14]PRIORIZADOS!$A:$F,6,FALSE)="","",VLOOKUP(A2280,[14]PRIORIZADOS!$A:$F,6,FALSE)),"")</f>
        <v>GIMNASIO_PSICOPEDAGOGICO_INTEGRAL_GIMSIPEI</v>
      </c>
      <c r="G2280" s="11" t="str">
        <f>IFERROR(IF(VLOOKUP(A2280,[14]PRIORIZADOS!$A:$G,7,FALSE)="","",VLOOKUP(A2280,[14]PRIORIZADOS!$A:$G,7,FALSE)),"")</f>
        <v>GIMNASIO PSICOPEDAGOGICO INTEGRAL GIMSIPEI</v>
      </c>
      <c r="H2280" s="11" t="str">
        <f>IFERROR(IF(VLOOKUP(A2280,[14]PRIORIZADOS!$A:$H,8,FALSE)="","",VLOOKUP(A2280,[14]PRIORIZADOS!$A:$H,8,FALSE)),"")</f>
        <v>Autoevaluación Institucional y Pruebas SABER 11</v>
      </c>
      <c r="I2280" s="11" t="str">
        <f>IFERROR(IF(VLOOKUP(A2280,[14]PRIORIZADOS!$A:$I,9,FALSE)="","",VLOOKUP(A2280,[14]PRIORIZADOS!$A:$I,9,FALSE)),"")</f>
        <v>SEGUIMIENTO_Y_SUPERVISIÓN.</v>
      </c>
      <c r="J2280" s="11" t="str">
        <f>IFERROR(IF(VLOOKUP(A2280,[14]PRIORIZADOS!$A:$J,10,FALSE)="","",VLOOKUP(A2280,[14]PRIORIZADOS!$A:$J,10,FALSE)),"")</f>
        <v>Realizar visitas para verificar la información registrada sobre la autoevaluación institucional en el aplicativo EVI, a los establecimientos de educación formal no oficial.</v>
      </c>
      <c r="K2280" s="11" t="str">
        <f>IFERROR(IF(VLOOKUP(A2280,[14]PRIORIZADOS!$A:$K,11,FALSE)="","",VLOOKUP(A2280,[14]PRIORIZADOS!$A:$K,11,FALSE)),"")</f>
        <v>GETULIO ALBERTO FLÓREZ MORENO</v>
      </c>
      <c r="L2280" s="11" t="str">
        <f>IFERROR(IF(VLOOKUP(A2280,[14]PRIORIZADOS!$A:$L,12,FALSE)="","",VLOOKUP(A2280,[14]PRIORIZADOS!$A:$L,12,FALSE)),"")</f>
        <v>MARTHA RUT SILVA ABRIL</v>
      </c>
      <c r="M2280" s="71">
        <f>IFERROR(IF(VLOOKUP(A2280,[14]PRIORIZADOS!$A:$M,13,FALSE)="","",VLOOKUP(A2280,[14]PRIORIZADOS!$A:$M,13,FALSE)),"")</f>
        <v>45843</v>
      </c>
      <c r="N2280" s="71">
        <f>IFERROR(IF(VLOOKUP(A2280,[14]PRIORIZADOS!$A:$N,14,FALSE)="","",VLOOKUP(A2280,[14]PRIORIZADOS!$A:$N,14,FALSE)),"")</f>
        <v>45919</v>
      </c>
      <c r="O2280" s="71">
        <f>IFERROR(IF(VLOOKUP(A2280,[14]PRIORIZADOS!$A:$O,15,FALSE)="","",VLOOKUP(A2280,[14]PRIORIZADOS!$A:$O,15,FALSE)),"")</f>
        <v>45919</v>
      </c>
      <c r="P2280" s="11" t="str">
        <f>IFERROR(IF(VLOOKUP(A2280,[14]PRIORIZADOS!$A:$P,16,FALSE)="","",VLOOKUP(A2280,[14]PRIORIZADOS!$A:$P,16,FALSE)),"")</f>
        <v>Visitas de evaluación con fines de seguimiento</v>
      </c>
      <c r="Q2280" s="22" t="s">
        <v>460</v>
      </c>
      <c r="R2280" s="11" t="str">
        <f>IFERROR(IF(VLOOKUP(A2280,[14]PRIORIZADOS!$A:$R,18,FALSE)="","",VLOOKUP(A2280,[14]PRIORIZADOS!$A:$R,18,FALSE)),"")</f>
        <v>Presentaron el diligenciamiento del aplicativo EVI en debida forma y se verifica que se cobran a los padres de familia los mismos valores aprobados en la Resolución de costos educativos.</v>
      </c>
      <c r="S2280" s="11" t="str">
        <f>IFERROR(IF(VLOOKUP(A2280,[14]PRIORIZADOS!$A:$S,19,FALSE)="","",VLOOKUP(A2280,[14]PRIORIZADOS!$A:$S,19,FALSE)),"")</f>
        <v xml:space="preserve">Se sugiere publicar la totalidad de la Resolución en un lugar visible para la comunidad educativa. </v>
      </c>
      <c r="T2280" s="70" t="str">
        <f>IFERROR(IF(VLOOKUP(A2280,[14]PRIORIZADOS!$A:$T,20,FALSE)="","",VLOOKUP(A2280,[14]PRIORIZADOS!$A:$T,20,FALSE)),"")</f>
        <v>Si</v>
      </c>
      <c r="U2280" s="11" t="str">
        <f>IFERROR(IF(VLOOKUP(A2280,[14]PRIORIZADOS!$A:$U,21,FALSE)="","",VLOOKUP(A2280,[14]PRIORIZADOS!$A:$U,21,FALSE)),"")</f>
        <v xml:space="preserve">Se realizará seguimiento a la publicación de la Resolución en lugar visible del colegio. </v>
      </c>
    </row>
    <row r="2281" spans="1:21" s="1" customFormat="1" ht="60">
      <c r="A2281" s="69">
        <f>IF([14]PRIORIZADOS!A328="","",[14]PRIORIZADOS!A328)</f>
        <v>2249</v>
      </c>
      <c r="B2281" s="70">
        <f>IFERROR(IF(VLOOKUP(A2281,[14]PRIORIZADOS!$A:$B,2,FALSE)="","",VLOOKUP(A2281,[14]PRIORIZADOS!$A:$B,2,FALSE)),"")</f>
        <v>36</v>
      </c>
      <c r="C2281" s="11" t="s">
        <v>424</v>
      </c>
      <c r="D2281" s="11" t="str">
        <f>IFERROR(IF(VLOOKUP(A2281,[14]PRIORIZADOS!$A:$D,4,FALSE)="","",VLOOKUP(A2281,[14]PRIORIZADOS!$A:$D,4,FALSE)),"")</f>
        <v>PRIVADO</v>
      </c>
      <c r="E2281" s="11" t="str">
        <f>IFERROR(IF(VLOOKUP(A2281,[14]PRIORIZADOS!$A:$E,5,FALSE)="","",VLOOKUP(A2281,[14]PRIORIZADOS!$A:$E,5,FALSE)),"")</f>
        <v>EPBM</v>
      </c>
      <c r="F2281" s="11" t="str">
        <f>IFERROR(IF(VLOOKUP(A2281,[14]PRIORIZADOS!$A:$F,6,FALSE)="","",VLOOKUP(A2281,[14]PRIORIZADOS!$A:$F,6,FALSE)),"")</f>
        <v>GIMNASIO_PSICOPEDAGOGICO_INTEGRAL_GIMSIPEI</v>
      </c>
      <c r="G2281" s="11" t="str">
        <f>IFERROR(IF(VLOOKUP(A2281,[14]PRIORIZADOS!$A:$G,7,FALSE)="","",VLOOKUP(A2281,[14]PRIORIZADOS!$A:$G,7,FALSE)),"")</f>
        <v>GIMNASIO PSICOPEDAGOGICO INTEGRAL GIMSIPEI</v>
      </c>
      <c r="H2281" s="11" t="str">
        <f>IFERROR(IF(VLOOKUP(A2281,[14]PRIORIZADOS!$A:$H,8,FALSE)="","",VLOOKUP(A2281,[14]PRIORIZADOS!$A:$H,8,FALSE)),"")</f>
        <v>Autoevaluación Institucional y Pruebas SABER 11</v>
      </c>
      <c r="I2281" s="11" t="str">
        <f>IFERROR(IF(VLOOKUP(A2281,[14]PRIORIZADOS!$A:$I,9,FALSE)="","",VLOOKUP(A2281,[14]PRIORIZADOS!$A:$I,9,FALSE)),"")</f>
        <v>SEGUIMIENTO_Y_SUPERVISIÓN.</v>
      </c>
      <c r="J2281" s="11" t="str">
        <f>IFERROR(IF(VLOOKUP(A2281,[14]PRIORIZADOS!$A:$J,10,FALSE)="","",VLOOKUP(A2281,[14]PRIORIZADOS!$A:$J,10,FALSE)),"")</f>
        <v>Proponer estrategias en la formulación, verificar su elaboración y realizar seguimiento semestral al desarrollo de  las acciones establecidas en los planes de mejoramiento por pruebas SABER 11 de los establecimientos de educación formal.</v>
      </c>
      <c r="K2281" s="11" t="str">
        <f>IFERROR(IF(VLOOKUP(A2281,[14]PRIORIZADOS!$A:$K,11,FALSE)="","",VLOOKUP(A2281,[14]PRIORIZADOS!$A:$K,11,FALSE)),"")</f>
        <v>GETULIO ALBERTO FLÓREZ MORENO</v>
      </c>
      <c r="L2281" s="11" t="str">
        <f>IFERROR(IF(VLOOKUP(A2281,[14]PRIORIZADOS!$A:$L,12,FALSE)="","",VLOOKUP(A2281,[14]PRIORIZADOS!$A:$L,12,FALSE)),"")</f>
        <v>MARTHA RUT SILVA ABRIL</v>
      </c>
      <c r="M2281" s="71">
        <f>IFERROR(IF(VLOOKUP(A2281,[14]PRIORIZADOS!$A:$M,13,FALSE)="","",VLOOKUP(A2281,[14]PRIORIZADOS!$A:$M,13,FALSE)),"")</f>
        <v>45843</v>
      </c>
      <c r="N2281" s="71">
        <f>IFERROR(IF(VLOOKUP(A2281,[14]PRIORIZADOS!$A:$N,14,FALSE)="","",VLOOKUP(A2281,[14]PRIORIZADOS!$A:$N,14,FALSE)),"")</f>
        <v>45924</v>
      </c>
      <c r="O2281" s="71">
        <f>IFERROR(IF(VLOOKUP(A2281,[14]PRIORIZADOS!$A:$O,15,FALSE)="","",VLOOKUP(A2281,[14]PRIORIZADOS!$A:$O,15,FALSE)),"")</f>
        <v>45924</v>
      </c>
      <c r="P2281" s="11" t="str">
        <f>IFERROR(IF(VLOOKUP(A2281,[14]PRIORIZADOS!$A:$P,16,FALSE)="","",VLOOKUP(A2281,[14]PRIORIZADOS!$A:$P,16,FALSE)),"")</f>
        <v>Visitas de evaluación con fines de seguimiento</v>
      </c>
      <c r="Q2281" s="22" t="s">
        <v>460</v>
      </c>
      <c r="R2281" s="11" t="str">
        <f>IFERROR(IF(VLOOKUP(A2281,[14]PRIORIZADOS!$A:$R,18,FALSE)="","",VLOOKUP(A2281,[14]PRIORIZADOS!$A:$R,18,FALSE)),"")</f>
        <v xml:space="preserve">No se evidenció estrategias para el seguimiento semestral al desarrollo de  las pruebas SABER 11. </v>
      </c>
      <c r="S2281" s="11" t="str">
        <f>IFERROR(IF(VLOOKUP(A2281,[14]PRIORIZADOS!$A:$S,19,FALSE)="","",VLOOKUP(A2281,[14]PRIORIZADOS!$A:$S,19,FALSE)),"")</f>
        <v>Implementar la revisión y análisis de los resultados de las pruebas saber 11.</v>
      </c>
      <c r="T2281" s="70" t="str">
        <f>IFERROR(IF(VLOOKUP(A2281,[14]PRIORIZADOS!$A:$T,20,FALSE)="","",VLOOKUP(A2281,[14]PRIORIZADOS!$A:$T,20,FALSE)),"")</f>
        <v>Si</v>
      </c>
      <c r="U2281" s="11" t="str">
        <f>IFERROR(IF(VLOOKUP(A2281,[14]PRIORIZADOS!$A:$U,21,FALSE)="","",VLOOKUP(A2281,[14]PRIORIZADOS!$A:$U,21,FALSE)),"")</f>
        <v>Verificar las acciones del plan de mejoramiento frente a los resultados de SABER 11.</v>
      </c>
    </row>
    <row r="2282" spans="1:21" s="1" customFormat="1" ht="48">
      <c r="A2282" s="69">
        <f>IF([14]PRIORIZADOS!A329="","",[14]PRIORIZADOS!A329)</f>
        <v>2250</v>
      </c>
      <c r="B2282" s="70">
        <f>IFERROR(IF(VLOOKUP(A2282,[14]PRIORIZADOS!$A:$B,2,FALSE)="","",VLOOKUP(A2282,[14]PRIORIZADOS!$A:$B,2,FALSE)),"")</f>
        <v>36</v>
      </c>
      <c r="C2282" s="11" t="s">
        <v>424</v>
      </c>
      <c r="D2282" s="11" t="str">
        <f>IFERROR(IF(VLOOKUP(A2282,[14]PRIORIZADOS!$A:$D,4,FALSE)="","",VLOOKUP(A2282,[14]PRIORIZADOS!$A:$D,4,FALSE)),"")</f>
        <v>PRIVADO</v>
      </c>
      <c r="E2282" s="11" t="str">
        <f>IFERROR(IF(VLOOKUP(A2282,[14]PRIORIZADOS!$A:$E,5,FALSE)="","",VLOOKUP(A2282,[14]PRIORIZADOS!$A:$E,5,FALSE)),"")</f>
        <v>EPBM</v>
      </c>
      <c r="F2282" s="11" t="str">
        <f>IFERROR(IF(VLOOKUP(A2282,[14]PRIORIZADOS!$A:$F,6,FALSE)="","",VLOOKUP(A2282,[14]PRIORIZADOS!$A:$F,6,FALSE)),"")</f>
        <v>GIMNASIO_PSICOPEDAGOGICO_INTEGRAL_GIMSIPEI</v>
      </c>
      <c r="G2282" s="11" t="str">
        <f>IFERROR(IF(VLOOKUP(A2282,[14]PRIORIZADOS!$A:$G,7,FALSE)="","",VLOOKUP(A2282,[14]PRIORIZADOS!$A:$G,7,FALSE)),"")</f>
        <v>GIMNASIO PSICOPEDAGOGICO INTEGRAL GIMSIPEI</v>
      </c>
      <c r="H2282" s="11" t="str">
        <f>IFERROR(IF(VLOOKUP(A2282,[14]PRIORIZADOS!$A:$H,8,FALSE)="","",VLOOKUP(A2282,[14]PRIORIZADOS!$A:$H,8,FALSE)),"")</f>
        <v>Autoevaluación Institucional y Pruebas SABER 11</v>
      </c>
      <c r="I2282" s="11" t="str">
        <f>IFERROR(IF(VLOOKUP(A2282,[14]PRIORIZADOS!$A:$I,9,FALSE)="","",VLOOKUP(A2282,[14]PRIORIZADOS!$A:$I,9,FALSE)),"")</f>
        <v>SEGUIMIENTO_Y_SUPERVISIÓN.</v>
      </c>
      <c r="J2282" s="11" t="str">
        <f>IFERROR(IF(VLOOKUP(A2282,[14]PRIORIZADOS!$A:$J,10,FALSE)="","",VLOOKUP(A2282,[14]PRIORIZADOS!$A:$J,10,FALSE)),"")</f>
        <v xml:space="preserve">Verificar la implementación por parte de los colegios, de acciones realizadas para la prevención y atención de las situaciones de convivencia en el entorno escolar, según lo establecido en la Directiva 01 de 2022 del MEN. </v>
      </c>
      <c r="K2282" s="11" t="str">
        <f>IFERROR(IF(VLOOKUP(A2282,[14]PRIORIZADOS!$A:$K,11,FALSE)="","",VLOOKUP(A2282,[14]PRIORIZADOS!$A:$K,11,FALSE)),"")</f>
        <v>GETULIO ALBERTO FLÓREZ MORENO</v>
      </c>
      <c r="L2282" s="11" t="str">
        <f>IFERROR(IF(VLOOKUP(A2282,[14]PRIORIZADOS!$A:$L,12,FALSE)="","",VLOOKUP(A2282,[14]PRIORIZADOS!$A:$L,12,FALSE)),"")</f>
        <v>MARTHA RUT SILVA ABRIL</v>
      </c>
      <c r="M2282" s="71">
        <f>IFERROR(IF(VLOOKUP(A2282,[14]PRIORIZADOS!$A:$M,13,FALSE)="","",VLOOKUP(A2282,[14]PRIORIZADOS!$A:$M,13,FALSE)),"")</f>
        <v>45843</v>
      </c>
      <c r="N2282" s="71">
        <f>IFERROR(IF(VLOOKUP(A2282,[14]PRIORIZADOS!$A:$N,14,FALSE)="","",VLOOKUP(A2282,[14]PRIORIZADOS!$A:$N,14,FALSE)),"")</f>
        <v>45924</v>
      </c>
      <c r="O2282" s="71">
        <f>IFERROR(IF(VLOOKUP(A2282,[14]PRIORIZADOS!$A:$O,15,FALSE)="","",VLOOKUP(A2282,[14]PRIORIZADOS!$A:$O,15,FALSE)),"")</f>
        <v>45924</v>
      </c>
      <c r="P2282" s="11" t="str">
        <f>IFERROR(IF(VLOOKUP(A2282,[14]PRIORIZADOS!$A:$P,16,FALSE)="","",VLOOKUP(A2282,[14]PRIORIZADOS!$A:$P,16,FALSE)),"")</f>
        <v>Visitas de evaluación con fines de seguimiento</v>
      </c>
      <c r="Q2282" s="22" t="s">
        <v>460</v>
      </c>
      <c r="R2282" s="11" t="str">
        <f>IFERROR(IF(VLOOKUP(A2282,[14]PRIORIZADOS!$A:$R,18,FALSE)="","",VLOOKUP(A2282,[14]PRIORIZADOS!$A:$R,18,FALSE)),"")</f>
        <v xml:space="preserve">No se ha adelantado la consulta de las inhabilidades del personal vinculado al inicio del año no lo hacen cada 4 meses. </v>
      </c>
      <c r="S2282" s="11" t="str">
        <f>IFERROR(IF(VLOOKUP(A2282,[14]PRIORIZADOS!$A:$S,19,FALSE)="","",VLOOKUP(A2282,[14]PRIORIZADOS!$A:$S,19,FALSE)),"")</f>
        <v>Se orienta adelantar esta actividad en el tiempo estipulado.</v>
      </c>
      <c r="T2282" s="70" t="str">
        <f>IFERROR(IF(VLOOKUP(A2282,[14]PRIORIZADOS!$A:$T,20,FALSE)="","",VLOOKUP(A2282,[14]PRIORIZADOS!$A:$T,20,FALSE)),"")</f>
        <v>Si</v>
      </c>
      <c r="U2282" s="11" t="str">
        <f>IFERROR(IF(VLOOKUP(A2282,[14]PRIORIZADOS!$A:$U,21,FALSE)="","",VLOOKUP(A2282,[14]PRIORIZADOS!$A:$U,21,FALSE)),"")</f>
        <v xml:space="preserve">Actualizar la revisión del certificado de antecedentes de inhabilidades por delitos sexuales para todos los docentes y personal administrativo del colegio. </v>
      </c>
    </row>
    <row r="2283" spans="1:21" s="1" customFormat="1" ht="72">
      <c r="A2283" s="69">
        <f>IF([14]PRIORIZADOS!A330="","",[14]PRIORIZADOS!A330)</f>
        <v>2251</v>
      </c>
      <c r="B2283" s="70">
        <f>IFERROR(IF(VLOOKUP(A2283,[14]PRIORIZADOS!$A:$B,2,FALSE)="","",VLOOKUP(A2283,[14]PRIORIZADOS!$A:$B,2,FALSE)),"")</f>
        <v>36</v>
      </c>
      <c r="C2283" s="11" t="s">
        <v>424</v>
      </c>
      <c r="D2283" s="11" t="str">
        <f>IFERROR(IF(VLOOKUP(A2283,[14]PRIORIZADOS!$A:$D,4,FALSE)="","",VLOOKUP(A2283,[14]PRIORIZADOS!$A:$D,4,FALSE)),"")</f>
        <v>PRIVADO</v>
      </c>
      <c r="E2283" s="11" t="str">
        <f>IFERROR(IF(VLOOKUP(A2283,[14]PRIORIZADOS!$A:$E,5,FALSE)="","",VLOOKUP(A2283,[14]PRIORIZADOS!$A:$E,5,FALSE)),"")</f>
        <v>EPBM</v>
      </c>
      <c r="F2283" s="11" t="str">
        <f>IFERROR(IF(VLOOKUP(A2283,[14]PRIORIZADOS!$A:$F,6,FALSE)="","",VLOOKUP(A2283,[14]PRIORIZADOS!$A:$F,6,FALSE)),"")</f>
        <v>GIMNASIO_PSICOPEDAGOGICO_INTEGRAL_GIMSIPEI</v>
      </c>
      <c r="G2283" s="11" t="str">
        <f>IFERROR(IF(VLOOKUP(A2283,[14]PRIORIZADOS!$A:$G,7,FALSE)="","",VLOOKUP(A2283,[14]PRIORIZADOS!$A:$G,7,FALSE)),"")</f>
        <v>GIMNASIO PSICOPEDAGOGICO INTEGRAL GIMSIPEI</v>
      </c>
      <c r="H2283" s="11" t="str">
        <f>IFERROR(IF(VLOOKUP(A2283,[14]PRIORIZADOS!$A:$H,8,FALSE)="","",VLOOKUP(A2283,[14]PRIORIZADOS!$A:$H,8,FALSE)),"")</f>
        <v>Autoevaluación Institucional y Pruebas SABER 11</v>
      </c>
      <c r="I2283" s="11" t="str">
        <f>IFERROR(IF(VLOOKUP(A2283,[14]PRIORIZADOS!$A:$I,9,FALSE)="","",VLOOKUP(A2283,[14]PRIORIZADOS!$A:$I,9,FALSE)),"")</f>
        <v>SEGUIMIENTO_Y_SUPERVISIÓN.</v>
      </c>
      <c r="J2283" s="11" t="str">
        <f>IFERROR(IF(VLOOKUP(A2283,[14]PRIORIZADOS!$A:$J,10,FALSE)="","",VLOOKUP(A2283,[14]PRIORIZADOS!$A:$J,10,FALSE)),"")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83" s="11" t="str">
        <f>IFERROR(IF(VLOOKUP(A2283,[14]PRIORIZADOS!$A:$K,11,FALSE)="","",VLOOKUP(A2283,[14]PRIORIZADOS!$A:$K,11,FALSE)),"")</f>
        <v>GETULIO ALBERTO FLÓREZ MORENO</v>
      </c>
      <c r="L2283" s="11" t="str">
        <f>IFERROR(IF(VLOOKUP(A2283,[14]PRIORIZADOS!$A:$L,12,FALSE)="","",VLOOKUP(A2283,[14]PRIORIZADOS!$A:$L,12,FALSE)),"")</f>
        <v>MARTHA RUT SILVA ABRIL</v>
      </c>
      <c r="M2283" s="71">
        <f>IFERROR(IF(VLOOKUP(A2283,[14]PRIORIZADOS!$A:$M,13,FALSE)="","",VLOOKUP(A2283,[14]PRIORIZADOS!$A:$M,13,FALSE)),"")</f>
        <v>45843</v>
      </c>
      <c r="N2283" s="71">
        <f>IFERROR(IF(VLOOKUP(A2283,[14]PRIORIZADOS!$A:$N,14,FALSE)="","",VLOOKUP(A2283,[14]PRIORIZADOS!$A:$N,14,FALSE)),"")</f>
        <v>45924</v>
      </c>
      <c r="O2283" s="71">
        <f>IFERROR(IF(VLOOKUP(A2283,[14]PRIORIZADOS!$A:$O,15,FALSE)="","",VLOOKUP(A2283,[14]PRIORIZADOS!$A:$O,15,FALSE)),"")</f>
        <v>45924</v>
      </c>
      <c r="P2283" s="11" t="str">
        <f>IFERROR(IF(VLOOKUP(A2283,[14]PRIORIZADOS!$A:$P,16,FALSE)="","",VLOOKUP(A2283,[14]PRIORIZADOS!$A:$P,16,FALSE)),"")</f>
        <v>Visitas de evaluación con fines de seguimiento</v>
      </c>
      <c r="Q2283" s="22" t="s">
        <v>460</v>
      </c>
      <c r="R2283" s="11" t="str">
        <f>IFERROR(IF(VLOOKUP(A2283,[14]PRIORIZADOS!$A:$R,18,FALSE)="","",VLOOKUP(A2283,[14]PRIORIZADOS!$A:$R,18,FALSE)),"")</f>
        <v xml:space="preserve">Pese a tener tres (3) niños en condición de discapacidad, el Rector manifiesta que al momento de la visita no tienen PIAR. </v>
      </c>
      <c r="S2283" s="11" t="str">
        <f>IFERROR(IF(VLOOKUP(A2283,[14]PRIORIZADOS!$A:$S,19,FALSE)="","",VLOOKUP(A2283,[14]PRIORIZADOS!$A:$S,19,FALSE)),"")</f>
        <v>Por lo anterior se comprometen a elaborarlos y plantearlo en el plan de mejoramiento.</v>
      </c>
      <c r="T2283" s="70" t="str">
        <f>IFERROR(IF(VLOOKUP(A2283,[14]PRIORIZADOS!$A:$T,20,FALSE)="","",VLOOKUP(A2283,[14]PRIORIZADOS!$A:$T,20,FALSE)),"")</f>
        <v>Si</v>
      </c>
      <c r="U2283" s="11" t="str">
        <f>IFERROR(IF(VLOOKUP(A2283,[14]PRIORIZADOS!$A:$U,21,FALSE)="","",VLOOKUP(A2283,[14]PRIORIZADOS!$A:$U,21,FALSE)),"")</f>
        <v xml:space="preserve">Se realizará seguimiento del PIAR elaborado por el colegio y firmado por los padres de familia. </v>
      </c>
    </row>
    <row r="2284" spans="1:21" s="1" customFormat="1" ht="84">
      <c r="A2284" s="69">
        <f>IF([14]PRIORIZADOS!A331="","",[14]PRIORIZADOS!A331)</f>
        <v>2252</v>
      </c>
      <c r="B2284" s="70">
        <f>IFERROR(IF(VLOOKUP(A2284,[14]PRIORIZADOS!$A:$B,2,FALSE)="","",VLOOKUP(A2284,[14]PRIORIZADOS!$A:$B,2,FALSE)),"")</f>
        <v>36</v>
      </c>
      <c r="C2284" s="11" t="s">
        <v>424</v>
      </c>
      <c r="D2284" s="11" t="str">
        <f>IFERROR(IF(VLOOKUP(A2284,[14]PRIORIZADOS!$A:$D,4,FALSE)="","",VLOOKUP(A2284,[14]PRIORIZADOS!$A:$D,4,FALSE)),"")</f>
        <v>PRIVADO</v>
      </c>
      <c r="E2284" s="11" t="str">
        <f>IFERROR(IF(VLOOKUP(A2284,[14]PRIORIZADOS!$A:$E,5,FALSE)="","",VLOOKUP(A2284,[14]PRIORIZADOS!$A:$E,5,FALSE)),"")</f>
        <v>EPBM</v>
      </c>
      <c r="F2284" s="11" t="str">
        <f>IFERROR(IF(VLOOKUP(A2284,[14]PRIORIZADOS!$A:$F,6,FALSE)="","",VLOOKUP(A2284,[14]PRIORIZADOS!$A:$F,6,FALSE)),"")</f>
        <v>GIMNASIO_PSICOPEDAGOGICO_INTEGRAL_GIMSIPEI</v>
      </c>
      <c r="G2284" s="11" t="str">
        <f>IFERROR(IF(VLOOKUP(A2284,[14]PRIORIZADOS!$A:$G,7,FALSE)="","",VLOOKUP(A2284,[14]PRIORIZADOS!$A:$G,7,FALSE)),"")</f>
        <v>GIMNASIO PSICOPEDAGOGICO INTEGRAL GIMSIPEI</v>
      </c>
      <c r="H2284" s="11" t="str">
        <f>IFERROR(IF(VLOOKUP(A2284,[14]PRIORIZADOS!$A:$H,8,FALSE)="","",VLOOKUP(A2284,[14]PRIORIZADOS!$A:$H,8,FALSE)),"")</f>
        <v>Autoevaluación Institucional y Pruebas SABER 11</v>
      </c>
      <c r="I2284" s="11" t="str">
        <f>IFERROR(IF(VLOOKUP(A2284,[14]PRIORIZADOS!$A:$I,9,FALSE)="","",VLOOKUP(A2284,[14]PRIORIZADOS!$A:$I,9,FALSE)),"")</f>
        <v>EVALUACIÓN_CON_FINES_DE_MEJORAMIENTO.</v>
      </c>
      <c r="J2284" s="11" t="str">
        <f>IFERROR(IF(VLOOKUP(A2284,[14]PRIORIZADOS!$A:$J,10,FALSE)="","",VLOOKUP(A2284,[14]PRIORIZADOS!$A:$J,10,FALSE)),"")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84" s="11" t="str">
        <f>IFERROR(IF(VLOOKUP(A2284,[14]PRIORIZADOS!$A:$K,11,FALSE)="","",VLOOKUP(A2284,[14]PRIORIZADOS!$A:$K,11,FALSE)),"")</f>
        <v>GETULIO ALBERTO FLÓREZ MORENO</v>
      </c>
      <c r="L2284" s="11" t="str">
        <f>IFERROR(IF(VLOOKUP(A2284,[14]PRIORIZADOS!$A:$L,12,FALSE)="","",VLOOKUP(A2284,[14]PRIORIZADOS!$A:$L,12,FALSE)),"")</f>
        <v>MARTHA RUT SILVA ABRIL</v>
      </c>
      <c r="M2284" s="71">
        <f>IFERROR(IF(VLOOKUP(A2284,[14]PRIORIZADOS!$A:$M,13,FALSE)="","",VLOOKUP(A2284,[14]PRIORIZADOS!$A:$M,13,FALSE)),"")</f>
        <v>45843</v>
      </c>
      <c r="N2284" s="71">
        <f>IFERROR(IF(VLOOKUP(A2284,[14]PRIORIZADOS!$A:$N,14,FALSE)="","",VLOOKUP(A2284,[14]PRIORIZADOS!$A:$N,14,FALSE)),"")</f>
        <v>45924</v>
      </c>
      <c r="O2284" s="71">
        <f>IFERROR(IF(VLOOKUP(A2284,[14]PRIORIZADOS!$A:$O,15,FALSE)="","",VLOOKUP(A2284,[14]PRIORIZADOS!$A:$O,15,FALSE)),"")</f>
        <v>45924</v>
      </c>
      <c r="P2284" s="11" t="str">
        <f>IFERROR(IF(VLOOKUP(A2284,[14]PRIORIZADOS!$A:$P,16,FALSE)="","",VLOOKUP(A2284,[14]PRIORIZADOS!$A:$P,16,FALSE)),"")</f>
        <v>Visitas de evaluación con fines de mejoramiento</v>
      </c>
      <c r="Q2284" s="22" t="s">
        <v>460</v>
      </c>
      <c r="R2284" s="11" t="str">
        <f>IFERROR(IF(VLOOKUP(A2284,[14]PRIORIZADOS!$A:$R,18,FALSE)="","",VLOOKUP(A2284,[14]PRIORIZADOS!$A:$R,18,FALSE)),"")</f>
        <v>Aunque se actualiza anualmente con participación de docentes, directivos y padres de familia no se deja evidencia de reuniones a través de actas.</v>
      </c>
      <c r="S2284" s="11" t="str">
        <f>IFERROR(IF(VLOOKUP(A2284,[14]PRIORIZADOS!$A:$S,19,FALSE)="","",VLOOKUP(A2284,[14]PRIORIZADOS!$A:$S,19,FALSE)),"")</f>
        <v>Se sugiere dejar evidencia (actas) de cada año de la participación de la comunidad educativa en la actualización del Manual de Convivencia</v>
      </c>
      <c r="T2284" s="70" t="str">
        <f>IFERROR(IF(VLOOKUP(A2284,[14]PRIORIZADOS!$A:$T,20,FALSE)="","",VLOOKUP(A2284,[14]PRIORIZADOS!$A:$T,20,FALSE)),"")</f>
        <v>Si</v>
      </c>
      <c r="U2284" s="11" t="str">
        <f>IFERROR(IF(VLOOKUP(A2284,[14]PRIORIZADOS!$A:$U,21,FALSE)="","",VLOOKUP(A2284,[14]PRIORIZADOS!$A:$U,21,FALSE)),"")</f>
        <v>Revisar la actualización del manual de convivencia para la vigencia 2026</v>
      </c>
    </row>
    <row r="2285" spans="1:21" s="1" customFormat="1" ht="48">
      <c r="A2285" s="69">
        <f>IF([14]PRIORIZADOS!A332="","",[14]PRIORIZADOS!A332)</f>
        <v>2253</v>
      </c>
      <c r="B2285" s="70">
        <f>IFERROR(IF(VLOOKUP(A2285,[14]PRIORIZADOS!$A:$B,2,FALSE)="","",VLOOKUP(A2285,[14]PRIORIZADOS!$A:$B,2,FALSE)),"")</f>
        <v>36</v>
      </c>
      <c r="C2285" s="11" t="s">
        <v>424</v>
      </c>
      <c r="D2285" s="11" t="str">
        <f>IFERROR(IF(VLOOKUP(A2285,[14]PRIORIZADOS!$A:$D,4,FALSE)="","",VLOOKUP(A2285,[14]PRIORIZADOS!$A:$D,4,FALSE)),"")</f>
        <v>PRIVADO</v>
      </c>
      <c r="E2285" s="11" t="str">
        <f>IFERROR(IF(VLOOKUP(A2285,[14]PRIORIZADOS!$A:$E,5,FALSE)="","",VLOOKUP(A2285,[14]PRIORIZADOS!$A:$E,5,FALSE)),"")</f>
        <v>EPBM</v>
      </c>
      <c r="F2285" s="11" t="str">
        <f>IFERROR(IF(VLOOKUP(A2285,[14]PRIORIZADOS!$A:$F,6,FALSE)="","",VLOOKUP(A2285,[14]PRIORIZADOS!$A:$F,6,FALSE)),"")</f>
        <v>GIMNASIO_PSICOPEDAGOGICO_INTEGRAL_GIMSIPEI</v>
      </c>
      <c r="G2285" s="11" t="str">
        <f>IFERROR(IF(VLOOKUP(A2285,[14]PRIORIZADOS!$A:$G,7,FALSE)="","",VLOOKUP(A2285,[14]PRIORIZADOS!$A:$G,7,FALSE)),"")</f>
        <v>GIMNASIO PSICOPEDAGOGICO INTEGRAL GIMSIPEI</v>
      </c>
      <c r="H2285" s="11" t="str">
        <f>IFERROR(IF(VLOOKUP(A2285,[14]PRIORIZADOS!$A:$H,8,FALSE)="","",VLOOKUP(A2285,[14]PRIORIZADOS!$A:$H,8,FALSE)),"")</f>
        <v>Autoevaluación Institucional y Pruebas SABER 11</v>
      </c>
      <c r="I2285" s="11" t="str">
        <f>IFERROR(IF(VLOOKUP(A2285,[14]PRIORIZADOS!$A:$I,9,FALSE)="","",VLOOKUP(A2285,[14]PRIORIZADOS!$A:$I,9,FALSE)),"")</f>
        <v>EVALUACIÓN_CON_FINES_DE_MEJORAMIENTO.</v>
      </c>
      <c r="J2285" s="11" t="str">
        <f>IFERROR(IF(VLOOKUP(A2285,[14]PRIORIZADOS!$A:$J,10,FALSE)="","",VLOOKUP(A2285,[14]PRIORIZADOS!$A:$J,10,FALSE)),"")</f>
        <v>Revisar la actualización, socialización e implementación del Sistema Institucional de Evaluación de Estudiantes - SIEE, en articulación con la actualización del PEI y la normatividad vigente.</v>
      </c>
      <c r="K2285" s="11" t="str">
        <f>IFERROR(IF(VLOOKUP(A2285,[14]PRIORIZADOS!$A:$K,11,FALSE)="","",VLOOKUP(A2285,[14]PRIORIZADOS!$A:$K,11,FALSE)),"")</f>
        <v>GETULIO ALBERTO FLÓREZ MORENO</v>
      </c>
      <c r="L2285" s="11" t="str">
        <f>IFERROR(IF(VLOOKUP(A2285,[14]PRIORIZADOS!$A:$L,12,FALSE)="","",VLOOKUP(A2285,[14]PRIORIZADOS!$A:$L,12,FALSE)),"")</f>
        <v>MARTHA RUT SILVA ABRIL</v>
      </c>
      <c r="M2285" s="71">
        <f>IFERROR(IF(VLOOKUP(A2285,[14]PRIORIZADOS!$A:$M,13,FALSE)="","",VLOOKUP(A2285,[14]PRIORIZADOS!$A:$M,13,FALSE)),"")</f>
        <v>45843</v>
      </c>
      <c r="N2285" s="71">
        <f>IFERROR(IF(VLOOKUP(A2285,[14]PRIORIZADOS!$A:$N,14,FALSE)="","",VLOOKUP(A2285,[14]PRIORIZADOS!$A:$N,14,FALSE)),"")</f>
        <v>45924</v>
      </c>
      <c r="O2285" s="71">
        <f>IFERROR(IF(VLOOKUP(A2285,[14]PRIORIZADOS!$A:$O,15,FALSE)="","",VLOOKUP(A2285,[14]PRIORIZADOS!$A:$O,15,FALSE)),"")</f>
        <v>45924</v>
      </c>
      <c r="P2285" s="11" t="str">
        <f>IFERROR(IF(VLOOKUP(A2285,[14]PRIORIZADOS!$A:$P,16,FALSE)="","",VLOOKUP(A2285,[14]PRIORIZADOS!$A:$P,16,FALSE)),"")</f>
        <v>Visitas de evaluación con fines de mejoramiento</v>
      </c>
      <c r="Q2285" s="22" t="s">
        <v>460</v>
      </c>
      <c r="R2285" s="11" t="str">
        <f>IFERROR(IF(VLOOKUP(A2285,[14]PRIORIZADOS!$A:$R,18,FALSE)="","",VLOOKUP(A2285,[14]PRIORIZADOS!$A:$R,18,FALSE)),"")</f>
        <v xml:space="preserve">No se evidencia la elaboracción del SIEE de manera participativa. </v>
      </c>
      <c r="S2285" s="11" t="str">
        <f>IFERROR(IF(VLOOKUP(A2285,[14]PRIORIZADOS!$A:$S,19,FALSE)="","",VLOOKUP(A2285,[14]PRIORIZADOS!$A:$S,19,FALSE)),"")</f>
        <v>Se recomienda actualizar el SIEE con el apoyo de la comunidad educativa y dejar evidencia de ello.</v>
      </c>
      <c r="T2285" s="70" t="str">
        <f>IFERROR(IF(VLOOKUP(A2285,[14]PRIORIZADOS!$A:$T,20,FALSE)="","",VLOOKUP(A2285,[14]PRIORIZADOS!$A:$T,20,FALSE)),"")</f>
        <v>Si</v>
      </c>
      <c r="U2285" s="11" t="str">
        <f>IFERROR(IF(VLOOKUP(A2285,[14]PRIORIZADOS!$A:$U,21,FALSE)="","",VLOOKUP(A2285,[14]PRIORIZADOS!$A:$U,21,FALSE)),"")</f>
        <v>Revisar el SIEE para la siguiente vigencia.</v>
      </c>
    </row>
    <row r="2286" spans="1:21" s="1" customFormat="1" ht="48">
      <c r="A2286" s="69">
        <f>IF([14]PRIORIZADOS!A333="","",[14]PRIORIZADOS!A333)</f>
        <v>2254</v>
      </c>
      <c r="B2286" s="70">
        <f>IFERROR(IF(VLOOKUP(A2286,[14]PRIORIZADOS!$A:$B,2,FALSE)="","",VLOOKUP(A2286,[14]PRIORIZADOS!$A:$B,2,FALSE)),"")</f>
        <v>36</v>
      </c>
      <c r="C2286" s="11" t="s">
        <v>424</v>
      </c>
      <c r="D2286" s="11" t="str">
        <f>IFERROR(IF(VLOOKUP(A2286,[14]PRIORIZADOS!$A:$D,4,FALSE)="","",VLOOKUP(A2286,[14]PRIORIZADOS!$A:$D,4,FALSE)),"")</f>
        <v>PRIVADO</v>
      </c>
      <c r="E2286" s="11" t="str">
        <f>IFERROR(IF(VLOOKUP(A2286,[14]PRIORIZADOS!$A:$E,5,FALSE)="","",VLOOKUP(A2286,[14]PRIORIZADOS!$A:$E,5,FALSE)),"")</f>
        <v>EPBM</v>
      </c>
      <c r="F2286" s="11" t="str">
        <f>IFERROR(IF(VLOOKUP(A2286,[14]PRIORIZADOS!$A:$F,6,FALSE)="","",VLOOKUP(A2286,[14]PRIORIZADOS!$A:$F,6,FALSE)),"")</f>
        <v>GIMNASIO_PSICOPEDAGOGICO_INTEGRAL_GIMSIPEI</v>
      </c>
      <c r="G2286" s="11" t="str">
        <f>IFERROR(IF(VLOOKUP(A2286,[14]PRIORIZADOS!$A:$G,7,FALSE)="","",VLOOKUP(A2286,[14]PRIORIZADOS!$A:$G,7,FALSE)),"")</f>
        <v>GIMNASIO PSICOPEDAGOGICO INTEGRAL GIMSIPEI</v>
      </c>
      <c r="H2286" s="11" t="str">
        <f>IFERROR(IF(VLOOKUP(A2286,[14]PRIORIZADOS!$A:$H,8,FALSE)="","",VLOOKUP(A2286,[14]PRIORIZADOS!$A:$H,8,FALSE)),"")</f>
        <v>Autoevaluación Institucional y Pruebas SABER 11</v>
      </c>
      <c r="I2286" s="11" t="str">
        <f>IFERROR(IF(VLOOKUP(A2286,[14]PRIORIZADOS!$A:$I,9,FALSE)="","",VLOOKUP(A2286,[14]PRIORIZADOS!$A:$I,9,FALSE)),"")</f>
        <v>EVALUACIÓN_CON_FINES_DE_MEJORAMIENTO.</v>
      </c>
      <c r="J2286" s="11" t="str">
        <f>IFERROR(IF(VLOOKUP(A2286,[14]PRIORIZADOS!$A:$J,10,FALSE)="","",VLOOKUP(A2286,[14]PRIORIZADOS!$A:$J,10,FALSE)),"")</f>
        <v>Revisar el calendario escolar, jornada escolar, la intensidad horaria mínima anual en cada nivel y las modificaciones que se realicen al mismo, de acuerdo con lo previsto en la normatividad vigente.</v>
      </c>
      <c r="K2286" s="11" t="str">
        <f>IFERROR(IF(VLOOKUP(A2286,[14]PRIORIZADOS!$A:$K,11,FALSE)="","",VLOOKUP(A2286,[14]PRIORIZADOS!$A:$K,11,FALSE)),"")</f>
        <v>GETULIO ALBERTO FLÓREZ MORENO</v>
      </c>
      <c r="L2286" s="11" t="str">
        <f>IFERROR(IF(VLOOKUP(A2286,[14]PRIORIZADOS!$A:$L,12,FALSE)="","",VLOOKUP(A2286,[14]PRIORIZADOS!$A:$L,12,FALSE)),"")</f>
        <v>MARTHA RUT SILVA ABRIL</v>
      </c>
      <c r="M2286" s="71">
        <f>IFERROR(IF(VLOOKUP(A2286,[14]PRIORIZADOS!$A:$M,13,FALSE)="","",VLOOKUP(A2286,[14]PRIORIZADOS!$A:$M,13,FALSE)),"")</f>
        <v>45843</v>
      </c>
      <c r="N2286" s="71">
        <f>IFERROR(IF(VLOOKUP(A2286,[14]PRIORIZADOS!$A:$N,14,FALSE)="","",VLOOKUP(A2286,[14]PRIORIZADOS!$A:$N,14,FALSE)),"")</f>
        <v>45924</v>
      </c>
      <c r="O2286" s="71">
        <f>IFERROR(IF(VLOOKUP(A2286,[14]PRIORIZADOS!$A:$O,15,FALSE)="","",VLOOKUP(A2286,[14]PRIORIZADOS!$A:$O,15,FALSE)),"")</f>
        <v>45924</v>
      </c>
      <c r="P2286" s="11" t="str">
        <f>IFERROR(IF(VLOOKUP(A2286,[14]PRIORIZADOS!$A:$P,16,FALSE)="","",VLOOKUP(A2286,[14]PRIORIZADOS!$A:$P,16,FALSE)),"")</f>
        <v>Visitas de evaluación con fines de mejoramiento</v>
      </c>
      <c r="Q2286" s="22" t="s">
        <v>460</v>
      </c>
      <c r="R2286" s="11" t="str">
        <f>IFERROR(IF(VLOOKUP(A2286,[14]PRIORIZADOS!$A:$R,18,FALSE)="","",VLOOKUP(A2286,[14]PRIORIZADOS!$A:$R,18,FALSE)),"")</f>
        <v>Se evidencia que el colegio tienen calendario escolar para la vigencia 2025.</v>
      </c>
      <c r="S2286" s="11" t="str">
        <f>IFERROR(IF(VLOOKUP(A2286,[14]PRIORIZADOS!$A:$S,19,FALSE)="","",VLOOKUP(A2286,[14]PRIORIZADOS!$A:$S,19,FALSE)),"")</f>
        <v>Se recomienda ajustar el formato de calendario escolar en relación con el total de las horas semanales por desarrollo curricular y jornada escolar.</v>
      </c>
      <c r="T2286" s="70" t="str">
        <f>IFERROR(IF(VLOOKUP(A2286,[14]PRIORIZADOS!$A:$T,20,FALSE)="","",VLOOKUP(A2286,[14]PRIORIZADOS!$A:$T,20,FALSE)),"")</f>
        <v>Si</v>
      </c>
      <c r="U2286" s="11" t="str">
        <f>IFERROR(IF(VLOOKUP(A2286,[14]PRIORIZADOS!$A:$U,21,FALSE)="","",VLOOKUP(A2286,[14]PRIORIZADOS!$A:$U,21,FALSE)),"")</f>
        <v>Revisar el calendario escolar en cumplimiento de las intensidades y horas semanales para la vigencia 2026</v>
      </c>
    </row>
    <row r="2287" spans="1:21" s="1" customFormat="1" ht="48">
      <c r="A2287" s="69">
        <f>IF([14]PRIORIZADOS!A334="","",[14]PRIORIZADOS!A334)</f>
        <v>2255</v>
      </c>
      <c r="B2287" s="70">
        <f>IFERROR(IF(VLOOKUP(A2287,[14]PRIORIZADOS!$A:$B,2,FALSE)="","",VLOOKUP(A2287,[14]PRIORIZADOS!$A:$B,2,FALSE)),"")</f>
        <v>36</v>
      </c>
      <c r="C2287" s="11" t="s">
        <v>424</v>
      </c>
      <c r="D2287" s="11" t="str">
        <f>IFERROR(IF(VLOOKUP(A2287,[14]PRIORIZADOS!$A:$D,4,FALSE)="","",VLOOKUP(A2287,[14]PRIORIZADOS!$A:$D,4,FALSE)),"")</f>
        <v>PRIVADO</v>
      </c>
      <c r="E2287" s="11" t="str">
        <f>IFERROR(IF(VLOOKUP(A2287,[14]PRIORIZADOS!$A:$E,5,FALSE)="","",VLOOKUP(A2287,[14]PRIORIZADOS!$A:$E,5,FALSE)),"")</f>
        <v>EPBM</v>
      </c>
      <c r="F2287" s="11" t="str">
        <f>IFERROR(IF(VLOOKUP(A2287,[14]PRIORIZADOS!$A:$F,6,FALSE)="","",VLOOKUP(A2287,[14]PRIORIZADOS!$A:$F,6,FALSE)),"")</f>
        <v>GIMNASIO_PSICOPEDAGOGICO_INTEGRAL_GIMSIPEI</v>
      </c>
      <c r="G2287" s="11" t="str">
        <f>IFERROR(IF(VLOOKUP(A2287,[14]PRIORIZADOS!$A:$G,7,FALSE)="","",VLOOKUP(A2287,[14]PRIORIZADOS!$A:$G,7,FALSE)),"")</f>
        <v>GIMNASIO PSICOPEDAGOGICO INTEGRAL GIMSIPEI</v>
      </c>
      <c r="H2287" s="11" t="str">
        <f>IFERROR(IF(VLOOKUP(A2287,[14]PRIORIZADOS!$A:$H,8,FALSE)="","",VLOOKUP(A2287,[14]PRIORIZADOS!$A:$H,8,FALSE)),"")</f>
        <v>Autoevaluación Institucional y Pruebas SABER 11</v>
      </c>
      <c r="I2287" s="11" t="str">
        <f>IFERROR(IF(VLOOKUP(A2287,[14]PRIORIZADOS!$A:$I,9,FALSE)="","",VLOOKUP(A2287,[14]PRIORIZADOS!$A:$I,9,FALSE)),"")</f>
        <v>EVALUACIÓN_CON_FINES_DE_MEJORAMIENTO.</v>
      </c>
      <c r="J2287" s="11" t="str">
        <f>IFERROR(IF(VLOOKUP(A2287,[14]PRIORIZADOS!$A:$J,10,FALSE)="","",VLOOKUP(A2287,[14]PRIORIZADOS!$A:$J,10,FALSE)),"")</f>
        <v>Verificar el funcionamiento del Gobierno Escolar e instancias de participación con base en la información sobre conformación reportada por la institución educativa.</v>
      </c>
      <c r="K2287" s="11" t="str">
        <f>IFERROR(IF(VLOOKUP(A2287,[14]PRIORIZADOS!$A:$K,11,FALSE)="","",VLOOKUP(A2287,[14]PRIORIZADOS!$A:$K,11,FALSE)),"")</f>
        <v>GETULIO ALBERTO FLÓREZ MORENO</v>
      </c>
      <c r="L2287" s="11" t="str">
        <f>IFERROR(IF(VLOOKUP(A2287,[14]PRIORIZADOS!$A:$L,12,FALSE)="","",VLOOKUP(A2287,[14]PRIORIZADOS!$A:$L,12,FALSE)),"")</f>
        <v>MARTHA RUT SILVA ABRIL</v>
      </c>
      <c r="M2287" s="71">
        <f>IFERROR(IF(VLOOKUP(A2287,[14]PRIORIZADOS!$A:$M,13,FALSE)="","",VLOOKUP(A2287,[14]PRIORIZADOS!$A:$M,13,FALSE)),"")</f>
        <v>45843</v>
      </c>
      <c r="N2287" s="71">
        <f>IFERROR(IF(VLOOKUP(A2287,[14]PRIORIZADOS!$A:$N,14,FALSE)="","",VLOOKUP(A2287,[14]PRIORIZADOS!$A:$N,14,FALSE)),"")</f>
        <v>45924</v>
      </c>
      <c r="O2287" s="71">
        <f>IFERROR(IF(VLOOKUP(A2287,[14]PRIORIZADOS!$A:$O,15,FALSE)="","",VLOOKUP(A2287,[14]PRIORIZADOS!$A:$O,15,FALSE)),"")</f>
        <v>45924</v>
      </c>
      <c r="P2287" s="11" t="str">
        <f>IFERROR(IF(VLOOKUP(A2287,[14]PRIORIZADOS!$A:$P,16,FALSE)="","",VLOOKUP(A2287,[14]PRIORIZADOS!$A:$P,16,FALSE)),"")</f>
        <v>Visitas de evaluación con fines de mejoramiento</v>
      </c>
      <c r="Q2287" s="22" t="s">
        <v>460</v>
      </c>
      <c r="R2287" s="11" t="str">
        <f>IFERROR(IF(VLOOKUP(A2287,[14]PRIORIZADOS!$A:$R,18,FALSE)="","",VLOOKUP(A2287,[14]PRIORIZADOS!$A:$R,18,FALSE)),"")</f>
        <v>Se evidencia conformación del gobierno escolar (consejo directivo y consejo académico).</v>
      </c>
      <c r="S2287" s="11" t="str">
        <f>IFERROR(IF(VLOOKUP(A2287,[14]PRIORIZADOS!$A:$S,19,FALSE)="","",VLOOKUP(A2287,[14]PRIORIZADOS!$A:$S,19,FALSE)),"")</f>
        <v>Aunque se encuentra conformado, pero no tiene ni funciones, ni plan de acción, ni reglamento interno.</v>
      </c>
      <c r="T2287" s="70" t="str">
        <f>IFERROR(IF(VLOOKUP(A2287,[14]PRIORIZADOS!$A:$T,20,FALSE)="","",VLOOKUP(A2287,[14]PRIORIZADOS!$A:$T,20,FALSE)),"")</f>
        <v>Si</v>
      </c>
      <c r="U2287" s="11" t="str">
        <f>IFERROR(IF(VLOOKUP(A2287,[14]PRIORIZADOS!$A:$U,21,FALSE)="","",VLOOKUP(A2287,[14]PRIORIZADOS!$A:$U,21,FALSE)),"")</f>
        <v>Verificar la conformación del gobierno escolar para la vigencia 2026.</v>
      </c>
    </row>
    <row r="2288" spans="1:21" s="1" customFormat="1" ht="96">
      <c r="A2288" s="69">
        <f>IF([14]PRIORIZADOS!A335="","",[14]PRIORIZADOS!A335)</f>
        <v>2256</v>
      </c>
      <c r="B2288" s="70">
        <f>IFERROR(IF(VLOOKUP(A2288,[14]PRIORIZADOS!$A:$B,2,FALSE)="","",VLOOKUP(A2288,[14]PRIORIZADOS!$A:$B,2,FALSE)),"")</f>
        <v>36</v>
      </c>
      <c r="C2288" s="11" t="s">
        <v>424</v>
      </c>
      <c r="D2288" s="11" t="str">
        <f>IFERROR(IF(VLOOKUP(A2288,[14]PRIORIZADOS!$A:$D,4,FALSE)="","",VLOOKUP(A2288,[14]PRIORIZADOS!$A:$D,4,FALSE)),"")</f>
        <v>PRIVADO</v>
      </c>
      <c r="E2288" s="11" t="str">
        <f>IFERROR(IF(VLOOKUP(A2288,[14]PRIORIZADOS!$A:$E,5,FALSE)="","",VLOOKUP(A2288,[14]PRIORIZADOS!$A:$E,5,FALSE)),"")</f>
        <v>EPBM</v>
      </c>
      <c r="F2288" s="11" t="str">
        <f>IFERROR(IF(VLOOKUP(A2288,[14]PRIORIZADOS!$A:$F,6,FALSE)="","",VLOOKUP(A2288,[14]PRIORIZADOS!$A:$F,6,FALSE)),"")</f>
        <v>GIMNASIO_PSICOPEDAGOGICO_INTEGRAL_GIMSIPEI</v>
      </c>
      <c r="G2288" s="11" t="str">
        <f>IFERROR(IF(VLOOKUP(A2288,[14]PRIORIZADOS!$A:$G,7,FALSE)="","",VLOOKUP(A2288,[14]PRIORIZADOS!$A:$G,7,FALSE)),"")</f>
        <v>GIMNASIO PSICOPEDAGOGICO INTEGRAL GIMSIPEI</v>
      </c>
      <c r="H2288" s="11" t="str">
        <f>IFERROR(IF(VLOOKUP(A2288,[14]PRIORIZADOS!$A:$H,8,FALSE)="","",VLOOKUP(A2288,[14]PRIORIZADOS!$A:$H,8,FALSE)),"")</f>
        <v>Autoevaluación Institucional y Pruebas SABER 11</v>
      </c>
      <c r="I2288" s="11" t="str">
        <f>IFERROR(IF(VLOOKUP(A2288,[14]PRIORIZADOS!$A:$I,9,FALSE)="","",VLOOKUP(A2288,[14]PRIORIZADOS!$A:$I,9,FALSE)),"")</f>
        <v>EVALUACIÓN_CON_FINES_DE_MEJORAMIENTO.</v>
      </c>
      <c r="J2288" s="11" t="str">
        <f>IFERROR(IF(VLOOKUP(A2288,[14]PRIORIZADOS!$A:$J,10,FALSE)="","",VLOOKUP(A2288,[14]PRIORIZADOS!$A:$J,10,FALSE)),"")</f>
        <v>Verificar las condiciones en cuanto a: la estructura administrativa, condiciones de la planta física y medios educativos adecuados.</v>
      </c>
      <c r="K2288" s="11" t="str">
        <f>IFERROR(IF(VLOOKUP(A2288,[14]PRIORIZADOS!$A:$K,11,FALSE)="","",VLOOKUP(A2288,[14]PRIORIZADOS!$A:$K,11,FALSE)),"")</f>
        <v>GETULIO ALBERTO FLÓREZ MORENO</v>
      </c>
      <c r="L2288" s="11" t="str">
        <f>IFERROR(IF(VLOOKUP(A2288,[14]PRIORIZADOS!$A:$L,12,FALSE)="","",VLOOKUP(A2288,[14]PRIORIZADOS!$A:$L,12,FALSE)),"")</f>
        <v>MARTHA RUT SILVA ABRIL</v>
      </c>
      <c r="M2288" s="71">
        <f>IFERROR(IF(VLOOKUP(A2288,[14]PRIORIZADOS!$A:$M,13,FALSE)="","",VLOOKUP(A2288,[14]PRIORIZADOS!$A:$M,13,FALSE)),"")</f>
        <v>45843</v>
      </c>
      <c r="N2288" s="71">
        <f>IFERROR(IF(VLOOKUP(A2288,[14]PRIORIZADOS!$A:$N,14,FALSE)="","",VLOOKUP(A2288,[14]PRIORIZADOS!$A:$N,14,FALSE)),"")</f>
        <v>45924</v>
      </c>
      <c r="O2288" s="71">
        <f>IFERROR(IF(VLOOKUP(A2288,[14]PRIORIZADOS!$A:$O,15,FALSE)="","",VLOOKUP(A2288,[14]PRIORIZADOS!$A:$O,15,FALSE)),"")</f>
        <v>45924</v>
      </c>
      <c r="P2288" s="11" t="str">
        <f>IFERROR(IF(VLOOKUP(A2288,[14]PRIORIZADOS!$A:$P,16,FALSE)="","",VLOOKUP(A2288,[14]PRIORIZADOS!$A:$P,16,FALSE)),"")</f>
        <v>Visitas de evaluación con fines de mejoramiento</v>
      </c>
      <c r="Q2288" s="22" t="s">
        <v>460</v>
      </c>
      <c r="R2288" s="11" t="str">
        <f>IFERROR(IF(VLOOKUP(A2288,[14]PRIORIZADOS!$A:$R,18,FALSE)="","",VLOOKUP(A2288,[14]PRIORIZADOS!$A:$R,18,FALSE)),"")</f>
        <v>En en recorrido por las instalaciones se observa que un  edifico con 3 pisos, lo cual requiere de mantenimiento en la mayoría de espacios locativos.  De igual forma se eviencia que los baños deben ser mejorados y adecuados en buena medida. Se requiere mantenimiento del piso y pintura a nivel general.</v>
      </c>
      <c r="S2288" s="11" t="str">
        <f>IFERROR(IF(VLOOKUP(A2288,[14]PRIORIZADOS!$A:$S,19,FALSE)="","",VLOOKUP(A2288,[14]PRIORIZADOS!$A:$S,19,FALSE)),"")</f>
        <v>El colegio asume el compromiso de adelantar los mantenimientos locativos requeridos periódicamente, dando prioridad a los hallazgos que mayor potencialidad de ocasionar incidentes.</v>
      </c>
      <c r="T2288" s="70" t="str">
        <f>IFERROR(IF(VLOOKUP(A2288,[14]PRIORIZADOS!$A:$T,20,FALSE)="","",VLOOKUP(A2288,[14]PRIORIZADOS!$A:$T,20,FALSE)),"")</f>
        <v>Si</v>
      </c>
      <c r="U2288" s="11" t="str">
        <f>IFERROR(IF(VLOOKUP(A2288,[14]PRIORIZADOS!$A:$U,21,FALSE)="","",VLOOKUP(A2288,[14]PRIORIZADOS!$A:$U,21,FALSE)),"")</f>
        <v>Enviar informe con registro fotograficos de los espacios en óptimas condicidones.</v>
      </c>
    </row>
    <row r="2289" spans="1:21" s="1" customFormat="1" ht="60">
      <c r="A2289" s="69">
        <f>IF([14]PRIORIZADOS!A336="","",[14]PRIORIZADOS!A336)</f>
        <v>2257</v>
      </c>
      <c r="B2289" s="70">
        <f>IFERROR(IF(VLOOKUP(A2289,[14]PRIORIZADOS!$A:$B,2,FALSE)="","",VLOOKUP(A2289,[14]PRIORIZADOS!$A:$B,2,FALSE)),"")</f>
        <v>37</v>
      </c>
      <c r="C2289" s="11" t="s">
        <v>424</v>
      </c>
      <c r="D2289" s="11" t="str">
        <f>IFERROR(IF(VLOOKUP(A2289,[14]PRIORIZADOS!$A:$D,4,FALSE)="","",VLOOKUP(A2289,[14]PRIORIZADOS!$A:$D,4,FALSE)),"")</f>
        <v>PRIVADO</v>
      </c>
      <c r="E2289" s="11" t="str">
        <f>IFERROR(IF(VLOOKUP(A2289,[14]PRIORIZADOS!$A:$E,5,FALSE)="","",VLOOKUP(A2289,[14]PRIORIZADOS!$A:$E,5,FALSE)),"")</f>
        <v>EPBM</v>
      </c>
      <c r="F2289" s="11" t="str">
        <f>IFERROR(IF(VLOOKUP(A2289,[14]PRIORIZADOS!$A:$F,6,FALSE)="","",VLOOKUP(A2289,[14]PRIORIZADOS!$A:$F,6,FALSE)),"")</f>
        <v>LICEO_TECNICO_BILINGÜE_PAULO_FREIRE</v>
      </c>
      <c r="G2289" s="11" t="str">
        <f>IFERROR(IF(VLOOKUP(A2289,[14]PRIORIZADOS!$A:$G,7,FALSE)="","",VLOOKUP(A2289,[14]PRIORIZADOS!$A:$G,7,FALSE)),"")</f>
        <v>LICEO TECNICO BILINGÜE PAULO FREIRE</v>
      </c>
      <c r="H2289" s="11" t="str">
        <f>IFERROR(IF(VLOOKUP(A2289,[14]PRIORIZADOS!$A:$H,8,FALSE)="","",VLOOKUP(A2289,[14]PRIORIZADOS!$A:$H,8,FALSE)),"")</f>
        <v>Autoevaluación Institucional y Pruebas SABER 11</v>
      </c>
      <c r="I2289" s="11" t="str">
        <f>IFERROR(IF(VLOOKUP(A2289,[14]PRIORIZADOS!$A:$I,9,FALSE)="","",VLOOKUP(A2289,[14]PRIORIZADOS!$A:$I,9,FALSE)),"")</f>
        <v>SEGUIMIENTO_Y_SUPERVISIÓN.</v>
      </c>
      <c r="J2289" s="11" t="str">
        <f>IFERROR(IF(VLOOKUP(A2289,[14]PRIORIZADOS!$A:$J,10,FALSE)="","",VLOOKUP(A2289,[14]PRIORIZADOS!$A:$J,10,FALSE)),"")</f>
        <v>Realizar visitas para verificar la información registrada sobre la autoevaluación institucional en el aplicativo EVI, a los establecimientos de educación formal no oficial.</v>
      </c>
      <c r="K2289" s="11" t="str">
        <f>IFERROR(IF(VLOOKUP(A2289,[14]PRIORIZADOS!$A:$K,11,FALSE)="","",VLOOKUP(A2289,[14]PRIORIZADOS!$A:$K,11,FALSE)),"")</f>
        <v>GETULIO ALBERTO FLÓREZ MORENO</v>
      </c>
      <c r="L2289" s="11" t="str">
        <f>IFERROR(IF(VLOOKUP(A2289,[14]PRIORIZADOS!$A:$L,12,FALSE)="","",VLOOKUP(A2289,[14]PRIORIZADOS!$A:$L,12,FALSE)),"")</f>
        <v>MARTHA RUT SILVA ABRIL</v>
      </c>
      <c r="M2289" s="71">
        <f>IFERROR(IF(VLOOKUP(A2289,[14]PRIORIZADOS!$A:$M,13,FALSE)="","",VLOOKUP(A2289,[14]PRIORIZADOS!$A:$M,13,FALSE)),"")</f>
        <v>45785</v>
      </c>
      <c r="N2289" s="71">
        <f>IFERROR(IF(VLOOKUP(A2289,[14]PRIORIZADOS!$A:$N,14,FALSE)="","",VLOOKUP(A2289,[14]PRIORIZADOS!$A:$N,14,FALSE)),"")</f>
        <v>45930</v>
      </c>
      <c r="O2289" s="71">
        <f>IFERROR(IF(VLOOKUP(A2289,[14]PRIORIZADOS!$A:$O,15,FALSE)="","",VLOOKUP(A2289,[14]PRIORIZADOS!$A:$O,15,FALSE)),"")</f>
        <v>45930</v>
      </c>
      <c r="P2289" s="11" t="str">
        <f>IFERROR(IF(VLOOKUP(A2289,[14]PRIORIZADOS!$A:$P,16,FALSE)="","",VLOOKUP(A2289,[14]PRIORIZADOS!$A:$P,16,FALSE)),"")</f>
        <v>Visitas de evaluación con fines de seguimiento</v>
      </c>
      <c r="Q2289" s="259" t="s">
        <v>461</v>
      </c>
      <c r="R2289" s="11" t="str">
        <f>IFERROR(IF(VLOOKUP(A2289,[14]PRIORIZADOS!$A:$R,18,FALSE)="","",VLOOKUP(A2289,[14]PRIORIZADOS!$A:$R,18,FALSE)),"")</f>
        <v>Presentaron el diligenciamiento del aplicativo EVI en debida forma y se verifica que se cobran a los padres de familia valores por debajo de los aprobados en la Resolución de costos educativos.</v>
      </c>
      <c r="S2289" s="11" t="str">
        <f>IFERROR(IF(VLOOKUP(A2289,[14]PRIORIZADOS!$A:$S,19,FALSE)="","",VLOOKUP(A2289,[14]PRIORIZADOS!$A:$S,19,FALSE)),"")</f>
        <v xml:space="preserve">Se confirma que la publicación de la totalidad de la Resolución se ubicó en un lugar visible para la comunidad educativa. </v>
      </c>
      <c r="T2289" s="70" t="str">
        <f>IFERROR(IF(VLOOKUP(A2289,[14]PRIORIZADOS!$A:$T,20,FALSE)="","",VLOOKUP(A2289,[14]PRIORIZADOS!$A:$T,20,FALSE)),"")</f>
        <v>No</v>
      </c>
      <c r="U2289" s="11" t="str">
        <f>IFERROR(IF(VLOOKUP(A2289,[14]PRIORIZADOS!$A:$U,21,FALSE)="","",VLOOKUP(A2289,[14]PRIORIZADOS!$A:$U,21,FALSE)),"")</f>
        <v xml:space="preserve">Se continuará con la verificación del incremento para la vigencia 2026, conforme noramtiva que expida el MEN.  </v>
      </c>
    </row>
    <row r="2290" spans="1:21" s="1" customFormat="1" ht="60">
      <c r="A2290" s="69">
        <f>IF([14]PRIORIZADOS!A337="","",[14]PRIORIZADOS!A337)</f>
        <v>2258</v>
      </c>
      <c r="B2290" s="70">
        <f>IFERROR(IF(VLOOKUP(A2290,[14]PRIORIZADOS!$A:$B,2,FALSE)="","",VLOOKUP(A2290,[14]PRIORIZADOS!$A:$B,2,FALSE)),"")</f>
        <v>37</v>
      </c>
      <c r="C2290" s="11" t="s">
        <v>424</v>
      </c>
      <c r="D2290" s="11" t="str">
        <f>IFERROR(IF(VLOOKUP(A2290,[14]PRIORIZADOS!$A:$D,4,FALSE)="","",VLOOKUP(A2290,[14]PRIORIZADOS!$A:$D,4,FALSE)),"")</f>
        <v>PRIVADO</v>
      </c>
      <c r="E2290" s="11" t="str">
        <f>IFERROR(IF(VLOOKUP(A2290,[14]PRIORIZADOS!$A:$E,5,FALSE)="","",VLOOKUP(A2290,[14]PRIORIZADOS!$A:$E,5,FALSE)),"")</f>
        <v>EPBM</v>
      </c>
      <c r="F2290" s="11" t="str">
        <f>IFERROR(IF(VLOOKUP(A2290,[14]PRIORIZADOS!$A:$F,6,FALSE)="","",VLOOKUP(A2290,[14]PRIORIZADOS!$A:$F,6,FALSE)),"")</f>
        <v>LICEO_TECNICO_BILINGÜE_PAULO_FREIRE</v>
      </c>
      <c r="G2290" s="11" t="str">
        <f>IFERROR(IF(VLOOKUP(A2290,[14]PRIORIZADOS!$A:$G,7,FALSE)="","",VLOOKUP(A2290,[14]PRIORIZADOS!$A:$G,7,FALSE)),"")</f>
        <v>LICEO TECNICO BILINGÜE PAULO FREIRE</v>
      </c>
      <c r="H2290" s="11" t="str">
        <f>IFERROR(IF(VLOOKUP(A2290,[14]PRIORIZADOS!$A:$H,8,FALSE)="","",VLOOKUP(A2290,[14]PRIORIZADOS!$A:$H,8,FALSE)),"")</f>
        <v>Autoevaluación Institucional y Pruebas SABER 11</v>
      </c>
      <c r="I2290" s="11" t="str">
        <f>IFERROR(IF(VLOOKUP(A2290,[14]PRIORIZADOS!$A:$I,9,FALSE)="","",VLOOKUP(A2290,[14]PRIORIZADOS!$A:$I,9,FALSE)),"")</f>
        <v>SEGUIMIENTO_Y_SUPERVISIÓN.</v>
      </c>
      <c r="J2290" s="11" t="str">
        <f>IFERROR(IF(VLOOKUP(A2290,[14]PRIORIZADOS!$A:$J,10,FALSE)="","",VLOOKUP(A2290,[14]PRIORIZADOS!$A:$J,10,FALSE)),"")</f>
        <v>Proponer estrategias en la formulación, verificar su elaboración y realizar seguimiento semestral al desarrollo de  las acciones establecidas en los planes de mejoramiento por pruebas SABER 11 de los establecimientos de educación formal.</v>
      </c>
      <c r="K2290" s="11" t="str">
        <f>IFERROR(IF(VLOOKUP(A2290,[14]PRIORIZADOS!$A:$K,11,FALSE)="","",VLOOKUP(A2290,[14]PRIORIZADOS!$A:$K,11,FALSE)),"")</f>
        <v>GETULIO ALBERTO FLÓREZ MORENO</v>
      </c>
      <c r="L2290" s="11" t="str">
        <f>IFERROR(IF(VLOOKUP(A2290,[14]PRIORIZADOS!$A:$L,12,FALSE)="","",VLOOKUP(A2290,[14]PRIORIZADOS!$A:$L,12,FALSE)),"")</f>
        <v>MARTHA RUT SILVA ABRIL</v>
      </c>
      <c r="M2290" s="71">
        <f>IFERROR(IF(VLOOKUP(A2290,[14]PRIORIZADOS!$A:$M,13,FALSE)="","",VLOOKUP(A2290,[14]PRIORIZADOS!$A:$M,13,FALSE)),"")</f>
        <v>45785</v>
      </c>
      <c r="N2290" s="71">
        <f>IFERROR(IF(VLOOKUP(A2290,[14]PRIORIZADOS!$A:$N,14,FALSE)="","",VLOOKUP(A2290,[14]PRIORIZADOS!$A:$N,14,FALSE)),"")</f>
        <v>45930</v>
      </c>
      <c r="O2290" s="71">
        <f>IFERROR(IF(VLOOKUP(A2290,[14]PRIORIZADOS!$A:$O,15,FALSE)="","",VLOOKUP(A2290,[14]PRIORIZADOS!$A:$O,15,FALSE)),"")</f>
        <v>45930</v>
      </c>
      <c r="P2290" s="11" t="str">
        <f>IFERROR(IF(VLOOKUP(A2290,[14]PRIORIZADOS!$A:$P,16,FALSE)="","",VLOOKUP(A2290,[14]PRIORIZADOS!$A:$P,16,FALSE)),"")</f>
        <v>Visitas de evaluación con fines de seguimiento</v>
      </c>
      <c r="Q2290" s="22" t="s">
        <v>461</v>
      </c>
      <c r="R2290" s="11" t="str">
        <f>IFERROR(IF(VLOOKUP(A2290,[14]PRIORIZADOS!$A:$R,18,FALSE)="","",VLOOKUP(A2290,[14]PRIORIZADOS!$A:$R,18,FALSE)),"")</f>
        <v xml:space="preserve">No se evidenció estrategias para el seguimiento semestral al desarrollo de  las pruebas SABER 11. </v>
      </c>
      <c r="S2290" s="11" t="str">
        <f>IFERROR(IF(VLOOKUP(A2290,[14]PRIORIZADOS!$A:$S,19,FALSE)="","",VLOOKUP(A2290,[14]PRIORIZADOS!$A:$S,19,FALSE)),"")</f>
        <v>Se sugiere implementar la revisión y análisis de los resultados de las pruebas saber 11.</v>
      </c>
      <c r="T2290" s="70" t="str">
        <f>IFERROR(IF(VLOOKUP(A2290,[14]PRIORIZADOS!$A:$T,20,FALSE)="","",VLOOKUP(A2290,[14]PRIORIZADOS!$A:$T,20,FALSE)),"")</f>
        <v>Si</v>
      </c>
      <c r="U2290" s="11" t="str">
        <f>IFERROR(IF(VLOOKUP(A2290,[14]PRIORIZADOS!$A:$U,21,FALSE)="","",VLOOKUP(A2290,[14]PRIORIZADOS!$A:$U,21,FALSE)),"")</f>
        <v xml:space="preserve">Se adelantará seguimiento sobre el plan de mejoramiento que porponga la institución educativa. </v>
      </c>
    </row>
    <row r="2291" spans="1:21" s="1" customFormat="1" ht="48">
      <c r="A2291" s="69">
        <f>IF([14]PRIORIZADOS!A338="","",[14]PRIORIZADOS!A338)</f>
        <v>2259</v>
      </c>
      <c r="B2291" s="70">
        <f>IFERROR(IF(VLOOKUP(A2291,[14]PRIORIZADOS!$A:$B,2,FALSE)="","",VLOOKUP(A2291,[14]PRIORIZADOS!$A:$B,2,FALSE)),"")</f>
        <v>37</v>
      </c>
      <c r="C2291" s="11" t="s">
        <v>424</v>
      </c>
      <c r="D2291" s="11" t="str">
        <f>IFERROR(IF(VLOOKUP(A2291,[14]PRIORIZADOS!$A:$D,4,FALSE)="","",VLOOKUP(A2291,[14]PRIORIZADOS!$A:$D,4,FALSE)),"")</f>
        <v>PRIVADO</v>
      </c>
      <c r="E2291" s="11" t="str">
        <f>IFERROR(IF(VLOOKUP(A2291,[14]PRIORIZADOS!$A:$E,5,FALSE)="","",VLOOKUP(A2291,[14]PRIORIZADOS!$A:$E,5,FALSE)),"")</f>
        <v>EPBM</v>
      </c>
      <c r="F2291" s="11" t="str">
        <f>IFERROR(IF(VLOOKUP(A2291,[14]PRIORIZADOS!$A:$F,6,FALSE)="","",VLOOKUP(A2291,[14]PRIORIZADOS!$A:$F,6,FALSE)),"")</f>
        <v>LICEO_TECNICO_BILINGÜE_PAULO_FREIRE</v>
      </c>
      <c r="G2291" s="11" t="str">
        <f>IFERROR(IF(VLOOKUP(A2291,[14]PRIORIZADOS!$A:$G,7,FALSE)="","",VLOOKUP(A2291,[14]PRIORIZADOS!$A:$G,7,FALSE)),"")</f>
        <v>LICEO TECNICO BILINGÜE PAULO FREIRE</v>
      </c>
      <c r="H2291" s="11" t="str">
        <f>IFERROR(IF(VLOOKUP(A2291,[14]PRIORIZADOS!$A:$H,8,FALSE)="","",VLOOKUP(A2291,[14]PRIORIZADOS!$A:$H,8,FALSE)),"")</f>
        <v>Autoevaluación Institucional y Pruebas SABER 11</v>
      </c>
      <c r="I2291" s="11" t="str">
        <f>IFERROR(IF(VLOOKUP(A2291,[14]PRIORIZADOS!$A:$I,9,FALSE)="","",VLOOKUP(A2291,[14]PRIORIZADOS!$A:$I,9,FALSE)),"")</f>
        <v>SEGUIMIENTO_Y_SUPERVISIÓN.</v>
      </c>
      <c r="J2291" s="11" t="str">
        <f>IFERROR(IF(VLOOKUP(A2291,[14]PRIORIZADOS!$A:$J,10,FALSE)="","",VLOOKUP(A2291,[14]PRIORIZADOS!$A:$J,10,FALSE)),"")</f>
        <v xml:space="preserve">Verificar la implementación por parte de los colegios, de acciones realizadas para la prevención y atención de las situaciones de convivencia en el entorno escolar, según lo establecido en la Directiva 01 de 2022 del MEN. </v>
      </c>
      <c r="K2291" s="11" t="str">
        <f>IFERROR(IF(VLOOKUP(A2291,[14]PRIORIZADOS!$A:$K,11,FALSE)="","",VLOOKUP(A2291,[14]PRIORIZADOS!$A:$K,11,FALSE)),"")</f>
        <v>GETULIO ALBERTO FLÓREZ MORENO</v>
      </c>
      <c r="L2291" s="11" t="str">
        <f>IFERROR(IF(VLOOKUP(A2291,[14]PRIORIZADOS!$A:$L,12,FALSE)="","",VLOOKUP(A2291,[14]PRIORIZADOS!$A:$L,12,FALSE)),"")</f>
        <v>MARTHA RUT SILVA ABRIL</v>
      </c>
      <c r="M2291" s="71">
        <f>IFERROR(IF(VLOOKUP(A2291,[14]PRIORIZADOS!$A:$M,13,FALSE)="","",VLOOKUP(A2291,[14]PRIORIZADOS!$A:$M,13,FALSE)),"")</f>
        <v>45785</v>
      </c>
      <c r="N2291" s="71">
        <f>IFERROR(IF(VLOOKUP(A2291,[14]PRIORIZADOS!$A:$N,14,FALSE)="","",VLOOKUP(A2291,[14]PRIORIZADOS!$A:$N,14,FALSE)),"")</f>
        <v>45930</v>
      </c>
      <c r="O2291" s="71">
        <f>IFERROR(IF(VLOOKUP(A2291,[14]PRIORIZADOS!$A:$O,15,FALSE)="","",VLOOKUP(A2291,[14]PRIORIZADOS!$A:$O,15,FALSE)),"")</f>
        <v>45930</v>
      </c>
      <c r="P2291" s="11" t="str">
        <f>IFERROR(IF(VLOOKUP(A2291,[14]PRIORIZADOS!$A:$P,16,FALSE)="","",VLOOKUP(A2291,[14]PRIORIZADOS!$A:$P,16,FALSE)),"")</f>
        <v>Visitas de evaluación con fines de seguimiento</v>
      </c>
      <c r="Q2291" s="22" t="s">
        <v>461</v>
      </c>
      <c r="R2291" s="11" t="str">
        <f>IFERROR(IF(VLOOKUP(A2291,[14]PRIORIZADOS!$A:$R,18,FALSE)="","",VLOOKUP(A2291,[14]PRIORIZADOS!$A:$R,18,FALSE)),"")</f>
        <v xml:space="preserve">No se ha adelantado la consulta de las inhabilidades del personal vinculado al inicio del año no lo hacen cada 4 meses. </v>
      </c>
      <c r="S2291" s="11" t="str">
        <f>IFERROR(IF(VLOOKUP(A2291,[14]PRIORIZADOS!$A:$S,19,FALSE)="","",VLOOKUP(A2291,[14]PRIORIZADOS!$A:$S,19,FALSE)),"")</f>
        <v>Se orienta adelantar esta actividad en el tiempo estipulado.</v>
      </c>
      <c r="T2291" s="70" t="str">
        <f>IFERROR(IF(VLOOKUP(A2291,[14]PRIORIZADOS!$A:$T,20,FALSE)="","",VLOOKUP(A2291,[14]PRIORIZADOS!$A:$T,20,FALSE)),"")</f>
        <v>Si</v>
      </c>
      <c r="U2291" s="11" t="str">
        <f>IFERROR(IF(VLOOKUP(A2291,[14]PRIORIZADOS!$A:$U,21,FALSE)="","",VLOOKUP(A2291,[14]PRIORIZADOS!$A:$U,21,FALSE)),"")</f>
        <v xml:space="preserve">Actualizar la revisión del certificado de antecedentes de inhabilidades por delitos sexuales para todos los docentes y personal administrativo del colegio. </v>
      </c>
    </row>
    <row r="2292" spans="1:21" s="1" customFormat="1" ht="72">
      <c r="A2292" s="69">
        <f>IF([14]PRIORIZADOS!A339="","",[14]PRIORIZADOS!A339)</f>
        <v>2260</v>
      </c>
      <c r="B2292" s="70">
        <f>IFERROR(IF(VLOOKUP(A2292,[14]PRIORIZADOS!$A:$B,2,FALSE)="","",VLOOKUP(A2292,[14]PRIORIZADOS!$A:$B,2,FALSE)),"")</f>
        <v>37</v>
      </c>
      <c r="C2292" s="11" t="s">
        <v>424</v>
      </c>
      <c r="D2292" s="11" t="str">
        <f>IFERROR(IF(VLOOKUP(A2292,[14]PRIORIZADOS!$A:$D,4,FALSE)="","",VLOOKUP(A2292,[14]PRIORIZADOS!$A:$D,4,FALSE)),"")</f>
        <v>PRIVADO</v>
      </c>
      <c r="E2292" s="11" t="str">
        <f>IFERROR(IF(VLOOKUP(A2292,[14]PRIORIZADOS!$A:$E,5,FALSE)="","",VLOOKUP(A2292,[14]PRIORIZADOS!$A:$E,5,FALSE)),"")</f>
        <v>EPBM</v>
      </c>
      <c r="F2292" s="11" t="str">
        <f>IFERROR(IF(VLOOKUP(A2292,[14]PRIORIZADOS!$A:$F,6,FALSE)="","",VLOOKUP(A2292,[14]PRIORIZADOS!$A:$F,6,FALSE)),"")</f>
        <v>LICEO_TECNICO_BILINGÜE_PAULO_FREIRE</v>
      </c>
      <c r="G2292" s="11" t="str">
        <f>IFERROR(IF(VLOOKUP(A2292,[14]PRIORIZADOS!$A:$G,7,FALSE)="","",VLOOKUP(A2292,[14]PRIORIZADOS!$A:$G,7,FALSE)),"")</f>
        <v>LICEO TECNICO BILINGÜE PAULO FREIRE</v>
      </c>
      <c r="H2292" s="11" t="str">
        <f>IFERROR(IF(VLOOKUP(A2292,[14]PRIORIZADOS!$A:$H,8,FALSE)="","",VLOOKUP(A2292,[14]PRIORIZADOS!$A:$H,8,FALSE)),"")</f>
        <v>Autoevaluación Institucional y Pruebas SABER 11</v>
      </c>
      <c r="I2292" s="11" t="str">
        <f>IFERROR(IF(VLOOKUP(A2292,[14]PRIORIZADOS!$A:$I,9,FALSE)="","",VLOOKUP(A2292,[14]PRIORIZADOS!$A:$I,9,FALSE)),"")</f>
        <v>SEGUIMIENTO_Y_SUPERVISIÓN.</v>
      </c>
      <c r="J2292" s="11" t="str">
        <f>IFERROR(IF(VLOOKUP(A2292,[14]PRIORIZADOS!$A:$J,10,FALSE)="","",VLOOKUP(A2292,[14]PRIORIZADOS!$A:$J,10,FALSE)),"")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292" s="11" t="str">
        <f>IFERROR(IF(VLOOKUP(A2292,[14]PRIORIZADOS!$A:$K,11,FALSE)="","",VLOOKUP(A2292,[14]PRIORIZADOS!$A:$K,11,FALSE)),"")</f>
        <v>GETULIO ALBERTO FLÓREZ MORENO</v>
      </c>
      <c r="L2292" s="11" t="str">
        <f>IFERROR(IF(VLOOKUP(A2292,[14]PRIORIZADOS!$A:$L,12,FALSE)="","",VLOOKUP(A2292,[14]PRIORIZADOS!$A:$L,12,FALSE)),"")</f>
        <v>MARTHA RUT SILVA ABRIL</v>
      </c>
      <c r="M2292" s="71">
        <f>IFERROR(IF(VLOOKUP(A2292,[14]PRIORIZADOS!$A:$M,13,FALSE)="","",VLOOKUP(A2292,[14]PRIORIZADOS!$A:$M,13,FALSE)),"")</f>
        <v>45785</v>
      </c>
      <c r="N2292" s="71">
        <f>IFERROR(IF(VLOOKUP(A2292,[14]PRIORIZADOS!$A:$N,14,FALSE)="","",VLOOKUP(A2292,[14]PRIORIZADOS!$A:$N,14,FALSE)),"")</f>
        <v>45930</v>
      </c>
      <c r="O2292" s="71">
        <f>IFERROR(IF(VLOOKUP(A2292,[14]PRIORIZADOS!$A:$O,15,FALSE)="","",VLOOKUP(A2292,[14]PRIORIZADOS!$A:$O,15,FALSE)),"")</f>
        <v>45930</v>
      </c>
      <c r="P2292" s="11" t="str">
        <f>IFERROR(IF(VLOOKUP(A2292,[14]PRIORIZADOS!$A:$P,16,FALSE)="","",VLOOKUP(A2292,[14]PRIORIZADOS!$A:$P,16,FALSE)),"")</f>
        <v>Visitas de evaluación con fines de seguimiento</v>
      </c>
      <c r="Q2292" s="22" t="s">
        <v>461</v>
      </c>
      <c r="R2292" s="11" t="str">
        <f>IFERROR(IF(VLOOKUP(A2292,[14]PRIORIZADOS!$A:$R,18,FALSE)="","",VLOOKUP(A2292,[14]PRIORIZADOS!$A:$R,18,FALSE)),"")</f>
        <v xml:space="preserve">Pese a tener un (1) niño en condición de discapacidad, el Rector manifiesta que al momento de la visita no tienen PIAR. </v>
      </c>
      <c r="S2292" s="11" t="str">
        <f>IFERROR(IF(VLOOKUP(A2292,[14]PRIORIZADOS!$A:$S,19,FALSE)="","",VLOOKUP(A2292,[14]PRIORIZADOS!$A:$S,19,FALSE)),"")</f>
        <v>Por lo anterior se comprometen a elaborarlos y plantearlo en el plan de mejoramiento.</v>
      </c>
      <c r="T2292" s="70" t="str">
        <f>IFERROR(IF(VLOOKUP(A2292,[14]PRIORIZADOS!$A:$T,20,FALSE)="","",VLOOKUP(A2292,[14]PRIORIZADOS!$A:$T,20,FALSE)),"")</f>
        <v>Si</v>
      </c>
      <c r="U2292" s="11" t="str">
        <f>IFERROR(IF(VLOOKUP(A2292,[14]PRIORIZADOS!$A:$U,21,FALSE)="","",VLOOKUP(A2292,[14]PRIORIZADOS!$A:$U,21,FALSE)),"")</f>
        <v xml:space="preserve">Se realizará seguimiento del PIAR elaborado por el colegio y firmado por los padres de familia. </v>
      </c>
    </row>
    <row r="2293" spans="1:21" s="1" customFormat="1" ht="84">
      <c r="A2293" s="69">
        <f>IF([14]PRIORIZADOS!A340="","",[14]PRIORIZADOS!A340)</f>
        <v>2261</v>
      </c>
      <c r="B2293" s="70">
        <f>IFERROR(IF(VLOOKUP(A2293,[14]PRIORIZADOS!$A:$B,2,FALSE)="","",VLOOKUP(A2293,[14]PRIORIZADOS!$A:$B,2,FALSE)),"")</f>
        <v>37</v>
      </c>
      <c r="C2293" s="11" t="s">
        <v>424</v>
      </c>
      <c r="D2293" s="11" t="str">
        <f>IFERROR(IF(VLOOKUP(A2293,[14]PRIORIZADOS!$A:$D,4,FALSE)="","",VLOOKUP(A2293,[14]PRIORIZADOS!$A:$D,4,FALSE)),"")</f>
        <v>PRIVADO</v>
      </c>
      <c r="E2293" s="11" t="str">
        <f>IFERROR(IF(VLOOKUP(A2293,[14]PRIORIZADOS!$A:$E,5,FALSE)="","",VLOOKUP(A2293,[14]PRIORIZADOS!$A:$E,5,FALSE)),"")</f>
        <v>EPBM</v>
      </c>
      <c r="F2293" s="11" t="str">
        <f>IFERROR(IF(VLOOKUP(A2293,[14]PRIORIZADOS!$A:$F,6,FALSE)="","",VLOOKUP(A2293,[14]PRIORIZADOS!$A:$F,6,FALSE)),"")</f>
        <v>LICEO_TECNICO_BILINGÜE_PAULO_FREIRE</v>
      </c>
      <c r="G2293" s="11" t="str">
        <f>IFERROR(IF(VLOOKUP(A2293,[14]PRIORIZADOS!$A:$G,7,FALSE)="","",VLOOKUP(A2293,[14]PRIORIZADOS!$A:$G,7,FALSE)),"")</f>
        <v>LICEO TECNICO BILINGÜE PAULO FREIRE</v>
      </c>
      <c r="H2293" s="11" t="str">
        <f>IFERROR(IF(VLOOKUP(A2293,[14]PRIORIZADOS!$A:$H,8,FALSE)="","",VLOOKUP(A2293,[14]PRIORIZADOS!$A:$H,8,FALSE)),"")</f>
        <v>Autoevaluación Institucional y Pruebas SABER 11</v>
      </c>
      <c r="I2293" s="11" t="str">
        <f>IFERROR(IF(VLOOKUP(A2293,[14]PRIORIZADOS!$A:$I,9,FALSE)="","",VLOOKUP(A2293,[14]PRIORIZADOS!$A:$I,9,FALSE)),"")</f>
        <v>EVALUACIÓN_CON_FINES_DE_MEJORAMIENTO.</v>
      </c>
      <c r="J2293" s="11" t="str">
        <f>IFERROR(IF(VLOOKUP(A2293,[14]PRIORIZADOS!$A:$J,10,FALSE)="","",VLOOKUP(A2293,[14]PRIORIZADOS!$A:$J,10,FALSE)),"")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293" s="11" t="str">
        <f>IFERROR(IF(VLOOKUP(A2293,[14]PRIORIZADOS!$A:$K,11,FALSE)="","",VLOOKUP(A2293,[14]PRIORIZADOS!$A:$K,11,FALSE)),"")</f>
        <v>GETULIO ALBERTO FLÓREZ MORENO</v>
      </c>
      <c r="L2293" s="11" t="str">
        <f>IFERROR(IF(VLOOKUP(A2293,[14]PRIORIZADOS!$A:$L,12,FALSE)="","",VLOOKUP(A2293,[14]PRIORIZADOS!$A:$L,12,FALSE)),"")</f>
        <v>MARTHA RUT SILVA ABRIL</v>
      </c>
      <c r="M2293" s="71">
        <f>IFERROR(IF(VLOOKUP(A2293,[14]PRIORIZADOS!$A:$M,13,FALSE)="","",VLOOKUP(A2293,[14]PRIORIZADOS!$A:$M,13,FALSE)),"")</f>
        <v>45785</v>
      </c>
      <c r="N2293" s="71">
        <f>IFERROR(IF(VLOOKUP(A2293,[14]PRIORIZADOS!$A:$N,14,FALSE)="","",VLOOKUP(A2293,[14]PRIORIZADOS!$A:$N,14,FALSE)),"")</f>
        <v>45930</v>
      </c>
      <c r="O2293" s="71">
        <f>IFERROR(IF(VLOOKUP(A2293,[14]PRIORIZADOS!$A:$O,15,FALSE)="","",VLOOKUP(A2293,[14]PRIORIZADOS!$A:$O,15,FALSE)),"")</f>
        <v>45930</v>
      </c>
      <c r="P2293" s="11" t="str">
        <f>IFERROR(IF(VLOOKUP(A2293,[14]PRIORIZADOS!$A:$P,16,FALSE)="","",VLOOKUP(A2293,[14]PRIORIZADOS!$A:$P,16,FALSE)),"")</f>
        <v>Visitas de evaluación con fines de mejoramiento</v>
      </c>
      <c r="Q2293" s="22" t="s">
        <v>461</v>
      </c>
      <c r="R2293" s="11" t="str">
        <f>IFERROR(IF(VLOOKUP(A2293,[14]PRIORIZADOS!$A:$R,18,FALSE)="","",VLOOKUP(A2293,[14]PRIORIZADOS!$A:$R,18,FALSE)),"")</f>
        <v>Aunque se actualiza anualmente con participación de docentes, directivos y padres de familia no se deja evidencia de reuniones a través de actas.</v>
      </c>
      <c r="S2293" s="11" t="str">
        <f>IFERROR(IF(VLOOKUP(A2293,[14]PRIORIZADOS!$A:$S,19,FALSE)="","",VLOOKUP(A2293,[14]PRIORIZADOS!$A:$S,19,FALSE)),"")</f>
        <v>Se sugiere dejar evidencia (actas) de cada año de la participación de la comunidad educativa en la actualización del Manual de Convivencia</v>
      </c>
      <c r="T2293" s="70" t="str">
        <f>IFERROR(IF(VLOOKUP(A2293,[14]PRIORIZADOS!$A:$T,20,FALSE)="","",VLOOKUP(A2293,[14]PRIORIZADOS!$A:$T,20,FALSE)),"")</f>
        <v>Si</v>
      </c>
      <c r="U2293" s="11" t="str">
        <f>IFERROR(IF(VLOOKUP(A2293,[14]PRIORIZADOS!$A:$U,21,FALSE)="","",VLOOKUP(A2293,[14]PRIORIZADOS!$A:$U,21,FALSE)),"")</f>
        <v>Se revisará el manual de convivencia una vez sea actualizado para la siguiente vigencia</v>
      </c>
    </row>
    <row r="2294" spans="1:21" s="1" customFormat="1" ht="72">
      <c r="A2294" s="69">
        <f>IF([14]PRIORIZADOS!A341="","",[14]PRIORIZADOS!A341)</f>
        <v>2262</v>
      </c>
      <c r="B2294" s="70">
        <f>IFERROR(IF(VLOOKUP(A2294,[14]PRIORIZADOS!$A:$B,2,FALSE)="","",VLOOKUP(A2294,[14]PRIORIZADOS!$A:$B,2,FALSE)),"")</f>
        <v>37</v>
      </c>
      <c r="C2294" s="11" t="s">
        <v>424</v>
      </c>
      <c r="D2294" s="11" t="str">
        <f>IFERROR(IF(VLOOKUP(A2294,[14]PRIORIZADOS!$A:$D,4,FALSE)="","",VLOOKUP(A2294,[14]PRIORIZADOS!$A:$D,4,FALSE)),"")</f>
        <v>PRIVADO</v>
      </c>
      <c r="E2294" s="11" t="str">
        <f>IFERROR(IF(VLOOKUP(A2294,[14]PRIORIZADOS!$A:$E,5,FALSE)="","",VLOOKUP(A2294,[14]PRIORIZADOS!$A:$E,5,FALSE)),"")</f>
        <v>EPBM</v>
      </c>
      <c r="F2294" s="11" t="str">
        <f>IFERROR(IF(VLOOKUP(A2294,[14]PRIORIZADOS!$A:$F,6,FALSE)="","",VLOOKUP(A2294,[14]PRIORIZADOS!$A:$F,6,FALSE)),"")</f>
        <v>LICEO_TECNICO_BILINGÜE_PAULO_FREIRE</v>
      </c>
      <c r="G2294" s="11" t="str">
        <f>IFERROR(IF(VLOOKUP(A2294,[14]PRIORIZADOS!$A:$G,7,FALSE)="","",VLOOKUP(A2294,[14]PRIORIZADOS!$A:$G,7,FALSE)),"")</f>
        <v>LICEO TECNICO BILINGÜE PAULO FREIRE</v>
      </c>
      <c r="H2294" s="11" t="str">
        <f>IFERROR(IF(VLOOKUP(A2294,[14]PRIORIZADOS!$A:$H,8,FALSE)="","",VLOOKUP(A2294,[14]PRIORIZADOS!$A:$H,8,FALSE)),"")</f>
        <v>Autoevaluación Institucional y Pruebas SABER 11</v>
      </c>
      <c r="I2294" s="11" t="str">
        <f>IFERROR(IF(VLOOKUP(A2294,[14]PRIORIZADOS!$A:$I,9,FALSE)="","",VLOOKUP(A2294,[14]PRIORIZADOS!$A:$I,9,FALSE)),"")</f>
        <v>EVALUACIÓN_CON_FINES_DE_MEJORAMIENTO.</v>
      </c>
      <c r="J2294" s="11" t="str">
        <f>IFERROR(IF(VLOOKUP(A2294,[14]PRIORIZADOS!$A:$J,10,FALSE)="","",VLOOKUP(A2294,[14]PRIORIZADOS!$A:$J,10,FALSE)),"")</f>
        <v>Revisar la actualización, socialización e implementación del Sistema Institucional de Evaluación de Estudiantes - SIEE, en articulación con la actualización del PEI y la normatividad vigente.</v>
      </c>
      <c r="K2294" s="11" t="str">
        <f>IFERROR(IF(VLOOKUP(A2294,[14]PRIORIZADOS!$A:$K,11,FALSE)="","",VLOOKUP(A2294,[14]PRIORIZADOS!$A:$K,11,FALSE)),"")</f>
        <v>GETULIO ALBERTO FLÓREZ MORENO</v>
      </c>
      <c r="L2294" s="11" t="str">
        <f>IFERROR(IF(VLOOKUP(A2294,[14]PRIORIZADOS!$A:$L,12,FALSE)="","",VLOOKUP(A2294,[14]PRIORIZADOS!$A:$L,12,FALSE)),"")</f>
        <v>MARTHA RUT SILVA ABRIL</v>
      </c>
      <c r="M2294" s="71">
        <f>IFERROR(IF(VLOOKUP(A2294,[14]PRIORIZADOS!$A:$M,13,FALSE)="","",VLOOKUP(A2294,[14]PRIORIZADOS!$A:$M,13,FALSE)),"")</f>
        <v>45785</v>
      </c>
      <c r="N2294" s="71">
        <f>IFERROR(IF(VLOOKUP(A2294,[14]PRIORIZADOS!$A:$N,14,FALSE)="","",VLOOKUP(A2294,[14]PRIORIZADOS!$A:$N,14,FALSE)),"")</f>
        <v>45930</v>
      </c>
      <c r="O2294" s="71">
        <f>IFERROR(IF(VLOOKUP(A2294,[14]PRIORIZADOS!$A:$O,15,FALSE)="","",VLOOKUP(A2294,[14]PRIORIZADOS!$A:$O,15,FALSE)),"")</f>
        <v>45930</v>
      </c>
      <c r="P2294" s="11" t="str">
        <f>IFERROR(IF(VLOOKUP(A2294,[14]PRIORIZADOS!$A:$P,16,FALSE)="","",VLOOKUP(A2294,[14]PRIORIZADOS!$A:$P,16,FALSE)),"")</f>
        <v>Visitas de evaluación con fines de mejoramiento</v>
      </c>
      <c r="Q2294" s="23" t="s">
        <v>461</v>
      </c>
      <c r="R2294" s="11" t="str">
        <f>IFERROR(IF(VLOOKUP(A2294,[14]PRIORIZADOS!$A:$R,18,FALSE)="","",VLOOKUP(A2294,[14]PRIORIZADOS!$A:$R,18,FALSE)),"")</f>
        <v xml:space="preserve">Durante la visita se observa actualizacion del SIEE, posee criterios mínimos de valoración, auque no establece procesos de promoción acordes con la normativa vigente. 
</v>
      </c>
      <c r="S2294" s="11" t="str">
        <f>IFERROR(IF(VLOOKUP(A2294,[14]PRIORIZADOS!$A:$S,19,FALSE)="","",VLOOKUP(A2294,[14]PRIORIZADOS!$A:$S,19,FALSE)),"")</f>
        <v xml:space="preserve">Es procedente continuar con la actualización del SIEE tomando en consideración lo contemplado por la ley 115 de 1995 y normas asociadas. </v>
      </c>
      <c r="T2294" s="70" t="str">
        <f>IFERROR(IF(VLOOKUP(A2294,[14]PRIORIZADOS!$A:$T,20,FALSE)="","",VLOOKUP(A2294,[14]PRIORIZADOS!$A:$T,20,FALSE)),"")</f>
        <v>Si</v>
      </c>
      <c r="U2294" s="11" t="str">
        <f>IFERROR(IF(VLOOKUP(A2294,[14]PRIORIZADOS!$A:$U,21,FALSE)="","",VLOOKUP(A2294,[14]PRIORIZADOS!$A:$U,21,FALSE)),"")</f>
        <v>Revisar la actualización del SIEE para la siguiente vigencia.</v>
      </c>
    </row>
    <row r="2295" spans="1:21" s="1" customFormat="1" ht="48">
      <c r="A2295" s="69">
        <f>IF([14]PRIORIZADOS!A342="","",[14]PRIORIZADOS!A342)</f>
        <v>2263</v>
      </c>
      <c r="B2295" s="70">
        <f>IFERROR(IF(VLOOKUP(A2295,[14]PRIORIZADOS!$A:$B,2,FALSE)="","",VLOOKUP(A2295,[14]PRIORIZADOS!$A:$B,2,FALSE)),"")</f>
        <v>37</v>
      </c>
      <c r="C2295" s="11" t="s">
        <v>424</v>
      </c>
      <c r="D2295" s="11" t="str">
        <f>IFERROR(IF(VLOOKUP(A2295,[14]PRIORIZADOS!$A:$D,4,FALSE)="","",VLOOKUP(A2295,[14]PRIORIZADOS!$A:$D,4,FALSE)),"")</f>
        <v>PRIVADO</v>
      </c>
      <c r="E2295" s="11" t="str">
        <f>IFERROR(IF(VLOOKUP(A2295,[14]PRIORIZADOS!$A:$E,5,FALSE)="","",VLOOKUP(A2295,[14]PRIORIZADOS!$A:$E,5,FALSE)),"")</f>
        <v>EPBM</v>
      </c>
      <c r="F2295" s="11" t="str">
        <f>IFERROR(IF(VLOOKUP(A2295,[14]PRIORIZADOS!$A:$F,6,FALSE)="","",VLOOKUP(A2295,[14]PRIORIZADOS!$A:$F,6,FALSE)),"")</f>
        <v>LICEO_TECNICO_BILINGÜE_PAULO_FREIRE</v>
      </c>
      <c r="G2295" s="11" t="str">
        <f>IFERROR(IF(VLOOKUP(A2295,[14]PRIORIZADOS!$A:$G,7,FALSE)="","",VLOOKUP(A2295,[14]PRIORIZADOS!$A:$G,7,FALSE)),"")</f>
        <v>LICEO TECNICO BILINGÜE PAULO FREIRE</v>
      </c>
      <c r="H2295" s="11" t="str">
        <f>IFERROR(IF(VLOOKUP(A2295,[14]PRIORIZADOS!$A:$H,8,FALSE)="","",VLOOKUP(A2295,[14]PRIORIZADOS!$A:$H,8,FALSE)),"")</f>
        <v>Autoevaluación Institucional y Pruebas SABER 11</v>
      </c>
      <c r="I2295" s="11" t="str">
        <f>IFERROR(IF(VLOOKUP(A2295,[14]PRIORIZADOS!$A:$I,9,FALSE)="","",VLOOKUP(A2295,[14]PRIORIZADOS!$A:$I,9,FALSE)),"")</f>
        <v>EVALUACIÓN_CON_FINES_DE_MEJORAMIENTO.</v>
      </c>
      <c r="J2295" s="11" t="str">
        <f>IFERROR(IF(VLOOKUP(A2295,[14]PRIORIZADOS!$A:$J,10,FALSE)="","",VLOOKUP(A2295,[14]PRIORIZADOS!$A:$J,10,FALSE)),"")</f>
        <v>Revisar el calendario escolar, jornada escolar, la intensidad horaria mínima anual en cada nivel y las modificaciones que se realicen al mismo, de acuerdo con lo previsto en la normatividad vigente.</v>
      </c>
      <c r="K2295" s="11" t="str">
        <f>IFERROR(IF(VLOOKUP(A2295,[14]PRIORIZADOS!$A:$K,11,FALSE)="","",VLOOKUP(A2295,[14]PRIORIZADOS!$A:$K,11,FALSE)),"")</f>
        <v>GETULIO ALBERTO FLÓREZ MORENO</v>
      </c>
      <c r="L2295" s="11" t="str">
        <f>IFERROR(IF(VLOOKUP(A2295,[14]PRIORIZADOS!$A:$L,12,FALSE)="","",VLOOKUP(A2295,[14]PRIORIZADOS!$A:$L,12,FALSE)),"")</f>
        <v>MARTHA RUT SILVA ABRIL</v>
      </c>
      <c r="M2295" s="71">
        <f>IFERROR(IF(VLOOKUP(A2295,[14]PRIORIZADOS!$A:$M,13,FALSE)="","",VLOOKUP(A2295,[14]PRIORIZADOS!$A:$M,13,FALSE)),"")</f>
        <v>45785</v>
      </c>
      <c r="N2295" s="71">
        <f>IFERROR(IF(VLOOKUP(A2295,[14]PRIORIZADOS!$A:$N,14,FALSE)="","",VLOOKUP(A2295,[14]PRIORIZADOS!$A:$N,14,FALSE)),"")</f>
        <v>45930</v>
      </c>
      <c r="O2295" s="71">
        <f>IFERROR(IF(VLOOKUP(A2295,[14]PRIORIZADOS!$A:$O,15,FALSE)="","",VLOOKUP(A2295,[14]PRIORIZADOS!$A:$O,15,FALSE)),"")</f>
        <v>45930</v>
      </c>
      <c r="P2295" s="11" t="str">
        <f>IFERROR(IF(VLOOKUP(A2295,[14]PRIORIZADOS!$A:$P,16,FALSE)="","",VLOOKUP(A2295,[14]PRIORIZADOS!$A:$P,16,FALSE)),"")</f>
        <v>Visitas de evaluación con fines de mejoramiento</v>
      </c>
      <c r="Q2295" s="22" t="s">
        <v>461</v>
      </c>
      <c r="R2295" s="11" t="str">
        <f>IFERROR(IF(VLOOKUP(A2295,[14]PRIORIZADOS!$A:$R,18,FALSE)="","",VLOOKUP(A2295,[14]PRIORIZADOS!$A:$R,18,FALSE)),"")</f>
        <v>Se evidencia la intensidad horaria y las horas mínimas anuales de cada ciclo se ajustan para los de preescolar, básica y media.</v>
      </c>
      <c r="S2295" s="11" t="str">
        <f>IFERROR(IF(VLOOKUP(A2295,[14]PRIORIZADOS!$A:$S,19,FALSE)="","",VLOOKUP(A2295,[14]PRIORIZADOS!$A:$S,19,FALSE)),"")</f>
        <v>Cumple el calendario académico</v>
      </c>
      <c r="T2295" s="70" t="str">
        <f>IFERROR(IF(VLOOKUP(A2295,[14]PRIORIZADOS!$A:$T,20,FALSE)="","",VLOOKUP(A2295,[14]PRIORIZADOS!$A:$T,20,FALSE)),"")</f>
        <v>No</v>
      </c>
      <c r="U2295" s="11" t="str">
        <f>IFERROR(IF(VLOOKUP(A2295,[14]PRIORIZADOS!$A:$U,21,FALSE)="","",VLOOKUP(A2295,[14]PRIORIZADOS!$A:$U,21,FALSE)),"")</f>
        <v>Continuar con el cumplimiento del calendario</v>
      </c>
    </row>
    <row r="2296" spans="1:21" s="1" customFormat="1" ht="60">
      <c r="A2296" s="69">
        <f>IF([14]PRIORIZADOS!A343="","",[14]PRIORIZADOS!A343)</f>
        <v>2264</v>
      </c>
      <c r="B2296" s="70">
        <f>IFERROR(IF(VLOOKUP(A2296,[14]PRIORIZADOS!$A:$B,2,FALSE)="","",VLOOKUP(A2296,[14]PRIORIZADOS!$A:$B,2,FALSE)),"")</f>
        <v>37</v>
      </c>
      <c r="C2296" s="11" t="s">
        <v>424</v>
      </c>
      <c r="D2296" s="11" t="str">
        <f>IFERROR(IF(VLOOKUP(A2296,[14]PRIORIZADOS!$A:$D,4,FALSE)="","",VLOOKUP(A2296,[14]PRIORIZADOS!$A:$D,4,FALSE)),"")</f>
        <v>PRIVADO</v>
      </c>
      <c r="E2296" s="11" t="str">
        <f>IFERROR(IF(VLOOKUP(A2296,[14]PRIORIZADOS!$A:$E,5,FALSE)="","",VLOOKUP(A2296,[14]PRIORIZADOS!$A:$E,5,FALSE)),"")</f>
        <v>EPBM</v>
      </c>
      <c r="F2296" s="11" t="str">
        <f>IFERROR(IF(VLOOKUP(A2296,[14]PRIORIZADOS!$A:$F,6,FALSE)="","",VLOOKUP(A2296,[14]PRIORIZADOS!$A:$F,6,FALSE)),"")</f>
        <v>LICEO_TECNICO_BILINGÜE_PAULO_FREIRE</v>
      </c>
      <c r="G2296" s="11" t="str">
        <f>IFERROR(IF(VLOOKUP(A2296,[14]PRIORIZADOS!$A:$G,7,FALSE)="","",VLOOKUP(A2296,[14]PRIORIZADOS!$A:$G,7,FALSE)),"")</f>
        <v>LICEO TECNICO BILINGÜE PAULO FREIRE</v>
      </c>
      <c r="H2296" s="11" t="str">
        <f>IFERROR(IF(VLOOKUP(A2296,[14]PRIORIZADOS!$A:$H,8,FALSE)="","",VLOOKUP(A2296,[14]PRIORIZADOS!$A:$H,8,FALSE)),"")</f>
        <v>Autoevaluación Institucional y Pruebas SABER 11</v>
      </c>
      <c r="I2296" s="11" t="str">
        <f>IFERROR(IF(VLOOKUP(A2296,[14]PRIORIZADOS!$A:$I,9,FALSE)="","",VLOOKUP(A2296,[14]PRIORIZADOS!$A:$I,9,FALSE)),"")</f>
        <v>EVALUACIÓN_CON_FINES_DE_MEJORAMIENTO.</v>
      </c>
      <c r="J2296" s="11" t="str">
        <f>IFERROR(IF(VLOOKUP(A2296,[14]PRIORIZADOS!$A:$J,10,FALSE)="","",VLOOKUP(A2296,[14]PRIORIZADOS!$A:$J,10,FALSE)),"")</f>
        <v>Verificar el funcionamiento del Gobierno Escolar e instancias de participación con base en la información sobre conformación reportada por la institución educativa.</v>
      </c>
      <c r="K2296" s="11" t="str">
        <f>IFERROR(IF(VLOOKUP(A2296,[14]PRIORIZADOS!$A:$K,11,FALSE)="","",VLOOKUP(A2296,[14]PRIORIZADOS!$A:$K,11,FALSE)),"")</f>
        <v>GETULIO ALBERTO FLÓREZ MORENO</v>
      </c>
      <c r="L2296" s="11" t="str">
        <f>IFERROR(IF(VLOOKUP(A2296,[14]PRIORIZADOS!$A:$L,12,FALSE)="","",VLOOKUP(A2296,[14]PRIORIZADOS!$A:$L,12,FALSE)),"")</f>
        <v>MARTHA RUT SILVA ABRIL</v>
      </c>
      <c r="M2296" s="71">
        <f>IFERROR(IF(VLOOKUP(A2296,[14]PRIORIZADOS!$A:$M,13,FALSE)="","",VLOOKUP(A2296,[14]PRIORIZADOS!$A:$M,13,FALSE)),"")</f>
        <v>45785</v>
      </c>
      <c r="N2296" s="71">
        <f>IFERROR(IF(VLOOKUP(A2296,[14]PRIORIZADOS!$A:$N,14,FALSE)="","",VLOOKUP(A2296,[14]PRIORIZADOS!$A:$N,14,FALSE)),"")</f>
        <v>45930</v>
      </c>
      <c r="O2296" s="71">
        <f>IFERROR(IF(VLOOKUP(A2296,[14]PRIORIZADOS!$A:$O,15,FALSE)="","",VLOOKUP(A2296,[14]PRIORIZADOS!$A:$O,15,FALSE)),"")</f>
        <v>45930</v>
      </c>
      <c r="P2296" s="11" t="str">
        <f>IFERROR(IF(VLOOKUP(A2296,[14]PRIORIZADOS!$A:$P,16,FALSE)="","",VLOOKUP(A2296,[14]PRIORIZADOS!$A:$P,16,FALSE)),"")</f>
        <v>Visitas de evaluación con fines de mejoramiento</v>
      </c>
      <c r="Q2296" s="22" t="s">
        <v>461</v>
      </c>
      <c r="R2296" s="11" t="str">
        <f>IFERROR(IF(VLOOKUP(A2296,[14]PRIORIZADOS!$A:$R,18,FALSE)="","",VLOOKUP(A2296,[14]PRIORIZADOS!$A:$R,18,FALSE)),"")</f>
        <v xml:space="preserve">Existen espacios de participación escolar, los cuales fueron radicados al SAE, pero no son muy operativos. No se logró encontar la carpeta que permitiera evidenciar las Actas de conformación.  </v>
      </c>
      <c r="S2296" s="11" t="str">
        <f>IFERROR(IF(VLOOKUP(A2296,[14]PRIORIZADOS!$A:$S,19,FALSE)="","",VLOOKUP(A2296,[14]PRIORIZADOS!$A:$S,19,FALSE)),"")</f>
        <v xml:space="preserve">Se sugiere la ubicación de las carpetas con las actas respectivas e imprimir un mayor dinamismo al funcionamiento de fichos Consejos. </v>
      </c>
      <c r="T2296" s="70" t="str">
        <f>IFERROR(IF(VLOOKUP(A2296,[14]PRIORIZADOS!$A:$T,20,FALSE)="","",VLOOKUP(A2296,[14]PRIORIZADOS!$A:$T,20,FALSE)),"")</f>
        <v>Si</v>
      </c>
      <c r="U2296" s="11" t="str">
        <f>IFERROR(IF(VLOOKUP(A2296,[14]PRIORIZADOS!$A:$U,21,FALSE)="","",VLOOKUP(A2296,[14]PRIORIZADOS!$A:$U,21,FALSE)),"")</f>
        <v xml:space="preserve">Es procedente adelantar seguimiento al hallazgo de las carpetas respectivas y su funcionamiento al interior del colegio. </v>
      </c>
    </row>
    <row r="2297" spans="1:21" s="1" customFormat="1" ht="107.25">
      <c r="A2297" s="69">
        <f>IF([14]PRIORIZADOS!A344="","",[14]PRIORIZADOS!A344)</f>
        <v>2265</v>
      </c>
      <c r="B2297" s="70">
        <f>IFERROR(IF(VLOOKUP(A2297,[14]PRIORIZADOS!$A:$B,2,FALSE)="","",VLOOKUP(A2297,[14]PRIORIZADOS!$A:$B,2,FALSE)),"")</f>
        <v>37</v>
      </c>
      <c r="C2297" s="11" t="s">
        <v>424</v>
      </c>
      <c r="D2297" s="11" t="str">
        <f>IFERROR(IF(VLOOKUP(A2297,[14]PRIORIZADOS!$A:$D,4,FALSE)="","",VLOOKUP(A2297,[14]PRIORIZADOS!$A:$D,4,FALSE)),"")</f>
        <v>PRIVADO</v>
      </c>
      <c r="E2297" s="11" t="str">
        <f>IFERROR(IF(VLOOKUP(A2297,[14]PRIORIZADOS!$A:$E,5,FALSE)="","",VLOOKUP(A2297,[14]PRIORIZADOS!$A:$E,5,FALSE)),"")</f>
        <v>EPBM</v>
      </c>
      <c r="F2297" s="11" t="str">
        <f>IFERROR(IF(VLOOKUP(A2297,[14]PRIORIZADOS!$A:$F,6,FALSE)="","",VLOOKUP(A2297,[14]PRIORIZADOS!$A:$F,6,FALSE)),"")</f>
        <v>LICEO_TECNICO_BILINGÜE_PAULO_FREIRE</v>
      </c>
      <c r="G2297" s="11" t="str">
        <f>IFERROR(IF(VLOOKUP(A2297,[14]PRIORIZADOS!$A:$G,7,FALSE)="","",VLOOKUP(A2297,[14]PRIORIZADOS!$A:$G,7,FALSE)),"")</f>
        <v>LICEO TECNICO BILINGÜE PAULO FREIRE</v>
      </c>
      <c r="H2297" s="11" t="str">
        <f>IFERROR(IF(VLOOKUP(A2297,[14]PRIORIZADOS!$A:$H,8,FALSE)="","",VLOOKUP(A2297,[14]PRIORIZADOS!$A:$H,8,FALSE)),"")</f>
        <v>Autoevaluación Institucional y Pruebas SABER 11</v>
      </c>
      <c r="I2297" s="11" t="str">
        <f>IFERROR(IF(VLOOKUP(A2297,[14]PRIORIZADOS!$A:$I,9,FALSE)="","",VLOOKUP(A2297,[14]PRIORIZADOS!$A:$I,9,FALSE)),"")</f>
        <v>EVALUACIÓN_CON_FINES_DE_MEJORAMIENTO.</v>
      </c>
      <c r="J2297" s="11" t="str">
        <f>IFERROR(IF(VLOOKUP(A2297,[14]PRIORIZADOS!$A:$J,10,FALSE)="","",VLOOKUP(A2297,[14]PRIORIZADOS!$A:$J,10,FALSE)),"")</f>
        <v>Verificar las condiciones en cuanto a: la estructura administrativa, condiciones de la planta física y medios educativos adecuados.</v>
      </c>
      <c r="K2297" s="11" t="str">
        <f>IFERROR(IF(VLOOKUP(A2297,[14]PRIORIZADOS!$A:$K,11,FALSE)="","",VLOOKUP(A2297,[14]PRIORIZADOS!$A:$K,11,FALSE)),"")</f>
        <v>GETULIO ALBERTO FLÓREZ MORENO</v>
      </c>
      <c r="L2297" s="11" t="str">
        <f>IFERROR(IF(VLOOKUP(A2297,[14]PRIORIZADOS!$A:$L,12,FALSE)="","",VLOOKUP(A2297,[14]PRIORIZADOS!$A:$L,12,FALSE)),"")</f>
        <v>MARTHA RUT SILVA ABRIL</v>
      </c>
      <c r="M2297" s="71">
        <f>IFERROR(IF(VLOOKUP(A2297,[14]PRIORIZADOS!$A:$M,13,FALSE)="","",VLOOKUP(A2297,[14]PRIORIZADOS!$A:$M,13,FALSE)),"")</f>
        <v>45785</v>
      </c>
      <c r="N2297" s="71">
        <f>IFERROR(IF(VLOOKUP(A2297,[14]PRIORIZADOS!$A:$N,14,FALSE)="","",VLOOKUP(A2297,[14]PRIORIZADOS!$A:$N,14,FALSE)),"")</f>
        <v>45930</v>
      </c>
      <c r="O2297" s="71">
        <f>IFERROR(IF(VLOOKUP(A2297,[14]PRIORIZADOS!$A:$O,15,FALSE)="","",VLOOKUP(A2297,[14]PRIORIZADOS!$A:$O,15,FALSE)),"")</f>
        <v>45930</v>
      </c>
      <c r="P2297" s="11" t="str">
        <f>IFERROR(IF(VLOOKUP(A2297,[14]PRIORIZADOS!$A:$P,16,FALSE)="","",VLOOKUP(A2297,[14]PRIORIZADOS!$A:$P,16,FALSE)),"")</f>
        <v>Visitas de evaluación con fines de mejoramiento</v>
      </c>
      <c r="Q2297" s="22" t="s">
        <v>461</v>
      </c>
      <c r="R2297" s="11" t="str">
        <f>IFERROR(IF(VLOOKUP(A2297,[14]PRIORIZADOS!$A:$R,18,FALSE)="","",VLOOKUP(A2297,[14]PRIORIZADOS!$A:$R,18,FALSE)),"")</f>
        <v>En en recorrido por las instalaciones se observa que un  edifico que requiere de mantenimiento en la mayoría de espacios locativos.  De igual forma se eviencia que los baños deben ser mejorados y adecuados en buena medida. Es urgente desocupar la bodega y se requiere mantenimiento del piso y pintura a nivel general.</v>
      </c>
      <c r="S2297" s="11" t="str">
        <f>IFERROR(IF(VLOOKUP(A2297,[14]PRIORIZADOS!$A:$S,19,FALSE)="","",VLOOKUP(A2297,[14]PRIORIZADOS!$A:$S,19,FALSE)),"")</f>
        <v>El colegio asume el compromiso de adelantar los mantenimientos locativos requeridos periódicamente, dando prioridad a los hallazgos que mayor potencialidad.</v>
      </c>
      <c r="T2297" s="70" t="str">
        <f>IFERROR(IF(VLOOKUP(A2297,[14]PRIORIZADOS!$A:$T,20,FALSE)="","",VLOOKUP(A2297,[14]PRIORIZADOS!$A:$T,20,FALSE)),"")</f>
        <v>Si</v>
      </c>
      <c r="U2297" s="11" t="str">
        <f>IFERROR(IF(VLOOKUP(A2297,[14]PRIORIZADOS!$A:$U,21,FALSE)="","",VLOOKUP(A2297,[14]PRIORIZADOS!$A:$U,21,FALSE)),"")</f>
        <v>Enviar informe con registro fotograficos de los espacios en óptimas condicidones.</v>
      </c>
    </row>
    <row r="2298" spans="1:21" s="1" customFormat="1" ht="48">
      <c r="A2298" s="69">
        <f>IF([14]PRIORIZADOS!A345="","",[14]PRIORIZADOS!A345)</f>
        <v>2266</v>
      </c>
      <c r="B2298" s="70">
        <f>IFERROR(IF(VLOOKUP(A2298,[14]PRIORIZADOS!$A:$B,2,FALSE)="","",VLOOKUP(A2298,[14]PRIORIZADOS!$A:$B,2,FALSE)),"")</f>
        <v>38</v>
      </c>
      <c r="C2298" s="11" t="s">
        <v>424</v>
      </c>
      <c r="D2298" s="11" t="str">
        <f>IFERROR(IF(VLOOKUP(A2298,[14]PRIORIZADOS!$A:$D,4,FALSE)="","",VLOOKUP(A2298,[14]PRIORIZADOS!$A:$D,4,FALSE)),"")</f>
        <v>PRIVADO</v>
      </c>
      <c r="E2298" s="11" t="str">
        <f>IFERROR(IF(VLOOKUP(A2298,[14]PRIORIZADOS!$A:$E,5,FALSE)="","",VLOOKUP(A2298,[14]PRIORIZADOS!$A:$E,5,FALSE)),"")</f>
        <v>EPBM</v>
      </c>
      <c r="F2298" s="11" t="str">
        <f>IFERROR(IF(VLOOKUP(A2298,[14]PRIORIZADOS!$A:$F,6,FALSE)="","",VLOOKUP(A2298,[14]PRIORIZADOS!$A:$F,6,FALSE)),"")</f>
        <v>COLEGIO_MILITAR_ANTONIO_NARIÑO</v>
      </c>
      <c r="G2298" s="11" t="str">
        <f>IFERROR(IF(VLOOKUP(A2298,[14]PRIORIZADOS!$A:$G,7,FALSE)="","",VLOOKUP(A2298,[14]PRIORIZADOS!$A:$G,7,FALSE)),"")</f>
        <v>COLEGIO MILITAR ANTONIO NARIÑO</v>
      </c>
      <c r="H2298" s="11" t="str">
        <f>IFERROR(IF(VLOOKUP(A2298,[14]PRIORIZADOS!$A:$H,8,FALSE)="","",VLOOKUP(A2298,[14]PRIORIZADOS!$A:$H,8,FALSE)),"")</f>
        <v>Autoevaluación Institucional y Pruebas SABER 11</v>
      </c>
      <c r="I2298" s="11" t="str">
        <f>IFERROR(IF(VLOOKUP(A2298,[14]PRIORIZADOS!$A:$I,9,FALSE)="","",VLOOKUP(A2298,[14]PRIORIZADOS!$A:$I,9,FALSE)),"")</f>
        <v>SEGUIMIENTO_Y_SUPERVISIÓN.</v>
      </c>
      <c r="J2298" s="11" t="str">
        <f>IFERROR(IF(VLOOKUP(A2298,[14]PRIORIZADOS!$A:$J,10,FALSE)="","",VLOOKUP(A2298,[14]PRIORIZADOS!$A:$J,10,FALSE)),"")</f>
        <v>Realizar visitas para verificar la información registrada sobre la autoevaluación institucional en el aplicativo EVI, a los establecimientos de educación formal no oficial.</v>
      </c>
      <c r="K2298" s="11" t="str">
        <f>IFERROR(IF(VLOOKUP(A2298,[14]PRIORIZADOS!$A:$K,11,FALSE)="","",VLOOKUP(A2298,[14]PRIORIZADOS!$A:$K,11,FALSE)),"")</f>
        <v>JENNIFFER ESPERANZA GONZÁLEZ GÓMEZ</v>
      </c>
      <c r="L2298" s="11" t="str">
        <f>IFERROR(IF(VLOOKUP(A2298,[14]PRIORIZADOS!$A:$L,12,FALSE)="","",VLOOKUP(A2298,[14]PRIORIZADOS!$A:$L,12,FALSE)),"")</f>
        <v>SONIA YAMILE ARTEAGA MELO</v>
      </c>
      <c r="M2298" s="71">
        <f>IFERROR(IF(VLOOKUP(A2298,[14]PRIORIZADOS!$A:$M,13,FALSE)="","",VLOOKUP(A2298,[14]PRIORIZADOS!$A:$M,13,FALSE)),"")</f>
        <v>45923</v>
      </c>
      <c r="N2298" s="71">
        <f>IFERROR(IF(VLOOKUP(A2298,[14]PRIORIZADOS!$A:$N,14,FALSE)="","",VLOOKUP(A2298,[14]PRIORIZADOS!$A:$N,14,FALSE)),"")</f>
        <v>45890</v>
      </c>
      <c r="O2298" s="71">
        <f>IFERROR(IF(VLOOKUP(A2298,[14]PRIORIZADOS!$A:$O,15,FALSE)="","",VLOOKUP(A2298,[14]PRIORIZADOS!$A:$O,15,FALSE)),"")</f>
        <v>45890</v>
      </c>
      <c r="P2298" s="11" t="str">
        <f>IFERROR(IF(VLOOKUP(A2298,[14]PRIORIZADOS!$A:$P,16,FALSE)="","",VLOOKUP(A2298,[14]PRIORIZADOS!$A:$P,16,FALSE)),"")</f>
        <v>Visitas de evaluación con fines de seguimiento</v>
      </c>
      <c r="Q2298" s="250" t="s">
        <v>462</v>
      </c>
      <c r="R2298" s="11" t="str">
        <f>IFERROR(IF(VLOOKUP(A2298,[14]PRIORIZADOS!$A:$R,18,FALSE)="","",VLOOKUP(A2298,[14]PRIORIZADOS!$A:$R,18,FALSE)),"")</f>
        <v>Se evidencio que la instittución respondio el EVI con cifras que corresponden a la realidad en cuanto a las baterias de baño y espacio de biblioteca.</v>
      </c>
      <c r="S2298" s="11" t="str">
        <f>IFERROR(IF(VLOOKUP(A2298,[14]PRIORIZADOS!$A:$S,19,FALSE)="","",VLOOKUP(A2298,[14]PRIORIZADOS!$A:$S,19,FALSE)),"")</f>
        <v>los espacios requieren mejora en cuanto a limpieza, de igual forma no estan alineados al proyecto educativo STEAM</v>
      </c>
      <c r="T2298" s="70" t="str">
        <f>IFERROR(IF(VLOOKUP(A2298,[14]PRIORIZADOS!$A:$T,20,FALSE)="","",VLOOKUP(A2298,[14]PRIORIZADOS!$A:$T,20,FALSE)),"")</f>
        <v>Si</v>
      </c>
      <c r="U2298" s="11" t="str">
        <f>IFERROR(IF(VLOOKUP(A2298,[14]PRIORIZADOS!$A:$U,21,FALSE)="","",VLOOKUP(A2298,[14]PRIORIZADOS!$A:$U,21,FALSE)),"")</f>
        <v>Verificar el diligenciamiento y publicación de documentos en el aplicativo EVI para la vigencia 2026.</v>
      </c>
    </row>
    <row r="2299" spans="1:21" s="1" customFormat="1" ht="72">
      <c r="A2299" s="69">
        <f>IF([14]PRIORIZADOS!A346="","",[14]PRIORIZADOS!A346)</f>
        <v>2267</v>
      </c>
      <c r="B2299" s="70">
        <f>IFERROR(IF(VLOOKUP(A2299,[14]PRIORIZADOS!$A:$B,2,FALSE)="","",VLOOKUP(A2299,[14]PRIORIZADOS!$A:$B,2,FALSE)),"")</f>
        <v>38</v>
      </c>
      <c r="C2299" s="11" t="s">
        <v>424</v>
      </c>
      <c r="D2299" s="11" t="str">
        <f>IFERROR(IF(VLOOKUP(A2299,[14]PRIORIZADOS!$A:$D,4,FALSE)="","",VLOOKUP(A2299,[14]PRIORIZADOS!$A:$D,4,FALSE)),"")</f>
        <v>PRIVADO</v>
      </c>
      <c r="E2299" s="11" t="str">
        <f>IFERROR(IF(VLOOKUP(A2299,[14]PRIORIZADOS!$A:$E,5,FALSE)="","",VLOOKUP(A2299,[14]PRIORIZADOS!$A:$E,5,FALSE)),"")</f>
        <v>EPBM</v>
      </c>
      <c r="F2299" s="11" t="str">
        <f>IFERROR(IF(VLOOKUP(A2299,[14]PRIORIZADOS!$A:$F,6,FALSE)="","",VLOOKUP(A2299,[14]PRIORIZADOS!$A:$F,6,FALSE)),"")</f>
        <v>COLEGIO_MILITAR_ANTONIO_NARIÑO</v>
      </c>
      <c r="G2299" s="11" t="str">
        <f>IFERROR(IF(VLOOKUP(A2299,[14]PRIORIZADOS!$A:$G,7,FALSE)="","",VLOOKUP(A2299,[14]PRIORIZADOS!$A:$G,7,FALSE)),"")</f>
        <v>COLEGIO MILITAR ANTONIO NARIÑO</v>
      </c>
      <c r="H2299" s="11" t="str">
        <f>IFERROR(IF(VLOOKUP(A2299,[14]PRIORIZADOS!$A:$H,8,FALSE)="","",VLOOKUP(A2299,[14]PRIORIZADOS!$A:$H,8,FALSE)),"")</f>
        <v>Autoevaluación Institucional y Pruebas SABER 11</v>
      </c>
      <c r="I2299" s="11" t="str">
        <f>IFERROR(IF(VLOOKUP(A2299,[14]PRIORIZADOS!$A:$I,9,FALSE)="","",VLOOKUP(A2299,[14]PRIORIZADOS!$A:$I,9,FALSE)),"")</f>
        <v>SEGUIMIENTO_Y_SUPERVISIÓN.</v>
      </c>
      <c r="J2299" s="11" t="str">
        <f>IFERROR(IF(VLOOKUP(A2299,[14]PRIORIZADOS!$A:$J,10,FALSE)="","",VLOOKUP(A2299,[14]PRIORIZADOS!$A:$J,10,FALSE)),"")</f>
        <v>Proponer estrategias en la formulación, verificar su elaboración y realizar seguimiento semestral al desarrollo de  las acciones establecidas en los planes de mejoramiento por pruebas SABER 11 de los establecimientos de educación formal.</v>
      </c>
      <c r="K2299" s="11" t="str">
        <f>IFERROR(IF(VLOOKUP(A2299,[14]PRIORIZADOS!$A:$K,11,FALSE)="","",VLOOKUP(A2299,[14]PRIORIZADOS!$A:$K,11,FALSE)),"")</f>
        <v>JENNIFFER ESPERANZA GONZÁLEZ GÓMEZ</v>
      </c>
      <c r="L2299" s="11" t="str">
        <f>IFERROR(IF(VLOOKUP(A2299,[14]PRIORIZADOS!$A:$L,12,FALSE)="","",VLOOKUP(A2299,[14]PRIORIZADOS!$A:$L,12,FALSE)),"")</f>
        <v>SONIA YAMILE ARTEAGA MELO</v>
      </c>
      <c r="M2299" s="71">
        <f>IFERROR(IF(VLOOKUP(A2299,[14]PRIORIZADOS!$A:$M,13,FALSE)="","",VLOOKUP(A2299,[14]PRIORIZADOS!$A:$M,13,FALSE)),"")</f>
        <v>45923</v>
      </c>
      <c r="N2299" s="71">
        <f>IFERROR(IF(VLOOKUP(A2299,[14]PRIORIZADOS!$A:$N,14,FALSE)="","",VLOOKUP(A2299,[14]PRIORIZADOS!$A:$N,14,FALSE)),"")</f>
        <v>45890</v>
      </c>
      <c r="O2299" s="71">
        <f>IFERROR(IF(VLOOKUP(A2299,[14]PRIORIZADOS!$A:$O,15,FALSE)="","",VLOOKUP(A2299,[14]PRIORIZADOS!$A:$O,15,FALSE)),"")</f>
        <v>45890</v>
      </c>
      <c r="P2299" s="11" t="str">
        <f>IFERROR(IF(VLOOKUP(A2299,[14]PRIORIZADOS!$A:$P,16,FALSE)="","",VLOOKUP(A2299,[14]PRIORIZADOS!$A:$P,16,FALSE)),"")</f>
        <v>Visitas de evaluación con fines de seguimiento</v>
      </c>
      <c r="Q2299" s="249" t="s">
        <v>462</v>
      </c>
      <c r="R2299" s="11" t="str">
        <f>IFERROR(IF(VLOOKUP(A2299,[14]PRIORIZADOS!$A:$R,18,FALSE)="","",VLOOKUP(A2299,[14]PRIORIZADOS!$A:$R,18,FALSE)),"")</f>
        <v>Se verificó el bajo resultado en las  Pruebas saber y la retroaliemntación realizada por los docentesa cerca de la evaluación de las  causales, asignaturas con más bajo resultado  y acciones de mejora.</v>
      </c>
      <c r="S2299" s="11" t="str">
        <f>IFERROR(IF(VLOOKUP(A2299,[14]PRIORIZADOS!$A:$S,19,FALSE)="","",VLOOKUP(A2299,[14]PRIORIZADOS!$A:$S,19,FALSE)),"")</f>
        <v>Revisar los resultados y la relación con las asignaturas del plan de estudio. Elaborar plan de mejoramiento sobre todos los indicadores y remitirlo a la DEL antes del 20 de septiembre</v>
      </c>
      <c r="T2299" s="70" t="str">
        <f>IFERROR(IF(VLOOKUP(A2299,[14]PRIORIZADOS!$A:$T,20,FALSE)="","",VLOOKUP(A2299,[14]PRIORIZADOS!$A:$T,20,FALSE)),"")</f>
        <v>Si</v>
      </c>
      <c r="U2299" s="11" t="str">
        <f>IFERROR(IF(VLOOKUP(A2299,[14]PRIORIZADOS!$A:$U,21,FALSE)="","",VLOOKUP(A2299,[14]PRIORIZADOS!$A:$U,21,FALSE)),"")</f>
        <v>Verificar los resultados y las acciones en las asignaturas que presentan puntajes más bajos en la próxima calificación de las pruebas</v>
      </c>
    </row>
    <row r="2300" spans="1:21" s="1" customFormat="1" ht="60">
      <c r="A2300" s="69">
        <f>IF([14]PRIORIZADOS!A347="","",[14]PRIORIZADOS!A347)</f>
        <v>2268</v>
      </c>
      <c r="B2300" s="70">
        <f>IFERROR(IF(VLOOKUP(A2300,[14]PRIORIZADOS!$A:$B,2,FALSE)="","",VLOOKUP(A2300,[14]PRIORIZADOS!$A:$B,2,FALSE)),"")</f>
        <v>38</v>
      </c>
      <c r="C2300" s="11" t="s">
        <v>424</v>
      </c>
      <c r="D2300" s="11" t="str">
        <f>IFERROR(IF(VLOOKUP(A2300,[14]PRIORIZADOS!$A:$D,4,FALSE)="","",VLOOKUP(A2300,[14]PRIORIZADOS!$A:$D,4,FALSE)),"")</f>
        <v>PRIVADO</v>
      </c>
      <c r="E2300" s="11" t="str">
        <f>IFERROR(IF(VLOOKUP(A2300,[14]PRIORIZADOS!$A:$E,5,FALSE)="","",VLOOKUP(A2300,[14]PRIORIZADOS!$A:$E,5,FALSE)),"")</f>
        <v>EPBM</v>
      </c>
      <c r="F2300" s="11" t="str">
        <f>IFERROR(IF(VLOOKUP(A2300,[14]PRIORIZADOS!$A:$F,6,FALSE)="","",VLOOKUP(A2300,[14]PRIORIZADOS!$A:$F,6,FALSE)),"")</f>
        <v>COLEGIO_MILITAR_ANTONIO_NARIÑO</v>
      </c>
      <c r="G2300" s="11" t="str">
        <f>IFERROR(IF(VLOOKUP(A2300,[14]PRIORIZADOS!$A:$G,7,FALSE)="","",VLOOKUP(A2300,[14]PRIORIZADOS!$A:$G,7,FALSE)),"")</f>
        <v>COLEGIO MILITAR ANTONIO NARIÑO</v>
      </c>
      <c r="H2300" s="11" t="str">
        <f>IFERROR(IF(VLOOKUP(A2300,[14]PRIORIZADOS!$A:$H,8,FALSE)="","",VLOOKUP(A2300,[14]PRIORIZADOS!$A:$H,8,FALSE)),"")</f>
        <v>Autoevaluación Institucional y Pruebas SABER 11</v>
      </c>
      <c r="I2300" s="11" t="str">
        <f>IFERROR(IF(VLOOKUP(A2300,[14]PRIORIZADOS!$A:$I,9,FALSE)="","",VLOOKUP(A2300,[14]PRIORIZADOS!$A:$I,9,FALSE)),"")</f>
        <v>SEGUIMIENTO_Y_SUPERVISIÓN.</v>
      </c>
      <c r="J2300" s="11" t="str">
        <f>IFERROR(IF(VLOOKUP(A2300,[14]PRIORIZADOS!$A:$J,10,FALSE)="","",VLOOKUP(A2300,[14]PRIORIZADOS!$A:$J,10,FALSE)),"")</f>
        <v xml:space="preserve">Verificar la implementación por parte de los colegios, de acciones realizadas para la prevención y atención de las situaciones de convivencia en el entorno escolar, según lo establecido en la Directiva 01 de 2022 del MEN. </v>
      </c>
      <c r="K2300" s="11" t="str">
        <f>IFERROR(IF(VLOOKUP(A2300,[14]PRIORIZADOS!$A:$K,11,FALSE)="","",VLOOKUP(A2300,[14]PRIORIZADOS!$A:$K,11,FALSE)),"")</f>
        <v>JENNIFFER ESPERANZA GONZÁLEZ GÓMEZ</v>
      </c>
      <c r="L2300" s="11" t="str">
        <f>IFERROR(IF(VLOOKUP(A2300,[14]PRIORIZADOS!$A:$L,12,FALSE)="","",VLOOKUP(A2300,[14]PRIORIZADOS!$A:$L,12,FALSE)),"")</f>
        <v>SONIA YAMILE ARTEAGA MELO</v>
      </c>
      <c r="M2300" s="71">
        <f>IFERROR(IF(VLOOKUP(A2300,[14]PRIORIZADOS!$A:$M,13,FALSE)="","",VLOOKUP(A2300,[14]PRIORIZADOS!$A:$M,13,FALSE)),"")</f>
        <v>45923</v>
      </c>
      <c r="N2300" s="71">
        <f>IFERROR(IF(VLOOKUP(A2300,[14]PRIORIZADOS!$A:$N,14,FALSE)="","",VLOOKUP(A2300,[14]PRIORIZADOS!$A:$N,14,FALSE)),"")</f>
        <v>45890</v>
      </c>
      <c r="O2300" s="71">
        <f>IFERROR(IF(VLOOKUP(A2300,[14]PRIORIZADOS!$A:$O,15,FALSE)="","",VLOOKUP(A2300,[14]PRIORIZADOS!$A:$O,15,FALSE)),"")</f>
        <v>45890</v>
      </c>
      <c r="P2300" s="11" t="str">
        <f>IFERROR(IF(VLOOKUP(A2300,[14]PRIORIZADOS!$A:$P,16,FALSE)="","",VLOOKUP(A2300,[14]PRIORIZADOS!$A:$P,16,FALSE)),"")</f>
        <v>Visitas de evaluación con fines de seguimiento</v>
      </c>
      <c r="Q2300" s="30" t="s">
        <v>462</v>
      </c>
      <c r="R2300" s="11" t="str">
        <f>IFERROR(IF(VLOOKUP(A2300,[14]PRIORIZADOS!$A:$R,18,FALSE)="","",VLOOKUP(A2300,[14]PRIORIZADOS!$A:$R,18,FALSE)),"")</f>
        <v xml:space="preserve"> se verifica proceso sobre las consulta en la página de la policia de los antecedentes de los docentes de conformidad a la directiva  001 del 2022, no han realizado la consulta esta vigencia</v>
      </c>
      <c r="S2300" s="11" t="str">
        <f>IFERROR(IF(VLOOKUP(A2300,[14]PRIORIZADOS!$A:$S,19,FALSE)="","",VLOOKUP(A2300,[14]PRIORIZADOS!$A:$S,19,FALSE)),"")</f>
        <v xml:space="preserve">Realizar con las consultas en la pagina de antecedentes sexuales. Solicitar </v>
      </c>
      <c r="T2300" s="70" t="str">
        <f>IFERROR(IF(VLOOKUP(A2300,[14]PRIORIZADOS!$A:$T,20,FALSE)="","",VLOOKUP(A2300,[14]PRIORIZADOS!$A:$T,20,FALSE)),"")</f>
        <v>Si</v>
      </c>
      <c r="U2300" s="11" t="str">
        <f>IFERROR(IF(VLOOKUP(A2300,[14]PRIORIZADOS!$A:$U,21,FALSE)="","",VLOOKUP(A2300,[14]PRIORIZADOS!$A:$U,21,FALSE)),"")</f>
        <v>Verificar las modificaciones en manual de convivencia respecto a los protocolos de atención revisión que se llevará a cabo con fecha limite 20 de septiembre</v>
      </c>
    </row>
    <row r="2301" spans="1:21" s="1" customFormat="1" ht="130.5">
      <c r="A2301" s="69">
        <f>IF([14]PRIORIZADOS!A348="","",[14]PRIORIZADOS!A348)</f>
        <v>2269</v>
      </c>
      <c r="B2301" s="70">
        <f>IFERROR(IF(VLOOKUP(A2301,[14]PRIORIZADOS!$A:$B,2,FALSE)="","",VLOOKUP(A2301,[14]PRIORIZADOS!$A:$B,2,FALSE)),"")</f>
        <v>38</v>
      </c>
      <c r="C2301" s="11" t="s">
        <v>424</v>
      </c>
      <c r="D2301" s="11" t="str">
        <f>IFERROR(IF(VLOOKUP(A2301,[14]PRIORIZADOS!$A:$D,4,FALSE)="","",VLOOKUP(A2301,[14]PRIORIZADOS!$A:$D,4,FALSE)),"")</f>
        <v>PRIVADO</v>
      </c>
      <c r="E2301" s="11" t="str">
        <f>IFERROR(IF(VLOOKUP(A2301,[14]PRIORIZADOS!$A:$E,5,FALSE)="","",VLOOKUP(A2301,[14]PRIORIZADOS!$A:$E,5,FALSE)),"")</f>
        <v>EPBM</v>
      </c>
      <c r="F2301" s="11" t="str">
        <f>IFERROR(IF(VLOOKUP(A2301,[14]PRIORIZADOS!$A:$F,6,FALSE)="","",VLOOKUP(A2301,[14]PRIORIZADOS!$A:$F,6,FALSE)),"")</f>
        <v>COLEGIO_MILITAR_ANTONIO_NARIÑO</v>
      </c>
      <c r="G2301" s="11" t="str">
        <f>IFERROR(IF(VLOOKUP(A2301,[14]PRIORIZADOS!$A:$G,7,FALSE)="","",VLOOKUP(A2301,[14]PRIORIZADOS!$A:$G,7,FALSE)),"")</f>
        <v>COLEGIO MILITAR ANTONIO NARIÑO</v>
      </c>
      <c r="H2301" s="11" t="str">
        <f>IFERROR(IF(VLOOKUP(A2301,[14]PRIORIZADOS!$A:$H,8,FALSE)="","",VLOOKUP(A2301,[14]PRIORIZADOS!$A:$H,8,FALSE)),"")</f>
        <v>Autoevaluación Institucional y Pruebas SABER 11</v>
      </c>
      <c r="I2301" s="11" t="str">
        <f>IFERROR(IF(VLOOKUP(A2301,[14]PRIORIZADOS!$A:$I,9,FALSE)="","",VLOOKUP(A2301,[14]PRIORIZADOS!$A:$I,9,FALSE)),"")</f>
        <v>SEGUIMIENTO_Y_SUPERVISIÓN.</v>
      </c>
      <c r="J2301" s="11" t="str">
        <f>IFERROR(IF(VLOOKUP(A2301,[14]PRIORIZADOS!$A:$J,10,FALSE)="","",VLOOKUP(A2301,[14]PRIORIZADOS!$A:$J,10,FALSE)),"")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01" s="11" t="str">
        <f>IFERROR(IF(VLOOKUP(A2301,[14]PRIORIZADOS!$A:$K,11,FALSE)="","",VLOOKUP(A2301,[14]PRIORIZADOS!$A:$K,11,FALSE)),"")</f>
        <v>JENNIFFER ESPERANZA GONZÁLEZ GÓMEZ</v>
      </c>
      <c r="L2301" s="11" t="str">
        <f>IFERROR(IF(VLOOKUP(A2301,[14]PRIORIZADOS!$A:$L,12,FALSE)="","",VLOOKUP(A2301,[14]PRIORIZADOS!$A:$L,12,FALSE)),"")</f>
        <v>SONIA YAMILE ARTEAGA MELO</v>
      </c>
      <c r="M2301" s="71">
        <f>IFERROR(IF(VLOOKUP(A2301,[14]PRIORIZADOS!$A:$M,13,FALSE)="","",VLOOKUP(A2301,[14]PRIORIZADOS!$A:$M,13,FALSE)),"")</f>
        <v>45923</v>
      </c>
      <c r="N2301" s="71">
        <f>IFERROR(IF(VLOOKUP(A2301,[14]PRIORIZADOS!$A:$N,14,FALSE)="","",VLOOKUP(A2301,[14]PRIORIZADOS!$A:$N,14,FALSE)),"")</f>
        <v>45890</v>
      </c>
      <c r="O2301" s="71">
        <f>IFERROR(IF(VLOOKUP(A2301,[14]PRIORIZADOS!$A:$O,15,FALSE)="","",VLOOKUP(A2301,[14]PRIORIZADOS!$A:$O,15,FALSE)),"")</f>
        <v>45890</v>
      </c>
      <c r="P2301" s="11" t="str">
        <f>IFERROR(IF(VLOOKUP(A2301,[14]PRIORIZADOS!$A:$P,16,FALSE)="","",VLOOKUP(A2301,[14]PRIORIZADOS!$A:$P,16,FALSE)),"")</f>
        <v>Visitas de evaluación con fines de seguimiento</v>
      </c>
      <c r="Q2301" s="250" t="s">
        <v>462</v>
      </c>
      <c r="R2301" s="11" t="str">
        <f>IFERROR(IF(VLOOKUP(A2301,[14]PRIORIZADOS!$A:$R,18,FALSE)="","",VLOOKUP(A2301,[14]PRIORIZADOS!$A:$R,18,FALSE)),"")</f>
        <v>Se evidenció en el SIMAT que el colegio ntiene un estiudiante con marcacion, sin embargo maniiestan no tener  estudiantes matriculados en condición de discapacidad; no llevan carpetas con los PIAR de los estudiantes</v>
      </c>
      <c r="S2301" s="11" t="str">
        <f>IFERROR(IF(VLOOKUP(A2301,[14]PRIORIZADOS!$A:$S,19,FALSE)="","",VLOOKUP(A2301,[14]PRIORIZADOS!$A:$S,19,FALSE)),"")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 PMI a la DLE antes del 20 de septiembre</v>
      </c>
      <c r="T2301" s="70" t="str">
        <f>IFERROR(IF(VLOOKUP(A2301,[14]PRIORIZADOS!$A:$T,20,FALSE)="","",VLOOKUP(A2301,[14]PRIORIZADOS!$A:$T,20,FALSE)),"")</f>
        <v>Si</v>
      </c>
      <c r="U2301" s="11" t="str">
        <f>IFERROR(IF(VLOOKUP(A2301,[14]PRIORIZADOS!$A:$U,21,FALSE)="","",VLOOKUP(A2301,[14]PRIORIZADOS!$A:$U,21,FALSE)),"")</f>
        <v>Verificar las modificaciones en manual de convivencia respecto a la poblacion con discapacidad.con fecha límite el 20 de septiembre</v>
      </c>
    </row>
    <row r="2302" spans="1:21" s="1" customFormat="1" ht="84">
      <c r="A2302" s="69">
        <f>IF([14]PRIORIZADOS!A349="","",[14]PRIORIZADOS!A349)</f>
        <v>2270</v>
      </c>
      <c r="B2302" s="70">
        <f>IFERROR(IF(VLOOKUP(A2302,[14]PRIORIZADOS!$A:$B,2,FALSE)="","",VLOOKUP(A2302,[14]PRIORIZADOS!$A:$B,2,FALSE)),"")</f>
        <v>38</v>
      </c>
      <c r="C2302" s="11" t="s">
        <v>424</v>
      </c>
      <c r="D2302" s="11" t="str">
        <f>IFERROR(IF(VLOOKUP(A2302,[14]PRIORIZADOS!$A:$D,4,FALSE)="","",VLOOKUP(A2302,[14]PRIORIZADOS!$A:$D,4,FALSE)),"")</f>
        <v>PRIVADO</v>
      </c>
      <c r="E2302" s="11" t="str">
        <f>IFERROR(IF(VLOOKUP(A2302,[14]PRIORIZADOS!$A:$E,5,FALSE)="","",VLOOKUP(A2302,[14]PRIORIZADOS!$A:$E,5,FALSE)),"")</f>
        <v>EPBM</v>
      </c>
      <c r="F2302" s="11" t="str">
        <f>IFERROR(IF(VLOOKUP(A2302,[14]PRIORIZADOS!$A:$F,6,FALSE)="","",VLOOKUP(A2302,[14]PRIORIZADOS!$A:$F,6,FALSE)),"")</f>
        <v>COLEGIO_MILITAR_ANTONIO_NARIÑO</v>
      </c>
      <c r="G2302" s="11" t="str">
        <f>IFERROR(IF(VLOOKUP(A2302,[14]PRIORIZADOS!$A:$G,7,FALSE)="","",VLOOKUP(A2302,[14]PRIORIZADOS!$A:$G,7,FALSE)),"")</f>
        <v>COLEGIO MILITAR ANTONIO NARIÑO</v>
      </c>
      <c r="H2302" s="11" t="str">
        <f>IFERROR(IF(VLOOKUP(A2302,[14]PRIORIZADOS!$A:$H,8,FALSE)="","",VLOOKUP(A2302,[14]PRIORIZADOS!$A:$H,8,FALSE)),"")</f>
        <v>Autoevaluación Institucional y Pruebas SABER 11</v>
      </c>
      <c r="I2302" s="11" t="str">
        <f>IFERROR(IF(VLOOKUP(A2302,[14]PRIORIZADOS!$A:$I,9,FALSE)="","",VLOOKUP(A2302,[14]PRIORIZADOS!$A:$I,9,FALSE)),"")</f>
        <v>EVALUACIÓN_CON_FINES_DE_MEJORAMIENTO.</v>
      </c>
      <c r="J2302" s="11" t="str">
        <f>IFERROR(IF(VLOOKUP(A2302,[14]PRIORIZADOS!$A:$J,10,FALSE)="","",VLOOKUP(A2302,[14]PRIORIZADOS!$A:$J,10,FALSE)),"")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02" s="11" t="str">
        <f>IFERROR(IF(VLOOKUP(A2302,[14]PRIORIZADOS!$A:$K,11,FALSE)="","",VLOOKUP(A2302,[14]PRIORIZADOS!$A:$K,11,FALSE)),"")</f>
        <v>JENNIFFER ESPERANZA GONZÁLEZ GÓMEZ</v>
      </c>
      <c r="L2302" s="11" t="str">
        <f>IFERROR(IF(VLOOKUP(A2302,[14]PRIORIZADOS!$A:$L,12,FALSE)="","",VLOOKUP(A2302,[14]PRIORIZADOS!$A:$L,12,FALSE)),"")</f>
        <v>SONIA YAMILE ARTEAGA MELO</v>
      </c>
      <c r="M2302" s="71">
        <f>IFERROR(IF(VLOOKUP(A2302,[14]PRIORIZADOS!$A:$M,13,FALSE)="","",VLOOKUP(A2302,[14]PRIORIZADOS!$A:$M,13,FALSE)),"")</f>
        <v>45923</v>
      </c>
      <c r="N2302" s="71">
        <f>IFERROR(IF(VLOOKUP(A2302,[14]PRIORIZADOS!$A:$N,14,FALSE)="","",VLOOKUP(A2302,[14]PRIORIZADOS!$A:$N,14,FALSE)),"")</f>
        <v>45890</v>
      </c>
      <c r="O2302" s="71">
        <f>IFERROR(IF(VLOOKUP(A2302,[14]PRIORIZADOS!$A:$O,15,FALSE)="","",VLOOKUP(A2302,[14]PRIORIZADOS!$A:$O,15,FALSE)),"")</f>
        <v>45890</v>
      </c>
      <c r="P2302" s="11" t="str">
        <f>IFERROR(IF(VLOOKUP(A2302,[14]PRIORIZADOS!$A:$P,16,FALSE)="","",VLOOKUP(A2302,[14]PRIORIZADOS!$A:$P,16,FALSE)),"")</f>
        <v>Visitas de evaluación con fines de mejoramiento</v>
      </c>
      <c r="Q2302" s="250" t="s">
        <v>462</v>
      </c>
      <c r="R2302" s="11" t="str">
        <f>IFERROR(IF(VLOOKUP(A2302,[14]PRIORIZADOS!$A:$R,18,FALSE)="","",VLOOKUP(A2302,[14]PRIORIZADOS!$A:$R,18,FALSE)),"")</f>
        <v>Se encontro que al revisar el manual de convivencia , con la última actualización, falta añadir algunas normas en el marco jurídico, falta desarrollar lo que tiene que ver con protocolos de atencion, debido proceso, entre otros.</v>
      </c>
      <c r="S2302" s="11" t="str">
        <f>IFERROR(IF(VLOOKUP(A2302,[14]PRIORIZADOS!$A:$S,19,FALSE)="","",VLOOKUP(A2302,[14]PRIORIZADOS!$A:$S,19,FALSE)),"")</f>
        <v>Elaborar plan de mejoramiento sobre todos los indicadores y DEL antes del 20 DE SEPTIEMBRE</v>
      </c>
      <c r="T2302" s="70" t="str">
        <f>IFERROR(IF(VLOOKUP(A2302,[14]PRIORIZADOS!$A:$T,20,FALSE)="","",VLOOKUP(A2302,[14]PRIORIZADOS!$A:$T,20,FALSE)),"")</f>
        <v>Si</v>
      </c>
      <c r="U2302" s="11" t="str">
        <f>IFERROR(IF(VLOOKUP(A2302,[14]PRIORIZADOS!$A:$U,21,FALSE)="","",VLOOKUP(A2302,[14]PRIORIZADOS!$A:$U,21,FALSE)),"")</f>
        <v>Revisar la actualización del manual de convivencia ccon fecha límite el 20 de septiembre</v>
      </c>
    </row>
    <row r="2303" spans="1:21" s="1" customFormat="1" ht="60">
      <c r="A2303" s="69">
        <f>IF([14]PRIORIZADOS!A350="","",[14]PRIORIZADOS!A350)</f>
        <v>2271</v>
      </c>
      <c r="B2303" s="70">
        <f>IFERROR(IF(VLOOKUP(A2303,[14]PRIORIZADOS!$A:$B,2,FALSE)="","",VLOOKUP(A2303,[14]PRIORIZADOS!$A:$B,2,FALSE)),"")</f>
        <v>38</v>
      </c>
      <c r="C2303" s="11" t="s">
        <v>424</v>
      </c>
      <c r="D2303" s="11" t="str">
        <f>IFERROR(IF(VLOOKUP(A2303,[14]PRIORIZADOS!$A:$D,4,FALSE)="","",VLOOKUP(A2303,[14]PRIORIZADOS!$A:$D,4,FALSE)),"")</f>
        <v>PRIVADO</v>
      </c>
      <c r="E2303" s="11" t="str">
        <f>IFERROR(IF(VLOOKUP(A2303,[14]PRIORIZADOS!$A:$E,5,FALSE)="","",VLOOKUP(A2303,[14]PRIORIZADOS!$A:$E,5,FALSE)),"")</f>
        <v>EPBM</v>
      </c>
      <c r="F2303" s="11" t="str">
        <f>IFERROR(IF(VLOOKUP(A2303,[14]PRIORIZADOS!$A:$F,6,FALSE)="","",VLOOKUP(A2303,[14]PRIORIZADOS!$A:$F,6,FALSE)),"")</f>
        <v>COLEGIO_MILITAR_ANTONIO_NARIÑO</v>
      </c>
      <c r="G2303" s="11" t="str">
        <f>IFERROR(IF(VLOOKUP(A2303,[14]PRIORIZADOS!$A:$G,7,FALSE)="","",VLOOKUP(A2303,[14]PRIORIZADOS!$A:$G,7,FALSE)),"")</f>
        <v>COLEGIO MILITAR ANTONIO NARIÑO</v>
      </c>
      <c r="H2303" s="11" t="str">
        <f>IFERROR(IF(VLOOKUP(A2303,[14]PRIORIZADOS!$A:$H,8,FALSE)="","",VLOOKUP(A2303,[14]PRIORIZADOS!$A:$H,8,FALSE)),"")</f>
        <v>Autoevaluación Institucional y Pruebas SABER 11</v>
      </c>
      <c r="I2303" s="11" t="str">
        <f>IFERROR(IF(VLOOKUP(A2303,[14]PRIORIZADOS!$A:$I,9,FALSE)="","",VLOOKUP(A2303,[14]PRIORIZADOS!$A:$I,9,FALSE)),"")</f>
        <v>EVALUACIÓN_CON_FINES_DE_MEJORAMIENTO.</v>
      </c>
      <c r="J2303" s="11" t="str">
        <f>IFERROR(IF(VLOOKUP(A2303,[14]PRIORIZADOS!$A:$J,10,FALSE)="","",VLOOKUP(A2303,[14]PRIORIZADOS!$A:$J,10,FALSE)),"")</f>
        <v>Revisar la actualización, socialización e implementación del Sistema Institucional de Evaluación de Estudiantes - SIEE, en articulación con la actualización del PEI y la normatividad vigente.</v>
      </c>
      <c r="K2303" s="11" t="str">
        <f>IFERROR(IF(VLOOKUP(A2303,[14]PRIORIZADOS!$A:$K,11,FALSE)="","",VLOOKUP(A2303,[14]PRIORIZADOS!$A:$K,11,FALSE)),"")</f>
        <v>JENNIFFER ESPERANZA GONZÁLEZ GÓMEZ</v>
      </c>
      <c r="L2303" s="11" t="str">
        <f>IFERROR(IF(VLOOKUP(A2303,[14]PRIORIZADOS!$A:$L,12,FALSE)="","",VLOOKUP(A2303,[14]PRIORIZADOS!$A:$L,12,FALSE)),"")</f>
        <v>SONIA YAMILE ARTEAGA MELO</v>
      </c>
      <c r="M2303" s="71">
        <f>IFERROR(IF(VLOOKUP(A2303,[14]PRIORIZADOS!$A:$M,13,FALSE)="","",VLOOKUP(A2303,[14]PRIORIZADOS!$A:$M,13,FALSE)),"")</f>
        <v>45923</v>
      </c>
      <c r="N2303" s="71">
        <f>IFERROR(IF(VLOOKUP(A2303,[14]PRIORIZADOS!$A:$N,14,FALSE)="","",VLOOKUP(A2303,[14]PRIORIZADOS!$A:$N,14,FALSE)),"")</f>
        <v>45890</v>
      </c>
      <c r="O2303" s="71">
        <f>IFERROR(IF(VLOOKUP(A2303,[14]PRIORIZADOS!$A:$O,15,FALSE)="","",VLOOKUP(A2303,[14]PRIORIZADOS!$A:$O,15,FALSE)),"")</f>
        <v>45890</v>
      </c>
      <c r="P2303" s="11" t="str">
        <f>IFERROR(IF(VLOOKUP(A2303,[14]PRIORIZADOS!$A:$P,16,FALSE)="","",VLOOKUP(A2303,[14]PRIORIZADOS!$A:$P,16,FALSE)),"")</f>
        <v>Visitas de evaluación con fines de mejoramiento</v>
      </c>
      <c r="Q2303" s="250" t="s">
        <v>462</v>
      </c>
      <c r="R2303" s="11" t="str">
        <f>IFERROR(IF(VLOOKUP(A2303,[14]PRIORIZADOS!$A:$R,18,FALSE)="","",VLOOKUP(A2303,[14]PRIORIZADOS!$A:$R,18,FALSE)),"")</f>
        <v>Se realizó retroalimentación sobre  el SIEE, el cual no está en consonancia con el PEI, se retroalimento sobre el funcionamiento de las comisiones de promoción.</v>
      </c>
      <c r="S2303" s="11" t="str">
        <f>IFERROR(IF(VLOOKUP(A2303,[14]PRIORIZADOS!$A:$S,19,FALSE)="","",VLOOKUP(A2303,[14]PRIORIZADOS!$A:$S,19,FALSE)),"")</f>
        <v>Realizar los ajustes de conformidad con las observaciones realizada mediante la programacion de su plan de mejoramiento en la visita DEL antes del 20 de septiembre</v>
      </c>
      <c r="T2303" s="70" t="str">
        <f>IFERROR(IF(VLOOKUP(A2303,[14]PRIORIZADOS!$A:$T,20,FALSE)="","",VLOOKUP(A2303,[14]PRIORIZADOS!$A:$T,20,FALSE)),"")</f>
        <v>Si</v>
      </c>
      <c r="U2303" s="11" t="str">
        <f>IFERROR(IF(VLOOKUP(A2303,[14]PRIORIZADOS!$A:$U,21,FALSE)="","",VLOOKUP(A2303,[14]PRIORIZADOS!$A:$U,21,FALSE)),"")</f>
        <v>Revisar la actualización del manual de convivencia en lo relacionado con el  SIIE con fecha límite el 20 de septiembre</v>
      </c>
    </row>
    <row r="2304" spans="1:21" s="1" customFormat="1" ht="48">
      <c r="A2304" s="69">
        <f>IF([14]PRIORIZADOS!A351="","",[14]PRIORIZADOS!A351)</f>
        <v>2272</v>
      </c>
      <c r="B2304" s="70">
        <f>IFERROR(IF(VLOOKUP(A2304,[14]PRIORIZADOS!$A:$B,2,FALSE)="","",VLOOKUP(A2304,[14]PRIORIZADOS!$A:$B,2,FALSE)),"")</f>
        <v>38</v>
      </c>
      <c r="C2304" s="11" t="s">
        <v>424</v>
      </c>
      <c r="D2304" s="11" t="str">
        <f>IFERROR(IF(VLOOKUP(A2304,[14]PRIORIZADOS!$A:$D,4,FALSE)="","",VLOOKUP(A2304,[14]PRIORIZADOS!$A:$D,4,FALSE)),"")</f>
        <v>PRIVADO</v>
      </c>
      <c r="E2304" s="11" t="str">
        <f>IFERROR(IF(VLOOKUP(A2304,[14]PRIORIZADOS!$A:$E,5,FALSE)="","",VLOOKUP(A2304,[14]PRIORIZADOS!$A:$E,5,FALSE)),"")</f>
        <v>EPBM</v>
      </c>
      <c r="F2304" s="11" t="str">
        <f>IFERROR(IF(VLOOKUP(A2304,[14]PRIORIZADOS!$A:$F,6,FALSE)="","",VLOOKUP(A2304,[14]PRIORIZADOS!$A:$F,6,FALSE)),"")</f>
        <v>COLEGIO_MILITAR_ANTONIO_NARIÑO</v>
      </c>
      <c r="G2304" s="11" t="str">
        <f>IFERROR(IF(VLOOKUP(A2304,[14]PRIORIZADOS!$A:$G,7,FALSE)="","",VLOOKUP(A2304,[14]PRIORIZADOS!$A:$G,7,FALSE)),"")</f>
        <v>COLEGIO MILITAR ANTONIO NARIÑO</v>
      </c>
      <c r="H2304" s="11" t="str">
        <f>IFERROR(IF(VLOOKUP(A2304,[14]PRIORIZADOS!$A:$H,8,FALSE)="","",VLOOKUP(A2304,[14]PRIORIZADOS!$A:$H,8,FALSE)),"")</f>
        <v>Autoevaluación Institucional y Pruebas SABER 11</v>
      </c>
      <c r="I2304" s="11" t="str">
        <f>IFERROR(IF(VLOOKUP(A2304,[14]PRIORIZADOS!$A:$I,9,FALSE)="","",VLOOKUP(A2304,[14]PRIORIZADOS!$A:$I,9,FALSE)),"")</f>
        <v>EVALUACIÓN_CON_FINES_DE_MEJORAMIENTO.</v>
      </c>
      <c r="J2304" s="11" t="str">
        <f>IFERROR(IF(VLOOKUP(A2304,[14]PRIORIZADOS!$A:$J,10,FALSE)="","",VLOOKUP(A2304,[14]PRIORIZADOS!$A:$J,10,FALSE)),"")</f>
        <v>Revisar el calendario escolar, jornada escolar, la intensidad horaria mínima anual en cada nivel y las modificaciones que se realicen al mismo, de acuerdo con lo previsto en la normatividad vigente.</v>
      </c>
      <c r="K2304" s="11" t="str">
        <f>IFERROR(IF(VLOOKUP(A2304,[14]PRIORIZADOS!$A:$K,11,FALSE)="","",VLOOKUP(A2304,[14]PRIORIZADOS!$A:$K,11,FALSE)),"")</f>
        <v>JENNIFFER ESPERANZA GONZÁLEZ GÓMEZ</v>
      </c>
      <c r="L2304" s="11" t="str">
        <f>IFERROR(IF(VLOOKUP(A2304,[14]PRIORIZADOS!$A:$L,12,FALSE)="","",VLOOKUP(A2304,[14]PRIORIZADOS!$A:$L,12,FALSE)),"")</f>
        <v>SONIA YAMILE ARTEAGA MELO</v>
      </c>
      <c r="M2304" s="71">
        <f>IFERROR(IF(VLOOKUP(A2304,[14]PRIORIZADOS!$A:$M,13,FALSE)="","",VLOOKUP(A2304,[14]PRIORIZADOS!$A:$M,13,FALSE)),"")</f>
        <v>45923</v>
      </c>
      <c r="N2304" s="71">
        <f>IFERROR(IF(VLOOKUP(A2304,[14]PRIORIZADOS!$A:$N,14,FALSE)="","",VLOOKUP(A2304,[14]PRIORIZADOS!$A:$N,14,FALSE)),"")</f>
        <v>45890</v>
      </c>
      <c r="O2304" s="71">
        <f>IFERROR(IF(VLOOKUP(A2304,[14]PRIORIZADOS!$A:$O,15,FALSE)="","",VLOOKUP(A2304,[14]PRIORIZADOS!$A:$O,15,FALSE)),"")</f>
        <v>45890</v>
      </c>
      <c r="P2304" s="11" t="str">
        <f>IFERROR(IF(VLOOKUP(A2304,[14]PRIORIZADOS!$A:$P,16,FALSE)="","",VLOOKUP(A2304,[14]PRIORIZADOS!$A:$P,16,FALSE)),"")</f>
        <v>Visitas de evaluación con fines de mejoramiento</v>
      </c>
      <c r="Q2304" s="250" t="s">
        <v>462</v>
      </c>
      <c r="R2304" s="11" t="str">
        <f>IFERROR(IF(VLOOKUP(A2304,[14]PRIORIZADOS!$A:$R,18,FALSE)="","",VLOOKUP(A2304,[14]PRIORIZADOS!$A:$R,18,FALSE)),"")</f>
        <v>La intensidad horaria y las horas mínimas anuales   se ajustan a la normatividad vigente.</v>
      </c>
      <c r="S2304" s="11" t="str">
        <f>IFERROR(IF(VLOOKUP(A2304,[14]PRIORIZADOS!$A:$S,19,FALSE)="","",VLOOKUP(A2304,[14]PRIORIZADOS!$A:$S,19,FALSE)),"")</f>
        <v xml:space="preserve">se debe revisar mallas curriculares y proyectos, para tener el hrizonte mas claro durante la jornada academica. </v>
      </c>
      <c r="T2304" s="70" t="str">
        <f>IFERROR(IF(VLOOKUP(A2304,[14]PRIORIZADOS!$A:$T,20,FALSE)="","",VLOOKUP(A2304,[14]PRIORIZADOS!$A:$T,20,FALSE)),"")</f>
        <v>Si</v>
      </c>
      <c r="U2304" s="11" t="str">
        <f>IFERROR(IF(VLOOKUP(A2304,[14]PRIORIZADOS!$A:$U,21,FALSE)="","",VLOOKUP(A2304,[14]PRIORIZADOS!$A:$U,21,FALSE)),"")</f>
        <v>Realizar revisión de calendario academicopara la vigencia 2026</v>
      </c>
    </row>
    <row r="2305" spans="1:21" s="1" customFormat="1" ht="60">
      <c r="A2305" s="69">
        <f>IF([14]PRIORIZADOS!A352="","",[14]PRIORIZADOS!A352)</f>
        <v>2273</v>
      </c>
      <c r="B2305" s="70">
        <f>IFERROR(IF(VLOOKUP(A2305,[14]PRIORIZADOS!$A:$B,2,FALSE)="","",VLOOKUP(A2305,[14]PRIORIZADOS!$A:$B,2,FALSE)),"")</f>
        <v>38</v>
      </c>
      <c r="C2305" s="11" t="s">
        <v>424</v>
      </c>
      <c r="D2305" s="11" t="str">
        <f>IFERROR(IF(VLOOKUP(A2305,[14]PRIORIZADOS!$A:$D,4,FALSE)="","",VLOOKUP(A2305,[14]PRIORIZADOS!$A:$D,4,FALSE)),"")</f>
        <v>PRIVADO</v>
      </c>
      <c r="E2305" s="11" t="str">
        <f>IFERROR(IF(VLOOKUP(A2305,[14]PRIORIZADOS!$A:$E,5,FALSE)="","",VLOOKUP(A2305,[14]PRIORIZADOS!$A:$E,5,FALSE)),"")</f>
        <v>EPBM</v>
      </c>
      <c r="F2305" s="11" t="str">
        <f>IFERROR(IF(VLOOKUP(A2305,[14]PRIORIZADOS!$A:$F,6,FALSE)="","",VLOOKUP(A2305,[14]PRIORIZADOS!$A:$F,6,FALSE)),"")</f>
        <v>COLEGIO_MILITAR_ANTONIO_NARIÑO</v>
      </c>
      <c r="G2305" s="11" t="str">
        <f>IFERROR(IF(VLOOKUP(A2305,[14]PRIORIZADOS!$A:$G,7,FALSE)="","",VLOOKUP(A2305,[14]PRIORIZADOS!$A:$G,7,FALSE)),"")</f>
        <v>COLEGIO MILITAR ANTONIO NARIÑO</v>
      </c>
      <c r="H2305" s="11" t="str">
        <f>IFERROR(IF(VLOOKUP(A2305,[14]PRIORIZADOS!$A:$H,8,FALSE)="","",VLOOKUP(A2305,[14]PRIORIZADOS!$A:$H,8,FALSE)),"")</f>
        <v>Autoevaluación Institucional y Pruebas SABER 11</v>
      </c>
      <c r="I2305" s="11" t="str">
        <f>IFERROR(IF(VLOOKUP(A2305,[14]PRIORIZADOS!$A:$I,9,FALSE)="","",VLOOKUP(A2305,[14]PRIORIZADOS!$A:$I,9,FALSE)),"")</f>
        <v>EVALUACIÓN_CON_FINES_DE_MEJORAMIENTO.</v>
      </c>
      <c r="J2305" s="11" t="str">
        <f>IFERROR(IF(VLOOKUP(A2305,[14]PRIORIZADOS!$A:$J,10,FALSE)="","",VLOOKUP(A2305,[14]PRIORIZADOS!$A:$J,10,FALSE)),"")</f>
        <v>Verificar el funcionamiento del Gobierno Escolar e instancias de participación con base en la información sobre conformación reportada por la institución educativa.</v>
      </c>
      <c r="K2305" s="11" t="str">
        <f>IFERROR(IF(VLOOKUP(A2305,[14]PRIORIZADOS!$A:$K,11,FALSE)="","",VLOOKUP(A2305,[14]PRIORIZADOS!$A:$K,11,FALSE)),"")</f>
        <v>JENNIFFER ESPERANZA GONZÁLEZ GÓMEZ</v>
      </c>
      <c r="L2305" s="11" t="str">
        <f>IFERROR(IF(VLOOKUP(A2305,[14]PRIORIZADOS!$A:$L,12,FALSE)="","",VLOOKUP(A2305,[14]PRIORIZADOS!$A:$L,12,FALSE)),"")</f>
        <v>SONIA YAMILE ARTEAGA MELO</v>
      </c>
      <c r="M2305" s="71">
        <f>IFERROR(IF(VLOOKUP(A2305,[14]PRIORIZADOS!$A:$M,13,FALSE)="","",VLOOKUP(A2305,[14]PRIORIZADOS!$A:$M,13,FALSE)),"")</f>
        <v>45923</v>
      </c>
      <c r="N2305" s="71">
        <f>IFERROR(IF(VLOOKUP(A2305,[14]PRIORIZADOS!$A:$N,14,FALSE)="","",VLOOKUP(A2305,[14]PRIORIZADOS!$A:$N,14,FALSE)),"")</f>
        <v>45890</v>
      </c>
      <c r="O2305" s="71">
        <f>IFERROR(IF(VLOOKUP(A2305,[14]PRIORIZADOS!$A:$O,15,FALSE)="","",VLOOKUP(A2305,[14]PRIORIZADOS!$A:$O,15,FALSE)),"")</f>
        <v>45890</v>
      </c>
      <c r="P2305" s="11" t="str">
        <f>IFERROR(IF(VLOOKUP(A2305,[14]PRIORIZADOS!$A:$P,16,FALSE)="","",VLOOKUP(A2305,[14]PRIORIZADOS!$A:$P,16,FALSE)),"")</f>
        <v>Visitas de evaluación con fines de mejoramiento</v>
      </c>
      <c r="Q2305" s="250" t="s">
        <v>462</v>
      </c>
      <c r="R2305" s="11" t="str">
        <f>IFERROR(IF(VLOOKUP(A2305,[14]PRIORIZADOS!$A:$R,18,FALSE)="","",VLOOKUP(A2305,[14]PRIORIZADOS!$A:$R,18,FALSE)),"")</f>
        <v>Se evidenciaron las actas de conformación de gobierno escolar, las cuales estan  cargadas en el SAE. Sobre el funcionamiento no han sesionado.</v>
      </c>
      <c r="S2305" s="11" t="str">
        <f>IFERROR(IF(VLOOKUP(A2305,[14]PRIORIZADOS!$A:$S,19,FALSE)="","",VLOOKUP(A2305,[14]PRIORIZADOS!$A:$S,19,FALSE)),"")</f>
        <v xml:space="preserve"> Sesionar con cada órgano de gobierno de conformidad con la periodicidad establecida en la norma, plan de mejoramiento en la visita DEL antes del 20 de septiembre</v>
      </c>
      <c r="T2305" s="70" t="str">
        <f>IFERROR(IF(VLOOKUP(A2305,[14]PRIORIZADOS!$A:$T,20,FALSE)="","",VLOOKUP(A2305,[14]PRIORIZADOS!$A:$T,20,FALSE)),"")</f>
        <v>Si</v>
      </c>
      <c r="U2305" s="11" t="str">
        <f>IFERROR(IF(VLOOKUP(A2305,[14]PRIORIZADOS!$A:$U,21,FALSE)="","",VLOOKUP(A2305,[14]PRIORIZADOS!$A:$U,21,FALSE)),"")</f>
        <v>Verificar el SAE  y verificar el funcionamiento de  los organos de gobierno.</v>
      </c>
    </row>
    <row r="2306" spans="1:21" s="1" customFormat="1" ht="48">
      <c r="A2306" s="69">
        <f>IF([14]PRIORIZADOS!A353="","",[14]PRIORIZADOS!A353)</f>
        <v>2274</v>
      </c>
      <c r="B2306" s="70">
        <f>IFERROR(IF(VLOOKUP(A2306,[14]PRIORIZADOS!$A:$B,2,FALSE)="","",VLOOKUP(A2306,[14]PRIORIZADOS!$A:$B,2,FALSE)),"")</f>
        <v>38</v>
      </c>
      <c r="C2306" s="11" t="s">
        <v>424</v>
      </c>
      <c r="D2306" s="11" t="str">
        <f>IFERROR(IF(VLOOKUP(A2306,[14]PRIORIZADOS!$A:$D,4,FALSE)="","",VLOOKUP(A2306,[14]PRIORIZADOS!$A:$D,4,FALSE)),"")</f>
        <v>PRIVADO</v>
      </c>
      <c r="E2306" s="11" t="str">
        <f>IFERROR(IF(VLOOKUP(A2306,[14]PRIORIZADOS!$A:$E,5,FALSE)="","",VLOOKUP(A2306,[14]PRIORIZADOS!$A:$E,5,FALSE)),"")</f>
        <v>EPBM</v>
      </c>
      <c r="F2306" s="11" t="str">
        <f>IFERROR(IF(VLOOKUP(A2306,[14]PRIORIZADOS!$A:$F,6,FALSE)="","",VLOOKUP(A2306,[14]PRIORIZADOS!$A:$F,6,FALSE)),"")</f>
        <v>COLEGIO_MILITAR_ANTONIO_NARIÑO</v>
      </c>
      <c r="G2306" s="11" t="str">
        <f>IFERROR(IF(VLOOKUP(A2306,[14]PRIORIZADOS!$A:$G,7,FALSE)="","",VLOOKUP(A2306,[14]PRIORIZADOS!$A:$G,7,FALSE)),"")</f>
        <v>COLEGIO MILITAR ANTONIO NARIÑO</v>
      </c>
      <c r="H2306" s="11" t="str">
        <f>IFERROR(IF(VLOOKUP(A2306,[14]PRIORIZADOS!$A:$H,8,FALSE)="","",VLOOKUP(A2306,[14]PRIORIZADOS!$A:$H,8,FALSE)),"")</f>
        <v>Autoevaluación Institucional y Pruebas SABER 11</v>
      </c>
      <c r="I2306" s="11" t="str">
        <f>IFERROR(IF(VLOOKUP(A2306,[14]PRIORIZADOS!$A:$I,9,FALSE)="","",VLOOKUP(A2306,[14]PRIORIZADOS!$A:$I,9,FALSE)),"")</f>
        <v>EVALUACIÓN_CON_FINES_DE_MEJORAMIENTO.</v>
      </c>
      <c r="J2306" s="11" t="str">
        <f>IFERROR(IF(VLOOKUP(A2306,[14]PRIORIZADOS!$A:$J,10,FALSE)="","",VLOOKUP(A2306,[14]PRIORIZADOS!$A:$J,10,FALSE)),"")</f>
        <v>Verificar las condiciones en cuanto a: la estructura administrativa, condiciones de la planta física y medios educativos adecuados.</v>
      </c>
      <c r="K2306" s="11" t="str">
        <f>IFERROR(IF(VLOOKUP(A2306,[14]PRIORIZADOS!$A:$K,11,FALSE)="","",VLOOKUP(A2306,[14]PRIORIZADOS!$A:$K,11,FALSE)),"")</f>
        <v>JENNIFFER ESPERANZA GONZÁLEZ GÓMEZ</v>
      </c>
      <c r="L2306" s="11" t="str">
        <f>IFERROR(IF(VLOOKUP(A2306,[14]PRIORIZADOS!$A:$L,12,FALSE)="","",VLOOKUP(A2306,[14]PRIORIZADOS!$A:$L,12,FALSE)),"")</f>
        <v>SONIA YAMILE ARTEAGA MELO</v>
      </c>
      <c r="M2306" s="71">
        <f>IFERROR(IF(VLOOKUP(A2306,[14]PRIORIZADOS!$A:$M,13,FALSE)="","",VLOOKUP(A2306,[14]PRIORIZADOS!$A:$M,13,FALSE)),"")</f>
        <v>45923</v>
      </c>
      <c r="N2306" s="71">
        <f>IFERROR(IF(VLOOKUP(A2306,[14]PRIORIZADOS!$A:$N,14,FALSE)="","",VLOOKUP(A2306,[14]PRIORIZADOS!$A:$N,14,FALSE)),"")</f>
        <v>45890</v>
      </c>
      <c r="O2306" s="71">
        <f>IFERROR(IF(VLOOKUP(A2306,[14]PRIORIZADOS!$A:$O,15,FALSE)="","",VLOOKUP(A2306,[14]PRIORIZADOS!$A:$O,15,FALSE)),"")</f>
        <v>45890</v>
      </c>
      <c r="P2306" s="11" t="str">
        <f>IFERROR(IF(VLOOKUP(A2306,[14]PRIORIZADOS!$A:$P,16,FALSE)="","",VLOOKUP(A2306,[14]PRIORIZADOS!$A:$P,16,FALSE)),"")</f>
        <v>Visitas de evaluación con fines de mejoramiento</v>
      </c>
      <c r="Q2306" s="250" t="s">
        <v>462</v>
      </c>
      <c r="R2306" s="11" t="str">
        <f>IFERROR(IF(VLOOKUP(A2306,[14]PRIORIZADOS!$A:$R,18,FALSE)="","",VLOOKUP(A2306,[14]PRIORIZADOS!$A:$R,18,FALSE)),"")</f>
        <v>Se encontró que los espacios pedagogicos de biblioteca, sala de sistemas, áreas comunes y baterias de baños requieren mantenimiento</v>
      </c>
      <c r="S2306" s="11" t="str">
        <f>IFERROR(IF(VLOOKUP(A2306,[14]PRIORIZADOS!$A:$S,19,FALSE)="","",VLOOKUP(A2306,[14]PRIORIZADOS!$A:$S,19,FALSE)),"")</f>
        <v>Realizar las adecuaciones en los espacios mencionados. Plan de mejoramiento con fecha de entrega antes del 20 de septiembre</v>
      </c>
      <c r="T2306" s="70" t="str">
        <f>IFERROR(IF(VLOOKUP(A2306,[14]PRIORIZADOS!$A:$T,20,FALSE)="","",VLOOKUP(A2306,[14]PRIORIZADOS!$A:$T,20,FALSE)),"")</f>
        <v>Si</v>
      </c>
      <c r="U2306" s="11" t="str">
        <f>IFERROR(IF(VLOOKUP(A2306,[14]PRIORIZADOS!$A:$U,21,FALSE)="","",VLOOKUP(A2306,[14]PRIORIZADOS!$A:$U,21,FALSE)),"")</f>
        <v>informe de seguimiento del avance con registro fotográfico, en un plazo máximo de antes del 20 de septiembre</v>
      </c>
    </row>
    <row r="2307" spans="1:21" s="1" customFormat="1" ht="36">
      <c r="A2307" s="69">
        <f>IF([14]PRIORIZADOS!A354="","",[14]PRIORIZADOS!A354)</f>
        <v>2275</v>
      </c>
      <c r="B2307" s="70">
        <f>IFERROR(IF(VLOOKUP(A2307,[14]PRIORIZADOS!$A:$B,2,FALSE)="","",VLOOKUP(A2307,[14]PRIORIZADOS!$A:$B,2,FALSE)),"")</f>
        <v>39</v>
      </c>
      <c r="C2307" s="11" t="s">
        <v>424</v>
      </c>
      <c r="D2307" s="11" t="str">
        <f>IFERROR(IF(VLOOKUP(A2307,[14]PRIORIZADOS!$A:$D,4,FALSE)="","",VLOOKUP(A2307,[14]PRIORIZADOS!$A:$D,4,FALSE)),"")</f>
        <v>PRIVADO</v>
      </c>
      <c r="E2307" s="11" t="str">
        <f>IFERROR(IF(VLOOKUP(A2307,[14]PRIORIZADOS!$A:$E,5,FALSE)="","",VLOOKUP(A2307,[14]PRIORIZADOS!$A:$E,5,FALSE)),"")</f>
        <v>EPBM</v>
      </c>
      <c r="F2307" s="11" t="str">
        <f>IFERROR(IF(VLOOKUP(A2307,[14]PRIORIZADOS!$A:$F,6,FALSE)="","",VLOOKUP(A2307,[14]PRIORIZADOS!$A:$F,6,FALSE)),"")</f>
        <v>COLEGIO_SANTO_TORIBIO_DE_MONGROVEJO</v>
      </c>
      <c r="G2307" s="11" t="str">
        <f>IFERROR(IF(VLOOKUP(A2307,[14]PRIORIZADOS!$A:$G,7,FALSE)="","",VLOOKUP(A2307,[14]PRIORIZADOS!$A:$G,7,FALSE)),"")</f>
        <v>COLEGIO SANTO TORIBIO DE MONGROVEJO</v>
      </c>
      <c r="H2307" s="11" t="str">
        <f>IFERROR(IF(VLOOKUP(A2307,[14]PRIORIZADOS!$A:$H,8,FALSE)="","",VLOOKUP(A2307,[14]PRIORIZADOS!$A:$H,8,FALSE)),"")</f>
        <v>Autoevaluación Institucional y Pruebas SABER 11</v>
      </c>
      <c r="I2307" s="11" t="str">
        <f>IFERROR(IF(VLOOKUP(A2307,[14]PRIORIZADOS!$A:$I,9,FALSE)="","",VLOOKUP(A2307,[14]PRIORIZADOS!$A:$I,9,FALSE)),"")</f>
        <v>SEGUIMIENTO_Y_SUPERVISIÓN.</v>
      </c>
      <c r="J2307" s="11" t="str">
        <f>IFERROR(IF(VLOOKUP(A2307,[14]PRIORIZADOS!$A:$J,10,FALSE)="","",VLOOKUP(A2307,[14]PRIORIZADOS!$A:$J,10,FALSE)),"")</f>
        <v>Realizar visitas para verificar la información registrada sobre la autoevaluación institucional en el aplicativo EVI, a los establecimientos de educación formal no oficial.</v>
      </c>
      <c r="K2307" s="11" t="str">
        <f>IFERROR(IF(VLOOKUP(A2307,[14]PRIORIZADOS!$A:$K,11,FALSE)="","",VLOOKUP(A2307,[14]PRIORIZADOS!$A:$K,11,FALSE)),"")</f>
        <v>JUAN MANUEL SANCHEZ MORA</v>
      </c>
      <c r="L2307" s="11" t="str">
        <f>IFERROR(IF(VLOOKUP(A2307,[14]PRIORIZADOS!$A:$L,12,FALSE)="","",VLOOKUP(A2307,[14]PRIORIZADOS!$A:$L,12,FALSE)),"")</f>
        <v>MARTHA RUT SILVA ABRIL</v>
      </c>
      <c r="M2307" s="71">
        <f>IFERROR(IF(VLOOKUP(A2307,[14]PRIORIZADOS!$A:$M,13,FALSE)="","",VLOOKUP(A2307,[14]PRIORIZADOS!$A:$M,13,FALSE)),"")</f>
        <v>45729</v>
      </c>
      <c r="N2307" s="71">
        <f>IFERROR(IF(VLOOKUP(A2307,[14]PRIORIZADOS!$A:$N,14,FALSE)="","",VLOOKUP(A2307,[14]PRIORIZADOS!$A:$N,14,FALSE)),"")</f>
        <v>45742</v>
      </c>
      <c r="O2307" s="71">
        <f>IFERROR(IF(VLOOKUP(A2307,[14]PRIORIZADOS!$A:$O,15,FALSE)="","",VLOOKUP(A2307,[14]PRIORIZADOS!$A:$O,15,FALSE)),"")</f>
        <v>45742</v>
      </c>
      <c r="P2307" s="11" t="str">
        <f>IFERROR(IF(VLOOKUP(A2307,[14]PRIORIZADOS!$A:$P,16,FALSE)="","",VLOOKUP(A2307,[14]PRIORIZADOS!$A:$P,16,FALSE)),"")</f>
        <v>Visitas de evaluación con fines de seguimiento</v>
      </c>
      <c r="Q2307" s="7" t="s">
        <v>463</v>
      </c>
      <c r="R2307" s="11" t="str">
        <f>IFERROR(IF(VLOOKUP(A2307,[14]PRIORIZADOS!$A:$R,18,FALSE)="","",VLOOKUP(A2307,[14]PRIORIZADOS!$A:$R,18,FALSE)),"")</f>
        <v xml:space="preserve">Se observó que la institución educativa debe relizar ajustes en la autoevaluación con base en su realidad institucional </v>
      </c>
      <c r="S2307" s="11" t="str">
        <f>IFERROR(IF(VLOOKUP(A2307,[14]PRIORIZADOS!$A:$S,19,FALSE)="","",VLOOKUP(A2307,[14]PRIORIZADOS!$A:$S,19,FALSE)),"")</f>
        <v>Elaborar el plan de mejoraminto para realizar las adecuaciones en los espacios mencionados</v>
      </c>
      <c r="T2307" s="70" t="str">
        <f>IFERROR(IF(VLOOKUP(A2307,[14]PRIORIZADOS!$A:$T,20,FALSE)="","",VLOOKUP(A2307,[14]PRIORIZADOS!$A:$T,20,FALSE)),"")</f>
        <v>Si</v>
      </c>
      <c r="U2307" s="11" t="str">
        <f>IFERROR(IF(VLOOKUP(A2307,[14]PRIORIZADOS!$A:$U,21,FALSE)="","",VLOOKUP(A2307,[14]PRIORIZADOS!$A:$U,21,FALSE)),"")</f>
        <v>Informe de seguimiento con registro fotográfico, en un plazo máximo de 31 de julio</v>
      </c>
    </row>
    <row r="2308" spans="1:21" s="1" customFormat="1" ht="60">
      <c r="A2308" s="69">
        <f>IF([14]PRIORIZADOS!A355="","",[14]PRIORIZADOS!A355)</f>
        <v>2276</v>
      </c>
      <c r="B2308" s="70">
        <f>IFERROR(IF(VLOOKUP(A2308,[14]PRIORIZADOS!$A:$B,2,FALSE)="","",VLOOKUP(A2308,[14]PRIORIZADOS!$A:$B,2,FALSE)),"")</f>
        <v>39</v>
      </c>
      <c r="C2308" s="11" t="s">
        <v>424</v>
      </c>
      <c r="D2308" s="11" t="str">
        <f>IFERROR(IF(VLOOKUP(A2308,[14]PRIORIZADOS!$A:$D,4,FALSE)="","",VLOOKUP(A2308,[14]PRIORIZADOS!$A:$D,4,FALSE)),"")</f>
        <v>PRIVADO</v>
      </c>
      <c r="E2308" s="11" t="str">
        <f>IFERROR(IF(VLOOKUP(A2308,[14]PRIORIZADOS!$A:$E,5,FALSE)="","",VLOOKUP(A2308,[14]PRIORIZADOS!$A:$E,5,FALSE)),"")</f>
        <v>EPBM</v>
      </c>
      <c r="F2308" s="11" t="str">
        <f>IFERROR(IF(VLOOKUP(A2308,[14]PRIORIZADOS!$A:$F,6,FALSE)="","",VLOOKUP(A2308,[14]PRIORIZADOS!$A:$F,6,FALSE)),"")</f>
        <v>COLEGIO_SANTO_TORIBIO_DE_MONGROVEJO</v>
      </c>
      <c r="G2308" s="11" t="str">
        <f>IFERROR(IF(VLOOKUP(A2308,[14]PRIORIZADOS!$A:$G,7,FALSE)="","",VLOOKUP(A2308,[14]PRIORIZADOS!$A:$G,7,FALSE)),"")</f>
        <v>COLEGIO SANTO TORIBIO DE MONGROVEJO</v>
      </c>
      <c r="H2308" s="11" t="str">
        <f>IFERROR(IF(VLOOKUP(A2308,[14]PRIORIZADOS!$A:$H,8,FALSE)="","",VLOOKUP(A2308,[14]PRIORIZADOS!$A:$H,8,FALSE)),"")</f>
        <v>Autoevaluación Institucional y Pruebas SABER 11</v>
      </c>
      <c r="I2308" s="11" t="str">
        <f>IFERROR(IF(VLOOKUP(A2308,[14]PRIORIZADOS!$A:$I,9,FALSE)="","",VLOOKUP(A2308,[14]PRIORIZADOS!$A:$I,9,FALSE)),"")</f>
        <v>SEGUIMIENTO_Y_SUPERVISIÓN.</v>
      </c>
      <c r="J2308" s="11" t="str">
        <f>IFERROR(IF(VLOOKUP(A2308,[14]PRIORIZADOS!$A:$J,10,FALSE)="","",VLOOKUP(A2308,[14]PRIORIZADOS!$A:$J,10,FALSE)),"")</f>
        <v>Proponer estrategias en la formulación, verificar su elaboración y realizar seguimiento semestral al desarrollo de  las acciones establecidas en los planes de mejoramiento por pruebas SABER 11 de los establecimientos de educación formal.</v>
      </c>
      <c r="K2308" s="11" t="str">
        <f>IFERROR(IF(VLOOKUP(A2308,[14]PRIORIZADOS!$A:$K,11,FALSE)="","",VLOOKUP(A2308,[14]PRIORIZADOS!$A:$K,11,FALSE)),"")</f>
        <v>JUAN MANUEL SANCHEZ MORA</v>
      </c>
      <c r="L2308" s="11" t="str">
        <f>IFERROR(IF(VLOOKUP(A2308,[14]PRIORIZADOS!$A:$L,12,FALSE)="","",VLOOKUP(A2308,[14]PRIORIZADOS!$A:$L,12,FALSE)),"")</f>
        <v>MARTHA RUT SILVA ABRIL</v>
      </c>
      <c r="M2308" s="71">
        <f>IFERROR(IF(VLOOKUP(A2308,[14]PRIORIZADOS!$A:$M,13,FALSE)="","",VLOOKUP(A2308,[14]PRIORIZADOS!$A:$M,13,FALSE)),"")</f>
        <v>45729</v>
      </c>
      <c r="N2308" s="71">
        <f>IFERROR(IF(VLOOKUP(A2308,[14]PRIORIZADOS!$A:$N,14,FALSE)="","",VLOOKUP(A2308,[14]PRIORIZADOS!$A:$N,14,FALSE)),"")</f>
        <v>45742</v>
      </c>
      <c r="O2308" s="71">
        <f>IFERROR(IF(VLOOKUP(A2308,[14]PRIORIZADOS!$A:$O,15,FALSE)="","",VLOOKUP(A2308,[14]PRIORIZADOS!$A:$O,15,FALSE)),"")</f>
        <v>45742</v>
      </c>
      <c r="P2308" s="11" t="str">
        <f>IFERROR(IF(VLOOKUP(A2308,[14]PRIORIZADOS!$A:$P,16,FALSE)="","",VLOOKUP(A2308,[14]PRIORIZADOS!$A:$P,16,FALSE)),"")</f>
        <v>Visitas de evaluación con fines de seguimiento</v>
      </c>
      <c r="Q2308" s="7" t="s">
        <v>463</v>
      </c>
      <c r="R2308" s="11" t="str">
        <f>IFERROR(IF(VLOOKUP(A2308,[14]PRIORIZADOS!$A:$R,18,FALSE)="","",VLOOKUP(A2308,[14]PRIORIZADOS!$A:$R,18,FALSE)),"")</f>
        <v>Se observó que la institución educativa se encuentra clasificada en nivel A puntaje 279, realiza el análsis  y crea estrategias con medición del avance académico de los estudiantes.</v>
      </c>
      <c r="S2308" s="11" t="str">
        <f>IFERROR(IF(VLOOKUP(A2308,[14]PRIORIZADOS!$A:$S,19,FALSE)="","",VLOOKUP(A2308,[14]PRIORIZADOS!$A:$S,19,FALSE)),"")</f>
        <v>Elaborar cronograma de reuniones de análisis de resultados 2024.</v>
      </c>
      <c r="T2308" s="70" t="str">
        <f>IFERROR(IF(VLOOKUP(A2308,[14]PRIORIZADOS!$A:$T,20,FALSE)="","",VLOOKUP(A2308,[14]PRIORIZADOS!$A:$T,20,FALSE)),"")</f>
        <v>No</v>
      </c>
      <c r="U2308" s="11" t="str">
        <f>IFERROR(IF(VLOOKUP(A2308,[14]PRIORIZADOS!$A:$U,21,FALSE)="","",VLOOKUP(A2308,[14]PRIORIZADOS!$A:$U,21,FALSE)),"")</f>
        <v>Continuar con el seguimiento de medicion del avance académico se realizará seguimiento en el semestre de 2026</v>
      </c>
    </row>
    <row r="2309" spans="1:21" s="1" customFormat="1" ht="48">
      <c r="A2309" s="69">
        <f>IF([14]PRIORIZADOS!A356="","",[14]PRIORIZADOS!A356)</f>
        <v>2277</v>
      </c>
      <c r="B2309" s="70">
        <f>IFERROR(IF(VLOOKUP(A2309,[14]PRIORIZADOS!$A:$B,2,FALSE)="","",VLOOKUP(A2309,[14]PRIORIZADOS!$A:$B,2,FALSE)),"")</f>
        <v>39</v>
      </c>
      <c r="C2309" s="11" t="s">
        <v>424</v>
      </c>
      <c r="D2309" s="11" t="str">
        <f>IFERROR(IF(VLOOKUP(A2309,[14]PRIORIZADOS!$A:$D,4,FALSE)="","",VLOOKUP(A2309,[14]PRIORIZADOS!$A:$D,4,FALSE)),"")</f>
        <v>PRIVADO</v>
      </c>
      <c r="E2309" s="11" t="str">
        <f>IFERROR(IF(VLOOKUP(A2309,[14]PRIORIZADOS!$A:$E,5,FALSE)="","",VLOOKUP(A2309,[14]PRIORIZADOS!$A:$E,5,FALSE)),"")</f>
        <v>EPBM</v>
      </c>
      <c r="F2309" s="11" t="str">
        <f>IFERROR(IF(VLOOKUP(A2309,[14]PRIORIZADOS!$A:$F,6,FALSE)="","",VLOOKUP(A2309,[14]PRIORIZADOS!$A:$F,6,FALSE)),"")</f>
        <v>COLEGIO_SANTO_TORIBIO_DE_MONGROVEJO</v>
      </c>
      <c r="G2309" s="11" t="str">
        <f>IFERROR(IF(VLOOKUP(A2309,[14]PRIORIZADOS!$A:$G,7,FALSE)="","",VLOOKUP(A2309,[14]PRIORIZADOS!$A:$G,7,FALSE)),"")</f>
        <v>COLEGIO SANTO TORIBIO DE MONGROVEJO</v>
      </c>
      <c r="H2309" s="11" t="str">
        <f>IFERROR(IF(VLOOKUP(A2309,[14]PRIORIZADOS!$A:$H,8,FALSE)="","",VLOOKUP(A2309,[14]PRIORIZADOS!$A:$H,8,FALSE)),"")</f>
        <v>Autoevaluación Institucional y Pruebas SABER 11</v>
      </c>
      <c r="I2309" s="11" t="str">
        <f>IFERROR(IF(VLOOKUP(A2309,[14]PRIORIZADOS!$A:$I,9,FALSE)="","",VLOOKUP(A2309,[14]PRIORIZADOS!$A:$I,9,FALSE)),"")</f>
        <v>SEGUIMIENTO_Y_SUPERVISIÓN.</v>
      </c>
      <c r="J2309" s="11" t="str">
        <f>IFERROR(IF(VLOOKUP(A2309,[14]PRIORIZADOS!$A:$J,10,FALSE)="","",VLOOKUP(A2309,[14]PRIORIZADOS!$A:$J,10,FALSE)),"")</f>
        <v xml:space="preserve">Verificar la implementación por parte de los colegios, de acciones realizadas para la prevención y atención de las situaciones de convivencia en el entorno escolar, según lo establecido en la Directiva 01 de 2022 del MEN. </v>
      </c>
      <c r="K2309" s="11" t="str">
        <f>IFERROR(IF(VLOOKUP(A2309,[14]PRIORIZADOS!$A:$K,11,FALSE)="","",VLOOKUP(A2309,[14]PRIORIZADOS!$A:$K,11,FALSE)),"")</f>
        <v>JUAN MANUEL SANCHEZ MORA</v>
      </c>
      <c r="L2309" s="11" t="str">
        <f>IFERROR(IF(VLOOKUP(A2309,[14]PRIORIZADOS!$A:$L,12,FALSE)="","",VLOOKUP(A2309,[14]PRIORIZADOS!$A:$L,12,FALSE)),"")</f>
        <v>MARTHA RUT SILVA ABRIL</v>
      </c>
      <c r="M2309" s="71">
        <f>IFERROR(IF(VLOOKUP(A2309,[14]PRIORIZADOS!$A:$M,13,FALSE)="","",VLOOKUP(A2309,[14]PRIORIZADOS!$A:$M,13,FALSE)),"")</f>
        <v>45729</v>
      </c>
      <c r="N2309" s="71">
        <f>IFERROR(IF(VLOOKUP(A2309,[14]PRIORIZADOS!$A:$N,14,FALSE)="","",VLOOKUP(A2309,[14]PRIORIZADOS!$A:$N,14,FALSE)),"")</f>
        <v>45742</v>
      </c>
      <c r="O2309" s="71">
        <f>IFERROR(IF(VLOOKUP(A2309,[14]PRIORIZADOS!$A:$O,15,FALSE)="","",VLOOKUP(A2309,[14]PRIORIZADOS!$A:$O,15,FALSE)),"")</f>
        <v>45742</v>
      </c>
      <c r="P2309" s="11" t="str">
        <f>IFERROR(IF(VLOOKUP(A2309,[14]PRIORIZADOS!$A:$P,16,FALSE)="","",VLOOKUP(A2309,[14]PRIORIZADOS!$A:$P,16,FALSE)),"")</f>
        <v>Visitas de evaluación con fines de seguimiento</v>
      </c>
      <c r="Q2309" s="7" t="s">
        <v>463</v>
      </c>
      <c r="R2309" s="11" t="str">
        <f>IFERROR(IF(VLOOKUP(A2309,[14]PRIORIZADOS!$A:$R,18,FALSE)="","",VLOOKUP(A2309,[14]PRIORIZADOS!$A:$R,18,FALSE)),"")</f>
        <v>Se encontró que cuenta  con la consulta de inhabliddes por delitos sexuales para el inicio del año 2025, tiene acceso al sistema de alertas.</v>
      </c>
      <c r="S2309" s="11" t="str">
        <f>IFERROR(IF(VLOOKUP(A2309,[14]PRIORIZADOS!$A:$S,19,FALSE)="","",VLOOKUP(A2309,[14]PRIORIZADOS!$A:$S,19,FALSE)),"")</f>
        <v xml:space="preserve">Continuar la consulta cada 4 meses, dejando el respectivo soporte, en cumplimiento de la Directiva 01 de 2022  </v>
      </c>
      <c r="T2309" s="70" t="str">
        <f>IFERROR(IF(VLOOKUP(A2309,[14]PRIORIZADOS!$A:$T,20,FALSE)="","",VLOOKUP(A2309,[14]PRIORIZADOS!$A:$T,20,FALSE)),"")</f>
        <v>No</v>
      </c>
      <c r="U2309" s="11" t="str">
        <f>IFERROR(IF(VLOOKUP(A2309,[14]PRIORIZADOS!$A:$U,21,FALSE)="","",VLOOKUP(A2309,[14]PRIORIZADOS!$A:$U,21,FALSE)),"")</f>
        <v xml:space="preserve">Continuar con la consulta periodica de acuerdo con lo establecido en la directiva 01 del 2022 y realizar los reportes a que haya lugar en el sistema  de alertas </v>
      </c>
    </row>
    <row r="2310" spans="1:21" s="1" customFormat="1" ht="72">
      <c r="A2310" s="69">
        <f>IF([14]PRIORIZADOS!A357="","",[14]PRIORIZADOS!A357)</f>
        <v>2278</v>
      </c>
      <c r="B2310" s="70">
        <f>IFERROR(IF(VLOOKUP(A2310,[14]PRIORIZADOS!$A:$B,2,FALSE)="","",VLOOKUP(A2310,[14]PRIORIZADOS!$A:$B,2,FALSE)),"")</f>
        <v>39</v>
      </c>
      <c r="C2310" s="11" t="s">
        <v>424</v>
      </c>
      <c r="D2310" s="11" t="str">
        <f>IFERROR(IF(VLOOKUP(A2310,[14]PRIORIZADOS!$A:$D,4,FALSE)="","",VLOOKUP(A2310,[14]PRIORIZADOS!$A:$D,4,FALSE)),"")</f>
        <v>PRIVADO</v>
      </c>
      <c r="E2310" s="11" t="str">
        <f>IFERROR(IF(VLOOKUP(A2310,[14]PRIORIZADOS!$A:$E,5,FALSE)="","",VLOOKUP(A2310,[14]PRIORIZADOS!$A:$E,5,FALSE)),"")</f>
        <v>EPBM</v>
      </c>
      <c r="F2310" s="11" t="str">
        <f>IFERROR(IF(VLOOKUP(A2310,[14]PRIORIZADOS!$A:$F,6,FALSE)="","",VLOOKUP(A2310,[14]PRIORIZADOS!$A:$F,6,FALSE)),"")</f>
        <v>COLEGIO_SANTO_TORIBIO_DE_MONGROVEJO</v>
      </c>
      <c r="G2310" s="11" t="str">
        <f>IFERROR(IF(VLOOKUP(A2310,[14]PRIORIZADOS!$A:$G,7,FALSE)="","",VLOOKUP(A2310,[14]PRIORIZADOS!$A:$G,7,FALSE)),"")</f>
        <v>COLEGIO SANTO TORIBIO DE MONGROVEJO</v>
      </c>
      <c r="H2310" s="11" t="str">
        <f>IFERROR(IF(VLOOKUP(A2310,[14]PRIORIZADOS!$A:$H,8,FALSE)="","",VLOOKUP(A2310,[14]PRIORIZADOS!$A:$H,8,FALSE)),"")</f>
        <v>Autoevaluación Institucional y Pruebas SABER 11</v>
      </c>
      <c r="I2310" s="11" t="str">
        <f>IFERROR(IF(VLOOKUP(A2310,[14]PRIORIZADOS!$A:$I,9,FALSE)="","",VLOOKUP(A2310,[14]PRIORIZADOS!$A:$I,9,FALSE)),"")</f>
        <v>SEGUIMIENTO_Y_SUPERVISIÓN.</v>
      </c>
      <c r="J2310" s="11" t="str">
        <f>IFERROR(IF(VLOOKUP(A2310,[14]PRIORIZADOS!$A:$J,10,FALSE)="","",VLOOKUP(A2310,[14]PRIORIZADOS!$A:$J,10,FALSE)),"")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10" s="11" t="str">
        <f>IFERROR(IF(VLOOKUP(A2310,[14]PRIORIZADOS!$A:$K,11,FALSE)="","",VLOOKUP(A2310,[14]PRIORIZADOS!$A:$K,11,FALSE)),"")</f>
        <v>JUAN MANUEL SANCHEZ MORA</v>
      </c>
      <c r="L2310" s="11" t="str">
        <f>IFERROR(IF(VLOOKUP(A2310,[14]PRIORIZADOS!$A:$L,12,FALSE)="","",VLOOKUP(A2310,[14]PRIORIZADOS!$A:$L,12,FALSE)),"")</f>
        <v>MARTHA RUT SILVA ABRIL</v>
      </c>
      <c r="M2310" s="71">
        <f>IFERROR(IF(VLOOKUP(A2310,[14]PRIORIZADOS!$A:$M,13,FALSE)="","",VLOOKUP(A2310,[14]PRIORIZADOS!$A:$M,13,FALSE)),"")</f>
        <v>45729</v>
      </c>
      <c r="N2310" s="71">
        <f>IFERROR(IF(VLOOKUP(A2310,[14]PRIORIZADOS!$A:$N,14,FALSE)="","",VLOOKUP(A2310,[14]PRIORIZADOS!$A:$N,14,FALSE)),"")</f>
        <v>45742</v>
      </c>
      <c r="O2310" s="71">
        <f>IFERROR(IF(VLOOKUP(A2310,[14]PRIORIZADOS!$A:$O,15,FALSE)="","",VLOOKUP(A2310,[14]PRIORIZADOS!$A:$O,15,FALSE)),"")</f>
        <v>45742</v>
      </c>
      <c r="P2310" s="11" t="str">
        <f>IFERROR(IF(VLOOKUP(A2310,[14]PRIORIZADOS!$A:$P,16,FALSE)="","",VLOOKUP(A2310,[14]PRIORIZADOS!$A:$P,16,FALSE)),"")</f>
        <v>Visitas de evaluación con fines de seguimiento</v>
      </c>
      <c r="Q2310" s="7" t="s">
        <v>463</v>
      </c>
      <c r="R2310" s="11" t="str">
        <f>IFERROR(IF(VLOOKUP(A2310,[14]PRIORIZADOS!$A:$R,18,FALSE)="","",VLOOKUP(A2310,[14]PRIORIZADOS!$A:$R,18,FALSE)),"")</f>
        <v>Se encontró que el PIAR no está completo y no corresponde al formato establecido que permita determinar las discapacidades y las acciones a realizar con cada estudiante.</v>
      </c>
      <c r="S2310" s="11" t="str">
        <f>IFERROR(IF(VLOOKUP(A2310,[14]PRIORIZADOS!$A:$S,19,FALSE)="","",VLOOKUP(A2310,[14]PRIORIZADOS!$A:$S,19,FALSE)),"")</f>
        <v>Realizar los PIAR en el formato establecido, con las acciones completas a seguir con cada estudiante según Decreto 1421 de 2017. Plan de mejoramiento con fecha de entrega 30 de abril</v>
      </c>
      <c r="T2310" s="70" t="str">
        <f>IFERROR(IF(VLOOKUP(A2310,[14]PRIORIZADOS!$A:$T,20,FALSE)="","",VLOOKUP(A2310,[14]PRIORIZADOS!$A:$T,20,FALSE)),"")</f>
        <v>Si</v>
      </c>
      <c r="U2310" s="11" t="str">
        <f>IFERROR(IF(VLOOKUP(A2310,[14]PRIORIZADOS!$A:$U,21,FALSE)="","",VLOOKUP(A2310,[14]PRIORIZADOS!$A:$U,21,FALSE)),"")</f>
        <v>Realizar el Seguimiento a traveés del Plan de mejoramiento aportando el formato debidamente diligenciado en cada uno de sus componentes por cada estudiante en un plazo máximo de 31 de julio</v>
      </c>
    </row>
    <row r="2311" spans="1:21" s="1" customFormat="1" ht="84">
      <c r="A2311" s="69">
        <f>IF([14]PRIORIZADOS!A358="","",[14]PRIORIZADOS!A358)</f>
        <v>2279</v>
      </c>
      <c r="B2311" s="70">
        <f>IFERROR(IF(VLOOKUP(A2311,[14]PRIORIZADOS!$A:$B,2,FALSE)="","",VLOOKUP(A2311,[14]PRIORIZADOS!$A:$B,2,FALSE)),"")</f>
        <v>39</v>
      </c>
      <c r="C2311" s="11" t="s">
        <v>424</v>
      </c>
      <c r="D2311" s="11" t="str">
        <f>IFERROR(IF(VLOOKUP(A2311,[14]PRIORIZADOS!$A:$D,4,FALSE)="","",VLOOKUP(A2311,[14]PRIORIZADOS!$A:$D,4,FALSE)),"")</f>
        <v>PRIVADO</v>
      </c>
      <c r="E2311" s="11" t="str">
        <f>IFERROR(IF(VLOOKUP(A2311,[14]PRIORIZADOS!$A:$E,5,FALSE)="","",VLOOKUP(A2311,[14]PRIORIZADOS!$A:$E,5,FALSE)),"")</f>
        <v>EPBM</v>
      </c>
      <c r="F2311" s="11" t="str">
        <f>IFERROR(IF(VLOOKUP(A2311,[14]PRIORIZADOS!$A:$F,6,FALSE)="","",VLOOKUP(A2311,[14]PRIORIZADOS!$A:$F,6,FALSE)),"")</f>
        <v>COLEGIO_SANTO_TORIBIO_DE_MONGROVEJO</v>
      </c>
      <c r="G2311" s="11" t="str">
        <f>IFERROR(IF(VLOOKUP(A2311,[14]PRIORIZADOS!$A:$G,7,FALSE)="","",VLOOKUP(A2311,[14]PRIORIZADOS!$A:$G,7,FALSE)),"")</f>
        <v>COLEGIO SANTO TORIBIO DE MONGROVEJO</v>
      </c>
      <c r="H2311" s="11" t="str">
        <f>IFERROR(IF(VLOOKUP(A2311,[14]PRIORIZADOS!$A:$H,8,FALSE)="","",VLOOKUP(A2311,[14]PRIORIZADOS!$A:$H,8,FALSE)),"")</f>
        <v>Autoevaluación Institucional y Pruebas SABER 11</v>
      </c>
      <c r="I2311" s="11" t="str">
        <f>IFERROR(IF(VLOOKUP(A2311,[14]PRIORIZADOS!$A:$I,9,FALSE)="","",VLOOKUP(A2311,[14]PRIORIZADOS!$A:$I,9,FALSE)),"")</f>
        <v>EVALUACIÓN_CON_FINES_DE_MEJORAMIENTO.</v>
      </c>
      <c r="J2311" s="11" t="str">
        <f>IFERROR(IF(VLOOKUP(A2311,[14]PRIORIZADOS!$A:$J,10,FALSE)="","",VLOOKUP(A2311,[14]PRIORIZADOS!$A:$J,10,FALSE)),"")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11" s="11" t="str">
        <f>IFERROR(IF(VLOOKUP(A2311,[14]PRIORIZADOS!$A:$K,11,FALSE)="","",VLOOKUP(A2311,[14]PRIORIZADOS!$A:$K,11,FALSE)),"")</f>
        <v>JUAN MANUEL SANCHEZ MORA</v>
      </c>
      <c r="L2311" s="11" t="str">
        <f>IFERROR(IF(VLOOKUP(A2311,[14]PRIORIZADOS!$A:$L,12,FALSE)="","",VLOOKUP(A2311,[14]PRIORIZADOS!$A:$L,12,FALSE)),"")</f>
        <v>MARTHA RUT SILVA ABRIL</v>
      </c>
      <c r="M2311" s="71">
        <f>IFERROR(IF(VLOOKUP(A2311,[14]PRIORIZADOS!$A:$M,13,FALSE)="","",VLOOKUP(A2311,[14]PRIORIZADOS!$A:$M,13,FALSE)),"")</f>
        <v>45729</v>
      </c>
      <c r="N2311" s="71">
        <f>IFERROR(IF(VLOOKUP(A2311,[14]PRIORIZADOS!$A:$N,14,FALSE)="","",VLOOKUP(A2311,[14]PRIORIZADOS!$A:$N,14,FALSE)),"")</f>
        <v>45742</v>
      </c>
      <c r="O2311" s="71">
        <f>IFERROR(IF(VLOOKUP(A2311,[14]PRIORIZADOS!$A:$O,15,FALSE)="","",VLOOKUP(A2311,[14]PRIORIZADOS!$A:$O,15,FALSE)),"")</f>
        <v>45742</v>
      </c>
      <c r="P2311" s="11" t="str">
        <f>IFERROR(IF(VLOOKUP(A2311,[14]PRIORIZADOS!$A:$P,16,FALSE)="","",VLOOKUP(A2311,[14]PRIORIZADOS!$A:$P,16,FALSE)),"")</f>
        <v>Visitas de evaluación con fines de mejoramiento</v>
      </c>
      <c r="Q2311" s="7" t="s">
        <v>463</v>
      </c>
      <c r="R2311" s="11" t="str">
        <f>IFERROR(IF(VLOOKUP(A2311,[14]PRIORIZADOS!$A:$R,18,FALSE)="","",VLOOKUP(A2311,[14]PRIORIZADOS!$A:$R,18,FALSE)),"")</f>
        <v>Se encontró que la última actualización es del año 2023, falta estructurar el debido proceso y desarollar los protocolos de atención</v>
      </c>
      <c r="S2311" s="11" t="str">
        <f>IFERROR(IF(VLOOKUP(A2311,[14]PRIORIZADOS!$A:$S,19,FALSE)="","",VLOOKUP(A2311,[14]PRIORIZADOS!$A:$S,19,FALSE)),"")</f>
        <v>Actualizar el manual de convivencia según la normatividad vigente. Plan de mejoramiento con fecha de entrega 30 de abril</v>
      </c>
      <c r="T2311" s="70" t="str">
        <f>IFERROR(IF(VLOOKUP(A2311,[14]PRIORIZADOS!$A:$T,20,FALSE)="","",VLOOKUP(A2311,[14]PRIORIZADOS!$A:$T,20,FALSE)),"")</f>
        <v>Si</v>
      </c>
      <c r="U2311" s="11" t="str">
        <f>IFERROR(IF(VLOOKUP(A2311,[14]PRIORIZADOS!$A:$U,21,FALSE)="","",VLOOKUP(A2311,[14]PRIORIZADOS!$A:$U,21,FALSE)),"")</f>
        <v>Verificar la actualización del manual de convivencia en un plazo máximo de 31 de julio</v>
      </c>
    </row>
    <row r="2312" spans="1:21" s="1" customFormat="1" ht="60">
      <c r="A2312" s="69">
        <f>IF([14]PRIORIZADOS!A359="","",[14]PRIORIZADOS!A359)</f>
        <v>2280</v>
      </c>
      <c r="B2312" s="70">
        <f>IFERROR(IF(VLOOKUP(A2312,[14]PRIORIZADOS!$A:$B,2,FALSE)="","",VLOOKUP(A2312,[14]PRIORIZADOS!$A:$B,2,FALSE)),"")</f>
        <v>39</v>
      </c>
      <c r="C2312" s="11" t="s">
        <v>424</v>
      </c>
      <c r="D2312" s="11" t="str">
        <f>IFERROR(IF(VLOOKUP(A2312,[14]PRIORIZADOS!$A:$D,4,FALSE)="","",VLOOKUP(A2312,[14]PRIORIZADOS!$A:$D,4,FALSE)),"")</f>
        <v>PRIVADO</v>
      </c>
      <c r="E2312" s="11" t="str">
        <f>IFERROR(IF(VLOOKUP(A2312,[14]PRIORIZADOS!$A:$E,5,FALSE)="","",VLOOKUP(A2312,[14]PRIORIZADOS!$A:$E,5,FALSE)),"")</f>
        <v>EPBM</v>
      </c>
      <c r="F2312" s="11" t="str">
        <f>IFERROR(IF(VLOOKUP(A2312,[14]PRIORIZADOS!$A:$F,6,FALSE)="","",VLOOKUP(A2312,[14]PRIORIZADOS!$A:$F,6,FALSE)),"")</f>
        <v>COLEGIO_SANTO_TORIBIO_DE_MONGROVEJO</v>
      </c>
      <c r="G2312" s="11" t="str">
        <f>IFERROR(IF(VLOOKUP(A2312,[14]PRIORIZADOS!$A:$G,7,FALSE)="","",VLOOKUP(A2312,[14]PRIORIZADOS!$A:$G,7,FALSE)),"")</f>
        <v>COLEGIO SANTO TORIBIO DE MONGROVEJO</v>
      </c>
      <c r="H2312" s="11" t="str">
        <f>IFERROR(IF(VLOOKUP(A2312,[14]PRIORIZADOS!$A:$H,8,FALSE)="","",VLOOKUP(A2312,[14]PRIORIZADOS!$A:$H,8,FALSE)),"")</f>
        <v>Autoevaluación Institucional y Pruebas SABER 11</v>
      </c>
      <c r="I2312" s="11" t="str">
        <f>IFERROR(IF(VLOOKUP(A2312,[14]PRIORIZADOS!$A:$I,9,FALSE)="","",VLOOKUP(A2312,[14]PRIORIZADOS!$A:$I,9,FALSE)),"")</f>
        <v>EVALUACIÓN_CON_FINES_DE_MEJORAMIENTO.</v>
      </c>
      <c r="J2312" s="11" t="str">
        <f>IFERROR(IF(VLOOKUP(A2312,[14]PRIORIZADOS!$A:$J,10,FALSE)="","",VLOOKUP(A2312,[14]PRIORIZADOS!$A:$J,10,FALSE)),"")</f>
        <v>Revisar la actualización, socialización e implementación del Sistema Institucional de Evaluación de Estudiantes - SIEE, en articulación con la actualización del PEI y la normatividad vigente.</v>
      </c>
      <c r="K2312" s="11" t="str">
        <f>IFERROR(IF(VLOOKUP(A2312,[14]PRIORIZADOS!$A:$K,11,FALSE)="","",VLOOKUP(A2312,[14]PRIORIZADOS!$A:$K,11,FALSE)),"")</f>
        <v>JUAN MANUEL SANCHEZ MORA</v>
      </c>
      <c r="L2312" s="11" t="str">
        <f>IFERROR(IF(VLOOKUP(A2312,[14]PRIORIZADOS!$A:$L,12,FALSE)="","",VLOOKUP(A2312,[14]PRIORIZADOS!$A:$L,12,FALSE)),"")</f>
        <v>MARTHA RUT SILVA ABRIL</v>
      </c>
      <c r="M2312" s="71">
        <f>IFERROR(IF(VLOOKUP(A2312,[14]PRIORIZADOS!$A:$M,13,FALSE)="","",VLOOKUP(A2312,[14]PRIORIZADOS!$A:$M,13,FALSE)),"")</f>
        <v>45729</v>
      </c>
      <c r="N2312" s="71">
        <f>IFERROR(IF(VLOOKUP(A2312,[14]PRIORIZADOS!$A:$N,14,FALSE)="","",VLOOKUP(A2312,[14]PRIORIZADOS!$A:$N,14,FALSE)),"")</f>
        <v>45742</v>
      </c>
      <c r="O2312" s="71">
        <f>IFERROR(IF(VLOOKUP(A2312,[14]PRIORIZADOS!$A:$O,15,FALSE)="","",VLOOKUP(A2312,[14]PRIORIZADOS!$A:$O,15,FALSE)),"")</f>
        <v>45742</v>
      </c>
      <c r="P2312" s="11" t="str">
        <f>IFERROR(IF(VLOOKUP(A2312,[14]PRIORIZADOS!$A:$P,16,FALSE)="","",VLOOKUP(A2312,[14]PRIORIZADOS!$A:$P,16,FALSE)),"")</f>
        <v>Visitas de evaluación con fines de mejoramiento</v>
      </c>
      <c r="Q2312" s="7" t="s">
        <v>463</v>
      </c>
      <c r="R2312" s="11" t="str">
        <f>IFERROR(IF(VLOOKUP(A2312,[14]PRIORIZADOS!$A:$R,18,FALSE)="","",VLOOKUP(A2312,[14]PRIORIZADOS!$A:$R,18,FALSE)),"")</f>
        <v xml:space="preserve">Revisado el SIEE cuenta con los criterios de evaluación y promoción, escala valorativa, sin embargo no hay evidencia de la socialización con estudiantes y padres de familia </v>
      </c>
      <c r="S2312" s="11" t="str">
        <f>IFERROR(IF(VLOOKUP(A2312,[14]PRIORIZADOS!$A:$S,19,FALSE)="","",VLOOKUP(A2312,[14]PRIORIZADOS!$A:$S,19,FALSE)),"")</f>
        <v>Realizar la socialización del SIEE con estudiantes y padres de familia. Plan de mejoramiento con fecha de entrega 30 de abril.</v>
      </c>
      <c r="T2312" s="70" t="str">
        <f>IFERROR(IF(VLOOKUP(A2312,[14]PRIORIZADOS!$A:$T,20,FALSE)="","",VLOOKUP(A2312,[14]PRIORIZADOS!$A:$T,20,FALSE)),"")</f>
        <v>Si</v>
      </c>
      <c r="U2312" s="11" t="str">
        <f>IFERROR(IF(VLOOKUP(A2312,[14]PRIORIZADOS!$A:$U,21,FALSE)="","",VLOOKUP(A2312,[14]PRIORIZADOS!$A:$U,21,FALSE)),"")</f>
        <v>Verificar la socialización del SIEE a través de acta con esrudiantes y padres  de familia en un plazo máximo de 31 de julio</v>
      </c>
    </row>
    <row r="2313" spans="1:21" s="1" customFormat="1" ht="48">
      <c r="A2313" s="69">
        <f>IF([14]PRIORIZADOS!A360="","",[14]PRIORIZADOS!A360)</f>
        <v>2281</v>
      </c>
      <c r="B2313" s="70">
        <f>IFERROR(IF(VLOOKUP(A2313,[14]PRIORIZADOS!$A:$B,2,FALSE)="","",VLOOKUP(A2313,[14]PRIORIZADOS!$A:$B,2,FALSE)),"")</f>
        <v>39</v>
      </c>
      <c r="C2313" s="11" t="s">
        <v>424</v>
      </c>
      <c r="D2313" s="11" t="str">
        <f>IFERROR(IF(VLOOKUP(A2313,[14]PRIORIZADOS!$A:$D,4,FALSE)="","",VLOOKUP(A2313,[14]PRIORIZADOS!$A:$D,4,FALSE)),"")</f>
        <v>PRIVADO</v>
      </c>
      <c r="E2313" s="11" t="str">
        <f>IFERROR(IF(VLOOKUP(A2313,[14]PRIORIZADOS!$A:$E,5,FALSE)="","",VLOOKUP(A2313,[14]PRIORIZADOS!$A:$E,5,FALSE)),"")</f>
        <v>EPBM</v>
      </c>
      <c r="F2313" s="11" t="str">
        <f>IFERROR(IF(VLOOKUP(A2313,[14]PRIORIZADOS!$A:$F,6,FALSE)="","",VLOOKUP(A2313,[14]PRIORIZADOS!$A:$F,6,FALSE)),"")</f>
        <v>COLEGIO_SANTO_TORIBIO_DE_MONGROVEJO</v>
      </c>
      <c r="G2313" s="11" t="str">
        <f>IFERROR(IF(VLOOKUP(A2313,[14]PRIORIZADOS!$A:$G,7,FALSE)="","",VLOOKUP(A2313,[14]PRIORIZADOS!$A:$G,7,FALSE)),"")</f>
        <v>COLEGIO SANTO TORIBIO DE MONGROVEJO</v>
      </c>
      <c r="H2313" s="11" t="str">
        <f>IFERROR(IF(VLOOKUP(A2313,[14]PRIORIZADOS!$A:$H,8,FALSE)="","",VLOOKUP(A2313,[14]PRIORIZADOS!$A:$H,8,FALSE)),"")</f>
        <v>Autoevaluación Institucional y Pruebas SABER 11</v>
      </c>
      <c r="I2313" s="11" t="str">
        <f>IFERROR(IF(VLOOKUP(A2313,[14]PRIORIZADOS!$A:$I,9,FALSE)="","",VLOOKUP(A2313,[14]PRIORIZADOS!$A:$I,9,FALSE)),"")</f>
        <v>EVALUACIÓN_CON_FINES_DE_MEJORAMIENTO.</v>
      </c>
      <c r="J2313" s="11" t="str">
        <f>IFERROR(IF(VLOOKUP(A2313,[14]PRIORIZADOS!$A:$J,10,FALSE)="","",VLOOKUP(A2313,[14]PRIORIZADOS!$A:$J,10,FALSE)),"")</f>
        <v>Revisar el calendario escolar, jornada escolar, la intensidad horaria mínima anual en cada nivel y las modificaciones que se realicen al mismo, de acuerdo con lo previsto en la normatividad vigente.</v>
      </c>
      <c r="K2313" s="11" t="str">
        <f>IFERROR(IF(VLOOKUP(A2313,[14]PRIORIZADOS!$A:$K,11,FALSE)="","",VLOOKUP(A2313,[14]PRIORIZADOS!$A:$K,11,FALSE)),"")</f>
        <v>JUAN MANUEL SANCHEZ MORA</v>
      </c>
      <c r="L2313" s="11" t="str">
        <f>IFERROR(IF(VLOOKUP(A2313,[14]PRIORIZADOS!$A:$L,12,FALSE)="","",VLOOKUP(A2313,[14]PRIORIZADOS!$A:$L,12,FALSE)),"")</f>
        <v>MARTHA RUT SILVA ABRIL</v>
      </c>
      <c r="M2313" s="71">
        <f>IFERROR(IF(VLOOKUP(A2313,[14]PRIORIZADOS!$A:$M,13,FALSE)="","",VLOOKUP(A2313,[14]PRIORIZADOS!$A:$M,13,FALSE)),"")</f>
        <v>45729</v>
      </c>
      <c r="N2313" s="71">
        <f>IFERROR(IF(VLOOKUP(A2313,[14]PRIORIZADOS!$A:$N,14,FALSE)="","",VLOOKUP(A2313,[14]PRIORIZADOS!$A:$N,14,FALSE)),"")</f>
        <v>45742</v>
      </c>
      <c r="O2313" s="71">
        <f>IFERROR(IF(VLOOKUP(A2313,[14]PRIORIZADOS!$A:$O,15,FALSE)="","",VLOOKUP(A2313,[14]PRIORIZADOS!$A:$O,15,FALSE)),"")</f>
        <v>45742</v>
      </c>
      <c r="P2313" s="11" t="str">
        <f>IFERROR(IF(VLOOKUP(A2313,[14]PRIORIZADOS!$A:$P,16,FALSE)="","",VLOOKUP(A2313,[14]PRIORIZADOS!$A:$P,16,FALSE)),"")</f>
        <v>Visitas de evaluación con fines de mejoramiento</v>
      </c>
      <c r="Q2313" s="7" t="s">
        <v>463</v>
      </c>
      <c r="R2313" s="11" t="str">
        <f>IFERROR(IF(VLOOKUP(A2313,[14]PRIORIZADOS!$A:$R,18,FALSE)="","",VLOOKUP(A2313,[14]PRIORIZADOS!$A:$R,18,FALSE)),"")</f>
        <v xml:space="preserve">Cumple con el número de semanas y horas por cada nivel y realizó reporte de información del calendario escolar. </v>
      </c>
      <c r="S2313" s="11" t="str">
        <f>IFERROR(IF(VLOOKUP(A2313,[14]PRIORIZADOS!$A:$S,19,FALSE)="","",VLOOKUP(A2313,[14]PRIORIZADOS!$A:$S,19,FALSE)),"")</f>
        <v xml:space="preserve">Continuar con el cumplimiento del calendario  </v>
      </c>
      <c r="T2313" s="70" t="str">
        <f>IFERROR(IF(VLOOKUP(A2313,[14]PRIORIZADOS!$A:$T,20,FALSE)="","",VLOOKUP(A2313,[14]PRIORIZADOS!$A:$T,20,FALSE)),"")</f>
        <v>No</v>
      </c>
      <c r="U2313" s="11" t="str">
        <f>IFERROR(IF(VLOOKUP(A2313,[14]PRIORIZADOS!$A:$U,21,FALSE)="","",VLOOKUP(A2313,[14]PRIORIZADOS!$A:$U,21,FALSE)),"")</f>
        <v xml:space="preserve">Continuar con el cumplimiento del calendario, se realizará seguimento en el primer trimestre de 2026 </v>
      </c>
    </row>
    <row r="2314" spans="1:21" s="1" customFormat="1" ht="48">
      <c r="A2314" s="69">
        <f>IF([14]PRIORIZADOS!A361="","",[14]PRIORIZADOS!A361)</f>
        <v>2282</v>
      </c>
      <c r="B2314" s="70">
        <f>IFERROR(IF(VLOOKUP(A2314,[14]PRIORIZADOS!$A:$B,2,FALSE)="","",VLOOKUP(A2314,[14]PRIORIZADOS!$A:$B,2,FALSE)),"")</f>
        <v>39</v>
      </c>
      <c r="C2314" s="11" t="s">
        <v>424</v>
      </c>
      <c r="D2314" s="11" t="str">
        <f>IFERROR(IF(VLOOKUP(A2314,[14]PRIORIZADOS!$A:$D,4,FALSE)="","",VLOOKUP(A2314,[14]PRIORIZADOS!$A:$D,4,FALSE)),"")</f>
        <v>PRIVADO</v>
      </c>
      <c r="E2314" s="11" t="str">
        <f>IFERROR(IF(VLOOKUP(A2314,[14]PRIORIZADOS!$A:$E,5,FALSE)="","",VLOOKUP(A2314,[14]PRIORIZADOS!$A:$E,5,FALSE)),"")</f>
        <v>EPBM</v>
      </c>
      <c r="F2314" s="11" t="str">
        <f>IFERROR(IF(VLOOKUP(A2314,[14]PRIORIZADOS!$A:$F,6,FALSE)="","",VLOOKUP(A2314,[14]PRIORIZADOS!$A:$F,6,FALSE)),"")</f>
        <v>COLEGIO_SANTO_TORIBIO_DE_MONGROVEJO</v>
      </c>
      <c r="G2314" s="11" t="str">
        <f>IFERROR(IF(VLOOKUP(A2314,[14]PRIORIZADOS!$A:$G,7,FALSE)="","",VLOOKUP(A2314,[14]PRIORIZADOS!$A:$G,7,FALSE)),"")</f>
        <v>COLEGIO SANTO TORIBIO DE MONGROVEJO</v>
      </c>
      <c r="H2314" s="11" t="str">
        <f>IFERROR(IF(VLOOKUP(A2314,[14]PRIORIZADOS!$A:$H,8,FALSE)="","",VLOOKUP(A2314,[14]PRIORIZADOS!$A:$H,8,FALSE)),"")</f>
        <v>Autoevaluación Institucional y Pruebas SABER 11</v>
      </c>
      <c r="I2314" s="11" t="str">
        <f>IFERROR(IF(VLOOKUP(A2314,[14]PRIORIZADOS!$A:$I,9,FALSE)="","",VLOOKUP(A2314,[14]PRIORIZADOS!$A:$I,9,FALSE)),"")</f>
        <v>EVALUACIÓN_CON_FINES_DE_MEJORAMIENTO.</v>
      </c>
      <c r="J2314" s="11" t="str">
        <f>IFERROR(IF(VLOOKUP(A2314,[14]PRIORIZADOS!$A:$J,10,FALSE)="","",VLOOKUP(A2314,[14]PRIORIZADOS!$A:$J,10,FALSE)),"")</f>
        <v>Verificar el funcionamiento del Gobierno Escolar e instancias de participación con base en la información sobre conformación reportada por la institución educativa.</v>
      </c>
      <c r="K2314" s="11" t="str">
        <f>IFERROR(IF(VLOOKUP(A2314,[14]PRIORIZADOS!$A:$K,11,FALSE)="","",VLOOKUP(A2314,[14]PRIORIZADOS!$A:$K,11,FALSE)),"")</f>
        <v>JUAN MANUEL SANCHEZ MORA</v>
      </c>
      <c r="L2314" s="11" t="str">
        <f>IFERROR(IF(VLOOKUP(A2314,[14]PRIORIZADOS!$A:$L,12,FALSE)="","",VLOOKUP(A2314,[14]PRIORIZADOS!$A:$L,12,FALSE)),"")</f>
        <v>MARTHA RUT SILVA ABRIL</v>
      </c>
      <c r="M2314" s="71">
        <f>IFERROR(IF(VLOOKUP(A2314,[14]PRIORIZADOS!$A:$M,13,FALSE)="","",VLOOKUP(A2314,[14]PRIORIZADOS!$A:$M,13,FALSE)),"")</f>
        <v>45729</v>
      </c>
      <c r="N2314" s="71">
        <f>IFERROR(IF(VLOOKUP(A2314,[14]PRIORIZADOS!$A:$N,14,FALSE)="","",VLOOKUP(A2314,[14]PRIORIZADOS!$A:$N,14,FALSE)),"")</f>
        <v>45742</v>
      </c>
      <c r="O2314" s="71">
        <f>IFERROR(IF(VLOOKUP(A2314,[14]PRIORIZADOS!$A:$O,15,FALSE)="","",VLOOKUP(A2314,[14]PRIORIZADOS!$A:$O,15,FALSE)),"")</f>
        <v>45742</v>
      </c>
      <c r="P2314" s="11" t="str">
        <f>IFERROR(IF(VLOOKUP(A2314,[14]PRIORIZADOS!$A:$P,16,FALSE)="","",VLOOKUP(A2314,[14]PRIORIZADOS!$A:$P,16,FALSE)),"")</f>
        <v>Visitas de evaluación con fines de mejoramiento</v>
      </c>
      <c r="Q2314" s="7" t="s">
        <v>463</v>
      </c>
      <c r="R2314" s="11" t="str">
        <f>IFERROR(IF(VLOOKUP(A2314,[14]PRIORIZADOS!$A:$R,18,FALSE)="","",VLOOKUP(A2314,[14]PRIORIZADOS!$A:$R,18,FALSE)),"")</f>
        <v>Se conformó el gobierno escolar con reporte en el aplicativo SAE y se evidencian actas de reunión de los óragcos de gobierno.</v>
      </c>
      <c r="S2314" s="11" t="str">
        <f>IFERROR(IF(VLOOKUP(A2314,[14]PRIORIZADOS!$A:$S,19,FALSE)="","",VLOOKUP(A2314,[14]PRIORIZADOS!$A:$S,19,FALSE)),"")</f>
        <v xml:space="preserve">Realizar las reuniones periodicas de cada uno de los estamentos de gobierno escolar </v>
      </c>
      <c r="T2314" s="70" t="str">
        <f>IFERROR(IF(VLOOKUP(A2314,[14]PRIORIZADOS!$A:$T,20,FALSE)="","",VLOOKUP(A2314,[14]PRIORIZADOS!$A:$T,20,FALSE)),"")</f>
        <v>No</v>
      </c>
      <c r="U2314" s="11" t="str">
        <f>IFERROR(IF(VLOOKUP(A2314,[14]PRIORIZADOS!$A:$U,21,FALSE)="","",VLOOKUP(A2314,[14]PRIORIZADOS!$A:$U,21,FALSE)),"")</f>
        <v>Continuar con las reuniones de los óganos de gobierno</v>
      </c>
    </row>
    <row r="2315" spans="1:21" s="1" customFormat="1" ht="60">
      <c r="A2315" s="69">
        <f>IF([14]PRIORIZADOS!A362="","",[14]PRIORIZADOS!A362)</f>
        <v>2283</v>
      </c>
      <c r="B2315" s="70">
        <f>IFERROR(IF(VLOOKUP(A2315,[14]PRIORIZADOS!$A:$B,2,FALSE)="","",VLOOKUP(A2315,[14]PRIORIZADOS!$A:$B,2,FALSE)),"")</f>
        <v>39</v>
      </c>
      <c r="C2315" s="11" t="s">
        <v>424</v>
      </c>
      <c r="D2315" s="11" t="str">
        <f>IFERROR(IF(VLOOKUP(A2315,[14]PRIORIZADOS!$A:$D,4,FALSE)="","",VLOOKUP(A2315,[14]PRIORIZADOS!$A:$D,4,FALSE)),"")</f>
        <v>PRIVADO</v>
      </c>
      <c r="E2315" s="11" t="str">
        <f>IFERROR(IF(VLOOKUP(A2315,[14]PRIORIZADOS!$A:$E,5,FALSE)="","",VLOOKUP(A2315,[14]PRIORIZADOS!$A:$E,5,FALSE)),"")</f>
        <v>EPBM</v>
      </c>
      <c r="F2315" s="11" t="str">
        <f>IFERROR(IF(VLOOKUP(A2315,[14]PRIORIZADOS!$A:$F,6,FALSE)="","",VLOOKUP(A2315,[14]PRIORIZADOS!$A:$F,6,FALSE)),"")</f>
        <v>COLEGIO_SANTO_TORIBIO_DE_MONGROVEJO</v>
      </c>
      <c r="G2315" s="11" t="str">
        <f>IFERROR(IF(VLOOKUP(A2315,[14]PRIORIZADOS!$A:$G,7,FALSE)="","",VLOOKUP(A2315,[14]PRIORIZADOS!$A:$G,7,FALSE)),"")</f>
        <v>COLEGIO SANTO TORIBIO DE MONGROVEJO</v>
      </c>
      <c r="H2315" s="11" t="str">
        <f>IFERROR(IF(VLOOKUP(A2315,[14]PRIORIZADOS!$A:$H,8,FALSE)="","",VLOOKUP(A2315,[14]PRIORIZADOS!$A:$H,8,FALSE)),"")</f>
        <v>Autoevaluación Institucional y Pruebas SABER 11</v>
      </c>
      <c r="I2315" s="11" t="str">
        <f>IFERROR(IF(VLOOKUP(A2315,[14]PRIORIZADOS!$A:$I,9,FALSE)="","",VLOOKUP(A2315,[14]PRIORIZADOS!$A:$I,9,FALSE)),"")</f>
        <v>EVALUACIÓN_CON_FINES_DE_MEJORAMIENTO.</v>
      </c>
      <c r="J2315" s="11" t="str">
        <f>IFERROR(IF(VLOOKUP(A2315,[14]PRIORIZADOS!$A:$J,10,FALSE)="","",VLOOKUP(A2315,[14]PRIORIZADOS!$A:$J,10,FALSE)),"")</f>
        <v>Verificar las condiciones en cuanto a: la estructura administrativa, condiciones de la planta física y medios educativos adecuados.</v>
      </c>
      <c r="K2315" s="11" t="str">
        <f>IFERROR(IF(VLOOKUP(A2315,[14]PRIORIZADOS!$A:$K,11,FALSE)="","",VLOOKUP(A2315,[14]PRIORIZADOS!$A:$K,11,FALSE)),"")</f>
        <v>JUAN MANUEL SANCHEZ MORA</v>
      </c>
      <c r="L2315" s="11" t="str">
        <f>IFERROR(IF(VLOOKUP(A2315,[14]PRIORIZADOS!$A:$L,12,FALSE)="","",VLOOKUP(A2315,[14]PRIORIZADOS!$A:$L,12,FALSE)),"")</f>
        <v>MARTHA RUT SILVA ABRIL</v>
      </c>
      <c r="M2315" s="71">
        <f>IFERROR(IF(VLOOKUP(A2315,[14]PRIORIZADOS!$A:$M,13,FALSE)="","",VLOOKUP(A2315,[14]PRIORIZADOS!$A:$M,13,FALSE)),"")</f>
        <v>45729</v>
      </c>
      <c r="N2315" s="71">
        <f>IFERROR(IF(VLOOKUP(A2315,[14]PRIORIZADOS!$A:$N,14,FALSE)="","",VLOOKUP(A2315,[14]PRIORIZADOS!$A:$N,14,FALSE)),"")</f>
        <v>45742</v>
      </c>
      <c r="O2315" s="71">
        <f>IFERROR(IF(VLOOKUP(A2315,[14]PRIORIZADOS!$A:$O,15,FALSE)="","",VLOOKUP(A2315,[14]PRIORIZADOS!$A:$O,15,FALSE)),"")</f>
        <v>45742</v>
      </c>
      <c r="P2315" s="11" t="str">
        <f>IFERROR(IF(VLOOKUP(A2315,[14]PRIORIZADOS!$A:$P,16,FALSE)="","",VLOOKUP(A2315,[14]PRIORIZADOS!$A:$P,16,FALSE)),"")</f>
        <v>Visitas de evaluación con fines de mejoramiento</v>
      </c>
      <c r="Q2315" s="7" t="s">
        <v>463</v>
      </c>
      <c r="R2315" s="11" t="str">
        <f>IFERROR(IF(VLOOKUP(A2315,[14]PRIORIZADOS!$A:$R,18,FALSE)="","",VLOOKUP(A2315,[14]PRIORIZADOS!$A:$R,18,FALSE)),"")</f>
        <v>Se encontró que los espacios pedagogicos de biblioteca, sala de sistemas, áreas comunes y baterias de baños no se encuentran adecuados para la población con discapacidad.</v>
      </c>
      <c r="S2315" s="11" t="str">
        <f>IFERROR(IF(VLOOKUP(A2315,[14]PRIORIZADOS!$A:$S,19,FALSE)="","",VLOOKUP(A2315,[14]PRIORIZADOS!$A:$S,19,FALSE)),"")</f>
        <v>Realizar las adecuaciones en los espacios mencionados. Plan de mejoramiento con fecha de entrega 30 de abril.</v>
      </c>
      <c r="T2315" s="70" t="str">
        <f>IFERROR(IF(VLOOKUP(A2315,[14]PRIORIZADOS!$A:$T,20,FALSE)="","",VLOOKUP(A2315,[14]PRIORIZADOS!$A:$T,20,FALSE)),"")</f>
        <v>Si</v>
      </c>
      <c r="U2315" s="11" t="str">
        <f>IFERROR(IF(VLOOKUP(A2315,[14]PRIORIZADOS!$A:$U,21,FALSE)="","",VLOOKUP(A2315,[14]PRIORIZADOS!$A:$U,21,FALSE)),"")</f>
        <v>informe de seguimiento del avance con registro fotográfico, en un plazo máximo de 31 de julio</v>
      </c>
    </row>
    <row r="2316" spans="1:21" s="1" customFormat="1" ht="36">
      <c r="A2316" s="69">
        <f>IF([14]PRIORIZADOS!A363="","",[14]PRIORIZADOS!A363)</f>
        <v>2284</v>
      </c>
      <c r="B2316" s="70">
        <f>IFERROR(IF(VLOOKUP(A2316,[14]PRIORIZADOS!$A:$B,2,FALSE)="","",VLOOKUP(A2316,[14]PRIORIZADOS!$A:$B,2,FALSE)),"")</f>
        <v>40</v>
      </c>
      <c r="C2316" s="11" t="s">
        <v>424</v>
      </c>
      <c r="D2316" s="11" t="str">
        <f>IFERROR(IF(VLOOKUP(A2316,[14]PRIORIZADOS!$A:$D,4,FALSE)="","",VLOOKUP(A2316,[14]PRIORIZADOS!$A:$D,4,FALSE)),"")</f>
        <v>PRIVADO</v>
      </c>
      <c r="E2316" s="11" t="str">
        <f>IFERROR(IF(VLOOKUP(A2316,[14]PRIORIZADOS!$A:$E,5,FALSE)="","",VLOOKUP(A2316,[14]PRIORIZADOS!$A:$E,5,FALSE)),"")</f>
        <v>EPBM</v>
      </c>
      <c r="F2316" s="11" t="str">
        <f>IFERROR(IF(VLOOKUP(A2316,[14]PRIORIZADOS!$A:$F,6,FALSE)="","",VLOOKUP(A2316,[14]PRIORIZADOS!$A:$F,6,FALSE)),"")</f>
        <v>LICEO_EMPRESARIAL_DEL_CAMPO</v>
      </c>
      <c r="G2316" s="11" t="str">
        <f>IFERROR(IF(VLOOKUP(A2316,[14]PRIORIZADOS!$A:$G,7,FALSE)="","",VLOOKUP(A2316,[14]PRIORIZADOS!$A:$G,7,FALSE)),"")</f>
        <v>LICEO EMPRESARIAL DEL CAMPO</v>
      </c>
      <c r="H2316" s="11" t="str">
        <f>IFERROR(IF(VLOOKUP(A2316,[14]PRIORIZADOS!$A:$H,8,FALSE)="","",VLOOKUP(A2316,[14]PRIORIZADOS!$A:$H,8,FALSE)),"")</f>
        <v>Autoevaluación Institucional y Pruebas SABER 11</v>
      </c>
      <c r="I2316" s="11" t="str">
        <f>IFERROR(IF(VLOOKUP(A2316,[14]PRIORIZADOS!$A:$I,9,FALSE)="","",VLOOKUP(A2316,[14]PRIORIZADOS!$A:$I,9,FALSE)),"")</f>
        <v>SEGUIMIENTO_Y_SUPERVISIÓN.</v>
      </c>
      <c r="J2316" s="11" t="str">
        <f>IFERROR(IF(VLOOKUP(A2316,[14]PRIORIZADOS!$A:$J,10,FALSE)="","",VLOOKUP(A2316,[14]PRIORIZADOS!$A:$J,10,FALSE)),"")</f>
        <v>Realizar visitas para verificar la información registrada sobre la autoevaluación institucional en el aplicativo EVI, a los establecimientos de educación formal no oficial.</v>
      </c>
      <c r="K2316" s="11" t="str">
        <f>IFERROR(IF(VLOOKUP(A2316,[14]PRIORIZADOS!$A:$K,11,FALSE)="","",VLOOKUP(A2316,[14]PRIORIZADOS!$A:$K,11,FALSE)),"")</f>
        <v>SONIA YAMILE ARTEAGA MELO</v>
      </c>
      <c r="L2316" s="11" t="str">
        <f>IFERROR(IF(VLOOKUP(A2316,[14]PRIORIZADOS!$A:$L,12,FALSE)="","",VLOOKUP(A2316,[14]PRIORIZADOS!$A:$L,12,FALSE)),"")</f>
        <v>JENNIFFER ESPERANZA GONZÁLEZ GÓMEZ</v>
      </c>
      <c r="M2316" s="71">
        <f>IFERROR(IF(VLOOKUP(A2316,[14]PRIORIZADOS!$A:$M,13,FALSE)="","",VLOOKUP(A2316,[14]PRIORIZADOS!$A:$M,13,FALSE)),"")</f>
        <v>45951</v>
      </c>
      <c r="N2316" s="71">
        <f>IFERROR(IF(VLOOKUP(A2316,[14]PRIORIZADOS!$A:$N,14,FALSE)="","",VLOOKUP(A2316,[14]PRIORIZADOS!$A:$N,14,FALSE)),"")</f>
        <v>45926</v>
      </c>
      <c r="O2316" s="71">
        <f>IFERROR(IF(VLOOKUP(A2316,[14]PRIORIZADOS!$A:$O,15,FALSE)="","",VLOOKUP(A2316,[14]PRIORIZADOS!$A:$O,15,FALSE)),"")</f>
        <v>45926</v>
      </c>
      <c r="P2316" s="11" t="str">
        <f>IFERROR(IF(VLOOKUP(A2316,[14]PRIORIZADOS!$A:$P,16,FALSE)="","",VLOOKUP(A2316,[14]PRIORIZADOS!$A:$P,16,FALSE)),"")</f>
        <v>Visitas de evaluación con fines de seguimiento</v>
      </c>
      <c r="Q2316" s="22" t="s">
        <v>464</v>
      </c>
      <c r="R2316" s="11" t="str">
        <f>IFERROR(IF(VLOOKUP(A2316,[14]PRIORIZADOS!$A:$R,18,FALSE)="","",VLOOKUP(A2316,[14]PRIORIZADOS!$A:$R,18,FALSE)),"")</f>
        <v>Información registrada en la plataforma EVI del MEN, para el año 2025, coincide con lo identificado en la visita administrativa</v>
      </c>
      <c r="S2316" s="11" t="str">
        <f>IFERROR(IF(VLOOKUP(A2316,[14]PRIORIZADOS!$A:$S,19,FALSE)="","",VLOOKUP(A2316,[14]PRIORIZADOS!$A:$S,19,FALSE)),"")</f>
        <v>Continuar realizando reporte de acuerdo con situación real de la institución.</v>
      </c>
      <c r="T2316" s="70" t="str">
        <f>IFERROR(IF(VLOOKUP(A2316,[14]PRIORIZADOS!$A:$T,20,FALSE)="","",VLOOKUP(A2316,[14]PRIORIZADOS!$A:$T,20,FALSE)),"")</f>
        <v>No</v>
      </c>
      <c r="U2316" s="11" t="str">
        <f>IFERROR(IF(VLOOKUP(A2316,[14]PRIORIZADOS!$A:$U,21,FALSE)="","",VLOOKUP(A2316,[14]PRIORIZADOS!$A:$U,21,FALSE)),"")</f>
        <v>Verificar el diligenciamiento y publicación de documentos en el aplicativo EVI para la vigencia 2026.</v>
      </c>
    </row>
    <row r="2317" spans="1:21" s="1" customFormat="1" ht="60">
      <c r="A2317" s="69">
        <f>IF([14]PRIORIZADOS!A364="","",[14]PRIORIZADOS!A364)</f>
        <v>2285</v>
      </c>
      <c r="B2317" s="70">
        <f>IFERROR(IF(VLOOKUP(A2317,[14]PRIORIZADOS!$A:$B,2,FALSE)="","",VLOOKUP(A2317,[14]PRIORIZADOS!$A:$B,2,FALSE)),"")</f>
        <v>40</v>
      </c>
      <c r="C2317" s="11" t="s">
        <v>424</v>
      </c>
      <c r="D2317" s="11" t="str">
        <f>IFERROR(IF(VLOOKUP(A2317,[14]PRIORIZADOS!$A:$D,4,FALSE)="","",VLOOKUP(A2317,[14]PRIORIZADOS!$A:$D,4,FALSE)),"")</f>
        <v>PRIVADO</v>
      </c>
      <c r="E2317" s="11" t="str">
        <f>IFERROR(IF(VLOOKUP(A2317,[14]PRIORIZADOS!$A:$E,5,FALSE)="","",VLOOKUP(A2317,[14]PRIORIZADOS!$A:$E,5,FALSE)),"")</f>
        <v>EPBM</v>
      </c>
      <c r="F2317" s="11" t="str">
        <f>IFERROR(IF(VLOOKUP(A2317,[14]PRIORIZADOS!$A:$F,6,FALSE)="","",VLOOKUP(A2317,[14]PRIORIZADOS!$A:$F,6,FALSE)),"")</f>
        <v>LICEO_EMPRESARIAL_DEL_CAMPO</v>
      </c>
      <c r="G2317" s="11" t="str">
        <f>IFERROR(IF(VLOOKUP(A2317,[14]PRIORIZADOS!$A:$G,7,FALSE)="","",VLOOKUP(A2317,[14]PRIORIZADOS!$A:$G,7,FALSE)),"")</f>
        <v>LICEO EMPRESARIAL DEL CAMPO</v>
      </c>
      <c r="H2317" s="11" t="str">
        <f>IFERROR(IF(VLOOKUP(A2317,[14]PRIORIZADOS!$A:$H,8,FALSE)="","",VLOOKUP(A2317,[14]PRIORIZADOS!$A:$H,8,FALSE)),"")</f>
        <v>Autoevaluación Institucional y Pruebas SABER 11</v>
      </c>
      <c r="I2317" s="11" t="str">
        <f>IFERROR(IF(VLOOKUP(A2317,[14]PRIORIZADOS!$A:$I,9,FALSE)="","",VLOOKUP(A2317,[14]PRIORIZADOS!$A:$I,9,FALSE)),"")</f>
        <v>SEGUIMIENTO_Y_SUPERVISIÓN.</v>
      </c>
      <c r="J2317" s="11" t="str">
        <f>IFERROR(IF(VLOOKUP(A2317,[14]PRIORIZADOS!$A:$J,10,FALSE)="","",VLOOKUP(A2317,[14]PRIORIZADOS!$A:$J,10,FALSE)),"")</f>
        <v>Proponer estrategias en la formulación, verificar su elaboración y realizar seguimiento semestral al desarrollo de  las acciones establecidas en los planes de mejoramiento por pruebas SABER 11 de los establecimientos de educación formal.</v>
      </c>
      <c r="K2317" s="11" t="str">
        <f>IFERROR(IF(VLOOKUP(A2317,[14]PRIORIZADOS!$A:$K,11,FALSE)="","",VLOOKUP(A2317,[14]PRIORIZADOS!$A:$K,11,FALSE)),"")</f>
        <v>SONIA YAMILE ARTEAGA MELO</v>
      </c>
      <c r="L2317" s="11" t="str">
        <f>IFERROR(IF(VLOOKUP(A2317,[14]PRIORIZADOS!$A:$L,12,FALSE)="","",VLOOKUP(A2317,[14]PRIORIZADOS!$A:$L,12,FALSE)),"")</f>
        <v>JENNIFFER ESPERANZA GONZÁLEZ GÓMEZ</v>
      </c>
      <c r="M2317" s="71">
        <f>IFERROR(IF(VLOOKUP(A2317,[14]PRIORIZADOS!$A:$M,13,FALSE)="","",VLOOKUP(A2317,[14]PRIORIZADOS!$A:$M,13,FALSE)),"")</f>
        <v>45951</v>
      </c>
      <c r="N2317" s="71">
        <f>IFERROR(IF(VLOOKUP(A2317,[14]PRIORIZADOS!$A:$N,14,FALSE)="","",VLOOKUP(A2317,[14]PRIORIZADOS!$A:$N,14,FALSE)),"")</f>
        <v>45926</v>
      </c>
      <c r="O2317" s="71">
        <f>IFERROR(IF(VLOOKUP(A2317,[14]PRIORIZADOS!$A:$O,15,FALSE)="","",VLOOKUP(A2317,[14]PRIORIZADOS!$A:$O,15,FALSE)),"")</f>
        <v>45926</v>
      </c>
      <c r="P2317" s="11" t="str">
        <f>IFERROR(IF(VLOOKUP(A2317,[14]PRIORIZADOS!$A:$P,16,FALSE)="","",VLOOKUP(A2317,[14]PRIORIZADOS!$A:$P,16,FALSE)),"")</f>
        <v>Visitas de evaluación con fines de seguimiento</v>
      </c>
      <c r="Q2317" s="22" t="s">
        <v>464</v>
      </c>
      <c r="R2317" s="11" t="str">
        <f>IFERROR(IF(VLOOKUP(A2317,[14]PRIORIZADOS!$A:$R,18,FALSE)="","",VLOOKUP(A2317,[14]PRIORIZADOS!$A:$R,18,FALSE)),"")</f>
        <v>Se evidencia seguimiento al resultado de las pruebas SABER, implementación de acciones para mejora coordinadas desde el Consejo Académico.</v>
      </c>
      <c r="S2317" s="11" t="str">
        <f>IFERROR(IF(VLOOKUP(A2317,[14]PRIORIZADOS!$A:$S,19,FALSE)="","",VLOOKUP(A2317,[14]PRIORIZADOS!$A:$S,19,FALSE)),"")</f>
        <v>Continuar seguimiento y evaluación de resultados frente a estrategias implementadas en el actual periodo.</v>
      </c>
      <c r="T2317" s="70" t="str">
        <f>IFERROR(IF(VLOOKUP(A2317,[14]PRIORIZADOS!$A:$T,20,FALSE)="","",VLOOKUP(A2317,[14]PRIORIZADOS!$A:$T,20,FALSE)),"")</f>
        <v>No</v>
      </c>
      <c r="U2317" s="11" t="str">
        <f>IFERROR(IF(VLOOKUP(A2317,[14]PRIORIZADOS!$A:$U,21,FALSE)="","",VLOOKUP(A2317,[14]PRIORIZADOS!$A:$U,21,FALSE)),"")</f>
        <v>Verificar resultados de evaluación de las pruebas SABER 11, del año lectivo 2025.</v>
      </c>
    </row>
    <row r="2318" spans="1:21" s="1" customFormat="1" ht="48">
      <c r="A2318" s="69">
        <f>IF([14]PRIORIZADOS!A365="","",[14]PRIORIZADOS!A365)</f>
        <v>2286</v>
      </c>
      <c r="B2318" s="70">
        <f>IFERROR(IF(VLOOKUP(A2318,[14]PRIORIZADOS!$A:$B,2,FALSE)="","",VLOOKUP(A2318,[14]PRIORIZADOS!$A:$B,2,FALSE)),"")</f>
        <v>40</v>
      </c>
      <c r="C2318" s="11" t="s">
        <v>424</v>
      </c>
      <c r="D2318" s="11" t="str">
        <f>IFERROR(IF(VLOOKUP(A2318,[14]PRIORIZADOS!$A:$D,4,FALSE)="","",VLOOKUP(A2318,[14]PRIORIZADOS!$A:$D,4,FALSE)),"")</f>
        <v>PRIVADO</v>
      </c>
      <c r="E2318" s="11" t="str">
        <f>IFERROR(IF(VLOOKUP(A2318,[14]PRIORIZADOS!$A:$E,5,FALSE)="","",VLOOKUP(A2318,[14]PRIORIZADOS!$A:$E,5,FALSE)),"")</f>
        <v>EPBM</v>
      </c>
      <c r="F2318" s="11" t="str">
        <f>IFERROR(IF(VLOOKUP(A2318,[14]PRIORIZADOS!$A:$F,6,FALSE)="","",VLOOKUP(A2318,[14]PRIORIZADOS!$A:$F,6,FALSE)),"")</f>
        <v>LICEO_EMPRESARIAL_DEL_CAMPO</v>
      </c>
      <c r="G2318" s="11" t="str">
        <f>IFERROR(IF(VLOOKUP(A2318,[14]PRIORIZADOS!$A:$G,7,FALSE)="","",VLOOKUP(A2318,[14]PRIORIZADOS!$A:$G,7,FALSE)),"")</f>
        <v>LICEO EMPRESARIAL DEL CAMPO</v>
      </c>
      <c r="H2318" s="11" t="str">
        <f>IFERROR(IF(VLOOKUP(A2318,[14]PRIORIZADOS!$A:$H,8,FALSE)="","",VLOOKUP(A2318,[14]PRIORIZADOS!$A:$H,8,FALSE)),"")</f>
        <v>Autoevaluación Institucional y Pruebas SABER 11</v>
      </c>
      <c r="I2318" s="11" t="str">
        <f>IFERROR(IF(VLOOKUP(A2318,[14]PRIORIZADOS!$A:$I,9,FALSE)="","",VLOOKUP(A2318,[14]PRIORIZADOS!$A:$I,9,FALSE)),"")</f>
        <v>SEGUIMIENTO_Y_SUPERVISIÓN.</v>
      </c>
      <c r="J2318" s="11" t="str">
        <f>IFERROR(IF(VLOOKUP(A2318,[14]PRIORIZADOS!$A:$J,10,FALSE)="","",VLOOKUP(A2318,[14]PRIORIZADOS!$A:$J,10,FALSE)),"")</f>
        <v xml:space="preserve">Verificar la implementación por parte de los colegios, de acciones realizadas para la prevención y atención de las situaciones de convivencia en el entorno escolar, según lo establecido en la Directiva 01 de 2022 del MEN. </v>
      </c>
      <c r="K2318" s="11" t="str">
        <f>IFERROR(IF(VLOOKUP(A2318,[14]PRIORIZADOS!$A:$K,11,FALSE)="","",VLOOKUP(A2318,[14]PRIORIZADOS!$A:$K,11,FALSE)),"")</f>
        <v>SONIA YAMILE ARTEAGA MELO</v>
      </c>
      <c r="L2318" s="11" t="str">
        <f>IFERROR(IF(VLOOKUP(A2318,[14]PRIORIZADOS!$A:$L,12,FALSE)="","",VLOOKUP(A2318,[14]PRIORIZADOS!$A:$L,12,FALSE)),"")</f>
        <v>JENNIFFER ESPERANZA GONZÁLEZ GÓMEZ</v>
      </c>
      <c r="M2318" s="71">
        <f>IFERROR(IF(VLOOKUP(A2318,[14]PRIORIZADOS!$A:$M,13,FALSE)="","",VLOOKUP(A2318,[14]PRIORIZADOS!$A:$M,13,FALSE)),"")</f>
        <v>45951</v>
      </c>
      <c r="N2318" s="71">
        <f>IFERROR(IF(VLOOKUP(A2318,[14]PRIORIZADOS!$A:$N,14,FALSE)="","",VLOOKUP(A2318,[14]PRIORIZADOS!$A:$N,14,FALSE)),"")</f>
        <v>45926</v>
      </c>
      <c r="O2318" s="71">
        <f>IFERROR(IF(VLOOKUP(A2318,[14]PRIORIZADOS!$A:$O,15,FALSE)="","",VLOOKUP(A2318,[14]PRIORIZADOS!$A:$O,15,FALSE)),"")</f>
        <v>45926</v>
      </c>
      <c r="P2318" s="11" t="str">
        <f>IFERROR(IF(VLOOKUP(A2318,[14]PRIORIZADOS!$A:$P,16,FALSE)="","",VLOOKUP(A2318,[14]PRIORIZADOS!$A:$P,16,FALSE)),"")</f>
        <v>Visitas de evaluación con fines de seguimiento</v>
      </c>
      <c r="Q2318" s="22" t="s">
        <v>464</v>
      </c>
      <c r="R2318" s="11" t="str">
        <f>IFERROR(IF(VLOOKUP(A2318,[14]PRIORIZADOS!$A:$R,18,FALSE)="","",VLOOKUP(A2318,[14]PRIORIZADOS!$A:$R,18,FALSE)),"")</f>
        <v>En las carpetas de Hojas de Vida, se evidencia que realizan consultas de antecedentes.</v>
      </c>
      <c r="S2318" s="11" t="str">
        <f>IFERROR(IF(VLOOKUP(A2318,[14]PRIORIZADOS!$A:$S,19,FALSE)="","",VLOOKUP(A2318,[14]PRIORIZADOS!$A:$S,19,FALSE)),"")</f>
        <v>Continuar con verificación periódica de antecedentes.</v>
      </c>
      <c r="T2318" s="70" t="str">
        <f>IFERROR(IF(VLOOKUP(A2318,[14]PRIORIZADOS!$A:$T,20,FALSE)="","",VLOOKUP(A2318,[14]PRIORIZADOS!$A:$T,20,FALSE)),"")</f>
        <v>No</v>
      </c>
      <c r="U2318" s="11" t="str">
        <f>IFERROR(IF(VLOOKUP(A2318,[14]PRIORIZADOS!$A:$U,21,FALSE)="","",VLOOKUP(A2318,[14]PRIORIZADOS!$A:$U,21,FALSE)),"")</f>
        <v>Continaur con seguimiento.</v>
      </c>
    </row>
    <row r="2319" spans="1:21" s="1" customFormat="1" ht="72">
      <c r="A2319" s="69">
        <f>IF([14]PRIORIZADOS!A366="","",[14]PRIORIZADOS!A366)</f>
        <v>2287</v>
      </c>
      <c r="B2319" s="70">
        <f>IFERROR(IF(VLOOKUP(A2319,[14]PRIORIZADOS!$A:$B,2,FALSE)="","",VLOOKUP(A2319,[14]PRIORIZADOS!$A:$B,2,FALSE)),"")</f>
        <v>40</v>
      </c>
      <c r="C2319" s="11" t="s">
        <v>424</v>
      </c>
      <c r="D2319" s="11" t="str">
        <f>IFERROR(IF(VLOOKUP(A2319,[14]PRIORIZADOS!$A:$D,4,FALSE)="","",VLOOKUP(A2319,[14]PRIORIZADOS!$A:$D,4,FALSE)),"")</f>
        <v>PRIVADO</v>
      </c>
      <c r="E2319" s="11" t="str">
        <f>IFERROR(IF(VLOOKUP(A2319,[14]PRIORIZADOS!$A:$E,5,FALSE)="","",VLOOKUP(A2319,[14]PRIORIZADOS!$A:$E,5,FALSE)),"")</f>
        <v>EPBM</v>
      </c>
      <c r="F2319" s="11" t="str">
        <f>IFERROR(IF(VLOOKUP(A2319,[14]PRIORIZADOS!$A:$F,6,FALSE)="","",VLOOKUP(A2319,[14]PRIORIZADOS!$A:$F,6,FALSE)),"")</f>
        <v>LICEO_EMPRESARIAL_DEL_CAMPO</v>
      </c>
      <c r="G2319" s="11" t="str">
        <f>IFERROR(IF(VLOOKUP(A2319,[14]PRIORIZADOS!$A:$G,7,FALSE)="","",VLOOKUP(A2319,[14]PRIORIZADOS!$A:$G,7,FALSE)),"")</f>
        <v>LICEO EMPRESARIAL DEL CAMPO</v>
      </c>
      <c r="H2319" s="11" t="str">
        <f>IFERROR(IF(VLOOKUP(A2319,[14]PRIORIZADOS!$A:$H,8,FALSE)="","",VLOOKUP(A2319,[14]PRIORIZADOS!$A:$H,8,FALSE)),"")</f>
        <v>Autoevaluación Institucional y Pruebas SABER 11</v>
      </c>
      <c r="I2319" s="11" t="str">
        <f>IFERROR(IF(VLOOKUP(A2319,[14]PRIORIZADOS!$A:$I,9,FALSE)="","",VLOOKUP(A2319,[14]PRIORIZADOS!$A:$I,9,FALSE)),"")</f>
        <v>SEGUIMIENTO_Y_SUPERVISIÓN.</v>
      </c>
      <c r="J2319" s="11" t="str">
        <f>IFERROR(IF(VLOOKUP(A2319,[14]PRIORIZADOS!$A:$J,10,FALSE)="","",VLOOKUP(A2319,[14]PRIORIZADOS!$A:$J,10,FALSE)),"")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19" s="11" t="str">
        <f>IFERROR(IF(VLOOKUP(A2319,[14]PRIORIZADOS!$A:$K,11,FALSE)="","",VLOOKUP(A2319,[14]PRIORIZADOS!$A:$K,11,FALSE)),"")</f>
        <v>SONIA YAMILE ARTEAGA MELO</v>
      </c>
      <c r="L2319" s="11" t="str">
        <f>IFERROR(IF(VLOOKUP(A2319,[14]PRIORIZADOS!$A:$L,12,FALSE)="","",VLOOKUP(A2319,[14]PRIORIZADOS!$A:$L,12,FALSE)),"")</f>
        <v>JENNIFFER ESPERANZA GONZÁLEZ GÓMEZ</v>
      </c>
      <c r="M2319" s="71">
        <f>IFERROR(IF(VLOOKUP(A2319,[14]PRIORIZADOS!$A:$M,13,FALSE)="","",VLOOKUP(A2319,[14]PRIORIZADOS!$A:$M,13,FALSE)),"")</f>
        <v>45951</v>
      </c>
      <c r="N2319" s="71">
        <f>IFERROR(IF(VLOOKUP(A2319,[14]PRIORIZADOS!$A:$N,14,FALSE)="","",VLOOKUP(A2319,[14]PRIORIZADOS!$A:$N,14,FALSE)),"")</f>
        <v>45926</v>
      </c>
      <c r="O2319" s="71">
        <f>IFERROR(IF(VLOOKUP(A2319,[14]PRIORIZADOS!$A:$O,15,FALSE)="","",VLOOKUP(A2319,[14]PRIORIZADOS!$A:$O,15,FALSE)),"")</f>
        <v>45926</v>
      </c>
      <c r="P2319" s="11" t="str">
        <f>IFERROR(IF(VLOOKUP(A2319,[14]PRIORIZADOS!$A:$P,16,FALSE)="","",VLOOKUP(A2319,[14]PRIORIZADOS!$A:$P,16,FALSE)),"")</f>
        <v>Visitas de evaluación con fines de seguimiento</v>
      </c>
      <c r="Q2319" s="22" t="s">
        <v>464</v>
      </c>
      <c r="R2319" s="11" t="str">
        <f>IFERROR(IF(VLOOKUP(A2319,[14]PRIORIZADOS!$A:$R,18,FALSE)="","",VLOOKUP(A2319,[14]PRIORIZADOS!$A:$R,18,FALSE)),"")</f>
        <v xml:space="preserve">Se verifican documentos PIAR, los cuales se encuentran diligenciados adecuadamente en el formato establecido.  </v>
      </c>
      <c r="S2319" s="11" t="str">
        <f>IFERROR(IF(VLOOKUP(A2319,[14]PRIORIZADOS!$A:$S,19,FALSE)="","",VLOOKUP(A2319,[14]PRIORIZADOS!$A:$S,19,FALSE)),"")</f>
        <v>Se recomienda individualizar carpetas de los estudiantes.</v>
      </c>
      <c r="T2319" s="70" t="str">
        <f>IFERROR(IF(VLOOKUP(A2319,[14]PRIORIZADOS!$A:$T,20,FALSE)="","",VLOOKUP(A2319,[14]PRIORIZADOS!$A:$T,20,FALSE)),"")</f>
        <v>No</v>
      </c>
      <c r="U2319" s="11" t="str">
        <f>IFERROR(IF(VLOOKUP(A2319,[14]PRIORIZADOS!$A:$U,21,FALSE)="","",VLOOKUP(A2319,[14]PRIORIZADOS!$A:$U,21,FALSE)),"")</f>
        <v>Seguimiento regular.</v>
      </c>
    </row>
    <row r="2320" spans="1:21" s="1" customFormat="1" ht="84">
      <c r="A2320" s="69">
        <f>IF([14]PRIORIZADOS!A367="","",[14]PRIORIZADOS!A367)</f>
        <v>2288</v>
      </c>
      <c r="B2320" s="70">
        <f>IFERROR(IF(VLOOKUP(A2320,[14]PRIORIZADOS!$A:$B,2,FALSE)="","",VLOOKUP(A2320,[14]PRIORIZADOS!$A:$B,2,FALSE)),"")</f>
        <v>40</v>
      </c>
      <c r="C2320" s="11" t="s">
        <v>424</v>
      </c>
      <c r="D2320" s="11" t="str">
        <f>IFERROR(IF(VLOOKUP(A2320,[14]PRIORIZADOS!$A:$D,4,FALSE)="","",VLOOKUP(A2320,[14]PRIORIZADOS!$A:$D,4,FALSE)),"")</f>
        <v>PRIVADO</v>
      </c>
      <c r="E2320" s="11" t="str">
        <f>IFERROR(IF(VLOOKUP(A2320,[14]PRIORIZADOS!$A:$E,5,FALSE)="","",VLOOKUP(A2320,[14]PRIORIZADOS!$A:$E,5,FALSE)),"")</f>
        <v>EPBM</v>
      </c>
      <c r="F2320" s="11" t="str">
        <f>IFERROR(IF(VLOOKUP(A2320,[14]PRIORIZADOS!$A:$F,6,FALSE)="","",VLOOKUP(A2320,[14]PRIORIZADOS!$A:$F,6,FALSE)),"")</f>
        <v>LICEO_EMPRESARIAL_DEL_CAMPO</v>
      </c>
      <c r="G2320" s="11" t="str">
        <f>IFERROR(IF(VLOOKUP(A2320,[14]PRIORIZADOS!$A:$G,7,FALSE)="","",VLOOKUP(A2320,[14]PRIORIZADOS!$A:$G,7,FALSE)),"")</f>
        <v>LICEO EMPRESARIAL DEL CAMPO</v>
      </c>
      <c r="H2320" s="11" t="str">
        <f>IFERROR(IF(VLOOKUP(A2320,[14]PRIORIZADOS!$A:$H,8,FALSE)="","",VLOOKUP(A2320,[14]PRIORIZADOS!$A:$H,8,FALSE)),"")</f>
        <v>Autoevaluación Institucional y Pruebas SABER 11</v>
      </c>
      <c r="I2320" s="11" t="str">
        <f>IFERROR(IF(VLOOKUP(A2320,[14]PRIORIZADOS!$A:$I,9,FALSE)="","",VLOOKUP(A2320,[14]PRIORIZADOS!$A:$I,9,FALSE)),"")</f>
        <v>EVALUACIÓN_CON_FINES_DE_MEJORAMIENTO.</v>
      </c>
      <c r="J2320" s="11" t="str">
        <f>IFERROR(IF(VLOOKUP(A2320,[14]PRIORIZADOS!$A:$J,10,FALSE)="","",VLOOKUP(A2320,[14]PRIORIZADOS!$A:$J,10,FALSE)),"")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20" s="11" t="str">
        <f>IFERROR(IF(VLOOKUP(A2320,[14]PRIORIZADOS!$A:$K,11,FALSE)="","",VLOOKUP(A2320,[14]PRIORIZADOS!$A:$K,11,FALSE)),"")</f>
        <v>SONIA YAMILE ARTEAGA MELO</v>
      </c>
      <c r="L2320" s="11" t="str">
        <f>IFERROR(IF(VLOOKUP(A2320,[14]PRIORIZADOS!$A:$L,12,FALSE)="","",VLOOKUP(A2320,[14]PRIORIZADOS!$A:$L,12,FALSE)),"")</f>
        <v>JENNIFFER ESPERANZA GONZÁLEZ GÓMEZ</v>
      </c>
      <c r="M2320" s="71">
        <f>IFERROR(IF(VLOOKUP(A2320,[14]PRIORIZADOS!$A:$M,13,FALSE)="","",VLOOKUP(A2320,[14]PRIORIZADOS!$A:$M,13,FALSE)),"")</f>
        <v>45951</v>
      </c>
      <c r="N2320" s="71">
        <f>IFERROR(IF(VLOOKUP(A2320,[14]PRIORIZADOS!$A:$N,14,FALSE)="","",VLOOKUP(A2320,[14]PRIORIZADOS!$A:$N,14,FALSE)),"")</f>
        <v>45926</v>
      </c>
      <c r="O2320" s="71">
        <f>IFERROR(IF(VLOOKUP(A2320,[14]PRIORIZADOS!$A:$O,15,FALSE)="","",VLOOKUP(A2320,[14]PRIORIZADOS!$A:$O,15,FALSE)),"")</f>
        <v>45926</v>
      </c>
      <c r="P2320" s="11" t="str">
        <f>IFERROR(IF(VLOOKUP(A2320,[14]PRIORIZADOS!$A:$P,16,FALSE)="","",VLOOKUP(A2320,[14]PRIORIZADOS!$A:$P,16,FALSE)),"")</f>
        <v>Visitas de evaluación con fines de mejoramiento</v>
      </c>
      <c r="Q2320" s="22" t="s">
        <v>464</v>
      </c>
      <c r="R2320" s="11" t="str">
        <f>IFERROR(IF(VLOOKUP(A2320,[14]PRIORIZADOS!$A:$R,18,FALSE)="","",VLOOKUP(A2320,[14]PRIORIZADOS!$A:$R,18,FALSE)),"")</f>
        <v>Se enviaron observaciones para actualización de Manual de Convivencia Escolar desde junio de 2025.
Colegio informa que tiene ajustes planteados, los cuales se evaluaran por la comunidad educativa en octubre de 2025.</v>
      </c>
      <c r="S2320" s="11" t="str">
        <f>IFERROR(IF(VLOOKUP(A2320,[14]PRIORIZADOS!$A:$S,19,FALSE)="","",VLOOKUP(A2320,[14]PRIORIZADOS!$A:$S,19,FALSE)),"")</f>
        <v>Presentar documento actualizado.</v>
      </c>
      <c r="T2320" s="70" t="str">
        <f>IFERROR(IF(VLOOKUP(A2320,[14]PRIORIZADOS!$A:$T,20,FALSE)="","",VLOOKUP(A2320,[14]PRIORIZADOS!$A:$T,20,FALSE)),"")</f>
        <v>Si</v>
      </c>
      <c r="U2320" s="11" t="str">
        <f>IFERROR(IF(VLOOKUP(A2320,[14]PRIORIZADOS!$A:$U,21,FALSE)="","",VLOOKUP(A2320,[14]PRIORIZADOS!$A:$U,21,FALSE)),"")</f>
        <v>Verificar el documento actualizado y emitir el concepto correspondiente.</v>
      </c>
    </row>
    <row r="2321" spans="1:21" s="1" customFormat="1" ht="48">
      <c r="A2321" s="69">
        <f>IF([14]PRIORIZADOS!A368="","",[14]PRIORIZADOS!A368)</f>
        <v>2289</v>
      </c>
      <c r="B2321" s="70">
        <f>IFERROR(IF(VLOOKUP(A2321,[14]PRIORIZADOS!$A:$B,2,FALSE)="","",VLOOKUP(A2321,[14]PRIORIZADOS!$A:$B,2,FALSE)),"")</f>
        <v>40</v>
      </c>
      <c r="C2321" s="11" t="s">
        <v>424</v>
      </c>
      <c r="D2321" s="11" t="str">
        <f>IFERROR(IF(VLOOKUP(A2321,[14]PRIORIZADOS!$A:$D,4,FALSE)="","",VLOOKUP(A2321,[14]PRIORIZADOS!$A:$D,4,FALSE)),"")</f>
        <v>PRIVADO</v>
      </c>
      <c r="E2321" s="11" t="str">
        <f>IFERROR(IF(VLOOKUP(A2321,[14]PRIORIZADOS!$A:$E,5,FALSE)="","",VLOOKUP(A2321,[14]PRIORIZADOS!$A:$E,5,FALSE)),"")</f>
        <v>EPBM</v>
      </c>
      <c r="F2321" s="11" t="str">
        <f>IFERROR(IF(VLOOKUP(A2321,[14]PRIORIZADOS!$A:$F,6,FALSE)="","",VLOOKUP(A2321,[14]PRIORIZADOS!$A:$F,6,FALSE)),"")</f>
        <v>LICEO_EMPRESARIAL_DEL_CAMPO</v>
      </c>
      <c r="G2321" s="11" t="str">
        <f>IFERROR(IF(VLOOKUP(A2321,[14]PRIORIZADOS!$A:$G,7,FALSE)="","",VLOOKUP(A2321,[14]PRIORIZADOS!$A:$G,7,FALSE)),"")</f>
        <v>LICEO EMPRESARIAL DEL CAMPO</v>
      </c>
      <c r="H2321" s="11" t="str">
        <f>IFERROR(IF(VLOOKUP(A2321,[14]PRIORIZADOS!$A:$H,8,FALSE)="","",VLOOKUP(A2321,[14]PRIORIZADOS!$A:$H,8,FALSE)),"")</f>
        <v>Autoevaluación Institucional y Pruebas SABER 11</v>
      </c>
      <c r="I2321" s="11" t="str">
        <f>IFERROR(IF(VLOOKUP(A2321,[14]PRIORIZADOS!$A:$I,9,FALSE)="","",VLOOKUP(A2321,[14]PRIORIZADOS!$A:$I,9,FALSE)),"")</f>
        <v>EVALUACIÓN_CON_FINES_DE_MEJORAMIENTO.</v>
      </c>
      <c r="J2321" s="11" t="str">
        <f>IFERROR(IF(VLOOKUP(A2321,[14]PRIORIZADOS!$A:$J,10,FALSE)="","",VLOOKUP(A2321,[14]PRIORIZADOS!$A:$J,10,FALSE)),"")</f>
        <v>Revisar la actualización, socialización e implementación del Sistema Institucional de Evaluación de Estudiantes - SIEE, en articulación con la actualización del PEI y la normatividad vigente.</v>
      </c>
      <c r="K2321" s="11" t="str">
        <f>IFERROR(IF(VLOOKUP(A2321,[14]PRIORIZADOS!$A:$K,11,FALSE)="","",VLOOKUP(A2321,[14]PRIORIZADOS!$A:$K,11,FALSE)),"")</f>
        <v>SONIA YAMILE ARTEAGA MELO</v>
      </c>
      <c r="L2321" s="11" t="str">
        <f>IFERROR(IF(VLOOKUP(A2321,[14]PRIORIZADOS!$A:$L,12,FALSE)="","",VLOOKUP(A2321,[14]PRIORIZADOS!$A:$L,12,FALSE)),"")</f>
        <v>JENNIFFER ESPERANZA GONZÁLEZ GÓMEZ</v>
      </c>
      <c r="M2321" s="71">
        <f>IFERROR(IF(VLOOKUP(A2321,[14]PRIORIZADOS!$A:$M,13,FALSE)="","",VLOOKUP(A2321,[14]PRIORIZADOS!$A:$M,13,FALSE)),"")</f>
        <v>45951</v>
      </c>
      <c r="N2321" s="71">
        <f>IFERROR(IF(VLOOKUP(A2321,[14]PRIORIZADOS!$A:$N,14,FALSE)="","",VLOOKUP(A2321,[14]PRIORIZADOS!$A:$N,14,FALSE)),"")</f>
        <v>45926</v>
      </c>
      <c r="O2321" s="71">
        <f>IFERROR(IF(VLOOKUP(A2321,[14]PRIORIZADOS!$A:$O,15,FALSE)="","",VLOOKUP(A2321,[14]PRIORIZADOS!$A:$O,15,FALSE)),"")</f>
        <v>45926</v>
      </c>
      <c r="P2321" s="11" t="str">
        <f>IFERROR(IF(VLOOKUP(A2321,[14]PRIORIZADOS!$A:$P,16,FALSE)="","",VLOOKUP(A2321,[14]PRIORIZADOS!$A:$P,16,FALSE)),"")</f>
        <v>Visitas de evaluación con fines de mejoramiento</v>
      </c>
      <c r="Q2321" s="22" t="s">
        <v>464</v>
      </c>
      <c r="R2321" s="11" t="str">
        <f>IFERROR(IF(VLOOKUP(A2321,[14]PRIORIZADOS!$A:$R,18,FALSE)="","",VLOOKUP(A2321,[14]PRIORIZADOS!$A:$R,18,FALSE)),"")</f>
        <v xml:space="preserve">El SIEE definido por la institución es acorde con la normativa vigente, contempla estrategias de acompañamiento académico. </v>
      </c>
      <c r="S2321" s="11" t="str">
        <f>IFERROR(IF(VLOOKUP(A2321,[14]PRIORIZADOS!$A:$S,19,FALSE)="","",VLOOKUP(A2321,[14]PRIORIZADOS!$A:$S,19,FALSE)),"")</f>
        <v>Evaluar el SIEE, para determinar si es viable redefinir parámetros de aprobación y reprobación.</v>
      </c>
      <c r="T2321" s="70" t="str">
        <f>IFERROR(IF(VLOOKUP(A2321,[14]PRIORIZADOS!$A:$T,20,FALSE)="","",VLOOKUP(A2321,[14]PRIORIZADOS!$A:$T,20,FALSE)),"")</f>
        <v>No</v>
      </c>
      <c r="U2321" s="11" t="str">
        <f>IFERROR(IF(VLOOKUP(A2321,[14]PRIORIZADOS!$A:$U,21,FALSE)="","",VLOOKUP(A2321,[14]PRIORIZADOS!$A:$U,21,FALSE)),"")</f>
        <v xml:space="preserve">Verificar documento SIEE actualizado si hay lugar a ello. </v>
      </c>
    </row>
    <row r="2322" spans="1:21" s="1" customFormat="1" ht="48">
      <c r="A2322" s="69">
        <f>IF([14]PRIORIZADOS!A369="","",[14]PRIORIZADOS!A369)</f>
        <v>2290</v>
      </c>
      <c r="B2322" s="70">
        <f>IFERROR(IF(VLOOKUP(A2322,[14]PRIORIZADOS!$A:$B,2,FALSE)="","",VLOOKUP(A2322,[14]PRIORIZADOS!$A:$B,2,FALSE)),"")</f>
        <v>40</v>
      </c>
      <c r="C2322" s="11" t="s">
        <v>424</v>
      </c>
      <c r="D2322" s="11" t="str">
        <f>IFERROR(IF(VLOOKUP(A2322,[14]PRIORIZADOS!$A:$D,4,FALSE)="","",VLOOKUP(A2322,[14]PRIORIZADOS!$A:$D,4,FALSE)),"")</f>
        <v>PRIVADO</v>
      </c>
      <c r="E2322" s="11" t="str">
        <f>IFERROR(IF(VLOOKUP(A2322,[14]PRIORIZADOS!$A:$E,5,FALSE)="","",VLOOKUP(A2322,[14]PRIORIZADOS!$A:$E,5,FALSE)),"")</f>
        <v>EPBM</v>
      </c>
      <c r="F2322" s="11" t="str">
        <f>IFERROR(IF(VLOOKUP(A2322,[14]PRIORIZADOS!$A:$F,6,FALSE)="","",VLOOKUP(A2322,[14]PRIORIZADOS!$A:$F,6,FALSE)),"")</f>
        <v>LICEO_EMPRESARIAL_DEL_CAMPO</v>
      </c>
      <c r="G2322" s="11" t="str">
        <f>IFERROR(IF(VLOOKUP(A2322,[14]PRIORIZADOS!$A:$G,7,FALSE)="","",VLOOKUP(A2322,[14]PRIORIZADOS!$A:$G,7,FALSE)),"")</f>
        <v>LICEO EMPRESARIAL DEL CAMPO</v>
      </c>
      <c r="H2322" s="11" t="str">
        <f>IFERROR(IF(VLOOKUP(A2322,[14]PRIORIZADOS!$A:$H,8,FALSE)="","",VLOOKUP(A2322,[14]PRIORIZADOS!$A:$H,8,FALSE)),"")</f>
        <v>Autoevaluación Institucional y Pruebas SABER 11</v>
      </c>
      <c r="I2322" s="11" t="str">
        <f>IFERROR(IF(VLOOKUP(A2322,[14]PRIORIZADOS!$A:$I,9,FALSE)="","",VLOOKUP(A2322,[14]PRIORIZADOS!$A:$I,9,FALSE)),"")</f>
        <v>EVALUACIÓN_CON_FINES_DE_MEJORAMIENTO.</v>
      </c>
      <c r="J2322" s="11" t="str">
        <f>IFERROR(IF(VLOOKUP(A2322,[14]PRIORIZADOS!$A:$J,10,FALSE)="","",VLOOKUP(A2322,[14]PRIORIZADOS!$A:$J,10,FALSE)),"")</f>
        <v>Revisar el calendario escolar, jornada escolar, la intensidad horaria mínima anual en cada nivel y las modificaciones que se realicen al mismo, de acuerdo con lo previsto en la normatividad vigente.</v>
      </c>
      <c r="K2322" s="11" t="str">
        <f>IFERROR(IF(VLOOKUP(A2322,[14]PRIORIZADOS!$A:$K,11,FALSE)="","",VLOOKUP(A2322,[14]PRIORIZADOS!$A:$K,11,FALSE)),"")</f>
        <v>SONIA YAMILE ARTEAGA MELO</v>
      </c>
      <c r="L2322" s="11" t="str">
        <f>IFERROR(IF(VLOOKUP(A2322,[14]PRIORIZADOS!$A:$L,12,FALSE)="","",VLOOKUP(A2322,[14]PRIORIZADOS!$A:$L,12,FALSE)),"")</f>
        <v>JENNIFFER ESPERANZA GONZÁLEZ GÓMEZ</v>
      </c>
      <c r="M2322" s="71">
        <f>IFERROR(IF(VLOOKUP(A2322,[14]PRIORIZADOS!$A:$M,13,FALSE)="","",VLOOKUP(A2322,[14]PRIORIZADOS!$A:$M,13,FALSE)),"")</f>
        <v>45951</v>
      </c>
      <c r="N2322" s="71">
        <f>IFERROR(IF(VLOOKUP(A2322,[14]PRIORIZADOS!$A:$N,14,FALSE)="","",VLOOKUP(A2322,[14]PRIORIZADOS!$A:$N,14,FALSE)),"")</f>
        <v>45926</v>
      </c>
      <c r="O2322" s="71">
        <f>IFERROR(IF(VLOOKUP(A2322,[14]PRIORIZADOS!$A:$O,15,FALSE)="","",VLOOKUP(A2322,[14]PRIORIZADOS!$A:$O,15,FALSE)),"")</f>
        <v>45926</v>
      </c>
      <c r="P2322" s="11" t="str">
        <f>IFERROR(IF(VLOOKUP(A2322,[14]PRIORIZADOS!$A:$P,16,FALSE)="","",VLOOKUP(A2322,[14]PRIORIZADOS!$A:$P,16,FALSE)),"")</f>
        <v>Visitas de evaluación con fines de mejoramiento</v>
      </c>
      <c r="Q2322" s="22" t="s">
        <v>464</v>
      </c>
      <c r="R2322" s="11" t="str">
        <f>IFERROR(IF(VLOOKUP(A2322,[14]PRIORIZADOS!$A:$R,18,FALSE)="","",VLOOKUP(A2322,[14]PRIORIZADOS!$A:$R,18,FALSE)),"")</f>
        <v>La intensidad horaria y las horas mínimas anuales de cada ciclo  se ajustan a la normatividad vigente.</v>
      </c>
      <c r="S2322" s="11" t="str">
        <f>IFERROR(IF(VLOOKUP(A2322,[14]PRIORIZADOS!$A:$S,19,FALSE)="","",VLOOKUP(A2322,[14]PRIORIZADOS!$A:$S,19,FALSE)),"")</f>
        <v>continuar con el proceso para la vigencia 2026</v>
      </c>
      <c r="T2322" s="70" t="str">
        <f>IFERROR(IF(VLOOKUP(A2322,[14]PRIORIZADOS!$A:$T,20,FALSE)="","",VLOOKUP(A2322,[14]PRIORIZADOS!$A:$T,20,FALSE)),"")</f>
        <v>No</v>
      </c>
      <c r="U2322" s="11" t="str">
        <f>IFERROR(IF(VLOOKUP(A2322,[14]PRIORIZADOS!$A:$U,21,FALSE)="","",VLOOKUP(A2322,[14]PRIORIZADOS!$A:$U,21,FALSE)),"")</f>
        <v>Se realizará la nueva verificacion en 2026</v>
      </c>
    </row>
    <row r="2323" spans="1:21" s="1" customFormat="1" ht="48">
      <c r="A2323" s="69">
        <f>IF([14]PRIORIZADOS!A370="","",[14]PRIORIZADOS!A370)</f>
        <v>2291</v>
      </c>
      <c r="B2323" s="70">
        <f>IFERROR(IF(VLOOKUP(A2323,[14]PRIORIZADOS!$A:$B,2,FALSE)="","",VLOOKUP(A2323,[14]PRIORIZADOS!$A:$B,2,FALSE)),"")</f>
        <v>40</v>
      </c>
      <c r="C2323" s="11" t="s">
        <v>424</v>
      </c>
      <c r="D2323" s="11" t="str">
        <f>IFERROR(IF(VLOOKUP(A2323,[14]PRIORIZADOS!$A:$D,4,FALSE)="","",VLOOKUP(A2323,[14]PRIORIZADOS!$A:$D,4,FALSE)),"")</f>
        <v>PRIVADO</v>
      </c>
      <c r="E2323" s="11" t="str">
        <f>IFERROR(IF(VLOOKUP(A2323,[14]PRIORIZADOS!$A:$E,5,FALSE)="","",VLOOKUP(A2323,[14]PRIORIZADOS!$A:$E,5,FALSE)),"")</f>
        <v>EPBM</v>
      </c>
      <c r="F2323" s="11" t="str">
        <f>IFERROR(IF(VLOOKUP(A2323,[14]PRIORIZADOS!$A:$F,6,FALSE)="","",VLOOKUP(A2323,[14]PRIORIZADOS!$A:$F,6,FALSE)),"")</f>
        <v>LICEO_EMPRESARIAL_DEL_CAMPO</v>
      </c>
      <c r="G2323" s="11" t="str">
        <f>IFERROR(IF(VLOOKUP(A2323,[14]PRIORIZADOS!$A:$G,7,FALSE)="","",VLOOKUP(A2323,[14]PRIORIZADOS!$A:$G,7,FALSE)),"")</f>
        <v>LICEO EMPRESARIAL DEL CAMPO</v>
      </c>
      <c r="H2323" s="11" t="str">
        <f>IFERROR(IF(VLOOKUP(A2323,[14]PRIORIZADOS!$A:$H,8,FALSE)="","",VLOOKUP(A2323,[14]PRIORIZADOS!$A:$H,8,FALSE)),"")</f>
        <v>Autoevaluación Institucional y Pruebas SABER 11</v>
      </c>
      <c r="I2323" s="11" t="str">
        <f>IFERROR(IF(VLOOKUP(A2323,[14]PRIORIZADOS!$A:$I,9,FALSE)="","",VLOOKUP(A2323,[14]PRIORIZADOS!$A:$I,9,FALSE)),"")</f>
        <v>EVALUACIÓN_CON_FINES_DE_MEJORAMIENTO.</v>
      </c>
      <c r="J2323" s="11" t="str">
        <f>IFERROR(IF(VLOOKUP(A2323,[14]PRIORIZADOS!$A:$J,10,FALSE)="","",VLOOKUP(A2323,[14]PRIORIZADOS!$A:$J,10,FALSE)),"")</f>
        <v>Verificar el funcionamiento del Gobierno Escolar e instancias de participación con base en la información sobre conformación reportada por la institución educativa.</v>
      </c>
      <c r="K2323" s="11" t="str">
        <f>IFERROR(IF(VLOOKUP(A2323,[14]PRIORIZADOS!$A:$K,11,FALSE)="","",VLOOKUP(A2323,[14]PRIORIZADOS!$A:$K,11,FALSE)),"")</f>
        <v>SONIA YAMILE ARTEAGA MELO</v>
      </c>
      <c r="L2323" s="11" t="str">
        <f>IFERROR(IF(VLOOKUP(A2323,[14]PRIORIZADOS!$A:$L,12,FALSE)="","",VLOOKUP(A2323,[14]PRIORIZADOS!$A:$L,12,FALSE)),"")</f>
        <v>JENNIFFER ESPERANZA GONZÁLEZ GÓMEZ</v>
      </c>
      <c r="M2323" s="71">
        <f>IFERROR(IF(VLOOKUP(A2323,[14]PRIORIZADOS!$A:$M,13,FALSE)="","",VLOOKUP(A2323,[14]PRIORIZADOS!$A:$M,13,FALSE)),"")</f>
        <v>45951</v>
      </c>
      <c r="N2323" s="71">
        <f>IFERROR(IF(VLOOKUP(A2323,[14]PRIORIZADOS!$A:$N,14,FALSE)="","",VLOOKUP(A2323,[14]PRIORIZADOS!$A:$N,14,FALSE)),"")</f>
        <v>45926</v>
      </c>
      <c r="O2323" s="71">
        <f>IFERROR(IF(VLOOKUP(A2323,[14]PRIORIZADOS!$A:$O,15,FALSE)="","",VLOOKUP(A2323,[14]PRIORIZADOS!$A:$O,15,FALSE)),"")</f>
        <v>45926</v>
      </c>
      <c r="P2323" s="11" t="str">
        <f>IFERROR(IF(VLOOKUP(A2323,[14]PRIORIZADOS!$A:$P,16,FALSE)="","",VLOOKUP(A2323,[14]PRIORIZADOS!$A:$P,16,FALSE)),"")</f>
        <v>Visitas de evaluación con fines de mejoramiento</v>
      </c>
      <c r="Q2323" s="22" t="s">
        <v>464</v>
      </c>
      <c r="R2323" s="11" t="str">
        <f>IFERROR(IF(VLOOKUP(A2323,[14]PRIORIZADOS!$A:$R,18,FALSE)="","",VLOOKUP(A2323,[14]PRIORIZADOS!$A:$R,18,FALSE)),"")</f>
        <v>Se identifica mediante verificación de actas, que las instancias de gobierno escolar funcionan de acuerdo con normativa.</v>
      </c>
      <c r="S2323" s="11" t="str">
        <f>IFERROR(IF(VLOOKUP(A2323,[14]PRIORIZADOS!$A:$S,19,FALSE)="","",VLOOKUP(A2323,[14]PRIORIZADOS!$A:$S,19,FALSE)),"")</f>
        <v xml:space="preserve">Continuar con proceso de funcionamiento. </v>
      </c>
      <c r="T2323" s="70" t="str">
        <f>IFERROR(IF(VLOOKUP(A2323,[14]PRIORIZADOS!$A:$T,20,FALSE)="","",VLOOKUP(A2323,[14]PRIORIZADOS!$A:$T,20,FALSE)),"")</f>
        <v>No</v>
      </c>
      <c r="U2323" s="11" t="str">
        <f>IFERROR(IF(VLOOKUP(A2323,[14]PRIORIZADOS!$A:$U,21,FALSE)="","",VLOOKUP(A2323,[14]PRIORIZADOS!$A:$U,21,FALSE)),"")</f>
        <v>se realizará la nueva verificacion en 2026</v>
      </c>
    </row>
    <row r="2324" spans="1:21" s="1" customFormat="1" ht="48">
      <c r="A2324" s="69">
        <f>IF([14]PRIORIZADOS!A371="","",[14]PRIORIZADOS!A371)</f>
        <v>2292</v>
      </c>
      <c r="B2324" s="70">
        <f>IFERROR(IF(VLOOKUP(A2324,[14]PRIORIZADOS!$A:$B,2,FALSE)="","",VLOOKUP(A2324,[14]PRIORIZADOS!$A:$B,2,FALSE)),"")</f>
        <v>40</v>
      </c>
      <c r="C2324" s="11" t="s">
        <v>424</v>
      </c>
      <c r="D2324" s="11" t="str">
        <f>IFERROR(IF(VLOOKUP(A2324,[14]PRIORIZADOS!$A:$D,4,FALSE)="","",VLOOKUP(A2324,[14]PRIORIZADOS!$A:$D,4,FALSE)),"")</f>
        <v>PRIVADO</v>
      </c>
      <c r="E2324" s="11" t="str">
        <f>IFERROR(IF(VLOOKUP(A2324,[14]PRIORIZADOS!$A:$E,5,FALSE)="","",VLOOKUP(A2324,[14]PRIORIZADOS!$A:$E,5,FALSE)),"")</f>
        <v>EPBM</v>
      </c>
      <c r="F2324" s="11" t="str">
        <f>IFERROR(IF(VLOOKUP(A2324,[14]PRIORIZADOS!$A:$F,6,FALSE)="","",VLOOKUP(A2324,[14]PRIORIZADOS!$A:$F,6,FALSE)),"")</f>
        <v>LICEO_EMPRESARIAL_DEL_CAMPO</v>
      </c>
      <c r="G2324" s="11" t="str">
        <f>IFERROR(IF(VLOOKUP(A2324,[14]PRIORIZADOS!$A:$G,7,FALSE)="","",VLOOKUP(A2324,[14]PRIORIZADOS!$A:$G,7,FALSE)),"")</f>
        <v>LICEO EMPRESARIAL DEL CAMPO</v>
      </c>
      <c r="H2324" s="11" t="str">
        <f>IFERROR(IF(VLOOKUP(A2324,[14]PRIORIZADOS!$A:$H,8,FALSE)="","",VLOOKUP(A2324,[14]PRIORIZADOS!$A:$H,8,FALSE)),"")</f>
        <v>Autoevaluación Institucional y Pruebas SABER 11</v>
      </c>
      <c r="I2324" s="11" t="str">
        <f>IFERROR(IF(VLOOKUP(A2324,[14]PRIORIZADOS!$A:$I,9,FALSE)="","",VLOOKUP(A2324,[14]PRIORIZADOS!$A:$I,9,FALSE)),"")</f>
        <v>EVALUACIÓN_CON_FINES_DE_MEJORAMIENTO.</v>
      </c>
      <c r="J2324" s="11" t="str">
        <f>IFERROR(IF(VLOOKUP(A2324,[14]PRIORIZADOS!$A:$J,10,FALSE)="","",VLOOKUP(A2324,[14]PRIORIZADOS!$A:$J,10,FALSE)),"")</f>
        <v>Verificar las condiciones en cuanto a: la estructura administrativa, condiciones de la planta física y medios educativos adecuados.</v>
      </c>
      <c r="K2324" s="11" t="str">
        <f>IFERROR(IF(VLOOKUP(A2324,[14]PRIORIZADOS!$A:$K,11,FALSE)="","",VLOOKUP(A2324,[14]PRIORIZADOS!$A:$K,11,FALSE)),"")</f>
        <v>SONIA YAMILE ARTEAGA MELO</v>
      </c>
      <c r="L2324" s="11" t="str">
        <f>IFERROR(IF(VLOOKUP(A2324,[14]PRIORIZADOS!$A:$L,12,FALSE)="","",VLOOKUP(A2324,[14]PRIORIZADOS!$A:$L,12,FALSE)),"")</f>
        <v>JENNIFFER ESPERANZA GONZÁLEZ GÓMEZ</v>
      </c>
      <c r="M2324" s="71">
        <f>IFERROR(IF(VLOOKUP(A2324,[14]PRIORIZADOS!$A:$M,13,FALSE)="","",VLOOKUP(A2324,[14]PRIORIZADOS!$A:$M,13,FALSE)),"")</f>
        <v>45951</v>
      </c>
      <c r="N2324" s="71">
        <f>IFERROR(IF(VLOOKUP(A2324,[14]PRIORIZADOS!$A:$N,14,FALSE)="","",VLOOKUP(A2324,[14]PRIORIZADOS!$A:$N,14,FALSE)),"")</f>
        <v>45926</v>
      </c>
      <c r="O2324" s="71">
        <f>IFERROR(IF(VLOOKUP(A2324,[14]PRIORIZADOS!$A:$O,15,FALSE)="","",VLOOKUP(A2324,[14]PRIORIZADOS!$A:$O,15,FALSE)),"")</f>
        <v>45926</v>
      </c>
      <c r="P2324" s="11" t="str">
        <f>IFERROR(IF(VLOOKUP(A2324,[14]PRIORIZADOS!$A:$P,16,FALSE)="","",VLOOKUP(A2324,[14]PRIORIZADOS!$A:$P,16,FALSE)),"")</f>
        <v>Visitas de evaluación con fines de mejoramiento</v>
      </c>
      <c r="Q2324" s="22" t="s">
        <v>464</v>
      </c>
      <c r="R2324" s="11" t="str">
        <f>IFERROR(IF(VLOOKUP(A2324,[14]PRIORIZADOS!$A:$R,18,FALSE)="","",VLOOKUP(A2324,[14]PRIORIZADOS!$A:$R,18,FALSE)),"")</f>
        <v>Se dejan observaciones respecto acondicionamiento de enfermería y biblioteca.
Ajustar organigrama a la realidad.</v>
      </c>
      <c r="S2324" s="11" t="str">
        <f>IFERROR(IF(VLOOKUP(A2324,[14]PRIORIZADOS!$A:$S,19,FALSE)="","",VLOOKUP(A2324,[14]PRIORIZADOS!$A:$S,19,FALSE)),"")</f>
        <v>Presenta plan de mejoramiento.</v>
      </c>
      <c r="T2324" s="70" t="str">
        <f>IFERROR(IF(VLOOKUP(A2324,[14]PRIORIZADOS!$A:$T,20,FALSE)="","",VLOOKUP(A2324,[14]PRIORIZADOS!$A:$T,20,FALSE)),"")</f>
        <v>Si</v>
      </c>
      <c r="U2324" s="11" t="str">
        <f>IFERROR(IF(VLOOKUP(A2324,[14]PRIORIZADOS!$A:$U,21,FALSE)="","",VLOOKUP(A2324,[14]PRIORIZADOS!$A:$U,21,FALSE)),"")</f>
        <v>Validar plan de mejoramiento y visita de seguimiento.</v>
      </c>
    </row>
    <row r="2325" spans="1:21" s="1" customFormat="1" ht="107.25">
      <c r="A2325" s="69">
        <f>IF([14]PRIORIZADOS!A372="","",[14]PRIORIZADOS!A372)</f>
        <v>2293</v>
      </c>
      <c r="B2325" s="70">
        <f>IFERROR(IF(VLOOKUP(A2325,[14]PRIORIZADOS!$A:$B,2,FALSE)="","",VLOOKUP(A2325,[14]PRIORIZADOS!$A:$B,2,FALSE)),"")</f>
        <v>41</v>
      </c>
      <c r="C2325" s="11" t="s">
        <v>424</v>
      </c>
      <c r="D2325" s="11" t="str">
        <f>IFERROR(IF(VLOOKUP(A2325,[14]PRIORIZADOS!$A:$D,4,FALSE)="","",VLOOKUP(A2325,[14]PRIORIZADOS!$A:$D,4,FALSE)),"")</f>
        <v>PRIVADO</v>
      </c>
      <c r="E2325" s="11" t="str">
        <f>IFERROR(IF(VLOOKUP(A2325,[14]PRIORIZADOS!$A:$E,5,FALSE)="","",VLOOKUP(A2325,[14]PRIORIZADOS!$A:$E,5,FALSE)),"")</f>
        <v>EPBM</v>
      </c>
      <c r="F2325" s="11" t="str">
        <f>IFERROR(IF(VLOOKUP(A2325,[14]PRIORIZADOS!$A:$F,6,FALSE)="","",VLOOKUP(A2325,[14]PRIORIZADOS!$A:$F,6,FALSE)),"")</f>
        <v>GIMNASIO_LA_CIMA</v>
      </c>
      <c r="G2325" s="11" t="str">
        <f>IFERROR(IF(VLOOKUP(A2325,[14]PRIORIZADOS!$A:$G,7,FALSE)="","",VLOOKUP(A2325,[14]PRIORIZADOS!$A:$G,7,FALSE)),"")</f>
        <v>GIMNASIO LA CIMA</v>
      </c>
      <c r="H2325" s="11" t="str">
        <f>IFERROR(IF(VLOOKUP(A2325,[14]PRIORIZADOS!$A:$H,8,FALSE)="","",VLOOKUP(A2325,[14]PRIORIZADOS!$A:$H,8,FALSE)),"")</f>
        <v>Autoevaluación Institucional y Pruebas SABER 11</v>
      </c>
      <c r="I2325" s="11" t="str">
        <f>IFERROR(IF(VLOOKUP(A2325,[14]PRIORIZADOS!$A:$I,9,FALSE)="","",VLOOKUP(A2325,[14]PRIORIZADOS!$A:$I,9,FALSE)),"")</f>
        <v>SEGUIMIENTO_Y_SUPERVISIÓN.</v>
      </c>
      <c r="J2325" s="11" t="str">
        <f>IFERROR(IF(VLOOKUP(A2325,[14]PRIORIZADOS!$A:$J,10,FALSE)="","",VLOOKUP(A2325,[14]PRIORIZADOS!$A:$J,10,FALSE)),"")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325" s="11" t="str">
        <f>IFERROR(IF(VLOOKUP(A2325,[14]PRIORIZADOS!$A:$K,11,FALSE)="","",VLOOKUP(A2325,[14]PRIORIZADOS!$A:$K,11,FALSE)),"")</f>
        <v>DANIEL ALEJANDRO GRANOBLES</v>
      </c>
      <c r="L2325" s="11" t="str">
        <f>IFERROR(IF(VLOOKUP(A2325,[14]PRIORIZADOS!$A:$L,12,FALSE)="","",VLOOKUP(A2325,[14]PRIORIZADOS!$A:$L,12,FALSE)),"")</f>
        <v>SANDRA OLINDA GONZÁLEZ REYES</v>
      </c>
      <c r="M2325" s="71">
        <f>IFERROR(IF(VLOOKUP(A2325,[14]PRIORIZADOS!$A:$M,13,FALSE)="","",VLOOKUP(A2325,[14]PRIORIZADOS!$A:$M,13,FALSE)),"")</f>
        <v>45927</v>
      </c>
      <c r="N2325" s="71">
        <f>IFERROR(IF(VLOOKUP(A2325,[14]PRIORIZADOS!$A:$N,14,FALSE)="","",VLOOKUP(A2325,[14]PRIORIZADOS!$A:$N,14,FALSE)),"")</f>
        <v>45883</v>
      </c>
      <c r="O2325" s="71">
        <f>IFERROR(IF(VLOOKUP(A2325,[14]PRIORIZADOS!$A:$O,15,FALSE)="","",VLOOKUP(A2325,[14]PRIORIZADOS!$A:$O,15,FALSE)),"")</f>
        <v>45883</v>
      </c>
      <c r="P2325" s="11" t="str">
        <f>IFERROR(IF(VLOOKUP(A2325,[14]PRIORIZADOS!$A:$P,16,FALSE)="","",VLOOKUP(A2325,[14]PRIORIZADOS!$A:$P,16,FALSE)),"")</f>
        <v>Visitas de evaluación con fines de seguimiento</v>
      </c>
      <c r="Q2325" s="250" t="s">
        <v>465</v>
      </c>
      <c r="R2325" s="11" t="str">
        <f>IFERROR(IF(VLOOKUP(A2325,[14]PRIORIZADOS!$A:$R,18,FALSE)="","",VLOOKUP(A2325,[14]PRIORIZADOS!$A:$R,18,FALSE)),"")</f>
        <v>La información registrada en el EVI fue un error de registro e interpretación por parte del responsable. Sin embargo, se confirma que la institución cuenta con personal docente idóneo y que los empleadores cumplen con lo establecido en el Código Sustantivo de Trabajo en lo referente a salarios, contribuciones parafiscales y pagos a la Seguridad Social Integral (SSI).</v>
      </c>
      <c r="S2325" s="11" t="str">
        <f>IFERROR(IF(VLOOKUP(A2325,[14]PRIORIZADOS!$A:$S,19,FALSE)="","",VLOOKUP(A2325,[14]PRIORIZADOS!$A:$S,19,FALSE)),"")</f>
        <v>Para mejorar la calidad del reporte de información que se registra en el EVI respecto a la planta docente y administrativa, es importante verificar ciertos aspectos  al momento de su registro confirmado con su contrato laborar, realizar plan de mejoramiento para ser cargado en el EVI</v>
      </c>
      <c r="T2325" s="70" t="str">
        <f>IFERROR(IF(VLOOKUP(A2325,[14]PRIORIZADOS!$A:$T,20,FALSE)="","",VLOOKUP(A2325,[14]PRIORIZADOS!$A:$T,20,FALSE)),"")</f>
        <v>Si</v>
      </c>
      <c r="U2325" s="11" t="str">
        <f>IFERROR(IF(VLOOKUP(A2325,[14]PRIORIZADOS!$A:$U,21,FALSE)="","",VLOOKUP(A2325,[14]PRIORIZADOS!$A:$U,21,FALSE)),"")</f>
        <v>Revisar el plan de mejoramiento con respecto al nivel de riesgo en el registro de la informacion que afecta la calidad de la misma</v>
      </c>
    </row>
    <row r="2326" spans="1:21" s="1" customFormat="1" ht="226.5">
      <c r="A2326" s="69">
        <f>IF([14]PRIORIZADOS!A373="","",[14]PRIORIZADOS!A373)</f>
        <v>2295</v>
      </c>
      <c r="B2326" s="70">
        <f>IFERROR(IF(VLOOKUP(A2326,[14]PRIORIZADOS!$A:$B,2,FALSE)="","",VLOOKUP(A2326,[14]PRIORIZADOS!$A:$B,2,FALSE)),"")</f>
        <v>41</v>
      </c>
      <c r="C2326" s="11" t="s">
        <v>424</v>
      </c>
      <c r="D2326" s="11" t="str">
        <f>IFERROR(IF(VLOOKUP(A2326,[14]PRIORIZADOS!$A:$D,4,FALSE)="","",VLOOKUP(A2326,[14]PRIORIZADOS!$A:$D,4,FALSE)),"")</f>
        <v>PRIVADO</v>
      </c>
      <c r="E2326" s="11" t="str">
        <f>IFERROR(IF(VLOOKUP(A2326,[14]PRIORIZADOS!$A:$E,5,FALSE)="","",VLOOKUP(A2326,[14]PRIORIZADOS!$A:$E,5,FALSE)),"")</f>
        <v>EPBM</v>
      </c>
      <c r="F2326" s="11" t="str">
        <f>IFERROR(IF(VLOOKUP(A2326,[14]PRIORIZADOS!$A:$F,6,FALSE)="","",VLOOKUP(A2326,[14]PRIORIZADOS!$A:$F,6,FALSE)),"")</f>
        <v>GIMNASIO_LA_CIMA</v>
      </c>
      <c r="G2326" s="11" t="str">
        <f>IFERROR(IF(VLOOKUP(A2326,[14]PRIORIZADOS!$A:$G,7,FALSE)="","",VLOOKUP(A2326,[14]PRIORIZADOS!$A:$G,7,FALSE)),"")</f>
        <v>GIMNASIO LA CIMA</v>
      </c>
      <c r="H2326" s="11" t="str">
        <f>IFERROR(IF(VLOOKUP(A2326,[14]PRIORIZADOS!$A:$H,8,FALSE)="","",VLOOKUP(A2326,[14]PRIORIZADOS!$A:$H,8,FALSE)),"")</f>
        <v>Autoevaluación Institucional y Pruebas SABER 11</v>
      </c>
      <c r="I2326" s="11" t="str">
        <f>IFERROR(IF(VLOOKUP(A2326,[14]PRIORIZADOS!$A:$I,9,FALSE)="","",VLOOKUP(A2326,[14]PRIORIZADOS!$A:$I,9,FALSE)),"")</f>
        <v>SEGUIMIENTO_Y_SUPERVISIÓN.</v>
      </c>
      <c r="J2326" s="11" t="str">
        <f>IFERROR(IF(VLOOKUP(A2326,[14]PRIORIZADOS!$A:$J,10,FALSE)="","",VLOOKUP(A2326,[14]PRIORIZADOS!$A:$J,10,FALSE)),"")</f>
        <v>Proponer estrategias en la formulación, verificar su elaboración y realizar seguimiento semestral al desarrollo de  las acciones establecidas en los planes de mejoramiento por pruebas SABER 11 de los establecimientos de educación formal.</v>
      </c>
      <c r="K2326" s="11" t="str">
        <f>IFERROR(IF(VLOOKUP(A2326,[14]PRIORIZADOS!$A:$K,11,FALSE)="","",VLOOKUP(A2326,[14]PRIORIZADOS!$A:$K,11,FALSE)),"")</f>
        <v>DANIEL ALEJANDRO GRANOBLES</v>
      </c>
      <c r="L2326" s="11" t="str">
        <f>IFERROR(IF(VLOOKUP(A2326,[14]PRIORIZADOS!$A:$L,12,FALSE)="","",VLOOKUP(A2326,[14]PRIORIZADOS!$A:$L,12,FALSE)),"")</f>
        <v>SANDRA OLINDA GONZÁLEZ REYES</v>
      </c>
      <c r="M2326" s="71">
        <f>IFERROR(IF(VLOOKUP(A2326,[14]PRIORIZADOS!$A:$M,13,FALSE)="","",VLOOKUP(A2326,[14]PRIORIZADOS!$A:$M,13,FALSE)),"")</f>
        <v>45927</v>
      </c>
      <c r="N2326" s="71">
        <f>IFERROR(IF(VLOOKUP(A2326,[14]PRIORIZADOS!$A:$N,14,FALSE)="","",VLOOKUP(A2326,[14]PRIORIZADOS!$A:$N,14,FALSE)),"")</f>
        <v>45883</v>
      </c>
      <c r="O2326" s="71">
        <f>IFERROR(IF(VLOOKUP(A2326,[14]PRIORIZADOS!$A:$O,15,FALSE)="","",VLOOKUP(A2326,[14]PRIORIZADOS!$A:$O,15,FALSE)),"")</f>
        <v>45883</v>
      </c>
      <c r="P2326" s="11" t="str">
        <f>IFERROR(IF(VLOOKUP(A2326,[14]PRIORIZADOS!$A:$P,16,FALSE)="","",VLOOKUP(A2326,[14]PRIORIZADOS!$A:$P,16,FALSE)),"")</f>
        <v>Visitas de evaluación con fines de seguimiento</v>
      </c>
      <c r="Q2326" s="250" t="s">
        <v>465</v>
      </c>
      <c r="R2326" s="11" t="str">
        <f>IFERROR(IF(VLOOKUP(A2326,[14]PRIORIZADOS!$A:$R,18,FALSE)="","",VLOOKUP(A2326,[14]PRIORIZADOS!$A:$R,18,FALSE)),"")</f>
        <v>El colegio se encuentra registrado en A+ , tiene implementado una estrategia con personal externo y la participación de los estduiantes de estas actividadse externas programasdas son voluntarias</v>
      </c>
      <c r="S2326" s="11" t="str">
        <f>IFERROR(IF(VLOOKUP(A2326,[14]PRIORIZADOS!$A:$S,19,FALSE)="","",VLOOKUP(A2326,[14]PRIORIZADOS!$A:$S,19,FALSE)),"")</f>
        <v>Para continuar con los procesos de seguimiento y acompañamiento docente con el propósito de intervenir más efectivamente el currículo en las áreas de menor puntaje, se recomienda implementar estrategias basadas en:
La observación no participante en el aula para registrar las prácticas pedagógicas, seguida de retroalimentación constructiva y diálogo reflexivo con los docentes, orientando la identificación de fortalezas y áreas de mejora.
La co-construcción de planes de mejora basados en los datos recopilados que permitan guiar intervenciones específicas en el currículo, focalizándose en las áreas con menor desempeño.</v>
      </c>
      <c r="T2326" s="70" t="str">
        <f>IFERROR(IF(VLOOKUP(A2326,[14]PRIORIZADOS!$A:$T,20,FALSE)="","",VLOOKUP(A2326,[14]PRIORIZADOS!$A:$T,20,FALSE)),"")</f>
        <v>Si</v>
      </c>
      <c r="U2326" s="11" t="str">
        <f>IFERROR(IF(VLOOKUP(A2326,[14]PRIORIZADOS!$A:$U,21,FALSE)="","",VLOOKUP(A2326,[14]PRIORIZADOS!$A:$U,21,FALSE)),"")</f>
        <v>Seguimiento a los procesos que aborda el Consejo Académico con respecto a esta estrategias de mejorar los desempeños obtenidos en las areas , de forma anual</v>
      </c>
    </row>
    <row r="2327" spans="1:21" s="1" customFormat="1" ht="48">
      <c r="A2327" s="69">
        <f>IF([14]PRIORIZADOS!A374="","",[14]PRIORIZADOS!A374)</f>
        <v>2296</v>
      </c>
      <c r="B2327" s="70">
        <f>IFERROR(IF(VLOOKUP(A2327,[14]PRIORIZADOS!$A:$B,2,FALSE)="","",VLOOKUP(A2327,[14]PRIORIZADOS!$A:$B,2,FALSE)),"")</f>
        <v>41</v>
      </c>
      <c r="C2327" s="11" t="s">
        <v>424</v>
      </c>
      <c r="D2327" s="11" t="str">
        <f>IFERROR(IF(VLOOKUP(A2327,[14]PRIORIZADOS!$A:$D,4,FALSE)="","",VLOOKUP(A2327,[14]PRIORIZADOS!$A:$D,4,FALSE)),"")</f>
        <v>PRIVADO</v>
      </c>
      <c r="E2327" s="11" t="str">
        <f>IFERROR(IF(VLOOKUP(A2327,[14]PRIORIZADOS!$A:$E,5,FALSE)="","",VLOOKUP(A2327,[14]PRIORIZADOS!$A:$E,5,FALSE)),"")</f>
        <v>EPBM</v>
      </c>
      <c r="F2327" s="11" t="str">
        <f>IFERROR(IF(VLOOKUP(A2327,[14]PRIORIZADOS!$A:$F,6,FALSE)="","",VLOOKUP(A2327,[14]PRIORIZADOS!$A:$F,6,FALSE)),"")</f>
        <v>GIMNASIO_LA_CIMA</v>
      </c>
      <c r="G2327" s="11" t="str">
        <f>IFERROR(IF(VLOOKUP(A2327,[14]PRIORIZADOS!$A:$G,7,FALSE)="","",VLOOKUP(A2327,[14]PRIORIZADOS!$A:$G,7,FALSE)),"")</f>
        <v>GIMNASIO LA CIMA</v>
      </c>
      <c r="H2327" s="11" t="str">
        <f>IFERROR(IF(VLOOKUP(A2327,[14]PRIORIZADOS!$A:$H,8,FALSE)="","",VLOOKUP(A2327,[14]PRIORIZADOS!$A:$H,8,FALSE)),"")</f>
        <v>Autoevaluación Institucional y Pruebas SABER 11</v>
      </c>
      <c r="I2327" s="11" t="str">
        <f>IFERROR(IF(VLOOKUP(A2327,[14]PRIORIZADOS!$A:$I,9,FALSE)="","",VLOOKUP(A2327,[14]PRIORIZADOS!$A:$I,9,FALSE)),"")</f>
        <v>SEGUIMIENTO_Y_SUPERVISIÓN.</v>
      </c>
      <c r="J2327" s="11" t="str">
        <f>IFERROR(IF(VLOOKUP(A2327,[14]PRIORIZADOS!$A:$J,10,FALSE)="","",VLOOKUP(A2327,[14]PRIORIZADOS!$A:$J,10,FALSE)),"")</f>
        <v xml:space="preserve">Verificar la implementación por parte de los colegios, de acciones realizadas para la prevención y atención de las situaciones de convivencia en el entorno escolar, según lo establecido en la Directiva 01 de 2022 del MEN. </v>
      </c>
      <c r="K2327" s="11" t="str">
        <f>IFERROR(IF(VLOOKUP(A2327,[14]PRIORIZADOS!$A:$K,11,FALSE)="","",VLOOKUP(A2327,[14]PRIORIZADOS!$A:$K,11,FALSE)),"")</f>
        <v>DANIEL ALEJANDRO GRANOBLES</v>
      </c>
      <c r="L2327" s="11" t="str">
        <f>IFERROR(IF(VLOOKUP(A2327,[14]PRIORIZADOS!$A:$L,12,FALSE)="","",VLOOKUP(A2327,[14]PRIORIZADOS!$A:$L,12,FALSE)),"")</f>
        <v>SANDRA OLINDA GONZÁLEZ REYES</v>
      </c>
      <c r="M2327" s="71">
        <f>IFERROR(IF(VLOOKUP(A2327,[14]PRIORIZADOS!$A:$M,13,FALSE)="","",VLOOKUP(A2327,[14]PRIORIZADOS!$A:$M,13,FALSE)),"")</f>
        <v>45927</v>
      </c>
      <c r="N2327" s="71">
        <f>IFERROR(IF(VLOOKUP(A2327,[14]PRIORIZADOS!$A:$N,14,FALSE)="","",VLOOKUP(A2327,[14]PRIORIZADOS!$A:$N,14,FALSE)),"")</f>
        <v>45883</v>
      </c>
      <c r="O2327" s="71">
        <f>IFERROR(IF(VLOOKUP(A2327,[14]PRIORIZADOS!$A:$O,15,FALSE)="","",VLOOKUP(A2327,[14]PRIORIZADOS!$A:$O,15,FALSE)),"")</f>
        <v>45883</v>
      </c>
      <c r="P2327" s="11" t="str">
        <f>IFERROR(IF(VLOOKUP(A2327,[14]PRIORIZADOS!$A:$P,16,FALSE)="","",VLOOKUP(A2327,[14]PRIORIZADOS!$A:$P,16,FALSE)),"")</f>
        <v>Visitas de evaluación con fines de seguimiento</v>
      </c>
      <c r="Q2327" s="250" t="s">
        <v>465</v>
      </c>
      <c r="R2327" s="11" t="str">
        <f>IFERROR(IF(VLOOKUP(A2327,[14]PRIORIZADOS!$A:$R,18,FALSE)="","",VLOOKUP(A2327,[14]PRIORIZADOS!$A:$R,18,FALSE)),"")</f>
        <v>La institucion cuenta con el reporte trimestral del personal docente y administrativo</v>
      </c>
      <c r="S2327" s="11" t="str">
        <f>IFERROR(IF(VLOOKUP(A2327,[14]PRIORIZADOS!$A:$S,19,FALSE)="","",VLOOKUP(A2327,[14]PRIORIZADOS!$A:$S,19,FALSE)),"")</f>
        <v>Fortalecer los procesos con el acompañamiento de la OCE , en los temas de justicia escoilar restaurativa e implentación de la Ley 1620 de 2013</v>
      </c>
      <c r="T2327" s="70" t="str">
        <f>IFERROR(IF(VLOOKUP(A2327,[14]PRIORIZADOS!$A:$T,20,FALSE)="","",VLOOKUP(A2327,[14]PRIORIZADOS!$A:$T,20,FALSE)),"")</f>
        <v>No</v>
      </c>
      <c r="U2327" s="11" t="str">
        <f>IFERROR(IF(VLOOKUP(A2327,[14]PRIORIZADOS!$A:$U,21,FALSE)="","",VLOOKUP(A2327,[14]PRIORIZADOS!$A:$U,21,FALSE)),"")</f>
        <v>Evidencia documental</v>
      </c>
    </row>
    <row r="2328" spans="1:21" s="1" customFormat="1" ht="130.5">
      <c r="A2328" s="69">
        <f>IF([14]PRIORIZADOS!A375="","",[14]PRIORIZADOS!A375)</f>
        <v>2297</v>
      </c>
      <c r="B2328" s="70">
        <f>IFERROR(IF(VLOOKUP(A2328,[14]PRIORIZADOS!$A:$B,2,FALSE)="","",VLOOKUP(A2328,[14]PRIORIZADOS!$A:$B,2,FALSE)),"")</f>
        <v>41</v>
      </c>
      <c r="C2328" s="11" t="s">
        <v>424</v>
      </c>
      <c r="D2328" s="11" t="str">
        <f>IFERROR(IF(VLOOKUP(A2328,[14]PRIORIZADOS!$A:$D,4,FALSE)="","",VLOOKUP(A2328,[14]PRIORIZADOS!$A:$D,4,FALSE)),"")</f>
        <v>PRIVADO</v>
      </c>
      <c r="E2328" s="11" t="str">
        <f>IFERROR(IF(VLOOKUP(A2328,[14]PRIORIZADOS!$A:$E,5,FALSE)="","",VLOOKUP(A2328,[14]PRIORIZADOS!$A:$E,5,FALSE)),"")</f>
        <v>EPBM</v>
      </c>
      <c r="F2328" s="11" t="str">
        <f>IFERROR(IF(VLOOKUP(A2328,[14]PRIORIZADOS!$A:$F,6,FALSE)="","",VLOOKUP(A2328,[14]PRIORIZADOS!$A:$F,6,FALSE)),"")</f>
        <v>GIMNASIO_LA_CIMA</v>
      </c>
      <c r="G2328" s="11" t="str">
        <f>IFERROR(IF(VLOOKUP(A2328,[14]PRIORIZADOS!$A:$G,7,FALSE)="","",VLOOKUP(A2328,[14]PRIORIZADOS!$A:$G,7,FALSE)),"")</f>
        <v>GIMNASIO LA CIMA</v>
      </c>
      <c r="H2328" s="11" t="str">
        <f>IFERROR(IF(VLOOKUP(A2328,[14]PRIORIZADOS!$A:$H,8,FALSE)="","",VLOOKUP(A2328,[14]PRIORIZADOS!$A:$H,8,FALSE)),"")</f>
        <v>Autoevaluación Institucional y Pruebas SABER 11</v>
      </c>
      <c r="I2328" s="11" t="str">
        <f>IFERROR(IF(VLOOKUP(A2328,[14]PRIORIZADOS!$A:$I,9,FALSE)="","",VLOOKUP(A2328,[14]PRIORIZADOS!$A:$I,9,FALSE)),"")</f>
        <v>SEGUIMIENTO_Y_SUPERVISIÓN.</v>
      </c>
      <c r="J2328" s="11" t="str">
        <f>IFERROR(IF(VLOOKUP(A2328,[14]PRIORIZADOS!$A:$J,10,FALSE)="","",VLOOKUP(A2328,[14]PRIORIZADOS!$A:$J,10,FALSE)),"")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28" s="11" t="str">
        <f>IFERROR(IF(VLOOKUP(A2328,[14]PRIORIZADOS!$A:$K,11,FALSE)="","",VLOOKUP(A2328,[14]PRIORIZADOS!$A:$K,11,FALSE)),"")</f>
        <v>DANIEL ALEJANDRO GRANOBLES</v>
      </c>
      <c r="L2328" s="11" t="str">
        <f>IFERROR(IF(VLOOKUP(A2328,[14]PRIORIZADOS!$A:$L,12,FALSE)="","",VLOOKUP(A2328,[14]PRIORIZADOS!$A:$L,12,FALSE)),"")</f>
        <v>SANDRA OLINDA GONZÁLEZ REYES</v>
      </c>
      <c r="M2328" s="71">
        <f>IFERROR(IF(VLOOKUP(A2328,[14]PRIORIZADOS!$A:$M,13,FALSE)="","",VLOOKUP(A2328,[14]PRIORIZADOS!$A:$M,13,FALSE)),"")</f>
        <v>45927</v>
      </c>
      <c r="N2328" s="71">
        <f>IFERROR(IF(VLOOKUP(A2328,[14]PRIORIZADOS!$A:$N,14,FALSE)="","",VLOOKUP(A2328,[14]PRIORIZADOS!$A:$N,14,FALSE)),"")</f>
        <v>45883</v>
      </c>
      <c r="O2328" s="71">
        <f>IFERROR(IF(VLOOKUP(A2328,[14]PRIORIZADOS!$A:$O,15,FALSE)="","",VLOOKUP(A2328,[14]PRIORIZADOS!$A:$O,15,FALSE)),"")</f>
        <v>45883</v>
      </c>
      <c r="P2328" s="11" t="str">
        <f>IFERROR(IF(VLOOKUP(A2328,[14]PRIORIZADOS!$A:$P,16,FALSE)="","",VLOOKUP(A2328,[14]PRIORIZADOS!$A:$P,16,FALSE)),"")</f>
        <v>Visitas de evaluación con fines de seguimiento</v>
      </c>
      <c r="Q2328" s="250" t="s">
        <v>465</v>
      </c>
      <c r="R2328" s="11" t="str">
        <f>IFERROR(IF(VLOOKUP(A2328,[14]PRIORIZADOS!$A:$R,18,FALSE)="","",VLOOKUP(A2328,[14]PRIORIZADOS!$A:$R,18,FALSE)),"")</f>
        <v>Se evidenció en el SIMAT que el colegio no tiene estudiantes matriculados en condición de discapacidad; además  la rectora manifiesta que no tiene estudiantes diagnosticados con talentos excepcionales y trastornos de aprendizaje a la fecha.</v>
      </c>
      <c r="S2328" s="11" t="str">
        <f>IFERROR(IF(VLOOKUP(A2328,[14]PRIORIZADOS!$A:$S,19,FALSE)="","",VLOOKUP(A2328,[14]PRIORIZADOS!$A:$S,19,FALSE)),"")</f>
        <v xml:space="preserve">
Realizar la actualización del Manual de Convivencia para incorporar los enfoques diferenciales e inclusivo                        Se le indica que el Manual de convivencia debe contener lo establecido en el decreto en caso de que se presente vinculación de esta población.Elaborar plan de mejoramiento sobre todos los indicadores y remitirlo a la DLE antes del 30 de septiembre</v>
      </c>
      <c r="T2328" s="70" t="str">
        <f>IFERROR(IF(VLOOKUP(A2328,[14]PRIORIZADOS!$A:$T,20,FALSE)="","",VLOOKUP(A2328,[14]PRIORIZADOS!$A:$T,20,FALSE)),"")</f>
        <v>Si</v>
      </c>
      <c r="U2328" s="11" t="str">
        <f>IFERROR(IF(VLOOKUP(A2328,[14]PRIORIZADOS!$A:$U,21,FALSE)="","",VLOOKUP(A2328,[14]PRIORIZADOS!$A:$U,21,FALSE)),"")</f>
        <v>Verificar las modificaciones en manual de convivencia respecto a la poblacion con discapacidad.con fecha límite enero de 2026</v>
      </c>
    </row>
    <row r="2329" spans="1:21" s="1" customFormat="1" ht="214.5">
      <c r="A2329" s="69">
        <f>IF([14]PRIORIZADOS!A376="","",[14]PRIORIZADOS!A376)</f>
        <v>2298</v>
      </c>
      <c r="B2329" s="70">
        <f>IFERROR(IF(VLOOKUP(A2329,[14]PRIORIZADOS!$A:$B,2,FALSE)="","",VLOOKUP(A2329,[14]PRIORIZADOS!$A:$B,2,FALSE)),"")</f>
        <v>41</v>
      </c>
      <c r="C2329" s="11" t="s">
        <v>424</v>
      </c>
      <c r="D2329" s="11" t="str">
        <f>IFERROR(IF(VLOOKUP(A2329,[14]PRIORIZADOS!$A:$D,4,FALSE)="","",VLOOKUP(A2329,[14]PRIORIZADOS!$A:$D,4,FALSE)),"")</f>
        <v>PRIVADO</v>
      </c>
      <c r="E2329" s="11" t="str">
        <f>IFERROR(IF(VLOOKUP(A2329,[14]PRIORIZADOS!$A:$E,5,FALSE)="","",VLOOKUP(A2329,[14]PRIORIZADOS!$A:$E,5,FALSE)),"")</f>
        <v>EPBM</v>
      </c>
      <c r="F2329" s="11" t="str">
        <f>IFERROR(IF(VLOOKUP(A2329,[14]PRIORIZADOS!$A:$F,6,FALSE)="","",VLOOKUP(A2329,[14]PRIORIZADOS!$A:$F,6,FALSE)),"")</f>
        <v>GIMNASIO_LA_CIMA</v>
      </c>
      <c r="G2329" s="11" t="str">
        <f>IFERROR(IF(VLOOKUP(A2329,[14]PRIORIZADOS!$A:$G,7,FALSE)="","",VLOOKUP(A2329,[14]PRIORIZADOS!$A:$G,7,FALSE)),"")</f>
        <v>GIMNASIO LA CIMA</v>
      </c>
      <c r="H2329" s="11" t="str">
        <f>IFERROR(IF(VLOOKUP(A2329,[14]PRIORIZADOS!$A:$H,8,FALSE)="","",VLOOKUP(A2329,[14]PRIORIZADOS!$A:$H,8,FALSE)),"")</f>
        <v>Autoevaluación Institucional y Pruebas SABER 11</v>
      </c>
      <c r="I2329" s="11" t="str">
        <f>IFERROR(IF(VLOOKUP(A2329,[14]PRIORIZADOS!$A:$I,9,FALSE)="","",VLOOKUP(A2329,[14]PRIORIZADOS!$A:$I,9,FALSE)),"")</f>
        <v>EVALUACIÓN_CON_FINES_DE_MEJORAMIENTO.</v>
      </c>
      <c r="J2329" s="11" t="str">
        <f>IFERROR(IF(VLOOKUP(A2329,[14]PRIORIZADOS!$A:$J,10,FALSE)="","",VLOOKUP(A2329,[14]PRIORIZADOS!$A:$J,10,FALSE)),"")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29" s="11" t="str">
        <f>IFERROR(IF(VLOOKUP(A2329,[14]PRIORIZADOS!$A:$K,11,FALSE)="","",VLOOKUP(A2329,[14]PRIORIZADOS!$A:$K,11,FALSE)),"")</f>
        <v>DANIEL ALEJANDRO GRANOBLES</v>
      </c>
      <c r="L2329" s="11" t="str">
        <f>IFERROR(IF(VLOOKUP(A2329,[14]PRIORIZADOS!$A:$L,12,FALSE)="","",VLOOKUP(A2329,[14]PRIORIZADOS!$A:$L,12,FALSE)),"")</f>
        <v>SANDRA OLINDA GONZÁLEZ REYES</v>
      </c>
      <c r="M2329" s="71">
        <f>IFERROR(IF(VLOOKUP(A2329,[14]PRIORIZADOS!$A:$M,13,FALSE)="","",VLOOKUP(A2329,[14]PRIORIZADOS!$A:$M,13,FALSE)),"")</f>
        <v>45927</v>
      </c>
      <c r="N2329" s="71">
        <f>IFERROR(IF(VLOOKUP(A2329,[14]PRIORIZADOS!$A:$N,14,FALSE)="","",VLOOKUP(A2329,[14]PRIORIZADOS!$A:$N,14,FALSE)),"")</f>
        <v>45883</v>
      </c>
      <c r="O2329" s="71">
        <f>IFERROR(IF(VLOOKUP(A2329,[14]PRIORIZADOS!$A:$O,15,FALSE)="","",VLOOKUP(A2329,[14]PRIORIZADOS!$A:$O,15,FALSE)),"")</f>
        <v>45883</v>
      </c>
      <c r="P2329" s="11" t="str">
        <f>IFERROR(IF(VLOOKUP(A2329,[14]PRIORIZADOS!$A:$P,16,FALSE)="","",VLOOKUP(A2329,[14]PRIORIZADOS!$A:$P,16,FALSE)),"")</f>
        <v>Visitas de evaluación con fines de mejoramiento</v>
      </c>
      <c r="Q2329" s="250" t="s">
        <v>465</v>
      </c>
      <c r="R2329" s="11" t="str">
        <f>IFERROR(IF(VLOOKUP(A2329,[14]PRIORIZADOS!$A:$R,18,FALSE)="","",VLOOKUP(A2329,[14]PRIORIZADOS!$A:$R,18,FALSE)),"")</f>
        <v>El manual de convivencia escolar,  requiere la incorporación de elementos y normas adicionales en el marco jurídico, específicamente: Protocolos de atención: Definir claramente los procedimientos para atender casos relacionados con violencia escolar, vulneración de derechos, acoso u otras situaciones que afecten la convivencia y el bienestar de los estudiantes y la comunidad educativa.
Proceso disciplinario de estudiantes: Desarrollar las etapas, garantías, derechos y sanciones aplicables en los casos de incumplimiento de las normas, asegurando el respeto por los derechos de los estudiantes y la adecuada aplicación del debido proceso.</v>
      </c>
      <c r="S2329" s="11" t="str">
        <f>IFERROR(IF(VLOOKUP(A2329,[14]PRIORIZADOS!$A:$S,19,FALSE)="","",VLOOKUP(A2329,[14]PRIORIZADOS!$A:$S,19,FALSE)),"")</f>
        <v>Realizar la actualización del manual convivencia.          
Elaborar plan de mejoramiento sobre todos los indicadores y remitirlo a la DLE antes del 30 de septiembre</v>
      </c>
      <c r="T2329" s="70" t="str">
        <f>IFERROR(IF(VLOOKUP(A2329,[14]PRIORIZADOS!$A:$T,20,FALSE)="","",VLOOKUP(A2329,[14]PRIORIZADOS!$A:$T,20,FALSE)),"")</f>
        <v>Si</v>
      </c>
      <c r="U2329" s="11" t="str">
        <f>IFERROR(IF(VLOOKUP(A2329,[14]PRIORIZADOS!$A:$U,21,FALSE)="","",VLOOKUP(A2329,[14]PRIORIZADOS!$A:$U,21,FALSE)),"")</f>
        <v>Revisar la actualización del manual de convivencia con fecha límite el 31 de agosto</v>
      </c>
    </row>
    <row r="2330" spans="1:21" s="1" customFormat="1" ht="48">
      <c r="A2330" s="69">
        <f>IF([14]PRIORIZADOS!A377="","",[14]PRIORIZADOS!A377)</f>
        <v>2299</v>
      </c>
      <c r="B2330" s="70">
        <f>IFERROR(IF(VLOOKUP(A2330,[14]PRIORIZADOS!$A:$B,2,FALSE)="","",VLOOKUP(A2330,[14]PRIORIZADOS!$A:$B,2,FALSE)),"")</f>
        <v>41</v>
      </c>
      <c r="C2330" s="11" t="s">
        <v>424</v>
      </c>
      <c r="D2330" s="11" t="str">
        <f>IFERROR(IF(VLOOKUP(A2330,[14]PRIORIZADOS!$A:$D,4,FALSE)="","",VLOOKUP(A2330,[14]PRIORIZADOS!$A:$D,4,FALSE)),"")</f>
        <v>PRIVADO</v>
      </c>
      <c r="E2330" s="11" t="str">
        <f>IFERROR(IF(VLOOKUP(A2330,[14]PRIORIZADOS!$A:$E,5,FALSE)="","",VLOOKUP(A2330,[14]PRIORIZADOS!$A:$E,5,FALSE)),"")</f>
        <v>EPBM</v>
      </c>
      <c r="F2330" s="11" t="str">
        <f>IFERROR(IF(VLOOKUP(A2330,[14]PRIORIZADOS!$A:$F,6,FALSE)="","",VLOOKUP(A2330,[14]PRIORIZADOS!$A:$F,6,FALSE)),"")</f>
        <v>GIMNASIO_LA_CIMA</v>
      </c>
      <c r="G2330" s="11" t="str">
        <f>IFERROR(IF(VLOOKUP(A2330,[14]PRIORIZADOS!$A:$G,7,FALSE)="","",VLOOKUP(A2330,[14]PRIORIZADOS!$A:$G,7,FALSE)),"")</f>
        <v>GIMNASIO LA CIMA</v>
      </c>
      <c r="H2330" s="11" t="str">
        <f>IFERROR(IF(VLOOKUP(A2330,[14]PRIORIZADOS!$A:$H,8,FALSE)="","",VLOOKUP(A2330,[14]PRIORIZADOS!$A:$H,8,FALSE)),"")</f>
        <v>Autoevaluación Institucional y Pruebas SABER 11</v>
      </c>
      <c r="I2330" s="11" t="str">
        <f>IFERROR(IF(VLOOKUP(A2330,[14]PRIORIZADOS!$A:$I,9,FALSE)="","",VLOOKUP(A2330,[14]PRIORIZADOS!$A:$I,9,FALSE)),"")</f>
        <v>EVALUACIÓN_CON_FINES_DE_MEJORAMIENTO.</v>
      </c>
      <c r="J2330" s="11" t="str">
        <f>IFERROR(IF(VLOOKUP(A2330,[14]PRIORIZADOS!$A:$J,10,FALSE)="","",VLOOKUP(A2330,[14]PRIORIZADOS!$A:$J,10,FALSE)),"")</f>
        <v>Revisar la actualización, socialización e implementación del Sistema Institucional de Evaluación de Estudiantes - SIEE, en articulación con la actualización del PEI y la normatividad vigente.</v>
      </c>
      <c r="K2330" s="11" t="str">
        <f>IFERROR(IF(VLOOKUP(A2330,[14]PRIORIZADOS!$A:$K,11,FALSE)="","",VLOOKUP(A2330,[14]PRIORIZADOS!$A:$K,11,FALSE)),"")</f>
        <v>DANIEL ALEJANDRO GRANOBLES</v>
      </c>
      <c r="L2330" s="11" t="str">
        <f>IFERROR(IF(VLOOKUP(A2330,[14]PRIORIZADOS!$A:$L,12,FALSE)="","",VLOOKUP(A2330,[14]PRIORIZADOS!$A:$L,12,FALSE)),"")</f>
        <v>SANDRA OLINDA GONZÁLEZ REYES</v>
      </c>
      <c r="M2330" s="71">
        <f>IFERROR(IF(VLOOKUP(A2330,[14]PRIORIZADOS!$A:$M,13,FALSE)="","",VLOOKUP(A2330,[14]PRIORIZADOS!$A:$M,13,FALSE)),"")</f>
        <v>45927</v>
      </c>
      <c r="N2330" s="71">
        <f>IFERROR(IF(VLOOKUP(A2330,[14]PRIORIZADOS!$A:$N,14,FALSE)="","",VLOOKUP(A2330,[14]PRIORIZADOS!$A:$N,14,FALSE)),"")</f>
        <v>45883</v>
      </c>
      <c r="O2330" s="71">
        <f>IFERROR(IF(VLOOKUP(A2330,[14]PRIORIZADOS!$A:$O,15,FALSE)="","",VLOOKUP(A2330,[14]PRIORIZADOS!$A:$O,15,FALSE)),"")</f>
        <v>45883</v>
      </c>
      <c r="P2330" s="11" t="str">
        <f>IFERROR(IF(VLOOKUP(A2330,[14]PRIORIZADOS!$A:$P,16,FALSE)="","",VLOOKUP(A2330,[14]PRIORIZADOS!$A:$P,16,FALSE)),"")</f>
        <v>Visitas de evaluación con fines de mejoramiento</v>
      </c>
      <c r="Q2330" s="250" t="s">
        <v>465</v>
      </c>
      <c r="R2330" s="11" t="str">
        <f>IFERROR(IF(VLOOKUP(A2330,[14]PRIORIZADOS!$A:$R,18,FALSE)="","",VLOOKUP(A2330,[14]PRIORIZADOS!$A:$R,18,FALSE)),"")</f>
        <v xml:space="preserve">La institucion cuenta con el SIEE, está implementado </v>
      </c>
      <c r="S2330" s="11" t="str">
        <f>IFERROR(IF(VLOOKUP(A2330,[14]PRIORIZADOS!$A:$S,19,FALSE)="","",VLOOKUP(A2330,[14]PRIORIZADOS!$A:$S,19,FALSE)),"")</f>
        <v>Fortalecer los procesos de coevaluación y heteroevaluación</v>
      </c>
      <c r="T2330" s="70" t="str">
        <f>IFERROR(IF(VLOOKUP(A2330,[14]PRIORIZADOS!$A:$T,20,FALSE)="","",VLOOKUP(A2330,[14]PRIORIZADOS!$A:$T,20,FALSE)),"")</f>
        <v>No</v>
      </c>
      <c r="U2330" s="11" t="str">
        <f>IFERROR(IF(VLOOKUP(A2330,[14]PRIORIZADOS!$A:$U,21,FALSE)="","",VLOOKUP(A2330,[14]PRIORIZADOS!$A:$U,21,FALSE)),"")</f>
        <v>Registro documental</v>
      </c>
    </row>
    <row r="2331" spans="1:21" s="1" customFormat="1" ht="48">
      <c r="A2331" s="69">
        <f>IF([14]PRIORIZADOS!A378="","",[14]PRIORIZADOS!A378)</f>
        <v>2300</v>
      </c>
      <c r="B2331" s="70">
        <f>IFERROR(IF(VLOOKUP(A2331,[14]PRIORIZADOS!$A:$B,2,FALSE)="","",VLOOKUP(A2331,[14]PRIORIZADOS!$A:$B,2,FALSE)),"")</f>
        <v>41</v>
      </c>
      <c r="C2331" s="11" t="s">
        <v>424</v>
      </c>
      <c r="D2331" s="11" t="str">
        <f>IFERROR(IF(VLOOKUP(A2331,[14]PRIORIZADOS!$A:$D,4,FALSE)="","",VLOOKUP(A2331,[14]PRIORIZADOS!$A:$D,4,FALSE)),"")</f>
        <v>PRIVADO</v>
      </c>
      <c r="E2331" s="11" t="str">
        <f>IFERROR(IF(VLOOKUP(A2331,[14]PRIORIZADOS!$A:$E,5,FALSE)="","",VLOOKUP(A2331,[14]PRIORIZADOS!$A:$E,5,FALSE)),"")</f>
        <v>EPBM</v>
      </c>
      <c r="F2331" s="11" t="str">
        <f>IFERROR(IF(VLOOKUP(A2331,[14]PRIORIZADOS!$A:$F,6,FALSE)="","",VLOOKUP(A2331,[14]PRIORIZADOS!$A:$F,6,FALSE)),"")</f>
        <v>GIMNASIO_LA_CIMA</v>
      </c>
      <c r="G2331" s="11" t="str">
        <f>IFERROR(IF(VLOOKUP(A2331,[14]PRIORIZADOS!$A:$G,7,FALSE)="","",VLOOKUP(A2331,[14]PRIORIZADOS!$A:$G,7,FALSE)),"")</f>
        <v>GIMNASIO LA CIMA</v>
      </c>
      <c r="H2331" s="11" t="str">
        <f>IFERROR(IF(VLOOKUP(A2331,[14]PRIORIZADOS!$A:$H,8,FALSE)="","",VLOOKUP(A2331,[14]PRIORIZADOS!$A:$H,8,FALSE)),"")</f>
        <v>Autoevaluación Institucional y Pruebas SABER 11</v>
      </c>
      <c r="I2331" s="11" t="str">
        <f>IFERROR(IF(VLOOKUP(A2331,[14]PRIORIZADOS!$A:$I,9,FALSE)="","",VLOOKUP(A2331,[14]PRIORIZADOS!$A:$I,9,FALSE)),"")</f>
        <v>EVALUACIÓN_CON_FINES_DE_MEJORAMIENTO.</v>
      </c>
      <c r="J2331" s="11" t="str">
        <f>IFERROR(IF(VLOOKUP(A2331,[14]PRIORIZADOS!$A:$J,10,FALSE)="","",VLOOKUP(A2331,[14]PRIORIZADOS!$A:$J,10,FALSE)),"")</f>
        <v>Revisar el calendario escolar, jornada escolar, la intensidad horaria mínima anual en cada nivel y las modificaciones que se realicen al mismo, de acuerdo con lo previsto en la normatividad vigente.</v>
      </c>
      <c r="K2331" s="11" t="str">
        <f>IFERROR(IF(VLOOKUP(A2331,[14]PRIORIZADOS!$A:$K,11,FALSE)="","",VLOOKUP(A2331,[14]PRIORIZADOS!$A:$K,11,FALSE)),"")</f>
        <v>DANIEL ALEJANDRO GRANOBLES</v>
      </c>
      <c r="L2331" s="11" t="str">
        <f>IFERROR(IF(VLOOKUP(A2331,[14]PRIORIZADOS!$A:$L,12,FALSE)="","",VLOOKUP(A2331,[14]PRIORIZADOS!$A:$L,12,FALSE)),"")</f>
        <v>SANDRA OLINDA GONZÁLEZ REYES</v>
      </c>
      <c r="M2331" s="71">
        <f>IFERROR(IF(VLOOKUP(A2331,[14]PRIORIZADOS!$A:$M,13,FALSE)="","",VLOOKUP(A2331,[14]PRIORIZADOS!$A:$M,13,FALSE)),"")</f>
        <v>45927</v>
      </c>
      <c r="N2331" s="71">
        <f>IFERROR(IF(VLOOKUP(A2331,[14]PRIORIZADOS!$A:$N,14,FALSE)="","",VLOOKUP(A2331,[14]PRIORIZADOS!$A:$N,14,FALSE)),"")</f>
        <v>45883</v>
      </c>
      <c r="O2331" s="71">
        <f>IFERROR(IF(VLOOKUP(A2331,[14]PRIORIZADOS!$A:$O,15,FALSE)="","",VLOOKUP(A2331,[14]PRIORIZADOS!$A:$O,15,FALSE)),"")</f>
        <v>45883</v>
      </c>
      <c r="P2331" s="11" t="str">
        <f>IFERROR(IF(VLOOKUP(A2331,[14]PRIORIZADOS!$A:$P,16,FALSE)="","",VLOOKUP(A2331,[14]PRIORIZADOS!$A:$P,16,FALSE)),"")</f>
        <v>Visitas de evaluación con fines de mejoramiento</v>
      </c>
      <c r="Q2331" s="250" t="s">
        <v>465</v>
      </c>
      <c r="R2331" s="11" t="str">
        <f>IFERROR(IF(VLOOKUP(A2331,[14]PRIORIZADOS!$A:$R,18,FALSE)="","",VLOOKUP(A2331,[14]PRIORIZADOS!$A:$R,18,FALSE)),"")</f>
        <v>La intensidad horaria y las horas mínimas anuales de cada ciclo se ajustan a la normatividad vigente.</v>
      </c>
      <c r="S2331" s="11" t="str">
        <f>IFERROR(IF(VLOOKUP(A2331,[14]PRIORIZADOS!$A:$S,19,FALSE)="","",VLOOKUP(A2331,[14]PRIORIZADOS!$A:$S,19,FALSE)),"")</f>
        <v xml:space="preserve">Continuar con el desarrollo del calendario </v>
      </c>
      <c r="T2331" s="70" t="str">
        <f>IFERROR(IF(VLOOKUP(A2331,[14]PRIORIZADOS!$A:$T,20,FALSE)="","",VLOOKUP(A2331,[14]PRIORIZADOS!$A:$T,20,FALSE)),"")</f>
        <v>No</v>
      </c>
      <c r="U2331" s="11" t="str">
        <f>IFERROR(IF(VLOOKUP(A2331,[14]PRIORIZADOS!$A:$U,21,FALSE)="","",VLOOKUP(A2331,[14]PRIORIZADOS!$A:$U,21,FALSE)),"")</f>
        <v xml:space="preserve">Realizar la revisión del calendario para la proxima vigencia </v>
      </c>
    </row>
    <row r="2332" spans="1:21" s="1" customFormat="1" ht="48">
      <c r="A2332" s="69">
        <f>IF([14]PRIORIZADOS!A379="","",[14]PRIORIZADOS!A379)</f>
        <v>2301</v>
      </c>
      <c r="B2332" s="70">
        <f>IFERROR(IF(VLOOKUP(A2332,[14]PRIORIZADOS!$A:$B,2,FALSE)="","",VLOOKUP(A2332,[14]PRIORIZADOS!$A:$B,2,FALSE)),"")</f>
        <v>41</v>
      </c>
      <c r="C2332" s="11" t="s">
        <v>424</v>
      </c>
      <c r="D2332" s="11" t="str">
        <f>IFERROR(IF(VLOOKUP(A2332,[14]PRIORIZADOS!$A:$D,4,FALSE)="","",VLOOKUP(A2332,[14]PRIORIZADOS!$A:$D,4,FALSE)),"")</f>
        <v>PRIVADO</v>
      </c>
      <c r="E2332" s="11" t="str">
        <f>IFERROR(IF(VLOOKUP(A2332,[14]PRIORIZADOS!$A:$E,5,FALSE)="","",VLOOKUP(A2332,[14]PRIORIZADOS!$A:$E,5,FALSE)),"")</f>
        <v>EPBM</v>
      </c>
      <c r="F2332" s="11" t="str">
        <f>IFERROR(IF(VLOOKUP(A2332,[14]PRIORIZADOS!$A:$F,6,FALSE)="","",VLOOKUP(A2332,[14]PRIORIZADOS!$A:$F,6,FALSE)),"")</f>
        <v>GIMNASIO_LA_CIMA</v>
      </c>
      <c r="G2332" s="11" t="str">
        <f>IFERROR(IF(VLOOKUP(A2332,[14]PRIORIZADOS!$A:$G,7,FALSE)="","",VLOOKUP(A2332,[14]PRIORIZADOS!$A:$G,7,FALSE)),"")</f>
        <v>GIMNASIO LA CIMA</v>
      </c>
      <c r="H2332" s="11" t="str">
        <f>IFERROR(IF(VLOOKUP(A2332,[14]PRIORIZADOS!$A:$H,8,FALSE)="","",VLOOKUP(A2332,[14]PRIORIZADOS!$A:$H,8,FALSE)),"")</f>
        <v>Autoevaluación Institucional y Pruebas SABER 11</v>
      </c>
      <c r="I2332" s="11" t="str">
        <f>IFERROR(IF(VLOOKUP(A2332,[14]PRIORIZADOS!$A:$I,9,FALSE)="","",VLOOKUP(A2332,[14]PRIORIZADOS!$A:$I,9,FALSE)),"")</f>
        <v>EVALUACIÓN_CON_FINES_DE_MEJORAMIENTO.</v>
      </c>
      <c r="J2332" s="11" t="str">
        <f>IFERROR(IF(VLOOKUP(A2332,[14]PRIORIZADOS!$A:$J,10,FALSE)="","",VLOOKUP(A2332,[14]PRIORIZADOS!$A:$J,10,FALSE)),"")</f>
        <v>Verificar el funcionamiento del Gobierno Escolar e instancias de participación con base en la información sobre conformación reportada por la institución educativa.</v>
      </c>
      <c r="K2332" s="11" t="str">
        <f>IFERROR(IF(VLOOKUP(A2332,[14]PRIORIZADOS!$A:$K,11,FALSE)="","",VLOOKUP(A2332,[14]PRIORIZADOS!$A:$K,11,FALSE)),"")</f>
        <v>DANIEL ALEJANDRO GRANOBLES</v>
      </c>
      <c r="L2332" s="11" t="str">
        <f>IFERROR(IF(VLOOKUP(A2332,[14]PRIORIZADOS!$A:$L,12,FALSE)="","",VLOOKUP(A2332,[14]PRIORIZADOS!$A:$L,12,FALSE)),"")</f>
        <v>SANDRA OLINDA GONZÁLEZ REYES</v>
      </c>
      <c r="M2332" s="71">
        <f>IFERROR(IF(VLOOKUP(A2332,[14]PRIORIZADOS!$A:$M,13,FALSE)="","",VLOOKUP(A2332,[14]PRIORIZADOS!$A:$M,13,FALSE)),"")</f>
        <v>45927</v>
      </c>
      <c r="N2332" s="71">
        <f>IFERROR(IF(VLOOKUP(A2332,[14]PRIORIZADOS!$A:$N,14,FALSE)="","",VLOOKUP(A2332,[14]PRIORIZADOS!$A:$N,14,FALSE)),"")</f>
        <v>45883</v>
      </c>
      <c r="O2332" s="71">
        <f>IFERROR(IF(VLOOKUP(A2332,[14]PRIORIZADOS!$A:$O,15,FALSE)="","",VLOOKUP(A2332,[14]PRIORIZADOS!$A:$O,15,FALSE)),"")</f>
        <v>45883</v>
      </c>
      <c r="P2332" s="11" t="str">
        <f>IFERROR(IF(VLOOKUP(A2332,[14]PRIORIZADOS!$A:$P,16,FALSE)="","",VLOOKUP(A2332,[14]PRIORIZADOS!$A:$P,16,FALSE)),"")</f>
        <v>Visitas de evaluación con fines de mejoramiento</v>
      </c>
      <c r="Q2332" s="250" t="s">
        <v>465</v>
      </c>
      <c r="R2332" s="11" t="str">
        <f>IFERROR(IF(VLOOKUP(A2332,[14]PRIORIZADOS!$A:$R,18,FALSE)="","",VLOOKUP(A2332,[14]PRIORIZADOS!$A:$R,18,FALSE)),"")</f>
        <v xml:space="preserve">Se evidenciaron las actas de conformación de gobierno escolar, las cuales deberán cargarse en el SAE. </v>
      </c>
      <c r="S2332" s="11" t="str">
        <f>IFERROR(IF(VLOOKUP(A2332,[14]PRIORIZADOS!$A:$S,19,FALSE)="","",VLOOKUP(A2332,[14]PRIORIZADOS!$A:$S,19,FALSE)),"")</f>
        <v>Sesionar con cada órgano de gobierno de conformidad con la periodicidad establecida en la norma, crear un reglamento interno de cada Consejo</v>
      </c>
      <c r="T2332" s="70" t="str">
        <f>IFERROR(IF(VLOOKUP(A2332,[14]PRIORIZADOS!$A:$T,20,FALSE)="","",VLOOKUP(A2332,[14]PRIORIZADOS!$A:$T,20,FALSE)),"")</f>
        <v>No</v>
      </c>
      <c r="U2332" s="11" t="str">
        <f>IFERROR(IF(VLOOKUP(A2332,[14]PRIORIZADOS!$A:$U,21,FALSE)="","",VLOOKUP(A2332,[14]PRIORIZADOS!$A:$U,21,FALSE)),"")</f>
        <v>Verificar el SAE  y el funcionamiento de  los organos de gobierno mediantes las evidencias presentadas por la IE.</v>
      </c>
    </row>
    <row r="2333" spans="1:21" s="1" customFormat="1" ht="84">
      <c r="A2333" s="69">
        <f>IF([14]PRIORIZADOS!A380="","",[14]PRIORIZADOS!A380)</f>
        <v>2302</v>
      </c>
      <c r="B2333" s="70">
        <f>IFERROR(IF(VLOOKUP(A2333,[14]PRIORIZADOS!$A:$B,2,FALSE)="","",VLOOKUP(A2333,[14]PRIORIZADOS!$A:$B,2,FALSE)),"")</f>
        <v>41</v>
      </c>
      <c r="C2333" s="11" t="s">
        <v>424</v>
      </c>
      <c r="D2333" s="11" t="str">
        <f>IFERROR(IF(VLOOKUP(A2333,[14]PRIORIZADOS!$A:$D,4,FALSE)="","",VLOOKUP(A2333,[14]PRIORIZADOS!$A:$D,4,FALSE)),"")</f>
        <v>PRIVADO</v>
      </c>
      <c r="E2333" s="11" t="str">
        <f>IFERROR(IF(VLOOKUP(A2333,[14]PRIORIZADOS!$A:$E,5,FALSE)="","",VLOOKUP(A2333,[14]PRIORIZADOS!$A:$E,5,FALSE)),"")</f>
        <v>EPBM</v>
      </c>
      <c r="F2333" s="11" t="str">
        <f>IFERROR(IF(VLOOKUP(A2333,[14]PRIORIZADOS!$A:$F,6,FALSE)="","",VLOOKUP(A2333,[14]PRIORIZADOS!$A:$F,6,FALSE)),"")</f>
        <v>GIMNASIO_LA_CIMA</v>
      </c>
      <c r="G2333" s="11" t="str">
        <f>IFERROR(IF(VLOOKUP(A2333,[14]PRIORIZADOS!$A:$G,7,FALSE)="","",VLOOKUP(A2333,[14]PRIORIZADOS!$A:$G,7,FALSE)),"")</f>
        <v>GIMNASIO LA CIMA</v>
      </c>
      <c r="H2333" s="11" t="str">
        <f>IFERROR(IF(VLOOKUP(A2333,[14]PRIORIZADOS!$A:$H,8,FALSE)="","",VLOOKUP(A2333,[14]PRIORIZADOS!$A:$H,8,FALSE)),"")</f>
        <v>Autoevaluación Institucional y Pruebas SABER 11</v>
      </c>
      <c r="I2333" s="11" t="str">
        <f>IFERROR(IF(VLOOKUP(A2333,[14]PRIORIZADOS!$A:$I,9,FALSE)="","",VLOOKUP(A2333,[14]PRIORIZADOS!$A:$I,9,FALSE)),"")</f>
        <v>EVALUACIÓN_CON_FINES_DE_MEJORAMIENTO.</v>
      </c>
      <c r="J2333" s="11" t="str">
        <f>IFERROR(IF(VLOOKUP(A2333,[14]PRIORIZADOS!$A:$J,10,FALSE)="","",VLOOKUP(A2333,[14]PRIORIZADOS!$A:$J,10,FALSE)),"")</f>
        <v>Verificar las condiciones en cuanto a: la estructura administrativa, condiciones de la planta física y medios educativos adecuados.</v>
      </c>
      <c r="K2333" s="11" t="str">
        <f>IFERROR(IF(VLOOKUP(A2333,[14]PRIORIZADOS!$A:$K,11,FALSE)="","",VLOOKUP(A2333,[14]PRIORIZADOS!$A:$K,11,FALSE)),"")</f>
        <v>DANIEL ALEJANDRO GRANOBLES</v>
      </c>
      <c r="L2333" s="11" t="str">
        <f>IFERROR(IF(VLOOKUP(A2333,[14]PRIORIZADOS!$A:$L,12,FALSE)="","",VLOOKUP(A2333,[14]PRIORIZADOS!$A:$L,12,FALSE)),"")</f>
        <v>SANDRA OLINDA GONZÁLEZ REYES</v>
      </c>
      <c r="M2333" s="71">
        <f>IFERROR(IF(VLOOKUP(A2333,[14]PRIORIZADOS!$A:$M,13,FALSE)="","",VLOOKUP(A2333,[14]PRIORIZADOS!$A:$M,13,FALSE)),"")</f>
        <v>45927</v>
      </c>
      <c r="N2333" s="71">
        <f>IFERROR(IF(VLOOKUP(A2333,[14]PRIORIZADOS!$A:$N,14,FALSE)="","",VLOOKUP(A2333,[14]PRIORIZADOS!$A:$N,14,FALSE)),"")</f>
        <v>45883</v>
      </c>
      <c r="O2333" s="71">
        <f>IFERROR(IF(VLOOKUP(A2333,[14]PRIORIZADOS!$A:$O,15,FALSE)="","",VLOOKUP(A2333,[14]PRIORIZADOS!$A:$O,15,FALSE)),"")</f>
        <v>45883</v>
      </c>
      <c r="P2333" s="11" t="str">
        <f>IFERROR(IF(VLOOKUP(A2333,[14]PRIORIZADOS!$A:$P,16,FALSE)="","",VLOOKUP(A2333,[14]PRIORIZADOS!$A:$P,16,FALSE)),"")</f>
        <v>Visitas de evaluación con fines de mejoramiento</v>
      </c>
      <c r="Q2333" s="30" t="s">
        <v>465</v>
      </c>
      <c r="R2333" s="11" t="str">
        <f>IFERROR(IF(VLOOKUP(A2333,[14]PRIORIZADOS!$A:$R,18,FALSE)="","",VLOOKUP(A2333,[14]PRIORIZADOS!$A:$R,18,FALSE)),"")</f>
        <v>Se evidencia señalizacion en general en rutas de evacuación , falta de puntos ecológicos, manejo de basuras y residuos, mantenimeinto de baterias sanitarias para cada nivel, en especial preescolar , aclarar sobre las nomenclaturas de los predios donde se presta el servicio educativo</v>
      </c>
      <c r="S2333" s="11" t="str">
        <f>IFERROR(IF(VLOOKUP(A2333,[14]PRIORIZADOS!$A:$S,19,FALSE)="","",VLOOKUP(A2333,[14]PRIORIZADOS!$A:$S,19,FALSE)),"")</f>
        <v>Verificar el registro en la plataforma SURE, implementar el proyecto PRAES  y realizar una propuesta de mantenimiento de infraestructura y mobiliario</v>
      </c>
      <c r="T2333" s="70" t="str">
        <f>IFERROR(IF(VLOOKUP(A2333,[14]PRIORIZADOS!$A:$T,20,FALSE)="","",VLOOKUP(A2333,[14]PRIORIZADOS!$A:$T,20,FALSE)),"")</f>
        <v>Si</v>
      </c>
      <c r="U2333" s="11" t="str">
        <f>IFERROR(IF(VLOOKUP(A2333,[14]PRIORIZADOS!$A:$U,21,FALSE)="","",VLOOKUP(A2333,[14]PRIORIZADOS!$A:$U,21,FALSE)),"")</f>
        <v>Presentar plan de mejoramiento para mantenimiento de infraestructura y mobiliario antes del 31 de agosto</v>
      </c>
    </row>
    <row r="2334" spans="1:21" s="1" customFormat="1" ht="96">
      <c r="A2334" s="69">
        <f>IF([14]PRIORIZADOS!A381="","",[14]PRIORIZADOS!A381)</f>
        <v>2303</v>
      </c>
      <c r="B2334" s="70">
        <f>IFERROR(IF(VLOOKUP(A2334,[14]PRIORIZADOS!$A:$B,2,FALSE)="","",VLOOKUP(A2334,[14]PRIORIZADOS!$A:$B,2,FALSE)),"")</f>
        <v>42</v>
      </c>
      <c r="C2334" s="11" t="s">
        <v>424</v>
      </c>
      <c r="D2334" s="11" t="str">
        <f>IFERROR(IF(VLOOKUP(A2334,[14]PRIORIZADOS!$A:$D,4,FALSE)="","",VLOOKUP(A2334,[14]PRIORIZADOS!$A:$D,4,FALSE)),"")</f>
        <v>OFICIAL.</v>
      </c>
      <c r="E2334" s="11" t="str">
        <f>IFERROR(IF(VLOOKUP(A2334,[14]PRIORIZADOS!$A:$E,5,FALSE)="","",VLOOKUP(A2334,[14]PRIORIZADOS!$A:$E,5,FALSE)),"")</f>
        <v>EPBM</v>
      </c>
      <c r="F2334" s="11" t="str">
        <f>IFERROR(IF(VLOOKUP(A2334,[14]PRIORIZADOS!$A:$F,6,FALSE)="","",VLOOKUP(A2334,[14]PRIORIZADOS!$A:$F,6,FALSE)),"")</f>
        <v>COLEGIO_ALVARO_GOMEZ_HURTADO_IED</v>
      </c>
      <c r="G2334" s="11" t="str">
        <f>IFERROR(IF(VLOOKUP(A2334,[14]PRIORIZADOS!$A:$G,7,FALSE)="","",VLOOKUP(A2334,[14]PRIORIZADOS!$A:$G,7,FALSE)),"")</f>
        <v>ALVARO GOMEZ HURTADO</v>
      </c>
      <c r="H2334" s="11" t="str">
        <f>IFERROR(IF(VLOOKUP(A2334,[14]PRIORIZADOS!$A:$H,8,FALSE)="","",VLOOKUP(A2334,[14]PRIORIZADOS!$A:$H,8,FALSE)),"")</f>
        <v>Convivencia escolar</v>
      </c>
      <c r="I2334" s="11" t="str">
        <f>IFERROR(IF(VLOOKUP(A2334,[14]PRIORIZADOS!$A:$I,9,FALSE)="","",VLOOKUP(A2334,[14]PRIORIZADOS!$A:$I,9,FALSE)),"")</f>
        <v>SEGUIMIENTO_Y_SUPERVISIÓN.</v>
      </c>
      <c r="J2334" s="11" t="str">
        <f>IFERROR(IF(VLOOKUP(A2334,[14]PRIORIZADOS!$A:$J,10,FALSE)="","",VLOOKUP(A2334,[14]PRIORIZADOS!$A:$J,10,FALSE)),"")</f>
        <v>Proponer estrategias en la formulación, verificar su elaboración y realizar seguimiento semestral al desarrollo de  las acciones establecidas en los planes de mejoramiento por pruebas SABER 11 de los establecimientos de educación formal.</v>
      </c>
      <c r="K2334" s="11" t="str">
        <f>IFERROR(IF(VLOOKUP(A2334,[14]PRIORIZADOS!$A:$K,11,FALSE)="","",VLOOKUP(A2334,[14]PRIORIZADOS!$A:$K,11,FALSE)),"")</f>
        <v>SONIA CONSTANZA URREGO GONZÁLEZ</v>
      </c>
      <c r="L2334" s="11" t="str">
        <f>IFERROR(IF(VLOOKUP(A2334,[14]PRIORIZADOS!$A:$L,12,FALSE)="","",VLOOKUP(A2334,[14]PRIORIZADOS!$A:$L,12,FALSE)),"")</f>
        <v>ALBA DEL PILAR CUBIDES CÁCERES</v>
      </c>
      <c r="M2334" s="71">
        <f>IFERROR(IF(VLOOKUP(A2334,[14]PRIORIZADOS!$A:$M,13,FALSE)="","",VLOOKUP(A2334,[14]PRIORIZADOS!$A:$M,13,FALSE)),"")</f>
        <v>45804</v>
      </c>
      <c r="N2334" s="71">
        <f>IFERROR(IF(VLOOKUP(A2334,[14]PRIORIZADOS!$A:$N,14,FALSE)="","",VLOOKUP(A2334,[14]PRIORIZADOS!$A:$N,14,FALSE)),"")</f>
        <v>45804</v>
      </c>
      <c r="O2334" s="71">
        <f>IFERROR(IF(VLOOKUP(A2334,[14]PRIORIZADOS!$A:$O,15,FALSE)="","",VLOOKUP(A2334,[14]PRIORIZADOS!$A:$O,15,FALSE)),"")</f>
        <v>45804</v>
      </c>
      <c r="P2334" s="11" t="str">
        <f>IFERROR(IF(VLOOKUP(A2334,[14]PRIORIZADOS!$A:$P,16,FALSE)="","",VLOOKUP(A2334,[14]PRIORIZADOS!$A:$P,16,FALSE)),"")</f>
        <v>Visitas de evaluación con fines de seguimiento</v>
      </c>
      <c r="Q2334" s="27" t="s">
        <v>466</v>
      </c>
      <c r="R2334" s="11" t="str">
        <f>IFERROR(IF(VLOOKUP(A2334,[14]PRIORIZADOS!$A:$R,18,FALSE)="","",VLOOKUP(A2334,[14]PRIORIZADOS!$A:$R,18,FALSE)),"")</f>
        <v>Se encuentran en el análisis e identificación de las causas que han llevado a la institución a obtener puntajes bajos en las pruebas, con el fin de ajustar las mallas curriculares desde los grados inferiores que permitan fortalecer las competencias y mejorar el desempeño en el futuro.</v>
      </c>
      <c r="S2334" s="11" t="str">
        <f>IFERROR(IF(VLOOKUP(A2334,[14]PRIORIZADOS!$A:$S,19,FALSE)="","",VLOOKUP(A2334,[14]PRIORIZADOS!$A:$S,19,FALSE)),"")</f>
        <v>Realizar el análisis de los resultados de las pruebas saber y formular acciones  con lo organos de participación que estén afectando el desempeño.</v>
      </c>
      <c r="T2334" s="70" t="str">
        <f>IFERROR(IF(VLOOKUP(A2334,[14]PRIORIZADOS!$A:$T,20,FALSE)="","",VLOOKUP(A2334,[14]PRIORIZADOS!$A:$T,20,FALSE)),"")</f>
        <v>Si</v>
      </c>
      <c r="U2334" s="11" t="str">
        <f>IFERROR(IF(VLOOKUP(A2334,[14]PRIORIZADOS!$A:$U,21,FALSE)="","",VLOOKUP(A2334,[14]PRIORIZADOS!$A:$U,21,FALSE)),"")</f>
        <v>Verificar el analisis de los resultados y las acciones en las asignaturas que presentan puntajes más bajos en la próxima calificación de las pruebas.</v>
      </c>
    </row>
    <row r="2335" spans="1:21" s="1" customFormat="1" ht="84">
      <c r="A2335" s="69">
        <f>IF([14]PRIORIZADOS!A382="","",[14]PRIORIZADOS!A382)</f>
        <v>2304</v>
      </c>
      <c r="B2335" s="70">
        <f>IFERROR(IF(VLOOKUP(A2335,[14]PRIORIZADOS!$A:$B,2,FALSE)="","",VLOOKUP(A2335,[14]PRIORIZADOS!$A:$B,2,FALSE)),"")</f>
        <v>42</v>
      </c>
      <c r="C2335" s="11" t="s">
        <v>424</v>
      </c>
      <c r="D2335" s="11" t="str">
        <f>IFERROR(IF(VLOOKUP(A2335,[14]PRIORIZADOS!$A:$D,4,FALSE)="","",VLOOKUP(A2335,[14]PRIORIZADOS!$A:$D,4,FALSE)),"")</f>
        <v>OFICIAL.</v>
      </c>
      <c r="E2335" s="11" t="str">
        <f>IFERROR(IF(VLOOKUP(A2335,[14]PRIORIZADOS!$A:$E,5,FALSE)="","",VLOOKUP(A2335,[14]PRIORIZADOS!$A:$E,5,FALSE)),"")</f>
        <v>EPBM</v>
      </c>
      <c r="F2335" s="11" t="str">
        <f>IFERROR(IF(VLOOKUP(A2335,[14]PRIORIZADOS!$A:$F,6,FALSE)="","",VLOOKUP(A2335,[14]PRIORIZADOS!$A:$F,6,FALSE)),"")</f>
        <v>COLEGIO_ALVARO_GOMEZ_HURTADO_IED</v>
      </c>
      <c r="G2335" s="11" t="str">
        <f>IFERROR(IF(VLOOKUP(A2335,[14]PRIORIZADOS!$A:$G,7,FALSE)="","",VLOOKUP(A2335,[14]PRIORIZADOS!$A:$G,7,FALSE)),"")</f>
        <v>ALVARO GOMEZ HURTADO</v>
      </c>
      <c r="H2335" s="11" t="str">
        <f>IFERROR(IF(VLOOKUP(A2335,[14]PRIORIZADOS!$A:$H,8,FALSE)="","",VLOOKUP(A2335,[14]PRIORIZADOS!$A:$H,8,FALSE)),"")</f>
        <v>Convivencia escolar</v>
      </c>
      <c r="I2335" s="11" t="str">
        <f>IFERROR(IF(VLOOKUP(A2335,[14]PRIORIZADOS!$A:$I,9,FALSE)="","",VLOOKUP(A2335,[14]PRIORIZADOS!$A:$I,9,FALSE)),"")</f>
        <v>SEGUIMIENTO_Y_SUPERVISIÓN.</v>
      </c>
      <c r="J2335" s="11" t="str">
        <f>IFERROR(IF(VLOOKUP(A2335,[14]PRIORIZADOS!$A:$J,10,FALSE)="","",VLOOKUP(A2335,[14]PRIORIZADOS!$A:$J,10,FALSE)),"")</f>
        <v xml:space="preserve">Verificar la implementación por parte de los colegios, de acciones realizadas para la prevención y atención de las situaciones de convivencia en el entorno escolar, según lo establecido en la Directiva 01 de 2022 del MEN. </v>
      </c>
      <c r="K2335" s="11" t="str">
        <f>IFERROR(IF(VLOOKUP(A2335,[14]PRIORIZADOS!$A:$K,11,FALSE)="","",VLOOKUP(A2335,[14]PRIORIZADOS!$A:$K,11,FALSE)),"")</f>
        <v>SONIA CONSTANZA URREGO GONZÁLEZ</v>
      </c>
      <c r="L2335" s="11" t="str">
        <f>IFERROR(IF(VLOOKUP(A2335,[14]PRIORIZADOS!$A:$L,12,FALSE)="","",VLOOKUP(A2335,[14]PRIORIZADOS!$A:$L,12,FALSE)),"")</f>
        <v>ALBA DEL PILAR CUBIDES CÁCERES</v>
      </c>
      <c r="M2335" s="71">
        <f>IFERROR(IF(VLOOKUP(A2335,[14]PRIORIZADOS!$A:$M,13,FALSE)="","",VLOOKUP(A2335,[14]PRIORIZADOS!$A:$M,13,FALSE)),"")</f>
        <v>45804</v>
      </c>
      <c r="N2335" s="71">
        <f>IFERROR(IF(VLOOKUP(A2335,[14]PRIORIZADOS!$A:$N,14,FALSE)="","",VLOOKUP(A2335,[14]PRIORIZADOS!$A:$N,14,FALSE)),"")</f>
        <v>45804</v>
      </c>
      <c r="O2335" s="71">
        <f>IFERROR(IF(VLOOKUP(A2335,[14]PRIORIZADOS!$A:$O,15,FALSE)="","",VLOOKUP(A2335,[14]PRIORIZADOS!$A:$O,15,FALSE)),"")</f>
        <v>45804</v>
      </c>
      <c r="P2335" s="11" t="str">
        <f>IFERROR(IF(VLOOKUP(A2335,[14]PRIORIZADOS!$A:$P,16,FALSE)="","",VLOOKUP(A2335,[14]PRIORIZADOS!$A:$P,16,FALSE)),"")</f>
        <v>Visitas de evaluación con fines de seguimiento</v>
      </c>
      <c r="Q2335" s="27" t="s">
        <v>466</v>
      </c>
      <c r="R2335" s="11" t="str">
        <f>IFERROR(IF(VLOOKUP(A2335,[14]PRIORIZADOS!$A:$R,18,FALSE)="","",VLOOKUP(A2335,[14]PRIORIZADOS!$A:$R,18,FALSE)),"")</f>
        <v xml:space="preserve">No se realiza la consulta de inahabilidades en el entendido que es responsablidad de Talento Humano de la SED, por ser el que realiza el proceso de contratación. La institución cuenta con el Sistema de alertas donde se ha realizado la activación de las alertas en casos de convivencia. </v>
      </c>
      <c r="S2335" s="11" t="str">
        <f>IFERROR(IF(VLOOKUP(A2335,[14]PRIORIZADOS!$A:$S,19,FALSE)="","",VLOOKUP(A2335,[14]PRIORIZADOS!$A:$S,19,FALSE)),"")</f>
        <v xml:space="preserve">Continuar con la realización de los reportes en  en el sistema. </v>
      </c>
      <c r="T2335" s="70" t="str">
        <f>IFERROR(IF(VLOOKUP(A2335,[14]PRIORIZADOS!$A:$T,20,FALSE)="","",VLOOKUP(A2335,[14]PRIORIZADOS!$A:$T,20,FALSE)),"")</f>
        <v>No</v>
      </c>
      <c r="U2335" s="11" t="str">
        <f>IFERROR(IF(VLOOKUP(A2335,[14]PRIORIZADOS!$A:$U,21,FALSE)="","",VLOOKUP(A2335,[14]PRIORIZADOS!$A:$U,21,FALSE)),"")</f>
        <v>Realizar consulta respecto a la responsabilidad de consultar inhabilidades de los docentes y administrativos por prevención.</v>
      </c>
    </row>
    <row r="2336" spans="1:21" s="1" customFormat="1" ht="72">
      <c r="A2336" s="69">
        <f>IF([14]PRIORIZADOS!A383="","",[14]PRIORIZADOS!A383)</f>
        <v>2305</v>
      </c>
      <c r="B2336" s="70">
        <f>IFERROR(IF(VLOOKUP(A2336,[14]PRIORIZADOS!$A:$B,2,FALSE)="","",VLOOKUP(A2336,[14]PRIORIZADOS!$A:$B,2,FALSE)),"")</f>
        <v>42</v>
      </c>
      <c r="C2336" s="11" t="s">
        <v>424</v>
      </c>
      <c r="D2336" s="11" t="str">
        <f>IFERROR(IF(VLOOKUP(A2336,[14]PRIORIZADOS!$A:$D,4,FALSE)="","",VLOOKUP(A2336,[14]PRIORIZADOS!$A:$D,4,FALSE)),"")</f>
        <v>OFICIAL.</v>
      </c>
      <c r="E2336" s="11" t="str">
        <f>IFERROR(IF(VLOOKUP(A2336,[14]PRIORIZADOS!$A:$E,5,FALSE)="","",VLOOKUP(A2336,[14]PRIORIZADOS!$A:$E,5,FALSE)),"")</f>
        <v>EPBM</v>
      </c>
      <c r="F2336" s="11" t="str">
        <f>IFERROR(IF(VLOOKUP(A2336,[14]PRIORIZADOS!$A:$F,6,FALSE)="","",VLOOKUP(A2336,[14]PRIORIZADOS!$A:$F,6,FALSE)),"")</f>
        <v>COLEGIO_ALVARO_GOMEZ_HURTADO_IED</v>
      </c>
      <c r="G2336" s="11" t="str">
        <f>IFERROR(IF(VLOOKUP(A2336,[14]PRIORIZADOS!$A:$G,7,FALSE)="","",VLOOKUP(A2336,[14]PRIORIZADOS!$A:$G,7,FALSE)),"")</f>
        <v>ALVARO GOMEZ HURTADO</v>
      </c>
      <c r="H2336" s="11" t="str">
        <f>IFERROR(IF(VLOOKUP(A2336,[14]PRIORIZADOS!$A:$H,8,FALSE)="","",VLOOKUP(A2336,[14]PRIORIZADOS!$A:$H,8,FALSE)),"")</f>
        <v>Convivencia escolar</v>
      </c>
      <c r="I2336" s="11" t="str">
        <f>IFERROR(IF(VLOOKUP(A2336,[14]PRIORIZADOS!$A:$I,9,FALSE)="","",VLOOKUP(A2336,[14]PRIORIZADOS!$A:$I,9,FALSE)),"")</f>
        <v>SEGUIMIENTO_Y_SUPERVISIÓN.</v>
      </c>
      <c r="J2336" s="11" t="str">
        <f>IFERROR(IF(VLOOKUP(A2336,[14]PRIORIZADOS!$A:$J,10,FALSE)="","",VLOOKUP(A2336,[14]PRIORIZADOS!$A:$J,10,FALSE)),"")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36" s="11" t="str">
        <f>IFERROR(IF(VLOOKUP(A2336,[14]PRIORIZADOS!$A:$K,11,FALSE)="","",VLOOKUP(A2336,[14]PRIORIZADOS!$A:$K,11,FALSE)),"")</f>
        <v>SONIA CONSTANZA URREGO GONZÁLEZ</v>
      </c>
      <c r="L2336" s="11" t="str">
        <f>IFERROR(IF(VLOOKUP(A2336,[14]PRIORIZADOS!$A:$L,12,FALSE)="","",VLOOKUP(A2336,[14]PRIORIZADOS!$A:$L,12,FALSE)),"")</f>
        <v>ALBA DEL PILAR CUBIDES CÁCERES</v>
      </c>
      <c r="M2336" s="71">
        <f>IFERROR(IF(VLOOKUP(A2336,[14]PRIORIZADOS!$A:$M,13,FALSE)="","",VLOOKUP(A2336,[14]PRIORIZADOS!$A:$M,13,FALSE)),"")</f>
        <v>45804</v>
      </c>
      <c r="N2336" s="71">
        <f>IFERROR(IF(VLOOKUP(A2336,[14]PRIORIZADOS!$A:$N,14,FALSE)="","",VLOOKUP(A2336,[14]PRIORIZADOS!$A:$N,14,FALSE)),"")</f>
        <v>45804</v>
      </c>
      <c r="O2336" s="71">
        <f>IFERROR(IF(VLOOKUP(A2336,[14]PRIORIZADOS!$A:$O,15,FALSE)="","",VLOOKUP(A2336,[14]PRIORIZADOS!$A:$O,15,FALSE)),"")</f>
        <v>45804</v>
      </c>
      <c r="P2336" s="11" t="str">
        <f>IFERROR(IF(VLOOKUP(A2336,[14]PRIORIZADOS!$A:$P,16,FALSE)="","",VLOOKUP(A2336,[14]PRIORIZADOS!$A:$P,16,FALSE)),"")</f>
        <v>Visitas de evaluación con fines de seguimiento</v>
      </c>
      <c r="Q2336" s="27" t="s">
        <v>466</v>
      </c>
      <c r="R2336" s="11" t="str">
        <f>IFERROR(IF(VLOOKUP(A2336,[14]PRIORIZADOS!$A:$R,18,FALSE)="","",VLOOKUP(A2336,[14]PRIORIZADOS!$A:$R,18,FALSE)),"")</f>
        <v>Se evidenció la existencia de un PIAR para  los estudiantes que lo requieren, seguimiento y ajustes.</v>
      </c>
      <c r="S2336" s="11" t="str">
        <f>IFERROR(IF(VLOOKUP(A2336,[14]PRIORIZADOS!$A:$S,19,FALSE)="","",VLOOKUP(A2336,[14]PRIORIZADOS!$A:$S,19,FALSE)),"")</f>
        <v>Continuar con los proceso de inclusión</v>
      </c>
      <c r="T2336" s="70" t="str">
        <f>IFERROR(IF(VLOOKUP(A2336,[14]PRIORIZADOS!$A:$T,20,FALSE)="","",VLOOKUP(A2336,[14]PRIORIZADOS!$A:$T,20,FALSE)),"")</f>
        <v>No</v>
      </c>
      <c r="U2336" s="11" t="str">
        <f>IFERROR(IF(VLOOKUP(A2336,[14]PRIORIZADOS!$A:$U,21,FALSE)="","",VLOOKUP(A2336,[14]PRIORIZADOS!$A:$U,21,FALSE)),"")</f>
        <v>Verificar la existencia de ajustes de acuerdo a la información reportada por los docentes.</v>
      </c>
    </row>
    <row r="2337" spans="1:21" s="1" customFormat="1" ht="84">
      <c r="A2337" s="69">
        <f>IF([14]PRIORIZADOS!A384="","",[14]PRIORIZADOS!A384)</f>
        <v>2306</v>
      </c>
      <c r="B2337" s="70">
        <f>IFERROR(IF(VLOOKUP(A2337,[14]PRIORIZADOS!$A:$B,2,FALSE)="","",VLOOKUP(A2337,[14]PRIORIZADOS!$A:$B,2,FALSE)),"")</f>
        <v>42</v>
      </c>
      <c r="C2337" s="11" t="s">
        <v>424</v>
      </c>
      <c r="D2337" s="11" t="str">
        <f>IFERROR(IF(VLOOKUP(A2337,[14]PRIORIZADOS!$A:$D,4,FALSE)="","",VLOOKUP(A2337,[14]PRIORIZADOS!$A:$D,4,FALSE)),"")</f>
        <v>OFICIAL.</v>
      </c>
      <c r="E2337" s="11" t="str">
        <f>IFERROR(IF(VLOOKUP(A2337,[14]PRIORIZADOS!$A:$E,5,FALSE)="","",VLOOKUP(A2337,[14]PRIORIZADOS!$A:$E,5,FALSE)),"")</f>
        <v>EPBM</v>
      </c>
      <c r="F2337" s="11" t="str">
        <f>IFERROR(IF(VLOOKUP(A2337,[14]PRIORIZADOS!$A:$F,6,FALSE)="","",VLOOKUP(A2337,[14]PRIORIZADOS!$A:$F,6,FALSE)),"")</f>
        <v>COLEGIO_ALVARO_GOMEZ_HURTADO_IED</v>
      </c>
      <c r="G2337" s="11" t="str">
        <f>IFERROR(IF(VLOOKUP(A2337,[14]PRIORIZADOS!$A:$G,7,FALSE)="","",VLOOKUP(A2337,[14]PRIORIZADOS!$A:$G,7,FALSE)),"")</f>
        <v>ALVARO GOMEZ HURTADO</v>
      </c>
      <c r="H2337" s="11" t="str">
        <f>IFERROR(IF(VLOOKUP(A2337,[14]PRIORIZADOS!$A:$H,8,FALSE)="","",VLOOKUP(A2337,[14]PRIORIZADOS!$A:$H,8,FALSE)),"")</f>
        <v>Convivencia escolar</v>
      </c>
      <c r="I2337" s="11" t="str">
        <f>IFERROR(IF(VLOOKUP(A2337,[14]PRIORIZADOS!$A:$I,9,FALSE)="","",VLOOKUP(A2337,[14]PRIORIZADOS!$A:$I,9,FALSE)),"")</f>
        <v>EVALUACIÓN_CON_FINES_DE_MEJORAMIENTO.</v>
      </c>
      <c r="J2337" s="11" t="str">
        <f>IFERROR(IF(VLOOKUP(A2337,[14]PRIORIZADOS!$A:$J,10,FALSE)="","",VLOOKUP(A2337,[14]PRIORIZADOS!$A:$J,10,FALSE)),"")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37" s="11" t="str">
        <f>IFERROR(IF(VLOOKUP(A2337,[14]PRIORIZADOS!$A:$K,11,FALSE)="","",VLOOKUP(A2337,[14]PRIORIZADOS!$A:$K,11,FALSE)),"")</f>
        <v>SONIA CONSTANZA URREGO GONZÁLEZ</v>
      </c>
      <c r="L2337" s="11" t="str">
        <f>IFERROR(IF(VLOOKUP(A2337,[14]PRIORIZADOS!$A:$L,12,FALSE)="","",VLOOKUP(A2337,[14]PRIORIZADOS!$A:$L,12,FALSE)),"")</f>
        <v>ALBA DEL PILAR CUBIDES CÁCERES</v>
      </c>
      <c r="M2337" s="71">
        <f>IFERROR(IF(VLOOKUP(A2337,[14]PRIORIZADOS!$A:$M,13,FALSE)="","",VLOOKUP(A2337,[14]PRIORIZADOS!$A:$M,13,FALSE)),"")</f>
        <v>45804</v>
      </c>
      <c r="N2337" s="71">
        <f>IFERROR(IF(VLOOKUP(A2337,[14]PRIORIZADOS!$A:$N,14,FALSE)="","",VLOOKUP(A2337,[14]PRIORIZADOS!$A:$N,14,FALSE)),"")</f>
        <v>45804</v>
      </c>
      <c r="O2337" s="71">
        <f>IFERROR(IF(VLOOKUP(A2337,[14]PRIORIZADOS!$A:$O,15,FALSE)="","",VLOOKUP(A2337,[14]PRIORIZADOS!$A:$O,15,FALSE)),"")</f>
        <v>45804</v>
      </c>
      <c r="P2337" s="11" t="str">
        <f>IFERROR(IF(VLOOKUP(A2337,[14]PRIORIZADOS!$A:$P,16,FALSE)="","",VLOOKUP(A2337,[14]PRIORIZADOS!$A:$P,16,FALSE)),"")</f>
        <v>Visitas de evaluación con fines de mejoramiento</v>
      </c>
      <c r="Q2337" s="47" t="s">
        <v>466</v>
      </c>
      <c r="R2337" s="11" t="str">
        <f>IFERROR(IF(VLOOKUP(A2337,[14]PRIORIZADOS!$A:$R,18,FALSE)="","",VLOOKUP(A2337,[14]PRIORIZADOS!$A:$R,18,FALSE)),"")</f>
        <v>El Manual de Convivencia actualizado a 2025, fue radicado para revisión por el ELIV.</v>
      </c>
      <c r="S2337" s="11" t="str">
        <f>IFERROR(IF(VLOOKUP(A2337,[14]PRIORIZADOS!$A:$S,19,FALSE)="","",VLOOKUP(A2337,[14]PRIORIZADOS!$A:$S,19,FALSE)),"")</f>
        <v xml:space="preserve">Recibidas las observaciones por parte del ELIV, realizar los respectivos ajustes. </v>
      </c>
      <c r="T2337" s="70" t="str">
        <f>IFERROR(IF(VLOOKUP(A2337,[14]PRIORIZADOS!$A:$T,20,FALSE)="","",VLOOKUP(A2337,[14]PRIORIZADOS!$A:$T,20,FALSE)),"")</f>
        <v>Si</v>
      </c>
      <c r="U2337" s="11" t="str">
        <f>IFERROR(IF(VLOOKUP(A2337,[14]PRIORIZADOS!$A:$U,21,FALSE)="","",VLOOKUP(A2337,[14]PRIORIZADOS!$A:$U,21,FALSE)),"")</f>
        <v>Verificar los ajustes al manual, acorde a las observaciones del ELIV.</v>
      </c>
    </row>
    <row r="2338" spans="1:21" s="1" customFormat="1" ht="48">
      <c r="A2338" s="69">
        <f>IF([14]PRIORIZADOS!A385="","",[14]PRIORIZADOS!A385)</f>
        <v>2307</v>
      </c>
      <c r="B2338" s="70">
        <f>IFERROR(IF(VLOOKUP(A2338,[14]PRIORIZADOS!$A:$B,2,FALSE)="","",VLOOKUP(A2338,[14]PRIORIZADOS!$A:$B,2,FALSE)),"")</f>
        <v>42</v>
      </c>
      <c r="C2338" s="11" t="s">
        <v>424</v>
      </c>
      <c r="D2338" s="11" t="str">
        <f>IFERROR(IF(VLOOKUP(A2338,[14]PRIORIZADOS!$A:$D,4,FALSE)="","",VLOOKUP(A2338,[14]PRIORIZADOS!$A:$D,4,FALSE)),"")</f>
        <v>OFICIAL.</v>
      </c>
      <c r="E2338" s="11" t="str">
        <f>IFERROR(IF(VLOOKUP(A2338,[14]PRIORIZADOS!$A:$E,5,FALSE)="","",VLOOKUP(A2338,[14]PRIORIZADOS!$A:$E,5,FALSE)),"")</f>
        <v>EPBM</v>
      </c>
      <c r="F2338" s="11" t="str">
        <f>IFERROR(IF(VLOOKUP(A2338,[14]PRIORIZADOS!$A:$F,6,FALSE)="","",VLOOKUP(A2338,[14]PRIORIZADOS!$A:$F,6,FALSE)),"")</f>
        <v>COLEGIO_ALVARO_GOMEZ_HURTADO_IED</v>
      </c>
      <c r="G2338" s="11" t="str">
        <f>IFERROR(IF(VLOOKUP(A2338,[14]PRIORIZADOS!$A:$G,7,FALSE)="","",VLOOKUP(A2338,[14]PRIORIZADOS!$A:$G,7,FALSE)),"")</f>
        <v>ALVARO GOMEZ HURTADO</v>
      </c>
      <c r="H2338" s="11" t="str">
        <f>IFERROR(IF(VLOOKUP(A2338,[14]PRIORIZADOS!$A:$H,8,FALSE)="","",VLOOKUP(A2338,[14]PRIORIZADOS!$A:$H,8,FALSE)),"")</f>
        <v>Convivencia escolar</v>
      </c>
      <c r="I2338" s="11" t="str">
        <f>IFERROR(IF(VLOOKUP(A2338,[14]PRIORIZADOS!$A:$I,9,FALSE)="","",VLOOKUP(A2338,[14]PRIORIZADOS!$A:$I,9,FALSE)),"")</f>
        <v>EVALUACIÓN_CON_FINES_DE_MEJORAMIENTO.</v>
      </c>
      <c r="J2338" s="11" t="str">
        <f>IFERROR(IF(VLOOKUP(A2338,[14]PRIORIZADOS!$A:$J,10,FALSE)="","",VLOOKUP(A2338,[14]PRIORIZADOS!$A:$J,10,FALSE)),"")</f>
        <v>Revisar la actualización, socialización e implementación del Sistema Institucional de Evaluación de Estudiantes - SIEE, en articulación con la actualización del PEI y la normatividad vigente.</v>
      </c>
      <c r="K2338" s="11" t="str">
        <f>IFERROR(IF(VLOOKUP(A2338,[14]PRIORIZADOS!$A:$K,11,FALSE)="","",VLOOKUP(A2338,[14]PRIORIZADOS!$A:$K,11,FALSE)),"")</f>
        <v>SONIA CONSTANZA URREGO GONZÁLEZ</v>
      </c>
      <c r="L2338" s="11" t="str">
        <f>IFERROR(IF(VLOOKUP(A2338,[14]PRIORIZADOS!$A:$L,12,FALSE)="","",VLOOKUP(A2338,[14]PRIORIZADOS!$A:$L,12,FALSE)),"")</f>
        <v>ALBA DEL PILAR CUBIDES CÁCERES</v>
      </c>
      <c r="M2338" s="71">
        <f>IFERROR(IF(VLOOKUP(A2338,[14]PRIORIZADOS!$A:$M,13,FALSE)="","",VLOOKUP(A2338,[14]PRIORIZADOS!$A:$M,13,FALSE)),"")</f>
        <v>45804</v>
      </c>
      <c r="N2338" s="71">
        <f>IFERROR(IF(VLOOKUP(A2338,[14]PRIORIZADOS!$A:$N,14,FALSE)="","",VLOOKUP(A2338,[14]PRIORIZADOS!$A:$N,14,FALSE)),"")</f>
        <v>45804</v>
      </c>
      <c r="O2338" s="71">
        <f>IFERROR(IF(VLOOKUP(A2338,[14]PRIORIZADOS!$A:$O,15,FALSE)="","",VLOOKUP(A2338,[14]PRIORIZADOS!$A:$O,15,FALSE)),"")</f>
        <v>45804</v>
      </c>
      <c r="P2338" s="11" t="str">
        <f>IFERROR(IF(VLOOKUP(A2338,[14]PRIORIZADOS!$A:$P,16,FALSE)="","",VLOOKUP(A2338,[14]PRIORIZADOS!$A:$P,16,FALSE)),"")</f>
        <v>Visitas de evaluación con fines de mejoramiento</v>
      </c>
      <c r="Q2338" s="48" t="s">
        <v>466</v>
      </c>
      <c r="R2338" s="11" t="str">
        <f>IFERROR(IF(VLOOKUP(A2338,[14]PRIORIZADOS!$A:$R,18,FALSE)="","",VLOOKUP(A2338,[14]PRIORIZADOS!$A:$R,18,FALSE)),"")</f>
        <v>Se encuentra actualmente en actualización e implementación de nuevas líneas.</v>
      </c>
      <c r="S2338" s="11" t="str">
        <f>IFERROR(IF(VLOOKUP(A2338,[14]PRIORIZADOS!$A:$S,19,FALSE)="","",VLOOKUP(A2338,[14]PRIORIZADOS!$A:$S,19,FALSE)),"")</f>
        <v>Continuar con la actualización.</v>
      </c>
      <c r="T2338" s="70" t="str">
        <f>IFERROR(IF(VLOOKUP(A2338,[14]PRIORIZADOS!$A:$T,20,FALSE)="","",VLOOKUP(A2338,[14]PRIORIZADOS!$A:$T,20,FALSE)),"")</f>
        <v>Si</v>
      </c>
      <c r="U2338" s="11" t="str">
        <f>IFERROR(IF(VLOOKUP(A2338,[14]PRIORIZADOS!$A:$U,21,FALSE)="","",VLOOKUP(A2338,[14]PRIORIZADOS!$A:$U,21,FALSE)),"")</f>
        <v>Revisar la actualización radicada en la DLE.</v>
      </c>
    </row>
    <row r="2339" spans="1:21" s="1" customFormat="1" ht="48">
      <c r="A2339" s="69">
        <f>IF([14]PRIORIZADOS!A386="","",[14]PRIORIZADOS!A386)</f>
        <v>2308</v>
      </c>
      <c r="B2339" s="70">
        <f>IFERROR(IF(VLOOKUP(A2339,[14]PRIORIZADOS!$A:$B,2,FALSE)="","",VLOOKUP(A2339,[14]PRIORIZADOS!$A:$B,2,FALSE)),"")</f>
        <v>42</v>
      </c>
      <c r="C2339" s="11" t="s">
        <v>424</v>
      </c>
      <c r="D2339" s="11" t="str">
        <f>IFERROR(IF(VLOOKUP(A2339,[14]PRIORIZADOS!$A:$D,4,FALSE)="","",VLOOKUP(A2339,[14]PRIORIZADOS!$A:$D,4,FALSE)),"")</f>
        <v>OFICIAL.</v>
      </c>
      <c r="E2339" s="11" t="str">
        <f>IFERROR(IF(VLOOKUP(A2339,[14]PRIORIZADOS!$A:$E,5,FALSE)="","",VLOOKUP(A2339,[14]PRIORIZADOS!$A:$E,5,FALSE)),"")</f>
        <v>EPBM</v>
      </c>
      <c r="F2339" s="11" t="str">
        <f>IFERROR(IF(VLOOKUP(A2339,[14]PRIORIZADOS!$A:$F,6,FALSE)="","",VLOOKUP(A2339,[14]PRIORIZADOS!$A:$F,6,FALSE)),"")</f>
        <v>COLEGIO_ALVARO_GOMEZ_HURTADO_IED</v>
      </c>
      <c r="G2339" s="11" t="str">
        <f>IFERROR(IF(VLOOKUP(A2339,[14]PRIORIZADOS!$A:$G,7,FALSE)="","",VLOOKUP(A2339,[14]PRIORIZADOS!$A:$G,7,FALSE)),"")</f>
        <v>ALVARO GOMEZ HURTADO</v>
      </c>
      <c r="H2339" s="11" t="str">
        <f>IFERROR(IF(VLOOKUP(A2339,[14]PRIORIZADOS!$A:$H,8,FALSE)="","",VLOOKUP(A2339,[14]PRIORIZADOS!$A:$H,8,FALSE)),"")</f>
        <v>Convivencia escolar</v>
      </c>
      <c r="I2339" s="11" t="str">
        <f>IFERROR(IF(VLOOKUP(A2339,[14]PRIORIZADOS!$A:$I,9,FALSE)="","",VLOOKUP(A2339,[14]PRIORIZADOS!$A:$I,9,FALSE)),"")</f>
        <v>EVALUACIÓN_CON_FINES_DE_MEJORAMIENTO.</v>
      </c>
      <c r="J2339" s="11" t="str">
        <f>IFERROR(IF(VLOOKUP(A2339,[14]PRIORIZADOS!$A:$J,10,FALSE)="","",VLOOKUP(A2339,[14]PRIORIZADOS!$A:$J,10,FALSE)),"")</f>
        <v>Revisar el calendario escolar, jornada escolar, la intensidad horaria mínima anual en cada nivel y las modificaciones que se realicen al mismo, de acuerdo con lo previsto en la normatividad vigente.</v>
      </c>
      <c r="K2339" s="11" t="str">
        <f>IFERROR(IF(VLOOKUP(A2339,[14]PRIORIZADOS!$A:$K,11,FALSE)="","",VLOOKUP(A2339,[14]PRIORIZADOS!$A:$K,11,FALSE)),"")</f>
        <v>SONIA CONSTANZA URREGO GONZÁLEZ</v>
      </c>
      <c r="L2339" s="11" t="str">
        <f>IFERROR(IF(VLOOKUP(A2339,[14]PRIORIZADOS!$A:$L,12,FALSE)="","",VLOOKUP(A2339,[14]PRIORIZADOS!$A:$L,12,FALSE)),"")</f>
        <v>ALBA DEL PILAR CUBIDES CÁCERES</v>
      </c>
      <c r="M2339" s="71">
        <f>IFERROR(IF(VLOOKUP(A2339,[14]PRIORIZADOS!$A:$M,13,FALSE)="","",VLOOKUP(A2339,[14]PRIORIZADOS!$A:$M,13,FALSE)),"")</f>
        <v>45804</v>
      </c>
      <c r="N2339" s="71">
        <f>IFERROR(IF(VLOOKUP(A2339,[14]PRIORIZADOS!$A:$N,14,FALSE)="","",VLOOKUP(A2339,[14]PRIORIZADOS!$A:$N,14,FALSE)),"")</f>
        <v>45804</v>
      </c>
      <c r="O2339" s="71">
        <f>IFERROR(IF(VLOOKUP(A2339,[14]PRIORIZADOS!$A:$O,15,FALSE)="","",VLOOKUP(A2339,[14]PRIORIZADOS!$A:$O,15,FALSE)),"")</f>
        <v>45804</v>
      </c>
      <c r="P2339" s="11" t="str">
        <f>IFERROR(IF(VLOOKUP(A2339,[14]PRIORIZADOS!$A:$P,16,FALSE)="","",VLOOKUP(A2339,[14]PRIORIZADOS!$A:$P,16,FALSE)),"")</f>
        <v>Visitas de evaluación con fines de mejoramiento</v>
      </c>
      <c r="Q2339" s="47" t="s">
        <v>466</v>
      </c>
      <c r="R2339" s="11" t="str">
        <f>IFERROR(IF(VLOOKUP(A2339,[14]PRIORIZADOS!$A:$R,18,FALSE)="","",VLOOKUP(A2339,[14]PRIORIZADOS!$A:$R,18,FALSE)),"")</f>
        <v>Cumple con la resolución de la SED, que regula el calendario para los colegios oficiales.</v>
      </c>
      <c r="S2339" s="11" t="str">
        <f>IFERROR(IF(VLOOKUP(A2339,[14]PRIORIZADOS!$A:$S,19,FALSE)="","",VLOOKUP(A2339,[14]PRIORIZADOS!$A:$S,19,FALSE)),"")</f>
        <v>Continuar con el cumplimiento del calendrio en semanas y horas.</v>
      </c>
      <c r="T2339" s="70" t="str">
        <f>IFERROR(IF(VLOOKUP(A2339,[14]PRIORIZADOS!$A:$T,20,FALSE)="","",VLOOKUP(A2339,[14]PRIORIZADOS!$A:$T,20,FALSE)),"")</f>
        <v>No</v>
      </c>
      <c r="U2339" s="11" t="str">
        <f>IFERROR(IF(VLOOKUP(A2339,[14]PRIORIZADOS!$A:$U,21,FALSE)="","",VLOOKUP(A2339,[14]PRIORIZADOS!$A:$U,21,FALSE)),"")</f>
        <v>Verificar el cumplimiento del calendario escolar.</v>
      </c>
    </row>
    <row r="2340" spans="1:21" s="1" customFormat="1" ht="48">
      <c r="A2340" s="69">
        <f>IF([14]PRIORIZADOS!A387="","",[14]PRIORIZADOS!A387)</f>
        <v>2309</v>
      </c>
      <c r="B2340" s="70">
        <f>IFERROR(IF(VLOOKUP(A2340,[14]PRIORIZADOS!$A:$B,2,FALSE)="","",VLOOKUP(A2340,[14]PRIORIZADOS!$A:$B,2,FALSE)),"")</f>
        <v>42</v>
      </c>
      <c r="C2340" s="11" t="s">
        <v>424</v>
      </c>
      <c r="D2340" s="11" t="str">
        <f>IFERROR(IF(VLOOKUP(A2340,[14]PRIORIZADOS!$A:$D,4,FALSE)="","",VLOOKUP(A2340,[14]PRIORIZADOS!$A:$D,4,FALSE)),"")</f>
        <v>OFICIAL.</v>
      </c>
      <c r="E2340" s="11" t="str">
        <f>IFERROR(IF(VLOOKUP(A2340,[14]PRIORIZADOS!$A:$E,5,FALSE)="","",VLOOKUP(A2340,[14]PRIORIZADOS!$A:$E,5,FALSE)),"")</f>
        <v>EPBM</v>
      </c>
      <c r="F2340" s="11" t="str">
        <f>IFERROR(IF(VLOOKUP(A2340,[14]PRIORIZADOS!$A:$F,6,FALSE)="","",VLOOKUP(A2340,[14]PRIORIZADOS!$A:$F,6,FALSE)),"")</f>
        <v>COLEGIO_ALVARO_GOMEZ_HURTADO_IED</v>
      </c>
      <c r="G2340" s="11" t="str">
        <f>IFERROR(IF(VLOOKUP(A2340,[14]PRIORIZADOS!$A:$G,7,FALSE)="","",VLOOKUP(A2340,[14]PRIORIZADOS!$A:$G,7,FALSE)),"")</f>
        <v>ALVARO GOMEZ HURTADO</v>
      </c>
      <c r="H2340" s="11" t="str">
        <f>IFERROR(IF(VLOOKUP(A2340,[14]PRIORIZADOS!$A:$H,8,FALSE)="","",VLOOKUP(A2340,[14]PRIORIZADOS!$A:$H,8,FALSE)),"")</f>
        <v>Convivencia escolar</v>
      </c>
      <c r="I2340" s="11" t="str">
        <f>IFERROR(IF(VLOOKUP(A2340,[14]PRIORIZADOS!$A:$I,9,FALSE)="","",VLOOKUP(A2340,[14]PRIORIZADOS!$A:$I,9,FALSE)),"")</f>
        <v>EVALUACIÓN_CON_FINES_DE_MEJORAMIENTO.</v>
      </c>
      <c r="J2340" s="11" t="str">
        <f>IFERROR(IF(VLOOKUP(A2340,[14]PRIORIZADOS!$A:$J,10,FALSE)="","",VLOOKUP(A2340,[14]PRIORIZADOS!$A:$J,10,FALSE)),"")</f>
        <v>Verificar el funcionamiento del Gobierno Escolar e instancias de participación con base en la información sobre conformación reportada por la institución educativa.</v>
      </c>
      <c r="K2340" s="11" t="str">
        <f>IFERROR(IF(VLOOKUP(A2340,[14]PRIORIZADOS!$A:$K,11,FALSE)="","",VLOOKUP(A2340,[14]PRIORIZADOS!$A:$K,11,FALSE)),"")</f>
        <v>SONIA CONSTANZA URREGO GONZÁLEZ</v>
      </c>
      <c r="L2340" s="11" t="str">
        <f>IFERROR(IF(VLOOKUP(A2340,[14]PRIORIZADOS!$A:$L,12,FALSE)="","",VLOOKUP(A2340,[14]PRIORIZADOS!$A:$L,12,FALSE)),"")</f>
        <v>ALBA DEL PILAR CUBIDES CÁCERES</v>
      </c>
      <c r="M2340" s="71">
        <f>IFERROR(IF(VLOOKUP(A2340,[14]PRIORIZADOS!$A:$M,13,FALSE)="","",VLOOKUP(A2340,[14]PRIORIZADOS!$A:$M,13,FALSE)),"")</f>
        <v>45804</v>
      </c>
      <c r="N2340" s="71">
        <f>IFERROR(IF(VLOOKUP(A2340,[14]PRIORIZADOS!$A:$N,14,FALSE)="","",VLOOKUP(A2340,[14]PRIORIZADOS!$A:$N,14,FALSE)),"")</f>
        <v>45804</v>
      </c>
      <c r="O2340" s="71">
        <f>IFERROR(IF(VLOOKUP(A2340,[14]PRIORIZADOS!$A:$O,15,FALSE)="","",VLOOKUP(A2340,[14]PRIORIZADOS!$A:$O,15,FALSE)),"")</f>
        <v>45804</v>
      </c>
      <c r="P2340" s="11" t="str">
        <f>IFERROR(IF(VLOOKUP(A2340,[14]PRIORIZADOS!$A:$P,16,FALSE)="","",VLOOKUP(A2340,[14]PRIORIZADOS!$A:$P,16,FALSE)),"")</f>
        <v>Visitas de evaluación con fines de mejoramiento</v>
      </c>
      <c r="Q2340" s="48" t="s">
        <v>466</v>
      </c>
      <c r="R2340" s="11" t="str">
        <f>IFERROR(IF(VLOOKUP(A2340,[14]PRIORIZADOS!$A:$R,18,FALSE)="","",VLOOKUP(A2340,[14]PRIORIZADOS!$A:$R,18,FALSE)),"")</f>
        <v>Se conformó el gobierno escolar y se evidencia su funcionamiento en algunas de ellas.</v>
      </c>
      <c r="S2340" s="11" t="str">
        <f>IFERROR(IF(VLOOKUP(A2340,[14]PRIORIZADOS!$A:$S,19,FALSE)="","",VLOOKUP(A2340,[14]PRIORIZADOS!$A:$S,19,FALSE)),"")</f>
        <v>Realizar las reuniones de cada órgano de gobierno  en el desempeño de sus funciones.</v>
      </c>
      <c r="T2340" s="70" t="str">
        <f>IFERROR(IF(VLOOKUP(A2340,[14]PRIORIZADOS!$A:$T,20,FALSE)="","",VLOOKUP(A2340,[14]PRIORIZADOS!$A:$T,20,FALSE)),"")</f>
        <v>No</v>
      </c>
      <c r="U2340" s="11" t="str">
        <f>IFERROR(IF(VLOOKUP(A2340,[14]PRIORIZADOS!$A:$U,21,FALSE)="","",VLOOKUP(A2340,[14]PRIORIZADOS!$A:$U,21,FALSE)),"")</f>
        <v>Hacer seguimiento del funcionamiento a través de las actas de reunión y sus reglamentos internos, de cada uno de los órganos de Gobierno Escolar.</v>
      </c>
    </row>
    <row r="2341" spans="1:21" s="1" customFormat="1" ht="118.5">
      <c r="A2341" s="69">
        <f>IF([14]PRIORIZADOS!A388="","",[14]PRIORIZADOS!A388)</f>
        <v>2310</v>
      </c>
      <c r="B2341" s="70">
        <f>IFERROR(IF(VLOOKUP(A2341,[14]PRIORIZADOS!$A:$B,2,FALSE)="","",VLOOKUP(A2341,[14]PRIORIZADOS!$A:$B,2,FALSE)),"")</f>
        <v>42</v>
      </c>
      <c r="C2341" s="11" t="s">
        <v>424</v>
      </c>
      <c r="D2341" s="11" t="str">
        <f>IFERROR(IF(VLOOKUP(A2341,[14]PRIORIZADOS!$A:$D,4,FALSE)="","",VLOOKUP(A2341,[14]PRIORIZADOS!$A:$D,4,FALSE)),"")</f>
        <v>OFICIAL.</v>
      </c>
      <c r="E2341" s="11" t="str">
        <f>IFERROR(IF(VLOOKUP(A2341,[14]PRIORIZADOS!$A:$E,5,FALSE)="","",VLOOKUP(A2341,[14]PRIORIZADOS!$A:$E,5,FALSE)),"")</f>
        <v>EPBM</v>
      </c>
      <c r="F2341" s="11" t="str">
        <f>IFERROR(IF(VLOOKUP(A2341,[14]PRIORIZADOS!$A:$F,6,FALSE)="","",VLOOKUP(A2341,[14]PRIORIZADOS!$A:$F,6,FALSE)),"")</f>
        <v>COLEGIO_ALVARO_GOMEZ_HURTADO_IED</v>
      </c>
      <c r="G2341" s="11" t="str">
        <f>IFERROR(IF(VLOOKUP(A2341,[14]PRIORIZADOS!$A:$G,7,FALSE)="","",VLOOKUP(A2341,[14]PRIORIZADOS!$A:$G,7,FALSE)),"")</f>
        <v>ALVARO GOMEZ HURTADO</v>
      </c>
      <c r="H2341" s="11" t="str">
        <f>IFERROR(IF(VLOOKUP(A2341,[14]PRIORIZADOS!$A:$H,8,FALSE)="","",VLOOKUP(A2341,[14]PRIORIZADOS!$A:$H,8,FALSE)),"")</f>
        <v>Convivencia escolar</v>
      </c>
      <c r="I2341" s="11" t="str">
        <f>IFERROR(IF(VLOOKUP(A2341,[14]PRIORIZADOS!$A:$I,9,FALSE)="","",VLOOKUP(A2341,[14]PRIORIZADOS!$A:$I,9,FALSE)),"")</f>
        <v>EVALUACIÓN_CON_FINES_DE_MEJORAMIENTO.</v>
      </c>
      <c r="J2341" s="11" t="str">
        <f>IFERROR(IF(VLOOKUP(A2341,[14]PRIORIZADOS!$A:$J,10,FALSE)="","",VLOOKUP(A2341,[14]PRIORIZADOS!$A:$J,10,FALSE)),"")</f>
        <v>Verificar las condiciones en cuanto a: la estructura administrativa, condiciones de la planta física y medios educativos adecuados.</v>
      </c>
      <c r="K2341" s="11" t="str">
        <f>IFERROR(IF(VLOOKUP(A2341,[14]PRIORIZADOS!$A:$K,11,FALSE)="","",VLOOKUP(A2341,[14]PRIORIZADOS!$A:$K,11,FALSE)),"")</f>
        <v>SONIA CONSTANZA URREGO GONZÁLEZ</v>
      </c>
      <c r="L2341" s="11" t="str">
        <f>IFERROR(IF(VLOOKUP(A2341,[14]PRIORIZADOS!$A:$L,12,FALSE)="","",VLOOKUP(A2341,[14]PRIORIZADOS!$A:$L,12,FALSE)),"")</f>
        <v>ALBA DEL PILAR CUBIDES CÁCERES</v>
      </c>
      <c r="M2341" s="71">
        <f>IFERROR(IF(VLOOKUP(A2341,[14]PRIORIZADOS!$A:$M,13,FALSE)="","",VLOOKUP(A2341,[14]PRIORIZADOS!$A:$M,13,FALSE)),"")</f>
        <v>45804</v>
      </c>
      <c r="N2341" s="71">
        <f>IFERROR(IF(VLOOKUP(A2341,[14]PRIORIZADOS!$A:$N,14,FALSE)="","",VLOOKUP(A2341,[14]PRIORIZADOS!$A:$N,14,FALSE)),"")</f>
        <v>45804</v>
      </c>
      <c r="O2341" s="71">
        <f>IFERROR(IF(VLOOKUP(A2341,[14]PRIORIZADOS!$A:$O,15,FALSE)="","",VLOOKUP(A2341,[14]PRIORIZADOS!$A:$O,15,FALSE)),"")</f>
        <v>45804</v>
      </c>
      <c r="P2341" s="11" t="str">
        <f>IFERROR(IF(VLOOKUP(A2341,[14]PRIORIZADOS!$A:$P,16,FALSE)="","",VLOOKUP(A2341,[14]PRIORIZADOS!$A:$P,16,FALSE)),"")</f>
        <v>Visitas de evaluación con fines de mejoramiento</v>
      </c>
      <c r="Q2341" s="48" t="s">
        <v>466</v>
      </c>
      <c r="R2341" s="11" t="str">
        <f>IFERROR(IF(VLOOKUP(A2341,[14]PRIORIZADOS!$A:$R,18,FALSE)="","",VLOOKUP(A2341,[14]PRIORIZADOS!$A:$R,18,FALSE)),"")</f>
        <v xml:space="preserve">Institución con cuatro sedes, de las cuales dos son arrendadas. Solo la sede A cuenta con espacios lúdicos y recreativos adecuados. Las otras sedes cuentan con espacios pequeños y no ideales para los estudiantes que maneja. La entrega de la dotación es muy lenta. Igualmente es la Sede A, es la única que cuenta con adaptaciones parciales para estudiantes con discapacidad física. </v>
      </c>
      <c r="S2341" s="11" t="str">
        <f>IFERROR(IF(VLOOKUP(A2341,[14]PRIORIZADOS!$A:$S,19,FALSE)="","",VLOOKUP(A2341,[14]PRIORIZADOS!$A:$S,19,FALSE)),"")</f>
        <v>Continuar con el cuidado de la planta física.</v>
      </c>
      <c r="T2341" s="70" t="str">
        <f>IFERROR(IF(VLOOKUP(A2341,[14]PRIORIZADOS!$A:$T,20,FALSE)="","",VLOOKUP(A2341,[14]PRIORIZADOS!$A:$T,20,FALSE)),"")</f>
        <v>No</v>
      </c>
      <c r="U2341" s="11" t="str">
        <f>IFERROR(IF(VLOOKUP(A2341,[14]PRIORIZADOS!$A:$U,21,FALSE)="","",VLOOKUP(A2341,[14]PRIORIZADOS!$A:$U,21,FALSE)),"")</f>
        <v>Verificar el estado de la planta física, de acuerdo a las características de cada sede.</v>
      </c>
    </row>
    <row r="2342" spans="1:21" s="1" customFormat="1" ht="60">
      <c r="A2342" s="69">
        <f>IF([14]PRIORIZADOS!A389="","",[14]PRIORIZADOS!A389)</f>
        <v>2311</v>
      </c>
      <c r="B2342" s="70">
        <f>IFERROR(IF(VLOOKUP(A2342,[14]PRIORIZADOS!$A:$B,2,FALSE)="","",VLOOKUP(A2342,[14]PRIORIZADOS!$A:$B,2,FALSE)),"")</f>
        <v>43</v>
      </c>
      <c r="C2342" s="11" t="s">
        <v>424</v>
      </c>
      <c r="D2342" s="11" t="str">
        <f>IFERROR(IF(VLOOKUP(A2342,[14]PRIORIZADOS!$A:$D,4,FALSE)="","",VLOOKUP(A2342,[14]PRIORIZADOS!$A:$D,4,FALSE)),"")</f>
        <v>OFICIAL.</v>
      </c>
      <c r="E2342" s="11" t="str">
        <f>IFERROR(IF(VLOOKUP(A2342,[14]PRIORIZADOS!$A:$E,5,FALSE)="","",VLOOKUP(A2342,[14]PRIORIZADOS!$A:$E,5,FALSE)),"")</f>
        <v>EPBM</v>
      </c>
      <c r="F2342" s="11" t="str">
        <f>IFERROR(IF(VLOOKUP(A2342,[14]PRIORIZADOS!$A:$F,6,FALSE)="","",VLOOKUP(A2342,[14]PRIORIZADOS!$A:$F,6,FALSE)),"")</f>
        <v>COLEGIO_HUNZA_IED</v>
      </c>
      <c r="G2342" s="11" t="str">
        <f>IFERROR(IF(VLOOKUP(A2342,[14]PRIORIZADOS!$A:$G,7,FALSE)="","",VLOOKUP(A2342,[14]PRIORIZADOS!$A:$G,7,FALSE)),"")</f>
        <v>CIUDAD HUNZA</v>
      </c>
      <c r="H2342" s="11" t="str">
        <f>IFERROR(IF(VLOOKUP(A2342,[14]PRIORIZADOS!$A:$H,8,FALSE)="","",VLOOKUP(A2342,[14]PRIORIZADOS!$A:$H,8,FALSE)),"")</f>
        <v>Convivencia escolar</v>
      </c>
      <c r="I2342" s="11" t="str">
        <f>IFERROR(IF(VLOOKUP(A2342,[14]PRIORIZADOS!$A:$I,9,FALSE)="","",VLOOKUP(A2342,[14]PRIORIZADOS!$A:$I,9,FALSE)),"")</f>
        <v>SEGUIMIENTO_Y_SUPERVISIÓN.</v>
      </c>
      <c r="J2342" s="11" t="str">
        <f>IFERROR(IF(VLOOKUP(A2342,[14]PRIORIZADOS!$A:$J,10,FALSE)="","",VLOOKUP(A2342,[14]PRIORIZADOS!$A:$J,10,FALSE)),"")</f>
        <v>Proponer estrategias en la formulación, verificar su elaboración y realizar seguimiento semestral al desarrollo de  las acciones establecidas en los planes de mejoramiento por pruebas SABER 11 de los establecimientos de educación formal.</v>
      </c>
      <c r="K2342" s="11" t="str">
        <f>IFERROR(IF(VLOOKUP(A2342,[14]PRIORIZADOS!$A:$K,11,FALSE)="","",VLOOKUP(A2342,[14]PRIORIZADOS!$A:$K,11,FALSE)),"")</f>
        <v>SONIA CONSTANZA URREGO GONZÁLEZ</v>
      </c>
      <c r="L2342" s="11" t="str">
        <f>IFERROR(IF(VLOOKUP(A2342,[14]PRIORIZADOS!$A:$L,12,FALSE)="","",VLOOKUP(A2342,[14]PRIORIZADOS!$A:$L,12,FALSE)),"")</f>
        <v>ALBA DEL PILAR CUBIDES CÁCERES</v>
      </c>
      <c r="M2342" s="71">
        <f>IFERROR(IF(VLOOKUP(A2342,[14]PRIORIZADOS!$A:$M,13,FALSE)="","",VLOOKUP(A2342,[14]PRIORIZADOS!$A:$M,13,FALSE)),"")</f>
        <v>45776</v>
      </c>
      <c r="N2342" s="71">
        <f>IFERROR(IF(VLOOKUP(A2342,[14]PRIORIZADOS!$A:$N,14,FALSE)="","",VLOOKUP(A2342,[14]PRIORIZADOS!$A:$N,14,FALSE)),"")</f>
        <v>45776</v>
      </c>
      <c r="O2342" s="71">
        <f>IFERROR(IF(VLOOKUP(A2342,[14]PRIORIZADOS!$A:$O,15,FALSE)="","",VLOOKUP(A2342,[14]PRIORIZADOS!$A:$O,15,FALSE)),"")</f>
        <v>45776</v>
      </c>
      <c r="P2342" s="11" t="str">
        <f>IFERROR(IF(VLOOKUP(A2342,[14]PRIORIZADOS!$A:$P,16,FALSE)="","",VLOOKUP(A2342,[14]PRIORIZADOS!$A:$P,16,FALSE)),"")</f>
        <v>Visitas de evaluación con fines de seguimiento</v>
      </c>
      <c r="Q2342" s="48" t="s">
        <v>467</v>
      </c>
      <c r="R2342" s="11" t="str">
        <f>IFERROR(IF(VLOOKUP(A2342,[14]PRIORIZADOS!$A:$R,18,FALSE)="","",VLOOKUP(A2342,[14]PRIORIZADOS!$A:$R,18,FALSE)),"")</f>
        <v>Clasificación de Pruebas B. Las acciones de refuerzon se enfocan a la presentación de la prueba, es decir, simulacros.</v>
      </c>
      <c r="S2342" s="11" t="str">
        <f>IFERROR(IF(VLOOKUP(A2342,[14]PRIORIZADOS!$A:$S,19,FALSE)="","",VLOOKUP(A2342,[14]PRIORIZADOS!$A:$S,19,FALSE)),"")</f>
        <v>Se deben realizar análisis a nivel de aáreas buscando encontrar las falencias, con el fin de reforzarlas y lograr resultados.</v>
      </c>
      <c r="T2342" s="70" t="str">
        <f>IFERROR(IF(VLOOKUP(A2342,[14]PRIORIZADOS!$A:$T,20,FALSE)="","",VLOOKUP(A2342,[14]PRIORIZADOS!$A:$T,20,FALSE)),"")</f>
        <v>Si</v>
      </c>
      <c r="U2342" s="11" t="str">
        <f>IFERROR(IF(VLOOKUP(A2342,[14]PRIORIZADOS!$A:$U,21,FALSE)="","",VLOOKUP(A2342,[14]PRIORIZADOS!$A:$U,21,FALSE)),"")</f>
        <v>Verificar los resultados y las acciones en las asignaturas que presentan puntajes más bajos en la próxima calificación de las pruebas</v>
      </c>
    </row>
    <row r="2343" spans="1:21" s="1" customFormat="1" ht="84">
      <c r="A2343" s="69">
        <f>IF([14]PRIORIZADOS!A390="","",[14]PRIORIZADOS!A390)</f>
        <v>2312</v>
      </c>
      <c r="B2343" s="70">
        <f>IFERROR(IF(VLOOKUP(A2343,[14]PRIORIZADOS!$A:$B,2,FALSE)="","",VLOOKUP(A2343,[14]PRIORIZADOS!$A:$B,2,FALSE)),"")</f>
        <v>43</v>
      </c>
      <c r="C2343" s="11" t="s">
        <v>424</v>
      </c>
      <c r="D2343" s="11" t="str">
        <f>IFERROR(IF(VLOOKUP(A2343,[14]PRIORIZADOS!$A:$D,4,FALSE)="","",VLOOKUP(A2343,[14]PRIORIZADOS!$A:$D,4,FALSE)),"")</f>
        <v>OFICIAL.</v>
      </c>
      <c r="E2343" s="11" t="str">
        <f>IFERROR(IF(VLOOKUP(A2343,[14]PRIORIZADOS!$A:$E,5,FALSE)="","",VLOOKUP(A2343,[14]PRIORIZADOS!$A:$E,5,FALSE)),"")</f>
        <v>EPBM</v>
      </c>
      <c r="F2343" s="11" t="str">
        <f>IFERROR(IF(VLOOKUP(A2343,[14]PRIORIZADOS!$A:$F,6,FALSE)="","",VLOOKUP(A2343,[14]PRIORIZADOS!$A:$F,6,FALSE)),"")</f>
        <v>COLEGIO_HUNZA_IED</v>
      </c>
      <c r="G2343" s="11" t="str">
        <f>IFERROR(IF(VLOOKUP(A2343,[14]PRIORIZADOS!$A:$G,7,FALSE)="","",VLOOKUP(A2343,[14]PRIORIZADOS!$A:$G,7,FALSE)),"")</f>
        <v>CIUDAD HUNZA</v>
      </c>
      <c r="H2343" s="11" t="str">
        <f>IFERROR(IF(VLOOKUP(A2343,[14]PRIORIZADOS!$A:$H,8,FALSE)="","",VLOOKUP(A2343,[14]PRIORIZADOS!$A:$H,8,FALSE)),"")</f>
        <v>Convivencia escolar</v>
      </c>
      <c r="I2343" s="11" t="str">
        <f>IFERROR(IF(VLOOKUP(A2343,[14]PRIORIZADOS!$A:$I,9,FALSE)="","",VLOOKUP(A2343,[14]PRIORIZADOS!$A:$I,9,FALSE)),"")</f>
        <v>SEGUIMIENTO_Y_SUPERVISIÓN.</v>
      </c>
      <c r="J2343" s="11" t="str">
        <f>IFERROR(IF(VLOOKUP(A2343,[14]PRIORIZADOS!$A:$J,10,FALSE)="","",VLOOKUP(A2343,[14]PRIORIZADOS!$A:$J,10,FALSE)),"")</f>
        <v xml:space="preserve">Verificar la implementación por parte de los colegios, de acciones realizadas para la prevención y atención de las situaciones de convivencia en el entorno escolar, según lo establecido en la Directiva 01 de 2022 del MEN. </v>
      </c>
      <c r="K2343" s="11" t="str">
        <f>IFERROR(IF(VLOOKUP(A2343,[14]PRIORIZADOS!$A:$K,11,FALSE)="","",VLOOKUP(A2343,[14]PRIORIZADOS!$A:$K,11,FALSE)),"")</f>
        <v>SONIA CONSTANZA URREGO GONZÁLEZ</v>
      </c>
      <c r="L2343" s="11" t="str">
        <f>IFERROR(IF(VLOOKUP(A2343,[14]PRIORIZADOS!$A:$L,12,FALSE)="","",VLOOKUP(A2343,[14]PRIORIZADOS!$A:$L,12,FALSE)),"")</f>
        <v>ALBA DEL PILAR CUBIDES CÁCERES</v>
      </c>
      <c r="M2343" s="71">
        <f>IFERROR(IF(VLOOKUP(A2343,[14]PRIORIZADOS!$A:$M,13,FALSE)="","",VLOOKUP(A2343,[14]PRIORIZADOS!$A:$M,13,FALSE)),"")</f>
        <v>45776</v>
      </c>
      <c r="N2343" s="71">
        <f>IFERROR(IF(VLOOKUP(A2343,[14]PRIORIZADOS!$A:$N,14,FALSE)="","",VLOOKUP(A2343,[14]PRIORIZADOS!$A:$N,14,FALSE)),"")</f>
        <v>45776</v>
      </c>
      <c r="O2343" s="71">
        <f>IFERROR(IF(VLOOKUP(A2343,[14]PRIORIZADOS!$A:$O,15,FALSE)="","",VLOOKUP(A2343,[14]PRIORIZADOS!$A:$O,15,FALSE)),"")</f>
        <v>45776</v>
      </c>
      <c r="P2343" s="11" t="str">
        <f>IFERROR(IF(VLOOKUP(A2343,[14]PRIORIZADOS!$A:$P,16,FALSE)="","",VLOOKUP(A2343,[14]PRIORIZADOS!$A:$P,16,FALSE)),"")</f>
        <v>Visitas de evaluación con fines de seguimiento</v>
      </c>
      <c r="Q2343" s="48" t="s">
        <v>467</v>
      </c>
      <c r="R2343" s="11" t="str">
        <f>IFERROR(IF(VLOOKUP(A2343,[14]PRIORIZADOS!$A:$R,18,FALSE)="","",VLOOKUP(A2343,[14]PRIORIZADOS!$A:$R,18,FALSE)),"")</f>
        <v xml:space="preserve">No se realiza la consulta de inahabilidades en el entendido que es responsablidad de Talento Humano de la SED, por ser el que realiza el proceso de contratación. La institución cuenta con el Sistema de alertas donde se ha realizado la activación de las alertas en casos de convivencia. </v>
      </c>
      <c r="S2343" s="11" t="str">
        <f>IFERROR(IF(VLOOKUP(A2343,[14]PRIORIZADOS!$A:$S,19,FALSE)="","",VLOOKUP(A2343,[14]PRIORIZADOS!$A:$S,19,FALSE)),"")</f>
        <v xml:space="preserve">Continuar con la realización de los reportes en  en el sistema </v>
      </c>
      <c r="T2343" s="70" t="str">
        <f>IFERROR(IF(VLOOKUP(A2343,[14]PRIORIZADOS!$A:$T,20,FALSE)="","",VLOOKUP(A2343,[14]PRIORIZADOS!$A:$T,20,FALSE)),"")</f>
        <v>No</v>
      </c>
      <c r="U2343" s="11" t="str">
        <f>IFERROR(IF(VLOOKUP(A2343,[14]PRIORIZADOS!$A:$U,21,FALSE)="","",VLOOKUP(A2343,[14]PRIORIZADOS!$A:$U,21,FALSE)),"")</f>
        <v>Realizar consulta respecto a la responsabilidad de consultar inhabilidades de los docentes y admnistrativos por prevención.</v>
      </c>
    </row>
    <row r="2344" spans="1:21" s="1" customFormat="1" ht="72">
      <c r="A2344" s="69">
        <f>IF([14]PRIORIZADOS!A391="","",[14]PRIORIZADOS!A391)</f>
        <v>2313</v>
      </c>
      <c r="B2344" s="70">
        <f>IFERROR(IF(VLOOKUP(A2344,[14]PRIORIZADOS!$A:$B,2,FALSE)="","",VLOOKUP(A2344,[14]PRIORIZADOS!$A:$B,2,FALSE)),"")</f>
        <v>43</v>
      </c>
      <c r="C2344" s="11" t="s">
        <v>424</v>
      </c>
      <c r="D2344" s="11" t="str">
        <f>IFERROR(IF(VLOOKUP(A2344,[14]PRIORIZADOS!$A:$D,4,FALSE)="","",VLOOKUP(A2344,[14]PRIORIZADOS!$A:$D,4,FALSE)),"")</f>
        <v>OFICIAL.</v>
      </c>
      <c r="E2344" s="11" t="str">
        <f>IFERROR(IF(VLOOKUP(A2344,[14]PRIORIZADOS!$A:$E,5,FALSE)="","",VLOOKUP(A2344,[14]PRIORIZADOS!$A:$E,5,FALSE)),"")</f>
        <v>EPBM</v>
      </c>
      <c r="F2344" s="11" t="str">
        <f>IFERROR(IF(VLOOKUP(A2344,[14]PRIORIZADOS!$A:$F,6,FALSE)="","",VLOOKUP(A2344,[14]PRIORIZADOS!$A:$F,6,FALSE)),"")</f>
        <v>COLEGIO_HUNZA_IED</v>
      </c>
      <c r="G2344" s="11" t="str">
        <f>IFERROR(IF(VLOOKUP(A2344,[14]PRIORIZADOS!$A:$G,7,FALSE)="","",VLOOKUP(A2344,[14]PRIORIZADOS!$A:$G,7,FALSE)),"")</f>
        <v>CIUDAD HUNZA</v>
      </c>
      <c r="H2344" s="11" t="str">
        <f>IFERROR(IF(VLOOKUP(A2344,[14]PRIORIZADOS!$A:$H,8,FALSE)="","",VLOOKUP(A2344,[14]PRIORIZADOS!$A:$H,8,FALSE)),"")</f>
        <v>Convivencia escolar</v>
      </c>
      <c r="I2344" s="11" t="str">
        <f>IFERROR(IF(VLOOKUP(A2344,[14]PRIORIZADOS!$A:$I,9,FALSE)="","",VLOOKUP(A2344,[14]PRIORIZADOS!$A:$I,9,FALSE)),"")</f>
        <v>SEGUIMIENTO_Y_SUPERVISIÓN.</v>
      </c>
      <c r="J2344" s="11" t="str">
        <f>IFERROR(IF(VLOOKUP(A2344,[14]PRIORIZADOS!$A:$J,10,FALSE)="","",VLOOKUP(A2344,[14]PRIORIZADOS!$A:$J,10,FALSE)),"")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44" s="11" t="str">
        <f>IFERROR(IF(VLOOKUP(A2344,[14]PRIORIZADOS!$A:$K,11,FALSE)="","",VLOOKUP(A2344,[14]PRIORIZADOS!$A:$K,11,FALSE)),"")</f>
        <v>SONIA CONSTANZA URREGO GONZÁLEZ</v>
      </c>
      <c r="L2344" s="11" t="str">
        <f>IFERROR(IF(VLOOKUP(A2344,[14]PRIORIZADOS!$A:$L,12,FALSE)="","",VLOOKUP(A2344,[14]PRIORIZADOS!$A:$L,12,FALSE)),"")</f>
        <v>ALBA DEL PILAR CUBIDES CÁCERES</v>
      </c>
      <c r="M2344" s="71">
        <f>IFERROR(IF(VLOOKUP(A2344,[14]PRIORIZADOS!$A:$M,13,FALSE)="","",VLOOKUP(A2344,[14]PRIORIZADOS!$A:$M,13,FALSE)),"")</f>
        <v>45776</v>
      </c>
      <c r="N2344" s="71">
        <f>IFERROR(IF(VLOOKUP(A2344,[14]PRIORIZADOS!$A:$N,14,FALSE)="","",VLOOKUP(A2344,[14]PRIORIZADOS!$A:$N,14,FALSE)),"")</f>
        <v>45776</v>
      </c>
      <c r="O2344" s="71">
        <f>IFERROR(IF(VLOOKUP(A2344,[14]PRIORIZADOS!$A:$O,15,FALSE)="","",VLOOKUP(A2344,[14]PRIORIZADOS!$A:$O,15,FALSE)),"")</f>
        <v>45776</v>
      </c>
      <c r="P2344" s="11" t="str">
        <f>IFERROR(IF(VLOOKUP(A2344,[14]PRIORIZADOS!$A:$P,16,FALSE)="","",VLOOKUP(A2344,[14]PRIORIZADOS!$A:$P,16,FALSE)),"")</f>
        <v>Visitas de evaluación con fines de seguimiento</v>
      </c>
      <c r="Q2344" s="31" t="s">
        <v>467</v>
      </c>
      <c r="R2344" s="11" t="str">
        <f>IFERROR(IF(VLOOKUP(A2344,[14]PRIORIZADOS!$A:$R,18,FALSE)="","",VLOOKUP(A2344,[14]PRIORIZADOS!$A:$R,18,FALSE)),"")</f>
        <v>Se evidenció la existencia de la caracterización y un Plan de Ajustes Razonables a  los estudiantes que lo requieren, seguimiento y ajustes.</v>
      </c>
      <c r="S2344" s="11" t="str">
        <f>IFERROR(IF(VLOOKUP(A2344,[14]PRIORIZADOS!$A:$S,19,FALSE)="","",VLOOKUP(A2344,[14]PRIORIZADOS!$A:$S,19,FALSE)),"")</f>
        <v>Continuar con los proceso de inclusión</v>
      </c>
      <c r="T2344" s="70" t="str">
        <f>IFERROR(IF(VLOOKUP(A2344,[14]PRIORIZADOS!$A:$T,20,FALSE)="","",VLOOKUP(A2344,[14]PRIORIZADOS!$A:$T,20,FALSE)),"")</f>
        <v>No</v>
      </c>
      <c r="U2344" s="11" t="str">
        <f>IFERROR(IF(VLOOKUP(A2344,[14]PRIORIZADOS!$A:$U,21,FALSE)="","",VLOOKUP(A2344,[14]PRIORIZADOS!$A:$U,21,FALSE)),"")</f>
        <v>Verificar la existencia de ajustes de acuerdo a la información reportada por los docentes.</v>
      </c>
    </row>
    <row r="2345" spans="1:21" s="1" customFormat="1" ht="84">
      <c r="A2345" s="69">
        <f>IF([14]PRIORIZADOS!A392="","",[14]PRIORIZADOS!A392)</f>
        <v>2314</v>
      </c>
      <c r="B2345" s="70">
        <f>IFERROR(IF(VLOOKUP(A2345,[14]PRIORIZADOS!$A:$B,2,FALSE)="","",VLOOKUP(A2345,[14]PRIORIZADOS!$A:$B,2,FALSE)),"")</f>
        <v>43</v>
      </c>
      <c r="C2345" s="11" t="s">
        <v>424</v>
      </c>
      <c r="D2345" s="11" t="str">
        <f>IFERROR(IF(VLOOKUP(A2345,[14]PRIORIZADOS!$A:$D,4,FALSE)="","",VLOOKUP(A2345,[14]PRIORIZADOS!$A:$D,4,FALSE)),"")</f>
        <v>OFICIAL.</v>
      </c>
      <c r="E2345" s="11" t="str">
        <f>IFERROR(IF(VLOOKUP(A2345,[14]PRIORIZADOS!$A:$E,5,FALSE)="","",VLOOKUP(A2345,[14]PRIORIZADOS!$A:$E,5,FALSE)),"")</f>
        <v>EPBM</v>
      </c>
      <c r="F2345" s="11" t="str">
        <f>IFERROR(IF(VLOOKUP(A2345,[14]PRIORIZADOS!$A:$F,6,FALSE)="","",VLOOKUP(A2345,[14]PRIORIZADOS!$A:$F,6,FALSE)),"")</f>
        <v>COLEGIO_HUNZA_IED</v>
      </c>
      <c r="G2345" s="11" t="str">
        <f>IFERROR(IF(VLOOKUP(A2345,[14]PRIORIZADOS!$A:$G,7,FALSE)="","",VLOOKUP(A2345,[14]PRIORIZADOS!$A:$G,7,FALSE)),"")</f>
        <v>CIUDAD HUNZA</v>
      </c>
      <c r="H2345" s="11" t="str">
        <f>IFERROR(IF(VLOOKUP(A2345,[14]PRIORIZADOS!$A:$H,8,FALSE)="","",VLOOKUP(A2345,[14]PRIORIZADOS!$A:$H,8,FALSE)),"")</f>
        <v>Convivencia escolar</v>
      </c>
      <c r="I2345" s="11" t="str">
        <f>IFERROR(IF(VLOOKUP(A2345,[14]PRIORIZADOS!$A:$I,9,FALSE)="","",VLOOKUP(A2345,[14]PRIORIZADOS!$A:$I,9,FALSE)),"")</f>
        <v>EVALUACIÓN_CON_FINES_DE_MEJORAMIENTO.</v>
      </c>
      <c r="J2345" s="11" t="str">
        <f>IFERROR(IF(VLOOKUP(A2345,[14]PRIORIZADOS!$A:$J,10,FALSE)="","",VLOOKUP(A2345,[14]PRIORIZADOS!$A:$J,10,FALSE)),"")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45" s="11" t="str">
        <f>IFERROR(IF(VLOOKUP(A2345,[14]PRIORIZADOS!$A:$K,11,FALSE)="","",VLOOKUP(A2345,[14]PRIORIZADOS!$A:$K,11,FALSE)),"")</f>
        <v>SONIA CONSTANZA URREGO GONZÁLEZ</v>
      </c>
      <c r="L2345" s="11" t="str">
        <f>IFERROR(IF(VLOOKUP(A2345,[14]PRIORIZADOS!$A:$L,12,FALSE)="","",VLOOKUP(A2345,[14]PRIORIZADOS!$A:$L,12,FALSE)),"")</f>
        <v>ALBA DEL PILAR CUBIDES CÁCERES</v>
      </c>
      <c r="M2345" s="71">
        <f>IFERROR(IF(VLOOKUP(A2345,[14]PRIORIZADOS!$A:$M,13,FALSE)="","",VLOOKUP(A2345,[14]PRIORIZADOS!$A:$M,13,FALSE)),"")</f>
        <v>45776</v>
      </c>
      <c r="N2345" s="71">
        <f>IFERROR(IF(VLOOKUP(A2345,[14]PRIORIZADOS!$A:$N,14,FALSE)="","",VLOOKUP(A2345,[14]PRIORIZADOS!$A:$N,14,FALSE)),"")</f>
        <v>45776</v>
      </c>
      <c r="O2345" s="71">
        <f>IFERROR(IF(VLOOKUP(A2345,[14]PRIORIZADOS!$A:$O,15,FALSE)="","",VLOOKUP(A2345,[14]PRIORIZADOS!$A:$O,15,FALSE)),"")</f>
        <v>45776</v>
      </c>
      <c r="P2345" s="11" t="str">
        <f>IFERROR(IF(VLOOKUP(A2345,[14]PRIORIZADOS!$A:$P,16,FALSE)="","",VLOOKUP(A2345,[14]PRIORIZADOS!$A:$P,16,FALSE)),"")</f>
        <v>Visitas de evaluación con fines de mejoramiento</v>
      </c>
      <c r="Q2345" s="27" t="s">
        <v>467</v>
      </c>
      <c r="R2345" s="11" t="str">
        <f>IFERROR(IF(VLOOKUP(A2345,[14]PRIORIZADOS!$A:$R,18,FALSE)="","",VLOOKUP(A2345,[14]PRIORIZADOS!$A:$R,18,FALSE)),"")</f>
        <v>El Manual de Convivencia actualizado a 2025, fue radicado para revisión por el ELIV.</v>
      </c>
      <c r="S2345" s="11" t="str">
        <f>IFERROR(IF(VLOOKUP(A2345,[14]PRIORIZADOS!$A:$S,19,FALSE)="","",VLOOKUP(A2345,[14]PRIORIZADOS!$A:$S,19,FALSE)),"")</f>
        <v xml:space="preserve">Recibidas las observaciones por parte del ELIV, realizar los respectivos ajustes. </v>
      </c>
      <c r="T2345" s="70" t="str">
        <f>IFERROR(IF(VLOOKUP(A2345,[14]PRIORIZADOS!$A:$T,20,FALSE)="","",VLOOKUP(A2345,[14]PRIORIZADOS!$A:$T,20,FALSE)),"")</f>
        <v>Si</v>
      </c>
      <c r="U2345" s="11" t="str">
        <f>IFERROR(IF(VLOOKUP(A2345,[14]PRIORIZADOS!$A:$U,21,FALSE)="","",VLOOKUP(A2345,[14]PRIORIZADOS!$A:$U,21,FALSE)),"")</f>
        <v>Revisar los ajustes al manual, acorde a las observaciones del ELIV.</v>
      </c>
    </row>
    <row r="2346" spans="1:21" s="1" customFormat="1" ht="48">
      <c r="A2346" s="69">
        <f>IF([14]PRIORIZADOS!A393="","",[14]PRIORIZADOS!A393)</f>
        <v>2315</v>
      </c>
      <c r="B2346" s="70">
        <f>IFERROR(IF(VLOOKUP(A2346,[14]PRIORIZADOS!$A:$B,2,FALSE)="","",VLOOKUP(A2346,[14]PRIORIZADOS!$A:$B,2,FALSE)),"")</f>
        <v>43</v>
      </c>
      <c r="C2346" s="11" t="s">
        <v>424</v>
      </c>
      <c r="D2346" s="11" t="str">
        <f>IFERROR(IF(VLOOKUP(A2346,[14]PRIORIZADOS!$A:$D,4,FALSE)="","",VLOOKUP(A2346,[14]PRIORIZADOS!$A:$D,4,FALSE)),"")</f>
        <v>OFICIAL.</v>
      </c>
      <c r="E2346" s="11" t="str">
        <f>IFERROR(IF(VLOOKUP(A2346,[14]PRIORIZADOS!$A:$E,5,FALSE)="","",VLOOKUP(A2346,[14]PRIORIZADOS!$A:$E,5,FALSE)),"")</f>
        <v>EPBM</v>
      </c>
      <c r="F2346" s="11" t="str">
        <f>IFERROR(IF(VLOOKUP(A2346,[14]PRIORIZADOS!$A:$F,6,FALSE)="","",VLOOKUP(A2346,[14]PRIORIZADOS!$A:$F,6,FALSE)),"")</f>
        <v>COLEGIO_HUNZA_IED</v>
      </c>
      <c r="G2346" s="11" t="str">
        <f>IFERROR(IF(VLOOKUP(A2346,[14]PRIORIZADOS!$A:$G,7,FALSE)="","",VLOOKUP(A2346,[14]PRIORIZADOS!$A:$G,7,FALSE)),"")</f>
        <v>CIUDAD HUNZA</v>
      </c>
      <c r="H2346" s="11" t="str">
        <f>IFERROR(IF(VLOOKUP(A2346,[14]PRIORIZADOS!$A:$H,8,FALSE)="","",VLOOKUP(A2346,[14]PRIORIZADOS!$A:$H,8,FALSE)),"")</f>
        <v>Convivencia escolar</v>
      </c>
      <c r="I2346" s="11" t="str">
        <f>IFERROR(IF(VLOOKUP(A2346,[14]PRIORIZADOS!$A:$I,9,FALSE)="","",VLOOKUP(A2346,[14]PRIORIZADOS!$A:$I,9,FALSE)),"")</f>
        <v>EVALUACIÓN_CON_FINES_DE_MEJORAMIENTO.</v>
      </c>
      <c r="J2346" s="11" t="str">
        <f>IFERROR(IF(VLOOKUP(A2346,[14]PRIORIZADOS!$A:$J,10,FALSE)="","",VLOOKUP(A2346,[14]PRIORIZADOS!$A:$J,10,FALSE)),"")</f>
        <v>Revisar la actualización, socialización e implementación del Sistema Institucional de Evaluación de Estudiantes - SIEE, en articulación con la actualización del PEI y la normatividad vigente.</v>
      </c>
      <c r="K2346" s="11" t="str">
        <f>IFERROR(IF(VLOOKUP(A2346,[14]PRIORIZADOS!$A:$K,11,FALSE)="","",VLOOKUP(A2346,[14]PRIORIZADOS!$A:$K,11,FALSE)),"")</f>
        <v>SONIA CONSTANZA URREGO GONZÁLEZ</v>
      </c>
      <c r="L2346" s="11" t="str">
        <f>IFERROR(IF(VLOOKUP(A2346,[14]PRIORIZADOS!$A:$L,12,FALSE)="","",VLOOKUP(A2346,[14]PRIORIZADOS!$A:$L,12,FALSE)),"")</f>
        <v>ALBA DEL PILAR CUBIDES CÁCERES</v>
      </c>
      <c r="M2346" s="71">
        <f>IFERROR(IF(VLOOKUP(A2346,[14]PRIORIZADOS!$A:$M,13,FALSE)="","",VLOOKUP(A2346,[14]PRIORIZADOS!$A:$M,13,FALSE)),"")</f>
        <v>45776</v>
      </c>
      <c r="N2346" s="71">
        <f>IFERROR(IF(VLOOKUP(A2346,[14]PRIORIZADOS!$A:$N,14,FALSE)="","",VLOOKUP(A2346,[14]PRIORIZADOS!$A:$N,14,FALSE)),"")</f>
        <v>45776</v>
      </c>
      <c r="O2346" s="71">
        <f>IFERROR(IF(VLOOKUP(A2346,[14]PRIORIZADOS!$A:$O,15,FALSE)="","",VLOOKUP(A2346,[14]PRIORIZADOS!$A:$O,15,FALSE)),"")</f>
        <v>45776</v>
      </c>
      <c r="P2346" s="11" t="str">
        <f>IFERROR(IF(VLOOKUP(A2346,[14]PRIORIZADOS!$A:$P,16,FALSE)="","",VLOOKUP(A2346,[14]PRIORIZADOS!$A:$P,16,FALSE)),"")</f>
        <v>Visitas de evaluación con fines de mejoramiento</v>
      </c>
      <c r="Q2346" s="27" t="s">
        <v>467</v>
      </c>
      <c r="R2346" s="11" t="str">
        <f>IFERROR(IF(VLOOKUP(A2346,[14]PRIORIZADOS!$A:$R,18,FALSE)="","",VLOOKUP(A2346,[14]PRIORIZADOS!$A:$R,18,FALSE)),"")</f>
        <v xml:space="preserve">Se realizó retroalimentación sobre  el SIEE, el cual está en consonancia con el PEI. </v>
      </c>
      <c r="S2346" s="11" t="str">
        <f>IFERROR(IF(VLOOKUP(A2346,[14]PRIORIZADOS!$A:$S,19,FALSE)="","",VLOOKUP(A2346,[14]PRIORIZADOS!$A:$S,19,FALSE)),"")</f>
        <v>Continuar con las estrategias implementadas, sin embargo, se recomienda realizar constante evaluación.</v>
      </c>
      <c r="T2346" s="70" t="str">
        <f>IFERROR(IF(VLOOKUP(A2346,[14]PRIORIZADOS!$A:$T,20,FALSE)="","",VLOOKUP(A2346,[14]PRIORIZADOS!$A:$T,20,FALSE)),"")</f>
        <v>No</v>
      </c>
      <c r="U2346" s="11" t="str">
        <f>IFERROR(IF(VLOOKUP(A2346,[14]PRIORIZADOS!$A:$U,21,FALSE)="","",VLOOKUP(A2346,[14]PRIORIZADOS!$A:$U,21,FALSE)),"")</f>
        <v>Verificar si se realiza evaluación del SIEE</v>
      </c>
    </row>
    <row r="2347" spans="1:21" s="1" customFormat="1" ht="48">
      <c r="A2347" s="69">
        <f>IF([14]PRIORIZADOS!A394="","",[14]PRIORIZADOS!A394)</f>
        <v>2316</v>
      </c>
      <c r="B2347" s="70">
        <f>IFERROR(IF(VLOOKUP(A2347,[14]PRIORIZADOS!$A:$B,2,FALSE)="","",VLOOKUP(A2347,[14]PRIORIZADOS!$A:$B,2,FALSE)),"")</f>
        <v>43</v>
      </c>
      <c r="C2347" s="11" t="s">
        <v>424</v>
      </c>
      <c r="D2347" s="11" t="str">
        <f>IFERROR(IF(VLOOKUP(A2347,[14]PRIORIZADOS!$A:$D,4,FALSE)="","",VLOOKUP(A2347,[14]PRIORIZADOS!$A:$D,4,FALSE)),"")</f>
        <v>OFICIAL.</v>
      </c>
      <c r="E2347" s="11" t="str">
        <f>IFERROR(IF(VLOOKUP(A2347,[14]PRIORIZADOS!$A:$E,5,FALSE)="","",VLOOKUP(A2347,[14]PRIORIZADOS!$A:$E,5,FALSE)),"")</f>
        <v>EPBM</v>
      </c>
      <c r="F2347" s="11" t="str">
        <f>IFERROR(IF(VLOOKUP(A2347,[14]PRIORIZADOS!$A:$F,6,FALSE)="","",VLOOKUP(A2347,[14]PRIORIZADOS!$A:$F,6,FALSE)),"")</f>
        <v>COLEGIO_HUNZA_IED</v>
      </c>
      <c r="G2347" s="11" t="str">
        <f>IFERROR(IF(VLOOKUP(A2347,[14]PRIORIZADOS!$A:$G,7,FALSE)="","",VLOOKUP(A2347,[14]PRIORIZADOS!$A:$G,7,FALSE)),"")</f>
        <v>CIUDAD HUNZA</v>
      </c>
      <c r="H2347" s="11" t="str">
        <f>IFERROR(IF(VLOOKUP(A2347,[14]PRIORIZADOS!$A:$H,8,FALSE)="","",VLOOKUP(A2347,[14]PRIORIZADOS!$A:$H,8,FALSE)),"")</f>
        <v>Convivencia escolar</v>
      </c>
      <c r="I2347" s="11" t="str">
        <f>IFERROR(IF(VLOOKUP(A2347,[14]PRIORIZADOS!$A:$I,9,FALSE)="","",VLOOKUP(A2347,[14]PRIORIZADOS!$A:$I,9,FALSE)),"")</f>
        <v>EVALUACIÓN_CON_FINES_DE_MEJORAMIENTO.</v>
      </c>
      <c r="J2347" s="11" t="str">
        <f>IFERROR(IF(VLOOKUP(A2347,[14]PRIORIZADOS!$A:$J,10,FALSE)="","",VLOOKUP(A2347,[14]PRIORIZADOS!$A:$J,10,FALSE)),"")</f>
        <v>Revisar el calendario escolar, jornada escolar, la intensidad horaria mínima anual en cada nivel y las modificaciones que se realicen al mismo, de acuerdo con lo previsto en la normatividad vigente.</v>
      </c>
      <c r="K2347" s="11" t="str">
        <f>IFERROR(IF(VLOOKUP(A2347,[14]PRIORIZADOS!$A:$K,11,FALSE)="","",VLOOKUP(A2347,[14]PRIORIZADOS!$A:$K,11,FALSE)),"")</f>
        <v>SONIA CONSTANZA URREGO GONZÁLEZ</v>
      </c>
      <c r="L2347" s="11" t="str">
        <f>IFERROR(IF(VLOOKUP(A2347,[14]PRIORIZADOS!$A:$L,12,FALSE)="","",VLOOKUP(A2347,[14]PRIORIZADOS!$A:$L,12,FALSE)),"")</f>
        <v>ALBA DEL PILAR CUBIDES CÁCERES</v>
      </c>
      <c r="M2347" s="71">
        <f>IFERROR(IF(VLOOKUP(A2347,[14]PRIORIZADOS!$A:$M,13,FALSE)="","",VLOOKUP(A2347,[14]PRIORIZADOS!$A:$M,13,FALSE)),"")</f>
        <v>45776</v>
      </c>
      <c r="N2347" s="71">
        <f>IFERROR(IF(VLOOKUP(A2347,[14]PRIORIZADOS!$A:$N,14,FALSE)="","",VLOOKUP(A2347,[14]PRIORIZADOS!$A:$N,14,FALSE)),"")</f>
        <v>45776</v>
      </c>
      <c r="O2347" s="71">
        <f>IFERROR(IF(VLOOKUP(A2347,[14]PRIORIZADOS!$A:$O,15,FALSE)="","",VLOOKUP(A2347,[14]PRIORIZADOS!$A:$O,15,FALSE)),"")</f>
        <v>45776</v>
      </c>
      <c r="P2347" s="11" t="str">
        <f>IFERROR(IF(VLOOKUP(A2347,[14]PRIORIZADOS!$A:$P,16,FALSE)="","",VLOOKUP(A2347,[14]PRIORIZADOS!$A:$P,16,FALSE)),"")</f>
        <v>Visitas de evaluación con fines de mejoramiento</v>
      </c>
      <c r="Q2347" s="27" t="s">
        <v>467</v>
      </c>
      <c r="R2347" s="11" t="str">
        <f>IFERROR(IF(VLOOKUP(A2347,[14]PRIORIZADOS!$A:$R,18,FALSE)="","",VLOOKUP(A2347,[14]PRIORIZADOS!$A:$R,18,FALSE)),"")</f>
        <v>Cumple con la resolución que ordena el calendario para la SED</v>
      </c>
      <c r="S2347" s="11" t="str">
        <f>IFERROR(IF(VLOOKUP(A2347,[14]PRIORIZADOS!$A:$S,19,FALSE)="","",VLOOKUP(A2347,[14]PRIORIZADOS!$A:$S,19,FALSE)),"")</f>
        <v>Continuar con el cumplimiento del calendrio en semanas y horas.</v>
      </c>
      <c r="T2347" s="70" t="str">
        <f>IFERROR(IF(VLOOKUP(A2347,[14]PRIORIZADOS!$A:$T,20,FALSE)="","",VLOOKUP(A2347,[14]PRIORIZADOS!$A:$T,20,FALSE)),"")</f>
        <v>No</v>
      </c>
      <c r="U2347" s="11" t="str">
        <f>IFERROR(IF(VLOOKUP(A2347,[14]PRIORIZADOS!$A:$U,21,FALSE)="","",VLOOKUP(A2347,[14]PRIORIZADOS!$A:$U,21,FALSE)),"")</f>
        <v>Verificar el cumplimiento del calendrio escolar.</v>
      </c>
    </row>
    <row r="2348" spans="1:21" s="1" customFormat="1" ht="48">
      <c r="A2348" s="69">
        <f>IF([14]PRIORIZADOS!A395="","",[14]PRIORIZADOS!A395)</f>
        <v>2317</v>
      </c>
      <c r="B2348" s="70">
        <f>IFERROR(IF(VLOOKUP(A2348,[14]PRIORIZADOS!$A:$B,2,FALSE)="","",VLOOKUP(A2348,[14]PRIORIZADOS!$A:$B,2,FALSE)),"")</f>
        <v>43</v>
      </c>
      <c r="C2348" s="11" t="s">
        <v>424</v>
      </c>
      <c r="D2348" s="11" t="str">
        <f>IFERROR(IF(VLOOKUP(A2348,[14]PRIORIZADOS!$A:$D,4,FALSE)="","",VLOOKUP(A2348,[14]PRIORIZADOS!$A:$D,4,FALSE)),"")</f>
        <v>OFICIAL.</v>
      </c>
      <c r="E2348" s="11" t="str">
        <f>IFERROR(IF(VLOOKUP(A2348,[14]PRIORIZADOS!$A:$E,5,FALSE)="","",VLOOKUP(A2348,[14]PRIORIZADOS!$A:$E,5,FALSE)),"")</f>
        <v>EPBM</v>
      </c>
      <c r="F2348" s="11" t="str">
        <f>IFERROR(IF(VLOOKUP(A2348,[14]PRIORIZADOS!$A:$F,6,FALSE)="","",VLOOKUP(A2348,[14]PRIORIZADOS!$A:$F,6,FALSE)),"")</f>
        <v>COLEGIO_HUNZA_IED</v>
      </c>
      <c r="G2348" s="11" t="str">
        <f>IFERROR(IF(VLOOKUP(A2348,[14]PRIORIZADOS!$A:$G,7,FALSE)="","",VLOOKUP(A2348,[14]PRIORIZADOS!$A:$G,7,FALSE)),"")</f>
        <v>CIUDAD HUNZA</v>
      </c>
      <c r="H2348" s="11" t="str">
        <f>IFERROR(IF(VLOOKUP(A2348,[14]PRIORIZADOS!$A:$H,8,FALSE)="","",VLOOKUP(A2348,[14]PRIORIZADOS!$A:$H,8,FALSE)),"")</f>
        <v>Convivencia escolar</v>
      </c>
      <c r="I2348" s="11" t="str">
        <f>IFERROR(IF(VLOOKUP(A2348,[14]PRIORIZADOS!$A:$I,9,FALSE)="","",VLOOKUP(A2348,[14]PRIORIZADOS!$A:$I,9,FALSE)),"")</f>
        <v>EVALUACIÓN_CON_FINES_DE_MEJORAMIENTO.</v>
      </c>
      <c r="J2348" s="11" t="str">
        <f>IFERROR(IF(VLOOKUP(A2348,[14]PRIORIZADOS!$A:$J,10,FALSE)="","",VLOOKUP(A2348,[14]PRIORIZADOS!$A:$J,10,FALSE)),"")</f>
        <v>Verificar el funcionamiento del Gobierno Escolar e instancias de participación con base en la información sobre conformación reportada por la institución educativa.</v>
      </c>
      <c r="K2348" s="11" t="str">
        <f>IFERROR(IF(VLOOKUP(A2348,[14]PRIORIZADOS!$A:$K,11,FALSE)="","",VLOOKUP(A2348,[14]PRIORIZADOS!$A:$K,11,FALSE)),"")</f>
        <v>SONIA CONSTANZA URREGO GONZÁLEZ</v>
      </c>
      <c r="L2348" s="11" t="str">
        <f>IFERROR(IF(VLOOKUP(A2348,[14]PRIORIZADOS!$A:$L,12,FALSE)="","",VLOOKUP(A2348,[14]PRIORIZADOS!$A:$L,12,FALSE)),"")</f>
        <v>ALBA DEL PILAR CUBIDES CÁCERES</v>
      </c>
      <c r="M2348" s="71">
        <f>IFERROR(IF(VLOOKUP(A2348,[14]PRIORIZADOS!$A:$M,13,FALSE)="","",VLOOKUP(A2348,[14]PRIORIZADOS!$A:$M,13,FALSE)),"")</f>
        <v>45776</v>
      </c>
      <c r="N2348" s="71">
        <f>IFERROR(IF(VLOOKUP(A2348,[14]PRIORIZADOS!$A:$N,14,FALSE)="","",VLOOKUP(A2348,[14]PRIORIZADOS!$A:$N,14,FALSE)),"")</f>
        <v>45776</v>
      </c>
      <c r="O2348" s="71">
        <f>IFERROR(IF(VLOOKUP(A2348,[14]PRIORIZADOS!$A:$O,15,FALSE)="","",VLOOKUP(A2348,[14]PRIORIZADOS!$A:$O,15,FALSE)),"")</f>
        <v>45776</v>
      </c>
      <c r="P2348" s="11" t="str">
        <f>IFERROR(IF(VLOOKUP(A2348,[14]PRIORIZADOS!$A:$P,16,FALSE)="","",VLOOKUP(A2348,[14]PRIORIZADOS!$A:$P,16,FALSE)),"")</f>
        <v>Visitas de evaluación con fines de mejoramiento</v>
      </c>
      <c r="Q2348" s="27" t="s">
        <v>467</v>
      </c>
      <c r="R2348" s="11" t="str">
        <f>IFERROR(IF(VLOOKUP(A2348,[14]PRIORIZADOS!$A:$R,18,FALSE)="","",VLOOKUP(A2348,[14]PRIORIZADOS!$A:$R,18,FALSE)),"")</f>
        <v>Se conformó el gobierno escolar y se evidencia su funcionamiento en algunas de ellas.</v>
      </c>
      <c r="S2348" s="11" t="str">
        <f>IFERROR(IF(VLOOKUP(A2348,[14]PRIORIZADOS!$A:$S,19,FALSE)="","",VLOOKUP(A2348,[14]PRIORIZADOS!$A:$S,19,FALSE)),"")</f>
        <v>Realizar las reuniones de cada órgano de gobierno  en el desempeño de sus funciones.</v>
      </c>
      <c r="T2348" s="70" t="str">
        <f>IFERROR(IF(VLOOKUP(A2348,[14]PRIORIZADOS!$A:$T,20,FALSE)="","",VLOOKUP(A2348,[14]PRIORIZADOS!$A:$T,20,FALSE)),"")</f>
        <v>No</v>
      </c>
      <c r="U2348" s="11" t="str">
        <f>IFERROR(IF(VLOOKUP(A2348,[14]PRIORIZADOS!$A:$U,21,FALSE)="","",VLOOKUP(A2348,[14]PRIORIZADOS!$A:$U,21,FALSE)),"")</f>
        <v>Hacer seguimiento de funcionamiento a través de las actas de reunión y sus reglamentos internos, de cada uno de los órganos de Gobierno Escolar.</v>
      </c>
    </row>
    <row r="2349" spans="1:21" s="1" customFormat="1" ht="142.5">
      <c r="A2349" s="69">
        <f>IF([14]PRIORIZADOS!A396="","",[14]PRIORIZADOS!A396)</f>
        <v>2318</v>
      </c>
      <c r="B2349" s="70">
        <f>IFERROR(IF(VLOOKUP(A2349,[14]PRIORIZADOS!$A:$B,2,FALSE)="","",VLOOKUP(A2349,[14]PRIORIZADOS!$A:$B,2,FALSE)),"")</f>
        <v>43</v>
      </c>
      <c r="C2349" s="11" t="s">
        <v>424</v>
      </c>
      <c r="D2349" s="11" t="str">
        <f>IFERROR(IF(VLOOKUP(A2349,[14]PRIORIZADOS!$A:$D,4,FALSE)="","",VLOOKUP(A2349,[14]PRIORIZADOS!$A:$D,4,FALSE)),"")</f>
        <v>OFICIAL.</v>
      </c>
      <c r="E2349" s="11" t="str">
        <f>IFERROR(IF(VLOOKUP(A2349,[14]PRIORIZADOS!$A:$E,5,FALSE)="","",VLOOKUP(A2349,[14]PRIORIZADOS!$A:$E,5,FALSE)),"")</f>
        <v>EPBM</v>
      </c>
      <c r="F2349" s="11" t="str">
        <f>IFERROR(IF(VLOOKUP(A2349,[14]PRIORIZADOS!$A:$F,6,FALSE)="","",VLOOKUP(A2349,[14]PRIORIZADOS!$A:$F,6,FALSE)),"")</f>
        <v>COLEGIO_HUNZA_IED</v>
      </c>
      <c r="G2349" s="11" t="str">
        <f>IFERROR(IF(VLOOKUP(A2349,[14]PRIORIZADOS!$A:$G,7,FALSE)="","",VLOOKUP(A2349,[14]PRIORIZADOS!$A:$G,7,FALSE)),"")</f>
        <v>CIUDAD HUNZA</v>
      </c>
      <c r="H2349" s="11" t="str">
        <f>IFERROR(IF(VLOOKUP(A2349,[14]PRIORIZADOS!$A:$H,8,FALSE)="","",VLOOKUP(A2349,[14]PRIORIZADOS!$A:$H,8,FALSE)),"")</f>
        <v>Convivencia escolar</v>
      </c>
      <c r="I2349" s="11" t="str">
        <f>IFERROR(IF(VLOOKUP(A2349,[14]PRIORIZADOS!$A:$I,9,FALSE)="","",VLOOKUP(A2349,[14]PRIORIZADOS!$A:$I,9,FALSE)),"")</f>
        <v>EVALUACIÓN_CON_FINES_DE_MEJORAMIENTO.</v>
      </c>
      <c r="J2349" s="11" t="str">
        <f>IFERROR(IF(VLOOKUP(A2349,[14]PRIORIZADOS!$A:$J,10,FALSE)="","",VLOOKUP(A2349,[14]PRIORIZADOS!$A:$J,10,FALSE)),"")</f>
        <v>Verificar las condiciones en cuanto a: la estructura administrativa, condiciones de la planta física y medios educativos adecuados.</v>
      </c>
      <c r="K2349" s="11" t="str">
        <f>IFERROR(IF(VLOOKUP(A2349,[14]PRIORIZADOS!$A:$K,11,FALSE)="","",VLOOKUP(A2349,[14]PRIORIZADOS!$A:$K,11,FALSE)),"")</f>
        <v>SONIA CONSTANZA URREGO GONZÁLEZ</v>
      </c>
      <c r="L2349" s="11" t="str">
        <f>IFERROR(IF(VLOOKUP(A2349,[14]PRIORIZADOS!$A:$L,12,FALSE)="","",VLOOKUP(A2349,[14]PRIORIZADOS!$A:$L,12,FALSE)),"")</f>
        <v>ALBA DEL PILAR CUBIDES CÁCERES</v>
      </c>
      <c r="M2349" s="71">
        <f>IFERROR(IF(VLOOKUP(A2349,[14]PRIORIZADOS!$A:$M,13,FALSE)="","",VLOOKUP(A2349,[14]PRIORIZADOS!$A:$M,13,FALSE)),"")</f>
        <v>45776</v>
      </c>
      <c r="N2349" s="71">
        <f>IFERROR(IF(VLOOKUP(A2349,[14]PRIORIZADOS!$A:$N,14,FALSE)="","",VLOOKUP(A2349,[14]PRIORIZADOS!$A:$N,14,FALSE)),"")</f>
        <v>45776</v>
      </c>
      <c r="O2349" s="71">
        <f>IFERROR(IF(VLOOKUP(A2349,[14]PRIORIZADOS!$A:$O,15,FALSE)="","",VLOOKUP(A2349,[14]PRIORIZADOS!$A:$O,15,FALSE)),"")</f>
        <v>45776</v>
      </c>
      <c r="P2349" s="11" t="str">
        <f>IFERROR(IF(VLOOKUP(A2349,[14]PRIORIZADOS!$A:$P,16,FALSE)="","",VLOOKUP(A2349,[14]PRIORIZADOS!$A:$P,16,FALSE)),"")</f>
        <v>Visitas de evaluación con fines de mejoramiento</v>
      </c>
      <c r="Q2349" s="27" t="s">
        <v>467</v>
      </c>
      <c r="R2349" s="11" t="str">
        <f>IFERROR(IF(VLOOKUP(A2349,[14]PRIORIZADOS!$A:$R,18,FALSE)="","",VLOOKUP(A2349,[14]PRIORIZADOS!$A:$R,18,FALSE)),"")</f>
        <v xml:space="preserve">La institución cuenta con cuatro sedes, una de ellas, arrendada. Faltan espacios físicos adecuados para garantizar el bienestar y la seguridad delos estudiantes, docentes y administrativos: no hay un audirorio para reunior a la comunidad, clases de Ed. Física en parques, los espacios actuales son reducidos. Los muebles y equipos, en especial los de computo, son obsoletos. Tampoco son suficientes,  los docentes usan su equipos personales y no pueden hacer uso de la red de internet. </v>
      </c>
      <c r="S2349" s="11" t="str">
        <f>IFERROR(IF(VLOOKUP(A2349,[14]PRIORIZADOS!$A:$S,19,FALSE)="","",VLOOKUP(A2349,[14]PRIORIZADOS!$A:$S,19,FALSE)),"")</f>
        <v>Continuar con el cuidado de la planta física existe.</v>
      </c>
      <c r="T2349" s="70" t="str">
        <f>IFERROR(IF(VLOOKUP(A2349,[14]PRIORIZADOS!$A:$T,20,FALSE)="","",VLOOKUP(A2349,[14]PRIORIZADOS!$A:$T,20,FALSE)),"")</f>
        <v>No</v>
      </c>
      <c r="U2349" s="11" t="str">
        <f>IFERROR(IF(VLOOKUP(A2349,[14]PRIORIZADOS!$A:$U,21,FALSE)="","",VLOOKUP(A2349,[14]PRIORIZADOS!$A:$U,21,FALSE)),"")</f>
        <v>Verificar el mantenimiento de las instalaciones, acorde las características de cada sede.</v>
      </c>
    </row>
    <row r="2350" spans="1:21" s="1" customFormat="1" ht="60">
      <c r="A2350" s="69">
        <f>IF([14]PRIORIZADOS!A397="","",[14]PRIORIZADOS!A397)</f>
        <v>2319</v>
      </c>
      <c r="B2350" s="70">
        <f>IFERROR(IF(VLOOKUP(A2350,[14]PRIORIZADOS!$A:$B,2,FALSE)="","",VLOOKUP(A2350,[14]PRIORIZADOS!$A:$B,2,FALSE)),"")</f>
        <v>44</v>
      </c>
      <c r="C2350" s="11" t="s">
        <v>424</v>
      </c>
      <c r="D2350" s="11" t="str">
        <f>IFERROR(IF(VLOOKUP(A2350,[14]PRIORIZADOS!$A:$D,4,FALSE)="","",VLOOKUP(A2350,[14]PRIORIZADOS!$A:$D,4,FALSE)),"")</f>
        <v>OFICIAL.</v>
      </c>
      <c r="E2350" s="11" t="str">
        <f>IFERROR(IF(VLOOKUP(A2350,[14]PRIORIZADOS!$A:$E,5,FALSE)="","",VLOOKUP(A2350,[14]PRIORIZADOS!$A:$E,5,FALSE)),"")</f>
        <v>EPBM</v>
      </c>
      <c r="F2350" s="11" t="str">
        <f>IFERROR(IF(VLOOKUP(A2350,[14]PRIORIZADOS!$A:$F,6,FALSE)="","",VLOOKUP(A2350,[14]PRIORIZADOS!$A:$F,6,FALSE)),"")</f>
        <v>COLEGIO_COMPARTIR_SUBA_IED</v>
      </c>
      <c r="G2350" s="11" t="str">
        <f>IFERROR(IF(VLOOKUP(A2350,[14]PRIORIZADOS!$A:$G,7,FALSE)="","",VLOOKUP(A2350,[14]PRIORIZADOS!$A:$G,7,FALSE)),"")</f>
        <v>COMPARTIR SUBA</v>
      </c>
      <c r="H2350" s="11" t="str">
        <f>IFERROR(IF(VLOOKUP(A2350,[14]PRIORIZADOS!$A:$H,8,FALSE)="","",VLOOKUP(A2350,[14]PRIORIZADOS!$A:$H,8,FALSE)),"")</f>
        <v>Convivencia escolar</v>
      </c>
      <c r="I2350" s="11" t="str">
        <f>IFERROR(IF(VLOOKUP(A2350,[14]PRIORIZADOS!$A:$I,9,FALSE)="","",VLOOKUP(A2350,[14]PRIORIZADOS!$A:$I,9,FALSE)),"")</f>
        <v>SEGUIMIENTO_Y_SUPERVISIÓN.</v>
      </c>
      <c r="J2350" s="11" t="str">
        <f>IFERROR(IF(VLOOKUP(A2350,[14]PRIORIZADOS!$A:$J,10,FALSE)="","",VLOOKUP(A2350,[14]PRIORIZADOS!$A:$J,10,FALSE)),"")</f>
        <v>Proponer estrategias en la formulación, verificar su elaboración y realizar seguimiento semestral al desarrollo de  las acciones establecidas en los planes de mejoramiento por pruebas SABER 11 de los establecimientos de educación formal.</v>
      </c>
      <c r="K2350" s="11" t="str">
        <f>IFERROR(IF(VLOOKUP(A2350,[14]PRIORIZADOS!$A:$K,11,FALSE)="","",VLOOKUP(A2350,[14]PRIORIZADOS!$A:$K,11,FALSE)),"")</f>
        <v>SONIA CONSTANZA URREGO GONZÁLEZ</v>
      </c>
      <c r="L2350" s="11" t="str">
        <f>IFERROR(IF(VLOOKUP(A2350,[14]PRIORIZADOS!$A:$L,12,FALSE)="","",VLOOKUP(A2350,[14]PRIORIZADOS!$A:$L,12,FALSE)),"")</f>
        <v>ALBA DEL PILAR CUBIDES CÁCERES</v>
      </c>
      <c r="M2350" s="71">
        <f>IFERROR(IF(VLOOKUP(A2350,[14]PRIORIZADOS!$A:$M,13,FALSE)="","",VLOOKUP(A2350,[14]PRIORIZADOS!$A:$M,13,FALSE)),"")</f>
        <v>45735</v>
      </c>
      <c r="N2350" s="71">
        <f>IFERROR(IF(VLOOKUP(A2350,[14]PRIORIZADOS!$A:$N,14,FALSE)="","",VLOOKUP(A2350,[14]PRIORIZADOS!$A:$N,14,FALSE)),"")</f>
        <v>45742</v>
      </c>
      <c r="O2350" s="71">
        <f>IFERROR(IF(VLOOKUP(A2350,[14]PRIORIZADOS!$A:$O,15,FALSE)="","",VLOOKUP(A2350,[14]PRIORIZADOS!$A:$O,15,FALSE)),"")</f>
        <v>45742</v>
      </c>
      <c r="P2350" s="11" t="str">
        <f>IFERROR(IF(VLOOKUP(A2350,[14]PRIORIZADOS!$A:$P,16,FALSE)="","",VLOOKUP(A2350,[14]PRIORIZADOS!$A:$P,16,FALSE)),"")</f>
        <v>Visitas de evaluación con fines de seguimiento</v>
      </c>
      <c r="Q2350" s="2" t="s">
        <v>468</v>
      </c>
      <c r="R2350" s="11" t="str">
        <f>IFERROR(IF(VLOOKUP(A2350,[14]PRIORIZADOS!$A:$R,18,FALSE)="","",VLOOKUP(A2350,[14]PRIORIZADOS!$A:$R,18,FALSE)),"")</f>
        <v>La institución realiza un informe de analisis de las pruebas anual, relacionado con las áreas con bajo desempeño y se establecen acciones de mejora</v>
      </c>
      <c r="S2350" s="11" t="str">
        <f>IFERROR(IF(VLOOKUP(A2350,[14]PRIORIZADOS!$A:$S,19,FALSE)="","",VLOOKUP(A2350,[14]PRIORIZADOS!$A:$S,19,FALSE)),"")</f>
        <v>Realizar la reunión de análisis de pruebas saber 11° año 2024</v>
      </c>
      <c r="T2350" s="70" t="str">
        <f>IFERROR(IF(VLOOKUP(A2350,[14]PRIORIZADOS!$A:$T,20,FALSE)="","",VLOOKUP(A2350,[14]PRIORIZADOS!$A:$T,20,FALSE)),"")</f>
        <v>No</v>
      </c>
      <c r="U2350" s="11" t="str">
        <f>IFERROR(IF(VLOOKUP(A2350,[14]PRIORIZADOS!$A:$U,21,FALSE)="","",VLOOKUP(A2350,[14]PRIORIZADOS!$A:$U,21,FALSE)),"")</f>
        <v>Verificar los resultados y las acciones en las asignaturas que presentan puntajes más bajos en la próxima calificación de las pruebas</v>
      </c>
    </row>
    <row r="2351" spans="1:21" s="1" customFormat="1" ht="60">
      <c r="A2351" s="69">
        <f>IF([14]PRIORIZADOS!A398="","",[14]PRIORIZADOS!A398)</f>
        <v>2320</v>
      </c>
      <c r="B2351" s="70">
        <f>IFERROR(IF(VLOOKUP(A2351,[14]PRIORIZADOS!$A:$B,2,FALSE)="","",VLOOKUP(A2351,[14]PRIORIZADOS!$A:$B,2,FALSE)),"")</f>
        <v>44</v>
      </c>
      <c r="C2351" s="11" t="s">
        <v>424</v>
      </c>
      <c r="D2351" s="11" t="str">
        <f>IFERROR(IF(VLOOKUP(A2351,[14]PRIORIZADOS!$A:$D,4,FALSE)="","",VLOOKUP(A2351,[14]PRIORIZADOS!$A:$D,4,FALSE)),"")</f>
        <v>OFICIAL.</v>
      </c>
      <c r="E2351" s="11" t="str">
        <f>IFERROR(IF(VLOOKUP(A2351,[14]PRIORIZADOS!$A:$E,5,FALSE)="","",VLOOKUP(A2351,[14]PRIORIZADOS!$A:$E,5,FALSE)),"")</f>
        <v>EPBM</v>
      </c>
      <c r="F2351" s="11" t="str">
        <f>IFERROR(IF(VLOOKUP(A2351,[14]PRIORIZADOS!$A:$F,6,FALSE)="","",VLOOKUP(A2351,[14]PRIORIZADOS!$A:$F,6,FALSE)),"")</f>
        <v>COLEGIO_COMPARTIR_SUBA_IED</v>
      </c>
      <c r="G2351" s="11" t="str">
        <f>IFERROR(IF(VLOOKUP(A2351,[14]PRIORIZADOS!$A:$G,7,FALSE)="","",VLOOKUP(A2351,[14]PRIORIZADOS!$A:$G,7,FALSE)),"")</f>
        <v>COMPARTIR SUBA</v>
      </c>
      <c r="H2351" s="11" t="str">
        <f>IFERROR(IF(VLOOKUP(A2351,[14]PRIORIZADOS!$A:$H,8,FALSE)="","",VLOOKUP(A2351,[14]PRIORIZADOS!$A:$H,8,FALSE)),"")</f>
        <v>Convivencia escolar</v>
      </c>
      <c r="I2351" s="11" t="str">
        <f>IFERROR(IF(VLOOKUP(A2351,[14]PRIORIZADOS!$A:$I,9,FALSE)="","",VLOOKUP(A2351,[14]PRIORIZADOS!$A:$I,9,FALSE)),"")</f>
        <v>SEGUIMIENTO_Y_SUPERVISIÓN.</v>
      </c>
      <c r="J2351" s="11" t="str">
        <f>IFERROR(IF(VLOOKUP(A2351,[14]PRIORIZADOS!$A:$J,10,FALSE)="","",VLOOKUP(A2351,[14]PRIORIZADOS!$A:$J,10,FALSE)),"")</f>
        <v xml:space="preserve">Verificar la implementación por parte de los colegios, de acciones realizadas para la prevención y atención de las situaciones de convivencia en el entorno escolar, según lo establecido en la Directiva 01 de 2022 del MEN. </v>
      </c>
      <c r="K2351" s="11" t="str">
        <f>IFERROR(IF(VLOOKUP(A2351,[14]PRIORIZADOS!$A:$K,11,FALSE)="","",VLOOKUP(A2351,[14]PRIORIZADOS!$A:$K,11,FALSE)),"")</f>
        <v>SONIA CONSTANZA URREGO GONZÁLEZ</v>
      </c>
      <c r="L2351" s="11" t="str">
        <f>IFERROR(IF(VLOOKUP(A2351,[14]PRIORIZADOS!$A:$L,12,FALSE)="","",VLOOKUP(A2351,[14]PRIORIZADOS!$A:$L,12,FALSE)),"")</f>
        <v>ALBA DEL PILAR CUBIDES CÁCERES</v>
      </c>
      <c r="M2351" s="71">
        <f>IFERROR(IF(VLOOKUP(A2351,[14]PRIORIZADOS!$A:$M,13,FALSE)="","",VLOOKUP(A2351,[14]PRIORIZADOS!$A:$M,13,FALSE)),"")</f>
        <v>45735</v>
      </c>
      <c r="N2351" s="71">
        <f>IFERROR(IF(VLOOKUP(A2351,[14]PRIORIZADOS!$A:$N,14,FALSE)="","",VLOOKUP(A2351,[14]PRIORIZADOS!$A:$N,14,FALSE)),"")</f>
        <v>45742</v>
      </c>
      <c r="O2351" s="71">
        <f>IFERROR(IF(VLOOKUP(A2351,[14]PRIORIZADOS!$A:$O,15,FALSE)="","",VLOOKUP(A2351,[14]PRIORIZADOS!$A:$O,15,FALSE)),"")</f>
        <v>45742</v>
      </c>
      <c r="P2351" s="11" t="str">
        <f>IFERROR(IF(VLOOKUP(A2351,[14]PRIORIZADOS!$A:$P,16,FALSE)="","",VLOOKUP(A2351,[14]PRIORIZADOS!$A:$P,16,FALSE)),"")</f>
        <v>Visitas de evaluación con fines de seguimiento</v>
      </c>
      <c r="Q2351" s="2" t="s">
        <v>468</v>
      </c>
      <c r="R2351" s="11" t="str">
        <f>IFERROR(IF(VLOOKUP(A2351,[14]PRIORIZADOS!$A:$R,18,FALSE)="","",VLOOKUP(A2351,[14]PRIORIZADOS!$A:$R,18,FALSE)),"")</f>
        <v xml:space="preserve">Se encontró que no hay unificacion respecto a la consultade inahabilidades. La institución cuenta con el Sistema de alertas donde se ha realizado la activación de las alertas en casos de convivencia </v>
      </c>
      <c r="S2351" s="11" t="str">
        <f>IFERROR(IF(VLOOKUP(A2351,[14]PRIORIZADOS!$A:$S,19,FALSE)="","",VLOOKUP(A2351,[14]PRIORIZADOS!$A:$S,19,FALSE)),"")</f>
        <v xml:space="preserve">Continuar con la realización de los reportes en  en el sistema </v>
      </c>
      <c r="T2351" s="70" t="str">
        <f>IFERROR(IF(VLOOKUP(A2351,[14]PRIORIZADOS!$A:$T,20,FALSE)="","",VLOOKUP(A2351,[14]PRIORIZADOS!$A:$T,20,FALSE)),"")</f>
        <v>Si</v>
      </c>
      <c r="U2351" s="11" t="str">
        <f>IFERROR(IF(VLOOKUP(A2351,[14]PRIORIZADOS!$A:$U,21,FALSE)="","",VLOOKUP(A2351,[14]PRIORIZADOS!$A:$U,21,FALSE)),"")</f>
        <v>Realizar consulta respecto a la responsabilidad de consultar inhabilidades de los docentes y administrativos por prevención. Verificar la ejecución del plan de mejoramiento  en cuanto al reporte en el sistema de alertas con fecha límite el 31 de julio.</v>
      </c>
    </row>
    <row r="2352" spans="1:21" s="1" customFormat="1" ht="72">
      <c r="A2352" s="69">
        <f>IF([14]PRIORIZADOS!A399="","",[14]PRIORIZADOS!A399)</f>
        <v>2321</v>
      </c>
      <c r="B2352" s="70">
        <f>IFERROR(IF(VLOOKUP(A2352,[14]PRIORIZADOS!$A:$B,2,FALSE)="","",VLOOKUP(A2352,[14]PRIORIZADOS!$A:$B,2,FALSE)),"")</f>
        <v>44</v>
      </c>
      <c r="C2352" s="11" t="s">
        <v>424</v>
      </c>
      <c r="D2352" s="11" t="str">
        <f>IFERROR(IF(VLOOKUP(A2352,[14]PRIORIZADOS!$A:$D,4,FALSE)="","",VLOOKUP(A2352,[14]PRIORIZADOS!$A:$D,4,FALSE)),"")</f>
        <v>OFICIAL.</v>
      </c>
      <c r="E2352" s="11" t="str">
        <f>IFERROR(IF(VLOOKUP(A2352,[14]PRIORIZADOS!$A:$E,5,FALSE)="","",VLOOKUP(A2352,[14]PRIORIZADOS!$A:$E,5,FALSE)),"")</f>
        <v>EPBM</v>
      </c>
      <c r="F2352" s="11" t="str">
        <f>IFERROR(IF(VLOOKUP(A2352,[14]PRIORIZADOS!$A:$F,6,FALSE)="","",VLOOKUP(A2352,[14]PRIORIZADOS!$A:$F,6,FALSE)),"")</f>
        <v>COLEGIO_COMPARTIR_SUBA_IED</v>
      </c>
      <c r="G2352" s="11" t="str">
        <f>IFERROR(IF(VLOOKUP(A2352,[14]PRIORIZADOS!$A:$G,7,FALSE)="","",VLOOKUP(A2352,[14]PRIORIZADOS!$A:$G,7,FALSE)),"")</f>
        <v>COMPARTIR SUBA</v>
      </c>
      <c r="H2352" s="11" t="str">
        <f>IFERROR(IF(VLOOKUP(A2352,[14]PRIORIZADOS!$A:$H,8,FALSE)="","",VLOOKUP(A2352,[14]PRIORIZADOS!$A:$H,8,FALSE)),"")</f>
        <v>Convivencia escolar</v>
      </c>
      <c r="I2352" s="11" t="str">
        <f>IFERROR(IF(VLOOKUP(A2352,[14]PRIORIZADOS!$A:$I,9,FALSE)="","",VLOOKUP(A2352,[14]PRIORIZADOS!$A:$I,9,FALSE)),"")</f>
        <v>SEGUIMIENTO_Y_SUPERVISIÓN.</v>
      </c>
      <c r="J2352" s="11" t="str">
        <f>IFERROR(IF(VLOOKUP(A2352,[14]PRIORIZADOS!$A:$J,10,FALSE)="","",VLOOKUP(A2352,[14]PRIORIZADOS!$A:$J,10,FALSE)),"")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52" s="11" t="str">
        <f>IFERROR(IF(VLOOKUP(A2352,[14]PRIORIZADOS!$A:$K,11,FALSE)="","",VLOOKUP(A2352,[14]PRIORIZADOS!$A:$K,11,FALSE)),"")</f>
        <v>SONIA CONSTANZA URREGO GONZÁLEZ</v>
      </c>
      <c r="L2352" s="11" t="str">
        <f>IFERROR(IF(VLOOKUP(A2352,[14]PRIORIZADOS!$A:$L,12,FALSE)="","",VLOOKUP(A2352,[14]PRIORIZADOS!$A:$L,12,FALSE)),"")</f>
        <v>ALBA DEL PILAR CUBIDES CÁCERES</v>
      </c>
      <c r="M2352" s="71">
        <f>IFERROR(IF(VLOOKUP(A2352,[14]PRIORIZADOS!$A:$M,13,FALSE)="","",VLOOKUP(A2352,[14]PRIORIZADOS!$A:$M,13,FALSE)),"")</f>
        <v>45735</v>
      </c>
      <c r="N2352" s="71">
        <f>IFERROR(IF(VLOOKUP(A2352,[14]PRIORIZADOS!$A:$N,14,FALSE)="","",VLOOKUP(A2352,[14]PRIORIZADOS!$A:$N,14,FALSE)),"")</f>
        <v>45742</v>
      </c>
      <c r="O2352" s="71">
        <f>IFERROR(IF(VLOOKUP(A2352,[14]PRIORIZADOS!$A:$O,15,FALSE)="","",VLOOKUP(A2352,[14]PRIORIZADOS!$A:$O,15,FALSE)),"")</f>
        <v>45742</v>
      </c>
      <c r="P2352" s="11" t="str">
        <f>IFERROR(IF(VLOOKUP(A2352,[14]PRIORIZADOS!$A:$P,16,FALSE)="","",VLOOKUP(A2352,[14]PRIORIZADOS!$A:$P,16,FALSE)),"")</f>
        <v>Visitas de evaluación con fines de seguimiento</v>
      </c>
      <c r="Q2352" s="2" t="s">
        <v>468</v>
      </c>
      <c r="R2352" s="11" t="str">
        <f>IFERROR(IF(VLOOKUP(A2352,[14]PRIORIZADOS!$A:$R,18,FALSE)="","",VLOOKUP(A2352,[14]PRIORIZADOS!$A:$R,18,FALSE)),"")</f>
        <v>Se evidenció un completo y elaborado plan de trabajo por parte de las docentes de apoyo que garantiza una educación inclusiva de calidad. Cada estudiante cuenta con su PIAR, seguimiento y ajustes.</v>
      </c>
      <c r="S2352" s="11" t="str">
        <f>IFERROR(IF(VLOOKUP(A2352,[14]PRIORIZADOS!$A:$S,19,FALSE)="","",VLOOKUP(A2352,[14]PRIORIZADOS!$A:$S,19,FALSE)),"")</f>
        <v>Continuar con los proceso de inclusión</v>
      </c>
      <c r="T2352" s="70" t="str">
        <f>IFERROR(IF(VLOOKUP(A2352,[14]PRIORIZADOS!$A:$T,20,FALSE)="","",VLOOKUP(A2352,[14]PRIORIZADOS!$A:$T,20,FALSE)),"")</f>
        <v>No</v>
      </c>
      <c r="U2352" s="11" t="str">
        <f>IFERROR(IF(VLOOKUP(A2352,[14]PRIORIZADOS!$A:$U,21,FALSE)="","",VLOOKUP(A2352,[14]PRIORIZADOS!$A:$U,21,FALSE)),"")</f>
        <v>Verificar la existencia de ajustes de acuerdo a la información reportada por los docentes.</v>
      </c>
    </row>
    <row r="2353" spans="1:21" s="1" customFormat="1" ht="84">
      <c r="A2353" s="69">
        <f>IF([14]PRIORIZADOS!A400="","",[14]PRIORIZADOS!A400)</f>
        <v>2322</v>
      </c>
      <c r="B2353" s="70">
        <f>IFERROR(IF(VLOOKUP(A2353,[14]PRIORIZADOS!$A:$B,2,FALSE)="","",VLOOKUP(A2353,[14]PRIORIZADOS!$A:$B,2,FALSE)),"")</f>
        <v>44</v>
      </c>
      <c r="C2353" s="11" t="s">
        <v>424</v>
      </c>
      <c r="D2353" s="11" t="str">
        <f>IFERROR(IF(VLOOKUP(A2353,[14]PRIORIZADOS!$A:$D,4,FALSE)="","",VLOOKUP(A2353,[14]PRIORIZADOS!$A:$D,4,FALSE)),"")</f>
        <v>OFICIAL.</v>
      </c>
      <c r="E2353" s="11" t="str">
        <f>IFERROR(IF(VLOOKUP(A2353,[14]PRIORIZADOS!$A:$E,5,FALSE)="","",VLOOKUP(A2353,[14]PRIORIZADOS!$A:$E,5,FALSE)),"")</f>
        <v>EPBM</v>
      </c>
      <c r="F2353" s="11" t="str">
        <f>IFERROR(IF(VLOOKUP(A2353,[14]PRIORIZADOS!$A:$F,6,FALSE)="","",VLOOKUP(A2353,[14]PRIORIZADOS!$A:$F,6,FALSE)),"")</f>
        <v>COLEGIO_COMPARTIR_SUBA_IED</v>
      </c>
      <c r="G2353" s="11" t="str">
        <f>IFERROR(IF(VLOOKUP(A2353,[14]PRIORIZADOS!$A:$G,7,FALSE)="","",VLOOKUP(A2353,[14]PRIORIZADOS!$A:$G,7,FALSE)),"")</f>
        <v>COMPARTIR SUBA</v>
      </c>
      <c r="H2353" s="11" t="str">
        <f>IFERROR(IF(VLOOKUP(A2353,[14]PRIORIZADOS!$A:$H,8,FALSE)="","",VLOOKUP(A2353,[14]PRIORIZADOS!$A:$H,8,FALSE)),"")</f>
        <v>Convivencia escolar</v>
      </c>
      <c r="I2353" s="11" t="str">
        <f>IFERROR(IF(VLOOKUP(A2353,[14]PRIORIZADOS!$A:$I,9,FALSE)="","",VLOOKUP(A2353,[14]PRIORIZADOS!$A:$I,9,FALSE)),"")</f>
        <v>EVALUACIÓN_CON_FINES_DE_MEJORAMIENTO.</v>
      </c>
      <c r="J2353" s="11" t="str">
        <f>IFERROR(IF(VLOOKUP(A2353,[14]PRIORIZADOS!$A:$J,10,FALSE)="","",VLOOKUP(A2353,[14]PRIORIZADOS!$A:$J,10,FALSE)),"")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53" s="11" t="str">
        <f>IFERROR(IF(VLOOKUP(A2353,[14]PRIORIZADOS!$A:$K,11,FALSE)="","",VLOOKUP(A2353,[14]PRIORIZADOS!$A:$K,11,FALSE)),"")</f>
        <v>SONIA CONSTANZA URREGO GONZÁLEZ</v>
      </c>
      <c r="L2353" s="11" t="str">
        <f>IFERROR(IF(VLOOKUP(A2353,[14]PRIORIZADOS!$A:$L,12,FALSE)="","",VLOOKUP(A2353,[14]PRIORIZADOS!$A:$L,12,FALSE)),"")</f>
        <v>ALBA DEL PILAR CUBIDES CÁCERES</v>
      </c>
      <c r="M2353" s="71">
        <f>IFERROR(IF(VLOOKUP(A2353,[14]PRIORIZADOS!$A:$M,13,FALSE)="","",VLOOKUP(A2353,[14]PRIORIZADOS!$A:$M,13,FALSE)),"")</f>
        <v>45735</v>
      </c>
      <c r="N2353" s="71">
        <f>IFERROR(IF(VLOOKUP(A2353,[14]PRIORIZADOS!$A:$N,14,FALSE)="","",VLOOKUP(A2353,[14]PRIORIZADOS!$A:$N,14,FALSE)),"")</f>
        <v>45742</v>
      </c>
      <c r="O2353" s="71">
        <f>IFERROR(IF(VLOOKUP(A2353,[14]PRIORIZADOS!$A:$O,15,FALSE)="","",VLOOKUP(A2353,[14]PRIORIZADOS!$A:$O,15,FALSE)),"")</f>
        <v>45742</v>
      </c>
      <c r="P2353" s="11" t="str">
        <f>IFERROR(IF(VLOOKUP(A2353,[14]PRIORIZADOS!$A:$P,16,FALSE)="","",VLOOKUP(A2353,[14]PRIORIZADOS!$A:$P,16,FALSE)),"")</f>
        <v>Visitas de evaluación con fines de mejoramiento</v>
      </c>
      <c r="Q2353" s="2" t="s">
        <v>468</v>
      </c>
      <c r="R2353" s="11" t="str">
        <f>IFERROR(IF(VLOOKUP(A2353,[14]PRIORIZADOS!$A:$R,18,FALSE)="","",VLOOKUP(A2353,[14]PRIORIZADOS!$A:$R,18,FALSE)),"")</f>
        <v>Se encontró que estan trabajando en la actualización  con  las observaciones enviadas por el ELIV, una vez fue revisado el manual de convivencia.</v>
      </c>
      <c r="S2353" s="11" t="str">
        <f>IFERROR(IF(VLOOKUP(A2353,[14]PRIORIZADOS!$A:$S,19,FALSE)="","",VLOOKUP(A2353,[14]PRIORIZADOS!$A:$S,19,FALSE)),"")</f>
        <v>Realizar los ajustes en cada uno de los numerales del manual de acuerdo con las observaciones enviadas por parte del ELIV.</v>
      </c>
      <c r="T2353" s="70" t="str">
        <f>IFERROR(IF(VLOOKUP(A2353,[14]PRIORIZADOS!$A:$T,20,FALSE)="","",VLOOKUP(A2353,[14]PRIORIZADOS!$A:$T,20,FALSE)),"")</f>
        <v>Si</v>
      </c>
      <c r="U2353" s="11" t="str">
        <f>IFERROR(IF(VLOOKUP(A2353,[14]PRIORIZADOS!$A:$U,21,FALSE)="","",VLOOKUP(A2353,[14]PRIORIZADOS!$A:$U,21,FALSE)),"")</f>
        <v>Revisar los ajustes al manual de convivencia acorde las observaciones por parte del ELIV.</v>
      </c>
    </row>
    <row r="2354" spans="1:21" s="1" customFormat="1" ht="48">
      <c r="A2354" s="69">
        <f>IF([14]PRIORIZADOS!A401="","",[14]PRIORIZADOS!A401)</f>
        <v>2323</v>
      </c>
      <c r="B2354" s="70">
        <f>IFERROR(IF(VLOOKUP(A2354,[14]PRIORIZADOS!$A:$B,2,FALSE)="","",VLOOKUP(A2354,[14]PRIORIZADOS!$A:$B,2,FALSE)),"")</f>
        <v>44</v>
      </c>
      <c r="C2354" s="11" t="s">
        <v>424</v>
      </c>
      <c r="D2354" s="11" t="str">
        <f>IFERROR(IF(VLOOKUP(A2354,[14]PRIORIZADOS!$A:$D,4,FALSE)="","",VLOOKUP(A2354,[14]PRIORIZADOS!$A:$D,4,FALSE)),"")</f>
        <v>OFICIAL.</v>
      </c>
      <c r="E2354" s="11" t="str">
        <f>IFERROR(IF(VLOOKUP(A2354,[14]PRIORIZADOS!$A:$E,5,FALSE)="","",VLOOKUP(A2354,[14]PRIORIZADOS!$A:$E,5,FALSE)),"")</f>
        <v>EPBM</v>
      </c>
      <c r="F2354" s="11" t="str">
        <f>IFERROR(IF(VLOOKUP(A2354,[14]PRIORIZADOS!$A:$F,6,FALSE)="","",VLOOKUP(A2354,[14]PRIORIZADOS!$A:$F,6,FALSE)),"")</f>
        <v>COLEGIO_COMPARTIR_SUBA_IED</v>
      </c>
      <c r="G2354" s="11" t="str">
        <f>IFERROR(IF(VLOOKUP(A2354,[14]PRIORIZADOS!$A:$G,7,FALSE)="","",VLOOKUP(A2354,[14]PRIORIZADOS!$A:$G,7,FALSE)),"")</f>
        <v>COMPARTIR SUBA</v>
      </c>
      <c r="H2354" s="11" t="str">
        <f>IFERROR(IF(VLOOKUP(A2354,[14]PRIORIZADOS!$A:$H,8,FALSE)="","",VLOOKUP(A2354,[14]PRIORIZADOS!$A:$H,8,FALSE)),"")</f>
        <v>Convivencia escolar</v>
      </c>
      <c r="I2354" s="11" t="str">
        <f>IFERROR(IF(VLOOKUP(A2354,[14]PRIORIZADOS!$A:$I,9,FALSE)="","",VLOOKUP(A2354,[14]PRIORIZADOS!$A:$I,9,FALSE)),"")</f>
        <v>EVALUACIÓN_CON_FINES_DE_MEJORAMIENTO.</v>
      </c>
      <c r="J2354" s="11" t="str">
        <f>IFERROR(IF(VLOOKUP(A2354,[14]PRIORIZADOS!$A:$J,10,FALSE)="","",VLOOKUP(A2354,[14]PRIORIZADOS!$A:$J,10,FALSE)),"")</f>
        <v>Revisar la actualización, socialización e implementación del Sistema Institucional de Evaluación de Estudiantes - SIEE, en articulación con la actualización del PEI y la normatividad vigente.</v>
      </c>
      <c r="K2354" s="11" t="str">
        <f>IFERROR(IF(VLOOKUP(A2354,[14]PRIORIZADOS!$A:$K,11,FALSE)="","",VLOOKUP(A2354,[14]PRIORIZADOS!$A:$K,11,FALSE)),"")</f>
        <v>SONIA CONSTANZA URREGO GONZÁLEZ</v>
      </c>
      <c r="L2354" s="11" t="str">
        <f>IFERROR(IF(VLOOKUP(A2354,[14]PRIORIZADOS!$A:$L,12,FALSE)="","",VLOOKUP(A2354,[14]PRIORIZADOS!$A:$L,12,FALSE)),"")</f>
        <v>ALBA DEL PILAR CUBIDES CÁCERES</v>
      </c>
      <c r="M2354" s="71">
        <f>IFERROR(IF(VLOOKUP(A2354,[14]PRIORIZADOS!$A:$M,13,FALSE)="","",VLOOKUP(A2354,[14]PRIORIZADOS!$A:$M,13,FALSE)),"")</f>
        <v>45735</v>
      </c>
      <c r="N2354" s="71">
        <f>IFERROR(IF(VLOOKUP(A2354,[14]PRIORIZADOS!$A:$N,14,FALSE)="","",VLOOKUP(A2354,[14]PRIORIZADOS!$A:$N,14,FALSE)),"")</f>
        <v>45742</v>
      </c>
      <c r="O2354" s="71">
        <f>IFERROR(IF(VLOOKUP(A2354,[14]PRIORIZADOS!$A:$O,15,FALSE)="","",VLOOKUP(A2354,[14]PRIORIZADOS!$A:$O,15,FALSE)),"")</f>
        <v>45742</v>
      </c>
      <c r="P2354" s="11" t="str">
        <f>IFERROR(IF(VLOOKUP(A2354,[14]PRIORIZADOS!$A:$P,16,FALSE)="","",VLOOKUP(A2354,[14]PRIORIZADOS!$A:$P,16,FALSE)),"")</f>
        <v>Visitas de evaluación con fines de mejoramiento</v>
      </c>
      <c r="Q2354" s="2" t="s">
        <v>468</v>
      </c>
      <c r="R2354" s="11" t="str">
        <f>IFERROR(IF(VLOOKUP(A2354,[14]PRIORIZADOS!$A:$R,18,FALSE)="","",VLOOKUP(A2354,[14]PRIORIZADOS!$A:$R,18,FALSE)),"")</f>
        <v>Se realizó retroalimentación sobre  el SIEE, el cual está en consonancia con el PEI. Sin embargo se encuentra realizando ajustes al PEI.</v>
      </c>
      <c r="S2354" s="11" t="str">
        <f>IFERROR(IF(VLOOKUP(A2354,[14]PRIORIZADOS!$A:$S,19,FALSE)="","",VLOOKUP(A2354,[14]PRIORIZADOS!$A:$S,19,FALSE)),"")</f>
        <v xml:space="preserve">Realizar la actualización del PEI </v>
      </c>
      <c r="T2354" s="70" t="str">
        <f>IFERROR(IF(VLOOKUP(A2354,[14]PRIORIZADOS!$A:$T,20,FALSE)="","",VLOOKUP(A2354,[14]PRIORIZADOS!$A:$T,20,FALSE)),"")</f>
        <v>Si</v>
      </c>
      <c r="U2354" s="11" t="str">
        <f>IFERROR(IF(VLOOKUP(A2354,[14]PRIORIZADOS!$A:$U,21,FALSE)="","",VLOOKUP(A2354,[14]PRIORIZADOS!$A:$U,21,FALSE)),"")</f>
        <v>Revisar las actualizaciones realizadas al PEI con fecha límite 31 de julio</v>
      </c>
    </row>
    <row r="2355" spans="1:21" s="1" customFormat="1" ht="48">
      <c r="A2355" s="69">
        <f>IF([14]PRIORIZADOS!A402="","",[14]PRIORIZADOS!A402)</f>
        <v>2324</v>
      </c>
      <c r="B2355" s="70">
        <f>IFERROR(IF(VLOOKUP(A2355,[14]PRIORIZADOS!$A:$B,2,FALSE)="","",VLOOKUP(A2355,[14]PRIORIZADOS!$A:$B,2,FALSE)),"")</f>
        <v>44</v>
      </c>
      <c r="C2355" s="11" t="s">
        <v>424</v>
      </c>
      <c r="D2355" s="11" t="str">
        <f>IFERROR(IF(VLOOKUP(A2355,[14]PRIORIZADOS!$A:$D,4,FALSE)="","",VLOOKUP(A2355,[14]PRIORIZADOS!$A:$D,4,FALSE)),"")</f>
        <v>OFICIAL.</v>
      </c>
      <c r="E2355" s="11" t="str">
        <f>IFERROR(IF(VLOOKUP(A2355,[14]PRIORIZADOS!$A:$E,5,FALSE)="","",VLOOKUP(A2355,[14]PRIORIZADOS!$A:$E,5,FALSE)),"")</f>
        <v>EPBM</v>
      </c>
      <c r="F2355" s="11" t="str">
        <f>IFERROR(IF(VLOOKUP(A2355,[14]PRIORIZADOS!$A:$F,6,FALSE)="","",VLOOKUP(A2355,[14]PRIORIZADOS!$A:$F,6,FALSE)),"")</f>
        <v>COLEGIO_COMPARTIR_SUBA_IED</v>
      </c>
      <c r="G2355" s="11" t="str">
        <f>IFERROR(IF(VLOOKUP(A2355,[14]PRIORIZADOS!$A:$G,7,FALSE)="","",VLOOKUP(A2355,[14]PRIORIZADOS!$A:$G,7,FALSE)),"")</f>
        <v>COMPARTIR SUBA</v>
      </c>
      <c r="H2355" s="11" t="str">
        <f>IFERROR(IF(VLOOKUP(A2355,[14]PRIORIZADOS!$A:$H,8,FALSE)="","",VLOOKUP(A2355,[14]PRIORIZADOS!$A:$H,8,FALSE)),"")</f>
        <v>Convivencia escolar</v>
      </c>
      <c r="I2355" s="11" t="str">
        <f>IFERROR(IF(VLOOKUP(A2355,[14]PRIORIZADOS!$A:$I,9,FALSE)="","",VLOOKUP(A2355,[14]PRIORIZADOS!$A:$I,9,FALSE)),"")</f>
        <v>EVALUACIÓN_CON_FINES_DE_MEJORAMIENTO.</v>
      </c>
      <c r="J2355" s="11" t="str">
        <f>IFERROR(IF(VLOOKUP(A2355,[14]PRIORIZADOS!$A:$J,10,FALSE)="","",VLOOKUP(A2355,[14]PRIORIZADOS!$A:$J,10,FALSE)),"")</f>
        <v>Revisar el calendario escolar, jornada escolar, la intensidad horaria mínima anual en cada nivel y las modificaciones que se realicen al mismo, de acuerdo con lo previsto en la normatividad vigente.</v>
      </c>
      <c r="K2355" s="11" t="str">
        <f>IFERROR(IF(VLOOKUP(A2355,[14]PRIORIZADOS!$A:$K,11,FALSE)="","",VLOOKUP(A2355,[14]PRIORIZADOS!$A:$K,11,FALSE)),"")</f>
        <v>SONIA CONSTANZA URREGO GONZÁLEZ</v>
      </c>
      <c r="L2355" s="11" t="str">
        <f>IFERROR(IF(VLOOKUP(A2355,[14]PRIORIZADOS!$A:$L,12,FALSE)="","",VLOOKUP(A2355,[14]PRIORIZADOS!$A:$L,12,FALSE)),"")</f>
        <v>ALBA DEL PILAR CUBIDES CÁCERES</v>
      </c>
      <c r="M2355" s="71">
        <f>IFERROR(IF(VLOOKUP(A2355,[14]PRIORIZADOS!$A:$M,13,FALSE)="","",VLOOKUP(A2355,[14]PRIORIZADOS!$A:$M,13,FALSE)),"")</f>
        <v>45735</v>
      </c>
      <c r="N2355" s="71">
        <f>IFERROR(IF(VLOOKUP(A2355,[14]PRIORIZADOS!$A:$N,14,FALSE)="","",VLOOKUP(A2355,[14]PRIORIZADOS!$A:$N,14,FALSE)),"")</f>
        <v>45742</v>
      </c>
      <c r="O2355" s="71">
        <f>IFERROR(IF(VLOOKUP(A2355,[14]PRIORIZADOS!$A:$O,15,FALSE)="","",VLOOKUP(A2355,[14]PRIORIZADOS!$A:$O,15,FALSE)),"")</f>
        <v>45742</v>
      </c>
      <c r="P2355" s="11" t="str">
        <f>IFERROR(IF(VLOOKUP(A2355,[14]PRIORIZADOS!$A:$P,16,FALSE)="","",VLOOKUP(A2355,[14]PRIORIZADOS!$A:$P,16,FALSE)),"")</f>
        <v>Visitas de evaluación con fines de mejoramiento</v>
      </c>
      <c r="Q2355" s="2" t="s">
        <v>468</v>
      </c>
      <c r="R2355" s="11" t="str">
        <f>IFERROR(IF(VLOOKUP(A2355,[14]PRIORIZADOS!$A:$R,18,FALSE)="","",VLOOKUP(A2355,[14]PRIORIZADOS!$A:$R,18,FALSE)),"")</f>
        <v>Cumple con la resolución que ordena el calendario para la SED</v>
      </c>
      <c r="S2355" s="11" t="str">
        <f>IFERROR(IF(VLOOKUP(A2355,[14]PRIORIZADOS!$A:$S,19,FALSE)="","",VLOOKUP(A2355,[14]PRIORIZADOS!$A:$S,19,FALSE)),"")</f>
        <v>Continuar con el cumplimiento del calendrio en semanas y horas.</v>
      </c>
      <c r="T2355" s="70" t="str">
        <f>IFERROR(IF(VLOOKUP(A2355,[14]PRIORIZADOS!$A:$T,20,FALSE)="","",VLOOKUP(A2355,[14]PRIORIZADOS!$A:$T,20,FALSE)),"")</f>
        <v>No</v>
      </c>
      <c r="U2355" s="11" t="str">
        <f>IFERROR(IF(VLOOKUP(A2355,[14]PRIORIZADOS!$A:$U,21,FALSE)="","",VLOOKUP(A2355,[14]PRIORIZADOS!$A:$U,21,FALSE)),"")</f>
        <v>Verificar el cumplimiento del calendrio académico.</v>
      </c>
    </row>
    <row r="2356" spans="1:21" s="1" customFormat="1" ht="48">
      <c r="A2356" s="69">
        <f>IF([14]PRIORIZADOS!A403="","",[14]PRIORIZADOS!A403)</f>
        <v>2325</v>
      </c>
      <c r="B2356" s="70">
        <f>IFERROR(IF(VLOOKUP(A2356,[14]PRIORIZADOS!$A:$B,2,FALSE)="","",VLOOKUP(A2356,[14]PRIORIZADOS!$A:$B,2,FALSE)),"")</f>
        <v>44</v>
      </c>
      <c r="C2356" s="11" t="s">
        <v>424</v>
      </c>
      <c r="D2356" s="11" t="str">
        <f>IFERROR(IF(VLOOKUP(A2356,[14]PRIORIZADOS!$A:$D,4,FALSE)="","",VLOOKUP(A2356,[14]PRIORIZADOS!$A:$D,4,FALSE)),"")</f>
        <v>OFICIAL.</v>
      </c>
      <c r="E2356" s="11" t="str">
        <f>IFERROR(IF(VLOOKUP(A2356,[14]PRIORIZADOS!$A:$E,5,FALSE)="","",VLOOKUP(A2356,[14]PRIORIZADOS!$A:$E,5,FALSE)),"")</f>
        <v>EPBM</v>
      </c>
      <c r="F2356" s="11" t="str">
        <f>IFERROR(IF(VLOOKUP(A2356,[14]PRIORIZADOS!$A:$F,6,FALSE)="","",VLOOKUP(A2356,[14]PRIORIZADOS!$A:$F,6,FALSE)),"")</f>
        <v>COLEGIO_COMPARTIR_SUBA_IED</v>
      </c>
      <c r="G2356" s="11" t="str">
        <f>IFERROR(IF(VLOOKUP(A2356,[14]PRIORIZADOS!$A:$G,7,FALSE)="","",VLOOKUP(A2356,[14]PRIORIZADOS!$A:$G,7,FALSE)),"")</f>
        <v>COMPARTIR SUBA</v>
      </c>
      <c r="H2356" s="11" t="str">
        <f>IFERROR(IF(VLOOKUP(A2356,[14]PRIORIZADOS!$A:$H,8,FALSE)="","",VLOOKUP(A2356,[14]PRIORIZADOS!$A:$H,8,FALSE)),"")</f>
        <v>Convivencia escolar</v>
      </c>
      <c r="I2356" s="11" t="str">
        <f>IFERROR(IF(VLOOKUP(A2356,[14]PRIORIZADOS!$A:$I,9,FALSE)="","",VLOOKUP(A2356,[14]PRIORIZADOS!$A:$I,9,FALSE)),"")</f>
        <v>EVALUACIÓN_CON_FINES_DE_MEJORAMIENTO.</v>
      </c>
      <c r="J2356" s="11" t="str">
        <f>IFERROR(IF(VLOOKUP(A2356,[14]PRIORIZADOS!$A:$J,10,FALSE)="","",VLOOKUP(A2356,[14]PRIORIZADOS!$A:$J,10,FALSE)),"")</f>
        <v>Verificar el funcionamiento del Gobierno Escolar e instancias de participación con base en la información sobre conformación reportada por la institución educativa.</v>
      </c>
      <c r="K2356" s="11" t="str">
        <f>IFERROR(IF(VLOOKUP(A2356,[14]PRIORIZADOS!$A:$K,11,FALSE)="","",VLOOKUP(A2356,[14]PRIORIZADOS!$A:$K,11,FALSE)),"")</f>
        <v>SONIA CONSTANZA URREGO GONZÁLEZ</v>
      </c>
      <c r="L2356" s="11" t="str">
        <f>IFERROR(IF(VLOOKUP(A2356,[14]PRIORIZADOS!$A:$L,12,FALSE)="","",VLOOKUP(A2356,[14]PRIORIZADOS!$A:$L,12,FALSE)),"")</f>
        <v>ALBA DEL PILAR CUBIDES CÁCERES</v>
      </c>
      <c r="M2356" s="71">
        <f>IFERROR(IF(VLOOKUP(A2356,[14]PRIORIZADOS!$A:$M,13,FALSE)="","",VLOOKUP(A2356,[14]PRIORIZADOS!$A:$M,13,FALSE)),"")</f>
        <v>45735</v>
      </c>
      <c r="N2356" s="71">
        <f>IFERROR(IF(VLOOKUP(A2356,[14]PRIORIZADOS!$A:$N,14,FALSE)="","",VLOOKUP(A2356,[14]PRIORIZADOS!$A:$N,14,FALSE)),"")</f>
        <v>45742</v>
      </c>
      <c r="O2356" s="71">
        <f>IFERROR(IF(VLOOKUP(A2356,[14]PRIORIZADOS!$A:$O,15,FALSE)="","",VLOOKUP(A2356,[14]PRIORIZADOS!$A:$O,15,FALSE)),"")</f>
        <v>45742</v>
      </c>
      <c r="P2356" s="11" t="str">
        <f>IFERROR(IF(VLOOKUP(A2356,[14]PRIORIZADOS!$A:$P,16,FALSE)="","",VLOOKUP(A2356,[14]PRIORIZADOS!$A:$P,16,FALSE)),"")</f>
        <v>Visitas de evaluación con fines de mejoramiento</v>
      </c>
      <c r="Q2356" s="2" t="s">
        <v>468</v>
      </c>
      <c r="R2356" s="11" t="str">
        <f>IFERROR(IF(VLOOKUP(A2356,[14]PRIORIZADOS!$A:$R,18,FALSE)="","",VLOOKUP(A2356,[14]PRIORIZADOS!$A:$R,18,FALSE)),"")</f>
        <v>Se conformo el gobierno escolar, sin embargo faltan actas en las cuales se evidencie que sesionan de acuerdo a la norma</v>
      </c>
      <c r="S2356" s="11" t="str">
        <f>IFERROR(IF(VLOOKUP(A2356,[14]PRIORIZADOS!$A:$S,19,FALSE)="","",VLOOKUP(A2356,[14]PRIORIZADOS!$A:$S,19,FALSE)),"")</f>
        <v>Realizar las reuniones de cada órgano de gobierno  en el desempeño de sus funciones</v>
      </c>
      <c r="T2356" s="70" t="str">
        <f>IFERROR(IF(VLOOKUP(A2356,[14]PRIORIZADOS!$A:$T,20,FALSE)="","",VLOOKUP(A2356,[14]PRIORIZADOS!$A:$T,20,FALSE)),"")</f>
        <v>si</v>
      </c>
      <c r="U2356" s="11" t="str">
        <f>IFERROR(IF(VLOOKUP(A2356,[14]PRIORIZADOS!$A:$U,21,FALSE)="","",VLOOKUP(A2356,[14]PRIORIZADOS!$A:$U,21,FALSE)),"")</f>
        <v>Hacer seguimiento de funcionamiento a través de las actas de reunión y sus reglamentos internos, de cada uno de los órganos de Gobierno Escolar.</v>
      </c>
    </row>
    <row r="2357" spans="1:21" s="1" customFormat="1" ht="84">
      <c r="A2357" s="69">
        <f>IF([14]PRIORIZADOS!A404="","",[14]PRIORIZADOS!A404)</f>
        <v>2326</v>
      </c>
      <c r="B2357" s="70">
        <f>IFERROR(IF(VLOOKUP(A2357,[14]PRIORIZADOS!$A:$B,2,FALSE)="","",VLOOKUP(A2357,[14]PRIORIZADOS!$A:$B,2,FALSE)),"")</f>
        <v>44</v>
      </c>
      <c r="C2357" s="11" t="s">
        <v>424</v>
      </c>
      <c r="D2357" s="11" t="str">
        <f>IFERROR(IF(VLOOKUP(A2357,[14]PRIORIZADOS!$A:$D,4,FALSE)="","",VLOOKUP(A2357,[14]PRIORIZADOS!$A:$D,4,FALSE)),"")</f>
        <v>OFICIAL.</v>
      </c>
      <c r="E2357" s="11" t="str">
        <f>IFERROR(IF(VLOOKUP(A2357,[14]PRIORIZADOS!$A:$E,5,FALSE)="","",VLOOKUP(A2357,[14]PRIORIZADOS!$A:$E,5,FALSE)),"")</f>
        <v>EPBM</v>
      </c>
      <c r="F2357" s="11" t="str">
        <f>IFERROR(IF(VLOOKUP(A2357,[14]PRIORIZADOS!$A:$F,6,FALSE)="","",VLOOKUP(A2357,[14]PRIORIZADOS!$A:$F,6,FALSE)),"")</f>
        <v>COLEGIO_COMPARTIR_SUBA_IED</v>
      </c>
      <c r="G2357" s="11" t="str">
        <f>IFERROR(IF(VLOOKUP(A2357,[14]PRIORIZADOS!$A:$G,7,FALSE)="","",VLOOKUP(A2357,[14]PRIORIZADOS!$A:$G,7,FALSE)),"")</f>
        <v>COMPARTIR SUBA</v>
      </c>
      <c r="H2357" s="11" t="str">
        <f>IFERROR(IF(VLOOKUP(A2357,[14]PRIORIZADOS!$A:$H,8,FALSE)="","",VLOOKUP(A2357,[14]PRIORIZADOS!$A:$H,8,FALSE)),"")</f>
        <v>Convivencia escolar</v>
      </c>
      <c r="I2357" s="11" t="str">
        <f>IFERROR(IF(VLOOKUP(A2357,[14]PRIORIZADOS!$A:$I,9,FALSE)="","",VLOOKUP(A2357,[14]PRIORIZADOS!$A:$I,9,FALSE)),"")</f>
        <v>EVALUACIÓN_CON_FINES_DE_MEJORAMIENTO.</v>
      </c>
      <c r="J2357" s="11" t="str">
        <f>IFERROR(IF(VLOOKUP(A2357,[14]PRIORIZADOS!$A:$J,10,FALSE)="","",VLOOKUP(A2357,[14]PRIORIZADOS!$A:$J,10,FALSE)),"")</f>
        <v>Verificar las condiciones en cuanto a: la estructura administrativa, condiciones de la planta física y medios educativos adecuados.</v>
      </c>
      <c r="K2357" s="11" t="str">
        <f>IFERROR(IF(VLOOKUP(A2357,[14]PRIORIZADOS!$A:$K,11,FALSE)="","",VLOOKUP(A2357,[14]PRIORIZADOS!$A:$K,11,FALSE)),"")</f>
        <v>SONIA CONSTANZA URREGO GONZÁLEZ</v>
      </c>
      <c r="L2357" s="11" t="str">
        <f>IFERROR(IF(VLOOKUP(A2357,[14]PRIORIZADOS!$A:$L,12,FALSE)="","",VLOOKUP(A2357,[14]PRIORIZADOS!$A:$L,12,FALSE)),"")</f>
        <v>ALBA DEL PILAR CUBIDES CÁCERES</v>
      </c>
      <c r="M2357" s="71">
        <f>IFERROR(IF(VLOOKUP(A2357,[14]PRIORIZADOS!$A:$M,13,FALSE)="","",VLOOKUP(A2357,[14]PRIORIZADOS!$A:$M,13,FALSE)),"")</f>
        <v>45735</v>
      </c>
      <c r="N2357" s="71">
        <f>IFERROR(IF(VLOOKUP(A2357,[14]PRIORIZADOS!$A:$N,14,FALSE)="","",VLOOKUP(A2357,[14]PRIORIZADOS!$A:$N,14,FALSE)),"")</f>
        <v>45742</v>
      </c>
      <c r="O2357" s="71">
        <f>IFERROR(IF(VLOOKUP(A2357,[14]PRIORIZADOS!$A:$O,15,FALSE)="","",VLOOKUP(A2357,[14]PRIORIZADOS!$A:$O,15,FALSE)),"")</f>
        <v>45742</v>
      </c>
      <c r="P2357" s="11" t="str">
        <f>IFERROR(IF(VLOOKUP(A2357,[14]PRIORIZADOS!$A:$P,16,FALSE)="","",VLOOKUP(A2357,[14]PRIORIZADOS!$A:$P,16,FALSE)),"")</f>
        <v>Visitas de evaluación con fines de mejoramiento</v>
      </c>
      <c r="Q2357" s="2" t="s">
        <v>468</v>
      </c>
      <c r="R2357" s="11" t="str">
        <f>IFERROR(IF(VLOOKUP(A2357,[14]PRIORIZADOS!$A:$R,18,FALSE)="","",VLOOKUP(A2357,[14]PRIORIZADOS!$A:$R,18,FALSE)),"")</f>
        <v xml:space="preserve">se encontro que espacios acorde a grupos de estudiantes matriculados, dotación necesaria como aulas de sistemas con equipo por cada estudiante, distribución de grados con estudiantes con discapacidad física en plana baja para fácil accesoy movilidad </v>
      </c>
      <c r="S2357" s="11" t="str">
        <f>IFERROR(IF(VLOOKUP(A2357,[14]PRIORIZADOS!$A:$S,19,FALSE)="","",VLOOKUP(A2357,[14]PRIORIZADOS!$A:$S,19,FALSE)),"")</f>
        <v>Reorganización de material de preescolar en espacio adecuado</v>
      </c>
      <c r="T2357" s="70" t="str">
        <f>IFERROR(IF(VLOOKUP(A2357,[14]PRIORIZADOS!$A:$T,20,FALSE)="","",VLOOKUP(A2357,[14]PRIORIZADOS!$A:$T,20,FALSE)),"")</f>
        <v>Si</v>
      </c>
      <c r="U2357" s="11" t="str">
        <f>IFERROR(IF(VLOOKUP(A2357,[14]PRIORIZADOS!$A:$U,21,FALSE)="","",VLOOKUP(A2357,[14]PRIORIZADOS!$A:$U,21,FALSE)),"")</f>
        <v>Verificar a través de registro fotografico la reorganización.</v>
      </c>
    </row>
    <row r="2358" spans="1:21" s="1" customFormat="1" ht="87" customHeight="1">
      <c r="A2358" s="69">
        <f>IF([15]PRIORIZADOS!A8="","",[15]PRIORIZADOS!A8)</f>
        <v>2327</v>
      </c>
      <c r="B2358" s="70">
        <f>IFERROR(IF(VLOOKUP(A2358,[15]PRIORIZADOS!$A:$B,2,FALSE)="","",VLOOKUP(A2358,[15]PRIORIZADOS!$A:$B,2,FALSE)),"")</f>
        <v>1</v>
      </c>
      <c r="C2358" s="11" t="str">
        <f>IFERROR(IF(VLOOKUP(A2358,[15]PRIORIZADOS!$A:$C,3,FALSE)="","",VLOOKUP(A2358,[15]PRIORIZADOS!$A:$C,3,FALSE)),"")</f>
        <v>TEUSAQUILLO</v>
      </c>
      <c r="D2358" s="11" t="str">
        <f>IFERROR(IF(VLOOKUP(A2358,[15]PRIORIZADOS!$A:$D,4,FALSE)="","",VLOOKUP(A2358,[15]PRIORIZADOS!$A:$D,4,FALSE)),"")</f>
        <v>PRIVADO</v>
      </c>
      <c r="E2358" s="11" t="str">
        <f>IFERROR(IF(VLOOKUP(A2358,[15]PRIORIZADOS!$A:$E,5,FALSE)="","",VLOOKUP(A2358,[15]PRIORIZADOS!$A:$E,5,FALSE)),"")</f>
        <v>Educación de Jóvenes y Adultos</v>
      </c>
      <c r="F2358" s="11" t="str">
        <f>IFERROR(IF(VLOOKUP(A2358,[15]PRIORIZADOS!$A:$F,6,FALSE)="","",VLOOKUP(A2358,[15]PRIORIZADOS!$A:$F,6,FALSE)),"")</f>
        <v>COLEGIO_BOGOTANO_MIXTO</v>
      </c>
      <c r="G2358" s="11" t="str">
        <f>IFERROR(IF(VLOOKUP(A2358,[15]PRIORIZADOS!$A:$G,7,FALSE)="","",VLOOKUP(A2358,[15]PRIORIZADOS!$A:$G,7,FALSE)),"")</f>
        <v>COLEGIO BOGOTANO MIXTO</v>
      </c>
      <c r="H2358" s="11" t="str">
        <f>IFERROR(IF(VLOOKUP(A2358,[15]PRIORIZADOS!$A:$H,8,FALSE)="","",VLOOKUP(A2358,[15]PRIORIZADOS!$A:$H,8,FALSE)),"")</f>
        <v>Autoevaluación Institucional y Pruebas SABER 11</v>
      </c>
      <c r="I2358" s="11" t="str">
        <f>IFERROR(IF(VLOOKUP(A2358,[15]PRIORIZADOS!$A:$I,9,FALSE)="","",VLOOKUP(A2358,[15]PRIORIZADOS!$A:$I,9,FALSE)),"")</f>
        <v>SEGUIMIENTO_Y_SUPERVISIÓN.</v>
      </c>
      <c r="J2358" s="11" t="str">
        <f>IFERROR(IF(VLOOKUP(A2358,[15]PRIORIZADOS!$A:$J,10,FALSE)="","",VLOOKUP(A2358,[15]PRIORIZADOS!$A:$J,10,FALSE)),"")</f>
        <v>Realizar visitas para verificar la información registrada sobre la autoevaluación institucional en el aplicativo EVI, a los establecimientos de educación formal no oficial.</v>
      </c>
      <c r="K2358" s="49" t="s">
        <v>469</v>
      </c>
      <c r="L2358" s="49" t="s">
        <v>470</v>
      </c>
      <c r="M2358" s="71">
        <f>IFERROR(IF(VLOOKUP(A2358,[15]PRIORIZADOS!$A:$M,13,FALSE)="","",VLOOKUP(A2358,[15]PRIORIZADOS!$A:$M,13,FALSE)),"")</f>
        <v>45735</v>
      </c>
      <c r="N2358" s="71">
        <f>IFERROR(IF(VLOOKUP(A2358,[15]PRIORIZADOS!$A:$N,14,FALSE)="","",VLOOKUP(A2358,[15]PRIORIZADOS!$A:$N,14,FALSE)),"")</f>
        <v>45736</v>
      </c>
      <c r="O2358" s="71">
        <f>IFERROR(IF(VLOOKUP(A2358,[15]PRIORIZADOS!$A:$O,15,FALSE)="","",VLOOKUP(A2358,[15]PRIORIZADOS!$A:$O,15,FALSE)),"")</f>
        <v>45736</v>
      </c>
      <c r="P2358" s="11" t="str">
        <f>IFERROR(IF(VLOOKUP(A2358,[15]PRIORIZADOS!$A:$P,16,FALSE)="","",VLOOKUP(A2358,[15]PRIORIZADOS!$A:$P,16,FALSE)),"")</f>
        <v>Visitas de evaluación con fines de seguimiento</v>
      </c>
      <c r="Q2358" s="2" t="s">
        <v>471</v>
      </c>
      <c r="R2358" s="11" t="str">
        <f>IFERROR(IF(VLOOKUP(A2358,[15]PRIORIZADOS!$A:$R,18,FALSE)="","",VLOOKUP(A2358,[15]PRIORIZADOS!$A:$R,18,FALSE)),"")</f>
        <v>Se encontró una diferencia entre los estudiantes registrados en SIMAT y la realidad institucional.</v>
      </c>
      <c r="S2358" s="11" t="str">
        <f>IFERROR(IF(VLOOKUP(A2358,[15]PRIORIZADOS!$A:$S,19,FALSE)="","",VLOOKUP(A2358,[15]PRIORIZADOS!$A:$S,19,FALSE)),"")</f>
        <v>Verificar y actualizar el registro en SIMAT conforme a la realidad institucional y a los contratos de matrícula.</v>
      </c>
      <c r="T2358" s="70" t="str">
        <f>IFERROR(IF(VLOOKUP(A2358,[15]PRIORIZADOS!$A:$T,20,FALSE)="","",VLOOKUP(A2358,[15]PRIORIZADOS!$A:$T,20,FALSE)),"")</f>
        <v>Si</v>
      </c>
      <c r="U2358" s="11" t="str">
        <f>IFERROR(IF(VLOOKUP(A2358,[15]PRIORIZADOS!$A:$U,21,FALSE)="","",VLOOKUP(A2358,[15]PRIORIZADOS!$A:$U,21,FALSE)),"")</f>
        <v>Se realizará una segunda visita en el segundo semestre del año para verificar la actualización del SIMAT.</v>
      </c>
    </row>
    <row r="2359" spans="1:21" s="1" customFormat="1" ht="60">
      <c r="A2359" s="69">
        <f>IF([15]PRIORIZADOS!A9="","",[15]PRIORIZADOS!A9)</f>
        <v>2328</v>
      </c>
      <c r="B2359" s="70">
        <f>IFERROR(IF(VLOOKUP(A2359,[15]PRIORIZADOS!$A:$B,2,FALSE)="","",VLOOKUP(A2359,[15]PRIORIZADOS!$A:$B,2,FALSE)),"")</f>
        <v>1</v>
      </c>
      <c r="C2359" s="11" t="str">
        <f>IFERROR(IF(VLOOKUP(A2359,[15]PRIORIZADOS!$A:$C,3,FALSE)="","",VLOOKUP(A2359,[15]PRIORIZADOS!$A:$C,3,FALSE)),"")</f>
        <v>TEUSAQUILLO</v>
      </c>
      <c r="D2359" s="11" t="str">
        <f>IFERROR(IF(VLOOKUP(A2359,[15]PRIORIZADOS!$A:$D,4,FALSE)="","",VLOOKUP(A2359,[15]PRIORIZADOS!$A:$D,4,FALSE)),"")</f>
        <v>PRIVADO</v>
      </c>
      <c r="E2359" s="11" t="str">
        <f>IFERROR(IF(VLOOKUP(A2359,[15]PRIORIZADOS!$A:$E,5,FALSE)="","",VLOOKUP(A2359,[15]PRIORIZADOS!$A:$E,5,FALSE)),"")</f>
        <v>Educación de Jóvenes y Adultos</v>
      </c>
      <c r="F2359" s="11" t="str">
        <f>IFERROR(IF(VLOOKUP(A2359,[15]PRIORIZADOS!$A:$F,6,FALSE)="","",VLOOKUP(A2359,[15]PRIORIZADOS!$A:$F,6,FALSE)),"")</f>
        <v>COLEGIO_BOGOTANO_MIXTO</v>
      </c>
      <c r="G2359" s="11" t="str">
        <f>IFERROR(IF(VLOOKUP(A2359,[15]PRIORIZADOS!$A:$G,7,FALSE)="","",VLOOKUP(A2359,[15]PRIORIZADOS!$A:$G,7,FALSE)),"")</f>
        <v>COLEGIO BOGOTANO MIXTO</v>
      </c>
      <c r="H2359" s="11" t="str">
        <f>IFERROR(IF(VLOOKUP(A2359,[15]PRIORIZADOS!$A:$H,8,FALSE)="","",VLOOKUP(A2359,[15]PRIORIZADOS!$A:$H,8,FALSE)),"")</f>
        <v>Autoevaluación Institucional y Pruebas SABER 11</v>
      </c>
      <c r="I2359" s="11" t="str">
        <f>IFERROR(IF(VLOOKUP(A2359,[15]PRIORIZADOS!$A:$I,9,FALSE)="","",VLOOKUP(A2359,[15]PRIORIZADOS!$A:$I,9,FALSE)),"")</f>
        <v>SEGUIMIENTO_Y_SUPERVISIÓN.</v>
      </c>
      <c r="J2359" s="11" t="str">
        <f>IFERROR(IF(VLOOKUP(A2359,[15]PRIORIZADOS!$A:$J,10,FALSE)="","",VLOOKUP(A2359,[15]PRIORIZADOS!$A:$J,10,FALSE)),"")</f>
        <v>Proponer estrategias en la formulación, verificar su elaboración y realizar seguimiento semestral al desarrollo de  las acciones establecidas en los planes de mejoramiento por pruebas SABER 11 de los establecimientos de educación formal.</v>
      </c>
      <c r="K2359" s="49" t="s">
        <v>469</v>
      </c>
      <c r="L2359" s="49" t="s">
        <v>470</v>
      </c>
      <c r="M2359" s="71">
        <f>IFERROR(IF(VLOOKUP(A2359,[15]PRIORIZADOS!$A:$M,13,FALSE)="","",VLOOKUP(A2359,[15]PRIORIZADOS!$A:$M,13,FALSE)),"")</f>
        <v>45735</v>
      </c>
      <c r="N2359" s="71">
        <f>IFERROR(IF(VLOOKUP(A2359,[15]PRIORIZADOS!$A:$N,14,FALSE)="","",VLOOKUP(A2359,[15]PRIORIZADOS!$A:$N,14,FALSE)),"")</f>
        <v>45736</v>
      </c>
      <c r="O2359" s="71">
        <f>IFERROR(IF(VLOOKUP(A2359,[15]PRIORIZADOS!$A:$O,15,FALSE)="","",VLOOKUP(A2359,[15]PRIORIZADOS!$A:$O,15,FALSE)),"")</f>
        <v>45736</v>
      </c>
      <c r="P2359" s="11" t="str">
        <f>IFERROR(IF(VLOOKUP(A2359,[15]PRIORIZADOS!$A:$P,16,FALSE)="","",VLOOKUP(A2359,[15]PRIORIZADOS!$A:$P,16,FALSE)),"")</f>
        <v>Visitas de evaluación con fines de seguimiento</v>
      </c>
      <c r="Q2359" s="2" t="s">
        <v>471</v>
      </c>
      <c r="R2359" s="11" t="str">
        <f>IFERROR(IF(VLOOKUP(A2359,[15]PRIORIZADOS!$A:$R,18,FALSE)="","",VLOOKUP(A2359,[15]PRIORIZADOS!$A:$R,18,FALSE)),"")</f>
        <v>Se evidenció la ausencia de un plan de mejoramiento que documente las acciones orientadas al fortalecimiento de los procesos académicos frente a las pruebas Saber 11 del segundo semestre de 2024.</v>
      </c>
      <c r="S2359" s="11" t="str">
        <f>IFERROR(IF(VLOOKUP(A2359,[15]PRIORIZADOS!$A:$S,19,FALSE)="","",VLOOKUP(A2359,[15]PRIORIZADOS!$A:$S,19,FALSE)),"")</f>
        <v>Analizar los resultados y elaborar un plan de mejoramiento que permita fortalecer los procesos académicos.</v>
      </c>
      <c r="T2359" s="70" t="str">
        <f>IFERROR(IF(VLOOKUP(A2359,[15]PRIORIZADOS!$A:$T,20,FALSE)="","",VLOOKUP(A2359,[15]PRIORIZADOS!$A:$T,20,FALSE)),"")</f>
        <v>Si</v>
      </c>
      <c r="U2359" s="11" t="str">
        <f>IFERROR(IF(VLOOKUP(A2359,[15]PRIORIZADOS!$A:$U,21,FALSE)="","",VLOOKUP(A2359,[15]PRIORIZADOS!$A:$U,21,FALSE)),"")</f>
        <v>Se realizará una segunda visita en el segundo semestre del año para verificar el Plan de Mejoramiento y su implementación.</v>
      </c>
    </row>
    <row r="2360" spans="1:21" s="1" customFormat="1" ht="96">
      <c r="A2360" s="69">
        <f>IF([15]PRIORIZADOS!A10="","",[15]PRIORIZADOS!A10)</f>
        <v>2329</v>
      </c>
      <c r="B2360" s="70">
        <f>IFERROR(IF(VLOOKUP(A2360,[15]PRIORIZADOS!$A:$B,2,FALSE)="","",VLOOKUP(A2360,[15]PRIORIZADOS!$A:$B,2,FALSE)),"")</f>
        <v>1</v>
      </c>
      <c r="C2360" s="11" t="str">
        <f>IFERROR(IF(VLOOKUP(A2360,[15]PRIORIZADOS!$A:$C,3,FALSE)="","",VLOOKUP(A2360,[15]PRIORIZADOS!$A:$C,3,FALSE)),"")</f>
        <v>TEUSAQUILLO</v>
      </c>
      <c r="D2360" s="11" t="str">
        <f>IFERROR(IF(VLOOKUP(A2360,[15]PRIORIZADOS!$A:$D,4,FALSE)="","",VLOOKUP(A2360,[15]PRIORIZADOS!$A:$D,4,FALSE)),"")</f>
        <v>PRIVADO</v>
      </c>
      <c r="E2360" s="11" t="str">
        <f>IFERROR(IF(VLOOKUP(A2360,[15]PRIORIZADOS!$A:$E,5,FALSE)="","",VLOOKUP(A2360,[15]PRIORIZADOS!$A:$E,5,FALSE)),"")</f>
        <v>Educación de Jóvenes y Adultos</v>
      </c>
      <c r="F2360" s="11" t="str">
        <f>IFERROR(IF(VLOOKUP(A2360,[15]PRIORIZADOS!$A:$F,6,FALSE)="","",VLOOKUP(A2360,[15]PRIORIZADOS!$A:$F,6,FALSE)),"")</f>
        <v>COLEGIO_BOGOTANO_MIXTO</v>
      </c>
      <c r="G2360" s="11" t="str">
        <f>IFERROR(IF(VLOOKUP(A2360,[15]PRIORIZADOS!$A:$G,7,FALSE)="","",VLOOKUP(A2360,[15]PRIORIZADOS!$A:$G,7,FALSE)),"")</f>
        <v>COLEGIO BOGOTANO MIXTO</v>
      </c>
      <c r="H2360" s="11" t="str">
        <f>IFERROR(IF(VLOOKUP(A2360,[15]PRIORIZADOS!$A:$H,8,FALSE)="","",VLOOKUP(A2360,[15]PRIORIZADOS!$A:$H,8,FALSE)),"")</f>
        <v>Autoevaluación Institucional y Pruebas SABER 11</v>
      </c>
      <c r="I2360" s="11" t="str">
        <f>IFERROR(IF(VLOOKUP(A2360,[15]PRIORIZADOS!$A:$I,9,FALSE)="","",VLOOKUP(A2360,[15]PRIORIZADOS!$A:$I,9,FALSE)),"")</f>
        <v>SEGUIMIENTO_Y_SUPERVISIÓN.</v>
      </c>
      <c r="J2360" s="11" t="str">
        <f>IFERROR(IF(VLOOKUP(A2360,[15]PRIORIZADOS!$A:$J,10,FALSE)="","",VLOOKUP(A2360,[15]PRIORIZADOS!$A:$J,10,FALSE)),"")</f>
        <v xml:space="preserve">Verificar la implementación por parte de los colegios, de acciones realizadas para la prevención y atención de las situaciones de convivencia en el entorno escolar, según lo establecido en la Directiva 01 de 2022 del MEN. </v>
      </c>
      <c r="K2360" s="49" t="s">
        <v>469</v>
      </c>
      <c r="L2360" s="49" t="s">
        <v>470</v>
      </c>
      <c r="M2360" s="71">
        <f>IFERROR(IF(VLOOKUP(A2360,[15]PRIORIZADOS!$A:$M,13,FALSE)="","",VLOOKUP(A2360,[15]PRIORIZADOS!$A:$M,13,FALSE)),"")</f>
        <v>45735</v>
      </c>
      <c r="N2360" s="71">
        <f>IFERROR(IF(VLOOKUP(A2360,[15]PRIORIZADOS!$A:$N,14,FALSE)="","",VLOOKUP(A2360,[15]PRIORIZADOS!$A:$N,14,FALSE)),"")</f>
        <v>45736</v>
      </c>
      <c r="O2360" s="71">
        <f>IFERROR(IF(VLOOKUP(A2360,[15]PRIORIZADOS!$A:$O,15,FALSE)="","",VLOOKUP(A2360,[15]PRIORIZADOS!$A:$O,15,FALSE)),"")</f>
        <v>45736</v>
      </c>
      <c r="P2360" s="11" t="str">
        <f>IFERROR(IF(VLOOKUP(A2360,[15]PRIORIZADOS!$A:$P,16,FALSE)="","",VLOOKUP(A2360,[15]PRIORIZADOS!$A:$P,16,FALSE)),"")</f>
        <v>Visitas de evaluación con fines de seguimiento</v>
      </c>
      <c r="Q2360" s="2" t="s">
        <v>471</v>
      </c>
      <c r="R2360" s="11" t="str">
        <f>IFERROR(IF(VLOOKUP(A2360,[15]PRIORIZADOS!$A:$R,18,FALSE)="","",VLOOKUP(A2360,[15]PRIORIZADOS!$A:$R,18,FALSE)),"")</f>
        <v>Se constató la ausencia de registros sobre la consulta de antecedentes judiciales al personal docente y administrativo, así como la falta de evidencia de acciones preventivas del Comité de Convivencia. No se observó funcionamiento bimestral del comité durante 2024.</v>
      </c>
      <c r="S2360" s="11" t="str">
        <f>IFERROR(IF(VLOOKUP(A2360,[15]PRIORIZADOS!$A:$S,19,FALSE)="","",VLOOKUP(A2360,[15]PRIORIZADOS!$A:$S,19,FALSE)),"")</f>
        <v>Realizar la consulta de antecedentes judiciales cada cuatro meses para todo el personal docente y administrativo, registrando dicha información en sus hojas de vida. Igualmente, se debe activar y dar funcionamiento regular al Comité de Convivencia Escolar conforme a la normativa.</v>
      </c>
      <c r="T2360" s="70" t="str">
        <f>IFERROR(IF(VLOOKUP(A2360,[15]PRIORIZADOS!$A:$T,20,FALSE)="","",VLOOKUP(A2360,[15]PRIORIZADOS!$A:$T,20,FALSE)),"")</f>
        <v>Si</v>
      </c>
      <c r="U2360" s="11" t="str">
        <f>IFERROR(IF(VLOOKUP(A2360,[15]PRIORIZADOS!$A:$U,21,FALSE)="","",VLOOKUP(A2360,[15]PRIORIZADOS!$A:$U,21,FALSE)),"")</f>
        <v>Durante el segundo semestre del año se llevará a cabo una segunda visita para verificar el estado de las hojas de vida y el funcionamiento del Gobierno Escolar.</v>
      </c>
    </row>
    <row r="2361" spans="1:21" s="1" customFormat="1" ht="72">
      <c r="A2361" s="69">
        <f>IF([15]PRIORIZADOS!A11="","",[15]PRIORIZADOS!A11)</f>
        <v>2330</v>
      </c>
      <c r="B2361" s="70">
        <f>IFERROR(IF(VLOOKUP(A2361,[15]PRIORIZADOS!$A:$B,2,FALSE)="","",VLOOKUP(A2361,[15]PRIORIZADOS!$A:$B,2,FALSE)),"")</f>
        <v>1</v>
      </c>
      <c r="C2361" s="11" t="str">
        <f>IFERROR(IF(VLOOKUP(A2361,[15]PRIORIZADOS!$A:$C,3,FALSE)="","",VLOOKUP(A2361,[15]PRIORIZADOS!$A:$C,3,FALSE)),"")</f>
        <v>TEUSAQUILLO</v>
      </c>
      <c r="D2361" s="11" t="str">
        <f>IFERROR(IF(VLOOKUP(A2361,[15]PRIORIZADOS!$A:$D,4,FALSE)="","",VLOOKUP(A2361,[15]PRIORIZADOS!$A:$D,4,FALSE)),"")</f>
        <v>PRIVADO</v>
      </c>
      <c r="E2361" s="11" t="str">
        <f>IFERROR(IF(VLOOKUP(A2361,[15]PRIORIZADOS!$A:$E,5,FALSE)="","",VLOOKUP(A2361,[15]PRIORIZADOS!$A:$E,5,FALSE)),"")</f>
        <v>Educación de Jóvenes y Adultos</v>
      </c>
      <c r="F2361" s="11" t="str">
        <f>IFERROR(IF(VLOOKUP(A2361,[15]PRIORIZADOS!$A:$F,6,FALSE)="","",VLOOKUP(A2361,[15]PRIORIZADOS!$A:$F,6,FALSE)),"")</f>
        <v>COLEGIO_BOGOTANO_MIXTO</v>
      </c>
      <c r="G2361" s="11" t="str">
        <f>IFERROR(IF(VLOOKUP(A2361,[15]PRIORIZADOS!$A:$G,7,FALSE)="","",VLOOKUP(A2361,[15]PRIORIZADOS!$A:$G,7,FALSE)),"")</f>
        <v>COLEGIO BOGOTANO MIXTO</v>
      </c>
      <c r="H2361" s="11" t="str">
        <f>IFERROR(IF(VLOOKUP(A2361,[15]PRIORIZADOS!$A:$H,8,FALSE)="","",VLOOKUP(A2361,[15]PRIORIZADOS!$A:$H,8,FALSE)),"")</f>
        <v>Autoevaluación Institucional y Pruebas SABER 11</v>
      </c>
      <c r="I2361" s="11" t="str">
        <f>IFERROR(IF(VLOOKUP(A2361,[15]PRIORIZADOS!$A:$I,9,FALSE)="","",VLOOKUP(A2361,[15]PRIORIZADOS!$A:$I,9,FALSE)),"")</f>
        <v>SEGUIMIENTO_Y_SUPERVISIÓN.</v>
      </c>
      <c r="J2361" s="11" t="str">
        <f>IFERROR(IF(VLOOKUP(A2361,[15]PRIORIZADOS!$A:$J,10,FALSE)="","",VLOOKUP(A2361,[15]PRIORIZADOS!$A:$J,10,FALSE)),"")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61" s="49" t="s">
        <v>469</v>
      </c>
      <c r="L2361" s="49" t="s">
        <v>470</v>
      </c>
      <c r="M2361" s="71">
        <f>IFERROR(IF(VLOOKUP(A2361,[15]PRIORIZADOS!$A:$M,13,FALSE)="","",VLOOKUP(A2361,[15]PRIORIZADOS!$A:$M,13,FALSE)),"")</f>
        <v>45735</v>
      </c>
      <c r="N2361" s="71">
        <f>IFERROR(IF(VLOOKUP(A2361,[15]PRIORIZADOS!$A:$N,14,FALSE)="","",VLOOKUP(A2361,[15]PRIORIZADOS!$A:$N,14,FALSE)),"")</f>
        <v>45736</v>
      </c>
      <c r="O2361" s="71">
        <f>IFERROR(IF(VLOOKUP(A2361,[15]PRIORIZADOS!$A:$O,15,FALSE)="","",VLOOKUP(A2361,[15]PRIORIZADOS!$A:$O,15,FALSE)),"")</f>
        <v>45736</v>
      </c>
      <c r="P2361" s="11" t="str">
        <f>IFERROR(IF(VLOOKUP(A2361,[15]PRIORIZADOS!$A:$P,16,FALSE)="","",VLOOKUP(A2361,[15]PRIORIZADOS!$A:$P,16,FALSE)),"")</f>
        <v>Visitas de evaluación con fines de mejoramiento</v>
      </c>
      <c r="Q2361" s="2" t="s">
        <v>471</v>
      </c>
      <c r="R2361" s="11" t="str">
        <f>IFERROR(IF(VLOOKUP(A2361,[15]PRIORIZADOS!$A:$R,18,FALSE)="","",VLOOKUP(A2361,[15]PRIORIZADOS!$A:$R,18,FALSE)),"")</f>
        <v xml:space="preserve">No se evidencia registro en  SIMAT,  de poblacion con discapacidad, trastornos del aprendizaje , y talentos excepcionales, Ni se han identificado en Aula. No se han elaborado  Planes Individuales de Ajustes Razonables PIAR. </v>
      </c>
      <c r="S2361" s="11" t="str">
        <f>IFERROR(IF(VLOOKUP(A2361,[15]PRIORIZADOS!$A:$S,19,FALSE)="","",VLOOKUP(A2361,[15]PRIORIZADOS!$A:$S,19,FALSE)),"")</f>
        <v xml:space="preserve">se verificó matrícula de SIMAT  y no se registra poblacion con discapacidad. </v>
      </c>
      <c r="T2361" s="70" t="str">
        <f>IFERROR(IF(VLOOKUP(A2361,[15]PRIORIZADOS!$A:$T,20,FALSE)="","",VLOOKUP(A2361,[15]PRIORIZADOS!$A:$T,20,FALSE)),"")</f>
        <v>No</v>
      </c>
      <c r="U2361" s="11" t="str">
        <f>IFERROR(IF(VLOOKUP(A2361,[15]PRIORIZADOS!$A:$U,21,FALSE)="","",VLOOKUP(A2361,[15]PRIORIZADOS!$A:$U,21,FALSE)),"")</f>
        <v xml:space="preserve">la IE debe presentar los tiempos para elaborar el plan de mejoramiento y acorde con esto se realizara segunda visita de seguimiento. </v>
      </c>
    </row>
    <row r="2362" spans="1:21" s="1" customFormat="1" ht="96">
      <c r="A2362" s="69">
        <f>IF([15]PRIORIZADOS!A12="","",[15]PRIORIZADOS!A12)</f>
        <v>2331</v>
      </c>
      <c r="B2362" s="70">
        <f>IFERROR(IF(VLOOKUP(A2362,[15]PRIORIZADOS!$A:$B,2,FALSE)="","",VLOOKUP(A2362,[15]PRIORIZADOS!$A:$B,2,FALSE)),"")</f>
        <v>1</v>
      </c>
      <c r="C2362" s="11" t="str">
        <f>IFERROR(IF(VLOOKUP(A2362,[15]PRIORIZADOS!$A:$C,3,FALSE)="","",VLOOKUP(A2362,[15]PRIORIZADOS!$A:$C,3,FALSE)),"")</f>
        <v>TEUSAQUILLO</v>
      </c>
      <c r="D2362" s="11" t="str">
        <f>IFERROR(IF(VLOOKUP(A2362,[15]PRIORIZADOS!$A:$D,4,FALSE)="","",VLOOKUP(A2362,[15]PRIORIZADOS!$A:$D,4,FALSE)),"")</f>
        <v>PRIVADO</v>
      </c>
      <c r="E2362" s="11" t="str">
        <f>IFERROR(IF(VLOOKUP(A2362,[15]PRIORIZADOS!$A:$E,5,FALSE)="","",VLOOKUP(A2362,[15]PRIORIZADOS!$A:$E,5,FALSE)),"")</f>
        <v>Educación de Jóvenes y Adultos</v>
      </c>
      <c r="F2362" s="11" t="str">
        <f>IFERROR(IF(VLOOKUP(A2362,[15]PRIORIZADOS!$A:$F,6,FALSE)="","",VLOOKUP(A2362,[15]PRIORIZADOS!$A:$F,6,FALSE)),"")</f>
        <v>COLEGIO_BOGOTANO_MIXTO</v>
      </c>
      <c r="G2362" s="11" t="str">
        <f>IFERROR(IF(VLOOKUP(A2362,[15]PRIORIZADOS!$A:$G,7,FALSE)="","",VLOOKUP(A2362,[15]PRIORIZADOS!$A:$G,7,FALSE)),"")</f>
        <v>COLEGIO BOGOTANO MIXTO</v>
      </c>
      <c r="H2362" s="11" t="str">
        <f>IFERROR(IF(VLOOKUP(A2362,[15]PRIORIZADOS!$A:$H,8,FALSE)="","",VLOOKUP(A2362,[15]PRIORIZADOS!$A:$H,8,FALSE)),"")</f>
        <v>Autoevaluación Institucional y Pruebas SABER 11</v>
      </c>
      <c r="I2362" s="11" t="str">
        <f>IFERROR(IF(VLOOKUP(A2362,[15]PRIORIZADOS!$A:$I,9,FALSE)="","",VLOOKUP(A2362,[15]PRIORIZADOS!$A:$I,9,FALSE)),"")</f>
        <v>EVALUACIÓN_CON_FINES_DE_MEJORAMIENTO.</v>
      </c>
      <c r="J2362" s="11" t="str">
        <f>IFERROR(IF(VLOOKUP(A2362,[15]PRIORIZADOS!$A:$J,10,FALSE)="","",VLOOKUP(A2362,[15]PRIORIZADOS!$A:$J,10,FALSE)),"")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62" s="49" t="s">
        <v>469</v>
      </c>
      <c r="L2362" s="49" t="s">
        <v>470</v>
      </c>
      <c r="M2362" s="71">
        <f>IFERROR(IF(VLOOKUP(A2362,[15]PRIORIZADOS!$A:$M,13,FALSE)="","",VLOOKUP(A2362,[15]PRIORIZADOS!$A:$M,13,FALSE)),"")</f>
        <v>45735</v>
      </c>
      <c r="N2362" s="71">
        <f>IFERROR(IF(VLOOKUP(A2362,[15]PRIORIZADOS!$A:$N,14,FALSE)="","",VLOOKUP(A2362,[15]PRIORIZADOS!$A:$N,14,FALSE)),"")</f>
        <v>45736</v>
      </c>
      <c r="O2362" s="71">
        <f>IFERROR(IF(VLOOKUP(A2362,[15]PRIORIZADOS!$A:$O,15,FALSE)="","",VLOOKUP(A2362,[15]PRIORIZADOS!$A:$O,15,FALSE)),"")</f>
        <v>45736</v>
      </c>
      <c r="P2362" s="11" t="str">
        <f>IFERROR(IF(VLOOKUP(A2362,[15]PRIORIZADOS!$A:$P,16,FALSE)="","",VLOOKUP(A2362,[15]PRIORIZADOS!$A:$P,16,FALSE)),"")</f>
        <v>Visitas de evaluación con fines de mejoramiento</v>
      </c>
      <c r="Q2362" s="2" t="s">
        <v>471</v>
      </c>
      <c r="R2362" s="11" t="str">
        <f>IFERROR(IF(VLOOKUP(A2362,[15]PRIORIZADOS!$A:$R,18,FALSE)="","",VLOOKUP(A2362,[15]PRIORIZADOS!$A:$R,18,FALSE)),"")</f>
        <v>El manual de convivencia presentado, no refleja el desarrollo de los 12 componentes conforme el Decreto 1075 de 2015.</v>
      </c>
      <c r="S2362" s="11" t="str">
        <f>IFERROR(IF(VLOOKUP(A2362,[15]PRIORIZADOS!$A:$S,19,FALSE)="","",VLOOKUP(A2362,[15]PRIORIZADOS!$A:$S,19,FALSE)),"")</f>
        <v xml:space="preserve"> 
Se debe revisar y ajustar el manual de convivencia  a la luz del PEI,  guia 49 y ley 1620 de 2015 y protocolos de atencion integral a situaciones de convivencia y ajustarlo con la participacion de la comunidad educativa. Entregar para revisión el 25 de abril.</v>
      </c>
      <c r="T2362" s="70" t="str">
        <f>IFERROR(IF(VLOOKUP(A2362,[15]PRIORIZADOS!$A:$T,20,FALSE)="","",VLOOKUP(A2362,[15]PRIORIZADOS!$A:$T,20,FALSE)),"")</f>
        <v>Si</v>
      </c>
      <c r="U2362" s="11" t="str">
        <f>IFERROR(IF(VLOOKUP(A2362,[15]PRIORIZADOS!$A:$U,21,FALSE)="","",VLOOKUP(A2362,[15]PRIORIZADOS!$A:$U,21,FALSE)),"")</f>
        <v>El ELIV verificara que el manual de convivenvia con el desarrollo todos los componentes de acuerdo con la guía 49. ley 1620 de 2013 y Decreto 1075 de 2015a 25 de abril de 2025.
. Se verificó el manual y se hicieron nuevamente observaciones relacionadas con relacionadas con la estructura y desarrollo de cada componente
. Se verificará nuevamente antes de finalizar el mes de enero de 2026</v>
      </c>
    </row>
    <row r="2363" spans="1:21" s="1" customFormat="1" ht="60">
      <c r="A2363" s="69">
        <f>IF([15]PRIORIZADOS!A13="","",[15]PRIORIZADOS!A13)</f>
        <v>2332</v>
      </c>
      <c r="B2363" s="70">
        <f>IFERROR(IF(VLOOKUP(A2363,[15]PRIORIZADOS!$A:$B,2,FALSE)="","",VLOOKUP(A2363,[15]PRIORIZADOS!$A:$B,2,FALSE)),"")</f>
        <v>1</v>
      </c>
      <c r="C2363" s="11" t="str">
        <f>IFERROR(IF(VLOOKUP(A2363,[15]PRIORIZADOS!$A:$C,3,FALSE)="","",VLOOKUP(A2363,[15]PRIORIZADOS!$A:$C,3,FALSE)),"")</f>
        <v>TEUSAQUILLO</v>
      </c>
      <c r="D2363" s="11" t="str">
        <f>IFERROR(IF(VLOOKUP(A2363,[15]PRIORIZADOS!$A:$D,4,FALSE)="","",VLOOKUP(A2363,[15]PRIORIZADOS!$A:$D,4,FALSE)),"")</f>
        <v>PRIVADO</v>
      </c>
      <c r="E2363" s="11" t="str">
        <f>IFERROR(IF(VLOOKUP(A2363,[15]PRIORIZADOS!$A:$E,5,FALSE)="","",VLOOKUP(A2363,[15]PRIORIZADOS!$A:$E,5,FALSE)),"")</f>
        <v>Educación de Jóvenes y Adultos</v>
      </c>
      <c r="F2363" s="11" t="str">
        <f>IFERROR(IF(VLOOKUP(A2363,[15]PRIORIZADOS!$A:$F,6,FALSE)="","",VLOOKUP(A2363,[15]PRIORIZADOS!$A:$F,6,FALSE)),"")</f>
        <v>COLEGIO_BOGOTANO_MIXTO</v>
      </c>
      <c r="G2363" s="11" t="str">
        <f>IFERROR(IF(VLOOKUP(A2363,[15]PRIORIZADOS!$A:$G,7,FALSE)="","",VLOOKUP(A2363,[15]PRIORIZADOS!$A:$G,7,FALSE)),"")</f>
        <v>COLEGIO BOGOTANO MIXTO</v>
      </c>
      <c r="H2363" s="11" t="str">
        <f>IFERROR(IF(VLOOKUP(A2363,[15]PRIORIZADOS!$A:$H,8,FALSE)="","",VLOOKUP(A2363,[15]PRIORIZADOS!$A:$H,8,FALSE)),"")</f>
        <v>Autoevaluación Institucional y Pruebas SABER 11</v>
      </c>
      <c r="I2363" s="11" t="str">
        <f>IFERROR(IF(VLOOKUP(A2363,[15]PRIORIZADOS!$A:$I,9,FALSE)="","",VLOOKUP(A2363,[15]PRIORIZADOS!$A:$I,9,FALSE)),"")</f>
        <v>EVALUACIÓN_CON_FINES_DE_MEJORAMIENTO.</v>
      </c>
      <c r="J2363" s="11" t="str">
        <f>IFERROR(IF(VLOOKUP(A2363,[15]PRIORIZADOS!$A:$J,10,FALSE)="","",VLOOKUP(A2363,[15]PRIORIZADOS!$A:$J,10,FALSE)),"")</f>
        <v>Revisar la actualización, socialización e implementación del Sistema Institucional de Evaluación de Estudiantes - SIEE, en articulación con la actualización del PEI y la normatividad vigente.</v>
      </c>
      <c r="K2363" s="49" t="s">
        <v>469</v>
      </c>
      <c r="L2363" s="49" t="s">
        <v>470</v>
      </c>
      <c r="M2363" s="71">
        <f>IFERROR(IF(VLOOKUP(A2363,[15]PRIORIZADOS!$A:$M,13,FALSE)="","",VLOOKUP(A2363,[15]PRIORIZADOS!$A:$M,13,FALSE)),"")</f>
        <v>45735</v>
      </c>
      <c r="N2363" s="71">
        <f>IFERROR(IF(VLOOKUP(A2363,[15]PRIORIZADOS!$A:$N,14,FALSE)="","",VLOOKUP(A2363,[15]PRIORIZADOS!$A:$N,14,FALSE)),"")</f>
        <v>45736</v>
      </c>
      <c r="O2363" s="71">
        <f>IFERROR(IF(VLOOKUP(A2363,[15]PRIORIZADOS!$A:$O,15,FALSE)="","",VLOOKUP(A2363,[15]PRIORIZADOS!$A:$O,15,FALSE)),"")</f>
        <v>45736</v>
      </c>
      <c r="P2363" s="11" t="str">
        <f>IFERROR(IF(VLOOKUP(A2363,[15]PRIORIZADOS!$A:$P,16,FALSE)="","",VLOOKUP(A2363,[15]PRIORIZADOS!$A:$P,16,FALSE)),"")</f>
        <v>Visitas de evaluación con fines de mejoramiento</v>
      </c>
      <c r="Q2363" s="2" t="s">
        <v>471</v>
      </c>
      <c r="R2363" s="11" t="str">
        <f>IFERROR(IF(VLOOKUP(A2363,[15]PRIORIZADOS!$A:$R,18,FALSE)="","",VLOOKUP(A2363,[15]PRIORIZADOS!$A:$R,18,FALSE)),"")</f>
        <v xml:space="preserve">El documento del SIEE y PEI, no se desarrolla conforme la estructura que orienta el decreto 1075 de 2015, no se evidencia proceso de socializacion con la comunidad educativa. </v>
      </c>
      <c r="S2363" s="11" t="str">
        <f>IFERROR(IF(VLOOKUP(A2363,[15]PRIORIZADOS!$A:$S,19,FALSE)="","",VLOOKUP(A2363,[15]PRIORIZADOS!$A:$S,19,FALSE)),"")</f>
        <v xml:space="preserve">Se socializa que el SIEE debe ser elaborado y socializado con la comunidad  educativa.  Por tanto, debe realizarse proceso de revision por cada uno de los estamentos de la comunidad educativa. </v>
      </c>
      <c r="T2363" s="70" t="str">
        <f>IFERROR(IF(VLOOKUP(A2363,[15]PRIORIZADOS!$A:$T,20,FALSE)="","",VLOOKUP(A2363,[15]PRIORIZADOS!$A:$T,20,FALSE)),"")</f>
        <v>Si</v>
      </c>
      <c r="U2363" s="11" t="str">
        <f>IFERROR(IF(VLOOKUP(A2363,[15]PRIORIZADOS!$A:$U,21,FALSE)="","",VLOOKUP(A2363,[15]PRIORIZADOS!$A:$U,21,FALSE)),"")</f>
        <v xml:space="preserve">El ELIV revisara el documento ajustado, el cual lo debe presentar la IE máximo 4 de abril de 2025.  Se verificó el SIEE, se realizaron nuevamente observaciones relacionadas con la especificidas que requiere el documento para claridad en el proceso de evaluación. </v>
      </c>
    </row>
    <row r="2364" spans="1:21" s="1" customFormat="1" ht="96">
      <c r="A2364" s="69">
        <f>IF([15]PRIORIZADOS!A14="","",[15]PRIORIZADOS!A14)</f>
        <v>2333</v>
      </c>
      <c r="B2364" s="70">
        <f>IFERROR(IF(VLOOKUP(A2364,[15]PRIORIZADOS!$A:$B,2,FALSE)="","",VLOOKUP(A2364,[15]PRIORIZADOS!$A:$B,2,FALSE)),"")</f>
        <v>1</v>
      </c>
      <c r="C2364" s="11" t="str">
        <f>IFERROR(IF(VLOOKUP(A2364,[15]PRIORIZADOS!$A:$C,3,FALSE)="","",VLOOKUP(A2364,[15]PRIORIZADOS!$A:$C,3,FALSE)),"")</f>
        <v>TEUSAQUILLO</v>
      </c>
      <c r="D2364" s="11" t="str">
        <f>IFERROR(IF(VLOOKUP(A2364,[15]PRIORIZADOS!$A:$D,4,FALSE)="","",VLOOKUP(A2364,[15]PRIORIZADOS!$A:$D,4,FALSE)),"")</f>
        <v>PRIVADO</v>
      </c>
      <c r="E2364" s="11" t="str">
        <f>IFERROR(IF(VLOOKUP(A2364,[15]PRIORIZADOS!$A:$E,5,FALSE)="","",VLOOKUP(A2364,[15]PRIORIZADOS!$A:$E,5,FALSE)),"")</f>
        <v>Educación de Jóvenes y Adultos</v>
      </c>
      <c r="F2364" s="11" t="str">
        <f>IFERROR(IF(VLOOKUP(A2364,[15]PRIORIZADOS!$A:$F,6,FALSE)="","",VLOOKUP(A2364,[15]PRIORIZADOS!$A:$F,6,FALSE)),"")</f>
        <v>COLEGIO_BOGOTANO_MIXTO</v>
      </c>
      <c r="G2364" s="11" t="str">
        <f>IFERROR(IF(VLOOKUP(A2364,[15]PRIORIZADOS!$A:$G,7,FALSE)="","",VLOOKUP(A2364,[15]PRIORIZADOS!$A:$G,7,FALSE)),"")</f>
        <v>COLEGIO BOGOTANO MIXTO</v>
      </c>
      <c r="H2364" s="11" t="str">
        <f>IFERROR(IF(VLOOKUP(A2364,[15]PRIORIZADOS!$A:$H,8,FALSE)="","",VLOOKUP(A2364,[15]PRIORIZADOS!$A:$H,8,FALSE)),"")</f>
        <v>Autoevaluación Institucional y Pruebas SABER 11</v>
      </c>
      <c r="I2364" s="11" t="str">
        <f>IFERROR(IF(VLOOKUP(A2364,[15]PRIORIZADOS!$A:$I,9,FALSE)="","",VLOOKUP(A2364,[15]PRIORIZADOS!$A:$I,9,FALSE)),"")</f>
        <v>EVALUACIÓN_CON_FINES_DE_MEJORAMIENTO.</v>
      </c>
      <c r="J2364" s="11" t="str">
        <f>IFERROR(IF(VLOOKUP(A2364,[15]PRIORIZADOS!$A:$J,10,FALSE)="","",VLOOKUP(A2364,[15]PRIORIZADOS!$A:$J,10,FALSE)),"")</f>
        <v>Revisar el calendario escolar, jornada escolar, la intensidad horaria mínima anual en cada nivel y las modificaciones que se realicen al mismo, de acuerdo con lo previsto en la normatividad vigente.</v>
      </c>
      <c r="K2364" s="49" t="s">
        <v>469</v>
      </c>
      <c r="L2364" s="49" t="s">
        <v>470</v>
      </c>
      <c r="M2364" s="71">
        <f>IFERROR(IF(VLOOKUP(A2364,[15]PRIORIZADOS!$A:$M,13,FALSE)="","",VLOOKUP(A2364,[15]PRIORIZADOS!$A:$M,13,FALSE)),"")</f>
        <v>45735</v>
      </c>
      <c r="N2364" s="71">
        <f>IFERROR(IF(VLOOKUP(A2364,[15]PRIORIZADOS!$A:$N,14,FALSE)="","",VLOOKUP(A2364,[15]PRIORIZADOS!$A:$N,14,FALSE)),"")</f>
        <v>45736</v>
      </c>
      <c r="O2364" s="71">
        <f>IFERROR(IF(VLOOKUP(A2364,[15]PRIORIZADOS!$A:$O,15,FALSE)="","",VLOOKUP(A2364,[15]PRIORIZADOS!$A:$O,15,FALSE)),"")</f>
        <v>45736</v>
      </c>
      <c r="P2364" s="11" t="str">
        <f>IFERROR(IF(VLOOKUP(A2364,[15]PRIORIZADOS!$A:$P,16,FALSE)="","",VLOOKUP(A2364,[15]PRIORIZADOS!$A:$P,16,FALSE)),"")</f>
        <v>Visitas de evaluación con fines de mejoramiento</v>
      </c>
      <c r="Q2364" s="2" t="s">
        <v>471</v>
      </c>
      <c r="R2364" s="11" t="str">
        <f>IFERROR(IF(VLOOKUP(A2364,[15]PRIORIZADOS!$A:$R,18,FALSE)="","",VLOOKUP(A2364,[15]PRIORIZADOS!$A:$R,18,FALSE)),"")</f>
        <v xml:space="preserve">No se evidencia el calendario escolar, la IE presentó un documento borrador pero, no se evidencia socializacion con la comunidad educativa. </v>
      </c>
      <c r="S2364" s="11" t="str">
        <f>IFERROR(IF(VLOOKUP(A2364,[15]PRIORIZADOS!$A:$S,19,FALSE)="","",VLOOKUP(A2364,[15]PRIORIZADOS!$A:$S,19,FALSE)),"")</f>
        <v xml:space="preserve">Debe elaborarse y presentarse formalmente a la comunidad educativa el calendario escolar en cumplimiento de la normatividad vigente, y de las horas minimas requeridas para Educacion Formal de Adultos -Ciclos..Remitir el calendario escolar fecha maxima el 31 de marzo. </v>
      </c>
      <c r="T2364" s="70" t="str">
        <f>IFERROR(IF(VLOOKUP(A2364,[15]PRIORIZADOS!$A:$T,20,FALSE)="","",VLOOKUP(A2364,[15]PRIORIZADOS!$A:$T,20,FALSE)),"")</f>
        <v>Si</v>
      </c>
      <c r="U2364" s="11" t="str">
        <f>IFERROR(IF(VLOOKUP(A2364,[15]PRIORIZADOS!$A:$U,21,FALSE)="","",VLOOKUP(A2364,[15]PRIORIZADOS!$A:$U,21,FALSE)),"")</f>
        <v>.Verificar el cumplimiento de las horas minimas requeridas para Educación Formal de Adultos -Ciclos, cuando la IE presente el documento aprobado.
.Se revisió en el mes de abril encontrando que se ajusta a norma y su socializado con la comunidad educativa.</v>
      </c>
    </row>
    <row r="2365" spans="1:21" s="1" customFormat="1" ht="154.5">
      <c r="A2365" s="69">
        <f>IF([15]PRIORIZADOS!A15="","",[15]PRIORIZADOS!A15)</f>
        <v>2334</v>
      </c>
      <c r="B2365" s="70">
        <f>IFERROR(IF(VLOOKUP(A2365,[15]PRIORIZADOS!$A:$B,2,FALSE)="","",VLOOKUP(A2365,[15]PRIORIZADOS!$A:$B,2,FALSE)),"")</f>
        <v>1</v>
      </c>
      <c r="C2365" s="11" t="str">
        <f>IFERROR(IF(VLOOKUP(A2365,[15]PRIORIZADOS!$A:$C,3,FALSE)="","",VLOOKUP(A2365,[15]PRIORIZADOS!$A:$C,3,FALSE)),"")</f>
        <v>TEUSAQUILLO</v>
      </c>
      <c r="D2365" s="11" t="str">
        <f>IFERROR(IF(VLOOKUP(A2365,[15]PRIORIZADOS!$A:$D,4,FALSE)="","",VLOOKUP(A2365,[15]PRIORIZADOS!$A:$D,4,FALSE)),"")</f>
        <v>PRIVADO</v>
      </c>
      <c r="E2365" s="11" t="str">
        <f>IFERROR(IF(VLOOKUP(A2365,[15]PRIORIZADOS!$A:$E,5,FALSE)="","",VLOOKUP(A2365,[15]PRIORIZADOS!$A:$E,5,FALSE)),"")</f>
        <v>Educación de Jóvenes y Adultos</v>
      </c>
      <c r="F2365" s="11" t="str">
        <f>IFERROR(IF(VLOOKUP(A2365,[15]PRIORIZADOS!$A:$F,6,FALSE)="","",VLOOKUP(A2365,[15]PRIORIZADOS!$A:$F,6,FALSE)),"")</f>
        <v>COLEGIO_BOGOTANO_MIXTO</v>
      </c>
      <c r="G2365" s="11" t="str">
        <f>IFERROR(IF(VLOOKUP(A2365,[15]PRIORIZADOS!$A:$G,7,FALSE)="","",VLOOKUP(A2365,[15]PRIORIZADOS!$A:$G,7,FALSE)),"")</f>
        <v>COLEGIO BOGOTANO MIXTO</v>
      </c>
      <c r="H2365" s="11" t="str">
        <f>IFERROR(IF(VLOOKUP(A2365,[15]PRIORIZADOS!$A:$H,8,FALSE)="","",VLOOKUP(A2365,[15]PRIORIZADOS!$A:$H,8,FALSE)),"")</f>
        <v>Autoevaluación Institucional y Pruebas SABER 11</v>
      </c>
      <c r="I2365" s="11" t="str">
        <f>IFERROR(IF(VLOOKUP(A2365,[15]PRIORIZADOS!$A:$I,9,FALSE)="","",VLOOKUP(A2365,[15]PRIORIZADOS!$A:$I,9,FALSE)),"")</f>
        <v>EVALUACIÓN_CON_FINES_DE_MEJORAMIENTO.</v>
      </c>
      <c r="J2365" s="11" t="str">
        <f>IFERROR(IF(VLOOKUP(A2365,[15]PRIORIZADOS!$A:$J,10,FALSE)="","",VLOOKUP(A2365,[15]PRIORIZADOS!$A:$J,10,FALSE)),"")</f>
        <v>Verificar el funcionamiento del Gobierno Escolar e instancias de participación con base en la información sobre conformación reportada por la institución educativa.</v>
      </c>
      <c r="K2365" s="49" t="s">
        <v>469</v>
      </c>
      <c r="L2365" s="49" t="s">
        <v>470</v>
      </c>
      <c r="M2365" s="71">
        <f>IFERROR(IF(VLOOKUP(A2365,[15]PRIORIZADOS!$A:$M,13,FALSE)="","",VLOOKUP(A2365,[15]PRIORIZADOS!$A:$M,13,FALSE)),"")</f>
        <v>45735</v>
      </c>
      <c r="N2365" s="71">
        <f>IFERROR(IF(VLOOKUP(A2365,[15]PRIORIZADOS!$A:$N,14,FALSE)="","",VLOOKUP(A2365,[15]PRIORIZADOS!$A:$N,14,FALSE)),"")</f>
        <v>45736</v>
      </c>
      <c r="O2365" s="71">
        <f>IFERROR(IF(VLOOKUP(A2365,[15]PRIORIZADOS!$A:$O,15,FALSE)="","",VLOOKUP(A2365,[15]PRIORIZADOS!$A:$O,15,FALSE)),"")</f>
        <v>45744</v>
      </c>
      <c r="P2365" s="11" t="str">
        <f>IFERROR(IF(VLOOKUP(A2365,[15]PRIORIZADOS!$A:$P,16,FALSE)="","",VLOOKUP(A2365,[15]PRIORIZADOS!$A:$P,16,FALSE)),"")</f>
        <v>Visitas de evaluación con fines de mejoramiento</v>
      </c>
      <c r="Q2365" s="2" t="s">
        <v>471</v>
      </c>
      <c r="R2365" s="11" t="str">
        <f>IFERROR(IF(VLOOKUP(A2365,[15]PRIORIZADOS!$A:$R,18,FALSE)="","",VLOOKUP(A2365,[15]PRIORIZADOS!$A:$R,18,FALSE)),"")</f>
        <v xml:space="preserve">De acuerdo con las actas de reunion (vigencia 2024) de los estamentos del gobiernos escolar , se evidencia su funcionamiento sin embargo, no se hace con la periodocidad requerida. con relacion al comite de convivencia se oriento que este debe sesionar minimo cada dos meses, Consejo directivo sesiono conforme su competencia, Consejo Académico, sesiono  unicamente para presentar casos de estudiantes en los diferentes periodos, no presentaron actas de los otros estamentos de participación. </v>
      </c>
      <c r="S2365" s="11" t="str">
        <f>IFERROR(IF(VLOOKUP(A2365,[15]PRIORIZADOS!$A:$S,19,FALSE)="","",VLOOKUP(A2365,[15]PRIORIZADOS!$A:$S,19,FALSE)),"")</f>
        <v xml:space="preserve">Realizar la conformacion del gobiernos escolar de forma participativa  y sesionar de acuedo con sus funciones y la periodicidad que ordena la norma. </v>
      </c>
      <c r="T2365" s="70" t="str">
        <f>IFERROR(IF(VLOOKUP(A2365,[15]PRIORIZADOS!$A:$T,20,FALSE)="","",VLOOKUP(A2365,[15]PRIORIZADOS!$A:$T,20,FALSE)),"")</f>
        <v>Si</v>
      </c>
      <c r="U2365" s="11" t="str">
        <f>IFERROR(IF(VLOOKUP(A2365,[15]PRIORIZADOS!$A:$U,21,FALSE)="","",VLOOKUP(A2365,[15]PRIORIZADOS!$A:$U,21,FALSE)),"")</f>
        <v xml:space="preserve">.Verificar la conformación del Gobierno Escolar e instancias de participación para la vigencia 2025.
.Vericar mediante visita en el segundo semestre del año el funcionamiento del Gobierno Escolar y demás órganos de participación. </v>
      </c>
    </row>
    <row r="2366" spans="1:21" s="1" customFormat="1" ht="72">
      <c r="A2366" s="69">
        <f>IF([15]PRIORIZADOS!A16="","",[15]PRIORIZADOS!A16)</f>
        <v>2335</v>
      </c>
      <c r="B2366" s="70">
        <f>IFERROR(IF(VLOOKUP(A2366,[15]PRIORIZADOS!$A:$B,2,FALSE)="","",VLOOKUP(A2366,[15]PRIORIZADOS!$A:$B,2,FALSE)),"")</f>
        <v>1</v>
      </c>
      <c r="C2366" s="11" t="str">
        <f>IFERROR(IF(VLOOKUP(A2366,[15]PRIORIZADOS!$A:$C,3,FALSE)="","",VLOOKUP(A2366,[15]PRIORIZADOS!$A:$C,3,FALSE)),"")</f>
        <v>TEUSAQUILLO</v>
      </c>
      <c r="D2366" s="11" t="str">
        <f>IFERROR(IF(VLOOKUP(A2366,[15]PRIORIZADOS!$A:$D,4,FALSE)="","",VLOOKUP(A2366,[15]PRIORIZADOS!$A:$D,4,FALSE)),"")</f>
        <v>PRIVADO</v>
      </c>
      <c r="E2366" s="11" t="str">
        <f>IFERROR(IF(VLOOKUP(A2366,[15]PRIORIZADOS!$A:$E,5,FALSE)="","",VLOOKUP(A2366,[15]PRIORIZADOS!$A:$E,5,FALSE)),"")</f>
        <v>Educación de Jóvenes y Adultos</v>
      </c>
      <c r="F2366" s="11" t="str">
        <f>IFERROR(IF(VLOOKUP(A2366,[15]PRIORIZADOS!$A:$F,6,FALSE)="","",VLOOKUP(A2366,[15]PRIORIZADOS!$A:$F,6,FALSE)),"")</f>
        <v>COLEGIO_BOGOTANO_MIXTO</v>
      </c>
      <c r="G2366" s="11" t="str">
        <f>IFERROR(IF(VLOOKUP(A2366,[15]PRIORIZADOS!$A:$G,7,FALSE)="","",VLOOKUP(A2366,[15]PRIORIZADOS!$A:$G,7,FALSE)),"")</f>
        <v>COLEGIO BOGOTANO MIXTO</v>
      </c>
      <c r="H2366" s="11" t="str">
        <f>IFERROR(IF(VLOOKUP(A2366,[15]PRIORIZADOS!$A:$H,8,FALSE)="","",VLOOKUP(A2366,[15]PRIORIZADOS!$A:$H,8,FALSE)),"")</f>
        <v>Autoevaluación Institucional y Pruebas SABER 11</v>
      </c>
      <c r="I2366" s="11" t="str">
        <f>IFERROR(IF(VLOOKUP(A2366,[15]PRIORIZADOS!$A:$I,9,FALSE)="","",VLOOKUP(A2366,[15]PRIORIZADOS!$A:$I,9,FALSE)),"")</f>
        <v>EVALUACIÓN_CON_FINES_DE_MEJORAMIENTO.</v>
      </c>
      <c r="J2366" s="11" t="str">
        <f>IFERROR(IF(VLOOKUP(A2366,[15]PRIORIZADOS!$A:$J,10,FALSE)="","",VLOOKUP(A2366,[15]PRIORIZADOS!$A:$J,10,FALSE)),"")</f>
        <v>Verificar las condiciones en cuanto a: la estructura administrativa, condiciones de la planta física y medios educativos adecuados.</v>
      </c>
      <c r="K2366" s="49" t="s">
        <v>469</v>
      </c>
      <c r="L2366" s="49" t="s">
        <v>470</v>
      </c>
      <c r="M2366" s="71">
        <f>IFERROR(IF(VLOOKUP(A2366,[15]PRIORIZADOS!$A:$M,13,FALSE)="","",VLOOKUP(A2366,[15]PRIORIZADOS!$A:$M,13,FALSE)),"")</f>
        <v>45735</v>
      </c>
      <c r="N2366" s="71">
        <f>IFERROR(IF(VLOOKUP(A2366,[15]PRIORIZADOS!$A:$N,14,FALSE)="","",VLOOKUP(A2366,[15]PRIORIZADOS!$A:$N,14,FALSE)),"")</f>
        <v>45736</v>
      </c>
      <c r="O2366" s="71" t="str">
        <f>IFERROR(IF(VLOOKUP(A2366,[15]PRIORIZADOS!$A:$O,15,FALSE)="","",VLOOKUP(A2366,[15]PRIORIZADOS!$A:$O,15,FALSE)),"")</f>
        <v>28/03/2025</v>
      </c>
      <c r="P2366" s="11" t="str">
        <f>IFERROR(IF(VLOOKUP(A2366,[15]PRIORIZADOS!$A:$P,16,FALSE)="","",VLOOKUP(A2366,[15]PRIORIZADOS!$A:$P,16,FALSE)),"")</f>
        <v>Visitas de evaluación con fines de mejoramiento</v>
      </c>
      <c r="Q2366" s="2" t="s">
        <v>471</v>
      </c>
      <c r="R2366" s="11" t="str">
        <f>IFERROR(IF(VLOOKUP(A2366,[15]PRIORIZADOS!$A:$R,18,FALSE)="","",VLOOKUP(A2366,[15]PRIORIZADOS!$A:$R,18,FALSE)),"")</f>
        <v xml:space="preserve">La planta física es compartida con el Colegio ERVID,  no se identifica un espacio determinado para el desarrollo propio de cada una de las instituciones en sus procesos administrativos y académicos. </v>
      </c>
      <c r="S2366" s="11" t="str">
        <f>IFERROR(IF(VLOOKUP(A2366,[15]PRIORIZADOS!$A:$S,19,FALSE)="","",VLOOKUP(A2366,[15]PRIORIZADOS!$A:$S,19,FALSE)),"")</f>
        <v xml:space="preserve">La IE debe organizar los espacios administrativos de tal forma que permita el desarrollo adecuado  del  Proyecto Educativo Institucional  proyectado. </v>
      </c>
      <c r="T2366" s="70" t="str">
        <f>IFERROR(IF(VLOOKUP(A2366,[15]PRIORIZADOS!$A:$T,20,FALSE)="","",VLOOKUP(A2366,[15]PRIORIZADOS!$A:$T,20,FALSE)),"")</f>
        <v>Si</v>
      </c>
      <c r="U2366" s="11" t="str">
        <f>IFERROR(IF(VLOOKUP(A2366,[15]PRIORIZADOS!$A:$U,21,FALSE)="","",VLOOKUP(A2366,[15]PRIORIZADOS!$A:$U,21,FALSE)),"")</f>
        <v>Verificar en segunda visita de seguimiento  a realizarse en el segundo semestre de la presente vigencia.</v>
      </c>
    </row>
    <row r="2367" spans="1:21" s="1" customFormat="1" ht="96">
      <c r="A2367" s="69">
        <f>IF([15]PRIORIZADOS!A17="","",[15]PRIORIZADOS!A17)</f>
        <v>2336</v>
      </c>
      <c r="B2367" s="70">
        <f>IFERROR(IF(VLOOKUP(A2367,[15]PRIORIZADOS!$A:$B,2,FALSE)="","",VLOOKUP(A2367,[15]PRIORIZADOS!$A:$B,2,FALSE)),"")</f>
        <v>2</v>
      </c>
      <c r="C2367" s="11" t="str">
        <f>IFERROR(IF(VLOOKUP(A2367,[15]PRIORIZADOS!$A:$C,3,FALSE)="","",VLOOKUP(A2367,[15]PRIORIZADOS!$A:$C,3,FALSE)),"")</f>
        <v>TEUSAQUILLO</v>
      </c>
      <c r="D2367" s="11" t="str">
        <f>IFERROR(IF(VLOOKUP(A2367,[15]PRIORIZADOS!$A:$D,4,FALSE)="","",VLOOKUP(A2367,[15]PRIORIZADOS!$A:$D,4,FALSE)),"")</f>
        <v>PRIVADO</v>
      </c>
      <c r="E2367" s="11" t="str">
        <f>IFERROR(IF(VLOOKUP(A2367,[15]PRIORIZADOS!$A:$E,5,FALSE)="","",VLOOKUP(A2367,[15]PRIORIZADOS!$A:$E,5,FALSE)),"")</f>
        <v>Educación de Jóvenes y Adultos</v>
      </c>
      <c r="F2367" s="11" t="str">
        <f>IFERROR(IF(VLOOKUP(A2367,[15]PRIORIZADOS!$A:$F,6,FALSE)="","",VLOOKUP(A2367,[15]PRIORIZADOS!$A:$F,6,FALSE)),"")</f>
        <v>COLEGIO_FORMARTE</v>
      </c>
      <c r="G2367" s="11" t="str">
        <f>IFERROR(IF(VLOOKUP(A2367,[15]PRIORIZADOS!$A:$G,7,FALSE)="","",VLOOKUP(A2367,[15]PRIORIZADOS!$A:$G,7,FALSE)),"")</f>
        <v>COLEGIO FORMARTE</v>
      </c>
      <c r="H2367" s="11" t="str">
        <f>IFERROR(IF(VLOOKUP(A2367,[15]PRIORIZADOS!$A:$H,8,FALSE)="","",VLOOKUP(A2367,[15]PRIORIZADOS!$A:$H,8,FALSE)),"")</f>
        <v>Autoevaluación Institucional y Pruebas SABER 11</v>
      </c>
      <c r="I2367" s="11" t="str">
        <f>IFERROR(IF(VLOOKUP(A2367,[15]PRIORIZADOS!$A:$I,9,FALSE)="","",VLOOKUP(A2367,[15]PRIORIZADOS!$A:$I,9,FALSE)),"")</f>
        <v>SEGUIMIENTO_Y_SUPERVISIÓN.</v>
      </c>
      <c r="J2367" s="11" t="str">
        <f>IFERROR(IF(VLOOKUP(A2367,[15]PRIORIZADOS!$A:$J,10,FALSE)="","",VLOOKUP(A2367,[15]PRIORIZADOS!$A:$J,10,FALSE)),"")</f>
        <v>Realizar visitas para verificar la información registrada sobre la autoevaluación institucional en el aplicativo EVI, a los establecimientos de educación formal no oficial.</v>
      </c>
      <c r="K2367" s="49" t="s">
        <v>469</v>
      </c>
      <c r="L2367" s="49" t="s">
        <v>472</v>
      </c>
      <c r="M2367" s="71">
        <f>IFERROR(IF(VLOOKUP(A2367,[15]PRIORIZADOS!$A:$M,13,FALSE)="","",VLOOKUP(A2367,[15]PRIORIZADOS!$A:$M,13,FALSE)),"")</f>
        <v>45744</v>
      </c>
      <c r="N2367" s="71" t="str">
        <f>IFERROR(IF(VLOOKUP(A2367,[15]PRIORIZADOS!$A:$N,14,FALSE)="","",VLOOKUP(A2367,[15]PRIORIZADOS!$A:$N,14,FALSE)),"")</f>
        <v>28/03/2025</v>
      </c>
      <c r="O2367" s="71" t="str">
        <f>IFERROR(IF(VLOOKUP(A2367,[15]PRIORIZADOS!$A:$O,15,FALSE)="","",VLOOKUP(A2367,[15]PRIORIZADOS!$A:$O,15,FALSE)),"")</f>
        <v>28/03/2025</v>
      </c>
      <c r="P2367" s="11" t="str">
        <f>IFERROR(IF(VLOOKUP(A2367,[15]PRIORIZADOS!$A:$P,16,FALSE)="","",VLOOKUP(A2367,[15]PRIORIZADOS!$A:$P,16,FALSE)),"")</f>
        <v>Visitas de evaluación con fines de mejoramiento</v>
      </c>
      <c r="Q2367" s="7" t="s">
        <v>473</v>
      </c>
      <c r="R2367" s="11" t="str">
        <f>IFERROR(IF(VLOOKUP(A2367,[15]PRIORIZADOS!$A:$R,18,FALSE)="","",VLOOKUP(A2367,[15]PRIORIZADOS!$A:$R,18,FALSE)),"")</f>
        <v>Se verificó la coherencia entre los datos reportados y la realidad institucional en aspectos como gestión pedagógica, comunidad educativa, administración y calidad educativa. Se revisaron documentos, registros y evidencias que sustentan el cumplimiento de los estándares exigidos.</v>
      </c>
      <c r="S2367" s="11" t="str">
        <f>IFERROR(IF(VLOOKUP(A2367,[15]PRIORIZADOS!$A:$S,19,FALSE)="","",VLOOKUP(A2367,[15]PRIORIZADOS!$A:$S,19,FALSE)),"")</f>
        <v xml:space="preserve">Continuar con los procesos de autoevaluación en terminos y de acuerdo con su realidad institucional.  </v>
      </c>
      <c r="T2367" s="70" t="str">
        <f>IFERROR(IF(VLOOKUP(A2367,[15]PRIORIZADOS!$A:$T,20,FALSE)="","",VLOOKUP(A2367,[15]PRIORIZADOS!$A:$T,20,FALSE)),"")</f>
        <v>No</v>
      </c>
      <c r="U2367" s="11" t="str">
        <f>IFERROR(IF(VLOOKUP(A2367,[15]PRIORIZADOS!$A:$U,21,FALSE)="","",VLOOKUP(A2367,[15]PRIORIZADOS!$A:$U,21,FALSE)),"")</f>
        <v xml:space="preserve">Verificación del diligenciamiento de la autoevaluación 2025 en el mes de octubre, y el reporte de certificación de calidad correspondiente. </v>
      </c>
    </row>
    <row r="2368" spans="1:21" s="1" customFormat="1" ht="118.5">
      <c r="A2368" s="69">
        <f>IF([15]PRIORIZADOS!A18="","",[15]PRIORIZADOS!A18)</f>
        <v>2337</v>
      </c>
      <c r="B2368" s="70">
        <f>IFERROR(IF(VLOOKUP(A2368,[15]PRIORIZADOS!$A:$B,2,FALSE)="","",VLOOKUP(A2368,[15]PRIORIZADOS!$A:$B,2,FALSE)),"")</f>
        <v>2</v>
      </c>
      <c r="C2368" s="11" t="str">
        <f>IFERROR(IF(VLOOKUP(A2368,[15]PRIORIZADOS!$A:$C,3,FALSE)="","",VLOOKUP(A2368,[15]PRIORIZADOS!$A:$C,3,FALSE)),"")</f>
        <v>TEUSAQUILLO</v>
      </c>
      <c r="D2368" s="11" t="str">
        <f>IFERROR(IF(VLOOKUP(A2368,[15]PRIORIZADOS!$A:$D,4,FALSE)="","",VLOOKUP(A2368,[15]PRIORIZADOS!$A:$D,4,FALSE)),"")</f>
        <v>PRIVADO</v>
      </c>
      <c r="E2368" s="11" t="str">
        <f>IFERROR(IF(VLOOKUP(A2368,[15]PRIORIZADOS!$A:$E,5,FALSE)="","",VLOOKUP(A2368,[15]PRIORIZADOS!$A:$E,5,FALSE)),"")</f>
        <v>Educación de Jóvenes y Adultos</v>
      </c>
      <c r="F2368" s="11" t="str">
        <f>IFERROR(IF(VLOOKUP(A2368,[15]PRIORIZADOS!$A:$F,6,FALSE)="","",VLOOKUP(A2368,[15]PRIORIZADOS!$A:$F,6,FALSE)),"")</f>
        <v>COLEGIO_FORMARTE</v>
      </c>
      <c r="G2368" s="11" t="str">
        <f>IFERROR(IF(VLOOKUP(A2368,[15]PRIORIZADOS!$A:$G,7,FALSE)="","",VLOOKUP(A2368,[15]PRIORIZADOS!$A:$G,7,FALSE)),"")</f>
        <v>COLEGIO FORMARTE</v>
      </c>
      <c r="H2368" s="11" t="str">
        <f>IFERROR(IF(VLOOKUP(A2368,[15]PRIORIZADOS!$A:$H,8,FALSE)="","",VLOOKUP(A2368,[15]PRIORIZADOS!$A:$H,8,FALSE)),"")</f>
        <v>Autoevaluación Institucional y Pruebas SABER 11</v>
      </c>
      <c r="I2368" s="11" t="str">
        <f>IFERROR(IF(VLOOKUP(A2368,[15]PRIORIZADOS!$A:$I,9,FALSE)="","",VLOOKUP(A2368,[15]PRIORIZADOS!$A:$I,9,FALSE)),"")</f>
        <v>SEGUIMIENTO_Y_SUPERVISIÓN.</v>
      </c>
      <c r="J2368" s="11" t="str">
        <f>IFERROR(IF(VLOOKUP(A2368,[15]PRIORIZADOS!$A:$J,10,FALSE)="","",VLOOKUP(A2368,[15]PRIORIZADOS!$A:$J,10,FALSE)),"")</f>
        <v>Proponer estrategias en la formulación, verificar su elaboración y realizar seguimiento semestral al desarrollo de  las acciones establecidas en los planes de mejoramiento por pruebas SABER 11 de los establecimientos de educación formal.</v>
      </c>
      <c r="K2368" s="49" t="s">
        <v>469</v>
      </c>
      <c r="L2368" s="49" t="s">
        <v>472</v>
      </c>
      <c r="M2368" s="71">
        <f>IFERROR(IF(VLOOKUP(A2368,[15]PRIORIZADOS!$A:$M,13,FALSE)="","",VLOOKUP(A2368,[15]PRIORIZADOS!$A:$M,13,FALSE)),"")</f>
        <v>45744</v>
      </c>
      <c r="N2368" s="71" t="str">
        <f>IFERROR(IF(VLOOKUP(A2368,[15]PRIORIZADOS!$A:$N,14,FALSE)="","",VLOOKUP(A2368,[15]PRIORIZADOS!$A:$N,14,FALSE)),"")</f>
        <v>28/03/2025</v>
      </c>
      <c r="O2368" s="71" t="str">
        <f>IFERROR(IF(VLOOKUP(A2368,[15]PRIORIZADOS!$A:$O,15,FALSE)="","",VLOOKUP(A2368,[15]PRIORIZADOS!$A:$O,15,FALSE)),"")</f>
        <v>28/03/2025</v>
      </c>
      <c r="P2368" s="11" t="str">
        <f>IFERROR(IF(VLOOKUP(A2368,[15]PRIORIZADOS!$A:$P,16,FALSE)="","",VLOOKUP(A2368,[15]PRIORIZADOS!$A:$P,16,FALSE)),"")</f>
        <v>Visitas de evaluación con fines de mejoramiento</v>
      </c>
      <c r="Q2368" s="7" t="s">
        <v>473</v>
      </c>
      <c r="R2368" s="11" t="str">
        <f>IFERROR(IF(VLOOKUP(A2368,[15]PRIORIZADOS!$A:$R,18,FALSE)="","",VLOOKUP(A2368,[15]PRIORIZADOS!$A:$R,18,FALSE)),"")</f>
        <v xml:space="preserve">Se diseñan estrategias para la formulación de planes de mejoramiento, sobre los cuales se realiza seguimiento semestral a las acciones implementadas, con el fin de fortalecer los procesos educativos y mejorar los resultados en las pruebas SABER 11 (como simulacros y asesorías). Seguimiento a través de revisiones curriculares mensuales e informes semestrales de gestión de calidad. </v>
      </c>
      <c r="S2368" s="11" t="str">
        <f>IFERROR(IF(VLOOKUP(A2368,[15]PRIORIZADOS!$A:$S,19,FALSE)="","",VLOOKUP(A2368,[15]PRIORIZADOS!$A:$S,19,FALSE)),"")</f>
        <v xml:space="preserve">Continuar con los procesos de seguimiento al desarrollo de los contenidos curriculares y la evaluación de los resultados de las pruebas SABER 11 para la implementación de estrategias para mejorar y/o mantener los resultados. </v>
      </c>
      <c r="T2368" s="70" t="str">
        <f>IFERROR(IF(VLOOKUP(A2368,[15]PRIORIZADOS!$A:$T,20,FALSE)="","",VLOOKUP(A2368,[15]PRIORIZADOS!$A:$T,20,FALSE)),"")</f>
        <v>No</v>
      </c>
      <c r="U2368" s="11" t="str">
        <f>IFERROR(IF(VLOOKUP(A2368,[15]PRIORIZADOS!$A:$U,21,FALSE)="","",VLOOKUP(A2368,[15]PRIORIZADOS!$A:$U,21,FALSE)),"")</f>
        <v xml:space="preserve">Verificar los resultados de la prueba SABER 11 2025. </v>
      </c>
    </row>
    <row r="2369" spans="1:21" s="1" customFormat="1" ht="107.25">
      <c r="A2369" s="69">
        <f>IF([15]PRIORIZADOS!A19="","",[15]PRIORIZADOS!A19)</f>
        <v>2338</v>
      </c>
      <c r="B2369" s="70">
        <f>IFERROR(IF(VLOOKUP(A2369,[15]PRIORIZADOS!$A:$B,2,FALSE)="","",VLOOKUP(A2369,[15]PRIORIZADOS!$A:$B,2,FALSE)),"")</f>
        <v>2</v>
      </c>
      <c r="C2369" s="11" t="str">
        <f>IFERROR(IF(VLOOKUP(A2369,[15]PRIORIZADOS!$A:$C,3,FALSE)="","",VLOOKUP(A2369,[15]PRIORIZADOS!$A:$C,3,FALSE)),"")</f>
        <v>TEUSAQUILLO</v>
      </c>
      <c r="D2369" s="11" t="str">
        <f>IFERROR(IF(VLOOKUP(A2369,[15]PRIORIZADOS!$A:$D,4,FALSE)="","",VLOOKUP(A2369,[15]PRIORIZADOS!$A:$D,4,FALSE)),"")</f>
        <v>PRIVADO</v>
      </c>
      <c r="E2369" s="11" t="str">
        <f>IFERROR(IF(VLOOKUP(A2369,[15]PRIORIZADOS!$A:$E,5,FALSE)="","",VLOOKUP(A2369,[15]PRIORIZADOS!$A:$E,5,FALSE)),"")</f>
        <v>Educación de Jóvenes y Adultos</v>
      </c>
      <c r="F2369" s="11" t="str">
        <f>IFERROR(IF(VLOOKUP(A2369,[15]PRIORIZADOS!$A:$F,6,FALSE)="","",VLOOKUP(A2369,[15]PRIORIZADOS!$A:$F,6,FALSE)),"")</f>
        <v>COLEGIO_FORMARTE</v>
      </c>
      <c r="G2369" s="11" t="str">
        <f>IFERROR(IF(VLOOKUP(A2369,[15]PRIORIZADOS!$A:$G,7,FALSE)="","",VLOOKUP(A2369,[15]PRIORIZADOS!$A:$G,7,FALSE)),"")</f>
        <v>COLEGIO FORMARTE</v>
      </c>
      <c r="H2369" s="11" t="str">
        <f>IFERROR(IF(VLOOKUP(A2369,[15]PRIORIZADOS!$A:$H,8,FALSE)="","",VLOOKUP(A2369,[15]PRIORIZADOS!$A:$H,8,FALSE)),"")</f>
        <v>Autoevaluación Institucional y Pruebas SABER 11</v>
      </c>
      <c r="I2369" s="11" t="str">
        <f>IFERROR(IF(VLOOKUP(A2369,[15]PRIORIZADOS!$A:$I,9,FALSE)="","",VLOOKUP(A2369,[15]PRIORIZADOS!$A:$I,9,FALSE)),"")</f>
        <v>SEGUIMIENTO_Y_SUPERVISIÓN.</v>
      </c>
      <c r="J2369" s="11" t="str">
        <f>IFERROR(IF(VLOOKUP(A2369,[15]PRIORIZADOS!$A:$J,10,FALSE)="","",VLOOKUP(A2369,[15]PRIORIZADOS!$A:$J,10,FALSE)),"")</f>
        <v xml:space="preserve">Verificar la implementación por parte de los colegios, de acciones realizadas para la prevención y atención de las situaciones de convivencia en el entorno escolar, según lo establecido en la Directiva 01 de 2022 del MEN. </v>
      </c>
      <c r="K2369" s="49" t="s">
        <v>469</v>
      </c>
      <c r="L2369" s="49" t="s">
        <v>472</v>
      </c>
      <c r="M2369" s="71">
        <f>IFERROR(IF(VLOOKUP(A2369,[15]PRIORIZADOS!$A:$M,13,FALSE)="","",VLOOKUP(A2369,[15]PRIORIZADOS!$A:$M,13,FALSE)),"")</f>
        <v>45744</v>
      </c>
      <c r="N2369" s="71" t="str">
        <f>IFERROR(IF(VLOOKUP(A2369,[15]PRIORIZADOS!$A:$N,14,FALSE)="","",VLOOKUP(A2369,[15]PRIORIZADOS!$A:$N,14,FALSE)),"")</f>
        <v>28/03/2025</v>
      </c>
      <c r="O2369" s="71" t="str">
        <f>IFERROR(IF(VLOOKUP(A2369,[15]PRIORIZADOS!$A:$O,15,FALSE)="","",VLOOKUP(A2369,[15]PRIORIZADOS!$A:$O,15,FALSE)),"")</f>
        <v>28/03/2025</v>
      </c>
      <c r="P2369" s="11" t="str">
        <f>IFERROR(IF(VLOOKUP(A2369,[15]PRIORIZADOS!$A:$P,16,FALSE)="","",VLOOKUP(A2369,[15]PRIORIZADOS!$A:$P,16,FALSE)),"")</f>
        <v>Visitas de evaluación con fines de mejoramiento</v>
      </c>
      <c r="Q2369" s="7" t="s">
        <v>473</v>
      </c>
      <c r="R2369" s="11" t="str">
        <f>IFERROR(IF(VLOOKUP(A2369,[15]PRIORIZADOS!$A:$R,18,FALSE)="","",VLOOKUP(A2369,[15]PRIORIZADOS!$A:$R,18,FALSE)),"")</f>
        <v>Cuenta con un Manual de Convivencia actualizado y participativo, un Comité de Convivencia que opera regularmente (cada 8 días) evaluando situaciones y acciones, y aplica la Ruta de Atención Integral (Ley 1620) desde psicorientación. Sin embargo, no se realiza la verificación cuatrimestral de inhabilidades por delitos sexuales en la página de la Policía Nacional</v>
      </c>
      <c r="S2369" s="11" t="str">
        <f>IFERROR(IF(VLOOKUP(A2369,[15]PRIORIZADOS!$A:$S,19,FALSE)="","",VLOOKUP(A2369,[15]PRIORIZADOS!$A:$S,19,FALSE)),"")</f>
        <v xml:space="preserve">Continuar con el seguimiento a las situaciones de convivencia escolar, a partir de las cuales realizar acciones de promocion y prevención y realizar la verificación cuatrimestral de inhabilidades por delitos sexuales en la página de la Policía Nacional de todo el perosnal vinculado con la institución. </v>
      </c>
      <c r="T2369" s="70" t="str">
        <f>IFERROR(IF(VLOOKUP(A2369,[15]PRIORIZADOS!$A:$T,20,FALSE)="","",VLOOKUP(A2369,[15]PRIORIZADOS!$A:$T,20,FALSE)),"")</f>
        <v>Si</v>
      </c>
      <c r="U2369" s="11" t="str">
        <f>IFERROR(IF(VLOOKUP(A2369,[15]PRIORIZADOS!$A:$U,21,FALSE)="","",VLOOKUP(A2369,[15]PRIORIZADOS!$A:$U,21,FALSE)),"")</f>
        <v>Verificar la revisión de antecedesntes mediante requierimiento documental en el segundo semestre del año.</v>
      </c>
    </row>
    <row r="2370" spans="1:21" s="1" customFormat="1" ht="96">
      <c r="A2370" s="69">
        <f>IF([15]PRIORIZADOS!A20="","",[15]PRIORIZADOS!A20)</f>
        <v>2340</v>
      </c>
      <c r="B2370" s="70">
        <f>IFERROR(IF(VLOOKUP(A2370,[15]PRIORIZADOS!$A:$B,2,FALSE)="","",VLOOKUP(A2370,[15]PRIORIZADOS!$A:$B,2,FALSE)),"")</f>
        <v>2</v>
      </c>
      <c r="C2370" s="11" t="str">
        <f>IFERROR(IF(VLOOKUP(A2370,[15]PRIORIZADOS!$A:$C,3,FALSE)="","",VLOOKUP(A2370,[15]PRIORIZADOS!$A:$C,3,FALSE)),"")</f>
        <v>TEUSAQUILLO</v>
      </c>
      <c r="D2370" s="11" t="str">
        <f>IFERROR(IF(VLOOKUP(A2370,[15]PRIORIZADOS!$A:$D,4,FALSE)="","",VLOOKUP(A2370,[15]PRIORIZADOS!$A:$D,4,FALSE)),"")</f>
        <v>PRIVADO</v>
      </c>
      <c r="E2370" s="11" t="str">
        <f>IFERROR(IF(VLOOKUP(A2370,[15]PRIORIZADOS!$A:$E,5,FALSE)="","",VLOOKUP(A2370,[15]PRIORIZADOS!$A:$E,5,FALSE)),"")</f>
        <v>Educación de Jóvenes y Adultos</v>
      </c>
      <c r="F2370" s="11" t="str">
        <f>IFERROR(IF(VLOOKUP(A2370,[15]PRIORIZADOS!$A:$F,6,FALSE)="","",VLOOKUP(A2370,[15]PRIORIZADOS!$A:$F,6,FALSE)),"")</f>
        <v>COLEGIO_FORMARTE</v>
      </c>
      <c r="G2370" s="11" t="str">
        <f>IFERROR(IF(VLOOKUP(A2370,[15]PRIORIZADOS!$A:$G,7,FALSE)="","",VLOOKUP(A2370,[15]PRIORIZADOS!$A:$G,7,FALSE)),"")</f>
        <v>COLEGIO FORMARTE</v>
      </c>
      <c r="H2370" s="11" t="str">
        <f>IFERROR(IF(VLOOKUP(A2370,[15]PRIORIZADOS!$A:$H,8,FALSE)="","",VLOOKUP(A2370,[15]PRIORIZADOS!$A:$H,8,FALSE)),"")</f>
        <v>Autoevaluación Institucional y Pruebas SABER 11</v>
      </c>
      <c r="I2370" s="11" t="str">
        <f>IFERROR(IF(VLOOKUP(A2370,[15]PRIORIZADOS!$A:$I,9,FALSE)="","",VLOOKUP(A2370,[15]PRIORIZADOS!$A:$I,9,FALSE)),"")</f>
        <v>SEGUIMIENTO_Y_SUPERVISIÓN.</v>
      </c>
      <c r="J2370" s="11" t="str">
        <f>IFERROR(IF(VLOOKUP(A2370,[15]PRIORIZADOS!$A:$J,10,FALSE)="","",VLOOKUP(A2370,[15]PRIORIZADOS!$A:$J,10,FALSE)),"")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70" s="49" t="s">
        <v>469</v>
      </c>
      <c r="L2370" s="49" t="s">
        <v>472</v>
      </c>
      <c r="M2370" s="71">
        <f>IFERROR(IF(VLOOKUP(A2370,[15]PRIORIZADOS!$A:$M,13,FALSE)="","",VLOOKUP(A2370,[15]PRIORIZADOS!$A:$M,13,FALSE)),"")</f>
        <v>45744</v>
      </c>
      <c r="N2370" s="71" t="str">
        <f>IFERROR(IF(VLOOKUP(A2370,[15]PRIORIZADOS!$A:$N,14,FALSE)="","",VLOOKUP(A2370,[15]PRIORIZADOS!$A:$N,14,FALSE)),"")</f>
        <v>28/03/2025</v>
      </c>
      <c r="O2370" s="71" t="str">
        <f>IFERROR(IF(VLOOKUP(A2370,[15]PRIORIZADOS!$A:$O,15,FALSE)="","",VLOOKUP(A2370,[15]PRIORIZADOS!$A:$O,15,FALSE)),"")</f>
        <v>28/03/2025</v>
      </c>
      <c r="P2370" s="11" t="str">
        <f>IFERROR(IF(VLOOKUP(A2370,[15]PRIORIZADOS!$A:$P,16,FALSE)="","",VLOOKUP(A2370,[15]PRIORIZADOS!$A:$P,16,FALSE)),"")</f>
        <v>Visitas de evaluación con fines de mejoramiento</v>
      </c>
      <c r="Q2370" s="8" t="s">
        <v>473</v>
      </c>
      <c r="R2370" s="11" t="str">
        <f>IFERROR(IF(VLOOKUP(A2370,[15]PRIORIZADOS!$A:$R,18,FALSE)="","",VLOOKUP(A2370,[15]PRIORIZADOS!$A:$R,18,FALSE)),"")</f>
        <v xml:space="preserve"> Planes Individuales de Ajustes Razonables (PIAR) para la población con discapacidad, trastornos del aprendizaje y talentos excepcionales, contando con 21 documentos. Se evidencia un desarrollo y seguimiento, ya que se indica que estos PIAR son elaborados conjuntamente con docentes y evaluados cada 8 días.</v>
      </c>
      <c r="S2370" s="11" t="str">
        <f>IFERROR(IF(VLOOKUP(A2370,[15]PRIORIZADOS!$A:$S,19,FALSE)="","",VLOOKUP(A2370,[15]PRIORIZADOS!$A:$S,19,FALSE)),"")</f>
        <v xml:space="preserve">Elaborar el documento PIAR, conforme el formato establecido en el decreto 1421 de 2017. </v>
      </c>
      <c r="T2370" s="70" t="str">
        <f>IFERROR(IF(VLOOKUP(A2370,[15]PRIORIZADOS!$A:$T,20,FALSE)="","",VLOOKUP(A2370,[15]PRIORIZADOS!$A:$T,20,FALSE)),"")</f>
        <v>Si</v>
      </c>
      <c r="U2370" s="11" t="str">
        <f>IFERROR(IF(VLOOKUP(A2370,[15]PRIORIZADOS!$A:$U,21,FALSE)="","",VLOOKUP(A2370,[15]PRIORIZADOS!$A:$U,21,FALSE)),"")</f>
        <v>Verificar para la vigencia 2026 que los PIAR se documente en el formato del MEN.</v>
      </c>
    </row>
    <row r="2371" spans="1:21" s="1" customFormat="1" ht="130.5">
      <c r="A2371" s="69">
        <f>IF([15]PRIORIZADOS!A21="","",[15]PRIORIZADOS!A21)</f>
        <v>2341</v>
      </c>
      <c r="B2371" s="70">
        <f>IFERROR(IF(VLOOKUP(A2371,[15]PRIORIZADOS!$A:$B,2,FALSE)="","",VLOOKUP(A2371,[15]PRIORIZADOS!$A:$B,2,FALSE)),"")</f>
        <v>2</v>
      </c>
      <c r="C2371" s="11" t="str">
        <f>IFERROR(IF(VLOOKUP(A2371,[15]PRIORIZADOS!$A:$C,3,FALSE)="","",VLOOKUP(A2371,[15]PRIORIZADOS!$A:$C,3,FALSE)),"")</f>
        <v>TEUSAQUILLO</v>
      </c>
      <c r="D2371" s="11" t="str">
        <f>IFERROR(IF(VLOOKUP(A2371,[15]PRIORIZADOS!$A:$D,4,FALSE)="","",VLOOKUP(A2371,[15]PRIORIZADOS!$A:$D,4,FALSE)),"")</f>
        <v>PRIVADO</v>
      </c>
      <c r="E2371" s="11" t="str">
        <f>IFERROR(IF(VLOOKUP(A2371,[15]PRIORIZADOS!$A:$E,5,FALSE)="","",VLOOKUP(A2371,[15]PRIORIZADOS!$A:$E,5,FALSE)),"")</f>
        <v>Educación de Jóvenes y Adultos</v>
      </c>
      <c r="F2371" s="11" t="str">
        <f>IFERROR(IF(VLOOKUP(A2371,[15]PRIORIZADOS!$A:$F,6,FALSE)="","",VLOOKUP(A2371,[15]PRIORIZADOS!$A:$F,6,FALSE)),"")</f>
        <v>COLEGIO_FORMARTE</v>
      </c>
      <c r="G2371" s="11" t="str">
        <f>IFERROR(IF(VLOOKUP(A2371,[15]PRIORIZADOS!$A:$G,7,FALSE)="","",VLOOKUP(A2371,[15]PRIORIZADOS!$A:$G,7,FALSE)),"")</f>
        <v>COLEGIO FORMARTE</v>
      </c>
      <c r="H2371" s="11" t="str">
        <f>IFERROR(IF(VLOOKUP(A2371,[15]PRIORIZADOS!$A:$H,8,FALSE)="","",VLOOKUP(A2371,[15]PRIORIZADOS!$A:$H,8,FALSE)),"")</f>
        <v>Autoevaluación Institucional y Pruebas SABER 11</v>
      </c>
      <c r="I2371" s="11" t="str">
        <f>IFERROR(IF(VLOOKUP(A2371,[15]PRIORIZADOS!$A:$I,9,FALSE)="","",VLOOKUP(A2371,[15]PRIORIZADOS!$A:$I,9,FALSE)),"")</f>
        <v>EVALUACIÓN_CON_FINES_DE_MEJORAMIENTO.</v>
      </c>
      <c r="J2371" s="11" t="str">
        <f>IFERROR(IF(VLOOKUP(A2371,[15]PRIORIZADOS!$A:$J,10,FALSE)="","",VLOOKUP(A2371,[15]PRIORIZADOS!$A:$J,10,FALSE)),"")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71" s="49" t="s">
        <v>469</v>
      </c>
      <c r="L2371" s="49" t="s">
        <v>472</v>
      </c>
      <c r="M2371" s="71">
        <f>IFERROR(IF(VLOOKUP(A2371,[15]PRIORIZADOS!$A:$M,13,FALSE)="","",VLOOKUP(A2371,[15]PRIORIZADOS!$A:$M,13,FALSE)),"")</f>
        <v>45744</v>
      </c>
      <c r="N2371" s="71" t="str">
        <f>IFERROR(IF(VLOOKUP(A2371,[15]PRIORIZADOS!$A:$N,14,FALSE)="","",VLOOKUP(A2371,[15]PRIORIZADOS!$A:$N,14,FALSE)),"")</f>
        <v>28/03/2025</v>
      </c>
      <c r="O2371" s="71" t="str">
        <f>IFERROR(IF(VLOOKUP(A2371,[15]PRIORIZADOS!$A:$O,15,FALSE)="","",VLOOKUP(A2371,[15]PRIORIZADOS!$A:$O,15,FALSE)),"")</f>
        <v>28/03/2025</v>
      </c>
      <c r="P2371" s="11" t="str">
        <f>IFERROR(IF(VLOOKUP(A2371,[15]PRIORIZADOS!$A:$P,16,FALSE)="","",VLOOKUP(A2371,[15]PRIORIZADOS!$A:$P,16,FALSE)),"")</f>
        <v>Visitas de evaluación con fines de mejoramiento</v>
      </c>
      <c r="Q2371" s="7" t="s">
        <v>473</v>
      </c>
      <c r="R2371" s="11" t="str">
        <f>IFERROR(IF(VLOOKUP(A2371,[15]PRIORIZADOS!$A:$R,18,FALSE)="","",VLOOKUP(A2371,[15]PRIORIZADOS!$A:$R,18,FALSE)),"")</f>
        <v xml:space="preserve"> El Manual de Convivencia fue construido y adoptado de forma participativa y se actualiza anualmente mediante el Consejo Directivo. Se evidencia que contiene elementos de ley y enfoques como el respeto, la diversidad y el enfoque restaurativo (respaldado por el Decálogo de Estudiantes), y garantiza el debido proceso para sanciones. Además, se menciona que la propuesta se socializa con la comunidad educativa. </v>
      </c>
      <c r="S2371" s="11" t="str">
        <f>IFERROR(IF(VLOOKUP(A2371,[15]PRIORIZADOS!$A:$S,19,FALSE)="","",VLOOKUP(A2371,[15]PRIORIZADOS!$A:$S,19,FALSE)),"")</f>
        <v xml:space="preserve">Continuar con la  actualización anual  del documento, conforme la realidad institucional, las diferentes situaciones de convivencia que se presentan en el marco del desarrollo de las dinámicas escolares y la participación de la comunidad educativa. </v>
      </c>
      <c r="T2371" s="70" t="str">
        <f>IFERROR(IF(VLOOKUP(A2371,[15]PRIORIZADOS!$A:$T,20,FALSE)="","",VLOOKUP(A2371,[15]PRIORIZADOS!$A:$T,20,FALSE)),"")</f>
        <v>No</v>
      </c>
      <c r="U2371" s="11" t="str">
        <f>IFERROR(IF(VLOOKUP(A2371,[15]PRIORIZADOS!$A:$U,21,FALSE)="","",VLOOKUP(A2371,[15]PRIORIZADOS!$A:$U,21,FALSE)),"")</f>
        <v>Verificar el proceso de actualización del manual de convivencia para la vigencia 2026</v>
      </c>
    </row>
    <row r="2372" spans="1:21" s="1" customFormat="1" ht="72">
      <c r="A2372" s="69">
        <f>IF([15]PRIORIZADOS!A22="","",[15]PRIORIZADOS!A22)</f>
        <v>2342</v>
      </c>
      <c r="B2372" s="70">
        <f>IFERROR(IF(VLOOKUP(A2372,[15]PRIORIZADOS!$A:$B,2,FALSE)="","",VLOOKUP(A2372,[15]PRIORIZADOS!$A:$B,2,FALSE)),"")</f>
        <v>2</v>
      </c>
      <c r="C2372" s="11" t="str">
        <f>IFERROR(IF(VLOOKUP(A2372,[15]PRIORIZADOS!$A:$C,3,FALSE)="","",VLOOKUP(A2372,[15]PRIORIZADOS!$A:$C,3,FALSE)),"")</f>
        <v>TEUSAQUILLO</v>
      </c>
      <c r="D2372" s="11" t="str">
        <f>IFERROR(IF(VLOOKUP(A2372,[15]PRIORIZADOS!$A:$D,4,FALSE)="","",VLOOKUP(A2372,[15]PRIORIZADOS!$A:$D,4,FALSE)),"")</f>
        <v>PRIVADO</v>
      </c>
      <c r="E2372" s="11" t="str">
        <f>IFERROR(IF(VLOOKUP(A2372,[15]PRIORIZADOS!$A:$E,5,FALSE)="","",VLOOKUP(A2372,[15]PRIORIZADOS!$A:$E,5,FALSE)),"")</f>
        <v>Educación de Jóvenes y Adultos</v>
      </c>
      <c r="F2372" s="11" t="str">
        <f>IFERROR(IF(VLOOKUP(A2372,[15]PRIORIZADOS!$A:$F,6,FALSE)="","",VLOOKUP(A2372,[15]PRIORIZADOS!$A:$F,6,FALSE)),"")</f>
        <v>COLEGIO_FORMARTE</v>
      </c>
      <c r="G2372" s="11" t="str">
        <f>IFERROR(IF(VLOOKUP(A2372,[15]PRIORIZADOS!$A:$G,7,FALSE)="","",VLOOKUP(A2372,[15]PRIORIZADOS!$A:$G,7,FALSE)),"")</f>
        <v>COLEGIO FORMARTE</v>
      </c>
      <c r="H2372" s="11" t="str">
        <f>IFERROR(IF(VLOOKUP(A2372,[15]PRIORIZADOS!$A:$H,8,FALSE)="","",VLOOKUP(A2372,[15]PRIORIZADOS!$A:$H,8,FALSE)),"")</f>
        <v>Autoevaluación Institucional y Pruebas SABER 11</v>
      </c>
      <c r="I2372" s="11" t="str">
        <f>IFERROR(IF(VLOOKUP(A2372,[15]PRIORIZADOS!$A:$I,9,FALSE)="","",VLOOKUP(A2372,[15]PRIORIZADOS!$A:$I,9,FALSE)),"")</f>
        <v>EVALUACIÓN_CON_FINES_DE_MEJORAMIENTO.</v>
      </c>
      <c r="J2372" s="11" t="str">
        <f>IFERROR(IF(VLOOKUP(A2372,[15]PRIORIZADOS!$A:$J,10,FALSE)="","",VLOOKUP(A2372,[15]PRIORIZADOS!$A:$J,10,FALSE)),"")</f>
        <v>Revisar la actualización, socialización e implementación del Sistema Institucional de Evaluación de Estudiantes - SIEE, en articulación con la actualización del PEI y la normatividad vigente.</v>
      </c>
      <c r="K2372" s="49" t="s">
        <v>469</v>
      </c>
      <c r="L2372" s="49" t="s">
        <v>472</v>
      </c>
      <c r="M2372" s="71">
        <f>IFERROR(IF(VLOOKUP(A2372,[15]PRIORIZADOS!$A:$M,13,FALSE)="","",VLOOKUP(A2372,[15]PRIORIZADOS!$A:$M,13,FALSE)),"")</f>
        <v>45744</v>
      </c>
      <c r="N2372" s="71" t="str">
        <f>IFERROR(IF(VLOOKUP(A2372,[15]PRIORIZADOS!$A:$N,14,FALSE)="","",VLOOKUP(A2372,[15]PRIORIZADOS!$A:$N,14,FALSE)),"")</f>
        <v>28/03/2025</v>
      </c>
      <c r="O2372" s="71" t="str">
        <f>IFERROR(IF(VLOOKUP(A2372,[15]PRIORIZADOS!$A:$O,15,FALSE)="","",VLOOKUP(A2372,[15]PRIORIZADOS!$A:$O,15,FALSE)),"")</f>
        <v>28/03/2025</v>
      </c>
      <c r="P2372" s="11" t="str">
        <f>IFERROR(IF(VLOOKUP(A2372,[15]PRIORIZADOS!$A:$P,16,FALSE)="","",VLOOKUP(A2372,[15]PRIORIZADOS!$A:$P,16,FALSE)),"")</f>
        <v>Visitas de evaluación con fines de mejoramiento</v>
      </c>
      <c r="Q2372" s="7" t="s">
        <v>473</v>
      </c>
      <c r="R2372" s="11" t="str">
        <f>IFERROR(IF(VLOOKUP(A2372,[15]PRIORIZADOS!$A:$R,18,FALSE)="","",VLOOKUP(A2372,[15]PRIORIZADOS!$A:$R,18,FALSE)),"")</f>
        <v xml:space="preserve">El SIEE fue construido participativamente, semestralmente se revisa con el equipo docente y se articula con la planeación curricular. se evidencia su  implementación en coherencia con el PEI y la normatividad vigente. </v>
      </c>
      <c r="S2372" s="11" t="str">
        <f>IFERROR(IF(VLOOKUP(A2372,[15]PRIORIZADOS!$A:$S,19,FALSE)="","",VLOOKUP(A2372,[15]PRIORIZADOS!$A:$S,19,FALSE)),"")</f>
        <v xml:space="preserve">Continuar con la actualización del documentos </v>
      </c>
      <c r="T2372" s="70" t="str">
        <f>IFERROR(IF(VLOOKUP(A2372,[15]PRIORIZADOS!$A:$T,20,FALSE)="","",VLOOKUP(A2372,[15]PRIORIZADOS!$A:$T,20,FALSE)),"")</f>
        <v>No</v>
      </c>
      <c r="U2372" s="11" t="str">
        <f>IFERROR(IF(VLOOKUP(A2372,[15]PRIORIZADOS!$A:$U,21,FALSE)="","",VLOOKUP(A2372,[15]PRIORIZADOS!$A:$U,21,FALSE)),"")</f>
        <v>Verificar su actualizaión para la vigencia 2026 en caso de requerise.</v>
      </c>
    </row>
    <row r="2373" spans="1:21" s="1" customFormat="1" ht="60">
      <c r="A2373" s="69">
        <f>IF([15]PRIORIZADOS!A23="","",[15]PRIORIZADOS!A23)</f>
        <v>2343</v>
      </c>
      <c r="B2373" s="70">
        <f>IFERROR(IF(VLOOKUP(A2373,[15]PRIORIZADOS!$A:$B,2,FALSE)="","",VLOOKUP(A2373,[15]PRIORIZADOS!$A:$B,2,FALSE)),"")</f>
        <v>2</v>
      </c>
      <c r="C2373" s="11" t="str">
        <f>IFERROR(IF(VLOOKUP(A2373,[15]PRIORIZADOS!$A:$C,3,FALSE)="","",VLOOKUP(A2373,[15]PRIORIZADOS!$A:$C,3,FALSE)),"")</f>
        <v>TEUSAQUILLO</v>
      </c>
      <c r="D2373" s="11" t="str">
        <f>IFERROR(IF(VLOOKUP(A2373,[15]PRIORIZADOS!$A:$D,4,FALSE)="","",VLOOKUP(A2373,[15]PRIORIZADOS!$A:$D,4,FALSE)),"")</f>
        <v>PRIVADO</v>
      </c>
      <c r="E2373" s="11" t="str">
        <f>IFERROR(IF(VLOOKUP(A2373,[15]PRIORIZADOS!$A:$E,5,FALSE)="","",VLOOKUP(A2373,[15]PRIORIZADOS!$A:$E,5,FALSE)),"")</f>
        <v>Educación de Jóvenes y Adultos</v>
      </c>
      <c r="F2373" s="11" t="str">
        <f>IFERROR(IF(VLOOKUP(A2373,[15]PRIORIZADOS!$A:$F,6,FALSE)="","",VLOOKUP(A2373,[15]PRIORIZADOS!$A:$F,6,FALSE)),"")</f>
        <v>COLEGIO_FORMARTE</v>
      </c>
      <c r="G2373" s="11" t="str">
        <f>IFERROR(IF(VLOOKUP(A2373,[15]PRIORIZADOS!$A:$G,7,FALSE)="","",VLOOKUP(A2373,[15]PRIORIZADOS!$A:$G,7,FALSE)),"")</f>
        <v>COLEGIO FORMARTE</v>
      </c>
      <c r="H2373" s="11" t="str">
        <f>IFERROR(IF(VLOOKUP(A2373,[15]PRIORIZADOS!$A:$H,8,FALSE)="","",VLOOKUP(A2373,[15]PRIORIZADOS!$A:$H,8,FALSE)),"")</f>
        <v>Autoevaluación Institucional y Pruebas SABER 11</v>
      </c>
      <c r="I2373" s="11" t="str">
        <f>IFERROR(IF(VLOOKUP(A2373,[15]PRIORIZADOS!$A:$I,9,FALSE)="","",VLOOKUP(A2373,[15]PRIORIZADOS!$A:$I,9,FALSE)),"")</f>
        <v>EVALUACIÓN_CON_FINES_DE_MEJORAMIENTO.</v>
      </c>
      <c r="J2373" s="11" t="str">
        <f>IFERROR(IF(VLOOKUP(A2373,[15]PRIORIZADOS!$A:$J,10,FALSE)="","",VLOOKUP(A2373,[15]PRIORIZADOS!$A:$J,10,FALSE)),"")</f>
        <v>Revisar el calendario escolar, jornada escolar, la intensidad horaria mínima anual en cada nivel y las modificaciones que se realicen al mismo, de acuerdo con lo previsto en la normatividad vigente.</v>
      </c>
      <c r="K2373" s="49" t="s">
        <v>469</v>
      </c>
      <c r="L2373" s="49" t="s">
        <v>472</v>
      </c>
      <c r="M2373" s="71">
        <f>IFERROR(IF(VLOOKUP(A2373,[15]PRIORIZADOS!$A:$M,13,FALSE)="","",VLOOKUP(A2373,[15]PRIORIZADOS!$A:$M,13,FALSE)),"")</f>
        <v>45744</v>
      </c>
      <c r="N2373" s="71" t="str">
        <f>IFERROR(IF(VLOOKUP(A2373,[15]PRIORIZADOS!$A:$N,14,FALSE)="","",VLOOKUP(A2373,[15]PRIORIZADOS!$A:$N,14,FALSE)),"")</f>
        <v>28/03/2025</v>
      </c>
      <c r="O2373" s="71" t="str">
        <f>IFERROR(IF(VLOOKUP(A2373,[15]PRIORIZADOS!$A:$O,15,FALSE)="","",VLOOKUP(A2373,[15]PRIORIZADOS!$A:$O,15,FALSE)),"")</f>
        <v>28/03/2025</v>
      </c>
      <c r="P2373" s="11" t="str">
        <f>IFERROR(IF(VLOOKUP(A2373,[15]PRIORIZADOS!$A:$P,16,FALSE)="","",VLOOKUP(A2373,[15]PRIORIZADOS!$A:$P,16,FALSE)),"")</f>
        <v>Visitas de evaluación con fines de mejoramiento</v>
      </c>
      <c r="Q2373" s="53" t="s">
        <v>473</v>
      </c>
      <c r="R2373" s="11" t="str">
        <f>IFERROR(IF(VLOOKUP(A2373,[15]PRIORIZADOS!$A:$R,18,FALSE)="","",VLOOKUP(A2373,[15]PRIORIZADOS!$A:$R,18,FALSE)),"")</f>
        <v>El calendario y la jornada escolar cumplen con la normatividad vigente, asegurando la intensidad horaria mínima anual en cada nivel. Se evidencia documentación en fisico y en digital.</v>
      </c>
      <c r="S2373" s="11" t="str">
        <f>IFERROR(IF(VLOOKUP(A2373,[15]PRIORIZADOS!$A:$S,19,FALSE)="","",VLOOKUP(A2373,[15]PRIORIZADOS!$A:$S,19,FALSE)),"")</f>
        <v>Continuar con su implementación</v>
      </c>
      <c r="T2373" s="70" t="str">
        <f>IFERROR(IF(VLOOKUP(A2373,[15]PRIORIZADOS!$A:$T,20,FALSE)="","",VLOOKUP(A2373,[15]PRIORIZADOS!$A:$T,20,FALSE)),"")</f>
        <v>No</v>
      </c>
      <c r="U2373" s="11" t="str">
        <f>IFERROR(IF(VLOOKUP(A2373,[15]PRIORIZADOS!$A:$U,21,FALSE)="","",VLOOKUP(A2373,[15]PRIORIZADOS!$A:$U,21,FALSE)),"")</f>
        <v>Verificar su construcción para la vigencia 2026 en caso de requerise.</v>
      </c>
    </row>
    <row r="2374" spans="1:21" s="1" customFormat="1" ht="142.5">
      <c r="A2374" s="69">
        <f>IF([15]PRIORIZADOS!A24="","",[15]PRIORIZADOS!A24)</f>
        <v>2344</v>
      </c>
      <c r="B2374" s="70">
        <f>IFERROR(IF(VLOOKUP(A2374,[15]PRIORIZADOS!$A:$B,2,FALSE)="","",VLOOKUP(A2374,[15]PRIORIZADOS!$A:$B,2,FALSE)),"")</f>
        <v>2</v>
      </c>
      <c r="C2374" s="11" t="str">
        <f>IFERROR(IF(VLOOKUP(A2374,[15]PRIORIZADOS!$A:$C,3,FALSE)="","",VLOOKUP(A2374,[15]PRIORIZADOS!$A:$C,3,FALSE)),"")</f>
        <v>TEUSAQUILLO</v>
      </c>
      <c r="D2374" s="11" t="str">
        <f>IFERROR(IF(VLOOKUP(A2374,[15]PRIORIZADOS!$A:$D,4,FALSE)="","",VLOOKUP(A2374,[15]PRIORIZADOS!$A:$D,4,FALSE)),"")</f>
        <v>PRIVADO</v>
      </c>
      <c r="E2374" s="11" t="str">
        <f>IFERROR(IF(VLOOKUP(A2374,[15]PRIORIZADOS!$A:$E,5,FALSE)="","",VLOOKUP(A2374,[15]PRIORIZADOS!$A:$E,5,FALSE)),"")</f>
        <v>Educación de Jóvenes y Adultos</v>
      </c>
      <c r="F2374" s="11" t="str">
        <f>IFERROR(IF(VLOOKUP(A2374,[15]PRIORIZADOS!$A:$F,6,FALSE)="","",VLOOKUP(A2374,[15]PRIORIZADOS!$A:$F,6,FALSE)),"")</f>
        <v>COLEGIO_FORMARTE</v>
      </c>
      <c r="G2374" s="11" t="str">
        <f>IFERROR(IF(VLOOKUP(A2374,[15]PRIORIZADOS!$A:$G,7,FALSE)="","",VLOOKUP(A2374,[15]PRIORIZADOS!$A:$G,7,FALSE)),"")</f>
        <v>COLEGIO FORMARTE</v>
      </c>
      <c r="H2374" s="11" t="str">
        <f>IFERROR(IF(VLOOKUP(A2374,[15]PRIORIZADOS!$A:$H,8,FALSE)="","",VLOOKUP(A2374,[15]PRIORIZADOS!$A:$H,8,FALSE)),"")</f>
        <v>Autoevaluación Institucional y Pruebas SABER 11</v>
      </c>
      <c r="I2374" s="11" t="str">
        <f>IFERROR(IF(VLOOKUP(A2374,[15]PRIORIZADOS!$A:$I,9,FALSE)="","",VLOOKUP(A2374,[15]PRIORIZADOS!$A:$I,9,FALSE)),"")</f>
        <v>EVALUACIÓN_CON_FINES_DE_MEJORAMIENTO.</v>
      </c>
      <c r="J2374" s="11" t="str">
        <f>IFERROR(IF(VLOOKUP(A2374,[15]PRIORIZADOS!$A:$J,10,FALSE)="","",VLOOKUP(A2374,[15]PRIORIZADOS!$A:$J,10,FALSE)),"")</f>
        <v>Verificar el funcionamiento del Gobierno Escolar e instancias de participación con base en la información sobre conformación reportada por la institución educativa.</v>
      </c>
      <c r="K2374" s="49" t="s">
        <v>469</v>
      </c>
      <c r="L2374" s="49" t="s">
        <v>472</v>
      </c>
      <c r="M2374" s="71">
        <f>IFERROR(IF(VLOOKUP(A2374,[15]PRIORIZADOS!$A:$M,13,FALSE)="","",VLOOKUP(A2374,[15]PRIORIZADOS!$A:$M,13,FALSE)),"")</f>
        <v>45744</v>
      </c>
      <c r="N2374" s="71" t="str">
        <f>IFERROR(IF(VLOOKUP(A2374,[15]PRIORIZADOS!$A:$N,14,FALSE)="","",VLOOKUP(A2374,[15]PRIORIZADOS!$A:$N,14,FALSE)),"")</f>
        <v>28/03/2025</v>
      </c>
      <c r="O2374" s="71" t="str">
        <f>IFERROR(IF(VLOOKUP(A2374,[15]PRIORIZADOS!$A:$O,15,FALSE)="","",VLOOKUP(A2374,[15]PRIORIZADOS!$A:$O,15,FALSE)),"")</f>
        <v>28/03/2025</v>
      </c>
      <c r="P2374" s="11" t="str">
        <f>IFERROR(IF(VLOOKUP(A2374,[15]PRIORIZADOS!$A:$P,16,FALSE)="","",VLOOKUP(A2374,[15]PRIORIZADOS!$A:$P,16,FALSE)),"")</f>
        <v>Visitas de evaluación con fines de mejoramiento</v>
      </c>
      <c r="Q2374" s="7" t="s">
        <v>473</v>
      </c>
      <c r="R2374" s="11" t="str">
        <f>IFERROR(IF(VLOOKUP(A2374,[15]PRIORIZADOS!$A:$R,18,FALSE)="","",VLOOKUP(A2374,[15]PRIORIZADOS!$A:$R,18,FALSE)),"")</f>
        <v>e verifico  que el Gobierno Escolar y las instancias de participación están conformados y sesionan de acuerdo con sus funciones, planes de acción y reglamentos internos,  Se verificó la conformación del Consejo Directivo, Consejo Académico, Consejo Estudiantil, Consejo de Padres, Asopadres, Escuela para Padres, Personero(a) Estudiantil, Contraloría Estudiantil y Cabildantes. Además, se evidencia la carga de actas en el SAE</v>
      </c>
      <c r="S2374" s="11" t="str">
        <f>IFERROR(IF(VLOOKUP(A2374,[15]PRIORIZADOS!$A:$S,19,FALSE)="","",VLOOKUP(A2374,[15]PRIORIZADOS!$A:$S,19,FALSE)),"")</f>
        <v xml:space="preserve">Continuar con su operatividad conforme lo establece la norma. </v>
      </c>
      <c r="T2374" s="70" t="str">
        <f>IFERROR(IF(VLOOKUP(A2374,[15]PRIORIZADOS!$A:$T,20,FALSE)="","",VLOOKUP(A2374,[15]PRIORIZADOS!$A:$T,20,FALSE)),"")</f>
        <v>No</v>
      </c>
      <c r="U2374" s="11" t="str">
        <f>IFERROR(IF(VLOOKUP(A2374,[15]PRIORIZADOS!$A:$U,21,FALSE)="","",VLOOKUP(A2374,[15]PRIORIZADOS!$A:$U,21,FALSE)),"")</f>
        <v>Verificar la conformación del Gobierno Escolar e instancias de participación para la vigencia 2026.</v>
      </c>
    </row>
    <row r="2375" spans="1:21" s="1" customFormat="1" ht="118.5">
      <c r="A2375" s="69">
        <f>IF([15]PRIORIZADOS!A25="","",[15]PRIORIZADOS!A25)</f>
        <v>2345</v>
      </c>
      <c r="B2375" s="70">
        <f>IFERROR(IF(VLOOKUP(A2375,[15]PRIORIZADOS!$A:$B,2,FALSE)="","",VLOOKUP(A2375,[15]PRIORIZADOS!$A:$B,2,FALSE)),"")</f>
        <v>2</v>
      </c>
      <c r="C2375" s="11" t="str">
        <f>IFERROR(IF(VLOOKUP(A2375,[15]PRIORIZADOS!$A:$C,3,FALSE)="","",VLOOKUP(A2375,[15]PRIORIZADOS!$A:$C,3,FALSE)),"")</f>
        <v>TEUSAQUILLO</v>
      </c>
      <c r="D2375" s="11" t="str">
        <f>IFERROR(IF(VLOOKUP(A2375,[15]PRIORIZADOS!$A:$D,4,FALSE)="","",VLOOKUP(A2375,[15]PRIORIZADOS!$A:$D,4,FALSE)),"")</f>
        <v>PRIVADO</v>
      </c>
      <c r="E2375" s="11" t="str">
        <f>IFERROR(IF(VLOOKUP(A2375,[15]PRIORIZADOS!$A:$E,5,FALSE)="","",VLOOKUP(A2375,[15]PRIORIZADOS!$A:$E,5,FALSE)),"")</f>
        <v>Educación de Jóvenes y Adultos</v>
      </c>
      <c r="F2375" s="11" t="str">
        <f>IFERROR(IF(VLOOKUP(A2375,[15]PRIORIZADOS!$A:$F,6,FALSE)="","",VLOOKUP(A2375,[15]PRIORIZADOS!$A:$F,6,FALSE)),"")</f>
        <v>COLEGIO_FORMARTE</v>
      </c>
      <c r="G2375" s="11" t="str">
        <f>IFERROR(IF(VLOOKUP(A2375,[15]PRIORIZADOS!$A:$G,7,FALSE)="","",VLOOKUP(A2375,[15]PRIORIZADOS!$A:$G,7,FALSE)),"")</f>
        <v>COLEGIO FORMARTE</v>
      </c>
      <c r="H2375" s="11" t="str">
        <f>IFERROR(IF(VLOOKUP(A2375,[15]PRIORIZADOS!$A:$H,8,FALSE)="","",VLOOKUP(A2375,[15]PRIORIZADOS!$A:$H,8,FALSE)),"")</f>
        <v>Autoevaluación Institucional y Pruebas SABER 11</v>
      </c>
      <c r="I2375" s="11" t="str">
        <f>IFERROR(IF(VLOOKUP(A2375,[15]PRIORIZADOS!$A:$I,9,FALSE)="","",VLOOKUP(A2375,[15]PRIORIZADOS!$A:$I,9,FALSE)),"")</f>
        <v>EVALUACIÓN_CON_FINES_DE_MEJORAMIENTO.</v>
      </c>
      <c r="J2375" s="11" t="str">
        <f>IFERROR(IF(VLOOKUP(A2375,[15]PRIORIZADOS!$A:$J,10,FALSE)="","",VLOOKUP(A2375,[15]PRIORIZADOS!$A:$J,10,FALSE)),"")</f>
        <v>Verificar las condiciones en cuanto a: la estructura administrativa, condiciones de la planta física y medios educativos adecuados.</v>
      </c>
      <c r="K2375" s="49" t="s">
        <v>469</v>
      </c>
      <c r="L2375" s="49" t="s">
        <v>472</v>
      </c>
      <c r="M2375" s="71">
        <f>IFERROR(IF(VLOOKUP(A2375,[15]PRIORIZADOS!$A:$M,13,FALSE)="","",VLOOKUP(A2375,[15]PRIORIZADOS!$A:$M,13,FALSE)),"")</f>
        <v>45744</v>
      </c>
      <c r="N2375" s="71" t="str">
        <f>IFERROR(IF(VLOOKUP(A2375,[15]PRIORIZADOS!$A:$N,14,FALSE)="","",VLOOKUP(A2375,[15]PRIORIZADOS!$A:$N,14,FALSE)),"")</f>
        <v>28/03/2025</v>
      </c>
      <c r="O2375" s="71" t="str">
        <f>IFERROR(IF(VLOOKUP(A2375,[15]PRIORIZADOS!$A:$O,15,FALSE)="","",VLOOKUP(A2375,[15]PRIORIZADOS!$A:$O,15,FALSE)),"")</f>
        <v>28/03/2025</v>
      </c>
      <c r="P2375" s="11" t="str">
        <f>IFERROR(IF(VLOOKUP(A2375,[15]PRIORIZADOS!$A:$P,16,FALSE)="","",VLOOKUP(A2375,[15]PRIORIZADOS!$A:$P,16,FALSE)),"")</f>
        <v>Visitas de evaluación con fines de mejoramiento</v>
      </c>
      <c r="Q2375" s="53" t="s">
        <v>473</v>
      </c>
      <c r="R2375" s="11" t="str">
        <f>IFERROR(IF(VLOOKUP(A2375,[15]PRIORIZADOS!$A:$R,18,FALSE)="","",VLOOKUP(A2375,[15]PRIORIZADOS!$A:$R,18,FALSE)),"")</f>
        <v>La institución cuenta con una estructura administrativa organizada, evidenciada en la operatividad del Consejo Directivo y Consejo Académico, quienes realizan reuniones periódicas y seguimiento a la gestión institucional. En cuanto a los medios educativos, se dispone de espacios de aprendizaje equipados y en buen estado, considerando las necesidades de la población estudiantil​</v>
      </c>
      <c r="S2375" s="11" t="str">
        <f>IFERROR(IF(VLOOKUP(A2375,[15]PRIORIZADOS!$A:$S,19,FALSE)="","",VLOOKUP(A2375,[15]PRIORIZADOS!$A:$S,19,FALSE)),"")</f>
        <v xml:space="preserve">Mantener las condiciones de la planta fisica que permitan su adecuado funcionamiento y desarrollo de las actividades académicas. </v>
      </c>
      <c r="T2375" s="70" t="str">
        <f>IFERROR(IF(VLOOKUP(A2375,[15]PRIORIZADOS!$A:$T,20,FALSE)="","",VLOOKUP(A2375,[15]PRIORIZADOS!$A:$T,20,FALSE)),"")</f>
        <v>No</v>
      </c>
      <c r="U2375" s="11" t="str">
        <f>IFERROR(IF(VLOOKUP(A2375,[15]PRIORIZADOS!$A:$U,21,FALSE)="","",VLOOKUP(A2375,[15]PRIORIZADOS!$A:$U,21,FALSE)),"")</f>
        <v>Se hará nueva verificación de las condiciones de la planta física y estructura administrativa en caso de requerirse o si se presenta queja.</v>
      </c>
    </row>
    <row r="2376" spans="1:21" s="1" customFormat="1" ht="96">
      <c r="A2376" s="69">
        <f>IF([15]PRIORIZADOS!A26="","",[15]PRIORIZADOS!A26)</f>
        <v>2346</v>
      </c>
      <c r="B2376" s="70">
        <f>IFERROR(IF(VLOOKUP(A2376,[15]PRIORIZADOS!$A:$B,2,FALSE)="","",VLOOKUP(A2376,[15]PRIORIZADOS!$A:$B,2,FALSE)),"")</f>
        <v>3</v>
      </c>
      <c r="C2376" s="11" t="str">
        <f>IFERROR(IF(VLOOKUP(A2376,[15]PRIORIZADOS!$A:$C,3,FALSE)="","",VLOOKUP(A2376,[15]PRIORIZADOS!$A:$C,3,FALSE)),"")</f>
        <v>TEUSAQUILLO</v>
      </c>
      <c r="D2376" s="11" t="str">
        <f>IFERROR(IF(VLOOKUP(A2376,[15]PRIORIZADOS!$A:$D,4,FALSE)="","",VLOOKUP(A2376,[15]PRIORIZADOS!$A:$D,4,FALSE)),"")</f>
        <v>PRIVADO</v>
      </c>
      <c r="E2376" s="11" t="str">
        <f>IFERROR(IF(VLOOKUP(A2376,[15]PRIORIZADOS!$A:$E,5,FALSE)="","",VLOOKUP(A2376,[15]PRIORIZADOS!$A:$E,5,FALSE)),"")</f>
        <v>Educación de Jóvenes y Adultos</v>
      </c>
      <c r="F2376" s="11" t="str">
        <f>IFERROR(IF(VLOOKUP(A2376,[15]PRIORIZADOS!$A:$F,6,FALSE)="","",VLOOKUP(A2376,[15]PRIORIZADOS!$A:$F,6,FALSE)),"")</f>
        <v>COLEGIO_BOSTON</v>
      </c>
      <c r="G2376" s="11" t="str">
        <f>IFERROR(IF(VLOOKUP(A2376,[15]PRIORIZADOS!$A:$G,7,FALSE)="","",VLOOKUP(A2376,[15]PRIORIZADOS!$A:$G,7,FALSE)),"")</f>
        <v>COLEGIO_BOSTON</v>
      </c>
      <c r="H2376" s="11" t="str">
        <f>IFERROR(IF(VLOOKUP(A2376,[15]PRIORIZADOS!$A:$H,8,FALSE)="","",VLOOKUP(A2376,[15]PRIORIZADOS!$A:$H,8,FALSE)),"")</f>
        <v>Autoevaluación Institucional y Pruebas SABER 11</v>
      </c>
      <c r="I2376" s="11" t="str">
        <f>IFERROR(IF(VLOOKUP(A2376,[15]PRIORIZADOS!$A:$I,9,FALSE)="","",VLOOKUP(A2376,[15]PRIORIZADOS!$A:$I,9,FALSE)),"")</f>
        <v>SEGUIMIENTO_Y_SUPERVISIÓN.</v>
      </c>
      <c r="J2376" s="11" t="str">
        <f>IFERROR(IF(VLOOKUP(A2376,[15]PRIORIZADOS!$A:$J,10,FALSE)="","",VLOOKUP(A2376,[15]PRIORIZADOS!$A:$J,10,FALSE)),"")</f>
        <v>Realizar visitas para verificar la información registrada sobre la autoevaluación institucional en el aplicativo EVI, a los establecimientos de educación formal no oficial.</v>
      </c>
      <c r="K2376" s="49" t="s">
        <v>472</v>
      </c>
      <c r="L2376" s="49" t="s">
        <v>474</v>
      </c>
      <c r="M2376" s="71">
        <f>IFERROR(IF(VLOOKUP(A2376,[15]PRIORIZADOS!$A:$M,13,FALSE)="","",VLOOKUP(A2376,[15]PRIORIZADOS!$A:$M,13,FALSE)),"")</f>
        <v>45749</v>
      </c>
      <c r="N2376" s="71">
        <f>IFERROR(IF(VLOOKUP(A2376,[15]PRIORIZADOS!$A:$N,14,FALSE)="","",VLOOKUP(A2376,[15]PRIORIZADOS!$A:$N,14,FALSE)),"")</f>
        <v>45749</v>
      </c>
      <c r="O2376" s="71">
        <f>IFERROR(IF(VLOOKUP(A2376,[15]PRIORIZADOS!$A:$O,15,FALSE)="","",VLOOKUP(A2376,[15]PRIORIZADOS!$A:$O,15,FALSE)),"")</f>
        <v>45749</v>
      </c>
      <c r="P2376" s="11" t="str">
        <f>IFERROR(IF(VLOOKUP(A2376,[15]PRIORIZADOS!$A:$P,16,FALSE)="","",VLOOKUP(A2376,[15]PRIORIZADOS!$A:$P,16,FALSE)),"")</f>
        <v>Visitas de evaluación con fines de mejoramiento</v>
      </c>
      <c r="Q2376" s="7" t="s">
        <v>475</v>
      </c>
      <c r="R2376" s="11" t="str">
        <f>IFERROR(IF(VLOOKUP(A2376,[15]PRIORIZADOS!$A:$R,18,FALSE)="","",VLOOKUP(A2376,[15]PRIORIZADOS!$A:$R,18,FALSE)),"")</f>
        <v>Se realizó visita de verificación a los establecimientos de educación formal no oficial con el propósito de contrastar la información registrada en la autoevaluación institucional dentro del aplicativo EVI</v>
      </c>
      <c r="S2376" s="11" t="str">
        <f>IFERROR(IF(VLOOKUP(A2376,[15]PRIORIZADOS!$A:$S,19,FALSE)="","",VLOOKUP(A2376,[15]PRIORIZADOS!$A:$S,19,FALSE)),"")</f>
        <v>Esta visita permitió validar la coherencia y veracidad de los datos reportados, en el EVI, garantizando que los criterios evaluados reflejen la realidad institucional en aspectos pedagógicos, administrativos y de gestión, conforme a los lineamientos establecidos para la mejora de la calidad educativa.</v>
      </c>
      <c r="T2376" s="70" t="str">
        <f>IFERROR(IF(VLOOKUP(A2376,[15]PRIORIZADOS!$A:$T,20,FALSE)="","",VLOOKUP(A2376,[15]PRIORIZADOS!$A:$T,20,FALSE)),"")</f>
        <v>Si</v>
      </c>
      <c r="U2376" s="11" t="str">
        <f>IFERROR(IF(VLOOKUP(A2376,[15]PRIORIZADOS!$A:$U,21,FALSE)="","",VLOOKUP(A2376,[15]PRIORIZADOS!$A:$U,21,FALSE)),"")</f>
        <v>Plan de mejoramiento</v>
      </c>
    </row>
    <row r="2377" spans="1:21" s="1" customFormat="1" ht="118.5">
      <c r="A2377" s="69">
        <f>IF([15]PRIORIZADOS!A27="","",[15]PRIORIZADOS!A27)</f>
        <v>2347</v>
      </c>
      <c r="B2377" s="70">
        <f>IFERROR(IF(VLOOKUP(A2377,[15]PRIORIZADOS!$A:$B,2,FALSE)="","",VLOOKUP(A2377,[15]PRIORIZADOS!$A:$B,2,FALSE)),"")</f>
        <v>3</v>
      </c>
      <c r="C2377" s="11" t="str">
        <f>IFERROR(IF(VLOOKUP(A2377,[15]PRIORIZADOS!$A:$C,3,FALSE)="","",VLOOKUP(A2377,[15]PRIORIZADOS!$A:$C,3,FALSE)),"")</f>
        <v>TEUSAQUILLO</v>
      </c>
      <c r="D2377" s="11" t="str">
        <f>IFERROR(IF(VLOOKUP(A2377,[15]PRIORIZADOS!$A:$D,4,FALSE)="","",VLOOKUP(A2377,[15]PRIORIZADOS!$A:$D,4,FALSE)),"")</f>
        <v>PRIVADO</v>
      </c>
      <c r="E2377" s="11" t="str">
        <f>IFERROR(IF(VLOOKUP(A2377,[15]PRIORIZADOS!$A:$E,5,FALSE)="","",VLOOKUP(A2377,[15]PRIORIZADOS!$A:$E,5,FALSE)),"")</f>
        <v>Educación de Jóvenes y Adultos</v>
      </c>
      <c r="F2377" s="11" t="str">
        <f>IFERROR(IF(VLOOKUP(A2377,[15]PRIORIZADOS!$A:$F,6,FALSE)="","",VLOOKUP(A2377,[15]PRIORIZADOS!$A:$F,6,FALSE)),"")</f>
        <v>COLEGIO_BOSTON</v>
      </c>
      <c r="G2377" s="11" t="str">
        <f>IFERROR(IF(VLOOKUP(A2377,[15]PRIORIZADOS!$A:$G,7,FALSE)="","",VLOOKUP(A2377,[15]PRIORIZADOS!$A:$G,7,FALSE)),"")</f>
        <v>COLEGIO_BOSTON</v>
      </c>
      <c r="H2377" s="11" t="str">
        <f>IFERROR(IF(VLOOKUP(A2377,[15]PRIORIZADOS!$A:$H,8,FALSE)="","",VLOOKUP(A2377,[15]PRIORIZADOS!$A:$H,8,FALSE)),"")</f>
        <v>Autoevaluación Institucional y Pruebas SABER 11</v>
      </c>
      <c r="I2377" s="11" t="str">
        <f>IFERROR(IF(VLOOKUP(A2377,[15]PRIORIZADOS!$A:$I,9,FALSE)="","",VLOOKUP(A2377,[15]PRIORIZADOS!$A:$I,9,FALSE)),"")</f>
        <v>SEGUIMIENTO_Y_SUPERVISIÓN.</v>
      </c>
      <c r="J2377" s="11" t="str">
        <f>IFERROR(IF(VLOOKUP(A2377,[15]PRIORIZADOS!$A:$J,10,FALSE)="","",VLOOKUP(A2377,[15]PRIORIZADOS!$A:$J,10,FALSE)),"")</f>
        <v>Proponer estrategias en la formulación, verificar su elaboración y realizar seguimiento semestral al desarrollo de  las acciones establecidas en los planes de mejoramiento por pruebas SABER 11 de los establecimientos de educación formal.</v>
      </c>
      <c r="K2377" s="49" t="s">
        <v>472</v>
      </c>
      <c r="L2377" s="49" t="s">
        <v>474</v>
      </c>
      <c r="M2377" s="71">
        <f>IFERROR(IF(VLOOKUP(A2377,[15]PRIORIZADOS!$A:$M,13,FALSE)="","",VLOOKUP(A2377,[15]PRIORIZADOS!$A:$M,13,FALSE)),"")</f>
        <v>45749</v>
      </c>
      <c r="N2377" s="71">
        <f>IFERROR(IF(VLOOKUP(A2377,[15]PRIORIZADOS!$A:$N,14,FALSE)="","",VLOOKUP(A2377,[15]PRIORIZADOS!$A:$N,14,FALSE)),"")</f>
        <v>45749</v>
      </c>
      <c r="O2377" s="71">
        <f>IFERROR(IF(VLOOKUP(A2377,[15]PRIORIZADOS!$A:$O,15,FALSE)="","",VLOOKUP(A2377,[15]PRIORIZADOS!$A:$O,15,FALSE)),"")</f>
        <v>45749</v>
      </c>
      <c r="P2377" s="11" t="str">
        <f>IFERROR(IF(VLOOKUP(A2377,[15]PRIORIZADOS!$A:$P,16,FALSE)="","",VLOOKUP(A2377,[15]PRIORIZADOS!$A:$P,16,FALSE)),"")</f>
        <v>Visitas de evaluación con fines de mejoramiento</v>
      </c>
      <c r="Q2377" s="7" t="s">
        <v>475</v>
      </c>
      <c r="R2377" s="11" t="str">
        <f>IFERROR(IF(VLOOKUP(A2377,[15]PRIORIZADOS!$A:$R,18,FALSE)="","",VLOOKUP(A2377,[15]PRIORIZADOS!$A:$R,18,FALSE)),"")</f>
        <v>Se propone la formulación de estrategias orientadas a fortalecer los planes de mejoramiento derivados de los resultados en las pruebas SABER 11, asegurando su alineación con los factores críticos identificados en la autoevaluación institucional</v>
      </c>
      <c r="S2377" s="11" t="str">
        <f>IFERROR(IF(VLOOKUP(A2377,[15]PRIORIZADOS!$A:$S,19,FALSE)="","",VLOOKUP(A2377,[15]PRIORIZADOS!$A:$S,19,FALSE)),"")</f>
        <v>Se verificará la elaboración de estos planes mediante visitas de seguimiento que permitan evaluar su implementación y efectividad. Finalmente, se llevará a cabo un seguimiento semestral para monitorear el cumplimiento de las acciones establecidas, garantizando la adopción de medidas correctivas y el impacto en la calidad educativa de los establecimientos de educación formal.</v>
      </c>
      <c r="T2377" s="70" t="str">
        <f>IFERROR(IF(VLOOKUP(A2377,[15]PRIORIZADOS!$A:$T,20,FALSE)="","",VLOOKUP(A2377,[15]PRIORIZADOS!$A:$T,20,FALSE)),"")</f>
        <v>No</v>
      </c>
      <c r="U2377" s="11" t="str">
        <f>IFERROR(IF(VLOOKUP(A2377,[15]PRIORIZADOS!$A:$U,21,FALSE)="","",VLOOKUP(A2377,[15]PRIORIZADOS!$A:$U,21,FALSE)),"")</f>
        <v xml:space="preserve">Verificar el cumplimiento de las estrategias propuestas </v>
      </c>
    </row>
    <row r="2378" spans="1:21" s="1" customFormat="1" ht="118.5">
      <c r="A2378" s="69">
        <f>IF([15]PRIORIZADOS!A28="","",[15]PRIORIZADOS!A28)</f>
        <v>2348</v>
      </c>
      <c r="B2378" s="70">
        <f>IFERROR(IF(VLOOKUP(A2378,[15]PRIORIZADOS!$A:$B,2,FALSE)="","",VLOOKUP(A2378,[15]PRIORIZADOS!$A:$B,2,FALSE)),"")</f>
        <v>3</v>
      </c>
      <c r="C2378" s="11" t="str">
        <f>IFERROR(IF(VLOOKUP(A2378,[15]PRIORIZADOS!$A:$C,3,FALSE)="","",VLOOKUP(A2378,[15]PRIORIZADOS!$A:$C,3,FALSE)),"")</f>
        <v>TEUSAQUILLO</v>
      </c>
      <c r="D2378" s="11" t="str">
        <f>IFERROR(IF(VLOOKUP(A2378,[15]PRIORIZADOS!$A:$D,4,FALSE)="","",VLOOKUP(A2378,[15]PRIORIZADOS!$A:$D,4,FALSE)),"")</f>
        <v>PRIVADO</v>
      </c>
      <c r="E2378" s="11" t="str">
        <f>IFERROR(IF(VLOOKUP(A2378,[15]PRIORIZADOS!$A:$E,5,FALSE)="","",VLOOKUP(A2378,[15]PRIORIZADOS!$A:$E,5,FALSE)),"")</f>
        <v>Educación de Jóvenes y Adultos</v>
      </c>
      <c r="F2378" s="11" t="str">
        <f>IFERROR(IF(VLOOKUP(A2378,[15]PRIORIZADOS!$A:$F,6,FALSE)="","",VLOOKUP(A2378,[15]PRIORIZADOS!$A:$F,6,FALSE)),"")</f>
        <v>COLEGIO_BOSTON</v>
      </c>
      <c r="G2378" s="11" t="str">
        <f>IFERROR(IF(VLOOKUP(A2378,[15]PRIORIZADOS!$A:$G,7,FALSE)="","",VLOOKUP(A2378,[15]PRIORIZADOS!$A:$G,7,FALSE)),"")</f>
        <v>COLEGIO_BOSTON</v>
      </c>
      <c r="H2378" s="11" t="str">
        <f>IFERROR(IF(VLOOKUP(A2378,[15]PRIORIZADOS!$A:$H,8,FALSE)="","",VLOOKUP(A2378,[15]PRIORIZADOS!$A:$H,8,FALSE)),"")</f>
        <v>Autoevaluación Institucional y Pruebas SABER 11</v>
      </c>
      <c r="I2378" s="11" t="str">
        <f>IFERROR(IF(VLOOKUP(A2378,[15]PRIORIZADOS!$A:$I,9,FALSE)="","",VLOOKUP(A2378,[15]PRIORIZADOS!$A:$I,9,FALSE)),"")</f>
        <v>SEGUIMIENTO_Y_SUPERVISIÓN.</v>
      </c>
      <c r="J2378" s="11" t="str">
        <f>IFERROR(IF(VLOOKUP(A2378,[15]PRIORIZADOS!$A:$J,10,FALSE)="","",VLOOKUP(A2378,[15]PRIORIZADOS!$A:$J,10,FALSE)),"")</f>
        <v xml:space="preserve">Verificar la implementación por parte de los colegios, de acciones realizadas para la prevención y atención de las situaciones de convivencia en el entorno escolar, según lo establecido en la Directiva 01 de 2022 del MEN. </v>
      </c>
      <c r="K2378" s="49" t="s">
        <v>472</v>
      </c>
      <c r="L2378" s="49" t="s">
        <v>474</v>
      </c>
      <c r="M2378" s="71">
        <f>IFERROR(IF(VLOOKUP(A2378,[15]PRIORIZADOS!$A:$M,13,FALSE)="","",VLOOKUP(A2378,[15]PRIORIZADOS!$A:$M,13,FALSE)),"")</f>
        <v>45749</v>
      </c>
      <c r="N2378" s="71">
        <f>IFERROR(IF(VLOOKUP(A2378,[15]PRIORIZADOS!$A:$N,14,FALSE)="","",VLOOKUP(A2378,[15]PRIORIZADOS!$A:$N,14,FALSE)),"")</f>
        <v>45749</v>
      </c>
      <c r="O2378" s="71">
        <f>IFERROR(IF(VLOOKUP(A2378,[15]PRIORIZADOS!$A:$O,15,FALSE)="","",VLOOKUP(A2378,[15]PRIORIZADOS!$A:$O,15,FALSE)),"")</f>
        <v>45749</v>
      </c>
      <c r="P2378" s="11" t="str">
        <f>IFERROR(IF(VLOOKUP(A2378,[15]PRIORIZADOS!$A:$P,16,FALSE)="","",VLOOKUP(A2378,[15]PRIORIZADOS!$A:$P,16,FALSE)),"")</f>
        <v>Visitas de evaluación con fines de mejoramiento</v>
      </c>
      <c r="Q2378" s="7" t="s">
        <v>475</v>
      </c>
      <c r="R2378" s="11" t="str">
        <f>IFERROR(IF(VLOOKUP(A2378,[15]PRIORIZADOS!$A:$R,18,FALSE)="","",VLOOKUP(A2378,[15]PRIORIZADOS!$A:$R,18,FALSE)),"")</f>
        <v xml:space="preserve"> Se llevó a cabo la verificación de la implementación de las acciones adoptadas por la institución educativa para la prevención y atención de situaciones de convivencia en el entorno escolar, asegurando su alineación con lo establecido en la Directiva 01 de 2022 del Ministerio de Educación Nacional. observando que no cumple con los procesos </v>
      </c>
      <c r="S2378" s="11" t="str">
        <f>IFERROR(IF(VLOOKUP(A2378,[15]PRIORIZADOS!$A:$S,19,FALSE)="","",VLOOKUP(A2378,[15]PRIORIZADOS!$A:$S,19,FALSE)),"")</f>
        <v>Esta verificación se realizará a través de visitas de seguimiento, en las cuales se evaluará la ejecución de estrategias, protocolos y mecanismos de atención implementados por cada institución, con el fin de fortalecer la convivencia escolar y garantizar un ambiente seguro para la comunidad educativa.</v>
      </c>
      <c r="T2378" s="70" t="str">
        <f>IFERROR(IF(VLOOKUP(A2378,[15]PRIORIZADOS!$A:$T,20,FALSE)="","",VLOOKUP(A2378,[15]PRIORIZADOS!$A:$T,20,FALSE)),"")</f>
        <v>No</v>
      </c>
      <c r="U2378" s="11" t="str">
        <f>IFERROR(IF(VLOOKUP(A2378,[15]PRIORIZADOS!$A:$U,21,FALSE)="","",VLOOKUP(A2378,[15]PRIORIZADOS!$A:$U,21,FALSE)),"")</f>
        <v xml:space="preserve">Verificación del plan de mejoramiento que indique la implementación de las acciones adoptadas para la prevención y atención de situaciones de convivencia en el entorno escolar, lo establecido en la Directiva 01 de 2022 del Ministerio de Educación Nacional.  </v>
      </c>
    </row>
    <row r="2379" spans="1:21" s="1" customFormat="1" ht="84">
      <c r="A2379" s="69">
        <f>IF([15]PRIORIZADOS!A29="","",[15]PRIORIZADOS!A29)</f>
        <v>2349</v>
      </c>
      <c r="B2379" s="70">
        <f>IFERROR(IF(VLOOKUP(A2379,[15]PRIORIZADOS!$A:$B,2,FALSE)="","",VLOOKUP(A2379,[15]PRIORIZADOS!$A:$B,2,FALSE)),"")</f>
        <v>3</v>
      </c>
      <c r="C2379" s="11" t="str">
        <f>IFERROR(IF(VLOOKUP(A2379,[15]PRIORIZADOS!$A:$C,3,FALSE)="","",VLOOKUP(A2379,[15]PRIORIZADOS!$A:$C,3,FALSE)),"")</f>
        <v>TEUSAQUILLO</v>
      </c>
      <c r="D2379" s="11" t="str">
        <f>IFERROR(IF(VLOOKUP(A2379,[15]PRIORIZADOS!$A:$D,4,FALSE)="","",VLOOKUP(A2379,[15]PRIORIZADOS!$A:$D,4,FALSE)),"")</f>
        <v>PRIVADO</v>
      </c>
      <c r="E2379" s="11" t="str">
        <f>IFERROR(IF(VLOOKUP(A2379,[15]PRIORIZADOS!$A:$E,5,FALSE)="","",VLOOKUP(A2379,[15]PRIORIZADOS!$A:$E,5,FALSE)),"")</f>
        <v>Educación de Jóvenes y Adultos</v>
      </c>
      <c r="F2379" s="11" t="str">
        <f>IFERROR(IF(VLOOKUP(A2379,[15]PRIORIZADOS!$A:$F,6,FALSE)="","",VLOOKUP(A2379,[15]PRIORIZADOS!$A:$F,6,FALSE)),"")</f>
        <v>COLEGIO_BOSTON</v>
      </c>
      <c r="G2379" s="11" t="str">
        <f>IFERROR(IF(VLOOKUP(A2379,[15]PRIORIZADOS!$A:$G,7,FALSE)="","",VLOOKUP(A2379,[15]PRIORIZADOS!$A:$G,7,FALSE)),"")</f>
        <v>COLEGIO_BOSTON</v>
      </c>
      <c r="H2379" s="11" t="str">
        <f>IFERROR(IF(VLOOKUP(A2379,[15]PRIORIZADOS!$A:$H,8,FALSE)="","",VLOOKUP(A2379,[15]PRIORIZADOS!$A:$H,8,FALSE)),"")</f>
        <v>Autoevaluación Institucional y Pruebas SABER 11</v>
      </c>
      <c r="I2379" s="11" t="str">
        <f>IFERROR(IF(VLOOKUP(A2379,[15]PRIORIZADOS!$A:$I,9,FALSE)="","",VLOOKUP(A2379,[15]PRIORIZADOS!$A:$I,9,FALSE)),"")</f>
        <v>SEGUIMIENTO_Y_SUPERVISIÓN.</v>
      </c>
      <c r="J2379" s="11" t="str">
        <f>IFERROR(IF(VLOOKUP(A2379,[15]PRIORIZADOS!$A:$J,10,FALSE)="","",VLOOKUP(A2379,[15]PRIORIZADOS!$A:$J,10,FALSE)),"")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79" s="49" t="s">
        <v>472</v>
      </c>
      <c r="L2379" s="49" t="s">
        <v>474</v>
      </c>
      <c r="M2379" s="71">
        <f>IFERROR(IF(VLOOKUP(A2379,[15]PRIORIZADOS!$A:$M,13,FALSE)="","",VLOOKUP(A2379,[15]PRIORIZADOS!$A:$M,13,FALSE)),"")</f>
        <v>45749</v>
      </c>
      <c r="N2379" s="71">
        <f>IFERROR(IF(VLOOKUP(A2379,[15]PRIORIZADOS!$A:$N,14,FALSE)="","",VLOOKUP(A2379,[15]PRIORIZADOS!$A:$N,14,FALSE)),"")</f>
        <v>45749</v>
      </c>
      <c r="O2379" s="71">
        <f>IFERROR(IF(VLOOKUP(A2379,[15]PRIORIZADOS!$A:$O,15,FALSE)="","",VLOOKUP(A2379,[15]PRIORIZADOS!$A:$O,15,FALSE)),"")</f>
        <v>45749</v>
      </c>
      <c r="P2379" s="11" t="str">
        <f>IFERROR(IF(VLOOKUP(A2379,[15]PRIORIZADOS!$A:$P,16,FALSE)="","",VLOOKUP(A2379,[15]PRIORIZADOS!$A:$P,16,FALSE)),"")</f>
        <v>Visitas de evaluación con fines de mejoramiento</v>
      </c>
      <c r="Q2379" s="7" t="s">
        <v>475</v>
      </c>
      <c r="R2379" s="11" t="str">
        <f>IFERROR(IF(VLOOKUP(A2379,[15]PRIORIZADOS!$A:$R,18,FALSE)="","",VLOOKUP(A2379,[15]PRIORIZADOS!$A:$R,18,FALSE)),"")</f>
        <v>Se realizó la verificación de la elaboración, actualización y desarrollo de los Planes Individuales de Ajustes Razonables (PIAR) en los establecimientos educativos, conforme a lo dispuesto en el Decreto 1421 de 2017., las cuañes no allega ya que no tiene poblacion con esta condición.</v>
      </c>
      <c r="S2379" s="11" t="str">
        <f>IFERROR(IF(VLOOKUP(A2379,[15]PRIORIZADOS!$A:$S,19,FALSE)="","",VLOOKUP(A2379,[15]PRIORIZADOS!$A:$S,19,FALSE)),"")</f>
        <v xml:space="preserve">Se realizara un ajste al manal de Convivencia donde se incluirá la revisión de la coherencia de los PIAR con el Proyecto Educativo Institucional (PEI), el manual de convivencia y las estrategias de atención dirigidas a estudiantes con discapacidad, trastornos del aprendizaje </v>
      </c>
      <c r="T2379" s="70" t="str">
        <f>IFERROR(IF(VLOOKUP(A2379,[15]PRIORIZADOS!$A:$T,20,FALSE)="","",VLOOKUP(A2379,[15]PRIORIZADOS!$A:$T,20,FALSE)),"")</f>
        <v>No</v>
      </c>
      <c r="U2379" s="11" t="str">
        <f>IFERROR(IF(VLOOKUP(A2379,[15]PRIORIZADOS!$A:$U,21,FALSE)="","",VLOOKUP(A2379,[15]PRIORIZADOS!$A:$U,21,FALSE)),"")</f>
        <v xml:space="preserve">Verificar el plan de mejoramiento del ajuste al manual de convivencia que debe incluir la  revisión de coherencia de los PIAR con el Proyecto Educativo Institucional PEI,  </v>
      </c>
    </row>
    <row r="2380" spans="1:21" s="1" customFormat="1" ht="84">
      <c r="A2380" s="69">
        <f>IF([15]PRIORIZADOS!A30="","",[15]PRIORIZADOS!A30)</f>
        <v>2350</v>
      </c>
      <c r="B2380" s="70">
        <f>IFERROR(IF(VLOOKUP(A2380,[15]PRIORIZADOS!$A:$B,2,FALSE)="","",VLOOKUP(A2380,[15]PRIORIZADOS!$A:$B,2,FALSE)),"")</f>
        <v>3</v>
      </c>
      <c r="C2380" s="11" t="str">
        <f>IFERROR(IF(VLOOKUP(A2380,[15]PRIORIZADOS!$A:$C,3,FALSE)="","",VLOOKUP(A2380,[15]PRIORIZADOS!$A:$C,3,FALSE)),"")</f>
        <v>TEUSAQUILLO</v>
      </c>
      <c r="D2380" s="11" t="str">
        <f>IFERROR(IF(VLOOKUP(A2380,[15]PRIORIZADOS!$A:$D,4,FALSE)="","",VLOOKUP(A2380,[15]PRIORIZADOS!$A:$D,4,FALSE)),"")</f>
        <v>PRIVADO</v>
      </c>
      <c r="E2380" s="11" t="str">
        <f>IFERROR(IF(VLOOKUP(A2380,[15]PRIORIZADOS!$A:$E,5,FALSE)="","",VLOOKUP(A2380,[15]PRIORIZADOS!$A:$E,5,FALSE)),"")</f>
        <v>Educación de Jóvenes y Adultos</v>
      </c>
      <c r="F2380" s="11" t="str">
        <f>IFERROR(IF(VLOOKUP(A2380,[15]PRIORIZADOS!$A:$F,6,FALSE)="","",VLOOKUP(A2380,[15]PRIORIZADOS!$A:$F,6,FALSE)),"")</f>
        <v>COLEGIO_BOSTON</v>
      </c>
      <c r="G2380" s="11" t="str">
        <f>IFERROR(IF(VLOOKUP(A2380,[15]PRIORIZADOS!$A:$G,7,FALSE)="","",VLOOKUP(A2380,[15]PRIORIZADOS!$A:$G,7,FALSE)),"")</f>
        <v>COLEGIO_BOSTON</v>
      </c>
      <c r="H2380" s="11" t="str">
        <f>IFERROR(IF(VLOOKUP(A2380,[15]PRIORIZADOS!$A:$H,8,FALSE)="","",VLOOKUP(A2380,[15]PRIORIZADOS!$A:$H,8,FALSE)),"")</f>
        <v>Autoevaluación Institucional y Pruebas SABER 11</v>
      </c>
      <c r="I2380" s="11" t="str">
        <f>IFERROR(IF(VLOOKUP(A2380,[15]PRIORIZADOS!$A:$I,9,FALSE)="","",VLOOKUP(A2380,[15]PRIORIZADOS!$A:$I,9,FALSE)),"")</f>
        <v>SEGUIMIENTO_Y_SUPERVISIÓN.</v>
      </c>
      <c r="J2380" s="11" t="str">
        <f>IFERROR(IF(VLOOKUP(A2380,[15]PRIORIZADOS!$A:$J,10,FALSE)="","",VLOOKUP(A2380,[15]PRIORIZADOS!$A:$J,10,FALSE)),"")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80" s="49" t="s">
        <v>472</v>
      </c>
      <c r="L2380" s="49" t="s">
        <v>474</v>
      </c>
      <c r="M2380" s="71">
        <f>IFERROR(IF(VLOOKUP(A2380,[15]PRIORIZADOS!$A:$M,13,FALSE)="","",VLOOKUP(A2380,[15]PRIORIZADOS!$A:$M,13,FALSE)),"")</f>
        <v>45749</v>
      </c>
      <c r="N2380" s="71">
        <f>IFERROR(IF(VLOOKUP(A2380,[15]PRIORIZADOS!$A:$N,14,FALSE)="","",VLOOKUP(A2380,[15]PRIORIZADOS!$A:$N,14,FALSE)),"")</f>
        <v>45749</v>
      </c>
      <c r="O2380" s="71">
        <f>IFERROR(IF(VLOOKUP(A2380,[15]PRIORIZADOS!$A:$O,15,FALSE)="","",VLOOKUP(A2380,[15]PRIORIZADOS!$A:$O,15,FALSE)),"")</f>
        <v>45749</v>
      </c>
      <c r="P2380" s="11" t="str">
        <f>IFERROR(IF(VLOOKUP(A2380,[15]PRIORIZADOS!$A:$P,16,FALSE)="","",VLOOKUP(A2380,[15]PRIORIZADOS!$A:$P,16,FALSE)),"")</f>
        <v>Visitas de evaluación con fines de mejoramiento</v>
      </c>
      <c r="Q2380" s="54" t="s">
        <v>475</v>
      </c>
      <c r="R2380" s="11" t="str">
        <f>IFERROR(IF(VLOOKUP(A2380,[15]PRIORIZADOS!$A:$R,18,FALSE)="","",VLOOKUP(A2380,[15]PRIORIZADOS!$A:$R,18,FALSE)),"")</f>
        <v>Se realizó la verificación de la elaboración, actualización y desarrollo de los Planes Individuales de Ajustes Razonables (PIAR) en los establecimientos educativos, conforme a lo dispuesto en el Decreto 1421 de 2017., las cuañes no allega ya que no tiene poblacion con esta condición.</v>
      </c>
      <c r="S2380" s="11" t="str">
        <f>IFERROR(IF(VLOOKUP(A2380,[15]PRIORIZADOS!$A:$S,19,FALSE)="","",VLOOKUP(A2380,[15]PRIORIZADOS!$A:$S,19,FALSE)),"")</f>
        <v xml:space="preserve">Esta verificación incluirá la revisión de la coherencia de los PIAR con el Proyecto Educativo Institucional (PEI), el manual de convivencia y las estrategias de atención dirigidas a estudiantes con discapacidad, trastornos del aprendizaje </v>
      </c>
      <c r="T2380" s="70" t="str">
        <f>IFERROR(IF(VLOOKUP(A2380,[15]PRIORIZADOS!$A:$T,20,FALSE)="","",VLOOKUP(A2380,[15]PRIORIZADOS!$A:$T,20,FALSE)),"")</f>
        <v>No</v>
      </c>
      <c r="U2380" s="11" t="str">
        <f>IFERROR(IF(VLOOKUP(A2380,[15]PRIORIZADOS!$A:$U,21,FALSE)="","",VLOOKUP(A2380,[15]PRIORIZADOS!$A:$U,21,FALSE)),"")</f>
        <v>Verificar los documentos PIAR de la población registrada con alguna condición</v>
      </c>
    </row>
    <row r="2381" spans="1:21" s="1" customFormat="1" ht="107.25">
      <c r="A2381" s="69">
        <f>IF([15]PRIORIZADOS!A31="","",[15]PRIORIZADOS!A31)</f>
        <v>2351</v>
      </c>
      <c r="B2381" s="70">
        <f>IFERROR(IF(VLOOKUP(A2381,[15]PRIORIZADOS!$A:$B,2,FALSE)="","",VLOOKUP(A2381,[15]PRIORIZADOS!$A:$B,2,FALSE)),"")</f>
        <v>3</v>
      </c>
      <c r="C2381" s="11" t="str">
        <f>IFERROR(IF(VLOOKUP(A2381,[15]PRIORIZADOS!$A:$C,3,FALSE)="","",VLOOKUP(A2381,[15]PRIORIZADOS!$A:$C,3,FALSE)),"")</f>
        <v>TEUSAQUILLO</v>
      </c>
      <c r="D2381" s="11" t="str">
        <f>IFERROR(IF(VLOOKUP(A2381,[15]PRIORIZADOS!$A:$D,4,FALSE)="","",VLOOKUP(A2381,[15]PRIORIZADOS!$A:$D,4,FALSE)),"")</f>
        <v>PRIVADO</v>
      </c>
      <c r="E2381" s="11" t="str">
        <f>IFERROR(IF(VLOOKUP(A2381,[15]PRIORIZADOS!$A:$E,5,FALSE)="","",VLOOKUP(A2381,[15]PRIORIZADOS!$A:$E,5,FALSE)),"")</f>
        <v>Educación de Jóvenes y Adultos</v>
      </c>
      <c r="F2381" s="11" t="str">
        <f>IFERROR(IF(VLOOKUP(A2381,[15]PRIORIZADOS!$A:$F,6,FALSE)="","",VLOOKUP(A2381,[15]PRIORIZADOS!$A:$F,6,FALSE)),"")</f>
        <v>COLEGIO_BOSTON</v>
      </c>
      <c r="G2381" s="11" t="str">
        <f>IFERROR(IF(VLOOKUP(A2381,[15]PRIORIZADOS!$A:$G,7,FALSE)="","",VLOOKUP(A2381,[15]PRIORIZADOS!$A:$G,7,FALSE)),"")</f>
        <v>COLEGIO_BOSTON</v>
      </c>
      <c r="H2381" s="11" t="str">
        <f>IFERROR(IF(VLOOKUP(A2381,[15]PRIORIZADOS!$A:$H,8,FALSE)="","",VLOOKUP(A2381,[15]PRIORIZADOS!$A:$H,8,FALSE)),"")</f>
        <v>Autoevaluación Institucional y Pruebas SABER 11</v>
      </c>
      <c r="I2381" s="11" t="str">
        <f>IFERROR(IF(VLOOKUP(A2381,[15]PRIORIZADOS!$A:$I,9,FALSE)="","",VLOOKUP(A2381,[15]PRIORIZADOS!$A:$I,9,FALSE)),"")</f>
        <v>EVALUACIÓN_CON_FINES_DE_MEJORAMIENTO.</v>
      </c>
      <c r="J2381" s="11" t="str">
        <f>IFERROR(IF(VLOOKUP(A2381,[15]PRIORIZADOS!$A:$J,10,FALSE)="","",VLOOKUP(A2381,[15]PRIORIZADOS!$A:$J,10,FALSE)),"")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81" s="49" t="s">
        <v>472</v>
      </c>
      <c r="L2381" s="49" t="s">
        <v>474</v>
      </c>
      <c r="M2381" s="71">
        <f>IFERROR(IF(VLOOKUP(A2381,[15]PRIORIZADOS!$A:$M,13,FALSE)="","",VLOOKUP(A2381,[15]PRIORIZADOS!$A:$M,13,FALSE)),"")</f>
        <v>45749</v>
      </c>
      <c r="N2381" s="71">
        <f>IFERROR(IF(VLOOKUP(A2381,[15]PRIORIZADOS!$A:$N,14,FALSE)="","",VLOOKUP(A2381,[15]PRIORIZADOS!$A:$N,14,FALSE)),"")</f>
        <v>45749</v>
      </c>
      <c r="O2381" s="71">
        <f>IFERROR(IF(VLOOKUP(A2381,[15]PRIORIZADOS!$A:$O,15,FALSE)="","",VLOOKUP(A2381,[15]PRIORIZADOS!$A:$O,15,FALSE)),"")</f>
        <v>45749</v>
      </c>
      <c r="P2381" s="11" t="str">
        <f>IFERROR(IF(VLOOKUP(A2381,[15]PRIORIZADOS!$A:$P,16,FALSE)="","",VLOOKUP(A2381,[15]PRIORIZADOS!$A:$P,16,FALSE)),"")</f>
        <v>Visitas de evaluación con fines de mejoramiento</v>
      </c>
      <c r="Q2381" s="7" t="s">
        <v>475</v>
      </c>
      <c r="R2381" s="11" t="str">
        <f>IFERROR(IF(VLOOKUP(A2381,[15]PRIORIZADOS!$A:$R,18,FALSE)="","",VLOOKUP(A2381,[15]PRIORIZADOS!$A:$R,18,FALSE)),"")</f>
        <v>se revisó con detalle el manual de convivencia y tanto en sus actualizacion como en sus mecanismos institucionales no cumple ya que este   manual  nocontempla mecanismos claros de prevención, atención y resolución de conflictos, garantizando un ambiente escolar basado en el respeto y la garantía de derechos de la comunidad educativa.</v>
      </c>
      <c r="S2381" s="11" t="str">
        <f>IFERROR(IF(VLOOKUP(A2381,[15]PRIORIZADOS!$A:$S,19,FALSE)="","",VLOOKUP(A2381,[15]PRIORIZADOS!$A:$S,19,FALSE)),"")</f>
        <v>La institución se compromete a actualizar su manual de convivencia de acuerdo a la normatividad vigente</v>
      </c>
      <c r="T2381" s="70" t="str">
        <f>IFERROR(IF(VLOOKUP(A2381,[15]PRIORIZADOS!$A:$T,20,FALSE)="","",VLOOKUP(A2381,[15]PRIORIZADOS!$A:$T,20,FALSE)),"")</f>
        <v>No</v>
      </c>
      <c r="U2381" s="11" t="str">
        <f>IFERROR(IF(VLOOKUP(A2381,[15]PRIORIZADOS!$A:$U,21,FALSE)="","",VLOOKUP(A2381,[15]PRIORIZADOS!$A:$U,21,FALSE)),"")</f>
        <v>La institucion propone plan de mejoramiento y en este sentido se hará seguimiento.</v>
      </c>
    </row>
    <row r="2382" spans="1:21" s="1" customFormat="1" ht="118.5">
      <c r="A2382" s="69">
        <f>IF([15]PRIORIZADOS!A32="","",[15]PRIORIZADOS!A32)</f>
        <v>2352</v>
      </c>
      <c r="B2382" s="70">
        <f>IFERROR(IF(VLOOKUP(A2382,[15]PRIORIZADOS!$A:$B,2,FALSE)="","",VLOOKUP(A2382,[15]PRIORIZADOS!$A:$B,2,FALSE)),"")</f>
        <v>3</v>
      </c>
      <c r="C2382" s="11" t="str">
        <f>IFERROR(IF(VLOOKUP(A2382,[15]PRIORIZADOS!$A:$C,3,FALSE)="","",VLOOKUP(A2382,[15]PRIORIZADOS!$A:$C,3,FALSE)),"")</f>
        <v>TEUSAQUILLO</v>
      </c>
      <c r="D2382" s="11" t="str">
        <f>IFERROR(IF(VLOOKUP(A2382,[15]PRIORIZADOS!$A:$D,4,FALSE)="","",VLOOKUP(A2382,[15]PRIORIZADOS!$A:$D,4,FALSE)),"")</f>
        <v>PRIVADO</v>
      </c>
      <c r="E2382" s="11" t="str">
        <f>IFERROR(IF(VLOOKUP(A2382,[15]PRIORIZADOS!$A:$E,5,FALSE)="","",VLOOKUP(A2382,[15]PRIORIZADOS!$A:$E,5,FALSE)),"")</f>
        <v>Educación de Jóvenes y Adultos</v>
      </c>
      <c r="F2382" s="11" t="str">
        <f>IFERROR(IF(VLOOKUP(A2382,[15]PRIORIZADOS!$A:$F,6,FALSE)="","",VLOOKUP(A2382,[15]PRIORIZADOS!$A:$F,6,FALSE)),"")</f>
        <v>COLEGIO_BOSTON</v>
      </c>
      <c r="G2382" s="11" t="str">
        <f>IFERROR(IF(VLOOKUP(A2382,[15]PRIORIZADOS!$A:$G,7,FALSE)="","",VLOOKUP(A2382,[15]PRIORIZADOS!$A:$G,7,FALSE)),"")</f>
        <v>COLEGIO_BOSTON</v>
      </c>
      <c r="H2382" s="11" t="str">
        <f>IFERROR(IF(VLOOKUP(A2382,[15]PRIORIZADOS!$A:$H,8,FALSE)="","",VLOOKUP(A2382,[15]PRIORIZADOS!$A:$H,8,FALSE)),"")</f>
        <v>Autoevaluación Institucional y Pruebas SABER 11</v>
      </c>
      <c r="I2382" s="11" t="str">
        <f>IFERROR(IF(VLOOKUP(A2382,[15]PRIORIZADOS!$A:$I,9,FALSE)="","",VLOOKUP(A2382,[15]PRIORIZADOS!$A:$I,9,FALSE)),"")</f>
        <v>EVALUACIÓN_CON_FINES_DE_MEJORAMIENTO.</v>
      </c>
      <c r="J2382" s="11" t="str">
        <f>IFERROR(IF(VLOOKUP(A2382,[15]PRIORIZADOS!$A:$J,10,FALSE)="","",VLOOKUP(A2382,[15]PRIORIZADOS!$A:$J,10,FALSE)),"")</f>
        <v>Revisar la actualización, socialización e implementación del Sistema Institucional de Evaluación de Estudiantes - SIEE, en articulación con la actualización del PEI y la normatividad vigente.</v>
      </c>
      <c r="K2382" s="49" t="s">
        <v>472</v>
      </c>
      <c r="L2382" s="49" t="s">
        <v>474</v>
      </c>
      <c r="M2382" s="71">
        <f>IFERROR(IF(VLOOKUP(A2382,[15]PRIORIZADOS!$A:$M,13,FALSE)="","",VLOOKUP(A2382,[15]PRIORIZADOS!$A:$M,13,FALSE)),"")</f>
        <v>45749</v>
      </c>
      <c r="N2382" s="71">
        <f>IFERROR(IF(VLOOKUP(A2382,[15]PRIORIZADOS!$A:$N,14,FALSE)="","",VLOOKUP(A2382,[15]PRIORIZADOS!$A:$N,14,FALSE)),"")</f>
        <v>45749</v>
      </c>
      <c r="O2382" s="71">
        <f>IFERROR(IF(VLOOKUP(A2382,[15]PRIORIZADOS!$A:$O,15,FALSE)="","",VLOOKUP(A2382,[15]PRIORIZADOS!$A:$O,15,FALSE)),"")</f>
        <v>45749</v>
      </c>
      <c r="P2382" s="11" t="str">
        <f>IFERROR(IF(VLOOKUP(A2382,[15]PRIORIZADOS!$A:$P,16,FALSE)="","",VLOOKUP(A2382,[15]PRIORIZADOS!$A:$P,16,FALSE)),"")</f>
        <v>Visitas de evaluación con fines de mejoramiento</v>
      </c>
      <c r="Q2382" s="7" t="s">
        <v>475</v>
      </c>
      <c r="R2382" s="11" t="str">
        <f>IFERROR(IF(VLOOKUP(A2382,[15]PRIORIZADOS!$A:$R,18,FALSE)="","",VLOOKUP(A2382,[15]PRIORIZADOS!$A:$R,18,FALSE)),"")</f>
        <v>Se revisó la actualización, socialización e implementación del Sistema Institucional de Evaluación de Estudiantes (SIEE) en los establecimientos educativos, asegurando su articulación con la actualización del Proyecto Educativo Institucional (PEI) y el cumplimiento de la normatividad vigente</v>
      </c>
      <c r="S2382" s="11" t="str">
        <f>IFERROR(IF(VLOOKUP(A2382,[15]PRIORIZADOS!$A:$S,19,FALSE)="","",VLOOKUP(A2382,[15]PRIORIZADOS!$A:$S,19,FALSE)),"")</f>
        <v>Esta revisión dentro del plan de mejoramiento propuesto incluirá la verificación de los criterios, estrategias e instrumentos de evaluación adoptados por la institución, así como su difusión y aplicación efectiva en la comunidad educativa, con el fin de garantizar procesos de evaluación claros, equitativos y alineados con los principios de mejora continua y calidad educativa.</v>
      </c>
      <c r="T2382" s="70" t="str">
        <f>IFERROR(IF(VLOOKUP(A2382,[15]PRIORIZADOS!$A:$T,20,FALSE)="","",VLOOKUP(A2382,[15]PRIORIZADOS!$A:$T,20,FALSE)),"")</f>
        <v>Si</v>
      </c>
      <c r="U2382" s="11" t="str">
        <f>IFERROR(IF(VLOOKUP(A2382,[15]PRIORIZADOS!$A:$U,21,FALSE)="","",VLOOKUP(A2382,[15]PRIORIZADOS!$A:$U,21,FALSE)),"")</f>
        <v>La institución propone plan de mejoramiento con el fin de grantizar la actualizacion de mallas curriculares y ajustes en el PEI</v>
      </c>
    </row>
    <row r="2383" spans="1:21" s="1" customFormat="1" ht="60">
      <c r="A2383" s="69">
        <f>IF([15]PRIORIZADOS!A33="","",[15]PRIORIZADOS!A33)</f>
        <v>2353</v>
      </c>
      <c r="B2383" s="70">
        <f>IFERROR(IF(VLOOKUP(A2383,[15]PRIORIZADOS!$A:$B,2,FALSE)="","",VLOOKUP(A2383,[15]PRIORIZADOS!$A:$B,2,FALSE)),"")</f>
        <v>3</v>
      </c>
      <c r="C2383" s="11" t="str">
        <f>IFERROR(IF(VLOOKUP(A2383,[15]PRIORIZADOS!$A:$C,3,FALSE)="","",VLOOKUP(A2383,[15]PRIORIZADOS!$A:$C,3,FALSE)),"")</f>
        <v>TEUSAQUILLO</v>
      </c>
      <c r="D2383" s="11" t="str">
        <f>IFERROR(IF(VLOOKUP(A2383,[15]PRIORIZADOS!$A:$D,4,FALSE)="","",VLOOKUP(A2383,[15]PRIORIZADOS!$A:$D,4,FALSE)),"")</f>
        <v>PRIVADO</v>
      </c>
      <c r="E2383" s="11" t="str">
        <f>IFERROR(IF(VLOOKUP(A2383,[15]PRIORIZADOS!$A:$E,5,FALSE)="","",VLOOKUP(A2383,[15]PRIORIZADOS!$A:$E,5,FALSE)),"")</f>
        <v>Educación de Jóvenes y Adultos</v>
      </c>
      <c r="F2383" s="11" t="str">
        <f>IFERROR(IF(VLOOKUP(A2383,[15]PRIORIZADOS!$A:$F,6,FALSE)="","",VLOOKUP(A2383,[15]PRIORIZADOS!$A:$F,6,FALSE)),"")</f>
        <v>COLEGIO_BOSTON</v>
      </c>
      <c r="G2383" s="11" t="str">
        <f>IFERROR(IF(VLOOKUP(A2383,[15]PRIORIZADOS!$A:$G,7,FALSE)="","",VLOOKUP(A2383,[15]PRIORIZADOS!$A:$G,7,FALSE)),"")</f>
        <v>COLEGIO_BOSTON</v>
      </c>
      <c r="H2383" s="11" t="str">
        <f>IFERROR(IF(VLOOKUP(A2383,[15]PRIORIZADOS!$A:$H,8,FALSE)="","",VLOOKUP(A2383,[15]PRIORIZADOS!$A:$H,8,FALSE)),"")</f>
        <v>Autoevaluación Institucional y Pruebas SABER 11</v>
      </c>
      <c r="I2383" s="11" t="str">
        <f>IFERROR(IF(VLOOKUP(A2383,[15]PRIORIZADOS!$A:$I,9,FALSE)="","",VLOOKUP(A2383,[15]PRIORIZADOS!$A:$I,9,FALSE)),"")</f>
        <v>EVALUACIÓN_CON_FINES_DE_MEJORAMIENTO.</v>
      </c>
      <c r="J2383" s="11" t="str">
        <f>IFERROR(IF(VLOOKUP(A2383,[15]PRIORIZADOS!$A:$J,10,FALSE)="","",VLOOKUP(A2383,[15]PRIORIZADOS!$A:$J,10,FALSE)),"")</f>
        <v>Revisar el calendario escolar, jornada escolar, la intensidad horaria mínima anual en cada nivel y las modificaciones que se realicen al mismo, de acuerdo con lo previsto en la normatividad vigente.</v>
      </c>
      <c r="K2383" s="49" t="s">
        <v>472</v>
      </c>
      <c r="L2383" s="49" t="s">
        <v>474</v>
      </c>
      <c r="M2383" s="71">
        <f>IFERROR(IF(VLOOKUP(A2383,[15]PRIORIZADOS!$A:$M,13,FALSE)="","",VLOOKUP(A2383,[15]PRIORIZADOS!$A:$M,13,FALSE)),"")</f>
        <v>45749</v>
      </c>
      <c r="N2383" s="71">
        <f>IFERROR(IF(VLOOKUP(A2383,[15]PRIORIZADOS!$A:$N,14,FALSE)="","",VLOOKUP(A2383,[15]PRIORIZADOS!$A:$N,14,FALSE)),"")</f>
        <v>45749</v>
      </c>
      <c r="O2383" s="71">
        <f>IFERROR(IF(VLOOKUP(A2383,[15]PRIORIZADOS!$A:$O,15,FALSE)="","",VLOOKUP(A2383,[15]PRIORIZADOS!$A:$O,15,FALSE)),"")</f>
        <v>45749</v>
      </c>
      <c r="P2383" s="11" t="str">
        <f>IFERROR(IF(VLOOKUP(A2383,[15]PRIORIZADOS!$A:$P,16,FALSE)="","",VLOOKUP(A2383,[15]PRIORIZADOS!$A:$P,16,FALSE)),"")</f>
        <v>Visitas de evaluación con fines de mejoramiento</v>
      </c>
      <c r="Q2383" s="7" t="s">
        <v>475</v>
      </c>
      <c r="R2383" s="11" t="str">
        <f>IFERROR(IF(VLOOKUP(A2383,[15]PRIORIZADOS!$A:$R,18,FALSE)="","",VLOOKUP(A2383,[15]PRIORIZADOS!$A:$R,18,FALSE)),"")</f>
        <v>Se revisó la pertinencia  del calendario escolar, la jornada escolar y la intensidad horaria mínima anual en cada nivel educativo, verificando su cumplimiento conforme a la normatividad vigente.</v>
      </c>
      <c r="S2383" s="11" t="str">
        <f>IFERROR(IF(VLOOKUP(A2383,[15]PRIORIZADOS!$A:$S,19,FALSE)="","",VLOOKUP(A2383,[15]PRIORIZADOS!$A:$S,19,FALSE)),"")</f>
        <v>La institucion esta pendiente para subir el calendario escolar al link propuesto por la Secretaria de Educación</v>
      </c>
      <c r="T2383" s="70" t="str">
        <f>IFERROR(IF(VLOOKUP(A2383,[15]PRIORIZADOS!$A:$T,20,FALSE)="","",VLOOKUP(A2383,[15]PRIORIZADOS!$A:$T,20,FALSE)),"")</f>
        <v>Si</v>
      </c>
      <c r="U2383" s="11" t="str">
        <f>IFERROR(IF(VLOOKUP(A2383,[15]PRIORIZADOS!$A:$U,21,FALSE)="","",VLOOKUP(A2383,[15]PRIORIZADOS!$A:$U,21,FALSE)),"")</f>
        <v>Falta subir el calendario escolar al lik correspondiente</v>
      </c>
    </row>
    <row r="2384" spans="1:21" s="1" customFormat="1" ht="72">
      <c r="A2384" s="69">
        <f>IF([15]PRIORIZADOS!A34="","",[15]PRIORIZADOS!A34)</f>
        <v>2354</v>
      </c>
      <c r="B2384" s="70">
        <f>IFERROR(IF(VLOOKUP(A2384,[15]PRIORIZADOS!$A:$B,2,FALSE)="","",VLOOKUP(A2384,[15]PRIORIZADOS!$A:$B,2,FALSE)),"")</f>
        <v>3</v>
      </c>
      <c r="C2384" s="11" t="str">
        <f>IFERROR(IF(VLOOKUP(A2384,[15]PRIORIZADOS!$A:$C,3,FALSE)="","",VLOOKUP(A2384,[15]PRIORIZADOS!$A:$C,3,FALSE)),"")</f>
        <v>TEUSAQUILLO</v>
      </c>
      <c r="D2384" s="11" t="str">
        <f>IFERROR(IF(VLOOKUP(A2384,[15]PRIORIZADOS!$A:$D,4,FALSE)="","",VLOOKUP(A2384,[15]PRIORIZADOS!$A:$D,4,FALSE)),"")</f>
        <v>PRIVADO</v>
      </c>
      <c r="E2384" s="11" t="str">
        <f>IFERROR(IF(VLOOKUP(A2384,[15]PRIORIZADOS!$A:$E,5,FALSE)="","",VLOOKUP(A2384,[15]PRIORIZADOS!$A:$E,5,FALSE)),"")</f>
        <v>Educación de Jóvenes y Adultos</v>
      </c>
      <c r="F2384" s="11" t="str">
        <f>IFERROR(IF(VLOOKUP(A2384,[15]PRIORIZADOS!$A:$F,6,FALSE)="","",VLOOKUP(A2384,[15]PRIORIZADOS!$A:$F,6,FALSE)),"")</f>
        <v>COLEGIO_BOSTON</v>
      </c>
      <c r="G2384" s="11" t="str">
        <f>IFERROR(IF(VLOOKUP(A2384,[15]PRIORIZADOS!$A:$G,7,FALSE)="","",VLOOKUP(A2384,[15]PRIORIZADOS!$A:$G,7,FALSE)),"")</f>
        <v>COLEGIO_BOSTON</v>
      </c>
      <c r="H2384" s="11" t="str">
        <f>IFERROR(IF(VLOOKUP(A2384,[15]PRIORIZADOS!$A:$H,8,FALSE)="","",VLOOKUP(A2384,[15]PRIORIZADOS!$A:$H,8,FALSE)),"")</f>
        <v>Autoevaluación Institucional y Pruebas SABER 11</v>
      </c>
      <c r="I2384" s="11" t="str">
        <f>IFERROR(IF(VLOOKUP(A2384,[15]PRIORIZADOS!$A:$I,9,FALSE)="","",VLOOKUP(A2384,[15]PRIORIZADOS!$A:$I,9,FALSE)),"")</f>
        <v>EVALUACIÓN_CON_FINES_DE_MEJORAMIENTO.</v>
      </c>
      <c r="J2384" s="11" t="str">
        <f>IFERROR(IF(VLOOKUP(A2384,[15]PRIORIZADOS!$A:$J,10,FALSE)="","",VLOOKUP(A2384,[15]PRIORIZADOS!$A:$J,10,FALSE)),"")</f>
        <v>Verificar el funcionamiento del Gobierno Escolar e instancias de participación con base en la información sobre conformación reportada por la institución educativa.</v>
      </c>
      <c r="K2384" s="49" t="s">
        <v>472</v>
      </c>
      <c r="L2384" s="49" t="s">
        <v>474</v>
      </c>
      <c r="M2384" s="71">
        <f>IFERROR(IF(VLOOKUP(A2384,[15]PRIORIZADOS!$A:$M,13,FALSE)="","",VLOOKUP(A2384,[15]PRIORIZADOS!$A:$M,13,FALSE)),"")</f>
        <v>45749</v>
      </c>
      <c r="N2384" s="71">
        <f>IFERROR(IF(VLOOKUP(A2384,[15]PRIORIZADOS!$A:$N,14,FALSE)="","",VLOOKUP(A2384,[15]PRIORIZADOS!$A:$N,14,FALSE)),"")</f>
        <v>45749</v>
      </c>
      <c r="O2384" s="71">
        <f>IFERROR(IF(VLOOKUP(A2384,[15]PRIORIZADOS!$A:$O,15,FALSE)="","",VLOOKUP(A2384,[15]PRIORIZADOS!$A:$O,15,FALSE)),"")</f>
        <v>45749</v>
      </c>
      <c r="P2384" s="11" t="str">
        <f>IFERROR(IF(VLOOKUP(A2384,[15]PRIORIZADOS!$A:$P,16,FALSE)="","",VLOOKUP(A2384,[15]PRIORIZADOS!$A:$P,16,FALSE)),"")</f>
        <v>Visitas de evaluación con fines de mejoramiento</v>
      </c>
      <c r="Q2384" s="7" t="s">
        <v>475</v>
      </c>
      <c r="R2384" s="11" t="str">
        <f>IFERROR(IF(VLOOKUP(A2384,[15]PRIORIZADOS!$A:$R,18,FALSE)="","",VLOOKUP(A2384,[15]PRIORIZADOS!$A:$R,18,FALSE)),"")</f>
        <v>la institucion presenta rotación constante de profesores, por lo tanto se recomienda organizar la gestión documental de una manera efectiva, dado que sus organos del gobierno escolar presentan poca operabilidad</v>
      </c>
      <c r="S2384" s="11" t="str">
        <f>IFERROR(IF(VLOOKUP(A2384,[15]PRIORIZADOS!$A:$S,19,FALSE)="","",VLOOKUP(A2384,[15]PRIORIZADOS!$A:$S,19,FALSE)),"")</f>
        <v>Se debe presentar las actas del gobierno escolar y Consejo  Directivo para obtener una trazabilidad de las actividaes de estos organos del gobierno escolar</v>
      </c>
      <c r="T2384" s="70" t="str">
        <f>IFERROR(IF(VLOOKUP(A2384,[15]PRIORIZADOS!$A:$T,20,FALSE)="","",VLOOKUP(A2384,[15]PRIORIZADOS!$A:$T,20,FALSE)),"")</f>
        <v>No</v>
      </c>
      <c r="U2384" s="11" t="str">
        <f>IFERROR(IF(VLOOKUP(A2384,[15]PRIORIZADOS!$A:$U,21,FALSE)="","",VLOOKUP(A2384,[15]PRIORIZADOS!$A:$U,21,FALSE)),"")</f>
        <v>Verificación del plan de mejoramiento con el fin de grantizar la actualizacion de mallas curriculares y ajustes en el PEI</v>
      </c>
    </row>
    <row r="2385" spans="1:21" s="1" customFormat="1" ht="48">
      <c r="A2385" s="69">
        <f>IF([15]PRIORIZADOS!A35="","",[15]PRIORIZADOS!A35)</f>
        <v>2355</v>
      </c>
      <c r="B2385" s="70">
        <f>IFERROR(IF(VLOOKUP(A2385,[15]PRIORIZADOS!$A:$B,2,FALSE)="","",VLOOKUP(A2385,[15]PRIORIZADOS!$A:$B,2,FALSE)),"")</f>
        <v>3</v>
      </c>
      <c r="C2385" s="11" t="str">
        <f>IFERROR(IF(VLOOKUP(A2385,[15]PRIORIZADOS!$A:$C,3,FALSE)="","",VLOOKUP(A2385,[15]PRIORIZADOS!$A:$C,3,FALSE)),"")</f>
        <v>TEUSAQUILLO</v>
      </c>
      <c r="D2385" s="11" t="str">
        <f>IFERROR(IF(VLOOKUP(A2385,[15]PRIORIZADOS!$A:$D,4,FALSE)="","",VLOOKUP(A2385,[15]PRIORIZADOS!$A:$D,4,FALSE)),"")</f>
        <v>PRIVADO</v>
      </c>
      <c r="E2385" s="11" t="str">
        <f>IFERROR(IF(VLOOKUP(A2385,[15]PRIORIZADOS!$A:$E,5,FALSE)="","",VLOOKUP(A2385,[15]PRIORIZADOS!$A:$E,5,FALSE)),"")</f>
        <v>Educación de Jóvenes y Adultos</v>
      </c>
      <c r="F2385" s="11" t="str">
        <f>IFERROR(IF(VLOOKUP(A2385,[15]PRIORIZADOS!$A:$F,6,FALSE)="","",VLOOKUP(A2385,[15]PRIORIZADOS!$A:$F,6,FALSE)),"")</f>
        <v>COLEGIO_BOSTON</v>
      </c>
      <c r="G2385" s="11" t="str">
        <f>IFERROR(IF(VLOOKUP(A2385,[15]PRIORIZADOS!$A:$G,7,FALSE)="","",VLOOKUP(A2385,[15]PRIORIZADOS!$A:$G,7,FALSE)),"")</f>
        <v>COLEGIO_BOSTON</v>
      </c>
      <c r="H2385" s="11" t="str">
        <f>IFERROR(IF(VLOOKUP(A2385,[15]PRIORIZADOS!$A:$H,8,FALSE)="","",VLOOKUP(A2385,[15]PRIORIZADOS!$A:$H,8,FALSE)),"")</f>
        <v>Autoevaluación Institucional y Pruebas SABER 11</v>
      </c>
      <c r="I2385" s="11" t="str">
        <f>IFERROR(IF(VLOOKUP(A2385,[15]PRIORIZADOS!$A:$I,9,FALSE)="","",VLOOKUP(A2385,[15]PRIORIZADOS!$A:$I,9,FALSE)),"")</f>
        <v>EVALUACIÓN_CON_FINES_DE_MEJORAMIENTO.</v>
      </c>
      <c r="J2385" s="11" t="str">
        <f>IFERROR(IF(VLOOKUP(A2385,[15]PRIORIZADOS!$A:$J,10,FALSE)="","",VLOOKUP(A2385,[15]PRIORIZADOS!$A:$J,10,FALSE)),"")</f>
        <v>Verificar las condiciones en cuanto a: la estructura administrativa, condiciones de la planta física y medios educativos adecuados.</v>
      </c>
      <c r="K2385" s="49" t="s">
        <v>472</v>
      </c>
      <c r="L2385" s="49" t="s">
        <v>474</v>
      </c>
      <c r="M2385" s="71">
        <f>IFERROR(IF(VLOOKUP(A2385,[15]PRIORIZADOS!$A:$M,13,FALSE)="","",VLOOKUP(A2385,[15]PRIORIZADOS!$A:$M,13,FALSE)),"")</f>
        <v>45749</v>
      </c>
      <c r="N2385" s="71">
        <f>IFERROR(IF(VLOOKUP(A2385,[15]PRIORIZADOS!$A:$N,14,FALSE)="","",VLOOKUP(A2385,[15]PRIORIZADOS!$A:$N,14,FALSE)),"")</f>
        <v>45749</v>
      </c>
      <c r="O2385" s="71">
        <f>IFERROR(IF(VLOOKUP(A2385,[15]PRIORIZADOS!$A:$O,15,FALSE)="","",VLOOKUP(A2385,[15]PRIORIZADOS!$A:$O,15,FALSE)),"")</f>
        <v>45749</v>
      </c>
      <c r="P2385" s="11" t="str">
        <f>IFERROR(IF(VLOOKUP(A2385,[15]PRIORIZADOS!$A:$P,16,FALSE)="","",VLOOKUP(A2385,[15]PRIORIZADOS!$A:$P,16,FALSE)),"")</f>
        <v>Visitas de evaluación con fines de mejoramiento</v>
      </c>
      <c r="Q2385" s="8" t="s">
        <v>475</v>
      </c>
      <c r="R2385" s="11" t="str">
        <f>IFERROR(IF(VLOOKUP(A2385,[15]PRIORIZADOS!$A:$R,18,FALSE)="","",VLOOKUP(A2385,[15]PRIORIZADOS!$A:$R,18,FALSE)),"")</f>
        <v xml:space="preserve">La  infraestuctura esta acorde con lo reportado en la autoevaluación EVI, presenta convenios de aulas de computo con otra institución </v>
      </c>
      <c r="S2385" s="11" t="str">
        <f>IFERROR(IF(VLOOKUP(A2385,[15]PRIORIZADOS!$A:$S,19,FALSE)="","",VLOOKUP(A2385,[15]PRIORIZADOS!$A:$S,19,FALSE)),"")</f>
        <v xml:space="preserve">Mantener las condiciones de la planta fisica que permitan adecuado funcionamiento y desarrollo de las actividades académicas. </v>
      </c>
      <c r="T2385" s="70" t="str">
        <f>IFERROR(IF(VLOOKUP(A2385,[15]PRIORIZADOS!$A:$T,20,FALSE)="","",VLOOKUP(A2385,[15]PRIORIZADOS!$A:$T,20,FALSE)),"")</f>
        <v>No</v>
      </c>
      <c r="U2385" s="11" t="str">
        <f>IFERROR(IF(VLOOKUP(A2385,[15]PRIORIZADOS!$A:$U,21,FALSE)="","",VLOOKUP(A2385,[15]PRIORIZADOS!$A:$U,21,FALSE)),"")</f>
        <v>Se verificaran las condiciones en la autoevaluación 2025, para la emisión del concepto de tarifas educativas 2026.</v>
      </c>
    </row>
    <row r="2386" spans="1:21" s="1" customFormat="1" ht="43.5">
      <c r="A2386" s="69">
        <f>IF([15]PRIORIZADOS!A36="","",[15]PRIORIZADOS!A36)</f>
        <v>2356</v>
      </c>
      <c r="B2386" s="70">
        <f>IFERROR(IF(VLOOKUP(A2386,[15]PRIORIZADOS!$A:$B,2,FALSE)="","",VLOOKUP(A2386,[15]PRIORIZADOS!$A:$B,2,FALSE)),"")</f>
        <v>4</v>
      </c>
      <c r="C2386" s="11" t="str">
        <f>IFERROR(IF(VLOOKUP(A2386,[15]PRIORIZADOS!$A:$C,3,FALSE)="","",VLOOKUP(A2386,[15]PRIORIZADOS!$A:$C,3,FALSE)),"")</f>
        <v>TEUSAQUILLO</v>
      </c>
      <c r="D2386" s="11" t="str">
        <f>IFERROR(IF(VLOOKUP(A2386,[15]PRIORIZADOS!$A:$D,4,FALSE)="","",VLOOKUP(A2386,[15]PRIORIZADOS!$A:$D,4,FALSE)),"")</f>
        <v>PRIVADO</v>
      </c>
      <c r="E2386" s="11" t="str">
        <f>IFERROR(IF(VLOOKUP(A2386,[15]PRIORIZADOS!$A:$E,5,FALSE)="","",VLOOKUP(A2386,[15]PRIORIZADOS!$A:$E,5,FALSE)),"")</f>
        <v>EPBM</v>
      </c>
      <c r="F2386" s="11" t="str">
        <f>IFERROR(IF(VLOOKUP(A2386,[15]PRIORIZADOS!$A:$F,6,FALSE)="","",VLOOKUP(A2386,[15]PRIORIZADOS!$A:$F,6,FALSE)),"")</f>
        <v>GIMNASIO_WILLIAM_MACKINLEY</v>
      </c>
      <c r="G2386" s="11" t="str">
        <f>IFERROR(IF(VLOOKUP(A2386,[15]PRIORIZADOS!$A:$G,7,FALSE)="","",VLOOKUP(A2386,[15]PRIORIZADOS!$A:$G,7,FALSE)),"")</f>
        <v>GIMNASIO WILLIAM MACKINLEY</v>
      </c>
      <c r="H2386" s="11" t="str">
        <f>IFERROR(IF(VLOOKUP(A2386,[15]PRIORIZADOS!$A:$H,8,FALSE)="","",VLOOKUP(A2386,[15]PRIORIZADOS!$A:$H,8,FALSE)),"")</f>
        <v>Autoevaluación Institucional y Pruebas SABER 11</v>
      </c>
      <c r="I2386" s="11" t="str">
        <f>IFERROR(IF(VLOOKUP(A2386,[15]PRIORIZADOS!$A:$I,9,FALSE)="","",VLOOKUP(A2386,[15]PRIORIZADOS!$A:$I,9,FALSE)),"")</f>
        <v>SEGUIMIENTO_Y_SUPERVISIÓN.</v>
      </c>
      <c r="J2386" s="11" t="str">
        <f>IFERROR(IF(VLOOKUP(A2386,[15]PRIORIZADOS!$A:$J,10,FALSE)="","",VLOOKUP(A2386,[15]PRIORIZADOS!$A:$J,10,FALSE)),"")</f>
        <v>Realizar visitas para verificar la información registrada sobre la autoevaluación institucional en el aplicativo EVI, a los establecimientos de educación formal no oficial.</v>
      </c>
      <c r="K2386" s="49" t="s">
        <v>470</v>
      </c>
      <c r="L2386" s="49" t="s">
        <v>474</v>
      </c>
      <c r="M2386" s="71">
        <f>IFERROR(IF(VLOOKUP(A2386,[15]PRIORIZADOS!$A:$M,13,FALSE)="","",VLOOKUP(A2386,[15]PRIORIZADOS!$A:$M,13,FALSE)),"")</f>
        <v>45757</v>
      </c>
      <c r="N2386" s="71">
        <f>IFERROR(IF(VLOOKUP(A2386,[15]PRIORIZADOS!$A:$N,14,FALSE)="","",VLOOKUP(A2386,[15]PRIORIZADOS!$A:$N,14,FALSE)),"")</f>
        <v>45757</v>
      </c>
      <c r="O2386" s="71">
        <f>IFERROR(IF(VLOOKUP(A2386,[15]PRIORIZADOS!$A:$O,15,FALSE)="","",VLOOKUP(A2386,[15]PRIORIZADOS!$A:$O,15,FALSE)),"")</f>
        <v>45757</v>
      </c>
      <c r="P2386" s="11" t="str">
        <f>IFERROR(IF(VLOOKUP(A2386,[15]PRIORIZADOS!$A:$P,16,FALSE)="","",VLOOKUP(A2386,[15]PRIORIZADOS!$A:$P,16,FALSE)),"")</f>
        <v>Visitas de evaluación con fines de mejoramiento</v>
      </c>
      <c r="Q2386" s="55" t="s">
        <v>476</v>
      </c>
      <c r="R2386" s="11" t="str">
        <f>IFERROR(IF(VLOOKUP(A2386,[15]PRIORIZADOS!$A:$R,18,FALSE)="","",VLOOKUP(A2386,[15]PRIORIZADOS!$A:$R,18,FALSE)),"")</f>
        <v xml:space="preserve">La  planta física y medios pedagógicos, concuerda con lo reportado en autoevaluación EVI. </v>
      </c>
      <c r="S2386" s="11" t="str">
        <f>IFERROR(IF(VLOOKUP(A2386,[15]PRIORIZADOS!$A:$S,19,FALSE)="","",VLOOKUP(A2386,[15]PRIORIZADOS!$A:$S,19,FALSE)),"")</f>
        <v xml:space="preserve">Se persibe espacios reducidos y poca ventilación (natural) en algunas aulas de clase. </v>
      </c>
      <c r="T2386" s="70" t="str">
        <f>IFERROR(IF(VLOOKUP(A2386,[15]PRIORIZADOS!$A:$T,20,FALSE)="","",VLOOKUP(A2386,[15]PRIORIZADOS!$A:$T,20,FALSE)),"")</f>
        <v>No</v>
      </c>
      <c r="U2386" s="11" t="str">
        <f>IFERROR(IF(VLOOKUP(A2386,[15]PRIORIZADOS!$A:$U,21,FALSE)="","",VLOOKUP(A2386,[15]PRIORIZADOS!$A:$U,21,FALSE)),"")</f>
        <v xml:space="preserve">se programara segunda visita con acompañamiento de la arquitecta para verificar los espacios y medidas en aulas. </v>
      </c>
    </row>
    <row r="2387" spans="1:21" s="1" customFormat="1" ht="107.25">
      <c r="A2387" s="69">
        <f>IF([15]PRIORIZADOS!A37="","",[15]PRIORIZADOS!A37)</f>
        <v>2357</v>
      </c>
      <c r="B2387" s="70">
        <f>IFERROR(IF(VLOOKUP(A2387,[15]PRIORIZADOS!$A:$B,2,FALSE)="","",VLOOKUP(A2387,[15]PRIORIZADOS!$A:$B,2,FALSE)),"")</f>
        <v>4</v>
      </c>
      <c r="C2387" s="11" t="str">
        <f>IFERROR(IF(VLOOKUP(A2387,[15]PRIORIZADOS!$A:$C,3,FALSE)="","",VLOOKUP(A2387,[15]PRIORIZADOS!$A:$C,3,FALSE)),"")</f>
        <v>TEUSAQUILLO</v>
      </c>
      <c r="D2387" s="11" t="str">
        <f>IFERROR(IF(VLOOKUP(A2387,[15]PRIORIZADOS!$A:$D,4,FALSE)="","",VLOOKUP(A2387,[15]PRIORIZADOS!$A:$D,4,FALSE)),"")</f>
        <v>PRIVADO</v>
      </c>
      <c r="E2387" s="11" t="str">
        <f>IFERROR(IF(VLOOKUP(A2387,[15]PRIORIZADOS!$A:$E,5,FALSE)="","",VLOOKUP(A2387,[15]PRIORIZADOS!$A:$E,5,FALSE)),"")</f>
        <v>EPBM</v>
      </c>
      <c r="F2387" s="11" t="str">
        <f>IFERROR(IF(VLOOKUP(A2387,[15]PRIORIZADOS!$A:$F,6,FALSE)="","",VLOOKUP(A2387,[15]PRIORIZADOS!$A:$F,6,FALSE)),"")</f>
        <v>GIMNASIO_WILLIAM_MACKINLEY</v>
      </c>
      <c r="G2387" s="11" t="str">
        <f>IFERROR(IF(VLOOKUP(A2387,[15]PRIORIZADOS!$A:$G,7,FALSE)="","",VLOOKUP(A2387,[15]PRIORIZADOS!$A:$G,7,FALSE)),"")</f>
        <v>GIMNASIO WILLIAM MACKINLEY</v>
      </c>
      <c r="H2387" s="11" t="str">
        <f>IFERROR(IF(VLOOKUP(A2387,[15]PRIORIZADOS!$A:$H,8,FALSE)="","",VLOOKUP(A2387,[15]PRIORIZADOS!$A:$H,8,FALSE)),"")</f>
        <v>Autoevaluación Institucional y Pruebas SABER 11</v>
      </c>
      <c r="I2387" s="11" t="str">
        <f>IFERROR(IF(VLOOKUP(A2387,[15]PRIORIZADOS!$A:$I,9,FALSE)="","",VLOOKUP(A2387,[15]PRIORIZADOS!$A:$I,9,FALSE)),"")</f>
        <v>SEGUIMIENTO_Y_SUPERVISIÓN.</v>
      </c>
      <c r="J2387" s="11" t="str">
        <f>IFERROR(IF(VLOOKUP(A2387,[15]PRIORIZADOS!$A:$J,10,FALSE)="","",VLOOKUP(A2387,[15]PRIORIZADOS!$A:$J,10,FALSE)),"")</f>
        <v>Proponer estrategias en la formulación, verificar su elaboración y realizar seguimiento semestral al desarrollo de  las acciones establecidas en los planes de mejoramiento por pruebas SABER 11 de los establecimientos de educación formal.</v>
      </c>
      <c r="K2387" s="49" t="s">
        <v>470</v>
      </c>
      <c r="L2387" s="49" t="s">
        <v>474</v>
      </c>
      <c r="M2387" s="71">
        <f>IFERROR(IF(VLOOKUP(A2387,[15]PRIORIZADOS!$A:$M,13,FALSE)="","",VLOOKUP(A2387,[15]PRIORIZADOS!$A:$M,13,FALSE)),"")</f>
        <v>45757</v>
      </c>
      <c r="N2387" s="71">
        <f>IFERROR(IF(VLOOKUP(A2387,[15]PRIORIZADOS!$A:$N,14,FALSE)="","",VLOOKUP(A2387,[15]PRIORIZADOS!$A:$N,14,FALSE)),"")</f>
        <v>45757</v>
      </c>
      <c r="O2387" s="71">
        <f>IFERROR(IF(VLOOKUP(A2387,[15]PRIORIZADOS!$A:$O,15,FALSE)="","",VLOOKUP(A2387,[15]PRIORIZADOS!$A:$O,15,FALSE)),"")</f>
        <v>45757</v>
      </c>
      <c r="P2387" s="11" t="str">
        <f>IFERROR(IF(VLOOKUP(A2387,[15]PRIORIZADOS!$A:$P,16,FALSE)="","",VLOOKUP(A2387,[15]PRIORIZADOS!$A:$P,16,FALSE)),"")</f>
        <v>Visitas de evaluación con fines de mejoramiento</v>
      </c>
      <c r="Q2387" s="55" t="s">
        <v>476</v>
      </c>
      <c r="R2387" s="11" t="str">
        <f>IFERROR(IF(VLOOKUP(A2387,[15]PRIORIZADOS!$A:$R,18,FALSE)="","",VLOOKUP(A2387,[15]PRIORIZADOS!$A:$R,18,FALSE)),"")</f>
        <v xml:space="preserve">Se evidencian procesos permanentes (actas de reuniones, registros de consulta, plan de estudios, seguimiento por área y asignatura) para obtener los mejores resultados en prueba saber 11, lo cual es observable en historial de los resultados de las pruebas saber 11 de los últimos 3 años.Resultados prueba saber 2024 categoría A, en 2023 A+.  </v>
      </c>
      <c r="S2387" s="11" t="str">
        <f>IFERROR(IF(VLOOKUP(A2387,[15]PRIORIZADOS!$A:$S,19,FALSE)="","",VLOOKUP(A2387,[15]PRIORIZADOS!$A:$S,19,FALSE)),"")</f>
        <v xml:space="preserve">Continuar con el análisis de los resultados de las pruebas SABER 11 y la implementación de estrategias que permitan mejorar y/o los resultados. </v>
      </c>
      <c r="T2387" s="70" t="str">
        <f>IFERROR(IF(VLOOKUP(A2387,[15]PRIORIZADOS!$A:$T,20,FALSE)="","",VLOOKUP(A2387,[15]PRIORIZADOS!$A:$T,20,FALSE)),"")</f>
        <v>No</v>
      </c>
      <c r="U2387" s="11" t="str">
        <f>IFERROR(IF(VLOOKUP(A2387,[15]PRIORIZADOS!$A:$U,21,FALSE)="","",VLOOKUP(A2387,[15]PRIORIZADOS!$A:$U,21,FALSE)),"")</f>
        <v xml:space="preserve">Verificar los resultados de la prueba SABER 11 2025. </v>
      </c>
    </row>
    <row r="2388" spans="1:21" s="1" customFormat="1" ht="96">
      <c r="A2388" s="69">
        <f>IF([15]PRIORIZADOS!A38="","",[15]PRIORIZADOS!A38)</f>
        <v>2358</v>
      </c>
      <c r="B2388" s="70">
        <f>IFERROR(IF(VLOOKUP(A2388,[15]PRIORIZADOS!$A:$B,2,FALSE)="","",VLOOKUP(A2388,[15]PRIORIZADOS!$A:$B,2,FALSE)),"")</f>
        <v>4</v>
      </c>
      <c r="C2388" s="11" t="str">
        <f>IFERROR(IF(VLOOKUP(A2388,[15]PRIORIZADOS!$A:$C,3,FALSE)="","",VLOOKUP(A2388,[15]PRIORIZADOS!$A:$C,3,FALSE)),"")</f>
        <v>TEUSAQUILLO</v>
      </c>
      <c r="D2388" s="11" t="str">
        <f>IFERROR(IF(VLOOKUP(A2388,[15]PRIORIZADOS!$A:$D,4,FALSE)="","",VLOOKUP(A2388,[15]PRIORIZADOS!$A:$D,4,FALSE)),"")</f>
        <v>PRIVADO</v>
      </c>
      <c r="E2388" s="11" t="str">
        <f>IFERROR(IF(VLOOKUP(A2388,[15]PRIORIZADOS!$A:$E,5,FALSE)="","",VLOOKUP(A2388,[15]PRIORIZADOS!$A:$E,5,FALSE)),"")</f>
        <v>EPBM</v>
      </c>
      <c r="F2388" s="11" t="str">
        <f>IFERROR(IF(VLOOKUP(A2388,[15]PRIORIZADOS!$A:$F,6,FALSE)="","",VLOOKUP(A2388,[15]PRIORIZADOS!$A:$F,6,FALSE)),"")</f>
        <v>GIMNASIO_WILLIAM_MACKINLEY</v>
      </c>
      <c r="G2388" s="11" t="str">
        <f>IFERROR(IF(VLOOKUP(A2388,[15]PRIORIZADOS!$A:$G,7,FALSE)="","",VLOOKUP(A2388,[15]PRIORIZADOS!$A:$G,7,FALSE)),"")</f>
        <v>GIMNASIO WILLIAM MACKINLEY</v>
      </c>
      <c r="H2388" s="11" t="str">
        <f>IFERROR(IF(VLOOKUP(A2388,[15]PRIORIZADOS!$A:$H,8,FALSE)="","",VLOOKUP(A2388,[15]PRIORIZADOS!$A:$H,8,FALSE)),"")</f>
        <v>Autoevaluación Institucional y Pruebas SABER 11</v>
      </c>
      <c r="I2388" s="11" t="str">
        <f>IFERROR(IF(VLOOKUP(A2388,[15]PRIORIZADOS!$A:$I,9,FALSE)="","",VLOOKUP(A2388,[15]PRIORIZADOS!$A:$I,9,FALSE)),"")</f>
        <v>SEGUIMIENTO_Y_SUPERVISIÓN.</v>
      </c>
      <c r="J2388" s="11" t="str">
        <f>IFERROR(IF(VLOOKUP(A2388,[15]PRIORIZADOS!$A:$J,10,FALSE)="","",VLOOKUP(A2388,[15]PRIORIZADOS!$A:$J,10,FALSE)),"")</f>
        <v xml:space="preserve">Verificar la implementación por parte de los colegios, de acciones realizadas para la prevención y atención de las situaciones de convivencia en el entorno escolar, según lo establecido en la Directiva 01 de 2022 del MEN. </v>
      </c>
      <c r="K2388" s="49" t="s">
        <v>470</v>
      </c>
      <c r="L2388" s="49" t="s">
        <v>474</v>
      </c>
      <c r="M2388" s="71">
        <f>IFERROR(IF(VLOOKUP(A2388,[15]PRIORIZADOS!$A:$M,13,FALSE)="","",VLOOKUP(A2388,[15]PRIORIZADOS!$A:$M,13,FALSE)),"")</f>
        <v>45757</v>
      </c>
      <c r="N2388" s="71">
        <f>IFERROR(IF(VLOOKUP(A2388,[15]PRIORIZADOS!$A:$N,14,FALSE)="","",VLOOKUP(A2388,[15]PRIORIZADOS!$A:$N,14,FALSE)),"")</f>
        <v>45757</v>
      </c>
      <c r="O2388" s="71">
        <f>IFERROR(IF(VLOOKUP(A2388,[15]PRIORIZADOS!$A:$O,15,FALSE)="","",VLOOKUP(A2388,[15]PRIORIZADOS!$A:$O,15,FALSE)),"")</f>
        <v>45757</v>
      </c>
      <c r="P2388" s="11" t="str">
        <f>IFERROR(IF(VLOOKUP(A2388,[15]PRIORIZADOS!$A:$P,16,FALSE)="","",VLOOKUP(A2388,[15]PRIORIZADOS!$A:$P,16,FALSE)),"")</f>
        <v>Visitas de evaluación con fines de mejoramiento</v>
      </c>
      <c r="Q2388" s="55" t="s">
        <v>476</v>
      </c>
      <c r="R2388" s="11" t="str">
        <f>IFERROR(IF(VLOOKUP(A2388,[15]PRIORIZADOS!$A:$R,18,FALSE)="","",VLOOKUP(A2388,[15]PRIORIZADOS!$A:$R,18,FALSE)),"")</f>
        <v xml:space="preserve">El equipo de psicoorientación realiza actividades de prevención de las violencias y promoción de derechos, atención particular a casos, aplicación de protocolos, activación de rutas, reporte al sistema de alertas y consulta de antecedentes del personal vinculado a la institución. </v>
      </c>
      <c r="S2388" s="11" t="str">
        <f>IFERROR(IF(VLOOKUP(A2388,[15]PRIORIZADOS!$A:$S,19,FALSE)="","",VLOOKUP(A2388,[15]PRIORIZADOS!$A:$S,19,FALSE)),"")</f>
        <v>Continuar con la planeación de las acciones de prevención y promoción  de acuerdo con las necesidades isntitucionales.</v>
      </c>
      <c r="T2388" s="70" t="str">
        <f>IFERROR(IF(VLOOKUP(A2388,[15]PRIORIZADOS!$A:$T,20,FALSE)="","",VLOOKUP(A2388,[15]PRIORIZADOS!$A:$T,20,FALSE)),"")</f>
        <v>No</v>
      </c>
      <c r="U2388" s="11" t="str">
        <f>IFERROR(IF(VLOOKUP(A2388,[15]PRIORIZADOS!$A:$U,21,FALSE)="","",VLOOKUP(A2388,[15]PRIORIZADOS!$A:$U,21,FALSE)),"")</f>
        <v xml:space="preserve">Verificar la planeación de las acciones de prevención y promoción en caso de requerirse. </v>
      </c>
    </row>
    <row r="2389" spans="1:21" s="1" customFormat="1" ht="72">
      <c r="A2389" s="69">
        <f>IF([15]PRIORIZADOS!A39="","",[15]PRIORIZADOS!A39)</f>
        <v>2359</v>
      </c>
      <c r="B2389" s="70">
        <f>IFERROR(IF(VLOOKUP(A2389,[15]PRIORIZADOS!$A:$B,2,FALSE)="","",VLOOKUP(A2389,[15]PRIORIZADOS!$A:$B,2,FALSE)),"")</f>
        <v>4</v>
      </c>
      <c r="C2389" s="11" t="str">
        <f>IFERROR(IF(VLOOKUP(A2389,[15]PRIORIZADOS!$A:$C,3,FALSE)="","",VLOOKUP(A2389,[15]PRIORIZADOS!$A:$C,3,FALSE)),"")</f>
        <v>TEUSAQUILLO</v>
      </c>
      <c r="D2389" s="11" t="str">
        <f>IFERROR(IF(VLOOKUP(A2389,[15]PRIORIZADOS!$A:$D,4,FALSE)="","",VLOOKUP(A2389,[15]PRIORIZADOS!$A:$D,4,FALSE)),"")</f>
        <v>PRIVADO</v>
      </c>
      <c r="E2389" s="11" t="str">
        <f>IFERROR(IF(VLOOKUP(A2389,[15]PRIORIZADOS!$A:$E,5,FALSE)="","",VLOOKUP(A2389,[15]PRIORIZADOS!$A:$E,5,FALSE)),"")</f>
        <v>EPBM</v>
      </c>
      <c r="F2389" s="11" t="str">
        <f>IFERROR(IF(VLOOKUP(A2389,[15]PRIORIZADOS!$A:$F,6,FALSE)="","",VLOOKUP(A2389,[15]PRIORIZADOS!$A:$F,6,FALSE)),"")</f>
        <v>GIMNASIO_WILLIAM_MACKINLEY</v>
      </c>
      <c r="G2389" s="11" t="str">
        <f>IFERROR(IF(VLOOKUP(A2389,[15]PRIORIZADOS!$A:$G,7,FALSE)="","",VLOOKUP(A2389,[15]PRIORIZADOS!$A:$G,7,FALSE)),"")</f>
        <v>GIMNASIO WILLIAM MACKINLEY</v>
      </c>
      <c r="H2389" s="11" t="str">
        <f>IFERROR(IF(VLOOKUP(A2389,[15]PRIORIZADOS!$A:$H,8,FALSE)="","",VLOOKUP(A2389,[15]PRIORIZADOS!$A:$H,8,FALSE)),"")</f>
        <v>Autoevaluación Institucional y Pruebas SABER 11</v>
      </c>
      <c r="I2389" s="11" t="str">
        <f>IFERROR(IF(VLOOKUP(A2389,[15]PRIORIZADOS!$A:$I,9,FALSE)="","",VLOOKUP(A2389,[15]PRIORIZADOS!$A:$I,9,FALSE)),"")</f>
        <v>SEGUIMIENTO_Y_SUPERVISIÓN.</v>
      </c>
      <c r="J2389" s="11" t="str">
        <f>IFERROR(IF(VLOOKUP(A2389,[15]PRIORIZADOS!$A:$J,10,FALSE)="","",VLOOKUP(A2389,[15]PRIORIZADOS!$A:$J,10,FALSE)),"")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89" s="49" t="s">
        <v>470</v>
      </c>
      <c r="L2389" s="49" t="s">
        <v>474</v>
      </c>
      <c r="M2389" s="71">
        <f>IFERROR(IF(VLOOKUP(A2389,[15]PRIORIZADOS!$A:$M,13,FALSE)="","",VLOOKUP(A2389,[15]PRIORIZADOS!$A:$M,13,FALSE)),"")</f>
        <v>45757</v>
      </c>
      <c r="N2389" s="71">
        <f>IFERROR(IF(VLOOKUP(A2389,[15]PRIORIZADOS!$A:$N,14,FALSE)="","",VLOOKUP(A2389,[15]PRIORIZADOS!$A:$N,14,FALSE)),"")</f>
        <v>45757</v>
      </c>
      <c r="O2389" s="71">
        <f>IFERROR(IF(VLOOKUP(A2389,[15]PRIORIZADOS!$A:$O,15,FALSE)="","",VLOOKUP(A2389,[15]PRIORIZADOS!$A:$O,15,FALSE)),"")</f>
        <v>45757</v>
      </c>
      <c r="P2389" s="11" t="str">
        <f>IFERROR(IF(VLOOKUP(A2389,[15]PRIORIZADOS!$A:$P,16,FALSE)="","",VLOOKUP(A2389,[15]PRIORIZADOS!$A:$P,16,FALSE)),"")</f>
        <v>Visitas de evaluación con fines de mejoramiento</v>
      </c>
      <c r="Q2389" s="55" t="s">
        <v>476</v>
      </c>
      <c r="R2389" s="11" t="str">
        <f>IFERROR(IF(VLOOKUP(A2389,[15]PRIORIZADOS!$A:$R,18,FALSE)="","",VLOOKUP(A2389,[15]PRIORIZADOS!$A:$R,18,FALSE)),"")</f>
        <v xml:space="preserve">Cuenta con los formatos PIAR de acuerdo con la norma, para la atención a casos identificados y diagnosticados, realiza seguimiento y registra el acompañamiento e información a padres por drive .   </v>
      </c>
      <c r="S2389" s="11" t="str">
        <f>IFERROR(IF(VLOOKUP(A2389,[15]PRIORIZADOS!$A:$S,19,FALSE)="","",VLOOKUP(A2389,[15]PRIORIZADOS!$A:$S,19,FALSE)),"")</f>
        <v xml:space="preserve">Continuar el seguimiento a los casos identificados y diagnosticados conforme el decreto 1421 de 2017 y elaboracion del PIAR de acuerdo con la necesidad. </v>
      </c>
      <c r="T2389" s="70" t="str">
        <f>IFERROR(IF(VLOOKUP(A2389,[15]PRIORIZADOS!$A:$T,20,FALSE)="","",VLOOKUP(A2389,[15]PRIORIZADOS!$A:$T,20,FALSE)),"")</f>
        <v>No</v>
      </c>
      <c r="U2389" s="11" t="str">
        <f>IFERROR(IF(VLOOKUP(A2389,[15]PRIORIZADOS!$A:$U,21,FALSE)="","",VLOOKUP(A2389,[15]PRIORIZADOS!$A:$U,21,FALSE)),"")</f>
        <v xml:space="preserve">Veificar el documento PIAR en caso de requerirse. </v>
      </c>
    </row>
    <row r="2390" spans="1:21" s="1" customFormat="1" ht="84">
      <c r="A2390" s="69">
        <f>IF([15]PRIORIZADOS!A40="","",[15]PRIORIZADOS!A40)</f>
        <v>2361</v>
      </c>
      <c r="B2390" s="70">
        <f>IFERROR(IF(VLOOKUP(A2390,[15]PRIORIZADOS!$A:$B,2,FALSE)="","",VLOOKUP(A2390,[15]PRIORIZADOS!$A:$B,2,FALSE)),"")</f>
        <v>4</v>
      </c>
      <c r="C2390" s="11" t="str">
        <f>IFERROR(IF(VLOOKUP(A2390,[15]PRIORIZADOS!$A:$C,3,FALSE)="","",VLOOKUP(A2390,[15]PRIORIZADOS!$A:$C,3,FALSE)),"")</f>
        <v>TEUSAQUILLO</v>
      </c>
      <c r="D2390" s="11" t="str">
        <f>IFERROR(IF(VLOOKUP(A2390,[15]PRIORIZADOS!$A:$D,4,FALSE)="","",VLOOKUP(A2390,[15]PRIORIZADOS!$A:$D,4,FALSE)),"")</f>
        <v>PRIVADO</v>
      </c>
      <c r="E2390" s="11" t="str">
        <f>IFERROR(IF(VLOOKUP(A2390,[15]PRIORIZADOS!$A:$E,5,FALSE)="","",VLOOKUP(A2390,[15]PRIORIZADOS!$A:$E,5,FALSE)),"")</f>
        <v>EPBM</v>
      </c>
      <c r="F2390" s="11" t="str">
        <f>IFERROR(IF(VLOOKUP(A2390,[15]PRIORIZADOS!$A:$F,6,FALSE)="","",VLOOKUP(A2390,[15]PRIORIZADOS!$A:$F,6,FALSE)),"")</f>
        <v>GIMNASIO_WILLIAM_MACKINLEY</v>
      </c>
      <c r="G2390" s="11" t="str">
        <f>IFERROR(IF(VLOOKUP(A2390,[15]PRIORIZADOS!$A:$G,7,FALSE)="","",VLOOKUP(A2390,[15]PRIORIZADOS!$A:$G,7,FALSE)),"")</f>
        <v>GIMNASIO WILLIAM MACKINLEY</v>
      </c>
      <c r="H2390" s="11" t="str">
        <f>IFERROR(IF(VLOOKUP(A2390,[15]PRIORIZADOS!$A:$H,8,FALSE)="","",VLOOKUP(A2390,[15]PRIORIZADOS!$A:$H,8,FALSE)),"")</f>
        <v>Autoevaluación Institucional y Pruebas SABER 11</v>
      </c>
      <c r="I2390" s="11" t="str">
        <f>IFERROR(IF(VLOOKUP(A2390,[15]PRIORIZADOS!$A:$I,9,FALSE)="","",VLOOKUP(A2390,[15]PRIORIZADOS!$A:$I,9,FALSE)),"")</f>
        <v>EVALUACIÓN_CON_FINES_DE_MEJORAMIENTO.</v>
      </c>
      <c r="J2390" s="11" t="str">
        <f>IFERROR(IF(VLOOKUP(A2390,[15]PRIORIZADOS!$A:$J,10,FALSE)="","",VLOOKUP(A2390,[15]PRIORIZADOS!$A:$J,10,FALSE)),"")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90" s="49" t="s">
        <v>470</v>
      </c>
      <c r="L2390" s="49" t="s">
        <v>469</v>
      </c>
      <c r="M2390" s="71">
        <f>IFERROR(IF(VLOOKUP(A2390,[15]PRIORIZADOS!$A:$M,13,FALSE)="","",VLOOKUP(A2390,[15]PRIORIZADOS!$A:$M,13,FALSE)),"")</f>
        <v>45757</v>
      </c>
      <c r="N2390" s="71">
        <f>IFERROR(IF(VLOOKUP(A2390,[15]PRIORIZADOS!$A:$N,14,FALSE)="","",VLOOKUP(A2390,[15]PRIORIZADOS!$A:$N,14,FALSE)),"")</f>
        <v>45757</v>
      </c>
      <c r="O2390" s="71">
        <f>IFERROR(IF(VLOOKUP(A2390,[15]PRIORIZADOS!$A:$O,15,FALSE)="","",VLOOKUP(A2390,[15]PRIORIZADOS!$A:$O,15,FALSE)),"")</f>
        <v>45757</v>
      </c>
      <c r="P2390" s="11" t="str">
        <f>IFERROR(IF(VLOOKUP(A2390,[15]PRIORIZADOS!$A:$P,16,FALSE)="","",VLOOKUP(A2390,[15]PRIORIZADOS!$A:$P,16,FALSE)),"")</f>
        <v>Visitas de evaluación con fines de mejoramiento</v>
      </c>
      <c r="Q2390" s="45" t="s">
        <v>476</v>
      </c>
      <c r="R2390" s="11" t="str">
        <f>IFERROR(IF(VLOOKUP(A2390,[15]PRIORIZADOS!$A:$R,18,FALSE)="","",VLOOKUP(A2390,[15]PRIORIZADOS!$A:$R,18,FALSE)),"")</f>
        <v xml:space="preserve">a isntitución realizó los ajustes  indicados por el ELIVCuenta con Manual de Convivencia actualizado que incluye aspectos vigentes normativos, se evidencia registros de ajustes y de socialización con la comunidad educativa.   </v>
      </c>
      <c r="S2390" s="11" t="str">
        <f>IFERROR(IF(VLOOKUP(A2390,[15]PRIORIZADOS!$A:$S,19,FALSE)="","",VLOOKUP(A2390,[15]PRIORIZADOS!$A:$S,19,FALSE)),"")</f>
        <v/>
      </c>
      <c r="T2390" s="70" t="str">
        <f>IFERROR(IF(VLOOKUP(A2390,[15]PRIORIZADOS!$A:$T,20,FALSE)="","",VLOOKUP(A2390,[15]PRIORIZADOS!$A:$T,20,FALSE)),"")</f>
        <v>No</v>
      </c>
      <c r="U2390" s="11" t="str">
        <f>IFERROR(IF(VLOOKUP(A2390,[15]PRIORIZADOS!$A:$U,21,FALSE)="","",VLOOKUP(A2390,[15]PRIORIZADOS!$A:$U,21,FALSE)),"")</f>
        <v>Verificacion de la aplicación del manual por la institución y su actualización anual</v>
      </c>
    </row>
    <row r="2391" spans="1:21" s="1" customFormat="1" ht="60">
      <c r="A2391" s="69">
        <f>IF([15]PRIORIZADOS!A41="","",[15]PRIORIZADOS!A41)</f>
        <v>2362</v>
      </c>
      <c r="B2391" s="70">
        <f>IFERROR(IF(VLOOKUP(A2391,[15]PRIORIZADOS!$A:$B,2,FALSE)="","",VLOOKUP(A2391,[15]PRIORIZADOS!$A:$B,2,FALSE)),"")</f>
        <v>4</v>
      </c>
      <c r="C2391" s="11" t="str">
        <f>IFERROR(IF(VLOOKUP(A2391,[15]PRIORIZADOS!$A:$C,3,FALSE)="","",VLOOKUP(A2391,[15]PRIORIZADOS!$A:$C,3,FALSE)),"")</f>
        <v>TEUSAQUILLO</v>
      </c>
      <c r="D2391" s="11" t="str">
        <f>IFERROR(IF(VLOOKUP(A2391,[15]PRIORIZADOS!$A:$D,4,FALSE)="","",VLOOKUP(A2391,[15]PRIORIZADOS!$A:$D,4,FALSE)),"")</f>
        <v>PRIVADO</v>
      </c>
      <c r="E2391" s="11" t="str">
        <f>IFERROR(IF(VLOOKUP(A2391,[15]PRIORIZADOS!$A:$E,5,FALSE)="","",VLOOKUP(A2391,[15]PRIORIZADOS!$A:$E,5,FALSE)),"")</f>
        <v>EPBM</v>
      </c>
      <c r="F2391" s="11" t="str">
        <f>IFERROR(IF(VLOOKUP(A2391,[15]PRIORIZADOS!$A:$F,6,FALSE)="","",VLOOKUP(A2391,[15]PRIORIZADOS!$A:$F,6,FALSE)),"")</f>
        <v>GIMNASIO_WILLIAM_MACKINLEY</v>
      </c>
      <c r="G2391" s="11" t="str">
        <f>IFERROR(IF(VLOOKUP(A2391,[15]PRIORIZADOS!$A:$G,7,FALSE)="","",VLOOKUP(A2391,[15]PRIORIZADOS!$A:$G,7,FALSE)),"")</f>
        <v>GIMNASIO WILLIAM MACKINLEY</v>
      </c>
      <c r="H2391" s="11" t="str">
        <f>IFERROR(IF(VLOOKUP(A2391,[15]PRIORIZADOS!$A:$H,8,FALSE)="","",VLOOKUP(A2391,[15]PRIORIZADOS!$A:$H,8,FALSE)),"")</f>
        <v>Autoevaluación Institucional y Pruebas SABER 11</v>
      </c>
      <c r="I2391" s="11" t="str">
        <f>IFERROR(IF(VLOOKUP(A2391,[15]PRIORIZADOS!$A:$I,9,FALSE)="","",VLOOKUP(A2391,[15]PRIORIZADOS!$A:$I,9,FALSE)),"")</f>
        <v>EVALUACIÓN_CON_FINES_DE_MEJORAMIENTO.</v>
      </c>
      <c r="J2391" s="11" t="str">
        <f>IFERROR(IF(VLOOKUP(A2391,[15]PRIORIZADOS!$A:$J,10,FALSE)="","",VLOOKUP(A2391,[15]PRIORIZADOS!$A:$J,10,FALSE)),"")</f>
        <v>Revisar la actualización, socialización e implementación del Sistema Institucional de Evaluación de Estudiantes - SIEE, en articulación con la actualización del PEI y la normatividad vigente.</v>
      </c>
      <c r="K2391" s="49" t="s">
        <v>470</v>
      </c>
      <c r="L2391" s="49" t="s">
        <v>469</v>
      </c>
      <c r="M2391" s="71">
        <f>IFERROR(IF(VLOOKUP(A2391,[15]PRIORIZADOS!$A:$M,13,FALSE)="","",VLOOKUP(A2391,[15]PRIORIZADOS!$A:$M,13,FALSE)),"")</f>
        <v>45757</v>
      </c>
      <c r="N2391" s="71">
        <f>IFERROR(IF(VLOOKUP(A2391,[15]PRIORIZADOS!$A:$N,14,FALSE)="","",VLOOKUP(A2391,[15]PRIORIZADOS!$A:$N,14,FALSE)),"")</f>
        <v>45757</v>
      </c>
      <c r="O2391" s="71">
        <f>IFERROR(IF(VLOOKUP(A2391,[15]PRIORIZADOS!$A:$O,15,FALSE)="","",VLOOKUP(A2391,[15]PRIORIZADOS!$A:$O,15,FALSE)),"")</f>
        <v>45757</v>
      </c>
      <c r="P2391" s="11" t="str">
        <f>IFERROR(IF(VLOOKUP(A2391,[15]PRIORIZADOS!$A:$P,16,FALSE)="","",VLOOKUP(A2391,[15]PRIORIZADOS!$A:$P,16,FALSE)),"")</f>
        <v>Visitas de evaluación con fines de mejoramiento</v>
      </c>
      <c r="Q2391" s="45" t="s">
        <v>476</v>
      </c>
      <c r="R2391" s="11" t="str">
        <f>IFERROR(IF(VLOOKUP(A2391,[15]PRIORIZADOS!$A:$R,18,FALSE)="","",VLOOKUP(A2391,[15]PRIORIZADOS!$A:$R,18,FALSE)),"")</f>
        <v>Incorpora SIEE en el Manual de Convivencia Escolar, se evidencia su implementación con procesos claro, registro en sistema y reporte periódico.</v>
      </c>
      <c r="S2391" s="11" t="str">
        <f>IFERROR(IF(VLOOKUP(A2391,[15]PRIORIZADOS!$A:$S,19,FALSE)="","",VLOOKUP(A2391,[15]PRIORIZADOS!$A:$S,19,FALSE)),"")</f>
        <v xml:space="preserve">La institución cuenta con SIEE debidamente estructurado, que implementa en los procesos pedagógicos, con registros en un sistema y con reporte en cada periodo. </v>
      </c>
      <c r="T2391" s="70" t="str">
        <f>IFERROR(IF(VLOOKUP(A2391,[15]PRIORIZADOS!$A:$T,20,FALSE)="","",VLOOKUP(A2391,[15]PRIORIZADOS!$A:$T,20,FALSE)),"")</f>
        <v>No</v>
      </c>
      <c r="U2391" s="11" t="str">
        <f>IFERROR(IF(VLOOKUP(A2391,[15]PRIORIZADOS!$A:$U,21,FALSE)="","",VLOOKUP(A2391,[15]PRIORIZADOS!$A:$U,21,FALSE)),"")</f>
        <v xml:space="preserve">Verificar la aplicación del SIEE con el registro de información académica correspondiente de áreas y asignaturas impartidas en la institución. </v>
      </c>
    </row>
    <row r="2392" spans="1:21" s="1" customFormat="1" ht="60">
      <c r="A2392" s="69">
        <f>IF([15]PRIORIZADOS!A42="","",[15]PRIORIZADOS!A42)</f>
        <v>2363</v>
      </c>
      <c r="B2392" s="70">
        <f>IFERROR(IF(VLOOKUP(A2392,[15]PRIORIZADOS!$A:$B,2,FALSE)="","",VLOOKUP(A2392,[15]PRIORIZADOS!$A:$B,2,FALSE)),"")</f>
        <v>4</v>
      </c>
      <c r="C2392" s="11" t="str">
        <f>IFERROR(IF(VLOOKUP(A2392,[15]PRIORIZADOS!$A:$C,3,FALSE)="","",VLOOKUP(A2392,[15]PRIORIZADOS!$A:$C,3,FALSE)),"")</f>
        <v>TEUSAQUILLO</v>
      </c>
      <c r="D2392" s="11" t="str">
        <f>IFERROR(IF(VLOOKUP(A2392,[15]PRIORIZADOS!$A:$D,4,FALSE)="","",VLOOKUP(A2392,[15]PRIORIZADOS!$A:$D,4,FALSE)),"")</f>
        <v>PRIVADO</v>
      </c>
      <c r="E2392" s="11" t="str">
        <f>IFERROR(IF(VLOOKUP(A2392,[15]PRIORIZADOS!$A:$E,5,FALSE)="","",VLOOKUP(A2392,[15]PRIORIZADOS!$A:$E,5,FALSE)),"")</f>
        <v>EPBM</v>
      </c>
      <c r="F2392" s="11" t="str">
        <f>IFERROR(IF(VLOOKUP(A2392,[15]PRIORIZADOS!$A:$F,6,FALSE)="","",VLOOKUP(A2392,[15]PRIORIZADOS!$A:$F,6,FALSE)),"")</f>
        <v>GIMNASIO_WILLIAM_MACKINLEY</v>
      </c>
      <c r="G2392" s="11" t="str">
        <f>IFERROR(IF(VLOOKUP(A2392,[15]PRIORIZADOS!$A:$G,7,FALSE)="","",VLOOKUP(A2392,[15]PRIORIZADOS!$A:$G,7,FALSE)),"")</f>
        <v>GIMNASIO WILLIAM MACKINLEY</v>
      </c>
      <c r="H2392" s="11" t="str">
        <f>IFERROR(IF(VLOOKUP(A2392,[15]PRIORIZADOS!$A:$H,8,FALSE)="","",VLOOKUP(A2392,[15]PRIORIZADOS!$A:$H,8,FALSE)),"")</f>
        <v>Autoevaluación Institucional y Pruebas SABER 11</v>
      </c>
      <c r="I2392" s="11" t="str">
        <f>IFERROR(IF(VLOOKUP(A2392,[15]PRIORIZADOS!$A:$I,9,FALSE)="","",VLOOKUP(A2392,[15]PRIORIZADOS!$A:$I,9,FALSE)),"")</f>
        <v>EVALUACIÓN_CON_FINES_DE_MEJORAMIENTO.</v>
      </c>
      <c r="J2392" s="11" t="str">
        <f>IFERROR(IF(VLOOKUP(A2392,[15]PRIORIZADOS!$A:$J,10,FALSE)="","",VLOOKUP(A2392,[15]PRIORIZADOS!$A:$J,10,FALSE)),"")</f>
        <v>Revisar el calendario escolar, jornada escolar, la intensidad horaria mínima anual en cada nivel y las modificaciones que se realicen al mismo, de acuerdo con lo previsto en la normatividad vigente.</v>
      </c>
      <c r="K2392" s="49" t="s">
        <v>470</v>
      </c>
      <c r="L2392" s="49" t="s">
        <v>469</v>
      </c>
      <c r="M2392" s="71">
        <f>IFERROR(IF(VLOOKUP(A2392,[15]PRIORIZADOS!$A:$M,13,FALSE)="","",VLOOKUP(A2392,[15]PRIORIZADOS!$A:$M,13,FALSE)),"")</f>
        <v>45757</v>
      </c>
      <c r="N2392" s="71">
        <f>IFERROR(IF(VLOOKUP(A2392,[15]PRIORIZADOS!$A:$N,14,FALSE)="","",VLOOKUP(A2392,[15]PRIORIZADOS!$A:$N,14,FALSE)),"")</f>
        <v>45757</v>
      </c>
      <c r="O2392" s="71">
        <f>IFERROR(IF(VLOOKUP(A2392,[15]PRIORIZADOS!$A:$O,15,FALSE)="","",VLOOKUP(A2392,[15]PRIORIZADOS!$A:$O,15,FALSE)),"")</f>
        <v>45757</v>
      </c>
      <c r="P2392" s="11" t="str">
        <f>IFERROR(IF(VLOOKUP(A2392,[15]PRIORIZADOS!$A:$P,16,FALSE)="","",VLOOKUP(A2392,[15]PRIORIZADOS!$A:$P,16,FALSE)),"")</f>
        <v>Visitas de evaluación con fines de mejoramiento</v>
      </c>
      <c r="Q2392" s="45" t="s">
        <v>476</v>
      </c>
      <c r="R2392" s="11" t="str">
        <f>IFERROR(IF(VLOOKUP(A2392,[15]PRIORIZADOS!$A:$R,18,FALSE)="","",VLOOKUP(A2392,[15]PRIORIZADOS!$A:$R,18,FALSE)),"")</f>
        <v xml:space="preserve">Cuenta con calendario escolar que define actividades académicas para el desarrollo institucional de la vigencia y los medios de socialización con toda la comunidad educativa. </v>
      </c>
      <c r="S2392" s="11" t="str">
        <f>IFERROR(IF(VLOOKUP(A2392,[15]PRIORIZADOS!$A:$S,19,FALSE)="","",VLOOKUP(A2392,[15]PRIORIZADOS!$A:$S,19,FALSE)),"")</f>
        <v xml:space="preserve">La institución implementa el calendario escolar garantizando la intensidad horaria anual para los niveles autorizados de acuerdo a la norma. </v>
      </c>
      <c r="T2392" s="70" t="str">
        <f>IFERROR(IF(VLOOKUP(A2392,[15]PRIORIZADOS!$A:$T,20,FALSE)="","",VLOOKUP(A2392,[15]PRIORIZADOS!$A:$T,20,FALSE)),"")</f>
        <v>No</v>
      </c>
      <c r="U2392" s="11" t="str">
        <f>IFERROR(IF(VLOOKUP(A2392,[15]PRIORIZADOS!$A:$U,21,FALSE)="","",VLOOKUP(A2392,[15]PRIORIZADOS!$A:$U,21,FALSE)),"")</f>
        <v>Verificar el desarrollo institucional y las actividades académicas establecidas en el calendario escolar.</v>
      </c>
    </row>
    <row r="2393" spans="1:21" s="1" customFormat="1" ht="48">
      <c r="A2393" s="69">
        <f>IF([15]PRIORIZADOS!A43="","",[15]PRIORIZADOS!A43)</f>
        <v>2364</v>
      </c>
      <c r="B2393" s="70">
        <f>IFERROR(IF(VLOOKUP(A2393,[15]PRIORIZADOS!$A:$B,2,FALSE)="","",VLOOKUP(A2393,[15]PRIORIZADOS!$A:$B,2,FALSE)),"")</f>
        <v>4</v>
      </c>
      <c r="C2393" s="11" t="str">
        <f>IFERROR(IF(VLOOKUP(A2393,[15]PRIORIZADOS!$A:$C,3,FALSE)="","",VLOOKUP(A2393,[15]PRIORIZADOS!$A:$C,3,FALSE)),"")</f>
        <v>TEUSAQUILLO</v>
      </c>
      <c r="D2393" s="11" t="str">
        <f>IFERROR(IF(VLOOKUP(A2393,[15]PRIORIZADOS!$A:$D,4,FALSE)="","",VLOOKUP(A2393,[15]PRIORIZADOS!$A:$D,4,FALSE)),"")</f>
        <v>PRIVADO</v>
      </c>
      <c r="E2393" s="11" t="str">
        <f>IFERROR(IF(VLOOKUP(A2393,[15]PRIORIZADOS!$A:$E,5,FALSE)="","",VLOOKUP(A2393,[15]PRIORIZADOS!$A:$E,5,FALSE)),"")</f>
        <v>EPBM</v>
      </c>
      <c r="F2393" s="11" t="str">
        <f>IFERROR(IF(VLOOKUP(A2393,[15]PRIORIZADOS!$A:$F,6,FALSE)="","",VLOOKUP(A2393,[15]PRIORIZADOS!$A:$F,6,FALSE)),"")</f>
        <v>GIMNASIO_WILLIAM_MACKINLEY</v>
      </c>
      <c r="G2393" s="11" t="str">
        <f>IFERROR(IF(VLOOKUP(A2393,[15]PRIORIZADOS!$A:$G,7,FALSE)="","",VLOOKUP(A2393,[15]PRIORIZADOS!$A:$G,7,FALSE)),"")</f>
        <v>GIMNASIO WILLIAM MACKINLEY</v>
      </c>
      <c r="H2393" s="11" t="str">
        <f>IFERROR(IF(VLOOKUP(A2393,[15]PRIORIZADOS!$A:$H,8,FALSE)="","",VLOOKUP(A2393,[15]PRIORIZADOS!$A:$H,8,FALSE)),"")</f>
        <v>Autoevaluación Institucional y Pruebas SABER 11</v>
      </c>
      <c r="I2393" s="11" t="str">
        <f>IFERROR(IF(VLOOKUP(A2393,[15]PRIORIZADOS!$A:$I,9,FALSE)="","",VLOOKUP(A2393,[15]PRIORIZADOS!$A:$I,9,FALSE)),"")</f>
        <v>EVALUACIÓN_CON_FINES_DE_MEJORAMIENTO.</v>
      </c>
      <c r="J2393" s="11" t="str">
        <f>IFERROR(IF(VLOOKUP(A2393,[15]PRIORIZADOS!$A:$J,10,FALSE)="","",VLOOKUP(A2393,[15]PRIORIZADOS!$A:$J,10,FALSE)),"")</f>
        <v>Verificar el funcionamiento del Gobierno Escolar e instancias de participación con base en la información sobre conformación reportada por la institución educativa.</v>
      </c>
      <c r="K2393" s="49" t="s">
        <v>470</v>
      </c>
      <c r="L2393" s="49" t="s">
        <v>469</v>
      </c>
      <c r="M2393" s="71">
        <f>IFERROR(IF(VLOOKUP(A2393,[15]PRIORIZADOS!$A:$M,13,FALSE)="","",VLOOKUP(A2393,[15]PRIORIZADOS!$A:$M,13,FALSE)),"")</f>
        <v>45757</v>
      </c>
      <c r="N2393" s="71">
        <f>IFERROR(IF(VLOOKUP(A2393,[15]PRIORIZADOS!$A:$N,14,FALSE)="","",VLOOKUP(A2393,[15]PRIORIZADOS!$A:$N,14,FALSE)),"")</f>
        <v>45757</v>
      </c>
      <c r="O2393" s="71">
        <f>IFERROR(IF(VLOOKUP(A2393,[15]PRIORIZADOS!$A:$O,15,FALSE)="","",VLOOKUP(A2393,[15]PRIORIZADOS!$A:$O,15,FALSE)),"")</f>
        <v>45757</v>
      </c>
      <c r="P2393" s="11" t="str">
        <f>IFERROR(IF(VLOOKUP(A2393,[15]PRIORIZADOS!$A:$P,16,FALSE)="","",VLOOKUP(A2393,[15]PRIORIZADOS!$A:$P,16,FALSE)),"")</f>
        <v>Visitas de evaluación con fines de mejoramiento</v>
      </c>
      <c r="Q2393" s="45" t="s">
        <v>476</v>
      </c>
      <c r="R2393" s="11" t="str">
        <f>IFERROR(IF(VLOOKUP(A2393,[15]PRIORIZADOS!$A:$R,18,FALSE)="","",VLOOKUP(A2393,[15]PRIORIZADOS!$A:$R,18,FALSE)),"")</f>
        <v>Registra actas que evidencian su funcionamiento para el año 2024. La conformación no registra en actas establecidas por la SED</v>
      </c>
      <c r="S2393" s="11" t="str">
        <f>IFERROR(IF(VLOOKUP(A2393,[15]PRIORIZADOS!$A:$S,19,FALSE)="","",VLOOKUP(A2393,[15]PRIORIZADOS!$A:$S,19,FALSE)),"")</f>
        <v xml:space="preserve"> La institución a la fecha no registra las actas en sistema de apoyo escolar.</v>
      </c>
      <c r="T2393" s="70" t="str">
        <f>IFERROR(IF(VLOOKUP(A2393,[15]PRIORIZADOS!$A:$T,20,FALSE)="","",VLOOKUP(A2393,[15]PRIORIZADOS!$A:$T,20,FALSE)),"")</f>
        <v>Si</v>
      </c>
      <c r="U2393" s="11" t="str">
        <f>IFERROR(IF(VLOOKUP(A2393,[15]PRIORIZADOS!$A:$U,21,FALSE)="","",VLOOKUP(A2393,[15]PRIORIZADOS!$A:$U,21,FALSE)),"")</f>
        <v xml:space="preserve">Se informa a la institución sobre el proceso que tiene culminar con el cargue de documentos en el sistema SAE de conformidad a la circular que emitió la entidad al inicio de año y cronograma establecido, y el seguimiento que realizará inspección y vigilancia para su conformación y   funcionamiento para el año 2025. </v>
      </c>
    </row>
    <row r="2394" spans="1:21" s="1" customFormat="1" ht="72">
      <c r="A2394" s="69">
        <f>IF([15]PRIORIZADOS!A44="","",[15]PRIORIZADOS!A44)</f>
        <v>2365</v>
      </c>
      <c r="B2394" s="70">
        <f>IFERROR(IF(VLOOKUP(A2394,[15]PRIORIZADOS!$A:$B,2,FALSE)="","",VLOOKUP(A2394,[15]PRIORIZADOS!$A:$B,2,FALSE)),"")</f>
        <v>4</v>
      </c>
      <c r="C2394" s="11" t="str">
        <f>IFERROR(IF(VLOOKUP(A2394,[15]PRIORIZADOS!$A:$C,3,FALSE)="","",VLOOKUP(A2394,[15]PRIORIZADOS!$A:$C,3,FALSE)),"")</f>
        <v>TEUSAQUILLO</v>
      </c>
      <c r="D2394" s="11" t="str">
        <f>IFERROR(IF(VLOOKUP(A2394,[15]PRIORIZADOS!$A:$D,4,FALSE)="","",VLOOKUP(A2394,[15]PRIORIZADOS!$A:$D,4,FALSE)),"")</f>
        <v>PRIVADO</v>
      </c>
      <c r="E2394" s="11" t="str">
        <f>IFERROR(IF(VLOOKUP(A2394,[15]PRIORIZADOS!$A:$E,5,FALSE)="","",VLOOKUP(A2394,[15]PRIORIZADOS!$A:$E,5,FALSE)),"")</f>
        <v>EPBM</v>
      </c>
      <c r="F2394" s="11" t="str">
        <f>IFERROR(IF(VLOOKUP(A2394,[15]PRIORIZADOS!$A:$F,6,FALSE)="","",VLOOKUP(A2394,[15]PRIORIZADOS!$A:$F,6,FALSE)),"")</f>
        <v>GIMNASIO_WILLIAM_MACKINLEY</v>
      </c>
      <c r="G2394" s="11" t="str">
        <f>IFERROR(IF(VLOOKUP(A2394,[15]PRIORIZADOS!$A:$G,7,FALSE)="","",VLOOKUP(A2394,[15]PRIORIZADOS!$A:$G,7,FALSE)),"")</f>
        <v>GIMNASIO WILLIAM MACKINLEY</v>
      </c>
      <c r="H2394" s="11" t="str">
        <f>IFERROR(IF(VLOOKUP(A2394,[15]PRIORIZADOS!$A:$H,8,FALSE)="","",VLOOKUP(A2394,[15]PRIORIZADOS!$A:$H,8,FALSE)),"")</f>
        <v>Autoevaluación Institucional y Pruebas SABER 11</v>
      </c>
      <c r="I2394" s="11" t="str">
        <f>IFERROR(IF(VLOOKUP(A2394,[15]PRIORIZADOS!$A:$I,9,FALSE)="","",VLOOKUP(A2394,[15]PRIORIZADOS!$A:$I,9,FALSE)),"")</f>
        <v>EVALUACIÓN_CON_FINES_DE_MEJORAMIENTO.</v>
      </c>
      <c r="J2394" s="11" t="str">
        <f>IFERROR(IF(VLOOKUP(A2394,[15]PRIORIZADOS!$A:$J,10,FALSE)="","",VLOOKUP(A2394,[15]PRIORIZADOS!$A:$J,10,FALSE)),"")</f>
        <v>Verificar las condiciones en cuanto a: la estructura administrativa, condiciones de la planta física y medios educativos adecuados.</v>
      </c>
      <c r="K2394" s="49" t="s">
        <v>470</v>
      </c>
      <c r="L2394" s="49" t="s">
        <v>469</v>
      </c>
      <c r="M2394" s="71">
        <f>IFERROR(IF(VLOOKUP(A2394,[15]PRIORIZADOS!$A:$M,13,FALSE)="","",VLOOKUP(A2394,[15]PRIORIZADOS!$A:$M,13,FALSE)),"")</f>
        <v>45757</v>
      </c>
      <c r="N2394" s="71">
        <f>IFERROR(IF(VLOOKUP(A2394,[15]PRIORIZADOS!$A:$N,14,FALSE)="","",VLOOKUP(A2394,[15]PRIORIZADOS!$A:$N,14,FALSE)),"")</f>
        <v>45757</v>
      </c>
      <c r="O2394" s="71">
        <f>IFERROR(IF(VLOOKUP(A2394,[15]PRIORIZADOS!$A:$O,15,FALSE)="","",VLOOKUP(A2394,[15]PRIORIZADOS!$A:$O,15,FALSE)),"")</f>
        <v>45757</v>
      </c>
      <c r="P2394" s="11" t="str">
        <f>IFERROR(IF(VLOOKUP(A2394,[15]PRIORIZADOS!$A:$P,16,FALSE)="","",VLOOKUP(A2394,[15]PRIORIZADOS!$A:$P,16,FALSE)),"")</f>
        <v>Visitas de evaluación con fines de mejoramiento</v>
      </c>
      <c r="Q2394" s="56" t="s">
        <v>476</v>
      </c>
      <c r="R2394" s="11" t="str">
        <f>IFERROR(IF(VLOOKUP(A2394,[15]PRIORIZADOS!$A:$R,18,FALSE)="","",VLOOKUP(A2394,[15]PRIORIZADOS!$A:$R,18,FALSE)),"")</f>
        <v xml:space="preserve">Cuenta con la estructura administrativa que indica en el PEI y que reportó en la autoevaluación institucional 2024 en EVI como con los medios educativos; de igual forma, se evidenciaron condiciones adecuadas de la planta física.  </v>
      </c>
      <c r="S2394" s="11" t="str">
        <f>IFERROR(IF(VLOOKUP(A2394,[15]PRIORIZADOS!$A:$S,19,FALSE)="","",VLOOKUP(A2394,[15]PRIORIZADOS!$A:$S,19,FALSE)),"")</f>
        <v xml:space="preserve">La estructura administrativa, las condiciones de planta física, y medio educativos, son coherentes con lo reportado en la autoevaluación institucional y PEI. </v>
      </c>
      <c r="T2394" s="70" t="str">
        <f>IFERROR(IF(VLOOKUP(A2394,[15]PRIORIZADOS!$A:$T,20,FALSE)="","",VLOOKUP(A2394,[15]PRIORIZADOS!$A:$T,20,FALSE)),"")</f>
        <v>Si</v>
      </c>
      <c r="U2394" s="11" t="str">
        <f>IFERROR(IF(VLOOKUP(A2394,[15]PRIORIZADOS!$A:$U,21,FALSE)="","",VLOOKUP(A2394,[15]PRIORIZADOS!$A:$U,21,FALSE)),"")</f>
        <v xml:space="preserve">Se verificará los ajustes que realice la institución en cuanto al % de registro de los PGRCC en SURE y ajustes en SIMAT en lo referente a número de grupos y caracterización de población con discapacidad. </v>
      </c>
    </row>
    <row r="2395" spans="1:21" s="1" customFormat="1" ht="154.5">
      <c r="A2395" s="69">
        <f>IF([15]PRIORIZADOS!A45="","",[15]PRIORIZADOS!A45)</f>
        <v>2366</v>
      </c>
      <c r="B2395" s="70">
        <f>IFERROR(IF(VLOOKUP(A2395,[15]PRIORIZADOS!$A:$B,2,FALSE)="","",VLOOKUP(A2395,[15]PRIORIZADOS!$A:$B,2,FALSE)),"")</f>
        <v>5</v>
      </c>
      <c r="C2395" s="11" t="str">
        <f>IFERROR(IF(VLOOKUP(A2395,[15]PRIORIZADOS!$A:$C,3,FALSE)="","",VLOOKUP(A2395,[15]PRIORIZADOS!$A:$C,3,FALSE)),"")</f>
        <v>TEUSAQUILLO</v>
      </c>
      <c r="D2395" s="11" t="str">
        <f>IFERROR(IF(VLOOKUP(A2395,[15]PRIORIZADOS!$A:$D,4,FALSE)="","",VLOOKUP(A2395,[15]PRIORIZADOS!$A:$D,4,FALSE)),"")</f>
        <v>PRIVADO</v>
      </c>
      <c r="E2395" s="11" t="str">
        <f>IFERROR(IF(VLOOKUP(A2395,[15]PRIORIZADOS!$A:$E,5,FALSE)="","",VLOOKUP(A2395,[15]PRIORIZADOS!$A:$E,5,FALSE)),"")</f>
        <v>Educación Inicial</v>
      </c>
      <c r="F2395" s="11" t="str">
        <f>IFERROR(IF(VLOOKUP(A2395,[15]PRIORIZADOS!$A:$F,6,FALSE)="","",VLOOKUP(A2395,[15]PRIORIZADOS!$A:$F,6,FALSE)),"")</f>
        <v>JARDIN_INFANTIL_CHARLES_PERRAULT</v>
      </c>
      <c r="G2395" s="11" t="str">
        <f>IFERROR(IF(VLOOKUP(A2395,[15]PRIORIZADOS!$A:$G,7,FALSE)="","",VLOOKUP(A2395,[15]PRIORIZADOS!$A:$G,7,FALSE)),"")</f>
        <v>JARDIN INFANTIL CHARLES PERRAULT</v>
      </c>
      <c r="H2395" s="11" t="str">
        <f>IFERROR(IF(VLOOKUP(A2395,[15]PRIORIZADOS!$A:$H,8,FALSE)="","",VLOOKUP(A2395,[15]PRIORIZADOS!$A:$H,8,FALSE)),"")</f>
        <v>Autoevaluación Institucional y Pruebas SABER 11</v>
      </c>
      <c r="I2395" s="11" t="str">
        <f>IFERROR(IF(VLOOKUP(A2395,[15]PRIORIZADOS!$A:$I,9,FALSE)="","",VLOOKUP(A2395,[15]PRIORIZADOS!$A:$I,9,FALSE)),"")</f>
        <v>SEGUIMIENTO_Y_SUPERVISIÓN.</v>
      </c>
      <c r="J2395" s="11" t="str">
        <f>IFERROR(IF(VLOOKUP(A2395,[15]PRIORIZADOS!$A:$J,10,FALSE)="","",VLOOKUP(A2395,[15]PRIORIZADOS!$A:$J,10,FALSE)),"")</f>
        <v>Realizar visitas para verificar la información registrada sobre la autoevaluación institucional en el aplicativo EVI, a los establecimientos de educación formal no oficial.</v>
      </c>
      <c r="K2395" s="49" t="s">
        <v>472</v>
      </c>
      <c r="L2395" s="49" t="s">
        <v>470</v>
      </c>
      <c r="M2395" s="71">
        <f>IFERROR(IF(VLOOKUP(A2395,[15]PRIORIZADOS!$A:$M,13,FALSE)="","",VLOOKUP(A2395,[15]PRIORIZADOS!$A:$M,13,FALSE)),"")</f>
        <v>45777</v>
      </c>
      <c r="N2395" s="71">
        <f>IFERROR(IF(VLOOKUP(A2395,[15]PRIORIZADOS!$A:$N,14,FALSE)="","",VLOOKUP(A2395,[15]PRIORIZADOS!$A:$N,14,FALSE)),"")</f>
        <v>45777</v>
      </c>
      <c r="O2395" s="71">
        <f>IFERROR(IF(VLOOKUP(A2395,[15]PRIORIZADOS!$A:$O,15,FALSE)="","",VLOOKUP(A2395,[15]PRIORIZADOS!$A:$O,15,FALSE)),"")</f>
        <v>45777</v>
      </c>
      <c r="P2395" s="11" t="str">
        <f>IFERROR(IF(VLOOKUP(A2395,[15]PRIORIZADOS!$A:$P,16,FALSE)="","",VLOOKUP(A2395,[15]PRIORIZADOS!$A:$P,16,FALSE)),"")</f>
        <v>Visitas de evaluación con fines de mejoramiento</v>
      </c>
      <c r="Q2395" s="46" t="s">
        <v>477</v>
      </c>
      <c r="R2395" s="11" t="str">
        <f>IFERROR(IF(VLOOKUP(A2395,[15]PRIORIZADOS!$A:$R,18,FALSE)="","",VLOOKUP(A2395,[15]PRIORIZADOS!$A:$R,18,FALSE)),"")</f>
        <v>Tras la revisión del aplicativo EVI, se evidenció una baja matrícula en el jardín infantil, registrando 19 estudiantes. Durante la visita administrativa, la rectora informó una cifra aún menor, con solo 10 estudiantes matriculados.
Ante esta situación, el equipo de inspección y vigilancia señaló el riesgo para la sostenibilidad del jardín. La rectora manifestó su preocupación y la posible necesidad de considerar el cierre del establecimiento educativo debido a la baja cantidad de alumnos.</v>
      </c>
      <c r="S2395" s="11" t="str">
        <f>IFERROR(IF(VLOOKUP(A2395,[15]PRIORIZADOS!$A:$S,19,FALSE)="","",VLOOKUP(A2395,[15]PRIORIZADOS!$A:$S,19,FALSE)),"")</f>
        <v xml:space="preserve">Evaluar la pertinencia de continuidad de prestación del servicio educativo y de la licencia de funcionamiento, o la planificación de estrategias de mejoramiento para incremento de matrícula. </v>
      </c>
      <c r="T2395" s="70" t="str">
        <f>IFERROR(IF(VLOOKUP(A2395,[15]PRIORIZADOS!$A:$T,20,FALSE)="","",VLOOKUP(A2395,[15]PRIORIZADOS!$A:$T,20,FALSE)),"")</f>
        <v>Si</v>
      </c>
      <c r="U2395" s="11" t="str">
        <f>IFERROR(IF(VLOOKUP(A2395,[15]PRIORIZADOS!$A:$U,21,FALSE)="","",VLOOKUP(A2395,[15]PRIORIZADOS!$A:$U,21,FALSE)),"")</f>
        <v xml:space="preserve"> Verificar la decisión frente a la continuidad de la IE o la formulación del plan de mejoramiento, y lo demás requerido según acta, en seguimiento trimestral.                                          La institución educativa solicitó el 03/10/2025 cierre voluntario.</v>
      </c>
    </row>
    <row r="2396" spans="1:21" s="1" customFormat="1" ht="107.25">
      <c r="A2396" s="69">
        <f>IF([15]PRIORIZADOS!A46="","",[15]PRIORIZADOS!A46)</f>
        <v>2368</v>
      </c>
      <c r="B2396" s="70">
        <f>IFERROR(IF(VLOOKUP(A2396,[15]PRIORIZADOS!$A:$B,2,FALSE)="","",VLOOKUP(A2396,[15]PRIORIZADOS!$A:$B,2,FALSE)),"")</f>
        <v>5</v>
      </c>
      <c r="C2396" s="11" t="str">
        <f>IFERROR(IF(VLOOKUP(A2396,[15]PRIORIZADOS!$A:$C,3,FALSE)="","",VLOOKUP(A2396,[15]PRIORIZADOS!$A:$C,3,FALSE)),"")</f>
        <v>TEUSAQUILLO</v>
      </c>
      <c r="D2396" s="11" t="str">
        <f>IFERROR(IF(VLOOKUP(A2396,[15]PRIORIZADOS!$A:$D,4,FALSE)="","",VLOOKUP(A2396,[15]PRIORIZADOS!$A:$D,4,FALSE)),"")</f>
        <v>PRIVADO</v>
      </c>
      <c r="E2396" s="11" t="str">
        <f>IFERROR(IF(VLOOKUP(A2396,[15]PRIORIZADOS!$A:$E,5,FALSE)="","",VLOOKUP(A2396,[15]PRIORIZADOS!$A:$E,5,FALSE)),"")</f>
        <v>Educación Inicial</v>
      </c>
      <c r="F2396" s="11" t="str">
        <f>IFERROR(IF(VLOOKUP(A2396,[15]PRIORIZADOS!$A:$F,6,FALSE)="","",VLOOKUP(A2396,[15]PRIORIZADOS!$A:$F,6,FALSE)),"")</f>
        <v>JARDIN_INFANTIL_CHARLES_PERRAULT</v>
      </c>
      <c r="G2396" s="11" t="str">
        <f>IFERROR(IF(VLOOKUP(A2396,[15]PRIORIZADOS!$A:$G,7,FALSE)="","",VLOOKUP(A2396,[15]PRIORIZADOS!$A:$G,7,FALSE)),"")</f>
        <v>JARDIN INFANTIL CHARLES PERRAULT</v>
      </c>
      <c r="H2396" s="11" t="str">
        <f>IFERROR(IF(VLOOKUP(A2396,[15]PRIORIZADOS!$A:$H,8,FALSE)="","",VLOOKUP(A2396,[15]PRIORIZADOS!$A:$H,8,FALSE)),"")</f>
        <v>Autoevaluación Institucional y Pruebas SABER 11</v>
      </c>
      <c r="I2396" s="11" t="str">
        <f>IFERROR(IF(VLOOKUP(A2396,[15]PRIORIZADOS!$A:$I,9,FALSE)="","",VLOOKUP(A2396,[15]PRIORIZADOS!$A:$I,9,FALSE)),"")</f>
        <v>SEGUIMIENTO_Y_SUPERVISIÓN.</v>
      </c>
      <c r="J2396" s="11" t="str">
        <f>IFERROR(IF(VLOOKUP(A2396,[15]PRIORIZADOS!$A:$J,10,FALSE)="","",VLOOKUP(A2396,[15]PRIORIZADOS!$A:$J,10,FALSE)),"")</f>
        <v xml:space="preserve">Verificar la implementación por parte de los colegios, de acciones realizadas para la prevención y atención de las situaciones de convivencia en el entorno escolar, según lo establecido en la Directiva 01 de 2022 del MEN. </v>
      </c>
      <c r="K2396" s="49" t="s">
        <v>472</v>
      </c>
      <c r="L2396" s="49" t="s">
        <v>470</v>
      </c>
      <c r="M2396" s="71">
        <f>IFERROR(IF(VLOOKUP(A2396,[15]PRIORIZADOS!$A:$M,13,FALSE)="","",VLOOKUP(A2396,[15]PRIORIZADOS!$A:$M,13,FALSE)),"")</f>
        <v>45777</v>
      </c>
      <c r="N2396" s="71">
        <f>IFERROR(IF(VLOOKUP(A2396,[15]PRIORIZADOS!$A:$N,14,FALSE)="","",VLOOKUP(A2396,[15]PRIORIZADOS!$A:$N,14,FALSE)),"")</f>
        <v>45777</v>
      </c>
      <c r="O2396" s="71">
        <f>IFERROR(IF(VLOOKUP(A2396,[15]PRIORIZADOS!$A:$O,15,FALSE)="","",VLOOKUP(A2396,[15]PRIORIZADOS!$A:$O,15,FALSE)),"")</f>
        <v>45777</v>
      </c>
      <c r="P2396" s="11" t="str">
        <f>IFERROR(IF(VLOOKUP(A2396,[15]PRIORIZADOS!$A:$P,16,FALSE)="","",VLOOKUP(A2396,[15]PRIORIZADOS!$A:$P,16,FALSE)),"")</f>
        <v>Visitas de evaluación con fines de mejoramiento</v>
      </c>
      <c r="Q2396" s="46" t="s">
        <v>477</v>
      </c>
      <c r="R2396" s="11" t="str">
        <f>IFERROR(IF(VLOOKUP(A2396,[15]PRIORIZADOS!$A:$R,18,FALSE)="","",VLOOKUP(A2396,[15]PRIORIZADOS!$A:$R,18,FALSE)),"")</f>
        <v xml:space="preserve">En el jardín infantil, la convivencia escolar se aborda desde la corresponsabilidad entre el colegio y la familia. Por esta razón, la maestra y la psicóloga mantienen una comunicación constante con las familias para la prevención y atención de situaciones.
No realiza la consulta de inhabilidades por delitos sexuales. </v>
      </c>
      <c r="S2396" s="11" t="str">
        <f>IFERROR(IF(VLOOKUP(A2396,[15]PRIORIZADOS!$A:$S,19,FALSE)="","",VLOOKUP(A2396,[15]PRIORIZADOS!$A:$S,19,FALSE)),"")</f>
        <v xml:space="preserve">Verificar cada 4 meses el estado de inhabilidades de todo el personal vinculado a la institución educativa. </v>
      </c>
      <c r="T2396" s="70" t="str">
        <f>IFERROR(IF(VLOOKUP(A2396,[15]PRIORIZADOS!$A:$T,20,FALSE)="","",VLOOKUP(A2396,[15]PRIORIZADOS!$A:$T,20,FALSE)),"")</f>
        <v>No</v>
      </c>
      <c r="U2396" s="11" t="str">
        <f>IFERROR(IF(VLOOKUP(A2396,[15]PRIORIZADOS!$A:$U,21,FALSE)="","",VLOOKUP(A2396,[15]PRIORIZADOS!$A:$U,21,FALSE)),"")</f>
        <v xml:space="preserve">Verificar  la formulación del plan de mejoramiento, y lo demás requerido según acta, en seguimiento trimestral. </v>
      </c>
    </row>
    <row r="2397" spans="1:21" s="1" customFormat="1" ht="107.25">
      <c r="A2397" s="69">
        <f>IF([15]PRIORIZADOS!A47="","",[15]PRIORIZADOS!A47)</f>
        <v>2369</v>
      </c>
      <c r="B2397" s="70">
        <f>IFERROR(IF(VLOOKUP(A2397,[15]PRIORIZADOS!$A:$B,2,FALSE)="","",VLOOKUP(A2397,[15]PRIORIZADOS!$A:$B,2,FALSE)),"")</f>
        <v>5</v>
      </c>
      <c r="C2397" s="11" t="str">
        <f>IFERROR(IF(VLOOKUP(A2397,[15]PRIORIZADOS!$A:$C,3,FALSE)="","",VLOOKUP(A2397,[15]PRIORIZADOS!$A:$C,3,FALSE)),"")</f>
        <v>TEUSAQUILLO</v>
      </c>
      <c r="D2397" s="11" t="str">
        <f>IFERROR(IF(VLOOKUP(A2397,[15]PRIORIZADOS!$A:$D,4,FALSE)="","",VLOOKUP(A2397,[15]PRIORIZADOS!$A:$D,4,FALSE)),"")</f>
        <v>PRIVADO</v>
      </c>
      <c r="E2397" s="11" t="str">
        <f>IFERROR(IF(VLOOKUP(A2397,[15]PRIORIZADOS!$A:$E,5,FALSE)="","",VLOOKUP(A2397,[15]PRIORIZADOS!$A:$E,5,FALSE)),"")</f>
        <v>Educación Inicial</v>
      </c>
      <c r="F2397" s="11" t="str">
        <f>IFERROR(IF(VLOOKUP(A2397,[15]PRIORIZADOS!$A:$F,6,FALSE)="","",VLOOKUP(A2397,[15]PRIORIZADOS!$A:$F,6,FALSE)),"")</f>
        <v>JARDIN_INFANTIL_CHARLES_PERRAULT</v>
      </c>
      <c r="G2397" s="11" t="str">
        <f>IFERROR(IF(VLOOKUP(A2397,[15]PRIORIZADOS!$A:$G,7,FALSE)="","",VLOOKUP(A2397,[15]PRIORIZADOS!$A:$G,7,FALSE)),"")</f>
        <v>JARDIN INFANTIL CHARLES PERRAULT</v>
      </c>
      <c r="H2397" s="11" t="str">
        <f>IFERROR(IF(VLOOKUP(A2397,[15]PRIORIZADOS!$A:$H,8,FALSE)="","",VLOOKUP(A2397,[15]PRIORIZADOS!$A:$H,8,FALSE)),"")</f>
        <v>Autoevaluación Institucional y Pruebas SABER 11</v>
      </c>
      <c r="I2397" s="11" t="str">
        <f>IFERROR(IF(VLOOKUP(A2397,[15]PRIORIZADOS!$A:$I,9,FALSE)="","",VLOOKUP(A2397,[15]PRIORIZADOS!$A:$I,9,FALSE)),"")</f>
        <v>SEGUIMIENTO_Y_SUPERVISIÓN.</v>
      </c>
      <c r="J2397" s="11" t="str">
        <f>IFERROR(IF(VLOOKUP(A2397,[15]PRIORIZADOS!$A:$J,10,FALSE)="","",VLOOKUP(A2397,[15]PRIORIZADOS!$A:$J,10,FALSE)),"")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97" s="49" t="s">
        <v>472</v>
      </c>
      <c r="L2397" s="49" t="s">
        <v>470</v>
      </c>
      <c r="M2397" s="71">
        <f>IFERROR(IF(VLOOKUP(A2397,[15]PRIORIZADOS!$A:$M,13,FALSE)="","",VLOOKUP(A2397,[15]PRIORIZADOS!$A:$M,13,FALSE)),"")</f>
        <v>45777</v>
      </c>
      <c r="N2397" s="71">
        <f>IFERROR(IF(VLOOKUP(A2397,[15]PRIORIZADOS!$A:$N,14,FALSE)="","",VLOOKUP(A2397,[15]PRIORIZADOS!$A:$N,14,FALSE)),"")</f>
        <v>45777</v>
      </c>
      <c r="O2397" s="71">
        <f>IFERROR(IF(VLOOKUP(A2397,[15]PRIORIZADOS!$A:$O,15,FALSE)="","",VLOOKUP(A2397,[15]PRIORIZADOS!$A:$O,15,FALSE)),"")</f>
        <v>45777</v>
      </c>
      <c r="P2397" s="11" t="str">
        <f>IFERROR(IF(VLOOKUP(A2397,[15]PRIORIZADOS!$A:$P,16,FALSE)="","",VLOOKUP(A2397,[15]PRIORIZADOS!$A:$P,16,FALSE)),"")</f>
        <v>Visitas de evaluación con fines de mejoramiento</v>
      </c>
      <c r="Q2397" s="46" t="s">
        <v>477</v>
      </c>
      <c r="R2397" s="11" t="str">
        <f>IFERROR(IF(VLOOKUP(A2397,[15]PRIORIZADOS!$A:$R,18,FALSE)="","",VLOOKUP(A2397,[15]PRIORIZADOS!$A:$R,18,FALSE)),"")</f>
        <v>El jardín infantil cuenta con un manual de convivencia y está atento a situaciones que requieran la elaboración de Planes Individuales de Ajustes Razonables (PIAR). Manifiestan no haber elaborado PIAR debido a que actualmente no cuentan con población con discapacidad, trastornos del aprendizaje o talentos excepcionales identificados</v>
      </c>
      <c r="S2397" s="11" t="str">
        <f>IFERROR(IF(VLOOKUP(A2397,[15]PRIORIZADOS!$A:$S,19,FALSE)="","",VLOOKUP(A2397,[15]PRIORIZADOS!$A:$S,19,FALSE)),"")</f>
        <v xml:space="preserve">Elaborar el PIAR en caso que se requiera. </v>
      </c>
      <c r="T2397" s="70" t="str">
        <f>IFERROR(IF(VLOOKUP(A2397,[15]PRIORIZADOS!$A:$T,20,FALSE)="","",VLOOKUP(A2397,[15]PRIORIZADOS!$A:$T,20,FALSE)),"")</f>
        <v>No</v>
      </c>
      <c r="U2397" s="11" t="str">
        <f>IFERROR(IF(VLOOKUP(A2397,[15]PRIORIZADOS!$A:$U,21,FALSE)="","",VLOOKUP(A2397,[15]PRIORIZADOS!$A:$U,21,FALSE)),"")</f>
        <v xml:space="preserve">Seguimiento en caso que se requiera respecto a casos relacionados con elaboración de PIAR. </v>
      </c>
    </row>
    <row r="2398" spans="1:21" s="1" customFormat="1" ht="142.5">
      <c r="A2398" s="69">
        <f>IF([15]PRIORIZADOS!A48="","",[15]PRIORIZADOS!A48)</f>
        <v>2370</v>
      </c>
      <c r="B2398" s="70">
        <f>IFERROR(IF(VLOOKUP(A2398,[15]PRIORIZADOS!$A:$B,2,FALSE)="","",VLOOKUP(A2398,[15]PRIORIZADOS!$A:$B,2,FALSE)),"")</f>
        <v>5</v>
      </c>
      <c r="C2398" s="11" t="str">
        <f>IFERROR(IF(VLOOKUP(A2398,[15]PRIORIZADOS!$A:$C,3,FALSE)="","",VLOOKUP(A2398,[15]PRIORIZADOS!$A:$C,3,FALSE)),"")</f>
        <v>TEUSAQUILLO</v>
      </c>
      <c r="D2398" s="11" t="str">
        <f>IFERROR(IF(VLOOKUP(A2398,[15]PRIORIZADOS!$A:$D,4,FALSE)="","",VLOOKUP(A2398,[15]PRIORIZADOS!$A:$D,4,FALSE)),"")</f>
        <v>PRIVADO</v>
      </c>
      <c r="E2398" s="11" t="str">
        <f>IFERROR(IF(VLOOKUP(A2398,[15]PRIORIZADOS!$A:$E,5,FALSE)="","",VLOOKUP(A2398,[15]PRIORIZADOS!$A:$E,5,FALSE)),"")</f>
        <v>Educación Inicial</v>
      </c>
      <c r="F2398" s="11" t="str">
        <f>IFERROR(IF(VLOOKUP(A2398,[15]PRIORIZADOS!$A:$F,6,FALSE)="","",VLOOKUP(A2398,[15]PRIORIZADOS!$A:$F,6,FALSE)),"")</f>
        <v>JARDIN_INFANTIL_CHARLES_PERRAULT</v>
      </c>
      <c r="G2398" s="11" t="str">
        <f>IFERROR(IF(VLOOKUP(A2398,[15]PRIORIZADOS!$A:$G,7,FALSE)="","",VLOOKUP(A2398,[15]PRIORIZADOS!$A:$G,7,FALSE)),"")</f>
        <v>JARDIN INFANTIL CHARLES PERRAULT</v>
      </c>
      <c r="H2398" s="11" t="str">
        <f>IFERROR(IF(VLOOKUP(A2398,[15]PRIORIZADOS!$A:$H,8,FALSE)="","",VLOOKUP(A2398,[15]PRIORIZADOS!$A:$H,8,FALSE)),"")</f>
        <v>Autoevaluación Institucional y Pruebas SABER 11</v>
      </c>
      <c r="I2398" s="11" t="str">
        <f>IFERROR(IF(VLOOKUP(A2398,[15]PRIORIZADOS!$A:$I,9,FALSE)="","",VLOOKUP(A2398,[15]PRIORIZADOS!$A:$I,9,FALSE)),"")</f>
        <v>SEGUIMIENTO_Y_SUPERVISIÓN.</v>
      </c>
      <c r="J2398" s="11" t="str">
        <f>IFERROR(IF(VLOOKUP(A2398,[15]PRIORIZADOS!$A:$J,10,FALSE)="","",VLOOKUP(A2398,[15]PRIORIZADOS!$A:$J,10,FALSE)),"")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398" s="49" t="s">
        <v>472</v>
      </c>
      <c r="L2398" s="49" t="s">
        <v>470</v>
      </c>
      <c r="M2398" s="71">
        <f>IFERROR(IF(VLOOKUP(A2398,[15]PRIORIZADOS!$A:$M,13,FALSE)="","",VLOOKUP(A2398,[15]PRIORIZADOS!$A:$M,13,FALSE)),"")</f>
        <v>45777</v>
      </c>
      <c r="N2398" s="71">
        <f>IFERROR(IF(VLOOKUP(A2398,[15]PRIORIZADOS!$A:$N,14,FALSE)="","",VLOOKUP(A2398,[15]PRIORIZADOS!$A:$N,14,FALSE)),"")</f>
        <v>45777</v>
      </c>
      <c r="O2398" s="71">
        <f>IFERROR(IF(VLOOKUP(A2398,[15]PRIORIZADOS!$A:$O,15,FALSE)="","",VLOOKUP(A2398,[15]PRIORIZADOS!$A:$O,15,FALSE)),"")</f>
        <v>45777</v>
      </c>
      <c r="P2398" s="11" t="str">
        <f>IFERROR(IF(VLOOKUP(A2398,[15]PRIORIZADOS!$A:$P,16,FALSE)="","",VLOOKUP(A2398,[15]PRIORIZADOS!$A:$P,16,FALSE)),"")</f>
        <v>Visitas de evaluación con fines de mejoramiento</v>
      </c>
      <c r="Q2398" s="46" t="s">
        <v>477</v>
      </c>
      <c r="R2398" s="11" t="str">
        <f>IFERROR(IF(VLOOKUP(A2398,[15]PRIORIZADOS!$A:$R,18,FALSE)="","",VLOOKUP(A2398,[15]PRIORIZADOS!$A:$R,18,FALSE)),"")</f>
        <v>En relación con la elaboración, actualización y desarrollo de los Planes Individuales de Ajustes Razonables (PIAR) según el Decreto 1421 de 2017, y en concordancia con el PEI y el manual de convivencia, el jardín infantil informa que, si bien están preparados para atender a la población con discapacidad, trastornos del aprendizaje y talentos excepcionales, a la fecha no han requerido la implementación de PIAR al no contar actualmente con estudiantes en estas condiciones.</v>
      </c>
      <c r="S2398" s="11" t="str">
        <f>IFERROR(IF(VLOOKUP(A2398,[15]PRIORIZADOS!$A:$S,19,FALSE)="","",VLOOKUP(A2398,[15]PRIORIZADOS!$A:$S,19,FALSE)),"")</f>
        <v xml:space="preserve">Elaborar  y  adaptar sus procesos en casos de requerir  un PIAR </v>
      </c>
      <c r="T2398" s="70" t="str">
        <f>IFERROR(IF(VLOOKUP(A2398,[15]PRIORIZADOS!$A:$T,20,FALSE)="","",VLOOKUP(A2398,[15]PRIORIZADOS!$A:$T,20,FALSE)),"")</f>
        <v>No</v>
      </c>
      <c r="U2398" s="11" t="str">
        <f>IFERROR(IF(VLOOKUP(A2398,[15]PRIORIZADOS!$A:$U,21,FALSE)="","",VLOOKUP(A2398,[15]PRIORIZADOS!$A:$U,21,FALSE)),"")</f>
        <v xml:space="preserve">Verificar  la formulación del plan de mejoramiento, y lo demás requerido según acta, en seguimiento trimestral. </v>
      </c>
    </row>
    <row r="2399" spans="1:21" s="1" customFormat="1" ht="84">
      <c r="A2399" s="69">
        <f>IF([15]PRIORIZADOS!A49="","",[15]PRIORIZADOS!A49)</f>
        <v>2371</v>
      </c>
      <c r="B2399" s="70">
        <f>IFERROR(IF(VLOOKUP(A2399,[15]PRIORIZADOS!$A:$B,2,FALSE)="","",VLOOKUP(A2399,[15]PRIORIZADOS!$A:$B,2,FALSE)),"")</f>
        <v>5</v>
      </c>
      <c r="C2399" s="11" t="str">
        <f>IFERROR(IF(VLOOKUP(A2399,[15]PRIORIZADOS!$A:$C,3,FALSE)="","",VLOOKUP(A2399,[15]PRIORIZADOS!$A:$C,3,FALSE)),"")</f>
        <v>TEUSAQUILLO</v>
      </c>
      <c r="D2399" s="11" t="str">
        <f>IFERROR(IF(VLOOKUP(A2399,[15]PRIORIZADOS!$A:$D,4,FALSE)="","",VLOOKUP(A2399,[15]PRIORIZADOS!$A:$D,4,FALSE)),"")</f>
        <v>PRIVADO</v>
      </c>
      <c r="E2399" s="11" t="str">
        <f>IFERROR(IF(VLOOKUP(A2399,[15]PRIORIZADOS!$A:$E,5,FALSE)="","",VLOOKUP(A2399,[15]PRIORIZADOS!$A:$E,5,FALSE)),"")</f>
        <v>Educación Inicial</v>
      </c>
      <c r="F2399" s="11" t="str">
        <f>IFERROR(IF(VLOOKUP(A2399,[15]PRIORIZADOS!$A:$F,6,FALSE)="","",VLOOKUP(A2399,[15]PRIORIZADOS!$A:$F,6,FALSE)),"")</f>
        <v>JARDIN_INFANTIL_CHARLES_PERRAULT</v>
      </c>
      <c r="G2399" s="11" t="str">
        <f>IFERROR(IF(VLOOKUP(A2399,[15]PRIORIZADOS!$A:$G,7,FALSE)="","",VLOOKUP(A2399,[15]PRIORIZADOS!$A:$G,7,FALSE)),"")</f>
        <v>JARDIN INFANTIL CHARLES PERRAULT</v>
      </c>
      <c r="H2399" s="11" t="str">
        <f>IFERROR(IF(VLOOKUP(A2399,[15]PRIORIZADOS!$A:$H,8,FALSE)="","",VLOOKUP(A2399,[15]PRIORIZADOS!$A:$H,8,FALSE)),"")</f>
        <v>Autoevaluación Institucional y Pruebas SABER 11</v>
      </c>
      <c r="I2399" s="11" t="str">
        <f>IFERROR(IF(VLOOKUP(A2399,[15]PRIORIZADOS!$A:$I,9,FALSE)="","",VLOOKUP(A2399,[15]PRIORIZADOS!$A:$I,9,FALSE)),"")</f>
        <v>EVALUACIÓN_CON_FINES_DE_MEJORAMIENTO.</v>
      </c>
      <c r="J2399" s="11" t="str">
        <f>IFERROR(IF(VLOOKUP(A2399,[15]PRIORIZADOS!$A:$J,10,FALSE)="","",VLOOKUP(A2399,[15]PRIORIZADOS!$A:$J,10,FALSE)),"")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399" s="49" t="s">
        <v>472</v>
      </c>
      <c r="L2399" s="49" t="s">
        <v>470</v>
      </c>
      <c r="M2399" s="71">
        <f>IFERROR(IF(VLOOKUP(A2399,[15]PRIORIZADOS!$A:$M,13,FALSE)="","",VLOOKUP(A2399,[15]PRIORIZADOS!$A:$M,13,FALSE)),"")</f>
        <v>45777</v>
      </c>
      <c r="N2399" s="71">
        <f>IFERROR(IF(VLOOKUP(A2399,[15]PRIORIZADOS!$A:$N,14,FALSE)="","",VLOOKUP(A2399,[15]PRIORIZADOS!$A:$N,14,FALSE)),"")</f>
        <v>45777</v>
      </c>
      <c r="O2399" s="71">
        <f>IFERROR(IF(VLOOKUP(A2399,[15]PRIORIZADOS!$A:$O,15,FALSE)="","",VLOOKUP(A2399,[15]PRIORIZADOS!$A:$O,15,FALSE)),"")</f>
        <v>45777</v>
      </c>
      <c r="P2399" s="11" t="str">
        <f>IFERROR(IF(VLOOKUP(A2399,[15]PRIORIZADOS!$A:$P,16,FALSE)="","",VLOOKUP(A2399,[15]PRIORIZADOS!$A:$P,16,FALSE)),"")</f>
        <v>Visitas de evaluación con fines de mejoramiento</v>
      </c>
      <c r="Q2399" s="46" t="s">
        <v>477</v>
      </c>
      <c r="R2399" s="11" t="str">
        <f>IFERROR(IF(VLOOKUP(A2399,[15]PRIORIZADOS!$A:$R,18,FALSE)="","",VLOOKUP(A2399,[15]PRIORIZADOS!$A:$R,18,FALSE)),"")</f>
        <v>Se evaluaron el PEI y el Manual de Convivencia del jardín, constatándose una actualización en 2024 que se adapta a sus condiciones particulares y a la normatividad vigente, con un énfasis en su pedagogía de enfoque constructivista</v>
      </c>
      <c r="S2399" s="11" t="str">
        <f>IFERROR(IF(VLOOKUP(A2399,[15]PRIORIZADOS!$A:$S,19,FALSE)="","",VLOOKUP(A2399,[15]PRIORIZADOS!$A:$S,19,FALSE)),"")</f>
        <v xml:space="preserve">Realizar la actualización  de sus documentos institucionales según periodicidad normativa y necesidades identificadas. </v>
      </c>
      <c r="T2399" s="70" t="str">
        <f>IFERROR(IF(VLOOKUP(A2399,[15]PRIORIZADOS!$A:$T,20,FALSE)="","",VLOOKUP(A2399,[15]PRIORIZADOS!$A:$T,20,FALSE)),"")</f>
        <v>No</v>
      </c>
      <c r="U2399" s="11" t="str">
        <f>IFERROR(IF(VLOOKUP(A2399,[15]PRIORIZADOS!$A:$U,21,FALSE)="","",VLOOKUP(A2399,[15]PRIORIZADOS!$A:$U,21,FALSE)),"")</f>
        <v>Se realizará seguimiento en caso de requerirse.</v>
      </c>
    </row>
    <row r="2400" spans="1:21" s="1" customFormat="1" ht="48">
      <c r="A2400" s="69">
        <f>IF([15]PRIORIZADOS!A50="","",[15]PRIORIZADOS!A50)</f>
        <v>2372</v>
      </c>
      <c r="B2400" s="70">
        <f>IFERROR(IF(VLOOKUP(A2400,[15]PRIORIZADOS!$A:$B,2,FALSE)="","",VLOOKUP(A2400,[15]PRIORIZADOS!$A:$B,2,FALSE)),"")</f>
        <v>5</v>
      </c>
      <c r="C2400" s="11" t="str">
        <f>IFERROR(IF(VLOOKUP(A2400,[15]PRIORIZADOS!$A:$C,3,FALSE)="","",VLOOKUP(A2400,[15]PRIORIZADOS!$A:$C,3,FALSE)),"")</f>
        <v>TEUSAQUILLO</v>
      </c>
      <c r="D2400" s="11" t="str">
        <f>IFERROR(IF(VLOOKUP(A2400,[15]PRIORIZADOS!$A:$D,4,FALSE)="","",VLOOKUP(A2400,[15]PRIORIZADOS!$A:$D,4,FALSE)),"")</f>
        <v>PRIVADO</v>
      </c>
      <c r="E2400" s="11" t="str">
        <f>IFERROR(IF(VLOOKUP(A2400,[15]PRIORIZADOS!$A:$E,5,FALSE)="","",VLOOKUP(A2400,[15]PRIORIZADOS!$A:$E,5,FALSE)),"")</f>
        <v>Educación Inicial</v>
      </c>
      <c r="F2400" s="11" t="str">
        <f>IFERROR(IF(VLOOKUP(A2400,[15]PRIORIZADOS!$A:$F,6,FALSE)="","",VLOOKUP(A2400,[15]PRIORIZADOS!$A:$F,6,FALSE)),"")</f>
        <v>JARDIN_INFANTIL_CHARLES_PERRAULT</v>
      </c>
      <c r="G2400" s="11" t="str">
        <f>IFERROR(IF(VLOOKUP(A2400,[15]PRIORIZADOS!$A:$G,7,FALSE)="","",VLOOKUP(A2400,[15]PRIORIZADOS!$A:$G,7,FALSE)),"")</f>
        <v>JARDIN INFANTIL CHARLES PERRAULT</v>
      </c>
      <c r="H2400" s="11" t="str">
        <f>IFERROR(IF(VLOOKUP(A2400,[15]PRIORIZADOS!$A:$H,8,FALSE)="","",VLOOKUP(A2400,[15]PRIORIZADOS!$A:$H,8,FALSE)),"")</f>
        <v>Autoevaluación Institucional y Pruebas SABER 11</v>
      </c>
      <c r="I2400" s="11" t="str">
        <f>IFERROR(IF(VLOOKUP(A2400,[15]PRIORIZADOS!$A:$I,9,FALSE)="","",VLOOKUP(A2400,[15]PRIORIZADOS!$A:$I,9,FALSE)),"")</f>
        <v>EVALUACIÓN_CON_FINES_DE_MEJORAMIENTO.</v>
      </c>
      <c r="J2400" s="11" t="str">
        <f>IFERROR(IF(VLOOKUP(A2400,[15]PRIORIZADOS!$A:$J,10,FALSE)="","",VLOOKUP(A2400,[15]PRIORIZADOS!$A:$J,10,FALSE)),"")</f>
        <v>Revisar la actualización, socialización e implementación del Sistema Institucional de Evaluación de Estudiantes - SIEE, en articulación con la actualización del PEI y la normatividad vigente.</v>
      </c>
      <c r="K2400" s="49" t="s">
        <v>472</v>
      </c>
      <c r="L2400" s="49" t="s">
        <v>470</v>
      </c>
      <c r="M2400" s="71">
        <f>IFERROR(IF(VLOOKUP(A2400,[15]PRIORIZADOS!$A:$M,13,FALSE)="","",VLOOKUP(A2400,[15]PRIORIZADOS!$A:$M,13,FALSE)),"")</f>
        <v>45777</v>
      </c>
      <c r="N2400" s="71">
        <f>IFERROR(IF(VLOOKUP(A2400,[15]PRIORIZADOS!$A:$N,14,FALSE)="","",VLOOKUP(A2400,[15]PRIORIZADOS!$A:$N,14,FALSE)),"")</f>
        <v>45777</v>
      </c>
      <c r="O2400" s="71">
        <f>IFERROR(IF(VLOOKUP(A2400,[15]PRIORIZADOS!$A:$O,15,FALSE)="","",VLOOKUP(A2400,[15]PRIORIZADOS!$A:$O,15,FALSE)),"")</f>
        <v>45777</v>
      </c>
      <c r="P2400" s="11" t="str">
        <f>IFERROR(IF(VLOOKUP(A2400,[15]PRIORIZADOS!$A:$P,16,FALSE)="","",VLOOKUP(A2400,[15]PRIORIZADOS!$A:$P,16,FALSE)),"")</f>
        <v>Visitas de evaluación con fines de mejoramiento</v>
      </c>
      <c r="Q2400" s="46" t="s">
        <v>477</v>
      </c>
      <c r="R2400" s="11" t="str">
        <f>IFERROR(IF(VLOOKUP(A2400,[15]PRIORIZADOS!$A:$R,18,FALSE)="","",VLOOKUP(A2400,[15]PRIORIZADOS!$A:$R,18,FALSE)),"")</f>
        <v>La institución presenta la implementación del SIEE, el cual se articula con el PEI a través de las dimensiones de desarrollo trabajadas en conjunto con la familia.</v>
      </c>
      <c r="S2400" s="11" t="str">
        <f>IFERROR(IF(VLOOKUP(A2400,[15]PRIORIZADOS!$A:$S,19,FALSE)="","",VLOOKUP(A2400,[15]PRIORIZADOS!$A:$S,19,FALSE)),"")</f>
        <v xml:space="preserve">Realizar la actualización  de sus documentos institucionales según periodicidad normativa y necesidades identificadas. </v>
      </c>
      <c r="T2400" s="70" t="str">
        <f>IFERROR(IF(VLOOKUP(A2400,[15]PRIORIZADOS!$A:$T,20,FALSE)="","",VLOOKUP(A2400,[15]PRIORIZADOS!$A:$T,20,FALSE)),"")</f>
        <v>No</v>
      </c>
      <c r="U2400" s="11" t="str">
        <f>IFERROR(IF(VLOOKUP(A2400,[15]PRIORIZADOS!$A:$U,21,FALSE)="","",VLOOKUP(A2400,[15]PRIORIZADOS!$A:$U,21,FALSE)),"")</f>
        <v>Se realizará seguimiento en caso de requerirse.</v>
      </c>
    </row>
    <row r="2401" spans="1:21" s="1" customFormat="1" ht="60">
      <c r="A2401" s="69">
        <f>IF([15]PRIORIZADOS!A51="","",[15]PRIORIZADOS!A51)</f>
        <v>2373</v>
      </c>
      <c r="B2401" s="70">
        <f>IFERROR(IF(VLOOKUP(A2401,[15]PRIORIZADOS!$A:$B,2,FALSE)="","",VLOOKUP(A2401,[15]PRIORIZADOS!$A:$B,2,FALSE)),"")</f>
        <v>5</v>
      </c>
      <c r="C2401" s="11" t="str">
        <f>IFERROR(IF(VLOOKUP(A2401,[15]PRIORIZADOS!$A:$C,3,FALSE)="","",VLOOKUP(A2401,[15]PRIORIZADOS!$A:$C,3,FALSE)),"")</f>
        <v>TEUSAQUILLO</v>
      </c>
      <c r="D2401" s="11" t="str">
        <f>IFERROR(IF(VLOOKUP(A2401,[15]PRIORIZADOS!$A:$D,4,FALSE)="","",VLOOKUP(A2401,[15]PRIORIZADOS!$A:$D,4,FALSE)),"")</f>
        <v>PRIVADO</v>
      </c>
      <c r="E2401" s="11" t="str">
        <f>IFERROR(IF(VLOOKUP(A2401,[15]PRIORIZADOS!$A:$E,5,FALSE)="","",VLOOKUP(A2401,[15]PRIORIZADOS!$A:$E,5,FALSE)),"")</f>
        <v>Educación Inicial</v>
      </c>
      <c r="F2401" s="11" t="str">
        <f>IFERROR(IF(VLOOKUP(A2401,[15]PRIORIZADOS!$A:$F,6,FALSE)="","",VLOOKUP(A2401,[15]PRIORIZADOS!$A:$F,6,FALSE)),"")</f>
        <v>JARDIN_INFANTIL_CHARLES_PERRAULT</v>
      </c>
      <c r="G2401" s="11" t="str">
        <f>IFERROR(IF(VLOOKUP(A2401,[15]PRIORIZADOS!$A:$G,7,FALSE)="","",VLOOKUP(A2401,[15]PRIORIZADOS!$A:$G,7,FALSE)),"")</f>
        <v>JARDIN INFANTIL CHARLES PERRAULT</v>
      </c>
      <c r="H2401" s="11" t="str">
        <f>IFERROR(IF(VLOOKUP(A2401,[15]PRIORIZADOS!$A:$H,8,FALSE)="","",VLOOKUP(A2401,[15]PRIORIZADOS!$A:$H,8,FALSE)),"")</f>
        <v>Autoevaluación Institucional y Pruebas SABER 11</v>
      </c>
      <c r="I2401" s="11" t="str">
        <f>IFERROR(IF(VLOOKUP(A2401,[15]PRIORIZADOS!$A:$I,9,FALSE)="","",VLOOKUP(A2401,[15]PRIORIZADOS!$A:$I,9,FALSE)),"")</f>
        <v>EVALUACIÓN_CON_FINES_DE_MEJORAMIENTO.</v>
      </c>
      <c r="J2401" s="11" t="str">
        <f>IFERROR(IF(VLOOKUP(A2401,[15]PRIORIZADOS!$A:$J,10,FALSE)="","",VLOOKUP(A2401,[15]PRIORIZADOS!$A:$J,10,FALSE)),"")</f>
        <v>Revisar el calendario escolar, jornada escolar, la intensidad horaria mínima anual en cada nivel y las modificaciones que se realicen al mismo, de acuerdo con lo previsto en la normatividad vigente.</v>
      </c>
      <c r="K2401" s="49" t="s">
        <v>472</v>
      </c>
      <c r="L2401" s="49" t="s">
        <v>470</v>
      </c>
      <c r="M2401" s="71">
        <f>IFERROR(IF(VLOOKUP(A2401,[15]PRIORIZADOS!$A:$M,13,FALSE)="","",VLOOKUP(A2401,[15]PRIORIZADOS!$A:$M,13,FALSE)),"")</f>
        <v>45777</v>
      </c>
      <c r="N2401" s="71">
        <f>IFERROR(IF(VLOOKUP(A2401,[15]PRIORIZADOS!$A:$N,14,FALSE)="","",VLOOKUP(A2401,[15]PRIORIZADOS!$A:$N,14,FALSE)),"")</f>
        <v>45777</v>
      </c>
      <c r="O2401" s="71">
        <f>IFERROR(IF(VLOOKUP(A2401,[15]PRIORIZADOS!$A:$O,15,FALSE)="","",VLOOKUP(A2401,[15]PRIORIZADOS!$A:$O,15,FALSE)),"")</f>
        <v>45777</v>
      </c>
      <c r="P2401" s="11" t="str">
        <f>IFERROR(IF(VLOOKUP(A2401,[15]PRIORIZADOS!$A:$P,16,FALSE)="","",VLOOKUP(A2401,[15]PRIORIZADOS!$A:$P,16,FALSE)),"")</f>
        <v>Visitas de evaluación con fines de mejoramiento</v>
      </c>
      <c r="Q2401" s="46" t="s">
        <v>477</v>
      </c>
      <c r="R2401" s="11" t="str">
        <f>IFERROR(IF(VLOOKUP(A2401,[15]PRIORIZADOS!$A:$R,18,FALSE)="","",VLOOKUP(A2401,[15]PRIORIZADOS!$A:$R,18,FALSE)),"")</f>
        <v>La institución educativa cumple con la jornada e intensidad horaria establecida para los educandos, información que ha sido socializada con las familias en reuniones</v>
      </c>
      <c r="S2401" s="11" t="str">
        <f>IFERROR(IF(VLOOKUP(A2401,[15]PRIORIZADOS!$A:$S,19,FALSE)="","",VLOOKUP(A2401,[15]PRIORIZADOS!$A:$S,19,FALSE)),"")</f>
        <v xml:space="preserve">Continuar con la ejecución del calendario escolar par la vigencia </v>
      </c>
      <c r="T2401" s="70" t="str">
        <f>IFERROR(IF(VLOOKUP(A2401,[15]PRIORIZADOS!$A:$T,20,FALSE)="","",VLOOKUP(A2401,[15]PRIORIZADOS!$A:$T,20,FALSE)),"")</f>
        <v>No</v>
      </c>
      <c r="U2401" s="11" t="str">
        <f>IFERROR(IF(VLOOKUP(A2401,[15]PRIORIZADOS!$A:$U,21,FALSE)="","",VLOOKUP(A2401,[15]PRIORIZADOS!$A:$U,21,FALSE)),"")</f>
        <v xml:space="preserve">Verificar el calendario que se presenta para la vigencia 2026, dependiendo de la decision de continuidad. </v>
      </c>
    </row>
    <row r="2402" spans="1:21" s="1" customFormat="1" ht="72">
      <c r="A2402" s="69">
        <f>IF([15]PRIORIZADOS!A52="","",[15]PRIORIZADOS!A52)</f>
        <v>2374</v>
      </c>
      <c r="B2402" s="70">
        <f>IFERROR(IF(VLOOKUP(A2402,[15]PRIORIZADOS!$A:$B,2,FALSE)="","",VLOOKUP(A2402,[15]PRIORIZADOS!$A:$B,2,FALSE)),"")</f>
        <v>5</v>
      </c>
      <c r="C2402" s="11" t="str">
        <f>IFERROR(IF(VLOOKUP(A2402,[15]PRIORIZADOS!$A:$C,3,FALSE)="","",VLOOKUP(A2402,[15]PRIORIZADOS!$A:$C,3,FALSE)),"")</f>
        <v>TEUSAQUILLO</v>
      </c>
      <c r="D2402" s="11" t="str">
        <f>IFERROR(IF(VLOOKUP(A2402,[15]PRIORIZADOS!$A:$D,4,FALSE)="","",VLOOKUP(A2402,[15]PRIORIZADOS!$A:$D,4,FALSE)),"")</f>
        <v>PRIVADO</v>
      </c>
      <c r="E2402" s="11" t="str">
        <f>IFERROR(IF(VLOOKUP(A2402,[15]PRIORIZADOS!$A:$E,5,FALSE)="","",VLOOKUP(A2402,[15]PRIORIZADOS!$A:$E,5,FALSE)),"")</f>
        <v>Educación Inicial</v>
      </c>
      <c r="F2402" s="11" t="str">
        <f>IFERROR(IF(VLOOKUP(A2402,[15]PRIORIZADOS!$A:$F,6,FALSE)="","",VLOOKUP(A2402,[15]PRIORIZADOS!$A:$F,6,FALSE)),"")</f>
        <v>JARDIN_INFANTIL_CHARLES_PERRAULT</v>
      </c>
      <c r="G2402" s="11" t="str">
        <f>IFERROR(IF(VLOOKUP(A2402,[15]PRIORIZADOS!$A:$G,7,FALSE)="","",VLOOKUP(A2402,[15]PRIORIZADOS!$A:$G,7,FALSE)),"")</f>
        <v>JARDIN INFANTIL CHARLES PERRAULT</v>
      </c>
      <c r="H2402" s="11" t="str">
        <f>IFERROR(IF(VLOOKUP(A2402,[15]PRIORIZADOS!$A:$H,8,FALSE)="","",VLOOKUP(A2402,[15]PRIORIZADOS!$A:$H,8,FALSE)),"")</f>
        <v>Autoevaluación Institucional y Pruebas SABER 11</v>
      </c>
      <c r="I2402" s="11" t="str">
        <f>IFERROR(IF(VLOOKUP(A2402,[15]PRIORIZADOS!$A:$I,9,FALSE)="","",VLOOKUP(A2402,[15]PRIORIZADOS!$A:$I,9,FALSE)),"")</f>
        <v>EVALUACIÓN_CON_FINES_DE_MEJORAMIENTO.</v>
      </c>
      <c r="J2402" s="11" t="str">
        <f>IFERROR(IF(VLOOKUP(A2402,[15]PRIORIZADOS!$A:$J,10,FALSE)="","",VLOOKUP(A2402,[15]PRIORIZADOS!$A:$J,10,FALSE)),"")</f>
        <v>Verificar el funcionamiento del Gobierno Escolar e instancias de participación con base en la información sobre conformación reportada por la institución educativa.</v>
      </c>
      <c r="K2402" s="49" t="s">
        <v>472</v>
      </c>
      <c r="L2402" s="49" t="s">
        <v>470</v>
      </c>
      <c r="M2402" s="71">
        <f>IFERROR(IF(VLOOKUP(A2402,[15]PRIORIZADOS!$A:$M,13,FALSE)="","",VLOOKUP(A2402,[15]PRIORIZADOS!$A:$M,13,FALSE)),"")</f>
        <v>45777</v>
      </c>
      <c r="N2402" s="71">
        <f>IFERROR(IF(VLOOKUP(A2402,[15]PRIORIZADOS!$A:$N,14,FALSE)="","",VLOOKUP(A2402,[15]PRIORIZADOS!$A:$N,14,FALSE)),"")</f>
        <v>45777</v>
      </c>
      <c r="O2402" s="71">
        <f>IFERROR(IF(VLOOKUP(A2402,[15]PRIORIZADOS!$A:$O,15,FALSE)="","",VLOOKUP(A2402,[15]PRIORIZADOS!$A:$O,15,FALSE)),"")</f>
        <v>45777</v>
      </c>
      <c r="P2402" s="11" t="str">
        <f>IFERROR(IF(VLOOKUP(A2402,[15]PRIORIZADOS!$A:$P,16,FALSE)="","",VLOOKUP(A2402,[15]PRIORIZADOS!$A:$P,16,FALSE)),"")</f>
        <v>Visitas de evaluación con fines de mejoramiento</v>
      </c>
      <c r="Q2402" s="46" t="s">
        <v>477</v>
      </c>
      <c r="R2402" s="11" t="str">
        <f>IFERROR(IF(VLOOKUP(A2402,[15]PRIORIZADOS!$A:$R,18,FALSE)="","",VLOOKUP(A2402,[15]PRIORIZADOS!$A:$R,18,FALSE)),"")</f>
        <v>El jardín manifiesta haber realizado las jornadas pedagógicas para la elección del gobierno escolar y subido las actas al aplicativo del sistema de apoyo escolar, dando cumplimiento a la participación de las instancias del gobierno escolar.</v>
      </c>
      <c r="S2402" s="11" t="str">
        <f>IFERROR(IF(VLOOKUP(A2402,[15]PRIORIZADOS!$A:$S,19,FALSE)="","",VLOOKUP(A2402,[15]PRIORIZADOS!$A:$S,19,FALSE)),"")</f>
        <v>El jardín cumplió con la elección del gobierno escolar y reportó la información en el sistema de apoyo escolar.</v>
      </c>
      <c r="T2402" s="70" t="str">
        <f>IFERROR(IF(VLOOKUP(A2402,[15]PRIORIZADOS!$A:$T,20,FALSE)="","",VLOOKUP(A2402,[15]PRIORIZADOS!$A:$T,20,FALSE)),"")</f>
        <v>No</v>
      </c>
      <c r="U2402" s="11" t="str">
        <f>IFERROR(IF(VLOOKUP(A2402,[15]PRIORIZADOS!$A:$U,21,FALSE)="","",VLOOKUP(A2402,[15]PRIORIZADOS!$A:$U,21,FALSE)),"")</f>
        <v xml:space="preserve">Verificar la conformación y funcionamiento del GE para la vigencia 2026, dependiendo de la decision de continuidad. </v>
      </c>
    </row>
    <row r="2403" spans="1:21" s="1" customFormat="1" ht="72">
      <c r="A2403" s="69">
        <f>IF([15]PRIORIZADOS!A53="","",[15]PRIORIZADOS!A53)</f>
        <v>2375</v>
      </c>
      <c r="B2403" s="70">
        <f>IFERROR(IF(VLOOKUP(A2403,[15]PRIORIZADOS!$A:$B,2,FALSE)="","",VLOOKUP(A2403,[15]PRIORIZADOS!$A:$B,2,FALSE)),"")</f>
        <v>5</v>
      </c>
      <c r="C2403" s="11" t="str">
        <f>IFERROR(IF(VLOOKUP(A2403,[15]PRIORIZADOS!$A:$C,3,FALSE)="","",VLOOKUP(A2403,[15]PRIORIZADOS!$A:$C,3,FALSE)),"")</f>
        <v>TEUSAQUILLO</v>
      </c>
      <c r="D2403" s="11" t="str">
        <f>IFERROR(IF(VLOOKUP(A2403,[15]PRIORIZADOS!$A:$D,4,FALSE)="","",VLOOKUP(A2403,[15]PRIORIZADOS!$A:$D,4,FALSE)),"")</f>
        <v>PRIVADO</v>
      </c>
      <c r="E2403" s="11" t="str">
        <f>IFERROR(IF(VLOOKUP(A2403,[15]PRIORIZADOS!$A:$E,5,FALSE)="","",VLOOKUP(A2403,[15]PRIORIZADOS!$A:$E,5,FALSE)),"")</f>
        <v>Educación Inicial</v>
      </c>
      <c r="F2403" s="11" t="str">
        <f>IFERROR(IF(VLOOKUP(A2403,[15]PRIORIZADOS!$A:$F,6,FALSE)="","",VLOOKUP(A2403,[15]PRIORIZADOS!$A:$F,6,FALSE)),"")</f>
        <v>JARDIN_INFANTIL_CHARLES_PERRAULT</v>
      </c>
      <c r="G2403" s="11" t="str">
        <f>IFERROR(IF(VLOOKUP(A2403,[15]PRIORIZADOS!$A:$G,7,FALSE)="","",VLOOKUP(A2403,[15]PRIORIZADOS!$A:$G,7,FALSE)),"")</f>
        <v>JARDIN INFANTIL CHARLES PERRAULT</v>
      </c>
      <c r="H2403" s="11" t="str">
        <f>IFERROR(IF(VLOOKUP(A2403,[15]PRIORIZADOS!$A:$H,8,FALSE)="","",VLOOKUP(A2403,[15]PRIORIZADOS!$A:$H,8,FALSE)),"")</f>
        <v>Autoevaluación Institucional y Pruebas SABER 11</v>
      </c>
      <c r="I2403" s="11" t="str">
        <f>IFERROR(IF(VLOOKUP(A2403,[15]PRIORIZADOS!$A:$I,9,FALSE)="","",VLOOKUP(A2403,[15]PRIORIZADOS!$A:$I,9,FALSE)),"")</f>
        <v>EVALUACIÓN_CON_FINES_DE_MEJORAMIENTO.</v>
      </c>
      <c r="J2403" s="11" t="str">
        <f>IFERROR(IF(VLOOKUP(A2403,[15]PRIORIZADOS!$A:$J,10,FALSE)="","",VLOOKUP(A2403,[15]PRIORIZADOS!$A:$J,10,FALSE)),"")</f>
        <v>Verificar las condiciones en cuanto a: la estructura administrativa, condiciones de la planta física y medios educativos adecuados.</v>
      </c>
      <c r="K2403" s="49" t="s">
        <v>472</v>
      </c>
      <c r="L2403" s="49" t="s">
        <v>470</v>
      </c>
      <c r="M2403" s="71">
        <f>IFERROR(IF(VLOOKUP(A2403,[15]PRIORIZADOS!$A:$M,13,FALSE)="","",VLOOKUP(A2403,[15]PRIORIZADOS!$A:$M,13,FALSE)),"")</f>
        <v>45777</v>
      </c>
      <c r="N2403" s="71">
        <f>IFERROR(IF(VLOOKUP(A2403,[15]PRIORIZADOS!$A:$N,14,FALSE)="","",VLOOKUP(A2403,[15]PRIORIZADOS!$A:$N,14,FALSE)),"")</f>
        <v>45777</v>
      </c>
      <c r="O2403" s="71">
        <f>IFERROR(IF(VLOOKUP(A2403,[15]PRIORIZADOS!$A:$O,15,FALSE)="","",VLOOKUP(A2403,[15]PRIORIZADOS!$A:$O,15,FALSE)),"")</f>
        <v>45777</v>
      </c>
      <c r="P2403" s="11" t="str">
        <f>IFERROR(IF(VLOOKUP(A2403,[15]PRIORIZADOS!$A:$P,16,FALSE)="","",VLOOKUP(A2403,[15]PRIORIZADOS!$A:$P,16,FALSE)),"")</f>
        <v>Visitas de evaluación con fines de mejoramiento</v>
      </c>
      <c r="Q2403" s="46" t="s">
        <v>477</v>
      </c>
      <c r="R2403" s="11" t="str">
        <f>IFERROR(IF(VLOOKUP(A2403,[15]PRIORIZADOS!$A:$R,18,FALSE)="","",VLOOKUP(A2403,[15]PRIORIZADOS!$A:$R,18,FALSE)),"")</f>
        <v xml:space="preserve">La institución educativa cuenta con medios educativos adecuados para el servicio. debido al número reducido de estudiantes, la rectora y una profesional gestionan todos los procesos. </v>
      </c>
      <c r="S2403" s="11" t="str">
        <f>IFERROR(IF(VLOOKUP(A2403,[15]PRIORIZADOS!$A:$S,19,FALSE)="","",VLOOKUP(A2403,[15]PRIORIZADOS!$A:$S,19,FALSE)),"")</f>
        <v>Evaluar la pertinencia de continuidad de prestación del servicio educativo y de la licencia de funcionamiento, o la planificación de estrategias de mejoramiento para incremento de matrícula y vinculación de personal</v>
      </c>
      <c r="T2403" s="70" t="str">
        <f>IFERROR(IF(VLOOKUP(A2403,[15]PRIORIZADOS!$A:$T,20,FALSE)="","",VLOOKUP(A2403,[15]PRIORIZADOS!$A:$T,20,FALSE)),"")</f>
        <v>No</v>
      </c>
      <c r="U2403" s="11" t="str">
        <f>IFERROR(IF(VLOOKUP(A2403,[15]PRIORIZADOS!$A:$U,21,FALSE)="","",VLOOKUP(A2403,[15]PRIORIZADOS!$A:$U,21,FALSE)),"")</f>
        <v xml:space="preserve"> Verificar la decisión frente a la continuidad de la IE o la formulación del plan de mejoramiento, y lo demás requerido según acta, en seguimiento trimestral.                                          La institución educativa solicitó el 03/10/2025 cierre voluntario.</v>
      </c>
    </row>
    <row r="2404" spans="1:21" s="1" customFormat="1" ht="84">
      <c r="A2404" s="69">
        <f>IF([15]PRIORIZADOS!A54="","",[15]PRIORIZADOS!A54)</f>
        <v>2376</v>
      </c>
      <c r="B2404" s="70">
        <f>IFERROR(IF(VLOOKUP(A2404,[15]PRIORIZADOS!$A:$B,2,FALSE)="","",VLOOKUP(A2404,[15]PRIORIZADOS!$A:$B,2,FALSE)),"")</f>
        <v>6</v>
      </c>
      <c r="C2404" s="11" t="str">
        <f>IFERROR(IF(VLOOKUP(A2404,[15]PRIORIZADOS!$A:$C,3,FALSE)="","",VLOOKUP(A2404,[15]PRIORIZADOS!$A:$C,3,FALSE)),"")</f>
        <v>TEUSAQUILLO</v>
      </c>
      <c r="D2404" s="11" t="str">
        <f>IFERROR(IF(VLOOKUP(A2404,[15]PRIORIZADOS!$A:$D,4,FALSE)="","",VLOOKUP(A2404,[15]PRIORIZADOS!$A:$D,4,FALSE)),"")</f>
        <v>PRIVADO_IETDH</v>
      </c>
      <c r="E2404" s="11" t="str">
        <f>IFERROR(IF(VLOOKUP(A2404,[15]PRIORIZADOS!$A:$E,5,FALSE)="","",VLOOKUP(A2404,[15]PRIORIZADOS!$A:$E,5,FALSE)),"")</f>
        <v>IETDH</v>
      </c>
      <c r="F2404" s="11" t="str">
        <f>IFERROR(IF(VLOOKUP(A2404,[15]PRIORIZADOS!$A:$F,6,FALSE)="","",VLOOKUP(A2404,[15]PRIORIZADOS!$A:$F,6,FALSE)),"")</f>
        <v>ACADEMIA_DE_ARTES_GUERRERO</v>
      </c>
      <c r="G2404" s="11" t="str">
        <f>IFERROR(IF(VLOOKUP(A2404,[15]PRIORIZADOS!$A:$G,7,FALSE)="","",VLOOKUP(A2404,[15]PRIORIZADOS!$A:$G,7,FALSE)),"")</f>
        <v>ACADEMIA DE ARTES GUERRERO</v>
      </c>
      <c r="H2404" s="11" t="str">
        <f>IFERROR(IF(VLOOKUP(A2404,[15]PRIORIZADOS!$A:$H,8,FALSE)="","",VLOOKUP(A2404,[15]PRIORIZADOS!$A:$H,8,FALSE)),"")</f>
        <v>IETDH priorizadas por cada ELIV (seguimiento a PMI, que no se hayan visitado en los últimos 3 años)</v>
      </c>
      <c r="I2404" s="11" t="str">
        <f>IFERROR(IF(VLOOKUP(A2404,[15]PRIORIZADOS!$A:$I,9,FALSE)="","",VLOOKUP(A2404,[15]PRIORIZADOS!$A:$I,9,FALSE)),"")</f>
        <v>SEGUIMIENTO_Y_SUPERVISIÓN.</v>
      </c>
      <c r="J2404" s="11" t="str">
        <f>IFERROR(IF(VLOOKUP(A2404,[15]PRIORIZADOS!$A:$J,10,FALSE)="","",VLOOKUP(A2404,[15]PRIORIZADOS!$A:$J,10,FALSE)),"")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404" s="49" t="s">
        <v>469</v>
      </c>
      <c r="L2404" s="49" t="s">
        <v>474</v>
      </c>
      <c r="M2404" s="71">
        <f>IFERROR(IF(VLOOKUP(A2404,[15]PRIORIZADOS!$A:$M,13,FALSE)="","",VLOOKUP(A2404,[15]PRIORIZADOS!$A:$M,13,FALSE)),"")</f>
        <v>45784</v>
      </c>
      <c r="N2404" s="71">
        <f>IFERROR(IF(VLOOKUP(A2404,[15]PRIORIZADOS!$A:$N,14,FALSE)="","",VLOOKUP(A2404,[15]PRIORIZADOS!$A:$N,14,FALSE)),"")</f>
        <v>45784</v>
      </c>
      <c r="O2404" s="71">
        <f>IFERROR(IF(VLOOKUP(A2404,[15]PRIORIZADOS!$A:$O,15,FALSE)="","",VLOOKUP(A2404,[15]PRIORIZADOS!$A:$O,15,FALSE)),"")</f>
        <v>45784</v>
      </c>
      <c r="P2404" s="11" t="str">
        <f>IFERROR(IF(VLOOKUP(A2404,[15]PRIORIZADOS!$A:$P,16,FALSE)="","",VLOOKUP(A2404,[15]PRIORIZADOS!$A:$P,16,FALSE)),"")</f>
        <v>Visitas de evaluación con fines de mejoramiento</v>
      </c>
      <c r="Q2404" s="55" t="s">
        <v>478</v>
      </c>
      <c r="R2404" s="11" t="str">
        <f>IFERROR(IF(VLOOKUP(A2404,[15]PRIORIZADOS!$A:$R,18,FALSE)="","",VLOOKUP(A2404,[15]PRIORIZADOS!$A:$R,18,FALSE)),"")</f>
        <v xml:space="preserve">La IETDH no cuenta con programas de formacion laboral y/o conocimientos academicos vigentes, por tanto no tiene registo en el  SIET . </v>
      </c>
      <c r="S2404" s="11" t="str">
        <f>IFERROR(IF(VLOOKUP(A2404,[15]PRIORIZADOS!$A:$S,19,FALSE)="","",VLOOKUP(A2404,[15]PRIORIZADOS!$A:$S,19,FALSE)),"")</f>
        <v xml:space="preserve">Evaluar la pertinencia del desarrollo de programas de formacion para el trabajo y el desarrollo humano y solicitar como mínimo el registro de un programa o solicitar la cancelacion de la licencia de funcionamiento. </v>
      </c>
      <c r="T2404" s="70" t="str">
        <f>IFERROR(IF(VLOOKUP(A2404,[15]PRIORIZADOS!$A:$T,20,FALSE)="","",VLOOKUP(A2404,[15]PRIORIZADOS!$A:$T,20,FALSE)),"")</f>
        <v>No</v>
      </c>
      <c r="U2404" s="11" t="str">
        <f>IFERROR(IF(VLOOKUP(A2404,[15]PRIORIZADOS!$A:$U,21,FALSE)="","",VLOOKUP(A2404,[15]PRIORIZADOS!$A:$U,21,FALSE)),"")</f>
        <v>Seguimiento al compromiso de solicitud de registro de  programa(s) ETDH o de cierre voluntario, dentro de 6 meses a partir de la visita.</v>
      </c>
    </row>
    <row r="2405" spans="1:21" s="1" customFormat="1" ht="84">
      <c r="A2405" s="69">
        <f>IF([15]PRIORIZADOS!A55="","",[15]PRIORIZADOS!A55)</f>
        <v>2377</v>
      </c>
      <c r="B2405" s="70">
        <f>IFERROR(IF(VLOOKUP(A2405,[15]PRIORIZADOS!$A:$B,2,FALSE)="","",VLOOKUP(A2405,[15]PRIORIZADOS!$A:$B,2,FALSE)),"")</f>
        <v>6</v>
      </c>
      <c r="C2405" s="11" t="str">
        <f>IFERROR(IF(VLOOKUP(A2405,[15]PRIORIZADOS!$A:$C,3,FALSE)="","",VLOOKUP(A2405,[15]PRIORIZADOS!$A:$C,3,FALSE)),"")</f>
        <v>TEUSAQUILLO</v>
      </c>
      <c r="D2405" s="11" t="str">
        <f>IFERROR(IF(VLOOKUP(A2405,[15]PRIORIZADOS!$A:$D,4,FALSE)="","",VLOOKUP(A2405,[15]PRIORIZADOS!$A:$D,4,FALSE)),"")</f>
        <v>PRIVADO_IETDH</v>
      </c>
      <c r="E2405" s="11" t="str">
        <f>IFERROR(IF(VLOOKUP(A2405,[15]PRIORIZADOS!$A:$E,5,FALSE)="","",VLOOKUP(A2405,[15]PRIORIZADOS!$A:$E,5,FALSE)),"")</f>
        <v>IETDH</v>
      </c>
      <c r="F2405" s="11" t="str">
        <f>IFERROR(IF(VLOOKUP(A2405,[15]PRIORIZADOS!$A:$F,6,FALSE)="","",VLOOKUP(A2405,[15]PRIORIZADOS!$A:$F,6,FALSE)),"")</f>
        <v>ACADEMIA_DE_ARTES_GUERRERO</v>
      </c>
      <c r="G2405" s="11" t="str">
        <f>IFERROR(IF(VLOOKUP(A2405,[15]PRIORIZADOS!$A:$G,7,FALSE)="","",VLOOKUP(A2405,[15]PRIORIZADOS!$A:$G,7,FALSE)),"")</f>
        <v>ACADEMIA DE ARTES GUERRERO</v>
      </c>
      <c r="H2405" s="11" t="str">
        <f>IFERROR(IF(VLOOKUP(A2405,[15]PRIORIZADOS!$A:$H,8,FALSE)="","",VLOOKUP(A2405,[15]PRIORIZADOS!$A:$H,8,FALSE)),"")</f>
        <v>IETDH priorizadas por cada ELIV (seguimiento a PMI, que no se hayan visitado en los últimos 3 años)</v>
      </c>
      <c r="I2405" s="11" t="str">
        <f>IFERROR(IF(VLOOKUP(A2405,[15]PRIORIZADOS!$A:$I,9,FALSE)="","",VLOOKUP(A2405,[15]PRIORIZADOS!$A:$I,9,FALSE)),"")</f>
        <v>SEGUIMIENTO_Y_SUPERVISIÓN.</v>
      </c>
      <c r="J2405" s="11" t="str">
        <f>IFERROR(IF(VLOOKUP(A2405,[15]PRIORIZADOS!$A:$J,10,FALSE)="","",VLOOKUP(A2405,[15]PRIORIZADOS!$A:$J,10,FALSE)),"")</f>
        <v>Adelantar visitas para verificar que el desarrollo de los programas de ETDH, esté de acuerdo con lo autorizado y la normatividad vigente, para propender por su pertinencia, legalidad y actualización constante.</v>
      </c>
      <c r="K2405" s="49" t="s">
        <v>469</v>
      </c>
      <c r="L2405" s="49" t="s">
        <v>474</v>
      </c>
      <c r="M2405" s="71">
        <f>IFERROR(IF(VLOOKUP(A2405,[15]PRIORIZADOS!$A:$M,13,FALSE)="","",VLOOKUP(A2405,[15]PRIORIZADOS!$A:$M,13,FALSE)),"")</f>
        <v>45784</v>
      </c>
      <c r="N2405" s="71">
        <f>IFERROR(IF(VLOOKUP(A2405,[15]PRIORIZADOS!$A:$N,14,FALSE)="","",VLOOKUP(A2405,[15]PRIORIZADOS!$A:$N,14,FALSE)),"")</f>
        <v>45784</v>
      </c>
      <c r="O2405" s="71">
        <f>IFERROR(IF(VLOOKUP(A2405,[15]PRIORIZADOS!$A:$O,15,FALSE)="","",VLOOKUP(A2405,[15]PRIORIZADOS!$A:$O,15,FALSE)),"")</f>
        <v>45784</v>
      </c>
      <c r="P2405" s="11" t="str">
        <f>IFERROR(IF(VLOOKUP(A2405,[15]PRIORIZADOS!$A:$P,16,FALSE)="","",VLOOKUP(A2405,[15]PRIORIZADOS!$A:$P,16,FALSE)),"")</f>
        <v>Visitas de evaluación con fines de mejoramiento</v>
      </c>
      <c r="Q2405" s="55" t="s">
        <v>478</v>
      </c>
      <c r="R2405" s="11" t="str">
        <f>IFERROR(IF(VLOOKUP(A2405,[15]PRIORIZADOS!$A:$R,18,FALSE)="","",VLOOKUP(A2405,[15]PRIORIZADOS!$A:$R,18,FALSE)),"")</f>
        <v xml:space="preserve">La IETDH ofrece cursos informales inferiores a 160 horas, no oferta programas tecnicos laborales o en conocimientos académicos  porque no cuenta pcon  no registro vigente de programas. Se evidencia en visita el ofrecimentos de educación informal. </v>
      </c>
      <c r="S2405" s="11" t="str">
        <f>IFERROR(IF(VLOOKUP(A2405,[15]PRIORIZADOS!$A:$S,19,FALSE)="","",VLOOKUP(A2405,[15]PRIORIZADOS!$A:$S,19,FALSE)),"")</f>
        <v xml:space="preserve">Teniendo en cuenta que  la IETDH cuenta con licencia de funcionamiento y no registra programas, debe evaluar la pertinencia o no de registrar programas y en caso de que no se registren solicitar la cancelacion de la licencia de funcionamiento. </v>
      </c>
      <c r="T2405" s="70" t="str">
        <f>IFERROR(IF(VLOOKUP(A2405,[15]PRIORIZADOS!$A:$T,20,FALSE)="","",VLOOKUP(A2405,[15]PRIORIZADOS!$A:$T,20,FALSE)),"")</f>
        <v>No</v>
      </c>
      <c r="U2405" s="11" t="str">
        <f>IFERROR(IF(VLOOKUP(A2405,[15]PRIORIZADOS!$A:$U,21,FALSE)="","",VLOOKUP(A2405,[15]PRIORIZADOS!$A:$U,21,FALSE)),"")</f>
        <v>Seguimiento al compromiso de solicitud de registro de  programa(s) ETDH o de cierre voluntario, dentro de 6 meses a partir de la visita.</v>
      </c>
    </row>
    <row r="2406" spans="1:21" s="1" customFormat="1" ht="84">
      <c r="A2406" s="69">
        <f>IF([15]PRIORIZADOS!A56="","",[15]PRIORIZADOS!A56)</f>
        <v>2378</v>
      </c>
      <c r="B2406" s="70">
        <f>IFERROR(IF(VLOOKUP(A2406,[15]PRIORIZADOS!$A:$B,2,FALSE)="","",VLOOKUP(A2406,[15]PRIORIZADOS!$A:$B,2,FALSE)),"")</f>
        <v>6</v>
      </c>
      <c r="C2406" s="11" t="str">
        <f>IFERROR(IF(VLOOKUP(A2406,[15]PRIORIZADOS!$A:$C,3,FALSE)="","",VLOOKUP(A2406,[15]PRIORIZADOS!$A:$C,3,FALSE)),"")</f>
        <v>TEUSAQUILLO</v>
      </c>
      <c r="D2406" s="11" t="str">
        <f>IFERROR(IF(VLOOKUP(A2406,[15]PRIORIZADOS!$A:$D,4,FALSE)="","",VLOOKUP(A2406,[15]PRIORIZADOS!$A:$D,4,FALSE)),"")</f>
        <v>PRIVADO_IETDH</v>
      </c>
      <c r="E2406" s="11" t="str">
        <f>IFERROR(IF(VLOOKUP(A2406,[15]PRIORIZADOS!$A:$E,5,FALSE)="","",VLOOKUP(A2406,[15]PRIORIZADOS!$A:$E,5,FALSE)),"")</f>
        <v>IETDH</v>
      </c>
      <c r="F2406" s="11" t="str">
        <f>IFERROR(IF(VLOOKUP(A2406,[15]PRIORIZADOS!$A:$F,6,FALSE)="","",VLOOKUP(A2406,[15]PRIORIZADOS!$A:$F,6,FALSE)),"")</f>
        <v>ACADEMIA_DE_ARTES_GUERRERO</v>
      </c>
      <c r="G2406" s="11" t="str">
        <f>IFERROR(IF(VLOOKUP(A2406,[15]PRIORIZADOS!$A:$G,7,FALSE)="","",VLOOKUP(A2406,[15]PRIORIZADOS!$A:$G,7,FALSE)),"")</f>
        <v>ACADEMIA DE ARTES GUERRERO</v>
      </c>
      <c r="H2406" s="11" t="str">
        <f>IFERROR(IF(VLOOKUP(A2406,[15]PRIORIZADOS!$A:$H,8,FALSE)="","",VLOOKUP(A2406,[15]PRIORIZADOS!$A:$H,8,FALSE)),"")</f>
        <v>IETDH priorizadas por cada ELIV (seguimiento a PMI, que no se hayan visitado en los últimos 3 años)</v>
      </c>
      <c r="I2406" s="11" t="str">
        <f>IFERROR(IF(VLOOKUP(A2406,[15]PRIORIZADOS!$A:$I,9,FALSE)="","",VLOOKUP(A2406,[15]PRIORIZADOS!$A:$I,9,FALSE)),"")</f>
        <v>EVALUACIÓN_CON_FINES_DE_MEJORAMIENTO.</v>
      </c>
      <c r="J2406" s="11" t="str">
        <f>IFERROR(IF(VLOOKUP(A2406,[15]PRIORIZADOS!$A:$J,10,FALSE)="","",VLOOKUP(A2406,[15]PRIORIZADOS!$A:$J,10,FALSE)),"")</f>
        <v>Verificar las condiciones en cuanto a: la estructura administrativa, condiciones de la planta física y medios educativos adecuados.</v>
      </c>
      <c r="K2406" s="49" t="s">
        <v>469</v>
      </c>
      <c r="L2406" s="49" t="s">
        <v>474</v>
      </c>
      <c r="M2406" s="71">
        <f>IFERROR(IF(VLOOKUP(A2406,[15]PRIORIZADOS!$A:$M,13,FALSE)="","",VLOOKUP(A2406,[15]PRIORIZADOS!$A:$M,13,FALSE)),"")</f>
        <v>45784</v>
      </c>
      <c r="N2406" s="71">
        <f>IFERROR(IF(VLOOKUP(A2406,[15]PRIORIZADOS!$A:$N,14,FALSE)="","",VLOOKUP(A2406,[15]PRIORIZADOS!$A:$N,14,FALSE)),"")</f>
        <v>45784</v>
      </c>
      <c r="O2406" s="71">
        <f>IFERROR(IF(VLOOKUP(A2406,[15]PRIORIZADOS!$A:$O,15,FALSE)="","",VLOOKUP(A2406,[15]PRIORIZADOS!$A:$O,15,FALSE)),"")</f>
        <v>45784</v>
      </c>
      <c r="P2406" s="11" t="str">
        <f>IFERROR(IF(VLOOKUP(A2406,[15]PRIORIZADOS!$A:$P,16,FALSE)="","",VLOOKUP(A2406,[15]PRIORIZADOS!$A:$P,16,FALSE)),"")</f>
        <v>Visitas de evaluación con fines de mejoramiento</v>
      </c>
      <c r="Q2406" s="56" t="s">
        <v>478</v>
      </c>
      <c r="R2406" s="11" t="str">
        <f>IFERROR(IF(VLOOKUP(A2406,[15]PRIORIZADOS!$A:$R,18,FALSE)="","",VLOOKUP(A2406,[15]PRIORIZADOS!$A:$R,18,FALSE)),"")</f>
        <v>La IETDH cuenta con una planta física con espacios acordes para la prestación del servicio autorizado en la licencia de funcionamiento.  Cuentan con ventilación, iluminación, orden y aseo, adicionalmente, con la dotación necesaria de acuerdo con la oferta educativa autorizada.</v>
      </c>
      <c r="S2406" s="11" t="str">
        <f>IFERROR(IF(VLOOKUP(A2406,[15]PRIORIZADOS!$A:$S,19,FALSE)="","",VLOOKUP(A2406,[15]PRIORIZADOS!$A:$S,19,FALSE)),"")</f>
        <v xml:space="preserve">Evaluar la pertinencia o no de registrar programas y en caso de que no se registren solicitar la cancelacion de la licencia de funcionamiento. </v>
      </c>
      <c r="T2406" s="70" t="str">
        <f>IFERROR(IF(VLOOKUP(A2406,[15]PRIORIZADOS!$A:$T,20,FALSE)="","",VLOOKUP(A2406,[15]PRIORIZADOS!$A:$T,20,FALSE)),"")</f>
        <v>No</v>
      </c>
      <c r="U2406" s="11" t="str">
        <f>IFERROR(IF(VLOOKUP(A2406,[15]PRIORIZADOS!$A:$U,21,FALSE)="","",VLOOKUP(A2406,[15]PRIORIZADOS!$A:$U,21,FALSE)),"")</f>
        <v xml:space="preserve">En caso que la IETDH no realice solitud  de registro de programas en el termino de 6 mese (nov 2025), se requerirá de acuerdo al compromiso. </v>
      </c>
    </row>
    <row r="2407" spans="1:21" s="1" customFormat="1" ht="107.25">
      <c r="A2407" s="69">
        <f>IF([15]PRIORIZADOS!A57="","",[15]PRIORIZADOS!A57)</f>
        <v>2379</v>
      </c>
      <c r="B2407" s="70">
        <f>IFERROR(IF(VLOOKUP(A2407,[15]PRIORIZADOS!$A:$B,2,FALSE)="","",VLOOKUP(A2407,[15]PRIORIZADOS!$A:$B,2,FALSE)),"")</f>
        <v>7</v>
      </c>
      <c r="C2407" s="11" t="str">
        <f>IFERROR(IF(VLOOKUP(A2407,[15]PRIORIZADOS!$A:$C,3,FALSE)="","",VLOOKUP(A2407,[15]PRIORIZADOS!$A:$C,3,FALSE)),"")</f>
        <v>TEUSAQUILLO</v>
      </c>
      <c r="D2407" s="11" t="str">
        <f>IFERROR(IF(VLOOKUP(A2407,[15]PRIORIZADOS!$A:$D,4,FALSE)="","",VLOOKUP(A2407,[15]PRIORIZADOS!$A:$D,4,FALSE)),"")</f>
        <v>PRIVADO_IETDH</v>
      </c>
      <c r="E2407" s="11" t="str">
        <f>IFERROR(IF(VLOOKUP(A2407,[15]PRIORIZADOS!$A:$E,5,FALSE)="","",VLOOKUP(A2407,[15]PRIORIZADOS!$A:$E,5,FALSE)),"")</f>
        <v>IETDH</v>
      </c>
      <c r="F2407" s="11" t="str">
        <f>IFERROR(IF(VLOOKUP(A2407,[15]PRIORIZADOS!$A:$F,6,FALSE)="","",VLOOKUP(A2407,[15]PRIORIZADOS!$A:$F,6,FALSE)),"")</f>
        <v>CENTRO_DE_ASESORÍAS_INTEGRALES_</v>
      </c>
      <c r="G2407" s="11" t="str">
        <f>IFERROR(IF(VLOOKUP(A2407,[15]PRIORIZADOS!$A:$G,7,FALSE)="","",VLOOKUP(A2407,[15]PRIORIZADOS!$A:$G,7,FALSE)),"")</f>
        <v xml:space="preserve">CENTRO DE ASESORÍAS INTEGRALES </v>
      </c>
      <c r="H2407" s="11" t="str">
        <f>IFERROR(IF(VLOOKUP(A2407,[15]PRIORIZADOS!$A:$H,8,FALSE)="","",VLOOKUP(A2407,[15]PRIORIZADOS!$A:$H,8,FALSE)),"")</f>
        <v>IETDH priorizadas por cada ELIV (seguimiento a PMI, que no se hayan visitado en los últimos 3 años)</v>
      </c>
      <c r="I2407" s="11" t="str">
        <f>IFERROR(IF(VLOOKUP(A2407,[15]PRIORIZADOS!$A:$I,9,FALSE)="","",VLOOKUP(A2407,[15]PRIORIZADOS!$A:$I,9,FALSE)),"")</f>
        <v>SEGUIMIENTO_Y_SUPERVISIÓN.</v>
      </c>
      <c r="J2407" s="11" t="str">
        <f>IFERROR(IF(VLOOKUP(A2407,[15]PRIORIZADOS!$A:$J,10,FALSE)="","",VLOOKUP(A2407,[15]PRIORIZADOS!$A:$J,10,FALSE)),"")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407" s="49" t="s">
        <v>469</v>
      </c>
      <c r="L2407" s="49" t="s">
        <v>470</v>
      </c>
      <c r="M2407" s="71">
        <f>IFERROR(IF(VLOOKUP(A2407,[15]PRIORIZADOS!$A:$M,13,FALSE)="","",VLOOKUP(A2407,[15]PRIORIZADOS!$A:$M,13,FALSE)),"")</f>
        <v>45791</v>
      </c>
      <c r="N2407" s="71">
        <f>IFERROR(IF(VLOOKUP(A2407,[15]PRIORIZADOS!$A:$N,14,FALSE)="","",VLOOKUP(A2407,[15]PRIORIZADOS!$A:$N,14,FALSE)),"")</f>
        <v>45792</v>
      </c>
      <c r="O2407" s="71" t="str">
        <f>IFERROR(IF(VLOOKUP(A2407,[15]PRIORIZADOS!$A:$O,15,FALSE)="","",VLOOKUP(A2407,[15]PRIORIZADOS!$A:$O,15,FALSE)),"")</f>
        <v>15/05/2025</v>
      </c>
      <c r="P2407" s="11" t="str">
        <f>IFERROR(IF(VLOOKUP(A2407,[15]PRIORIZADOS!$A:$P,16,FALSE)="","",VLOOKUP(A2407,[15]PRIORIZADOS!$A:$P,16,FALSE)),"")</f>
        <v>Visitas de evaluación con fines de mejoramiento</v>
      </c>
      <c r="Q2407" s="260" t="s">
        <v>479</v>
      </c>
      <c r="R2407" s="11" t="str">
        <f>IFERROR(IF(VLOOKUP(A2407,[15]PRIORIZADOS!$A:$R,18,FALSE)="","",VLOOKUP(A2407,[15]PRIORIZADOS!$A:$R,18,FALSE)),"")</f>
        <v>El registro de matriculados y certificados en  SIET se encuentra desactualizado por inconvenientes con el personal administativo desde el año 2020. Los costos educativos aprobados una vez renovado el registro fue de $1.315.535, y a la fecha el costo del programa es de $1.200.000 que corresponde a $ 400.000 mensuales por el tiempo de 3 meses.</v>
      </c>
      <c r="S2407" s="11" t="str">
        <f>IFERROR(IF(VLOOKUP(A2407,[15]PRIORIZADOS!$A:$S,19,FALSE)="","",VLOOKUP(A2407,[15]PRIORIZADOS!$A:$S,19,FALSE)),"")</f>
        <v xml:space="preserve">Actualizar la información de matriculados y certificados en el SIET. </v>
      </c>
      <c r="T2407" s="70" t="str">
        <f>IFERROR(IF(VLOOKUP(A2407,[15]PRIORIZADOS!$A:$T,20,FALSE)="","",VLOOKUP(A2407,[15]PRIORIZADOS!$A:$T,20,FALSE)),"")</f>
        <v>Si</v>
      </c>
      <c r="U2407" s="11" t="str">
        <f>IFERROR(IF(VLOOKUP(A2407,[15]PRIORIZADOS!$A:$U,21,FALSE)="","",VLOOKUP(A2407,[15]PRIORIZADOS!$A:$U,21,FALSE)),"")</f>
        <v>Verificar, en el plan de mejoramiento que presente la IE,  la culminación de la actualización del registro de matriculados y certificados a 15 de junio de 2025</v>
      </c>
    </row>
    <row r="2408" spans="1:21" s="1" customFormat="1" ht="72">
      <c r="A2408" s="69">
        <f>IF([15]PRIORIZADOS!A58="","",[15]PRIORIZADOS!A58)</f>
        <v>2380</v>
      </c>
      <c r="B2408" s="70">
        <f>IFERROR(IF(VLOOKUP(A2408,[15]PRIORIZADOS!$A:$B,2,FALSE)="","",VLOOKUP(A2408,[15]PRIORIZADOS!$A:$B,2,FALSE)),"")</f>
        <v>7</v>
      </c>
      <c r="C2408" s="11" t="str">
        <f>IFERROR(IF(VLOOKUP(A2408,[15]PRIORIZADOS!$A:$C,3,FALSE)="","",VLOOKUP(A2408,[15]PRIORIZADOS!$A:$C,3,FALSE)),"")</f>
        <v>TEUSAQUILLO</v>
      </c>
      <c r="D2408" s="11" t="str">
        <f>IFERROR(IF(VLOOKUP(A2408,[15]PRIORIZADOS!$A:$D,4,FALSE)="","",VLOOKUP(A2408,[15]PRIORIZADOS!$A:$D,4,FALSE)),"")</f>
        <v>PRIVADO_IETDH</v>
      </c>
      <c r="E2408" s="11" t="str">
        <f>IFERROR(IF(VLOOKUP(A2408,[15]PRIORIZADOS!$A:$E,5,FALSE)="","",VLOOKUP(A2408,[15]PRIORIZADOS!$A:$E,5,FALSE)),"")</f>
        <v>IETDH</v>
      </c>
      <c r="F2408" s="11" t="str">
        <f>IFERROR(IF(VLOOKUP(A2408,[15]PRIORIZADOS!$A:$F,6,FALSE)="","",VLOOKUP(A2408,[15]PRIORIZADOS!$A:$F,6,FALSE)),"")</f>
        <v>CENTRO_DE_ASESORÍAS_INTEGRALES_</v>
      </c>
      <c r="G2408" s="11" t="str">
        <f>IFERROR(IF(VLOOKUP(A2408,[15]PRIORIZADOS!$A:$G,7,FALSE)="","",VLOOKUP(A2408,[15]PRIORIZADOS!$A:$G,7,FALSE)),"")</f>
        <v xml:space="preserve">CENTRO DE ASESORÍAS INTEGRALES </v>
      </c>
      <c r="H2408" s="11" t="str">
        <f>IFERROR(IF(VLOOKUP(A2408,[15]PRIORIZADOS!$A:$H,8,FALSE)="","",VLOOKUP(A2408,[15]PRIORIZADOS!$A:$H,8,FALSE)),"")</f>
        <v>IETDH priorizadas por cada ELIV (seguimiento a PMI, que no se hayan visitado en los últimos 3 años)</v>
      </c>
      <c r="I2408" s="11" t="str">
        <f>IFERROR(IF(VLOOKUP(A2408,[15]PRIORIZADOS!$A:$I,9,FALSE)="","",VLOOKUP(A2408,[15]PRIORIZADOS!$A:$I,9,FALSE)),"")</f>
        <v>SEGUIMIENTO_Y_SUPERVISIÓN.</v>
      </c>
      <c r="J2408" s="11" t="str">
        <f>IFERROR(IF(VLOOKUP(A2408,[15]PRIORIZADOS!$A:$J,10,FALSE)="","",VLOOKUP(A2408,[15]PRIORIZADOS!$A:$J,10,FALSE)),"")</f>
        <v>Adelantar visitas para verificar que el desarrollo de los programas de ETDH, esté de acuerdo con lo autorizado y la normatividad vigente, para propender por su pertinencia, legalidad y actualización constante.</v>
      </c>
      <c r="K2408" s="49" t="s">
        <v>469</v>
      </c>
      <c r="L2408" s="49" t="s">
        <v>470</v>
      </c>
      <c r="M2408" s="71">
        <f>IFERROR(IF(VLOOKUP(A2408,[15]PRIORIZADOS!$A:$M,13,FALSE)="","",VLOOKUP(A2408,[15]PRIORIZADOS!$A:$M,13,FALSE)),"")</f>
        <v>45791</v>
      </c>
      <c r="N2408" s="71">
        <f>IFERROR(IF(VLOOKUP(A2408,[15]PRIORIZADOS!$A:$N,14,FALSE)="","",VLOOKUP(A2408,[15]PRIORIZADOS!$A:$N,14,FALSE)),"")</f>
        <v>45792</v>
      </c>
      <c r="O2408" s="71" t="str">
        <f>IFERROR(IF(VLOOKUP(A2408,[15]PRIORIZADOS!$A:$O,15,FALSE)="","",VLOOKUP(A2408,[15]PRIORIZADOS!$A:$O,15,FALSE)),"")</f>
        <v>15/05/2025</v>
      </c>
      <c r="P2408" s="11" t="str">
        <f>IFERROR(IF(VLOOKUP(A2408,[15]PRIORIZADOS!$A:$P,16,FALSE)="","",VLOOKUP(A2408,[15]PRIORIZADOS!$A:$P,16,FALSE)),"")</f>
        <v>Visitas de evaluación con fines de mejoramiento</v>
      </c>
      <c r="Q2408" s="260" t="s">
        <v>479</v>
      </c>
      <c r="R2408" s="11" t="str">
        <f>IFERROR(IF(VLOOKUP(A2408,[15]PRIORIZADOS!$A:$R,18,FALSE)="","",VLOOKUP(A2408,[15]PRIORIZADOS!$A:$R,18,FALSE)),"")</f>
        <v xml:space="preserve">La institucion cumple con la oferta educativa autorizada.  El programa se encuentra vigente y se desarrolla conforme lo autorizado jornada diurna en horario de 8:00 am - 1:00 pm de lunes a viernes por 3 meses. </v>
      </c>
      <c r="S2408" s="11" t="str">
        <f>IFERROR(IF(VLOOKUP(A2408,[15]PRIORIZADOS!$A:$S,19,FALSE)="","",VLOOKUP(A2408,[15]PRIORIZADOS!$A:$S,19,FALSE)),"")</f>
        <v>Presentar solicitud de renovacion de registro de programas seis meses antes de su vencimiento.</v>
      </c>
      <c r="T2408" s="70" t="str">
        <f>IFERROR(IF(VLOOKUP(A2408,[15]PRIORIZADOS!$A:$T,20,FALSE)="","",VLOOKUP(A2408,[15]PRIORIZADOS!$A:$T,20,FALSE)),"")</f>
        <v>No</v>
      </c>
      <c r="U2408" s="11" t="str">
        <f>IFERROR(IF(VLOOKUP(A2408,[15]PRIORIZADOS!$A:$U,21,FALSE)="","",VLOOKUP(A2408,[15]PRIORIZADOS!$A:$U,21,FALSE)),"")</f>
        <v>Verificar las solicitudes de renovacion de registro de programas que realice la IE</v>
      </c>
    </row>
    <row r="2409" spans="1:21" s="1" customFormat="1" ht="96">
      <c r="A2409" s="69">
        <f>IF([15]PRIORIZADOS!A59="","",[15]PRIORIZADOS!A59)</f>
        <v>2381</v>
      </c>
      <c r="B2409" s="70">
        <f>IFERROR(IF(VLOOKUP(A2409,[15]PRIORIZADOS!$A:$B,2,FALSE)="","",VLOOKUP(A2409,[15]PRIORIZADOS!$A:$B,2,FALSE)),"")</f>
        <v>7</v>
      </c>
      <c r="C2409" s="11" t="str">
        <f>IFERROR(IF(VLOOKUP(A2409,[15]PRIORIZADOS!$A:$C,3,FALSE)="","",VLOOKUP(A2409,[15]PRIORIZADOS!$A:$C,3,FALSE)),"")</f>
        <v>TEUSAQUILLO</v>
      </c>
      <c r="D2409" s="11" t="str">
        <f>IFERROR(IF(VLOOKUP(A2409,[15]PRIORIZADOS!$A:$D,4,FALSE)="","",VLOOKUP(A2409,[15]PRIORIZADOS!$A:$D,4,FALSE)),"")</f>
        <v>PRIVADO_IETDH</v>
      </c>
      <c r="E2409" s="11" t="str">
        <f>IFERROR(IF(VLOOKUP(A2409,[15]PRIORIZADOS!$A:$E,5,FALSE)="","",VLOOKUP(A2409,[15]PRIORIZADOS!$A:$E,5,FALSE)),"")</f>
        <v>IETDH</v>
      </c>
      <c r="F2409" s="11" t="str">
        <f>IFERROR(IF(VLOOKUP(A2409,[15]PRIORIZADOS!$A:$F,6,FALSE)="","",VLOOKUP(A2409,[15]PRIORIZADOS!$A:$F,6,FALSE)),"")</f>
        <v>CENTRO_DE_ASESORÍAS_INTEGRALES_</v>
      </c>
      <c r="G2409" s="11" t="str">
        <f>IFERROR(IF(VLOOKUP(A2409,[15]PRIORIZADOS!$A:$G,7,FALSE)="","",VLOOKUP(A2409,[15]PRIORIZADOS!$A:$G,7,FALSE)),"")</f>
        <v xml:space="preserve">CENTRO DE ASESORÍAS INTEGRALES </v>
      </c>
      <c r="H2409" s="11" t="str">
        <f>IFERROR(IF(VLOOKUP(A2409,[15]PRIORIZADOS!$A:$H,8,FALSE)="","",VLOOKUP(A2409,[15]PRIORIZADOS!$A:$H,8,FALSE)),"")</f>
        <v>IETDH priorizadas por cada ELIV (seguimiento a PMI, que no se hayan visitado en los últimos 3 años)</v>
      </c>
      <c r="I2409" s="11" t="str">
        <f>IFERROR(IF(VLOOKUP(A2409,[15]PRIORIZADOS!$A:$I,9,FALSE)="","",VLOOKUP(A2409,[15]PRIORIZADOS!$A:$I,9,FALSE)),"")</f>
        <v>EVALUACIÓN_CON_FINES_DE_MEJORAMIENTO.</v>
      </c>
      <c r="J2409" s="11" t="str">
        <f>IFERROR(IF(VLOOKUP(A2409,[15]PRIORIZADOS!$A:$J,10,FALSE)="","",VLOOKUP(A2409,[15]PRIORIZADOS!$A:$J,10,FALSE)),"")</f>
        <v>Verificar las condiciones en cuanto a: la estructura administrativa, condiciones de la planta física y medios educativos adecuados.</v>
      </c>
      <c r="K2409" s="50" t="s">
        <v>469</v>
      </c>
      <c r="L2409" s="50" t="s">
        <v>470</v>
      </c>
      <c r="M2409" s="71">
        <f>IFERROR(IF(VLOOKUP(A2409,[15]PRIORIZADOS!$A:$M,13,FALSE)="","",VLOOKUP(A2409,[15]PRIORIZADOS!$A:$M,13,FALSE)),"")</f>
        <v>45791</v>
      </c>
      <c r="N2409" s="71">
        <f>IFERROR(IF(VLOOKUP(A2409,[15]PRIORIZADOS!$A:$N,14,FALSE)="","",VLOOKUP(A2409,[15]PRIORIZADOS!$A:$N,14,FALSE)),"")</f>
        <v>45792</v>
      </c>
      <c r="O2409" s="71" t="str">
        <f>IFERROR(IF(VLOOKUP(A2409,[15]PRIORIZADOS!$A:$O,15,FALSE)="","",VLOOKUP(A2409,[15]PRIORIZADOS!$A:$O,15,FALSE)),"")</f>
        <v>15/05/2025</v>
      </c>
      <c r="P2409" s="11" t="str">
        <f>IFERROR(IF(VLOOKUP(A2409,[15]PRIORIZADOS!$A:$P,16,FALSE)="","",VLOOKUP(A2409,[15]PRIORIZADOS!$A:$P,16,FALSE)),"")</f>
        <v>Visitas de evaluación con fines de mejoramiento</v>
      </c>
      <c r="Q2409" s="260" t="s">
        <v>479</v>
      </c>
      <c r="R2409" s="11" t="str">
        <f>IFERROR(IF(VLOOKUP(A2409,[15]PRIORIZADOS!$A:$R,18,FALSE)="","",VLOOKUP(A2409,[15]PRIORIZADOS!$A:$R,18,FALSE)),"")</f>
        <v xml:space="preserve">Cuenta con una adecuada estructura administrativa. La planta física cuenta con los espacios académicos  para la atencion de estudiantes de acuerdo con la demanda y los medios educativos estan  conforme las pruebas saber y examen de ingeso a la UNacional que les permite fortalecer conocimiento y modelo de preguntas </v>
      </c>
      <c r="S2409" s="11" t="str">
        <f>IFERROR(IF(VLOOKUP(A2409,[15]PRIORIZADOS!$A:$S,19,FALSE)="","",VLOOKUP(A2409,[15]PRIORIZADOS!$A:$S,19,FALSE)),"")</f>
        <v xml:space="preserve">Continuar fortaleciendo la capacitación al personal administrativo, y mantener actualizados los sistemas de información. </v>
      </c>
      <c r="T2409" s="70" t="str">
        <f>IFERROR(IF(VLOOKUP(A2409,[15]PRIORIZADOS!$A:$T,20,FALSE)="","",VLOOKUP(A2409,[15]PRIORIZADOS!$A:$T,20,FALSE)),"")</f>
        <v>No</v>
      </c>
      <c r="U2409" s="11" t="str">
        <f>IFERROR(IF(VLOOKUP(A2409,[15]PRIORIZADOS!$A:$U,21,FALSE)="","",VLOOKUP(A2409,[15]PRIORIZADOS!$A:$U,21,FALSE)),"")</f>
        <v xml:space="preserve">Verificar, si se requiere, los compromisos descritos. </v>
      </c>
    </row>
    <row r="2410" spans="1:21" s="1" customFormat="1" ht="154.5">
      <c r="A2410" s="69">
        <f>IF([15]PRIORIZADOS!A60="","",[15]PRIORIZADOS!A60)</f>
        <v>2382</v>
      </c>
      <c r="B2410" s="70">
        <f>IFERROR(IF(VLOOKUP(A2410,[15]PRIORIZADOS!$A:$B,2,FALSE)="","",VLOOKUP(A2410,[15]PRIORIZADOS!$A:$B,2,FALSE)),"")</f>
        <v>8</v>
      </c>
      <c r="C2410" s="11" t="str">
        <f>IFERROR(IF(VLOOKUP(A2410,[15]PRIORIZADOS!$A:$C,3,FALSE)="","",VLOOKUP(A2410,[15]PRIORIZADOS!$A:$C,3,FALSE)),"")</f>
        <v>TEUSAQUILLO</v>
      </c>
      <c r="D2410" s="11" t="str">
        <f>IFERROR(IF(VLOOKUP(A2410,[15]PRIORIZADOS!$A:$D,4,FALSE)="","",VLOOKUP(A2410,[15]PRIORIZADOS!$A:$D,4,FALSE)),"")</f>
        <v>PRIVADO_IETDH</v>
      </c>
      <c r="E2410" s="11" t="str">
        <f>IFERROR(IF(VLOOKUP(A2410,[15]PRIORIZADOS!$A:$E,5,FALSE)="","",VLOOKUP(A2410,[15]PRIORIZADOS!$A:$E,5,FALSE)),"")</f>
        <v>IETDH</v>
      </c>
      <c r="F2410" s="11" t="str">
        <f>IFERROR(IF(VLOOKUP(A2410,[15]PRIORIZADOS!$A:$F,6,FALSE)="","",VLOOKUP(A2410,[15]PRIORIZADOS!$A:$F,6,FALSE)),"")</f>
        <v>INSTITUTO_DE_EDUCACIÓN_PARA_EL_TRABAJO_Y_EL_DESARROLLO_HUMANO_CODEMA</v>
      </c>
      <c r="G2410" s="11" t="str">
        <f>IFERROR(IF(VLOOKUP(A2410,[15]PRIORIZADOS!$A:$G,7,FALSE)="","",VLOOKUP(A2410,[15]PRIORIZADOS!$A:$G,7,FALSE)),"")</f>
        <v>INSTITUTO DE EDUCACIÓN PARA EL TRABAJO Y EL DESARROLLO HUMANO CODEMA</v>
      </c>
      <c r="H2410" s="11" t="str">
        <f>IFERROR(IF(VLOOKUP(A2410,[15]PRIORIZADOS!$A:$H,8,FALSE)="","",VLOOKUP(A2410,[15]PRIORIZADOS!$A:$H,8,FALSE)),"")</f>
        <v>IETDH priorizadas por cada ELIV (seguimiento a PMI, que no se hayan visitado en los últimos 3 años)</v>
      </c>
      <c r="I2410" s="11" t="str">
        <f>IFERROR(IF(VLOOKUP(A2410,[15]PRIORIZADOS!$A:$I,9,FALSE)="","",VLOOKUP(A2410,[15]PRIORIZADOS!$A:$I,9,FALSE)),"")</f>
        <v>SEGUIMIENTO_Y_SUPERVISIÓN.</v>
      </c>
      <c r="J2410" s="11" t="str">
        <f>IFERROR(IF(VLOOKUP(A2410,[15]PRIORIZADOS!$A:$J,10,FALSE)="","",VLOOKUP(A2410,[15]PRIORIZADOS!$A:$J,10,FALSE)),"")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410" s="51" t="s">
        <v>472</v>
      </c>
      <c r="L2410" s="51" t="s">
        <v>474</v>
      </c>
      <c r="M2410" s="71">
        <f>IFERROR(IF(VLOOKUP(A2410,[15]PRIORIZADOS!$A:$M,13,FALSE)="","",VLOOKUP(A2410,[15]PRIORIZADOS!$A:$M,13,FALSE)),"")</f>
        <v>45793</v>
      </c>
      <c r="N2410" s="71">
        <f>IFERROR(IF(VLOOKUP(A2410,[15]PRIORIZADOS!$A:$N,14,FALSE)="","",VLOOKUP(A2410,[15]PRIORIZADOS!$A:$N,14,FALSE)),"")</f>
        <v>45793</v>
      </c>
      <c r="O2410" s="71">
        <f>IFERROR(IF(VLOOKUP(A2410,[15]PRIORIZADOS!$A:$O,15,FALSE)="","",VLOOKUP(A2410,[15]PRIORIZADOS!$A:$O,15,FALSE)),"")</f>
        <v>45793</v>
      </c>
      <c r="P2410" s="11" t="str">
        <f>IFERROR(IF(VLOOKUP(A2410,[15]PRIORIZADOS!$A:$P,16,FALSE)="","",VLOOKUP(A2410,[15]PRIORIZADOS!$A:$P,16,FALSE)),"")</f>
        <v>Visitas de evaluación con fines de mejoramiento</v>
      </c>
      <c r="Q2410" s="57" t="s">
        <v>480</v>
      </c>
      <c r="R2410" s="11" t="str">
        <f>IFERROR(IF(VLOOKUP(A2410,[15]PRIORIZADOS!$A:$R,18,FALSE)="","",VLOOKUP(A2410,[15]PRIORIZADOS!$A:$R,18,FALSE)),"")</f>
        <v>La IETDH manifiesta no haber realizado el registro en el sistema SIET de matricualdos y certificados oportunamente debido al fallecimiento de la persona encargada y la pérdida de acceso. Tras recuperar la clave, se registró la información de los años 2022 y 2023, aunque no se reportaron los costos anuales. Adicionalmente, la institución informa no tener programas vigentes, por lo que solicitó un nuevo registro en 2025 para los programas de inglés A1, A2, B1 y B2, los cuales se encuentran en estudio.</v>
      </c>
      <c r="S2410" s="11" t="str">
        <f>IFERROR(IF(VLOOKUP(A2410,[15]PRIORIZADOS!$A:$S,19,FALSE)="","",VLOOKUP(A2410,[15]PRIORIZADOS!$A:$S,19,FALSE)),"")</f>
        <v xml:space="preserve">Solicitud de cancelación de los programas con registro vencido. Solicitud de registro de nuevos programas según lo manifestado en visita por la IETDH, una vez realizado el registro, la IETDH debe realizar los reportes de actualización de costos, y demás registros en SIET como el registro de matriculados y certificados. </v>
      </c>
      <c r="T2410" s="70" t="str">
        <f>IFERROR(IF(VLOOKUP(A2410,[15]PRIORIZADOS!$A:$T,20,FALSE)="","",VLOOKUP(A2410,[15]PRIORIZADOS!$A:$T,20,FALSE)),"")</f>
        <v>Si</v>
      </c>
      <c r="U2410" s="11" t="str">
        <f>IFERROR(IF(VLOOKUP(A2410,[15]PRIORIZADOS!$A:$U,21,FALSE)="","",VLOOKUP(A2410,[15]PRIORIZADOS!$A:$U,21,FALSE)),"")</f>
        <v>Se realizará seguimiento al proceso de registro de los costos anuales, y se verificará el estado de las solicitudes de cancelación y  nuevo registro de los programas de inglés A1, A2, B1 y B2 para el año 2025.</v>
      </c>
    </row>
    <row r="2411" spans="1:21" s="1" customFormat="1" ht="48">
      <c r="A2411" s="69">
        <f>IF([15]PRIORIZADOS!A61="","",[15]PRIORIZADOS!A61)</f>
        <v>2383</v>
      </c>
      <c r="B2411" s="70">
        <f>IFERROR(IF(VLOOKUP(A2411,[15]PRIORIZADOS!$A:$B,2,FALSE)="","",VLOOKUP(A2411,[15]PRIORIZADOS!$A:$B,2,FALSE)),"")</f>
        <v>8</v>
      </c>
      <c r="C2411" s="11" t="str">
        <f>IFERROR(IF(VLOOKUP(A2411,[15]PRIORIZADOS!$A:$C,3,FALSE)="","",VLOOKUP(A2411,[15]PRIORIZADOS!$A:$C,3,FALSE)),"")</f>
        <v>TEUSAQUILLO</v>
      </c>
      <c r="D2411" s="11" t="str">
        <f>IFERROR(IF(VLOOKUP(A2411,[15]PRIORIZADOS!$A:$D,4,FALSE)="","",VLOOKUP(A2411,[15]PRIORIZADOS!$A:$D,4,FALSE)),"")</f>
        <v>PRIVADO_IETDH</v>
      </c>
      <c r="E2411" s="11" t="str">
        <f>IFERROR(IF(VLOOKUP(A2411,[15]PRIORIZADOS!$A:$E,5,FALSE)="","",VLOOKUP(A2411,[15]PRIORIZADOS!$A:$E,5,FALSE)),"")</f>
        <v>IETDH</v>
      </c>
      <c r="F2411" s="11" t="str">
        <f>IFERROR(IF(VLOOKUP(A2411,[15]PRIORIZADOS!$A:$F,6,FALSE)="","",VLOOKUP(A2411,[15]PRIORIZADOS!$A:$F,6,FALSE)),"")</f>
        <v>INSTITUTO_DE_EDUCACIÓN_PARA_EL_TRABAJO_Y_EL_DESARROLLO_HUMANO_CODEMA</v>
      </c>
      <c r="G2411" s="11" t="str">
        <f>IFERROR(IF(VLOOKUP(A2411,[15]PRIORIZADOS!$A:$G,7,FALSE)="","",VLOOKUP(A2411,[15]PRIORIZADOS!$A:$G,7,FALSE)),"")</f>
        <v>INSTITUTO DE EDUCACIÓN PARA EL TRABAJO Y EL DESARROLLO HUMANO CODEMA</v>
      </c>
      <c r="H2411" s="11" t="str">
        <f>IFERROR(IF(VLOOKUP(A2411,[15]PRIORIZADOS!$A:$H,8,FALSE)="","",VLOOKUP(A2411,[15]PRIORIZADOS!$A:$H,8,FALSE)),"")</f>
        <v>IETDH priorizadas por cada ELIV (seguimiento a PMI, que no se hayan visitado en los últimos 3 años)</v>
      </c>
      <c r="I2411" s="11" t="str">
        <f>IFERROR(IF(VLOOKUP(A2411,[15]PRIORIZADOS!$A:$I,9,FALSE)="","",VLOOKUP(A2411,[15]PRIORIZADOS!$A:$I,9,FALSE)),"")</f>
        <v>SEGUIMIENTO_Y_SUPERVISIÓN.</v>
      </c>
      <c r="J2411" s="11" t="str">
        <f>IFERROR(IF(VLOOKUP(A2411,[15]PRIORIZADOS!$A:$J,10,FALSE)="","",VLOOKUP(A2411,[15]PRIORIZADOS!$A:$J,10,FALSE)),"")</f>
        <v>Adelantar visitas para verificar que el desarrollo de los programas de ETDH, esté de acuerdo con lo autorizado y la normatividad vigente, para propender por su pertinencia, legalidad y actualización constante.</v>
      </c>
      <c r="K2411" s="52" t="s">
        <v>472</v>
      </c>
      <c r="L2411" s="52" t="s">
        <v>474</v>
      </c>
      <c r="M2411" s="71">
        <f>IFERROR(IF(VLOOKUP(A2411,[15]PRIORIZADOS!$A:$M,13,FALSE)="","",VLOOKUP(A2411,[15]PRIORIZADOS!$A:$M,13,FALSE)),"")</f>
        <v>45793</v>
      </c>
      <c r="N2411" s="71">
        <f>IFERROR(IF(VLOOKUP(A2411,[15]PRIORIZADOS!$A:$N,14,FALSE)="","",VLOOKUP(A2411,[15]PRIORIZADOS!$A:$N,14,FALSE)),"")</f>
        <v>45793</v>
      </c>
      <c r="O2411" s="71">
        <f>IFERROR(IF(VLOOKUP(A2411,[15]PRIORIZADOS!$A:$O,15,FALSE)="","",VLOOKUP(A2411,[15]PRIORIZADOS!$A:$O,15,FALSE)),"")</f>
        <v>45793</v>
      </c>
      <c r="P2411" s="11" t="str">
        <f>IFERROR(IF(VLOOKUP(A2411,[15]PRIORIZADOS!$A:$P,16,FALSE)="","",VLOOKUP(A2411,[15]PRIORIZADOS!$A:$P,16,FALSE)),"")</f>
        <v>Visitas de evaluación con fines de mejoramiento</v>
      </c>
      <c r="Q2411" s="58" t="s">
        <v>480</v>
      </c>
      <c r="R2411" s="11" t="str">
        <f>IFERROR(IF(VLOOKUP(A2411,[15]PRIORIZADOS!$A:$R,18,FALSE)="","",VLOOKUP(A2411,[15]PRIORIZADOS!$A:$R,18,FALSE)),"")</f>
        <v>La IETDH no tiene programas vigentes. Justifica la pertinencia del registro de nuevos programas de inglés que atienden a las necesidades de sus afiliados.</v>
      </c>
      <c r="S2411" s="11" t="str">
        <f>IFERROR(IF(VLOOKUP(A2411,[15]PRIORIZADOS!$A:$S,19,FALSE)="","",VLOOKUP(A2411,[15]PRIORIZADOS!$A:$S,19,FALSE)),"")</f>
        <v>Realizar la solicitud de registro de nuevos programas,</v>
      </c>
      <c r="T2411" s="70" t="str">
        <f>IFERROR(IF(VLOOKUP(A2411,[15]PRIORIZADOS!$A:$T,20,FALSE)="","",VLOOKUP(A2411,[15]PRIORIZADOS!$A:$T,20,FALSE)),"")</f>
        <v>Si</v>
      </c>
      <c r="U2411" s="11" t="str">
        <f>IFERROR(IF(VLOOKUP(A2411,[15]PRIORIZADOS!$A:$U,21,FALSE)="","",VLOOKUP(A2411,[15]PRIORIZADOS!$A:$U,21,FALSE)),"")</f>
        <v xml:space="preserve">Se verifica el cumplimiento de requisitos normativos de la solicitud de registro de los nuevos programas de inglés. </v>
      </c>
    </row>
    <row r="2412" spans="1:21" s="1" customFormat="1" ht="84">
      <c r="A2412" s="69">
        <f>IF([15]PRIORIZADOS!A62="","",[15]PRIORIZADOS!A62)</f>
        <v>2384</v>
      </c>
      <c r="B2412" s="70">
        <f>IFERROR(IF(VLOOKUP(A2412,[15]PRIORIZADOS!$A:$B,2,FALSE)="","",VLOOKUP(A2412,[15]PRIORIZADOS!$A:$B,2,FALSE)),"")</f>
        <v>8</v>
      </c>
      <c r="C2412" s="11" t="str">
        <f>IFERROR(IF(VLOOKUP(A2412,[15]PRIORIZADOS!$A:$C,3,FALSE)="","",VLOOKUP(A2412,[15]PRIORIZADOS!$A:$C,3,FALSE)),"")</f>
        <v>TEUSAQUILLO</v>
      </c>
      <c r="D2412" s="11" t="str">
        <f>IFERROR(IF(VLOOKUP(A2412,[15]PRIORIZADOS!$A:$D,4,FALSE)="","",VLOOKUP(A2412,[15]PRIORIZADOS!$A:$D,4,FALSE)),"")</f>
        <v>PRIVADO_IETDH</v>
      </c>
      <c r="E2412" s="11" t="str">
        <f>IFERROR(IF(VLOOKUP(A2412,[15]PRIORIZADOS!$A:$E,5,FALSE)="","",VLOOKUP(A2412,[15]PRIORIZADOS!$A:$E,5,FALSE)),"")</f>
        <v>IETDH</v>
      </c>
      <c r="F2412" s="11" t="str">
        <f>IFERROR(IF(VLOOKUP(A2412,[15]PRIORIZADOS!$A:$F,6,FALSE)="","",VLOOKUP(A2412,[15]PRIORIZADOS!$A:$F,6,FALSE)),"")</f>
        <v>INSTITUTO_DE_EDUCACIÓN_PARA_EL_TRABAJO_Y_EL_DESARROLLO_HUMANO_CODEMA</v>
      </c>
      <c r="G2412" s="11" t="str">
        <f>IFERROR(IF(VLOOKUP(A2412,[15]PRIORIZADOS!$A:$G,7,FALSE)="","",VLOOKUP(A2412,[15]PRIORIZADOS!$A:$G,7,FALSE)),"")</f>
        <v>INSTITUTO DE EDUCACIÓN PARA EL TRABAJO Y EL DESARROLLO HUMANO CODEMA</v>
      </c>
      <c r="H2412" s="11" t="str">
        <f>IFERROR(IF(VLOOKUP(A2412,[15]PRIORIZADOS!$A:$H,8,FALSE)="","",VLOOKUP(A2412,[15]PRIORIZADOS!$A:$H,8,FALSE)),"")</f>
        <v>IETDH priorizadas por cada ELIV (seguimiento a PMI, que no se hayan visitado en los últimos 3 años)</v>
      </c>
      <c r="I2412" s="11" t="str">
        <f>IFERROR(IF(VLOOKUP(A2412,[15]PRIORIZADOS!$A:$I,9,FALSE)="","",VLOOKUP(A2412,[15]PRIORIZADOS!$A:$I,9,FALSE)),"")</f>
        <v>EVALUACIÓN_CON_FINES_DE_MEJORAMIENTO.</v>
      </c>
      <c r="J2412" s="11" t="str">
        <f>IFERROR(IF(VLOOKUP(A2412,[15]PRIORIZADOS!$A:$J,10,FALSE)="","",VLOOKUP(A2412,[15]PRIORIZADOS!$A:$J,10,FALSE)),"")</f>
        <v>Verificar las condiciones en cuanto a: la estructura administrativa, condiciones de la planta física y medios educativos adecuados.</v>
      </c>
      <c r="K2412" s="49" t="s">
        <v>472</v>
      </c>
      <c r="L2412" s="49" t="s">
        <v>474</v>
      </c>
      <c r="M2412" s="71">
        <f>IFERROR(IF(VLOOKUP(A2412,[15]PRIORIZADOS!$A:$M,13,FALSE)="","",VLOOKUP(A2412,[15]PRIORIZADOS!$A:$M,13,FALSE)),"")</f>
        <v>45793</v>
      </c>
      <c r="N2412" s="71">
        <f>IFERROR(IF(VLOOKUP(A2412,[15]PRIORIZADOS!$A:$N,14,FALSE)="","",VLOOKUP(A2412,[15]PRIORIZADOS!$A:$N,14,FALSE)),"")</f>
        <v>45793</v>
      </c>
      <c r="O2412" s="71">
        <f>IFERROR(IF(VLOOKUP(A2412,[15]PRIORIZADOS!$A:$O,15,FALSE)="","",VLOOKUP(A2412,[15]PRIORIZADOS!$A:$O,15,FALSE)),"")</f>
        <v>45793</v>
      </c>
      <c r="P2412" s="11" t="str">
        <f>IFERROR(IF(VLOOKUP(A2412,[15]PRIORIZADOS!$A:$P,16,FALSE)="","",VLOOKUP(A2412,[15]PRIORIZADOS!$A:$P,16,FALSE)),"")</f>
        <v>Visitas de evaluación con fines de mejoramiento</v>
      </c>
      <c r="Q2412" s="55" t="s">
        <v>480</v>
      </c>
      <c r="R2412" s="11" t="str">
        <f>IFERROR(IF(VLOOKUP(A2412,[15]PRIORIZADOS!$A:$R,18,FALSE)="","",VLOOKUP(A2412,[15]PRIORIZADOS!$A:$R,18,FALSE)),"")</f>
        <v>La IETDH cuenta con una adecuada estructura administrativa. Su planta física está bien dotada, incluyendo ascensor, 28 computadores, amplios salones e infraestructura tecnológica, lo que sugiere que cuenta con los medios educativos adecuados para ofrecer el servicio.</v>
      </c>
      <c r="S2412" s="11" t="str">
        <f>IFERROR(IF(VLOOKUP(A2412,[15]PRIORIZADOS!$A:$S,19,FALSE)="","",VLOOKUP(A2412,[15]PRIORIZADOS!$A:$S,19,FALSE)),"")</f>
        <v xml:space="preserve">Mantener la estructura administrativa y medios educativos que garanticen la prestación de los programas a registrar.  </v>
      </c>
      <c r="T2412" s="70" t="str">
        <f>IFERROR(IF(VLOOKUP(A2412,[15]PRIORIZADOS!$A:$T,20,FALSE)="","",VLOOKUP(A2412,[15]PRIORIZADOS!$A:$T,20,FALSE)),"")</f>
        <v>No</v>
      </c>
      <c r="U2412" s="11" t="str">
        <f>IFERROR(IF(VLOOKUP(A2412,[15]PRIORIZADOS!$A:$U,21,FALSE)="","",VLOOKUP(A2412,[15]PRIORIZADOS!$A:$U,21,FALSE)),"")</f>
        <v>Se realiza segunda visita para verificación de requisitos para el registro de programas. En caso de requerirse se realizará verificación de procesos de la prestación del servicio de los programas a registrar.</v>
      </c>
    </row>
    <row r="2413" spans="1:21" s="1" customFormat="1" ht="118.5">
      <c r="A2413" s="69">
        <f>IF([15]PRIORIZADOS!A63="","",[15]PRIORIZADOS!A63)</f>
        <v>2385</v>
      </c>
      <c r="B2413" s="70">
        <f>IFERROR(IF(VLOOKUP(A2413,[15]PRIORIZADOS!$A:$B,2,FALSE)="","",VLOOKUP(A2413,[15]PRIORIZADOS!$A:$B,2,FALSE)),"")</f>
        <v>9</v>
      </c>
      <c r="C2413" s="11" t="str">
        <f>IFERROR(IF(VLOOKUP(A2413,[15]PRIORIZADOS!$A:$C,3,FALSE)="","",VLOOKUP(A2413,[15]PRIORIZADOS!$A:$C,3,FALSE)),"")</f>
        <v>TEUSAQUILLO</v>
      </c>
      <c r="D2413" s="11" t="str">
        <f>IFERROR(IF(VLOOKUP(A2413,[15]PRIORIZADOS!$A:$D,4,FALSE)="","",VLOOKUP(A2413,[15]PRIORIZADOS!$A:$D,4,FALSE)),"")</f>
        <v>PRIVADO_IETDH</v>
      </c>
      <c r="E2413" s="11" t="str">
        <f>IFERROR(IF(VLOOKUP(A2413,[15]PRIORIZADOS!$A:$E,5,FALSE)="","",VLOOKUP(A2413,[15]PRIORIZADOS!$A:$E,5,FALSE)),"")</f>
        <v>IETDH</v>
      </c>
      <c r="F2413" s="11" t="str">
        <f>IFERROR(IF(VLOOKUP(A2413,[15]PRIORIZADOS!$A:$F,6,FALSE)="","",VLOOKUP(A2413,[15]PRIORIZADOS!$A:$F,6,FALSE)),"")</f>
        <v>DIGITAL_LAB_-_EDUCACIÓN_EN_PRODUCCIÓN_SONORA,_COMUNICACIÓN_Y_CONTENIDO_DIGITAL_(Antes:_IDEA_DIGITAL_LAB_(Educación_en_Producción_Sonora,_Comunicación_y_Contenido_Digital_-_DIGITAL_LAB)).</v>
      </c>
      <c r="G2413" s="11" t="str">
        <f>IFERROR(IF(VLOOKUP(A2413,[15]PRIORIZADOS!$A:$G,7,FALSE)="","",VLOOKUP(A2413,[15]PRIORIZADOS!$A:$G,7,FALSE)),"")</f>
        <v>DIGITAL_LAB_-_EDUCACIÓN_EN_PRODUCCIÓN_SONORA,_COMUNICACIÓN_Y_CONTENIDO_DIGITAL_(Antes:_IDEA_DIGITAL_LAB_(Educación_en_Producción_Sonora,_Comunicación_y_Contenido_Digital_-_DIGITAL_LAB)).</v>
      </c>
      <c r="H2413" s="11" t="str">
        <f>IFERROR(IF(VLOOKUP(A2413,[15]PRIORIZADOS!$A:$H,8,FALSE)="","",VLOOKUP(A2413,[15]PRIORIZADOS!$A:$H,8,FALSE)),"")</f>
        <v>IETDH priorizadas por cada ELIV (seguimiento a PMI, que no se hayan visitado en los últimos 3 años)</v>
      </c>
      <c r="I2413" s="11" t="str">
        <f>IFERROR(IF(VLOOKUP(A2413,[15]PRIORIZADOS!$A:$I,9,FALSE)="","",VLOOKUP(A2413,[15]PRIORIZADOS!$A:$I,9,FALSE)),"")</f>
        <v>SEGUIMIENTO_Y_SUPERVISIÓN.</v>
      </c>
      <c r="J2413" s="11" t="str">
        <f>IFERROR(IF(VLOOKUP(A2413,[15]PRIORIZADOS!$A:$J,10,FALSE)="","",VLOOKUP(A2413,[15]PRIORIZADOS!$A:$J,10,FALSE)),"")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413" s="49" t="s">
        <v>469</v>
      </c>
      <c r="L2413" s="49" t="s">
        <v>472</v>
      </c>
      <c r="M2413" s="71">
        <f>IFERROR(IF(VLOOKUP(A2413,[15]PRIORIZADOS!$A:$M,13,FALSE)="","",VLOOKUP(A2413,[15]PRIORIZADOS!$A:$M,13,FALSE)),"")</f>
        <v>45798</v>
      </c>
      <c r="N2413" s="71">
        <f>IFERROR(IF(VLOOKUP(A2413,[15]PRIORIZADOS!$A:$N,14,FALSE)="","",VLOOKUP(A2413,[15]PRIORIZADOS!$A:$N,14,FALSE)),"")</f>
        <v>45798</v>
      </c>
      <c r="O2413" s="71">
        <f>IFERROR(IF(VLOOKUP(A2413,[15]PRIORIZADOS!$A:$O,15,FALSE)="","",VLOOKUP(A2413,[15]PRIORIZADOS!$A:$O,15,FALSE)),"")</f>
        <v>45798</v>
      </c>
      <c r="P2413" s="11" t="str">
        <f>IFERROR(IF(VLOOKUP(A2413,[15]PRIORIZADOS!$A:$P,16,FALSE)="","",VLOOKUP(A2413,[15]PRIORIZADOS!$A:$P,16,FALSE)),"")</f>
        <v>Visitas de evaluación con fines de mejoramiento</v>
      </c>
      <c r="Q2413" s="5" t="s">
        <v>481</v>
      </c>
      <c r="R2413" s="11" t="str">
        <f>IFERROR(IF(VLOOKUP(A2413,[15]PRIORIZADOS!$A:$R,18,FALSE)="","",VLOOKUP(A2413,[15]PRIORIZADOS!$A:$R,18,FALSE)),"")</f>
        <v xml:space="preserve">El proceso de actualzación de la información en SIET no se ha realizado a la fecha, de acuerdo con la realidad de la IETDH. los costos educativos se encuentran registrasos en el contrato de matrícula mas no han sido reportados a la Direccin Local de Educacion. </v>
      </c>
      <c r="S2413" s="11" t="str">
        <f>IFERROR(IF(VLOOKUP(A2413,[15]PRIORIZADOS!$A:$S,19,FALSE)="","",VLOOKUP(A2413,[15]PRIORIZADOS!$A:$S,19,FALSE)),"")</f>
        <v xml:space="preserve">La IETDH deberá verificar y actualizar la información matrícula y certificados en  el SIET, de acuerdo con los contratos de matricula. </v>
      </c>
      <c r="T2413" s="70" t="str">
        <f>IFERROR(IF(VLOOKUP(A2413,[15]PRIORIZADOS!$A:$T,20,FALSE)="","",VLOOKUP(A2413,[15]PRIORIZADOS!$A:$T,20,FALSE)),"")</f>
        <v>Si</v>
      </c>
      <c r="U2413" s="11" t="str">
        <f>IFERROR(IF(VLOOKUP(A2413,[15]PRIORIZADOS!$A:$U,21,FALSE)="","",VLOOKUP(A2413,[15]PRIORIZADOS!$A:$U,21,FALSE)),"")</f>
        <v xml:space="preserve">Verificar el reporte de los costos de cada uno de los programas autorizados, y la actualización de la información de matriculados y certificados en el SIET máximo al 30 de agosto de 2025. </v>
      </c>
    </row>
    <row r="2414" spans="1:21" s="1" customFormat="1" ht="118.5">
      <c r="A2414" s="69">
        <f>IF([15]PRIORIZADOS!A64="","",[15]PRIORIZADOS!A64)</f>
        <v>2386</v>
      </c>
      <c r="B2414" s="70">
        <f>IFERROR(IF(VLOOKUP(A2414,[15]PRIORIZADOS!$A:$B,2,FALSE)="","",VLOOKUP(A2414,[15]PRIORIZADOS!$A:$B,2,FALSE)),"")</f>
        <v>9</v>
      </c>
      <c r="C2414" s="11" t="str">
        <f>IFERROR(IF(VLOOKUP(A2414,[15]PRIORIZADOS!$A:$C,3,FALSE)="","",VLOOKUP(A2414,[15]PRIORIZADOS!$A:$C,3,FALSE)),"")</f>
        <v>TEUSAQUILLO</v>
      </c>
      <c r="D2414" s="11" t="str">
        <f>IFERROR(IF(VLOOKUP(A2414,[15]PRIORIZADOS!$A:$D,4,FALSE)="","",VLOOKUP(A2414,[15]PRIORIZADOS!$A:$D,4,FALSE)),"")</f>
        <v>PRIVADO_IETDH</v>
      </c>
      <c r="E2414" s="11" t="str">
        <f>IFERROR(IF(VLOOKUP(A2414,[15]PRIORIZADOS!$A:$E,5,FALSE)="","",VLOOKUP(A2414,[15]PRIORIZADOS!$A:$E,5,FALSE)),"")</f>
        <v>IETDH</v>
      </c>
      <c r="F2414" s="11" t="str">
        <f>IFERROR(IF(VLOOKUP(A2414,[15]PRIORIZADOS!$A:$F,6,FALSE)="","",VLOOKUP(A2414,[15]PRIORIZADOS!$A:$F,6,FALSE)),"")</f>
        <v>DIGITAL_LAB_-_EDUCACIÓN_EN_PRODUCCIÓN_SONORA,_COMUNICACIÓN_Y_CONTENIDO_DIGITAL_(Antes:_IDEA_DIGITAL_LAB_(Educación_en_Producción_Sonora,_Comunicación_y_Contenido_Digital_-_DIGITAL_LAB)).</v>
      </c>
      <c r="G2414" s="11" t="str">
        <f>IFERROR(IF(VLOOKUP(A2414,[15]PRIORIZADOS!$A:$G,7,FALSE)="","",VLOOKUP(A2414,[15]PRIORIZADOS!$A:$G,7,FALSE)),"")</f>
        <v>DIGITAL_LAB_-_EDUCACIÓN_EN_PRODUCCIÓN_SONORA,_COMUNICACIÓN_Y_CONTENIDO_DIGITAL_(Antes:_IDEA_DIGITAL_LAB_(Educación_en_Producción_Sonora,_Comunicación_y_Contenido_Digital_-_DIGITAL_LAB)).</v>
      </c>
      <c r="H2414" s="11" t="str">
        <f>IFERROR(IF(VLOOKUP(A2414,[15]PRIORIZADOS!$A:$H,8,FALSE)="","",VLOOKUP(A2414,[15]PRIORIZADOS!$A:$H,8,FALSE)),"")</f>
        <v>IETDH priorizadas por cada ELIV (seguimiento a PMI, que no se hayan visitado en los últimos 3 años)</v>
      </c>
      <c r="I2414" s="11" t="str">
        <f>IFERROR(IF(VLOOKUP(A2414,[15]PRIORIZADOS!$A:$I,9,FALSE)="","",VLOOKUP(A2414,[15]PRIORIZADOS!$A:$I,9,FALSE)),"")</f>
        <v>SEGUIMIENTO_Y_SUPERVISIÓN.</v>
      </c>
      <c r="J2414" s="11" t="str">
        <f>IFERROR(IF(VLOOKUP(A2414,[15]PRIORIZADOS!$A:$J,10,FALSE)="","",VLOOKUP(A2414,[15]PRIORIZADOS!$A:$J,10,FALSE)),"")</f>
        <v>Adelantar visitas para verificar que el desarrollo de los programas de ETDH, esté de acuerdo con lo autorizado y la normatividad vigente, para propender por su pertinencia, legalidad y actualización constante.</v>
      </c>
      <c r="K2414" s="49" t="s">
        <v>469</v>
      </c>
      <c r="L2414" s="49" t="s">
        <v>472</v>
      </c>
      <c r="M2414" s="71">
        <f>IFERROR(IF(VLOOKUP(A2414,[15]PRIORIZADOS!$A:$M,13,FALSE)="","",VLOOKUP(A2414,[15]PRIORIZADOS!$A:$M,13,FALSE)),"")</f>
        <v>45798</v>
      </c>
      <c r="N2414" s="71">
        <f>IFERROR(IF(VLOOKUP(A2414,[15]PRIORIZADOS!$A:$N,14,FALSE)="","",VLOOKUP(A2414,[15]PRIORIZADOS!$A:$N,14,FALSE)),"")</f>
        <v>45798</v>
      </c>
      <c r="O2414" s="71">
        <f>IFERROR(IF(VLOOKUP(A2414,[15]PRIORIZADOS!$A:$O,15,FALSE)="","",VLOOKUP(A2414,[15]PRIORIZADOS!$A:$O,15,FALSE)),"")</f>
        <v>45798</v>
      </c>
      <c r="P2414" s="11" t="str">
        <f>IFERROR(IF(VLOOKUP(A2414,[15]PRIORIZADOS!$A:$P,16,FALSE)="","",VLOOKUP(A2414,[15]PRIORIZADOS!$A:$P,16,FALSE)),"")</f>
        <v>Visitas de evaluación con fines de mejoramiento</v>
      </c>
      <c r="Q2414" s="5" t="s">
        <v>481</v>
      </c>
      <c r="R2414" s="11" t="str">
        <f>IFERROR(IF(VLOOKUP(A2414,[15]PRIORIZADOS!$A:$R,18,FALSE)="","",VLOOKUP(A2414,[15]PRIORIZADOS!$A:$R,18,FALSE)),"")</f>
        <v xml:space="preserve">Los programas autorizados se encuentran vigentes, dos en desarrolo y uno no registra matrícula. La IETDH se encuentra planeando estrategias que le permita aumentar la matricula en cada uno de sus programas,  incluyendo el desarrollo de cursos cortos de 52 hrs . </v>
      </c>
      <c r="S2414" s="11" t="str">
        <f>IFERROR(IF(VLOOKUP(A2414,[15]PRIORIZADOS!$A:$S,19,FALSE)="","",VLOOKUP(A2414,[15]PRIORIZADOS!$A:$S,19,FALSE)),"")</f>
        <v>Evaluar periodicamente la pertinencia de los programas y solicitar la renovación cuanto corresponda</v>
      </c>
      <c r="T2414" s="70" t="str">
        <f>IFERROR(IF(VLOOKUP(A2414,[15]PRIORIZADOS!$A:$T,20,FALSE)="","",VLOOKUP(A2414,[15]PRIORIZADOS!$A:$T,20,FALSE)),"")</f>
        <v>No</v>
      </c>
      <c r="U2414" s="11" t="str">
        <f>IFERROR(IF(VLOOKUP(A2414,[15]PRIORIZADOS!$A:$U,21,FALSE)="","",VLOOKUP(A2414,[15]PRIORIZADOS!$A:$U,21,FALSE)),"")</f>
        <v xml:space="preserve">Verificar la actualización de la información correspondiente en el sistema SIET, reporte de actualización anual de costos, y renovación de programas cuando corresponda. </v>
      </c>
    </row>
    <row r="2415" spans="1:21" s="1" customFormat="1" ht="118.5">
      <c r="A2415" s="69">
        <f>IF([15]PRIORIZADOS!A65="","",[15]PRIORIZADOS!A65)</f>
        <v>2387</v>
      </c>
      <c r="B2415" s="70">
        <f>IFERROR(IF(VLOOKUP(A2415,[15]PRIORIZADOS!$A:$B,2,FALSE)="","",VLOOKUP(A2415,[15]PRIORIZADOS!$A:$B,2,FALSE)),"")</f>
        <v>9</v>
      </c>
      <c r="C2415" s="11" t="str">
        <f>IFERROR(IF(VLOOKUP(A2415,[15]PRIORIZADOS!$A:$C,3,FALSE)="","",VLOOKUP(A2415,[15]PRIORIZADOS!$A:$C,3,FALSE)),"")</f>
        <v>TEUSAQUILLO</v>
      </c>
      <c r="D2415" s="11" t="str">
        <f>IFERROR(IF(VLOOKUP(A2415,[15]PRIORIZADOS!$A:$D,4,FALSE)="","",VLOOKUP(A2415,[15]PRIORIZADOS!$A:$D,4,FALSE)),"")</f>
        <v>PRIVADO_IETDH</v>
      </c>
      <c r="E2415" s="11" t="str">
        <f>IFERROR(IF(VLOOKUP(A2415,[15]PRIORIZADOS!$A:$E,5,FALSE)="","",VLOOKUP(A2415,[15]PRIORIZADOS!$A:$E,5,FALSE)),"")</f>
        <v>IETDH</v>
      </c>
      <c r="F2415" s="11" t="str">
        <f>IFERROR(IF(VLOOKUP(A2415,[15]PRIORIZADOS!$A:$F,6,FALSE)="","",VLOOKUP(A2415,[15]PRIORIZADOS!$A:$F,6,FALSE)),"")</f>
        <v>DIGITAL_LAB_-_EDUCACIÓN_EN_PRODUCCIÓN_SONORA,_COMUNICACIÓN_Y_CONTENIDO_DIGITAL_(Antes:_IDEA_DIGITAL_LAB_(Educación_en_Producción_Sonora,_Comunicación_y_Contenido_Digital_-_DIGITAL_LAB)).</v>
      </c>
      <c r="G2415" s="11" t="str">
        <f>IFERROR(IF(VLOOKUP(A2415,[15]PRIORIZADOS!$A:$G,7,FALSE)="","",VLOOKUP(A2415,[15]PRIORIZADOS!$A:$G,7,FALSE)),"")</f>
        <v>DIGITAL_LAB_-_EDUCACIÓN_EN_PRODUCCIÓN_SONORA,_COMUNICACIÓN_Y_CONTENIDO_DIGITAL_(Antes:_IDEA_DIGITAL_LAB_(Educación_en_Producción_Sonora,_Comunicación_y_Contenido_Digital_-_DIGITAL_LAB)).</v>
      </c>
      <c r="H2415" s="11" t="str">
        <f>IFERROR(IF(VLOOKUP(A2415,[15]PRIORIZADOS!$A:$H,8,FALSE)="","",VLOOKUP(A2415,[15]PRIORIZADOS!$A:$H,8,FALSE)),"")</f>
        <v>IETDH priorizadas por cada ELIV (seguimiento a PMI, que no se hayan visitado en los últimos 3 años)</v>
      </c>
      <c r="I2415" s="11" t="str">
        <f>IFERROR(IF(VLOOKUP(A2415,[15]PRIORIZADOS!$A:$I,9,FALSE)="","",VLOOKUP(A2415,[15]PRIORIZADOS!$A:$I,9,FALSE)),"")</f>
        <v>EVALUACIÓN_CON_FINES_DE_MEJORAMIENTO.</v>
      </c>
      <c r="J2415" s="11" t="str">
        <f>IFERROR(IF(VLOOKUP(A2415,[15]PRIORIZADOS!$A:$J,10,FALSE)="","",VLOOKUP(A2415,[15]PRIORIZADOS!$A:$J,10,FALSE)),"")</f>
        <v>Verificar las condiciones en cuanto a: la estructura administrativa, condiciones de la planta física y medios educativos adecuados.</v>
      </c>
      <c r="K2415" s="49" t="s">
        <v>469</v>
      </c>
      <c r="L2415" s="49" t="s">
        <v>472</v>
      </c>
      <c r="M2415" s="71">
        <f>IFERROR(IF(VLOOKUP(A2415,[15]PRIORIZADOS!$A:$M,13,FALSE)="","",VLOOKUP(A2415,[15]PRIORIZADOS!$A:$M,13,FALSE)),"")</f>
        <v>45798</v>
      </c>
      <c r="N2415" s="71">
        <f>IFERROR(IF(VLOOKUP(A2415,[15]PRIORIZADOS!$A:$N,14,FALSE)="","",VLOOKUP(A2415,[15]PRIORIZADOS!$A:$N,14,FALSE)),"")</f>
        <v>45798</v>
      </c>
      <c r="O2415" s="71">
        <f>IFERROR(IF(VLOOKUP(A2415,[15]PRIORIZADOS!$A:$O,15,FALSE)="","",VLOOKUP(A2415,[15]PRIORIZADOS!$A:$O,15,FALSE)),"")</f>
        <v>45798</v>
      </c>
      <c r="P2415" s="11" t="str">
        <f>IFERROR(IF(VLOOKUP(A2415,[15]PRIORIZADOS!$A:$P,16,FALSE)="","",VLOOKUP(A2415,[15]PRIORIZADOS!$A:$P,16,FALSE)),"")</f>
        <v>Visitas de evaluación con fines de mejoramiento</v>
      </c>
      <c r="Q2415" s="5" t="s">
        <v>481</v>
      </c>
      <c r="R2415" s="11" t="str">
        <f>IFERROR(IF(VLOOKUP(A2415,[15]PRIORIZADOS!$A:$R,18,FALSE)="","",VLOOKUP(A2415,[15]PRIORIZADOS!$A:$R,18,FALSE)),"")</f>
        <v>Se evidencia que  los espacios y dotacion se presentan  condiciones adecuadas para la prestación del servicio autorizado.  Los documentos institucionales se encuentran debidamente organizados y archivados en digital  por medio de la plataforma Q10 y en físico</v>
      </c>
      <c r="S2415" s="11" t="str">
        <f>IFERROR(IF(VLOOKUP(A2415,[15]PRIORIZADOS!$A:$S,19,FALSE)="","",VLOOKUP(A2415,[15]PRIORIZADOS!$A:$S,19,FALSE)),"")</f>
        <v>Mantener las condiciones de estructura administrativa, planta física y medios edeucativos para la prestación del servicio.</v>
      </c>
      <c r="T2415" s="70" t="str">
        <f>IFERROR(IF(VLOOKUP(A2415,[15]PRIORIZADOS!$A:$T,20,FALSE)="","",VLOOKUP(A2415,[15]PRIORIZADOS!$A:$T,20,FALSE)),"")</f>
        <v>Si</v>
      </c>
      <c r="U2415" s="11" t="str">
        <f>IFERROR(IF(VLOOKUP(A2415,[15]PRIORIZADOS!$A:$U,21,FALSE)="","",VLOOKUP(A2415,[15]PRIORIZADOS!$A:$U,21,FALSE)),"")</f>
        <v xml:space="preserve">Verificar, en caso de requerirse, lo correspondiente a los espacios administrativos y planta física.  </v>
      </c>
    </row>
    <row r="2416" spans="1:21" s="1" customFormat="1" ht="107.25">
      <c r="A2416" s="69">
        <f>IF([15]PRIORIZADOS!A66="","",[15]PRIORIZADOS!A66)</f>
        <v>2388</v>
      </c>
      <c r="B2416" s="70">
        <f>IFERROR(IF(VLOOKUP(A2416,[15]PRIORIZADOS!$A:$B,2,FALSE)="","",VLOOKUP(A2416,[15]PRIORIZADOS!$A:$B,2,FALSE)),"")</f>
        <v>10</v>
      </c>
      <c r="C2416" s="11" t="str">
        <f>IFERROR(IF(VLOOKUP(A2416,[15]PRIORIZADOS!$A:$C,3,FALSE)="","",VLOOKUP(A2416,[15]PRIORIZADOS!$A:$C,3,FALSE)),"")</f>
        <v>TEUSAQUILLO</v>
      </c>
      <c r="D2416" s="11" t="str">
        <f>IFERROR(IF(VLOOKUP(A2416,[15]PRIORIZADOS!$A:$D,4,FALSE)="","",VLOOKUP(A2416,[15]PRIORIZADOS!$A:$D,4,FALSE)),"")</f>
        <v>PRIVADO_IETDH</v>
      </c>
      <c r="E2416" s="11" t="str">
        <f>IFERROR(IF(VLOOKUP(A2416,[15]PRIORIZADOS!$A:$E,5,FALSE)="","",VLOOKUP(A2416,[15]PRIORIZADOS!$A:$E,5,FALSE)),"")</f>
        <v>IETDH</v>
      </c>
      <c r="F2416" s="11" t="str">
        <f>IFERROR(IF(VLOOKUP(A2416,[15]PRIORIZADOS!$A:$F,6,FALSE)="","",VLOOKUP(A2416,[15]PRIORIZADOS!$A:$F,6,FALSE)),"")</f>
        <v>EL_ROSALITO_INSTITUTO_PARA_EL_TRABAJO_Y_DESARROLLO_HUMANO_-_EDUCACIÓN_ESPECIAL_(antes:_HOGAR_INFANTIL_EL_ROSALITO_-_INSTITUTO_DE_EDUCACION_ESPECIAL)</v>
      </c>
      <c r="G2416" s="11" t="str">
        <f>IFERROR(IF(VLOOKUP(A2416,[15]PRIORIZADOS!$A:$G,7,FALSE)="","",VLOOKUP(A2416,[15]PRIORIZADOS!$A:$G,7,FALSE)),"")</f>
        <v>EL_ROSALITO_INSTITUTO_PARA_EL_TRABAJO_Y_DESARROLLO_HUMANO_-_EDUCACIÓN_ESPECIAL_(antes:_HOGAR_INFANTIL_EL_ROSALITO_-_INSTITUTO_DE_EDUCACION_ESPECIAL)</v>
      </c>
      <c r="H2416" s="11" t="str">
        <f>IFERROR(IF(VLOOKUP(A2416,[15]PRIORIZADOS!$A:$H,8,FALSE)="","",VLOOKUP(A2416,[15]PRIORIZADOS!$A:$H,8,FALSE)),"")</f>
        <v>IETDH priorizadas por cada ELIV (seguimiento a PMI, que no se hayan visitado en los últimos 3 años)</v>
      </c>
      <c r="I2416" s="11" t="str">
        <f>IFERROR(IF(VLOOKUP(A2416,[15]PRIORIZADOS!$A:$I,9,FALSE)="","",VLOOKUP(A2416,[15]PRIORIZADOS!$A:$I,9,FALSE)),"")</f>
        <v>SEGUIMIENTO_Y_SUPERVISIÓN.</v>
      </c>
      <c r="J2416" s="11" t="str">
        <f>IFERROR(IF(VLOOKUP(A2416,[15]PRIORIZADOS!$A:$J,10,FALSE)="","",VLOOKUP(A2416,[15]PRIORIZADOS!$A:$J,10,FALSE)),"")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416" s="49" t="s">
        <v>470</v>
      </c>
      <c r="L2416" s="49" t="s">
        <v>474</v>
      </c>
      <c r="M2416" s="71">
        <f>IFERROR(IF(VLOOKUP(A2416,[15]PRIORIZADOS!$A:$M,13,FALSE)="","",VLOOKUP(A2416,[15]PRIORIZADOS!$A:$M,13,FALSE)),"")</f>
        <v>45812</v>
      </c>
      <c r="N2416" s="71">
        <f>IFERROR(IF(VLOOKUP(A2416,[15]PRIORIZADOS!$A:$N,14,FALSE)="","",VLOOKUP(A2416,[15]PRIORIZADOS!$A:$N,14,FALSE)),"")</f>
        <v>45812</v>
      </c>
      <c r="O2416" s="71">
        <f>IFERROR(IF(VLOOKUP(A2416,[15]PRIORIZADOS!$A:$O,15,FALSE)="","",VLOOKUP(A2416,[15]PRIORIZADOS!$A:$O,15,FALSE)),"")</f>
        <v>45812</v>
      </c>
      <c r="P2416" s="11" t="str">
        <f>IFERROR(IF(VLOOKUP(A2416,[15]PRIORIZADOS!$A:$P,16,FALSE)="","",VLOOKUP(A2416,[15]PRIORIZADOS!$A:$P,16,FALSE)),"")</f>
        <v>Visitas de evaluación con fines de mejoramiento</v>
      </c>
      <c r="Q2416" s="59" t="s">
        <v>482</v>
      </c>
      <c r="R2416" s="11" t="str">
        <f>IFERROR(IF(VLOOKUP(A2416,[15]PRIORIZADOS!$A:$R,18,FALSE)="","",VLOOKUP(A2416,[15]PRIORIZADOS!$A:$R,18,FALSE)),"")</f>
        <v xml:space="preserve">Se verificó que registro de matriculados y certificados en SIET se encuentra actualizado. Se solicita info. respecto a programas con registros en cero, la IETDH refiere que es por no matricula, tomará decisión para solicitar su cancelación. La IETDH reporta el incremento de costos cada año, se verifica valor en contrato de matrícula. </v>
      </c>
      <c r="S2416" s="11" t="str">
        <f>IFERROR(IF(VLOOKUP(A2416,[15]PRIORIZADOS!$A:$S,19,FALSE)="","",VLOOKUP(A2416,[15]PRIORIZADOS!$A:$S,19,FALSE)),"")</f>
        <v xml:space="preserve">La IETD cumple con la oferta educativa autorizada según la norma; se orienta -y de acuerdo a la pertinencia de los programas vigentes- que una vez cumplido el tiempo, solicitar con seis meses de anticipación la renovación de los programas. </v>
      </c>
      <c r="T2416" s="70" t="str">
        <f>IFERROR(IF(VLOOKUP(A2416,[15]PRIORIZADOS!$A:$T,20,FALSE)="","",VLOOKUP(A2416,[15]PRIORIZADOS!$A:$T,20,FALSE)),"")</f>
        <v>Si</v>
      </c>
      <c r="U2416" s="11" t="str">
        <f>IFERROR(IF(VLOOKUP(A2416,[15]PRIORIZADOS!$A:$U,21,FALSE)="","",VLOOKUP(A2416,[15]PRIORIZADOS!$A:$U,21,FALSE)),"")</f>
        <v>Verificar mediante reporte matricula en SIET la pertinencia de los programas con matricula cero que se indicaron a la IETDH, lo anterior, de acuerdo a las observaciones del acata; en caso de no evidenciarse registro de matrícula, se requerirá a la institución de no haberse recibido pronunciamiento al respecto en el término perentorio indicado.</v>
      </c>
    </row>
    <row r="2417" spans="1:21" s="1" customFormat="1" ht="107.25">
      <c r="A2417" s="69">
        <f>IF([15]PRIORIZADOS!A67="","",[15]PRIORIZADOS!A67)</f>
        <v>2389</v>
      </c>
      <c r="B2417" s="70">
        <f>IFERROR(IF(VLOOKUP(A2417,[15]PRIORIZADOS!$A:$B,2,FALSE)="","",VLOOKUP(A2417,[15]PRIORIZADOS!$A:$B,2,FALSE)),"")</f>
        <v>10</v>
      </c>
      <c r="C2417" s="11" t="str">
        <f>IFERROR(IF(VLOOKUP(A2417,[15]PRIORIZADOS!$A:$C,3,FALSE)="","",VLOOKUP(A2417,[15]PRIORIZADOS!$A:$C,3,FALSE)),"")</f>
        <v>TEUSAQUILLO</v>
      </c>
      <c r="D2417" s="11" t="str">
        <f>IFERROR(IF(VLOOKUP(A2417,[15]PRIORIZADOS!$A:$D,4,FALSE)="","",VLOOKUP(A2417,[15]PRIORIZADOS!$A:$D,4,FALSE)),"")</f>
        <v>PRIVADO_IETDH</v>
      </c>
      <c r="E2417" s="11" t="str">
        <f>IFERROR(IF(VLOOKUP(A2417,[15]PRIORIZADOS!$A:$E,5,FALSE)="","",VLOOKUP(A2417,[15]PRIORIZADOS!$A:$E,5,FALSE)),"")</f>
        <v>IETDH</v>
      </c>
      <c r="F2417" s="11" t="str">
        <f>IFERROR(IF(VLOOKUP(A2417,[15]PRIORIZADOS!$A:$F,6,FALSE)="","",VLOOKUP(A2417,[15]PRIORIZADOS!$A:$F,6,FALSE)),"")</f>
        <v>EL_ROSALITO_INSTITUTO_PARA_EL_TRABAJO_Y_DESARROLLO_HUMANO_-_EDUCACIÓN_ESPECIAL_(antes:_HOGAR_INFANTIL_EL_ROSALITO_-_INSTITUTO_DE_EDUCACION_ESPECIAL)</v>
      </c>
      <c r="G2417" s="11" t="str">
        <f>IFERROR(IF(VLOOKUP(A2417,[15]PRIORIZADOS!$A:$G,7,FALSE)="","",VLOOKUP(A2417,[15]PRIORIZADOS!$A:$G,7,FALSE)),"")</f>
        <v>EL_ROSALITO_INSTITUTO_PARA_EL_TRABAJO_Y_DESARROLLO_HUMANO_-_EDUCACIÓN_ESPECIAL_(antes:_HOGAR_INFANTIL_EL_ROSALITO_-_INSTITUTO_DE_EDUCACION_ESPECIAL)</v>
      </c>
      <c r="H2417" s="11" t="str">
        <f>IFERROR(IF(VLOOKUP(A2417,[15]PRIORIZADOS!$A:$H,8,FALSE)="","",VLOOKUP(A2417,[15]PRIORIZADOS!$A:$H,8,FALSE)),"")</f>
        <v>IETDH priorizadas por cada ELIV (seguimiento a PMI, que no se hayan visitado en los últimos 3 años)</v>
      </c>
      <c r="I2417" s="11" t="str">
        <f>IFERROR(IF(VLOOKUP(A2417,[15]PRIORIZADOS!$A:$I,9,FALSE)="","",VLOOKUP(A2417,[15]PRIORIZADOS!$A:$I,9,FALSE)),"")</f>
        <v>SEGUIMIENTO_Y_SUPERVISIÓN.</v>
      </c>
      <c r="J2417" s="11" t="str">
        <f>IFERROR(IF(VLOOKUP(A2417,[15]PRIORIZADOS!$A:$J,10,FALSE)="","",VLOOKUP(A2417,[15]PRIORIZADOS!$A:$J,10,FALSE)),"")</f>
        <v>Adelantar visitas para verificar que el desarrollo de los programas de ETDH, esté de acuerdo con lo autorizado y la normatividad vigente, para propender por su pertinencia, legalidad y actualización constante.</v>
      </c>
      <c r="K2417" s="49" t="s">
        <v>470</v>
      </c>
      <c r="L2417" s="49" t="s">
        <v>474</v>
      </c>
      <c r="M2417" s="71">
        <f>IFERROR(IF(VLOOKUP(A2417,[15]PRIORIZADOS!$A:$M,13,FALSE)="","",VLOOKUP(A2417,[15]PRIORIZADOS!$A:$M,13,FALSE)),"")</f>
        <v>45812</v>
      </c>
      <c r="N2417" s="71">
        <f>IFERROR(IF(VLOOKUP(A2417,[15]PRIORIZADOS!$A:$N,14,FALSE)="","",VLOOKUP(A2417,[15]PRIORIZADOS!$A:$N,14,FALSE)),"")</f>
        <v>45812</v>
      </c>
      <c r="O2417" s="71">
        <f>IFERROR(IF(VLOOKUP(A2417,[15]PRIORIZADOS!$A:$O,15,FALSE)="","",VLOOKUP(A2417,[15]PRIORIZADOS!$A:$O,15,FALSE)),"")</f>
        <v>45812</v>
      </c>
      <c r="P2417" s="11" t="str">
        <f>IFERROR(IF(VLOOKUP(A2417,[15]PRIORIZADOS!$A:$P,16,FALSE)="","",VLOOKUP(A2417,[15]PRIORIZADOS!$A:$P,16,FALSE)),"")</f>
        <v>Visitas de evaluación con fines de mejoramiento</v>
      </c>
      <c r="Q2417" s="55" t="s">
        <v>482</v>
      </c>
      <c r="R2417" s="11" t="str">
        <f>IFERROR(IF(VLOOKUP(A2417,[15]PRIORIZADOS!$A:$R,18,FALSE)="","",VLOOKUP(A2417,[15]PRIORIZADOS!$A:$R,18,FALSE)),"")</f>
        <v xml:space="preserve">Se verificó documentación e instalaciones que evidencian el desarrollo de programas autorizados ETDH. De los 16 programas autorizados se identifica por revisión documental previa (SIET) y lo evidenciado en la visita 2 programas sin desarrollarse.   </v>
      </c>
      <c r="S2417" s="11" t="str">
        <f>IFERROR(IF(VLOOKUP(A2417,[15]PRIORIZADOS!$A:$S,19,FALSE)="","",VLOOKUP(A2417,[15]PRIORIZADOS!$A:$S,19,FALSE)),"")</f>
        <v xml:space="preserve">La IETDH se compromete a determinar la viabilidad y pertinencia de los 2 programas sin desarrollarse y los con matricula baja. Se la recuerda a la IETDH los tiempos normativos que debe tener encueta para solicitar la renovación de los programas que considere.  </v>
      </c>
      <c r="T2417" s="70" t="str">
        <f>IFERROR(IF(VLOOKUP(A2417,[15]PRIORIZADOS!$A:$T,20,FALSE)="","",VLOOKUP(A2417,[15]PRIORIZADOS!$A:$T,20,FALSE)),"")</f>
        <v>Si</v>
      </c>
      <c r="U2417" s="11" t="str">
        <f>IFERROR(IF(VLOOKUP(A2417,[15]PRIORIZADOS!$A:$U,21,FALSE)="","",VLOOKUP(A2417,[15]PRIORIZADOS!$A:$U,21,FALSE)),"")</f>
        <v>Verificar que en término acordado la institución informe sobre la decisión de cancelar o no registro de programas sin desarrollarse.</v>
      </c>
    </row>
    <row r="2418" spans="1:21" s="1" customFormat="1" ht="206.25" customHeight="1">
      <c r="A2418" s="69">
        <f>IF([15]PRIORIZADOS!A68="","",[15]PRIORIZADOS!A68)</f>
        <v>2390</v>
      </c>
      <c r="B2418" s="70">
        <f>IFERROR(IF(VLOOKUP(A2418,[15]PRIORIZADOS!$A:$B,2,FALSE)="","",VLOOKUP(A2418,[15]PRIORIZADOS!$A:$B,2,FALSE)),"")</f>
        <v>10</v>
      </c>
      <c r="C2418" s="11" t="str">
        <f>IFERROR(IF(VLOOKUP(A2418,[15]PRIORIZADOS!$A:$C,3,FALSE)="","",VLOOKUP(A2418,[15]PRIORIZADOS!$A:$C,3,FALSE)),"")</f>
        <v>TEUSAQUILLO</v>
      </c>
      <c r="D2418" s="11" t="str">
        <f>IFERROR(IF(VLOOKUP(A2418,[15]PRIORIZADOS!$A:$D,4,FALSE)="","",VLOOKUP(A2418,[15]PRIORIZADOS!$A:$D,4,FALSE)),"")</f>
        <v>PRIVADO_IETDH</v>
      </c>
      <c r="E2418" s="11" t="str">
        <f>IFERROR(IF(VLOOKUP(A2418,[15]PRIORIZADOS!$A:$E,5,FALSE)="","",VLOOKUP(A2418,[15]PRIORIZADOS!$A:$E,5,FALSE)),"")</f>
        <v>IETDH</v>
      </c>
      <c r="F2418" s="11" t="str">
        <f>IFERROR(IF(VLOOKUP(A2418,[15]PRIORIZADOS!$A:$F,6,FALSE)="","",VLOOKUP(A2418,[15]PRIORIZADOS!$A:$F,6,FALSE)),"")</f>
        <v>EL_ROSALITO_INSTITUTO_PARA_EL_TRABAJO_Y_DESARROLLO_HUMANO_-_EDUCACIÓN_ESPECIAL_(antes:_HOGAR_INFANTIL_EL_ROSALITO_-_INSTITUTO_DE_EDUCACION_ESPECIAL)</v>
      </c>
      <c r="G2418" s="11" t="str">
        <f>IFERROR(IF(VLOOKUP(A2418,[15]PRIORIZADOS!$A:$G,7,FALSE)="","",VLOOKUP(A2418,[15]PRIORIZADOS!$A:$G,7,FALSE)),"")</f>
        <v>EL_ROSALITO_INSTITUTO_PARA_EL_TRABAJO_Y_DESARROLLO_HUMANO_-_EDUCACIÓN_ESPECIAL_(antes:_HOGAR_INFANTIL_EL_ROSALITO_-_INSTITUTO_DE_EDUCACION_ESPECIAL)</v>
      </c>
      <c r="H2418" s="11" t="str">
        <f>IFERROR(IF(VLOOKUP(A2418,[15]PRIORIZADOS!$A:$H,8,FALSE)="","",VLOOKUP(A2418,[15]PRIORIZADOS!$A:$H,8,FALSE)),"")</f>
        <v>IETDH priorizadas por cada ELIV (seguimiento a PMI, que no se hayan visitado en los últimos 3 años)</v>
      </c>
      <c r="I2418" s="11" t="str">
        <f>IFERROR(IF(VLOOKUP(A2418,[15]PRIORIZADOS!$A:$I,9,FALSE)="","",VLOOKUP(A2418,[15]PRIORIZADOS!$A:$I,9,FALSE)),"")</f>
        <v>EVALUACIÓN_CON_FINES_DE_MEJORAMIENTO.</v>
      </c>
      <c r="J2418" s="11" t="str">
        <f>IFERROR(IF(VLOOKUP(A2418,[15]PRIORIZADOS!$A:$J,10,FALSE)="","",VLOOKUP(A2418,[15]PRIORIZADOS!$A:$J,10,FALSE)),"")</f>
        <v>Verificar las condiciones en cuanto a: la estructura administrativa, condiciones de la planta física y medios educativos adecuados.</v>
      </c>
      <c r="K2418" s="49" t="s">
        <v>470</v>
      </c>
      <c r="L2418" s="49" t="s">
        <v>474</v>
      </c>
      <c r="M2418" s="71">
        <f>IFERROR(IF(VLOOKUP(A2418,[15]PRIORIZADOS!$A:$M,13,FALSE)="","",VLOOKUP(A2418,[15]PRIORIZADOS!$A:$M,13,FALSE)),"")</f>
        <v>45812</v>
      </c>
      <c r="N2418" s="71">
        <f>IFERROR(IF(VLOOKUP(A2418,[15]PRIORIZADOS!$A:$N,14,FALSE)="","",VLOOKUP(A2418,[15]PRIORIZADOS!$A:$N,14,FALSE)),"")</f>
        <v>45812</v>
      </c>
      <c r="O2418" s="71">
        <f>IFERROR(IF(VLOOKUP(A2418,[15]PRIORIZADOS!$A:$O,15,FALSE)="","",VLOOKUP(A2418,[15]PRIORIZADOS!$A:$O,15,FALSE)),"")</f>
        <v>45812</v>
      </c>
      <c r="P2418" s="11" t="str">
        <f>IFERROR(IF(VLOOKUP(A2418,[15]PRIORIZADOS!$A:$P,16,FALSE)="","",VLOOKUP(A2418,[15]PRIORIZADOS!$A:$P,16,FALSE)),"")</f>
        <v>Visitas de evaluación con fines de mejoramiento</v>
      </c>
      <c r="Q2418" s="57" t="s">
        <v>482</v>
      </c>
      <c r="R2418" s="11" t="str">
        <f>IFERROR(IF(VLOOKUP(A2418,[15]PRIORIZADOS!$A:$R,18,FALSE)="","",VLOOKUP(A2418,[15]PRIORIZADOS!$A:$R,18,FALSE)),"")</f>
        <v xml:space="preserve">Se realizó verificación de archivos físicos relacionados con la administración de la IETDH, desarrollo del PEI y del desarrollo de programas. En los recorridos realizados por la planta evidenciaron los espacios, recursos didácticos y pedagógicos para el desarrollo de los programas autorizados. En SURE registra inconsistencia el nombre de IETDH y de jornada. El nombre de la IETH está sin actualizar en fachada. </v>
      </c>
      <c r="S2418" s="11" t="str">
        <f>IFERROR(IF(VLOOKUP(A2418,[15]PRIORIZADOS!$A:$S,19,FALSE)="","",VLOOKUP(A2418,[15]PRIORIZADOS!$A:$S,19,FALSE)),"")</f>
        <v xml:space="preserve">La IETDH cuenta con condiciones administrativas y planta física que permite el desarrollo de programas. Se compromete a revisar de pertinencia de programas sin matrícula y matricula baja para optimizar y fortalecer los programas con más demanda, realizar el trámite de ajuste en SURE por nombre de la institución y de jornada, y actualizar nombre de la IETDH en fachada.   </v>
      </c>
      <c r="T2418" s="70" t="str">
        <f>IFERROR(IF(VLOOKUP(A2418,[15]PRIORIZADOS!$A:$T,20,FALSE)="","",VLOOKUP(A2418,[15]PRIORIZADOS!$A:$T,20,FALSE)),"")</f>
        <v>Si</v>
      </c>
      <c r="U2418" s="11" t="str">
        <f>IFERROR(IF(VLOOKUP(A2418,[15]PRIORIZADOS!$A:$U,21,FALSE)="","",VLOOKUP(A2418,[15]PRIORIZADOS!$A:$U,21,FALSE)),"")</f>
        <v>De acuerdo con los compromisos establecidos en el acta, el 11/08/2025 la IEDTH informó sobre los ajustes de actualización, se procedió a verificación encontrándose de conformidad. Se dio respuesta mediante radicado SIGA</v>
      </c>
    </row>
    <row r="2419" spans="1:21" s="1" customFormat="1" ht="84">
      <c r="A2419" s="69">
        <f>IF([16]PRIORIZADOS!A8="","",[16]PRIORIZADOS!A8)</f>
        <v>2391</v>
      </c>
      <c r="B2419" s="70">
        <f>IFERROR(IF(VLOOKUP(A2419,[16]PRIORIZADOS!$A:$B,2,FALSE)="","",VLOOKUP(A2419,[16]PRIORIZADOS!$A:$B,2,FALSE)),"")</f>
        <v>1</v>
      </c>
      <c r="C2419" s="261" t="str">
        <f>IFERROR(IF(VLOOKUP(A2419,[16]PRIORIZADOS!$A:$C,3,FALSE)="","",VLOOKUP(A2419,[16]PRIORIZADOS!$A:$C,3,FALSE)),"")</f>
        <v>TUNJUELITO</v>
      </c>
      <c r="D2419" s="261" t="str">
        <f>IFERROR(IF(VLOOKUP(A2419,[16]PRIORIZADOS!$A:$D,4,FALSE)="","",VLOOKUP(A2419,[16]PRIORIZADOS!$A:$D,4,FALSE)),"")</f>
        <v>PRIVADO</v>
      </c>
      <c r="E2419" s="261" t="str">
        <f>IFERROR(IF(VLOOKUP(A2419,[16]PRIORIZADOS!$A:$E,5,FALSE)="","",VLOOKUP(A2419,[16]PRIORIZADOS!$A:$E,5,FALSE)),"")</f>
        <v>Educación de Jóvenes y Adultos</v>
      </c>
      <c r="F2419" s="261" t="str">
        <f>IFERROR(IF(VLOOKUP(A2419,[16]PRIORIZADOS!$A:$F,6,FALSE)="","",VLOOKUP(A2419,[16]PRIORIZADOS!$A:$F,6,FALSE)),"")</f>
        <v>CENTRO_EDUCATIVO_SURAMERICANO</v>
      </c>
      <c r="G2419" s="261" t="str">
        <f>IFERROR(IF(VLOOKUP(A2419,[16]PRIORIZADOS!$A:$G,7,FALSE)="","",VLOOKUP(A2419,[16]PRIORIZADOS!$A:$G,7,FALSE)),"")</f>
        <v>CENTRO EDUCATIVO SURAMERICANO</v>
      </c>
      <c r="H2419" s="261" t="str">
        <f>IFERROR(IF(VLOOKUP(A2419,[16]PRIORIZADOS!$A:$H,8,FALSE)="","",VLOOKUP(A2419,[16]PRIORIZADOS!$A:$H,8,FALSE)),"")</f>
        <v>Autoevaluación Institucional y Pruebas SABER 11</v>
      </c>
      <c r="I2419" s="261" t="str">
        <f>IFERROR(IF(VLOOKUP(A2419,[16]PRIORIZADOS!$A:$I,9,FALSE)="","",VLOOKUP(A2419,[16]PRIORIZADOS!$A:$I,9,FALSE)),"")</f>
        <v>SEGUIMIENTO_Y_SUPERVISIÓN.</v>
      </c>
      <c r="J2419" s="261" t="str">
        <f>IFERROR(IF(VLOOKUP(A2419,[16]PRIORIZADOS!$A:$J,10,FALSE)="","",VLOOKUP(A2419,[16]PRIORIZADOS!$A:$J,10,FALSE)),"")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419" s="261" t="str">
        <f>IFERROR(IF(VLOOKUP(A2419,[16]PRIORIZADOS!$A:$K,11,FALSE)="","",VLOOKUP(A2419,[16]PRIORIZADOS!$A:$K,11,FALSE)),"")</f>
        <v>NELSON AUGUSTO CUBILLOS OLARTE</v>
      </c>
      <c r="L2419" s="261" t="str">
        <f>IFERROR(IF(VLOOKUP(A2419,[16]PRIORIZADOS!$A:$L,12,FALSE)="","",VLOOKUP(A2419,[16]PRIORIZADOS!$A:$L,12,FALSE)),"")</f>
        <v xml:space="preserve">SANDRA JAZMÍN BAQUERO CÓRDOBA
NELSON AUGUSTO CUBILLOS OLARTE
CLAUDIA PATRICIA GRANADOS FLÓREZ
</v>
      </c>
      <c r="M2419" s="262">
        <f>IFERROR(IF(VLOOKUP(A2419,[16]PRIORIZADOS!$A:$M,13,FALSE)="","",VLOOKUP(A2419,[16]PRIORIZADOS!$A:$M,13,FALSE)),"")</f>
        <v>45784</v>
      </c>
      <c r="N2419" s="262">
        <f>IFERROR(IF(VLOOKUP(A2419,[16]PRIORIZADOS!$A:$N,14,FALSE)="","",VLOOKUP(A2419,[16]PRIORIZADOS!$A:$N,14,FALSE)),"")</f>
        <v>45793</v>
      </c>
      <c r="O2419" s="262">
        <f>IFERROR(IF(VLOOKUP(A2419,[16]PRIORIZADOS!$A:$O,15,FALSE)="","",VLOOKUP(A2419,[16]PRIORIZADOS!$A:$O,15,FALSE)),"")</f>
        <v>45793</v>
      </c>
      <c r="P2419" s="261" t="str">
        <f>IFERROR(IF(VLOOKUP(A2419,[16]PRIORIZADOS!$A:$P,16,FALSE)="","",VLOOKUP(A2419,[16]PRIORIZADOS!$A:$P,16,FALSE)),"")</f>
        <v>Visitas de evaluación con fines de seguimiento</v>
      </c>
      <c r="Q2419" s="107" t="s">
        <v>483</v>
      </c>
      <c r="R2419" s="261" t="str">
        <f>IFERROR(IF(VLOOKUP(A2419,[16]PRIORIZADOS!$A:$R,18,FALSE)="","",VLOOKUP(A2419,[16]PRIORIZADOS!$A:$R,18,FALSE)),"")</f>
        <v>La institución no tiene la actualización del PMI para salir de regimen Controlado.</v>
      </c>
      <c r="S2419" s="261" t="str">
        <f>IFERROR(IF(VLOOKUP(A2419,[16]PRIORIZADOS!$A:$S,19,FALSE)="","",VLOOKUP(A2419,[16]PRIORIZADOS!$A:$S,19,FALSE)),"")</f>
        <v>Ajustar el PMI incluyendo las novedades encontradas en la visita, en este punto.</v>
      </c>
      <c r="T2419" s="70" t="str">
        <f>IFERROR(IF(VLOOKUP(A2419,[16]PRIORIZADOS!$A:$T,20,FALSE)="","",VLOOKUP(A2419,[16]PRIORIZADOS!$A:$T,20,FALSE)),"")</f>
        <v>Si</v>
      </c>
      <c r="U2419" s="11" t="str">
        <f>IFERROR(IF(VLOOKUP(A2419,[16]PRIORIZADOS!$A:$U,21,FALSE)="","",VLOOKUP(A2419,[16]PRIORIZADOS!$A:$U,21,FALSE)),"")</f>
        <v>Valoración del Plan de mejoramiento y sus evidencias. Revisión de avances en la nueva autoevaluación y la respectiva priorización 2026.</v>
      </c>
    </row>
    <row r="2420" spans="1:21" s="1" customFormat="1" ht="84">
      <c r="A2420" s="69">
        <f>IF([16]PRIORIZADOS!A9="","",[16]PRIORIZADOS!A9)</f>
        <v>2392</v>
      </c>
      <c r="B2420" s="70">
        <v>1</v>
      </c>
      <c r="C2420" s="261" t="str">
        <f>IFERROR(IF(VLOOKUP(A2420,[16]PRIORIZADOS!$A:$C,3,FALSE)="","",VLOOKUP(A2420,[16]PRIORIZADOS!$A:$C,3,FALSE)),"")</f>
        <v>TUNJUELITO</v>
      </c>
      <c r="D2420" s="261" t="str">
        <f>IFERROR(IF(VLOOKUP(A2420,[16]PRIORIZADOS!$A:$D,4,FALSE)="","",VLOOKUP(A2420,[16]PRIORIZADOS!$A:$D,4,FALSE)),"")</f>
        <v>PRIVADO</v>
      </c>
      <c r="E2420" s="261" t="str">
        <f>IFERROR(IF(VLOOKUP(A2420,[16]PRIORIZADOS!$A:$E,5,FALSE)="","",VLOOKUP(A2420,[16]PRIORIZADOS!$A:$E,5,FALSE)),"")</f>
        <v>Educación de Jóvenes y Adultos</v>
      </c>
      <c r="F2420" s="261" t="str">
        <f>IFERROR(IF(VLOOKUP(A2420,[16]PRIORIZADOS!$A:$F,6,FALSE)="","",VLOOKUP(A2420,[16]PRIORIZADOS!$A:$F,6,FALSE)),"")</f>
        <v>CENTRO_EDUCATIVO_SURAMERICANO</v>
      </c>
      <c r="G2420" s="261" t="str">
        <f>IFERROR(IF(VLOOKUP(A2420,[16]PRIORIZADOS!$A:$G,7,FALSE)="","",VLOOKUP(A2420,[16]PRIORIZADOS!$A:$G,7,FALSE)),"")</f>
        <v>CENTRO EDUCATIVO SURAMERICANO</v>
      </c>
      <c r="H2420" s="261" t="str">
        <f>IFERROR(IF(VLOOKUP(A2420,[16]PRIORIZADOS!$A:$H,8,FALSE)="","",VLOOKUP(A2420,[16]PRIORIZADOS!$A:$H,8,FALSE)),"")</f>
        <v>Autoevaluación Institucional y Pruebas SABER 11</v>
      </c>
      <c r="I2420" s="261" t="str">
        <f>IFERROR(IF(VLOOKUP(A2420,[16]PRIORIZADOS!$A:$I,9,FALSE)="","",VLOOKUP(A2420,[16]PRIORIZADOS!$A:$I,9,FALSE)),"")</f>
        <v>SEGUIMIENTO_Y_SUPERVISIÓN.</v>
      </c>
      <c r="J2420" s="261" t="str">
        <f>IFERROR(IF(VLOOKUP(A2420,[16]PRIORIZADOS!$A:$J,10,FALSE)="","",VLOOKUP(A2420,[16]PRIORIZADOS!$A:$J,10,FALSE)),"")</f>
        <v>Realizar visitas para verificar la información registrada sobre la autoevaluación institucional en el aplicativo EVI, a los establecimientos de educación formal no oficial.</v>
      </c>
      <c r="K2420" s="261" t="str">
        <f>IFERROR(IF(VLOOKUP(A2420,[16]PRIORIZADOS!$A:$K,11,FALSE)="","",VLOOKUP(A2420,[16]PRIORIZADOS!$A:$K,11,FALSE)),"")</f>
        <v>NELSON AUGUSTO CUBILLOS OLARTE</v>
      </c>
      <c r="L2420" s="261" t="str">
        <f>IFERROR(IF(VLOOKUP(A2420,[16]PRIORIZADOS!$A:$L,12,FALSE)="","",VLOOKUP(A2420,[16]PRIORIZADOS!$A:$L,12,FALSE)),"")</f>
        <v xml:space="preserve">SANDRA JAZMÍN BAQUERO CÓRDOBA
NELSON AUGUSTO CUBILLOS OLARTE
CLAUDIA PATRICIA GRANADOS FLÓREZ
</v>
      </c>
      <c r="M2420" s="262">
        <f>IFERROR(IF(VLOOKUP(A2420,[16]PRIORIZADOS!$A:$M,13,FALSE)="","",VLOOKUP(A2420,[16]PRIORIZADOS!$A:$M,13,FALSE)),"")</f>
        <v>45784</v>
      </c>
      <c r="N2420" s="262">
        <f>IFERROR(IF(VLOOKUP(A2420,[16]PRIORIZADOS!$A:$N,14,FALSE)="","",VLOOKUP(A2420,[16]PRIORIZADOS!$A:$N,14,FALSE)),"")</f>
        <v>45793</v>
      </c>
      <c r="O2420" s="262">
        <f>IFERROR(IF(VLOOKUP(A2420,[16]PRIORIZADOS!$A:$O,15,FALSE)="","",VLOOKUP(A2420,[16]PRIORIZADOS!$A:$O,15,FALSE)),"")</f>
        <v>45793</v>
      </c>
      <c r="P2420" s="261" t="str">
        <f>IFERROR(IF(VLOOKUP(A2420,[16]PRIORIZADOS!$A:$P,16,FALSE)="","",VLOOKUP(A2420,[16]PRIORIZADOS!$A:$P,16,FALSE)),"")</f>
        <v>Visitas de evaluación con fines de seguimiento</v>
      </c>
      <c r="Q2420" s="107" t="s">
        <v>483</v>
      </c>
      <c r="R2420" s="261" t="str">
        <f>IFERROR(IF(VLOOKUP(A2420,[16]PRIORIZADOS!$A:$R,18,FALSE)="","",VLOOKUP(A2420,[16]PRIORIZADOS!$A:$R,18,FALSE)),"")</f>
        <v>La institución debe revisar la situación actual de infraestructura fisica pues uno de los baños reportados en 2023-2024 no es procedente(Pozeta corrida) por lo tanto, hace falta un baño y un aula, así como, espacios para docentes.</v>
      </c>
      <c r="S2420" s="261" t="str">
        <f>IFERROR(IF(VLOOKUP(A2420,[16]PRIORIZADOS!$A:$S,19,FALSE)="","",VLOOKUP(A2420,[16]PRIORIZADOS!$A:$S,19,FALSE)),"")</f>
        <v>Ajustar el PMI incluyendo las novedades encontradas en la visita, estructurando el proceso a mediano y largo plazo de acuerdo con las obras y/o presupuestos necesarios.</v>
      </c>
      <c r="T2420" s="70" t="str">
        <f>IFERROR(IF(VLOOKUP(A2420,[16]PRIORIZADOS!$A:$T,20,FALSE)="","",VLOOKUP(A2420,[16]PRIORIZADOS!$A:$T,20,FALSE)),"")</f>
        <v>Si</v>
      </c>
      <c r="U2420" s="11" t="str">
        <f>IFERROR(IF(VLOOKUP(A2420,[16]PRIORIZADOS!$A:$U,21,FALSE)="","",VLOOKUP(A2420,[16]PRIORIZADOS!$A:$U,21,FALSE)),"")</f>
        <v>Valoración del Plan de mejoramiento y sus evidencias. Revisión de avances en la nueva autoevaluación y la respectiva priorización 2026.</v>
      </c>
    </row>
    <row r="2421" spans="1:21" s="1" customFormat="1" ht="84">
      <c r="A2421" s="69">
        <f>IF([16]PRIORIZADOS!A10="","",[16]PRIORIZADOS!A10)</f>
        <v>2393</v>
      </c>
      <c r="B2421" s="70">
        <v>1</v>
      </c>
      <c r="C2421" s="261" t="str">
        <f>IFERROR(IF(VLOOKUP(A2421,[16]PRIORIZADOS!$A:$C,3,FALSE)="","",VLOOKUP(A2421,[16]PRIORIZADOS!$A:$C,3,FALSE)),"")</f>
        <v>TUNJUELITO</v>
      </c>
      <c r="D2421" s="261" t="str">
        <f>IFERROR(IF(VLOOKUP(A2421,[16]PRIORIZADOS!$A:$D,4,FALSE)="","",VLOOKUP(A2421,[16]PRIORIZADOS!$A:$D,4,FALSE)),"")</f>
        <v>PRIVADO</v>
      </c>
      <c r="E2421" s="261" t="str">
        <f>IFERROR(IF(VLOOKUP(A2421,[16]PRIORIZADOS!$A:$E,5,FALSE)="","",VLOOKUP(A2421,[16]PRIORIZADOS!$A:$E,5,FALSE)),"")</f>
        <v>Educación de Jóvenes y Adultos</v>
      </c>
      <c r="F2421" s="261" t="str">
        <f>IFERROR(IF(VLOOKUP(A2421,[16]PRIORIZADOS!$A:$F,6,FALSE)="","",VLOOKUP(A2421,[16]PRIORIZADOS!$A:$F,6,FALSE)),"")</f>
        <v>CENTRO_EDUCATIVO_SURAMERICANO</v>
      </c>
      <c r="G2421" s="261" t="str">
        <f>IFERROR(IF(VLOOKUP(A2421,[16]PRIORIZADOS!$A:$G,7,FALSE)="","",VLOOKUP(A2421,[16]PRIORIZADOS!$A:$G,7,FALSE)),"")</f>
        <v>CENTRO EDUCATIVO SURAMERICANO</v>
      </c>
      <c r="H2421" s="261" t="str">
        <f>IFERROR(IF(VLOOKUP(A2421,[16]PRIORIZADOS!$A:$H,8,FALSE)="","",VLOOKUP(A2421,[16]PRIORIZADOS!$A:$H,8,FALSE)),"")</f>
        <v>Autoevaluación Institucional y Pruebas SABER 11</v>
      </c>
      <c r="I2421" s="261" t="str">
        <f>IFERROR(IF(VLOOKUP(A2421,[16]PRIORIZADOS!$A:$I,9,FALSE)="","",VLOOKUP(A2421,[16]PRIORIZADOS!$A:$I,9,FALSE)),"")</f>
        <v>SEGUIMIENTO_Y_SUPERVISIÓN.</v>
      </c>
      <c r="J2421" s="261" t="str">
        <f>IFERROR(IF(VLOOKUP(A2421,[16]PRIORIZADOS!$A:$J,10,FALSE)="","",VLOOKUP(A2421,[16]PRIORIZADOS!$A:$J,10,FALSE)),"")</f>
        <v>Proponer estrategias en la formulación, verificar su elaboración y realizar seguimiento semestral al desarrollo de  las acciones establecidas en los planes de mejoramiento por pruebas SABER 11 de los establecimientos de educación formal.</v>
      </c>
      <c r="K2421" s="261" t="str">
        <f>IFERROR(IF(VLOOKUP(A2421,[16]PRIORIZADOS!$A:$K,11,FALSE)="","",VLOOKUP(A2421,[16]PRIORIZADOS!$A:$K,11,FALSE)),"")</f>
        <v>NELSON AUGUSTO CUBILLOS OLARTE</v>
      </c>
      <c r="L2421" s="261" t="str">
        <f>IFERROR(IF(VLOOKUP(A2421,[16]PRIORIZADOS!$A:$L,12,FALSE)="","",VLOOKUP(A2421,[16]PRIORIZADOS!$A:$L,12,FALSE)),"")</f>
        <v xml:space="preserve">SANDRA JAZMÍN BAQUERO CÓRDOBA
NELSON AUGUSTO CUBILLOS OLARTE
CLAUDIA PATRICIA GRANADOS FLÓREZ
</v>
      </c>
      <c r="M2421" s="262">
        <f>IFERROR(IF(VLOOKUP(A2421,[16]PRIORIZADOS!$A:$M,13,FALSE)="","",VLOOKUP(A2421,[16]PRIORIZADOS!$A:$M,13,FALSE)),"")</f>
        <v>45784</v>
      </c>
      <c r="N2421" s="262">
        <f>IFERROR(IF(VLOOKUP(A2421,[16]PRIORIZADOS!$A:$N,14,FALSE)="","",VLOOKUP(A2421,[16]PRIORIZADOS!$A:$N,14,FALSE)),"")</f>
        <v>45793</v>
      </c>
      <c r="O2421" s="262">
        <f>IFERROR(IF(VLOOKUP(A2421,[16]PRIORIZADOS!$A:$O,15,FALSE)="","",VLOOKUP(A2421,[16]PRIORIZADOS!$A:$O,15,FALSE)),"")</f>
        <v>45793</v>
      </c>
      <c r="P2421" s="261" t="str">
        <f>IFERROR(IF(VLOOKUP(A2421,[16]PRIORIZADOS!$A:$P,16,FALSE)="","",VLOOKUP(A2421,[16]PRIORIZADOS!$A:$P,16,FALSE)),"")</f>
        <v>Visitas de evaluación con fines de seguimiento</v>
      </c>
      <c r="Q2421" s="107" t="s">
        <v>483</v>
      </c>
      <c r="R2421" s="261" t="str">
        <f>IFERROR(IF(VLOOKUP(A2421,[16]PRIORIZADOS!$A:$R,18,FALSE)="","",VLOOKUP(A2421,[16]PRIORIZADOS!$A:$R,18,FALSE)),"")</f>
        <v>La institución no ha realizado la revisión de la situación de las pruebas SABER 11 y ha realizado ajustes pero no con base en el análisis de pruebas.</v>
      </c>
      <c r="S2421" s="261" t="str">
        <f>IFERROR(IF(VLOOKUP(A2421,[16]PRIORIZADOS!$A:$S,19,FALSE)="","",VLOOKUP(A2421,[16]PRIORIZADOS!$A:$S,19,FALSE)),"")</f>
        <v>Ajustar el PMI incluyendo las novedades encontradas en la visita, en este punto, generando evidencias de los procesos de discusión y acciones realizadas.</v>
      </c>
      <c r="T2421" s="70" t="str">
        <f>IFERROR(IF(VLOOKUP(A2421,[16]PRIORIZADOS!$A:$T,20,FALSE)="","",VLOOKUP(A2421,[16]PRIORIZADOS!$A:$T,20,FALSE)),"")</f>
        <v>Si</v>
      </c>
      <c r="U2421" s="11" t="str">
        <f>IFERROR(IF(VLOOKUP(A2421,[16]PRIORIZADOS!$A:$U,21,FALSE)="","",VLOOKUP(A2421,[16]PRIORIZADOS!$A:$U,21,FALSE)),"")</f>
        <v>Valoración del Plan de mejoramiento y sus evidencias. Revisión de avances en la nueva autoevaluación y la respectiva priorización 2026.</v>
      </c>
    </row>
    <row r="2422" spans="1:21" s="1" customFormat="1" ht="84">
      <c r="A2422" s="69">
        <f>IF([16]PRIORIZADOS!A11="","",[16]PRIORIZADOS!A11)</f>
        <v>2394</v>
      </c>
      <c r="B2422" s="70">
        <v>1</v>
      </c>
      <c r="C2422" s="261" t="str">
        <f>IFERROR(IF(VLOOKUP(A2422,[16]PRIORIZADOS!$A:$C,3,FALSE)="","",VLOOKUP(A2422,[16]PRIORIZADOS!$A:$C,3,FALSE)),"")</f>
        <v>TUNJUELITO</v>
      </c>
      <c r="D2422" s="261" t="str">
        <f>IFERROR(IF(VLOOKUP(A2422,[16]PRIORIZADOS!$A:$D,4,FALSE)="","",VLOOKUP(A2422,[16]PRIORIZADOS!$A:$D,4,FALSE)),"")</f>
        <v>PRIVADO</v>
      </c>
      <c r="E2422" s="261" t="str">
        <f>IFERROR(IF(VLOOKUP(A2422,[16]PRIORIZADOS!$A:$E,5,FALSE)="","",VLOOKUP(A2422,[16]PRIORIZADOS!$A:$E,5,FALSE)),"")</f>
        <v>Educación de Jóvenes y Adultos</v>
      </c>
      <c r="F2422" s="261" t="str">
        <f>IFERROR(IF(VLOOKUP(A2422,[16]PRIORIZADOS!$A:$F,6,FALSE)="","",VLOOKUP(A2422,[16]PRIORIZADOS!$A:$F,6,FALSE)),"")</f>
        <v>CENTRO_EDUCATIVO_SURAMERICANO</v>
      </c>
      <c r="G2422" s="261" t="str">
        <f>IFERROR(IF(VLOOKUP(A2422,[16]PRIORIZADOS!$A:$G,7,FALSE)="","",VLOOKUP(A2422,[16]PRIORIZADOS!$A:$G,7,FALSE)),"")</f>
        <v>CENTRO EDUCATIVO SURAMERICANO</v>
      </c>
      <c r="H2422" s="261" t="str">
        <f>IFERROR(IF(VLOOKUP(A2422,[16]PRIORIZADOS!$A:$H,8,FALSE)="","",VLOOKUP(A2422,[16]PRIORIZADOS!$A:$H,8,FALSE)),"")</f>
        <v>Autoevaluación Institucional y Pruebas SABER 11</v>
      </c>
      <c r="I2422" s="261" t="str">
        <f>IFERROR(IF(VLOOKUP(A2422,[16]PRIORIZADOS!$A:$I,9,FALSE)="","",VLOOKUP(A2422,[16]PRIORIZADOS!$A:$I,9,FALSE)),"")</f>
        <v>SEGUIMIENTO_Y_SUPERVISIÓN.</v>
      </c>
      <c r="J2422" s="261" t="str">
        <f>IFERROR(IF(VLOOKUP(A2422,[16]PRIORIZADOS!$A:$J,10,FALSE)="","",VLOOKUP(A2422,[16]PRIORIZADOS!$A:$J,10,FALSE)),"")</f>
        <v xml:space="preserve">Verificar la implementación por parte de los colegios, de acciones realizadas para la prevención y atención de las situaciones de convivencia en el entorno escolar, según lo establecido en la Directiva 01 de 2022 del MEN. </v>
      </c>
      <c r="K2422" s="261" t="str">
        <f>IFERROR(IF(VLOOKUP(A2422,[16]PRIORIZADOS!$A:$K,11,FALSE)="","",VLOOKUP(A2422,[16]PRIORIZADOS!$A:$K,11,FALSE)),"")</f>
        <v>NELSON AUGUSTO CUBILLOS OLARTE</v>
      </c>
      <c r="L2422" s="261" t="str">
        <f>IFERROR(IF(VLOOKUP(A2422,[16]PRIORIZADOS!$A:$L,12,FALSE)="","",VLOOKUP(A2422,[16]PRIORIZADOS!$A:$L,12,FALSE)),"")</f>
        <v xml:space="preserve">SANDRA JAZMÍN BAQUERO CÓRDOBA
NELSON AUGUSTO CUBILLOS OLARTE
CLAUDIA PATRICIA GRANADOS FLÓREZ
</v>
      </c>
      <c r="M2422" s="262">
        <f>IFERROR(IF(VLOOKUP(A2422,[16]PRIORIZADOS!$A:$M,13,FALSE)="","",VLOOKUP(A2422,[16]PRIORIZADOS!$A:$M,13,FALSE)),"")</f>
        <v>45784</v>
      </c>
      <c r="N2422" s="262">
        <f>IFERROR(IF(VLOOKUP(A2422,[16]PRIORIZADOS!$A:$N,14,FALSE)="","",VLOOKUP(A2422,[16]PRIORIZADOS!$A:$N,14,FALSE)),"")</f>
        <v>45793</v>
      </c>
      <c r="O2422" s="262">
        <f>IFERROR(IF(VLOOKUP(A2422,[16]PRIORIZADOS!$A:$O,15,FALSE)="","",VLOOKUP(A2422,[16]PRIORIZADOS!$A:$O,15,FALSE)),"")</f>
        <v>45793</v>
      </c>
      <c r="P2422" s="261" t="str">
        <f>IFERROR(IF(VLOOKUP(A2422,[16]PRIORIZADOS!$A:$P,16,FALSE)="","",VLOOKUP(A2422,[16]PRIORIZADOS!$A:$P,16,FALSE)),"")</f>
        <v>Visitas de evaluación con fines de seguimiento</v>
      </c>
      <c r="Q2422" s="107" t="s">
        <v>483</v>
      </c>
      <c r="R2422" s="261" t="str">
        <f>IFERROR(IF(VLOOKUP(A2422,[16]PRIORIZADOS!$A:$R,18,FALSE)="","",VLOOKUP(A2422,[16]PRIORIZADOS!$A:$R,18,FALSE)),"")</f>
        <v>La institución no ha relizado la revisión de antecedentes de delitos sexuales del personal</v>
      </c>
      <c r="S2422" s="261" t="str">
        <f>IFERROR(IF(VLOOKUP(A2422,[16]PRIORIZADOS!$A:$S,19,FALSE)="","",VLOOKUP(A2422,[16]PRIORIZADOS!$A:$S,19,FALSE)),"")</f>
        <v>Se deben realizar los procesos de revisión e implementar la revisión periodica.</v>
      </c>
      <c r="T2422" s="70" t="str">
        <f>IFERROR(IF(VLOOKUP(A2422,[16]PRIORIZADOS!$A:$T,20,FALSE)="","",VLOOKUP(A2422,[16]PRIORIZADOS!$A:$T,20,FALSE)),"")</f>
        <v>Si</v>
      </c>
      <c r="U2422" s="11" t="str">
        <f>IFERROR(IF(VLOOKUP(A2422,[16]PRIORIZADOS!$A:$U,21,FALSE)="","",VLOOKUP(A2422,[16]PRIORIZADOS!$A:$U,21,FALSE)),"")</f>
        <v>Valoración del Plan de mejoramiento y sus evidencias. Revisión de avances en la nueva autoevaluación y la respectiva priorización 2026.</v>
      </c>
    </row>
    <row r="2423" spans="1:21" s="1" customFormat="1" ht="84">
      <c r="A2423" s="69">
        <f>IF([16]PRIORIZADOS!A12="","",[16]PRIORIZADOS!A12)</f>
        <v>2395</v>
      </c>
      <c r="B2423" s="70">
        <v>1</v>
      </c>
      <c r="C2423" s="261" t="str">
        <f>IFERROR(IF(VLOOKUP(A2423,[16]PRIORIZADOS!$A:$C,3,FALSE)="","",VLOOKUP(A2423,[16]PRIORIZADOS!$A:$C,3,FALSE)),"")</f>
        <v>TUNJUELITO</v>
      </c>
      <c r="D2423" s="261" t="str">
        <f>IFERROR(IF(VLOOKUP(A2423,[16]PRIORIZADOS!$A:$D,4,FALSE)="","",VLOOKUP(A2423,[16]PRIORIZADOS!$A:$D,4,FALSE)),"")</f>
        <v>PRIVADO</v>
      </c>
      <c r="E2423" s="261" t="str">
        <f>IFERROR(IF(VLOOKUP(A2423,[16]PRIORIZADOS!$A:$E,5,FALSE)="","",VLOOKUP(A2423,[16]PRIORIZADOS!$A:$E,5,FALSE)),"")</f>
        <v>Educación de Jóvenes y Adultos</v>
      </c>
      <c r="F2423" s="261" t="str">
        <f>IFERROR(IF(VLOOKUP(A2423,[16]PRIORIZADOS!$A:$F,6,FALSE)="","",VLOOKUP(A2423,[16]PRIORIZADOS!$A:$F,6,FALSE)),"")</f>
        <v>CENTRO_EDUCATIVO_SURAMERICANO</v>
      </c>
      <c r="G2423" s="261" t="str">
        <f>IFERROR(IF(VLOOKUP(A2423,[16]PRIORIZADOS!$A:$G,7,FALSE)="","",VLOOKUP(A2423,[16]PRIORIZADOS!$A:$G,7,FALSE)),"")</f>
        <v>CENTRO EDUCATIVO SURAMERICANO</v>
      </c>
      <c r="H2423" s="261" t="str">
        <f>IFERROR(IF(VLOOKUP(A2423,[16]PRIORIZADOS!$A:$H,8,FALSE)="","",VLOOKUP(A2423,[16]PRIORIZADOS!$A:$H,8,FALSE)),"")</f>
        <v>Autoevaluación Institucional y Pruebas SABER 11</v>
      </c>
      <c r="I2423" s="261" t="str">
        <f>IFERROR(IF(VLOOKUP(A2423,[16]PRIORIZADOS!$A:$I,9,FALSE)="","",VLOOKUP(A2423,[16]PRIORIZADOS!$A:$I,9,FALSE)),"")</f>
        <v>SEGUIMIENTO_Y_SUPERVISIÓN.</v>
      </c>
      <c r="J2423" s="261" t="str">
        <f>IFERROR(IF(VLOOKUP(A2423,[16]PRIORIZADOS!$A:$J,10,FALSE)="","",VLOOKUP(A2423,[16]PRIORIZADOS!$A:$J,10,FALSE)),"")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23" s="261" t="str">
        <f>IFERROR(IF(VLOOKUP(A2423,[16]PRIORIZADOS!$A:$K,11,FALSE)="","",VLOOKUP(A2423,[16]PRIORIZADOS!$A:$K,11,FALSE)),"")</f>
        <v>NELSON AUGUSTO CUBILLOS OLARTE</v>
      </c>
      <c r="L2423" s="261" t="str">
        <f>IFERROR(IF(VLOOKUP(A2423,[16]PRIORIZADOS!$A:$L,12,FALSE)="","",VLOOKUP(A2423,[16]PRIORIZADOS!$A:$L,12,FALSE)),"")</f>
        <v xml:space="preserve">SANDRA JAZMÍN BAQUERO CÓRDOBA
NELSON AUGUSTO CUBILLOS OLARTE
CLAUDIA PATRICIA GRANADOS FLÓREZ
</v>
      </c>
      <c r="M2423" s="262">
        <f>IFERROR(IF(VLOOKUP(A2423,[16]PRIORIZADOS!$A:$M,13,FALSE)="","",VLOOKUP(A2423,[16]PRIORIZADOS!$A:$M,13,FALSE)),"")</f>
        <v>45784</v>
      </c>
      <c r="N2423" s="262">
        <f>IFERROR(IF(VLOOKUP(A2423,[16]PRIORIZADOS!$A:$N,14,FALSE)="","",VLOOKUP(A2423,[16]PRIORIZADOS!$A:$N,14,FALSE)),"")</f>
        <v>45793</v>
      </c>
      <c r="O2423" s="262" t="str">
        <f>IFERROR(IF(VLOOKUP(A2423,[16]PRIORIZADOS!$A:$O,15,FALSE)="","",VLOOKUP(A2423,[16]PRIORIZADOS!$A:$O,15,FALSE)),"")</f>
        <v>16/5/2025</v>
      </c>
      <c r="P2423" s="261" t="str">
        <f>IFERROR(IF(VLOOKUP(A2423,[16]PRIORIZADOS!$A:$P,16,FALSE)="","",VLOOKUP(A2423,[16]PRIORIZADOS!$A:$P,16,FALSE)),"")</f>
        <v>Visitas de evaluación con fines de seguimiento</v>
      </c>
      <c r="Q2423" s="107" t="s">
        <v>483</v>
      </c>
      <c r="R2423" s="261" t="str">
        <f>IFERROR(IF(VLOOKUP(A2423,[16]PRIORIZADOS!$A:$R,18,FALSE)="","",VLOOKUP(A2423,[16]PRIORIZADOS!$A:$R,18,FALSE)),"")</f>
        <v>La institución no cuenta con matricula de estudiantes en condición de discapacidad.</v>
      </c>
      <c r="S2423" s="261" t="str">
        <f>IFERROR(IF(VLOOKUP(A2423,[16]PRIORIZADOS!$A:$S,19,FALSE)="","",VLOOKUP(A2423,[16]PRIORIZADOS!$A:$S,19,FALSE)),"")</f>
        <v>Se deben organizar procesos en los que se evidencie la verificación de situaciones de discapacidad</v>
      </c>
      <c r="T2423" s="70" t="str">
        <f>IFERROR(IF(VLOOKUP(A2423,[16]PRIORIZADOS!$A:$T,20,FALSE)="","",VLOOKUP(A2423,[16]PRIORIZADOS!$A:$T,20,FALSE)),"")</f>
        <v>Si</v>
      </c>
      <c r="U2423" s="11" t="str">
        <f>IFERROR(IF(VLOOKUP(A2423,[16]PRIORIZADOS!$A:$U,21,FALSE)="","",VLOOKUP(A2423,[16]PRIORIZADOS!$A:$U,21,FALSE)),"")</f>
        <v>Valoración del Plan de mejoramiento y sus evidencias. Revisión de avances en la nueva autoevaluación y la respectiva priorización 2026.</v>
      </c>
    </row>
    <row r="2424" spans="1:21" s="1" customFormat="1" ht="84">
      <c r="A2424" s="69">
        <f>IF([16]PRIORIZADOS!A13="","",[16]PRIORIZADOS!A13)</f>
        <v>2396</v>
      </c>
      <c r="B2424" s="70">
        <v>1</v>
      </c>
      <c r="C2424" s="261" t="str">
        <f>IFERROR(IF(VLOOKUP(A2424,[16]PRIORIZADOS!$A:$C,3,FALSE)="","",VLOOKUP(A2424,[16]PRIORIZADOS!$A:$C,3,FALSE)),"")</f>
        <v>TUNJUELITO</v>
      </c>
      <c r="D2424" s="261" t="str">
        <f>IFERROR(IF(VLOOKUP(A2424,[16]PRIORIZADOS!$A:$D,4,FALSE)="","",VLOOKUP(A2424,[16]PRIORIZADOS!$A:$D,4,FALSE)),"")</f>
        <v>PRIVADO</v>
      </c>
      <c r="E2424" s="261" t="str">
        <f>IFERROR(IF(VLOOKUP(A2424,[16]PRIORIZADOS!$A:$E,5,FALSE)="","",VLOOKUP(A2424,[16]PRIORIZADOS!$A:$E,5,FALSE)),"")</f>
        <v>Educación de Jóvenes y Adultos</v>
      </c>
      <c r="F2424" s="261" t="str">
        <f>IFERROR(IF(VLOOKUP(A2424,[16]PRIORIZADOS!$A:$F,6,FALSE)="","",VLOOKUP(A2424,[16]PRIORIZADOS!$A:$F,6,FALSE)),"")</f>
        <v>CENTRO_EDUCATIVO_SURAMERICANO</v>
      </c>
      <c r="G2424" s="261" t="str">
        <f>IFERROR(IF(VLOOKUP(A2424,[16]PRIORIZADOS!$A:$G,7,FALSE)="","",VLOOKUP(A2424,[16]PRIORIZADOS!$A:$G,7,FALSE)),"")</f>
        <v>CENTRO EDUCATIVO SURAMERICANO</v>
      </c>
      <c r="H2424" s="261" t="str">
        <f>IFERROR(IF(VLOOKUP(A2424,[16]PRIORIZADOS!$A:$H,8,FALSE)="","",VLOOKUP(A2424,[16]PRIORIZADOS!$A:$H,8,FALSE)),"")</f>
        <v>Autoevaluación Institucional y Pruebas SABER 11</v>
      </c>
      <c r="I2424" s="261" t="str">
        <f>IFERROR(IF(VLOOKUP(A2424,[16]PRIORIZADOS!$A:$I,9,FALSE)="","",VLOOKUP(A2424,[16]PRIORIZADOS!$A:$I,9,FALSE)),"")</f>
        <v>EVALUACIÓN_CON_FINES_DE_MEJORAMIENTO.</v>
      </c>
      <c r="J2424" s="261" t="str">
        <f>IFERROR(IF(VLOOKUP(A2424,[16]PRIORIZADOS!$A:$J,10,FALSE)="","",VLOOKUP(A2424,[16]PRIORIZADOS!$A:$J,10,FALSE)),"")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24" s="261" t="str">
        <f>IFERROR(IF(VLOOKUP(A2424,[16]PRIORIZADOS!$A:$K,11,FALSE)="","",VLOOKUP(A2424,[16]PRIORIZADOS!$A:$K,11,FALSE)),"")</f>
        <v>NELSON AUGUSTO CUBILLOS OLARTE</v>
      </c>
      <c r="L2424" s="261" t="str">
        <f>IFERROR(IF(VLOOKUP(A2424,[16]PRIORIZADOS!$A:$L,12,FALSE)="","",VLOOKUP(A2424,[16]PRIORIZADOS!$A:$L,12,FALSE)),"")</f>
        <v xml:space="preserve">SANDRA JAZMÍN BAQUERO CÓRDOBA
NELSON AUGUSTO CUBILLOS OLARTE
CLAUDIA PATRICIA GRANADOS FLÓREZ
</v>
      </c>
      <c r="M2424" s="262">
        <f>IFERROR(IF(VLOOKUP(A2424,[16]PRIORIZADOS!$A:$M,13,FALSE)="","",VLOOKUP(A2424,[16]PRIORIZADOS!$A:$M,13,FALSE)),"")</f>
        <v>45784</v>
      </c>
      <c r="N2424" s="262">
        <f>IFERROR(IF(VLOOKUP(A2424,[16]PRIORIZADOS!$A:$N,14,FALSE)="","",VLOOKUP(A2424,[16]PRIORIZADOS!$A:$N,14,FALSE)),"")</f>
        <v>45793</v>
      </c>
      <c r="O2424" s="262">
        <f>IFERROR(IF(VLOOKUP(A2424,[16]PRIORIZADOS!$A:$O,15,FALSE)="","",VLOOKUP(A2424,[16]PRIORIZADOS!$A:$O,15,FALSE)),"")</f>
        <v>45793</v>
      </c>
      <c r="P2424" s="261" t="str">
        <f>IFERROR(IF(VLOOKUP(A2424,[16]PRIORIZADOS!$A:$P,16,FALSE)="","",VLOOKUP(A2424,[16]PRIORIZADOS!$A:$P,16,FALSE)),"")</f>
        <v>Visitas de evaluación con fines de mejoramiento</v>
      </c>
      <c r="Q2424" s="107" t="s">
        <v>483</v>
      </c>
      <c r="R2424" s="261" t="str">
        <f>IFERROR(IF(VLOOKUP(A2424,[16]PRIORIZADOS!$A:$R,18,FALSE)="","",VLOOKUP(A2424,[16]PRIORIZADOS!$A:$R,18,FALSE)),"")</f>
        <v>La institución no presenta actas que prueben lo realizado.</v>
      </c>
      <c r="S2424" s="261" t="str">
        <f>IFERROR(IF(VLOOKUP(A2424,[16]PRIORIZADOS!$A:$S,19,FALSE)="","",VLOOKUP(A2424,[16]PRIORIZADOS!$A:$S,19,FALSE)),"")</f>
        <v>Se deben documentar todos lo procesos con actas firmadas por los estamentos de acuerdo a su competencia. La institución realizará las actas y el cronograma en el PMI</v>
      </c>
      <c r="T2424" s="70" t="str">
        <f>IFERROR(IF(VLOOKUP(A2424,[16]PRIORIZADOS!$A:$T,20,FALSE)="","",VLOOKUP(A2424,[16]PRIORIZADOS!$A:$T,20,FALSE)),"")</f>
        <v>Si</v>
      </c>
      <c r="U2424" s="11" t="str">
        <f>IFERROR(IF(VLOOKUP(A2424,[16]PRIORIZADOS!$A:$U,21,FALSE)="","",VLOOKUP(A2424,[16]PRIORIZADOS!$A:$U,21,FALSE)),"")</f>
        <v>Valoración del Plan de mejoramiento y sus evidencias. Revisión de avances en la nueva autoevaluación y la respectiva priorización 2026.</v>
      </c>
    </row>
    <row r="2425" spans="1:21" s="1" customFormat="1" ht="84">
      <c r="A2425" s="69">
        <f>IF([16]PRIORIZADOS!A14="","",[16]PRIORIZADOS!A14)</f>
        <v>2397</v>
      </c>
      <c r="B2425" s="70">
        <v>1</v>
      </c>
      <c r="C2425" s="261" t="str">
        <f>IFERROR(IF(VLOOKUP(A2425,[16]PRIORIZADOS!$A:$C,3,FALSE)="","",VLOOKUP(A2425,[16]PRIORIZADOS!$A:$C,3,FALSE)),"")</f>
        <v>TUNJUELITO</v>
      </c>
      <c r="D2425" s="261" t="str">
        <f>IFERROR(IF(VLOOKUP(A2425,[16]PRIORIZADOS!$A:$D,4,FALSE)="","",VLOOKUP(A2425,[16]PRIORIZADOS!$A:$D,4,FALSE)),"")</f>
        <v>PRIVADO</v>
      </c>
      <c r="E2425" s="261" t="str">
        <f>IFERROR(IF(VLOOKUP(A2425,[16]PRIORIZADOS!$A:$E,5,FALSE)="","",VLOOKUP(A2425,[16]PRIORIZADOS!$A:$E,5,FALSE)),"")</f>
        <v>Educación de Jóvenes y Adultos</v>
      </c>
      <c r="F2425" s="261" t="str">
        <f>IFERROR(IF(VLOOKUP(A2425,[16]PRIORIZADOS!$A:$F,6,FALSE)="","",VLOOKUP(A2425,[16]PRIORIZADOS!$A:$F,6,FALSE)),"")</f>
        <v>CENTRO_EDUCATIVO_SURAMERICANO</v>
      </c>
      <c r="G2425" s="261" t="str">
        <f>IFERROR(IF(VLOOKUP(A2425,[16]PRIORIZADOS!$A:$G,7,FALSE)="","",VLOOKUP(A2425,[16]PRIORIZADOS!$A:$G,7,FALSE)),"")</f>
        <v>CENTRO EDUCATIVO SURAMERICANO</v>
      </c>
      <c r="H2425" s="261" t="str">
        <f>IFERROR(IF(VLOOKUP(A2425,[16]PRIORIZADOS!$A:$H,8,FALSE)="","",VLOOKUP(A2425,[16]PRIORIZADOS!$A:$H,8,FALSE)),"")</f>
        <v>Autoevaluación Institucional y Pruebas SABER 11</v>
      </c>
      <c r="I2425" s="261" t="str">
        <f>IFERROR(IF(VLOOKUP(A2425,[16]PRIORIZADOS!$A:$I,9,FALSE)="","",VLOOKUP(A2425,[16]PRIORIZADOS!$A:$I,9,FALSE)),"")</f>
        <v>EVALUACIÓN_CON_FINES_DE_MEJORAMIENTO.</v>
      </c>
      <c r="J2425" s="261" t="str">
        <f>IFERROR(IF(VLOOKUP(A2425,[16]PRIORIZADOS!$A:$J,10,FALSE)="","",VLOOKUP(A2425,[16]PRIORIZADOS!$A:$J,10,FALSE)),"")</f>
        <v>Revisar la actualización, socialización e implementación del Sistema Institucional de Evaluación de Estudiantes - SIEE, en articulación con la actualización del PEI y la normatividad vigente.</v>
      </c>
      <c r="K2425" s="261" t="str">
        <f>IFERROR(IF(VLOOKUP(A2425,[16]PRIORIZADOS!$A:$K,11,FALSE)="","",VLOOKUP(A2425,[16]PRIORIZADOS!$A:$K,11,FALSE)),"")</f>
        <v>NELSON AUGUSTO CUBILLOS OLARTE</v>
      </c>
      <c r="L2425" s="261" t="str">
        <f>IFERROR(IF(VLOOKUP(A2425,[16]PRIORIZADOS!$A:$L,12,FALSE)="","",VLOOKUP(A2425,[16]PRIORIZADOS!$A:$L,12,FALSE)),"")</f>
        <v xml:space="preserve">SANDRA JAZMÍN BAQUERO CÓRDOBA
NELSON AUGUSTO CUBILLOS OLARTE
CLAUDIA PATRICIA GRANADOS FLÓREZ
</v>
      </c>
      <c r="M2425" s="262">
        <f>IFERROR(IF(VLOOKUP(A2425,[16]PRIORIZADOS!$A:$M,13,FALSE)="","",VLOOKUP(A2425,[16]PRIORIZADOS!$A:$M,13,FALSE)),"")</f>
        <v>45784</v>
      </c>
      <c r="N2425" s="262">
        <f>IFERROR(IF(VLOOKUP(A2425,[16]PRIORIZADOS!$A:$N,14,FALSE)="","",VLOOKUP(A2425,[16]PRIORIZADOS!$A:$N,14,FALSE)),"")</f>
        <v>45793</v>
      </c>
      <c r="O2425" s="262">
        <f>IFERROR(IF(VLOOKUP(A2425,[16]PRIORIZADOS!$A:$O,15,FALSE)="","",VLOOKUP(A2425,[16]PRIORIZADOS!$A:$O,15,FALSE)),"")</f>
        <v>45793</v>
      </c>
      <c r="P2425" s="261" t="str">
        <f>IFERROR(IF(VLOOKUP(A2425,[16]PRIORIZADOS!$A:$P,16,FALSE)="","",VLOOKUP(A2425,[16]PRIORIZADOS!$A:$P,16,FALSE)),"")</f>
        <v>Visitas de evaluación con fines de mejoramiento</v>
      </c>
      <c r="Q2425" s="107" t="s">
        <v>483</v>
      </c>
      <c r="R2425" s="261" t="str">
        <f>IFERROR(IF(VLOOKUP(A2425,[16]PRIORIZADOS!$A:$R,18,FALSE)="","",VLOOKUP(A2425,[16]PRIORIZADOS!$A:$R,18,FALSE)),"")</f>
        <v>Esta contemplado en el Manual de convivencia, pero no hay evidencias de su actualización, socialización e implementación.</v>
      </c>
      <c r="S2425" s="261" t="str">
        <f>IFERROR(IF(VLOOKUP(A2425,[16]PRIORIZADOS!$A:$S,19,FALSE)="","",VLOOKUP(A2425,[16]PRIORIZADOS!$A:$S,19,FALSE)),"")</f>
        <v>Debe realizarse el proceso en que se cumpla con la actualización, socialización e implementación segun el decreto 1290 de 2009</v>
      </c>
      <c r="T2425" s="70" t="str">
        <f>IFERROR(IF(VLOOKUP(A2425,[16]PRIORIZADOS!$A:$T,20,FALSE)="","",VLOOKUP(A2425,[16]PRIORIZADOS!$A:$T,20,FALSE)),"")</f>
        <v>Si</v>
      </c>
      <c r="U2425" s="11" t="str">
        <f>IFERROR(IF(VLOOKUP(A2425,[16]PRIORIZADOS!$A:$U,21,FALSE)="","",VLOOKUP(A2425,[16]PRIORIZADOS!$A:$U,21,FALSE)),"")</f>
        <v>Valoración del Plan de mejoramiento y sus evidencias. Revisión de avances en la nueva autoevaluación y la respectiva priorización 2026.</v>
      </c>
    </row>
    <row r="2426" spans="1:21" s="1" customFormat="1" ht="84">
      <c r="A2426" s="69">
        <f>IF([16]PRIORIZADOS!A15="","",[16]PRIORIZADOS!A15)</f>
        <v>2398</v>
      </c>
      <c r="B2426" s="70">
        <v>1</v>
      </c>
      <c r="C2426" s="261" t="str">
        <f>IFERROR(IF(VLOOKUP(A2426,[16]PRIORIZADOS!$A:$C,3,FALSE)="","",VLOOKUP(A2426,[16]PRIORIZADOS!$A:$C,3,FALSE)),"")</f>
        <v>TUNJUELITO</v>
      </c>
      <c r="D2426" s="261" t="str">
        <f>IFERROR(IF(VLOOKUP(A2426,[16]PRIORIZADOS!$A:$D,4,FALSE)="","",VLOOKUP(A2426,[16]PRIORIZADOS!$A:$D,4,FALSE)),"")</f>
        <v>PRIVADO</v>
      </c>
      <c r="E2426" s="261" t="str">
        <f>IFERROR(IF(VLOOKUP(A2426,[16]PRIORIZADOS!$A:$E,5,FALSE)="","",VLOOKUP(A2426,[16]PRIORIZADOS!$A:$E,5,FALSE)),"")</f>
        <v>Educación de Jóvenes y Adultos</v>
      </c>
      <c r="F2426" s="261" t="str">
        <f>IFERROR(IF(VLOOKUP(A2426,[16]PRIORIZADOS!$A:$F,6,FALSE)="","",VLOOKUP(A2426,[16]PRIORIZADOS!$A:$F,6,FALSE)),"")</f>
        <v>CENTRO_EDUCATIVO_SURAMERICANO</v>
      </c>
      <c r="G2426" s="261" t="str">
        <f>IFERROR(IF(VLOOKUP(A2426,[16]PRIORIZADOS!$A:$G,7,FALSE)="","",VLOOKUP(A2426,[16]PRIORIZADOS!$A:$G,7,FALSE)),"")</f>
        <v>CENTRO EDUCATIVO SURAMERICANO</v>
      </c>
      <c r="H2426" s="261" t="str">
        <f>IFERROR(IF(VLOOKUP(A2426,[16]PRIORIZADOS!$A:$H,8,FALSE)="","",VLOOKUP(A2426,[16]PRIORIZADOS!$A:$H,8,FALSE)),"")</f>
        <v>Autoevaluación Institucional y Pruebas SABER 11</v>
      </c>
      <c r="I2426" s="261" t="str">
        <f>IFERROR(IF(VLOOKUP(A2426,[16]PRIORIZADOS!$A:$I,9,FALSE)="","",VLOOKUP(A2426,[16]PRIORIZADOS!$A:$I,9,FALSE)),"")</f>
        <v>EVALUACIÓN_CON_FINES_DE_MEJORAMIENTO.</v>
      </c>
      <c r="J2426" s="261" t="str">
        <f>IFERROR(IF(VLOOKUP(A2426,[16]PRIORIZADOS!$A:$J,10,FALSE)="","",VLOOKUP(A2426,[16]PRIORIZADOS!$A:$J,10,FALSE)),"")</f>
        <v>Revisar el calendario escolar, jornada escolar, la intensidad horaria mínima anual en cada nivel y las modificaciones que se realicen al mismo, de acuerdo con lo previsto en la normatividad vigente.</v>
      </c>
      <c r="K2426" s="261" t="str">
        <f>IFERROR(IF(VLOOKUP(A2426,[16]PRIORIZADOS!$A:$K,11,FALSE)="","",VLOOKUP(A2426,[16]PRIORIZADOS!$A:$K,11,FALSE)),"")</f>
        <v>NELSON AUGUSTO CUBILLOS OLARTE</v>
      </c>
      <c r="L2426" s="261" t="str">
        <f>IFERROR(IF(VLOOKUP(A2426,[16]PRIORIZADOS!$A:$L,12,FALSE)="","",VLOOKUP(A2426,[16]PRIORIZADOS!$A:$L,12,FALSE)),"")</f>
        <v xml:space="preserve">SANDRA JAZMÍN BAQUERO CÓRDOBA
NELSON AUGUSTO CUBILLOS OLARTE
CLAUDIA PATRICIA GRANADOS FLÓREZ
</v>
      </c>
      <c r="M2426" s="262">
        <f>IFERROR(IF(VLOOKUP(A2426,[16]PRIORIZADOS!$A:$M,13,FALSE)="","",VLOOKUP(A2426,[16]PRIORIZADOS!$A:$M,13,FALSE)),"")</f>
        <v>45784</v>
      </c>
      <c r="N2426" s="262">
        <f>IFERROR(IF(VLOOKUP(A2426,[16]PRIORIZADOS!$A:$N,14,FALSE)="","",VLOOKUP(A2426,[16]PRIORIZADOS!$A:$N,14,FALSE)),"")</f>
        <v>45793</v>
      </c>
      <c r="O2426" s="262">
        <f>IFERROR(IF(VLOOKUP(A2426,[16]PRIORIZADOS!$A:$O,15,FALSE)="","",VLOOKUP(A2426,[16]PRIORIZADOS!$A:$O,15,FALSE)),"")</f>
        <v>45793</v>
      </c>
      <c r="P2426" s="261" t="str">
        <f>IFERROR(IF(VLOOKUP(A2426,[16]PRIORIZADOS!$A:$P,16,FALSE)="","",VLOOKUP(A2426,[16]PRIORIZADOS!$A:$P,16,FALSE)),"")</f>
        <v>Visitas de evaluación con fines de mejoramiento</v>
      </c>
      <c r="Q2426" s="107" t="s">
        <v>483</v>
      </c>
      <c r="R2426" s="261" t="str">
        <f>IFERROR(IF(VLOOKUP(A2426,[16]PRIORIZADOS!$A:$R,18,FALSE)="","",VLOOKUP(A2426,[16]PRIORIZADOS!$A:$R,18,FALSE)),"")</f>
        <v>Se presenta un cronograma mas un documento de calendario que contemple los momentos y tiempos que permitan evidenciar completamente el cumplimiento de la norma.</v>
      </c>
      <c r="S2426" s="261" t="str">
        <f>IFERROR(IF(VLOOKUP(A2426,[16]PRIORIZADOS!$A:$S,19,FALSE)="","",VLOOKUP(A2426,[16]PRIORIZADOS!$A:$S,19,FALSE)),"")</f>
        <v>La institución debe elaborar y presentar el calendario académico de la institución debidamente adaptado a la norma.</v>
      </c>
      <c r="T2426" s="70" t="str">
        <f>IFERROR(IF(VLOOKUP(A2426,[16]PRIORIZADOS!$A:$T,20,FALSE)="","",VLOOKUP(A2426,[16]PRIORIZADOS!$A:$T,20,FALSE)),"")</f>
        <v>Si</v>
      </c>
      <c r="U2426" s="11" t="str">
        <f>IFERROR(IF(VLOOKUP(A2426,[16]PRIORIZADOS!$A:$U,21,FALSE)="","",VLOOKUP(A2426,[16]PRIORIZADOS!$A:$U,21,FALSE)),"")</f>
        <v>Valoración del Plan de mejoramiento y sus evidencias. Revisión de avances en la nueva autoevaluación y la respectiva priorización 2026.</v>
      </c>
    </row>
    <row r="2427" spans="1:21" s="1" customFormat="1" ht="84">
      <c r="A2427" s="69">
        <f>IF([16]PRIORIZADOS!A16="","",[16]PRIORIZADOS!A16)</f>
        <v>2399</v>
      </c>
      <c r="B2427" s="70">
        <v>1</v>
      </c>
      <c r="C2427" s="261" t="str">
        <f>IFERROR(IF(VLOOKUP(A2427,[16]PRIORIZADOS!$A:$C,3,FALSE)="","",VLOOKUP(A2427,[16]PRIORIZADOS!$A:$C,3,FALSE)),"")</f>
        <v>TUNJUELITO</v>
      </c>
      <c r="D2427" s="261" t="str">
        <f>IFERROR(IF(VLOOKUP(A2427,[16]PRIORIZADOS!$A:$D,4,FALSE)="","",VLOOKUP(A2427,[16]PRIORIZADOS!$A:$D,4,FALSE)),"")</f>
        <v>PRIVADO</v>
      </c>
      <c r="E2427" s="261" t="str">
        <f>IFERROR(IF(VLOOKUP(A2427,[16]PRIORIZADOS!$A:$E,5,FALSE)="","",VLOOKUP(A2427,[16]PRIORIZADOS!$A:$E,5,FALSE)),"")</f>
        <v>Educación de Jóvenes y Adultos</v>
      </c>
      <c r="F2427" s="261" t="str">
        <f>IFERROR(IF(VLOOKUP(A2427,[16]PRIORIZADOS!$A:$F,6,FALSE)="","",VLOOKUP(A2427,[16]PRIORIZADOS!$A:$F,6,FALSE)),"")</f>
        <v>CENTRO_EDUCATIVO_SURAMERICANO</v>
      </c>
      <c r="G2427" s="261" t="str">
        <f>IFERROR(IF(VLOOKUP(A2427,[16]PRIORIZADOS!$A:$G,7,FALSE)="","",VLOOKUP(A2427,[16]PRIORIZADOS!$A:$G,7,FALSE)),"")</f>
        <v>CENTRO EDUCATIVO SURAMERICANO</v>
      </c>
      <c r="H2427" s="261" t="str">
        <f>IFERROR(IF(VLOOKUP(A2427,[16]PRIORIZADOS!$A:$H,8,FALSE)="","",VLOOKUP(A2427,[16]PRIORIZADOS!$A:$H,8,FALSE)),"")</f>
        <v>Autoevaluación Institucional y Pruebas SABER 11</v>
      </c>
      <c r="I2427" s="261" t="str">
        <f>IFERROR(IF(VLOOKUP(A2427,[16]PRIORIZADOS!$A:$I,9,FALSE)="","",VLOOKUP(A2427,[16]PRIORIZADOS!$A:$I,9,FALSE)),"")</f>
        <v>EVALUACIÓN_CON_FINES_DE_MEJORAMIENTO.</v>
      </c>
      <c r="J2427" s="261" t="str">
        <f>IFERROR(IF(VLOOKUP(A2427,[16]PRIORIZADOS!$A:$J,10,FALSE)="","",VLOOKUP(A2427,[16]PRIORIZADOS!$A:$J,10,FALSE)),"")</f>
        <v>Verificar el funcionamiento del Gobierno Escolar e instancias de participación con base en la información sobre conformación reportada por la institución educativa.</v>
      </c>
      <c r="K2427" s="261" t="str">
        <f>IFERROR(IF(VLOOKUP(A2427,[16]PRIORIZADOS!$A:$K,11,FALSE)="","",VLOOKUP(A2427,[16]PRIORIZADOS!$A:$K,11,FALSE)),"")</f>
        <v>NELSON AUGUSTO CUBILLOS OLARTE</v>
      </c>
      <c r="L2427" s="261" t="str">
        <f>IFERROR(IF(VLOOKUP(A2427,[16]PRIORIZADOS!$A:$L,12,FALSE)="","",VLOOKUP(A2427,[16]PRIORIZADOS!$A:$L,12,FALSE)),"")</f>
        <v xml:space="preserve">SANDRA JAZMÍN BAQUERO CÓRDOBA
NELSON AUGUSTO CUBILLOS OLARTE
CLAUDIA PATRICIA GRANADOS FLÓREZ
</v>
      </c>
      <c r="M2427" s="262">
        <f>IFERROR(IF(VLOOKUP(A2427,[16]PRIORIZADOS!$A:$M,13,FALSE)="","",VLOOKUP(A2427,[16]PRIORIZADOS!$A:$M,13,FALSE)),"")</f>
        <v>45784</v>
      </c>
      <c r="N2427" s="262">
        <f>IFERROR(IF(VLOOKUP(A2427,[16]PRIORIZADOS!$A:$N,14,FALSE)="","",VLOOKUP(A2427,[16]PRIORIZADOS!$A:$N,14,FALSE)),"")</f>
        <v>45793</v>
      </c>
      <c r="O2427" s="262">
        <f>IFERROR(IF(VLOOKUP(A2427,[16]PRIORIZADOS!$A:$O,15,FALSE)="","",VLOOKUP(A2427,[16]PRIORIZADOS!$A:$O,15,FALSE)),"")</f>
        <v>45793</v>
      </c>
      <c r="P2427" s="261" t="str">
        <f>IFERROR(IF(VLOOKUP(A2427,[16]PRIORIZADOS!$A:$P,16,FALSE)="","",VLOOKUP(A2427,[16]PRIORIZADOS!$A:$P,16,FALSE)),"")</f>
        <v>Visitas de evaluación con fines de mejoramiento</v>
      </c>
      <c r="Q2427" s="107" t="s">
        <v>483</v>
      </c>
      <c r="R2427" s="261" t="str">
        <f>IFERROR(IF(VLOOKUP(A2427,[16]PRIORIZADOS!$A:$R,18,FALSE)="","",VLOOKUP(A2427,[16]PRIORIZADOS!$A:$R,18,FALSE)),"")</f>
        <v>Se encuentra en revisión la subsanación que es de forma, no obstante faltan actas que evidencien su operatividad con sus reglamentos respectivos.</v>
      </c>
      <c r="S2427" s="261" t="str">
        <f>IFERROR(IF(VLOOKUP(A2427,[16]PRIORIZADOS!$A:$S,19,FALSE)="","",VLOOKUP(A2427,[16]PRIORIZADOS!$A:$S,19,FALSE)),"")</f>
        <v>Se deben estructurar los cronogramas de cada una de las instancias y sus reglamenteos.</v>
      </c>
      <c r="T2427" s="70" t="str">
        <f>IFERROR(IF(VLOOKUP(A2427,[16]PRIORIZADOS!$A:$T,20,FALSE)="","",VLOOKUP(A2427,[16]PRIORIZADOS!$A:$T,20,FALSE)),"")</f>
        <v>Si</v>
      </c>
      <c r="U2427" s="11" t="str">
        <f>IFERROR(IF(VLOOKUP(A2427,[16]PRIORIZADOS!$A:$U,21,FALSE)="","",VLOOKUP(A2427,[16]PRIORIZADOS!$A:$U,21,FALSE)),"")</f>
        <v>Valoración del Plan de mejoramiento y sus evidencias. Revisión de avances en la nueva autoevaluación y la respectiva priorización 2026.</v>
      </c>
    </row>
    <row r="2428" spans="1:21" s="1" customFormat="1" ht="84">
      <c r="A2428" s="69">
        <f>IF([16]PRIORIZADOS!A17="","",[16]PRIORIZADOS!A17)</f>
        <v>2400</v>
      </c>
      <c r="B2428" s="70">
        <v>1</v>
      </c>
      <c r="C2428" s="261" t="str">
        <f>IFERROR(IF(VLOOKUP(A2428,[16]PRIORIZADOS!$A:$C,3,FALSE)="","",VLOOKUP(A2428,[16]PRIORIZADOS!$A:$C,3,FALSE)),"")</f>
        <v>TUNJUELITO</v>
      </c>
      <c r="D2428" s="261" t="str">
        <f>IFERROR(IF(VLOOKUP(A2428,[16]PRIORIZADOS!$A:$D,4,FALSE)="","",VLOOKUP(A2428,[16]PRIORIZADOS!$A:$D,4,FALSE)),"")</f>
        <v>PRIVADO</v>
      </c>
      <c r="E2428" s="261" t="str">
        <f>IFERROR(IF(VLOOKUP(A2428,[16]PRIORIZADOS!$A:$E,5,FALSE)="","",VLOOKUP(A2428,[16]PRIORIZADOS!$A:$E,5,FALSE)),"")</f>
        <v>Educación de Jóvenes y Adultos</v>
      </c>
      <c r="F2428" s="261" t="str">
        <f>IFERROR(IF(VLOOKUP(A2428,[16]PRIORIZADOS!$A:$F,6,FALSE)="","",VLOOKUP(A2428,[16]PRIORIZADOS!$A:$F,6,FALSE)),"")</f>
        <v>CENTRO_EDUCATIVO_SURAMERICANO</v>
      </c>
      <c r="G2428" s="261" t="str">
        <f>IFERROR(IF(VLOOKUP(A2428,[16]PRIORIZADOS!$A:$G,7,FALSE)="","",VLOOKUP(A2428,[16]PRIORIZADOS!$A:$G,7,FALSE)),"")</f>
        <v>CENTRO EDUCATIVO SURAMERICANO</v>
      </c>
      <c r="H2428" s="261" t="str">
        <f>IFERROR(IF(VLOOKUP(A2428,[16]PRIORIZADOS!$A:$H,8,FALSE)="","",VLOOKUP(A2428,[16]PRIORIZADOS!$A:$H,8,FALSE)),"")</f>
        <v>Autoevaluación Institucional y Pruebas SABER 11</v>
      </c>
      <c r="I2428" s="261" t="str">
        <f>IFERROR(IF(VLOOKUP(A2428,[16]PRIORIZADOS!$A:$I,9,FALSE)="","",VLOOKUP(A2428,[16]PRIORIZADOS!$A:$I,9,FALSE)),"")</f>
        <v>EVALUACIÓN_CON_FINES_DE_MEJORAMIENTO.</v>
      </c>
      <c r="J2428" s="261" t="str">
        <f>IFERROR(IF(VLOOKUP(A2428,[16]PRIORIZADOS!$A:$J,10,FALSE)="","",VLOOKUP(A2428,[16]PRIORIZADOS!$A:$J,10,FALSE)),"")</f>
        <v>Verificar las condiciones en cuanto a: la estructura administrativa, condiciones de la planta física y medios educativos adecuados.</v>
      </c>
      <c r="K2428" s="261" t="str">
        <f>IFERROR(IF(VLOOKUP(A2428,[16]PRIORIZADOS!$A:$K,11,FALSE)="","",VLOOKUP(A2428,[16]PRIORIZADOS!$A:$K,11,FALSE)),"")</f>
        <v>NELSON AUGUSTO CUBILLOS OLARTE</v>
      </c>
      <c r="L2428" s="261" t="str">
        <f>IFERROR(IF(VLOOKUP(A2428,[16]PRIORIZADOS!$A:$L,12,FALSE)="","",VLOOKUP(A2428,[16]PRIORIZADOS!$A:$L,12,FALSE)),"")</f>
        <v xml:space="preserve">SANDRA JAZMÍN BAQUERO CÓRDOBA
NELSON AUGUSTO CUBILLOS OLARTE
CLAUDIA PATRICIA GRANADOS FLÓREZ
</v>
      </c>
      <c r="M2428" s="262">
        <f>IFERROR(IF(VLOOKUP(A2428,[16]PRIORIZADOS!$A:$M,13,FALSE)="","",VLOOKUP(A2428,[16]PRIORIZADOS!$A:$M,13,FALSE)),"")</f>
        <v>45784</v>
      </c>
      <c r="N2428" s="262">
        <f>IFERROR(IF(VLOOKUP(A2428,[16]PRIORIZADOS!$A:$N,14,FALSE)="","",VLOOKUP(A2428,[16]PRIORIZADOS!$A:$N,14,FALSE)),"")</f>
        <v>45793</v>
      </c>
      <c r="O2428" s="262">
        <f>IFERROR(IF(VLOOKUP(A2428,[16]PRIORIZADOS!$A:$O,15,FALSE)="","",VLOOKUP(A2428,[16]PRIORIZADOS!$A:$O,15,FALSE)),"")</f>
        <v>45793</v>
      </c>
      <c r="P2428" s="261" t="str">
        <f>IFERROR(IF(VLOOKUP(A2428,[16]PRIORIZADOS!$A:$P,16,FALSE)="","",VLOOKUP(A2428,[16]PRIORIZADOS!$A:$P,16,FALSE)),"")</f>
        <v>Visitas de evaluación con fines de seguimiento</v>
      </c>
      <c r="Q2428" s="126" t="s">
        <v>483</v>
      </c>
      <c r="R2428" s="261" t="str">
        <f>IFERROR(IF(VLOOKUP(A2428,[16]PRIORIZADOS!$A:$R,18,FALSE)="","",VLOOKUP(A2428,[16]PRIORIZADOS!$A:$R,18,FALSE)),"")</f>
        <v>La estructura administrativa es simple y faltan espacios de planta física escenciales para la prestación del servicio.</v>
      </c>
      <c r="S2428" s="261" t="str">
        <f>IFERROR(IF(VLOOKUP(A2428,[16]PRIORIZADOS!$A:$S,19,FALSE)="","",VLOOKUP(A2428,[16]PRIORIZADOS!$A:$S,19,FALSE)),"")</f>
        <v>Estructurar cronograma de subsanación de los pronlemas de espacios fisicos</v>
      </c>
      <c r="T2428" s="70" t="str">
        <f>IFERROR(IF(VLOOKUP(A2428,[16]PRIORIZADOS!$A:$T,20,FALSE)="","",VLOOKUP(A2428,[16]PRIORIZADOS!$A:$T,20,FALSE)),"")</f>
        <v>Si</v>
      </c>
      <c r="U2428" s="11" t="str">
        <f>IFERROR(IF(VLOOKUP(A2428,[16]PRIORIZADOS!$A:$U,21,FALSE)="","",VLOOKUP(A2428,[16]PRIORIZADOS!$A:$U,21,FALSE)),"")</f>
        <v>Valoración del Plan de mejoramiento y sus evidencias. Revisión de avances en la nueva autoevaluación y la respectiva priorización 2026.</v>
      </c>
    </row>
    <row r="2429" spans="1:21" s="1" customFormat="1" ht="84">
      <c r="A2429" s="69">
        <f>IF([16]PRIORIZADOS!A18="","",[16]PRIORIZADOS!A18)</f>
        <v>2401</v>
      </c>
      <c r="B2429" s="70">
        <f>IFERROR(IF(VLOOKUP(A2429,[16]PRIORIZADOS!$A:$B,2,FALSE)="","",VLOOKUP(A2429,[16]PRIORIZADOS!$A:$B,2,FALSE)),"")</f>
        <v>2</v>
      </c>
      <c r="C2429" s="261" t="str">
        <f>IFERROR(IF(VLOOKUP(A2429,[16]PRIORIZADOS!$A:$C,3,FALSE)="","",VLOOKUP(A2429,[16]PRIORIZADOS!$A:$C,3,FALSE)),"")</f>
        <v>TUNJUELITO</v>
      </c>
      <c r="D2429" s="261" t="str">
        <f>IFERROR(IF(VLOOKUP(A2429,[16]PRIORIZADOS!$A:$D,4,FALSE)="","",VLOOKUP(A2429,[16]PRIORIZADOS!$A:$D,4,FALSE)),"")</f>
        <v>PRIVADO</v>
      </c>
      <c r="E2429" s="261" t="str">
        <f>IFERROR(IF(VLOOKUP(A2429,[16]PRIORIZADOS!$A:$E,5,FALSE)="","",VLOOKUP(A2429,[16]PRIORIZADOS!$A:$E,5,FALSE)),"")</f>
        <v>Educación de Jóvenes y Adultos</v>
      </c>
      <c r="F2429" s="261" t="str">
        <f>IFERROR(IF(VLOOKUP(A2429,[16]PRIORIZADOS!$A:$F,6,FALSE)="","",VLOOKUP(A2429,[16]PRIORIZADOS!$A:$F,6,FALSE)),"")</f>
        <v>COLEGIO_BRITANICO</v>
      </c>
      <c r="G2429" s="261" t="str">
        <f>IFERROR(IF(VLOOKUP(A2429,[16]PRIORIZADOS!$A:$G,7,FALSE)="","",VLOOKUP(A2429,[16]PRIORIZADOS!$A:$G,7,FALSE)),"")</f>
        <v>COLEGIO BRITANICO</v>
      </c>
      <c r="H2429" s="261" t="str">
        <f>IFERROR(IF(VLOOKUP(A2429,[16]PRIORIZADOS!$A:$H,8,FALSE)="","",VLOOKUP(A2429,[16]PRIORIZADOS!$A:$H,8,FALSE)),"")</f>
        <v>Autoevaluación Institucional y Pruebas SABER 11</v>
      </c>
      <c r="I2429" s="261" t="str">
        <f>IFERROR(IF(VLOOKUP(A2429,[16]PRIORIZADOS!$A:$I,9,FALSE)="","",VLOOKUP(A2429,[16]PRIORIZADOS!$A:$I,9,FALSE)),"")</f>
        <v>SEGUIMIENTO_Y_SUPERVISIÓN.</v>
      </c>
      <c r="J2429" s="261" t="str">
        <f>IFERROR(IF(VLOOKUP(A2429,[16]PRIORIZADOS!$A:$J,10,FALSE)="","",VLOOKUP(A2429,[16]PRIORIZADOS!$A:$J,10,FALSE)),"")</f>
        <v>Realizar visitas para verificar la información registrada sobre la autoevaluación institucional en el aplicativo EVI, a los establecimientos de educación formal no oficial.</v>
      </c>
      <c r="K2429" s="261" t="str">
        <f>IFERROR(IF(VLOOKUP(A2429,[16]PRIORIZADOS!$A:$K,11,FALSE)="","",VLOOKUP(A2429,[16]PRIORIZADOS!$A:$K,11,FALSE)),"")</f>
        <v>SANDRA JAZMÍN BAQUERO CÓRDOBA</v>
      </c>
      <c r="L2429" s="261" t="str">
        <f>IFERROR(IF(VLOOKUP(A2429,[16]PRIORIZADOS!$A:$L,12,FALSE)="","",VLOOKUP(A2429,[16]PRIORIZADOS!$A:$L,12,FALSE)),"")</f>
        <v xml:space="preserve">SANDRA JAZMÍN BAQUERO CÓRDOBA
NELSON AUGUSTO CUBILLOS OLARTE
CLAUDIA PATRICIA GRANADOS FLÓREZ
</v>
      </c>
      <c r="M2429" s="262" t="str">
        <f>IFERROR(IF(VLOOKUP(A2429,[16]PRIORIZADOS!$A:$M,13,FALSE)="","",VLOOKUP(A2429,[16]PRIORIZADOS!$A:$M,13,FALSE)),"")</f>
        <v>28/03/2025</v>
      </c>
      <c r="N2429" s="262">
        <f>IFERROR(IF(VLOOKUP(A2429,[16]PRIORIZADOS!$A:$N,14,FALSE)="","",VLOOKUP(A2429,[16]PRIORIZADOS!$A:$N,14,FALSE)),"")</f>
        <v>45821</v>
      </c>
      <c r="O2429" s="262">
        <f>IFERROR(IF(VLOOKUP(A2429,[16]PRIORIZADOS!$A:$O,15,FALSE)="","",VLOOKUP(A2429,[16]PRIORIZADOS!$A:$O,15,FALSE)),"")</f>
        <v>45821</v>
      </c>
      <c r="P2429" s="261" t="str">
        <f>IFERROR(IF(VLOOKUP(A2429,[16]PRIORIZADOS!$A:$P,16,FALSE)="","",VLOOKUP(A2429,[16]PRIORIZADOS!$A:$P,16,FALSE)),"")</f>
        <v>Visitas de evaluación con fines de seguimiento</v>
      </c>
      <c r="Q2429" s="107" t="s">
        <v>484</v>
      </c>
      <c r="R2429" s="261" t="str">
        <f>IFERROR(IF(VLOOKUP(A2429,[16]PRIORIZADOS!$A:$R,18,FALSE)="","",VLOOKUP(A2429,[16]PRIORIZADOS!$A:$R,18,FALSE)),"")</f>
        <v>Le faltan algunos espacios como laboratorios, baños de discapacitados. Por otro lado, las hojas de vida de docentes cumplen con el perfil y su vinculación es mediante contratos laborales</v>
      </c>
      <c r="S2429" s="261" t="str">
        <f>IFERROR(IF(VLOOKUP(A2429,[16]PRIORIZADOS!$A:$S,19,FALSE)="","",VLOOKUP(A2429,[16]PRIORIZADOS!$A:$S,19,FALSE)),"")</f>
        <v>Debe implementar un plan de mejoramiento con el fin de cumplir con los espacios que faltan</v>
      </c>
      <c r="T2429" s="70" t="str">
        <f>IFERROR(IF(VLOOKUP(A2429,[16]PRIORIZADOS!$A:$T,20,FALSE)="","",VLOOKUP(A2429,[16]PRIORIZADOS!$A:$T,20,FALSE)),"")</f>
        <v>Si</v>
      </c>
      <c r="U2429" s="11" t="str">
        <f>IFERROR(IF(VLOOKUP(A2429,[16]PRIORIZADOS!$A:$U,21,FALSE)="","",VLOOKUP(A2429,[16]PRIORIZADOS!$A:$U,21,FALSE)),"")</f>
        <v>Presentó plan de mejoramiento el 31 de julio de 2025, se encuentra para seguimiento</v>
      </c>
    </row>
    <row r="2430" spans="1:21" s="1" customFormat="1" ht="84">
      <c r="A2430" s="69">
        <f>IF([16]PRIORIZADOS!A19="","",[16]PRIORIZADOS!A19)</f>
        <v>2402</v>
      </c>
      <c r="B2430" s="70">
        <v>2</v>
      </c>
      <c r="C2430" s="261" t="str">
        <f>IFERROR(IF(VLOOKUP(A2430,[16]PRIORIZADOS!$A:$C,3,FALSE)="","",VLOOKUP(A2430,[16]PRIORIZADOS!$A:$C,3,FALSE)),"")</f>
        <v>TUNJUELITO</v>
      </c>
      <c r="D2430" s="261" t="str">
        <f>IFERROR(IF(VLOOKUP(A2430,[16]PRIORIZADOS!$A:$D,4,FALSE)="","",VLOOKUP(A2430,[16]PRIORIZADOS!$A:$D,4,FALSE)),"")</f>
        <v>PRIVADO</v>
      </c>
      <c r="E2430" s="261" t="str">
        <f>IFERROR(IF(VLOOKUP(A2430,[16]PRIORIZADOS!$A:$E,5,FALSE)="","",VLOOKUP(A2430,[16]PRIORIZADOS!$A:$E,5,FALSE)),"")</f>
        <v>Educación de Jóvenes y Adultos</v>
      </c>
      <c r="F2430" s="261" t="str">
        <f>IFERROR(IF(VLOOKUP(A2430,[16]PRIORIZADOS!$A:$F,6,FALSE)="","",VLOOKUP(A2430,[16]PRIORIZADOS!$A:$F,6,FALSE)),"")</f>
        <v>COLEGIO_BRITANICO</v>
      </c>
      <c r="G2430" s="261" t="str">
        <f>IFERROR(IF(VLOOKUP(A2430,[16]PRIORIZADOS!$A:$G,7,FALSE)="","",VLOOKUP(A2430,[16]PRIORIZADOS!$A:$G,7,FALSE)),"")</f>
        <v>COLEGIO BRITANICO</v>
      </c>
      <c r="H2430" s="261" t="str">
        <f>IFERROR(IF(VLOOKUP(A2430,[16]PRIORIZADOS!$A:$H,8,FALSE)="","",VLOOKUP(A2430,[16]PRIORIZADOS!$A:$H,8,FALSE)),"")</f>
        <v>Autoevaluación Institucional y Pruebas SABER 11</v>
      </c>
      <c r="I2430" s="261" t="str">
        <f>IFERROR(IF(VLOOKUP(A2430,[16]PRIORIZADOS!$A:$I,9,FALSE)="","",VLOOKUP(A2430,[16]PRIORIZADOS!$A:$I,9,FALSE)),"")</f>
        <v>SEGUIMIENTO_Y_SUPERVISIÓN.</v>
      </c>
      <c r="J2430" s="261" t="str">
        <f>IFERROR(IF(VLOOKUP(A2430,[16]PRIORIZADOS!$A:$J,10,FALSE)="","",VLOOKUP(A2430,[16]PRIORIZADOS!$A:$J,10,FALSE)),"")</f>
        <v>Proponer estrategias en la formulación, verificar su elaboración y realizar seguimiento semestral al desarrollo de  las acciones establecidas en los planes de mejoramiento por pruebas SABER 11 de los establecimientos de educación formal.</v>
      </c>
      <c r="K2430" s="261" t="str">
        <f>IFERROR(IF(VLOOKUP(A2430,[16]PRIORIZADOS!$A:$K,11,FALSE)="","",VLOOKUP(A2430,[16]PRIORIZADOS!$A:$K,11,FALSE)),"")</f>
        <v>SANDRA JAZMÍN BAQUERO CÓRDOBA</v>
      </c>
      <c r="L2430" s="261" t="str">
        <f>IFERROR(IF(VLOOKUP(A2430,[16]PRIORIZADOS!$A:$L,12,FALSE)="","",VLOOKUP(A2430,[16]PRIORIZADOS!$A:$L,12,FALSE)),"")</f>
        <v xml:space="preserve">SANDRA JAZMÍN BAQUERO CÓRDOBA
NELSON AUGUSTO CUBILLOS OLARTE
CLAUDIA PATRICIA GRANADOS FLÓREZ
</v>
      </c>
      <c r="M2430" s="262">
        <f>IFERROR(IF(VLOOKUP(A2430,[16]PRIORIZADOS!$A:$M,13,FALSE)="","",VLOOKUP(A2430,[16]PRIORIZADOS!$A:$M,13,FALSE)),"")</f>
        <v>45744</v>
      </c>
      <c r="N2430" s="262">
        <f>IFERROR(IF(VLOOKUP(A2430,[16]PRIORIZADOS!$A:$N,14,FALSE)="","",VLOOKUP(A2430,[16]PRIORIZADOS!$A:$N,14,FALSE)),"")</f>
        <v>45821</v>
      </c>
      <c r="O2430" s="262">
        <f>IFERROR(IF(VLOOKUP(A2430,[16]PRIORIZADOS!$A:$O,15,FALSE)="","",VLOOKUP(A2430,[16]PRIORIZADOS!$A:$O,15,FALSE)),"")</f>
        <v>45821</v>
      </c>
      <c r="P2430" s="261" t="str">
        <f>IFERROR(IF(VLOOKUP(A2430,[16]PRIORIZADOS!$A:$P,16,FALSE)="","",VLOOKUP(A2430,[16]PRIORIZADOS!$A:$P,16,FALSE)),"")</f>
        <v>Visitas de evaluación con fines de seguimiento</v>
      </c>
      <c r="Q2430" s="107" t="s">
        <v>484</v>
      </c>
      <c r="R2430" s="261" t="str">
        <f>IFERROR(IF(VLOOKUP(A2430,[16]PRIORIZADOS!$A:$R,18,FALSE)="","",VLOOKUP(A2430,[16]PRIORIZADOS!$A:$R,18,FALSE)),"")</f>
        <v>Socializaron en acta de consejo Académico y Consejo Directivo el resultado de las pruebas saber pero no implementaron plan de mejoramiento</v>
      </c>
      <c r="S2430" s="261" t="str">
        <f>IFERROR(IF(VLOOKUP(A2430,[16]PRIORIZADOS!$A:$S,19,FALSE)="","",VLOOKUP(A2430,[16]PRIORIZADOS!$A:$S,19,FALSE)),"")</f>
        <v>Debe implementar plan de mejoramiento con base en el resultado de las pruebas saber</v>
      </c>
      <c r="T2430" s="70" t="str">
        <f>IFERROR(IF(VLOOKUP(A2430,[16]PRIORIZADOS!$A:$T,20,FALSE)="","",VLOOKUP(A2430,[16]PRIORIZADOS!$A:$T,20,FALSE)),"")</f>
        <v>Si</v>
      </c>
      <c r="U2430" s="11" t="str">
        <f>IFERROR(IF(VLOOKUP(A2430,[16]PRIORIZADOS!$A:$U,21,FALSE)="","",VLOOKUP(A2430,[16]PRIORIZADOS!$A:$U,21,FALSE)),"")</f>
        <v>Presentó plan de mejoramiento el 31 de julio de 2025, se encuentra para seguimiento</v>
      </c>
    </row>
    <row r="2431" spans="1:21" s="1" customFormat="1" ht="84">
      <c r="A2431" s="69">
        <f>IF([16]PRIORIZADOS!A20="","",[16]PRIORIZADOS!A20)</f>
        <v>2403</v>
      </c>
      <c r="B2431" s="70">
        <v>2</v>
      </c>
      <c r="C2431" s="261" t="str">
        <f>IFERROR(IF(VLOOKUP(A2431,[16]PRIORIZADOS!$A:$C,3,FALSE)="","",VLOOKUP(A2431,[16]PRIORIZADOS!$A:$C,3,FALSE)),"")</f>
        <v>TUNJUELITO</v>
      </c>
      <c r="D2431" s="261" t="str">
        <f>IFERROR(IF(VLOOKUP(A2431,[16]PRIORIZADOS!$A:$D,4,FALSE)="","",VLOOKUP(A2431,[16]PRIORIZADOS!$A:$D,4,FALSE)),"")</f>
        <v>PRIVADO</v>
      </c>
      <c r="E2431" s="261" t="str">
        <f>IFERROR(IF(VLOOKUP(A2431,[16]PRIORIZADOS!$A:$E,5,FALSE)="","",VLOOKUP(A2431,[16]PRIORIZADOS!$A:$E,5,FALSE)),"")</f>
        <v>Educación de Jóvenes y Adultos</v>
      </c>
      <c r="F2431" s="261" t="str">
        <f>IFERROR(IF(VLOOKUP(A2431,[16]PRIORIZADOS!$A:$F,6,FALSE)="","",VLOOKUP(A2431,[16]PRIORIZADOS!$A:$F,6,FALSE)),"")</f>
        <v>COLEGIO_BRITANICO</v>
      </c>
      <c r="G2431" s="261" t="str">
        <f>IFERROR(IF(VLOOKUP(A2431,[16]PRIORIZADOS!$A:$G,7,FALSE)="","",VLOOKUP(A2431,[16]PRIORIZADOS!$A:$G,7,FALSE)),"")</f>
        <v>COLEGIO BRITANICO</v>
      </c>
      <c r="H2431" s="261" t="str">
        <f>IFERROR(IF(VLOOKUP(A2431,[16]PRIORIZADOS!$A:$H,8,FALSE)="","",VLOOKUP(A2431,[16]PRIORIZADOS!$A:$H,8,FALSE)),"")</f>
        <v>Autoevaluación Institucional y Pruebas SABER 11</v>
      </c>
      <c r="I2431" s="261" t="str">
        <f>IFERROR(IF(VLOOKUP(A2431,[16]PRIORIZADOS!$A:$I,9,FALSE)="","",VLOOKUP(A2431,[16]PRIORIZADOS!$A:$I,9,FALSE)),"")</f>
        <v>SEGUIMIENTO_Y_SUPERVISIÓN.</v>
      </c>
      <c r="J2431" s="261" t="str">
        <f>IFERROR(IF(VLOOKUP(A2431,[16]PRIORIZADOS!$A:$J,10,FALSE)="","",VLOOKUP(A2431,[16]PRIORIZADOS!$A:$J,10,FALSE)),"")</f>
        <v xml:space="preserve">Verificar la implementación por parte de los colegios, de acciones realizadas para la prevención y atención de las situaciones de convivencia en el entorno escolar, según lo establecido en la Directiva 01 de 2022 del MEN. </v>
      </c>
      <c r="K2431" s="261" t="str">
        <f>IFERROR(IF(VLOOKUP(A2431,[16]PRIORIZADOS!$A:$K,11,FALSE)="","",VLOOKUP(A2431,[16]PRIORIZADOS!$A:$K,11,FALSE)),"")</f>
        <v>SANDRA JAZMÍN BAQUERO CÓRDOBA</v>
      </c>
      <c r="L2431" s="261" t="str">
        <f>IFERROR(IF(VLOOKUP(A2431,[16]PRIORIZADOS!$A:$L,12,FALSE)="","",VLOOKUP(A2431,[16]PRIORIZADOS!$A:$L,12,FALSE)),"")</f>
        <v xml:space="preserve">SANDRA JAZMÍN BAQUERO CÓRDOBA
NELSON AUGUSTO CUBILLOS OLARTE
CLAUDIA PATRICIA GRANADOS FLÓREZ
</v>
      </c>
      <c r="M2431" s="262">
        <f>IFERROR(IF(VLOOKUP(A2431,[16]PRIORIZADOS!$A:$M,13,FALSE)="","",VLOOKUP(A2431,[16]PRIORIZADOS!$A:$M,13,FALSE)),"")</f>
        <v>45744</v>
      </c>
      <c r="N2431" s="262">
        <f>IFERROR(IF(VLOOKUP(A2431,[16]PRIORIZADOS!$A:$N,14,FALSE)="","",VLOOKUP(A2431,[16]PRIORIZADOS!$A:$N,14,FALSE)),"")</f>
        <v>45821</v>
      </c>
      <c r="O2431" s="262">
        <f>IFERROR(IF(VLOOKUP(A2431,[16]PRIORIZADOS!$A:$O,15,FALSE)="","",VLOOKUP(A2431,[16]PRIORIZADOS!$A:$O,15,FALSE)),"")</f>
        <v>45821</v>
      </c>
      <c r="P2431" s="261" t="str">
        <f>IFERROR(IF(VLOOKUP(A2431,[16]PRIORIZADOS!$A:$P,16,FALSE)="","",VLOOKUP(A2431,[16]PRIORIZADOS!$A:$P,16,FALSE)),"")</f>
        <v>Visitas de evaluación con fines de seguimiento</v>
      </c>
      <c r="Q2431" s="107" t="s">
        <v>484</v>
      </c>
      <c r="R2431" s="261" t="str">
        <f>IFERROR(IF(VLOOKUP(A2431,[16]PRIORIZADOS!$A:$R,18,FALSE)="","",VLOOKUP(A2431,[16]PRIORIZADOS!$A:$R,18,FALSE)),"")</f>
        <v>Realizan la verificación de los antecedentes de los docentes cada cuatro meses pero falta implementar acciones de promoción y prevención para prevenir la violencia sevual en el Comité de conviencia</v>
      </c>
      <c r="S2431" s="261" t="str">
        <f>IFERROR(IF(VLOOKUP(A2431,[16]PRIORIZADOS!$A:$S,19,FALSE)="","",VLOOKUP(A2431,[16]PRIORIZADOS!$A:$S,19,FALSE)),"")</f>
        <v>Deben implementar acciones de promoción y prevención desde el Comité de Convivencia</v>
      </c>
      <c r="T2431" s="70" t="str">
        <f>IFERROR(IF(VLOOKUP(A2431,[16]PRIORIZADOS!$A:$T,20,FALSE)="","",VLOOKUP(A2431,[16]PRIORIZADOS!$A:$T,20,FALSE)),"")</f>
        <v>Si</v>
      </c>
      <c r="U2431" s="11" t="str">
        <f>IFERROR(IF(VLOOKUP(A2431,[16]PRIORIZADOS!$A:$U,21,FALSE)="","",VLOOKUP(A2431,[16]PRIORIZADOS!$A:$U,21,FALSE)),"")</f>
        <v>Presentó plan de mejoramiento el 31 de julio de 2025, se encuentra para seguimiento</v>
      </c>
    </row>
    <row r="2432" spans="1:21" s="1" customFormat="1" ht="84">
      <c r="A2432" s="69">
        <f>IF([16]PRIORIZADOS!A21="","",[16]PRIORIZADOS!A21)</f>
        <v>2404</v>
      </c>
      <c r="B2432" s="70">
        <v>2</v>
      </c>
      <c r="C2432" s="261" t="str">
        <f>IFERROR(IF(VLOOKUP(A2432,[16]PRIORIZADOS!$A:$C,3,FALSE)="","",VLOOKUP(A2432,[16]PRIORIZADOS!$A:$C,3,FALSE)),"")</f>
        <v>TUNJUELITO</v>
      </c>
      <c r="D2432" s="261" t="str">
        <f>IFERROR(IF(VLOOKUP(A2432,[16]PRIORIZADOS!$A:$D,4,FALSE)="","",VLOOKUP(A2432,[16]PRIORIZADOS!$A:$D,4,FALSE)),"")</f>
        <v>PRIVADO</v>
      </c>
      <c r="E2432" s="261" t="str">
        <f>IFERROR(IF(VLOOKUP(A2432,[16]PRIORIZADOS!$A:$E,5,FALSE)="","",VLOOKUP(A2432,[16]PRIORIZADOS!$A:$E,5,FALSE)),"")</f>
        <v>Educación de Jóvenes y Adultos</v>
      </c>
      <c r="F2432" s="261" t="str">
        <f>IFERROR(IF(VLOOKUP(A2432,[16]PRIORIZADOS!$A:$F,6,FALSE)="","",VLOOKUP(A2432,[16]PRIORIZADOS!$A:$F,6,FALSE)),"")</f>
        <v>COLEGIO_BRITANICO</v>
      </c>
      <c r="G2432" s="261" t="str">
        <f>IFERROR(IF(VLOOKUP(A2432,[16]PRIORIZADOS!$A:$G,7,FALSE)="","",VLOOKUP(A2432,[16]PRIORIZADOS!$A:$G,7,FALSE)),"")</f>
        <v>COLEGIO BRITANICO</v>
      </c>
      <c r="H2432" s="261" t="str">
        <f>IFERROR(IF(VLOOKUP(A2432,[16]PRIORIZADOS!$A:$H,8,FALSE)="","",VLOOKUP(A2432,[16]PRIORIZADOS!$A:$H,8,FALSE)),"")</f>
        <v>Autoevaluación Institucional y Pruebas SABER 11</v>
      </c>
      <c r="I2432" s="261" t="str">
        <f>IFERROR(IF(VLOOKUP(A2432,[16]PRIORIZADOS!$A:$I,9,FALSE)="","",VLOOKUP(A2432,[16]PRIORIZADOS!$A:$I,9,FALSE)),"")</f>
        <v>SEGUIMIENTO_Y_SUPERVISIÓN.</v>
      </c>
      <c r="J2432" s="261" t="str">
        <f>IFERROR(IF(VLOOKUP(A2432,[16]PRIORIZADOS!$A:$J,10,FALSE)="","",VLOOKUP(A2432,[16]PRIORIZADOS!$A:$J,10,FALSE)),"")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32" s="261" t="str">
        <f>IFERROR(IF(VLOOKUP(A2432,[16]PRIORIZADOS!$A:$K,11,FALSE)="","",VLOOKUP(A2432,[16]PRIORIZADOS!$A:$K,11,FALSE)),"")</f>
        <v>SANDRA JAZMÍN BAQUERO CÓRDOBA</v>
      </c>
      <c r="L2432" s="261" t="str">
        <f>IFERROR(IF(VLOOKUP(A2432,[16]PRIORIZADOS!$A:$L,12,FALSE)="","",VLOOKUP(A2432,[16]PRIORIZADOS!$A:$L,12,FALSE)),"")</f>
        <v xml:space="preserve">SANDRA JAZMÍN BAQUERO CÓRDOBA
NELSON AUGUSTO CUBILLOS OLARTE
CLAUDIA PATRICIA GRANADOS FLÓREZ
</v>
      </c>
      <c r="M2432" s="262">
        <f>IFERROR(IF(VLOOKUP(A2432,[16]PRIORIZADOS!$A:$M,13,FALSE)="","",VLOOKUP(A2432,[16]PRIORIZADOS!$A:$M,13,FALSE)),"")</f>
        <v>45744</v>
      </c>
      <c r="N2432" s="262">
        <f>IFERROR(IF(VLOOKUP(A2432,[16]PRIORIZADOS!$A:$N,14,FALSE)="","",VLOOKUP(A2432,[16]PRIORIZADOS!$A:$N,14,FALSE)),"")</f>
        <v>45821</v>
      </c>
      <c r="O2432" s="262">
        <f>IFERROR(IF(VLOOKUP(A2432,[16]PRIORIZADOS!$A:$O,15,FALSE)="","",VLOOKUP(A2432,[16]PRIORIZADOS!$A:$O,15,FALSE)),"")</f>
        <v>45821</v>
      </c>
      <c r="P2432" s="261" t="str">
        <f>IFERROR(IF(VLOOKUP(A2432,[16]PRIORIZADOS!$A:$P,16,FALSE)="","",VLOOKUP(A2432,[16]PRIORIZADOS!$A:$P,16,FALSE)),"")</f>
        <v>Visitas de evaluación con fines de seguimiento</v>
      </c>
      <c r="Q2432" s="107" t="s">
        <v>484</v>
      </c>
      <c r="R2432" s="261" t="str">
        <f>IFERROR(IF(VLOOKUP(A2432,[16]PRIORIZADOS!$A:$R,18,FALSE)="","",VLOOKUP(A2432,[16]PRIORIZADOS!$A:$R,18,FALSE)),"")</f>
        <v>Aunque realizan el seguimiento a los estudiantes con discapacidad no todos los PIAR se encuentran en el formato oficial y no todos están firmados</v>
      </c>
      <c r="S2432" s="261" t="str">
        <f>IFERROR(IF(VLOOKUP(A2432,[16]PRIORIZADOS!$A:$S,19,FALSE)="","",VLOOKUP(A2432,[16]PRIORIZADOS!$A:$S,19,FALSE)),"")</f>
        <v>Deben utilizar el formato oficial  y debe estar debidamente firmado</v>
      </c>
      <c r="T2432" s="70" t="str">
        <f>IFERROR(IF(VLOOKUP(A2432,[16]PRIORIZADOS!$A:$T,20,FALSE)="","",VLOOKUP(A2432,[16]PRIORIZADOS!$A:$T,20,FALSE)),"")</f>
        <v>Si</v>
      </c>
      <c r="U2432" s="11" t="str">
        <f>IFERROR(IF(VLOOKUP(A2432,[16]PRIORIZADOS!$A:$U,21,FALSE)="","",VLOOKUP(A2432,[16]PRIORIZADOS!$A:$U,21,FALSE)),"")</f>
        <v>Presentó plan de mejoramiento el 31 de julio de 2025, se encuentra para seguimiento</v>
      </c>
    </row>
    <row r="2433" spans="1:21" s="1" customFormat="1" ht="84">
      <c r="A2433" s="69">
        <f>IF([16]PRIORIZADOS!A22="","",[16]PRIORIZADOS!A22)</f>
        <v>2405</v>
      </c>
      <c r="B2433" s="70">
        <v>2</v>
      </c>
      <c r="C2433" s="261" t="str">
        <f>IFERROR(IF(VLOOKUP(A2433,[16]PRIORIZADOS!$A:$C,3,FALSE)="","",VLOOKUP(A2433,[16]PRIORIZADOS!$A:$C,3,FALSE)),"")</f>
        <v>TUNJUELITO</v>
      </c>
      <c r="D2433" s="261" t="str">
        <f>IFERROR(IF(VLOOKUP(A2433,[16]PRIORIZADOS!$A:$D,4,FALSE)="","",VLOOKUP(A2433,[16]PRIORIZADOS!$A:$D,4,FALSE)),"")</f>
        <v>PRIVADO</v>
      </c>
      <c r="E2433" s="261" t="str">
        <f>IFERROR(IF(VLOOKUP(A2433,[16]PRIORIZADOS!$A:$E,5,FALSE)="","",VLOOKUP(A2433,[16]PRIORIZADOS!$A:$E,5,FALSE)),"")</f>
        <v>Educación de Jóvenes y Adultos</v>
      </c>
      <c r="F2433" s="261" t="str">
        <f>IFERROR(IF(VLOOKUP(A2433,[16]PRIORIZADOS!$A:$F,6,FALSE)="","",VLOOKUP(A2433,[16]PRIORIZADOS!$A:$F,6,FALSE)),"")</f>
        <v>COLEGIO_BRITANICO</v>
      </c>
      <c r="G2433" s="261" t="str">
        <f>IFERROR(IF(VLOOKUP(A2433,[16]PRIORIZADOS!$A:$G,7,FALSE)="","",VLOOKUP(A2433,[16]PRIORIZADOS!$A:$G,7,FALSE)),"")</f>
        <v>COLEGIO BRITANICO</v>
      </c>
      <c r="H2433" s="261" t="str">
        <f>IFERROR(IF(VLOOKUP(A2433,[16]PRIORIZADOS!$A:$H,8,FALSE)="","",VLOOKUP(A2433,[16]PRIORIZADOS!$A:$H,8,FALSE)),"")</f>
        <v>Autoevaluación Institucional y Pruebas SABER 11</v>
      </c>
      <c r="I2433" s="261" t="str">
        <f>IFERROR(IF(VLOOKUP(A2433,[16]PRIORIZADOS!$A:$I,9,FALSE)="","",VLOOKUP(A2433,[16]PRIORIZADOS!$A:$I,9,FALSE)),"")</f>
        <v>EVALUACIÓN_CON_FINES_DE_MEJORAMIENTO.</v>
      </c>
      <c r="J2433" s="261" t="str">
        <f>IFERROR(IF(VLOOKUP(A2433,[16]PRIORIZADOS!$A:$J,10,FALSE)="","",VLOOKUP(A2433,[16]PRIORIZADOS!$A:$J,10,FALSE)),"")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33" s="261" t="str">
        <f>IFERROR(IF(VLOOKUP(A2433,[16]PRIORIZADOS!$A:$K,11,FALSE)="","",VLOOKUP(A2433,[16]PRIORIZADOS!$A:$K,11,FALSE)),"")</f>
        <v>SANDRA JAZMÍN BAQUERO CÓRDOBA</v>
      </c>
      <c r="L2433" s="261" t="str">
        <f>IFERROR(IF(VLOOKUP(A2433,[16]PRIORIZADOS!$A:$L,12,FALSE)="","",VLOOKUP(A2433,[16]PRIORIZADOS!$A:$L,12,FALSE)),"")</f>
        <v xml:space="preserve">SANDRA JAZMÍN BAQUERO CÓRDOBA
NELSON AUGUSTO CUBILLOS OLARTE
CLAUDIA PATRICIA GRANADOS FLÓREZ
</v>
      </c>
      <c r="M2433" s="262">
        <f>IFERROR(IF(VLOOKUP(A2433,[16]PRIORIZADOS!$A:$M,13,FALSE)="","",VLOOKUP(A2433,[16]PRIORIZADOS!$A:$M,13,FALSE)),"")</f>
        <v>45744</v>
      </c>
      <c r="N2433" s="262">
        <f>IFERROR(IF(VLOOKUP(A2433,[16]PRIORIZADOS!$A:$N,14,FALSE)="","",VLOOKUP(A2433,[16]PRIORIZADOS!$A:$N,14,FALSE)),"")</f>
        <v>45821</v>
      </c>
      <c r="O2433" s="262">
        <f>IFERROR(IF(VLOOKUP(A2433,[16]PRIORIZADOS!$A:$O,15,FALSE)="","",VLOOKUP(A2433,[16]PRIORIZADOS!$A:$O,15,FALSE)),"")</f>
        <v>45821</v>
      </c>
      <c r="P2433" s="261" t="str">
        <f>IFERROR(IF(VLOOKUP(A2433,[16]PRIORIZADOS!$A:$P,16,FALSE)="","",VLOOKUP(A2433,[16]PRIORIZADOS!$A:$P,16,FALSE)),"")</f>
        <v>Visitas de evaluación con fines de mejoramiento</v>
      </c>
      <c r="Q2433" s="107" t="s">
        <v>484</v>
      </c>
      <c r="R2433" s="261" t="str">
        <f>IFERROR(IF(VLOOKUP(A2433,[16]PRIORIZADOS!$A:$R,18,FALSE)="","",VLOOKUP(A2433,[16]PRIORIZADOS!$A:$R,18,FALSE)),"")</f>
        <v>Se encontró que enuncia el enfoque restaurativo, pero no lo desarrolla al igual que los demás enfoques y en cuanto al debido proceso no establece los recursos de ley ni especifica los pasos con claridad</v>
      </c>
      <c r="S2433" s="261" t="str">
        <f>IFERROR(IF(VLOOKUP(A2433,[16]PRIORIZADOS!$A:$S,19,FALSE)="","",VLOOKUP(A2433,[16]PRIORIZADOS!$A:$S,19,FALSE)),"")</f>
        <v xml:space="preserve">Debe actualizar el manual de convivencia implementado los diferentes enfoques y el debido proceso </v>
      </c>
      <c r="T2433" s="70" t="str">
        <f>IFERROR(IF(VLOOKUP(A2433,[16]PRIORIZADOS!$A:$T,20,FALSE)="","",VLOOKUP(A2433,[16]PRIORIZADOS!$A:$T,20,FALSE)),"")</f>
        <v>Si</v>
      </c>
      <c r="U2433" s="11" t="str">
        <f>IFERROR(IF(VLOOKUP(A2433,[16]PRIORIZADOS!$A:$U,21,FALSE)="","",VLOOKUP(A2433,[16]PRIORIZADOS!$A:$U,21,FALSE)),"")</f>
        <v>Presentó plan de mejoramiento el 31 de julio de 2025, se encuentra para seguimiento</v>
      </c>
    </row>
    <row r="2434" spans="1:21" s="1" customFormat="1" ht="84">
      <c r="A2434" s="69">
        <f>IF([16]PRIORIZADOS!A23="","",[16]PRIORIZADOS!A23)</f>
        <v>2406</v>
      </c>
      <c r="B2434" s="70">
        <v>2</v>
      </c>
      <c r="C2434" s="261" t="str">
        <f>IFERROR(IF(VLOOKUP(A2434,[16]PRIORIZADOS!$A:$C,3,FALSE)="","",VLOOKUP(A2434,[16]PRIORIZADOS!$A:$C,3,FALSE)),"")</f>
        <v>TUNJUELITO</v>
      </c>
      <c r="D2434" s="261" t="str">
        <f>IFERROR(IF(VLOOKUP(A2434,[16]PRIORIZADOS!$A:$D,4,FALSE)="","",VLOOKUP(A2434,[16]PRIORIZADOS!$A:$D,4,FALSE)),"")</f>
        <v>PRIVADO</v>
      </c>
      <c r="E2434" s="261" t="str">
        <f>IFERROR(IF(VLOOKUP(A2434,[16]PRIORIZADOS!$A:$E,5,FALSE)="","",VLOOKUP(A2434,[16]PRIORIZADOS!$A:$E,5,FALSE)),"")</f>
        <v>Educación de Jóvenes y Adultos</v>
      </c>
      <c r="F2434" s="261" t="str">
        <f>IFERROR(IF(VLOOKUP(A2434,[16]PRIORIZADOS!$A:$F,6,FALSE)="","",VLOOKUP(A2434,[16]PRIORIZADOS!$A:$F,6,FALSE)),"")</f>
        <v>COLEGIO_BRITANICO</v>
      </c>
      <c r="G2434" s="261" t="str">
        <f>IFERROR(IF(VLOOKUP(A2434,[16]PRIORIZADOS!$A:$G,7,FALSE)="","",VLOOKUP(A2434,[16]PRIORIZADOS!$A:$G,7,FALSE)),"")</f>
        <v>COLEGIO BRITANICO</v>
      </c>
      <c r="H2434" s="261" t="str">
        <f>IFERROR(IF(VLOOKUP(A2434,[16]PRIORIZADOS!$A:$H,8,FALSE)="","",VLOOKUP(A2434,[16]PRIORIZADOS!$A:$H,8,FALSE)),"")</f>
        <v>Autoevaluación Institucional y Pruebas SABER 11</v>
      </c>
      <c r="I2434" s="261" t="str">
        <f>IFERROR(IF(VLOOKUP(A2434,[16]PRIORIZADOS!$A:$I,9,FALSE)="","",VLOOKUP(A2434,[16]PRIORIZADOS!$A:$I,9,FALSE)),"")</f>
        <v>EVALUACIÓN_CON_FINES_DE_MEJORAMIENTO.</v>
      </c>
      <c r="J2434" s="261" t="str">
        <f>IFERROR(IF(VLOOKUP(A2434,[16]PRIORIZADOS!$A:$J,10,FALSE)="","",VLOOKUP(A2434,[16]PRIORIZADOS!$A:$J,10,FALSE)),"")</f>
        <v>Revisar la actualización, socialización e implementación del Sistema Institucional de Evaluación de Estudiantes - SIEE, en articulación con la actualización del PEI y la normatividad vigente.</v>
      </c>
      <c r="K2434" s="261" t="str">
        <f>IFERROR(IF(VLOOKUP(A2434,[16]PRIORIZADOS!$A:$K,11,FALSE)="","",VLOOKUP(A2434,[16]PRIORIZADOS!$A:$K,11,FALSE)),"")</f>
        <v>SANDRA JAZMÍN BAQUERO CÓRDOBA</v>
      </c>
      <c r="L2434" s="261" t="str">
        <f>IFERROR(IF(VLOOKUP(A2434,[16]PRIORIZADOS!$A:$L,12,FALSE)="","",VLOOKUP(A2434,[16]PRIORIZADOS!$A:$L,12,FALSE)),"")</f>
        <v xml:space="preserve">SANDRA JAZMÍN BAQUERO CÓRDOBA
NELSON AUGUSTO CUBILLOS OLARTE
CLAUDIA PATRICIA GRANADOS FLÓREZ
</v>
      </c>
      <c r="M2434" s="262">
        <f>IFERROR(IF(VLOOKUP(A2434,[16]PRIORIZADOS!$A:$M,13,FALSE)="","",VLOOKUP(A2434,[16]PRIORIZADOS!$A:$M,13,FALSE)),"")</f>
        <v>45744</v>
      </c>
      <c r="N2434" s="262">
        <f>IFERROR(IF(VLOOKUP(A2434,[16]PRIORIZADOS!$A:$N,14,FALSE)="","",VLOOKUP(A2434,[16]PRIORIZADOS!$A:$N,14,FALSE)),"")</f>
        <v>45821</v>
      </c>
      <c r="O2434" s="262">
        <f>IFERROR(IF(VLOOKUP(A2434,[16]PRIORIZADOS!$A:$O,15,FALSE)="","",VLOOKUP(A2434,[16]PRIORIZADOS!$A:$O,15,FALSE)),"")</f>
        <v>45821</v>
      </c>
      <c r="P2434" s="261" t="str">
        <f>IFERROR(IF(VLOOKUP(A2434,[16]PRIORIZADOS!$A:$P,16,FALSE)="","",VLOOKUP(A2434,[16]PRIORIZADOS!$A:$P,16,FALSE)),"")</f>
        <v>Visitas de evaluación con fines de mejoramiento</v>
      </c>
      <c r="Q2434" s="107" t="s">
        <v>484</v>
      </c>
      <c r="R2434" s="261" t="str">
        <f>IFERROR(IF(VLOOKUP(A2434,[16]PRIORIZADOS!$A:$R,18,FALSE)="","",VLOOKUP(A2434,[16]PRIORIZADOS!$A:$R,18,FALSE)),"")</f>
        <v>Se encontró que está debidamente socializado, pero debe incluir las comisiones de  evaluación y promoción que se encuentran funcionando pero no se incluye la conformación ni las funciones</v>
      </c>
      <c r="S2434" s="261" t="str">
        <f>IFERROR(IF(VLOOKUP(A2434,[16]PRIORIZADOS!$A:$S,19,FALSE)="","",VLOOKUP(A2434,[16]PRIORIZADOS!$A:$S,19,FALSE)),"")</f>
        <v>Debe incluir las comisiones de  evaluación y promoción que se encuentran funcionando pero no se incluye la conformación ni las funciones</v>
      </c>
      <c r="T2434" s="70" t="str">
        <f>IFERROR(IF(VLOOKUP(A2434,[16]PRIORIZADOS!$A:$T,20,FALSE)="","",VLOOKUP(A2434,[16]PRIORIZADOS!$A:$T,20,FALSE)),"")</f>
        <v>Si</v>
      </c>
      <c r="U2434" s="11" t="str">
        <f>IFERROR(IF(VLOOKUP(A2434,[16]PRIORIZADOS!$A:$U,21,FALSE)="","",VLOOKUP(A2434,[16]PRIORIZADOS!$A:$U,21,FALSE)),"")</f>
        <v>Presentó plan de mejoramiento el 31 de julio de 2025, se encuentra para seguimiento</v>
      </c>
    </row>
    <row r="2435" spans="1:21" s="1" customFormat="1" ht="84">
      <c r="A2435" s="69">
        <f>IF([16]PRIORIZADOS!A24="","",[16]PRIORIZADOS!A24)</f>
        <v>2407</v>
      </c>
      <c r="B2435" s="70">
        <v>2</v>
      </c>
      <c r="C2435" s="261" t="str">
        <f>IFERROR(IF(VLOOKUP(A2435,[16]PRIORIZADOS!$A:$C,3,FALSE)="","",VLOOKUP(A2435,[16]PRIORIZADOS!$A:$C,3,FALSE)),"")</f>
        <v>TUNJUELITO</v>
      </c>
      <c r="D2435" s="261" t="str">
        <f>IFERROR(IF(VLOOKUP(A2435,[16]PRIORIZADOS!$A:$D,4,FALSE)="","",VLOOKUP(A2435,[16]PRIORIZADOS!$A:$D,4,FALSE)),"")</f>
        <v>PRIVADO</v>
      </c>
      <c r="E2435" s="261" t="str">
        <f>IFERROR(IF(VLOOKUP(A2435,[16]PRIORIZADOS!$A:$E,5,FALSE)="","",VLOOKUP(A2435,[16]PRIORIZADOS!$A:$E,5,FALSE)),"")</f>
        <v>Educación de Jóvenes y Adultos</v>
      </c>
      <c r="F2435" s="261" t="str">
        <f>IFERROR(IF(VLOOKUP(A2435,[16]PRIORIZADOS!$A:$F,6,FALSE)="","",VLOOKUP(A2435,[16]PRIORIZADOS!$A:$F,6,FALSE)),"")</f>
        <v>COLEGIO_BRITANICO</v>
      </c>
      <c r="G2435" s="261" t="str">
        <f>IFERROR(IF(VLOOKUP(A2435,[16]PRIORIZADOS!$A:$G,7,FALSE)="","",VLOOKUP(A2435,[16]PRIORIZADOS!$A:$G,7,FALSE)),"")</f>
        <v>COLEGIO BRITANICO</v>
      </c>
      <c r="H2435" s="261" t="str">
        <f>IFERROR(IF(VLOOKUP(A2435,[16]PRIORIZADOS!$A:$H,8,FALSE)="","",VLOOKUP(A2435,[16]PRIORIZADOS!$A:$H,8,FALSE)),"")</f>
        <v>Autoevaluación Institucional y Pruebas SABER 11</v>
      </c>
      <c r="I2435" s="261" t="str">
        <f>IFERROR(IF(VLOOKUP(A2435,[16]PRIORIZADOS!$A:$I,9,FALSE)="","",VLOOKUP(A2435,[16]PRIORIZADOS!$A:$I,9,FALSE)),"")</f>
        <v>EVALUACIÓN_CON_FINES_DE_MEJORAMIENTO.</v>
      </c>
      <c r="J2435" s="261" t="str">
        <f>IFERROR(IF(VLOOKUP(A2435,[16]PRIORIZADOS!$A:$J,10,FALSE)="","",VLOOKUP(A2435,[16]PRIORIZADOS!$A:$J,10,FALSE)),"")</f>
        <v>Revisar el calendario escolar, jornada escolar, la intensidad horaria mínima anual en cada nivel y las modificaciones que se realicen al mismo, de acuerdo con lo previsto en la normatividad vigente.</v>
      </c>
      <c r="K2435" s="261" t="str">
        <f>IFERROR(IF(VLOOKUP(A2435,[16]PRIORIZADOS!$A:$K,11,FALSE)="","",VLOOKUP(A2435,[16]PRIORIZADOS!$A:$K,11,FALSE)),"")</f>
        <v>SANDRA JAZMÍN BAQUERO CÓRDOBA</v>
      </c>
      <c r="L2435" s="261" t="str">
        <f>IFERROR(IF(VLOOKUP(A2435,[16]PRIORIZADOS!$A:$L,12,FALSE)="","",VLOOKUP(A2435,[16]PRIORIZADOS!$A:$L,12,FALSE)),"")</f>
        <v xml:space="preserve">SANDRA JAZMÍN BAQUERO CÓRDOBA
NELSON AUGUSTO CUBILLOS OLARTE
CLAUDIA PATRICIA GRANADOS FLÓREZ
</v>
      </c>
      <c r="M2435" s="262">
        <f>IFERROR(IF(VLOOKUP(A2435,[16]PRIORIZADOS!$A:$M,13,FALSE)="","",VLOOKUP(A2435,[16]PRIORIZADOS!$A:$M,13,FALSE)),"")</f>
        <v>45744</v>
      </c>
      <c r="N2435" s="262">
        <f>IFERROR(IF(VLOOKUP(A2435,[16]PRIORIZADOS!$A:$N,14,FALSE)="","",VLOOKUP(A2435,[16]PRIORIZADOS!$A:$N,14,FALSE)),"")</f>
        <v>45821</v>
      </c>
      <c r="O2435" s="262">
        <f>IFERROR(IF(VLOOKUP(A2435,[16]PRIORIZADOS!$A:$O,15,FALSE)="","",VLOOKUP(A2435,[16]PRIORIZADOS!$A:$O,15,FALSE)),"")</f>
        <v>45821</v>
      </c>
      <c r="P2435" s="261" t="str">
        <f>IFERROR(IF(VLOOKUP(A2435,[16]PRIORIZADOS!$A:$P,16,FALSE)="","",VLOOKUP(A2435,[16]PRIORIZADOS!$A:$P,16,FALSE)),"")</f>
        <v>Visitas de evaluación con fines de mejoramiento</v>
      </c>
      <c r="Q2435" s="107" t="s">
        <v>484</v>
      </c>
      <c r="R2435" s="261" t="str">
        <f>IFERROR(IF(VLOOKUP(A2435,[16]PRIORIZADOS!$A:$R,18,FALSE)="","",VLOOKUP(A2435,[16]PRIORIZADOS!$A:$R,18,FALSE)),"")</f>
        <v>Se encontró que el calendario cumple con lo establecido en la normatividad vigente</v>
      </c>
      <c r="S2435" s="261" t="str">
        <f>IFERROR(IF(VLOOKUP(A2435,[16]PRIORIZADOS!$A:$S,19,FALSE)="","",VLOOKUP(A2435,[16]PRIORIZADOS!$A:$S,19,FALSE)),"")</f>
        <v>Debe presentar el calendario para la próxima vigencia</v>
      </c>
      <c r="T2435" s="70" t="str">
        <f>IFERROR(IF(VLOOKUP(A2435,[16]PRIORIZADOS!$A:$T,20,FALSE)="","",VLOOKUP(A2435,[16]PRIORIZADOS!$A:$T,20,FALSE)),"")</f>
        <v>No</v>
      </c>
      <c r="U2435" s="11" t="str">
        <f>IFERROR(IF(VLOOKUP(A2435,[16]PRIORIZADOS!$A:$U,21,FALSE)="","",VLOOKUP(A2435,[16]PRIORIZADOS!$A:$U,21,FALSE)),"")</f>
        <v>Se revisará el calendario en el año 2026</v>
      </c>
    </row>
    <row r="2436" spans="1:21" s="1" customFormat="1" ht="84">
      <c r="A2436" s="69">
        <f>IF([16]PRIORIZADOS!A25="","",[16]PRIORIZADOS!A25)</f>
        <v>2408</v>
      </c>
      <c r="B2436" s="70">
        <v>2</v>
      </c>
      <c r="C2436" s="261" t="str">
        <f>IFERROR(IF(VLOOKUP(A2436,[16]PRIORIZADOS!$A:$C,3,FALSE)="","",VLOOKUP(A2436,[16]PRIORIZADOS!$A:$C,3,FALSE)),"")</f>
        <v>TUNJUELITO</v>
      </c>
      <c r="D2436" s="261" t="str">
        <f>IFERROR(IF(VLOOKUP(A2436,[16]PRIORIZADOS!$A:$D,4,FALSE)="","",VLOOKUP(A2436,[16]PRIORIZADOS!$A:$D,4,FALSE)),"")</f>
        <v>PRIVADO</v>
      </c>
      <c r="E2436" s="261" t="str">
        <f>IFERROR(IF(VLOOKUP(A2436,[16]PRIORIZADOS!$A:$E,5,FALSE)="","",VLOOKUP(A2436,[16]PRIORIZADOS!$A:$E,5,FALSE)),"")</f>
        <v>Educación de Jóvenes y Adultos</v>
      </c>
      <c r="F2436" s="261" t="str">
        <f>IFERROR(IF(VLOOKUP(A2436,[16]PRIORIZADOS!$A:$F,6,FALSE)="","",VLOOKUP(A2436,[16]PRIORIZADOS!$A:$F,6,FALSE)),"")</f>
        <v>COLEGIO_BRITANICO</v>
      </c>
      <c r="G2436" s="261" t="str">
        <f>IFERROR(IF(VLOOKUP(A2436,[16]PRIORIZADOS!$A:$G,7,FALSE)="","",VLOOKUP(A2436,[16]PRIORIZADOS!$A:$G,7,FALSE)),"")</f>
        <v>COLEGIO BRITANICO</v>
      </c>
      <c r="H2436" s="261" t="str">
        <f>IFERROR(IF(VLOOKUP(A2436,[16]PRIORIZADOS!$A:$H,8,FALSE)="","",VLOOKUP(A2436,[16]PRIORIZADOS!$A:$H,8,FALSE)),"")</f>
        <v>Autoevaluación Institucional y Pruebas SABER 11</v>
      </c>
      <c r="I2436" s="261" t="str">
        <f>IFERROR(IF(VLOOKUP(A2436,[16]PRIORIZADOS!$A:$I,9,FALSE)="","",VLOOKUP(A2436,[16]PRIORIZADOS!$A:$I,9,FALSE)),"")</f>
        <v>EVALUACIÓN_CON_FINES_DE_MEJORAMIENTO.</v>
      </c>
      <c r="J2436" s="261" t="str">
        <f>IFERROR(IF(VLOOKUP(A2436,[16]PRIORIZADOS!$A:$J,10,FALSE)="","",VLOOKUP(A2436,[16]PRIORIZADOS!$A:$J,10,FALSE)),"")</f>
        <v>Verificar el funcionamiento del Gobierno Escolar e instancias de participación con base en la información sobre conformación reportada por la institución educativa.</v>
      </c>
      <c r="K2436" s="261" t="str">
        <f>IFERROR(IF(VLOOKUP(A2436,[16]PRIORIZADOS!$A:$K,11,FALSE)="","",VLOOKUP(A2436,[16]PRIORIZADOS!$A:$K,11,FALSE)),"")</f>
        <v>SANDRA JAZMÍN BAQUERO CÓRDOBA</v>
      </c>
      <c r="L2436" s="261" t="str">
        <f>IFERROR(IF(VLOOKUP(A2436,[16]PRIORIZADOS!$A:$L,12,FALSE)="","",VLOOKUP(A2436,[16]PRIORIZADOS!$A:$L,12,FALSE)),"")</f>
        <v xml:space="preserve">SANDRA JAZMÍN BAQUERO CÓRDOBA
NELSON AUGUSTO CUBILLOS OLARTE
CLAUDIA PATRICIA GRANADOS FLÓREZ
</v>
      </c>
      <c r="M2436" s="262">
        <f>IFERROR(IF(VLOOKUP(A2436,[16]PRIORIZADOS!$A:$M,13,FALSE)="","",VLOOKUP(A2436,[16]PRIORIZADOS!$A:$M,13,FALSE)),"")</f>
        <v>45744</v>
      </c>
      <c r="N2436" s="262">
        <f>IFERROR(IF(VLOOKUP(A2436,[16]PRIORIZADOS!$A:$N,14,FALSE)="","",VLOOKUP(A2436,[16]PRIORIZADOS!$A:$N,14,FALSE)),"")</f>
        <v>45821</v>
      </c>
      <c r="O2436" s="262">
        <f>IFERROR(IF(VLOOKUP(A2436,[16]PRIORIZADOS!$A:$O,15,FALSE)="","",VLOOKUP(A2436,[16]PRIORIZADOS!$A:$O,15,FALSE)),"")</f>
        <v>45821</v>
      </c>
      <c r="P2436" s="261" t="str">
        <f>IFERROR(IF(VLOOKUP(A2436,[16]PRIORIZADOS!$A:$P,16,FALSE)="","",VLOOKUP(A2436,[16]PRIORIZADOS!$A:$P,16,FALSE)),"")</f>
        <v>Visitas de evaluación con fines de mejoramiento</v>
      </c>
      <c r="Q2436" s="107" t="s">
        <v>484</v>
      </c>
      <c r="R2436" s="261" t="str">
        <f>IFERROR(IF(VLOOKUP(A2436,[16]PRIORIZADOS!$A:$R,18,FALSE)="","",VLOOKUP(A2436,[16]PRIORIZADOS!$A:$R,18,FALSE)),"")</f>
        <v>Se encontró que el Gobierno Escolar funciona (consejo diectivo y Consejo Académico), pero las instancias de participación no</v>
      </c>
      <c r="S2436" s="261" t="str">
        <f>IFERROR(IF(VLOOKUP(A2436,[16]PRIORIZADOS!$A:$S,19,FALSE)="","",VLOOKUP(A2436,[16]PRIORIZADOS!$A:$S,19,FALSE)),"")</f>
        <v>Debe citar reunión de Consejo de Padres, Consejo de estudiantes y dejar las evidencias de las escuelas de padres</v>
      </c>
      <c r="T2436" s="70" t="str">
        <f>IFERROR(IF(VLOOKUP(A2436,[16]PRIORIZADOS!$A:$T,20,FALSE)="","",VLOOKUP(A2436,[16]PRIORIZADOS!$A:$T,20,FALSE)),"")</f>
        <v>Si</v>
      </c>
      <c r="U2436" s="11" t="str">
        <f>IFERROR(IF(VLOOKUP(A2436,[16]PRIORIZADOS!$A:$U,21,FALSE)="","",VLOOKUP(A2436,[16]PRIORIZADOS!$A:$U,21,FALSE)),"")</f>
        <v>Presentó plan de mejoramiento el 31 de julio de 2025, se encuentra para seguimiento</v>
      </c>
    </row>
    <row r="2437" spans="1:21" s="1" customFormat="1" ht="84">
      <c r="A2437" s="69">
        <f>IF([16]PRIORIZADOS!A26="","",[16]PRIORIZADOS!A26)</f>
        <v>2409</v>
      </c>
      <c r="B2437" s="70">
        <v>2</v>
      </c>
      <c r="C2437" s="261" t="str">
        <f>IFERROR(IF(VLOOKUP(A2437,[16]PRIORIZADOS!$A:$C,3,FALSE)="","",VLOOKUP(A2437,[16]PRIORIZADOS!$A:$C,3,FALSE)),"")</f>
        <v>TUNJUELITO</v>
      </c>
      <c r="D2437" s="261" t="str">
        <f>IFERROR(IF(VLOOKUP(A2437,[16]PRIORIZADOS!$A:$D,4,FALSE)="","",VLOOKUP(A2437,[16]PRIORIZADOS!$A:$D,4,FALSE)),"")</f>
        <v>PRIVADO</v>
      </c>
      <c r="E2437" s="261" t="str">
        <f>IFERROR(IF(VLOOKUP(A2437,[16]PRIORIZADOS!$A:$E,5,FALSE)="","",VLOOKUP(A2437,[16]PRIORIZADOS!$A:$E,5,FALSE)),"")</f>
        <v>Educación de Jóvenes y Adultos</v>
      </c>
      <c r="F2437" s="261" t="str">
        <f>IFERROR(IF(VLOOKUP(A2437,[16]PRIORIZADOS!$A:$F,6,FALSE)="","",VLOOKUP(A2437,[16]PRIORIZADOS!$A:$F,6,FALSE)),"")</f>
        <v>COLEGIO_BRITANICO</v>
      </c>
      <c r="G2437" s="261" t="str">
        <f>IFERROR(IF(VLOOKUP(A2437,[16]PRIORIZADOS!$A:$G,7,FALSE)="","",VLOOKUP(A2437,[16]PRIORIZADOS!$A:$G,7,FALSE)),"")</f>
        <v>COLEGIO BRITANICO</v>
      </c>
      <c r="H2437" s="261" t="str">
        <f>IFERROR(IF(VLOOKUP(A2437,[16]PRIORIZADOS!$A:$H,8,FALSE)="","",VLOOKUP(A2437,[16]PRIORIZADOS!$A:$H,8,FALSE)),"")</f>
        <v>Autoevaluación Institucional y Pruebas SABER 11</v>
      </c>
      <c r="I2437" s="261" t="str">
        <f>IFERROR(IF(VLOOKUP(A2437,[16]PRIORIZADOS!$A:$I,9,FALSE)="","",VLOOKUP(A2437,[16]PRIORIZADOS!$A:$I,9,FALSE)),"")</f>
        <v>EVALUACIÓN_CON_FINES_DE_MEJORAMIENTO.</v>
      </c>
      <c r="J2437" s="261" t="str">
        <f>IFERROR(IF(VLOOKUP(A2437,[16]PRIORIZADOS!$A:$J,10,FALSE)="","",VLOOKUP(A2437,[16]PRIORIZADOS!$A:$J,10,FALSE)),"")</f>
        <v>Verificar las condiciones en cuanto a: la estructura administrativa, condiciones de la planta física y medios educativos adecuados.</v>
      </c>
      <c r="K2437" s="261" t="str">
        <f>IFERROR(IF(VLOOKUP(A2437,[16]PRIORIZADOS!$A:$K,11,FALSE)="","",VLOOKUP(A2437,[16]PRIORIZADOS!$A:$K,11,FALSE)),"")</f>
        <v>SANDRA JAZMÍN BAQUERO CÓRDOBA</v>
      </c>
      <c r="L2437" s="261" t="str">
        <f>IFERROR(IF(VLOOKUP(A2437,[16]PRIORIZADOS!$A:$L,12,FALSE)="","",VLOOKUP(A2437,[16]PRIORIZADOS!$A:$L,12,FALSE)),"")</f>
        <v xml:space="preserve">SANDRA JAZMÍN BAQUERO CÓRDOBA
NELSON AUGUSTO CUBILLOS OLARTE
CLAUDIA PATRICIA GRANADOS FLÓREZ
</v>
      </c>
      <c r="M2437" s="262">
        <f>IFERROR(IF(VLOOKUP(A2437,[16]PRIORIZADOS!$A:$M,13,FALSE)="","",VLOOKUP(A2437,[16]PRIORIZADOS!$A:$M,13,FALSE)),"")</f>
        <v>45744</v>
      </c>
      <c r="N2437" s="262">
        <f>IFERROR(IF(VLOOKUP(A2437,[16]PRIORIZADOS!$A:$N,14,FALSE)="","",VLOOKUP(A2437,[16]PRIORIZADOS!$A:$N,14,FALSE)),"")</f>
        <v>45821</v>
      </c>
      <c r="O2437" s="262">
        <f>IFERROR(IF(VLOOKUP(A2437,[16]PRIORIZADOS!$A:$O,15,FALSE)="","",VLOOKUP(A2437,[16]PRIORIZADOS!$A:$O,15,FALSE)),"")</f>
        <v>45821</v>
      </c>
      <c r="P2437" s="261" t="str">
        <f>IFERROR(IF(VLOOKUP(A2437,[16]PRIORIZADOS!$A:$P,16,FALSE)="","",VLOOKUP(A2437,[16]PRIORIZADOS!$A:$P,16,FALSE)),"")</f>
        <v>Visitas de evaluación con fines de mejoramiento</v>
      </c>
      <c r="Q2437" s="126" t="s">
        <v>484</v>
      </c>
      <c r="R2437" s="261" t="str">
        <f>IFERROR(IF(VLOOKUP(A2437,[16]PRIORIZADOS!$A:$R,18,FALSE)="","",VLOOKUP(A2437,[16]PRIORIZADOS!$A:$R,18,FALSE)),"")</f>
        <v>El colegio no cuenta con acceso a la población con discapacidad, no tiene laboratorios, ni espacio para orientación escolar, tiene una biblioteca incipiente que debe organizar</v>
      </c>
      <c r="S2437" s="261" t="str">
        <f>IFERROR(IF(VLOOKUP(A2437,[16]PRIORIZADOS!$A:$S,19,FALSE)="","",VLOOKUP(A2437,[16]PRIORIZADOS!$A:$S,19,FALSE)),"")</f>
        <v>Debe realizar un plan de mejora que contemple los espacios que le hacen falta</v>
      </c>
      <c r="T2437" s="70" t="str">
        <f>IFERROR(IF(VLOOKUP(A2437,[16]PRIORIZADOS!$A:$T,20,FALSE)="","",VLOOKUP(A2437,[16]PRIORIZADOS!$A:$T,20,FALSE)),"")</f>
        <v>Si</v>
      </c>
      <c r="U2437" s="11" t="str">
        <f>IFERROR(IF(VLOOKUP(A2437,[16]PRIORIZADOS!$A:$U,21,FALSE)="","",VLOOKUP(A2437,[16]PRIORIZADOS!$A:$U,21,FALSE)),"")</f>
        <v>Presentó plan de mejoramiento el 31 de julio de 2025, se encuentra para seguimiento</v>
      </c>
    </row>
    <row r="2438" spans="1:21" s="1" customFormat="1" ht="72">
      <c r="A2438" s="69">
        <f>IF([16]PRIORIZADOS!A27="","",[16]PRIORIZADOS!A27)</f>
        <v>2412</v>
      </c>
      <c r="B2438" s="70">
        <f>IFERROR(IF(VLOOKUP(A2438,[16]PRIORIZADOS!$A:$B,2,FALSE)="","",VLOOKUP(A2438,[16]PRIORIZADOS!$A:$B,2,FALSE)),"")</f>
        <v>3</v>
      </c>
      <c r="C2438" s="261" t="str">
        <f>IFERROR(IF(VLOOKUP(A2438,[16]PRIORIZADOS!$A:$C,3,FALSE)="","",VLOOKUP(A2438,[16]PRIORIZADOS!$A:$C,3,FALSE)),"")</f>
        <v>TUNJUELITO</v>
      </c>
      <c r="D2438" s="261" t="str">
        <f>IFERROR(IF(VLOOKUP(A2438,[16]PRIORIZADOS!$A:$D,4,FALSE)="","",VLOOKUP(A2438,[16]PRIORIZADOS!$A:$D,4,FALSE)),"")</f>
        <v>PRIVADO</v>
      </c>
      <c r="E2438" s="261" t="str">
        <f>IFERROR(IF(VLOOKUP(A2438,[16]PRIORIZADOS!$A:$E,5,FALSE)="","",VLOOKUP(A2438,[16]PRIORIZADOS!$A:$E,5,FALSE)),"")</f>
        <v>EPBM</v>
      </c>
      <c r="F2438" s="261" t="str">
        <f>IFERROR(IF(VLOOKUP(A2438,[16]PRIORIZADOS!$A:$F,6,FALSE)="","",VLOOKUP(A2438,[16]PRIORIZADOS!$A:$F,6,FALSE)),"")</f>
        <v>COLEGIO_COOPERATIVO_NUEVO_MUZU</v>
      </c>
      <c r="G2438" s="261" t="str">
        <f>IFERROR(IF(VLOOKUP(A2438,[16]PRIORIZADOS!$A:$G,7,FALSE)="","",VLOOKUP(A2438,[16]PRIORIZADOS!$A:$G,7,FALSE)),"")</f>
        <v>COLEGIO COOPERATIVO NUEVO MUZU</v>
      </c>
      <c r="H2438" s="261" t="str">
        <f>IFERROR(IF(VLOOKUP(A2438,[16]PRIORIZADOS!$A:$H,8,FALSE)="","",VLOOKUP(A2438,[16]PRIORIZADOS!$A:$H,8,FALSE)),"")</f>
        <v>Autoevaluación Institucional y Pruebas SABER 11</v>
      </c>
      <c r="I2438" s="261" t="str">
        <f>IFERROR(IF(VLOOKUP(A2438,[16]PRIORIZADOS!$A:$I,9,FALSE)="","",VLOOKUP(A2438,[16]PRIORIZADOS!$A:$I,9,FALSE)),"")</f>
        <v>SEGUIMIENTO_Y_SUPERVISIÓN.</v>
      </c>
      <c r="J2438" s="261" t="str">
        <f>IFERROR(IF(VLOOKUP(A2438,[16]PRIORIZADOS!$A:$J,10,FALSE)="","",VLOOKUP(A2438,[16]PRIORIZADOS!$A:$J,10,FALSE)),"")</f>
        <v xml:space="preserve">Verificar la implementación por parte de los colegios, de acciones realizadas para la prevención y atención de las situaciones de convivencia en el entorno escolar, según lo establecido en la Directiva 01 de 2022 del MEN. </v>
      </c>
      <c r="K2438" s="261" t="str">
        <f>IFERROR(IF(VLOOKUP(A2438,[16]PRIORIZADOS!$A:$K,11,FALSE)="","",VLOOKUP(A2438,[16]PRIORIZADOS!$A:$K,11,FALSE)),"")</f>
        <v>NELSON AUGUSTO CUBILLOS OLARTE</v>
      </c>
      <c r="L2438" s="261" t="str">
        <f>IFERROR(IF(VLOOKUP(A2438,[16]PRIORIZADOS!$A:$L,12,FALSE)="","",VLOOKUP(A2438,[16]PRIORIZADOS!$A:$L,12,FALSE)),"")</f>
        <v>SANDRA JAZMÍN BAQUERO CÓRDOBA</v>
      </c>
      <c r="M2438" s="262">
        <f>IFERROR(IF(VLOOKUP(A2438,[16]PRIORIZADOS!$A:$M,13,FALSE)="","",VLOOKUP(A2438,[16]PRIORIZADOS!$A:$M,13,FALSE)),"")</f>
        <v>45798</v>
      </c>
      <c r="N2438" s="262">
        <f>IFERROR(IF(VLOOKUP(A2438,[16]PRIORIZADOS!$A:$N,14,FALSE)="","",VLOOKUP(A2438,[16]PRIORIZADOS!$A:$N,14,FALSE)),"")</f>
        <v>45863</v>
      </c>
      <c r="O2438" s="262">
        <f>IFERROR(IF(VLOOKUP(A2438,[16]PRIORIZADOS!$A:$O,15,FALSE)="","",VLOOKUP(A2438,[16]PRIORIZADOS!$A:$O,15,FALSE)),"")</f>
        <v>45863</v>
      </c>
      <c r="P2438" s="261" t="str">
        <f>IFERROR(IF(VLOOKUP(A2438,[16]PRIORIZADOS!$A:$P,16,FALSE)="","",VLOOKUP(A2438,[16]PRIORIZADOS!$A:$P,16,FALSE)),"")</f>
        <v>Visitas de evaluación con fines de seguimiento</v>
      </c>
      <c r="Q2438" s="56" t="s">
        <v>485</v>
      </c>
      <c r="R2438" s="261" t="str">
        <f>IFERROR(IF(VLOOKUP(A2438,[16]PRIORIZADOS!$A:$R,18,FALSE)="","",VLOOKUP(A2438,[16]PRIORIZADOS!$A:$R,18,FALSE)),"")</f>
        <v>Se evidencia que se realizan las verificaciones de Antecedentes de inhabilidades por delitos sexuales de todos los docentes y administrativos, aunque no cuenta con profesional de orientación dedicado.</v>
      </c>
      <c r="S2438" s="261" t="str">
        <f>IFERROR(IF(VLOOKUP(A2438,[16]PRIORIZADOS!$A:$S,19,FALSE)="","",VLOOKUP(A2438,[16]PRIORIZADOS!$A:$S,19,FALSE)),"")</f>
        <v>Se debe estructurar plan de mejora con la inclusión de la orientación y los proceso de planeación de las jornadas pedagógicas.</v>
      </c>
      <c r="T2438" s="70" t="str">
        <f>IFERROR(IF(VLOOKUP(A2438,[16]PRIORIZADOS!$A:$T,20,FALSE)="","",VLOOKUP(A2438,[16]PRIORIZADOS!$A:$T,20,FALSE)),"")</f>
        <v>Si</v>
      </c>
      <c r="U2438" s="11" t="str">
        <f>IFERROR(IF(VLOOKUP(A2438,[16]PRIORIZADOS!$A:$U,21,FALSE)="","",VLOOKUP(A2438,[16]PRIORIZADOS!$A:$U,21,FALSE)),"")</f>
        <v>Realizar seguimiento al plan de mejoramiento que estará presentando el 30 de septiembre</v>
      </c>
    </row>
    <row r="2439" spans="1:21" s="1" customFormat="1" ht="72">
      <c r="A2439" s="69">
        <f>IF([16]PRIORIZADOS!A28="","",[16]PRIORIZADOS!A28)</f>
        <v>2413</v>
      </c>
      <c r="B2439" s="70">
        <v>3</v>
      </c>
      <c r="C2439" s="261" t="str">
        <f>IFERROR(IF(VLOOKUP(A2439,[16]PRIORIZADOS!$A:$C,3,FALSE)="","",VLOOKUP(A2439,[16]PRIORIZADOS!$A:$C,3,FALSE)),"")</f>
        <v>TUNJUELITO</v>
      </c>
      <c r="D2439" s="261" t="str">
        <f>IFERROR(IF(VLOOKUP(A2439,[16]PRIORIZADOS!$A:$D,4,FALSE)="","",VLOOKUP(A2439,[16]PRIORIZADOS!$A:$D,4,FALSE)),"")</f>
        <v>PRIVADO</v>
      </c>
      <c r="E2439" s="261" t="str">
        <f>IFERROR(IF(VLOOKUP(A2439,[16]PRIORIZADOS!$A:$E,5,FALSE)="","",VLOOKUP(A2439,[16]PRIORIZADOS!$A:$E,5,FALSE)),"")</f>
        <v>EPBM</v>
      </c>
      <c r="F2439" s="261" t="str">
        <f>IFERROR(IF(VLOOKUP(A2439,[16]PRIORIZADOS!$A:$F,6,FALSE)="","",VLOOKUP(A2439,[16]PRIORIZADOS!$A:$F,6,FALSE)),"")</f>
        <v>COLEGIO_COOPERATIVO_NUEVO_MUZU</v>
      </c>
      <c r="G2439" s="261" t="str">
        <f>IFERROR(IF(VLOOKUP(A2439,[16]PRIORIZADOS!$A:$G,7,FALSE)="","",VLOOKUP(A2439,[16]PRIORIZADOS!$A:$G,7,FALSE)),"")</f>
        <v>COLEGIO COOPERATIVO NUEVO MUZU</v>
      </c>
      <c r="H2439" s="261" t="str">
        <f>IFERROR(IF(VLOOKUP(A2439,[16]PRIORIZADOS!$A:$H,8,FALSE)="","",VLOOKUP(A2439,[16]PRIORIZADOS!$A:$H,8,FALSE)),"")</f>
        <v>Autoevaluación Institucional y Pruebas SABER 11</v>
      </c>
      <c r="I2439" s="261" t="str">
        <f>IFERROR(IF(VLOOKUP(A2439,[16]PRIORIZADOS!$A:$I,9,FALSE)="","",VLOOKUP(A2439,[16]PRIORIZADOS!$A:$I,9,FALSE)),"")</f>
        <v>SEGUIMIENTO_Y_SUPERVISIÓN.</v>
      </c>
      <c r="J2439" s="261" t="str">
        <f>IFERROR(IF(VLOOKUP(A2439,[16]PRIORIZADOS!$A:$J,10,FALSE)="","",VLOOKUP(A2439,[16]PRIORIZADOS!$A:$J,10,FALSE)),"")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39" s="261" t="str">
        <f>IFERROR(IF(VLOOKUP(A2439,[16]PRIORIZADOS!$A:$K,11,FALSE)="","",VLOOKUP(A2439,[16]PRIORIZADOS!$A:$K,11,FALSE)),"")</f>
        <v>NELSON AUGUSTO CUBILLOS OLARTE</v>
      </c>
      <c r="L2439" s="261" t="str">
        <f>IFERROR(IF(VLOOKUP(A2439,[16]PRIORIZADOS!$A:$L,12,FALSE)="","",VLOOKUP(A2439,[16]PRIORIZADOS!$A:$L,12,FALSE)),"")</f>
        <v>SANDRA JAZMÍN BAQUERO CÓRDOBA</v>
      </c>
      <c r="M2439" s="262">
        <f>IFERROR(IF(VLOOKUP(A2439,[16]PRIORIZADOS!$A:$M,13,FALSE)="","",VLOOKUP(A2439,[16]PRIORIZADOS!$A:$M,13,FALSE)),"")</f>
        <v>45798</v>
      </c>
      <c r="N2439" s="262">
        <f>IFERROR(IF(VLOOKUP(A2439,[16]PRIORIZADOS!$A:$N,14,FALSE)="","",VLOOKUP(A2439,[16]PRIORIZADOS!$A:$N,14,FALSE)),"")</f>
        <v>45863</v>
      </c>
      <c r="O2439" s="262">
        <f>IFERROR(IF(VLOOKUP(A2439,[16]PRIORIZADOS!$A:$O,15,FALSE)="","",VLOOKUP(A2439,[16]PRIORIZADOS!$A:$O,15,FALSE)),"")</f>
        <v>45863</v>
      </c>
      <c r="P2439" s="261" t="str">
        <f>IFERROR(IF(VLOOKUP(A2439,[16]PRIORIZADOS!$A:$P,16,FALSE)="","",VLOOKUP(A2439,[16]PRIORIZADOS!$A:$P,16,FALSE)),"")</f>
        <v>Visitas de evaluación con fines de seguimiento</v>
      </c>
      <c r="Q2439" s="56" t="s">
        <v>485</v>
      </c>
      <c r="R2439" s="261" t="str">
        <f>IFERROR(IF(VLOOKUP(A2439,[16]PRIORIZADOS!$A:$R,18,FALSE)="","",VLOOKUP(A2439,[16]PRIORIZADOS!$A:$R,18,FALSE)),"")</f>
        <v>La institución cuenta con los planes de ajustes razonables elaborados  en el formato oficial del MEN .</v>
      </c>
      <c r="S2439" s="261" t="str">
        <f>IFERROR(IF(VLOOKUP(A2439,[16]PRIORIZADOS!$A:$S,19,FALSE)="","",VLOOKUP(A2439,[16]PRIORIZADOS!$A:$S,19,FALSE)),"")</f>
        <v>Atender las orientaciones sobre el establecimiento de las barreras y velar por que todos lo planes se encuentren firmados por los intervinientes.</v>
      </c>
      <c r="T2439" s="70" t="str">
        <f>IFERROR(IF(VLOOKUP(A2439,[16]PRIORIZADOS!$A:$T,20,FALSE)="","",VLOOKUP(A2439,[16]PRIORIZADOS!$A:$T,20,FALSE)),"")</f>
        <v>No</v>
      </c>
      <c r="U2439" s="11" t="str">
        <f>IFERROR(IF(VLOOKUP(A2439,[16]PRIORIZADOS!$A:$U,21,FALSE)="","",VLOOKUP(A2439,[16]PRIORIZADOS!$A:$U,21,FALSE)),"")</f>
        <v>Se realiza seguimiento documental el año entrante aleatoriamente a  algunos planes.</v>
      </c>
    </row>
    <row r="2440" spans="1:21" s="1" customFormat="1" ht="84">
      <c r="A2440" s="69">
        <f>IF([16]PRIORIZADOS!A29="","",[16]PRIORIZADOS!A29)</f>
        <v>2414</v>
      </c>
      <c r="B2440" s="70">
        <v>3</v>
      </c>
      <c r="C2440" s="261" t="str">
        <f>IFERROR(IF(VLOOKUP(A2440,[16]PRIORIZADOS!$A:$C,3,FALSE)="","",VLOOKUP(A2440,[16]PRIORIZADOS!$A:$C,3,FALSE)),"")</f>
        <v>TUNJUELITO</v>
      </c>
      <c r="D2440" s="261" t="str">
        <f>IFERROR(IF(VLOOKUP(A2440,[16]PRIORIZADOS!$A:$D,4,FALSE)="","",VLOOKUP(A2440,[16]PRIORIZADOS!$A:$D,4,FALSE)),"")</f>
        <v>PRIVADO</v>
      </c>
      <c r="E2440" s="261" t="str">
        <f>IFERROR(IF(VLOOKUP(A2440,[16]PRIORIZADOS!$A:$E,5,FALSE)="","",VLOOKUP(A2440,[16]PRIORIZADOS!$A:$E,5,FALSE)),"")</f>
        <v>EPBM</v>
      </c>
      <c r="F2440" s="261" t="str">
        <f>IFERROR(IF(VLOOKUP(A2440,[16]PRIORIZADOS!$A:$F,6,FALSE)="","",VLOOKUP(A2440,[16]PRIORIZADOS!$A:$F,6,FALSE)),"")</f>
        <v>COLEGIO_COOPERATIVO_NUEVO_MUZU</v>
      </c>
      <c r="G2440" s="261" t="str">
        <f>IFERROR(IF(VLOOKUP(A2440,[16]PRIORIZADOS!$A:$G,7,FALSE)="","",VLOOKUP(A2440,[16]PRIORIZADOS!$A:$G,7,FALSE)),"")</f>
        <v>COLEGIO COOPERATIVO NUEVO MUZU</v>
      </c>
      <c r="H2440" s="261" t="str">
        <f>IFERROR(IF(VLOOKUP(A2440,[16]PRIORIZADOS!$A:$H,8,FALSE)="","",VLOOKUP(A2440,[16]PRIORIZADOS!$A:$H,8,FALSE)),"")</f>
        <v>Autoevaluación Institucional y Pruebas SABER 11</v>
      </c>
      <c r="I2440" s="261" t="str">
        <f>IFERROR(IF(VLOOKUP(A2440,[16]PRIORIZADOS!$A:$I,9,FALSE)="","",VLOOKUP(A2440,[16]PRIORIZADOS!$A:$I,9,FALSE)),"")</f>
        <v>EVALUACIÓN_CON_FINES_DE_MEJORAMIENTO.</v>
      </c>
      <c r="J2440" s="261" t="str">
        <f>IFERROR(IF(VLOOKUP(A2440,[16]PRIORIZADOS!$A:$J,10,FALSE)="","",VLOOKUP(A2440,[16]PRIORIZADOS!$A:$J,10,FALSE)),"")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40" s="261" t="str">
        <f>IFERROR(IF(VLOOKUP(A2440,[16]PRIORIZADOS!$A:$K,11,FALSE)="","",VLOOKUP(A2440,[16]PRIORIZADOS!$A:$K,11,FALSE)),"")</f>
        <v>NELSON AUGUSTO CUBILLOS OLARTE</v>
      </c>
      <c r="L2440" s="261" t="str">
        <f>IFERROR(IF(VLOOKUP(A2440,[16]PRIORIZADOS!$A:$L,12,FALSE)="","",VLOOKUP(A2440,[16]PRIORIZADOS!$A:$L,12,FALSE)),"")</f>
        <v>SANDRA JAZMÍN BAQUERO CÓRDOBA</v>
      </c>
      <c r="M2440" s="262">
        <f>IFERROR(IF(VLOOKUP(A2440,[16]PRIORIZADOS!$A:$M,13,FALSE)="","",VLOOKUP(A2440,[16]PRIORIZADOS!$A:$M,13,FALSE)),"")</f>
        <v>45798</v>
      </c>
      <c r="N2440" s="262">
        <f>IFERROR(IF(VLOOKUP(A2440,[16]PRIORIZADOS!$A:$N,14,FALSE)="","",VLOOKUP(A2440,[16]PRIORIZADOS!$A:$N,14,FALSE)),"")</f>
        <v>45863</v>
      </c>
      <c r="O2440" s="262">
        <f>IFERROR(IF(VLOOKUP(A2440,[16]PRIORIZADOS!$A:$O,15,FALSE)="","",VLOOKUP(A2440,[16]PRIORIZADOS!$A:$O,15,FALSE)),"")</f>
        <v>45863</v>
      </c>
      <c r="P2440" s="261" t="str">
        <f>IFERROR(IF(VLOOKUP(A2440,[16]PRIORIZADOS!$A:$P,16,FALSE)="","",VLOOKUP(A2440,[16]PRIORIZADOS!$A:$P,16,FALSE)),"")</f>
        <v>Visitas de evaluación con fines de mejoramiento</v>
      </c>
      <c r="Q2440" s="56" t="s">
        <v>485</v>
      </c>
      <c r="R2440" s="261" t="str">
        <f>IFERROR(IF(VLOOKUP(A2440,[16]PRIORIZADOS!$A:$R,18,FALSE)="","",VLOOKUP(A2440,[16]PRIORIZADOS!$A:$R,18,FALSE)),"")</f>
        <v>El Manual se construyó de acuerdo con la normatividad vigente y en la garantía de los derechos de los estudiantes.</v>
      </c>
      <c r="S2440" s="261" t="str">
        <f>IFERROR(IF(VLOOKUP(A2440,[16]PRIORIZADOS!$A:$S,19,FALSE)="","",VLOOKUP(A2440,[16]PRIORIZADOS!$A:$S,19,FALSE)),"")</f>
        <v>Se encuentra en revisión con el instrumento DIV se realizarán las recomendaciones del caso</v>
      </c>
      <c r="T2440" s="70" t="str">
        <f>IFERROR(IF(VLOOKUP(A2440,[16]PRIORIZADOS!$A:$T,20,FALSE)="","",VLOOKUP(A2440,[16]PRIORIZADOS!$A:$T,20,FALSE)),"")</f>
        <v>No</v>
      </c>
      <c r="U2440" s="11" t="str">
        <f>IFERROR(IF(VLOOKUP(A2440,[16]PRIORIZADOS!$A:$U,21,FALSE)="","",VLOOKUP(A2440,[16]PRIORIZADOS!$A:$U,21,FALSE)),"")</f>
        <v>Se realizarán recomendaciones una vez culmine la revisión a profundidad</v>
      </c>
    </row>
    <row r="2441" spans="1:21" s="1" customFormat="1" ht="48">
      <c r="A2441" s="69">
        <f>IF([16]PRIORIZADOS!A30="","",[16]PRIORIZADOS!A30)</f>
        <v>2415</v>
      </c>
      <c r="B2441" s="70">
        <v>3</v>
      </c>
      <c r="C2441" s="261" t="str">
        <f>IFERROR(IF(VLOOKUP(A2441,[16]PRIORIZADOS!$A:$C,3,FALSE)="","",VLOOKUP(A2441,[16]PRIORIZADOS!$A:$C,3,FALSE)),"")</f>
        <v>TUNJUELITO</v>
      </c>
      <c r="D2441" s="261" t="str">
        <f>IFERROR(IF(VLOOKUP(A2441,[16]PRIORIZADOS!$A:$D,4,FALSE)="","",VLOOKUP(A2441,[16]PRIORIZADOS!$A:$D,4,FALSE)),"")</f>
        <v>PRIVADO</v>
      </c>
      <c r="E2441" s="261" t="str">
        <f>IFERROR(IF(VLOOKUP(A2441,[16]PRIORIZADOS!$A:$E,5,FALSE)="","",VLOOKUP(A2441,[16]PRIORIZADOS!$A:$E,5,FALSE)),"")</f>
        <v>EPBM</v>
      </c>
      <c r="F2441" s="261" t="str">
        <f>IFERROR(IF(VLOOKUP(A2441,[16]PRIORIZADOS!$A:$F,6,FALSE)="","",VLOOKUP(A2441,[16]PRIORIZADOS!$A:$F,6,FALSE)),"")</f>
        <v>COLEGIO_COOPERATIVO_NUEVO_MUZU</v>
      </c>
      <c r="G2441" s="261" t="str">
        <f>IFERROR(IF(VLOOKUP(A2441,[16]PRIORIZADOS!$A:$G,7,FALSE)="","",VLOOKUP(A2441,[16]PRIORIZADOS!$A:$G,7,FALSE)),"")</f>
        <v>COLEGIO COOPERATIVO NUEVO MUZU</v>
      </c>
      <c r="H2441" s="261" t="str">
        <f>IFERROR(IF(VLOOKUP(A2441,[16]PRIORIZADOS!$A:$H,8,FALSE)="","",VLOOKUP(A2441,[16]PRIORIZADOS!$A:$H,8,FALSE)),"")</f>
        <v>Autoevaluación Institucional y Pruebas SABER 11</v>
      </c>
      <c r="I2441" s="261" t="str">
        <f>IFERROR(IF(VLOOKUP(A2441,[16]PRIORIZADOS!$A:$I,9,FALSE)="","",VLOOKUP(A2441,[16]PRIORIZADOS!$A:$I,9,FALSE)),"")</f>
        <v>EVALUACIÓN_CON_FINES_DE_MEJORAMIENTO.</v>
      </c>
      <c r="J2441" s="261" t="str">
        <f>IFERROR(IF(VLOOKUP(A2441,[16]PRIORIZADOS!$A:$J,10,FALSE)="","",VLOOKUP(A2441,[16]PRIORIZADOS!$A:$J,10,FALSE)),"")</f>
        <v>Revisar la actualización, socialización e implementación del Sistema Institucional de Evaluación de Estudiantes - SIEE, en articulación con la actualización del PEI y la normatividad vigente.</v>
      </c>
      <c r="K2441" s="261" t="str">
        <f>IFERROR(IF(VLOOKUP(A2441,[16]PRIORIZADOS!$A:$K,11,FALSE)="","",VLOOKUP(A2441,[16]PRIORIZADOS!$A:$K,11,FALSE)),"")</f>
        <v>NELSON AUGUSTO CUBILLOS OLARTE</v>
      </c>
      <c r="L2441" s="261" t="str">
        <f>IFERROR(IF(VLOOKUP(A2441,[16]PRIORIZADOS!$A:$L,12,FALSE)="","",VLOOKUP(A2441,[16]PRIORIZADOS!$A:$L,12,FALSE)),"")</f>
        <v>SANDRA JAZMÍN BAQUERO CÓRDOBA</v>
      </c>
      <c r="M2441" s="262">
        <f>IFERROR(IF(VLOOKUP(A2441,[16]PRIORIZADOS!$A:$M,13,FALSE)="","",VLOOKUP(A2441,[16]PRIORIZADOS!$A:$M,13,FALSE)),"")</f>
        <v>45798</v>
      </c>
      <c r="N2441" s="262">
        <f>IFERROR(IF(VLOOKUP(A2441,[16]PRIORIZADOS!$A:$N,14,FALSE)="","",VLOOKUP(A2441,[16]PRIORIZADOS!$A:$N,14,FALSE)),"")</f>
        <v>45863</v>
      </c>
      <c r="O2441" s="262">
        <f>IFERROR(IF(VLOOKUP(A2441,[16]PRIORIZADOS!$A:$O,15,FALSE)="","",VLOOKUP(A2441,[16]PRIORIZADOS!$A:$O,15,FALSE)),"")</f>
        <v>45863</v>
      </c>
      <c r="P2441" s="261" t="str">
        <f>IFERROR(IF(VLOOKUP(A2441,[16]PRIORIZADOS!$A:$P,16,FALSE)="","",VLOOKUP(A2441,[16]PRIORIZADOS!$A:$P,16,FALSE)),"")</f>
        <v>Visitas de evaluación con fines de mejoramiento</v>
      </c>
      <c r="Q2441" s="56" t="s">
        <v>485</v>
      </c>
      <c r="R2441" s="261" t="str">
        <f>IFERROR(IF(VLOOKUP(A2441,[16]PRIORIZADOS!$A:$R,18,FALSE)="","",VLOOKUP(A2441,[16]PRIORIZADOS!$A:$R,18,FALSE)),"")</f>
        <v>El Sistema Institucional de Evaluación de los Estudiantes, se encuentra debidamente adoptado y actualizado de acuerdo con el PEI vigente de la institución.</v>
      </c>
      <c r="S2441" s="261" t="str">
        <f>IFERROR(IF(VLOOKUP(A2441,[16]PRIORIZADOS!$A:$S,19,FALSE)="","",VLOOKUP(A2441,[16]PRIORIZADOS!$A:$S,19,FALSE)),"")</f>
        <v>Continuar realizando las acciones correspondientes al SIE.</v>
      </c>
      <c r="T2441" s="70" t="str">
        <f>IFERROR(IF(VLOOKUP(A2441,[16]PRIORIZADOS!$A:$T,20,FALSE)="","",VLOOKUP(A2441,[16]PRIORIZADOS!$A:$T,20,FALSE)),"")</f>
        <v>No</v>
      </c>
      <c r="U2441" s="11" t="str">
        <f>IFERROR(IF(VLOOKUP(A2441,[16]PRIORIZADOS!$A:$U,21,FALSE)="","",VLOOKUP(A2441,[16]PRIORIZADOS!$A:$U,21,FALSE)),"")</f>
        <v>Se realizará revisión documental el año siguiente.</v>
      </c>
    </row>
    <row r="2442" spans="1:21" s="1" customFormat="1" ht="48">
      <c r="A2442" s="69">
        <f>IF([16]PRIORIZADOS!A31="","",[16]PRIORIZADOS!A31)</f>
        <v>2416</v>
      </c>
      <c r="B2442" s="70">
        <v>3</v>
      </c>
      <c r="C2442" s="261" t="str">
        <f>IFERROR(IF(VLOOKUP(A2442,[16]PRIORIZADOS!$A:$C,3,FALSE)="","",VLOOKUP(A2442,[16]PRIORIZADOS!$A:$C,3,FALSE)),"")</f>
        <v>TUNJUELITO</v>
      </c>
      <c r="D2442" s="261" t="str">
        <f>IFERROR(IF(VLOOKUP(A2442,[16]PRIORIZADOS!$A:$D,4,FALSE)="","",VLOOKUP(A2442,[16]PRIORIZADOS!$A:$D,4,FALSE)),"")</f>
        <v>PRIVADO</v>
      </c>
      <c r="E2442" s="261" t="str">
        <f>IFERROR(IF(VLOOKUP(A2442,[16]PRIORIZADOS!$A:$E,5,FALSE)="","",VLOOKUP(A2442,[16]PRIORIZADOS!$A:$E,5,FALSE)),"")</f>
        <v>EPBM</v>
      </c>
      <c r="F2442" s="261" t="str">
        <f>IFERROR(IF(VLOOKUP(A2442,[16]PRIORIZADOS!$A:$F,6,FALSE)="","",VLOOKUP(A2442,[16]PRIORIZADOS!$A:$F,6,FALSE)),"")</f>
        <v>COLEGIO_COOPERATIVO_NUEVO_MUZU</v>
      </c>
      <c r="G2442" s="261" t="str">
        <f>IFERROR(IF(VLOOKUP(A2442,[16]PRIORIZADOS!$A:$G,7,FALSE)="","",VLOOKUP(A2442,[16]PRIORIZADOS!$A:$G,7,FALSE)),"")</f>
        <v>COLEGIO COOPERATIVO NUEVO MUZU</v>
      </c>
      <c r="H2442" s="261" t="str">
        <f>IFERROR(IF(VLOOKUP(A2442,[16]PRIORIZADOS!$A:$H,8,FALSE)="","",VLOOKUP(A2442,[16]PRIORIZADOS!$A:$H,8,FALSE)),"")</f>
        <v>Autoevaluación Institucional y Pruebas SABER 11</v>
      </c>
      <c r="I2442" s="261" t="str">
        <f>IFERROR(IF(VLOOKUP(A2442,[16]PRIORIZADOS!$A:$I,9,FALSE)="","",VLOOKUP(A2442,[16]PRIORIZADOS!$A:$I,9,FALSE)),"")</f>
        <v>EVALUACIÓN_CON_FINES_DE_MEJORAMIENTO.</v>
      </c>
      <c r="J2442" s="261" t="str">
        <f>IFERROR(IF(VLOOKUP(A2442,[16]PRIORIZADOS!$A:$J,10,FALSE)="","",VLOOKUP(A2442,[16]PRIORIZADOS!$A:$J,10,FALSE)),"")</f>
        <v>Revisar el calendario escolar, jornada escolar, la intensidad horaria mínima anual en cada nivel y las modificaciones que se realicen al mismo, de acuerdo con lo previsto en la normatividad vigente.</v>
      </c>
      <c r="K2442" s="261" t="str">
        <f>IFERROR(IF(VLOOKUP(A2442,[16]PRIORIZADOS!$A:$K,11,FALSE)="","",VLOOKUP(A2442,[16]PRIORIZADOS!$A:$K,11,FALSE)),"")</f>
        <v>NELSON AUGUSTO CUBILLOS OLARTE</v>
      </c>
      <c r="L2442" s="261" t="str">
        <f>IFERROR(IF(VLOOKUP(A2442,[16]PRIORIZADOS!$A:$L,12,FALSE)="","",VLOOKUP(A2442,[16]PRIORIZADOS!$A:$L,12,FALSE)),"")</f>
        <v>SANDRA JAZMÍN BAQUERO CÓRDOBA</v>
      </c>
      <c r="M2442" s="262">
        <f>IFERROR(IF(VLOOKUP(A2442,[16]PRIORIZADOS!$A:$M,13,FALSE)="","",VLOOKUP(A2442,[16]PRIORIZADOS!$A:$M,13,FALSE)),"")</f>
        <v>45798</v>
      </c>
      <c r="N2442" s="262">
        <f>IFERROR(IF(VLOOKUP(A2442,[16]PRIORIZADOS!$A:$N,14,FALSE)="","",VLOOKUP(A2442,[16]PRIORIZADOS!$A:$N,14,FALSE)),"")</f>
        <v>45863</v>
      </c>
      <c r="O2442" s="262">
        <f>IFERROR(IF(VLOOKUP(A2442,[16]PRIORIZADOS!$A:$O,15,FALSE)="","",VLOOKUP(A2442,[16]PRIORIZADOS!$A:$O,15,FALSE)),"")</f>
        <v>45863</v>
      </c>
      <c r="P2442" s="261" t="str">
        <f>IFERROR(IF(VLOOKUP(A2442,[16]PRIORIZADOS!$A:$P,16,FALSE)="","",VLOOKUP(A2442,[16]PRIORIZADOS!$A:$P,16,FALSE)),"")</f>
        <v>Visitas de evaluación con fines de mejoramiento</v>
      </c>
      <c r="Q2442" s="56" t="s">
        <v>485</v>
      </c>
      <c r="R2442" s="261" t="str">
        <f>IFERROR(IF(VLOOKUP(A2442,[16]PRIORIZADOS!$A:$R,18,FALSE)="","",VLOOKUP(A2442,[16]PRIORIZADOS!$A:$R,18,FALSE)),"")</f>
        <v xml:space="preserve">La institución se encuentra ejecutando el calendario de acuerdo con la normatividad vigente garantizando el numero de horas lectivaspara cada uno de los niveles, </v>
      </c>
      <c r="S2442" s="261" t="str">
        <f>IFERROR(IF(VLOOKUP(A2442,[16]PRIORIZADOS!$A:$S,19,FALSE)="","",VLOOKUP(A2442,[16]PRIORIZADOS!$A:$S,19,FALSE)),"")</f>
        <v>Continuar con la ejecución del calendario de acuerdo con lo planeado</v>
      </c>
      <c r="T2442" s="70" t="str">
        <f>IFERROR(IF(VLOOKUP(A2442,[16]PRIORIZADOS!$A:$T,20,FALSE)="","",VLOOKUP(A2442,[16]PRIORIZADOS!$A:$T,20,FALSE)),"")</f>
        <v>No</v>
      </c>
      <c r="U2442" s="11" t="str">
        <f>IFERROR(IF(VLOOKUP(A2442,[16]PRIORIZADOS!$A:$U,21,FALSE)="","",VLOOKUP(A2442,[16]PRIORIZADOS!$A:$U,21,FALSE)),"")</f>
        <v>Se realiza verificación documental del calendario el año siguiente.</v>
      </c>
    </row>
    <row r="2443" spans="1:21" s="1" customFormat="1" ht="60">
      <c r="A2443" s="69">
        <f>IF([16]PRIORIZADOS!A32="","",[16]PRIORIZADOS!A32)</f>
        <v>2417</v>
      </c>
      <c r="B2443" s="70">
        <v>3</v>
      </c>
      <c r="C2443" s="261" t="str">
        <f>IFERROR(IF(VLOOKUP(A2443,[16]PRIORIZADOS!$A:$C,3,FALSE)="","",VLOOKUP(A2443,[16]PRIORIZADOS!$A:$C,3,FALSE)),"")</f>
        <v>TUNJUELITO</v>
      </c>
      <c r="D2443" s="261" t="str">
        <f>IFERROR(IF(VLOOKUP(A2443,[16]PRIORIZADOS!$A:$D,4,FALSE)="","",VLOOKUP(A2443,[16]PRIORIZADOS!$A:$D,4,FALSE)),"")</f>
        <v>PRIVADO</v>
      </c>
      <c r="E2443" s="261" t="str">
        <f>IFERROR(IF(VLOOKUP(A2443,[16]PRIORIZADOS!$A:$E,5,FALSE)="","",VLOOKUP(A2443,[16]PRIORIZADOS!$A:$E,5,FALSE)),"")</f>
        <v>EPBM</v>
      </c>
      <c r="F2443" s="261" t="str">
        <f>IFERROR(IF(VLOOKUP(A2443,[16]PRIORIZADOS!$A:$F,6,FALSE)="","",VLOOKUP(A2443,[16]PRIORIZADOS!$A:$F,6,FALSE)),"")</f>
        <v>COLEGIO_COOPERATIVO_NUEVO_MUZU</v>
      </c>
      <c r="G2443" s="261" t="str">
        <f>IFERROR(IF(VLOOKUP(A2443,[16]PRIORIZADOS!$A:$G,7,FALSE)="","",VLOOKUP(A2443,[16]PRIORIZADOS!$A:$G,7,FALSE)),"")</f>
        <v>COLEGIO COOPERATIVO NUEVO MUZU</v>
      </c>
      <c r="H2443" s="261" t="str">
        <f>IFERROR(IF(VLOOKUP(A2443,[16]PRIORIZADOS!$A:$H,8,FALSE)="","",VLOOKUP(A2443,[16]PRIORIZADOS!$A:$H,8,FALSE)),"")</f>
        <v>Autoevaluación Institucional y Pruebas SABER 11</v>
      </c>
      <c r="I2443" s="261" t="str">
        <f>IFERROR(IF(VLOOKUP(A2443,[16]PRIORIZADOS!$A:$I,9,FALSE)="","",VLOOKUP(A2443,[16]PRIORIZADOS!$A:$I,9,FALSE)),"")</f>
        <v>EVALUACIÓN_CON_FINES_DE_MEJORAMIENTO.</v>
      </c>
      <c r="J2443" s="261" t="str">
        <f>IFERROR(IF(VLOOKUP(A2443,[16]PRIORIZADOS!$A:$J,10,FALSE)="","",VLOOKUP(A2443,[16]PRIORIZADOS!$A:$J,10,FALSE)),"")</f>
        <v>Verificar el funcionamiento del Gobierno Escolar e instancias de participación con base en la información sobre conformación reportada por la institución educativa.</v>
      </c>
      <c r="K2443" s="261" t="str">
        <f>IFERROR(IF(VLOOKUP(A2443,[16]PRIORIZADOS!$A:$K,11,FALSE)="","",VLOOKUP(A2443,[16]PRIORIZADOS!$A:$K,11,FALSE)),"")</f>
        <v>NELSON AUGUSTO CUBILLOS OLARTE</v>
      </c>
      <c r="L2443" s="261" t="str">
        <f>IFERROR(IF(VLOOKUP(A2443,[16]PRIORIZADOS!$A:$L,12,FALSE)="","",VLOOKUP(A2443,[16]PRIORIZADOS!$A:$L,12,FALSE)),"")</f>
        <v>SANDRA JAZMÍN BAQUERO CÓRDOBA</v>
      </c>
      <c r="M2443" s="262">
        <f>IFERROR(IF(VLOOKUP(A2443,[16]PRIORIZADOS!$A:$M,13,FALSE)="","",VLOOKUP(A2443,[16]PRIORIZADOS!$A:$M,13,FALSE)),"")</f>
        <v>45798</v>
      </c>
      <c r="N2443" s="262">
        <f>IFERROR(IF(VLOOKUP(A2443,[16]PRIORIZADOS!$A:$N,14,FALSE)="","",VLOOKUP(A2443,[16]PRIORIZADOS!$A:$N,14,FALSE)),"")</f>
        <v>45863</v>
      </c>
      <c r="O2443" s="262">
        <f>IFERROR(IF(VLOOKUP(A2443,[16]PRIORIZADOS!$A:$O,15,FALSE)="","",VLOOKUP(A2443,[16]PRIORIZADOS!$A:$O,15,FALSE)),"")</f>
        <v>45863</v>
      </c>
      <c r="P2443" s="261" t="str">
        <f>IFERROR(IF(VLOOKUP(A2443,[16]PRIORIZADOS!$A:$P,16,FALSE)="","",VLOOKUP(A2443,[16]PRIORIZADOS!$A:$P,16,FALSE)),"")</f>
        <v>Visitas de evaluación con fines de mejoramiento</v>
      </c>
      <c r="Q2443" s="56" t="s">
        <v>485</v>
      </c>
      <c r="R2443" s="261" t="str">
        <f>IFERROR(IF(VLOOKUP(A2443,[16]PRIORIZADOS!$A:$R,18,FALSE)="","",VLOOKUP(A2443,[16]PRIORIZADOS!$A:$R,18,FALSE)),"")</f>
        <v>La institución cumplió en los tiempos determinados con el reporte de la constitución de los organos del gobierno escolar y demas organos de participación, los cuales se encuentran operando.</v>
      </c>
      <c r="S2443" s="261" t="str">
        <f>IFERROR(IF(VLOOKUP(A2443,[16]PRIORIZADOS!$A:$S,19,FALSE)="","",VLOOKUP(A2443,[16]PRIORIZADOS!$A:$S,19,FALSE)),"")</f>
        <v>Continuar con el desarrollo de las sesiones de los organos siguiendo las orientaciones adicionales realizadas.</v>
      </c>
      <c r="T2443" s="70" t="str">
        <f>IFERROR(IF(VLOOKUP(A2443,[16]PRIORIZADOS!$A:$T,20,FALSE)="","",VLOOKUP(A2443,[16]PRIORIZADOS!$A:$T,20,FALSE)),"")</f>
        <v>No</v>
      </c>
      <c r="U2443" s="11" t="str">
        <f>IFERROR(IF(VLOOKUP(A2443,[16]PRIORIZADOS!$A:$U,21,FALSE)="","",VLOOKUP(A2443,[16]PRIORIZADOS!$A:$U,21,FALSE)),"")</f>
        <v>Se realizará revisión documental el año siguiente.</v>
      </c>
    </row>
    <row r="2444" spans="1:21" s="1" customFormat="1" ht="72">
      <c r="A2444" s="69">
        <f>IF([16]PRIORIZADOS!A33="","",[16]PRIORIZADOS!A33)</f>
        <v>2418</v>
      </c>
      <c r="B2444" s="70">
        <v>3</v>
      </c>
      <c r="C2444" s="261" t="str">
        <f>IFERROR(IF(VLOOKUP(A2444,[16]PRIORIZADOS!$A:$C,3,FALSE)="","",VLOOKUP(A2444,[16]PRIORIZADOS!$A:$C,3,FALSE)),"")</f>
        <v>TUNJUELITO</v>
      </c>
      <c r="D2444" s="261" t="str">
        <f>IFERROR(IF(VLOOKUP(A2444,[16]PRIORIZADOS!$A:$D,4,FALSE)="","",VLOOKUP(A2444,[16]PRIORIZADOS!$A:$D,4,FALSE)),"")</f>
        <v>PRIVADO</v>
      </c>
      <c r="E2444" s="261" t="str">
        <f>IFERROR(IF(VLOOKUP(A2444,[16]PRIORIZADOS!$A:$E,5,FALSE)="","",VLOOKUP(A2444,[16]PRIORIZADOS!$A:$E,5,FALSE)),"")</f>
        <v>EPBM</v>
      </c>
      <c r="F2444" s="261" t="str">
        <f>IFERROR(IF(VLOOKUP(A2444,[16]PRIORIZADOS!$A:$F,6,FALSE)="","",VLOOKUP(A2444,[16]PRIORIZADOS!$A:$F,6,FALSE)),"")</f>
        <v>COLEGIO_COOPERATIVO_NUEVO_MUZU</v>
      </c>
      <c r="G2444" s="261" t="str">
        <f>IFERROR(IF(VLOOKUP(A2444,[16]PRIORIZADOS!$A:$G,7,FALSE)="","",VLOOKUP(A2444,[16]PRIORIZADOS!$A:$G,7,FALSE)),"")</f>
        <v>COLEGIO COOPERATIVO NUEVO MUZU</v>
      </c>
      <c r="H2444" s="261" t="str">
        <f>IFERROR(IF(VLOOKUP(A2444,[16]PRIORIZADOS!$A:$H,8,FALSE)="","",VLOOKUP(A2444,[16]PRIORIZADOS!$A:$H,8,FALSE)),"")</f>
        <v>Autoevaluación Institucional y Pruebas SABER 11</v>
      </c>
      <c r="I2444" s="261" t="str">
        <f>IFERROR(IF(VLOOKUP(A2444,[16]PRIORIZADOS!$A:$I,9,FALSE)="","",VLOOKUP(A2444,[16]PRIORIZADOS!$A:$I,9,FALSE)),"")</f>
        <v>EVALUACIÓN_CON_FINES_DE_MEJORAMIENTO.</v>
      </c>
      <c r="J2444" s="261" t="str">
        <f>IFERROR(IF(VLOOKUP(A2444,[16]PRIORIZADOS!$A:$J,10,FALSE)="","",VLOOKUP(A2444,[16]PRIORIZADOS!$A:$J,10,FALSE)),"")</f>
        <v>Verificar las condiciones en cuanto a: la estructura administrativa, condiciones de la planta física y medios educativos adecuados.</v>
      </c>
      <c r="K2444" s="261" t="str">
        <f>IFERROR(IF(VLOOKUP(A2444,[16]PRIORIZADOS!$A:$K,11,FALSE)="","",VLOOKUP(A2444,[16]PRIORIZADOS!$A:$K,11,FALSE)),"")</f>
        <v>NELSON AUGUSTO CUBILLOS OLARTE</v>
      </c>
      <c r="L2444" s="261" t="str">
        <f>IFERROR(IF(VLOOKUP(A2444,[16]PRIORIZADOS!$A:$L,12,FALSE)="","",VLOOKUP(A2444,[16]PRIORIZADOS!$A:$L,12,FALSE)),"")</f>
        <v>SANDRA JAZMÍN BAQUERO CÓRDOBA</v>
      </c>
      <c r="M2444" s="262">
        <f>IFERROR(IF(VLOOKUP(A2444,[16]PRIORIZADOS!$A:$M,13,FALSE)="","",VLOOKUP(A2444,[16]PRIORIZADOS!$A:$M,13,FALSE)),"")</f>
        <v>45798</v>
      </c>
      <c r="N2444" s="262">
        <f>IFERROR(IF(VLOOKUP(A2444,[16]PRIORIZADOS!$A:$N,14,FALSE)="","",VLOOKUP(A2444,[16]PRIORIZADOS!$A:$N,14,FALSE)),"")</f>
        <v>45863</v>
      </c>
      <c r="O2444" s="262">
        <f>IFERROR(IF(VLOOKUP(A2444,[16]PRIORIZADOS!$A:$O,15,FALSE)="","",VLOOKUP(A2444,[16]PRIORIZADOS!$A:$O,15,FALSE)),"")</f>
        <v>45863</v>
      </c>
      <c r="P2444" s="261" t="str">
        <f>IFERROR(IF(VLOOKUP(A2444,[16]PRIORIZADOS!$A:$P,16,FALSE)="","",VLOOKUP(A2444,[16]PRIORIZADOS!$A:$P,16,FALSE)),"")</f>
        <v>Visitas de evaluación con fines de mejoramiento</v>
      </c>
      <c r="Q2444" s="56" t="s">
        <v>485</v>
      </c>
      <c r="R2444" s="261" t="str">
        <f>IFERROR(IF(VLOOKUP(A2444,[16]PRIORIZADOS!$A:$R,18,FALSE)="","",VLOOKUP(A2444,[16]PRIORIZADOS!$A:$R,18,FALSE)),"")</f>
        <v>La institución cuenta con la infraestructura necesaria para la prestación de los servicios educativos se debe revisar en los espacios la estructuración de un  baño para discapacitados con movilidad reducida</v>
      </c>
      <c r="S2444" s="261" t="str">
        <f>IFERROR(IF(VLOOKUP(A2444,[16]PRIORIZADOS!$A:$S,19,FALSE)="","",VLOOKUP(A2444,[16]PRIORIZADOS!$A:$S,19,FALSE)),"")</f>
        <v>Realizar el proyecto de estructuración del baño para personas con movilidad reducida.</v>
      </c>
      <c r="T2444" s="70" t="str">
        <f>IFERROR(IF(VLOOKUP(A2444,[16]PRIORIZADOS!$A:$T,20,FALSE)="","",VLOOKUP(A2444,[16]PRIORIZADOS!$A:$T,20,FALSE)),"")</f>
        <v>Si</v>
      </c>
      <c r="U2444" s="11" t="str">
        <f>IFERROR(IF(VLOOKUP(A2444,[16]PRIORIZADOS!$A:$U,21,FALSE)="","",VLOOKUP(A2444,[16]PRIORIZADOS!$A:$U,21,FALSE)),"")</f>
        <v>SE verificará el Plan de mejoramiento en ese aspecto y se realizará el seguimiento respectivo.</v>
      </c>
    </row>
    <row r="2445" spans="1:21" s="1" customFormat="1" ht="84">
      <c r="A2445" s="69">
        <f>IF([16]PRIORIZADOS!A34="","",[16]PRIORIZADOS!A34)</f>
        <v>2419</v>
      </c>
      <c r="B2445" s="70">
        <v>4</v>
      </c>
      <c r="C2445" s="261" t="str">
        <f>IFERROR(IF(VLOOKUP(A2445,[16]PRIORIZADOS!$A:$C,3,FALSE)="","",VLOOKUP(A2445,[16]PRIORIZADOS!$A:$C,3,FALSE)),"")</f>
        <v>TUNJUELITO</v>
      </c>
      <c r="D2445" s="261" t="str">
        <f>IFERROR(IF(VLOOKUP(A2445,[16]PRIORIZADOS!$A:$D,4,FALSE)="","",VLOOKUP(A2445,[16]PRIORIZADOS!$A:$D,4,FALSE)),"")</f>
        <v>PRIVADO</v>
      </c>
      <c r="E2445" s="261" t="str">
        <f>IFERROR(IF(VLOOKUP(A2445,[16]PRIORIZADOS!$A:$E,5,FALSE)="","",VLOOKUP(A2445,[16]PRIORIZADOS!$A:$E,5,FALSE)),"")</f>
        <v>EPBM</v>
      </c>
      <c r="F2445" s="261" t="str">
        <f>IFERROR(IF(VLOOKUP(A2445,[16]PRIORIZADOS!$A:$F,6,FALSE)="","",VLOOKUP(A2445,[16]PRIORIZADOS!$A:$F,6,FALSE)),"")</f>
        <v>COLEGIO_COOPERATIVO_VENECIA</v>
      </c>
      <c r="G2445" s="261" t="str">
        <f>IFERROR(IF(VLOOKUP(A2445,[16]PRIORIZADOS!$A:$G,7,FALSE)="","",VLOOKUP(A2445,[16]PRIORIZADOS!$A:$G,7,FALSE)),"")</f>
        <v>COLEGIO COOPERATIVO VENECIA</v>
      </c>
      <c r="H2445" s="261" t="str">
        <f>IFERROR(IF(VLOOKUP(A2445,[16]PRIORIZADOS!$A:$H,8,FALSE)="","",VLOOKUP(A2445,[16]PRIORIZADOS!$A:$H,8,FALSE)),"")</f>
        <v>Autoevaluación Institucional y Pruebas SABER 11</v>
      </c>
      <c r="I2445" s="261" t="str">
        <f>IFERROR(IF(VLOOKUP(A2445,[16]PRIORIZADOS!$A:$I,9,FALSE)="","",VLOOKUP(A2445,[16]PRIORIZADOS!$A:$I,9,FALSE)),"")</f>
        <v>SEGUIMIENTO_Y_SUPERVISIÓN.</v>
      </c>
      <c r="J2445" s="261" t="str">
        <f>IFERROR(IF(VLOOKUP(A2445,[16]PRIORIZADOS!$A:$J,10,FALSE)="","",VLOOKUP(A2445,[16]PRIORIZADOS!$A:$J,10,FALSE)),"")</f>
        <v>Realizar visitas para verificar la información registrada sobre la autoevaluación institucional en el aplicativo EVI, a los establecimientos de educación formal no oficial.</v>
      </c>
      <c r="K2445" s="261" t="str">
        <f>IFERROR(IF(VLOOKUP(A2445,[16]PRIORIZADOS!$A:$K,11,FALSE)="","",VLOOKUP(A2445,[16]PRIORIZADOS!$A:$K,11,FALSE)),"")</f>
        <v>CLAUDIA PATRICIA GRANADOS FLÓREZ</v>
      </c>
      <c r="L2445" s="261" t="str">
        <f>IFERROR(IF(VLOOKUP(A2445,[16]PRIORIZADOS!$A:$L,12,FALSE)="","",VLOOKUP(A2445,[16]PRIORIZADOS!$A:$L,12,FALSE)),"")</f>
        <v xml:space="preserve">SANDRA JAZMÍN BAQUERO CÓRDOBA
NELSON AUGUSTO CUBILLOS OLARTE
CLAUDIA PATRICIA GRANADOS FLÓREZ
</v>
      </c>
      <c r="M2445" s="262">
        <f>IFERROR(IF(VLOOKUP(A2445,[16]PRIORIZADOS!$A:$M,13,FALSE)="","",VLOOKUP(A2445,[16]PRIORIZADOS!$A:$M,13,FALSE)),"")</f>
        <v>45817</v>
      </c>
      <c r="N2445" s="262">
        <f>IFERROR(IF(VLOOKUP(A2445,[16]PRIORIZADOS!$A:$N,14,FALSE)="","",VLOOKUP(A2445,[16]PRIORIZADOS!$A:$N,14,FALSE)),"")</f>
        <v>45824</v>
      </c>
      <c r="O2445" s="262">
        <f>IFERROR(IF(VLOOKUP(A2445,[16]PRIORIZADOS!$A:$O,15,FALSE)="","",VLOOKUP(A2445,[16]PRIORIZADOS!$A:$O,15,FALSE)),"")</f>
        <v>45824</v>
      </c>
      <c r="P2445" s="261" t="str">
        <f>IFERROR(IF(VLOOKUP(A2445,[16]PRIORIZADOS!$A:$P,16,FALSE)="","",VLOOKUP(A2445,[16]PRIORIZADOS!$A:$P,16,FALSE)),"")</f>
        <v>Visitas de evaluación con fines de seguimiento</v>
      </c>
      <c r="Q2445" s="263" t="s">
        <v>486</v>
      </c>
      <c r="R2445" s="261" t="str">
        <f>IFERROR(IF(VLOOKUP(A2445,[16]PRIORIZADOS!$A:$R,18,FALSE)="","",VLOOKUP(A2445,[16]PRIORIZADOS!$A:$R,18,FALSE)),"")</f>
        <v>Se evidencia carencia de espacios en la infraestructura, ajustes para el PEI, curriculo, servicio social, orientación escolar,  manual de funciones,  etc.</v>
      </c>
      <c r="S2445" s="261" t="str">
        <f>IFERROR(IF(VLOOKUP(A2445,[16]PRIORIZADOS!$A:$S,19,FALSE)="","",VLOOKUP(A2445,[16]PRIORIZADOS!$A:$S,19,FALSE)),"")</f>
        <v>Presentación del PMI 14 de agosto de 2025</v>
      </c>
      <c r="T2445" s="70" t="str">
        <f>IFERROR(IF(VLOOKUP(A2445,[16]PRIORIZADOS!$A:$T,20,FALSE)="","",VLOOKUP(A2445,[16]PRIORIZADOS!$A:$T,20,FALSE)),"")</f>
        <v>Si</v>
      </c>
      <c r="U2445" s="11" t="str">
        <f>IFERROR(IF(VLOOKUP(A2445,[16]PRIORIZADOS!$A:$U,21,FALSE)="","",VLOOKUP(A2445,[16]PRIORIZADOS!$A:$U,21,FALSE)),"")</f>
        <v>Se revisara el plan de mejoramiento aportado para verificar su pertinencia y porsterior seguimiento para su cumplimiento</v>
      </c>
    </row>
    <row r="2446" spans="1:21" s="1" customFormat="1" ht="84">
      <c r="A2446" s="69">
        <f>IF([16]PRIORIZADOS!A35="","",[16]PRIORIZADOS!A35)</f>
        <v>2420</v>
      </c>
      <c r="B2446" s="70">
        <v>4</v>
      </c>
      <c r="C2446" s="261" t="str">
        <f>IFERROR(IF(VLOOKUP(A2446,[16]PRIORIZADOS!$A:$C,3,FALSE)="","",VLOOKUP(A2446,[16]PRIORIZADOS!$A:$C,3,FALSE)),"")</f>
        <v>TUNJUELITO</v>
      </c>
      <c r="D2446" s="261" t="str">
        <f>IFERROR(IF(VLOOKUP(A2446,[16]PRIORIZADOS!$A:$D,4,FALSE)="","",VLOOKUP(A2446,[16]PRIORIZADOS!$A:$D,4,FALSE)),"")</f>
        <v>PRIVADO</v>
      </c>
      <c r="E2446" s="261" t="str">
        <f>IFERROR(IF(VLOOKUP(A2446,[16]PRIORIZADOS!$A:$E,5,FALSE)="","",VLOOKUP(A2446,[16]PRIORIZADOS!$A:$E,5,FALSE)),"")</f>
        <v>EPBM</v>
      </c>
      <c r="F2446" s="261" t="str">
        <f>IFERROR(IF(VLOOKUP(A2446,[16]PRIORIZADOS!$A:$F,6,FALSE)="","",VLOOKUP(A2446,[16]PRIORIZADOS!$A:$F,6,FALSE)),"")</f>
        <v>COLEGIO_COOPERATIVO_VENECIA</v>
      </c>
      <c r="G2446" s="261" t="str">
        <f>IFERROR(IF(VLOOKUP(A2446,[16]PRIORIZADOS!$A:$G,7,FALSE)="","",VLOOKUP(A2446,[16]PRIORIZADOS!$A:$G,7,FALSE)),"")</f>
        <v>COLEGIO COOPERATIVO VENECIA</v>
      </c>
      <c r="H2446" s="261" t="str">
        <f>IFERROR(IF(VLOOKUP(A2446,[16]PRIORIZADOS!$A:$H,8,FALSE)="","",VLOOKUP(A2446,[16]PRIORIZADOS!$A:$H,8,FALSE)),"")</f>
        <v>Autoevaluación Institucional y Pruebas SABER 11</v>
      </c>
      <c r="I2446" s="261" t="str">
        <f>IFERROR(IF(VLOOKUP(A2446,[16]PRIORIZADOS!$A:$I,9,FALSE)="","",VLOOKUP(A2446,[16]PRIORIZADOS!$A:$I,9,FALSE)),"")</f>
        <v>SEGUIMIENTO_Y_SUPERVISIÓN.</v>
      </c>
      <c r="J2446" s="261" t="str">
        <f>IFERROR(IF(VLOOKUP(A2446,[16]PRIORIZADOS!$A:$J,10,FALSE)="","",VLOOKUP(A2446,[16]PRIORIZADOS!$A:$J,10,FALSE)),"")</f>
        <v>Proponer estrategias en la formulación, verificar su elaboración y realizar seguimiento semestral al desarrollo de  las acciones establecidas en los planes de mejoramiento por pruebas SABER 11 de los establecimientos de educación formal.</v>
      </c>
      <c r="K2446" s="261" t="str">
        <f>IFERROR(IF(VLOOKUP(A2446,[16]PRIORIZADOS!$A:$K,11,FALSE)="","",VLOOKUP(A2446,[16]PRIORIZADOS!$A:$K,11,FALSE)),"")</f>
        <v>CLAUDIA PATRICIA GRANADOS FLÓREZ</v>
      </c>
      <c r="L2446" s="261" t="str">
        <f>IFERROR(IF(VLOOKUP(A2446,[16]PRIORIZADOS!$A:$L,12,FALSE)="","",VLOOKUP(A2446,[16]PRIORIZADOS!$A:$L,12,FALSE)),"")</f>
        <v xml:space="preserve">SANDRA JAZMÍN BAQUERO CÓRDOBA
NELSON AUGUSTO CUBILLOS OLARTE
CLAUDIA PATRICIA GRANADOS FLÓREZ
</v>
      </c>
      <c r="M2446" s="262">
        <f>IFERROR(IF(VLOOKUP(A2446,[16]PRIORIZADOS!$A:$M,13,FALSE)="","",VLOOKUP(A2446,[16]PRIORIZADOS!$A:$M,13,FALSE)),"")</f>
        <v>45817</v>
      </c>
      <c r="N2446" s="262">
        <f>IFERROR(IF(VLOOKUP(A2446,[16]PRIORIZADOS!$A:$N,14,FALSE)="","",VLOOKUP(A2446,[16]PRIORIZADOS!$A:$N,14,FALSE)),"")</f>
        <v>45793</v>
      </c>
      <c r="O2446" s="262">
        <f>IFERROR(IF(VLOOKUP(A2446,[16]PRIORIZADOS!$A:$O,15,FALSE)="","",VLOOKUP(A2446,[16]PRIORIZADOS!$A:$O,15,FALSE)),"")</f>
        <v>45824</v>
      </c>
      <c r="P2446" s="261" t="str">
        <f>IFERROR(IF(VLOOKUP(A2446,[16]PRIORIZADOS!$A:$P,16,FALSE)="","",VLOOKUP(A2446,[16]PRIORIZADOS!$A:$P,16,FALSE)),"")</f>
        <v>Visitas de evaluación con fines de seguimiento</v>
      </c>
      <c r="Q2446" s="263" t="s">
        <v>486</v>
      </c>
      <c r="R2446" s="261" t="str">
        <f>IFERROR(IF(VLOOKUP(A2446,[16]PRIORIZADOS!$A:$R,18,FALSE)="","",VLOOKUP(A2446,[16]PRIORIZADOS!$A:$R,18,FALSE)),"")</f>
        <v>La Institucion esta clasificada en Categoria A. para el año 2024</v>
      </c>
      <c r="S2446" s="261" t="str">
        <f>IFERROR(IF(VLOOKUP(A2446,[16]PRIORIZADOS!$A:$S,19,FALSE)="","",VLOOKUP(A2446,[16]PRIORIZADOS!$A:$S,19,FALSE)),"")</f>
        <v>Continuidad en el seguimiento para mantener la categoria o superarla</v>
      </c>
      <c r="T2446" s="70" t="str">
        <f>IFERROR(IF(VLOOKUP(A2446,[16]PRIORIZADOS!$A:$T,20,FALSE)="","",VLOOKUP(A2446,[16]PRIORIZADOS!$A:$T,20,FALSE)),"")</f>
        <v>No</v>
      </c>
      <c r="U2446" s="11" t="str">
        <f>IFERROR(IF(VLOOKUP(A2446,[16]PRIORIZADOS!$A:$U,21,FALSE)="","",VLOOKUP(A2446,[16]PRIORIZADOS!$A:$U,21,FALSE)),"")</f>
        <v>Se verificará la  formulación para la siguiente vigencia o en caso de presentarse una queja</v>
      </c>
    </row>
    <row r="2447" spans="1:21" s="1" customFormat="1" ht="84">
      <c r="A2447" s="69">
        <f>IF([16]PRIORIZADOS!A36="","",[16]PRIORIZADOS!A36)</f>
        <v>2421</v>
      </c>
      <c r="B2447" s="70">
        <v>4</v>
      </c>
      <c r="C2447" s="261" t="str">
        <f>IFERROR(IF(VLOOKUP(A2447,[16]PRIORIZADOS!$A:$C,3,FALSE)="","",VLOOKUP(A2447,[16]PRIORIZADOS!$A:$C,3,FALSE)),"")</f>
        <v>TUNJUELITO</v>
      </c>
      <c r="D2447" s="261" t="str">
        <f>IFERROR(IF(VLOOKUP(A2447,[16]PRIORIZADOS!$A:$D,4,FALSE)="","",VLOOKUP(A2447,[16]PRIORIZADOS!$A:$D,4,FALSE)),"")</f>
        <v>PRIVADO</v>
      </c>
      <c r="E2447" s="261" t="str">
        <f>IFERROR(IF(VLOOKUP(A2447,[16]PRIORIZADOS!$A:$E,5,FALSE)="","",VLOOKUP(A2447,[16]PRIORIZADOS!$A:$E,5,FALSE)),"")</f>
        <v>EPBM</v>
      </c>
      <c r="F2447" s="261" t="str">
        <f>IFERROR(IF(VLOOKUP(A2447,[16]PRIORIZADOS!$A:$F,6,FALSE)="","",VLOOKUP(A2447,[16]PRIORIZADOS!$A:$F,6,FALSE)),"")</f>
        <v>COLEGIO_COOPERATIVO_VENECIA</v>
      </c>
      <c r="G2447" s="261" t="str">
        <f>IFERROR(IF(VLOOKUP(A2447,[16]PRIORIZADOS!$A:$G,7,FALSE)="","",VLOOKUP(A2447,[16]PRIORIZADOS!$A:$G,7,FALSE)),"")</f>
        <v>COLEGIO COOPERATIVO VENECIA</v>
      </c>
      <c r="H2447" s="261" t="str">
        <f>IFERROR(IF(VLOOKUP(A2447,[16]PRIORIZADOS!$A:$H,8,FALSE)="","",VLOOKUP(A2447,[16]PRIORIZADOS!$A:$H,8,FALSE)),"")</f>
        <v>Autoevaluación Institucional y Pruebas SABER 11</v>
      </c>
      <c r="I2447" s="261" t="str">
        <f>IFERROR(IF(VLOOKUP(A2447,[16]PRIORIZADOS!$A:$I,9,FALSE)="","",VLOOKUP(A2447,[16]PRIORIZADOS!$A:$I,9,FALSE)),"")</f>
        <v>SEGUIMIENTO_Y_SUPERVISIÓN.</v>
      </c>
      <c r="J2447" s="261" t="str">
        <f>IFERROR(IF(VLOOKUP(A2447,[16]PRIORIZADOS!$A:$J,10,FALSE)="","",VLOOKUP(A2447,[16]PRIORIZADOS!$A:$J,10,FALSE)),"")</f>
        <v xml:space="preserve">Verificar la implementación por parte de los colegios, de acciones realizadas para la prevención y atención de las situaciones de convivencia en el entorno escolar, según lo establecido en la Directiva 01 de 2022 del MEN. </v>
      </c>
      <c r="K2447" s="261" t="str">
        <f>IFERROR(IF(VLOOKUP(A2447,[16]PRIORIZADOS!$A:$K,11,FALSE)="","",VLOOKUP(A2447,[16]PRIORIZADOS!$A:$K,11,FALSE)),"")</f>
        <v>CLAUDIA PATRICIA GRANADOS FLÓREZ</v>
      </c>
      <c r="L2447" s="261" t="str">
        <f>IFERROR(IF(VLOOKUP(A2447,[16]PRIORIZADOS!$A:$L,12,FALSE)="","",VLOOKUP(A2447,[16]PRIORIZADOS!$A:$L,12,FALSE)),"")</f>
        <v xml:space="preserve">SANDRA JAZMÍN BAQUERO CÓRDOBA
NELSON AUGUSTO CUBILLOS OLARTE
CLAUDIA PATRICIA GRANADOS FLÓREZ
</v>
      </c>
      <c r="M2447" s="262">
        <f>IFERROR(IF(VLOOKUP(A2447,[16]PRIORIZADOS!$A:$M,13,FALSE)="","",VLOOKUP(A2447,[16]PRIORIZADOS!$A:$M,13,FALSE)),"")</f>
        <v>45817</v>
      </c>
      <c r="N2447" s="262">
        <f>IFERROR(IF(VLOOKUP(A2447,[16]PRIORIZADOS!$A:$N,14,FALSE)="","",VLOOKUP(A2447,[16]PRIORIZADOS!$A:$N,14,FALSE)),"")</f>
        <v>45824</v>
      </c>
      <c r="O2447" s="262">
        <f>IFERROR(IF(VLOOKUP(A2447,[16]PRIORIZADOS!$A:$O,15,FALSE)="","",VLOOKUP(A2447,[16]PRIORIZADOS!$A:$O,15,FALSE)),"")</f>
        <v>45824</v>
      </c>
      <c r="P2447" s="261" t="str">
        <f>IFERROR(IF(VLOOKUP(A2447,[16]PRIORIZADOS!$A:$P,16,FALSE)="","",VLOOKUP(A2447,[16]PRIORIZADOS!$A:$P,16,FALSE)),"")</f>
        <v>Visitas de evaluación con fines de seguimiento</v>
      </c>
      <c r="Q2447" s="263" t="s">
        <v>486</v>
      </c>
      <c r="R2447" s="261" t="str">
        <f>IFERROR(IF(VLOOKUP(A2447,[16]PRIORIZADOS!$A:$R,18,FALSE)="","",VLOOKUP(A2447,[16]PRIORIZADOS!$A:$R,18,FALSE)),"")</f>
        <v>Revisadas las carpetas de los docentes se evidencia la consulta realizada por la IE frente a los antecentes, en revision de manual de convivencia se hacen observaciones implementacion Ley 1620</v>
      </c>
      <c r="S2447" s="261" t="str">
        <f>IFERROR(IF(VLOOKUP(A2447,[16]PRIORIZADOS!$A:$S,19,FALSE)="","",VLOOKUP(A2447,[16]PRIORIZADOS!$A:$S,19,FALSE)),"")</f>
        <v>Se recomienda dejar las evidencias en carpetas y verificar todos los docentes</v>
      </c>
      <c r="T2447" s="70" t="str">
        <f>IFERROR(IF(VLOOKUP(A2447,[16]PRIORIZADOS!$A:$T,20,FALSE)="","",VLOOKUP(A2447,[16]PRIORIZADOS!$A:$T,20,FALSE)),"")</f>
        <v>No</v>
      </c>
      <c r="U2447" s="11" t="str">
        <f>IFERROR(IF(VLOOKUP(A2447,[16]PRIORIZADOS!$A:$U,21,FALSE)="","",VLOOKUP(A2447,[16]PRIORIZADOS!$A:$U,21,FALSE)),"")</f>
        <v>Se verificará la continuidad de su cumplimiento o en caso de presentarse una queja</v>
      </c>
    </row>
    <row r="2448" spans="1:21" s="1" customFormat="1" ht="84">
      <c r="A2448" s="69">
        <f>IF([16]PRIORIZADOS!A37="","",[16]PRIORIZADOS!A37)</f>
        <v>2422</v>
      </c>
      <c r="B2448" s="70">
        <v>4</v>
      </c>
      <c r="C2448" s="261" t="str">
        <f>IFERROR(IF(VLOOKUP(A2448,[16]PRIORIZADOS!$A:$C,3,FALSE)="","",VLOOKUP(A2448,[16]PRIORIZADOS!$A:$C,3,FALSE)),"")</f>
        <v>TUNJUELITO</v>
      </c>
      <c r="D2448" s="261" t="str">
        <f>IFERROR(IF(VLOOKUP(A2448,[16]PRIORIZADOS!$A:$D,4,FALSE)="","",VLOOKUP(A2448,[16]PRIORIZADOS!$A:$D,4,FALSE)),"")</f>
        <v>PRIVADO</v>
      </c>
      <c r="E2448" s="261" t="str">
        <f>IFERROR(IF(VLOOKUP(A2448,[16]PRIORIZADOS!$A:$E,5,FALSE)="","",VLOOKUP(A2448,[16]PRIORIZADOS!$A:$E,5,FALSE)),"")</f>
        <v>EPBM</v>
      </c>
      <c r="F2448" s="261" t="str">
        <f>IFERROR(IF(VLOOKUP(A2448,[16]PRIORIZADOS!$A:$F,6,FALSE)="","",VLOOKUP(A2448,[16]PRIORIZADOS!$A:$F,6,FALSE)),"")</f>
        <v>COLEGIO_COOPERATIVO_VENECIA</v>
      </c>
      <c r="G2448" s="261" t="str">
        <f>IFERROR(IF(VLOOKUP(A2448,[16]PRIORIZADOS!$A:$G,7,FALSE)="","",VLOOKUP(A2448,[16]PRIORIZADOS!$A:$G,7,FALSE)),"")</f>
        <v>COLEGIO COOPERATIVO VENECIA</v>
      </c>
      <c r="H2448" s="261" t="str">
        <f>IFERROR(IF(VLOOKUP(A2448,[16]PRIORIZADOS!$A:$H,8,FALSE)="","",VLOOKUP(A2448,[16]PRIORIZADOS!$A:$H,8,FALSE)),"")</f>
        <v>Autoevaluación Institucional y Pruebas SABER 11</v>
      </c>
      <c r="I2448" s="261" t="str">
        <f>IFERROR(IF(VLOOKUP(A2448,[16]PRIORIZADOS!$A:$I,9,FALSE)="","",VLOOKUP(A2448,[16]PRIORIZADOS!$A:$I,9,FALSE)),"")</f>
        <v>SEGUIMIENTO_Y_SUPERVISIÓN.</v>
      </c>
      <c r="J2448" s="261" t="str">
        <f>IFERROR(IF(VLOOKUP(A2448,[16]PRIORIZADOS!$A:$J,10,FALSE)="","",VLOOKUP(A2448,[16]PRIORIZADOS!$A:$J,10,FALSE)),"")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48" s="261" t="str">
        <f>IFERROR(IF(VLOOKUP(A2448,[16]PRIORIZADOS!$A:$K,11,FALSE)="","",VLOOKUP(A2448,[16]PRIORIZADOS!$A:$K,11,FALSE)),"")</f>
        <v>CLAUDIA PATRICIA GRANADOS FLÓREZ</v>
      </c>
      <c r="L2448" s="261" t="str">
        <f>IFERROR(IF(VLOOKUP(A2448,[16]PRIORIZADOS!$A:$L,12,FALSE)="","",VLOOKUP(A2448,[16]PRIORIZADOS!$A:$L,12,FALSE)),"")</f>
        <v xml:space="preserve">SANDRA JAZMÍN BAQUERO CÓRDOBA
NELSON AUGUSTO CUBILLOS OLARTE
CLAUDIA PATRICIA GRANADOS FLÓREZ
</v>
      </c>
      <c r="M2448" s="262">
        <f>IFERROR(IF(VLOOKUP(A2448,[16]PRIORIZADOS!$A:$M,13,FALSE)="","",VLOOKUP(A2448,[16]PRIORIZADOS!$A:$M,13,FALSE)),"")</f>
        <v>45817</v>
      </c>
      <c r="N2448" s="262">
        <f>IFERROR(IF(VLOOKUP(A2448,[16]PRIORIZADOS!$A:$N,14,FALSE)="","",VLOOKUP(A2448,[16]PRIORIZADOS!$A:$N,14,FALSE)),"")</f>
        <v>45824</v>
      </c>
      <c r="O2448" s="262">
        <f>IFERROR(IF(VLOOKUP(A2448,[16]PRIORIZADOS!$A:$O,15,FALSE)="","",VLOOKUP(A2448,[16]PRIORIZADOS!$A:$O,15,FALSE)),"")</f>
        <v>45824</v>
      </c>
      <c r="P2448" s="261" t="str">
        <f>IFERROR(IF(VLOOKUP(A2448,[16]PRIORIZADOS!$A:$P,16,FALSE)="","",VLOOKUP(A2448,[16]PRIORIZADOS!$A:$P,16,FALSE)),"")</f>
        <v>Visitas de evaluación con fines de seguimiento</v>
      </c>
      <c r="Q2448" s="263" t="s">
        <v>486</v>
      </c>
      <c r="R2448" s="261" t="str">
        <f>IFERROR(IF(VLOOKUP(A2448,[16]PRIORIZADOS!$A:$R,18,FALSE)="","",VLOOKUP(A2448,[16]PRIORIZADOS!$A:$R,18,FALSE)),"")</f>
        <v>Se evidenciala implementacion del 1421 y PIAR en las carpetas de cinco (5) estudiantes con discapacidad  registrados en aplicativo SIMAT  con el area de orientacion</v>
      </c>
      <c r="S2448" s="261" t="str">
        <f>IFERROR(IF(VLOOKUP(A2448,[16]PRIORIZADOS!$A:$S,19,FALSE)="","",VLOOKUP(A2448,[16]PRIORIZADOS!$A:$S,19,FALSE)),"")</f>
        <v>Se recomienda actualizar formatos MEN version 15</v>
      </c>
      <c r="T2448" s="70" t="str">
        <f>IFERROR(IF(VLOOKUP(A2448,[16]PRIORIZADOS!$A:$T,20,FALSE)="","",VLOOKUP(A2448,[16]PRIORIZADOS!$A:$T,20,FALSE)),"")</f>
        <v>No</v>
      </c>
      <c r="U2448" s="11" t="str">
        <f>IFERROR(IF(VLOOKUP(A2448,[16]PRIORIZADOS!$A:$U,21,FALSE)="","",VLOOKUP(A2448,[16]PRIORIZADOS!$A:$U,21,FALSE)),"")</f>
        <v>Se verificará la continuidad de su cumplimiento o en caso de presentarse una queja</v>
      </c>
    </row>
    <row r="2449" spans="1:21" s="1" customFormat="1" ht="84">
      <c r="A2449" s="69">
        <f>IF([16]PRIORIZADOS!A38="","",[16]PRIORIZADOS!A38)</f>
        <v>2423</v>
      </c>
      <c r="B2449" s="70">
        <v>4</v>
      </c>
      <c r="C2449" s="261" t="str">
        <f>IFERROR(IF(VLOOKUP(A2449,[16]PRIORIZADOS!$A:$C,3,FALSE)="","",VLOOKUP(A2449,[16]PRIORIZADOS!$A:$C,3,FALSE)),"")</f>
        <v>TUNJUELITO</v>
      </c>
      <c r="D2449" s="261" t="str">
        <f>IFERROR(IF(VLOOKUP(A2449,[16]PRIORIZADOS!$A:$D,4,FALSE)="","",VLOOKUP(A2449,[16]PRIORIZADOS!$A:$D,4,FALSE)),"")</f>
        <v>PRIVADO</v>
      </c>
      <c r="E2449" s="261" t="str">
        <f>IFERROR(IF(VLOOKUP(A2449,[16]PRIORIZADOS!$A:$E,5,FALSE)="","",VLOOKUP(A2449,[16]PRIORIZADOS!$A:$E,5,FALSE)),"")</f>
        <v>EPBM</v>
      </c>
      <c r="F2449" s="261" t="str">
        <f>IFERROR(IF(VLOOKUP(A2449,[16]PRIORIZADOS!$A:$F,6,FALSE)="","",VLOOKUP(A2449,[16]PRIORIZADOS!$A:$F,6,FALSE)),"")</f>
        <v>COLEGIO_COOPERATIVO_VENECIA</v>
      </c>
      <c r="G2449" s="261" t="str">
        <f>IFERROR(IF(VLOOKUP(A2449,[16]PRIORIZADOS!$A:$G,7,FALSE)="","",VLOOKUP(A2449,[16]PRIORIZADOS!$A:$G,7,FALSE)),"")</f>
        <v>COLEGIO COOPERATIVO VENECIA</v>
      </c>
      <c r="H2449" s="261" t="str">
        <f>IFERROR(IF(VLOOKUP(A2449,[16]PRIORIZADOS!$A:$H,8,FALSE)="","",VLOOKUP(A2449,[16]PRIORIZADOS!$A:$H,8,FALSE)),"")</f>
        <v>Autoevaluación Institucional y Pruebas SABER 11</v>
      </c>
      <c r="I2449" s="261" t="str">
        <f>IFERROR(IF(VLOOKUP(A2449,[16]PRIORIZADOS!$A:$I,9,FALSE)="","",VLOOKUP(A2449,[16]PRIORIZADOS!$A:$I,9,FALSE)),"")</f>
        <v>EVALUACIÓN_CON_FINES_DE_MEJORAMIENTO.</v>
      </c>
      <c r="J2449" s="261" t="str">
        <f>IFERROR(IF(VLOOKUP(A2449,[16]PRIORIZADOS!$A:$J,10,FALSE)="","",VLOOKUP(A2449,[16]PRIORIZADOS!$A:$J,10,FALSE)),"")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49" s="261" t="str">
        <f>IFERROR(IF(VLOOKUP(A2449,[16]PRIORIZADOS!$A:$K,11,FALSE)="","",VLOOKUP(A2449,[16]PRIORIZADOS!$A:$K,11,FALSE)),"")</f>
        <v>CLAUDIA PATRICIA GRANADOS FLÓREZ</v>
      </c>
      <c r="L2449" s="261" t="str">
        <f>IFERROR(IF(VLOOKUP(A2449,[16]PRIORIZADOS!$A:$L,12,FALSE)="","",VLOOKUP(A2449,[16]PRIORIZADOS!$A:$L,12,FALSE)),"")</f>
        <v xml:space="preserve">SANDRA JAZMÍN BAQUERO CÓRDOBA
NELSON AUGUSTO CUBILLOS OLARTE
CLAUDIA PATRICIA GRANADOS FLÓREZ
</v>
      </c>
      <c r="M2449" s="262">
        <f>IFERROR(IF(VLOOKUP(A2449,[16]PRIORIZADOS!$A:$M,13,FALSE)="","",VLOOKUP(A2449,[16]PRIORIZADOS!$A:$M,13,FALSE)),"")</f>
        <v>45817</v>
      </c>
      <c r="N2449" s="262">
        <f>IFERROR(IF(VLOOKUP(A2449,[16]PRIORIZADOS!$A:$N,14,FALSE)="","",VLOOKUP(A2449,[16]PRIORIZADOS!$A:$N,14,FALSE)),"")</f>
        <v>45824</v>
      </c>
      <c r="O2449" s="262">
        <f>IFERROR(IF(VLOOKUP(A2449,[16]PRIORIZADOS!$A:$O,15,FALSE)="","",VLOOKUP(A2449,[16]PRIORIZADOS!$A:$O,15,FALSE)),"")</f>
        <v>45824</v>
      </c>
      <c r="P2449" s="261" t="str">
        <f>IFERROR(IF(VLOOKUP(A2449,[16]PRIORIZADOS!$A:$P,16,FALSE)="","",VLOOKUP(A2449,[16]PRIORIZADOS!$A:$P,16,FALSE)),"")</f>
        <v>Visitas de evaluación con fines de mejoramiento</v>
      </c>
      <c r="Q2449" s="263" t="s">
        <v>486</v>
      </c>
      <c r="R2449" s="261" t="str">
        <f>IFERROR(IF(VLOOKUP(A2449,[16]PRIORIZADOS!$A:$R,18,FALSE)="","",VLOOKUP(A2449,[16]PRIORIZADOS!$A:$R,18,FALSE)),"")</f>
        <v>Revisado el manual de convivencia presentado por la IE Se encuentran novedades frente a aspectos como rutas de atencion., protocolos, de Ley 1620, decreto 1965, decreto 1421 , debido proceso entre otros,</v>
      </c>
      <c r="S2449" s="261" t="str">
        <f>IFERROR(IF(VLOOKUP(A2449,[16]PRIORIZADOS!$A:$S,19,FALSE)="","",VLOOKUP(A2449,[16]PRIORIZADOS!$A:$S,19,FALSE)),"")</f>
        <v>Presentación del PMI 14 de agosto de 2025</v>
      </c>
      <c r="T2449" s="70" t="str">
        <f>IFERROR(IF(VLOOKUP(A2449,[16]PRIORIZADOS!$A:$T,20,FALSE)="","",VLOOKUP(A2449,[16]PRIORIZADOS!$A:$T,20,FALSE)),"")</f>
        <v>Si</v>
      </c>
      <c r="U2449" s="11" t="str">
        <f>IFERROR(IF(VLOOKUP(A2449,[16]PRIORIZADOS!$A:$U,21,FALSE)="","",VLOOKUP(A2449,[16]PRIORIZADOS!$A:$U,21,FALSE)),"")</f>
        <v>Se revisara el plan de mejoramiento aportado para verificar su pertinencia y porsterior seguimiento para su cumplimiento</v>
      </c>
    </row>
    <row r="2450" spans="1:21" s="1" customFormat="1" ht="84">
      <c r="A2450" s="69">
        <f>IF([16]PRIORIZADOS!A39="","",[16]PRIORIZADOS!A39)</f>
        <v>2424</v>
      </c>
      <c r="B2450" s="70">
        <v>4</v>
      </c>
      <c r="C2450" s="261" t="str">
        <f>IFERROR(IF(VLOOKUP(A2450,[16]PRIORIZADOS!$A:$C,3,FALSE)="","",VLOOKUP(A2450,[16]PRIORIZADOS!$A:$C,3,FALSE)),"")</f>
        <v>TUNJUELITO</v>
      </c>
      <c r="D2450" s="261" t="str">
        <f>IFERROR(IF(VLOOKUP(A2450,[16]PRIORIZADOS!$A:$D,4,FALSE)="","",VLOOKUP(A2450,[16]PRIORIZADOS!$A:$D,4,FALSE)),"")</f>
        <v>PRIVADO</v>
      </c>
      <c r="E2450" s="261" t="str">
        <f>IFERROR(IF(VLOOKUP(A2450,[16]PRIORIZADOS!$A:$E,5,FALSE)="","",VLOOKUP(A2450,[16]PRIORIZADOS!$A:$E,5,FALSE)),"")</f>
        <v>EPBM</v>
      </c>
      <c r="F2450" s="261" t="str">
        <f>IFERROR(IF(VLOOKUP(A2450,[16]PRIORIZADOS!$A:$F,6,FALSE)="","",VLOOKUP(A2450,[16]PRIORIZADOS!$A:$F,6,FALSE)),"")</f>
        <v>COLEGIO_COOPERATIVO_VENECIA</v>
      </c>
      <c r="G2450" s="261" t="str">
        <f>IFERROR(IF(VLOOKUP(A2450,[16]PRIORIZADOS!$A:$G,7,FALSE)="","",VLOOKUP(A2450,[16]PRIORIZADOS!$A:$G,7,FALSE)),"")</f>
        <v>COLEGIO COOPERATIVO VENECIA</v>
      </c>
      <c r="H2450" s="261" t="str">
        <f>IFERROR(IF(VLOOKUP(A2450,[16]PRIORIZADOS!$A:$H,8,FALSE)="","",VLOOKUP(A2450,[16]PRIORIZADOS!$A:$H,8,FALSE)),"")</f>
        <v>Autoevaluación Institucional y Pruebas SABER 11</v>
      </c>
      <c r="I2450" s="261" t="str">
        <f>IFERROR(IF(VLOOKUP(A2450,[16]PRIORIZADOS!$A:$I,9,FALSE)="","",VLOOKUP(A2450,[16]PRIORIZADOS!$A:$I,9,FALSE)),"")</f>
        <v>EVALUACIÓN_CON_FINES_DE_MEJORAMIENTO.</v>
      </c>
      <c r="J2450" s="261" t="str">
        <f>IFERROR(IF(VLOOKUP(A2450,[16]PRIORIZADOS!$A:$J,10,FALSE)="","",VLOOKUP(A2450,[16]PRIORIZADOS!$A:$J,10,FALSE)),"")</f>
        <v>Revisar la actualización, socialización e implementación del Sistema Institucional de Evaluación de Estudiantes - SIEE, en articulación con la actualización del PEI y la normatividad vigente.</v>
      </c>
      <c r="K2450" s="261" t="str">
        <f>IFERROR(IF(VLOOKUP(A2450,[16]PRIORIZADOS!$A:$K,11,FALSE)="","",VLOOKUP(A2450,[16]PRIORIZADOS!$A:$K,11,FALSE)),"")</f>
        <v>CLAUDIA PATRICIA GRANADOS FLÓREZ</v>
      </c>
      <c r="L2450" s="261" t="str">
        <f>IFERROR(IF(VLOOKUP(A2450,[16]PRIORIZADOS!$A:$L,12,FALSE)="","",VLOOKUP(A2450,[16]PRIORIZADOS!$A:$L,12,FALSE)),"")</f>
        <v xml:space="preserve">SANDRA JAZMÍN BAQUERO CÓRDOBA
NELSON AUGUSTO CUBILLOS OLARTE
CLAUDIA PATRICIA GRANADOS FLÓREZ
</v>
      </c>
      <c r="M2450" s="262">
        <f>IFERROR(IF(VLOOKUP(A2450,[16]PRIORIZADOS!$A:$M,13,FALSE)="","",VLOOKUP(A2450,[16]PRIORIZADOS!$A:$M,13,FALSE)),"")</f>
        <v>45817</v>
      </c>
      <c r="N2450" s="262">
        <f>IFERROR(IF(VLOOKUP(A2450,[16]PRIORIZADOS!$A:$N,14,FALSE)="","",VLOOKUP(A2450,[16]PRIORIZADOS!$A:$N,14,FALSE)),"")</f>
        <v>45824</v>
      </c>
      <c r="O2450" s="262">
        <f>IFERROR(IF(VLOOKUP(A2450,[16]PRIORIZADOS!$A:$O,15,FALSE)="","",VLOOKUP(A2450,[16]PRIORIZADOS!$A:$O,15,FALSE)),"")</f>
        <v>45824</v>
      </c>
      <c r="P2450" s="261" t="str">
        <f>IFERROR(IF(VLOOKUP(A2450,[16]PRIORIZADOS!$A:$P,16,FALSE)="","",VLOOKUP(A2450,[16]PRIORIZADOS!$A:$P,16,FALSE)),"")</f>
        <v>Visitas de evaluación con fines de mejoramiento</v>
      </c>
      <c r="Q2450" s="263" t="s">
        <v>486</v>
      </c>
      <c r="R2450" s="261" t="str">
        <f>IFERROR(IF(VLOOKUP(A2450,[16]PRIORIZADOS!$A:$R,18,FALSE)="","",VLOOKUP(A2450,[16]PRIORIZADOS!$A:$R,18,FALSE)),"")</f>
        <v>Revisado el SIIE se encuentran novedades frente al contenido minimo frente al Decreto 1075 de 2015 antes decreto 1290</v>
      </c>
      <c r="S2450" s="261" t="str">
        <f>IFERROR(IF(VLOOKUP(A2450,[16]PRIORIZADOS!$A:$S,19,FALSE)="","",VLOOKUP(A2450,[16]PRIORIZADOS!$A:$S,19,FALSE)),"")</f>
        <v>Presentación del PMI 14 de agosto de 2025</v>
      </c>
      <c r="T2450" s="70" t="str">
        <f>IFERROR(IF(VLOOKUP(A2450,[16]PRIORIZADOS!$A:$T,20,FALSE)="","",VLOOKUP(A2450,[16]PRIORIZADOS!$A:$T,20,FALSE)),"")</f>
        <v>Si</v>
      </c>
      <c r="U2450" s="11" t="str">
        <f>IFERROR(IF(VLOOKUP(A2450,[16]PRIORIZADOS!$A:$U,21,FALSE)="","",VLOOKUP(A2450,[16]PRIORIZADOS!$A:$U,21,FALSE)),"")</f>
        <v>Se revisara el plan de mejoramiento aportado para verificar su pertinencia y porsterior seguimiento para su cumplimiento</v>
      </c>
    </row>
    <row r="2451" spans="1:21" s="1" customFormat="1" ht="84">
      <c r="A2451" s="69">
        <f>IF([16]PRIORIZADOS!A40="","",[16]PRIORIZADOS!A40)</f>
        <v>2425</v>
      </c>
      <c r="B2451" s="70">
        <v>4</v>
      </c>
      <c r="C2451" s="261" t="str">
        <f>IFERROR(IF(VLOOKUP(A2451,[16]PRIORIZADOS!$A:$C,3,FALSE)="","",VLOOKUP(A2451,[16]PRIORIZADOS!$A:$C,3,FALSE)),"")</f>
        <v>TUNJUELITO</v>
      </c>
      <c r="D2451" s="261" t="str">
        <f>IFERROR(IF(VLOOKUP(A2451,[16]PRIORIZADOS!$A:$D,4,FALSE)="","",VLOOKUP(A2451,[16]PRIORIZADOS!$A:$D,4,FALSE)),"")</f>
        <v>PRIVADO</v>
      </c>
      <c r="E2451" s="261" t="str">
        <f>IFERROR(IF(VLOOKUP(A2451,[16]PRIORIZADOS!$A:$E,5,FALSE)="","",VLOOKUP(A2451,[16]PRIORIZADOS!$A:$E,5,FALSE)),"")</f>
        <v>EPBM</v>
      </c>
      <c r="F2451" s="261" t="str">
        <f>IFERROR(IF(VLOOKUP(A2451,[16]PRIORIZADOS!$A:$F,6,FALSE)="","",VLOOKUP(A2451,[16]PRIORIZADOS!$A:$F,6,FALSE)),"")</f>
        <v>COLEGIO_COOPERATIVO_VENECIA</v>
      </c>
      <c r="G2451" s="261" t="str">
        <f>IFERROR(IF(VLOOKUP(A2451,[16]PRIORIZADOS!$A:$G,7,FALSE)="","",VLOOKUP(A2451,[16]PRIORIZADOS!$A:$G,7,FALSE)),"")</f>
        <v>COLEGIO COOPERATIVO VENECIA</v>
      </c>
      <c r="H2451" s="261" t="str">
        <f>IFERROR(IF(VLOOKUP(A2451,[16]PRIORIZADOS!$A:$H,8,FALSE)="","",VLOOKUP(A2451,[16]PRIORIZADOS!$A:$H,8,FALSE)),"")</f>
        <v>Autoevaluación Institucional y Pruebas SABER 11</v>
      </c>
      <c r="I2451" s="261" t="str">
        <f>IFERROR(IF(VLOOKUP(A2451,[16]PRIORIZADOS!$A:$I,9,FALSE)="","",VLOOKUP(A2451,[16]PRIORIZADOS!$A:$I,9,FALSE)),"")</f>
        <v>EVALUACIÓN_CON_FINES_DE_MEJORAMIENTO.</v>
      </c>
      <c r="J2451" s="261" t="str">
        <f>IFERROR(IF(VLOOKUP(A2451,[16]PRIORIZADOS!$A:$J,10,FALSE)="","",VLOOKUP(A2451,[16]PRIORIZADOS!$A:$J,10,FALSE)),"")</f>
        <v>Revisar el calendario escolar, jornada escolar, la intensidad horaria mínima anual en cada nivel y las modificaciones que se realicen al mismo, de acuerdo con lo previsto en la normatividad vigente.</v>
      </c>
      <c r="K2451" s="261" t="str">
        <f>IFERROR(IF(VLOOKUP(A2451,[16]PRIORIZADOS!$A:$K,11,FALSE)="","",VLOOKUP(A2451,[16]PRIORIZADOS!$A:$K,11,FALSE)),"")</f>
        <v>CLAUDIA PATRICIA GRANADOS FLÓREZ</v>
      </c>
      <c r="L2451" s="261" t="str">
        <f>IFERROR(IF(VLOOKUP(A2451,[16]PRIORIZADOS!$A:$L,12,FALSE)="","",VLOOKUP(A2451,[16]PRIORIZADOS!$A:$L,12,FALSE)),"")</f>
        <v xml:space="preserve">SANDRA JAZMÍN BAQUERO CÓRDOBA
NELSON AUGUSTO CUBILLOS OLARTE
CLAUDIA PATRICIA GRANADOS FLÓREZ
</v>
      </c>
      <c r="M2451" s="262" t="str">
        <f>IFERROR(IF(VLOOKUP(A2451,[16]PRIORIZADOS!$A:$M,13,FALSE)="","",VLOOKUP(A2451,[16]PRIORIZADOS!$A:$M,13,FALSE)),"")</f>
        <v>16/06/2025</v>
      </c>
      <c r="N2451" s="262">
        <f>IFERROR(IF(VLOOKUP(A2451,[16]PRIORIZADOS!$A:$N,14,FALSE)="","",VLOOKUP(A2451,[16]PRIORIZADOS!$A:$N,14,FALSE)),"")</f>
        <v>45824</v>
      </c>
      <c r="O2451" s="262">
        <f>IFERROR(IF(VLOOKUP(A2451,[16]PRIORIZADOS!$A:$O,15,FALSE)="","",VLOOKUP(A2451,[16]PRIORIZADOS!$A:$O,15,FALSE)),"")</f>
        <v>45824</v>
      </c>
      <c r="P2451" s="261" t="str">
        <f>IFERROR(IF(VLOOKUP(A2451,[16]PRIORIZADOS!$A:$P,16,FALSE)="","",VLOOKUP(A2451,[16]PRIORIZADOS!$A:$P,16,FALSE)),"")</f>
        <v>Visitas de evaluación con fines de mejoramiento</v>
      </c>
      <c r="Q2451" s="263" t="s">
        <v>486</v>
      </c>
      <c r="R2451" s="261" t="str">
        <f>IFERROR(IF(VLOOKUP(A2451,[16]PRIORIZADOS!$A:$R,18,FALSE)="","",VLOOKUP(A2451,[16]PRIORIZADOS!$A:$R,18,FALSE)),"")</f>
        <v>Se hace revisión documental y se verifica el cumplimiento de la intensidad horaria establecida en la normatividad vigente</v>
      </c>
      <c r="S2451" s="261" t="str">
        <f>IFERROR(IF(VLOOKUP(A2451,[16]PRIORIZADOS!$A:$S,19,FALSE)="","",VLOOKUP(A2451,[16]PRIORIZADOS!$A:$S,19,FALSE)),"")</f>
        <v>En los horarios presentados, se evidencian el cumplimiento de las horas efectivas anuales por nivel establecidas en la Resolución 1730 del 2004</v>
      </c>
      <c r="T2451" s="70" t="str">
        <f>IFERROR(IF(VLOOKUP(A2451,[16]PRIORIZADOS!$A:$T,20,FALSE)="","",VLOOKUP(A2451,[16]PRIORIZADOS!$A:$T,20,FALSE)),"")</f>
        <v>No</v>
      </c>
      <c r="U2451" s="11" t="str">
        <f>IFERROR(IF(VLOOKUP(A2451,[16]PRIORIZADOS!$A:$U,21,FALSE)="","",VLOOKUP(A2451,[16]PRIORIZADOS!$A:$U,21,FALSE)),"")</f>
        <v>Se verificará la  formulación para la siguiente vigencia o en caso de presentarse una queja</v>
      </c>
    </row>
    <row r="2452" spans="1:21" s="1" customFormat="1" ht="84">
      <c r="A2452" s="69">
        <f>IF([16]PRIORIZADOS!A41="","",[16]PRIORIZADOS!A41)</f>
        <v>2426</v>
      </c>
      <c r="B2452" s="70">
        <v>4</v>
      </c>
      <c r="C2452" s="261" t="str">
        <f>IFERROR(IF(VLOOKUP(A2452,[16]PRIORIZADOS!$A:$C,3,FALSE)="","",VLOOKUP(A2452,[16]PRIORIZADOS!$A:$C,3,FALSE)),"")</f>
        <v>TUNJUELITO</v>
      </c>
      <c r="D2452" s="261" t="str">
        <f>IFERROR(IF(VLOOKUP(A2452,[16]PRIORIZADOS!$A:$D,4,FALSE)="","",VLOOKUP(A2452,[16]PRIORIZADOS!$A:$D,4,FALSE)),"")</f>
        <v>PRIVADO</v>
      </c>
      <c r="E2452" s="261" t="str">
        <f>IFERROR(IF(VLOOKUP(A2452,[16]PRIORIZADOS!$A:$E,5,FALSE)="","",VLOOKUP(A2452,[16]PRIORIZADOS!$A:$E,5,FALSE)),"")</f>
        <v>EPBM</v>
      </c>
      <c r="F2452" s="261" t="str">
        <f>IFERROR(IF(VLOOKUP(A2452,[16]PRIORIZADOS!$A:$F,6,FALSE)="","",VLOOKUP(A2452,[16]PRIORIZADOS!$A:$F,6,FALSE)),"")</f>
        <v>COLEGIO_COOPERATIVO_VENECIA</v>
      </c>
      <c r="G2452" s="261" t="str">
        <f>IFERROR(IF(VLOOKUP(A2452,[16]PRIORIZADOS!$A:$G,7,FALSE)="","",VLOOKUP(A2452,[16]PRIORIZADOS!$A:$G,7,FALSE)),"")</f>
        <v>COLEGIO COOPERATIVO VENECIA</v>
      </c>
      <c r="H2452" s="261" t="str">
        <f>IFERROR(IF(VLOOKUP(A2452,[16]PRIORIZADOS!$A:$H,8,FALSE)="","",VLOOKUP(A2452,[16]PRIORIZADOS!$A:$H,8,FALSE)),"")</f>
        <v>Autoevaluación Institucional y Pruebas SABER 11</v>
      </c>
      <c r="I2452" s="261" t="str">
        <f>IFERROR(IF(VLOOKUP(A2452,[16]PRIORIZADOS!$A:$I,9,FALSE)="","",VLOOKUP(A2452,[16]PRIORIZADOS!$A:$I,9,FALSE)),"")</f>
        <v>EVALUACIÓN_CON_FINES_DE_MEJORAMIENTO.</v>
      </c>
      <c r="J2452" s="261" t="str">
        <f>IFERROR(IF(VLOOKUP(A2452,[16]PRIORIZADOS!$A:$J,10,FALSE)="","",VLOOKUP(A2452,[16]PRIORIZADOS!$A:$J,10,FALSE)),"")</f>
        <v>Verificar el funcionamiento del Gobierno Escolar e instancias de participación con base en la información sobre conformación reportada por la institución educativa.</v>
      </c>
      <c r="K2452" s="261" t="str">
        <f>IFERROR(IF(VLOOKUP(A2452,[16]PRIORIZADOS!$A:$K,11,FALSE)="","",VLOOKUP(A2452,[16]PRIORIZADOS!$A:$K,11,FALSE)),"")</f>
        <v>CLAUDIA PATRICIA GRANADOS FLÓREZ</v>
      </c>
      <c r="L2452" s="261" t="str">
        <f>IFERROR(IF(VLOOKUP(A2452,[16]PRIORIZADOS!$A:$L,12,FALSE)="","",VLOOKUP(A2452,[16]PRIORIZADOS!$A:$L,12,FALSE)),"")</f>
        <v xml:space="preserve">SANDRA JAZMÍN BAQUERO CÓRDOBA
NELSON AUGUSTO CUBILLOS OLARTE
CLAUDIA PATRICIA GRANADOS FLÓREZ
</v>
      </c>
      <c r="M2452" s="262">
        <f>IFERROR(IF(VLOOKUP(A2452,[16]PRIORIZADOS!$A:$M,13,FALSE)="","",VLOOKUP(A2452,[16]PRIORIZADOS!$A:$M,13,FALSE)),"")</f>
        <v>45817</v>
      </c>
      <c r="N2452" s="262">
        <f>IFERROR(IF(VLOOKUP(A2452,[16]PRIORIZADOS!$A:$N,14,FALSE)="","",VLOOKUP(A2452,[16]PRIORIZADOS!$A:$N,14,FALSE)),"")</f>
        <v>45824</v>
      </c>
      <c r="O2452" s="262">
        <f>IFERROR(IF(VLOOKUP(A2452,[16]PRIORIZADOS!$A:$O,15,FALSE)="","",VLOOKUP(A2452,[16]PRIORIZADOS!$A:$O,15,FALSE)),"")</f>
        <v>45824</v>
      </c>
      <c r="P2452" s="261" t="str">
        <f>IFERROR(IF(VLOOKUP(A2452,[16]PRIORIZADOS!$A:$P,16,FALSE)="","",VLOOKUP(A2452,[16]PRIORIZADOS!$A:$P,16,FALSE)),"")</f>
        <v>Visitas de evaluación con fines de mejoramiento</v>
      </c>
      <c r="Q2452" s="263" t="s">
        <v>486</v>
      </c>
      <c r="R2452" s="261" t="str">
        <f>IFERROR(IF(VLOOKUP(A2452,[16]PRIORIZADOS!$A:$R,18,FALSE)="","",VLOOKUP(A2452,[16]PRIORIZADOS!$A:$R,18,FALSE)),"")</f>
        <v>El colegio presenta las actas de cada una de las instancias donde se evidencia su funcionamiento años 2024 y 2025.</v>
      </c>
      <c r="S2452" s="261" t="str">
        <f>IFERROR(IF(VLOOKUP(A2452,[16]PRIORIZADOS!$A:$S,19,FALSE)="","",VLOOKUP(A2452,[16]PRIORIZADOS!$A:$S,19,FALSE)),"")</f>
        <v>La institución cumple con el funcionamiento del gobierno escolar.</v>
      </c>
      <c r="T2452" s="70" t="str">
        <f>IFERROR(IF(VLOOKUP(A2452,[16]PRIORIZADOS!$A:$T,20,FALSE)="","",VLOOKUP(A2452,[16]PRIORIZADOS!$A:$T,20,FALSE)),"")</f>
        <v>No</v>
      </c>
      <c r="U2452" s="11" t="str">
        <f>IFERROR(IF(VLOOKUP(A2452,[16]PRIORIZADOS!$A:$U,21,FALSE)="","",VLOOKUP(A2452,[16]PRIORIZADOS!$A:$U,21,FALSE)),"")</f>
        <v>Se verificará la conformación y funcionamiento en la siguiente vigencia o en caso de presentarse una queja</v>
      </c>
    </row>
    <row r="2453" spans="1:21" s="1" customFormat="1" ht="84">
      <c r="A2453" s="69">
        <f>IF([16]PRIORIZADOS!A42="","",[16]PRIORIZADOS!A42)</f>
        <v>2427</v>
      </c>
      <c r="B2453" s="70">
        <v>4</v>
      </c>
      <c r="C2453" s="261" t="str">
        <f>IFERROR(IF(VLOOKUP(A2453,[16]PRIORIZADOS!$A:$C,3,FALSE)="","",VLOOKUP(A2453,[16]PRIORIZADOS!$A:$C,3,FALSE)),"")</f>
        <v>TUNJUELITO</v>
      </c>
      <c r="D2453" s="261" t="str">
        <f>IFERROR(IF(VLOOKUP(A2453,[16]PRIORIZADOS!$A:$D,4,FALSE)="","",VLOOKUP(A2453,[16]PRIORIZADOS!$A:$D,4,FALSE)),"")</f>
        <v>PRIVADO</v>
      </c>
      <c r="E2453" s="261" t="str">
        <f>IFERROR(IF(VLOOKUP(A2453,[16]PRIORIZADOS!$A:$E,5,FALSE)="","",VLOOKUP(A2453,[16]PRIORIZADOS!$A:$E,5,FALSE)),"")</f>
        <v>EPBM</v>
      </c>
      <c r="F2453" s="261" t="str">
        <f>IFERROR(IF(VLOOKUP(A2453,[16]PRIORIZADOS!$A:$F,6,FALSE)="","",VLOOKUP(A2453,[16]PRIORIZADOS!$A:$F,6,FALSE)),"")</f>
        <v>COLEGIO_COOPERATIVO_VENECIA</v>
      </c>
      <c r="G2453" s="261" t="str">
        <f>IFERROR(IF(VLOOKUP(A2453,[16]PRIORIZADOS!$A:$G,7,FALSE)="","",VLOOKUP(A2453,[16]PRIORIZADOS!$A:$G,7,FALSE)),"")</f>
        <v>COLEGIO COOPERATIVO VENECIA</v>
      </c>
      <c r="H2453" s="261" t="str">
        <f>IFERROR(IF(VLOOKUP(A2453,[16]PRIORIZADOS!$A:$H,8,FALSE)="","",VLOOKUP(A2453,[16]PRIORIZADOS!$A:$H,8,FALSE)),"")</f>
        <v>Autoevaluación Institucional y Pruebas SABER 11</v>
      </c>
      <c r="I2453" s="261" t="str">
        <f>IFERROR(IF(VLOOKUP(A2453,[16]PRIORIZADOS!$A:$I,9,FALSE)="","",VLOOKUP(A2453,[16]PRIORIZADOS!$A:$I,9,FALSE)),"")</f>
        <v>EVALUACIÓN_CON_FINES_DE_MEJORAMIENTO.</v>
      </c>
      <c r="J2453" s="261" t="str">
        <f>IFERROR(IF(VLOOKUP(A2453,[16]PRIORIZADOS!$A:$J,10,FALSE)="","",VLOOKUP(A2453,[16]PRIORIZADOS!$A:$J,10,FALSE)),"")</f>
        <v>Verificar las condiciones en cuanto a: la estructura administrativa, condiciones de la planta física y medios educativos adecuados.</v>
      </c>
      <c r="K2453" s="261" t="str">
        <f>IFERROR(IF(VLOOKUP(A2453,[16]PRIORIZADOS!$A:$K,11,FALSE)="","",VLOOKUP(A2453,[16]PRIORIZADOS!$A:$K,11,FALSE)),"")</f>
        <v>CLAUDIA PATRICIA GRANADOS FLÓREZ</v>
      </c>
      <c r="L2453" s="261" t="str">
        <f>IFERROR(IF(VLOOKUP(A2453,[16]PRIORIZADOS!$A:$L,12,FALSE)="","",VLOOKUP(A2453,[16]PRIORIZADOS!$A:$L,12,FALSE)),"")</f>
        <v xml:space="preserve">SANDRA JAZMÍN BAQUERO CÓRDOBA
NELSON AUGUSTO CUBILLOS OLARTE
CLAUDIA PATRICIA GRANADOS FLÓREZ
</v>
      </c>
      <c r="M2453" s="262">
        <f>IFERROR(IF(VLOOKUP(A2453,[16]PRIORIZADOS!$A:$M,13,FALSE)="","",VLOOKUP(A2453,[16]PRIORIZADOS!$A:$M,13,FALSE)),"")</f>
        <v>45817</v>
      </c>
      <c r="N2453" s="262">
        <f>IFERROR(IF(VLOOKUP(A2453,[16]PRIORIZADOS!$A:$N,14,FALSE)="","",VLOOKUP(A2453,[16]PRIORIZADOS!$A:$N,14,FALSE)),"")</f>
        <v>45824</v>
      </c>
      <c r="O2453" s="262">
        <f>IFERROR(IF(VLOOKUP(A2453,[16]PRIORIZADOS!$A:$O,15,FALSE)="","",VLOOKUP(A2453,[16]PRIORIZADOS!$A:$O,15,FALSE)),"")</f>
        <v>45814</v>
      </c>
      <c r="P2453" s="261" t="str">
        <f>IFERROR(IF(VLOOKUP(A2453,[16]PRIORIZADOS!$A:$P,16,FALSE)="","",VLOOKUP(A2453,[16]PRIORIZADOS!$A:$P,16,FALSE)),"")</f>
        <v>Visitas de evaluación con fines de mejoramiento</v>
      </c>
      <c r="Q2453" s="263" t="s">
        <v>486</v>
      </c>
      <c r="R2453" s="261" t="str">
        <f>IFERROR(IF(VLOOKUP(A2453,[16]PRIORIZADOS!$A:$R,18,FALSE)="","",VLOOKUP(A2453,[16]PRIORIZADOS!$A:$R,18,FALSE)),"")</f>
        <v>Se evidencia carencia de espacios en la infraestructura como baño para poblacion con discapacidad, adecuar biblioteca</v>
      </c>
      <c r="S2453" s="261" t="str">
        <f>IFERROR(IF(VLOOKUP(A2453,[16]PRIORIZADOS!$A:$S,19,FALSE)="","",VLOOKUP(A2453,[16]PRIORIZADOS!$A:$S,19,FALSE)),"")</f>
        <v>Presentación del PMI 14 de agosto de 2025</v>
      </c>
      <c r="T2453" s="70" t="str">
        <f>IFERROR(IF(VLOOKUP(A2453,[16]PRIORIZADOS!$A:$T,20,FALSE)="","",VLOOKUP(A2453,[16]PRIORIZADOS!$A:$T,20,FALSE)),"")</f>
        <v>Si</v>
      </c>
      <c r="U2453" s="11" t="str">
        <f>IFERROR(IF(VLOOKUP(A2453,[16]PRIORIZADOS!$A:$U,21,FALSE)="","",VLOOKUP(A2453,[16]PRIORIZADOS!$A:$U,21,FALSE)),"")</f>
        <v>Se revisara el plan de mejoramiento aportado para verificar su pertinencia y porsterior seguimiento para su cumplimiento</v>
      </c>
    </row>
    <row r="2454" spans="1:21" s="1" customFormat="1" ht="84">
      <c r="A2454" s="69">
        <f>IF([16]PRIORIZADOS!A43="","",[16]PRIORIZADOS!A43)</f>
        <v>2428</v>
      </c>
      <c r="B2454" s="70">
        <f>IFERROR(IF(VLOOKUP(A2454,[16]PRIORIZADOS!$A:$B,2,FALSE)="","",VLOOKUP(A2454,[16]PRIORIZADOS!$A:$B,2,FALSE)),"")</f>
        <v>5</v>
      </c>
      <c r="C2454" s="261" t="str">
        <f>IFERROR(IF(VLOOKUP(A2454,[16]PRIORIZADOS!$A:$C,3,FALSE)="","",VLOOKUP(A2454,[16]PRIORIZADOS!$A:$C,3,FALSE)),"")</f>
        <v>TUNJUELITO</v>
      </c>
      <c r="D2454" s="261" t="str">
        <f>IFERROR(IF(VLOOKUP(A2454,[16]PRIORIZADOS!$A:$D,4,FALSE)="","",VLOOKUP(A2454,[16]PRIORIZADOS!$A:$D,4,FALSE)),"")</f>
        <v>PRIVADO</v>
      </c>
      <c r="E2454" s="261" t="str">
        <f>IFERROR(IF(VLOOKUP(A2454,[16]PRIORIZADOS!$A:$E,5,FALSE)="","",VLOOKUP(A2454,[16]PRIORIZADOS!$A:$E,5,FALSE)),"")</f>
        <v>Educación de Jóvenes y Adultos</v>
      </c>
      <c r="F2454" s="261" t="str">
        <f>IFERROR(IF(VLOOKUP(A2454,[16]PRIORIZADOS!$A:$F,6,FALSE)="","",VLOOKUP(A2454,[16]PRIORIZADOS!$A:$F,6,FALSE)),"")</f>
        <v>COLEGIO_INCADE</v>
      </c>
      <c r="G2454" s="261" t="str">
        <f>IFERROR(IF(VLOOKUP(A2454,[16]PRIORIZADOS!$A:$G,7,FALSE)="","",VLOOKUP(A2454,[16]PRIORIZADOS!$A:$G,7,FALSE)),"")</f>
        <v>COLEGIO INCADE</v>
      </c>
      <c r="H2454" s="261" t="str">
        <f>IFERROR(IF(VLOOKUP(A2454,[16]PRIORIZADOS!$A:$H,8,FALSE)="","",VLOOKUP(A2454,[16]PRIORIZADOS!$A:$H,8,FALSE)),"")</f>
        <v>Autoevaluación Institucional y Pruebas SABER 11</v>
      </c>
      <c r="I2454" s="261" t="str">
        <f>IFERROR(IF(VLOOKUP(A2454,[16]PRIORIZADOS!$A:$I,9,FALSE)="","",VLOOKUP(A2454,[16]PRIORIZADOS!$A:$I,9,FALSE)),"")</f>
        <v>SEGUIMIENTO_Y_SUPERVISIÓN.</v>
      </c>
      <c r="J2454" s="261" t="str">
        <f>IFERROR(IF(VLOOKUP(A2454,[16]PRIORIZADOS!$A:$J,10,FALSE)="","",VLOOKUP(A2454,[16]PRIORIZADOS!$A:$J,10,FALSE)),"")</f>
        <v>Realizar visitas para verificar la información registrada sobre la autoevaluación institucional en el aplicativo EVI, a los establecimientos de educación formal no oficial.</v>
      </c>
      <c r="K2454" s="261" t="str">
        <f>IFERROR(IF(VLOOKUP(A2454,[16]PRIORIZADOS!$A:$K,11,FALSE)="","",VLOOKUP(A2454,[16]PRIORIZADOS!$A:$K,11,FALSE)),"")</f>
        <v>CLAUDIA PATRICIA GRANADOS FLÓREZ</v>
      </c>
      <c r="L2454" s="261" t="str">
        <f>IFERROR(IF(VLOOKUP(A2454,[16]PRIORIZADOS!$A:$L,12,FALSE)="","",VLOOKUP(A2454,[16]PRIORIZADOS!$A:$L,12,FALSE)),"")</f>
        <v xml:space="preserve">SANDRA JAZMÍN BAQUERO CÓRDOBA
NELSON AUGUSTO CUBILLOS OLARTE
CLAUDIA PATRICIA GRANADOS FLÓREZ
</v>
      </c>
      <c r="M2454" s="262">
        <f>IFERROR(IF(VLOOKUP(A2454,[16]PRIORIZADOS!$A:$M,13,FALSE)="","",VLOOKUP(A2454,[16]PRIORIZADOS!$A:$M,13,FALSE)),"")</f>
        <v>45772</v>
      </c>
      <c r="N2454" s="262">
        <f>IFERROR(IF(VLOOKUP(A2454,[16]PRIORIZADOS!$A:$N,14,FALSE)="","",VLOOKUP(A2454,[16]PRIORIZADOS!$A:$N,14,FALSE)),"")</f>
        <v>45772</v>
      </c>
      <c r="O2454" s="262">
        <f>IFERROR(IF(VLOOKUP(A2454,[16]PRIORIZADOS!$A:$O,15,FALSE)="","",VLOOKUP(A2454,[16]PRIORIZADOS!$A:$O,15,FALSE)),"")</f>
        <v>45772</v>
      </c>
      <c r="P2454" s="261" t="str">
        <f>IFERROR(IF(VLOOKUP(A2454,[16]PRIORIZADOS!$A:$P,16,FALSE)="","",VLOOKUP(A2454,[16]PRIORIZADOS!$A:$P,16,FALSE)),"")</f>
        <v>Visitas de evaluación con fines de seguimiento</v>
      </c>
      <c r="Q2454" s="107" t="s">
        <v>487</v>
      </c>
      <c r="R2454" s="261" t="str">
        <f>IFERROR(IF(VLOOKUP(A2454,[16]PRIORIZADOS!$A:$R,18,FALSE)="","",VLOOKUP(A2454,[16]PRIORIZADOS!$A:$R,18,FALSE)),"")</f>
        <v>Se evidencia carencia de espacios en la infraestructura c, ajustes para el PEI, curriculo, servicio social, orientacion escolar, jornadas docentes, manual de funciones, , etc</v>
      </c>
      <c r="S2454" s="261" t="str">
        <f>IFERROR(IF(VLOOKUP(A2454,[16]PRIORIZADOS!$A:$S,19,FALSE)="","",VLOOKUP(A2454,[16]PRIORIZADOS!$A:$S,19,FALSE)),"")</f>
        <v>Presentación del PMI 3 de junio de 2025</v>
      </c>
      <c r="T2454" s="70" t="str">
        <f>IFERROR(IF(VLOOKUP(A2454,[16]PRIORIZADOS!$A:$T,20,FALSE)="","",VLOOKUP(A2454,[16]PRIORIZADOS!$A:$T,20,FALSE)),"")</f>
        <v>Si</v>
      </c>
      <c r="U2454" s="11" t="str">
        <f>IFERROR(IF(VLOOKUP(A2454,[16]PRIORIZADOS!$A:$U,21,FALSE)="","",VLOOKUP(A2454,[16]PRIORIZADOS!$A:$U,21,FALSE)),"")</f>
        <v>Se revisara el plan de mejoramiento aportado para verificar su pertinencia y porsterior seguimiento para su cumplimiento</v>
      </c>
    </row>
    <row r="2455" spans="1:21" s="1" customFormat="1" ht="84">
      <c r="A2455" s="69">
        <f>IF([16]PRIORIZADOS!A44="","",[16]PRIORIZADOS!A44)</f>
        <v>2429</v>
      </c>
      <c r="B2455" s="70">
        <v>5</v>
      </c>
      <c r="C2455" s="261" t="str">
        <f>IFERROR(IF(VLOOKUP(A2455,[16]PRIORIZADOS!$A:$C,3,FALSE)="","",VLOOKUP(A2455,[16]PRIORIZADOS!$A:$C,3,FALSE)),"")</f>
        <v>TUNJUELITO</v>
      </c>
      <c r="D2455" s="261" t="str">
        <f>IFERROR(IF(VLOOKUP(A2455,[16]PRIORIZADOS!$A:$D,4,FALSE)="","",VLOOKUP(A2455,[16]PRIORIZADOS!$A:$D,4,FALSE)),"")</f>
        <v>PRIVADO</v>
      </c>
      <c r="E2455" s="261" t="str">
        <f>IFERROR(IF(VLOOKUP(A2455,[16]PRIORIZADOS!$A:$E,5,FALSE)="","",VLOOKUP(A2455,[16]PRIORIZADOS!$A:$E,5,FALSE)),"")</f>
        <v>Educación de Jóvenes y Adultos</v>
      </c>
      <c r="F2455" s="261" t="str">
        <f>IFERROR(IF(VLOOKUP(A2455,[16]PRIORIZADOS!$A:$F,6,FALSE)="","",VLOOKUP(A2455,[16]PRIORIZADOS!$A:$F,6,FALSE)),"")</f>
        <v>COLEGIO_INCADE</v>
      </c>
      <c r="G2455" s="261" t="str">
        <f>IFERROR(IF(VLOOKUP(A2455,[16]PRIORIZADOS!$A:$G,7,FALSE)="","",VLOOKUP(A2455,[16]PRIORIZADOS!$A:$G,7,FALSE)),"")</f>
        <v>COLEGIO INCADE</v>
      </c>
      <c r="H2455" s="261" t="str">
        <f>IFERROR(IF(VLOOKUP(A2455,[16]PRIORIZADOS!$A:$H,8,FALSE)="","",VLOOKUP(A2455,[16]PRIORIZADOS!$A:$H,8,FALSE)),"")</f>
        <v>Autoevaluación Institucional y Pruebas SABER 11</v>
      </c>
      <c r="I2455" s="261" t="str">
        <f>IFERROR(IF(VLOOKUP(A2455,[16]PRIORIZADOS!$A:$I,9,FALSE)="","",VLOOKUP(A2455,[16]PRIORIZADOS!$A:$I,9,FALSE)),"")</f>
        <v>SEGUIMIENTO_Y_SUPERVISIÓN.</v>
      </c>
      <c r="J2455" s="261" t="str">
        <f>IFERROR(IF(VLOOKUP(A2455,[16]PRIORIZADOS!$A:$J,10,FALSE)="","",VLOOKUP(A2455,[16]PRIORIZADOS!$A:$J,10,FALSE)),"")</f>
        <v>Proponer estrategias en la formulación, verificar su elaboración y realizar seguimiento semestral al desarrollo de  las acciones establecidas en los planes de mejoramiento por pruebas SABER 11 de los establecimientos de educación formal.</v>
      </c>
      <c r="K2455" s="261" t="str">
        <f>IFERROR(IF(VLOOKUP(A2455,[16]PRIORIZADOS!$A:$K,11,FALSE)="","",VLOOKUP(A2455,[16]PRIORIZADOS!$A:$K,11,FALSE)),"")</f>
        <v>CLAUDIA PATRICIA GRANADOS FLÓREZ</v>
      </c>
      <c r="L2455" s="261" t="str">
        <f>IFERROR(IF(VLOOKUP(A2455,[16]PRIORIZADOS!$A:$L,12,FALSE)="","",VLOOKUP(A2455,[16]PRIORIZADOS!$A:$L,12,FALSE)),"")</f>
        <v xml:space="preserve">SANDRA JAZMÍN BAQUERO CÓRDOBA
NELSON AUGUSTO CUBILLOS OLARTE
CLAUDIA PATRICIA GRANADOS FLÓREZ
</v>
      </c>
      <c r="M2455" s="262">
        <f>IFERROR(IF(VLOOKUP(A2455,[16]PRIORIZADOS!$A:$M,13,FALSE)="","",VLOOKUP(A2455,[16]PRIORIZADOS!$A:$M,13,FALSE)),"")</f>
        <v>45772</v>
      </c>
      <c r="N2455" s="262">
        <f>IFERROR(IF(VLOOKUP(A2455,[16]PRIORIZADOS!$A:$N,14,FALSE)="","",VLOOKUP(A2455,[16]PRIORIZADOS!$A:$N,14,FALSE)),"")</f>
        <v>45772</v>
      </c>
      <c r="O2455" s="262">
        <f>IFERROR(IF(VLOOKUP(A2455,[16]PRIORIZADOS!$A:$O,15,FALSE)="","",VLOOKUP(A2455,[16]PRIORIZADOS!$A:$O,15,FALSE)),"")</f>
        <v>45772</v>
      </c>
      <c r="P2455" s="261" t="str">
        <f>IFERROR(IF(VLOOKUP(A2455,[16]PRIORIZADOS!$A:$P,16,FALSE)="","",VLOOKUP(A2455,[16]PRIORIZADOS!$A:$P,16,FALSE)),"")</f>
        <v>Visitas de evaluación con fines de seguimiento</v>
      </c>
      <c r="Q2455" s="107" t="s">
        <v>487</v>
      </c>
      <c r="R2455" s="261" t="str">
        <f>IFERROR(IF(VLOOKUP(A2455,[16]PRIORIZADOS!$A:$R,18,FALSE)="","",VLOOKUP(A2455,[16]PRIORIZADOS!$A:$R,18,FALSE)),"")</f>
        <v>No se encuetnra documentacion al respecto</v>
      </c>
      <c r="S2455" s="261" t="str">
        <f>IFERROR(IF(VLOOKUP(A2455,[16]PRIORIZADOS!$A:$S,19,FALSE)="","",VLOOKUP(A2455,[16]PRIORIZADOS!$A:$S,19,FALSE)),"")</f>
        <v>Presentación del PMI 3 de junio de 2025</v>
      </c>
      <c r="T2455" s="70" t="str">
        <f>IFERROR(IF(VLOOKUP(A2455,[16]PRIORIZADOS!$A:$T,20,FALSE)="","",VLOOKUP(A2455,[16]PRIORIZADOS!$A:$T,20,FALSE)),"")</f>
        <v>Si</v>
      </c>
      <c r="U2455" s="11" t="str">
        <f>IFERROR(IF(VLOOKUP(A2455,[16]PRIORIZADOS!$A:$U,21,FALSE)="","",VLOOKUP(A2455,[16]PRIORIZADOS!$A:$U,21,FALSE)),"")</f>
        <v>Se revisara el plan de mejoramiento aportado para verificar su pertinencia y porsterior seguimiento para su cumplimiento</v>
      </c>
    </row>
    <row r="2456" spans="1:21" s="1" customFormat="1" ht="84">
      <c r="A2456" s="69">
        <f>IF([16]PRIORIZADOS!A45="","",[16]PRIORIZADOS!A45)</f>
        <v>2430</v>
      </c>
      <c r="B2456" s="70">
        <v>5</v>
      </c>
      <c r="C2456" s="261" t="str">
        <f>IFERROR(IF(VLOOKUP(A2456,[16]PRIORIZADOS!$A:$C,3,FALSE)="","",VLOOKUP(A2456,[16]PRIORIZADOS!$A:$C,3,FALSE)),"")</f>
        <v>TUNJUELITO</v>
      </c>
      <c r="D2456" s="261" t="str">
        <f>IFERROR(IF(VLOOKUP(A2456,[16]PRIORIZADOS!$A:$D,4,FALSE)="","",VLOOKUP(A2456,[16]PRIORIZADOS!$A:$D,4,FALSE)),"")</f>
        <v>PRIVADO</v>
      </c>
      <c r="E2456" s="261" t="str">
        <f>IFERROR(IF(VLOOKUP(A2456,[16]PRIORIZADOS!$A:$E,5,FALSE)="","",VLOOKUP(A2456,[16]PRIORIZADOS!$A:$E,5,FALSE)),"")</f>
        <v>Educación de Jóvenes y Adultos</v>
      </c>
      <c r="F2456" s="261" t="str">
        <f>IFERROR(IF(VLOOKUP(A2456,[16]PRIORIZADOS!$A:$F,6,FALSE)="","",VLOOKUP(A2456,[16]PRIORIZADOS!$A:$F,6,FALSE)),"")</f>
        <v>COLEGIO_INCADE</v>
      </c>
      <c r="G2456" s="261" t="str">
        <f>IFERROR(IF(VLOOKUP(A2456,[16]PRIORIZADOS!$A:$G,7,FALSE)="","",VLOOKUP(A2456,[16]PRIORIZADOS!$A:$G,7,FALSE)),"")</f>
        <v>COLEGIO INCADE</v>
      </c>
      <c r="H2456" s="261" t="str">
        <f>IFERROR(IF(VLOOKUP(A2456,[16]PRIORIZADOS!$A:$H,8,FALSE)="","",VLOOKUP(A2456,[16]PRIORIZADOS!$A:$H,8,FALSE)),"")</f>
        <v>Autoevaluación Institucional y Pruebas SABER 11</v>
      </c>
      <c r="I2456" s="261" t="str">
        <f>IFERROR(IF(VLOOKUP(A2456,[16]PRIORIZADOS!$A:$I,9,FALSE)="","",VLOOKUP(A2456,[16]PRIORIZADOS!$A:$I,9,FALSE)),"")</f>
        <v>SEGUIMIENTO_Y_SUPERVISIÓN.</v>
      </c>
      <c r="J2456" s="261" t="str">
        <f>IFERROR(IF(VLOOKUP(A2456,[16]PRIORIZADOS!$A:$J,10,FALSE)="","",VLOOKUP(A2456,[16]PRIORIZADOS!$A:$J,10,FALSE)),"")</f>
        <v xml:space="preserve">Verificar la implementación por parte de los colegios, de acciones realizadas para la prevención y atención de las situaciones de convivencia en el entorno escolar, según lo establecido en la Directiva 01 de 2022 del MEN. </v>
      </c>
      <c r="K2456" s="261" t="str">
        <f>IFERROR(IF(VLOOKUP(A2456,[16]PRIORIZADOS!$A:$K,11,FALSE)="","",VLOOKUP(A2456,[16]PRIORIZADOS!$A:$K,11,FALSE)),"")</f>
        <v>CLAUDIA PATRICIA GRANADOS FLÓREZ</v>
      </c>
      <c r="L2456" s="261" t="str">
        <f>IFERROR(IF(VLOOKUP(A2456,[16]PRIORIZADOS!$A:$L,12,FALSE)="","",VLOOKUP(A2456,[16]PRIORIZADOS!$A:$L,12,FALSE)),"")</f>
        <v xml:space="preserve">SANDRA JAZMÍN BAQUERO CÓRDOBA
NELSON AUGUSTO CUBILLOS OLARTE
CLAUDIA PATRICIA GRANADOS FLÓREZ
</v>
      </c>
      <c r="M2456" s="262">
        <f>IFERROR(IF(VLOOKUP(A2456,[16]PRIORIZADOS!$A:$M,13,FALSE)="","",VLOOKUP(A2456,[16]PRIORIZADOS!$A:$M,13,FALSE)),"")</f>
        <v>45772</v>
      </c>
      <c r="N2456" s="262">
        <f>IFERROR(IF(VLOOKUP(A2456,[16]PRIORIZADOS!$A:$N,14,FALSE)="","",VLOOKUP(A2456,[16]PRIORIZADOS!$A:$N,14,FALSE)),"")</f>
        <v>45772</v>
      </c>
      <c r="O2456" s="262">
        <f>IFERROR(IF(VLOOKUP(A2456,[16]PRIORIZADOS!$A:$O,15,FALSE)="","",VLOOKUP(A2456,[16]PRIORIZADOS!$A:$O,15,FALSE)),"")</f>
        <v>45772</v>
      </c>
      <c r="P2456" s="261" t="str">
        <f>IFERROR(IF(VLOOKUP(A2456,[16]PRIORIZADOS!$A:$P,16,FALSE)="","",VLOOKUP(A2456,[16]PRIORIZADOS!$A:$P,16,FALSE)),"")</f>
        <v>Visitas de evaluación con fines de seguimiento</v>
      </c>
      <c r="Q2456" s="107" t="s">
        <v>487</v>
      </c>
      <c r="R2456" s="261" t="str">
        <f>IFERROR(IF(VLOOKUP(A2456,[16]PRIORIZADOS!$A:$R,18,FALSE)="","",VLOOKUP(A2456,[16]PRIORIZADOS!$A:$R,18,FALSE)),"")</f>
        <v>Revisadas las carpetas de los docentes se evidencia la consulta realizada por la IE frente a los antecentes, en revision de manual de convivencia se hacen observaciones implementacion Ley 1620</v>
      </c>
      <c r="S2456" s="261" t="str">
        <f>IFERROR(IF(VLOOKUP(A2456,[16]PRIORIZADOS!$A:$S,19,FALSE)="","",VLOOKUP(A2456,[16]PRIORIZADOS!$A:$S,19,FALSE)),"")</f>
        <v>Se recomienda dejar las evidencias en carpetas y verificar todos los docentes</v>
      </c>
      <c r="T2456" s="70" t="str">
        <f>IFERROR(IF(VLOOKUP(A2456,[16]PRIORIZADOS!$A:$T,20,FALSE)="","",VLOOKUP(A2456,[16]PRIORIZADOS!$A:$T,20,FALSE)),"")</f>
        <v>No</v>
      </c>
      <c r="U2456" s="11" t="str">
        <f>IFERROR(IF(VLOOKUP(A2456,[16]PRIORIZADOS!$A:$U,21,FALSE)="","",VLOOKUP(A2456,[16]PRIORIZADOS!$A:$U,21,FALSE)),"")</f>
        <v>Se verificará la continuidad de su cumplimiento o en caso de presentarse una queja</v>
      </c>
    </row>
    <row r="2457" spans="1:21" s="1" customFormat="1" ht="84">
      <c r="A2457" s="69">
        <f>IF([16]PRIORIZADOS!A46="","",[16]PRIORIZADOS!A46)</f>
        <v>2431</v>
      </c>
      <c r="B2457" s="70">
        <v>5</v>
      </c>
      <c r="C2457" s="261" t="str">
        <f>IFERROR(IF(VLOOKUP(A2457,[16]PRIORIZADOS!$A:$C,3,FALSE)="","",VLOOKUP(A2457,[16]PRIORIZADOS!$A:$C,3,FALSE)),"")</f>
        <v>TUNJUELITO</v>
      </c>
      <c r="D2457" s="261" t="str">
        <f>IFERROR(IF(VLOOKUP(A2457,[16]PRIORIZADOS!$A:$D,4,FALSE)="","",VLOOKUP(A2457,[16]PRIORIZADOS!$A:$D,4,FALSE)),"")</f>
        <v>PRIVADO</v>
      </c>
      <c r="E2457" s="261" t="str">
        <f>IFERROR(IF(VLOOKUP(A2457,[16]PRIORIZADOS!$A:$E,5,FALSE)="","",VLOOKUP(A2457,[16]PRIORIZADOS!$A:$E,5,FALSE)),"")</f>
        <v>Educación de Jóvenes y Adultos</v>
      </c>
      <c r="F2457" s="261" t="str">
        <f>IFERROR(IF(VLOOKUP(A2457,[16]PRIORIZADOS!$A:$F,6,FALSE)="","",VLOOKUP(A2457,[16]PRIORIZADOS!$A:$F,6,FALSE)),"")</f>
        <v>COLEGIO_INCADE</v>
      </c>
      <c r="G2457" s="261" t="str">
        <f>IFERROR(IF(VLOOKUP(A2457,[16]PRIORIZADOS!$A:$G,7,FALSE)="","",VLOOKUP(A2457,[16]PRIORIZADOS!$A:$G,7,FALSE)),"")</f>
        <v>COLEGIO INCADE</v>
      </c>
      <c r="H2457" s="261" t="str">
        <f>IFERROR(IF(VLOOKUP(A2457,[16]PRIORIZADOS!$A:$H,8,FALSE)="","",VLOOKUP(A2457,[16]PRIORIZADOS!$A:$H,8,FALSE)),"")</f>
        <v>Autoevaluación Institucional y Pruebas SABER 11</v>
      </c>
      <c r="I2457" s="261" t="str">
        <f>IFERROR(IF(VLOOKUP(A2457,[16]PRIORIZADOS!$A:$I,9,FALSE)="","",VLOOKUP(A2457,[16]PRIORIZADOS!$A:$I,9,FALSE)),"")</f>
        <v>SEGUIMIENTO_Y_SUPERVISIÓN.</v>
      </c>
      <c r="J2457" s="261" t="str">
        <f>IFERROR(IF(VLOOKUP(A2457,[16]PRIORIZADOS!$A:$J,10,FALSE)="","",VLOOKUP(A2457,[16]PRIORIZADOS!$A:$J,10,FALSE)),"")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57" s="261" t="str">
        <f>IFERROR(IF(VLOOKUP(A2457,[16]PRIORIZADOS!$A:$K,11,FALSE)="","",VLOOKUP(A2457,[16]PRIORIZADOS!$A:$K,11,FALSE)),"")</f>
        <v>CLAUDIA PATRICIA GRANADOS FLÓREZ</v>
      </c>
      <c r="L2457" s="261" t="str">
        <f>IFERROR(IF(VLOOKUP(A2457,[16]PRIORIZADOS!$A:$L,12,FALSE)="","",VLOOKUP(A2457,[16]PRIORIZADOS!$A:$L,12,FALSE)),"")</f>
        <v xml:space="preserve">SANDRA JAZMÍN BAQUERO CÓRDOBA
NELSON AUGUSTO CUBILLOS OLARTE
CLAUDIA PATRICIA GRANADOS FLÓREZ
</v>
      </c>
      <c r="M2457" s="262">
        <f>IFERROR(IF(VLOOKUP(A2457,[16]PRIORIZADOS!$A:$M,13,FALSE)="","",VLOOKUP(A2457,[16]PRIORIZADOS!$A:$M,13,FALSE)),"")</f>
        <v>45772</v>
      </c>
      <c r="N2457" s="262">
        <f>IFERROR(IF(VLOOKUP(A2457,[16]PRIORIZADOS!$A:$N,14,FALSE)="","",VLOOKUP(A2457,[16]PRIORIZADOS!$A:$N,14,FALSE)),"")</f>
        <v>45772</v>
      </c>
      <c r="O2457" s="262">
        <f>IFERROR(IF(VLOOKUP(A2457,[16]PRIORIZADOS!$A:$O,15,FALSE)="","",VLOOKUP(A2457,[16]PRIORIZADOS!$A:$O,15,FALSE)),"")</f>
        <v>45772</v>
      </c>
      <c r="P2457" s="261" t="str">
        <f>IFERROR(IF(VLOOKUP(A2457,[16]PRIORIZADOS!$A:$P,16,FALSE)="","",VLOOKUP(A2457,[16]PRIORIZADOS!$A:$P,16,FALSE)),"")</f>
        <v>Visitas de evaluación con fines de seguimiento</v>
      </c>
      <c r="Q2457" s="107" t="s">
        <v>487</v>
      </c>
      <c r="R2457" s="261" t="str">
        <f>IFERROR(IF(VLOOKUP(A2457,[16]PRIORIZADOS!$A:$R,18,FALSE)="","",VLOOKUP(A2457,[16]PRIORIZADOS!$A:$R,18,FALSE)),"")</f>
        <v>Se encuentran novedades frente a aspectos que debe contener en cumplimiento de Decreto 1421</v>
      </c>
      <c r="S2457" s="261" t="str">
        <f>IFERROR(IF(VLOOKUP(A2457,[16]PRIORIZADOS!$A:$S,19,FALSE)="","",VLOOKUP(A2457,[16]PRIORIZADOS!$A:$S,19,FALSE)),"")</f>
        <v>Presentación del PMI 3 de junio de 2025</v>
      </c>
      <c r="T2457" s="70" t="str">
        <f>IFERROR(IF(VLOOKUP(A2457,[16]PRIORIZADOS!$A:$T,20,FALSE)="","",VLOOKUP(A2457,[16]PRIORIZADOS!$A:$T,20,FALSE)),"")</f>
        <v>Si</v>
      </c>
      <c r="U2457" s="11" t="str">
        <f>IFERROR(IF(VLOOKUP(A2457,[16]PRIORIZADOS!$A:$U,21,FALSE)="","",VLOOKUP(A2457,[16]PRIORIZADOS!$A:$U,21,FALSE)),"")</f>
        <v>Se revisara el plan de mejoramiento aportado para verificar su pertinencia y porsterior seguimiento para su cumplimiento</v>
      </c>
    </row>
    <row r="2458" spans="1:21" s="1" customFormat="1" ht="84">
      <c r="A2458" s="69">
        <f>IF([16]PRIORIZADOS!A47="","",[16]PRIORIZADOS!A47)</f>
        <v>2432</v>
      </c>
      <c r="B2458" s="70">
        <v>5</v>
      </c>
      <c r="C2458" s="261" t="str">
        <f>IFERROR(IF(VLOOKUP(A2458,[16]PRIORIZADOS!$A:$C,3,FALSE)="","",VLOOKUP(A2458,[16]PRIORIZADOS!$A:$C,3,FALSE)),"")</f>
        <v>TUNJUELITO</v>
      </c>
      <c r="D2458" s="261" t="str">
        <f>IFERROR(IF(VLOOKUP(A2458,[16]PRIORIZADOS!$A:$D,4,FALSE)="","",VLOOKUP(A2458,[16]PRIORIZADOS!$A:$D,4,FALSE)),"")</f>
        <v>PRIVADO</v>
      </c>
      <c r="E2458" s="261" t="str">
        <f>IFERROR(IF(VLOOKUP(A2458,[16]PRIORIZADOS!$A:$E,5,FALSE)="","",VLOOKUP(A2458,[16]PRIORIZADOS!$A:$E,5,FALSE)),"")</f>
        <v>Educación de Jóvenes y Adultos</v>
      </c>
      <c r="F2458" s="261" t="str">
        <f>IFERROR(IF(VLOOKUP(A2458,[16]PRIORIZADOS!$A:$F,6,FALSE)="","",VLOOKUP(A2458,[16]PRIORIZADOS!$A:$F,6,FALSE)),"")</f>
        <v>COLEGIO_INCADE</v>
      </c>
      <c r="G2458" s="261" t="str">
        <f>IFERROR(IF(VLOOKUP(A2458,[16]PRIORIZADOS!$A:$G,7,FALSE)="","",VLOOKUP(A2458,[16]PRIORIZADOS!$A:$G,7,FALSE)),"")</f>
        <v>COLEGIO INCADE</v>
      </c>
      <c r="H2458" s="261" t="str">
        <f>IFERROR(IF(VLOOKUP(A2458,[16]PRIORIZADOS!$A:$H,8,FALSE)="","",VLOOKUP(A2458,[16]PRIORIZADOS!$A:$H,8,FALSE)),"")</f>
        <v>Autoevaluación Institucional y Pruebas SABER 11</v>
      </c>
      <c r="I2458" s="261" t="str">
        <f>IFERROR(IF(VLOOKUP(A2458,[16]PRIORIZADOS!$A:$I,9,FALSE)="","",VLOOKUP(A2458,[16]PRIORIZADOS!$A:$I,9,FALSE)),"")</f>
        <v>EVALUACIÓN_CON_FINES_DE_MEJORAMIENTO.</v>
      </c>
      <c r="J2458" s="261" t="str">
        <f>IFERROR(IF(VLOOKUP(A2458,[16]PRIORIZADOS!$A:$J,10,FALSE)="","",VLOOKUP(A2458,[16]PRIORIZADOS!$A:$J,10,FALSE)),"")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58" s="261" t="str">
        <f>IFERROR(IF(VLOOKUP(A2458,[16]PRIORIZADOS!$A:$K,11,FALSE)="","",VLOOKUP(A2458,[16]PRIORIZADOS!$A:$K,11,FALSE)),"")</f>
        <v>CLAUDIA PATRICIA GRANADOS FLÓREZ</v>
      </c>
      <c r="L2458" s="261" t="str">
        <f>IFERROR(IF(VLOOKUP(A2458,[16]PRIORIZADOS!$A:$L,12,FALSE)="","",VLOOKUP(A2458,[16]PRIORIZADOS!$A:$L,12,FALSE)),"")</f>
        <v xml:space="preserve">SANDRA JAZMÍN BAQUERO CÓRDOBA
NELSON AUGUSTO CUBILLOS OLARTE
CLAUDIA PATRICIA GRANADOS FLÓREZ
</v>
      </c>
      <c r="M2458" s="262">
        <f>IFERROR(IF(VLOOKUP(A2458,[16]PRIORIZADOS!$A:$M,13,FALSE)="","",VLOOKUP(A2458,[16]PRIORIZADOS!$A:$M,13,FALSE)),"")</f>
        <v>45772</v>
      </c>
      <c r="N2458" s="262">
        <f>IFERROR(IF(VLOOKUP(A2458,[16]PRIORIZADOS!$A:$N,14,FALSE)="","",VLOOKUP(A2458,[16]PRIORIZADOS!$A:$N,14,FALSE)),"")</f>
        <v>45772</v>
      </c>
      <c r="O2458" s="262">
        <f>IFERROR(IF(VLOOKUP(A2458,[16]PRIORIZADOS!$A:$O,15,FALSE)="","",VLOOKUP(A2458,[16]PRIORIZADOS!$A:$O,15,FALSE)),"")</f>
        <v>45772</v>
      </c>
      <c r="P2458" s="261" t="str">
        <f>IFERROR(IF(VLOOKUP(A2458,[16]PRIORIZADOS!$A:$P,16,FALSE)="","",VLOOKUP(A2458,[16]PRIORIZADOS!$A:$P,16,FALSE)),"")</f>
        <v>Visitas de evaluación con fines de mejoramiento</v>
      </c>
      <c r="Q2458" s="107" t="s">
        <v>487</v>
      </c>
      <c r="R2458" s="261" t="str">
        <f>IFERROR(IF(VLOOKUP(A2458,[16]PRIORIZADOS!$A:$R,18,FALSE)="","",VLOOKUP(A2458,[16]PRIORIZADOS!$A:$R,18,FALSE)),"")</f>
        <v>Revisado el manual de convivencia presentado por la IE Se encuentran novedades frente a aspectos como rutas de atencion., protocolos, de Ley 1620, decreto 1965, decreto 1421 , debido proceso entre otros,</v>
      </c>
      <c r="S2458" s="261" t="str">
        <f>IFERROR(IF(VLOOKUP(A2458,[16]PRIORIZADOS!$A:$S,19,FALSE)="","",VLOOKUP(A2458,[16]PRIORIZADOS!$A:$S,19,FALSE)),"")</f>
        <v>Presentación del PMI 3 de junio de 2025</v>
      </c>
      <c r="T2458" s="70" t="str">
        <f>IFERROR(IF(VLOOKUP(A2458,[16]PRIORIZADOS!$A:$T,20,FALSE)="","",VLOOKUP(A2458,[16]PRIORIZADOS!$A:$T,20,FALSE)),"")</f>
        <v>Si</v>
      </c>
      <c r="U2458" s="11" t="str">
        <f>IFERROR(IF(VLOOKUP(A2458,[16]PRIORIZADOS!$A:$U,21,FALSE)="","",VLOOKUP(A2458,[16]PRIORIZADOS!$A:$U,21,FALSE)),"")</f>
        <v>Se revisara el plan de mejoramiento aportado para verificar su pertinencia y porsterior seguimiento para su cumplimiento</v>
      </c>
    </row>
    <row r="2459" spans="1:21" s="1" customFormat="1" ht="84">
      <c r="A2459" s="69">
        <f>IF([16]PRIORIZADOS!A48="","",[16]PRIORIZADOS!A48)</f>
        <v>2433</v>
      </c>
      <c r="B2459" s="70">
        <v>5</v>
      </c>
      <c r="C2459" s="261" t="str">
        <f>IFERROR(IF(VLOOKUP(A2459,[16]PRIORIZADOS!$A:$C,3,FALSE)="","",VLOOKUP(A2459,[16]PRIORIZADOS!$A:$C,3,FALSE)),"")</f>
        <v>TUNJUELITO</v>
      </c>
      <c r="D2459" s="261" t="str">
        <f>IFERROR(IF(VLOOKUP(A2459,[16]PRIORIZADOS!$A:$D,4,FALSE)="","",VLOOKUP(A2459,[16]PRIORIZADOS!$A:$D,4,FALSE)),"")</f>
        <v>PRIVADO</v>
      </c>
      <c r="E2459" s="261" t="str">
        <f>IFERROR(IF(VLOOKUP(A2459,[16]PRIORIZADOS!$A:$E,5,FALSE)="","",VLOOKUP(A2459,[16]PRIORIZADOS!$A:$E,5,FALSE)),"")</f>
        <v>Educación de Jóvenes y Adultos</v>
      </c>
      <c r="F2459" s="261" t="str">
        <f>IFERROR(IF(VLOOKUP(A2459,[16]PRIORIZADOS!$A:$F,6,FALSE)="","",VLOOKUP(A2459,[16]PRIORIZADOS!$A:$F,6,FALSE)),"")</f>
        <v>COLEGIO_INCADE</v>
      </c>
      <c r="G2459" s="261" t="str">
        <f>IFERROR(IF(VLOOKUP(A2459,[16]PRIORIZADOS!$A:$G,7,FALSE)="","",VLOOKUP(A2459,[16]PRIORIZADOS!$A:$G,7,FALSE)),"")</f>
        <v>COLEGIO INCADE</v>
      </c>
      <c r="H2459" s="261" t="str">
        <f>IFERROR(IF(VLOOKUP(A2459,[16]PRIORIZADOS!$A:$H,8,FALSE)="","",VLOOKUP(A2459,[16]PRIORIZADOS!$A:$H,8,FALSE)),"")</f>
        <v>Autoevaluación Institucional y Pruebas SABER 11</v>
      </c>
      <c r="I2459" s="261" t="str">
        <f>IFERROR(IF(VLOOKUP(A2459,[16]PRIORIZADOS!$A:$I,9,FALSE)="","",VLOOKUP(A2459,[16]PRIORIZADOS!$A:$I,9,FALSE)),"")</f>
        <v>EVALUACIÓN_CON_FINES_DE_MEJORAMIENTO.</v>
      </c>
      <c r="J2459" s="261" t="str">
        <f>IFERROR(IF(VLOOKUP(A2459,[16]PRIORIZADOS!$A:$J,10,FALSE)="","",VLOOKUP(A2459,[16]PRIORIZADOS!$A:$J,10,FALSE)),"")</f>
        <v>Revisar la actualización, socialización e implementación del Sistema Institucional de Evaluación de Estudiantes - SIEE, en articulación con la actualización del PEI y la normatividad vigente.</v>
      </c>
      <c r="K2459" s="261" t="str">
        <f>IFERROR(IF(VLOOKUP(A2459,[16]PRIORIZADOS!$A:$K,11,FALSE)="","",VLOOKUP(A2459,[16]PRIORIZADOS!$A:$K,11,FALSE)),"")</f>
        <v>CLAUDIA PATRICIA GRANADOS FLÓREZ</v>
      </c>
      <c r="L2459" s="261" t="str">
        <f>IFERROR(IF(VLOOKUP(A2459,[16]PRIORIZADOS!$A:$L,12,FALSE)="","",VLOOKUP(A2459,[16]PRIORIZADOS!$A:$L,12,FALSE)),"")</f>
        <v xml:space="preserve">SANDRA JAZMÍN BAQUERO CÓRDOBA
NELSON AUGUSTO CUBILLOS OLARTE
CLAUDIA PATRICIA GRANADOS FLÓREZ
</v>
      </c>
      <c r="M2459" s="262">
        <f>IFERROR(IF(VLOOKUP(A2459,[16]PRIORIZADOS!$A:$M,13,FALSE)="","",VLOOKUP(A2459,[16]PRIORIZADOS!$A:$M,13,FALSE)),"")</f>
        <v>45772</v>
      </c>
      <c r="N2459" s="262">
        <f>IFERROR(IF(VLOOKUP(A2459,[16]PRIORIZADOS!$A:$N,14,FALSE)="","",VLOOKUP(A2459,[16]PRIORIZADOS!$A:$N,14,FALSE)),"")</f>
        <v>45772</v>
      </c>
      <c r="O2459" s="262">
        <f>IFERROR(IF(VLOOKUP(A2459,[16]PRIORIZADOS!$A:$O,15,FALSE)="","",VLOOKUP(A2459,[16]PRIORIZADOS!$A:$O,15,FALSE)),"")</f>
        <v>45772</v>
      </c>
      <c r="P2459" s="261" t="str">
        <f>IFERROR(IF(VLOOKUP(A2459,[16]PRIORIZADOS!$A:$P,16,FALSE)="","",VLOOKUP(A2459,[16]PRIORIZADOS!$A:$P,16,FALSE)),"")</f>
        <v>Visitas de evaluación con fines de mejoramiento</v>
      </c>
      <c r="Q2459" s="107" t="s">
        <v>487</v>
      </c>
      <c r="R2459" s="261" t="str">
        <f>IFERROR(IF(VLOOKUP(A2459,[16]PRIORIZADOS!$A:$R,18,FALSE)="","",VLOOKUP(A2459,[16]PRIORIZADOS!$A:$R,18,FALSE)),"")</f>
        <v>Se encuentran novedades frente a aspectos que debe contener en cumplimiento de Decreto 1075 de 2015</v>
      </c>
      <c r="S2459" s="261" t="str">
        <f>IFERROR(IF(VLOOKUP(A2459,[16]PRIORIZADOS!$A:$S,19,FALSE)="","",VLOOKUP(A2459,[16]PRIORIZADOS!$A:$S,19,FALSE)),"")</f>
        <v>Presentación del PMI 3 de junio de 2025</v>
      </c>
      <c r="T2459" s="70" t="str">
        <f>IFERROR(IF(VLOOKUP(A2459,[16]PRIORIZADOS!$A:$T,20,FALSE)="","",VLOOKUP(A2459,[16]PRIORIZADOS!$A:$T,20,FALSE)),"")</f>
        <v>Si</v>
      </c>
      <c r="U2459" s="11" t="str">
        <f>IFERROR(IF(VLOOKUP(A2459,[16]PRIORIZADOS!$A:$U,21,FALSE)="","",VLOOKUP(A2459,[16]PRIORIZADOS!$A:$U,21,FALSE)),"")</f>
        <v>Se revisara el plan de mejoramiento aportado para verificar su pertinencia y porsterior seguimiento para su cumplimiento</v>
      </c>
    </row>
    <row r="2460" spans="1:21" s="1" customFormat="1" ht="84">
      <c r="A2460" s="69">
        <f>IF([16]PRIORIZADOS!A49="","",[16]PRIORIZADOS!A49)</f>
        <v>2434</v>
      </c>
      <c r="B2460" s="70">
        <v>5</v>
      </c>
      <c r="C2460" s="261" t="str">
        <f>IFERROR(IF(VLOOKUP(A2460,[16]PRIORIZADOS!$A:$C,3,FALSE)="","",VLOOKUP(A2460,[16]PRIORIZADOS!$A:$C,3,FALSE)),"")</f>
        <v>TUNJUELITO</v>
      </c>
      <c r="D2460" s="261" t="str">
        <f>IFERROR(IF(VLOOKUP(A2460,[16]PRIORIZADOS!$A:$D,4,FALSE)="","",VLOOKUP(A2460,[16]PRIORIZADOS!$A:$D,4,FALSE)),"")</f>
        <v>PRIVADO</v>
      </c>
      <c r="E2460" s="261" t="str">
        <f>IFERROR(IF(VLOOKUP(A2460,[16]PRIORIZADOS!$A:$E,5,FALSE)="","",VLOOKUP(A2460,[16]PRIORIZADOS!$A:$E,5,FALSE)),"")</f>
        <v>Educación de Jóvenes y Adultos</v>
      </c>
      <c r="F2460" s="261" t="str">
        <f>IFERROR(IF(VLOOKUP(A2460,[16]PRIORIZADOS!$A:$F,6,FALSE)="","",VLOOKUP(A2460,[16]PRIORIZADOS!$A:$F,6,FALSE)),"")</f>
        <v>COLEGIO_INCADE</v>
      </c>
      <c r="G2460" s="261" t="str">
        <f>IFERROR(IF(VLOOKUP(A2460,[16]PRIORIZADOS!$A:$G,7,FALSE)="","",VLOOKUP(A2460,[16]PRIORIZADOS!$A:$G,7,FALSE)),"")</f>
        <v>COLEGIO INCADE</v>
      </c>
      <c r="H2460" s="261" t="str">
        <f>IFERROR(IF(VLOOKUP(A2460,[16]PRIORIZADOS!$A:$H,8,FALSE)="","",VLOOKUP(A2460,[16]PRIORIZADOS!$A:$H,8,FALSE)),"")</f>
        <v>Autoevaluación Institucional y Pruebas SABER 11</v>
      </c>
      <c r="I2460" s="261" t="str">
        <f>IFERROR(IF(VLOOKUP(A2460,[16]PRIORIZADOS!$A:$I,9,FALSE)="","",VLOOKUP(A2460,[16]PRIORIZADOS!$A:$I,9,FALSE)),"")</f>
        <v>EVALUACIÓN_CON_FINES_DE_MEJORAMIENTO.</v>
      </c>
      <c r="J2460" s="261" t="str">
        <f>IFERROR(IF(VLOOKUP(A2460,[16]PRIORIZADOS!$A:$J,10,FALSE)="","",VLOOKUP(A2460,[16]PRIORIZADOS!$A:$J,10,FALSE)),"")</f>
        <v>Revisar el calendario escolar, jornada escolar, la intensidad horaria mínima anual en cada nivel y las modificaciones que se realicen al mismo, de acuerdo con lo previsto en la normatividad vigente.</v>
      </c>
      <c r="K2460" s="261" t="str">
        <f>IFERROR(IF(VLOOKUP(A2460,[16]PRIORIZADOS!$A:$K,11,FALSE)="","",VLOOKUP(A2460,[16]PRIORIZADOS!$A:$K,11,FALSE)),"")</f>
        <v>CLAUDIA PATRICIA GRANADOS FLÓREZ</v>
      </c>
      <c r="L2460" s="261" t="str">
        <f>IFERROR(IF(VLOOKUP(A2460,[16]PRIORIZADOS!$A:$L,12,FALSE)="","",VLOOKUP(A2460,[16]PRIORIZADOS!$A:$L,12,FALSE)),"")</f>
        <v xml:space="preserve">SANDRA JAZMÍN BAQUERO CÓRDOBA
NELSON AUGUSTO CUBILLOS OLARTE
CLAUDIA PATRICIA GRANADOS FLÓREZ
</v>
      </c>
      <c r="M2460" s="262">
        <f>IFERROR(IF(VLOOKUP(A2460,[16]PRIORIZADOS!$A:$M,13,FALSE)="","",VLOOKUP(A2460,[16]PRIORIZADOS!$A:$M,13,FALSE)),"")</f>
        <v>45772</v>
      </c>
      <c r="N2460" s="262">
        <f>IFERROR(IF(VLOOKUP(A2460,[16]PRIORIZADOS!$A:$N,14,FALSE)="","",VLOOKUP(A2460,[16]PRIORIZADOS!$A:$N,14,FALSE)),"")</f>
        <v>45772</v>
      </c>
      <c r="O2460" s="262">
        <f>IFERROR(IF(VLOOKUP(A2460,[16]PRIORIZADOS!$A:$O,15,FALSE)="","",VLOOKUP(A2460,[16]PRIORIZADOS!$A:$O,15,FALSE)),"")</f>
        <v>45772</v>
      </c>
      <c r="P2460" s="261" t="str">
        <f>IFERROR(IF(VLOOKUP(A2460,[16]PRIORIZADOS!$A:$P,16,FALSE)="","",VLOOKUP(A2460,[16]PRIORIZADOS!$A:$P,16,FALSE)),"")</f>
        <v>Visitas de evaluación con fines de mejoramiento</v>
      </c>
      <c r="Q2460" s="107" t="s">
        <v>487</v>
      </c>
      <c r="R2460" s="261" t="str">
        <f>IFERROR(IF(VLOOKUP(A2460,[16]PRIORIZADOS!$A:$R,18,FALSE)="","",VLOOKUP(A2460,[16]PRIORIZADOS!$A:$R,18,FALSE)),"")</f>
        <v>Se hace revisión documental y se verifica el cumplimiento de la normatividad establecida</v>
      </c>
      <c r="S2460" s="261" t="str">
        <f>IFERROR(IF(VLOOKUP(A2460,[16]PRIORIZADOS!$A:$S,19,FALSE)="","",VLOOKUP(A2460,[16]PRIORIZADOS!$A:$S,19,FALSE)),"")</f>
        <v>Cumplir con el calendario recordando la intensidad horaria</v>
      </c>
      <c r="T2460" s="70" t="str">
        <f>IFERROR(IF(VLOOKUP(A2460,[16]PRIORIZADOS!$A:$T,20,FALSE)="","",VLOOKUP(A2460,[16]PRIORIZADOS!$A:$T,20,FALSE)),"")</f>
        <v>No</v>
      </c>
      <c r="U2460" s="11" t="str">
        <f>IFERROR(IF(VLOOKUP(A2460,[16]PRIORIZADOS!$A:$U,21,FALSE)="","",VLOOKUP(A2460,[16]PRIORIZADOS!$A:$U,21,FALSE)),"")</f>
        <v>Se verificará la  formulación para la siguiente vigencia o en caso de presentarse una queja</v>
      </c>
    </row>
    <row r="2461" spans="1:21" s="1" customFormat="1" ht="84">
      <c r="A2461" s="69">
        <f>IF([16]PRIORIZADOS!A50="","",[16]PRIORIZADOS!A50)</f>
        <v>2435</v>
      </c>
      <c r="B2461" s="70">
        <v>5</v>
      </c>
      <c r="C2461" s="261" t="str">
        <f>IFERROR(IF(VLOOKUP(A2461,[16]PRIORIZADOS!$A:$C,3,FALSE)="","",VLOOKUP(A2461,[16]PRIORIZADOS!$A:$C,3,FALSE)),"")</f>
        <v>TUNJUELITO</v>
      </c>
      <c r="D2461" s="261" t="str">
        <f>IFERROR(IF(VLOOKUP(A2461,[16]PRIORIZADOS!$A:$D,4,FALSE)="","",VLOOKUP(A2461,[16]PRIORIZADOS!$A:$D,4,FALSE)),"")</f>
        <v>PRIVADO</v>
      </c>
      <c r="E2461" s="261" t="str">
        <f>IFERROR(IF(VLOOKUP(A2461,[16]PRIORIZADOS!$A:$E,5,FALSE)="","",VLOOKUP(A2461,[16]PRIORIZADOS!$A:$E,5,FALSE)),"")</f>
        <v>Educación de Jóvenes y Adultos</v>
      </c>
      <c r="F2461" s="261" t="str">
        <f>IFERROR(IF(VLOOKUP(A2461,[16]PRIORIZADOS!$A:$F,6,FALSE)="","",VLOOKUP(A2461,[16]PRIORIZADOS!$A:$F,6,FALSE)),"")</f>
        <v>COLEGIO_INCADE</v>
      </c>
      <c r="G2461" s="261" t="str">
        <f>IFERROR(IF(VLOOKUP(A2461,[16]PRIORIZADOS!$A:$G,7,FALSE)="","",VLOOKUP(A2461,[16]PRIORIZADOS!$A:$G,7,FALSE)),"")</f>
        <v>COLEGIO INCADE</v>
      </c>
      <c r="H2461" s="261" t="str">
        <f>IFERROR(IF(VLOOKUP(A2461,[16]PRIORIZADOS!$A:$H,8,FALSE)="","",VLOOKUP(A2461,[16]PRIORIZADOS!$A:$H,8,FALSE)),"")</f>
        <v>Autoevaluación Institucional y Pruebas SABER 11</v>
      </c>
      <c r="I2461" s="261" t="str">
        <f>IFERROR(IF(VLOOKUP(A2461,[16]PRIORIZADOS!$A:$I,9,FALSE)="","",VLOOKUP(A2461,[16]PRIORIZADOS!$A:$I,9,FALSE)),"")</f>
        <v>EVALUACIÓN_CON_FINES_DE_MEJORAMIENTO.</v>
      </c>
      <c r="J2461" s="261" t="str">
        <f>IFERROR(IF(VLOOKUP(A2461,[16]PRIORIZADOS!$A:$J,10,FALSE)="","",VLOOKUP(A2461,[16]PRIORIZADOS!$A:$J,10,FALSE)),"")</f>
        <v>Verificar el funcionamiento del Gobierno Escolar e instancias de participación con base en la información sobre conformación reportada por la institución educativa.</v>
      </c>
      <c r="K2461" s="261" t="str">
        <f>IFERROR(IF(VLOOKUP(A2461,[16]PRIORIZADOS!$A:$K,11,FALSE)="","",VLOOKUP(A2461,[16]PRIORIZADOS!$A:$K,11,FALSE)),"")</f>
        <v>CLAUDIA PATRICIA GRANADOS FLÓREZ</v>
      </c>
      <c r="L2461" s="261" t="str">
        <f>IFERROR(IF(VLOOKUP(A2461,[16]PRIORIZADOS!$A:$L,12,FALSE)="","",VLOOKUP(A2461,[16]PRIORIZADOS!$A:$L,12,FALSE)),"")</f>
        <v xml:space="preserve">SANDRA JAZMÍN BAQUERO CÓRDOBA
NELSON AUGUSTO CUBILLOS OLARTE
CLAUDIA PATRICIA GRANADOS FLÓREZ
</v>
      </c>
      <c r="M2461" s="262">
        <f>IFERROR(IF(VLOOKUP(A2461,[16]PRIORIZADOS!$A:$M,13,FALSE)="","",VLOOKUP(A2461,[16]PRIORIZADOS!$A:$M,13,FALSE)),"")</f>
        <v>45772</v>
      </c>
      <c r="N2461" s="262">
        <f>IFERROR(IF(VLOOKUP(A2461,[16]PRIORIZADOS!$A:$N,14,FALSE)="","",VLOOKUP(A2461,[16]PRIORIZADOS!$A:$N,14,FALSE)),"")</f>
        <v>45772</v>
      </c>
      <c r="O2461" s="262">
        <f>IFERROR(IF(VLOOKUP(A2461,[16]PRIORIZADOS!$A:$O,15,FALSE)="","",VLOOKUP(A2461,[16]PRIORIZADOS!$A:$O,15,FALSE)),"")</f>
        <v>45772</v>
      </c>
      <c r="P2461" s="261" t="str">
        <f>IFERROR(IF(VLOOKUP(A2461,[16]PRIORIZADOS!$A:$P,16,FALSE)="","",VLOOKUP(A2461,[16]PRIORIZADOS!$A:$P,16,FALSE)),"")</f>
        <v>Visitas de evaluación con fines de mejoramiento</v>
      </c>
      <c r="Q2461" s="107" t="s">
        <v>487</v>
      </c>
      <c r="R2461" s="261" t="str">
        <f>IFERROR(IF(VLOOKUP(A2461,[16]PRIORIZADOS!$A:$R,18,FALSE)="","",VLOOKUP(A2461,[16]PRIORIZADOS!$A:$R,18,FALSE)),"")</f>
        <v>El colegio presenta las actas de cada una de las instancias donde se evidencia su funcionamiento años 2024 y 2025.</v>
      </c>
      <c r="S2461" s="261" t="str">
        <f>IFERROR(IF(VLOOKUP(A2461,[16]PRIORIZADOS!$A:$S,19,FALSE)="","",VLOOKUP(A2461,[16]PRIORIZADOS!$A:$S,19,FALSE)),"")</f>
        <v>La institución cumple con el funcionamiento del gobierno escolar.</v>
      </c>
      <c r="T2461" s="70" t="str">
        <f>IFERROR(IF(VLOOKUP(A2461,[16]PRIORIZADOS!$A:$T,20,FALSE)="","",VLOOKUP(A2461,[16]PRIORIZADOS!$A:$T,20,FALSE)),"")</f>
        <v>No</v>
      </c>
      <c r="U2461" s="11" t="str">
        <f>IFERROR(IF(VLOOKUP(A2461,[16]PRIORIZADOS!$A:$U,21,FALSE)="","",VLOOKUP(A2461,[16]PRIORIZADOS!$A:$U,21,FALSE)),"")</f>
        <v>Se verificará la conformación y funcionamiento en la siguiente vigencia o en caso de presentarse una queja</v>
      </c>
    </row>
    <row r="2462" spans="1:21" s="1" customFormat="1" ht="84">
      <c r="A2462" s="69">
        <f>IF([16]PRIORIZADOS!A51="","",[16]PRIORIZADOS!A51)</f>
        <v>2436</v>
      </c>
      <c r="B2462" s="70">
        <v>5</v>
      </c>
      <c r="C2462" s="261" t="str">
        <f>IFERROR(IF(VLOOKUP(A2462,[16]PRIORIZADOS!$A:$C,3,FALSE)="","",VLOOKUP(A2462,[16]PRIORIZADOS!$A:$C,3,FALSE)),"")</f>
        <v>TUNJUELITO</v>
      </c>
      <c r="D2462" s="261" t="str">
        <f>IFERROR(IF(VLOOKUP(A2462,[16]PRIORIZADOS!$A:$D,4,FALSE)="","",VLOOKUP(A2462,[16]PRIORIZADOS!$A:$D,4,FALSE)),"")</f>
        <v>PRIVADO</v>
      </c>
      <c r="E2462" s="261" t="str">
        <f>IFERROR(IF(VLOOKUP(A2462,[16]PRIORIZADOS!$A:$E,5,FALSE)="","",VLOOKUP(A2462,[16]PRIORIZADOS!$A:$E,5,FALSE)),"")</f>
        <v>Educación de Jóvenes y Adultos</v>
      </c>
      <c r="F2462" s="261" t="str">
        <f>IFERROR(IF(VLOOKUP(A2462,[16]PRIORIZADOS!$A:$F,6,FALSE)="","",VLOOKUP(A2462,[16]PRIORIZADOS!$A:$F,6,FALSE)),"")</f>
        <v>COLEGIO_INCADE</v>
      </c>
      <c r="G2462" s="261" t="str">
        <f>IFERROR(IF(VLOOKUP(A2462,[16]PRIORIZADOS!$A:$G,7,FALSE)="","",VLOOKUP(A2462,[16]PRIORIZADOS!$A:$G,7,FALSE)),"")</f>
        <v>COLEGIO INCADE</v>
      </c>
      <c r="H2462" s="261" t="str">
        <f>IFERROR(IF(VLOOKUP(A2462,[16]PRIORIZADOS!$A:$H,8,FALSE)="","",VLOOKUP(A2462,[16]PRIORIZADOS!$A:$H,8,FALSE)),"")</f>
        <v>Autoevaluación Institucional y Pruebas SABER 11</v>
      </c>
      <c r="I2462" s="261" t="str">
        <f>IFERROR(IF(VLOOKUP(A2462,[16]PRIORIZADOS!$A:$I,9,FALSE)="","",VLOOKUP(A2462,[16]PRIORIZADOS!$A:$I,9,FALSE)),"")</f>
        <v>EVALUACIÓN_CON_FINES_DE_MEJORAMIENTO.</v>
      </c>
      <c r="J2462" s="261" t="str">
        <f>IFERROR(IF(VLOOKUP(A2462,[16]PRIORIZADOS!$A:$J,10,FALSE)="","",VLOOKUP(A2462,[16]PRIORIZADOS!$A:$J,10,FALSE)),"")</f>
        <v>Verificar las condiciones en cuanto a: la estructura administrativa, condiciones de la planta física y medios educativos adecuados.</v>
      </c>
      <c r="K2462" s="261" t="str">
        <f>IFERROR(IF(VLOOKUP(A2462,[16]PRIORIZADOS!$A:$K,11,FALSE)="","",VLOOKUP(A2462,[16]PRIORIZADOS!$A:$K,11,FALSE)),"")</f>
        <v>CLAUDIA PATRICIA GRANADOS FLÓREZ</v>
      </c>
      <c r="L2462" s="261" t="str">
        <f>IFERROR(IF(VLOOKUP(A2462,[16]PRIORIZADOS!$A:$L,12,FALSE)="","",VLOOKUP(A2462,[16]PRIORIZADOS!$A:$L,12,FALSE)),"")</f>
        <v xml:space="preserve">SANDRA JAZMÍN BAQUERO CÓRDOBA
NELSON AUGUSTO CUBILLOS OLARTE
CLAUDIA PATRICIA GRANADOS FLÓREZ
</v>
      </c>
      <c r="M2462" s="262">
        <f>IFERROR(IF(VLOOKUP(A2462,[16]PRIORIZADOS!$A:$M,13,FALSE)="","",VLOOKUP(A2462,[16]PRIORIZADOS!$A:$M,13,FALSE)),"")</f>
        <v>45772</v>
      </c>
      <c r="N2462" s="262">
        <f>IFERROR(IF(VLOOKUP(A2462,[16]PRIORIZADOS!$A:$N,14,FALSE)="","",VLOOKUP(A2462,[16]PRIORIZADOS!$A:$N,14,FALSE)),"")</f>
        <v>45772</v>
      </c>
      <c r="O2462" s="262">
        <f>IFERROR(IF(VLOOKUP(A2462,[16]PRIORIZADOS!$A:$O,15,FALSE)="","",VLOOKUP(A2462,[16]PRIORIZADOS!$A:$O,15,FALSE)),"")</f>
        <v>45772</v>
      </c>
      <c r="P2462" s="261" t="str">
        <f>IFERROR(IF(VLOOKUP(A2462,[16]PRIORIZADOS!$A:$P,16,FALSE)="","",VLOOKUP(A2462,[16]PRIORIZADOS!$A:$P,16,FALSE)),"")</f>
        <v>Visitas de evaluación con fines de mejoramiento</v>
      </c>
      <c r="Q2462" s="107" t="s">
        <v>487</v>
      </c>
      <c r="R2462" s="261" t="str">
        <f>IFERROR(IF(VLOOKUP(A2462,[16]PRIORIZADOS!$A:$R,18,FALSE)="","",VLOOKUP(A2462,[16]PRIORIZADOS!$A:$R,18,FALSE)),"")</f>
        <v>Se evidencia carencia de espacios en la infraestructura como baño para poblacion con discapacidad, Falta Laboratorio, Biblioteca, Zona de recrecion, se evidencia olor a humedad en aulas que no estan en servicio</v>
      </c>
      <c r="S2462" s="261" t="str">
        <f>IFERROR(IF(VLOOKUP(A2462,[16]PRIORIZADOS!$A:$S,19,FALSE)="","",VLOOKUP(A2462,[16]PRIORIZADOS!$A:$S,19,FALSE)),"")</f>
        <v>Presentación del PMI 3 de junio de 2025</v>
      </c>
      <c r="T2462" s="70" t="str">
        <f>IFERROR(IF(VLOOKUP(A2462,[16]PRIORIZADOS!$A:$T,20,FALSE)="","",VLOOKUP(A2462,[16]PRIORIZADOS!$A:$T,20,FALSE)),"")</f>
        <v>Si</v>
      </c>
      <c r="U2462" s="11" t="str">
        <f>IFERROR(IF(VLOOKUP(A2462,[16]PRIORIZADOS!$A:$U,21,FALSE)="","",VLOOKUP(A2462,[16]PRIORIZADOS!$A:$U,21,FALSE)),"")</f>
        <v>Se revisara el plan de mejoramiento aportado para verificar su pertinencia y porsterior seguimiento para su cumplimiento</v>
      </c>
    </row>
    <row r="2463" spans="1:21" s="1" customFormat="1" ht="84">
      <c r="A2463" s="69">
        <f>IF([16]PRIORIZADOS!A52="","",[16]PRIORIZADOS!A52)</f>
        <v>2437</v>
      </c>
      <c r="B2463" s="70">
        <f>IFERROR(IF(VLOOKUP(A2463,[16]PRIORIZADOS!$A:$B,2,FALSE)="","",VLOOKUP(A2463,[16]PRIORIZADOS!$A:$B,2,FALSE)),"")</f>
        <v>6</v>
      </c>
      <c r="C2463" s="261" t="str">
        <f>IFERROR(IF(VLOOKUP(A2463,[16]PRIORIZADOS!$A:$C,3,FALSE)="","",VLOOKUP(A2463,[16]PRIORIZADOS!$A:$C,3,FALSE)),"")</f>
        <v>TUNJUELITO</v>
      </c>
      <c r="D2463" s="261" t="str">
        <f>IFERROR(IF(VLOOKUP(A2463,[16]PRIORIZADOS!$A:$D,4,FALSE)="","",VLOOKUP(A2463,[16]PRIORIZADOS!$A:$D,4,FALSE)),"")</f>
        <v>PRIVADO</v>
      </c>
      <c r="E2463" s="261" t="str">
        <f>IFERROR(IF(VLOOKUP(A2463,[16]PRIORIZADOS!$A:$E,5,FALSE)="","",VLOOKUP(A2463,[16]PRIORIZADOS!$A:$E,5,FALSE)),"")</f>
        <v>EPBM</v>
      </c>
      <c r="F2463" s="261" t="str">
        <f>IFERROR(IF(VLOOKUP(A2463,[16]PRIORIZADOS!$A:$F,6,FALSE)="","",VLOOKUP(A2463,[16]PRIORIZADOS!$A:$F,6,FALSE)),"")</f>
        <v>COLEGIO_NUESTRA_SEÑORA_DE_LAS_VICTORIAS</v>
      </c>
      <c r="G2463" s="261" t="str">
        <f>IFERROR(IF(VLOOKUP(A2463,[16]PRIORIZADOS!$A:$G,7,FALSE)="","",VLOOKUP(A2463,[16]PRIORIZADOS!$A:$G,7,FALSE)),"")</f>
        <v>COLEGIO NUESTRA SEÑORA DE LAS VICTORIAS</v>
      </c>
      <c r="H2463" s="261" t="str">
        <f>IFERROR(IF(VLOOKUP(A2463,[16]PRIORIZADOS!$A:$H,8,FALSE)="","",VLOOKUP(A2463,[16]PRIORIZADOS!$A:$H,8,FALSE)),"")</f>
        <v>Autoevaluación Institucional y Pruebas SABER 11</v>
      </c>
      <c r="I2463" s="261" t="str">
        <f>IFERROR(IF(VLOOKUP(A2463,[16]PRIORIZADOS!$A:$I,9,FALSE)="","",VLOOKUP(A2463,[16]PRIORIZADOS!$A:$I,9,FALSE)),"")</f>
        <v>SEGUIMIENTO_Y_SUPERVISIÓN.</v>
      </c>
      <c r="J2463" s="261" t="str">
        <f>IFERROR(IF(VLOOKUP(A2463,[16]PRIORIZADOS!$A:$J,10,FALSE)="","",VLOOKUP(A2463,[16]PRIORIZADOS!$A:$J,10,FALSE)),"")</f>
        <v>Realizar visitas para verificar la información registrada sobre la autoevaluación institucional en el aplicativo EVI, a los establecimientos de educación formal no oficial.</v>
      </c>
      <c r="K2463" s="261" t="str">
        <f>IFERROR(IF(VLOOKUP(A2463,[16]PRIORIZADOS!$A:$K,11,FALSE)="","",VLOOKUP(A2463,[16]PRIORIZADOS!$A:$K,11,FALSE)),"")</f>
        <v>NELSON AUGUSTO CUBILLOS OLARTE</v>
      </c>
      <c r="L2463" s="261" t="str">
        <f>IFERROR(IF(VLOOKUP(A2463,[16]PRIORIZADOS!$A:$L,12,FALSE)="","",VLOOKUP(A2463,[16]PRIORIZADOS!$A:$L,12,FALSE)),"")</f>
        <v xml:space="preserve">SANDRA JAZMÍN BAQUERO CÓRDOBA
NELSON AUGUSTO CUBILLOS OLARTE
CLAUDIA PATRICIA GRANADOS FLÓREZ
</v>
      </c>
      <c r="M2463" s="262">
        <f>IFERROR(IF(VLOOKUP(A2463,[16]PRIORIZADOS!$A:$M,13,FALSE)="","",VLOOKUP(A2463,[16]PRIORIZADOS!$A:$M,13,FALSE)),"")</f>
        <v>45807</v>
      </c>
      <c r="N2463" s="262">
        <f>IFERROR(IF(VLOOKUP(A2463,[16]PRIORIZADOS!$A:$N,14,FALSE)="","",VLOOKUP(A2463,[16]PRIORIZADOS!$A:$N,14,FALSE)),"")</f>
        <v>45785</v>
      </c>
      <c r="O2463" s="262">
        <f>IFERROR(IF(VLOOKUP(A2463,[16]PRIORIZADOS!$A:$O,15,FALSE)="","",VLOOKUP(A2463,[16]PRIORIZADOS!$A:$O,15,FALSE)),"")</f>
        <v>45785</v>
      </c>
      <c r="P2463" s="261" t="str">
        <f>IFERROR(IF(VLOOKUP(A2463,[16]PRIORIZADOS!$A:$P,16,FALSE)="","",VLOOKUP(A2463,[16]PRIORIZADOS!$A:$P,16,FALSE)),"")</f>
        <v>Visitas de evaluación con fines de seguimiento</v>
      </c>
      <c r="Q2463" s="107" t="s">
        <v>488</v>
      </c>
      <c r="R2463" s="261" t="str">
        <f>IFERROR(IF(VLOOKUP(A2463,[16]PRIORIZADOS!$A:$R,18,FALSE)="","",VLOOKUP(A2463,[16]PRIORIZADOS!$A:$R,18,FALSE)),"")</f>
        <v>Los espacios y demas información registrada en el EVI corresponde con la realidad institucional y se encuentran en buen estado</v>
      </c>
      <c r="S2463" s="261" t="str">
        <f>IFERROR(IF(VLOOKUP(A2463,[16]PRIORIZADOS!$A:$S,19,FALSE)="","",VLOOKUP(A2463,[16]PRIORIZADOS!$A:$S,19,FALSE)),"")</f>
        <v>El colegio cumple con lo dispuesto en la autoevaluación institucional.</v>
      </c>
      <c r="T2463" s="70" t="str">
        <f>IFERROR(IF(VLOOKUP(A2463,[16]PRIORIZADOS!$A:$T,20,FALSE)="","",VLOOKUP(A2463,[16]PRIORIZADOS!$A:$T,20,FALSE)),"")</f>
        <v>No</v>
      </c>
      <c r="U2463" s="11" t="str">
        <f>IFERROR(IF(VLOOKUP(A2463,[16]PRIORIZADOS!$A:$U,21,FALSE)="","",VLOOKUP(A2463,[16]PRIORIZADOS!$A:$U,21,FALSE)),"")</f>
        <v>Continuar las verificaciones en el proceso EVI del próximo año.</v>
      </c>
    </row>
    <row r="2464" spans="1:21" s="1" customFormat="1" ht="84">
      <c r="A2464" s="69">
        <f>IF([16]PRIORIZADOS!A53="","",[16]PRIORIZADOS!A53)</f>
        <v>2438</v>
      </c>
      <c r="B2464" s="70">
        <v>6</v>
      </c>
      <c r="C2464" s="261" t="str">
        <f>IFERROR(IF(VLOOKUP(A2464,[16]PRIORIZADOS!$A:$C,3,FALSE)="","",VLOOKUP(A2464,[16]PRIORIZADOS!$A:$C,3,FALSE)),"")</f>
        <v>TUNJUELITO</v>
      </c>
      <c r="D2464" s="261" t="str">
        <f>IFERROR(IF(VLOOKUP(A2464,[16]PRIORIZADOS!$A:$D,4,FALSE)="","",VLOOKUP(A2464,[16]PRIORIZADOS!$A:$D,4,FALSE)),"")</f>
        <v>PRIVADO</v>
      </c>
      <c r="E2464" s="261" t="str">
        <f>IFERROR(IF(VLOOKUP(A2464,[16]PRIORIZADOS!$A:$E,5,FALSE)="","",VLOOKUP(A2464,[16]PRIORIZADOS!$A:$E,5,FALSE)),"")</f>
        <v>EPBM</v>
      </c>
      <c r="F2464" s="261" t="str">
        <f>IFERROR(IF(VLOOKUP(A2464,[16]PRIORIZADOS!$A:$F,6,FALSE)="","",VLOOKUP(A2464,[16]PRIORIZADOS!$A:$F,6,FALSE)),"")</f>
        <v>COLEGIO_NUESTRA_SEÑORA_DE_LAS_VICTORIAS</v>
      </c>
      <c r="G2464" s="261" t="str">
        <f>IFERROR(IF(VLOOKUP(A2464,[16]PRIORIZADOS!$A:$G,7,FALSE)="","",VLOOKUP(A2464,[16]PRIORIZADOS!$A:$G,7,FALSE)),"")</f>
        <v>COLEGIO NUESTRA SEÑORA DE LAS VICTORIAS</v>
      </c>
      <c r="H2464" s="261" t="str">
        <f>IFERROR(IF(VLOOKUP(A2464,[16]PRIORIZADOS!$A:$H,8,FALSE)="","",VLOOKUP(A2464,[16]PRIORIZADOS!$A:$H,8,FALSE)),"")</f>
        <v>Autoevaluación Institucional y Pruebas SABER 11</v>
      </c>
      <c r="I2464" s="261" t="str">
        <f>IFERROR(IF(VLOOKUP(A2464,[16]PRIORIZADOS!$A:$I,9,FALSE)="","",VLOOKUP(A2464,[16]PRIORIZADOS!$A:$I,9,FALSE)),"")</f>
        <v>SEGUIMIENTO_Y_SUPERVISIÓN.</v>
      </c>
      <c r="J2464" s="261" t="str">
        <f>IFERROR(IF(VLOOKUP(A2464,[16]PRIORIZADOS!$A:$J,10,FALSE)="","",VLOOKUP(A2464,[16]PRIORIZADOS!$A:$J,10,FALSE)),"")</f>
        <v>Proponer estrategias en la formulación, verificar su elaboración y realizar seguimiento semestral al desarrollo de  las acciones establecidas en los planes de mejoramiento por pruebas SABER 11 de los establecimientos de educación formal.</v>
      </c>
      <c r="K2464" s="261" t="str">
        <f>IFERROR(IF(VLOOKUP(A2464,[16]PRIORIZADOS!$A:$K,11,FALSE)="","",VLOOKUP(A2464,[16]PRIORIZADOS!$A:$K,11,FALSE)),"")</f>
        <v>NELSON AUGUSTO CUBILLOS OLARTE</v>
      </c>
      <c r="L2464" s="261" t="str">
        <f>IFERROR(IF(VLOOKUP(A2464,[16]PRIORIZADOS!$A:$L,12,FALSE)="","",VLOOKUP(A2464,[16]PRIORIZADOS!$A:$L,12,FALSE)),"")</f>
        <v xml:space="preserve">SANDRA JAZMÍN BAQUERO CÓRDOBA
NELSON AUGUSTO CUBILLOS OLARTE
CLAUDIA PATRICIA GRANADOS FLÓREZ
</v>
      </c>
      <c r="M2464" s="262">
        <f>IFERROR(IF(VLOOKUP(A2464,[16]PRIORIZADOS!$A:$M,13,FALSE)="","",VLOOKUP(A2464,[16]PRIORIZADOS!$A:$M,13,FALSE)),"")</f>
        <v>45807</v>
      </c>
      <c r="N2464" s="262">
        <f>IFERROR(IF(VLOOKUP(A2464,[16]PRIORIZADOS!$A:$N,14,FALSE)="","",VLOOKUP(A2464,[16]PRIORIZADOS!$A:$N,14,FALSE)),"")</f>
        <v>45785</v>
      </c>
      <c r="O2464" s="262">
        <f>IFERROR(IF(VLOOKUP(A2464,[16]PRIORIZADOS!$A:$O,15,FALSE)="","",VLOOKUP(A2464,[16]PRIORIZADOS!$A:$O,15,FALSE)),"")</f>
        <v>45785</v>
      </c>
      <c r="P2464" s="261" t="str">
        <f>IFERROR(IF(VLOOKUP(A2464,[16]PRIORIZADOS!$A:$P,16,FALSE)="","",VLOOKUP(A2464,[16]PRIORIZADOS!$A:$P,16,FALSE)),"")</f>
        <v>Visitas de evaluación con fines de seguimiento</v>
      </c>
      <c r="Q2464" s="107" t="s">
        <v>488</v>
      </c>
      <c r="R2464" s="261" t="str">
        <f>IFERROR(IF(VLOOKUP(A2464,[16]PRIORIZADOS!$A:$R,18,FALSE)="","",VLOOKUP(A2464,[16]PRIORIZADOS!$A:$R,18,FALSE)),"")</f>
        <v>La institución se encuentra en categoría A con buen puntaje.</v>
      </c>
      <c r="S2464" s="261" t="str">
        <f>IFERROR(IF(VLOOKUP(A2464,[16]PRIORIZADOS!$A:$S,19,FALSE)="","",VLOOKUP(A2464,[16]PRIORIZADOS!$A:$S,19,FALSE)),"")</f>
        <v>La institución analiza los procesos y procedimientos para mejorar los puntajes en pruebas SABER 11.</v>
      </c>
      <c r="T2464" s="70" t="str">
        <f>IFERROR(IF(VLOOKUP(A2464,[16]PRIORIZADOS!$A:$T,20,FALSE)="","",VLOOKUP(A2464,[16]PRIORIZADOS!$A:$T,20,FALSE)),"")</f>
        <v>No</v>
      </c>
      <c r="U2464" s="11" t="str">
        <f>IFERROR(IF(VLOOKUP(A2464,[16]PRIORIZADOS!$A:$U,21,FALSE)="","",VLOOKUP(A2464,[16]PRIORIZADOS!$A:$U,21,FALSE)),"")</f>
        <v>Continuar las verificaciones de seguimiento el próximo año.</v>
      </c>
    </row>
    <row r="2465" spans="1:21" s="1" customFormat="1" ht="84">
      <c r="A2465" s="69">
        <f>IF([16]PRIORIZADOS!A54="","",[16]PRIORIZADOS!A54)</f>
        <v>2439</v>
      </c>
      <c r="B2465" s="70">
        <v>6</v>
      </c>
      <c r="C2465" s="261" t="str">
        <f>IFERROR(IF(VLOOKUP(A2465,[16]PRIORIZADOS!$A:$C,3,FALSE)="","",VLOOKUP(A2465,[16]PRIORIZADOS!$A:$C,3,FALSE)),"")</f>
        <v>TUNJUELITO</v>
      </c>
      <c r="D2465" s="261" t="str">
        <f>IFERROR(IF(VLOOKUP(A2465,[16]PRIORIZADOS!$A:$D,4,FALSE)="","",VLOOKUP(A2465,[16]PRIORIZADOS!$A:$D,4,FALSE)),"")</f>
        <v>PRIVADO</v>
      </c>
      <c r="E2465" s="261" t="str">
        <f>IFERROR(IF(VLOOKUP(A2465,[16]PRIORIZADOS!$A:$E,5,FALSE)="","",VLOOKUP(A2465,[16]PRIORIZADOS!$A:$E,5,FALSE)),"")</f>
        <v>EPBM</v>
      </c>
      <c r="F2465" s="261" t="str">
        <f>IFERROR(IF(VLOOKUP(A2465,[16]PRIORIZADOS!$A:$F,6,FALSE)="","",VLOOKUP(A2465,[16]PRIORIZADOS!$A:$F,6,FALSE)),"")</f>
        <v>COLEGIO_NUESTRA_SEÑORA_DE_LAS_VICTORIAS</v>
      </c>
      <c r="G2465" s="261" t="str">
        <f>IFERROR(IF(VLOOKUP(A2465,[16]PRIORIZADOS!$A:$G,7,FALSE)="","",VLOOKUP(A2465,[16]PRIORIZADOS!$A:$G,7,FALSE)),"")</f>
        <v>COLEGIO NUESTRA SEÑORA DE LAS VICTORIAS</v>
      </c>
      <c r="H2465" s="261" t="str">
        <f>IFERROR(IF(VLOOKUP(A2465,[16]PRIORIZADOS!$A:$H,8,FALSE)="","",VLOOKUP(A2465,[16]PRIORIZADOS!$A:$H,8,FALSE)),"")</f>
        <v>Autoevaluación Institucional y Pruebas SABER 11</v>
      </c>
      <c r="I2465" s="261" t="str">
        <f>IFERROR(IF(VLOOKUP(A2465,[16]PRIORIZADOS!$A:$I,9,FALSE)="","",VLOOKUP(A2465,[16]PRIORIZADOS!$A:$I,9,FALSE)),"")</f>
        <v>SEGUIMIENTO_Y_SUPERVISIÓN.</v>
      </c>
      <c r="J2465" s="261" t="str">
        <f>IFERROR(IF(VLOOKUP(A2465,[16]PRIORIZADOS!$A:$J,10,FALSE)="","",VLOOKUP(A2465,[16]PRIORIZADOS!$A:$J,10,FALSE)),"")</f>
        <v xml:space="preserve">Verificar la implementación por parte de los colegios, de acciones realizadas para la prevención y atención de las situaciones de convivencia en el entorno escolar, según lo establecido en la Directiva 01 de 2022 del MEN. </v>
      </c>
      <c r="K2465" s="261" t="str">
        <f>IFERROR(IF(VLOOKUP(A2465,[16]PRIORIZADOS!$A:$K,11,FALSE)="","",VLOOKUP(A2465,[16]PRIORIZADOS!$A:$K,11,FALSE)),"")</f>
        <v>NELSON AUGUSTO CUBILLOS OLARTE</v>
      </c>
      <c r="L2465" s="261" t="str">
        <f>IFERROR(IF(VLOOKUP(A2465,[16]PRIORIZADOS!$A:$L,12,FALSE)="","",VLOOKUP(A2465,[16]PRIORIZADOS!$A:$L,12,FALSE)),"")</f>
        <v xml:space="preserve">SANDRA JAZMÍN BAQUERO CÓRDOBA
NELSON AUGUSTO CUBILLOS OLARTE
CLAUDIA PATRICIA GRANADOS FLÓREZ
</v>
      </c>
      <c r="M2465" s="262">
        <f>IFERROR(IF(VLOOKUP(A2465,[16]PRIORIZADOS!$A:$M,13,FALSE)="","",VLOOKUP(A2465,[16]PRIORIZADOS!$A:$M,13,FALSE)),"")</f>
        <v>45807</v>
      </c>
      <c r="N2465" s="262">
        <f>IFERROR(IF(VLOOKUP(A2465,[16]PRIORIZADOS!$A:$N,14,FALSE)="","",VLOOKUP(A2465,[16]PRIORIZADOS!$A:$N,14,FALSE)),"")</f>
        <v>45785</v>
      </c>
      <c r="O2465" s="262">
        <f>IFERROR(IF(VLOOKUP(A2465,[16]PRIORIZADOS!$A:$O,15,FALSE)="","",VLOOKUP(A2465,[16]PRIORIZADOS!$A:$O,15,FALSE)),"")</f>
        <v>45785</v>
      </c>
      <c r="P2465" s="261" t="str">
        <f>IFERROR(IF(VLOOKUP(A2465,[16]PRIORIZADOS!$A:$P,16,FALSE)="","",VLOOKUP(A2465,[16]PRIORIZADOS!$A:$P,16,FALSE)),"")</f>
        <v>Visitas de evaluación con fines de seguimiento</v>
      </c>
      <c r="Q2465" s="107" t="s">
        <v>488</v>
      </c>
      <c r="R2465" s="261" t="str">
        <f>IFERROR(IF(VLOOKUP(A2465,[16]PRIORIZADOS!$A:$R,18,FALSE)="","",VLOOKUP(A2465,[16]PRIORIZADOS!$A:$R,18,FALSE)),"")</f>
        <v>En las hojas de vida de los docentes y el personal administrativo no hay evidencia de la consulta de inhabilidades por delitos sexuales.</v>
      </c>
      <c r="S2465" s="261" t="str">
        <f>IFERROR(IF(VLOOKUP(A2465,[16]PRIORIZADOS!$A:$S,19,FALSE)="","",VLOOKUP(A2465,[16]PRIORIZADOS!$A:$S,19,FALSE)),"")</f>
        <v>Se debe realizar la consulta de cada uno de los docentes y administrativos dejando evidencia en hoja de vida bien sea virtual o fisica.</v>
      </c>
      <c r="T2465" s="70" t="str">
        <f>IFERROR(IF(VLOOKUP(A2465,[16]PRIORIZADOS!$A:$T,20,FALSE)="","",VLOOKUP(A2465,[16]PRIORIZADOS!$A:$T,20,FALSE)),"")</f>
        <v>Si</v>
      </c>
      <c r="U2465" s="11" t="str">
        <f>IFERROR(IF(VLOOKUP(A2465,[16]PRIORIZADOS!$A:$U,21,FALSE)="","",VLOOKUP(A2465,[16]PRIORIZADOS!$A:$U,21,FALSE)),"")</f>
        <v>se revisará el PMI con la accion realizada y la consulta cada tres meses.</v>
      </c>
    </row>
    <row r="2466" spans="1:21" s="1" customFormat="1" ht="84">
      <c r="A2466" s="69">
        <f>IF([16]PRIORIZADOS!A55="","",[16]PRIORIZADOS!A55)</f>
        <v>2440</v>
      </c>
      <c r="B2466" s="70">
        <v>6</v>
      </c>
      <c r="C2466" s="261" t="str">
        <f>IFERROR(IF(VLOOKUP(A2466,[16]PRIORIZADOS!$A:$C,3,FALSE)="","",VLOOKUP(A2466,[16]PRIORIZADOS!$A:$C,3,FALSE)),"")</f>
        <v>TUNJUELITO</v>
      </c>
      <c r="D2466" s="261" t="str">
        <f>IFERROR(IF(VLOOKUP(A2466,[16]PRIORIZADOS!$A:$D,4,FALSE)="","",VLOOKUP(A2466,[16]PRIORIZADOS!$A:$D,4,FALSE)),"")</f>
        <v>PRIVADO</v>
      </c>
      <c r="E2466" s="261" t="str">
        <f>IFERROR(IF(VLOOKUP(A2466,[16]PRIORIZADOS!$A:$E,5,FALSE)="","",VLOOKUP(A2466,[16]PRIORIZADOS!$A:$E,5,FALSE)),"")</f>
        <v>EPBM</v>
      </c>
      <c r="F2466" s="261" t="str">
        <f>IFERROR(IF(VLOOKUP(A2466,[16]PRIORIZADOS!$A:$F,6,FALSE)="","",VLOOKUP(A2466,[16]PRIORIZADOS!$A:$F,6,FALSE)),"")</f>
        <v>COLEGIO_NUESTRA_SEÑORA_DE_LAS_VICTORIAS</v>
      </c>
      <c r="G2466" s="261" t="str">
        <f>IFERROR(IF(VLOOKUP(A2466,[16]PRIORIZADOS!$A:$G,7,FALSE)="","",VLOOKUP(A2466,[16]PRIORIZADOS!$A:$G,7,FALSE)),"")</f>
        <v>COLEGIO NUESTRA SEÑORA DE LAS VICTORIAS</v>
      </c>
      <c r="H2466" s="261" t="str">
        <f>IFERROR(IF(VLOOKUP(A2466,[16]PRIORIZADOS!$A:$H,8,FALSE)="","",VLOOKUP(A2466,[16]PRIORIZADOS!$A:$H,8,FALSE)),"")</f>
        <v>Autoevaluación Institucional y Pruebas SABER 11</v>
      </c>
      <c r="I2466" s="261" t="str">
        <f>IFERROR(IF(VLOOKUP(A2466,[16]PRIORIZADOS!$A:$I,9,FALSE)="","",VLOOKUP(A2466,[16]PRIORIZADOS!$A:$I,9,FALSE)),"")</f>
        <v>SEGUIMIENTO_Y_SUPERVISIÓN.</v>
      </c>
      <c r="J2466" s="261" t="str">
        <f>IFERROR(IF(VLOOKUP(A2466,[16]PRIORIZADOS!$A:$J,10,FALSE)="","",VLOOKUP(A2466,[16]PRIORIZADOS!$A:$J,10,FALSE)),"")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66" s="261" t="str">
        <f>IFERROR(IF(VLOOKUP(A2466,[16]PRIORIZADOS!$A:$K,11,FALSE)="","",VLOOKUP(A2466,[16]PRIORIZADOS!$A:$K,11,FALSE)),"")</f>
        <v>NELSON AUGUSTO CUBILLOS OLARTE</v>
      </c>
      <c r="L2466" s="261" t="str">
        <f>IFERROR(IF(VLOOKUP(A2466,[16]PRIORIZADOS!$A:$L,12,FALSE)="","",VLOOKUP(A2466,[16]PRIORIZADOS!$A:$L,12,FALSE)),"")</f>
        <v xml:space="preserve">SANDRA JAZMÍN BAQUERO CÓRDOBA
NELSON AUGUSTO CUBILLOS OLARTE
CLAUDIA PATRICIA GRANADOS FLÓREZ
</v>
      </c>
      <c r="M2466" s="262">
        <f>IFERROR(IF(VLOOKUP(A2466,[16]PRIORIZADOS!$A:$M,13,FALSE)="","",VLOOKUP(A2466,[16]PRIORIZADOS!$A:$M,13,FALSE)),"")</f>
        <v>45807</v>
      </c>
      <c r="N2466" s="262">
        <f>IFERROR(IF(VLOOKUP(A2466,[16]PRIORIZADOS!$A:$N,14,FALSE)="","",VLOOKUP(A2466,[16]PRIORIZADOS!$A:$N,14,FALSE)),"")</f>
        <v>45785</v>
      </c>
      <c r="O2466" s="262">
        <f>IFERROR(IF(VLOOKUP(A2466,[16]PRIORIZADOS!$A:$O,15,FALSE)="","",VLOOKUP(A2466,[16]PRIORIZADOS!$A:$O,15,FALSE)),"")</f>
        <v>45785</v>
      </c>
      <c r="P2466" s="261" t="str">
        <f>IFERROR(IF(VLOOKUP(A2466,[16]PRIORIZADOS!$A:$P,16,FALSE)="","",VLOOKUP(A2466,[16]PRIORIZADOS!$A:$P,16,FALSE)),"")</f>
        <v>Visitas de evaluación con fines de seguimiento</v>
      </c>
      <c r="Q2466" s="107" t="s">
        <v>488</v>
      </c>
      <c r="R2466" s="261" t="str">
        <f>IFERROR(IF(VLOOKUP(A2466,[16]PRIORIZADOS!$A:$R,18,FALSE)="","",VLOOKUP(A2466,[16]PRIORIZADOS!$A:$R,18,FALSE)),"")</f>
        <v>Los estudiantes marcados con alguna discapacidad tienen un PIAR, pero este no se encuentra firmado por las partes intervinientes.</v>
      </c>
      <c r="S2466" s="261" t="str">
        <f>IFERROR(IF(VLOOKUP(A2466,[16]PRIORIZADOS!$A:$S,19,FALSE)="","",VLOOKUP(A2466,[16]PRIORIZADOS!$A:$S,19,FALSE)),"")</f>
        <v>Se deben realizar las firmas correspondientes de los PIAR y revisar las barreras</v>
      </c>
      <c r="T2466" s="70" t="str">
        <f>IFERROR(IF(VLOOKUP(A2466,[16]PRIORIZADOS!$A:$T,20,FALSE)="","",VLOOKUP(A2466,[16]PRIORIZADOS!$A:$T,20,FALSE)),"")</f>
        <v>Si</v>
      </c>
      <c r="U2466" s="11" t="str">
        <f>IFERROR(IF(VLOOKUP(A2466,[16]PRIORIZADOS!$A:$U,21,FALSE)="","",VLOOKUP(A2466,[16]PRIORIZADOS!$A:$U,21,FALSE)),"")</f>
        <v>Se revisará el PMI con la accion realizada y el seguimiento por medio de los informes presentados.</v>
      </c>
    </row>
    <row r="2467" spans="1:21" s="1" customFormat="1" ht="84">
      <c r="A2467" s="69">
        <f>IF([16]PRIORIZADOS!A56="","",[16]PRIORIZADOS!A56)</f>
        <v>2441</v>
      </c>
      <c r="B2467" s="70">
        <v>6</v>
      </c>
      <c r="C2467" s="261" t="str">
        <f>IFERROR(IF(VLOOKUP(A2467,[16]PRIORIZADOS!$A:$C,3,FALSE)="","",VLOOKUP(A2467,[16]PRIORIZADOS!$A:$C,3,FALSE)),"")</f>
        <v>TUNJUELITO</v>
      </c>
      <c r="D2467" s="261" t="str">
        <f>IFERROR(IF(VLOOKUP(A2467,[16]PRIORIZADOS!$A:$D,4,FALSE)="","",VLOOKUP(A2467,[16]PRIORIZADOS!$A:$D,4,FALSE)),"")</f>
        <v>PRIVADO</v>
      </c>
      <c r="E2467" s="261" t="str">
        <f>IFERROR(IF(VLOOKUP(A2467,[16]PRIORIZADOS!$A:$E,5,FALSE)="","",VLOOKUP(A2467,[16]PRIORIZADOS!$A:$E,5,FALSE)),"")</f>
        <v>EPBM</v>
      </c>
      <c r="F2467" s="261" t="str">
        <f>IFERROR(IF(VLOOKUP(A2467,[16]PRIORIZADOS!$A:$F,6,FALSE)="","",VLOOKUP(A2467,[16]PRIORIZADOS!$A:$F,6,FALSE)),"")</f>
        <v>COLEGIO_NUESTRA_SEÑORA_DE_LAS_VICTORIAS</v>
      </c>
      <c r="G2467" s="261" t="str">
        <f>IFERROR(IF(VLOOKUP(A2467,[16]PRIORIZADOS!$A:$G,7,FALSE)="","",VLOOKUP(A2467,[16]PRIORIZADOS!$A:$G,7,FALSE)),"")</f>
        <v>COLEGIO NUESTRA SEÑORA DE LAS VICTORIAS</v>
      </c>
      <c r="H2467" s="261" t="str">
        <f>IFERROR(IF(VLOOKUP(A2467,[16]PRIORIZADOS!$A:$H,8,FALSE)="","",VLOOKUP(A2467,[16]PRIORIZADOS!$A:$H,8,FALSE)),"")</f>
        <v>Autoevaluación Institucional y Pruebas SABER 11</v>
      </c>
      <c r="I2467" s="261" t="str">
        <f>IFERROR(IF(VLOOKUP(A2467,[16]PRIORIZADOS!$A:$I,9,FALSE)="","",VLOOKUP(A2467,[16]PRIORIZADOS!$A:$I,9,FALSE)),"")</f>
        <v>EVALUACIÓN_CON_FINES_DE_MEJORAMIENTO.</v>
      </c>
      <c r="J2467" s="261" t="str">
        <f>IFERROR(IF(VLOOKUP(A2467,[16]PRIORIZADOS!$A:$J,10,FALSE)="","",VLOOKUP(A2467,[16]PRIORIZADOS!$A:$J,10,FALSE)),"")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67" s="261" t="str">
        <f>IFERROR(IF(VLOOKUP(A2467,[16]PRIORIZADOS!$A:$K,11,FALSE)="","",VLOOKUP(A2467,[16]PRIORIZADOS!$A:$K,11,FALSE)),"")</f>
        <v>NELSON AUGUSTO CUBILLOS OLARTE</v>
      </c>
      <c r="L2467" s="261" t="str">
        <f>IFERROR(IF(VLOOKUP(A2467,[16]PRIORIZADOS!$A:$L,12,FALSE)="","",VLOOKUP(A2467,[16]PRIORIZADOS!$A:$L,12,FALSE)),"")</f>
        <v xml:space="preserve">SANDRA JAZMÍN BAQUERO CÓRDOBA
NELSON AUGUSTO CUBILLOS OLARTE
CLAUDIA PATRICIA GRANADOS FLÓREZ
</v>
      </c>
      <c r="M2467" s="262">
        <f>IFERROR(IF(VLOOKUP(A2467,[16]PRIORIZADOS!$A:$M,13,FALSE)="","",VLOOKUP(A2467,[16]PRIORIZADOS!$A:$M,13,FALSE)),"")</f>
        <v>45807</v>
      </c>
      <c r="N2467" s="262">
        <f>IFERROR(IF(VLOOKUP(A2467,[16]PRIORIZADOS!$A:$N,14,FALSE)="","",VLOOKUP(A2467,[16]PRIORIZADOS!$A:$N,14,FALSE)),"")</f>
        <v>45785</v>
      </c>
      <c r="O2467" s="262">
        <f>IFERROR(IF(VLOOKUP(A2467,[16]PRIORIZADOS!$A:$O,15,FALSE)="","",VLOOKUP(A2467,[16]PRIORIZADOS!$A:$O,15,FALSE)),"")</f>
        <v>45785</v>
      </c>
      <c r="P2467" s="261" t="str">
        <f>IFERROR(IF(VLOOKUP(A2467,[16]PRIORIZADOS!$A:$P,16,FALSE)="","",VLOOKUP(A2467,[16]PRIORIZADOS!$A:$P,16,FALSE)),"")</f>
        <v>Visitas de evaluación con fines de mejoramiento</v>
      </c>
      <c r="Q2467" s="107" t="s">
        <v>488</v>
      </c>
      <c r="R2467" s="261" t="str">
        <f>IFERROR(IF(VLOOKUP(A2467,[16]PRIORIZADOS!$A:$R,18,FALSE)="","",VLOOKUP(A2467,[16]PRIORIZADOS!$A:$R,18,FALSE)),"")</f>
        <v>La funcionaria reponsable no se encontraba a la hora de realizar la revisión.</v>
      </c>
      <c r="S2467" s="261" t="str">
        <f>IFERROR(IF(VLOOKUP(A2467,[16]PRIORIZADOS!$A:$S,19,FALSE)="","",VLOOKUP(A2467,[16]PRIORIZADOS!$A:$S,19,FALSE)),"")</f>
        <v>Se deben presentar las evidencias y poder brindar orientaciones frente a lo revisado en el Manual de Convivencia.</v>
      </c>
      <c r="T2467" s="70" t="str">
        <f>IFERROR(IF(VLOOKUP(A2467,[16]PRIORIZADOS!$A:$T,20,FALSE)="","",VLOOKUP(A2467,[16]PRIORIZADOS!$A:$T,20,FALSE)),"")</f>
        <v>Si</v>
      </c>
      <c r="U2467" s="11" t="str">
        <f>IFERROR(IF(VLOOKUP(A2467,[16]PRIORIZADOS!$A:$U,21,FALSE)="","",VLOOKUP(A2467,[16]PRIORIZADOS!$A:$U,21,FALSE)),"")</f>
        <v>Revisar PMI y evidencias de los diferentes topicos que corresponden ala organización de conviencia institucional</v>
      </c>
    </row>
    <row r="2468" spans="1:21" s="1" customFormat="1" ht="84">
      <c r="A2468" s="69">
        <f>IF([16]PRIORIZADOS!A57="","",[16]PRIORIZADOS!A57)</f>
        <v>2442</v>
      </c>
      <c r="B2468" s="70">
        <v>6</v>
      </c>
      <c r="C2468" s="261" t="str">
        <f>IFERROR(IF(VLOOKUP(A2468,[16]PRIORIZADOS!$A:$C,3,FALSE)="","",VLOOKUP(A2468,[16]PRIORIZADOS!$A:$C,3,FALSE)),"")</f>
        <v>TUNJUELITO</v>
      </c>
      <c r="D2468" s="261" t="str">
        <f>IFERROR(IF(VLOOKUP(A2468,[16]PRIORIZADOS!$A:$D,4,FALSE)="","",VLOOKUP(A2468,[16]PRIORIZADOS!$A:$D,4,FALSE)),"")</f>
        <v>PRIVADO</v>
      </c>
      <c r="E2468" s="261" t="str">
        <f>IFERROR(IF(VLOOKUP(A2468,[16]PRIORIZADOS!$A:$E,5,FALSE)="","",VLOOKUP(A2468,[16]PRIORIZADOS!$A:$E,5,FALSE)),"")</f>
        <v>EPBM</v>
      </c>
      <c r="F2468" s="261" t="str">
        <f>IFERROR(IF(VLOOKUP(A2468,[16]PRIORIZADOS!$A:$F,6,FALSE)="","",VLOOKUP(A2468,[16]PRIORIZADOS!$A:$F,6,FALSE)),"")</f>
        <v>COLEGIO_NUESTRA_SEÑORA_DE_LAS_VICTORIAS</v>
      </c>
      <c r="G2468" s="261" t="str">
        <f>IFERROR(IF(VLOOKUP(A2468,[16]PRIORIZADOS!$A:$G,7,FALSE)="","",VLOOKUP(A2468,[16]PRIORIZADOS!$A:$G,7,FALSE)),"")</f>
        <v>COLEGIO NUESTRA SEÑORA DE LAS VICTORIAS</v>
      </c>
      <c r="H2468" s="261" t="str">
        <f>IFERROR(IF(VLOOKUP(A2468,[16]PRIORIZADOS!$A:$H,8,FALSE)="","",VLOOKUP(A2468,[16]PRIORIZADOS!$A:$H,8,FALSE)),"")</f>
        <v>Autoevaluación Institucional y Pruebas SABER 11</v>
      </c>
      <c r="I2468" s="261" t="str">
        <f>IFERROR(IF(VLOOKUP(A2468,[16]PRIORIZADOS!$A:$I,9,FALSE)="","",VLOOKUP(A2468,[16]PRIORIZADOS!$A:$I,9,FALSE)),"")</f>
        <v>EVALUACIÓN_CON_FINES_DE_MEJORAMIENTO.</v>
      </c>
      <c r="J2468" s="261" t="str">
        <f>IFERROR(IF(VLOOKUP(A2468,[16]PRIORIZADOS!$A:$J,10,FALSE)="","",VLOOKUP(A2468,[16]PRIORIZADOS!$A:$J,10,FALSE)),"")</f>
        <v>Revisar la actualización, socialización e implementación del Sistema Institucional de Evaluación de Estudiantes - SIEE, en articulación con la actualización del PEI y la normatividad vigente.</v>
      </c>
      <c r="K2468" s="261" t="str">
        <f>IFERROR(IF(VLOOKUP(A2468,[16]PRIORIZADOS!$A:$K,11,FALSE)="","",VLOOKUP(A2468,[16]PRIORIZADOS!$A:$K,11,FALSE)),"")</f>
        <v>NELSON AUGUSTO CUBILLOS OLARTE</v>
      </c>
      <c r="L2468" s="261" t="str">
        <f>IFERROR(IF(VLOOKUP(A2468,[16]PRIORIZADOS!$A:$L,12,FALSE)="","",VLOOKUP(A2468,[16]PRIORIZADOS!$A:$L,12,FALSE)),"")</f>
        <v xml:space="preserve">SANDRA JAZMÍN BAQUERO CÓRDOBA
NELSON AUGUSTO CUBILLOS OLARTE
CLAUDIA PATRICIA GRANADOS FLÓREZ
</v>
      </c>
      <c r="M2468" s="262">
        <f>IFERROR(IF(VLOOKUP(A2468,[16]PRIORIZADOS!$A:$M,13,FALSE)="","",VLOOKUP(A2468,[16]PRIORIZADOS!$A:$M,13,FALSE)),"")</f>
        <v>45807</v>
      </c>
      <c r="N2468" s="262">
        <f>IFERROR(IF(VLOOKUP(A2468,[16]PRIORIZADOS!$A:$N,14,FALSE)="","",VLOOKUP(A2468,[16]PRIORIZADOS!$A:$N,14,FALSE)),"")</f>
        <v>45785</v>
      </c>
      <c r="O2468" s="262">
        <f>IFERROR(IF(VLOOKUP(A2468,[16]PRIORIZADOS!$A:$O,15,FALSE)="","",VLOOKUP(A2468,[16]PRIORIZADOS!$A:$O,15,FALSE)),"")</f>
        <v>45785</v>
      </c>
      <c r="P2468" s="261" t="str">
        <f>IFERROR(IF(VLOOKUP(A2468,[16]PRIORIZADOS!$A:$P,16,FALSE)="","",VLOOKUP(A2468,[16]PRIORIZADOS!$A:$P,16,FALSE)),"")</f>
        <v>Visitas de evaluación con fines de mejoramiento</v>
      </c>
      <c r="Q2468" s="107" t="s">
        <v>488</v>
      </c>
      <c r="R2468" s="261" t="str">
        <f>IFERROR(IF(VLOOKUP(A2468,[16]PRIORIZADOS!$A:$R,18,FALSE)="","",VLOOKUP(A2468,[16]PRIORIZADOS!$A:$R,18,FALSE)),"")</f>
        <v>La institución cumple con los diferentes procesos de organización, socialización y actualización del SIEE.</v>
      </c>
      <c r="S2468" s="261" t="str">
        <f>IFERROR(IF(VLOOKUP(A2468,[16]PRIORIZADOS!$A:$S,19,FALSE)="","",VLOOKUP(A2468,[16]PRIORIZADOS!$A:$S,19,FALSE)),"")</f>
        <v>Continuar con los diferentes procesos y mantener la divulgación a la comunidad.</v>
      </c>
      <c r="T2468" s="70" t="str">
        <f>IFERROR(IF(VLOOKUP(A2468,[16]PRIORIZADOS!$A:$T,20,FALSE)="","",VLOOKUP(A2468,[16]PRIORIZADOS!$A:$T,20,FALSE)),"")</f>
        <v>No</v>
      </c>
      <c r="U2468" s="11" t="str">
        <f>IFERROR(IF(VLOOKUP(A2468,[16]PRIORIZADOS!$A:$U,21,FALSE)="","",VLOOKUP(A2468,[16]PRIORIZADOS!$A:$U,21,FALSE)),"")</f>
        <v>Continuar con el seguimiento a los procesos el próximo año</v>
      </c>
    </row>
    <row r="2469" spans="1:21" s="1" customFormat="1" ht="84">
      <c r="A2469" s="69">
        <f>IF([16]PRIORIZADOS!A58="","",[16]PRIORIZADOS!A58)</f>
        <v>2443</v>
      </c>
      <c r="B2469" s="70">
        <v>6</v>
      </c>
      <c r="C2469" s="261" t="str">
        <f>IFERROR(IF(VLOOKUP(A2469,[16]PRIORIZADOS!$A:$C,3,FALSE)="","",VLOOKUP(A2469,[16]PRIORIZADOS!$A:$C,3,FALSE)),"")</f>
        <v>TUNJUELITO</v>
      </c>
      <c r="D2469" s="261" t="str">
        <f>IFERROR(IF(VLOOKUP(A2469,[16]PRIORIZADOS!$A:$D,4,FALSE)="","",VLOOKUP(A2469,[16]PRIORIZADOS!$A:$D,4,FALSE)),"")</f>
        <v>PRIVADO</v>
      </c>
      <c r="E2469" s="261" t="str">
        <f>IFERROR(IF(VLOOKUP(A2469,[16]PRIORIZADOS!$A:$E,5,FALSE)="","",VLOOKUP(A2469,[16]PRIORIZADOS!$A:$E,5,FALSE)),"")</f>
        <v>EPBM</v>
      </c>
      <c r="F2469" s="261" t="str">
        <f>IFERROR(IF(VLOOKUP(A2469,[16]PRIORIZADOS!$A:$F,6,FALSE)="","",VLOOKUP(A2469,[16]PRIORIZADOS!$A:$F,6,FALSE)),"")</f>
        <v>COLEGIO_NUESTRA_SEÑORA_DE_LAS_VICTORIAS</v>
      </c>
      <c r="G2469" s="261" t="str">
        <f>IFERROR(IF(VLOOKUP(A2469,[16]PRIORIZADOS!$A:$G,7,FALSE)="","",VLOOKUP(A2469,[16]PRIORIZADOS!$A:$G,7,FALSE)),"")</f>
        <v>COLEGIO NUESTRA SEÑORA DE LAS VICTORIAS</v>
      </c>
      <c r="H2469" s="261" t="str">
        <f>IFERROR(IF(VLOOKUP(A2469,[16]PRIORIZADOS!$A:$H,8,FALSE)="","",VLOOKUP(A2469,[16]PRIORIZADOS!$A:$H,8,FALSE)),"")</f>
        <v>Autoevaluación Institucional y Pruebas SABER 11</v>
      </c>
      <c r="I2469" s="261" t="str">
        <f>IFERROR(IF(VLOOKUP(A2469,[16]PRIORIZADOS!$A:$I,9,FALSE)="","",VLOOKUP(A2469,[16]PRIORIZADOS!$A:$I,9,FALSE)),"")</f>
        <v>EVALUACIÓN_CON_FINES_DE_MEJORAMIENTO.</v>
      </c>
      <c r="J2469" s="261" t="str">
        <f>IFERROR(IF(VLOOKUP(A2469,[16]PRIORIZADOS!$A:$J,10,FALSE)="","",VLOOKUP(A2469,[16]PRIORIZADOS!$A:$J,10,FALSE)),"")</f>
        <v>Revisar el calendario escolar, jornada escolar, la intensidad horaria mínima anual en cada nivel y las modificaciones que se realicen al mismo, de acuerdo con lo previsto en la normatividad vigente.</v>
      </c>
      <c r="K2469" s="261" t="str">
        <f>IFERROR(IF(VLOOKUP(A2469,[16]PRIORIZADOS!$A:$K,11,FALSE)="","",VLOOKUP(A2469,[16]PRIORIZADOS!$A:$K,11,FALSE)),"")</f>
        <v>NELSON AUGUSTO CUBILLOS OLARTE</v>
      </c>
      <c r="L2469" s="261" t="str">
        <f>IFERROR(IF(VLOOKUP(A2469,[16]PRIORIZADOS!$A:$L,12,FALSE)="","",VLOOKUP(A2469,[16]PRIORIZADOS!$A:$L,12,FALSE)),"")</f>
        <v xml:space="preserve">SANDRA JAZMÍN BAQUERO CÓRDOBA
NELSON AUGUSTO CUBILLOS OLARTE
CLAUDIA PATRICIA GRANADOS FLÓREZ
</v>
      </c>
      <c r="M2469" s="262">
        <f>IFERROR(IF(VLOOKUP(A2469,[16]PRIORIZADOS!$A:$M,13,FALSE)="","",VLOOKUP(A2469,[16]PRIORIZADOS!$A:$M,13,FALSE)),"")</f>
        <v>45807</v>
      </c>
      <c r="N2469" s="262">
        <f>IFERROR(IF(VLOOKUP(A2469,[16]PRIORIZADOS!$A:$N,14,FALSE)="","",VLOOKUP(A2469,[16]PRIORIZADOS!$A:$N,14,FALSE)),"")</f>
        <v>45785</v>
      </c>
      <c r="O2469" s="262">
        <f>IFERROR(IF(VLOOKUP(A2469,[16]PRIORIZADOS!$A:$O,15,FALSE)="","",VLOOKUP(A2469,[16]PRIORIZADOS!$A:$O,15,FALSE)),"")</f>
        <v>45785</v>
      </c>
      <c r="P2469" s="261" t="str">
        <f>IFERROR(IF(VLOOKUP(A2469,[16]PRIORIZADOS!$A:$P,16,FALSE)="","",VLOOKUP(A2469,[16]PRIORIZADOS!$A:$P,16,FALSE)),"")</f>
        <v>Visitas de evaluación con fines de mejoramiento</v>
      </c>
      <c r="Q2469" s="107" t="s">
        <v>488</v>
      </c>
      <c r="R2469" s="261" t="str">
        <f>IFERROR(IF(VLOOKUP(A2469,[16]PRIORIZADOS!$A:$R,18,FALSE)="","",VLOOKUP(A2469,[16]PRIORIZADOS!$A:$R,18,FALSE)),"")</f>
        <v>Se evidenció que cumple con las horas tanto para preescolar, básica y media de acuerdo con la norma.</v>
      </c>
      <c r="S2469" s="261" t="str">
        <f>IFERROR(IF(VLOOKUP(A2469,[16]PRIORIZADOS!$A:$S,19,FALSE)="","",VLOOKUP(A2469,[16]PRIORIZADOS!$A:$S,19,FALSE)),"")</f>
        <v>Cumplir con el calendario recordando la intensidad horaria</v>
      </c>
      <c r="T2469" s="70" t="str">
        <f>IFERROR(IF(VLOOKUP(A2469,[16]PRIORIZADOS!$A:$T,20,FALSE)="","",VLOOKUP(A2469,[16]PRIORIZADOS!$A:$T,20,FALSE)),"")</f>
        <v>No</v>
      </c>
      <c r="U2469" s="11" t="str">
        <f>IFERROR(IF(VLOOKUP(A2469,[16]PRIORIZADOS!$A:$U,21,FALSE)="","",VLOOKUP(A2469,[16]PRIORIZADOS!$A:$U,21,FALSE)),"")</f>
        <v>Se vericará la  formulación para la siguiente vigenccia o en caso de presentarse una queja</v>
      </c>
    </row>
    <row r="2470" spans="1:21" s="1" customFormat="1" ht="84">
      <c r="A2470" s="69">
        <f>IF([16]PRIORIZADOS!A59="","",[16]PRIORIZADOS!A59)</f>
        <v>2444</v>
      </c>
      <c r="B2470" s="70">
        <v>6</v>
      </c>
      <c r="C2470" s="261" t="str">
        <f>IFERROR(IF(VLOOKUP(A2470,[16]PRIORIZADOS!$A:$C,3,FALSE)="","",VLOOKUP(A2470,[16]PRIORIZADOS!$A:$C,3,FALSE)),"")</f>
        <v>TUNJUELITO</v>
      </c>
      <c r="D2470" s="261" t="str">
        <f>IFERROR(IF(VLOOKUP(A2470,[16]PRIORIZADOS!$A:$D,4,FALSE)="","",VLOOKUP(A2470,[16]PRIORIZADOS!$A:$D,4,FALSE)),"")</f>
        <v>PRIVADO</v>
      </c>
      <c r="E2470" s="261" t="str">
        <f>IFERROR(IF(VLOOKUP(A2470,[16]PRIORIZADOS!$A:$E,5,FALSE)="","",VLOOKUP(A2470,[16]PRIORIZADOS!$A:$E,5,FALSE)),"")</f>
        <v>EPBM</v>
      </c>
      <c r="F2470" s="261" t="str">
        <f>IFERROR(IF(VLOOKUP(A2470,[16]PRIORIZADOS!$A:$F,6,FALSE)="","",VLOOKUP(A2470,[16]PRIORIZADOS!$A:$F,6,FALSE)),"")</f>
        <v>COLEGIO_NUESTRA_SEÑORA_DE_LAS_VICTORIAS</v>
      </c>
      <c r="G2470" s="261" t="str">
        <f>IFERROR(IF(VLOOKUP(A2470,[16]PRIORIZADOS!$A:$G,7,FALSE)="","",VLOOKUP(A2470,[16]PRIORIZADOS!$A:$G,7,FALSE)),"")</f>
        <v>COLEGIO NUESTRA SEÑORA DE LAS VICTORIAS</v>
      </c>
      <c r="H2470" s="261" t="str">
        <f>IFERROR(IF(VLOOKUP(A2470,[16]PRIORIZADOS!$A:$H,8,FALSE)="","",VLOOKUP(A2470,[16]PRIORIZADOS!$A:$H,8,FALSE)),"")</f>
        <v>Autoevaluación Institucional y Pruebas SABER 11</v>
      </c>
      <c r="I2470" s="261" t="str">
        <f>IFERROR(IF(VLOOKUP(A2470,[16]PRIORIZADOS!$A:$I,9,FALSE)="","",VLOOKUP(A2470,[16]PRIORIZADOS!$A:$I,9,FALSE)),"")</f>
        <v>EVALUACIÓN_CON_FINES_DE_MEJORAMIENTO.</v>
      </c>
      <c r="J2470" s="261" t="str">
        <f>IFERROR(IF(VLOOKUP(A2470,[16]PRIORIZADOS!$A:$J,10,FALSE)="","",VLOOKUP(A2470,[16]PRIORIZADOS!$A:$J,10,FALSE)),"")</f>
        <v>Verificar el funcionamiento del Gobierno Escolar e instancias de participación con base en la información sobre conformación reportada por la institución educativa.</v>
      </c>
      <c r="K2470" s="261" t="str">
        <f>IFERROR(IF(VLOOKUP(A2470,[16]PRIORIZADOS!$A:$K,11,FALSE)="","",VLOOKUP(A2470,[16]PRIORIZADOS!$A:$K,11,FALSE)),"")</f>
        <v>NELSON AUGUSTO CUBILLOS OLARTE</v>
      </c>
      <c r="L2470" s="261" t="str">
        <f>IFERROR(IF(VLOOKUP(A2470,[16]PRIORIZADOS!$A:$L,12,FALSE)="","",VLOOKUP(A2470,[16]PRIORIZADOS!$A:$L,12,FALSE)),"")</f>
        <v xml:space="preserve">SANDRA JAZMÍN BAQUERO CÓRDOBA
NELSON AUGUSTO CUBILLOS OLARTE
CLAUDIA PATRICIA GRANADOS FLÓREZ
</v>
      </c>
      <c r="M2470" s="262">
        <f>IFERROR(IF(VLOOKUP(A2470,[16]PRIORIZADOS!$A:$M,13,FALSE)="","",VLOOKUP(A2470,[16]PRIORIZADOS!$A:$M,13,FALSE)),"")</f>
        <v>45807</v>
      </c>
      <c r="N2470" s="262">
        <f>IFERROR(IF(VLOOKUP(A2470,[16]PRIORIZADOS!$A:$N,14,FALSE)="","",VLOOKUP(A2470,[16]PRIORIZADOS!$A:$N,14,FALSE)),"")</f>
        <v>45785</v>
      </c>
      <c r="O2470" s="262">
        <f>IFERROR(IF(VLOOKUP(A2470,[16]PRIORIZADOS!$A:$O,15,FALSE)="","",VLOOKUP(A2470,[16]PRIORIZADOS!$A:$O,15,FALSE)),"")</f>
        <v>45785</v>
      </c>
      <c r="P2470" s="261" t="str">
        <f>IFERROR(IF(VLOOKUP(A2470,[16]PRIORIZADOS!$A:$P,16,FALSE)="","",VLOOKUP(A2470,[16]PRIORIZADOS!$A:$P,16,FALSE)),"")</f>
        <v>Visitas de evaluación con fines de mejoramiento</v>
      </c>
      <c r="Q2470" s="107" t="s">
        <v>488</v>
      </c>
      <c r="R2470" s="261" t="str">
        <f>IFERROR(IF(VLOOKUP(A2470,[16]PRIORIZADOS!$A:$R,18,FALSE)="","",VLOOKUP(A2470,[16]PRIORIZADOS!$A:$R,18,FALSE)),"")</f>
        <v>El colegio presenta las actas de cada una de las instancias donde se evidencia su operatividad 2024 y 2025.</v>
      </c>
      <c r="S2470" s="261" t="str">
        <f>IFERROR(IF(VLOOKUP(A2470,[16]PRIORIZADOS!$A:$S,19,FALSE)="","",VLOOKUP(A2470,[16]PRIORIZADOS!$A:$S,19,FALSE)),"")</f>
        <v>La institución cumple con el funcionamiento del gobierno escolar.</v>
      </c>
      <c r="T2470" s="70" t="str">
        <f>IFERROR(IF(VLOOKUP(A2470,[16]PRIORIZADOS!$A:$T,20,FALSE)="","",VLOOKUP(A2470,[16]PRIORIZADOS!$A:$T,20,FALSE)),"")</f>
        <v>No</v>
      </c>
      <c r="U2470" s="11" t="str">
        <f>IFERROR(IF(VLOOKUP(A2470,[16]PRIORIZADOS!$A:$U,21,FALSE)="","",VLOOKUP(A2470,[16]PRIORIZADOS!$A:$U,21,FALSE)),"")</f>
        <v>Se verificará la conformación y funcionamiento en la siguiente vigencia o en caso de presentarse una queja</v>
      </c>
    </row>
    <row r="2471" spans="1:21" s="1" customFormat="1" ht="84">
      <c r="A2471" s="69">
        <f>IF([16]PRIORIZADOS!A60="","",[16]PRIORIZADOS!A60)</f>
        <v>2445</v>
      </c>
      <c r="B2471" s="70">
        <v>6</v>
      </c>
      <c r="C2471" s="261" t="str">
        <f>IFERROR(IF(VLOOKUP(A2471,[16]PRIORIZADOS!$A:$C,3,FALSE)="","",VLOOKUP(A2471,[16]PRIORIZADOS!$A:$C,3,FALSE)),"")</f>
        <v>TUNJUELITO</v>
      </c>
      <c r="D2471" s="261" t="str">
        <f>IFERROR(IF(VLOOKUP(A2471,[16]PRIORIZADOS!$A:$D,4,FALSE)="","",VLOOKUP(A2471,[16]PRIORIZADOS!$A:$D,4,FALSE)),"")</f>
        <v>PRIVADO</v>
      </c>
      <c r="E2471" s="261" t="str">
        <f>IFERROR(IF(VLOOKUP(A2471,[16]PRIORIZADOS!$A:$E,5,FALSE)="","",VLOOKUP(A2471,[16]PRIORIZADOS!$A:$E,5,FALSE)),"")</f>
        <v>EPBM</v>
      </c>
      <c r="F2471" s="261" t="str">
        <f>IFERROR(IF(VLOOKUP(A2471,[16]PRIORIZADOS!$A:$F,6,FALSE)="","",VLOOKUP(A2471,[16]PRIORIZADOS!$A:$F,6,FALSE)),"")</f>
        <v>COLEGIO_NUESTRA_SEÑORA_DE_LAS_VICTORIAS</v>
      </c>
      <c r="G2471" s="261" t="str">
        <f>IFERROR(IF(VLOOKUP(A2471,[16]PRIORIZADOS!$A:$G,7,FALSE)="","",VLOOKUP(A2471,[16]PRIORIZADOS!$A:$G,7,FALSE)),"")</f>
        <v>COLEGIO NUESTRA SEÑORA DE LAS VICTORIAS</v>
      </c>
      <c r="H2471" s="261" t="str">
        <f>IFERROR(IF(VLOOKUP(A2471,[16]PRIORIZADOS!$A:$H,8,FALSE)="","",VLOOKUP(A2471,[16]PRIORIZADOS!$A:$H,8,FALSE)),"")</f>
        <v>Autoevaluación Institucional y Pruebas SABER 11</v>
      </c>
      <c r="I2471" s="261" t="str">
        <f>IFERROR(IF(VLOOKUP(A2471,[16]PRIORIZADOS!$A:$I,9,FALSE)="","",VLOOKUP(A2471,[16]PRIORIZADOS!$A:$I,9,FALSE)),"")</f>
        <v>EVALUACIÓN_CON_FINES_DE_MEJORAMIENTO.</v>
      </c>
      <c r="J2471" s="261" t="str">
        <f>IFERROR(IF(VLOOKUP(A2471,[16]PRIORIZADOS!$A:$J,10,FALSE)="","",VLOOKUP(A2471,[16]PRIORIZADOS!$A:$J,10,FALSE)),"")</f>
        <v>Verificar las condiciones en cuanto a: la estructura administrativa, condiciones de la planta física y medios educativos adecuados.</v>
      </c>
      <c r="K2471" s="261" t="str">
        <f>IFERROR(IF(VLOOKUP(A2471,[16]PRIORIZADOS!$A:$K,11,FALSE)="","",VLOOKUP(A2471,[16]PRIORIZADOS!$A:$K,11,FALSE)),"")</f>
        <v>NELSON AUGUSTO CUBILLOS OLARTE</v>
      </c>
      <c r="L2471" s="261" t="str">
        <f>IFERROR(IF(VLOOKUP(A2471,[16]PRIORIZADOS!$A:$L,12,FALSE)="","",VLOOKUP(A2471,[16]PRIORIZADOS!$A:$L,12,FALSE)),"")</f>
        <v xml:space="preserve">SANDRA JAZMÍN BAQUERO CÓRDOBA
NELSON AUGUSTO CUBILLOS OLARTE
CLAUDIA PATRICIA GRANADOS FLÓREZ
</v>
      </c>
      <c r="M2471" s="262">
        <f>IFERROR(IF(VLOOKUP(A2471,[16]PRIORIZADOS!$A:$M,13,FALSE)="","",VLOOKUP(A2471,[16]PRIORIZADOS!$A:$M,13,FALSE)),"")</f>
        <v>45807</v>
      </c>
      <c r="N2471" s="262">
        <f>IFERROR(IF(VLOOKUP(A2471,[16]PRIORIZADOS!$A:$N,14,FALSE)="","",VLOOKUP(A2471,[16]PRIORIZADOS!$A:$N,14,FALSE)),"")</f>
        <v>45785</v>
      </c>
      <c r="O2471" s="262">
        <f>IFERROR(IF(VLOOKUP(A2471,[16]PRIORIZADOS!$A:$O,15,FALSE)="","",VLOOKUP(A2471,[16]PRIORIZADOS!$A:$O,15,FALSE)),"")</f>
        <v>45785</v>
      </c>
      <c r="P2471" s="261" t="str">
        <f>IFERROR(IF(VLOOKUP(A2471,[16]PRIORIZADOS!$A:$P,16,FALSE)="","",VLOOKUP(A2471,[16]PRIORIZADOS!$A:$P,16,FALSE)),"")</f>
        <v>Visitas de evaluación con fines de mejoramiento</v>
      </c>
      <c r="Q2471" s="107" t="s">
        <v>488</v>
      </c>
      <c r="R2471" s="261" t="str">
        <f>IFERROR(IF(VLOOKUP(A2471,[16]PRIORIZADOS!$A:$R,18,FALSE)="","",VLOOKUP(A2471,[16]PRIORIZADOS!$A:$R,18,FALSE)),"")</f>
        <v>En lineas generales el colegio cumple con la estructura administrativa y las condiciones de planta fisica; no obstante, se deben adaptar los espacios para discapacitados.</v>
      </c>
      <c r="S2471" s="261" t="str">
        <f>IFERROR(IF(VLOOKUP(A2471,[16]PRIORIZADOS!$A:$S,19,FALSE)="","",VLOOKUP(A2471,[16]PRIORIZADOS!$A:$S,19,FALSE)),"")</f>
        <v>Adaptar un baño y espacio para el acceso de discapacitados de movilidad reducida segun la norma.</v>
      </c>
      <c r="T2471" s="70" t="str">
        <f>IFERROR(IF(VLOOKUP(A2471,[16]PRIORIZADOS!$A:$T,20,FALSE)="","",VLOOKUP(A2471,[16]PRIORIZADOS!$A:$T,20,FALSE)),"")</f>
        <v>Si</v>
      </c>
      <c r="U2471" s="11" t="str">
        <f>IFERROR(IF(VLOOKUP(A2471,[16]PRIORIZADOS!$A:$U,21,FALSE)="","",VLOOKUP(A2471,[16]PRIORIZADOS!$A:$U,21,FALSE)),"")</f>
        <v>Revisar el PMI y su ejecución sobre la adecuación de los espacios para estudiantes con movilidad reducida.</v>
      </c>
    </row>
    <row r="2472" spans="1:21" s="1" customFormat="1" ht="84">
      <c r="A2472" s="69">
        <f>IF([16]PRIORIZADOS!A61="","",[16]PRIORIZADOS!A61)</f>
        <v>2447</v>
      </c>
      <c r="B2472" s="70">
        <f>IFERROR(IF(VLOOKUP(A2472,[16]PRIORIZADOS!$A:$B,2,FALSE)="","",VLOOKUP(A2472,[16]PRIORIZADOS!$A:$B,2,FALSE)),"")</f>
        <v>7</v>
      </c>
      <c r="C2472" s="261" t="str">
        <f>IFERROR(IF(VLOOKUP(A2472,[16]PRIORIZADOS!$A:$C,3,FALSE)="","",VLOOKUP(A2472,[16]PRIORIZADOS!$A:$C,3,FALSE)),"")</f>
        <v>TUNJUELITO</v>
      </c>
      <c r="D2472" s="261" t="str">
        <f>IFERROR(IF(VLOOKUP(A2472,[16]PRIORIZADOS!$A:$D,4,FALSE)="","",VLOOKUP(A2472,[16]PRIORIZADOS!$A:$D,4,FALSE)),"")</f>
        <v>PRIVADO</v>
      </c>
      <c r="E2472" s="261" t="str">
        <f>IFERROR(IF(VLOOKUP(A2472,[16]PRIORIZADOS!$A:$E,5,FALSE)="","",VLOOKUP(A2472,[16]PRIORIZADOS!$A:$E,5,FALSE)),"")</f>
        <v>Educación de Jóvenes y Adultos</v>
      </c>
      <c r="F2472" s="261" t="str">
        <f>IFERROR(IF(VLOOKUP(A2472,[16]PRIORIZADOS!$A:$F,6,FALSE)="","",VLOOKUP(A2472,[16]PRIORIZADOS!$A:$F,6,FALSE)),"")</f>
        <v>COLEGIO_TECNISISTEMAS</v>
      </c>
      <c r="G2472" s="261" t="str">
        <f>IFERROR(IF(VLOOKUP(A2472,[16]PRIORIZADOS!$A:$G,7,FALSE)="","",VLOOKUP(A2472,[16]PRIORIZADOS!$A:$G,7,FALSE)),"")</f>
        <v>COLEGIO TECNISISTEMAS</v>
      </c>
      <c r="H2472" s="261" t="str">
        <f>IFERROR(IF(VLOOKUP(A2472,[16]PRIORIZADOS!$A:$H,8,FALSE)="","",VLOOKUP(A2472,[16]PRIORIZADOS!$A:$H,8,FALSE)),"")</f>
        <v>Autoevaluación Institucional y Pruebas SABER 11</v>
      </c>
      <c r="I2472" s="261" t="str">
        <f>IFERROR(IF(VLOOKUP(A2472,[16]PRIORIZADOS!$A:$I,9,FALSE)="","",VLOOKUP(A2472,[16]PRIORIZADOS!$A:$I,9,FALSE)),"")</f>
        <v>SEGUIMIENTO_Y_SUPERVISIÓN.</v>
      </c>
      <c r="J2472" s="261" t="str">
        <f>IFERROR(IF(VLOOKUP(A2472,[16]PRIORIZADOS!$A:$J,10,FALSE)="","",VLOOKUP(A2472,[16]PRIORIZADOS!$A:$J,10,FALSE)),"")</f>
        <v>Realizar visitas para verificar la información registrada sobre la autoevaluación institucional en el aplicativo EVI, a los establecimientos de educación formal no oficial.</v>
      </c>
      <c r="K2472" s="261" t="str">
        <f>IFERROR(IF(VLOOKUP(A2472,[16]PRIORIZADOS!$A:$K,11,FALSE)="","",VLOOKUP(A2472,[16]PRIORIZADOS!$A:$K,11,FALSE)),"")</f>
        <v>NELSON AUGUSTO CUBILLOS OLARTE</v>
      </c>
      <c r="L2472" s="261" t="str">
        <f>IFERROR(IF(VLOOKUP(A2472,[16]PRIORIZADOS!$A:$L,12,FALSE)="","",VLOOKUP(A2472,[16]PRIORIZADOS!$A:$L,12,FALSE)),"")</f>
        <v xml:space="preserve">SANDRA JAZMÍN BAQUERO CÓRDOBA
NELSON AUGUSTO CUBILLOS OLARTE
CLAUDIA PATRICIA GRANADOS FLÓREZ
</v>
      </c>
      <c r="M2472" s="262">
        <f>IFERROR(IF(VLOOKUP(A2472,[16]PRIORIZADOS!$A:$M,13,FALSE)="","",VLOOKUP(A2472,[16]PRIORIZADOS!$A:$M,13,FALSE)),"")</f>
        <v>45791</v>
      </c>
      <c r="N2472" s="262">
        <f>IFERROR(IF(VLOOKUP(A2472,[16]PRIORIZADOS!$A:$N,14,FALSE)="","",VLOOKUP(A2472,[16]PRIORIZADOS!$A:$N,14,FALSE)),"")</f>
        <v>45805</v>
      </c>
      <c r="O2472" s="262">
        <f>IFERROR(IF(VLOOKUP(A2472,[16]PRIORIZADOS!$A:$O,15,FALSE)="","",VLOOKUP(A2472,[16]PRIORIZADOS!$A:$O,15,FALSE)),"")</f>
        <v>45805</v>
      </c>
      <c r="P2472" s="261" t="str">
        <f>IFERROR(IF(VLOOKUP(A2472,[16]PRIORIZADOS!$A:$P,16,FALSE)="","",VLOOKUP(A2472,[16]PRIORIZADOS!$A:$P,16,FALSE)),"")</f>
        <v>Visitas de evaluación con fines de seguimiento</v>
      </c>
      <c r="Q2472" s="44" t="s">
        <v>489</v>
      </c>
      <c r="R2472" s="261" t="str">
        <f>IFERROR(IF(VLOOKUP(A2472,[16]PRIORIZADOS!$A:$R,18,FALSE)="","",VLOOKUP(A2472,[16]PRIORIZADOS!$A:$R,18,FALSE)),"")</f>
        <v>La institución cumple con lo consignado en el aplicativo EVI de acuerdo con el recorrido realizado y las demas verificaciones documentales entregadas.</v>
      </c>
      <c r="S2472" s="261" t="str">
        <f>IFERROR(IF(VLOOKUP(A2472,[16]PRIORIZADOS!$A:$S,19,FALSE)="","",VLOOKUP(A2472,[16]PRIORIZADOS!$A:$S,19,FALSE)),"")</f>
        <v>Continuar con el manejo y mantenimiento optimo de las instalaciones.</v>
      </c>
      <c r="T2472" s="70" t="str">
        <f>IFERROR(IF(VLOOKUP(A2472,[16]PRIORIZADOS!$A:$T,20,FALSE)="","",VLOOKUP(A2472,[16]PRIORIZADOS!$A:$T,20,FALSE)),"")</f>
        <v>No</v>
      </c>
      <c r="U2472" s="11" t="str">
        <f>IFERROR(IF(VLOOKUP(A2472,[16]PRIORIZADOS!$A:$U,21,FALSE)="","",VLOOKUP(A2472,[16]PRIORIZADOS!$A:$U,21,FALSE)),"")</f>
        <v>Continuar las verificaciones en el proceso de costos educativos EVI del próximo año.</v>
      </c>
    </row>
    <row r="2473" spans="1:21" s="1" customFormat="1" ht="84">
      <c r="A2473" s="69">
        <f>IF([16]PRIORIZADOS!A62="","",[16]PRIORIZADOS!A62)</f>
        <v>2801</v>
      </c>
      <c r="B2473" s="70">
        <v>7</v>
      </c>
      <c r="C2473" s="261" t="str">
        <f>IFERROR(IF(VLOOKUP(A2473,[16]PRIORIZADOS!$A:$C,3,FALSE)="","",VLOOKUP(A2473,[16]PRIORIZADOS!$A:$C,3,FALSE)),"")</f>
        <v>TUNJUELITO</v>
      </c>
      <c r="D2473" s="261" t="str">
        <f>IFERROR(IF(VLOOKUP(A2473,[16]PRIORIZADOS!$A:$D,4,FALSE)="","",VLOOKUP(A2473,[16]PRIORIZADOS!$A:$D,4,FALSE)),"")</f>
        <v>PRIVADO</v>
      </c>
      <c r="E2473" s="261" t="str">
        <f>IFERROR(IF(VLOOKUP(A2473,[16]PRIORIZADOS!$A:$E,5,FALSE)="","",VLOOKUP(A2473,[16]PRIORIZADOS!$A:$E,5,FALSE)),"")</f>
        <v>Educación de Jóvenes y Adultos</v>
      </c>
      <c r="F2473" s="261" t="str">
        <f>IFERROR(IF(VLOOKUP(A2473,[16]PRIORIZADOS!$A:$F,6,FALSE)="","",VLOOKUP(A2473,[16]PRIORIZADOS!$A:$F,6,FALSE)),"")</f>
        <v>COLEGIO_TECNISISTEMAS</v>
      </c>
      <c r="G2473" s="261" t="str">
        <f>IFERROR(IF(VLOOKUP(A2473,[16]PRIORIZADOS!$A:$G,7,FALSE)="","",VLOOKUP(A2473,[16]PRIORIZADOS!$A:$G,7,FALSE)),"")</f>
        <v>COLEGIO TECNISISTEMAS</v>
      </c>
      <c r="H2473" s="261" t="str">
        <f>IFERROR(IF(VLOOKUP(A2473,[16]PRIORIZADOS!$A:$H,8,FALSE)="","",VLOOKUP(A2473,[16]PRIORIZADOS!$A:$H,8,FALSE)),"")</f>
        <v>Autoevaluación Institucional y Pruebas SABER 11</v>
      </c>
      <c r="I2473" s="261" t="str">
        <f>IFERROR(IF(VLOOKUP(A2473,[16]PRIORIZADOS!$A:$I,9,FALSE)="","",VLOOKUP(A2473,[16]PRIORIZADOS!$A:$I,9,FALSE)),"")</f>
        <v>SEGUIMIENTO_Y_SUPERVISIÓN.</v>
      </c>
      <c r="J2473" s="261" t="str">
        <f>IFERROR(IF(VLOOKUP(A2473,[16]PRIORIZADOS!$A:$J,10,FALSE)="","",VLOOKUP(A2473,[16]PRIORIZADOS!$A:$J,10,FALSE)),"")</f>
        <v>Proponer estrategias en la formulación, verificar su elaboración y realizar seguimiento semestral al desarrollo de  las acciones establecidas en los planes de mejoramiento por pruebas SABER 11 de los establecimientos de educación formal.</v>
      </c>
      <c r="K2473" s="261" t="str">
        <f>IFERROR(IF(VLOOKUP(A2473,[16]PRIORIZADOS!$A:$K,11,FALSE)="","",VLOOKUP(A2473,[16]PRIORIZADOS!$A:$K,11,FALSE)),"")</f>
        <v>NELSON AUGUSTO CUBILLOS OLARTE</v>
      </c>
      <c r="L2473" s="261" t="str">
        <f>IFERROR(IF(VLOOKUP(A2473,[16]PRIORIZADOS!$A:$L,12,FALSE)="","",VLOOKUP(A2473,[16]PRIORIZADOS!$A:$L,12,FALSE)),"")</f>
        <v xml:space="preserve">SANDRA JAZMÍN BAQUERO CÓRDOBA
NELSON AUGUSTO CUBILLOS OLARTE
CLAUDIA PATRICIA GRANADOS FLÓREZ
</v>
      </c>
      <c r="M2473" s="262">
        <f>IFERROR(IF(VLOOKUP(A2473,[16]PRIORIZADOS!$A:$M,13,FALSE)="","",VLOOKUP(A2473,[16]PRIORIZADOS!$A:$M,13,FALSE)),"")</f>
        <v>45791</v>
      </c>
      <c r="N2473" s="262">
        <f>IFERROR(IF(VLOOKUP(A2473,[16]PRIORIZADOS!$A:$N,14,FALSE)="","",VLOOKUP(A2473,[16]PRIORIZADOS!$A:$N,14,FALSE)),"")</f>
        <v>45805</v>
      </c>
      <c r="O2473" s="262">
        <f>IFERROR(IF(VLOOKUP(A2473,[16]PRIORIZADOS!$A:$O,15,FALSE)="","",VLOOKUP(A2473,[16]PRIORIZADOS!$A:$O,15,FALSE)),"")</f>
        <v>45805</v>
      </c>
      <c r="P2473" s="261" t="str">
        <f>IFERROR(IF(VLOOKUP(A2473,[16]PRIORIZADOS!$A:$P,16,FALSE)="","",VLOOKUP(A2473,[16]PRIORIZADOS!$A:$P,16,FALSE)),"")</f>
        <v>Visitas de evaluación con fines de seguimiento</v>
      </c>
      <c r="Q2473" s="44" t="s">
        <v>489</v>
      </c>
      <c r="R2473" s="261" t="str">
        <f>IFERROR(IF(VLOOKUP(A2473,[16]PRIORIZADOS!$A:$R,18,FALSE)="","",VLOOKUP(A2473,[16]PRIORIZADOS!$A:$R,18,FALSE)),"")</f>
        <v>Existen actividades para superar la clasificación "C" pero, en las actas de Consejo Académico no se ve reflejada la discusión e implementación de acciones de un plan mejoramiento.</v>
      </c>
      <c r="S2473" s="261" t="str">
        <f>IFERROR(IF(VLOOKUP(A2473,[16]PRIORIZADOS!$A:$S,19,FALSE)="","",VLOOKUP(A2473,[16]PRIORIZADOS!$A:$S,19,FALSE)),"")</f>
        <v>Elaborar e implementar el plan de mejoramiento para la superación de la clasificación "C"</v>
      </c>
      <c r="T2473" s="70" t="str">
        <f>IFERROR(IF(VLOOKUP(A2473,[16]PRIORIZADOS!$A:$T,20,FALSE)="","",VLOOKUP(A2473,[16]PRIORIZADOS!$A:$T,20,FALSE)),"")</f>
        <v>Si</v>
      </c>
      <c r="U2473" s="11" t="str">
        <f>IFERROR(IF(VLOOKUP(A2473,[16]PRIORIZADOS!$A:$U,21,FALSE)="","",VLOOKUP(A2473,[16]PRIORIZADOS!$A:$U,21,FALSE)),"")</f>
        <v>Revisar el PMI construido y su ejecución.</v>
      </c>
    </row>
    <row r="2474" spans="1:21" s="1" customFormat="1" ht="84">
      <c r="A2474" s="69">
        <f>IF([16]PRIORIZADOS!A63="","",[16]PRIORIZADOS!A63)</f>
        <v>2448</v>
      </c>
      <c r="B2474" s="70">
        <v>7</v>
      </c>
      <c r="C2474" s="261" t="str">
        <f>IFERROR(IF(VLOOKUP(A2474,[16]PRIORIZADOS!$A:$C,3,FALSE)="","",VLOOKUP(A2474,[16]PRIORIZADOS!$A:$C,3,FALSE)),"")</f>
        <v>TUNJUELITO</v>
      </c>
      <c r="D2474" s="261" t="str">
        <f>IFERROR(IF(VLOOKUP(A2474,[16]PRIORIZADOS!$A:$D,4,FALSE)="","",VLOOKUP(A2474,[16]PRIORIZADOS!$A:$D,4,FALSE)),"")</f>
        <v>PRIVADO</v>
      </c>
      <c r="E2474" s="261" t="str">
        <f>IFERROR(IF(VLOOKUP(A2474,[16]PRIORIZADOS!$A:$E,5,FALSE)="","",VLOOKUP(A2474,[16]PRIORIZADOS!$A:$E,5,FALSE)),"")</f>
        <v>Educación de Jóvenes y Adultos</v>
      </c>
      <c r="F2474" s="261" t="str">
        <f>IFERROR(IF(VLOOKUP(A2474,[16]PRIORIZADOS!$A:$F,6,FALSE)="","",VLOOKUP(A2474,[16]PRIORIZADOS!$A:$F,6,FALSE)),"")</f>
        <v>COLEGIO_TECNISISTEMAS</v>
      </c>
      <c r="G2474" s="261" t="str">
        <f>IFERROR(IF(VLOOKUP(A2474,[16]PRIORIZADOS!$A:$G,7,FALSE)="","",VLOOKUP(A2474,[16]PRIORIZADOS!$A:$G,7,FALSE)),"")</f>
        <v>COLEGIO TECNISISTEMAS</v>
      </c>
      <c r="H2474" s="261" t="str">
        <f>IFERROR(IF(VLOOKUP(A2474,[16]PRIORIZADOS!$A:$H,8,FALSE)="","",VLOOKUP(A2474,[16]PRIORIZADOS!$A:$H,8,FALSE)),"")</f>
        <v>Autoevaluación Institucional y Pruebas SABER 11</v>
      </c>
      <c r="I2474" s="261" t="str">
        <f>IFERROR(IF(VLOOKUP(A2474,[16]PRIORIZADOS!$A:$I,9,FALSE)="","",VLOOKUP(A2474,[16]PRIORIZADOS!$A:$I,9,FALSE)),"")</f>
        <v>SEGUIMIENTO_Y_SUPERVISIÓN.</v>
      </c>
      <c r="J2474" s="261" t="str">
        <f>IFERROR(IF(VLOOKUP(A2474,[16]PRIORIZADOS!$A:$J,10,FALSE)="","",VLOOKUP(A2474,[16]PRIORIZADOS!$A:$J,10,FALSE)),"")</f>
        <v xml:space="preserve">Verificar la implementación por parte de los colegios, de acciones realizadas para la prevención y atención de las situaciones de convivencia en el entorno escolar, según lo establecido en la Directiva 01 de 2022 del MEN. </v>
      </c>
      <c r="K2474" s="261" t="str">
        <f>IFERROR(IF(VLOOKUP(A2474,[16]PRIORIZADOS!$A:$K,11,FALSE)="","",VLOOKUP(A2474,[16]PRIORIZADOS!$A:$K,11,FALSE)),"")</f>
        <v>NELSON AUGUSTO CUBILLOS OLARTE</v>
      </c>
      <c r="L2474" s="261" t="str">
        <f>IFERROR(IF(VLOOKUP(A2474,[16]PRIORIZADOS!$A:$L,12,FALSE)="","",VLOOKUP(A2474,[16]PRIORIZADOS!$A:$L,12,FALSE)),"")</f>
        <v xml:space="preserve">SANDRA JAZMÍN BAQUERO CÓRDOBA
NELSON AUGUSTO CUBILLOS OLARTE
CLAUDIA PATRICIA GRANADOS FLÓREZ
</v>
      </c>
      <c r="M2474" s="262">
        <f>IFERROR(IF(VLOOKUP(A2474,[16]PRIORIZADOS!$A:$M,13,FALSE)="","",VLOOKUP(A2474,[16]PRIORIZADOS!$A:$M,13,FALSE)),"")</f>
        <v>45791</v>
      </c>
      <c r="N2474" s="262">
        <f>IFERROR(IF(VLOOKUP(A2474,[16]PRIORIZADOS!$A:$N,14,FALSE)="","",VLOOKUP(A2474,[16]PRIORIZADOS!$A:$N,14,FALSE)),"")</f>
        <v>45805</v>
      </c>
      <c r="O2474" s="262">
        <f>IFERROR(IF(VLOOKUP(A2474,[16]PRIORIZADOS!$A:$O,15,FALSE)="","",VLOOKUP(A2474,[16]PRIORIZADOS!$A:$O,15,FALSE)),"")</f>
        <v>45805</v>
      </c>
      <c r="P2474" s="261" t="str">
        <f>IFERROR(IF(VLOOKUP(A2474,[16]PRIORIZADOS!$A:$P,16,FALSE)="","",VLOOKUP(A2474,[16]PRIORIZADOS!$A:$P,16,FALSE)),"")</f>
        <v>Visitas de evaluación con fines de seguimiento</v>
      </c>
      <c r="Q2474" s="44" t="s">
        <v>489</v>
      </c>
      <c r="R2474" s="261" t="str">
        <f>IFERROR(IF(VLOOKUP(A2474,[16]PRIORIZADOS!$A:$R,18,FALSE)="","",VLOOKUP(A2474,[16]PRIORIZADOS!$A:$R,18,FALSE)),"")</f>
        <v>Se realizan las verificaciones de antecedentes de inhabilidades por delitos sexuales cada cuatro meses y se implementan procesos de promoción y prevención a la comunidad</v>
      </c>
      <c r="S2474" s="261" t="str">
        <f>IFERROR(IF(VLOOKUP(A2474,[16]PRIORIZADOS!$A:$S,19,FALSE)="","",VLOOKUP(A2474,[16]PRIORIZADOS!$A:$S,19,FALSE)),"")</f>
        <v>Documentar las actividades a la comunidad por medio de actas en cada una de ellas que den cuenta de la planeación, ejecución y evaluación.</v>
      </c>
      <c r="T2474" s="70" t="str">
        <f>IFERROR(IF(VLOOKUP(A2474,[16]PRIORIZADOS!$A:$T,20,FALSE)="","",VLOOKUP(A2474,[16]PRIORIZADOS!$A:$T,20,FALSE)),"")</f>
        <v>Si</v>
      </c>
      <c r="U2474" s="11" t="str">
        <f>IFERROR(IF(VLOOKUP(A2474,[16]PRIORIZADOS!$A:$U,21,FALSE)="","",VLOOKUP(A2474,[16]PRIORIZADOS!$A:$U,21,FALSE)),"")</f>
        <v>Revisar los planes suscritos y su ejecución documental y presencialmente.</v>
      </c>
    </row>
    <row r="2475" spans="1:21" s="1" customFormat="1" ht="84">
      <c r="A2475" s="69">
        <f>IF([16]PRIORIZADOS!A64="","",[16]PRIORIZADOS!A64)</f>
        <v>2449</v>
      </c>
      <c r="B2475" s="70">
        <v>7</v>
      </c>
      <c r="C2475" s="261" t="str">
        <f>IFERROR(IF(VLOOKUP(A2475,[16]PRIORIZADOS!$A:$C,3,FALSE)="","",VLOOKUP(A2475,[16]PRIORIZADOS!$A:$C,3,FALSE)),"")</f>
        <v>TUNJUELITO</v>
      </c>
      <c r="D2475" s="261" t="str">
        <f>IFERROR(IF(VLOOKUP(A2475,[16]PRIORIZADOS!$A:$D,4,FALSE)="","",VLOOKUP(A2475,[16]PRIORIZADOS!$A:$D,4,FALSE)),"")</f>
        <v>PRIVADO</v>
      </c>
      <c r="E2475" s="261" t="str">
        <f>IFERROR(IF(VLOOKUP(A2475,[16]PRIORIZADOS!$A:$E,5,FALSE)="","",VLOOKUP(A2475,[16]PRIORIZADOS!$A:$E,5,FALSE)),"")</f>
        <v>Educación de Jóvenes y Adultos</v>
      </c>
      <c r="F2475" s="261" t="str">
        <f>IFERROR(IF(VLOOKUP(A2475,[16]PRIORIZADOS!$A:$F,6,FALSE)="","",VLOOKUP(A2475,[16]PRIORIZADOS!$A:$F,6,FALSE)),"")</f>
        <v>COLEGIO_TECNISISTEMAS</v>
      </c>
      <c r="G2475" s="261" t="str">
        <f>IFERROR(IF(VLOOKUP(A2475,[16]PRIORIZADOS!$A:$G,7,FALSE)="","",VLOOKUP(A2475,[16]PRIORIZADOS!$A:$G,7,FALSE)),"")</f>
        <v>COLEGIO TECNISISTEMAS</v>
      </c>
      <c r="H2475" s="261" t="str">
        <f>IFERROR(IF(VLOOKUP(A2475,[16]PRIORIZADOS!$A:$H,8,FALSE)="","",VLOOKUP(A2475,[16]PRIORIZADOS!$A:$H,8,FALSE)),"")</f>
        <v>Autoevaluación Institucional y Pruebas SABER 11</v>
      </c>
      <c r="I2475" s="261" t="str">
        <f>IFERROR(IF(VLOOKUP(A2475,[16]PRIORIZADOS!$A:$I,9,FALSE)="","",VLOOKUP(A2475,[16]PRIORIZADOS!$A:$I,9,FALSE)),"")</f>
        <v>SEGUIMIENTO_Y_SUPERVISIÓN.</v>
      </c>
      <c r="J2475" s="261" t="str">
        <f>IFERROR(IF(VLOOKUP(A2475,[16]PRIORIZADOS!$A:$J,10,FALSE)="","",VLOOKUP(A2475,[16]PRIORIZADOS!$A:$J,10,FALSE)),"")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75" s="261" t="str">
        <f>IFERROR(IF(VLOOKUP(A2475,[16]PRIORIZADOS!$A:$K,11,FALSE)="","",VLOOKUP(A2475,[16]PRIORIZADOS!$A:$K,11,FALSE)),"")</f>
        <v>NELSON AUGUSTO CUBILLOS OLARTE</v>
      </c>
      <c r="L2475" s="261" t="str">
        <f>IFERROR(IF(VLOOKUP(A2475,[16]PRIORIZADOS!$A:$L,12,FALSE)="","",VLOOKUP(A2475,[16]PRIORIZADOS!$A:$L,12,FALSE)),"")</f>
        <v xml:space="preserve">SANDRA JAZMÍN BAQUERO CÓRDOBA
NELSON AUGUSTO CUBILLOS OLARTE
CLAUDIA PATRICIA GRANADOS FLÓREZ
</v>
      </c>
      <c r="M2475" s="262">
        <f>IFERROR(IF(VLOOKUP(A2475,[16]PRIORIZADOS!$A:$M,13,FALSE)="","",VLOOKUP(A2475,[16]PRIORIZADOS!$A:$M,13,FALSE)),"")</f>
        <v>45791</v>
      </c>
      <c r="N2475" s="262">
        <f>IFERROR(IF(VLOOKUP(A2475,[16]PRIORIZADOS!$A:$N,14,FALSE)="","",VLOOKUP(A2475,[16]PRIORIZADOS!$A:$N,14,FALSE)),"")</f>
        <v>45805</v>
      </c>
      <c r="O2475" s="262">
        <f>IFERROR(IF(VLOOKUP(A2475,[16]PRIORIZADOS!$A:$O,15,FALSE)="","",VLOOKUP(A2475,[16]PRIORIZADOS!$A:$O,15,FALSE)),"")</f>
        <v>45805</v>
      </c>
      <c r="P2475" s="261" t="str">
        <f>IFERROR(IF(VLOOKUP(A2475,[16]PRIORIZADOS!$A:$P,16,FALSE)="","",VLOOKUP(A2475,[16]PRIORIZADOS!$A:$P,16,FALSE)),"")</f>
        <v>Visitas de evaluación con fines de seguimiento</v>
      </c>
      <c r="Q2475" s="44" t="s">
        <v>489</v>
      </c>
      <c r="R2475" s="261" t="str">
        <f>IFERROR(IF(VLOOKUP(A2475,[16]PRIORIZADOS!$A:$R,18,FALSE)="","",VLOOKUP(A2475,[16]PRIORIZADOS!$A:$R,18,FALSE)),"")</f>
        <v>La institución elabora os planes de ajustes razonables, pero estos no contienen las firmas de los intervinientes en las actas.</v>
      </c>
      <c r="S2475" s="261" t="str">
        <f>IFERROR(IF(VLOOKUP(A2475,[16]PRIORIZADOS!$A:$S,19,FALSE)="","",VLOOKUP(A2475,[16]PRIORIZADOS!$A:$S,19,FALSE)),"")</f>
        <v>Realizar los proceso de actualización de los PIAR y firmarlos</v>
      </c>
      <c r="T2475" s="70" t="str">
        <f>IFERROR(IF(VLOOKUP(A2475,[16]PRIORIZADOS!$A:$T,20,FALSE)="","",VLOOKUP(A2475,[16]PRIORIZADOS!$A:$T,20,FALSE)),"")</f>
        <v>Si</v>
      </c>
      <c r="U2475" s="11" t="str">
        <f>IFERROR(IF(VLOOKUP(A2475,[16]PRIORIZADOS!$A:$U,21,FALSE)="","",VLOOKUP(A2475,[16]PRIORIZADOS!$A:$U,21,FALSE)),"")</f>
        <v>PIAR con sus firmas y seguimientos en próxima visita.</v>
      </c>
    </row>
    <row r="2476" spans="1:21" s="1" customFormat="1" ht="84">
      <c r="A2476" s="69">
        <f>IF([16]PRIORIZADOS!A65="","",[16]PRIORIZADOS!A65)</f>
        <v>2450</v>
      </c>
      <c r="B2476" s="70">
        <v>7</v>
      </c>
      <c r="C2476" s="261" t="str">
        <f>IFERROR(IF(VLOOKUP(A2476,[16]PRIORIZADOS!$A:$C,3,FALSE)="","",VLOOKUP(A2476,[16]PRIORIZADOS!$A:$C,3,FALSE)),"")</f>
        <v>TUNJUELITO</v>
      </c>
      <c r="D2476" s="261" t="str">
        <f>IFERROR(IF(VLOOKUP(A2476,[16]PRIORIZADOS!$A:$D,4,FALSE)="","",VLOOKUP(A2476,[16]PRIORIZADOS!$A:$D,4,FALSE)),"")</f>
        <v>PRIVADO</v>
      </c>
      <c r="E2476" s="261" t="str">
        <f>IFERROR(IF(VLOOKUP(A2476,[16]PRIORIZADOS!$A:$E,5,FALSE)="","",VLOOKUP(A2476,[16]PRIORIZADOS!$A:$E,5,FALSE)),"")</f>
        <v>Educación de Jóvenes y Adultos</v>
      </c>
      <c r="F2476" s="261" t="str">
        <f>IFERROR(IF(VLOOKUP(A2476,[16]PRIORIZADOS!$A:$F,6,FALSE)="","",VLOOKUP(A2476,[16]PRIORIZADOS!$A:$F,6,FALSE)),"")</f>
        <v>COLEGIO_TECNISISTEMAS</v>
      </c>
      <c r="G2476" s="261" t="str">
        <f>IFERROR(IF(VLOOKUP(A2476,[16]PRIORIZADOS!$A:$G,7,FALSE)="","",VLOOKUP(A2476,[16]PRIORIZADOS!$A:$G,7,FALSE)),"")</f>
        <v>COLEGIO TECNISISTEMAS</v>
      </c>
      <c r="H2476" s="261" t="str">
        <f>IFERROR(IF(VLOOKUP(A2476,[16]PRIORIZADOS!$A:$H,8,FALSE)="","",VLOOKUP(A2476,[16]PRIORIZADOS!$A:$H,8,FALSE)),"")</f>
        <v>Autoevaluación Institucional y Pruebas SABER 11</v>
      </c>
      <c r="I2476" s="261" t="str">
        <f>IFERROR(IF(VLOOKUP(A2476,[16]PRIORIZADOS!$A:$I,9,FALSE)="","",VLOOKUP(A2476,[16]PRIORIZADOS!$A:$I,9,FALSE)),"")</f>
        <v>EVALUACIÓN_CON_FINES_DE_MEJORAMIENTO.</v>
      </c>
      <c r="J2476" s="261" t="str">
        <f>IFERROR(IF(VLOOKUP(A2476,[16]PRIORIZADOS!$A:$J,10,FALSE)="","",VLOOKUP(A2476,[16]PRIORIZADOS!$A:$J,10,FALSE)),"")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76" s="261" t="str">
        <f>IFERROR(IF(VLOOKUP(A2476,[16]PRIORIZADOS!$A:$K,11,FALSE)="","",VLOOKUP(A2476,[16]PRIORIZADOS!$A:$K,11,FALSE)),"")</f>
        <v>NELSON AUGUSTO CUBILLOS OLARTE</v>
      </c>
      <c r="L2476" s="261" t="str">
        <f>IFERROR(IF(VLOOKUP(A2476,[16]PRIORIZADOS!$A:$L,12,FALSE)="","",VLOOKUP(A2476,[16]PRIORIZADOS!$A:$L,12,FALSE)),"")</f>
        <v xml:space="preserve">SANDRA JAZMÍN BAQUERO CÓRDOBA
NELSON AUGUSTO CUBILLOS OLARTE
CLAUDIA PATRICIA GRANADOS FLÓREZ
</v>
      </c>
      <c r="M2476" s="262">
        <f>IFERROR(IF(VLOOKUP(A2476,[16]PRIORIZADOS!$A:$M,13,FALSE)="","",VLOOKUP(A2476,[16]PRIORIZADOS!$A:$M,13,FALSE)),"")</f>
        <v>45791</v>
      </c>
      <c r="N2476" s="262">
        <f>IFERROR(IF(VLOOKUP(A2476,[16]PRIORIZADOS!$A:$N,14,FALSE)="","",VLOOKUP(A2476,[16]PRIORIZADOS!$A:$N,14,FALSE)),"")</f>
        <v>45805</v>
      </c>
      <c r="O2476" s="262">
        <f>IFERROR(IF(VLOOKUP(A2476,[16]PRIORIZADOS!$A:$O,15,FALSE)="","",VLOOKUP(A2476,[16]PRIORIZADOS!$A:$O,15,FALSE)),"")</f>
        <v>45805</v>
      </c>
      <c r="P2476" s="261" t="str">
        <f>IFERROR(IF(VLOOKUP(A2476,[16]PRIORIZADOS!$A:$P,16,FALSE)="","",VLOOKUP(A2476,[16]PRIORIZADOS!$A:$P,16,FALSE)),"")</f>
        <v>Visitas de evaluación con fines de mejoramiento</v>
      </c>
      <c r="Q2476" s="44" t="s">
        <v>489</v>
      </c>
      <c r="R2476" s="261" t="str">
        <f>IFERROR(IF(VLOOKUP(A2476,[16]PRIORIZADOS!$A:$R,18,FALSE)="","",VLOOKUP(A2476,[16]PRIORIZADOS!$A:$R,18,FALSE)),"")</f>
        <v>La institución construye y actualiza el Manual en forma participativa, se evidencia la necesidad de actualizar en aspectos como el SIEE y la tipificación de las faltas tipo.</v>
      </c>
      <c r="S2476" s="261" t="str">
        <f>IFERROR(IF(VLOOKUP(A2476,[16]PRIORIZADOS!$A:$S,19,FALSE)="","",VLOOKUP(A2476,[16]PRIORIZADOS!$A:$S,19,FALSE)),"")</f>
        <v>Estructurar el proceso de actualización del Manual en lo conceriniente a la inclusión del SIEE completo y el proceso en las faltas tipo.</v>
      </c>
      <c r="T2476" s="70" t="str">
        <f>IFERROR(IF(VLOOKUP(A2476,[16]PRIORIZADOS!$A:$T,20,FALSE)="","",VLOOKUP(A2476,[16]PRIORIZADOS!$A:$T,20,FALSE)),"")</f>
        <v>Si</v>
      </c>
      <c r="U2476" s="11" t="str">
        <f>IFERROR(IF(VLOOKUP(A2476,[16]PRIORIZADOS!$A:$U,21,FALSE)="","",VLOOKUP(A2476,[16]PRIORIZADOS!$A:$U,21,FALSE)),"")</f>
        <v>Verificar el proceso de actualización que se consigne en el PMI.</v>
      </c>
    </row>
    <row r="2477" spans="1:21" s="1" customFormat="1" ht="84">
      <c r="A2477" s="69">
        <f>IF([16]PRIORIZADOS!A66="","",[16]PRIORIZADOS!A66)</f>
        <v>2451</v>
      </c>
      <c r="B2477" s="70">
        <v>7</v>
      </c>
      <c r="C2477" s="261" t="str">
        <f>IFERROR(IF(VLOOKUP(A2477,[16]PRIORIZADOS!$A:$C,3,FALSE)="","",VLOOKUP(A2477,[16]PRIORIZADOS!$A:$C,3,FALSE)),"")</f>
        <v>TUNJUELITO</v>
      </c>
      <c r="D2477" s="261" t="str">
        <f>IFERROR(IF(VLOOKUP(A2477,[16]PRIORIZADOS!$A:$D,4,FALSE)="","",VLOOKUP(A2477,[16]PRIORIZADOS!$A:$D,4,FALSE)),"")</f>
        <v>PRIVADO</v>
      </c>
      <c r="E2477" s="261" t="str">
        <f>IFERROR(IF(VLOOKUP(A2477,[16]PRIORIZADOS!$A:$E,5,FALSE)="","",VLOOKUP(A2477,[16]PRIORIZADOS!$A:$E,5,FALSE)),"")</f>
        <v>Educación de Jóvenes y Adultos</v>
      </c>
      <c r="F2477" s="261" t="str">
        <f>IFERROR(IF(VLOOKUP(A2477,[16]PRIORIZADOS!$A:$F,6,FALSE)="","",VLOOKUP(A2477,[16]PRIORIZADOS!$A:$F,6,FALSE)),"")</f>
        <v>COLEGIO_TECNISISTEMAS</v>
      </c>
      <c r="G2477" s="261" t="str">
        <f>IFERROR(IF(VLOOKUP(A2477,[16]PRIORIZADOS!$A:$G,7,FALSE)="","",VLOOKUP(A2477,[16]PRIORIZADOS!$A:$G,7,FALSE)),"")</f>
        <v>COLEGIO TECNISISTEMAS</v>
      </c>
      <c r="H2477" s="261" t="str">
        <f>IFERROR(IF(VLOOKUP(A2477,[16]PRIORIZADOS!$A:$H,8,FALSE)="","",VLOOKUP(A2477,[16]PRIORIZADOS!$A:$H,8,FALSE)),"")</f>
        <v>Autoevaluación Institucional y Pruebas SABER 11</v>
      </c>
      <c r="I2477" s="261" t="str">
        <f>IFERROR(IF(VLOOKUP(A2477,[16]PRIORIZADOS!$A:$I,9,FALSE)="","",VLOOKUP(A2477,[16]PRIORIZADOS!$A:$I,9,FALSE)),"")</f>
        <v>EVALUACIÓN_CON_FINES_DE_MEJORAMIENTO.</v>
      </c>
      <c r="J2477" s="261" t="str">
        <f>IFERROR(IF(VLOOKUP(A2477,[16]PRIORIZADOS!$A:$J,10,FALSE)="","",VLOOKUP(A2477,[16]PRIORIZADOS!$A:$J,10,FALSE)),"")</f>
        <v>Revisar la actualización, socialización e implementación del Sistema Institucional de Evaluación de Estudiantes - SIEE, en articulación con la actualización del PEI y la normatividad vigente.</v>
      </c>
      <c r="K2477" s="261" t="str">
        <f>IFERROR(IF(VLOOKUP(A2477,[16]PRIORIZADOS!$A:$K,11,FALSE)="","",VLOOKUP(A2477,[16]PRIORIZADOS!$A:$K,11,FALSE)),"")</f>
        <v>NELSON AUGUSTO CUBILLOS OLARTE</v>
      </c>
      <c r="L2477" s="261" t="str">
        <f>IFERROR(IF(VLOOKUP(A2477,[16]PRIORIZADOS!$A:$L,12,FALSE)="","",VLOOKUP(A2477,[16]PRIORIZADOS!$A:$L,12,FALSE)),"")</f>
        <v xml:space="preserve">SANDRA JAZMÍN BAQUERO CÓRDOBA
NELSON AUGUSTO CUBILLOS OLARTE
CLAUDIA PATRICIA GRANADOS FLÓREZ
</v>
      </c>
      <c r="M2477" s="262">
        <f>IFERROR(IF(VLOOKUP(A2477,[16]PRIORIZADOS!$A:$M,13,FALSE)="","",VLOOKUP(A2477,[16]PRIORIZADOS!$A:$M,13,FALSE)),"")</f>
        <v>45791</v>
      </c>
      <c r="N2477" s="262">
        <f>IFERROR(IF(VLOOKUP(A2477,[16]PRIORIZADOS!$A:$N,14,FALSE)="","",VLOOKUP(A2477,[16]PRIORIZADOS!$A:$N,14,FALSE)),"")</f>
        <v>45805</v>
      </c>
      <c r="O2477" s="262">
        <f>IFERROR(IF(VLOOKUP(A2477,[16]PRIORIZADOS!$A:$O,15,FALSE)="","",VLOOKUP(A2477,[16]PRIORIZADOS!$A:$O,15,FALSE)),"")</f>
        <v>45805</v>
      </c>
      <c r="P2477" s="261" t="str">
        <f>IFERROR(IF(VLOOKUP(A2477,[16]PRIORIZADOS!$A:$P,16,FALSE)="","",VLOOKUP(A2477,[16]PRIORIZADOS!$A:$P,16,FALSE)),"")</f>
        <v>Visitas de evaluación con fines de mejoramiento</v>
      </c>
      <c r="Q2477" s="44" t="s">
        <v>489</v>
      </c>
      <c r="R2477" s="261" t="str">
        <f>IFERROR(IF(VLOOKUP(A2477,[16]PRIORIZADOS!$A:$R,18,FALSE)="","",VLOOKUP(A2477,[16]PRIORIZADOS!$A:$R,18,FALSE)),"")</f>
        <v>Existen procesos, practicas evaluativas y de acompañamiento que no se encuentran consignados en el documento SIEE en el manual de convivencia.</v>
      </c>
      <c r="S2477" s="261" t="str">
        <f>IFERROR(IF(VLOOKUP(A2477,[16]PRIORIZADOS!$A:$S,19,FALSE)="","",VLOOKUP(A2477,[16]PRIORIZADOS!$A:$S,19,FALSE)),"")</f>
        <v>Organizar el proceso de actualización para incluir todos los proceso y prácticas de la institución en el SIEE y en el manual de convivencia.</v>
      </c>
      <c r="T2477" s="70" t="str">
        <f>IFERROR(IF(VLOOKUP(A2477,[16]PRIORIZADOS!$A:$T,20,FALSE)="","",VLOOKUP(A2477,[16]PRIORIZADOS!$A:$T,20,FALSE)),"")</f>
        <v>Si</v>
      </c>
      <c r="U2477" s="11" t="str">
        <f>IFERROR(IF(VLOOKUP(A2477,[16]PRIORIZADOS!$A:$U,21,FALSE)="","",VLOOKUP(A2477,[16]PRIORIZADOS!$A:$U,21,FALSE)),"")</f>
        <v>Verificar el proceso de actualización que se consigne en el PMI.</v>
      </c>
    </row>
    <row r="2478" spans="1:21" s="1" customFormat="1" ht="84">
      <c r="A2478" s="69">
        <f>IF([16]PRIORIZADOS!A67="","",[16]PRIORIZADOS!A67)</f>
        <v>2452</v>
      </c>
      <c r="B2478" s="70">
        <v>7</v>
      </c>
      <c r="C2478" s="261" t="str">
        <f>IFERROR(IF(VLOOKUP(A2478,[16]PRIORIZADOS!$A:$C,3,FALSE)="","",VLOOKUP(A2478,[16]PRIORIZADOS!$A:$C,3,FALSE)),"")</f>
        <v>TUNJUELITO</v>
      </c>
      <c r="D2478" s="261" t="str">
        <f>IFERROR(IF(VLOOKUP(A2478,[16]PRIORIZADOS!$A:$D,4,FALSE)="","",VLOOKUP(A2478,[16]PRIORIZADOS!$A:$D,4,FALSE)),"")</f>
        <v>PRIVADO</v>
      </c>
      <c r="E2478" s="261" t="str">
        <f>IFERROR(IF(VLOOKUP(A2478,[16]PRIORIZADOS!$A:$E,5,FALSE)="","",VLOOKUP(A2478,[16]PRIORIZADOS!$A:$E,5,FALSE)),"")</f>
        <v>Educación de Jóvenes y Adultos</v>
      </c>
      <c r="F2478" s="261" t="str">
        <f>IFERROR(IF(VLOOKUP(A2478,[16]PRIORIZADOS!$A:$F,6,FALSE)="","",VLOOKUP(A2478,[16]PRIORIZADOS!$A:$F,6,FALSE)),"")</f>
        <v>COLEGIO_TECNISISTEMAS</v>
      </c>
      <c r="G2478" s="261" t="str">
        <f>IFERROR(IF(VLOOKUP(A2478,[16]PRIORIZADOS!$A:$G,7,FALSE)="","",VLOOKUP(A2478,[16]PRIORIZADOS!$A:$G,7,FALSE)),"")</f>
        <v>COLEGIO TECNISISTEMAS</v>
      </c>
      <c r="H2478" s="261" t="str">
        <f>IFERROR(IF(VLOOKUP(A2478,[16]PRIORIZADOS!$A:$H,8,FALSE)="","",VLOOKUP(A2478,[16]PRIORIZADOS!$A:$H,8,FALSE)),"")</f>
        <v>Autoevaluación Institucional y Pruebas SABER 11</v>
      </c>
      <c r="I2478" s="261" t="str">
        <f>IFERROR(IF(VLOOKUP(A2478,[16]PRIORIZADOS!$A:$I,9,FALSE)="","",VLOOKUP(A2478,[16]PRIORIZADOS!$A:$I,9,FALSE)),"")</f>
        <v>EVALUACIÓN_CON_FINES_DE_MEJORAMIENTO.</v>
      </c>
      <c r="J2478" s="261" t="str">
        <f>IFERROR(IF(VLOOKUP(A2478,[16]PRIORIZADOS!$A:$J,10,FALSE)="","",VLOOKUP(A2478,[16]PRIORIZADOS!$A:$J,10,FALSE)),"")</f>
        <v>Revisar el calendario escolar, jornada escolar, la intensidad horaria mínima anual en cada nivel y las modificaciones que se realicen al mismo, de acuerdo con lo previsto en la normatividad vigente.</v>
      </c>
      <c r="K2478" s="261" t="str">
        <f>IFERROR(IF(VLOOKUP(A2478,[16]PRIORIZADOS!$A:$K,11,FALSE)="","",VLOOKUP(A2478,[16]PRIORIZADOS!$A:$K,11,FALSE)),"")</f>
        <v>NELSON AUGUSTO CUBILLOS OLARTE</v>
      </c>
      <c r="L2478" s="261" t="str">
        <f>IFERROR(IF(VLOOKUP(A2478,[16]PRIORIZADOS!$A:$L,12,FALSE)="","",VLOOKUP(A2478,[16]PRIORIZADOS!$A:$L,12,FALSE)),"")</f>
        <v xml:space="preserve">SANDRA JAZMÍN BAQUERO CÓRDOBA
NELSON AUGUSTO CUBILLOS OLARTE
CLAUDIA PATRICIA GRANADOS FLÓREZ
</v>
      </c>
      <c r="M2478" s="262">
        <f>IFERROR(IF(VLOOKUP(A2478,[16]PRIORIZADOS!$A:$M,13,FALSE)="","",VLOOKUP(A2478,[16]PRIORIZADOS!$A:$M,13,FALSE)),"")</f>
        <v>45791</v>
      </c>
      <c r="N2478" s="262">
        <f>IFERROR(IF(VLOOKUP(A2478,[16]PRIORIZADOS!$A:$N,14,FALSE)="","",VLOOKUP(A2478,[16]PRIORIZADOS!$A:$N,14,FALSE)),"")</f>
        <v>45805</v>
      </c>
      <c r="O2478" s="262">
        <f>IFERROR(IF(VLOOKUP(A2478,[16]PRIORIZADOS!$A:$O,15,FALSE)="","",VLOOKUP(A2478,[16]PRIORIZADOS!$A:$O,15,FALSE)),"")</f>
        <v>45805</v>
      </c>
      <c r="P2478" s="261" t="str">
        <f>IFERROR(IF(VLOOKUP(A2478,[16]PRIORIZADOS!$A:$P,16,FALSE)="","",VLOOKUP(A2478,[16]PRIORIZADOS!$A:$P,16,FALSE)),"")</f>
        <v>Visitas de evaluación con fines de mejoramiento</v>
      </c>
      <c r="Q2478" s="44" t="s">
        <v>489</v>
      </c>
      <c r="R2478" s="261" t="str">
        <f>IFERROR(IF(VLOOKUP(A2478,[16]PRIORIZADOS!$A:$R,18,FALSE)="","",VLOOKUP(A2478,[16]PRIORIZADOS!$A:$R,18,FALSE)),"")</f>
        <v>El colegio cumple con las horas correspondientes establecidas en el decreto 1075 de 2015 para los ciclos aprobados (III, IV de Básica y I y II de media).</v>
      </c>
      <c r="S2478" s="261" t="str">
        <f>IFERROR(IF(VLOOKUP(A2478,[16]PRIORIZADOS!$A:$S,19,FALSE)="","",VLOOKUP(A2478,[16]PRIORIZADOS!$A:$S,19,FALSE)),"")</f>
        <v>Cumplir con el calendario recordando la intensidad horaria</v>
      </c>
      <c r="T2478" s="70" t="str">
        <f>IFERROR(IF(VLOOKUP(A2478,[16]PRIORIZADOS!$A:$T,20,FALSE)="","",VLOOKUP(A2478,[16]PRIORIZADOS!$A:$T,20,FALSE)),"")</f>
        <v>No</v>
      </c>
      <c r="U2478" s="11" t="str">
        <f>IFERROR(IF(VLOOKUP(A2478,[16]PRIORIZADOS!$A:$U,21,FALSE)="","",VLOOKUP(A2478,[16]PRIORIZADOS!$A:$U,21,FALSE)),"")</f>
        <v>Continuar las verificaciones el próximo año.</v>
      </c>
    </row>
    <row r="2479" spans="1:21" s="1" customFormat="1" ht="84">
      <c r="A2479" s="69">
        <f>IF([16]PRIORIZADOS!A68="","",[16]PRIORIZADOS!A68)</f>
        <v>2453</v>
      </c>
      <c r="B2479" s="70">
        <v>7</v>
      </c>
      <c r="C2479" s="261" t="str">
        <f>IFERROR(IF(VLOOKUP(A2479,[16]PRIORIZADOS!$A:$C,3,FALSE)="","",VLOOKUP(A2479,[16]PRIORIZADOS!$A:$C,3,FALSE)),"")</f>
        <v>TUNJUELITO</v>
      </c>
      <c r="D2479" s="261" t="str">
        <f>IFERROR(IF(VLOOKUP(A2479,[16]PRIORIZADOS!$A:$D,4,FALSE)="","",VLOOKUP(A2479,[16]PRIORIZADOS!$A:$D,4,FALSE)),"")</f>
        <v>PRIVADO</v>
      </c>
      <c r="E2479" s="261" t="str">
        <f>IFERROR(IF(VLOOKUP(A2479,[16]PRIORIZADOS!$A:$E,5,FALSE)="","",VLOOKUP(A2479,[16]PRIORIZADOS!$A:$E,5,FALSE)),"")</f>
        <v>Educación de Jóvenes y Adultos</v>
      </c>
      <c r="F2479" s="261" t="str">
        <f>IFERROR(IF(VLOOKUP(A2479,[16]PRIORIZADOS!$A:$F,6,FALSE)="","",VLOOKUP(A2479,[16]PRIORIZADOS!$A:$F,6,FALSE)),"")</f>
        <v>COLEGIO_TECNISISTEMAS</v>
      </c>
      <c r="G2479" s="261" t="str">
        <f>IFERROR(IF(VLOOKUP(A2479,[16]PRIORIZADOS!$A:$G,7,FALSE)="","",VLOOKUP(A2479,[16]PRIORIZADOS!$A:$G,7,FALSE)),"")</f>
        <v>COLEGIO TECNISISTEMAS</v>
      </c>
      <c r="H2479" s="261" t="str">
        <f>IFERROR(IF(VLOOKUP(A2479,[16]PRIORIZADOS!$A:$H,8,FALSE)="","",VLOOKUP(A2479,[16]PRIORIZADOS!$A:$H,8,FALSE)),"")</f>
        <v>Autoevaluación Institucional y Pruebas SABER 11</v>
      </c>
      <c r="I2479" s="261" t="str">
        <f>IFERROR(IF(VLOOKUP(A2479,[16]PRIORIZADOS!$A:$I,9,FALSE)="","",VLOOKUP(A2479,[16]PRIORIZADOS!$A:$I,9,FALSE)),"")</f>
        <v>EVALUACIÓN_CON_FINES_DE_MEJORAMIENTO.</v>
      </c>
      <c r="J2479" s="261" t="str">
        <f>IFERROR(IF(VLOOKUP(A2479,[16]PRIORIZADOS!$A:$J,10,FALSE)="","",VLOOKUP(A2479,[16]PRIORIZADOS!$A:$J,10,FALSE)),"")</f>
        <v>Verificar el funcionamiento del Gobierno Escolar e instancias de participación con base en la información sobre conformación reportada por la institución educativa.</v>
      </c>
      <c r="K2479" s="261" t="str">
        <f>IFERROR(IF(VLOOKUP(A2479,[16]PRIORIZADOS!$A:$K,11,FALSE)="","",VLOOKUP(A2479,[16]PRIORIZADOS!$A:$K,11,FALSE)),"")</f>
        <v>NELSON AUGUSTO CUBILLOS OLARTE</v>
      </c>
      <c r="L2479" s="261" t="str">
        <f>IFERROR(IF(VLOOKUP(A2479,[16]PRIORIZADOS!$A:$L,12,FALSE)="","",VLOOKUP(A2479,[16]PRIORIZADOS!$A:$L,12,FALSE)),"")</f>
        <v xml:space="preserve">SANDRA JAZMÍN BAQUERO CÓRDOBA
NELSON AUGUSTO CUBILLOS OLARTE
CLAUDIA PATRICIA GRANADOS FLÓREZ
</v>
      </c>
      <c r="M2479" s="262">
        <f>IFERROR(IF(VLOOKUP(A2479,[16]PRIORIZADOS!$A:$M,13,FALSE)="","",VLOOKUP(A2479,[16]PRIORIZADOS!$A:$M,13,FALSE)),"")</f>
        <v>45791</v>
      </c>
      <c r="N2479" s="262">
        <f>IFERROR(IF(VLOOKUP(A2479,[16]PRIORIZADOS!$A:$N,14,FALSE)="","",VLOOKUP(A2479,[16]PRIORIZADOS!$A:$N,14,FALSE)),"")</f>
        <v>45805</v>
      </c>
      <c r="O2479" s="262">
        <f>IFERROR(IF(VLOOKUP(A2479,[16]PRIORIZADOS!$A:$O,15,FALSE)="","",VLOOKUP(A2479,[16]PRIORIZADOS!$A:$O,15,FALSE)),"")</f>
        <v>45805</v>
      </c>
      <c r="P2479" s="261" t="str">
        <f>IFERROR(IF(VLOOKUP(A2479,[16]PRIORIZADOS!$A:$P,16,FALSE)="","",VLOOKUP(A2479,[16]PRIORIZADOS!$A:$P,16,FALSE)),"")</f>
        <v>Visitas de evaluación con fines de mejoramiento</v>
      </c>
      <c r="Q2479" s="44" t="s">
        <v>489</v>
      </c>
      <c r="R2479" s="261" t="str">
        <f>IFERROR(IF(VLOOKUP(A2479,[16]PRIORIZADOS!$A:$R,18,FALSE)="","",VLOOKUP(A2479,[16]PRIORIZADOS!$A:$R,18,FALSE)),"")</f>
        <v>La institución cumple con los tiempos de conformación y reporte del las instancias del gobierno escolar y organos de participación, además se evidencia la operatividad de los organos en las actas presentadas.</v>
      </c>
      <c r="S2479" s="261" t="str">
        <f>IFERROR(IF(VLOOKUP(A2479,[16]PRIORIZADOS!$A:$S,19,FALSE)="","",VLOOKUP(A2479,[16]PRIORIZADOS!$A:$S,19,FALSE)),"")</f>
        <v>Es necesario impulsar mas la reunion de los organos pde participación de los padres y estudiantes.</v>
      </c>
      <c r="T2479" s="70" t="str">
        <f>IFERROR(IF(VLOOKUP(A2479,[16]PRIORIZADOS!$A:$T,20,FALSE)="","",VLOOKUP(A2479,[16]PRIORIZADOS!$A:$T,20,FALSE)),"")</f>
        <v>No</v>
      </c>
      <c r="U2479" s="11" t="str">
        <f>IFERROR(IF(VLOOKUP(A2479,[16]PRIORIZADOS!$A:$U,21,FALSE)="","",VLOOKUP(A2479,[16]PRIORIZADOS!$A:$U,21,FALSE)),"")</f>
        <v>Continuar las verificaciones el próximo año.</v>
      </c>
    </row>
    <row r="2480" spans="1:21" s="1" customFormat="1" ht="84">
      <c r="A2480" s="69">
        <f>IF([16]PRIORIZADOS!A69="","",[16]PRIORIZADOS!A69)</f>
        <v>2454</v>
      </c>
      <c r="B2480" s="70">
        <v>7</v>
      </c>
      <c r="C2480" s="261" t="str">
        <f>IFERROR(IF(VLOOKUP(A2480,[16]PRIORIZADOS!$A:$C,3,FALSE)="","",VLOOKUP(A2480,[16]PRIORIZADOS!$A:$C,3,FALSE)),"")</f>
        <v>TUNJUELITO</v>
      </c>
      <c r="D2480" s="261" t="str">
        <f>IFERROR(IF(VLOOKUP(A2480,[16]PRIORIZADOS!$A:$D,4,FALSE)="","",VLOOKUP(A2480,[16]PRIORIZADOS!$A:$D,4,FALSE)),"")</f>
        <v>PRIVADO</v>
      </c>
      <c r="E2480" s="261" t="str">
        <f>IFERROR(IF(VLOOKUP(A2480,[16]PRIORIZADOS!$A:$E,5,FALSE)="","",VLOOKUP(A2480,[16]PRIORIZADOS!$A:$E,5,FALSE)),"")</f>
        <v>Educación de Jóvenes y Adultos</v>
      </c>
      <c r="F2480" s="261" t="str">
        <f>IFERROR(IF(VLOOKUP(A2480,[16]PRIORIZADOS!$A:$F,6,FALSE)="","",VLOOKUP(A2480,[16]PRIORIZADOS!$A:$F,6,FALSE)),"")</f>
        <v>COLEGIO_TECNISISTEMAS</v>
      </c>
      <c r="G2480" s="261" t="str">
        <f>IFERROR(IF(VLOOKUP(A2480,[16]PRIORIZADOS!$A:$G,7,FALSE)="","",VLOOKUP(A2480,[16]PRIORIZADOS!$A:$G,7,FALSE)),"")</f>
        <v>COLEGIO TECNISISTEMAS</v>
      </c>
      <c r="H2480" s="261" t="str">
        <f>IFERROR(IF(VLOOKUP(A2480,[16]PRIORIZADOS!$A:$H,8,FALSE)="","",VLOOKUP(A2480,[16]PRIORIZADOS!$A:$H,8,FALSE)),"")</f>
        <v>Autoevaluación Institucional y Pruebas SABER 11</v>
      </c>
      <c r="I2480" s="261" t="str">
        <f>IFERROR(IF(VLOOKUP(A2480,[16]PRIORIZADOS!$A:$I,9,FALSE)="","",VLOOKUP(A2480,[16]PRIORIZADOS!$A:$I,9,FALSE)),"")</f>
        <v>EVALUACIÓN_CON_FINES_DE_MEJORAMIENTO.</v>
      </c>
      <c r="J2480" s="261" t="str">
        <f>IFERROR(IF(VLOOKUP(A2480,[16]PRIORIZADOS!$A:$J,10,FALSE)="","",VLOOKUP(A2480,[16]PRIORIZADOS!$A:$J,10,FALSE)),"")</f>
        <v>Verificar las condiciones en cuanto a: la estructura administrativa, condiciones de la planta física y medios educativos adecuados.</v>
      </c>
      <c r="K2480" s="261" t="str">
        <f>IFERROR(IF(VLOOKUP(A2480,[16]PRIORIZADOS!$A:$K,11,FALSE)="","",VLOOKUP(A2480,[16]PRIORIZADOS!$A:$K,11,FALSE)),"")</f>
        <v>NELSON AUGUSTO CUBILLOS OLARTE</v>
      </c>
      <c r="L2480" s="261" t="str">
        <f>IFERROR(IF(VLOOKUP(A2480,[16]PRIORIZADOS!$A:$L,12,FALSE)="","",VLOOKUP(A2480,[16]PRIORIZADOS!$A:$L,12,FALSE)),"")</f>
        <v xml:space="preserve">SANDRA JAZMÍN BAQUERO CÓRDOBA
NELSON AUGUSTO CUBILLOS OLARTE
CLAUDIA PATRICIA GRANADOS FLÓREZ
</v>
      </c>
      <c r="M2480" s="262">
        <f>IFERROR(IF(VLOOKUP(A2480,[16]PRIORIZADOS!$A:$M,13,FALSE)="","",VLOOKUP(A2480,[16]PRIORIZADOS!$A:$M,13,FALSE)),"")</f>
        <v>45791</v>
      </c>
      <c r="N2480" s="262">
        <f>IFERROR(IF(VLOOKUP(A2480,[16]PRIORIZADOS!$A:$N,14,FALSE)="","",VLOOKUP(A2480,[16]PRIORIZADOS!$A:$N,14,FALSE)),"")</f>
        <v>45805</v>
      </c>
      <c r="O2480" s="262">
        <f>IFERROR(IF(VLOOKUP(A2480,[16]PRIORIZADOS!$A:$O,15,FALSE)="","",VLOOKUP(A2480,[16]PRIORIZADOS!$A:$O,15,FALSE)),"")</f>
        <v>45805</v>
      </c>
      <c r="P2480" s="261" t="str">
        <f>IFERROR(IF(VLOOKUP(A2480,[16]PRIORIZADOS!$A:$P,16,FALSE)="","",VLOOKUP(A2480,[16]PRIORIZADOS!$A:$P,16,FALSE)),"")</f>
        <v>Visitas de evaluación con fines de mejoramiento</v>
      </c>
      <c r="Q2480" s="44" t="s">
        <v>489</v>
      </c>
      <c r="R2480" s="261" t="str">
        <f>IFERROR(IF(VLOOKUP(A2480,[16]PRIORIZADOS!$A:$R,18,FALSE)="","",VLOOKUP(A2480,[16]PRIORIZADOS!$A:$R,18,FALSE)),"")</f>
        <v>La institución cuenta con los espacios suficientes para la prestación del servicio solo se evidencia la falta de utilización de laboratorios y la desactualización de la biblioteca.</v>
      </c>
      <c r="S2480" s="261" t="str">
        <f>IFERROR(IF(VLOOKUP(A2480,[16]PRIORIZADOS!$A:$S,19,FALSE)="","",VLOOKUP(A2480,[16]PRIORIZADOS!$A:$S,19,FALSE)),"")</f>
        <v>Se elabora PMI en el que se estructure la utilización de los laboratorios y se plasmen los procesos de actualización de la biblioteca fisica de la institución.</v>
      </c>
      <c r="T2480" s="70" t="str">
        <f>IFERROR(IF(VLOOKUP(A2480,[16]PRIORIZADOS!$A:$T,20,FALSE)="","",VLOOKUP(A2480,[16]PRIORIZADOS!$A:$T,20,FALSE)),"")</f>
        <v>Si</v>
      </c>
      <c r="U2480" s="11" t="str">
        <f>IFERROR(IF(VLOOKUP(A2480,[16]PRIORIZADOS!$A:$U,21,FALSE)="","",VLOOKUP(A2480,[16]PRIORIZADOS!$A:$U,21,FALSE)),"")</f>
        <v>Recibir el PMI y realizar el seguimiento por medio de visita y verificación documental del plan.</v>
      </c>
    </row>
    <row r="2481" spans="1:21" s="1" customFormat="1" ht="84">
      <c r="A2481" s="69">
        <f>IF([16]PRIORIZADOS!A70="","",[16]PRIORIZADOS!A70)</f>
        <v>2455</v>
      </c>
      <c r="B2481" s="70">
        <f>IFERROR(IF(VLOOKUP(A2481,[16]PRIORIZADOS!$A:$B,2,FALSE)="","",VLOOKUP(A2481,[16]PRIORIZADOS!$A:$B,2,FALSE)),"")</f>
        <v>8</v>
      </c>
      <c r="C2481" s="261" t="str">
        <f>IFERROR(IF(VLOOKUP(A2481,[16]PRIORIZADOS!$A:$C,3,FALSE)="","",VLOOKUP(A2481,[16]PRIORIZADOS!$A:$C,3,FALSE)),"")</f>
        <v>TUNJUELITO</v>
      </c>
      <c r="D2481" s="261" t="str">
        <f>IFERROR(IF(VLOOKUP(A2481,[16]PRIORIZADOS!$A:$D,4,FALSE)="","",VLOOKUP(A2481,[16]PRIORIZADOS!$A:$D,4,FALSE)),"")</f>
        <v>PRIVADO</v>
      </c>
      <c r="E2481" s="261" t="str">
        <f>IFERROR(IF(VLOOKUP(A2481,[16]PRIORIZADOS!$A:$E,5,FALSE)="","",VLOOKUP(A2481,[16]PRIORIZADOS!$A:$E,5,FALSE)),"")</f>
        <v>EPBM</v>
      </c>
      <c r="F2481" s="261" t="str">
        <f>IFERROR(IF(VLOOKUP(A2481,[16]PRIORIZADOS!$A:$F,6,FALSE)="","",VLOOKUP(A2481,[16]PRIORIZADOS!$A:$F,6,FALSE)),"")</f>
        <v>GIMNASIO_COMERCIAL_LOS_ANDES</v>
      </c>
      <c r="G2481" s="261" t="str">
        <f>IFERROR(IF(VLOOKUP(A2481,[16]PRIORIZADOS!$A:$G,7,FALSE)="","",VLOOKUP(A2481,[16]PRIORIZADOS!$A:$G,7,FALSE)),"")</f>
        <v>GIMNASIO COMERCIAL LOS ANDES</v>
      </c>
      <c r="H2481" s="261" t="str">
        <f>IFERROR(IF(VLOOKUP(A2481,[16]PRIORIZADOS!$A:$H,8,FALSE)="","",VLOOKUP(A2481,[16]PRIORIZADOS!$A:$H,8,FALSE)),"")</f>
        <v>Autoevaluación Institucional y Pruebas SABER 11</v>
      </c>
      <c r="I2481" s="261" t="str">
        <f>IFERROR(IF(VLOOKUP(A2481,[16]PRIORIZADOS!$A:$I,9,FALSE)="","",VLOOKUP(A2481,[16]PRIORIZADOS!$A:$I,9,FALSE)),"")</f>
        <v>SEGUIMIENTO_Y_SUPERVISIÓN.</v>
      </c>
      <c r="J2481" s="261" t="str">
        <f>IFERROR(IF(VLOOKUP(A2481,[16]PRIORIZADOS!$A:$J,10,FALSE)="","",VLOOKUP(A2481,[16]PRIORIZADOS!$A:$J,10,FALSE)),"")</f>
        <v>Realizar visitas para verificar la información registrada sobre la autoevaluación institucional en el aplicativo EVI, a los establecimientos de educación formal no oficial.</v>
      </c>
      <c r="K2481" s="261" t="str">
        <f>IFERROR(IF(VLOOKUP(A2481,[16]PRIORIZADOS!$A:$K,11,FALSE)="","",VLOOKUP(A2481,[16]PRIORIZADOS!$A:$K,11,FALSE)),"")</f>
        <v>CLAUDIA PATRICIA GRANADOS FLÓREZ</v>
      </c>
      <c r="L2481" s="261" t="str">
        <f>IFERROR(IF(VLOOKUP(A2481,[16]PRIORIZADOS!$A:$L,12,FALSE)="","",VLOOKUP(A2481,[16]PRIORIZADOS!$A:$L,12,FALSE)),"")</f>
        <v xml:space="preserve">SANDRA JAZMÍN BAQUERO CÓRDOBA
NELSON AUGUSTO CUBILLOS OLARTE
CLAUDIA PATRICIA GRANADOS FLÓREZ
</v>
      </c>
      <c r="M2481" s="262">
        <f>IFERROR(IF(VLOOKUP(A2481,[16]PRIORIZADOS!$A:$M,13,FALSE)="","",VLOOKUP(A2481,[16]PRIORIZADOS!$A:$M,13,FALSE)),"")</f>
        <v>45870</v>
      </c>
      <c r="N2481" s="262">
        <f>IFERROR(IF(VLOOKUP(A2481,[16]PRIORIZADOS!$A:$N,14,FALSE)="","",VLOOKUP(A2481,[16]PRIORIZADOS!$A:$N,14,FALSE)),"")</f>
        <v>45870</v>
      </c>
      <c r="O2481" s="262">
        <f>IFERROR(IF(VLOOKUP(A2481,[16]PRIORIZADOS!$A:$O,15,FALSE)="","",VLOOKUP(A2481,[16]PRIORIZADOS!$A:$O,15,FALSE)),"")</f>
        <v>45870</v>
      </c>
      <c r="P2481" s="261" t="str">
        <f>IFERROR(IF(VLOOKUP(A2481,[16]PRIORIZADOS!$A:$P,16,FALSE)="","",VLOOKUP(A2481,[16]PRIORIZADOS!$A:$P,16,FALSE)),"")</f>
        <v>Visitas de evaluación con fines de seguimiento</v>
      </c>
      <c r="Q2481" s="263" t="s">
        <v>490</v>
      </c>
      <c r="R2481" s="261" t="str">
        <f>IFERROR(IF(VLOOKUP(A2481,[16]PRIORIZADOS!$A:$R,18,FALSE)="","",VLOOKUP(A2481,[16]PRIORIZADOS!$A:$R,18,FALSE)),"")</f>
        <v>Se evidencia carencia de espacios en la infraestructura, ajustes para el PEI, curriculo, servicio social, orientación escolar,  manual de funciones,  etc.</v>
      </c>
      <c r="S2481" s="261" t="str">
        <f>IFERROR(IF(VLOOKUP(A2481,[16]PRIORIZADOS!$A:$S,19,FALSE)="","",VLOOKUP(A2481,[16]PRIORIZADOS!$A:$S,19,FALSE)),"")</f>
        <v>Presentación del PMI 15 de septiembre de 2025</v>
      </c>
      <c r="T2481" s="70" t="str">
        <f>IFERROR(IF(VLOOKUP(A2481,[16]PRIORIZADOS!$A:$T,20,FALSE)="","",VLOOKUP(A2481,[16]PRIORIZADOS!$A:$T,20,FALSE)),"")</f>
        <v>Si</v>
      </c>
      <c r="U2481" s="11" t="str">
        <f>IFERROR(IF(VLOOKUP(A2481,[16]PRIORIZADOS!$A:$U,21,FALSE)="","",VLOOKUP(A2481,[16]PRIORIZADOS!$A:$U,21,FALSE)),"")</f>
        <v>Se revisara el plan de mejoramiento aportado para verificar su pertinencia y porsterior seguimiento para su cumplimiento</v>
      </c>
    </row>
    <row r="2482" spans="1:21" s="1" customFormat="1" ht="84">
      <c r="A2482" s="69">
        <f>IF([16]PRIORIZADOS!A71="","",[16]PRIORIZADOS!A71)</f>
        <v>2456</v>
      </c>
      <c r="B2482" s="70">
        <v>8</v>
      </c>
      <c r="C2482" s="261" t="str">
        <f>IFERROR(IF(VLOOKUP(A2482,[16]PRIORIZADOS!$A:$C,3,FALSE)="","",VLOOKUP(A2482,[16]PRIORIZADOS!$A:$C,3,FALSE)),"")</f>
        <v>TUNJUELITO</v>
      </c>
      <c r="D2482" s="261" t="str">
        <f>IFERROR(IF(VLOOKUP(A2482,[16]PRIORIZADOS!$A:$D,4,FALSE)="","",VLOOKUP(A2482,[16]PRIORIZADOS!$A:$D,4,FALSE)),"")</f>
        <v>PRIVADO</v>
      </c>
      <c r="E2482" s="261" t="str">
        <f>IFERROR(IF(VLOOKUP(A2482,[16]PRIORIZADOS!$A:$E,5,FALSE)="","",VLOOKUP(A2482,[16]PRIORIZADOS!$A:$E,5,FALSE)),"")</f>
        <v>EPBM</v>
      </c>
      <c r="F2482" s="261" t="str">
        <f>IFERROR(IF(VLOOKUP(A2482,[16]PRIORIZADOS!$A:$F,6,FALSE)="","",VLOOKUP(A2482,[16]PRIORIZADOS!$A:$F,6,FALSE)),"")</f>
        <v>GIMNASIO_COMERCIAL_LOS_ANDES</v>
      </c>
      <c r="G2482" s="261" t="str">
        <f>IFERROR(IF(VLOOKUP(A2482,[16]PRIORIZADOS!$A:$G,7,FALSE)="","",VLOOKUP(A2482,[16]PRIORIZADOS!$A:$G,7,FALSE)),"")</f>
        <v>GIMNASIO COMERCIAL LOS ANDES</v>
      </c>
      <c r="H2482" s="261" t="str">
        <f>IFERROR(IF(VLOOKUP(A2482,[16]PRIORIZADOS!$A:$H,8,FALSE)="","",VLOOKUP(A2482,[16]PRIORIZADOS!$A:$H,8,FALSE)),"")</f>
        <v>Autoevaluación Institucional y Pruebas SABER 11</v>
      </c>
      <c r="I2482" s="261" t="str">
        <f>IFERROR(IF(VLOOKUP(A2482,[16]PRIORIZADOS!$A:$I,9,FALSE)="","",VLOOKUP(A2482,[16]PRIORIZADOS!$A:$I,9,FALSE)),"")</f>
        <v>SEGUIMIENTO_Y_SUPERVISIÓN.</v>
      </c>
      <c r="J2482" s="261" t="str">
        <f>IFERROR(IF(VLOOKUP(A2482,[16]PRIORIZADOS!$A:$J,10,FALSE)="","",VLOOKUP(A2482,[16]PRIORIZADOS!$A:$J,10,FALSE)),"")</f>
        <v>Proponer estrategias en la formulación, verificar su elaboración y realizar seguimiento semestral al desarrollo de  las acciones establecidas en los planes de mejoramiento por pruebas SABER 11 de los establecimientos de educación formal.</v>
      </c>
      <c r="K2482" s="261" t="str">
        <f>IFERROR(IF(VLOOKUP(A2482,[16]PRIORIZADOS!$A:$K,11,FALSE)="","",VLOOKUP(A2482,[16]PRIORIZADOS!$A:$K,11,FALSE)),"")</f>
        <v>CLAUDIA PATRICIA GRANADOS FLÓREZ</v>
      </c>
      <c r="L2482" s="261" t="str">
        <f>IFERROR(IF(VLOOKUP(A2482,[16]PRIORIZADOS!$A:$L,12,FALSE)="","",VLOOKUP(A2482,[16]PRIORIZADOS!$A:$L,12,FALSE)),"")</f>
        <v xml:space="preserve">SANDRA JAZMÍN BAQUERO CÓRDOBA
NELSON AUGUSTO CUBILLOS OLARTE
CLAUDIA PATRICIA GRANADOS FLÓREZ
</v>
      </c>
      <c r="M2482" s="262">
        <f>IFERROR(IF(VLOOKUP(A2482,[16]PRIORIZADOS!$A:$M,13,FALSE)="","",VLOOKUP(A2482,[16]PRIORIZADOS!$A:$M,13,FALSE)),"")</f>
        <v>45870</v>
      </c>
      <c r="N2482" s="262">
        <f>IFERROR(IF(VLOOKUP(A2482,[16]PRIORIZADOS!$A:$N,14,FALSE)="","",VLOOKUP(A2482,[16]PRIORIZADOS!$A:$N,14,FALSE)),"")</f>
        <v>45870</v>
      </c>
      <c r="O2482" s="262">
        <f>IFERROR(IF(VLOOKUP(A2482,[16]PRIORIZADOS!$A:$O,15,FALSE)="","",VLOOKUP(A2482,[16]PRIORIZADOS!$A:$O,15,FALSE)),"")</f>
        <v>45870</v>
      </c>
      <c r="P2482" s="261" t="str">
        <f>IFERROR(IF(VLOOKUP(A2482,[16]PRIORIZADOS!$A:$P,16,FALSE)="","",VLOOKUP(A2482,[16]PRIORIZADOS!$A:$P,16,FALSE)),"")</f>
        <v>Visitas de evaluación con fines de seguimiento</v>
      </c>
      <c r="Q2482" s="263" t="s">
        <v>490</v>
      </c>
      <c r="R2482" s="261" t="str">
        <f>IFERROR(IF(VLOOKUP(A2482,[16]PRIORIZADOS!$A:$R,18,FALSE)="","",VLOOKUP(A2482,[16]PRIORIZADOS!$A:$R,18,FALSE)),"")</f>
        <v>La Institucion esta clasificada en Categoria B. para el año 2024</v>
      </c>
      <c r="S2482" s="261" t="str">
        <f>IFERROR(IF(VLOOKUP(A2482,[16]PRIORIZADOS!$A:$S,19,FALSE)="","",VLOOKUP(A2482,[16]PRIORIZADOS!$A:$S,19,FALSE)),"")</f>
        <v>Continuidad en el seguimiento para mantener la categoria o superarla</v>
      </c>
      <c r="T2482" s="70" t="str">
        <f>IFERROR(IF(VLOOKUP(A2482,[16]PRIORIZADOS!$A:$T,20,FALSE)="","",VLOOKUP(A2482,[16]PRIORIZADOS!$A:$T,20,FALSE)),"")</f>
        <v>No</v>
      </c>
      <c r="U2482" s="11" t="str">
        <f>IFERROR(IF(VLOOKUP(A2482,[16]PRIORIZADOS!$A:$U,21,FALSE)="","",VLOOKUP(A2482,[16]PRIORIZADOS!$A:$U,21,FALSE)),"")</f>
        <v>Se verificará la  formulación para la siguiente vigencia o en caso de presentarse una queja</v>
      </c>
    </row>
    <row r="2483" spans="1:21" s="1" customFormat="1" ht="84">
      <c r="A2483" s="69">
        <f>IF([16]PRIORIZADOS!A72="","",[16]PRIORIZADOS!A72)</f>
        <v>2457</v>
      </c>
      <c r="B2483" s="70">
        <v>8</v>
      </c>
      <c r="C2483" s="261" t="str">
        <f>IFERROR(IF(VLOOKUP(A2483,[16]PRIORIZADOS!$A:$C,3,FALSE)="","",VLOOKUP(A2483,[16]PRIORIZADOS!$A:$C,3,FALSE)),"")</f>
        <v>TUNJUELITO</v>
      </c>
      <c r="D2483" s="261" t="str">
        <f>IFERROR(IF(VLOOKUP(A2483,[16]PRIORIZADOS!$A:$D,4,FALSE)="","",VLOOKUP(A2483,[16]PRIORIZADOS!$A:$D,4,FALSE)),"")</f>
        <v>PRIVADO</v>
      </c>
      <c r="E2483" s="261" t="str">
        <f>IFERROR(IF(VLOOKUP(A2483,[16]PRIORIZADOS!$A:$E,5,FALSE)="","",VLOOKUP(A2483,[16]PRIORIZADOS!$A:$E,5,FALSE)),"")</f>
        <v>EPBM</v>
      </c>
      <c r="F2483" s="261" t="str">
        <f>IFERROR(IF(VLOOKUP(A2483,[16]PRIORIZADOS!$A:$F,6,FALSE)="","",VLOOKUP(A2483,[16]PRIORIZADOS!$A:$F,6,FALSE)),"")</f>
        <v>GIMNASIO_COMERCIAL_LOS_ANDES</v>
      </c>
      <c r="G2483" s="261" t="str">
        <f>IFERROR(IF(VLOOKUP(A2483,[16]PRIORIZADOS!$A:$G,7,FALSE)="","",VLOOKUP(A2483,[16]PRIORIZADOS!$A:$G,7,FALSE)),"")</f>
        <v>GIMNASIO COMERCIAL LOS ANDES</v>
      </c>
      <c r="H2483" s="261" t="str">
        <f>IFERROR(IF(VLOOKUP(A2483,[16]PRIORIZADOS!$A:$H,8,FALSE)="","",VLOOKUP(A2483,[16]PRIORIZADOS!$A:$H,8,FALSE)),"")</f>
        <v>Autoevaluación Institucional y Pruebas SABER 11</v>
      </c>
      <c r="I2483" s="261" t="str">
        <f>IFERROR(IF(VLOOKUP(A2483,[16]PRIORIZADOS!$A:$I,9,FALSE)="","",VLOOKUP(A2483,[16]PRIORIZADOS!$A:$I,9,FALSE)),"")</f>
        <v>SEGUIMIENTO_Y_SUPERVISIÓN.</v>
      </c>
      <c r="J2483" s="261" t="str">
        <f>IFERROR(IF(VLOOKUP(A2483,[16]PRIORIZADOS!$A:$J,10,FALSE)="","",VLOOKUP(A2483,[16]PRIORIZADOS!$A:$J,10,FALSE)),"")</f>
        <v xml:space="preserve">Verificar la implementación por parte de los colegios, de acciones realizadas para la prevención y atención de las situaciones de convivencia en el entorno escolar, según lo establecido en la Directiva 01 de 2022 del MEN. </v>
      </c>
      <c r="K2483" s="261" t="str">
        <f>IFERROR(IF(VLOOKUP(A2483,[16]PRIORIZADOS!$A:$K,11,FALSE)="","",VLOOKUP(A2483,[16]PRIORIZADOS!$A:$K,11,FALSE)),"")</f>
        <v>CLAUDIA PATRICIA GRANADOS FLÓREZ</v>
      </c>
      <c r="L2483" s="261" t="str">
        <f>IFERROR(IF(VLOOKUP(A2483,[16]PRIORIZADOS!$A:$L,12,FALSE)="","",VLOOKUP(A2483,[16]PRIORIZADOS!$A:$L,12,FALSE)),"")</f>
        <v xml:space="preserve">SANDRA JAZMÍN BAQUERO CÓRDOBA
NELSON AUGUSTO CUBILLOS OLARTE
CLAUDIA PATRICIA GRANADOS FLÓREZ
</v>
      </c>
      <c r="M2483" s="262">
        <f>IFERROR(IF(VLOOKUP(A2483,[16]PRIORIZADOS!$A:$M,13,FALSE)="","",VLOOKUP(A2483,[16]PRIORIZADOS!$A:$M,13,FALSE)),"")</f>
        <v>45870</v>
      </c>
      <c r="N2483" s="262">
        <f>IFERROR(IF(VLOOKUP(A2483,[16]PRIORIZADOS!$A:$N,14,FALSE)="","",VLOOKUP(A2483,[16]PRIORIZADOS!$A:$N,14,FALSE)),"")</f>
        <v>45870</v>
      </c>
      <c r="O2483" s="262">
        <f>IFERROR(IF(VLOOKUP(A2483,[16]PRIORIZADOS!$A:$O,15,FALSE)="","",VLOOKUP(A2483,[16]PRIORIZADOS!$A:$O,15,FALSE)),"")</f>
        <v>45870</v>
      </c>
      <c r="P2483" s="261" t="str">
        <f>IFERROR(IF(VLOOKUP(A2483,[16]PRIORIZADOS!$A:$P,16,FALSE)="","",VLOOKUP(A2483,[16]PRIORIZADOS!$A:$P,16,FALSE)),"")</f>
        <v>Visitas de evaluación con fines de seguimiento</v>
      </c>
      <c r="Q2483" s="263" t="s">
        <v>490</v>
      </c>
      <c r="R2483" s="261" t="str">
        <f>IFERROR(IF(VLOOKUP(A2483,[16]PRIORIZADOS!$A:$R,18,FALSE)="","",VLOOKUP(A2483,[16]PRIORIZADOS!$A:$R,18,FALSE)),"")</f>
        <v>Revisadas las carpetas de los docentes se evidencia la consulta realizada por la IE frente a los antecentes, en revision de manual de convivencia se hacen observaciones implementacion Ley 1620</v>
      </c>
      <c r="S2483" s="261" t="str">
        <f>IFERROR(IF(VLOOKUP(A2483,[16]PRIORIZADOS!$A:$S,19,FALSE)="","",VLOOKUP(A2483,[16]PRIORIZADOS!$A:$S,19,FALSE)),"")</f>
        <v>Se recomienda dejar las evidencias en carpetas y verificar todos los docentes</v>
      </c>
      <c r="T2483" s="70" t="str">
        <f>IFERROR(IF(VLOOKUP(A2483,[16]PRIORIZADOS!$A:$T,20,FALSE)="","",VLOOKUP(A2483,[16]PRIORIZADOS!$A:$T,20,FALSE)),"")</f>
        <v>No</v>
      </c>
      <c r="U2483" s="11" t="str">
        <f>IFERROR(IF(VLOOKUP(A2483,[16]PRIORIZADOS!$A:$U,21,FALSE)="","",VLOOKUP(A2483,[16]PRIORIZADOS!$A:$U,21,FALSE)),"")</f>
        <v>Se verificará la continuidad de su cumplimiento o en caso de presentarse una queja</v>
      </c>
    </row>
    <row r="2484" spans="1:21" s="1" customFormat="1" ht="84">
      <c r="A2484" s="69">
        <f>IF([16]PRIORIZADOS!A73="","",[16]PRIORIZADOS!A73)</f>
        <v>2458</v>
      </c>
      <c r="B2484" s="70">
        <v>8</v>
      </c>
      <c r="C2484" s="261" t="str">
        <f>IFERROR(IF(VLOOKUP(A2484,[16]PRIORIZADOS!$A:$C,3,FALSE)="","",VLOOKUP(A2484,[16]PRIORIZADOS!$A:$C,3,FALSE)),"")</f>
        <v>TUNJUELITO</v>
      </c>
      <c r="D2484" s="261" t="str">
        <f>IFERROR(IF(VLOOKUP(A2484,[16]PRIORIZADOS!$A:$D,4,FALSE)="","",VLOOKUP(A2484,[16]PRIORIZADOS!$A:$D,4,FALSE)),"")</f>
        <v>PRIVADO</v>
      </c>
      <c r="E2484" s="261" t="str">
        <f>IFERROR(IF(VLOOKUP(A2484,[16]PRIORIZADOS!$A:$E,5,FALSE)="","",VLOOKUP(A2484,[16]PRIORIZADOS!$A:$E,5,FALSE)),"")</f>
        <v>EPBM</v>
      </c>
      <c r="F2484" s="261" t="str">
        <f>IFERROR(IF(VLOOKUP(A2484,[16]PRIORIZADOS!$A:$F,6,FALSE)="","",VLOOKUP(A2484,[16]PRIORIZADOS!$A:$F,6,FALSE)),"")</f>
        <v>GIMNASIO_COMERCIAL_LOS_ANDES</v>
      </c>
      <c r="G2484" s="261" t="str">
        <f>IFERROR(IF(VLOOKUP(A2484,[16]PRIORIZADOS!$A:$G,7,FALSE)="","",VLOOKUP(A2484,[16]PRIORIZADOS!$A:$G,7,FALSE)),"")</f>
        <v>GIMNASIO COMERCIAL LOS ANDES</v>
      </c>
      <c r="H2484" s="261" t="str">
        <f>IFERROR(IF(VLOOKUP(A2484,[16]PRIORIZADOS!$A:$H,8,FALSE)="","",VLOOKUP(A2484,[16]PRIORIZADOS!$A:$H,8,FALSE)),"")</f>
        <v>Autoevaluación Institucional y Pruebas SABER 11</v>
      </c>
      <c r="I2484" s="261" t="str">
        <f>IFERROR(IF(VLOOKUP(A2484,[16]PRIORIZADOS!$A:$I,9,FALSE)="","",VLOOKUP(A2484,[16]PRIORIZADOS!$A:$I,9,FALSE)),"")</f>
        <v>SEGUIMIENTO_Y_SUPERVISIÓN.</v>
      </c>
      <c r="J2484" s="261" t="str">
        <f>IFERROR(IF(VLOOKUP(A2484,[16]PRIORIZADOS!$A:$J,10,FALSE)="","",VLOOKUP(A2484,[16]PRIORIZADOS!$A:$J,10,FALSE)),"")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84" s="261" t="str">
        <f>IFERROR(IF(VLOOKUP(A2484,[16]PRIORIZADOS!$A:$K,11,FALSE)="","",VLOOKUP(A2484,[16]PRIORIZADOS!$A:$K,11,FALSE)),"")</f>
        <v>CLAUDIA PATRICIA GRANADOS FLÓREZ</v>
      </c>
      <c r="L2484" s="261" t="str">
        <f>IFERROR(IF(VLOOKUP(A2484,[16]PRIORIZADOS!$A:$L,12,FALSE)="","",VLOOKUP(A2484,[16]PRIORIZADOS!$A:$L,12,FALSE)),"")</f>
        <v xml:space="preserve">SANDRA JAZMÍN BAQUERO CÓRDOBA
NELSON AUGUSTO CUBILLOS OLARTE
CLAUDIA PATRICIA GRANADOS FLÓREZ
</v>
      </c>
      <c r="M2484" s="262">
        <f>IFERROR(IF(VLOOKUP(A2484,[16]PRIORIZADOS!$A:$M,13,FALSE)="","",VLOOKUP(A2484,[16]PRIORIZADOS!$A:$M,13,FALSE)),"")</f>
        <v>45870</v>
      </c>
      <c r="N2484" s="262">
        <f>IFERROR(IF(VLOOKUP(A2484,[16]PRIORIZADOS!$A:$N,14,FALSE)="","",VLOOKUP(A2484,[16]PRIORIZADOS!$A:$N,14,FALSE)),"")</f>
        <v>45870</v>
      </c>
      <c r="O2484" s="262">
        <f>IFERROR(IF(VLOOKUP(A2484,[16]PRIORIZADOS!$A:$O,15,FALSE)="","",VLOOKUP(A2484,[16]PRIORIZADOS!$A:$O,15,FALSE)),"")</f>
        <v>45870</v>
      </c>
      <c r="P2484" s="261" t="str">
        <f>IFERROR(IF(VLOOKUP(A2484,[16]PRIORIZADOS!$A:$P,16,FALSE)="","",VLOOKUP(A2484,[16]PRIORIZADOS!$A:$P,16,FALSE)),"")</f>
        <v>Visitas de evaluación con fines de seguimiento</v>
      </c>
      <c r="Q2484" s="263" t="s">
        <v>490</v>
      </c>
      <c r="R2484" s="261" t="str">
        <f>IFERROR(IF(VLOOKUP(A2484,[16]PRIORIZADOS!$A:$R,18,FALSE)="","",VLOOKUP(A2484,[16]PRIORIZADOS!$A:$R,18,FALSE)),"")</f>
        <v>La Institucion no utiliza los formatos establecidos en la  implementacion del 1421 y PIAR para los de cuatro (4) estudiantes con discapacidad  registrados en aplicativo SIMAT  con el area de orientacion</v>
      </c>
      <c r="S2484" s="261" t="str">
        <f>IFERROR(IF(VLOOKUP(A2484,[16]PRIORIZADOS!$A:$S,19,FALSE)="","",VLOOKUP(A2484,[16]PRIORIZADOS!$A:$S,19,FALSE)),"")</f>
        <v>Presentación del PMI 15 de septiembre de 2025</v>
      </c>
      <c r="T2484" s="70" t="str">
        <f>IFERROR(IF(VLOOKUP(A2484,[16]PRIORIZADOS!$A:$T,20,FALSE)="","",VLOOKUP(A2484,[16]PRIORIZADOS!$A:$T,20,FALSE)),"")</f>
        <v>SI</v>
      </c>
      <c r="U2484" s="11" t="str">
        <f>IFERROR(IF(VLOOKUP(A2484,[16]PRIORIZADOS!$A:$U,21,FALSE)="","",VLOOKUP(A2484,[16]PRIORIZADOS!$A:$U,21,FALSE)),"")</f>
        <v>Se verificará la continuidad de su cumplimiento o en caso de presentarse una queja</v>
      </c>
    </row>
    <row r="2485" spans="1:21" s="1" customFormat="1" ht="84">
      <c r="A2485" s="69">
        <f>IF([16]PRIORIZADOS!A74="","",[16]PRIORIZADOS!A74)</f>
        <v>2459</v>
      </c>
      <c r="B2485" s="70">
        <v>8</v>
      </c>
      <c r="C2485" s="261" t="str">
        <f>IFERROR(IF(VLOOKUP(A2485,[16]PRIORIZADOS!$A:$C,3,FALSE)="","",VLOOKUP(A2485,[16]PRIORIZADOS!$A:$C,3,FALSE)),"")</f>
        <v>TUNJUELITO</v>
      </c>
      <c r="D2485" s="261" t="str">
        <f>IFERROR(IF(VLOOKUP(A2485,[16]PRIORIZADOS!$A:$D,4,FALSE)="","",VLOOKUP(A2485,[16]PRIORIZADOS!$A:$D,4,FALSE)),"")</f>
        <v>PRIVADO</v>
      </c>
      <c r="E2485" s="261" t="str">
        <f>IFERROR(IF(VLOOKUP(A2485,[16]PRIORIZADOS!$A:$E,5,FALSE)="","",VLOOKUP(A2485,[16]PRIORIZADOS!$A:$E,5,FALSE)),"")</f>
        <v>EPBM</v>
      </c>
      <c r="F2485" s="261" t="str">
        <f>IFERROR(IF(VLOOKUP(A2485,[16]PRIORIZADOS!$A:$F,6,FALSE)="","",VLOOKUP(A2485,[16]PRIORIZADOS!$A:$F,6,FALSE)),"")</f>
        <v>GIMNASIO_COMERCIAL_LOS_ANDES</v>
      </c>
      <c r="G2485" s="261" t="str">
        <f>IFERROR(IF(VLOOKUP(A2485,[16]PRIORIZADOS!$A:$G,7,FALSE)="","",VLOOKUP(A2485,[16]PRIORIZADOS!$A:$G,7,FALSE)),"")</f>
        <v>GIMNASIO COMERCIAL LOS ANDES</v>
      </c>
      <c r="H2485" s="261" t="str">
        <f>IFERROR(IF(VLOOKUP(A2485,[16]PRIORIZADOS!$A:$H,8,FALSE)="","",VLOOKUP(A2485,[16]PRIORIZADOS!$A:$H,8,FALSE)),"")</f>
        <v>Autoevaluación Institucional y Pruebas SABER 11</v>
      </c>
      <c r="I2485" s="261" t="str">
        <f>IFERROR(IF(VLOOKUP(A2485,[16]PRIORIZADOS!$A:$I,9,FALSE)="","",VLOOKUP(A2485,[16]PRIORIZADOS!$A:$I,9,FALSE)),"")</f>
        <v>EVALUACIÓN_CON_FINES_DE_MEJORAMIENTO.</v>
      </c>
      <c r="J2485" s="261" t="str">
        <f>IFERROR(IF(VLOOKUP(A2485,[16]PRIORIZADOS!$A:$J,10,FALSE)="","",VLOOKUP(A2485,[16]PRIORIZADOS!$A:$J,10,FALSE)),"")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85" s="261" t="str">
        <f>IFERROR(IF(VLOOKUP(A2485,[16]PRIORIZADOS!$A:$K,11,FALSE)="","",VLOOKUP(A2485,[16]PRIORIZADOS!$A:$K,11,FALSE)),"")</f>
        <v>CLAUDIA PATRICIA GRANADOS FLÓREZ</v>
      </c>
      <c r="L2485" s="261" t="str">
        <f>IFERROR(IF(VLOOKUP(A2485,[16]PRIORIZADOS!$A:$L,12,FALSE)="","",VLOOKUP(A2485,[16]PRIORIZADOS!$A:$L,12,FALSE)),"")</f>
        <v xml:space="preserve">SANDRA JAZMÍN BAQUERO CÓRDOBA
NELSON AUGUSTO CUBILLOS OLARTE
CLAUDIA PATRICIA GRANADOS FLÓREZ
</v>
      </c>
      <c r="M2485" s="262">
        <f>IFERROR(IF(VLOOKUP(A2485,[16]PRIORIZADOS!$A:$M,13,FALSE)="","",VLOOKUP(A2485,[16]PRIORIZADOS!$A:$M,13,FALSE)),"")</f>
        <v>45870</v>
      </c>
      <c r="N2485" s="262">
        <f>IFERROR(IF(VLOOKUP(A2485,[16]PRIORIZADOS!$A:$N,14,FALSE)="","",VLOOKUP(A2485,[16]PRIORIZADOS!$A:$N,14,FALSE)),"")</f>
        <v>45870</v>
      </c>
      <c r="O2485" s="262">
        <f>IFERROR(IF(VLOOKUP(A2485,[16]PRIORIZADOS!$A:$O,15,FALSE)="","",VLOOKUP(A2485,[16]PRIORIZADOS!$A:$O,15,FALSE)),"")</f>
        <v>45870</v>
      </c>
      <c r="P2485" s="261" t="str">
        <f>IFERROR(IF(VLOOKUP(A2485,[16]PRIORIZADOS!$A:$P,16,FALSE)="","",VLOOKUP(A2485,[16]PRIORIZADOS!$A:$P,16,FALSE)),"")</f>
        <v>Visitas de evaluación con fines de mejoramiento</v>
      </c>
      <c r="Q2485" s="263" t="s">
        <v>490</v>
      </c>
      <c r="R2485" s="261" t="str">
        <f>IFERROR(IF(VLOOKUP(A2485,[16]PRIORIZADOS!$A:$R,18,FALSE)="","",VLOOKUP(A2485,[16]PRIORIZADOS!$A:$R,18,FALSE)),"")</f>
        <v>Revisado el manual de convivencia presentado por la IE Se encuentran novedades frente a aspectos como rutas de atencion., protocolos, de Ley 1620, decreto 1965, decreto 1421 , debido proceso entre otros,</v>
      </c>
      <c r="S2485" s="261" t="str">
        <f>IFERROR(IF(VLOOKUP(A2485,[16]PRIORIZADOS!$A:$S,19,FALSE)="","",VLOOKUP(A2485,[16]PRIORIZADOS!$A:$S,19,FALSE)),"")</f>
        <v>Presentación del PMI 15 de septiembre de 2025</v>
      </c>
      <c r="T2485" s="70" t="str">
        <f>IFERROR(IF(VLOOKUP(A2485,[16]PRIORIZADOS!$A:$T,20,FALSE)="","",VLOOKUP(A2485,[16]PRIORIZADOS!$A:$T,20,FALSE)),"")</f>
        <v>Si</v>
      </c>
      <c r="U2485" s="11" t="str">
        <f>IFERROR(IF(VLOOKUP(A2485,[16]PRIORIZADOS!$A:$U,21,FALSE)="","",VLOOKUP(A2485,[16]PRIORIZADOS!$A:$U,21,FALSE)),"")</f>
        <v>Se revisara el plan de mejoramiento aportado para verificar su pertinencia y porsterior seguimiento para su cumplimiento</v>
      </c>
    </row>
    <row r="2486" spans="1:21" s="1" customFormat="1" ht="84">
      <c r="A2486" s="69">
        <f>IF([16]PRIORIZADOS!A75="","",[16]PRIORIZADOS!A75)</f>
        <v>2460</v>
      </c>
      <c r="B2486" s="70">
        <v>8</v>
      </c>
      <c r="C2486" s="261" t="str">
        <f>IFERROR(IF(VLOOKUP(A2486,[16]PRIORIZADOS!$A:$C,3,FALSE)="","",VLOOKUP(A2486,[16]PRIORIZADOS!$A:$C,3,FALSE)),"")</f>
        <v>TUNJUELITO</v>
      </c>
      <c r="D2486" s="261" t="str">
        <f>IFERROR(IF(VLOOKUP(A2486,[16]PRIORIZADOS!$A:$D,4,FALSE)="","",VLOOKUP(A2486,[16]PRIORIZADOS!$A:$D,4,FALSE)),"")</f>
        <v>PRIVADO</v>
      </c>
      <c r="E2486" s="261" t="str">
        <f>IFERROR(IF(VLOOKUP(A2486,[16]PRIORIZADOS!$A:$E,5,FALSE)="","",VLOOKUP(A2486,[16]PRIORIZADOS!$A:$E,5,FALSE)),"")</f>
        <v>EPBM</v>
      </c>
      <c r="F2486" s="261" t="str">
        <f>IFERROR(IF(VLOOKUP(A2486,[16]PRIORIZADOS!$A:$F,6,FALSE)="","",VLOOKUP(A2486,[16]PRIORIZADOS!$A:$F,6,FALSE)),"")</f>
        <v>GIMNASIO_COMERCIAL_LOS_ANDES</v>
      </c>
      <c r="G2486" s="261" t="str">
        <f>IFERROR(IF(VLOOKUP(A2486,[16]PRIORIZADOS!$A:$G,7,FALSE)="","",VLOOKUP(A2486,[16]PRIORIZADOS!$A:$G,7,FALSE)),"")</f>
        <v>GIMNASIO COMERCIAL LOS ANDES</v>
      </c>
      <c r="H2486" s="261" t="str">
        <f>IFERROR(IF(VLOOKUP(A2486,[16]PRIORIZADOS!$A:$H,8,FALSE)="","",VLOOKUP(A2486,[16]PRIORIZADOS!$A:$H,8,FALSE)),"")</f>
        <v>Autoevaluación Institucional y Pruebas SABER 11</v>
      </c>
      <c r="I2486" s="261" t="str">
        <f>IFERROR(IF(VLOOKUP(A2486,[16]PRIORIZADOS!$A:$I,9,FALSE)="","",VLOOKUP(A2486,[16]PRIORIZADOS!$A:$I,9,FALSE)),"")</f>
        <v>EVALUACIÓN_CON_FINES_DE_MEJORAMIENTO.</v>
      </c>
      <c r="J2486" s="261" t="str">
        <f>IFERROR(IF(VLOOKUP(A2486,[16]PRIORIZADOS!$A:$J,10,FALSE)="","",VLOOKUP(A2486,[16]PRIORIZADOS!$A:$J,10,FALSE)),"")</f>
        <v>Revisar la actualización, socialización e implementación del Sistema Institucional de Evaluación de Estudiantes - SIEE, en articulación con la actualización del PEI y la normatividad vigente.</v>
      </c>
      <c r="K2486" s="261" t="str">
        <f>IFERROR(IF(VLOOKUP(A2486,[16]PRIORIZADOS!$A:$K,11,FALSE)="","",VLOOKUP(A2486,[16]PRIORIZADOS!$A:$K,11,FALSE)),"")</f>
        <v>CLAUDIA PATRICIA GRANADOS FLÓREZ</v>
      </c>
      <c r="L2486" s="261" t="str">
        <f>IFERROR(IF(VLOOKUP(A2486,[16]PRIORIZADOS!$A:$L,12,FALSE)="","",VLOOKUP(A2486,[16]PRIORIZADOS!$A:$L,12,FALSE)),"")</f>
        <v xml:space="preserve">SANDRA JAZMÍN BAQUERO CÓRDOBA
NELSON AUGUSTO CUBILLOS OLARTE
CLAUDIA PATRICIA GRANADOS FLÓREZ
</v>
      </c>
      <c r="M2486" s="262">
        <f>IFERROR(IF(VLOOKUP(A2486,[16]PRIORIZADOS!$A:$M,13,FALSE)="","",VLOOKUP(A2486,[16]PRIORIZADOS!$A:$M,13,FALSE)),"")</f>
        <v>45870</v>
      </c>
      <c r="N2486" s="262">
        <f>IFERROR(IF(VLOOKUP(A2486,[16]PRIORIZADOS!$A:$N,14,FALSE)="","",VLOOKUP(A2486,[16]PRIORIZADOS!$A:$N,14,FALSE)),"")</f>
        <v>45870</v>
      </c>
      <c r="O2486" s="262">
        <f>IFERROR(IF(VLOOKUP(A2486,[16]PRIORIZADOS!$A:$O,15,FALSE)="","",VLOOKUP(A2486,[16]PRIORIZADOS!$A:$O,15,FALSE)),"")</f>
        <v>45870</v>
      </c>
      <c r="P2486" s="261" t="str">
        <f>IFERROR(IF(VLOOKUP(A2486,[16]PRIORIZADOS!$A:$P,16,FALSE)="","",VLOOKUP(A2486,[16]PRIORIZADOS!$A:$P,16,FALSE)),"")</f>
        <v>Visitas de evaluación con fines de mejoramiento</v>
      </c>
      <c r="Q2486" s="263" t="s">
        <v>490</v>
      </c>
      <c r="R2486" s="261" t="str">
        <f>IFERROR(IF(VLOOKUP(A2486,[16]PRIORIZADOS!$A:$R,18,FALSE)="","",VLOOKUP(A2486,[16]PRIORIZADOS!$A:$R,18,FALSE)),"")</f>
        <v>Revisado el SIIE se encuentran novedades frente al contenido minimo frente al Decreto 1075 de 2015 antes decreto 1290</v>
      </c>
      <c r="S2486" s="261" t="str">
        <f>IFERROR(IF(VLOOKUP(A2486,[16]PRIORIZADOS!$A:$S,19,FALSE)="","",VLOOKUP(A2486,[16]PRIORIZADOS!$A:$S,19,FALSE)),"")</f>
        <v>Presentación del PMI 15 de septiembre de 2025</v>
      </c>
      <c r="T2486" s="70" t="str">
        <f>IFERROR(IF(VLOOKUP(A2486,[16]PRIORIZADOS!$A:$T,20,FALSE)="","",VLOOKUP(A2486,[16]PRIORIZADOS!$A:$T,20,FALSE)),"")</f>
        <v>Si</v>
      </c>
      <c r="U2486" s="11" t="str">
        <f>IFERROR(IF(VLOOKUP(A2486,[16]PRIORIZADOS!$A:$U,21,FALSE)="","",VLOOKUP(A2486,[16]PRIORIZADOS!$A:$U,21,FALSE)),"")</f>
        <v>Se revisara el plan de mejoramiento aportado para verificar su pertinencia y porsterior seguimiento para su cumplimiento</v>
      </c>
    </row>
    <row r="2487" spans="1:21" s="1" customFormat="1" ht="84">
      <c r="A2487" s="69">
        <f>IF([16]PRIORIZADOS!A76="","",[16]PRIORIZADOS!A76)</f>
        <v>2461</v>
      </c>
      <c r="B2487" s="70">
        <v>8</v>
      </c>
      <c r="C2487" s="261" t="str">
        <f>IFERROR(IF(VLOOKUP(A2487,[16]PRIORIZADOS!$A:$C,3,FALSE)="","",VLOOKUP(A2487,[16]PRIORIZADOS!$A:$C,3,FALSE)),"")</f>
        <v>TUNJUELITO</v>
      </c>
      <c r="D2487" s="261" t="str">
        <f>IFERROR(IF(VLOOKUP(A2487,[16]PRIORIZADOS!$A:$D,4,FALSE)="","",VLOOKUP(A2487,[16]PRIORIZADOS!$A:$D,4,FALSE)),"")</f>
        <v>PRIVADO</v>
      </c>
      <c r="E2487" s="261" t="str">
        <f>IFERROR(IF(VLOOKUP(A2487,[16]PRIORIZADOS!$A:$E,5,FALSE)="","",VLOOKUP(A2487,[16]PRIORIZADOS!$A:$E,5,FALSE)),"")</f>
        <v>EPBM</v>
      </c>
      <c r="F2487" s="261" t="str">
        <f>IFERROR(IF(VLOOKUP(A2487,[16]PRIORIZADOS!$A:$F,6,FALSE)="","",VLOOKUP(A2487,[16]PRIORIZADOS!$A:$F,6,FALSE)),"")</f>
        <v>GIMNASIO_COMERCIAL_LOS_ANDES</v>
      </c>
      <c r="G2487" s="261" t="str">
        <f>IFERROR(IF(VLOOKUP(A2487,[16]PRIORIZADOS!$A:$G,7,FALSE)="","",VLOOKUP(A2487,[16]PRIORIZADOS!$A:$G,7,FALSE)),"")</f>
        <v>GIMNASIO COMERCIAL LOS ANDES</v>
      </c>
      <c r="H2487" s="261" t="str">
        <f>IFERROR(IF(VLOOKUP(A2487,[16]PRIORIZADOS!$A:$H,8,FALSE)="","",VLOOKUP(A2487,[16]PRIORIZADOS!$A:$H,8,FALSE)),"")</f>
        <v>Autoevaluación Institucional y Pruebas SABER 11</v>
      </c>
      <c r="I2487" s="261" t="str">
        <f>IFERROR(IF(VLOOKUP(A2487,[16]PRIORIZADOS!$A:$I,9,FALSE)="","",VLOOKUP(A2487,[16]PRIORIZADOS!$A:$I,9,FALSE)),"")</f>
        <v>EVALUACIÓN_CON_FINES_DE_MEJORAMIENTO.</v>
      </c>
      <c r="J2487" s="261" t="str">
        <f>IFERROR(IF(VLOOKUP(A2487,[16]PRIORIZADOS!$A:$J,10,FALSE)="","",VLOOKUP(A2487,[16]PRIORIZADOS!$A:$J,10,FALSE)),"")</f>
        <v>Revisar el calendario escolar, jornada escolar, la intensidad horaria mínima anual en cada nivel y las modificaciones que se realicen al mismo, de acuerdo con lo previsto en la normatividad vigente.</v>
      </c>
      <c r="K2487" s="261" t="str">
        <f>IFERROR(IF(VLOOKUP(A2487,[16]PRIORIZADOS!$A:$K,11,FALSE)="","",VLOOKUP(A2487,[16]PRIORIZADOS!$A:$K,11,FALSE)),"")</f>
        <v>CLAUDIA PATRICIA GRANADOS FLÓREZ</v>
      </c>
      <c r="L2487" s="261" t="str">
        <f>IFERROR(IF(VLOOKUP(A2487,[16]PRIORIZADOS!$A:$L,12,FALSE)="","",VLOOKUP(A2487,[16]PRIORIZADOS!$A:$L,12,FALSE)),"")</f>
        <v xml:space="preserve">SANDRA JAZMÍN BAQUERO CÓRDOBA
NELSON AUGUSTO CUBILLOS OLARTE
CLAUDIA PATRICIA GRANADOS FLÓREZ
</v>
      </c>
      <c r="M2487" s="262">
        <f>IFERROR(IF(VLOOKUP(A2487,[16]PRIORIZADOS!$A:$M,13,FALSE)="","",VLOOKUP(A2487,[16]PRIORIZADOS!$A:$M,13,FALSE)),"")</f>
        <v>45841</v>
      </c>
      <c r="N2487" s="262">
        <f>IFERROR(IF(VLOOKUP(A2487,[16]PRIORIZADOS!$A:$N,14,FALSE)="","",VLOOKUP(A2487,[16]PRIORIZADOS!$A:$N,14,FALSE)),"")</f>
        <v>45870</v>
      </c>
      <c r="O2487" s="262">
        <f>IFERROR(IF(VLOOKUP(A2487,[16]PRIORIZADOS!$A:$O,15,FALSE)="","",VLOOKUP(A2487,[16]PRIORIZADOS!$A:$O,15,FALSE)),"")</f>
        <v>45870</v>
      </c>
      <c r="P2487" s="261" t="str">
        <f>IFERROR(IF(VLOOKUP(A2487,[16]PRIORIZADOS!$A:$P,16,FALSE)="","",VLOOKUP(A2487,[16]PRIORIZADOS!$A:$P,16,FALSE)),"")</f>
        <v>Revisión documental</v>
      </c>
      <c r="Q2487" s="263" t="s">
        <v>490</v>
      </c>
      <c r="R2487" s="261" t="str">
        <f>IFERROR(IF(VLOOKUP(A2487,[16]PRIORIZADOS!$A:$R,18,FALSE)="","",VLOOKUP(A2487,[16]PRIORIZADOS!$A:$R,18,FALSE)),"")</f>
        <v>Se hace revisión documental y se verifica el cumplimiento de la intensidad horaria establecida en la normatividad vigente</v>
      </c>
      <c r="S2487" s="261" t="str">
        <f>IFERROR(IF(VLOOKUP(A2487,[16]PRIORIZADOS!$A:$S,19,FALSE)="","",VLOOKUP(A2487,[16]PRIORIZADOS!$A:$S,19,FALSE)),"")</f>
        <v>En los horarios presentados, se evidencian el cumplimiento de las horas efectivas anuales por nivel establecidas en la Resolución 1730 del 2004</v>
      </c>
      <c r="T2487" s="70" t="str">
        <f>IFERROR(IF(VLOOKUP(A2487,[16]PRIORIZADOS!$A:$T,20,FALSE)="","",VLOOKUP(A2487,[16]PRIORIZADOS!$A:$T,20,FALSE)),"")</f>
        <v>No</v>
      </c>
      <c r="U2487" s="11" t="str">
        <f>IFERROR(IF(VLOOKUP(A2487,[16]PRIORIZADOS!$A:$U,21,FALSE)="","",VLOOKUP(A2487,[16]PRIORIZADOS!$A:$U,21,FALSE)),"")</f>
        <v>Se verificará la  formulación para la siguiente vigencia o en caso de presentarse una queja</v>
      </c>
    </row>
    <row r="2488" spans="1:21" s="1" customFormat="1" ht="84">
      <c r="A2488" s="69">
        <f>IF([16]PRIORIZADOS!A77="","",[16]PRIORIZADOS!A77)</f>
        <v>2462</v>
      </c>
      <c r="B2488" s="70">
        <v>8</v>
      </c>
      <c r="C2488" s="261" t="str">
        <f>IFERROR(IF(VLOOKUP(A2488,[16]PRIORIZADOS!$A:$C,3,FALSE)="","",VLOOKUP(A2488,[16]PRIORIZADOS!$A:$C,3,FALSE)),"")</f>
        <v>TUNJUELITO</v>
      </c>
      <c r="D2488" s="261" t="str">
        <f>IFERROR(IF(VLOOKUP(A2488,[16]PRIORIZADOS!$A:$D,4,FALSE)="","",VLOOKUP(A2488,[16]PRIORIZADOS!$A:$D,4,FALSE)),"")</f>
        <v>PRIVADO</v>
      </c>
      <c r="E2488" s="261" t="str">
        <f>IFERROR(IF(VLOOKUP(A2488,[16]PRIORIZADOS!$A:$E,5,FALSE)="","",VLOOKUP(A2488,[16]PRIORIZADOS!$A:$E,5,FALSE)),"")</f>
        <v>EPBM</v>
      </c>
      <c r="F2488" s="261" t="str">
        <f>IFERROR(IF(VLOOKUP(A2488,[16]PRIORIZADOS!$A:$F,6,FALSE)="","",VLOOKUP(A2488,[16]PRIORIZADOS!$A:$F,6,FALSE)),"")</f>
        <v>GIMNASIO_COMERCIAL_LOS_ANDES</v>
      </c>
      <c r="G2488" s="261" t="str">
        <f>IFERROR(IF(VLOOKUP(A2488,[16]PRIORIZADOS!$A:$G,7,FALSE)="","",VLOOKUP(A2488,[16]PRIORIZADOS!$A:$G,7,FALSE)),"")</f>
        <v>GIMNASIO COMERCIAL LOS ANDES</v>
      </c>
      <c r="H2488" s="261" t="str">
        <f>IFERROR(IF(VLOOKUP(A2488,[16]PRIORIZADOS!$A:$H,8,FALSE)="","",VLOOKUP(A2488,[16]PRIORIZADOS!$A:$H,8,FALSE)),"")</f>
        <v>Autoevaluación Institucional y Pruebas SABER 11</v>
      </c>
      <c r="I2488" s="261" t="str">
        <f>IFERROR(IF(VLOOKUP(A2488,[16]PRIORIZADOS!$A:$I,9,FALSE)="","",VLOOKUP(A2488,[16]PRIORIZADOS!$A:$I,9,FALSE)),"")</f>
        <v>EVALUACIÓN_CON_FINES_DE_MEJORAMIENTO.</v>
      </c>
      <c r="J2488" s="261" t="str">
        <f>IFERROR(IF(VLOOKUP(A2488,[16]PRIORIZADOS!$A:$J,10,FALSE)="","",VLOOKUP(A2488,[16]PRIORIZADOS!$A:$J,10,FALSE)),"")</f>
        <v>Verificar el funcionamiento del Gobierno Escolar e instancias de participación con base en la información sobre conformación reportada por la institución educativa.</v>
      </c>
      <c r="K2488" s="261" t="str">
        <f>IFERROR(IF(VLOOKUP(A2488,[16]PRIORIZADOS!$A:$K,11,FALSE)="","",VLOOKUP(A2488,[16]PRIORIZADOS!$A:$K,11,FALSE)),"")</f>
        <v>CLAUDIA PATRICIA GRANADOS FLÓREZ</v>
      </c>
      <c r="L2488" s="261" t="str">
        <f>IFERROR(IF(VLOOKUP(A2488,[16]PRIORIZADOS!$A:$L,12,FALSE)="","",VLOOKUP(A2488,[16]PRIORIZADOS!$A:$L,12,FALSE)),"")</f>
        <v xml:space="preserve">SANDRA JAZMÍN BAQUERO CÓRDOBA
NELSON AUGUSTO CUBILLOS OLARTE
CLAUDIA PATRICIA GRANADOS FLÓREZ
</v>
      </c>
      <c r="M2488" s="262">
        <f>IFERROR(IF(VLOOKUP(A2488,[16]PRIORIZADOS!$A:$M,13,FALSE)="","",VLOOKUP(A2488,[16]PRIORIZADOS!$A:$M,13,FALSE)),"")</f>
        <v>45870</v>
      </c>
      <c r="N2488" s="262">
        <f>IFERROR(IF(VLOOKUP(A2488,[16]PRIORIZADOS!$A:$N,14,FALSE)="","",VLOOKUP(A2488,[16]PRIORIZADOS!$A:$N,14,FALSE)),"")</f>
        <v>45870</v>
      </c>
      <c r="O2488" s="262">
        <f>IFERROR(IF(VLOOKUP(A2488,[16]PRIORIZADOS!$A:$O,15,FALSE)="","",VLOOKUP(A2488,[16]PRIORIZADOS!$A:$O,15,FALSE)),"")</f>
        <v>45870</v>
      </c>
      <c r="P2488" s="261" t="str">
        <f>IFERROR(IF(VLOOKUP(A2488,[16]PRIORIZADOS!$A:$P,16,FALSE)="","",VLOOKUP(A2488,[16]PRIORIZADOS!$A:$P,16,FALSE)),"")</f>
        <v>Visitas de evaluación con fines de seguimiento</v>
      </c>
      <c r="Q2488" s="263" t="s">
        <v>490</v>
      </c>
      <c r="R2488" s="261" t="str">
        <f>IFERROR(IF(VLOOKUP(A2488,[16]PRIORIZADOS!$A:$R,18,FALSE)="","",VLOOKUP(A2488,[16]PRIORIZADOS!$A:$R,18,FALSE)),"")</f>
        <v>El colegio presenta las actas de cada una de las instancias donde se evidencia su funcionamiento años 2024 y 2025.</v>
      </c>
      <c r="S2488" s="261" t="str">
        <f>IFERROR(IF(VLOOKUP(A2488,[16]PRIORIZADOS!$A:$S,19,FALSE)="","",VLOOKUP(A2488,[16]PRIORIZADOS!$A:$S,19,FALSE)),"")</f>
        <v>La institución cumple con el funcionamiento del gobierno escolar.</v>
      </c>
      <c r="T2488" s="70" t="str">
        <f>IFERROR(IF(VLOOKUP(A2488,[16]PRIORIZADOS!$A:$T,20,FALSE)="","",VLOOKUP(A2488,[16]PRIORIZADOS!$A:$T,20,FALSE)),"")</f>
        <v>No</v>
      </c>
      <c r="U2488" s="11" t="str">
        <f>IFERROR(IF(VLOOKUP(A2488,[16]PRIORIZADOS!$A:$U,21,FALSE)="","",VLOOKUP(A2488,[16]PRIORIZADOS!$A:$U,21,FALSE)),"")</f>
        <v>Se verificará la conformación y funcionamiento en la siguiente vigencia o en caso de presentarse una queja</v>
      </c>
    </row>
    <row r="2489" spans="1:21" s="1" customFormat="1" ht="84">
      <c r="A2489" s="69">
        <f>IF([16]PRIORIZADOS!A78="","",[16]PRIORIZADOS!A78)</f>
        <v>2463</v>
      </c>
      <c r="B2489" s="70">
        <v>8</v>
      </c>
      <c r="C2489" s="261" t="str">
        <f>IFERROR(IF(VLOOKUP(A2489,[16]PRIORIZADOS!$A:$C,3,FALSE)="","",VLOOKUP(A2489,[16]PRIORIZADOS!$A:$C,3,FALSE)),"")</f>
        <v>TUNJUELITO</v>
      </c>
      <c r="D2489" s="261" t="str">
        <f>IFERROR(IF(VLOOKUP(A2489,[16]PRIORIZADOS!$A:$D,4,FALSE)="","",VLOOKUP(A2489,[16]PRIORIZADOS!$A:$D,4,FALSE)),"")</f>
        <v>PRIVADO</v>
      </c>
      <c r="E2489" s="261" t="str">
        <f>IFERROR(IF(VLOOKUP(A2489,[16]PRIORIZADOS!$A:$E,5,FALSE)="","",VLOOKUP(A2489,[16]PRIORIZADOS!$A:$E,5,FALSE)),"")</f>
        <v>EPBM</v>
      </c>
      <c r="F2489" s="261" t="str">
        <f>IFERROR(IF(VLOOKUP(A2489,[16]PRIORIZADOS!$A:$F,6,FALSE)="","",VLOOKUP(A2489,[16]PRIORIZADOS!$A:$F,6,FALSE)),"")</f>
        <v>GIMNASIO_COMERCIAL_LOS_ANDES</v>
      </c>
      <c r="G2489" s="261" t="str">
        <f>IFERROR(IF(VLOOKUP(A2489,[16]PRIORIZADOS!$A:$G,7,FALSE)="","",VLOOKUP(A2489,[16]PRIORIZADOS!$A:$G,7,FALSE)),"")</f>
        <v>GIMNASIO COMERCIAL LOS ANDES</v>
      </c>
      <c r="H2489" s="261" t="str">
        <f>IFERROR(IF(VLOOKUP(A2489,[16]PRIORIZADOS!$A:$H,8,FALSE)="","",VLOOKUP(A2489,[16]PRIORIZADOS!$A:$H,8,FALSE)),"")</f>
        <v>Autoevaluación Institucional y Pruebas SABER 11</v>
      </c>
      <c r="I2489" s="261" t="str">
        <f>IFERROR(IF(VLOOKUP(A2489,[16]PRIORIZADOS!$A:$I,9,FALSE)="","",VLOOKUP(A2489,[16]PRIORIZADOS!$A:$I,9,FALSE)),"")</f>
        <v>EVALUACIÓN_CON_FINES_DE_MEJORAMIENTO.</v>
      </c>
      <c r="J2489" s="261" t="str">
        <f>IFERROR(IF(VLOOKUP(A2489,[16]PRIORIZADOS!$A:$J,10,FALSE)="","",VLOOKUP(A2489,[16]PRIORIZADOS!$A:$J,10,FALSE)),"")</f>
        <v>Verificar las condiciones en cuanto a: la estructura administrativa, condiciones de la planta física y medios educativos adecuados.</v>
      </c>
      <c r="K2489" s="261" t="str">
        <f>IFERROR(IF(VLOOKUP(A2489,[16]PRIORIZADOS!$A:$K,11,FALSE)="","",VLOOKUP(A2489,[16]PRIORIZADOS!$A:$K,11,FALSE)),"")</f>
        <v>CLAUDIA PATRICIA GRANADOS FLÓREZ</v>
      </c>
      <c r="L2489" s="261" t="str">
        <f>IFERROR(IF(VLOOKUP(A2489,[16]PRIORIZADOS!$A:$L,12,FALSE)="","",VLOOKUP(A2489,[16]PRIORIZADOS!$A:$L,12,FALSE)),"")</f>
        <v xml:space="preserve">SANDRA JAZMÍN BAQUERO CÓRDOBA
NELSON AUGUSTO CUBILLOS OLARTE
CLAUDIA PATRICIA GRANADOS FLÓREZ
</v>
      </c>
      <c r="M2489" s="262">
        <f>IFERROR(IF(VLOOKUP(A2489,[16]PRIORIZADOS!$A:$M,13,FALSE)="","",VLOOKUP(A2489,[16]PRIORIZADOS!$A:$M,13,FALSE)),"")</f>
        <v>45870</v>
      </c>
      <c r="N2489" s="262">
        <f>IFERROR(IF(VLOOKUP(A2489,[16]PRIORIZADOS!$A:$N,14,FALSE)="","",VLOOKUP(A2489,[16]PRIORIZADOS!$A:$N,14,FALSE)),"")</f>
        <v>45870</v>
      </c>
      <c r="O2489" s="262">
        <f>IFERROR(IF(VLOOKUP(A2489,[16]PRIORIZADOS!$A:$O,15,FALSE)="","",VLOOKUP(A2489,[16]PRIORIZADOS!$A:$O,15,FALSE)),"")</f>
        <v>45870</v>
      </c>
      <c r="P2489" s="261" t="str">
        <f>IFERROR(IF(VLOOKUP(A2489,[16]PRIORIZADOS!$A:$P,16,FALSE)="","",VLOOKUP(A2489,[16]PRIORIZADOS!$A:$P,16,FALSE)),"")</f>
        <v>Visitas de evaluación con fines de seguimiento</v>
      </c>
      <c r="Q2489" s="263" t="s">
        <v>490</v>
      </c>
      <c r="R2489" s="261" t="str">
        <f>IFERROR(IF(VLOOKUP(A2489,[16]PRIORIZADOS!$A:$R,18,FALSE)="","",VLOOKUP(A2489,[16]PRIORIZADOS!$A:$R,18,FALSE)),"")</f>
        <v>Se evidencia carencia de espacios en la infraestructura como baño para poblacion con discapacidad, adecuar biblioteca</v>
      </c>
      <c r="S2489" s="261" t="str">
        <f>IFERROR(IF(VLOOKUP(A2489,[16]PRIORIZADOS!$A:$S,19,FALSE)="","",VLOOKUP(A2489,[16]PRIORIZADOS!$A:$S,19,FALSE)),"")</f>
        <v>Presentación del PMI 15 de septiembre de 2025</v>
      </c>
      <c r="T2489" s="70" t="str">
        <f>IFERROR(IF(VLOOKUP(A2489,[16]PRIORIZADOS!$A:$T,20,FALSE)="","",VLOOKUP(A2489,[16]PRIORIZADOS!$A:$T,20,FALSE)),"")</f>
        <v>Si</v>
      </c>
      <c r="U2489" s="11" t="str">
        <f>IFERROR(IF(VLOOKUP(A2489,[16]PRIORIZADOS!$A:$U,21,FALSE)="","",VLOOKUP(A2489,[16]PRIORIZADOS!$A:$U,21,FALSE)),"")</f>
        <v>Se revisara el plan de mejoramiento aportado para verificar su pertinencia y posterior seguimiento para su cumplimiento</v>
      </c>
    </row>
    <row r="2490" spans="1:21" s="1" customFormat="1" ht="84">
      <c r="A2490" s="69">
        <f>IF([16]PRIORIZADOS!A79="","",[16]PRIORIZADOS!A79)</f>
        <v>2464</v>
      </c>
      <c r="B2490" s="70">
        <f>IFERROR(IF(VLOOKUP(A2490,[16]PRIORIZADOS!$A:$B,2,FALSE)="","",VLOOKUP(A2490,[16]PRIORIZADOS!$A:$B,2,FALSE)),"")</f>
        <v>9</v>
      </c>
      <c r="C2490" s="261" t="str">
        <f>IFERROR(IF(VLOOKUP(A2490,[16]PRIORIZADOS!$A:$C,3,FALSE)="","",VLOOKUP(A2490,[16]PRIORIZADOS!$A:$C,3,FALSE)),"")</f>
        <v>TUNJUELITO</v>
      </c>
      <c r="D2490" s="261" t="str">
        <f>IFERROR(IF(VLOOKUP(A2490,[16]PRIORIZADOS!$A:$D,4,FALSE)="","",VLOOKUP(A2490,[16]PRIORIZADOS!$A:$D,4,FALSE)),"")</f>
        <v>PRIVADO</v>
      </c>
      <c r="E2490" s="261" t="str">
        <f>IFERROR(IF(VLOOKUP(A2490,[16]PRIORIZADOS!$A:$E,5,FALSE)="","",VLOOKUP(A2490,[16]PRIORIZADOS!$A:$E,5,FALSE)),"")</f>
        <v>EPBM</v>
      </c>
      <c r="F2490" s="261" t="str">
        <f>IFERROR(IF(VLOOKUP(A2490,[16]PRIORIZADOS!$A:$F,6,FALSE)="","",VLOOKUP(A2490,[16]PRIORIZADOS!$A:$F,6,FALSE)),"")</f>
        <v>POLITECNICA_COLOMBIANA</v>
      </c>
      <c r="G2490" s="261" t="str">
        <f>IFERROR(IF(VLOOKUP(A2490,[16]PRIORIZADOS!$A:$G,7,FALSE)="","",VLOOKUP(A2490,[16]PRIORIZADOS!$A:$G,7,FALSE)),"")</f>
        <v>POLITECNICA COLOMBIANA</v>
      </c>
      <c r="H2490" s="261" t="str">
        <f>IFERROR(IF(VLOOKUP(A2490,[16]PRIORIZADOS!$A:$H,8,FALSE)="","",VLOOKUP(A2490,[16]PRIORIZADOS!$A:$H,8,FALSE)),"")</f>
        <v>Autoevaluación Institucional y Pruebas SABER 11</v>
      </c>
      <c r="I2490" s="261" t="str">
        <f>IFERROR(IF(VLOOKUP(A2490,[16]PRIORIZADOS!$A:$I,9,FALSE)="","",VLOOKUP(A2490,[16]PRIORIZADOS!$A:$I,9,FALSE)),"")</f>
        <v>SEGUIMIENTO_Y_SUPERVISIÓN.</v>
      </c>
      <c r="J2490" s="261" t="str">
        <f>IFERROR(IF(VLOOKUP(A2490,[16]PRIORIZADOS!$A:$J,10,FALSE)="","",VLOOKUP(A2490,[16]PRIORIZADOS!$A:$J,10,FALSE)),"")</f>
        <v>Realizar visitas para verificar la información registrada sobre la autoevaluación institucional en el aplicativo EVI, a los establecimientos de educación formal no oficial.</v>
      </c>
      <c r="K2490" s="261" t="str">
        <f>IFERROR(IF(VLOOKUP(A2490,[16]PRIORIZADOS!$A:$K,11,FALSE)="","",VLOOKUP(A2490,[16]PRIORIZADOS!$A:$K,11,FALSE)),"")</f>
        <v>SANDRA JAZMÍN BAQUERO CÓRDOBA</v>
      </c>
      <c r="L2490" s="261" t="str">
        <f>IFERROR(IF(VLOOKUP(A2490,[16]PRIORIZADOS!$A:$L,12,FALSE)="","",VLOOKUP(A2490,[16]PRIORIZADOS!$A:$L,12,FALSE)),"")</f>
        <v xml:space="preserve">SANDRA JAZMÍN BAQUERO CÓRDOBA
NELSON AUGUSTO CUBILLOS OLARTE
CLAUDIA PATRICIA GRANADOS FLÓREZ
</v>
      </c>
      <c r="M2490" s="262">
        <f>IFERROR(IF(VLOOKUP(A2490,[16]PRIORIZADOS!$A:$M,13,FALSE)="","",VLOOKUP(A2490,[16]PRIORIZADOS!$A:$M,13,FALSE)),"")</f>
        <v>45863</v>
      </c>
      <c r="N2490" s="262">
        <f>IFERROR(IF(VLOOKUP(A2490,[16]PRIORIZADOS!$A:$N,14,FALSE)="","",VLOOKUP(A2490,[16]PRIORIZADOS!$A:$N,14,FALSE)),"")</f>
        <v>45742</v>
      </c>
      <c r="O2490" s="262" t="str">
        <f>IFERROR(IF(VLOOKUP(A2490,[16]PRIORIZADOS!$A:$O,15,FALSE)="","",VLOOKUP(A2490,[16]PRIORIZADOS!$A:$O,15,FALSE)),"")</f>
        <v>26/3/2025</v>
      </c>
      <c r="P2490" s="261" t="str">
        <f>IFERROR(IF(VLOOKUP(A2490,[16]PRIORIZADOS!$A:$P,16,FALSE)="","",VLOOKUP(A2490,[16]PRIORIZADOS!$A:$P,16,FALSE)),"")</f>
        <v>Visitas de evaluación con fines de seguimiento</v>
      </c>
      <c r="Q2490" s="138" t="s">
        <v>491</v>
      </c>
      <c r="R2490" s="261" t="str">
        <f>IFERROR(IF(VLOOKUP(A2490,[16]PRIORIZADOS!$A:$R,18,FALSE)="","",VLOOKUP(A2490,[16]PRIORIZADOS!$A:$R,18,FALSE)),"")</f>
        <v>El establecimiento maneja contratos de prestación de servicio o por hora cátedra</v>
      </c>
      <c r="S2490" s="261" t="str">
        <f>IFERROR(IF(VLOOKUP(A2490,[16]PRIORIZADOS!$A:$S,19,FALSE)="","",VLOOKUP(A2490,[16]PRIORIZADOS!$A:$S,19,FALSE)),"")</f>
        <v>Se recomendó revisar el número de horas de cada uno de los docentes con el fin cumplir con la legislación laboral</v>
      </c>
      <c r="T2490" s="70" t="str">
        <f>IFERROR(IF(VLOOKUP(A2490,[16]PRIORIZADOS!$A:$T,20,FALSE)="","",VLOOKUP(A2490,[16]PRIORIZADOS!$A:$T,20,FALSE)),"")</f>
        <v>Si</v>
      </c>
      <c r="U2490" s="11" t="str">
        <f>IFERROR(IF(VLOOKUP(A2490,[16]PRIORIZADOS!$A:$U,21,FALSE)="","",VLOOKUP(A2490,[16]PRIORIZADOS!$A:$U,21,FALSE)),"")</f>
        <v>Presentó plan de mejoramiento y el 28 de julio se realizó el primer seguimiento. Se generaron observaciones.</v>
      </c>
    </row>
    <row r="2491" spans="1:21" s="1" customFormat="1" ht="84">
      <c r="A2491" s="69">
        <f>IF([16]PRIORIZADOS!A80="","",[16]PRIORIZADOS!A80)</f>
        <v>2465</v>
      </c>
      <c r="B2491" s="70">
        <v>9</v>
      </c>
      <c r="C2491" s="261" t="str">
        <f>IFERROR(IF(VLOOKUP(A2491,[16]PRIORIZADOS!$A:$C,3,FALSE)="","",VLOOKUP(A2491,[16]PRIORIZADOS!$A:$C,3,FALSE)),"")</f>
        <v>TUNJUELITO</v>
      </c>
      <c r="D2491" s="261" t="str">
        <f>IFERROR(IF(VLOOKUP(A2491,[16]PRIORIZADOS!$A:$D,4,FALSE)="","",VLOOKUP(A2491,[16]PRIORIZADOS!$A:$D,4,FALSE)),"")</f>
        <v>PRIVADO</v>
      </c>
      <c r="E2491" s="261" t="str">
        <f>IFERROR(IF(VLOOKUP(A2491,[16]PRIORIZADOS!$A:$E,5,FALSE)="","",VLOOKUP(A2491,[16]PRIORIZADOS!$A:$E,5,FALSE)),"")</f>
        <v>EPBM</v>
      </c>
      <c r="F2491" s="261" t="str">
        <f>IFERROR(IF(VLOOKUP(A2491,[16]PRIORIZADOS!$A:$F,6,FALSE)="","",VLOOKUP(A2491,[16]PRIORIZADOS!$A:$F,6,FALSE)),"")</f>
        <v>POLITECNICA_COLOMBIANA</v>
      </c>
      <c r="G2491" s="261" t="str">
        <f>IFERROR(IF(VLOOKUP(A2491,[16]PRIORIZADOS!$A:$G,7,FALSE)="","",VLOOKUP(A2491,[16]PRIORIZADOS!$A:$G,7,FALSE)),"")</f>
        <v>POLITECNICA COLOMBIANA</v>
      </c>
      <c r="H2491" s="261" t="str">
        <f>IFERROR(IF(VLOOKUP(A2491,[16]PRIORIZADOS!$A:$H,8,FALSE)="","",VLOOKUP(A2491,[16]PRIORIZADOS!$A:$H,8,FALSE)),"")</f>
        <v>Autoevaluación Institucional y Pruebas SABER 11</v>
      </c>
      <c r="I2491" s="261" t="str">
        <f>IFERROR(IF(VLOOKUP(A2491,[16]PRIORIZADOS!$A:$I,9,FALSE)="","",VLOOKUP(A2491,[16]PRIORIZADOS!$A:$I,9,FALSE)),"")</f>
        <v>SEGUIMIENTO_Y_SUPERVISIÓN.</v>
      </c>
      <c r="J2491" s="261" t="str">
        <f>IFERROR(IF(VLOOKUP(A2491,[16]PRIORIZADOS!$A:$J,10,FALSE)="","",VLOOKUP(A2491,[16]PRIORIZADOS!$A:$J,10,FALSE)),"")</f>
        <v>Proponer estrategias en la formulación, verificar su elaboración y realizar seguimiento semestral al desarrollo de  las acciones establecidas en los planes de mejoramiento por pruebas SABER 11 de los establecimientos de educación formal.</v>
      </c>
      <c r="K2491" s="261" t="str">
        <f>IFERROR(IF(VLOOKUP(A2491,[16]PRIORIZADOS!$A:$K,11,FALSE)="","",VLOOKUP(A2491,[16]PRIORIZADOS!$A:$K,11,FALSE)),"")</f>
        <v>SANDRA JAZMÍN BAQUERO CÓRDOBA</v>
      </c>
      <c r="L2491" s="261" t="str">
        <f>IFERROR(IF(VLOOKUP(A2491,[16]PRIORIZADOS!$A:$L,12,FALSE)="","",VLOOKUP(A2491,[16]PRIORIZADOS!$A:$L,12,FALSE)),"")</f>
        <v xml:space="preserve">SANDRA JAZMÍN BAQUERO CÓRDOBA
NELSON AUGUSTO CUBILLOS OLARTE
CLAUDIA PATRICIA GRANADOS FLÓREZ
</v>
      </c>
      <c r="M2491" s="262">
        <f>IFERROR(IF(VLOOKUP(A2491,[16]PRIORIZADOS!$A:$M,13,FALSE)="","",VLOOKUP(A2491,[16]PRIORIZADOS!$A:$M,13,FALSE)),"")</f>
        <v>45863</v>
      </c>
      <c r="N2491" s="262">
        <f>IFERROR(IF(VLOOKUP(A2491,[16]PRIORIZADOS!$A:$N,14,FALSE)="","",VLOOKUP(A2491,[16]PRIORIZADOS!$A:$N,14,FALSE)),"")</f>
        <v>45742</v>
      </c>
      <c r="O2491" s="262" t="str">
        <f>IFERROR(IF(VLOOKUP(A2491,[16]PRIORIZADOS!$A:$O,15,FALSE)="","",VLOOKUP(A2491,[16]PRIORIZADOS!$A:$O,15,FALSE)),"")</f>
        <v>26/3/2025</v>
      </c>
      <c r="P2491" s="261" t="str">
        <f>IFERROR(IF(VLOOKUP(A2491,[16]PRIORIZADOS!$A:$P,16,FALSE)="","",VLOOKUP(A2491,[16]PRIORIZADOS!$A:$P,16,FALSE)),"")</f>
        <v>Visitas de evaluación con fines de seguimiento</v>
      </c>
      <c r="Q2491" s="138" t="s">
        <v>491</v>
      </c>
      <c r="R2491" s="261" t="str">
        <f>IFERROR(IF(VLOOKUP(A2491,[16]PRIORIZADOS!$A:$R,18,FALSE)="","",VLOOKUP(A2491,[16]PRIORIZADOS!$A:$R,18,FALSE)),"")</f>
        <v>El establecimiento no realiza seguimiento a los resultados de las pruebas saber</v>
      </c>
      <c r="S2491" s="261" t="str">
        <f>IFERROR(IF(VLOOKUP(A2491,[16]PRIORIZADOS!$A:$S,19,FALSE)="","",VLOOKUP(A2491,[16]PRIORIZADOS!$A:$S,19,FALSE)),"")</f>
        <v xml:space="preserve">Se recomendó realizar el respectivo seguimiento y realizar un plan de mejora </v>
      </c>
      <c r="T2491" s="70" t="str">
        <f>IFERROR(IF(VLOOKUP(A2491,[16]PRIORIZADOS!$A:$T,20,FALSE)="","",VLOOKUP(A2491,[16]PRIORIZADOS!$A:$T,20,FALSE)),"")</f>
        <v>Si</v>
      </c>
      <c r="U2491" s="11" t="str">
        <f>IFERROR(IF(VLOOKUP(A2491,[16]PRIORIZADOS!$A:$U,21,FALSE)="","",VLOOKUP(A2491,[16]PRIORIZADOS!$A:$U,21,FALSE)),"")</f>
        <v>Presentó plan de mejoramiento y el 28 de julio se realizó el primer seguimiento. Se generaron observaciones.</v>
      </c>
    </row>
    <row r="2492" spans="1:21" s="1" customFormat="1" ht="84">
      <c r="A2492" s="69">
        <f>IF([16]PRIORIZADOS!A81="","",[16]PRIORIZADOS!A81)</f>
        <v>2466</v>
      </c>
      <c r="B2492" s="70">
        <v>9</v>
      </c>
      <c r="C2492" s="261" t="str">
        <f>IFERROR(IF(VLOOKUP(A2492,[16]PRIORIZADOS!$A:$C,3,FALSE)="","",VLOOKUP(A2492,[16]PRIORIZADOS!$A:$C,3,FALSE)),"")</f>
        <v>TUNJUELITO</v>
      </c>
      <c r="D2492" s="261" t="str">
        <f>IFERROR(IF(VLOOKUP(A2492,[16]PRIORIZADOS!$A:$D,4,FALSE)="","",VLOOKUP(A2492,[16]PRIORIZADOS!$A:$D,4,FALSE)),"")</f>
        <v>PRIVADO</v>
      </c>
      <c r="E2492" s="261" t="str">
        <f>IFERROR(IF(VLOOKUP(A2492,[16]PRIORIZADOS!$A:$E,5,FALSE)="","",VLOOKUP(A2492,[16]PRIORIZADOS!$A:$E,5,FALSE)),"")</f>
        <v>EPBM</v>
      </c>
      <c r="F2492" s="261" t="str">
        <f>IFERROR(IF(VLOOKUP(A2492,[16]PRIORIZADOS!$A:$F,6,FALSE)="","",VLOOKUP(A2492,[16]PRIORIZADOS!$A:$F,6,FALSE)),"")</f>
        <v>POLITECNICA_COLOMBIANA</v>
      </c>
      <c r="G2492" s="261" t="str">
        <f>IFERROR(IF(VLOOKUP(A2492,[16]PRIORIZADOS!$A:$G,7,FALSE)="","",VLOOKUP(A2492,[16]PRIORIZADOS!$A:$G,7,FALSE)),"")</f>
        <v>POLITECNICA COLOMBIANA</v>
      </c>
      <c r="H2492" s="261" t="str">
        <f>IFERROR(IF(VLOOKUP(A2492,[16]PRIORIZADOS!$A:$H,8,FALSE)="","",VLOOKUP(A2492,[16]PRIORIZADOS!$A:$H,8,FALSE)),"")</f>
        <v>Autoevaluación Institucional y Pruebas SABER 11</v>
      </c>
      <c r="I2492" s="261" t="str">
        <f>IFERROR(IF(VLOOKUP(A2492,[16]PRIORIZADOS!$A:$I,9,FALSE)="","",VLOOKUP(A2492,[16]PRIORIZADOS!$A:$I,9,FALSE)),"")</f>
        <v>SEGUIMIENTO_Y_SUPERVISIÓN.</v>
      </c>
      <c r="J2492" s="261" t="str">
        <f>IFERROR(IF(VLOOKUP(A2492,[16]PRIORIZADOS!$A:$J,10,FALSE)="","",VLOOKUP(A2492,[16]PRIORIZADOS!$A:$J,10,FALSE)),"")</f>
        <v xml:space="preserve">Verificar la implementación por parte de los colegios, de acciones realizadas para la prevención y atención de las situaciones de convivencia en el entorno escolar, según lo establecido en la Directiva 01 de 2022 del MEN. </v>
      </c>
      <c r="K2492" s="261" t="str">
        <f>IFERROR(IF(VLOOKUP(A2492,[16]PRIORIZADOS!$A:$K,11,FALSE)="","",VLOOKUP(A2492,[16]PRIORIZADOS!$A:$K,11,FALSE)),"")</f>
        <v>SANDRA JAZMÍN BAQUERO CÓRDOBA</v>
      </c>
      <c r="L2492" s="261" t="str">
        <f>IFERROR(IF(VLOOKUP(A2492,[16]PRIORIZADOS!$A:$L,12,FALSE)="","",VLOOKUP(A2492,[16]PRIORIZADOS!$A:$L,12,FALSE)),"")</f>
        <v xml:space="preserve">SANDRA JAZMÍN BAQUERO CÓRDOBA
NELSON AUGUSTO CUBILLOS OLARTE
CLAUDIA PATRICIA GRANADOS FLÓREZ
</v>
      </c>
      <c r="M2492" s="262">
        <f>IFERROR(IF(VLOOKUP(A2492,[16]PRIORIZADOS!$A:$M,13,FALSE)="","",VLOOKUP(A2492,[16]PRIORIZADOS!$A:$M,13,FALSE)),"")</f>
        <v>45863</v>
      </c>
      <c r="N2492" s="262">
        <f>IFERROR(IF(VLOOKUP(A2492,[16]PRIORIZADOS!$A:$N,14,FALSE)="","",VLOOKUP(A2492,[16]PRIORIZADOS!$A:$N,14,FALSE)),"")</f>
        <v>45742</v>
      </c>
      <c r="O2492" s="262" t="str">
        <f>IFERROR(IF(VLOOKUP(A2492,[16]PRIORIZADOS!$A:$O,15,FALSE)="","",VLOOKUP(A2492,[16]PRIORIZADOS!$A:$O,15,FALSE)),"")</f>
        <v>26/3/2025</v>
      </c>
      <c r="P2492" s="261" t="str">
        <f>IFERROR(IF(VLOOKUP(A2492,[16]PRIORIZADOS!$A:$P,16,FALSE)="","",VLOOKUP(A2492,[16]PRIORIZADOS!$A:$P,16,FALSE)),"")</f>
        <v>Visitas de evaluación con fines de seguimiento</v>
      </c>
      <c r="Q2492" s="138" t="s">
        <v>491</v>
      </c>
      <c r="R2492" s="261" t="str">
        <f>IFERROR(IF(VLOOKUP(A2492,[16]PRIORIZADOS!$A:$R,18,FALSE)="","",VLOOKUP(A2492,[16]PRIORIZADOS!$A:$R,18,FALSE)),"")</f>
        <v>El establecimiento sólo realiza la verificación al momento de suscribir el contrato con el docente</v>
      </c>
      <c r="S2492" s="261" t="str">
        <f>IFERROR(IF(VLOOKUP(A2492,[16]PRIORIZADOS!$A:$S,19,FALSE)="","",VLOOKUP(A2492,[16]PRIORIZADOS!$A:$S,19,FALSE)),"")</f>
        <v xml:space="preserve">Se recomendó la revisión de antecedentes cada 4 meses </v>
      </c>
      <c r="T2492" s="70" t="str">
        <f>IFERROR(IF(VLOOKUP(A2492,[16]PRIORIZADOS!$A:$T,20,FALSE)="","",VLOOKUP(A2492,[16]PRIORIZADOS!$A:$T,20,FALSE)),"")</f>
        <v>Si</v>
      </c>
      <c r="U2492" s="11" t="str">
        <f>IFERROR(IF(VLOOKUP(A2492,[16]PRIORIZADOS!$A:$U,21,FALSE)="","",VLOOKUP(A2492,[16]PRIORIZADOS!$A:$U,21,FALSE)),"")</f>
        <v>Presentó plan de mejoramiento y el 28 de julio se realizó el primer seguimiento. Se generaron observaciones.</v>
      </c>
    </row>
    <row r="2493" spans="1:21" s="1" customFormat="1" ht="84">
      <c r="A2493" s="69">
        <f>IF([16]PRIORIZADOS!A82="","",[16]PRIORIZADOS!A82)</f>
        <v>2467</v>
      </c>
      <c r="B2493" s="70">
        <v>9</v>
      </c>
      <c r="C2493" s="261" t="str">
        <f>IFERROR(IF(VLOOKUP(A2493,[16]PRIORIZADOS!$A:$C,3,FALSE)="","",VLOOKUP(A2493,[16]PRIORIZADOS!$A:$C,3,FALSE)),"")</f>
        <v>TUNJUELITO</v>
      </c>
      <c r="D2493" s="261" t="str">
        <f>IFERROR(IF(VLOOKUP(A2493,[16]PRIORIZADOS!$A:$D,4,FALSE)="","",VLOOKUP(A2493,[16]PRIORIZADOS!$A:$D,4,FALSE)),"")</f>
        <v>PRIVADO</v>
      </c>
      <c r="E2493" s="261" t="str">
        <f>IFERROR(IF(VLOOKUP(A2493,[16]PRIORIZADOS!$A:$E,5,FALSE)="","",VLOOKUP(A2493,[16]PRIORIZADOS!$A:$E,5,FALSE)),"")</f>
        <v>EPBM</v>
      </c>
      <c r="F2493" s="261" t="str">
        <f>IFERROR(IF(VLOOKUP(A2493,[16]PRIORIZADOS!$A:$F,6,FALSE)="","",VLOOKUP(A2493,[16]PRIORIZADOS!$A:$F,6,FALSE)),"")</f>
        <v>POLITECNICA_COLOMBIANA</v>
      </c>
      <c r="G2493" s="261" t="str">
        <f>IFERROR(IF(VLOOKUP(A2493,[16]PRIORIZADOS!$A:$G,7,FALSE)="","",VLOOKUP(A2493,[16]PRIORIZADOS!$A:$G,7,FALSE)),"")</f>
        <v>POLITECNICA COLOMBIANA</v>
      </c>
      <c r="H2493" s="261" t="str">
        <f>IFERROR(IF(VLOOKUP(A2493,[16]PRIORIZADOS!$A:$H,8,FALSE)="","",VLOOKUP(A2493,[16]PRIORIZADOS!$A:$H,8,FALSE)),"")</f>
        <v>Autoevaluación Institucional y Pruebas SABER 11</v>
      </c>
      <c r="I2493" s="261" t="str">
        <f>IFERROR(IF(VLOOKUP(A2493,[16]PRIORIZADOS!$A:$I,9,FALSE)="","",VLOOKUP(A2493,[16]PRIORIZADOS!$A:$I,9,FALSE)),"")</f>
        <v>SEGUIMIENTO_Y_SUPERVISIÓN.</v>
      </c>
      <c r="J2493" s="261" t="str">
        <f>IFERROR(IF(VLOOKUP(A2493,[16]PRIORIZADOS!$A:$J,10,FALSE)="","",VLOOKUP(A2493,[16]PRIORIZADOS!$A:$J,10,FALSE)),"")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493" s="261" t="str">
        <f>IFERROR(IF(VLOOKUP(A2493,[16]PRIORIZADOS!$A:$K,11,FALSE)="","",VLOOKUP(A2493,[16]PRIORIZADOS!$A:$K,11,FALSE)),"")</f>
        <v>SANDRA JAZMÍN BAQUERO CÓRDOBA</v>
      </c>
      <c r="L2493" s="261" t="str">
        <f>IFERROR(IF(VLOOKUP(A2493,[16]PRIORIZADOS!$A:$L,12,FALSE)="","",VLOOKUP(A2493,[16]PRIORIZADOS!$A:$L,12,FALSE)),"")</f>
        <v xml:space="preserve">SANDRA JAZMÍN BAQUERO CÓRDOBA
NELSON AUGUSTO CUBILLOS OLARTE
CLAUDIA PATRICIA GRANADOS FLÓREZ
</v>
      </c>
      <c r="M2493" s="262">
        <f>IFERROR(IF(VLOOKUP(A2493,[16]PRIORIZADOS!$A:$M,13,FALSE)="","",VLOOKUP(A2493,[16]PRIORIZADOS!$A:$M,13,FALSE)),"")</f>
        <v>45863</v>
      </c>
      <c r="N2493" s="262">
        <f>IFERROR(IF(VLOOKUP(A2493,[16]PRIORIZADOS!$A:$N,14,FALSE)="","",VLOOKUP(A2493,[16]PRIORIZADOS!$A:$N,14,FALSE)),"")</f>
        <v>45742</v>
      </c>
      <c r="O2493" s="262" t="str">
        <f>IFERROR(IF(VLOOKUP(A2493,[16]PRIORIZADOS!$A:$O,15,FALSE)="","",VLOOKUP(A2493,[16]PRIORIZADOS!$A:$O,15,FALSE)),"")</f>
        <v>26/3/2025</v>
      </c>
      <c r="P2493" s="261" t="str">
        <f>IFERROR(IF(VLOOKUP(A2493,[16]PRIORIZADOS!$A:$P,16,FALSE)="","",VLOOKUP(A2493,[16]PRIORIZADOS!$A:$P,16,FALSE)),"")</f>
        <v>Visitas de evaluación con fines de seguimiento</v>
      </c>
      <c r="Q2493" s="4" t="s">
        <v>491</v>
      </c>
      <c r="R2493" s="261" t="str">
        <f>IFERROR(IF(VLOOKUP(A2493,[16]PRIORIZADOS!$A:$R,18,FALSE)="","",VLOOKUP(A2493,[16]PRIORIZADOS!$A:$R,18,FALSE)),"")</f>
        <v>El establecimiento cumple con la implementacion de los PIAR</v>
      </c>
      <c r="S2493" s="261" t="str">
        <f>IFERROR(IF(VLOOKUP(A2493,[16]PRIORIZADOS!$A:$S,19,FALSE)="","",VLOOKUP(A2493,[16]PRIORIZADOS!$A:$S,19,FALSE)),"")</f>
        <v>El establecimiento debe generar los PIAR de acuerdo al Decreto 1421 de 2017</v>
      </c>
      <c r="T2493" s="70" t="str">
        <f>IFERROR(IF(VLOOKUP(A2493,[16]PRIORIZADOS!$A:$T,20,FALSE)="","",VLOOKUP(A2493,[16]PRIORIZADOS!$A:$T,20,FALSE)),"")</f>
        <v>No</v>
      </c>
      <c r="U2493" s="11" t="str">
        <f>IFERROR(IF(VLOOKUP(A2493,[16]PRIORIZADOS!$A:$U,21,FALSE)="","",VLOOKUP(A2493,[16]PRIORIZADOS!$A:$U,21,FALSE)),"")</f>
        <v>Se hará seguimiento en reunión y/o visita</v>
      </c>
    </row>
    <row r="2494" spans="1:21" s="1" customFormat="1" ht="84">
      <c r="A2494" s="69">
        <f>IF([16]PRIORIZADOS!A83="","",[16]PRIORIZADOS!A83)</f>
        <v>2468</v>
      </c>
      <c r="B2494" s="70">
        <v>9</v>
      </c>
      <c r="C2494" s="261" t="str">
        <f>IFERROR(IF(VLOOKUP(A2494,[16]PRIORIZADOS!$A:$C,3,FALSE)="","",VLOOKUP(A2494,[16]PRIORIZADOS!$A:$C,3,FALSE)),"")</f>
        <v>TUNJUELITO</v>
      </c>
      <c r="D2494" s="261" t="str">
        <f>IFERROR(IF(VLOOKUP(A2494,[16]PRIORIZADOS!$A:$D,4,FALSE)="","",VLOOKUP(A2494,[16]PRIORIZADOS!$A:$D,4,FALSE)),"")</f>
        <v>PRIVADO</v>
      </c>
      <c r="E2494" s="261" t="str">
        <f>IFERROR(IF(VLOOKUP(A2494,[16]PRIORIZADOS!$A:$E,5,FALSE)="","",VLOOKUP(A2494,[16]PRIORIZADOS!$A:$E,5,FALSE)),"")</f>
        <v>EPBM</v>
      </c>
      <c r="F2494" s="261" t="str">
        <f>IFERROR(IF(VLOOKUP(A2494,[16]PRIORIZADOS!$A:$F,6,FALSE)="","",VLOOKUP(A2494,[16]PRIORIZADOS!$A:$F,6,FALSE)),"")</f>
        <v>POLITECNICA_COLOMBIANA</v>
      </c>
      <c r="G2494" s="261" t="str">
        <f>IFERROR(IF(VLOOKUP(A2494,[16]PRIORIZADOS!$A:$G,7,FALSE)="","",VLOOKUP(A2494,[16]PRIORIZADOS!$A:$G,7,FALSE)),"")</f>
        <v>POLITECNICA COLOMBIANA</v>
      </c>
      <c r="H2494" s="261" t="str">
        <f>IFERROR(IF(VLOOKUP(A2494,[16]PRIORIZADOS!$A:$H,8,FALSE)="","",VLOOKUP(A2494,[16]PRIORIZADOS!$A:$H,8,FALSE)),"")</f>
        <v>Autoevaluación Institucional y Pruebas SABER 11</v>
      </c>
      <c r="I2494" s="261" t="str">
        <f>IFERROR(IF(VLOOKUP(A2494,[16]PRIORIZADOS!$A:$I,9,FALSE)="","",VLOOKUP(A2494,[16]PRIORIZADOS!$A:$I,9,FALSE)),"")</f>
        <v>EVALUACIÓN_CON_FINES_DE_MEJORAMIENTO.</v>
      </c>
      <c r="J2494" s="261" t="str">
        <f>IFERROR(IF(VLOOKUP(A2494,[16]PRIORIZADOS!$A:$J,10,FALSE)="","",VLOOKUP(A2494,[16]PRIORIZADOS!$A:$J,10,FALSE)),"")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494" s="261" t="str">
        <f>IFERROR(IF(VLOOKUP(A2494,[16]PRIORIZADOS!$A:$K,11,FALSE)="","",VLOOKUP(A2494,[16]PRIORIZADOS!$A:$K,11,FALSE)),"")</f>
        <v>SANDRA JAZMÍN BAQUERO CÓRDOBA</v>
      </c>
      <c r="L2494" s="261" t="str">
        <f>IFERROR(IF(VLOOKUP(A2494,[16]PRIORIZADOS!$A:$L,12,FALSE)="","",VLOOKUP(A2494,[16]PRIORIZADOS!$A:$L,12,FALSE)),"")</f>
        <v xml:space="preserve">SANDRA JAZMÍN BAQUERO CÓRDOBA
NELSON AUGUSTO CUBILLOS OLARTE
CLAUDIA PATRICIA GRANADOS FLÓREZ
</v>
      </c>
      <c r="M2494" s="262">
        <f>IFERROR(IF(VLOOKUP(A2494,[16]PRIORIZADOS!$A:$M,13,FALSE)="","",VLOOKUP(A2494,[16]PRIORIZADOS!$A:$M,13,FALSE)),"")</f>
        <v>45863</v>
      </c>
      <c r="N2494" s="262">
        <f>IFERROR(IF(VLOOKUP(A2494,[16]PRIORIZADOS!$A:$N,14,FALSE)="","",VLOOKUP(A2494,[16]PRIORIZADOS!$A:$N,14,FALSE)),"")</f>
        <v>45742</v>
      </c>
      <c r="O2494" s="262" t="str">
        <f>IFERROR(IF(VLOOKUP(A2494,[16]PRIORIZADOS!$A:$O,15,FALSE)="","",VLOOKUP(A2494,[16]PRIORIZADOS!$A:$O,15,FALSE)),"")</f>
        <v>26/3/2025</v>
      </c>
      <c r="P2494" s="261" t="str">
        <f>IFERROR(IF(VLOOKUP(A2494,[16]PRIORIZADOS!$A:$P,16,FALSE)="","",VLOOKUP(A2494,[16]PRIORIZADOS!$A:$P,16,FALSE)),"")</f>
        <v>Visitas de evaluación con fines de mejoramiento</v>
      </c>
      <c r="Q2494" s="138" t="s">
        <v>492</v>
      </c>
      <c r="R2494" s="261" t="str">
        <f>IFERROR(IF(VLOOKUP(A2494,[16]PRIORIZADOS!$A:$R,18,FALSE)="","",VLOOKUP(A2494,[16]PRIORIZADOS!$A:$R,18,FALSE)),"")</f>
        <v xml:space="preserve">El Manual de Convivencia está fusionado para dos establecimientos educativos, no cumple </v>
      </c>
      <c r="S2494" s="261" t="str">
        <f>IFERROR(IF(VLOOKUP(A2494,[16]PRIORIZADOS!$A:$S,19,FALSE)="","",VLOOKUP(A2494,[16]PRIORIZADOS!$A:$S,19,FALSE)),"")</f>
        <v>El establecimiento educativo debe realizar los ajustes solicitados al manual de conviencia y presentar una propuesta para revisión</v>
      </c>
      <c r="T2494" s="70" t="str">
        <f>IFERROR(IF(VLOOKUP(A2494,[16]PRIORIZADOS!$A:$T,20,FALSE)="","",VLOOKUP(A2494,[16]PRIORIZADOS!$A:$T,20,FALSE)),"")</f>
        <v>SI</v>
      </c>
      <c r="U2494" s="11" t="str">
        <f>IFERROR(IF(VLOOKUP(A2494,[16]PRIORIZADOS!$A:$U,21,FALSE)="","",VLOOKUP(A2494,[16]PRIORIZADOS!$A:$U,21,FALSE)),"")</f>
        <v>Presentó plan de mejoramiento y el 28 de julio se realizó el primer seguimiento. Se generaron observaciones.</v>
      </c>
    </row>
    <row r="2495" spans="1:21" s="1" customFormat="1" ht="84">
      <c r="A2495" s="69">
        <f>IF([16]PRIORIZADOS!A84="","",[16]PRIORIZADOS!A84)</f>
        <v>2469</v>
      </c>
      <c r="B2495" s="70">
        <v>9</v>
      </c>
      <c r="C2495" s="261" t="str">
        <f>IFERROR(IF(VLOOKUP(A2495,[16]PRIORIZADOS!$A:$C,3,FALSE)="","",VLOOKUP(A2495,[16]PRIORIZADOS!$A:$C,3,FALSE)),"")</f>
        <v>TUNJUELITO</v>
      </c>
      <c r="D2495" s="261" t="str">
        <f>IFERROR(IF(VLOOKUP(A2495,[16]PRIORIZADOS!$A:$D,4,FALSE)="","",VLOOKUP(A2495,[16]PRIORIZADOS!$A:$D,4,FALSE)),"")</f>
        <v>PRIVADO</v>
      </c>
      <c r="E2495" s="261" t="str">
        <f>IFERROR(IF(VLOOKUP(A2495,[16]PRIORIZADOS!$A:$E,5,FALSE)="","",VLOOKUP(A2495,[16]PRIORIZADOS!$A:$E,5,FALSE)),"")</f>
        <v>EPBM</v>
      </c>
      <c r="F2495" s="261" t="str">
        <f>IFERROR(IF(VLOOKUP(A2495,[16]PRIORIZADOS!$A:$F,6,FALSE)="","",VLOOKUP(A2495,[16]PRIORIZADOS!$A:$F,6,FALSE)),"")</f>
        <v>POLITECNICA_COLOMBIANA</v>
      </c>
      <c r="G2495" s="261" t="str">
        <f>IFERROR(IF(VLOOKUP(A2495,[16]PRIORIZADOS!$A:$G,7,FALSE)="","",VLOOKUP(A2495,[16]PRIORIZADOS!$A:$G,7,FALSE)),"")</f>
        <v>POLITECNICA COLOMBIANA</v>
      </c>
      <c r="H2495" s="261" t="str">
        <f>IFERROR(IF(VLOOKUP(A2495,[16]PRIORIZADOS!$A:$H,8,FALSE)="","",VLOOKUP(A2495,[16]PRIORIZADOS!$A:$H,8,FALSE)),"")</f>
        <v>Autoevaluación Institucional y Pruebas SABER 11</v>
      </c>
      <c r="I2495" s="261" t="str">
        <f>IFERROR(IF(VLOOKUP(A2495,[16]PRIORIZADOS!$A:$I,9,FALSE)="","",VLOOKUP(A2495,[16]PRIORIZADOS!$A:$I,9,FALSE)),"")</f>
        <v>EVALUACIÓN_CON_FINES_DE_MEJORAMIENTO.</v>
      </c>
      <c r="J2495" s="261" t="str">
        <f>IFERROR(IF(VLOOKUP(A2495,[16]PRIORIZADOS!$A:$J,10,FALSE)="","",VLOOKUP(A2495,[16]PRIORIZADOS!$A:$J,10,FALSE)),"")</f>
        <v>Revisar la actualización, socialización e implementación del Sistema Institucional de Evaluación de Estudiantes - SIEE, en articulación con la actualización del PEI y la normatividad vigente.</v>
      </c>
      <c r="K2495" s="261" t="str">
        <f>IFERROR(IF(VLOOKUP(A2495,[16]PRIORIZADOS!$A:$K,11,FALSE)="","",VLOOKUP(A2495,[16]PRIORIZADOS!$A:$K,11,FALSE)),"")</f>
        <v>SANDRA JAZMÍN BAQUERO CÓRDOBA</v>
      </c>
      <c r="L2495" s="261" t="str">
        <f>IFERROR(IF(VLOOKUP(A2495,[16]PRIORIZADOS!$A:$L,12,FALSE)="","",VLOOKUP(A2495,[16]PRIORIZADOS!$A:$L,12,FALSE)),"")</f>
        <v xml:space="preserve">SANDRA JAZMÍN BAQUERO CÓRDOBA
NELSON AUGUSTO CUBILLOS OLARTE
CLAUDIA PATRICIA GRANADOS FLÓREZ
</v>
      </c>
      <c r="M2495" s="262">
        <f>IFERROR(IF(VLOOKUP(A2495,[16]PRIORIZADOS!$A:$M,13,FALSE)="","",VLOOKUP(A2495,[16]PRIORIZADOS!$A:$M,13,FALSE)),"")</f>
        <v>45863</v>
      </c>
      <c r="N2495" s="262">
        <f>IFERROR(IF(VLOOKUP(A2495,[16]PRIORIZADOS!$A:$N,14,FALSE)="","",VLOOKUP(A2495,[16]PRIORIZADOS!$A:$N,14,FALSE)),"")</f>
        <v>45742</v>
      </c>
      <c r="O2495" s="262" t="str">
        <f>IFERROR(IF(VLOOKUP(A2495,[16]PRIORIZADOS!$A:$O,15,FALSE)="","",VLOOKUP(A2495,[16]PRIORIZADOS!$A:$O,15,FALSE)),"")</f>
        <v>26/3/2025</v>
      </c>
      <c r="P2495" s="261" t="str">
        <f>IFERROR(IF(VLOOKUP(A2495,[16]PRIORIZADOS!$A:$P,16,FALSE)="","",VLOOKUP(A2495,[16]PRIORIZADOS!$A:$P,16,FALSE)),"")</f>
        <v>Visitas de evaluación con fines de mejoramiento</v>
      </c>
      <c r="Q2495" s="264" t="s">
        <v>491</v>
      </c>
      <c r="R2495" s="261" t="str">
        <f>IFERROR(IF(VLOOKUP(A2495,[16]PRIORIZADOS!$A:$R,18,FALSE)="","",VLOOKUP(A2495,[16]PRIORIZADOS!$A:$R,18,FALSE)),"")</f>
        <v>Se encontró que debe realizar ajustes en el SIEE por cuanto debe dirigirse a educación por ciclos</v>
      </c>
      <c r="S2495" s="261" t="str">
        <f>IFERROR(IF(VLOOKUP(A2495,[16]PRIORIZADOS!$A:$S,19,FALSE)="","",VLOOKUP(A2495,[16]PRIORIZADOS!$A:$S,19,FALSE)),"")</f>
        <v>El establecimiento educativo debe realizar los ajustes solicitados tomando en cuenta el servicio educativo que ofrece</v>
      </c>
      <c r="T2495" s="70" t="str">
        <f>IFERROR(IF(VLOOKUP(A2495,[16]PRIORIZADOS!$A:$T,20,FALSE)="","",VLOOKUP(A2495,[16]PRIORIZADOS!$A:$T,20,FALSE)),"")</f>
        <v>si</v>
      </c>
      <c r="U2495" s="11" t="str">
        <f>IFERROR(IF(VLOOKUP(A2495,[16]PRIORIZADOS!$A:$U,21,FALSE)="","",VLOOKUP(A2495,[16]PRIORIZADOS!$A:$U,21,FALSE)),"")</f>
        <v>Presentó plan de mejoramiento y el 28 de julio se realizó el primer seguimiento. Se generaron observaciones.</v>
      </c>
    </row>
    <row r="2496" spans="1:21" s="1" customFormat="1" ht="84">
      <c r="A2496" s="69">
        <f>IF([16]PRIORIZADOS!A85="","",[16]PRIORIZADOS!A85)</f>
        <v>2470</v>
      </c>
      <c r="B2496" s="70">
        <v>9</v>
      </c>
      <c r="C2496" s="261" t="str">
        <f>IFERROR(IF(VLOOKUP(A2496,[16]PRIORIZADOS!$A:$C,3,FALSE)="","",VLOOKUP(A2496,[16]PRIORIZADOS!$A:$C,3,FALSE)),"")</f>
        <v>TUNJUELITO</v>
      </c>
      <c r="D2496" s="261" t="str">
        <f>IFERROR(IF(VLOOKUP(A2496,[16]PRIORIZADOS!$A:$D,4,FALSE)="","",VLOOKUP(A2496,[16]PRIORIZADOS!$A:$D,4,FALSE)),"")</f>
        <v>PRIVADO</v>
      </c>
      <c r="E2496" s="261" t="str">
        <f>IFERROR(IF(VLOOKUP(A2496,[16]PRIORIZADOS!$A:$E,5,FALSE)="","",VLOOKUP(A2496,[16]PRIORIZADOS!$A:$E,5,FALSE)),"")</f>
        <v>EPBM</v>
      </c>
      <c r="F2496" s="261" t="str">
        <f>IFERROR(IF(VLOOKUP(A2496,[16]PRIORIZADOS!$A:$F,6,FALSE)="","",VLOOKUP(A2496,[16]PRIORIZADOS!$A:$F,6,FALSE)),"")</f>
        <v>POLITECNICA_COLOMBIANA</v>
      </c>
      <c r="G2496" s="261" t="str">
        <f>IFERROR(IF(VLOOKUP(A2496,[16]PRIORIZADOS!$A:$G,7,FALSE)="","",VLOOKUP(A2496,[16]PRIORIZADOS!$A:$G,7,FALSE)),"")</f>
        <v>POLITECNICA COLOMBIANA</v>
      </c>
      <c r="H2496" s="261" t="str">
        <f>IFERROR(IF(VLOOKUP(A2496,[16]PRIORIZADOS!$A:$H,8,FALSE)="","",VLOOKUP(A2496,[16]PRIORIZADOS!$A:$H,8,FALSE)),"")</f>
        <v>Autoevaluación Institucional y Pruebas SABER 11</v>
      </c>
      <c r="I2496" s="261" t="str">
        <f>IFERROR(IF(VLOOKUP(A2496,[16]PRIORIZADOS!$A:$I,9,FALSE)="","",VLOOKUP(A2496,[16]PRIORIZADOS!$A:$I,9,FALSE)),"")</f>
        <v>EVALUACIÓN_CON_FINES_DE_MEJORAMIENTO.</v>
      </c>
      <c r="J2496" s="261" t="str">
        <f>IFERROR(IF(VLOOKUP(A2496,[16]PRIORIZADOS!$A:$J,10,FALSE)="","",VLOOKUP(A2496,[16]PRIORIZADOS!$A:$J,10,FALSE)),"")</f>
        <v>Revisar el calendario escolar, jornada escolar, la intensidad horaria mínima anual en cada nivel y las modificaciones que se realicen al mismo, de acuerdo con lo previsto en la normatividad vigente.</v>
      </c>
      <c r="K2496" s="261" t="str">
        <f>IFERROR(IF(VLOOKUP(A2496,[16]PRIORIZADOS!$A:$K,11,FALSE)="","",VLOOKUP(A2496,[16]PRIORIZADOS!$A:$K,11,FALSE)),"")</f>
        <v>SANDRA JAZMÍN BAQUERO CÓRDOBA</v>
      </c>
      <c r="L2496" s="261" t="str">
        <f>IFERROR(IF(VLOOKUP(A2496,[16]PRIORIZADOS!$A:$L,12,FALSE)="","",VLOOKUP(A2496,[16]PRIORIZADOS!$A:$L,12,FALSE)),"")</f>
        <v xml:space="preserve">SANDRA JAZMÍN BAQUERO CÓRDOBA
NELSON AUGUSTO CUBILLOS OLARTE
CLAUDIA PATRICIA GRANADOS FLÓREZ
</v>
      </c>
      <c r="M2496" s="262">
        <f>IFERROR(IF(VLOOKUP(A2496,[16]PRIORIZADOS!$A:$M,13,FALSE)="","",VLOOKUP(A2496,[16]PRIORIZADOS!$A:$M,13,FALSE)),"")</f>
        <v>45863</v>
      </c>
      <c r="N2496" s="262">
        <f>IFERROR(IF(VLOOKUP(A2496,[16]PRIORIZADOS!$A:$N,14,FALSE)="","",VLOOKUP(A2496,[16]PRIORIZADOS!$A:$N,14,FALSE)),"")</f>
        <v>45742</v>
      </c>
      <c r="O2496" s="262" t="str">
        <f>IFERROR(IF(VLOOKUP(A2496,[16]PRIORIZADOS!$A:$O,15,FALSE)="","",VLOOKUP(A2496,[16]PRIORIZADOS!$A:$O,15,FALSE)),"")</f>
        <v>26/3/2025</v>
      </c>
      <c r="P2496" s="261" t="str">
        <f>IFERROR(IF(VLOOKUP(A2496,[16]PRIORIZADOS!$A:$P,16,FALSE)="","",VLOOKUP(A2496,[16]PRIORIZADOS!$A:$P,16,FALSE)),"")</f>
        <v>Visitas de evaluación con fines de mejoramiento</v>
      </c>
      <c r="Q2496" s="7" t="s">
        <v>491</v>
      </c>
      <c r="R2496" s="261" t="str">
        <f>IFERROR(IF(VLOOKUP(A2496,[16]PRIORIZADOS!$A:$R,18,FALSE)="","",VLOOKUP(A2496,[16]PRIORIZADOS!$A:$R,18,FALSE)),"")</f>
        <v>El establecimiento cumple con el calendario académico</v>
      </c>
      <c r="S2496" s="261" t="str">
        <f>IFERROR(IF(VLOOKUP(A2496,[16]PRIORIZADOS!$A:$S,19,FALSE)="","",VLOOKUP(A2496,[16]PRIORIZADOS!$A:$S,19,FALSE)),"")</f>
        <v>El establecimiento tiene autorizada la modalidad a distancia</v>
      </c>
      <c r="T2496" s="70" t="str">
        <f>IFERROR(IF(VLOOKUP(A2496,[16]PRIORIZADOS!$A:$T,20,FALSE)="","",VLOOKUP(A2496,[16]PRIORIZADOS!$A:$T,20,FALSE)),"")</f>
        <v>No</v>
      </c>
      <c r="U2496" s="11" t="str">
        <f>IFERROR(IF(VLOOKUP(A2496,[16]PRIORIZADOS!$A:$U,21,FALSE)="","",VLOOKUP(A2496,[16]PRIORIZADOS!$A:$U,21,FALSE)),"")</f>
        <v>Se hará seguimiento en reunión y/o visita</v>
      </c>
    </row>
    <row r="2497" spans="1:21" s="1" customFormat="1" ht="84">
      <c r="A2497" s="69">
        <f>IF([16]PRIORIZADOS!A86="","",[16]PRIORIZADOS!A86)</f>
        <v>2471</v>
      </c>
      <c r="B2497" s="70">
        <v>9</v>
      </c>
      <c r="C2497" s="261" t="str">
        <f>IFERROR(IF(VLOOKUP(A2497,[16]PRIORIZADOS!$A:$C,3,FALSE)="","",VLOOKUP(A2497,[16]PRIORIZADOS!$A:$C,3,FALSE)),"")</f>
        <v>TUNJUELITO</v>
      </c>
      <c r="D2497" s="261" t="str">
        <f>IFERROR(IF(VLOOKUP(A2497,[16]PRIORIZADOS!$A:$D,4,FALSE)="","",VLOOKUP(A2497,[16]PRIORIZADOS!$A:$D,4,FALSE)),"")</f>
        <v>PRIVADO</v>
      </c>
      <c r="E2497" s="261" t="str">
        <f>IFERROR(IF(VLOOKUP(A2497,[16]PRIORIZADOS!$A:$E,5,FALSE)="","",VLOOKUP(A2497,[16]PRIORIZADOS!$A:$E,5,FALSE)),"")</f>
        <v>EPBM</v>
      </c>
      <c r="F2497" s="261" t="str">
        <f>IFERROR(IF(VLOOKUP(A2497,[16]PRIORIZADOS!$A:$F,6,FALSE)="","",VLOOKUP(A2497,[16]PRIORIZADOS!$A:$F,6,FALSE)),"")</f>
        <v>POLITECNICA_COLOMBIANA</v>
      </c>
      <c r="G2497" s="261" t="str">
        <f>IFERROR(IF(VLOOKUP(A2497,[16]PRIORIZADOS!$A:$G,7,FALSE)="","",VLOOKUP(A2497,[16]PRIORIZADOS!$A:$G,7,FALSE)),"")</f>
        <v>POLITECNICA COLOMBIANA</v>
      </c>
      <c r="H2497" s="261" t="str">
        <f>IFERROR(IF(VLOOKUP(A2497,[16]PRIORIZADOS!$A:$H,8,FALSE)="","",VLOOKUP(A2497,[16]PRIORIZADOS!$A:$H,8,FALSE)),"")</f>
        <v>Autoevaluación Institucional y Pruebas SABER 11</v>
      </c>
      <c r="I2497" s="261" t="str">
        <f>IFERROR(IF(VLOOKUP(A2497,[16]PRIORIZADOS!$A:$I,9,FALSE)="","",VLOOKUP(A2497,[16]PRIORIZADOS!$A:$I,9,FALSE)),"")</f>
        <v>EVALUACIÓN_CON_FINES_DE_MEJORAMIENTO.</v>
      </c>
      <c r="J2497" s="261" t="str">
        <f>IFERROR(IF(VLOOKUP(A2497,[16]PRIORIZADOS!$A:$J,10,FALSE)="","",VLOOKUP(A2497,[16]PRIORIZADOS!$A:$J,10,FALSE)),"")</f>
        <v>Verificar el funcionamiento del Gobierno Escolar e instancias de participación con base en la información sobre conformación reportada por la institución educativa.</v>
      </c>
      <c r="K2497" s="261" t="str">
        <f>IFERROR(IF(VLOOKUP(A2497,[16]PRIORIZADOS!$A:$K,11,FALSE)="","",VLOOKUP(A2497,[16]PRIORIZADOS!$A:$K,11,FALSE)),"")</f>
        <v>SANDRA JAZMÍN BAQUERO CÓRDOBA</v>
      </c>
      <c r="L2497" s="261" t="str">
        <f>IFERROR(IF(VLOOKUP(A2497,[16]PRIORIZADOS!$A:$L,12,FALSE)="","",VLOOKUP(A2497,[16]PRIORIZADOS!$A:$L,12,FALSE)),"")</f>
        <v xml:space="preserve">SANDRA JAZMÍN BAQUERO CÓRDOBA
NELSON AUGUSTO CUBILLOS OLARTE
CLAUDIA PATRICIA GRANADOS FLÓREZ
</v>
      </c>
      <c r="M2497" s="262">
        <f>IFERROR(IF(VLOOKUP(A2497,[16]PRIORIZADOS!$A:$M,13,FALSE)="","",VLOOKUP(A2497,[16]PRIORIZADOS!$A:$M,13,FALSE)),"")</f>
        <v>45863</v>
      </c>
      <c r="N2497" s="262">
        <f>IFERROR(IF(VLOOKUP(A2497,[16]PRIORIZADOS!$A:$N,14,FALSE)="","",VLOOKUP(A2497,[16]PRIORIZADOS!$A:$N,14,FALSE)),"")</f>
        <v>45742</v>
      </c>
      <c r="O2497" s="262">
        <f>IFERROR(IF(VLOOKUP(A2497,[16]PRIORIZADOS!$A:$O,15,FALSE)="","",VLOOKUP(A2497,[16]PRIORIZADOS!$A:$O,15,FALSE)),"")</f>
        <v>45742</v>
      </c>
      <c r="P2497" s="261" t="str">
        <f>IFERROR(IF(VLOOKUP(A2497,[16]PRIORIZADOS!$A:$P,16,FALSE)="","",VLOOKUP(A2497,[16]PRIORIZADOS!$A:$P,16,FALSE)),"")</f>
        <v>Visitas de evaluación con fines de mejoramiento</v>
      </c>
      <c r="Q2497" s="7" t="s">
        <v>491</v>
      </c>
      <c r="R2497" s="261" t="str">
        <f>IFERROR(IF(VLOOKUP(A2497,[16]PRIORIZADOS!$A:$R,18,FALSE)="","",VLOOKUP(A2497,[16]PRIORIZADOS!$A:$R,18,FALSE)),"")</f>
        <v>El establecimiento eligió el gobierno escolar y cuenta con acta de instalación</v>
      </c>
      <c r="S2497" s="261" t="str">
        <f>IFERROR(IF(VLOOKUP(A2497,[16]PRIORIZADOS!$A:$S,19,FALSE)="","",VLOOKUP(A2497,[16]PRIORIZADOS!$A:$S,19,FALSE)),"")</f>
        <v>El establecimiento debe realizar las actas periodicas correspondientes al funcionamiento de cada instancia</v>
      </c>
      <c r="T2497" s="70" t="str">
        <f>IFERROR(IF(VLOOKUP(A2497,[16]PRIORIZADOS!$A:$T,20,FALSE)="","",VLOOKUP(A2497,[16]PRIORIZADOS!$A:$T,20,FALSE)),"")</f>
        <v>No</v>
      </c>
      <c r="U2497" s="11" t="str">
        <f>IFERROR(IF(VLOOKUP(A2497,[16]PRIORIZADOS!$A:$U,21,FALSE)="","",VLOOKUP(A2497,[16]PRIORIZADOS!$A:$U,21,FALSE)),"")</f>
        <v>Se revisarán actas en próxima visita</v>
      </c>
    </row>
    <row r="2498" spans="1:21" s="1" customFormat="1" ht="84">
      <c r="A2498" s="69">
        <f>IF([16]PRIORIZADOS!A87="","",[16]PRIORIZADOS!A87)</f>
        <v>2472</v>
      </c>
      <c r="B2498" s="70">
        <v>9</v>
      </c>
      <c r="C2498" s="261" t="str">
        <f>IFERROR(IF(VLOOKUP(A2498,[16]PRIORIZADOS!$A:$C,3,FALSE)="","",VLOOKUP(A2498,[16]PRIORIZADOS!$A:$C,3,FALSE)),"")</f>
        <v>TUNJUELITO</v>
      </c>
      <c r="D2498" s="261" t="str">
        <f>IFERROR(IF(VLOOKUP(A2498,[16]PRIORIZADOS!$A:$D,4,FALSE)="","",VLOOKUP(A2498,[16]PRIORIZADOS!$A:$D,4,FALSE)),"")</f>
        <v>PRIVADO</v>
      </c>
      <c r="E2498" s="261" t="str">
        <f>IFERROR(IF(VLOOKUP(A2498,[16]PRIORIZADOS!$A:$E,5,FALSE)="","",VLOOKUP(A2498,[16]PRIORIZADOS!$A:$E,5,FALSE)),"")</f>
        <v>EPBM</v>
      </c>
      <c r="F2498" s="261" t="str">
        <f>IFERROR(IF(VLOOKUP(A2498,[16]PRIORIZADOS!$A:$F,6,FALSE)="","",VLOOKUP(A2498,[16]PRIORIZADOS!$A:$F,6,FALSE)),"")</f>
        <v>POLITECNICA_COLOMBIANA</v>
      </c>
      <c r="G2498" s="261" t="str">
        <f>IFERROR(IF(VLOOKUP(A2498,[16]PRIORIZADOS!$A:$G,7,FALSE)="","",VLOOKUP(A2498,[16]PRIORIZADOS!$A:$G,7,FALSE)),"")</f>
        <v>POLITECNICA COLOMBIANA</v>
      </c>
      <c r="H2498" s="261" t="str">
        <f>IFERROR(IF(VLOOKUP(A2498,[16]PRIORIZADOS!$A:$H,8,FALSE)="","",VLOOKUP(A2498,[16]PRIORIZADOS!$A:$H,8,FALSE)),"")</f>
        <v>Autoevaluación Institucional y Pruebas SABER 11</v>
      </c>
      <c r="I2498" s="261" t="str">
        <f>IFERROR(IF(VLOOKUP(A2498,[16]PRIORIZADOS!$A:$I,9,FALSE)="","",VLOOKUP(A2498,[16]PRIORIZADOS!$A:$I,9,FALSE)),"")</f>
        <v>EVALUACIÓN_CON_FINES_DE_MEJORAMIENTO.</v>
      </c>
      <c r="J2498" s="261" t="str">
        <f>IFERROR(IF(VLOOKUP(A2498,[16]PRIORIZADOS!$A:$J,10,FALSE)="","",VLOOKUP(A2498,[16]PRIORIZADOS!$A:$J,10,FALSE)),"")</f>
        <v>Verificar las condiciones en cuanto a: la estructura administrativa, condiciones de la planta física y medios educativos adecuados.</v>
      </c>
      <c r="K2498" s="261" t="str">
        <f>IFERROR(IF(VLOOKUP(A2498,[16]PRIORIZADOS!$A:$K,11,FALSE)="","",VLOOKUP(A2498,[16]PRIORIZADOS!$A:$K,11,FALSE)),"")</f>
        <v>SANDRA JAZMÍN BAQUERO CÓRDOBA</v>
      </c>
      <c r="L2498" s="261" t="str">
        <f>IFERROR(IF(VLOOKUP(A2498,[16]PRIORIZADOS!$A:$L,12,FALSE)="","",VLOOKUP(A2498,[16]PRIORIZADOS!$A:$L,12,FALSE)),"")</f>
        <v xml:space="preserve">SANDRA JAZMÍN BAQUERO CÓRDOBA
NELSON AUGUSTO CUBILLOS OLARTE
CLAUDIA PATRICIA GRANADOS FLÓREZ
</v>
      </c>
      <c r="M2498" s="262">
        <f>IFERROR(IF(VLOOKUP(A2498,[16]PRIORIZADOS!$A:$M,13,FALSE)="","",VLOOKUP(A2498,[16]PRIORIZADOS!$A:$M,13,FALSE)),"")</f>
        <v>45863</v>
      </c>
      <c r="N2498" s="262">
        <f>IFERROR(IF(VLOOKUP(A2498,[16]PRIORIZADOS!$A:$N,14,FALSE)="","",VLOOKUP(A2498,[16]PRIORIZADOS!$A:$N,14,FALSE)),"")</f>
        <v>45742</v>
      </c>
      <c r="O2498" s="262" t="str">
        <f>IFERROR(IF(VLOOKUP(A2498,[16]PRIORIZADOS!$A:$O,15,FALSE)="","",VLOOKUP(A2498,[16]PRIORIZADOS!$A:$O,15,FALSE)),"")</f>
        <v>26/3/2025</v>
      </c>
      <c r="P2498" s="261" t="str">
        <f>IFERROR(IF(VLOOKUP(A2498,[16]PRIORIZADOS!$A:$P,16,FALSE)="","",VLOOKUP(A2498,[16]PRIORIZADOS!$A:$P,16,FALSE)),"")</f>
        <v>Visitas de evaluación con fines de mejoramiento</v>
      </c>
      <c r="Q2498" s="7" t="s">
        <v>491</v>
      </c>
      <c r="R2498" s="261" t="str">
        <f>IFERROR(IF(VLOOKUP(A2498,[16]PRIORIZADOS!$A:$R,18,FALSE)="","",VLOOKUP(A2498,[16]PRIORIZADOS!$A:$R,18,FALSE)),"")</f>
        <v xml:space="preserve">La planta física se encuentra en buenas condiciones </v>
      </c>
      <c r="S2498" s="261" t="str">
        <f>IFERROR(IF(VLOOKUP(A2498,[16]PRIORIZADOS!$A:$S,19,FALSE)="","",VLOOKUP(A2498,[16]PRIORIZADOS!$A:$S,19,FALSE)),"")</f>
        <v>Debe revisar el tema de baños para discapacitados</v>
      </c>
      <c r="T2498" s="70" t="str">
        <f>IFERROR(IF(VLOOKUP(A2498,[16]PRIORIZADOS!$A:$T,20,FALSE)="","",VLOOKUP(A2498,[16]PRIORIZADOS!$A:$T,20,FALSE)),"")</f>
        <v>Si</v>
      </c>
      <c r="U2498" s="11" t="str">
        <f>IFERROR(IF(VLOOKUP(A2498,[16]PRIORIZADOS!$A:$U,21,FALSE)="","",VLOOKUP(A2498,[16]PRIORIZADOS!$A:$U,21,FALSE)),"")</f>
        <v>Presentó plan de mejoramiento y el 28 de julio se realizó el primer seguimiento. Se generaron observaciones.</v>
      </c>
    </row>
    <row r="2499" spans="1:21" s="1" customFormat="1" ht="84">
      <c r="A2499" s="69">
        <f>IF([16]PRIORIZADOS!A89="","",[16]PRIORIZADOS!A89)</f>
        <v>2474</v>
      </c>
      <c r="B2499" s="70">
        <v>10</v>
      </c>
      <c r="C2499" s="261" t="str">
        <f>IFERROR(IF(VLOOKUP(A2499,[16]PRIORIZADOS!$A:$C,3,FALSE)="","",VLOOKUP(A2499,[16]PRIORIZADOS!$A:$C,3,FALSE)),"")</f>
        <v>TUNJUELITO</v>
      </c>
      <c r="D2499" s="261" t="str">
        <f>IFERROR(IF(VLOOKUP(A2499,[16]PRIORIZADOS!$A:$D,4,FALSE)="","",VLOOKUP(A2499,[16]PRIORIZADOS!$A:$D,4,FALSE)),"")</f>
        <v>PRIVADO</v>
      </c>
      <c r="E2499" s="261" t="str">
        <f>IFERROR(IF(VLOOKUP(A2499,[16]PRIORIZADOS!$A:$E,5,FALSE)="","",VLOOKUP(A2499,[16]PRIORIZADOS!$A:$E,5,FALSE)),"")</f>
        <v>EPBM</v>
      </c>
      <c r="F2499" s="261" t="str">
        <f>IFERROR(IF(VLOOKUP(A2499,[16]PRIORIZADOS!$A:$F,6,FALSE)="","",VLOOKUP(A2499,[16]PRIORIZADOS!$A:$F,6,FALSE)),"")</f>
        <v>JARDIN_INFANTIL_MIS_PEQUEÑOS_TIMPANITOS</v>
      </c>
      <c r="G2499" s="261" t="str">
        <f>IFERROR(IF(VLOOKUP(A2499,[16]PRIORIZADOS!$A:$G,7,FALSE)="","",VLOOKUP(A2499,[16]PRIORIZADOS!$A:$G,7,FALSE)),"")</f>
        <v>JARDIN INFANTIL MIS PEQUEÑOS TIMPANITOS</v>
      </c>
      <c r="H2499" s="261" t="str">
        <f>IFERROR(IF(VLOOKUP(A2499,[16]PRIORIZADOS!$A:$H,8,FALSE)="","",VLOOKUP(A2499,[16]PRIORIZADOS!$A:$H,8,FALSE)),"")</f>
        <v>Autoevaluación Institucional y Pruebas SABER 11</v>
      </c>
      <c r="I2499" s="261" t="str">
        <f>IFERROR(IF(VLOOKUP(A2499,[16]PRIORIZADOS!$A:$I,9,FALSE)="","",VLOOKUP(A2499,[16]PRIORIZADOS!$A:$I,9,FALSE)),"")</f>
        <v>SEGUIMIENTO_Y_SUPERVISIÓN.</v>
      </c>
      <c r="J2499" s="261" t="str">
        <f>IFERROR(IF(VLOOKUP(A2499,[16]PRIORIZADOS!$A:$J,10,FALSE)="","",VLOOKUP(A2499,[16]PRIORIZADOS!$A:$J,10,FALSE)),"")</f>
        <v>Realizar visitas para verificar la información registrada sobre la autoevaluación institucional en el aplicativo EVI, a los establecimientos de educación formal no oficial.</v>
      </c>
      <c r="K2499" s="261" t="str">
        <f>IFERROR(IF(VLOOKUP(A2499,[16]PRIORIZADOS!$A:$K,11,FALSE)="","",VLOOKUP(A2499,[16]PRIORIZADOS!$A:$K,11,FALSE)),"")</f>
        <v>CLAUDIA PATRICIA GRANADOS FLÓREZ</v>
      </c>
      <c r="L2499" s="261" t="str">
        <f>IFERROR(IF(VLOOKUP(A2499,[16]PRIORIZADOS!$A:$L,12,FALSE)="","",VLOOKUP(A2499,[16]PRIORIZADOS!$A:$L,12,FALSE)),"")</f>
        <v xml:space="preserve">SANDRA JAZMÍN BAQUERO CÓRDOBA
NELSON AUGUSTO CUBILLOS OLARTE
CLAUDIA PATRICIA GRANADOS FLÓREZ
</v>
      </c>
      <c r="M2499" s="262">
        <f>IFERROR(IF(VLOOKUP(A2499,[16]PRIORIZADOS!$A:$M,13,FALSE)="","",VLOOKUP(A2499,[16]PRIORIZADOS!$A:$M,13,FALSE)),"")</f>
        <v>45930</v>
      </c>
      <c r="N2499" s="262">
        <f>IFERROR(IF(VLOOKUP(A2499,[16]PRIORIZADOS!$A:$N,14,FALSE)="","",VLOOKUP(A2499,[16]PRIORIZADOS!$A:$N,14,FALSE)),"")</f>
        <v>45930</v>
      </c>
      <c r="O2499" s="262">
        <f>IFERROR(IF(VLOOKUP(A2499,[16]PRIORIZADOS!$A:$O,15,FALSE)="","",VLOOKUP(A2499,[16]PRIORIZADOS!$A:$O,15,FALSE)),"")</f>
        <v>45930</v>
      </c>
      <c r="P2499" s="261" t="str">
        <f>IFERROR(IF(VLOOKUP(A2499,[16]PRIORIZADOS!$A:$P,16,FALSE)="","",VLOOKUP(A2499,[16]PRIORIZADOS!$A:$P,16,FALSE)),"")</f>
        <v>Visitas de evaluación con fines de seguimiento</v>
      </c>
      <c r="Q2499" s="5" t="s">
        <v>493</v>
      </c>
      <c r="R2499" s="261" t="str">
        <f>IFERROR(IF(VLOOKUP(A2499,[16]PRIORIZADOS!$A:$R,18,FALSE)="","",VLOOKUP(A2499,[16]PRIORIZADOS!$A:$R,18,FALSE)),"")</f>
        <v>Se evidencia carencia de espacios en la infraestructura, ajustes para el PEI, curriculo, orientación escolar,  manual de funciones,  etc.</v>
      </c>
      <c r="S2499" s="261" t="str">
        <f>IFERROR(IF(VLOOKUP(A2499,[16]PRIORIZADOS!$A:$S,19,FALSE)="","",VLOOKUP(A2499,[16]PRIORIZADOS!$A:$S,19,FALSE)),"")</f>
        <v>Presentación del PMI  4 de noviembre de 2025</v>
      </c>
      <c r="T2499" s="70" t="str">
        <f>IFERROR(IF(VLOOKUP(A2499,[16]PRIORIZADOS!$A:$T,20,FALSE)="","",VLOOKUP(A2499,[16]PRIORIZADOS!$A:$T,20,FALSE)),"")</f>
        <v>Si</v>
      </c>
      <c r="U2499" s="11" t="str">
        <f>IFERROR(IF(VLOOKUP(A2499,[16]PRIORIZADOS!$A:$U,21,FALSE)="","",VLOOKUP(A2499,[16]PRIORIZADOS!$A:$U,21,FALSE)),"")</f>
        <v>Se revisara el plan de mejoramiento aportado para verificar su pertinencia y porsterior seguimiento para su cumplimiento</v>
      </c>
    </row>
    <row r="2500" spans="1:21" s="1" customFormat="1" ht="84">
      <c r="A2500" s="69">
        <f>IF([16]PRIORIZADOS!A90="","",[16]PRIORIZADOS!A90)</f>
        <v>2476</v>
      </c>
      <c r="B2500" s="70">
        <v>10</v>
      </c>
      <c r="C2500" s="261" t="str">
        <f>IFERROR(IF(VLOOKUP(A2500,[16]PRIORIZADOS!$A:$C,3,FALSE)="","",VLOOKUP(A2500,[16]PRIORIZADOS!$A:$C,3,FALSE)),"")</f>
        <v>TUNJUELITO</v>
      </c>
      <c r="D2500" s="261" t="str">
        <f>IFERROR(IF(VLOOKUP(A2500,[16]PRIORIZADOS!$A:$D,4,FALSE)="","",VLOOKUP(A2500,[16]PRIORIZADOS!$A:$D,4,FALSE)),"")</f>
        <v>PRIVADO</v>
      </c>
      <c r="E2500" s="261" t="str">
        <f>IFERROR(IF(VLOOKUP(A2500,[16]PRIORIZADOS!$A:$E,5,FALSE)="","",VLOOKUP(A2500,[16]PRIORIZADOS!$A:$E,5,FALSE)),"")</f>
        <v>EPBM</v>
      </c>
      <c r="F2500" s="261" t="str">
        <f>IFERROR(IF(VLOOKUP(A2500,[16]PRIORIZADOS!$A:$F,6,FALSE)="","",VLOOKUP(A2500,[16]PRIORIZADOS!$A:$F,6,FALSE)),"")</f>
        <v>JARDIN_INFANTIL_MIS_PEQUEÑOS_TIMPANITOS</v>
      </c>
      <c r="G2500" s="261" t="str">
        <f>IFERROR(IF(VLOOKUP(A2500,[16]PRIORIZADOS!$A:$G,7,FALSE)="","",VLOOKUP(A2500,[16]PRIORIZADOS!$A:$G,7,FALSE)),"")</f>
        <v>JARDIN INFANTIL MIS PEQUEÑOS TIMPANITOS</v>
      </c>
      <c r="H2500" s="261" t="str">
        <f>IFERROR(IF(VLOOKUP(A2500,[16]PRIORIZADOS!$A:$H,8,FALSE)="","",VLOOKUP(A2500,[16]PRIORIZADOS!$A:$H,8,FALSE)),"")</f>
        <v>Autoevaluación Institucional y Pruebas SABER 11</v>
      </c>
      <c r="I2500" s="261" t="str">
        <f>IFERROR(IF(VLOOKUP(A2500,[16]PRIORIZADOS!$A:$I,9,FALSE)="","",VLOOKUP(A2500,[16]PRIORIZADOS!$A:$I,9,FALSE)),"")</f>
        <v>SEGUIMIENTO_Y_SUPERVISIÓN.</v>
      </c>
      <c r="J2500" s="261" t="str">
        <f>IFERROR(IF(VLOOKUP(A2500,[16]PRIORIZADOS!$A:$J,10,FALSE)="","",VLOOKUP(A2500,[16]PRIORIZADOS!$A:$J,10,FALSE)),"")</f>
        <v xml:space="preserve">Verificar la implementación por parte de los colegios, de acciones realizadas para la prevención y atención de las situaciones de convivencia en el entorno escolar, según lo establecido en la Directiva 01 de 2022 del MEN. </v>
      </c>
      <c r="K2500" s="261" t="str">
        <f>IFERROR(IF(VLOOKUP(A2500,[16]PRIORIZADOS!$A:$K,11,FALSE)="","",VLOOKUP(A2500,[16]PRIORIZADOS!$A:$K,11,FALSE)),"")</f>
        <v>CLAUDIA PATRICIA GRANADOS FLÓREZ</v>
      </c>
      <c r="L2500" s="261" t="str">
        <f>IFERROR(IF(VLOOKUP(A2500,[16]PRIORIZADOS!$A:$L,12,FALSE)="","",VLOOKUP(A2500,[16]PRIORIZADOS!$A:$L,12,FALSE)),"")</f>
        <v xml:space="preserve">SANDRA JAZMÍN BAQUERO CÓRDOBA
NELSON AUGUSTO CUBILLOS OLARTE
CLAUDIA PATRICIA GRANADOS FLÓREZ
</v>
      </c>
      <c r="M2500" s="262">
        <f>IFERROR(IF(VLOOKUP(A2500,[16]PRIORIZADOS!$A:$M,13,FALSE)="","",VLOOKUP(A2500,[16]PRIORIZADOS!$A:$M,13,FALSE)),"")</f>
        <v>45930</v>
      </c>
      <c r="N2500" s="262">
        <f>IFERROR(IF(VLOOKUP(A2500,[16]PRIORIZADOS!$A:$N,14,FALSE)="","",VLOOKUP(A2500,[16]PRIORIZADOS!$A:$N,14,FALSE)),"")</f>
        <v>45930</v>
      </c>
      <c r="O2500" s="262">
        <f>IFERROR(IF(VLOOKUP(A2500,[16]PRIORIZADOS!$A:$O,15,FALSE)="","",VLOOKUP(A2500,[16]PRIORIZADOS!$A:$O,15,FALSE)),"")</f>
        <v>45930</v>
      </c>
      <c r="P2500" s="261" t="str">
        <f>IFERROR(IF(VLOOKUP(A2500,[16]PRIORIZADOS!$A:$P,16,FALSE)="","",VLOOKUP(A2500,[16]PRIORIZADOS!$A:$P,16,FALSE)),"")</f>
        <v>Visitas de evaluación con fines de seguimiento</v>
      </c>
      <c r="Q2500" s="5" t="s">
        <v>493</v>
      </c>
      <c r="R2500" s="261" t="str">
        <f>IFERROR(IF(VLOOKUP(A2500,[16]PRIORIZADOS!$A:$R,18,FALSE)="","",VLOOKUP(A2500,[16]PRIORIZADOS!$A:$R,18,FALSE)),"")</f>
        <v>Revisadas las carpetas de los docentes no se evidencia la consulta realizada por la IE frente a los antecentes, en revision de manual de convivencia se hacen observaciones implementacion Ley 1620</v>
      </c>
      <c r="S2500" s="261" t="str">
        <f>IFERROR(IF(VLOOKUP(A2500,[16]PRIORIZADOS!$A:$S,19,FALSE)="","",VLOOKUP(A2500,[16]PRIORIZADOS!$A:$S,19,FALSE)),"")</f>
        <v>Presentación del PMI  4 de noviembre de 2025</v>
      </c>
      <c r="T2500" s="70" t="str">
        <f>IFERROR(IF(VLOOKUP(A2500,[16]PRIORIZADOS!$A:$T,20,FALSE)="","",VLOOKUP(A2500,[16]PRIORIZADOS!$A:$T,20,FALSE)),"")</f>
        <v>Si</v>
      </c>
      <c r="U2500" s="11" t="str">
        <f>IFERROR(IF(VLOOKUP(A2500,[16]PRIORIZADOS!$A:$U,21,FALSE)="","",VLOOKUP(A2500,[16]PRIORIZADOS!$A:$U,21,FALSE)),"")</f>
        <v>Se revisara el plan de mejoramiento aportado para verificar su pertinencia y porsterior seguimiento para su cumplimiento</v>
      </c>
    </row>
    <row r="2501" spans="1:21" s="1" customFormat="1" ht="84">
      <c r="A2501" s="69">
        <f>IF([16]PRIORIZADOS!A91="","",[16]PRIORIZADOS!A91)</f>
        <v>2477</v>
      </c>
      <c r="B2501" s="70">
        <v>10</v>
      </c>
      <c r="C2501" s="261" t="str">
        <f>IFERROR(IF(VLOOKUP(A2501,[16]PRIORIZADOS!$A:$C,3,FALSE)="","",VLOOKUP(A2501,[16]PRIORIZADOS!$A:$C,3,FALSE)),"")</f>
        <v>TUNJUELITO</v>
      </c>
      <c r="D2501" s="261" t="str">
        <f>IFERROR(IF(VLOOKUP(A2501,[16]PRIORIZADOS!$A:$D,4,FALSE)="","",VLOOKUP(A2501,[16]PRIORIZADOS!$A:$D,4,FALSE)),"")</f>
        <v>PRIVADO</v>
      </c>
      <c r="E2501" s="261" t="str">
        <f>IFERROR(IF(VLOOKUP(A2501,[16]PRIORIZADOS!$A:$E,5,FALSE)="","",VLOOKUP(A2501,[16]PRIORIZADOS!$A:$E,5,FALSE)),"")</f>
        <v>EPBM</v>
      </c>
      <c r="F2501" s="261" t="str">
        <f>IFERROR(IF(VLOOKUP(A2501,[16]PRIORIZADOS!$A:$F,6,FALSE)="","",VLOOKUP(A2501,[16]PRIORIZADOS!$A:$F,6,FALSE)),"")</f>
        <v>JARDIN_INFANTIL_MIS_PEQUEÑOS_TIMPANITOS</v>
      </c>
      <c r="G2501" s="261" t="str">
        <f>IFERROR(IF(VLOOKUP(A2501,[16]PRIORIZADOS!$A:$G,7,FALSE)="","",VLOOKUP(A2501,[16]PRIORIZADOS!$A:$G,7,FALSE)),"")</f>
        <v>JARDIN INFANTIL MIS PEQUEÑOS TIMPANITOS</v>
      </c>
      <c r="H2501" s="261" t="str">
        <f>IFERROR(IF(VLOOKUP(A2501,[16]PRIORIZADOS!$A:$H,8,FALSE)="","",VLOOKUP(A2501,[16]PRIORIZADOS!$A:$H,8,FALSE)),"")</f>
        <v>Autoevaluación Institucional y Pruebas SABER 11</v>
      </c>
      <c r="I2501" s="261" t="str">
        <f>IFERROR(IF(VLOOKUP(A2501,[16]PRIORIZADOS!$A:$I,9,FALSE)="","",VLOOKUP(A2501,[16]PRIORIZADOS!$A:$I,9,FALSE)),"")</f>
        <v>SEGUIMIENTO_Y_SUPERVISIÓN.</v>
      </c>
      <c r="J2501" s="261" t="str">
        <f>IFERROR(IF(VLOOKUP(A2501,[16]PRIORIZADOS!$A:$J,10,FALSE)="","",VLOOKUP(A2501,[16]PRIORIZADOS!$A:$J,10,FALSE)),"")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01" s="261" t="str">
        <f>IFERROR(IF(VLOOKUP(A2501,[16]PRIORIZADOS!$A:$K,11,FALSE)="","",VLOOKUP(A2501,[16]PRIORIZADOS!$A:$K,11,FALSE)),"")</f>
        <v>CLAUDIA PATRICIA GRANADOS FLÓREZ</v>
      </c>
      <c r="L2501" s="261" t="str">
        <f>IFERROR(IF(VLOOKUP(A2501,[16]PRIORIZADOS!$A:$L,12,FALSE)="","",VLOOKUP(A2501,[16]PRIORIZADOS!$A:$L,12,FALSE)),"")</f>
        <v xml:space="preserve">SANDRA JAZMÍN BAQUERO CÓRDOBA
NELSON AUGUSTO CUBILLOS OLARTE
CLAUDIA PATRICIA GRANADOS FLÓREZ
</v>
      </c>
      <c r="M2501" s="262">
        <f>IFERROR(IF(VLOOKUP(A2501,[16]PRIORIZADOS!$A:$M,13,FALSE)="","",VLOOKUP(A2501,[16]PRIORIZADOS!$A:$M,13,FALSE)),"")</f>
        <v>45930</v>
      </c>
      <c r="N2501" s="262">
        <f>IFERROR(IF(VLOOKUP(A2501,[16]PRIORIZADOS!$A:$N,14,FALSE)="","",VLOOKUP(A2501,[16]PRIORIZADOS!$A:$N,14,FALSE)),"")</f>
        <v>45930</v>
      </c>
      <c r="O2501" s="262">
        <f>IFERROR(IF(VLOOKUP(A2501,[16]PRIORIZADOS!$A:$O,15,FALSE)="","",VLOOKUP(A2501,[16]PRIORIZADOS!$A:$O,15,FALSE)),"")</f>
        <v>45930</v>
      </c>
      <c r="P2501" s="261" t="str">
        <f>IFERROR(IF(VLOOKUP(A2501,[16]PRIORIZADOS!$A:$P,16,FALSE)="","",VLOOKUP(A2501,[16]PRIORIZADOS!$A:$P,16,FALSE)),"")</f>
        <v>Visitas de evaluación con fines de seguimiento</v>
      </c>
      <c r="Q2501" s="5" t="s">
        <v>493</v>
      </c>
      <c r="R2501" s="261" t="str">
        <f>IFERROR(IF(VLOOKUP(A2501,[16]PRIORIZADOS!$A:$R,18,FALSE)="","",VLOOKUP(A2501,[16]PRIORIZADOS!$A:$R,18,FALSE)),"")</f>
        <v>A la fecha no tiene estudiantes que requieran la implementación</v>
      </c>
      <c r="S2501" s="261" t="str">
        <f>IFERROR(IF(VLOOKUP(A2501,[16]PRIORIZADOS!$A:$S,19,FALSE)="","",VLOOKUP(A2501,[16]PRIORIZADOS!$A:$S,19,FALSE)),"")</f>
        <v>En caso de requerirse la implementación Se recomienda dejar las evidencias en carpetas</v>
      </c>
      <c r="T2501" s="70" t="str">
        <f>IFERROR(IF(VLOOKUP(A2501,[16]PRIORIZADOS!$A:$T,20,FALSE)="","",VLOOKUP(A2501,[16]PRIORIZADOS!$A:$T,20,FALSE)),"")</f>
        <v>No</v>
      </c>
      <c r="U2501" s="11" t="str">
        <f>IFERROR(IF(VLOOKUP(A2501,[16]PRIORIZADOS!$A:$U,21,FALSE)="","",VLOOKUP(A2501,[16]PRIORIZADOS!$A:$U,21,FALSE)),"")</f>
        <v>Se verificará la continuidad de su cumplimiento o en caso de presentarse una queja</v>
      </c>
    </row>
    <row r="2502" spans="1:21" s="1" customFormat="1" ht="84">
      <c r="A2502" s="69">
        <f>IF([16]PRIORIZADOS!A92="","",[16]PRIORIZADOS!A92)</f>
        <v>2478</v>
      </c>
      <c r="B2502" s="70">
        <v>10</v>
      </c>
      <c r="C2502" s="261" t="str">
        <f>IFERROR(IF(VLOOKUP(A2502,[16]PRIORIZADOS!$A:$C,3,FALSE)="","",VLOOKUP(A2502,[16]PRIORIZADOS!$A:$C,3,FALSE)),"")</f>
        <v>TUNJUELITO</v>
      </c>
      <c r="D2502" s="261" t="str">
        <f>IFERROR(IF(VLOOKUP(A2502,[16]PRIORIZADOS!$A:$D,4,FALSE)="","",VLOOKUP(A2502,[16]PRIORIZADOS!$A:$D,4,FALSE)),"")</f>
        <v>PRIVADO</v>
      </c>
      <c r="E2502" s="261" t="str">
        <f>IFERROR(IF(VLOOKUP(A2502,[16]PRIORIZADOS!$A:$E,5,FALSE)="","",VLOOKUP(A2502,[16]PRIORIZADOS!$A:$E,5,FALSE)),"")</f>
        <v>EPBM</v>
      </c>
      <c r="F2502" s="261" t="str">
        <f>IFERROR(IF(VLOOKUP(A2502,[16]PRIORIZADOS!$A:$F,6,FALSE)="","",VLOOKUP(A2502,[16]PRIORIZADOS!$A:$F,6,FALSE)),"")</f>
        <v>JARDIN_INFANTIL_MIS_PEQUEÑOS_TIMPANITOS</v>
      </c>
      <c r="G2502" s="261" t="str">
        <f>IFERROR(IF(VLOOKUP(A2502,[16]PRIORIZADOS!$A:$G,7,FALSE)="","",VLOOKUP(A2502,[16]PRIORIZADOS!$A:$G,7,FALSE)),"")</f>
        <v>JARDIN INFANTIL MIS PEQUEÑOS TIMPANITOS</v>
      </c>
      <c r="H2502" s="261" t="str">
        <f>IFERROR(IF(VLOOKUP(A2502,[16]PRIORIZADOS!$A:$H,8,FALSE)="","",VLOOKUP(A2502,[16]PRIORIZADOS!$A:$H,8,FALSE)),"")</f>
        <v>Autoevaluación Institucional y Pruebas SABER 11</v>
      </c>
      <c r="I2502" s="261" t="str">
        <f>IFERROR(IF(VLOOKUP(A2502,[16]PRIORIZADOS!$A:$I,9,FALSE)="","",VLOOKUP(A2502,[16]PRIORIZADOS!$A:$I,9,FALSE)),"")</f>
        <v>EVALUACIÓN_CON_FINES_DE_MEJORAMIENTO.</v>
      </c>
      <c r="J2502" s="261" t="str">
        <f>IFERROR(IF(VLOOKUP(A2502,[16]PRIORIZADOS!$A:$J,10,FALSE)="","",VLOOKUP(A2502,[16]PRIORIZADOS!$A:$J,10,FALSE)),"")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02" s="261" t="str">
        <f>IFERROR(IF(VLOOKUP(A2502,[16]PRIORIZADOS!$A:$K,11,FALSE)="","",VLOOKUP(A2502,[16]PRIORIZADOS!$A:$K,11,FALSE)),"")</f>
        <v>CLAUDIA PATRICIA GRANADOS FLÓREZ</v>
      </c>
      <c r="L2502" s="261" t="str">
        <f>IFERROR(IF(VLOOKUP(A2502,[16]PRIORIZADOS!$A:$L,12,FALSE)="","",VLOOKUP(A2502,[16]PRIORIZADOS!$A:$L,12,FALSE)),"")</f>
        <v xml:space="preserve">SANDRA JAZMÍN BAQUERO CÓRDOBA
NELSON AUGUSTO CUBILLOS OLARTE
CLAUDIA PATRICIA GRANADOS FLÓREZ
</v>
      </c>
      <c r="M2502" s="262">
        <f>IFERROR(IF(VLOOKUP(A2502,[16]PRIORIZADOS!$A:$M,13,FALSE)="","",VLOOKUP(A2502,[16]PRIORIZADOS!$A:$M,13,FALSE)),"")</f>
        <v>45930</v>
      </c>
      <c r="N2502" s="262">
        <f>IFERROR(IF(VLOOKUP(A2502,[16]PRIORIZADOS!$A:$N,14,FALSE)="","",VLOOKUP(A2502,[16]PRIORIZADOS!$A:$N,14,FALSE)),"")</f>
        <v>45930</v>
      </c>
      <c r="O2502" s="262">
        <f>IFERROR(IF(VLOOKUP(A2502,[16]PRIORIZADOS!$A:$O,15,FALSE)="","",VLOOKUP(A2502,[16]PRIORIZADOS!$A:$O,15,FALSE)),"")</f>
        <v>45930</v>
      </c>
      <c r="P2502" s="261" t="str">
        <f>IFERROR(IF(VLOOKUP(A2502,[16]PRIORIZADOS!$A:$P,16,FALSE)="","",VLOOKUP(A2502,[16]PRIORIZADOS!$A:$P,16,FALSE)),"")</f>
        <v>Visitas de evaluación con fines de mejoramiento</v>
      </c>
      <c r="Q2502" s="5" t="s">
        <v>493</v>
      </c>
      <c r="R2502" s="261" t="str">
        <f>IFERROR(IF(VLOOKUP(A2502,[16]PRIORIZADOS!$A:$R,18,FALSE)="","",VLOOKUP(A2502,[16]PRIORIZADOS!$A:$R,18,FALSE)),"")</f>
        <v>Revisado el manual de convivencia presentado por la IE Se encuentran novedades frente a aspectos como rutas de atencion., protocolos, de Ley 1620, decreto 1965, decreto 1421 , debido proceso entre otros.</v>
      </c>
      <c r="S2502" s="261" t="str">
        <f>IFERROR(IF(VLOOKUP(A2502,[16]PRIORIZADOS!$A:$S,19,FALSE)="","",VLOOKUP(A2502,[16]PRIORIZADOS!$A:$S,19,FALSE)),"")</f>
        <v>Presentación del PMI  4 de noviembre de 2025</v>
      </c>
      <c r="T2502" s="70" t="str">
        <f>IFERROR(IF(VLOOKUP(A2502,[16]PRIORIZADOS!$A:$T,20,FALSE)="","",VLOOKUP(A2502,[16]PRIORIZADOS!$A:$T,20,FALSE)),"")</f>
        <v>Si</v>
      </c>
      <c r="U2502" s="11" t="str">
        <f>IFERROR(IF(VLOOKUP(A2502,[16]PRIORIZADOS!$A:$U,21,FALSE)="","",VLOOKUP(A2502,[16]PRIORIZADOS!$A:$U,21,FALSE)),"")</f>
        <v>Se revisara el plan de mejoramiento aportado para verificar su pertinencia y porsterior seguimiento para su cumplimiento</v>
      </c>
    </row>
    <row r="2503" spans="1:21" s="1" customFormat="1" ht="84">
      <c r="A2503" s="69">
        <f>IF([16]PRIORIZADOS!A93="","",[16]PRIORIZADOS!A93)</f>
        <v>2479</v>
      </c>
      <c r="B2503" s="70">
        <v>10</v>
      </c>
      <c r="C2503" s="261" t="str">
        <f>IFERROR(IF(VLOOKUP(A2503,[16]PRIORIZADOS!$A:$C,3,FALSE)="","",VLOOKUP(A2503,[16]PRIORIZADOS!$A:$C,3,FALSE)),"")</f>
        <v>TUNJUELITO</v>
      </c>
      <c r="D2503" s="261" t="str">
        <f>IFERROR(IF(VLOOKUP(A2503,[16]PRIORIZADOS!$A:$D,4,FALSE)="","",VLOOKUP(A2503,[16]PRIORIZADOS!$A:$D,4,FALSE)),"")</f>
        <v>PRIVADO</v>
      </c>
      <c r="E2503" s="261" t="str">
        <f>IFERROR(IF(VLOOKUP(A2503,[16]PRIORIZADOS!$A:$E,5,FALSE)="","",VLOOKUP(A2503,[16]PRIORIZADOS!$A:$E,5,FALSE)),"")</f>
        <v>EPBM</v>
      </c>
      <c r="F2503" s="261" t="str">
        <f>IFERROR(IF(VLOOKUP(A2503,[16]PRIORIZADOS!$A:$F,6,FALSE)="","",VLOOKUP(A2503,[16]PRIORIZADOS!$A:$F,6,FALSE)),"")</f>
        <v>JARDIN_INFANTIL_MIS_PEQUEÑOS_TIMPANITOS</v>
      </c>
      <c r="G2503" s="261" t="str">
        <f>IFERROR(IF(VLOOKUP(A2503,[16]PRIORIZADOS!$A:$G,7,FALSE)="","",VLOOKUP(A2503,[16]PRIORIZADOS!$A:$G,7,FALSE)),"")</f>
        <v>JARDIN INFANTIL MIS PEQUEÑOS TIMPANITOS</v>
      </c>
      <c r="H2503" s="261" t="str">
        <f>IFERROR(IF(VLOOKUP(A2503,[16]PRIORIZADOS!$A:$H,8,FALSE)="","",VLOOKUP(A2503,[16]PRIORIZADOS!$A:$H,8,FALSE)),"")</f>
        <v>Autoevaluación Institucional y Pruebas SABER 11</v>
      </c>
      <c r="I2503" s="261" t="str">
        <f>IFERROR(IF(VLOOKUP(A2503,[16]PRIORIZADOS!$A:$I,9,FALSE)="","",VLOOKUP(A2503,[16]PRIORIZADOS!$A:$I,9,FALSE)),"")</f>
        <v>EVALUACIÓN_CON_FINES_DE_MEJORAMIENTO.</v>
      </c>
      <c r="J2503" s="261" t="str">
        <f>IFERROR(IF(VLOOKUP(A2503,[16]PRIORIZADOS!$A:$J,10,FALSE)="","",VLOOKUP(A2503,[16]PRIORIZADOS!$A:$J,10,FALSE)),"")</f>
        <v>Revisar la actualización, socialización e implementación del Sistema Institucional de Evaluación de Estudiantes - SIEE, en articulación con la actualización del PEI y la normatividad vigente.</v>
      </c>
      <c r="K2503" s="261" t="str">
        <f>IFERROR(IF(VLOOKUP(A2503,[16]PRIORIZADOS!$A:$K,11,FALSE)="","",VLOOKUP(A2503,[16]PRIORIZADOS!$A:$K,11,FALSE)),"")</f>
        <v>CLAUDIA PATRICIA GRANADOS FLÓREZ</v>
      </c>
      <c r="L2503" s="261" t="str">
        <f>IFERROR(IF(VLOOKUP(A2503,[16]PRIORIZADOS!$A:$L,12,FALSE)="","",VLOOKUP(A2503,[16]PRIORIZADOS!$A:$L,12,FALSE)),"")</f>
        <v xml:space="preserve">SANDRA JAZMÍN BAQUERO CÓRDOBA
NELSON AUGUSTO CUBILLOS OLARTE
CLAUDIA PATRICIA GRANADOS FLÓREZ
</v>
      </c>
      <c r="M2503" s="262">
        <f>IFERROR(IF(VLOOKUP(A2503,[16]PRIORIZADOS!$A:$M,13,FALSE)="","",VLOOKUP(A2503,[16]PRIORIZADOS!$A:$M,13,FALSE)),"")</f>
        <v>45930</v>
      </c>
      <c r="N2503" s="262">
        <f>IFERROR(IF(VLOOKUP(A2503,[16]PRIORIZADOS!$A:$N,14,FALSE)="","",VLOOKUP(A2503,[16]PRIORIZADOS!$A:$N,14,FALSE)),"")</f>
        <v>45930</v>
      </c>
      <c r="O2503" s="262">
        <f>IFERROR(IF(VLOOKUP(A2503,[16]PRIORIZADOS!$A:$O,15,FALSE)="","",VLOOKUP(A2503,[16]PRIORIZADOS!$A:$O,15,FALSE)),"")</f>
        <v>45930</v>
      </c>
      <c r="P2503" s="261" t="str">
        <f>IFERROR(IF(VLOOKUP(A2503,[16]PRIORIZADOS!$A:$P,16,FALSE)="","",VLOOKUP(A2503,[16]PRIORIZADOS!$A:$P,16,FALSE)),"")</f>
        <v>Visitas de evaluación con fines de mejoramiento</v>
      </c>
      <c r="Q2503" s="5" t="s">
        <v>493</v>
      </c>
      <c r="R2503" s="261" t="str">
        <f>IFERROR(IF(VLOOKUP(A2503,[16]PRIORIZADOS!$A:$R,18,FALSE)="","",VLOOKUP(A2503,[16]PRIORIZADOS!$A:$R,18,FALSE)),"")</f>
        <v>Revisado el SIIE se encuentran novedades frente al contenido mínimo frente al Decreto 1075 de 2015 antes decreto 1290</v>
      </c>
      <c r="S2503" s="261" t="str">
        <f>IFERROR(IF(VLOOKUP(A2503,[16]PRIORIZADOS!$A:$S,19,FALSE)="","",VLOOKUP(A2503,[16]PRIORIZADOS!$A:$S,19,FALSE)),"")</f>
        <v>Presentación del PMI  4 de noviembre de 2025</v>
      </c>
      <c r="T2503" s="70" t="str">
        <f>IFERROR(IF(VLOOKUP(A2503,[16]PRIORIZADOS!$A:$T,20,FALSE)="","",VLOOKUP(A2503,[16]PRIORIZADOS!$A:$T,20,FALSE)),"")</f>
        <v>Si</v>
      </c>
      <c r="U2503" s="11" t="str">
        <f>IFERROR(IF(VLOOKUP(A2503,[16]PRIORIZADOS!$A:$U,21,FALSE)="","",VLOOKUP(A2503,[16]PRIORIZADOS!$A:$U,21,FALSE)),"")</f>
        <v>Se revisara el plan de mejoramiento aportado para verificar su pertinencia y porsterior seguimiento para su cumplimiento</v>
      </c>
    </row>
    <row r="2504" spans="1:21" s="1" customFormat="1" ht="84">
      <c r="A2504" s="69">
        <f>IF([16]PRIORIZADOS!A94="","",[16]PRIORIZADOS!A94)</f>
        <v>2480</v>
      </c>
      <c r="B2504" s="70">
        <v>10</v>
      </c>
      <c r="C2504" s="261" t="str">
        <f>IFERROR(IF(VLOOKUP(A2504,[16]PRIORIZADOS!$A:$C,3,FALSE)="","",VLOOKUP(A2504,[16]PRIORIZADOS!$A:$C,3,FALSE)),"")</f>
        <v>TUNJUELITO</v>
      </c>
      <c r="D2504" s="261" t="str">
        <f>IFERROR(IF(VLOOKUP(A2504,[16]PRIORIZADOS!$A:$D,4,FALSE)="","",VLOOKUP(A2504,[16]PRIORIZADOS!$A:$D,4,FALSE)),"")</f>
        <v>PRIVADO</v>
      </c>
      <c r="E2504" s="261" t="str">
        <f>IFERROR(IF(VLOOKUP(A2504,[16]PRIORIZADOS!$A:$E,5,FALSE)="","",VLOOKUP(A2504,[16]PRIORIZADOS!$A:$E,5,FALSE)),"")</f>
        <v>EPBM</v>
      </c>
      <c r="F2504" s="261" t="str">
        <f>IFERROR(IF(VLOOKUP(A2504,[16]PRIORIZADOS!$A:$F,6,FALSE)="","",VLOOKUP(A2504,[16]PRIORIZADOS!$A:$F,6,FALSE)),"")</f>
        <v>JARDIN_INFANTIL_MIS_PEQUEÑOS_TIMPANITOS</v>
      </c>
      <c r="G2504" s="261" t="str">
        <f>IFERROR(IF(VLOOKUP(A2504,[16]PRIORIZADOS!$A:$G,7,FALSE)="","",VLOOKUP(A2504,[16]PRIORIZADOS!$A:$G,7,FALSE)),"")</f>
        <v>JARDIN INFANTIL MIS PEQUEÑOS TIMPANITOS</v>
      </c>
      <c r="H2504" s="261" t="str">
        <f>IFERROR(IF(VLOOKUP(A2504,[16]PRIORIZADOS!$A:$H,8,FALSE)="","",VLOOKUP(A2504,[16]PRIORIZADOS!$A:$H,8,FALSE)),"")</f>
        <v>Autoevaluación Institucional y Pruebas SABER 11</v>
      </c>
      <c r="I2504" s="261" t="str">
        <f>IFERROR(IF(VLOOKUP(A2504,[16]PRIORIZADOS!$A:$I,9,FALSE)="","",VLOOKUP(A2504,[16]PRIORIZADOS!$A:$I,9,FALSE)),"")</f>
        <v>EVALUACIÓN_CON_FINES_DE_MEJORAMIENTO.</v>
      </c>
      <c r="J2504" s="261" t="str">
        <f>IFERROR(IF(VLOOKUP(A2504,[16]PRIORIZADOS!$A:$J,10,FALSE)="","",VLOOKUP(A2504,[16]PRIORIZADOS!$A:$J,10,FALSE)),"")</f>
        <v>Revisar el calendario escolar, jornada escolar, la intensidad horaria mínima anual en cada nivel y las modificaciones que se realicen al mismo, de acuerdo con lo previsto en la normatividad vigente.</v>
      </c>
      <c r="K2504" s="261" t="str">
        <f>IFERROR(IF(VLOOKUP(A2504,[16]PRIORIZADOS!$A:$K,11,FALSE)="","",VLOOKUP(A2504,[16]PRIORIZADOS!$A:$K,11,FALSE)),"")</f>
        <v>CLAUDIA PATRICIA GRANADOS FLÓREZ</v>
      </c>
      <c r="L2504" s="261" t="str">
        <f>IFERROR(IF(VLOOKUP(A2504,[16]PRIORIZADOS!$A:$L,12,FALSE)="","",VLOOKUP(A2504,[16]PRIORIZADOS!$A:$L,12,FALSE)),"")</f>
        <v xml:space="preserve">SANDRA JAZMÍN BAQUERO CÓRDOBA
NELSON AUGUSTO CUBILLOS OLARTE
CLAUDIA PATRICIA GRANADOS FLÓREZ
</v>
      </c>
      <c r="M2504" s="262">
        <f>IFERROR(IF(VLOOKUP(A2504,[16]PRIORIZADOS!$A:$M,13,FALSE)="","",VLOOKUP(A2504,[16]PRIORIZADOS!$A:$M,13,FALSE)),"")</f>
        <v>45930</v>
      </c>
      <c r="N2504" s="262">
        <f>IFERROR(IF(VLOOKUP(A2504,[16]PRIORIZADOS!$A:$N,14,FALSE)="","",VLOOKUP(A2504,[16]PRIORIZADOS!$A:$N,14,FALSE)),"")</f>
        <v>45930</v>
      </c>
      <c r="O2504" s="262">
        <f>IFERROR(IF(VLOOKUP(A2504,[16]PRIORIZADOS!$A:$O,15,FALSE)="","",VLOOKUP(A2504,[16]PRIORIZADOS!$A:$O,15,FALSE)),"")</f>
        <v>45930</v>
      </c>
      <c r="P2504" s="261" t="str">
        <f>IFERROR(IF(VLOOKUP(A2504,[16]PRIORIZADOS!$A:$P,16,FALSE)="","",VLOOKUP(A2504,[16]PRIORIZADOS!$A:$P,16,FALSE)),"")</f>
        <v>Visitas de evaluación con fines de mejoramiento</v>
      </c>
      <c r="Q2504" s="5" t="s">
        <v>493</v>
      </c>
      <c r="R2504" s="261" t="str">
        <f>IFERROR(IF(VLOOKUP(A2504,[16]PRIORIZADOS!$A:$R,18,FALSE)="","",VLOOKUP(A2504,[16]PRIORIZADOS!$A:$R,18,FALSE)),"")</f>
        <v>Se hace revisión documental y se verifica el cumplimiento de la intensidad horaria establecida en la normatividad vigente. En los horarios presentados, se evidencian el cumplimiento de las horas efectivas anuales por nivel establecidas en la Resolución 1730 del 2004</v>
      </c>
      <c r="S2504" s="261" t="str">
        <f>IFERROR(IF(VLOOKUP(A2504,[16]PRIORIZADOS!$A:$S,19,FALSE)="","",VLOOKUP(A2504,[16]PRIORIZADOS!$A:$S,19,FALSE)),"")</f>
        <v xml:space="preserve">Continuar ejecutando el calendario académicoconforme lo planeado </v>
      </c>
      <c r="T2504" s="70" t="str">
        <f>IFERROR(IF(VLOOKUP(A2504,[16]PRIORIZADOS!$A:$T,20,FALSE)="","",VLOOKUP(A2504,[16]PRIORIZADOS!$A:$T,20,FALSE)),"")</f>
        <v>No</v>
      </c>
      <c r="U2504" s="11" t="str">
        <f>IFERROR(IF(VLOOKUP(A2504,[16]PRIORIZADOS!$A:$U,21,FALSE)="","",VLOOKUP(A2504,[16]PRIORIZADOS!$A:$U,21,FALSE)),"")</f>
        <v>Se verificará la  formulación para la siguiente vigencia o en caso de presentarse una queja</v>
      </c>
    </row>
    <row r="2505" spans="1:21" s="1" customFormat="1" ht="84">
      <c r="A2505" s="69">
        <f>IF([16]PRIORIZADOS!A95="","",[16]PRIORIZADOS!A95)</f>
        <v>2481</v>
      </c>
      <c r="B2505" s="70">
        <v>10</v>
      </c>
      <c r="C2505" s="261" t="str">
        <f>IFERROR(IF(VLOOKUP(A2505,[16]PRIORIZADOS!$A:$C,3,FALSE)="","",VLOOKUP(A2505,[16]PRIORIZADOS!$A:$C,3,FALSE)),"")</f>
        <v>TUNJUELITO</v>
      </c>
      <c r="D2505" s="261" t="str">
        <f>IFERROR(IF(VLOOKUP(A2505,[16]PRIORIZADOS!$A:$D,4,FALSE)="","",VLOOKUP(A2505,[16]PRIORIZADOS!$A:$D,4,FALSE)),"")</f>
        <v>PRIVADO</v>
      </c>
      <c r="E2505" s="261" t="str">
        <f>IFERROR(IF(VLOOKUP(A2505,[16]PRIORIZADOS!$A:$E,5,FALSE)="","",VLOOKUP(A2505,[16]PRIORIZADOS!$A:$E,5,FALSE)),"")</f>
        <v>EPBM</v>
      </c>
      <c r="F2505" s="261" t="str">
        <f>IFERROR(IF(VLOOKUP(A2505,[16]PRIORIZADOS!$A:$F,6,FALSE)="","",VLOOKUP(A2505,[16]PRIORIZADOS!$A:$F,6,FALSE)),"")</f>
        <v>JARDIN_INFANTIL_MIS_PEQUEÑOS_TIMPANITOS</v>
      </c>
      <c r="G2505" s="261" t="str">
        <f>IFERROR(IF(VLOOKUP(A2505,[16]PRIORIZADOS!$A:$G,7,FALSE)="","",VLOOKUP(A2505,[16]PRIORIZADOS!$A:$G,7,FALSE)),"")</f>
        <v>JARDIN INFANTIL MIS PEQUEÑOS TIMPANITOS</v>
      </c>
      <c r="H2505" s="261" t="str">
        <f>IFERROR(IF(VLOOKUP(A2505,[16]PRIORIZADOS!$A:$H,8,FALSE)="","",VLOOKUP(A2505,[16]PRIORIZADOS!$A:$H,8,FALSE)),"")</f>
        <v>Autoevaluación Institucional y Pruebas SABER 11</v>
      </c>
      <c r="I2505" s="261" t="str">
        <f>IFERROR(IF(VLOOKUP(A2505,[16]PRIORIZADOS!$A:$I,9,FALSE)="","",VLOOKUP(A2505,[16]PRIORIZADOS!$A:$I,9,FALSE)),"")</f>
        <v>EVALUACIÓN_CON_FINES_DE_MEJORAMIENTO.</v>
      </c>
      <c r="J2505" s="261" t="str">
        <f>IFERROR(IF(VLOOKUP(A2505,[16]PRIORIZADOS!$A:$J,10,FALSE)="","",VLOOKUP(A2505,[16]PRIORIZADOS!$A:$J,10,FALSE)),"")</f>
        <v>Verificar el funcionamiento del Gobierno Escolar e instancias de participación con base en la información sobre conformación reportada por la institución educativa.</v>
      </c>
      <c r="K2505" s="261" t="str">
        <f>IFERROR(IF(VLOOKUP(A2505,[16]PRIORIZADOS!$A:$K,11,FALSE)="","",VLOOKUP(A2505,[16]PRIORIZADOS!$A:$K,11,FALSE)),"")</f>
        <v>CLAUDIA PATRICIA GRANADOS FLÓREZ</v>
      </c>
      <c r="L2505" s="261" t="str">
        <f>IFERROR(IF(VLOOKUP(A2505,[16]PRIORIZADOS!$A:$L,12,FALSE)="","",VLOOKUP(A2505,[16]PRIORIZADOS!$A:$L,12,FALSE)),"")</f>
        <v xml:space="preserve">SANDRA JAZMÍN BAQUERO CÓRDOBA
NELSON AUGUSTO CUBILLOS OLARTE
CLAUDIA PATRICIA GRANADOS FLÓREZ
</v>
      </c>
      <c r="M2505" s="262">
        <f>IFERROR(IF(VLOOKUP(A2505,[16]PRIORIZADOS!$A:$M,13,FALSE)="","",VLOOKUP(A2505,[16]PRIORIZADOS!$A:$M,13,FALSE)),"")</f>
        <v>45930</v>
      </c>
      <c r="N2505" s="262">
        <f>IFERROR(IF(VLOOKUP(A2505,[16]PRIORIZADOS!$A:$N,14,FALSE)="","",VLOOKUP(A2505,[16]PRIORIZADOS!$A:$N,14,FALSE)),"")</f>
        <v>45930</v>
      </c>
      <c r="O2505" s="262">
        <f>IFERROR(IF(VLOOKUP(A2505,[16]PRIORIZADOS!$A:$O,15,FALSE)="","",VLOOKUP(A2505,[16]PRIORIZADOS!$A:$O,15,FALSE)),"")</f>
        <v>45930</v>
      </c>
      <c r="P2505" s="261" t="str">
        <f>IFERROR(IF(VLOOKUP(A2505,[16]PRIORIZADOS!$A:$P,16,FALSE)="","",VLOOKUP(A2505,[16]PRIORIZADOS!$A:$P,16,FALSE)),"")</f>
        <v>Visitas de evaluación con fines de mejoramiento</v>
      </c>
      <c r="Q2505" s="5" t="s">
        <v>493</v>
      </c>
      <c r="R2505" s="261" t="str">
        <f>IFERROR(IF(VLOOKUP(A2505,[16]PRIORIZADOS!$A:$R,18,FALSE)="","",VLOOKUP(A2505,[16]PRIORIZADOS!$A:$R,18,FALSE)),"")</f>
        <v>El colegio presenta las actas de cada una de las instancias donde se evidencia su funcionamiento años 2024 y 2025.</v>
      </c>
      <c r="S2505" s="261" t="str">
        <f>IFERROR(IF(VLOOKUP(A2505,[16]PRIORIZADOS!$A:$S,19,FALSE)="","",VLOOKUP(A2505,[16]PRIORIZADOS!$A:$S,19,FALSE)),"")</f>
        <v>La institución cumple con el funcionamiento del gobierno escolar.</v>
      </c>
      <c r="T2505" s="70" t="str">
        <f>IFERROR(IF(VLOOKUP(A2505,[16]PRIORIZADOS!$A:$T,20,FALSE)="","",VLOOKUP(A2505,[16]PRIORIZADOS!$A:$T,20,FALSE)),"")</f>
        <v>No</v>
      </c>
      <c r="U2505" s="11" t="str">
        <f>IFERROR(IF(VLOOKUP(A2505,[16]PRIORIZADOS!$A:$U,21,FALSE)="","",VLOOKUP(A2505,[16]PRIORIZADOS!$A:$U,21,FALSE)),"")</f>
        <v>Se verificará la conformación y funcionamiento en la siguiente vigencia o en caso de presentarse una queja</v>
      </c>
    </row>
    <row r="2506" spans="1:21" s="1" customFormat="1" ht="84">
      <c r="A2506" s="69">
        <f>IF([16]PRIORIZADOS!A96="","",[16]PRIORIZADOS!A96)</f>
        <v>2482</v>
      </c>
      <c r="B2506" s="70">
        <v>10</v>
      </c>
      <c r="C2506" s="261" t="str">
        <f>IFERROR(IF(VLOOKUP(A2506,[16]PRIORIZADOS!$A:$C,3,FALSE)="","",VLOOKUP(A2506,[16]PRIORIZADOS!$A:$C,3,FALSE)),"")</f>
        <v>TUNJUELITO</v>
      </c>
      <c r="D2506" s="261" t="str">
        <f>IFERROR(IF(VLOOKUP(A2506,[16]PRIORIZADOS!$A:$D,4,FALSE)="","",VLOOKUP(A2506,[16]PRIORIZADOS!$A:$D,4,FALSE)),"")</f>
        <v>PRIVADO</v>
      </c>
      <c r="E2506" s="261" t="str">
        <f>IFERROR(IF(VLOOKUP(A2506,[16]PRIORIZADOS!$A:$E,5,FALSE)="","",VLOOKUP(A2506,[16]PRIORIZADOS!$A:$E,5,FALSE)),"")</f>
        <v>EPBM</v>
      </c>
      <c r="F2506" s="261" t="str">
        <f>IFERROR(IF(VLOOKUP(A2506,[16]PRIORIZADOS!$A:$F,6,FALSE)="","",VLOOKUP(A2506,[16]PRIORIZADOS!$A:$F,6,FALSE)),"")</f>
        <v>JARDIN_INFANTIL_MIS_PEQUEÑOS_TIMPANITOS</v>
      </c>
      <c r="G2506" s="261" t="str">
        <f>IFERROR(IF(VLOOKUP(A2506,[16]PRIORIZADOS!$A:$G,7,FALSE)="","",VLOOKUP(A2506,[16]PRIORIZADOS!$A:$G,7,FALSE)),"")</f>
        <v>JARDIN INFANTIL MIS PEQUEÑOS TIMPANITOS</v>
      </c>
      <c r="H2506" s="261" t="str">
        <f>IFERROR(IF(VLOOKUP(A2506,[16]PRIORIZADOS!$A:$H,8,FALSE)="","",VLOOKUP(A2506,[16]PRIORIZADOS!$A:$H,8,FALSE)),"")</f>
        <v>Autoevaluación Institucional y Pruebas SABER 11</v>
      </c>
      <c r="I2506" s="261" t="str">
        <f>IFERROR(IF(VLOOKUP(A2506,[16]PRIORIZADOS!$A:$I,9,FALSE)="","",VLOOKUP(A2506,[16]PRIORIZADOS!$A:$I,9,FALSE)),"")</f>
        <v>EVALUACIÓN_CON_FINES_DE_MEJORAMIENTO.</v>
      </c>
      <c r="J2506" s="261" t="str">
        <f>IFERROR(IF(VLOOKUP(A2506,[16]PRIORIZADOS!$A:$J,10,FALSE)="","",VLOOKUP(A2506,[16]PRIORIZADOS!$A:$J,10,FALSE)),"")</f>
        <v>Verificar las condiciones en cuanto a: la estructura administrativa, condiciones de la planta física y medios educativos adecuados.</v>
      </c>
      <c r="K2506" s="261" t="str">
        <f>IFERROR(IF(VLOOKUP(A2506,[16]PRIORIZADOS!$A:$K,11,FALSE)="","",VLOOKUP(A2506,[16]PRIORIZADOS!$A:$K,11,FALSE)),"")</f>
        <v>CLAUDIA PATRICIA GRANADOS FLÓREZ</v>
      </c>
      <c r="L2506" s="261" t="str">
        <f>IFERROR(IF(VLOOKUP(A2506,[16]PRIORIZADOS!$A:$L,12,FALSE)="","",VLOOKUP(A2506,[16]PRIORIZADOS!$A:$L,12,FALSE)),"")</f>
        <v xml:space="preserve">SANDRA JAZMÍN BAQUERO CÓRDOBA
NELSON AUGUSTO CUBILLOS OLARTE
CLAUDIA PATRICIA GRANADOS FLÓREZ
</v>
      </c>
      <c r="M2506" s="262">
        <f>IFERROR(IF(VLOOKUP(A2506,[16]PRIORIZADOS!$A:$M,13,FALSE)="","",VLOOKUP(A2506,[16]PRIORIZADOS!$A:$M,13,FALSE)),"")</f>
        <v>45930</v>
      </c>
      <c r="N2506" s="262">
        <f>IFERROR(IF(VLOOKUP(A2506,[16]PRIORIZADOS!$A:$N,14,FALSE)="","",VLOOKUP(A2506,[16]PRIORIZADOS!$A:$N,14,FALSE)),"")</f>
        <v>45930</v>
      </c>
      <c r="O2506" s="262">
        <f>IFERROR(IF(VLOOKUP(A2506,[16]PRIORIZADOS!$A:$O,15,FALSE)="","",VLOOKUP(A2506,[16]PRIORIZADOS!$A:$O,15,FALSE)),"")</f>
        <v>45930</v>
      </c>
      <c r="P2506" s="261" t="str">
        <f>IFERROR(IF(VLOOKUP(A2506,[16]PRIORIZADOS!$A:$P,16,FALSE)="","",VLOOKUP(A2506,[16]PRIORIZADOS!$A:$P,16,FALSE)),"")</f>
        <v>Visitas de evaluación con fines de mejoramiento</v>
      </c>
      <c r="Q2506" s="45" t="s">
        <v>493</v>
      </c>
      <c r="R2506" s="261" t="str">
        <f>IFERROR(IF(VLOOKUP(A2506,[16]PRIORIZADOS!$A:$R,18,FALSE)="","",VLOOKUP(A2506,[16]PRIORIZADOS!$A:$R,18,FALSE)),"")</f>
        <v>Se evidencia carencia de espacios en la infraestructura como baño para poblacion con discapacidad, adecuar espacios dado que se evidencia desorden</v>
      </c>
      <c r="S2506" s="261" t="str">
        <f>IFERROR(IF(VLOOKUP(A2506,[16]PRIORIZADOS!$A:$S,19,FALSE)="","",VLOOKUP(A2506,[16]PRIORIZADOS!$A:$S,19,FALSE)),"")</f>
        <v>Presentación del PMI  4 de noviembre de 2025</v>
      </c>
      <c r="T2506" s="70" t="str">
        <f>IFERROR(IF(VLOOKUP(A2506,[16]PRIORIZADOS!$A:$T,20,FALSE)="","",VLOOKUP(A2506,[16]PRIORIZADOS!$A:$T,20,FALSE)),"")</f>
        <v>Si</v>
      </c>
      <c r="U2506" s="11" t="str">
        <f>IFERROR(IF(VLOOKUP(A2506,[16]PRIORIZADOS!$A:$U,21,FALSE)="","",VLOOKUP(A2506,[16]PRIORIZADOS!$A:$U,21,FALSE)),"")</f>
        <v>Se revisara el plan de mejoramiento aportado para verificar su pertinencia y porsterior seguimiento para su cumplimiento</v>
      </c>
    </row>
    <row r="2507" spans="1:21" s="1" customFormat="1" ht="107.25">
      <c r="A2507" s="69">
        <f>IF([16]PRIORIZADOS!A97="","",[16]PRIORIZADOS!A97)</f>
        <v>2486</v>
      </c>
      <c r="B2507" s="70">
        <v>11</v>
      </c>
      <c r="C2507" s="261" t="str">
        <f>IFERROR(IF(VLOOKUP(A2507,[16]PRIORIZADOS!$A:$C,3,FALSE)="","",VLOOKUP(A2507,[16]PRIORIZADOS!$A:$C,3,FALSE)),"")</f>
        <v>TUNJUELITO</v>
      </c>
      <c r="D2507" s="261" t="str">
        <f>IFERROR(IF(VLOOKUP(A2507,[16]PRIORIZADOS!$A:$D,4,FALSE)="","",VLOOKUP(A2507,[16]PRIORIZADOS!$A:$D,4,FALSE)),"")</f>
        <v>PRIVADO</v>
      </c>
      <c r="E2507" s="261" t="str">
        <f>IFERROR(IF(VLOOKUP(A2507,[16]PRIORIZADOS!$A:$E,5,FALSE)="","",VLOOKUP(A2507,[16]PRIORIZADOS!$A:$E,5,FALSE)),"")</f>
        <v>EPBM</v>
      </c>
      <c r="F2507" s="261" t="str">
        <f>IFERROR(IF(VLOOKUP(A2507,[16]PRIORIZADOS!$A:$F,6,FALSE)="","",VLOOKUP(A2507,[16]PRIORIZADOS!$A:$F,6,FALSE)),"")</f>
        <v>INSTITUTO_BILINGÜE_DEL_SUR</v>
      </c>
      <c r="G2507" s="261" t="str">
        <f>IFERROR(IF(VLOOKUP(A2507,[16]PRIORIZADOS!$A:$G,7,FALSE)="","",VLOOKUP(A2507,[16]PRIORIZADOS!$A:$G,7,FALSE)),"")</f>
        <v>INSTITUTO BILINGÜE DEL SUR</v>
      </c>
      <c r="H2507" s="261" t="str">
        <f>IFERROR(IF(VLOOKUP(A2507,[16]PRIORIZADOS!$A:$H,8,FALSE)="","",VLOOKUP(A2507,[16]PRIORIZADOS!$A:$H,8,FALSE)),"")</f>
        <v>Autoevaluación Institucional y Pruebas SABER 11</v>
      </c>
      <c r="I2507" s="261" t="str">
        <f>IFERROR(IF(VLOOKUP(A2507,[16]PRIORIZADOS!$A:$I,9,FALSE)="","",VLOOKUP(A2507,[16]PRIORIZADOS!$A:$I,9,FALSE)),"")</f>
        <v>SEGUIMIENTO_Y_SUPERVISIÓN.</v>
      </c>
      <c r="J2507" s="261" t="str">
        <f>IFERROR(IF(VLOOKUP(A2507,[16]PRIORIZADOS!$A:$J,10,FALSE)="","",VLOOKUP(A2507,[16]PRIORIZADOS!$A:$J,10,FALSE)),"")</f>
        <v xml:space="preserve">Verificar la implementación por parte de los colegios, de acciones realizadas para la prevención y atención de las situaciones de convivencia en el entorno escolar, según lo establecido en la Directiva 01 de 2022 del MEN. </v>
      </c>
      <c r="K2507" s="261" t="str">
        <f>IFERROR(IF(VLOOKUP(A2507,[16]PRIORIZADOS!$A:$K,11,FALSE)="","",VLOOKUP(A2507,[16]PRIORIZADOS!$A:$K,11,FALSE)),"")</f>
        <v>NELSON AUGUSTO CUBILLOS OLARTE</v>
      </c>
      <c r="L2507" s="261" t="str">
        <f>IFERROR(IF(VLOOKUP(A2507,[16]PRIORIZADOS!$A:$L,12,FALSE)="","",VLOOKUP(A2507,[16]PRIORIZADOS!$A:$L,12,FALSE)),"")</f>
        <v xml:space="preserve">SANDRA JAZMÍN BAQUERO CÓRDOBA
NELSON AUGUSTO CUBILLOS OLARTE
CLAUDIA PATRICIA GRANADOS FLÓREZ
</v>
      </c>
      <c r="M2507" s="262">
        <f>IFERROR(IF(VLOOKUP(A2507,[16]PRIORIZADOS!$A:$M,13,FALSE)="","",VLOOKUP(A2507,[16]PRIORIZADOS!$A:$M,13,FALSE)),"")</f>
        <v>45788</v>
      </c>
      <c r="N2507" s="262">
        <f>IFERROR(IF(VLOOKUP(A2507,[16]PRIORIZADOS!$A:$N,14,FALSE)="","",VLOOKUP(A2507,[16]PRIORIZADOS!$A:$N,14,FALSE)),"")</f>
        <v>45933</v>
      </c>
      <c r="O2507" s="262">
        <f>IFERROR(IF(VLOOKUP(A2507,[16]PRIORIZADOS!$A:$O,15,FALSE)="","",VLOOKUP(A2507,[16]PRIORIZADOS!$A:$O,15,FALSE)),"")</f>
        <v>45933</v>
      </c>
      <c r="P2507" s="261" t="str">
        <f>IFERROR(IF(VLOOKUP(A2507,[16]PRIORIZADOS!$A:$P,16,FALSE)="","",VLOOKUP(A2507,[16]PRIORIZADOS!$A:$P,16,FALSE)),"")</f>
        <v>Visitas de evaluación con fines de mejoramiento</v>
      </c>
      <c r="Q2507" s="5" t="s">
        <v>494</v>
      </c>
      <c r="R2507" s="261" t="str">
        <f>IFERROR(IF(VLOOKUP(A2507,[16]PRIORIZADOS!$A:$R,18,FALSE)="","",VLOOKUP(A2507,[16]PRIORIZADOS!$A:$R,18,FALSE)),"")</f>
        <v>LA institución realiza los proceso de ingreso solicitando los documentos respectivos, realiza charlas con los docentes sobre el tema con apoyo de la OCE, pero no realiza la verificación cada cuatro meses el registro del registro de inhabilidades por delitos sexuales contra la libertad e integridad de niños, niñas y adolescentes</v>
      </c>
      <c r="S2507" s="261" t="str">
        <f>IFERROR(IF(VLOOKUP(A2507,[16]PRIORIZADOS!$A:$S,19,FALSE)="","",VLOOKUP(A2507,[16]PRIORIZADOS!$A:$S,19,FALSE)),"")</f>
        <v>Elaborar procedimiento, formatos y coronograma para el registro de el registro de inhabilidades por delitos sexuales contra la libertad e integridad de niños, niñas y adolescentes.</v>
      </c>
      <c r="T2507" s="70" t="str">
        <f>IFERROR(IF(VLOOKUP(A2507,[16]PRIORIZADOS!$A:$T,20,FALSE)="","",VLOOKUP(A2507,[16]PRIORIZADOS!$A:$T,20,FALSE)),"")</f>
        <v>SI</v>
      </c>
      <c r="U2507" s="11" t="str">
        <f>IFERROR(IF(VLOOKUP(A2507,[16]PRIORIZADOS!$A:$U,21,FALSE)="","",VLOOKUP(A2507,[16]PRIORIZADOS!$A:$U,21,FALSE)),"")</f>
        <v>Se realizará la verificación documental del procedimiento y proceso y el año siguiente de las verificaciones.</v>
      </c>
    </row>
    <row r="2508" spans="1:21" s="1" customFormat="1" ht="84">
      <c r="A2508" s="69">
        <f>IF([16]PRIORIZADOS!A98="","",[16]PRIORIZADOS!A98)</f>
        <v>2858</v>
      </c>
      <c r="B2508" s="70">
        <v>11</v>
      </c>
      <c r="C2508" s="261" t="str">
        <f>IFERROR(IF(VLOOKUP(A2508,[16]PRIORIZADOS!$A:$C,3,FALSE)="","",VLOOKUP(A2508,[16]PRIORIZADOS!$A:$C,3,FALSE)),"")</f>
        <v>TUNJUELITO</v>
      </c>
      <c r="D2508" s="261" t="str">
        <f>IFERROR(IF(VLOOKUP(A2508,[16]PRIORIZADOS!$A:$D,4,FALSE)="","",VLOOKUP(A2508,[16]PRIORIZADOS!$A:$D,4,FALSE)),"")</f>
        <v>PRIVADO</v>
      </c>
      <c r="E2508" s="261" t="str">
        <f>IFERROR(IF(VLOOKUP(A2508,[16]PRIORIZADOS!$A:$E,5,FALSE)="","",VLOOKUP(A2508,[16]PRIORIZADOS!$A:$E,5,FALSE)),"")</f>
        <v>EPBM</v>
      </c>
      <c r="F2508" s="261" t="str">
        <f>IFERROR(IF(VLOOKUP(A2508,[16]PRIORIZADOS!$A:$F,6,FALSE)="","",VLOOKUP(A2508,[16]PRIORIZADOS!$A:$F,6,FALSE)),"")</f>
        <v>INSTITUTO_BILINGÜE_DEL_SUR</v>
      </c>
      <c r="G2508" s="261" t="str">
        <f>IFERROR(IF(VLOOKUP(A2508,[16]PRIORIZADOS!$A:$G,7,FALSE)="","",VLOOKUP(A2508,[16]PRIORIZADOS!$A:$G,7,FALSE)),"")</f>
        <v>INSTITUTO BILINGÜE DEL SUR</v>
      </c>
      <c r="H2508" s="261" t="str">
        <f>IFERROR(IF(VLOOKUP(A2508,[16]PRIORIZADOS!$A:$H,8,FALSE)="","",VLOOKUP(A2508,[16]PRIORIZADOS!$A:$H,8,FALSE)),"")</f>
        <v>Autoevaluación Institucional y Pruebas SABER 11</v>
      </c>
      <c r="I2508" s="261" t="str">
        <f>IFERROR(IF(VLOOKUP(A2508,[16]PRIORIZADOS!$A:$I,9,FALSE)="","",VLOOKUP(A2508,[16]PRIORIZADOS!$A:$I,9,FALSE)),"")</f>
        <v>SEGUIMIENTO_Y_SUPERVISIÓN.</v>
      </c>
      <c r="J2508" s="261" t="str">
        <f>IFERROR(IF(VLOOKUP(A2508,[16]PRIORIZADOS!$A:$J,10,FALSE)="","",VLOOKUP(A2508,[16]PRIORIZADOS!$A:$J,10,FALSE)),"")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08" s="261" t="str">
        <f>IFERROR(IF(VLOOKUP(A2508,[16]PRIORIZADOS!$A:$K,11,FALSE)="","",VLOOKUP(A2508,[16]PRIORIZADOS!$A:$K,11,FALSE)),"")</f>
        <v>NELSON AUGUSTO CUBILLOS OLARTE</v>
      </c>
      <c r="L2508" s="261" t="str">
        <f>IFERROR(IF(VLOOKUP(A2508,[16]PRIORIZADOS!$A:$L,12,FALSE)="","",VLOOKUP(A2508,[16]PRIORIZADOS!$A:$L,12,FALSE)),"")</f>
        <v xml:space="preserve">SANDRA JAZMÍN BAQUERO CÓRDOBA
NELSON AUGUSTO CUBILLOS OLARTE
CLAUDIA PATRICIA GRANADOS FLÓREZ
</v>
      </c>
      <c r="M2508" s="262">
        <f>IFERROR(IF(VLOOKUP(A2508,[16]PRIORIZADOS!$A:$M,13,FALSE)="","",VLOOKUP(A2508,[16]PRIORIZADOS!$A:$M,13,FALSE)),"")</f>
        <v>45788</v>
      </c>
      <c r="N2508" s="262">
        <f>IFERROR(IF(VLOOKUP(A2508,[16]PRIORIZADOS!$A:$N,14,FALSE)="","",VLOOKUP(A2508,[16]PRIORIZADOS!$A:$N,14,FALSE)),"")</f>
        <v>45933</v>
      </c>
      <c r="O2508" s="262">
        <f>IFERROR(IF(VLOOKUP(A2508,[16]PRIORIZADOS!$A:$O,15,FALSE)="","",VLOOKUP(A2508,[16]PRIORIZADOS!$A:$O,15,FALSE)),"")</f>
        <v>45933</v>
      </c>
      <c r="P2508" s="261" t="str">
        <f>IFERROR(IF(VLOOKUP(A2508,[16]PRIORIZADOS!$A:$P,16,FALSE)="","",VLOOKUP(A2508,[16]PRIORIZADOS!$A:$P,16,FALSE)),"")</f>
        <v>Visitas de evaluación con fines de mejoramiento</v>
      </c>
      <c r="Q2508" s="5" t="s">
        <v>494</v>
      </c>
      <c r="R2508" s="261" t="str">
        <f>IFERROR(IF(VLOOKUP(A2508,[16]PRIORIZADOS!$A:$R,18,FALSE)="","",VLOOKUP(A2508,[16]PRIORIZADOS!$A:$R,18,FALSE)),"")</f>
        <v>El colegio elabora algunos formatos de PIAR, de acuerdo con los dignósticos de los niños, de acuerdo a lo mencionado en la resolución 1421 de 2017.</v>
      </c>
      <c r="S2508" s="261" t="str">
        <f>IFERROR(IF(VLOOKUP(A2508,[16]PRIORIZADOS!$A:$S,19,FALSE)="","",VLOOKUP(A2508,[16]PRIORIZADOS!$A:$S,19,FALSE)),"")</f>
        <v>Los formatos que se elaboran no esan completamente diligenciados y les faltan las firmas, se deben reconsiderar las conceptualizaciones como Barreras entendidas no desde las posibles limitaciones del niño sino las que interpone el medio.</v>
      </c>
      <c r="T2508" s="70" t="str">
        <f>IFERROR(IF(VLOOKUP(A2508,[16]PRIORIZADOS!$A:$T,20,FALSE)="","",VLOOKUP(A2508,[16]PRIORIZADOS!$A:$T,20,FALSE)),"")</f>
        <v>Si</v>
      </c>
      <c r="U2508" s="11" t="str">
        <f>IFERROR(IF(VLOOKUP(A2508,[16]PRIORIZADOS!$A:$U,21,FALSE)="","",VLOOKUP(A2508,[16]PRIORIZADOS!$A:$U,21,FALSE)),"")</f>
        <v xml:space="preserve">Se realizará la verificación documental de los planes ajustados para generar orientaciones sies del caso. </v>
      </c>
    </row>
    <row r="2509" spans="1:21" s="1" customFormat="1" ht="84">
      <c r="A2509" s="69">
        <f>IF([16]PRIORIZADOS!A99="","",[16]PRIORIZADOS!A99)</f>
        <v>2487</v>
      </c>
      <c r="B2509" s="70">
        <v>11</v>
      </c>
      <c r="C2509" s="261" t="str">
        <f>IFERROR(IF(VLOOKUP(A2509,[16]PRIORIZADOS!$A:$C,3,FALSE)="","",VLOOKUP(A2509,[16]PRIORIZADOS!$A:$C,3,FALSE)),"")</f>
        <v>TUNJUELITO</v>
      </c>
      <c r="D2509" s="261" t="str">
        <f>IFERROR(IF(VLOOKUP(A2509,[16]PRIORIZADOS!$A:$D,4,FALSE)="","",VLOOKUP(A2509,[16]PRIORIZADOS!$A:$D,4,FALSE)),"")</f>
        <v>PRIVADO</v>
      </c>
      <c r="E2509" s="261" t="str">
        <f>IFERROR(IF(VLOOKUP(A2509,[16]PRIORIZADOS!$A:$E,5,FALSE)="","",VLOOKUP(A2509,[16]PRIORIZADOS!$A:$E,5,FALSE)),"")</f>
        <v>EPBM</v>
      </c>
      <c r="F2509" s="261" t="str">
        <f>IFERROR(IF(VLOOKUP(A2509,[16]PRIORIZADOS!$A:$F,6,FALSE)="","",VLOOKUP(A2509,[16]PRIORIZADOS!$A:$F,6,FALSE)),"")</f>
        <v>INSTITUTO_BILINGÜE_DEL_SUR</v>
      </c>
      <c r="G2509" s="261" t="str">
        <f>IFERROR(IF(VLOOKUP(A2509,[16]PRIORIZADOS!$A:$G,7,FALSE)="","",VLOOKUP(A2509,[16]PRIORIZADOS!$A:$G,7,FALSE)),"")</f>
        <v>INSTITUTO BILINGÜE DEL SUR</v>
      </c>
      <c r="H2509" s="261" t="str">
        <f>IFERROR(IF(VLOOKUP(A2509,[16]PRIORIZADOS!$A:$H,8,FALSE)="","",VLOOKUP(A2509,[16]PRIORIZADOS!$A:$H,8,FALSE)),"")</f>
        <v>Autoevaluación Institucional y Pruebas SABER 11</v>
      </c>
      <c r="I2509" s="261" t="str">
        <f>IFERROR(IF(VLOOKUP(A2509,[16]PRIORIZADOS!$A:$I,9,FALSE)="","",VLOOKUP(A2509,[16]PRIORIZADOS!$A:$I,9,FALSE)),"")</f>
        <v>EVALUACIÓN_CON_FINES_DE_MEJORAMIENTO.</v>
      </c>
      <c r="J2509" s="261" t="str">
        <f>IFERROR(IF(VLOOKUP(A2509,[16]PRIORIZADOS!$A:$J,10,FALSE)="","",VLOOKUP(A2509,[16]PRIORIZADOS!$A:$J,10,FALSE)),"")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09" s="261" t="str">
        <f>IFERROR(IF(VLOOKUP(A2509,[16]PRIORIZADOS!$A:$K,11,FALSE)="","",VLOOKUP(A2509,[16]PRIORIZADOS!$A:$K,11,FALSE)),"")</f>
        <v>NELSON AUGUSTO CUBILLOS OLARTE</v>
      </c>
      <c r="L2509" s="261" t="str">
        <f>IFERROR(IF(VLOOKUP(A2509,[16]PRIORIZADOS!$A:$L,12,FALSE)="","",VLOOKUP(A2509,[16]PRIORIZADOS!$A:$L,12,FALSE)),"")</f>
        <v xml:space="preserve">SANDRA JAZMÍN BAQUERO CÓRDOBA
NELSON AUGUSTO CUBILLOS OLARTE
CLAUDIA PATRICIA GRANADOS FLÓREZ
</v>
      </c>
      <c r="M2509" s="262">
        <f>IFERROR(IF(VLOOKUP(A2509,[16]PRIORIZADOS!$A:$M,13,FALSE)="","",VLOOKUP(A2509,[16]PRIORIZADOS!$A:$M,13,FALSE)),"")</f>
        <v>45788</v>
      </c>
      <c r="N2509" s="262">
        <f>IFERROR(IF(VLOOKUP(A2509,[16]PRIORIZADOS!$A:$N,14,FALSE)="","",VLOOKUP(A2509,[16]PRIORIZADOS!$A:$N,14,FALSE)),"")</f>
        <v>45933</v>
      </c>
      <c r="O2509" s="262">
        <f>IFERROR(IF(VLOOKUP(A2509,[16]PRIORIZADOS!$A:$O,15,FALSE)="","",VLOOKUP(A2509,[16]PRIORIZADOS!$A:$O,15,FALSE)),"")</f>
        <v>45933</v>
      </c>
      <c r="P2509" s="261" t="str">
        <f>IFERROR(IF(VLOOKUP(A2509,[16]PRIORIZADOS!$A:$P,16,FALSE)="","",VLOOKUP(A2509,[16]PRIORIZADOS!$A:$P,16,FALSE)),"")</f>
        <v>Visitas de evaluación con fines de mejoramiento</v>
      </c>
      <c r="Q2509" s="5" t="s">
        <v>494</v>
      </c>
      <c r="R2509" s="261" t="str">
        <f>IFERROR(IF(VLOOKUP(A2509,[16]PRIORIZADOS!$A:$R,18,FALSE)="","",VLOOKUP(A2509,[16]PRIORIZADOS!$A:$R,18,FALSE)),"")</f>
        <v>No se remitió con anticipación el Manual de convivencia, de acuerdo con la solicitud del 21 de febrero.</v>
      </c>
      <c r="S2509" s="261" t="str">
        <f>IFERROR(IF(VLOOKUP(A2509,[16]PRIORIZADOS!$A:$S,19,FALSE)="","",VLOOKUP(A2509,[16]PRIORIZADOS!$A:$S,19,FALSE)),"")</f>
        <v>Se solicita el envío del Manual para su valoración y orientaciones.</v>
      </c>
      <c r="T2509" s="70" t="str">
        <f>IFERROR(IF(VLOOKUP(A2509,[16]PRIORIZADOS!$A:$T,20,FALSE)="","",VLOOKUP(A2509,[16]PRIORIZADOS!$A:$T,20,FALSE)),"")</f>
        <v>Si</v>
      </c>
      <c r="U2509" s="11" t="str">
        <f>IFERROR(IF(VLOOKUP(A2509,[16]PRIORIZADOS!$A:$U,21,FALSE)="","",VLOOKUP(A2509,[16]PRIORIZADOS!$A:$U,21,FALSE)),"")</f>
        <v>una vez se reciba el Manual se realizará la verificación y oerinetaciones por parte del ELIV.</v>
      </c>
    </row>
    <row r="2510" spans="1:21" s="1" customFormat="1" ht="84">
      <c r="A2510" s="69">
        <f>IF([16]PRIORIZADOS!A100="","",[16]PRIORIZADOS!A100)</f>
        <v>2488</v>
      </c>
      <c r="B2510" s="70">
        <v>11</v>
      </c>
      <c r="C2510" s="261" t="str">
        <f>IFERROR(IF(VLOOKUP(A2510,[16]PRIORIZADOS!$A:$C,3,FALSE)="","",VLOOKUP(A2510,[16]PRIORIZADOS!$A:$C,3,FALSE)),"")</f>
        <v>TUNJUELITO</v>
      </c>
      <c r="D2510" s="261" t="str">
        <f>IFERROR(IF(VLOOKUP(A2510,[16]PRIORIZADOS!$A:$D,4,FALSE)="","",VLOOKUP(A2510,[16]PRIORIZADOS!$A:$D,4,FALSE)),"")</f>
        <v>PRIVADO</v>
      </c>
      <c r="E2510" s="261" t="str">
        <f>IFERROR(IF(VLOOKUP(A2510,[16]PRIORIZADOS!$A:$E,5,FALSE)="","",VLOOKUP(A2510,[16]PRIORIZADOS!$A:$E,5,FALSE)),"")</f>
        <v>EPBM</v>
      </c>
      <c r="F2510" s="261" t="str">
        <f>IFERROR(IF(VLOOKUP(A2510,[16]PRIORIZADOS!$A:$F,6,FALSE)="","",VLOOKUP(A2510,[16]PRIORIZADOS!$A:$F,6,FALSE)),"")</f>
        <v>INSTITUTO_BILINGÜE_DEL_SUR</v>
      </c>
      <c r="G2510" s="261" t="str">
        <f>IFERROR(IF(VLOOKUP(A2510,[16]PRIORIZADOS!$A:$G,7,FALSE)="","",VLOOKUP(A2510,[16]PRIORIZADOS!$A:$G,7,FALSE)),"")</f>
        <v>INSTITUTO BILINGÜE DEL SUR</v>
      </c>
      <c r="H2510" s="261" t="str">
        <f>IFERROR(IF(VLOOKUP(A2510,[16]PRIORIZADOS!$A:$H,8,FALSE)="","",VLOOKUP(A2510,[16]PRIORIZADOS!$A:$H,8,FALSE)),"")</f>
        <v>Autoevaluación Institucional y Pruebas SABER 11</v>
      </c>
      <c r="I2510" s="261" t="str">
        <f>IFERROR(IF(VLOOKUP(A2510,[16]PRIORIZADOS!$A:$I,9,FALSE)="","",VLOOKUP(A2510,[16]PRIORIZADOS!$A:$I,9,FALSE)),"")</f>
        <v>EVALUACIÓN_CON_FINES_DE_MEJORAMIENTO.</v>
      </c>
      <c r="J2510" s="261" t="str">
        <f>IFERROR(IF(VLOOKUP(A2510,[16]PRIORIZADOS!$A:$J,10,FALSE)="","",VLOOKUP(A2510,[16]PRIORIZADOS!$A:$J,10,FALSE)),"")</f>
        <v>Revisar la actualización, socialización e implementación del Sistema Institucional de Evaluación de Estudiantes - SIEE, en articulación con la actualización del PEI y la normatividad vigente.</v>
      </c>
      <c r="K2510" s="261" t="str">
        <f>IFERROR(IF(VLOOKUP(A2510,[16]PRIORIZADOS!$A:$K,11,FALSE)="","",VLOOKUP(A2510,[16]PRIORIZADOS!$A:$K,11,FALSE)),"")</f>
        <v>NELSON AUGUSTO CUBILLOS OLARTE</v>
      </c>
      <c r="L2510" s="261" t="str">
        <f>IFERROR(IF(VLOOKUP(A2510,[16]PRIORIZADOS!$A:$L,12,FALSE)="","",VLOOKUP(A2510,[16]PRIORIZADOS!$A:$L,12,FALSE)),"")</f>
        <v xml:space="preserve">SANDRA JAZMÍN BAQUERO CÓRDOBA
NELSON AUGUSTO CUBILLOS OLARTE
CLAUDIA PATRICIA GRANADOS FLÓREZ
</v>
      </c>
      <c r="M2510" s="262">
        <f>IFERROR(IF(VLOOKUP(A2510,[16]PRIORIZADOS!$A:$M,13,FALSE)="","",VLOOKUP(A2510,[16]PRIORIZADOS!$A:$M,13,FALSE)),"")</f>
        <v>45788</v>
      </c>
      <c r="N2510" s="262">
        <f>IFERROR(IF(VLOOKUP(A2510,[16]PRIORIZADOS!$A:$N,14,FALSE)="","",VLOOKUP(A2510,[16]PRIORIZADOS!$A:$N,14,FALSE)),"")</f>
        <v>45933</v>
      </c>
      <c r="O2510" s="262">
        <f>IFERROR(IF(VLOOKUP(A2510,[16]PRIORIZADOS!$A:$O,15,FALSE)="","",VLOOKUP(A2510,[16]PRIORIZADOS!$A:$O,15,FALSE)),"")</f>
        <v>45933</v>
      </c>
      <c r="P2510" s="261" t="str">
        <f>IFERROR(IF(VLOOKUP(A2510,[16]PRIORIZADOS!$A:$P,16,FALSE)="","",VLOOKUP(A2510,[16]PRIORIZADOS!$A:$P,16,FALSE)),"")</f>
        <v>Visitas de evaluación con fines de mejoramiento</v>
      </c>
      <c r="Q2510" s="5" t="s">
        <v>494</v>
      </c>
      <c r="R2510" s="261" t="str">
        <f>IFERROR(IF(VLOOKUP(A2510,[16]PRIORIZADOS!$A:$R,18,FALSE)="","",VLOOKUP(A2510,[16]PRIORIZADOS!$A:$R,18,FALSE)),"")</f>
        <v>Se evidencia una implementación del Sistema Institucional de Evaluación con diferentes proceso debidamente documentados. No se ha adjuntado el Manual de Convivencia</v>
      </c>
      <c r="S2510" s="261" t="str">
        <f>IFERROR(IF(VLOOKUP(A2510,[16]PRIORIZADOS!$A:$S,19,FALSE)="","",VLOOKUP(A2510,[16]PRIORIZADOS!$A:$S,19,FALSE)),"")</f>
        <v>Se solicita el envío del Manual para su valoración y orientaciones, especialmente en lo concerniente al SIEE. Se debe recibir el 6 de Noviembre.</v>
      </c>
      <c r="T2510" s="70" t="str">
        <f>IFERROR(IF(VLOOKUP(A2510,[16]PRIORIZADOS!$A:$T,20,FALSE)="","",VLOOKUP(A2510,[16]PRIORIZADOS!$A:$T,20,FALSE)),"")</f>
        <v>Si</v>
      </c>
      <c r="U2510" s="11" t="str">
        <f>IFERROR(IF(VLOOKUP(A2510,[16]PRIORIZADOS!$A:$U,21,FALSE)="","",VLOOKUP(A2510,[16]PRIORIZADOS!$A:$U,21,FALSE)),"")</f>
        <v>una vez se reciba el Manual se realizará la verificación y oerinetaciones por parte del ELIV.</v>
      </c>
    </row>
    <row r="2511" spans="1:21" s="1" customFormat="1" ht="84">
      <c r="A2511" s="69">
        <f>IF([16]PRIORIZADOS!A101="","",[16]PRIORIZADOS!A101)</f>
        <v>2489</v>
      </c>
      <c r="B2511" s="70">
        <v>11</v>
      </c>
      <c r="C2511" s="261" t="str">
        <f>IFERROR(IF(VLOOKUP(A2511,[16]PRIORIZADOS!$A:$C,3,FALSE)="","",VLOOKUP(A2511,[16]PRIORIZADOS!$A:$C,3,FALSE)),"")</f>
        <v>TUNJUELITO</v>
      </c>
      <c r="D2511" s="261" t="str">
        <f>IFERROR(IF(VLOOKUP(A2511,[16]PRIORIZADOS!$A:$D,4,FALSE)="","",VLOOKUP(A2511,[16]PRIORIZADOS!$A:$D,4,FALSE)),"")</f>
        <v>PRIVADO</v>
      </c>
      <c r="E2511" s="261" t="str">
        <f>IFERROR(IF(VLOOKUP(A2511,[16]PRIORIZADOS!$A:$E,5,FALSE)="","",VLOOKUP(A2511,[16]PRIORIZADOS!$A:$E,5,FALSE)),"")</f>
        <v>EPBM</v>
      </c>
      <c r="F2511" s="261" t="str">
        <f>IFERROR(IF(VLOOKUP(A2511,[16]PRIORIZADOS!$A:$F,6,FALSE)="","",VLOOKUP(A2511,[16]PRIORIZADOS!$A:$F,6,FALSE)),"")</f>
        <v>INSTITUTO_BILINGÜE_DEL_SUR</v>
      </c>
      <c r="G2511" s="261" t="str">
        <f>IFERROR(IF(VLOOKUP(A2511,[16]PRIORIZADOS!$A:$G,7,FALSE)="","",VLOOKUP(A2511,[16]PRIORIZADOS!$A:$G,7,FALSE)),"")</f>
        <v>INSTITUTO BILINGÜE DEL SUR</v>
      </c>
      <c r="H2511" s="261" t="str">
        <f>IFERROR(IF(VLOOKUP(A2511,[16]PRIORIZADOS!$A:$H,8,FALSE)="","",VLOOKUP(A2511,[16]PRIORIZADOS!$A:$H,8,FALSE)),"")</f>
        <v>Autoevaluación Institucional y Pruebas SABER 11</v>
      </c>
      <c r="I2511" s="261" t="str">
        <f>IFERROR(IF(VLOOKUP(A2511,[16]PRIORIZADOS!$A:$I,9,FALSE)="","",VLOOKUP(A2511,[16]PRIORIZADOS!$A:$I,9,FALSE)),"")</f>
        <v>EVALUACIÓN_CON_FINES_DE_MEJORAMIENTO.</v>
      </c>
      <c r="J2511" s="261" t="str">
        <f>IFERROR(IF(VLOOKUP(A2511,[16]PRIORIZADOS!$A:$J,10,FALSE)="","",VLOOKUP(A2511,[16]PRIORIZADOS!$A:$J,10,FALSE)),"")</f>
        <v>Revisar el calendario escolar, jornada escolar, la intensidad horaria mínima anual en cada nivel y las modificaciones que se realicen al mismo, de acuerdo con lo previsto en la normatividad vigente.</v>
      </c>
      <c r="K2511" s="261" t="str">
        <f>IFERROR(IF(VLOOKUP(A2511,[16]PRIORIZADOS!$A:$K,11,FALSE)="","",VLOOKUP(A2511,[16]PRIORIZADOS!$A:$K,11,FALSE)),"")</f>
        <v>NELSON AUGUSTO CUBILLOS OLARTE</v>
      </c>
      <c r="L2511" s="261" t="str">
        <f>IFERROR(IF(VLOOKUP(A2511,[16]PRIORIZADOS!$A:$L,12,FALSE)="","",VLOOKUP(A2511,[16]PRIORIZADOS!$A:$L,12,FALSE)),"")</f>
        <v xml:space="preserve">SANDRA JAZMÍN BAQUERO CÓRDOBA
NELSON AUGUSTO CUBILLOS OLARTE
CLAUDIA PATRICIA GRANADOS FLÓREZ
</v>
      </c>
      <c r="M2511" s="262">
        <f>IFERROR(IF(VLOOKUP(A2511,[16]PRIORIZADOS!$A:$M,13,FALSE)="","",VLOOKUP(A2511,[16]PRIORIZADOS!$A:$M,13,FALSE)),"")</f>
        <v>45788</v>
      </c>
      <c r="N2511" s="262">
        <f>IFERROR(IF(VLOOKUP(A2511,[16]PRIORIZADOS!$A:$N,14,FALSE)="","",VLOOKUP(A2511,[16]PRIORIZADOS!$A:$N,14,FALSE)),"")</f>
        <v>45933</v>
      </c>
      <c r="O2511" s="262">
        <f>IFERROR(IF(VLOOKUP(A2511,[16]PRIORIZADOS!$A:$O,15,FALSE)="","",VLOOKUP(A2511,[16]PRIORIZADOS!$A:$O,15,FALSE)),"")</f>
        <v>45933</v>
      </c>
      <c r="P2511" s="261" t="str">
        <f>IFERROR(IF(VLOOKUP(A2511,[16]PRIORIZADOS!$A:$P,16,FALSE)="","",VLOOKUP(A2511,[16]PRIORIZADOS!$A:$P,16,FALSE)),"")</f>
        <v>Visitas de evaluación con fines de mejoramiento</v>
      </c>
      <c r="Q2511" s="5" t="s">
        <v>494</v>
      </c>
      <c r="R2511" s="261" t="str">
        <f>IFERROR(IF(VLOOKUP(A2511,[16]PRIORIZADOS!$A:$R,18,FALSE)="","",VLOOKUP(A2511,[16]PRIORIZADOS!$A:$R,18,FALSE)),"")</f>
        <v>Se identifica que el calendario académico cumple con las horas reglamenterias para el servicio que se presta Preescolar y Básica Primaria.</v>
      </c>
      <c r="S2511" s="261" t="str">
        <f>IFERROR(IF(VLOOKUP(A2511,[16]PRIORIZADOS!$A:$S,19,FALSE)="","",VLOOKUP(A2511,[16]PRIORIZADOS!$A:$S,19,FALSE)),"")</f>
        <v>Se presenta los cronogramas de trabajo que respaldan el cumplimiento de la jornada académica para el servicio prestado.</v>
      </c>
      <c r="T2511" s="70" t="str">
        <f>IFERROR(IF(VLOOKUP(A2511,[16]PRIORIZADOS!$A:$T,20,FALSE)="","",VLOOKUP(A2511,[16]PRIORIZADOS!$A:$T,20,FALSE)),"")</f>
        <v>No</v>
      </c>
      <c r="U2511" s="11" t="str">
        <f>IFERROR(IF(VLOOKUP(A2511,[16]PRIORIZADOS!$A:$U,21,FALSE)="","",VLOOKUP(A2511,[16]PRIORIZADOS!$A:$U,21,FALSE)),"")</f>
        <v>Se continuará en el 2026 con las verificaciones documentales aleatorias de la implementación del calendario académico.</v>
      </c>
    </row>
    <row r="2512" spans="1:21" s="1" customFormat="1" ht="84">
      <c r="A2512" s="69">
        <f>IF([16]PRIORIZADOS!A102="","",[16]PRIORIZADOS!A102)</f>
        <v>2490</v>
      </c>
      <c r="B2512" s="70">
        <v>11</v>
      </c>
      <c r="C2512" s="261" t="str">
        <f>IFERROR(IF(VLOOKUP(A2512,[16]PRIORIZADOS!$A:$C,3,FALSE)="","",VLOOKUP(A2512,[16]PRIORIZADOS!$A:$C,3,FALSE)),"")</f>
        <v>TUNJUELITO</v>
      </c>
      <c r="D2512" s="261" t="str">
        <f>IFERROR(IF(VLOOKUP(A2512,[16]PRIORIZADOS!$A:$D,4,FALSE)="","",VLOOKUP(A2512,[16]PRIORIZADOS!$A:$D,4,FALSE)),"")</f>
        <v>PRIVADO</v>
      </c>
      <c r="E2512" s="261" t="str">
        <f>IFERROR(IF(VLOOKUP(A2512,[16]PRIORIZADOS!$A:$E,5,FALSE)="","",VLOOKUP(A2512,[16]PRIORIZADOS!$A:$E,5,FALSE)),"")</f>
        <v>EPBM</v>
      </c>
      <c r="F2512" s="261" t="str">
        <f>IFERROR(IF(VLOOKUP(A2512,[16]PRIORIZADOS!$A:$F,6,FALSE)="","",VLOOKUP(A2512,[16]PRIORIZADOS!$A:$F,6,FALSE)),"")</f>
        <v>INSTITUTO_BILINGÜE_DEL_SUR</v>
      </c>
      <c r="G2512" s="261" t="str">
        <f>IFERROR(IF(VLOOKUP(A2512,[16]PRIORIZADOS!$A:$G,7,FALSE)="","",VLOOKUP(A2512,[16]PRIORIZADOS!$A:$G,7,FALSE)),"")</f>
        <v>INSTITUTO BILINGÜE DEL SUR</v>
      </c>
      <c r="H2512" s="261" t="str">
        <f>IFERROR(IF(VLOOKUP(A2512,[16]PRIORIZADOS!$A:$H,8,FALSE)="","",VLOOKUP(A2512,[16]PRIORIZADOS!$A:$H,8,FALSE)),"")</f>
        <v>Autoevaluación Institucional y Pruebas SABER 11</v>
      </c>
      <c r="I2512" s="261" t="str">
        <f>IFERROR(IF(VLOOKUP(A2512,[16]PRIORIZADOS!$A:$I,9,FALSE)="","",VLOOKUP(A2512,[16]PRIORIZADOS!$A:$I,9,FALSE)),"")</f>
        <v>EVALUACIÓN_CON_FINES_DE_MEJORAMIENTO.</v>
      </c>
      <c r="J2512" s="261" t="str">
        <f>IFERROR(IF(VLOOKUP(A2512,[16]PRIORIZADOS!$A:$J,10,FALSE)="","",VLOOKUP(A2512,[16]PRIORIZADOS!$A:$J,10,FALSE)),"")</f>
        <v>Verificar el funcionamiento del Gobierno Escolar e instancias de participación con base en la información sobre conformación reportada por la institución educativa.</v>
      </c>
      <c r="K2512" s="261" t="str">
        <f>IFERROR(IF(VLOOKUP(A2512,[16]PRIORIZADOS!$A:$K,11,FALSE)="","",VLOOKUP(A2512,[16]PRIORIZADOS!$A:$K,11,FALSE)),"")</f>
        <v>NELSON AUGUSTO CUBILLOS OLARTE</v>
      </c>
      <c r="L2512" s="261" t="str">
        <f>IFERROR(IF(VLOOKUP(A2512,[16]PRIORIZADOS!$A:$L,12,FALSE)="","",VLOOKUP(A2512,[16]PRIORIZADOS!$A:$L,12,FALSE)),"")</f>
        <v xml:space="preserve">SANDRA JAZMÍN BAQUERO CÓRDOBA
NELSON AUGUSTO CUBILLOS OLARTE
CLAUDIA PATRICIA GRANADOS FLÓREZ
</v>
      </c>
      <c r="M2512" s="262">
        <f>IFERROR(IF(VLOOKUP(A2512,[16]PRIORIZADOS!$A:$M,13,FALSE)="","",VLOOKUP(A2512,[16]PRIORIZADOS!$A:$M,13,FALSE)),"")</f>
        <v>45788</v>
      </c>
      <c r="N2512" s="262">
        <f>IFERROR(IF(VLOOKUP(A2512,[16]PRIORIZADOS!$A:$N,14,FALSE)="","",VLOOKUP(A2512,[16]PRIORIZADOS!$A:$N,14,FALSE)),"")</f>
        <v>45933</v>
      </c>
      <c r="O2512" s="262">
        <f>IFERROR(IF(VLOOKUP(A2512,[16]PRIORIZADOS!$A:$O,15,FALSE)="","",VLOOKUP(A2512,[16]PRIORIZADOS!$A:$O,15,FALSE)),"")</f>
        <v>45933</v>
      </c>
      <c r="P2512" s="261" t="str">
        <f>IFERROR(IF(VLOOKUP(A2512,[16]PRIORIZADOS!$A:$P,16,FALSE)="","",VLOOKUP(A2512,[16]PRIORIZADOS!$A:$P,16,FALSE)),"")</f>
        <v>Visitas de evaluación con fines de mejoramiento</v>
      </c>
      <c r="Q2512" s="5" t="s">
        <v>494</v>
      </c>
      <c r="R2512" s="261" t="str">
        <f>IFERROR(IF(VLOOKUP(A2512,[16]PRIORIZADOS!$A:$R,18,FALSE)="","",VLOOKUP(A2512,[16]PRIORIZADOS!$A:$R,18,FALSE)),"")</f>
        <v>Se presentan actas de la conformaicón y funcionamiento del gobierno escolar de acuerdo con la norma, en el caso de los organos de prticipación no se evidencia en actas la ejecución de reuniones formales.</v>
      </c>
      <c r="S2512" s="261" t="str">
        <f>IFERROR(IF(VLOOKUP(A2512,[16]PRIORIZADOS!$A:$S,19,FALSE)="","",VLOOKUP(A2512,[16]PRIORIZADOS!$A:$S,19,FALSE)),"")</f>
        <v>Se deben documentar en actas las reunones de los organos de participación de la institución.</v>
      </c>
      <c r="T2512" s="70" t="str">
        <f>IFERROR(IF(VLOOKUP(A2512,[16]PRIORIZADOS!$A:$T,20,FALSE)="","",VLOOKUP(A2512,[16]PRIORIZADOS!$A:$T,20,FALSE)),"")</f>
        <v>Si</v>
      </c>
      <c r="U2512" s="11" t="str">
        <f>IFERROR(IF(VLOOKUP(A2512,[16]PRIORIZADOS!$A:$U,21,FALSE)="","",VLOOKUP(A2512,[16]PRIORIZADOS!$A:$U,21,FALSE)),"")</f>
        <v>Se verificará el año siguiente la aplicación del proceso de operatividad de los organos de participación con evidencias.</v>
      </c>
    </row>
    <row r="2513" spans="1:21" s="1" customFormat="1" ht="96">
      <c r="A2513" s="69">
        <f>IF([16]PRIORIZADOS!A103="","",[16]PRIORIZADOS!A103)</f>
        <v>2491</v>
      </c>
      <c r="B2513" s="70">
        <v>11</v>
      </c>
      <c r="C2513" s="261" t="str">
        <f>IFERROR(IF(VLOOKUP(A2513,[16]PRIORIZADOS!$A:$C,3,FALSE)="","",VLOOKUP(A2513,[16]PRIORIZADOS!$A:$C,3,FALSE)),"")</f>
        <v>TUNJUELITO</v>
      </c>
      <c r="D2513" s="261" t="str">
        <f>IFERROR(IF(VLOOKUP(A2513,[16]PRIORIZADOS!$A:$D,4,FALSE)="","",VLOOKUP(A2513,[16]PRIORIZADOS!$A:$D,4,FALSE)),"")</f>
        <v>PRIVADO</v>
      </c>
      <c r="E2513" s="261" t="str">
        <f>IFERROR(IF(VLOOKUP(A2513,[16]PRIORIZADOS!$A:$E,5,FALSE)="","",VLOOKUP(A2513,[16]PRIORIZADOS!$A:$E,5,FALSE)),"")</f>
        <v>EPBM</v>
      </c>
      <c r="F2513" s="261" t="str">
        <f>IFERROR(IF(VLOOKUP(A2513,[16]PRIORIZADOS!$A:$F,6,FALSE)="","",VLOOKUP(A2513,[16]PRIORIZADOS!$A:$F,6,FALSE)),"")</f>
        <v>INSTITUTO_BILINGÜE_DEL_SUR</v>
      </c>
      <c r="G2513" s="261" t="str">
        <f>IFERROR(IF(VLOOKUP(A2513,[16]PRIORIZADOS!$A:$G,7,FALSE)="","",VLOOKUP(A2513,[16]PRIORIZADOS!$A:$G,7,FALSE)),"")</f>
        <v>INSTITUTO BILINGÜE DEL SUR</v>
      </c>
      <c r="H2513" s="261" t="str">
        <f>IFERROR(IF(VLOOKUP(A2513,[16]PRIORIZADOS!$A:$H,8,FALSE)="","",VLOOKUP(A2513,[16]PRIORIZADOS!$A:$H,8,FALSE)),"")</f>
        <v>Autoevaluación Institucional y Pruebas SABER 11</v>
      </c>
      <c r="I2513" s="261" t="str">
        <f>IFERROR(IF(VLOOKUP(A2513,[16]PRIORIZADOS!$A:$I,9,FALSE)="","",VLOOKUP(A2513,[16]PRIORIZADOS!$A:$I,9,FALSE)),"")</f>
        <v>EVALUACIÓN_CON_FINES_DE_MEJORAMIENTO.</v>
      </c>
      <c r="J2513" s="261" t="str">
        <f>IFERROR(IF(VLOOKUP(A2513,[16]PRIORIZADOS!$A:$J,10,FALSE)="","",VLOOKUP(A2513,[16]PRIORIZADOS!$A:$J,10,FALSE)),"")</f>
        <v>Verificar las condiciones en cuanto a: la estructura administrativa, condiciones de la planta física y medios educativos adecuados.</v>
      </c>
      <c r="K2513" s="261" t="str">
        <f>IFERROR(IF(VLOOKUP(A2513,[16]PRIORIZADOS!$A:$K,11,FALSE)="","",VLOOKUP(A2513,[16]PRIORIZADOS!$A:$K,11,FALSE)),"")</f>
        <v>NELSON AUGUSTO CUBILLOS OLARTE</v>
      </c>
      <c r="L2513" s="261" t="str">
        <f>IFERROR(IF(VLOOKUP(A2513,[16]PRIORIZADOS!$A:$L,12,FALSE)="","",VLOOKUP(A2513,[16]PRIORIZADOS!$A:$L,12,FALSE)),"")</f>
        <v xml:space="preserve">SANDRA JAZMÍN BAQUERO CÓRDOBA
NELSON AUGUSTO CUBILLOS OLARTE
CLAUDIA PATRICIA GRANADOS FLÓREZ
</v>
      </c>
      <c r="M2513" s="262">
        <f>IFERROR(IF(VLOOKUP(A2513,[16]PRIORIZADOS!$A:$M,13,FALSE)="","",VLOOKUP(A2513,[16]PRIORIZADOS!$A:$M,13,FALSE)),"")</f>
        <v>45788</v>
      </c>
      <c r="N2513" s="262">
        <f>IFERROR(IF(VLOOKUP(A2513,[16]PRIORIZADOS!$A:$N,14,FALSE)="","",VLOOKUP(A2513,[16]PRIORIZADOS!$A:$N,14,FALSE)),"")</f>
        <v>45933</v>
      </c>
      <c r="O2513" s="262">
        <f>IFERROR(IF(VLOOKUP(A2513,[16]PRIORIZADOS!$A:$O,15,FALSE)="","",VLOOKUP(A2513,[16]PRIORIZADOS!$A:$O,15,FALSE)),"")</f>
        <v>45933</v>
      </c>
      <c r="P2513" s="261" t="str">
        <f>IFERROR(IF(VLOOKUP(A2513,[16]PRIORIZADOS!$A:$P,16,FALSE)="","",VLOOKUP(A2513,[16]PRIORIZADOS!$A:$P,16,FALSE)),"")</f>
        <v>Visitas de evaluación con fines de mejoramiento</v>
      </c>
      <c r="Q2513" s="5" t="s">
        <v>494</v>
      </c>
      <c r="R2513" s="261" t="str">
        <f>IFERROR(IF(VLOOKUP(A2513,[16]PRIORIZADOS!$A:$R,18,FALSE)="","",VLOOKUP(A2513,[16]PRIORIZADOS!$A:$R,18,FALSE)),"")</f>
        <v>No se evidencia en el documento PEI un organigrama ni un manual completo de funciones para el presonal administrativo y de servicios generales. En planta física No se evidencia Laboratorio de Ciencias y baños ni rampas para Discapacitados, por lo demas los medios educativos son adecuados para la prestación del servicio.</v>
      </c>
      <c r="S2513" s="261" t="str">
        <f>IFERROR(IF(VLOOKUP(A2513,[16]PRIORIZADOS!$A:$S,19,FALSE)="","",VLOOKUP(A2513,[16]PRIORIZADOS!$A:$S,19,FALSE)),"")</f>
        <v>Se deben realizar las actualizaciones del PEI en lo concerniente a la estructuración del Organigrama, Manual de funciones para el personal administrativo y de servisios generales, realizar el estudio de implementaciónb de intervención en planta fisica para el acceso y permanencia para discapacitados.</v>
      </c>
      <c r="T2513" s="70" t="str">
        <f>IFERROR(IF(VLOOKUP(A2513,[16]PRIORIZADOS!$A:$T,20,FALSE)="","",VLOOKUP(A2513,[16]PRIORIZADOS!$A:$T,20,FALSE)),"")</f>
        <v>Si</v>
      </c>
      <c r="U2513" s="11" t="str">
        <f>IFERROR(IF(VLOOKUP(A2513,[16]PRIORIZADOS!$A:$U,21,FALSE)="","",VLOOKUP(A2513,[16]PRIORIZADOS!$A:$U,21,FALSE)),"")</f>
        <v>Se verificaran los proceso que se ocnsignen en el Plan de Mejoramiento realizando las orientaciones del caso.</v>
      </c>
    </row>
    <row r="2514" spans="1:21" s="1" customFormat="1" ht="84">
      <c r="A2514" s="69">
        <f>IF([16]PRIORIZADOS!A104="","",[16]PRIORIZADOS!A104)</f>
        <v>2492</v>
      </c>
      <c r="B2514" s="70">
        <f>IFERROR(IF(VLOOKUP(A2514,[16]PRIORIZADOS!$A:$B,2,FALSE)="","",VLOOKUP(A2514,[16]PRIORIZADOS!$A:$B,2,FALSE)),"")</f>
        <v>12</v>
      </c>
      <c r="C2514" s="261" t="str">
        <f>IFERROR(IF(VLOOKUP(A2514,[16]PRIORIZADOS!$A:$C,3,FALSE)="","",VLOOKUP(A2514,[16]PRIORIZADOS!$A:$C,3,FALSE)),"")</f>
        <v>TUNJUELITO</v>
      </c>
      <c r="D2514" s="261" t="str">
        <f>IFERROR(IF(VLOOKUP(A2514,[16]PRIORIZADOS!$A:$D,4,FALSE)="","",VLOOKUP(A2514,[16]PRIORIZADOS!$A:$D,4,FALSE)),"")</f>
        <v>PRIVADO</v>
      </c>
      <c r="E2514" s="261" t="str">
        <f>IFERROR(IF(VLOOKUP(A2514,[16]PRIORIZADOS!$A:$E,5,FALSE)="","",VLOOKUP(A2514,[16]PRIORIZADOS!$A:$E,5,FALSE)),"")</f>
        <v>EPBM</v>
      </c>
      <c r="F2514" s="261" t="str">
        <f>IFERROR(IF(VLOOKUP(A2514,[16]PRIORIZADOS!$A:$F,6,FALSE)="","",VLOOKUP(A2514,[16]PRIORIZADOS!$A:$F,6,FALSE)),"")</f>
        <v>LICEO_INTEGRAL_SAN_CARLOS</v>
      </c>
      <c r="G2514" s="261" t="str">
        <f>IFERROR(IF(VLOOKUP(A2514,[16]PRIORIZADOS!$A:$G,7,FALSE)="","",VLOOKUP(A2514,[16]PRIORIZADOS!$A:$G,7,FALSE)),"")</f>
        <v>LICEO INTEGRAL SAN CARLOS</v>
      </c>
      <c r="H2514" s="261" t="str">
        <f>IFERROR(IF(VLOOKUP(A2514,[16]PRIORIZADOS!$A:$H,8,FALSE)="","",VLOOKUP(A2514,[16]PRIORIZADOS!$A:$H,8,FALSE)),"")</f>
        <v>Autoevaluación Institucional y Pruebas SABER 11</v>
      </c>
      <c r="I2514" s="261" t="str">
        <f>IFERROR(IF(VLOOKUP(A2514,[16]PRIORIZADOS!$A:$I,9,FALSE)="","",VLOOKUP(A2514,[16]PRIORIZADOS!$A:$I,9,FALSE)),"")</f>
        <v>SEGUIMIENTO_Y_SUPERVISIÓN.</v>
      </c>
      <c r="J2514" s="261" t="str">
        <f>IFERROR(IF(VLOOKUP(A2514,[16]PRIORIZADOS!$A:$J,10,FALSE)="","",VLOOKUP(A2514,[16]PRIORIZADOS!$A:$J,10,FALSE)),"")</f>
        <v>Realizar visitas para verificar la información registrada sobre la autoevaluación institucional en el aplicativo EVI, a los establecimientos de educación formal no oficial.</v>
      </c>
      <c r="K2514" s="261" t="str">
        <f>IFERROR(IF(VLOOKUP(A2514,[16]PRIORIZADOS!$A:$K,11,FALSE)="","",VLOOKUP(A2514,[16]PRIORIZADOS!$A:$K,11,FALSE)),"")</f>
        <v>SANDRA JAZMÍN BAQUERO CÓRDOBA</v>
      </c>
      <c r="L2514" s="261" t="str">
        <f>IFERROR(IF(VLOOKUP(A2514,[16]PRIORIZADOS!$A:$L,12,FALSE)="","",VLOOKUP(A2514,[16]PRIORIZADOS!$A:$L,12,FALSE)),"")</f>
        <v xml:space="preserve">SANDRA JAZMÍN BAQUERO CÓRDOBA
NELSON AUGUSTO CUBILLOS OLARTE
CLAUDIA PATRICIA GRANADOS FLÓREZ
</v>
      </c>
      <c r="M2514" s="262">
        <f>IFERROR(IF(VLOOKUP(A2514,[16]PRIORIZADOS!$A:$M,13,FALSE)="","",VLOOKUP(A2514,[16]PRIORIZADOS!$A:$M,13,FALSE)),"")</f>
        <v>45807</v>
      </c>
      <c r="N2514" s="262">
        <f>IFERROR(IF(VLOOKUP(A2514,[16]PRIORIZADOS!$A:$N,14,FALSE)="","",VLOOKUP(A2514,[16]PRIORIZADOS!$A:$N,14,FALSE)),"")</f>
        <v>45807</v>
      </c>
      <c r="O2514" s="262">
        <f>IFERROR(IF(VLOOKUP(A2514,[16]PRIORIZADOS!$A:$O,15,FALSE)="","",VLOOKUP(A2514,[16]PRIORIZADOS!$A:$O,15,FALSE)),"")</f>
        <v>45807</v>
      </c>
      <c r="P2514" s="261" t="str">
        <f>IFERROR(IF(VLOOKUP(A2514,[16]PRIORIZADOS!$A:$P,16,FALSE)="","",VLOOKUP(A2514,[16]PRIORIZADOS!$A:$P,16,FALSE)),"")</f>
        <v>Visitas de evaluación con fines de seguimiento</v>
      </c>
      <c r="Q2514" s="46" t="s">
        <v>495</v>
      </c>
      <c r="R2514" s="261" t="str">
        <f>IFERROR(IF(VLOOKUP(A2514,[16]PRIORIZADOS!$A:$R,18,FALSE)="","",VLOOKUP(A2514,[16]PRIORIZADOS!$A:$R,18,FALSE)),"")</f>
        <v>Se encontró que el jardín tiene contratados a los docentes con contrato laboral pero el rector tiene contrato de prestaciónde servicios</v>
      </c>
      <c r="S2514" s="261" t="str">
        <f>IFERROR(IF(VLOOKUP(A2514,[16]PRIORIZADOS!$A:$S,19,FALSE)="","",VLOOKUP(A2514,[16]PRIORIZADOS!$A:$S,19,FALSE)),"")</f>
        <v xml:space="preserve">El colegio debe revisar el contrato que tiene con el director y ajustarlo a la norma </v>
      </c>
      <c r="T2514" s="70" t="str">
        <f>IFERROR(IF(VLOOKUP(A2514,[16]PRIORIZADOS!$A:$T,20,FALSE)="","",VLOOKUP(A2514,[16]PRIORIZADOS!$A:$T,20,FALSE)),"")</f>
        <v>SI</v>
      </c>
      <c r="U2514" s="11" t="str">
        <f>IFERROR(IF(VLOOKUP(A2514,[16]PRIORIZADOS!$A:$U,21,FALSE)="","",VLOOKUP(A2514,[16]PRIORIZADOS!$A:$U,21,FALSE)),"")</f>
        <v>Presentó plan de mejoramiento y el 28 de julio se realizó el primer seguimiento. Se generaron observaciones.</v>
      </c>
    </row>
    <row r="2515" spans="1:21" s="1" customFormat="1" ht="84">
      <c r="A2515" s="69">
        <f>IF([16]PRIORIZADOS!A105="","",[16]PRIORIZADOS!A105)</f>
        <v>2494</v>
      </c>
      <c r="B2515" s="70">
        <v>12</v>
      </c>
      <c r="C2515" s="261" t="str">
        <f>IFERROR(IF(VLOOKUP(A2515,[16]PRIORIZADOS!$A:$C,3,FALSE)="","",VLOOKUP(A2515,[16]PRIORIZADOS!$A:$C,3,FALSE)),"")</f>
        <v>TUNJUELITO</v>
      </c>
      <c r="D2515" s="261" t="str">
        <f>IFERROR(IF(VLOOKUP(A2515,[16]PRIORIZADOS!$A:$D,4,FALSE)="","",VLOOKUP(A2515,[16]PRIORIZADOS!$A:$D,4,FALSE)),"")</f>
        <v>PRIVADO</v>
      </c>
      <c r="E2515" s="261" t="str">
        <f>IFERROR(IF(VLOOKUP(A2515,[16]PRIORIZADOS!$A:$E,5,FALSE)="","",VLOOKUP(A2515,[16]PRIORIZADOS!$A:$E,5,FALSE)),"")</f>
        <v>EPBM</v>
      </c>
      <c r="F2515" s="261" t="str">
        <f>IFERROR(IF(VLOOKUP(A2515,[16]PRIORIZADOS!$A:$F,6,FALSE)="","",VLOOKUP(A2515,[16]PRIORIZADOS!$A:$F,6,FALSE)),"")</f>
        <v>LICEO_INTEGRAL_SAN_CARLOS</v>
      </c>
      <c r="G2515" s="261" t="str">
        <f>IFERROR(IF(VLOOKUP(A2515,[16]PRIORIZADOS!$A:$G,7,FALSE)="","",VLOOKUP(A2515,[16]PRIORIZADOS!$A:$G,7,FALSE)),"")</f>
        <v>LICEO INTEGRAL SAN CARLOS</v>
      </c>
      <c r="H2515" s="261" t="str">
        <f>IFERROR(IF(VLOOKUP(A2515,[16]PRIORIZADOS!$A:$H,8,FALSE)="","",VLOOKUP(A2515,[16]PRIORIZADOS!$A:$H,8,FALSE)),"")</f>
        <v>Autoevaluación Institucional y Pruebas SABER 11</v>
      </c>
      <c r="I2515" s="261" t="str">
        <f>IFERROR(IF(VLOOKUP(A2515,[16]PRIORIZADOS!$A:$I,9,FALSE)="","",VLOOKUP(A2515,[16]PRIORIZADOS!$A:$I,9,FALSE)),"")</f>
        <v>SEGUIMIENTO_Y_SUPERVISIÓN.</v>
      </c>
      <c r="J2515" s="261" t="str">
        <f>IFERROR(IF(VLOOKUP(A2515,[16]PRIORIZADOS!$A:$J,10,FALSE)="","",VLOOKUP(A2515,[16]PRIORIZADOS!$A:$J,10,FALSE)),"")</f>
        <v xml:space="preserve">Verificar la implementación por parte de los colegios, de acciones realizadas para la prevención y atención de las situaciones de convivencia en el entorno escolar, según lo establecido en la Directiva 01 de 2022 del MEN. </v>
      </c>
      <c r="K2515" s="261" t="str">
        <f>IFERROR(IF(VLOOKUP(A2515,[16]PRIORIZADOS!$A:$K,11,FALSE)="","",VLOOKUP(A2515,[16]PRIORIZADOS!$A:$K,11,FALSE)),"")</f>
        <v>SANDRA JAZMÍN BAQUERO CÓRDOBA</v>
      </c>
      <c r="L2515" s="261" t="str">
        <f>IFERROR(IF(VLOOKUP(A2515,[16]PRIORIZADOS!$A:$L,12,FALSE)="","",VLOOKUP(A2515,[16]PRIORIZADOS!$A:$L,12,FALSE)),"")</f>
        <v xml:space="preserve">SANDRA JAZMÍN BAQUERO CÓRDOBA
NELSON AUGUSTO CUBILLOS OLARTE
CLAUDIA PATRICIA GRANADOS FLÓREZ
</v>
      </c>
      <c r="M2515" s="262">
        <f>IFERROR(IF(VLOOKUP(A2515,[16]PRIORIZADOS!$A:$M,13,FALSE)="","",VLOOKUP(A2515,[16]PRIORIZADOS!$A:$M,13,FALSE)),"")</f>
        <v>45807</v>
      </c>
      <c r="N2515" s="262">
        <f>IFERROR(IF(VLOOKUP(A2515,[16]PRIORIZADOS!$A:$N,14,FALSE)="","",VLOOKUP(A2515,[16]PRIORIZADOS!$A:$N,14,FALSE)),"")</f>
        <v>45807</v>
      </c>
      <c r="O2515" s="262">
        <f>IFERROR(IF(VLOOKUP(A2515,[16]PRIORIZADOS!$A:$O,15,FALSE)="","",VLOOKUP(A2515,[16]PRIORIZADOS!$A:$O,15,FALSE)),"")</f>
        <v>45807</v>
      </c>
      <c r="P2515" s="261" t="str">
        <f>IFERROR(IF(VLOOKUP(A2515,[16]PRIORIZADOS!$A:$P,16,FALSE)="","",VLOOKUP(A2515,[16]PRIORIZADOS!$A:$P,16,FALSE)),"")</f>
        <v>Visitas de evaluación con fines de seguimiento</v>
      </c>
      <c r="Q2515" s="5" t="s">
        <v>495</v>
      </c>
      <c r="R2515" s="261" t="str">
        <f>IFERROR(IF(VLOOKUP(A2515,[16]PRIORIZADOS!$A:$R,18,FALSE)="","",VLOOKUP(A2515,[16]PRIORIZADOS!$A:$R,18,FALSE)),"")</f>
        <v>Se encontró que el jardín no realiza la verificación de docentes ni propone en Comité de Convivencia acciones de promoción y prevención de acuerdo con la Directiva 01 de 2022 del MEN</v>
      </c>
      <c r="S2515" s="261" t="str">
        <f>IFERROR(IF(VLOOKUP(A2515,[16]PRIORIZADOS!$A:$S,19,FALSE)="","",VLOOKUP(A2515,[16]PRIORIZADOS!$A:$S,19,FALSE)),"")</f>
        <v>El colegio debe realizar la verificación de antecedentes e implementar acciones de promoción y prevención de acuerdo con la Directiva 01 de 2022 del MEN</v>
      </c>
      <c r="T2515" s="70" t="str">
        <f>IFERROR(IF(VLOOKUP(A2515,[16]PRIORIZADOS!$A:$T,20,FALSE)="","",VLOOKUP(A2515,[16]PRIORIZADOS!$A:$T,20,FALSE)),"")</f>
        <v>Si</v>
      </c>
      <c r="U2515" s="11" t="str">
        <f>IFERROR(IF(VLOOKUP(A2515,[16]PRIORIZADOS!$A:$U,21,FALSE)="","",VLOOKUP(A2515,[16]PRIORIZADOS!$A:$U,21,FALSE)),"")</f>
        <v>Presentó plan de mejoramiento y el 28 de julio se realizó el primer seguimiento. Se generaron observaciones.</v>
      </c>
    </row>
    <row r="2516" spans="1:21" s="1" customFormat="1" ht="84">
      <c r="A2516" s="69">
        <f>IF([16]PRIORIZADOS!A106="","",[16]PRIORIZADOS!A106)</f>
        <v>2495</v>
      </c>
      <c r="B2516" s="70">
        <v>12</v>
      </c>
      <c r="C2516" s="261" t="str">
        <f>IFERROR(IF(VLOOKUP(A2516,[16]PRIORIZADOS!$A:$C,3,FALSE)="","",VLOOKUP(A2516,[16]PRIORIZADOS!$A:$C,3,FALSE)),"")</f>
        <v>TUNJUELITO</v>
      </c>
      <c r="D2516" s="261" t="str">
        <f>IFERROR(IF(VLOOKUP(A2516,[16]PRIORIZADOS!$A:$D,4,FALSE)="","",VLOOKUP(A2516,[16]PRIORIZADOS!$A:$D,4,FALSE)),"")</f>
        <v>PRIVADO</v>
      </c>
      <c r="E2516" s="261" t="str">
        <f>IFERROR(IF(VLOOKUP(A2516,[16]PRIORIZADOS!$A:$E,5,FALSE)="","",VLOOKUP(A2516,[16]PRIORIZADOS!$A:$E,5,FALSE)),"")</f>
        <v>EPBM</v>
      </c>
      <c r="F2516" s="261" t="str">
        <f>IFERROR(IF(VLOOKUP(A2516,[16]PRIORIZADOS!$A:$F,6,FALSE)="","",VLOOKUP(A2516,[16]PRIORIZADOS!$A:$F,6,FALSE)),"")</f>
        <v>LICEO_INTEGRAL_SAN_CARLOS</v>
      </c>
      <c r="G2516" s="261" t="str">
        <f>IFERROR(IF(VLOOKUP(A2516,[16]PRIORIZADOS!$A:$G,7,FALSE)="","",VLOOKUP(A2516,[16]PRIORIZADOS!$A:$G,7,FALSE)),"")</f>
        <v>LICEO INTEGRAL SAN CARLOS</v>
      </c>
      <c r="H2516" s="261" t="str">
        <f>IFERROR(IF(VLOOKUP(A2516,[16]PRIORIZADOS!$A:$H,8,FALSE)="","",VLOOKUP(A2516,[16]PRIORIZADOS!$A:$H,8,FALSE)),"")</f>
        <v>Autoevaluación Institucional y Pruebas SABER 11</v>
      </c>
      <c r="I2516" s="261" t="str">
        <f>IFERROR(IF(VLOOKUP(A2516,[16]PRIORIZADOS!$A:$I,9,FALSE)="","",VLOOKUP(A2516,[16]PRIORIZADOS!$A:$I,9,FALSE)),"")</f>
        <v>SEGUIMIENTO_Y_SUPERVISIÓN.</v>
      </c>
      <c r="J2516" s="261" t="str">
        <f>IFERROR(IF(VLOOKUP(A2516,[16]PRIORIZADOS!$A:$J,10,FALSE)="","",VLOOKUP(A2516,[16]PRIORIZADOS!$A:$J,10,FALSE)),"")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16" s="261" t="str">
        <f>IFERROR(IF(VLOOKUP(A2516,[16]PRIORIZADOS!$A:$K,11,FALSE)="","",VLOOKUP(A2516,[16]PRIORIZADOS!$A:$K,11,FALSE)),"")</f>
        <v>SANDRA JAZMÍN BAQUERO CÓRDOBA</v>
      </c>
      <c r="L2516" s="261" t="str">
        <f>IFERROR(IF(VLOOKUP(A2516,[16]PRIORIZADOS!$A:$L,12,FALSE)="","",VLOOKUP(A2516,[16]PRIORIZADOS!$A:$L,12,FALSE)),"")</f>
        <v xml:space="preserve">SANDRA JAZMÍN BAQUERO CÓRDOBA
NELSON AUGUSTO CUBILLOS OLARTE
CLAUDIA PATRICIA GRANADOS FLÓREZ
</v>
      </c>
      <c r="M2516" s="262">
        <f>IFERROR(IF(VLOOKUP(A2516,[16]PRIORIZADOS!$A:$M,13,FALSE)="","",VLOOKUP(A2516,[16]PRIORIZADOS!$A:$M,13,FALSE)),"")</f>
        <v>45807</v>
      </c>
      <c r="N2516" s="262">
        <f>IFERROR(IF(VLOOKUP(A2516,[16]PRIORIZADOS!$A:$N,14,FALSE)="","",VLOOKUP(A2516,[16]PRIORIZADOS!$A:$N,14,FALSE)),"")</f>
        <v>45807</v>
      </c>
      <c r="O2516" s="262">
        <f>IFERROR(IF(VLOOKUP(A2516,[16]PRIORIZADOS!$A:$O,15,FALSE)="","",VLOOKUP(A2516,[16]PRIORIZADOS!$A:$O,15,FALSE)),"")</f>
        <v>45807</v>
      </c>
      <c r="P2516" s="261" t="str">
        <f>IFERROR(IF(VLOOKUP(A2516,[16]PRIORIZADOS!$A:$P,16,FALSE)="","",VLOOKUP(A2516,[16]PRIORIZADOS!$A:$P,16,FALSE)),"")</f>
        <v>Visitas de evaluación con fines de seguimiento</v>
      </c>
      <c r="Q2516" s="5" t="s">
        <v>495</v>
      </c>
      <c r="R2516" s="261" t="str">
        <f>IFERROR(IF(VLOOKUP(A2516,[16]PRIORIZADOS!$A:$R,18,FALSE)="","",VLOOKUP(A2516,[16]PRIORIZADOS!$A:$R,18,FALSE)),"")</f>
        <v>El colegio en el momento no cuenta con población con discapacidad</v>
      </c>
      <c r="S2516" s="261" t="str">
        <f>IFERROR(IF(VLOOKUP(A2516,[16]PRIORIZADOS!$A:$S,19,FALSE)="","",VLOOKUP(A2516,[16]PRIORIZADOS!$A:$S,19,FALSE)),"")</f>
        <v>Se recomienda ajustar el PEI de acuerdo con el Decreto 1421 de 2017</v>
      </c>
      <c r="T2516" s="70" t="str">
        <f>IFERROR(IF(VLOOKUP(A2516,[16]PRIORIZADOS!$A:$T,20,FALSE)="","",VLOOKUP(A2516,[16]PRIORIZADOS!$A:$T,20,FALSE)),"")</f>
        <v>Si</v>
      </c>
      <c r="U2516" s="11" t="str">
        <f>IFERROR(IF(VLOOKUP(A2516,[16]PRIORIZADOS!$A:$U,21,FALSE)="","",VLOOKUP(A2516,[16]PRIORIZADOS!$A:$U,21,FALSE)),"")</f>
        <v>Presentó plan de mejoramiento y el 28 de julio se realizó el primer seguimiento. Se generaron observaciones.</v>
      </c>
    </row>
    <row r="2517" spans="1:21" s="1" customFormat="1" ht="84">
      <c r="A2517" s="69">
        <f>IF([16]PRIORIZADOS!A107="","",[16]PRIORIZADOS!A107)</f>
        <v>2496</v>
      </c>
      <c r="B2517" s="70">
        <v>12</v>
      </c>
      <c r="C2517" s="261" t="str">
        <f>IFERROR(IF(VLOOKUP(A2517,[16]PRIORIZADOS!$A:$C,3,FALSE)="","",VLOOKUP(A2517,[16]PRIORIZADOS!$A:$C,3,FALSE)),"")</f>
        <v>TUNJUELITO</v>
      </c>
      <c r="D2517" s="261" t="str">
        <f>IFERROR(IF(VLOOKUP(A2517,[16]PRIORIZADOS!$A:$D,4,FALSE)="","",VLOOKUP(A2517,[16]PRIORIZADOS!$A:$D,4,FALSE)),"")</f>
        <v>PRIVADO</v>
      </c>
      <c r="E2517" s="261" t="str">
        <f>IFERROR(IF(VLOOKUP(A2517,[16]PRIORIZADOS!$A:$E,5,FALSE)="","",VLOOKUP(A2517,[16]PRIORIZADOS!$A:$E,5,FALSE)),"")</f>
        <v>EPBM</v>
      </c>
      <c r="F2517" s="261" t="str">
        <f>IFERROR(IF(VLOOKUP(A2517,[16]PRIORIZADOS!$A:$F,6,FALSE)="","",VLOOKUP(A2517,[16]PRIORIZADOS!$A:$F,6,FALSE)),"")</f>
        <v>LICEO_INTEGRAL_SAN_CARLOS</v>
      </c>
      <c r="G2517" s="261" t="str">
        <f>IFERROR(IF(VLOOKUP(A2517,[16]PRIORIZADOS!$A:$G,7,FALSE)="","",VLOOKUP(A2517,[16]PRIORIZADOS!$A:$G,7,FALSE)),"")</f>
        <v>LICEO INTEGRAL SAN CARLOS</v>
      </c>
      <c r="H2517" s="261" t="str">
        <f>IFERROR(IF(VLOOKUP(A2517,[16]PRIORIZADOS!$A:$H,8,FALSE)="","",VLOOKUP(A2517,[16]PRIORIZADOS!$A:$H,8,FALSE)),"")</f>
        <v>Autoevaluación Institucional y Pruebas SABER 11</v>
      </c>
      <c r="I2517" s="261" t="str">
        <f>IFERROR(IF(VLOOKUP(A2517,[16]PRIORIZADOS!$A:$I,9,FALSE)="","",VLOOKUP(A2517,[16]PRIORIZADOS!$A:$I,9,FALSE)),"")</f>
        <v>EVALUACIÓN_CON_FINES_DE_MEJORAMIENTO.</v>
      </c>
      <c r="J2517" s="261" t="str">
        <f>IFERROR(IF(VLOOKUP(A2517,[16]PRIORIZADOS!$A:$J,10,FALSE)="","",VLOOKUP(A2517,[16]PRIORIZADOS!$A:$J,10,FALSE)),"")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17" s="261" t="str">
        <f>IFERROR(IF(VLOOKUP(A2517,[16]PRIORIZADOS!$A:$K,11,FALSE)="","",VLOOKUP(A2517,[16]PRIORIZADOS!$A:$K,11,FALSE)),"")</f>
        <v>SANDRA JAZMÍN BAQUERO CÓRDOBA</v>
      </c>
      <c r="L2517" s="261" t="str">
        <f>IFERROR(IF(VLOOKUP(A2517,[16]PRIORIZADOS!$A:$L,12,FALSE)="","",VLOOKUP(A2517,[16]PRIORIZADOS!$A:$L,12,FALSE)),"")</f>
        <v xml:space="preserve">SANDRA JAZMÍN BAQUERO CÓRDOBA
NELSON AUGUSTO CUBILLOS OLARTE
CLAUDIA PATRICIA GRANADOS FLÓREZ
</v>
      </c>
      <c r="M2517" s="262">
        <f>IFERROR(IF(VLOOKUP(A2517,[16]PRIORIZADOS!$A:$M,13,FALSE)="","",VLOOKUP(A2517,[16]PRIORIZADOS!$A:$M,13,FALSE)),"")</f>
        <v>45807</v>
      </c>
      <c r="N2517" s="262">
        <f>IFERROR(IF(VLOOKUP(A2517,[16]PRIORIZADOS!$A:$N,14,FALSE)="","",VLOOKUP(A2517,[16]PRIORIZADOS!$A:$N,14,FALSE)),"")</f>
        <v>45807</v>
      </c>
      <c r="O2517" s="262">
        <f>IFERROR(IF(VLOOKUP(A2517,[16]PRIORIZADOS!$A:$O,15,FALSE)="","",VLOOKUP(A2517,[16]PRIORIZADOS!$A:$O,15,FALSE)),"")</f>
        <v>45807</v>
      </c>
      <c r="P2517" s="261" t="str">
        <f>IFERROR(IF(VLOOKUP(A2517,[16]PRIORIZADOS!$A:$P,16,FALSE)="","",VLOOKUP(A2517,[16]PRIORIZADOS!$A:$P,16,FALSE)),"")</f>
        <v>Visitas de evaluación con fines de mejoramiento</v>
      </c>
      <c r="Q2517" s="5" t="s">
        <v>495</v>
      </c>
      <c r="R2517" s="261" t="str">
        <f>IFERROR(IF(VLOOKUP(A2517,[16]PRIORIZADOS!$A:$R,18,FALSE)="","",VLOOKUP(A2517,[16]PRIORIZADOS!$A:$R,18,FALSE)),"")</f>
        <v>El colegio en el PEI cuenta con la implementación de la Ley 1620 de 2013 pero en el Manual de Convivencia no hay evidencia de las rutas, las definiciones etc</v>
      </c>
      <c r="S2517" s="261" t="str">
        <f>IFERROR(IF(VLOOKUP(A2517,[16]PRIORIZADOS!$A:$S,19,FALSE)="","",VLOOKUP(A2517,[16]PRIORIZADOS!$A:$S,19,FALSE)),"")</f>
        <v>Se recomienda armonizar los PEI y el Manual de Convivencia</v>
      </c>
      <c r="T2517" s="70" t="str">
        <f>IFERROR(IF(VLOOKUP(A2517,[16]PRIORIZADOS!$A:$T,20,FALSE)="","",VLOOKUP(A2517,[16]PRIORIZADOS!$A:$T,20,FALSE)),"")</f>
        <v>Si</v>
      </c>
      <c r="U2517" s="11" t="str">
        <f>IFERROR(IF(VLOOKUP(A2517,[16]PRIORIZADOS!$A:$U,21,FALSE)="","",VLOOKUP(A2517,[16]PRIORIZADOS!$A:$U,21,FALSE)),"")</f>
        <v>Presentó plan de mejoramiento y el 28 de julio se realizó el primer seguimiento. Se generaron observaciones.</v>
      </c>
    </row>
    <row r="2518" spans="1:21" s="1" customFormat="1" ht="84">
      <c r="A2518" s="69">
        <f>IF([16]PRIORIZADOS!A108="","",[16]PRIORIZADOS!A108)</f>
        <v>2497</v>
      </c>
      <c r="B2518" s="70">
        <v>12</v>
      </c>
      <c r="C2518" s="261" t="str">
        <f>IFERROR(IF(VLOOKUP(A2518,[16]PRIORIZADOS!$A:$C,3,FALSE)="","",VLOOKUP(A2518,[16]PRIORIZADOS!$A:$C,3,FALSE)),"")</f>
        <v>TUNJUELITO</v>
      </c>
      <c r="D2518" s="261" t="str">
        <f>IFERROR(IF(VLOOKUP(A2518,[16]PRIORIZADOS!$A:$D,4,FALSE)="","",VLOOKUP(A2518,[16]PRIORIZADOS!$A:$D,4,FALSE)),"")</f>
        <v>PRIVADO</v>
      </c>
      <c r="E2518" s="261" t="str">
        <f>IFERROR(IF(VLOOKUP(A2518,[16]PRIORIZADOS!$A:$E,5,FALSE)="","",VLOOKUP(A2518,[16]PRIORIZADOS!$A:$E,5,FALSE)),"")</f>
        <v>EPBM</v>
      </c>
      <c r="F2518" s="261" t="str">
        <f>IFERROR(IF(VLOOKUP(A2518,[16]PRIORIZADOS!$A:$F,6,FALSE)="","",VLOOKUP(A2518,[16]PRIORIZADOS!$A:$F,6,FALSE)),"")</f>
        <v>LICEO_INTEGRAL_SAN_CARLOS</v>
      </c>
      <c r="G2518" s="261" t="str">
        <f>IFERROR(IF(VLOOKUP(A2518,[16]PRIORIZADOS!$A:$G,7,FALSE)="","",VLOOKUP(A2518,[16]PRIORIZADOS!$A:$G,7,FALSE)),"")</f>
        <v>LICEO INTEGRAL SAN CARLOS</v>
      </c>
      <c r="H2518" s="261" t="str">
        <f>IFERROR(IF(VLOOKUP(A2518,[16]PRIORIZADOS!$A:$H,8,FALSE)="","",VLOOKUP(A2518,[16]PRIORIZADOS!$A:$H,8,FALSE)),"")</f>
        <v>Autoevaluación Institucional y Pruebas SABER 11</v>
      </c>
      <c r="I2518" s="261" t="str">
        <f>IFERROR(IF(VLOOKUP(A2518,[16]PRIORIZADOS!$A:$I,9,FALSE)="","",VLOOKUP(A2518,[16]PRIORIZADOS!$A:$I,9,FALSE)),"")</f>
        <v>EVALUACIÓN_CON_FINES_DE_MEJORAMIENTO.</v>
      </c>
      <c r="J2518" s="261" t="str">
        <f>IFERROR(IF(VLOOKUP(A2518,[16]PRIORIZADOS!$A:$J,10,FALSE)="","",VLOOKUP(A2518,[16]PRIORIZADOS!$A:$J,10,FALSE)),"")</f>
        <v>Revisar la actualización, socialización e implementación del Sistema Institucional de Evaluación de Estudiantes - SIEE, en articulación con la actualización del PEI y la normatividad vigente.</v>
      </c>
      <c r="K2518" s="261" t="str">
        <f>IFERROR(IF(VLOOKUP(A2518,[16]PRIORIZADOS!$A:$K,11,FALSE)="","",VLOOKUP(A2518,[16]PRIORIZADOS!$A:$K,11,FALSE)),"")</f>
        <v>SANDRA JAZMÍN BAQUERO CÓRDOBA</v>
      </c>
      <c r="L2518" s="261" t="str">
        <f>IFERROR(IF(VLOOKUP(A2518,[16]PRIORIZADOS!$A:$L,12,FALSE)="","",VLOOKUP(A2518,[16]PRIORIZADOS!$A:$L,12,FALSE)),"")</f>
        <v xml:space="preserve">SANDRA JAZMÍN BAQUERO CÓRDOBA
NELSON AUGUSTO CUBILLOS OLARTE
CLAUDIA PATRICIA GRANADOS FLÓREZ
</v>
      </c>
      <c r="M2518" s="262">
        <f>IFERROR(IF(VLOOKUP(A2518,[16]PRIORIZADOS!$A:$M,13,FALSE)="","",VLOOKUP(A2518,[16]PRIORIZADOS!$A:$M,13,FALSE)),"")</f>
        <v>45807</v>
      </c>
      <c r="N2518" s="262">
        <f>IFERROR(IF(VLOOKUP(A2518,[16]PRIORIZADOS!$A:$N,14,FALSE)="","",VLOOKUP(A2518,[16]PRIORIZADOS!$A:$N,14,FALSE)),"")</f>
        <v>45807</v>
      </c>
      <c r="O2518" s="262">
        <f>IFERROR(IF(VLOOKUP(A2518,[16]PRIORIZADOS!$A:$O,15,FALSE)="","",VLOOKUP(A2518,[16]PRIORIZADOS!$A:$O,15,FALSE)),"")</f>
        <v>45807</v>
      </c>
      <c r="P2518" s="261" t="str">
        <f>IFERROR(IF(VLOOKUP(A2518,[16]PRIORIZADOS!$A:$P,16,FALSE)="","",VLOOKUP(A2518,[16]PRIORIZADOS!$A:$P,16,FALSE)),"")</f>
        <v>Visitas de evaluación con fines de mejoramiento</v>
      </c>
      <c r="Q2518" s="5" t="s">
        <v>495</v>
      </c>
      <c r="R2518" s="261" t="str">
        <f>IFERROR(IF(VLOOKUP(A2518,[16]PRIORIZADOS!$A:$R,18,FALSE)="","",VLOOKUP(A2518,[16]PRIORIZADOS!$A:$R,18,FALSE)),"")</f>
        <v>Debe actualizar el SIEE teniendo en cuenta que está dirigido para estudiantes de básica primaria y no hay criterios de seguimiento para los de preescolar</v>
      </c>
      <c r="S2518" s="261" t="str">
        <f>IFERROR(IF(VLOOKUP(A2518,[16]PRIORIZADOS!$A:$S,19,FALSE)="","",VLOOKUP(A2518,[16]PRIORIZADOS!$A:$S,19,FALSE)),"")</f>
        <v>Se recomienda actualizar el SIEE</v>
      </c>
      <c r="T2518" s="70" t="str">
        <f>IFERROR(IF(VLOOKUP(A2518,[16]PRIORIZADOS!$A:$T,20,FALSE)="","",VLOOKUP(A2518,[16]PRIORIZADOS!$A:$T,20,FALSE)),"")</f>
        <v>Si</v>
      </c>
      <c r="U2518" s="11" t="str">
        <f>IFERROR(IF(VLOOKUP(A2518,[16]PRIORIZADOS!$A:$U,21,FALSE)="","",VLOOKUP(A2518,[16]PRIORIZADOS!$A:$U,21,FALSE)),"")</f>
        <v>Presentó plan de mejoramiento y el 28 de julio se realizó el primer seguimiento. Se generaron observaciones.</v>
      </c>
    </row>
    <row r="2519" spans="1:21" s="1" customFormat="1" ht="84">
      <c r="A2519" s="69">
        <f>IF([16]PRIORIZADOS!A109="","",[16]PRIORIZADOS!A109)</f>
        <v>2498</v>
      </c>
      <c r="B2519" s="70">
        <v>12</v>
      </c>
      <c r="C2519" s="261" t="str">
        <f>IFERROR(IF(VLOOKUP(A2519,[16]PRIORIZADOS!$A:$C,3,FALSE)="","",VLOOKUP(A2519,[16]PRIORIZADOS!$A:$C,3,FALSE)),"")</f>
        <v>TUNJUELITO</v>
      </c>
      <c r="D2519" s="261" t="str">
        <f>IFERROR(IF(VLOOKUP(A2519,[16]PRIORIZADOS!$A:$D,4,FALSE)="","",VLOOKUP(A2519,[16]PRIORIZADOS!$A:$D,4,FALSE)),"")</f>
        <v>PRIVADO</v>
      </c>
      <c r="E2519" s="261" t="str">
        <f>IFERROR(IF(VLOOKUP(A2519,[16]PRIORIZADOS!$A:$E,5,FALSE)="","",VLOOKUP(A2519,[16]PRIORIZADOS!$A:$E,5,FALSE)),"")</f>
        <v>EPBM</v>
      </c>
      <c r="F2519" s="261" t="str">
        <f>IFERROR(IF(VLOOKUP(A2519,[16]PRIORIZADOS!$A:$F,6,FALSE)="","",VLOOKUP(A2519,[16]PRIORIZADOS!$A:$F,6,FALSE)),"")</f>
        <v>LICEO_INTEGRAL_SAN_CARLOS</v>
      </c>
      <c r="G2519" s="261" t="str">
        <f>IFERROR(IF(VLOOKUP(A2519,[16]PRIORIZADOS!$A:$G,7,FALSE)="","",VLOOKUP(A2519,[16]PRIORIZADOS!$A:$G,7,FALSE)),"")</f>
        <v>LICEO INTEGRAL SAN CARLOS</v>
      </c>
      <c r="H2519" s="261" t="str">
        <f>IFERROR(IF(VLOOKUP(A2519,[16]PRIORIZADOS!$A:$H,8,FALSE)="","",VLOOKUP(A2519,[16]PRIORIZADOS!$A:$H,8,FALSE)),"")</f>
        <v>Autoevaluación Institucional y Pruebas SABER 11</v>
      </c>
      <c r="I2519" s="261" t="str">
        <f>IFERROR(IF(VLOOKUP(A2519,[16]PRIORIZADOS!$A:$I,9,FALSE)="","",VLOOKUP(A2519,[16]PRIORIZADOS!$A:$I,9,FALSE)),"")</f>
        <v>EVALUACIÓN_CON_FINES_DE_MEJORAMIENTO.</v>
      </c>
      <c r="J2519" s="261" t="str">
        <f>IFERROR(IF(VLOOKUP(A2519,[16]PRIORIZADOS!$A:$J,10,FALSE)="","",VLOOKUP(A2519,[16]PRIORIZADOS!$A:$J,10,FALSE)),"")</f>
        <v>Revisar el calendario escolar, jornada escolar, la intensidad horaria mínima anual en cada nivel y las modificaciones que se realicen al mismo, de acuerdo con lo previsto en la normatividad vigente.</v>
      </c>
      <c r="K2519" s="261" t="str">
        <f>IFERROR(IF(VLOOKUP(A2519,[16]PRIORIZADOS!$A:$K,11,FALSE)="","",VLOOKUP(A2519,[16]PRIORIZADOS!$A:$K,11,FALSE)),"")</f>
        <v>SANDRA JAZMÍN BAQUERO CÓRDOBA</v>
      </c>
      <c r="L2519" s="261" t="str">
        <f>IFERROR(IF(VLOOKUP(A2519,[16]PRIORIZADOS!$A:$L,12,FALSE)="","",VLOOKUP(A2519,[16]PRIORIZADOS!$A:$L,12,FALSE)),"")</f>
        <v xml:space="preserve">SANDRA JAZMÍN BAQUERO CÓRDOBA
NELSON AUGUSTO CUBILLOS OLARTE
CLAUDIA PATRICIA GRANADOS FLÓREZ
</v>
      </c>
      <c r="M2519" s="262">
        <f>IFERROR(IF(VLOOKUP(A2519,[16]PRIORIZADOS!$A:$M,13,FALSE)="","",VLOOKUP(A2519,[16]PRIORIZADOS!$A:$M,13,FALSE)),"")</f>
        <v>45807</v>
      </c>
      <c r="N2519" s="262">
        <f>IFERROR(IF(VLOOKUP(A2519,[16]PRIORIZADOS!$A:$N,14,FALSE)="","",VLOOKUP(A2519,[16]PRIORIZADOS!$A:$N,14,FALSE)),"")</f>
        <v>45807</v>
      </c>
      <c r="O2519" s="262">
        <f>IFERROR(IF(VLOOKUP(A2519,[16]PRIORIZADOS!$A:$O,15,FALSE)="","",VLOOKUP(A2519,[16]PRIORIZADOS!$A:$O,15,FALSE)),"")</f>
        <v>45807</v>
      </c>
      <c r="P2519" s="261" t="str">
        <f>IFERROR(IF(VLOOKUP(A2519,[16]PRIORIZADOS!$A:$P,16,FALSE)="","",VLOOKUP(A2519,[16]PRIORIZADOS!$A:$P,16,FALSE)),"")</f>
        <v>Visitas de evaluación con fines de mejoramiento</v>
      </c>
      <c r="Q2519" s="5" t="s">
        <v>495</v>
      </c>
      <c r="R2519" s="261" t="str">
        <f>IFERROR(IF(VLOOKUP(A2519,[16]PRIORIZADOS!$A:$R,18,FALSE)="","",VLOOKUP(A2519,[16]PRIORIZADOS!$A:$R,18,FALSE)),"")</f>
        <v>El calendario escolar cumple con la intesidad mínima anual</v>
      </c>
      <c r="S2519" s="261" t="str">
        <f>IFERROR(IF(VLOOKUP(A2519,[16]PRIORIZADOS!$A:$S,19,FALSE)="","",VLOOKUP(A2519,[16]PRIORIZADOS!$A:$S,19,FALSE)),"")</f>
        <v>Se recomienda seguir reportando el calendario de manera anual</v>
      </c>
      <c r="T2519" s="70" t="str">
        <f>IFERROR(IF(VLOOKUP(A2519,[16]PRIORIZADOS!$A:$T,20,FALSE)="","",VLOOKUP(A2519,[16]PRIORIZADOS!$A:$T,20,FALSE)),"")</f>
        <v>No</v>
      </c>
      <c r="U2519" s="11" t="str">
        <f>IFERROR(IF(VLOOKUP(A2519,[16]PRIORIZADOS!$A:$U,21,FALSE)="","",VLOOKUP(A2519,[16]PRIORIZADOS!$A:$U,21,FALSE)),"")</f>
        <v>Se revisará el calendario en la siguiente vigencia</v>
      </c>
    </row>
    <row r="2520" spans="1:21" s="1" customFormat="1" ht="84">
      <c r="A2520" s="69">
        <f>IF([16]PRIORIZADOS!A110="","",[16]PRIORIZADOS!A110)</f>
        <v>2499</v>
      </c>
      <c r="B2520" s="70">
        <v>12</v>
      </c>
      <c r="C2520" s="261" t="str">
        <f>IFERROR(IF(VLOOKUP(A2520,[16]PRIORIZADOS!$A:$C,3,FALSE)="","",VLOOKUP(A2520,[16]PRIORIZADOS!$A:$C,3,FALSE)),"")</f>
        <v>TUNJUELITO</v>
      </c>
      <c r="D2520" s="261" t="str">
        <f>IFERROR(IF(VLOOKUP(A2520,[16]PRIORIZADOS!$A:$D,4,FALSE)="","",VLOOKUP(A2520,[16]PRIORIZADOS!$A:$D,4,FALSE)),"")</f>
        <v>PRIVADO</v>
      </c>
      <c r="E2520" s="261" t="str">
        <f>IFERROR(IF(VLOOKUP(A2520,[16]PRIORIZADOS!$A:$E,5,FALSE)="","",VLOOKUP(A2520,[16]PRIORIZADOS!$A:$E,5,FALSE)),"")</f>
        <v>EPBM</v>
      </c>
      <c r="F2520" s="261" t="str">
        <f>IFERROR(IF(VLOOKUP(A2520,[16]PRIORIZADOS!$A:$F,6,FALSE)="","",VLOOKUP(A2520,[16]PRIORIZADOS!$A:$F,6,FALSE)),"")</f>
        <v>LICEO_INTEGRAL_SAN_CARLOS</v>
      </c>
      <c r="G2520" s="261" t="str">
        <f>IFERROR(IF(VLOOKUP(A2520,[16]PRIORIZADOS!$A:$G,7,FALSE)="","",VLOOKUP(A2520,[16]PRIORIZADOS!$A:$G,7,FALSE)),"")</f>
        <v>LICEO INTEGRAL SAN CARLOS</v>
      </c>
      <c r="H2520" s="261" t="str">
        <f>IFERROR(IF(VLOOKUP(A2520,[16]PRIORIZADOS!$A:$H,8,FALSE)="","",VLOOKUP(A2520,[16]PRIORIZADOS!$A:$H,8,FALSE)),"")</f>
        <v>Autoevaluación Institucional y Pruebas SABER 11</v>
      </c>
      <c r="I2520" s="261" t="str">
        <f>IFERROR(IF(VLOOKUP(A2520,[16]PRIORIZADOS!$A:$I,9,FALSE)="","",VLOOKUP(A2520,[16]PRIORIZADOS!$A:$I,9,FALSE)),"")</f>
        <v>EVALUACIÓN_CON_FINES_DE_MEJORAMIENTO.</v>
      </c>
      <c r="J2520" s="261" t="str">
        <f>IFERROR(IF(VLOOKUP(A2520,[16]PRIORIZADOS!$A:$J,10,FALSE)="","",VLOOKUP(A2520,[16]PRIORIZADOS!$A:$J,10,FALSE)),"")</f>
        <v>Verificar el funcionamiento del Gobierno Escolar e instancias de participación con base en la información sobre conformación reportada por la institución educativa.</v>
      </c>
      <c r="K2520" s="261" t="str">
        <f>IFERROR(IF(VLOOKUP(A2520,[16]PRIORIZADOS!$A:$K,11,FALSE)="","",VLOOKUP(A2520,[16]PRIORIZADOS!$A:$K,11,FALSE)),"")</f>
        <v>SANDRA JAZMÍN BAQUERO CÓRDOBA</v>
      </c>
      <c r="L2520" s="261" t="str">
        <f>IFERROR(IF(VLOOKUP(A2520,[16]PRIORIZADOS!$A:$L,12,FALSE)="","",VLOOKUP(A2520,[16]PRIORIZADOS!$A:$L,12,FALSE)),"")</f>
        <v xml:space="preserve">SANDRA JAZMÍN BAQUERO CÓRDOBA
NELSON AUGUSTO CUBILLOS OLARTE
CLAUDIA PATRICIA GRANADOS FLÓREZ
</v>
      </c>
      <c r="M2520" s="262">
        <f>IFERROR(IF(VLOOKUP(A2520,[16]PRIORIZADOS!$A:$M,13,FALSE)="","",VLOOKUP(A2520,[16]PRIORIZADOS!$A:$M,13,FALSE)),"")</f>
        <v>45807</v>
      </c>
      <c r="N2520" s="262">
        <f>IFERROR(IF(VLOOKUP(A2520,[16]PRIORIZADOS!$A:$N,14,FALSE)="","",VLOOKUP(A2520,[16]PRIORIZADOS!$A:$N,14,FALSE)),"")</f>
        <v>45807</v>
      </c>
      <c r="O2520" s="262">
        <f>IFERROR(IF(VLOOKUP(A2520,[16]PRIORIZADOS!$A:$O,15,FALSE)="","",VLOOKUP(A2520,[16]PRIORIZADOS!$A:$O,15,FALSE)),"")</f>
        <v>45807</v>
      </c>
      <c r="P2520" s="261" t="str">
        <f>IFERROR(IF(VLOOKUP(A2520,[16]PRIORIZADOS!$A:$P,16,FALSE)="","",VLOOKUP(A2520,[16]PRIORIZADOS!$A:$P,16,FALSE)),"")</f>
        <v>Visitas de evaluación con fines de mejoramiento</v>
      </c>
      <c r="Q2520" s="5" t="s">
        <v>495</v>
      </c>
      <c r="R2520" s="261" t="str">
        <f>IFERROR(IF(VLOOKUP(A2520,[16]PRIORIZADOS!$A:$R,18,FALSE)="","",VLOOKUP(A2520,[16]PRIORIZADOS!$A:$R,18,FALSE)),"")</f>
        <v>Se encontró que el Gobierno Escolar está funcionando pero de las instancias de participación hay constancias de reunión</v>
      </c>
      <c r="S2520" s="261" t="str">
        <f>IFERROR(IF(VLOOKUP(A2520,[16]PRIORIZADOS!$A:$S,19,FALSE)="","",VLOOKUP(A2520,[16]PRIORIZADOS!$A:$S,19,FALSE)),"")</f>
        <v>El colegio debe realizar la convocatoria para las reuniones de padres de familia y consejo de padres y dejar las actas correspondientes</v>
      </c>
      <c r="T2520" s="70" t="str">
        <f>IFERROR(IF(VLOOKUP(A2520,[16]PRIORIZADOS!$A:$T,20,FALSE)="","",VLOOKUP(A2520,[16]PRIORIZADOS!$A:$T,20,FALSE)),"")</f>
        <v>Si</v>
      </c>
      <c r="U2520" s="11" t="str">
        <f>IFERROR(IF(VLOOKUP(A2520,[16]PRIORIZADOS!$A:$U,21,FALSE)="","",VLOOKUP(A2520,[16]PRIORIZADOS!$A:$U,21,FALSE)),"")</f>
        <v>Presentó plan de mejoramiento y el 28 de julio se realizó el primer seguimiento. Se generaron observaciones.</v>
      </c>
    </row>
    <row r="2521" spans="1:21" s="1" customFormat="1" ht="84">
      <c r="A2521" s="69">
        <f>IF([16]PRIORIZADOS!A111="","",[16]PRIORIZADOS!A111)</f>
        <v>2500</v>
      </c>
      <c r="B2521" s="70">
        <v>12</v>
      </c>
      <c r="C2521" s="261" t="str">
        <f>IFERROR(IF(VLOOKUP(A2521,[16]PRIORIZADOS!$A:$C,3,FALSE)="","",VLOOKUP(A2521,[16]PRIORIZADOS!$A:$C,3,FALSE)),"")</f>
        <v>TUNJUELITO</v>
      </c>
      <c r="D2521" s="261" t="str">
        <f>IFERROR(IF(VLOOKUP(A2521,[16]PRIORIZADOS!$A:$D,4,FALSE)="","",VLOOKUP(A2521,[16]PRIORIZADOS!$A:$D,4,FALSE)),"")</f>
        <v>PRIVADO</v>
      </c>
      <c r="E2521" s="261" t="str">
        <f>IFERROR(IF(VLOOKUP(A2521,[16]PRIORIZADOS!$A:$E,5,FALSE)="","",VLOOKUP(A2521,[16]PRIORIZADOS!$A:$E,5,FALSE)),"")</f>
        <v>EPBM</v>
      </c>
      <c r="F2521" s="261" t="str">
        <f>IFERROR(IF(VLOOKUP(A2521,[16]PRIORIZADOS!$A:$F,6,FALSE)="","",VLOOKUP(A2521,[16]PRIORIZADOS!$A:$F,6,FALSE)),"")</f>
        <v>LICEO_INTEGRAL_SAN_CARLOS</v>
      </c>
      <c r="G2521" s="261" t="str">
        <f>IFERROR(IF(VLOOKUP(A2521,[16]PRIORIZADOS!$A:$G,7,FALSE)="","",VLOOKUP(A2521,[16]PRIORIZADOS!$A:$G,7,FALSE)),"")</f>
        <v>LICEO INTEGRAL SAN CARLOS</v>
      </c>
      <c r="H2521" s="261" t="str">
        <f>IFERROR(IF(VLOOKUP(A2521,[16]PRIORIZADOS!$A:$H,8,FALSE)="","",VLOOKUP(A2521,[16]PRIORIZADOS!$A:$H,8,FALSE)),"")</f>
        <v>Autoevaluación Institucional y Pruebas SABER 11</v>
      </c>
      <c r="I2521" s="261" t="str">
        <f>IFERROR(IF(VLOOKUP(A2521,[16]PRIORIZADOS!$A:$I,9,FALSE)="","",VLOOKUP(A2521,[16]PRIORIZADOS!$A:$I,9,FALSE)),"")</f>
        <v>EVALUACIÓN_CON_FINES_DE_MEJORAMIENTO.</v>
      </c>
      <c r="J2521" s="261" t="str">
        <f>IFERROR(IF(VLOOKUP(A2521,[16]PRIORIZADOS!$A:$J,10,FALSE)="","",VLOOKUP(A2521,[16]PRIORIZADOS!$A:$J,10,FALSE)),"")</f>
        <v>Verificar las condiciones en cuanto a: la estructura administrativa, condiciones de la planta física y medios educativos adecuados.</v>
      </c>
      <c r="K2521" s="261" t="str">
        <f>IFERROR(IF(VLOOKUP(A2521,[16]PRIORIZADOS!$A:$K,11,FALSE)="","",VLOOKUP(A2521,[16]PRIORIZADOS!$A:$K,11,FALSE)),"")</f>
        <v>SANDRA JAZMÍN BAQUERO CÓRDOBA</v>
      </c>
      <c r="L2521" s="261" t="str">
        <f>IFERROR(IF(VLOOKUP(A2521,[16]PRIORIZADOS!$A:$L,12,FALSE)="","",VLOOKUP(A2521,[16]PRIORIZADOS!$A:$L,12,FALSE)),"")</f>
        <v xml:space="preserve">SANDRA JAZMÍN BAQUERO CÓRDOBA
NELSON AUGUSTO CUBILLOS OLARTE
CLAUDIA PATRICIA GRANADOS FLÓREZ
</v>
      </c>
      <c r="M2521" s="262">
        <f>IFERROR(IF(VLOOKUP(A2521,[16]PRIORIZADOS!$A:$M,13,FALSE)="","",VLOOKUP(A2521,[16]PRIORIZADOS!$A:$M,13,FALSE)),"")</f>
        <v>45807</v>
      </c>
      <c r="N2521" s="262">
        <f>IFERROR(IF(VLOOKUP(A2521,[16]PRIORIZADOS!$A:$N,14,FALSE)="","",VLOOKUP(A2521,[16]PRIORIZADOS!$A:$N,14,FALSE)),"")</f>
        <v>45807</v>
      </c>
      <c r="O2521" s="262">
        <f>IFERROR(IF(VLOOKUP(A2521,[16]PRIORIZADOS!$A:$O,15,FALSE)="","",VLOOKUP(A2521,[16]PRIORIZADOS!$A:$O,15,FALSE)),"")</f>
        <v>45807</v>
      </c>
      <c r="P2521" s="261" t="str">
        <f>IFERROR(IF(VLOOKUP(A2521,[16]PRIORIZADOS!$A:$P,16,FALSE)="","",VLOOKUP(A2521,[16]PRIORIZADOS!$A:$P,16,FALSE)),"")</f>
        <v>Visitas de evaluación con fines de mejoramiento</v>
      </c>
      <c r="Q2521" s="5" t="s">
        <v>495</v>
      </c>
      <c r="R2521" s="261" t="str">
        <f>IFERROR(IF(VLOOKUP(A2521,[16]PRIORIZADOS!$A:$R,18,FALSE)="","",VLOOKUP(A2521,[16]PRIORIZADOS!$A:$R,18,FALSE)),"")</f>
        <v>Se encontró que no cuenta con orientación, primeros auxilios</v>
      </c>
      <c r="S2521" s="261" t="str">
        <f>IFERROR(IF(VLOOKUP(A2521,[16]PRIORIZADOS!$A:$S,19,FALSE)="","",VLOOKUP(A2521,[16]PRIORIZADOS!$A:$S,19,FALSE)),"")</f>
        <v>Presentar plan de mejoramiento</v>
      </c>
      <c r="T2521" s="70" t="str">
        <f>IFERROR(IF(VLOOKUP(A2521,[16]PRIORIZADOS!$A:$T,20,FALSE)="","",VLOOKUP(A2521,[16]PRIORIZADOS!$A:$T,20,FALSE)),"")</f>
        <v>Si</v>
      </c>
      <c r="U2521" s="11" t="str">
        <f>IFERROR(IF(VLOOKUP(A2521,[16]PRIORIZADOS!$A:$U,21,FALSE)="","",VLOOKUP(A2521,[16]PRIORIZADOS!$A:$U,21,FALSE)),"")</f>
        <v>Presentó plan de mejoramiento y el 28 de julio se realizó el primer seguimiento. Se generaron observaciones.</v>
      </c>
    </row>
    <row r="2522" spans="1:21" s="1" customFormat="1" ht="84">
      <c r="A2522" s="69">
        <f>IF([16]PRIORIZADOS!A112="","",[16]PRIORIZADOS!A112)</f>
        <v>2501</v>
      </c>
      <c r="B2522" s="70">
        <f>IFERROR(IF(VLOOKUP(A2522,[16]PRIORIZADOS!$A:$B,2,FALSE)="","",VLOOKUP(A2522,[16]PRIORIZADOS!$A:$B,2,FALSE)),"")</f>
        <v>13</v>
      </c>
      <c r="C2522" s="261" t="str">
        <f>IFERROR(IF(VLOOKUP(A2522,[16]PRIORIZADOS!$A:$C,3,FALSE)="","",VLOOKUP(A2522,[16]PRIORIZADOS!$A:$C,3,FALSE)),"")</f>
        <v>TUNJUELITO</v>
      </c>
      <c r="D2522" s="261" t="str">
        <f>IFERROR(IF(VLOOKUP(A2522,[16]PRIORIZADOS!$A:$D,4,FALSE)="","",VLOOKUP(A2522,[16]PRIORIZADOS!$A:$D,4,FALSE)),"")</f>
        <v>PRIVADO</v>
      </c>
      <c r="E2522" s="261" t="str">
        <f>IFERROR(IF(VLOOKUP(A2522,[16]PRIORIZADOS!$A:$E,5,FALSE)="","",VLOOKUP(A2522,[16]PRIORIZADOS!$A:$E,5,FALSE)),"")</f>
        <v>EPBM</v>
      </c>
      <c r="F2522" s="261" t="str">
        <f>IFERROR(IF(VLOOKUP(A2522,[16]PRIORIZADOS!$A:$F,6,FALSE)="","",VLOOKUP(A2522,[16]PRIORIZADOS!$A:$F,6,FALSE)),"")</f>
        <v>CENTRO_EDUCATIVO_INTEGRAL_LATINOAMERICANO__CEIL</v>
      </c>
      <c r="G2522" s="261" t="str">
        <f>IFERROR(IF(VLOOKUP(A2522,[16]PRIORIZADOS!$A:$G,7,FALSE)="","",VLOOKUP(A2522,[16]PRIORIZADOS!$A:$G,7,FALSE)),"")</f>
        <v>CENTRO EDUCATIVO INTEGRAL LATINOAMERICANO - CEIL</v>
      </c>
      <c r="H2522" s="261" t="str">
        <f>IFERROR(IF(VLOOKUP(A2522,[16]PRIORIZADOS!$A:$H,8,FALSE)="","",VLOOKUP(A2522,[16]PRIORIZADOS!$A:$H,8,FALSE)),"")</f>
        <v>Autoevaluación Institucional y Pruebas SABER 11</v>
      </c>
      <c r="I2522" s="261" t="str">
        <f>IFERROR(IF(VLOOKUP(A2522,[16]PRIORIZADOS!$A:$I,9,FALSE)="","",VLOOKUP(A2522,[16]PRIORIZADOS!$A:$I,9,FALSE)),"")</f>
        <v>SEGUIMIENTO_Y_SUPERVISIÓN.</v>
      </c>
      <c r="J2522" s="261" t="str">
        <f>IFERROR(IF(VLOOKUP(A2522,[16]PRIORIZADOS!$A:$J,10,FALSE)="","",VLOOKUP(A2522,[16]PRIORIZADOS!$A:$J,10,FALSE)),"")</f>
        <v>Realizar visitas para verificar la información registrada sobre la autoevaluación institucional en el aplicativo EVI, a los establecimientos de educación formal no oficial.</v>
      </c>
      <c r="K2522" s="261" t="str">
        <f>IFERROR(IF(VLOOKUP(A2522,[16]PRIORIZADOS!$A:$K,11,FALSE)="","",VLOOKUP(A2522,[16]PRIORIZADOS!$A:$K,11,FALSE)),"")</f>
        <v>SANDRA JAZMÍN BAQUERO CÓRDOBA</v>
      </c>
      <c r="L2522" s="261" t="str">
        <f>IFERROR(IF(VLOOKUP(A2522,[16]PRIORIZADOS!$A:$L,12,FALSE)="","",VLOOKUP(A2522,[16]PRIORIZADOS!$A:$L,12,FALSE)),"")</f>
        <v xml:space="preserve">SANDRA JAZMÍN BAQUERO CÓRDOBA
NELSON AUGUSTO CUBILLOS OLARTE
CLAUDIA PATRICIA GRANADOS FLÓREZ
</v>
      </c>
      <c r="M2522" s="262">
        <f>IFERROR(IF(VLOOKUP(A2522,[16]PRIORIZADOS!$A:$M,13,FALSE)="","",VLOOKUP(A2522,[16]PRIORIZADOS!$A:$M,13,FALSE)),"")</f>
        <v>45744</v>
      </c>
      <c r="N2522" s="262">
        <f>IFERROR(IF(VLOOKUP(A2522,[16]PRIORIZADOS!$A:$N,14,FALSE)="","",VLOOKUP(A2522,[16]PRIORIZADOS!$A:$N,14,FALSE)),"")</f>
        <v>45794</v>
      </c>
      <c r="O2522" s="262" t="str">
        <f>IFERROR(IF(VLOOKUP(A2522,[16]PRIORIZADOS!$A:$O,15,FALSE)="","",VLOOKUP(A2522,[16]PRIORIZADOS!$A:$O,15,FALSE)),"")</f>
        <v>17/05/2025</v>
      </c>
      <c r="P2522" s="261" t="str">
        <f>IFERROR(IF(VLOOKUP(A2522,[16]PRIORIZADOS!$A:$P,16,FALSE)="","",VLOOKUP(A2522,[16]PRIORIZADOS!$A:$P,16,FALSE)),"")</f>
        <v>Visitas de evaluación con fines de seguimiento</v>
      </c>
      <c r="Q2522" s="5" t="s">
        <v>496</v>
      </c>
      <c r="R2522" s="261" t="str">
        <f>IFERROR(IF(VLOOKUP(A2522,[16]PRIORIZADOS!$A:$R,18,FALSE)="","",VLOOKUP(A2522,[16]PRIORIZADOS!$A:$R,18,FALSE)),"")</f>
        <v>Se encontró que los docentes cuentan con seguridad social y tienen contrato inferior a un año</v>
      </c>
      <c r="S2522" s="261" t="str">
        <f>IFERROR(IF(VLOOKUP(A2522,[16]PRIORIZADOS!$A:$S,19,FALSE)="","",VLOOKUP(A2522,[16]PRIORIZADOS!$A:$S,19,FALSE)),"")</f>
        <v>No presenta novedad en el tema contractual y de seguridad social</v>
      </c>
      <c r="T2522" s="70" t="str">
        <f>IFERROR(IF(VLOOKUP(A2522,[16]PRIORIZADOS!$A:$T,20,FALSE)="","",VLOOKUP(A2522,[16]PRIORIZADOS!$A:$T,20,FALSE)),"")</f>
        <v>No</v>
      </c>
      <c r="U2522" s="11" t="str">
        <f>IFERROR(IF(VLOOKUP(A2522,[16]PRIORIZADOS!$A:$U,21,FALSE)="","",VLOOKUP(A2522,[16]PRIORIZADOS!$A:$U,21,FALSE)),"")</f>
        <v>Se realizará verificación en visita o reunión posterior</v>
      </c>
    </row>
    <row r="2523" spans="1:21" s="1" customFormat="1" ht="84">
      <c r="A2523" s="69">
        <f>IF([16]PRIORIZADOS!A113="","",[16]PRIORIZADOS!A113)</f>
        <v>2502</v>
      </c>
      <c r="B2523" s="70">
        <v>13</v>
      </c>
      <c r="C2523" s="261" t="str">
        <f>IFERROR(IF(VLOOKUP(A2523,[16]PRIORIZADOS!$A:$C,3,FALSE)="","",VLOOKUP(A2523,[16]PRIORIZADOS!$A:$C,3,FALSE)),"")</f>
        <v>TUNJUELITO</v>
      </c>
      <c r="D2523" s="261" t="str">
        <f>IFERROR(IF(VLOOKUP(A2523,[16]PRIORIZADOS!$A:$D,4,FALSE)="","",VLOOKUP(A2523,[16]PRIORIZADOS!$A:$D,4,FALSE)),"")</f>
        <v>PRIVADO</v>
      </c>
      <c r="E2523" s="261" t="str">
        <f>IFERROR(IF(VLOOKUP(A2523,[16]PRIORIZADOS!$A:$E,5,FALSE)="","",VLOOKUP(A2523,[16]PRIORIZADOS!$A:$E,5,FALSE)),"")</f>
        <v>EPBM</v>
      </c>
      <c r="F2523" s="261" t="str">
        <f>IFERROR(IF(VLOOKUP(A2523,[16]PRIORIZADOS!$A:$F,6,FALSE)="","",VLOOKUP(A2523,[16]PRIORIZADOS!$A:$F,6,FALSE)),"")</f>
        <v>CENTRO_EDUCATIVO_INTEGRAL_LATINOAMERICANO__CEIL</v>
      </c>
      <c r="G2523" s="261" t="str">
        <f>IFERROR(IF(VLOOKUP(A2523,[16]PRIORIZADOS!$A:$G,7,FALSE)="","",VLOOKUP(A2523,[16]PRIORIZADOS!$A:$G,7,FALSE)),"")</f>
        <v>CENTRO EDUCATIVO INTEGRAL LATINOAMERICANO - CEIL</v>
      </c>
      <c r="H2523" s="261" t="str">
        <f>IFERROR(IF(VLOOKUP(A2523,[16]PRIORIZADOS!$A:$H,8,FALSE)="","",VLOOKUP(A2523,[16]PRIORIZADOS!$A:$H,8,FALSE)),"")</f>
        <v>Autoevaluación Institucional y Pruebas SABER 11</v>
      </c>
      <c r="I2523" s="261" t="str">
        <f>IFERROR(IF(VLOOKUP(A2523,[16]PRIORIZADOS!$A:$I,9,FALSE)="","",VLOOKUP(A2523,[16]PRIORIZADOS!$A:$I,9,FALSE)),"")</f>
        <v>SEGUIMIENTO_Y_SUPERVISIÓN.</v>
      </c>
      <c r="J2523" s="261" t="str">
        <f>IFERROR(IF(VLOOKUP(A2523,[16]PRIORIZADOS!$A:$J,10,FALSE)="","",VLOOKUP(A2523,[16]PRIORIZADOS!$A:$J,10,FALSE)),"")</f>
        <v>Proponer estrategias en la formulación, verificar su elaboración y realizar seguimiento semestral al desarrollo de  las acciones establecidas en los planes de mejoramiento por pruebas SABER 11 de los establecimientos de educación formal.</v>
      </c>
      <c r="K2523" s="261" t="str">
        <f>IFERROR(IF(VLOOKUP(A2523,[16]PRIORIZADOS!$A:$K,11,FALSE)="","",VLOOKUP(A2523,[16]PRIORIZADOS!$A:$K,11,FALSE)),"")</f>
        <v>SANDRA JAZMÍN BAQUERO CÓRDOBA</v>
      </c>
      <c r="L2523" s="261" t="str">
        <f>IFERROR(IF(VLOOKUP(A2523,[16]PRIORIZADOS!$A:$L,12,FALSE)="","",VLOOKUP(A2523,[16]PRIORIZADOS!$A:$L,12,FALSE)),"")</f>
        <v xml:space="preserve">SANDRA JAZMÍN BAQUERO CÓRDOBA
NELSON AUGUSTO CUBILLOS OLARTE
CLAUDIA PATRICIA GRANADOS FLÓREZ
</v>
      </c>
      <c r="M2523" s="262">
        <f>IFERROR(IF(VLOOKUP(A2523,[16]PRIORIZADOS!$A:$M,13,FALSE)="","",VLOOKUP(A2523,[16]PRIORIZADOS!$A:$M,13,FALSE)),"")</f>
        <v>45744</v>
      </c>
      <c r="N2523" s="262">
        <f>IFERROR(IF(VLOOKUP(A2523,[16]PRIORIZADOS!$A:$N,14,FALSE)="","",VLOOKUP(A2523,[16]PRIORIZADOS!$A:$N,14,FALSE)),"")</f>
        <v>45794</v>
      </c>
      <c r="O2523" s="262">
        <f>IFERROR(IF(VLOOKUP(A2523,[16]PRIORIZADOS!$A:$O,15,FALSE)="","",VLOOKUP(A2523,[16]PRIORIZADOS!$A:$O,15,FALSE)),"")</f>
        <v>45794</v>
      </c>
      <c r="P2523" s="261" t="str">
        <f>IFERROR(IF(VLOOKUP(A2523,[16]PRIORIZADOS!$A:$P,16,FALSE)="","",VLOOKUP(A2523,[16]PRIORIZADOS!$A:$P,16,FALSE)),"")</f>
        <v>Visitas de evaluación con fines de seguimiento</v>
      </c>
      <c r="Q2523" s="5" t="s">
        <v>496</v>
      </c>
      <c r="R2523" s="261" t="str">
        <f>IFERROR(IF(VLOOKUP(A2523,[16]PRIORIZADOS!$A:$R,18,FALSE)="","",VLOOKUP(A2523,[16]PRIORIZADOS!$A:$R,18,FALSE)),"")</f>
        <v>No hay evidenias de la socialización de los resultados de las pruebas saber y del plan de mejoramiento curricular implementado</v>
      </c>
      <c r="S2523" s="261" t="str">
        <f>IFERROR(IF(VLOOKUP(A2523,[16]PRIORIZADOS!$A:$S,19,FALSE)="","",VLOOKUP(A2523,[16]PRIORIZADOS!$A:$S,19,FALSE)),"")</f>
        <v>Se solicitó socializar los resultados de las pruebas saber e implementar un plan de mejora que involucre el tema curricular</v>
      </c>
      <c r="T2523" s="70" t="str">
        <f>IFERROR(IF(VLOOKUP(A2523,[16]PRIORIZADOS!$A:$T,20,FALSE)="","",VLOOKUP(A2523,[16]PRIORIZADOS!$A:$T,20,FALSE)),"")</f>
        <v>Si</v>
      </c>
      <c r="U2523" s="11" t="str">
        <f>IFERROR(IF(VLOOKUP(A2523,[16]PRIORIZADOS!$A:$U,21,FALSE)="","",VLOOKUP(A2523,[16]PRIORIZADOS!$A:$U,21,FALSE)),"")</f>
        <v>Presentó plan de mejoramiento y el 25 de julio se realizó el primer seguimiento. Se generaron observaciones.</v>
      </c>
    </row>
    <row r="2524" spans="1:21" s="1" customFormat="1" ht="84">
      <c r="A2524" s="69">
        <f>IF([16]PRIORIZADOS!A114="","",[16]PRIORIZADOS!A114)</f>
        <v>2503</v>
      </c>
      <c r="B2524" s="70">
        <v>13</v>
      </c>
      <c r="C2524" s="261" t="str">
        <f>IFERROR(IF(VLOOKUP(A2524,[16]PRIORIZADOS!$A:$C,3,FALSE)="","",VLOOKUP(A2524,[16]PRIORIZADOS!$A:$C,3,FALSE)),"")</f>
        <v>TUNJUELITO</v>
      </c>
      <c r="D2524" s="261" t="str">
        <f>IFERROR(IF(VLOOKUP(A2524,[16]PRIORIZADOS!$A:$D,4,FALSE)="","",VLOOKUP(A2524,[16]PRIORIZADOS!$A:$D,4,FALSE)),"")</f>
        <v>PRIVADO</v>
      </c>
      <c r="E2524" s="261" t="str">
        <f>IFERROR(IF(VLOOKUP(A2524,[16]PRIORIZADOS!$A:$E,5,FALSE)="","",VLOOKUP(A2524,[16]PRIORIZADOS!$A:$E,5,FALSE)),"")</f>
        <v>EPBM</v>
      </c>
      <c r="F2524" s="261" t="str">
        <f>IFERROR(IF(VLOOKUP(A2524,[16]PRIORIZADOS!$A:$F,6,FALSE)="","",VLOOKUP(A2524,[16]PRIORIZADOS!$A:$F,6,FALSE)),"")</f>
        <v>CENTRO_EDUCATIVO_INTEGRAL_LATINOAMERICANO__CEIL</v>
      </c>
      <c r="G2524" s="261" t="str">
        <f>IFERROR(IF(VLOOKUP(A2524,[16]PRIORIZADOS!$A:$G,7,FALSE)="","",VLOOKUP(A2524,[16]PRIORIZADOS!$A:$G,7,FALSE)),"")</f>
        <v>CENTRO EDUCATIVO INTEGRAL LATINOAMERICANO - CEIL</v>
      </c>
      <c r="H2524" s="261" t="str">
        <f>IFERROR(IF(VLOOKUP(A2524,[16]PRIORIZADOS!$A:$H,8,FALSE)="","",VLOOKUP(A2524,[16]PRIORIZADOS!$A:$H,8,FALSE)),"")</f>
        <v>Autoevaluación Institucional y Pruebas SABER 11</v>
      </c>
      <c r="I2524" s="261" t="str">
        <f>IFERROR(IF(VLOOKUP(A2524,[16]PRIORIZADOS!$A:$I,9,FALSE)="","",VLOOKUP(A2524,[16]PRIORIZADOS!$A:$I,9,FALSE)),"")</f>
        <v>SEGUIMIENTO_Y_SUPERVISIÓN.</v>
      </c>
      <c r="J2524" s="261" t="str">
        <f>IFERROR(IF(VLOOKUP(A2524,[16]PRIORIZADOS!$A:$J,10,FALSE)="","",VLOOKUP(A2524,[16]PRIORIZADOS!$A:$J,10,FALSE)),"")</f>
        <v xml:space="preserve">Verificar la implementación por parte de los colegios, de acciones realizadas para la prevención y atención de las situaciones de convivencia en el entorno escolar, según lo establecido en la Directiva 01 de 2022 del MEN. </v>
      </c>
      <c r="K2524" s="261" t="str">
        <f>IFERROR(IF(VLOOKUP(A2524,[16]PRIORIZADOS!$A:$K,11,FALSE)="","",VLOOKUP(A2524,[16]PRIORIZADOS!$A:$K,11,FALSE)),"")</f>
        <v>SANDRA JAZMÍN BAQUERO CÓRDOBA</v>
      </c>
      <c r="L2524" s="261" t="str">
        <f>IFERROR(IF(VLOOKUP(A2524,[16]PRIORIZADOS!$A:$L,12,FALSE)="","",VLOOKUP(A2524,[16]PRIORIZADOS!$A:$L,12,FALSE)),"")</f>
        <v xml:space="preserve">SANDRA JAZMÍN BAQUERO CÓRDOBA
NELSON AUGUSTO CUBILLOS OLARTE
CLAUDIA PATRICIA GRANADOS FLÓREZ
</v>
      </c>
      <c r="M2524" s="262">
        <f>IFERROR(IF(VLOOKUP(A2524,[16]PRIORIZADOS!$A:$M,13,FALSE)="","",VLOOKUP(A2524,[16]PRIORIZADOS!$A:$M,13,FALSE)),"")</f>
        <v>45744</v>
      </c>
      <c r="N2524" s="262">
        <f>IFERROR(IF(VLOOKUP(A2524,[16]PRIORIZADOS!$A:$N,14,FALSE)="","",VLOOKUP(A2524,[16]PRIORIZADOS!$A:$N,14,FALSE)),"")</f>
        <v>45794</v>
      </c>
      <c r="O2524" s="262" t="str">
        <f>IFERROR(IF(VLOOKUP(A2524,[16]PRIORIZADOS!$A:$O,15,FALSE)="","",VLOOKUP(A2524,[16]PRIORIZADOS!$A:$O,15,FALSE)),"")</f>
        <v>17/05/2025</v>
      </c>
      <c r="P2524" s="261" t="str">
        <f>IFERROR(IF(VLOOKUP(A2524,[16]PRIORIZADOS!$A:$P,16,FALSE)="","",VLOOKUP(A2524,[16]PRIORIZADOS!$A:$P,16,FALSE)),"")</f>
        <v>Visitas de evaluación con fines de seguimiento</v>
      </c>
      <c r="Q2524" s="5" t="s">
        <v>496</v>
      </c>
      <c r="R2524" s="261" t="str">
        <f>IFERROR(IF(VLOOKUP(A2524,[16]PRIORIZADOS!$A:$R,18,FALSE)="","",VLOOKUP(A2524,[16]PRIORIZADOS!$A:$R,18,FALSE)),"")</f>
        <v>No están revisando los antecedentes cada 4 meses por delitos sexuales, se realizan acciones de promoción y prevención en Comité de Convivencia</v>
      </c>
      <c r="S2524" s="261" t="str">
        <f>IFERROR(IF(VLOOKUP(A2524,[16]PRIORIZADOS!$A:$S,19,FALSE)="","",VLOOKUP(A2524,[16]PRIORIZADOS!$A:$S,19,FALSE)),"")</f>
        <v>el colegio debe revisar los antecedentes de su personal cada 4 meses</v>
      </c>
      <c r="T2524" s="70" t="str">
        <f>IFERROR(IF(VLOOKUP(A2524,[16]PRIORIZADOS!$A:$T,20,FALSE)="","",VLOOKUP(A2524,[16]PRIORIZADOS!$A:$T,20,FALSE)),"")</f>
        <v>No</v>
      </c>
      <c r="U2524" s="11" t="str">
        <f>IFERROR(IF(VLOOKUP(A2524,[16]PRIORIZADOS!$A:$U,21,FALSE)="","",VLOOKUP(A2524,[16]PRIORIZADOS!$A:$U,21,FALSE)),"")</f>
        <v>se revisara el plan de mejoramiento y orientará a la IE en reunión</v>
      </c>
    </row>
    <row r="2525" spans="1:21" s="1" customFormat="1" ht="84">
      <c r="A2525" s="69">
        <f>IF([16]PRIORIZADOS!A115="","",[16]PRIORIZADOS!A115)</f>
        <v>2504</v>
      </c>
      <c r="B2525" s="70">
        <v>13</v>
      </c>
      <c r="C2525" s="261" t="str">
        <f>IFERROR(IF(VLOOKUP(A2525,[16]PRIORIZADOS!$A:$C,3,FALSE)="","",VLOOKUP(A2525,[16]PRIORIZADOS!$A:$C,3,FALSE)),"")</f>
        <v>TUNJUELITO</v>
      </c>
      <c r="D2525" s="261" t="str">
        <f>IFERROR(IF(VLOOKUP(A2525,[16]PRIORIZADOS!$A:$D,4,FALSE)="","",VLOOKUP(A2525,[16]PRIORIZADOS!$A:$D,4,FALSE)),"")</f>
        <v>PRIVADO</v>
      </c>
      <c r="E2525" s="261" t="str">
        <f>IFERROR(IF(VLOOKUP(A2525,[16]PRIORIZADOS!$A:$E,5,FALSE)="","",VLOOKUP(A2525,[16]PRIORIZADOS!$A:$E,5,FALSE)),"")</f>
        <v>EPBM</v>
      </c>
      <c r="F2525" s="261" t="str">
        <f>IFERROR(IF(VLOOKUP(A2525,[16]PRIORIZADOS!$A:$F,6,FALSE)="","",VLOOKUP(A2525,[16]PRIORIZADOS!$A:$F,6,FALSE)),"")</f>
        <v>CENTRO_EDUCATIVO_INTEGRAL_LATINOAMERICANO__CEIL</v>
      </c>
      <c r="G2525" s="261" t="str">
        <f>IFERROR(IF(VLOOKUP(A2525,[16]PRIORIZADOS!$A:$G,7,FALSE)="","",VLOOKUP(A2525,[16]PRIORIZADOS!$A:$G,7,FALSE)),"")</f>
        <v>CENTRO EDUCATIVO INTEGRAL LATINOAMERICANO - CEIL</v>
      </c>
      <c r="H2525" s="261" t="str">
        <f>IFERROR(IF(VLOOKUP(A2525,[16]PRIORIZADOS!$A:$H,8,FALSE)="","",VLOOKUP(A2525,[16]PRIORIZADOS!$A:$H,8,FALSE)),"")</f>
        <v>Autoevaluación Institucional y Pruebas SABER 11</v>
      </c>
      <c r="I2525" s="261" t="str">
        <f>IFERROR(IF(VLOOKUP(A2525,[16]PRIORIZADOS!$A:$I,9,FALSE)="","",VLOOKUP(A2525,[16]PRIORIZADOS!$A:$I,9,FALSE)),"")</f>
        <v>SEGUIMIENTO_Y_SUPERVISIÓN.</v>
      </c>
      <c r="J2525" s="261" t="str">
        <f>IFERROR(IF(VLOOKUP(A2525,[16]PRIORIZADOS!$A:$J,10,FALSE)="","",VLOOKUP(A2525,[16]PRIORIZADOS!$A:$J,10,FALSE)),"")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25" s="261" t="str">
        <f>IFERROR(IF(VLOOKUP(A2525,[16]PRIORIZADOS!$A:$K,11,FALSE)="","",VLOOKUP(A2525,[16]PRIORIZADOS!$A:$K,11,FALSE)),"")</f>
        <v>SANDRA JAZMÍN BAQUERO CÓRDOBA</v>
      </c>
      <c r="L2525" s="261" t="str">
        <f>IFERROR(IF(VLOOKUP(A2525,[16]PRIORIZADOS!$A:$L,12,FALSE)="","",VLOOKUP(A2525,[16]PRIORIZADOS!$A:$L,12,FALSE)),"")</f>
        <v xml:space="preserve">SANDRA JAZMÍN BAQUERO CÓRDOBA
NELSON AUGUSTO CUBILLOS OLARTE
CLAUDIA PATRICIA GRANADOS FLÓREZ
</v>
      </c>
      <c r="M2525" s="262">
        <f>IFERROR(IF(VLOOKUP(A2525,[16]PRIORIZADOS!$A:$M,13,FALSE)="","",VLOOKUP(A2525,[16]PRIORIZADOS!$A:$M,13,FALSE)),"")</f>
        <v>45744</v>
      </c>
      <c r="N2525" s="262">
        <f>IFERROR(IF(VLOOKUP(A2525,[16]PRIORIZADOS!$A:$N,14,FALSE)="","",VLOOKUP(A2525,[16]PRIORIZADOS!$A:$N,14,FALSE)),"")</f>
        <v>45794</v>
      </c>
      <c r="O2525" s="262" t="str">
        <f>IFERROR(IF(VLOOKUP(A2525,[16]PRIORIZADOS!$A:$O,15,FALSE)="","",VLOOKUP(A2525,[16]PRIORIZADOS!$A:$O,15,FALSE)),"")</f>
        <v>17/05/2025</v>
      </c>
      <c r="P2525" s="261" t="str">
        <f>IFERROR(IF(VLOOKUP(A2525,[16]PRIORIZADOS!$A:$P,16,FALSE)="","",VLOOKUP(A2525,[16]PRIORIZADOS!$A:$P,16,FALSE)),"")</f>
        <v>Visitas de evaluación con fines de seguimiento</v>
      </c>
      <c r="Q2525" s="5" t="s">
        <v>496</v>
      </c>
      <c r="R2525" s="261" t="str">
        <f>IFERROR(IF(VLOOKUP(A2525,[16]PRIORIZADOS!$A:$R,18,FALSE)="","",VLOOKUP(A2525,[16]PRIORIZADOS!$A:$R,18,FALSE)),"")</f>
        <v>EE tiene 7 estudiantes en el SIMAT con discapacidad pero no tiene los PIAR</v>
      </c>
      <c r="S2525" s="261" t="str">
        <f>IFERROR(IF(VLOOKUP(A2525,[16]PRIORIZADOS!$A:$S,19,FALSE)="","",VLOOKUP(A2525,[16]PRIORIZADOS!$A:$S,19,FALSE)),"")</f>
        <v>Debe implementar los PIAR y realizar el respectivo sequimiento</v>
      </c>
      <c r="T2525" s="70" t="str">
        <f>IFERROR(IF(VLOOKUP(A2525,[16]PRIORIZADOS!$A:$T,20,FALSE)="","",VLOOKUP(A2525,[16]PRIORIZADOS!$A:$T,20,FALSE)),"")</f>
        <v>Si</v>
      </c>
      <c r="U2525" s="11" t="str">
        <f>IFERROR(IF(VLOOKUP(A2525,[16]PRIORIZADOS!$A:$U,21,FALSE)="","",VLOOKUP(A2525,[16]PRIORIZADOS!$A:$U,21,FALSE)),"")</f>
        <v>Presentó plan de mejoramiento y el 25 de julio se realizó el primer seguimiento. Se generaron observaciones.</v>
      </c>
    </row>
    <row r="2526" spans="1:21" s="1" customFormat="1" ht="84">
      <c r="A2526" s="69">
        <f>IF([16]PRIORIZADOS!A116="","",[16]PRIORIZADOS!A116)</f>
        <v>2505</v>
      </c>
      <c r="B2526" s="70">
        <v>13</v>
      </c>
      <c r="C2526" s="261" t="str">
        <f>IFERROR(IF(VLOOKUP(A2526,[16]PRIORIZADOS!$A:$C,3,FALSE)="","",VLOOKUP(A2526,[16]PRIORIZADOS!$A:$C,3,FALSE)),"")</f>
        <v>TUNJUELITO</v>
      </c>
      <c r="D2526" s="261" t="str">
        <f>IFERROR(IF(VLOOKUP(A2526,[16]PRIORIZADOS!$A:$D,4,FALSE)="","",VLOOKUP(A2526,[16]PRIORIZADOS!$A:$D,4,FALSE)),"")</f>
        <v>PRIVADO</v>
      </c>
      <c r="E2526" s="261" t="str">
        <f>IFERROR(IF(VLOOKUP(A2526,[16]PRIORIZADOS!$A:$E,5,FALSE)="","",VLOOKUP(A2526,[16]PRIORIZADOS!$A:$E,5,FALSE)),"")</f>
        <v>EPBM</v>
      </c>
      <c r="F2526" s="261" t="str">
        <f>IFERROR(IF(VLOOKUP(A2526,[16]PRIORIZADOS!$A:$F,6,FALSE)="","",VLOOKUP(A2526,[16]PRIORIZADOS!$A:$F,6,FALSE)),"")</f>
        <v>CENTRO_EDUCATIVO_INTEGRAL_LATINOAMERICANO__CEIL</v>
      </c>
      <c r="G2526" s="261" t="str">
        <f>IFERROR(IF(VLOOKUP(A2526,[16]PRIORIZADOS!$A:$G,7,FALSE)="","",VLOOKUP(A2526,[16]PRIORIZADOS!$A:$G,7,FALSE)),"")</f>
        <v>CENTRO EDUCATIVO INTEGRAL LATINOAMERICANO - CEIL</v>
      </c>
      <c r="H2526" s="261" t="str">
        <f>IFERROR(IF(VLOOKUP(A2526,[16]PRIORIZADOS!$A:$H,8,FALSE)="","",VLOOKUP(A2526,[16]PRIORIZADOS!$A:$H,8,FALSE)),"")</f>
        <v>Autoevaluación Institucional y Pruebas SABER 11</v>
      </c>
      <c r="I2526" s="261" t="str">
        <f>IFERROR(IF(VLOOKUP(A2526,[16]PRIORIZADOS!$A:$I,9,FALSE)="","",VLOOKUP(A2526,[16]PRIORIZADOS!$A:$I,9,FALSE)),"")</f>
        <v>EVALUACIÓN_CON_FINES_DE_MEJORAMIENTO.</v>
      </c>
      <c r="J2526" s="261" t="str">
        <f>IFERROR(IF(VLOOKUP(A2526,[16]PRIORIZADOS!$A:$J,10,FALSE)="","",VLOOKUP(A2526,[16]PRIORIZADOS!$A:$J,10,FALSE)),"")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26" s="261" t="str">
        <f>IFERROR(IF(VLOOKUP(A2526,[16]PRIORIZADOS!$A:$K,11,FALSE)="","",VLOOKUP(A2526,[16]PRIORIZADOS!$A:$K,11,FALSE)),"")</f>
        <v>SANDRA JAZMÍN BAQUERO CÓRDOBA</v>
      </c>
      <c r="L2526" s="261" t="str">
        <f>IFERROR(IF(VLOOKUP(A2526,[16]PRIORIZADOS!$A:$L,12,FALSE)="","",VLOOKUP(A2526,[16]PRIORIZADOS!$A:$L,12,FALSE)),"")</f>
        <v xml:space="preserve">SANDRA JAZMÍN BAQUERO CÓRDOBA
NELSON AUGUSTO CUBILLOS OLARTE
CLAUDIA PATRICIA GRANADOS FLÓREZ
</v>
      </c>
      <c r="M2526" s="262">
        <f>IFERROR(IF(VLOOKUP(A2526,[16]PRIORIZADOS!$A:$M,13,FALSE)="","",VLOOKUP(A2526,[16]PRIORIZADOS!$A:$M,13,FALSE)),"")</f>
        <v>45744</v>
      </c>
      <c r="N2526" s="262">
        <f>IFERROR(IF(VLOOKUP(A2526,[16]PRIORIZADOS!$A:$N,14,FALSE)="","",VLOOKUP(A2526,[16]PRIORIZADOS!$A:$N,14,FALSE)),"")</f>
        <v>45794</v>
      </c>
      <c r="O2526" s="262" t="str">
        <f>IFERROR(IF(VLOOKUP(A2526,[16]PRIORIZADOS!$A:$O,15,FALSE)="","",VLOOKUP(A2526,[16]PRIORIZADOS!$A:$O,15,FALSE)),"")</f>
        <v>17/05/2025</v>
      </c>
      <c r="P2526" s="261" t="str">
        <f>IFERROR(IF(VLOOKUP(A2526,[16]PRIORIZADOS!$A:$P,16,FALSE)="","",VLOOKUP(A2526,[16]PRIORIZADOS!$A:$P,16,FALSE)),"")</f>
        <v>Visitas de evaluación con fines de mejoramiento</v>
      </c>
      <c r="Q2526" s="5" t="s">
        <v>496</v>
      </c>
      <c r="R2526" s="261" t="str">
        <f>IFERROR(IF(VLOOKUP(A2526,[16]PRIORIZADOS!$A:$R,18,FALSE)="","",VLOOKUP(A2526,[16]PRIORIZADOS!$A:$R,18,FALSE)),"")</f>
        <v>No tiene el debido proceso (convivencial, académico, disciplinario), ni los diferentes enfoques</v>
      </c>
      <c r="S2526" s="261" t="str">
        <f>IFERROR(IF(VLOOKUP(A2526,[16]PRIORIZADOS!$A:$S,19,FALSE)="","",VLOOKUP(A2526,[16]PRIORIZADOS!$A:$S,19,FALSE)),"")</f>
        <v>Debe revisar el debido proceso e implementar los diferentes enfoques</v>
      </c>
      <c r="T2526" s="70" t="str">
        <f>IFERROR(IF(VLOOKUP(A2526,[16]PRIORIZADOS!$A:$T,20,FALSE)="","",VLOOKUP(A2526,[16]PRIORIZADOS!$A:$T,20,FALSE)),"")</f>
        <v>Si</v>
      </c>
      <c r="U2526" s="11" t="str">
        <f>IFERROR(IF(VLOOKUP(A2526,[16]PRIORIZADOS!$A:$U,21,FALSE)="","",VLOOKUP(A2526,[16]PRIORIZADOS!$A:$U,21,FALSE)),"")</f>
        <v>Presentó plan de mejoramiento y el 25 de julio se realizó el primer seguimiento. Se generaron observaciones.</v>
      </c>
    </row>
    <row r="2527" spans="1:21" s="1" customFormat="1" ht="84">
      <c r="A2527" s="69">
        <f>IF([16]PRIORIZADOS!A117="","",[16]PRIORIZADOS!A117)</f>
        <v>2506</v>
      </c>
      <c r="B2527" s="70">
        <v>13</v>
      </c>
      <c r="C2527" s="261" t="str">
        <f>IFERROR(IF(VLOOKUP(A2527,[16]PRIORIZADOS!$A:$C,3,FALSE)="","",VLOOKUP(A2527,[16]PRIORIZADOS!$A:$C,3,FALSE)),"")</f>
        <v>TUNJUELITO</v>
      </c>
      <c r="D2527" s="261" t="str">
        <f>IFERROR(IF(VLOOKUP(A2527,[16]PRIORIZADOS!$A:$D,4,FALSE)="","",VLOOKUP(A2527,[16]PRIORIZADOS!$A:$D,4,FALSE)),"")</f>
        <v>PRIVADO</v>
      </c>
      <c r="E2527" s="261" t="str">
        <f>IFERROR(IF(VLOOKUP(A2527,[16]PRIORIZADOS!$A:$E,5,FALSE)="","",VLOOKUP(A2527,[16]PRIORIZADOS!$A:$E,5,FALSE)),"")</f>
        <v>EPBM</v>
      </c>
      <c r="F2527" s="261" t="str">
        <f>IFERROR(IF(VLOOKUP(A2527,[16]PRIORIZADOS!$A:$F,6,FALSE)="","",VLOOKUP(A2527,[16]PRIORIZADOS!$A:$F,6,FALSE)),"")</f>
        <v>CENTRO_EDUCATIVO_INTEGRAL_LATINOAMERICANO__CEIL</v>
      </c>
      <c r="G2527" s="261" t="str">
        <f>IFERROR(IF(VLOOKUP(A2527,[16]PRIORIZADOS!$A:$G,7,FALSE)="","",VLOOKUP(A2527,[16]PRIORIZADOS!$A:$G,7,FALSE)),"")</f>
        <v>CENTRO EDUCATIVO INTEGRAL LATINOAMERICANO - CEIL</v>
      </c>
      <c r="H2527" s="261" t="str">
        <f>IFERROR(IF(VLOOKUP(A2527,[16]PRIORIZADOS!$A:$H,8,FALSE)="","",VLOOKUP(A2527,[16]PRIORIZADOS!$A:$H,8,FALSE)),"")</f>
        <v>Autoevaluación Institucional y Pruebas SABER 11</v>
      </c>
      <c r="I2527" s="261" t="str">
        <f>IFERROR(IF(VLOOKUP(A2527,[16]PRIORIZADOS!$A:$I,9,FALSE)="","",VLOOKUP(A2527,[16]PRIORIZADOS!$A:$I,9,FALSE)),"")</f>
        <v>EVALUACIÓN_CON_FINES_DE_MEJORAMIENTO.</v>
      </c>
      <c r="J2527" s="261" t="str">
        <f>IFERROR(IF(VLOOKUP(A2527,[16]PRIORIZADOS!$A:$J,10,FALSE)="","",VLOOKUP(A2527,[16]PRIORIZADOS!$A:$J,10,FALSE)),"")</f>
        <v>Revisar la actualización, socialización e implementación del Sistema Institucional de Evaluación de Estudiantes - SIEE, en articulación con la actualización del PEI y la normatividad vigente.</v>
      </c>
      <c r="K2527" s="261" t="str">
        <f>IFERROR(IF(VLOOKUP(A2527,[16]PRIORIZADOS!$A:$K,11,FALSE)="","",VLOOKUP(A2527,[16]PRIORIZADOS!$A:$K,11,FALSE)),"")</f>
        <v>SANDRA JAZMÍN BAQUERO CÓRDOBA</v>
      </c>
      <c r="L2527" s="261" t="str">
        <f>IFERROR(IF(VLOOKUP(A2527,[16]PRIORIZADOS!$A:$L,12,FALSE)="","",VLOOKUP(A2527,[16]PRIORIZADOS!$A:$L,12,FALSE)),"")</f>
        <v xml:space="preserve">SANDRA JAZMÍN BAQUERO CÓRDOBA
NELSON AUGUSTO CUBILLOS OLARTE
CLAUDIA PATRICIA GRANADOS FLÓREZ
</v>
      </c>
      <c r="M2527" s="262">
        <f>IFERROR(IF(VLOOKUP(A2527,[16]PRIORIZADOS!$A:$M,13,FALSE)="","",VLOOKUP(A2527,[16]PRIORIZADOS!$A:$M,13,FALSE)),"")</f>
        <v>45744</v>
      </c>
      <c r="N2527" s="262">
        <f>IFERROR(IF(VLOOKUP(A2527,[16]PRIORIZADOS!$A:$N,14,FALSE)="","",VLOOKUP(A2527,[16]PRIORIZADOS!$A:$N,14,FALSE)),"")</f>
        <v>45794</v>
      </c>
      <c r="O2527" s="262" t="str">
        <f>IFERROR(IF(VLOOKUP(A2527,[16]PRIORIZADOS!$A:$O,15,FALSE)="","",VLOOKUP(A2527,[16]PRIORIZADOS!$A:$O,15,FALSE)),"")</f>
        <v>17/05/2025</v>
      </c>
      <c r="P2527" s="261" t="str">
        <f>IFERROR(IF(VLOOKUP(A2527,[16]PRIORIZADOS!$A:$P,16,FALSE)="","",VLOOKUP(A2527,[16]PRIORIZADOS!$A:$P,16,FALSE)),"")</f>
        <v>Visitas de evaluación con fines de mejoramiento</v>
      </c>
      <c r="Q2527" s="5" t="s">
        <v>496</v>
      </c>
      <c r="R2527" s="261" t="str">
        <f>IFERROR(IF(VLOOKUP(A2527,[16]PRIORIZADOS!$A:$R,18,FALSE)="","",VLOOKUP(A2527,[16]PRIORIZADOS!$A:$R,18,FALSE)),"")</f>
        <v>La comisión de promoción y evalaución no está bien conformada y no hay evidencia de su funcionamiento</v>
      </c>
      <c r="S2527" s="261" t="str">
        <f>IFERROR(IF(VLOOKUP(A2527,[16]PRIORIZADOS!$A:$S,19,FALSE)="","",VLOOKUP(A2527,[16]PRIORIZADOS!$A:$S,19,FALSE)),"")</f>
        <v>Deben revisar la conformación de la comisión de promoción y evaluación y dejar la evidenia de su funcionamiento</v>
      </c>
      <c r="T2527" s="70" t="str">
        <f>IFERROR(IF(VLOOKUP(A2527,[16]PRIORIZADOS!$A:$T,20,FALSE)="","",VLOOKUP(A2527,[16]PRIORIZADOS!$A:$T,20,FALSE)),"")</f>
        <v>Si</v>
      </c>
      <c r="U2527" s="11" t="str">
        <f>IFERROR(IF(VLOOKUP(A2527,[16]PRIORIZADOS!$A:$U,21,FALSE)="","",VLOOKUP(A2527,[16]PRIORIZADOS!$A:$U,21,FALSE)),"")</f>
        <v>Presentó plan de mejoramiento y el 25 de julio se realizó el primer seguimiento. Se generaron observaciones.</v>
      </c>
    </row>
    <row r="2528" spans="1:21" s="1" customFormat="1" ht="84">
      <c r="A2528" s="69">
        <f>IF([16]PRIORIZADOS!A118="","",[16]PRIORIZADOS!A118)</f>
        <v>2507</v>
      </c>
      <c r="B2528" s="70">
        <v>13</v>
      </c>
      <c r="C2528" s="261" t="str">
        <f>IFERROR(IF(VLOOKUP(A2528,[16]PRIORIZADOS!$A:$C,3,FALSE)="","",VLOOKUP(A2528,[16]PRIORIZADOS!$A:$C,3,FALSE)),"")</f>
        <v>TUNJUELITO</v>
      </c>
      <c r="D2528" s="261" t="str">
        <f>IFERROR(IF(VLOOKUP(A2528,[16]PRIORIZADOS!$A:$D,4,FALSE)="","",VLOOKUP(A2528,[16]PRIORIZADOS!$A:$D,4,FALSE)),"")</f>
        <v>PRIVADO</v>
      </c>
      <c r="E2528" s="261" t="str">
        <f>IFERROR(IF(VLOOKUP(A2528,[16]PRIORIZADOS!$A:$E,5,FALSE)="","",VLOOKUP(A2528,[16]PRIORIZADOS!$A:$E,5,FALSE)),"")</f>
        <v>EPBM</v>
      </c>
      <c r="F2528" s="261" t="str">
        <f>IFERROR(IF(VLOOKUP(A2528,[16]PRIORIZADOS!$A:$F,6,FALSE)="","",VLOOKUP(A2528,[16]PRIORIZADOS!$A:$F,6,FALSE)),"")</f>
        <v>CENTRO_EDUCATIVO_INTEGRAL_LATINOAMERICANO__CEIL</v>
      </c>
      <c r="G2528" s="261" t="str">
        <f>IFERROR(IF(VLOOKUP(A2528,[16]PRIORIZADOS!$A:$G,7,FALSE)="","",VLOOKUP(A2528,[16]PRIORIZADOS!$A:$G,7,FALSE)),"")</f>
        <v>CENTRO EDUCATIVO INTEGRAL LATINOAMERICANO - CEIL</v>
      </c>
      <c r="H2528" s="261" t="str">
        <f>IFERROR(IF(VLOOKUP(A2528,[16]PRIORIZADOS!$A:$H,8,FALSE)="","",VLOOKUP(A2528,[16]PRIORIZADOS!$A:$H,8,FALSE)),"")</f>
        <v>Autoevaluación Institucional y Pruebas SABER 11</v>
      </c>
      <c r="I2528" s="261" t="str">
        <f>IFERROR(IF(VLOOKUP(A2528,[16]PRIORIZADOS!$A:$I,9,FALSE)="","",VLOOKUP(A2528,[16]PRIORIZADOS!$A:$I,9,FALSE)),"")</f>
        <v>EVALUACIÓN_CON_FINES_DE_MEJORAMIENTO.</v>
      </c>
      <c r="J2528" s="261" t="str">
        <f>IFERROR(IF(VLOOKUP(A2528,[16]PRIORIZADOS!$A:$J,10,FALSE)="","",VLOOKUP(A2528,[16]PRIORIZADOS!$A:$J,10,FALSE)),"")</f>
        <v>Revisar el calendario escolar, jornada escolar, la intensidad horaria mínima anual en cada nivel y las modificaciones que se realicen al mismo, de acuerdo con lo previsto en la normatividad vigente.</v>
      </c>
      <c r="K2528" s="261" t="str">
        <f>IFERROR(IF(VLOOKUP(A2528,[16]PRIORIZADOS!$A:$K,11,FALSE)="","",VLOOKUP(A2528,[16]PRIORIZADOS!$A:$K,11,FALSE)),"")</f>
        <v>SANDRA JAZMÍN BAQUERO CÓRDOBA</v>
      </c>
      <c r="L2528" s="261" t="str">
        <f>IFERROR(IF(VLOOKUP(A2528,[16]PRIORIZADOS!$A:$L,12,FALSE)="","",VLOOKUP(A2528,[16]PRIORIZADOS!$A:$L,12,FALSE)),"")</f>
        <v xml:space="preserve">SANDRA JAZMÍN BAQUERO CÓRDOBA
NELSON AUGUSTO CUBILLOS OLARTE
CLAUDIA PATRICIA GRANADOS FLÓREZ
</v>
      </c>
      <c r="M2528" s="262">
        <f>IFERROR(IF(VLOOKUP(A2528,[16]PRIORIZADOS!$A:$M,13,FALSE)="","",VLOOKUP(A2528,[16]PRIORIZADOS!$A:$M,13,FALSE)),"")</f>
        <v>45744</v>
      </c>
      <c r="N2528" s="262">
        <f>IFERROR(IF(VLOOKUP(A2528,[16]PRIORIZADOS!$A:$N,14,FALSE)="","",VLOOKUP(A2528,[16]PRIORIZADOS!$A:$N,14,FALSE)),"")</f>
        <v>45794</v>
      </c>
      <c r="O2528" s="262" t="str">
        <f>IFERROR(IF(VLOOKUP(A2528,[16]PRIORIZADOS!$A:$O,15,FALSE)="","",VLOOKUP(A2528,[16]PRIORIZADOS!$A:$O,15,FALSE)),"")</f>
        <v>17/05/2025</v>
      </c>
      <c r="P2528" s="261" t="str">
        <f>IFERROR(IF(VLOOKUP(A2528,[16]PRIORIZADOS!$A:$P,16,FALSE)="","",VLOOKUP(A2528,[16]PRIORIZADOS!$A:$P,16,FALSE)),"")</f>
        <v>Visitas de evaluación con fines de mejoramiento</v>
      </c>
      <c r="Q2528" s="5" t="s">
        <v>496</v>
      </c>
      <c r="R2528" s="261" t="str">
        <f>IFERROR(IF(VLOOKUP(A2528,[16]PRIORIZADOS!$A:$R,18,FALSE)="","",VLOOKUP(A2528,[16]PRIORIZADOS!$A:$R,18,FALSE)),"")</f>
        <v>La intensidad horaria cumple con lo establecido en la norma</v>
      </c>
      <c r="S2528" s="261" t="str">
        <f>IFERROR(IF(VLOOKUP(A2528,[16]PRIORIZADOS!$A:$S,19,FALSE)="","",VLOOKUP(A2528,[16]PRIORIZADOS!$A:$S,19,FALSE)),"")</f>
        <v>el calendario se ajusta a la normatividad vigente</v>
      </c>
      <c r="T2528" s="70" t="str">
        <f>IFERROR(IF(VLOOKUP(A2528,[16]PRIORIZADOS!$A:$T,20,FALSE)="","",VLOOKUP(A2528,[16]PRIORIZADOS!$A:$T,20,FALSE)),"")</f>
        <v>No</v>
      </c>
      <c r="U2528" s="11" t="str">
        <f>IFERROR(IF(VLOOKUP(A2528,[16]PRIORIZADOS!$A:$U,21,FALSE)="","",VLOOKUP(A2528,[16]PRIORIZADOS!$A:$U,21,FALSE)),"")</f>
        <v>Se revisará en la próxima vigencia</v>
      </c>
    </row>
    <row r="2529" spans="1:21" s="1" customFormat="1" ht="84">
      <c r="A2529" s="69">
        <f>IF([16]PRIORIZADOS!A119="","",[16]PRIORIZADOS!A119)</f>
        <v>2508</v>
      </c>
      <c r="B2529" s="70">
        <v>13</v>
      </c>
      <c r="C2529" s="261" t="str">
        <f>IFERROR(IF(VLOOKUP(A2529,[16]PRIORIZADOS!$A:$C,3,FALSE)="","",VLOOKUP(A2529,[16]PRIORIZADOS!$A:$C,3,FALSE)),"")</f>
        <v>TUNJUELITO</v>
      </c>
      <c r="D2529" s="261" t="str">
        <f>IFERROR(IF(VLOOKUP(A2529,[16]PRIORIZADOS!$A:$D,4,FALSE)="","",VLOOKUP(A2529,[16]PRIORIZADOS!$A:$D,4,FALSE)),"")</f>
        <v>PRIVADO</v>
      </c>
      <c r="E2529" s="261" t="str">
        <f>IFERROR(IF(VLOOKUP(A2529,[16]PRIORIZADOS!$A:$E,5,FALSE)="","",VLOOKUP(A2529,[16]PRIORIZADOS!$A:$E,5,FALSE)),"")</f>
        <v>EPBM</v>
      </c>
      <c r="F2529" s="261" t="str">
        <f>IFERROR(IF(VLOOKUP(A2529,[16]PRIORIZADOS!$A:$F,6,FALSE)="","",VLOOKUP(A2529,[16]PRIORIZADOS!$A:$F,6,FALSE)),"")</f>
        <v>CENTRO_EDUCATIVO_INTEGRAL_LATINOAMERICANO__CEIL</v>
      </c>
      <c r="G2529" s="261" t="str">
        <f>IFERROR(IF(VLOOKUP(A2529,[16]PRIORIZADOS!$A:$G,7,FALSE)="","",VLOOKUP(A2529,[16]PRIORIZADOS!$A:$G,7,FALSE)),"")</f>
        <v>CENTRO EDUCATIVO INTEGRAL LATINOAMERICANO - CEIL</v>
      </c>
      <c r="H2529" s="261" t="str">
        <f>IFERROR(IF(VLOOKUP(A2529,[16]PRIORIZADOS!$A:$H,8,FALSE)="","",VLOOKUP(A2529,[16]PRIORIZADOS!$A:$H,8,FALSE)),"")</f>
        <v>Autoevaluación Institucional y Pruebas SABER 11</v>
      </c>
      <c r="I2529" s="261" t="str">
        <f>IFERROR(IF(VLOOKUP(A2529,[16]PRIORIZADOS!$A:$I,9,FALSE)="","",VLOOKUP(A2529,[16]PRIORIZADOS!$A:$I,9,FALSE)),"")</f>
        <v>EVALUACIÓN_CON_FINES_DE_MEJORAMIENTO.</v>
      </c>
      <c r="J2529" s="261" t="str">
        <f>IFERROR(IF(VLOOKUP(A2529,[16]PRIORIZADOS!$A:$J,10,FALSE)="","",VLOOKUP(A2529,[16]PRIORIZADOS!$A:$J,10,FALSE)),"")</f>
        <v>Verificar el funcionamiento del Gobierno Escolar e instancias de participación con base en la información sobre conformación reportada por la institución educativa.</v>
      </c>
      <c r="K2529" s="261" t="str">
        <f>IFERROR(IF(VLOOKUP(A2529,[16]PRIORIZADOS!$A:$K,11,FALSE)="","",VLOOKUP(A2529,[16]PRIORIZADOS!$A:$K,11,FALSE)),"")</f>
        <v>SANDRA JAZMÍN BAQUERO CÓRDOBA</v>
      </c>
      <c r="L2529" s="261" t="str">
        <f>IFERROR(IF(VLOOKUP(A2529,[16]PRIORIZADOS!$A:$L,12,FALSE)="","",VLOOKUP(A2529,[16]PRIORIZADOS!$A:$L,12,FALSE)),"")</f>
        <v xml:space="preserve">SANDRA JAZMÍN BAQUERO CÓRDOBA
NELSON AUGUSTO CUBILLOS OLARTE
CLAUDIA PATRICIA GRANADOS FLÓREZ
</v>
      </c>
      <c r="M2529" s="262">
        <f>IFERROR(IF(VLOOKUP(A2529,[16]PRIORIZADOS!$A:$M,13,FALSE)="","",VLOOKUP(A2529,[16]PRIORIZADOS!$A:$M,13,FALSE)),"")</f>
        <v>45744</v>
      </c>
      <c r="N2529" s="262">
        <f>IFERROR(IF(VLOOKUP(A2529,[16]PRIORIZADOS!$A:$N,14,FALSE)="","",VLOOKUP(A2529,[16]PRIORIZADOS!$A:$N,14,FALSE)),"")</f>
        <v>45794</v>
      </c>
      <c r="O2529" s="262" t="str">
        <f>IFERROR(IF(VLOOKUP(A2529,[16]PRIORIZADOS!$A:$O,15,FALSE)="","",VLOOKUP(A2529,[16]PRIORIZADOS!$A:$O,15,FALSE)),"")</f>
        <v>17/05/2025</v>
      </c>
      <c r="P2529" s="261" t="str">
        <f>IFERROR(IF(VLOOKUP(A2529,[16]PRIORIZADOS!$A:$P,16,FALSE)="","",VLOOKUP(A2529,[16]PRIORIZADOS!$A:$P,16,FALSE)),"")</f>
        <v>Visitas de evaluación con fines de mejoramiento</v>
      </c>
      <c r="Q2529" s="5" t="s">
        <v>496</v>
      </c>
      <c r="R2529" s="261" t="str">
        <f>IFERROR(IF(VLOOKUP(A2529,[16]PRIORIZADOS!$A:$R,18,FALSE)="","",VLOOKUP(A2529,[16]PRIORIZADOS!$A:$R,18,FALSE)),"")</f>
        <v>El GE está debidamente constituído pero no se evidencia su funcionamiento</v>
      </c>
      <c r="S2529" s="261" t="str">
        <f>IFERROR(IF(VLOOKUP(A2529,[16]PRIORIZADOS!$A:$S,19,FALSE)="","",VLOOKUP(A2529,[16]PRIORIZADOS!$A:$S,19,FALSE)),"")</f>
        <v>Deben dejar las respectivas actas por cada estamento para verificar la operatividad del GE</v>
      </c>
      <c r="T2529" s="70" t="str">
        <f>IFERROR(IF(VLOOKUP(A2529,[16]PRIORIZADOS!$A:$T,20,FALSE)="","",VLOOKUP(A2529,[16]PRIORIZADOS!$A:$T,20,FALSE)),"")</f>
        <v>Si</v>
      </c>
      <c r="U2529" s="11" t="str">
        <f>IFERROR(IF(VLOOKUP(A2529,[16]PRIORIZADOS!$A:$U,21,FALSE)="","",VLOOKUP(A2529,[16]PRIORIZADOS!$A:$U,21,FALSE)),"")</f>
        <v>Presentó plan de mejoramiento y el 25 de julio se realizó el primer seguimiento. Se generaron observaciones.</v>
      </c>
    </row>
    <row r="2530" spans="1:21" s="1" customFormat="1" ht="84">
      <c r="A2530" s="69">
        <f>IF([16]PRIORIZADOS!A120="","",[16]PRIORIZADOS!A120)</f>
        <v>2509</v>
      </c>
      <c r="B2530" s="70">
        <v>13</v>
      </c>
      <c r="C2530" s="261" t="str">
        <f>IFERROR(IF(VLOOKUP(A2530,[16]PRIORIZADOS!$A:$C,3,FALSE)="","",VLOOKUP(A2530,[16]PRIORIZADOS!$A:$C,3,FALSE)),"")</f>
        <v>TUNJUELITO</v>
      </c>
      <c r="D2530" s="261" t="str">
        <f>IFERROR(IF(VLOOKUP(A2530,[16]PRIORIZADOS!$A:$D,4,FALSE)="","",VLOOKUP(A2530,[16]PRIORIZADOS!$A:$D,4,FALSE)),"")</f>
        <v>PRIVADO</v>
      </c>
      <c r="E2530" s="261" t="str">
        <f>IFERROR(IF(VLOOKUP(A2530,[16]PRIORIZADOS!$A:$E,5,FALSE)="","",VLOOKUP(A2530,[16]PRIORIZADOS!$A:$E,5,FALSE)),"")</f>
        <v>EPBM</v>
      </c>
      <c r="F2530" s="261" t="str">
        <f>IFERROR(IF(VLOOKUP(A2530,[16]PRIORIZADOS!$A:$F,6,FALSE)="","",VLOOKUP(A2530,[16]PRIORIZADOS!$A:$F,6,FALSE)),"")</f>
        <v>CENTRO_EDUCATIVO_INTEGRAL_LATINOAMERICANO__CEIL</v>
      </c>
      <c r="G2530" s="261" t="str">
        <f>IFERROR(IF(VLOOKUP(A2530,[16]PRIORIZADOS!$A:$G,7,FALSE)="","",VLOOKUP(A2530,[16]PRIORIZADOS!$A:$G,7,FALSE)),"")</f>
        <v>CENTRO EDUCATIVO INTEGRAL LATINOAMERICANO - CEIL</v>
      </c>
      <c r="H2530" s="261" t="str">
        <f>IFERROR(IF(VLOOKUP(A2530,[16]PRIORIZADOS!$A:$H,8,FALSE)="","",VLOOKUP(A2530,[16]PRIORIZADOS!$A:$H,8,FALSE)),"")</f>
        <v>Autoevaluación Institucional y Pruebas SABER 11</v>
      </c>
      <c r="I2530" s="261" t="str">
        <f>IFERROR(IF(VLOOKUP(A2530,[16]PRIORIZADOS!$A:$I,9,FALSE)="","",VLOOKUP(A2530,[16]PRIORIZADOS!$A:$I,9,FALSE)),"")</f>
        <v>EVALUACIÓN_CON_FINES_DE_MEJORAMIENTO.</v>
      </c>
      <c r="J2530" s="261" t="str">
        <f>IFERROR(IF(VLOOKUP(A2530,[16]PRIORIZADOS!$A:$J,10,FALSE)="","",VLOOKUP(A2530,[16]PRIORIZADOS!$A:$J,10,FALSE)),"")</f>
        <v>Verificar las condiciones en cuanto a: la estructura administrativa, condiciones de la planta física y medios educativos adecuados.</v>
      </c>
      <c r="K2530" s="261" t="str">
        <f>IFERROR(IF(VLOOKUP(A2530,[16]PRIORIZADOS!$A:$K,11,FALSE)="","",VLOOKUP(A2530,[16]PRIORIZADOS!$A:$K,11,FALSE)),"")</f>
        <v>SANDRA JAZMÍN BAQUERO CÓRDOBA</v>
      </c>
      <c r="L2530" s="261" t="str">
        <f>IFERROR(IF(VLOOKUP(A2530,[16]PRIORIZADOS!$A:$L,12,FALSE)="","",VLOOKUP(A2530,[16]PRIORIZADOS!$A:$L,12,FALSE)),"")</f>
        <v xml:space="preserve">SANDRA JAZMÍN BAQUERO CÓRDOBA
NELSON AUGUSTO CUBILLOS OLARTE
CLAUDIA PATRICIA GRANADOS FLÓREZ
</v>
      </c>
      <c r="M2530" s="262">
        <f>IFERROR(IF(VLOOKUP(A2530,[16]PRIORIZADOS!$A:$M,13,FALSE)="","",VLOOKUP(A2530,[16]PRIORIZADOS!$A:$M,13,FALSE)),"")</f>
        <v>45744</v>
      </c>
      <c r="N2530" s="262">
        <f>IFERROR(IF(VLOOKUP(A2530,[16]PRIORIZADOS!$A:$N,14,FALSE)="","",VLOOKUP(A2530,[16]PRIORIZADOS!$A:$N,14,FALSE)),"")</f>
        <v>45794</v>
      </c>
      <c r="O2530" s="262" t="str">
        <f>IFERROR(IF(VLOOKUP(A2530,[16]PRIORIZADOS!$A:$O,15,FALSE)="","",VLOOKUP(A2530,[16]PRIORIZADOS!$A:$O,15,FALSE)),"")</f>
        <v>17/05/2025</v>
      </c>
      <c r="P2530" s="261" t="str">
        <f>IFERROR(IF(VLOOKUP(A2530,[16]PRIORIZADOS!$A:$P,16,FALSE)="","",VLOOKUP(A2530,[16]PRIORIZADOS!$A:$P,16,FALSE)),"")</f>
        <v>Visitas de evaluación con fines de mejoramiento</v>
      </c>
      <c r="Q2530" s="5" t="s">
        <v>496</v>
      </c>
      <c r="R2530" s="261" t="str">
        <f>IFERROR(IF(VLOOKUP(A2530,[16]PRIORIZADOS!$A:$R,18,FALSE)="","",VLOOKUP(A2530,[16]PRIORIZADOS!$A:$R,18,FALSE)),"")</f>
        <v>La planta física cuenta con espacios suficientes para los estudiantes pero no toma en cuenta la población con discapacidad y falta acondicionar algunas áreas</v>
      </c>
      <c r="S2530" s="261" t="str">
        <f>IFERROR(IF(VLOOKUP(A2530,[16]PRIORIZADOS!$A:$S,19,FALSE)="","",VLOOKUP(A2530,[16]PRIORIZADOS!$A:$S,19,FALSE)),"")</f>
        <v>Deben implementar baño de discapacitados, orientación, coordinación, sala de profesores, etc</v>
      </c>
      <c r="T2530" s="70" t="str">
        <f>IFERROR(IF(VLOOKUP(A2530,[16]PRIORIZADOS!$A:$T,20,FALSE)="","",VLOOKUP(A2530,[16]PRIORIZADOS!$A:$T,20,FALSE)),"")</f>
        <v>Si</v>
      </c>
      <c r="U2530" s="11" t="str">
        <f>IFERROR(IF(VLOOKUP(A2530,[16]PRIORIZADOS!$A:$U,21,FALSE)="","",VLOOKUP(A2530,[16]PRIORIZADOS!$A:$U,21,FALSE)),"")</f>
        <v>Presentó plan de mejoramiento y el 25 de julio se realizó el primer seguimiento. Se generaron observaciones.</v>
      </c>
    </row>
    <row r="2531" spans="1:21" s="1" customFormat="1" ht="84">
      <c r="A2531" s="69">
        <f>IF([16]PRIORIZADOS!A121="","",[16]PRIORIZADOS!A121)</f>
        <v>2510</v>
      </c>
      <c r="B2531" s="70">
        <f>IFERROR(IF(VLOOKUP(A2531,[16]PRIORIZADOS!$A:$B,2,FALSE)="","",VLOOKUP(A2531,[16]PRIORIZADOS!$A:$B,2,FALSE)),"")</f>
        <v>14</v>
      </c>
      <c r="C2531" s="261" t="str">
        <f>IFERROR(IF(VLOOKUP(A2531,[16]PRIORIZADOS!$A:$C,3,FALSE)="","",VLOOKUP(A2531,[16]PRIORIZADOS!$A:$C,3,FALSE)),"")</f>
        <v>TUNJUELITO</v>
      </c>
      <c r="D2531" s="261" t="str">
        <f>IFERROR(IF(VLOOKUP(A2531,[16]PRIORIZADOS!$A:$D,4,FALSE)="","",VLOOKUP(A2531,[16]PRIORIZADOS!$A:$D,4,FALSE)),"")</f>
        <v>OFICIAL</v>
      </c>
      <c r="E2531" s="261" t="str">
        <f>IFERROR(IF(VLOOKUP(A2531,[16]PRIORIZADOS!$A:$E,5,FALSE)="","",VLOOKUP(A2531,[16]PRIORIZADOS!$A:$E,5,FALSE)),"")</f>
        <v>EPBM</v>
      </c>
      <c r="F2531" s="261" t="str">
        <f>IFERROR(IF(VLOOKUP(A2531,[16]PRIORIZADOS!$A:$F,6,FALSE)="","",VLOOKUP(A2531,[16]PRIORIZADOS!$A:$F,6,FALSE)),"")</f>
        <v>COLEGIO_SAN_CARLOS_IED</v>
      </c>
      <c r="G2531" s="261" t="str">
        <f>IFERROR(IF(VLOOKUP(A2531,[16]PRIORIZADOS!$A:$G,7,FALSE)="","",VLOOKUP(A2531,[16]PRIORIZADOS!$A:$G,7,FALSE)),"")</f>
        <v>JOSE ANTONIO RICAURTE</v>
      </c>
      <c r="H2531" s="261" t="str">
        <f>IFERROR(IF(VLOOKUP(A2531,[16]PRIORIZADOS!$A:$H,8,FALSE)="","",VLOOKUP(A2531,[16]PRIORIZADOS!$A:$H,8,FALSE)),"")</f>
        <v>Autoevaluación Institucional y Pruebas SABER 11</v>
      </c>
      <c r="I2531" s="261" t="str">
        <f>IFERROR(IF(VLOOKUP(A2531,[16]PRIORIZADOS!$A:$I,9,FALSE)="","",VLOOKUP(A2531,[16]PRIORIZADOS!$A:$I,9,FALSE)),"")</f>
        <v>SEGUIMIENTO_Y_SUPERVISIÓN.</v>
      </c>
      <c r="J2531" s="261" t="str">
        <f>IFERROR(IF(VLOOKUP(A2531,[16]PRIORIZADOS!$A:$J,10,FALSE)="","",VLOOKUP(A2531,[16]PRIORIZADOS!$A:$J,10,FALSE)),"")</f>
        <v>Proponer estrategias en la formulación, verificar su elaboración y realizar seguimiento semestral al desarrollo de  las acciones establecidas en los planes de mejoramiento por pruebas SABER 11 de los establecimientos de educación formal.</v>
      </c>
      <c r="K2531" s="261" t="str">
        <f>IFERROR(IF(VLOOKUP(A2531,[16]PRIORIZADOS!$A:$K,11,FALSE)="","",VLOOKUP(A2531,[16]PRIORIZADOS!$A:$K,11,FALSE)),"")</f>
        <v>CLAUDIA PATRICIA GRANADOS FLÓREZ</v>
      </c>
      <c r="L2531" s="261" t="str">
        <f>IFERROR(IF(VLOOKUP(A2531,[16]PRIORIZADOS!$A:$L,12,FALSE)="","",VLOOKUP(A2531,[16]PRIORIZADOS!$A:$L,12,FALSE)),"")</f>
        <v xml:space="preserve">SANDRA JAZMÍN BAQUERO CÓRDOBA
NELSON AUGUSTO CUBILLOS OLARTE
CLAUDIA PATRICIA GRANADOS FLÓREZ
</v>
      </c>
      <c r="M2531" s="262">
        <f>IFERROR(IF(VLOOKUP(A2531,[16]PRIORIZADOS!$A:$M,13,FALSE)="","",VLOOKUP(A2531,[16]PRIORIZADOS!$A:$M,13,FALSE)),"")</f>
        <v>45805</v>
      </c>
      <c r="N2531" s="262">
        <f>IFERROR(IF(VLOOKUP(A2531,[16]PRIORIZADOS!$A:$N,14,FALSE)="","",VLOOKUP(A2531,[16]PRIORIZADOS!$A:$N,14,FALSE)),"")</f>
        <v>45791</v>
      </c>
      <c r="O2531" s="262">
        <f>IFERROR(IF(VLOOKUP(A2531,[16]PRIORIZADOS!$A:$O,15,FALSE)="","",VLOOKUP(A2531,[16]PRIORIZADOS!$A:$O,15,FALSE)),"")</f>
        <v>45791</v>
      </c>
      <c r="P2531" s="261" t="str">
        <f>IFERROR(IF(VLOOKUP(A2531,[16]PRIORIZADOS!$A:$P,16,FALSE)="","",VLOOKUP(A2531,[16]PRIORIZADOS!$A:$P,16,FALSE)),"")</f>
        <v>Visitas de evaluación con fines de seguimiento</v>
      </c>
      <c r="Q2531" s="5" t="s">
        <v>497</v>
      </c>
      <c r="R2531" s="261" t="str">
        <f>IFERROR(IF(VLOOKUP(A2531,[16]PRIORIZADOS!$A:$R,18,FALSE)="","",VLOOKUP(A2531,[16]PRIORIZADOS!$A:$R,18,FALSE)),"")</f>
        <v>Se evidencia documentacion , Se socializan en reuniones de areas, Consejo Academico y Comisión de Evaluacion y Promoción</v>
      </c>
      <c r="S2531" s="261" t="str">
        <f>IFERROR(IF(VLOOKUP(A2531,[16]PRIORIZADOS!$A:$S,19,FALSE)="","",VLOOKUP(A2531,[16]PRIORIZADOS!$A:$S,19,FALSE)),"")</f>
        <v>Cumplir con las actividades contempladas en el plan de mejoramiento</v>
      </c>
      <c r="T2531" s="70" t="str">
        <f>IFERROR(IF(VLOOKUP(A2531,[16]PRIORIZADOS!$A:$T,20,FALSE)="","",VLOOKUP(A2531,[16]PRIORIZADOS!$A:$T,20,FALSE)),"")</f>
        <v>No</v>
      </c>
      <c r="U2531" s="11" t="str">
        <f>IFERROR(IF(VLOOKUP(A2531,[16]PRIORIZADOS!$A:$U,21,FALSE)="","",VLOOKUP(A2531,[16]PRIORIZADOS!$A:$U,21,FALSE)),"")</f>
        <v>Se verificará el cumplimiento del plan de mejoramiento y sus resultados</v>
      </c>
    </row>
    <row r="2532" spans="1:21" s="1" customFormat="1" ht="84">
      <c r="A2532" s="69">
        <f>IF([16]PRIORIZADOS!A122="","",[16]PRIORIZADOS!A122)</f>
        <v>2512</v>
      </c>
      <c r="B2532" s="70">
        <v>14</v>
      </c>
      <c r="C2532" s="261" t="str">
        <f>IFERROR(IF(VLOOKUP(A2532,[16]PRIORIZADOS!$A:$C,3,FALSE)="","",VLOOKUP(A2532,[16]PRIORIZADOS!$A:$C,3,FALSE)),"")</f>
        <v>TUNJUELITO</v>
      </c>
      <c r="D2532" s="261" t="str">
        <f>IFERROR(IF(VLOOKUP(A2532,[16]PRIORIZADOS!$A:$D,4,FALSE)="","",VLOOKUP(A2532,[16]PRIORIZADOS!$A:$D,4,FALSE)),"")</f>
        <v>OFICIAL</v>
      </c>
      <c r="E2532" s="261" t="str">
        <f>IFERROR(IF(VLOOKUP(A2532,[16]PRIORIZADOS!$A:$E,5,FALSE)="","",VLOOKUP(A2532,[16]PRIORIZADOS!$A:$E,5,FALSE)),"")</f>
        <v>EPBM</v>
      </c>
      <c r="F2532" s="261" t="str">
        <f>IFERROR(IF(VLOOKUP(A2532,[16]PRIORIZADOS!$A:$F,6,FALSE)="","",VLOOKUP(A2532,[16]PRIORIZADOS!$A:$F,6,FALSE)),"")</f>
        <v>COLEGIO_SAN_CARLOS_IED</v>
      </c>
      <c r="G2532" s="261" t="str">
        <f>IFERROR(IF(VLOOKUP(A2532,[16]PRIORIZADOS!$A:$G,7,FALSE)="","",VLOOKUP(A2532,[16]PRIORIZADOS!$A:$G,7,FALSE)),"")</f>
        <v>JOSE ANTONIO RICAURTE</v>
      </c>
      <c r="H2532" s="261" t="str">
        <f>IFERROR(IF(VLOOKUP(A2532,[16]PRIORIZADOS!$A:$H,8,FALSE)="","",VLOOKUP(A2532,[16]PRIORIZADOS!$A:$H,8,FALSE)),"")</f>
        <v>Autoevaluación Institucional y Pruebas SABER 11</v>
      </c>
      <c r="I2532" s="261" t="str">
        <f>IFERROR(IF(VLOOKUP(A2532,[16]PRIORIZADOS!$A:$I,9,FALSE)="","",VLOOKUP(A2532,[16]PRIORIZADOS!$A:$I,9,FALSE)),"")</f>
        <v>SEGUIMIENTO_Y_SUPERVISIÓN.</v>
      </c>
      <c r="J2532" s="261" t="str">
        <f>IFERROR(IF(VLOOKUP(A2532,[16]PRIORIZADOS!$A:$J,10,FALSE)="","",VLOOKUP(A2532,[16]PRIORIZADOS!$A:$J,10,FALSE)),"")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32" s="261" t="str">
        <f>IFERROR(IF(VLOOKUP(A2532,[16]PRIORIZADOS!$A:$K,11,FALSE)="","",VLOOKUP(A2532,[16]PRIORIZADOS!$A:$K,11,FALSE)),"")</f>
        <v>CLAUDIA PATRICIA GRANADOS FLÓREZ</v>
      </c>
      <c r="L2532" s="261" t="str">
        <f>IFERROR(IF(VLOOKUP(A2532,[16]PRIORIZADOS!$A:$L,12,FALSE)="","",VLOOKUP(A2532,[16]PRIORIZADOS!$A:$L,12,FALSE)),"")</f>
        <v xml:space="preserve">SANDRA JAZMÍN BAQUERO CÓRDOBA
NELSON AUGUSTO CUBILLOS OLARTE
CLAUDIA PATRICIA GRANADOS FLÓREZ
</v>
      </c>
      <c r="M2532" s="262">
        <f>IFERROR(IF(VLOOKUP(A2532,[16]PRIORIZADOS!$A:$M,13,FALSE)="","",VLOOKUP(A2532,[16]PRIORIZADOS!$A:$M,13,FALSE)),"")</f>
        <v>45805</v>
      </c>
      <c r="N2532" s="262">
        <f>IFERROR(IF(VLOOKUP(A2532,[16]PRIORIZADOS!$A:$N,14,FALSE)="","",VLOOKUP(A2532,[16]PRIORIZADOS!$A:$N,14,FALSE)),"")</f>
        <v>45791</v>
      </c>
      <c r="O2532" s="262">
        <f>IFERROR(IF(VLOOKUP(A2532,[16]PRIORIZADOS!$A:$O,15,FALSE)="","",VLOOKUP(A2532,[16]PRIORIZADOS!$A:$O,15,FALSE)),"")</f>
        <v>45791</v>
      </c>
      <c r="P2532" s="261" t="str">
        <f>IFERROR(IF(VLOOKUP(A2532,[16]PRIORIZADOS!$A:$P,16,FALSE)="","",VLOOKUP(A2532,[16]PRIORIZADOS!$A:$P,16,FALSE)),"")</f>
        <v>Visitas de evaluación con fines de seguimiento</v>
      </c>
      <c r="Q2532" s="5" t="s">
        <v>497</v>
      </c>
      <c r="R2532" s="261" t="str">
        <f>IFERROR(IF(VLOOKUP(A2532,[16]PRIORIZADOS!$A:$R,18,FALSE)="","",VLOOKUP(A2532,[16]PRIORIZADOS!$A:$R,18,FALSE)),"")</f>
        <v>Proyecto Educativo de Inclusion estudiantes sordos y con discapacidad</v>
      </c>
      <c r="S2532" s="261" t="str">
        <f>IFERROR(IF(VLOOKUP(A2532,[16]PRIORIZADOS!$A:$S,19,FALSE)="","",VLOOKUP(A2532,[16]PRIORIZADOS!$A:$S,19,FALSE)),"")</f>
        <v>Continar con la adecuada implementacion del 1421</v>
      </c>
      <c r="T2532" s="70" t="str">
        <f>IFERROR(IF(VLOOKUP(A2532,[16]PRIORIZADOS!$A:$T,20,FALSE)="","",VLOOKUP(A2532,[16]PRIORIZADOS!$A:$T,20,FALSE)),"")</f>
        <v>No</v>
      </c>
      <c r="U2532" s="11" t="str">
        <f>IFERROR(IF(VLOOKUP(A2532,[16]PRIORIZADOS!$A:$U,21,FALSE)="","",VLOOKUP(A2532,[16]PRIORIZADOS!$A:$U,21,FALSE)),"")</f>
        <v>Se verificará la continuidad de su cumplimiento o en caso de presentarse una queja</v>
      </c>
    </row>
    <row r="2533" spans="1:21" s="1" customFormat="1" ht="84">
      <c r="A2533" s="69">
        <f>IF([16]PRIORIZADOS!A123="","",[16]PRIORIZADOS!A123)</f>
        <v>2513</v>
      </c>
      <c r="B2533" s="70">
        <v>14</v>
      </c>
      <c r="C2533" s="261" t="str">
        <f>IFERROR(IF(VLOOKUP(A2533,[16]PRIORIZADOS!$A:$C,3,FALSE)="","",VLOOKUP(A2533,[16]PRIORIZADOS!$A:$C,3,FALSE)),"")</f>
        <v>TUNJUELITO</v>
      </c>
      <c r="D2533" s="261" t="str">
        <f>IFERROR(IF(VLOOKUP(A2533,[16]PRIORIZADOS!$A:$D,4,FALSE)="","",VLOOKUP(A2533,[16]PRIORIZADOS!$A:$D,4,FALSE)),"")</f>
        <v>OFICIAL</v>
      </c>
      <c r="E2533" s="261" t="str">
        <f>IFERROR(IF(VLOOKUP(A2533,[16]PRIORIZADOS!$A:$E,5,FALSE)="","",VLOOKUP(A2533,[16]PRIORIZADOS!$A:$E,5,FALSE)),"")</f>
        <v>EPBM</v>
      </c>
      <c r="F2533" s="261" t="str">
        <f>IFERROR(IF(VLOOKUP(A2533,[16]PRIORIZADOS!$A:$F,6,FALSE)="","",VLOOKUP(A2533,[16]PRIORIZADOS!$A:$F,6,FALSE)),"")</f>
        <v>COLEGIO_SAN_CARLOS_IED</v>
      </c>
      <c r="G2533" s="261" t="str">
        <f>IFERROR(IF(VLOOKUP(A2533,[16]PRIORIZADOS!$A:$G,7,FALSE)="","",VLOOKUP(A2533,[16]PRIORIZADOS!$A:$G,7,FALSE)),"")</f>
        <v>JOSE ANTONIO RICAURTE</v>
      </c>
      <c r="H2533" s="261" t="str">
        <f>IFERROR(IF(VLOOKUP(A2533,[16]PRIORIZADOS!$A:$H,8,FALSE)="","",VLOOKUP(A2533,[16]PRIORIZADOS!$A:$H,8,FALSE)),"")</f>
        <v>Autoevaluación Institucional y Pruebas SABER 11</v>
      </c>
      <c r="I2533" s="261" t="str">
        <f>IFERROR(IF(VLOOKUP(A2533,[16]PRIORIZADOS!$A:$I,9,FALSE)="","",VLOOKUP(A2533,[16]PRIORIZADOS!$A:$I,9,FALSE)),"")</f>
        <v>EVALUACIÓN_CON_FINES_DE_MEJORAMIENTO.</v>
      </c>
      <c r="J2533" s="261" t="str">
        <f>IFERROR(IF(VLOOKUP(A2533,[16]PRIORIZADOS!$A:$J,10,FALSE)="","",VLOOKUP(A2533,[16]PRIORIZADOS!$A:$J,10,FALSE)),"")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33" s="261" t="str">
        <f>IFERROR(IF(VLOOKUP(A2533,[16]PRIORIZADOS!$A:$K,11,FALSE)="","",VLOOKUP(A2533,[16]PRIORIZADOS!$A:$K,11,FALSE)),"")</f>
        <v>CLAUDIA PATRICIA GRANADOS FLÓREZ</v>
      </c>
      <c r="L2533" s="261" t="str">
        <f>IFERROR(IF(VLOOKUP(A2533,[16]PRIORIZADOS!$A:$L,12,FALSE)="","",VLOOKUP(A2533,[16]PRIORIZADOS!$A:$L,12,FALSE)),"")</f>
        <v xml:space="preserve">SANDRA JAZMÍN BAQUERO CÓRDOBA
NELSON AUGUSTO CUBILLOS OLARTE
CLAUDIA PATRICIA GRANADOS FLÓREZ
</v>
      </c>
      <c r="M2533" s="262" t="str">
        <f>IFERROR(IF(VLOOKUP(A2533,[16]PRIORIZADOS!$A:$M,13,FALSE)="","",VLOOKUP(A2533,[16]PRIORIZADOS!$A:$M,13,FALSE)),"")</f>
        <v>14/05/2025</v>
      </c>
      <c r="N2533" s="262">
        <f>IFERROR(IF(VLOOKUP(A2533,[16]PRIORIZADOS!$A:$N,14,FALSE)="","",VLOOKUP(A2533,[16]PRIORIZADOS!$A:$N,14,FALSE)),"")</f>
        <v>45791</v>
      </c>
      <c r="O2533" s="262">
        <f>IFERROR(IF(VLOOKUP(A2533,[16]PRIORIZADOS!$A:$O,15,FALSE)="","",VLOOKUP(A2533,[16]PRIORIZADOS!$A:$O,15,FALSE)),"")</f>
        <v>45791</v>
      </c>
      <c r="P2533" s="261" t="str">
        <f>IFERROR(IF(VLOOKUP(A2533,[16]PRIORIZADOS!$A:$P,16,FALSE)="","",VLOOKUP(A2533,[16]PRIORIZADOS!$A:$P,16,FALSE)),"")</f>
        <v>Revisión documental</v>
      </c>
      <c r="Q2533" s="5" t="s">
        <v>497</v>
      </c>
      <c r="R2533" s="261" t="str">
        <f>IFERROR(IF(VLOOKUP(A2533,[16]PRIORIZADOS!$A:$R,18,FALSE)="","",VLOOKUP(A2533,[16]PRIORIZADOS!$A:$R,18,FALSE)),"")</f>
        <v>Se encuentran novedades frente a aspectos que debe contener en cumplimiento de Ley 1620, decreto 1965, decreto 1421 , debido proceso entre otros</v>
      </c>
      <c r="S2533" s="261" t="str">
        <f>IFERROR(IF(VLOOKUP(A2533,[16]PRIORIZADOS!$A:$S,19,FALSE)="","",VLOOKUP(A2533,[16]PRIORIZADOS!$A:$S,19,FALSE)),"")</f>
        <v>Presentación del PMI 6 de junio de 2025</v>
      </c>
      <c r="T2533" s="70" t="str">
        <f>IFERROR(IF(VLOOKUP(A2533,[16]PRIORIZADOS!$A:$T,20,FALSE)="","",VLOOKUP(A2533,[16]PRIORIZADOS!$A:$T,20,FALSE)),"")</f>
        <v>Si</v>
      </c>
      <c r="U2533" s="11" t="str">
        <f>IFERROR(IF(VLOOKUP(A2533,[16]PRIORIZADOS!$A:$U,21,FALSE)="","",VLOOKUP(A2533,[16]PRIORIZADOS!$A:$U,21,FALSE)),"")</f>
        <v>Se revisara el plan de mejoramiento aportado para verificar su pertinencia y porsterior seguimiento para su cumplimiento</v>
      </c>
    </row>
    <row r="2534" spans="1:21" s="1" customFormat="1" ht="96">
      <c r="A2534" s="69">
        <f>IF([16]PRIORIZADOS!A124="","",[16]PRIORIZADOS!A124)</f>
        <v>2514</v>
      </c>
      <c r="B2534" s="70">
        <v>14</v>
      </c>
      <c r="C2534" s="261" t="str">
        <f>IFERROR(IF(VLOOKUP(A2534,[16]PRIORIZADOS!$A:$C,3,FALSE)="","",VLOOKUP(A2534,[16]PRIORIZADOS!$A:$C,3,FALSE)),"")</f>
        <v>TUNJUELITO</v>
      </c>
      <c r="D2534" s="261" t="str">
        <f>IFERROR(IF(VLOOKUP(A2534,[16]PRIORIZADOS!$A:$D,4,FALSE)="","",VLOOKUP(A2534,[16]PRIORIZADOS!$A:$D,4,FALSE)),"")</f>
        <v>OFICIAL</v>
      </c>
      <c r="E2534" s="261" t="str">
        <f>IFERROR(IF(VLOOKUP(A2534,[16]PRIORIZADOS!$A:$E,5,FALSE)="","",VLOOKUP(A2534,[16]PRIORIZADOS!$A:$E,5,FALSE)),"")</f>
        <v>EPBM</v>
      </c>
      <c r="F2534" s="261" t="str">
        <f>IFERROR(IF(VLOOKUP(A2534,[16]PRIORIZADOS!$A:$F,6,FALSE)="","",VLOOKUP(A2534,[16]PRIORIZADOS!$A:$F,6,FALSE)),"")</f>
        <v>COLEGIO_SAN_CARLOS_IED</v>
      </c>
      <c r="G2534" s="261" t="str">
        <f>IFERROR(IF(VLOOKUP(A2534,[16]PRIORIZADOS!$A:$G,7,FALSE)="","",VLOOKUP(A2534,[16]PRIORIZADOS!$A:$G,7,FALSE)),"")</f>
        <v>JOSE ANTONIO RICAURTE</v>
      </c>
      <c r="H2534" s="261" t="str">
        <f>IFERROR(IF(VLOOKUP(A2534,[16]PRIORIZADOS!$A:$H,8,FALSE)="","",VLOOKUP(A2534,[16]PRIORIZADOS!$A:$H,8,FALSE)),"")</f>
        <v>Autoevaluación Institucional y Pruebas SABER 11</v>
      </c>
      <c r="I2534" s="261" t="str">
        <f>IFERROR(IF(VLOOKUP(A2534,[16]PRIORIZADOS!$A:$I,9,FALSE)="","",VLOOKUP(A2534,[16]PRIORIZADOS!$A:$I,9,FALSE)),"")</f>
        <v>EVALUACIÓN_CON_FINES_DE_MEJORAMIENTO.</v>
      </c>
      <c r="J2534" s="261" t="str">
        <f>IFERROR(IF(VLOOKUP(A2534,[16]PRIORIZADOS!$A:$J,10,FALSE)="","",VLOOKUP(A2534,[16]PRIORIZADOS!$A:$J,10,FALSE)),"")</f>
        <v>Revisar la actualización, socialización e implementación del Sistema Institucional de Evaluación de Estudiantes - SIEE, en articulación con la actualización del PEI y la normatividad vigente.</v>
      </c>
      <c r="K2534" s="261" t="str">
        <f>IFERROR(IF(VLOOKUP(A2534,[16]PRIORIZADOS!$A:$K,11,FALSE)="","",VLOOKUP(A2534,[16]PRIORIZADOS!$A:$K,11,FALSE)),"")</f>
        <v>CLAUDIA PATRICIA GRANADOS FLÓREZ</v>
      </c>
      <c r="L2534" s="261" t="str">
        <f>IFERROR(IF(VLOOKUP(A2534,[16]PRIORIZADOS!$A:$L,12,FALSE)="","",VLOOKUP(A2534,[16]PRIORIZADOS!$A:$L,12,FALSE)),"")</f>
        <v xml:space="preserve">SANDRA JAZMÍN BAQUERO CÓRDOBA
NELSON AUGUSTO CUBILLOS OLARTE
CLAUDIA PATRICIA GRANADOS FLÓREZ
</v>
      </c>
      <c r="M2534" s="262">
        <f>IFERROR(IF(VLOOKUP(A2534,[16]PRIORIZADOS!$A:$M,13,FALSE)="","",VLOOKUP(A2534,[16]PRIORIZADOS!$A:$M,13,FALSE)),"")</f>
        <v>45805</v>
      </c>
      <c r="N2534" s="262">
        <f>IFERROR(IF(VLOOKUP(A2534,[16]PRIORIZADOS!$A:$N,14,FALSE)="","",VLOOKUP(A2534,[16]PRIORIZADOS!$A:$N,14,FALSE)),"")</f>
        <v>45791</v>
      </c>
      <c r="O2534" s="262">
        <f>IFERROR(IF(VLOOKUP(A2534,[16]PRIORIZADOS!$A:$O,15,FALSE)="","",VLOOKUP(A2534,[16]PRIORIZADOS!$A:$O,15,FALSE)),"")</f>
        <v>45791</v>
      </c>
      <c r="P2534" s="261" t="str">
        <f>IFERROR(IF(VLOOKUP(A2534,[16]PRIORIZADOS!$A:$P,16,FALSE)="","",VLOOKUP(A2534,[16]PRIORIZADOS!$A:$P,16,FALSE)),"")</f>
        <v>Revisión documental</v>
      </c>
      <c r="Q2534" s="5" t="s">
        <v>497</v>
      </c>
      <c r="R2534" s="261" t="str">
        <f>IFERROR(IF(VLOOKUP(A2534,[16]PRIORIZADOS!$A:$R,18,FALSE)="","",VLOOKUP(A2534,[16]PRIORIZADOS!$A:$R,18,FALSE)),"")</f>
        <v>No se encuentran definidos claramente los elementos del sistema institucional de evaluación como: las estrategias de valoración integral de los desempeños de los estudiantes, las acciones de seguimiento para el mejoramiento de los desempeños de los estudiantes durante el año escolar, etc.</v>
      </c>
      <c r="S2534" s="261" t="str">
        <f>IFERROR(IF(VLOOKUP(A2534,[16]PRIORIZADOS!$A:$S,19,FALSE)="","",VLOOKUP(A2534,[16]PRIORIZADOS!$A:$S,19,FALSE)),"")</f>
        <v>Presentación del PMI 6 de junio de 2025</v>
      </c>
      <c r="T2534" s="70" t="str">
        <f>IFERROR(IF(VLOOKUP(A2534,[16]PRIORIZADOS!$A:$T,20,FALSE)="","",VLOOKUP(A2534,[16]PRIORIZADOS!$A:$T,20,FALSE)),"")</f>
        <v>Si</v>
      </c>
      <c r="U2534" s="11" t="str">
        <f>IFERROR(IF(VLOOKUP(A2534,[16]PRIORIZADOS!$A:$U,21,FALSE)="","",VLOOKUP(A2534,[16]PRIORIZADOS!$A:$U,21,FALSE)),"")</f>
        <v>Se revisara el plan de mejoramiento aportado para verificar su pertinencia y porsterior seguimiento para su cumplimiento</v>
      </c>
    </row>
    <row r="2535" spans="1:21" s="1" customFormat="1" ht="84">
      <c r="A2535" s="69">
        <f>IF([16]PRIORIZADOS!A125="","",[16]PRIORIZADOS!A125)</f>
        <v>2515</v>
      </c>
      <c r="B2535" s="70">
        <v>14</v>
      </c>
      <c r="C2535" s="261" t="str">
        <f>IFERROR(IF(VLOOKUP(A2535,[16]PRIORIZADOS!$A:$C,3,FALSE)="","",VLOOKUP(A2535,[16]PRIORIZADOS!$A:$C,3,FALSE)),"")</f>
        <v>TUNJUELITO</v>
      </c>
      <c r="D2535" s="261" t="str">
        <f>IFERROR(IF(VLOOKUP(A2535,[16]PRIORIZADOS!$A:$D,4,FALSE)="","",VLOOKUP(A2535,[16]PRIORIZADOS!$A:$D,4,FALSE)),"")</f>
        <v>OFICIAL</v>
      </c>
      <c r="E2535" s="261" t="str">
        <f>IFERROR(IF(VLOOKUP(A2535,[16]PRIORIZADOS!$A:$E,5,FALSE)="","",VLOOKUP(A2535,[16]PRIORIZADOS!$A:$E,5,FALSE)),"")</f>
        <v>EPBM</v>
      </c>
      <c r="F2535" s="261" t="str">
        <f>IFERROR(IF(VLOOKUP(A2535,[16]PRIORIZADOS!$A:$F,6,FALSE)="","",VLOOKUP(A2535,[16]PRIORIZADOS!$A:$F,6,FALSE)),"")</f>
        <v>COLEGIO_SAN_CARLOS_IED</v>
      </c>
      <c r="G2535" s="261" t="str">
        <f>IFERROR(IF(VLOOKUP(A2535,[16]PRIORIZADOS!$A:$G,7,FALSE)="","",VLOOKUP(A2535,[16]PRIORIZADOS!$A:$G,7,FALSE)),"")</f>
        <v>JOSE ANTONIO RICAURTE</v>
      </c>
      <c r="H2535" s="261" t="str">
        <f>IFERROR(IF(VLOOKUP(A2535,[16]PRIORIZADOS!$A:$H,8,FALSE)="","",VLOOKUP(A2535,[16]PRIORIZADOS!$A:$H,8,FALSE)),"")</f>
        <v>Autoevaluación Institucional y Pruebas SABER 11</v>
      </c>
      <c r="I2535" s="261" t="str">
        <f>IFERROR(IF(VLOOKUP(A2535,[16]PRIORIZADOS!$A:$I,9,FALSE)="","",VLOOKUP(A2535,[16]PRIORIZADOS!$A:$I,9,FALSE)),"")</f>
        <v>EVALUACIÓN_CON_FINES_DE_MEJORAMIENTO.</v>
      </c>
      <c r="J2535" s="261" t="str">
        <f>IFERROR(IF(VLOOKUP(A2535,[16]PRIORIZADOS!$A:$J,10,FALSE)="","",VLOOKUP(A2535,[16]PRIORIZADOS!$A:$J,10,FALSE)),"")</f>
        <v>Revisar el calendario escolar, jornada escolar, la intensidad horaria mínima anual en cada nivel y las modificaciones que se realicen al mismo, de acuerdo con lo previsto en la normatividad vigente.</v>
      </c>
      <c r="K2535" s="261" t="str">
        <f>IFERROR(IF(VLOOKUP(A2535,[16]PRIORIZADOS!$A:$K,11,FALSE)="","",VLOOKUP(A2535,[16]PRIORIZADOS!$A:$K,11,FALSE)),"")</f>
        <v>CLAUDIA PATRICIA GRANADOS FLÓREZ</v>
      </c>
      <c r="L2535" s="261" t="str">
        <f>IFERROR(IF(VLOOKUP(A2535,[16]PRIORIZADOS!$A:$L,12,FALSE)="","",VLOOKUP(A2535,[16]PRIORIZADOS!$A:$L,12,FALSE)),"")</f>
        <v xml:space="preserve">SANDRA JAZMÍN BAQUERO CÓRDOBA
NELSON AUGUSTO CUBILLOS OLARTE
CLAUDIA PATRICIA GRANADOS FLÓREZ
</v>
      </c>
      <c r="M2535" s="262">
        <f>IFERROR(IF(VLOOKUP(A2535,[16]PRIORIZADOS!$A:$M,13,FALSE)="","",VLOOKUP(A2535,[16]PRIORIZADOS!$A:$M,13,FALSE)),"")</f>
        <v>45805</v>
      </c>
      <c r="N2535" s="262">
        <f>IFERROR(IF(VLOOKUP(A2535,[16]PRIORIZADOS!$A:$N,14,FALSE)="","",VLOOKUP(A2535,[16]PRIORIZADOS!$A:$N,14,FALSE)),"")</f>
        <v>45791</v>
      </c>
      <c r="O2535" s="262">
        <f>IFERROR(IF(VLOOKUP(A2535,[16]PRIORIZADOS!$A:$O,15,FALSE)="","",VLOOKUP(A2535,[16]PRIORIZADOS!$A:$O,15,FALSE)),"")</f>
        <v>45791</v>
      </c>
      <c r="P2535" s="261" t="str">
        <f>IFERROR(IF(VLOOKUP(A2535,[16]PRIORIZADOS!$A:$P,16,FALSE)="","",VLOOKUP(A2535,[16]PRIORIZADOS!$A:$P,16,FALSE)),"")</f>
        <v>Revisión documental</v>
      </c>
      <c r="Q2535" s="5" t="s">
        <v>497</v>
      </c>
      <c r="R2535" s="261" t="str">
        <f>IFERROR(IF(VLOOKUP(A2535,[16]PRIORIZADOS!$A:$R,18,FALSE)="","",VLOOKUP(A2535,[16]PRIORIZADOS!$A:$R,18,FALSE)),"")</f>
        <v>Cumple con cuarenta (40) semanas lectivas de trabajo académico con estudiantes, por lo tanto, se ajusta a lo estipulado en la “Ley 115 de 1994, Artículo 86º.-</v>
      </c>
      <c r="S2535" s="261" t="str">
        <f>IFERROR(IF(VLOOKUP(A2535,[16]PRIORIZADOS!$A:$S,19,FALSE)="","",VLOOKUP(A2535,[16]PRIORIZADOS!$A:$S,19,FALSE)),"")</f>
        <v>Se dan orientaciones al respecto para mayor claridad</v>
      </c>
      <c r="T2535" s="70" t="str">
        <f>IFERROR(IF(VLOOKUP(A2535,[16]PRIORIZADOS!$A:$T,20,FALSE)="","",VLOOKUP(A2535,[16]PRIORIZADOS!$A:$T,20,FALSE)),"")</f>
        <v>No</v>
      </c>
      <c r="U2535" s="11" t="str">
        <f>IFERROR(IF(VLOOKUP(A2535,[16]PRIORIZADOS!$A:$U,21,FALSE)="","",VLOOKUP(A2535,[16]PRIORIZADOS!$A:$U,21,FALSE)),"")</f>
        <v>Realizar seguimiento al calendario presentado por la IE</v>
      </c>
    </row>
    <row r="2536" spans="1:21" s="1" customFormat="1" ht="84">
      <c r="A2536" s="69">
        <f>IF([16]PRIORIZADOS!A126="","",[16]PRIORIZADOS!A126)</f>
        <v>2516</v>
      </c>
      <c r="B2536" s="70">
        <v>14</v>
      </c>
      <c r="C2536" s="261" t="str">
        <f>IFERROR(IF(VLOOKUP(A2536,[16]PRIORIZADOS!$A:$C,3,FALSE)="","",VLOOKUP(A2536,[16]PRIORIZADOS!$A:$C,3,FALSE)),"")</f>
        <v>TUNJUELITO</v>
      </c>
      <c r="D2536" s="261" t="str">
        <f>IFERROR(IF(VLOOKUP(A2536,[16]PRIORIZADOS!$A:$D,4,FALSE)="","",VLOOKUP(A2536,[16]PRIORIZADOS!$A:$D,4,FALSE)),"")</f>
        <v>OFICIAL</v>
      </c>
      <c r="E2536" s="261" t="str">
        <f>IFERROR(IF(VLOOKUP(A2536,[16]PRIORIZADOS!$A:$E,5,FALSE)="","",VLOOKUP(A2536,[16]PRIORIZADOS!$A:$E,5,FALSE)),"")</f>
        <v>EPBM</v>
      </c>
      <c r="F2536" s="261" t="str">
        <f>IFERROR(IF(VLOOKUP(A2536,[16]PRIORIZADOS!$A:$F,6,FALSE)="","",VLOOKUP(A2536,[16]PRIORIZADOS!$A:$F,6,FALSE)),"")</f>
        <v>COLEGIO_SAN_CARLOS_IED</v>
      </c>
      <c r="G2536" s="261" t="str">
        <f>IFERROR(IF(VLOOKUP(A2536,[16]PRIORIZADOS!$A:$G,7,FALSE)="","",VLOOKUP(A2536,[16]PRIORIZADOS!$A:$G,7,FALSE)),"")</f>
        <v>JOSE ANTONIO RICAURTE</v>
      </c>
      <c r="H2536" s="261" t="str">
        <f>IFERROR(IF(VLOOKUP(A2536,[16]PRIORIZADOS!$A:$H,8,FALSE)="","",VLOOKUP(A2536,[16]PRIORIZADOS!$A:$H,8,FALSE)),"")</f>
        <v>Autoevaluación Institucional y Pruebas SABER 11</v>
      </c>
      <c r="I2536" s="261" t="str">
        <f>IFERROR(IF(VLOOKUP(A2536,[16]PRIORIZADOS!$A:$I,9,FALSE)="","",VLOOKUP(A2536,[16]PRIORIZADOS!$A:$I,9,FALSE)),"")</f>
        <v>EVALUACIÓN_CON_FINES_DE_MEJORAMIENTO.</v>
      </c>
      <c r="J2536" s="261" t="str">
        <f>IFERROR(IF(VLOOKUP(A2536,[16]PRIORIZADOS!$A:$J,10,FALSE)="","",VLOOKUP(A2536,[16]PRIORIZADOS!$A:$J,10,FALSE)),"")</f>
        <v>Verificar el funcionamiento del Gobierno Escolar e instancias de participación con base en la información sobre conformación reportada por la institución educativa.</v>
      </c>
      <c r="K2536" s="261" t="str">
        <f>IFERROR(IF(VLOOKUP(A2536,[16]PRIORIZADOS!$A:$K,11,FALSE)="","",VLOOKUP(A2536,[16]PRIORIZADOS!$A:$K,11,FALSE)),"")</f>
        <v>CLAUDIA PATRICIA GRANADOS FLÓREZ</v>
      </c>
      <c r="L2536" s="261" t="str">
        <f>IFERROR(IF(VLOOKUP(A2536,[16]PRIORIZADOS!$A:$L,12,FALSE)="","",VLOOKUP(A2536,[16]PRIORIZADOS!$A:$L,12,FALSE)),"")</f>
        <v xml:space="preserve">SANDRA JAZMÍN BAQUERO CÓRDOBA
NELSON AUGUSTO CUBILLOS OLARTE
CLAUDIA PATRICIA GRANADOS FLÓREZ
</v>
      </c>
      <c r="M2536" s="262">
        <f>IFERROR(IF(VLOOKUP(A2536,[16]PRIORIZADOS!$A:$M,13,FALSE)="","",VLOOKUP(A2536,[16]PRIORIZADOS!$A:$M,13,FALSE)),"")</f>
        <v>45805</v>
      </c>
      <c r="N2536" s="262">
        <f>IFERROR(IF(VLOOKUP(A2536,[16]PRIORIZADOS!$A:$N,14,FALSE)="","",VLOOKUP(A2536,[16]PRIORIZADOS!$A:$N,14,FALSE)),"")</f>
        <v>45791</v>
      </c>
      <c r="O2536" s="262">
        <f>IFERROR(IF(VLOOKUP(A2536,[16]PRIORIZADOS!$A:$O,15,FALSE)="","",VLOOKUP(A2536,[16]PRIORIZADOS!$A:$O,15,FALSE)),"")</f>
        <v>45791</v>
      </c>
      <c r="P2536" s="261" t="str">
        <f>IFERROR(IF(VLOOKUP(A2536,[16]PRIORIZADOS!$A:$P,16,FALSE)="","",VLOOKUP(A2536,[16]PRIORIZADOS!$A:$P,16,FALSE)),"")</f>
        <v>Visitas de evaluación con fines de mejoramiento</v>
      </c>
      <c r="Q2536" s="5" t="s">
        <v>497</v>
      </c>
      <c r="R2536" s="261" t="str">
        <f>IFERROR(IF(VLOOKUP(A2536,[16]PRIORIZADOS!$A:$R,18,FALSE)="","",VLOOKUP(A2536,[16]PRIORIZADOS!$A:$R,18,FALSE)),"")</f>
        <v>El colegio presenta las actas de cada una de las instancias donde se evidencia su funcionamiento años 2024 y 2025.</v>
      </c>
      <c r="S2536" s="261" t="str">
        <f>IFERROR(IF(VLOOKUP(A2536,[16]PRIORIZADOS!$A:$S,19,FALSE)="","",VLOOKUP(A2536,[16]PRIORIZADOS!$A:$S,19,FALSE)),"")</f>
        <v>La institución cumple con el funcionamiento del gobierno escolar.</v>
      </c>
      <c r="T2536" s="70" t="str">
        <f>IFERROR(IF(VLOOKUP(A2536,[16]PRIORIZADOS!$A:$T,20,FALSE)="","",VLOOKUP(A2536,[16]PRIORIZADOS!$A:$T,20,FALSE)),"")</f>
        <v>No</v>
      </c>
      <c r="U2536" s="11" t="str">
        <f>IFERROR(IF(VLOOKUP(A2536,[16]PRIORIZADOS!$A:$U,21,FALSE)="","",VLOOKUP(A2536,[16]PRIORIZADOS!$A:$U,21,FALSE)),"")</f>
        <v>Se verificará la conformación y funcionamiento en la siguiente vigencia o en caso de presentarse una queja</v>
      </c>
    </row>
    <row r="2537" spans="1:21" s="1" customFormat="1" ht="84">
      <c r="A2537" s="69">
        <f>IF([16]PRIORIZADOS!A127="","",[16]PRIORIZADOS!A127)</f>
        <v>2517</v>
      </c>
      <c r="B2537" s="70">
        <v>14</v>
      </c>
      <c r="C2537" s="261" t="str">
        <f>IFERROR(IF(VLOOKUP(A2537,[16]PRIORIZADOS!$A:$C,3,FALSE)="","",VLOOKUP(A2537,[16]PRIORIZADOS!$A:$C,3,FALSE)),"")</f>
        <v>TUNJUELITO</v>
      </c>
      <c r="D2537" s="261" t="str">
        <f>IFERROR(IF(VLOOKUP(A2537,[16]PRIORIZADOS!$A:$D,4,FALSE)="","",VLOOKUP(A2537,[16]PRIORIZADOS!$A:$D,4,FALSE)),"")</f>
        <v>OFICIAL</v>
      </c>
      <c r="E2537" s="261" t="str">
        <f>IFERROR(IF(VLOOKUP(A2537,[16]PRIORIZADOS!$A:$E,5,FALSE)="","",VLOOKUP(A2537,[16]PRIORIZADOS!$A:$E,5,FALSE)),"")</f>
        <v>EPBM</v>
      </c>
      <c r="F2537" s="261" t="str">
        <f>IFERROR(IF(VLOOKUP(A2537,[16]PRIORIZADOS!$A:$F,6,FALSE)="","",VLOOKUP(A2537,[16]PRIORIZADOS!$A:$F,6,FALSE)),"")</f>
        <v>COLEGIO_SAN_CARLOS_IED</v>
      </c>
      <c r="G2537" s="261" t="str">
        <f>IFERROR(IF(VLOOKUP(A2537,[16]PRIORIZADOS!$A:$G,7,FALSE)="","",VLOOKUP(A2537,[16]PRIORIZADOS!$A:$G,7,FALSE)),"")</f>
        <v>JOSE ANTONIO RICAURTE</v>
      </c>
      <c r="H2537" s="261" t="str">
        <f>IFERROR(IF(VLOOKUP(A2537,[16]PRIORIZADOS!$A:$H,8,FALSE)="","",VLOOKUP(A2537,[16]PRIORIZADOS!$A:$H,8,FALSE)),"")</f>
        <v>Autoevaluación Institucional y Pruebas SABER 11</v>
      </c>
      <c r="I2537" s="261" t="str">
        <f>IFERROR(IF(VLOOKUP(A2537,[16]PRIORIZADOS!$A:$I,9,FALSE)="","",VLOOKUP(A2537,[16]PRIORIZADOS!$A:$I,9,FALSE)),"")</f>
        <v>EVALUACIÓN_CON_FINES_DE_MEJORAMIENTO.</v>
      </c>
      <c r="J2537" s="261" t="str">
        <f>IFERROR(IF(VLOOKUP(A2537,[16]PRIORIZADOS!$A:$J,10,FALSE)="","",VLOOKUP(A2537,[16]PRIORIZADOS!$A:$J,10,FALSE)),"")</f>
        <v>Verificar las condiciones en cuanto a: la estructura administrativa, condiciones de la planta física y medios educativos adecuados.</v>
      </c>
      <c r="K2537" s="261" t="str">
        <f>IFERROR(IF(VLOOKUP(A2537,[16]PRIORIZADOS!$A:$K,11,FALSE)="","",VLOOKUP(A2537,[16]PRIORIZADOS!$A:$K,11,FALSE)),"")</f>
        <v>CLAUDIA PATRICIA GRANADOS FLÓREZ</v>
      </c>
      <c r="L2537" s="261" t="str">
        <f>IFERROR(IF(VLOOKUP(A2537,[16]PRIORIZADOS!$A:$L,12,FALSE)="","",VLOOKUP(A2537,[16]PRIORIZADOS!$A:$L,12,FALSE)),"")</f>
        <v xml:space="preserve">SANDRA JAZMÍN BAQUERO CÓRDOBA
NELSON AUGUSTO CUBILLOS OLARTE
CLAUDIA PATRICIA GRANADOS FLÓREZ
</v>
      </c>
      <c r="M2537" s="262">
        <f>IFERROR(IF(VLOOKUP(A2537,[16]PRIORIZADOS!$A:$M,13,FALSE)="","",VLOOKUP(A2537,[16]PRIORIZADOS!$A:$M,13,FALSE)),"")</f>
        <v>45805</v>
      </c>
      <c r="N2537" s="262">
        <f>IFERROR(IF(VLOOKUP(A2537,[16]PRIORIZADOS!$A:$N,14,FALSE)="","",VLOOKUP(A2537,[16]PRIORIZADOS!$A:$N,14,FALSE)),"")</f>
        <v>45791</v>
      </c>
      <c r="O2537" s="262">
        <f>IFERROR(IF(VLOOKUP(A2537,[16]PRIORIZADOS!$A:$O,15,FALSE)="","",VLOOKUP(A2537,[16]PRIORIZADOS!$A:$O,15,FALSE)),"")</f>
        <v>45791</v>
      </c>
      <c r="P2537" s="261" t="str">
        <f>IFERROR(IF(VLOOKUP(A2537,[16]PRIORIZADOS!$A:$P,16,FALSE)="","",VLOOKUP(A2537,[16]PRIORIZADOS!$A:$P,16,FALSE)),"")</f>
        <v>Visitas de evaluación con fines de mejoramiento</v>
      </c>
      <c r="Q2537" s="45" t="s">
        <v>497</v>
      </c>
      <c r="R2537" s="261" t="str">
        <f>IFERROR(IF(VLOOKUP(A2537,[16]PRIORIZADOS!$A:$R,18,FALSE)="","",VLOOKUP(A2537,[16]PRIORIZADOS!$A:$R,18,FALSE)),"")</f>
        <v>Se evidencia carencia de espacios en la infraestructura como rampas de acceso para poblacion con discapacidad, enfermeria adecuada</v>
      </c>
      <c r="S2537" s="261" t="str">
        <f>IFERROR(IF(VLOOKUP(A2537,[16]PRIORIZADOS!$A:$S,19,FALSE)="","",VLOOKUP(A2537,[16]PRIORIZADOS!$A:$S,19,FALSE)),"")</f>
        <v>Presentación del PMI 6 de junio de 2025</v>
      </c>
      <c r="T2537" s="70" t="str">
        <f>IFERROR(IF(VLOOKUP(A2537,[16]PRIORIZADOS!$A:$T,20,FALSE)="","",VLOOKUP(A2537,[16]PRIORIZADOS!$A:$T,20,FALSE)),"")</f>
        <v>Si</v>
      </c>
      <c r="U2537" s="11" t="str">
        <f>IFERROR(IF(VLOOKUP(A2537,[16]PRIORIZADOS!$A:$U,21,FALSE)="","",VLOOKUP(A2537,[16]PRIORIZADOS!$A:$U,21,FALSE)),"")</f>
        <v>Se revisara el plan de mejoramiento aportado para verificar su pertinencia y porsterior seguimiento para su cumplimiento</v>
      </c>
    </row>
    <row r="2538" spans="1:21" s="1" customFormat="1" ht="84">
      <c r="A2538" s="69">
        <f>IF([16]PRIORIZADOS!A128="","",[16]PRIORIZADOS!A128)</f>
        <v>2518</v>
      </c>
      <c r="B2538" s="70">
        <f>IFERROR(IF(VLOOKUP(A2538,[16]PRIORIZADOS!$A:$B,2,FALSE)="","",VLOOKUP(A2538,[16]PRIORIZADOS!$A:$B,2,FALSE)),"")</f>
        <v>15</v>
      </c>
      <c r="C2538" s="261" t="str">
        <f>IFERROR(IF(VLOOKUP(A2538,[16]PRIORIZADOS!$A:$C,3,FALSE)="","",VLOOKUP(A2538,[16]PRIORIZADOS!$A:$C,3,FALSE)),"")</f>
        <v>TUNJUELITO</v>
      </c>
      <c r="D2538" s="261" t="str">
        <f>IFERROR(IF(VLOOKUP(A2538,[16]PRIORIZADOS!$A:$D,4,FALSE)="","",VLOOKUP(A2538,[16]PRIORIZADOS!$A:$D,4,FALSE)),"")</f>
        <v>OFICIAL</v>
      </c>
      <c r="E2538" s="261" t="str">
        <f>IFERROR(IF(VLOOKUP(A2538,[16]PRIORIZADOS!$A:$E,5,FALSE)="","",VLOOKUP(A2538,[16]PRIORIZADOS!$A:$E,5,FALSE)),"")</f>
        <v>EPBM</v>
      </c>
      <c r="F2538" s="261" t="str">
        <f>IFERROR(IF(VLOOKUP(A2538,[16]PRIORIZADOS!$A:$F,6,FALSE)="","",VLOOKUP(A2538,[16]PRIORIZADOS!$A:$F,6,FALSE)),"")</f>
        <v>COLEGIO_INEM_SANTIAGO_PEREZ_IED</v>
      </c>
      <c r="G2538" s="261" t="str">
        <f>IFERROR(IF(VLOOKUP(A2538,[16]PRIORIZADOS!$A:$G,7,FALSE)="","",VLOOKUP(A2538,[16]PRIORIZADOS!$A:$G,7,FALSE)),"")</f>
        <v>INEM SANTIAGO PEREZ</v>
      </c>
      <c r="H2538" s="261" t="str">
        <f>IFERROR(IF(VLOOKUP(A2538,[16]PRIORIZADOS!$A:$H,8,FALSE)="","",VLOOKUP(A2538,[16]PRIORIZADOS!$A:$H,8,FALSE)),"")</f>
        <v>Autoevaluación Institucional y Pruebas SABER 11</v>
      </c>
      <c r="I2538" s="261" t="str">
        <f>IFERROR(IF(VLOOKUP(A2538,[16]PRIORIZADOS!$A:$I,9,FALSE)="","",VLOOKUP(A2538,[16]PRIORIZADOS!$A:$I,9,FALSE)),"")</f>
        <v>SEGUIMIENTO_Y_SUPERVISIÓN.</v>
      </c>
      <c r="J2538" s="261" t="str">
        <f>IFERROR(IF(VLOOKUP(A2538,[16]PRIORIZADOS!$A:$J,10,FALSE)="","",VLOOKUP(A2538,[16]PRIORIZADOS!$A:$J,10,FALSE)),"")</f>
        <v>Proponer estrategias en la formulación, verificar su elaboración y realizar seguimiento semestral al desarrollo de  las acciones establecidas en los planes de mejoramiento por pruebas SABER 11 de los establecimientos de educación formal.</v>
      </c>
      <c r="K2538" s="261" t="str">
        <f>IFERROR(IF(VLOOKUP(A2538,[16]PRIORIZADOS!$A:$K,11,FALSE)="","",VLOOKUP(A2538,[16]PRIORIZADOS!$A:$K,11,FALSE)),"")</f>
        <v>SANDRA JAZMÍN BAQUERO CÓRDOBA</v>
      </c>
      <c r="L2538" s="261" t="str">
        <f>IFERROR(IF(VLOOKUP(A2538,[16]PRIORIZADOS!$A:$L,12,FALSE)="","",VLOOKUP(A2538,[16]PRIORIZADOS!$A:$L,12,FALSE)),"")</f>
        <v xml:space="preserve">SANDRA JAZMÍN BAQUERO CÓRDOBA
NELSON AUGUSTO CUBILLOS OLARTE
CLAUDIA PATRICIA GRANADOS FLÓREZ
</v>
      </c>
      <c r="M2538" s="262">
        <f>IFERROR(IF(VLOOKUP(A2538,[16]PRIORIZADOS!$A:$M,13,FALSE)="","",VLOOKUP(A2538,[16]PRIORIZADOS!$A:$M,13,FALSE)),"")</f>
        <v>45814</v>
      </c>
      <c r="N2538" s="262">
        <f>IFERROR(IF(VLOOKUP(A2538,[16]PRIORIZADOS!$A:$N,14,FALSE)="","",VLOOKUP(A2538,[16]PRIORIZADOS!$A:$N,14,FALSE)),"")</f>
        <v>45814</v>
      </c>
      <c r="O2538" s="262">
        <f>IFERROR(IF(VLOOKUP(A2538,[16]PRIORIZADOS!$A:$O,15,FALSE)="","",VLOOKUP(A2538,[16]PRIORIZADOS!$A:$O,15,FALSE)),"")</f>
        <v>45814</v>
      </c>
      <c r="P2538" s="261" t="str">
        <f>IFERROR(IF(VLOOKUP(A2538,[16]PRIORIZADOS!$A:$P,16,FALSE)="","",VLOOKUP(A2538,[16]PRIORIZADOS!$A:$P,16,FALSE)),"")</f>
        <v>Visitas de evaluación con fines de seguimiento</v>
      </c>
      <c r="Q2538" s="5" t="s">
        <v>498</v>
      </c>
      <c r="R2538" s="261" t="str">
        <f>IFERROR(IF(VLOOKUP(A2538,[16]PRIORIZADOS!$A:$R,18,FALSE)="","",VLOOKUP(A2538,[16]PRIORIZADOS!$A:$R,18,FALSE)),"")</f>
        <v>Se encontró que aunque socializan los resultados de las pruebas saber no se implementan acciones de mejora</v>
      </c>
      <c r="S2538" s="261" t="str">
        <f>IFERROR(IF(VLOOKUP(A2538,[16]PRIORIZADOS!$A:$S,19,FALSE)="","",VLOOKUP(A2538,[16]PRIORIZADOS!$A:$S,19,FALSE)),"")</f>
        <v>Presentación PMI 18 de julio de 2025</v>
      </c>
      <c r="T2538" s="70" t="str">
        <f>IFERROR(IF(VLOOKUP(A2538,[16]PRIORIZADOS!$A:$T,20,FALSE)="","",VLOOKUP(A2538,[16]PRIORIZADOS!$A:$T,20,FALSE)),"")</f>
        <v>Si</v>
      </c>
      <c r="U2538" s="11" t="str">
        <f>IFERROR(IF(VLOOKUP(A2538,[16]PRIORIZADOS!$A:$U,21,FALSE)="","",VLOOKUP(A2538,[16]PRIORIZADOS!$A:$U,21,FALSE)),"")</f>
        <v>Se revisara el plan de mejoramiento aportado para verificar su pertinencia y posterior seguimiento para su cumplimiento</v>
      </c>
    </row>
    <row r="2539" spans="1:21" s="1" customFormat="1" ht="84">
      <c r="A2539" s="69">
        <f>IF([16]PRIORIZADOS!A129="","",[16]PRIORIZADOS!A129)</f>
        <v>2520</v>
      </c>
      <c r="B2539" s="70">
        <v>15</v>
      </c>
      <c r="C2539" s="261" t="str">
        <f>IFERROR(IF(VLOOKUP(A2539,[16]PRIORIZADOS!$A:$C,3,FALSE)="","",VLOOKUP(A2539,[16]PRIORIZADOS!$A:$C,3,FALSE)),"")</f>
        <v>TUNJUELITO</v>
      </c>
      <c r="D2539" s="261" t="str">
        <f>IFERROR(IF(VLOOKUP(A2539,[16]PRIORIZADOS!$A:$D,4,FALSE)="","",VLOOKUP(A2539,[16]PRIORIZADOS!$A:$D,4,FALSE)),"")</f>
        <v>OFICIAL</v>
      </c>
      <c r="E2539" s="261" t="str">
        <f>IFERROR(IF(VLOOKUP(A2539,[16]PRIORIZADOS!$A:$E,5,FALSE)="","",VLOOKUP(A2539,[16]PRIORIZADOS!$A:$E,5,FALSE)),"")</f>
        <v>EPBM</v>
      </c>
      <c r="F2539" s="261" t="str">
        <f>IFERROR(IF(VLOOKUP(A2539,[16]PRIORIZADOS!$A:$F,6,FALSE)="","",VLOOKUP(A2539,[16]PRIORIZADOS!$A:$F,6,FALSE)),"")</f>
        <v>COLEGIO_INEM_SANTIAGO_PEREZ_IED</v>
      </c>
      <c r="G2539" s="261" t="str">
        <f>IFERROR(IF(VLOOKUP(A2539,[16]PRIORIZADOS!$A:$G,7,FALSE)="","",VLOOKUP(A2539,[16]PRIORIZADOS!$A:$G,7,FALSE)),"")</f>
        <v>INEM SANTIAGO PEREZ</v>
      </c>
      <c r="H2539" s="261" t="str">
        <f>IFERROR(IF(VLOOKUP(A2539,[16]PRIORIZADOS!$A:$H,8,FALSE)="","",VLOOKUP(A2539,[16]PRIORIZADOS!$A:$H,8,FALSE)),"")</f>
        <v>Autoevaluación Institucional y Pruebas SABER 11</v>
      </c>
      <c r="I2539" s="261" t="str">
        <f>IFERROR(IF(VLOOKUP(A2539,[16]PRIORIZADOS!$A:$I,9,FALSE)="","",VLOOKUP(A2539,[16]PRIORIZADOS!$A:$I,9,FALSE)),"")</f>
        <v>SEGUIMIENTO_Y_SUPERVISIÓN.</v>
      </c>
      <c r="J2539" s="261" t="str">
        <f>IFERROR(IF(VLOOKUP(A2539,[16]PRIORIZADOS!$A:$J,10,FALSE)="","",VLOOKUP(A2539,[16]PRIORIZADOS!$A:$J,10,FALSE)),"")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39" s="261" t="str">
        <f>IFERROR(IF(VLOOKUP(A2539,[16]PRIORIZADOS!$A:$K,11,FALSE)="","",VLOOKUP(A2539,[16]PRIORIZADOS!$A:$K,11,FALSE)),"")</f>
        <v>SANDRA JAZMÍN BAQUERO CÓRDOBA</v>
      </c>
      <c r="L2539" s="261" t="str">
        <f>IFERROR(IF(VLOOKUP(A2539,[16]PRIORIZADOS!$A:$L,12,FALSE)="","",VLOOKUP(A2539,[16]PRIORIZADOS!$A:$L,12,FALSE)),"")</f>
        <v xml:space="preserve">SANDRA JAZMÍN BAQUERO CÓRDOBA
NELSON AUGUSTO CUBILLOS OLARTE
CLAUDIA PATRICIA GRANADOS FLÓREZ
</v>
      </c>
      <c r="M2539" s="262">
        <f>IFERROR(IF(VLOOKUP(A2539,[16]PRIORIZADOS!$A:$M,13,FALSE)="","",VLOOKUP(A2539,[16]PRIORIZADOS!$A:$M,13,FALSE)),"")</f>
        <v>45814</v>
      </c>
      <c r="N2539" s="262">
        <f>IFERROR(IF(VLOOKUP(A2539,[16]PRIORIZADOS!$A:$N,14,FALSE)="","",VLOOKUP(A2539,[16]PRIORIZADOS!$A:$N,14,FALSE)),"")</f>
        <v>45814</v>
      </c>
      <c r="O2539" s="262">
        <f>IFERROR(IF(VLOOKUP(A2539,[16]PRIORIZADOS!$A:$O,15,FALSE)="","",VLOOKUP(A2539,[16]PRIORIZADOS!$A:$O,15,FALSE)),"")</f>
        <v>45814</v>
      </c>
      <c r="P2539" s="261" t="str">
        <f>IFERROR(IF(VLOOKUP(A2539,[16]PRIORIZADOS!$A:$P,16,FALSE)="","",VLOOKUP(A2539,[16]PRIORIZADOS!$A:$P,16,FALSE)),"")</f>
        <v>Visitas de evaluación con fines de seguimiento</v>
      </c>
      <c r="Q2539" s="5" t="s">
        <v>498</v>
      </c>
      <c r="R2539" s="261" t="str">
        <f>IFERROR(IF(VLOOKUP(A2539,[16]PRIORIZADOS!$A:$R,18,FALSE)="","",VLOOKUP(A2539,[16]PRIORIZADOS!$A:$R,18,FALSE)),"")</f>
        <v>Se encontró que elaboran los PIAR  los cuales se encuentran debidamente diligenciados.</v>
      </c>
      <c r="S2539" s="261" t="str">
        <f>IFERROR(IF(VLOOKUP(A2539,[16]PRIORIZADOS!$A:$S,19,FALSE)="","",VLOOKUP(A2539,[16]PRIORIZADOS!$A:$S,19,FALSE)),"")</f>
        <v>e solicitó revisar las barreras y armonizar con los ajustes razonables</v>
      </c>
      <c r="T2539" s="70" t="str">
        <f>IFERROR(IF(VLOOKUP(A2539,[16]PRIORIZADOS!$A:$T,20,FALSE)="","",VLOOKUP(A2539,[16]PRIORIZADOS!$A:$T,20,FALSE)),"")</f>
        <v>No</v>
      </c>
      <c r="U2539" s="11" t="str">
        <f>IFERROR(IF(VLOOKUP(A2539,[16]PRIORIZADOS!$A:$U,21,FALSE)="","",VLOOKUP(A2539,[16]PRIORIZADOS!$A:$U,21,FALSE)),"")</f>
        <v>Se hará seguimiento en reunión</v>
      </c>
    </row>
    <row r="2540" spans="1:21" s="1" customFormat="1" ht="84">
      <c r="A2540" s="69">
        <f>IF([16]PRIORIZADOS!A130="","",[16]PRIORIZADOS!A130)</f>
        <v>2522</v>
      </c>
      <c r="B2540" s="70">
        <v>15</v>
      </c>
      <c r="C2540" s="261" t="str">
        <f>IFERROR(IF(VLOOKUP(A2540,[16]PRIORIZADOS!$A:$C,3,FALSE)="","",VLOOKUP(A2540,[16]PRIORIZADOS!$A:$C,3,FALSE)),"")</f>
        <v>TUNJUELITO</v>
      </c>
      <c r="D2540" s="261" t="str">
        <f>IFERROR(IF(VLOOKUP(A2540,[16]PRIORIZADOS!$A:$D,4,FALSE)="","",VLOOKUP(A2540,[16]PRIORIZADOS!$A:$D,4,FALSE)),"")</f>
        <v>OFICIAL</v>
      </c>
      <c r="E2540" s="261" t="str">
        <f>IFERROR(IF(VLOOKUP(A2540,[16]PRIORIZADOS!$A:$E,5,FALSE)="","",VLOOKUP(A2540,[16]PRIORIZADOS!$A:$E,5,FALSE)),"")</f>
        <v>EPBM</v>
      </c>
      <c r="F2540" s="261" t="str">
        <f>IFERROR(IF(VLOOKUP(A2540,[16]PRIORIZADOS!$A:$F,6,FALSE)="","",VLOOKUP(A2540,[16]PRIORIZADOS!$A:$F,6,FALSE)),"")</f>
        <v>COLEGIO_INEM_SANTIAGO_PEREZ_IED</v>
      </c>
      <c r="G2540" s="261" t="str">
        <f>IFERROR(IF(VLOOKUP(A2540,[16]PRIORIZADOS!$A:$G,7,FALSE)="","",VLOOKUP(A2540,[16]PRIORIZADOS!$A:$G,7,FALSE)),"")</f>
        <v>INEM SANTIAGO PEREZ</v>
      </c>
      <c r="H2540" s="261" t="str">
        <f>IFERROR(IF(VLOOKUP(A2540,[16]PRIORIZADOS!$A:$H,8,FALSE)="","",VLOOKUP(A2540,[16]PRIORIZADOS!$A:$H,8,FALSE)),"")</f>
        <v>Autoevaluación Institucional y Pruebas SABER 11</v>
      </c>
      <c r="I2540" s="261" t="str">
        <f>IFERROR(IF(VLOOKUP(A2540,[16]PRIORIZADOS!$A:$I,9,FALSE)="","",VLOOKUP(A2540,[16]PRIORIZADOS!$A:$I,9,FALSE)),"")</f>
        <v>EVALUACIÓN_CON_FINES_DE_MEJORAMIENTO.</v>
      </c>
      <c r="J2540" s="261" t="str">
        <f>IFERROR(IF(VLOOKUP(A2540,[16]PRIORIZADOS!$A:$J,10,FALSE)="","",VLOOKUP(A2540,[16]PRIORIZADOS!$A:$J,10,FALSE)),"")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40" s="261" t="str">
        <f>IFERROR(IF(VLOOKUP(A2540,[16]PRIORIZADOS!$A:$K,11,FALSE)="","",VLOOKUP(A2540,[16]PRIORIZADOS!$A:$K,11,FALSE)),"")</f>
        <v>SANDRA JAZMÍN BAQUERO CÓRDOBA</v>
      </c>
      <c r="L2540" s="261" t="str">
        <f>IFERROR(IF(VLOOKUP(A2540,[16]PRIORIZADOS!$A:$L,12,FALSE)="","",VLOOKUP(A2540,[16]PRIORIZADOS!$A:$L,12,FALSE)),"")</f>
        <v xml:space="preserve">SANDRA JAZMÍN BAQUERO CÓRDOBA
NELSON AUGUSTO CUBILLOS OLARTE
CLAUDIA PATRICIA GRANADOS FLÓREZ
</v>
      </c>
      <c r="M2540" s="262">
        <f>IFERROR(IF(VLOOKUP(A2540,[16]PRIORIZADOS!$A:$M,13,FALSE)="","",VLOOKUP(A2540,[16]PRIORIZADOS!$A:$M,13,FALSE)),"")</f>
        <v>45814</v>
      </c>
      <c r="N2540" s="262">
        <f>IFERROR(IF(VLOOKUP(A2540,[16]PRIORIZADOS!$A:$N,14,FALSE)="","",VLOOKUP(A2540,[16]PRIORIZADOS!$A:$N,14,FALSE)),"")</f>
        <v>45814</v>
      </c>
      <c r="O2540" s="262">
        <f>IFERROR(IF(VLOOKUP(A2540,[16]PRIORIZADOS!$A:$O,15,FALSE)="","",VLOOKUP(A2540,[16]PRIORIZADOS!$A:$O,15,FALSE)),"")</f>
        <v>45814</v>
      </c>
      <c r="P2540" s="261" t="str">
        <f>IFERROR(IF(VLOOKUP(A2540,[16]PRIORIZADOS!$A:$P,16,FALSE)="","",VLOOKUP(A2540,[16]PRIORIZADOS!$A:$P,16,FALSE)),"")</f>
        <v>Visitas de evaluación con fines de mejoramiento</v>
      </c>
      <c r="Q2540" s="5" t="s">
        <v>498</v>
      </c>
      <c r="R2540" s="261" t="str">
        <f>IFERROR(IF(VLOOKUP(A2540,[16]PRIORIZADOS!$A:$R,18,FALSE)="","",VLOOKUP(A2540,[16]PRIORIZADOS!$A:$R,18,FALSE)),"")</f>
        <v>Se encontró que no contempla los enfoques restauraativo y de género</v>
      </c>
      <c r="S2540" s="261" t="str">
        <f>IFERROR(IF(VLOOKUP(A2540,[16]PRIORIZADOS!$A:$S,19,FALSE)="","",VLOOKUP(A2540,[16]PRIORIZADOS!$A:$S,19,FALSE)),"")</f>
        <v>se solicitó implementar los enfoques en el Manual de Convivencia</v>
      </c>
      <c r="T2540" s="70" t="str">
        <f>IFERROR(IF(VLOOKUP(A2540,[16]PRIORIZADOS!$A:$T,20,FALSE)="","",VLOOKUP(A2540,[16]PRIORIZADOS!$A:$T,20,FALSE)),"")</f>
        <v>Si</v>
      </c>
      <c r="U2540" s="11" t="str">
        <f>IFERROR(IF(VLOOKUP(A2540,[16]PRIORIZADOS!$A:$U,21,FALSE)="","",VLOOKUP(A2540,[16]PRIORIZADOS!$A:$U,21,FALSE)),"")</f>
        <v>Se revisara el plan de mejoramiento aportado para verificar su pertinencia y posterior seguimiento para su cumplimiento</v>
      </c>
    </row>
    <row r="2541" spans="1:21" s="1" customFormat="1" ht="84">
      <c r="A2541" s="69">
        <f>IF([16]PRIORIZADOS!A131="","",[16]PRIORIZADOS!A131)</f>
        <v>2523</v>
      </c>
      <c r="B2541" s="70">
        <v>15</v>
      </c>
      <c r="C2541" s="261" t="str">
        <f>IFERROR(IF(VLOOKUP(A2541,[16]PRIORIZADOS!$A:$C,3,FALSE)="","",VLOOKUP(A2541,[16]PRIORIZADOS!$A:$C,3,FALSE)),"")</f>
        <v>TUNJUELITO</v>
      </c>
      <c r="D2541" s="261" t="str">
        <f>IFERROR(IF(VLOOKUP(A2541,[16]PRIORIZADOS!$A:$D,4,FALSE)="","",VLOOKUP(A2541,[16]PRIORIZADOS!$A:$D,4,FALSE)),"")</f>
        <v>OFICIAL</v>
      </c>
      <c r="E2541" s="261" t="str">
        <f>IFERROR(IF(VLOOKUP(A2541,[16]PRIORIZADOS!$A:$E,5,FALSE)="","",VLOOKUP(A2541,[16]PRIORIZADOS!$A:$E,5,FALSE)),"")</f>
        <v>EPBM</v>
      </c>
      <c r="F2541" s="261" t="str">
        <f>IFERROR(IF(VLOOKUP(A2541,[16]PRIORIZADOS!$A:$F,6,FALSE)="","",VLOOKUP(A2541,[16]PRIORIZADOS!$A:$F,6,FALSE)),"")</f>
        <v>COLEGIO_INEM_SANTIAGO_PEREZ_IED</v>
      </c>
      <c r="G2541" s="261" t="str">
        <f>IFERROR(IF(VLOOKUP(A2541,[16]PRIORIZADOS!$A:$G,7,FALSE)="","",VLOOKUP(A2541,[16]PRIORIZADOS!$A:$G,7,FALSE)),"")</f>
        <v>INEM SANTIAGO PEREZ</v>
      </c>
      <c r="H2541" s="261" t="str">
        <f>IFERROR(IF(VLOOKUP(A2541,[16]PRIORIZADOS!$A:$H,8,FALSE)="","",VLOOKUP(A2541,[16]PRIORIZADOS!$A:$H,8,FALSE)),"")</f>
        <v>Autoevaluación Institucional y Pruebas SABER 11</v>
      </c>
      <c r="I2541" s="261" t="str">
        <f>IFERROR(IF(VLOOKUP(A2541,[16]PRIORIZADOS!$A:$I,9,FALSE)="","",VLOOKUP(A2541,[16]PRIORIZADOS!$A:$I,9,FALSE)),"")</f>
        <v>EVALUACIÓN_CON_FINES_DE_MEJORAMIENTO.</v>
      </c>
      <c r="J2541" s="261" t="str">
        <f>IFERROR(IF(VLOOKUP(A2541,[16]PRIORIZADOS!$A:$J,10,FALSE)="","",VLOOKUP(A2541,[16]PRIORIZADOS!$A:$J,10,FALSE)),"")</f>
        <v>Revisar la actualización, socialización e implementación del Sistema Institucional de Evaluación de Estudiantes - SIEE, en articulación con la actualización del PEI y la normatividad vigente.</v>
      </c>
      <c r="K2541" s="261" t="str">
        <f>IFERROR(IF(VLOOKUP(A2541,[16]PRIORIZADOS!$A:$K,11,FALSE)="","",VLOOKUP(A2541,[16]PRIORIZADOS!$A:$K,11,FALSE)),"")</f>
        <v>SANDRA JAZMÍN BAQUERO CÓRDOBA</v>
      </c>
      <c r="L2541" s="261" t="str">
        <f>IFERROR(IF(VLOOKUP(A2541,[16]PRIORIZADOS!$A:$L,12,FALSE)="","",VLOOKUP(A2541,[16]PRIORIZADOS!$A:$L,12,FALSE)),"")</f>
        <v xml:space="preserve">SANDRA JAZMÍN BAQUERO CÓRDOBA
NELSON AUGUSTO CUBILLOS OLARTE
CLAUDIA PATRICIA GRANADOS FLÓREZ
</v>
      </c>
      <c r="M2541" s="262">
        <f>IFERROR(IF(VLOOKUP(A2541,[16]PRIORIZADOS!$A:$M,13,FALSE)="","",VLOOKUP(A2541,[16]PRIORIZADOS!$A:$M,13,FALSE)),"")</f>
        <v>45814</v>
      </c>
      <c r="N2541" s="262">
        <f>IFERROR(IF(VLOOKUP(A2541,[16]PRIORIZADOS!$A:$N,14,FALSE)="","",VLOOKUP(A2541,[16]PRIORIZADOS!$A:$N,14,FALSE)),"")</f>
        <v>45814</v>
      </c>
      <c r="O2541" s="262">
        <f>IFERROR(IF(VLOOKUP(A2541,[16]PRIORIZADOS!$A:$O,15,FALSE)="","",VLOOKUP(A2541,[16]PRIORIZADOS!$A:$O,15,FALSE)),"")</f>
        <v>45814</v>
      </c>
      <c r="P2541" s="261" t="str">
        <f>IFERROR(IF(VLOOKUP(A2541,[16]PRIORIZADOS!$A:$P,16,FALSE)="","",VLOOKUP(A2541,[16]PRIORIZADOS!$A:$P,16,FALSE)),"")</f>
        <v>Visitas de evaluación con fines de mejoramiento</v>
      </c>
      <c r="Q2541" s="5" t="s">
        <v>498</v>
      </c>
      <c r="R2541" s="261" t="str">
        <f>IFERROR(IF(VLOOKUP(A2541,[16]PRIORIZADOS!$A:$R,18,FALSE)="","",VLOOKUP(A2541,[16]PRIORIZADOS!$A:$R,18,FALSE)),"")</f>
        <v>Se encontró que no contempla las comisiones de promoción y evaluación  pero en la práctica el colegio las realiza Por otro lado,  el horizonte institucional está desactualizado</v>
      </c>
      <c r="S2541" s="261" t="str">
        <f>IFERROR(IF(VLOOKUP(A2541,[16]PRIORIZADOS!$A:$S,19,FALSE)="","",VLOOKUP(A2541,[16]PRIORIZADOS!$A:$S,19,FALSE)),"")</f>
        <v>El colegio debe actualizar el horizonte institucional, además incluir en el SIEE todo lo relacionado con las comisiones de promoción y evaluación</v>
      </c>
      <c r="T2541" s="70" t="str">
        <f>IFERROR(IF(VLOOKUP(A2541,[16]PRIORIZADOS!$A:$T,20,FALSE)="","",VLOOKUP(A2541,[16]PRIORIZADOS!$A:$T,20,FALSE)),"")</f>
        <v>Si</v>
      </c>
      <c r="U2541" s="11" t="str">
        <f>IFERROR(IF(VLOOKUP(A2541,[16]PRIORIZADOS!$A:$U,21,FALSE)="","",VLOOKUP(A2541,[16]PRIORIZADOS!$A:$U,21,FALSE)),"")</f>
        <v>Se revisara el plan de mejoramiento aportado para verificar su pertinencia y posterior seguimiento para su cumplimiento</v>
      </c>
    </row>
    <row r="2542" spans="1:21" s="1" customFormat="1" ht="84">
      <c r="A2542" s="69">
        <f>IF([16]PRIORIZADOS!A132="","",[16]PRIORIZADOS!A132)</f>
        <v>2515</v>
      </c>
      <c r="B2542" s="70">
        <v>15</v>
      </c>
      <c r="C2542" s="261" t="str">
        <f>IFERROR(IF(VLOOKUP(A2542,[16]PRIORIZADOS!$A:$C,3,FALSE)="","",VLOOKUP(A2542,[16]PRIORIZADOS!$A:$C,3,FALSE)),"")</f>
        <v>TUNJUELITO</v>
      </c>
      <c r="D2542" s="261" t="str">
        <f>IFERROR(IF(VLOOKUP(A2542,[16]PRIORIZADOS!$A:$D,4,FALSE)="","",VLOOKUP(A2542,[16]PRIORIZADOS!$A:$D,4,FALSE)),"")</f>
        <v>OFICIAL</v>
      </c>
      <c r="E2542" s="261" t="str">
        <f>IFERROR(IF(VLOOKUP(A2542,[16]PRIORIZADOS!$A:$E,5,FALSE)="","",VLOOKUP(A2542,[16]PRIORIZADOS!$A:$E,5,FALSE)),"")</f>
        <v>EPBM</v>
      </c>
      <c r="F2542" s="261" t="str">
        <f>IFERROR(IF(VLOOKUP(A2542,[16]PRIORIZADOS!$A:$F,6,FALSE)="","",VLOOKUP(A2542,[16]PRIORIZADOS!$A:$F,6,FALSE)),"")</f>
        <v>COLEGIO_SAN_CARLOS_IED</v>
      </c>
      <c r="G2542" s="261" t="str">
        <f>IFERROR(IF(VLOOKUP(A2542,[16]PRIORIZADOS!$A:$G,7,FALSE)="","",VLOOKUP(A2542,[16]PRIORIZADOS!$A:$G,7,FALSE)),"")</f>
        <v>JOSE ANTONIO RICAURTE</v>
      </c>
      <c r="H2542" s="261" t="str">
        <f>IFERROR(IF(VLOOKUP(A2542,[16]PRIORIZADOS!$A:$H,8,FALSE)="","",VLOOKUP(A2542,[16]PRIORIZADOS!$A:$H,8,FALSE)),"")</f>
        <v>Autoevaluación Institucional y Pruebas SABER 11</v>
      </c>
      <c r="I2542" s="261" t="str">
        <f>IFERROR(IF(VLOOKUP(A2542,[16]PRIORIZADOS!$A:$I,9,FALSE)="","",VLOOKUP(A2542,[16]PRIORIZADOS!$A:$I,9,FALSE)),"")</f>
        <v>EVALUACIÓN_CON_FINES_DE_MEJORAMIENTO.</v>
      </c>
      <c r="J2542" s="261" t="str">
        <f>IFERROR(IF(VLOOKUP(A2542,[16]PRIORIZADOS!$A:$J,10,FALSE)="","",VLOOKUP(A2542,[16]PRIORIZADOS!$A:$J,10,FALSE)),"")</f>
        <v>Revisar el calendario escolar, jornada escolar, la intensidad horaria mínima anual en cada nivel y las modificaciones que se realicen al mismo, de acuerdo con lo previsto en la normatividad vigente.</v>
      </c>
      <c r="K2542" s="261" t="str">
        <f>IFERROR(IF(VLOOKUP(A2542,[16]PRIORIZADOS!$A:$K,11,FALSE)="","",VLOOKUP(A2542,[16]PRIORIZADOS!$A:$K,11,FALSE)),"")</f>
        <v>CLAUDIA PATRICIA GRANADOS FLÓREZ</v>
      </c>
      <c r="L2542" s="261" t="str">
        <f>IFERROR(IF(VLOOKUP(A2542,[16]PRIORIZADOS!$A:$L,12,FALSE)="","",VLOOKUP(A2542,[16]PRIORIZADOS!$A:$L,12,FALSE)),"")</f>
        <v xml:space="preserve">SANDRA JAZMÍN BAQUERO CÓRDOBA
NELSON AUGUSTO CUBILLOS OLARTE
CLAUDIA PATRICIA GRANADOS FLÓREZ
</v>
      </c>
      <c r="M2542" s="262">
        <f>IFERROR(IF(VLOOKUP(A2542,[16]PRIORIZADOS!$A:$M,13,FALSE)="","",VLOOKUP(A2542,[16]PRIORIZADOS!$A:$M,13,FALSE)),"")</f>
        <v>45805</v>
      </c>
      <c r="N2542" s="262">
        <f>IFERROR(IF(VLOOKUP(A2542,[16]PRIORIZADOS!$A:$N,14,FALSE)="","",VLOOKUP(A2542,[16]PRIORIZADOS!$A:$N,14,FALSE)),"")</f>
        <v>45791</v>
      </c>
      <c r="O2542" s="262">
        <f>IFERROR(IF(VLOOKUP(A2542,[16]PRIORIZADOS!$A:$O,15,FALSE)="","",VLOOKUP(A2542,[16]PRIORIZADOS!$A:$O,15,FALSE)),"")</f>
        <v>45791</v>
      </c>
      <c r="P2542" s="261" t="str">
        <f>IFERROR(IF(VLOOKUP(A2542,[16]PRIORIZADOS!$A:$P,16,FALSE)="","",VLOOKUP(A2542,[16]PRIORIZADOS!$A:$P,16,FALSE)),"")</f>
        <v>Revisión documental</v>
      </c>
      <c r="Q2542" s="5" t="s">
        <v>498</v>
      </c>
      <c r="R2542" s="261" t="str">
        <f>IFERROR(IF(VLOOKUP(A2542,[16]PRIORIZADOS!$A:$R,18,FALSE)="","",VLOOKUP(A2542,[16]PRIORIZADOS!$A:$R,18,FALSE)),"")</f>
        <v>Cumple con cuarenta (40) semanas lectivas de trabajo académico con estudiantes, por lo tanto, se ajusta a lo estipulado en la “Ley 115 de 1994, Artículo 86º.-</v>
      </c>
      <c r="S2542" s="261" t="str">
        <f>IFERROR(IF(VLOOKUP(A2542,[16]PRIORIZADOS!$A:$S,19,FALSE)="","",VLOOKUP(A2542,[16]PRIORIZADOS!$A:$S,19,FALSE)),"")</f>
        <v>Se dan orientaciones al respecto para mayor claridad</v>
      </c>
      <c r="T2542" s="70" t="str">
        <f>IFERROR(IF(VLOOKUP(A2542,[16]PRIORIZADOS!$A:$T,20,FALSE)="","",VLOOKUP(A2542,[16]PRIORIZADOS!$A:$T,20,FALSE)),"")</f>
        <v>No</v>
      </c>
      <c r="U2542" s="11" t="str">
        <f>IFERROR(IF(VLOOKUP(A2542,[16]PRIORIZADOS!$A:$U,21,FALSE)="","",VLOOKUP(A2542,[16]PRIORIZADOS!$A:$U,21,FALSE)),"")</f>
        <v>Realizar seguimiento al calendario presentado por la IE</v>
      </c>
    </row>
    <row r="2543" spans="1:21" s="1" customFormat="1" ht="84">
      <c r="A2543" s="69">
        <f>IF([16]PRIORIZADOS!A133="","",[16]PRIORIZADOS!A133)</f>
        <v>2524</v>
      </c>
      <c r="B2543" s="70">
        <v>15</v>
      </c>
      <c r="C2543" s="261" t="str">
        <f>IFERROR(IF(VLOOKUP(A2543,[16]PRIORIZADOS!$A:$C,3,FALSE)="","",VLOOKUP(A2543,[16]PRIORIZADOS!$A:$C,3,FALSE)),"")</f>
        <v>TUNJUELITO</v>
      </c>
      <c r="D2543" s="261" t="str">
        <f>IFERROR(IF(VLOOKUP(A2543,[16]PRIORIZADOS!$A:$D,4,FALSE)="","",VLOOKUP(A2543,[16]PRIORIZADOS!$A:$D,4,FALSE)),"")</f>
        <v>OFICIAL</v>
      </c>
      <c r="E2543" s="261" t="str">
        <f>IFERROR(IF(VLOOKUP(A2543,[16]PRIORIZADOS!$A:$E,5,FALSE)="","",VLOOKUP(A2543,[16]PRIORIZADOS!$A:$E,5,FALSE)),"")</f>
        <v>EPBM</v>
      </c>
      <c r="F2543" s="261" t="str">
        <f>IFERROR(IF(VLOOKUP(A2543,[16]PRIORIZADOS!$A:$F,6,FALSE)="","",VLOOKUP(A2543,[16]PRIORIZADOS!$A:$F,6,FALSE)),"")</f>
        <v>COLEGIO_INEM_SANTIAGO_PEREZ_IED</v>
      </c>
      <c r="G2543" s="261" t="str">
        <f>IFERROR(IF(VLOOKUP(A2543,[16]PRIORIZADOS!$A:$G,7,FALSE)="","",VLOOKUP(A2543,[16]PRIORIZADOS!$A:$G,7,FALSE)),"")</f>
        <v>INEM SANTIAGO PEREZ</v>
      </c>
      <c r="H2543" s="261" t="str">
        <f>IFERROR(IF(VLOOKUP(A2543,[16]PRIORIZADOS!$A:$H,8,FALSE)="","",VLOOKUP(A2543,[16]PRIORIZADOS!$A:$H,8,FALSE)),"")</f>
        <v>Autoevaluación Institucional y Pruebas SABER 11</v>
      </c>
      <c r="I2543" s="261" t="str">
        <f>IFERROR(IF(VLOOKUP(A2543,[16]PRIORIZADOS!$A:$I,9,FALSE)="","",VLOOKUP(A2543,[16]PRIORIZADOS!$A:$I,9,FALSE)),"")</f>
        <v>EVALUACIÓN_CON_FINES_DE_MEJORAMIENTO.</v>
      </c>
      <c r="J2543" s="261" t="str">
        <f>IFERROR(IF(VLOOKUP(A2543,[16]PRIORIZADOS!$A:$J,10,FALSE)="","",VLOOKUP(A2543,[16]PRIORIZADOS!$A:$J,10,FALSE)),"")</f>
        <v>Verificar el funcionamiento del Gobierno Escolar e instancias de participación con base en la información sobre conformación reportada por la institución educativa.</v>
      </c>
      <c r="K2543" s="261" t="str">
        <f>IFERROR(IF(VLOOKUP(A2543,[16]PRIORIZADOS!$A:$K,11,FALSE)="","",VLOOKUP(A2543,[16]PRIORIZADOS!$A:$K,11,FALSE)),"")</f>
        <v>SANDRA JAZMÍN BAQUERO CÓRDOBA</v>
      </c>
      <c r="L2543" s="261" t="str">
        <f>IFERROR(IF(VLOOKUP(A2543,[16]PRIORIZADOS!$A:$L,12,FALSE)="","",VLOOKUP(A2543,[16]PRIORIZADOS!$A:$L,12,FALSE)),"")</f>
        <v xml:space="preserve">SANDRA JAZMÍN BAQUERO CÓRDOBA
NELSON AUGUSTO CUBILLOS OLARTE
CLAUDIA PATRICIA GRANADOS FLÓREZ
</v>
      </c>
      <c r="M2543" s="262">
        <f>IFERROR(IF(VLOOKUP(A2543,[16]PRIORIZADOS!$A:$M,13,FALSE)="","",VLOOKUP(A2543,[16]PRIORIZADOS!$A:$M,13,FALSE)),"")</f>
        <v>45814</v>
      </c>
      <c r="N2543" s="262">
        <f>IFERROR(IF(VLOOKUP(A2543,[16]PRIORIZADOS!$A:$N,14,FALSE)="","",VLOOKUP(A2543,[16]PRIORIZADOS!$A:$N,14,FALSE)),"")</f>
        <v>45814</v>
      </c>
      <c r="O2543" s="262">
        <f>IFERROR(IF(VLOOKUP(A2543,[16]PRIORIZADOS!$A:$O,15,FALSE)="","",VLOOKUP(A2543,[16]PRIORIZADOS!$A:$O,15,FALSE)),"")</f>
        <v>45814</v>
      </c>
      <c r="P2543" s="261" t="str">
        <f>IFERROR(IF(VLOOKUP(A2543,[16]PRIORIZADOS!$A:$P,16,FALSE)="","",VLOOKUP(A2543,[16]PRIORIZADOS!$A:$P,16,FALSE)),"")</f>
        <v>Visitas de evaluación con fines de mejoramiento</v>
      </c>
      <c r="Q2543" s="5" t="s">
        <v>498</v>
      </c>
      <c r="R2543" s="261" t="str">
        <f>IFERROR(IF(VLOOKUP(A2543,[16]PRIORIZADOS!$A:$R,18,FALSE)="","",VLOOKUP(A2543,[16]PRIORIZADOS!$A:$R,18,FALSE)),"")</f>
        <v>Se encontró que el Gobierno Escolar es operativo</v>
      </c>
      <c r="S2543" s="261" t="str">
        <f>IFERROR(IF(VLOOKUP(A2543,[16]PRIORIZADOS!$A:$S,19,FALSE)="","",VLOOKUP(A2543,[16]PRIORIZADOS!$A:$S,19,FALSE)),"")</f>
        <v>El gobierno escolar funciona y se registra en las actas la periodicidad de las reuniones</v>
      </c>
      <c r="T2543" s="70" t="str">
        <f>IFERROR(IF(VLOOKUP(A2543,[16]PRIORIZADOS!$A:$T,20,FALSE)="","",VLOOKUP(A2543,[16]PRIORIZADOS!$A:$T,20,FALSE)),"")</f>
        <v>No</v>
      </c>
      <c r="U2543" s="11" t="str">
        <f>IFERROR(IF(VLOOKUP(A2543,[16]PRIORIZADOS!$A:$U,21,FALSE)="","",VLOOKUP(A2543,[16]PRIORIZADOS!$A:$U,21,FALSE)),"")</f>
        <v>Se verificará en la conformación y el funcionamiento en el siguiente año escolar</v>
      </c>
    </row>
    <row r="2544" spans="1:21" s="1" customFormat="1" ht="84">
      <c r="A2544" s="69">
        <f>IF([16]PRIORIZADOS!A134="","",[16]PRIORIZADOS!A134)</f>
        <v>2525</v>
      </c>
      <c r="B2544" s="70">
        <v>15</v>
      </c>
      <c r="C2544" s="261" t="str">
        <f>IFERROR(IF(VLOOKUP(A2544,[16]PRIORIZADOS!$A:$C,3,FALSE)="","",VLOOKUP(A2544,[16]PRIORIZADOS!$A:$C,3,FALSE)),"")</f>
        <v>TUNJUELITO</v>
      </c>
      <c r="D2544" s="261" t="str">
        <f>IFERROR(IF(VLOOKUP(A2544,[16]PRIORIZADOS!$A:$D,4,FALSE)="","",VLOOKUP(A2544,[16]PRIORIZADOS!$A:$D,4,FALSE)),"")</f>
        <v>OFICIAL</v>
      </c>
      <c r="E2544" s="261" t="str">
        <f>IFERROR(IF(VLOOKUP(A2544,[16]PRIORIZADOS!$A:$E,5,FALSE)="","",VLOOKUP(A2544,[16]PRIORIZADOS!$A:$E,5,FALSE)),"")</f>
        <v>EPBM</v>
      </c>
      <c r="F2544" s="261" t="str">
        <f>IFERROR(IF(VLOOKUP(A2544,[16]PRIORIZADOS!$A:$F,6,FALSE)="","",VLOOKUP(A2544,[16]PRIORIZADOS!$A:$F,6,FALSE)),"")</f>
        <v>COLEGIO_INEM_SANTIAGO_PEREZ_IED</v>
      </c>
      <c r="G2544" s="261" t="str">
        <f>IFERROR(IF(VLOOKUP(A2544,[16]PRIORIZADOS!$A:$G,7,FALSE)="","",VLOOKUP(A2544,[16]PRIORIZADOS!$A:$G,7,FALSE)),"")</f>
        <v>INEM SANTIAGO PEREZ</v>
      </c>
      <c r="H2544" s="261" t="str">
        <f>IFERROR(IF(VLOOKUP(A2544,[16]PRIORIZADOS!$A:$H,8,FALSE)="","",VLOOKUP(A2544,[16]PRIORIZADOS!$A:$H,8,FALSE)),"")</f>
        <v>Autoevaluación Institucional y Pruebas SABER 11</v>
      </c>
      <c r="I2544" s="261" t="str">
        <f>IFERROR(IF(VLOOKUP(A2544,[16]PRIORIZADOS!$A:$I,9,FALSE)="","",VLOOKUP(A2544,[16]PRIORIZADOS!$A:$I,9,FALSE)),"")</f>
        <v>EVALUACIÓN_CON_FINES_DE_MEJORAMIENTO.</v>
      </c>
      <c r="J2544" s="261" t="str">
        <f>IFERROR(IF(VLOOKUP(A2544,[16]PRIORIZADOS!$A:$J,10,FALSE)="","",VLOOKUP(A2544,[16]PRIORIZADOS!$A:$J,10,FALSE)),"")</f>
        <v>Verificar las condiciones en cuanto a: la estructura administrativa, condiciones de la planta física y medios educativos adecuados.</v>
      </c>
      <c r="K2544" s="261" t="str">
        <f>IFERROR(IF(VLOOKUP(A2544,[16]PRIORIZADOS!$A:$K,11,FALSE)="","",VLOOKUP(A2544,[16]PRIORIZADOS!$A:$K,11,FALSE)),"")</f>
        <v>SANDRA JAZMÍN BAQUERO CÓRDOBA</v>
      </c>
      <c r="L2544" s="261" t="str">
        <f>IFERROR(IF(VLOOKUP(A2544,[16]PRIORIZADOS!$A:$L,12,FALSE)="","",VLOOKUP(A2544,[16]PRIORIZADOS!$A:$L,12,FALSE)),"")</f>
        <v xml:space="preserve">SANDRA JAZMÍN BAQUERO CÓRDOBA
NELSON AUGUSTO CUBILLOS OLARTE
CLAUDIA PATRICIA GRANADOS FLÓREZ
</v>
      </c>
      <c r="M2544" s="262">
        <f>IFERROR(IF(VLOOKUP(A2544,[16]PRIORIZADOS!$A:$M,13,FALSE)="","",VLOOKUP(A2544,[16]PRIORIZADOS!$A:$M,13,FALSE)),"")</f>
        <v>45814</v>
      </c>
      <c r="N2544" s="262">
        <f>IFERROR(IF(VLOOKUP(A2544,[16]PRIORIZADOS!$A:$N,14,FALSE)="","",VLOOKUP(A2544,[16]PRIORIZADOS!$A:$N,14,FALSE)),"")</f>
        <v>45814</v>
      </c>
      <c r="O2544" s="262">
        <f>IFERROR(IF(VLOOKUP(A2544,[16]PRIORIZADOS!$A:$O,15,FALSE)="","",VLOOKUP(A2544,[16]PRIORIZADOS!$A:$O,15,FALSE)),"")</f>
        <v>45814</v>
      </c>
      <c r="P2544" s="261" t="str">
        <f>IFERROR(IF(VLOOKUP(A2544,[16]PRIORIZADOS!$A:$P,16,FALSE)="","",VLOOKUP(A2544,[16]PRIORIZADOS!$A:$P,16,FALSE)),"")</f>
        <v>Visitas de evaluación con fines de mejoramiento</v>
      </c>
      <c r="Q2544" s="5" t="s">
        <v>498</v>
      </c>
      <c r="R2544" s="261" t="str">
        <f>IFERROR(IF(VLOOKUP(A2544,[16]PRIORIZADOS!$A:$R,18,FALSE)="","",VLOOKUP(A2544,[16]PRIORIZADOS!$A:$R,18,FALSE)),"")</f>
        <v>La planta física del colegio se encuentra en regular estado de conservación y le falta dotación</v>
      </c>
      <c r="S2544" s="261" t="str">
        <f>IFERROR(IF(VLOOKUP(A2544,[16]PRIORIZADOS!$A:$S,19,FALSE)="","",VLOOKUP(A2544,[16]PRIORIZADOS!$A:$S,19,FALSE)),"")</f>
        <v>El colegio debe oficiar a dotaciones y realizar un mejor mantenimiento de la planta física</v>
      </c>
      <c r="T2544" s="70" t="str">
        <f>IFERROR(IF(VLOOKUP(A2544,[16]PRIORIZADOS!$A:$T,20,FALSE)="","",VLOOKUP(A2544,[16]PRIORIZADOS!$A:$T,20,FALSE)),"")</f>
        <v>Si</v>
      </c>
      <c r="U2544" s="11" t="str">
        <f>IFERROR(IF(VLOOKUP(A2544,[16]PRIORIZADOS!$A:$U,21,FALSE)="","",VLOOKUP(A2544,[16]PRIORIZADOS!$A:$U,21,FALSE)),"")</f>
        <v>Se verificará en la conformación y el funcionamiento en el siguiente año escolar</v>
      </c>
    </row>
    <row r="2545" spans="1:21" s="1" customFormat="1" ht="84">
      <c r="A2545" s="69">
        <f>IF([16]PRIORIZADOS!A135="","",[16]PRIORIZADOS!A135)</f>
        <v>2527</v>
      </c>
      <c r="B2545" s="70">
        <f>IFERROR(IF(VLOOKUP(A2545,[16]PRIORIZADOS!$A:$B,2,FALSE)="","",VLOOKUP(A2545,[16]PRIORIZADOS!$A:$B,2,FALSE)),"")</f>
        <v>16</v>
      </c>
      <c r="C2545" s="261" t="str">
        <f>IFERROR(IF(VLOOKUP(A2545,[16]PRIORIZADOS!$A:$C,3,FALSE)="","",VLOOKUP(A2545,[16]PRIORIZADOS!$A:$C,3,FALSE)),"")</f>
        <v>TUNJUELITO</v>
      </c>
      <c r="D2545" s="261" t="str">
        <f>IFERROR(IF(VLOOKUP(A2545,[16]PRIORIZADOS!$A:$D,4,FALSE)="","",VLOOKUP(A2545,[16]PRIORIZADOS!$A:$D,4,FALSE)),"")</f>
        <v>OFICIAL</v>
      </c>
      <c r="E2545" s="261" t="str">
        <f>IFERROR(IF(VLOOKUP(A2545,[16]PRIORIZADOS!$A:$E,5,FALSE)="","",VLOOKUP(A2545,[16]PRIORIZADOS!$A:$E,5,FALSE)),"")</f>
        <v>EPBM</v>
      </c>
      <c r="F2545" s="261" t="str">
        <f>IFERROR(IF(VLOOKUP(A2545,[16]PRIORIZADOS!$A:$F,6,FALSE)="","",VLOOKUP(A2545,[16]PRIORIZADOS!$A:$F,6,FALSE)),"")</f>
        <v>COLEGIO_INSTITUTO_TECNICO_INDUSTRIAL_PILOTO_IED</v>
      </c>
      <c r="G2545" s="261" t="str">
        <f>IFERROR(IF(VLOOKUP(A2545,[16]PRIORIZADOS!$A:$G,7,FALSE)="","",VLOOKUP(A2545,[16]PRIORIZADOS!$A:$G,7,FALSE)),"")</f>
        <v>PILOTO</v>
      </c>
      <c r="H2545" s="261" t="str">
        <f>IFERROR(IF(VLOOKUP(A2545,[16]PRIORIZADOS!$A:$H,8,FALSE)="","",VLOOKUP(A2545,[16]PRIORIZADOS!$A:$H,8,FALSE)),"")</f>
        <v>Convivencia escolar</v>
      </c>
      <c r="I2545" s="261" t="str">
        <f>IFERROR(IF(VLOOKUP(A2545,[16]PRIORIZADOS!$A:$I,9,FALSE)="","",VLOOKUP(A2545,[16]PRIORIZADOS!$A:$I,9,FALSE)),"")</f>
        <v>SEGUIMIENTO_Y_SUPERVISIÓN.</v>
      </c>
      <c r="J2545" s="261" t="str">
        <f>IFERROR(IF(VLOOKUP(A2545,[16]PRIORIZADOS!$A:$J,10,FALSE)="","",VLOOKUP(A2545,[16]PRIORIZADOS!$A:$J,10,FALSE)),"")</f>
        <v xml:space="preserve">Verificar la implementación por parte de los colegios, de acciones realizadas para la prevención y atención de las situaciones de convivencia en el entorno escolar, según lo establecido en la Directiva 01 de 2022 del MEN. </v>
      </c>
      <c r="K2545" s="261" t="str">
        <f>IFERROR(IF(VLOOKUP(A2545,[16]PRIORIZADOS!$A:$K,11,FALSE)="","",VLOOKUP(A2545,[16]PRIORIZADOS!$A:$K,11,FALSE)),"")</f>
        <v>NELSON AUGUSTO CUBILLOS OLARTE</v>
      </c>
      <c r="L2545" s="261" t="str">
        <f>IFERROR(IF(VLOOKUP(A2545,[16]PRIORIZADOS!$A:$L,12,FALSE)="","",VLOOKUP(A2545,[16]PRIORIZADOS!$A:$L,12,FALSE)),"")</f>
        <v xml:space="preserve">SANDRA JAZMÍN BAQUERO CÓRDOBA
NELSON AUGUSTO CUBILLOS OLARTE
CLAUDIA PATRICIA GRANADOS FLÓREZ
</v>
      </c>
      <c r="M2545" s="262">
        <f>IFERROR(IF(VLOOKUP(A2545,[16]PRIORIZADOS!$A:$M,13,FALSE)="","",VLOOKUP(A2545,[16]PRIORIZADOS!$A:$M,13,FALSE)),"")</f>
        <v>45756</v>
      </c>
      <c r="N2545" s="262">
        <f>IFERROR(IF(VLOOKUP(A2545,[16]PRIORIZADOS!$A:$N,14,FALSE)="","",VLOOKUP(A2545,[16]PRIORIZADOS!$A:$N,14,FALSE)),"")</f>
        <v>45857</v>
      </c>
      <c r="O2545" s="262" t="str">
        <f>IFERROR(IF(VLOOKUP(A2545,[16]PRIORIZADOS!$A:$O,15,FALSE)="","",VLOOKUP(A2545,[16]PRIORIZADOS!$A:$O,15,FALSE)),"")</f>
        <v>29/07/2025</v>
      </c>
      <c r="P2545" s="261" t="str">
        <f>IFERROR(IF(VLOOKUP(A2545,[16]PRIORIZADOS!$A:$P,16,FALSE)="","",VLOOKUP(A2545,[16]PRIORIZADOS!$A:$P,16,FALSE)),"")</f>
        <v>Visitas de evaluación con fines de seguimiento</v>
      </c>
      <c r="Q2545" s="260" t="s">
        <v>499</v>
      </c>
      <c r="R2545" s="261" t="str">
        <f>IFERROR(IF(VLOOKUP(A2545,[16]PRIORIZADOS!$A:$R,18,FALSE)="","",VLOOKUP(A2545,[16]PRIORIZADOS!$A:$R,18,FALSE)),"")</f>
        <v>Se realizan acciones de promoción y prevención con los docentes y los estudiantes, se activan los protocolos y se realiza acompañamiento por parte de orientación en la institución.</v>
      </c>
      <c r="S2545" s="261" t="str">
        <f>IFERROR(IF(VLOOKUP(A2545,[16]PRIORIZADOS!$A:$S,19,FALSE)="","",VLOOKUP(A2545,[16]PRIORIZADOS!$A:$S,19,FALSE)),"")</f>
        <v>Se deben reforzar las evidencias como las actas de la formación docnete entre otras,.</v>
      </c>
      <c r="T2545" s="70" t="str">
        <f>IFERROR(IF(VLOOKUP(A2545,[16]PRIORIZADOS!$A:$T,20,FALSE)="","",VLOOKUP(A2545,[16]PRIORIZADOS!$A:$T,20,FALSE)),"")</f>
        <v>No</v>
      </c>
      <c r="U2545" s="11" t="str">
        <f>IFERROR(IF(VLOOKUP(A2545,[16]PRIORIZADOS!$A:$U,21,FALSE)="","",VLOOKUP(A2545,[16]PRIORIZADOS!$A:$U,21,FALSE)),"")</f>
        <v>Se verificará en el año entrante</v>
      </c>
    </row>
    <row r="2546" spans="1:21" s="1" customFormat="1" ht="84">
      <c r="A2546" s="69">
        <f>IF([16]PRIORIZADOS!A136="","",[16]PRIORIZADOS!A136)</f>
        <v>2528</v>
      </c>
      <c r="B2546" s="70">
        <v>16</v>
      </c>
      <c r="C2546" s="261" t="str">
        <f>IFERROR(IF(VLOOKUP(A2546,[16]PRIORIZADOS!$A:$C,3,FALSE)="","",VLOOKUP(A2546,[16]PRIORIZADOS!$A:$C,3,FALSE)),"")</f>
        <v>TUNJUELITO</v>
      </c>
      <c r="D2546" s="261" t="str">
        <f>IFERROR(IF(VLOOKUP(A2546,[16]PRIORIZADOS!$A:$D,4,FALSE)="","",VLOOKUP(A2546,[16]PRIORIZADOS!$A:$D,4,FALSE)),"")</f>
        <v>OFICIAL</v>
      </c>
      <c r="E2546" s="261" t="str">
        <f>IFERROR(IF(VLOOKUP(A2546,[16]PRIORIZADOS!$A:$E,5,FALSE)="","",VLOOKUP(A2546,[16]PRIORIZADOS!$A:$E,5,FALSE)),"")</f>
        <v>EPBM</v>
      </c>
      <c r="F2546" s="261" t="str">
        <f>IFERROR(IF(VLOOKUP(A2546,[16]PRIORIZADOS!$A:$F,6,FALSE)="","",VLOOKUP(A2546,[16]PRIORIZADOS!$A:$F,6,FALSE)),"")</f>
        <v>COLEGIO_INSTITUTO_TECNICO_INDUSTRIAL_PILOTO_IED</v>
      </c>
      <c r="G2546" s="261" t="str">
        <f>IFERROR(IF(VLOOKUP(A2546,[16]PRIORIZADOS!$A:$G,7,FALSE)="","",VLOOKUP(A2546,[16]PRIORIZADOS!$A:$G,7,FALSE)),"")</f>
        <v>PILOTO</v>
      </c>
      <c r="H2546" s="261" t="str">
        <f>IFERROR(IF(VLOOKUP(A2546,[16]PRIORIZADOS!$A:$H,8,FALSE)="","",VLOOKUP(A2546,[16]PRIORIZADOS!$A:$H,8,FALSE)),"")</f>
        <v>Convivencia escolar</v>
      </c>
      <c r="I2546" s="261" t="str">
        <f>IFERROR(IF(VLOOKUP(A2546,[16]PRIORIZADOS!$A:$I,9,FALSE)="","",VLOOKUP(A2546,[16]PRIORIZADOS!$A:$I,9,FALSE)),"")</f>
        <v>SEGUIMIENTO_Y_SUPERVISIÓN.</v>
      </c>
      <c r="J2546" s="261" t="str">
        <f>IFERROR(IF(VLOOKUP(A2546,[16]PRIORIZADOS!$A:$J,10,FALSE)="","",VLOOKUP(A2546,[16]PRIORIZADOS!$A:$J,10,FALSE)),"")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46" s="261" t="str">
        <f>IFERROR(IF(VLOOKUP(A2546,[16]PRIORIZADOS!$A:$K,11,FALSE)="","",VLOOKUP(A2546,[16]PRIORIZADOS!$A:$K,11,FALSE)),"")</f>
        <v>NELSON AUGUSTO CUBILLOS OLARTE</v>
      </c>
      <c r="L2546" s="261" t="str">
        <f>IFERROR(IF(VLOOKUP(A2546,[16]PRIORIZADOS!$A:$L,12,FALSE)="","",VLOOKUP(A2546,[16]PRIORIZADOS!$A:$L,12,FALSE)),"")</f>
        <v xml:space="preserve">SANDRA JAZMÍN BAQUERO CÓRDOBA
NELSON AUGUSTO CUBILLOS OLARTE
CLAUDIA PATRICIA GRANADOS FLÓREZ
</v>
      </c>
      <c r="M2546" s="262">
        <f>IFERROR(IF(VLOOKUP(A2546,[16]PRIORIZADOS!$A:$M,13,FALSE)="","",VLOOKUP(A2546,[16]PRIORIZADOS!$A:$M,13,FALSE)),"")</f>
        <v>45756</v>
      </c>
      <c r="N2546" s="262">
        <f>IFERROR(IF(VLOOKUP(A2546,[16]PRIORIZADOS!$A:$N,14,FALSE)="","",VLOOKUP(A2546,[16]PRIORIZADOS!$A:$N,14,FALSE)),"")</f>
        <v>45867</v>
      </c>
      <c r="O2546" s="262" t="str">
        <f>IFERROR(IF(VLOOKUP(A2546,[16]PRIORIZADOS!$A:$O,15,FALSE)="","",VLOOKUP(A2546,[16]PRIORIZADOS!$A:$O,15,FALSE)),"")</f>
        <v>29/07/2025</v>
      </c>
      <c r="P2546" s="261" t="str">
        <f>IFERROR(IF(VLOOKUP(A2546,[16]PRIORIZADOS!$A:$P,16,FALSE)="","",VLOOKUP(A2546,[16]PRIORIZADOS!$A:$P,16,FALSE)),"")</f>
        <v>Visitas de evaluación con fines de seguimiento</v>
      </c>
      <c r="Q2546" s="260" t="s">
        <v>499</v>
      </c>
      <c r="R2546" s="261" t="str">
        <f>IFERROR(IF(VLOOKUP(A2546,[16]PRIORIZADOS!$A:$R,18,FALSE)="","",VLOOKUP(A2546,[16]PRIORIZADOS!$A:$R,18,FALSE)),"")</f>
        <v>Todos los casos marcados en el SIMAT como discapacidad tienen sus respectivoas PIAR en el formato del MEN</v>
      </c>
      <c r="S2546" s="261" t="str">
        <f>IFERROR(IF(VLOOKUP(A2546,[16]PRIORIZADOS!$A:$S,19,FALSE)="","",VLOOKUP(A2546,[16]PRIORIZADOS!$A:$S,19,FALSE)),"")</f>
        <v>Se deben ajustar las concepciones de barreras y revisar periodicamente su consecución.</v>
      </c>
      <c r="T2546" s="70" t="str">
        <f>IFERROR(IF(VLOOKUP(A2546,[16]PRIORIZADOS!$A:$T,20,FALSE)="","",VLOOKUP(A2546,[16]PRIORIZADOS!$A:$T,20,FALSE)),"")</f>
        <v>No</v>
      </c>
      <c r="U2546" s="11" t="str">
        <f>IFERROR(IF(VLOOKUP(A2546,[16]PRIORIZADOS!$A:$U,21,FALSE)="","",VLOOKUP(A2546,[16]PRIORIZADOS!$A:$U,21,FALSE)),"")</f>
        <v>Se continúa con el seguimiento debido a los casos reportados.</v>
      </c>
    </row>
    <row r="2547" spans="1:21" s="1" customFormat="1" ht="84">
      <c r="A2547" s="69">
        <f>IF([16]PRIORIZADOS!A137="","",[16]PRIORIZADOS!A137)</f>
        <v>2530</v>
      </c>
      <c r="B2547" s="70">
        <v>16</v>
      </c>
      <c r="C2547" s="261" t="str">
        <f>IFERROR(IF(VLOOKUP(A2547,[16]PRIORIZADOS!$A:$C,3,FALSE)="","",VLOOKUP(A2547,[16]PRIORIZADOS!$A:$C,3,FALSE)),"")</f>
        <v>TUNJUELITO</v>
      </c>
      <c r="D2547" s="261" t="str">
        <f>IFERROR(IF(VLOOKUP(A2547,[16]PRIORIZADOS!$A:$D,4,FALSE)="","",VLOOKUP(A2547,[16]PRIORIZADOS!$A:$D,4,FALSE)),"")</f>
        <v>OFICIAL</v>
      </c>
      <c r="E2547" s="261" t="str">
        <f>IFERROR(IF(VLOOKUP(A2547,[16]PRIORIZADOS!$A:$E,5,FALSE)="","",VLOOKUP(A2547,[16]PRIORIZADOS!$A:$E,5,FALSE)),"")</f>
        <v>EPBM</v>
      </c>
      <c r="F2547" s="261" t="str">
        <f>IFERROR(IF(VLOOKUP(A2547,[16]PRIORIZADOS!$A:$F,6,FALSE)="","",VLOOKUP(A2547,[16]PRIORIZADOS!$A:$F,6,FALSE)),"")</f>
        <v>COLEGIO_INSTITUTO_TECNICO_INDUSTRIAL_PILOTO_IED</v>
      </c>
      <c r="G2547" s="261" t="str">
        <f>IFERROR(IF(VLOOKUP(A2547,[16]PRIORIZADOS!$A:$G,7,FALSE)="","",VLOOKUP(A2547,[16]PRIORIZADOS!$A:$G,7,FALSE)),"")</f>
        <v>PILOTO</v>
      </c>
      <c r="H2547" s="261" t="str">
        <f>IFERROR(IF(VLOOKUP(A2547,[16]PRIORIZADOS!$A:$H,8,FALSE)="","",VLOOKUP(A2547,[16]PRIORIZADOS!$A:$H,8,FALSE)),"")</f>
        <v>Convivencia escolar</v>
      </c>
      <c r="I2547" s="261" t="str">
        <f>IFERROR(IF(VLOOKUP(A2547,[16]PRIORIZADOS!$A:$I,9,FALSE)="","",VLOOKUP(A2547,[16]PRIORIZADOS!$A:$I,9,FALSE)),"")</f>
        <v>EVALUACIÓN_CON_FINES_DE_MEJORAMIENTO.</v>
      </c>
      <c r="J2547" s="261" t="str">
        <f>IFERROR(IF(VLOOKUP(A2547,[16]PRIORIZADOS!$A:$J,10,FALSE)="","",VLOOKUP(A2547,[16]PRIORIZADOS!$A:$J,10,FALSE)),"")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47" s="261" t="str">
        <f>IFERROR(IF(VLOOKUP(A2547,[16]PRIORIZADOS!$A:$K,11,FALSE)="","",VLOOKUP(A2547,[16]PRIORIZADOS!$A:$K,11,FALSE)),"")</f>
        <v>NELSON AUGUSTO CUBILLOS OLARTE</v>
      </c>
      <c r="L2547" s="261" t="str">
        <f>IFERROR(IF(VLOOKUP(A2547,[16]PRIORIZADOS!$A:$L,12,FALSE)="","",VLOOKUP(A2547,[16]PRIORIZADOS!$A:$L,12,FALSE)),"")</f>
        <v xml:space="preserve">SANDRA JAZMÍN BAQUERO CÓRDOBA
NELSON AUGUSTO CUBILLOS OLARTE
CLAUDIA PATRICIA GRANADOS FLÓREZ
</v>
      </c>
      <c r="M2547" s="262">
        <f>IFERROR(IF(VLOOKUP(A2547,[16]PRIORIZADOS!$A:$M,13,FALSE)="","",VLOOKUP(A2547,[16]PRIORIZADOS!$A:$M,13,FALSE)),"")</f>
        <v>45756</v>
      </c>
      <c r="N2547" s="262">
        <f>IFERROR(IF(VLOOKUP(A2547,[16]PRIORIZADOS!$A:$N,14,FALSE)="","",VLOOKUP(A2547,[16]PRIORIZADOS!$A:$N,14,FALSE)),"")</f>
        <v>45867</v>
      </c>
      <c r="O2547" s="262" t="str">
        <f>IFERROR(IF(VLOOKUP(A2547,[16]PRIORIZADOS!$A:$O,15,FALSE)="","",VLOOKUP(A2547,[16]PRIORIZADOS!$A:$O,15,FALSE)),"")</f>
        <v>29/07/2025</v>
      </c>
      <c r="P2547" s="261" t="str">
        <f>IFERROR(IF(VLOOKUP(A2547,[16]PRIORIZADOS!$A:$P,16,FALSE)="","",VLOOKUP(A2547,[16]PRIORIZADOS!$A:$P,16,FALSE)),"")</f>
        <v>Visitas de evaluación con fines de mejoramiento</v>
      </c>
      <c r="Q2547" s="260" t="s">
        <v>499</v>
      </c>
      <c r="R2547" s="261" t="str">
        <f>IFERROR(IF(VLOOKUP(A2547,[16]PRIORIZADOS!$A:$R,18,FALSE)="","",VLOOKUP(A2547,[16]PRIORIZADOS!$A:$R,18,FALSE)),"")</f>
        <v>La institución muestra evidencias de activar los protocolos, realizar los procesos y actividades en ellos descritos y en general cumplir con la normatividad vigente.</v>
      </c>
      <c r="S2547" s="261" t="str">
        <f>IFERROR(IF(VLOOKUP(A2547,[16]PRIORIZADOS!$A:$S,19,FALSE)="","",VLOOKUP(A2547,[16]PRIORIZADOS!$A:$S,19,FALSE)),"")</f>
        <v>La institución debe ajustar el plan de convivencia escolar con la información del año en cuerso y debve realizar los cierres en actas del comité de convivencia</v>
      </c>
      <c r="T2547" s="70" t="str">
        <f>IFERROR(IF(VLOOKUP(A2547,[16]PRIORIZADOS!$A:$T,20,FALSE)="","",VLOOKUP(A2547,[16]PRIORIZADOS!$A:$T,20,FALSE)),"")</f>
        <v>Si</v>
      </c>
      <c r="U2547" s="11" t="str">
        <f>IFERROR(IF(VLOOKUP(A2547,[16]PRIORIZADOS!$A:$U,21,FALSE)="","",VLOOKUP(A2547,[16]PRIORIZADOS!$A:$U,21,FALSE)),"")</f>
        <v>Serevisará documentalmente en el PMI de la institución, para realizar el seguimiento respectivo.</v>
      </c>
    </row>
    <row r="2548" spans="1:21" s="1" customFormat="1" ht="84">
      <c r="A2548" s="69">
        <f>IF([16]PRIORIZADOS!A138="","",[16]PRIORIZADOS!A138)</f>
        <v>2531</v>
      </c>
      <c r="B2548" s="70">
        <v>16</v>
      </c>
      <c r="C2548" s="261" t="str">
        <f>IFERROR(IF(VLOOKUP(A2548,[16]PRIORIZADOS!$A:$C,3,FALSE)="","",VLOOKUP(A2548,[16]PRIORIZADOS!$A:$C,3,FALSE)),"")</f>
        <v>TUNJUELITO</v>
      </c>
      <c r="D2548" s="261" t="str">
        <f>IFERROR(IF(VLOOKUP(A2548,[16]PRIORIZADOS!$A:$D,4,FALSE)="","",VLOOKUP(A2548,[16]PRIORIZADOS!$A:$D,4,FALSE)),"")</f>
        <v>OFICIAL</v>
      </c>
      <c r="E2548" s="261" t="str">
        <f>IFERROR(IF(VLOOKUP(A2548,[16]PRIORIZADOS!$A:$E,5,FALSE)="","",VLOOKUP(A2548,[16]PRIORIZADOS!$A:$E,5,FALSE)),"")</f>
        <v>EPBM</v>
      </c>
      <c r="F2548" s="261" t="str">
        <f>IFERROR(IF(VLOOKUP(A2548,[16]PRIORIZADOS!$A:$F,6,FALSE)="","",VLOOKUP(A2548,[16]PRIORIZADOS!$A:$F,6,FALSE)),"")</f>
        <v>COLEGIO_INSTITUTO_TECNICO_INDUSTRIAL_PILOTO_IED</v>
      </c>
      <c r="G2548" s="261" t="str">
        <f>IFERROR(IF(VLOOKUP(A2548,[16]PRIORIZADOS!$A:$G,7,FALSE)="","",VLOOKUP(A2548,[16]PRIORIZADOS!$A:$G,7,FALSE)),"")</f>
        <v>PILOTO</v>
      </c>
      <c r="H2548" s="261" t="str">
        <f>IFERROR(IF(VLOOKUP(A2548,[16]PRIORIZADOS!$A:$H,8,FALSE)="","",VLOOKUP(A2548,[16]PRIORIZADOS!$A:$H,8,FALSE)),"")</f>
        <v>Convivencia escolar</v>
      </c>
      <c r="I2548" s="261" t="str">
        <f>IFERROR(IF(VLOOKUP(A2548,[16]PRIORIZADOS!$A:$I,9,FALSE)="","",VLOOKUP(A2548,[16]PRIORIZADOS!$A:$I,9,FALSE)),"")</f>
        <v>EVALUACIÓN_CON_FINES_DE_MEJORAMIENTO.</v>
      </c>
      <c r="J2548" s="261" t="str">
        <f>IFERROR(IF(VLOOKUP(A2548,[16]PRIORIZADOS!$A:$J,10,FALSE)="","",VLOOKUP(A2548,[16]PRIORIZADOS!$A:$J,10,FALSE)),"")</f>
        <v>Revisar la actualización, socialización e implementación del Sistema Institucional de Evaluación de Estudiantes - SIEE, en articulación con la actualización del PEI y la normatividad vigente.</v>
      </c>
      <c r="K2548" s="261" t="str">
        <f>IFERROR(IF(VLOOKUP(A2548,[16]PRIORIZADOS!$A:$K,11,FALSE)="","",VLOOKUP(A2548,[16]PRIORIZADOS!$A:$K,11,FALSE)),"")</f>
        <v>NELSON AUGUSTO CUBILLOS OLARTE</v>
      </c>
      <c r="L2548" s="261" t="str">
        <f>IFERROR(IF(VLOOKUP(A2548,[16]PRIORIZADOS!$A:$L,12,FALSE)="","",VLOOKUP(A2548,[16]PRIORIZADOS!$A:$L,12,FALSE)),"")</f>
        <v xml:space="preserve">SANDRA JAZMÍN BAQUERO CÓRDOBA
NELSON AUGUSTO CUBILLOS OLARTE
CLAUDIA PATRICIA GRANADOS FLÓREZ
</v>
      </c>
      <c r="M2548" s="262">
        <f>IFERROR(IF(VLOOKUP(A2548,[16]PRIORIZADOS!$A:$M,13,FALSE)="","",VLOOKUP(A2548,[16]PRIORIZADOS!$A:$M,13,FALSE)),"")</f>
        <v>45756</v>
      </c>
      <c r="N2548" s="262">
        <f>IFERROR(IF(VLOOKUP(A2548,[16]PRIORIZADOS!$A:$N,14,FALSE)="","",VLOOKUP(A2548,[16]PRIORIZADOS!$A:$N,14,FALSE)),"")</f>
        <v>45867</v>
      </c>
      <c r="O2548" s="262" t="str">
        <f>IFERROR(IF(VLOOKUP(A2548,[16]PRIORIZADOS!$A:$O,15,FALSE)="","",VLOOKUP(A2548,[16]PRIORIZADOS!$A:$O,15,FALSE)),"")</f>
        <v>29/07/2025</v>
      </c>
      <c r="P2548" s="261" t="str">
        <f>IFERROR(IF(VLOOKUP(A2548,[16]PRIORIZADOS!$A:$P,16,FALSE)="","",VLOOKUP(A2548,[16]PRIORIZADOS!$A:$P,16,FALSE)),"")</f>
        <v>Visitas de evaluación con fines de mejoramiento</v>
      </c>
      <c r="Q2548" s="260" t="s">
        <v>499</v>
      </c>
      <c r="R2548" s="261" t="str">
        <f>IFERROR(IF(VLOOKUP(A2548,[16]PRIORIZADOS!$A:$R,18,FALSE)="","",VLOOKUP(A2548,[16]PRIORIZADOS!$A:$R,18,FALSE)),"")</f>
        <v>En el inicio de la rectoría se han realizado procesos de actualización y armonización del SIEE que demuestran tener  procesos de acompañamiento y ayuda a los estudiantes con dificultad.</v>
      </c>
      <c r="S2548" s="261" t="str">
        <f>IFERROR(IF(VLOOKUP(A2548,[16]PRIORIZADOS!$A:$S,19,FALSE)="","",VLOOKUP(A2548,[16]PRIORIZADOS!$A:$S,19,FALSE)),"")</f>
        <v>Se debe continuar con el proceso de actualización dado que el PEI esta vigente hasta 2027, se recomienda iniciar el plan de actualización general.</v>
      </c>
      <c r="T2548" s="70" t="str">
        <f>IFERROR(IF(VLOOKUP(A2548,[16]PRIORIZADOS!$A:$T,20,FALSE)="","",VLOOKUP(A2548,[16]PRIORIZADOS!$A:$T,20,FALSE)),"")</f>
        <v>Si</v>
      </c>
      <c r="U2548" s="11" t="str">
        <f>IFERROR(IF(VLOOKUP(A2548,[16]PRIORIZADOS!$A:$U,21,FALSE)="","",VLOOKUP(A2548,[16]PRIORIZADOS!$A:$U,21,FALSE)),"")</f>
        <v>Se revisará documentalmente en el PMI de la institución, para realizar el seguimiento respectivo.</v>
      </c>
    </row>
    <row r="2549" spans="1:21" s="1" customFormat="1" ht="84">
      <c r="A2549" s="69">
        <f>IF([16]PRIORIZADOS!A139="","",[16]PRIORIZADOS!A139)</f>
        <v>2532</v>
      </c>
      <c r="B2549" s="70">
        <v>16</v>
      </c>
      <c r="C2549" s="261" t="str">
        <f>IFERROR(IF(VLOOKUP(A2549,[16]PRIORIZADOS!$A:$C,3,FALSE)="","",VLOOKUP(A2549,[16]PRIORIZADOS!$A:$C,3,FALSE)),"")</f>
        <v>TUNJUELITO</v>
      </c>
      <c r="D2549" s="261" t="str">
        <f>IFERROR(IF(VLOOKUP(A2549,[16]PRIORIZADOS!$A:$D,4,FALSE)="","",VLOOKUP(A2549,[16]PRIORIZADOS!$A:$D,4,FALSE)),"")</f>
        <v>OFICIAL</v>
      </c>
      <c r="E2549" s="261" t="str">
        <f>IFERROR(IF(VLOOKUP(A2549,[16]PRIORIZADOS!$A:$E,5,FALSE)="","",VLOOKUP(A2549,[16]PRIORIZADOS!$A:$E,5,FALSE)),"")</f>
        <v>EPBM</v>
      </c>
      <c r="F2549" s="261" t="str">
        <f>IFERROR(IF(VLOOKUP(A2549,[16]PRIORIZADOS!$A:$F,6,FALSE)="","",VLOOKUP(A2549,[16]PRIORIZADOS!$A:$F,6,FALSE)),"")</f>
        <v>COLEGIO_INSTITUTO_TECNICO_INDUSTRIAL_PILOTO_IED</v>
      </c>
      <c r="G2549" s="261" t="str">
        <f>IFERROR(IF(VLOOKUP(A2549,[16]PRIORIZADOS!$A:$G,7,FALSE)="","",VLOOKUP(A2549,[16]PRIORIZADOS!$A:$G,7,FALSE)),"")</f>
        <v>PILOTO</v>
      </c>
      <c r="H2549" s="261" t="str">
        <f>IFERROR(IF(VLOOKUP(A2549,[16]PRIORIZADOS!$A:$H,8,FALSE)="","",VLOOKUP(A2549,[16]PRIORIZADOS!$A:$H,8,FALSE)),"")</f>
        <v>Convivencia escolar</v>
      </c>
      <c r="I2549" s="261" t="str">
        <f>IFERROR(IF(VLOOKUP(A2549,[16]PRIORIZADOS!$A:$I,9,FALSE)="","",VLOOKUP(A2549,[16]PRIORIZADOS!$A:$I,9,FALSE)),"")</f>
        <v>EVALUACIÓN_CON_FINES_DE_MEJORAMIENTO.</v>
      </c>
      <c r="J2549" s="261" t="str">
        <f>IFERROR(IF(VLOOKUP(A2549,[16]PRIORIZADOS!$A:$J,10,FALSE)="","",VLOOKUP(A2549,[16]PRIORIZADOS!$A:$J,10,FALSE)),"")</f>
        <v>Verificar el funcionamiento del Gobierno Escolar e instancias de participación con base en la información sobre conformación reportada por la institución educativa.</v>
      </c>
      <c r="K2549" s="261" t="str">
        <f>IFERROR(IF(VLOOKUP(A2549,[16]PRIORIZADOS!$A:$K,11,FALSE)="","",VLOOKUP(A2549,[16]PRIORIZADOS!$A:$K,11,FALSE)),"")</f>
        <v>NELSON AUGUSTO CUBILLOS OLARTE</v>
      </c>
      <c r="L2549" s="261" t="str">
        <f>IFERROR(IF(VLOOKUP(A2549,[16]PRIORIZADOS!$A:$L,12,FALSE)="","",VLOOKUP(A2549,[16]PRIORIZADOS!$A:$L,12,FALSE)),"")</f>
        <v xml:space="preserve">SANDRA JAZMÍN BAQUERO CÓRDOBA
NELSON AUGUSTO CUBILLOS OLARTE
CLAUDIA PATRICIA GRANADOS FLÓREZ
</v>
      </c>
      <c r="M2549" s="262">
        <f>IFERROR(IF(VLOOKUP(A2549,[16]PRIORIZADOS!$A:$M,13,FALSE)="","",VLOOKUP(A2549,[16]PRIORIZADOS!$A:$M,13,FALSE)),"")</f>
        <v>45756</v>
      </c>
      <c r="N2549" s="262">
        <f>IFERROR(IF(VLOOKUP(A2549,[16]PRIORIZADOS!$A:$N,14,FALSE)="","",VLOOKUP(A2549,[16]PRIORIZADOS!$A:$N,14,FALSE)),"")</f>
        <v>45867</v>
      </c>
      <c r="O2549" s="262" t="str">
        <f>IFERROR(IF(VLOOKUP(A2549,[16]PRIORIZADOS!$A:$O,15,FALSE)="","",VLOOKUP(A2549,[16]PRIORIZADOS!$A:$O,15,FALSE)),"")</f>
        <v>29/07/2025</v>
      </c>
      <c r="P2549" s="261" t="str">
        <f>IFERROR(IF(VLOOKUP(A2549,[16]PRIORIZADOS!$A:$P,16,FALSE)="","",VLOOKUP(A2549,[16]PRIORIZADOS!$A:$P,16,FALSE)),"")</f>
        <v>Visitas de evaluación con fines de mejoramiento</v>
      </c>
      <c r="Q2549" s="260" t="s">
        <v>499</v>
      </c>
      <c r="R2549" s="261" t="str">
        <f>IFERROR(IF(VLOOKUP(A2549,[16]PRIORIZADOS!$A:$R,18,FALSE)="","",VLOOKUP(A2549,[16]PRIORIZADOS!$A:$R,18,FALSE)),"")</f>
        <v>Se realizaron los procesos democraticos en los tiempos respectivos y la mayoría se encuentran  funcionando correctamente, algunos de los organos de participación como consejo de padres y estudiantil no cuentan con actas, aunque existen evidencias de las reuniones.</v>
      </c>
      <c r="S2549" s="261" t="str">
        <f>IFERROR(IF(VLOOKUP(A2549,[16]PRIORIZADOS!$A:$S,19,FALSE)="","",VLOOKUP(A2549,[16]PRIORIZADOS!$A:$S,19,FALSE)),"")</f>
        <v>Se deben realizar las actas de sesiones de los organos de participación y convocar reuniones constantes que obedezcan al plan de cada una de las instancias, las otras se encuentran funcionando correctamente.</v>
      </c>
      <c r="T2549" s="70" t="str">
        <f>IFERROR(IF(VLOOKUP(A2549,[16]PRIORIZADOS!$A:$T,20,FALSE)="","",VLOOKUP(A2549,[16]PRIORIZADOS!$A:$T,20,FALSE)),"")</f>
        <v>Si</v>
      </c>
      <c r="U2549" s="11" t="str">
        <f>IFERROR(IF(VLOOKUP(A2549,[16]PRIORIZADOS!$A:$U,21,FALSE)="","",VLOOKUP(A2549,[16]PRIORIZADOS!$A:$U,21,FALSE)),"")</f>
        <v>Serevisará documentalmente en el PMI de la institución, para realizar el seguimiento respectivo.</v>
      </c>
    </row>
    <row r="2550" spans="1:21" s="1" customFormat="1" ht="84">
      <c r="A2550" s="69">
        <f>IF([16]PRIORIZADOS!A140="","",[16]PRIORIZADOS!A140)</f>
        <v>2533</v>
      </c>
      <c r="B2550" s="70">
        <v>16</v>
      </c>
      <c r="C2550" s="261" t="str">
        <f>IFERROR(IF(VLOOKUP(A2550,[16]PRIORIZADOS!$A:$C,3,FALSE)="","",VLOOKUP(A2550,[16]PRIORIZADOS!$A:$C,3,FALSE)),"")</f>
        <v>TUNJUELITO</v>
      </c>
      <c r="D2550" s="261" t="str">
        <f>IFERROR(IF(VLOOKUP(A2550,[16]PRIORIZADOS!$A:$D,4,FALSE)="","",VLOOKUP(A2550,[16]PRIORIZADOS!$A:$D,4,FALSE)),"")</f>
        <v>OFICIAL</v>
      </c>
      <c r="E2550" s="261" t="str">
        <f>IFERROR(IF(VLOOKUP(A2550,[16]PRIORIZADOS!$A:$E,5,FALSE)="","",VLOOKUP(A2550,[16]PRIORIZADOS!$A:$E,5,FALSE)),"")</f>
        <v>EPBM</v>
      </c>
      <c r="F2550" s="261" t="str">
        <f>IFERROR(IF(VLOOKUP(A2550,[16]PRIORIZADOS!$A:$F,6,FALSE)="","",VLOOKUP(A2550,[16]PRIORIZADOS!$A:$F,6,FALSE)),"")</f>
        <v>COLEGIO_INSTITUTO_TECNICO_INDUSTRIAL_PILOTO_IED</v>
      </c>
      <c r="G2550" s="261" t="str">
        <f>IFERROR(IF(VLOOKUP(A2550,[16]PRIORIZADOS!$A:$G,7,FALSE)="","",VLOOKUP(A2550,[16]PRIORIZADOS!$A:$G,7,FALSE)),"")</f>
        <v>PILOTO</v>
      </c>
      <c r="H2550" s="261" t="str">
        <f>IFERROR(IF(VLOOKUP(A2550,[16]PRIORIZADOS!$A:$H,8,FALSE)="","",VLOOKUP(A2550,[16]PRIORIZADOS!$A:$H,8,FALSE)),"")</f>
        <v>Convivencia escolar</v>
      </c>
      <c r="I2550" s="261" t="str">
        <f>IFERROR(IF(VLOOKUP(A2550,[16]PRIORIZADOS!$A:$I,9,FALSE)="","",VLOOKUP(A2550,[16]PRIORIZADOS!$A:$I,9,FALSE)),"")</f>
        <v>EVALUACIÓN_CON_FINES_DE_MEJORAMIENTO.</v>
      </c>
      <c r="J2550" s="261" t="str">
        <f>IFERROR(IF(VLOOKUP(A2550,[16]PRIORIZADOS!$A:$J,10,FALSE)="","",VLOOKUP(A2550,[16]PRIORIZADOS!$A:$J,10,FALSE)),"")</f>
        <v>Verificar las condiciones en cuanto a: la estructura administrativa, condiciones de la planta física y medios educativos adecuados.</v>
      </c>
      <c r="K2550" s="261" t="str">
        <f>IFERROR(IF(VLOOKUP(A2550,[16]PRIORIZADOS!$A:$K,11,FALSE)="","",VLOOKUP(A2550,[16]PRIORIZADOS!$A:$K,11,FALSE)),"")</f>
        <v>NELSON AUGUSTO CUBILLOS OLARTE</v>
      </c>
      <c r="L2550" s="261" t="str">
        <f>IFERROR(IF(VLOOKUP(A2550,[16]PRIORIZADOS!$A:$L,12,FALSE)="","",VLOOKUP(A2550,[16]PRIORIZADOS!$A:$L,12,FALSE)),"")</f>
        <v xml:space="preserve">SANDRA JAZMÍN BAQUERO CÓRDOBA
NELSON AUGUSTO CUBILLOS OLARTE
CLAUDIA PATRICIA GRANADOS FLÓREZ
</v>
      </c>
      <c r="M2550" s="262">
        <f>IFERROR(IF(VLOOKUP(A2550,[16]PRIORIZADOS!$A:$M,13,FALSE)="","",VLOOKUP(A2550,[16]PRIORIZADOS!$A:$M,13,FALSE)),"")</f>
        <v>45756</v>
      </c>
      <c r="N2550" s="262">
        <f>IFERROR(IF(VLOOKUP(A2550,[16]PRIORIZADOS!$A:$N,14,FALSE)="","",VLOOKUP(A2550,[16]PRIORIZADOS!$A:$N,14,FALSE)),"")</f>
        <v>45867</v>
      </c>
      <c r="O2550" s="262" t="str">
        <f>IFERROR(IF(VLOOKUP(A2550,[16]PRIORIZADOS!$A:$O,15,FALSE)="","",VLOOKUP(A2550,[16]PRIORIZADOS!$A:$O,15,FALSE)),"")</f>
        <v>29/07/2025</v>
      </c>
      <c r="P2550" s="261" t="str">
        <f>IFERROR(IF(VLOOKUP(A2550,[16]PRIORIZADOS!$A:$P,16,FALSE)="","",VLOOKUP(A2550,[16]PRIORIZADOS!$A:$P,16,FALSE)),"")</f>
        <v>Visitas de evaluación con fines de mejoramiento</v>
      </c>
      <c r="Q2550" s="260" t="s">
        <v>499</v>
      </c>
      <c r="R2550" s="261" t="str">
        <f>IFERROR(IF(VLOOKUP(A2550,[16]PRIORIZADOS!$A:$R,18,FALSE)="","",VLOOKUP(A2550,[16]PRIORIZADOS!$A:$R,18,FALSE)),"")</f>
        <v>Se realiza visita a las sedes A y  C en las cuales se evidencian espacios aptos para el desarrollo de las actividades académicas, se adolece de baños para discapacitados con movilidad reducida.</v>
      </c>
      <c r="S2550" s="261" t="str">
        <f>IFERROR(IF(VLOOKUP(A2550,[16]PRIORIZADOS!$A:$S,19,FALSE)="","",VLOOKUP(A2550,[16]PRIORIZADOS!$A:$S,19,FALSE)),"")</f>
        <v>La institución debe contemplar la solicitud a la dirección de construcciones de baños para los discapacitados con movlidad reducida.</v>
      </c>
      <c r="T2550" s="70" t="str">
        <f>IFERROR(IF(VLOOKUP(A2550,[16]PRIORIZADOS!$A:$T,20,FALSE)="","",VLOOKUP(A2550,[16]PRIORIZADOS!$A:$T,20,FALSE)),"")</f>
        <v>Si</v>
      </c>
      <c r="U2550" s="11" t="str">
        <f>IFERROR(IF(VLOOKUP(A2550,[16]PRIORIZADOS!$A:$U,21,FALSE)="","",VLOOKUP(A2550,[16]PRIORIZADOS!$A:$U,21,FALSE)),"")</f>
        <v>Serevisará documentalmente en el PMI de la institución, para realizar el seguimiento respectivo.</v>
      </c>
    </row>
    <row r="2551" spans="1:21" s="1" customFormat="1" ht="84">
      <c r="A2551" s="69">
        <f>IF([16]PRIORIZADOS!A141="","",[16]PRIORIZADOS!A141)</f>
        <v>2534</v>
      </c>
      <c r="B2551" s="70">
        <f>IFERROR(IF(VLOOKUP(A2551,[16]PRIORIZADOS!$A:$B,2,FALSE)="","",VLOOKUP(A2551,[16]PRIORIZADOS!$A:$B,2,FALSE)),"")</f>
        <v>17</v>
      </c>
      <c r="C2551" s="261" t="str">
        <f>IFERROR(IF(VLOOKUP(A2551,[16]PRIORIZADOS!$A:$C,3,FALSE)="","",VLOOKUP(A2551,[16]PRIORIZADOS!$A:$C,3,FALSE)),"")</f>
        <v>TUNJUELITO</v>
      </c>
      <c r="D2551" s="261" t="str">
        <f>IFERROR(IF(VLOOKUP(A2551,[16]PRIORIZADOS!$A:$D,4,FALSE)="","",VLOOKUP(A2551,[16]PRIORIZADOS!$A:$D,4,FALSE)),"")</f>
        <v>PRIVADO_IETDH</v>
      </c>
      <c r="E2551" s="261" t="str">
        <f>IFERROR(IF(VLOOKUP(A2551,[16]PRIORIZADOS!$A:$E,5,FALSE)="","",VLOOKUP(A2551,[16]PRIORIZADOS!$A:$E,5,FALSE)),"")</f>
        <v>IETDH</v>
      </c>
      <c r="F2551" s="261" t="str">
        <f>IFERROR(IF(VLOOKUP(A2551,[16]PRIORIZADOS!$A:$F,6,FALSE)="","",VLOOKUP(A2551,[16]PRIORIZADOS!$A:$F,6,FALSE)),"")</f>
        <v>INSTITUTO_BRITANICO</v>
      </c>
      <c r="G2551" s="261" t="str">
        <f>IFERROR(IF(VLOOKUP(A2551,[16]PRIORIZADOS!$A:$G,7,FALSE)="","",VLOOKUP(A2551,[16]PRIORIZADOS!$A:$G,7,FALSE)),"")</f>
        <v>INSTITUTO BRITANICO</v>
      </c>
      <c r="H2551" s="261" t="str">
        <f>IFERROR(IF(VLOOKUP(A2551,[16]PRIORIZADOS!$A:$H,8,FALSE)="","",VLOOKUP(A2551,[16]PRIORIZADOS!$A:$H,8,FALSE)),"")</f>
        <v>IETDH priorizadas por cada ELIV (seguimiento a PMI, que no se hayan visitado en los últimos 3 años)</v>
      </c>
      <c r="I2551" s="261" t="str">
        <f>IFERROR(IF(VLOOKUP(A2551,[16]PRIORIZADOS!$A:$I,9,FALSE)="","",VLOOKUP(A2551,[16]PRIORIZADOS!$A:$I,9,FALSE)),"")</f>
        <v>SEGUIMIENTO_Y_SUPERVISIÓN.</v>
      </c>
      <c r="J2551" s="261" t="str">
        <f>IFERROR(IF(VLOOKUP(A2551,[16]PRIORIZADOS!$A:$J,10,FALSE)="","",VLOOKUP(A2551,[16]PRIORIZADOS!$A:$J,10,FALSE)),"")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551" s="261" t="str">
        <f>IFERROR(IF(VLOOKUP(A2551,[16]PRIORIZADOS!$A:$K,11,FALSE)="","",VLOOKUP(A2551,[16]PRIORIZADOS!$A:$K,11,FALSE)),"")</f>
        <v>NELSON AUGUSTO CUBILLOS OLARTE</v>
      </c>
      <c r="L2551" s="261" t="str">
        <f>IFERROR(IF(VLOOKUP(A2551,[16]PRIORIZADOS!$A:$L,12,FALSE)="","",VLOOKUP(A2551,[16]PRIORIZADOS!$A:$L,12,FALSE)),"")</f>
        <v xml:space="preserve">SANDRA JAZMÍN BAQUERO CÓRDOBA
NELSON AUGUSTO CUBILLOS OLARTE
CLAUDIA PATRICIA GRANADOS FLÓREZ
</v>
      </c>
      <c r="M2551" s="262">
        <f>IFERROR(IF(VLOOKUP(A2551,[16]PRIORIZADOS!$A:$M,13,FALSE)="","",VLOOKUP(A2551,[16]PRIORIZADOS!$A:$M,13,FALSE)),"")</f>
        <v>45739</v>
      </c>
      <c r="N2551" s="262">
        <f>IFERROR(IF(VLOOKUP(A2551,[16]PRIORIZADOS!$A:$N,14,FALSE)="","",VLOOKUP(A2551,[16]PRIORIZADOS!$A:$N,14,FALSE)),"")</f>
        <v>45907</v>
      </c>
      <c r="O2551" s="262">
        <f>IFERROR(IF(VLOOKUP(A2551,[16]PRIORIZADOS!$A:$O,15,FALSE)="","",VLOOKUP(A2551,[16]PRIORIZADOS!$A:$O,15,FALSE)),"")</f>
        <v>45907</v>
      </c>
      <c r="P2551" s="261" t="str">
        <f>IFERROR(IF(VLOOKUP(A2551,[16]PRIORIZADOS!$A:$P,16,FALSE)="","",VLOOKUP(A2551,[16]PRIORIZADOS!$A:$P,16,FALSE)),"")</f>
        <v>Visitas de evaluación con fines de mejoramiento</v>
      </c>
      <c r="Q2551" s="56" t="s">
        <v>500</v>
      </c>
      <c r="R2551" s="261" t="str">
        <f>IFERROR(IF(VLOOKUP(A2551,[16]PRIORIZADOS!$A:$R,18,FALSE)="","",VLOOKUP(A2551,[16]PRIORIZADOS!$A:$R,18,FALSE)),"")</f>
        <v>Se experimenta una baja en la matricula de la institución, el programa de T. L. en Ventas y Mercadeo solo reguistra 2 estudiantes en el 2022, las horas de los programas no estan claras.</v>
      </c>
      <c r="S2551" s="261" t="str">
        <f>IFERROR(IF(VLOOKUP(A2551,[16]PRIORIZADOS!$A:$S,19,FALSE)="","",VLOOKUP(A2551,[16]PRIORIZADOS!$A:$S,19,FALSE)),"")</f>
        <v>La institución presentará en su PMI una certificación clara de uno a uno de los programas identificando los tiempos tanto de actividades académicas como de actividades de practica, detallado.</v>
      </c>
      <c r="T2551" s="70" t="str">
        <f>IFERROR(IF(VLOOKUP(A2551,[16]PRIORIZADOS!$A:$T,20,FALSE)="","",VLOOKUP(A2551,[16]PRIORIZADOS!$A:$T,20,FALSE)),"")</f>
        <v>Si</v>
      </c>
      <c r="U2551" s="11" t="str">
        <f>IFERROR(IF(VLOOKUP(A2551,[16]PRIORIZADOS!$A:$U,21,FALSE)="","",VLOOKUP(A2551,[16]PRIORIZADOS!$A:$U,21,FALSE)),"")</f>
        <v>Serevisará documentalmente en el PMI de la institución, para realizar el seguimiento respectivo.</v>
      </c>
    </row>
    <row r="2552" spans="1:21" s="1" customFormat="1" ht="84">
      <c r="A2552" s="69">
        <f>IF([16]PRIORIZADOS!A142="","",[16]PRIORIZADOS!A142)</f>
        <v>2535</v>
      </c>
      <c r="B2552" s="70">
        <v>17</v>
      </c>
      <c r="C2552" s="261" t="str">
        <f>IFERROR(IF(VLOOKUP(A2552,[16]PRIORIZADOS!$A:$C,3,FALSE)="","",VLOOKUP(A2552,[16]PRIORIZADOS!$A:$C,3,FALSE)),"")</f>
        <v>TUNJUELITO</v>
      </c>
      <c r="D2552" s="261" t="str">
        <f>IFERROR(IF(VLOOKUP(A2552,[16]PRIORIZADOS!$A:$D,4,FALSE)="","",VLOOKUP(A2552,[16]PRIORIZADOS!$A:$D,4,FALSE)),"")</f>
        <v>PRIVADO_IETDH</v>
      </c>
      <c r="E2552" s="261" t="str">
        <f>IFERROR(IF(VLOOKUP(A2552,[16]PRIORIZADOS!$A:$E,5,FALSE)="","",VLOOKUP(A2552,[16]PRIORIZADOS!$A:$E,5,FALSE)),"")</f>
        <v>IETDH</v>
      </c>
      <c r="F2552" s="261" t="str">
        <f>IFERROR(IF(VLOOKUP(A2552,[16]PRIORIZADOS!$A:$F,6,FALSE)="","",VLOOKUP(A2552,[16]PRIORIZADOS!$A:$F,6,FALSE)),"")</f>
        <v>INSTITUTO_BRITANICO</v>
      </c>
      <c r="G2552" s="261" t="str">
        <f>IFERROR(IF(VLOOKUP(A2552,[16]PRIORIZADOS!$A:$G,7,FALSE)="","",VLOOKUP(A2552,[16]PRIORIZADOS!$A:$G,7,FALSE)),"")</f>
        <v>INSTITUTO BRITANICO</v>
      </c>
      <c r="H2552" s="261" t="str">
        <f>IFERROR(IF(VLOOKUP(A2552,[16]PRIORIZADOS!$A:$H,8,FALSE)="","",VLOOKUP(A2552,[16]PRIORIZADOS!$A:$H,8,FALSE)),"")</f>
        <v>IETDH priorizadas por cada ELIV (seguimiento a PMI, que no se hayan visitado en los últimos 3 años)</v>
      </c>
      <c r="I2552" s="261" t="str">
        <f>IFERROR(IF(VLOOKUP(A2552,[16]PRIORIZADOS!$A:$I,9,FALSE)="","",VLOOKUP(A2552,[16]PRIORIZADOS!$A:$I,9,FALSE)),"")</f>
        <v>SEGUIMIENTO_Y_SUPERVISIÓN.</v>
      </c>
      <c r="J2552" s="261" t="str">
        <f>IFERROR(IF(VLOOKUP(A2552,[16]PRIORIZADOS!$A:$J,10,FALSE)="","",VLOOKUP(A2552,[16]PRIORIZADOS!$A:$J,10,FALSE)),"")</f>
        <v>Adelantar visitas para verificar que el desarrollo de los programas de ETDH, esté de acuerdo con lo autorizado y la normatividad vigente, para propender por su pertinencia, legalidad y actualización constante.</v>
      </c>
      <c r="K2552" s="261" t="str">
        <f>IFERROR(IF(VLOOKUP(A2552,[16]PRIORIZADOS!$A:$K,11,FALSE)="","",VLOOKUP(A2552,[16]PRIORIZADOS!$A:$K,11,FALSE)),"")</f>
        <v>NELSON AUGUSTO CUBILLOS OLARTE</v>
      </c>
      <c r="L2552" s="261" t="str">
        <f>IFERROR(IF(VLOOKUP(A2552,[16]PRIORIZADOS!$A:$L,12,FALSE)="","",VLOOKUP(A2552,[16]PRIORIZADOS!$A:$L,12,FALSE)),"")</f>
        <v xml:space="preserve">SANDRA JAZMÍN BAQUERO CÓRDOBA
NELSON AUGUSTO CUBILLOS OLARTE
CLAUDIA PATRICIA GRANADOS FLÓREZ
</v>
      </c>
      <c r="M2552" s="262">
        <f>IFERROR(IF(VLOOKUP(A2552,[16]PRIORIZADOS!$A:$M,13,FALSE)="","",VLOOKUP(A2552,[16]PRIORIZADOS!$A:$M,13,FALSE)),"")</f>
        <v>45739</v>
      </c>
      <c r="N2552" s="262">
        <f>IFERROR(IF(VLOOKUP(A2552,[16]PRIORIZADOS!$A:$N,14,FALSE)="","",VLOOKUP(A2552,[16]PRIORIZADOS!$A:$N,14,FALSE)),"")</f>
        <v>45907</v>
      </c>
      <c r="O2552" s="262">
        <f>IFERROR(IF(VLOOKUP(A2552,[16]PRIORIZADOS!$A:$O,15,FALSE)="","",VLOOKUP(A2552,[16]PRIORIZADOS!$A:$O,15,FALSE)),"")</f>
        <v>45907</v>
      </c>
      <c r="P2552" s="261" t="str">
        <f>IFERROR(IF(VLOOKUP(A2552,[16]PRIORIZADOS!$A:$P,16,FALSE)="","",VLOOKUP(A2552,[16]PRIORIZADOS!$A:$P,16,FALSE)),"")</f>
        <v>Visitas de evaluación con fines de mejoramiento</v>
      </c>
      <c r="Q2552" s="56" t="s">
        <v>500</v>
      </c>
      <c r="R2552" s="261" t="str">
        <f>IFERROR(IF(VLOOKUP(A2552,[16]PRIORIZADOS!$A:$R,18,FALSE)="","",VLOOKUP(A2552,[16]PRIORIZADOS!$A:$R,18,FALSE)),"")</f>
        <v>Se encuentra que los programas que se ofrecen se encuentran debidamente legalizados, la planta fisica es optima para los programas aprobados, algunos programas no tienen salida y deben ser revisados por su pertinencia.</v>
      </c>
      <c r="S2552" s="261" t="str">
        <f>IFERROR(IF(VLOOKUP(A2552,[16]PRIORIZADOS!$A:$S,19,FALSE)="","",VLOOKUP(A2552,[16]PRIORIZADOS!$A:$S,19,FALSE)),"")</f>
        <v>Realizar revisión de sus programas y la pertinencia de los mismos, evaluar la pertinencia de incluir nuevos programas como los de Inglés.</v>
      </c>
      <c r="T2552" s="70" t="str">
        <f>IFERROR(IF(VLOOKUP(A2552,[16]PRIORIZADOS!$A:$T,20,FALSE)="","",VLOOKUP(A2552,[16]PRIORIZADOS!$A:$T,20,FALSE)),"")</f>
        <v>Si</v>
      </c>
      <c r="U2552" s="11" t="str">
        <f>IFERROR(IF(VLOOKUP(A2552,[16]PRIORIZADOS!$A:$U,21,FALSE)="","",VLOOKUP(A2552,[16]PRIORIZADOS!$A:$U,21,FALSE)),"")</f>
        <v>Serevisará documentalmente en el PMI de la institución, para realizar el seguimiento respectivo, en nueva visita.</v>
      </c>
    </row>
    <row r="2553" spans="1:21" s="1" customFormat="1" ht="84">
      <c r="A2553" s="69">
        <f>IF([16]PRIORIZADOS!A143="","",[16]PRIORIZADOS!A143)</f>
        <v>2536</v>
      </c>
      <c r="B2553" s="70">
        <v>17</v>
      </c>
      <c r="C2553" s="261" t="str">
        <f>IFERROR(IF(VLOOKUP(A2553,[16]PRIORIZADOS!$A:$C,3,FALSE)="","",VLOOKUP(A2553,[16]PRIORIZADOS!$A:$C,3,FALSE)),"")</f>
        <v>TUNJUELITO</v>
      </c>
      <c r="D2553" s="261" t="str">
        <f>IFERROR(IF(VLOOKUP(A2553,[16]PRIORIZADOS!$A:$D,4,FALSE)="","",VLOOKUP(A2553,[16]PRIORIZADOS!$A:$D,4,FALSE)),"")</f>
        <v>PRIVADO_IETDH</v>
      </c>
      <c r="E2553" s="261" t="str">
        <f>IFERROR(IF(VLOOKUP(A2553,[16]PRIORIZADOS!$A:$E,5,FALSE)="","",VLOOKUP(A2553,[16]PRIORIZADOS!$A:$E,5,FALSE)),"")</f>
        <v>IETDH</v>
      </c>
      <c r="F2553" s="261" t="str">
        <f>IFERROR(IF(VLOOKUP(A2553,[16]PRIORIZADOS!$A:$F,6,FALSE)="","",VLOOKUP(A2553,[16]PRIORIZADOS!$A:$F,6,FALSE)),"")</f>
        <v>INSTITUTO_BRITANICO</v>
      </c>
      <c r="G2553" s="261" t="str">
        <f>IFERROR(IF(VLOOKUP(A2553,[16]PRIORIZADOS!$A:$G,7,FALSE)="","",VLOOKUP(A2553,[16]PRIORIZADOS!$A:$G,7,FALSE)),"")</f>
        <v>INSTITUTO BRITANICO</v>
      </c>
      <c r="H2553" s="261" t="str">
        <f>IFERROR(IF(VLOOKUP(A2553,[16]PRIORIZADOS!$A:$H,8,FALSE)="","",VLOOKUP(A2553,[16]PRIORIZADOS!$A:$H,8,FALSE)),"")</f>
        <v>IETDH priorizadas por cada ELIV (seguimiento a PMI, que no se hayan visitado en los últimos 3 años)</v>
      </c>
      <c r="I2553" s="261" t="str">
        <f>IFERROR(IF(VLOOKUP(A2553,[16]PRIORIZADOS!$A:$I,9,FALSE)="","",VLOOKUP(A2553,[16]PRIORIZADOS!$A:$I,9,FALSE)),"")</f>
        <v>EVALUACIÓN_CON_FINES_DE_MEJORAMIENTO.</v>
      </c>
      <c r="J2553" s="261" t="str">
        <f>IFERROR(IF(VLOOKUP(A2553,[16]PRIORIZADOS!$A:$J,10,FALSE)="","",VLOOKUP(A2553,[16]PRIORIZADOS!$A:$J,10,FALSE)),"")</f>
        <v>Verificar las condiciones en cuanto a: la estructura administrativa, condiciones de la planta física y medios educativos adecuados.</v>
      </c>
      <c r="K2553" s="261" t="str">
        <f>IFERROR(IF(VLOOKUP(A2553,[16]PRIORIZADOS!$A:$K,11,FALSE)="","",VLOOKUP(A2553,[16]PRIORIZADOS!$A:$K,11,FALSE)),"")</f>
        <v>NELSON AUGUSTO CUBILLOS OLARTE</v>
      </c>
      <c r="L2553" s="261" t="str">
        <f>IFERROR(IF(VLOOKUP(A2553,[16]PRIORIZADOS!$A:$L,12,FALSE)="","",VLOOKUP(A2553,[16]PRIORIZADOS!$A:$L,12,FALSE)),"")</f>
        <v xml:space="preserve">SANDRA JAZMÍN BAQUERO CÓRDOBA
NELSON AUGUSTO CUBILLOS OLARTE
CLAUDIA PATRICIA GRANADOS FLÓREZ
</v>
      </c>
      <c r="M2553" s="262">
        <f>IFERROR(IF(VLOOKUP(A2553,[16]PRIORIZADOS!$A:$M,13,FALSE)="","",VLOOKUP(A2553,[16]PRIORIZADOS!$A:$M,13,FALSE)),"")</f>
        <v>45739</v>
      </c>
      <c r="N2553" s="262">
        <f>IFERROR(IF(VLOOKUP(A2553,[16]PRIORIZADOS!$A:$N,14,FALSE)="","",VLOOKUP(A2553,[16]PRIORIZADOS!$A:$N,14,FALSE)),"")</f>
        <v>45907</v>
      </c>
      <c r="O2553" s="262">
        <f>IFERROR(IF(VLOOKUP(A2553,[16]PRIORIZADOS!$A:$O,15,FALSE)="","",VLOOKUP(A2553,[16]PRIORIZADOS!$A:$O,15,FALSE)),"")</f>
        <v>45907</v>
      </c>
      <c r="P2553" s="261" t="str">
        <f>IFERROR(IF(VLOOKUP(A2553,[16]PRIORIZADOS!$A:$P,16,FALSE)="","",VLOOKUP(A2553,[16]PRIORIZADOS!$A:$P,16,FALSE)),"")</f>
        <v>Visitas de evaluación con fines de mejoramiento</v>
      </c>
      <c r="Q2553" s="56" t="s">
        <v>500</v>
      </c>
      <c r="R2553" s="261" t="str">
        <f>IFERROR(IF(VLOOKUP(A2553,[16]PRIORIZADOS!$A:$R,18,FALSE)="","",VLOOKUP(A2553,[16]PRIORIZADOS!$A:$R,18,FALSE)),"")</f>
        <v>La estructura administrativa se ha reducido en el ultimo año, se cuenta con la plataforma Q10 para los procesos académicos y con SIIGO como programa contable,  no cuenta con reglamento de formadores, el contrato de matrícula debe ser actualizado.</v>
      </c>
      <c r="S2553" s="261" t="str">
        <f>IFERROR(IF(VLOOKUP(A2553,[16]PRIORIZADOS!$A:$S,19,FALSE)="","",VLOOKUP(A2553,[16]PRIORIZADOS!$A:$S,19,FALSE)),"")</f>
        <v>La institución debe presentar un PMI que contemple los procesos administrativos, académicos y de extensión a la comunidad de acuerdo con lo revisado.</v>
      </c>
      <c r="T2553" s="70" t="str">
        <f>IFERROR(IF(VLOOKUP(A2553,[16]PRIORIZADOS!$A:$T,20,FALSE)="","",VLOOKUP(A2553,[16]PRIORIZADOS!$A:$T,20,FALSE)),"")</f>
        <v>Si</v>
      </c>
      <c r="U2553" s="11" t="str">
        <f>IFERROR(IF(VLOOKUP(A2553,[16]PRIORIZADOS!$A:$U,21,FALSE)="","",VLOOKUP(A2553,[16]PRIORIZADOS!$A:$U,21,FALSE)),"")</f>
        <v>Serevisará documentalmente el PMI de la institución, para realizar el seguimiento respectivo en nueva visita.</v>
      </c>
    </row>
    <row r="2554" spans="1:21" s="1" customFormat="1" ht="84">
      <c r="A2554" s="69">
        <f>IF([16]PRIORIZADOS!A144="","",[16]PRIORIZADOS!A144)</f>
        <v>2537</v>
      </c>
      <c r="B2554" s="70">
        <v>18</v>
      </c>
      <c r="C2554" s="261" t="str">
        <f>IFERROR(IF(VLOOKUP(A2554,[16]PRIORIZADOS!$A:$C,3,FALSE)="","",VLOOKUP(A2554,[16]PRIORIZADOS!$A:$C,3,FALSE)),"")</f>
        <v>TUNJUELITO</v>
      </c>
      <c r="D2554" s="261" t="str">
        <f>IFERROR(IF(VLOOKUP(A2554,[16]PRIORIZADOS!$A:$D,4,FALSE)="","",VLOOKUP(A2554,[16]PRIORIZADOS!$A:$D,4,FALSE)),"")</f>
        <v>PRIVADO_IETDH</v>
      </c>
      <c r="E2554" s="261" t="str">
        <f>IFERROR(IF(VLOOKUP(A2554,[16]PRIORIZADOS!$A:$E,5,FALSE)="","",VLOOKUP(A2554,[16]PRIORIZADOS!$A:$E,5,FALSE)),"")</f>
        <v>IETDH</v>
      </c>
      <c r="F2554" s="261" t="str">
        <f>IFERROR(IF(VLOOKUP(A2554,[16]PRIORIZADOS!$A:$F,6,FALSE)="","",VLOOKUP(A2554,[16]PRIORIZADOS!$A:$F,6,FALSE)),"")</f>
        <v>ACADEMIA_FLOR_DE_LIZ_NEW_ESTHETIC_ACADEMY_SAS_IETDH</v>
      </c>
      <c r="G2554" s="261" t="str">
        <f>IFERROR(IF(VLOOKUP(A2554,[16]PRIORIZADOS!$A:$G,7,FALSE)="","",VLOOKUP(A2554,[16]PRIORIZADOS!$A:$G,7,FALSE)),"")</f>
        <v>ACADEMIA FLOR DE LIZ NEW ESTHETIC ACADEMY SAS IETDH</v>
      </c>
      <c r="H2554" s="261" t="str">
        <f>IFERROR(IF(VLOOKUP(A2554,[16]PRIORIZADOS!$A:$H,8,FALSE)="","",VLOOKUP(A2554,[16]PRIORIZADOS!$A:$H,8,FALSE)),"")</f>
        <v>IETDH priorizadas por cada ELIV (seguimiento a PMI, que no se hayan visitado en los últimos 3 años)</v>
      </c>
      <c r="I2554" s="261" t="str">
        <f>IFERROR(IF(VLOOKUP(A2554,[16]PRIORIZADOS!$A:$I,9,FALSE)="","",VLOOKUP(A2554,[16]PRIORIZADOS!$A:$I,9,FALSE)),"")</f>
        <v>SEGUIMIENTO_Y_SUPERVISIÓN.</v>
      </c>
      <c r="J2554" s="261" t="str">
        <f>IFERROR(IF(VLOOKUP(A2554,[16]PRIORIZADOS!$A:$J,10,FALSE)="","",VLOOKUP(A2554,[16]PRIORIZADOS!$A:$J,10,FALSE)),"")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554" s="261" t="str">
        <f>IFERROR(IF(VLOOKUP(A2554,[16]PRIORIZADOS!$A:$K,11,FALSE)="","",VLOOKUP(A2554,[16]PRIORIZADOS!$A:$K,11,FALSE)),"")</f>
        <v>CLAUDIA PATRICIA GRANADOS FLÓREZ</v>
      </c>
      <c r="L2554" s="261" t="str">
        <f>IFERROR(IF(VLOOKUP(A2554,[16]PRIORIZADOS!$A:$L,12,FALSE)="","",VLOOKUP(A2554,[16]PRIORIZADOS!$A:$L,12,FALSE)),"")</f>
        <v xml:space="preserve">SANDRA JAZMÍN BAQUERO CÓRDOBA
NELSON AUGUSTO CUBILLOS OLARTE
CLAUDIA PATRICIA GRANADOS FLÓREZ
</v>
      </c>
      <c r="M2554" s="262">
        <f>IFERROR(IF(VLOOKUP(A2554,[16]PRIORIZADOS!$A:$M,13,FALSE)="","",VLOOKUP(A2554,[16]PRIORIZADOS!$A:$M,13,FALSE)),"")</f>
        <v>45917</v>
      </c>
      <c r="N2554" s="262">
        <f>IFERROR(IF(VLOOKUP(A2554,[16]PRIORIZADOS!$A:$N,14,FALSE)="","",VLOOKUP(A2554,[16]PRIORIZADOS!$A:$N,14,FALSE)),"")</f>
        <v>45903</v>
      </c>
      <c r="O2554" s="262" t="str">
        <f>IFERROR(IF(VLOOKUP(A2554,[16]PRIORIZADOS!$A:$O,15,FALSE)="","",VLOOKUP(A2554,[16]PRIORIZADOS!$A:$O,15,FALSE)),"")</f>
        <v>23/09/2025</v>
      </c>
      <c r="P2554" s="261" t="str">
        <f>IFERROR(IF(VLOOKUP(A2554,[16]PRIORIZADOS!$A:$P,16,FALSE)="","",VLOOKUP(A2554,[16]PRIORIZADOS!$A:$P,16,FALSE)),"")</f>
        <v>Visitas de evaluación con fines de mejoramiento</v>
      </c>
      <c r="Q2554" s="7" t="s">
        <v>501</v>
      </c>
      <c r="R2554" s="261" t="str">
        <f>IFERROR(IF(VLOOKUP(A2554,[16]PRIORIZADOS!$A:$R,18,FALSE)="","",VLOOKUP(A2554,[16]PRIORIZADOS!$A:$R,18,FALSE)),"")</f>
        <v>Se evidencia registro alto de matricula en SIET, vs la capacidad instalada, se requeire revisar reporte SIET. Costos de programa no ha tenido incrementos desde la aprobación del año 2022</v>
      </c>
      <c r="S2554" s="261" t="str">
        <f>IFERROR(IF(VLOOKUP(A2554,[16]PRIORIZADOS!$A:$S,19,FALSE)="","",VLOOKUP(A2554,[16]PRIORIZADOS!$A:$S,19,FALSE)),"")</f>
        <v>Presentación del PMI 4 de octubre de 2025</v>
      </c>
      <c r="T2554" s="70" t="str">
        <f>IFERROR(IF(VLOOKUP(A2554,[16]PRIORIZADOS!$A:$T,20,FALSE)="","",VLOOKUP(A2554,[16]PRIORIZADOS!$A:$T,20,FALSE)),"")</f>
        <v>Si</v>
      </c>
      <c r="U2554" s="11" t="str">
        <f>IFERROR(IF(VLOOKUP(A2554,[16]PRIORIZADOS!$A:$U,21,FALSE)="","",VLOOKUP(A2554,[16]PRIORIZADOS!$A:$U,21,FALSE)),"")</f>
        <v>Se revisara el plan de mejoramiento aportado para verificar su pertinencia y posterior seguimiento para su cumplimiento</v>
      </c>
    </row>
    <row r="2555" spans="1:21" s="1" customFormat="1" ht="84">
      <c r="A2555" s="69">
        <f>IF([16]PRIORIZADOS!A145="","",[16]PRIORIZADOS!A145)</f>
        <v>2538</v>
      </c>
      <c r="B2555" s="70">
        <v>18</v>
      </c>
      <c r="C2555" s="261" t="str">
        <f>IFERROR(IF(VLOOKUP(A2555,[16]PRIORIZADOS!$A:$C,3,FALSE)="","",VLOOKUP(A2555,[16]PRIORIZADOS!$A:$C,3,FALSE)),"")</f>
        <v>TUNJUELITO</v>
      </c>
      <c r="D2555" s="261" t="str">
        <f>IFERROR(IF(VLOOKUP(A2555,[16]PRIORIZADOS!$A:$D,4,FALSE)="","",VLOOKUP(A2555,[16]PRIORIZADOS!$A:$D,4,FALSE)),"")</f>
        <v>PRIVADO_IETDH</v>
      </c>
      <c r="E2555" s="261" t="str">
        <f>IFERROR(IF(VLOOKUP(A2555,[16]PRIORIZADOS!$A:$E,5,FALSE)="","",VLOOKUP(A2555,[16]PRIORIZADOS!$A:$E,5,FALSE)),"")</f>
        <v>IETDH</v>
      </c>
      <c r="F2555" s="261" t="str">
        <f>IFERROR(IF(VLOOKUP(A2555,[16]PRIORIZADOS!$A:$F,6,FALSE)="","",VLOOKUP(A2555,[16]PRIORIZADOS!$A:$F,6,FALSE)),"")</f>
        <v>ACADEMIA_FLOR_DE_LIZ_NEW_ESTHETIC_ACADEMY_SAS_IETDH</v>
      </c>
      <c r="G2555" s="261" t="str">
        <f>IFERROR(IF(VLOOKUP(A2555,[16]PRIORIZADOS!$A:$G,7,FALSE)="","",VLOOKUP(A2555,[16]PRIORIZADOS!$A:$G,7,FALSE)),"")</f>
        <v>ACADEMIA FLOR DE LIZ NEW ESTHETIC ACADEMY SAS IETDH</v>
      </c>
      <c r="H2555" s="261" t="str">
        <f>IFERROR(IF(VLOOKUP(A2555,[16]PRIORIZADOS!$A:$H,8,FALSE)="","",VLOOKUP(A2555,[16]PRIORIZADOS!$A:$H,8,FALSE)),"")</f>
        <v>IETDH priorizadas por cada ELIV (seguimiento a PMI, que no se hayan visitado en los últimos 3 años)</v>
      </c>
      <c r="I2555" s="261" t="str">
        <f>IFERROR(IF(VLOOKUP(A2555,[16]PRIORIZADOS!$A:$I,9,FALSE)="","",VLOOKUP(A2555,[16]PRIORIZADOS!$A:$I,9,FALSE)),"")</f>
        <v>SEGUIMIENTO_Y_SUPERVISIÓN.</v>
      </c>
      <c r="J2555" s="261" t="str">
        <f>IFERROR(IF(VLOOKUP(A2555,[16]PRIORIZADOS!$A:$J,10,FALSE)="","",VLOOKUP(A2555,[16]PRIORIZADOS!$A:$J,10,FALSE)),"")</f>
        <v>Adelantar visitas para verificar que el desarrollo de los programas de ETDH, esté de acuerdo con lo autorizado y la normatividad vigente, para propender por su pertinencia, legalidad y actualización constante.</v>
      </c>
      <c r="K2555" s="261" t="str">
        <f>IFERROR(IF(VLOOKUP(A2555,[16]PRIORIZADOS!$A:$K,11,FALSE)="","",VLOOKUP(A2555,[16]PRIORIZADOS!$A:$K,11,FALSE)),"")</f>
        <v>CLAUDIA PATRICIA GRANADOS FLÓREZ</v>
      </c>
      <c r="L2555" s="261" t="str">
        <f>IFERROR(IF(VLOOKUP(A2555,[16]PRIORIZADOS!$A:$L,12,FALSE)="","",VLOOKUP(A2555,[16]PRIORIZADOS!$A:$L,12,FALSE)),"")</f>
        <v xml:space="preserve">SANDRA JAZMÍN BAQUERO CÓRDOBA
NELSON AUGUSTO CUBILLOS OLARTE
CLAUDIA PATRICIA GRANADOS FLÓREZ
</v>
      </c>
      <c r="M2555" s="262">
        <f>IFERROR(IF(VLOOKUP(A2555,[16]PRIORIZADOS!$A:$M,13,FALSE)="","",VLOOKUP(A2555,[16]PRIORIZADOS!$A:$M,13,FALSE)),"")</f>
        <v>45917</v>
      </c>
      <c r="N2555" s="262">
        <f>IFERROR(IF(VLOOKUP(A2555,[16]PRIORIZADOS!$A:$N,14,FALSE)="","",VLOOKUP(A2555,[16]PRIORIZADOS!$A:$N,14,FALSE)),"")</f>
        <v>45923</v>
      </c>
      <c r="O2555" s="262" t="str">
        <f>IFERROR(IF(VLOOKUP(A2555,[16]PRIORIZADOS!$A:$O,15,FALSE)="","",VLOOKUP(A2555,[16]PRIORIZADOS!$A:$O,15,FALSE)),"")</f>
        <v>23/09/2025</v>
      </c>
      <c r="P2555" s="261" t="str">
        <f>IFERROR(IF(VLOOKUP(A2555,[16]PRIORIZADOS!$A:$P,16,FALSE)="","",VLOOKUP(A2555,[16]PRIORIZADOS!$A:$P,16,FALSE)),"")</f>
        <v>Visitas de evaluación con fines de mejoramiento</v>
      </c>
      <c r="Q2555" s="7" t="s">
        <v>501</v>
      </c>
      <c r="R2555" s="261" t="str">
        <f>IFERROR(IF(VLOOKUP(A2555,[16]PRIORIZADOS!$A:$R,18,FALSE)="","",VLOOKUP(A2555,[16]PRIORIZADOS!$A:$R,18,FALSE)),"")</f>
        <v>Se evidencia en página web ofrecimieto de programas en modalida virtual,  al igual que en los contratos de matricula.</v>
      </c>
      <c r="S2555" s="261" t="str">
        <f>IFERROR(IF(VLOOKUP(A2555,[16]PRIORIZADOS!$A:$S,19,FALSE)="","",VLOOKUP(A2555,[16]PRIORIZADOS!$A:$S,19,FALSE)),"")</f>
        <v>Presentación del PMI 4 de octubre de 2025</v>
      </c>
      <c r="T2555" s="70" t="str">
        <f>IFERROR(IF(VLOOKUP(A2555,[16]PRIORIZADOS!$A:$T,20,FALSE)="","",VLOOKUP(A2555,[16]PRIORIZADOS!$A:$T,20,FALSE)),"")</f>
        <v>Si</v>
      </c>
      <c r="U2555" s="11" t="str">
        <f>IFERROR(IF(VLOOKUP(A2555,[16]PRIORIZADOS!$A:$U,21,FALSE)="","",VLOOKUP(A2555,[16]PRIORIZADOS!$A:$U,21,FALSE)),"")</f>
        <v>Se revisara el plan de mejoramiento aportado para verificar su pertinencia y posterior seguimiento para su cumplimiento</v>
      </c>
    </row>
    <row r="2556" spans="1:21" s="1" customFormat="1" ht="107.25">
      <c r="A2556" s="69">
        <f>IF([16]PRIORIZADOS!A146="","",[16]PRIORIZADOS!A146)</f>
        <v>2539</v>
      </c>
      <c r="B2556" s="70">
        <v>18</v>
      </c>
      <c r="C2556" s="261" t="str">
        <f>IFERROR(IF(VLOOKUP(A2556,[16]PRIORIZADOS!$A:$C,3,FALSE)="","",VLOOKUP(A2556,[16]PRIORIZADOS!$A:$C,3,FALSE)),"")</f>
        <v>TUNJUELITO</v>
      </c>
      <c r="D2556" s="261" t="str">
        <f>IFERROR(IF(VLOOKUP(A2556,[16]PRIORIZADOS!$A:$D,4,FALSE)="","",VLOOKUP(A2556,[16]PRIORIZADOS!$A:$D,4,FALSE)),"")</f>
        <v>PRIVADO_IETDH</v>
      </c>
      <c r="E2556" s="261" t="str">
        <f>IFERROR(IF(VLOOKUP(A2556,[16]PRIORIZADOS!$A:$E,5,FALSE)="","",VLOOKUP(A2556,[16]PRIORIZADOS!$A:$E,5,FALSE)),"")</f>
        <v>IETDH</v>
      </c>
      <c r="F2556" s="261" t="str">
        <f>IFERROR(IF(VLOOKUP(A2556,[16]PRIORIZADOS!$A:$F,6,FALSE)="","",VLOOKUP(A2556,[16]PRIORIZADOS!$A:$F,6,FALSE)),"")</f>
        <v>ACADEMIA_FLOR_DE_LIZ_NEW_ESTHETIC_ACADEMY_SAS_IETDH</v>
      </c>
      <c r="G2556" s="261" t="str">
        <f>IFERROR(IF(VLOOKUP(A2556,[16]PRIORIZADOS!$A:$G,7,FALSE)="","",VLOOKUP(A2556,[16]PRIORIZADOS!$A:$G,7,FALSE)),"")</f>
        <v>ACADEMIA FLOR DE LIZ NEW ESTHETIC ACADEMY SAS IETDH</v>
      </c>
      <c r="H2556" s="261" t="str">
        <f>IFERROR(IF(VLOOKUP(A2556,[16]PRIORIZADOS!$A:$H,8,FALSE)="","",VLOOKUP(A2556,[16]PRIORIZADOS!$A:$H,8,FALSE)),"")</f>
        <v>IETDH priorizadas por cada ELIV (seguimiento a PMI, que no se hayan visitado en los últimos 3 años)</v>
      </c>
      <c r="I2556" s="261" t="str">
        <f>IFERROR(IF(VLOOKUP(A2556,[16]PRIORIZADOS!$A:$I,9,FALSE)="","",VLOOKUP(A2556,[16]PRIORIZADOS!$A:$I,9,FALSE)),"")</f>
        <v>EVALUACIÓN_CON_FINES_DE_MEJORAMIENTO.</v>
      </c>
      <c r="J2556" s="261" t="str">
        <f>IFERROR(IF(VLOOKUP(A2556,[16]PRIORIZADOS!$A:$J,10,FALSE)="","",VLOOKUP(A2556,[16]PRIORIZADOS!$A:$J,10,FALSE)),"")</f>
        <v>Verificar las condiciones en cuanto a: la estructura administrativa, condiciones de la planta física y medios educativos adecuados.</v>
      </c>
      <c r="K2556" s="261" t="str">
        <f>IFERROR(IF(VLOOKUP(A2556,[16]PRIORIZADOS!$A:$K,11,FALSE)="","",VLOOKUP(A2556,[16]PRIORIZADOS!$A:$K,11,FALSE)),"")</f>
        <v>CLAUDIA PATRICIA GRANADOS FLÓREZ</v>
      </c>
      <c r="L2556" s="261" t="str">
        <f>IFERROR(IF(VLOOKUP(A2556,[16]PRIORIZADOS!$A:$L,12,FALSE)="","",VLOOKUP(A2556,[16]PRIORIZADOS!$A:$L,12,FALSE)),"")</f>
        <v xml:space="preserve">SANDRA JAZMÍN BAQUERO CÓRDOBA
NELSON AUGUSTO CUBILLOS OLARTE
CLAUDIA PATRICIA GRANADOS FLÓREZ
</v>
      </c>
      <c r="M2556" s="262">
        <f>IFERROR(IF(VLOOKUP(A2556,[16]PRIORIZADOS!$A:$M,13,FALSE)="","",VLOOKUP(A2556,[16]PRIORIZADOS!$A:$M,13,FALSE)),"")</f>
        <v>45917</v>
      </c>
      <c r="N2556" s="262">
        <f>IFERROR(IF(VLOOKUP(A2556,[16]PRIORIZADOS!$A:$N,14,FALSE)="","",VLOOKUP(A2556,[16]PRIORIZADOS!$A:$N,14,FALSE)),"")</f>
        <v>45923</v>
      </c>
      <c r="O2556" s="262">
        <f>IFERROR(IF(VLOOKUP(A2556,[16]PRIORIZADOS!$A:$O,15,FALSE)="","",VLOOKUP(A2556,[16]PRIORIZADOS!$A:$O,15,FALSE)),"")</f>
        <v>45923</v>
      </c>
      <c r="P2556" s="261" t="str">
        <f>IFERROR(IF(VLOOKUP(A2556,[16]PRIORIZADOS!$A:$P,16,FALSE)="","",VLOOKUP(A2556,[16]PRIORIZADOS!$A:$P,16,FALSE)),"")</f>
        <v>Visitas de evaluación con fines de mejoramiento</v>
      </c>
      <c r="Q2556" s="7" t="s">
        <v>501</v>
      </c>
      <c r="R2556" s="261" t="str">
        <f>IFERROR(IF(VLOOKUP(A2556,[16]PRIORIZADOS!$A:$R,18,FALSE)="","",VLOOKUP(A2556,[16]PRIORIZADOS!$A:$R,18,FALSE)),"")</f>
        <v>Se evidencia carencia de espacios en la infraestructura como baño para población con discapacidad, área de primeros auxilios, cuarto de clasificación y cuarto de aseo. Debe ajustar manual de funciones, organigrama, manual de convivencia, reglamento docentes dado que se encuentran definiciones que no coinciden con al realidad institucional</v>
      </c>
      <c r="S2556" s="261" t="str">
        <f>IFERROR(IF(VLOOKUP(A2556,[16]PRIORIZADOS!$A:$S,19,FALSE)="","",VLOOKUP(A2556,[16]PRIORIZADOS!$A:$S,19,FALSE)),"")</f>
        <v>Presentación del PMI 4 de octubre de 2025</v>
      </c>
      <c r="T2556" s="70" t="str">
        <f>IFERROR(IF(VLOOKUP(A2556,[16]PRIORIZADOS!$A:$T,20,FALSE)="","",VLOOKUP(A2556,[16]PRIORIZADOS!$A:$T,20,FALSE)),"")</f>
        <v>Si</v>
      </c>
      <c r="U2556" s="11" t="str">
        <f>IFERROR(IF(VLOOKUP(A2556,[16]PRIORIZADOS!$A:$U,21,FALSE)="","",VLOOKUP(A2556,[16]PRIORIZADOS!$A:$U,21,FALSE)),"")</f>
        <v>Se revisara el plan de mejoramiento aportado para verificar su pertinencia y posterior seguimiento para su cumplimiento</v>
      </c>
    </row>
    <row r="2557" spans="1:21" s="1" customFormat="1" ht="84">
      <c r="A2557" s="69">
        <f>IF([16]PRIORIZADOS!A147="","",[16]PRIORIZADOS!A147)</f>
        <v>2540</v>
      </c>
      <c r="B2557" s="70">
        <f>IFERROR(IF(VLOOKUP(A2557,[16]PRIORIZADOS!$A:$B,2,FALSE)="","",VLOOKUP(A2557,[16]PRIORIZADOS!$A:$B,2,FALSE)),"")</f>
        <v>19</v>
      </c>
      <c r="C2557" s="261" t="str">
        <f>IFERROR(IF(VLOOKUP(A2557,[16]PRIORIZADOS!$A:$C,3,FALSE)="","",VLOOKUP(A2557,[16]PRIORIZADOS!$A:$C,3,FALSE)),"")</f>
        <v>TUNJUELITO</v>
      </c>
      <c r="D2557" s="261" t="str">
        <f>IFERROR(IF(VLOOKUP(A2557,[16]PRIORIZADOS!$A:$D,4,FALSE)="","",VLOOKUP(A2557,[16]PRIORIZADOS!$A:$D,4,FALSE)),"")</f>
        <v>PRIVADO_IETDH</v>
      </c>
      <c r="E2557" s="261" t="str">
        <f>IFERROR(IF(VLOOKUP(A2557,[16]PRIORIZADOS!$A:$E,5,FALSE)="","",VLOOKUP(A2557,[16]PRIORIZADOS!$A:$E,5,FALSE)),"")</f>
        <v>IETDH</v>
      </c>
      <c r="F2557" s="261" t="str">
        <f>IFERROR(IF(VLOOKUP(A2557,[16]PRIORIZADOS!$A:$F,6,FALSE)="","",VLOOKUP(A2557,[16]PRIORIZADOS!$A:$F,6,FALSE)),"")</f>
        <v>ACADEMIA_LATINOAMERICANA_DE_BELLEZA</v>
      </c>
      <c r="G2557" s="261" t="str">
        <f>IFERROR(IF(VLOOKUP(A2557,[16]PRIORIZADOS!$A:$G,7,FALSE)="","",VLOOKUP(A2557,[16]PRIORIZADOS!$A:$G,7,FALSE)),"")</f>
        <v>ACADEMIA LATINOAMERICANA DE BELLEZA</v>
      </c>
      <c r="H2557" s="261" t="str">
        <f>IFERROR(IF(VLOOKUP(A2557,[16]PRIORIZADOS!$A:$H,8,FALSE)="","",VLOOKUP(A2557,[16]PRIORIZADOS!$A:$H,8,FALSE)),"")</f>
        <v>IETDH priorizadas por cada ELIV (seguimiento a PMI, que no se hayan visitado en los últimos 3 años)</v>
      </c>
      <c r="I2557" s="261" t="str">
        <f>IFERROR(IF(VLOOKUP(A2557,[16]PRIORIZADOS!$A:$I,9,FALSE)="","",VLOOKUP(A2557,[16]PRIORIZADOS!$A:$I,9,FALSE)),"")</f>
        <v>SEGUIMIENTO_Y_SUPERVISIÓN.</v>
      </c>
      <c r="J2557" s="261" t="str">
        <f>IFERROR(IF(VLOOKUP(A2557,[16]PRIORIZADOS!$A:$J,10,FALSE)="","",VLOOKUP(A2557,[16]PRIORIZADOS!$A:$J,10,FALSE)),"")</f>
        <v>Verificar el registro de información de matrícula, novedades de la misma, estudiantes certificados y el cambio año a año de los costos totales de los programas aprobados de las IETDH; que estos se ajusten a lo establecido en la normatividad vigente (Índice de inflación), y que se encuentren plasmados en el contrato de matrícula.</v>
      </c>
      <c r="K2557" s="261" t="str">
        <f>IFERROR(IF(VLOOKUP(A2557,[16]PRIORIZADOS!$A:$K,11,FALSE)="","",VLOOKUP(A2557,[16]PRIORIZADOS!$A:$K,11,FALSE)),"")</f>
        <v>SANDRA JAZMÍN BAQUERO CÓRDOBA</v>
      </c>
      <c r="L2557" s="261" t="str">
        <f>IFERROR(IF(VLOOKUP(A2557,[16]PRIORIZADOS!$A:$L,12,FALSE)="","",VLOOKUP(A2557,[16]PRIORIZADOS!$A:$L,12,FALSE)),"")</f>
        <v xml:space="preserve">SANDRA JAZMÍN BAQUERO CÓRDOBA
NELSON AUGUSTO CUBILLOS OLARTE
CLAUDIA PATRICIA GRANADOS FLÓREZ
</v>
      </c>
      <c r="M2557" s="262">
        <f>IFERROR(IF(VLOOKUP(A2557,[16]PRIORIZADOS!$A:$M,13,FALSE)="","",VLOOKUP(A2557,[16]PRIORIZADOS!$A:$M,13,FALSE)),"")</f>
        <v>45728</v>
      </c>
      <c r="N2557" s="262">
        <f>IFERROR(IF(VLOOKUP(A2557,[16]PRIORIZADOS!$A:$N,14,FALSE)="","",VLOOKUP(A2557,[16]PRIORIZADOS!$A:$N,14,FALSE)),"")</f>
        <v>45728</v>
      </c>
      <c r="O2557" s="262">
        <f>IFERROR(IF(VLOOKUP(A2557,[16]PRIORIZADOS!$A:$O,15,FALSE)="","",VLOOKUP(A2557,[16]PRIORIZADOS!$A:$O,15,FALSE)),"")</f>
        <v>45728</v>
      </c>
      <c r="P2557" s="261" t="str">
        <f>IFERROR(IF(VLOOKUP(A2557,[16]PRIORIZADOS!$A:$P,16,FALSE)="","",VLOOKUP(A2557,[16]PRIORIZADOS!$A:$P,16,FALSE)),"")</f>
        <v>Visitas de evaluación con fines de seguimiento</v>
      </c>
      <c r="Q2557" s="5" t="s">
        <v>502</v>
      </c>
      <c r="R2557" s="261" t="str">
        <f>IFERROR(IF(VLOOKUP(A2557,[16]PRIORIZADOS!$A:$R,18,FALSE)="","",VLOOKUP(A2557,[16]PRIORIZADOS!$A:$R,18,FALSE)),"")</f>
        <v>Se encontró que los costos no están debidamente proyectados, los estudiantes matriculados son más que los estudiantes certificados</v>
      </c>
      <c r="S2557" s="261" t="str">
        <f>IFERROR(IF(VLOOKUP(A2557,[16]PRIORIZADOS!$A:$S,19,FALSE)="","",VLOOKUP(A2557,[16]PRIORIZADOS!$A:$S,19,FALSE)),"")</f>
        <v>Se solicitó remitir un informe al ELIV aclarando los costos y revisando el porque la diferencia tan marcada entre matriculados y certificados</v>
      </c>
      <c r="T2557" s="70" t="str">
        <f>IFERROR(IF(VLOOKUP(A2557,[16]PRIORIZADOS!$A:$T,20,FALSE)="","",VLOOKUP(A2557,[16]PRIORIZADOS!$A:$T,20,FALSE)),"")</f>
        <v>No</v>
      </c>
      <c r="U2557" s="11" t="str">
        <f>IFERROR(IF(VLOOKUP(A2557,[16]PRIORIZADOS!$A:$U,21,FALSE)="","",VLOOKUP(A2557,[16]PRIORIZADOS!$A:$U,21,FALSE)),"")</f>
        <v>Se practicó visita de seguimiento y quedaron subsanadas las observaciones</v>
      </c>
    </row>
    <row r="2558" spans="1:21" s="1" customFormat="1" ht="84">
      <c r="A2558" s="69">
        <f>IF([16]PRIORIZADOS!A148="","",[16]PRIORIZADOS!A148)</f>
        <v>2541</v>
      </c>
      <c r="B2558" s="70">
        <v>19</v>
      </c>
      <c r="C2558" s="261" t="str">
        <f>IFERROR(IF(VLOOKUP(A2558,[16]PRIORIZADOS!$A:$C,3,FALSE)="","",VLOOKUP(A2558,[16]PRIORIZADOS!$A:$C,3,FALSE)),"")</f>
        <v>TUNJUELITO</v>
      </c>
      <c r="D2558" s="261" t="str">
        <f>IFERROR(IF(VLOOKUP(A2558,[16]PRIORIZADOS!$A:$D,4,FALSE)="","",VLOOKUP(A2558,[16]PRIORIZADOS!$A:$D,4,FALSE)),"")</f>
        <v>PRIVADO_IETDH</v>
      </c>
      <c r="E2558" s="261" t="str">
        <f>IFERROR(IF(VLOOKUP(A2558,[16]PRIORIZADOS!$A:$E,5,FALSE)="","",VLOOKUP(A2558,[16]PRIORIZADOS!$A:$E,5,FALSE)),"")</f>
        <v>IETDH</v>
      </c>
      <c r="F2558" s="261" t="str">
        <f>IFERROR(IF(VLOOKUP(A2558,[16]PRIORIZADOS!$A:$F,6,FALSE)="","",VLOOKUP(A2558,[16]PRIORIZADOS!$A:$F,6,FALSE)),"")</f>
        <v>ACADEMIA_LATINOAMERICANA_DE_BELLEZA</v>
      </c>
      <c r="G2558" s="261" t="str">
        <f>IFERROR(IF(VLOOKUP(A2558,[16]PRIORIZADOS!$A:$G,7,FALSE)="","",VLOOKUP(A2558,[16]PRIORIZADOS!$A:$G,7,FALSE)),"")</f>
        <v>ACADEMIA LATINOAMERICANA DE BELLEZA</v>
      </c>
      <c r="H2558" s="261" t="str">
        <f>IFERROR(IF(VLOOKUP(A2558,[16]PRIORIZADOS!$A:$H,8,FALSE)="","",VLOOKUP(A2558,[16]PRIORIZADOS!$A:$H,8,FALSE)),"")</f>
        <v>IETDH priorizadas por cada ELIV (seguimiento a PMI, que no se hayan visitado en los últimos 3 años)</v>
      </c>
      <c r="I2558" s="261" t="str">
        <f>IFERROR(IF(VLOOKUP(A2558,[16]PRIORIZADOS!$A:$I,9,FALSE)="","",VLOOKUP(A2558,[16]PRIORIZADOS!$A:$I,9,FALSE)),"")</f>
        <v>SEGUIMIENTO_Y_SUPERVISIÓN.</v>
      </c>
      <c r="J2558" s="261" t="str">
        <f>IFERROR(IF(VLOOKUP(A2558,[16]PRIORIZADOS!$A:$J,10,FALSE)="","",VLOOKUP(A2558,[16]PRIORIZADOS!$A:$J,10,FALSE)),"")</f>
        <v>Adelantar visitas para verificar que el desarrollo de los programas de ETDH, esté de acuerdo con lo autorizado y la normatividad vigente, para propender por su pertinencia, legalidad y actualización constante.</v>
      </c>
      <c r="K2558" s="261" t="str">
        <f>IFERROR(IF(VLOOKUP(A2558,[16]PRIORIZADOS!$A:$K,11,FALSE)="","",VLOOKUP(A2558,[16]PRIORIZADOS!$A:$K,11,FALSE)),"")</f>
        <v>SANDRA JAZMÍN BAQUERO CÓRDOBA</v>
      </c>
      <c r="L2558" s="261" t="str">
        <f>IFERROR(IF(VLOOKUP(A2558,[16]PRIORIZADOS!$A:$L,12,FALSE)="","",VLOOKUP(A2558,[16]PRIORIZADOS!$A:$L,12,FALSE)),"")</f>
        <v xml:space="preserve">SANDRA JAZMÍN BAQUERO CÓRDOBA
NELSON AUGUSTO CUBILLOS OLARTE
CLAUDIA PATRICIA GRANADOS FLÓREZ
</v>
      </c>
      <c r="M2558" s="262">
        <f>IFERROR(IF(VLOOKUP(A2558,[16]PRIORIZADOS!$A:$M,13,FALSE)="","",VLOOKUP(A2558,[16]PRIORIZADOS!$A:$M,13,FALSE)),"")</f>
        <v>45728</v>
      </c>
      <c r="N2558" s="262">
        <f>IFERROR(IF(VLOOKUP(A2558,[16]PRIORIZADOS!$A:$N,14,FALSE)="","",VLOOKUP(A2558,[16]PRIORIZADOS!$A:$N,14,FALSE)),"")</f>
        <v>45728</v>
      </c>
      <c r="O2558" s="262">
        <f>IFERROR(IF(VLOOKUP(A2558,[16]PRIORIZADOS!$A:$O,15,FALSE)="","",VLOOKUP(A2558,[16]PRIORIZADOS!$A:$O,15,FALSE)),"")</f>
        <v>45728</v>
      </c>
      <c r="P2558" s="261" t="str">
        <f>IFERROR(IF(VLOOKUP(A2558,[16]PRIORIZADOS!$A:$P,16,FALSE)="","",VLOOKUP(A2558,[16]PRIORIZADOS!$A:$P,16,FALSE)),"")</f>
        <v>Visitas de evaluación con fines de seguimiento</v>
      </c>
      <c r="Q2558" s="5" t="s">
        <v>502</v>
      </c>
      <c r="R2558" s="261" t="str">
        <f>IFERROR(IF(VLOOKUP(A2558,[16]PRIORIZADOS!$A:$R,18,FALSE)="","",VLOOKUP(A2558,[16]PRIORIZADOS!$A:$R,18,FALSE)),"")</f>
        <v>Se encontró que los programas se están ofertando de acuerdo con lo aprobado en resolución</v>
      </c>
      <c r="S2558" s="261" t="str">
        <f>IFERROR(IF(VLOOKUP(A2558,[16]PRIORIZADOS!$A:$S,19,FALSE)="","",VLOOKUP(A2558,[16]PRIORIZADOS!$A:$S,19,FALSE)),"")</f>
        <v>Deben mejorar los formatos de seguimiento a los estudiantes tanto en la práctica como en la teoría</v>
      </c>
      <c r="T2558" s="70" t="str">
        <f>IFERROR(IF(VLOOKUP(A2558,[16]PRIORIZADOS!$A:$T,20,FALSE)="","",VLOOKUP(A2558,[16]PRIORIZADOS!$A:$T,20,FALSE)),"")</f>
        <v>No</v>
      </c>
      <c r="U2558" s="11" t="str">
        <f>IFERROR(IF(VLOOKUP(A2558,[16]PRIORIZADOS!$A:$U,21,FALSE)="","",VLOOKUP(A2558,[16]PRIORIZADOS!$A:$U,21,FALSE)),"")</f>
        <v>Se practicó visita de seguimiento y quedaron subsanadas las observaciones</v>
      </c>
    </row>
    <row r="2559" spans="1:21" s="1" customFormat="1" ht="84">
      <c r="A2559" s="69">
        <f>IF([16]PRIORIZADOS!A149="","",[16]PRIORIZADOS!A149)</f>
        <v>2542</v>
      </c>
      <c r="B2559" s="70">
        <v>19</v>
      </c>
      <c r="C2559" s="261" t="str">
        <f>IFERROR(IF(VLOOKUP(A2559,[16]PRIORIZADOS!$A:$C,3,FALSE)="","",VLOOKUP(A2559,[16]PRIORIZADOS!$A:$C,3,FALSE)),"")</f>
        <v>TUNJUELITO</v>
      </c>
      <c r="D2559" s="261" t="str">
        <f>IFERROR(IF(VLOOKUP(A2559,[16]PRIORIZADOS!$A:$D,4,FALSE)="","",VLOOKUP(A2559,[16]PRIORIZADOS!$A:$D,4,FALSE)),"")</f>
        <v>PRIVADO_IETDH</v>
      </c>
      <c r="E2559" s="261" t="str">
        <f>IFERROR(IF(VLOOKUP(A2559,[16]PRIORIZADOS!$A:$E,5,FALSE)="","",VLOOKUP(A2559,[16]PRIORIZADOS!$A:$E,5,FALSE)),"")</f>
        <v>IETDH</v>
      </c>
      <c r="F2559" s="261" t="str">
        <f>IFERROR(IF(VLOOKUP(A2559,[16]PRIORIZADOS!$A:$F,6,FALSE)="","",VLOOKUP(A2559,[16]PRIORIZADOS!$A:$F,6,FALSE)),"")</f>
        <v>ACADEMIA_LATINOAMERICANA_DE_BELLEZA</v>
      </c>
      <c r="G2559" s="261" t="str">
        <f>IFERROR(IF(VLOOKUP(A2559,[16]PRIORIZADOS!$A:$G,7,FALSE)="","",VLOOKUP(A2559,[16]PRIORIZADOS!$A:$G,7,FALSE)),"")</f>
        <v>ACADEMIA LATINOAMERICANA DE BELLEZA</v>
      </c>
      <c r="H2559" s="261" t="str">
        <f>IFERROR(IF(VLOOKUP(A2559,[16]PRIORIZADOS!$A:$H,8,FALSE)="","",VLOOKUP(A2559,[16]PRIORIZADOS!$A:$H,8,FALSE)),"")</f>
        <v>IETDH priorizadas por cada ELIV (seguimiento a PMI, que no se hayan visitado en los últimos 3 años)</v>
      </c>
      <c r="I2559" s="261" t="str">
        <f>IFERROR(IF(VLOOKUP(A2559,[16]PRIORIZADOS!$A:$I,9,FALSE)="","",VLOOKUP(A2559,[16]PRIORIZADOS!$A:$I,9,FALSE)),"")</f>
        <v>EVALUACIÓN_CON_FINES_DE_MEJORAMIENTO.</v>
      </c>
      <c r="J2559" s="261" t="str">
        <f>IFERROR(IF(VLOOKUP(A2559,[16]PRIORIZADOS!$A:$J,10,FALSE)="","",VLOOKUP(A2559,[16]PRIORIZADOS!$A:$J,10,FALSE)),"")</f>
        <v>Verificar las condiciones en cuanto a: la estructura administrativa, condiciones de la planta física y medios educativos adecuados.</v>
      </c>
      <c r="K2559" s="261" t="str">
        <f>IFERROR(IF(VLOOKUP(A2559,[16]PRIORIZADOS!$A:$K,11,FALSE)="","",VLOOKUP(A2559,[16]PRIORIZADOS!$A:$K,11,FALSE)),"")</f>
        <v>SANDRA JAZMÍN BAQUERO CÓRDOBA</v>
      </c>
      <c r="L2559" s="261" t="str">
        <f>IFERROR(IF(VLOOKUP(A2559,[16]PRIORIZADOS!$A:$L,12,FALSE)="","",VLOOKUP(A2559,[16]PRIORIZADOS!$A:$L,12,FALSE)),"")</f>
        <v xml:space="preserve">SANDRA JAZMÍN BAQUERO CÓRDOBA
NELSON AUGUSTO CUBILLOS OLARTE
CLAUDIA PATRICIA GRANADOS FLÓREZ
</v>
      </c>
      <c r="M2559" s="262">
        <f>IFERROR(IF(VLOOKUP(A2559,[16]PRIORIZADOS!$A:$M,13,FALSE)="","",VLOOKUP(A2559,[16]PRIORIZADOS!$A:$M,13,FALSE)),"")</f>
        <v>45728</v>
      </c>
      <c r="N2559" s="262">
        <f>IFERROR(IF(VLOOKUP(A2559,[16]PRIORIZADOS!$A:$N,14,FALSE)="","",VLOOKUP(A2559,[16]PRIORIZADOS!$A:$N,14,FALSE)),"")</f>
        <v>45728</v>
      </c>
      <c r="O2559" s="262">
        <f>IFERROR(IF(VLOOKUP(A2559,[16]PRIORIZADOS!$A:$O,15,FALSE)="","",VLOOKUP(A2559,[16]PRIORIZADOS!$A:$O,15,FALSE)),"")</f>
        <v>45728</v>
      </c>
      <c r="P2559" s="261" t="str">
        <f>IFERROR(IF(VLOOKUP(A2559,[16]PRIORIZADOS!$A:$P,16,FALSE)="","",VLOOKUP(A2559,[16]PRIORIZADOS!$A:$P,16,FALSE)),"")</f>
        <v>Visitas de evaluación con fines de mejoramiento</v>
      </c>
      <c r="Q2559" s="5" t="s">
        <v>502</v>
      </c>
      <c r="R2559" s="261" t="str">
        <f>IFERROR(IF(VLOOKUP(A2559,[16]PRIORIZADOS!$A:$R,18,FALSE)="","",VLOOKUP(A2559,[16]PRIORIZADOS!$A:$R,18,FALSE)),"")</f>
        <v>Se encontró que están utilizando el piso tercero y en licencia de funcionamiento sólo tienen autorizado el segundo</v>
      </c>
      <c r="S2559" s="261" t="str">
        <f>IFERROR(IF(VLOOKUP(A2559,[16]PRIORIZADOS!$A:$S,19,FALSE)="","",VLOOKUP(A2559,[16]PRIORIZADOS!$A:$S,19,FALSE)),"")</f>
        <v xml:space="preserve">La institución no debe utilizar el tercer piso </v>
      </c>
      <c r="T2559" s="70" t="str">
        <f>IFERROR(IF(VLOOKUP(A2559,[16]PRIORIZADOS!$A:$T,20,FALSE)="","",VLOOKUP(A2559,[16]PRIORIZADOS!$A:$T,20,FALSE)),"")</f>
        <v>No</v>
      </c>
      <c r="U2559" s="11" t="str">
        <f>IFERROR(IF(VLOOKUP(A2559,[16]PRIORIZADOS!$A:$U,21,FALSE)="","",VLOOKUP(A2559,[16]PRIORIZADOS!$A:$U,21,FALSE)),"")</f>
        <v>En visita se verificará que la institución no se encuentre prestando el servicio educativo en el 3 piso</v>
      </c>
    </row>
    <row r="2560" spans="1:21" s="1" customFormat="1" ht="48">
      <c r="A2560" s="69">
        <f>IF([17]PRIORIZADOS!A7="","",[17]PRIORIZADOS!A7)</f>
        <v>2543</v>
      </c>
      <c r="B2560" s="70">
        <f>IFERROR(IF(VLOOKUP(A2560,[17]PRIORIZADOS!$A:$B,2,FALSE)="","",VLOOKUP(A2560,[17]PRIORIZADOS!$A:$B,2,FALSE)),"")</f>
        <v>1</v>
      </c>
      <c r="C2560" s="11" t="str">
        <f>IFERROR(IF(VLOOKUP(A2560,[17]PRIORIZADOS!$A:$C,3,FALSE)="","",VLOOKUP(A2560,[17]PRIORIZADOS!$A:$C,3,FALSE)),"")</f>
        <v>USAQUÉN</v>
      </c>
      <c r="D2560" s="11" t="str">
        <f>IFERROR(IF(VLOOKUP(A2560,[17]PRIORIZADOS!$A:$D,4,FALSE)="","",VLOOKUP(A2560,[17]PRIORIZADOS!$A:$D,4,FALSE)),"")</f>
        <v>PRIVADO</v>
      </c>
      <c r="E2560" s="11" t="str">
        <f>IFERROR(IF(VLOOKUP(A2560,[17]PRIORIZADOS!$A:$E,5,FALSE)="","",VLOOKUP(A2560,[17]PRIORIZADOS!$A:$E,5,FALSE)),"")</f>
        <v>EPBM</v>
      </c>
      <c r="F2560" s="11" t="str">
        <f>IFERROR(IF(VLOOKUP(A2560,[17]PRIORIZADOS!$A:$F,6,FALSE)="","",VLOOKUP(A2560,[17]PRIORIZADOS!$A:$F,6,FALSE)),"")</f>
        <v>COLEGIO_ALFRED_MARSHALL</v>
      </c>
      <c r="G2560" s="11" t="str">
        <f>IFERROR(IF(VLOOKUP(A2560,[17]PRIORIZADOS!$A:$G,7,FALSE)="","",VLOOKUP(A2560,[17]PRIORIZADOS!$A:$G,7,FALSE)),"")</f>
        <v>COLEGIO ALFRED MARSHALL</v>
      </c>
      <c r="H2560" s="11" t="str">
        <f>IFERROR(IF(VLOOKUP(A2560,[17]PRIORIZADOS!$A:$H,8,FALSE)="","",VLOOKUP(A2560,[17]PRIORIZADOS!$A:$H,8,FALSE)),"")</f>
        <v>Autoevaluación Institucional y Pruebas SABER 11</v>
      </c>
      <c r="I2560" s="11" t="str">
        <f>IFERROR(IF(VLOOKUP(A2560,[17]PRIORIZADOS!$A:$I,9,FALSE)="","",VLOOKUP(A2560,[17]PRIORIZADOS!$A:$I,9,FALSE)),"")</f>
        <v>SEGUIMIENTO_Y_SUPERVISIÓN.</v>
      </c>
      <c r="J2560" s="11" t="str">
        <f>IFERROR(IF(VLOOKUP(A2560,[17]PRIORIZADOS!$A:$J,10,FALSE)="","",VLOOKUP(A2560,[17]PRIORIZADOS!$A:$J,10,FALSE)),"")</f>
        <v>Realizar visitas para verificar la información registrada sobre la autoevaluación institucional en el aplicativo EVI, a los establecimientos de educación formal no oficial.</v>
      </c>
      <c r="K2560" s="11" t="str">
        <f>IFERROR(IF(VLOOKUP(A2560,[17]PRIORIZADOS!$A:$K,11,FALSE)="","",VLOOKUP(A2560,[17]PRIORIZADOS!$A:$K,11,FALSE)),"")</f>
        <v>MARTHA LUCIA OLAYA VARGAS</v>
      </c>
      <c r="L2560" s="11" t="str">
        <f>IFERROR(IF(VLOOKUP(A2560,[17]PRIORIZADOS!$A:$L,12,FALSE)="","",VLOOKUP(A2560,[17]PRIORIZADOS!$A:$L,12,FALSE)),"")</f>
        <v>MARIA TERESA GAVIRIA LOZANO</v>
      </c>
      <c r="M2560" s="71">
        <f>IFERROR(IF(VLOOKUP(A2560,[17]PRIORIZADOS!$A:$M,13,FALSE)="","",VLOOKUP(A2560,[17]PRIORIZADOS!$A:$M,13,FALSE)),"")</f>
        <v>45771</v>
      </c>
      <c r="N2560" s="71">
        <f>IFERROR(IF(VLOOKUP(A2560,[17]PRIORIZADOS!$A:$N,14,FALSE)="","",VLOOKUP(A2560,[17]PRIORIZADOS!$A:$N,14,FALSE)),"")</f>
        <v>45771</v>
      </c>
      <c r="O2560" s="71">
        <f>IFERROR(IF(VLOOKUP(A2560,[17]PRIORIZADOS!$A:$O,15,FALSE)="","",VLOOKUP(A2560,[17]PRIORIZADOS!$A:$O,15,FALSE)),"")</f>
        <v>45771</v>
      </c>
      <c r="P2560" s="11" t="str">
        <f>IFERROR(IF(VLOOKUP(A2560,[17]PRIORIZADOS!$A:$P,16,FALSE)="","",VLOOKUP(A2560,[17]PRIORIZADOS!$A:$P,16,FALSE)),"")</f>
        <v>Visitas de evaluación con fines de seguimiento</v>
      </c>
      <c r="Q2560" s="125" t="s">
        <v>503</v>
      </c>
      <c r="R2560" s="11" t="str">
        <f>IFERROR(IF(VLOOKUP(A2560,[17]PRIORIZADOS!$A:$R,18,FALSE)="","",VLOOKUP(A2560,[17]PRIORIZADOS!$A:$R,18,FALSE)),"")</f>
        <v xml:space="preserve">Se evidenció que los docentes están vinculados por contratos de prestación de servicios.
</v>
      </c>
      <c r="S2560" s="11" t="str">
        <f>IFERROR(IF(VLOOKUP(A2560,[17]PRIORIZADOS!$A:$S,19,FALSE)="","",VLOOKUP(A2560,[17]PRIORIZADOS!$A:$S,19,FALSE)),"")</f>
        <v>Realizar vinculación de los docentes mediante relación laboral con la Institución e incorporar como acción del plan de mejoramiento institucional.</v>
      </c>
      <c r="T2560" s="70" t="str">
        <f>IFERROR(IF(VLOOKUP(A2560,[17]PRIORIZADOS!$A:$T,20,FALSE)="","",VLOOKUP(A2560,[17]PRIORIZADOS!$A:$T,20,FALSE)),"")</f>
        <v>Si</v>
      </c>
      <c r="U2560" s="11" t="str">
        <f>IFERROR(IF(VLOOKUP(A2560,[17]PRIORIZADOS!$A:$U,21,FALSE)="","",VLOOKUP(A2560,[17]PRIORIZADOS!$A:$U,21,FALSE)),"")</f>
        <v>Se verificará que la institución modifique sus contratos laborales con los docentes, de acuerdo con su plan de mejora: 15/07/2025</v>
      </c>
    </row>
    <row r="2561" spans="1:21" s="1" customFormat="1" ht="130.5">
      <c r="A2561" s="69">
        <f>IF([17]PRIORIZADOS!A8="","",[17]PRIORIZADOS!A8)</f>
        <v>2544</v>
      </c>
      <c r="B2561" s="70">
        <v>1</v>
      </c>
      <c r="C2561" s="11" t="str">
        <f>IFERROR(IF(VLOOKUP(A2561,[17]PRIORIZADOS!$A:$C,3,FALSE)="","",VLOOKUP(A2561,[17]PRIORIZADOS!$A:$C,3,FALSE)),"")</f>
        <v>USAQUÉN</v>
      </c>
      <c r="D2561" s="11" t="str">
        <f>IFERROR(IF(VLOOKUP(A2561,[17]PRIORIZADOS!$A:$D,4,FALSE)="","",VLOOKUP(A2561,[17]PRIORIZADOS!$A:$D,4,FALSE)),"")</f>
        <v>PRIVADO</v>
      </c>
      <c r="E2561" s="11" t="str">
        <f>IFERROR(IF(VLOOKUP(A2561,[17]PRIORIZADOS!$A:$E,5,FALSE)="","",VLOOKUP(A2561,[17]PRIORIZADOS!$A:$E,5,FALSE)),"")</f>
        <v>EPBM</v>
      </c>
      <c r="F2561" s="11" t="str">
        <f>IFERROR(IF(VLOOKUP(A2561,[17]PRIORIZADOS!$A:$F,6,FALSE)="","",VLOOKUP(A2561,[17]PRIORIZADOS!$A:$F,6,FALSE)),"")</f>
        <v>COLEGIO_ALFRED_MARSHALL</v>
      </c>
      <c r="G2561" s="11" t="str">
        <f>IFERROR(IF(VLOOKUP(A2561,[17]PRIORIZADOS!$A:$G,7,FALSE)="","",VLOOKUP(A2561,[17]PRIORIZADOS!$A:$G,7,FALSE)),"")</f>
        <v>COLEGIO ALFRED MARSHALL</v>
      </c>
      <c r="H2561" s="11" t="str">
        <f>IFERROR(IF(VLOOKUP(A2561,[17]PRIORIZADOS!$A:$H,8,FALSE)="","",VLOOKUP(A2561,[17]PRIORIZADOS!$A:$H,8,FALSE)),"")</f>
        <v>Autoevaluación Institucional y Pruebas SABER 11</v>
      </c>
      <c r="I2561" s="11" t="str">
        <f>IFERROR(IF(VLOOKUP(A2561,[17]PRIORIZADOS!$A:$I,9,FALSE)="","",VLOOKUP(A2561,[17]PRIORIZADOS!$A:$I,9,FALSE)),"")</f>
        <v>SEGUIMIENTO_Y_SUPERVISIÓN.</v>
      </c>
      <c r="J2561" s="11" t="str">
        <f>IFERROR(IF(VLOOKUP(A2561,[17]PRIORIZADOS!$A:$J,10,FALSE)="","",VLOOKUP(A2561,[17]PRIORIZADOS!$A:$J,10,FALSE)),"")</f>
        <v>Proponer estrategias en la formulación, verificar su elaboración y realizar seguimiento semestral al desarrollo de  las acciones establecidas en los planes de mejoramiento por pruebas SABER 11 de los establecimientos de educación formal.</v>
      </c>
      <c r="K2561" s="11" t="str">
        <f>IFERROR(IF(VLOOKUP(A2561,[17]PRIORIZADOS!$A:$K,11,FALSE)="","",VLOOKUP(A2561,[17]PRIORIZADOS!$A:$K,11,FALSE)),"")</f>
        <v>MARTHA LUCIA OLAYA VARGAS</v>
      </c>
      <c r="L2561" s="11" t="str">
        <f>IFERROR(IF(VLOOKUP(A2561,[17]PRIORIZADOS!$A:$L,12,FALSE)="","",VLOOKUP(A2561,[17]PRIORIZADOS!$A:$L,12,FALSE)),"")</f>
        <v>MARIA TERESA GAVIRIA LOZANO</v>
      </c>
      <c r="M2561" s="71">
        <f>IFERROR(IF(VLOOKUP(A2561,[17]PRIORIZADOS!$A:$M,13,FALSE)="","",VLOOKUP(A2561,[17]PRIORIZADOS!$A:$M,13,FALSE)),"")</f>
        <v>45771</v>
      </c>
      <c r="N2561" s="71">
        <f>IFERROR(IF(VLOOKUP(A2561,[17]PRIORIZADOS!$A:$N,14,FALSE)="","",VLOOKUP(A2561,[17]PRIORIZADOS!$A:$N,14,FALSE)),"")</f>
        <v>45771</v>
      </c>
      <c r="O2561" s="71">
        <f>IFERROR(IF(VLOOKUP(A2561,[17]PRIORIZADOS!$A:$O,15,FALSE)="","",VLOOKUP(A2561,[17]PRIORIZADOS!$A:$O,15,FALSE)),"")</f>
        <v>45771</v>
      </c>
      <c r="P2561" s="11" t="str">
        <f>IFERROR(IF(VLOOKUP(A2561,[17]PRIORIZADOS!$A:$P,16,FALSE)="","",VLOOKUP(A2561,[17]PRIORIZADOS!$A:$P,16,FALSE)),"")</f>
        <v>Visitas de evaluación con fines de seguimiento</v>
      </c>
      <c r="Q2561" s="125" t="s">
        <v>503</v>
      </c>
      <c r="R2561" s="11" t="str">
        <f>IFERROR(IF(VLOOKUP(A2561,[17]PRIORIZADOS!$A:$R,18,FALSE)="","",VLOOKUP(A2561,[17]PRIORIZADOS!$A:$R,18,FALSE)),"")</f>
        <v>Realizaron plan de mejora por áreas, a partir de 5 fases: Diagnóstico y evaluación;  Diseño de estrategias de intervención; Implementación y seguimiento; Evaluación y ajustes y Preparación para el día de la prueba.
A partir del mes de mayo inician las fases de implementación y evaluación, para realizar los ajustes a partir del mes de junio.</v>
      </c>
      <c r="S2561" s="11" t="str">
        <f>IFERROR(IF(VLOOKUP(A2561,[17]PRIORIZADOS!$A:$S,19,FALSE)="","",VLOOKUP(A2561,[17]PRIORIZADOS!$A:$S,19,FALSE)),"")</f>
        <v>Realizar ajuste al Plan de estudios y al curriculum e incorporar como acción del plan de mejoramiento institucional.</v>
      </c>
      <c r="T2561" s="70" t="str">
        <f>IFERROR(IF(VLOOKUP(A2561,[17]PRIORIZADOS!$A:$T,20,FALSE)="","",VLOOKUP(A2561,[17]PRIORIZADOS!$A:$T,20,FALSE)),"")</f>
        <v>Si</v>
      </c>
      <c r="U2561" s="11" t="str">
        <f>IFERROR(IF(VLOOKUP(A2561,[17]PRIORIZADOS!$A:$U,21,FALSE)="","",VLOOKUP(A2561,[17]PRIORIZADOS!$A:$U,21,FALSE)),"")</f>
        <v>Revisar el ajuste al Plan de estudios y el curriculum del grado 11, de acuerdo con el plan de mejora: 17/07/2025</v>
      </c>
    </row>
    <row r="2562" spans="1:21" s="1" customFormat="1" ht="142.5">
      <c r="A2562" s="69">
        <f>IF([17]PRIORIZADOS!A9="","",[17]PRIORIZADOS!A9)</f>
        <v>2545</v>
      </c>
      <c r="B2562" s="70">
        <v>1</v>
      </c>
      <c r="C2562" s="11" t="str">
        <f>IFERROR(IF(VLOOKUP(A2562,[17]PRIORIZADOS!$A:$C,3,FALSE)="","",VLOOKUP(A2562,[17]PRIORIZADOS!$A:$C,3,FALSE)),"")</f>
        <v>USAQUÉN</v>
      </c>
      <c r="D2562" s="11" t="str">
        <f>IFERROR(IF(VLOOKUP(A2562,[17]PRIORIZADOS!$A:$D,4,FALSE)="","",VLOOKUP(A2562,[17]PRIORIZADOS!$A:$D,4,FALSE)),"")</f>
        <v>PRIVADO</v>
      </c>
      <c r="E2562" s="11" t="str">
        <f>IFERROR(IF(VLOOKUP(A2562,[17]PRIORIZADOS!$A:$E,5,FALSE)="","",VLOOKUP(A2562,[17]PRIORIZADOS!$A:$E,5,FALSE)),"")</f>
        <v>EPBM</v>
      </c>
      <c r="F2562" s="11" t="str">
        <f>IFERROR(IF(VLOOKUP(A2562,[17]PRIORIZADOS!$A:$F,6,FALSE)="","",VLOOKUP(A2562,[17]PRIORIZADOS!$A:$F,6,FALSE)),"")</f>
        <v>COLEGIO_ALFRED_MARSHALL</v>
      </c>
      <c r="G2562" s="11" t="str">
        <f>IFERROR(IF(VLOOKUP(A2562,[17]PRIORIZADOS!$A:$G,7,FALSE)="","",VLOOKUP(A2562,[17]PRIORIZADOS!$A:$G,7,FALSE)),"")</f>
        <v>COLEGIO ALFRED MARSHALL</v>
      </c>
      <c r="H2562" s="11" t="str">
        <f>IFERROR(IF(VLOOKUP(A2562,[17]PRIORIZADOS!$A:$H,8,FALSE)="","",VLOOKUP(A2562,[17]PRIORIZADOS!$A:$H,8,FALSE)),"")</f>
        <v>Autoevaluación Institucional y Pruebas SABER 11</v>
      </c>
      <c r="I2562" s="11" t="str">
        <f>IFERROR(IF(VLOOKUP(A2562,[17]PRIORIZADOS!$A:$I,9,FALSE)="","",VLOOKUP(A2562,[17]PRIORIZADOS!$A:$I,9,FALSE)),"")</f>
        <v>SEGUIMIENTO_Y_SUPERVISIÓN.</v>
      </c>
      <c r="J2562" s="11" t="str">
        <f>IFERROR(IF(VLOOKUP(A2562,[17]PRIORIZADOS!$A:$J,10,FALSE)="","",VLOOKUP(A2562,[17]PRIORIZADOS!$A:$J,10,FALSE)),"")</f>
        <v xml:space="preserve">Verificar la implementación por parte de los colegios, de acciones realizadas para la prevención y atención de las situaciones de convivencia en el entorno escolar, según lo establecido en la Directiva 01 de 2022 del MEN. </v>
      </c>
      <c r="K2562" s="11" t="str">
        <f>IFERROR(IF(VLOOKUP(A2562,[17]PRIORIZADOS!$A:$K,11,FALSE)="","",VLOOKUP(A2562,[17]PRIORIZADOS!$A:$K,11,FALSE)),"")</f>
        <v>MARTHA LUCIA OLAYA VARGAS</v>
      </c>
      <c r="L2562" s="11" t="str">
        <f>IFERROR(IF(VLOOKUP(A2562,[17]PRIORIZADOS!$A:$L,12,FALSE)="","",VLOOKUP(A2562,[17]PRIORIZADOS!$A:$L,12,FALSE)),"")</f>
        <v>MARIA TERESA GAVIRIA LOZANO</v>
      </c>
      <c r="M2562" s="71">
        <f>IFERROR(IF(VLOOKUP(A2562,[17]PRIORIZADOS!$A:$M,13,FALSE)="","",VLOOKUP(A2562,[17]PRIORIZADOS!$A:$M,13,FALSE)),"")</f>
        <v>45771</v>
      </c>
      <c r="N2562" s="71">
        <f>IFERROR(IF(VLOOKUP(A2562,[17]PRIORIZADOS!$A:$N,14,FALSE)="","",VLOOKUP(A2562,[17]PRIORIZADOS!$A:$N,14,FALSE)),"")</f>
        <v>45771</v>
      </c>
      <c r="O2562" s="71">
        <f>IFERROR(IF(VLOOKUP(A2562,[17]PRIORIZADOS!$A:$O,15,FALSE)="","",VLOOKUP(A2562,[17]PRIORIZADOS!$A:$O,15,FALSE)),"")</f>
        <v>45771</v>
      </c>
      <c r="P2562" s="11" t="str">
        <f>IFERROR(IF(VLOOKUP(A2562,[17]PRIORIZADOS!$A:$P,16,FALSE)="","",VLOOKUP(A2562,[17]PRIORIZADOS!$A:$P,16,FALSE)),"")</f>
        <v>Visitas de evaluación con fines de seguimiento</v>
      </c>
      <c r="Q2562" s="125" t="s">
        <v>503</v>
      </c>
      <c r="R2562" s="11" t="str">
        <f>IFERROR(IF(VLOOKUP(A2562,[17]PRIORIZADOS!$A:$R,18,FALSE)="","",VLOOKUP(A2562,[17]PRIORIZADOS!$A:$R,18,FALSE)),"")</f>
        <v>Tienen definido el comité de convivencia y la ruta de atención integral de cada una de las situaciones de convivencia escolar, sin embargo no ha sido socializado con padres. No se han presentado situaciones que requieran el reporte
Realizan la consulta en línea de antecedentes penales y requerimientos judiciales de la Policia Nacional cada 4 meses para elpersonal administrativo y docente.</v>
      </c>
      <c r="S2562" s="11" t="str">
        <f>IFERROR(IF(VLOOKUP(A2562,[17]PRIORIZADOS!$A:$S,19,FALSE)="","",VLOOKUP(A2562,[17]PRIORIZADOS!$A:$S,19,FALSE)),"")</f>
        <v>Socializar a los padres de familia la ruta de atención y los protocolos para la atención de situaciones de convivencia</v>
      </c>
      <c r="T2562" s="70" t="str">
        <f>IFERROR(IF(VLOOKUP(A2562,[17]PRIORIZADOS!$A:$T,20,FALSE)="","",VLOOKUP(A2562,[17]PRIORIZADOS!$A:$T,20,FALSE)),"")</f>
        <v>Si</v>
      </c>
      <c r="U2562" s="11" t="str">
        <f>IFERROR(IF(VLOOKUP(A2562,[17]PRIORIZADOS!$A:$U,21,FALSE)="","",VLOOKUP(A2562,[17]PRIORIZADOS!$A:$U,21,FALSE)),"")</f>
        <v>Realizar Escuela de Padres de Familia, de acuerdo con el plan de mejora: 15/07/2025</v>
      </c>
    </row>
    <row r="2563" spans="1:21" s="1" customFormat="1" ht="72">
      <c r="A2563" s="69">
        <f>IF([17]PRIORIZADOS!A10="","",[17]PRIORIZADOS!A10)</f>
        <v>2546</v>
      </c>
      <c r="B2563" s="70">
        <v>1</v>
      </c>
      <c r="C2563" s="11" t="str">
        <f>IFERROR(IF(VLOOKUP(A2563,[17]PRIORIZADOS!$A:$C,3,FALSE)="","",VLOOKUP(A2563,[17]PRIORIZADOS!$A:$C,3,FALSE)),"")</f>
        <v>USAQUÉN</v>
      </c>
      <c r="D2563" s="11" t="str">
        <f>IFERROR(IF(VLOOKUP(A2563,[17]PRIORIZADOS!$A:$D,4,FALSE)="","",VLOOKUP(A2563,[17]PRIORIZADOS!$A:$D,4,FALSE)),"")</f>
        <v>PRIVADO</v>
      </c>
      <c r="E2563" s="11" t="str">
        <f>IFERROR(IF(VLOOKUP(A2563,[17]PRIORIZADOS!$A:$E,5,FALSE)="","",VLOOKUP(A2563,[17]PRIORIZADOS!$A:$E,5,FALSE)),"")</f>
        <v>EPBM</v>
      </c>
      <c r="F2563" s="11" t="str">
        <f>IFERROR(IF(VLOOKUP(A2563,[17]PRIORIZADOS!$A:$F,6,FALSE)="","",VLOOKUP(A2563,[17]PRIORIZADOS!$A:$F,6,FALSE)),"")</f>
        <v>COLEGIO_ALFRED_MARSHALL</v>
      </c>
      <c r="G2563" s="11" t="str">
        <f>IFERROR(IF(VLOOKUP(A2563,[17]PRIORIZADOS!$A:$G,7,FALSE)="","",VLOOKUP(A2563,[17]PRIORIZADOS!$A:$G,7,FALSE)),"")</f>
        <v>COLEGIO ALFRED MARSHALL</v>
      </c>
      <c r="H2563" s="11" t="str">
        <f>IFERROR(IF(VLOOKUP(A2563,[17]PRIORIZADOS!$A:$H,8,FALSE)="","",VLOOKUP(A2563,[17]PRIORIZADOS!$A:$H,8,FALSE)),"")</f>
        <v>Autoevaluación Institucional y Pruebas SABER 11</v>
      </c>
      <c r="I2563" s="11" t="str">
        <f>IFERROR(IF(VLOOKUP(A2563,[17]PRIORIZADOS!$A:$I,9,FALSE)="","",VLOOKUP(A2563,[17]PRIORIZADOS!$A:$I,9,FALSE)),"")</f>
        <v>SEGUIMIENTO_Y_SUPERVISIÓN.</v>
      </c>
      <c r="J2563" s="11" t="str">
        <f>IFERROR(IF(VLOOKUP(A2563,[17]PRIORIZADOS!$A:$J,10,FALSE)="","",VLOOKUP(A2563,[17]PRIORIZADOS!$A:$J,10,FALSE)),"")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63" s="11" t="str">
        <f>IFERROR(IF(VLOOKUP(A2563,[17]PRIORIZADOS!$A:$K,11,FALSE)="","",VLOOKUP(A2563,[17]PRIORIZADOS!$A:$K,11,FALSE)),"")</f>
        <v>MARTHA LUCIA OLAYA VARGAS</v>
      </c>
      <c r="L2563" s="11" t="str">
        <f>IFERROR(IF(VLOOKUP(A2563,[17]PRIORIZADOS!$A:$L,12,FALSE)="","",VLOOKUP(A2563,[17]PRIORIZADOS!$A:$L,12,FALSE)),"")</f>
        <v>MARIA TERESA GAVIRIA LOZANO</v>
      </c>
      <c r="M2563" s="71">
        <f>IFERROR(IF(VLOOKUP(A2563,[17]PRIORIZADOS!$A:$M,13,FALSE)="","",VLOOKUP(A2563,[17]PRIORIZADOS!$A:$M,13,FALSE)),"")</f>
        <v>45771</v>
      </c>
      <c r="N2563" s="71">
        <f>IFERROR(IF(VLOOKUP(A2563,[17]PRIORIZADOS!$A:$N,14,FALSE)="","",VLOOKUP(A2563,[17]PRIORIZADOS!$A:$N,14,FALSE)),"")</f>
        <v>45771</v>
      </c>
      <c r="O2563" s="71">
        <f>IFERROR(IF(VLOOKUP(A2563,[17]PRIORIZADOS!$A:$O,15,FALSE)="","",VLOOKUP(A2563,[17]PRIORIZADOS!$A:$O,15,FALSE)),"")</f>
        <v>45771</v>
      </c>
      <c r="P2563" s="11" t="str">
        <f>IFERROR(IF(VLOOKUP(A2563,[17]PRIORIZADOS!$A:$P,16,FALSE)="","",VLOOKUP(A2563,[17]PRIORIZADOS!$A:$P,16,FALSE)),"")</f>
        <v>Visitas de evaluación con fines de seguimiento</v>
      </c>
      <c r="Q2563" s="125" t="s">
        <v>503</v>
      </c>
      <c r="R2563" s="11" t="str">
        <f>IFERROR(IF(VLOOKUP(A2563,[17]PRIORIZADOS!$A:$R,18,FALSE)="","",VLOOKUP(A2563,[17]PRIORIZADOS!$A:$R,18,FALSE)),"")</f>
        <v>La Instución no cuenta con estudiantes con discapacidad, transtornos del aprendizaje o talentos excepcionales, por lo que no cuenta con Planes Individuales de Ajustes Razonables - PIAR.</v>
      </c>
      <c r="S2563" s="11" t="str">
        <f>IFERROR(IF(VLOOKUP(A2563,[17]PRIORIZADOS!$A:$S,19,FALSE)="","",VLOOKUP(A2563,[17]PRIORIZADOS!$A:$S,19,FALSE)),"")</f>
        <v>Debe incluir en el PEI y el Manual de Convivencia lo definido en el Decreto 1421 de 2017, frente a la elaboración, actualización y desarrollo de los Planes Individuales de Ajustes Razonables - PIAR</v>
      </c>
      <c r="T2563" s="70" t="str">
        <f>IFERROR(IF(VLOOKUP(A2563,[17]PRIORIZADOS!$A:$T,20,FALSE)="","",VLOOKUP(A2563,[17]PRIORIZADOS!$A:$T,20,FALSE)),"")</f>
        <v>Si</v>
      </c>
      <c r="U2563" s="11" t="str">
        <f>IFERROR(IF(VLOOKUP(A2563,[17]PRIORIZADOS!$A:$U,21,FALSE)="","",VLOOKUP(A2563,[17]PRIORIZADOS!$A:$U,21,FALSE)),"")</f>
        <v>Revisar la inclusión de este ítem en el Manual de Convivencia, de acuerdo con el plan de mejora: 15/07/2025</v>
      </c>
    </row>
    <row r="2564" spans="1:21" s="1" customFormat="1" ht="84">
      <c r="A2564" s="69">
        <f>IF([17]PRIORIZADOS!A11="","",[17]PRIORIZADOS!A11)</f>
        <v>2547</v>
      </c>
      <c r="B2564" s="70">
        <v>1</v>
      </c>
      <c r="C2564" s="11" t="str">
        <f>IFERROR(IF(VLOOKUP(A2564,[17]PRIORIZADOS!$A:$C,3,FALSE)="","",VLOOKUP(A2564,[17]PRIORIZADOS!$A:$C,3,FALSE)),"")</f>
        <v>USAQUÉN</v>
      </c>
      <c r="D2564" s="11" t="str">
        <f>IFERROR(IF(VLOOKUP(A2564,[17]PRIORIZADOS!$A:$D,4,FALSE)="","",VLOOKUP(A2564,[17]PRIORIZADOS!$A:$D,4,FALSE)),"")</f>
        <v>PRIVADO</v>
      </c>
      <c r="E2564" s="11" t="str">
        <f>IFERROR(IF(VLOOKUP(A2564,[17]PRIORIZADOS!$A:$E,5,FALSE)="","",VLOOKUP(A2564,[17]PRIORIZADOS!$A:$E,5,FALSE)),"")</f>
        <v>EPBM</v>
      </c>
      <c r="F2564" s="11" t="str">
        <f>IFERROR(IF(VLOOKUP(A2564,[17]PRIORIZADOS!$A:$F,6,FALSE)="","",VLOOKUP(A2564,[17]PRIORIZADOS!$A:$F,6,FALSE)),"")</f>
        <v>COLEGIO_ALFRED_MARSHALL</v>
      </c>
      <c r="G2564" s="11" t="str">
        <f>IFERROR(IF(VLOOKUP(A2564,[17]PRIORIZADOS!$A:$G,7,FALSE)="","",VLOOKUP(A2564,[17]PRIORIZADOS!$A:$G,7,FALSE)),"")</f>
        <v>COLEGIO ALFRED MARSHALL</v>
      </c>
      <c r="H2564" s="11" t="str">
        <f>IFERROR(IF(VLOOKUP(A2564,[17]PRIORIZADOS!$A:$H,8,FALSE)="","",VLOOKUP(A2564,[17]PRIORIZADOS!$A:$H,8,FALSE)),"")</f>
        <v>Autoevaluación Institucional y Pruebas SABER 11</v>
      </c>
      <c r="I2564" s="11" t="str">
        <f>IFERROR(IF(VLOOKUP(A2564,[17]PRIORIZADOS!$A:$I,9,FALSE)="","",VLOOKUP(A2564,[17]PRIORIZADOS!$A:$I,9,FALSE)),"")</f>
        <v>EVALUACIÓN_CON_FINES_DE_MEJORAMIENTO.</v>
      </c>
      <c r="J2564" s="11" t="str">
        <f>IFERROR(IF(VLOOKUP(A2564,[17]PRIORIZADOS!$A:$J,10,FALSE)="","",VLOOKUP(A2564,[17]PRIORIZADOS!$A:$J,10,FALSE)),"")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64" s="11" t="str">
        <f>IFERROR(IF(VLOOKUP(A2564,[17]PRIORIZADOS!$A:$K,11,FALSE)="","",VLOOKUP(A2564,[17]PRIORIZADOS!$A:$K,11,FALSE)),"")</f>
        <v>MARTHA LUCIA OLAYA VARGAS</v>
      </c>
      <c r="L2564" s="11" t="str">
        <f>IFERROR(IF(VLOOKUP(A2564,[17]PRIORIZADOS!$A:$L,12,FALSE)="","",VLOOKUP(A2564,[17]PRIORIZADOS!$A:$L,12,FALSE)),"")</f>
        <v>MARIA TERESA GAVIRIA LOZANO</v>
      </c>
      <c r="M2564" s="71">
        <f>IFERROR(IF(VLOOKUP(A2564,[17]PRIORIZADOS!$A:$M,13,FALSE)="","",VLOOKUP(A2564,[17]PRIORIZADOS!$A:$M,13,FALSE)),"")</f>
        <v>45771</v>
      </c>
      <c r="N2564" s="71">
        <f>IFERROR(IF(VLOOKUP(A2564,[17]PRIORIZADOS!$A:$N,14,FALSE)="","",VLOOKUP(A2564,[17]PRIORIZADOS!$A:$N,14,FALSE)),"")</f>
        <v>45771</v>
      </c>
      <c r="O2564" s="71">
        <f>IFERROR(IF(VLOOKUP(A2564,[17]PRIORIZADOS!$A:$O,15,FALSE)="","",VLOOKUP(A2564,[17]PRIORIZADOS!$A:$O,15,FALSE)),"")</f>
        <v>45771</v>
      </c>
      <c r="P2564" s="11" t="str">
        <f>IFERROR(IF(VLOOKUP(A2564,[17]PRIORIZADOS!$A:$P,16,FALSE)="","",VLOOKUP(A2564,[17]PRIORIZADOS!$A:$P,16,FALSE)),"")</f>
        <v>Visitas de evaluación con fines de mejoramiento</v>
      </c>
      <c r="Q2564" s="125" t="s">
        <v>503</v>
      </c>
      <c r="R2564" s="11" t="str">
        <f>IFERROR(IF(VLOOKUP(A2564,[17]PRIORIZADOS!$A:$R,18,FALSE)="","",VLOOKUP(A2564,[17]PRIORIZADOS!$A:$R,18,FALSE)),"")</f>
        <v>Cuentan con el Manual de Convivencia del año anterior 2024, el cual se aprobó y socializó de acuerdo con la normatividad vigente. 
Para el año 2025 aun esta en ajustes.</v>
      </c>
      <c r="S2564" s="11" t="str">
        <f>IFERROR(IF(VLOOKUP(A2564,[17]PRIORIZADOS!$A:$S,19,FALSE)="","",VLOOKUP(A2564,[17]PRIORIZADOS!$A:$S,19,FALSE)),"")</f>
        <v>Actualizar el Manual de convivencia anualmente y enviar a la Dirección Local de Educación de la Localidad de Usaquén.</v>
      </c>
      <c r="T2564" s="70" t="str">
        <f>IFERROR(IF(VLOOKUP(A2564,[17]PRIORIZADOS!$A:$T,20,FALSE)="","",VLOOKUP(A2564,[17]PRIORIZADOS!$A:$T,20,FALSE)),"")</f>
        <v>Si</v>
      </c>
      <c r="U2564" s="11" t="str">
        <f>IFERROR(IF(VLOOKUP(A2564,[17]PRIORIZADOS!$A:$U,21,FALSE)="","",VLOOKUP(A2564,[17]PRIORIZADOS!$A:$U,21,FALSE)),"")</f>
        <v>Verificar la actualización del Manual de convivencia para el año 2025, de acuerdo con el Plan de mejora: 15/07/2025</v>
      </c>
    </row>
    <row r="2565" spans="1:21" s="1" customFormat="1" ht="118.5">
      <c r="A2565" s="69">
        <f>IF([17]PRIORIZADOS!A12="","",[17]PRIORIZADOS!A12)</f>
        <v>2548</v>
      </c>
      <c r="B2565" s="70">
        <v>1</v>
      </c>
      <c r="C2565" s="11" t="str">
        <f>IFERROR(IF(VLOOKUP(A2565,[17]PRIORIZADOS!$A:$C,3,FALSE)="","",VLOOKUP(A2565,[17]PRIORIZADOS!$A:$C,3,FALSE)),"")</f>
        <v>USAQUÉN</v>
      </c>
      <c r="D2565" s="11" t="str">
        <f>IFERROR(IF(VLOOKUP(A2565,[17]PRIORIZADOS!$A:$D,4,FALSE)="","",VLOOKUP(A2565,[17]PRIORIZADOS!$A:$D,4,FALSE)),"")</f>
        <v>PRIVADO</v>
      </c>
      <c r="E2565" s="11" t="str">
        <f>IFERROR(IF(VLOOKUP(A2565,[17]PRIORIZADOS!$A:$E,5,FALSE)="","",VLOOKUP(A2565,[17]PRIORIZADOS!$A:$E,5,FALSE)),"")</f>
        <v>EPBM</v>
      </c>
      <c r="F2565" s="11" t="str">
        <f>IFERROR(IF(VLOOKUP(A2565,[17]PRIORIZADOS!$A:$F,6,FALSE)="","",VLOOKUP(A2565,[17]PRIORIZADOS!$A:$F,6,FALSE)),"")</f>
        <v>COLEGIO_ALFRED_MARSHALL</v>
      </c>
      <c r="G2565" s="11" t="str">
        <f>IFERROR(IF(VLOOKUP(A2565,[17]PRIORIZADOS!$A:$G,7,FALSE)="","",VLOOKUP(A2565,[17]PRIORIZADOS!$A:$G,7,FALSE)),"")</f>
        <v>COLEGIO ALFRED MARSHALL</v>
      </c>
      <c r="H2565" s="11" t="str">
        <f>IFERROR(IF(VLOOKUP(A2565,[17]PRIORIZADOS!$A:$H,8,FALSE)="","",VLOOKUP(A2565,[17]PRIORIZADOS!$A:$H,8,FALSE)),"")</f>
        <v>Autoevaluación Institucional y Pruebas SABER 11</v>
      </c>
      <c r="I2565" s="11" t="str">
        <f>IFERROR(IF(VLOOKUP(A2565,[17]PRIORIZADOS!$A:$I,9,FALSE)="","",VLOOKUP(A2565,[17]PRIORIZADOS!$A:$I,9,FALSE)),"")</f>
        <v>EVALUACIÓN_CON_FINES_DE_MEJORAMIENTO.</v>
      </c>
      <c r="J2565" s="11" t="str">
        <f>IFERROR(IF(VLOOKUP(A2565,[17]PRIORIZADOS!$A:$J,10,FALSE)="","",VLOOKUP(A2565,[17]PRIORIZADOS!$A:$J,10,FALSE)),"")</f>
        <v>Revisar la actualización, socialización e implementación del Sistema Institucional de Evaluación de Estudiantes - SIEE, en articulación con la actualización del PEI y la normatividad vigente.</v>
      </c>
      <c r="K2565" s="11" t="str">
        <f>IFERROR(IF(VLOOKUP(A2565,[17]PRIORIZADOS!$A:$K,11,FALSE)="","",VLOOKUP(A2565,[17]PRIORIZADOS!$A:$K,11,FALSE)),"")</f>
        <v>MARTHA LUCIA OLAYA VARGAS</v>
      </c>
      <c r="L2565" s="11" t="str">
        <f>IFERROR(IF(VLOOKUP(A2565,[17]PRIORIZADOS!$A:$L,12,FALSE)="","",VLOOKUP(A2565,[17]PRIORIZADOS!$A:$L,12,FALSE)),"")</f>
        <v>MARIA TERESA GAVIRIA LOZANO</v>
      </c>
      <c r="M2565" s="71">
        <f>IFERROR(IF(VLOOKUP(A2565,[17]PRIORIZADOS!$A:$M,13,FALSE)="","",VLOOKUP(A2565,[17]PRIORIZADOS!$A:$M,13,FALSE)),"")</f>
        <v>45771</v>
      </c>
      <c r="N2565" s="71">
        <f>IFERROR(IF(VLOOKUP(A2565,[17]PRIORIZADOS!$A:$N,14,FALSE)="","",VLOOKUP(A2565,[17]PRIORIZADOS!$A:$N,14,FALSE)),"")</f>
        <v>45771</v>
      </c>
      <c r="O2565" s="71">
        <f>IFERROR(IF(VLOOKUP(A2565,[17]PRIORIZADOS!$A:$O,15,FALSE)="","",VLOOKUP(A2565,[17]PRIORIZADOS!$A:$O,15,FALSE)),"")</f>
        <v>45771</v>
      </c>
      <c r="P2565" s="11" t="str">
        <f>IFERROR(IF(VLOOKUP(A2565,[17]PRIORIZADOS!$A:$P,16,FALSE)="","",VLOOKUP(A2565,[17]PRIORIZADOS!$A:$P,16,FALSE)),"")</f>
        <v>Visitas de evaluación con fines de mejoramiento</v>
      </c>
      <c r="Q2565" s="125" t="s">
        <v>503</v>
      </c>
      <c r="R2565" s="11" t="str">
        <f>IFERROR(IF(VLOOKUP(A2565,[17]PRIORIZADOS!$A:$R,18,FALSE)="","",VLOOKUP(A2565,[17]PRIORIZADOS!$A:$R,18,FALSE)),"")</f>
        <v xml:space="preserve">Cuenta con el SIEE actualizado, implementado y socializado a los padres de familia.
Tiene una concepción de evaluación formativa, donde cada trabajo o actividad es una secuencia que le permite al estudiante la oportunidad constante de mejora.
</v>
      </c>
      <c r="S2565" s="11" t="str">
        <f>IFERROR(IF(VLOOKUP(A2565,[17]PRIORIZADOS!$A:$S,19,FALSE)="","",VLOOKUP(A2565,[17]PRIORIZADOS!$A:$S,19,FALSE)),"")</f>
        <v>Se debe mantener esta actividad de actualización, implementación y socialización del SIEE</v>
      </c>
      <c r="T2565" s="70" t="str">
        <f>IFERROR(IF(VLOOKUP(A2565,[17]PRIORIZADOS!$A:$T,20,FALSE)="","",VLOOKUP(A2565,[17]PRIORIZADOS!$A:$T,20,FALSE)),"")</f>
        <v>No</v>
      </c>
      <c r="U2565" s="11" t="str">
        <f>IFERROR(IF(VLOOKUP(A2565,[17]PRIORIZADOS!$A:$U,21,FALSE)="","",VLOOKUP(A2565,[17]PRIORIZADOS!$A:$U,21,FALSE)),"")</f>
        <v>Se hará verificación una vez se presente alguna queja frente a este tema.</v>
      </c>
    </row>
    <row r="2566" spans="1:21" s="1" customFormat="1" ht="48">
      <c r="A2566" s="69">
        <f>IF([17]PRIORIZADOS!A13="","",[17]PRIORIZADOS!A13)</f>
        <v>2549</v>
      </c>
      <c r="B2566" s="70">
        <v>1</v>
      </c>
      <c r="C2566" s="11" t="str">
        <f>IFERROR(IF(VLOOKUP(A2566,[17]PRIORIZADOS!$A:$C,3,FALSE)="","",VLOOKUP(A2566,[17]PRIORIZADOS!$A:$C,3,FALSE)),"")</f>
        <v>USAQUÉN</v>
      </c>
      <c r="D2566" s="11" t="str">
        <f>IFERROR(IF(VLOOKUP(A2566,[17]PRIORIZADOS!$A:$D,4,FALSE)="","",VLOOKUP(A2566,[17]PRIORIZADOS!$A:$D,4,FALSE)),"")</f>
        <v>PRIVADO</v>
      </c>
      <c r="E2566" s="11" t="str">
        <f>IFERROR(IF(VLOOKUP(A2566,[17]PRIORIZADOS!$A:$E,5,FALSE)="","",VLOOKUP(A2566,[17]PRIORIZADOS!$A:$E,5,FALSE)),"")</f>
        <v>EPBM</v>
      </c>
      <c r="F2566" s="11" t="str">
        <f>IFERROR(IF(VLOOKUP(A2566,[17]PRIORIZADOS!$A:$F,6,FALSE)="","",VLOOKUP(A2566,[17]PRIORIZADOS!$A:$F,6,FALSE)),"")</f>
        <v>COLEGIO_ALFRED_MARSHALL</v>
      </c>
      <c r="G2566" s="11" t="str">
        <f>IFERROR(IF(VLOOKUP(A2566,[17]PRIORIZADOS!$A:$G,7,FALSE)="","",VLOOKUP(A2566,[17]PRIORIZADOS!$A:$G,7,FALSE)),"")</f>
        <v>COLEGIO ALFRED MARSHALL</v>
      </c>
      <c r="H2566" s="11" t="str">
        <f>IFERROR(IF(VLOOKUP(A2566,[17]PRIORIZADOS!$A:$H,8,FALSE)="","",VLOOKUP(A2566,[17]PRIORIZADOS!$A:$H,8,FALSE)),"")</f>
        <v>Autoevaluación Institucional y Pruebas SABER 11</v>
      </c>
      <c r="I2566" s="11" t="str">
        <f>IFERROR(IF(VLOOKUP(A2566,[17]PRIORIZADOS!$A:$I,9,FALSE)="","",VLOOKUP(A2566,[17]PRIORIZADOS!$A:$I,9,FALSE)),"")</f>
        <v>EVALUACIÓN_CON_FINES_DE_MEJORAMIENTO.</v>
      </c>
      <c r="J2566" s="11" t="str">
        <f>IFERROR(IF(VLOOKUP(A2566,[17]PRIORIZADOS!$A:$J,10,FALSE)="","",VLOOKUP(A2566,[17]PRIORIZADOS!$A:$J,10,FALSE)),"")</f>
        <v>Revisar el calendario escolar, jornada escolar, la intensidad horaria mínima anual en cada nivel y las modificaciones que se realicen al mismo, de acuerdo con lo previsto en la normatividad vigente.</v>
      </c>
      <c r="K2566" s="11" t="str">
        <f>IFERROR(IF(VLOOKUP(A2566,[17]PRIORIZADOS!$A:$K,11,FALSE)="","",VLOOKUP(A2566,[17]PRIORIZADOS!$A:$K,11,FALSE)),"")</f>
        <v>MARTHA LUCIA OLAYA VARGAS</v>
      </c>
      <c r="L2566" s="11" t="str">
        <f>IFERROR(IF(VLOOKUP(A2566,[17]PRIORIZADOS!$A:$L,12,FALSE)="","",VLOOKUP(A2566,[17]PRIORIZADOS!$A:$L,12,FALSE)),"")</f>
        <v>MARIA TERESA GAVIRIA LOZANO</v>
      </c>
      <c r="M2566" s="71">
        <f>IFERROR(IF(VLOOKUP(A2566,[17]PRIORIZADOS!$A:$M,13,FALSE)="","",VLOOKUP(A2566,[17]PRIORIZADOS!$A:$M,13,FALSE)),"")</f>
        <v>45771</v>
      </c>
      <c r="N2566" s="71">
        <f>IFERROR(IF(VLOOKUP(A2566,[17]PRIORIZADOS!$A:$N,14,FALSE)="","",VLOOKUP(A2566,[17]PRIORIZADOS!$A:$N,14,FALSE)),"")</f>
        <v>45771</v>
      </c>
      <c r="O2566" s="71">
        <f>IFERROR(IF(VLOOKUP(A2566,[17]PRIORIZADOS!$A:$O,15,FALSE)="","",VLOOKUP(A2566,[17]PRIORIZADOS!$A:$O,15,FALSE)),"")</f>
        <v>45771</v>
      </c>
      <c r="P2566" s="11" t="str">
        <f>IFERROR(IF(VLOOKUP(A2566,[17]PRIORIZADOS!$A:$P,16,FALSE)="","",VLOOKUP(A2566,[17]PRIORIZADOS!$A:$P,16,FALSE)),"")</f>
        <v>Visitas de evaluación con fines de mejoramiento</v>
      </c>
      <c r="Q2566" s="125" t="s">
        <v>503</v>
      </c>
      <c r="R2566" s="11" t="str">
        <f>IFERROR(IF(VLOOKUP(A2566,[17]PRIORIZADOS!$A:$R,18,FALSE)="","",VLOOKUP(A2566,[17]PRIORIZADOS!$A:$R,18,FALSE)),"")</f>
        <v>El calendario escolar da cuenta del cumplimiento de intensidad horaria mínima por jornada definida para cada ciclo, de acuerdo con la normatividad.</v>
      </c>
      <c r="S2566" s="11" t="str">
        <f>IFERROR(IF(VLOOKUP(A2566,[17]PRIORIZADOS!$A:$S,19,FALSE)="","",VLOOKUP(A2566,[17]PRIORIZADOS!$A:$S,19,FALSE)),"")</f>
        <v>Se debe continuar implementando el calendario aprobado y socializado</v>
      </c>
      <c r="T2566" s="70" t="str">
        <f>IFERROR(IF(VLOOKUP(A2566,[17]PRIORIZADOS!$A:$T,20,FALSE)="","",VLOOKUP(A2566,[17]PRIORIZADOS!$A:$T,20,FALSE)),"")</f>
        <v>No</v>
      </c>
      <c r="U2566" s="11" t="str">
        <f>IFERROR(IF(VLOOKUP(A2566,[17]PRIORIZADOS!$A:$U,21,FALSE)="","",VLOOKUP(A2566,[17]PRIORIZADOS!$A:$U,21,FALSE)),"")</f>
        <v>Se revisará una vez se presente una novedad frente a calendario escolar</v>
      </c>
    </row>
    <row r="2567" spans="1:21" s="1" customFormat="1" ht="48">
      <c r="A2567" s="69">
        <f>IF([17]PRIORIZADOS!A14="","",[17]PRIORIZADOS!A14)</f>
        <v>2550</v>
      </c>
      <c r="B2567" s="70">
        <v>1</v>
      </c>
      <c r="C2567" s="11" t="str">
        <f>IFERROR(IF(VLOOKUP(A2567,[17]PRIORIZADOS!$A:$C,3,FALSE)="","",VLOOKUP(A2567,[17]PRIORIZADOS!$A:$C,3,FALSE)),"")</f>
        <v>USAQUÉN</v>
      </c>
      <c r="D2567" s="11" t="str">
        <f>IFERROR(IF(VLOOKUP(A2567,[17]PRIORIZADOS!$A:$D,4,FALSE)="","",VLOOKUP(A2567,[17]PRIORIZADOS!$A:$D,4,FALSE)),"")</f>
        <v>PRIVADO</v>
      </c>
      <c r="E2567" s="11" t="str">
        <f>IFERROR(IF(VLOOKUP(A2567,[17]PRIORIZADOS!$A:$E,5,FALSE)="","",VLOOKUP(A2567,[17]PRIORIZADOS!$A:$E,5,FALSE)),"")</f>
        <v>EPBM</v>
      </c>
      <c r="F2567" s="11" t="str">
        <f>IFERROR(IF(VLOOKUP(A2567,[17]PRIORIZADOS!$A:$F,6,FALSE)="","",VLOOKUP(A2567,[17]PRIORIZADOS!$A:$F,6,FALSE)),"")</f>
        <v>COLEGIO_ALFRED_MARSHALL</v>
      </c>
      <c r="G2567" s="11" t="str">
        <f>IFERROR(IF(VLOOKUP(A2567,[17]PRIORIZADOS!$A:$G,7,FALSE)="","",VLOOKUP(A2567,[17]PRIORIZADOS!$A:$G,7,FALSE)),"")</f>
        <v>COLEGIO ALFRED MARSHALL</v>
      </c>
      <c r="H2567" s="11" t="str">
        <f>IFERROR(IF(VLOOKUP(A2567,[17]PRIORIZADOS!$A:$H,8,FALSE)="","",VLOOKUP(A2567,[17]PRIORIZADOS!$A:$H,8,FALSE)),"")</f>
        <v>Autoevaluación Institucional y Pruebas SABER 11</v>
      </c>
      <c r="I2567" s="11" t="str">
        <f>IFERROR(IF(VLOOKUP(A2567,[17]PRIORIZADOS!$A:$I,9,FALSE)="","",VLOOKUP(A2567,[17]PRIORIZADOS!$A:$I,9,FALSE)),"")</f>
        <v>EVALUACIÓN_CON_FINES_DE_MEJORAMIENTO.</v>
      </c>
      <c r="J2567" s="11" t="str">
        <f>IFERROR(IF(VLOOKUP(A2567,[17]PRIORIZADOS!$A:$J,10,FALSE)="","",VLOOKUP(A2567,[17]PRIORIZADOS!$A:$J,10,FALSE)),"")</f>
        <v>Verificar el funcionamiento del Gobierno Escolar e instancias de participación con base en la información sobre conformación reportada por la institución educativa.</v>
      </c>
      <c r="K2567" s="11" t="str">
        <f>IFERROR(IF(VLOOKUP(A2567,[17]PRIORIZADOS!$A:$K,11,FALSE)="","",VLOOKUP(A2567,[17]PRIORIZADOS!$A:$K,11,FALSE)),"")</f>
        <v>MARTHA LUCIA OLAYA VARGAS</v>
      </c>
      <c r="L2567" s="11" t="str">
        <f>IFERROR(IF(VLOOKUP(A2567,[17]PRIORIZADOS!$A:$L,12,FALSE)="","",VLOOKUP(A2567,[17]PRIORIZADOS!$A:$L,12,FALSE)),"")</f>
        <v>MARIA TERESA GAVIRIA LOZANO</v>
      </c>
      <c r="M2567" s="71">
        <f>IFERROR(IF(VLOOKUP(A2567,[17]PRIORIZADOS!$A:$M,13,FALSE)="","",VLOOKUP(A2567,[17]PRIORIZADOS!$A:$M,13,FALSE)),"")</f>
        <v>45771</v>
      </c>
      <c r="N2567" s="71">
        <f>IFERROR(IF(VLOOKUP(A2567,[17]PRIORIZADOS!$A:$N,14,FALSE)="","",VLOOKUP(A2567,[17]PRIORIZADOS!$A:$N,14,FALSE)),"")</f>
        <v>45771</v>
      </c>
      <c r="O2567" s="71">
        <f>IFERROR(IF(VLOOKUP(A2567,[17]PRIORIZADOS!$A:$O,15,FALSE)="","",VLOOKUP(A2567,[17]PRIORIZADOS!$A:$O,15,FALSE)),"")</f>
        <v>45771</v>
      </c>
      <c r="P2567" s="11" t="str">
        <f>IFERROR(IF(VLOOKUP(A2567,[17]PRIORIZADOS!$A:$P,16,FALSE)="","",VLOOKUP(A2567,[17]PRIORIZADOS!$A:$P,16,FALSE)),"")</f>
        <v>Visitas de evaluación con fines de mejoramiento</v>
      </c>
      <c r="Q2567" s="125" t="s">
        <v>503</v>
      </c>
      <c r="R2567" s="11" t="str">
        <f>IFERROR(IF(VLOOKUP(A2567,[17]PRIORIZADOS!$A:$R,18,FALSE)="","",VLOOKUP(A2567,[17]PRIORIZADOS!$A:$R,18,FALSE)),"")</f>
        <v>Esta conformado el Gobierno escolar y realizan las reuniones de acuedo con la normatividad.</v>
      </c>
      <c r="S2567" s="11" t="str">
        <f>IFERROR(IF(VLOOKUP(A2567,[17]PRIORIZADOS!$A:$S,19,FALSE)="","",VLOOKUP(A2567,[17]PRIORIZADOS!$A:$S,19,FALSE)),"")</f>
        <v>Continuar con esta práctica y realizar reuniones periódicas frente al tema de gobierno escolar y archivar sus actas.</v>
      </c>
      <c r="T2567" s="70" t="str">
        <f>IFERROR(IF(VLOOKUP(A2567,[17]PRIORIZADOS!$A:$T,20,FALSE)="","",VLOOKUP(A2567,[17]PRIORIZADOS!$A:$T,20,FALSE)),"")</f>
        <v>No</v>
      </c>
      <c r="U2567" s="11" t="str">
        <f>IFERROR(IF(VLOOKUP(A2567,[17]PRIORIZADOS!$A:$U,21,FALSE)="","",VLOOKUP(A2567,[17]PRIORIZADOS!$A:$U,21,FALSE)),"")</f>
        <v>Se verificará cuando se presente alguna queja.</v>
      </c>
    </row>
    <row r="2568" spans="1:21" s="1" customFormat="1" ht="202.5">
      <c r="A2568" s="69">
        <f>IF([17]PRIORIZADOS!A15="","",[17]PRIORIZADOS!A15)</f>
        <v>2551</v>
      </c>
      <c r="B2568" s="70">
        <v>1</v>
      </c>
      <c r="C2568" s="11" t="str">
        <f>IFERROR(IF(VLOOKUP(A2568,[17]PRIORIZADOS!$A:$C,3,FALSE)="","",VLOOKUP(A2568,[17]PRIORIZADOS!$A:$C,3,FALSE)),"")</f>
        <v>USAQUÉN</v>
      </c>
      <c r="D2568" s="11" t="str">
        <f>IFERROR(IF(VLOOKUP(A2568,[17]PRIORIZADOS!$A:$D,4,FALSE)="","",VLOOKUP(A2568,[17]PRIORIZADOS!$A:$D,4,FALSE)),"")</f>
        <v>PRIVADO</v>
      </c>
      <c r="E2568" s="11" t="str">
        <f>IFERROR(IF(VLOOKUP(A2568,[17]PRIORIZADOS!$A:$E,5,FALSE)="","",VLOOKUP(A2568,[17]PRIORIZADOS!$A:$E,5,FALSE)),"")</f>
        <v>EPBM</v>
      </c>
      <c r="F2568" s="11" t="str">
        <f>IFERROR(IF(VLOOKUP(A2568,[17]PRIORIZADOS!$A:$F,6,FALSE)="","",VLOOKUP(A2568,[17]PRIORIZADOS!$A:$F,6,FALSE)),"")</f>
        <v>COLEGIO_ALFRED_MARSHALL</v>
      </c>
      <c r="G2568" s="11" t="str">
        <f>IFERROR(IF(VLOOKUP(A2568,[17]PRIORIZADOS!$A:$G,7,FALSE)="","",VLOOKUP(A2568,[17]PRIORIZADOS!$A:$G,7,FALSE)),"")</f>
        <v>COLEGIO ALFRED MARSHALL</v>
      </c>
      <c r="H2568" s="11" t="str">
        <f>IFERROR(IF(VLOOKUP(A2568,[17]PRIORIZADOS!$A:$H,8,FALSE)="","",VLOOKUP(A2568,[17]PRIORIZADOS!$A:$H,8,FALSE)),"")</f>
        <v>Autoevaluación Institucional y Pruebas SABER 11</v>
      </c>
      <c r="I2568" s="11" t="str">
        <f>IFERROR(IF(VLOOKUP(A2568,[17]PRIORIZADOS!$A:$I,9,FALSE)="","",VLOOKUP(A2568,[17]PRIORIZADOS!$A:$I,9,FALSE)),"")</f>
        <v>EVALUACIÓN_CON_FINES_DE_MEJORAMIENTO.</v>
      </c>
      <c r="J2568" s="11" t="str">
        <f>IFERROR(IF(VLOOKUP(A2568,[17]PRIORIZADOS!$A:$J,10,FALSE)="","",VLOOKUP(A2568,[17]PRIORIZADOS!$A:$J,10,FALSE)),"")</f>
        <v>Verificar las condiciones en cuanto a: la estructura administrativa, condiciones de la planta física y medios educativos adecuados.</v>
      </c>
      <c r="K2568" s="11" t="str">
        <f>IFERROR(IF(VLOOKUP(A2568,[17]PRIORIZADOS!$A:$K,11,FALSE)="","",VLOOKUP(A2568,[17]PRIORIZADOS!$A:$K,11,FALSE)),"")</f>
        <v>MARTHA LUCIA OLAYA VARGAS</v>
      </c>
      <c r="L2568" s="11" t="str">
        <f>IFERROR(IF(VLOOKUP(A2568,[17]PRIORIZADOS!$A:$L,12,FALSE)="","",VLOOKUP(A2568,[17]PRIORIZADOS!$A:$L,12,FALSE)),"")</f>
        <v>MARIA TERESA GAVIRIA LOZANO</v>
      </c>
      <c r="M2568" s="71">
        <f>IFERROR(IF(VLOOKUP(A2568,[17]PRIORIZADOS!$A:$M,13,FALSE)="","",VLOOKUP(A2568,[17]PRIORIZADOS!$A:$M,13,FALSE)),"")</f>
        <v>45771</v>
      </c>
      <c r="N2568" s="71">
        <f>IFERROR(IF(VLOOKUP(A2568,[17]PRIORIZADOS!$A:$N,14,FALSE)="","",VLOOKUP(A2568,[17]PRIORIZADOS!$A:$N,14,FALSE)),"")</f>
        <v>45771</v>
      </c>
      <c r="O2568" s="71">
        <f>IFERROR(IF(VLOOKUP(A2568,[17]PRIORIZADOS!$A:$O,15,FALSE)="","",VLOOKUP(A2568,[17]PRIORIZADOS!$A:$O,15,FALSE)),"")</f>
        <v>45771</v>
      </c>
      <c r="P2568" s="11" t="str">
        <f>IFERROR(IF(VLOOKUP(A2568,[17]PRIORIZADOS!$A:$P,16,FALSE)="","",VLOOKUP(A2568,[17]PRIORIZADOS!$A:$P,16,FALSE)),"")</f>
        <v>Visitas de evaluación con fines de mejoramiento</v>
      </c>
      <c r="Q2568" s="125" t="s">
        <v>503</v>
      </c>
      <c r="R2568" s="11" t="str">
        <f>IFERROR(IF(VLOOKUP(A2568,[17]PRIORIZADOS!$A:$R,18,FALSE)="","",VLOOKUP(A2568,[17]PRIORIZADOS!$A:$R,18,FALSE)),"")</f>
        <v>Se evidenció que la planta física es pequeña, cuentan con los espacios justos para atender los ciclos ofrecidos. 
La escalera de acceso para el piso 2 y para el piso 3, es reducida.
No se evidencia  rampas, ni baños para discapacitados.
Cuentan con convenios que les permite realizar actividades culturales y académicas.
La organización administrativa definida en el PEI, es coherente con lo encontrado en la visita.</v>
      </c>
      <c r="S2568" s="11" t="str">
        <f>IFERROR(IF(VLOOKUP(A2568,[17]PRIORIZADOS!$A:$S,19,FALSE)="","",VLOOKUP(A2568,[17]PRIORIZADOS!$A:$S,19,FALSE)),"")</f>
        <v>Estudiar la viabilidad de ampliar la planta física.</v>
      </c>
      <c r="T2568" s="70" t="str">
        <f>IFERROR(IF(VLOOKUP(A2568,[17]PRIORIZADOS!$A:$T,20,FALSE)="","",VLOOKUP(A2568,[17]PRIORIZADOS!$A:$T,20,FALSE)),"")</f>
        <v>Si</v>
      </c>
      <c r="U2568" s="11" t="str">
        <f>IFERROR(IF(VLOOKUP(A2568,[17]PRIORIZADOS!$A:$U,21,FALSE)="","",VLOOKUP(A2568,[17]PRIORIZADOS!$A:$U,21,FALSE)),"")</f>
        <v>Verificar en el plan de mejora para verificar si definen alguna estratégia para ampliar la planta fíica.</v>
      </c>
    </row>
    <row r="2569" spans="1:21" s="1" customFormat="1" ht="72">
      <c r="A2569" s="69">
        <f>IF([17]PRIORIZADOS!A16="","",[17]PRIORIZADOS!A16)</f>
        <v>2552</v>
      </c>
      <c r="B2569" s="70">
        <f>IFERROR(IF(VLOOKUP(A2569,[17]PRIORIZADOS!$A:$B,2,FALSE)="","",VLOOKUP(A2569,[17]PRIORIZADOS!$A:$B,2,FALSE)),"")</f>
        <v>2</v>
      </c>
      <c r="C2569" s="11" t="str">
        <f>IFERROR(IF(VLOOKUP(A2569,[17]PRIORIZADOS!$A:$C,3,FALSE)="","",VLOOKUP(A2569,[17]PRIORIZADOS!$A:$C,3,FALSE)),"")</f>
        <v>USAQUÉN</v>
      </c>
      <c r="D2569" s="11" t="str">
        <f>IFERROR(IF(VLOOKUP(A2569,[17]PRIORIZADOS!$A:$D,4,FALSE)="","",VLOOKUP(A2569,[17]PRIORIZADOS!$A:$D,4,FALSE)),"")</f>
        <v>PRIVADO</v>
      </c>
      <c r="E2569" s="11" t="str">
        <f>IFERROR(IF(VLOOKUP(A2569,[17]PRIORIZADOS!$A:$E,5,FALSE)="","",VLOOKUP(A2569,[17]PRIORIZADOS!$A:$E,5,FALSE)),"")</f>
        <v>EPBM</v>
      </c>
      <c r="F2569" s="11" t="str">
        <f>IFERROR(IF(VLOOKUP(A2569,[17]PRIORIZADOS!$A:$F,6,FALSE)="","",VLOOKUP(A2569,[17]PRIORIZADOS!$A:$F,6,FALSE)),"")</f>
        <v>GIMNASIO_CULTURAL_LIBERTAD</v>
      </c>
      <c r="G2569" s="11" t="str">
        <f>IFERROR(IF(VLOOKUP(A2569,[17]PRIORIZADOS!$A:$G,7,FALSE)="","",VLOOKUP(A2569,[17]PRIORIZADOS!$A:$G,7,FALSE)),"")</f>
        <v>GIMNASIO CULTURAL LIBERTAD</v>
      </c>
      <c r="H2569" s="11" t="str">
        <f>IFERROR(IF(VLOOKUP(A2569,[17]PRIORIZADOS!$A:$H,8,FALSE)="","",VLOOKUP(A2569,[17]PRIORIZADOS!$A:$H,8,FALSE)),"")</f>
        <v>Autoevaluación Institucional y Pruebas SABER 11</v>
      </c>
      <c r="I2569" s="11" t="str">
        <f>IFERROR(IF(VLOOKUP(A2569,[17]PRIORIZADOS!$A:$I,9,FALSE)="","",VLOOKUP(A2569,[17]PRIORIZADOS!$A:$I,9,FALSE)),"")</f>
        <v>SEGUIMIENTO_Y_SUPERVISIÓN.</v>
      </c>
      <c r="J2569" s="11" t="str">
        <f>IFERROR(IF(VLOOKUP(A2569,[17]PRIORIZADOS!$A:$J,10,FALSE)="","",VLOOKUP(A2569,[17]PRIORIZADOS!$A:$J,10,FALSE)),"")</f>
        <v>Realizar visitas para verificar la información registrada sobre la autoevaluación institucional en el aplicativo EVI, a los establecimientos de educación formal no oficial.</v>
      </c>
      <c r="K2569" s="11" t="str">
        <f>IFERROR(IF(VLOOKUP(A2569,[17]PRIORIZADOS!$A:$K,11,FALSE)="","",VLOOKUP(A2569,[17]PRIORIZADOS!$A:$K,11,FALSE)),"")</f>
        <v>JENNIFER CATALINA TORRES PIRA</v>
      </c>
      <c r="L2569" s="11" t="str">
        <f>IFERROR(IF(VLOOKUP(A2569,[17]PRIORIZADOS!$A:$L,12,FALSE)="","",VLOOKUP(A2569,[17]PRIORIZADOS!$A:$L,12,FALSE)),"")</f>
        <v>MARTHA CECILIA MELGAREJO PINTO</v>
      </c>
      <c r="M2569" s="71">
        <f>IFERROR(IF(VLOOKUP(A2569,[17]PRIORIZADOS!$A:$M,13,FALSE)="","",VLOOKUP(A2569,[17]PRIORIZADOS!$A:$M,13,FALSE)),"")</f>
        <v>45769</v>
      </c>
      <c r="N2569" s="71">
        <f>IFERROR(IF(VLOOKUP(A2569,[17]PRIORIZADOS!$A:$N,14,FALSE)="","",VLOOKUP(A2569,[17]PRIORIZADOS!$A:$N,14,FALSE)),"")</f>
        <v>45769</v>
      </c>
      <c r="O2569" s="71">
        <f>IFERROR(IF(VLOOKUP(A2569,[17]PRIORIZADOS!$A:$O,15,FALSE)="","",VLOOKUP(A2569,[17]PRIORIZADOS!$A:$O,15,FALSE)),"")</f>
        <v>45769</v>
      </c>
      <c r="P2569" s="11" t="str">
        <f>IFERROR(IF(VLOOKUP(A2569,[17]PRIORIZADOS!$A:$P,16,FALSE)="","",VLOOKUP(A2569,[17]PRIORIZADOS!$A:$P,16,FALSE)),"")</f>
        <v>Visitas de evaluación con fines de seguimiento</v>
      </c>
      <c r="Q2569" s="107" t="s">
        <v>504</v>
      </c>
      <c r="R2569" s="11" t="str">
        <f>IFERROR(IF(VLOOKUP(A2569,[17]PRIORIZADOS!$A:$R,18,FALSE)="","",VLOOKUP(A2569,[17]PRIORIZADOS!$A:$R,18,FALSE)),"")</f>
        <v>Aunque los indicadores de resultados de la autoevaluación están acorde con la autoevaluación, se verificó que en general la planta física presenta deterioro (techos con fisuras), los baños se encuentran en mal estado sin puerta.</v>
      </c>
      <c r="S2569" s="11" t="str">
        <f>IFERROR(IF(VLOOKUP(A2569,[17]PRIORIZADOS!$A:$S,19,FALSE)="","",VLOOKUP(A2569,[17]PRIORIZADOS!$A:$S,19,FALSE)),"")</f>
        <v>Realizar adecuaciones de planta física incluidos los baños y presentar el plan de mejoramiento.</v>
      </c>
      <c r="T2569" s="70" t="str">
        <f>IFERROR(IF(VLOOKUP(A2569,[17]PRIORIZADOS!$A:$T,20,FALSE)="","",VLOOKUP(A2569,[17]PRIORIZADOS!$A:$T,20,FALSE)),"")</f>
        <v>Si</v>
      </c>
      <c r="U2569" s="11" t="str">
        <f>IFERROR(IF(VLOOKUP(A2569,[17]PRIORIZADOS!$A:$U,21,FALSE)="","",VLOOKUP(A2569,[17]PRIORIZADOS!$A:$U,21,FALSE)),"")</f>
        <v>Verificación de la acciones establecidas en el plan de mejoramiento y seguimiento a su ejecución, en el segundo semestre del año.</v>
      </c>
    </row>
    <row r="2570" spans="1:21" s="1" customFormat="1" ht="60">
      <c r="A2570" s="69">
        <f>IF([17]PRIORIZADOS!A17="","",[17]PRIORIZADOS!A17)</f>
        <v>2553</v>
      </c>
      <c r="B2570" s="70">
        <v>2</v>
      </c>
      <c r="C2570" s="11" t="str">
        <f>IFERROR(IF(VLOOKUP(A2570,[17]PRIORIZADOS!$A:$C,3,FALSE)="","",VLOOKUP(A2570,[17]PRIORIZADOS!$A:$C,3,FALSE)),"")</f>
        <v>USAQUÉN</v>
      </c>
      <c r="D2570" s="11" t="str">
        <f>IFERROR(IF(VLOOKUP(A2570,[17]PRIORIZADOS!$A:$D,4,FALSE)="","",VLOOKUP(A2570,[17]PRIORIZADOS!$A:$D,4,FALSE)),"")</f>
        <v>PRIVADO</v>
      </c>
      <c r="E2570" s="11" t="str">
        <f>IFERROR(IF(VLOOKUP(A2570,[17]PRIORIZADOS!$A:$E,5,FALSE)="","",VLOOKUP(A2570,[17]PRIORIZADOS!$A:$E,5,FALSE)),"")</f>
        <v>EPBM</v>
      </c>
      <c r="F2570" s="11" t="str">
        <f>IFERROR(IF(VLOOKUP(A2570,[17]PRIORIZADOS!$A:$F,6,FALSE)="","",VLOOKUP(A2570,[17]PRIORIZADOS!$A:$F,6,FALSE)),"")</f>
        <v>GIMNASIO_CULTURAL_LIBERTAD</v>
      </c>
      <c r="G2570" s="11" t="str">
        <f>IFERROR(IF(VLOOKUP(A2570,[17]PRIORIZADOS!$A:$G,7,FALSE)="","",VLOOKUP(A2570,[17]PRIORIZADOS!$A:$G,7,FALSE)),"")</f>
        <v>GIMNASIO CULTURAL LIBERTAD</v>
      </c>
      <c r="H2570" s="11" t="str">
        <f>IFERROR(IF(VLOOKUP(A2570,[17]PRIORIZADOS!$A:$H,8,FALSE)="","",VLOOKUP(A2570,[17]PRIORIZADOS!$A:$H,8,FALSE)),"")</f>
        <v>Autoevaluación Institucional y Pruebas SABER 11</v>
      </c>
      <c r="I2570" s="11" t="str">
        <f>IFERROR(IF(VLOOKUP(A2570,[17]PRIORIZADOS!$A:$I,9,FALSE)="","",VLOOKUP(A2570,[17]PRIORIZADOS!$A:$I,9,FALSE)),"")</f>
        <v>SEGUIMIENTO_Y_SUPERVISIÓN.</v>
      </c>
      <c r="J2570" s="11" t="str">
        <f>IFERROR(IF(VLOOKUP(A2570,[17]PRIORIZADOS!$A:$J,10,FALSE)="","",VLOOKUP(A2570,[17]PRIORIZADOS!$A:$J,10,FALSE)),"")</f>
        <v>Proponer estrategias en la formulación, verificar su elaboración y realizar seguimiento semestral al desarrollo de  las acciones establecidas en los planes de mejoramiento por pruebas SABER 11 de los establecimientos de educación formal.</v>
      </c>
      <c r="K2570" s="11" t="str">
        <f>IFERROR(IF(VLOOKUP(A2570,[17]PRIORIZADOS!$A:$K,11,FALSE)="","",VLOOKUP(A2570,[17]PRIORIZADOS!$A:$K,11,FALSE)),"")</f>
        <v>JENNIFER CATALINA TORRES PIRA</v>
      </c>
      <c r="L2570" s="11" t="str">
        <f>IFERROR(IF(VLOOKUP(A2570,[17]PRIORIZADOS!$A:$L,12,FALSE)="","",VLOOKUP(A2570,[17]PRIORIZADOS!$A:$L,12,FALSE)),"")</f>
        <v>MARTHA CECILIA MELGAREJO PINTO</v>
      </c>
      <c r="M2570" s="71">
        <f>IFERROR(IF(VLOOKUP(A2570,[17]PRIORIZADOS!$A:$M,13,FALSE)="","",VLOOKUP(A2570,[17]PRIORIZADOS!$A:$M,13,FALSE)),"")</f>
        <v>45769</v>
      </c>
      <c r="N2570" s="71">
        <f>IFERROR(IF(VLOOKUP(A2570,[17]PRIORIZADOS!$A:$N,14,FALSE)="","",VLOOKUP(A2570,[17]PRIORIZADOS!$A:$N,14,FALSE)),"")</f>
        <v>45769</v>
      </c>
      <c r="O2570" s="71">
        <f>IFERROR(IF(VLOOKUP(A2570,[17]PRIORIZADOS!$A:$O,15,FALSE)="","",VLOOKUP(A2570,[17]PRIORIZADOS!$A:$O,15,FALSE)),"")</f>
        <v>45769</v>
      </c>
      <c r="P2570" s="11" t="str">
        <f>IFERROR(IF(VLOOKUP(A2570,[17]PRIORIZADOS!$A:$P,16,FALSE)="","",VLOOKUP(A2570,[17]PRIORIZADOS!$A:$P,16,FALSE)),"")</f>
        <v>Visitas de evaluación con fines de seguimiento</v>
      </c>
      <c r="Q2570" s="107" t="s">
        <v>504</v>
      </c>
      <c r="R2570" s="11" t="str">
        <f>IFERROR(IF(VLOOKUP(A2570,[17]PRIORIZADOS!$A:$R,18,FALSE)="","",VLOOKUP(A2570,[17]PRIORIZADOS!$A:$R,18,FALSE)),"")</f>
        <v>Se evidenció el Plan de Mejoramiento Institucional, donde se diseñaron las estratégias y acciones de mejora a partir de identificar las áreas con desempeño bajo en las pruebas saber 11.</v>
      </c>
      <c r="S2570" s="11" t="str">
        <f>IFERROR(IF(VLOOKUP(A2570,[17]PRIORIZADOS!$A:$S,19,FALSE)="","",VLOOKUP(A2570,[17]PRIORIZADOS!$A:$S,19,FALSE)),"")</f>
        <v>Aplicar el plan de mejoramiento Institucional y realizar el seguimiento y control</v>
      </c>
      <c r="T2570" s="70" t="str">
        <f>IFERROR(IF(VLOOKUP(A2570,[17]PRIORIZADOS!$A:$T,20,FALSE)="","",VLOOKUP(A2570,[17]PRIORIZADOS!$A:$T,20,FALSE)),"")</f>
        <v>No</v>
      </c>
      <c r="U2570" s="11" t="str">
        <f>IFERROR(IF(VLOOKUP(A2570,[17]PRIORIZADOS!$A:$U,21,FALSE)="","",VLOOKUP(A2570,[17]PRIORIZADOS!$A:$U,21,FALSE)),"")</f>
        <v xml:space="preserve">
Validar mejora en los resultados de las pruebas saber 2025.
</v>
      </c>
    </row>
    <row r="2571" spans="1:21" s="1" customFormat="1" ht="96">
      <c r="A2571" s="69">
        <f>IF([17]PRIORIZADOS!A18="","",[17]PRIORIZADOS!A18)</f>
        <v>2554</v>
      </c>
      <c r="B2571" s="70">
        <v>2</v>
      </c>
      <c r="C2571" s="11" t="str">
        <f>IFERROR(IF(VLOOKUP(A2571,[17]PRIORIZADOS!$A:$C,3,FALSE)="","",VLOOKUP(A2571,[17]PRIORIZADOS!$A:$C,3,FALSE)),"")</f>
        <v>USAQUÉN</v>
      </c>
      <c r="D2571" s="11" t="str">
        <f>IFERROR(IF(VLOOKUP(A2571,[17]PRIORIZADOS!$A:$D,4,FALSE)="","",VLOOKUP(A2571,[17]PRIORIZADOS!$A:$D,4,FALSE)),"")</f>
        <v>PRIVADO</v>
      </c>
      <c r="E2571" s="11" t="str">
        <f>IFERROR(IF(VLOOKUP(A2571,[17]PRIORIZADOS!$A:$E,5,FALSE)="","",VLOOKUP(A2571,[17]PRIORIZADOS!$A:$E,5,FALSE)),"")</f>
        <v>EPBM</v>
      </c>
      <c r="F2571" s="11" t="str">
        <f>IFERROR(IF(VLOOKUP(A2571,[17]PRIORIZADOS!$A:$F,6,FALSE)="","",VLOOKUP(A2571,[17]PRIORIZADOS!$A:$F,6,FALSE)),"")</f>
        <v>GIMNASIO_CULTURAL_LIBERTAD</v>
      </c>
      <c r="G2571" s="11" t="str">
        <f>IFERROR(IF(VLOOKUP(A2571,[17]PRIORIZADOS!$A:$G,7,FALSE)="","",VLOOKUP(A2571,[17]PRIORIZADOS!$A:$G,7,FALSE)),"")</f>
        <v>GIMNASIO CULTURAL LIBERTAD</v>
      </c>
      <c r="H2571" s="11" t="str">
        <f>IFERROR(IF(VLOOKUP(A2571,[17]PRIORIZADOS!$A:$H,8,FALSE)="","",VLOOKUP(A2571,[17]PRIORIZADOS!$A:$H,8,FALSE)),"")</f>
        <v>Autoevaluación Institucional y Pruebas SABER 11</v>
      </c>
      <c r="I2571" s="11" t="str">
        <f>IFERROR(IF(VLOOKUP(A2571,[17]PRIORIZADOS!$A:$I,9,FALSE)="","",VLOOKUP(A2571,[17]PRIORIZADOS!$A:$I,9,FALSE)),"")</f>
        <v>SEGUIMIENTO_Y_SUPERVISIÓN.</v>
      </c>
      <c r="J2571" s="11" t="str">
        <f>IFERROR(IF(VLOOKUP(A2571,[17]PRIORIZADOS!$A:$J,10,FALSE)="","",VLOOKUP(A2571,[17]PRIORIZADOS!$A:$J,10,FALSE)),"")</f>
        <v xml:space="preserve">Verificar la implementación por parte de los colegios, de acciones realizadas para la prevención y atención de las situaciones de convivencia en el entorno escolar, según lo establecido en la Directiva 01 de 2022 del MEN. </v>
      </c>
      <c r="K2571" s="11" t="str">
        <f>IFERROR(IF(VLOOKUP(A2571,[17]PRIORIZADOS!$A:$K,11,FALSE)="","",VLOOKUP(A2571,[17]PRIORIZADOS!$A:$K,11,FALSE)),"")</f>
        <v>JENNIFER CATALINA TORRES PIRA</v>
      </c>
      <c r="L2571" s="11" t="str">
        <f>IFERROR(IF(VLOOKUP(A2571,[17]PRIORIZADOS!$A:$L,12,FALSE)="","",VLOOKUP(A2571,[17]PRIORIZADOS!$A:$L,12,FALSE)),"")</f>
        <v>MARTHA CECILIA MELGAREJO PINTO</v>
      </c>
      <c r="M2571" s="71">
        <f>IFERROR(IF(VLOOKUP(A2571,[17]PRIORIZADOS!$A:$M,13,FALSE)="","",VLOOKUP(A2571,[17]PRIORIZADOS!$A:$M,13,FALSE)),"")</f>
        <v>45769</v>
      </c>
      <c r="N2571" s="71">
        <f>IFERROR(IF(VLOOKUP(A2571,[17]PRIORIZADOS!$A:$N,14,FALSE)="","",VLOOKUP(A2571,[17]PRIORIZADOS!$A:$N,14,FALSE)),"")</f>
        <v>45769</v>
      </c>
      <c r="O2571" s="71">
        <f>IFERROR(IF(VLOOKUP(A2571,[17]PRIORIZADOS!$A:$O,15,FALSE)="","",VLOOKUP(A2571,[17]PRIORIZADOS!$A:$O,15,FALSE)),"")</f>
        <v>45769</v>
      </c>
      <c r="P2571" s="11" t="str">
        <f>IFERROR(IF(VLOOKUP(A2571,[17]PRIORIZADOS!$A:$P,16,FALSE)="","",VLOOKUP(A2571,[17]PRIORIZADOS!$A:$P,16,FALSE)),"")</f>
        <v>Visitas de evaluación con fines de seguimiento</v>
      </c>
      <c r="Q2571" s="107" t="s">
        <v>504</v>
      </c>
      <c r="R2571" s="11" t="str">
        <f>IFERROR(IF(VLOOKUP(A2571,[17]PRIORIZADOS!$A:$R,18,FALSE)="","",VLOOKUP(A2571,[17]PRIORIZADOS!$A:$R,18,FALSE)),"")</f>
        <v xml:space="preserve">Cuenta con comité de convivencia, el cual no tiene definido las funciones ni el reglamento.
Tiene ruta de atención, pero no definen todos los protocolos para las situaciones de convivencia escolar.
</v>
      </c>
      <c r="S2571" s="11" t="str">
        <f>IFERROR(IF(VLOOKUP(A2571,[17]PRIORIZADOS!$A:$S,19,FALSE)="","",VLOOKUP(A2571,[17]PRIORIZADOS!$A:$S,19,FALSE)),"")</f>
        <v>Solicitar capacitación sobre convivencia escolar y rutas de atención a la Oficina de Convivencia Escolar.</v>
      </c>
      <c r="T2571" s="70" t="str">
        <f>IFERROR(IF(VLOOKUP(A2571,[17]PRIORIZADOS!$A:$T,20,FALSE)="","",VLOOKUP(A2571,[17]PRIORIZADOS!$A:$T,20,FALSE)),"")</f>
        <v>Si</v>
      </c>
      <c r="U2571" s="11" t="str">
        <f>IFERROR(IF(VLOOKUP(A2571,[17]PRIORIZADOS!$A:$U,21,FALSE)="","",VLOOKUP(A2571,[17]PRIORIZADOS!$A:$U,21,FALSE)),"")</f>
        <v>Verificación de la información relacionada con comité de convivencia y rutas de atención, de acuerdo con el plan de mejora: 16/10/2025</v>
      </c>
    </row>
    <row r="2572" spans="1:21" s="1" customFormat="1" ht="72">
      <c r="A2572" s="69">
        <f>IF([17]PRIORIZADOS!A19="","",[17]PRIORIZADOS!A19)</f>
        <v>2555</v>
      </c>
      <c r="B2572" s="70">
        <v>2</v>
      </c>
      <c r="C2572" s="11" t="str">
        <f>IFERROR(IF(VLOOKUP(A2572,[17]PRIORIZADOS!$A:$C,3,FALSE)="","",VLOOKUP(A2572,[17]PRIORIZADOS!$A:$C,3,FALSE)),"")</f>
        <v>USAQUÉN</v>
      </c>
      <c r="D2572" s="11" t="str">
        <f>IFERROR(IF(VLOOKUP(A2572,[17]PRIORIZADOS!$A:$D,4,FALSE)="","",VLOOKUP(A2572,[17]PRIORIZADOS!$A:$D,4,FALSE)),"")</f>
        <v>PRIVADO</v>
      </c>
      <c r="E2572" s="11" t="str">
        <f>IFERROR(IF(VLOOKUP(A2572,[17]PRIORIZADOS!$A:$E,5,FALSE)="","",VLOOKUP(A2572,[17]PRIORIZADOS!$A:$E,5,FALSE)),"")</f>
        <v>EPBM</v>
      </c>
      <c r="F2572" s="11" t="str">
        <f>IFERROR(IF(VLOOKUP(A2572,[17]PRIORIZADOS!$A:$F,6,FALSE)="","",VLOOKUP(A2572,[17]PRIORIZADOS!$A:$F,6,FALSE)),"")</f>
        <v>GIMNASIO_CULTURAL_LIBERTAD</v>
      </c>
      <c r="G2572" s="11" t="str">
        <f>IFERROR(IF(VLOOKUP(A2572,[17]PRIORIZADOS!$A:$G,7,FALSE)="","",VLOOKUP(A2572,[17]PRIORIZADOS!$A:$G,7,FALSE)),"")</f>
        <v>GIMNASIO CULTURAL LIBERTAD</v>
      </c>
      <c r="H2572" s="11" t="str">
        <f>IFERROR(IF(VLOOKUP(A2572,[17]PRIORIZADOS!$A:$H,8,FALSE)="","",VLOOKUP(A2572,[17]PRIORIZADOS!$A:$H,8,FALSE)),"")</f>
        <v>Autoevaluación Institucional y Pruebas SABER 11</v>
      </c>
      <c r="I2572" s="11" t="str">
        <f>IFERROR(IF(VLOOKUP(A2572,[17]PRIORIZADOS!$A:$I,9,FALSE)="","",VLOOKUP(A2572,[17]PRIORIZADOS!$A:$I,9,FALSE)),"")</f>
        <v>SEGUIMIENTO_Y_SUPERVISIÓN.</v>
      </c>
      <c r="J2572" s="11" t="str">
        <f>IFERROR(IF(VLOOKUP(A2572,[17]PRIORIZADOS!$A:$J,10,FALSE)="","",VLOOKUP(A2572,[17]PRIORIZADOS!$A:$J,10,FALSE)),"")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72" s="11" t="str">
        <f>IFERROR(IF(VLOOKUP(A2572,[17]PRIORIZADOS!$A:$K,11,FALSE)="","",VLOOKUP(A2572,[17]PRIORIZADOS!$A:$K,11,FALSE)),"")</f>
        <v>JENNIFER CATALINA TORRES PIRA</v>
      </c>
      <c r="L2572" s="11" t="str">
        <f>IFERROR(IF(VLOOKUP(A2572,[17]PRIORIZADOS!$A:$L,12,FALSE)="","",VLOOKUP(A2572,[17]PRIORIZADOS!$A:$L,12,FALSE)),"")</f>
        <v>MARTHA CECILIA MELGAREJO PINTO</v>
      </c>
      <c r="M2572" s="71">
        <f>IFERROR(IF(VLOOKUP(A2572,[17]PRIORIZADOS!$A:$M,13,FALSE)="","",VLOOKUP(A2572,[17]PRIORIZADOS!$A:$M,13,FALSE)),"")</f>
        <v>45769</v>
      </c>
      <c r="N2572" s="71">
        <f>IFERROR(IF(VLOOKUP(A2572,[17]PRIORIZADOS!$A:$N,14,FALSE)="","",VLOOKUP(A2572,[17]PRIORIZADOS!$A:$N,14,FALSE)),"")</f>
        <v>45769</v>
      </c>
      <c r="O2572" s="71">
        <f>IFERROR(IF(VLOOKUP(A2572,[17]PRIORIZADOS!$A:$O,15,FALSE)="","",VLOOKUP(A2572,[17]PRIORIZADOS!$A:$O,15,FALSE)),"")</f>
        <v>45769</v>
      </c>
      <c r="P2572" s="11" t="str">
        <f>IFERROR(IF(VLOOKUP(A2572,[17]PRIORIZADOS!$A:$P,16,FALSE)="","",VLOOKUP(A2572,[17]PRIORIZADOS!$A:$P,16,FALSE)),"")</f>
        <v>Visitas de evaluación con fines de seguimiento</v>
      </c>
      <c r="Q2572" s="107" t="s">
        <v>504</v>
      </c>
      <c r="R2572" s="11" t="str">
        <f>IFERROR(IF(VLOOKUP(A2572,[17]PRIORIZADOS!$A:$R,18,FALSE)="","",VLOOKUP(A2572,[17]PRIORIZADOS!$A:$R,18,FALSE)),"")</f>
        <v xml:space="preserve">Cuentan con los planes individuales de ajustes razonables de los estudiantes que lo requieren, de acuerdo con la normatividad
</v>
      </c>
      <c r="S2572" s="11" t="str">
        <f>IFERROR(IF(VLOOKUP(A2572,[17]PRIORIZADOS!$A:$S,19,FALSE)="","",VLOOKUP(A2572,[17]PRIORIZADOS!$A:$S,19,FALSE)),"")</f>
        <v>Capacitar a los docentes para la identificación y referenciación de los estudiantes que requieran el PIAR</v>
      </c>
      <c r="T2572" s="70" t="str">
        <f>IFERROR(IF(VLOOKUP(A2572,[17]PRIORIZADOS!$A:$T,20,FALSE)="","",VLOOKUP(A2572,[17]PRIORIZADOS!$A:$T,20,FALSE)),"")</f>
        <v>No</v>
      </c>
      <c r="U2572" s="11" t="str">
        <f>IFERROR(IF(VLOOKUP(A2572,[17]PRIORIZADOS!$A:$U,21,FALSE)="","",VLOOKUP(A2572,[17]PRIORIZADOS!$A:$U,21,FALSE)),"")</f>
        <v xml:space="preserve">Revisar los casos que se presente
</v>
      </c>
    </row>
    <row r="2573" spans="1:21" s="1" customFormat="1" ht="107.25">
      <c r="A2573" s="69">
        <f>IF([17]PRIORIZADOS!A20="","",[17]PRIORIZADOS!A20)</f>
        <v>2556</v>
      </c>
      <c r="B2573" s="70">
        <v>2</v>
      </c>
      <c r="C2573" s="11" t="str">
        <f>IFERROR(IF(VLOOKUP(A2573,[17]PRIORIZADOS!$A:$C,3,FALSE)="","",VLOOKUP(A2573,[17]PRIORIZADOS!$A:$C,3,FALSE)),"")</f>
        <v>USAQUÉN</v>
      </c>
      <c r="D2573" s="11" t="str">
        <f>IFERROR(IF(VLOOKUP(A2573,[17]PRIORIZADOS!$A:$D,4,FALSE)="","",VLOOKUP(A2573,[17]PRIORIZADOS!$A:$D,4,FALSE)),"")</f>
        <v>PRIVADO</v>
      </c>
      <c r="E2573" s="11" t="str">
        <f>IFERROR(IF(VLOOKUP(A2573,[17]PRIORIZADOS!$A:$E,5,FALSE)="","",VLOOKUP(A2573,[17]PRIORIZADOS!$A:$E,5,FALSE)),"")</f>
        <v>EPBM</v>
      </c>
      <c r="F2573" s="11" t="str">
        <f>IFERROR(IF(VLOOKUP(A2573,[17]PRIORIZADOS!$A:$F,6,FALSE)="","",VLOOKUP(A2573,[17]PRIORIZADOS!$A:$F,6,FALSE)),"")</f>
        <v>GIMNASIO_CULTURAL_LIBERTAD</v>
      </c>
      <c r="G2573" s="11" t="str">
        <f>IFERROR(IF(VLOOKUP(A2573,[17]PRIORIZADOS!$A:$G,7,FALSE)="","",VLOOKUP(A2573,[17]PRIORIZADOS!$A:$G,7,FALSE)),"")</f>
        <v>GIMNASIO CULTURAL LIBERTAD</v>
      </c>
      <c r="H2573" s="11" t="str">
        <f>IFERROR(IF(VLOOKUP(A2573,[17]PRIORIZADOS!$A:$H,8,FALSE)="","",VLOOKUP(A2573,[17]PRIORIZADOS!$A:$H,8,FALSE)),"")</f>
        <v>Autoevaluación Institucional y Pruebas SABER 11</v>
      </c>
      <c r="I2573" s="11" t="str">
        <f>IFERROR(IF(VLOOKUP(A2573,[17]PRIORIZADOS!$A:$I,9,FALSE)="","",VLOOKUP(A2573,[17]PRIORIZADOS!$A:$I,9,FALSE)),"")</f>
        <v>EVALUACIÓN_CON_FINES_DE_MEJORAMIENTO.</v>
      </c>
      <c r="J2573" s="11" t="str">
        <f>IFERROR(IF(VLOOKUP(A2573,[17]PRIORIZADOS!$A:$J,10,FALSE)="","",VLOOKUP(A2573,[17]PRIORIZADOS!$A:$J,10,FALSE)),"")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73" s="11" t="str">
        <f>IFERROR(IF(VLOOKUP(A2573,[17]PRIORIZADOS!$A:$K,11,FALSE)="","",VLOOKUP(A2573,[17]PRIORIZADOS!$A:$K,11,FALSE)),"")</f>
        <v>JENNIFER CATALINA TORRES PIRA</v>
      </c>
      <c r="L2573" s="11" t="str">
        <f>IFERROR(IF(VLOOKUP(A2573,[17]PRIORIZADOS!$A:$L,12,FALSE)="","",VLOOKUP(A2573,[17]PRIORIZADOS!$A:$L,12,FALSE)),"")</f>
        <v>MARTHA CECILIA MELGAREJO PINTO</v>
      </c>
      <c r="M2573" s="71">
        <f>IFERROR(IF(VLOOKUP(A2573,[17]PRIORIZADOS!$A:$M,13,FALSE)="","",VLOOKUP(A2573,[17]PRIORIZADOS!$A:$M,13,FALSE)),"")</f>
        <v>45769</v>
      </c>
      <c r="N2573" s="71">
        <f>IFERROR(IF(VLOOKUP(A2573,[17]PRIORIZADOS!$A:$N,14,FALSE)="","",VLOOKUP(A2573,[17]PRIORIZADOS!$A:$N,14,FALSE)),"")</f>
        <v>45769</v>
      </c>
      <c r="O2573" s="71">
        <f>IFERROR(IF(VLOOKUP(A2573,[17]PRIORIZADOS!$A:$O,15,FALSE)="","",VLOOKUP(A2573,[17]PRIORIZADOS!$A:$O,15,FALSE)),"")</f>
        <v>45769</v>
      </c>
      <c r="P2573" s="11" t="str">
        <f>IFERROR(IF(VLOOKUP(A2573,[17]PRIORIZADOS!$A:$P,16,FALSE)="","",VLOOKUP(A2573,[17]PRIORIZADOS!$A:$P,16,FALSE)),"")</f>
        <v>Visitas de evaluación con fines de mejoramiento</v>
      </c>
      <c r="Q2573" s="107" t="s">
        <v>504</v>
      </c>
      <c r="R2573" s="11" t="str">
        <f>IFERROR(IF(VLOOKUP(A2573,[17]PRIORIZADOS!$A:$R,18,FALSE)="","",VLOOKUP(A2573,[17]PRIORIZADOS!$A:$R,18,FALSE)),"")</f>
        <v xml:space="preserve">
Cuentan con el manual de convivencia, el cual no tiene el contenido total.
No presentó evidencias frente a la participación de la comunidad educativa en su construcción y adopción.
</v>
      </c>
      <c r="S2573" s="11" t="str">
        <f>IFERROR(IF(VLOOKUP(A2573,[17]PRIORIZADOS!$A:$S,19,FALSE)="","",VLOOKUP(A2573,[17]PRIORIZADOS!$A:$S,19,FALSE)),"")</f>
        <v>Actualizar el manual de convivencia de acuerdo con la normatividad vigente y guardar las evidencias de la participación de la comunidad educativa.</v>
      </c>
      <c r="T2573" s="70" t="str">
        <f>IFERROR(IF(VLOOKUP(A2573,[17]PRIORIZADOS!$A:$T,20,FALSE)="","",VLOOKUP(A2573,[17]PRIORIZADOS!$A:$T,20,FALSE)),"")</f>
        <v>Si</v>
      </c>
      <c r="U2573" s="11" t="str">
        <f>IFERROR(IF(VLOOKUP(A2573,[17]PRIORIZADOS!$A:$U,21,FALSE)="","",VLOOKUP(A2573,[17]PRIORIZADOS!$A:$U,21,FALSE)),"")</f>
        <v>Verificar el manual de convivencia de acuerdo con lo establecido en el plan de mejora: 16/10/2025</v>
      </c>
    </row>
    <row r="2574" spans="1:21" s="1" customFormat="1" ht="84">
      <c r="A2574" s="69">
        <f>IF([17]PRIORIZADOS!A21="","",[17]PRIORIZADOS!A21)</f>
        <v>2557</v>
      </c>
      <c r="B2574" s="70">
        <v>2</v>
      </c>
      <c r="C2574" s="11" t="str">
        <f>IFERROR(IF(VLOOKUP(A2574,[17]PRIORIZADOS!$A:$C,3,FALSE)="","",VLOOKUP(A2574,[17]PRIORIZADOS!$A:$C,3,FALSE)),"")</f>
        <v>USAQUÉN</v>
      </c>
      <c r="D2574" s="11" t="str">
        <f>IFERROR(IF(VLOOKUP(A2574,[17]PRIORIZADOS!$A:$D,4,FALSE)="","",VLOOKUP(A2574,[17]PRIORIZADOS!$A:$D,4,FALSE)),"")</f>
        <v>PRIVADO</v>
      </c>
      <c r="E2574" s="11" t="str">
        <f>IFERROR(IF(VLOOKUP(A2574,[17]PRIORIZADOS!$A:$E,5,FALSE)="","",VLOOKUP(A2574,[17]PRIORIZADOS!$A:$E,5,FALSE)),"")</f>
        <v>EPBM</v>
      </c>
      <c r="F2574" s="11" t="str">
        <f>IFERROR(IF(VLOOKUP(A2574,[17]PRIORIZADOS!$A:$F,6,FALSE)="","",VLOOKUP(A2574,[17]PRIORIZADOS!$A:$F,6,FALSE)),"")</f>
        <v>GIMNASIO_CULTURAL_LIBERTAD</v>
      </c>
      <c r="G2574" s="11" t="str">
        <f>IFERROR(IF(VLOOKUP(A2574,[17]PRIORIZADOS!$A:$G,7,FALSE)="","",VLOOKUP(A2574,[17]PRIORIZADOS!$A:$G,7,FALSE)),"")</f>
        <v>GIMNASIO CULTURAL LIBERTAD</v>
      </c>
      <c r="H2574" s="11" t="str">
        <f>IFERROR(IF(VLOOKUP(A2574,[17]PRIORIZADOS!$A:$H,8,FALSE)="","",VLOOKUP(A2574,[17]PRIORIZADOS!$A:$H,8,FALSE)),"")</f>
        <v>Autoevaluación Institucional y Pruebas SABER 11</v>
      </c>
      <c r="I2574" s="11" t="str">
        <f>IFERROR(IF(VLOOKUP(A2574,[17]PRIORIZADOS!$A:$I,9,FALSE)="","",VLOOKUP(A2574,[17]PRIORIZADOS!$A:$I,9,FALSE)),"")</f>
        <v>EVALUACIÓN_CON_FINES_DE_MEJORAMIENTO.</v>
      </c>
      <c r="J2574" s="11" t="str">
        <f>IFERROR(IF(VLOOKUP(A2574,[17]PRIORIZADOS!$A:$J,10,FALSE)="","",VLOOKUP(A2574,[17]PRIORIZADOS!$A:$J,10,FALSE)),"")</f>
        <v>Revisar la actualización, socialización e implementación del Sistema Institucional de Evaluación de Estudiantes - SIEE, en articulación con la actualización del PEI y la normatividad vigente.</v>
      </c>
      <c r="K2574" s="11" t="str">
        <f>IFERROR(IF(VLOOKUP(A2574,[17]PRIORIZADOS!$A:$K,11,FALSE)="","",VLOOKUP(A2574,[17]PRIORIZADOS!$A:$K,11,FALSE)),"")</f>
        <v>JENNIFER CATALINA TORRES PIRA</v>
      </c>
      <c r="L2574" s="11" t="str">
        <f>IFERROR(IF(VLOOKUP(A2574,[17]PRIORIZADOS!$A:$L,12,FALSE)="","",VLOOKUP(A2574,[17]PRIORIZADOS!$A:$L,12,FALSE)),"")</f>
        <v>MARTHA CECILIA MELGAREJO PINTO</v>
      </c>
      <c r="M2574" s="71">
        <f>IFERROR(IF(VLOOKUP(A2574,[17]PRIORIZADOS!$A:$M,13,FALSE)="","",VLOOKUP(A2574,[17]PRIORIZADOS!$A:$M,13,FALSE)),"")</f>
        <v>45769</v>
      </c>
      <c r="N2574" s="71">
        <f>IFERROR(IF(VLOOKUP(A2574,[17]PRIORIZADOS!$A:$N,14,FALSE)="","",VLOOKUP(A2574,[17]PRIORIZADOS!$A:$N,14,FALSE)),"")</f>
        <v>45769</v>
      </c>
      <c r="O2574" s="71">
        <f>IFERROR(IF(VLOOKUP(A2574,[17]PRIORIZADOS!$A:$O,15,FALSE)="","",VLOOKUP(A2574,[17]PRIORIZADOS!$A:$O,15,FALSE)),"")</f>
        <v>45769</v>
      </c>
      <c r="P2574" s="11" t="str">
        <f>IFERROR(IF(VLOOKUP(A2574,[17]PRIORIZADOS!$A:$P,16,FALSE)="","",VLOOKUP(A2574,[17]PRIORIZADOS!$A:$P,16,FALSE)),"")</f>
        <v>Visitas de evaluación con fines de mejoramiento</v>
      </c>
      <c r="Q2574" s="107" t="s">
        <v>504</v>
      </c>
      <c r="R2574" s="11" t="str">
        <f>IFERROR(IF(VLOOKUP(A2574,[17]PRIORIZADOS!$A:$R,18,FALSE)="","",VLOOKUP(A2574,[17]PRIORIZADOS!$A:$R,18,FALSE)),"")</f>
        <v>En el PEI, se mencionan estrategias generales del SIIEE.
En el SIEE se registran las acciones de seguimiento para el mejoramiento de los desempeños de los estudiantes durante el año escolar.</v>
      </c>
      <c r="S2574" s="11" t="str">
        <f>IFERROR(IF(VLOOKUP(A2574,[17]PRIORIZADOS!$A:$S,19,FALSE)="","",VLOOKUP(A2574,[17]PRIORIZADOS!$A:$S,19,FALSE)),"")</f>
        <v xml:space="preserve">Presenta generalidades no especifica la operatividad a los procesos de evaluación y promoción.
</v>
      </c>
      <c r="T2574" s="70" t="str">
        <f>IFERROR(IF(VLOOKUP(A2574,[17]PRIORIZADOS!$A:$T,20,FALSE)="","",VLOOKUP(A2574,[17]PRIORIZADOS!$A:$T,20,FALSE)),"")</f>
        <v>Si</v>
      </c>
      <c r="U2574" s="11" t="str">
        <f>IFERROR(IF(VLOOKUP(A2574,[17]PRIORIZADOS!$A:$U,21,FALSE)="","",VLOOKUP(A2574,[17]PRIORIZADOS!$A:$U,21,FALSE)),"")</f>
        <v xml:space="preserve">
Verificar los ajustes en el procedimiento para fortalecer la operatividad y el seguimiento a los procesos de evaluación y promoción.</v>
      </c>
    </row>
    <row r="2575" spans="1:21" s="1" customFormat="1" ht="48">
      <c r="A2575" s="69">
        <f>IF([17]PRIORIZADOS!A22="","",[17]PRIORIZADOS!A22)</f>
        <v>2558</v>
      </c>
      <c r="B2575" s="70">
        <v>2</v>
      </c>
      <c r="C2575" s="11" t="str">
        <f>IFERROR(IF(VLOOKUP(A2575,[17]PRIORIZADOS!$A:$C,3,FALSE)="","",VLOOKUP(A2575,[17]PRIORIZADOS!$A:$C,3,FALSE)),"")</f>
        <v>USAQUÉN</v>
      </c>
      <c r="D2575" s="11" t="str">
        <f>IFERROR(IF(VLOOKUP(A2575,[17]PRIORIZADOS!$A:$D,4,FALSE)="","",VLOOKUP(A2575,[17]PRIORIZADOS!$A:$D,4,FALSE)),"")</f>
        <v>PRIVADO</v>
      </c>
      <c r="E2575" s="11" t="str">
        <f>IFERROR(IF(VLOOKUP(A2575,[17]PRIORIZADOS!$A:$E,5,FALSE)="","",VLOOKUP(A2575,[17]PRIORIZADOS!$A:$E,5,FALSE)),"")</f>
        <v>EPBM</v>
      </c>
      <c r="F2575" s="11" t="str">
        <f>IFERROR(IF(VLOOKUP(A2575,[17]PRIORIZADOS!$A:$F,6,FALSE)="","",VLOOKUP(A2575,[17]PRIORIZADOS!$A:$F,6,FALSE)),"")</f>
        <v>GIMNASIO_CULTURAL_LIBERTAD</v>
      </c>
      <c r="G2575" s="11" t="str">
        <f>IFERROR(IF(VLOOKUP(A2575,[17]PRIORIZADOS!$A:$G,7,FALSE)="","",VLOOKUP(A2575,[17]PRIORIZADOS!$A:$G,7,FALSE)),"")</f>
        <v>GIMNASIO CULTURAL LIBERTAD</v>
      </c>
      <c r="H2575" s="11" t="str">
        <f>IFERROR(IF(VLOOKUP(A2575,[17]PRIORIZADOS!$A:$H,8,FALSE)="","",VLOOKUP(A2575,[17]PRIORIZADOS!$A:$H,8,FALSE)),"")</f>
        <v>Autoevaluación Institucional y Pruebas SABER 11</v>
      </c>
      <c r="I2575" s="11" t="str">
        <f>IFERROR(IF(VLOOKUP(A2575,[17]PRIORIZADOS!$A:$I,9,FALSE)="","",VLOOKUP(A2575,[17]PRIORIZADOS!$A:$I,9,FALSE)),"")</f>
        <v>EVALUACIÓN_CON_FINES_DE_MEJORAMIENTO.</v>
      </c>
      <c r="J2575" s="11" t="str">
        <f>IFERROR(IF(VLOOKUP(A2575,[17]PRIORIZADOS!$A:$J,10,FALSE)="","",VLOOKUP(A2575,[17]PRIORIZADOS!$A:$J,10,FALSE)),"")</f>
        <v>Revisar el calendario escolar, jornada escolar, la intensidad horaria mínima anual en cada nivel y las modificaciones que se realicen al mismo, de acuerdo con lo previsto en la normatividad vigente.</v>
      </c>
      <c r="K2575" s="11" t="str">
        <f>IFERROR(IF(VLOOKUP(A2575,[17]PRIORIZADOS!$A:$K,11,FALSE)="","",VLOOKUP(A2575,[17]PRIORIZADOS!$A:$K,11,FALSE)),"")</f>
        <v>JENNIFER CATALINA TORRES PIRA</v>
      </c>
      <c r="L2575" s="11" t="str">
        <f>IFERROR(IF(VLOOKUP(A2575,[17]PRIORIZADOS!$A:$L,12,FALSE)="","",VLOOKUP(A2575,[17]PRIORIZADOS!$A:$L,12,FALSE)),"")</f>
        <v>MARTHA CECILIA MELGAREJO PINTO</v>
      </c>
      <c r="M2575" s="71">
        <f>IFERROR(IF(VLOOKUP(A2575,[17]PRIORIZADOS!$A:$M,13,FALSE)="","",VLOOKUP(A2575,[17]PRIORIZADOS!$A:$M,13,FALSE)),"")</f>
        <v>45769</v>
      </c>
      <c r="N2575" s="71">
        <f>IFERROR(IF(VLOOKUP(A2575,[17]PRIORIZADOS!$A:$N,14,FALSE)="","",VLOOKUP(A2575,[17]PRIORIZADOS!$A:$N,14,FALSE)),"")</f>
        <v>45769</v>
      </c>
      <c r="O2575" s="71">
        <f>IFERROR(IF(VLOOKUP(A2575,[17]PRIORIZADOS!$A:$O,15,FALSE)="","",VLOOKUP(A2575,[17]PRIORIZADOS!$A:$O,15,FALSE)),"")</f>
        <v>45769</v>
      </c>
      <c r="P2575" s="11" t="str">
        <f>IFERROR(IF(VLOOKUP(A2575,[17]PRIORIZADOS!$A:$P,16,FALSE)="","",VLOOKUP(A2575,[17]PRIORIZADOS!$A:$P,16,FALSE)),"")</f>
        <v>Visitas de evaluación con fines de mejoramiento</v>
      </c>
      <c r="Q2575" s="107" t="s">
        <v>504</v>
      </c>
      <c r="R2575" s="11" t="str">
        <f>IFERROR(IF(VLOOKUP(A2575,[17]PRIORIZADOS!$A:$R,18,FALSE)="","",VLOOKUP(A2575,[17]PRIORIZADOS!$A:$R,18,FALSE)),"")</f>
        <v>El calendario escolar esta de acuerdo con la normatividad vigente.</v>
      </c>
      <c r="S2575" s="11" t="str">
        <f>IFERROR(IF(VLOOKUP(A2575,[17]PRIORIZADOS!$A:$S,19,FALSE)="","",VLOOKUP(A2575,[17]PRIORIZADOS!$A:$S,19,FALSE)),"")</f>
        <v xml:space="preserve">Continuar desarrollando la actividades  enmarcadas en la intensidad horaria dispuesta en la normatividad </v>
      </c>
      <c r="T2575" s="70" t="str">
        <f>IFERROR(IF(VLOOKUP(A2575,[17]PRIORIZADOS!$A:$T,20,FALSE)="","",VLOOKUP(A2575,[17]PRIORIZADOS!$A:$T,20,FALSE)),"")</f>
        <v>No</v>
      </c>
      <c r="U2575" s="11" t="str">
        <f>IFERROR(IF(VLOOKUP(A2575,[17]PRIORIZADOS!$A:$U,21,FALSE)="","",VLOOKUP(A2575,[17]PRIORIZADOS!$A:$U,21,FALSE)),"")</f>
        <v>Validación de la intensidad horaria definida una vez se requiera.</v>
      </c>
    </row>
    <row r="2576" spans="1:21" s="1" customFormat="1" ht="48">
      <c r="A2576" s="69">
        <f>IF([17]PRIORIZADOS!A23="","",[17]PRIORIZADOS!A23)</f>
        <v>2559</v>
      </c>
      <c r="B2576" s="70">
        <v>2</v>
      </c>
      <c r="C2576" s="11" t="str">
        <f>IFERROR(IF(VLOOKUP(A2576,[17]PRIORIZADOS!$A:$C,3,FALSE)="","",VLOOKUP(A2576,[17]PRIORIZADOS!$A:$C,3,FALSE)),"")</f>
        <v>USAQUÉN</v>
      </c>
      <c r="D2576" s="11" t="str">
        <f>IFERROR(IF(VLOOKUP(A2576,[17]PRIORIZADOS!$A:$D,4,FALSE)="","",VLOOKUP(A2576,[17]PRIORIZADOS!$A:$D,4,FALSE)),"")</f>
        <v>PRIVADO</v>
      </c>
      <c r="E2576" s="11" t="str">
        <f>IFERROR(IF(VLOOKUP(A2576,[17]PRIORIZADOS!$A:$E,5,FALSE)="","",VLOOKUP(A2576,[17]PRIORIZADOS!$A:$E,5,FALSE)),"")</f>
        <v>EPBM</v>
      </c>
      <c r="F2576" s="11" t="str">
        <f>IFERROR(IF(VLOOKUP(A2576,[17]PRIORIZADOS!$A:$F,6,FALSE)="","",VLOOKUP(A2576,[17]PRIORIZADOS!$A:$F,6,FALSE)),"")</f>
        <v>GIMNASIO_CULTURAL_LIBERTAD</v>
      </c>
      <c r="G2576" s="11" t="str">
        <f>IFERROR(IF(VLOOKUP(A2576,[17]PRIORIZADOS!$A:$G,7,FALSE)="","",VLOOKUP(A2576,[17]PRIORIZADOS!$A:$G,7,FALSE)),"")</f>
        <v>GIMNASIO CULTURAL LIBERTAD</v>
      </c>
      <c r="H2576" s="11" t="str">
        <f>IFERROR(IF(VLOOKUP(A2576,[17]PRIORIZADOS!$A:$H,8,FALSE)="","",VLOOKUP(A2576,[17]PRIORIZADOS!$A:$H,8,FALSE)),"")</f>
        <v>Autoevaluación Institucional y Pruebas SABER 11</v>
      </c>
      <c r="I2576" s="11" t="str">
        <f>IFERROR(IF(VLOOKUP(A2576,[17]PRIORIZADOS!$A:$I,9,FALSE)="","",VLOOKUP(A2576,[17]PRIORIZADOS!$A:$I,9,FALSE)),"")</f>
        <v>EVALUACIÓN_CON_FINES_DE_MEJORAMIENTO.</v>
      </c>
      <c r="J2576" s="11" t="str">
        <f>IFERROR(IF(VLOOKUP(A2576,[17]PRIORIZADOS!$A:$J,10,FALSE)="","",VLOOKUP(A2576,[17]PRIORIZADOS!$A:$J,10,FALSE)),"")</f>
        <v>Verificar el funcionamiento del Gobierno Escolar e instancias de participación con base en la información sobre conformación reportada por la institución educativa.</v>
      </c>
      <c r="K2576" s="11" t="str">
        <f>IFERROR(IF(VLOOKUP(A2576,[17]PRIORIZADOS!$A:$K,11,FALSE)="","",VLOOKUP(A2576,[17]PRIORIZADOS!$A:$K,11,FALSE)),"")</f>
        <v>MARIA TERESA GAVIRIA LOZANO</v>
      </c>
      <c r="L2576" s="11" t="str">
        <f>IFERROR(IF(VLOOKUP(A2576,[17]PRIORIZADOS!$A:$L,12,FALSE)="","",VLOOKUP(A2576,[17]PRIORIZADOS!$A:$L,12,FALSE)),"")</f>
        <v>MARTHA CECILIA MELGAREJO PINTO</v>
      </c>
      <c r="M2576" s="71">
        <f>IFERROR(IF(VLOOKUP(A2576,[17]PRIORIZADOS!$A:$M,13,FALSE)="","",VLOOKUP(A2576,[17]PRIORIZADOS!$A:$M,13,FALSE)),"")</f>
        <v>45769</v>
      </c>
      <c r="N2576" s="71">
        <f>IFERROR(IF(VLOOKUP(A2576,[17]PRIORIZADOS!$A:$N,14,FALSE)="","",VLOOKUP(A2576,[17]PRIORIZADOS!$A:$N,14,FALSE)),"")</f>
        <v>45769</v>
      </c>
      <c r="O2576" s="71">
        <f>IFERROR(IF(VLOOKUP(A2576,[17]PRIORIZADOS!$A:$O,15,FALSE)="","",VLOOKUP(A2576,[17]PRIORIZADOS!$A:$O,15,FALSE)),"")</f>
        <v>45769</v>
      </c>
      <c r="P2576" s="11" t="str">
        <f>IFERROR(IF(VLOOKUP(A2576,[17]PRIORIZADOS!$A:$P,16,FALSE)="","",VLOOKUP(A2576,[17]PRIORIZADOS!$A:$P,16,FALSE)),"")</f>
        <v>Visitas de evaluación con fines de mejoramiento</v>
      </c>
      <c r="Q2576" s="107" t="s">
        <v>504</v>
      </c>
      <c r="R2576" s="11" t="str">
        <f>IFERROR(IF(VLOOKUP(A2576,[17]PRIORIZADOS!$A:$R,18,FALSE)="","",VLOOKUP(A2576,[17]PRIORIZADOS!$A:$R,18,FALSE)),"")</f>
        <v>Esta definido en el manual de convivencia pero no se evidencian las actas de conformación de gobierno escolar.</v>
      </c>
      <c r="S2576" s="11" t="str">
        <f>IFERROR(IF(VLOOKUP(A2576,[17]PRIORIZADOS!$A:$S,19,FALSE)="","",VLOOKUP(A2576,[17]PRIORIZADOS!$A:$S,19,FALSE)),"")</f>
        <v>Realizar las actas de gobierno escolar.</v>
      </c>
      <c r="T2576" s="70" t="str">
        <f>IFERROR(IF(VLOOKUP(A2576,[17]PRIORIZADOS!$A:$T,20,FALSE)="","",VLOOKUP(A2576,[17]PRIORIZADOS!$A:$T,20,FALSE)),"")</f>
        <v>Si</v>
      </c>
      <c r="U2576" s="11" t="str">
        <f>IFERROR(IF(VLOOKUP(A2576,[17]PRIORIZADOS!$A:$U,21,FALSE)="","",VLOOKUP(A2576,[17]PRIORIZADOS!$A:$U,21,FALSE)),"")</f>
        <v>Verificar el cargue de la información en aplicativo SAE.</v>
      </c>
    </row>
    <row r="2577" spans="1:21" s="1" customFormat="1" ht="118.5">
      <c r="A2577" s="69">
        <f>IF([17]PRIORIZADOS!A24="","",[17]PRIORIZADOS!A24)</f>
        <v>2560</v>
      </c>
      <c r="B2577" s="70">
        <v>2</v>
      </c>
      <c r="C2577" s="11" t="str">
        <f>IFERROR(IF(VLOOKUP(A2577,[17]PRIORIZADOS!$A:$C,3,FALSE)="","",VLOOKUP(A2577,[17]PRIORIZADOS!$A:$C,3,FALSE)),"")</f>
        <v>USAQUÉN</v>
      </c>
      <c r="D2577" s="11" t="str">
        <f>IFERROR(IF(VLOOKUP(A2577,[17]PRIORIZADOS!$A:$D,4,FALSE)="","",VLOOKUP(A2577,[17]PRIORIZADOS!$A:$D,4,FALSE)),"")</f>
        <v>PRIVADO</v>
      </c>
      <c r="E2577" s="11" t="str">
        <f>IFERROR(IF(VLOOKUP(A2577,[17]PRIORIZADOS!$A:$E,5,FALSE)="","",VLOOKUP(A2577,[17]PRIORIZADOS!$A:$E,5,FALSE)),"")</f>
        <v>EPBM</v>
      </c>
      <c r="F2577" s="11" t="str">
        <f>IFERROR(IF(VLOOKUP(A2577,[17]PRIORIZADOS!$A:$F,6,FALSE)="","",VLOOKUP(A2577,[17]PRIORIZADOS!$A:$F,6,FALSE)),"")</f>
        <v>GIMNASIO_CULTURAL_LIBERTAD</v>
      </c>
      <c r="G2577" s="11" t="str">
        <f>IFERROR(IF(VLOOKUP(A2577,[17]PRIORIZADOS!$A:$G,7,FALSE)="","",VLOOKUP(A2577,[17]PRIORIZADOS!$A:$G,7,FALSE)),"")</f>
        <v>GIMNASIO CULTURAL LIBERTAD</v>
      </c>
      <c r="H2577" s="11" t="str">
        <f>IFERROR(IF(VLOOKUP(A2577,[17]PRIORIZADOS!$A:$H,8,FALSE)="","",VLOOKUP(A2577,[17]PRIORIZADOS!$A:$H,8,FALSE)),"")</f>
        <v>Autoevaluación Institucional y Pruebas SABER 11</v>
      </c>
      <c r="I2577" s="11" t="str">
        <f>IFERROR(IF(VLOOKUP(A2577,[17]PRIORIZADOS!$A:$I,9,FALSE)="","",VLOOKUP(A2577,[17]PRIORIZADOS!$A:$I,9,FALSE)),"")</f>
        <v>EVALUACIÓN_CON_FINES_DE_MEJORAMIENTO.</v>
      </c>
      <c r="J2577" s="11" t="str">
        <f>IFERROR(IF(VLOOKUP(A2577,[17]PRIORIZADOS!$A:$J,10,FALSE)="","",VLOOKUP(A2577,[17]PRIORIZADOS!$A:$J,10,FALSE)),"")</f>
        <v>Verificar las condiciones en cuanto a: la estructura administrativa, condiciones de la planta física y medios educativos adecuados.</v>
      </c>
      <c r="K2577" s="11" t="str">
        <f>IFERROR(IF(VLOOKUP(A2577,[17]PRIORIZADOS!$A:$K,11,FALSE)="","",VLOOKUP(A2577,[17]PRIORIZADOS!$A:$K,11,FALSE)),"")</f>
        <v>JENNIFER CATALINA TORRES PIRA</v>
      </c>
      <c r="L2577" s="11" t="str">
        <f>IFERROR(IF(VLOOKUP(A2577,[17]PRIORIZADOS!$A:$L,12,FALSE)="","",VLOOKUP(A2577,[17]PRIORIZADOS!$A:$L,12,FALSE)),"")</f>
        <v>MARTHA CECILIA MELGAREJO PINTO</v>
      </c>
      <c r="M2577" s="71">
        <f>IFERROR(IF(VLOOKUP(A2577,[17]PRIORIZADOS!$A:$M,13,FALSE)="","",VLOOKUP(A2577,[17]PRIORIZADOS!$A:$M,13,FALSE)),"")</f>
        <v>45769</v>
      </c>
      <c r="N2577" s="71">
        <f>IFERROR(IF(VLOOKUP(A2577,[17]PRIORIZADOS!$A:$N,14,FALSE)="","",VLOOKUP(A2577,[17]PRIORIZADOS!$A:$N,14,FALSE)),"")</f>
        <v>45769</v>
      </c>
      <c r="O2577" s="71">
        <f>IFERROR(IF(VLOOKUP(A2577,[17]PRIORIZADOS!$A:$O,15,FALSE)="","",VLOOKUP(A2577,[17]PRIORIZADOS!$A:$O,15,FALSE)),"")</f>
        <v>45769</v>
      </c>
      <c r="P2577" s="11" t="str">
        <f>IFERROR(IF(VLOOKUP(A2577,[17]PRIORIZADOS!$A:$P,16,FALSE)="","",VLOOKUP(A2577,[17]PRIORIZADOS!$A:$P,16,FALSE)),"")</f>
        <v>Visitas de evaluación con fines de mejoramiento</v>
      </c>
      <c r="Q2577" s="107" t="s">
        <v>504</v>
      </c>
      <c r="R2577" s="11" t="str">
        <f>IFERROR(IF(VLOOKUP(A2577,[17]PRIORIZADOS!$A:$R,18,FALSE)="","",VLOOKUP(A2577,[17]PRIORIZADOS!$A:$R,18,FALSE)),"")</f>
        <v xml:space="preserve">La infraestructura de la Institución educativa no cumple, como se evidencia en el concepto sanitario del 01 de abril de 2025, el cual es desfavorable por incumplimientos a la normatividad vigente.
La IE no tiene en cuenta a la población con alguna 
limitación física, en la infraestructura.
</v>
      </c>
      <c r="S2577" s="11" t="str">
        <f>IFERROR(IF(VLOOKUP(A2577,[17]PRIORIZADOS!$A:$S,19,FALSE)="","",VLOOKUP(A2577,[17]PRIORIZADOS!$A:$S,19,FALSE)),"")</f>
        <v>La IE. evaluará la viabilidad de realizar los ajustes según observación.</v>
      </c>
      <c r="T2577" s="70" t="str">
        <f>IFERROR(IF(VLOOKUP(A2577,[17]PRIORIZADOS!$A:$T,20,FALSE)="","",VLOOKUP(A2577,[17]PRIORIZADOS!$A:$T,20,FALSE)),"")</f>
        <v>Si</v>
      </c>
      <c r="U2577" s="11" t="str">
        <f>IFERROR(IF(VLOOKUP(A2577,[17]PRIORIZADOS!$A:$U,21,FALSE)="","",VLOOKUP(A2577,[17]PRIORIZADOS!$A:$U,21,FALSE)),"")</f>
        <v>Verificación de la acciones establecidas en el plan de mejoramiento y seguimiento a su ejecución, en el segundo semestre del año.</v>
      </c>
    </row>
    <row r="2578" spans="1:21" s="1" customFormat="1" ht="60">
      <c r="A2578" s="69">
        <f>IF([17]PRIORIZADOS!A26="","",[17]PRIORIZADOS!A26)</f>
        <v>2562</v>
      </c>
      <c r="B2578" s="70">
        <v>3</v>
      </c>
      <c r="C2578" s="11" t="str">
        <f>IFERROR(IF(VLOOKUP(A2578,[17]PRIORIZADOS!$A:$C,3,FALSE)="","",VLOOKUP(A2578,[17]PRIORIZADOS!$A:$C,3,FALSE)),"")</f>
        <v>USAQUÉN</v>
      </c>
      <c r="D2578" s="11" t="str">
        <f>IFERROR(IF(VLOOKUP(A2578,[17]PRIORIZADOS!$A:$D,4,FALSE)="","",VLOOKUP(A2578,[17]PRIORIZADOS!$A:$D,4,FALSE)),"")</f>
        <v>PRIVADO</v>
      </c>
      <c r="E2578" s="11" t="str">
        <f>IFERROR(IF(VLOOKUP(A2578,[17]PRIORIZADOS!$A:$E,5,FALSE)="","",VLOOKUP(A2578,[17]PRIORIZADOS!$A:$E,5,FALSE)),"")</f>
        <v>EPBM</v>
      </c>
      <c r="F2578" s="11" t="str">
        <f>IFERROR(IF(VLOOKUP(A2578,[17]PRIORIZADOS!$A:$F,6,FALSE)="","",VLOOKUP(A2578,[17]PRIORIZADOS!$A:$F,6,FALSE)),"")</f>
        <v>INSTITUTO_EL_ROBLE</v>
      </c>
      <c r="G2578" s="11" t="str">
        <f>IFERROR(IF(VLOOKUP(A2578,[17]PRIORIZADOS!$A:$G,7,FALSE)="","",VLOOKUP(A2578,[17]PRIORIZADOS!$A:$G,7,FALSE)),"")</f>
        <v>INSTITUTO EL ROBLE</v>
      </c>
      <c r="H2578" s="11" t="str">
        <f>IFERROR(IF(VLOOKUP(A2578,[17]PRIORIZADOS!$A:$H,8,FALSE)="","",VLOOKUP(A2578,[17]PRIORIZADOS!$A:$H,8,FALSE)),"")</f>
        <v>Autoevaluación Institucional y Pruebas SABER 11</v>
      </c>
      <c r="I2578" s="11" t="str">
        <f>IFERROR(IF(VLOOKUP(A2578,[17]PRIORIZADOS!$A:$I,9,FALSE)="","",VLOOKUP(A2578,[17]PRIORIZADOS!$A:$I,9,FALSE)),"")</f>
        <v>SEGUIMIENTO_Y_SUPERVISIÓN.</v>
      </c>
      <c r="J2578" s="11" t="str">
        <f>IFERROR(IF(VLOOKUP(A2578,[17]PRIORIZADOS!$A:$J,10,FALSE)="","",VLOOKUP(A2578,[17]PRIORIZADOS!$A:$J,10,FALSE)),"")</f>
        <v>Proponer estrategias en la formulación, verificar su elaboración y realizar seguimiento semestral al desarrollo de  las acciones establecidas en los planes de mejoramiento por pruebas SABER 11 de los establecimientos de educación formal.</v>
      </c>
      <c r="K2578" s="11" t="str">
        <f>IFERROR(IF(VLOOKUP(A2578,[17]PRIORIZADOS!$A:$K,11,FALSE)="","",VLOOKUP(A2578,[17]PRIORIZADOS!$A:$K,11,FALSE)),"")</f>
        <v>GILMA ESTHER ALBARRACÍN BALLESTEROS</v>
      </c>
      <c r="L2578" s="11" t="str">
        <f>IFERROR(IF(VLOOKUP(A2578,[17]PRIORIZADOS!$A:$L,12,FALSE)="","",VLOOKUP(A2578,[17]PRIORIZADOS!$A:$L,12,FALSE)),"")</f>
        <v>JENNIFER CATALINA TORRES PIRA</v>
      </c>
      <c r="M2578" s="71">
        <f>IFERROR(IF(VLOOKUP(A2578,[17]PRIORIZADOS!$A:$M,13,FALSE)="","",VLOOKUP(A2578,[17]PRIORIZADOS!$A:$M,13,FALSE)),"")</f>
        <v>45786</v>
      </c>
      <c r="N2578" s="71">
        <f>IFERROR(IF(VLOOKUP(A2578,[17]PRIORIZADOS!$A:$N,14,FALSE)="","",VLOOKUP(A2578,[17]PRIORIZADOS!$A:$N,14,FALSE)),"")</f>
        <v>45807</v>
      </c>
      <c r="O2578" s="71">
        <f>IFERROR(IF(VLOOKUP(A2578,[17]PRIORIZADOS!$A:$O,15,FALSE)="","",VLOOKUP(A2578,[17]PRIORIZADOS!$A:$O,15,FALSE)),"")</f>
        <v>45807</v>
      </c>
      <c r="P2578" s="11" t="str">
        <f>IFERROR(IF(VLOOKUP(A2578,[17]PRIORIZADOS!$A:$P,16,FALSE)="","",VLOOKUP(A2578,[17]PRIORIZADOS!$A:$P,16,FALSE)),"")</f>
        <v>Visitas de evaluación con fines de seguimiento</v>
      </c>
      <c r="Q2578" s="107" t="s">
        <v>505</v>
      </c>
      <c r="R2578" s="11" t="str">
        <f>IFERROR(IF(VLOOKUP(A2578,[17]PRIORIZADOS!$A:$R,18,FALSE)="","",VLOOKUP(A2578,[17]PRIORIZADOS!$A:$R,18,FALSE)),"")</f>
        <v>Se evidencia Plan de Mejoramiento, el cual contiene  estrategias y acciones a seguir en las asignaturas de bajo desempeño en las pruebas saber 11.</v>
      </c>
      <c r="S2578" s="11" t="str">
        <f>IFERROR(IF(VLOOKUP(A2578,[17]PRIORIZADOS!$A:$S,19,FALSE)="","",VLOOKUP(A2578,[17]PRIORIZADOS!$A:$S,19,FALSE)),"")</f>
        <v>Realizar el plan de mejora para ajustar el plan de estudios y la malla curricular</v>
      </c>
      <c r="T2578" s="70" t="str">
        <f>IFERROR(IF(VLOOKUP(A2578,[17]PRIORIZADOS!$A:$T,20,FALSE)="","",VLOOKUP(A2578,[17]PRIORIZADOS!$A:$T,20,FALSE)),"")</f>
        <v>Si</v>
      </c>
      <c r="U2578" s="11" t="str">
        <f>IFERROR(IF(VLOOKUP(A2578,[17]PRIORIZADOS!$A:$U,21,FALSE)="","",VLOOKUP(A2578,[17]PRIORIZADOS!$A:$U,21,FALSE)),"")</f>
        <v>Revisar la malla curricular y el plan de estudios del grado 11, con los ajustes, de acuerdo con el plan de mejora: 04/07/2025</v>
      </c>
    </row>
    <row r="2579" spans="1:21" s="1" customFormat="1" ht="154.5">
      <c r="A2579" s="69">
        <f>IF([17]PRIORIZADOS!A27="","",[17]PRIORIZADOS!A27)</f>
        <v>2563</v>
      </c>
      <c r="B2579" s="70">
        <v>3</v>
      </c>
      <c r="C2579" s="11" t="str">
        <f>IFERROR(IF(VLOOKUP(A2579,[17]PRIORIZADOS!$A:$C,3,FALSE)="","",VLOOKUP(A2579,[17]PRIORIZADOS!$A:$C,3,FALSE)),"")</f>
        <v>USAQUÉN</v>
      </c>
      <c r="D2579" s="11" t="str">
        <f>IFERROR(IF(VLOOKUP(A2579,[17]PRIORIZADOS!$A:$D,4,FALSE)="","",VLOOKUP(A2579,[17]PRIORIZADOS!$A:$D,4,FALSE)),"")</f>
        <v>PRIVADO</v>
      </c>
      <c r="E2579" s="11" t="str">
        <f>IFERROR(IF(VLOOKUP(A2579,[17]PRIORIZADOS!$A:$E,5,FALSE)="","",VLOOKUP(A2579,[17]PRIORIZADOS!$A:$E,5,FALSE)),"")</f>
        <v>EPBM</v>
      </c>
      <c r="F2579" s="11" t="str">
        <f>IFERROR(IF(VLOOKUP(A2579,[17]PRIORIZADOS!$A:$F,6,FALSE)="","",VLOOKUP(A2579,[17]PRIORIZADOS!$A:$F,6,FALSE)),"")</f>
        <v>INSTITUTO_EL_ROBLE</v>
      </c>
      <c r="G2579" s="11" t="str">
        <f>IFERROR(IF(VLOOKUP(A2579,[17]PRIORIZADOS!$A:$G,7,FALSE)="","",VLOOKUP(A2579,[17]PRIORIZADOS!$A:$G,7,FALSE)),"")</f>
        <v>INSTITUTO EL ROBLE</v>
      </c>
      <c r="H2579" s="11" t="str">
        <f>IFERROR(IF(VLOOKUP(A2579,[17]PRIORIZADOS!$A:$H,8,FALSE)="","",VLOOKUP(A2579,[17]PRIORIZADOS!$A:$H,8,FALSE)),"")</f>
        <v>Autoevaluación Institucional y Pruebas SABER 11</v>
      </c>
      <c r="I2579" s="11" t="str">
        <f>IFERROR(IF(VLOOKUP(A2579,[17]PRIORIZADOS!$A:$I,9,FALSE)="","",VLOOKUP(A2579,[17]PRIORIZADOS!$A:$I,9,FALSE)),"")</f>
        <v>SEGUIMIENTO_Y_SUPERVISIÓN.</v>
      </c>
      <c r="J2579" s="11" t="str">
        <f>IFERROR(IF(VLOOKUP(A2579,[17]PRIORIZADOS!$A:$J,10,FALSE)="","",VLOOKUP(A2579,[17]PRIORIZADOS!$A:$J,10,FALSE)),"")</f>
        <v xml:space="preserve">Verificar la implementación por parte de los colegios, de acciones realizadas para la prevención y atención de las situaciones de convivencia en el entorno escolar, según lo establecido en la Directiva 01 de 2022 del MEN. </v>
      </c>
      <c r="K2579" s="11" t="str">
        <f>IFERROR(IF(VLOOKUP(A2579,[17]PRIORIZADOS!$A:$K,11,FALSE)="","",VLOOKUP(A2579,[17]PRIORIZADOS!$A:$K,11,FALSE)),"")</f>
        <v>GILMA ESTHER ALBARRACÍN BALLESTEROS</v>
      </c>
      <c r="L2579" s="11" t="str">
        <f>IFERROR(IF(VLOOKUP(A2579,[17]PRIORIZADOS!$A:$L,12,FALSE)="","",VLOOKUP(A2579,[17]PRIORIZADOS!$A:$L,12,FALSE)),"")</f>
        <v>JENNIFER CATALINA TORRES PIRA</v>
      </c>
      <c r="M2579" s="71">
        <f>IFERROR(IF(VLOOKUP(A2579,[17]PRIORIZADOS!$A:$M,13,FALSE)="","",VLOOKUP(A2579,[17]PRIORIZADOS!$A:$M,13,FALSE)),"")</f>
        <v>45786</v>
      </c>
      <c r="N2579" s="71">
        <f>IFERROR(IF(VLOOKUP(A2579,[17]PRIORIZADOS!$A:$N,14,FALSE)="","",VLOOKUP(A2579,[17]PRIORIZADOS!$A:$N,14,FALSE)),"")</f>
        <v>45807</v>
      </c>
      <c r="O2579" s="71">
        <f>IFERROR(IF(VLOOKUP(A2579,[17]PRIORIZADOS!$A:$O,15,FALSE)="","",VLOOKUP(A2579,[17]PRIORIZADOS!$A:$O,15,FALSE)),"")</f>
        <v>45807</v>
      </c>
      <c r="P2579" s="11" t="str">
        <f>IFERROR(IF(VLOOKUP(A2579,[17]PRIORIZADOS!$A:$P,16,FALSE)="","",VLOOKUP(A2579,[17]PRIORIZADOS!$A:$P,16,FALSE)),"")</f>
        <v>Visitas de evaluación con fines de seguimiento</v>
      </c>
      <c r="Q2579" s="107" t="s">
        <v>505</v>
      </c>
      <c r="R2579" s="11" t="str">
        <f>IFERROR(IF(VLOOKUP(A2579,[17]PRIORIZADOS!$A:$R,18,FALSE)="","",VLOOKUP(A2579,[17]PRIORIZADOS!$A:$R,18,FALSE)),"")</f>
        <v>Esta definido el comité de conviviencia, con sus respectivas funciones y tiene establecido el reglamento.
Cuentan con la ruta de atención integral para los casos de convivencia en el ambiente escolar.
No se pudo evidenciar, si se realiza el control frente al cumplimiento de las inhabilidades por delitos sexuales,dado que no se pudieron revisar las carpetas del personal.</v>
      </c>
      <c r="S2579" s="11" t="str">
        <f>IFERROR(IF(VLOOKUP(A2579,[17]PRIORIZADOS!$A:$S,19,FALSE)="","",VLOOKUP(A2579,[17]PRIORIZADOS!$A:$S,19,FALSE)),"")</f>
        <v>Contar con la información disponible para cualquier requerimiento que se tenga.</v>
      </c>
      <c r="T2579" s="70" t="str">
        <f>IFERROR(IF(VLOOKUP(A2579,[17]PRIORIZADOS!$A:$T,20,FALSE)="","",VLOOKUP(A2579,[17]PRIORIZADOS!$A:$T,20,FALSE)),"")</f>
        <v>Si</v>
      </c>
      <c r="U2579" s="11" t="str">
        <f>IFERROR(IF(VLOOKUP(A2579,[17]PRIORIZADOS!$A:$U,21,FALSE)="","",VLOOKUP(A2579,[17]PRIORIZADOS!$A:$U,21,FALSE)),"")</f>
        <v>Revisar el plan de mejoramiento, para evidenciar el cumplimiento frente al seguimiento del personal en relación con las inhabilidades por delitos sexuales.</v>
      </c>
    </row>
    <row r="2580" spans="1:21" s="1" customFormat="1" ht="72">
      <c r="A2580" s="69">
        <f>IF([17]PRIORIZADOS!A28="","",[17]PRIORIZADOS!A28)</f>
        <v>2564</v>
      </c>
      <c r="B2580" s="70">
        <v>3</v>
      </c>
      <c r="C2580" s="11" t="str">
        <f>IFERROR(IF(VLOOKUP(A2580,[17]PRIORIZADOS!$A:$C,3,FALSE)="","",VLOOKUP(A2580,[17]PRIORIZADOS!$A:$C,3,FALSE)),"")</f>
        <v>USAQUÉN</v>
      </c>
      <c r="D2580" s="11" t="str">
        <f>IFERROR(IF(VLOOKUP(A2580,[17]PRIORIZADOS!$A:$D,4,FALSE)="","",VLOOKUP(A2580,[17]PRIORIZADOS!$A:$D,4,FALSE)),"")</f>
        <v>PRIVADO</v>
      </c>
      <c r="E2580" s="11" t="str">
        <f>IFERROR(IF(VLOOKUP(A2580,[17]PRIORIZADOS!$A:$E,5,FALSE)="","",VLOOKUP(A2580,[17]PRIORIZADOS!$A:$E,5,FALSE)),"")</f>
        <v>EPBM</v>
      </c>
      <c r="F2580" s="11" t="str">
        <f>IFERROR(IF(VLOOKUP(A2580,[17]PRIORIZADOS!$A:$F,6,FALSE)="","",VLOOKUP(A2580,[17]PRIORIZADOS!$A:$F,6,FALSE)),"")</f>
        <v>INSTITUTO_EL_ROBLE</v>
      </c>
      <c r="G2580" s="11" t="str">
        <f>IFERROR(IF(VLOOKUP(A2580,[17]PRIORIZADOS!$A:$G,7,FALSE)="","",VLOOKUP(A2580,[17]PRIORIZADOS!$A:$G,7,FALSE)),"")</f>
        <v>INSTITUTO EL ROBLE</v>
      </c>
      <c r="H2580" s="11" t="str">
        <f>IFERROR(IF(VLOOKUP(A2580,[17]PRIORIZADOS!$A:$H,8,FALSE)="","",VLOOKUP(A2580,[17]PRIORIZADOS!$A:$H,8,FALSE)),"")</f>
        <v>Autoevaluación Institucional y Pruebas SABER 11</v>
      </c>
      <c r="I2580" s="11" t="str">
        <f>IFERROR(IF(VLOOKUP(A2580,[17]PRIORIZADOS!$A:$I,9,FALSE)="","",VLOOKUP(A2580,[17]PRIORIZADOS!$A:$I,9,FALSE)),"")</f>
        <v>SEGUIMIENTO_Y_SUPERVISIÓN.</v>
      </c>
      <c r="J2580" s="11" t="str">
        <f>IFERROR(IF(VLOOKUP(A2580,[17]PRIORIZADOS!$A:$J,10,FALSE)="","",VLOOKUP(A2580,[17]PRIORIZADOS!$A:$J,10,FALSE)),"")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80" s="11" t="str">
        <f>IFERROR(IF(VLOOKUP(A2580,[17]PRIORIZADOS!$A:$K,11,FALSE)="","",VLOOKUP(A2580,[17]PRIORIZADOS!$A:$K,11,FALSE)),"")</f>
        <v>GILMA ESTHER ALBARRACÍN BALLESTEROS</v>
      </c>
      <c r="L2580" s="11" t="str">
        <f>IFERROR(IF(VLOOKUP(A2580,[17]PRIORIZADOS!$A:$L,12,FALSE)="","",VLOOKUP(A2580,[17]PRIORIZADOS!$A:$L,12,FALSE)),"")</f>
        <v>JENNIFER CATALINA TORRES PIRA</v>
      </c>
      <c r="M2580" s="71">
        <f>IFERROR(IF(VLOOKUP(A2580,[17]PRIORIZADOS!$A:$M,13,FALSE)="","",VLOOKUP(A2580,[17]PRIORIZADOS!$A:$M,13,FALSE)),"")</f>
        <v>45786</v>
      </c>
      <c r="N2580" s="71">
        <f>IFERROR(IF(VLOOKUP(A2580,[17]PRIORIZADOS!$A:$N,14,FALSE)="","",VLOOKUP(A2580,[17]PRIORIZADOS!$A:$N,14,FALSE)),"")</f>
        <v>45807</v>
      </c>
      <c r="O2580" s="71">
        <f>IFERROR(IF(VLOOKUP(A2580,[17]PRIORIZADOS!$A:$O,15,FALSE)="","",VLOOKUP(A2580,[17]PRIORIZADOS!$A:$O,15,FALSE)),"")</f>
        <v>45807</v>
      </c>
      <c r="P2580" s="11" t="str">
        <f>IFERROR(IF(VLOOKUP(A2580,[17]PRIORIZADOS!$A:$P,16,FALSE)="","",VLOOKUP(A2580,[17]PRIORIZADOS!$A:$P,16,FALSE)),"")</f>
        <v>Visitas de evaluación con fines de seguimiento</v>
      </c>
      <c r="Q2580" s="107" t="s">
        <v>505</v>
      </c>
      <c r="R2580" s="11" t="str">
        <f>IFERROR(IF(VLOOKUP(A2580,[17]PRIORIZADOS!$A:$R,18,FALSE)="","",VLOOKUP(A2580,[17]PRIORIZADOS!$A:$R,18,FALSE)),"")</f>
        <v>El colegio no cuenta con estudiantes que requieran los planes individuales de ajustes razonables - PIAR, pero en el PEI y en el manual de convivencia esta desarrollado el tema y tiene los formatos a aplicar.</v>
      </c>
      <c r="S2580" s="11" t="str">
        <f>IFERROR(IF(VLOOKUP(A2580,[17]PRIORIZADOS!$A:$S,19,FALSE)="","",VLOOKUP(A2580,[17]PRIORIZADOS!$A:$S,19,FALSE)),"")</f>
        <v>Se debe continuar con esta actividad y aplica los ajustes razonables cuando se requieran.</v>
      </c>
      <c r="T2580" s="70" t="str">
        <f>IFERROR(IF(VLOOKUP(A2580,[17]PRIORIZADOS!$A:$T,20,FALSE)="","",VLOOKUP(A2580,[17]PRIORIZADOS!$A:$T,20,FALSE)),"")</f>
        <v>No</v>
      </c>
      <c r="U2580" s="11" t="str">
        <f>IFERROR(IF(VLOOKUP(A2580,[17]PRIORIZADOS!$A:$U,21,FALSE)="","",VLOOKUP(A2580,[17]PRIORIZADOS!$A:$U,21,FALSE)),"")</f>
        <v>Verificar una vez se presente un caso relacionado con PIAR.</v>
      </c>
    </row>
    <row r="2581" spans="1:21" s="1" customFormat="1" ht="84">
      <c r="A2581" s="69">
        <f>IF([17]PRIORIZADOS!A29="","",[17]PRIORIZADOS!A29)</f>
        <v>2565</v>
      </c>
      <c r="B2581" s="70">
        <v>3</v>
      </c>
      <c r="C2581" s="11" t="str">
        <f>IFERROR(IF(VLOOKUP(A2581,[17]PRIORIZADOS!$A:$C,3,FALSE)="","",VLOOKUP(A2581,[17]PRIORIZADOS!$A:$C,3,FALSE)),"")</f>
        <v>USAQUÉN</v>
      </c>
      <c r="D2581" s="11" t="str">
        <f>IFERROR(IF(VLOOKUP(A2581,[17]PRIORIZADOS!$A:$D,4,FALSE)="","",VLOOKUP(A2581,[17]PRIORIZADOS!$A:$D,4,FALSE)),"")</f>
        <v>PRIVADO</v>
      </c>
      <c r="E2581" s="11" t="str">
        <f>IFERROR(IF(VLOOKUP(A2581,[17]PRIORIZADOS!$A:$E,5,FALSE)="","",VLOOKUP(A2581,[17]PRIORIZADOS!$A:$E,5,FALSE)),"")</f>
        <v>EPBM</v>
      </c>
      <c r="F2581" s="11" t="str">
        <f>IFERROR(IF(VLOOKUP(A2581,[17]PRIORIZADOS!$A:$F,6,FALSE)="","",VLOOKUP(A2581,[17]PRIORIZADOS!$A:$F,6,FALSE)),"")</f>
        <v>INSTITUTO_EL_ROBLE</v>
      </c>
      <c r="G2581" s="11" t="str">
        <f>IFERROR(IF(VLOOKUP(A2581,[17]PRIORIZADOS!$A:$G,7,FALSE)="","",VLOOKUP(A2581,[17]PRIORIZADOS!$A:$G,7,FALSE)),"")</f>
        <v>INSTITUTO EL ROBLE</v>
      </c>
      <c r="H2581" s="11" t="str">
        <f>IFERROR(IF(VLOOKUP(A2581,[17]PRIORIZADOS!$A:$H,8,FALSE)="","",VLOOKUP(A2581,[17]PRIORIZADOS!$A:$H,8,FALSE)),"")</f>
        <v>Autoevaluación Institucional y Pruebas SABER 11</v>
      </c>
      <c r="I2581" s="11" t="str">
        <f>IFERROR(IF(VLOOKUP(A2581,[17]PRIORIZADOS!$A:$I,9,FALSE)="","",VLOOKUP(A2581,[17]PRIORIZADOS!$A:$I,9,FALSE)),"")</f>
        <v>EVALUACIÓN_CON_FINES_DE_MEJORAMIENTO.</v>
      </c>
      <c r="J2581" s="11" t="str">
        <f>IFERROR(IF(VLOOKUP(A2581,[17]PRIORIZADOS!$A:$J,10,FALSE)="","",VLOOKUP(A2581,[17]PRIORIZADOS!$A:$J,10,FALSE)),"")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81" s="11" t="str">
        <f>IFERROR(IF(VLOOKUP(A2581,[17]PRIORIZADOS!$A:$K,11,FALSE)="","",VLOOKUP(A2581,[17]PRIORIZADOS!$A:$K,11,FALSE)),"")</f>
        <v>GILMA ESTHER ALBARRACÍN BALLESTEROS</v>
      </c>
      <c r="L2581" s="11" t="str">
        <f>IFERROR(IF(VLOOKUP(A2581,[17]PRIORIZADOS!$A:$L,12,FALSE)="","",VLOOKUP(A2581,[17]PRIORIZADOS!$A:$L,12,FALSE)),"")</f>
        <v>JENNIFER CATALINA TORRES PIRA</v>
      </c>
      <c r="M2581" s="71">
        <f>IFERROR(IF(VLOOKUP(A2581,[17]PRIORIZADOS!$A:$M,13,FALSE)="","",VLOOKUP(A2581,[17]PRIORIZADOS!$A:$M,13,FALSE)),"")</f>
        <v>45786</v>
      </c>
      <c r="N2581" s="71">
        <f>IFERROR(IF(VLOOKUP(A2581,[17]PRIORIZADOS!$A:$N,14,FALSE)="","",VLOOKUP(A2581,[17]PRIORIZADOS!$A:$N,14,FALSE)),"")</f>
        <v>45807</v>
      </c>
      <c r="O2581" s="71">
        <f>IFERROR(IF(VLOOKUP(A2581,[17]PRIORIZADOS!$A:$O,15,FALSE)="","",VLOOKUP(A2581,[17]PRIORIZADOS!$A:$O,15,FALSE)),"")</f>
        <v>45807</v>
      </c>
      <c r="P2581" s="11" t="str">
        <f>IFERROR(IF(VLOOKUP(A2581,[17]PRIORIZADOS!$A:$P,16,FALSE)="","",VLOOKUP(A2581,[17]PRIORIZADOS!$A:$P,16,FALSE)),"")</f>
        <v>Visitas de evaluación con fines de mejoramiento</v>
      </c>
      <c r="Q2581" s="107" t="s">
        <v>505</v>
      </c>
      <c r="R2581" s="11" t="str">
        <f>IFERROR(IF(VLOOKUP(A2581,[17]PRIORIZADOS!$A:$R,18,FALSE)="","",VLOOKUP(A2581,[17]PRIORIZADOS!$A:$R,18,FALSE)),"")</f>
        <v>Tienen el Manual de Conviencia del 2025, el cual se realizó con la participación de la comunidad educativa y se socializó, sin embargo Se debe profundizar respecto a las condiciones para el consumo de alimentos y el manejo de los residuos que se originen en el entorno escolar.</v>
      </c>
      <c r="S2581" s="11" t="str">
        <f>IFERROR(IF(VLOOKUP(A2581,[17]PRIORIZADOS!$A:$S,19,FALSE)="","",VLOOKUP(A2581,[17]PRIORIZADOS!$A:$S,19,FALSE)),"")</f>
        <v>Actualizar el manual para profundizar respecto a las condiciones para el consumo de alimentos y el manejo de los residuos que se originen en el entorno escolar.</v>
      </c>
      <c r="T2581" s="70" t="str">
        <f>IFERROR(IF(VLOOKUP(A2581,[17]PRIORIZADOS!$A:$T,20,FALSE)="","",VLOOKUP(A2581,[17]PRIORIZADOS!$A:$T,20,FALSE)),"")</f>
        <v>Si</v>
      </c>
      <c r="U2581" s="11" t="str">
        <f>IFERROR(IF(VLOOKUP(A2581,[17]PRIORIZADOS!$A:$U,21,FALSE)="","",VLOOKUP(A2581,[17]PRIORIZADOS!$A:$U,21,FALSE)),"")</f>
        <v>Revisar el manual de convivencia para verificar que cumpla con los contenidos requeridos de acuerdo con el plan de mejora: 04/07/2025</v>
      </c>
    </row>
    <row r="2582" spans="1:21" s="1" customFormat="1" ht="72">
      <c r="A2582" s="69">
        <f>IF([17]PRIORIZADOS!A30="","",[17]PRIORIZADOS!A30)</f>
        <v>2566</v>
      </c>
      <c r="B2582" s="70">
        <v>3</v>
      </c>
      <c r="C2582" s="11" t="str">
        <f>IFERROR(IF(VLOOKUP(A2582,[17]PRIORIZADOS!$A:$C,3,FALSE)="","",VLOOKUP(A2582,[17]PRIORIZADOS!$A:$C,3,FALSE)),"")</f>
        <v>USAQUÉN</v>
      </c>
      <c r="D2582" s="11" t="str">
        <f>IFERROR(IF(VLOOKUP(A2582,[17]PRIORIZADOS!$A:$D,4,FALSE)="","",VLOOKUP(A2582,[17]PRIORIZADOS!$A:$D,4,FALSE)),"")</f>
        <v>PRIVADO</v>
      </c>
      <c r="E2582" s="11" t="str">
        <f>IFERROR(IF(VLOOKUP(A2582,[17]PRIORIZADOS!$A:$E,5,FALSE)="","",VLOOKUP(A2582,[17]PRIORIZADOS!$A:$E,5,FALSE)),"")</f>
        <v>EPBM</v>
      </c>
      <c r="F2582" s="11" t="str">
        <f>IFERROR(IF(VLOOKUP(A2582,[17]PRIORIZADOS!$A:$F,6,FALSE)="","",VLOOKUP(A2582,[17]PRIORIZADOS!$A:$F,6,FALSE)),"")</f>
        <v>INSTITUTO_EL_ROBLE</v>
      </c>
      <c r="G2582" s="11" t="str">
        <f>IFERROR(IF(VLOOKUP(A2582,[17]PRIORIZADOS!$A:$G,7,FALSE)="","",VLOOKUP(A2582,[17]PRIORIZADOS!$A:$G,7,FALSE)),"")</f>
        <v>INSTITUTO EL ROBLE</v>
      </c>
      <c r="H2582" s="11" t="str">
        <f>IFERROR(IF(VLOOKUP(A2582,[17]PRIORIZADOS!$A:$H,8,FALSE)="","",VLOOKUP(A2582,[17]PRIORIZADOS!$A:$H,8,FALSE)),"")</f>
        <v>Autoevaluación Institucional y Pruebas SABER 11</v>
      </c>
      <c r="I2582" s="11" t="str">
        <f>IFERROR(IF(VLOOKUP(A2582,[17]PRIORIZADOS!$A:$I,9,FALSE)="","",VLOOKUP(A2582,[17]PRIORIZADOS!$A:$I,9,FALSE)),"")</f>
        <v>EVALUACIÓN_CON_FINES_DE_MEJORAMIENTO.</v>
      </c>
      <c r="J2582" s="11" t="str">
        <f>IFERROR(IF(VLOOKUP(A2582,[17]PRIORIZADOS!$A:$J,10,FALSE)="","",VLOOKUP(A2582,[17]PRIORIZADOS!$A:$J,10,FALSE)),"")</f>
        <v>Revisar la actualización, socialización e implementación del Sistema Institucional de Evaluación de Estudiantes - SIEE, en articulación con la actualización del PEI y la normatividad vigente.</v>
      </c>
      <c r="K2582" s="11" t="str">
        <f>IFERROR(IF(VLOOKUP(A2582,[17]PRIORIZADOS!$A:$K,11,FALSE)="","",VLOOKUP(A2582,[17]PRIORIZADOS!$A:$K,11,FALSE)),"")</f>
        <v>GILMA ESTHER ALBARRACÍN BALLESTEROS</v>
      </c>
      <c r="L2582" s="11" t="str">
        <f>IFERROR(IF(VLOOKUP(A2582,[17]PRIORIZADOS!$A:$L,12,FALSE)="","",VLOOKUP(A2582,[17]PRIORIZADOS!$A:$L,12,FALSE)),"")</f>
        <v>JENNIFER CATALINA TORRES PIRA</v>
      </c>
      <c r="M2582" s="71">
        <f>IFERROR(IF(VLOOKUP(A2582,[17]PRIORIZADOS!$A:$M,13,FALSE)="","",VLOOKUP(A2582,[17]PRIORIZADOS!$A:$M,13,FALSE)),"")</f>
        <v>45786</v>
      </c>
      <c r="N2582" s="71">
        <f>IFERROR(IF(VLOOKUP(A2582,[17]PRIORIZADOS!$A:$N,14,FALSE)="","",VLOOKUP(A2582,[17]PRIORIZADOS!$A:$N,14,FALSE)),"")</f>
        <v>45807</v>
      </c>
      <c r="O2582" s="71">
        <f>IFERROR(IF(VLOOKUP(A2582,[17]PRIORIZADOS!$A:$O,15,FALSE)="","",VLOOKUP(A2582,[17]PRIORIZADOS!$A:$O,15,FALSE)),"")</f>
        <v>45807</v>
      </c>
      <c r="P2582" s="11" t="str">
        <f>IFERROR(IF(VLOOKUP(A2582,[17]PRIORIZADOS!$A:$P,16,FALSE)="","",VLOOKUP(A2582,[17]PRIORIZADOS!$A:$P,16,FALSE)),"")</f>
        <v>Visitas de evaluación con fines de mejoramiento</v>
      </c>
      <c r="Q2582" s="107" t="s">
        <v>505</v>
      </c>
      <c r="R2582" s="11" t="str">
        <f>IFERROR(IF(VLOOKUP(A2582,[17]PRIORIZADOS!$A:$R,18,FALSE)="","",VLOOKUP(A2582,[17]PRIORIZADOS!$A:$R,18,FALSE)),"")</f>
        <v>Esta definido dentro del Manual de Convivencia, pero no fue posible revisar los soportes de la implementación y seguimiento dado que la persona responsable del tema no se encontraba por lo cual no se pudo revisar la información.</v>
      </c>
      <c r="S2582" s="11" t="str">
        <f>IFERROR(IF(VLOOKUP(A2582,[17]PRIORIZADOS!$A:$S,19,FALSE)="","",VLOOKUP(A2582,[17]PRIORIZADOS!$A:$S,19,FALSE)),"")</f>
        <v>Contar con información disponible para cualquier requerimiento que se tenga.</v>
      </c>
      <c r="T2582" s="70" t="str">
        <f>IFERROR(IF(VLOOKUP(A2582,[17]PRIORIZADOS!$A:$T,20,FALSE)="","",VLOOKUP(A2582,[17]PRIORIZADOS!$A:$T,20,FALSE)),"")</f>
        <v>Si</v>
      </c>
      <c r="U2582" s="11" t="str">
        <f>IFERROR(IF(VLOOKUP(A2582,[17]PRIORIZADOS!$A:$U,21,FALSE)="","",VLOOKUP(A2582,[17]PRIORIZADOS!$A:$U,21,FALSE)),"")</f>
        <v>Verificar el  plan de mejora ara revisar la documentación soporte frente al SIEE</v>
      </c>
    </row>
    <row r="2583" spans="1:21" s="1" customFormat="1" ht="48">
      <c r="A2583" s="69">
        <f>IF([17]PRIORIZADOS!A31="","",[17]PRIORIZADOS!A31)</f>
        <v>2567</v>
      </c>
      <c r="B2583" s="70">
        <v>3</v>
      </c>
      <c r="C2583" s="11" t="str">
        <f>IFERROR(IF(VLOOKUP(A2583,[17]PRIORIZADOS!$A:$C,3,FALSE)="","",VLOOKUP(A2583,[17]PRIORIZADOS!$A:$C,3,FALSE)),"")</f>
        <v>USAQUÉN</v>
      </c>
      <c r="D2583" s="11" t="str">
        <f>IFERROR(IF(VLOOKUP(A2583,[17]PRIORIZADOS!$A:$D,4,FALSE)="","",VLOOKUP(A2583,[17]PRIORIZADOS!$A:$D,4,FALSE)),"")</f>
        <v>PRIVADO</v>
      </c>
      <c r="E2583" s="11" t="str">
        <f>IFERROR(IF(VLOOKUP(A2583,[17]PRIORIZADOS!$A:$E,5,FALSE)="","",VLOOKUP(A2583,[17]PRIORIZADOS!$A:$E,5,FALSE)),"")</f>
        <v>EPBM</v>
      </c>
      <c r="F2583" s="11" t="str">
        <f>IFERROR(IF(VLOOKUP(A2583,[17]PRIORIZADOS!$A:$F,6,FALSE)="","",VLOOKUP(A2583,[17]PRIORIZADOS!$A:$F,6,FALSE)),"")</f>
        <v>INSTITUTO_EL_ROBLE</v>
      </c>
      <c r="G2583" s="11" t="str">
        <f>IFERROR(IF(VLOOKUP(A2583,[17]PRIORIZADOS!$A:$G,7,FALSE)="","",VLOOKUP(A2583,[17]PRIORIZADOS!$A:$G,7,FALSE)),"")</f>
        <v>INSTITUTO EL ROBLE</v>
      </c>
      <c r="H2583" s="11" t="str">
        <f>IFERROR(IF(VLOOKUP(A2583,[17]PRIORIZADOS!$A:$H,8,FALSE)="","",VLOOKUP(A2583,[17]PRIORIZADOS!$A:$H,8,FALSE)),"")</f>
        <v>Autoevaluación Institucional y Pruebas SABER 11</v>
      </c>
      <c r="I2583" s="11" t="str">
        <f>IFERROR(IF(VLOOKUP(A2583,[17]PRIORIZADOS!$A:$I,9,FALSE)="","",VLOOKUP(A2583,[17]PRIORIZADOS!$A:$I,9,FALSE)),"")</f>
        <v>EVALUACIÓN_CON_FINES_DE_MEJORAMIENTO.</v>
      </c>
      <c r="J2583" s="11" t="str">
        <f>IFERROR(IF(VLOOKUP(A2583,[17]PRIORIZADOS!$A:$J,10,FALSE)="","",VLOOKUP(A2583,[17]PRIORIZADOS!$A:$J,10,FALSE)),"")</f>
        <v>Revisar el calendario escolar, jornada escolar, la intensidad horaria mínima anual en cada nivel y las modificaciones que se realicen al mismo, de acuerdo con lo previsto en la normatividad vigente.</v>
      </c>
      <c r="K2583" s="11" t="str">
        <f>IFERROR(IF(VLOOKUP(A2583,[17]PRIORIZADOS!$A:$K,11,FALSE)="","",VLOOKUP(A2583,[17]PRIORIZADOS!$A:$K,11,FALSE)),"")</f>
        <v>GILMA ESTHER ALBARRACÍN BALLESTEROS</v>
      </c>
      <c r="L2583" s="11" t="str">
        <f>IFERROR(IF(VLOOKUP(A2583,[17]PRIORIZADOS!$A:$L,12,FALSE)="","",VLOOKUP(A2583,[17]PRIORIZADOS!$A:$L,12,FALSE)),"")</f>
        <v>JENNIFER CATALINA TORRES PIRA</v>
      </c>
      <c r="M2583" s="71">
        <f>IFERROR(IF(VLOOKUP(A2583,[17]PRIORIZADOS!$A:$M,13,FALSE)="","",VLOOKUP(A2583,[17]PRIORIZADOS!$A:$M,13,FALSE)),"")</f>
        <v>45786</v>
      </c>
      <c r="N2583" s="71">
        <f>IFERROR(IF(VLOOKUP(A2583,[17]PRIORIZADOS!$A:$N,14,FALSE)="","",VLOOKUP(A2583,[17]PRIORIZADOS!$A:$N,14,FALSE)),"")</f>
        <v>45807</v>
      </c>
      <c r="O2583" s="71">
        <f>IFERROR(IF(VLOOKUP(A2583,[17]PRIORIZADOS!$A:$O,15,FALSE)="","",VLOOKUP(A2583,[17]PRIORIZADOS!$A:$O,15,FALSE)),"")</f>
        <v>45807</v>
      </c>
      <c r="P2583" s="11" t="str">
        <f>IFERROR(IF(VLOOKUP(A2583,[17]PRIORIZADOS!$A:$P,16,FALSE)="","",VLOOKUP(A2583,[17]PRIORIZADOS!$A:$P,16,FALSE)),"")</f>
        <v>Visitas de evaluación con fines de mejoramiento</v>
      </c>
      <c r="Q2583" s="107" t="s">
        <v>505</v>
      </c>
      <c r="R2583" s="11" t="str">
        <f>IFERROR(IF(VLOOKUP(A2583,[17]PRIORIZADOS!$A:$R,18,FALSE)="","",VLOOKUP(A2583,[17]PRIORIZADOS!$A:$R,18,FALSE)),"")</f>
        <v>El calendario escolar esta definido por jornada y cumple con la intensidad horaria definida para cada ciclo, de acuerdo con la normatividad vigente.</v>
      </c>
      <c r="S2583" s="11" t="str">
        <f>IFERROR(IF(VLOOKUP(A2583,[17]PRIORIZADOS!$A:$S,19,FALSE)="","",VLOOKUP(A2583,[17]PRIORIZADOS!$A:$S,19,FALSE)),"")</f>
        <v>Se debe mantener la intensidad horaria para cada ciclo.</v>
      </c>
      <c r="T2583" s="70" t="str">
        <f>IFERROR(IF(VLOOKUP(A2583,[17]PRIORIZADOS!$A:$T,20,FALSE)="","",VLOOKUP(A2583,[17]PRIORIZADOS!$A:$T,20,FALSE)),"")</f>
        <v>No</v>
      </c>
      <c r="U2583" s="11" t="str">
        <f>IFERROR(IF(VLOOKUP(A2583,[17]PRIORIZADOS!$A:$U,21,FALSE)="","",VLOOKUP(A2583,[17]PRIORIZADOS!$A:$U,21,FALSE)),"")</f>
        <v>Verificar el tema una vez se presente alguna queja al respecto.</v>
      </c>
    </row>
    <row r="2584" spans="1:21" s="1" customFormat="1" ht="48">
      <c r="A2584" s="69">
        <f>IF([17]PRIORIZADOS!A32="","",[17]PRIORIZADOS!A32)</f>
        <v>2568</v>
      </c>
      <c r="B2584" s="70">
        <v>3</v>
      </c>
      <c r="C2584" s="11" t="str">
        <f>IFERROR(IF(VLOOKUP(A2584,[17]PRIORIZADOS!$A:$C,3,FALSE)="","",VLOOKUP(A2584,[17]PRIORIZADOS!$A:$C,3,FALSE)),"")</f>
        <v>USAQUÉN</v>
      </c>
      <c r="D2584" s="11" t="str">
        <f>IFERROR(IF(VLOOKUP(A2584,[17]PRIORIZADOS!$A:$D,4,FALSE)="","",VLOOKUP(A2584,[17]PRIORIZADOS!$A:$D,4,FALSE)),"")</f>
        <v>PRIVADO</v>
      </c>
      <c r="E2584" s="11" t="str">
        <f>IFERROR(IF(VLOOKUP(A2584,[17]PRIORIZADOS!$A:$E,5,FALSE)="","",VLOOKUP(A2584,[17]PRIORIZADOS!$A:$E,5,FALSE)),"")</f>
        <v>EPBM</v>
      </c>
      <c r="F2584" s="11" t="str">
        <f>IFERROR(IF(VLOOKUP(A2584,[17]PRIORIZADOS!$A:$F,6,FALSE)="","",VLOOKUP(A2584,[17]PRIORIZADOS!$A:$F,6,FALSE)),"")</f>
        <v>INSTITUTO_EL_ROBLE</v>
      </c>
      <c r="G2584" s="11" t="str">
        <f>IFERROR(IF(VLOOKUP(A2584,[17]PRIORIZADOS!$A:$G,7,FALSE)="","",VLOOKUP(A2584,[17]PRIORIZADOS!$A:$G,7,FALSE)),"")</f>
        <v>INSTITUTO EL ROBLE</v>
      </c>
      <c r="H2584" s="11" t="str">
        <f>IFERROR(IF(VLOOKUP(A2584,[17]PRIORIZADOS!$A:$H,8,FALSE)="","",VLOOKUP(A2584,[17]PRIORIZADOS!$A:$H,8,FALSE)),"")</f>
        <v>Autoevaluación Institucional y Pruebas SABER 11</v>
      </c>
      <c r="I2584" s="11" t="str">
        <f>IFERROR(IF(VLOOKUP(A2584,[17]PRIORIZADOS!$A:$I,9,FALSE)="","",VLOOKUP(A2584,[17]PRIORIZADOS!$A:$I,9,FALSE)),"")</f>
        <v>EVALUACIÓN_CON_FINES_DE_MEJORAMIENTO.</v>
      </c>
      <c r="J2584" s="11" t="str">
        <f>IFERROR(IF(VLOOKUP(A2584,[17]PRIORIZADOS!$A:$J,10,FALSE)="","",VLOOKUP(A2584,[17]PRIORIZADOS!$A:$J,10,FALSE)),"")</f>
        <v>Verificar el funcionamiento del Gobierno Escolar e instancias de participación con base en la información sobre conformación reportada por la institución educativa.</v>
      </c>
      <c r="K2584" s="11" t="str">
        <f>IFERROR(IF(VLOOKUP(A2584,[17]PRIORIZADOS!$A:$K,11,FALSE)="","",VLOOKUP(A2584,[17]PRIORIZADOS!$A:$K,11,FALSE)),"")</f>
        <v>GILMA ESTHER ALBARRACÍN BALLESTEROS</v>
      </c>
      <c r="L2584" s="11" t="str">
        <f>IFERROR(IF(VLOOKUP(A2584,[17]PRIORIZADOS!$A:$L,12,FALSE)="","",VLOOKUP(A2584,[17]PRIORIZADOS!$A:$L,12,FALSE)),"")</f>
        <v>JENNIFER CATALINA TORRES PIRA</v>
      </c>
      <c r="M2584" s="71">
        <f>IFERROR(IF(VLOOKUP(A2584,[17]PRIORIZADOS!$A:$M,13,FALSE)="","",VLOOKUP(A2584,[17]PRIORIZADOS!$A:$M,13,FALSE)),"")</f>
        <v>45786</v>
      </c>
      <c r="N2584" s="71">
        <f>IFERROR(IF(VLOOKUP(A2584,[17]PRIORIZADOS!$A:$N,14,FALSE)="","",VLOOKUP(A2584,[17]PRIORIZADOS!$A:$N,14,FALSE)),"")</f>
        <v>45807</v>
      </c>
      <c r="O2584" s="71">
        <f>IFERROR(IF(VLOOKUP(A2584,[17]PRIORIZADOS!$A:$O,15,FALSE)="","",VLOOKUP(A2584,[17]PRIORIZADOS!$A:$O,15,FALSE)),"")</f>
        <v>45807</v>
      </c>
      <c r="P2584" s="11" t="str">
        <f>IFERROR(IF(VLOOKUP(A2584,[17]PRIORIZADOS!$A:$P,16,FALSE)="","",VLOOKUP(A2584,[17]PRIORIZADOS!$A:$P,16,FALSE)),"")</f>
        <v>Visitas de evaluación con fines de mejoramiento</v>
      </c>
      <c r="Q2584" s="107" t="s">
        <v>505</v>
      </c>
      <c r="R2584" s="11" t="str">
        <f>IFERROR(IF(VLOOKUP(A2584,[17]PRIORIZADOS!$A:$R,18,FALSE)="","",VLOOKUP(A2584,[17]PRIORIZADOS!$A:$R,18,FALSE)),"")</f>
        <v>Se encuentra conformado el gobierno escolar y se han realizado las reuniones de seguimiento pero no se pudieron evidenciar las actas de soporte.</v>
      </c>
      <c r="S2584" s="11" t="str">
        <f>IFERROR(IF(VLOOKUP(A2584,[17]PRIORIZADOS!$A:$S,19,FALSE)="","",VLOOKUP(A2584,[17]PRIORIZADOS!$A:$S,19,FALSE)),"")</f>
        <v>Continuar su implementación anualmente y dejar acta de lo actuado.</v>
      </c>
      <c r="T2584" s="70" t="str">
        <f>IFERROR(IF(VLOOKUP(A2584,[17]PRIORIZADOS!$A:$T,20,FALSE)="","",VLOOKUP(A2584,[17]PRIORIZADOS!$A:$T,20,FALSE)),"")</f>
        <v>No</v>
      </c>
      <c r="U2584" s="11" t="str">
        <f>IFERROR(IF(VLOOKUP(A2584,[17]PRIORIZADOS!$A:$U,21,FALSE)="","",VLOOKUP(A2584,[17]PRIORIZADOS!$A:$U,21,FALSE)),"")</f>
        <v>Revisar cuando se presente alguna novedad relacionada con gobierno escolar</v>
      </c>
    </row>
    <row r="2585" spans="1:21" s="1" customFormat="1" ht="96">
      <c r="A2585" s="69">
        <f>IF([17]PRIORIZADOS!A33="","",[17]PRIORIZADOS!A33)</f>
        <v>2569</v>
      </c>
      <c r="B2585" s="70">
        <v>3</v>
      </c>
      <c r="C2585" s="11" t="str">
        <f>IFERROR(IF(VLOOKUP(A2585,[17]PRIORIZADOS!$A:$C,3,FALSE)="","",VLOOKUP(A2585,[17]PRIORIZADOS!$A:$C,3,FALSE)),"")</f>
        <v>USAQUÉN</v>
      </c>
      <c r="D2585" s="11" t="str">
        <f>IFERROR(IF(VLOOKUP(A2585,[17]PRIORIZADOS!$A:$D,4,FALSE)="","",VLOOKUP(A2585,[17]PRIORIZADOS!$A:$D,4,FALSE)),"")</f>
        <v>PRIVADO</v>
      </c>
      <c r="E2585" s="11" t="str">
        <f>IFERROR(IF(VLOOKUP(A2585,[17]PRIORIZADOS!$A:$E,5,FALSE)="","",VLOOKUP(A2585,[17]PRIORIZADOS!$A:$E,5,FALSE)),"")</f>
        <v>EPBM</v>
      </c>
      <c r="F2585" s="11" t="str">
        <f>IFERROR(IF(VLOOKUP(A2585,[17]PRIORIZADOS!$A:$F,6,FALSE)="","",VLOOKUP(A2585,[17]PRIORIZADOS!$A:$F,6,FALSE)),"")</f>
        <v>INSTITUTO_EL_ROBLE</v>
      </c>
      <c r="G2585" s="11" t="str">
        <f>IFERROR(IF(VLOOKUP(A2585,[17]PRIORIZADOS!$A:$G,7,FALSE)="","",VLOOKUP(A2585,[17]PRIORIZADOS!$A:$G,7,FALSE)),"")</f>
        <v>INSTITUTO EL ROBLE</v>
      </c>
      <c r="H2585" s="11" t="str">
        <f>IFERROR(IF(VLOOKUP(A2585,[17]PRIORIZADOS!$A:$H,8,FALSE)="","",VLOOKUP(A2585,[17]PRIORIZADOS!$A:$H,8,FALSE)),"")</f>
        <v>Autoevaluación Institucional y Pruebas SABER 11</v>
      </c>
      <c r="I2585" s="11" t="str">
        <f>IFERROR(IF(VLOOKUP(A2585,[17]PRIORIZADOS!$A:$I,9,FALSE)="","",VLOOKUP(A2585,[17]PRIORIZADOS!$A:$I,9,FALSE)),"")</f>
        <v>EVALUACIÓN_CON_FINES_DE_MEJORAMIENTO.</v>
      </c>
      <c r="J2585" s="11" t="str">
        <f>IFERROR(IF(VLOOKUP(A2585,[17]PRIORIZADOS!$A:$J,10,FALSE)="","",VLOOKUP(A2585,[17]PRIORIZADOS!$A:$J,10,FALSE)),"")</f>
        <v>Verificar las condiciones en cuanto a: la estructura administrativa, condiciones de la planta física y medios educativos adecuados.</v>
      </c>
      <c r="K2585" s="11" t="str">
        <f>IFERROR(IF(VLOOKUP(A2585,[17]PRIORIZADOS!$A:$K,11,FALSE)="","",VLOOKUP(A2585,[17]PRIORIZADOS!$A:$K,11,FALSE)),"")</f>
        <v>GILMA ESTHER ALBARRACÍN BALLESTEROS</v>
      </c>
      <c r="L2585" s="11" t="str">
        <f>IFERROR(IF(VLOOKUP(A2585,[17]PRIORIZADOS!$A:$L,12,FALSE)="","",VLOOKUP(A2585,[17]PRIORIZADOS!$A:$L,12,FALSE)),"")</f>
        <v>JENNIFER CATALINA TORRES PIRA</v>
      </c>
      <c r="M2585" s="71">
        <f>IFERROR(IF(VLOOKUP(A2585,[17]PRIORIZADOS!$A:$M,13,FALSE)="","",VLOOKUP(A2585,[17]PRIORIZADOS!$A:$M,13,FALSE)),"")</f>
        <v>45786</v>
      </c>
      <c r="N2585" s="71">
        <f>IFERROR(IF(VLOOKUP(A2585,[17]PRIORIZADOS!$A:$N,14,FALSE)="","",VLOOKUP(A2585,[17]PRIORIZADOS!$A:$N,14,FALSE)),"")</f>
        <v>45807</v>
      </c>
      <c r="O2585" s="71">
        <f>IFERROR(IF(VLOOKUP(A2585,[17]PRIORIZADOS!$A:$O,15,FALSE)="","",VLOOKUP(A2585,[17]PRIORIZADOS!$A:$O,15,FALSE)),"")</f>
        <v>45807</v>
      </c>
      <c r="P2585" s="11" t="str">
        <f>IFERROR(IF(VLOOKUP(A2585,[17]PRIORIZADOS!$A:$P,16,FALSE)="","",VLOOKUP(A2585,[17]PRIORIZADOS!$A:$P,16,FALSE)),"")</f>
        <v>Visitas de evaluación con fines de mejoramiento</v>
      </c>
      <c r="Q2585" s="107" t="s">
        <v>505</v>
      </c>
      <c r="R2585" s="11" t="str">
        <f>IFERROR(IF(VLOOKUP(A2585,[17]PRIORIZADOS!$A:$R,18,FALSE)="","",VLOOKUP(A2585,[17]PRIORIZADOS!$A:$R,18,FALSE)),"")</f>
        <v>Cuentan con ambientes de aprendizaje, medios educativos, espacios administrativos, lúdicos, recreativos y culturales, para prestar el servicio educativo.
No se contó con la información del personal.</v>
      </c>
      <c r="S2585" s="11" t="str">
        <f>IFERROR(IF(VLOOKUP(A2585,[17]PRIORIZADOS!$A:$S,19,FALSE)="","",VLOOKUP(A2585,[17]PRIORIZADOS!$A:$S,19,FALSE)),"")</f>
        <v>Tener la información disponible frente al personal como hojas de vida, organigrama, manual de funciones, pago de aportes, tipo de vinculación, entre otros</v>
      </c>
      <c r="T2585" s="70" t="str">
        <f>IFERROR(IF(VLOOKUP(A2585,[17]PRIORIZADOS!$A:$T,20,FALSE)="","",VLOOKUP(A2585,[17]PRIORIZADOS!$A:$T,20,FALSE)),"")</f>
        <v>Si</v>
      </c>
      <c r="U2585" s="11" t="str">
        <f>IFERROR(IF(VLOOKUP(A2585,[17]PRIORIZADOS!$A:$U,21,FALSE)="","",VLOOKUP(A2585,[17]PRIORIZADOS!$A:$U,21,FALSE)),"")</f>
        <v>Revisar lo referente al personal de acuerdo con el plan de mejora: 04/07/2025</v>
      </c>
    </row>
    <row r="2586" spans="1:21" s="1" customFormat="1" ht="60">
      <c r="A2586" s="69">
        <f>IF([17]PRIORIZADOS!A34="","",[17]PRIORIZADOS!A34)</f>
        <v>2570</v>
      </c>
      <c r="B2586" s="70">
        <f>IFERROR(IF(VLOOKUP(A2586,[17]PRIORIZADOS!$A:$B,2,FALSE)="","",VLOOKUP(A2586,[17]PRIORIZADOS!$A:$B,2,FALSE)),"")</f>
        <v>4</v>
      </c>
      <c r="C2586" s="11" t="str">
        <f>IFERROR(IF(VLOOKUP(A2586,[17]PRIORIZADOS!$A:$C,3,FALSE)="","",VLOOKUP(A2586,[17]PRIORIZADOS!$A:$C,3,FALSE)),"")</f>
        <v>USAQUÉN</v>
      </c>
      <c r="D2586" s="11" t="str">
        <f>IFERROR(IF(VLOOKUP(A2586,[17]PRIORIZADOS!$A:$D,4,FALSE)="","",VLOOKUP(A2586,[17]PRIORIZADOS!$A:$D,4,FALSE)),"")</f>
        <v>PRIVADO</v>
      </c>
      <c r="E2586" s="11" t="str">
        <f>IFERROR(IF(VLOOKUP(A2586,[17]PRIORIZADOS!$A:$E,5,FALSE)="","",VLOOKUP(A2586,[17]PRIORIZADOS!$A:$E,5,FALSE)),"")</f>
        <v>EPBM</v>
      </c>
      <c r="F2586" s="11" t="str">
        <f>IFERROR(IF(VLOOKUP(A2586,[17]PRIORIZADOS!$A:$F,6,FALSE)="","",VLOOKUP(A2586,[17]PRIORIZADOS!$A:$F,6,FALSE)),"")</f>
        <v>COLEGIO_GIOVANNI_PASCOLI</v>
      </c>
      <c r="G2586" s="11" t="str">
        <f>IFERROR(IF(VLOOKUP(A2586,[17]PRIORIZADOS!$A:$G,7,FALSE)="","",VLOOKUP(A2586,[17]PRIORIZADOS!$A:$G,7,FALSE)),"")</f>
        <v>COLEGIO GIOVANNI PASCOLI</v>
      </c>
      <c r="H2586" s="11" t="str">
        <f>IFERROR(IF(VLOOKUP(A2586,[17]PRIORIZADOS!$A:$H,8,FALSE)="","",VLOOKUP(A2586,[17]PRIORIZADOS!$A:$H,8,FALSE)),"")</f>
        <v>Autoevaluación Institucional y Pruebas SABER 11</v>
      </c>
      <c r="I2586" s="11" t="str">
        <f>IFERROR(IF(VLOOKUP(A2586,[17]PRIORIZADOS!$A:$I,9,FALSE)="","",VLOOKUP(A2586,[17]PRIORIZADOS!$A:$I,9,FALSE)),"")</f>
        <v>SEGUIMIENTO_Y_SUPERVISIÓN.</v>
      </c>
      <c r="J2586" s="11" t="str">
        <f>IFERROR(IF(VLOOKUP(A2586,[17]PRIORIZADOS!$A:$J,10,FALSE)="","",VLOOKUP(A2586,[17]PRIORIZADOS!$A:$J,10,FALSE)),"")</f>
        <v>Realizar visitas para verificar la información registrada sobre la autoevaluación institucional en el aplicativo EVI, a los establecimientos de educación formal no oficial.</v>
      </c>
      <c r="K2586" s="11" t="str">
        <f>IFERROR(IF(VLOOKUP(A2586,[17]PRIORIZADOS!$A:$K,11,FALSE)="","",VLOOKUP(A2586,[17]PRIORIZADOS!$A:$K,11,FALSE)),"")</f>
        <v>MARTHA CECILIA MELGAREJO PINTO</v>
      </c>
      <c r="L2586" s="11" t="str">
        <f>IFERROR(IF(VLOOKUP(A2586,[17]PRIORIZADOS!$A:$L,12,FALSE)="","",VLOOKUP(A2586,[17]PRIORIZADOS!$A:$L,12,FALSE)),"")</f>
        <v>MARTHA LUCIA OLAYA VARGAS</v>
      </c>
      <c r="M2586" s="71">
        <f>IFERROR(IF(VLOOKUP(A2586,[17]PRIORIZADOS!$A:$M,13,FALSE)="","",VLOOKUP(A2586,[17]PRIORIZADOS!$A:$M,13,FALSE)),"")</f>
        <v>45791</v>
      </c>
      <c r="N2586" s="71">
        <f>IFERROR(IF(VLOOKUP(A2586,[17]PRIORIZADOS!$A:$N,14,FALSE)="","",VLOOKUP(A2586,[17]PRIORIZADOS!$A:$N,14,FALSE)),"")</f>
        <v>45793</v>
      </c>
      <c r="O2586" s="71">
        <f>IFERROR(IF(VLOOKUP(A2586,[17]PRIORIZADOS!$A:$O,15,FALSE)="","",VLOOKUP(A2586,[17]PRIORIZADOS!$A:$O,15,FALSE)),"")</f>
        <v>45793</v>
      </c>
      <c r="P2586" s="11" t="str">
        <f>IFERROR(IF(VLOOKUP(A2586,[17]PRIORIZADOS!$A:$P,16,FALSE)="","",VLOOKUP(A2586,[17]PRIORIZADOS!$A:$P,16,FALSE)),"")</f>
        <v>Visitas de evaluación con fines de seguimiento</v>
      </c>
      <c r="Q2586" s="107" t="s">
        <v>505</v>
      </c>
      <c r="R2586" s="11" t="str">
        <f>IFERROR(IF(VLOOKUP(A2586,[17]PRIORIZADOS!$A:$R,18,FALSE)="","",VLOOKUP(A2586,[17]PRIORIZADOS!$A:$R,18,FALSE)),"")</f>
        <v xml:space="preserve">La autoevaluación es coherente con la realidad  institucional, no obstante se encuentra que el certificado sanitario tiene fecha de 2022.   
</v>
      </c>
      <c r="S2586" s="11" t="str">
        <f>IFERROR(IF(VLOOKUP(A2586,[17]PRIORIZADOS!$A:$S,19,FALSE)="","",VLOOKUP(A2586,[17]PRIORIZADOS!$A:$S,19,FALSE)),"")</f>
        <v>Realizar la solicitud de visita e interponer de ser nedesario derecho de petición ante la Secretaría Distrital de Salud</v>
      </c>
      <c r="T2586" s="70" t="str">
        <f>IFERROR(IF(VLOOKUP(A2586,[17]PRIORIZADOS!$A:$T,20,FALSE)="","",VLOOKUP(A2586,[17]PRIORIZADOS!$A:$T,20,FALSE)),"")</f>
        <v>Si</v>
      </c>
      <c r="U2586" s="11" t="str">
        <f>IFERROR(IF(VLOOKUP(A2586,[17]PRIORIZADOS!$A:$U,21,FALSE)="","",VLOOKUP(A2586,[17]PRIORIZADOS!$A:$U,21,FALSE)),"")</f>
        <v>Comprobación del resultado de las acciones realizadas por la I.E., para actualizar el concepto santario</v>
      </c>
    </row>
    <row r="2587" spans="1:21" s="1" customFormat="1" ht="72">
      <c r="A2587" s="69">
        <f>IF([17]PRIORIZADOS!A35="","",[17]PRIORIZADOS!A35)</f>
        <v>2571</v>
      </c>
      <c r="B2587" s="70">
        <v>4</v>
      </c>
      <c r="C2587" s="11" t="str">
        <f>IFERROR(IF(VLOOKUP(A2587,[17]PRIORIZADOS!$A:$C,3,FALSE)="","",VLOOKUP(A2587,[17]PRIORIZADOS!$A:$C,3,FALSE)),"")</f>
        <v>USAQUÉN</v>
      </c>
      <c r="D2587" s="11" t="str">
        <f>IFERROR(IF(VLOOKUP(A2587,[17]PRIORIZADOS!$A:$D,4,FALSE)="","",VLOOKUP(A2587,[17]PRIORIZADOS!$A:$D,4,FALSE)),"")</f>
        <v>PRIVADO</v>
      </c>
      <c r="E2587" s="11" t="str">
        <f>IFERROR(IF(VLOOKUP(A2587,[17]PRIORIZADOS!$A:$E,5,FALSE)="","",VLOOKUP(A2587,[17]PRIORIZADOS!$A:$E,5,FALSE)),"")</f>
        <v>EPBM</v>
      </c>
      <c r="F2587" s="11" t="str">
        <f>IFERROR(IF(VLOOKUP(A2587,[17]PRIORIZADOS!$A:$F,6,FALSE)="","",VLOOKUP(A2587,[17]PRIORIZADOS!$A:$F,6,FALSE)),"")</f>
        <v>COLEGIO_GIOVANNI_PASCOLI</v>
      </c>
      <c r="G2587" s="11" t="str">
        <f>IFERROR(IF(VLOOKUP(A2587,[17]PRIORIZADOS!$A:$G,7,FALSE)="","",VLOOKUP(A2587,[17]PRIORIZADOS!$A:$G,7,FALSE)),"")</f>
        <v>COLEGIO GIOVANNI PASCOLI</v>
      </c>
      <c r="H2587" s="11" t="str">
        <f>IFERROR(IF(VLOOKUP(A2587,[17]PRIORIZADOS!$A:$H,8,FALSE)="","",VLOOKUP(A2587,[17]PRIORIZADOS!$A:$H,8,FALSE)),"")</f>
        <v>Autoevaluación Institucional y Pruebas SABER 11</v>
      </c>
      <c r="I2587" s="11" t="str">
        <f>IFERROR(IF(VLOOKUP(A2587,[17]PRIORIZADOS!$A:$I,9,FALSE)="","",VLOOKUP(A2587,[17]PRIORIZADOS!$A:$I,9,FALSE)),"")</f>
        <v>SEGUIMIENTO_Y_SUPERVISIÓN.</v>
      </c>
      <c r="J2587" s="11" t="str">
        <f>IFERROR(IF(VLOOKUP(A2587,[17]PRIORIZADOS!$A:$J,10,FALSE)="","",VLOOKUP(A2587,[17]PRIORIZADOS!$A:$J,10,FALSE)),"")</f>
        <v>Proponer estrategias en la formulación, verificar su elaboración y realizar seguimiento semestral al desarrollo de  las acciones establecidas en los planes de mejoramiento por pruebas SABER 11 de los establecimientos de educación formal.</v>
      </c>
      <c r="K2587" s="11" t="str">
        <f>IFERROR(IF(VLOOKUP(A2587,[17]PRIORIZADOS!$A:$K,11,FALSE)="","",VLOOKUP(A2587,[17]PRIORIZADOS!$A:$K,11,FALSE)),"")</f>
        <v>MARTHA CECILIA MELGAREJO PINTO</v>
      </c>
      <c r="L2587" s="11" t="str">
        <f>IFERROR(IF(VLOOKUP(A2587,[17]PRIORIZADOS!$A:$L,12,FALSE)="","",VLOOKUP(A2587,[17]PRIORIZADOS!$A:$L,12,FALSE)),"")</f>
        <v>MARTHA LUCIA OLAYA VARGAS</v>
      </c>
      <c r="M2587" s="71">
        <f>IFERROR(IF(VLOOKUP(A2587,[17]PRIORIZADOS!$A:$M,13,FALSE)="","",VLOOKUP(A2587,[17]PRIORIZADOS!$A:$M,13,FALSE)),"")</f>
        <v>45791</v>
      </c>
      <c r="N2587" s="71">
        <f>IFERROR(IF(VLOOKUP(A2587,[17]PRIORIZADOS!$A:$N,14,FALSE)="","",VLOOKUP(A2587,[17]PRIORIZADOS!$A:$N,14,FALSE)),"")</f>
        <v>45793</v>
      </c>
      <c r="O2587" s="71">
        <f>IFERROR(IF(VLOOKUP(A2587,[17]PRIORIZADOS!$A:$O,15,FALSE)="","",VLOOKUP(A2587,[17]PRIORIZADOS!$A:$O,15,FALSE)),"")</f>
        <v>45793</v>
      </c>
      <c r="P2587" s="11" t="str">
        <f>IFERROR(IF(VLOOKUP(A2587,[17]PRIORIZADOS!$A:$P,16,FALSE)="","",VLOOKUP(A2587,[17]PRIORIZADOS!$A:$P,16,FALSE)),"")</f>
        <v>Visitas de evaluación con fines de seguimiento</v>
      </c>
      <c r="Q2587" s="107" t="s">
        <v>506</v>
      </c>
      <c r="R2587" s="11" t="str">
        <f>IFERROR(IF(VLOOKUP(A2587,[17]PRIORIZADOS!$A:$R,18,FALSE)="","",VLOOKUP(A2587,[17]PRIORIZADOS!$A:$R,18,FALSE)),"")</f>
        <v>Se encontró que las áreas de menor desempeño fueron sociales, matematicas y lectura crítica, se hicieron los ajustes para la vigencia, incluyendo la aplicación de nuevas metodologías en cada una de las áreas</v>
      </c>
      <c r="S2587" s="11" t="str">
        <f>IFERROR(IF(VLOOKUP(A2587,[17]PRIORIZADOS!$A:$S,19,FALSE)="","",VLOOKUP(A2587,[17]PRIORIZADOS!$A:$S,19,FALSE)),"")</f>
        <v>Se aplicaran las nuevas metodologías de enseñanza en las áreas de sociales, matematicas y lectura crítica</v>
      </c>
      <c r="T2587" s="70" t="str">
        <f>IFERROR(IF(VLOOKUP(A2587,[17]PRIORIZADOS!$A:$T,20,FALSE)="","",VLOOKUP(A2587,[17]PRIORIZADOS!$A:$T,20,FALSE)),"")</f>
        <v>Si</v>
      </c>
      <c r="U2587" s="11" t="str">
        <f>IFERROR(IF(VLOOKUP(A2587,[17]PRIORIZADOS!$A:$U,21,FALSE)="","",VLOOKUP(A2587,[17]PRIORIZADOS!$A:$U,21,FALSE)),"")</f>
        <v>Se verificarán los planes de área y de aula de grado 11o, para identificar la implementación de las nuevas metodologías</v>
      </c>
    </row>
    <row r="2588" spans="1:21" s="1" customFormat="1" ht="48">
      <c r="A2588" s="69">
        <f>IF([17]PRIORIZADOS!A36="","",[17]PRIORIZADOS!A36)</f>
        <v>2572</v>
      </c>
      <c r="B2588" s="70">
        <v>4</v>
      </c>
      <c r="C2588" s="11" t="str">
        <f>IFERROR(IF(VLOOKUP(A2588,[17]PRIORIZADOS!$A:$C,3,FALSE)="","",VLOOKUP(A2588,[17]PRIORIZADOS!$A:$C,3,FALSE)),"")</f>
        <v>USAQUÉN</v>
      </c>
      <c r="D2588" s="11" t="str">
        <f>IFERROR(IF(VLOOKUP(A2588,[17]PRIORIZADOS!$A:$D,4,FALSE)="","",VLOOKUP(A2588,[17]PRIORIZADOS!$A:$D,4,FALSE)),"")</f>
        <v>PRIVADO</v>
      </c>
      <c r="E2588" s="11" t="str">
        <f>IFERROR(IF(VLOOKUP(A2588,[17]PRIORIZADOS!$A:$E,5,FALSE)="","",VLOOKUP(A2588,[17]PRIORIZADOS!$A:$E,5,FALSE)),"")</f>
        <v>EPBM</v>
      </c>
      <c r="F2588" s="11" t="str">
        <f>IFERROR(IF(VLOOKUP(A2588,[17]PRIORIZADOS!$A:$F,6,FALSE)="","",VLOOKUP(A2588,[17]PRIORIZADOS!$A:$F,6,FALSE)),"")</f>
        <v>COLEGIO_GIOVANNI_PASCOLI</v>
      </c>
      <c r="G2588" s="11" t="str">
        <f>IFERROR(IF(VLOOKUP(A2588,[17]PRIORIZADOS!$A:$G,7,FALSE)="","",VLOOKUP(A2588,[17]PRIORIZADOS!$A:$G,7,FALSE)),"")</f>
        <v>COLEGIO GIOVANNI PASCOLI</v>
      </c>
      <c r="H2588" s="11" t="str">
        <f>IFERROR(IF(VLOOKUP(A2588,[17]PRIORIZADOS!$A:$H,8,FALSE)="","",VLOOKUP(A2588,[17]PRIORIZADOS!$A:$H,8,FALSE)),"")</f>
        <v>Autoevaluación Institucional y Pruebas SABER 11</v>
      </c>
      <c r="I2588" s="11" t="str">
        <f>IFERROR(IF(VLOOKUP(A2588,[17]PRIORIZADOS!$A:$I,9,FALSE)="","",VLOOKUP(A2588,[17]PRIORIZADOS!$A:$I,9,FALSE)),"")</f>
        <v>SEGUIMIENTO_Y_SUPERVISIÓN.</v>
      </c>
      <c r="J2588" s="11" t="str">
        <f>IFERROR(IF(VLOOKUP(A2588,[17]PRIORIZADOS!$A:$J,10,FALSE)="","",VLOOKUP(A2588,[17]PRIORIZADOS!$A:$J,10,FALSE)),"")</f>
        <v xml:space="preserve">Verificar la implementación por parte de los colegios, de acciones realizadas para la prevención y atención de las situaciones de convivencia en el entorno escolar, según lo establecido en la Directiva 01 de 2022 del MEN. </v>
      </c>
      <c r="K2588" s="11" t="str">
        <f>IFERROR(IF(VLOOKUP(A2588,[17]PRIORIZADOS!$A:$K,11,FALSE)="","",VLOOKUP(A2588,[17]PRIORIZADOS!$A:$K,11,FALSE)),"")</f>
        <v>MARTHA CECILIA MELGAREJO PINTO</v>
      </c>
      <c r="L2588" s="11" t="str">
        <f>IFERROR(IF(VLOOKUP(A2588,[17]PRIORIZADOS!$A:$L,12,FALSE)="","",VLOOKUP(A2588,[17]PRIORIZADOS!$A:$L,12,FALSE)),"")</f>
        <v>MARTHA LUCIA OLAYA VARGAS</v>
      </c>
      <c r="M2588" s="71">
        <f>IFERROR(IF(VLOOKUP(A2588,[17]PRIORIZADOS!$A:$M,13,FALSE)="","",VLOOKUP(A2588,[17]PRIORIZADOS!$A:$M,13,FALSE)),"")</f>
        <v>45791</v>
      </c>
      <c r="N2588" s="71">
        <f>IFERROR(IF(VLOOKUP(A2588,[17]PRIORIZADOS!$A:$N,14,FALSE)="","",VLOOKUP(A2588,[17]PRIORIZADOS!$A:$N,14,FALSE)),"")</f>
        <v>45793</v>
      </c>
      <c r="O2588" s="71">
        <f>IFERROR(IF(VLOOKUP(A2588,[17]PRIORIZADOS!$A:$O,15,FALSE)="","",VLOOKUP(A2588,[17]PRIORIZADOS!$A:$O,15,FALSE)),"")</f>
        <v>45793</v>
      </c>
      <c r="P2588" s="11" t="str">
        <f>IFERROR(IF(VLOOKUP(A2588,[17]PRIORIZADOS!$A:$P,16,FALSE)="","",VLOOKUP(A2588,[17]PRIORIZADOS!$A:$P,16,FALSE)),"")</f>
        <v>Visitas de evaluación con fines de seguimiento</v>
      </c>
      <c r="Q2588" s="107" t="s">
        <v>506</v>
      </c>
      <c r="R2588" s="11" t="str">
        <f>IFERROR(IF(VLOOKUP(A2588,[17]PRIORIZADOS!$A:$R,18,FALSE)="","",VLOOKUP(A2588,[17]PRIORIZADOS!$A:$R,18,FALSE)),"")</f>
        <v>La I.E. realizó la verificación de inhabilidades para el personal, docente y administrativo al inicio del calendario escolar en el mes de enero</v>
      </c>
      <c r="S2588" s="11" t="str">
        <f>IFERROR(IF(VLOOKUP(A2588,[17]PRIORIZADOS!$A:$S,19,FALSE)="","",VLOOKUP(A2588,[17]PRIORIZADOS!$A:$S,19,FALSE)),"")</f>
        <v>Realizará la verificación  del registro de inhabilidades cada cuatro meses</v>
      </c>
      <c r="T2588" s="70" t="str">
        <f>IFERROR(IF(VLOOKUP(A2588,[17]PRIORIZADOS!$A:$T,20,FALSE)="","",VLOOKUP(A2588,[17]PRIORIZADOS!$A:$T,20,FALSE)),"")</f>
        <v>Si</v>
      </c>
      <c r="U2588" s="11" t="str">
        <f>IFERROR(IF(VLOOKUP(A2588,[17]PRIORIZADOS!$A:$U,21,FALSE)="","",VLOOKUP(A2588,[17]PRIORIZADOS!$A:$U,21,FALSE)),"")</f>
        <v xml:space="preserve">Se verificarán los registros de inhabilidades de los meses de mayo, agosto, diciembre </v>
      </c>
    </row>
    <row r="2589" spans="1:21" s="1" customFormat="1" ht="154.5">
      <c r="A2589" s="69">
        <f>IF([17]PRIORIZADOS!A37="","",[17]PRIORIZADOS!A37)</f>
        <v>2573</v>
      </c>
      <c r="B2589" s="70">
        <v>4</v>
      </c>
      <c r="C2589" s="11" t="str">
        <f>IFERROR(IF(VLOOKUP(A2589,[17]PRIORIZADOS!$A:$C,3,FALSE)="","",VLOOKUP(A2589,[17]PRIORIZADOS!$A:$C,3,FALSE)),"")</f>
        <v>USAQUÉN</v>
      </c>
      <c r="D2589" s="11" t="str">
        <f>IFERROR(IF(VLOOKUP(A2589,[17]PRIORIZADOS!$A:$D,4,FALSE)="","",VLOOKUP(A2589,[17]PRIORIZADOS!$A:$D,4,FALSE)),"")</f>
        <v>PRIVADO</v>
      </c>
      <c r="E2589" s="11" t="str">
        <f>IFERROR(IF(VLOOKUP(A2589,[17]PRIORIZADOS!$A:$E,5,FALSE)="","",VLOOKUP(A2589,[17]PRIORIZADOS!$A:$E,5,FALSE)),"")</f>
        <v>EPBM</v>
      </c>
      <c r="F2589" s="11" t="str">
        <f>IFERROR(IF(VLOOKUP(A2589,[17]PRIORIZADOS!$A:$F,6,FALSE)="","",VLOOKUP(A2589,[17]PRIORIZADOS!$A:$F,6,FALSE)),"")</f>
        <v>COLEGIO_GIOVANNI_PASCOLI</v>
      </c>
      <c r="G2589" s="11" t="str">
        <f>IFERROR(IF(VLOOKUP(A2589,[17]PRIORIZADOS!$A:$G,7,FALSE)="","",VLOOKUP(A2589,[17]PRIORIZADOS!$A:$G,7,FALSE)),"")</f>
        <v>COLEGIO GIOVANNI PASCOLI</v>
      </c>
      <c r="H2589" s="11" t="str">
        <f>IFERROR(IF(VLOOKUP(A2589,[17]PRIORIZADOS!$A:$H,8,FALSE)="","",VLOOKUP(A2589,[17]PRIORIZADOS!$A:$H,8,FALSE)),"")</f>
        <v>Autoevaluación Institucional y Pruebas SABER 11</v>
      </c>
      <c r="I2589" s="11" t="str">
        <f>IFERROR(IF(VLOOKUP(A2589,[17]PRIORIZADOS!$A:$I,9,FALSE)="","",VLOOKUP(A2589,[17]PRIORIZADOS!$A:$I,9,FALSE)),"")</f>
        <v>SEGUIMIENTO_Y_SUPERVISIÓN.</v>
      </c>
      <c r="J2589" s="11" t="str">
        <f>IFERROR(IF(VLOOKUP(A2589,[17]PRIORIZADOS!$A:$J,10,FALSE)="","",VLOOKUP(A2589,[17]PRIORIZADOS!$A:$J,10,FALSE)),"")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89" s="11" t="str">
        <f>IFERROR(IF(VLOOKUP(A2589,[17]PRIORIZADOS!$A:$K,11,FALSE)="","",VLOOKUP(A2589,[17]PRIORIZADOS!$A:$K,11,FALSE)),"")</f>
        <v>MARTHA CECILIA MELGAREJO PINTO</v>
      </c>
      <c r="L2589" s="11" t="str">
        <f>IFERROR(IF(VLOOKUP(A2589,[17]PRIORIZADOS!$A:$L,12,FALSE)="","",VLOOKUP(A2589,[17]PRIORIZADOS!$A:$L,12,FALSE)),"")</f>
        <v>MARTHA LUCIA OLAYA VARGAS</v>
      </c>
      <c r="M2589" s="71">
        <f>IFERROR(IF(VLOOKUP(A2589,[17]PRIORIZADOS!$A:$M,13,FALSE)="","",VLOOKUP(A2589,[17]PRIORIZADOS!$A:$M,13,FALSE)),"")</f>
        <v>45791</v>
      </c>
      <c r="N2589" s="71">
        <f>IFERROR(IF(VLOOKUP(A2589,[17]PRIORIZADOS!$A:$N,14,FALSE)="","",VLOOKUP(A2589,[17]PRIORIZADOS!$A:$N,14,FALSE)),"")</f>
        <v>45793</v>
      </c>
      <c r="O2589" s="71">
        <f>IFERROR(IF(VLOOKUP(A2589,[17]PRIORIZADOS!$A:$O,15,FALSE)="","",VLOOKUP(A2589,[17]PRIORIZADOS!$A:$O,15,FALSE)),"")</f>
        <v>45793</v>
      </c>
      <c r="P2589" s="11" t="str">
        <f>IFERROR(IF(VLOOKUP(A2589,[17]PRIORIZADOS!$A:$P,16,FALSE)="","",VLOOKUP(A2589,[17]PRIORIZADOS!$A:$P,16,FALSE)),"")</f>
        <v>Visitas de evaluación con fines de seguimiento</v>
      </c>
      <c r="Q2589" s="107" t="s">
        <v>506</v>
      </c>
      <c r="R2589" s="11" t="str">
        <f>IFERROR(IF(VLOOKUP(A2589,[17]PRIORIZADOS!$A:$R,18,FALSE)="","",VLOOKUP(A2589,[17]PRIORIZADOS!$A:$R,18,FALSE)),"")</f>
        <v xml:space="preserve">Cuentan con 12 PIAR, los cuales estan registrados por nivel de educación y grado.Se encuentra la caracterización, el anexo 2 Información, los ajustes y las barreras.
El anexo 2 se evalua, se verifica y se ajusta cada dos meses. Igualmente se suben a la carpeta las recomendaciones médicas de cada estudiante.
Trastorno del aprendizaje 10 y 2 con Transtorno del espectro autista.
Adicionalmente, hay 4 casos en estudio por parte de las direcciones de grupo. </v>
      </c>
      <c r="S2589" s="11" t="str">
        <f>IFERROR(IF(VLOOKUP(A2589,[17]PRIORIZADOS!$A:$S,19,FALSE)="","",VLOOKUP(A2589,[17]PRIORIZADOS!$A:$S,19,FALSE)),"")</f>
        <v>Se efectuará la actualización de los PIAR, en tanto se presenten nuevas situaciones y/o avances en los estudiantes que lo requieran;  o cuando los padres actualicen los diagnósticos médicos</v>
      </c>
      <c r="T2589" s="70" t="str">
        <f>IFERROR(IF(VLOOKUP(A2589,[17]PRIORIZADOS!$A:$T,20,FALSE)="","",VLOOKUP(A2589,[17]PRIORIZADOS!$A:$T,20,FALSE)),"")</f>
        <v>Si</v>
      </c>
      <c r="U2589" s="11" t="str">
        <f>IFERROR(IF(VLOOKUP(A2589,[17]PRIORIZADOS!$A:$U,21,FALSE)="","",VLOOKUP(A2589,[17]PRIORIZADOS!$A:$U,21,FALSE)),"")</f>
        <v>Verificar la actualización de los PIARen el segundo semestre del año, de acuerdo con el Plan de Mejora</v>
      </c>
    </row>
    <row r="2590" spans="1:21" s="1" customFormat="1" ht="107.25">
      <c r="A2590" s="69">
        <f>IF([17]PRIORIZADOS!A38="","",[17]PRIORIZADOS!A38)</f>
        <v>2574</v>
      </c>
      <c r="B2590" s="70">
        <v>4</v>
      </c>
      <c r="C2590" s="11" t="str">
        <f>IFERROR(IF(VLOOKUP(A2590,[17]PRIORIZADOS!$A:$C,3,FALSE)="","",VLOOKUP(A2590,[17]PRIORIZADOS!$A:$C,3,FALSE)),"")</f>
        <v>USAQUÉN</v>
      </c>
      <c r="D2590" s="11" t="str">
        <f>IFERROR(IF(VLOOKUP(A2590,[17]PRIORIZADOS!$A:$D,4,FALSE)="","",VLOOKUP(A2590,[17]PRIORIZADOS!$A:$D,4,FALSE)),"")</f>
        <v>PRIVADO</v>
      </c>
      <c r="E2590" s="11" t="str">
        <f>IFERROR(IF(VLOOKUP(A2590,[17]PRIORIZADOS!$A:$E,5,FALSE)="","",VLOOKUP(A2590,[17]PRIORIZADOS!$A:$E,5,FALSE)),"")</f>
        <v>EPBM</v>
      </c>
      <c r="F2590" s="11" t="str">
        <f>IFERROR(IF(VLOOKUP(A2590,[17]PRIORIZADOS!$A:$F,6,FALSE)="","",VLOOKUP(A2590,[17]PRIORIZADOS!$A:$F,6,FALSE)),"")</f>
        <v>COLEGIO_GIOVANNI_PASCOLI</v>
      </c>
      <c r="G2590" s="11" t="str">
        <f>IFERROR(IF(VLOOKUP(A2590,[17]PRIORIZADOS!$A:$G,7,FALSE)="","",VLOOKUP(A2590,[17]PRIORIZADOS!$A:$G,7,FALSE)),"")</f>
        <v>COLEGIO GIOVANNI PASCOLI</v>
      </c>
      <c r="H2590" s="11" t="str">
        <f>IFERROR(IF(VLOOKUP(A2590,[17]PRIORIZADOS!$A:$H,8,FALSE)="","",VLOOKUP(A2590,[17]PRIORIZADOS!$A:$H,8,FALSE)),"")</f>
        <v>Autoevaluación Institucional y Pruebas SABER 11</v>
      </c>
      <c r="I2590" s="11" t="str">
        <f>IFERROR(IF(VLOOKUP(A2590,[17]PRIORIZADOS!$A:$I,9,FALSE)="","",VLOOKUP(A2590,[17]PRIORIZADOS!$A:$I,9,FALSE)),"")</f>
        <v>EVALUACIÓN_CON_FINES_DE_MEJORAMIENTO.</v>
      </c>
      <c r="J2590" s="11" t="str">
        <f>IFERROR(IF(VLOOKUP(A2590,[17]PRIORIZADOS!$A:$J,10,FALSE)="","",VLOOKUP(A2590,[17]PRIORIZADOS!$A:$J,10,FALSE)),"")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90" s="11" t="str">
        <f>IFERROR(IF(VLOOKUP(A2590,[17]PRIORIZADOS!$A:$K,11,FALSE)="","",VLOOKUP(A2590,[17]PRIORIZADOS!$A:$K,11,FALSE)),"")</f>
        <v>MARTHA CECILIA MELGAREJO PINTO</v>
      </c>
      <c r="L2590" s="11" t="str">
        <f>IFERROR(IF(VLOOKUP(A2590,[17]PRIORIZADOS!$A:$L,12,FALSE)="","",VLOOKUP(A2590,[17]PRIORIZADOS!$A:$L,12,FALSE)),"")</f>
        <v>MARTHA LUCIA OLAYA VARGAS</v>
      </c>
      <c r="M2590" s="71">
        <f>IFERROR(IF(VLOOKUP(A2590,[17]PRIORIZADOS!$A:$M,13,FALSE)="","",VLOOKUP(A2590,[17]PRIORIZADOS!$A:$M,13,FALSE)),"")</f>
        <v>45791</v>
      </c>
      <c r="N2590" s="71">
        <f>IFERROR(IF(VLOOKUP(A2590,[17]PRIORIZADOS!$A:$N,14,FALSE)="","",VLOOKUP(A2590,[17]PRIORIZADOS!$A:$N,14,FALSE)),"")</f>
        <v>45793</v>
      </c>
      <c r="O2590" s="71">
        <f>IFERROR(IF(VLOOKUP(A2590,[17]PRIORIZADOS!$A:$O,15,FALSE)="","",VLOOKUP(A2590,[17]PRIORIZADOS!$A:$O,15,FALSE)),"")</f>
        <v>45793</v>
      </c>
      <c r="P2590" s="11" t="str">
        <f>IFERROR(IF(VLOOKUP(A2590,[17]PRIORIZADOS!$A:$P,16,FALSE)="","",VLOOKUP(A2590,[17]PRIORIZADOS!$A:$P,16,FALSE)),"")</f>
        <v>Visitas de evaluación con fines de mejoramiento</v>
      </c>
      <c r="Q2590" s="107" t="s">
        <v>506</v>
      </c>
      <c r="R2590" s="11" t="str">
        <f>IFERROR(IF(VLOOKUP(A2590,[17]PRIORIZADOS!$A:$R,18,FALSE)="","",VLOOKUP(A2590,[17]PRIORIZADOS!$A:$R,18,FALSE)),"")</f>
        <v xml:space="preserve">El documento no contiene algunos elementos establecidos en la normatividad, no contempla lo referido en cuanto al libre desarrollo de la personalidad, salidas  escolares, formación de mediadores, instancias con gestión oportuna de conflictos y justicia restaurativa, entre otros componentes 
</v>
      </c>
      <c r="S2590" s="11" t="str">
        <f>IFERROR(IF(VLOOKUP(A2590,[17]PRIORIZADOS!$A:$S,19,FALSE)="","",VLOOKUP(A2590,[17]PRIORIZADOS!$A:$S,19,FALSE)),"")</f>
        <v>Realizará el proceso participativo para la revisión, actualización y adopción del manual de convivencia</v>
      </c>
      <c r="T2590" s="70" t="str">
        <f>IFERROR(IF(VLOOKUP(A2590,[17]PRIORIZADOS!$A:$T,20,FALSE)="","",VLOOKUP(A2590,[17]PRIORIZADOS!$A:$T,20,FALSE)),"")</f>
        <v>Si</v>
      </c>
      <c r="U2590" s="11" t="str">
        <f>IFERROR(IF(VLOOKUP(A2590,[17]PRIORIZADOS!$A:$U,21,FALSE)="","",VLOOKUP(A2590,[17]PRIORIZADOS!$A:$U,21,FALSE)),"")</f>
        <v>Revisar la actualización del manual de conviviencia, de acuerdo con el Plan de Mejora.</v>
      </c>
    </row>
    <row r="2591" spans="1:21" s="1" customFormat="1" ht="48">
      <c r="A2591" s="69">
        <f>IF([17]PRIORIZADOS!A39="","",[17]PRIORIZADOS!A39)</f>
        <v>2575</v>
      </c>
      <c r="B2591" s="70">
        <v>4</v>
      </c>
      <c r="C2591" s="11" t="str">
        <f>IFERROR(IF(VLOOKUP(A2591,[17]PRIORIZADOS!$A:$C,3,FALSE)="","",VLOOKUP(A2591,[17]PRIORIZADOS!$A:$C,3,FALSE)),"")</f>
        <v>USAQUÉN</v>
      </c>
      <c r="D2591" s="11" t="str">
        <f>IFERROR(IF(VLOOKUP(A2591,[17]PRIORIZADOS!$A:$D,4,FALSE)="","",VLOOKUP(A2591,[17]PRIORIZADOS!$A:$D,4,FALSE)),"")</f>
        <v>PRIVADO</v>
      </c>
      <c r="E2591" s="11" t="str">
        <f>IFERROR(IF(VLOOKUP(A2591,[17]PRIORIZADOS!$A:$E,5,FALSE)="","",VLOOKUP(A2591,[17]PRIORIZADOS!$A:$E,5,FALSE)),"")</f>
        <v>EPBM</v>
      </c>
      <c r="F2591" s="11" t="str">
        <f>IFERROR(IF(VLOOKUP(A2591,[17]PRIORIZADOS!$A:$F,6,FALSE)="","",VLOOKUP(A2591,[17]PRIORIZADOS!$A:$F,6,FALSE)),"")</f>
        <v>COLEGIO_GIOVANNI_PASCOLI</v>
      </c>
      <c r="G2591" s="11" t="str">
        <f>IFERROR(IF(VLOOKUP(A2591,[17]PRIORIZADOS!$A:$G,7,FALSE)="","",VLOOKUP(A2591,[17]PRIORIZADOS!$A:$G,7,FALSE)),"")</f>
        <v>COLEGIO GIOVANNI PASCOLI</v>
      </c>
      <c r="H2591" s="11" t="str">
        <f>IFERROR(IF(VLOOKUP(A2591,[17]PRIORIZADOS!$A:$H,8,FALSE)="","",VLOOKUP(A2591,[17]PRIORIZADOS!$A:$H,8,FALSE)),"")</f>
        <v>Autoevaluación Institucional y Pruebas SABER 11</v>
      </c>
      <c r="I2591" s="11" t="str">
        <f>IFERROR(IF(VLOOKUP(A2591,[17]PRIORIZADOS!$A:$I,9,FALSE)="","",VLOOKUP(A2591,[17]PRIORIZADOS!$A:$I,9,FALSE)),"")</f>
        <v>EVALUACIÓN_CON_FINES_DE_MEJORAMIENTO.</v>
      </c>
      <c r="J2591" s="11" t="str">
        <f>IFERROR(IF(VLOOKUP(A2591,[17]PRIORIZADOS!$A:$J,10,FALSE)="","",VLOOKUP(A2591,[17]PRIORIZADOS!$A:$J,10,FALSE)),"")</f>
        <v>Revisar la actualización, socialización e implementación del Sistema Institucional de Evaluación de Estudiantes - SIEE, en articulación con la actualización del PEI y la normatividad vigente.</v>
      </c>
      <c r="K2591" s="11" t="str">
        <f>IFERROR(IF(VLOOKUP(A2591,[17]PRIORIZADOS!$A:$K,11,FALSE)="","",VLOOKUP(A2591,[17]PRIORIZADOS!$A:$K,11,FALSE)),"")</f>
        <v>MARTHA CECILIA MELGAREJO PINTO</v>
      </c>
      <c r="L2591" s="11" t="str">
        <f>IFERROR(IF(VLOOKUP(A2591,[17]PRIORIZADOS!$A:$L,12,FALSE)="","",VLOOKUP(A2591,[17]PRIORIZADOS!$A:$L,12,FALSE)),"")</f>
        <v>MARTHA LUCIA OLAYA VARGAS</v>
      </c>
      <c r="M2591" s="71">
        <f>IFERROR(IF(VLOOKUP(A2591,[17]PRIORIZADOS!$A:$M,13,FALSE)="","",VLOOKUP(A2591,[17]PRIORIZADOS!$A:$M,13,FALSE)),"")</f>
        <v>45791</v>
      </c>
      <c r="N2591" s="71">
        <f>IFERROR(IF(VLOOKUP(A2591,[17]PRIORIZADOS!$A:$N,14,FALSE)="","",VLOOKUP(A2591,[17]PRIORIZADOS!$A:$N,14,FALSE)),"")</f>
        <v>45793</v>
      </c>
      <c r="O2591" s="71">
        <f>IFERROR(IF(VLOOKUP(A2591,[17]PRIORIZADOS!$A:$O,15,FALSE)="","",VLOOKUP(A2591,[17]PRIORIZADOS!$A:$O,15,FALSE)),"")</f>
        <v>45793</v>
      </c>
      <c r="P2591" s="11" t="str">
        <f>IFERROR(IF(VLOOKUP(A2591,[17]PRIORIZADOS!$A:$P,16,FALSE)="","",VLOOKUP(A2591,[17]PRIORIZADOS!$A:$P,16,FALSE)),"")</f>
        <v>Visitas de evaluación con fines de mejoramiento</v>
      </c>
      <c r="Q2591" s="107" t="s">
        <v>506</v>
      </c>
      <c r="R2591" s="11" t="str">
        <f>IFERROR(IF(VLOOKUP(A2591,[17]PRIORIZADOS!$A:$R,18,FALSE)="","",VLOOKUP(A2591,[17]PRIORIZADOS!$A:$R,18,FALSE)),"")</f>
        <v>Contiene las estrategias para resolver las situaciones académicas de los estudiantes, la nivelación y mejoramiento de aprendizaje de los estudiantes</v>
      </c>
      <c r="S2591" s="11" t="str">
        <f>IFERROR(IF(VLOOKUP(A2591,[17]PRIORIZADOS!$A:$S,19,FALSE)="","",VLOOKUP(A2591,[17]PRIORIZADOS!$A:$S,19,FALSE)),"")</f>
        <v xml:space="preserve">Continuar reportando el avance académico de los estudiantes a través de la plataforma dispuesta para ello </v>
      </c>
      <c r="T2591" s="70" t="str">
        <f>IFERROR(IF(VLOOKUP(A2591,[17]PRIORIZADOS!$A:$T,20,FALSE)="","",VLOOKUP(A2591,[17]PRIORIZADOS!$A:$T,20,FALSE)),"")</f>
        <v>No</v>
      </c>
      <c r="U2591" s="11" t="str">
        <f>IFERROR(IF(VLOOKUP(A2591,[17]PRIORIZADOS!$A:$U,21,FALSE)="","",VLOOKUP(A2591,[17]PRIORIZADOS!$A:$U,21,FALSE)),"")</f>
        <v>Verificar el SIIEE y su registro en la plataforma cuando se requiera-</v>
      </c>
    </row>
    <row r="2592" spans="1:21" s="1" customFormat="1" ht="48">
      <c r="A2592" s="69">
        <f>IF([17]PRIORIZADOS!A40="","",[17]PRIORIZADOS!A40)</f>
        <v>2576</v>
      </c>
      <c r="B2592" s="70">
        <v>4</v>
      </c>
      <c r="C2592" s="11" t="str">
        <f>IFERROR(IF(VLOOKUP(A2592,[17]PRIORIZADOS!$A:$C,3,FALSE)="","",VLOOKUP(A2592,[17]PRIORIZADOS!$A:$C,3,FALSE)),"")</f>
        <v>USAQUÉN</v>
      </c>
      <c r="D2592" s="11" t="str">
        <f>IFERROR(IF(VLOOKUP(A2592,[17]PRIORIZADOS!$A:$D,4,FALSE)="","",VLOOKUP(A2592,[17]PRIORIZADOS!$A:$D,4,FALSE)),"")</f>
        <v>PRIVADO</v>
      </c>
      <c r="E2592" s="11" t="str">
        <f>IFERROR(IF(VLOOKUP(A2592,[17]PRIORIZADOS!$A:$E,5,FALSE)="","",VLOOKUP(A2592,[17]PRIORIZADOS!$A:$E,5,FALSE)),"")</f>
        <v>EPBM</v>
      </c>
      <c r="F2592" s="11" t="str">
        <f>IFERROR(IF(VLOOKUP(A2592,[17]PRIORIZADOS!$A:$F,6,FALSE)="","",VLOOKUP(A2592,[17]PRIORIZADOS!$A:$F,6,FALSE)),"")</f>
        <v>COLEGIO_GIOVANNI_PASCOLI</v>
      </c>
      <c r="G2592" s="11" t="str">
        <f>IFERROR(IF(VLOOKUP(A2592,[17]PRIORIZADOS!$A:$G,7,FALSE)="","",VLOOKUP(A2592,[17]PRIORIZADOS!$A:$G,7,FALSE)),"")</f>
        <v>COLEGIO GIOVANNI PASCOLI</v>
      </c>
      <c r="H2592" s="11" t="str">
        <f>IFERROR(IF(VLOOKUP(A2592,[17]PRIORIZADOS!$A:$H,8,FALSE)="","",VLOOKUP(A2592,[17]PRIORIZADOS!$A:$H,8,FALSE)),"")</f>
        <v>Autoevaluación Institucional y Pruebas SABER 11</v>
      </c>
      <c r="I2592" s="11" t="str">
        <f>IFERROR(IF(VLOOKUP(A2592,[17]PRIORIZADOS!$A:$I,9,FALSE)="","",VLOOKUP(A2592,[17]PRIORIZADOS!$A:$I,9,FALSE)),"")</f>
        <v>EVALUACIÓN_CON_FINES_DE_MEJORAMIENTO.</v>
      </c>
      <c r="J2592" s="11" t="str">
        <f>IFERROR(IF(VLOOKUP(A2592,[17]PRIORIZADOS!$A:$J,10,FALSE)="","",VLOOKUP(A2592,[17]PRIORIZADOS!$A:$J,10,FALSE)),"")</f>
        <v>Revisar el calendario escolar, jornada escolar, la intensidad horaria mínima anual en cada nivel y las modificaciones que se realicen al mismo, de acuerdo con lo previsto en la normatividad vigente.</v>
      </c>
      <c r="K2592" s="11" t="str">
        <f>IFERROR(IF(VLOOKUP(A2592,[17]PRIORIZADOS!$A:$K,11,FALSE)="","",VLOOKUP(A2592,[17]PRIORIZADOS!$A:$K,11,FALSE)),"")</f>
        <v>MARTHA CECILIA MELGAREJO PINTO</v>
      </c>
      <c r="L2592" s="11" t="str">
        <f>IFERROR(IF(VLOOKUP(A2592,[17]PRIORIZADOS!$A:$L,12,FALSE)="","",VLOOKUP(A2592,[17]PRIORIZADOS!$A:$L,12,FALSE)),"")</f>
        <v>MARTHA LUCIA OLAYA VARGAS</v>
      </c>
      <c r="M2592" s="71">
        <f>IFERROR(IF(VLOOKUP(A2592,[17]PRIORIZADOS!$A:$M,13,FALSE)="","",VLOOKUP(A2592,[17]PRIORIZADOS!$A:$M,13,FALSE)),"")</f>
        <v>45791</v>
      </c>
      <c r="N2592" s="71">
        <f>IFERROR(IF(VLOOKUP(A2592,[17]PRIORIZADOS!$A:$N,14,FALSE)="","",VLOOKUP(A2592,[17]PRIORIZADOS!$A:$N,14,FALSE)),"")</f>
        <v>45793</v>
      </c>
      <c r="O2592" s="71">
        <f>IFERROR(IF(VLOOKUP(A2592,[17]PRIORIZADOS!$A:$O,15,FALSE)="","",VLOOKUP(A2592,[17]PRIORIZADOS!$A:$O,15,FALSE)),"")</f>
        <v>45793</v>
      </c>
      <c r="P2592" s="11" t="str">
        <f>IFERROR(IF(VLOOKUP(A2592,[17]PRIORIZADOS!$A:$P,16,FALSE)="","",VLOOKUP(A2592,[17]PRIORIZADOS!$A:$P,16,FALSE)),"")</f>
        <v>Visitas de evaluación con fines de mejoramiento</v>
      </c>
      <c r="Q2592" s="107" t="s">
        <v>506</v>
      </c>
      <c r="R2592" s="11" t="str">
        <f>IFERROR(IF(VLOOKUP(A2592,[17]PRIORIZADOS!$A:$R,18,FALSE)="","",VLOOKUP(A2592,[17]PRIORIZADOS!$A:$R,18,FALSE)),"")</f>
        <v xml:space="preserve">La I.E. presenta el calendario escolar el  cual cumple con la intensidad horaria dispuesta en la normatividad educativa </v>
      </c>
      <c r="S2592" s="11" t="str">
        <f>IFERROR(IF(VLOOKUP(A2592,[17]PRIORIZADOS!$A:$S,19,FALSE)="","",VLOOKUP(A2592,[17]PRIORIZADOS!$A:$S,19,FALSE)),"")</f>
        <v>Se continuará prestando  el servicio educativo  con la intensidad horaria dispuesta</v>
      </c>
      <c r="T2592" s="70" t="str">
        <f>IFERROR(IF(VLOOKUP(A2592,[17]PRIORIZADOS!$A:$T,20,FALSE)="","",VLOOKUP(A2592,[17]PRIORIZADOS!$A:$T,20,FALSE)),"")</f>
        <v>No</v>
      </c>
      <c r="U2592" s="11" t="str">
        <f>IFERROR(IF(VLOOKUP(A2592,[17]PRIORIZADOS!$A:$U,21,FALSE)="","",VLOOKUP(A2592,[17]PRIORIZADOS!$A:$U,21,FALSE)),"")</f>
        <v>Verificar la prestación del servicio educativo conforme al calendario escolar cuando se requiera.</v>
      </c>
    </row>
    <row r="2593" spans="1:21" s="1" customFormat="1" ht="72">
      <c r="A2593" s="69">
        <f>IF([17]PRIORIZADOS!A41="","",[17]PRIORIZADOS!A41)</f>
        <v>2577</v>
      </c>
      <c r="B2593" s="70">
        <v>4</v>
      </c>
      <c r="C2593" s="11" t="str">
        <f>IFERROR(IF(VLOOKUP(A2593,[17]PRIORIZADOS!$A:$C,3,FALSE)="","",VLOOKUP(A2593,[17]PRIORIZADOS!$A:$C,3,FALSE)),"")</f>
        <v>USAQUÉN</v>
      </c>
      <c r="D2593" s="11" t="str">
        <f>IFERROR(IF(VLOOKUP(A2593,[17]PRIORIZADOS!$A:$D,4,FALSE)="","",VLOOKUP(A2593,[17]PRIORIZADOS!$A:$D,4,FALSE)),"")</f>
        <v>PRIVADO</v>
      </c>
      <c r="E2593" s="11" t="str">
        <f>IFERROR(IF(VLOOKUP(A2593,[17]PRIORIZADOS!$A:$E,5,FALSE)="","",VLOOKUP(A2593,[17]PRIORIZADOS!$A:$E,5,FALSE)),"")</f>
        <v>EPBM</v>
      </c>
      <c r="F2593" s="11" t="str">
        <f>IFERROR(IF(VLOOKUP(A2593,[17]PRIORIZADOS!$A:$F,6,FALSE)="","",VLOOKUP(A2593,[17]PRIORIZADOS!$A:$F,6,FALSE)),"")</f>
        <v>COLEGIO_GIOVANNI_PASCOLI</v>
      </c>
      <c r="G2593" s="11" t="str">
        <f>IFERROR(IF(VLOOKUP(A2593,[17]PRIORIZADOS!$A:$G,7,FALSE)="","",VLOOKUP(A2593,[17]PRIORIZADOS!$A:$G,7,FALSE)),"")</f>
        <v>COLEGIO GIOVANNI PASCOLI</v>
      </c>
      <c r="H2593" s="11" t="str">
        <f>IFERROR(IF(VLOOKUP(A2593,[17]PRIORIZADOS!$A:$H,8,FALSE)="","",VLOOKUP(A2593,[17]PRIORIZADOS!$A:$H,8,FALSE)),"")</f>
        <v>Autoevaluación Institucional y Pruebas SABER 11</v>
      </c>
      <c r="I2593" s="11" t="str">
        <f>IFERROR(IF(VLOOKUP(A2593,[17]PRIORIZADOS!$A:$I,9,FALSE)="","",VLOOKUP(A2593,[17]PRIORIZADOS!$A:$I,9,FALSE)),"")</f>
        <v>EVALUACIÓN_CON_FINES_DE_MEJORAMIENTO.</v>
      </c>
      <c r="J2593" s="11" t="str">
        <f>IFERROR(IF(VLOOKUP(A2593,[17]PRIORIZADOS!$A:$J,10,FALSE)="","",VLOOKUP(A2593,[17]PRIORIZADOS!$A:$J,10,FALSE)),"")</f>
        <v>Verificar el funcionamiento del Gobierno Escolar e instancias de participación con base en la información sobre conformación reportada por la institución educativa.</v>
      </c>
      <c r="K2593" s="11" t="str">
        <f>IFERROR(IF(VLOOKUP(A2593,[17]PRIORIZADOS!$A:$K,11,FALSE)="","",VLOOKUP(A2593,[17]PRIORIZADOS!$A:$K,11,FALSE)),"")</f>
        <v>MARTHA CECILIA MELGAREJO PINTO</v>
      </c>
      <c r="L2593" s="11" t="str">
        <f>IFERROR(IF(VLOOKUP(A2593,[17]PRIORIZADOS!$A:$L,12,FALSE)="","",VLOOKUP(A2593,[17]PRIORIZADOS!$A:$L,12,FALSE)),"")</f>
        <v>MARTHA LUCIA OLAYA VARGAS</v>
      </c>
      <c r="M2593" s="71">
        <f>IFERROR(IF(VLOOKUP(A2593,[17]PRIORIZADOS!$A:$M,13,FALSE)="","",VLOOKUP(A2593,[17]PRIORIZADOS!$A:$M,13,FALSE)),"")</f>
        <v>45791</v>
      </c>
      <c r="N2593" s="71">
        <f>IFERROR(IF(VLOOKUP(A2593,[17]PRIORIZADOS!$A:$N,14,FALSE)="","",VLOOKUP(A2593,[17]PRIORIZADOS!$A:$N,14,FALSE)),"")</f>
        <v>45793</v>
      </c>
      <c r="O2593" s="71">
        <f>IFERROR(IF(VLOOKUP(A2593,[17]PRIORIZADOS!$A:$O,15,FALSE)="","",VLOOKUP(A2593,[17]PRIORIZADOS!$A:$O,15,FALSE)),"")</f>
        <v>45793</v>
      </c>
      <c r="P2593" s="11" t="str">
        <f>IFERROR(IF(VLOOKUP(A2593,[17]PRIORIZADOS!$A:$P,16,FALSE)="","",VLOOKUP(A2593,[17]PRIORIZADOS!$A:$P,16,FALSE)),"")</f>
        <v>Visitas de evaluación con fines de mejoramiento</v>
      </c>
      <c r="Q2593" s="107" t="s">
        <v>506</v>
      </c>
      <c r="R2593" s="11" t="str">
        <f>IFERROR(IF(VLOOKUP(A2593,[17]PRIORIZADOS!$A:$R,18,FALSE)="","",VLOOKUP(A2593,[17]PRIORIZADOS!$A:$R,18,FALSE)),"")</f>
        <v>El  gobierno escolar y las instancias de participación se encuentran conformadas e instaladas de acuerdo a la normatividad.
No se evidenciaron soportes frente al funcionamiento de gobierno escolar.</v>
      </c>
      <c r="S2593" s="11" t="str">
        <f>IFERROR(IF(VLOOKUP(A2593,[17]PRIORIZADOS!$A:$S,19,FALSE)="","",VLOOKUP(A2593,[17]PRIORIZADOS!$A:$S,19,FALSE)),"")</f>
        <v>El colegio actualizará el reglamento procedimental de gobierno escolar, incorporará el de las instancias de participación estudiantil.
Actualizará el Plan de acción  para cada estamento​.</v>
      </c>
      <c r="T2593" s="70" t="str">
        <f>IFERROR(IF(VLOOKUP(A2593,[17]PRIORIZADOS!$A:$T,20,FALSE)="","",VLOOKUP(A2593,[17]PRIORIZADOS!$A:$T,20,FALSE)),"")</f>
        <v>Si</v>
      </c>
      <c r="U2593" s="11" t="str">
        <f>IFERROR(IF(VLOOKUP(A2593,[17]PRIORIZADOS!$A:$U,21,FALSE)="","",VLOOKUP(A2593,[17]PRIORIZADOS!$A:$U,21,FALSE)),"")</f>
        <v>Realizar  la verificación de la actualización  del reglamento procedimental de gobierno escolar y de las instancias de participación estudiantil. Así como  el  plan de acción  para cada estamento, de acuerdo con el Plan de Mejora.</v>
      </c>
    </row>
    <row r="2594" spans="1:21" s="1" customFormat="1" ht="72">
      <c r="A2594" s="69">
        <f>IF([17]PRIORIZADOS!A42="","",[17]PRIORIZADOS!A42)</f>
        <v>2578</v>
      </c>
      <c r="B2594" s="70">
        <v>4</v>
      </c>
      <c r="C2594" s="11" t="str">
        <f>IFERROR(IF(VLOOKUP(A2594,[17]PRIORIZADOS!$A:$C,3,FALSE)="","",VLOOKUP(A2594,[17]PRIORIZADOS!$A:$C,3,FALSE)),"")</f>
        <v>USAQUÉN</v>
      </c>
      <c r="D2594" s="11" t="str">
        <f>IFERROR(IF(VLOOKUP(A2594,[17]PRIORIZADOS!$A:$D,4,FALSE)="","",VLOOKUP(A2594,[17]PRIORIZADOS!$A:$D,4,FALSE)),"")</f>
        <v>PRIVADO</v>
      </c>
      <c r="E2594" s="11" t="str">
        <f>IFERROR(IF(VLOOKUP(A2594,[17]PRIORIZADOS!$A:$E,5,FALSE)="","",VLOOKUP(A2594,[17]PRIORIZADOS!$A:$E,5,FALSE)),"")</f>
        <v>EPBM</v>
      </c>
      <c r="F2594" s="11" t="str">
        <f>IFERROR(IF(VLOOKUP(A2594,[17]PRIORIZADOS!$A:$F,6,FALSE)="","",VLOOKUP(A2594,[17]PRIORIZADOS!$A:$F,6,FALSE)),"")</f>
        <v>COLEGIO_GIOVANNI_PASCOLI</v>
      </c>
      <c r="G2594" s="11" t="str">
        <f>IFERROR(IF(VLOOKUP(A2594,[17]PRIORIZADOS!$A:$G,7,FALSE)="","",VLOOKUP(A2594,[17]PRIORIZADOS!$A:$G,7,FALSE)),"")</f>
        <v>COLEGIO GIOVANNI PASCOLI</v>
      </c>
      <c r="H2594" s="11" t="str">
        <f>IFERROR(IF(VLOOKUP(A2594,[17]PRIORIZADOS!$A:$H,8,FALSE)="","",VLOOKUP(A2594,[17]PRIORIZADOS!$A:$H,8,FALSE)),"")</f>
        <v>Autoevaluación Institucional y Pruebas SABER 11</v>
      </c>
      <c r="I2594" s="11" t="str">
        <f>IFERROR(IF(VLOOKUP(A2594,[17]PRIORIZADOS!$A:$I,9,FALSE)="","",VLOOKUP(A2594,[17]PRIORIZADOS!$A:$I,9,FALSE)),"")</f>
        <v>EVALUACIÓN_CON_FINES_DE_MEJORAMIENTO.</v>
      </c>
      <c r="J2594" s="11" t="str">
        <f>IFERROR(IF(VLOOKUP(A2594,[17]PRIORIZADOS!$A:$J,10,FALSE)="","",VLOOKUP(A2594,[17]PRIORIZADOS!$A:$J,10,FALSE)),"")</f>
        <v>Verificar las condiciones en cuanto a: la estructura administrativa, condiciones de la planta física y medios educativos adecuados.</v>
      </c>
      <c r="K2594" s="11" t="str">
        <f>IFERROR(IF(VLOOKUP(A2594,[17]PRIORIZADOS!$A:$K,11,FALSE)="","",VLOOKUP(A2594,[17]PRIORIZADOS!$A:$K,11,FALSE)),"")</f>
        <v>MARTHA CECILIA MELGAREJO PINTO</v>
      </c>
      <c r="L2594" s="11" t="str">
        <f>IFERROR(IF(VLOOKUP(A2594,[17]PRIORIZADOS!$A:$L,12,FALSE)="","",VLOOKUP(A2594,[17]PRIORIZADOS!$A:$L,12,FALSE)),"")</f>
        <v>MARTHA LUCIA OLAYA VARGAS</v>
      </c>
      <c r="M2594" s="71">
        <f>IFERROR(IF(VLOOKUP(A2594,[17]PRIORIZADOS!$A:$M,13,FALSE)="","",VLOOKUP(A2594,[17]PRIORIZADOS!$A:$M,13,FALSE)),"")</f>
        <v>45791</v>
      </c>
      <c r="N2594" s="71">
        <f>IFERROR(IF(VLOOKUP(A2594,[17]PRIORIZADOS!$A:$N,14,FALSE)="","",VLOOKUP(A2594,[17]PRIORIZADOS!$A:$N,14,FALSE)),"")</f>
        <v>45793</v>
      </c>
      <c r="O2594" s="71">
        <f>IFERROR(IF(VLOOKUP(A2594,[17]PRIORIZADOS!$A:$O,15,FALSE)="","",VLOOKUP(A2594,[17]PRIORIZADOS!$A:$O,15,FALSE)),"")</f>
        <v>45793</v>
      </c>
      <c r="P2594" s="11" t="str">
        <f>IFERROR(IF(VLOOKUP(A2594,[17]PRIORIZADOS!$A:$P,16,FALSE)="","",VLOOKUP(A2594,[17]PRIORIZADOS!$A:$P,16,FALSE)),"")</f>
        <v>Visitas de evaluación con fines de mejoramiento</v>
      </c>
      <c r="Q2594" s="107" t="s">
        <v>506</v>
      </c>
      <c r="R2594" s="11" t="str">
        <f>IFERROR(IF(VLOOKUP(A2594,[17]PRIORIZADOS!$A:$R,18,FALSE)="","",VLOOKUP(A2594,[17]PRIORIZADOS!$A:$R,18,FALSE)),"")</f>
        <v>En cuanto a la planta física no cuenta con concepto sanitario favorable  vigente y sin observaciones. Cuenta con estructura administrativa y medios educativos adecuados para la prestasción del servicio educativo</v>
      </c>
      <c r="S2594" s="11" t="str">
        <f>IFERROR(IF(VLOOKUP(A2594,[17]PRIORIZADOS!$A:$S,19,FALSE)="","",VLOOKUP(A2594,[17]PRIORIZADOS!$A:$S,19,FALSE)),"")</f>
        <v>La I.E. realizará las acciones correspondientes ante la Secretaría Distrital de salud para obtener el concepto sanitario favorable y sin observaciones</v>
      </c>
      <c r="T2594" s="70" t="str">
        <f>IFERROR(IF(VLOOKUP(A2594,[17]PRIORIZADOS!$A:$T,20,FALSE)="","",VLOOKUP(A2594,[17]PRIORIZADOS!$A:$T,20,FALSE)),"")</f>
        <v>Si</v>
      </c>
      <c r="U2594" s="11" t="str">
        <f>IFERROR(IF(VLOOKUP(A2594,[17]PRIORIZADOS!$A:$U,21,FALSE)="","",VLOOKUP(A2594,[17]PRIORIZADOS!$A:$U,21,FALSE)),"")</f>
        <v>Revisar el certificado sanitario expedido por la Secretaría Distrital de Salud a 2025, para verificar si el concepto es favorable y sin requerimientos.</v>
      </c>
    </row>
    <row r="2595" spans="1:21" s="1" customFormat="1" ht="118.5">
      <c r="A2595" s="69">
        <f>IF([17]PRIORIZADOS!A43="","",[17]PRIORIZADOS!A43)</f>
        <v>2579</v>
      </c>
      <c r="B2595" s="70">
        <f>IFERROR(IF(VLOOKUP(A2595,[17]PRIORIZADOS!$A:$B,2,FALSE)="","",VLOOKUP(A2595,[17]PRIORIZADOS!$A:$B,2,FALSE)),"")</f>
        <v>5</v>
      </c>
      <c r="C2595" s="11" t="str">
        <f>IFERROR(IF(VLOOKUP(A2595,[17]PRIORIZADOS!$A:$C,3,FALSE)="","",VLOOKUP(A2595,[17]PRIORIZADOS!$A:$C,3,FALSE)),"")</f>
        <v>USAQUÉN</v>
      </c>
      <c r="D2595" s="11" t="str">
        <f>IFERROR(IF(VLOOKUP(A2595,[17]PRIORIZADOS!$A:$D,4,FALSE)="","",VLOOKUP(A2595,[17]PRIORIZADOS!$A:$D,4,FALSE)),"")</f>
        <v>PRIVADO</v>
      </c>
      <c r="E2595" s="11" t="str">
        <f>IFERROR(IF(VLOOKUP(A2595,[17]PRIORIZADOS!$A:$E,5,FALSE)="","",VLOOKUP(A2595,[17]PRIORIZADOS!$A:$E,5,FALSE)),"")</f>
        <v>EPBM</v>
      </c>
      <c r="F2595" s="11" t="str">
        <f>IFERROR(IF(VLOOKUP(A2595,[17]PRIORIZADOS!$A:$F,6,FALSE)="","",VLOOKUP(A2595,[17]PRIORIZADOS!$A:$F,6,FALSE)),"")</f>
        <v>LICEO_PSICOPEDAGOGICO_TIBABITA</v>
      </c>
      <c r="G2595" s="11" t="str">
        <f>IFERROR(IF(VLOOKUP(A2595,[17]PRIORIZADOS!$A:$G,7,FALSE)="","",VLOOKUP(A2595,[17]PRIORIZADOS!$A:$G,7,FALSE)),"")</f>
        <v>LICEO PSICOPEDAGOGICO TIBABITA</v>
      </c>
      <c r="H2595" s="11" t="str">
        <f>IFERROR(IF(VLOOKUP(A2595,[17]PRIORIZADOS!$A:$H,8,FALSE)="","",VLOOKUP(A2595,[17]PRIORIZADOS!$A:$H,8,FALSE)),"")</f>
        <v>Autoevaluación Institucional y Pruebas SABER 11</v>
      </c>
      <c r="I2595" s="11" t="str">
        <f>IFERROR(IF(VLOOKUP(A2595,[17]PRIORIZADOS!$A:$I,9,FALSE)="","",VLOOKUP(A2595,[17]PRIORIZADOS!$A:$I,9,FALSE)),"")</f>
        <v>SEGUIMIENTO_Y_SUPERVISIÓN.</v>
      </c>
      <c r="J2595" s="11" t="str">
        <f>IFERROR(IF(VLOOKUP(A2595,[17]PRIORIZADOS!$A:$J,10,FALSE)="","",VLOOKUP(A2595,[17]PRIORIZADOS!$A:$J,10,FALSE)),"")</f>
        <v>Realizar visitas para verificar la información registrada sobre la autoevaluación institucional en el aplicativo EVI, a los establecimientos de educación formal no oficial.</v>
      </c>
      <c r="K2595" s="11" t="str">
        <f>IFERROR(IF(VLOOKUP(A2595,[17]PRIORIZADOS!$A:$K,11,FALSE)="","",VLOOKUP(A2595,[17]PRIORIZADOS!$A:$K,11,FALSE)),"")</f>
        <v>MARIA TERESA GAVIRIA LOZANO</v>
      </c>
      <c r="L2595" s="11" t="str">
        <f>IFERROR(IF(VLOOKUP(A2595,[17]PRIORIZADOS!$A:$L,12,FALSE)="","",VLOOKUP(A2595,[17]PRIORIZADOS!$A:$L,12,FALSE)),"")</f>
        <v>MARTHA CECILIA MELGAREJO PINTO</v>
      </c>
      <c r="M2595" s="71">
        <f>IFERROR(IF(VLOOKUP(A2595,[17]PRIORIZADOS!$A:$M,13,FALSE)="","",VLOOKUP(A2595,[17]PRIORIZADOS!$A:$M,13,FALSE)),"")</f>
        <v>45807</v>
      </c>
      <c r="N2595" s="71">
        <f>IFERROR(IF(VLOOKUP(A2595,[17]PRIORIZADOS!$A:$N,14,FALSE)="","",VLOOKUP(A2595,[17]PRIORIZADOS!$A:$N,14,FALSE)),"")</f>
        <v>45807</v>
      </c>
      <c r="O2595" s="71">
        <f>IFERROR(IF(VLOOKUP(A2595,[17]PRIORIZADOS!$A:$O,15,FALSE)="","",VLOOKUP(A2595,[17]PRIORIZADOS!$A:$O,15,FALSE)),"")</f>
        <v>45807</v>
      </c>
      <c r="P2595" s="11" t="str">
        <f>IFERROR(IF(VLOOKUP(A2595,[17]PRIORIZADOS!$A:$P,16,FALSE)="","",VLOOKUP(A2595,[17]PRIORIZADOS!$A:$P,16,FALSE)),"")</f>
        <v>Visitas de evaluación con fines de seguimiento</v>
      </c>
      <c r="Q2595" s="107" t="s">
        <v>506</v>
      </c>
      <c r="R2595" s="11" t="str">
        <f>IFERROR(IF(VLOOKUP(A2595,[17]PRIORIZADOS!$A:$R,18,FALSE)="","",VLOOKUP(A2595,[17]PRIORIZADOS!$A:$R,18,FALSE)),"")</f>
        <v xml:space="preserve">La autoevaluacion institucional se ajusta a la situación  actual.  
Se encuentra que el documento PEI, lo conforman documentos separados
La Institución debe realizar un Plan de Mantenimiento de la Infraestructura, para cumplir con los requerimientos realizados por la Secretaria de Salud. 
</v>
      </c>
      <c r="S2595" s="11" t="str">
        <f>IFERROR(IF(VLOOKUP(A2595,[17]PRIORIZADOS!$A:$S,19,FALSE)="","",VLOOKUP(A2595,[17]PRIORIZADOS!$A:$S,19,FALSE)),"")</f>
        <v>La Institución realizará la actualización del Proyecto Institucional Educativo unificando los criterios de Plan de Estudio y sus bases curriculares entre otros y diseñar plan de mantenimiento de la planta física para dar cumplimiento a las solicitudes de la Secretaría de salud</v>
      </c>
      <c r="T2595" s="70" t="str">
        <f>IFERROR(IF(VLOOKUP(A2595,[17]PRIORIZADOS!$A:$T,20,FALSE)="","",VLOOKUP(A2595,[17]PRIORIZADOS!$A:$T,20,FALSE)),"")</f>
        <v>Si</v>
      </c>
      <c r="U2595" s="11" t="str">
        <f>IFERROR(IF(VLOOKUP(A2595,[17]PRIORIZADOS!$A:$U,21,FALSE)="","",VLOOKUP(A2595,[17]PRIORIZADOS!$A:$U,21,FALSE)),"")</f>
        <v>Comprobar la unificación y actualización del PEI  y del  diseño del plan de mantenimiento  de acuerdo con el Plan de mejora</v>
      </c>
    </row>
    <row r="2596" spans="1:21" s="1" customFormat="1" ht="72">
      <c r="A2596" s="69">
        <f>IF([17]PRIORIZADOS!A44="","",[17]PRIORIZADOS!A44)</f>
        <v>2580</v>
      </c>
      <c r="B2596" s="70">
        <v>5</v>
      </c>
      <c r="C2596" s="11" t="str">
        <f>IFERROR(IF(VLOOKUP(A2596,[17]PRIORIZADOS!$A:$C,3,FALSE)="","",VLOOKUP(A2596,[17]PRIORIZADOS!$A:$C,3,FALSE)),"")</f>
        <v>USAQUÉN</v>
      </c>
      <c r="D2596" s="11" t="str">
        <f>IFERROR(IF(VLOOKUP(A2596,[17]PRIORIZADOS!$A:$D,4,FALSE)="","",VLOOKUP(A2596,[17]PRIORIZADOS!$A:$D,4,FALSE)),"")</f>
        <v>PRIVADO</v>
      </c>
      <c r="E2596" s="11" t="str">
        <f>IFERROR(IF(VLOOKUP(A2596,[17]PRIORIZADOS!$A:$E,5,FALSE)="","",VLOOKUP(A2596,[17]PRIORIZADOS!$A:$E,5,FALSE)),"")</f>
        <v>EPBM</v>
      </c>
      <c r="F2596" s="11" t="str">
        <f>IFERROR(IF(VLOOKUP(A2596,[17]PRIORIZADOS!$A:$F,6,FALSE)="","",VLOOKUP(A2596,[17]PRIORIZADOS!$A:$F,6,FALSE)),"")</f>
        <v>LICEO_PSICOPEDAGOGICO_TIBABITA</v>
      </c>
      <c r="G2596" s="11" t="str">
        <f>IFERROR(IF(VLOOKUP(A2596,[17]PRIORIZADOS!$A:$G,7,FALSE)="","",VLOOKUP(A2596,[17]PRIORIZADOS!$A:$G,7,FALSE)),"")</f>
        <v>LICEO PSICOPEDAGOGICO TIBABITA</v>
      </c>
      <c r="H2596" s="11" t="str">
        <f>IFERROR(IF(VLOOKUP(A2596,[17]PRIORIZADOS!$A:$H,8,FALSE)="","",VLOOKUP(A2596,[17]PRIORIZADOS!$A:$H,8,FALSE)),"")</f>
        <v>Autoevaluación Institucional y Pruebas SABER 11</v>
      </c>
      <c r="I2596" s="11" t="str">
        <f>IFERROR(IF(VLOOKUP(A2596,[17]PRIORIZADOS!$A:$I,9,FALSE)="","",VLOOKUP(A2596,[17]PRIORIZADOS!$A:$I,9,FALSE)),"")</f>
        <v>SEGUIMIENTO_Y_SUPERVISIÓN.</v>
      </c>
      <c r="J2596" s="11" t="str">
        <f>IFERROR(IF(VLOOKUP(A2596,[17]PRIORIZADOS!$A:$J,10,FALSE)="","",VLOOKUP(A2596,[17]PRIORIZADOS!$A:$J,10,FALSE)),"")</f>
        <v>Proponer estrategias en la formulación, verificar su elaboración y realizar seguimiento semestral al desarrollo de  las acciones establecidas en los planes de mejoramiento por pruebas SABER 11 de los establecimientos de educación formal.</v>
      </c>
      <c r="K2596" s="11" t="str">
        <f>IFERROR(IF(VLOOKUP(A2596,[17]PRIORIZADOS!$A:$K,11,FALSE)="","",VLOOKUP(A2596,[17]PRIORIZADOS!$A:$K,11,FALSE)),"")</f>
        <v>MARIA TERESA GAVIRIA LOZANO</v>
      </c>
      <c r="L2596" s="11" t="str">
        <f>IFERROR(IF(VLOOKUP(A2596,[17]PRIORIZADOS!$A:$L,12,FALSE)="","",VLOOKUP(A2596,[17]PRIORIZADOS!$A:$L,12,FALSE)),"")</f>
        <v>MARTHA CECILIA MELGAREJO PINTO</v>
      </c>
      <c r="M2596" s="71">
        <f>IFERROR(IF(VLOOKUP(A2596,[17]PRIORIZADOS!$A:$M,13,FALSE)="","",VLOOKUP(A2596,[17]PRIORIZADOS!$A:$M,13,FALSE)),"")</f>
        <v>45807</v>
      </c>
      <c r="N2596" s="71">
        <f>IFERROR(IF(VLOOKUP(A2596,[17]PRIORIZADOS!$A:$N,14,FALSE)="","",VLOOKUP(A2596,[17]PRIORIZADOS!$A:$N,14,FALSE)),"")</f>
        <v>45807</v>
      </c>
      <c r="O2596" s="71">
        <f>IFERROR(IF(VLOOKUP(A2596,[17]PRIORIZADOS!$A:$O,15,FALSE)="","",VLOOKUP(A2596,[17]PRIORIZADOS!$A:$O,15,FALSE)),"")</f>
        <v>45807</v>
      </c>
      <c r="P2596" s="11" t="str">
        <f>IFERROR(IF(VLOOKUP(A2596,[17]PRIORIZADOS!$A:$P,16,FALSE)="","",VLOOKUP(A2596,[17]PRIORIZADOS!$A:$P,16,FALSE)),"")</f>
        <v>Visitas de evaluación con fines de seguimiento</v>
      </c>
      <c r="Q2596" s="107" t="s">
        <v>507</v>
      </c>
      <c r="R2596" s="11" t="str">
        <f>IFERROR(IF(VLOOKUP(A2596,[17]PRIORIZADOS!$A:$R,18,FALSE)="","",VLOOKUP(A2596,[17]PRIORIZADOS!$A:$R,18,FALSE)),"")</f>
        <v xml:space="preserve">La Institución diseño un plan de mejoramiento despues de realizar simulacro de abril de 2025,  donde  se identificaron las áreas a mejorar. </v>
      </c>
      <c r="S2596" s="11" t="str">
        <f>IFERROR(IF(VLOOKUP(A2596,[17]PRIORIZADOS!$A:$S,19,FALSE)="","",VLOOKUP(A2596,[17]PRIORIZADOS!$A:$S,19,FALSE)),"")</f>
        <v>La I.E. continuará desarrollando talleres de lectura, cuestionarios de entrenamiento y desde el Plan Lector y textos, los talleres literarios, el analisis de preguntas, para el desarrollo de la  logica, el  pensamiento critico,</v>
      </c>
      <c r="T2596" s="70" t="str">
        <f>IFERROR(IF(VLOOKUP(A2596,[17]PRIORIZADOS!$A:$T,20,FALSE)="","",VLOOKUP(A2596,[17]PRIORIZADOS!$A:$T,20,FALSE)),"")</f>
        <v>Si</v>
      </c>
      <c r="U2596" s="11" t="str">
        <f>IFERROR(IF(VLOOKUP(A2596,[17]PRIORIZADOS!$A:$U,21,FALSE)="","",VLOOKUP(A2596,[17]PRIORIZADOS!$A:$U,21,FALSE)),"")</f>
        <v>Verificar la implementación del plan de mejoramiento definido.</v>
      </c>
    </row>
    <row r="2597" spans="1:21" s="1" customFormat="1" ht="60">
      <c r="A2597" s="69">
        <f>IF([17]PRIORIZADOS!A45="","",[17]PRIORIZADOS!A45)</f>
        <v>2581</v>
      </c>
      <c r="B2597" s="70">
        <v>5</v>
      </c>
      <c r="C2597" s="11" t="str">
        <f>IFERROR(IF(VLOOKUP(A2597,[17]PRIORIZADOS!$A:$C,3,FALSE)="","",VLOOKUP(A2597,[17]PRIORIZADOS!$A:$C,3,FALSE)),"")</f>
        <v>USAQUÉN</v>
      </c>
      <c r="D2597" s="11" t="str">
        <f>IFERROR(IF(VLOOKUP(A2597,[17]PRIORIZADOS!$A:$D,4,FALSE)="","",VLOOKUP(A2597,[17]PRIORIZADOS!$A:$D,4,FALSE)),"")</f>
        <v>PRIVADO</v>
      </c>
      <c r="E2597" s="11" t="str">
        <f>IFERROR(IF(VLOOKUP(A2597,[17]PRIORIZADOS!$A:$E,5,FALSE)="","",VLOOKUP(A2597,[17]PRIORIZADOS!$A:$E,5,FALSE)),"")</f>
        <v>EPBM</v>
      </c>
      <c r="F2597" s="11" t="str">
        <f>IFERROR(IF(VLOOKUP(A2597,[17]PRIORIZADOS!$A:$F,6,FALSE)="","",VLOOKUP(A2597,[17]PRIORIZADOS!$A:$F,6,FALSE)),"")</f>
        <v>LICEO_PSICOPEDAGOGICO_TIBABITA</v>
      </c>
      <c r="G2597" s="11" t="str">
        <f>IFERROR(IF(VLOOKUP(A2597,[17]PRIORIZADOS!$A:$G,7,FALSE)="","",VLOOKUP(A2597,[17]PRIORIZADOS!$A:$G,7,FALSE)),"")</f>
        <v>LICEO PSICOPEDAGOGICO TIBABITA</v>
      </c>
      <c r="H2597" s="11" t="str">
        <f>IFERROR(IF(VLOOKUP(A2597,[17]PRIORIZADOS!$A:$H,8,FALSE)="","",VLOOKUP(A2597,[17]PRIORIZADOS!$A:$H,8,FALSE)),"")</f>
        <v>Autoevaluación Institucional y Pruebas SABER 11</v>
      </c>
      <c r="I2597" s="11" t="str">
        <f>IFERROR(IF(VLOOKUP(A2597,[17]PRIORIZADOS!$A:$I,9,FALSE)="","",VLOOKUP(A2597,[17]PRIORIZADOS!$A:$I,9,FALSE)),"")</f>
        <v>SEGUIMIENTO_Y_SUPERVISIÓN.</v>
      </c>
      <c r="J2597" s="11" t="str">
        <f>IFERROR(IF(VLOOKUP(A2597,[17]PRIORIZADOS!$A:$J,10,FALSE)="","",VLOOKUP(A2597,[17]PRIORIZADOS!$A:$J,10,FALSE)),"")</f>
        <v xml:space="preserve">Verificar la implementación por parte de los colegios, de acciones realizadas para la prevención y atención de las situaciones de convivencia en el entorno escolar, según lo establecido en la Directiva 01 de 2022 del MEN. </v>
      </c>
      <c r="K2597" s="11" t="str">
        <f>IFERROR(IF(VLOOKUP(A2597,[17]PRIORIZADOS!$A:$K,11,FALSE)="","",VLOOKUP(A2597,[17]PRIORIZADOS!$A:$K,11,FALSE)),"")</f>
        <v>MARIA TERESA GAVIRIA LOZANO</v>
      </c>
      <c r="L2597" s="11" t="str">
        <f>IFERROR(IF(VLOOKUP(A2597,[17]PRIORIZADOS!$A:$L,12,FALSE)="","",VLOOKUP(A2597,[17]PRIORIZADOS!$A:$L,12,FALSE)),"")</f>
        <v>MARTHA CECILIA MELGAREJO PINTO</v>
      </c>
      <c r="M2597" s="71">
        <f>IFERROR(IF(VLOOKUP(A2597,[17]PRIORIZADOS!$A:$M,13,FALSE)="","",VLOOKUP(A2597,[17]PRIORIZADOS!$A:$M,13,FALSE)),"")</f>
        <v>45807</v>
      </c>
      <c r="N2597" s="71">
        <f>IFERROR(IF(VLOOKUP(A2597,[17]PRIORIZADOS!$A:$N,14,FALSE)="","",VLOOKUP(A2597,[17]PRIORIZADOS!$A:$N,14,FALSE)),"")</f>
        <v>45807</v>
      </c>
      <c r="O2597" s="71">
        <f>IFERROR(IF(VLOOKUP(A2597,[17]PRIORIZADOS!$A:$O,15,FALSE)="","",VLOOKUP(A2597,[17]PRIORIZADOS!$A:$O,15,FALSE)),"")</f>
        <v>45807</v>
      </c>
      <c r="P2597" s="11" t="str">
        <f>IFERROR(IF(VLOOKUP(A2597,[17]PRIORIZADOS!$A:$P,16,FALSE)="","",VLOOKUP(A2597,[17]PRIORIZADOS!$A:$P,16,FALSE)),"")</f>
        <v>Visitas de evaluación con fines de seguimiento</v>
      </c>
      <c r="Q2597" s="107" t="s">
        <v>507</v>
      </c>
      <c r="R2597" s="11" t="str">
        <f>IFERROR(IF(VLOOKUP(A2597,[17]PRIORIZADOS!$A:$R,18,FALSE)="","",VLOOKUP(A2597,[17]PRIORIZADOS!$A:$R,18,FALSE)),"")</f>
        <v xml:space="preserve">Se realiza la consulta de inhabilidades para todo el personal vincuado. Se implementan acciones de prevencion y promoción  para minimizar la ocurrencia de situaciones de violencia contra los estudiantes </v>
      </c>
      <c r="S2597" s="11" t="str">
        <f>IFERROR(IF(VLOOKUP(A2597,[17]PRIORIZADOS!$A:$S,19,FALSE)="","",VLOOKUP(A2597,[17]PRIORIZADOS!$A:$S,19,FALSE)),"")</f>
        <v xml:space="preserve">La institucion educativa continuará realizando las acciones de prevención y promocion y la actualización de la consulta de inhabilidades en los téminos dispuestos </v>
      </c>
      <c r="T2597" s="70" t="str">
        <f>IFERROR(IF(VLOOKUP(A2597,[17]PRIORIZADOS!$A:$T,20,FALSE)="","",VLOOKUP(A2597,[17]PRIORIZADOS!$A:$T,20,FALSE)),"")</f>
        <v>No</v>
      </c>
      <c r="U2597" s="11" t="str">
        <f>IFERROR(IF(VLOOKUP(A2597,[17]PRIORIZADOS!$A:$U,21,FALSE)="","",VLOOKUP(A2597,[17]PRIORIZADOS!$A:$U,21,FALSE)),"")</f>
        <v xml:space="preserve">Verificar la continuidad de las acciones   de prevención y promoción </v>
      </c>
    </row>
    <row r="2598" spans="1:21" s="1" customFormat="1" ht="72">
      <c r="A2598" s="69">
        <f>IF([17]PRIORIZADOS!A46="","",[17]PRIORIZADOS!A46)</f>
        <v>2582</v>
      </c>
      <c r="B2598" s="70">
        <v>5</v>
      </c>
      <c r="C2598" s="11" t="str">
        <f>IFERROR(IF(VLOOKUP(A2598,[17]PRIORIZADOS!$A:$C,3,FALSE)="","",VLOOKUP(A2598,[17]PRIORIZADOS!$A:$C,3,FALSE)),"")</f>
        <v>USAQUÉN</v>
      </c>
      <c r="D2598" s="11" t="str">
        <f>IFERROR(IF(VLOOKUP(A2598,[17]PRIORIZADOS!$A:$D,4,FALSE)="","",VLOOKUP(A2598,[17]PRIORIZADOS!$A:$D,4,FALSE)),"")</f>
        <v>PRIVADO</v>
      </c>
      <c r="E2598" s="11" t="str">
        <f>IFERROR(IF(VLOOKUP(A2598,[17]PRIORIZADOS!$A:$E,5,FALSE)="","",VLOOKUP(A2598,[17]PRIORIZADOS!$A:$E,5,FALSE)),"")</f>
        <v>EPBM</v>
      </c>
      <c r="F2598" s="11" t="str">
        <f>IFERROR(IF(VLOOKUP(A2598,[17]PRIORIZADOS!$A:$F,6,FALSE)="","",VLOOKUP(A2598,[17]PRIORIZADOS!$A:$F,6,FALSE)),"")</f>
        <v>LICEO_PSICOPEDAGOGICO_TIBABITA</v>
      </c>
      <c r="G2598" s="11" t="str">
        <f>IFERROR(IF(VLOOKUP(A2598,[17]PRIORIZADOS!$A:$G,7,FALSE)="","",VLOOKUP(A2598,[17]PRIORIZADOS!$A:$G,7,FALSE)),"")</f>
        <v>LICEO PSICOPEDAGOGICO TIBABITA</v>
      </c>
      <c r="H2598" s="11" t="str">
        <f>IFERROR(IF(VLOOKUP(A2598,[17]PRIORIZADOS!$A:$H,8,FALSE)="","",VLOOKUP(A2598,[17]PRIORIZADOS!$A:$H,8,FALSE)),"")</f>
        <v>Autoevaluación Institucional y Pruebas SABER 11</v>
      </c>
      <c r="I2598" s="11" t="str">
        <f>IFERROR(IF(VLOOKUP(A2598,[17]PRIORIZADOS!$A:$I,9,FALSE)="","",VLOOKUP(A2598,[17]PRIORIZADOS!$A:$I,9,FALSE)),"")</f>
        <v>SEGUIMIENTO_Y_SUPERVISIÓN.</v>
      </c>
      <c r="J2598" s="11" t="str">
        <f>IFERROR(IF(VLOOKUP(A2598,[17]PRIORIZADOS!$A:$J,10,FALSE)="","",VLOOKUP(A2598,[17]PRIORIZADOS!$A:$J,10,FALSE)),"")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598" s="11" t="str">
        <f>IFERROR(IF(VLOOKUP(A2598,[17]PRIORIZADOS!$A:$K,11,FALSE)="","",VLOOKUP(A2598,[17]PRIORIZADOS!$A:$K,11,FALSE)),"")</f>
        <v>MARIA TERESA GAVIRIA LOZANO</v>
      </c>
      <c r="L2598" s="11" t="str">
        <f>IFERROR(IF(VLOOKUP(A2598,[17]PRIORIZADOS!$A:$L,12,FALSE)="","",VLOOKUP(A2598,[17]PRIORIZADOS!$A:$L,12,FALSE)),"")</f>
        <v>MARTHA CECILIA MELGAREJO PINTO</v>
      </c>
      <c r="M2598" s="71">
        <f>IFERROR(IF(VLOOKUP(A2598,[17]PRIORIZADOS!$A:$M,13,FALSE)="","",VLOOKUP(A2598,[17]PRIORIZADOS!$A:$M,13,FALSE)),"")</f>
        <v>45807</v>
      </c>
      <c r="N2598" s="71">
        <f>IFERROR(IF(VLOOKUP(A2598,[17]PRIORIZADOS!$A:$N,14,FALSE)="","",VLOOKUP(A2598,[17]PRIORIZADOS!$A:$N,14,FALSE)),"")</f>
        <v>45807</v>
      </c>
      <c r="O2598" s="71">
        <f>IFERROR(IF(VLOOKUP(A2598,[17]PRIORIZADOS!$A:$O,15,FALSE)="","",VLOOKUP(A2598,[17]PRIORIZADOS!$A:$O,15,FALSE)),"")</f>
        <v>45807</v>
      </c>
      <c r="P2598" s="11" t="str">
        <f>IFERROR(IF(VLOOKUP(A2598,[17]PRIORIZADOS!$A:$P,16,FALSE)="","",VLOOKUP(A2598,[17]PRIORIZADOS!$A:$P,16,FALSE)),"")</f>
        <v>Visitas de evaluación con fines de seguimiento</v>
      </c>
      <c r="Q2598" s="107" t="s">
        <v>507</v>
      </c>
      <c r="R2598" s="11" t="str">
        <f>IFERROR(IF(VLOOKUP(A2598,[17]PRIORIZADOS!$A:$R,18,FALSE)="","",VLOOKUP(A2598,[17]PRIORIZADOS!$A:$R,18,FALSE)),"")</f>
        <v>La institución edcuativa no cuenta con estudiantes con discapacidad,y/o trastornos de aprendizaje</v>
      </c>
      <c r="S2598" s="11" t="str">
        <f>IFERROR(IF(VLOOKUP(A2598,[17]PRIORIZADOS!$A:$S,19,FALSE)="","",VLOOKUP(A2598,[17]PRIORIZADOS!$A:$S,19,FALSE)),"")</f>
        <v xml:space="preserve">El colegio ante la identificación  y caracterización de estudiantes con discapacidad y problemas de apendizaje, diseñara e implementará los Planes Individuales de  Ajuste Razonable  </v>
      </c>
      <c r="T2598" s="70" t="str">
        <f>IFERROR(IF(VLOOKUP(A2598,[17]PRIORIZADOS!$A:$T,20,FALSE)="","",VLOOKUP(A2598,[17]PRIORIZADOS!$A:$T,20,FALSE)),"")</f>
        <v>No</v>
      </c>
      <c r="U2598" s="11" t="str">
        <f>IFERROR(IF(VLOOKUP(A2598,[17]PRIORIZADOS!$A:$U,21,FALSE)="","",VLOOKUP(A2598,[17]PRIORIZADOS!$A:$U,21,FALSE)),"")</f>
        <v>Verificar los PIAR, cuando se requieran</v>
      </c>
    </row>
    <row r="2599" spans="1:21" s="1" customFormat="1" ht="96">
      <c r="A2599" s="69">
        <f>IF([17]PRIORIZADOS!A47="","",[17]PRIORIZADOS!A47)</f>
        <v>2583</v>
      </c>
      <c r="B2599" s="70">
        <v>5</v>
      </c>
      <c r="C2599" s="11" t="str">
        <f>IFERROR(IF(VLOOKUP(A2599,[17]PRIORIZADOS!$A:$C,3,FALSE)="","",VLOOKUP(A2599,[17]PRIORIZADOS!$A:$C,3,FALSE)),"")</f>
        <v>USAQUÉN</v>
      </c>
      <c r="D2599" s="11" t="str">
        <f>IFERROR(IF(VLOOKUP(A2599,[17]PRIORIZADOS!$A:$D,4,FALSE)="","",VLOOKUP(A2599,[17]PRIORIZADOS!$A:$D,4,FALSE)),"")</f>
        <v>PRIVADO</v>
      </c>
      <c r="E2599" s="11" t="str">
        <f>IFERROR(IF(VLOOKUP(A2599,[17]PRIORIZADOS!$A:$E,5,FALSE)="","",VLOOKUP(A2599,[17]PRIORIZADOS!$A:$E,5,FALSE)),"")</f>
        <v>EPBM</v>
      </c>
      <c r="F2599" s="11" t="str">
        <f>IFERROR(IF(VLOOKUP(A2599,[17]PRIORIZADOS!$A:$F,6,FALSE)="","",VLOOKUP(A2599,[17]PRIORIZADOS!$A:$F,6,FALSE)),"")</f>
        <v>LICEO_PSICOPEDAGOGICO_TIBABITA</v>
      </c>
      <c r="G2599" s="11" t="str">
        <f>IFERROR(IF(VLOOKUP(A2599,[17]PRIORIZADOS!$A:$G,7,FALSE)="","",VLOOKUP(A2599,[17]PRIORIZADOS!$A:$G,7,FALSE)),"")</f>
        <v>LICEO PSICOPEDAGOGICO TIBABITA</v>
      </c>
      <c r="H2599" s="11" t="str">
        <f>IFERROR(IF(VLOOKUP(A2599,[17]PRIORIZADOS!$A:$H,8,FALSE)="","",VLOOKUP(A2599,[17]PRIORIZADOS!$A:$H,8,FALSE)),"")</f>
        <v>Autoevaluación Institucional y Pruebas SABER 11</v>
      </c>
      <c r="I2599" s="11" t="str">
        <f>IFERROR(IF(VLOOKUP(A2599,[17]PRIORIZADOS!$A:$I,9,FALSE)="","",VLOOKUP(A2599,[17]PRIORIZADOS!$A:$I,9,FALSE)),"")</f>
        <v>EVALUACIÓN_CON_FINES_DE_MEJORAMIENTO.</v>
      </c>
      <c r="J2599" s="11" t="str">
        <f>IFERROR(IF(VLOOKUP(A2599,[17]PRIORIZADOS!$A:$J,10,FALSE)="","",VLOOKUP(A2599,[17]PRIORIZADOS!$A:$J,10,FALSE)),"")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599" s="11" t="str">
        <f>IFERROR(IF(VLOOKUP(A2599,[17]PRIORIZADOS!$A:$K,11,FALSE)="","",VLOOKUP(A2599,[17]PRIORIZADOS!$A:$K,11,FALSE)),"")</f>
        <v>MARIA TERESA GAVIRIA LOZANO</v>
      </c>
      <c r="L2599" s="11" t="str">
        <f>IFERROR(IF(VLOOKUP(A2599,[17]PRIORIZADOS!$A:$L,12,FALSE)="","",VLOOKUP(A2599,[17]PRIORIZADOS!$A:$L,12,FALSE)),"")</f>
        <v>MARTHA CECILIA MELGAREJO PINTO</v>
      </c>
      <c r="M2599" s="71">
        <f>IFERROR(IF(VLOOKUP(A2599,[17]PRIORIZADOS!$A:$M,13,FALSE)="","",VLOOKUP(A2599,[17]PRIORIZADOS!$A:$M,13,FALSE)),"")</f>
        <v>45807</v>
      </c>
      <c r="N2599" s="71">
        <f>IFERROR(IF(VLOOKUP(A2599,[17]PRIORIZADOS!$A:$N,14,FALSE)="","",VLOOKUP(A2599,[17]PRIORIZADOS!$A:$N,14,FALSE)),"")</f>
        <v>45807</v>
      </c>
      <c r="O2599" s="71">
        <f>IFERROR(IF(VLOOKUP(A2599,[17]PRIORIZADOS!$A:$O,15,FALSE)="","",VLOOKUP(A2599,[17]PRIORIZADOS!$A:$O,15,FALSE)),"")</f>
        <v>45807</v>
      </c>
      <c r="P2599" s="11" t="str">
        <f>IFERROR(IF(VLOOKUP(A2599,[17]PRIORIZADOS!$A:$P,16,FALSE)="","",VLOOKUP(A2599,[17]PRIORIZADOS!$A:$P,16,FALSE)),"")</f>
        <v>Visitas de evaluación con fines de mejoramiento</v>
      </c>
      <c r="Q2599" s="107" t="s">
        <v>507</v>
      </c>
      <c r="R2599" s="11" t="str">
        <f>IFERROR(IF(VLOOKUP(A2599,[17]PRIORIZADOS!$A:$R,18,FALSE)="","",VLOOKUP(A2599,[17]PRIORIZADOS!$A:$R,18,FALSE)),"")</f>
        <v>El documento no contiene algunos elementos establecidos en la normatividad , en especial los procedimientos para  la gestión oportuna de conflictos  con justicia restaurativa y la formación de mediadores y conciliadores</v>
      </c>
      <c r="S2599" s="11" t="str">
        <f>IFERROR(IF(VLOOKUP(A2599,[17]PRIORIZADOS!$A:$S,19,FALSE)="","",VLOOKUP(A2599,[17]PRIORIZADOS!$A:$S,19,FALSE)),"")</f>
        <v>El colegio realizará el procedimiento participativo con la comunidad educativa para realizar los ajustes y actualización del documento M.C.
La Institución  realizará el Plan de acción  para las lineas pedagógicos y convivenciales, el cual contendrá aspectos de ejecución y evidencia de su evaluación.</v>
      </c>
      <c r="T2599" s="70" t="str">
        <f>IFERROR(IF(VLOOKUP(A2599,[17]PRIORIZADOS!$A:$T,20,FALSE)="","",VLOOKUP(A2599,[17]PRIORIZADOS!$A:$T,20,FALSE)),"")</f>
        <v>Si</v>
      </c>
      <c r="U2599" s="11" t="str">
        <f>IFERROR(IF(VLOOKUP(A2599,[17]PRIORIZADOS!$A:$U,21,FALSE)="","",VLOOKUP(A2599,[17]PRIORIZADOS!$A:$U,21,FALSE)),"")</f>
        <v>Constatación  de la actualización del documento  y del plan de acción mediante la revisión  de la nueva versión</v>
      </c>
    </row>
    <row r="2600" spans="1:21" s="1" customFormat="1" ht="48">
      <c r="A2600" s="69">
        <f>IF([17]PRIORIZADOS!A48="","",[17]PRIORIZADOS!A48)</f>
        <v>2584</v>
      </c>
      <c r="B2600" s="70">
        <v>5</v>
      </c>
      <c r="C2600" s="11" t="str">
        <f>IFERROR(IF(VLOOKUP(A2600,[17]PRIORIZADOS!$A:$C,3,FALSE)="","",VLOOKUP(A2600,[17]PRIORIZADOS!$A:$C,3,FALSE)),"")</f>
        <v>USAQUÉN</v>
      </c>
      <c r="D2600" s="11" t="str">
        <f>IFERROR(IF(VLOOKUP(A2600,[17]PRIORIZADOS!$A:$D,4,FALSE)="","",VLOOKUP(A2600,[17]PRIORIZADOS!$A:$D,4,FALSE)),"")</f>
        <v>PRIVADO</v>
      </c>
      <c r="E2600" s="11" t="str">
        <f>IFERROR(IF(VLOOKUP(A2600,[17]PRIORIZADOS!$A:$E,5,FALSE)="","",VLOOKUP(A2600,[17]PRIORIZADOS!$A:$E,5,FALSE)),"")</f>
        <v>EPBM</v>
      </c>
      <c r="F2600" s="11" t="str">
        <f>IFERROR(IF(VLOOKUP(A2600,[17]PRIORIZADOS!$A:$F,6,FALSE)="","",VLOOKUP(A2600,[17]PRIORIZADOS!$A:$F,6,FALSE)),"")</f>
        <v>LICEO_PSICOPEDAGOGICO_TIBABITA</v>
      </c>
      <c r="G2600" s="11" t="str">
        <f>IFERROR(IF(VLOOKUP(A2600,[17]PRIORIZADOS!$A:$G,7,FALSE)="","",VLOOKUP(A2600,[17]PRIORIZADOS!$A:$G,7,FALSE)),"")</f>
        <v>LICEO PSICOPEDAGOGICO TIBABITA</v>
      </c>
      <c r="H2600" s="11" t="str">
        <f>IFERROR(IF(VLOOKUP(A2600,[17]PRIORIZADOS!$A:$H,8,FALSE)="","",VLOOKUP(A2600,[17]PRIORIZADOS!$A:$H,8,FALSE)),"")</f>
        <v>Autoevaluación Institucional y Pruebas SABER 11</v>
      </c>
      <c r="I2600" s="11" t="str">
        <f>IFERROR(IF(VLOOKUP(A2600,[17]PRIORIZADOS!$A:$I,9,FALSE)="","",VLOOKUP(A2600,[17]PRIORIZADOS!$A:$I,9,FALSE)),"")</f>
        <v>EVALUACIÓN_CON_FINES_DE_MEJORAMIENTO.</v>
      </c>
      <c r="J2600" s="11" t="str">
        <f>IFERROR(IF(VLOOKUP(A2600,[17]PRIORIZADOS!$A:$J,10,FALSE)="","",VLOOKUP(A2600,[17]PRIORIZADOS!$A:$J,10,FALSE)),"")</f>
        <v>Revisar la actualización, socialización e implementación del Sistema Institucional de Evaluación de Estudiantes - SIEE, en articulación con la actualización del PEI y la normatividad vigente.</v>
      </c>
      <c r="K2600" s="11" t="str">
        <f>IFERROR(IF(VLOOKUP(A2600,[17]PRIORIZADOS!$A:$K,11,FALSE)="","",VLOOKUP(A2600,[17]PRIORIZADOS!$A:$K,11,FALSE)),"")</f>
        <v>MARIA TERESA GAVIRIA LOZANO</v>
      </c>
      <c r="L2600" s="11" t="str">
        <f>IFERROR(IF(VLOOKUP(A2600,[17]PRIORIZADOS!$A:$L,12,FALSE)="","",VLOOKUP(A2600,[17]PRIORIZADOS!$A:$L,12,FALSE)),"")</f>
        <v>MARTHA CECILIA MELGAREJO PINTO</v>
      </c>
      <c r="M2600" s="71">
        <f>IFERROR(IF(VLOOKUP(A2600,[17]PRIORIZADOS!$A:$M,13,FALSE)="","",VLOOKUP(A2600,[17]PRIORIZADOS!$A:$M,13,FALSE)),"")</f>
        <v>45807</v>
      </c>
      <c r="N2600" s="71">
        <f>IFERROR(IF(VLOOKUP(A2600,[17]PRIORIZADOS!$A:$N,14,FALSE)="","",VLOOKUP(A2600,[17]PRIORIZADOS!$A:$N,14,FALSE)),"")</f>
        <v>45807</v>
      </c>
      <c r="O2600" s="71">
        <f>IFERROR(IF(VLOOKUP(A2600,[17]PRIORIZADOS!$A:$O,15,FALSE)="","",VLOOKUP(A2600,[17]PRIORIZADOS!$A:$O,15,FALSE)),"")</f>
        <v>45807</v>
      </c>
      <c r="P2600" s="11" t="str">
        <f>IFERROR(IF(VLOOKUP(A2600,[17]PRIORIZADOS!$A:$P,16,FALSE)="","",VLOOKUP(A2600,[17]PRIORIZADOS!$A:$P,16,FALSE)),"")</f>
        <v>Visitas de evaluación con fines de mejoramiento</v>
      </c>
      <c r="Q2600" s="107" t="s">
        <v>507</v>
      </c>
      <c r="R2600" s="11" t="str">
        <f>IFERROR(IF(VLOOKUP(A2600,[17]PRIORIZADOS!$A:$R,18,FALSE)="","",VLOOKUP(A2600,[17]PRIORIZADOS!$A:$R,18,FALSE)),"")</f>
        <v>El SIEE cuenta con  estrategias de apoyo para resolver situciones pedagógicas y para nivelar y mejorar el aprendizaje de los estudiantes</v>
      </c>
      <c r="S2600" s="11" t="str">
        <f>IFERROR(IF(VLOOKUP(A2600,[17]PRIORIZADOS!$A:$S,19,FALSE)="","",VLOOKUP(A2600,[17]PRIORIZADOS!$A:$S,19,FALSE)),"")</f>
        <v>El colegio continuará implementando las estrategias para apoyar a los estudiantes en el mejoramiento de su aprendizaje</v>
      </c>
      <c r="T2600" s="70" t="str">
        <f>IFERROR(IF(VLOOKUP(A2600,[17]PRIORIZADOS!$A:$T,20,FALSE)="","",VLOOKUP(A2600,[17]PRIORIZADOS!$A:$T,20,FALSE)),"")</f>
        <v>No</v>
      </c>
      <c r="U2600" s="11" t="str">
        <f>IFERROR(IF(VLOOKUP(A2600,[17]PRIORIZADOS!$A:$U,21,FALSE)="","",VLOOKUP(A2600,[17]PRIORIZADOS!$A:$U,21,FALSE)),"")</f>
        <v xml:space="preserve">Verificación de la implementación de las estrategias de apoyo y de la actualización  de este como parte integrante del PEI  </v>
      </c>
    </row>
    <row r="2601" spans="1:21" s="1" customFormat="1" ht="48">
      <c r="A2601" s="69">
        <f>IF([17]PRIORIZADOS!A49="","",[17]PRIORIZADOS!A49)</f>
        <v>2585</v>
      </c>
      <c r="B2601" s="70">
        <v>5</v>
      </c>
      <c r="C2601" s="11" t="str">
        <f>IFERROR(IF(VLOOKUP(A2601,[17]PRIORIZADOS!$A:$C,3,FALSE)="","",VLOOKUP(A2601,[17]PRIORIZADOS!$A:$C,3,FALSE)),"")</f>
        <v>USAQUÉN</v>
      </c>
      <c r="D2601" s="11" t="str">
        <f>IFERROR(IF(VLOOKUP(A2601,[17]PRIORIZADOS!$A:$D,4,FALSE)="","",VLOOKUP(A2601,[17]PRIORIZADOS!$A:$D,4,FALSE)),"")</f>
        <v>PRIVADO</v>
      </c>
      <c r="E2601" s="11" t="str">
        <f>IFERROR(IF(VLOOKUP(A2601,[17]PRIORIZADOS!$A:$E,5,FALSE)="","",VLOOKUP(A2601,[17]PRIORIZADOS!$A:$E,5,FALSE)),"")</f>
        <v>EPBM</v>
      </c>
      <c r="F2601" s="11" t="str">
        <f>IFERROR(IF(VLOOKUP(A2601,[17]PRIORIZADOS!$A:$F,6,FALSE)="","",VLOOKUP(A2601,[17]PRIORIZADOS!$A:$F,6,FALSE)),"")</f>
        <v>LICEO_PSICOPEDAGOGICO_TIBABITA</v>
      </c>
      <c r="G2601" s="11" t="str">
        <f>IFERROR(IF(VLOOKUP(A2601,[17]PRIORIZADOS!$A:$G,7,FALSE)="","",VLOOKUP(A2601,[17]PRIORIZADOS!$A:$G,7,FALSE)),"")</f>
        <v>LICEO PSICOPEDAGOGICO TIBABITA</v>
      </c>
      <c r="H2601" s="11" t="str">
        <f>IFERROR(IF(VLOOKUP(A2601,[17]PRIORIZADOS!$A:$H,8,FALSE)="","",VLOOKUP(A2601,[17]PRIORIZADOS!$A:$H,8,FALSE)),"")</f>
        <v>Autoevaluación Institucional y Pruebas SABER 11</v>
      </c>
      <c r="I2601" s="11" t="str">
        <f>IFERROR(IF(VLOOKUP(A2601,[17]PRIORIZADOS!$A:$I,9,FALSE)="","",VLOOKUP(A2601,[17]PRIORIZADOS!$A:$I,9,FALSE)),"")</f>
        <v>EVALUACIÓN_CON_FINES_DE_MEJORAMIENTO.</v>
      </c>
      <c r="J2601" s="11" t="str">
        <f>IFERROR(IF(VLOOKUP(A2601,[17]PRIORIZADOS!$A:$J,10,FALSE)="","",VLOOKUP(A2601,[17]PRIORIZADOS!$A:$J,10,FALSE)),"")</f>
        <v>Revisar el calendario escolar, jornada escolar, la intensidad horaria mínima anual en cada nivel y las modificaciones que se realicen al mismo, de acuerdo con lo previsto en la normatividad vigente.</v>
      </c>
      <c r="K2601" s="11" t="str">
        <f>IFERROR(IF(VLOOKUP(A2601,[17]PRIORIZADOS!$A:$K,11,FALSE)="","",VLOOKUP(A2601,[17]PRIORIZADOS!$A:$K,11,FALSE)),"")</f>
        <v>MARIA TERESA GAVIRIA LOZANO</v>
      </c>
      <c r="L2601" s="11" t="str">
        <f>IFERROR(IF(VLOOKUP(A2601,[17]PRIORIZADOS!$A:$L,12,FALSE)="","",VLOOKUP(A2601,[17]PRIORIZADOS!$A:$L,12,FALSE)),"")</f>
        <v>MARTHA CECILIA MELGAREJO PINTO</v>
      </c>
      <c r="M2601" s="71">
        <f>IFERROR(IF(VLOOKUP(A2601,[17]PRIORIZADOS!$A:$M,13,FALSE)="","",VLOOKUP(A2601,[17]PRIORIZADOS!$A:$M,13,FALSE)),"")</f>
        <v>45807</v>
      </c>
      <c r="N2601" s="71">
        <f>IFERROR(IF(VLOOKUP(A2601,[17]PRIORIZADOS!$A:$N,14,FALSE)="","",VLOOKUP(A2601,[17]PRIORIZADOS!$A:$N,14,FALSE)),"")</f>
        <v>45807</v>
      </c>
      <c r="O2601" s="71">
        <f>IFERROR(IF(VLOOKUP(A2601,[17]PRIORIZADOS!$A:$O,15,FALSE)="","",VLOOKUP(A2601,[17]PRIORIZADOS!$A:$O,15,FALSE)),"")</f>
        <v>45807</v>
      </c>
      <c r="P2601" s="11" t="str">
        <f>IFERROR(IF(VLOOKUP(A2601,[17]PRIORIZADOS!$A:$P,16,FALSE)="","",VLOOKUP(A2601,[17]PRIORIZADOS!$A:$P,16,FALSE)),"")</f>
        <v>Visitas de evaluación con fines de mejoramiento</v>
      </c>
      <c r="Q2601" s="107" t="s">
        <v>507</v>
      </c>
      <c r="R2601" s="11" t="str">
        <f>IFERROR(IF(VLOOKUP(A2601,[17]PRIORIZADOS!$A:$R,18,FALSE)="","",VLOOKUP(A2601,[17]PRIORIZADOS!$A:$R,18,FALSE)),"")</f>
        <v xml:space="preserve">L a I.E. presenta el calendario escolar el  cual cumple con la intensidad horaria dispuesta en la normatividad educativa </v>
      </c>
      <c r="S2601" s="11" t="str">
        <f>IFERROR(IF(VLOOKUP(A2601,[17]PRIORIZADOS!$A:$S,19,FALSE)="","",VLOOKUP(A2601,[17]PRIORIZADOS!$A:$S,19,FALSE)),"")</f>
        <v>Se continuará prestando  el servicio educativo  con la intensidad horaria dispuesta</v>
      </c>
      <c r="T2601" s="70" t="str">
        <f>IFERROR(IF(VLOOKUP(A2601,[17]PRIORIZADOS!$A:$T,20,FALSE)="","",VLOOKUP(A2601,[17]PRIORIZADOS!$A:$T,20,FALSE)),"")</f>
        <v>No</v>
      </c>
      <c r="U2601" s="11" t="str">
        <f>IFERROR(IF(VLOOKUP(A2601,[17]PRIORIZADOS!$A:$U,21,FALSE)="","",VLOOKUP(A2601,[17]PRIORIZADOS!$A:$U,21,FALSE)),"")</f>
        <v>Verificar la continuidad de la prestación del servicio educativo conforme a lo establecido por el colegio</v>
      </c>
    </row>
    <row r="2602" spans="1:21" s="1" customFormat="1" ht="48">
      <c r="A2602" s="69">
        <f>IF([17]PRIORIZADOS!A50="","",[17]PRIORIZADOS!A50)</f>
        <v>2586</v>
      </c>
      <c r="B2602" s="70">
        <v>5</v>
      </c>
      <c r="C2602" s="11" t="str">
        <f>IFERROR(IF(VLOOKUP(A2602,[17]PRIORIZADOS!$A:$C,3,FALSE)="","",VLOOKUP(A2602,[17]PRIORIZADOS!$A:$C,3,FALSE)),"")</f>
        <v>USAQUÉN</v>
      </c>
      <c r="D2602" s="11" t="str">
        <f>IFERROR(IF(VLOOKUP(A2602,[17]PRIORIZADOS!$A:$D,4,FALSE)="","",VLOOKUP(A2602,[17]PRIORIZADOS!$A:$D,4,FALSE)),"")</f>
        <v>PRIVADO</v>
      </c>
      <c r="E2602" s="11" t="str">
        <f>IFERROR(IF(VLOOKUP(A2602,[17]PRIORIZADOS!$A:$E,5,FALSE)="","",VLOOKUP(A2602,[17]PRIORIZADOS!$A:$E,5,FALSE)),"")</f>
        <v>EPBM</v>
      </c>
      <c r="F2602" s="11" t="str">
        <f>IFERROR(IF(VLOOKUP(A2602,[17]PRIORIZADOS!$A:$F,6,FALSE)="","",VLOOKUP(A2602,[17]PRIORIZADOS!$A:$F,6,FALSE)),"")</f>
        <v>LICEO_PSICOPEDAGOGICO_TIBABITA</v>
      </c>
      <c r="G2602" s="11" t="str">
        <f>IFERROR(IF(VLOOKUP(A2602,[17]PRIORIZADOS!$A:$G,7,FALSE)="","",VLOOKUP(A2602,[17]PRIORIZADOS!$A:$G,7,FALSE)),"")</f>
        <v>LICEO PSICOPEDAGOGICO TIBABITA</v>
      </c>
      <c r="H2602" s="11" t="str">
        <f>IFERROR(IF(VLOOKUP(A2602,[17]PRIORIZADOS!$A:$H,8,FALSE)="","",VLOOKUP(A2602,[17]PRIORIZADOS!$A:$H,8,FALSE)),"")</f>
        <v>Autoevaluación Institucional y Pruebas SABER 11</v>
      </c>
      <c r="I2602" s="11" t="str">
        <f>IFERROR(IF(VLOOKUP(A2602,[17]PRIORIZADOS!$A:$I,9,FALSE)="","",VLOOKUP(A2602,[17]PRIORIZADOS!$A:$I,9,FALSE)),"")</f>
        <v>EVALUACIÓN_CON_FINES_DE_MEJORAMIENTO.</v>
      </c>
      <c r="J2602" s="11" t="str">
        <f>IFERROR(IF(VLOOKUP(A2602,[17]PRIORIZADOS!$A:$J,10,FALSE)="","",VLOOKUP(A2602,[17]PRIORIZADOS!$A:$J,10,FALSE)),"")</f>
        <v>Verificar el funcionamiento del Gobierno Escolar e instancias de participación con base en la información sobre conformación reportada por la institución educativa.</v>
      </c>
      <c r="K2602" s="11" t="str">
        <f>IFERROR(IF(VLOOKUP(A2602,[17]PRIORIZADOS!$A:$K,11,FALSE)="","",VLOOKUP(A2602,[17]PRIORIZADOS!$A:$K,11,FALSE)),"")</f>
        <v>MARIA TERESA GAVIRIA LOZANO</v>
      </c>
      <c r="L2602" s="11" t="str">
        <f>IFERROR(IF(VLOOKUP(A2602,[17]PRIORIZADOS!$A:$L,12,FALSE)="","",VLOOKUP(A2602,[17]PRIORIZADOS!$A:$L,12,FALSE)),"")</f>
        <v>MARTHA CECILIA MELGAREJO PINTO</v>
      </c>
      <c r="M2602" s="71">
        <f>IFERROR(IF(VLOOKUP(A2602,[17]PRIORIZADOS!$A:$M,13,FALSE)="","",VLOOKUP(A2602,[17]PRIORIZADOS!$A:$M,13,FALSE)),"")</f>
        <v>45807</v>
      </c>
      <c r="N2602" s="71">
        <f>IFERROR(IF(VLOOKUP(A2602,[17]PRIORIZADOS!$A:$N,14,FALSE)="","",VLOOKUP(A2602,[17]PRIORIZADOS!$A:$N,14,FALSE)),"")</f>
        <v>45807</v>
      </c>
      <c r="O2602" s="71">
        <f>IFERROR(IF(VLOOKUP(A2602,[17]PRIORIZADOS!$A:$O,15,FALSE)="","",VLOOKUP(A2602,[17]PRIORIZADOS!$A:$O,15,FALSE)),"")</f>
        <v>45807</v>
      </c>
      <c r="P2602" s="11" t="str">
        <f>IFERROR(IF(VLOOKUP(A2602,[17]PRIORIZADOS!$A:$P,16,FALSE)="","",VLOOKUP(A2602,[17]PRIORIZADOS!$A:$P,16,FALSE)),"")</f>
        <v>Visitas de evaluación con fines de mejoramiento</v>
      </c>
      <c r="Q2602" s="107" t="s">
        <v>507</v>
      </c>
      <c r="R2602" s="11" t="str">
        <f>IFERROR(IF(VLOOKUP(A2602,[17]PRIORIZADOS!$A:$R,18,FALSE)="","",VLOOKUP(A2602,[17]PRIORIZADOS!$A:$R,18,FALSE)),"")</f>
        <v xml:space="preserve">El  gobierno escolar y las instancias de participación se encuentran conformadas e instaladas de acuerdo a la normatividad </v>
      </c>
      <c r="S2602" s="11" t="str">
        <f>IFERROR(IF(VLOOKUP(A2602,[17]PRIORIZADOS!$A:$S,19,FALSE)="","",VLOOKUP(A2602,[17]PRIORIZADOS!$A:$S,19,FALSE)),"")</f>
        <v>La Institución  realizará el  plan de acción y reglamento para las instancias de participación y los estamentos de gobierno escolar.</v>
      </c>
      <c r="T2602" s="70" t="str">
        <f>IFERROR(IF(VLOOKUP(A2602,[17]PRIORIZADOS!$A:$T,20,FALSE)="","",VLOOKUP(A2602,[17]PRIORIZADOS!$A:$T,20,FALSE)),"")</f>
        <v>Si</v>
      </c>
      <c r="U2602" s="11" t="str">
        <f>IFERROR(IF(VLOOKUP(A2602,[17]PRIORIZADOS!$A:$U,21,FALSE)="","",VLOOKUP(A2602,[17]PRIORIZADOS!$A:$U,21,FALSE)),"")</f>
        <v>Constatación  del  plan de acción y reglamento para las instancias de participación y los estamentos de gobierno escolar.</v>
      </c>
    </row>
    <row r="2603" spans="1:21" s="1" customFormat="1" ht="60">
      <c r="A2603" s="69">
        <f>IF([17]PRIORIZADOS!A51="","",[17]PRIORIZADOS!A51)</f>
        <v>2587</v>
      </c>
      <c r="B2603" s="70">
        <v>5</v>
      </c>
      <c r="C2603" s="11" t="str">
        <f>IFERROR(IF(VLOOKUP(A2603,[17]PRIORIZADOS!$A:$C,3,FALSE)="","",VLOOKUP(A2603,[17]PRIORIZADOS!$A:$C,3,FALSE)),"")</f>
        <v>USAQUÉN</v>
      </c>
      <c r="D2603" s="11" t="str">
        <f>IFERROR(IF(VLOOKUP(A2603,[17]PRIORIZADOS!$A:$D,4,FALSE)="","",VLOOKUP(A2603,[17]PRIORIZADOS!$A:$D,4,FALSE)),"")</f>
        <v>PRIVADO</v>
      </c>
      <c r="E2603" s="11" t="str">
        <f>IFERROR(IF(VLOOKUP(A2603,[17]PRIORIZADOS!$A:$E,5,FALSE)="","",VLOOKUP(A2603,[17]PRIORIZADOS!$A:$E,5,FALSE)),"")</f>
        <v>EPBM</v>
      </c>
      <c r="F2603" s="11" t="str">
        <f>IFERROR(IF(VLOOKUP(A2603,[17]PRIORIZADOS!$A:$F,6,FALSE)="","",VLOOKUP(A2603,[17]PRIORIZADOS!$A:$F,6,FALSE)),"")</f>
        <v>LICEO_PSICOPEDAGOGICO_TIBABITA</v>
      </c>
      <c r="G2603" s="11" t="str">
        <f>IFERROR(IF(VLOOKUP(A2603,[17]PRIORIZADOS!$A:$G,7,FALSE)="","",VLOOKUP(A2603,[17]PRIORIZADOS!$A:$G,7,FALSE)),"")</f>
        <v>LICEO PSICOPEDAGOGICO TIBABITA</v>
      </c>
      <c r="H2603" s="11" t="str">
        <f>IFERROR(IF(VLOOKUP(A2603,[17]PRIORIZADOS!$A:$H,8,FALSE)="","",VLOOKUP(A2603,[17]PRIORIZADOS!$A:$H,8,FALSE)),"")</f>
        <v>Autoevaluación Institucional y Pruebas SABER 11</v>
      </c>
      <c r="I2603" s="11" t="str">
        <f>IFERROR(IF(VLOOKUP(A2603,[17]PRIORIZADOS!$A:$I,9,FALSE)="","",VLOOKUP(A2603,[17]PRIORIZADOS!$A:$I,9,FALSE)),"")</f>
        <v>EVALUACIÓN_CON_FINES_DE_MEJORAMIENTO.</v>
      </c>
      <c r="J2603" s="11" t="str">
        <f>IFERROR(IF(VLOOKUP(A2603,[17]PRIORIZADOS!$A:$J,10,FALSE)="","",VLOOKUP(A2603,[17]PRIORIZADOS!$A:$J,10,FALSE)),"")</f>
        <v>Verificar las condiciones en cuanto a: la estructura administrativa, condiciones de la planta física y medios educativos adecuados.</v>
      </c>
      <c r="K2603" s="11" t="str">
        <f>IFERROR(IF(VLOOKUP(A2603,[17]PRIORIZADOS!$A:$K,11,FALSE)="","",VLOOKUP(A2603,[17]PRIORIZADOS!$A:$K,11,FALSE)),"")</f>
        <v>MARIA TERESA GAVIRIA LOZANO</v>
      </c>
      <c r="L2603" s="11" t="str">
        <f>IFERROR(IF(VLOOKUP(A2603,[17]PRIORIZADOS!$A:$L,12,FALSE)="","",VLOOKUP(A2603,[17]PRIORIZADOS!$A:$L,12,FALSE)),"")</f>
        <v>MARTHA CECILIA MELGAREJO PINTO</v>
      </c>
      <c r="M2603" s="71">
        <f>IFERROR(IF(VLOOKUP(A2603,[17]PRIORIZADOS!$A:$M,13,FALSE)="","",VLOOKUP(A2603,[17]PRIORIZADOS!$A:$M,13,FALSE)),"")</f>
        <v>45807</v>
      </c>
      <c r="N2603" s="71">
        <f>IFERROR(IF(VLOOKUP(A2603,[17]PRIORIZADOS!$A:$N,14,FALSE)="","",VLOOKUP(A2603,[17]PRIORIZADOS!$A:$N,14,FALSE)),"")</f>
        <v>45807</v>
      </c>
      <c r="O2603" s="71">
        <f>IFERROR(IF(VLOOKUP(A2603,[17]PRIORIZADOS!$A:$O,15,FALSE)="","",VLOOKUP(A2603,[17]PRIORIZADOS!$A:$O,15,FALSE)),"")</f>
        <v>45807</v>
      </c>
      <c r="P2603" s="11" t="str">
        <f>IFERROR(IF(VLOOKUP(A2603,[17]PRIORIZADOS!$A:$P,16,FALSE)="","",VLOOKUP(A2603,[17]PRIORIZADOS!$A:$P,16,FALSE)),"")</f>
        <v>Visitas de evaluación con fines de mejoramiento</v>
      </c>
      <c r="Q2603" s="107" t="s">
        <v>507</v>
      </c>
      <c r="R2603" s="11" t="str">
        <f>IFERROR(IF(VLOOKUP(A2603,[17]PRIORIZADOS!$A:$R,18,FALSE)="","",VLOOKUP(A2603,[17]PRIORIZADOS!$A:$R,18,FALSE)),"")</f>
        <v>La planta física requiere mantenimiento, cuenta con la dotación necesaria para prestar el servicio educativo, cuenta con señalización, así como rutas de evacuación.</v>
      </c>
      <c r="S2603" s="11" t="str">
        <f>IFERROR(IF(VLOOKUP(A2603,[17]PRIORIZADOS!$A:$S,19,FALSE)="","",VLOOKUP(A2603,[17]PRIORIZADOS!$A:$S,19,FALSE)),"")</f>
        <v xml:space="preserve">El colegio realizará un plan de Mantenimiento de la Infraestructura para cumplir con los requerimientos realizados por la Secretaria de Salud. </v>
      </c>
      <c r="T2603" s="70" t="str">
        <f>IFERROR(IF(VLOOKUP(A2603,[17]PRIORIZADOS!$A:$T,20,FALSE)="","",VLOOKUP(A2603,[17]PRIORIZADOS!$A:$T,20,FALSE)),"")</f>
        <v>Si</v>
      </c>
      <c r="U2603" s="11" t="str">
        <f>IFERROR(IF(VLOOKUP(A2603,[17]PRIORIZADOS!$A:$U,21,FALSE)="","",VLOOKUP(A2603,[17]PRIORIZADOS!$A:$U,21,FALSE)),"")</f>
        <v>Verificación del diseño del plan de mantenimiento para el cumplimiento de los requerimientos de la Secretaria de salud</v>
      </c>
    </row>
    <row r="2604" spans="1:21" s="1" customFormat="1" ht="48">
      <c r="A2604" s="69">
        <f>IF([17]PRIORIZADOS!A52="","",[17]PRIORIZADOS!A52)</f>
        <v>2588</v>
      </c>
      <c r="B2604" s="70">
        <f>IFERROR(IF(VLOOKUP(A2604,[17]PRIORIZADOS!$A:$B,2,FALSE)="","",VLOOKUP(A2604,[17]PRIORIZADOS!$A:$B,2,FALSE)),"")</f>
        <v>6</v>
      </c>
      <c r="C2604" s="11" t="str">
        <f>IFERROR(IF(VLOOKUP(A2604,[17]PRIORIZADOS!$A:$C,3,FALSE)="","",VLOOKUP(A2604,[17]PRIORIZADOS!$A:$C,3,FALSE)),"")</f>
        <v>USAQUÉN</v>
      </c>
      <c r="D2604" s="11" t="str">
        <f>IFERROR(IF(VLOOKUP(A2604,[17]PRIORIZADOS!$A:$D,4,FALSE)="","",VLOOKUP(A2604,[17]PRIORIZADOS!$A:$D,4,FALSE)),"")</f>
        <v>PRIVADO</v>
      </c>
      <c r="E2604" s="11" t="str">
        <f>IFERROR(IF(VLOOKUP(A2604,[17]PRIORIZADOS!$A:$E,5,FALSE)="","",VLOOKUP(A2604,[17]PRIORIZADOS!$A:$E,5,FALSE)),"")</f>
        <v>Educación de Jóvenes y Adultos</v>
      </c>
      <c r="F2604" s="11" t="str">
        <f>IFERROR(IF(VLOOKUP(A2604,[17]PRIORIZADOS!$A:$F,6,FALSE)="","",VLOOKUP(A2604,[17]PRIORIZADOS!$A:$F,6,FALSE)),"")</f>
        <v>COLEGIO_MONTERROSALES___CICLOS</v>
      </c>
      <c r="G2604" s="11" t="str">
        <f>IFERROR(IF(VLOOKUP(A2604,[17]PRIORIZADOS!$A:$G,7,FALSE)="","",VLOOKUP(A2604,[17]PRIORIZADOS!$A:$G,7,FALSE)),"")</f>
        <v>COLEGIO MONTERROSALES - CICLOS</v>
      </c>
      <c r="H2604" s="11" t="str">
        <f>IFERROR(IF(VLOOKUP(A2604,[17]PRIORIZADOS!$A:$H,8,FALSE)="","",VLOOKUP(A2604,[17]PRIORIZADOS!$A:$H,8,FALSE)),"")</f>
        <v>Autoevaluación Institucional y Pruebas SABER 11</v>
      </c>
      <c r="I2604" s="11" t="str">
        <f>IFERROR(IF(VLOOKUP(A2604,[17]PRIORIZADOS!$A:$I,9,FALSE)="","",VLOOKUP(A2604,[17]PRIORIZADOS!$A:$I,9,FALSE)),"")</f>
        <v>SEGUIMIENTO_Y_SUPERVISIÓN.</v>
      </c>
      <c r="J2604" s="11" t="str">
        <f>IFERROR(IF(VLOOKUP(A2604,[17]PRIORIZADOS!$A:$J,10,FALSE)="","",VLOOKUP(A2604,[17]PRIORIZADOS!$A:$J,10,FALSE)),"")</f>
        <v>Realizar visitas para verificar la información registrada sobre la autoevaluación institucional en el aplicativo EVI, a los establecimientos de educación formal no oficial.</v>
      </c>
      <c r="K2604" s="11" t="str">
        <f>IFERROR(IF(VLOOKUP(A2604,[17]PRIORIZADOS!$A:$K,11,FALSE)="","",VLOOKUP(A2604,[17]PRIORIZADOS!$A:$K,11,FALSE)),"")</f>
        <v>MARTHA LUCIA OLAYA VARGAS</v>
      </c>
      <c r="L2604" s="11" t="str">
        <f>IFERROR(IF(VLOOKUP(A2604,[17]PRIORIZADOS!$A:$L,12,FALSE)="","",VLOOKUP(A2604,[17]PRIORIZADOS!$A:$L,12,FALSE)),"")</f>
        <v>MARIA TERESA GAVIRIA LOZANO</v>
      </c>
      <c r="M2604" s="71">
        <f>IFERROR(IF(VLOOKUP(A2604,[17]PRIORIZADOS!$A:$M,13,FALSE)="","",VLOOKUP(A2604,[17]PRIORIZADOS!$A:$M,13,FALSE)),"")</f>
        <v>45814</v>
      </c>
      <c r="N2604" s="71">
        <f>IFERROR(IF(VLOOKUP(A2604,[17]PRIORIZADOS!$A:$N,14,FALSE)="","",VLOOKUP(A2604,[17]PRIORIZADOS!$A:$N,14,FALSE)),"")</f>
        <v>45814</v>
      </c>
      <c r="O2604" s="71">
        <f>IFERROR(IF(VLOOKUP(A2604,[17]PRIORIZADOS!$A:$O,15,FALSE)="","",VLOOKUP(A2604,[17]PRIORIZADOS!$A:$O,15,FALSE)),"")</f>
        <v>45814</v>
      </c>
      <c r="P2604" s="11" t="str">
        <f>IFERROR(IF(VLOOKUP(A2604,[17]PRIORIZADOS!$A:$P,16,FALSE)="","",VLOOKUP(A2604,[17]PRIORIZADOS!$A:$P,16,FALSE)),"")</f>
        <v>Visitas de evaluación con fines de seguimiento</v>
      </c>
      <c r="Q2604" s="126" t="s">
        <v>507</v>
      </c>
      <c r="R2604" s="11" t="str">
        <f>IFERROR(IF(VLOOKUP(A2604,[17]PRIORIZADOS!$A:$R,18,FALSE)="","",VLOOKUP(A2604,[17]PRIORIZADOS!$A:$R,18,FALSE)),"")</f>
        <v>Se evidencia que la información registrada en la autoevaluación, coincide con lo verificado en la visita respecto  a infraestructura, personal y estudiantes.</v>
      </c>
      <c r="S2604" s="11" t="str">
        <f>IFERROR(IF(VLOOKUP(A2604,[17]PRIORIZADOS!$A:$S,19,FALSE)="","",VLOOKUP(A2604,[17]PRIORIZADOS!$A:$S,19,FALSE)),"")</f>
        <v>Continuar con la autoevaluación anual y realizar los ajustes que se requieran</v>
      </c>
      <c r="T2604" s="70" t="str">
        <f>IFERROR(IF(VLOOKUP(A2604,[17]PRIORIZADOS!$A:$T,20,FALSE)="","",VLOOKUP(A2604,[17]PRIORIZADOS!$A:$T,20,FALSE)),"")</f>
        <v>No</v>
      </c>
      <c r="U2604" s="11" t="str">
        <f>IFERROR(IF(VLOOKUP(A2604,[17]PRIORIZADOS!$A:$U,21,FALSE)="","",VLOOKUP(A2604,[17]PRIORIZADOS!$A:$U,21,FALSE)),"")</f>
        <v>Verificar la autoevaluación del año 2025, para definir  las tarifas del 2026.</v>
      </c>
    </row>
    <row r="2605" spans="1:21" s="1" customFormat="1" ht="118.5">
      <c r="A2605" s="69">
        <f>IF([17]PRIORIZADOS!A53="","",[17]PRIORIZADOS!A53)</f>
        <v>2589</v>
      </c>
      <c r="B2605" s="70">
        <v>6</v>
      </c>
      <c r="C2605" s="11" t="str">
        <f>IFERROR(IF(VLOOKUP(A2605,[17]PRIORIZADOS!$A:$C,3,FALSE)="","",VLOOKUP(A2605,[17]PRIORIZADOS!$A:$C,3,FALSE)),"")</f>
        <v>USAQUÉN</v>
      </c>
      <c r="D2605" s="11" t="str">
        <f>IFERROR(IF(VLOOKUP(A2605,[17]PRIORIZADOS!$A:$D,4,FALSE)="","",VLOOKUP(A2605,[17]PRIORIZADOS!$A:$D,4,FALSE)),"")</f>
        <v>PRIVADO</v>
      </c>
      <c r="E2605" s="11" t="str">
        <f>IFERROR(IF(VLOOKUP(A2605,[17]PRIORIZADOS!$A:$E,5,FALSE)="","",VLOOKUP(A2605,[17]PRIORIZADOS!$A:$E,5,FALSE)),"")</f>
        <v>Educación de Jóvenes y Adultos</v>
      </c>
      <c r="F2605" s="11" t="str">
        <f>IFERROR(IF(VLOOKUP(A2605,[17]PRIORIZADOS!$A:$F,6,FALSE)="","",VLOOKUP(A2605,[17]PRIORIZADOS!$A:$F,6,FALSE)),"")</f>
        <v>COLEGIO_MONTERROSALES___CICLOS</v>
      </c>
      <c r="G2605" s="11" t="str">
        <f>IFERROR(IF(VLOOKUP(A2605,[17]PRIORIZADOS!$A:$G,7,FALSE)="","",VLOOKUP(A2605,[17]PRIORIZADOS!$A:$G,7,FALSE)),"")</f>
        <v>COLEGIO MONTERROSALES - CICLOS</v>
      </c>
      <c r="H2605" s="11" t="str">
        <f>IFERROR(IF(VLOOKUP(A2605,[17]PRIORIZADOS!$A:$H,8,FALSE)="","",VLOOKUP(A2605,[17]PRIORIZADOS!$A:$H,8,FALSE)),"")</f>
        <v>Autoevaluación Institucional y Pruebas SABER 11</v>
      </c>
      <c r="I2605" s="11" t="str">
        <f>IFERROR(IF(VLOOKUP(A2605,[17]PRIORIZADOS!$A:$I,9,FALSE)="","",VLOOKUP(A2605,[17]PRIORIZADOS!$A:$I,9,FALSE)),"")</f>
        <v>SEGUIMIENTO_Y_SUPERVISIÓN.</v>
      </c>
      <c r="J2605" s="11" t="str">
        <f>IFERROR(IF(VLOOKUP(A2605,[17]PRIORIZADOS!$A:$J,10,FALSE)="","",VLOOKUP(A2605,[17]PRIORIZADOS!$A:$J,10,FALSE)),"")</f>
        <v>Proponer estrategias en la formulación, verificar su elaboración y realizar seguimiento semestral al desarrollo de  las acciones establecidas en los planes de mejoramiento por pruebas SABER 11 de los establecimientos de educación formal.</v>
      </c>
      <c r="K2605" s="11" t="str">
        <f>IFERROR(IF(VLOOKUP(A2605,[17]PRIORIZADOS!$A:$K,11,FALSE)="","",VLOOKUP(A2605,[17]PRIORIZADOS!$A:$K,11,FALSE)),"")</f>
        <v>MARTHA LUCIA OLAYA VARGAS</v>
      </c>
      <c r="L2605" s="11" t="str">
        <f>IFERROR(IF(VLOOKUP(A2605,[17]PRIORIZADOS!$A:$L,12,FALSE)="","",VLOOKUP(A2605,[17]PRIORIZADOS!$A:$L,12,FALSE)),"")</f>
        <v>MARIA TERESA GAVIRIA LOZANO</v>
      </c>
      <c r="M2605" s="71">
        <f>IFERROR(IF(VLOOKUP(A2605,[17]PRIORIZADOS!$A:$M,13,FALSE)="","",VLOOKUP(A2605,[17]PRIORIZADOS!$A:$M,13,FALSE)),"")</f>
        <v>45814</v>
      </c>
      <c r="N2605" s="71">
        <f>IFERROR(IF(VLOOKUP(A2605,[17]PRIORIZADOS!$A:$N,14,FALSE)="","",VLOOKUP(A2605,[17]PRIORIZADOS!$A:$N,14,FALSE)),"")</f>
        <v>45814</v>
      </c>
      <c r="O2605" s="71">
        <f>IFERROR(IF(VLOOKUP(A2605,[17]PRIORIZADOS!$A:$O,15,FALSE)="","",VLOOKUP(A2605,[17]PRIORIZADOS!$A:$O,15,FALSE)),"")</f>
        <v>45814</v>
      </c>
      <c r="P2605" s="11" t="str">
        <f>IFERROR(IF(VLOOKUP(A2605,[17]PRIORIZADOS!$A:$P,16,FALSE)="","",VLOOKUP(A2605,[17]PRIORIZADOS!$A:$P,16,FALSE)),"")</f>
        <v>Visitas de evaluación con fines de seguimiento</v>
      </c>
      <c r="Q2605" s="107" t="s">
        <v>508</v>
      </c>
      <c r="R2605" s="11" t="str">
        <f>IFERROR(IF(VLOOKUP(A2605,[17]PRIORIZADOS!$A:$R,18,FALSE)="","",VLOOKUP(A2605,[17]PRIORIZADOS!$A:$R,18,FALSE)),"")</f>
        <v>Se evidenció el análisis a los resultados de las pruebas saber del año 2024 y años anteriores.
Realizaron el Plan de Mejoramiento para el año 2025, tienen identificación de problemas y dificultades en áreas para aplicar en los ciclos correspondientes, pero deeb ajustar el plan de estudios y el curriculum</v>
      </c>
      <c r="S2605" s="11" t="str">
        <f>IFERROR(IF(VLOOKUP(A2605,[17]PRIORIZADOS!$A:$S,19,FALSE)="","",VLOOKUP(A2605,[17]PRIORIZADOS!$A:$S,19,FALSE)),"")</f>
        <v xml:space="preserve">Realizar Plan de Mejora, donde se ajuste el curriculum y el plan de estudios del ciclo II de educación Media. </v>
      </c>
      <c r="T2605" s="70" t="str">
        <f>IFERROR(IF(VLOOKUP(A2605,[17]PRIORIZADOS!$A:$T,20,FALSE)="","",VLOOKUP(A2605,[17]PRIORIZADOS!$A:$T,20,FALSE)),"")</f>
        <v>Si</v>
      </c>
      <c r="U2605" s="11" t="str">
        <f>IFERROR(IF(VLOOKUP(A2605,[17]PRIORIZADOS!$A:$U,21,FALSE)="","",VLOOKUP(A2605,[17]PRIORIZADOS!$A:$U,21,FALSE)),"")</f>
        <v>Verificarar el PEI y el  Manual de Conviencia en el mes de enero de 2026</v>
      </c>
    </row>
    <row r="2606" spans="1:21" s="1" customFormat="1" ht="142.5">
      <c r="A2606" s="69">
        <f>IF([17]PRIORIZADOS!A54="","",[17]PRIORIZADOS!A54)</f>
        <v>2590</v>
      </c>
      <c r="B2606" s="70">
        <v>6</v>
      </c>
      <c r="C2606" s="11" t="str">
        <f>IFERROR(IF(VLOOKUP(A2606,[17]PRIORIZADOS!$A:$C,3,FALSE)="","",VLOOKUP(A2606,[17]PRIORIZADOS!$A:$C,3,FALSE)),"")</f>
        <v>USAQUÉN</v>
      </c>
      <c r="D2606" s="11" t="str">
        <f>IFERROR(IF(VLOOKUP(A2606,[17]PRIORIZADOS!$A:$D,4,FALSE)="","",VLOOKUP(A2606,[17]PRIORIZADOS!$A:$D,4,FALSE)),"")</f>
        <v>PRIVADO</v>
      </c>
      <c r="E2606" s="11" t="str">
        <f>IFERROR(IF(VLOOKUP(A2606,[17]PRIORIZADOS!$A:$E,5,FALSE)="","",VLOOKUP(A2606,[17]PRIORIZADOS!$A:$E,5,FALSE)),"")</f>
        <v>Educación de Jóvenes y Adultos</v>
      </c>
      <c r="F2606" s="11" t="str">
        <f>IFERROR(IF(VLOOKUP(A2606,[17]PRIORIZADOS!$A:$F,6,FALSE)="","",VLOOKUP(A2606,[17]PRIORIZADOS!$A:$F,6,FALSE)),"")</f>
        <v>COLEGIO_MONTERROSALES___CICLOS</v>
      </c>
      <c r="G2606" s="11" t="str">
        <f>IFERROR(IF(VLOOKUP(A2606,[17]PRIORIZADOS!$A:$G,7,FALSE)="","",VLOOKUP(A2606,[17]PRIORIZADOS!$A:$G,7,FALSE)),"")</f>
        <v>COLEGIO MONTERROSALES - CICLOS</v>
      </c>
      <c r="H2606" s="11" t="str">
        <f>IFERROR(IF(VLOOKUP(A2606,[17]PRIORIZADOS!$A:$H,8,FALSE)="","",VLOOKUP(A2606,[17]PRIORIZADOS!$A:$H,8,FALSE)),"")</f>
        <v>Autoevaluación Institucional y Pruebas SABER 11</v>
      </c>
      <c r="I2606" s="11" t="str">
        <f>IFERROR(IF(VLOOKUP(A2606,[17]PRIORIZADOS!$A:$I,9,FALSE)="","",VLOOKUP(A2606,[17]PRIORIZADOS!$A:$I,9,FALSE)),"")</f>
        <v>SEGUIMIENTO_Y_SUPERVISIÓN.</v>
      </c>
      <c r="J2606" s="11" t="str">
        <f>IFERROR(IF(VLOOKUP(A2606,[17]PRIORIZADOS!$A:$J,10,FALSE)="","",VLOOKUP(A2606,[17]PRIORIZADOS!$A:$J,10,FALSE)),"")</f>
        <v xml:space="preserve">Verificar la implementación por parte de los colegios, de acciones realizadas para la prevención y atención de las situaciones de convivencia en el entorno escolar, según lo establecido en la Directiva 01 de 2022 del MEN. </v>
      </c>
      <c r="K2606" s="11" t="str">
        <f>IFERROR(IF(VLOOKUP(A2606,[17]PRIORIZADOS!$A:$K,11,FALSE)="","",VLOOKUP(A2606,[17]PRIORIZADOS!$A:$K,11,FALSE)),"")</f>
        <v>MARTHA LUCIA OLAYA VARGAS</v>
      </c>
      <c r="L2606" s="11" t="str">
        <f>IFERROR(IF(VLOOKUP(A2606,[17]PRIORIZADOS!$A:$L,12,FALSE)="","",VLOOKUP(A2606,[17]PRIORIZADOS!$A:$L,12,FALSE)),"")</f>
        <v>MARIA TERESA GAVIRIA LOZANO</v>
      </c>
      <c r="M2606" s="71">
        <f>IFERROR(IF(VLOOKUP(A2606,[17]PRIORIZADOS!$A:$M,13,FALSE)="","",VLOOKUP(A2606,[17]PRIORIZADOS!$A:$M,13,FALSE)),"")</f>
        <v>45814</v>
      </c>
      <c r="N2606" s="71">
        <f>IFERROR(IF(VLOOKUP(A2606,[17]PRIORIZADOS!$A:$N,14,FALSE)="","",VLOOKUP(A2606,[17]PRIORIZADOS!$A:$N,14,FALSE)),"")</f>
        <v>45814</v>
      </c>
      <c r="O2606" s="71">
        <f>IFERROR(IF(VLOOKUP(A2606,[17]PRIORIZADOS!$A:$O,15,FALSE)="","",VLOOKUP(A2606,[17]PRIORIZADOS!$A:$O,15,FALSE)),"")</f>
        <v>45814</v>
      </c>
      <c r="P2606" s="11" t="str">
        <f>IFERROR(IF(VLOOKUP(A2606,[17]PRIORIZADOS!$A:$P,16,FALSE)="","",VLOOKUP(A2606,[17]PRIORIZADOS!$A:$P,16,FALSE)),"")</f>
        <v>Visitas de evaluación con fines de seguimiento</v>
      </c>
      <c r="Q2606" s="107" t="s">
        <v>508</v>
      </c>
      <c r="R2606" s="11" t="str">
        <f>IFERROR(IF(VLOOKUP(A2606,[17]PRIORIZADOS!$A:$R,18,FALSE)="","",VLOOKUP(A2606,[17]PRIORIZADOS!$A:$R,18,FALSE)),"")</f>
        <v>Tienen definido el Comité de Convivencia, sus funciones y reglamento. 
Esta definida la Ruta de atención integral para la atención de situaciones de convivencia. 
Verifican cada 4 meses las inhabilidades por delitos sexuales del personal administrativo y docente de la Institución educativa, según lo establecido en la Directiva 01 MEN 2022</v>
      </c>
      <c r="S2606" s="11" t="str">
        <f>IFERROR(IF(VLOOKUP(A2606,[17]PRIORIZADOS!$A:$S,19,FALSE)="","",VLOOKUP(A2606,[17]PRIORIZADOS!$A:$S,19,FALSE)),"")</f>
        <v>Se evidencia el cumplimiento de la normatividad establecida en la Directiva 01 de 2022 del MEN. Se debe continuar con esta práctica en la Institución.</v>
      </c>
      <c r="T2606" s="70" t="str">
        <f>IFERROR(IF(VLOOKUP(A2606,[17]PRIORIZADOS!$A:$T,20,FALSE)="","",VLOOKUP(A2606,[17]PRIORIZADOS!$A:$T,20,FALSE)),"")</f>
        <v>No</v>
      </c>
      <c r="U2606" s="11" t="str">
        <f>IFERROR(IF(VLOOKUP(A2606,[17]PRIORIZADOS!$A:$U,21,FALSE)="","",VLOOKUP(A2606,[17]PRIORIZADOS!$A:$U,21,FALSE)),"")</f>
        <v>Se hará verificación en caso de presentarse alguna queja.</v>
      </c>
    </row>
    <row r="2607" spans="1:21" s="1" customFormat="1" ht="118.5">
      <c r="A2607" s="69">
        <f>IF([17]PRIORIZADOS!A55="","",[17]PRIORIZADOS!A55)</f>
        <v>2591</v>
      </c>
      <c r="B2607" s="70">
        <v>6</v>
      </c>
      <c r="C2607" s="11" t="str">
        <f>IFERROR(IF(VLOOKUP(A2607,[17]PRIORIZADOS!$A:$C,3,FALSE)="","",VLOOKUP(A2607,[17]PRIORIZADOS!$A:$C,3,FALSE)),"")</f>
        <v>USAQUÉN</v>
      </c>
      <c r="D2607" s="11" t="str">
        <f>IFERROR(IF(VLOOKUP(A2607,[17]PRIORIZADOS!$A:$D,4,FALSE)="","",VLOOKUP(A2607,[17]PRIORIZADOS!$A:$D,4,FALSE)),"")</f>
        <v>PRIVADO</v>
      </c>
      <c r="E2607" s="11" t="str">
        <f>IFERROR(IF(VLOOKUP(A2607,[17]PRIORIZADOS!$A:$E,5,FALSE)="","",VLOOKUP(A2607,[17]PRIORIZADOS!$A:$E,5,FALSE)),"")</f>
        <v>Educación de Jóvenes y Adultos</v>
      </c>
      <c r="F2607" s="11" t="str">
        <f>IFERROR(IF(VLOOKUP(A2607,[17]PRIORIZADOS!$A:$F,6,FALSE)="","",VLOOKUP(A2607,[17]PRIORIZADOS!$A:$F,6,FALSE)),"")</f>
        <v>COLEGIO_MONTERROSALES___CICLOS</v>
      </c>
      <c r="G2607" s="11" t="str">
        <f>IFERROR(IF(VLOOKUP(A2607,[17]PRIORIZADOS!$A:$G,7,FALSE)="","",VLOOKUP(A2607,[17]PRIORIZADOS!$A:$G,7,FALSE)),"")</f>
        <v>COLEGIO MONTERROSALES - CICLOS</v>
      </c>
      <c r="H2607" s="11" t="str">
        <f>IFERROR(IF(VLOOKUP(A2607,[17]PRIORIZADOS!$A:$H,8,FALSE)="","",VLOOKUP(A2607,[17]PRIORIZADOS!$A:$H,8,FALSE)),"")</f>
        <v>Autoevaluación Institucional y Pruebas SABER 11</v>
      </c>
      <c r="I2607" s="11" t="str">
        <f>IFERROR(IF(VLOOKUP(A2607,[17]PRIORIZADOS!$A:$I,9,FALSE)="","",VLOOKUP(A2607,[17]PRIORIZADOS!$A:$I,9,FALSE)),"")</f>
        <v>SEGUIMIENTO_Y_SUPERVISIÓN.</v>
      </c>
      <c r="J2607" s="11" t="str">
        <f>IFERROR(IF(VLOOKUP(A2607,[17]PRIORIZADOS!$A:$J,10,FALSE)="","",VLOOKUP(A2607,[17]PRIORIZADOS!$A:$J,10,FALSE)),"")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07" s="11" t="str">
        <f>IFERROR(IF(VLOOKUP(A2607,[17]PRIORIZADOS!$A:$K,11,FALSE)="","",VLOOKUP(A2607,[17]PRIORIZADOS!$A:$K,11,FALSE)),"")</f>
        <v>MARTHA LUCIA OLAYA VARGAS</v>
      </c>
      <c r="L2607" s="11" t="str">
        <f>IFERROR(IF(VLOOKUP(A2607,[17]PRIORIZADOS!$A:$L,12,FALSE)="","",VLOOKUP(A2607,[17]PRIORIZADOS!$A:$L,12,FALSE)),"")</f>
        <v>MARIA TERESA GAVIRIA LOZANO</v>
      </c>
      <c r="M2607" s="71">
        <f>IFERROR(IF(VLOOKUP(A2607,[17]PRIORIZADOS!$A:$M,13,FALSE)="","",VLOOKUP(A2607,[17]PRIORIZADOS!$A:$M,13,FALSE)),"")</f>
        <v>45814</v>
      </c>
      <c r="N2607" s="71">
        <f>IFERROR(IF(VLOOKUP(A2607,[17]PRIORIZADOS!$A:$N,14,FALSE)="","",VLOOKUP(A2607,[17]PRIORIZADOS!$A:$N,14,FALSE)),"")</f>
        <v>45814</v>
      </c>
      <c r="O2607" s="71">
        <f>IFERROR(IF(VLOOKUP(A2607,[17]PRIORIZADOS!$A:$O,15,FALSE)="","",VLOOKUP(A2607,[17]PRIORIZADOS!$A:$O,15,FALSE)),"")</f>
        <v>45814</v>
      </c>
      <c r="P2607" s="11" t="str">
        <f>IFERROR(IF(VLOOKUP(A2607,[17]PRIORIZADOS!$A:$P,16,FALSE)="","",VLOOKUP(A2607,[17]PRIORIZADOS!$A:$P,16,FALSE)),"")</f>
        <v>Visitas de evaluación con fines de seguimiento</v>
      </c>
      <c r="Q2607" s="107" t="s">
        <v>508</v>
      </c>
      <c r="R2607" s="11" t="str">
        <f>IFERROR(IF(VLOOKUP(A2607,[17]PRIORIZADOS!$A:$R,18,FALSE)="","",VLOOKUP(A2607,[17]PRIORIZADOS!$A:$R,18,FALSE)),"")</f>
        <v>Cuentan con Planes individuales de ajustes razonables diseñados por la Insitución para los 3 estudiantes con trastornos de aprendizaje, pero no estan en el formato definido por el Ministerio de Educación Nacional - MEN.
La información esta sistematizada, no cuentan con carpetas físicas por estudiante.</v>
      </c>
      <c r="S2607" s="11" t="str">
        <f>IFERROR(IF(VLOOKUP(A2607,[17]PRIORIZADOS!$A:$S,19,FALSE)="","",VLOOKUP(A2607,[17]PRIORIZADOS!$A:$S,19,FALSE)),"")</f>
        <v>Deben realizar los ajustes razonables para los estudiantes de acuerdo con los formatos definidos por el Ministerio de Educación Nacional - MEN y organizar la información por estudiante, para hacer seguimiento.</v>
      </c>
      <c r="T2607" s="70" t="str">
        <f>IFERROR(IF(VLOOKUP(A2607,[17]PRIORIZADOS!$A:$T,20,FALSE)="","",VLOOKUP(A2607,[17]PRIORIZADOS!$A:$T,20,FALSE)),"")</f>
        <v>Si</v>
      </c>
      <c r="U2607" s="11" t="str">
        <f>IFERROR(IF(VLOOKUP(A2607,[17]PRIORIZADOS!$A:$U,21,FALSE)="","",VLOOKUP(A2607,[17]PRIORIZADOS!$A:$U,21,FALSE)),"")</f>
        <v>Se verificará el cumplimiento de acuerdo con el plan de mejoramiento para el 11/12/2025</v>
      </c>
    </row>
    <row r="2608" spans="1:21" s="1" customFormat="1" ht="84">
      <c r="A2608" s="69">
        <f>IF([17]PRIORIZADOS!A56="","",[17]PRIORIZADOS!A56)</f>
        <v>2592</v>
      </c>
      <c r="B2608" s="70">
        <v>6</v>
      </c>
      <c r="C2608" s="11" t="str">
        <f>IFERROR(IF(VLOOKUP(A2608,[17]PRIORIZADOS!$A:$C,3,FALSE)="","",VLOOKUP(A2608,[17]PRIORIZADOS!$A:$C,3,FALSE)),"")</f>
        <v>USAQUÉN</v>
      </c>
      <c r="D2608" s="11" t="str">
        <f>IFERROR(IF(VLOOKUP(A2608,[17]PRIORIZADOS!$A:$D,4,FALSE)="","",VLOOKUP(A2608,[17]PRIORIZADOS!$A:$D,4,FALSE)),"")</f>
        <v>PRIVADO</v>
      </c>
      <c r="E2608" s="11" t="str">
        <f>IFERROR(IF(VLOOKUP(A2608,[17]PRIORIZADOS!$A:$E,5,FALSE)="","",VLOOKUP(A2608,[17]PRIORIZADOS!$A:$E,5,FALSE)),"")</f>
        <v>Educación de Jóvenes y Adultos</v>
      </c>
      <c r="F2608" s="11" t="str">
        <f>IFERROR(IF(VLOOKUP(A2608,[17]PRIORIZADOS!$A:$F,6,FALSE)="","",VLOOKUP(A2608,[17]PRIORIZADOS!$A:$F,6,FALSE)),"")</f>
        <v>COLEGIO_MONTERROSALES___CICLOS</v>
      </c>
      <c r="G2608" s="11" t="str">
        <f>IFERROR(IF(VLOOKUP(A2608,[17]PRIORIZADOS!$A:$G,7,FALSE)="","",VLOOKUP(A2608,[17]PRIORIZADOS!$A:$G,7,FALSE)),"")</f>
        <v>COLEGIO MONTERROSALES - CICLOS</v>
      </c>
      <c r="H2608" s="11" t="str">
        <f>IFERROR(IF(VLOOKUP(A2608,[17]PRIORIZADOS!$A:$H,8,FALSE)="","",VLOOKUP(A2608,[17]PRIORIZADOS!$A:$H,8,FALSE)),"")</f>
        <v>Autoevaluación Institucional y Pruebas SABER 11</v>
      </c>
      <c r="I2608" s="11" t="str">
        <f>IFERROR(IF(VLOOKUP(A2608,[17]PRIORIZADOS!$A:$I,9,FALSE)="","",VLOOKUP(A2608,[17]PRIORIZADOS!$A:$I,9,FALSE)),"")</f>
        <v>EVALUACIÓN_CON_FINES_DE_MEJORAMIENTO.</v>
      </c>
      <c r="J2608" s="11" t="str">
        <f>IFERROR(IF(VLOOKUP(A2608,[17]PRIORIZADOS!$A:$J,10,FALSE)="","",VLOOKUP(A2608,[17]PRIORIZADOS!$A:$J,10,FALSE)),"")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08" s="11" t="str">
        <f>IFERROR(IF(VLOOKUP(A2608,[17]PRIORIZADOS!$A:$K,11,FALSE)="","",VLOOKUP(A2608,[17]PRIORIZADOS!$A:$K,11,FALSE)),"")</f>
        <v>MARTHA LUCIA OLAYA VARGAS</v>
      </c>
      <c r="L2608" s="11" t="str">
        <f>IFERROR(IF(VLOOKUP(A2608,[17]PRIORIZADOS!$A:$L,12,FALSE)="","",VLOOKUP(A2608,[17]PRIORIZADOS!$A:$L,12,FALSE)),"")</f>
        <v>MARIA TERESA GAVIRIA LOZANO</v>
      </c>
      <c r="M2608" s="71">
        <f>IFERROR(IF(VLOOKUP(A2608,[17]PRIORIZADOS!$A:$M,13,FALSE)="","",VLOOKUP(A2608,[17]PRIORIZADOS!$A:$M,13,FALSE)),"")</f>
        <v>45814</v>
      </c>
      <c r="N2608" s="71">
        <f>IFERROR(IF(VLOOKUP(A2608,[17]PRIORIZADOS!$A:$N,14,FALSE)="","",VLOOKUP(A2608,[17]PRIORIZADOS!$A:$N,14,FALSE)),"")</f>
        <v>45814</v>
      </c>
      <c r="O2608" s="71">
        <f>IFERROR(IF(VLOOKUP(A2608,[17]PRIORIZADOS!$A:$O,15,FALSE)="","",VLOOKUP(A2608,[17]PRIORIZADOS!$A:$O,15,FALSE)),"")</f>
        <v>45814</v>
      </c>
      <c r="P2608" s="11" t="str">
        <f>IFERROR(IF(VLOOKUP(A2608,[17]PRIORIZADOS!$A:$P,16,FALSE)="","",VLOOKUP(A2608,[17]PRIORIZADOS!$A:$P,16,FALSE)),"")</f>
        <v>Visitas de evaluación con fines de mejoramiento</v>
      </c>
      <c r="Q2608" s="107" t="s">
        <v>508</v>
      </c>
      <c r="R2608" s="11" t="str">
        <f>IFERROR(IF(VLOOKUP(A2608,[17]PRIORIZADOS!$A:$R,18,FALSE)="","",VLOOKUP(A2608,[17]PRIORIZADOS!$A:$R,18,FALSE)),"")</f>
        <v>Se identifica que la última actualización que realizaron al manual de convivencia fue en el año 2023.
Han realizado avances y ajustes pero no los han concretado, siguen socializando el del año 2023.</v>
      </c>
      <c r="S2608" s="11" t="str">
        <f>IFERROR(IF(VLOOKUP(A2608,[17]PRIORIZADOS!$A:$S,19,FALSE)="","",VLOOKUP(A2608,[17]PRIORIZADOS!$A:$S,19,FALSE)),"")</f>
        <v>Actualizar el manual de convivencia de acuerdo con la normatividad vigente</v>
      </c>
      <c r="T2608" s="70" t="str">
        <f>IFERROR(IF(VLOOKUP(A2608,[17]PRIORIZADOS!$A:$T,20,FALSE)="","",VLOOKUP(A2608,[17]PRIORIZADOS!$A:$T,20,FALSE)),"")</f>
        <v>Si</v>
      </c>
      <c r="U2608" s="11" t="str">
        <f>IFERROR(IF(VLOOKUP(A2608,[17]PRIORIZADOS!$A:$U,21,FALSE)="","",VLOOKUP(A2608,[17]PRIORIZADOS!$A:$U,21,FALSE)),"")</f>
        <v>Revisar el Manual de convivencia de acuerdo con el plan de mejoramiento para el 11/12/2025</v>
      </c>
    </row>
    <row r="2609" spans="1:21" s="1" customFormat="1" ht="96">
      <c r="A2609" s="69">
        <f>IF([17]PRIORIZADOS!A57="","",[17]PRIORIZADOS!A57)</f>
        <v>2593</v>
      </c>
      <c r="B2609" s="70">
        <v>6</v>
      </c>
      <c r="C2609" s="11" t="str">
        <f>IFERROR(IF(VLOOKUP(A2609,[17]PRIORIZADOS!$A:$C,3,FALSE)="","",VLOOKUP(A2609,[17]PRIORIZADOS!$A:$C,3,FALSE)),"")</f>
        <v>USAQUÉN</v>
      </c>
      <c r="D2609" s="11" t="str">
        <f>IFERROR(IF(VLOOKUP(A2609,[17]PRIORIZADOS!$A:$D,4,FALSE)="","",VLOOKUP(A2609,[17]PRIORIZADOS!$A:$D,4,FALSE)),"")</f>
        <v>PRIVADO</v>
      </c>
      <c r="E2609" s="11" t="str">
        <f>IFERROR(IF(VLOOKUP(A2609,[17]PRIORIZADOS!$A:$E,5,FALSE)="","",VLOOKUP(A2609,[17]PRIORIZADOS!$A:$E,5,FALSE)),"")</f>
        <v>Educación de Jóvenes y Adultos</v>
      </c>
      <c r="F2609" s="11" t="str">
        <f>IFERROR(IF(VLOOKUP(A2609,[17]PRIORIZADOS!$A:$F,6,FALSE)="","",VLOOKUP(A2609,[17]PRIORIZADOS!$A:$F,6,FALSE)),"")</f>
        <v>COLEGIO_MONTERROSALES___CICLOS</v>
      </c>
      <c r="G2609" s="11" t="str">
        <f>IFERROR(IF(VLOOKUP(A2609,[17]PRIORIZADOS!$A:$G,7,FALSE)="","",VLOOKUP(A2609,[17]PRIORIZADOS!$A:$G,7,FALSE)),"")</f>
        <v>COLEGIO MONTERROSALES - CICLOS</v>
      </c>
      <c r="H2609" s="11" t="str">
        <f>IFERROR(IF(VLOOKUP(A2609,[17]PRIORIZADOS!$A:$H,8,FALSE)="","",VLOOKUP(A2609,[17]PRIORIZADOS!$A:$H,8,FALSE)),"")</f>
        <v>Autoevaluación Institucional y Pruebas SABER 11</v>
      </c>
      <c r="I2609" s="11" t="str">
        <f>IFERROR(IF(VLOOKUP(A2609,[17]PRIORIZADOS!$A:$I,9,FALSE)="","",VLOOKUP(A2609,[17]PRIORIZADOS!$A:$I,9,FALSE)),"")</f>
        <v>EVALUACIÓN_CON_FINES_DE_MEJORAMIENTO.</v>
      </c>
      <c r="J2609" s="11" t="str">
        <f>IFERROR(IF(VLOOKUP(A2609,[17]PRIORIZADOS!$A:$J,10,FALSE)="","",VLOOKUP(A2609,[17]PRIORIZADOS!$A:$J,10,FALSE)),"")</f>
        <v>Revisar la actualización, socialización e implementación del Sistema Institucional de Evaluación de Estudiantes - SIEE, en articulación con la actualización del PEI y la normatividad vigente.</v>
      </c>
      <c r="K2609" s="11" t="str">
        <f>IFERROR(IF(VLOOKUP(A2609,[17]PRIORIZADOS!$A:$K,11,FALSE)="","",VLOOKUP(A2609,[17]PRIORIZADOS!$A:$K,11,FALSE)),"")</f>
        <v>MARTHA LUCIA OLAYA VARGAS</v>
      </c>
      <c r="L2609" s="11" t="str">
        <f>IFERROR(IF(VLOOKUP(A2609,[17]PRIORIZADOS!$A:$L,12,FALSE)="","",VLOOKUP(A2609,[17]PRIORIZADOS!$A:$L,12,FALSE)),"")</f>
        <v>MARIA TERESA GAVIRIA LOZANO</v>
      </c>
      <c r="M2609" s="71">
        <f>IFERROR(IF(VLOOKUP(A2609,[17]PRIORIZADOS!$A:$M,13,FALSE)="","",VLOOKUP(A2609,[17]PRIORIZADOS!$A:$M,13,FALSE)),"")</f>
        <v>45814</v>
      </c>
      <c r="N2609" s="71">
        <f>IFERROR(IF(VLOOKUP(A2609,[17]PRIORIZADOS!$A:$N,14,FALSE)="","",VLOOKUP(A2609,[17]PRIORIZADOS!$A:$N,14,FALSE)),"")</f>
        <v>45814</v>
      </c>
      <c r="O2609" s="71">
        <f>IFERROR(IF(VLOOKUP(A2609,[17]PRIORIZADOS!$A:$O,15,FALSE)="","",VLOOKUP(A2609,[17]PRIORIZADOS!$A:$O,15,FALSE)),"")</f>
        <v>45814</v>
      </c>
      <c r="P2609" s="11" t="str">
        <f>IFERROR(IF(VLOOKUP(A2609,[17]PRIORIZADOS!$A:$P,16,FALSE)="","",VLOOKUP(A2609,[17]PRIORIZADOS!$A:$P,16,FALSE)),"")</f>
        <v>Visitas de evaluación con fines de mejoramiento</v>
      </c>
      <c r="Q2609" s="107" t="s">
        <v>508</v>
      </c>
      <c r="R2609" s="11" t="str">
        <f>IFERROR(IF(VLOOKUP(A2609,[17]PRIORIZADOS!$A:$R,18,FALSE)="","",VLOOKUP(A2609,[17]PRIORIZADOS!$A:$R,18,FALSE)),"")</f>
        <v>El SIEE, esta actualizado y acorde con lo establecido en la normatividad definida para la educación por ciclos, cuentan con una plataforma institucional donde se registra la información del estudiante por ciclo, la cual genera alertas y les permite realizar seguimiento y control permanente a la evaluación del estudiante.</v>
      </c>
      <c r="S2609" s="11" t="str">
        <f>IFERROR(IF(VLOOKUP(A2609,[17]PRIORIZADOS!$A:$S,19,FALSE)="","",VLOOKUP(A2609,[17]PRIORIZADOS!$A:$S,19,FALSE)),"")</f>
        <v>Continuar con el registro de la información y seguimiento permanente a los procesos académicos y pedagógicos de des estudiantes.</v>
      </c>
      <c r="T2609" s="70" t="str">
        <f>IFERROR(IF(VLOOKUP(A2609,[17]PRIORIZADOS!$A:$T,20,FALSE)="","",VLOOKUP(A2609,[17]PRIORIZADOS!$A:$T,20,FALSE)),"")</f>
        <v>No</v>
      </c>
      <c r="U2609" s="11" t="str">
        <f>IFERROR(IF(VLOOKUP(A2609,[17]PRIORIZADOS!$A:$U,21,FALSE)="","",VLOOKUP(A2609,[17]PRIORIZADOS!$A:$U,21,FALSE)),"")</f>
        <v>Se revisará en caso de presentarse alguna queja, al respecto.</v>
      </c>
    </row>
    <row r="2610" spans="1:21" s="1" customFormat="1" ht="84">
      <c r="A2610" s="69">
        <f>IF([17]PRIORIZADOS!A58="","",[17]PRIORIZADOS!A58)</f>
        <v>2594</v>
      </c>
      <c r="B2610" s="70">
        <v>6</v>
      </c>
      <c r="C2610" s="11" t="str">
        <f>IFERROR(IF(VLOOKUP(A2610,[17]PRIORIZADOS!$A:$C,3,FALSE)="","",VLOOKUP(A2610,[17]PRIORIZADOS!$A:$C,3,FALSE)),"")</f>
        <v>USAQUÉN</v>
      </c>
      <c r="D2610" s="11" t="str">
        <f>IFERROR(IF(VLOOKUP(A2610,[17]PRIORIZADOS!$A:$D,4,FALSE)="","",VLOOKUP(A2610,[17]PRIORIZADOS!$A:$D,4,FALSE)),"")</f>
        <v>PRIVADO</v>
      </c>
      <c r="E2610" s="11" t="str">
        <f>IFERROR(IF(VLOOKUP(A2610,[17]PRIORIZADOS!$A:$E,5,FALSE)="","",VLOOKUP(A2610,[17]PRIORIZADOS!$A:$E,5,FALSE)),"")</f>
        <v>Educación de Jóvenes y Adultos</v>
      </c>
      <c r="F2610" s="11" t="str">
        <f>IFERROR(IF(VLOOKUP(A2610,[17]PRIORIZADOS!$A:$F,6,FALSE)="","",VLOOKUP(A2610,[17]PRIORIZADOS!$A:$F,6,FALSE)),"")</f>
        <v>COLEGIO_MONTERROSALES___CICLOS</v>
      </c>
      <c r="G2610" s="11" t="str">
        <f>IFERROR(IF(VLOOKUP(A2610,[17]PRIORIZADOS!$A:$G,7,FALSE)="","",VLOOKUP(A2610,[17]PRIORIZADOS!$A:$G,7,FALSE)),"")</f>
        <v>COLEGIO MONTERROSALES - CICLOS</v>
      </c>
      <c r="H2610" s="11" t="str">
        <f>IFERROR(IF(VLOOKUP(A2610,[17]PRIORIZADOS!$A:$H,8,FALSE)="","",VLOOKUP(A2610,[17]PRIORIZADOS!$A:$H,8,FALSE)),"")</f>
        <v>Autoevaluación Institucional y Pruebas SABER 11</v>
      </c>
      <c r="I2610" s="11" t="str">
        <f>IFERROR(IF(VLOOKUP(A2610,[17]PRIORIZADOS!$A:$I,9,FALSE)="","",VLOOKUP(A2610,[17]PRIORIZADOS!$A:$I,9,FALSE)),"")</f>
        <v>EVALUACIÓN_CON_FINES_DE_MEJORAMIENTO.</v>
      </c>
      <c r="J2610" s="11" t="str">
        <f>IFERROR(IF(VLOOKUP(A2610,[17]PRIORIZADOS!$A:$J,10,FALSE)="","",VLOOKUP(A2610,[17]PRIORIZADOS!$A:$J,10,FALSE)),"")</f>
        <v>Revisar el calendario escolar, jornada escolar, la intensidad horaria mínima anual en cada nivel y las modificaciones que se realicen al mismo, de acuerdo con lo previsto en la normatividad vigente.</v>
      </c>
      <c r="K2610" s="11" t="str">
        <f>IFERROR(IF(VLOOKUP(A2610,[17]PRIORIZADOS!$A:$K,11,FALSE)="","",VLOOKUP(A2610,[17]PRIORIZADOS!$A:$K,11,FALSE)),"")</f>
        <v>MARTHA LUCIA OLAYA VARGAS</v>
      </c>
      <c r="L2610" s="11" t="str">
        <f>IFERROR(IF(VLOOKUP(A2610,[17]PRIORIZADOS!$A:$L,12,FALSE)="","",VLOOKUP(A2610,[17]PRIORIZADOS!$A:$L,12,FALSE)),"")</f>
        <v>MARIA TERESA GAVIRIA LOZANO</v>
      </c>
      <c r="M2610" s="71">
        <f>IFERROR(IF(VLOOKUP(A2610,[17]PRIORIZADOS!$A:$M,13,FALSE)="","",VLOOKUP(A2610,[17]PRIORIZADOS!$A:$M,13,FALSE)),"")</f>
        <v>45814</v>
      </c>
      <c r="N2610" s="71">
        <f>IFERROR(IF(VLOOKUP(A2610,[17]PRIORIZADOS!$A:$N,14,FALSE)="","",VLOOKUP(A2610,[17]PRIORIZADOS!$A:$N,14,FALSE)),"")</f>
        <v>45814</v>
      </c>
      <c r="O2610" s="71">
        <f>IFERROR(IF(VLOOKUP(A2610,[17]PRIORIZADOS!$A:$O,15,FALSE)="","",VLOOKUP(A2610,[17]PRIORIZADOS!$A:$O,15,FALSE)),"")</f>
        <v>45814</v>
      </c>
      <c r="P2610" s="11" t="str">
        <f>IFERROR(IF(VLOOKUP(A2610,[17]PRIORIZADOS!$A:$P,16,FALSE)="","",VLOOKUP(A2610,[17]PRIORIZADOS!$A:$P,16,FALSE)),"")</f>
        <v>Visitas de evaluación con fines de mejoramiento</v>
      </c>
      <c r="Q2610" s="107" t="s">
        <v>508</v>
      </c>
      <c r="R2610" s="11" t="str">
        <f>IFERROR(IF(VLOOKUP(A2610,[17]PRIORIZADOS!$A:$R,18,FALSE)="","",VLOOKUP(A2610,[17]PRIORIZADOS!$A:$R,18,FALSE)),"")</f>
        <v>El caracter de la Institución Educativa es académica por ciclos y el plan de estudios se encuentra por niveles.
Cumplen con la intensidad horaria y se evidencia la secuencia progresiva por cada ciclo.</v>
      </c>
      <c r="S2610" s="11" t="str">
        <f>IFERROR(IF(VLOOKUP(A2610,[17]PRIORIZADOS!$A:$S,19,FALSE)="","",VLOOKUP(A2610,[17]PRIORIZADOS!$A:$S,19,FALSE)),"")</f>
        <v>Deben realizar el ajuste al plan de estudios dado que los definen por nivel y debe ser por ciclos.</v>
      </c>
      <c r="T2610" s="70" t="str">
        <f>IFERROR(IF(VLOOKUP(A2610,[17]PRIORIZADOS!$A:$T,20,FALSE)="","",VLOOKUP(A2610,[17]PRIORIZADOS!$A:$T,20,FALSE)),"")</f>
        <v>Si</v>
      </c>
      <c r="U2610" s="11" t="str">
        <f>IFERROR(IF(VLOOKUP(A2610,[17]PRIORIZADOS!$A:$U,21,FALSE)="","",VLOOKUP(A2610,[17]PRIORIZADOS!$A:$U,21,FALSE)),"")</f>
        <v>Se verificará el Plan de estudios de acuerdo con la fecha definida en el plan de mejoramiento: 11/12/2025</v>
      </c>
    </row>
    <row r="2611" spans="1:21" s="1" customFormat="1" ht="72">
      <c r="A2611" s="69">
        <f>IF([17]PRIORIZADOS!A59="","",[17]PRIORIZADOS!A59)</f>
        <v>2595</v>
      </c>
      <c r="B2611" s="70">
        <v>6</v>
      </c>
      <c r="C2611" s="11" t="str">
        <f>IFERROR(IF(VLOOKUP(A2611,[17]PRIORIZADOS!$A:$C,3,FALSE)="","",VLOOKUP(A2611,[17]PRIORIZADOS!$A:$C,3,FALSE)),"")</f>
        <v>USAQUÉN</v>
      </c>
      <c r="D2611" s="11" t="str">
        <f>IFERROR(IF(VLOOKUP(A2611,[17]PRIORIZADOS!$A:$D,4,FALSE)="","",VLOOKUP(A2611,[17]PRIORIZADOS!$A:$D,4,FALSE)),"")</f>
        <v>PRIVADO</v>
      </c>
      <c r="E2611" s="11" t="str">
        <f>IFERROR(IF(VLOOKUP(A2611,[17]PRIORIZADOS!$A:$E,5,FALSE)="","",VLOOKUP(A2611,[17]PRIORIZADOS!$A:$E,5,FALSE)),"")</f>
        <v>Educación de Jóvenes y Adultos</v>
      </c>
      <c r="F2611" s="11" t="str">
        <f>IFERROR(IF(VLOOKUP(A2611,[17]PRIORIZADOS!$A:$F,6,FALSE)="","",VLOOKUP(A2611,[17]PRIORIZADOS!$A:$F,6,FALSE)),"")</f>
        <v>COLEGIO_MONTERROSALES___CICLOS</v>
      </c>
      <c r="G2611" s="11" t="str">
        <f>IFERROR(IF(VLOOKUP(A2611,[17]PRIORIZADOS!$A:$G,7,FALSE)="","",VLOOKUP(A2611,[17]PRIORIZADOS!$A:$G,7,FALSE)),"")</f>
        <v>COLEGIO MONTERROSALES - CICLOS</v>
      </c>
      <c r="H2611" s="11" t="str">
        <f>IFERROR(IF(VLOOKUP(A2611,[17]PRIORIZADOS!$A:$H,8,FALSE)="","",VLOOKUP(A2611,[17]PRIORIZADOS!$A:$H,8,FALSE)),"")</f>
        <v>Autoevaluación Institucional y Pruebas SABER 11</v>
      </c>
      <c r="I2611" s="11" t="str">
        <f>IFERROR(IF(VLOOKUP(A2611,[17]PRIORIZADOS!$A:$I,9,FALSE)="","",VLOOKUP(A2611,[17]PRIORIZADOS!$A:$I,9,FALSE)),"")</f>
        <v>EVALUACIÓN_CON_FINES_DE_MEJORAMIENTO.</v>
      </c>
      <c r="J2611" s="11" t="str">
        <f>IFERROR(IF(VLOOKUP(A2611,[17]PRIORIZADOS!$A:$J,10,FALSE)="","",VLOOKUP(A2611,[17]PRIORIZADOS!$A:$J,10,FALSE)),"")</f>
        <v>Verificar el funcionamiento del Gobierno Escolar e instancias de participación con base en la información sobre conformación reportada por la institución educativa.</v>
      </c>
      <c r="K2611" s="11" t="str">
        <f>IFERROR(IF(VLOOKUP(A2611,[17]PRIORIZADOS!$A:$K,11,FALSE)="","",VLOOKUP(A2611,[17]PRIORIZADOS!$A:$K,11,FALSE)),"")</f>
        <v>MARTHA LUCIA OLAYA VARGAS</v>
      </c>
      <c r="L2611" s="11" t="str">
        <f>IFERROR(IF(VLOOKUP(A2611,[17]PRIORIZADOS!$A:$L,12,FALSE)="","",VLOOKUP(A2611,[17]PRIORIZADOS!$A:$L,12,FALSE)),"")</f>
        <v>MARIA TERESA GAVIRIA LOZANO</v>
      </c>
      <c r="M2611" s="71">
        <f>IFERROR(IF(VLOOKUP(A2611,[17]PRIORIZADOS!$A:$M,13,FALSE)="","",VLOOKUP(A2611,[17]PRIORIZADOS!$A:$M,13,FALSE)),"")</f>
        <v>45814</v>
      </c>
      <c r="N2611" s="71">
        <f>IFERROR(IF(VLOOKUP(A2611,[17]PRIORIZADOS!$A:$N,14,FALSE)="","",VLOOKUP(A2611,[17]PRIORIZADOS!$A:$N,14,FALSE)),"")</f>
        <v>45814</v>
      </c>
      <c r="O2611" s="71">
        <f>IFERROR(IF(VLOOKUP(A2611,[17]PRIORIZADOS!$A:$O,15,FALSE)="","",VLOOKUP(A2611,[17]PRIORIZADOS!$A:$O,15,FALSE)),"")</f>
        <v>45814</v>
      </c>
      <c r="P2611" s="11" t="str">
        <f>IFERROR(IF(VLOOKUP(A2611,[17]PRIORIZADOS!$A:$P,16,FALSE)="","",VLOOKUP(A2611,[17]PRIORIZADOS!$A:$P,16,FALSE)),"")</f>
        <v>Visitas de evaluación con fines de mejoramiento</v>
      </c>
      <c r="Q2611" s="107" t="s">
        <v>508</v>
      </c>
      <c r="R2611" s="11" t="str">
        <f>IFERROR(IF(VLOOKUP(A2611,[17]PRIORIZADOS!$A:$R,18,FALSE)="","",VLOOKUP(A2611,[17]PRIORIZADOS!$A:$R,18,FALSE)),"")</f>
        <v xml:space="preserve">Se encuentra la conformación de Gobierno escolar.
A la fecha han realizado 2 reuniones pero no se evidencian los soportes. 
</v>
      </c>
      <c r="S2611" s="11" t="str">
        <f>IFERROR(IF(VLOOKUP(A2611,[17]PRIORIZADOS!$A:$S,19,FALSE)="","",VLOOKUP(A2611,[17]PRIORIZADOS!$A:$S,19,FALSE)),"")</f>
        <v>Se debe integrar en el PEI y deben ajustar el Manual de Convivencia, incluyendo las funciones del Contralor Estudiantil y Calbildante Estudiantil</v>
      </c>
      <c r="T2611" s="70" t="str">
        <f>IFERROR(IF(VLOOKUP(A2611,[17]PRIORIZADOS!$A:$T,20,FALSE)="","",VLOOKUP(A2611,[17]PRIORIZADOS!$A:$T,20,FALSE)),"")</f>
        <v>Si</v>
      </c>
      <c r="U2611" s="11" t="str">
        <f>IFERROR(IF(VLOOKUP(A2611,[17]PRIORIZADOS!$A:$U,21,FALSE)="","",VLOOKUP(A2611,[17]PRIORIZADOS!$A:$U,21,FALSE)),"")</f>
        <v>Se verificará el Manual de Convivencia y el PEI  de acuerdo con el cronograma del Plan de Mejoramiento: 11/12/2025</v>
      </c>
    </row>
    <row r="2612" spans="1:21" s="1" customFormat="1" ht="107.25">
      <c r="A2612" s="69">
        <f>IF([17]PRIORIZADOS!A60="","",[17]PRIORIZADOS!A60)</f>
        <v>2596</v>
      </c>
      <c r="B2612" s="70">
        <v>6</v>
      </c>
      <c r="C2612" s="11" t="str">
        <f>IFERROR(IF(VLOOKUP(A2612,[17]PRIORIZADOS!$A:$C,3,FALSE)="","",VLOOKUP(A2612,[17]PRIORIZADOS!$A:$C,3,FALSE)),"")</f>
        <v>USAQUÉN</v>
      </c>
      <c r="D2612" s="11" t="str">
        <f>IFERROR(IF(VLOOKUP(A2612,[17]PRIORIZADOS!$A:$D,4,FALSE)="","",VLOOKUP(A2612,[17]PRIORIZADOS!$A:$D,4,FALSE)),"")</f>
        <v>PRIVADO</v>
      </c>
      <c r="E2612" s="11" t="str">
        <f>IFERROR(IF(VLOOKUP(A2612,[17]PRIORIZADOS!$A:$E,5,FALSE)="","",VLOOKUP(A2612,[17]PRIORIZADOS!$A:$E,5,FALSE)),"")</f>
        <v>Educación de Jóvenes y Adultos</v>
      </c>
      <c r="F2612" s="11" t="str">
        <f>IFERROR(IF(VLOOKUP(A2612,[17]PRIORIZADOS!$A:$F,6,FALSE)="","",VLOOKUP(A2612,[17]PRIORIZADOS!$A:$F,6,FALSE)),"")</f>
        <v>COLEGIO_MONTERROSALES___CICLOS</v>
      </c>
      <c r="G2612" s="11" t="str">
        <f>IFERROR(IF(VLOOKUP(A2612,[17]PRIORIZADOS!$A:$G,7,FALSE)="","",VLOOKUP(A2612,[17]PRIORIZADOS!$A:$G,7,FALSE)),"")</f>
        <v>COLEGIO MONTERROSALES - CICLOS</v>
      </c>
      <c r="H2612" s="11" t="str">
        <f>IFERROR(IF(VLOOKUP(A2612,[17]PRIORIZADOS!$A:$H,8,FALSE)="","",VLOOKUP(A2612,[17]PRIORIZADOS!$A:$H,8,FALSE)),"")</f>
        <v>Autoevaluación Institucional y Pruebas SABER 11</v>
      </c>
      <c r="I2612" s="11" t="str">
        <f>IFERROR(IF(VLOOKUP(A2612,[17]PRIORIZADOS!$A:$I,9,FALSE)="","",VLOOKUP(A2612,[17]PRIORIZADOS!$A:$I,9,FALSE)),"")</f>
        <v>EVALUACIÓN_CON_FINES_DE_MEJORAMIENTO.</v>
      </c>
      <c r="J2612" s="11" t="str">
        <f>IFERROR(IF(VLOOKUP(A2612,[17]PRIORIZADOS!$A:$J,10,FALSE)="","",VLOOKUP(A2612,[17]PRIORIZADOS!$A:$J,10,FALSE)),"")</f>
        <v>Verificar las condiciones en cuanto a: la estructura administrativa, condiciones de la planta física y medios educativos adecuados.</v>
      </c>
      <c r="K2612" s="11" t="str">
        <f>IFERROR(IF(VLOOKUP(A2612,[17]PRIORIZADOS!$A:$K,11,FALSE)="","",VLOOKUP(A2612,[17]PRIORIZADOS!$A:$K,11,FALSE)),"")</f>
        <v>MARTHA LUCIA OLAYA VARGAS</v>
      </c>
      <c r="L2612" s="11" t="str">
        <f>IFERROR(IF(VLOOKUP(A2612,[17]PRIORIZADOS!$A:$L,12,FALSE)="","",VLOOKUP(A2612,[17]PRIORIZADOS!$A:$L,12,FALSE)),"")</f>
        <v>MARIA TERESA GAVIRIA LOZANO</v>
      </c>
      <c r="M2612" s="71">
        <f>IFERROR(IF(VLOOKUP(A2612,[17]PRIORIZADOS!$A:$M,13,FALSE)="","",VLOOKUP(A2612,[17]PRIORIZADOS!$A:$M,13,FALSE)),"")</f>
        <v>45814</v>
      </c>
      <c r="N2612" s="71">
        <f>IFERROR(IF(VLOOKUP(A2612,[17]PRIORIZADOS!$A:$N,14,FALSE)="","",VLOOKUP(A2612,[17]PRIORIZADOS!$A:$N,14,FALSE)),"")</f>
        <v>45814</v>
      </c>
      <c r="O2612" s="71">
        <f>IFERROR(IF(VLOOKUP(A2612,[17]PRIORIZADOS!$A:$O,15,FALSE)="","",VLOOKUP(A2612,[17]PRIORIZADOS!$A:$O,15,FALSE)),"")</f>
        <v>45814</v>
      </c>
      <c r="P2612" s="11" t="str">
        <f>IFERROR(IF(VLOOKUP(A2612,[17]PRIORIZADOS!$A:$P,16,FALSE)="","",VLOOKUP(A2612,[17]PRIORIZADOS!$A:$P,16,FALSE)),"")</f>
        <v>Visitas de evaluación con fines de mejoramiento</v>
      </c>
      <c r="Q2612" s="107" t="s">
        <v>508</v>
      </c>
      <c r="R2612" s="11" t="str">
        <f>IFERROR(IF(VLOOKUP(A2612,[17]PRIORIZADOS!$A:$R,18,FALSE)="","",VLOOKUP(A2612,[17]PRIORIZADOS!$A:$R,18,FALSE)),"")</f>
        <v>La institución cuenta con los espacios físicos campestres  para atender la población educativa, incluyendo espacios lúdicos para los estudiantes.
Las áreas de Talento humano, jurídica, Financiera, Mercadeo y ventas las atienden desde la sede del grupo educativo Monterrosales S.A.S.</v>
      </c>
      <c r="S2612" s="11" t="str">
        <f>IFERROR(IF(VLOOKUP(A2612,[17]PRIORIZADOS!$A:$S,19,FALSE)="","",VLOOKUP(A2612,[17]PRIORIZADOS!$A:$S,19,FALSE)),"")</f>
        <v>Cuentan con una infraestructura adecuada y suficiente para atender la población educativa</v>
      </c>
      <c r="T2612" s="70" t="str">
        <f>IFERROR(IF(VLOOKUP(A2612,[17]PRIORIZADOS!$A:$T,20,FALSE)="","",VLOOKUP(A2612,[17]PRIORIZADOS!$A:$T,20,FALSE)),"")</f>
        <v>No</v>
      </c>
      <c r="U2612" s="11" t="str">
        <f>IFERROR(IF(VLOOKUP(A2612,[17]PRIORIZADOS!$A:$U,21,FALSE)="","",VLOOKUP(A2612,[17]PRIORIZADOS!$A:$U,21,FALSE)),"")</f>
        <v>Se realizará revisión de la infraestructura educativa en caso de presentarse algún reclamo.</v>
      </c>
    </row>
    <row r="2613" spans="1:21" s="1" customFormat="1" ht="60">
      <c r="A2613" s="69">
        <f>IF([17]PRIORIZADOS!A61="","",[17]PRIORIZADOS!A61)</f>
        <v>2597</v>
      </c>
      <c r="B2613" s="70">
        <f>IFERROR(IF(VLOOKUP(A2613,[17]PRIORIZADOS!$A:$B,2,FALSE)="","",VLOOKUP(A2613,[17]PRIORIZADOS!$A:$B,2,FALSE)),"")</f>
        <v>7</v>
      </c>
      <c r="C2613" s="11" t="str">
        <f>IFERROR(IF(VLOOKUP(A2613,[17]PRIORIZADOS!$A:$C,3,FALSE)="","",VLOOKUP(A2613,[17]PRIORIZADOS!$A:$C,3,FALSE)),"")</f>
        <v>USAQUÉN</v>
      </c>
      <c r="D2613" s="11" t="str">
        <f>IFERROR(IF(VLOOKUP(A2613,[17]PRIORIZADOS!$A:$D,4,FALSE)="","",VLOOKUP(A2613,[17]PRIORIZADOS!$A:$D,4,FALSE)),"")</f>
        <v>PRIVADO</v>
      </c>
      <c r="E2613" s="11" t="str">
        <f>IFERROR(IF(VLOOKUP(A2613,[17]PRIORIZADOS!$A:$E,5,FALSE)="","",VLOOKUP(A2613,[17]PRIORIZADOS!$A:$E,5,FALSE)),"")</f>
        <v>EPBM</v>
      </c>
      <c r="F2613" s="11" t="str">
        <f>IFERROR(IF(VLOOKUP(A2613,[17]PRIORIZADOS!$A:$F,6,FALSE)="","",VLOOKUP(A2613,[17]PRIORIZADOS!$A:$F,6,FALSE)),"")</f>
        <v>FUNDACION_EDUCACIONAL_ANA_RESTREPO_DEL_CORRAL</v>
      </c>
      <c r="G2613" s="11" t="str">
        <f>IFERROR(IF(VLOOKUP(A2613,[17]PRIORIZADOS!$A:$G,7,FALSE)="","",VLOOKUP(A2613,[17]PRIORIZADOS!$A:$G,7,FALSE)),"")</f>
        <v>FUNDACION EDUCACIONAL ANA RESTREPO DEL CORRAL</v>
      </c>
      <c r="H2613" s="11" t="str">
        <f>IFERROR(IF(VLOOKUP(A2613,[17]PRIORIZADOS!$A:$H,8,FALSE)="","",VLOOKUP(A2613,[17]PRIORIZADOS!$A:$H,8,FALSE)),"")</f>
        <v>Autoevaluación Institucional y Pruebas SABER 11</v>
      </c>
      <c r="I2613" s="11" t="str">
        <f>IFERROR(IF(VLOOKUP(A2613,[17]PRIORIZADOS!$A:$I,9,FALSE)="","",VLOOKUP(A2613,[17]PRIORIZADOS!$A:$I,9,FALSE)),"")</f>
        <v>SEGUIMIENTO_Y_SUPERVISIÓN.</v>
      </c>
      <c r="J2613" s="11" t="str">
        <f>IFERROR(IF(VLOOKUP(A2613,[17]PRIORIZADOS!$A:$J,10,FALSE)="","",VLOOKUP(A2613,[17]PRIORIZADOS!$A:$J,10,FALSE)),"")</f>
        <v>Realizar visitas para verificar la información registrada sobre la autoevaluación institucional en el aplicativo EVI, a los establecimientos de educación formal no oficial.</v>
      </c>
      <c r="K2613" s="11" t="str">
        <f>IFERROR(IF(VLOOKUP(A2613,[17]PRIORIZADOS!$A:$K,11,FALSE)="","",VLOOKUP(A2613,[17]PRIORIZADOS!$A:$K,11,FALSE)),"")</f>
        <v>JENNIFER CATALINA TORRES PIRA</v>
      </c>
      <c r="L2613" s="11" t="str">
        <f>IFERROR(IF(VLOOKUP(A2613,[17]PRIORIZADOS!$A:$L,12,FALSE)="","",VLOOKUP(A2613,[17]PRIORIZADOS!$A:$L,12,FALSE)),"")</f>
        <v>GILMA ESTHER ALBARRACÍN BALLESTEROS</v>
      </c>
      <c r="M2613" s="71">
        <f>IFERROR(IF(VLOOKUP(A2613,[17]PRIORIZADOS!$A:$M,13,FALSE)="","",VLOOKUP(A2613,[17]PRIORIZADOS!$A:$M,13,FALSE)),"")</f>
        <v>45820</v>
      </c>
      <c r="N2613" s="71">
        <f>IFERROR(IF(VLOOKUP(A2613,[17]PRIORIZADOS!$A:$N,14,FALSE)="","",VLOOKUP(A2613,[17]PRIORIZADOS!$A:$N,14,FALSE)),"")</f>
        <v>45820</v>
      </c>
      <c r="O2613" s="71">
        <f>IFERROR(IF(VLOOKUP(A2613,[17]PRIORIZADOS!$A:$O,15,FALSE)="","",VLOOKUP(A2613,[17]PRIORIZADOS!$A:$O,15,FALSE)),"")</f>
        <v>45820</v>
      </c>
      <c r="P2613" s="11" t="str">
        <f>IFERROR(IF(VLOOKUP(A2613,[17]PRIORIZADOS!$A:$P,16,FALSE)="","",VLOOKUP(A2613,[17]PRIORIZADOS!$A:$P,16,FALSE)),"")</f>
        <v>Visitas de evaluación con fines de seguimiento</v>
      </c>
      <c r="Q2613" s="107" t="s">
        <v>508</v>
      </c>
      <c r="R2613" s="11" t="str">
        <f>IFERROR(IF(VLOOKUP(A2613,[17]PRIORIZADOS!$A:$R,18,FALSE)="","",VLOOKUP(A2613,[17]PRIORIZADOS!$A:$R,18,FALSE)),"")</f>
        <v>Se encuentra que lo registrado en la autoevaluación respecto  infraestructura, cargos y estudiantes, esta acorde con lo que se evidenció en la visita a la Institución educativa.</v>
      </c>
      <c r="S2613" s="11" t="str">
        <f>IFERROR(IF(VLOOKUP(A2613,[17]PRIORIZADOS!$A:$S,19,FALSE)="","",VLOOKUP(A2613,[17]PRIORIZADOS!$A:$S,19,FALSE)),"")</f>
        <v>Seguir realizando la autoevaluación anualmente, de acuerdo con los ajustes que se lleguen a presentar.</v>
      </c>
      <c r="T2613" s="70" t="str">
        <f>IFERROR(IF(VLOOKUP(A2613,[17]PRIORIZADOS!$A:$T,20,FALSE)="","",VLOOKUP(A2613,[17]PRIORIZADOS!$A:$T,20,FALSE)),"")</f>
        <v>No</v>
      </c>
      <c r="U2613" s="11" t="str">
        <f>IFERROR(IF(VLOOKUP(A2613,[17]PRIORIZADOS!$A:$U,21,FALSE)="","",VLOOKUP(A2613,[17]PRIORIZADOS!$A:$U,21,FALSE)),"")</f>
        <v>Verificar la autoevaluación del año 2025, con el fin de validar las tarifas para el año 2026.</v>
      </c>
    </row>
    <row r="2614" spans="1:21" s="1" customFormat="1" ht="60">
      <c r="A2614" s="69">
        <f>IF([17]PRIORIZADOS!A62="","",[17]PRIORIZADOS!A62)</f>
        <v>2598</v>
      </c>
      <c r="B2614" s="70">
        <v>7</v>
      </c>
      <c r="C2614" s="11" t="str">
        <f>IFERROR(IF(VLOOKUP(A2614,[17]PRIORIZADOS!$A:$C,3,FALSE)="","",VLOOKUP(A2614,[17]PRIORIZADOS!$A:$C,3,FALSE)),"")</f>
        <v>USAQUÉN</v>
      </c>
      <c r="D2614" s="11" t="str">
        <f>IFERROR(IF(VLOOKUP(A2614,[17]PRIORIZADOS!$A:$D,4,FALSE)="","",VLOOKUP(A2614,[17]PRIORIZADOS!$A:$D,4,FALSE)),"")</f>
        <v>PRIVADO</v>
      </c>
      <c r="E2614" s="11" t="str">
        <f>IFERROR(IF(VLOOKUP(A2614,[17]PRIORIZADOS!$A:$E,5,FALSE)="","",VLOOKUP(A2614,[17]PRIORIZADOS!$A:$E,5,FALSE)),"")</f>
        <v>EPBM</v>
      </c>
      <c r="F2614" s="11" t="str">
        <f>IFERROR(IF(VLOOKUP(A2614,[17]PRIORIZADOS!$A:$F,6,FALSE)="","",VLOOKUP(A2614,[17]PRIORIZADOS!$A:$F,6,FALSE)),"")</f>
        <v>FUNDACION_EDUCACIONAL_ANA_RESTREPO_DEL_CORRAL</v>
      </c>
      <c r="G2614" s="11" t="str">
        <f>IFERROR(IF(VLOOKUP(A2614,[17]PRIORIZADOS!$A:$G,7,FALSE)="","",VLOOKUP(A2614,[17]PRIORIZADOS!$A:$G,7,FALSE)),"")</f>
        <v>FUNDACION EDUCACIONAL ANA RESTREPO DEL CORRAL</v>
      </c>
      <c r="H2614" s="11" t="str">
        <f>IFERROR(IF(VLOOKUP(A2614,[17]PRIORIZADOS!$A:$H,8,FALSE)="","",VLOOKUP(A2614,[17]PRIORIZADOS!$A:$H,8,FALSE)),"")</f>
        <v>Autoevaluación Institucional y Pruebas SABER 11</v>
      </c>
      <c r="I2614" s="11" t="str">
        <f>IFERROR(IF(VLOOKUP(A2614,[17]PRIORIZADOS!$A:$I,9,FALSE)="","",VLOOKUP(A2614,[17]PRIORIZADOS!$A:$I,9,FALSE)),"")</f>
        <v>SEGUIMIENTO_Y_SUPERVISIÓN.</v>
      </c>
      <c r="J2614" s="11" t="str">
        <f>IFERROR(IF(VLOOKUP(A2614,[17]PRIORIZADOS!$A:$J,10,FALSE)="","",VLOOKUP(A2614,[17]PRIORIZADOS!$A:$J,10,FALSE)),"")</f>
        <v>Proponer estrategias en la formulación, verificar su elaboración y realizar seguimiento semestral al desarrollo de  las acciones establecidas en los planes de mejoramiento por pruebas SABER 11 de los establecimientos de educación formal.</v>
      </c>
      <c r="K2614" s="11" t="str">
        <f>IFERROR(IF(VLOOKUP(A2614,[17]PRIORIZADOS!$A:$K,11,FALSE)="","",VLOOKUP(A2614,[17]PRIORIZADOS!$A:$K,11,FALSE)),"")</f>
        <v>JENNIFER CATALINA TORRES PIRA</v>
      </c>
      <c r="L2614" s="11" t="str">
        <f>IFERROR(IF(VLOOKUP(A2614,[17]PRIORIZADOS!$A:$L,12,FALSE)="","",VLOOKUP(A2614,[17]PRIORIZADOS!$A:$L,12,FALSE)),"")</f>
        <v>GILMA ESTHER ALBARRACÍN BALLESTEROS</v>
      </c>
      <c r="M2614" s="71">
        <f>IFERROR(IF(VLOOKUP(A2614,[17]PRIORIZADOS!$A:$M,13,FALSE)="","",VLOOKUP(A2614,[17]PRIORIZADOS!$A:$M,13,FALSE)),"")</f>
        <v>45820</v>
      </c>
      <c r="N2614" s="71">
        <f>IFERROR(IF(VLOOKUP(A2614,[17]PRIORIZADOS!$A:$N,14,FALSE)="","",VLOOKUP(A2614,[17]PRIORIZADOS!$A:$N,14,FALSE)),"")</f>
        <v>45820</v>
      </c>
      <c r="O2614" s="71">
        <f>IFERROR(IF(VLOOKUP(A2614,[17]PRIORIZADOS!$A:$O,15,FALSE)="","",VLOOKUP(A2614,[17]PRIORIZADOS!$A:$O,15,FALSE)),"")</f>
        <v>45820</v>
      </c>
      <c r="P2614" s="11" t="str">
        <f>IFERROR(IF(VLOOKUP(A2614,[17]PRIORIZADOS!$A:$P,16,FALSE)="","",VLOOKUP(A2614,[17]PRIORIZADOS!$A:$P,16,FALSE)),"")</f>
        <v>Visitas de evaluación con fines de seguimiento</v>
      </c>
      <c r="Q2614" s="107" t="s">
        <v>509</v>
      </c>
      <c r="R2614" s="11" t="str">
        <f>IFERROR(IF(VLOOKUP(A2614,[17]PRIORIZADOS!$A:$R,18,FALSE)="","",VLOOKUP(A2614,[17]PRIORIZADOS!$A:$R,18,FALSE)),"")</f>
        <v xml:space="preserve">Se evidencia que realizó revisión y análisis de los resultados Pruebas Saber 11° del año anterior y elaboraron el Plan de mejoramiento, que contempla: realización de  simulacros con firma especializada. </v>
      </c>
      <c r="S2614" s="11" t="str">
        <f>IFERROR(IF(VLOOKUP(A2614,[17]PRIORIZADOS!$A:$S,19,FALSE)="","",VLOOKUP(A2614,[17]PRIORIZADOS!$A:$S,19,FALSE)),"")</f>
        <v>Implementar las acciones establecidas en el plan de mejoramiento y presentar a inspección y vigilancia en el primer semestre del año.</v>
      </c>
      <c r="T2614" s="70" t="str">
        <f>IFERROR(IF(VLOOKUP(A2614,[17]PRIORIZADOS!$A:$T,20,FALSE)="","",VLOOKUP(A2614,[17]PRIORIZADOS!$A:$T,20,FALSE)),"")</f>
        <v>Si</v>
      </c>
      <c r="U2614" s="11" t="str">
        <f>IFERROR(IF(VLOOKUP(A2614,[17]PRIORIZADOS!$A:$U,21,FALSE)="","",VLOOKUP(A2614,[17]PRIORIZADOS!$A:$U,21,FALSE)),"")</f>
        <v>Realizar seguimiento a las acciones establecidas en el plan de mejoramiento</v>
      </c>
    </row>
    <row r="2615" spans="1:21" s="1" customFormat="1" ht="118.5">
      <c r="A2615" s="69">
        <f>IF([17]PRIORIZADOS!A63="","",[17]PRIORIZADOS!A63)</f>
        <v>2599</v>
      </c>
      <c r="B2615" s="70">
        <v>7</v>
      </c>
      <c r="C2615" s="11" t="str">
        <f>IFERROR(IF(VLOOKUP(A2615,[17]PRIORIZADOS!$A:$C,3,FALSE)="","",VLOOKUP(A2615,[17]PRIORIZADOS!$A:$C,3,FALSE)),"")</f>
        <v>USAQUÉN</v>
      </c>
      <c r="D2615" s="11" t="str">
        <f>IFERROR(IF(VLOOKUP(A2615,[17]PRIORIZADOS!$A:$D,4,FALSE)="","",VLOOKUP(A2615,[17]PRIORIZADOS!$A:$D,4,FALSE)),"")</f>
        <v>PRIVADO</v>
      </c>
      <c r="E2615" s="11" t="str">
        <f>IFERROR(IF(VLOOKUP(A2615,[17]PRIORIZADOS!$A:$E,5,FALSE)="","",VLOOKUP(A2615,[17]PRIORIZADOS!$A:$E,5,FALSE)),"")</f>
        <v>EPBM</v>
      </c>
      <c r="F2615" s="11" t="str">
        <f>IFERROR(IF(VLOOKUP(A2615,[17]PRIORIZADOS!$A:$F,6,FALSE)="","",VLOOKUP(A2615,[17]PRIORIZADOS!$A:$F,6,FALSE)),"")</f>
        <v>FUNDACION_EDUCACIONAL_ANA_RESTREPO_DEL_CORRAL</v>
      </c>
      <c r="G2615" s="11" t="str">
        <f>IFERROR(IF(VLOOKUP(A2615,[17]PRIORIZADOS!$A:$G,7,FALSE)="","",VLOOKUP(A2615,[17]PRIORIZADOS!$A:$G,7,FALSE)),"")</f>
        <v>FUNDACION EDUCACIONAL ANA RESTREPO DEL CORRAL</v>
      </c>
      <c r="H2615" s="11" t="str">
        <f>IFERROR(IF(VLOOKUP(A2615,[17]PRIORIZADOS!$A:$H,8,FALSE)="","",VLOOKUP(A2615,[17]PRIORIZADOS!$A:$H,8,FALSE)),"")</f>
        <v>Autoevaluación Institucional y Pruebas SABER 11</v>
      </c>
      <c r="I2615" s="11" t="str">
        <f>IFERROR(IF(VLOOKUP(A2615,[17]PRIORIZADOS!$A:$I,9,FALSE)="","",VLOOKUP(A2615,[17]PRIORIZADOS!$A:$I,9,FALSE)),"")</f>
        <v>SEGUIMIENTO_Y_SUPERVISIÓN.</v>
      </c>
      <c r="J2615" s="11" t="str">
        <f>IFERROR(IF(VLOOKUP(A2615,[17]PRIORIZADOS!$A:$J,10,FALSE)="","",VLOOKUP(A2615,[17]PRIORIZADOS!$A:$J,10,FALSE)),"")</f>
        <v xml:space="preserve">Verificar la implementación por parte de los colegios, de acciones realizadas para la prevención y atención de las situaciones de convivencia en el entorno escolar, según lo establecido en la Directiva 01 de 2022 del MEN. </v>
      </c>
      <c r="K2615" s="11" t="str">
        <f>IFERROR(IF(VLOOKUP(A2615,[17]PRIORIZADOS!$A:$K,11,FALSE)="","",VLOOKUP(A2615,[17]PRIORIZADOS!$A:$K,11,FALSE)),"")</f>
        <v>JENNIFER CATALINA TORRES PIRA</v>
      </c>
      <c r="L2615" s="11" t="str">
        <f>IFERROR(IF(VLOOKUP(A2615,[17]PRIORIZADOS!$A:$L,12,FALSE)="","",VLOOKUP(A2615,[17]PRIORIZADOS!$A:$L,12,FALSE)),"")</f>
        <v>GILMA ESTHER ALBARRACÍN BALLESTEROS</v>
      </c>
      <c r="M2615" s="71">
        <f>IFERROR(IF(VLOOKUP(A2615,[17]PRIORIZADOS!$A:$M,13,FALSE)="","",VLOOKUP(A2615,[17]PRIORIZADOS!$A:$M,13,FALSE)),"")</f>
        <v>45820</v>
      </c>
      <c r="N2615" s="71">
        <f>IFERROR(IF(VLOOKUP(A2615,[17]PRIORIZADOS!$A:$N,14,FALSE)="","",VLOOKUP(A2615,[17]PRIORIZADOS!$A:$N,14,FALSE)),"")</f>
        <v>45820</v>
      </c>
      <c r="O2615" s="71">
        <f>IFERROR(IF(VLOOKUP(A2615,[17]PRIORIZADOS!$A:$O,15,FALSE)="","",VLOOKUP(A2615,[17]PRIORIZADOS!$A:$O,15,FALSE)),"")</f>
        <v>45820</v>
      </c>
      <c r="P2615" s="11" t="str">
        <f>IFERROR(IF(VLOOKUP(A2615,[17]PRIORIZADOS!$A:$P,16,FALSE)="","",VLOOKUP(A2615,[17]PRIORIZADOS!$A:$P,16,FALSE)),"")</f>
        <v>Visitas de evaluación con fines de seguimiento</v>
      </c>
      <c r="Q2615" s="107" t="s">
        <v>509</v>
      </c>
      <c r="R2615" s="11" t="str">
        <f>IFERROR(IF(VLOOKUP(A2615,[17]PRIORIZADOS!$A:$R,18,FALSE)="","",VLOOKUP(A2615,[17]PRIORIZADOS!$A:$R,18,FALSE)),"")</f>
        <v>Cuentan con el comité de convivencia, el cual esta debidamente reglamentado.
Definen la ruta de atención y han realizado los reportes al sistema de alerta cuando se ha requerido.
Verifican cada 4 meses las inhabilidades por delitos sexuales, para el personal administrativo y docente de la Institución.</v>
      </c>
      <c r="S2615" s="11" t="str">
        <f>IFERROR(IF(VLOOKUP(A2615,[17]PRIORIZADOS!$A:$S,19,FALSE)="","",VLOOKUP(A2615,[17]PRIORIZADOS!$A:$S,19,FALSE)),"")</f>
        <v>Realizar seguimiento a los casos de convivencia escolar y seguir aplicando lo establecido en el Manual de Convivencia.</v>
      </c>
      <c r="T2615" s="70" t="str">
        <f>IFERROR(IF(VLOOKUP(A2615,[17]PRIORIZADOS!$A:$T,20,FALSE)="","",VLOOKUP(A2615,[17]PRIORIZADOS!$A:$T,20,FALSE)),"")</f>
        <v>No</v>
      </c>
      <c r="U2615" s="11" t="str">
        <f>IFERROR(IF(VLOOKUP(A2615,[17]PRIORIZADOS!$A:$U,21,FALSE)="","",VLOOKUP(A2615,[17]PRIORIZADOS!$A:$U,21,FALSE)),"")</f>
        <v>Revisar los casos de convivencia escolar y verificar que se cumplan los protocolos definidos en el manual de convivencia.</v>
      </c>
    </row>
    <row r="2616" spans="1:21" s="1" customFormat="1" ht="72">
      <c r="A2616" s="69">
        <f>IF([17]PRIORIZADOS!A64="","",[17]PRIORIZADOS!A64)</f>
        <v>2600</v>
      </c>
      <c r="B2616" s="70">
        <v>7</v>
      </c>
      <c r="C2616" s="11" t="str">
        <f>IFERROR(IF(VLOOKUP(A2616,[17]PRIORIZADOS!$A:$C,3,FALSE)="","",VLOOKUP(A2616,[17]PRIORIZADOS!$A:$C,3,FALSE)),"")</f>
        <v>USAQUÉN</v>
      </c>
      <c r="D2616" s="11" t="str">
        <f>IFERROR(IF(VLOOKUP(A2616,[17]PRIORIZADOS!$A:$D,4,FALSE)="","",VLOOKUP(A2616,[17]PRIORIZADOS!$A:$D,4,FALSE)),"")</f>
        <v>PRIVADO</v>
      </c>
      <c r="E2616" s="11" t="str">
        <f>IFERROR(IF(VLOOKUP(A2616,[17]PRIORIZADOS!$A:$E,5,FALSE)="","",VLOOKUP(A2616,[17]PRIORIZADOS!$A:$E,5,FALSE)),"")</f>
        <v>EPBM</v>
      </c>
      <c r="F2616" s="11" t="str">
        <f>IFERROR(IF(VLOOKUP(A2616,[17]PRIORIZADOS!$A:$F,6,FALSE)="","",VLOOKUP(A2616,[17]PRIORIZADOS!$A:$F,6,FALSE)),"")</f>
        <v>FUNDACION_EDUCACIONAL_ANA_RESTREPO_DEL_CORRAL</v>
      </c>
      <c r="G2616" s="11" t="str">
        <f>IFERROR(IF(VLOOKUP(A2616,[17]PRIORIZADOS!$A:$G,7,FALSE)="","",VLOOKUP(A2616,[17]PRIORIZADOS!$A:$G,7,FALSE)),"")</f>
        <v>FUNDACION EDUCACIONAL ANA RESTREPO DEL CORRAL</v>
      </c>
      <c r="H2616" s="11" t="str">
        <f>IFERROR(IF(VLOOKUP(A2616,[17]PRIORIZADOS!$A:$H,8,FALSE)="","",VLOOKUP(A2616,[17]PRIORIZADOS!$A:$H,8,FALSE)),"")</f>
        <v>Autoevaluación Institucional y Pruebas SABER 11</v>
      </c>
      <c r="I2616" s="11" t="str">
        <f>IFERROR(IF(VLOOKUP(A2616,[17]PRIORIZADOS!$A:$I,9,FALSE)="","",VLOOKUP(A2616,[17]PRIORIZADOS!$A:$I,9,FALSE)),"")</f>
        <v>SEGUIMIENTO_Y_SUPERVISIÓN.</v>
      </c>
      <c r="J2616" s="11" t="str">
        <f>IFERROR(IF(VLOOKUP(A2616,[17]PRIORIZADOS!$A:$J,10,FALSE)="","",VLOOKUP(A2616,[17]PRIORIZADOS!$A:$J,10,FALSE)),"")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16" s="11" t="str">
        <f>IFERROR(IF(VLOOKUP(A2616,[17]PRIORIZADOS!$A:$K,11,FALSE)="","",VLOOKUP(A2616,[17]PRIORIZADOS!$A:$K,11,FALSE)),"")</f>
        <v>JENNIFER CATALINA TORRES PIRA</v>
      </c>
      <c r="L2616" s="11" t="str">
        <f>IFERROR(IF(VLOOKUP(A2616,[17]PRIORIZADOS!$A:$L,12,FALSE)="","",VLOOKUP(A2616,[17]PRIORIZADOS!$A:$L,12,FALSE)),"")</f>
        <v>GILMA ESTHER ALBARRACÍN BALLESTEROS</v>
      </c>
      <c r="M2616" s="71">
        <f>IFERROR(IF(VLOOKUP(A2616,[17]PRIORIZADOS!$A:$M,13,FALSE)="","",VLOOKUP(A2616,[17]PRIORIZADOS!$A:$M,13,FALSE)),"")</f>
        <v>45820</v>
      </c>
      <c r="N2616" s="71">
        <f>IFERROR(IF(VLOOKUP(A2616,[17]PRIORIZADOS!$A:$N,14,FALSE)="","",VLOOKUP(A2616,[17]PRIORIZADOS!$A:$N,14,FALSE)),"")</f>
        <v>45820</v>
      </c>
      <c r="O2616" s="71">
        <f>IFERROR(IF(VLOOKUP(A2616,[17]PRIORIZADOS!$A:$O,15,FALSE)="","",VLOOKUP(A2616,[17]PRIORIZADOS!$A:$O,15,FALSE)),"")</f>
        <v>45820</v>
      </c>
      <c r="P2616" s="11" t="str">
        <f>IFERROR(IF(VLOOKUP(A2616,[17]PRIORIZADOS!$A:$P,16,FALSE)="","",VLOOKUP(A2616,[17]PRIORIZADOS!$A:$P,16,FALSE)),"")</f>
        <v>Visitas de evaluación con fines de seguimiento</v>
      </c>
      <c r="Q2616" s="107" t="s">
        <v>509</v>
      </c>
      <c r="R2616" s="11" t="str">
        <f>IFERROR(IF(VLOOKUP(A2616,[17]PRIORIZADOS!$A:$R,18,FALSE)="","",VLOOKUP(A2616,[17]PRIORIZADOS!$A:$R,18,FALSE)),"")</f>
        <v>Tienen definido los Planes Individuales de Ajustes Razonables -PIAR. 
No tienen estudiantes con discapacidad</v>
      </c>
      <c r="S2616" s="11" t="str">
        <f>IFERROR(IF(VLOOKUP(A2616,[17]PRIORIZADOS!$A:$S,19,FALSE)="","",VLOOKUP(A2616,[17]PRIORIZADOS!$A:$S,19,FALSE)),"")</f>
        <v>Aplicar lo definido cuando se presenten casos que requieran los PIAR</v>
      </c>
      <c r="T2616" s="70" t="str">
        <f>IFERROR(IF(VLOOKUP(A2616,[17]PRIORIZADOS!$A:$T,20,FALSE)="","",VLOOKUP(A2616,[17]PRIORIZADOS!$A:$T,20,FALSE)),"")</f>
        <v>No</v>
      </c>
      <c r="U2616" s="11" t="str">
        <f>IFERROR(IF(VLOOKUP(A2616,[17]PRIORIZADOS!$A:$U,21,FALSE)="","",VLOOKUP(A2616,[17]PRIORIZADOS!$A:$U,21,FALSE)),"")</f>
        <v>Revisar los casos de PIAR cuando se requiera</v>
      </c>
    </row>
    <row r="2617" spans="1:21" s="1" customFormat="1" ht="84">
      <c r="A2617" s="69">
        <f>IF([17]PRIORIZADOS!A65="","",[17]PRIORIZADOS!A65)</f>
        <v>2601</v>
      </c>
      <c r="B2617" s="70">
        <v>7</v>
      </c>
      <c r="C2617" s="11" t="str">
        <f>IFERROR(IF(VLOOKUP(A2617,[17]PRIORIZADOS!$A:$C,3,FALSE)="","",VLOOKUP(A2617,[17]PRIORIZADOS!$A:$C,3,FALSE)),"")</f>
        <v>USAQUÉN</v>
      </c>
      <c r="D2617" s="11" t="str">
        <f>IFERROR(IF(VLOOKUP(A2617,[17]PRIORIZADOS!$A:$D,4,FALSE)="","",VLOOKUP(A2617,[17]PRIORIZADOS!$A:$D,4,FALSE)),"")</f>
        <v>PRIVADO</v>
      </c>
      <c r="E2617" s="11" t="str">
        <f>IFERROR(IF(VLOOKUP(A2617,[17]PRIORIZADOS!$A:$E,5,FALSE)="","",VLOOKUP(A2617,[17]PRIORIZADOS!$A:$E,5,FALSE)),"")</f>
        <v>EPBM</v>
      </c>
      <c r="F2617" s="11" t="str">
        <f>IFERROR(IF(VLOOKUP(A2617,[17]PRIORIZADOS!$A:$F,6,FALSE)="","",VLOOKUP(A2617,[17]PRIORIZADOS!$A:$F,6,FALSE)),"")</f>
        <v>FUNDACION_EDUCACIONAL_ANA_RESTREPO_DEL_CORRAL</v>
      </c>
      <c r="G2617" s="11" t="str">
        <f>IFERROR(IF(VLOOKUP(A2617,[17]PRIORIZADOS!$A:$G,7,FALSE)="","",VLOOKUP(A2617,[17]PRIORIZADOS!$A:$G,7,FALSE)),"")</f>
        <v>FUNDACION EDUCACIONAL ANA RESTREPO DEL CORRAL</v>
      </c>
      <c r="H2617" s="11" t="str">
        <f>IFERROR(IF(VLOOKUP(A2617,[17]PRIORIZADOS!$A:$H,8,FALSE)="","",VLOOKUP(A2617,[17]PRIORIZADOS!$A:$H,8,FALSE)),"")</f>
        <v>Autoevaluación Institucional y Pruebas SABER 11</v>
      </c>
      <c r="I2617" s="11" t="str">
        <f>IFERROR(IF(VLOOKUP(A2617,[17]PRIORIZADOS!$A:$I,9,FALSE)="","",VLOOKUP(A2617,[17]PRIORIZADOS!$A:$I,9,FALSE)),"")</f>
        <v>EVALUACIÓN_CON_FINES_DE_MEJORAMIENTO.</v>
      </c>
      <c r="J2617" s="11" t="str">
        <f>IFERROR(IF(VLOOKUP(A2617,[17]PRIORIZADOS!$A:$J,10,FALSE)="","",VLOOKUP(A2617,[17]PRIORIZADOS!$A:$J,10,FALSE)),"")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17" s="11" t="str">
        <f>IFERROR(IF(VLOOKUP(A2617,[17]PRIORIZADOS!$A:$K,11,FALSE)="","",VLOOKUP(A2617,[17]PRIORIZADOS!$A:$K,11,FALSE)),"")</f>
        <v>JENNIFER CATALINA TORRES PIRA</v>
      </c>
      <c r="L2617" s="11" t="str">
        <f>IFERROR(IF(VLOOKUP(A2617,[17]PRIORIZADOS!$A:$L,12,FALSE)="","",VLOOKUP(A2617,[17]PRIORIZADOS!$A:$L,12,FALSE)),"")</f>
        <v>GILMA ESTHER ALBARRACÍN BALLESTEROS</v>
      </c>
      <c r="M2617" s="71">
        <f>IFERROR(IF(VLOOKUP(A2617,[17]PRIORIZADOS!$A:$M,13,FALSE)="","",VLOOKUP(A2617,[17]PRIORIZADOS!$A:$M,13,FALSE)),"")</f>
        <v>45820</v>
      </c>
      <c r="N2617" s="71">
        <f>IFERROR(IF(VLOOKUP(A2617,[17]PRIORIZADOS!$A:$N,14,FALSE)="","",VLOOKUP(A2617,[17]PRIORIZADOS!$A:$N,14,FALSE)),"")</f>
        <v>45820</v>
      </c>
      <c r="O2617" s="71">
        <f>IFERROR(IF(VLOOKUP(A2617,[17]PRIORIZADOS!$A:$O,15,FALSE)="","",VLOOKUP(A2617,[17]PRIORIZADOS!$A:$O,15,FALSE)),"")</f>
        <v>45820</v>
      </c>
      <c r="P2617" s="11" t="str">
        <f>IFERROR(IF(VLOOKUP(A2617,[17]PRIORIZADOS!$A:$P,16,FALSE)="","",VLOOKUP(A2617,[17]PRIORIZADOS!$A:$P,16,FALSE)),"")</f>
        <v>Visitas de evaluación con fines de mejoramiento</v>
      </c>
      <c r="Q2617" s="107" t="s">
        <v>509</v>
      </c>
      <c r="R2617" s="11" t="str">
        <f>IFERROR(IF(VLOOKUP(A2617,[17]PRIORIZADOS!$A:$R,18,FALSE)="","",VLOOKUP(A2617,[17]PRIORIZADOS!$A:$R,18,FALSE)),"")</f>
        <v>El manual de convivencia fue adoptado mediante acta del consejo directivo, participó en su elaboración la comunidad educativa, esta actualizado a 2025, conforme la normatividad vigente.</v>
      </c>
      <c r="S2617" s="11" t="str">
        <f>IFERROR(IF(VLOOKUP(A2617,[17]PRIORIZADOS!$A:$S,19,FALSE)="","",VLOOKUP(A2617,[17]PRIORIZADOS!$A:$S,19,FALSE)),"")</f>
        <v xml:space="preserve">Continuar con la actualización anual y participativa de la comunidad educativa </v>
      </c>
      <c r="T2617" s="70" t="str">
        <f>IFERROR(IF(VLOOKUP(A2617,[17]PRIORIZADOS!$A:$T,20,FALSE)="","",VLOOKUP(A2617,[17]PRIORIZADOS!$A:$T,20,FALSE)),"")</f>
        <v>No</v>
      </c>
      <c r="U2617" s="11" t="str">
        <f>IFERROR(IF(VLOOKUP(A2617,[17]PRIORIZADOS!$A:$U,21,FALSE)="","",VLOOKUP(A2617,[17]PRIORIZADOS!$A:$U,21,FALSE)),"")</f>
        <v>Validar la actualización del manual de conviviencia para la vigencia 2026</v>
      </c>
    </row>
    <row r="2618" spans="1:21" s="1" customFormat="1" ht="154.5">
      <c r="A2618" s="69">
        <f>IF([17]PRIORIZADOS!A66="","",[17]PRIORIZADOS!A66)</f>
        <v>2602</v>
      </c>
      <c r="B2618" s="70">
        <v>7</v>
      </c>
      <c r="C2618" s="11" t="str">
        <f>IFERROR(IF(VLOOKUP(A2618,[17]PRIORIZADOS!$A:$C,3,FALSE)="","",VLOOKUP(A2618,[17]PRIORIZADOS!$A:$C,3,FALSE)),"")</f>
        <v>USAQUÉN</v>
      </c>
      <c r="D2618" s="11" t="str">
        <f>IFERROR(IF(VLOOKUP(A2618,[17]PRIORIZADOS!$A:$D,4,FALSE)="","",VLOOKUP(A2618,[17]PRIORIZADOS!$A:$D,4,FALSE)),"")</f>
        <v>PRIVADO</v>
      </c>
      <c r="E2618" s="11" t="str">
        <f>IFERROR(IF(VLOOKUP(A2618,[17]PRIORIZADOS!$A:$E,5,FALSE)="","",VLOOKUP(A2618,[17]PRIORIZADOS!$A:$E,5,FALSE)),"")</f>
        <v>EPBM</v>
      </c>
      <c r="F2618" s="11" t="str">
        <f>IFERROR(IF(VLOOKUP(A2618,[17]PRIORIZADOS!$A:$F,6,FALSE)="","",VLOOKUP(A2618,[17]PRIORIZADOS!$A:$F,6,FALSE)),"")</f>
        <v>FUNDACION_EDUCACIONAL_ANA_RESTREPO_DEL_CORRAL</v>
      </c>
      <c r="G2618" s="11" t="str">
        <f>IFERROR(IF(VLOOKUP(A2618,[17]PRIORIZADOS!$A:$G,7,FALSE)="","",VLOOKUP(A2618,[17]PRIORIZADOS!$A:$G,7,FALSE)),"")</f>
        <v>FUNDACION EDUCACIONAL ANA RESTREPO DEL CORRAL</v>
      </c>
      <c r="H2618" s="11" t="str">
        <f>IFERROR(IF(VLOOKUP(A2618,[17]PRIORIZADOS!$A:$H,8,FALSE)="","",VLOOKUP(A2618,[17]PRIORIZADOS!$A:$H,8,FALSE)),"")</f>
        <v>Autoevaluación Institucional y Pruebas SABER 11</v>
      </c>
      <c r="I2618" s="11" t="str">
        <f>IFERROR(IF(VLOOKUP(A2618,[17]PRIORIZADOS!$A:$I,9,FALSE)="","",VLOOKUP(A2618,[17]PRIORIZADOS!$A:$I,9,FALSE)),"")</f>
        <v>EVALUACIÓN_CON_FINES_DE_MEJORAMIENTO.</v>
      </c>
      <c r="J2618" s="11" t="str">
        <f>IFERROR(IF(VLOOKUP(A2618,[17]PRIORIZADOS!$A:$J,10,FALSE)="","",VLOOKUP(A2618,[17]PRIORIZADOS!$A:$J,10,FALSE)),"")</f>
        <v>Revisar la actualización, socialización e implementación del Sistema Institucional de Evaluación de Estudiantes - SIEE, en articulación con la actualización del PEI y la normatividad vigente.</v>
      </c>
      <c r="K2618" s="11" t="str">
        <f>IFERROR(IF(VLOOKUP(A2618,[17]PRIORIZADOS!$A:$K,11,FALSE)="","",VLOOKUP(A2618,[17]PRIORIZADOS!$A:$K,11,FALSE)),"")</f>
        <v>JENNIFER CATALINA TORRES PIRA</v>
      </c>
      <c r="L2618" s="11" t="str">
        <f>IFERROR(IF(VLOOKUP(A2618,[17]PRIORIZADOS!$A:$L,12,FALSE)="","",VLOOKUP(A2618,[17]PRIORIZADOS!$A:$L,12,FALSE)),"")</f>
        <v>GILMA ESTHER ALBARRACÍN BALLESTEROS</v>
      </c>
      <c r="M2618" s="71">
        <f>IFERROR(IF(VLOOKUP(A2618,[17]PRIORIZADOS!$A:$M,13,FALSE)="","",VLOOKUP(A2618,[17]PRIORIZADOS!$A:$M,13,FALSE)),"")</f>
        <v>45820</v>
      </c>
      <c r="N2618" s="71">
        <f>IFERROR(IF(VLOOKUP(A2618,[17]PRIORIZADOS!$A:$N,14,FALSE)="","",VLOOKUP(A2618,[17]PRIORIZADOS!$A:$N,14,FALSE)),"")</f>
        <v>45820</v>
      </c>
      <c r="O2618" s="71">
        <f>IFERROR(IF(VLOOKUP(A2618,[17]PRIORIZADOS!$A:$O,15,FALSE)="","",VLOOKUP(A2618,[17]PRIORIZADOS!$A:$O,15,FALSE)),"")</f>
        <v>45820</v>
      </c>
      <c r="P2618" s="11" t="str">
        <f>IFERROR(IF(VLOOKUP(A2618,[17]PRIORIZADOS!$A:$P,16,FALSE)="","",VLOOKUP(A2618,[17]PRIORIZADOS!$A:$P,16,FALSE)),"")</f>
        <v>Visitas de evaluación con fines de mejoramiento</v>
      </c>
      <c r="Q2618" s="125" t="s">
        <v>509</v>
      </c>
      <c r="R2618" s="11" t="str">
        <f>IFERROR(IF(VLOOKUP(A2618,[17]PRIORIZADOS!$A:$R,18,FALSE)="","",VLOOKUP(A2618,[17]PRIORIZADOS!$A:$R,18,FALSE)),"")</f>
        <v>Realizan la actualización del Sistema Institucional de Evaluación de Estudiantes - SIEE, de acuerdo con la normatividad vigente.
Realizan su implementación mediante una plataforma que permite registrar las actividades y notas, al igual que hacer seguimiento a los estudiantes, a la cual tienen ingreso los padres de familia.
Tienen Guias de Nivelación y sistema de comunicación con los padres de familia.</v>
      </c>
      <c r="S2618" s="11" t="str">
        <f>IFERROR(IF(VLOOKUP(A2618,[17]PRIORIZADOS!$A:$S,19,FALSE)="","",VLOOKUP(A2618,[17]PRIORIZADOS!$A:$S,19,FALSE)),"")</f>
        <v>Mantener la comunicación permanente con los padres de familia.</v>
      </c>
      <c r="T2618" s="70" t="str">
        <f>IFERROR(IF(VLOOKUP(A2618,[17]PRIORIZADOS!$A:$T,20,FALSE)="","",VLOOKUP(A2618,[17]PRIORIZADOS!$A:$T,20,FALSE)),"")</f>
        <v>No</v>
      </c>
      <c r="U2618" s="11" t="str">
        <f>IFERROR(IF(VLOOKUP(A2618,[17]PRIORIZADOS!$A:$U,21,FALSE)="","",VLOOKUP(A2618,[17]PRIORIZADOS!$A:$U,21,FALSE)),"")</f>
        <v xml:space="preserve">Revisar el SIEE y su aplicabilidad cuando se requera </v>
      </c>
    </row>
    <row r="2619" spans="1:21" s="1" customFormat="1" ht="48">
      <c r="A2619" s="69">
        <f>IF([17]PRIORIZADOS!A67="","",[17]PRIORIZADOS!A67)</f>
        <v>2603</v>
      </c>
      <c r="B2619" s="70">
        <v>7</v>
      </c>
      <c r="C2619" s="11" t="str">
        <f>IFERROR(IF(VLOOKUP(A2619,[17]PRIORIZADOS!$A:$C,3,FALSE)="","",VLOOKUP(A2619,[17]PRIORIZADOS!$A:$C,3,FALSE)),"")</f>
        <v>USAQUÉN</v>
      </c>
      <c r="D2619" s="11" t="str">
        <f>IFERROR(IF(VLOOKUP(A2619,[17]PRIORIZADOS!$A:$D,4,FALSE)="","",VLOOKUP(A2619,[17]PRIORIZADOS!$A:$D,4,FALSE)),"")</f>
        <v>PRIVADO</v>
      </c>
      <c r="E2619" s="11" t="str">
        <f>IFERROR(IF(VLOOKUP(A2619,[17]PRIORIZADOS!$A:$E,5,FALSE)="","",VLOOKUP(A2619,[17]PRIORIZADOS!$A:$E,5,FALSE)),"")</f>
        <v>EPBM</v>
      </c>
      <c r="F2619" s="11" t="str">
        <f>IFERROR(IF(VLOOKUP(A2619,[17]PRIORIZADOS!$A:$F,6,FALSE)="","",VLOOKUP(A2619,[17]PRIORIZADOS!$A:$F,6,FALSE)),"")</f>
        <v>FUNDACION_EDUCACIONAL_ANA_RESTREPO_DEL_CORRAL</v>
      </c>
      <c r="G2619" s="11" t="str">
        <f>IFERROR(IF(VLOOKUP(A2619,[17]PRIORIZADOS!$A:$G,7,FALSE)="","",VLOOKUP(A2619,[17]PRIORIZADOS!$A:$G,7,FALSE)),"")</f>
        <v>FUNDACION EDUCACIONAL ANA RESTREPO DEL CORRAL</v>
      </c>
      <c r="H2619" s="11" t="str">
        <f>IFERROR(IF(VLOOKUP(A2619,[17]PRIORIZADOS!$A:$H,8,FALSE)="","",VLOOKUP(A2619,[17]PRIORIZADOS!$A:$H,8,FALSE)),"")</f>
        <v>Autoevaluación Institucional y Pruebas SABER 11</v>
      </c>
      <c r="I2619" s="11" t="str">
        <f>IFERROR(IF(VLOOKUP(A2619,[17]PRIORIZADOS!$A:$I,9,FALSE)="","",VLOOKUP(A2619,[17]PRIORIZADOS!$A:$I,9,FALSE)),"")</f>
        <v>EVALUACIÓN_CON_FINES_DE_MEJORAMIENTO.</v>
      </c>
      <c r="J2619" s="11" t="str">
        <f>IFERROR(IF(VLOOKUP(A2619,[17]PRIORIZADOS!$A:$J,10,FALSE)="","",VLOOKUP(A2619,[17]PRIORIZADOS!$A:$J,10,FALSE)),"")</f>
        <v>Revisar el calendario escolar, jornada escolar, la intensidad horaria mínima anual en cada nivel y las modificaciones que se realicen al mismo, de acuerdo con lo previsto en la normatividad vigente.</v>
      </c>
      <c r="K2619" s="11" t="str">
        <f>IFERROR(IF(VLOOKUP(A2619,[17]PRIORIZADOS!$A:$K,11,FALSE)="","",VLOOKUP(A2619,[17]PRIORIZADOS!$A:$K,11,FALSE)),"")</f>
        <v>JENNIFER CATALINA TORRES PIRA</v>
      </c>
      <c r="L2619" s="11" t="str">
        <f>IFERROR(IF(VLOOKUP(A2619,[17]PRIORIZADOS!$A:$L,12,FALSE)="","",VLOOKUP(A2619,[17]PRIORIZADOS!$A:$L,12,FALSE)),"")</f>
        <v>GILMA ESTHER ALBARRACÍN BALLESTEROS</v>
      </c>
      <c r="M2619" s="71">
        <f>IFERROR(IF(VLOOKUP(A2619,[17]PRIORIZADOS!$A:$M,13,FALSE)="","",VLOOKUP(A2619,[17]PRIORIZADOS!$A:$M,13,FALSE)),"")</f>
        <v>45820</v>
      </c>
      <c r="N2619" s="71">
        <f>IFERROR(IF(VLOOKUP(A2619,[17]PRIORIZADOS!$A:$N,14,FALSE)="","",VLOOKUP(A2619,[17]PRIORIZADOS!$A:$N,14,FALSE)),"")</f>
        <v>45820</v>
      </c>
      <c r="O2619" s="71">
        <f>IFERROR(IF(VLOOKUP(A2619,[17]PRIORIZADOS!$A:$O,15,FALSE)="","",VLOOKUP(A2619,[17]PRIORIZADOS!$A:$O,15,FALSE)),"")</f>
        <v>45820</v>
      </c>
      <c r="P2619" s="11" t="str">
        <f>IFERROR(IF(VLOOKUP(A2619,[17]PRIORIZADOS!$A:$P,16,FALSE)="","",VLOOKUP(A2619,[17]PRIORIZADOS!$A:$P,16,FALSE)),"")</f>
        <v>Visitas de evaluación con fines de mejoramiento</v>
      </c>
      <c r="Q2619" s="107" t="s">
        <v>509</v>
      </c>
      <c r="R2619" s="11" t="str">
        <f>IFERROR(IF(VLOOKUP(A2619,[17]PRIORIZADOS!$A:$R,18,FALSE)="","",VLOOKUP(A2619,[17]PRIORIZADOS!$A:$R,18,FALSE)),"")</f>
        <v xml:space="preserve">Cumplen con la intensidad horaria definida para cada grado de educación básica y educación media.
</v>
      </c>
      <c r="S2619" s="11" t="str">
        <f>IFERROR(IF(VLOOKUP(A2619,[17]PRIORIZADOS!$A:$S,19,FALSE)="","",VLOOKUP(A2619,[17]PRIORIZADOS!$A:$S,19,FALSE)),"")</f>
        <v>Actualizar el calendario escolar de acuerdo con la normatividad</v>
      </c>
      <c r="T2619" s="70" t="str">
        <f>IFERROR(IF(VLOOKUP(A2619,[17]PRIORIZADOS!$A:$T,20,FALSE)="","",VLOOKUP(A2619,[17]PRIORIZADOS!$A:$T,20,FALSE)),"")</f>
        <v>No</v>
      </c>
      <c r="U2619" s="11" t="str">
        <f>IFERROR(IF(VLOOKUP(A2619,[17]PRIORIZADOS!$A:$U,21,FALSE)="","",VLOOKUP(A2619,[17]PRIORIZADOS!$A:$U,21,FALSE)),"")</f>
        <v>Verificar el cumplimiento del calendario escolar, cuando se presente alguna novedad frente a este tema.</v>
      </c>
    </row>
    <row r="2620" spans="1:21" s="1" customFormat="1" ht="84">
      <c r="A2620" s="69">
        <f>IF([17]PRIORIZADOS!A68="","",[17]PRIORIZADOS!A68)</f>
        <v>2604</v>
      </c>
      <c r="B2620" s="70">
        <v>7</v>
      </c>
      <c r="C2620" s="11" t="str">
        <f>IFERROR(IF(VLOOKUP(A2620,[17]PRIORIZADOS!$A:$C,3,FALSE)="","",VLOOKUP(A2620,[17]PRIORIZADOS!$A:$C,3,FALSE)),"")</f>
        <v>USAQUÉN</v>
      </c>
      <c r="D2620" s="11" t="str">
        <f>IFERROR(IF(VLOOKUP(A2620,[17]PRIORIZADOS!$A:$D,4,FALSE)="","",VLOOKUP(A2620,[17]PRIORIZADOS!$A:$D,4,FALSE)),"")</f>
        <v>PRIVADO</v>
      </c>
      <c r="E2620" s="11" t="str">
        <f>IFERROR(IF(VLOOKUP(A2620,[17]PRIORIZADOS!$A:$E,5,FALSE)="","",VLOOKUP(A2620,[17]PRIORIZADOS!$A:$E,5,FALSE)),"")</f>
        <v>EPBM</v>
      </c>
      <c r="F2620" s="11" t="str">
        <f>IFERROR(IF(VLOOKUP(A2620,[17]PRIORIZADOS!$A:$F,6,FALSE)="","",VLOOKUP(A2620,[17]PRIORIZADOS!$A:$F,6,FALSE)),"")</f>
        <v>FUNDACION_EDUCACIONAL_ANA_RESTREPO_DEL_CORRAL</v>
      </c>
      <c r="G2620" s="11" t="str">
        <f>IFERROR(IF(VLOOKUP(A2620,[17]PRIORIZADOS!$A:$G,7,FALSE)="","",VLOOKUP(A2620,[17]PRIORIZADOS!$A:$G,7,FALSE)),"")</f>
        <v>FUNDACION EDUCACIONAL ANA RESTREPO DEL CORRAL</v>
      </c>
      <c r="H2620" s="11" t="str">
        <f>IFERROR(IF(VLOOKUP(A2620,[17]PRIORIZADOS!$A:$H,8,FALSE)="","",VLOOKUP(A2620,[17]PRIORIZADOS!$A:$H,8,FALSE)),"")</f>
        <v>Autoevaluación Institucional y Pruebas SABER 11</v>
      </c>
      <c r="I2620" s="11" t="str">
        <f>IFERROR(IF(VLOOKUP(A2620,[17]PRIORIZADOS!$A:$I,9,FALSE)="","",VLOOKUP(A2620,[17]PRIORIZADOS!$A:$I,9,FALSE)),"")</f>
        <v>EVALUACIÓN_CON_FINES_DE_MEJORAMIENTO.</v>
      </c>
      <c r="J2620" s="11" t="str">
        <f>IFERROR(IF(VLOOKUP(A2620,[17]PRIORIZADOS!$A:$J,10,FALSE)="","",VLOOKUP(A2620,[17]PRIORIZADOS!$A:$J,10,FALSE)),"")</f>
        <v>Verificar el funcionamiento del Gobierno Escolar e instancias de participación con base en la información sobre conformación reportada por la institución educativa.</v>
      </c>
      <c r="K2620" s="11" t="str">
        <f>IFERROR(IF(VLOOKUP(A2620,[17]PRIORIZADOS!$A:$K,11,FALSE)="","",VLOOKUP(A2620,[17]PRIORIZADOS!$A:$K,11,FALSE)),"")</f>
        <v>JENNIFER CATALINA TORRES PIRA</v>
      </c>
      <c r="L2620" s="11" t="str">
        <f>IFERROR(IF(VLOOKUP(A2620,[17]PRIORIZADOS!$A:$L,12,FALSE)="","",VLOOKUP(A2620,[17]PRIORIZADOS!$A:$L,12,FALSE)),"")</f>
        <v>GILMA ESTHER ALBARRACÍN BALLESTEROS</v>
      </c>
      <c r="M2620" s="71">
        <f>IFERROR(IF(VLOOKUP(A2620,[17]PRIORIZADOS!$A:$M,13,FALSE)="","",VLOOKUP(A2620,[17]PRIORIZADOS!$A:$M,13,FALSE)),"")</f>
        <v>45820</v>
      </c>
      <c r="N2620" s="71">
        <f>IFERROR(IF(VLOOKUP(A2620,[17]PRIORIZADOS!$A:$N,14,FALSE)="","",VLOOKUP(A2620,[17]PRIORIZADOS!$A:$N,14,FALSE)),"")</f>
        <v>45820</v>
      </c>
      <c r="O2620" s="71">
        <f>IFERROR(IF(VLOOKUP(A2620,[17]PRIORIZADOS!$A:$O,15,FALSE)="","",VLOOKUP(A2620,[17]PRIORIZADOS!$A:$O,15,FALSE)),"")</f>
        <v>45820</v>
      </c>
      <c r="P2620" s="11" t="str">
        <f>IFERROR(IF(VLOOKUP(A2620,[17]PRIORIZADOS!$A:$P,16,FALSE)="","",VLOOKUP(A2620,[17]PRIORIZADOS!$A:$P,16,FALSE)),"")</f>
        <v>Visitas de evaluación con fines de mejoramiento</v>
      </c>
      <c r="Q2620" s="107" t="s">
        <v>509</v>
      </c>
      <c r="R2620" s="11" t="str">
        <f>IFERROR(IF(VLOOKUP(A2620,[17]PRIORIZADOS!$A:$R,18,FALSE)="","",VLOOKUP(A2620,[17]PRIORIZADOS!$A:$R,18,FALSE)),"")</f>
        <v>El Gobierno escolar funciona  de acuerdo con lo establecido en el manual de Convivencia.
Tienen las actas de soporte de conformaión de los consejos y de la primera reunión realizada este año 2025.</v>
      </c>
      <c r="S2620" s="11" t="str">
        <f>IFERROR(IF(VLOOKUP(A2620,[17]PRIORIZADOS!$A:$S,19,FALSE)="","",VLOOKUP(A2620,[17]PRIORIZADOS!$A:$S,19,FALSE)),"")</f>
        <v>Contar con los soportes definidos para Gobierno escolar y realizar seguimiento.</v>
      </c>
      <c r="T2620" s="70" t="str">
        <f>IFERROR(IF(VLOOKUP(A2620,[17]PRIORIZADOS!$A:$T,20,FALSE)="","",VLOOKUP(A2620,[17]PRIORIZADOS!$A:$T,20,FALSE)),"")</f>
        <v>No</v>
      </c>
      <c r="U2620" s="11" t="str">
        <f>IFERROR(IF(VLOOKUP(A2620,[17]PRIORIZADOS!$A:$U,21,FALSE)="","",VLOOKUP(A2620,[17]PRIORIZADOS!$A:$U,21,FALSE)),"")</f>
        <v>Verificar la conformación de gobierno escolar en los tiempos establecidos.</v>
      </c>
    </row>
    <row r="2621" spans="1:21" s="1" customFormat="1" ht="96">
      <c r="A2621" s="69">
        <f>IF([17]PRIORIZADOS!A69="","",[17]PRIORIZADOS!A69)</f>
        <v>2605</v>
      </c>
      <c r="B2621" s="70">
        <v>7</v>
      </c>
      <c r="C2621" s="11" t="str">
        <f>IFERROR(IF(VLOOKUP(A2621,[17]PRIORIZADOS!$A:$C,3,FALSE)="","",VLOOKUP(A2621,[17]PRIORIZADOS!$A:$C,3,FALSE)),"")</f>
        <v>USAQUÉN</v>
      </c>
      <c r="D2621" s="11" t="str">
        <f>IFERROR(IF(VLOOKUP(A2621,[17]PRIORIZADOS!$A:$D,4,FALSE)="","",VLOOKUP(A2621,[17]PRIORIZADOS!$A:$D,4,FALSE)),"")</f>
        <v>PRIVADO</v>
      </c>
      <c r="E2621" s="11" t="str">
        <f>IFERROR(IF(VLOOKUP(A2621,[17]PRIORIZADOS!$A:$E,5,FALSE)="","",VLOOKUP(A2621,[17]PRIORIZADOS!$A:$E,5,FALSE)),"")</f>
        <v>EPBM</v>
      </c>
      <c r="F2621" s="11" t="str">
        <f>IFERROR(IF(VLOOKUP(A2621,[17]PRIORIZADOS!$A:$F,6,FALSE)="","",VLOOKUP(A2621,[17]PRIORIZADOS!$A:$F,6,FALSE)),"")</f>
        <v>FUNDACION_EDUCACIONAL_ANA_RESTREPO_DEL_CORRAL</v>
      </c>
      <c r="G2621" s="11" t="str">
        <f>IFERROR(IF(VLOOKUP(A2621,[17]PRIORIZADOS!$A:$G,7,FALSE)="","",VLOOKUP(A2621,[17]PRIORIZADOS!$A:$G,7,FALSE)),"")</f>
        <v>FUNDACION EDUCACIONAL ANA RESTREPO DEL CORRAL</v>
      </c>
      <c r="H2621" s="11" t="str">
        <f>IFERROR(IF(VLOOKUP(A2621,[17]PRIORIZADOS!$A:$H,8,FALSE)="","",VLOOKUP(A2621,[17]PRIORIZADOS!$A:$H,8,FALSE)),"")</f>
        <v>Autoevaluación Institucional y Pruebas SABER 11</v>
      </c>
      <c r="I2621" s="11" t="str">
        <f>IFERROR(IF(VLOOKUP(A2621,[17]PRIORIZADOS!$A:$I,9,FALSE)="","",VLOOKUP(A2621,[17]PRIORIZADOS!$A:$I,9,FALSE)),"")</f>
        <v>EVALUACIÓN_CON_FINES_DE_MEJORAMIENTO.</v>
      </c>
      <c r="J2621" s="11" t="str">
        <f>IFERROR(IF(VLOOKUP(A2621,[17]PRIORIZADOS!$A:$J,10,FALSE)="","",VLOOKUP(A2621,[17]PRIORIZADOS!$A:$J,10,FALSE)),"")</f>
        <v>Verificar las condiciones en cuanto a: la estructura administrativa, condiciones de la planta física y medios educativos adecuados.</v>
      </c>
      <c r="K2621" s="11" t="str">
        <f>IFERROR(IF(VLOOKUP(A2621,[17]PRIORIZADOS!$A:$K,11,FALSE)="","",VLOOKUP(A2621,[17]PRIORIZADOS!$A:$K,11,FALSE)),"")</f>
        <v>JENNIFER CATALINA TORRES PIRA</v>
      </c>
      <c r="L2621" s="11" t="str">
        <f>IFERROR(IF(VLOOKUP(A2621,[17]PRIORIZADOS!$A:$L,12,FALSE)="","",VLOOKUP(A2621,[17]PRIORIZADOS!$A:$L,12,FALSE)),"")</f>
        <v>GILMA ESTHER ALBARRACÍN BALLESTEROS</v>
      </c>
      <c r="M2621" s="71">
        <f>IFERROR(IF(VLOOKUP(A2621,[17]PRIORIZADOS!$A:$M,13,FALSE)="","",VLOOKUP(A2621,[17]PRIORIZADOS!$A:$M,13,FALSE)),"")</f>
        <v>45820</v>
      </c>
      <c r="N2621" s="71">
        <f>IFERROR(IF(VLOOKUP(A2621,[17]PRIORIZADOS!$A:$N,14,FALSE)="","",VLOOKUP(A2621,[17]PRIORIZADOS!$A:$N,14,FALSE)),"")</f>
        <v>45820</v>
      </c>
      <c r="O2621" s="71">
        <f>IFERROR(IF(VLOOKUP(A2621,[17]PRIORIZADOS!$A:$O,15,FALSE)="","",VLOOKUP(A2621,[17]PRIORIZADOS!$A:$O,15,FALSE)),"")</f>
        <v>45820</v>
      </c>
      <c r="P2621" s="11" t="str">
        <f>IFERROR(IF(VLOOKUP(A2621,[17]PRIORIZADOS!$A:$P,16,FALSE)="","",VLOOKUP(A2621,[17]PRIORIZADOS!$A:$P,16,FALSE)),"")</f>
        <v>Visitas de evaluación con fines de mejoramiento</v>
      </c>
      <c r="Q2621" s="107" t="s">
        <v>509</v>
      </c>
      <c r="R2621" s="11" t="str">
        <f>IFERROR(IF(VLOOKUP(A2621,[17]PRIORIZADOS!$A:$R,18,FALSE)="","",VLOOKUP(A2621,[17]PRIORIZADOS!$A:$R,18,FALSE)),"")</f>
        <v>Está adecuada la infraestructura con espacios incluyentes, pero no tiene matrícula con discapacidad, trastorno o talentos.
En cuanto a la organización administrativa esta de acuerdo con el organigrama y lo registrado en el EVI.</v>
      </c>
      <c r="S2621" s="11" t="str">
        <f>IFERROR(IF(VLOOKUP(A2621,[17]PRIORIZADOS!$A:$S,19,FALSE)="","",VLOOKUP(A2621,[17]PRIORIZADOS!$A:$S,19,FALSE)),"")</f>
        <v>Se observa que en algunas carpetas de HV, no esta todos los soportes que se requieren para su verificación.</v>
      </c>
      <c r="T2621" s="70" t="str">
        <f>IFERROR(IF(VLOOKUP(A2621,[17]PRIORIZADOS!$A:$T,20,FALSE)="","",VLOOKUP(A2621,[17]PRIORIZADOS!$A:$T,20,FALSE)),"")</f>
        <v>Si</v>
      </c>
      <c r="U2621" s="11" t="str">
        <f>IFERROR(IF(VLOOKUP(A2621,[17]PRIORIZADOS!$A:$U,21,FALSE)="","",VLOOKUP(A2621,[17]PRIORIZADOS!$A:$U,21,FALSE)),"")</f>
        <v xml:space="preserve">Revisar el plan de mejora, para evidenciar que la documentación este completa en las carpetas del personal </v>
      </c>
    </row>
    <row r="2622" spans="1:21" s="1" customFormat="1" ht="154.5">
      <c r="A2622" s="69">
        <f>IF([17]PRIORIZADOS!A70="","",[17]PRIORIZADOS!A70)</f>
        <v>2606</v>
      </c>
      <c r="B2622" s="70">
        <f>IFERROR(IF(VLOOKUP(A2622,[17]PRIORIZADOS!$A:$B,2,FALSE)="","",VLOOKUP(A2622,[17]PRIORIZADOS!$A:$B,2,FALSE)),"")</f>
        <v>8</v>
      </c>
      <c r="C2622" s="11" t="str">
        <f>IFERROR(IF(VLOOKUP(A2622,[17]PRIORIZADOS!$A:$C,3,FALSE)="","",VLOOKUP(A2622,[17]PRIORIZADOS!$A:$C,3,FALSE)),"")</f>
        <v>USAQUÉN</v>
      </c>
      <c r="D2622" s="11" t="str">
        <f>IFERROR(IF(VLOOKUP(A2622,[17]PRIORIZADOS!$A:$D,4,FALSE)="","",VLOOKUP(A2622,[17]PRIORIZADOS!$A:$D,4,FALSE)),"")</f>
        <v>PRIVADO</v>
      </c>
      <c r="E2622" s="11" t="str">
        <f>IFERROR(IF(VLOOKUP(A2622,[17]PRIORIZADOS!$A:$E,5,FALSE)="","",VLOOKUP(A2622,[17]PRIORIZADOS!$A:$E,5,FALSE)),"")</f>
        <v>EPBM</v>
      </c>
      <c r="F2622" s="11" t="str">
        <f>IFERROR(IF(VLOOKUP(A2622,[17]PRIORIZADOS!$A:$F,6,FALSE)="","",VLOOKUP(A2622,[17]PRIORIZADOS!$A:$F,6,FALSE)),"")</f>
        <v>GIMNASIO_MARROQUIN_CAMPESTRE</v>
      </c>
      <c r="G2622" s="11" t="str">
        <f>IFERROR(IF(VLOOKUP(A2622,[17]PRIORIZADOS!$A:$G,7,FALSE)="","",VLOOKUP(A2622,[17]PRIORIZADOS!$A:$G,7,FALSE)),"")</f>
        <v>GIMNASIO MARROQUIN CAMPESTRE</v>
      </c>
      <c r="H2622" s="11" t="str">
        <f>IFERROR(IF(VLOOKUP(A2622,[17]PRIORIZADOS!$A:$H,8,FALSE)="","",VLOOKUP(A2622,[17]PRIORIZADOS!$A:$H,8,FALSE)),"")</f>
        <v>Autoevaluación Institucional y Pruebas SABER 11</v>
      </c>
      <c r="I2622" s="11" t="str">
        <f>IFERROR(IF(VLOOKUP(A2622,[17]PRIORIZADOS!$A:$I,9,FALSE)="","",VLOOKUP(A2622,[17]PRIORIZADOS!$A:$I,9,FALSE)),"")</f>
        <v>SEGUIMIENTO_Y_SUPERVISIÓN.</v>
      </c>
      <c r="J2622" s="11" t="str">
        <f>IFERROR(IF(VLOOKUP(A2622,[17]PRIORIZADOS!$A:$J,10,FALSE)="","",VLOOKUP(A2622,[17]PRIORIZADOS!$A:$J,10,FALSE)),"")</f>
        <v>Realizar visitas para verificar la información registrada sobre la autoevaluación institucional en el aplicativo EVI, a los establecimientos de educación formal no oficial.</v>
      </c>
      <c r="K2622" s="11" t="str">
        <f>IFERROR(IF(VLOOKUP(A2622,[17]PRIORIZADOS!$A:$K,11,FALSE)="","",VLOOKUP(A2622,[17]PRIORIZADOS!$A:$K,11,FALSE)),"")</f>
        <v>GILMA ESTHER ALBARRACÍN BALLESTEROS</v>
      </c>
      <c r="L2622" s="11" t="str">
        <f>IFERROR(IF(VLOOKUP(A2622,[17]PRIORIZADOS!$A:$L,12,FALSE)="","",VLOOKUP(A2622,[17]PRIORIZADOS!$A:$L,12,FALSE)),"")</f>
        <v>MARTHA LUCIA OLAYA VARGAS</v>
      </c>
      <c r="M2622" s="71">
        <f>IFERROR(IF(VLOOKUP(A2622,[17]PRIORIZADOS!$A:$M,13,FALSE)="","",VLOOKUP(A2622,[17]PRIORIZADOS!$A:$M,13,FALSE)),"")</f>
        <v>45860</v>
      </c>
      <c r="N2622" s="71">
        <f>IFERROR(IF(VLOOKUP(A2622,[17]PRIORIZADOS!$A:$N,14,FALSE)="","",VLOOKUP(A2622,[17]PRIORIZADOS!$A:$N,14,FALSE)),"")</f>
        <v>45860</v>
      </c>
      <c r="O2622" s="71">
        <f>IFERROR(IF(VLOOKUP(A2622,[17]PRIORIZADOS!$A:$O,15,FALSE)="","",VLOOKUP(A2622,[17]PRIORIZADOS!$A:$O,15,FALSE)),"")</f>
        <v>45860</v>
      </c>
      <c r="P2622" s="11" t="str">
        <f>IFERROR(IF(VLOOKUP(A2622,[17]PRIORIZADOS!$A:$P,16,FALSE)="","",VLOOKUP(A2622,[17]PRIORIZADOS!$A:$P,16,FALSE)),"")</f>
        <v>Visitas de evaluación con fines de seguimiento</v>
      </c>
      <c r="Q2622" s="2" t="s">
        <v>510</v>
      </c>
      <c r="R2622" s="11" t="str">
        <f>IFERROR(IF(VLOOKUP(A2622,[17]PRIORIZADOS!$A:$R,18,FALSE)="","",VLOOKUP(A2622,[17]PRIORIZADOS!$A:$R,18,FALSE)),"")</f>
        <v xml:space="preserve">Se evidenció que los docentes están vinculados a termino fijo desde febrero a noviembre, acorde a la normatividad.
3 docentes no tienen la idoneidad profesional. Adicionalmente un docente presenta título de Venezuela sin apostillar.
Tienen un edificio nuevo, para lo cual el señor rector informa que esta en proceso de tramitar los documentos para ampliar la planta física.
</v>
      </c>
      <c r="S2622" s="11" t="str">
        <f>IFERROR(IF(VLOOKUP(A2622,[17]PRIORIZADOS!$A:$S,19,FALSE)="","",VLOOKUP(A2622,[17]PRIORIZADOS!$A:$S,19,FALSE)),"")</f>
        <v>Revisar las hojas de vida y contratar personal que cumpla con los requisitos definidos para ejercer como docente.
Radicar los documentos ante la DLE para legalizar la ampliación de la planta física</v>
      </c>
      <c r="T2622" s="70" t="str">
        <f>IFERROR(IF(VLOOKUP(A2622,[17]PRIORIZADOS!$A:$T,20,FALSE)="","",VLOOKUP(A2622,[17]PRIORIZADOS!$A:$T,20,FALSE)),"")</f>
        <v>Si</v>
      </c>
      <c r="U2622" s="11" t="str">
        <f>IFERROR(IF(VLOOKUP(A2622,[17]PRIORIZADOS!$A:$U,21,FALSE)="","",VLOOKUP(A2622,[17]PRIORIZADOS!$A:$U,21,FALSE)),"")</f>
        <v>Se verificará que la institución cuente con los docentes idoneos y se ajuste la planta física, de acuerdo con su plan de mejora: Enero 2026</v>
      </c>
    </row>
    <row r="2623" spans="1:21" s="1" customFormat="1" ht="84">
      <c r="A2623" s="69">
        <f>IF([17]PRIORIZADOS!A71="","",[17]PRIORIZADOS!A71)</f>
        <v>2607</v>
      </c>
      <c r="B2623" s="70">
        <v>8</v>
      </c>
      <c r="C2623" s="11" t="str">
        <f>IFERROR(IF(VLOOKUP(A2623,[17]PRIORIZADOS!$A:$C,3,FALSE)="","",VLOOKUP(A2623,[17]PRIORIZADOS!$A:$C,3,FALSE)),"")</f>
        <v>USAQUÉN</v>
      </c>
      <c r="D2623" s="11" t="str">
        <f>IFERROR(IF(VLOOKUP(A2623,[17]PRIORIZADOS!$A:$D,4,FALSE)="","",VLOOKUP(A2623,[17]PRIORIZADOS!$A:$D,4,FALSE)),"")</f>
        <v>PRIVADO</v>
      </c>
      <c r="E2623" s="11" t="str">
        <f>IFERROR(IF(VLOOKUP(A2623,[17]PRIORIZADOS!$A:$E,5,FALSE)="","",VLOOKUP(A2623,[17]PRIORIZADOS!$A:$E,5,FALSE)),"")</f>
        <v>EPBM</v>
      </c>
      <c r="F2623" s="11" t="str">
        <f>IFERROR(IF(VLOOKUP(A2623,[17]PRIORIZADOS!$A:$F,6,FALSE)="","",VLOOKUP(A2623,[17]PRIORIZADOS!$A:$F,6,FALSE)),"")</f>
        <v>GIMNASIO_MARROQUIN_CAMPESTRE</v>
      </c>
      <c r="G2623" s="11" t="str">
        <f>IFERROR(IF(VLOOKUP(A2623,[17]PRIORIZADOS!$A:$G,7,FALSE)="","",VLOOKUP(A2623,[17]PRIORIZADOS!$A:$G,7,FALSE)),"")</f>
        <v>GIMNASIO MARROQUIN CAMPESTRE</v>
      </c>
      <c r="H2623" s="11" t="str">
        <f>IFERROR(IF(VLOOKUP(A2623,[17]PRIORIZADOS!$A:$H,8,FALSE)="","",VLOOKUP(A2623,[17]PRIORIZADOS!$A:$H,8,FALSE)),"")</f>
        <v>Autoevaluación Institucional y Pruebas SABER 11</v>
      </c>
      <c r="I2623" s="11" t="str">
        <f>IFERROR(IF(VLOOKUP(A2623,[17]PRIORIZADOS!$A:$I,9,FALSE)="","",VLOOKUP(A2623,[17]PRIORIZADOS!$A:$I,9,FALSE)),"")</f>
        <v>SEGUIMIENTO_Y_SUPERVISIÓN.</v>
      </c>
      <c r="J2623" s="11" t="str">
        <f>IFERROR(IF(VLOOKUP(A2623,[17]PRIORIZADOS!$A:$J,10,FALSE)="","",VLOOKUP(A2623,[17]PRIORIZADOS!$A:$J,10,FALSE)),"")</f>
        <v>Proponer estrategias en la formulación, verificar su elaboración y realizar seguimiento semestral al desarrollo de  las acciones establecidas en los planes de mejoramiento por pruebas SABER 11 de los establecimientos de educación formal.</v>
      </c>
      <c r="K2623" s="11" t="str">
        <f>IFERROR(IF(VLOOKUP(A2623,[17]PRIORIZADOS!$A:$K,11,FALSE)="","",VLOOKUP(A2623,[17]PRIORIZADOS!$A:$K,11,FALSE)),"")</f>
        <v>GILMA ESTHER ALBARRACÍN BALLESTEROS</v>
      </c>
      <c r="L2623" s="11" t="str">
        <f>IFERROR(IF(VLOOKUP(A2623,[17]PRIORIZADOS!$A:$L,12,FALSE)="","",VLOOKUP(A2623,[17]PRIORIZADOS!$A:$L,12,FALSE)),"")</f>
        <v>MARTHA LUCIA OLAYA VARGAS</v>
      </c>
      <c r="M2623" s="71">
        <f>IFERROR(IF(VLOOKUP(A2623,[17]PRIORIZADOS!$A:$M,13,FALSE)="","",VLOOKUP(A2623,[17]PRIORIZADOS!$A:$M,13,FALSE)),"")</f>
        <v>45860</v>
      </c>
      <c r="N2623" s="71">
        <f>IFERROR(IF(VLOOKUP(A2623,[17]PRIORIZADOS!$A:$N,14,FALSE)="","",VLOOKUP(A2623,[17]PRIORIZADOS!$A:$N,14,FALSE)),"")</f>
        <v>45860</v>
      </c>
      <c r="O2623" s="71">
        <f>IFERROR(IF(VLOOKUP(A2623,[17]PRIORIZADOS!$A:$O,15,FALSE)="","",VLOOKUP(A2623,[17]PRIORIZADOS!$A:$O,15,FALSE)),"")</f>
        <v>45860</v>
      </c>
      <c r="P2623" s="11" t="str">
        <f>IFERROR(IF(VLOOKUP(A2623,[17]PRIORIZADOS!$A:$P,16,FALSE)="","",VLOOKUP(A2623,[17]PRIORIZADOS!$A:$P,16,FALSE)),"")</f>
        <v>Visitas de evaluación con fines de seguimiento</v>
      </c>
      <c r="Q2623" s="2" t="s">
        <v>510</v>
      </c>
      <c r="R2623" s="11" t="str">
        <f>IFERROR(IF(VLOOKUP(A2623,[17]PRIORIZADOS!$A:$R,18,FALSE)="","",VLOOKUP(A2623,[17]PRIORIZADOS!$A:$R,18,FALSE)),"")</f>
        <v>Realizaron Plan de mejoramiento el cual define dos rutas, la primera un trabajo directo con los estudiantes en el que a traves de herramientas de mediicón externa realizan refuerzos y la segunda es un trabajo de consultoría especializada para evaluar el curriculum.</v>
      </c>
      <c r="S2623" s="11" t="str">
        <f>IFERROR(IF(VLOOKUP(A2623,[17]PRIORIZADOS!$A:$S,19,FALSE)="","",VLOOKUP(A2623,[17]PRIORIZADOS!$A:$S,19,FALSE)),"")</f>
        <v>Cumplir con lo establecido en el plan de mejora y tener en cuenta la evaluación al curriculum.</v>
      </c>
      <c r="T2623" s="70" t="str">
        <f>IFERROR(IF(VLOOKUP(A2623,[17]PRIORIZADOS!$A:$T,20,FALSE)="","",VLOOKUP(A2623,[17]PRIORIZADOS!$A:$T,20,FALSE)),"")</f>
        <v>No</v>
      </c>
      <c r="U2623" s="11" t="str">
        <f>IFERROR(IF(VLOOKUP(A2623,[17]PRIORIZADOS!$A:$U,21,FALSE)="","",VLOOKUP(A2623,[17]PRIORIZADOS!$A:$U,21,FALSE)),"")</f>
        <v>Verificar los resultados de pruebas saber 11 de 2025.</v>
      </c>
    </row>
    <row r="2624" spans="1:21" s="1" customFormat="1" ht="178.5">
      <c r="A2624" s="69">
        <f>IF([17]PRIORIZADOS!A72="","",[17]PRIORIZADOS!A72)</f>
        <v>2608</v>
      </c>
      <c r="B2624" s="70">
        <v>8</v>
      </c>
      <c r="C2624" s="11" t="str">
        <f>IFERROR(IF(VLOOKUP(A2624,[17]PRIORIZADOS!$A:$C,3,FALSE)="","",VLOOKUP(A2624,[17]PRIORIZADOS!$A:$C,3,FALSE)),"")</f>
        <v>USAQUÉN</v>
      </c>
      <c r="D2624" s="11" t="str">
        <f>IFERROR(IF(VLOOKUP(A2624,[17]PRIORIZADOS!$A:$D,4,FALSE)="","",VLOOKUP(A2624,[17]PRIORIZADOS!$A:$D,4,FALSE)),"")</f>
        <v>PRIVADO</v>
      </c>
      <c r="E2624" s="11" t="str">
        <f>IFERROR(IF(VLOOKUP(A2624,[17]PRIORIZADOS!$A:$E,5,FALSE)="","",VLOOKUP(A2624,[17]PRIORIZADOS!$A:$E,5,FALSE)),"")</f>
        <v>EPBM</v>
      </c>
      <c r="F2624" s="11" t="str">
        <f>IFERROR(IF(VLOOKUP(A2624,[17]PRIORIZADOS!$A:$F,6,FALSE)="","",VLOOKUP(A2624,[17]PRIORIZADOS!$A:$F,6,FALSE)),"")</f>
        <v>GIMNASIO_MARROQUIN_CAMPESTRE</v>
      </c>
      <c r="G2624" s="11" t="str">
        <f>IFERROR(IF(VLOOKUP(A2624,[17]PRIORIZADOS!$A:$G,7,FALSE)="","",VLOOKUP(A2624,[17]PRIORIZADOS!$A:$G,7,FALSE)),"")</f>
        <v>GIMNASIO MARROQUIN CAMPESTRE</v>
      </c>
      <c r="H2624" s="11" t="str">
        <f>IFERROR(IF(VLOOKUP(A2624,[17]PRIORIZADOS!$A:$H,8,FALSE)="","",VLOOKUP(A2624,[17]PRIORIZADOS!$A:$H,8,FALSE)),"")</f>
        <v>Autoevaluación Institucional y Pruebas SABER 11</v>
      </c>
      <c r="I2624" s="11" t="str">
        <f>IFERROR(IF(VLOOKUP(A2624,[17]PRIORIZADOS!$A:$I,9,FALSE)="","",VLOOKUP(A2624,[17]PRIORIZADOS!$A:$I,9,FALSE)),"")</f>
        <v>SEGUIMIENTO_Y_SUPERVISIÓN.</v>
      </c>
      <c r="J2624" s="11" t="str">
        <f>IFERROR(IF(VLOOKUP(A2624,[17]PRIORIZADOS!$A:$J,10,FALSE)="","",VLOOKUP(A2624,[17]PRIORIZADOS!$A:$J,10,FALSE)),"")</f>
        <v xml:space="preserve">Verificar la implementación por parte de los colegios, de acciones realizadas para la prevención y atención de las situaciones de convivencia en el entorno escolar, según lo establecido en la Directiva 01 de 2022 del MEN. </v>
      </c>
      <c r="K2624" s="11" t="str">
        <f>IFERROR(IF(VLOOKUP(A2624,[17]PRIORIZADOS!$A:$K,11,FALSE)="","",VLOOKUP(A2624,[17]PRIORIZADOS!$A:$K,11,FALSE)),"")</f>
        <v>GILMA ESTHER ALBARRACÍN BALLESTEROS</v>
      </c>
      <c r="L2624" s="11" t="str">
        <f>IFERROR(IF(VLOOKUP(A2624,[17]PRIORIZADOS!$A:$L,12,FALSE)="","",VLOOKUP(A2624,[17]PRIORIZADOS!$A:$L,12,FALSE)),"")</f>
        <v>MARTHA LUCIA OLAYA VARGAS</v>
      </c>
      <c r="M2624" s="71">
        <f>IFERROR(IF(VLOOKUP(A2624,[17]PRIORIZADOS!$A:$M,13,FALSE)="","",VLOOKUP(A2624,[17]PRIORIZADOS!$A:$M,13,FALSE)),"")</f>
        <v>45860</v>
      </c>
      <c r="N2624" s="71">
        <f>IFERROR(IF(VLOOKUP(A2624,[17]PRIORIZADOS!$A:$N,14,FALSE)="","",VLOOKUP(A2624,[17]PRIORIZADOS!$A:$N,14,FALSE)),"")</f>
        <v>45860</v>
      </c>
      <c r="O2624" s="71">
        <f>IFERROR(IF(VLOOKUP(A2624,[17]PRIORIZADOS!$A:$O,15,FALSE)="","",VLOOKUP(A2624,[17]PRIORIZADOS!$A:$O,15,FALSE)),"")</f>
        <v>45860</v>
      </c>
      <c r="P2624" s="11" t="str">
        <f>IFERROR(IF(VLOOKUP(A2624,[17]PRIORIZADOS!$A:$P,16,FALSE)="","",VLOOKUP(A2624,[17]PRIORIZADOS!$A:$P,16,FALSE)),"")</f>
        <v>Visitas de evaluación con fines de seguimiento</v>
      </c>
      <c r="Q2624" s="2" t="s">
        <v>510</v>
      </c>
      <c r="R2624" s="11" t="str">
        <f>IFERROR(IF(VLOOKUP(A2624,[17]PRIORIZADOS!$A:$R,18,FALSE)="","",VLOOKUP(A2624,[17]PRIORIZADOS!$A:$R,18,FALSE)),"")</f>
        <v>Se han realizado 5 comites de convivencia, desde la conformación del mismo y mensualmente se reunen, para el mes de abril se realizarón 2. En la primera reunión se dejo claro las funciones y el reglamento
Se define la Ruta de atención integral para la atención de situaciones de convivencia y han realizado 6 reportes en el sistema de alerta los cuales registran de manera inmedaita (el mismo día).
Verifican cada 4 meses las inhabilidades por delitos sexuales, para el personal docente y administrativo de la Institución.</v>
      </c>
      <c r="S2624" s="11" t="str">
        <f>IFERROR(IF(VLOOKUP(A2624,[17]PRIORIZADOS!$A:$S,19,FALSE)="","",VLOOKUP(A2624,[17]PRIORIZADOS!$A:$S,19,FALSE)),"")</f>
        <v>Continuar realizando los comites de convivencia y atendiendo los casos que se presenten de manera oportuna.</v>
      </c>
      <c r="T2624" s="70" t="str">
        <f>IFERROR(IF(VLOOKUP(A2624,[17]PRIORIZADOS!$A:$T,20,FALSE)="","",VLOOKUP(A2624,[17]PRIORIZADOS!$A:$T,20,FALSE)),"")</f>
        <v>No</v>
      </c>
      <c r="U2624" s="11" t="str">
        <f>IFERROR(IF(VLOOKUP(A2624,[17]PRIORIZADOS!$A:$U,21,FALSE)="","",VLOOKUP(A2624,[17]PRIORIZADOS!$A:$U,21,FALSE)),"")</f>
        <v>Se hará verificación de los casos de convivencia que se presenten.</v>
      </c>
    </row>
    <row r="2625" spans="1:21" s="1" customFormat="1" ht="118.5">
      <c r="A2625" s="69">
        <f>IF([17]PRIORIZADOS!A73="","",[17]PRIORIZADOS!A73)</f>
        <v>2609</v>
      </c>
      <c r="B2625" s="70">
        <v>8</v>
      </c>
      <c r="C2625" s="11" t="str">
        <f>IFERROR(IF(VLOOKUP(A2625,[17]PRIORIZADOS!$A:$C,3,FALSE)="","",VLOOKUP(A2625,[17]PRIORIZADOS!$A:$C,3,FALSE)),"")</f>
        <v>USAQUÉN</v>
      </c>
      <c r="D2625" s="11" t="str">
        <f>IFERROR(IF(VLOOKUP(A2625,[17]PRIORIZADOS!$A:$D,4,FALSE)="","",VLOOKUP(A2625,[17]PRIORIZADOS!$A:$D,4,FALSE)),"")</f>
        <v>PRIVADO</v>
      </c>
      <c r="E2625" s="11" t="str">
        <f>IFERROR(IF(VLOOKUP(A2625,[17]PRIORIZADOS!$A:$E,5,FALSE)="","",VLOOKUP(A2625,[17]PRIORIZADOS!$A:$E,5,FALSE)),"")</f>
        <v>EPBM</v>
      </c>
      <c r="F2625" s="11" t="str">
        <f>IFERROR(IF(VLOOKUP(A2625,[17]PRIORIZADOS!$A:$F,6,FALSE)="","",VLOOKUP(A2625,[17]PRIORIZADOS!$A:$F,6,FALSE)),"")</f>
        <v>GIMNASIO_MARROQUIN_CAMPESTRE</v>
      </c>
      <c r="G2625" s="11" t="str">
        <f>IFERROR(IF(VLOOKUP(A2625,[17]PRIORIZADOS!$A:$G,7,FALSE)="","",VLOOKUP(A2625,[17]PRIORIZADOS!$A:$G,7,FALSE)),"")</f>
        <v>GIMNASIO MARROQUIN CAMPESTRE</v>
      </c>
      <c r="H2625" s="11" t="str">
        <f>IFERROR(IF(VLOOKUP(A2625,[17]PRIORIZADOS!$A:$H,8,FALSE)="","",VLOOKUP(A2625,[17]PRIORIZADOS!$A:$H,8,FALSE)),"")</f>
        <v>Autoevaluación Institucional y Pruebas SABER 11</v>
      </c>
      <c r="I2625" s="11" t="str">
        <f>IFERROR(IF(VLOOKUP(A2625,[17]PRIORIZADOS!$A:$I,9,FALSE)="","",VLOOKUP(A2625,[17]PRIORIZADOS!$A:$I,9,FALSE)),"")</f>
        <v>SEGUIMIENTO_Y_SUPERVISIÓN.</v>
      </c>
      <c r="J2625" s="11" t="str">
        <f>IFERROR(IF(VLOOKUP(A2625,[17]PRIORIZADOS!$A:$J,10,FALSE)="","",VLOOKUP(A2625,[17]PRIORIZADOS!$A:$J,10,FALSE)),"")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25" s="11" t="str">
        <f>IFERROR(IF(VLOOKUP(A2625,[17]PRIORIZADOS!$A:$K,11,FALSE)="","",VLOOKUP(A2625,[17]PRIORIZADOS!$A:$K,11,FALSE)),"")</f>
        <v>GILMA ESTHER ALBARRACÍN BALLESTEROS</v>
      </c>
      <c r="L2625" s="11" t="str">
        <f>IFERROR(IF(VLOOKUP(A2625,[17]PRIORIZADOS!$A:$L,12,FALSE)="","",VLOOKUP(A2625,[17]PRIORIZADOS!$A:$L,12,FALSE)),"")</f>
        <v>MARTHA LUCIA OLAYA VARGAS</v>
      </c>
      <c r="M2625" s="71">
        <f>IFERROR(IF(VLOOKUP(A2625,[17]PRIORIZADOS!$A:$M,13,FALSE)="","",VLOOKUP(A2625,[17]PRIORIZADOS!$A:$M,13,FALSE)),"")</f>
        <v>45860</v>
      </c>
      <c r="N2625" s="71">
        <f>IFERROR(IF(VLOOKUP(A2625,[17]PRIORIZADOS!$A:$N,14,FALSE)="","",VLOOKUP(A2625,[17]PRIORIZADOS!$A:$N,14,FALSE)),"")</f>
        <v>45860</v>
      </c>
      <c r="O2625" s="71">
        <f>IFERROR(IF(VLOOKUP(A2625,[17]PRIORIZADOS!$A:$O,15,FALSE)="","",VLOOKUP(A2625,[17]PRIORIZADOS!$A:$O,15,FALSE)),"")</f>
        <v>45860</v>
      </c>
      <c r="P2625" s="11" t="str">
        <f>IFERROR(IF(VLOOKUP(A2625,[17]PRIORIZADOS!$A:$P,16,FALSE)="","",VLOOKUP(A2625,[17]PRIORIZADOS!$A:$P,16,FALSE)),"")</f>
        <v>Visitas de evaluación con fines de seguimiento</v>
      </c>
      <c r="Q2625" s="2" t="s">
        <v>510</v>
      </c>
      <c r="R2625" s="11" t="str">
        <f>IFERROR(IF(VLOOKUP(A2625,[17]PRIORIZADOS!$A:$R,18,FALSE)="","",VLOOKUP(A2625,[17]PRIORIZADOS!$A:$R,18,FALSE)),"")</f>
        <v>Tienen 16 estudiantes con trastornos de aprendizaje, los cuales estan caracterizados, tienen el PIAR y el acta de acuerdo.
Se hace seguimiento permanente de las cuales se evidencian las actas y se concilia con los padres de famiilia los tres documentos (caracterización, PIAR y acta de acuerdo).</v>
      </c>
      <c r="S2625" s="11" t="str">
        <f>IFERROR(IF(VLOOKUP(A2625,[17]PRIORIZADOS!$A:$S,19,FALSE)="","",VLOOKUP(A2625,[17]PRIORIZADOS!$A:$S,19,FALSE)),"")</f>
        <v>Continuar realizando esta actividad. mediante seguimiento a los ajustes razonables.</v>
      </c>
      <c r="T2625" s="70" t="str">
        <f>IFERROR(IF(VLOOKUP(A2625,[17]PRIORIZADOS!$A:$T,20,FALSE)="","",VLOOKUP(A2625,[17]PRIORIZADOS!$A:$T,20,FALSE)),"")</f>
        <v>No</v>
      </c>
      <c r="U2625" s="11" t="str">
        <f>IFERROR(IF(VLOOKUP(A2625,[17]PRIORIZADOS!$A:$U,21,FALSE)="","",VLOOKUP(A2625,[17]PRIORIZADOS!$A:$U,21,FALSE)),"")</f>
        <v>Realizar la verificación de los PIAR, cuando se presente una reclamación.</v>
      </c>
    </row>
    <row r="2626" spans="1:21" s="1" customFormat="1" ht="84">
      <c r="A2626" s="69">
        <f>IF([17]PRIORIZADOS!A74="","",[17]PRIORIZADOS!A74)</f>
        <v>2610</v>
      </c>
      <c r="B2626" s="70">
        <v>8</v>
      </c>
      <c r="C2626" s="11" t="str">
        <f>IFERROR(IF(VLOOKUP(A2626,[17]PRIORIZADOS!$A:$C,3,FALSE)="","",VLOOKUP(A2626,[17]PRIORIZADOS!$A:$C,3,FALSE)),"")</f>
        <v>USAQUÉN</v>
      </c>
      <c r="D2626" s="11" t="str">
        <f>IFERROR(IF(VLOOKUP(A2626,[17]PRIORIZADOS!$A:$D,4,FALSE)="","",VLOOKUP(A2626,[17]PRIORIZADOS!$A:$D,4,FALSE)),"")</f>
        <v>PRIVADO</v>
      </c>
      <c r="E2626" s="11" t="str">
        <f>IFERROR(IF(VLOOKUP(A2626,[17]PRIORIZADOS!$A:$E,5,FALSE)="","",VLOOKUP(A2626,[17]PRIORIZADOS!$A:$E,5,FALSE)),"")</f>
        <v>EPBM</v>
      </c>
      <c r="F2626" s="11" t="str">
        <f>IFERROR(IF(VLOOKUP(A2626,[17]PRIORIZADOS!$A:$F,6,FALSE)="","",VLOOKUP(A2626,[17]PRIORIZADOS!$A:$F,6,FALSE)),"")</f>
        <v>GIMNASIO_MARROQUIN_CAMPESTRE</v>
      </c>
      <c r="G2626" s="11" t="str">
        <f>IFERROR(IF(VLOOKUP(A2626,[17]PRIORIZADOS!$A:$G,7,FALSE)="","",VLOOKUP(A2626,[17]PRIORIZADOS!$A:$G,7,FALSE)),"")</f>
        <v>GIMNASIO MARROQUIN CAMPESTRE</v>
      </c>
      <c r="H2626" s="11" t="str">
        <f>IFERROR(IF(VLOOKUP(A2626,[17]PRIORIZADOS!$A:$H,8,FALSE)="","",VLOOKUP(A2626,[17]PRIORIZADOS!$A:$H,8,FALSE)),"")</f>
        <v>Autoevaluación Institucional y Pruebas SABER 11</v>
      </c>
      <c r="I2626" s="11" t="str">
        <f>IFERROR(IF(VLOOKUP(A2626,[17]PRIORIZADOS!$A:$I,9,FALSE)="","",VLOOKUP(A2626,[17]PRIORIZADOS!$A:$I,9,FALSE)),"")</f>
        <v>EVALUACIÓN_CON_FINES_DE_MEJORAMIENTO.</v>
      </c>
      <c r="J2626" s="11" t="str">
        <f>IFERROR(IF(VLOOKUP(A2626,[17]PRIORIZADOS!$A:$J,10,FALSE)="","",VLOOKUP(A2626,[17]PRIORIZADOS!$A:$J,10,FALSE)),"")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26" s="11" t="str">
        <f>IFERROR(IF(VLOOKUP(A2626,[17]PRIORIZADOS!$A:$K,11,FALSE)="","",VLOOKUP(A2626,[17]PRIORIZADOS!$A:$K,11,FALSE)),"")</f>
        <v>GILMA ESTHER ALBARRACÍN BALLESTEROS</v>
      </c>
      <c r="L2626" s="11" t="str">
        <f>IFERROR(IF(VLOOKUP(A2626,[17]PRIORIZADOS!$A:$L,12,FALSE)="","",VLOOKUP(A2626,[17]PRIORIZADOS!$A:$L,12,FALSE)),"")</f>
        <v>MARTHA LUCIA OLAYA VARGAS</v>
      </c>
      <c r="M2626" s="71">
        <f>IFERROR(IF(VLOOKUP(A2626,[17]PRIORIZADOS!$A:$M,13,FALSE)="","",VLOOKUP(A2626,[17]PRIORIZADOS!$A:$M,13,FALSE)),"")</f>
        <v>45860</v>
      </c>
      <c r="N2626" s="71">
        <f>IFERROR(IF(VLOOKUP(A2626,[17]PRIORIZADOS!$A:$N,14,FALSE)="","",VLOOKUP(A2626,[17]PRIORIZADOS!$A:$N,14,FALSE)),"")</f>
        <v>45860</v>
      </c>
      <c r="O2626" s="71">
        <f>IFERROR(IF(VLOOKUP(A2626,[17]PRIORIZADOS!$A:$O,15,FALSE)="","",VLOOKUP(A2626,[17]PRIORIZADOS!$A:$O,15,FALSE)),"")</f>
        <v>45860</v>
      </c>
      <c r="P2626" s="11" t="str">
        <f>IFERROR(IF(VLOOKUP(A2626,[17]PRIORIZADOS!$A:$P,16,FALSE)="","",VLOOKUP(A2626,[17]PRIORIZADOS!$A:$P,16,FALSE)),"")</f>
        <v>Visitas de evaluación con fines de mejoramiento</v>
      </c>
      <c r="Q2626" s="2" t="s">
        <v>510</v>
      </c>
      <c r="R2626" s="11" t="str">
        <f>IFERROR(IF(VLOOKUP(A2626,[17]PRIORIZADOS!$A:$R,18,FALSE)="","",VLOOKUP(A2626,[17]PRIORIZADOS!$A:$R,18,FALSE)),"")</f>
        <v>El manual de convivencia se debe ajustar dado que no contiene todos los apartes definidos.
No se evidencia la participación de la comunidad educativa en la elaboración del manual de convivencia.</v>
      </c>
      <c r="S2626" s="11" t="str">
        <f>IFERROR(IF(VLOOKUP(A2626,[17]PRIORIZADOS!$A:$S,19,FALSE)="","",VLOOKUP(A2626,[17]PRIORIZADOS!$A:$S,19,FALSE)),"")</f>
        <v>Ajustar el manual de convivencia conforme a lo establecido en la Ley 1620 de 2013.</v>
      </c>
      <c r="T2626" s="70" t="str">
        <f>IFERROR(IF(VLOOKUP(A2626,[17]PRIORIZADOS!$A:$T,20,FALSE)="","",VLOOKUP(A2626,[17]PRIORIZADOS!$A:$T,20,FALSE)),"")</f>
        <v>Si</v>
      </c>
      <c r="U2626" s="11" t="str">
        <f>IFERROR(IF(VLOOKUP(A2626,[17]PRIORIZADOS!$A:$U,21,FALSE)="","",VLOOKUP(A2626,[17]PRIORIZADOS!$A:$U,21,FALSE)),"")</f>
        <v>Revisar la  completitud del manual de convivencia en el mes de enero de 2026.</v>
      </c>
    </row>
    <row r="2627" spans="1:21" s="1" customFormat="1" ht="60">
      <c r="A2627" s="69">
        <f>IF([17]PRIORIZADOS!A75="","",[17]PRIORIZADOS!A75)</f>
        <v>2611</v>
      </c>
      <c r="B2627" s="70">
        <v>8</v>
      </c>
      <c r="C2627" s="11" t="str">
        <f>IFERROR(IF(VLOOKUP(A2627,[17]PRIORIZADOS!$A:$C,3,FALSE)="","",VLOOKUP(A2627,[17]PRIORIZADOS!$A:$C,3,FALSE)),"")</f>
        <v>USAQUÉN</v>
      </c>
      <c r="D2627" s="11" t="str">
        <f>IFERROR(IF(VLOOKUP(A2627,[17]PRIORIZADOS!$A:$D,4,FALSE)="","",VLOOKUP(A2627,[17]PRIORIZADOS!$A:$D,4,FALSE)),"")</f>
        <v>PRIVADO</v>
      </c>
      <c r="E2627" s="11" t="str">
        <f>IFERROR(IF(VLOOKUP(A2627,[17]PRIORIZADOS!$A:$E,5,FALSE)="","",VLOOKUP(A2627,[17]PRIORIZADOS!$A:$E,5,FALSE)),"")</f>
        <v>EPBM</v>
      </c>
      <c r="F2627" s="11" t="str">
        <f>IFERROR(IF(VLOOKUP(A2627,[17]PRIORIZADOS!$A:$F,6,FALSE)="","",VLOOKUP(A2627,[17]PRIORIZADOS!$A:$F,6,FALSE)),"")</f>
        <v>GIMNASIO_MARROQUIN_CAMPESTRE</v>
      </c>
      <c r="G2627" s="11" t="str">
        <f>IFERROR(IF(VLOOKUP(A2627,[17]PRIORIZADOS!$A:$G,7,FALSE)="","",VLOOKUP(A2627,[17]PRIORIZADOS!$A:$G,7,FALSE)),"")</f>
        <v>GIMNASIO MARROQUIN CAMPESTRE</v>
      </c>
      <c r="H2627" s="11" t="str">
        <f>IFERROR(IF(VLOOKUP(A2627,[17]PRIORIZADOS!$A:$H,8,FALSE)="","",VLOOKUP(A2627,[17]PRIORIZADOS!$A:$H,8,FALSE)),"")</f>
        <v>Autoevaluación Institucional y Pruebas SABER 11</v>
      </c>
      <c r="I2627" s="11" t="str">
        <f>IFERROR(IF(VLOOKUP(A2627,[17]PRIORIZADOS!$A:$I,9,FALSE)="","",VLOOKUP(A2627,[17]PRIORIZADOS!$A:$I,9,FALSE)),"")</f>
        <v>EVALUACIÓN_CON_FINES_DE_MEJORAMIENTO.</v>
      </c>
      <c r="J2627" s="11" t="str">
        <f>IFERROR(IF(VLOOKUP(A2627,[17]PRIORIZADOS!$A:$J,10,FALSE)="","",VLOOKUP(A2627,[17]PRIORIZADOS!$A:$J,10,FALSE)),"")</f>
        <v>Revisar la actualización, socialización e implementación del Sistema Institucional de Evaluación de Estudiantes - SIEE, en articulación con la actualización del PEI y la normatividad vigente.</v>
      </c>
      <c r="K2627" s="11" t="str">
        <f>IFERROR(IF(VLOOKUP(A2627,[17]PRIORIZADOS!$A:$K,11,FALSE)="","",VLOOKUP(A2627,[17]PRIORIZADOS!$A:$K,11,FALSE)),"")</f>
        <v>GILMA ESTHER ALBARRACÍN BALLESTEROS</v>
      </c>
      <c r="L2627" s="11" t="str">
        <f>IFERROR(IF(VLOOKUP(A2627,[17]PRIORIZADOS!$A:$L,12,FALSE)="","",VLOOKUP(A2627,[17]PRIORIZADOS!$A:$L,12,FALSE)),"")</f>
        <v>MARTHA LUCIA OLAYA VARGAS</v>
      </c>
      <c r="M2627" s="71">
        <f>IFERROR(IF(VLOOKUP(A2627,[17]PRIORIZADOS!$A:$M,13,FALSE)="","",VLOOKUP(A2627,[17]PRIORIZADOS!$A:$M,13,FALSE)),"")</f>
        <v>45860</v>
      </c>
      <c r="N2627" s="71">
        <f>IFERROR(IF(VLOOKUP(A2627,[17]PRIORIZADOS!$A:$N,14,FALSE)="","",VLOOKUP(A2627,[17]PRIORIZADOS!$A:$N,14,FALSE)),"")</f>
        <v>45860</v>
      </c>
      <c r="O2627" s="71">
        <f>IFERROR(IF(VLOOKUP(A2627,[17]PRIORIZADOS!$A:$O,15,FALSE)="","",VLOOKUP(A2627,[17]PRIORIZADOS!$A:$O,15,FALSE)),"")</f>
        <v>45860</v>
      </c>
      <c r="P2627" s="11" t="str">
        <f>IFERROR(IF(VLOOKUP(A2627,[17]PRIORIZADOS!$A:$P,16,FALSE)="","",VLOOKUP(A2627,[17]PRIORIZADOS!$A:$P,16,FALSE)),"")</f>
        <v>Visitas de evaluación con fines de mejoramiento</v>
      </c>
      <c r="Q2627" s="2" t="s">
        <v>510</v>
      </c>
      <c r="R2627" s="11" t="str">
        <f>IFERROR(IF(VLOOKUP(A2627,[17]PRIORIZADOS!$A:$R,18,FALSE)="","",VLOOKUP(A2627,[17]PRIORIZADOS!$A:$R,18,FALSE)),"")</f>
        <v>El SIEE esta actualizado y se implementó en la plataforma institucional VPS Software, donde se realiza el seguimiento y evaluación de los estudiantes acorde a la normatividad vigente</v>
      </c>
      <c r="S2627" s="11" t="str">
        <f>IFERROR(IF(VLOOKUP(A2627,[17]PRIORIZADOS!$A:$S,19,FALSE)="","",VLOOKUP(A2627,[17]PRIORIZADOS!$A:$S,19,FALSE)),"")</f>
        <v>Continuar con el seguimiento y evaluación de los estudiantes acorde a lo establecido en el SIEE y el PEI</v>
      </c>
      <c r="T2627" s="70" t="str">
        <f>IFERROR(IF(VLOOKUP(A2627,[17]PRIORIZADOS!$A:$T,20,FALSE)="","",VLOOKUP(A2627,[17]PRIORIZADOS!$A:$T,20,FALSE)),"")</f>
        <v>No</v>
      </c>
      <c r="U2627" s="11" t="str">
        <f>IFERROR(IF(VLOOKUP(A2627,[17]PRIORIZADOS!$A:$U,21,FALSE)="","",VLOOKUP(A2627,[17]PRIORIZADOS!$A:$U,21,FALSE)),"")</f>
        <v>Se verificará los casos que se presenten frente a este tema.</v>
      </c>
    </row>
    <row r="2628" spans="1:21" s="1" customFormat="1" ht="48">
      <c r="A2628" s="69">
        <f>IF([17]PRIORIZADOS!A76="","",[17]PRIORIZADOS!A76)</f>
        <v>2612</v>
      </c>
      <c r="B2628" s="70">
        <v>8</v>
      </c>
      <c r="C2628" s="11" t="str">
        <f>IFERROR(IF(VLOOKUP(A2628,[17]PRIORIZADOS!$A:$C,3,FALSE)="","",VLOOKUP(A2628,[17]PRIORIZADOS!$A:$C,3,FALSE)),"")</f>
        <v>USAQUÉN</v>
      </c>
      <c r="D2628" s="11" t="str">
        <f>IFERROR(IF(VLOOKUP(A2628,[17]PRIORIZADOS!$A:$D,4,FALSE)="","",VLOOKUP(A2628,[17]PRIORIZADOS!$A:$D,4,FALSE)),"")</f>
        <v>PRIVADO</v>
      </c>
      <c r="E2628" s="11" t="str">
        <f>IFERROR(IF(VLOOKUP(A2628,[17]PRIORIZADOS!$A:$E,5,FALSE)="","",VLOOKUP(A2628,[17]PRIORIZADOS!$A:$E,5,FALSE)),"")</f>
        <v>EPBM</v>
      </c>
      <c r="F2628" s="11" t="str">
        <f>IFERROR(IF(VLOOKUP(A2628,[17]PRIORIZADOS!$A:$F,6,FALSE)="","",VLOOKUP(A2628,[17]PRIORIZADOS!$A:$F,6,FALSE)),"")</f>
        <v>GIMNASIO_MARROQUIN_CAMPESTRE</v>
      </c>
      <c r="G2628" s="11" t="str">
        <f>IFERROR(IF(VLOOKUP(A2628,[17]PRIORIZADOS!$A:$G,7,FALSE)="","",VLOOKUP(A2628,[17]PRIORIZADOS!$A:$G,7,FALSE)),"")</f>
        <v>GIMNASIO MARROQUIN CAMPESTRE</v>
      </c>
      <c r="H2628" s="11" t="str">
        <f>IFERROR(IF(VLOOKUP(A2628,[17]PRIORIZADOS!$A:$H,8,FALSE)="","",VLOOKUP(A2628,[17]PRIORIZADOS!$A:$H,8,FALSE)),"")</f>
        <v>Autoevaluación Institucional y Pruebas SABER 11</v>
      </c>
      <c r="I2628" s="11" t="str">
        <f>IFERROR(IF(VLOOKUP(A2628,[17]PRIORIZADOS!$A:$I,9,FALSE)="","",VLOOKUP(A2628,[17]PRIORIZADOS!$A:$I,9,FALSE)),"")</f>
        <v>EVALUACIÓN_CON_FINES_DE_MEJORAMIENTO.</v>
      </c>
      <c r="J2628" s="11" t="str">
        <f>IFERROR(IF(VLOOKUP(A2628,[17]PRIORIZADOS!$A:$J,10,FALSE)="","",VLOOKUP(A2628,[17]PRIORIZADOS!$A:$J,10,FALSE)),"")</f>
        <v>Revisar el calendario escolar, jornada escolar, la intensidad horaria mínima anual en cada nivel y las modificaciones que se realicen al mismo, de acuerdo con lo previsto en la normatividad vigente.</v>
      </c>
      <c r="K2628" s="11" t="str">
        <f>IFERROR(IF(VLOOKUP(A2628,[17]PRIORIZADOS!$A:$K,11,FALSE)="","",VLOOKUP(A2628,[17]PRIORIZADOS!$A:$K,11,FALSE)),"")</f>
        <v>GILMA ESTHER ALBARRACÍN BALLESTEROS</v>
      </c>
      <c r="L2628" s="11" t="str">
        <f>IFERROR(IF(VLOOKUP(A2628,[17]PRIORIZADOS!$A:$L,12,FALSE)="","",VLOOKUP(A2628,[17]PRIORIZADOS!$A:$L,12,FALSE)),"")</f>
        <v>MARTHA LUCIA OLAYA VARGAS</v>
      </c>
      <c r="M2628" s="71">
        <f>IFERROR(IF(VLOOKUP(A2628,[17]PRIORIZADOS!$A:$M,13,FALSE)="","",VLOOKUP(A2628,[17]PRIORIZADOS!$A:$M,13,FALSE)),"")</f>
        <v>45860</v>
      </c>
      <c r="N2628" s="71">
        <f>IFERROR(IF(VLOOKUP(A2628,[17]PRIORIZADOS!$A:$N,14,FALSE)="","",VLOOKUP(A2628,[17]PRIORIZADOS!$A:$N,14,FALSE)),"")</f>
        <v>45860</v>
      </c>
      <c r="O2628" s="71">
        <f>IFERROR(IF(VLOOKUP(A2628,[17]PRIORIZADOS!$A:$O,15,FALSE)="","",VLOOKUP(A2628,[17]PRIORIZADOS!$A:$O,15,FALSE)),"")</f>
        <v>45860</v>
      </c>
      <c r="P2628" s="11" t="str">
        <f>IFERROR(IF(VLOOKUP(A2628,[17]PRIORIZADOS!$A:$P,16,FALSE)="","",VLOOKUP(A2628,[17]PRIORIZADOS!$A:$P,16,FALSE)),"")</f>
        <v>Visitas de evaluación con fines de mejoramiento</v>
      </c>
      <c r="Q2628" s="2" t="s">
        <v>510</v>
      </c>
      <c r="R2628" s="11" t="str">
        <f>IFERROR(IF(VLOOKUP(A2628,[17]PRIORIZADOS!$A:$R,18,FALSE)="","",VLOOKUP(A2628,[17]PRIORIZADOS!$A:$R,18,FALSE)),"")</f>
        <v>La Institución tiene jornada única y tiene definido el calendario escolar para cada asignatura y cada nivel acorde a la normatividad.</v>
      </c>
      <c r="S2628" s="11" t="str">
        <f>IFERROR(IF(VLOOKUP(A2628,[17]PRIORIZADOS!$A:$S,19,FALSE)="","",VLOOKUP(A2628,[17]PRIORIZADOS!$A:$S,19,FALSE)),"")</f>
        <v>Mantener el calendario escolar establecido el cual cumple con la normatividad</v>
      </c>
      <c r="T2628" s="70" t="str">
        <f>IFERROR(IF(VLOOKUP(A2628,[17]PRIORIZADOS!$A:$T,20,FALSE)="","",VLOOKUP(A2628,[17]PRIORIZADOS!$A:$T,20,FALSE)),"")</f>
        <v>No</v>
      </c>
      <c r="U2628" s="11" t="str">
        <f>IFERROR(IF(VLOOKUP(A2628,[17]PRIORIZADOS!$A:$U,21,FALSE)="","",VLOOKUP(A2628,[17]PRIORIZADOS!$A:$U,21,FALSE)),"")</f>
        <v>Se confrontorá cuando se presente una reclamación frente al tema</v>
      </c>
    </row>
    <row r="2629" spans="1:21" s="1" customFormat="1" ht="107.25">
      <c r="A2629" s="69">
        <f>IF([17]PRIORIZADOS!A77="","",[17]PRIORIZADOS!A77)</f>
        <v>2613</v>
      </c>
      <c r="B2629" s="70">
        <v>8</v>
      </c>
      <c r="C2629" s="11" t="str">
        <f>IFERROR(IF(VLOOKUP(A2629,[17]PRIORIZADOS!$A:$C,3,FALSE)="","",VLOOKUP(A2629,[17]PRIORIZADOS!$A:$C,3,FALSE)),"")</f>
        <v>USAQUÉN</v>
      </c>
      <c r="D2629" s="11" t="str">
        <f>IFERROR(IF(VLOOKUP(A2629,[17]PRIORIZADOS!$A:$D,4,FALSE)="","",VLOOKUP(A2629,[17]PRIORIZADOS!$A:$D,4,FALSE)),"")</f>
        <v>PRIVADO</v>
      </c>
      <c r="E2629" s="11" t="str">
        <f>IFERROR(IF(VLOOKUP(A2629,[17]PRIORIZADOS!$A:$E,5,FALSE)="","",VLOOKUP(A2629,[17]PRIORIZADOS!$A:$E,5,FALSE)),"")</f>
        <v>EPBM</v>
      </c>
      <c r="F2629" s="11" t="str">
        <f>IFERROR(IF(VLOOKUP(A2629,[17]PRIORIZADOS!$A:$F,6,FALSE)="","",VLOOKUP(A2629,[17]PRIORIZADOS!$A:$F,6,FALSE)),"")</f>
        <v>GIMNASIO_MARROQUIN_CAMPESTRE</v>
      </c>
      <c r="G2629" s="11" t="str">
        <f>IFERROR(IF(VLOOKUP(A2629,[17]PRIORIZADOS!$A:$G,7,FALSE)="","",VLOOKUP(A2629,[17]PRIORIZADOS!$A:$G,7,FALSE)),"")</f>
        <v>GIMNASIO MARROQUIN CAMPESTRE</v>
      </c>
      <c r="H2629" s="11" t="str">
        <f>IFERROR(IF(VLOOKUP(A2629,[17]PRIORIZADOS!$A:$H,8,FALSE)="","",VLOOKUP(A2629,[17]PRIORIZADOS!$A:$H,8,FALSE)),"")</f>
        <v>Autoevaluación Institucional y Pruebas SABER 11</v>
      </c>
      <c r="I2629" s="11" t="str">
        <f>IFERROR(IF(VLOOKUP(A2629,[17]PRIORIZADOS!$A:$I,9,FALSE)="","",VLOOKUP(A2629,[17]PRIORIZADOS!$A:$I,9,FALSE)),"")</f>
        <v>EVALUACIÓN_CON_FINES_DE_MEJORAMIENTO.</v>
      </c>
      <c r="J2629" s="11" t="str">
        <f>IFERROR(IF(VLOOKUP(A2629,[17]PRIORIZADOS!$A:$J,10,FALSE)="","",VLOOKUP(A2629,[17]PRIORIZADOS!$A:$J,10,FALSE)),"")</f>
        <v>Verificar el funcionamiento del Gobierno Escolar e instancias de participación con base en la información sobre conformación reportada por la institución educativa.</v>
      </c>
      <c r="K2629" s="11" t="str">
        <f>IFERROR(IF(VLOOKUP(A2629,[17]PRIORIZADOS!$A:$K,11,FALSE)="","",VLOOKUP(A2629,[17]PRIORIZADOS!$A:$K,11,FALSE)),"")</f>
        <v>GILMA ESTHER ALBARRACÍN BALLESTEROS</v>
      </c>
      <c r="L2629" s="11" t="str">
        <f>IFERROR(IF(VLOOKUP(A2629,[17]PRIORIZADOS!$A:$L,12,FALSE)="","",VLOOKUP(A2629,[17]PRIORIZADOS!$A:$L,12,FALSE)),"")</f>
        <v>MARTHA LUCIA OLAYA VARGAS</v>
      </c>
      <c r="M2629" s="71">
        <f>IFERROR(IF(VLOOKUP(A2629,[17]PRIORIZADOS!$A:$M,13,FALSE)="","",VLOOKUP(A2629,[17]PRIORIZADOS!$A:$M,13,FALSE)),"")</f>
        <v>45860</v>
      </c>
      <c r="N2629" s="71">
        <f>IFERROR(IF(VLOOKUP(A2629,[17]PRIORIZADOS!$A:$N,14,FALSE)="","",VLOOKUP(A2629,[17]PRIORIZADOS!$A:$N,14,FALSE)),"")</f>
        <v>45860</v>
      </c>
      <c r="O2629" s="71">
        <f>IFERROR(IF(VLOOKUP(A2629,[17]PRIORIZADOS!$A:$O,15,FALSE)="","",VLOOKUP(A2629,[17]PRIORIZADOS!$A:$O,15,FALSE)),"")</f>
        <v>45860</v>
      </c>
      <c r="P2629" s="11" t="str">
        <f>IFERROR(IF(VLOOKUP(A2629,[17]PRIORIZADOS!$A:$P,16,FALSE)="","",VLOOKUP(A2629,[17]PRIORIZADOS!$A:$P,16,FALSE)),"")</f>
        <v>Visitas de evaluación con fines de mejoramiento</v>
      </c>
      <c r="Q2629" s="2" t="s">
        <v>510</v>
      </c>
      <c r="R2629" s="11" t="str">
        <f>IFERROR(IF(VLOOKUP(A2629,[17]PRIORIZADOS!$A:$R,18,FALSE)="","",VLOOKUP(A2629,[17]PRIORIZADOS!$A:$R,18,FALSE)),"")</f>
        <v xml:space="preserve">Tienen el acta de consejo directivo No. 001 del 18/03/2025 y a la fecha se han realizado 3 adicionales: 8/04/2025 dos actas y 09/05/2025.
Referente al consejo académico se han realizado a la fecha 7 reuniones  para revisar notas y seguimiento del desempeño académico de los estudiantes </v>
      </c>
      <c r="S2629" s="11" t="str">
        <f>IFERROR(IF(VLOOKUP(A2629,[17]PRIORIZADOS!$A:$S,19,FALSE)="","",VLOOKUP(A2629,[17]PRIORIZADOS!$A:$S,19,FALSE)),"")</f>
        <v>Continuar apoyando el desarrollo de las actividades de gobierno escolar.</v>
      </c>
      <c r="T2629" s="70" t="str">
        <f>IFERROR(IF(VLOOKUP(A2629,[17]PRIORIZADOS!$A:$T,20,FALSE)="","",VLOOKUP(A2629,[17]PRIORIZADOS!$A:$T,20,FALSE)),"")</f>
        <v>No</v>
      </c>
      <c r="U2629" s="11" t="str">
        <f>IFERROR(IF(VLOOKUP(A2629,[17]PRIORIZADOS!$A:$U,21,FALSE)="","",VLOOKUP(A2629,[17]PRIORIZADOS!$A:$U,21,FALSE)),"")</f>
        <v>Se realizará la funcionalidad de gobierno escolar y sus instancias de participación cuando se requiera.</v>
      </c>
    </row>
    <row r="2630" spans="1:21" s="1" customFormat="1" ht="130.5">
      <c r="A2630" s="69">
        <f>IF([17]PRIORIZADOS!A78="","",[17]PRIORIZADOS!A78)</f>
        <v>2614</v>
      </c>
      <c r="B2630" s="70">
        <v>8</v>
      </c>
      <c r="C2630" s="11" t="str">
        <f>IFERROR(IF(VLOOKUP(A2630,[17]PRIORIZADOS!$A:$C,3,FALSE)="","",VLOOKUP(A2630,[17]PRIORIZADOS!$A:$C,3,FALSE)),"")</f>
        <v>USAQUÉN</v>
      </c>
      <c r="D2630" s="11" t="str">
        <f>IFERROR(IF(VLOOKUP(A2630,[17]PRIORIZADOS!$A:$D,4,FALSE)="","",VLOOKUP(A2630,[17]PRIORIZADOS!$A:$D,4,FALSE)),"")</f>
        <v>PRIVADO</v>
      </c>
      <c r="E2630" s="11" t="str">
        <f>IFERROR(IF(VLOOKUP(A2630,[17]PRIORIZADOS!$A:$E,5,FALSE)="","",VLOOKUP(A2630,[17]PRIORIZADOS!$A:$E,5,FALSE)),"")</f>
        <v>EPBM</v>
      </c>
      <c r="F2630" s="11" t="str">
        <f>IFERROR(IF(VLOOKUP(A2630,[17]PRIORIZADOS!$A:$F,6,FALSE)="","",VLOOKUP(A2630,[17]PRIORIZADOS!$A:$F,6,FALSE)),"")</f>
        <v>GIMNASIO_MARROQUIN_CAMPESTRE</v>
      </c>
      <c r="G2630" s="11" t="str">
        <f>IFERROR(IF(VLOOKUP(A2630,[17]PRIORIZADOS!$A:$G,7,FALSE)="","",VLOOKUP(A2630,[17]PRIORIZADOS!$A:$G,7,FALSE)),"")</f>
        <v>GIMNASIO MARROQUIN CAMPESTRE</v>
      </c>
      <c r="H2630" s="11" t="str">
        <f>IFERROR(IF(VLOOKUP(A2630,[17]PRIORIZADOS!$A:$H,8,FALSE)="","",VLOOKUP(A2630,[17]PRIORIZADOS!$A:$H,8,FALSE)),"")</f>
        <v>Autoevaluación Institucional y Pruebas SABER 11</v>
      </c>
      <c r="I2630" s="11" t="str">
        <f>IFERROR(IF(VLOOKUP(A2630,[17]PRIORIZADOS!$A:$I,9,FALSE)="","",VLOOKUP(A2630,[17]PRIORIZADOS!$A:$I,9,FALSE)),"")</f>
        <v>EVALUACIÓN_CON_FINES_DE_MEJORAMIENTO.</v>
      </c>
      <c r="J2630" s="11" t="str">
        <f>IFERROR(IF(VLOOKUP(A2630,[17]PRIORIZADOS!$A:$J,10,FALSE)="","",VLOOKUP(A2630,[17]PRIORIZADOS!$A:$J,10,FALSE)),"")</f>
        <v>Verificar las condiciones en cuanto a: la estructura administrativa, condiciones de la planta física y medios educativos adecuados.</v>
      </c>
      <c r="K2630" s="11" t="str">
        <f>IFERROR(IF(VLOOKUP(A2630,[17]PRIORIZADOS!$A:$K,11,FALSE)="","",VLOOKUP(A2630,[17]PRIORIZADOS!$A:$K,11,FALSE)),"")</f>
        <v>GILMA ESTHER ALBARRACÍN BALLESTEROS</v>
      </c>
      <c r="L2630" s="11" t="str">
        <f>IFERROR(IF(VLOOKUP(A2630,[17]PRIORIZADOS!$A:$L,12,FALSE)="","",VLOOKUP(A2630,[17]PRIORIZADOS!$A:$L,12,FALSE)),"")</f>
        <v>MARTHA LUCIA OLAYA VARGAS</v>
      </c>
      <c r="M2630" s="71">
        <f>IFERROR(IF(VLOOKUP(A2630,[17]PRIORIZADOS!$A:$M,13,FALSE)="","",VLOOKUP(A2630,[17]PRIORIZADOS!$A:$M,13,FALSE)),"")</f>
        <v>45860</v>
      </c>
      <c r="N2630" s="71">
        <f>IFERROR(IF(VLOOKUP(A2630,[17]PRIORIZADOS!$A:$N,14,FALSE)="","",VLOOKUP(A2630,[17]PRIORIZADOS!$A:$N,14,FALSE)),"")</f>
        <v>45860</v>
      </c>
      <c r="O2630" s="71">
        <f>IFERROR(IF(VLOOKUP(A2630,[17]PRIORIZADOS!$A:$O,15,FALSE)="","",VLOOKUP(A2630,[17]PRIORIZADOS!$A:$O,15,FALSE)),"")</f>
        <v>45860</v>
      </c>
      <c r="P2630" s="11" t="str">
        <f>IFERROR(IF(VLOOKUP(A2630,[17]PRIORIZADOS!$A:$P,16,FALSE)="","",VLOOKUP(A2630,[17]PRIORIZADOS!$A:$P,16,FALSE)),"")</f>
        <v>Visitas de evaluación con fines de mejoramiento</v>
      </c>
      <c r="Q2630" s="2" t="s">
        <v>510</v>
      </c>
      <c r="R2630" s="11" t="str">
        <f>IFERROR(IF(VLOOKUP(A2630,[17]PRIORIZADOS!$A:$R,18,FALSE)="","",VLOOKUP(A2630,[17]PRIORIZADOS!$A:$R,18,FALSE)),"")</f>
        <v>Cuentan con la estructura administrativa definida en el manual de funciones, la planta física y los medios educativos son acorde a la población actual atendida, pero no esta adaptada para atender población con discapacida física, no tiene rampas ni baños para esta población.
Tienen un edificio nuevo, el cual esta en proceso de tramitar los documentos para ampliar la planta física.</v>
      </c>
      <c r="S2630" s="11" t="str">
        <f>IFERROR(IF(VLOOKUP(A2630,[17]PRIORIZADOS!$A:$S,19,FALSE)="","",VLOOKUP(A2630,[17]PRIORIZADOS!$A:$S,19,FALSE)),"")</f>
        <v>Validar la posibilidad de adaptar baños y rampas para posible población con discapacidad física y legalizar la ampliación de la planta física</v>
      </c>
      <c r="T2630" s="70" t="str">
        <f>IFERROR(IF(VLOOKUP(A2630,[17]PRIORIZADOS!$A:$T,20,FALSE)="","",VLOOKUP(A2630,[17]PRIORIZADOS!$A:$T,20,FALSE)),"")</f>
        <v>Si</v>
      </c>
      <c r="U2630" s="11" t="str">
        <f>IFERROR(IF(VLOOKUP(A2630,[17]PRIORIZADOS!$A:$U,21,FALSE)="","",VLOOKUP(A2630,[17]PRIORIZADOS!$A:$U,21,FALSE)),"")</f>
        <v>Verificar lo definido en el plan de mejora que presente el 22/09//2025.</v>
      </c>
    </row>
    <row r="2631" spans="1:21" s="1" customFormat="1" ht="48">
      <c r="A2631" s="69">
        <f>IF([17]PRIORIZADOS!A79="","",[17]PRIORIZADOS!A79)</f>
        <v>2615</v>
      </c>
      <c r="B2631" s="70">
        <f>IFERROR(IF(VLOOKUP(A2631,[17]PRIORIZADOS!$A:$B,2,FALSE)="","",VLOOKUP(A2631,[17]PRIORIZADOS!$A:$B,2,FALSE)),"")</f>
        <v>9</v>
      </c>
      <c r="C2631" s="11" t="str">
        <f>IFERROR(IF(VLOOKUP(A2631,[17]PRIORIZADOS!$A:$C,3,FALSE)="","",VLOOKUP(A2631,[17]PRIORIZADOS!$A:$C,3,FALSE)),"")</f>
        <v>USAQUÉN</v>
      </c>
      <c r="D2631" s="11" t="str">
        <f>IFERROR(IF(VLOOKUP(A2631,[17]PRIORIZADOS!$A:$D,4,FALSE)="","",VLOOKUP(A2631,[17]PRIORIZADOS!$A:$D,4,FALSE)),"")</f>
        <v>PRIVADO</v>
      </c>
      <c r="E2631" s="11" t="str">
        <f>IFERROR(IF(VLOOKUP(A2631,[17]PRIORIZADOS!$A:$E,5,FALSE)="","",VLOOKUP(A2631,[17]PRIORIZADOS!$A:$E,5,FALSE)),"")</f>
        <v>EPBM</v>
      </c>
      <c r="F2631" s="11" t="str">
        <f>IFERROR(IF(VLOOKUP(A2631,[17]PRIORIZADOS!$A:$F,6,FALSE)="","",VLOOKUP(A2631,[17]PRIORIZADOS!$A:$F,6,FALSE)),"")</f>
        <v>ESCUELA_PEDAGOGICA_EXPERIMENTAL</v>
      </c>
      <c r="G2631" s="11" t="str">
        <f>IFERROR(IF(VLOOKUP(A2631,[17]PRIORIZADOS!$A:$G,7,FALSE)="","",VLOOKUP(A2631,[17]PRIORIZADOS!$A:$G,7,FALSE)),"")</f>
        <v>ESCUELA PEDAGOGICA EXPERIMENTAL</v>
      </c>
      <c r="H2631" s="11" t="str">
        <f>IFERROR(IF(VLOOKUP(A2631,[17]PRIORIZADOS!$A:$H,8,FALSE)="","",VLOOKUP(A2631,[17]PRIORIZADOS!$A:$H,8,FALSE)),"")</f>
        <v>Autoevaluación Institucional y Pruebas SABER 11</v>
      </c>
      <c r="I2631" s="11" t="str">
        <f>IFERROR(IF(VLOOKUP(A2631,[17]PRIORIZADOS!$A:$I,9,FALSE)="","",VLOOKUP(A2631,[17]PRIORIZADOS!$A:$I,9,FALSE)),"")</f>
        <v>SEGUIMIENTO_Y_SUPERVISIÓN.</v>
      </c>
      <c r="J2631" s="11" t="str">
        <f>IFERROR(IF(VLOOKUP(A2631,[17]PRIORIZADOS!$A:$J,10,FALSE)="","",VLOOKUP(A2631,[17]PRIORIZADOS!$A:$J,10,FALSE)),"")</f>
        <v>Realizar visitas para verificar la información registrada sobre la autoevaluación institucional en el aplicativo EVI, a los establecimientos de educación formal no oficial.</v>
      </c>
      <c r="K2631" s="11" t="str">
        <f>IFERROR(IF(VLOOKUP(A2631,[17]PRIORIZADOS!$A:$K,11,FALSE)="","",VLOOKUP(A2631,[17]PRIORIZADOS!$A:$K,11,FALSE)),"")</f>
        <v>MARTHA CECILIA MELGAREJO PINTO</v>
      </c>
      <c r="L2631" s="11" t="str">
        <f>IFERROR(IF(VLOOKUP(A2631,[17]PRIORIZADOS!$A:$L,12,FALSE)="","",VLOOKUP(A2631,[17]PRIORIZADOS!$A:$L,12,FALSE)),"")</f>
        <v>GILMA ESTHER ALBARRACÍN BALLESTEROS</v>
      </c>
      <c r="M2631" s="71">
        <f>IFERROR(IF(VLOOKUP(A2631,[17]PRIORIZADOS!$A:$M,13,FALSE)="","",VLOOKUP(A2631,[17]PRIORIZADOS!$A:$M,13,FALSE)),"")</f>
        <v>45785</v>
      </c>
      <c r="N2631" s="71">
        <f>IFERROR(IF(VLOOKUP(A2631,[17]PRIORIZADOS!$A:$N,14,FALSE)="","",VLOOKUP(A2631,[17]PRIORIZADOS!$A:$N,14,FALSE)),"")</f>
        <v>45785</v>
      </c>
      <c r="O2631" s="71">
        <f>IFERROR(IF(VLOOKUP(A2631,[17]PRIORIZADOS!$A:$O,15,FALSE)="","",VLOOKUP(A2631,[17]PRIORIZADOS!$A:$O,15,FALSE)),"")</f>
        <v>45785</v>
      </c>
      <c r="P2631" s="11" t="str">
        <f>IFERROR(IF(VLOOKUP(A2631,[17]PRIORIZADOS!$A:$P,16,FALSE)="","",VLOOKUP(A2631,[17]PRIORIZADOS!$A:$P,16,FALSE)),"")</f>
        <v/>
      </c>
      <c r="Q2631" s="157" t="s">
        <v>511</v>
      </c>
      <c r="R2631" s="11" t="str">
        <f>IFERROR(IF(VLOOKUP(A2631,[17]PRIORIZADOS!$A:$R,18,FALSE)="","",VLOOKUP(A2631,[17]PRIORIZADOS!$A:$R,18,FALSE)),"")</f>
        <v>Se encontró que no se cuenta con el procedimiento para la asignación de cupos, matrículas, y el registro en los sistemas de información SIMAT y en el EVI.</v>
      </c>
      <c r="S2631" s="11" t="str">
        <f>IFERROR(IF(VLOOKUP(A2631,[17]PRIORIZADOS!$A:$S,19,FALSE)="","",VLOOKUP(A2631,[17]PRIORIZADOS!$A:$S,19,FALSE)),"")</f>
        <v>Ajustar el procedimiento y registrar la información en los aplicativos establecidos.</v>
      </c>
      <c r="T2631" s="70" t="str">
        <f>IFERROR(IF(VLOOKUP(A2631,[17]PRIORIZADOS!$A:$T,20,FALSE)="","",VLOOKUP(A2631,[17]PRIORIZADOS!$A:$T,20,FALSE)),"")</f>
        <v>Si</v>
      </c>
      <c r="U2631" s="11" t="str">
        <f>IFERROR(IF(VLOOKUP(A2631,[17]PRIORIZADOS!$A:$U,21,FALSE)="","",VLOOKUP(A2631,[17]PRIORIZADOS!$A:$U,21,FALSE)),"")</f>
        <v>Revisar el cumplimento frente al procedimiento definido en el plan de mejoramiento. Plazo 30/09/2025</v>
      </c>
    </row>
    <row r="2632" spans="1:21" s="1" customFormat="1" ht="96">
      <c r="A2632" s="69">
        <f>IF([17]PRIORIZADOS!A80="","",[17]PRIORIZADOS!A80)</f>
        <v>2616</v>
      </c>
      <c r="B2632" s="70">
        <v>9</v>
      </c>
      <c r="C2632" s="11" t="str">
        <f>IFERROR(IF(VLOOKUP(A2632,[17]PRIORIZADOS!$A:$C,3,FALSE)="","",VLOOKUP(A2632,[17]PRIORIZADOS!$A:$C,3,FALSE)),"")</f>
        <v>USAQUÉN</v>
      </c>
      <c r="D2632" s="11" t="str">
        <f>IFERROR(IF(VLOOKUP(A2632,[17]PRIORIZADOS!$A:$D,4,FALSE)="","",VLOOKUP(A2632,[17]PRIORIZADOS!$A:$D,4,FALSE)),"")</f>
        <v>PRIVADO</v>
      </c>
      <c r="E2632" s="11" t="str">
        <f>IFERROR(IF(VLOOKUP(A2632,[17]PRIORIZADOS!$A:$E,5,FALSE)="","",VLOOKUP(A2632,[17]PRIORIZADOS!$A:$E,5,FALSE)),"")</f>
        <v>EPBM</v>
      </c>
      <c r="F2632" s="11" t="str">
        <f>IFERROR(IF(VLOOKUP(A2632,[17]PRIORIZADOS!$A:$F,6,FALSE)="","",VLOOKUP(A2632,[17]PRIORIZADOS!$A:$F,6,FALSE)),"")</f>
        <v>ESCUELA_PEDAGOGICA_EXPERIMENTAL</v>
      </c>
      <c r="G2632" s="11" t="str">
        <f>IFERROR(IF(VLOOKUP(A2632,[17]PRIORIZADOS!$A:$G,7,FALSE)="","",VLOOKUP(A2632,[17]PRIORIZADOS!$A:$G,7,FALSE)),"")</f>
        <v>ESCUELA PEDAGOGICA EXPERIMENTAL</v>
      </c>
      <c r="H2632" s="11" t="str">
        <f>IFERROR(IF(VLOOKUP(A2632,[17]PRIORIZADOS!$A:$H,8,FALSE)="","",VLOOKUP(A2632,[17]PRIORIZADOS!$A:$H,8,FALSE)),"")</f>
        <v>Autoevaluación Institucional y Pruebas SABER 11</v>
      </c>
      <c r="I2632" s="11" t="str">
        <f>IFERROR(IF(VLOOKUP(A2632,[17]PRIORIZADOS!$A:$I,9,FALSE)="","",VLOOKUP(A2632,[17]PRIORIZADOS!$A:$I,9,FALSE)),"")</f>
        <v>SEGUIMIENTO_Y_SUPERVISIÓN.</v>
      </c>
      <c r="J2632" s="11" t="str">
        <f>IFERROR(IF(VLOOKUP(A2632,[17]PRIORIZADOS!$A:$J,10,FALSE)="","",VLOOKUP(A2632,[17]PRIORIZADOS!$A:$J,10,FALSE)),"")</f>
        <v>Proponer estrategias en la formulación, verificar su elaboración y realizar seguimiento semestral al desarrollo de  las acciones establecidas en los planes de mejoramiento por pruebas SABER 11 de los establecimientos de educación formal.</v>
      </c>
      <c r="K2632" s="11" t="str">
        <f>IFERROR(IF(VLOOKUP(A2632,[17]PRIORIZADOS!$A:$K,11,FALSE)="","",VLOOKUP(A2632,[17]PRIORIZADOS!$A:$K,11,FALSE)),"")</f>
        <v>MARTHA CECILIA MELGAREJO PINTO</v>
      </c>
      <c r="L2632" s="11" t="str">
        <f>IFERROR(IF(VLOOKUP(A2632,[17]PRIORIZADOS!$A:$L,12,FALSE)="","",VLOOKUP(A2632,[17]PRIORIZADOS!$A:$L,12,FALSE)),"")</f>
        <v>GILMA ESTHER ALBARRACÍN BALLESTEROS</v>
      </c>
      <c r="M2632" s="71">
        <f>IFERROR(IF(VLOOKUP(A2632,[17]PRIORIZADOS!$A:$M,13,FALSE)="","",VLOOKUP(A2632,[17]PRIORIZADOS!$A:$M,13,FALSE)),"")</f>
        <v>45785</v>
      </c>
      <c r="N2632" s="71">
        <f>IFERROR(IF(VLOOKUP(A2632,[17]PRIORIZADOS!$A:$N,14,FALSE)="","",VLOOKUP(A2632,[17]PRIORIZADOS!$A:$N,14,FALSE)),"")</f>
        <v>45785</v>
      </c>
      <c r="O2632" s="71">
        <f>IFERROR(IF(VLOOKUP(A2632,[17]PRIORIZADOS!$A:$O,15,FALSE)="","",VLOOKUP(A2632,[17]PRIORIZADOS!$A:$O,15,FALSE)),"")</f>
        <v>45785</v>
      </c>
      <c r="P2632" s="11" t="str">
        <f>IFERROR(IF(VLOOKUP(A2632,[17]PRIORIZADOS!$A:$P,16,FALSE)="","",VLOOKUP(A2632,[17]PRIORIZADOS!$A:$P,16,FALSE)),"")</f>
        <v/>
      </c>
      <c r="Q2632" s="61" t="s">
        <v>512</v>
      </c>
      <c r="R2632" s="11" t="str">
        <f>IFERROR(IF(VLOOKUP(A2632,[17]PRIORIZADOS!$A:$R,18,FALSE)="","",VLOOKUP(A2632,[17]PRIORIZADOS!$A:$R,18,FALSE)),"")</f>
        <v>La institución no cuenta con organizaciones específicas basadas en los resultados de las pruebas Saber 11, tampoco elabora un plan de mejoramiento, no actualiza el currículo y no ha implementado acciones orientadas al fortalecimiento de los aprendizajes frente a dichos resultados.</v>
      </c>
      <c r="S2632" s="11" t="str">
        <f>IFERROR(IF(VLOOKUP(A2632,[17]PRIORIZADOS!$A:$S,19,FALSE)="","",VLOOKUP(A2632,[17]PRIORIZADOS!$A:$S,19,FALSE)),"")</f>
        <v>Elaborar y ejecutar un plan de mejora que defina acciones que les permita tener mejores resultados en la prueba saber 11.</v>
      </c>
      <c r="T2632" s="70" t="str">
        <f>IFERROR(IF(VLOOKUP(A2632,[17]PRIORIZADOS!$A:$T,20,FALSE)="","",VLOOKUP(A2632,[17]PRIORIZADOS!$A:$T,20,FALSE)),"")</f>
        <v>Si</v>
      </c>
      <c r="U2632" s="11" t="str">
        <f>IFERROR(IF(VLOOKUP(A2632,[17]PRIORIZADOS!$A:$U,21,FALSE)="","",VLOOKUP(A2632,[17]PRIORIZADOS!$A:$U,21,FALSE)),"")</f>
        <v xml:space="preserve">Revisar el plan de mejora definido para tener mejores resultados en las pruebas saber 11 y contrastar frente a los reaultados del año anterior. Plazo 30/09/2025.
</v>
      </c>
    </row>
    <row r="2633" spans="1:21" s="1" customFormat="1" ht="107.25">
      <c r="A2633" s="69">
        <f>IF([17]PRIORIZADOS!A81="","",[17]PRIORIZADOS!A81)</f>
        <v>2617</v>
      </c>
      <c r="B2633" s="70">
        <v>9</v>
      </c>
      <c r="C2633" s="11" t="str">
        <f>IFERROR(IF(VLOOKUP(A2633,[17]PRIORIZADOS!$A:$C,3,FALSE)="","",VLOOKUP(A2633,[17]PRIORIZADOS!$A:$C,3,FALSE)),"")</f>
        <v>USAQUÉN</v>
      </c>
      <c r="D2633" s="11" t="str">
        <f>IFERROR(IF(VLOOKUP(A2633,[17]PRIORIZADOS!$A:$D,4,FALSE)="","",VLOOKUP(A2633,[17]PRIORIZADOS!$A:$D,4,FALSE)),"")</f>
        <v>PRIVADO</v>
      </c>
      <c r="E2633" s="11" t="str">
        <f>IFERROR(IF(VLOOKUP(A2633,[17]PRIORIZADOS!$A:$E,5,FALSE)="","",VLOOKUP(A2633,[17]PRIORIZADOS!$A:$E,5,FALSE)),"")</f>
        <v>EPBM</v>
      </c>
      <c r="F2633" s="11" t="str">
        <f>IFERROR(IF(VLOOKUP(A2633,[17]PRIORIZADOS!$A:$F,6,FALSE)="","",VLOOKUP(A2633,[17]PRIORIZADOS!$A:$F,6,FALSE)),"")</f>
        <v>ESCUELA_PEDAGOGICA_EXPERIMENTAL</v>
      </c>
      <c r="G2633" s="11" t="str">
        <f>IFERROR(IF(VLOOKUP(A2633,[17]PRIORIZADOS!$A:$G,7,FALSE)="","",VLOOKUP(A2633,[17]PRIORIZADOS!$A:$G,7,FALSE)),"")</f>
        <v>ESCUELA PEDAGOGICA EXPERIMENTAL</v>
      </c>
      <c r="H2633" s="11" t="str">
        <f>IFERROR(IF(VLOOKUP(A2633,[17]PRIORIZADOS!$A:$H,8,FALSE)="","",VLOOKUP(A2633,[17]PRIORIZADOS!$A:$H,8,FALSE)),"")</f>
        <v>Autoevaluación Institucional y Pruebas SABER 11</v>
      </c>
      <c r="I2633" s="11" t="str">
        <f>IFERROR(IF(VLOOKUP(A2633,[17]PRIORIZADOS!$A:$I,9,FALSE)="","",VLOOKUP(A2633,[17]PRIORIZADOS!$A:$I,9,FALSE)),"")</f>
        <v>SEGUIMIENTO_Y_SUPERVISIÓN.</v>
      </c>
      <c r="J2633" s="11" t="str">
        <f>IFERROR(IF(VLOOKUP(A2633,[17]PRIORIZADOS!$A:$J,10,FALSE)="","",VLOOKUP(A2633,[17]PRIORIZADOS!$A:$J,10,FALSE)),"")</f>
        <v xml:space="preserve">Verificar la implementación por parte de los colegios, de acciones realizadas para la prevención y atención de las situaciones de convivencia en el entorno escolar, según lo establecido en la Directiva 01 de 2022 del MEN. </v>
      </c>
      <c r="K2633" s="11" t="str">
        <f>IFERROR(IF(VLOOKUP(A2633,[17]PRIORIZADOS!$A:$K,11,FALSE)="","",VLOOKUP(A2633,[17]PRIORIZADOS!$A:$K,11,FALSE)),"")</f>
        <v>MARTHA CECILIA MELGAREJO PINTO</v>
      </c>
      <c r="L2633" s="11" t="str">
        <f>IFERROR(IF(VLOOKUP(A2633,[17]PRIORIZADOS!$A:$L,12,FALSE)="","",VLOOKUP(A2633,[17]PRIORIZADOS!$A:$L,12,FALSE)),"")</f>
        <v>GILMA ESTHER ALBARRACÍN BALLESTEROS</v>
      </c>
      <c r="M2633" s="71">
        <f>IFERROR(IF(VLOOKUP(A2633,[17]PRIORIZADOS!$A:$M,13,FALSE)="","",VLOOKUP(A2633,[17]PRIORIZADOS!$A:$M,13,FALSE)),"")</f>
        <v>45785</v>
      </c>
      <c r="N2633" s="71">
        <f>IFERROR(IF(VLOOKUP(A2633,[17]PRIORIZADOS!$A:$N,14,FALSE)="","",VLOOKUP(A2633,[17]PRIORIZADOS!$A:$N,14,FALSE)),"")</f>
        <v>45785</v>
      </c>
      <c r="O2633" s="71">
        <f>IFERROR(IF(VLOOKUP(A2633,[17]PRIORIZADOS!$A:$O,15,FALSE)="","",VLOOKUP(A2633,[17]PRIORIZADOS!$A:$O,15,FALSE)),"")</f>
        <v>45785</v>
      </c>
      <c r="P2633" s="11" t="str">
        <f>IFERROR(IF(VLOOKUP(A2633,[17]PRIORIZADOS!$A:$P,16,FALSE)="","",VLOOKUP(A2633,[17]PRIORIZADOS!$A:$P,16,FALSE)),"")</f>
        <v/>
      </c>
      <c r="Q2633" s="2" t="s">
        <v>512</v>
      </c>
      <c r="R2633" s="11" t="str">
        <f>IFERROR(IF(VLOOKUP(A2633,[17]PRIORIZADOS!$A:$R,18,FALSE)="","",VLOOKUP(A2633,[17]PRIORIZADOS!$A:$R,18,FALSE)),"")</f>
        <v xml:space="preserve">Cuentan con un documento que denominan "Una alternativa al manual de convivencia" el cual no hace parte del manual de convivencia de la institución educativa y no contiene la información completa.
</v>
      </c>
      <c r="S2633" s="11" t="str">
        <f>IFERROR(IF(VLOOKUP(A2633,[17]PRIORIZADOS!$A:$S,19,FALSE)="","",VLOOKUP(A2633,[17]PRIORIZADOS!$A:$S,19,FALSE)),"")</f>
        <v>La I.E. realizará las reuniones del Comité de convivencia conforme a las funciones y ajustará el reglamento interno del mismo.
La institución educativa debe revisar, ajustar y actualizar el manual de convivencia conforme a lo dispuesto en la Ley 1620 y Decreto reglamentario 1965 de 2013</v>
      </c>
      <c r="T2633" s="70" t="str">
        <f>IFERROR(IF(VLOOKUP(A2633,[17]PRIORIZADOS!$A:$T,20,FALSE)="","",VLOOKUP(A2633,[17]PRIORIZADOS!$A:$T,20,FALSE)),"")</f>
        <v>Si</v>
      </c>
      <c r="U2633" s="11" t="str">
        <f>IFERROR(IF(VLOOKUP(A2633,[17]PRIORIZADOS!$A:$U,21,FALSE)="","",VLOOKUP(A2633,[17]PRIORIZADOS!$A:$U,21,FALSE)),"")</f>
        <v>Se revisará el ajuste realizado al manual de convivencia, frente a este tema y las actas de las reuniones.  Plazo:30/09/2025</v>
      </c>
    </row>
    <row r="2634" spans="1:21" s="1" customFormat="1" ht="142.5">
      <c r="A2634" s="69">
        <f>IF([17]PRIORIZADOS!A82="","",[17]PRIORIZADOS!A82)</f>
        <v>2618</v>
      </c>
      <c r="B2634" s="70">
        <v>9</v>
      </c>
      <c r="C2634" s="11" t="str">
        <f>IFERROR(IF(VLOOKUP(A2634,[17]PRIORIZADOS!$A:$C,3,FALSE)="","",VLOOKUP(A2634,[17]PRIORIZADOS!$A:$C,3,FALSE)),"")</f>
        <v>USAQUÉN</v>
      </c>
      <c r="D2634" s="11" t="str">
        <f>IFERROR(IF(VLOOKUP(A2634,[17]PRIORIZADOS!$A:$D,4,FALSE)="","",VLOOKUP(A2634,[17]PRIORIZADOS!$A:$D,4,FALSE)),"")</f>
        <v>PRIVADO</v>
      </c>
      <c r="E2634" s="11" t="str">
        <f>IFERROR(IF(VLOOKUP(A2634,[17]PRIORIZADOS!$A:$E,5,FALSE)="","",VLOOKUP(A2634,[17]PRIORIZADOS!$A:$E,5,FALSE)),"")</f>
        <v>EPBM</v>
      </c>
      <c r="F2634" s="11" t="str">
        <f>IFERROR(IF(VLOOKUP(A2634,[17]PRIORIZADOS!$A:$F,6,FALSE)="","",VLOOKUP(A2634,[17]PRIORIZADOS!$A:$F,6,FALSE)),"")</f>
        <v>ESCUELA_PEDAGOGICA_EXPERIMENTAL</v>
      </c>
      <c r="G2634" s="11" t="str">
        <f>IFERROR(IF(VLOOKUP(A2634,[17]PRIORIZADOS!$A:$G,7,FALSE)="","",VLOOKUP(A2634,[17]PRIORIZADOS!$A:$G,7,FALSE)),"")</f>
        <v>ESCUELA PEDAGOGICA EXPERIMENTAL</v>
      </c>
      <c r="H2634" s="11" t="str">
        <f>IFERROR(IF(VLOOKUP(A2634,[17]PRIORIZADOS!$A:$H,8,FALSE)="","",VLOOKUP(A2634,[17]PRIORIZADOS!$A:$H,8,FALSE)),"")</f>
        <v>Autoevaluación Institucional y Pruebas SABER 11</v>
      </c>
      <c r="I2634" s="11" t="str">
        <f>IFERROR(IF(VLOOKUP(A2634,[17]PRIORIZADOS!$A:$I,9,FALSE)="","",VLOOKUP(A2634,[17]PRIORIZADOS!$A:$I,9,FALSE)),"")</f>
        <v>SEGUIMIENTO_Y_SUPERVISIÓN.</v>
      </c>
      <c r="J2634" s="11" t="str">
        <f>IFERROR(IF(VLOOKUP(A2634,[17]PRIORIZADOS!$A:$J,10,FALSE)="","",VLOOKUP(A2634,[17]PRIORIZADOS!$A:$J,10,FALSE)),"")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34" s="11" t="str">
        <f>IFERROR(IF(VLOOKUP(A2634,[17]PRIORIZADOS!$A:$K,11,FALSE)="","",VLOOKUP(A2634,[17]PRIORIZADOS!$A:$K,11,FALSE)),"")</f>
        <v>MARTHA CECILIA MELGAREJO PINTO</v>
      </c>
      <c r="L2634" s="11" t="str">
        <f>IFERROR(IF(VLOOKUP(A2634,[17]PRIORIZADOS!$A:$L,12,FALSE)="","",VLOOKUP(A2634,[17]PRIORIZADOS!$A:$L,12,FALSE)),"")</f>
        <v>GILMA ESTHER ALBARRACÍN BALLESTEROS</v>
      </c>
      <c r="M2634" s="71">
        <f>IFERROR(IF(VLOOKUP(A2634,[17]PRIORIZADOS!$A:$M,13,FALSE)="","",VLOOKUP(A2634,[17]PRIORIZADOS!$A:$M,13,FALSE)),"")</f>
        <v>45785</v>
      </c>
      <c r="N2634" s="71">
        <f>IFERROR(IF(VLOOKUP(A2634,[17]PRIORIZADOS!$A:$N,14,FALSE)="","",VLOOKUP(A2634,[17]PRIORIZADOS!$A:$N,14,FALSE)),"")</f>
        <v>45785</v>
      </c>
      <c r="O2634" s="71">
        <f>IFERROR(IF(VLOOKUP(A2634,[17]PRIORIZADOS!$A:$O,15,FALSE)="","",VLOOKUP(A2634,[17]PRIORIZADOS!$A:$O,15,FALSE)),"")</f>
        <v>45785</v>
      </c>
      <c r="P2634" s="11" t="str">
        <f>IFERROR(IF(VLOOKUP(A2634,[17]PRIORIZADOS!$A:$P,16,FALSE)="","",VLOOKUP(A2634,[17]PRIORIZADOS!$A:$P,16,FALSE)),"")</f>
        <v/>
      </c>
      <c r="Q2634" s="2" t="s">
        <v>512</v>
      </c>
      <c r="R2634" s="11" t="str">
        <f>IFERROR(IF(VLOOKUP(A2634,[17]PRIORIZADOS!$A:$R,18,FALSE)="","",VLOOKUP(A2634,[17]PRIORIZADOS!$A:$R,18,FALSE)),"")</f>
        <v>La Institución cuenta con el apoyo de un pasante de Terapia Ocupacional mediante convenio institucional, tienen un estudiante identificado con problemas de aprendizaje pero no esta registrado en el SIMAT porque no ha sido diagnósticado, sin embargo le han implementado Planes Individuales de Ajustes Razonables.
El estudiante está identificado, pero no existe un procedimiento de caracterización ni estrategias definidas;</v>
      </c>
      <c r="S2634" s="11" t="str">
        <f>IFERROR(IF(VLOOKUP(A2634,[17]PRIORIZADOS!$A:$S,19,FALSE)="","",VLOOKUP(A2634,[17]PRIORIZADOS!$A:$S,19,FALSE)),"")</f>
        <v>Continuar  diseñando y actualizando los PIAR a los estudiantes que así lo requieran , en atención a  lo dispuesto en Decreto 1421 de 2017.</v>
      </c>
      <c r="T2634" s="70" t="str">
        <f>IFERROR(IF(VLOOKUP(A2634,[17]PRIORIZADOS!$A:$T,20,FALSE)="","",VLOOKUP(A2634,[17]PRIORIZADOS!$A:$T,20,FALSE)),"")</f>
        <v>No</v>
      </c>
      <c r="U2634" s="11" t="str">
        <f>IFERROR(IF(VLOOKUP(A2634,[17]PRIORIZADOS!$A:$U,21,FALSE)="","",VLOOKUP(A2634,[17]PRIORIZADOS!$A:$U,21,FALSE)),"")</f>
        <v>Revisar cuando se presente algún caso relacionado con PIAR.</v>
      </c>
    </row>
    <row r="2635" spans="1:21" s="1" customFormat="1" ht="96">
      <c r="A2635" s="69">
        <f>IF([17]PRIORIZADOS!A83="","",[17]PRIORIZADOS!A83)</f>
        <v>2619</v>
      </c>
      <c r="B2635" s="70">
        <v>9</v>
      </c>
      <c r="C2635" s="11" t="str">
        <f>IFERROR(IF(VLOOKUP(A2635,[17]PRIORIZADOS!$A:$C,3,FALSE)="","",VLOOKUP(A2635,[17]PRIORIZADOS!$A:$C,3,FALSE)),"")</f>
        <v>USAQUÉN</v>
      </c>
      <c r="D2635" s="11" t="str">
        <f>IFERROR(IF(VLOOKUP(A2635,[17]PRIORIZADOS!$A:$D,4,FALSE)="","",VLOOKUP(A2635,[17]PRIORIZADOS!$A:$D,4,FALSE)),"")</f>
        <v>PRIVADO</v>
      </c>
      <c r="E2635" s="11" t="str">
        <f>IFERROR(IF(VLOOKUP(A2635,[17]PRIORIZADOS!$A:$E,5,FALSE)="","",VLOOKUP(A2635,[17]PRIORIZADOS!$A:$E,5,FALSE)),"")</f>
        <v>EPBM</v>
      </c>
      <c r="F2635" s="11" t="str">
        <f>IFERROR(IF(VLOOKUP(A2635,[17]PRIORIZADOS!$A:$F,6,FALSE)="","",VLOOKUP(A2635,[17]PRIORIZADOS!$A:$F,6,FALSE)),"")</f>
        <v>ESCUELA_PEDAGOGICA_EXPERIMENTAL</v>
      </c>
      <c r="G2635" s="11" t="str">
        <f>IFERROR(IF(VLOOKUP(A2635,[17]PRIORIZADOS!$A:$G,7,FALSE)="","",VLOOKUP(A2635,[17]PRIORIZADOS!$A:$G,7,FALSE)),"")</f>
        <v>ESCUELA PEDAGOGICA EXPERIMENTAL</v>
      </c>
      <c r="H2635" s="11" t="str">
        <f>IFERROR(IF(VLOOKUP(A2635,[17]PRIORIZADOS!$A:$H,8,FALSE)="","",VLOOKUP(A2635,[17]PRIORIZADOS!$A:$H,8,FALSE)),"")</f>
        <v>Autoevaluación Institucional y Pruebas SABER 11</v>
      </c>
      <c r="I2635" s="11" t="str">
        <f>IFERROR(IF(VLOOKUP(A2635,[17]PRIORIZADOS!$A:$I,9,FALSE)="","",VLOOKUP(A2635,[17]PRIORIZADOS!$A:$I,9,FALSE)),"")</f>
        <v>EVALUACIÓN_CON_FINES_DE_MEJORAMIENTO.</v>
      </c>
      <c r="J2635" s="11" t="str">
        <f>IFERROR(IF(VLOOKUP(A2635,[17]PRIORIZADOS!$A:$J,10,FALSE)="","",VLOOKUP(A2635,[17]PRIORIZADOS!$A:$J,10,FALSE)),"")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35" s="11" t="str">
        <f>IFERROR(IF(VLOOKUP(A2635,[17]PRIORIZADOS!$A:$K,11,FALSE)="","",VLOOKUP(A2635,[17]PRIORIZADOS!$A:$K,11,FALSE)),"")</f>
        <v>MARTHA CECILIA MELGAREJO PINTO</v>
      </c>
      <c r="L2635" s="11" t="str">
        <f>IFERROR(IF(VLOOKUP(A2635,[17]PRIORIZADOS!$A:$L,12,FALSE)="","",VLOOKUP(A2635,[17]PRIORIZADOS!$A:$L,12,FALSE)),"")</f>
        <v>GILMA ESTHER ALBARRACÍN BALLESTEROS</v>
      </c>
      <c r="M2635" s="71">
        <f>IFERROR(IF(VLOOKUP(A2635,[17]PRIORIZADOS!$A:$M,13,FALSE)="","",VLOOKUP(A2635,[17]PRIORIZADOS!$A:$M,13,FALSE)),"")</f>
        <v>45785</v>
      </c>
      <c r="N2635" s="71">
        <f>IFERROR(IF(VLOOKUP(A2635,[17]PRIORIZADOS!$A:$N,14,FALSE)="","",VLOOKUP(A2635,[17]PRIORIZADOS!$A:$N,14,FALSE)),"")</f>
        <v>45785</v>
      </c>
      <c r="O2635" s="71">
        <f>IFERROR(IF(VLOOKUP(A2635,[17]PRIORIZADOS!$A:$O,15,FALSE)="","",VLOOKUP(A2635,[17]PRIORIZADOS!$A:$O,15,FALSE)),"")</f>
        <v>45785</v>
      </c>
      <c r="P2635" s="11" t="str">
        <f>IFERROR(IF(VLOOKUP(A2635,[17]PRIORIZADOS!$A:$P,16,FALSE)="","",VLOOKUP(A2635,[17]PRIORIZADOS!$A:$P,16,FALSE)),"")</f>
        <v/>
      </c>
      <c r="Q2635" s="2" t="s">
        <v>512</v>
      </c>
      <c r="R2635" s="11" t="str">
        <f>IFERROR(IF(VLOOKUP(A2635,[17]PRIORIZADOS!$A:$R,18,FALSE)="","",VLOOKUP(A2635,[17]PRIORIZADOS!$A:$R,18,FALSE)),"")</f>
        <v>La institución presenta un documento que denominan "Una alternativa al manual de convivencia" no presentan actas que evidencien la participación en la actualización del manual de convivencia, tienen un cuaderno donde registran información pero no tiene firmas, ni nombres.</v>
      </c>
      <c r="S2635" s="11" t="str">
        <f>IFERROR(IF(VLOOKUP(A2635,[17]PRIORIZADOS!$A:$S,19,FALSE)="","",VLOOKUP(A2635,[17]PRIORIZADOS!$A:$S,19,FALSE)),"")</f>
        <v>Se debe ajustar el manual de convivencia conforme a lo establecido en la Ley 1620 de 2013.</v>
      </c>
      <c r="T2635" s="70" t="str">
        <f>IFERROR(IF(VLOOKUP(A2635,[17]PRIORIZADOS!$A:$T,20,FALSE)="","",VLOOKUP(A2635,[17]PRIORIZADOS!$A:$T,20,FALSE)),"")</f>
        <v>Si</v>
      </c>
      <c r="U2635" s="11" t="str">
        <f>IFERROR(IF(VLOOKUP(A2635,[17]PRIORIZADOS!$A:$U,21,FALSE)="","",VLOOKUP(A2635,[17]PRIORIZADOS!$A:$U,21,FALSE)),"")</f>
        <v>Revisar el manual de convivencia una vez lo ajusten de acuerdo con el plan de mejoramiento. Plazo: 30/09/2025</v>
      </c>
    </row>
    <row r="2636" spans="1:21" s="1" customFormat="1" ht="72">
      <c r="A2636" s="69">
        <f>IF([17]PRIORIZADOS!A84="","",[17]PRIORIZADOS!A84)</f>
        <v>2620</v>
      </c>
      <c r="B2636" s="70">
        <v>9</v>
      </c>
      <c r="C2636" s="11" t="str">
        <f>IFERROR(IF(VLOOKUP(A2636,[17]PRIORIZADOS!$A:$C,3,FALSE)="","",VLOOKUP(A2636,[17]PRIORIZADOS!$A:$C,3,FALSE)),"")</f>
        <v>USAQUÉN</v>
      </c>
      <c r="D2636" s="11" t="str">
        <f>IFERROR(IF(VLOOKUP(A2636,[17]PRIORIZADOS!$A:$D,4,FALSE)="","",VLOOKUP(A2636,[17]PRIORIZADOS!$A:$D,4,FALSE)),"")</f>
        <v>PRIVADO</v>
      </c>
      <c r="E2636" s="11" t="str">
        <f>IFERROR(IF(VLOOKUP(A2636,[17]PRIORIZADOS!$A:$E,5,FALSE)="","",VLOOKUP(A2636,[17]PRIORIZADOS!$A:$E,5,FALSE)),"")</f>
        <v>EPBM</v>
      </c>
      <c r="F2636" s="11" t="str">
        <f>IFERROR(IF(VLOOKUP(A2636,[17]PRIORIZADOS!$A:$F,6,FALSE)="","",VLOOKUP(A2636,[17]PRIORIZADOS!$A:$F,6,FALSE)),"")</f>
        <v>ESCUELA_PEDAGOGICA_EXPERIMENTAL</v>
      </c>
      <c r="G2636" s="11" t="str">
        <f>IFERROR(IF(VLOOKUP(A2636,[17]PRIORIZADOS!$A:$G,7,FALSE)="","",VLOOKUP(A2636,[17]PRIORIZADOS!$A:$G,7,FALSE)),"")</f>
        <v>ESCUELA PEDAGOGICA EXPERIMENTAL</v>
      </c>
      <c r="H2636" s="11" t="str">
        <f>IFERROR(IF(VLOOKUP(A2636,[17]PRIORIZADOS!$A:$H,8,FALSE)="","",VLOOKUP(A2636,[17]PRIORIZADOS!$A:$H,8,FALSE)),"")</f>
        <v>Autoevaluación Institucional y Pruebas SABER 11</v>
      </c>
      <c r="I2636" s="11" t="str">
        <f>IFERROR(IF(VLOOKUP(A2636,[17]PRIORIZADOS!$A:$I,9,FALSE)="","",VLOOKUP(A2636,[17]PRIORIZADOS!$A:$I,9,FALSE)),"")</f>
        <v>EVALUACIÓN_CON_FINES_DE_MEJORAMIENTO.</v>
      </c>
      <c r="J2636" s="11" t="str">
        <f>IFERROR(IF(VLOOKUP(A2636,[17]PRIORIZADOS!$A:$J,10,FALSE)="","",VLOOKUP(A2636,[17]PRIORIZADOS!$A:$J,10,FALSE)),"")</f>
        <v>Revisar la actualización, socialización e implementación del Sistema Institucional de Evaluación de Estudiantes - SIEE, en articulación con la actualización del PEI y la normatividad vigente.</v>
      </c>
      <c r="K2636" s="11" t="str">
        <f>IFERROR(IF(VLOOKUP(A2636,[17]PRIORIZADOS!$A:$K,11,FALSE)="","",VLOOKUP(A2636,[17]PRIORIZADOS!$A:$K,11,FALSE)),"")</f>
        <v>MARTHA CECILIA MELGAREJO PINTO</v>
      </c>
      <c r="L2636" s="11" t="str">
        <f>IFERROR(IF(VLOOKUP(A2636,[17]PRIORIZADOS!$A:$L,12,FALSE)="","",VLOOKUP(A2636,[17]PRIORIZADOS!$A:$L,12,FALSE)),"")</f>
        <v>GILMA ESTHER ALBARRACÍN BALLESTEROS</v>
      </c>
      <c r="M2636" s="71">
        <f>IFERROR(IF(VLOOKUP(A2636,[17]PRIORIZADOS!$A:$M,13,FALSE)="","",VLOOKUP(A2636,[17]PRIORIZADOS!$A:$M,13,FALSE)),"")</f>
        <v>45785</v>
      </c>
      <c r="N2636" s="71">
        <f>IFERROR(IF(VLOOKUP(A2636,[17]PRIORIZADOS!$A:$N,14,FALSE)="","",VLOOKUP(A2636,[17]PRIORIZADOS!$A:$N,14,FALSE)),"")</f>
        <v>45785</v>
      </c>
      <c r="O2636" s="71">
        <f>IFERROR(IF(VLOOKUP(A2636,[17]PRIORIZADOS!$A:$O,15,FALSE)="","",VLOOKUP(A2636,[17]PRIORIZADOS!$A:$O,15,FALSE)),"")</f>
        <v>45785</v>
      </c>
      <c r="P2636" s="11" t="str">
        <f>IFERROR(IF(VLOOKUP(A2636,[17]PRIORIZADOS!$A:$P,16,FALSE)="","",VLOOKUP(A2636,[17]PRIORIZADOS!$A:$P,16,FALSE)),"")</f>
        <v/>
      </c>
      <c r="Q2636" s="2" t="s">
        <v>512</v>
      </c>
      <c r="R2636" s="11" t="str">
        <f>IFERROR(IF(VLOOKUP(A2636,[17]PRIORIZADOS!$A:$R,18,FALSE)="","",VLOOKUP(A2636,[17]PRIORIZADOS!$A:$R,18,FALSE)),"")</f>
        <v>El SIEE menciona criterios de promoción pero no incluye la escala de valoración ni su homologación, anuncian estrategias sin detalle y, en casos especiales, los docentes contactan a padres y envían material de apoyo académico.</v>
      </c>
      <c r="S2636" s="11" t="str">
        <f>IFERROR(IF(VLOOKUP(A2636,[17]PRIORIZADOS!$A:$S,19,FALSE)="","",VLOOKUP(A2636,[17]PRIORIZADOS!$A:$S,19,FALSE)),"")</f>
        <v>Definir en el SIEE la escala de valoración y su homologación conforme al Decreto 1290.</v>
      </c>
      <c r="T2636" s="70" t="str">
        <f>IFERROR(IF(VLOOKUP(A2636,[17]PRIORIZADOS!$A:$T,20,FALSE)="","",VLOOKUP(A2636,[17]PRIORIZADOS!$A:$T,20,FALSE)),"")</f>
        <v>SI</v>
      </c>
      <c r="U2636" s="11" t="str">
        <f>IFERROR(IF(VLOOKUP(A2636,[17]PRIORIZADOS!$A:$U,21,FALSE)="","",VLOOKUP(A2636,[17]PRIORIZADOS!$A:$U,21,FALSE)),"")</f>
        <v xml:space="preserve">Verificar la actualización del SIEE de acuerdo con el plan de mejoramiento. Plazo 30/09/2025 </v>
      </c>
    </row>
    <row r="2637" spans="1:21" s="1" customFormat="1" ht="60">
      <c r="A2637" s="69">
        <f>IF([17]PRIORIZADOS!A85="","",[17]PRIORIZADOS!A85)</f>
        <v>2621</v>
      </c>
      <c r="B2637" s="70">
        <v>9</v>
      </c>
      <c r="C2637" s="11" t="str">
        <f>IFERROR(IF(VLOOKUP(A2637,[17]PRIORIZADOS!$A:$C,3,FALSE)="","",VLOOKUP(A2637,[17]PRIORIZADOS!$A:$C,3,FALSE)),"")</f>
        <v>USAQUÉN</v>
      </c>
      <c r="D2637" s="11" t="str">
        <f>IFERROR(IF(VLOOKUP(A2637,[17]PRIORIZADOS!$A:$D,4,FALSE)="","",VLOOKUP(A2637,[17]PRIORIZADOS!$A:$D,4,FALSE)),"")</f>
        <v>PRIVADO</v>
      </c>
      <c r="E2637" s="11" t="str">
        <f>IFERROR(IF(VLOOKUP(A2637,[17]PRIORIZADOS!$A:$E,5,FALSE)="","",VLOOKUP(A2637,[17]PRIORIZADOS!$A:$E,5,FALSE)),"")</f>
        <v>EPBM</v>
      </c>
      <c r="F2637" s="11" t="str">
        <f>IFERROR(IF(VLOOKUP(A2637,[17]PRIORIZADOS!$A:$F,6,FALSE)="","",VLOOKUP(A2637,[17]PRIORIZADOS!$A:$F,6,FALSE)),"")</f>
        <v>ESCUELA_PEDAGOGICA_EXPERIMENTAL</v>
      </c>
      <c r="G2637" s="11" t="str">
        <f>IFERROR(IF(VLOOKUP(A2637,[17]PRIORIZADOS!$A:$G,7,FALSE)="","",VLOOKUP(A2637,[17]PRIORIZADOS!$A:$G,7,FALSE)),"")</f>
        <v>ESCUELA PEDAGOGICA EXPERIMENTAL</v>
      </c>
      <c r="H2637" s="11" t="str">
        <f>IFERROR(IF(VLOOKUP(A2637,[17]PRIORIZADOS!$A:$H,8,FALSE)="","",VLOOKUP(A2637,[17]PRIORIZADOS!$A:$H,8,FALSE)),"")</f>
        <v>Autoevaluación Institucional y Pruebas SABER 11</v>
      </c>
      <c r="I2637" s="11" t="str">
        <f>IFERROR(IF(VLOOKUP(A2637,[17]PRIORIZADOS!$A:$I,9,FALSE)="","",VLOOKUP(A2637,[17]PRIORIZADOS!$A:$I,9,FALSE)),"")</f>
        <v>EVALUACIÓN_CON_FINES_DE_MEJORAMIENTO.</v>
      </c>
      <c r="J2637" s="11" t="str">
        <f>IFERROR(IF(VLOOKUP(A2637,[17]PRIORIZADOS!$A:$J,10,FALSE)="","",VLOOKUP(A2637,[17]PRIORIZADOS!$A:$J,10,FALSE)),"")</f>
        <v>Revisar el calendario escolar, jornada escolar, la intensidad horaria mínima anual en cada nivel y las modificaciones que se realicen al mismo, de acuerdo con lo previsto en la normatividad vigente.</v>
      </c>
      <c r="K2637" s="11" t="str">
        <f>IFERROR(IF(VLOOKUP(A2637,[17]PRIORIZADOS!$A:$K,11,FALSE)="","",VLOOKUP(A2637,[17]PRIORIZADOS!$A:$K,11,FALSE)),"")</f>
        <v>MARTHA CECILIA MELGAREJO PINTO</v>
      </c>
      <c r="L2637" s="11" t="str">
        <f>IFERROR(IF(VLOOKUP(A2637,[17]PRIORIZADOS!$A:$L,12,FALSE)="","",VLOOKUP(A2637,[17]PRIORIZADOS!$A:$L,12,FALSE)),"")</f>
        <v>GILMA ESTHER ALBARRACÍN BALLESTEROS</v>
      </c>
      <c r="M2637" s="71">
        <f>IFERROR(IF(VLOOKUP(A2637,[17]PRIORIZADOS!$A:$M,13,FALSE)="","",VLOOKUP(A2637,[17]PRIORIZADOS!$A:$M,13,FALSE)),"")</f>
        <v>45785</v>
      </c>
      <c r="N2637" s="71">
        <f>IFERROR(IF(VLOOKUP(A2637,[17]PRIORIZADOS!$A:$N,14,FALSE)="","",VLOOKUP(A2637,[17]PRIORIZADOS!$A:$N,14,FALSE)),"")</f>
        <v>45785</v>
      </c>
      <c r="O2637" s="71">
        <f>IFERROR(IF(VLOOKUP(A2637,[17]PRIORIZADOS!$A:$O,15,FALSE)="","",VLOOKUP(A2637,[17]PRIORIZADOS!$A:$O,15,FALSE)),"")</f>
        <v>45785</v>
      </c>
      <c r="P2637" s="11" t="str">
        <f>IFERROR(IF(VLOOKUP(A2637,[17]PRIORIZADOS!$A:$P,16,FALSE)="","",VLOOKUP(A2637,[17]PRIORIZADOS!$A:$P,16,FALSE)),"")</f>
        <v/>
      </c>
      <c r="Q2637" s="2" t="s">
        <v>512</v>
      </c>
      <c r="R2637" s="11" t="str">
        <f>IFERROR(IF(VLOOKUP(A2637,[17]PRIORIZADOS!$A:$R,18,FALSE)="","",VLOOKUP(A2637,[17]PRIORIZADOS!$A:$R,18,FALSE)),"")</f>
        <v>El Colegio da cumplimiento a la intensidad horaria mínima anual para cada uno de los niveles que ofrece.
Tiene jornada única</v>
      </c>
      <c r="S2637" s="11" t="str">
        <f>IFERROR(IF(VLOOKUP(A2637,[17]PRIORIZADOS!$A:$S,19,FALSE)="","",VLOOKUP(A2637,[17]PRIORIZADOS!$A:$S,19,FALSE)),"")</f>
        <v>Seguir cumpliendo con la intensidad horaria definida.</v>
      </c>
      <c r="T2637" s="70" t="str">
        <f>IFERROR(IF(VLOOKUP(A2637,[17]PRIORIZADOS!$A:$T,20,FALSE)="","",VLOOKUP(A2637,[17]PRIORIZADOS!$A:$T,20,FALSE)),"")</f>
        <v>NO</v>
      </c>
      <c r="U2637" s="11" t="str">
        <f>IFERROR(IF(VLOOKUP(A2637,[17]PRIORIZADOS!$A:$U,21,FALSE)="","",VLOOKUP(A2637,[17]PRIORIZADOS!$A:$U,21,FALSE)),"")</f>
        <v>Se revisará una vez se presente alguna relamación frente al calendario escolar.</v>
      </c>
    </row>
    <row r="2638" spans="1:21" s="1" customFormat="1" ht="72">
      <c r="A2638" s="69">
        <f>IF([17]PRIORIZADOS!A86="","",[17]PRIORIZADOS!A86)</f>
        <v>2622</v>
      </c>
      <c r="B2638" s="70">
        <v>9</v>
      </c>
      <c r="C2638" s="11" t="str">
        <f>IFERROR(IF(VLOOKUP(A2638,[17]PRIORIZADOS!$A:$C,3,FALSE)="","",VLOOKUP(A2638,[17]PRIORIZADOS!$A:$C,3,FALSE)),"")</f>
        <v>USAQUÉN</v>
      </c>
      <c r="D2638" s="11" t="str">
        <f>IFERROR(IF(VLOOKUP(A2638,[17]PRIORIZADOS!$A:$D,4,FALSE)="","",VLOOKUP(A2638,[17]PRIORIZADOS!$A:$D,4,FALSE)),"")</f>
        <v>PRIVADO</v>
      </c>
      <c r="E2638" s="11" t="str">
        <f>IFERROR(IF(VLOOKUP(A2638,[17]PRIORIZADOS!$A:$E,5,FALSE)="","",VLOOKUP(A2638,[17]PRIORIZADOS!$A:$E,5,FALSE)),"")</f>
        <v>EPBM</v>
      </c>
      <c r="F2638" s="11" t="str">
        <f>IFERROR(IF(VLOOKUP(A2638,[17]PRIORIZADOS!$A:$F,6,FALSE)="","",VLOOKUP(A2638,[17]PRIORIZADOS!$A:$F,6,FALSE)),"")</f>
        <v>ESCUELA_PEDAGOGICA_EXPERIMENTAL</v>
      </c>
      <c r="G2638" s="11" t="str">
        <f>IFERROR(IF(VLOOKUP(A2638,[17]PRIORIZADOS!$A:$G,7,FALSE)="","",VLOOKUP(A2638,[17]PRIORIZADOS!$A:$G,7,FALSE)),"")</f>
        <v>ESCUELA PEDAGOGICA EXPERIMENTAL</v>
      </c>
      <c r="H2638" s="11" t="str">
        <f>IFERROR(IF(VLOOKUP(A2638,[17]PRIORIZADOS!$A:$H,8,FALSE)="","",VLOOKUP(A2638,[17]PRIORIZADOS!$A:$H,8,FALSE)),"")</f>
        <v>Autoevaluación Institucional y Pruebas SABER 11</v>
      </c>
      <c r="I2638" s="11" t="str">
        <f>IFERROR(IF(VLOOKUP(A2638,[17]PRIORIZADOS!$A:$I,9,FALSE)="","",VLOOKUP(A2638,[17]PRIORIZADOS!$A:$I,9,FALSE)),"")</f>
        <v>EVALUACIÓN_CON_FINES_DE_MEJORAMIENTO.</v>
      </c>
      <c r="J2638" s="11" t="str">
        <f>IFERROR(IF(VLOOKUP(A2638,[17]PRIORIZADOS!$A:$J,10,FALSE)="","",VLOOKUP(A2638,[17]PRIORIZADOS!$A:$J,10,FALSE)),"")</f>
        <v>Verificar el funcionamiento del Gobierno Escolar e instancias de participación con base en la información sobre conformación reportada por la institución educativa.</v>
      </c>
      <c r="K2638" s="11" t="str">
        <f>IFERROR(IF(VLOOKUP(A2638,[17]PRIORIZADOS!$A:$K,11,FALSE)="","",VLOOKUP(A2638,[17]PRIORIZADOS!$A:$K,11,FALSE)),"")</f>
        <v>MARTHA CECILIA MELGAREJO PINTO</v>
      </c>
      <c r="L2638" s="11" t="str">
        <f>IFERROR(IF(VLOOKUP(A2638,[17]PRIORIZADOS!$A:$L,12,FALSE)="","",VLOOKUP(A2638,[17]PRIORIZADOS!$A:$L,12,FALSE)),"")</f>
        <v>GILMA ESTHER ALBARRACÍN BALLESTEROS</v>
      </c>
      <c r="M2638" s="71">
        <f>IFERROR(IF(VLOOKUP(A2638,[17]PRIORIZADOS!$A:$M,13,FALSE)="","",VLOOKUP(A2638,[17]PRIORIZADOS!$A:$M,13,FALSE)),"")</f>
        <v>45785</v>
      </c>
      <c r="N2638" s="71">
        <f>IFERROR(IF(VLOOKUP(A2638,[17]PRIORIZADOS!$A:$N,14,FALSE)="","",VLOOKUP(A2638,[17]PRIORIZADOS!$A:$N,14,FALSE)),"")</f>
        <v>45785</v>
      </c>
      <c r="O2638" s="71">
        <f>IFERROR(IF(VLOOKUP(A2638,[17]PRIORIZADOS!$A:$O,15,FALSE)="","",VLOOKUP(A2638,[17]PRIORIZADOS!$A:$O,15,FALSE)),"")</f>
        <v>45785</v>
      </c>
      <c r="P2638" s="11" t="str">
        <f>IFERROR(IF(VLOOKUP(A2638,[17]PRIORIZADOS!$A:$P,16,FALSE)="","",VLOOKUP(A2638,[17]PRIORIZADOS!$A:$P,16,FALSE)),"")</f>
        <v/>
      </c>
      <c r="Q2638" s="2" t="s">
        <v>512</v>
      </c>
      <c r="R2638" s="11" t="str">
        <f>IFERROR(IF(VLOOKUP(A2638,[17]PRIORIZADOS!$A:$R,18,FALSE)="","",VLOOKUP(A2638,[17]PRIORIZADOS!$A:$R,18,FALSE)),"")</f>
        <v xml:space="preserve">En cuanto al  Gobierno escolar e instancias de participación, la institución muestra una postura de participación diferente, por asambleas.
</v>
      </c>
      <c r="S2638" s="11" t="str">
        <f>IFERROR(IF(VLOOKUP(A2638,[17]PRIORIZADOS!$A:$S,19,FALSE)="","",VLOOKUP(A2638,[17]PRIORIZADOS!$A:$S,19,FALSE)),"")</f>
        <v>Se sugiere ajustar y actualizar el PEI y el manual de convivencia en cuanto a la conformación y operatividad del gobierno escolar: consejo directivo y consejo académico y el desarrollo de  sus funciones.</v>
      </c>
      <c r="T2638" s="70" t="str">
        <f>IFERROR(IF(VLOOKUP(A2638,[17]PRIORIZADOS!$A:$T,20,FALSE)="","",VLOOKUP(A2638,[17]PRIORIZADOS!$A:$T,20,FALSE)),"")</f>
        <v>Si</v>
      </c>
      <c r="U2638" s="11" t="str">
        <f>IFERROR(IF(VLOOKUP(A2638,[17]PRIORIZADOS!$A:$U,21,FALSE)="","",VLOOKUP(A2638,[17]PRIORIZADOS!$A:$U,21,FALSE)),"")</f>
        <v>Verificar el plan de mejoramiento donde se evidencie la modificación del PEI y el manual de convivencia, respecto a gobierno escolar. Plazo 30/09/2025</v>
      </c>
    </row>
    <row r="2639" spans="1:21" s="1" customFormat="1" ht="142.5">
      <c r="A2639" s="69">
        <f>IF([17]PRIORIZADOS!A87="","",[17]PRIORIZADOS!A87)</f>
        <v>2623</v>
      </c>
      <c r="B2639" s="70">
        <v>9</v>
      </c>
      <c r="C2639" s="11" t="str">
        <f>IFERROR(IF(VLOOKUP(A2639,[17]PRIORIZADOS!$A:$C,3,FALSE)="","",VLOOKUP(A2639,[17]PRIORIZADOS!$A:$C,3,FALSE)),"")</f>
        <v>USAQUÉN</v>
      </c>
      <c r="D2639" s="11" t="str">
        <f>IFERROR(IF(VLOOKUP(A2639,[17]PRIORIZADOS!$A:$D,4,FALSE)="","",VLOOKUP(A2639,[17]PRIORIZADOS!$A:$D,4,FALSE)),"")</f>
        <v>PRIVADO</v>
      </c>
      <c r="E2639" s="11" t="str">
        <f>IFERROR(IF(VLOOKUP(A2639,[17]PRIORIZADOS!$A:$E,5,FALSE)="","",VLOOKUP(A2639,[17]PRIORIZADOS!$A:$E,5,FALSE)),"")</f>
        <v>EPBM</v>
      </c>
      <c r="F2639" s="11" t="str">
        <f>IFERROR(IF(VLOOKUP(A2639,[17]PRIORIZADOS!$A:$F,6,FALSE)="","",VLOOKUP(A2639,[17]PRIORIZADOS!$A:$F,6,FALSE)),"")</f>
        <v>ESCUELA_PEDAGOGICA_EXPERIMENTAL</v>
      </c>
      <c r="G2639" s="11" t="str">
        <f>IFERROR(IF(VLOOKUP(A2639,[17]PRIORIZADOS!$A:$G,7,FALSE)="","",VLOOKUP(A2639,[17]PRIORIZADOS!$A:$G,7,FALSE)),"")</f>
        <v>ESCUELA PEDAGOGICA EXPERIMENTAL</v>
      </c>
      <c r="H2639" s="11" t="str">
        <f>IFERROR(IF(VLOOKUP(A2639,[17]PRIORIZADOS!$A:$H,8,FALSE)="","",VLOOKUP(A2639,[17]PRIORIZADOS!$A:$H,8,FALSE)),"")</f>
        <v>Autoevaluación Institucional y Pruebas SABER 11</v>
      </c>
      <c r="I2639" s="11" t="str">
        <f>IFERROR(IF(VLOOKUP(A2639,[17]PRIORIZADOS!$A:$I,9,FALSE)="","",VLOOKUP(A2639,[17]PRIORIZADOS!$A:$I,9,FALSE)),"")</f>
        <v>EVALUACIÓN_CON_FINES_DE_MEJORAMIENTO.</v>
      </c>
      <c r="J2639" s="11" t="str">
        <f>IFERROR(IF(VLOOKUP(A2639,[17]PRIORIZADOS!$A:$J,10,FALSE)="","",VLOOKUP(A2639,[17]PRIORIZADOS!$A:$J,10,FALSE)),"")</f>
        <v>Verificar las condiciones en cuanto a: la estructura administrativa, condiciones de la planta física y medios educativos adecuados.</v>
      </c>
      <c r="K2639" s="11" t="str">
        <f>IFERROR(IF(VLOOKUP(A2639,[17]PRIORIZADOS!$A:$K,11,FALSE)="","",VLOOKUP(A2639,[17]PRIORIZADOS!$A:$K,11,FALSE)),"")</f>
        <v>MARTHA CECILIA MELGAREJO PINTO</v>
      </c>
      <c r="L2639" s="11" t="str">
        <f>IFERROR(IF(VLOOKUP(A2639,[17]PRIORIZADOS!$A:$L,12,FALSE)="","",VLOOKUP(A2639,[17]PRIORIZADOS!$A:$L,12,FALSE)),"")</f>
        <v>GILMA ESTHER ALBARRACÍN BALLESTEROS</v>
      </c>
      <c r="M2639" s="71">
        <f>IFERROR(IF(VLOOKUP(A2639,[17]PRIORIZADOS!$A:$M,13,FALSE)="","",VLOOKUP(A2639,[17]PRIORIZADOS!$A:$M,13,FALSE)),"")</f>
        <v>45785</v>
      </c>
      <c r="N2639" s="71">
        <f>IFERROR(IF(VLOOKUP(A2639,[17]PRIORIZADOS!$A:$N,14,FALSE)="","",VLOOKUP(A2639,[17]PRIORIZADOS!$A:$N,14,FALSE)),"")</f>
        <v>45785</v>
      </c>
      <c r="O2639" s="71">
        <f>IFERROR(IF(VLOOKUP(A2639,[17]PRIORIZADOS!$A:$O,15,FALSE)="","",VLOOKUP(A2639,[17]PRIORIZADOS!$A:$O,15,FALSE)),"")</f>
        <v>45785</v>
      </c>
      <c r="P2639" s="11" t="str">
        <f>IFERROR(IF(VLOOKUP(A2639,[17]PRIORIZADOS!$A:$P,16,FALSE)="","",VLOOKUP(A2639,[17]PRIORIZADOS!$A:$P,16,FALSE)),"")</f>
        <v/>
      </c>
      <c r="Q2639" s="2" t="s">
        <v>512</v>
      </c>
      <c r="R2639" s="11" t="str">
        <f>IFERROR(IF(VLOOKUP(A2639,[17]PRIORIZADOS!$A:$R,18,FALSE)="","",VLOOKUP(A2639,[17]PRIORIZADOS!$A:$R,18,FALSE)),"")</f>
        <v>La institución educativa cuenta con las hojas de vida del personal pero no tienen las certificaciones de inhabilidades de que trata la Directiva 01 de 2022.
El Concepto Sanitario  SB06N011059  de 30 de abril de 2025, es favorable con requerimientos a 30 días.
La institución educativa debe realizar el diligenciamiento y actualización del  PEGR-CC en el aplicativo.</v>
      </c>
      <c r="S2639" s="11" t="str">
        <f>IFERROR(IF(VLOOKUP(A2639,[17]PRIORIZADOS!$A:$S,19,FALSE)="","",VLOOKUP(A2639,[17]PRIORIZADOS!$A:$S,19,FALSE)),"")</f>
        <v>Realizar las consultas de inhabilidades del personal y realizar las adecuaciones solicitadas por la autoridad sanitaria conforme a los requerimientos consignados en acta de visita.
Actualizar el aplicativo SURE del IDIGER Resolución 592 de 2015.</v>
      </c>
      <c r="T2639" s="70" t="str">
        <f>IFERROR(IF(VLOOKUP(A2639,[17]PRIORIZADOS!$A:$T,20,FALSE)="","",VLOOKUP(A2639,[17]PRIORIZADOS!$A:$T,20,FALSE)),"")</f>
        <v>SI</v>
      </c>
      <c r="U2639" s="11" t="str">
        <f>IFERROR(IF(VLOOKUP(A2639,[17]PRIORIZADOS!$A:$U,21,FALSE)="","",VLOOKUP(A2639,[17]PRIORIZADOS!$A:$U,21,FALSE)),"")</f>
        <v>Revisar el cumpimento de lo definido en el plan de mejoramiento. Plazo 30/09/2025</v>
      </c>
    </row>
    <row r="2640" spans="1:21" s="1" customFormat="1" ht="36">
      <c r="A2640" s="69">
        <f>IF([17]PRIORIZADOS!A88="","",[17]PRIORIZADOS!A88)</f>
        <v>2624</v>
      </c>
      <c r="B2640" s="70">
        <f>IFERROR(IF(VLOOKUP(A2640,[17]PRIORIZADOS!$A:$B,2,FALSE)="","",VLOOKUP(A2640,[17]PRIORIZADOS!$A:$B,2,FALSE)),"")</f>
        <v>10</v>
      </c>
      <c r="C2640" s="11" t="str">
        <f>IFERROR(IF(VLOOKUP(A2640,[17]PRIORIZADOS!$A:$C,3,FALSE)="","",VLOOKUP(A2640,[17]PRIORIZADOS!$A:$C,3,FALSE)),"")</f>
        <v>USAQUÉN</v>
      </c>
      <c r="D2640" s="11" t="str">
        <f>IFERROR(IF(VLOOKUP(A2640,[17]PRIORIZADOS!$A:$D,4,FALSE)="","",VLOOKUP(A2640,[17]PRIORIZADOS!$A:$D,4,FALSE)),"")</f>
        <v>PRIVADO</v>
      </c>
      <c r="E2640" s="11" t="str">
        <f>IFERROR(IF(VLOOKUP(A2640,[17]PRIORIZADOS!$A:$E,5,FALSE)="","",VLOOKUP(A2640,[17]PRIORIZADOS!$A:$E,5,FALSE)),"")</f>
        <v>EPBM</v>
      </c>
      <c r="F2640" s="11" t="str">
        <f>IFERROR(IF(VLOOKUP(A2640,[17]PRIORIZADOS!$A:$F,6,FALSE)="","",VLOOKUP(A2640,[17]PRIORIZADOS!$A:$F,6,FALSE)),"")</f>
        <v>INSTITUTO_COLOMBO_SUECO</v>
      </c>
      <c r="G2640" s="11" t="str">
        <f>IFERROR(IF(VLOOKUP(A2640,[17]PRIORIZADOS!$A:$G,7,FALSE)="","",VLOOKUP(A2640,[17]PRIORIZADOS!$A:$G,7,FALSE)),"")</f>
        <v>INSTITUTO COLOMBO SUECO</v>
      </c>
      <c r="H2640" s="11" t="str">
        <f>IFERROR(IF(VLOOKUP(A2640,[17]PRIORIZADOS!$A:$H,8,FALSE)="","",VLOOKUP(A2640,[17]PRIORIZADOS!$A:$H,8,FALSE)),"")</f>
        <v>Autoevaluación Institucional y Pruebas SABER 11</v>
      </c>
      <c r="I2640" s="11" t="str">
        <f>IFERROR(IF(VLOOKUP(A2640,[17]PRIORIZADOS!$A:$I,9,FALSE)="","",VLOOKUP(A2640,[17]PRIORIZADOS!$A:$I,9,FALSE)),"")</f>
        <v>SEGUIMIENTO_Y_SUPERVISIÓN.</v>
      </c>
      <c r="J2640" s="11" t="str">
        <f>IFERROR(IF(VLOOKUP(A2640,[17]PRIORIZADOS!$A:$J,10,FALSE)="","",VLOOKUP(A2640,[17]PRIORIZADOS!$A:$J,10,FALSE)),"")</f>
        <v>Realizar visitas para verificar la información registrada sobre la autoevaluación institucional en el aplicativo EVI, a los establecimientos de educación formal no oficial.</v>
      </c>
      <c r="K2640" s="11" t="str">
        <f>IFERROR(IF(VLOOKUP(A2640,[17]PRIORIZADOS!$A:$K,11,FALSE)="","",VLOOKUP(A2640,[17]PRIORIZADOS!$A:$K,11,FALSE)),"")</f>
        <v>MARIA TERESA GAVIRIA LOZANO</v>
      </c>
      <c r="L2640" s="11" t="str">
        <f>IFERROR(IF(VLOOKUP(A2640,[17]PRIORIZADOS!$A:$L,12,FALSE)="","",VLOOKUP(A2640,[17]PRIORIZADOS!$A:$L,12,FALSE)),"")</f>
        <v>JENNIFER CATALINA TORRES PIRA</v>
      </c>
      <c r="M2640" s="71">
        <f>IFERROR(IF(VLOOKUP(A2640,[17]PRIORIZADOS!$A:$M,13,FALSE)="","",VLOOKUP(A2640,[17]PRIORIZADOS!$A:$M,13,FALSE)),"")</f>
        <v>45891</v>
      </c>
      <c r="N2640" s="71">
        <f>IFERROR(IF(VLOOKUP(A2640,[17]PRIORIZADOS!$A:$N,14,FALSE)="","",VLOOKUP(A2640,[17]PRIORIZADOS!$A:$N,14,FALSE)),"")</f>
        <v>45891</v>
      </c>
      <c r="O2640" s="71">
        <f>IFERROR(IF(VLOOKUP(A2640,[17]PRIORIZADOS!$A:$O,15,FALSE)="","",VLOOKUP(A2640,[17]PRIORIZADOS!$A:$O,15,FALSE)),"")</f>
        <v>45891</v>
      </c>
      <c r="P2640" s="11" t="str">
        <f>IFERROR(IF(VLOOKUP(A2640,[17]PRIORIZADOS!$A:$P,16,FALSE)="","",VLOOKUP(A2640,[17]PRIORIZADOS!$A:$P,16,FALSE)),"")</f>
        <v/>
      </c>
      <c r="Q2640" s="2" t="s">
        <v>513</v>
      </c>
      <c r="R2640" s="11" t="str">
        <f>IFERROR(IF(VLOOKUP(A2640,[17]PRIORIZADOS!$A:$R,18,FALSE)="","",VLOOKUP(A2640,[17]PRIORIZADOS!$A:$R,18,FALSE)),"")</f>
        <v>El PEI está alineado con el manual de convivencia y la planta física</v>
      </c>
      <c r="S2640" s="11" t="str">
        <f>IFERROR(IF(VLOOKUP(A2640,[17]PRIORIZADOS!$A:$S,19,FALSE)="","",VLOOKUP(A2640,[17]PRIORIZADOS!$A:$S,19,FALSE)),"")</f>
        <v>La institución cumple la normatividad, cuenta con un PEI coherente, buena infraestructura.</v>
      </c>
      <c r="T2640" s="70" t="str">
        <f>IFERROR(IF(VLOOKUP(A2640,[17]PRIORIZADOS!$A:$T,20,FALSE)="","",VLOOKUP(A2640,[17]PRIORIZADOS!$A:$T,20,FALSE)),"")</f>
        <v>NO</v>
      </c>
      <c r="U2640" s="11" t="str">
        <f>IFERROR(IF(VLOOKUP(A2640,[17]PRIORIZADOS!$A:$U,21,FALSE)="","",VLOOKUP(A2640,[17]PRIORIZADOS!$A:$U,21,FALSE)),"")</f>
        <v>Seguir actualizando el manual de conviviencia y realizar los ajustes que se requieran.</v>
      </c>
    </row>
    <row r="2641" spans="1:21" s="1" customFormat="1" ht="60">
      <c r="A2641" s="69">
        <f>IF([17]PRIORIZADOS!A89="","",[17]PRIORIZADOS!A89)</f>
        <v>2625</v>
      </c>
      <c r="B2641" s="70">
        <v>10</v>
      </c>
      <c r="C2641" s="11" t="str">
        <f>IFERROR(IF(VLOOKUP(A2641,[17]PRIORIZADOS!$A:$C,3,FALSE)="","",VLOOKUP(A2641,[17]PRIORIZADOS!$A:$C,3,FALSE)),"")</f>
        <v>USAQUÉN</v>
      </c>
      <c r="D2641" s="11" t="str">
        <f>IFERROR(IF(VLOOKUP(A2641,[17]PRIORIZADOS!$A:$D,4,FALSE)="","",VLOOKUP(A2641,[17]PRIORIZADOS!$A:$D,4,FALSE)),"")</f>
        <v>PRIVADO</v>
      </c>
      <c r="E2641" s="11" t="str">
        <f>IFERROR(IF(VLOOKUP(A2641,[17]PRIORIZADOS!$A:$E,5,FALSE)="","",VLOOKUP(A2641,[17]PRIORIZADOS!$A:$E,5,FALSE)),"")</f>
        <v>EPBM</v>
      </c>
      <c r="F2641" s="11" t="str">
        <f>IFERROR(IF(VLOOKUP(A2641,[17]PRIORIZADOS!$A:$F,6,FALSE)="","",VLOOKUP(A2641,[17]PRIORIZADOS!$A:$F,6,FALSE)),"")</f>
        <v>INSTITUTO_COLOMBO_SUECO</v>
      </c>
      <c r="G2641" s="11" t="str">
        <f>IFERROR(IF(VLOOKUP(A2641,[17]PRIORIZADOS!$A:$G,7,FALSE)="","",VLOOKUP(A2641,[17]PRIORIZADOS!$A:$G,7,FALSE)),"")</f>
        <v>INSTITUTO COLOMBO SUECO</v>
      </c>
      <c r="H2641" s="11" t="str">
        <f>IFERROR(IF(VLOOKUP(A2641,[17]PRIORIZADOS!$A:$H,8,FALSE)="","",VLOOKUP(A2641,[17]PRIORIZADOS!$A:$H,8,FALSE)),"")</f>
        <v>Autoevaluación Institucional y Pruebas SABER 11</v>
      </c>
      <c r="I2641" s="11" t="str">
        <f>IFERROR(IF(VLOOKUP(A2641,[17]PRIORIZADOS!$A:$I,9,FALSE)="","",VLOOKUP(A2641,[17]PRIORIZADOS!$A:$I,9,FALSE)),"")</f>
        <v>SEGUIMIENTO_Y_SUPERVISIÓN.</v>
      </c>
      <c r="J2641" s="11" t="str">
        <f>IFERROR(IF(VLOOKUP(A2641,[17]PRIORIZADOS!$A:$J,10,FALSE)="","",VLOOKUP(A2641,[17]PRIORIZADOS!$A:$J,10,FALSE)),"")</f>
        <v>Proponer estrategias en la formulación, verificar su elaboración y realizar seguimiento semestral al desarrollo de  las acciones establecidas en los planes de mejoramiento por pruebas SABER 11 de los establecimientos de educación formal.</v>
      </c>
      <c r="K2641" s="11" t="str">
        <f>IFERROR(IF(VLOOKUP(A2641,[17]PRIORIZADOS!$A:$K,11,FALSE)="","",VLOOKUP(A2641,[17]PRIORIZADOS!$A:$K,11,FALSE)),"")</f>
        <v>MARIA TERESA GAVIRIA LOZANO</v>
      </c>
      <c r="L2641" s="11" t="str">
        <f>IFERROR(IF(VLOOKUP(A2641,[17]PRIORIZADOS!$A:$L,12,FALSE)="","",VLOOKUP(A2641,[17]PRIORIZADOS!$A:$L,12,FALSE)),"")</f>
        <v>JENNIFER CATALINA TORRES PIRA</v>
      </c>
      <c r="M2641" s="71">
        <f>IFERROR(IF(VLOOKUP(A2641,[17]PRIORIZADOS!$A:$M,13,FALSE)="","",VLOOKUP(A2641,[17]PRIORIZADOS!$A:$M,13,FALSE)),"")</f>
        <v>45891</v>
      </c>
      <c r="N2641" s="71">
        <f>IFERROR(IF(VLOOKUP(A2641,[17]PRIORIZADOS!$A:$N,14,FALSE)="","",VLOOKUP(A2641,[17]PRIORIZADOS!$A:$N,14,FALSE)),"")</f>
        <v>45891</v>
      </c>
      <c r="O2641" s="71">
        <f>IFERROR(IF(VLOOKUP(A2641,[17]PRIORIZADOS!$A:$O,15,FALSE)="","",VLOOKUP(A2641,[17]PRIORIZADOS!$A:$O,15,FALSE)),"")</f>
        <v>45891</v>
      </c>
      <c r="P2641" s="11" t="str">
        <f>IFERROR(IF(VLOOKUP(A2641,[17]PRIORIZADOS!$A:$P,16,FALSE)="","",VLOOKUP(A2641,[17]PRIORIZADOS!$A:$P,16,FALSE)),"")</f>
        <v/>
      </c>
      <c r="Q2641" s="2" t="s">
        <v>513</v>
      </c>
      <c r="R2641" s="11" t="str">
        <f>IFERROR(IF(VLOOKUP(A2641,[17]PRIORIZADOS!$A:$R,18,FALSE)="","",VLOOKUP(A2641,[17]PRIORIZADOS!$A:$R,18,FALSE)),"")</f>
        <v>En las pruebas SABER 11 se encuentra en categoria A, se encontró desempeño bajo  en las áreas de  Ingles, Matemáticas, Ciencias Naturales y Ciencias Sociales</v>
      </c>
      <c r="S2641" s="11" t="str">
        <f>IFERROR(IF(VLOOKUP(A2641,[17]PRIORIZADOS!$A:$S,19,FALSE)="","",VLOOKUP(A2641,[17]PRIORIZADOS!$A:$S,19,FALSE)),"")</f>
        <v>Debe actualizar el currículo e incluir a los estudiantes con discapacidad en los planes de mejoramiento.</v>
      </c>
      <c r="T2641" s="70" t="str">
        <f>IFERROR(IF(VLOOKUP(A2641,[17]PRIORIZADOS!$A:$T,20,FALSE)="","",VLOOKUP(A2641,[17]PRIORIZADOS!$A:$T,20,FALSE)),"")</f>
        <v>SI</v>
      </c>
      <c r="U2641" s="11" t="str">
        <f>IFERROR(IF(VLOOKUP(A2641,[17]PRIORIZADOS!$A:$U,21,FALSE)="","",VLOOKUP(A2641,[17]PRIORIZADOS!$A:$U,21,FALSE)),"")</f>
        <v>Revisar la actualización al currículo para vetificar quehayan incluido a los estudiantes con discapacidad en los planes de mejoramiento.</v>
      </c>
    </row>
    <row r="2642" spans="1:21" s="1" customFormat="1" ht="142.5">
      <c r="A2642" s="69">
        <f>IF([17]PRIORIZADOS!A90="","",[17]PRIORIZADOS!A90)</f>
        <v>2626</v>
      </c>
      <c r="B2642" s="70">
        <v>10</v>
      </c>
      <c r="C2642" s="11" t="str">
        <f>IFERROR(IF(VLOOKUP(A2642,[17]PRIORIZADOS!$A:$C,3,FALSE)="","",VLOOKUP(A2642,[17]PRIORIZADOS!$A:$C,3,FALSE)),"")</f>
        <v>USAQUÉN</v>
      </c>
      <c r="D2642" s="11" t="str">
        <f>IFERROR(IF(VLOOKUP(A2642,[17]PRIORIZADOS!$A:$D,4,FALSE)="","",VLOOKUP(A2642,[17]PRIORIZADOS!$A:$D,4,FALSE)),"")</f>
        <v>PRIVADO</v>
      </c>
      <c r="E2642" s="11" t="str">
        <f>IFERROR(IF(VLOOKUP(A2642,[17]PRIORIZADOS!$A:$E,5,FALSE)="","",VLOOKUP(A2642,[17]PRIORIZADOS!$A:$E,5,FALSE)),"")</f>
        <v>EPBM</v>
      </c>
      <c r="F2642" s="11" t="str">
        <f>IFERROR(IF(VLOOKUP(A2642,[17]PRIORIZADOS!$A:$F,6,FALSE)="","",VLOOKUP(A2642,[17]PRIORIZADOS!$A:$F,6,FALSE)),"")</f>
        <v>INSTITUTO_COLOMBO_SUECO</v>
      </c>
      <c r="G2642" s="11" t="str">
        <f>IFERROR(IF(VLOOKUP(A2642,[17]PRIORIZADOS!$A:$G,7,FALSE)="","",VLOOKUP(A2642,[17]PRIORIZADOS!$A:$G,7,FALSE)),"")</f>
        <v>INSTITUTO COLOMBO SUECO</v>
      </c>
      <c r="H2642" s="11" t="str">
        <f>IFERROR(IF(VLOOKUP(A2642,[17]PRIORIZADOS!$A:$H,8,FALSE)="","",VLOOKUP(A2642,[17]PRIORIZADOS!$A:$H,8,FALSE)),"")</f>
        <v>Autoevaluación Institucional y Pruebas SABER 11</v>
      </c>
      <c r="I2642" s="11" t="str">
        <f>IFERROR(IF(VLOOKUP(A2642,[17]PRIORIZADOS!$A:$I,9,FALSE)="","",VLOOKUP(A2642,[17]PRIORIZADOS!$A:$I,9,FALSE)),"")</f>
        <v>SEGUIMIENTO_Y_SUPERVISIÓN.</v>
      </c>
      <c r="J2642" s="11" t="str">
        <f>IFERROR(IF(VLOOKUP(A2642,[17]PRIORIZADOS!$A:$J,10,FALSE)="","",VLOOKUP(A2642,[17]PRIORIZADOS!$A:$J,10,FALSE)),"")</f>
        <v xml:space="preserve">Verificar la implementación por parte de los colegios, de acciones realizadas para la prevención y atención de las situaciones de convivencia en el entorno escolar, según lo establecido en la Directiva 01 de 2022 del MEN. </v>
      </c>
      <c r="K2642" s="11" t="str">
        <f>IFERROR(IF(VLOOKUP(A2642,[17]PRIORIZADOS!$A:$K,11,FALSE)="","",VLOOKUP(A2642,[17]PRIORIZADOS!$A:$K,11,FALSE)),"")</f>
        <v>MARIA TERESA GAVIRIA LOZANO</v>
      </c>
      <c r="L2642" s="11" t="str">
        <f>IFERROR(IF(VLOOKUP(A2642,[17]PRIORIZADOS!$A:$L,12,FALSE)="","",VLOOKUP(A2642,[17]PRIORIZADOS!$A:$L,12,FALSE)),"")</f>
        <v>JENNIFER CATALINA TORRES PIRA</v>
      </c>
      <c r="M2642" s="71">
        <f>IFERROR(IF(VLOOKUP(A2642,[17]PRIORIZADOS!$A:$M,13,FALSE)="","",VLOOKUP(A2642,[17]PRIORIZADOS!$A:$M,13,FALSE)),"")</f>
        <v>45891</v>
      </c>
      <c r="N2642" s="71">
        <f>IFERROR(IF(VLOOKUP(A2642,[17]PRIORIZADOS!$A:$N,14,FALSE)="","",VLOOKUP(A2642,[17]PRIORIZADOS!$A:$N,14,FALSE)),"")</f>
        <v>45891</v>
      </c>
      <c r="O2642" s="71">
        <f>IFERROR(IF(VLOOKUP(A2642,[17]PRIORIZADOS!$A:$O,15,FALSE)="","",VLOOKUP(A2642,[17]PRIORIZADOS!$A:$O,15,FALSE)),"")</f>
        <v>45891</v>
      </c>
      <c r="P2642" s="11" t="str">
        <f>IFERROR(IF(VLOOKUP(A2642,[17]PRIORIZADOS!$A:$P,16,FALSE)="","",VLOOKUP(A2642,[17]PRIORIZADOS!$A:$P,16,FALSE)),"")</f>
        <v/>
      </c>
      <c r="Q2642" s="2" t="s">
        <v>513</v>
      </c>
      <c r="R2642" s="11" t="str">
        <f>IFERROR(IF(VLOOKUP(A2642,[17]PRIORIZADOS!$A:$R,18,FALSE)="","",VLOOKUP(A2642,[17]PRIORIZADOS!$A:$R,18,FALSE)),"")</f>
        <v>Se describen las funciones, integrantes y reglamento interno del Comité de Convivencia escolar.  Se deben articular las decisiones del comité de convivencia con las acciones formuladas en el plan de convivencia. 
Definir cuáles son las competencias y pertinencia del comité de mediación formativo  y si este contribuye o sustituye funciones del  comité de convivencia escolar.</v>
      </c>
      <c r="S2642" s="11" t="str">
        <f>IFERROR(IF(VLOOKUP(A2642,[17]PRIORIZADOS!$A:$S,19,FALSE)="","",VLOOKUP(A2642,[17]PRIORIZADOS!$A:$S,19,FALSE)),"")</f>
        <v>Esta implementado el comite de convivencia pero se requiere dar claridad rente al comité de mediación formativa.</v>
      </c>
      <c r="T2642" s="70" t="str">
        <f>IFERROR(IF(VLOOKUP(A2642,[17]PRIORIZADOS!$A:$T,20,FALSE)="","",VLOOKUP(A2642,[17]PRIORIZADOS!$A:$T,20,FALSE)),"")</f>
        <v>Si</v>
      </c>
      <c r="U2642" s="11" t="str">
        <f>IFERROR(IF(VLOOKUP(A2642,[17]PRIORIZADOS!$A:$U,21,FALSE)="","",VLOOKUP(A2642,[17]PRIORIZADOS!$A:$U,21,FALSE)),"")</f>
        <v>Verificar el ajuste frente al rol del Comité de Mediación Formativa para evitar duplicidad y mejorar la gestión escolar.</v>
      </c>
    </row>
    <row r="2643" spans="1:21" s="1" customFormat="1" ht="72">
      <c r="A2643" s="69">
        <f>IF([17]PRIORIZADOS!A91="","",[17]PRIORIZADOS!A91)</f>
        <v>2627</v>
      </c>
      <c r="B2643" s="70">
        <v>10</v>
      </c>
      <c r="C2643" s="11" t="str">
        <f>IFERROR(IF(VLOOKUP(A2643,[17]PRIORIZADOS!$A:$C,3,FALSE)="","",VLOOKUP(A2643,[17]PRIORIZADOS!$A:$C,3,FALSE)),"")</f>
        <v>USAQUÉN</v>
      </c>
      <c r="D2643" s="11" t="str">
        <f>IFERROR(IF(VLOOKUP(A2643,[17]PRIORIZADOS!$A:$D,4,FALSE)="","",VLOOKUP(A2643,[17]PRIORIZADOS!$A:$D,4,FALSE)),"")</f>
        <v>PRIVADO</v>
      </c>
      <c r="E2643" s="11" t="str">
        <f>IFERROR(IF(VLOOKUP(A2643,[17]PRIORIZADOS!$A:$E,5,FALSE)="","",VLOOKUP(A2643,[17]PRIORIZADOS!$A:$E,5,FALSE)),"")</f>
        <v>EPBM</v>
      </c>
      <c r="F2643" s="11" t="str">
        <f>IFERROR(IF(VLOOKUP(A2643,[17]PRIORIZADOS!$A:$F,6,FALSE)="","",VLOOKUP(A2643,[17]PRIORIZADOS!$A:$F,6,FALSE)),"")</f>
        <v>INSTITUTO_COLOMBO_SUECO</v>
      </c>
      <c r="G2643" s="11" t="str">
        <f>IFERROR(IF(VLOOKUP(A2643,[17]PRIORIZADOS!$A:$G,7,FALSE)="","",VLOOKUP(A2643,[17]PRIORIZADOS!$A:$G,7,FALSE)),"")</f>
        <v>INSTITUTO COLOMBO SUECO</v>
      </c>
      <c r="H2643" s="11" t="str">
        <f>IFERROR(IF(VLOOKUP(A2643,[17]PRIORIZADOS!$A:$H,8,FALSE)="","",VLOOKUP(A2643,[17]PRIORIZADOS!$A:$H,8,FALSE)),"")</f>
        <v>Autoevaluación Institucional y Pruebas SABER 11</v>
      </c>
      <c r="I2643" s="11" t="str">
        <f>IFERROR(IF(VLOOKUP(A2643,[17]PRIORIZADOS!$A:$I,9,FALSE)="","",VLOOKUP(A2643,[17]PRIORIZADOS!$A:$I,9,FALSE)),"")</f>
        <v>SEGUIMIENTO_Y_SUPERVISIÓN.</v>
      </c>
      <c r="J2643" s="11" t="str">
        <f>IFERROR(IF(VLOOKUP(A2643,[17]PRIORIZADOS!$A:$J,10,FALSE)="","",VLOOKUP(A2643,[17]PRIORIZADOS!$A:$J,10,FALSE)),"")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43" s="11" t="str">
        <f>IFERROR(IF(VLOOKUP(A2643,[17]PRIORIZADOS!$A:$K,11,FALSE)="","",VLOOKUP(A2643,[17]PRIORIZADOS!$A:$K,11,FALSE)),"")</f>
        <v>MARIA TERESA GAVIRIA LOZANO</v>
      </c>
      <c r="L2643" s="11" t="str">
        <f>IFERROR(IF(VLOOKUP(A2643,[17]PRIORIZADOS!$A:$L,12,FALSE)="","",VLOOKUP(A2643,[17]PRIORIZADOS!$A:$L,12,FALSE)),"")</f>
        <v>JENNIFER CATALINA TORRES PIRA</v>
      </c>
      <c r="M2643" s="71">
        <f>IFERROR(IF(VLOOKUP(A2643,[17]PRIORIZADOS!$A:$M,13,FALSE)="","",VLOOKUP(A2643,[17]PRIORIZADOS!$A:$M,13,FALSE)),"")</f>
        <v>45891</v>
      </c>
      <c r="N2643" s="71">
        <f>IFERROR(IF(VLOOKUP(A2643,[17]PRIORIZADOS!$A:$N,14,FALSE)="","",VLOOKUP(A2643,[17]PRIORIZADOS!$A:$N,14,FALSE)),"")</f>
        <v>45891</v>
      </c>
      <c r="O2643" s="71">
        <f>IFERROR(IF(VLOOKUP(A2643,[17]PRIORIZADOS!$A:$O,15,FALSE)="","",VLOOKUP(A2643,[17]PRIORIZADOS!$A:$O,15,FALSE)),"")</f>
        <v>45891</v>
      </c>
      <c r="P2643" s="11" t="str">
        <f>IFERROR(IF(VLOOKUP(A2643,[17]PRIORIZADOS!$A:$P,16,FALSE)="","",VLOOKUP(A2643,[17]PRIORIZADOS!$A:$P,16,FALSE)),"")</f>
        <v/>
      </c>
      <c r="Q2643" s="2" t="s">
        <v>513</v>
      </c>
      <c r="R2643" s="11" t="str">
        <f>IFERROR(IF(VLOOKUP(A2643,[17]PRIORIZADOS!$A:$R,18,FALSE)="","",VLOOKUP(A2643,[17]PRIORIZADOS!$A:$R,18,FALSE)),"")</f>
        <v>Se encuentra la caracterización de 7 estudiantes. Se verifica que realizan seguimiento a cada estudiante, hay actas de reunión con padres de familia sobre los avances del estudiante.</v>
      </c>
      <c r="S2643" s="11" t="str">
        <f>IFERROR(IF(VLOOKUP(A2643,[17]PRIORIZADOS!$A:$S,19,FALSE)="","",VLOOKUP(A2643,[17]PRIORIZADOS!$A:$S,19,FALSE)),"")</f>
        <v xml:space="preserve">Se cuentan con los PIAR pero debe incluir en el PEI las Estrategias para la elaboración, ejecución y evaluación del plan individual de ajustes razonables - PIAR, de conformidad con lo dispuesto en el Decreto 1421 de 2017. </v>
      </c>
      <c r="T2643" s="70" t="str">
        <f>IFERROR(IF(VLOOKUP(A2643,[17]PRIORIZADOS!$A:$T,20,FALSE)="","",VLOOKUP(A2643,[17]PRIORIZADOS!$A:$T,20,FALSE)),"")</f>
        <v>Si</v>
      </c>
      <c r="U2643" s="11" t="str">
        <f>IFERROR(IF(VLOOKUP(A2643,[17]PRIORIZADOS!$A:$U,21,FALSE)="","",VLOOKUP(A2643,[17]PRIORIZADOS!$A:$U,21,FALSE)),"")</f>
        <v xml:space="preserve">Revisar la inclusión de las estrategias para la elaboración, ejecución y evaluación del plan individual de ajustes razonables - PIAR, de conformidad con lo dispuesto en el Decreto 1421 de 2017. </v>
      </c>
    </row>
    <row r="2644" spans="1:21" s="1" customFormat="1" ht="84">
      <c r="A2644" s="69">
        <f>IF([17]PRIORIZADOS!A92="","",[17]PRIORIZADOS!A92)</f>
        <v>2628</v>
      </c>
      <c r="B2644" s="70">
        <v>10</v>
      </c>
      <c r="C2644" s="11" t="str">
        <f>IFERROR(IF(VLOOKUP(A2644,[17]PRIORIZADOS!$A:$C,3,FALSE)="","",VLOOKUP(A2644,[17]PRIORIZADOS!$A:$C,3,FALSE)),"")</f>
        <v>USAQUÉN</v>
      </c>
      <c r="D2644" s="11" t="str">
        <f>IFERROR(IF(VLOOKUP(A2644,[17]PRIORIZADOS!$A:$D,4,FALSE)="","",VLOOKUP(A2644,[17]PRIORIZADOS!$A:$D,4,FALSE)),"")</f>
        <v>PRIVADO</v>
      </c>
      <c r="E2644" s="11" t="str">
        <f>IFERROR(IF(VLOOKUP(A2644,[17]PRIORIZADOS!$A:$E,5,FALSE)="","",VLOOKUP(A2644,[17]PRIORIZADOS!$A:$E,5,FALSE)),"")</f>
        <v>EPBM</v>
      </c>
      <c r="F2644" s="11" t="str">
        <f>IFERROR(IF(VLOOKUP(A2644,[17]PRIORIZADOS!$A:$F,6,FALSE)="","",VLOOKUP(A2644,[17]PRIORIZADOS!$A:$F,6,FALSE)),"")</f>
        <v>INSTITUTO_COLOMBO_SUECO</v>
      </c>
      <c r="G2644" s="11" t="str">
        <f>IFERROR(IF(VLOOKUP(A2644,[17]PRIORIZADOS!$A:$G,7,FALSE)="","",VLOOKUP(A2644,[17]PRIORIZADOS!$A:$G,7,FALSE)),"")</f>
        <v>INSTITUTO COLOMBO SUECO</v>
      </c>
      <c r="H2644" s="11" t="str">
        <f>IFERROR(IF(VLOOKUP(A2644,[17]PRIORIZADOS!$A:$H,8,FALSE)="","",VLOOKUP(A2644,[17]PRIORIZADOS!$A:$H,8,FALSE)),"")</f>
        <v>Autoevaluación Institucional y Pruebas SABER 11</v>
      </c>
      <c r="I2644" s="11" t="str">
        <f>IFERROR(IF(VLOOKUP(A2644,[17]PRIORIZADOS!$A:$I,9,FALSE)="","",VLOOKUP(A2644,[17]PRIORIZADOS!$A:$I,9,FALSE)),"")</f>
        <v>EVALUACIÓN_CON_FINES_DE_MEJORAMIENTO.</v>
      </c>
      <c r="J2644" s="11" t="str">
        <f>IFERROR(IF(VLOOKUP(A2644,[17]PRIORIZADOS!$A:$J,10,FALSE)="","",VLOOKUP(A2644,[17]PRIORIZADOS!$A:$J,10,FALSE)),"")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44" s="11" t="str">
        <f>IFERROR(IF(VLOOKUP(A2644,[17]PRIORIZADOS!$A:$K,11,FALSE)="","",VLOOKUP(A2644,[17]PRIORIZADOS!$A:$K,11,FALSE)),"")</f>
        <v>MARIA TERESA GAVIRIA LOZANO</v>
      </c>
      <c r="L2644" s="11" t="str">
        <f>IFERROR(IF(VLOOKUP(A2644,[17]PRIORIZADOS!$A:$L,12,FALSE)="","",VLOOKUP(A2644,[17]PRIORIZADOS!$A:$L,12,FALSE)),"")</f>
        <v>JENNIFER CATALINA TORRES PIRA</v>
      </c>
      <c r="M2644" s="71">
        <f>IFERROR(IF(VLOOKUP(A2644,[17]PRIORIZADOS!$A:$M,13,FALSE)="","",VLOOKUP(A2644,[17]PRIORIZADOS!$A:$M,13,FALSE)),"")</f>
        <v>45891</v>
      </c>
      <c r="N2644" s="71">
        <f>IFERROR(IF(VLOOKUP(A2644,[17]PRIORIZADOS!$A:$N,14,FALSE)="","",VLOOKUP(A2644,[17]PRIORIZADOS!$A:$N,14,FALSE)),"")</f>
        <v>45891</v>
      </c>
      <c r="O2644" s="71">
        <f>IFERROR(IF(VLOOKUP(A2644,[17]PRIORIZADOS!$A:$O,15,FALSE)="","",VLOOKUP(A2644,[17]PRIORIZADOS!$A:$O,15,FALSE)),"")</f>
        <v>45891</v>
      </c>
      <c r="P2644" s="11" t="str">
        <f>IFERROR(IF(VLOOKUP(A2644,[17]PRIORIZADOS!$A:$P,16,FALSE)="","",VLOOKUP(A2644,[17]PRIORIZADOS!$A:$P,16,FALSE)),"")</f>
        <v/>
      </c>
      <c r="Q2644" s="2" t="s">
        <v>513</v>
      </c>
      <c r="R2644" s="11" t="str">
        <f>IFERROR(IF(VLOOKUP(A2644,[17]PRIORIZADOS!$A:$R,18,FALSE)="","",VLOOKUP(A2644,[17]PRIORIZADOS!$A:$R,18,FALSE)),"")</f>
        <v>El manual de convivencia, se adoptó mediante Resolución No. 16 de enero de 2025, incluye enfoques de derechos, género, diferencial y restaurativo.Se socializó con la comunidad educativa y se ha implementado durante toda la vigencia.</v>
      </c>
      <c r="S2644" s="11" t="str">
        <f>IFERROR(IF(VLOOKUP(A2644,[17]PRIORIZADOS!$A:$S,19,FALSE)="","",VLOOKUP(A2644,[17]PRIORIZADOS!$A:$S,19,FALSE)),"")</f>
        <v xml:space="preserve">Se sugierre emplear el término enfoque restaurativo y no  el de justicia restaurativa escolar </v>
      </c>
      <c r="T2644" s="70" t="str">
        <f>IFERROR(IF(VLOOKUP(A2644,[17]PRIORIZADOS!$A:$T,20,FALSE)="","",VLOOKUP(A2644,[17]PRIORIZADOS!$A:$T,20,FALSE)),"")</f>
        <v>NO</v>
      </c>
      <c r="U2644" s="11" t="str">
        <f>IFERROR(IF(VLOOKUP(A2644,[17]PRIORIZADOS!$A:$U,21,FALSE)="","",VLOOKUP(A2644,[17]PRIORIZADOS!$A:$U,21,FALSE)),"")</f>
        <v>Se realizará verificación cuando se presente una novedad que lo requiera</v>
      </c>
    </row>
    <row r="2645" spans="1:21" s="1" customFormat="1" ht="96">
      <c r="A2645" s="69">
        <f>IF([17]PRIORIZADOS!A93="","",[17]PRIORIZADOS!A93)</f>
        <v>2629</v>
      </c>
      <c r="B2645" s="70">
        <v>10</v>
      </c>
      <c r="C2645" s="11" t="str">
        <f>IFERROR(IF(VLOOKUP(A2645,[17]PRIORIZADOS!$A:$C,3,FALSE)="","",VLOOKUP(A2645,[17]PRIORIZADOS!$A:$C,3,FALSE)),"")</f>
        <v>USAQUÉN</v>
      </c>
      <c r="D2645" s="11" t="str">
        <f>IFERROR(IF(VLOOKUP(A2645,[17]PRIORIZADOS!$A:$D,4,FALSE)="","",VLOOKUP(A2645,[17]PRIORIZADOS!$A:$D,4,FALSE)),"")</f>
        <v>PRIVADO</v>
      </c>
      <c r="E2645" s="11" t="str">
        <f>IFERROR(IF(VLOOKUP(A2645,[17]PRIORIZADOS!$A:$E,5,FALSE)="","",VLOOKUP(A2645,[17]PRIORIZADOS!$A:$E,5,FALSE)),"")</f>
        <v>EPBM</v>
      </c>
      <c r="F2645" s="11" t="str">
        <f>IFERROR(IF(VLOOKUP(A2645,[17]PRIORIZADOS!$A:$F,6,FALSE)="","",VLOOKUP(A2645,[17]PRIORIZADOS!$A:$F,6,FALSE)),"")</f>
        <v>INSTITUTO_COLOMBO_SUECO</v>
      </c>
      <c r="G2645" s="11" t="str">
        <f>IFERROR(IF(VLOOKUP(A2645,[17]PRIORIZADOS!$A:$G,7,FALSE)="","",VLOOKUP(A2645,[17]PRIORIZADOS!$A:$G,7,FALSE)),"")</f>
        <v>INSTITUTO COLOMBO SUECO</v>
      </c>
      <c r="H2645" s="11" t="str">
        <f>IFERROR(IF(VLOOKUP(A2645,[17]PRIORIZADOS!$A:$H,8,FALSE)="","",VLOOKUP(A2645,[17]PRIORIZADOS!$A:$H,8,FALSE)),"")</f>
        <v>Autoevaluación Institucional y Pruebas SABER 11</v>
      </c>
      <c r="I2645" s="11" t="str">
        <f>IFERROR(IF(VLOOKUP(A2645,[17]PRIORIZADOS!$A:$I,9,FALSE)="","",VLOOKUP(A2645,[17]PRIORIZADOS!$A:$I,9,FALSE)),"")</f>
        <v>EVALUACIÓN_CON_FINES_DE_MEJORAMIENTO.</v>
      </c>
      <c r="J2645" s="11" t="str">
        <f>IFERROR(IF(VLOOKUP(A2645,[17]PRIORIZADOS!$A:$J,10,FALSE)="","",VLOOKUP(A2645,[17]PRIORIZADOS!$A:$J,10,FALSE)),"")</f>
        <v>Revisar la actualización, socialización e implementación del Sistema Institucional de Evaluación de Estudiantes - SIEE, en articulación con la actualización del PEI y la normatividad vigente.</v>
      </c>
      <c r="K2645" s="11" t="str">
        <f>IFERROR(IF(VLOOKUP(A2645,[17]PRIORIZADOS!$A:$K,11,FALSE)="","",VLOOKUP(A2645,[17]PRIORIZADOS!$A:$K,11,FALSE)),"")</f>
        <v>MARIA TERESA GAVIRIA LOZANO</v>
      </c>
      <c r="L2645" s="11" t="str">
        <f>IFERROR(IF(VLOOKUP(A2645,[17]PRIORIZADOS!$A:$L,12,FALSE)="","",VLOOKUP(A2645,[17]PRIORIZADOS!$A:$L,12,FALSE)),"")</f>
        <v>JENNIFER CATALINA TORRES PIRA</v>
      </c>
      <c r="M2645" s="71">
        <f>IFERROR(IF(VLOOKUP(A2645,[17]PRIORIZADOS!$A:$M,13,FALSE)="","",VLOOKUP(A2645,[17]PRIORIZADOS!$A:$M,13,FALSE)),"")</f>
        <v>45891</v>
      </c>
      <c r="N2645" s="71">
        <f>IFERROR(IF(VLOOKUP(A2645,[17]PRIORIZADOS!$A:$N,14,FALSE)="","",VLOOKUP(A2645,[17]PRIORIZADOS!$A:$N,14,FALSE)),"")</f>
        <v>45891</v>
      </c>
      <c r="O2645" s="71">
        <f>IFERROR(IF(VLOOKUP(A2645,[17]PRIORIZADOS!$A:$O,15,FALSE)="","",VLOOKUP(A2645,[17]PRIORIZADOS!$A:$O,15,FALSE)),"")</f>
        <v>45891</v>
      </c>
      <c r="P2645" s="11" t="str">
        <f>IFERROR(IF(VLOOKUP(A2645,[17]PRIORIZADOS!$A:$P,16,FALSE)="","",VLOOKUP(A2645,[17]PRIORIZADOS!$A:$P,16,FALSE)),"")</f>
        <v/>
      </c>
      <c r="Q2645" s="2" t="s">
        <v>513</v>
      </c>
      <c r="R2645" s="11" t="str">
        <f>IFERROR(IF(VLOOKUP(A2645,[17]PRIORIZADOS!$A:$R,18,FALSE)="","",VLOOKUP(A2645,[17]PRIORIZADOS!$A:$R,18,FALSE)),"")</f>
        <v>Se encuentra estructurado de acuerdo con su carácter: media académica, las básicas con profundización Ciencias Politicas, Ciencias Económica, y Competencias Socioemocionales y Catedra para la Paz. Se visualiza en el informe académico y la plataforma gnosoft. Evalución por desempeños Superior Alto, Basico, Bajo.</v>
      </c>
      <c r="S2645" s="11" t="str">
        <f>IFERROR(IF(VLOOKUP(A2645,[17]PRIORIZADOS!$A:$S,19,FALSE)="","",VLOOKUP(A2645,[17]PRIORIZADOS!$A:$S,19,FALSE)),"")</f>
        <v>El SIEE esta acorde con el PEI y a normativiad vigente.</v>
      </c>
      <c r="T2645" s="70" t="str">
        <f>IFERROR(IF(VLOOKUP(A2645,[17]PRIORIZADOS!$A:$T,20,FALSE)="","",VLOOKUP(A2645,[17]PRIORIZADOS!$A:$T,20,FALSE)),"")</f>
        <v>NO</v>
      </c>
      <c r="U2645" s="11" t="str">
        <f>IFERROR(IF(VLOOKUP(A2645,[17]PRIORIZADOS!$A:$U,21,FALSE)="","",VLOOKUP(A2645,[17]PRIORIZADOS!$A:$U,21,FALSE)),"")</f>
        <v>Se verificará el tema de requerirse.</v>
      </c>
    </row>
    <row r="2646" spans="1:21" s="1" customFormat="1" ht="48">
      <c r="A2646" s="69">
        <f>IF([17]PRIORIZADOS!A94="","",[17]PRIORIZADOS!A94)</f>
        <v>2630</v>
      </c>
      <c r="B2646" s="70">
        <v>10</v>
      </c>
      <c r="C2646" s="11" t="str">
        <f>IFERROR(IF(VLOOKUP(A2646,[17]PRIORIZADOS!$A:$C,3,FALSE)="","",VLOOKUP(A2646,[17]PRIORIZADOS!$A:$C,3,FALSE)),"")</f>
        <v>USAQUÉN</v>
      </c>
      <c r="D2646" s="11" t="str">
        <f>IFERROR(IF(VLOOKUP(A2646,[17]PRIORIZADOS!$A:$D,4,FALSE)="","",VLOOKUP(A2646,[17]PRIORIZADOS!$A:$D,4,FALSE)),"")</f>
        <v>PRIVADO</v>
      </c>
      <c r="E2646" s="11" t="str">
        <f>IFERROR(IF(VLOOKUP(A2646,[17]PRIORIZADOS!$A:$E,5,FALSE)="","",VLOOKUP(A2646,[17]PRIORIZADOS!$A:$E,5,FALSE)),"")</f>
        <v>EPBM</v>
      </c>
      <c r="F2646" s="11" t="str">
        <f>IFERROR(IF(VLOOKUP(A2646,[17]PRIORIZADOS!$A:$F,6,FALSE)="","",VLOOKUP(A2646,[17]PRIORIZADOS!$A:$F,6,FALSE)),"")</f>
        <v>INSTITUTO_COLOMBO_SUECO</v>
      </c>
      <c r="G2646" s="11" t="str">
        <f>IFERROR(IF(VLOOKUP(A2646,[17]PRIORIZADOS!$A:$G,7,FALSE)="","",VLOOKUP(A2646,[17]PRIORIZADOS!$A:$G,7,FALSE)),"")</f>
        <v>INSTITUTO COLOMBO SUECO</v>
      </c>
      <c r="H2646" s="11" t="str">
        <f>IFERROR(IF(VLOOKUP(A2646,[17]PRIORIZADOS!$A:$H,8,FALSE)="","",VLOOKUP(A2646,[17]PRIORIZADOS!$A:$H,8,FALSE)),"")</f>
        <v>Autoevaluación Institucional y Pruebas SABER 11</v>
      </c>
      <c r="I2646" s="11" t="str">
        <f>IFERROR(IF(VLOOKUP(A2646,[17]PRIORIZADOS!$A:$I,9,FALSE)="","",VLOOKUP(A2646,[17]PRIORIZADOS!$A:$I,9,FALSE)),"")</f>
        <v>EVALUACIÓN_CON_FINES_DE_MEJORAMIENTO.</v>
      </c>
      <c r="J2646" s="11" t="str">
        <f>IFERROR(IF(VLOOKUP(A2646,[17]PRIORIZADOS!$A:$J,10,FALSE)="","",VLOOKUP(A2646,[17]PRIORIZADOS!$A:$J,10,FALSE)),"")</f>
        <v>Revisar el calendario escolar, jornada escolar, la intensidad horaria mínima anual en cada nivel y las modificaciones que se realicen al mismo, de acuerdo con lo previsto en la normatividad vigente.</v>
      </c>
      <c r="K2646" s="11" t="str">
        <f>IFERROR(IF(VLOOKUP(A2646,[17]PRIORIZADOS!$A:$K,11,FALSE)="","",VLOOKUP(A2646,[17]PRIORIZADOS!$A:$K,11,FALSE)),"")</f>
        <v>MARIA TERESA GAVIRIA LOZANO</v>
      </c>
      <c r="L2646" s="11" t="str">
        <f>IFERROR(IF(VLOOKUP(A2646,[17]PRIORIZADOS!$A:$L,12,FALSE)="","",VLOOKUP(A2646,[17]PRIORIZADOS!$A:$L,12,FALSE)),"")</f>
        <v>JENNIFER CATALINA TORRES PIRA</v>
      </c>
      <c r="M2646" s="71">
        <f>IFERROR(IF(VLOOKUP(A2646,[17]PRIORIZADOS!$A:$M,13,FALSE)="","",VLOOKUP(A2646,[17]PRIORIZADOS!$A:$M,13,FALSE)),"")</f>
        <v>45891</v>
      </c>
      <c r="N2646" s="71">
        <f>IFERROR(IF(VLOOKUP(A2646,[17]PRIORIZADOS!$A:$N,14,FALSE)="","",VLOOKUP(A2646,[17]PRIORIZADOS!$A:$N,14,FALSE)),"")</f>
        <v>45891</v>
      </c>
      <c r="O2646" s="71">
        <f>IFERROR(IF(VLOOKUP(A2646,[17]PRIORIZADOS!$A:$O,15,FALSE)="","",VLOOKUP(A2646,[17]PRIORIZADOS!$A:$O,15,FALSE)),"")</f>
        <v>45891</v>
      </c>
      <c r="P2646" s="11" t="str">
        <f>IFERROR(IF(VLOOKUP(A2646,[17]PRIORIZADOS!$A:$P,16,FALSE)="","",VLOOKUP(A2646,[17]PRIORIZADOS!$A:$P,16,FALSE)),"")</f>
        <v/>
      </c>
      <c r="Q2646" s="2" t="s">
        <v>513</v>
      </c>
      <c r="R2646" s="11" t="str">
        <f>IFERROR(IF(VLOOKUP(A2646,[17]PRIORIZADOS!$A:$R,18,FALSE)="","",VLOOKUP(A2646,[17]PRIORIZADOS!$A:$R,18,FALSE)),"")</f>
        <v>El calendario está ajustado a lo establecido en la norma vigente frente a intensidades horarias para cada nivel.</v>
      </c>
      <c r="S2646" s="11" t="str">
        <f>IFERROR(IF(VLOOKUP(A2646,[17]PRIORIZADOS!$A:$S,19,FALSE)="","",VLOOKUP(A2646,[17]PRIORIZADOS!$A:$S,19,FALSE)),"")</f>
        <v>Continuar su implementación en lo que resta del año académico</v>
      </c>
      <c r="T2646" s="70" t="str">
        <f>IFERROR(IF(VLOOKUP(A2646,[17]PRIORIZADOS!$A:$T,20,FALSE)="","",VLOOKUP(A2646,[17]PRIORIZADOS!$A:$T,20,FALSE)),"")</f>
        <v>NO</v>
      </c>
      <c r="U2646" s="11" t="str">
        <f>IFERROR(IF(VLOOKUP(A2646,[17]PRIORIZADOS!$A:$U,21,FALSE)="","",VLOOKUP(A2646,[17]PRIORIZADOS!$A:$U,21,FALSE)),"")</f>
        <v>Se revisará en la siguiente vigencia el calendario adoptado.</v>
      </c>
    </row>
    <row r="2647" spans="1:21" s="1" customFormat="1" ht="84">
      <c r="A2647" s="69">
        <f>IF([17]PRIORIZADOS!A95="","",[17]PRIORIZADOS!A95)</f>
        <v>2631</v>
      </c>
      <c r="B2647" s="70">
        <v>10</v>
      </c>
      <c r="C2647" s="11" t="str">
        <f>IFERROR(IF(VLOOKUP(A2647,[17]PRIORIZADOS!$A:$C,3,FALSE)="","",VLOOKUP(A2647,[17]PRIORIZADOS!$A:$C,3,FALSE)),"")</f>
        <v>USAQUÉN</v>
      </c>
      <c r="D2647" s="11" t="str">
        <f>IFERROR(IF(VLOOKUP(A2647,[17]PRIORIZADOS!$A:$D,4,FALSE)="","",VLOOKUP(A2647,[17]PRIORIZADOS!$A:$D,4,FALSE)),"")</f>
        <v>PRIVADO</v>
      </c>
      <c r="E2647" s="11" t="str">
        <f>IFERROR(IF(VLOOKUP(A2647,[17]PRIORIZADOS!$A:$E,5,FALSE)="","",VLOOKUP(A2647,[17]PRIORIZADOS!$A:$E,5,FALSE)),"")</f>
        <v>EPBM</v>
      </c>
      <c r="F2647" s="11" t="str">
        <f>IFERROR(IF(VLOOKUP(A2647,[17]PRIORIZADOS!$A:$F,6,FALSE)="","",VLOOKUP(A2647,[17]PRIORIZADOS!$A:$F,6,FALSE)),"")</f>
        <v>INSTITUTO_COLOMBO_SUECO</v>
      </c>
      <c r="G2647" s="11" t="str">
        <f>IFERROR(IF(VLOOKUP(A2647,[17]PRIORIZADOS!$A:$G,7,FALSE)="","",VLOOKUP(A2647,[17]PRIORIZADOS!$A:$G,7,FALSE)),"")</f>
        <v>INSTITUTO COLOMBO SUECO</v>
      </c>
      <c r="H2647" s="11" t="str">
        <f>IFERROR(IF(VLOOKUP(A2647,[17]PRIORIZADOS!$A:$H,8,FALSE)="","",VLOOKUP(A2647,[17]PRIORIZADOS!$A:$H,8,FALSE)),"")</f>
        <v>Autoevaluación Institucional y Pruebas SABER 11</v>
      </c>
      <c r="I2647" s="11" t="str">
        <f>IFERROR(IF(VLOOKUP(A2647,[17]PRIORIZADOS!$A:$I,9,FALSE)="","",VLOOKUP(A2647,[17]PRIORIZADOS!$A:$I,9,FALSE)),"")</f>
        <v>EVALUACIÓN_CON_FINES_DE_MEJORAMIENTO.</v>
      </c>
      <c r="J2647" s="11" t="str">
        <f>IFERROR(IF(VLOOKUP(A2647,[17]PRIORIZADOS!$A:$J,10,FALSE)="","",VLOOKUP(A2647,[17]PRIORIZADOS!$A:$J,10,FALSE)),"")</f>
        <v>Verificar el funcionamiento del Gobierno Escolar e instancias de participación con base en la información sobre conformación reportada por la institución educativa.</v>
      </c>
      <c r="K2647" s="11" t="str">
        <f>IFERROR(IF(VLOOKUP(A2647,[17]PRIORIZADOS!$A:$K,11,FALSE)="","",VLOOKUP(A2647,[17]PRIORIZADOS!$A:$K,11,FALSE)),"")</f>
        <v>MARIA TERESA GAVIRIA LOZANO</v>
      </c>
      <c r="L2647" s="11" t="str">
        <f>IFERROR(IF(VLOOKUP(A2647,[17]PRIORIZADOS!$A:$L,12,FALSE)="","",VLOOKUP(A2647,[17]PRIORIZADOS!$A:$L,12,FALSE)),"")</f>
        <v>JENNIFER CATALINA TORRES PIRA</v>
      </c>
      <c r="M2647" s="71">
        <f>IFERROR(IF(VLOOKUP(A2647,[17]PRIORIZADOS!$A:$M,13,FALSE)="","",VLOOKUP(A2647,[17]PRIORIZADOS!$A:$M,13,FALSE)),"")</f>
        <v>45891</v>
      </c>
      <c r="N2647" s="71">
        <f>IFERROR(IF(VLOOKUP(A2647,[17]PRIORIZADOS!$A:$N,14,FALSE)="","",VLOOKUP(A2647,[17]PRIORIZADOS!$A:$N,14,FALSE)),"")</f>
        <v>45891</v>
      </c>
      <c r="O2647" s="71">
        <f>IFERROR(IF(VLOOKUP(A2647,[17]PRIORIZADOS!$A:$O,15,FALSE)="","",VLOOKUP(A2647,[17]PRIORIZADOS!$A:$O,15,FALSE)),"")</f>
        <v>45891</v>
      </c>
      <c r="P2647" s="11" t="str">
        <f>IFERROR(IF(VLOOKUP(A2647,[17]PRIORIZADOS!$A:$P,16,FALSE)="","",VLOOKUP(A2647,[17]PRIORIZADOS!$A:$P,16,FALSE)),"")</f>
        <v/>
      </c>
      <c r="Q2647" s="2" t="s">
        <v>513</v>
      </c>
      <c r="R2647" s="11" t="str">
        <f>IFERROR(IF(VLOOKUP(A2647,[17]PRIORIZADOS!$A:$R,18,FALSE)="","",VLOOKUP(A2647,[17]PRIORIZADOS!$A:$R,18,FALSE)),"")</f>
        <v>Cuenta con el Acta del 4 de marzo de 2025 de elección y conformación del Gobierno Escolar, con verificación en el sistema SAE.
A la fecha se han realizado dos actas que evidencian las reuniones.</v>
      </c>
      <c r="S2647" s="11" t="str">
        <f>IFERROR(IF(VLOOKUP(A2647,[17]PRIORIZADOS!$A:$S,19,FALSE)="","",VLOOKUP(A2647,[17]PRIORIZADOS!$A:$S,19,FALSE)),"")</f>
        <v>Se logro evidenciar el funcionamiento de gobierno escolar.</v>
      </c>
      <c r="T2647" s="70" t="str">
        <f>IFERROR(IF(VLOOKUP(A2647,[17]PRIORIZADOS!$A:$T,20,FALSE)="","",VLOOKUP(A2647,[17]PRIORIZADOS!$A:$T,20,FALSE)),"")</f>
        <v>NO</v>
      </c>
      <c r="U2647" s="11" t="str">
        <f>IFERROR(IF(VLOOKUP(A2647,[17]PRIORIZADOS!$A:$U,21,FALSE)="","",VLOOKUP(A2647,[17]PRIORIZADOS!$A:$U,21,FALSE)),"")</f>
        <v>Se revisará en caso de presentarse alguna queja, al respecto.</v>
      </c>
    </row>
    <row r="2648" spans="1:21" s="1" customFormat="1" ht="107.25">
      <c r="A2648" s="69">
        <f>IF([17]PRIORIZADOS!A96="","",[17]PRIORIZADOS!A96)</f>
        <v>2632</v>
      </c>
      <c r="B2648" s="70">
        <v>10</v>
      </c>
      <c r="C2648" s="11" t="str">
        <f>IFERROR(IF(VLOOKUP(A2648,[17]PRIORIZADOS!$A:$C,3,FALSE)="","",VLOOKUP(A2648,[17]PRIORIZADOS!$A:$C,3,FALSE)),"")</f>
        <v>USAQUÉN</v>
      </c>
      <c r="D2648" s="11" t="str">
        <f>IFERROR(IF(VLOOKUP(A2648,[17]PRIORIZADOS!$A:$D,4,FALSE)="","",VLOOKUP(A2648,[17]PRIORIZADOS!$A:$D,4,FALSE)),"")</f>
        <v>PRIVADO</v>
      </c>
      <c r="E2648" s="11" t="str">
        <f>IFERROR(IF(VLOOKUP(A2648,[17]PRIORIZADOS!$A:$E,5,FALSE)="","",VLOOKUP(A2648,[17]PRIORIZADOS!$A:$E,5,FALSE)),"")</f>
        <v>EPBM</v>
      </c>
      <c r="F2648" s="11" t="str">
        <f>IFERROR(IF(VLOOKUP(A2648,[17]PRIORIZADOS!$A:$F,6,FALSE)="","",VLOOKUP(A2648,[17]PRIORIZADOS!$A:$F,6,FALSE)),"")</f>
        <v>INSTITUTO_COLOMBO_SUECO</v>
      </c>
      <c r="G2648" s="11" t="str">
        <f>IFERROR(IF(VLOOKUP(A2648,[17]PRIORIZADOS!$A:$G,7,FALSE)="","",VLOOKUP(A2648,[17]PRIORIZADOS!$A:$G,7,FALSE)),"")</f>
        <v>INSTITUTO COLOMBO SUECO</v>
      </c>
      <c r="H2648" s="11" t="str">
        <f>IFERROR(IF(VLOOKUP(A2648,[17]PRIORIZADOS!$A:$H,8,FALSE)="","",VLOOKUP(A2648,[17]PRIORIZADOS!$A:$H,8,FALSE)),"")</f>
        <v>Autoevaluación Institucional y Pruebas SABER 11</v>
      </c>
      <c r="I2648" s="11" t="str">
        <f>IFERROR(IF(VLOOKUP(A2648,[17]PRIORIZADOS!$A:$I,9,FALSE)="","",VLOOKUP(A2648,[17]PRIORIZADOS!$A:$I,9,FALSE)),"")</f>
        <v>EVALUACIÓN_CON_FINES_DE_MEJORAMIENTO.</v>
      </c>
      <c r="J2648" s="11" t="str">
        <f>IFERROR(IF(VLOOKUP(A2648,[17]PRIORIZADOS!$A:$J,10,FALSE)="","",VLOOKUP(A2648,[17]PRIORIZADOS!$A:$J,10,FALSE)),"")</f>
        <v>Verificar las condiciones en cuanto a: la estructura administrativa, condiciones de la planta física y medios educativos adecuados.</v>
      </c>
      <c r="K2648" s="11" t="str">
        <f>IFERROR(IF(VLOOKUP(A2648,[17]PRIORIZADOS!$A:$K,11,FALSE)="","",VLOOKUP(A2648,[17]PRIORIZADOS!$A:$K,11,FALSE)),"")</f>
        <v>MARIA TERESA GAVIRIA LOZANO</v>
      </c>
      <c r="L2648" s="11" t="str">
        <f>IFERROR(IF(VLOOKUP(A2648,[17]PRIORIZADOS!$A:$L,12,FALSE)="","",VLOOKUP(A2648,[17]PRIORIZADOS!$A:$L,12,FALSE)),"")</f>
        <v>JENNIFER CATALINA TORRES PIRA</v>
      </c>
      <c r="M2648" s="71">
        <f>IFERROR(IF(VLOOKUP(A2648,[17]PRIORIZADOS!$A:$M,13,FALSE)="","",VLOOKUP(A2648,[17]PRIORIZADOS!$A:$M,13,FALSE)),"")</f>
        <v>45891</v>
      </c>
      <c r="N2648" s="71">
        <f>IFERROR(IF(VLOOKUP(A2648,[17]PRIORIZADOS!$A:$N,14,FALSE)="","",VLOOKUP(A2648,[17]PRIORIZADOS!$A:$N,14,FALSE)),"")</f>
        <v>45891</v>
      </c>
      <c r="O2648" s="71">
        <f>IFERROR(IF(VLOOKUP(A2648,[17]PRIORIZADOS!$A:$O,15,FALSE)="","",VLOOKUP(A2648,[17]PRIORIZADOS!$A:$O,15,FALSE)),"")</f>
        <v>45891</v>
      </c>
      <c r="P2648" s="11" t="str">
        <f>IFERROR(IF(VLOOKUP(A2648,[17]PRIORIZADOS!$A:$P,16,FALSE)="","",VLOOKUP(A2648,[17]PRIORIZADOS!$A:$P,16,FALSE)),"")</f>
        <v/>
      </c>
      <c r="Q2648" s="43" t="s">
        <v>513</v>
      </c>
      <c r="R2648" s="11" t="str">
        <f>IFERROR(IF(VLOOKUP(A2648,[17]PRIORIZADOS!$A:$R,18,FALSE)="","",VLOOKUP(A2648,[17]PRIORIZADOS!$A:$R,18,FALSE)),"")</f>
        <v xml:space="preserve">Cuenta con la estructura administrativa definida en el organigrama, la planta física permite la atención a discapacitados se estan ajustando los baños.
Tienen los recursos físicos necesarios para prestar el servicio eduacativo.
</v>
      </c>
      <c r="S2648" s="11" t="str">
        <f>IFERROR(IF(VLOOKUP(A2648,[17]PRIORIZADOS!$A:$S,19,FALSE)="","",VLOOKUP(A2648,[17]PRIORIZADOS!$A:$S,19,FALSE)),"")</f>
        <v>La planta física de la Institución al igual que los medios educativos son adecuados para prestar el servicio educativo.</v>
      </c>
      <c r="T2648" s="70" t="str">
        <f>IFERROR(IF(VLOOKUP(A2648,[17]PRIORIZADOS!$A:$T,20,FALSE)="","",VLOOKUP(A2648,[17]PRIORIZADOS!$A:$T,20,FALSE)),"")</f>
        <v>Si</v>
      </c>
      <c r="U2648" s="11" t="str">
        <f>IFERROR(IF(VLOOKUP(A2648,[17]PRIORIZADOS!$A:$U,21,FALSE)="","",VLOOKUP(A2648,[17]PRIORIZADOS!$A:$U,21,FALSE)),"")</f>
        <v>Verificar la terminación de la obra de los baños para discapacitados</v>
      </c>
    </row>
    <row r="2649" spans="1:21" s="1" customFormat="1" ht="130.5">
      <c r="A2649" s="69">
        <f>IF([17]PRIORIZADOS!A97="","",[17]PRIORIZADOS!A97)</f>
        <v>2633</v>
      </c>
      <c r="B2649" s="70">
        <v>11</v>
      </c>
      <c r="C2649" s="11" t="str">
        <f>IFERROR(IF(VLOOKUP(A2649,[17]PRIORIZADOS!$A:$C,3,FALSE)="","",VLOOKUP(A2649,[17]PRIORIZADOS!$A:$C,3,FALSE)),"")</f>
        <v>USAQUÉN</v>
      </c>
      <c r="D2649" s="11" t="str">
        <f>IFERROR(IF(VLOOKUP(A2649,[17]PRIORIZADOS!$A:$D,4,FALSE)="","",VLOOKUP(A2649,[17]PRIORIZADOS!$A:$D,4,FALSE)),"")</f>
        <v>OFICIAL.</v>
      </c>
      <c r="E2649" s="11" t="str">
        <f>IFERROR(IF(VLOOKUP(A2649,[17]PRIORIZADOS!$A:$E,5,FALSE)="","",VLOOKUP(A2649,[17]PRIORIZADOS!$A:$E,5,FALSE)),"")</f>
        <v>EPBM</v>
      </c>
      <c r="F2649" s="11" t="str">
        <f>IFERROR(IF(VLOOKUP(A2649,[17]PRIORIZADOS!$A:$F,6,FALSE)="","",VLOOKUP(A2649,[17]PRIORIZADOS!$A:$F,6,FALSE)),"")</f>
        <v>COLEGIO_GENERAL_SANTANDER_IED</v>
      </c>
      <c r="G2649" s="11" t="str">
        <f>IFERROR(IF(VLOOKUP(A2649,[17]PRIORIZADOS!$A:$G,7,FALSE)="","",VLOOKUP(A2649,[17]PRIORIZADOS!$A:$G,7,FALSE)),"")</f>
        <v>GENERAL SANTANDER</v>
      </c>
      <c r="H2649" s="11" t="str">
        <f>IFERROR(IF(VLOOKUP(A2649,[17]PRIORIZADOS!$A:$H,8,FALSE)="","",VLOOKUP(A2649,[17]PRIORIZADOS!$A:$H,8,FALSE)),"")</f>
        <v>Autoevaluación Institucional y Pruebas SABER 11</v>
      </c>
      <c r="I2649" s="11" t="str">
        <f>IFERROR(IF(VLOOKUP(A2649,[17]PRIORIZADOS!$A:$I,9,FALSE)="","",VLOOKUP(A2649,[17]PRIORIZADOS!$A:$I,9,FALSE)),"")</f>
        <v>SEGUIMIENTO_Y_SUPERVISIÓN.</v>
      </c>
      <c r="J2649" s="11" t="str">
        <f>IFERROR(IF(VLOOKUP(A2649,[17]PRIORIZADOS!$A:$J,10,FALSE)="","",VLOOKUP(A2649,[17]PRIORIZADOS!$A:$J,10,FALSE)),"")</f>
        <v>Proponer estrategias en la formulación, verificar su elaboración y realizar seguimiento semestral al desarrollo de  las acciones establecidas en los planes de mejoramiento por pruebas SABER 11 de los establecimientos de educación formal.</v>
      </c>
      <c r="K2649" s="11" t="str">
        <f>IFERROR(IF(VLOOKUP(A2649,[17]PRIORIZADOS!$A:$K,11,FALSE)="","",VLOOKUP(A2649,[17]PRIORIZADOS!$A:$K,11,FALSE)),"")</f>
        <v>MARTHA CECILIA MELGAREJO PINTO
MARIA TERESA GAVIRIA LOZANO
GILMA ESTHER ALBARRACÍN BALLESTEROS
MARTHA LUCIA OLAYA VARGAS
JENNIFER CATALINA TORRES PIRA</v>
      </c>
      <c r="L2649" s="11" t="str">
        <f>IFERROR(IF(VLOOKUP(A2649,[17]PRIORIZADOS!$A:$L,12,FALSE)="","",VLOOKUP(A2649,[17]PRIORIZADOS!$A:$L,12,FALSE)),"")</f>
        <v>MARTHA CECILIA MELGAREJO PINTO
MARIA TERESA GAVIRIA LOZANO
GILMA ESTHER ALBARRACÍN BALLESTEROS
MARTHA LUCIA OLAYA VARGAS
JENNIFER CATALINA TORRES PIRA</v>
      </c>
      <c r="M2649" s="71">
        <f>IFERROR(IF(VLOOKUP(A2649,[17]PRIORIZADOS!$A:$M,13,FALSE)="","",VLOOKUP(A2649,[17]PRIORIZADOS!$A:$M,13,FALSE)),"")</f>
        <v>45751</v>
      </c>
      <c r="N2649" s="71">
        <f>IFERROR(IF(VLOOKUP(A2649,[17]PRIORIZADOS!$A:$N,14,FALSE)="","",VLOOKUP(A2649,[17]PRIORIZADOS!$A:$N,14,FALSE)),"")</f>
        <v>45751</v>
      </c>
      <c r="O2649" s="71">
        <f>IFERROR(IF(VLOOKUP(A2649,[17]PRIORIZADOS!$A:$O,15,FALSE)="","",VLOOKUP(A2649,[17]PRIORIZADOS!$A:$O,15,FALSE)),"")</f>
        <v>45751</v>
      </c>
      <c r="P2649" s="11" t="str">
        <f>IFERROR(IF(VLOOKUP(A2649,[17]PRIORIZADOS!$A:$P,16,FALSE)="","",VLOOKUP(A2649,[17]PRIORIZADOS!$A:$P,16,FALSE)),"")</f>
        <v>Visitas de evaluación con fines de seguimiento</v>
      </c>
      <c r="Q2649" s="107" t="s">
        <v>514</v>
      </c>
      <c r="R2649" s="11" t="str">
        <f>IFERROR(IF(VLOOKUP(A2649,[17]PRIORIZADOS!$A:$R,18,FALSE)="","",VLOOKUP(A2649,[17]PRIORIZADOS!$A:$R,18,FALSE)),"")</f>
        <v xml:space="preserve">Realizaron análisis de los resultados y definieron talleres y pruebas en las asignaturas con bajo desempeño, las cuales aplicaran dentro de cada área y evaluarán a partir del mes de mayo de 2025.
</v>
      </c>
      <c r="S2649" s="11" t="str">
        <f>IFERROR(IF(VLOOKUP(A2649,[17]PRIORIZADOS!$A:$S,19,FALSE)="","",VLOOKUP(A2649,[17]PRIORIZADOS!$A:$S,19,FALSE)),"")</f>
        <v>Se debe realizar el plan de mejora incluyendo el ajuste al plan de estudios y curriculum  para el grado 11</v>
      </c>
      <c r="T2649" s="70" t="str">
        <f>IFERROR(IF(VLOOKUP(A2649,[17]PRIORIZADOS!$A:$T,20,FALSE)="","",VLOOKUP(A2649,[17]PRIORIZADOS!$A:$T,20,FALSE)),"")</f>
        <v>Si</v>
      </c>
      <c r="U2649" s="11" t="str">
        <f>IFERROR(IF(VLOOKUP(A2649,[17]PRIORIZADOS!$A:$U,21,FALSE)="","",VLOOKUP(A2649,[17]PRIORIZADOS!$A:$U,21,FALSE)),"")</f>
        <v>Revisar el plan de estudios y el curriculum para el grado 11 a partir del plan de mejora: 17/06/2025</v>
      </c>
    </row>
    <row r="2650" spans="1:21" s="1" customFormat="1" ht="130.5">
      <c r="A2650" s="69">
        <f>IF([17]PRIORIZADOS!A98="","",[17]PRIORIZADOS!A98)</f>
        <v>2634</v>
      </c>
      <c r="B2650" s="70">
        <v>11</v>
      </c>
      <c r="C2650" s="11" t="str">
        <f>IFERROR(IF(VLOOKUP(A2650,[17]PRIORIZADOS!$A:$C,3,FALSE)="","",VLOOKUP(A2650,[17]PRIORIZADOS!$A:$C,3,FALSE)),"")</f>
        <v>USAQUÉN</v>
      </c>
      <c r="D2650" s="11" t="str">
        <f>IFERROR(IF(VLOOKUP(A2650,[17]PRIORIZADOS!$A:$D,4,FALSE)="","",VLOOKUP(A2650,[17]PRIORIZADOS!$A:$D,4,FALSE)),"")</f>
        <v>OFICIAL.</v>
      </c>
      <c r="E2650" s="11" t="str">
        <f>IFERROR(IF(VLOOKUP(A2650,[17]PRIORIZADOS!$A:$E,5,FALSE)="","",VLOOKUP(A2650,[17]PRIORIZADOS!$A:$E,5,FALSE)),"")</f>
        <v>EPBM</v>
      </c>
      <c r="F2650" s="11" t="str">
        <f>IFERROR(IF(VLOOKUP(A2650,[17]PRIORIZADOS!$A:$F,6,FALSE)="","",VLOOKUP(A2650,[17]PRIORIZADOS!$A:$F,6,FALSE)),"")</f>
        <v>COLEGIO_GENERAL_SANTANDER_IED</v>
      </c>
      <c r="G2650" s="11" t="str">
        <f>IFERROR(IF(VLOOKUP(A2650,[17]PRIORIZADOS!$A:$G,7,FALSE)="","",VLOOKUP(A2650,[17]PRIORIZADOS!$A:$G,7,FALSE)),"")</f>
        <v>GENERAL SANTANDER</v>
      </c>
      <c r="H2650" s="11" t="str">
        <f>IFERROR(IF(VLOOKUP(A2650,[17]PRIORIZADOS!$A:$H,8,FALSE)="","",VLOOKUP(A2650,[17]PRIORIZADOS!$A:$H,8,FALSE)),"")</f>
        <v>Autoevaluación Institucional y Pruebas SABER 11</v>
      </c>
      <c r="I2650" s="11" t="str">
        <f>IFERROR(IF(VLOOKUP(A2650,[17]PRIORIZADOS!$A:$I,9,FALSE)="","",VLOOKUP(A2650,[17]PRIORIZADOS!$A:$I,9,FALSE)),"")</f>
        <v>SEGUIMIENTO_Y_SUPERVISIÓN.</v>
      </c>
      <c r="J2650" s="11" t="str">
        <f>IFERROR(IF(VLOOKUP(A2650,[17]PRIORIZADOS!$A:$J,10,FALSE)="","",VLOOKUP(A2650,[17]PRIORIZADOS!$A:$J,10,FALSE)),"")</f>
        <v xml:space="preserve">Verificar la implementación por parte de los colegios, de acciones realizadas para la prevención y atención de las situaciones de convivencia en el entorno escolar, según lo establecido en la Directiva 01 de 2022 del MEN. </v>
      </c>
      <c r="K2650" s="11" t="str">
        <f>IFERROR(IF(VLOOKUP(A2650,[17]PRIORIZADOS!$A:$K,11,FALSE)="","",VLOOKUP(A2650,[17]PRIORIZADOS!$A:$K,11,FALSE)),"")</f>
        <v>MARTHA CECILIA MELGAREJO PINTO
MARIA TERESA GAVIRIA LOZANO
GILMA ESTHER ALBARRACÍN BALLESTEROS
MARTHA LUCIA OLAYA VARGAS
JENNIFER CATALINA TORRES PIRA</v>
      </c>
      <c r="L2650" s="11" t="str">
        <f>IFERROR(IF(VLOOKUP(A2650,[17]PRIORIZADOS!$A:$L,12,FALSE)="","",VLOOKUP(A2650,[17]PRIORIZADOS!$A:$L,12,FALSE)),"")</f>
        <v>MARTHA CECILIA MELGAREJO PINTO
MARIA TERESA GAVIRIA LOZANO
GILMA ESTHER ALBARRACÍN BALLESTEROS
MARTHA LUCIA OLAYA VARGAS
JENNIFER CATALINA TORRES PIRA</v>
      </c>
      <c r="M2650" s="71">
        <f>IFERROR(IF(VLOOKUP(A2650,[17]PRIORIZADOS!$A:$M,13,FALSE)="","",VLOOKUP(A2650,[17]PRIORIZADOS!$A:$M,13,FALSE)),"")</f>
        <v>45751</v>
      </c>
      <c r="N2650" s="71">
        <f>IFERROR(IF(VLOOKUP(A2650,[17]PRIORIZADOS!$A:$N,14,FALSE)="","",VLOOKUP(A2650,[17]PRIORIZADOS!$A:$N,14,FALSE)),"")</f>
        <v>45751</v>
      </c>
      <c r="O2650" s="71">
        <f>IFERROR(IF(VLOOKUP(A2650,[17]PRIORIZADOS!$A:$O,15,FALSE)="","",VLOOKUP(A2650,[17]PRIORIZADOS!$A:$O,15,FALSE)),"")</f>
        <v>45751</v>
      </c>
      <c r="P2650" s="11" t="str">
        <f>IFERROR(IF(VLOOKUP(A2650,[17]PRIORIZADOS!$A:$P,16,FALSE)="","",VLOOKUP(A2650,[17]PRIORIZADOS!$A:$P,16,FALSE)),"")</f>
        <v>Visitas de evaluación con fines de seguimiento</v>
      </c>
      <c r="Q2650" s="107" t="s">
        <v>514</v>
      </c>
      <c r="R2650" s="11" t="str">
        <f>IFERROR(IF(VLOOKUP(A2650,[17]PRIORIZADOS!$A:$R,18,FALSE)="","",VLOOKUP(A2650,[17]PRIORIZADOS!$A:$R,18,FALSE)),"")</f>
        <v>Definieron el comité escolar de convivencia y la ruta de atención Integral para la Conviviencia Escolar, se identifican las situaciones y existen mecanismos de resolución de conflictos.
Realizan talleres de prevención de conflictos para los estudiantes.</v>
      </c>
      <c r="S2650" s="11" t="str">
        <f>IFERROR(IF(VLOOKUP(A2650,[17]PRIORIZADOS!$A:$S,19,FALSE)="","",VLOOKUP(A2650,[17]PRIORIZADOS!$A:$S,19,FALSE)),"")</f>
        <v xml:space="preserve">Se solicita incluir en el manual de convivencia para el año 2026, las instancias y protocolos de atención integral para la convivencia escolar de que tratan los artículos 42, 43 y 44 del Decreto 1965 de 11 de septiembre de 2013 compilado en el Decreto 1075 de 2015. </v>
      </c>
      <c r="T2650" s="70" t="str">
        <f>IFERROR(IF(VLOOKUP(A2650,[17]PRIORIZADOS!$A:$T,20,FALSE)="","",VLOOKUP(A2650,[17]PRIORIZADOS!$A:$T,20,FALSE)),"")</f>
        <v>Si</v>
      </c>
      <c r="U2650" s="11" t="str">
        <f>IFERROR(IF(VLOOKUP(A2650,[17]PRIORIZADOS!$A:$U,21,FALSE)="","",VLOOKUP(A2650,[17]PRIORIZADOS!$A:$U,21,FALSE)),"")</f>
        <v>Revisión del Manual de Convivencia en enero de 2026.</v>
      </c>
    </row>
    <row r="2651" spans="1:21" s="1" customFormat="1" ht="154.5">
      <c r="A2651" s="69">
        <f>IF([17]PRIORIZADOS!A99="","",[17]PRIORIZADOS!A99)</f>
        <v>2635</v>
      </c>
      <c r="B2651" s="70">
        <v>11</v>
      </c>
      <c r="C2651" s="11" t="str">
        <f>IFERROR(IF(VLOOKUP(A2651,[17]PRIORIZADOS!$A:$C,3,FALSE)="","",VLOOKUP(A2651,[17]PRIORIZADOS!$A:$C,3,FALSE)),"")</f>
        <v>USAQUÉN</v>
      </c>
      <c r="D2651" s="11" t="str">
        <f>IFERROR(IF(VLOOKUP(A2651,[17]PRIORIZADOS!$A:$D,4,FALSE)="","",VLOOKUP(A2651,[17]PRIORIZADOS!$A:$D,4,FALSE)),"")</f>
        <v>OFICIAL.</v>
      </c>
      <c r="E2651" s="11" t="str">
        <f>IFERROR(IF(VLOOKUP(A2651,[17]PRIORIZADOS!$A:$E,5,FALSE)="","",VLOOKUP(A2651,[17]PRIORIZADOS!$A:$E,5,FALSE)),"")</f>
        <v>EPBM</v>
      </c>
      <c r="F2651" s="11" t="str">
        <f>IFERROR(IF(VLOOKUP(A2651,[17]PRIORIZADOS!$A:$F,6,FALSE)="","",VLOOKUP(A2651,[17]PRIORIZADOS!$A:$F,6,FALSE)),"")</f>
        <v>COLEGIO_GENERAL_SANTANDER_IED</v>
      </c>
      <c r="G2651" s="11" t="str">
        <f>IFERROR(IF(VLOOKUP(A2651,[17]PRIORIZADOS!$A:$G,7,FALSE)="","",VLOOKUP(A2651,[17]PRIORIZADOS!$A:$G,7,FALSE)),"")</f>
        <v>GENERAL SANTANDER</v>
      </c>
      <c r="H2651" s="11" t="str">
        <f>IFERROR(IF(VLOOKUP(A2651,[17]PRIORIZADOS!$A:$H,8,FALSE)="","",VLOOKUP(A2651,[17]PRIORIZADOS!$A:$H,8,FALSE)),"")</f>
        <v>Autoevaluación Institucional y Pruebas SABER 11</v>
      </c>
      <c r="I2651" s="11" t="str">
        <f>IFERROR(IF(VLOOKUP(A2651,[17]PRIORIZADOS!$A:$I,9,FALSE)="","",VLOOKUP(A2651,[17]PRIORIZADOS!$A:$I,9,FALSE)),"")</f>
        <v>SEGUIMIENTO_Y_SUPERVISIÓN.</v>
      </c>
      <c r="J2651" s="11" t="str">
        <f>IFERROR(IF(VLOOKUP(A2651,[17]PRIORIZADOS!$A:$J,10,FALSE)="","",VLOOKUP(A2651,[17]PRIORIZADOS!$A:$J,10,FALSE)),"")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51" s="11" t="str">
        <f>IFERROR(IF(VLOOKUP(A2651,[17]PRIORIZADOS!$A:$K,11,FALSE)="","",VLOOKUP(A2651,[17]PRIORIZADOS!$A:$K,11,FALSE)),"")</f>
        <v>MARTHA CECILIA MELGAREJO PINTO
MARIA TERESA GAVIRIA LOZANO
GILMA ESTHER ALBARRACÍN BALLESTEROS
MARTHA LUCIA OLAYA VARGAS
JENNIFER CATALINA TORRES PIRA</v>
      </c>
      <c r="L2651" s="11" t="str">
        <f>IFERROR(IF(VLOOKUP(A2651,[17]PRIORIZADOS!$A:$L,12,FALSE)="","",VLOOKUP(A2651,[17]PRIORIZADOS!$A:$L,12,FALSE)),"")</f>
        <v>MARTHA CECILIA MELGAREJO PINTO
MARIA TERESA GAVIRIA LOZANO
GILMA ESTHER ALBARRACÍN BALLESTEROS
MARTHA LUCIA OLAYA VARGAS
JENNIFER CATALINA TORRES PIRA</v>
      </c>
      <c r="M2651" s="71">
        <f>IFERROR(IF(VLOOKUP(A2651,[17]PRIORIZADOS!$A:$M,13,FALSE)="","",VLOOKUP(A2651,[17]PRIORIZADOS!$A:$M,13,FALSE)),"")</f>
        <v>45751</v>
      </c>
      <c r="N2651" s="71">
        <f>IFERROR(IF(VLOOKUP(A2651,[17]PRIORIZADOS!$A:$N,14,FALSE)="","",VLOOKUP(A2651,[17]PRIORIZADOS!$A:$N,14,FALSE)),"")</f>
        <v>45751</v>
      </c>
      <c r="O2651" s="71">
        <f>IFERROR(IF(VLOOKUP(A2651,[17]PRIORIZADOS!$A:$O,15,FALSE)="","",VLOOKUP(A2651,[17]PRIORIZADOS!$A:$O,15,FALSE)),"")</f>
        <v>45751</v>
      </c>
      <c r="P2651" s="11" t="str">
        <f>IFERROR(IF(VLOOKUP(A2651,[17]PRIORIZADOS!$A:$P,16,FALSE)="","",VLOOKUP(A2651,[17]PRIORIZADOS!$A:$P,16,FALSE)),"")</f>
        <v>Visitas de evaluación con fines de seguimiento</v>
      </c>
      <c r="Q2651" s="107" t="s">
        <v>514</v>
      </c>
      <c r="R2651" s="11" t="str">
        <f>IFERROR(IF(VLOOKUP(A2651,[17]PRIORIZADOS!$A:$R,18,FALSE)="","",VLOOKUP(A2651,[17]PRIORIZADOS!$A:$R,18,FALSE)),"")</f>
        <v>Se encuentran elaborados los 21 Planes Individuales de Ajustes Razonables -PIAR-,  de los estudiantes con discapacidad y trastornos de aprendizaje, cuentan con una carpeta individual la cual contiene el formato del MEN con la información general de cada estudiante, el diagnóstico, el plan de estudios y el acta de acuerdo.Se encuentra en estudio 2 nuevos casos.
Se actualiza cada año y se entrega reporte de seguimiento a los padres en cada periodo.</v>
      </c>
      <c r="S2651" s="11" t="str">
        <f>IFERROR(IF(VLOOKUP(A2651,[17]PRIORIZADOS!$A:$S,19,FALSE)="","",VLOOKUP(A2651,[17]PRIORIZADOS!$A:$S,19,FALSE)),"")</f>
        <v>Continuar desarrolando esta actividad como lo vienen haciendo.</v>
      </c>
      <c r="T2651" s="70" t="str">
        <f>IFERROR(IF(VLOOKUP(A2651,[17]PRIORIZADOS!$A:$T,20,FALSE)="","",VLOOKUP(A2651,[17]PRIORIZADOS!$A:$T,20,FALSE)),"")</f>
        <v>No</v>
      </c>
      <c r="U2651" s="11" t="str">
        <f>IFERROR(IF(VLOOKUP(A2651,[17]PRIORIZADOS!$A:$U,21,FALSE)="","",VLOOKUP(A2651,[17]PRIORIZADOS!$A:$U,21,FALSE)),"")</f>
        <v>Se verificará en caso de presentarse queja.</v>
      </c>
    </row>
    <row r="2652" spans="1:21" s="1" customFormat="1" ht="130.5">
      <c r="A2652" s="69">
        <f>IF([17]PRIORIZADOS!A100="","",[17]PRIORIZADOS!A100)</f>
        <v>2636</v>
      </c>
      <c r="B2652" s="70">
        <v>11</v>
      </c>
      <c r="C2652" s="11" t="str">
        <f>IFERROR(IF(VLOOKUP(A2652,[17]PRIORIZADOS!$A:$C,3,FALSE)="","",VLOOKUP(A2652,[17]PRIORIZADOS!$A:$C,3,FALSE)),"")</f>
        <v>USAQUÉN</v>
      </c>
      <c r="D2652" s="11" t="str">
        <f>IFERROR(IF(VLOOKUP(A2652,[17]PRIORIZADOS!$A:$D,4,FALSE)="","",VLOOKUP(A2652,[17]PRIORIZADOS!$A:$D,4,FALSE)),"")</f>
        <v>OFICIAL.</v>
      </c>
      <c r="E2652" s="11" t="str">
        <f>IFERROR(IF(VLOOKUP(A2652,[17]PRIORIZADOS!$A:$E,5,FALSE)="","",VLOOKUP(A2652,[17]PRIORIZADOS!$A:$E,5,FALSE)),"")</f>
        <v>EPBM</v>
      </c>
      <c r="F2652" s="11" t="str">
        <f>IFERROR(IF(VLOOKUP(A2652,[17]PRIORIZADOS!$A:$F,6,FALSE)="","",VLOOKUP(A2652,[17]PRIORIZADOS!$A:$F,6,FALSE)),"")</f>
        <v>COLEGIO_GENERAL_SANTANDER_IED</v>
      </c>
      <c r="G2652" s="11" t="str">
        <f>IFERROR(IF(VLOOKUP(A2652,[17]PRIORIZADOS!$A:$G,7,FALSE)="","",VLOOKUP(A2652,[17]PRIORIZADOS!$A:$G,7,FALSE)),"")</f>
        <v>GENERAL SANTANDER</v>
      </c>
      <c r="H2652" s="11" t="str">
        <f>IFERROR(IF(VLOOKUP(A2652,[17]PRIORIZADOS!$A:$H,8,FALSE)="","",VLOOKUP(A2652,[17]PRIORIZADOS!$A:$H,8,FALSE)),"")</f>
        <v>Autoevaluación Institucional y Pruebas SABER 11</v>
      </c>
      <c r="I2652" s="11" t="str">
        <f>IFERROR(IF(VLOOKUP(A2652,[17]PRIORIZADOS!$A:$I,9,FALSE)="","",VLOOKUP(A2652,[17]PRIORIZADOS!$A:$I,9,FALSE)),"")</f>
        <v>EVALUACIÓN_CON_FINES_DE_MEJORAMIENTO.</v>
      </c>
      <c r="J2652" s="11" t="str">
        <f>IFERROR(IF(VLOOKUP(A2652,[17]PRIORIZADOS!$A:$J,10,FALSE)="","",VLOOKUP(A2652,[17]PRIORIZADOS!$A:$J,10,FALSE)),"")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52" s="11" t="str">
        <f>IFERROR(IF(VLOOKUP(A2652,[17]PRIORIZADOS!$A:$K,11,FALSE)="","",VLOOKUP(A2652,[17]PRIORIZADOS!$A:$K,11,FALSE)),"")</f>
        <v>MARTHA CECILIA MELGAREJO PINTO
MARIA TERESA GAVIRIA LOZANO
GILMA ESTHER ALBARRACÍN BALLESTEROS
MARTHA LUCIA OLAYA VARGAS
JENNIFER CATALINA TORRES PIRA</v>
      </c>
      <c r="L2652" s="11" t="str">
        <f>IFERROR(IF(VLOOKUP(A2652,[17]PRIORIZADOS!$A:$L,12,FALSE)="","",VLOOKUP(A2652,[17]PRIORIZADOS!$A:$L,12,FALSE)),"")</f>
        <v>MARTHA CECILIA MELGAREJO PINTO
MARIA TERESA GAVIRIA LOZANO
GILMA ESTHER ALBARRACÍN BALLESTEROS
MARTHA LUCIA OLAYA VARGAS
JENNIFER CATALINA TORRES PIRA</v>
      </c>
      <c r="M2652" s="71">
        <f>IFERROR(IF(VLOOKUP(A2652,[17]PRIORIZADOS!$A:$M,13,FALSE)="","",VLOOKUP(A2652,[17]PRIORIZADOS!$A:$M,13,FALSE)),"")</f>
        <v>45751</v>
      </c>
      <c r="N2652" s="71">
        <f>IFERROR(IF(VLOOKUP(A2652,[17]PRIORIZADOS!$A:$N,14,FALSE)="","",VLOOKUP(A2652,[17]PRIORIZADOS!$A:$N,14,FALSE)),"")</f>
        <v>45751</v>
      </c>
      <c r="O2652" s="71">
        <f>IFERROR(IF(VLOOKUP(A2652,[17]PRIORIZADOS!$A:$O,15,FALSE)="","",VLOOKUP(A2652,[17]PRIORIZADOS!$A:$O,15,FALSE)),"")</f>
        <v>45751</v>
      </c>
      <c r="P2652" s="11" t="str">
        <f>IFERROR(IF(VLOOKUP(A2652,[17]PRIORIZADOS!$A:$P,16,FALSE)="","",VLOOKUP(A2652,[17]PRIORIZADOS!$A:$P,16,FALSE)),"")</f>
        <v>Visitas de evaluación con fines de mejoramiento</v>
      </c>
      <c r="Q2652" s="107" t="s">
        <v>514</v>
      </c>
      <c r="R2652" s="11" t="str">
        <f>IFERROR(IF(VLOOKUP(A2652,[17]PRIORIZADOS!$A:$R,18,FALSE)="","",VLOOKUP(A2652,[17]PRIORIZADOS!$A:$R,18,FALSE)),"")</f>
        <v xml:space="preserve">Última actualización para el año 2022 aprobado por el Consejo Directivo. No se realizó en los años 2023, 2024 y 2025 por contingencia de cambio de sede. 
 </v>
      </c>
      <c r="S2652" s="11" t="str">
        <f>IFERROR(IF(VLOOKUP(A2652,[17]PRIORIZADOS!$A:$S,19,FALSE)="","",VLOOKUP(A2652,[17]PRIORIZADOS!$A:$S,19,FALSE)),"")</f>
        <v>Actualizar el manual de convivencia, con los mecanismos de detección temprana y denuncia de todas aquellas conductas que atenten contra la convivencia escolar y los derechos humanos, sexuales y reproductivos.</v>
      </c>
      <c r="T2652" s="70" t="str">
        <f>IFERROR(IF(VLOOKUP(A2652,[17]PRIORIZADOS!$A:$T,20,FALSE)="","",VLOOKUP(A2652,[17]PRIORIZADOS!$A:$T,20,FALSE)),"")</f>
        <v>Si</v>
      </c>
      <c r="U2652" s="11" t="str">
        <f>IFERROR(IF(VLOOKUP(A2652,[17]PRIORIZADOS!$A:$U,21,FALSE)="","",VLOOKUP(A2652,[17]PRIORIZADOS!$A:$U,21,FALSE)),"")</f>
        <v>Revisar el Manual de conviviencia para evidenciar la incorporación de los ítems solicitados en enero de 2026.</v>
      </c>
    </row>
    <row r="2653" spans="1:21" s="1" customFormat="1" ht="130.5">
      <c r="A2653" s="69">
        <f>IF([17]PRIORIZADOS!A101="","",[17]PRIORIZADOS!A101)</f>
        <v>2637</v>
      </c>
      <c r="B2653" s="70">
        <v>11</v>
      </c>
      <c r="C2653" s="11" t="str">
        <f>IFERROR(IF(VLOOKUP(A2653,[17]PRIORIZADOS!$A:$C,3,FALSE)="","",VLOOKUP(A2653,[17]PRIORIZADOS!$A:$C,3,FALSE)),"")</f>
        <v>USAQUÉN</v>
      </c>
      <c r="D2653" s="11" t="str">
        <f>IFERROR(IF(VLOOKUP(A2653,[17]PRIORIZADOS!$A:$D,4,FALSE)="","",VLOOKUP(A2653,[17]PRIORIZADOS!$A:$D,4,FALSE)),"")</f>
        <v>OFICIAL.</v>
      </c>
      <c r="E2653" s="11" t="str">
        <f>IFERROR(IF(VLOOKUP(A2653,[17]PRIORIZADOS!$A:$E,5,FALSE)="","",VLOOKUP(A2653,[17]PRIORIZADOS!$A:$E,5,FALSE)),"")</f>
        <v>EPBM</v>
      </c>
      <c r="F2653" s="11" t="str">
        <f>IFERROR(IF(VLOOKUP(A2653,[17]PRIORIZADOS!$A:$F,6,FALSE)="","",VLOOKUP(A2653,[17]PRIORIZADOS!$A:$F,6,FALSE)),"")</f>
        <v>COLEGIO_GENERAL_SANTANDER_IED</v>
      </c>
      <c r="G2653" s="11" t="str">
        <f>IFERROR(IF(VLOOKUP(A2653,[17]PRIORIZADOS!$A:$G,7,FALSE)="","",VLOOKUP(A2653,[17]PRIORIZADOS!$A:$G,7,FALSE)),"")</f>
        <v>GENERAL SANTANDER</v>
      </c>
      <c r="H2653" s="11" t="str">
        <f>IFERROR(IF(VLOOKUP(A2653,[17]PRIORIZADOS!$A:$H,8,FALSE)="","",VLOOKUP(A2653,[17]PRIORIZADOS!$A:$H,8,FALSE)),"")</f>
        <v>Autoevaluación Institucional y Pruebas SABER 11</v>
      </c>
      <c r="I2653" s="11" t="str">
        <f>IFERROR(IF(VLOOKUP(A2653,[17]PRIORIZADOS!$A:$I,9,FALSE)="","",VLOOKUP(A2653,[17]PRIORIZADOS!$A:$I,9,FALSE)),"")</f>
        <v>EVALUACIÓN_CON_FINES_DE_MEJORAMIENTO.</v>
      </c>
      <c r="J2653" s="11" t="str">
        <f>IFERROR(IF(VLOOKUP(A2653,[17]PRIORIZADOS!$A:$J,10,FALSE)="","",VLOOKUP(A2653,[17]PRIORIZADOS!$A:$J,10,FALSE)),"")</f>
        <v>Revisar la actualización, socialización e implementación del Sistema Institucional de Evaluación de Estudiantes - SIEE, en articulación con la actualización del PEI y la normatividad vigente.</v>
      </c>
      <c r="K2653" s="11" t="str">
        <f>IFERROR(IF(VLOOKUP(A2653,[17]PRIORIZADOS!$A:$K,11,FALSE)="","",VLOOKUP(A2653,[17]PRIORIZADOS!$A:$K,11,FALSE)),"")</f>
        <v>MARTHA CECILIA MELGAREJO PINTO
MARIA TERESA GAVIRIA LOZANO
GILMA ESTHER ALBARRACÍN BALLESTEROS
MARTHA LUCIA OLAYA VARGAS
JENNIFER CATALINA TORRES PIRA</v>
      </c>
      <c r="L2653" s="11" t="str">
        <f>IFERROR(IF(VLOOKUP(A2653,[17]PRIORIZADOS!$A:$L,12,FALSE)="","",VLOOKUP(A2653,[17]PRIORIZADOS!$A:$L,12,FALSE)),"")</f>
        <v>MARTHA CECILIA MELGAREJO PINTO
MARIA TERESA GAVIRIA LOZANO
GILMA ESTHER ALBARRACÍN BALLESTEROS
MARTHA LUCIA OLAYA VARGAS
JENNIFER CATALINA TORRES PIRA</v>
      </c>
      <c r="M2653" s="71">
        <f>IFERROR(IF(VLOOKUP(A2653,[17]PRIORIZADOS!$A:$M,13,FALSE)="","",VLOOKUP(A2653,[17]PRIORIZADOS!$A:$M,13,FALSE)),"")</f>
        <v>45751</v>
      </c>
      <c r="N2653" s="71">
        <f>IFERROR(IF(VLOOKUP(A2653,[17]PRIORIZADOS!$A:$N,14,FALSE)="","",VLOOKUP(A2653,[17]PRIORIZADOS!$A:$N,14,FALSE)),"")</f>
        <v>45751</v>
      </c>
      <c r="O2653" s="71">
        <f>IFERROR(IF(VLOOKUP(A2653,[17]PRIORIZADOS!$A:$O,15,FALSE)="","",VLOOKUP(A2653,[17]PRIORIZADOS!$A:$O,15,FALSE)),"")</f>
        <v>45751</v>
      </c>
      <c r="P2653" s="11" t="str">
        <f>IFERROR(IF(VLOOKUP(A2653,[17]PRIORIZADOS!$A:$P,16,FALSE)="","",VLOOKUP(A2653,[17]PRIORIZADOS!$A:$P,16,FALSE)),"")</f>
        <v>Visitas de evaluación con fines de mejoramiento</v>
      </c>
      <c r="Q2653" s="107" t="s">
        <v>514</v>
      </c>
      <c r="R2653" s="11" t="str">
        <f>IFERROR(IF(VLOOKUP(A2653,[17]PRIORIZADOS!$A:$R,18,FALSE)="","",VLOOKUP(A2653,[17]PRIORIZADOS!$A:$R,18,FALSE)),"")</f>
        <v xml:space="preserve">El SIEE esta actualizado y cuentan con la plataforma ZIGMA institucional, para el reporte del proceso académico de los estudiantes y se evidencian planes de mejora para los estudiantes realizado por los docenes y socializado a los padres de familia.
</v>
      </c>
      <c r="S2653" s="11" t="str">
        <f>IFERROR(IF(VLOOKUP(A2653,[17]PRIORIZADOS!$A:$S,19,FALSE)="","",VLOOKUP(A2653,[17]PRIORIZADOS!$A:$S,19,FALSE)),"")</f>
        <v>Se debe continuar con el seguimiento permanente a la evaluación de los estudiantes.</v>
      </c>
      <c r="T2653" s="70" t="str">
        <f>IFERROR(IF(VLOOKUP(A2653,[17]PRIORIZADOS!$A:$T,20,FALSE)="","",VLOOKUP(A2653,[17]PRIORIZADOS!$A:$T,20,FALSE)),"")</f>
        <v>No</v>
      </c>
      <c r="U2653" s="11" t="str">
        <f>IFERROR(IF(VLOOKUP(A2653,[17]PRIORIZADOS!$A:$U,21,FALSE)="","",VLOOKUP(A2653,[17]PRIORIZADOS!$A:$U,21,FALSE)),"")</f>
        <v>Se revisará en el momento que se llegue a presentar una solicitud frente a este tema.</v>
      </c>
    </row>
    <row r="2654" spans="1:21" s="1" customFormat="1" ht="142.5">
      <c r="A2654" s="69">
        <f>IF([17]PRIORIZADOS!A102="","",[17]PRIORIZADOS!A102)</f>
        <v>2638</v>
      </c>
      <c r="B2654" s="70">
        <v>11</v>
      </c>
      <c r="C2654" s="11" t="str">
        <f>IFERROR(IF(VLOOKUP(A2654,[17]PRIORIZADOS!$A:$C,3,FALSE)="","",VLOOKUP(A2654,[17]PRIORIZADOS!$A:$C,3,FALSE)),"")</f>
        <v>USAQUÉN</v>
      </c>
      <c r="D2654" s="11" t="str">
        <f>IFERROR(IF(VLOOKUP(A2654,[17]PRIORIZADOS!$A:$D,4,FALSE)="","",VLOOKUP(A2654,[17]PRIORIZADOS!$A:$D,4,FALSE)),"")</f>
        <v>OFICIAL.</v>
      </c>
      <c r="E2654" s="11" t="str">
        <f>IFERROR(IF(VLOOKUP(A2654,[17]PRIORIZADOS!$A:$E,5,FALSE)="","",VLOOKUP(A2654,[17]PRIORIZADOS!$A:$E,5,FALSE)),"")</f>
        <v>EPBM</v>
      </c>
      <c r="F2654" s="11" t="str">
        <f>IFERROR(IF(VLOOKUP(A2654,[17]PRIORIZADOS!$A:$F,6,FALSE)="","",VLOOKUP(A2654,[17]PRIORIZADOS!$A:$F,6,FALSE)),"")</f>
        <v>COLEGIO_GENERAL_SANTANDER_IED</v>
      </c>
      <c r="G2654" s="11" t="str">
        <f>IFERROR(IF(VLOOKUP(A2654,[17]PRIORIZADOS!$A:$G,7,FALSE)="","",VLOOKUP(A2654,[17]PRIORIZADOS!$A:$G,7,FALSE)),"")</f>
        <v>GENERAL SANTANDER</v>
      </c>
      <c r="H2654" s="11" t="str">
        <f>IFERROR(IF(VLOOKUP(A2654,[17]PRIORIZADOS!$A:$H,8,FALSE)="","",VLOOKUP(A2654,[17]PRIORIZADOS!$A:$H,8,FALSE)),"")</f>
        <v>Autoevaluación Institucional y Pruebas SABER 11</v>
      </c>
      <c r="I2654" s="11" t="str">
        <f>IFERROR(IF(VLOOKUP(A2654,[17]PRIORIZADOS!$A:$I,9,FALSE)="","",VLOOKUP(A2654,[17]PRIORIZADOS!$A:$I,9,FALSE)),"")</f>
        <v>EVALUACIÓN_CON_FINES_DE_MEJORAMIENTO.</v>
      </c>
      <c r="J2654" s="11" t="str">
        <f>IFERROR(IF(VLOOKUP(A2654,[17]PRIORIZADOS!$A:$J,10,FALSE)="","",VLOOKUP(A2654,[17]PRIORIZADOS!$A:$J,10,FALSE)),"")</f>
        <v>Revisar el calendario escolar, jornada escolar, la intensidad horaria mínima anual en cada nivel y las modificaciones que se realicen al mismo, de acuerdo con lo previsto en la normatividad vigente.</v>
      </c>
      <c r="K2654" s="11" t="str">
        <f>IFERROR(IF(VLOOKUP(A2654,[17]PRIORIZADOS!$A:$K,11,FALSE)="","",VLOOKUP(A2654,[17]PRIORIZADOS!$A:$K,11,FALSE)),"")</f>
        <v>MARTHA CECILIA MELGAREJO PINTO
MARIA TERESA GAVIRIA LOZANO
GILMA ESTHER ALBARRACÍN BALLESTEROS
MARTHA LUCIA OLAYA VARGAS
JENNIFER CATALINA TORRES PIRA</v>
      </c>
      <c r="L2654" s="11" t="str">
        <f>IFERROR(IF(VLOOKUP(A2654,[17]PRIORIZADOS!$A:$L,12,FALSE)="","",VLOOKUP(A2654,[17]PRIORIZADOS!$A:$L,12,FALSE)),"")</f>
        <v>MARTHA CECILIA MELGAREJO PINTO
MARIA TERESA GAVIRIA LOZANO
GILMA ESTHER ALBARRACÍN BALLESTEROS
MARTHA LUCIA OLAYA VARGAS
JENNIFER CATALINA TORRES PIRA</v>
      </c>
      <c r="M2654" s="71">
        <f>IFERROR(IF(VLOOKUP(A2654,[17]PRIORIZADOS!$A:$M,13,FALSE)="","",VLOOKUP(A2654,[17]PRIORIZADOS!$A:$M,13,FALSE)),"")</f>
        <v>45751</v>
      </c>
      <c r="N2654" s="71">
        <f>IFERROR(IF(VLOOKUP(A2654,[17]PRIORIZADOS!$A:$N,14,FALSE)="","",VLOOKUP(A2654,[17]PRIORIZADOS!$A:$N,14,FALSE)),"")</f>
        <v>45751</v>
      </c>
      <c r="O2654" s="71">
        <f>IFERROR(IF(VLOOKUP(A2654,[17]PRIORIZADOS!$A:$O,15,FALSE)="","",VLOOKUP(A2654,[17]PRIORIZADOS!$A:$O,15,FALSE)),"")</f>
        <v>45751</v>
      </c>
      <c r="P2654" s="11" t="str">
        <f>IFERROR(IF(VLOOKUP(A2654,[17]PRIORIZADOS!$A:$P,16,FALSE)="","",VLOOKUP(A2654,[17]PRIORIZADOS!$A:$P,16,FALSE)),"")</f>
        <v>Visitas de evaluación con fines de mejoramiento</v>
      </c>
      <c r="Q2654" s="107" t="s">
        <v>514</v>
      </c>
      <c r="R2654" s="11" t="str">
        <f>IFERROR(IF(VLOOKUP(A2654,[17]PRIORIZADOS!$A:$R,18,FALSE)="","",VLOOKUP(A2654,[17]PRIORIZADOS!$A:$R,18,FALSE)),"")</f>
        <v>Cuenta con la Resolución Rectoral No 01 de 2025, donde se define la Intensidad horaria semanal año 2025 para todos los grados.
Informan que por contingencia y transporte escolar se desarrollan cinco unidades de tiempo académico de 40 minutos para primaria.
En el bachillerato se desarrollan 6 unidades de tiempo de 50 minutos</v>
      </c>
      <c r="S2654" s="11" t="str">
        <f>IFERROR(IF(VLOOKUP(A2654,[17]PRIORIZADOS!$A:$S,19,FALSE)="","",VLOOKUP(A2654,[17]PRIORIZADOS!$A:$S,19,FALSE)),"")</f>
        <v>Continuar con el calendario escolar definido</v>
      </c>
      <c r="T2654" s="70" t="str">
        <f>IFERROR(IF(VLOOKUP(A2654,[17]PRIORIZADOS!$A:$T,20,FALSE)="","",VLOOKUP(A2654,[17]PRIORIZADOS!$A:$T,20,FALSE)),"")</f>
        <v>No</v>
      </c>
      <c r="U2654" s="11" t="str">
        <f>IFERROR(IF(VLOOKUP(A2654,[17]PRIORIZADOS!$A:$U,21,FALSE)="","",VLOOKUP(A2654,[17]PRIORIZADOS!$A:$U,21,FALSE)),"")</f>
        <v>Se revisará en caso de presentarse aguna relcamación al respecto</v>
      </c>
    </row>
    <row r="2655" spans="1:21" s="1" customFormat="1" ht="130.5">
      <c r="A2655" s="69">
        <f>IF([17]PRIORIZADOS!A103="","",[17]PRIORIZADOS!A103)</f>
        <v>2639</v>
      </c>
      <c r="B2655" s="70">
        <v>11</v>
      </c>
      <c r="C2655" s="11" t="str">
        <f>IFERROR(IF(VLOOKUP(A2655,[17]PRIORIZADOS!$A:$C,3,FALSE)="","",VLOOKUP(A2655,[17]PRIORIZADOS!$A:$C,3,FALSE)),"")</f>
        <v>USAQUÉN</v>
      </c>
      <c r="D2655" s="11" t="str">
        <f>IFERROR(IF(VLOOKUP(A2655,[17]PRIORIZADOS!$A:$D,4,FALSE)="","",VLOOKUP(A2655,[17]PRIORIZADOS!$A:$D,4,FALSE)),"")</f>
        <v>OFICIAL.</v>
      </c>
      <c r="E2655" s="11" t="str">
        <f>IFERROR(IF(VLOOKUP(A2655,[17]PRIORIZADOS!$A:$E,5,FALSE)="","",VLOOKUP(A2655,[17]PRIORIZADOS!$A:$E,5,FALSE)),"")</f>
        <v>EPBM</v>
      </c>
      <c r="F2655" s="11" t="str">
        <f>IFERROR(IF(VLOOKUP(A2655,[17]PRIORIZADOS!$A:$F,6,FALSE)="","",VLOOKUP(A2655,[17]PRIORIZADOS!$A:$F,6,FALSE)),"")</f>
        <v>COLEGIO_GENERAL_SANTANDER_IED</v>
      </c>
      <c r="G2655" s="11" t="str">
        <f>IFERROR(IF(VLOOKUP(A2655,[17]PRIORIZADOS!$A:$G,7,FALSE)="","",VLOOKUP(A2655,[17]PRIORIZADOS!$A:$G,7,FALSE)),"")</f>
        <v>GENERAL SANTANDER</v>
      </c>
      <c r="H2655" s="11" t="str">
        <f>IFERROR(IF(VLOOKUP(A2655,[17]PRIORIZADOS!$A:$H,8,FALSE)="","",VLOOKUP(A2655,[17]PRIORIZADOS!$A:$H,8,FALSE)),"")</f>
        <v>Autoevaluación Institucional y Pruebas SABER 11</v>
      </c>
      <c r="I2655" s="11" t="str">
        <f>IFERROR(IF(VLOOKUP(A2655,[17]PRIORIZADOS!$A:$I,9,FALSE)="","",VLOOKUP(A2655,[17]PRIORIZADOS!$A:$I,9,FALSE)),"")</f>
        <v>EVALUACIÓN_CON_FINES_DE_MEJORAMIENTO.</v>
      </c>
      <c r="J2655" s="11" t="str">
        <f>IFERROR(IF(VLOOKUP(A2655,[17]PRIORIZADOS!$A:$J,10,FALSE)="","",VLOOKUP(A2655,[17]PRIORIZADOS!$A:$J,10,FALSE)),"")</f>
        <v>Verificar el funcionamiento del Gobierno Escolar e instancias de participación con base en la información sobre conformación reportada por la institución educativa.</v>
      </c>
      <c r="K2655" s="11" t="str">
        <f>IFERROR(IF(VLOOKUP(A2655,[17]PRIORIZADOS!$A:$K,11,FALSE)="","",VLOOKUP(A2655,[17]PRIORIZADOS!$A:$K,11,FALSE)),"")</f>
        <v>MARTHA CECILIA MELGAREJO PINTO
MARIA TERESA GAVIRIA LOZANO
GILMA ESTHER ALBARRACÍN BALLESTEROS
MARTHA LUCIA OLAYA VARGAS
JENNIFER CATALINA TORRES PIRA</v>
      </c>
      <c r="L2655" s="11" t="str">
        <f>IFERROR(IF(VLOOKUP(A2655,[17]PRIORIZADOS!$A:$L,12,FALSE)="","",VLOOKUP(A2655,[17]PRIORIZADOS!$A:$L,12,FALSE)),"")</f>
        <v>MARTHA CECILIA MELGAREJO PINTO
MARIA TERESA GAVIRIA LOZANO
GILMA ESTHER ALBARRACÍN BALLESTEROS
MARTHA LUCIA OLAYA VARGAS
JENNIFER CATALINA TORRES PIRA</v>
      </c>
      <c r="M2655" s="71">
        <f>IFERROR(IF(VLOOKUP(A2655,[17]PRIORIZADOS!$A:$M,13,FALSE)="","",VLOOKUP(A2655,[17]PRIORIZADOS!$A:$M,13,FALSE)),"")</f>
        <v>45751</v>
      </c>
      <c r="N2655" s="71">
        <f>IFERROR(IF(VLOOKUP(A2655,[17]PRIORIZADOS!$A:$N,14,FALSE)="","",VLOOKUP(A2655,[17]PRIORIZADOS!$A:$N,14,FALSE)),"")</f>
        <v>45751</v>
      </c>
      <c r="O2655" s="71">
        <f>IFERROR(IF(VLOOKUP(A2655,[17]PRIORIZADOS!$A:$O,15,FALSE)="","",VLOOKUP(A2655,[17]PRIORIZADOS!$A:$O,15,FALSE)),"")</f>
        <v>45751</v>
      </c>
      <c r="P2655" s="11" t="str">
        <f>IFERROR(IF(VLOOKUP(A2655,[17]PRIORIZADOS!$A:$P,16,FALSE)="","",VLOOKUP(A2655,[17]PRIORIZADOS!$A:$P,16,FALSE)),"")</f>
        <v>Visitas de evaluación con fines de mejoramiento</v>
      </c>
      <c r="Q2655" s="107" t="s">
        <v>514</v>
      </c>
      <c r="R2655" s="11" t="str">
        <f>IFERROR(IF(VLOOKUP(A2655,[17]PRIORIZADOS!$A:$R,18,FALSE)="","",VLOOKUP(A2655,[17]PRIORIZADOS!$A:$R,18,FALSE)),"")</f>
        <v>Se evidencia la conformación del Consejo Directivo, Consejo Académico, consejo estudiantil, consejo de padres de familia, asopadres, la escuela para padres de familia.
La insitución realiza las reuniones de los consejos cada vez que se requiere. No obstante la institución realiza consejo directivo cada mes.</v>
      </c>
      <c r="S2655" s="11" t="str">
        <f>IFERROR(IF(VLOOKUP(A2655,[17]PRIORIZADOS!$A:$S,19,FALSE)="","",VLOOKUP(A2655,[17]PRIORIZADOS!$A:$S,19,FALSE)),"")</f>
        <v>Se debe continuar con la conformación de las instancias de partidipación y de Gobierno escolar.</v>
      </c>
      <c r="T2655" s="70" t="str">
        <f>IFERROR(IF(VLOOKUP(A2655,[17]PRIORIZADOS!$A:$T,20,FALSE)="","",VLOOKUP(A2655,[17]PRIORIZADOS!$A:$T,20,FALSE)),"")</f>
        <v>No</v>
      </c>
      <c r="U2655" s="11" t="str">
        <f>IFERROR(IF(VLOOKUP(A2655,[17]PRIORIZADOS!$A:$U,21,FALSE)="","",VLOOKUP(A2655,[17]PRIORIZADOS!$A:$U,21,FALSE)),"")</f>
        <v>Se hará verificación en caso de presentarse queja relacionada con Gobierno escolar</v>
      </c>
    </row>
    <row r="2656" spans="1:21" s="1" customFormat="1" ht="130.5">
      <c r="A2656" s="69">
        <f>IF([17]PRIORIZADOS!A104="","",[17]PRIORIZADOS!A104)</f>
        <v>2640</v>
      </c>
      <c r="B2656" s="70">
        <v>11</v>
      </c>
      <c r="C2656" s="11" t="str">
        <f>IFERROR(IF(VLOOKUP(A2656,[17]PRIORIZADOS!$A:$C,3,FALSE)="","",VLOOKUP(A2656,[17]PRIORIZADOS!$A:$C,3,FALSE)),"")</f>
        <v>USAQUÉN</v>
      </c>
      <c r="D2656" s="11" t="str">
        <f>IFERROR(IF(VLOOKUP(A2656,[17]PRIORIZADOS!$A:$D,4,FALSE)="","",VLOOKUP(A2656,[17]PRIORIZADOS!$A:$D,4,FALSE)),"")</f>
        <v>OFICIAL.</v>
      </c>
      <c r="E2656" s="11" t="str">
        <f>IFERROR(IF(VLOOKUP(A2656,[17]PRIORIZADOS!$A:$E,5,FALSE)="","",VLOOKUP(A2656,[17]PRIORIZADOS!$A:$E,5,FALSE)),"")</f>
        <v>EPBM</v>
      </c>
      <c r="F2656" s="11" t="str">
        <f>IFERROR(IF(VLOOKUP(A2656,[17]PRIORIZADOS!$A:$F,6,FALSE)="","",VLOOKUP(A2656,[17]PRIORIZADOS!$A:$F,6,FALSE)),"")</f>
        <v>COLEGIO_GENERAL_SANTANDER_IED</v>
      </c>
      <c r="G2656" s="11" t="str">
        <f>IFERROR(IF(VLOOKUP(A2656,[17]PRIORIZADOS!$A:$G,7,FALSE)="","",VLOOKUP(A2656,[17]PRIORIZADOS!$A:$G,7,FALSE)),"")</f>
        <v>GENERAL SANTANDER</v>
      </c>
      <c r="H2656" s="11" t="str">
        <f>IFERROR(IF(VLOOKUP(A2656,[17]PRIORIZADOS!$A:$H,8,FALSE)="","",VLOOKUP(A2656,[17]PRIORIZADOS!$A:$H,8,FALSE)),"")</f>
        <v>Autoevaluación Institucional y Pruebas SABER 11</v>
      </c>
      <c r="I2656" s="11" t="str">
        <f>IFERROR(IF(VLOOKUP(A2656,[17]PRIORIZADOS!$A:$I,9,FALSE)="","",VLOOKUP(A2656,[17]PRIORIZADOS!$A:$I,9,FALSE)),"")</f>
        <v>EVALUACIÓN_CON_FINES_DE_MEJORAMIENTO.</v>
      </c>
      <c r="J2656" s="11" t="str">
        <f>IFERROR(IF(VLOOKUP(A2656,[17]PRIORIZADOS!$A:$J,10,FALSE)="","",VLOOKUP(A2656,[17]PRIORIZADOS!$A:$J,10,FALSE)),"")</f>
        <v>Verificar las condiciones en cuanto a: la estructura administrativa, condiciones de la planta física y medios educativos adecuados.</v>
      </c>
      <c r="K2656" s="11" t="str">
        <f>IFERROR(IF(VLOOKUP(A2656,[17]PRIORIZADOS!$A:$K,11,FALSE)="","",VLOOKUP(A2656,[17]PRIORIZADOS!$A:$K,11,FALSE)),"")</f>
        <v>MARTHA CECILIA MELGAREJO PINTO
MARIA TERESA GAVIRIA LOZANO
GILMA ESTHER ALBARRACÍN BALLESTEROS
MARTHA LUCIA OLAYA VARGAS
JENNIFER CATALINA TORRES PIRA</v>
      </c>
      <c r="L2656" s="11" t="str">
        <f>IFERROR(IF(VLOOKUP(A2656,[17]PRIORIZADOS!$A:$L,12,FALSE)="","",VLOOKUP(A2656,[17]PRIORIZADOS!$A:$L,12,FALSE)),"")</f>
        <v>MARTHA CECILIA MELGAREJO PINTO
MARIA TERESA GAVIRIA LOZANO
GILMA ESTHER ALBARRACÍN BALLESTEROS
MARTHA LUCIA OLAYA VARGAS
JENNIFER CATALINA TORRES PIRA</v>
      </c>
      <c r="M2656" s="71">
        <f>IFERROR(IF(VLOOKUP(A2656,[17]PRIORIZADOS!$A:$M,13,FALSE)="","",VLOOKUP(A2656,[17]PRIORIZADOS!$A:$M,13,FALSE)),"")</f>
        <v>45751</v>
      </c>
      <c r="N2656" s="71">
        <f>IFERROR(IF(VLOOKUP(A2656,[17]PRIORIZADOS!$A:$N,14,FALSE)="","",VLOOKUP(A2656,[17]PRIORIZADOS!$A:$N,14,FALSE)),"")</f>
        <v>45751</v>
      </c>
      <c r="O2656" s="71">
        <f>IFERROR(IF(VLOOKUP(A2656,[17]PRIORIZADOS!$A:$O,15,FALSE)="","",VLOOKUP(A2656,[17]PRIORIZADOS!$A:$O,15,FALSE)),"")</f>
        <v>45751</v>
      </c>
      <c r="P2656" s="11" t="str">
        <f>IFERROR(IF(VLOOKUP(A2656,[17]PRIORIZADOS!$A:$P,16,FALSE)="","",VLOOKUP(A2656,[17]PRIORIZADOS!$A:$P,16,FALSE)),"")</f>
        <v>Visitas de evaluación con fines de mejoramiento</v>
      </c>
      <c r="Q2656" s="107" t="s">
        <v>514</v>
      </c>
      <c r="R2656" s="11" t="str">
        <f>IFERROR(IF(VLOOKUP(A2656,[17]PRIORIZADOS!$A:$R,18,FALSE)="","",VLOOKUP(A2656,[17]PRIORIZADOS!$A:$R,18,FALSE)),"")</f>
        <v xml:space="preserve">La institución educativa esta en arriendo, la Dirección de Conservación y construcciones de  espacios escolares de  la SED, la adaptó a las necesidades y las condiciones requeridas. 
No cuenta con rampas de acceso, ni baños adaptados para personas con discapacidad.
</v>
      </c>
      <c r="S2656" s="11" t="str">
        <f>IFERROR(IF(VLOOKUP(A2656,[17]PRIORIZADOS!$A:$S,19,FALSE)="","",VLOOKUP(A2656,[17]PRIORIZADOS!$A:$S,19,FALSE)),"")</f>
        <v>La institución se adaptó a las nuevas condiciones de la sede transitoria.</v>
      </c>
      <c r="T2656" s="70" t="str">
        <f>IFERROR(IF(VLOOKUP(A2656,[17]PRIORIZADOS!$A:$T,20,FALSE)="","",VLOOKUP(A2656,[17]PRIORIZADOS!$A:$T,20,FALSE)),"")</f>
        <v>No</v>
      </c>
      <c r="U2656" s="11" t="str">
        <f>IFERROR(IF(VLOOKUP(A2656,[17]PRIORIZADOS!$A:$U,21,FALSE)="","",VLOOKUP(A2656,[17]PRIORIZADOS!$A:$U,21,FALSE)),"")</f>
        <v>Validar los requerimientos que alleguen, teniendo en cuenta que es una sede temporal.</v>
      </c>
    </row>
    <row r="2657" spans="1:21" s="1" customFormat="1" ht="130.5">
      <c r="A2657" s="69">
        <f>IF([17]PRIORIZADOS!A105="","",[17]PRIORIZADOS!A105)</f>
        <v>2641</v>
      </c>
      <c r="B2657" s="70">
        <v>12</v>
      </c>
      <c r="C2657" s="11" t="str">
        <f>IFERROR(IF(VLOOKUP(A2657,[17]PRIORIZADOS!$A:$C,3,FALSE)="","",VLOOKUP(A2657,[17]PRIORIZADOS!$A:$C,3,FALSE)),"")</f>
        <v>USAQUÉN</v>
      </c>
      <c r="D2657" s="11" t="str">
        <f>IFERROR(IF(VLOOKUP(A2657,[17]PRIORIZADOS!$A:$D,4,FALSE)="","",VLOOKUP(A2657,[17]PRIORIZADOS!$A:$D,4,FALSE)),"")</f>
        <v>OFICIAL.</v>
      </c>
      <c r="E2657" s="11" t="str">
        <f>IFERROR(IF(VLOOKUP(A2657,[17]PRIORIZADOS!$A:$E,5,FALSE)="","",VLOOKUP(A2657,[17]PRIORIZADOS!$A:$E,5,FALSE)),"")</f>
        <v>EPBM</v>
      </c>
      <c r="F2657" s="11" t="str">
        <f>IFERROR(IF(VLOOKUP(A2657,[17]PRIORIZADOS!$A:$F,6,FALSE)="","",VLOOKUP(A2657,[17]PRIORIZADOS!$A:$F,6,FALSE)),"")</f>
        <v>COLEGIO_LA_ESTRELLITA_IED</v>
      </c>
      <c r="G2657" s="11" t="str">
        <f>IFERROR(IF(VLOOKUP(A2657,[17]PRIORIZADOS!$A:$G,7,FALSE)="","",VLOOKUP(A2657,[17]PRIORIZADOS!$A:$G,7,FALSE)),"")</f>
        <v>COLEGIO LA ESTRELLITA (IED) - SEDE PRINCIPAL</v>
      </c>
      <c r="H2657" s="11" t="str">
        <f>IFERROR(IF(VLOOKUP(A2657,[17]PRIORIZADOS!$A:$H,8,FALSE)="","",VLOOKUP(A2657,[17]PRIORIZADOS!$A:$H,8,FALSE)),"")</f>
        <v>Autoevaluación Institucional y Pruebas SABER 11</v>
      </c>
      <c r="I2657" s="11" t="str">
        <f>IFERROR(IF(VLOOKUP(A2657,[17]PRIORIZADOS!$A:$I,9,FALSE)="","",VLOOKUP(A2657,[17]PRIORIZADOS!$A:$I,9,FALSE)),"")</f>
        <v>SEGUIMIENTO_Y_SUPERVISIÓN.</v>
      </c>
      <c r="J2657" s="11" t="str">
        <f>IFERROR(IF(VLOOKUP(A2657,[17]PRIORIZADOS!$A:$J,10,FALSE)="","",VLOOKUP(A2657,[17]PRIORIZADOS!$A:$J,10,FALSE)),"")</f>
        <v>Proponer estrategias en la formulación, verificar su elaboración y realizar seguimiento semestral al desarrollo de  las acciones establecidas en los planes de mejoramiento por pruebas SABER 11 de los establecimientos de educación formal.</v>
      </c>
      <c r="K2657" s="11" t="str">
        <f>IFERROR(IF(VLOOKUP(A2657,[17]PRIORIZADOS!$A:$K,11,FALSE)="","",VLOOKUP(A2657,[17]PRIORIZADOS!$A:$K,11,FALSE)),"")</f>
        <v>MARTHA CECILIA MELGAREJO PINTO
MARIA TERESA GAVIRIA LOZANO
GILMA ESTHER ALBARRACÍN BALLESTEROS
MARTHA LUCIA OLAYA VARGAS
JENNIFER CATALINA TORRES PIRA</v>
      </c>
      <c r="L2657" s="11" t="str">
        <f>IFERROR(IF(VLOOKUP(A2657,[17]PRIORIZADOS!$A:$L,12,FALSE)="","",VLOOKUP(A2657,[17]PRIORIZADOS!$A:$L,12,FALSE)),"")</f>
        <v>MARTHA CECILIA MELGAREJO PINTO
MARIA TERESA GAVIRIA LOZANO
GILMA ESTHER ALBARRACÍN BALLESTEROS
MARTHA LUCIA OLAYA VARGAS
JENNIFER CATALINA TORRES PIRA</v>
      </c>
      <c r="M2657" s="71">
        <f>IFERROR(IF(VLOOKUP(A2657,[17]PRIORIZADOS!$A:$M,13,FALSE)="","",VLOOKUP(A2657,[17]PRIORIZADOS!$A:$M,13,FALSE)),"")</f>
        <v>45744</v>
      </c>
      <c r="N2657" s="71">
        <f>IFERROR(IF(VLOOKUP(A2657,[17]PRIORIZADOS!$A:$N,14,FALSE)="","",VLOOKUP(A2657,[17]PRIORIZADOS!$A:$N,14,FALSE)),"")</f>
        <v>45744</v>
      </c>
      <c r="O2657" s="71">
        <f>IFERROR(IF(VLOOKUP(A2657,[17]PRIORIZADOS!$A:$O,15,FALSE)="","",VLOOKUP(A2657,[17]PRIORIZADOS!$A:$O,15,FALSE)),"")</f>
        <v>45744</v>
      </c>
      <c r="P2657" s="11" t="str">
        <f>IFERROR(IF(VLOOKUP(A2657,[17]PRIORIZADOS!$A:$P,16,FALSE)="","",VLOOKUP(A2657,[17]PRIORIZADOS!$A:$P,16,FALSE)),"")</f>
        <v>Visitas de evaluación con fines de seguimiento</v>
      </c>
      <c r="Q2657" s="157" t="s">
        <v>514</v>
      </c>
      <c r="R2657" s="11" t="str">
        <f>IFERROR(IF(VLOOKUP(A2657,[17]PRIORIZADOS!$A:$R,18,FALSE)="","",VLOOKUP(A2657,[17]PRIORIZADOS!$A:$R,18,FALSE)),"")</f>
        <v xml:space="preserve">Se evidenció que han hecho análisis de causas de las áreas de menor puntaje en las pruebas SABER, y  a partir de este insumo elaboraron estrategias de mejoramiento curricular que aplicarán a partir del segundo semestre de 2025.
</v>
      </c>
      <c r="S2657" s="11" t="str">
        <f>IFERROR(IF(VLOOKUP(A2657,[17]PRIORIZADOS!$A:$S,19,FALSE)="","",VLOOKUP(A2657,[17]PRIORIZADOS!$A:$S,19,FALSE)),"")</f>
        <v>Realizar el plan de mejora, donde se evidencie el ajuste de las mallas curriculares y el plan de estudios del grado 11, apartir de las estrategias de mejoramiento que realizaron. Entregar el 24 de abril</v>
      </c>
      <c r="T2657" s="70" t="str">
        <f>IFERROR(IF(VLOOKUP(A2657,[17]PRIORIZADOS!$A:$T,20,FALSE)="","",VLOOKUP(A2657,[17]PRIORIZADOS!$A:$T,20,FALSE)),"")</f>
        <v>Si</v>
      </c>
      <c r="U2657" s="11" t="str">
        <f>IFERROR(IF(VLOOKUP(A2657,[17]PRIORIZADOS!$A:$U,21,FALSE)="","",VLOOKUP(A2657,[17]PRIORIZADOS!$A:$U,21,FALSE)),"")</f>
        <v>Revisar el plan de mejoramiento en el mes de mayo, para evidenciar el ajuste al plan de estudios y las mallas curriculares.</v>
      </c>
    </row>
    <row r="2658" spans="1:21" s="1" customFormat="1" ht="154.5">
      <c r="A2658" s="69">
        <f>IF([17]PRIORIZADOS!A106="","",[17]PRIORIZADOS!A106)</f>
        <v>2642</v>
      </c>
      <c r="B2658" s="70">
        <v>12</v>
      </c>
      <c r="C2658" s="11" t="str">
        <f>IFERROR(IF(VLOOKUP(A2658,[17]PRIORIZADOS!$A:$C,3,FALSE)="","",VLOOKUP(A2658,[17]PRIORIZADOS!$A:$C,3,FALSE)),"")</f>
        <v>USAQUÉN</v>
      </c>
      <c r="D2658" s="11" t="str">
        <f>IFERROR(IF(VLOOKUP(A2658,[17]PRIORIZADOS!$A:$D,4,FALSE)="","",VLOOKUP(A2658,[17]PRIORIZADOS!$A:$D,4,FALSE)),"")</f>
        <v>OFICIAL.</v>
      </c>
      <c r="E2658" s="11" t="str">
        <f>IFERROR(IF(VLOOKUP(A2658,[17]PRIORIZADOS!$A:$E,5,FALSE)="","",VLOOKUP(A2658,[17]PRIORIZADOS!$A:$E,5,FALSE)),"")</f>
        <v>EPBM</v>
      </c>
      <c r="F2658" s="11" t="str">
        <f>IFERROR(IF(VLOOKUP(A2658,[17]PRIORIZADOS!$A:$F,6,FALSE)="","",VLOOKUP(A2658,[17]PRIORIZADOS!$A:$F,6,FALSE)),"")</f>
        <v>COLEGIO_LA_ESTRELLITA_IED</v>
      </c>
      <c r="G2658" s="11" t="str">
        <f>IFERROR(IF(VLOOKUP(A2658,[17]PRIORIZADOS!$A:$G,7,FALSE)="","",VLOOKUP(A2658,[17]PRIORIZADOS!$A:$G,7,FALSE)),"")</f>
        <v>COLEGIO LA ESTRELLITA (IED) - SEDE PRINCIPAL</v>
      </c>
      <c r="H2658" s="11" t="str">
        <f>IFERROR(IF(VLOOKUP(A2658,[17]PRIORIZADOS!$A:$H,8,FALSE)="","",VLOOKUP(A2658,[17]PRIORIZADOS!$A:$H,8,FALSE)),"")</f>
        <v>Autoevaluación Institucional y Pruebas SABER 11</v>
      </c>
      <c r="I2658" s="11" t="str">
        <f>IFERROR(IF(VLOOKUP(A2658,[17]PRIORIZADOS!$A:$I,9,FALSE)="","",VLOOKUP(A2658,[17]PRIORIZADOS!$A:$I,9,FALSE)),"")</f>
        <v>SEGUIMIENTO_Y_SUPERVISIÓN.</v>
      </c>
      <c r="J2658" s="11" t="str">
        <f>IFERROR(IF(VLOOKUP(A2658,[17]PRIORIZADOS!$A:$J,10,FALSE)="","",VLOOKUP(A2658,[17]PRIORIZADOS!$A:$J,10,FALSE)),"")</f>
        <v xml:space="preserve">Verificar la implementación por parte de los colegios, de acciones realizadas para la prevención y atención de las situaciones de convivencia en el entorno escolar, según lo establecido en la Directiva 01 de 2022 del MEN. </v>
      </c>
      <c r="K2658" s="11" t="str">
        <f>IFERROR(IF(VLOOKUP(A2658,[17]PRIORIZADOS!$A:$K,11,FALSE)="","",VLOOKUP(A2658,[17]PRIORIZADOS!$A:$K,11,FALSE)),"")</f>
        <v>MARTHA CECILIA MELGAREJO PINTO
MARIA TERESA GAVIRIA LOZANO
GILMA ESTHER ALBARRACÍN BALLESTEROS
MARTHA LUCIA OLAYA VARGAS
JENNIFER CATALINA TORRES PIRA</v>
      </c>
      <c r="L2658" s="11" t="str">
        <f>IFERROR(IF(VLOOKUP(A2658,[17]PRIORIZADOS!$A:$L,12,FALSE)="","",VLOOKUP(A2658,[17]PRIORIZADOS!$A:$L,12,FALSE)),"")</f>
        <v>MARTHA CECILIA MELGAREJO PINTO
MARIA TERESA GAVIRIA LOZANO
GILMA ESTHER ALBARRACÍN BALLESTEROS
MARTHA LUCIA OLAYA VARGAS
JENNIFER CATALINA TORRES PIRA</v>
      </c>
      <c r="M2658" s="71">
        <f>IFERROR(IF(VLOOKUP(A2658,[17]PRIORIZADOS!$A:$M,13,FALSE)="","",VLOOKUP(A2658,[17]PRIORIZADOS!$A:$M,13,FALSE)),"")</f>
        <v>45744</v>
      </c>
      <c r="N2658" s="71">
        <f>IFERROR(IF(VLOOKUP(A2658,[17]PRIORIZADOS!$A:$N,14,FALSE)="","",VLOOKUP(A2658,[17]PRIORIZADOS!$A:$N,14,FALSE)),"")</f>
        <v>45744</v>
      </c>
      <c r="O2658" s="71">
        <f>IFERROR(IF(VLOOKUP(A2658,[17]PRIORIZADOS!$A:$O,15,FALSE)="","",VLOOKUP(A2658,[17]PRIORIZADOS!$A:$O,15,FALSE)),"")</f>
        <v>45744</v>
      </c>
      <c r="P2658" s="11" t="str">
        <f>IFERROR(IF(VLOOKUP(A2658,[17]PRIORIZADOS!$A:$P,16,FALSE)="","",VLOOKUP(A2658,[17]PRIORIZADOS!$A:$P,16,FALSE)),"")</f>
        <v>Visitas de evaluación con fines de seguimiento</v>
      </c>
      <c r="Q2658" s="107" t="s">
        <v>515</v>
      </c>
      <c r="R2658" s="11" t="str">
        <f>IFERROR(IF(VLOOKUP(A2658,[17]PRIORIZADOS!$A:$R,18,FALSE)="","",VLOOKUP(A2658,[17]PRIORIZADOS!$A:$R,18,FALSE)),"")</f>
        <v>Se evidencia que esta definido el Comité de Convivencia y sus funciones de manera clara hace falta establecer el reglamento de éste. 
Se define la Ruta de atención integral para la atención de situaciones de convivencia y han realizado las capacitaciones a la comunidad educativa para su activación. 
Verifican cada 4 meses las inhabilidades por delitos sexuales, para el personal administrativo de la Institución.</v>
      </c>
      <c r="S2658" s="11" t="str">
        <f>IFERROR(IF(VLOOKUP(A2658,[17]PRIORIZADOS!$A:$S,19,FALSE)="","",VLOOKUP(A2658,[17]PRIORIZADOS!$A:$S,19,FALSE)),"")</f>
        <v xml:space="preserve">
Realizar el reglamento del Comité de Convivencia, y ajustar el manual de convivencia exclusivo para el colegio La estrellita e inclusión de los temas solicitados. 
Entregar las acciones dentro del plan el 24 de abril
</v>
      </c>
      <c r="T2658" s="70" t="str">
        <f>IFERROR(IF(VLOOKUP(A2658,[17]PRIORIZADOS!$A:$T,20,FALSE)="","",VLOOKUP(A2658,[17]PRIORIZADOS!$A:$T,20,FALSE)),"")</f>
        <v>Si</v>
      </c>
      <c r="U2658" s="11" t="str">
        <f>IFERROR(IF(VLOOKUP(A2658,[17]PRIORIZADOS!$A:$U,21,FALSE)="","",VLOOKUP(A2658,[17]PRIORIZADOS!$A:$U,21,FALSE)),"")</f>
        <v>Revisar el plan de mejoramiento en el mes de mayo.</v>
      </c>
    </row>
    <row r="2659" spans="1:21" s="1" customFormat="1" ht="130.5">
      <c r="A2659" s="69">
        <f>IF([17]PRIORIZADOS!A107="","",[17]PRIORIZADOS!A107)</f>
        <v>2643</v>
      </c>
      <c r="B2659" s="70">
        <v>12</v>
      </c>
      <c r="C2659" s="11" t="str">
        <f>IFERROR(IF(VLOOKUP(A2659,[17]PRIORIZADOS!$A:$C,3,FALSE)="","",VLOOKUP(A2659,[17]PRIORIZADOS!$A:$C,3,FALSE)),"")</f>
        <v>USAQUÉN</v>
      </c>
      <c r="D2659" s="11" t="str">
        <f>IFERROR(IF(VLOOKUP(A2659,[17]PRIORIZADOS!$A:$D,4,FALSE)="","",VLOOKUP(A2659,[17]PRIORIZADOS!$A:$D,4,FALSE)),"")</f>
        <v>OFICIAL.</v>
      </c>
      <c r="E2659" s="11" t="str">
        <f>IFERROR(IF(VLOOKUP(A2659,[17]PRIORIZADOS!$A:$E,5,FALSE)="","",VLOOKUP(A2659,[17]PRIORIZADOS!$A:$E,5,FALSE)),"")</f>
        <v>EPBM</v>
      </c>
      <c r="F2659" s="11" t="str">
        <f>IFERROR(IF(VLOOKUP(A2659,[17]PRIORIZADOS!$A:$F,6,FALSE)="","",VLOOKUP(A2659,[17]PRIORIZADOS!$A:$F,6,FALSE)),"")</f>
        <v>COLEGIO_LA_ESTRELLITA_IED</v>
      </c>
      <c r="G2659" s="11" t="str">
        <f>IFERROR(IF(VLOOKUP(A2659,[17]PRIORIZADOS!$A:$G,7,FALSE)="","",VLOOKUP(A2659,[17]PRIORIZADOS!$A:$G,7,FALSE)),"")</f>
        <v>COLEGIO LA ESTRELLITA (IED) - SEDE PRINCIPAL</v>
      </c>
      <c r="H2659" s="11" t="str">
        <f>IFERROR(IF(VLOOKUP(A2659,[17]PRIORIZADOS!$A:$H,8,FALSE)="","",VLOOKUP(A2659,[17]PRIORIZADOS!$A:$H,8,FALSE)),"")</f>
        <v>Autoevaluación Institucional y Pruebas SABER 11</v>
      </c>
      <c r="I2659" s="11" t="str">
        <f>IFERROR(IF(VLOOKUP(A2659,[17]PRIORIZADOS!$A:$I,9,FALSE)="","",VLOOKUP(A2659,[17]PRIORIZADOS!$A:$I,9,FALSE)),"")</f>
        <v>SEGUIMIENTO_Y_SUPERVISIÓN.</v>
      </c>
      <c r="J2659" s="11" t="str">
        <f>IFERROR(IF(VLOOKUP(A2659,[17]PRIORIZADOS!$A:$J,10,FALSE)="","",VLOOKUP(A2659,[17]PRIORIZADOS!$A:$J,10,FALSE)),"")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59" s="11" t="str">
        <f>IFERROR(IF(VLOOKUP(A2659,[17]PRIORIZADOS!$A:$K,11,FALSE)="","",VLOOKUP(A2659,[17]PRIORIZADOS!$A:$K,11,FALSE)),"")</f>
        <v>MARTHA CECILIA MELGAREJO PINTO
MARIA TERESA GAVIRIA LOZANO
GILMA ESTHER ALBARRACÍN BALLESTEROS
MARTHA LUCIA OLAYA VARGAS
JENNIFER CATALINA TORRES PIRA</v>
      </c>
      <c r="L2659" s="11" t="str">
        <f>IFERROR(IF(VLOOKUP(A2659,[17]PRIORIZADOS!$A:$L,12,FALSE)="","",VLOOKUP(A2659,[17]PRIORIZADOS!$A:$L,12,FALSE)),"")</f>
        <v>MARTHA CECILIA MELGAREJO PINTO
MARIA TERESA GAVIRIA LOZANO
GILMA ESTHER ALBARRACÍN BALLESTEROS
MARTHA LUCIA OLAYA VARGAS
JENNIFER CATALINA TORRES PIRA</v>
      </c>
      <c r="M2659" s="71">
        <f>IFERROR(IF(VLOOKUP(A2659,[17]PRIORIZADOS!$A:$M,13,FALSE)="","",VLOOKUP(A2659,[17]PRIORIZADOS!$A:$M,13,FALSE)),"")</f>
        <v>45744</v>
      </c>
      <c r="N2659" s="71">
        <f>IFERROR(IF(VLOOKUP(A2659,[17]PRIORIZADOS!$A:$N,14,FALSE)="","",VLOOKUP(A2659,[17]PRIORIZADOS!$A:$N,14,FALSE)),"")</f>
        <v>45744</v>
      </c>
      <c r="O2659" s="71">
        <f>IFERROR(IF(VLOOKUP(A2659,[17]PRIORIZADOS!$A:$O,15,FALSE)="","",VLOOKUP(A2659,[17]PRIORIZADOS!$A:$O,15,FALSE)),"")</f>
        <v>45744</v>
      </c>
      <c r="P2659" s="11" t="str">
        <f>IFERROR(IF(VLOOKUP(A2659,[17]PRIORIZADOS!$A:$P,16,FALSE)="","",VLOOKUP(A2659,[17]PRIORIZADOS!$A:$P,16,FALSE)),"")</f>
        <v>Visitas de evaluación con fines de seguimiento</v>
      </c>
      <c r="Q2659" s="107" t="s">
        <v>515</v>
      </c>
      <c r="R2659" s="11" t="str">
        <f>IFERROR(IF(VLOOKUP(A2659,[17]PRIORIZADOS!$A:$R,18,FALSE)="","",VLOOKUP(A2659,[17]PRIORIZADOS!$A:$R,18,FALSE)),"")</f>
        <v>Se encontró que existen los planes individuales de ajustes razonables a los 11 estudiantes con discapacidad y los 2 estudiantes con transtornos de aprendizaje.
Cada uno cuenta con una carpeta donde se evidencia su ejecución, seguimiento y actualización.</v>
      </c>
      <c r="S2659" s="11" t="str">
        <f>IFERROR(IF(VLOOKUP(A2659,[17]PRIORIZADOS!$A:$S,19,FALSE)="","",VLOOKUP(A2659,[17]PRIORIZADOS!$A:$S,19,FALSE)),"")</f>
        <v>Se debe continuar con esta actividad mediante el seguimiento a los ajustes razonables que se requieran.</v>
      </c>
      <c r="T2659" s="70" t="str">
        <f>IFERROR(IF(VLOOKUP(A2659,[17]PRIORIZADOS!$A:$T,20,FALSE)="","",VLOOKUP(A2659,[17]PRIORIZADOS!$A:$T,20,FALSE)),"")</f>
        <v>No</v>
      </c>
      <c r="U2659" s="11" t="str">
        <f>IFERROR(IF(VLOOKUP(A2659,[17]PRIORIZADOS!$A:$U,21,FALSE)="","",VLOOKUP(A2659,[17]PRIORIZADOS!$A:$U,21,FALSE)),"")</f>
        <v>Se hará verificación de los PIAR en caso de presentarse queja.</v>
      </c>
    </row>
    <row r="2660" spans="1:21" s="1" customFormat="1" ht="142.5">
      <c r="A2660" s="69">
        <f>IF([17]PRIORIZADOS!A108="","",[17]PRIORIZADOS!A108)</f>
        <v>2644</v>
      </c>
      <c r="B2660" s="70">
        <v>12</v>
      </c>
      <c r="C2660" s="11" t="str">
        <f>IFERROR(IF(VLOOKUP(A2660,[17]PRIORIZADOS!$A:$C,3,FALSE)="","",VLOOKUP(A2660,[17]PRIORIZADOS!$A:$C,3,FALSE)),"")</f>
        <v>USAQUÉN</v>
      </c>
      <c r="D2660" s="11" t="str">
        <f>IFERROR(IF(VLOOKUP(A2660,[17]PRIORIZADOS!$A:$D,4,FALSE)="","",VLOOKUP(A2660,[17]PRIORIZADOS!$A:$D,4,FALSE)),"")</f>
        <v>OFICIAL.</v>
      </c>
      <c r="E2660" s="11" t="str">
        <f>IFERROR(IF(VLOOKUP(A2660,[17]PRIORIZADOS!$A:$E,5,FALSE)="","",VLOOKUP(A2660,[17]PRIORIZADOS!$A:$E,5,FALSE)),"")</f>
        <v>EPBM</v>
      </c>
      <c r="F2660" s="11" t="str">
        <f>IFERROR(IF(VLOOKUP(A2660,[17]PRIORIZADOS!$A:$F,6,FALSE)="","",VLOOKUP(A2660,[17]PRIORIZADOS!$A:$F,6,FALSE)),"")</f>
        <v>COLEGIO_LA_ESTRELLITA_IED</v>
      </c>
      <c r="G2660" s="11" t="str">
        <f>IFERROR(IF(VLOOKUP(A2660,[17]PRIORIZADOS!$A:$G,7,FALSE)="","",VLOOKUP(A2660,[17]PRIORIZADOS!$A:$G,7,FALSE)),"")</f>
        <v>COLEGIO LA ESTRELLITA (IED) - SEDE PRINCIPAL</v>
      </c>
      <c r="H2660" s="11" t="str">
        <f>IFERROR(IF(VLOOKUP(A2660,[17]PRIORIZADOS!$A:$H,8,FALSE)="","",VLOOKUP(A2660,[17]PRIORIZADOS!$A:$H,8,FALSE)),"")</f>
        <v>Autoevaluación Institucional y Pruebas SABER 11</v>
      </c>
      <c r="I2660" s="11" t="str">
        <f>IFERROR(IF(VLOOKUP(A2660,[17]PRIORIZADOS!$A:$I,9,FALSE)="","",VLOOKUP(A2660,[17]PRIORIZADOS!$A:$I,9,FALSE)),"")</f>
        <v>EVALUACIÓN_CON_FINES_DE_MEJORAMIENTO.</v>
      </c>
      <c r="J2660" s="11" t="str">
        <f>IFERROR(IF(VLOOKUP(A2660,[17]PRIORIZADOS!$A:$J,10,FALSE)="","",VLOOKUP(A2660,[17]PRIORIZADOS!$A:$J,10,FALSE)),"")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60" s="11" t="str">
        <f>IFERROR(IF(VLOOKUP(A2660,[17]PRIORIZADOS!$A:$K,11,FALSE)="","",VLOOKUP(A2660,[17]PRIORIZADOS!$A:$K,11,FALSE)),"")</f>
        <v>MARTHA CECILIA MELGAREJO PINTO
MARIA TERESA GAVIRIA LOZANO
GILMA ESTHER ALBARRACÍN BALLESTEROS
MARTHA LUCIA OLAYA VARGAS
JENNIFER CATALINA TORRES PIRA</v>
      </c>
      <c r="L2660" s="11" t="str">
        <f>IFERROR(IF(VLOOKUP(A2660,[17]PRIORIZADOS!$A:$L,12,FALSE)="","",VLOOKUP(A2660,[17]PRIORIZADOS!$A:$L,12,FALSE)),"")</f>
        <v>MARTHA CECILIA MELGAREJO PINTO
MARIA TERESA GAVIRIA LOZANO
GILMA ESTHER ALBARRACÍN BALLESTEROS
MARTHA LUCIA OLAYA VARGAS
JENNIFER CATALINA TORRES PIRA</v>
      </c>
      <c r="M2660" s="71">
        <f>IFERROR(IF(VLOOKUP(A2660,[17]PRIORIZADOS!$A:$M,13,FALSE)="","",VLOOKUP(A2660,[17]PRIORIZADOS!$A:$M,13,FALSE)),"")</f>
        <v>45744</v>
      </c>
      <c r="N2660" s="71">
        <f>IFERROR(IF(VLOOKUP(A2660,[17]PRIORIZADOS!$A:$N,14,FALSE)="","",VLOOKUP(A2660,[17]PRIORIZADOS!$A:$N,14,FALSE)),"")</f>
        <v>45744</v>
      </c>
      <c r="O2660" s="71">
        <f>IFERROR(IF(VLOOKUP(A2660,[17]PRIORIZADOS!$A:$O,15,FALSE)="","",VLOOKUP(A2660,[17]PRIORIZADOS!$A:$O,15,FALSE)),"")</f>
        <v>45744</v>
      </c>
      <c r="P2660" s="11" t="str">
        <f>IFERROR(IF(VLOOKUP(A2660,[17]PRIORIZADOS!$A:$P,16,FALSE)="","",VLOOKUP(A2660,[17]PRIORIZADOS!$A:$P,16,FALSE)),"")</f>
        <v>Visitas de evaluación con fines de mejoramiento</v>
      </c>
      <c r="Q2660" s="107" t="s">
        <v>515</v>
      </c>
      <c r="R2660" s="11" t="str">
        <f>IFERROR(IF(VLOOKUP(A2660,[17]PRIORIZADOS!$A:$R,18,FALSE)="","",VLOOKUP(A2660,[17]PRIORIZADOS!$A:$R,18,FALSE)),"")</f>
        <v xml:space="preserve">Se evidencia el manual de convivencia se socializó y aprobó, en el cual se señalan las fases  y mecanismos de participación para la actualización, socialización y aprobación del mismo, no obstante, el manual de convivencia esta definido para los 4 colegios que hacen parte de Consorcio Salesiano.
</v>
      </c>
      <c r="S2660" s="11" t="str">
        <f>IFERROR(IF(VLOOKUP(A2660,[17]PRIORIZADOS!$A:$S,19,FALSE)="","",VLOOKUP(A2660,[17]PRIORIZADOS!$A:$S,19,FALSE)),"")</f>
        <v xml:space="preserve">Actualizar el manual de convivencia conforme el PEI del colegio, donde incluirán  el reglamento del Comité de convivencia, Criterios de respeto, valoración y compromiso frente a la utilización y conservación de bienes personales y de uso colectivo; y demás componenetes establecidos en la Ley 1620 de 2013.
</v>
      </c>
      <c r="T2660" s="70" t="str">
        <f>IFERROR(IF(VLOOKUP(A2660,[17]PRIORIZADOS!$A:$T,20,FALSE)="","",VLOOKUP(A2660,[17]PRIORIZADOS!$A:$T,20,FALSE)),"")</f>
        <v>Si</v>
      </c>
      <c r="U2660" s="11" t="str">
        <f>IFERROR(IF(VLOOKUP(A2660,[17]PRIORIZADOS!$A:$U,21,FALSE)="","",VLOOKUP(A2660,[17]PRIORIZADOS!$A:$U,21,FALSE)),"")</f>
        <v xml:space="preserve">Revisar el plan de mejoramiento en el mes de mayo.
</v>
      </c>
    </row>
    <row r="2661" spans="1:21" s="1" customFormat="1" ht="130.5">
      <c r="A2661" s="69">
        <f>IF([17]PRIORIZADOS!A109="","",[17]PRIORIZADOS!A109)</f>
        <v>2645</v>
      </c>
      <c r="B2661" s="70">
        <v>12</v>
      </c>
      <c r="C2661" s="11" t="str">
        <f>IFERROR(IF(VLOOKUP(A2661,[17]PRIORIZADOS!$A:$C,3,FALSE)="","",VLOOKUP(A2661,[17]PRIORIZADOS!$A:$C,3,FALSE)),"")</f>
        <v>USAQUÉN</v>
      </c>
      <c r="D2661" s="11" t="str">
        <f>IFERROR(IF(VLOOKUP(A2661,[17]PRIORIZADOS!$A:$D,4,FALSE)="","",VLOOKUP(A2661,[17]PRIORIZADOS!$A:$D,4,FALSE)),"")</f>
        <v>OFICIAL.</v>
      </c>
      <c r="E2661" s="11" t="str">
        <f>IFERROR(IF(VLOOKUP(A2661,[17]PRIORIZADOS!$A:$E,5,FALSE)="","",VLOOKUP(A2661,[17]PRIORIZADOS!$A:$E,5,FALSE)),"")</f>
        <v>EPBM</v>
      </c>
      <c r="F2661" s="11" t="str">
        <f>IFERROR(IF(VLOOKUP(A2661,[17]PRIORIZADOS!$A:$F,6,FALSE)="","",VLOOKUP(A2661,[17]PRIORIZADOS!$A:$F,6,FALSE)),"")</f>
        <v>COLEGIO_LA_ESTRELLITA_IED</v>
      </c>
      <c r="G2661" s="11" t="str">
        <f>IFERROR(IF(VLOOKUP(A2661,[17]PRIORIZADOS!$A:$G,7,FALSE)="","",VLOOKUP(A2661,[17]PRIORIZADOS!$A:$G,7,FALSE)),"")</f>
        <v>COLEGIO LA ESTRELLITA (IED) - SEDE PRINCIPAL</v>
      </c>
      <c r="H2661" s="11" t="str">
        <f>IFERROR(IF(VLOOKUP(A2661,[17]PRIORIZADOS!$A:$H,8,FALSE)="","",VLOOKUP(A2661,[17]PRIORIZADOS!$A:$H,8,FALSE)),"")</f>
        <v>Autoevaluación Institucional y Pruebas SABER 11</v>
      </c>
      <c r="I2661" s="11" t="str">
        <f>IFERROR(IF(VLOOKUP(A2661,[17]PRIORIZADOS!$A:$I,9,FALSE)="","",VLOOKUP(A2661,[17]PRIORIZADOS!$A:$I,9,FALSE)),"")</f>
        <v>EVALUACIÓN_CON_FINES_DE_MEJORAMIENTO.</v>
      </c>
      <c r="J2661" s="11" t="str">
        <f>IFERROR(IF(VLOOKUP(A2661,[17]PRIORIZADOS!$A:$J,10,FALSE)="","",VLOOKUP(A2661,[17]PRIORIZADOS!$A:$J,10,FALSE)),"")</f>
        <v>Revisar la actualización, socialización e implementación del Sistema Institucional de Evaluación de Estudiantes - SIEE, en articulación con la actualización del PEI y la normatividad vigente.</v>
      </c>
      <c r="K2661" s="11" t="str">
        <f>IFERROR(IF(VLOOKUP(A2661,[17]PRIORIZADOS!$A:$K,11,FALSE)="","",VLOOKUP(A2661,[17]PRIORIZADOS!$A:$K,11,FALSE)),"")</f>
        <v>MARTHA CECILIA MELGAREJO PINTO
MARIA TERESA GAVIRIA LOZANO
GILMA ESTHER ALBARRACÍN BALLESTEROS
MARTHA LUCIA OLAYA VARGAS
JENNIFER CATALINA TORRES PIRA</v>
      </c>
      <c r="L2661" s="11" t="str">
        <f>IFERROR(IF(VLOOKUP(A2661,[17]PRIORIZADOS!$A:$L,12,FALSE)="","",VLOOKUP(A2661,[17]PRIORIZADOS!$A:$L,12,FALSE)),"")</f>
        <v>MARTHA CECILIA MELGAREJO PINTO
MARIA TERESA GAVIRIA LOZANO
GILMA ESTHER ALBARRACÍN BALLESTEROS
MARTHA LUCIA OLAYA VARGAS
JENNIFER CATALINA TORRES PIRA</v>
      </c>
      <c r="M2661" s="71">
        <f>IFERROR(IF(VLOOKUP(A2661,[17]PRIORIZADOS!$A:$M,13,FALSE)="","",VLOOKUP(A2661,[17]PRIORIZADOS!$A:$M,13,FALSE)),"")</f>
        <v>45744</v>
      </c>
      <c r="N2661" s="71">
        <f>IFERROR(IF(VLOOKUP(A2661,[17]PRIORIZADOS!$A:$N,14,FALSE)="","",VLOOKUP(A2661,[17]PRIORIZADOS!$A:$N,14,FALSE)),"")</f>
        <v>45744</v>
      </c>
      <c r="O2661" s="71">
        <f>IFERROR(IF(VLOOKUP(A2661,[17]PRIORIZADOS!$A:$O,15,FALSE)="","",VLOOKUP(A2661,[17]PRIORIZADOS!$A:$O,15,FALSE)),"")</f>
        <v>45744</v>
      </c>
      <c r="P2661" s="11" t="str">
        <f>IFERROR(IF(VLOOKUP(A2661,[17]PRIORIZADOS!$A:$P,16,FALSE)="","",VLOOKUP(A2661,[17]PRIORIZADOS!$A:$P,16,FALSE)),"")</f>
        <v>Visitas de evaluación con fines de mejoramiento</v>
      </c>
      <c r="Q2661" s="107" t="s">
        <v>515</v>
      </c>
      <c r="R2661" s="11" t="str">
        <f>IFERROR(IF(VLOOKUP(A2661,[17]PRIORIZADOS!$A:$R,18,FALSE)="","",VLOOKUP(A2661,[17]PRIORIZADOS!$A:$R,18,FALSE)),"")</f>
        <v xml:space="preserve">Se encuentra actualizado el SIEE, pero es necesario ajustarlo para el contexto poblacional y PEI del colegio La Estrellita </v>
      </c>
      <c r="S2661" s="11" t="str">
        <f>IFERROR(IF(VLOOKUP(A2661,[17]PRIORIZADOS!$A:$S,19,FALSE)="","",VLOOKUP(A2661,[17]PRIORIZADOS!$A:$S,19,FALSE)),"")</f>
        <v>Realizar Plan de mejora, dejando evidencia del trabajo de socialización que realizan con los padres de familia, los estudiantes y docentes.</v>
      </c>
      <c r="T2661" s="70" t="str">
        <f>IFERROR(IF(VLOOKUP(A2661,[17]PRIORIZADOS!$A:$T,20,FALSE)="","",VLOOKUP(A2661,[17]PRIORIZADOS!$A:$T,20,FALSE)),"")</f>
        <v>Si</v>
      </c>
      <c r="U2661" s="11" t="str">
        <f>IFERROR(IF(VLOOKUP(A2661,[17]PRIORIZADOS!$A:$U,21,FALSE)="","",VLOOKUP(A2661,[17]PRIORIZADOS!$A:$U,21,FALSE)),"")</f>
        <v xml:space="preserve">Revisar el plan de mejoramiento en el mes de mayo.
</v>
      </c>
    </row>
    <row r="2662" spans="1:21" s="1" customFormat="1" ht="130.5">
      <c r="A2662" s="69">
        <f>IF([17]PRIORIZADOS!A110="","",[17]PRIORIZADOS!A110)</f>
        <v>2646</v>
      </c>
      <c r="B2662" s="70">
        <v>12</v>
      </c>
      <c r="C2662" s="11" t="str">
        <f>IFERROR(IF(VLOOKUP(A2662,[17]PRIORIZADOS!$A:$C,3,FALSE)="","",VLOOKUP(A2662,[17]PRIORIZADOS!$A:$C,3,FALSE)),"")</f>
        <v>USAQUÉN</v>
      </c>
      <c r="D2662" s="11" t="str">
        <f>IFERROR(IF(VLOOKUP(A2662,[17]PRIORIZADOS!$A:$D,4,FALSE)="","",VLOOKUP(A2662,[17]PRIORIZADOS!$A:$D,4,FALSE)),"")</f>
        <v>OFICIAL.</v>
      </c>
      <c r="E2662" s="11" t="str">
        <f>IFERROR(IF(VLOOKUP(A2662,[17]PRIORIZADOS!$A:$E,5,FALSE)="","",VLOOKUP(A2662,[17]PRIORIZADOS!$A:$E,5,FALSE)),"")</f>
        <v>EPBM</v>
      </c>
      <c r="F2662" s="11" t="str">
        <f>IFERROR(IF(VLOOKUP(A2662,[17]PRIORIZADOS!$A:$F,6,FALSE)="","",VLOOKUP(A2662,[17]PRIORIZADOS!$A:$F,6,FALSE)),"")</f>
        <v>COLEGIO_LA_ESTRELLITA_IED</v>
      </c>
      <c r="G2662" s="11" t="str">
        <f>IFERROR(IF(VLOOKUP(A2662,[17]PRIORIZADOS!$A:$G,7,FALSE)="","",VLOOKUP(A2662,[17]PRIORIZADOS!$A:$G,7,FALSE)),"")</f>
        <v>COLEGIO LA ESTRELLITA (IED) - SEDE PRINCIPAL</v>
      </c>
      <c r="H2662" s="11" t="str">
        <f>IFERROR(IF(VLOOKUP(A2662,[17]PRIORIZADOS!$A:$H,8,FALSE)="","",VLOOKUP(A2662,[17]PRIORIZADOS!$A:$H,8,FALSE)),"")</f>
        <v>Autoevaluación Institucional y Pruebas SABER 11</v>
      </c>
      <c r="I2662" s="11" t="str">
        <f>IFERROR(IF(VLOOKUP(A2662,[17]PRIORIZADOS!$A:$I,9,FALSE)="","",VLOOKUP(A2662,[17]PRIORIZADOS!$A:$I,9,FALSE)),"")</f>
        <v>EVALUACIÓN_CON_FINES_DE_MEJORAMIENTO.</v>
      </c>
      <c r="J2662" s="11" t="str">
        <f>IFERROR(IF(VLOOKUP(A2662,[17]PRIORIZADOS!$A:$J,10,FALSE)="","",VLOOKUP(A2662,[17]PRIORIZADOS!$A:$J,10,FALSE)),"")</f>
        <v>Revisar el calendario escolar, jornada escolar, la intensidad horaria mínima anual en cada nivel y las modificaciones que se realicen al mismo, de acuerdo con lo previsto en la normatividad vigente.</v>
      </c>
      <c r="K2662" s="11" t="str">
        <f>IFERROR(IF(VLOOKUP(A2662,[17]PRIORIZADOS!$A:$K,11,FALSE)="","",VLOOKUP(A2662,[17]PRIORIZADOS!$A:$K,11,FALSE)),"")</f>
        <v>MARTHA CECILIA MELGAREJO PINTO
MARIA TERESA GAVIRIA LOZANO
GILMA ESTHER ALBARRACÍN BALLESTEROS
MARTHA LUCIA OLAYA VARGAS
JENNIFER CATALINA TORRES PIRA</v>
      </c>
      <c r="L2662" s="11" t="str">
        <f>IFERROR(IF(VLOOKUP(A2662,[17]PRIORIZADOS!$A:$L,12,FALSE)="","",VLOOKUP(A2662,[17]PRIORIZADOS!$A:$L,12,FALSE)),"")</f>
        <v>MARTHA CECILIA MELGAREJO PINTO
MARIA TERESA GAVIRIA LOZANO
GILMA ESTHER ALBARRACÍN BALLESTEROS
MARTHA LUCIA OLAYA VARGAS
JENNIFER CATALINA TORRES PIRA</v>
      </c>
      <c r="M2662" s="71">
        <f>IFERROR(IF(VLOOKUP(A2662,[17]PRIORIZADOS!$A:$M,13,FALSE)="","",VLOOKUP(A2662,[17]PRIORIZADOS!$A:$M,13,FALSE)),"")</f>
        <v>45744</v>
      </c>
      <c r="N2662" s="71">
        <f>IFERROR(IF(VLOOKUP(A2662,[17]PRIORIZADOS!$A:$N,14,FALSE)="","",VLOOKUP(A2662,[17]PRIORIZADOS!$A:$N,14,FALSE)),"")</f>
        <v>45744</v>
      </c>
      <c r="O2662" s="71">
        <f>IFERROR(IF(VLOOKUP(A2662,[17]PRIORIZADOS!$A:$O,15,FALSE)="","",VLOOKUP(A2662,[17]PRIORIZADOS!$A:$O,15,FALSE)),"")</f>
        <v>45744</v>
      </c>
      <c r="P2662" s="11" t="str">
        <f>IFERROR(IF(VLOOKUP(A2662,[17]PRIORIZADOS!$A:$P,16,FALSE)="","",VLOOKUP(A2662,[17]PRIORIZADOS!$A:$P,16,FALSE)),"")</f>
        <v>Visitas de evaluación con fines de mejoramiento</v>
      </c>
      <c r="Q2662" s="107" t="s">
        <v>515</v>
      </c>
      <c r="R2662" s="11" t="str">
        <f>IFERROR(IF(VLOOKUP(A2662,[17]PRIORIZADOS!$A:$R,18,FALSE)="","",VLOOKUP(A2662,[17]PRIORIZADOS!$A:$R,18,FALSE)),"")</f>
        <v xml:space="preserve">El calendario está ajustado a lo establecido en la norma vigente frente a intensidades horarias para cada nivel.
</v>
      </c>
      <c r="S2662" s="11" t="str">
        <f>IFERROR(IF(VLOOKUP(A2662,[17]PRIORIZADOS!$A:$S,19,FALSE)="","",VLOOKUP(A2662,[17]PRIORIZADOS!$A:$S,19,FALSE)),"")</f>
        <v>Continuar su implementación en lo que resta del año académico</v>
      </c>
      <c r="T2662" s="70" t="str">
        <f>IFERROR(IF(VLOOKUP(A2662,[17]PRIORIZADOS!$A:$T,20,FALSE)="","",VLOOKUP(A2662,[17]PRIORIZADOS!$A:$T,20,FALSE)),"")</f>
        <v>No</v>
      </c>
      <c r="U2662" s="11" t="str">
        <f>IFERROR(IF(VLOOKUP(A2662,[17]PRIORIZADOS!$A:$U,21,FALSE)="","",VLOOKUP(A2662,[17]PRIORIZADOS!$A:$U,21,FALSE)),"")</f>
        <v>Se revisará en la siguiente vigencia el calendario adoptado.</v>
      </c>
    </row>
    <row r="2663" spans="1:21" s="1" customFormat="1" ht="130.5">
      <c r="A2663" s="69">
        <f>IF([17]PRIORIZADOS!A111="","",[17]PRIORIZADOS!A111)</f>
        <v>2647</v>
      </c>
      <c r="B2663" s="70">
        <v>12</v>
      </c>
      <c r="C2663" s="11" t="str">
        <f>IFERROR(IF(VLOOKUP(A2663,[17]PRIORIZADOS!$A:$C,3,FALSE)="","",VLOOKUP(A2663,[17]PRIORIZADOS!$A:$C,3,FALSE)),"")</f>
        <v>USAQUÉN</v>
      </c>
      <c r="D2663" s="11" t="str">
        <f>IFERROR(IF(VLOOKUP(A2663,[17]PRIORIZADOS!$A:$D,4,FALSE)="","",VLOOKUP(A2663,[17]PRIORIZADOS!$A:$D,4,FALSE)),"")</f>
        <v>OFICIAL.</v>
      </c>
      <c r="E2663" s="11" t="str">
        <f>IFERROR(IF(VLOOKUP(A2663,[17]PRIORIZADOS!$A:$E,5,FALSE)="","",VLOOKUP(A2663,[17]PRIORIZADOS!$A:$E,5,FALSE)),"")</f>
        <v>EPBM</v>
      </c>
      <c r="F2663" s="11" t="str">
        <f>IFERROR(IF(VLOOKUP(A2663,[17]PRIORIZADOS!$A:$F,6,FALSE)="","",VLOOKUP(A2663,[17]PRIORIZADOS!$A:$F,6,FALSE)),"")</f>
        <v>COLEGIO_LA_ESTRELLITA_IED</v>
      </c>
      <c r="G2663" s="11" t="str">
        <f>IFERROR(IF(VLOOKUP(A2663,[17]PRIORIZADOS!$A:$G,7,FALSE)="","",VLOOKUP(A2663,[17]PRIORIZADOS!$A:$G,7,FALSE)),"")</f>
        <v>COLEGIO LA ESTRELLITA (IED) - SEDE PRINCIPAL</v>
      </c>
      <c r="H2663" s="11" t="str">
        <f>IFERROR(IF(VLOOKUP(A2663,[17]PRIORIZADOS!$A:$H,8,FALSE)="","",VLOOKUP(A2663,[17]PRIORIZADOS!$A:$H,8,FALSE)),"")</f>
        <v>Autoevaluación Institucional y Pruebas SABER 11</v>
      </c>
      <c r="I2663" s="11" t="str">
        <f>IFERROR(IF(VLOOKUP(A2663,[17]PRIORIZADOS!$A:$I,9,FALSE)="","",VLOOKUP(A2663,[17]PRIORIZADOS!$A:$I,9,FALSE)),"")</f>
        <v>EVALUACIÓN_CON_FINES_DE_MEJORAMIENTO.</v>
      </c>
      <c r="J2663" s="11" t="str">
        <f>IFERROR(IF(VLOOKUP(A2663,[17]PRIORIZADOS!$A:$J,10,FALSE)="","",VLOOKUP(A2663,[17]PRIORIZADOS!$A:$J,10,FALSE)),"")</f>
        <v>Verificar el funcionamiento del Gobierno Escolar e instancias de participación con base en la información sobre conformación reportada por la institución educativa.</v>
      </c>
      <c r="K2663" s="11" t="str">
        <f>IFERROR(IF(VLOOKUP(A2663,[17]PRIORIZADOS!$A:$K,11,FALSE)="","",VLOOKUP(A2663,[17]PRIORIZADOS!$A:$K,11,FALSE)),"")</f>
        <v>MARTHA CECILIA MELGAREJO PINTO
MARIA TERESA GAVIRIA LOZANO
GILMA ESTHER ALBARRACÍN BALLESTEROS
MARTHA LUCIA OLAYA VARGAS
JENNIFER CATALINA TORRES PIRA</v>
      </c>
      <c r="L2663" s="11" t="str">
        <f>IFERROR(IF(VLOOKUP(A2663,[17]PRIORIZADOS!$A:$L,12,FALSE)="","",VLOOKUP(A2663,[17]PRIORIZADOS!$A:$L,12,FALSE)),"")</f>
        <v>MARTHA CECILIA MELGAREJO PINTO
MARIA TERESA GAVIRIA LOZANO
GILMA ESTHER ALBARRACÍN BALLESTEROS
MARTHA LUCIA OLAYA VARGAS
JENNIFER CATALINA TORRES PIRA</v>
      </c>
      <c r="M2663" s="71">
        <f>IFERROR(IF(VLOOKUP(A2663,[17]PRIORIZADOS!$A:$M,13,FALSE)="","",VLOOKUP(A2663,[17]PRIORIZADOS!$A:$M,13,FALSE)),"")</f>
        <v>45744</v>
      </c>
      <c r="N2663" s="71">
        <f>IFERROR(IF(VLOOKUP(A2663,[17]PRIORIZADOS!$A:$N,14,FALSE)="","",VLOOKUP(A2663,[17]PRIORIZADOS!$A:$N,14,FALSE)),"")</f>
        <v>45744</v>
      </c>
      <c r="O2663" s="71">
        <f>IFERROR(IF(VLOOKUP(A2663,[17]PRIORIZADOS!$A:$O,15,FALSE)="","",VLOOKUP(A2663,[17]PRIORIZADOS!$A:$O,15,FALSE)),"")</f>
        <v>45744</v>
      </c>
      <c r="P2663" s="11" t="str">
        <f>IFERROR(IF(VLOOKUP(A2663,[17]PRIORIZADOS!$A:$P,16,FALSE)="","",VLOOKUP(A2663,[17]PRIORIZADOS!$A:$P,16,FALSE)),"")</f>
        <v>Visitas de evaluación con fines de mejoramiento</v>
      </c>
      <c r="Q2663" s="107" t="s">
        <v>515</v>
      </c>
      <c r="R2663" s="11" t="str">
        <f>IFERROR(IF(VLOOKUP(A2663,[17]PRIORIZADOS!$A:$R,18,FALSE)="","",VLOOKUP(A2663,[17]PRIORIZADOS!$A:$R,18,FALSE)),"")</f>
        <v>Se encuentra el proceso participativo de conformación de: Consejo Directivo, Consejo Académico, Personero estudiantil, Cabildante estudiantil y Consejo de estudiantes.</v>
      </c>
      <c r="S2663" s="11" t="str">
        <f>IFERROR(IF(VLOOKUP(A2663,[17]PRIORIZADOS!$A:$S,19,FALSE)="","",VLOOKUP(A2663,[17]PRIORIZADOS!$A:$S,19,FALSE)),"")</f>
        <v>Realizar requerimiento a la Dirección de Participación para la actualización y registro y cargue de actas en el SAE, dado que no se encuentra registrado  el colegio.</v>
      </c>
      <c r="T2663" s="70" t="str">
        <f>IFERROR(IF(VLOOKUP(A2663,[17]PRIORIZADOS!$A:$T,20,FALSE)="","",VLOOKUP(A2663,[17]PRIORIZADOS!$A:$T,20,FALSE)),"")</f>
        <v>Si</v>
      </c>
      <c r="U2663" s="11" t="str">
        <f>IFERROR(IF(VLOOKUP(A2663,[17]PRIORIZADOS!$A:$U,21,FALSE)="","",VLOOKUP(A2663,[17]PRIORIZADOS!$A:$U,21,FALSE)),"")</f>
        <v>Se verificará en SAE el cargue de las actas correspondientes a la conformación debidamente firmadas.</v>
      </c>
    </row>
    <row r="2664" spans="1:21" s="1" customFormat="1" ht="130.5">
      <c r="A2664" s="69">
        <f>IF([17]PRIORIZADOS!A112="","",[17]PRIORIZADOS!A112)</f>
        <v>2648</v>
      </c>
      <c r="B2664" s="70">
        <v>12</v>
      </c>
      <c r="C2664" s="11" t="str">
        <f>IFERROR(IF(VLOOKUP(A2664,[17]PRIORIZADOS!$A:$C,3,FALSE)="","",VLOOKUP(A2664,[17]PRIORIZADOS!$A:$C,3,FALSE)),"")</f>
        <v>USAQUÉN</v>
      </c>
      <c r="D2664" s="11" t="str">
        <f>IFERROR(IF(VLOOKUP(A2664,[17]PRIORIZADOS!$A:$D,4,FALSE)="","",VLOOKUP(A2664,[17]PRIORIZADOS!$A:$D,4,FALSE)),"")</f>
        <v>OFICIAL.</v>
      </c>
      <c r="E2664" s="11" t="str">
        <f>IFERROR(IF(VLOOKUP(A2664,[17]PRIORIZADOS!$A:$E,5,FALSE)="","",VLOOKUP(A2664,[17]PRIORIZADOS!$A:$E,5,FALSE)),"")</f>
        <v>EPBM</v>
      </c>
      <c r="F2664" s="11" t="str">
        <f>IFERROR(IF(VLOOKUP(A2664,[17]PRIORIZADOS!$A:$F,6,FALSE)="","",VLOOKUP(A2664,[17]PRIORIZADOS!$A:$F,6,FALSE)),"")</f>
        <v>COLEGIO_LA_ESTRELLITA_IED</v>
      </c>
      <c r="G2664" s="11" t="str">
        <f>IFERROR(IF(VLOOKUP(A2664,[17]PRIORIZADOS!$A:$G,7,FALSE)="","",VLOOKUP(A2664,[17]PRIORIZADOS!$A:$G,7,FALSE)),"")</f>
        <v>COLEGIO LA ESTRELLITA (IED) - SEDE PRINCIPAL</v>
      </c>
      <c r="H2664" s="11" t="str">
        <f>IFERROR(IF(VLOOKUP(A2664,[17]PRIORIZADOS!$A:$H,8,FALSE)="","",VLOOKUP(A2664,[17]PRIORIZADOS!$A:$H,8,FALSE)),"")</f>
        <v>Autoevaluación Institucional y Pruebas SABER 11</v>
      </c>
      <c r="I2664" s="11" t="str">
        <f>IFERROR(IF(VLOOKUP(A2664,[17]PRIORIZADOS!$A:$I,9,FALSE)="","",VLOOKUP(A2664,[17]PRIORIZADOS!$A:$I,9,FALSE)),"")</f>
        <v>EVALUACIÓN_CON_FINES_DE_MEJORAMIENTO.</v>
      </c>
      <c r="J2664" s="11" t="str">
        <f>IFERROR(IF(VLOOKUP(A2664,[17]PRIORIZADOS!$A:$J,10,FALSE)="","",VLOOKUP(A2664,[17]PRIORIZADOS!$A:$J,10,FALSE)),"")</f>
        <v>Verificar las condiciones en cuanto a: la estructura administrativa, condiciones de la planta física y medios educativos adecuados.</v>
      </c>
      <c r="K2664" s="11" t="str">
        <f>IFERROR(IF(VLOOKUP(A2664,[17]PRIORIZADOS!$A:$K,11,FALSE)="","",VLOOKUP(A2664,[17]PRIORIZADOS!$A:$K,11,FALSE)),"")</f>
        <v>MARTHA CECILIA MELGAREJO PINTO
MARIA TERESA GAVIRIA LOZANO
GILMA ESTHER ALBARRACÍN BALLESTEROS
MARTHA LUCIA OLAYA VARGAS
JENNIFER CATALINA TORRES PIRA</v>
      </c>
      <c r="L2664" s="11" t="str">
        <f>IFERROR(IF(VLOOKUP(A2664,[17]PRIORIZADOS!$A:$L,12,FALSE)="","",VLOOKUP(A2664,[17]PRIORIZADOS!$A:$L,12,FALSE)),"")</f>
        <v>MARTHA CECILIA MELGAREJO PINTO
MARIA TERESA GAVIRIA LOZANO
GILMA ESTHER ALBARRACÍN BALLESTEROS
MARTHA LUCIA OLAYA VARGAS
JENNIFER CATALINA TORRES PIRA</v>
      </c>
      <c r="M2664" s="71">
        <f>IFERROR(IF(VLOOKUP(A2664,[17]PRIORIZADOS!$A:$M,13,FALSE)="","",VLOOKUP(A2664,[17]PRIORIZADOS!$A:$M,13,FALSE)),"")</f>
        <v>45744</v>
      </c>
      <c r="N2664" s="71">
        <f>IFERROR(IF(VLOOKUP(A2664,[17]PRIORIZADOS!$A:$N,14,FALSE)="","",VLOOKUP(A2664,[17]PRIORIZADOS!$A:$N,14,FALSE)),"")</f>
        <v>45744</v>
      </c>
      <c r="O2664" s="71">
        <f>IFERROR(IF(VLOOKUP(A2664,[17]PRIORIZADOS!$A:$O,15,FALSE)="","",VLOOKUP(A2664,[17]PRIORIZADOS!$A:$O,15,FALSE)),"")</f>
        <v>45744</v>
      </c>
      <c r="P2664" s="11" t="str">
        <f>IFERROR(IF(VLOOKUP(A2664,[17]PRIORIZADOS!$A:$P,16,FALSE)="","",VLOOKUP(A2664,[17]PRIORIZADOS!$A:$P,16,FALSE)),"")</f>
        <v>Visitas de evaluación con fines de mejoramiento</v>
      </c>
      <c r="Q2664" s="107" t="s">
        <v>515</v>
      </c>
      <c r="R2664" s="11" t="str">
        <f>IFERROR(IF(VLOOKUP(A2664,[17]PRIORIZADOS!$A:$R,18,FALSE)="","",VLOOKUP(A2664,[17]PRIORIZADOS!$A:$R,18,FALSE)),"")</f>
        <v xml:space="preserve">Se evidenció que la planta física esta en buen estado, las aulas son suficientes para cubrir y garantizar la prestación del servicio educativo actual, faltan espacios para archivo documental, recreación, danzas, ludotecas y actualización tecnológica. Cuentan con la pedagogía del cuidado de los Público mediante estrategias lúdicas para los estudiantes. </v>
      </c>
      <c r="S2664" s="11" t="str">
        <f>IFERROR(IF(VLOOKUP(A2664,[17]PRIORIZADOS!$A:$S,19,FALSE)="","",VLOOKUP(A2664,[17]PRIORIZADOS!$A:$S,19,FALSE)),"")</f>
        <v>Continuar con las estrategias de alternancia para el uso de espacios comunes: recreación, restaurante, entre otros que se encuenyran limitados para la población estudiantil matriculada.</v>
      </c>
      <c r="T2664" s="70" t="str">
        <f>IFERROR(IF(VLOOKUP(A2664,[17]PRIORIZADOS!$A:$T,20,FALSE)="","",VLOOKUP(A2664,[17]PRIORIZADOS!$A:$T,20,FALSE)),"")</f>
        <v>No</v>
      </c>
      <c r="U2664" s="11" t="str">
        <f>IFERROR(IF(VLOOKUP(A2664,[17]PRIORIZADOS!$A:$U,21,FALSE)="","",VLOOKUP(A2664,[17]PRIORIZADOS!$A:$U,21,FALSE)),"")</f>
        <v>Se hará verificación de los componentes de la infraestructura educativa en caso de presentarse queja.</v>
      </c>
    </row>
    <row r="2665" spans="1:21" s="1" customFormat="1" ht="85.5" customHeight="1">
      <c r="A2665" s="69">
        <f>IF([18]PRIORIZADOS!A8="","",[18]PRIORIZADOS!A8)</f>
        <v>2649</v>
      </c>
      <c r="B2665" s="70">
        <f>IFERROR(IF(VLOOKUP(A2665,[18]PRIORIZADOS!$A:$B,2,FALSE)="","",VLOOKUP(A2665,[18]PRIORIZADOS!$A:$B,2,FALSE)),"")</f>
        <v>1</v>
      </c>
      <c r="C2665" s="11" t="str">
        <f>IFERROR(IF(VLOOKUP(A2665,[18]PRIORIZADOS!$A:$C,3,FALSE)="","",VLOOKUP(A2665,[18]PRIORIZADOS!$A:$C,3,FALSE)),"")</f>
        <v>USME</v>
      </c>
      <c r="D2665" s="11" t="str">
        <f>IFERROR(IF(VLOOKUP(A2665,[18]PRIORIZADOS!$A:$D,4,FALSE)="","",VLOOKUP(A2665,[18]PRIORIZADOS!$A:$D,4,FALSE)),"")</f>
        <v>PRIVADO</v>
      </c>
      <c r="E2665" s="11" t="str">
        <f>IFERROR(IF(VLOOKUP(A2665,[18]PRIORIZADOS!$A:$E,5,FALSE)="","",VLOOKUP(A2665,[18]PRIORIZADOS!$A:$E,5,FALSE)),"")</f>
        <v>EPBM</v>
      </c>
      <c r="F2665" s="11" t="str">
        <f>IFERROR(IF(VLOOKUP(A2665,[18]PRIORIZADOS!$A:$F,6,FALSE)="","",VLOOKUP(A2665,[18]PRIORIZADOS!$A:$F,6,FALSE)),"")</f>
        <v>COLEGIO_SAN_GREGORIO_HERNANDEZ</v>
      </c>
      <c r="G2665" s="11" t="str">
        <f>IFERROR(IF(VLOOKUP(A2665,[18]PRIORIZADOS!$A:$G,7,FALSE)="","",VLOOKUP(A2665,[18]PRIORIZADOS!$A:$G,7,FALSE)),"")</f>
        <v>COLEGIO SAN GREGORIO HERNANDEZ</v>
      </c>
      <c r="H2665" s="11" t="str">
        <f>IFERROR(IF(VLOOKUP(A2665,[18]PRIORIZADOS!$A:$H,8,FALSE)="","",VLOOKUP(A2665,[18]PRIORIZADOS!$A:$H,8,FALSE)),"")</f>
        <v>Autoevaluación Institucional y Pruebas SABER 11</v>
      </c>
      <c r="I2665" s="11" t="str">
        <f>IFERROR(IF(VLOOKUP(A2665,[18]PRIORIZADOS!$A:$I,9,FALSE)="","",VLOOKUP(A2665,[18]PRIORIZADOS!$A:$I,9,FALSE)),"")</f>
        <v>SEGUIMIENTO_Y_SUPERVISIÓN.</v>
      </c>
      <c r="J2665" s="11" t="str">
        <f>IFERROR(IF(VLOOKUP(A2665,[18]PRIORIZADOS!$A:$J,10,FALSE)="","",VLOOKUP(A2665,[18]PRIORIZADOS!$A:$J,10,FALSE)),"")</f>
        <v>Realizar visitas para verificar la información registrada sobre la autoevaluación institucional en el aplicativo EVI, a los establecimientos de educación formal no oficial.</v>
      </c>
      <c r="K2665" s="11" t="str">
        <f>IFERROR(IF(VLOOKUP(A2665,[18]PRIORIZADOS!$A:$K,11,FALSE)="","",VLOOKUP(A2665,[18]PRIORIZADOS!$A:$K,11,FALSE)),"")</f>
        <v>KATHERINE HERNÁNDEZ RUBIANO</v>
      </c>
      <c r="L2665" s="11" t="str">
        <f>IFERROR(IF(VLOOKUP(A2665,[18]PRIORIZADOS!$A:$L,12,FALSE)="","",VLOOKUP(A2665,[18]PRIORIZADOS!$A:$L,12,FALSE)),"")</f>
        <v>FRANCY LORENA RODRIGUEZ CASTRO</v>
      </c>
      <c r="M2665" s="71">
        <f>IFERROR(IF(VLOOKUP(A2665,[18]PRIORIZADOS!$A:$M,13,FALSE)="","",VLOOKUP(A2665,[18]PRIORIZADOS!$A:$M,13,FALSE)),"")</f>
        <v>45716</v>
      </c>
      <c r="N2665" s="71">
        <f>IFERROR(IF(VLOOKUP(A2665,[18]PRIORIZADOS!$A:$N,14,FALSE)="","",VLOOKUP(A2665,[18]PRIORIZADOS!$A:$N,14,FALSE)),"")</f>
        <v>45716</v>
      </c>
      <c r="O2665" s="71">
        <f>IFERROR(IF(VLOOKUP(A2665,[18]PRIORIZADOS!$A:$O,15,FALSE)="","",VLOOKUP(A2665,[18]PRIORIZADOS!$A:$O,15,FALSE)),"")</f>
        <v>45716</v>
      </c>
      <c r="P2665" s="11" t="str">
        <f>IFERROR(IF(VLOOKUP(A2665,[18]PRIORIZADOS!$A:$P,16,FALSE)="","",VLOOKUP(A2665,[18]PRIORIZADOS!$A:$P,16,FALSE)),"")</f>
        <v>Visitas de evaluación con fines de mejoramiento</v>
      </c>
      <c r="Q2665" s="22" t="s">
        <v>516</v>
      </c>
      <c r="R2665" s="11" t="str">
        <f>IFERROR(IF(VLOOKUP(A2665,[18]PRIORIZADOS!$A:$R,18,FALSE)="","",VLOOKUP(A2665,[18]PRIORIZADOS!$A:$R,18,FALSE)),"")</f>
        <v>Se evidencia pago de seguiridad social a docentes y administrativos con contratos a termino fijo a 10 meses pero una docente no presenta soportes académicos.</v>
      </c>
      <c r="S2665" s="11" t="str">
        <f>IFERROR(IF(VLOOKUP(A2665,[18]PRIORIZADOS!$A:$S,19,FALSE)="","",VLOOKUP(A2665,[18]PRIORIZADOS!$A:$S,19,FALSE)),"")</f>
        <v>Revisar cargas academicas que esten acordes a los perfiles profesionales de cada docente y a los profesionales no licenciados la acreditacion de un curso de pedagogía.</v>
      </c>
      <c r="T2665" s="70" t="str">
        <f>IFERROR(IF(VLOOKUP(A2665,[18]PRIORIZADOS!$A:$T,20,FALSE)="","",VLOOKUP(A2665,[18]PRIORIZADOS!$A:$T,20,FALSE)),"")</f>
        <v>Si</v>
      </c>
      <c r="U2665" s="11" t="str">
        <f>IFERROR(IF(VLOOKUP(A2665,[18]PRIORIZADOS!$A:$U,21,FALSE)="","",VLOOKUP(A2665,[18]PRIORIZADOS!$A:$U,21,FALSE)),"")</f>
        <v xml:space="preserve">Revisar que las acciones se incorporen en el plan de mejoramiento, que sera entregado el 31 de octubre. </v>
      </c>
    </row>
    <row r="2666" spans="1:21" s="1" customFormat="1" ht="60">
      <c r="A2666" s="69">
        <f>IF([18]PRIORIZADOS!A9="","",[18]PRIORIZADOS!A9)</f>
        <v>2650</v>
      </c>
      <c r="B2666" s="70">
        <f>IFERROR(IF(VLOOKUP(A2666,[18]PRIORIZADOS!$A:$B,2,FALSE)="","",VLOOKUP(A2666,[18]PRIORIZADOS!$A:$B,2,FALSE)),"")</f>
        <v>1</v>
      </c>
      <c r="C2666" s="11" t="str">
        <f>IFERROR(IF(VLOOKUP(A2666,[18]PRIORIZADOS!$A:$C,3,FALSE)="","",VLOOKUP(A2666,[18]PRIORIZADOS!$A:$C,3,FALSE)),"")</f>
        <v>USME</v>
      </c>
      <c r="D2666" s="11" t="str">
        <f>IFERROR(IF(VLOOKUP(A2666,[18]PRIORIZADOS!$A:$D,4,FALSE)="","",VLOOKUP(A2666,[18]PRIORIZADOS!$A:$D,4,FALSE)),"")</f>
        <v>PRIVADO</v>
      </c>
      <c r="E2666" s="11" t="str">
        <f>IFERROR(IF(VLOOKUP(A2666,[18]PRIORIZADOS!$A:$E,5,FALSE)="","",VLOOKUP(A2666,[18]PRIORIZADOS!$A:$E,5,FALSE)),"")</f>
        <v>EPBM</v>
      </c>
      <c r="F2666" s="11" t="str">
        <f>IFERROR(IF(VLOOKUP(A2666,[18]PRIORIZADOS!$A:$F,6,FALSE)="","",VLOOKUP(A2666,[18]PRIORIZADOS!$A:$F,6,FALSE)),"")</f>
        <v>COLEGIO_SAN_GREGORIO_HERNANDEZ</v>
      </c>
      <c r="G2666" s="11" t="str">
        <f>IFERROR(IF(VLOOKUP(A2666,[18]PRIORIZADOS!$A:$G,7,FALSE)="","",VLOOKUP(A2666,[18]PRIORIZADOS!$A:$G,7,FALSE)),"")</f>
        <v>COLEGIO SAN GREGORIO HERNANDEZ</v>
      </c>
      <c r="H2666" s="11" t="str">
        <f>IFERROR(IF(VLOOKUP(A2666,[18]PRIORIZADOS!$A:$H,8,FALSE)="","",VLOOKUP(A2666,[18]PRIORIZADOS!$A:$H,8,FALSE)),"")</f>
        <v>Autoevaluación Institucional y Pruebas SABER 11</v>
      </c>
      <c r="I2666" s="11" t="str">
        <f>IFERROR(IF(VLOOKUP(A2666,[18]PRIORIZADOS!$A:$I,9,FALSE)="","",VLOOKUP(A2666,[18]PRIORIZADOS!$A:$I,9,FALSE)),"")</f>
        <v>SEGUIMIENTO_Y_SUPERVISIÓN.</v>
      </c>
      <c r="J2666" s="11" t="str">
        <f>IFERROR(IF(VLOOKUP(A2666,[18]PRIORIZADOS!$A:$J,10,FALSE)="","",VLOOKUP(A2666,[18]PRIORIZADOS!$A:$J,10,FALSE)),"")</f>
        <v>Proponer estrategias en la formulación, verificar su elaboración y realizar seguimiento semestral al desarrollo de  las acciones establecidas en los planes de mejoramiento por pruebas SABER 11 de los establecimientos de educación formal.</v>
      </c>
      <c r="K2666" s="11" t="str">
        <f>IFERROR(IF(VLOOKUP(A2666,[18]PRIORIZADOS!$A:$K,11,FALSE)="","",VLOOKUP(A2666,[18]PRIORIZADOS!$A:$K,11,FALSE)),"")</f>
        <v>KATHERINE HERNÁNDEZ RUBIANO</v>
      </c>
      <c r="L2666" s="11" t="str">
        <f>IFERROR(IF(VLOOKUP(A2666,[18]PRIORIZADOS!$A:$L,12,FALSE)="","",VLOOKUP(A2666,[18]PRIORIZADOS!$A:$L,12,FALSE)),"")</f>
        <v>FRANCY LORENA RODRIGUEZ CASTRO</v>
      </c>
      <c r="M2666" s="71">
        <f>IFERROR(IF(VLOOKUP(A2666,[18]PRIORIZADOS!$A:$M,13,FALSE)="","",VLOOKUP(A2666,[18]PRIORIZADOS!$A:$M,13,FALSE)),"")</f>
        <v>45716</v>
      </c>
      <c r="N2666" s="71">
        <f>IFERROR(IF(VLOOKUP(A2666,[18]PRIORIZADOS!$A:$N,14,FALSE)="","",VLOOKUP(A2666,[18]PRIORIZADOS!$A:$N,14,FALSE)),"")</f>
        <v>45716</v>
      </c>
      <c r="O2666" s="71">
        <f>IFERROR(IF(VLOOKUP(A2666,[18]PRIORIZADOS!$A:$O,15,FALSE)="","",VLOOKUP(A2666,[18]PRIORIZADOS!$A:$O,15,FALSE)),"")</f>
        <v>45716</v>
      </c>
      <c r="P2666" s="11" t="str">
        <f>IFERROR(IF(VLOOKUP(A2666,[18]PRIORIZADOS!$A:$P,16,FALSE)="","",VLOOKUP(A2666,[18]PRIORIZADOS!$A:$P,16,FALSE)),"")</f>
        <v>Visitas de evaluación con fines de mejoramiento</v>
      </c>
      <c r="Q2666" s="2" t="s">
        <v>516</v>
      </c>
      <c r="R2666" s="11" t="str">
        <f>IFERROR(IF(VLOOKUP(A2666,[18]PRIORIZADOS!$A:$R,18,FALSE)="","",VLOOKUP(A2666,[18]PRIORIZADOS!$A:$R,18,FALSE)),"")</f>
        <v>Se evidenció que la institución realiza revisión y análisis  de los resultados estadísticos con los docentes, pero, no se encuentra un plan de mejoramiento.</v>
      </c>
      <c r="S2666" s="11" t="str">
        <f>IFERROR(IF(VLOOKUP(A2666,[18]PRIORIZADOS!$A:$S,19,FALSE)="","",VLOOKUP(A2666,[18]PRIORIZADOS!$A:$S,19,FALSE)),"")</f>
        <v>La institución incorporará el análisis de resultados de las prueba Saber 11 en su plan de mejoramiento Institucional. Elaborar y entregar plan de mejoramiento el dia 31 de marzo.</v>
      </c>
      <c r="T2666" s="70" t="str">
        <f>IFERROR(IF(VLOOKUP(A2666,[18]PRIORIZADOS!$A:$T,20,FALSE)="","",VLOOKUP(A2666,[18]PRIORIZADOS!$A:$T,20,FALSE)),"")</f>
        <v>Si</v>
      </c>
      <c r="U2666" s="11" t="str">
        <f>IFERROR(IF(VLOOKUP(A2666,[18]PRIORIZADOS!$A:$U,21,FALSE)="","",VLOOKUP(A2666,[18]PRIORIZADOS!$A:$U,21,FALSE)),"")</f>
        <v>Revisar en el plan de mejoramiento institucional las estrategias el dia 31 de marzo.</v>
      </c>
    </row>
    <row r="2667" spans="1:21" s="1" customFormat="1" ht="60">
      <c r="A2667" s="69">
        <f>IF([18]PRIORIZADOS!A10="","",[18]PRIORIZADOS!A10)</f>
        <v>2651</v>
      </c>
      <c r="B2667" s="70">
        <f>IFERROR(IF(VLOOKUP(A2667,[18]PRIORIZADOS!$A:$B,2,FALSE)="","",VLOOKUP(A2667,[18]PRIORIZADOS!$A:$B,2,FALSE)),"")</f>
        <v>1</v>
      </c>
      <c r="C2667" s="11" t="str">
        <f>IFERROR(IF(VLOOKUP(A2667,[18]PRIORIZADOS!$A:$C,3,FALSE)="","",VLOOKUP(A2667,[18]PRIORIZADOS!$A:$C,3,FALSE)),"")</f>
        <v>USME</v>
      </c>
      <c r="D2667" s="11" t="str">
        <f>IFERROR(IF(VLOOKUP(A2667,[18]PRIORIZADOS!$A:$D,4,FALSE)="","",VLOOKUP(A2667,[18]PRIORIZADOS!$A:$D,4,FALSE)),"")</f>
        <v>PRIVADO</v>
      </c>
      <c r="E2667" s="11" t="str">
        <f>IFERROR(IF(VLOOKUP(A2667,[18]PRIORIZADOS!$A:$E,5,FALSE)="","",VLOOKUP(A2667,[18]PRIORIZADOS!$A:$E,5,FALSE)),"")</f>
        <v>EPBM</v>
      </c>
      <c r="F2667" s="11" t="str">
        <f>IFERROR(IF(VLOOKUP(A2667,[18]PRIORIZADOS!$A:$F,6,FALSE)="","",VLOOKUP(A2667,[18]PRIORIZADOS!$A:$F,6,FALSE)),"")</f>
        <v>COLEGIO_SAN_GREGORIO_HERNANDEZ</v>
      </c>
      <c r="G2667" s="11" t="str">
        <f>IFERROR(IF(VLOOKUP(A2667,[18]PRIORIZADOS!$A:$G,7,FALSE)="","",VLOOKUP(A2667,[18]PRIORIZADOS!$A:$G,7,FALSE)),"")</f>
        <v>COLEGIO SAN GREGORIO HERNANDEZ</v>
      </c>
      <c r="H2667" s="11" t="str">
        <f>IFERROR(IF(VLOOKUP(A2667,[18]PRIORIZADOS!$A:$H,8,FALSE)="","",VLOOKUP(A2667,[18]PRIORIZADOS!$A:$H,8,FALSE)),"")</f>
        <v>Autoevaluación Institucional y Pruebas SABER 11</v>
      </c>
      <c r="I2667" s="11" t="str">
        <f>IFERROR(IF(VLOOKUP(A2667,[18]PRIORIZADOS!$A:$I,9,FALSE)="","",VLOOKUP(A2667,[18]PRIORIZADOS!$A:$I,9,FALSE)),"")</f>
        <v>SEGUIMIENTO_Y_SUPERVISIÓN.</v>
      </c>
      <c r="J2667" s="11" t="str">
        <f>IFERROR(IF(VLOOKUP(A2667,[18]PRIORIZADOS!$A:$J,10,FALSE)="","",VLOOKUP(A2667,[18]PRIORIZADOS!$A:$J,10,FALSE)),"")</f>
        <v xml:space="preserve">Verificar la implementación por parte de los colegios, de acciones realizadas para la prevención y atención de las situaciones de convivencia en el entorno escolar, según lo establecido en la Directiva 01 de 2022 del MEN. </v>
      </c>
      <c r="K2667" s="11" t="str">
        <f>IFERROR(IF(VLOOKUP(A2667,[18]PRIORIZADOS!$A:$K,11,FALSE)="","",VLOOKUP(A2667,[18]PRIORIZADOS!$A:$K,11,FALSE)),"")</f>
        <v>KATHERINE HERNÁNDEZ RUBIANO</v>
      </c>
      <c r="L2667" s="11" t="str">
        <f>IFERROR(IF(VLOOKUP(A2667,[18]PRIORIZADOS!$A:$L,12,FALSE)="","",VLOOKUP(A2667,[18]PRIORIZADOS!$A:$L,12,FALSE)),"")</f>
        <v>FRANCY LORENA RODRIGUEZ CASTRO</v>
      </c>
      <c r="M2667" s="71">
        <f>IFERROR(IF(VLOOKUP(A2667,[18]PRIORIZADOS!$A:$M,13,FALSE)="","",VLOOKUP(A2667,[18]PRIORIZADOS!$A:$M,13,FALSE)),"")</f>
        <v>45716</v>
      </c>
      <c r="N2667" s="71">
        <f>IFERROR(IF(VLOOKUP(A2667,[18]PRIORIZADOS!$A:$N,14,FALSE)="","",VLOOKUP(A2667,[18]PRIORIZADOS!$A:$N,14,FALSE)),"")</f>
        <v>45716</v>
      </c>
      <c r="O2667" s="71">
        <f>IFERROR(IF(VLOOKUP(A2667,[18]PRIORIZADOS!$A:$O,15,FALSE)="","",VLOOKUP(A2667,[18]PRIORIZADOS!$A:$O,15,FALSE)),"")</f>
        <v>45716</v>
      </c>
      <c r="P2667" s="11" t="str">
        <f>IFERROR(IF(VLOOKUP(A2667,[18]PRIORIZADOS!$A:$P,16,FALSE)="","",VLOOKUP(A2667,[18]PRIORIZADOS!$A:$P,16,FALSE)),"")</f>
        <v>Visitas de evaluación con fines de mejoramiento</v>
      </c>
      <c r="Q2667" s="2" t="s">
        <v>516</v>
      </c>
      <c r="R2667" s="11" t="str">
        <f>IFERROR(IF(VLOOKUP(A2667,[18]PRIORIZADOS!$A:$R,18,FALSE)="","",VLOOKUP(A2667,[18]PRIORIZADOS!$A:$R,18,FALSE)),"")</f>
        <v>Se verificó que en la historia laboral de cada docente se encuentra el certificado de inhabilidad por delitos sexuales, encontrando que estan verificados a la fecha.</v>
      </c>
      <c r="S2667" s="11" t="str">
        <f>IFERROR(IF(VLOOKUP(A2667,[18]PRIORIZADOS!$A:$S,19,FALSE)="","",VLOOKUP(A2667,[18]PRIORIZADOS!$A:$S,19,FALSE)),"")</f>
        <v xml:space="preserve">Continuar con la implementación de la Directiva Ministerial 01 de 2022  realizando la consulta cada 4 meses. </v>
      </c>
      <c r="T2667" s="70" t="str">
        <f>IFERROR(IF(VLOOKUP(A2667,[18]PRIORIZADOS!$A:$T,20,FALSE)="","",VLOOKUP(A2667,[18]PRIORIZADOS!$A:$T,20,FALSE)),"")</f>
        <v>No</v>
      </c>
      <c r="U2667" s="11" t="str">
        <f>IFERROR(IF(VLOOKUP(A2667,[18]PRIORIZADOS!$A:$U,21,FALSE)="","",VLOOKUP(A2667,[18]PRIORIZADOS!$A:$U,21,FALSE)),"")</f>
        <v>verificar que se realice la consulta cada 4 meses como lo establece la Directiva Ministerial 01 de 2022</v>
      </c>
    </row>
    <row r="2668" spans="1:21" s="1" customFormat="1" ht="96">
      <c r="A2668" s="69">
        <f>IF([18]PRIORIZADOS!A11="","",[18]PRIORIZADOS!A11)</f>
        <v>2652</v>
      </c>
      <c r="B2668" s="70">
        <f>IFERROR(IF(VLOOKUP(A2668,[18]PRIORIZADOS!$A:$B,2,FALSE)="","",VLOOKUP(A2668,[18]PRIORIZADOS!$A:$B,2,FALSE)),"")</f>
        <v>1</v>
      </c>
      <c r="C2668" s="11" t="str">
        <f>IFERROR(IF(VLOOKUP(A2668,[18]PRIORIZADOS!$A:$C,3,FALSE)="","",VLOOKUP(A2668,[18]PRIORIZADOS!$A:$C,3,FALSE)),"")</f>
        <v>USME</v>
      </c>
      <c r="D2668" s="11" t="str">
        <f>IFERROR(IF(VLOOKUP(A2668,[18]PRIORIZADOS!$A:$D,4,FALSE)="","",VLOOKUP(A2668,[18]PRIORIZADOS!$A:$D,4,FALSE)),"")</f>
        <v>PRIVADO</v>
      </c>
      <c r="E2668" s="11" t="str">
        <f>IFERROR(IF(VLOOKUP(A2668,[18]PRIORIZADOS!$A:$E,5,FALSE)="","",VLOOKUP(A2668,[18]PRIORIZADOS!$A:$E,5,FALSE)),"")</f>
        <v>EPBM</v>
      </c>
      <c r="F2668" s="11" t="str">
        <f>IFERROR(IF(VLOOKUP(A2668,[18]PRIORIZADOS!$A:$F,6,FALSE)="","",VLOOKUP(A2668,[18]PRIORIZADOS!$A:$F,6,FALSE)),"")</f>
        <v>COLEGIO_SAN_GREGORIO_HERNANDEZ</v>
      </c>
      <c r="G2668" s="11" t="str">
        <f>IFERROR(IF(VLOOKUP(A2668,[18]PRIORIZADOS!$A:$G,7,FALSE)="","",VLOOKUP(A2668,[18]PRIORIZADOS!$A:$G,7,FALSE)),"")</f>
        <v>COLEGIO SAN GREGORIO HERNANDEZ</v>
      </c>
      <c r="H2668" s="11" t="str">
        <f>IFERROR(IF(VLOOKUP(A2668,[18]PRIORIZADOS!$A:$H,8,FALSE)="","",VLOOKUP(A2668,[18]PRIORIZADOS!$A:$H,8,FALSE)),"")</f>
        <v>Autoevaluación Institucional y Pruebas SABER 11</v>
      </c>
      <c r="I2668" s="11" t="str">
        <f>IFERROR(IF(VLOOKUP(A2668,[18]PRIORIZADOS!$A:$I,9,FALSE)="","",VLOOKUP(A2668,[18]PRIORIZADOS!$A:$I,9,FALSE)),"")</f>
        <v>SEGUIMIENTO_Y_SUPERVISIÓN.</v>
      </c>
      <c r="J2668" s="11" t="str">
        <f>IFERROR(IF(VLOOKUP(A2668,[18]PRIORIZADOS!$A:$J,10,FALSE)="","",VLOOKUP(A2668,[18]PRIORIZADOS!$A:$J,10,FALSE)),"")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68" s="11" t="str">
        <f>IFERROR(IF(VLOOKUP(A2668,[18]PRIORIZADOS!$A:$K,11,FALSE)="","",VLOOKUP(A2668,[18]PRIORIZADOS!$A:$K,11,FALSE)),"")</f>
        <v>KATHERINE HERNÁNDEZ RUBIANO</v>
      </c>
      <c r="L2668" s="11" t="str">
        <f>IFERROR(IF(VLOOKUP(A2668,[18]PRIORIZADOS!$A:$L,12,FALSE)="","",VLOOKUP(A2668,[18]PRIORIZADOS!$A:$L,12,FALSE)),"")</f>
        <v>FRANCY LORENA RODRIGUEZ CASTRO</v>
      </c>
      <c r="M2668" s="71">
        <f>IFERROR(IF(VLOOKUP(A2668,[18]PRIORIZADOS!$A:$M,13,FALSE)="","",VLOOKUP(A2668,[18]PRIORIZADOS!$A:$M,13,FALSE)),"")</f>
        <v>45716</v>
      </c>
      <c r="N2668" s="71">
        <f>IFERROR(IF(VLOOKUP(A2668,[18]PRIORIZADOS!$A:$N,14,FALSE)="","",VLOOKUP(A2668,[18]PRIORIZADOS!$A:$N,14,FALSE)),"")</f>
        <v>45716</v>
      </c>
      <c r="O2668" s="71">
        <f>IFERROR(IF(VLOOKUP(A2668,[18]PRIORIZADOS!$A:$O,15,FALSE)="","",VLOOKUP(A2668,[18]PRIORIZADOS!$A:$O,15,FALSE)),"")</f>
        <v>45716</v>
      </c>
      <c r="P2668" s="11" t="str">
        <f>IFERROR(IF(VLOOKUP(A2668,[18]PRIORIZADOS!$A:$P,16,FALSE)="","",VLOOKUP(A2668,[18]PRIORIZADOS!$A:$P,16,FALSE)),"")</f>
        <v>Visitas de evaluación con fines de mejoramiento</v>
      </c>
      <c r="Q2668" s="2" t="s">
        <v>516</v>
      </c>
      <c r="R2668" s="11" t="str">
        <f>IFERROR(IF(VLOOKUP(A2668,[18]PRIORIZADOS!$A:$R,18,FALSE)="","",VLOOKUP(A2668,[18]PRIORIZADOS!$A:$R,18,FALSE)),"")</f>
        <v>Se encontró que la institución realiza el proceso de acompañamiento a estudiantes que presentan trastornos cognitivos y discapacidad con la implementacion de PIAR; Sin embargo, al realizar verificación en el sistema de matrícula -SIMAT- no se encuentra registro de estudiantes en inclusión.</v>
      </c>
      <c r="S2668" s="11" t="str">
        <f>IFERROR(IF(VLOOKUP(A2668,[18]PRIORIZADOS!$A:$S,19,FALSE)="","",VLOOKUP(A2668,[18]PRIORIZADOS!$A:$S,19,FALSE)),"")</f>
        <v>Continuar con la implementación de los procesos de inclusión desde la construcción y aplicación de los PIAR. La institución realizara el registro de los estduaintes en inclusión en el sistema de matricula SIMAT.</v>
      </c>
      <c r="T2668" s="70" t="str">
        <f>IFERROR(IF(VLOOKUP(A2668,[18]PRIORIZADOS!$A:$T,20,FALSE)="","",VLOOKUP(A2668,[18]PRIORIZADOS!$A:$T,20,FALSE)),"")</f>
        <v>Si</v>
      </c>
      <c r="U2668" s="11" t="str">
        <f>IFERROR(IF(VLOOKUP(A2668,[18]PRIORIZADOS!$A:$U,21,FALSE)="","",VLOOKUP(A2668,[18]PRIORIZADOS!$A:$U,21,FALSE)),"")</f>
        <v>Verificación del registro en la plataforma SIMAT.</v>
      </c>
    </row>
    <row r="2669" spans="1:21" s="1" customFormat="1" ht="84">
      <c r="A2669" s="69">
        <f>IF([18]PRIORIZADOS!A12="","",[18]PRIORIZADOS!A12)</f>
        <v>2653</v>
      </c>
      <c r="B2669" s="70">
        <f>IFERROR(IF(VLOOKUP(A2669,[18]PRIORIZADOS!$A:$B,2,FALSE)="","",VLOOKUP(A2669,[18]PRIORIZADOS!$A:$B,2,FALSE)),"")</f>
        <v>1</v>
      </c>
      <c r="C2669" s="11" t="str">
        <f>IFERROR(IF(VLOOKUP(A2669,[18]PRIORIZADOS!$A:$C,3,FALSE)="","",VLOOKUP(A2669,[18]PRIORIZADOS!$A:$C,3,FALSE)),"")</f>
        <v>USME</v>
      </c>
      <c r="D2669" s="11" t="str">
        <f>IFERROR(IF(VLOOKUP(A2669,[18]PRIORIZADOS!$A:$D,4,FALSE)="","",VLOOKUP(A2669,[18]PRIORIZADOS!$A:$D,4,FALSE)),"")</f>
        <v>PRIVADO</v>
      </c>
      <c r="E2669" s="11" t="str">
        <f>IFERROR(IF(VLOOKUP(A2669,[18]PRIORIZADOS!$A:$E,5,FALSE)="","",VLOOKUP(A2669,[18]PRIORIZADOS!$A:$E,5,FALSE)),"")</f>
        <v>EPBM</v>
      </c>
      <c r="F2669" s="11" t="str">
        <f>IFERROR(IF(VLOOKUP(A2669,[18]PRIORIZADOS!$A:$F,6,FALSE)="","",VLOOKUP(A2669,[18]PRIORIZADOS!$A:$F,6,FALSE)),"")</f>
        <v>COLEGIO_SAN_GREGORIO_HERNANDEZ</v>
      </c>
      <c r="G2669" s="11" t="str">
        <f>IFERROR(IF(VLOOKUP(A2669,[18]PRIORIZADOS!$A:$G,7,FALSE)="","",VLOOKUP(A2669,[18]PRIORIZADOS!$A:$G,7,FALSE)),"")</f>
        <v>COLEGIO SAN GREGORIO HERNANDEZ</v>
      </c>
      <c r="H2669" s="11" t="str">
        <f>IFERROR(IF(VLOOKUP(A2669,[18]PRIORIZADOS!$A:$H,8,FALSE)="","",VLOOKUP(A2669,[18]PRIORIZADOS!$A:$H,8,FALSE)),"")</f>
        <v>Autoevaluación Institucional y Pruebas SABER 11</v>
      </c>
      <c r="I2669" s="11" t="str">
        <f>IFERROR(IF(VLOOKUP(A2669,[18]PRIORIZADOS!$A:$I,9,FALSE)="","",VLOOKUP(A2669,[18]PRIORIZADOS!$A:$I,9,FALSE)),"")</f>
        <v>EVALUACIÓN_CON_FINES_DE_MEJORAMIENTO.</v>
      </c>
      <c r="J2669" s="11" t="str">
        <f>IFERROR(IF(VLOOKUP(A2669,[18]PRIORIZADOS!$A:$J,10,FALSE)="","",VLOOKUP(A2669,[18]PRIORIZADOS!$A:$J,10,FALSE)),"")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69" s="11" t="str">
        <f>IFERROR(IF(VLOOKUP(A2669,[18]PRIORIZADOS!$A:$K,11,FALSE)="","",VLOOKUP(A2669,[18]PRIORIZADOS!$A:$K,11,FALSE)),"")</f>
        <v>KATHERINE HERNÁNDEZ RUBIANO</v>
      </c>
      <c r="L2669" s="11" t="str">
        <f>IFERROR(IF(VLOOKUP(A2669,[18]PRIORIZADOS!$A:$L,12,FALSE)="","",VLOOKUP(A2669,[18]PRIORIZADOS!$A:$L,12,FALSE)),"")</f>
        <v>FRANCY LORENA RODRIGUEZ CASTRO</v>
      </c>
      <c r="M2669" s="71">
        <f>IFERROR(IF(VLOOKUP(A2669,[18]PRIORIZADOS!$A:$M,13,FALSE)="","",VLOOKUP(A2669,[18]PRIORIZADOS!$A:$M,13,FALSE)),"")</f>
        <v>45716</v>
      </c>
      <c r="N2669" s="71">
        <f>IFERROR(IF(VLOOKUP(A2669,[18]PRIORIZADOS!$A:$N,14,FALSE)="","",VLOOKUP(A2669,[18]PRIORIZADOS!$A:$N,14,FALSE)),"")</f>
        <v>45716</v>
      </c>
      <c r="O2669" s="71">
        <f>IFERROR(IF(VLOOKUP(A2669,[18]PRIORIZADOS!$A:$O,15,FALSE)="","",VLOOKUP(A2669,[18]PRIORIZADOS!$A:$O,15,FALSE)),"")</f>
        <v>45716</v>
      </c>
      <c r="P2669" s="11" t="str">
        <f>IFERROR(IF(VLOOKUP(A2669,[18]PRIORIZADOS!$A:$P,16,FALSE)="","",VLOOKUP(A2669,[18]PRIORIZADOS!$A:$P,16,FALSE)),"")</f>
        <v>Visitas de evaluación con fines de mejoramiento</v>
      </c>
      <c r="Q2669" s="2" t="s">
        <v>516</v>
      </c>
      <c r="R2669" s="11" t="str">
        <f>IFERROR(IF(VLOOKUP(A2669,[18]PRIORIZADOS!$A:$R,18,FALSE)="","",VLOOKUP(A2669,[18]PRIORIZADOS!$A:$R,18,FALSE)),"")</f>
        <v>Se evidencia documento de Manual de Concivencia sin acta de aprobación y adopción para el año 2025 por Cosejo Directivo. En la revisión se encontró que no cuenta con enfoque diferencial.</v>
      </c>
      <c r="S2669" s="11" t="str">
        <f>IFERROR(IF(VLOOKUP(A2669,[18]PRIORIZADOS!$A:$S,19,FALSE)="","",VLOOKUP(A2669,[18]PRIORIZADOS!$A:$S,19,FALSE)),"")</f>
        <v>La institucón realizará los ajustes y actualización del Manual de Convivencia construidos y aprobados por el Gobierno Escolar e Instancias.</v>
      </c>
      <c r="T2669" s="70" t="str">
        <f>IFERROR(IF(VLOOKUP(A2669,[18]PRIORIZADOS!$A:$T,20,FALSE)="","",VLOOKUP(A2669,[18]PRIORIZADOS!$A:$T,20,FALSE)),"")</f>
        <v>Si</v>
      </c>
      <c r="U2669" s="11" t="str">
        <f>IFERROR(IF(VLOOKUP(A2669,[18]PRIORIZADOS!$A:$U,21,FALSE)="","",VLOOKUP(A2669,[18]PRIORIZADOS!$A:$U,21,FALSE)),"")</f>
        <v xml:space="preserve">Verificar el Manual de Convivencia escolar con fecha de entrega el 31 de octubre de 2025. </v>
      </c>
    </row>
    <row r="2670" spans="1:21" s="1" customFormat="1" ht="48">
      <c r="A2670" s="69">
        <f>IF([18]PRIORIZADOS!A13="","",[18]PRIORIZADOS!A13)</f>
        <v>2654</v>
      </c>
      <c r="B2670" s="70">
        <f>IFERROR(IF(VLOOKUP(A2670,[18]PRIORIZADOS!$A:$B,2,FALSE)="","",VLOOKUP(A2670,[18]PRIORIZADOS!$A:$B,2,FALSE)),"")</f>
        <v>1</v>
      </c>
      <c r="C2670" s="11" t="str">
        <f>IFERROR(IF(VLOOKUP(A2670,[18]PRIORIZADOS!$A:$C,3,FALSE)="","",VLOOKUP(A2670,[18]PRIORIZADOS!$A:$C,3,FALSE)),"")</f>
        <v>USME</v>
      </c>
      <c r="D2670" s="11" t="str">
        <f>IFERROR(IF(VLOOKUP(A2670,[18]PRIORIZADOS!$A:$D,4,FALSE)="","",VLOOKUP(A2670,[18]PRIORIZADOS!$A:$D,4,FALSE)),"")</f>
        <v>PRIVADO</v>
      </c>
      <c r="E2670" s="11" t="str">
        <f>IFERROR(IF(VLOOKUP(A2670,[18]PRIORIZADOS!$A:$E,5,FALSE)="","",VLOOKUP(A2670,[18]PRIORIZADOS!$A:$E,5,FALSE)),"")</f>
        <v>EPBM</v>
      </c>
      <c r="F2670" s="11" t="str">
        <f>IFERROR(IF(VLOOKUP(A2670,[18]PRIORIZADOS!$A:$F,6,FALSE)="","",VLOOKUP(A2670,[18]PRIORIZADOS!$A:$F,6,FALSE)),"")</f>
        <v>COLEGIO_SAN_GREGORIO_HERNANDEZ</v>
      </c>
      <c r="G2670" s="11" t="str">
        <f>IFERROR(IF(VLOOKUP(A2670,[18]PRIORIZADOS!$A:$G,7,FALSE)="","",VLOOKUP(A2670,[18]PRIORIZADOS!$A:$G,7,FALSE)),"")</f>
        <v>COLEGIO SAN GREGORIO HERNANDEZ</v>
      </c>
      <c r="H2670" s="11" t="str">
        <f>IFERROR(IF(VLOOKUP(A2670,[18]PRIORIZADOS!$A:$H,8,FALSE)="","",VLOOKUP(A2670,[18]PRIORIZADOS!$A:$H,8,FALSE)),"")</f>
        <v>Autoevaluación Institucional y Pruebas SABER 11</v>
      </c>
      <c r="I2670" s="11" t="str">
        <f>IFERROR(IF(VLOOKUP(A2670,[18]PRIORIZADOS!$A:$I,9,FALSE)="","",VLOOKUP(A2670,[18]PRIORIZADOS!$A:$I,9,FALSE)),"")</f>
        <v>EVALUACIÓN_CON_FINES_DE_MEJORAMIENTO.</v>
      </c>
      <c r="J2670" s="11" t="str">
        <f>IFERROR(IF(VLOOKUP(A2670,[18]PRIORIZADOS!$A:$J,10,FALSE)="","",VLOOKUP(A2670,[18]PRIORIZADOS!$A:$J,10,FALSE)),"")</f>
        <v>Revisar la actualización, socialización e implementación del Sistema Institucional de Evaluación de Estudiantes - SIEE, en articulación con la actualización del PEI y la normatividad vigente.</v>
      </c>
      <c r="K2670" s="11" t="str">
        <f>IFERROR(IF(VLOOKUP(A2670,[18]PRIORIZADOS!$A:$K,11,FALSE)="","",VLOOKUP(A2670,[18]PRIORIZADOS!$A:$K,11,FALSE)),"")</f>
        <v>KATHERINE HERNÁNDEZ RUBIANO</v>
      </c>
      <c r="L2670" s="11" t="str">
        <f>IFERROR(IF(VLOOKUP(A2670,[18]PRIORIZADOS!$A:$L,12,FALSE)="","",VLOOKUP(A2670,[18]PRIORIZADOS!$A:$L,12,FALSE)),"")</f>
        <v>FRANCY LORENA RODRIGUEZ CASTRO</v>
      </c>
      <c r="M2670" s="71">
        <f>IFERROR(IF(VLOOKUP(A2670,[18]PRIORIZADOS!$A:$M,13,FALSE)="","",VLOOKUP(A2670,[18]PRIORIZADOS!$A:$M,13,FALSE)),"")</f>
        <v>45716</v>
      </c>
      <c r="N2670" s="71">
        <f>IFERROR(IF(VLOOKUP(A2670,[18]PRIORIZADOS!$A:$N,14,FALSE)="","",VLOOKUP(A2670,[18]PRIORIZADOS!$A:$N,14,FALSE)),"")</f>
        <v>45716</v>
      </c>
      <c r="O2670" s="71">
        <f>IFERROR(IF(VLOOKUP(A2670,[18]PRIORIZADOS!$A:$O,15,FALSE)="","",VLOOKUP(A2670,[18]PRIORIZADOS!$A:$O,15,FALSE)),"")</f>
        <v>45716</v>
      </c>
      <c r="P2670" s="11" t="str">
        <f>IFERROR(IF(VLOOKUP(A2670,[18]PRIORIZADOS!$A:$P,16,FALSE)="","",VLOOKUP(A2670,[18]PRIORIZADOS!$A:$P,16,FALSE)),"")</f>
        <v>Visitas de evaluación con fines de mejoramiento</v>
      </c>
      <c r="Q2670" s="2" t="s">
        <v>516</v>
      </c>
      <c r="R2670" s="11" t="str">
        <f>IFERROR(IF(VLOOKUP(A2670,[18]PRIORIZADOS!$A:$R,18,FALSE)="","",VLOOKUP(A2670,[18]PRIORIZADOS!$A:$R,18,FALSE)),"")</f>
        <v>Se encontró que existe una escala de valoración para todos los niveles, pero no se evidencia diferenciación en el nivel de preescolar.</v>
      </c>
      <c r="S2670" s="11" t="str">
        <f>IFERROR(IF(VLOOKUP(A2670,[18]PRIORIZADOS!$A:$S,19,FALSE)="","",VLOOKUP(A2670,[18]PRIORIZADOS!$A:$S,19,FALSE)),"")</f>
        <v xml:space="preserve">La institución realizará ajustes a su SIEE determinando un sistema de evaluación para el nivel de preescolar. </v>
      </c>
      <c r="T2670" s="70" t="str">
        <f>IFERROR(IF(VLOOKUP(A2670,[18]PRIORIZADOS!$A:$T,20,FALSE)="","",VLOOKUP(A2670,[18]PRIORIZADOS!$A:$T,20,FALSE)),"")</f>
        <v>Si</v>
      </c>
      <c r="U2670" s="11" t="str">
        <f>IFERROR(IF(VLOOKUP(A2670,[18]PRIORIZADOS!$A:$U,21,FALSE)="","",VLOOKUP(A2670,[18]PRIORIZADOS!$A:$U,21,FALSE)),"")</f>
        <v xml:space="preserve">Verificar de las modificaciones al SIEE de la institución, con fecha de entrega al 31 de octubre de 2025. </v>
      </c>
    </row>
    <row r="2671" spans="1:21" s="1" customFormat="1" ht="48">
      <c r="A2671" s="69">
        <f>IF([18]PRIORIZADOS!A14="","",[18]PRIORIZADOS!A14)</f>
        <v>2655</v>
      </c>
      <c r="B2671" s="70">
        <f>IFERROR(IF(VLOOKUP(A2671,[18]PRIORIZADOS!$A:$B,2,FALSE)="","",VLOOKUP(A2671,[18]PRIORIZADOS!$A:$B,2,FALSE)),"")</f>
        <v>1</v>
      </c>
      <c r="C2671" s="11" t="str">
        <f>IFERROR(IF(VLOOKUP(A2671,[18]PRIORIZADOS!$A:$C,3,FALSE)="","",VLOOKUP(A2671,[18]PRIORIZADOS!$A:$C,3,FALSE)),"")</f>
        <v>USME</v>
      </c>
      <c r="D2671" s="11" t="str">
        <f>IFERROR(IF(VLOOKUP(A2671,[18]PRIORIZADOS!$A:$D,4,FALSE)="","",VLOOKUP(A2671,[18]PRIORIZADOS!$A:$D,4,FALSE)),"")</f>
        <v>PRIVADO</v>
      </c>
      <c r="E2671" s="11" t="str">
        <f>IFERROR(IF(VLOOKUP(A2671,[18]PRIORIZADOS!$A:$E,5,FALSE)="","",VLOOKUP(A2671,[18]PRIORIZADOS!$A:$E,5,FALSE)),"")</f>
        <v>EPBM</v>
      </c>
      <c r="F2671" s="11" t="str">
        <f>IFERROR(IF(VLOOKUP(A2671,[18]PRIORIZADOS!$A:$F,6,FALSE)="","",VLOOKUP(A2671,[18]PRIORIZADOS!$A:$F,6,FALSE)),"")</f>
        <v>COLEGIO_SAN_GREGORIO_HERNANDEZ</v>
      </c>
      <c r="G2671" s="11" t="str">
        <f>IFERROR(IF(VLOOKUP(A2671,[18]PRIORIZADOS!$A:$G,7,FALSE)="","",VLOOKUP(A2671,[18]PRIORIZADOS!$A:$G,7,FALSE)),"")</f>
        <v>COLEGIO SAN GREGORIO HERNANDEZ</v>
      </c>
      <c r="H2671" s="11" t="str">
        <f>IFERROR(IF(VLOOKUP(A2671,[18]PRIORIZADOS!$A:$H,8,FALSE)="","",VLOOKUP(A2671,[18]PRIORIZADOS!$A:$H,8,FALSE)),"")</f>
        <v>Autoevaluación Institucional y Pruebas SABER 11</v>
      </c>
      <c r="I2671" s="11" t="str">
        <f>IFERROR(IF(VLOOKUP(A2671,[18]PRIORIZADOS!$A:$I,9,FALSE)="","",VLOOKUP(A2671,[18]PRIORIZADOS!$A:$I,9,FALSE)),"")</f>
        <v>EVALUACIÓN_CON_FINES_DE_MEJORAMIENTO.</v>
      </c>
      <c r="J2671" s="11" t="str">
        <f>IFERROR(IF(VLOOKUP(A2671,[18]PRIORIZADOS!$A:$J,10,FALSE)="","",VLOOKUP(A2671,[18]PRIORIZADOS!$A:$J,10,FALSE)),"")</f>
        <v>Revisar el calendario escolar, jornada escolar, la intensidad horaria mínima anual en cada nivel y las modificaciones que se realicen al mismo, de acuerdo con lo previsto en la normatividad vigente.</v>
      </c>
      <c r="K2671" s="11" t="str">
        <f>IFERROR(IF(VLOOKUP(A2671,[18]PRIORIZADOS!$A:$K,11,FALSE)="","",VLOOKUP(A2671,[18]PRIORIZADOS!$A:$K,11,FALSE)),"")</f>
        <v>KATHERINE HERNÁNDEZ RUBIANO</v>
      </c>
      <c r="L2671" s="11" t="str">
        <f>IFERROR(IF(VLOOKUP(A2671,[18]PRIORIZADOS!$A:$L,12,FALSE)="","",VLOOKUP(A2671,[18]PRIORIZADOS!$A:$L,12,FALSE)),"")</f>
        <v>FRANCY LORENA RODRIGUEZ CASTRO</v>
      </c>
      <c r="M2671" s="71">
        <f>IFERROR(IF(VLOOKUP(A2671,[18]PRIORIZADOS!$A:$M,13,FALSE)="","",VLOOKUP(A2671,[18]PRIORIZADOS!$A:$M,13,FALSE)),"")</f>
        <v>45716</v>
      </c>
      <c r="N2671" s="71">
        <f>IFERROR(IF(VLOOKUP(A2671,[18]PRIORIZADOS!$A:$N,14,FALSE)="","",VLOOKUP(A2671,[18]PRIORIZADOS!$A:$N,14,FALSE)),"")</f>
        <v>45716</v>
      </c>
      <c r="O2671" s="71">
        <f>IFERROR(IF(VLOOKUP(A2671,[18]PRIORIZADOS!$A:$O,15,FALSE)="","",VLOOKUP(A2671,[18]PRIORIZADOS!$A:$O,15,FALSE)),"")</f>
        <v>45716</v>
      </c>
      <c r="P2671" s="11" t="str">
        <f>IFERROR(IF(VLOOKUP(A2671,[18]PRIORIZADOS!$A:$P,16,FALSE)="","",VLOOKUP(A2671,[18]PRIORIZADOS!$A:$P,16,FALSE)),"")</f>
        <v>Visitas de evaluación con fines de mejoramiento</v>
      </c>
      <c r="Q2671" s="2" t="s">
        <v>516</v>
      </c>
      <c r="R2671" s="11" t="str">
        <f>IFERROR(IF(VLOOKUP(A2671,[18]PRIORIZADOS!$A:$R,18,FALSE)="","",VLOOKUP(A2671,[18]PRIORIZADOS!$A:$R,18,FALSE)),"")</f>
        <v>El calendario escolar se encuentra ajustado e implementado de acuerdo con la normatividad.</v>
      </c>
      <c r="S2671" s="11" t="str">
        <f>IFERROR(IF(VLOOKUP(A2671,[18]PRIORIZADOS!$A:$S,19,FALSE)="","",VLOOKUP(A2671,[18]PRIORIZADOS!$A:$S,19,FALSE)),"")</f>
        <v xml:space="preserve">Continuar con la implematacion del calendario escolar </v>
      </c>
      <c r="T2671" s="70" t="str">
        <f>IFERROR(IF(VLOOKUP(A2671,[18]PRIORIZADOS!$A:$T,20,FALSE)="","",VLOOKUP(A2671,[18]PRIORIZADOS!$A:$T,20,FALSE)),"")</f>
        <v>No</v>
      </c>
      <c r="U2671" s="11" t="str">
        <f>IFERROR(IF(VLOOKUP(A2671,[18]PRIORIZADOS!$A:$U,21,FALSE)="","",VLOOKUP(A2671,[18]PRIORIZADOS!$A:$U,21,FALSE)),"")</f>
        <v>Verificacion para la proxima vigencia 2026</v>
      </c>
    </row>
    <row r="2672" spans="1:21" s="1" customFormat="1" ht="60">
      <c r="A2672" s="69">
        <f>IF([18]PRIORIZADOS!A15="","",[18]PRIORIZADOS!A15)</f>
        <v>2657</v>
      </c>
      <c r="B2672" s="70">
        <f>IFERROR(IF(VLOOKUP(A2672,[18]PRIORIZADOS!$A:$B,2,FALSE)="","",VLOOKUP(A2672,[18]PRIORIZADOS!$A:$B,2,FALSE)),"")</f>
        <v>1</v>
      </c>
      <c r="C2672" s="11" t="str">
        <f>IFERROR(IF(VLOOKUP(A2672,[18]PRIORIZADOS!$A:$C,3,FALSE)="","",VLOOKUP(A2672,[18]PRIORIZADOS!$A:$C,3,FALSE)),"")</f>
        <v>USME</v>
      </c>
      <c r="D2672" s="11" t="str">
        <f>IFERROR(IF(VLOOKUP(A2672,[18]PRIORIZADOS!$A:$D,4,FALSE)="","",VLOOKUP(A2672,[18]PRIORIZADOS!$A:$D,4,FALSE)),"")</f>
        <v>PRIVADO</v>
      </c>
      <c r="E2672" s="11" t="str">
        <f>IFERROR(IF(VLOOKUP(A2672,[18]PRIORIZADOS!$A:$E,5,FALSE)="","",VLOOKUP(A2672,[18]PRIORIZADOS!$A:$E,5,FALSE)),"")</f>
        <v>EPBM</v>
      </c>
      <c r="F2672" s="11" t="str">
        <f>IFERROR(IF(VLOOKUP(A2672,[18]PRIORIZADOS!$A:$F,6,FALSE)="","",VLOOKUP(A2672,[18]PRIORIZADOS!$A:$F,6,FALSE)),"")</f>
        <v>COLEGIO_SAN_GREGORIO_HERNANDEZ</v>
      </c>
      <c r="G2672" s="11" t="str">
        <f>IFERROR(IF(VLOOKUP(A2672,[18]PRIORIZADOS!$A:$G,7,FALSE)="","",VLOOKUP(A2672,[18]PRIORIZADOS!$A:$G,7,FALSE)),"")</f>
        <v>COLEGIO SAN GREGORIO HERNANDEZ</v>
      </c>
      <c r="H2672" s="11" t="str">
        <f>IFERROR(IF(VLOOKUP(A2672,[18]PRIORIZADOS!$A:$H,8,FALSE)="","",VLOOKUP(A2672,[18]PRIORIZADOS!$A:$H,8,FALSE)),"")</f>
        <v>Autoevaluación Institucional y Pruebas SABER 11</v>
      </c>
      <c r="I2672" s="11" t="str">
        <f>IFERROR(IF(VLOOKUP(A2672,[18]PRIORIZADOS!$A:$I,9,FALSE)="","",VLOOKUP(A2672,[18]PRIORIZADOS!$A:$I,9,FALSE)),"")</f>
        <v>EVALUACIÓN_CON_FINES_DE_MEJORAMIENTO.</v>
      </c>
      <c r="J2672" s="11" t="str">
        <f>IFERROR(IF(VLOOKUP(A2672,[18]PRIORIZADOS!$A:$J,10,FALSE)="","",VLOOKUP(A2672,[18]PRIORIZADOS!$A:$J,10,FALSE)),"")</f>
        <v>Verificar las condiciones en cuanto a: la estructura administrativa, condiciones de la planta física y medios educativos adecuados.</v>
      </c>
      <c r="K2672" s="11" t="str">
        <f>IFERROR(IF(VLOOKUP(A2672,[18]PRIORIZADOS!$A:$K,11,FALSE)="","",VLOOKUP(A2672,[18]PRIORIZADOS!$A:$K,11,FALSE)),"")</f>
        <v>KATHERINE HERNÁNDEZ RUBIANO</v>
      </c>
      <c r="L2672" s="11" t="str">
        <f>IFERROR(IF(VLOOKUP(A2672,[18]PRIORIZADOS!$A:$L,12,FALSE)="","",VLOOKUP(A2672,[18]PRIORIZADOS!$A:$L,12,FALSE)),"")</f>
        <v>FRANCY LORENA RODRIGUEZ CASTRO</v>
      </c>
      <c r="M2672" s="71">
        <f>IFERROR(IF(VLOOKUP(A2672,[18]PRIORIZADOS!$A:$M,13,FALSE)="","",VLOOKUP(A2672,[18]PRIORIZADOS!$A:$M,13,FALSE)),"")</f>
        <v>45716</v>
      </c>
      <c r="N2672" s="71">
        <f>IFERROR(IF(VLOOKUP(A2672,[18]PRIORIZADOS!$A:$N,14,FALSE)="","",VLOOKUP(A2672,[18]PRIORIZADOS!$A:$N,14,FALSE)),"")</f>
        <v>45716</v>
      </c>
      <c r="O2672" s="71">
        <f>IFERROR(IF(VLOOKUP(A2672,[18]PRIORIZADOS!$A:$O,15,FALSE)="","",VLOOKUP(A2672,[18]PRIORIZADOS!$A:$O,15,FALSE)),"")</f>
        <v>45716</v>
      </c>
      <c r="P2672" s="11" t="str">
        <f>IFERROR(IF(VLOOKUP(A2672,[18]PRIORIZADOS!$A:$P,16,FALSE)="","",VLOOKUP(A2672,[18]PRIORIZADOS!$A:$P,16,FALSE)),"")</f>
        <v>Visitas de evaluación con fines de mejoramiento</v>
      </c>
      <c r="Q2672" s="2" t="s">
        <v>516</v>
      </c>
      <c r="R2672" s="11" t="str">
        <f>IFERROR(IF(VLOOKUP(A2672,[18]PRIORIZADOS!$A:$R,18,FALSE)="","",VLOOKUP(A2672,[18]PRIORIZADOS!$A:$R,18,FALSE)),"")</f>
        <v xml:space="preserve">Se realizo verificación a través de recorrido por las instalaciones y revisión del concepto sanitario el cual, reporta como favorable y certificado de desinfección de tanques y desratización del 3 de febrero. </v>
      </c>
      <c r="S2672" s="11" t="str">
        <f>IFERROR(IF(VLOOKUP(A2672,[18]PRIORIZADOS!$A:$S,19,FALSE)="","",VLOOKUP(A2672,[18]PRIORIZADOS!$A:$S,19,FALSE)),"")</f>
        <v>Continuar con el manejo de las medadidas higienico sanitarias.</v>
      </c>
      <c r="T2672" s="70" t="str">
        <f>IFERROR(IF(VLOOKUP(A2672,[18]PRIORIZADOS!$A:$T,20,FALSE)="","",VLOOKUP(A2672,[18]PRIORIZADOS!$A:$T,20,FALSE)),"")</f>
        <v>No</v>
      </c>
      <c r="U2672" s="11" t="str">
        <f>IFERROR(IF(VLOOKUP(A2672,[18]PRIORIZADOS!$A:$U,21,FALSE)="","",VLOOKUP(A2672,[18]PRIORIZADOS!$A:$U,21,FALSE)),"")</f>
        <v>Revisara en caso de presentarsen quejas frente a este aspecto.</v>
      </c>
    </row>
    <row r="2673" spans="1:21" s="1" customFormat="1" ht="96">
      <c r="A2673" s="69">
        <f>IF([18]PRIORIZADOS!A16="","",[18]PRIORIZADOS!A16)</f>
        <v>2658</v>
      </c>
      <c r="B2673" s="70">
        <f>IFERROR(IF(VLOOKUP(A2673,[18]PRIORIZADOS!$A:$B,2,FALSE)="","",VLOOKUP(A2673,[18]PRIORIZADOS!$A:$B,2,FALSE)),"")</f>
        <v>2</v>
      </c>
      <c r="C2673" s="11" t="str">
        <f>IFERROR(IF(VLOOKUP(A2673,[18]PRIORIZADOS!$A:$C,3,FALSE)="","",VLOOKUP(A2673,[18]PRIORIZADOS!$A:$C,3,FALSE)),"")</f>
        <v>USME</v>
      </c>
      <c r="D2673" s="11" t="str">
        <f>IFERROR(IF(VLOOKUP(A2673,[18]PRIORIZADOS!$A:$D,4,FALSE)="","",VLOOKUP(A2673,[18]PRIORIZADOS!$A:$D,4,FALSE)),"")</f>
        <v>PRIVADO</v>
      </c>
      <c r="E2673" s="11" t="str">
        <f>IFERROR(IF(VLOOKUP(A2673,[18]PRIORIZADOS!$A:$E,5,FALSE)="","",VLOOKUP(A2673,[18]PRIORIZADOS!$A:$E,5,FALSE)),"")</f>
        <v>EPBM</v>
      </c>
      <c r="F2673" s="11" t="str">
        <f>IFERROR(IF(VLOOKUP(A2673,[18]PRIORIZADOS!$A:$F,6,FALSE)="","",VLOOKUP(A2673,[18]PRIORIZADOS!$A:$F,6,FALSE)),"")</f>
        <v>COLEGIO_JUAN_RULFO</v>
      </c>
      <c r="G2673" s="11" t="str">
        <f>IFERROR(IF(VLOOKUP(A2673,[18]PRIORIZADOS!$A:$G,7,FALSE)="","",VLOOKUP(A2673,[18]PRIORIZADOS!$A:$G,7,FALSE)),"")</f>
        <v>COLEGIO JUAN RULFO</v>
      </c>
      <c r="H2673" s="11" t="str">
        <f>IFERROR(IF(VLOOKUP(A2673,[18]PRIORIZADOS!$A:$H,8,FALSE)="","",VLOOKUP(A2673,[18]PRIORIZADOS!$A:$H,8,FALSE)),"")</f>
        <v>Autoevaluación Institucional y Pruebas SABER 11</v>
      </c>
      <c r="I2673" s="11" t="str">
        <f>IFERROR(IF(VLOOKUP(A2673,[18]PRIORIZADOS!$A:$I,9,FALSE)="","",VLOOKUP(A2673,[18]PRIORIZADOS!$A:$I,9,FALSE)),"")</f>
        <v>SEGUIMIENTO_Y_SUPERVISIÓN.</v>
      </c>
      <c r="J2673" s="11" t="str">
        <f>IFERROR(IF(VLOOKUP(A2673,[18]PRIORIZADOS!$A:$J,10,FALSE)="","",VLOOKUP(A2673,[18]PRIORIZADOS!$A:$J,10,FALSE)),"")</f>
        <v>Realizar visitas para verificar la información registrada sobre la autoevaluación institucional en el aplicativo EVI, a los establecimientos de educación formal no oficial.</v>
      </c>
      <c r="K2673" s="11" t="str">
        <f>IFERROR(IF(VLOOKUP(A2673,[18]PRIORIZADOS!$A:$K,11,FALSE)="","",VLOOKUP(A2673,[18]PRIORIZADOS!$A:$K,11,FALSE)),"")</f>
        <v>KATHERINE HERNÁNDEZ RUBIANO</v>
      </c>
      <c r="L2673" s="11" t="str">
        <f>IFERROR(IF(VLOOKUP(A2673,[18]PRIORIZADOS!$A:$L,12,FALSE)="","",VLOOKUP(A2673,[18]PRIORIZADOS!$A:$L,12,FALSE)),"")</f>
        <v>FRANCY LORENA RODRIGUEZ CASTRO</v>
      </c>
      <c r="M2673" s="71">
        <f>IFERROR(IF(VLOOKUP(A2673,[18]PRIORIZADOS!$A:$M,13,FALSE)="","",VLOOKUP(A2673,[18]PRIORIZADOS!$A:$M,13,FALSE)),"")</f>
        <v>45720</v>
      </c>
      <c r="N2673" s="71">
        <f>IFERROR(IF(VLOOKUP(A2673,[18]PRIORIZADOS!$A:$N,14,FALSE)="","",VLOOKUP(A2673,[18]PRIORIZADOS!$A:$N,14,FALSE)),"")</f>
        <v>45728</v>
      </c>
      <c r="O2673" s="71">
        <f>IFERROR(IF(VLOOKUP(A2673,[18]PRIORIZADOS!$A:$O,15,FALSE)="","",VLOOKUP(A2673,[18]PRIORIZADOS!$A:$O,15,FALSE)),"")</f>
        <v>45728</v>
      </c>
      <c r="P2673" s="11" t="str">
        <f>IFERROR(IF(VLOOKUP(A2673,[18]PRIORIZADOS!$A:$P,16,FALSE)="","",VLOOKUP(A2673,[18]PRIORIZADOS!$A:$P,16,FALSE)),"")</f>
        <v>Visitas de evaluación con fines de mejoramiento</v>
      </c>
      <c r="Q2673" s="2" t="s">
        <v>517</v>
      </c>
      <c r="R2673" s="11" t="str">
        <f>IFERROR(IF(VLOOKUP(A2673,[18]PRIORIZADOS!$A:$R,18,FALSE)="","",VLOOKUP(A2673,[18]PRIORIZADOS!$A:$R,18,FALSE)),"")</f>
        <v>Se encontró carpetas con contratos laborales docentes, correspondientes a termino fijo. Pago de planilla SOI de marzo de 2025. Sin embargo, el docente de Ciencias Sociales no cuenta con el título profesional y el rector al ser profesional no licenciado, no cuenta con formación pedagógica.</v>
      </c>
      <c r="S2673" s="11" t="str">
        <f>IFERROR(IF(VLOOKUP(A2673,[18]PRIORIZADOS!$A:$S,19,FALSE)="","",VLOOKUP(A2673,[18]PRIORIZADOS!$A:$S,19,FALSE)),"")</f>
        <v>La institución debe aportar el titulo de profesional del docente de Ciencias Sociales y el curso de formación pedagógica del rector que no es licenciado.</v>
      </c>
      <c r="T2673" s="70" t="str">
        <f>IFERROR(IF(VLOOKUP(A2673,[18]PRIORIZADOS!$A:$T,20,FALSE)="","",VLOOKUP(A2673,[18]PRIORIZADOS!$A:$T,20,FALSE)),"")</f>
        <v>Si</v>
      </c>
      <c r="U2673" s="11" t="str">
        <f>IFERROR(IF(VLOOKUP(A2673,[18]PRIORIZADOS!$A:$U,21,FALSE)="","",VLOOKUP(A2673,[18]PRIORIZADOS!$A:$U,21,FALSE)),"")</f>
        <v>Revisar el plan de mejoramiento y la ejecución de las actividades relacionadas con la idoneidad de docente y directivo.</v>
      </c>
    </row>
    <row r="2674" spans="1:21" s="1" customFormat="1" ht="84">
      <c r="A2674" s="69">
        <f>IF([18]PRIORIZADOS!A17="","",[18]PRIORIZADOS!A17)</f>
        <v>2659</v>
      </c>
      <c r="B2674" s="70">
        <f>IFERROR(IF(VLOOKUP(A2674,[18]PRIORIZADOS!$A:$B,2,FALSE)="","",VLOOKUP(A2674,[18]PRIORIZADOS!$A:$B,2,FALSE)),"")</f>
        <v>2</v>
      </c>
      <c r="C2674" s="11" t="str">
        <f>IFERROR(IF(VLOOKUP(A2674,[18]PRIORIZADOS!$A:$C,3,FALSE)="","",VLOOKUP(A2674,[18]PRIORIZADOS!$A:$C,3,FALSE)),"")</f>
        <v>USME</v>
      </c>
      <c r="D2674" s="11" t="str">
        <f>IFERROR(IF(VLOOKUP(A2674,[18]PRIORIZADOS!$A:$D,4,FALSE)="","",VLOOKUP(A2674,[18]PRIORIZADOS!$A:$D,4,FALSE)),"")</f>
        <v>PRIVADO</v>
      </c>
      <c r="E2674" s="11" t="str">
        <f>IFERROR(IF(VLOOKUP(A2674,[18]PRIORIZADOS!$A:$E,5,FALSE)="","",VLOOKUP(A2674,[18]PRIORIZADOS!$A:$E,5,FALSE)),"")</f>
        <v>EPBM</v>
      </c>
      <c r="F2674" s="11" t="str">
        <f>IFERROR(IF(VLOOKUP(A2674,[18]PRIORIZADOS!$A:$F,6,FALSE)="","",VLOOKUP(A2674,[18]PRIORIZADOS!$A:$F,6,FALSE)),"")</f>
        <v>COLEGIO_JUAN_RULFO</v>
      </c>
      <c r="G2674" s="11" t="str">
        <f>IFERROR(IF(VLOOKUP(A2674,[18]PRIORIZADOS!$A:$G,7,FALSE)="","",VLOOKUP(A2674,[18]PRIORIZADOS!$A:$G,7,FALSE)),"")</f>
        <v>COLEGIO JUAN RULFO</v>
      </c>
      <c r="H2674" s="11" t="str">
        <f>IFERROR(IF(VLOOKUP(A2674,[18]PRIORIZADOS!$A:$H,8,FALSE)="","",VLOOKUP(A2674,[18]PRIORIZADOS!$A:$H,8,FALSE)),"")</f>
        <v>Autoevaluación Institucional y Pruebas SABER 11</v>
      </c>
      <c r="I2674" s="11" t="str">
        <f>IFERROR(IF(VLOOKUP(A2674,[18]PRIORIZADOS!$A:$I,9,FALSE)="","",VLOOKUP(A2674,[18]PRIORIZADOS!$A:$I,9,FALSE)),"")</f>
        <v>SEGUIMIENTO_Y_SUPERVISIÓN.</v>
      </c>
      <c r="J2674" s="11" t="str">
        <f>IFERROR(IF(VLOOKUP(A2674,[18]PRIORIZADOS!$A:$J,10,FALSE)="","",VLOOKUP(A2674,[18]PRIORIZADOS!$A:$J,10,FALSE)),"")</f>
        <v>Proponer estrategias en la formulación, verificar su elaboración y realizar seguimiento semestral al desarrollo de  las acciones establecidas en los planes de mejoramiento por pruebas SABER 11 de los establecimientos de educación formal.</v>
      </c>
      <c r="K2674" s="11" t="str">
        <f>IFERROR(IF(VLOOKUP(A2674,[18]PRIORIZADOS!$A:$K,11,FALSE)="","",VLOOKUP(A2674,[18]PRIORIZADOS!$A:$K,11,FALSE)),"")</f>
        <v>KATHERINE HERNÁNDEZ RUBIANO</v>
      </c>
      <c r="L2674" s="11" t="str">
        <f>IFERROR(IF(VLOOKUP(A2674,[18]PRIORIZADOS!$A:$L,12,FALSE)="","",VLOOKUP(A2674,[18]PRIORIZADOS!$A:$L,12,FALSE)),"")</f>
        <v>FRANCY LORENA RODRIGUEZ CASTRO</v>
      </c>
      <c r="M2674" s="71">
        <f>IFERROR(IF(VLOOKUP(A2674,[18]PRIORIZADOS!$A:$M,13,FALSE)="","",VLOOKUP(A2674,[18]PRIORIZADOS!$A:$M,13,FALSE)),"")</f>
        <v>45720</v>
      </c>
      <c r="N2674" s="71">
        <f>IFERROR(IF(VLOOKUP(A2674,[18]PRIORIZADOS!$A:$N,14,FALSE)="","",VLOOKUP(A2674,[18]PRIORIZADOS!$A:$N,14,FALSE)),"")</f>
        <v>45728</v>
      </c>
      <c r="O2674" s="71">
        <f>IFERROR(IF(VLOOKUP(A2674,[18]PRIORIZADOS!$A:$O,15,FALSE)="","",VLOOKUP(A2674,[18]PRIORIZADOS!$A:$O,15,FALSE)),"")</f>
        <v>45728</v>
      </c>
      <c r="P2674" s="11" t="str">
        <f>IFERROR(IF(VLOOKUP(A2674,[18]PRIORIZADOS!$A:$P,16,FALSE)="","",VLOOKUP(A2674,[18]PRIORIZADOS!$A:$P,16,FALSE)),"")</f>
        <v>Visitas de evaluación con fines de mejoramiento</v>
      </c>
      <c r="Q2674" s="2" t="s">
        <v>517</v>
      </c>
      <c r="R2674" s="11" t="str">
        <f>IFERROR(IF(VLOOKUP(A2674,[18]PRIORIZADOS!$A:$R,18,FALSE)="","",VLOOKUP(A2674,[18]PRIORIZADOS!$A:$R,18,FALSE)),"")</f>
        <v>La Institución Educativa, no cuenta con evidencia de análisis de resultados de la Prueba Saber 11</v>
      </c>
      <c r="S2674" s="11" t="str">
        <f>IFERROR(IF(VLOOKUP(A2674,[18]PRIORIZADOS!$A:$S,19,FALSE)="","",VLOOKUP(A2674,[18]PRIORIZADOS!$A:$S,19,FALSE)),"")</f>
        <v>Realizar la revisión y análisis de los resultados de la Pueba Saber 11, definir acciones con el Consejo Académico y Directivo, para establecer un plan de mejoramiento que responda a las necesidades de actualización del currículo y desarrollo de competencias.</v>
      </c>
      <c r="T2674" s="70" t="str">
        <f>IFERROR(IF(VLOOKUP(A2674,[18]PRIORIZADOS!$A:$T,20,FALSE)="","",VLOOKUP(A2674,[18]PRIORIZADOS!$A:$T,20,FALSE)),"")</f>
        <v>Si</v>
      </c>
      <c r="U2674" s="11" t="str">
        <f>IFERROR(IF(VLOOKUP(A2674,[18]PRIORIZADOS!$A:$U,21,FALSE)="","",VLOOKUP(A2674,[18]PRIORIZADOS!$A:$U,21,FALSE)),"")</f>
        <v>Verificar la implementación de este aspecto en el Plan de Mejoramiento Institucional entregado el 21/03/2025.</v>
      </c>
    </row>
    <row r="2675" spans="1:21" s="1" customFormat="1" ht="60">
      <c r="A2675" s="69">
        <f>IF([18]PRIORIZADOS!A18="","",[18]PRIORIZADOS!A18)</f>
        <v>2660</v>
      </c>
      <c r="B2675" s="70">
        <f>IFERROR(IF(VLOOKUP(A2675,[18]PRIORIZADOS!$A:$B,2,FALSE)="","",VLOOKUP(A2675,[18]PRIORIZADOS!$A:$B,2,FALSE)),"")</f>
        <v>2</v>
      </c>
      <c r="C2675" s="11" t="str">
        <f>IFERROR(IF(VLOOKUP(A2675,[18]PRIORIZADOS!$A:$C,3,FALSE)="","",VLOOKUP(A2675,[18]PRIORIZADOS!$A:$C,3,FALSE)),"")</f>
        <v>USME</v>
      </c>
      <c r="D2675" s="11" t="str">
        <f>IFERROR(IF(VLOOKUP(A2675,[18]PRIORIZADOS!$A:$D,4,FALSE)="","",VLOOKUP(A2675,[18]PRIORIZADOS!$A:$D,4,FALSE)),"")</f>
        <v>PRIVADO</v>
      </c>
      <c r="E2675" s="11" t="str">
        <f>IFERROR(IF(VLOOKUP(A2675,[18]PRIORIZADOS!$A:$E,5,FALSE)="","",VLOOKUP(A2675,[18]PRIORIZADOS!$A:$E,5,FALSE)),"")</f>
        <v>EPBM</v>
      </c>
      <c r="F2675" s="11" t="str">
        <f>IFERROR(IF(VLOOKUP(A2675,[18]PRIORIZADOS!$A:$F,6,FALSE)="","",VLOOKUP(A2675,[18]PRIORIZADOS!$A:$F,6,FALSE)),"")</f>
        <v>COLEGIO_JUAN_RULFO</v>
      </c>
      <c r="G2675" s="11" t="str">
        <f>IFERROR(IF(VLOOKUP(A2675,[18]PRIORIZADOS!$A:$G,7,FALSE)="","",VLOOKUP(A2675,[18]PRIORIZADOS!$A:$G,7,FALSE)),"")</f>
        <v>COLEGIO JUAN RULFO</v>
      </c>
      <c r="H2675" s="11" t="str">
        <f>IFERROR(IF(VLOOKUP(A2675,[18]PRIORIZADOS!$A:$H,8,FALSE)="","",VLOOKUP(A2675,[18]PRIORIZADOS!$A:$H,8,FALSE)),"")</f>
        <v>Autoevaluación Institucional y Pruebas SABER 11</v>
      </c>
      <c r="I2675" s="11" t="str">
        <f>IFERROR(IF(VLOOKUP(A2675,[18]PRIORIZADOS!$A:$I,9,FALSE)="","",VLOOKUP(A2675,[18]PRIORIZADOS!$A:$I,9,FALSE)),"")</f>
        <v>SEGUIMIENTO_Y_SUPERVISIÓN.</v>
      </c>
      <c r="J2675" s="11" t="str">
        <f>IFERROR(IF(VLOOKUP(A2675,[18]PRIORIZADOS!$A:$J,10,FALSE)="","",VLOOKUP(A2675,[18]PRIORIZADOS!$A:$J,10,FALSE)),"")</f>
        <v xml:space="preserve">Verificar la implementación por parte de los colegios, de acciones realizadas para la prevención y atención de las situaciones de convivencia en el entorno escolar, según lo establecido en la Directiva 01 de 2022 del MEN. </v>
      </c>
      <c r="K2675" s="11" t="str">
        <f>IFERROR(IF(VLOOKUP(A2675,[18]PRIORIZADOS!$A:$K,11,FALSE)="","",VLOOKUP(A2675,[18]PRIORIZADOS!$A:$K,11,FALSE)),"")</f>
        <v>KATHERINE HERNÁNDEZ RUBIANO</v>
      </c>
      <c r="L2675" s="11" t="str">
        <f>IFERROR(IF(VLOOKUP(A2675,[18]PRIORIZADOS!$A:$L,12,FALSE)="","",VLOOKUP(A2675,[18]PRIORIZADOS!$A:$L,12,FALSE)),"")</f>
        <v>FRANCY LORENA RODRIGUEZ CASTRO</v>
      </c>
      <c r="M2675" s="71">
        <f>IFERROR(IF(VLOOKUP(A2675,[18]PRIORIZADOS!$A:$M,13,FALSE)="","",VLOOKUP(A2675,[18]PRIORIZADOS!$A:$M,13,FALSE)),"")</f>
        <v>45720</v>
      </c>
      <c r="N2675" s="71">
        <f>IFERROR(IF(VLOOKUP(A2675,[18]PRIORIZADOS!$A:$N,14,FALSE)="","",VLOOKUP(A2675,[18]PRIORIZADOS!$A:$N,14,FALSE)),"")</f>
        <v>45728</v>
      </c>
      <c r="O2675" s="71">
        <f>IFERROR(IF(VLOOKUP(A2675,[18]PRIORIZADOS!$A:$O,15,FALSE)="","",VLOOKUP(A2675,[18]PRIORIZADOS!$A:$O,15,FALSE)),"")</f>
        <v>45728</v>
      </c>
      <c r="P2675" s="11" t="str">
        <f>IFERROR(IF(VLOOKUP(A2675,[18]PRIORIZADOS!$A:$P,16,FALSE)="","",VLOOKUP(A2675,[18]PRIORIZADOS!$A:$P,16,FALSE)),"")</f>
        <v>Visitas de evaluación con fines de mejoramiento</v>
      </c>
      <c r="Q2675" s="2" t="s">
        <v>517</v>
      </c>
      <c r="R2675" s="11" t="str">
        <f>IFERROR(IF(VLOOKUP(A2675,[18]PRIORIZADOS!$A:$R,18,FALSE)="","",VLOOKUP(A2675,[18]PRIORIZADOS!$A:$R,18,FALSE)),"")</f>
        <v>Se revisó los archivos , correspondientes a la contratación docente, encontrando el Certificado de Delitos Sexuales, correspondiente a febrero de 2025 de todos los docentes.</v>
      </c>
      <c r="S2675" s="11" t="str">
        <f>IFERROR(IF(VLOOKUP(A2675,[18]PRIORIZADOS!$A:$S,19,FALSE)="","",VLOOKUP(A2675,[18]PRIORIZADOS!$A:$S,19,FALSE)),"")</f>
        <v>Continuar la revisión de los antecedentes de delitos sexuales cada cuatro meses como lo indica la Directiva 01 de 2022</v>
      </c>
      <c r="T2675" s="70" t="str">
        <f>IFERROR(IF(VLOOKUP(A2675,[18]PRIORIZADOS!$A:$T,20,FALSE)="","",VLOOKUP(A2675,[18]PRIORIZADOS!$A:$T,20,FALSE)),"")</f>
        <v>No</v>
      </c>
      <c r="U2675" s="11" t="str">
        <f>IFERROR(IF(VLOOKUP(A2675,[18]PRIORIZADOS!$A:$U,21,FALSE)="","",VLOOKUP(A2675,[18]PRIORIZADOS!$A:$U,21,FALSE)),"")</f>
        <v>Se realizará la revisión de los certificados, en caso que se presenten novedades sobre este tema.</v>
      </c>
    </row>
    <row r="2676" spans="1:21" s="1" customFormat="1" ht="48">
      <c r="A2676" s="69">
        <f>IF([18]PRIORIZADOS!A19="","",[18]PRIORIZADOS!A19)</f>
        <v>2664</v>
      </c>
      <c r="B2676" s="70">
        <f>IFERROR(IF(VLOOKUP(A2676,[18]PRIORIZADOS!$A:$B,2,FALSE)="","",VLOOKUP(A2676,[18]PRIORIZADOS!$A:$B,2,FALSE)),"")</f>
        <v>2</v>
      </c>
      <c r="C2676" s="11" t="str">
        <f>IFERROR(IF(VLOOKUP(A2676,[18]PRIORIZADOS!$A:$C,3,FALSE)="","",VLOOKUP(A2676,[18]PRIORIZADOS!$A:$C,3,FALSE)),"")</f>
        <v>USME</v>
      </c>
      <c r="D2676" s="11" t="str">
        <f>IFERROR(IF(VLOOKUP(A2676,[18]PRIORIZADOS!$A:$D,4,FALSE)="","",VLOOKUP(A2676,[18]PRIORIZADOS!$A:$D,4,FALSE)),"")</f>
        <v>PRIVADO</v>
      </c>
      <c r="E2676" s="11" t="str">
        <f>IFERROR(IF(VLOOKUP(A2676,[18]PRIORIZADOS!$A:$E,5,FALSE)="","",VLOOKUP(A2676,[18]PRIORIZADOS!$A:$E,5,FALSE)),"")</f>
        <v>EPBM</v>
      </c>
      <c r="F2676" s="11" t="str">
        <f>IFERROR(IF(VLOOKUP(A2676,[18]PRIORIZADOS!$A:$F,6,FALSE)="","",VLOOKUP(A2676,[18]PRIORIZADOS!$A:$F,6,FALSE)),"")</f>
        <v>COLEGIO_JUAN_RULFO</v>
      </c>
      <c r="G2676" s="11" t="str">
        <f>IFERROR(IF(VLOOKUP(A2676,[18]PRIORIZADOS!$A:$G,7,FALSE)="","",VLOOKUP(A2676,[18]PRIORIZADOS!$A:$G,7,FALSE)),"")</f>
        <v>COLEGIO JUAN RULFO</v>
      </c>
      <c r="H2676" s="11" t="str">
        <f>IFERROR(IF(VLOOKUP(A2676,[18]PRIORIZADOS!$A:$H,8,FALSE)="","",VLOOKUP(A2676,[18]PRIORIZADOS!$A:$H,8,FALSE)),"")</f>
        <v>Autoevaluación Institucional y Pruebas SABER 11</v>
      </c>
      <c r="I2676" s="11" t="str">
        <f>IFERROR(IF(VLOOKUP(A2676,[18]PRIORIZADOS!$A:$I,9,FALSE)="","",VLOOKUP(A2676,[18]PRIORIZADOS!$A:$I,9,FALSE)),"")</f>
        <v>EVALUACIÓN_CON_FINES_DE_MEJORAMIENTO.</v>
      </c>
      <c r="J2676" s="11" t="str">
        <f>IFERROR(IF(VLOOKUP(A2676,[18]PRIORIZADOS!$A:$J,10,FALSE)="","",VLOOKUP(A2676,[18]PRIORIZADOS!$A:$J,10,FALSE)),"")</f>
        <v>Revisar el calendario escolar, jornada escolar, la intensidad horaria mínima anual en cada nivel y las modificaciones que se realicen al mismo, de acuerdo con lo previsto en la normatividad vigente.</v>
      </c>
      <c r="K2676" s="11" t="str">
        <f>IFERROR(IF(VLOOKUP(A2676,[18]PRIORIZADOS!$A:$K,11,FALSE)="","",VLOOKUP(A2676,[18]PRIORIZADOS!$A:$K,11,FALSE)),"")</f>
        <v>KATHERINE HERNÁNDEZ RUBIANO</v>
      </c>
      <c r="L2676" s="11" t="str">
        <f>IFERROR(IF(VLOOKUP(A2676,[18]PRIORIZADOS!$A:$L,12,FALSE)="","",VLOOKUP(A2676,[18]PRIORIZADOS!$A:$L,12,FALSE)),"")</f>
        <v>FRANCY LORENA RODRIGUEZ CASTRO</v>
      </c>
      <c r="M2676" s="71">
        <f>IFERROR(IF(VLOOKUP(A2676,[18]PRIORIZADOS!$A:$M,13,FALSE)="","",VLOOKUP(A2676,[18]PRIORIZADOS!$A:$M,13,FALSE)),"")</f>
        <v>45720</v>
      </c>
      <c r="N2676" s="71">
        <f>IFERROR(IF(VLOOKUP(A2676,[18]PRIORIZADOS!$A:$N,14,FALSE)="","",VLOOKUP(A2676,[18]PRIORIZADOS!$A:$N,14,FALSE)),"")</f>
        <v>45728</v>
      </c>
      <c r="O2676" s="71">
        <f>IFERROR(IF(VLOOKUP(A2676,[18]PRIORIZADOS!$A:$O,15,FALSE)="","",VLOOKUP(A2676,[18]PRIORIZADOS!$A:$O,15,FALSE)),"")</f>
        <v>45728</v>
      </c>
      <c r="P2676" s="11" t="str">
        <f>IFERROR(IF(VLOOKUP(A2676,[18]PRIORIZADOS!$A:$P,16,FALSE)="","",VLOOKUP(A2676,[18]PRIORIZADOS!$A:$P,16,FALSE)),"")</f>
        <v>Visitas de evaluación con fines de mejoramiento</v>
      </c>
      <c r="Q2676" s="2" t="s">
        <v>517</v>
      </c>
      <c r="R2676" s="11" t="str">
        <f>IFERROR(IF(VLOOKUP(A2676,[18]PRIORIZADOS!$A:$R,18,FALSE)="","",VLOOKUP(A2676,[18]PRIORIZADOS!$A:$R,18,FALSE)),"")</f>
        <v>El calendario escolar se encuentró ajustado e implementado de acuerdo con la normatividad.</v>
      </c>
      <c r="S2676" s="11" t="str">
        <f>IFERROR(IF(VLOOKUP(A2676,[18]PRIORIZADOS!$A:$S,19,FALSE)="","",VLOOKUP(A2676,[18]PRIORIZADOS!$A:$S,19,FALSE)),"")</f>
        <v xml:space="preserve">Continuar con la implementación del calendario escolar </v>
      </c>
      <c r="T2676" s="70" t="str">
        <f>IFERROR(IF(VLOOKUP(A2676,[18]PRIORIZADOS!$A:$T,20,FALSE)="","",VLOOKUP(A2676,[18]PRIORIZADOS!$A:$T,20,FALSE)),"")</f>
        <v>No</v>
      </c>
      <c r="U2676" s="11" t="str">
        <f>IFERROR(IF(VLOOKUP(A2676,[18]PRIORIZADOS!$A:$U,21,FALSE)="","",VLOOKUP(A2676,[18]PRIORIZADOS!$A:$U,21,FALSE)),"")</f>
        <v>Verificación para la vigencia 2026</v>
      </c>
    </row>
    <row r="2677" spans="1:21" s="1" customFormat="1" ht="84">
      <c r="A2677" s="69">
        <f>IF([18]PRIORIZADOS!A20="","",[18]PRIORIZADOS!A20)</f>
        <v>2666</v>
      </c>
      <c r="B2677" s="70">
        <f>IFERROR(IF(VLOOKUP(A2677,[18]PRIORIZADOS!$A:$B,2,FALSE)="","",VLOOKUP(A2677,[18]PRIORIZADOS!$A:$B,2,FALSE)),"")</f>
        <v>2</v>
      </c>
      <c r="C2677" s="11" t="str">
        <f>IFERROR(IF(VLOOKUP(A2677,[18]PRIORIZADOS!$A:$C,3,FALSE)="","",VLOOKUP(A2677,[18]PRIORIZADOS!$A:$C,3,FALSE)),"")</f>
        <v>USME</v>
      </c>
      <c r="D2677" s="11" t="str">
        <f>IFERROR(IF(VLOOKUP(A2677,[18]PRIORIZADOS!$A:$D,4,FALSE)="","",VLOOKUP(A2677,[18]PRIORIZADOS!$A:$D,4,FALSE)),"")</f>
        <v>PRIVADO</v>
      </c>
      <c r="E2677" s="11" t="str">
        <f>IFERROR(IF(VLOOKUP(A2677,[18]PRIORIZADOS!$A:$E,5,FALSE)="","",VLOOKUP(A2677,[18]PRIORIZADOS!$A:$E,5,FALSE)),"")</f>
        <v>EPBM</v>
      </c>
      <c r="F2677" s="11" t="str">
        <f>IFERROR(IF(VLOOKUP(A2677,[18]PRIORIZADOS!$A:$F,6,FALSE)="","",VLOOKUP(A2677,[18]PRIORIZADOS!$A:$F,6,FALSE)),"")</f>
        <v>COLEGIO_JUAN_RULFO</v>
      </c>
      <c r="G2677" s="11" t="str">
        <f>IFERROR(IF(VLOOKUP(A2677,[18]PRIORIZADOS!$A:$G,7,FALSE)="","",VLOOKUP(A2677,[18]PRIORIZADOS!$A:$G,7,FALSE)),"")</f>
        <v>COLEGIO JUAN RULFO</v>
      </c>
      <c r="H2677" s="11" t="str">
        <f>IFERROR(IF(VLOOKUP(A2677,[18]PRIORIZADOS!$A:$H,8,FALSE)="","",VLOOKUP(A2677,[18]PRIORIZADOS!$A:$H,8,FALSE)),"")</f>
        <v>Autoevaluación Institucional y Pruebas SABER 11</v>
      </c>
      <c r="I2677" s="11" t="str">
        <f>IFERROR(IF(VLOOKUP(A2677,[18]PRIORIZADOS!$A:$I,9,FALSE)="","",VLOOKUP(A2677,[18]PRIORIZADOS!$A:$I,9,FALSE)),"")</f>
        <v>EVALUACIÓN_CON_FINES_DE_MEJORAMIENTO.</v>
      </c>
      <c r="J2677" s="11" t="str">
        <f>IFERROR(IF(VLOOKUP(A2677,[18]PRIORIZADOS!$A:$J,10,FALSE)="","",VLOOKUP(A2677,[18]PRIORIZADOS!$A:$J,10,FALSE)),"")</f>
        <v>Verificar las condiciones en cuanto a: la estructura administrativa, condiciones de la planta física y medios educativos adecuados.</v>
      </c>
      <c r="K2677" s="11" t="str">
        <f>IFERROR(IF(VLOOKUP(A2677,[18]PRIORIZADOS!$A:$K,11,FALSE)="","",VLOOKUP(A2677,[18]PRIORIZADOS!$A:$K,11,FALSE)),"")</f>
        <v>KATHERINE HERNÁNDEZ RUBIANO</v>
      </c>
      <c r="L2677" s="11" t="str">
        <f>IFERROR(IF(VLOOKUP(A2677,[18]PRIORIZADOS!$A:$L,12,FALSE)="","",VLOOKUP(A2677,[18]PRIORIZADOS!$A:$L,12,FALSE)),"")</f>
        <v>FRANCY LORENA RODRIGUEZ CASTRO</v>
      </c>
      <c r="M2677" s="71">
        <f>IFERROR(IF(VLOOKUP(A2677,[18]PRIORIZADOS!$A:$M,13,FALSE)="","",VLOOKUP(A2677,[18]PRIORIZADOS!$A:$M,13,FALSE)),"")</f>
        <v>45720</v>
      </c>
      <c r="N2677" s="71">
        <f>IFERROR(IF(VLOOKUP(A2677,[18]PRIORIZADOS!$A:$N,14,FALSE)="","",VLOOKUP(A2677,[18]PRIORIZADOS!$A:$N,14,FALSE)),"")</f>
        <v>45728</v>
      </c>
      <c r="O2677" s="71">
        <f>IFERROR(IF(VLOOKUP(A2677,[18]PRIORIZADOS!$A:$O,15,FALSE)="","",VLOOKUP(A2677,[18]PRIORIZADOS!$A:$O,15,FALSE)),"")</f>
        <v>45728</v>
      </c>
      <c r="P2677" s="11" t="str">
        <f>IFERROR(IF(VLOOKUP(A2677,[18]PRIORIZADOS!$A:$P,16,FALSE)="","",VLOOKUP(A2677,[18]PRIORIZADOS!$A:$P,16,FALSE)),"")</f>
        <v>Visitas de evaluación con fines de mejoramiento</v>
      </c>
      <c r="Q2677" s="2" t="s">
        <v>517</v>
      </c>
      <c r="R2677" s="11" t="str">
        <f>IFERROR(IF(VLOOKUP(A2677,[18]PRIORIZADOS!$A:$R,18,FALSE)="","",VLOOKUP(A2677,[18]PRIORIZADOS!$A:$R,18,FALSE)),"")</f>
        <v>Se observó en el recorrido por la planta física, que la IE cuenta con los ambientes suficientes para los cursos que tienen pero se requieren adecuaciones como construcción de rampas, revisión del espacio usado para el laborario de química y biología.</v>
      </c>
      <c r="S2677" s="11" t="str">
        <f>IFERROR(IF(VLOOKUP(A2677,[18]PRIORIZADOS!$A:$S,19,FALSE)="","",VLOOKUP(A2677,[18]PRIORIZADOS!$A:$S,19,FALSE)),"")</f>
        <v>Elaborar plan de mejoramiento que incorporar las acciones frente a los temas de infraestructura y planta física de la IE, entregarlo el 21 de marzo.</v>
      </c>
      <c r="T2677" s="70" t="str">
        <f>IFERROR(IF(VLOOKUP(A2677,[18]PRIORIZADOS!$A:$T,20,FALSE)="","",VLOOKUP(A2677,[18]PRIORIZADOS!$A:$T,20,FALSE)),"")</f>
        <v>Si</v>
      </c>
      <c r="U2677" s="11" t="str">
        <f>IFERROR(IF(VLOOKUP(A2677,[18]PRIORIZADOS!$A:$U,21,FALSE)="","",VLOOKUP(A2677,[18]PRIORIZADOS!$A:$U,21,FALSE)),"")</f>
        <v>Se verificará la adopción del plan de mejoramieno que incorpore los compromisos establecidos y se realizará visita de seguimiento en 2026.</v>
      </c>
    </row>
    <row r="2678" spans="1:21" s="1" customFormat="1" ht="48">
      <c r="A2678" s="69">
        <f>IF([18]PRIORIZADOS!A21="","",[18]PRIORIZADOS!A21)</f>
        <v>2667</v>
      </c>
      <c r="B2678" s="70">
        <f>IFERROR(IF(VLOOKUP(A2678,[18]PRIORIZADOS!$A:$B,2,FALSE)="","",VLOOKUP(A2678,[18]PRIORIZADOS!$A:$B,2,FALSE)),"")</f>
        <v>3</v>
      </c>
      <c r="C2678" s="11" t="str">
        <f>IFERROR(IF(VLOOKUP(A2678,[18]PRIORIZADOS!$A:$C,3,FALSE)="","",VLOOKUP(A2678,[18]PRIORIZADOS!$A:$C,3,FALSE)),"")</f>
        <v>USME</v>
      </c>
      <c r="D2678" s="11" t="str">
        <f>IFERROR(IF(VLOOKUP(A2678,[18]PRIORIZADOS!$A:$D,4,FALSE)="","",VLOOKUP(A2678,[18]PRIORIZADOS!$A:$D,4,FALSE)),"")</f>
        <v>PRIVADO</v>
      </c>
      <c r="E2678" s="11" t="str">
        <f>IFERROR(IF(VLOOKUP(A2678,[18]PRIORIZADOS!$A:$E,5,FALSE)="","",VLOOKUP(A2678,[18]PRIORIZADOS!$A:$E,5,FALSE)),"")</f>
        <v>EPBM</v>
      </c>
      <c r="F2678" s="11" t="str">
        <f>IFERROR(IF(VLOOKUP(A2678,[18]PRIORIZADOS!$A:$F,6,FALSE)="","",VLOOKUP(A2678,[18]PRIORIZADOS!$A:$F,6,FALSE)),"")</f>
        <v>COLEGIO_SANTA_MARIA_DE_LA_PAZ</v>
      </c>
      <c r="G2678" s="11" t="str">
        <f>IFERROR(IF(VLOOKUP(A2678,[18]PRIORIZADOS!$A:$G,7,FALSE)="","",VLOOKUP(A2678,[18]PRIORIZADOS!$A:$G,7,FALSE)),"")</f>
        <v>COLEGIO SANTA MARIA DE LA PAZ</v>
      </c>
      <c r="H2678" s="11" t="str">
        <f>IFERROR(IF(VLOOKUP(A2678,[18]PRIORIZADOS!$A:$H,8,FALSE)="","",VLOOKUP(A2678,[18]PRIORIZADOS!$A:$H,8,FALSE)),"")</f>
        <v>Autoevaluación Institucional y Pruebas SABER 11</v>
      </c>
      <c r="I2678" s="11" t="str">
        <f>IFERROR(IF(VLOOKUP(A2678,[18]PRIORIZADOS!$A:$I,9,FALSE)="","",VLOOKUP(A2678,[18]PRIORIZADOS!$A:$I,9,FALSE)),"")</f>
        <v>SEGUIMIENTO_Y_SUPERVISIÓN.</v>
      </c>
      <c r="J2678" s="11" t="str">
        <f>IFERROR(IF(VLOOKUP(A2678,[18]PRIORIZADOS!$A:$J,10,FALSE)="","",VLOOKUP(A2678,[18]PRIORIZADOS!$A:$J,10,FALSE)),"")</f>
        <v>Realizar visitas para verificar la información registrada sobre la autoevaluación institucional en el aplicativo EVI, a los establecimientos de educación formal no oficial.</v>
      </c>
      <c r="K2678" s="11" t="str">
        <f>IFERROR(IF(VLOOKUP(A2678,[18]PRIORIZADOS!$A:$K,11,FALSE)="","",VLOOKUP(A2678,[18]PRIORIZADOS!$A:$K,11,FALSE)),"")</f>
        <v>KATHERINE HERNÁNDEZ RUBIANO</v>
      </c>
      <c r="L2678" s="11" t="str">
        <f>IFERROR(IF(VLOOKUP(A2678,[18]PRIORIZADOS!$A:$L,12,FALSE)="","",VLOOKUP(A2678,[18]PRIORIZADOS!$A:$L,12,FALSE)),"")</f>
        <v>FRANCY LORENA RODRIGUEZ CASTRO</v>
      </c>
      <c r="M2678" s="71">
        <f>IFERROR(IF(VLOOKUP(A2678,[18]PRIORIZADOS!$A:$M,13,FALSE)="","",VLOOKUP(A2678,[18]PRIORIZADOS!$A:$M,13,FALSE)),"")</f>
        <v>45776</v>
      </c>
      <c r="N2678" s="71">
        <f>IFERROR(IF(VLOOKUP(A2678,[18]PRIORIZADOS!$A:$N,14,FALSE)="","",VLOOKUP(A2678,[18]PRIORIZADOS!$A:$N,14,FALSE)),"")</f>
        <v>45866</v>
      </c>
      <c r="O2678" s="71">
        <f>IFERROR(IF(VLOOKUP(A2678,[18]PRIORIZADOS!$A:$O,15,FALSE)="","",VLOOKUP(A2678,[18]PRIORIZADOS!$A:$O,15,FALSE)),"")</f>
        <v>45867</v>
      </c>
      <c r="P2678" s="11" t="str">
        <f>IFERROR(IF(VLOOKUP(A2678,[18]PRIORIZADOS!$A:$P,16,FALSE)="","",VLOOKUP(A2678,[18]PRIORIZADOS!$A:$P,16,FALSE)),"")</f>
        <v>Visitas de evaluación con fines de mejoramiento</v>
      </c>
      <c r="Q2678" s="2" t="s">
        <v>518</v>
      </c>
      <c r="R2678" s="11" t="str">
        <f>IFERROR(IF(VLOOKUP(A2678,[18]PRIORIZADOS!$A:$R,18,FALSE)="","",VLOOKUP(A2678,[18]PRIORIZADOS!$A:$R,18,FALSE)),"")</f>
        <v>Se encontró que no existe correspondencia entre el número de estudiantes registrados en el EVI - SIMAT y la realidad institucional en el momento de la visita.</v>
      </c>
      <c r="S2678" s="11" t="str">
        <f>IFERROR(IF(VLOOKUP(A2678,[18]PRIORIZADOS!$A:$S,19,FALSE)="","",VLOOKUP(A2678,[18]PRIORIZADOS!$A:$S,19,FALSE)),"")</f>
        <v>Actualizar el SIMAT con la matricula vigente</v>
      </c>
      <c r="T2678" s="70" t="str">
        <f>IFERROR(IF(VLOOKUP(A2678,[18]PRIORIZADOS!$A:$T,20,FALSE)="","",VLOOKUP(A2678,[18]PRIORIZADOS!$A:$T,20,FALSE)),"")</f>
        <v>Si</v>
      </c>
      <c r="U2678" s="11" t="str">
        <f>IFERROR(IF(VLOOKUP(A2678,[18]PRIORIZADOS!$A:$U,21,FALSE)="","",VLOOKUP(A2678,[18]PRIORIZADOS!$A:$U,21,FALSE)),"")</f>
        <v>Se validará la actualización en el SIMAT.</v>
      </c>
    </row>
    <row r="2679" spans="1:21" s="1" customFormat="1" ht="84">
      <c r="A2679" s="69">
        <f>IF([18]PRIORIZADOS!A22="","",[18]PRIORIZADOS!A22)</f>
        <v>2668</v>
      </c>
      <c r="B2679" s="70">
        <f>IFERROR(IF(VLOOKUP(A2679,[18]PRIORIZADOS!$A:$B,2,FALSE)="","",VLOOKUP(A2679,[18]PRIORIZADOS!$A:$B,2,FALSE)),"")</f>
        <v>3</v>
      </c>
      <c r="C2679" s="11" t="str">
        <f>IFERROR(IF(VLOOKUP(A2679,[18]PRIORIZADOS!$A:$C,3,FALSE)="","",VLOOKUP(A2679,[18]PRIORIZADOS!$A:$C,3,FALSE)),"")</f>
        <v>USME</v>
      </c>
      <c r="D2679" s="11" t="str">
        <f>IFERROR(IF(VLOOKUP(A2679,[18]PRIORIZADOS!$A:$D,4,FALSE)="","",VLOOKUP(A2679,[18]PRIORIZADOS!$A:$D,4,FALSE)),"")</f>
        <v>PRIVADO</v>
      </c>
      <c r="E2679" s="11" t="str">
        <f>IFERROR(IF(VLOOKUP(A2679,[18]PRIORIZADOS!$A:$E,5,FALSE)="","",VLOOKUP(A2679,[18]PRIORIZADOS!$A:$E,5,FALSE)),"")</f>
        <v>EPBM</v>
      </c>
      <c r="F2679" s="11" t="str">
        <f>IFERROR(IF(VLOOKUP(A2679,[18]PRIORIZADOS!$A:$F,6,FALSE)="","",VLOOKUP(A2679,[18]PRIORIZADOS!$A:$F,6,FALSE)),"")</f>
        <v>COLEGIO_SANTA_MARIA_DE_LA_PAZ</v>
      </c>
      <c r="G2679" s="11" t="str">
        <f>IFERROR(IF(VLOOKUP(A2679,[18]PRIORIZADOS!$A:$G,7,FALSE)="","",VLOOKUP(A2679,[18]PRIORIZADOS!$A:$G,7,FALSE)),"")</f>
        <v>COLEGIO SANTA MARIA DE LA PAZ</v>
      </c>
      <c r="H2679" s="11" t="str">
        <f>IFERROR(IF(VLOOKUP(A2679,[18]PRIORIZADOS!$A:$H,8,FALSE)="","",VLOOKUP(A2679,[18]PRIORIZADOS!$A:$H,8,FALSE)),"")</f>
        <v>Autoevaluación Institucional y Pruebas SABER 11</v>
      </c>
      <c r="I2679" s="11" t="str">
        <f>IFERROR(IF(VLOOKUP(A2679,[18]PRIORIZADOS!$A:$I,9,FALSE)="","",VLOOKUP(A2679,[18]PRIORIZADOS!$A:$I,9,FALSE)),"")</f>
        <v>SEGUIMIENTO_Y_SUPERVISIÓN.</v>
      </c>
      <c r="J2679" s="11" t="str">
        <f>IFERROR(IF(VLOOKUP(A2679,[18]PRIORIZADOS!$A:$J,10,FALSE)="","",VLOOKUP(A2679,[18]PRIORIZADOS!$A:$J,10,FALSE)),"")</f>
        <v>Proponer estrategias en la formulación, verificar su elaboración y realizar seguimiento semestral al desarrollo de  las acciones establecidas en los planes de mejoramiento por pruebas SABER 11 de los establecimientos de educación formal.</v>
      </c>
      <c r="K2679" s="11" t="str">
        <f>IFERROR(IF(VLOOKUP(A2679,[18]PRIORIZADOS!$A:$K,11,FALSE)="","",VLOOKUP(A2679,[18]PRIORIZADOS!$A:$K,11,FALSE)),"")</f>
        <v>KATHERINE HERNÁNDEZ RUBIANO</v>
      </c>
      <c r="L2679" s="11" t="str">
        <f>IFERROR(IF(VLOOKUP(A2679,[18]PRIORIZADOS!$A:$L,12,FALSE)="","",VLOOKUP(A2679,[18]PRIORIZADOS!$A:$L,12,FALSE)),"")</f>
        <v>FRANCY LORENA RODRIGUEZ CASTRO</v>
      </c>
      <c r="M2679" s="71">
        <f>IFERROR(IF(VLOOKUP(A2679,[18]PRIORIZADOS!$A:$M,13,FALSE)="","",VLOOKUP(A2679,[18]PRIORIZADOS!$A:$M,13,FALSE)),"")</f>
        <v>45776</v>
      </c>
      <c r="N2679" s="71">
        <f>IFERROR(IF(VLOOKUP(A2679,[18]PRIORIZADOS!$A:$N,14,FALSE)="","",VLOOKUP(A2679,[18]PRIORIZADOS!$A:$N,14,FALSE)),"")</f>
        <v>45866</v>
      </c>
      <c r="O2679" s="71">
        <f>IFERROR(IF(VLOOKUP(A2679,[18]PRIORIZADOS!$A:$O,15,FALSE)="","",VLOOKUP(A2679,[18]PRIORIZADOS!$A:$O,15,FALSE)),"")</f>
        <v>45867</v>
      </c>
      <c r="P2679" s="11" t="str">
        <f>IFERROR(IF(VLOOKUP(A2679,[18]PRIORIZADOS!$A:$P,16,FALSE)="","",VLOOKUP(A2679,[18]PRIORIZADOS!$A:$P,16,FALSE)),"")</f>
        <v>Visitas de evaluación con fines de mejoramiento</v>
      </c>
      <c r="Q2679" s="2" t="s">
        <v>518</v>
      </c>
      <c r="R2679" s="11" t="str">
        <f>IFERROR(IF(VLOOKUP(A2679,[18]PRIORIZADOS!$A:$R,18,FALSE)="","",VLOOKUP(A2679,[18]PRIORIZADOS!$A:$R,18,FALSE)),"")</f>
        <v>La Institución Educativa, no cuenta con evidencia de análisis de resultados de la Prueba Saber 11</v>
      </c>
      <c r="S2679" s="11" t="str">
        <f>IFERROR(IF(VLOOKUP(A2679,[18]PRIORIZADOS!$A:$S,19,FALSE)="","",VLOOKUP(A2679,[18]PRIORIZADOS!$A:$S,19,FALSE)),"")</f>
        <v>Realizar la revisión y análisis de los resultados de la Pueba Saber 11, definir acciones con el Consejo Académico y Directivo, para establecer un plan de mejoramiento que responda a las necesidades de actualización del currículo y desarrollo de competencias.</v>
      </c>
      <c r="T2679" s="70" t="str">
        <f>IFERROR(IF(VLOOKUP(A2679,[18]PRIORIZADOS!$A:$T,20,FALSE)="","",VLOOKUP(A2679,[18]PRIORIZADOS!$A:$T,20,FALSE)),"")</f>
        <v>Si</v>
      </c>
      <c r="U2679" s="11" t="str">
        <f>IFERROR(IF(VLOOKUP(A2679,[18]PRIORIZADOS!$A:$U,21,FALSE)="","",VLOOKUP(A2679,[18]PRIORIZADOS!$A:$U,21,FALSE)),"")</f>
        <v>Verificar este aspecto en el Plan de Mejoramiento Institucional a entregarse el 14/08/2025.
Verificado el PMI este contempla esta accion.
Se programará visita de seguimiento 2026</v>
      </c>
    </row>
    <row r="2680" spans="1:21" s="1" customFormat="1" ht="60">
      <c r="A2680" s="69">
        <f>IF([18]PRIORIZADOS!A23="","",[18]PRIORIZADOS!A23)</f>
        <v>2669</v>
      </c>
      <c r="B2680" s="70">
        <f>IFERROR(IF(VLOOKUP(A2680,[18]PRIORIZADOS!$A:$B,2,FALSE)="","",VLOOKUP(A2680,[18]PRIORIZADOS!$A:$B,2,FALSE)),"")</f>
        <v>3</v>
      </c>
      <c r="C2680" s="11" t="str">
        <f>IFERROR(IF(VLOOKUP(A2680,[18]PRIORIZADOS!$A:$C,3,FALSE)="","",VLOOKUP(A2680,[18]PRIORIZADOS!$A:$C,3,FALSE)),"")</f>
        <v>USME</v>
      </c>
      <c r="D2680" s="11" t="str">
        <f>IFERROR(IF(VLOOKUP(A2680,[18]PRIORIZADOS!$A:$D,4,FALSE)="","",VLOOKUP(A2680,[18]PRIORIZADOS!$A:$D,4,FALSE)),"")</f>
        <v>PRIVADO</v>
      </c>
      <c r="E2680" s="11" t="str">
        <f>IFERROR(IF(VLOOKUP(A2680,[18]PRIORIZADOS!$A:$E,5,FALSE)="","",VLOOKUP(A2680,[18]PRIORIZADOS!$A:$E,5,FALSE)),"")</f>
        <v>EPBM</v>
      </c>
      <c r="F2680" s="11" t="str">
        <f>IFERROR(IF(VLOOKUP(A2680,[18]PRIORIZADOS!$A:$F,6,FALSE)="","",VLOOKUP(A2680,[18]PRIORIZADOS!$A:$F,6,FALSE)),"")</f>
        <v>COLEGIO_SANTA_MARIA_DE_LA_PAZ</v>
      </c>
      <c r="G2680" s="11" t="str">
        <f>IFERROR(IF(VLOOKUP(A2680,[18]PRIORIZADOS!$A:$G,7,FALSE)="","",VLOOKUP(A2680,[18]PRIORIZADOS!$A:$G,7,FALSE)),"")</f>
        <v>COLEGIO SANTA MARIA DE LA PAZ</v>
      </c>
      <c r="H2680" s="11" t="str">
        <f>IFERROR(IF(VLOOKUP(A2680,[18]PRIORIZADOS!$A:$H,8,FALSE)="","",VLOOKUP(A2680,[18]PRIORIZADOS!$A:$H,8,FALSE)),"")</f>
        <v>Autoevaluación Institucional y Pruebas SABER 11</v>
      </c>
      <c r="I2680" s="11" t="str">
        <f>IFERROR(IF(VLOOKUP(A2680,[18]PRIORIZADOS!$A:$I,9,FALSE)="","",VLOOKUP(A2680,[18]PRIORIZADOS!$A:$I,9,FALSE)),"")</f>
        <v>SEGUIMIENTO_Y_SUPERVISIÓN.</v>
      </c>
      <c r="J2680" s="11" t="str">
        <f>IFERROR(IF(VLOOKUP(A2680,[18]PRIORIZADOS!$A:$J,10,FALSE)="","",VLOOKUP(A2680,[18]PRIORIZADOS!$A:$J,10,FALSE)),"")</f>
        <v xml:space="preserve">Verificar la implementación por parte de los colegios, de acciones realizadas para la prevención y atención de las situaciones de convivencia en el entorno escolar, según lo establecido en la Directiva 01 de 2022 del MEN. </v>
      </c>
      <c r="K2680" s="11" t="str">
        <f>IFERROR(IF(VLOOKUP(A2680,[18]PRIORIZADOS!$A:$K,11,FALSE)="","",VLOOKUP(A2680,[18]PRIORIZADOS!$A:$K,11,FALSE)),"")</f>
        <v>KATHERINE HERNÁNDEZ RUBIANO</v>
      </c>
      <c r="L2680" s="11" t="str">
        <f>IFERROR(IF(VLOOKUP(A2680,[18]PRIORIZADOS!$A:$L,12,FALSE)="","",VLOOKUP(A2680,[18]PRIORIZADOS!$A:$L,12,FALSE)),"")</f>
        <v>FRANCY LORENA RODRIGUEZ CASTRO</v>
      </c>
      <c r="M2680" s="71">
        <f>IFERROR(IF(VLOOKUP(A2680,[18]PRIORIZADOS!$A:$M,13,FALSE)="","",VLOOKUP(A2680,[18]PRIORIZADOS!$A:$M,13,FALSE)),"")</f>
        <v>45776</v>
      </c>
      <c r="N2680" s="71">
        <f>IFERROR(IF(VLOOKUP(A2680,[18]PRIORIZADOS!$A:$N,14,FALSE)="","",VLOOKUP(A2680,[18]PRIORIZADOS!$A:$N,14,FALSE)),"")</f>
        <v>45866</v>
      </c>
      <c r="O2680" s="71">
        <f>IFERROR(IF(VLOOKUP(A2680,[18]PRIORIZADOS!$A:$O,15,FALSE)="","",VLOOKUP(A2680,[18]PRIORIZADOS!$A:$O,15,FALSE)),"")</f>
        <v>45867</v>
      </c>
      <c r="P2680" s="11" t="str">
        <f>IFERROR(IF(VLOOKUP(A2680,[18]PRIORIZADOS!$A:$P,16,FALSE)="","",VLOOKUP(A2680,[18]PRIORIZADOS!$A:$P,16,FALSE)),"")</f>
        <v>Visitas de evaluación con fines de mejoramiento</v>
      </c>
      <c r="Q2680" s="2" t="s">
        <v>518</v>
      </c>
      <c r="R2680" s="11" t="str">
        <f>IFERROR(IF(VLOOKUP(A2680,[18]PRIORIZADOS!$A:$R,18,FALSE)="","",VLOOKUP(A2680,[18]PRIORIZADOS!$A:$R,18,FALSE)),"")</f>
        <v>Se revisó los archivos , correspondientes a la contratación el personal, encontrando los certificados de inhabilidades por delitos sexuales actualizados correspondiente a la fecha de la visita</v>
      </c>
      <c r="S2680" s="11" t="str">
        <f>IFERROR(IF(VLOOKUP(A2680,[18]PRIORIZADOS!$A:$S,19,FALSE)="","",VLOOKUP(A2680,[18]PRIORIZADOS!$A:$S,19,FALSE)),"")</f>
        <v>Continuar con la verificación de las inhabilidades, como no establece la normativa vigente</v>
      </c>
      <c r="T2680" s="70" t="str">
        <f>IFERROR(IF(VLOOKUP(A2680,[18]PRIORIZADOS!$A:$T,20,FALSE)="","",VLOOKUP(A2680,[18]PRIORIZADOS!$A:$T,20,FALSE)),"")</f>
        <v>No</v>
      </c>
      <c r="U2680" s="11" t="str">
        <f>IFERROR(IF(VLOOKUP(A2680,[18]PRIORIZADOS!$A:$U,21,FALSE)="","",VLOOKUP(A2680,[18]PRIORIZADOS!$A:$U,21,FALSE)),"")</f>
        <v>Se validará en cuanto existan situaciones relacionadas con este aspecto</v>
      </c>
    </row>
    <row r="2681" spans="1:21" s="1" customFormat="1" ht="72">
      <c r="A2681" s="69">
        <f>IF([18]PRIORIZADOS!A24="","",[18]PRIORIZADOS!A24)</f>
        <v>2670</v>
      </c>
      <c r="B2681" s="70">
        <f>IFERROR(IF(VLOOKUP(A2681,[18]PRIORIZADOS!$A:$B,2,FALSE)="","",VLOOKUP(A2681,[18]PRIORIZADOS!$A:$B,2,FALSE)),"")</f>
        <v>3</v>
      </c>
      <c r="C2681" s="11" t="str">
        <f>IFERROR(IF(VLOOKUP(A2681,[18]PRIORIZADOS!$A:$C,3,FALSE)="","",VLOOKUP(A2681,[18]PRIORIZADOS!$A:$C,3,FALSE)),"")</f>
        <v>USME</v>
      </c>
      <c r="D2681" s="11" t="str">
        <f>IFERROR(IF(VLOOKUP(A2681,[18]PRIORIZADOS!$A:$D,4,FALSE)="","",VLOOKUP(A2681,[18]PRIORIZADOS!$A:$D,4,FALSE)),"")</f>
        <v>PRIVADO</v>
      </c>
      <c r="E2681" s="11" t="str">
        <f>IFERROR(IF(VLOOKUP(A2681,[18]PRIORIZADOS!$A:$E,5,FALSE)="","",VLOOKUP(A2681,[18]PRIORIZADOS!$A:$E,5,FALSE)),"")</f>
        <v>EPBM</v>
      </c>
      <c r="F2681" s="11" t="str">
        <f>IFERROR(IF(VLOOKUP(A2681,[18]PRIORIZADOS!$A:$F,6,FALSE)="","",VLOOKUP(A2681,[18]PRIORIZADOS!$A:$F,6,FALSE)),"")</f>
        <v>COLEGIO_SANTA_MARIA_DE_LA_PAZ</v>
      </c>
      <c r="G2681" s="11" t="str">
        <f>IFERROR(IF(VLOOKUP(A2681,[18]PRIORIZADOS!$A:$G,7,FALSE)="","",VLOOKUP(A2681,[18]PRIORIZADOS!$A:$G,7,FALSE)),"")</f>
        <v>COLEGIO SANTA MARIA DE LA PAZ</v>
      </c>
      <c r="H2681" s="11" t="str">
        <f>IFERROR(IF(VLOOKUP(A2681,[18]PRIORIZADOS!$A:$H,8,FALSE)="","",VLOOKUP(A2681,[18]PRIORIZADOS!$A:$H,8,FALSE)),"")</f>
        <v>Autoevaluación Institucional y Pruebas SABER 11</v>
      </c>
      <c r="I2681" s="11" t="str">
        <f>IFERROR(IF(VLOOKUP(A2681,[18]PRIORIZADOS!$A:$I,9,FALSE)="","",VLOOKUP(A2681,[18]PRIORIZADOS!$A:$I,9,FALSE)),"")</f>
        <v>SEGUIMIENTO_Y_SUPERVISIÓN.</v>
      </c>
      <c r="J2681" s="11" t="str">
        <f>IFERROR(IF(VLOOKUP(A2681,[18]PRIORIZADOS!$A:$J,10,FALSE)="","",VLOOKUP(A2681,[18]PRIORIZADOS!$A:$J,10,FALSE)),"")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81" s="11" t="str">
        <f>IFERROR(IF(VLOOKUP(A2681,[18]PRIORIZADOS!$A:$K,11,FALSE)="","",VLOOKUP(A2681,[18]PRIORIZADOS!$A:$K,11,FALSE)),"")</f>
        <v>KATHERINE HERNÁNDEZ RUBIANO</v>
      </c>
      <c r="L2681" s="11" t="str">
        <f>IFERROR(IF(VLOOKUP(A2681,[18]PRIORIZADOS!$A:$L,12,FALSE)="","",VLOOKUP(A2681,[18]PRIORIZADOS!$A:$L,12,FALSE)),"")</f>
        <v>FRANCY LORENA RODRIGUEZ CASTRO</v>
      </c>
      <c r="M2681" s="71">
        <f>IFERROR(IF(VLOOKUP(A2681,[18]PRIORIZADOS!$A:$M,13,FALSE)="","",VLOOKUP(A2681,[18]PRIORIZADOS!$A:$M,13,FALSE)),"")</f>
        <v>45776</v>
      </c>
      <c r="N2681" s="71">
        <f>IFERROR(IF(VLOOKUP(A2681,[18]PRIORIZADOS!$A:$N,14,FALSE)="","",VLOOKUP(A2681,[18]PRIORIZADOS!$A:$N,14,FALSE)),"")</f>
        <v>45866</v>
      </c>
      <c r="O2681" s="71">
        <f>IFERROR(IF(VLOOKUP(A2681,[18]PRIORIZADOS!$A:$O,15,FALSE)="","",VLOOKUP(A2681,[18]PRIORIZADOS!$A:$O,15,FALSE)),"")</f>
        <v>45867</v>
      </c>
      <c r="P2681" s="11" t="str">
        <f>IFERROR(IF(VLOOKUP(A2681,[18]PRIORIZADOS!$A:$P,16,FALSE)="","",VLOOKUP(A2681,[18]PRIORIZADOS!$A:$P,16,FALSE)),"")</f>
        <v>Visitas de evaluación con fines de mejoramiento</v>
      </c>
      <c r="Q2681" s="2" t="s">
        <v>518</v>
      </c>
      <c r="R2681" s="11" t="str">
        <f>IFERROR(IF(VLOOKUP(A2681,[18]PRIORIZADOS!$A:$R,18,FALSE)="","",VLOOKUP(A2681,[18]PRIORIZADOS!$A:$R,18,FALSE)),"")</f>
        <v>La Institución Educativa no tiene en el EVI reportada matricula de estudiantes en condición de discapacidad</v>
      </c>
      <c r="S2681" s="11" t="str">
        <f>IFERROR(IF(VLOOKUP(A2681,[18]PRIORIZADOS!$A:$S,19,FALSE)="","",VLOOKUP(A2681,[18]PRIORIZADOS!$A:$S,19,FALSE)),"")</f>
        <v>En caso de existir estudiantes con que requieran PIAR debera reportarlo en los aplicativos SIMAT y EVI</v>
      </c>
      <c r="T2681" s="70" t="str">
        <f>IFERROR(IF(VLOOKUP(A2681,[18]PRIORIZADOS!$A:$T,20,FALSE)="","",VLOOKUP(A2681,[18]PRIORIZADOS!$A:$T,20,FALSE)),"")</f>
        <v>No</v>
      </c>
      <c r="U2681" s="11" t="str">
        <f>IFERROR(IF(VLOOKUP(A2681,[18]PRIORIZADOS!$A:$U,21,FALSE)="","",VLOOKUP(A2681,[18]PRIORIZADOS!$A:$U,21,FALSE)),"")</f>
        <v>Se validará en caso que llegue a reportar matricula de estudiantes que requieran PIAR</v>
      </c>
    </row>
    <row r="2682" spans="1:21" s="1" customFormat="1" ht="84">
      <c r="A2682" s="69">
        <f>IF([18]PRIORIZADOS!A25="","",[18]PRIORIZADOS!A25)</f>
        <v>2671</v>
      </c>
      <c r="B2682" s="70">
        <f>IFERROR(IF(VLOOKUP(A2682,[18]PRIORIZADOS!$A:$B,2,FALSE)="","",VLOOKUP(A2682,[18]PRIORIZADOS!$A:$B,2,FALSE)),"")</f>
        <v>3</v>
      </c>
      <c r="C2682" s="11" t="str">
        <f>IFERROR(IF(VLOOKUP(A2682,[18]PRIORIZADOS!$A:$C,3,FALSE)="","",VLOOKUP(A2682,[18]PRIORIZADOS!$A:$C,3,FALSE)),"")</f>
        <v>USME</v>
      </c>
      <c r="D2682" s="11" t="str">
        <f>IFERROR(IF(VLOOKUP(A2682,[18]PRIORIZADOS!$A:$D,4,FALSE)="","",VLOOKUP(A2682,[18]PRIORIZADOS!$A:$D,4,FALSE)),"")</f>
        <v>PRIVADO</v>
      </c>
      <c r="E2682" s="11" t="str">
        <f>IFERROR(IF(VLOOKUP(A2682,[18]PRIORIZADOS!$A:$E,5,FALSE)="","",VLOOKUP(A2682,[18]PRIORIZADOS!$A:$E,5,FALSE)),"")</f>
        <v>EPBM</v>
      </c>
      <c r="F2682" s="11" t="str">
        <f>IFERROR(IF(VLOOKUP(A2682,[18]PRIORIZADOS!$A:$F,6,FALSE)="","",VLOOKUP(A2682,[18]PRIORIZADOS!$A:$F,6,FALSE)),"")</f>
        <v>COLEGIO_SANTA_MARIA_DE_LA_PAZ</v>
      </c>
      <c r="G2682" s="11" t="str">
        <f>IFERROR(IF(VLOOKUP(A2682,[18]PRIORIZADOS!$A:$G,7,FALSE)="","",VLOOKUP(A2682,[18]PRIORIZADOS!$A:$G,7,FALSE)),"")</f>
        <v>COLEGIO SANTA MARIA DE LA PAZ</v>
      </c>
      <c r="H2682" s="11" t="str">
        <f>IFERROR(IF(VLOOKUP(A2682,[18]PRIORIZADOS!$A:$H,8,FALSE)="","",VLOOKUP(A2682,[18]PRIORIZADOS!$A:$H,8,FALSE)),"")</f>
        <v>Autoevaluación Institucional y Pruebas SABER 11</v>
      </c>
      <c r="I2682" s="11" t="str">
        <f>IFERROR(IF(VLOOKUP(A2682,[18]PRIORIZADOS!$A:$I,9,FALSE)="","",VLOOKUP(A2682,[18]PRIORIZADOS!$A:$I,9,FALSE)),"")</f>
        <v>EVALUACIÓN_CON_FINES_DE_MEJORAMIENTO.</v>
      </c>
      <c r="J2682" s="11" t="str">
        <f>IFERROR(IF(VLOOKUP(A2682,[18]PRIORIZADOS!$A:$J,10,FALSE)="","",VLOOKUP(A2682,[18]PRIORIZADOS!$A:$J,10,FALSE)),"")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82" s="11" t="str">
        <f>IFERROR(IF(VLOOKUP(A2682,[18]PRIORIZADOS!$A:$K,11,FALSE)="","",VLOOKUP(A2682,[18]PRIORIZADOS!$A:$K,11,FALSE)),"")</f>
        <v>KATHERINE HERNÁNDEZ RUBIANO</v>
      </c>
      <c r="L2682" s="11" t="str">
        <f>IFERROR(IF(VLOOKUP(A2682,[18]PRIORIZADOS!$A:$L,12,FALSE)="","",VLOOKUP(A2682,[18]PRIORIZADOS!$A:$L,12,FALSE)),"")</f>
        <v>FRANCY LORENA RODRIGUEZ CASTRO</v>
      </c>
      <c r="M2682" s="71">
        <f>IFERROR(IF(VLOOKUP(A2682,[18]PRIORIZADOS!$A:$M,13,FALSE)="","",VLOOKUP(A2682,[18]PRIORIZADOS!$A:$M,13,FALSE)),"")</f>
        <v>45776</v>
      </c>
      <c r="N2682" s="71">
        <f>IFERROR(IF(VLOOKUP(A2682,[18]PRIORIZADOS!$A:$N,14,FALSE)="","",VLOOKUP(A2682,[18]PRIORIZADOS!$A:$N,14,FALSE)),"")</f>
        <v>45866</v>
      </c>
      <c r="O2682" s="71">
        <f>IFERROR(IF(VLOOKUP(A2682,[18]PRIORIZADOS!$A:$O,15,FALSE)="","",VLOOKUP(A2682,[18]PRIORIZADOS!$A:$O,15,FALSE)),"")</f>
        <v>45867</v>
      </c>
      <c r="P2682" s="11" t="str">
        <f>IFERROR(IF(VLOOKUP(A2682,[18]PRIORIZADOS!$A:$P,16,FALSE)="","",VLOOKUP(A2682,[18]PRIORIZADOS!$A:$P,16,FALSE)),"")</f>
        <v>Visitas de evaluación con fines de mejoramiento</v>
      </c>
      <c r="Q2682" s="2" t="s">
        <v>518</v>
      </c>
      <c r="R2682" s="11" t="str">
        <f>IFERROR(IF(VLOOKUP(A2682,[18]PRIORIZADOS!$A:$R,18,FALSE)="","",VLOOKUP(A2682,[18]PRIORIZADOS!$A:$R,18,FALSE)),"")</f>
        <v xml:space="preserve">La rectora no presenta evidencia que permita demostrar que el Manual de Convivencia, fue construido de manera participativa con la comunidad. El Manual de Convivencia no cuenta con los enfoques de diversidad ni los protocolos de atención (Ley 1620 de 2013). </v>
      </c>
      <c r="S2682" s="11" t="str">
        <f>IFERROR(IF(VLOOKUP(A2682,[18]PRIORIZADOS!$A:$S,19,FALSE)="","",VLOOKUP(A2682,[18]PRIORIZADOS!$A:$S,19,FALSE)),"")</f>
        <v>La Institución Educativa convocará al Comité de Convivencia Escolar para realizar la revisión y ajuste del Manual de Convivencia para ponerlo en conocimiento de la comunidad educativa y adoptarlo para el año 2026</v>
      </c>
      <c r="T2682" s="70" t="str">
        <f>IFERROR(IF(VLOOKUP(A2682,[18]PRIORIZADOS!$A:$T,20,FALSE)="","",VLOOKUP(A2682,[18]PRIORIZADOS!$A:$T,20,FALSE)),"")</f>
        <v>Si</v>
      </c>
      <c r="U2682" s="11" t="str">
        <f>IFERROR(IF(VLOOKUP(A2682,[18]PRIORIZADOS!$A:$U,21,FALSE)="","",VLOOKUP(A2682,[18]PRIORIZADOS!$A:$U,21,FALSE)),"")</f>
        <v>Se revisarán los ajustes al manual de convivencia presentado por la IE</v>
      </c>
    </row>
    <row r="2683" spans="1:21" s="1" customFormat="1" ht="72">
      <c r="A2683" s="69">
        <f>IF([18]PRIORIZADOS!A26="","",[18]PRIORIZADOS!A26)</f>
        <v>2672</v>
      </c>
      <c r="B2683" s="70">
        <f>IFERROR(IF(VLOOKUP(A2683,[18]PRIORIZADOS!$A:$B,2,FALSE)="","",VLOOKUP(A2683,[18]PRIORIZADOS!$A:$B,2,FALSE)),"")</f>
        <v>3</v>
      </c>
      <c r="C2683" s="11" t="str">
        <f>IFERROR(IF(VLOOKUP(A2683,[18]PRIORIZADOS!$A:$C,3,FALSE)="","",VLOOKUP(A2683,[18]PRIORIZADOS!$A:$C,3,FALSE)),"")</f>
        <v>USME</v>
      </c>
      <c r="D2683" s="11" t="str">
        <f>IFERROR(IF(VLOOKUP(A2683,[18]PRIORIZADOS!$A:$D,4,FALSE)="","",VLOOKUP(A2683,[18]PRIORIZADOS!$A:$D,4,FALSE)),"")</f>
        <v>PRIVADO</v>
      </c>
      <c r="E2683" s="11" t="str">
        <f>IFERROR(IF(VLOOKUP(A2683,[18]PRIORIZADOS!$A:$E,5,FALSE)="","",VLOOKUP(A2683,[18]PRIORIZADOS!$A:$E,5,FALSE)),"")</f>
        <v>EPBM</v>
      </c>
      <c r="F2683" s="11" t="str">
        <f>IFERROR(IF(VLOOKUP(A2683,[18]PRIORIZADOS!$A:$F,6,FALSE)="","",VLOOKUP(A2683,[18]PRIORIZADOS!$A:$F,6,FALSE)),"")</f>
        <v>COLEGIO_SANTA_MARIA_DE_LA_PAZ</v>
      </c>
      <c r="G2683" s="11" t="str">
        <f>IFERROR(IF(VLOOKUP(A2683,[18]PRIORIZADOS!$A:$G,7,FALSE)="","",VLOOKUP(A2683,[18]PRIORIZADOS!$A:$G,7,FALSE)),"")</f>
        <v>COLEGIO SANTA MARIA DE LA PAZ</v>
      </c>
      <c r="H2683" s="11" t="str">
        <f>IFERROR(IF(VLOOKUP(A2683,[18]PRIORIZADOS!$A:$H,8,FALSE)="","",VLOOKUP(A2683,[18]PRIORIZADOS!$A:$H,8,FALSE)),"")</f>
        <v>Autoevaluación Institucional y Pruebas SABER 11</v>
      </c>
      <c r="I2683" s="11" t="str">
        <f>IFERROR(IF(VLOOKUP(A2683,[18]PRIORIZADOS!$A:$I,9,FALSE)="","",VLOOKUP(A2683,[18]PRIORIZADOS!$A:$I,9,FALSE)),"")</f>
        <v>EVALUACIÓN_CON_FINES_DE_MEJORAMIENTO.</v>
      </c>
      <c r="J2683" s="11" t="str">
        <f>IFERROR(IF(VLOOKUP(A2683,[18]PRIORIZADOS!$A:$J,10,FALSE)="","",VLOOKUP(A2683,[18]PRIORIZADOS!$A:$J,10,FALSE)),"")</f>
        <v>Revisar la actualización, socialización e implementación del Sistema Institucional de Evaluación de Estudiantes - SIEE, en articulación con la actualización del PEI y la normatividad vigente.</v>
      </c>
      <c r="K2683" s="11" t="str">
        <f>IFERROR(IF(VLOOKUP(A2683,[18]PRIORIZADOS!$A:$K,11,FALSE)="","",VLOOKUP(A2683,[18]PRIORIZADOS!$A:$K,11,FALSE)),"")</f>
        <v>KATHERINE HERNÁNDEZ RUBIANO</v>
      </c>
      <c r="L2683" s="11" t="str">
        <f>IFERROR(IF(VLOOKUP(A2683,[18]PRIORIZADOS!$A:$L,12,FALSE)="","",VLOOKUP(A2683,[18]PRIORIZADOS!$A:$L,12,FALSE)),"")</f>
        <v>FRANCY LORENA RODRIGUEZ CASTRO</v>
      </c>
      <c r="M2683" s="71">
        <f>IFERROR(IF(VLOOKUP(A2683,[18]PRIORIZADOS!$A:$M,13,FALSE)="","",VLOOKUP(A2683,[18]PRIORIZADOS!$A:$M,13,FALSE)),"")</f>
        <v>45776</v>
      </c>
      <c r="N2683" s="71">
        <f>IFERROR(IF(VLOOKUP(A2683,[18]PRIORIZADOS!$A:$N,14,FALSE)="","",VLOOKUP(A2683,[18]PRIORIZADOS!$A:$N,14,FALSE)),"")</f>
        <v>45866</v>
      </c>
      <c r="O2683" s="71">
        <f>IFERROR(IF(VLOOKUP(A2683,[18]PRIORIZADOS!$A:$O,15,FALSE)="","",VLOOKUP(A2683,[18]PRIORIZADOS!$A:$O,15,FALSE)),"")</f>
        <v>45867</v>
      </c>
      <c r="P2683" s="11" t="str">
        <f>IFERROR(IF(VLOOKUP(A2683,[18]PRIORIZADOS!$A:$P,16,FALSE)="","",VLOOKUP(A2683,[18]PRIORIZADOS!$A:$P,16,FALSE)),"")</f>
        <v>Visitas de evaluación con fines de mejoramiento</v>
      </c>
      <c r="Q2683" s="2" t="s">
        <v>518</v>
      </c>
      <c r="R2683" s="11" t="str">
        <f>IFERROR(IF(VLOOKUP(A2683,[18]PRIORIZADOS!$A:$R,18,FALSE)="","",VLOOKUP(A2683,[18]PRIORIZADOS!$A:$R,18,FALSE)),"")</f>
        <v xml:space="preserve">Revisión de las planillas de notas, las cuales coinciden con  el SIEE. Las estrategias de apoyo para resolver situaciones pedagógicas de los estudiantes en el aula, no se encuentran en el SIEE, la rectora hace una descripción de estas. </v>
      </c>
      <c r="S2683" s="11" t="str">
        <f>IFERROR(IF(VLOOKUP(A2683,[18]PRIORIZADOS!$A:$S,19,FALSE)="","",VLOOKUP(A2683,[18]PRIORIZADOS!$A:$S,19,FALSE)),"")</f>
        <v>Se debe incorporar al SIEE , la descripción de las estrategias de apoyo para resolver situaciones pedagógicas de los estudiantes  en el aula</v>
      </c>
      <c r="T2683" s="70" t="str">
        <f>IFERROR(IF(VLOOKUP(A2683,[18]PRIORIZADOS!$A:$T,20,FALSE)="","",VLOOKUP(A2683,[18]PRIORIZADOS!$A:$T,20,FALSE)),"")</f>
        <v>Si</v>
      </c>
      <c r="U2683" s="11" t="str">
        <f>IFERROR(IF(VLOOKUP(A2683,[18]PRIORIZADOS!$A:$U,21,FALSE)="","",VLOOKUP(A2683,[18]PRIORIZADOS!$A:$U,21,FALSE)),"")</f>
        <v>Se presentará al ELIV el SIEE para enero de 2026 con los ajustes solicitados.</v>
      </c>
    </row>
    <row r="2684" spans="1:21" s="1" customFormat="1" ht="48">
      <c r="A2684" s="69">
        <f>IF([18]PRIORIZADOS!A27="","",[18]PRIORIZADOS!A27)</f>
        <v>2673</v>
      </c>
      <c r="B2684" s="70">
        <f>IFERROR(IF(VLOOKUP(A2684,[18]PRIORIZADOS!$A:$B,2,FALSE)="","",VLOOKUP(A2684,[18]PRIORIZADOS!$A:$B,2,FALSE)),"")</f>
        <v>3</v>
      </c>
      <c r="C2684" s="11" t="str">
        <f>IFERROR(IF(VLOOKUP(A2684,[18]PRIORIZADOS!$A:$C,3,FALSE)="","",VLOOKUP(A2684,[18]PRIORIZADOS!$A:$C,3,FALSE)),"")</f>
        <v>USME</v>
      </c>
      <c r="D2684" s="11" t="str">
        <f>IFERROR(IF(VLOOKUP(A2684,[18]PRIORIZADOS!$A:$D,4,FALSE)="","",VLOOKUP(A2684,[18]PRIORIZADOS!$A:$D,4,FALSE)),"")</f>
        <v>PRIVADO</v>
      </c>
      <c r="E2684" s="11" t="str">
        <f>IFERROR(IF(VLOOKUP(A2684,[18]PRIORIZADOS!$A:$E,5,FALSE)="","",VLOOKUP(A2684,[18]PRIORIZADOS!$A:$E,5,FALSE)),"")</f>
        <v>EPBM</v>
      </c>
      <c r="F2684" s="11" t="str">
        <f>IFERROR(IF(VLOOKUP(A2684,[18]PRIORIZADOS!$A:$F,6,FALSE)="","",VLOOKUP(A2684,[18]PRIORIZADOS!$A:$F,6,FALSE)),"")</f>
        <v>COLEGIO_SANTA_MARIA_DE_LA_PAZ</v>
      </c>
      <c r="G2684" s="11" t="str">
        <f>IFERROR(IF(VLOOKUP(A2684,[18]PRIORIZADOS!$A:$G,7,FALSE)="","",VLOOKUP(A2684,[18]PRIORIZADOS!$A:$G,7,FALSE)),"")</f>
        <v>COLEGIO SANTA MARIA DE LA PAZ</v>
      </c>
      <c r="H2684" s="11" t="str">
        <f>IFERROR(IF(VLOOKUP(A2684,[18]PRIORIZADOS!$A:$H,8,FALSE)="","",VLOOKUP(A2684,[18]PRIORIZADOS!$A:$H,8,FALSE)),"")</f>
        <v>Autoevaluación Institucional y Pruebas SABER 11</v>
      </c>
      <c r="I2684" s="11" t="str">
        <f>IFERROR(IF(VLOOKUP(A2684,[18]PRIORIZADOS!$A:$I,9,FALSE)="","",VLOOKUP(A2684,[18]PRIORIZADOS!$A:$I,9,FALSE)),"")</f>
        <v>EVALUACIÓN_CON_FINES_DE_MEJORAMIENTO.</v>
      </c>
      <c r="J2684" s="11" t="str">
        <f>IFERROR(IF(VLOOKUP(A2684,[18]PRIORIZADOS!$A:$J,10,FALSE)="","",VLOOKUP(A2684,[18]PRIORIZADOS!$A:$J,10,FALSE)),"")</f>
        <v>Revisar el calendario escolar, jornada escolar, la intensidad horaria mínima anual en cada nivel y las modificaciones que se realicen al mismo, de acuerdo con lo previsto en la normatividad vigente.</v>
      </c>
      <c r="K2684" s="11" t="str">
        <f>IFERROR(IF(VLOOKUP(A2684,[18]PRIORIZADOS!$A:$K,11,FALSE)="","",VLOOKUP(A2684,[18]PRIORIZADOS!$A:$K,11,FALSE)),"")</f>
        <v>KATHERINE HERNÁNDEZ RUBIANO</v>
      </c>
      <c r="L2684" s="11" t="str">
        <f>IFERROR(IF(VLOOKUP(A2684,[18]PRIORIZADOS!$A:$L,12,FALSE)="","",VLOOKUP(A2684,[18]PRIORIZADOS!$A:$L,12,FALSE)),"")</f>
        <v>FRANCY LORENA RODRIGUEZ CASTRO</v>
      </c>
      <c r="M2684" s="71">
        <f>IFERROR(IF(VLOOKUP(A2684,[18]PRIORIZADOS!$A:$M,13,FALSE)="","",VLOOKUP(A2684,[18]PRIORIZADOS!$A:$M,13,FALSE)),"")</f>
        <v>45776</v>
      </c>
      <c r="N2684" s="71">
        <f>IFERROR(IF(VLOOKUP(A2684,[18]PRIORIZADOS!$A:$N,14,FALSE)="","",VLOOKUP(A2684,[18]PRIORIZADOS!$A:$N,14,FALSE)),"")</f>
        <v>45866</v>
      </c>
      <c r="O2684" s="71">
        <f>IFERROR(IF(VLOOKUP(A2684,[18]PRIORIZADOS!$A:$O,15,FALSE)="","",VLOOKUP(A2684,[18]PRIORIZADOS!$A:$O,15,FALSE)),"")</f>
        <v>45867</v>
      </c>
      <c r="P2684" s="11" t="str">
        <f>IFERROR(IF(VLOOKUP(A2684,[18]PRIORIZADOS!$A:$P,16,FALSE)="","",VLOOKUP(A2684,[18]PRIORIZADOS!$A:$P,16,FALSE)),"")</f>
        <v>Visitas de evaluación con fines de mejoramiento</v>
      </c>
      <c r="Q2684" s="2" t="s">
        <v>518</v>
      </c>
      <c r="R2684" s="11" t="str">
        <f>IFERROR(IF(VLOOKUP(A2684,[18]PRIORIZADOS!$A:$R,18,FALSE)="","",VLOOKUP(A2684,[18]PRIORIZADOS!$A:$R,18,FALSE)),"")</f>
        <v>Acta rectoral No 17 del 04/12/2024 Calendario escolar 2025</v>
      </c>
      <c r="S2684" s="11" t="str">
        <f>IFERROR(IF(VLOOKUP(A2684,[18]PRIORIZADOS!$A:$S,19,FALSE)="","",VLOOKUP(A2684,[18]PRIORIZADOS!$A:$S,19,FALSE)),"")</f>
        <v>El número de horas esta ajustado al Decreto 1075 de 2015 Art. 2.3.3.6.1.3</v>
      </c>
      <c r="T2684" s="70" t="str">
        <f>IFERROR(IF(VLOOKUP(A2684,[18]PRIORIZADOS!$A:$T,20,FALSE)="","",VLOOKUP(A2684,[18]PRIORIZADOS!$A:$T,20,FALSE)),"")</f>
        <v>No</v>
      </c>
      <c r="U2684" s="11" t="str">
        <f>IFERROR(IF(VLOOKUP(A2684,[18]PRIORIZADOS!$A:$U,21,FALSE)="","",VLOOKUP(A2684,[18]PRIORIZADOS!$A:$U,21,FALSE)),"")</f>
        <v>Se revisará el calendario de la vigencia 2026</v>
      </c>
    </row>
    <row r="2685" spans="1:21" s="1" customFormat="1" ht="48">
      <c r="A2685" s="69">
        <f>IF([18]PRIORIZADOS!A28="","",[18]PRIORIZADOS!A28)</f>
        <v>2674</v>
      </c>
      <c r="B2685" s="70">
        <f>IFERROR(IF(VLOOKUP(A2685,[18]PRIORIZADOS!$A:$B,2,FALSE)="","",VLOOKUP(A2685,[18]PRIORIZADOS!$A:$B,2,FALSE)),"")</f>
        <v>3</v>
      </c>
      <c r="C2685" s="11" t="str">
        <f>IFERROR(IF(VLOOKUP(A2685,[18]PRIORIZADOS!$A:$C,3,FALSE)="","",VLOOKUP(A2685,[18]PRIORIZADOS!$A:$C,3,FALSE)),"")</f>
        <v>USME</v>
      </c>
      <c r="D2685" s="11" t="str">
        <f>IFERROR(IF(VLOOKUP(A2685,[18]PRIORIZADOS!$A:$D,4,FALSE)="","",VLOOKUP(A2685,[18]PRIORIZADOS!$A:$D,4,FALSE)),"")</f>
        <v>PRIVADO</v>
      </c>
      <c r="E2685" s="11" t="str">
        <f>IFERROR(IF(VLOOKUP(A2685,[18]PRIORIZADOS!$A:$E,5,FALSE)="","",VLOOKUP(A2685,[18]PRIORIZADOS!$A:$E,5,FALSE)),"")</f>
        <v>EPBM</v>
      </c>
      <c r="F2685" s="11" t="str">
        <f>IFERROR(IF(VLOOKUP(A2685,[18]PRIORIZADOS!$A:$F,6,FALSE)="","",VLOOKUP(A2685,[18]PRIORIZADOS!$A:$F,6,FALSE)),"")</f>
        <v>COLEGIO_SANTA_MARIA_DE_LA_PAZ</v>
      </c>
      <c r="G2685" s="11" t="str">
        <f>IFERROR(IF(VLOOKUP(A2685,[18]PRIORIZADOS!$A:$G,7,FALSE)="","",VLOOKUP(A2685,[18]PRIORIZADOS!$A:$G,7,FALSE)),"")</f>
        <v>COLEGIO SANTA MARIA DE LA PAZ</v>
      </c>
      <c r="H2685" s="11" t="str">
        <f>IFERROR(IF(VLOOKUP(A2685,[18]PRIORIZADOS!$A:$H,8,FALSE)="","",VLOOKUP(A2685,[18]PRIORIZADOS!$A:$H,8,FALSE)),"")</f>
        <v>Autoevaluación Institucional y Pruebas SABER 11</v>
      </c>
      <c r="I2685" s="11" t="str">
        <f>IFERROR(IF(VLOOKUP(A2685,[18]PRIORIZADOS!$A:$I,9,FALSE)="","",VLOOKUP(A2685,[18]PRIORIZADOS!$A:$I,9,FALSE)),"")</f>
        <v>EVALUACIÓN_CON_FINES_DE_MEJORAMIENTO.</v>
      </c>
      <c r="J2685" s="11" t="str">
        <f>IFERROR(IF(VLOOKUP(A2685,[18]PRIORIZADOS!$A:$J,10,FALSE)="","",VLOOKUP(A2685,[18]PRIORIZADOS!$A:$J,10,FALSE)),"")</f>
        <v>Verificar el funcionamiento del Gobierno Escolar e instancias de participación con base en la información sobre conformación reportada por la institución educativa.</v>
      </c>
      <c r="K2685" s="11" t="str">
        <f>IFERROR(IF(VLOOKUP(A2685,[18]PRIORIZADOS!$A:$K,11,FALSE)="","",VLOOKUP(A2685,[18]PRIORIZADOS!$A:$K,11,FALSE)),"")</f>
        <v>KATHERINE HERNÁNDEZ RUBIANO</v>
      </c>
      <c r="L2685" s="11" t="str">
        <f>IFERROR(IF(VLOOKUP(A2685,[18]PRIORIZADOS!$A:$L,12,FALSE)="","",VLOOKUP(A2685,[18]PRIORIZADOS!$A:$L,12,FALSE)),"")</f>
        <v>FRANCY LORENA RODRIGUEZ CASTRO</v>
      </c>
      <c r="M2685" s="71">
        <f>IFERROR(IF(VLOOKUP(A2685,[18]PRIORIZADOS!$A:$M,13,FALSE)="","",VLOOKUP(A2685,[18]PRIORIZADOS!$A:$M,13,FALSE)),"")</f>
        <v>45776</v>
      </c>
      <c r="N2685" s="71">
        <f>IFERROR(IF(VLOOKUP(A2685,[18]PRIORIZADOS!$A:$N,14,FALSE)="","",VLOOKUP(A2685,[18]PRIORIZADOS!$A:$N,14,FALSE)),"")</f>
        <v>45866</v>
      </c>
      <c r="O2685" s="71">
        <f>IFERROR(IF(VLOOKUP(A2685,[18]PRIORIZADOS!$A:$O,15,FALSE)="","",VLOOKUP(A2685,[18]PRIORIZADOS!$A:$O,15,FALSE)),"")</f>
        <v>45867</v>
      </c>
      <c r="P2685" s="11" t="str">
        <f>IFERROR(IF(VLOOKUP(A2685,[18]PRIORIZADOS!$A:$P,16,FALSE)="","",VLOOKUP(A2685,[18]PRIORIZADOS!$A:$P,16,FALSE)),"")</f>
        <v>Visitas de evaluación con fines de mejoramiento</v>
      </c>
      <c r="Q2685" s="2" t="s">
        <v>518</v>
      </c>
      <c r="R2685" s="11" t="str">
        <f>IFERROR(IF(VLOOKUP(A2685,[18]PRIORIZADOS!$A:$R,18,FALSE)="","",VLOOKUP(A2685,[18]PRIORIZADOS!$A:$R,18,FALSE)),"")</f>
        <v>Revision de actas de reunión encontrando que se ajustan a lo reglamentado</v>
      </c>
      <c r="S2685" s="11" t="str">
        <f>IFERROR(IF(VLOOKUP(A2685,[18]PRIORIZADOS!$A:$S,19,FALSE)="","",VLOOKUP(A2685,[18]PRIORIZADOS!$A:$S,19,FALSE)),"")</f>
        <v>Continuar sesionando acorde a lo establecido en la norrmatividad vigente</v>
      </c>
      <c r="T2685" s="70" t="str">
        <f>IFERROR(IF(VLOOKUP(A2685,[18]PRIORIZADOS!$A:$T,20,FALSE)="","",VLOOKUP(A2685,[18]PRIORIZADOS!$A:$T,20,FALSE)),"")</f>
        <v>No</v>
      </c>
      <c r="U2685" s="11" t="str">
        <f>IFERROR(IF(VLOOKUP(A2685,[18]PRIORIZADOS!$A:$U,21,FALSE)="","",VLOOKUP(A2685,[18]PRIORIZADOS!$A:$U,21,FALSE)),"")</f>
        <v>Se realizará la revisión del funcionamiento, en caso que se presenten novedades sobre este tema.</v>
      </c>
    </row>
    <row r="2686" spans="1:21" s="1" customFormat="1" ht="96">
      <c r="A2686" s="69">
        <f>IF([18]PRIORIZADOS!A29="","",[18]PRIORIZADOS!A29)</f>
        <v>2675</v>
      </c>
      <c r="B2686" s="70">
        <f>IFERROR(IF(VLOOKUP(A2686,[18]PRIORIZADOS!$A:$B,2,FALSE)="","",VLOOKUP(A2686,[18]PRIORIZADOS!$A:$B,2,FALSE)),"")</f>
        <v>3</v>
      </c>
      <c r="C2686" s="11" t="str">
        <f>IFERROR(IF(VLOOKUP(A2686,[18]PRIORIZADOS!$A:$C,3,FALSE)="","",VLOOKUP(A2686,[18]PRIORIZADOS!$A:$C,3,FALSE)),"")</f>
        <v>USME</v>
      </c>
      <c r="D2686" s="11" t="str">
        <f>IFERROR(IF(VLOOKUP(A2686,[18]PRIORIZADOS!$A:$D,4,FALSE)="","",VLOOKUP(A2686,[18]PRIORIZADOS!$A:$D,4,FALSE)),"")</f>
        <v>PRIVADO</v>
      </c>
      <c r="E2686" s="11" t="str">
        <f>IFERROR(IF(VLOOKUP(A2686,[18]PRIORIZADOS!$A:$E,5,FALSE)="","",VLOOKUP(A2686,[18]PRIORIZADOS!$A:$E,5,FALSE)),"")</f>
        <v>EPBM</v>
      </c>
      <c r="F2686" s="11" t="str">
        <f>IFERROR(IF(VLOOKUP(A2686,[18]PRIORIZADOS!$A:$F,6,FALSE)="","",VLOOKUP(A2686,[18]PRIORIZADOS!$A:$F,6,FALSE)),"")</f>
        <v>COLEGIO_SANTA_MARIA_DE_LA_PAZ</v>
      </c>
      <c r="G2686" s="11" t="str">
        <f>IFERROR(IF(VLOOKUP(A2686,[18]PRIORIZADOS!$A:$G,7,FALSE)="","",VLOOKUP(A2686,[18]PRIORIZADOS!$A:$G,7,FALSE)),"")</f>
        <v>COLEGIO SANTA MARIA DE LA PAZ</v>
      </c>
      <c r="H2686" s="11" t="str">
        <f>IFERROR(IF(VLOOKUP(A2686,[18]PRIORIZADOS!$A:$H,8,FALSE)="","",VLOOKUP(A2686,[18]PRIORIZADOS!$A:$H,8,FALSE)),"")</f>
        <v>Autoevaluación Institucional y Pruebas SABER 11</v>
      </c>
      <c r="I2686" s="11" t="str">
        <f>IFERROR(IF(VLOOKUP(A2686,[18]PRIORIZADOS!$A:$I,9,FALSE)="","",VLOOKUP(A2686,[18]PRIORIZADOS!$A:$I,9,FALSE)),"")</f>
        <v>EVALUACIÓN_CON_FINES_DE_MEJORAMIENTO.</v>
      </c>
      <c r="J2686" s="11" t="str">
        <f>IFERROR(IF(VLOOKUP(A2686,[18]PRIORIZADOS!$A:$J,10,FALSE)="","",VLOOKUP(A2686,[18]PRIORIZADOS!$A:$J,10,FALSE)),"")</f>
        <v>Verificar las condiciones en cuanto a: la estructura administrativa, condiciones de la planta física y medios educativos adecuados.</v>
      </c>
      <c r="K2686" s="11" t="str">
        <f>IFERROR(IF(VLOOKUP(A2686,[18]PRIORIZADOS!$A:$K,11,FALSE)="","",VLOOKUP(A2686,[18]PRIORIZADOS!$A:$K,11,FALSE)),"")</f>
        <v>KATHERINE HERNÁNDEZ RUBIANO</v>
      </c>
      <c r="L2686" s="11" t="str">
        <f>IFERROR(IF(VLOOKUP(A2686,[18]PRIORIZADOS!$A:$L,12,FALSE)="","",VLOOKUP(A2686,[18]PRIORIZADOS!$A:$L,12,FALSE)),"")</f>
        <v>FRANCY LORENA RODRIGUEZ CASTRO</v>
      </c>
      <c r="M2686" s="71">
        <f>IFERROR(IF(VLOOKUP(A2686,[18]PRIORIZADOS!$A:$M,13,FALSE)="","",VLOOKUP(A2686,[18]PRIORIZADOS!$A:$M,13,FALSE)),"")</f>
        <v>45776</v>
      </c>
      <c r="N2686" s="71">
        <f>IFERROR(IF(VLOOKUP(A2686,[18]PRIORIZADOS!$A:$N,14,FALSE)="","",VLOOKUP(A2686,[18]PRIORIZADOS!$A:$N,14,FALSE)),"")</f>
        <v>45866</v>
      </c>
      <c r="O2686" s="71">
        <f>IFERROR(IF(VLOOKUP(A2686,[18]PRIORIZADOS!$A:$O,15,FALSE)="","",VLOOKUP(A2686,[18]PRIORIZADOS!$A:$O,15,FALSE)),"")</f>
        <v>45867</v>
      </c>
      <c r="P2686" s="11" t="str">
        <f>IFERROR(IF(VLOOKUP(A2686,[18]PRIORIZADOS!$A:$P,16,FALSE)="","",VLOOKUP(A2686,[18]PRIORIZADOS!$A:$P,16,FALSE)),"")</f>
        <v>Visitas de evaluación con fines de mejoramiento</v>
      </c>
      <c r="Q2686" s="2" t="s">
        <v>518</v>
      </c>
      <c r="R2686" s="11" t="str">
        <f>IFERROR(IF(VLOOKUP(A2686,[18]PRIORIZADOS!$A:$R,18,FALSE)="","",VLOOKUP(A2686,[18]PRIORIZADOS!$A:$R,18,FALSE)),"")</f>
        <v xml:space="preserve">La planta física no cuenta con adaptaciones para  personas en situación con discapacidad física. En el organigrama institucional aparece el servicio de psicología y no de orientación escolar. Reporta el pago de seguridad social integral de solo 6 trabajadores. Algunos docentes tienen vinculación por  horas. </v>
      </c>
      <c r="S2686" s="11" t="str">
        <f>IFERROR(IF(VLOOKUP(A2686,[18]PRIORIZADOS!$A:$S,19,FALSE)="","",VLOOKUP(A2686,[18]PRIORIZADOS!$A:$S,19,FALSE)),"")</f>
        <v>La instituciòn Educativa, se compromete a ajustar el cronograma institucional y  a regularizar la contratación del personal, incluyendo el pago de Seguridad Social integral para todo el personal a cargo , ajustandose a las disposiciones del Código Sustantivo de Trabajo y la Ley 115 de 1994.</v>
      </c>
      <c r="T2686" s="70" t="str">
        <f>IFERROR(IF(VLOOKUP(A2686,[18]PRIORIZADOS!$A:$T,20,FALSE)="","",VLOOKUP(A2686,[18]PRIORIZADOS!$A:$T,20,FALSE)),"")</f>
        <v>Si</v>
      </c>
      <c r="U2686" s="11" t="str">
        <f>IFERROR(IF(VLOOKUP(A2686,[18]PRIORIZADOS!$A:$U,21,FALSE)="","",VLOOKUP(A2686,[18]PRIORIZADOS!$A:$U,21,FALSE)),"")</f>
        <v>Validar en visita de seguimiento durante el último trimestre de 2025.</v>
      </c>
    </row>
    <row r="2687" spans="1:21" s="1" customFormat="1" ht="48">
      <c r="A2687" s="69">
        <f>IF([18]PRIORIZADOS!A30="","",[18]PRIORIZADOS!A30)</f>
        <v>2676</v>
      </c>
      <c r="B2687" s="70">
        <f>IFERROR(IF(VLOOKUP(A2687,[18]PRIORIZADOS!$A:$B,2,FALSE)="","",VLOOKUP(A2687,[18]PRIORIZADOS!$A:$B,2,FALSE)),"")</f>
        <v>4</v>
      </c>
      <c r="C2687" s="11" t="str">
        <f>IFERROR(IF(VLOOKUP(A2687,[18]PRIORIZADOS!$A:$C,3,FALSE)="","",VLOOKUP(A2687,[18]PRIORIZADOS!$A:$C,3,FALSE)),"")</f>
        <v>USME</v>
      </c>
      <c r="D2687" s="11" t="str">
        <f>IFERROR(IF(VLOOKUP(A2687,[18]PRIORIZADOS!$A:$D,4,FALSE)="","",VLOOKUP(A2687,[18]PRIORIZADOS!$A:$D,4,FALSE)),"")</f>
        <v>PRIVADO</v>
      </c>
      <c r="E2687" s="11" t="str">
        <f>IFERROR(IF(VLOOKUP(A2687,[18]PRIORIZADOS!$A:$E,5,FALSE)="","",VLOOKUP(A2687,[18]PRIORIZADOS!$A:$E,5,FALSE)),"")</f>
        <v>EPBM</v>
      </c>
      <c r="F2687" s="11" t="str">
        <f>IFERROR(IF(VLOOKUP(A2687,[18]PRIORIZADOS!$A:$F,6,FALSE)="","",VLOOKUP(A2687,[18]PRIORIZADOS!$A:$F,6,FALSE)),"")</f>
        <v>COLEGIO_SAN_MARINO</v>
      </c>
      <c r="G2687" s="11" t="str">
        <f>IFERROR(IF(VLOOKUP(A2687,[18]PRIORIZADOS!$A:$G,7,FALSE)="","",VLOOKUP(A2687,[18]PRIORIZADOS!$A:$G,7,FALSE)),"")</f>
        <v>COLEGIO SAN MARINO</v>
      </c>
      <c r="H2687" s="11" t="str">
        <f>IFERROR(IF(VLOOKUP(A2687,[18]PRIORIZADOS!$A:$H,8,FALSE)="","",VLOOKUP(A2687,[18]PRIORIZADOS!$A:$H,8,FALSE)),"")</f>
        <v>Autoevaluación Institucional y Pruebas SABER 11</v>
      </c>
      <c r="I2687" s="11" t="str">
        <f>IFERROR(IF(VLOOKUP(A2687,[18]PRIORIZADOS!$A:$I,9,FALSE)="","",VLOOKUP(A2687,[18]PRIORIZADOS!$A:$I,9,FALSE)),"")</f>
        <v>SEGUIMIENTO_Y_SUPERVISIÓN.</v>
      </c>
      <c r="J2687" s="11" t="str">
        <f>IFERROR(IF(VLOOKUP(A2687,[18]PRIORIZADOS!$A:$J,10,FALSE)="","",VLOOKUP(A2687,[18]PRIORIZADOS!$A:$J,10,FALSE)),"")</f>
        <v>Realizar visitas para verificar la información registrada sobre la autoevaluación institucional en el aplicativo EVI, a los establecimientos de educación formal no oficial.</v>
      </c>
      <c r="K2687" s="11" t="str">
        <f>IFERROR(IF(VLOOKUP(A2687,[18]PRIORIZADOS!$A:$K,11,FALSE)="","",VLOOKUP(A2687,[18]PRIORIZADOS!$A:$K,11,FALSE)),"")</f>
        <v>MIGUEL ANTONIO CARO CARO</v>
      </c>
      <c r="L2687" s="11" t="str">
        <f>IFERROR(IF(VLOOKUP(A2687,[18]PRIORIZADOS!$A:$L,12,FALSE)="","",VLOOKUP(A2687,[18]PRIORIZADOS!$A:$L,12,FALSE)),"")</f>
        <v>FRANCY LORENA RODRIGUEZ CASTRO</v>
      </c>
      <c r="M2687" s="71">
        <f>IFERROR(IF(VLOOKUP(A2687,[18]PRIORIZADOS!$A:$M,13,FALSE)="","",VLOOKUP(A2687,[18]PRIORIZADOS!$A:$M,13,FALSE)),"")</f>
        <v>45748</v>
      </c>
      <c r="N2687" s="71">
        <f>IFERROR(IF(VLOOKUP(A2687,[18]PRIORIZADOS!$A:$N,14,FALSE)="","",VLOOKUP(A2687,[18]PRIORIZADOS!$A:$N,14,FALSE)),"")</f>
        <v>45800</v>
      </c>
      <c r="O2687" s="71">
        <f>IFERROR(IF(VLOOKUP(A2687,[18]PRIORIZADOS!$A:$O,15,FALSE)="","",VLOOKUP(A2687,[18]PRIORIZADOS!$A:$O,15,FALSE)),"")</f>
        <v>45800</v>
      </c>
      <c r="P2687" s="11" t="str">
        <f>IFERROR(IF(VLOOKUP(A2687,[18]PRIORIZADOS!$A:$P,16,FALSE)="","",VLOOKUP(A2687,[18]PRIORIZADOS!$A:$P,16,FALSE)),"")</f>
        <v>Visitas de evaluación con fines de mejoramiento</v>
      </c>
      <c r="Q2687" s="2" t="s">
        <v>519</v>
      </c>
      <c r="R2687" s="11" t="str">
        <f>IFERROR(IF(VLOOKUP(A2687,[18]PRIORIZADOS!$A:$R,18,FALSE)="","",VLOOKUP(A2687,[18]PRIORIZADOS!$A:$R,18,FALSE)),"")</f>
        <v>Se encontró que no existe correspondencia entre el número de estudiantes registrados en el EVI - SIMAT y la realidad institucional en el momento de la visita.</v>
      </c>
      <c r="S2687" s="11" t="str">
        <f>IFERROR(IF(VLOOKUP(A2687,[18]PRIORIZADOS!$A:$S,19,FALSE)="","",VLOOKUP(A2687,[18]PRIORIZADOS!$A:$S,19,FALSE)),"")</f>
        <v>La Institución realizará la actualización del registro en  SIMAT en el presente mes</v>
      </c>
      <c r="T2687" s="70" t="str">
        <f>IFERROR(IF(VLOOKUP(A2687,[18]PRIORIZADOS!$A:$T,20,FALSE)="","",VLOOKUP(A2687,[18]PRIORIZADOS!$A:$T,20,FALSE)),"")</f>
        <v>Si</v>
      </c>
      <c r="U2687" s="11" t="str">
        <f>IFERROR(IF(VLOOKUP(A2687,[18]PRIORIZADOS!$A:$U,21,FALSE)="","",VLOOKUP(A2687,[18]PRIORIZADOS!$A:$U,21,FALSE)),"")</f>
        <v>Verificar en SIMAT -  segundo semestre 2025 y vigencia 2026</v>
      </c>
    </row>
    <row r="2688" spans="1:21" s="1" customFormat="1" ht="60">
      <c r="A2688" s="69">
        <f>IF([18]PRIORIZADOS!A31="","",[18]PRIORIZADOS!A31)</f>
        <v>2677</v>
      </c>
      <c r="B2688" s="70">
        <f>IFERROR(IF(VLOOKUP(A2688,[18]PRIORIZADOS!$A:$B,2,FALSE)="","",VLOOKUP(A2688,[18]PRIORIZADOS!$A:$B,2,FALSE)),"")</f>
        <v>4</v>
      </c>
      <c r="C2688" s="11" t="str">
        <f>IFERROR(IF(VLOOKUP(A2688,[18]PRIORIZADOS!$A:$C,3,FALSE)="","",VLOOKUP(A2688,[18]PRIORIZADOS!$A:$C,3,FALSE)),"")</f>
        <v>USME</v>
      </c>
      <c r="D2688" s="11" t="str">
        <f>IFERROR(IF(VLOOKUP(A2688,[18]PRIORIZADOS!$A:$D,4,FALSE)="","",VLOOKUP(A2688,[18]PRIORIZADOS!$A:$D,4,FALSE)),"")</f>
        <v>PRIVADO</v>
      </c>
      <c r="E2688" s="11" t="str">
        <f>IFERROR(IF(VLOOKUP(A2688,[18]PRIORIZADOS!$A:$E,5,FALSE)="","",VLOOKUP(A2688,[18]PRIORIZADOS!$A:$E,5,FALSE)),"")</f>
        <v>EPBM</v>
      </c>
      <c r="F2688" s="11" t="str">
        <f>IFERROR(IF(VLOOKUP(A2688,[18]PRIORIZADOS!$A:$F,6,FALSE)="","",VLOOKUP(A2688,[18]PRIORIZADOS!$A:$F,6,FALSE)),"")</f>
        <v>COLEGIO_SAN_MARINO</v>
      </c>
      <c r="G2688" s="11" t="str">
        <f>IFERROR(IF(VLOOKUP(A2688,[18]PRIORIZADOS!$A:$G,7,FALSE)="","",VLOOKUP(A2688,[18]PRIORIZADOS!$A:$G,7,FALSE)),"")</f>
        <v>COLEGIO SAN MARINO</v>
      </c>
      <c r="H2688" s="11" t="str">
        <f>IFERROR(IF(VLOOKUP(A2688,[18]PRIORIZADOS!$A:$H,8,FALSE)="","",VLOOKUP(A2688,[18]PRIORIZADOS!$A:$H,8,FALSE)),"")</f>
        <v>Autoevaluación Institucional y Pruebas SABER 11</v>
      </c>
      <c r="I2688" s="11" t="str">
        <f>IFERROR(IF(VLOOKUP(A2688,[18]PRIORIZADOS!$A:$I,9,FALSE)="","",VLOOKUP(A2688,[18]PRIORIZADOS!$A:$I,9,FALSE)),"")</f>
        <v>SEGUIMIENTO_Y_SUPERVISIÓN.</v>
      </c>
      <c r="J2688" s="11" t="str">
        <f>IFERROR(IF(VLOOKUP(A2688,[18]PRIORIZADOS!$A:$J,10,FALSE)="","",VLOOKUP(A2688,[18]PRIORIZADOS!$A:$J,10,FALSE)),"")</f>
        <v>Proponer estrategias en la formulación, verificar su elaboración y realizar seguimiento semestral al desarrollo de  las acciones establecidas en los planes de mejoramiento por pruebas SABER 11 de los establecimientos de educación formal.</v>
      </c>
      <c r="K2688" s="11" t="str">
        <f>IFERROR(IF(VLOOKUP(A2688,[18]PRIORIZADOS!$A:$K,11,FALSE)="","",VLOOKUP(A2688,[18]PRIORIZADOS!$A:$K,11,FALSE)),"")</f>
        <v>MIGUEL ANTONIO CARO CARO</v>
      </c>
      <c r="L2688" s="11" t="str">
        <f>IFERROR(IF(VLOOKUP(A2688,[18]PRIORIZADOS!$A:$L,12,FALSE)="","",VLOOKUP(A2688,[18]PRIORIZADOS!$A:$L,12,FALSE)),"")</f>
        <v>FRANCY LORENA RODRIGUEZ CASTRO</v>
      </c>
      <c r="M2688" s="71">
        <f>IFERROR(IF(VLOOKUP(A2688,[18]PRIORIZADOS!$A:$M,13,FALSE)="","",VLOOKUP(A2688,[18]PRIORIZADOS!$A:$M,13,FALSE)),"")</f>
        <v>45748</v>
      </c>
      <c r="N2688" s="71">
        <f>IFERROR(IF(VLOOKUP(A2688,[18]PRIORIZADOS!$A:$N,14,FALSE)="","",VLOOKUP(A2688,[18]PRIORIZADOS!$A:$N,14,FALSE)),"")</f>
        <v>45800</v>
      </c>
      <c r="O2688" s="71">
        <f>IFERROR(IF(VLOOKUP(A2688,[18]PRIORIZADOS!$A:$O,15,FALSE)="","",VLOOKUP(A2688,[18]PRIORIZADOS!$A:$O,15,FALSE)),"")</f>
        <v>45800</v>
      </c>
      <c r="P2688" s="11" t="str">
        <f>IFERROR(IF(VLOOKUP(A2688,[18]PRIORIZADOS!$A:$P,16,FALSE)="","",VLOOKUP(A2688,[18]PRIORIZADOS!$A:$P,16,FALSE)),"")</f>
        <v>Visitas de evaluación con fines de mejoramiento</v>
      </c>
      <c r="Q2688" s="2" t="s">
        <v>519</v>
      </c>
      <c r="R2688" s="11" t="str">
        <f>IFERROR(IF(VLOOKUP(A2688,[18]PRIORIZADOS!$A:$R,18,FALSE)="","",VLOOKUP(A2688,[18]PRIORIZADOS!$A:$R,18,FALSE)),"")</f>
        <v xml:space="preserve">No se encontró evidencia de la revisión y análisis de resultados de pruebas Saber 11, ni de la formulación de planes de mejoramiento.  </v>
      </c>
      <c r="S2688" s="11" t="str">
        <f>IFERROR(IF(VLOOKUP(A2688,[18]PRIORIZADOS!$A:$S,19,FALSE)="","",VLOOKUP(A2688,[18]PRIORIZADOS!$A:$S,19,FALSE)),"")</f>
        <v xml:space="preserve">Realizar la actualización del plan de mejoramiento para las pruebas saber 11  </v>
      </c>
      <c r="T2688" s="70" t="str">
        <f>IFERROR(IF(VLOOKUP(A2688,[18]PRIORIZADOS!$A:$T,20,FALSE)="","",VLOOKUP(A2688,[18]PRIORIZADOS!$A:$T,20,FALSE)),"")</f>
        <v>Si</v>
      </c>
      <c r="U2688" s="11" t="str">
        <f>IFERROR(IF(VLOOKUP(A2688,[18]PRIORIZADOS!$A:$U,21,FALSE)="","",VLOOKUP(A2688,[18]PRIORIZADOS!$A:$U,21,FALSE)),"")</f>
        <v>Se verificará el cumplimiento del Plan de mejoramiento vigencia 2025 y 2026</v>
      </c>
    </row>
    <row r="2689" spans="1:21" s="1" customFormat="1" ht="48">
      <c r="A2689" s="69">
        <f>IF([18]PRIORIZADOS!A32="","",[18]PRIORIZADOS!A32)</f>
        <v>2678</v>
      </c>
      <c r="B2689" s="70">
        <f>IFERROR(IF(VLOOKUP(A2689,[18]PRIORIZADOS!$A:$B,2,FALSE)="","",VLOOKUP(A2689,[18]PRIORIZADOS!$A:$B,2,FALSE)),"")</f>
        <v>4</v>
      </c>
      <c r="C2689" s="11" t="str">
        <f>IFERROR(IF(VLOOKUP(A2689,[18]PRIORIZADOS!$A:$C,3,FALSE)="","",VLOOKUP(A2689,[18]PRIORIZADOS!$A:$C,3,FALSE)),"")</f>
        <v>USME</v>
      </c>
      <c r="D2689" s="11" t="str">
        <f>IFERROR(IF(VLOOKUP(A2689,[18]PRIORIZADOS!$A:$D,4,FALSE)="","",VLOOKUP(A2689,[18]PRIORIZADOS!$A:$D,4,FALSE)),"")</f>
        <v>PRIVADO</v>
      </c>
      <c r="E2689" s="11" t="str">
        <f>IFERROR(IF(VLOOKUP(A2689,[18]PRIORIZADOS!$A:$E,5,FALSE)="","",VLOOKUP(A2689,[18]PRIORIZADOS!$A:$E,5,FALSE)),"")</f>
        <v>EPBM</v>
      </c>
      <c r="F2689" s="11" t="str">
        <f>IFERROR(IF(VLOOKUP(A2689,[18]PRIORIZADOS!$A:$F,6,FALSE)="","",VLOOKUP(A2689,[18]PRIORIZADOS!$A:$F,6,FALSE)),"")</f>
        <v>COLEGIO_SAN_MARINO</v>
      </c>
      <c r="G2689" s="11" t="str">
        <f>IFERROR(IF(VLOOKUP(A2689,[18]PRIORIZADOS!$A:$G,7,FALSE)="","",VLOOKUP(A2689,[18]PRIORIZADOS!$A:$G,7,FALSE)),"")</f>
        <v>COLEGIO SAN MARINO</v>
      </c>
      <c r="H2689" s="11" t="str">
        <f>IFERROR(IF(VLOOKUP(A2689,[18]PRIORIZADOS!$A:$H,8,FALSE)="","",VLOOKUP(A2689,[18]PRIORIZADOS!$A:$H,8,FALSE)),"")</f>
        <v>Autoevaluación Institucional y Pruebas SABER 11</v>
      </c>
      <c r="I2689" s="11" t="str">
        <f>IFERROR(IF(VLOOKUP(A2689,[18]PRIORIZADOS!$A:$I,9,FALSE)="","",VLOOKUP(A2689,[18]PRIORIZADOS!$A:$I,9,FALSE)),"")</f>
        <v>SEGUIMIENTO_Y_SUPERVISIÓN.</v>
      </c>
      <c r="J2689" s="11" t="str">
        <f>IFERROR(IF(VLOOKUP(A2689,[18]PRIORIZADOS!$A:$J,10,FALSE)="","",VLOOKUP(A2689,[18]PRIORIZADOS!$A:$J,10,FALSE)),"")</f>
        <v xml:space="preserve">Verificar la implementación por parte de los colegios, de acciones realizadas para la prevención y atención de las situaciones de convivencia en el entorno escolar, según lo establecido en la Directiva 01 de 2022 del MEN. </v>
      </c>
      <c r="K2689" s="11" t="str">
        <f>IFERROR(IF(VLOOKUP(A2689,[18]PRIORIZADOS!$A:$K,11,FALSE)="","",VLOOKUP(A2689,[18]PRIORIZADOS!$A:$K,11,FALSE)),"")</f>
        <v>MIGUEL ANTONIO CARO CARO</v>
      </c>
      <c r="L2689" s="11" t="str">
        <f>IFERROR(IF(VLOOKUP(A2689,[18]PRIORIZADOS!$A:$L,12,FALSE)="","",VLOOKUP(A2689,[18]PRIORIZADOS!$A:$L,12,FALSE)),"")</f>
        <v>FRANCY LORENA RODRIGUEZ CASTRO</v>
      </c>
      <c r="M2689" s="71">
        <f>IFERROR(IF(VLOOKUP(A2689,[18]PRIORIZADOS!$A:$M,13,FALSE)="","",VLOOKUP(A2689,[18]PRIORIZADOS!$A:$M,13,FALSE)),"")</f>
        <v>45748</v>
      </c>
      <c r="N2689" s="71">
        <f>IFERROR(IF(VLOOKUP(A2689,[18]PRIORIZADOS!$A:$N,14,FALSE)="","",VLOOKUP(A2689,[18]PRIORIZADOS!$A:$N,14,FALSE)),"")</f>
        <v>45800</v>
      </c>
      <c r="O2689" s="71">
        <f>IFERROR(IF(VLOOKUP(A2689,[18]PRIORIZADOS!$A:$O,15,FALSE)="","",VLOOKUP(A2689,[18]PRIORIZADOS!$A:$O,15,FALSE)),"")</f>
        <v>45800</v>
      </c>
      <c r="P2689" s="11" t="str">
        <f>IFERROR(IF(VLOOKUP(A2689,[18]PRIORIZADOS!$A:$P,16,FALSE)="","",VLOOKUP(A2689,[18]PRIORIZADOS!$A:$P,16,FALSE)),"")</f>
        <v>Visitas de evaluación con fines de mejoramiento</v>
      </c>
      <c r="Q2689" s="2" t="s">
        <v>519</v>
      </c>
      <c r="R2689" s="11" t="str">
        <f>IFERROR(IF(VLOOKUP(A2689,[18]PRIORIZADOS!$A:$R,18,FALSE)="","",VLOOKUP(A2689,[18]PRIORIZADOS!$A:$R,18,FALSE)),"")</f>
        <v>Se evidencia que se verifica cumplimiento de la directiva 01, certificados de inicio de año escolar y reciente</v>
      </c>
      <c r="S2689" s="11" t="str">
        <f>IFERROR(IF(VLOOKUP(A2689,[18]PRIORIZADOS!$A:$S,19,FALSE)="","",VLOOKUP(A2689,[18]PRIORIZADOS!$A:$S,19,FALSE)),"")</f>
        <v xml:space="preserve">Continuar con la periodicidad de verificación </v>
      </c>
      <c r="T2689" s="70" t="str">
        <f>IFERROR(IF(VLOOKUP(A2689,[18]PRIORIZADOS!$A:$T,20,FALSE)="","",VLOOKUP(A2689,[18]PRIORIZADOS!$A:$T,20,FALSE)),"")</f>
        <v>No</v>
      </c>
      <c r="U2689" s="11" t="str">
        <f>IFERROR(IF(VLOOKUP(A2689,[18]PRIORIZADOS!$A:$U,21,FALSE)="","",VLOOKUP(A2689,[18]PRIORIZADOS!$A:$U,21,FALSE)),"")</f>
        <v>Se verificará el cumplimiento la directiva 01, vigencia 2025 y 2026 por requerimiento- informe</v>
      </c>
    </row>
    <row r="2690" spans="1:21" s="1" customFormat="1" ht="72">
      <c r="A2690" s="69">
        <f>IF([18]PRIORIZADOS!A33="","",[18]PRIORIZADOS!A33)</f>
        <v>2679</v>
      </c>
      <c r="B2690" s="70">
        <f>IFERROR(IF(VLOOKUP(A2690,[18]PRIORIZADOS!$A:$B,2,FALSE)="","",VLOOKUP(A2690,[18]PRIORIZADOS!$A:$B,2,FALSE)),"")</f>
        <v>4</v>
      </c>
      <c r="C2690" s="11" t="str">
        <f>IFERROR(IF(VLOOKUP(A2690,[18]PRIORIZADOS!$A:$C,3,FALSE)="","",VLOOKUP(A2690,[18]PRIORIZADOS!$A:$C,3,FALSE)),"")</f>
        <v>USME</v>
      </c>
      <c r="D2690" s="11" t="str">
        <f>IFERROR(IF(VLOOKUP(A2690,[18]PRIORIZADOS!$A:$D,4,FALSE)="","",VLOOKUP(A2690,[18]PRIORIZADOS!$A:$D,4,FALSE)),"")</f>
        <v>PRIVADO</v>
      </c>
      <c r="E2690" s="11" t="str">
        <f>IFERROR(IF(VLOOKUP(A2690,[18]PRIORIZADOS!$A:$E,5,FALSE)="","",VLOOKUP(A2690,[18]PRIORIZADOS!$A:$E,5,FALSE)),"")</f>
        <v>EPBM</v>
      </c>
      <c r="F2690" s="11" t="str">
        <f>IFERROR(IF(VLOOKUP(A2690,[18]PRIORIZADOS!$A:$F,6,FALSE)="","",VLOOKUP(A2690,[18]PRIORIZADOS!$A:$F,6,FALSE)),"")</f>
        <v>COLEGIO_SAN_MARINO</v>
      </c>
      <c r="G2690" s="11" t="str">
        <f>IFERROR(IF(VLOOKUP(A2690,[18]PRIORIZADOS!$A:$G,7,FALSE)="","",VLOOKUP(A2690,[18]PRIORIZADOS!$A:$G,7,FALSE)),"")</f>
        <v>COLEGIO SAN MARINO</v>
      </c>
      <c r="H2690" s="11" t="str">
        <f>IFERROR(IF(VLOOKUP(A2690,[18]PRIORIZADOS!$A:$H,8,FALSE)="","",VLOOKUP(A2690,[18]PRIORIZADOS!$A:$H,8,FALSE)),"")</f>
        <v>Autoevaluación Institucional y Pruebas SABER 11</v>
      </c>
      <c r="I2690" s="11" t="str">
        <f>IFERROR(IF(VLOOKUP(A2690,[18]PRIORIZADOS!$A:$I,9,FALSE)="","",VLOOKUP(A2690,[18]PRIORIZADOS!$A:$I,9,FALSE)),"")</f>
        <v>SEGUIMIENTO_Y_SUPERVISIÓN.</v>
      </c>
      <c r="J2690" s="11" t="str">
        <f>IFERROR(IF(VLOOKUP(A2690,[18]PRIORIZADOS!$A:$J,10,FALSE)="","",VLOOKUP(A2690,[18]PRIORIZADOS!$A:$J,10,FALSE)),"")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90" s="11" t="str">
        <f>IFERROR(IF(VLOOKUP(A2690,[18]PRIORIZADOS!$A:$K,11,FALSE)="","",VLOOKUP(A2690,[18]PRIORIZADOS!$A:$K,11,FALSE)),"")</f>
        <v>MIGUEL ANTONIO CARO CARO</v>
      </c>
      <c r="L2690" s="11" t="str">
        <f>IFERROR(IF(VLOOKUP(A2690,[18]PRIORIZADOS!$A:$L,12,FALSE)="","",VLOOKUP(A2690,[18]PRIORIZADOS!$A:$L,12,FALSE)),"")</f>
        <v>FRANCY LORENA RODRIGUEZ CASTRO</v>
      </c>
      <c r="M2690" s="71">
        <f>IFERROR(IF(VLOOKUP(A2690,[18]PRIORIZADOS!$A:$M,13,FALSE)="","",VLOOKUP(A2690,[18]PRIORIZADOS!$A:$M,13,FALSE)),"")</f>
        <v>45748</v>
      </c>
      <c r="N2690" s="71">
        <f>IFERROR(IF(VLOOKUP(A2690,[18]PRIORIZADOS!$A:$N,14,FALSE)="","",VLOOKUP(A2690,[18]PRIORIZADOS!$A:$N,14,FALSE)),"")</f>
        <v>45800</v>
      </c>
      <c r="O2690" s="71">
        <f>IFERROR(IF(VLOOKUP(A2690,[18]PRIORIZADOS!$A:$O,15,FALSE)="","",VLOOKUP(A2690,[18]PRIORIZADOS!$A:$O,15,FALSE)),"")</f>
        <v>45800</v>
      </c>
      <c r="P2690" s="11" t="str">
        <f>IFERROR(IF(VLOOKUP(A2690,[18]PRIORIZADOS!$A:$P,16,FALSE)="","",VLOOKUP(A2690,[18]PRIORIZADOS!$A:$P,16,FALSE)),"")</f>
        <v>Visitas de evaluación con fines de mejoramiento</v>
      </c>
      <c r="Q2690" s="2" t="s">
        <v>519</v>
      </c>
      <c r="R2690" s="11" t="str">
        <f>IFERROR(IF(VLOOKUP(A2690,[18]PRIORIZADOS!$A:$R,18,FALSE)="","",VLOOKUP(A2690,[18]PRIORIZADOS!$A:$R,18,FALSE)),"")</f>
        <v>Se evidencia que se registran los casos en formato de caracterización y se lleva carpeta individual del estudiantes con sus anexos</v>
      </c>
      <c r="S2690" s="11" t="str">
        <f>IFERROR(IF(VLOOKUP(A2690,[18]PRIORIZADOS!$A:$S,19,FALSE)="","",VLOOKUP(A2690,[18]PRIORIZADOS!$A:$S,19,FALSE)),"")</f>
        <v>la Institución realizará el ajuste del SIEE para incluir la evaluación de los casos PIAR</v>
      </c>
      <c r="T2690" s="70" t="str">
        <f>IFERROR(IF(VLOOKUP(A2690,[18]PRIORIZADOS!$A:$T,20,FALSE)="","",VLOOKUP(A2690,[18]PRIORIZADOS!$A:$T,20,FALSE)),"")</f>
        <v>Si</v>
      </c>
      <c r="U2690" s="11" t="str">
        <f>IFERROR(IF(VLOOKUP(A2690,[18]PRIORIZADOS!$A:$U,21,FALSE)="","",VLOOKUP(A2690,[18]PRIORIZADOS!$A:$U,21,FALSE)),"")</f>
        <v>Se verificara el cumplimiento del Plan de mejoramiento vigencia 2025 y 2026</v>
      </c>
    </row>
    <row r="2691" spans="1:21" s="1" customFormat="1" ht="84">
      <c r="A2691" s="69">
        <f>IF([18]PRIORIZADOS!A34="","",[18]PRIORIZADOS!A34)</f>
        <v>2680</v>
      </c>
      <c r="B2691" s="70">
        <f>IFERROR(IF(VLOOKUP(A2691,[18]PRIORIZADOS!$A:$B,2,FALSE)="","",VLOOKUP(A2691,[18]PRIORIZADOS!$A:$B,2,FALSE)),"")</f>
        <v>4</v>
      </c>
      <c r="C2691" s="11" t="str">
        <f>IFERROR(IF(VLOOKUP(A2691,[18]PRIORIZADOS!$A:$C,3,FALSE)="","",VLOOKUP(A2691,[18]PRIORIZADOS!$A:$C,3,FALSE)),"")</f>
        <v>USME</v>
      </c>
      <c r="D2691" s="11" t="str">
        <f>IFERROR(IF(VLOOKUP(A2691,[18]PRIORIZADOS!$A:$D,4,FALSE)="","",VLOOKUP(A2691,[18]PRIORIZADOS!$A:$D,4,FALSE)),"")</f>
        <v>PRIVADO</v>
      </c>
      <c r="E2691" s="11" t="str">
        <f>IFERROR(IF(VLOOKUP(A2691,[18]PRIORIZADOS!$A:$E,5,FALSE)="","",VLOOKUP(A2691,[18]PRIORIZADOS!$A:$E,5,FALSE)),"")</f>
        <v>EPBM</v>
      </c>
      <c r="F2691" s="11" t="str">
        <f>IFERROR(IF(VLOOKUP(A2691,[18]PRIORIZADOS!$A:$F,6,FALSE)="","",VLOOKUP(A2691,[18]PRIORIZADOS!$A:$F,6,FALSE)),"")</f>
        <v>COLEGIO_SAN_MARINO</v>
      </c>
      <c r="G2691" s="11" t="str">
        <f>IFERROR(IF(VLOOKUP(A2691,[18]PRIORIZADOS!$A:$G,7,FALSE)="","",VLOOKUP(A2691,[18]PRIORIZADOS!$A:$G,7,FALSE)),"")</f>
        <v>COLEGIO SAN MARINO</v>
      </c>
      <c r="H2691" s="11" t="str">
        <f>IFERROR(IF(VLOOKUP(A2691,[18]PRIORIZADOS!$A:$H,8,FALSE)="","",VLOOKUP(A2691,[18]PRIORIZADOS!$A:$H,8,FALSE)),"")</f>
        <v>Autoevaluación Institucional y Pruebas SABER 11</v>
      </c>
      <c r="I2691" s="11" t="str">
        <f>IFERROR(IF(VLOOKUP(A2691,[18]PRIORIZADOS!$A:$I,9,FALSE)="","",VLOOKUP(A2691,[18]PRIORIZADOS!$A:$I,9,FALSE)),"")</f>
        <v>EVALUACIÓN_CON_FINES_DE_MEJORAMIENTO.</v>
      </c>
      <c r="J2691" s="11" t="str">
        <f>IFERROR(IF(VLOOKUP(A2691,[18]PRIORIZADOS!$A:$J,10,FALSE)="","",VLOOKUP(A2691,[18]PRIORIZADOS!$A:$J,10,FALSE)),"")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691" s="11" t="str">
        <f>IFERROR(IF(VLOOKUP(A2691,[18]PRIORIZADOS!$A:$K,11,FALSE)="","",VLOOKUP(A2691,[18]PRIORIZADOS!$A:$K,11,FALSE)),"")</f>
        <v>MIGUEL ANTONIO CARO CARO</v>
      </c>
      <c r="L2691" s="11" t="str">
        <f>IFERROR(IF(VLOOKUP(A2691,[18]PRIORIZADOS!$A:$L,12,FALSE)="","",VLOOKUP(A2691,[18]PRIORIZADOS!$A:$L,12,FALSE)),"")</f>
        <v>FRANCY LORENA RODRIGUEZ CASTRO</v>
      </c>
      <c r="M2691" s="71">
        <f>IFERROR(IF(VLOOKUP(A2691,[18]PRIORIZADOS!$A:$M,13,FALSE)="","",VLOOKUP(A2691,[18]PRIORIZADOS!$A:$M,13,FALSE)),"")</f>
        <v>45748</v>
      </c>
      <c r="N2691" s="71">
        <f>IFERROR(IF(VLOOKUP(A2691,[18]PRIORIZADOS!$A:$N,14,FALSE)="","",VLOOKUP(A2691,[18]PRIORIZADOS!$A:$N,14,FALSE)),"")</f>
        <v>45800</v>
      </c>
      <c r="O2691" s="71">
        <f>IFERROR(IF(VLOOKUP(A2691,[18]PRIORIZADOS!$A:$O,15,FALSE)="","",VLOOKUP(A2691,[18]PRIORIZADOS!$A:$O,15,FALSE)),"")</f>
        <v>45800</v>
      </c>
      <c r="P2691" s="11" t="str">
        <f>IFERROR(IF(VLOOKUP(A2691,[18]PRIORIZADOS!$A:$P,16,FALSE)="","",VLOOKUP(A2691,[18]PRIORIZADOS!$A:$P,16,FALSE)),"")</f>
        <v>Visitas de evaluación con fines de mejoramiento</v>
      </c>
      <c r="Q2691" s="2" t="s">
        <v>519</v>
      </c>
      <c r="R2691" s="11" t="str">
        <f>IFERROR(IF(VLOOKUP(A2691,[18]PRIORIZADOS!$A:$R,18,FALSE)="","",VLOOKUP(A2691,[18]PRIORIZADOS!$A:$R,18,FALSE)),"")</f>
        <v xml:space="preserve">Se evidencia documento de Manual de Convivencia sin acta de aprobación y adopción para el año 2025 por Concejo Directivo.  la Ultima actualización se realizó en el 2022, </v>
      </c>
      <c r="S2691" s="11" t="str">
        <f>IFERROR(IF(VLOOKUP(A2691,[18]PRIORIZADOS!$A:$S,19,FALSE)="","",VLOOKUP(A2691,[18]PRIORIZADOS!$A:$S,19,FALSE)),"")</f>
        <v xml:space="preserve">La institución realizará ajustes a su Manual de convivencia determinando un sistema de evaluación para los estudiantes en situación de inclusión </v>
      </c>
      <c r="T2691" s="70" t="str">
        <f>IFERROR(IF(VLOOKUP(A2691,[18]PRIORIZADOS!$A:$T,20,FALSE)="","",VLOOKUP(A2691,[18]PRIORIZADOS!$A:$T,20,FALSE)),"")</f>
        <v>Si</v>
      </c>
      <c r="U2691" s="11" t="str">
        <f>IFERROR(IF(VLOOKUP(A2691,[18]PRIORIZADOS!$A:$U,21,FALSE)="","",VLOOKUP(A2691,[18]PRIORIZADOS!$A:$U,21,FALSE)),"")</f>
        <v>Se verificara el cumplimiento del Plan de mejoramiento vigencia 2025 y 2026</v>
      </c>
    </row>
    <row r="2692" spans="1:21" s="1" customFormat="1" ht="48">
      <c r="A2692" s="69">
        <f>IF([18]PRIORIZADOS!A35="","",[18]PRIORIZADOS!A35)</f>
        <v>2681</v>
      </c>
      <c r="B2692" s="70">
        <f>IFERROR(IF(VLOOKUP(A2692,[18]PRIORIZADOS!$A:$B,2,FALSE)="","",VLOOKUP(A2692,[18]PRIORIZADOS!$A:$B,2,FALSE)),"")</f>
        <v>4</v>
      </c>
      <c r="C2692" s="11" t="str">
        <f>IFERROR(IF(VLOOKUP(A2692,[18]PRIORIZADOS!$A:$C,3,FALSE)="","",VLOOKUP(A2692,[18]PRIORIZADOS!$A:$C,3,FALSE)),"")</f>
        <v>USME</v>
      </c>
      <c r="D2692" s="11" t="str">
        <f>IFERROR(IF(VLOOKUP(A2692,[18]PRIORIZADOS!$A:$D,4,FALSE)="","",VLOOKUP(A2692,[18]PRIORIZADOS!$A:$D,4,FALSE)),"")</f>
        <v>PRIVADO</v>
      </c>
      <c r="E2692" s="11" t="str">
        <f>IFERROR(IF(VLOOKUP(A2692,[18]PRIORIZADOS!$A:$E,5,FALSE)="","",VLOOKUP(A2692,[18]PRIORIZADOS!$A:$E,5,FALSE)),"")</f>
        <v>EPBM</v>
      </c>
      <c r="F2692" s="11" t="str">
        <f>IFERROR(IF(VLOOKUP(A2692,[18]PRIORIZADOS!$A:$F,6,FALSE)="","",VLOOKUP(A2692,[18]PRIORIZADOS!$A:$F,6,FALSE)),"")</f>
        <v>COLEGIO_SAN_MARINO</v>
      </c>
      <c r="G2692" s="11" t="str">
        <f>IFERROR(IF(VLOOKUP(A2692,[18]PRIORIZADOS!$A:$G,7,FALSE)="","",VLOOKUP(A2692,[18]PRIORIZADOS!$A:$G,7,FALSE)),"")</f>
        <v>COLEGIO SAN MARINO</v>
      </c>
      <c r="H2692" s="11" t="str">
        <f>IFERROR(IF(VLOOKUP(A2692,[18]PRIORIZADOS!$A:$H,8,FALSE)="","",VLOOKUP(A2692,[18]PRIORIZADOS!$A:$H,8,FALSE)),"")</f>
        <v>Autoevaluación Institucional y Pruebas SABER 11</v>
      </c>
      <c r="I2692" s="11" t="str">
        <f>IFERROR(IF(VLOOKUP(A2692,[18]PRIORIZADOS!$A:$I,9,FALSE)="","",VLOOKUP(A2692,[18]PRIORIZADOS!$A:$I,9,FALSE)),"")</f>
        <v>EVALUACIÓN_CON_FINES_DE_MEJORAMIENTO.</v>
      </c>
      <c r="J2692" s="11" t="str">
        <f>IFERROR(IF(VLOOKUP(A2692,[18]PRIORIZADOS!$A:$J,10,FALSE)="","",VLOOKUP(A2692,[18]PRIORIZADOS!$A:$J,10,FALSE)),"")</f>
        <v>Revisar la actualización, socialización e implementación del Sistema Institucional de Evaluación de Estudiantes - SIEE, en articulación con la actualización del PEI y la normatividad vigente.</v>
      </c>
      <c r="K2692" s="11" t="str">
        <f>IFERROR(IF(VLOOKUP(A2692,[18]PRIORIZADOS!$A:$K,11,FALSE)="","",VLOOKUP(A2692,[18]PRIORIZADOS!$A:$K,11,FALSE)),"")</f>
        <v>MIGUEL ANTONIO CARO CARO</v>
      </c>
      <c r="L2692" s="11" t="str">
        <f>IFERROR(IF(VLOOKUP(A2692,[18]PRIORIZADOS!$A:$L,12,FALSE)="","",VLOOKUP(A2692,[18]PRIORIZADOS!$A:$L,12,FALSE)),"")</f>
        <v>FRANCY LORENA RODRIGUEZ CASTRO</v>
      </c>
      <c r="M2692" s="71">
        <f>IFERROR(IF(VLOOKUP(A2692,[18]PRIORIZADOS!$A:$M,13,FALSE)="","",VLOOKUP(A2692,[18]PRIORIZADOS!$A:$M,13,FALSE)),"")</f>
        <v>45748</v>
      </c>
      <c r="N2692" s="71">
        <f>IFERROR(IF(VLOOKUP(A2692,[18]PRIORIZADOS!$A:$N,14,FALSE)="","",VLOOKUP(A2692,[18]PRIORIZADOS!$A:$N,14,FALSE)),"")</f>
        <v>45800</v>
      </c>
      <c r="O2692" s="71">
        <f>IFERROR(IF(VLOOKUP(A2692,[18]PRIORIZADOS!$A:$O,15,FALSE)="","",VLOOKUP(A2692,[18]PRIORIZADOS!$A:$O,15,FALSE)),"")</f>
        <v>45800</v>
      </c>
      <c r="P2692" s="11" t="str">
        <f>IFERROR(IF(VLOOKUP(A2692,[18]PRIORIZADOS!$A:$P,16,FALSE)="","",VLOOKUP(A2692,[18]PRIORIZADOS!$A:$P,16,FALSE)),"")</f>
        <v>Visitas de evaluación con fines de mejoramiento</v>
      </c>
      <c r="Q2692" s="2" t="s">
        <v>519</v>
      </c>
      <c r="R2692" s="11" t="str">
        <f>IFERROR(IF(VLOOKUP(A2692,[18]PRIORIZADOS!$A:$R,18,FALSE)="","",VLOOKUP(A2692,[18]PRIORIZADOS!$A:$R,18,FALSE)),"")</f>
        <v xml:space="preserve">Se encontró SIEE actualizado. planillas escolares de seguimiento e informes académicos. </v>
      </c>
      <c r="S2692" s="11" t="str">
        <f>IFERROR(IF(VLOOKUP(A2692,[18]PRIORIZADOS!$A:$S,19,FALSE)="","",VLOOKUP(A2692,[18]PRIORIZADOS!$A:$S,19,FALSE)),"")</f>
        <v xml:space="preserve">La Institución incluirá un capítulo para la evaluación académica de los estudiantes con PIAR </v>
      </c>
      <c r="T2692" s="70" t="str">
        <f>IFERROR(IF(VLOOKUP(A2692,[18]PRIORIZADOS!$A:$T,20,FALSE)="","",VLOOKUP(A2692,[18]PRIORIZADOS!$A:$T,20,FALSE)),"")</f>
        <v>Si</v>
      </c>
      <c r="U2692" s="11" t="str">
        <f>IFERROR(IF(VLOOKUP(A2692,[18]PRIORIZADOS!$A:$U,21,FALSE)="","",VLOOKUP(A2692,[18]PRIORIZADOS!$A:$U,21,FALSE)),"")</f>
        <v>Se verificara el cumplimiento del Plan de mejoramiento vigencia 2025 la inclusión del capítulo</v>
      </c>
    </row>
    <row r="2693" spans="1:21" s="1" customFormat="1" ht="48">
      <c r="A2693" s="69">
        <f>IF([18]PRIORIZADOS!A36="","",[18]PRIORIZADOS!A36)</f>
        <v>2682</v>
      </c>
      <c r="B2693" s="70">
        <f>IFERROR(IF(VLOOKUP(A2693,[18]PRIORIZADOS!$A:$B,2,FALSE)="","",VLOOKUP(A2693,[18]PRIORIZADOS!$A:$B,2,FALSE)),"")</f>
        <v>4</v>
      </c>
      <c r="C2693" s="11" t="str">
        <f>IFERROR(IF(VLOOKUP(A2693,[18]PRIORIZADOS!$A:$C,3,FALSE)="","",VLOOKUP(A2693,[18]PRIORIZADOS!$A:$C,3,FALSE)),"")</f>
        <v>USME</v>
      </c>
      <c r="D2693" s="11" t="str">
        <f>IFERROR(IF(VLOOKUP(A2693,[18]PRIORIZADOS!$A:$D,4,FALSE)="","",VLOOKUP(A2693,[18]PRIORIZADOS!$A:$D,4,FALSE)),"")</f>
        <v>PRIVADO</v>
      </c>
      <c r="E2693" s="11" t="str">
        <f>IFERROR(IF(VLOOKUP(A2693,[18]PRIORIZADOS!$A:$E,5,FALSE)="","",VLOOKUP(A2693,[18]PRIORIZADOS!$A:$E,5,FALSE)),"")</f>
        <v>EPBM</v>
      </c>
      <c r="F2693" s="11" t="str">
        <f>IFERROR(IF(VLOOKUP(A2693,[18]PRIORIZADOS!$A:$F,6,FALSE)="","",VLOOKUP(A2693,[18]PRIORIZADOS!$A:$F,6,FALSE)),"")</f>
        <v>COLEGIO_SAN_MARINO</v>
      </c>
      <c r="G2693" s="11" t="str">
        <f>IFERROR(IF(VLOOKUP(A2693,[18]PRIORIZADOS!$A:$G,7,FALSE)="","",VLOOKUP(A2693,[18]PRIORIZADOS!$A:$G,7,FALSE)),"")</f>
        <v>COLEGIO SAN MARINO</v>
      </c>
      <c r="H2693" s="11" t="str">
        <f>IFERROR(IF(VLOOKUP(A2693,[18]PRIORIZADOS!$A:$H,8,FALSE)="","",VLOOKUP(A2693,[18]PRIORIZADOS!$A:$H,8,FALSE)),"")</f>
        <v>Autoevaluación Institucional y Pruebas SABER 11</v>
      </c>
      <c r="I2693" s="11" t="str">
        <f>IFERROR(IF(VLOOKUP(A2693,[18]PRIORIZADOS!$A:$I,9,FALSE)="","",VLOOKUP(A2693,[18]PRIORIZADOS!$A:$I,9,FALSE)),"")</f>
        <v>EVALUACIÓN_CON_FINES_DE_MEJORAMIENTO.</v>
      </c>
      <c r="J2693" s="11" t="str">
        <f>IFERROR(IF(VLOOKUP(A2693,[18]PRIORIZADOS!$A:$J,10,FALSE)="","",VLOOKUP(A2693,[18]PRIORIZADOS!$A:$J,10,FALSE)),"")</f>
        <v>Revisar el calendario escolar, jornada escolar, la intensidad horaria mínima anual en cada nivel y las modificaciones que se realicen al mismo, de acuerdo con lo previsto en la normatividad vigente.</v>
      </c>
      <c r="K2693" s="11" t="str">
        <f>IFERROR(IF(VLOOKUP(A2693,[18]PRIORIZADOS!$A:$K,11,FALSE)="","",VLOOKUP(A2693,[18]PRIORIZADOS!$A:$K,11,FALSE)),"")</f>
        <v>MIGUEL ANTONIO CARO CARO</v>
      </c>
      <c r="L2693" s="11" t="str">
        <f>IFERROR(IF(VLOOKUP(A2693,[18]PRIORIZADOS!$A:$L,12,FALSE)="","",VLOOKUP(A2693,[18]PRIORIZADOS!$A:$L,12,FALSE)),"")</f>
        <v>FRANCY LORENA RODRIGUEZ CASTRO</v>
      </c>
      <c r="M2693" s="71">
        <f>IFERROR(IF(VLOOKUP(A2693,[18]PRIORIZADOS!$A:$M,13,FALSE)="","",VLOOKUP(A2693,[18]PRIORIZADOS!$A:$M,13,FALSE)),"")</f>
        <v>45748</v>
      </c>
      <c r="N2693" s="71">
        <f>IFERROR(IF(VLOOKUP(A2693,[18]PRIORIZADOS!$A:$N,14,FALSE)="","",VLOOKUP(A2693,[18]PRIORIZADOS!$A:$N,14,FALSE)),"")</f>
        <v>45800</v>
      </c>
      <c r="O2693" s="71">
        <f>IFERROR(IF(VLOOKUP(A2693,[18]PRIORIZADOS!$A:$O,15,FALSE)="","",VLOOKUP(A2693,[18]PRIORIZADOS!$A:$O,15,FALSE)),"")</f>
        <v>45800</v>
      </c>
      <c r="P2693" s="11" t="str">
        <f>IFERROR(IF(VLOOKUP(A2693,[18]PRIORIZADOS!$A:$P,16,FALSE)="","",VLOOKUP(A2693,[18]PRIORIZADOS!$A:$P,16,FALSE)),"")</f>
        <v>Visitas de evaluación con fines de mejoramiento</v>
      </c>
      <c r="Q2693" s="2" t="s">
        <v>519</v>
      </c>
      <c r="R2693" s="11" t="str">
        <f>IFERROR(IF(VLOOKUP(A2693,[18]PRIORIZADOS!$A:$R,18,FALSE)="","",VLOOKUP(A2693,[18]PRIORIZADOS!$A:$R,18,FALSE)),"")</f>
        <v xml:space="preserve"> No se encuentra evidencia de cumplimiento de la intensidad horaria por cada nivel </v>
      </c>
      <c r="S2693" s="11" t="str">
        <f>IFERROR(IF(VLOOKUP(A2693,[18]PRIORIZADOS!$A:$S,19,FALSE)="","",VLOOKUP(A2693,[18]PRIORIZADOS!$A:$S,19,FALSE)),"")</f>
        <v xml:space="preserve">La institución ajustará el horario para cumplir con la intensidad mínima </v>
      </c>
      <c r="T2693" s="70" t="str">
        <f>IFERROR(IF(VLOOKUP(A2693,[18]PRIORIZADOS!$A:$T,20,FALSE)="","",VLOOKUP(A2693,[18]PRIORIZADOS!$A:$T,20,FALSE)),"")</f>
        <v>Si</v>
      </c>
      <c r="U2693" s="11" t="str">
        <f>IFERROR(IF(VLOOKUP(A2693,[18]PRIORIZADOS!$A:$U,21,FALSE)="","",VLOOKUP(A2693,[18]PRIORIZADOS!$A:$U,21,FALSE)),"")</f>
        <v>Se verificara el cumplimiento del Plan de mejoramiento vigencia 2025 la intensidad horaria para cada nivel</v>
      </c>
    </row>
    <row r="2694" spans="1:21" s="1" customFormat="1" ht="48">
      <c r="A2694" s="69">
        <f>IF([18]PRIORIZADOS!A37="","",[18]PRIORIZADOS!A37)</f>
        <v>2683</v>
      </c>
      <c r="B2694" s="70">
        <f>IFERROR(IF(VLOOKUP(A2694,[18]PRIORIZADOS!$A:$B,2,FALSE)="","",VLOOKUP(A2694,[18]PRIORIZADOS!$A:$B,2,FALSE)),"")</f>
        <v>4</v>
      </c>
      <c r="C2694" s="11" t="str">
        <f>IFERROR(IF(VLOOKUP(A2694,[18]PRIORIZADOS!$A:$C,3,FALSE)="","",VLOOKUP(A2694,[18]PRIORIZADOS!$A:$C,3,FALSE)),"")</f>
        <v>USME</v>
      </c>
      <c r="D2694" s="11" t="str">
        <f>IFERROR(IF(VLOOKUP(A2694,[18]PRIORIZADOS!$A:$D,4,FALSE)="","",VLOOKUP(A2694,[18]PRIORIZADOS!$A:$D,4,FALSE)),"")</f>
        <v>PRIVADO</v>
      </c>
      <c r="E2694" s="11" t="str">
        <f>IFERROR(IF(VLOOKUP(A2694,[18]PRIORIZADOS!$A:$E,5,FALSE)="","",VLOOKUP(A2694,[18]PRIORIZADOS!$A:$E,5,FALSE)),"")</f>
        <v>EPBM</v>
      </c>
      <c r="F2694" s="11" t="str">
        <f>IFERROR(IF(VLOOKUP(A2694,[18]PRIORIZADOS!$A:$F,6,FALSE)="","",VLOOKUP(A2694,[18]PRIORIZADOS!$A:$F,6,FALSE)),"")</f>
        <v>COLEGIO_SAN_MARINO</v>
      </c>
      <c r="G2694" s="11" t="str">
        <f>IFERROR(IF(VLOOKUP(A2694,[18]PRIORIZADOS!$A:$G,7,FALSE)="","",VLOOKUP(A2694,[18]PRIORIZADOS!$A:$G,7,FALSE)),"")</f>
        <v>COLEGIO SAN MARINO</v>
      </c>
      <c r="H2694" s="11" t="str">
        <f>IFERROR(IF(VLOOKUP(A2694,[18]PRIORIZADOS!$A:$H,8,FALSE)="","",VLOOKUP(A2694,[18]PRIORIZADOS!$A:$H,8,FALSE)),"")</f>
        <v>Autoevaluación Institucional y Pruebas SABER 11</v>
      </c>
      <c r="I2694" s="11" t="str">
        <f>IFERROR(IF(VLOOKUP(A2694,[18]PRIORIZADOS!$A:$I,9,FALSE)="","",VLOOKUP(A2694,[18]PRIORIZADOS!$A:$I,9,FALSE)),"")</f>
        <v>EVALUACIÓN_CON_FINES_DE_MEJORAMIENTO.</v>
      </c>
      <c r="J2694" s="11" t="str">
        <f>IFERROR(IF(VLOOKUP(A2694,[18]PRIORIZADOS!$A:$J,10,FALSE)="","",VLOOKUP(A2694,[18]PRIORIZADOS!$A:$J,10,FALSE)),"")</f>
        <v>Verificar el funcionamiento del Gobierno Escolar e instancias de participación con base en la información sobre conformación reportada por la institución educativa.</v>
      </c>
      <c r="K2694" s="11" t="str">
        <f>IFERROR(IF(VLOOKUP(A2694,[18]PRIORIZADOS!$A:$K,11,FALSE)="","",VLOOKUP(A2694,[18]PRIORIZADOS!$A:$K,11,FALSE)),"")</f>
        <v>MIGUEL ANTONIO CARO CARO</v>
      </c>
      <c r="L2694" s="11" t="str">
        <f>IFERROR(IF(VLOOKUP(A2694,[18]PRIORIZADOS!$A:$L,12,FALSE)="","",VLOOKUP(A2694,[18]PRIORIZADOS!$A:$L,12,FALSE)),"")</f>
        <v>FRANCY LORENA RODRIGUEZ CASTRO</v>
      </c>
      <c r="M2694" s="71">
        <f>IFERROR(IF(VLOOKUP(A2694,[18]PRIORIZADOS!$A:$M,13,FALSE)="","",VLOOKUP(A2694,[18]PRIORIZADOS!$A:$M,13,FALSE)),"")</f>
        <v>45748</v>
      </c>
      <c r="N2694" s="71">
        <f>IFERROR(IF(VLOOKUP(A2694,[18]PRIORIZADOS!$A:$N,14,FALSE)="","",VLOOKUP(A2694,[18]PRIORIZADOS!$A:$N,14,FALSE)),"")</f>
        <v>45800</v>
      </c>
      <c r="O2694" s="71">
        <f>IFERROR(IF(VLOOKUP(A2694,[18]PRIORIZADOS!$A:$O,15,FALSE)="","",VLOOKUP(A2694,[18]PRIORIZADOS!$A:$O,15,FALSE)),"")</f>
        <v>45800</v>
      </c>
      <c r="P2694" s="11" t="str">
        <f>IFERROR(IF(VLOOKUP(A2694,[18]PRIORIZADOS!$A:$P,16,FALSE)="","",VLOOKUP(A2694,[18]PRIORIZADOS!$A:$P,16,FALSE)),"")</f>
        <v>Visitas de evaluación con fines de mejoramiento</v>
      </c>
      <c r="Q2694" s="2" t="s">
        <v>519</v>
      </c>
      <c r="R2694" s="11" t="str">
        <f>IFERROR(IF(VLOOKUP(A2694,[18]PRIORIZADOS!$A:$R,18,FALSE)="","",VLOOKUP(A2694,[18]PRIORIZADOS!$A:$R,18,FALSE)),"")</f>
        <v>Existe el acta de instalación -conformación del consejo directivo, pero no se registra en actas las reuniones de las diferentes instancias de gobierno escolar .</v>
      </c>
      <c r="S2694" s="11" t="str">
        <f>IFERROR(IF(VLOOKUP(A2694,[18]PRIORIZADOS!$A:$S,19,FALSE)="","",VLOOKUP(A2694,[18]PRIORIZADOS!$A:$S,19,FALSE)),"")</f>
        <v xml:space="preserve">la Institución generará actas para órgano de gobierno escolar e instancias de participación </v>
      </c>
      <c r="T2694" s="70" t="str">
        <f>IFERROR(IF(VLOOKUP(A2694,[18]PRIORIZADOS!$A:$T,20,FALSE)="","",VLOOKUP(A2694,[18]PRIORIZADOS!$A:$T,20,FALSE)),"")</f>
        <v>Si</v>
      </c>
      <c r="U2694" s="11" t="str">
        <f>IFERROR(IF(VLOOKUP(A2694,[18]PRIORIZADOS!$A:$U,21,FALSE)="","",VLOOKUP(A2694,[18]PRIORIZADOS!$A:$U,21,FALSE)),"")</f>
        <v>Se verificara el cumplimiento del Plan de mejoramiento vigencia 2025.</v>
      </c>
    </row>
    <row r="2695" spans="1:21" s="1" customFormat="1" ht="60">
      <c r="A2695" s="69">
        <f>IF([18]PRIORIZADOS!A38="","",[18]PRIORIZADOS!A38)</f>
        <v>2684</v>
      </c>
      <c r="B2695" s="70">
        <f>IFERROR(IF(VLOOKUP(A2695,[18]PRIORIZADOS!$A:$B,2,FALSE)="","",VLOOKUP(A2695,[18]PRIORIZADOS!$A:$B,2,FALSE)),"")</f>
        <v>4</v>
      </c>
      <c r="C2695" s="11" t="str">
        <f>IFERROR(IF(VLOOKUP(A2695,[18]PRIORIZADOS!$A:$C,3,FALSE)="","",VLOOKUP(A2695,[18]PRIORIZADOS!$A:$C,3,FALSE)),"")</f>
        <v>USME</v>
      </c>
      <c r="D2695" s="11" t="str">
        <f>IFERROR(IF(VLOOKUP(A2695,[18]PRIORIZADOS!$A:$D,4,FALSE)="","",VLOOKUP(A2695,[18]PRIORIZADOS!$A:$D,4,FALSE)),"")</f>
        <v>PRIVADO</v>
      </c>
      <c r="E2695" s="11" t="str">
        <f>IFERROR(IF(VLOOKUP(A2695,[18]PRIORIZADOS!$A:$E,5,FALSE)="","",VLOOKUP(A2695,[18]PRIORIZADOS!$A:$E,5,FALSE)),"")</f>
        <v>EPBM</v>
      </c>
      <c r="F2695" s="11" t="str">
        <f>IFERROR(IF(VLOOKUP(A2695,[18]PRIORIZADOS!$A:$F,6,FALSE)="","",VLOOKUP(A2695,[18]PRIORIZADOS!$A:$F,6,FALSE)),"")</f>
        <v>COLEGIO_SAN_MARINO</v>
      </c>
      <c r="G2695" s="11" t="str">
        <f>IFERROR(IF(VLOOKUP(A2695,[18]PRIORIZADOS!$A:$G,7,FALSE)="","",VLOOKUP(A2695,[18]PRIORIZADOS!$A:$G,7,FALSE)),"")</f>
        <v>COLEGIO SAN MARINO</v>
      </c>
      <c r="H2695" s="11" t="str">
        <f>IFERROR(IF(VLOOKUP(A2695,[18]PRIORIZADOS!$A:$H,8,FALSE)="","",VLOOKUP(A2695,[18]PRIORIZADOS!$A:$H,8,FALSE)),"")</f>
        <v>Autoevaluación Institucional y Pruebas SABER 11</v>
      </c>
      <c r="I2695" s="11" t="str">
        <f>IFERROR(IF(VLOOKUP(A2695,[18]PRIORIZADOS!$A:$I,9,FALSE)="","",VLOOKUP(A2695,[18]PRIORIZADOS!$A:$I,9,FALSE)),"")</f>
        <v>EVALUACIÓN_CON_FINES_DE_MEJORAMIENTO.</v>
      </c>
      <c r="J2695" s="11" t="str">
        <f>IFERROR(IF(VLOOKUP(A2695,[18]PRIORIZADOS!$A:$J,10,FALSE)="","",VLOOKUP(A2695,[18]PRIORIZADOS!$A:$J,10,FALSE)),"")</f>
        <v>Verificar las condiciones en cuanto a: la estructura administrativa, condiciones de la planta física y medios educativos adecuados.</v>
      </c>
      <c r="K2695" s="11" t="str">
        <f>IFERROR(IF(VLOOKUP(A2695,[18]PRIORIZADOS!$A:$K,11,FALSE)="","",VLOOKUP(A2695,[18]PRIORIZADOS!$A:$K,11,FALSE)),"")</f>
        <v>MIGUEL ANTONIO CARO CARO</v>
      </c>
      <c r="L2695" s="11" t="str">
        <f>IFERROR(IF(VLOOKUP(A2695,[18]PRIORIZADOS!$A:$L,12,FALSE)="","",VLOOKUP(A2695,[18]PRIORIZADOS!$A:$L,12,FALSE)),"")</f>
        <v>FRANCY LORENA RODRIGUEZ CASTRO</v>
      </c>
      <c r="M2695" s="71">
        <f>IFERROR(IF(VLOOKUP(A2695,[18]PRIORIZADOS!$A:$M,13,FALSE)="","",VLOOKUP(A2695,[18]PRIORIZADOS!$A:$M,13,FALSE)),"")</f>
        <v>45748</v>
      </c>
      <c r="N2695" s="71">
        <f>IFERROR(IF(VLOOKUP(A2695,[18]PRIORIZADOS!$A:$N,14,FALSE)="","",VLOOKUP(A2695,[18]PRIORIZADOS!$A:$N,14,FALSE)),"")</f>
        <v>45800</v>
      </c>
      <c r="O2695" s="71">
        <f>IFERROR(IF(VLOOKUP(A2695,[18]PRIORIZADOS!$A:$O,15,FALSE)="","",VLOOKUP(A2695,[18]PRIORIZADOS!$A:$O,15,FALSE)),"")</f>
        <v>45800</v>
      </c>
      <c r="P2695" s="11" t="str">
        <f>IFERROR(IF(VLOOKUP(A2695,[18]PRIORIZADOS!$A:$P,16,FALSE)="","",VLOOKUP(A2695,[18]PRIORIZADOS!$A:$P,16,FALSE)),"")</f>
        <v>Visitas de evaluación con fines de mejoramiento</v>
      </c>
      <c r="Q2695" s="60" t="s">
        <v>519</v>
      </c>
      <c r="R2695" s="11" t="str">
        <f>IFERROR(IF(VLOOKUP(A2695,[18]PRIORIZADOS!$A:$R,18,FALSE)="","",VLOOKUP(A2695,[18]PRIORIZADOS!$A:$R,18,FALSE)),"")</f>
        <v xml:space="preserve">la Institución cuenta con suficiente salones, zonas de recreación y descanso, areas administrativas, aula multiple y sala de computadores, rampas en las escalas primer piso </v>
      </c>
      <c r="S2695" s="11" t="str">
        <f>IFERROR(IF(VLOOKUP(A2695,[18]PRIORIZADOS!$A:$S,19,FALSE)="","",VLOOKUP(A2695,[18]PRIORIZADOS!$A:$S,19,FALSE)),"")</f>
        <v>Garantizar las condiciones fisicas y administrativas de la IE</v>
      </c>
      <c r="T2695" s="70" t="str">
        <f>IFERROR(IF(VLOOKUP(A2695,[18]PRIORIZADOS!$A:$T,20,FALSE)="","",VLOOKUP(A2695,[18]PRIORIZADOS!$A:$T,20,FALSE)),"")</f>
        <v>No</v>
      </c>
      <c r="U2695" s="11" t="str">
        <f>IFERROR(IF(VLOOKUP(A2695,[18]PRIORIZADOS!$A:$U,21,FALSE)="","",VLOOKUP(A2695,[18]PRIORIZADOS!$A:$U,21,FALSE)),"")</f>
        <v>Se verificara vigencia 2025.</v>
      </c>
    </row>
    <row r="2696" spans="1:21" s="1" customFormat="1" ht="118.5">
      <c r="A2696" s="69">
        <f>IF([18]PRIORIZADOS!A39="","",[18]PRIORIZADOS!A39)</f>
        <v>2685</v>
      </c>
      <c r="B2696" s="70">
        <f>IFERROR(IF(VLOOKUP(A2696,[18]PRIORIZADOS!$A:$B,2,FALSE)="","",VLOOKUP(A2696,[18]PRIORIZADOS!$A:$B,2,FALSE)),"")</f>
        <v>5</v>
      </c>
      <c r="C2696" s="11" t="str">
        <f>IFERROR(IF(VLOOKUP(A2696,[18]PRIORIZADOS!$A:$C,3,FALSE)="","",VLOOKUP(A2696,[18]PRIORIZADOS!$A:$C,3,FALSE)),"")</f>
        <v>USME</v>
      </c>
      <c r="D2696" s="11" t="str">
        <f>IFERROR(IF(VLOOKUP(A2696,[18]PRIORIZADOS!$A:$D,4,FALSE)="","",VLOOKUP(A2696,[18]PRIORIZADOS!$A:$D,4,FALSE)),"")</f>
        <v>PRIVADO</v>
      </c>
      <c r="E2696" s="11" t="str">
        <f>IFERROR(IF(VLOOKUP(A2696,[18]PRIORIZADOS!$A:$E,5,FALSE)="","",VLOOKUP(A2696,[18]PRIORIZADOS!$A:$E,5,FALSE)),"")</f>
        <v>EPBM</v>
      </c>
      <c r="F2696" s="11" t="str">
        <f>IFERROR(IF(VLOOKUP(A2696,[18]PRIORIZADOS!$A:$F,6,FALSE)="","",VLOOKUP(A2696,[18]PRIORIZADOS!$A:$F,6,FALSE)),"")</f>
        <v>COLEGIO_CENTRO_CULTURAL</v>
      </c>
      <c r="G2696" s="11" t="str">
        <f>IFERROR(IF(VLOOKUP(A2696,[18]PRIORIZADOS!$A:$G,7,FALSE)="","",VLOOKUP(A2696,[18]PRIORIZADOS!$A:$G,7,FALSE)),"")</f>
        <v>COLEGIO CENTRO CULTURAL</v>
      </c>
      <c r="H2696" s="11" t="str">
        <f>IFERROR(IF(VLOOKUP(A2696,[18]PRIORIZADOS!$A:$H,8,FALSE)="","",VLOOKUP(A2696,[18]PRIORIZADOS!$A:$H,8,FALSE)),"")</f>
        <v>Autoevaluación Institucional y Pruebas SABER 11</v>
      </c>
      <c r="I2696" s="11" t="str">
        <f>IFERROR(IF(VLOOKUP(A2696,[18]PRIORIZADOS!$A:$I,9,FALSE)="","",VLOOKUP(A2696,[18]PRIORIZADOS!$A:$I,9,FALSE)),"")</f>
        <v>SEGUIMIENTO_Y_SUPERVISIÓN.</v>
      </c>
      <c r="J2696" s="11" t="str">
        <f>IFERROR(IF(VLOOKUP(A2696,[18]PRIORIZADOS!$A:$J,10,FALSE)="","",VLOOKUP(A2696,[18]PRIORIZADOS!$A:$J,10,FALSE)),"")</f>
        <v>Realizar visitas para verificar la información registrada sobre la autoevaluación institucional en el aplicativo EVI, a los establecimientos de educación formal no oficial.</v>
      </c>
      <c r="K2696" s="11" t="str">
        <f>IFERROR(IF(VLOOKUP(A2696,[18]PRIORIZADOS!$A:$K,11,FALSE)="","",VLOOKUP(A2696,[18]PRIORIZADOS!$A:$K,11,FALSE)),"")</f>
        <v>MIGUEL ANTONIO CARO CARO</v>
      </c>
      <c r="L2696" s="11" t="str">
        <f>IFERROR(IF(VLOOKUP(A2696,[18]PRIORIZADOS!$A:$L,12,FALSE)="","",VLOOKUP(A2696,[18]PRIORIZADOS!$A:$L,12,FALSE)),"")</f>
        <v>FRANCY LORENA RODRIGUEZ CASTRO</v>
      </c>
      <c r="M2696" s="71">
        <f>IFERROR(IF(VLOOKUP(A2696,[18]PRIORIZADOS!$A:$M,13,FALSE)="","",VLOOKUP(A2696,[18]PRIORIZADOS!$A:$M,13,FALSE)),"")</f>
        <v>45769</v>
      </c>
      <c r="N2696" s="71">
        <f>IFERROR(IF(VLOOKUP(A2696,[18]PRIORIZADOS!$A:$N,14,FALSE)="","",VLOOKUP(A2696,[18]PRIORIZADOS!$A:$N,14,FALSE)),"")</f>
        <v>45909</v>
      </c>
      <c r="O2696" s="71">
        <f>IFERROR(IF(VLOOKUP(A2696,[18]PRIORIZADOS!$A:$O,15,FALSE)="","",VLOOKUP(A2696,[18]PRIORIZADOS!$A:$O,15,FALSE)),"")</f>
        <v>45909</v>
      </c>
      <c r="P2696" s="11" t="str">
        <f>IFERROR(IF(VLOOKUP(A2696,[18]PRIORIZADOS!$A:$P,16,FALSE)="","",VLOOKUP(A2696,[18]PRIORIZADOS!$A:$P,16,FALSE)),"")</f>
        <v>Visitas de evaluación con fines de mejoramiento</v>
      </c>
      <c r="Q2696" s="60" t="s">
        <v>520</v>
      </c>
      <c r="R2696" s="11" t="str">
        <f>IFERROR(IF(VLOOKUP(A2696,[18]PRIORIZADOS!$A:$R,18,FALSE)="","",VLOOKUP(A2696,[18]PRIORIZADOS!$A:$R,18,FALSE)),"")</f>
        <v>Se encontró que no existe correspondencia entre el número de estudiantes registrados en el EVI - SIMAT y la realidad institucional en el momento de la visita, se encontro que la aseveración del pago de parafiscales registrada en el EVI para tarifas 2025 no es concordante con lo encontrado, un solo docente escalafonado ,y ninguna evidencia del pago de parafiscales</v>
      </c>
      <c r="S2696" s="11" t="str">
        <f>IFERROR(IF(VLOOKUP(A2696,[18]PRIORIZADOS!$A:$S,19,FALSE)="","",VLOOKUP(A2696,[18]PRIORIZADOS!$A:$S,19,FALSE)),"")</f>
        <v>la institución se compromete a presentar un plan de mejoramiento para cada uno de los aspectos en que se realizó observaciones el 30 de octubre del 2025</v>
      </c>
      <c r="T2696" s="70" t="str">
        <f>IFERROR(IF(VLOOKUP(A2696,[18]PRIORIZADOS!$A:$T,20,FALSE)="","",VLOOKUP(A2696,[18]PRIORIZADOS!$A:$T,20,FALSE)),"")</f>
        <v>Si</v>
      </c>
      <c r="U2696" s="11" t="str">
        <f>IFERROR(IF(VLOOKUP(A2696,[18]PRIORIZADOS!$A:$U,21,FALSE)="","",VLOOKUP(A2696,[18]PRIORIZADOS!$A:$U,21,FALSE)),"")</f>
        <v>Se revisara el plan de mejoramiento y Verificara en el SIMAT -   vigencia 2026</v>
      </c>
    </row>
    <row r="2697" spans="1:21" s="1" customFormat="1" ht="60">
      <c r="A2697" s="69">
        <f>IF([18]PRIORIZADOS!A40="","",[18]PRIORIZADOS!A40)</f>
        <v>2686</v>
      </c>
      <c r="B2697" s="70">
        <f>IFERROR(IF(VLOOKUP(A2697,[18]PRIORIZADOS!$A:$B,2,FALSE)="","",VLOOKUP(A2697,[18]PRIORIZADOS!$A:$B,2,FALSE)),"")</f>
        <v>5</v>
      </c>
      <c r="C2697" s="11" t="str">
        <f>IFERROR(IF(VLOOKUP(A2697,[18]PRIORIZADOS!$A:$C,3,FALSE)="","",VLOOKUP(A2697,[18]PRIORIZADOS!$A:$C,3,FALSE)),"")</f>
        <v>USME</v>
      </c>
      <c r="D2697" s="11" t="str">
        <f>IFERROR(IF(VLOOKUP(A2697,[18]PRIORIZADOS!$A:$D,4,FALSE)="","",VLOOKUP(A2697,[18]PRIORIZADOS!$A:$D,4,FALSE)),"")</f>
        <v>PRIVADO</v>
      </c>
      <c r="E2697" s="11" t="str">
        <f>IFERROR(IF(VLOOKUP(A2697,[18]PRIORIZADOS!$A:$E,5,FALSE)="","",VLOOKUP(A2697,[18]PRIORIZADOS!$A:$E,5,FALSE)),"")</f>
        <v>EPBM</v>
      </c>
      <c r="F2697" s="11" t="str">
        <f>IFERROR(IF(VLOOKUP(A2697,[18]PRIORIZADOS!$A:$F,6,FALSE)="","",VLOOKUP(A2697,[18]PRIORIZADOS!$A:$F,6,FALSE)),"")</f>
        <v>COLEGIO_CENTRO_CULTURAL</v>
      </c>
      <c r="G2697" s="11" t="str">
        <f>IFERROR(IF(VLOOKUP(A2697,[18]PRIORIZADOS!$A:$G,7,FALSE)="","",VLOOKUP(A2697,[18]PRIORIZADOS!$A:$G,7,FALSE)),"")</f>
        <v>COLEGIO CENTRO CULTURAL</v>
      </c>
      <c r="H2697" s="11" t="str">
        <f>IFERROR(IF(VLOOKUP(A2697,[18]PRIORIZADOS!$A:$H,8,FALSE)="","",VLOOKUP(A2697,[18]PRIORIZADOS!$A:$H,8,FALSE)),"")</f>
        <v>Autoevaluación Institucional y Pruebas SABER 11</v>
      </c>
      <c r="I2697" s="11" t="str">
        <f>IFERROR(IF(VLOOKUP(A2697,[18]PRIORIZADOS!$A:$I,9,FALSE)="","",VLOOKUP(A2697,[18]PRIORIZADOS!$A:$I,9,FALSE)),"")</f>
        <v>SEGUIMIENTO_Y_SUPERVISIÓN.</v>
      </c>
      <c r="J2697" s="11" t="str">
        <f>IFERROR(IF(VLOOKUP(A2697,[18]PRIORIZADOS!$A:$J,10,FALSE)="","",VLOOKUP(A2697,[18]PRIORIZADOS!$A:$J,10,FALSE)),"")</f>
        <v>Proponer estrategias en la formulación, verificar su elaboración y realizar seguimiento semestral al desarrollo de  las acciones establecidas en los planes de mejoramiento por pruebas SABER 11 de los establecimientos de educación formal.</v>
      </c>
      <c r="K2697" s="11" t="str">
        <f>IFERROR(IF(VLOOKUP(A2697,[18]PRIORIZADOS!$A:$K,11,FALSE)="","",VLOOKUP(A2697,[18]PRIORIZADOS!$A:$K,11,FALSE)),"")</f>
        <v>MIGUEL ANTONIO CARO CARO</v>
      </c>
      <c r="L2697" s="11" t="str">
        <f>IFERROR(IF(VLOOKUP(A2697,[18]PRIORIZADOS!$A:$L,12,FALSE)="","",VLOOKUP(A2697,[18]PRIORIZADOS!$A:$L,12,FALSE)),"")</f>
        <v>FRANCY LORENA RODRIGUEZ CASTRO</v>
      </c>
      <c r="M2697" s="71">
        <f>IFERROR(IF(VLOOKUP(A2697,[18]PRIORIZADOS!$A:$M,13,FALSE)="","",VLOOKUP(A2697,[18]PRIORIZADOS!$A:$M,13,FALSE)),"")</f>
        <v>45769</v>
      </c>
      <c r="N2697" s="71">
        <f>IFERROR(IF(VLOOKUP(A2697,[18]PRIORIZADOS!$A:$N,14,FALSE)="","",VLOOKUP(A2697,[18]PRIORIZADOS!$A:$N,14,FALSE)),"")</f>
        <v>45909</v>
      </c>
      <c r="O2697" s="71">
        <f>IFERROR(IF(VLOOKUP(A2697,[18]PRIORIZADOS!$A:$O,15,FALSE)="","",VLOOKUP(A2697,[18]PRIORIZADOS!$A:$O,15,FALSE)),"")</f>
        <v>45909</v>
      </c>
      <c r="P2697" s="11" t="str">
        <f>IFERROR(IF(VLOOKUP(A2697,[18]PRIORIZADOS!$A:$P,16,FALSE)="","",VLOOKUP(A2697,[18]PRIORIZADOS!$A:$P,16,FALSE)),"")</f>
        <v>Visitas de evaluación con fines de mejoramiento</v>
      </c>
      <c r="Q2697" s="60" t="s">
        <v>520</v>
      </c>
      <c r="R2697" s="11" t="str">
        <f>IFERROR(IF(VLOOKUP(A2697,[18]PRIORIZADOS!$A:$R,18,FALSE)="","",VLOOKUP(A2697,[18]PRIORIZADOS!$A:$R,18,FALSE)),"")</f>
        <v>No se encontró evidencia de la revisión y análisis de resultados de pruebas Saber 11, ni de la formulación de planes de mejoramiento.</v>
      </c>
      <c r="S2697" s="11" t="str">
        <f>IFERROR(IF(VLOOKUP(A2697,[18]PRIORIZADOS!$A:$S,19,FALSE)="","",VLOOKUP(A2697,[18]PRIORIZADOS!$A:$S,19,FALSE)),"")</f>
        <v>la institución se compromete a presentar un plan de mejoramiento para cada uno de los aspectos en que se realizó observaciones el 30 de octubre del 2025</v>
      </c>
      <c r="T2697" s="70" t="str">
        <f>IFERROR(IF(VLOOKUP(A2697,[18]PRIORIZADOS!$A:$T,20,FALSE)="","",VLOOKUP(A2697,[18]PRIORIZADOS!$A:$T,20,FALSE)),"")</f>
        <v>Si</v>
      </c>
      <c r="U2697" s="11" t="str">
        <f>IFERROR(IF(VLOOKUP(A2697,[18]PRIORIZADOS!$A:$U,21,FALSE)="","",VLOOKUP(A2697,[18]PRIORIZADOS!$A:$U,21,FALSE)),"")</f>
        <v>Se revisara el plan de mejoramiento y Verificara - vigencia 2026</v>
      </c>
    </row>
    <row r="2698" spans="1:21" s="1" customFormat="1" ht="48">
      <c r="A2698" s="69">
        <f>IF([18]PRIORIZADOS!A41="","",[18]PRIORIZADOS!A41)</f>
        <v>2687</v>
      </c>
      <c r="B2698" s="70">
        <f>IFERROR(IF(VLOOKUP(A2698,[18]PRIORIZADOS!$A:$B,2,FALSE)="","",VLOOKUP(A2698,[18]PRIORIZADOS!$A:$B,2,FALSE)),"")</f>
        <v>5</v>
      </c>
      <c r="C2698" s="11" t="str">
        <f>IFERROR(IF(VLOOKUP(A2698,[18]PRIORIZADOS!$A:$C,3,FALSE)="","",VLOOKUP(A2698,[18]PRIORIZADOS!$A:$C,3,FALSE)),"")</f>
        <v>USME</v>
      </c>
      <c r="D2698" s="11" t="str">
        <f>IFERROR(IF(VLOOKUP(A2698,[18]PRIORIZADOS!$A:$D,4,FALSE)="","",VLOOKUP(A2698,[18]PRIORIZADOS!$A:$D,4,FALSE)),"")</f>
        <v>PRIVADO</v>
      </c>
      <c r="E2698" s="11" t="str">
        <f>IFERROR(IF(VLOOKUP(A2698,[18]PRIORIZADOS!$A:$E,5,FALSE)="","",VLOOKUP(A2698,[18]PRIORIZADOS!$A:$E,5,FALSE)),"")</f>
        <v>EPBM</v>
      </c>
      <c r="F2698" s="11" t="str">
        <f>IFERROR(IF(VLOOKUP(A2698,[18]PRIORIZADOS!$A:$F,6,FALSE)="","",VLOOKUP(A2698,[18]PRIORIZADOS!$A:$F,6,FALSE)),"")</f>
        <v>COLEGIO_CENTRO_CULTURAL</v>
      </c>
      <c r="G2698" s="11" t="str">
        <f>IFERROR(IF(VLOOKUP(A2698,[18]PRIORIZADOS!$A:$G,7,FALSE)="","",VLOOKUP(A2698,[18]PRIORIZADOS!$A:$G,7,FALSE)),"")</f>
        <v>COLEGIO CENTRO CULTURAL</v>
      </c>
      <c r="H2698" s="11" t="str">
        <f>IFERROR(IF(VLOOKUP(A2698,[18]PRIORIZADOS!$A:$H,8,FALSE)="","",VLOOKUP(A2698,[18]PRIORIZADOS!$A:$H,8,FALSE)),"")</f>
        <v>Autoevaluación Institucional y Pruebas SABER 11</v>
      </c>
      <c r="I2698" s="11" t="str">
        <f>IFERROR(IF(VLOOKUP(A2698,[18]PRIORIZADOS!$A:$I,9,FALSE)="","",VLOOKUP(A2698,[18]PRIORIZADOS!$A:$I,9,FALSE)),"")</f>
        <v>SEGUIMIENTO_Y_SUPERVISIÓN.</v>
      </c>
      <c r="J2698" s="11" t="str">
        <f>IFERROR(IF(VLOOKUP(A2698,[18]PRIORIZADOS!$A:$J,10,FALSE)="","",VLOOKUP(A2698,[18]PRIORIZADOS!$A:$J,10,FALSE)),"")</f>
        <v xml:space="preserve">Verificar la implementación por parte de los colegios, de acciones realizadas para la prevención y atención de las situaciones de convivencia en el entorno escolar, según lo establecido en la Directiva 01 de 2022 del MEN. </v>
      </c>
      <c r="K2698" s="11" t="str">
        <f>IFERROR(IF(VLOOKUP(A2698,[18]PRIORIZADOS!$A:$K,11,FALSE)="","",VLOOKUP(A2698,[18]PRIORIZADOS!$A:$K,11,FALSE)),"")</f>
        <v>MIGUEL ANTONIO CARO CARO</v>
      </c>
      <c r="L2698" s="11" t="str">
        <f>IFERROR(IF(VLOOKUP(A2698,[18]PRIORIZADOS!$A:$L,12,FALSE)="","",VLOOKUP(A2698,[18]PRIORIZADOS!$A:$L,12,FALSE)),"")</f>
        <v>FRANCY LORENA RODRIGUEZ CASTRO</v>
      </c>
      <c r="M2698" s="71">
        <f>IFERROR(IF(VLOOKUP(A2698,[18]PRIORIZADOS!$A:$M,13,FALSE)="","",VLOOKUP(A2698,[18]PRIORIZADOS!$A:$M,13,FALSE)),"")</f>
        <v>45769</v>
      </c>
      <c r="N2698" s="71">
        <f>IFERROR(IF(VLOOKUP(A2698,[18]PRIORIZADOS!$A:$N,14,FALSE)="","",VLOOKUP(A2698,[18]PRIORIZADOS!$A:$N,14,FALSE)),"")</f>
        <v>45909</v>
      </c>
      <c r="O2698" s="71">
        <f>IFERROR(IF(VLOOKUP(A2698,[18]PRIORIZADOS!$A:$O,15,FALSE)="","",VLOOKUP(A2698,[18]PRIORIZADOS!$A:$O,15,FALSE)),"")</f>
        <v>45909</v>
      </c>
      <c r="P2698" s="11" t="str">
        <f>IFERROR(IF(VLOOKUP(A2698,[18]PRIORIZADOS!$A:$P,16,FALSE)="","",VLOOKUP(A2698,[18]PRIORIZADOS!$A:$P,16,FALSE)),"")</f>
        <v>Visitas de evaluación con fines de mejoramiento</v>
      </c>
      <c r="Q2698" s="60" t="s">
        <v>520</v>
      </c>
      <c r="R2698" s="11" t="str">
        <f>IFERROR(IF(VLOOKUP(A2698,[18]PRIORIZADOS!$A:$R,18,FALSE)="","",VLOOKUP(A2698,[18]PRIORIZADOS!$A:$R,18,FALSE)),"")</f>
        <v>Se evidencia que se verifica cumplimiento de la directiva 01, certificados de inicio de año escolar y reciente</v>
      </c>
      <c r="S2698" s="11" t="str">
        <f>IFERROR(IF(VLOOKUP(A2698,[18]PRIORIZADOS!$A:$S,19,FALSE)="","",VLOOKUP(A2698,[18]PRIORIZADOS!$A:$S,19,FALSE)),"")</f>
        <v>se recomienda continuar periodicamente  con la verificación</v>
      </c>
      <c r="T2698" s="70" t="str">
        <f>IFERROR(IF(VLOOKUP(A2698,[18]PRIORIZADOS!$A:$T,20,FALSE)="","",VLOOKUP(A2698,[18]PRIORIZADOS!$A:$T,20,FALSE)),"")</f>
        <v>No</v>
      </c>
      <c r="U2698" s="11" t="str">
        <f>IFERROR(IF(VLOOKUP(A2698,[18]PRIORIZADOS!$A:$U,21,FALSE)="","",VLOOKUP(A2698,[18]PRIORIZADOS!$A:$U,21,FALSE)),"")</f>
        <v xml:space="preserve"> se verifica cumplimiento de la directiva 01, certificados de inicio de año escolar</v>
      </c>
    </row>
    <row r="2699" spans="1:21" s="1" customFormat="1" ht="72">
      <c r="A2699" s="69">
        <f>IF([18]PRIORIZADOS!A42="","",[18]PRIORIZADOS!A42)</f>
        <v>2688</v>
      </c>
      <c r="B2699" s="70">
        <f>IFERROR(IF(VLOOKUP(A2699,[18]PRIORIZADOS!$A:$B,2,FALSE)="","",VLOOKUP(A2699,[18]PRIORIZADOS!$A:$B,2,FALSE)),"")</f>
        <v>5</v>
      </c>
      <c r="C2699" s="11" t="str">
        <f>IFERROR(IF(VLOOKUP(A2699,[18]PRIORIZADOS!$A:$C,3,FALSE)="","",VLOOKUP(A2699,[18]PRIORIZADOS!$A:$C,3,FALSE)),"")</f>
        <v>USME</v>
      </c>
      <c r="D2699" s="11" t="str">
        <f>IFERROR(IF(VLOOKUP(A2699,[18]PRIORIZADOS!$A:$D,4,FALSE)="","",VLOOKUP(A2699,[18]PRIORIZADOS!$A:$D,4,FALSE)),"")</f>
        <v>PRIVADO</v>
      </c>
      <c r="E2699" s="11" t="str">
        <f>IFERROR(IF(VLOOKUP(A2699,[18]PRIORIZADOS!$A:$E,5,FALSE)="","",VLOOKUP(A2699,[18]PRIORIZADOS!$A:$E,5,FALSE)),"")</f>
        <v>EPBM</v>
      </c>
      <c r="F2699" s="11" t="str">
        <f>IFERROR(IF(VLOOKUP(A2699,[18]PRIORIZADOS!$A:$F,6,FALSE)="","",VLOOKUP(A2699,[18]PRIORIZADOS!$A:$F,6,FALSE)),"")</f>
        <v>COLEGIO_CENTRO_CULTURAL</v>
      </c>
      <c r="G2699" s="11" t="str">
        <f>IFERROR(IF(VLOOKUP(A2699,[18]PRIORIZADOS!$A:$G,7,FALSE)="","",VLOOKUP(A2699,[18]PRIORIZADOS!$A:$G,7,FALSE)),"")</f>
        <v>COLEGIO CENTRO CULTURAL</v>
      </c>
      <c r="H2699" s="11" t="str">
        <f>IFERROR(IF(VLOOKUP(A2699,[18]PRIORIZADOS!$A:$H,8,FALSE)="","",VLOOKUP(A2699,[18]PRIORIZADOS!$A:$H,8,FALSE)),"")</f>
        <v>Autoevaluación Institucional y Pruebas SABER 11</v>
      </c>
      <c r="I2699" s="11" t="str">
        <f>IFERROR(IF(VLOOKUP(A2699,[18]PRIORIZADOS!$A:$I,9,FALSE)="","",VLOOKUP(A2699,[18]PRIORIZADOS!$A:$I,9,FALSE)),"")</f>
        <v>SEGUIMIENTO_Y_SUPERVISIÓN.</v>
      </c>
      <c r="J2699" s="11" t="str">
        <f>IFERROR(IF(VLOOKUP(A2699,[18]PRIORIZADOS!$A:$J,10,FALSE)="","",VLOOKUP(A2699,[18]PRIORIZADOS!$A:$J,10,FALSE)),"")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699" s="11" t="str">
        <f>IFERROR(IF(VLOOKUP(A2699,[18]PRIORIZADOS!$A:$K,11,FALSE)="","",VLOOKUP(A2699,[18]PRIORIZADOS!$A:$K,11,FALSE)),"")</f>
        <v>MIGUEL ANTONIO CARO CARO</v>
      </c>
      <c r="L2699" s="11" t="str">
        <f>IFERROR(IF(VLOOKUP(A2699,[18]PRIORIZADOS!$A:$L,12,FALSE)="","",VLOOKUP(A2699,[18]PRIORIZADOS!$A:$L,12,FALSE)),"")</f>
        <v>FRANCY LORENA RODRIGUEZ CASTRO</v>
      </c>
      <c r="M2699" s="71">
        <f>IFERROR(IF(VLOOKUP(A2699,[18]PRIORIZADOS!$A:$M,13,FALSE)="","",VLOOKUP(A2699,[18]PRIORIZADOS!$A:$M,13,FALSE)),"")</f>
        <v>45769</v>
      </c>
      <c r="N2699" s="71">
        <f>IFERROR(IF(VLOOKUP(A2699,[18]PRIORIZADOS!$A:$N,14,FALSE)="","",VLOOKUP(A2699,[18]PRIORIZADOS!$A:$N,14,FALSE)),"")</f>
        <v>45909</v>
      </c>
      <c r="O2699" s="71">
        <f>IFERROR(IF(VLOOKUP(A2699,[18]PRIORIZADOS!$A:$O,15,FALSE)="","",VLOOKUP(A2699,[18]PRIORIZADOS!$A:$O,15,FALSE)),"")</f>
        <v>45909</v>
      </c>
      <c r="P2699" s="11" t="str">
        <f>IFERROR(IF(VLOOKUP(A2699,[18]PRIORIZADOS!$A:$P,16,FALSE)="","",VLOOKUP(A2699,[18]PRIORIZADOS!$A:$P,16,FALSE)),"")</f>
        <v>Visitas de evaluación con fines de mejoramiento</v>
      </c>
      <c r="Q2699" s="60" t="s">
        <v>520</v>
      </c>
      <c r="R2699" s="11" t="str">
        <f>IFERROR(IF(VLOOKUP(A2699,[18]PRIORIZADOS!$A:$R,18,FALSE)="","",VLOOKUP(A2699,[18]PRIORIZADOS!$A:$R,18,FALSE)),"")</f>
        <v xml:space="preserve">No se evidencia que se registren  casos, no hsy registro en el SIMAT </v>
      </c>
      <c r="S2699" s="11" t="str">
        <f>IFERROR(IF(VLOOKUP(A2699,[18]PRIORIZADOS!$A:$S,19,FALSE)="","",VLOOKUP(A2699,[18]PRIORIZADOS!$A:$S,19,FALSE)),"")</f>
        <v>la institución se compromete a presentar un plan de mejoramiento para cada uno de los aspectos en que se realizó observaciones el 30 de octubre del 2025</v>
      </c>
      <c r="T2699" s="70" t="str">
        <f>IFERROR(IF(VLOOKUP(A2699,[18]PRIORIZADOS!$A:$T,20,FALSE)="","",VLOOKUP(A2699,[18]PRIORIZADOS!$A:$T,20,FALSE)),"")</f>
        <v>Si</v>
      </c>
      <c r="U2699" s="11" t="str">
        <f>IFERROR(IF(VLOOKUP(A2699,[18]PRIORIZADOS!$A:$U,21,FALSE)="","",VLOOKUP(A2699,[18]PRIORIZADOS!$A:$U,21,FALSE)),"")</f>
        <v xml:space="preserve">Se revisara el plan de mejoramiento y Verificara - vigencia 2026  </v>
      </c>
    </row>
    <row r="2700" spans="1:21" s="1" customFormat="1" ht="84">
      <c r="A2700" s="69">
        <f>IF([18]PRIORIZADOS!A43="","",[18]PRIORIZADOS!A43)</f>
        <v>2689</v>
      </c>
      <c r="B2700" s="70">
        <f>IFERROR(IF(VLOOKUP(A2700,[18]PRIORIZADOS!$A:$B,2,FALSE)="","",VLOOKUP(A2700,[18]PRIORIZADOS!$A:$B,2,FALSE)),"")</f>
        <v>5</v>
      </c>
      <c r="C2700" s="11" t="str">
        <f>IFERROR(IF(VLOOKUP(A2700,[18]PRIORIZADOS!$A:$C,3,FALSE)="","",VLOOKUP(A2700,[18]PRIORIZADOS!$A:$C,3,FALSE)),"")</f>
        <v>USME</v>
      </c>
      <c r="D2700" s="11" t="str">
        <f>IFERROR(IF(VLOOKUP(A2700,[18]PRIORIZADOS!$A:$D,4,FALSE)="","",VLOOKUP(A2700,[18]PRIORIZADOS!$A:$D,4,FALSE)),"")</f>
        <v>PRIVADO</v>
      </c>
      <c r="E2700" s="11" t="str">
        <f>IFERROR(IF(VLOOKUP(A2700,[18]PRIORIZADOS!$A:$E,5,FALSE)="","",VLOOKUP(A2700,[18]PRIORIZADOS!$A:$E,5,FALSE)),"")</f>
        <v>EPBM</v>
      </c>
      <c r="F2700" s="11" t="str">
        <f>IFERROR(IF(VLOOKUP(A2700,[18]PRIORIZADOS!$A:$F,6,FALSE)="","",VLOOKUP(A2700,[18]PRIORIZADOS!$A:$F,6,FALSE)),"")</f>
        <v>COLEGIO_CENTRO_CULTURAL</v>
      </c>
      <c r="G2700" s="11" t="str">
        <f>IFERROR(IF(VLOOKUP(A2700,[18]PRIORIZADOS!$A:$G,7,FALSE)="","",VLOOKUP(A2700,[18]PRIORIZADOS!$A:$G,7,FALSE)),"")</f>
        <v>COLEGIO CENTRO CULTURAL</v>
      </c>
      <c r="H2700" s="11" t="str">
        <f>IFERROR(IF(VLOOKUP(A2700,[18]PRIORIZADOS!$A:$H,8,FALSE)="","",VLOOKUP(A2700,[18]PRIORIZADOS!$A:$H,8,FALSE)),"")</f>
        <v>Autoevaluación Institucional y Pruebas SABER 11</v>
      </c>
      <c r="I2700" s="11" t="str">
        <f>IFERROR(IF(VLOOKUP(A2700,[18]PRIORIZADOS!$A:$I,9,FALSE)="","",VLOOKUP(A2700,[18]PRIORIZADOS!$A:$I,9,FALSE)),"")</f>
        <v>EVALUACIÓN_CON_FINES_DE_MEJORAMIENTO.</v>
      </c>
      <c r="J2700" s="11" t="str">
        <f>IFERROR(IF(VLOOKUP(A2700,[18]PRIORIZADOS!$A:$J,10,FALSE)="","",VLOOKUP(A2700,[18]PRIORIZADOS!$A:$J,10,FALSE)),"")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00" s="11" t="str">
        <f>IFERROR(IF(VLOOKUP(A2700,[18]PRIORIZADOS!$A:$K,11,FALSE)="","",VLOOKUP(A2700,[18]PRIORIZADOS!$A:$K,11,FALSE)),"")</f>
        <v>MIGUEL ANTONIO CARO CARO</v>
      </c>
      <c r="L2700" s="11" t="str">
        <f>IFERROR(IF(VLOOKUP(A2700,[18]PRIORIZADOS!$A:$L,12,FALSE)="","",VLOOKUP(A2700,[18]PRIORIZADOS!$A:$L,12,FALSE)),"")</f>
        <v>FRANCY LORENA RODRIGUEZ CASTRO</v>
      </c>
      <c r="M2700" s="71">
        <f>IFERROR(IF(VLOOKUP(A2700,[18]PRIORIZADOS!$A:$M,13,FALSE)="","",VLOOKUP(A2700,[18]PRIORIZADOS!$A:$M,13,FALSE)),"")</f>
        <v>45769</v>
      </c>
      <c r="N2700" s="71">
        <f>IFERROR(IF(VLOOKUP(A2700,[18]PRIORIZADOS!$A:$N,14,FALSE)="","",VLOOKUP(A2700,[18]PRIORIZADOS!$A:$N,14,FALSE)),"")</f>
        <v>45909</v>
      </c>
      <c r="O2700" s="71">
        <f>IFERROR(IF(VLOOKUP(A2700,[18]PRIORIZADOS!$A:$O,15,FALSE)="","",VLOOKUP(A2700,[18]PRIORIZADOS!$A:$O,15,FALSE)),"")</f>
        <v>45909</v>
      </c>
      <c r="P2700" s="11" t="str">
        <f>IFERROR(IF(VLOOKUP(A2700,[18]PRIORIZADOS!$A:$P,16,FALSE)="","",VLOOKUP(A2700,[18]PRIORIZADOS!$A:$P,16,FALSE)),"")</f>
        <v>Visitas de evaluación con fines de mejoramiento</v>
      </c>
      <c r="Q2700" s="60" t="s">
        <v>520</v>
      </c>
      <c r="R2700" s="11" t="str">
        <f>IFERROR(IF(VLOOKUP(A2700,[18]PRIORIZADOS!$A:$R,18,FALSE)="","",VLOOKUP(A2700,[18]PRIORIZADOS!$A:$R,18,FALSE)),"")</f>
        <v>Se evidencia documento de Manual de Convivencia  adoptado el año 2022 para el año 2023 por Resolución Rectoral, asocia sanciones a faltas disciplinarias, académicas y adminsitrativas .</v>
      </c>
      <c r="S2700" s="11" t="str">
        <f>IFERROR(IF(VLOOKUP(A2700,[18]PRIORIZADOS!$A:$S,19,FALSE)="","",VLOOKUP(A2700,[18]PRIORIZADOS!$A:$S,19,FALSE)),"")</f>
        <v>la institución se compromete a presentar un plan de mejoramiento para cada uno de los aspectos en que se realizó observaciones el 30 de octubre del 2025</v>
      </c>
      <c r="T2700" s="70" t="str">
        <f>IFERROR(IF(VLOOKUP(A2700,[18]PRIORIZADOS!$A:$T,20,FALSE)="","",VLOOKUP(A2700,[18]PRIORIZADOS!$A:$T,20,FALSE)),"")</f>
        <v>Si</v>
      </c>
      <c r="U2700" s="11" t="str">
        <f>IFERROR(IF(VLOOKUP(A2700,[18]PRIORIZADOS!$A:$U,21,FALSE)="","",VLOOKUP(A2700,[18]PRIORIZADOS!$A:$U,21,FALSE)),"")</f>
        <v xml:space="preserve">Se revisara el plan de mejoramiento y Verificara - vigencia 2026  </v>
      </c>
    </row>
    <row r="2701" spans="1:21" s="1" customFormat="1" ht="48">
      <c r="A2701" s="69">
        <f>IF([18]PRIORIZADOS!A44="","",[18]PRIORIZADOS!A44)</f>
        <v>2690</v>
      </c>
      <c r="B2701" s="70">
        <f>IFERROR(IF(VLOOKUP(A2701,[18]PRIORIZADOS!$A:$B,2,FALSE)="","",VLOOKUP(A2701,[18]PRIORIZADOS!$A:$B,2,FALSE)),"")</f>
        <v>5</v>
      </c>
      <c r="C2701" s="11" t="str">
        <f>IFERROR(IF(VLOOKUP(A2701,[18]PRIORIZADOS!$A:$C,3,FALSE)="","",VLOOKUP(A2701,[18]PRIORIZADOS!$A:$C,3,FALSE)),"")</f>
        <v>USME</v>
      </c>
      <c r="D2701" s="11" t="str">
        <f>IFERROR(IF(VLOOKUP(A2701,[18]PRIORIZADOS!$A:$D,4,FALSE)="","",VLOOKUP(A2701,[18]PRIORIZADOS!$A:$D,4,FALSE)),"")</f>
        <v>PRIVADO</v>
      </c>
      <c r="E2701" s="11" t="str">
        <f>IFERROR(IF(VLOOKUP(A2701,[18]PRIORIZADOS!$A:$E,5,FALSE)="","",VLOOKUP(A2701,[18]PRIORIZADOS!$A:$E,5,FALSE)),"")</f>
        <v>EPBM</v>
      </c>
      <c r="F2701" s="11" t="str">
        <f>IFERROR(IF(VLOOKUP(A2701,[18]PRIORIZADOS!$A:$F,6,FALSE)="","",VLOOKUP(A2701,[18]PRIORIZADOS!$A:$F,6,FALSE)),"")</f>
        <v>COLEGIO_CENTRO_CULTURAL</v>
      </c>
      <c r="G2701" s="11" t="str">
        <f>IFERROR(IF(VLOOKUP(A2701,[18]PRIORIZADOS!$A:$G,7,FALSE)="","",VLOOKUP(A2701,[18]PRIORIZADOS!$A:$G,7,FALSE)),"")</f>
        <v>COLEGIO CENTRO CULTURAL</v>
      </c>
      <c r="H2701" s="11" t="str">
        <f>IFERROR(IF(VLOOKUP(A2701,[18]PRIORIZADOS!$A:$H,8,FALSE)="","",VLOOKUP(A2701,[18]PRIORIZADOS!$A:$H,8,FALSE)),"")</f>
        <v>Autoevaluación Institucional y Pruebas SABER 11</v>
      </c>
      <c r="I2701" s="11" t="str">
        <f>IFERROR(IF(VLOOKUP(A2701,[18]PRIORIZADOS!$A:$I,9,FALSE)="","",VLOOKUP(A2701,[18]PRIORIZADOS!$A:$I,9,FALSE)),"")</f>
        <v>EVALUACIÓN_CON_FINES_DE_MEJORAMIENTO.</v>
      </c>
      <c r="J2701" s="11" t="str">
        <f>IFERROR(IF(VLOOKUP(A2701,[18]PRIORIZADOS!$A:$J,10,FALSE)="","",VLOOKUP(A2701,[18]PRIORIZADOS!$A:$J,10,FALSE)),"")</f>
        <v>Revisar la actualización, socialización e implementación del Sistema Institucional de Evaluación de Estudiantes - SIEE, en articulación con la actualización del PEI y la normatividad vigente.</v>
      </c>
      <c r="K2701" s="11" t="str">
        <f>IFERROR(IF(VLOOKUP(A2701,[18]PRIORIZADOS!$A:$K,11,FALSE)="","",VLOOKUP(A2701,[18]PRIORIZADOS!$A:$K,11,FALSE)),"")</f>
        <v>MIGUEL ANTONIO CARO CARO</v>
      </c>
      <c r="L2701" s="11" t="str">
        <f>IFERROR(IF(VLOOKUP(A2701,[18]PRIORIZADOS!$A:$L,12,FALSE)="","",VLOOKUP(A2701,[18]PRIORIZADOS!$A:$L,12,FALSE)),"")</f>
        <v>FRANCY LORENA RODRIGUEZ CASTRO</v>
      </c>
      <c r="M2701" s="71">
        <f>IFERROR(IF(VLOOKUP(A2701,[18]PRIORIZADOS!$A:$M,13,FALSE)="","",VLOOKUP(A2701,[18]PRIORIZADOS!$A:$M,13,FALSE)),"")</f>
        <v>45769</v>
      </c>
      <c r="N2701" s="71">
        <f>IFERROR(IF(VLOOKUP(A2701,[18]PRIORIZADOS!$A:$N,14,FALSE)="","",VLOOKUP(A2701,[18]PRIORIZADOS!$A:$N,14,FALSE)),"")</f>
        <v>45909</v>
      </c>
      <c r="O2701" s="71">
        <f>IFERROR(IF(VLOOKUP(A2701,[18]PRIORIZADOS!$A:$O,15,FALSE)="","",VLOOKUP(A2701,[18]PRIORIZADOS!$A:$O,15,FALSE)),"")</f>
        <v>45909</v>
      </c>
      <c r="P2701" s="11" t="str">
        <f>IFERROR(IF(VLOOKUP(A2701,[18]PRIORIZADOS!$A:$P,16,FALSE)="","",VLOOKUP(A2701,[18]PRIORIZADOS!$A:$P,16,FALSE)),"")</f>
        <v>Visitas de evaluación con fines de mejoramiento</v>
      </c>
      <c r="Q2701" s="60" t="s">
        <v>520</v>
      </c>
      <c r="R2701" s="11" t="str">
        <f>IFERROR(IF(VLOOKUP(A2701,[18]PRIORIZADOS!$A:$R,18,FALSE)="","",VLOOKUP(A2701,[18]PRIORIZADOS!$A:$R,18,FALSE)),"")</f>
        <v>el documento SIEE data del año 2022, no se evidencian actualizaciones, se asocia reprobación a inasistencia de padres</v>
      </c>
      <c r="S2701" s="11" t="str">
        <f>IFERROR(IF(VLOOKUP(A2701,[18]PRIORIZADOS!$A:$S,19,FALSE)="","",VLOOKUP(A2701,[18]PRIORIZADOS!$A:$S,19,FALSE)),"")</f>
        <v>la institución se compromete a presentar un plan de mejoramiento para cada uno de los aspectos en que se realizó observaciones el 30 de octubre del 2025</v>
      </c>
      <c r="T2701" s="70" t="str">
        <f>IFERROR(IF(VLOOKUP(A2701,[18]PRIORIZADOS!$A:$T,20,FALSE)="","",VLOOKUP(A2701,[18]PRIORIZADOS!$A:$T,20,FALSE)),"")</f>
        <v>Si</v>
      </c>
      <c r="U2701" s="11" t="str">
        <f>IFERROR(IF(VLOOKUP(A2701,[18]PRIORIZADOS!$A:$U,21,FALSE)="","",VLOOKUP(A2701,[18]PRIORIZADOS!$A:$U,21,FALSE)),"")</f>
        <v xml:space="preserve">Se revisara el plan de mejoramiento y Verificara - vigencia 2026  </v>
      </c>
    </row>
    <row r="2702" spans="1:21" s="1" customFormat="1" ht="48">
      <c r="A2702" s="69">
        <f>IF([18]PRIORIZADOS!A45="","",[18]PRIORIZADOS!A45)</f>
        <v>2691</v>
      </c>
      <c r="B2702" s="70">
        <f>IFERROR(IF(VLOOKUP(A2702,[18]PRIORIZADOS!$A:$B,2,FALSE)="","",VLOOKUP(A2702,[18]PRIORIZADOS!$A:$B,2,FALSE)),"")</f>
        <v>5</v>
      </c>
      <c r="C2702" s="11" t="str">
        <f>IFERROR(IF(VLOOKUP(A2702,[18]PRIORIZADOS!$A:$C,3,FALSE)="","",VLOOKUP(A2702,[18]PRIORIZADOS!$A:$C,3,FALSE)),"")</f>
        <v>USME</v>
      </c>
      <c r="D2702" s="11" t="str">
        <f>IFERROR(IF(VLOOKUP(A2702,[18]PRIORIZADOS!$A:$D,4,FALSE)="","",VLOOKUP(A2702,[18]PRIORIZADOS!$A:$D,4,FALSE)),"")</f>
        <v>PRIVADO</v>
      </c>
      <c r="E2702" s="11" t="str">
        <f>IFERROR(IF(VLOOKUP(A2702,[18]PRIORIZADOS!$A:$E,5,FALSE)="","",VLOOKUP(A2702,[18]PRIORIZADOS!$A:$E,5,FALSE)),"")</f>
        <v>EPBM</v>
      </c>
      <c r="F2702" s="11" t="str">
        <f>IFERROR(IF(VLOOKUP(A2702,[18]PRIORIZADOS!$A:$F,6,FALSE)="","",VLOOKUP(A2702,[18]PRIORIZADOS!$A:$F,6,FALSE)),"")</f>
        <v>COLEGIO_CENTRO_CULTURAL</v>
      </c>
      <c r="G2702" s="11" t="str">
        <f>IFERROR(IF(VLOOKUP(A2702,[18]PRIORIZADOS!$A:$G,7,FALSE)="","",VLOOKUP(A2702,[18]PRIORIZADOS!$A:$G,7,FALSE)),"")</f>
        <v>COLEGIO CENTRO CULTURAL</v>
      </c>
      <c r="H2702" s="11" t="str">
        <f>IFERROR(IF(VLOOKUP(A2702,[18]PRIORIZADOS!$A:$H,8,FALSE)="","",VLOOKUP(A2702,[18]PRIORIZADOS!$A:$H,8,FALSE)),"")</f>
        <v>Autoevaluación Institucional y Pruebas SABER 11</v>
      </c>
      <c r="I2702" s="11" t="str">
        <f>IFERROR(IF(VLOOKUP(A2702,[18]PRIORIZADOS!$A:$I,9,FALSE)="","",VLOOKUP(A2702,[18]PRIORIZADOS!$A:$I,9,FALSE)),"")</f>
        <v>EVALUACIÓN_CON_FINES_DE_MEJORAMIENTO.</v>
      </c>
      <c r="J2702" s="11" t="str">
        <f>IFERROR(IF(VLOOKUP(A2702,[18]PRIORIZADOS!$A:$J,10,FALSE)="","",VLOOKUP(A2702,[18]PRIORIZADOS!$A:$J,10,FALSE)),"")</f>
        <v>Revisar el calendario escolar, jornada escolar, la intensidad horaria mínima anual en cada nivel y las modificaciones que se realicen al mismo, de acuerdo con lo previsto en la normatividad vigente.</v>
      </c>
      <c r="K2702" s="11" t="str">
        <f>IFERROR(IF(VLOOKUP(A2702,[18]PRIORIZADOS!$A:$K,11,FALSE)="","",VLOOKUP(A2702,[18]PRIORIZADOS!$A:$K,11,FALSE)),"")</f>
        <v>MIGUEL ANTONIO CARO CARO</v>
      </c>
      <c r="L2702" s="11" t="str">
        <f>IFERROR(IF(VLOOKUP(A2702,[18]PRIORIZADOS!$A:$L,12,FALSE)="","",VLOOKUP(A2702,[18]PRIORIZADOS!$A:$L,12,FALSE)),"")</f>
        <v>FRANCY LORENA RODRIGUEZ CASTRO</v>
      </c>
      <c r="M2702" s="71">
        <f>IFERROR(IF(VLOOKUP(A2702,[18]PRIORIZADOS!$A:$M,13,FALSE)="","",VLOOKUP(A2702,[18]PRIORIZADOS!$A:$M,13,FALSE)),"")</f>
        <v>45769</v>
      </c>
      <c r="N2702" s="71">
        <f>IFERROR(IF(VLOOKUP(A2702,[18]PRIORIZADOS!$A:$N,14,FALSE)="","",VLOOKUP(A2702,[18]PRIORIZADOS!$A:$N,14,FALSE)),"")</f>
        <v>45909</v>
      </c>
      <c r="O2702" s="71">
        <f>IFERROR(IF(VLOOKUP(A2702,[18]PRIORIZADOS!$A:$O,15,FALSE)="","",VLOOKUP(A2702,[18]PRIORIZADOS!$A:$O,15,FALSE)),"")</f>
        <v>45909</v>
      </c>
      <c r="P2702" s="11" t="str">
        <f>IFERROR(IF(VLOOKUP(A2702,[18]PRIORIZADOS!$A:$P,16,FALSE)="","",VLOOKUP(A2702,[18]PRIORIZADOS!$A:$P,16,FALSE)),"")</f>
        <v>Visitas de evaluación con fines de mejoramiento</v>
      </c>
      <c r="Q2702" s="60" t="s">
        <v>520</v>
      </c>
      <c r="R2702" s="11" t="str">
        <f>IFERROR(IF(VLOOKUP(A2702,[18]PRIORIZADOS!$A:$R,18,FALSE)="","",VLOOKUP(A2702,[18]PRIORIZADOS!$A:$R,18,FALSE)),"")</f>
        <v xml:space="preserve"> No se encuentra evidencia de cumplimiento de la intensidad horaria por cada nivel </v>
      </c>
      <c r="S2702" s="11" t="str">
        <f>IFERROR(IF(VLOOKUP(A2702,[18]PRIORIZADOS!$A:$S,19,FALSE)="","",VLOOKUP(A2702,[18]PRIORIZADOS!$A:$S,19,FALSE)),"")</f>
        <v xml:space="preserve">La institución ajustará el horario para cumplir con la intensidad mínima </v>
      </c>
      <c r="T2702" s="70" t="str">
        <f>IFERROR(IF(VLOOKUP(A2702,[18]PRIORIZADOS!$A:$T,20,FALSE)="","",VLOOKUP(A2702,[18]PRIORIZADOS!$A:$T,20,FALSE)),"")</f>
        <v>Si</v>
      </c>
      <c r="U2702" s="11" t="str">
        <f>IFERROR(IF(VLOOKUP(A2702,[18]PRIORIZADOS!$A:$U,21,FALSE)="","",VLOOKUP(A2702,[18]PRIORIZADOS!$A:$U,21,FALSE)),"")</f>
        <v>Se verificara el cumplimiento del Plan de mejoramiento vigencia 2025 la intensidad horaria para cada nivel</v>
      </c>
    </row>
    <row r="2703" spans="1:21" s="1" customFormat="1" ht="48">
      <c r="A2703" s="69">
        <f>IF([18]PRIORIZADOS!A46="","",[18]PRIORIZADOS!A46)</f>
        <v>2692</v>
      </c>
      <c r="B2703" s="70">
        <f>IFERROR(IF(VLOOKUP(A2703,[18]PRIORIZADOS!$A:$B,2,FALSE)="","",VLOOKUP(A2703,[18]PRIORIZADOS!$A:$B,2,FALSE)),"")</f>
        <v>5</v>
      </c>
      <c r="C2703" s="11" t="str">
        <f>IFERROR(IF(VLOOKUP(A2703,[18]PRIORIZADOS!$A:$C,3,FALSE)="","",VLOOKUP(A2703,[18]PRIORIZADOS!$A:$C,3,FALSE)),"")</f>
        <v>USME</v>
      </c>
      <c r="D2703" s="11" t="str">
        <f>IFERROR(IF(VLOOKUP(A2703,[18]PRIORIZADOS!$A:$D,4,FALSE)="","",VLOOKUP(A2703,[18]PRIORIZADOS!$A:$D,4,FALSE)),"")</f>
        <v>PRIVADO</v>
      </c>
      <c r="E2703" s="11" t="str">
        <f>IFERROR(IF(VLOOKUP(A2703,[18]PRIORIZADOS!$A:$E,5,FALSE)="","",VLOOKUP(A2703,[18]PRIORIZADOS!$A:$E,5,FALSE)),"")</f>
        <v>EPBM</v>
      </c>
      <c r="F2703" s="11" t="str">
        <f>IFERROR(IF(VLOOKUP(A2703,[18]PRIORIZADOS!$A:$F,6,FALSE)="","",VLOOKUP(A2703,[18]PRIORIZADOS!$A:$F,6,FALSE)),"")</f>
        <v>COLEGIO_CENTRO_CULTURAL</v>
      </c>
      <c r="G2703" s="11" t="str">
        <f>IFERROR(IF(VLOOKUP(A2703,[18]PRIORIZADOS!$A:$G,7,FALSE)="","",VLOOKUP(A2703,[18]PRIORIZADOS!$A:$G,7,FALSE)),"")</f>
        <v>COLEGIO CENTRO CULTURAL</v>
      </c>
      <c r="H2703" s="11" t="str">
        <f>IFERROR(IF(VLOOKUP(A2703,[18]PRIORIZADOS!$A:$H,8,FALSE)="","",VLOOKUP(A2703,[18]PRIORIZADOS!$A:$H,8,FALSE)),"")</f>
        <v>Autoevaluación Institucional y Pruebas SABER 11</v>
      </c>
      <c r="I2703" s="11" t="str">
        <f>IFERROR(IF(VLOOKUP(A2703,[18]PRIORIZADOS!$A:$I,9,FALSE)="","",VLOOKUP(A2703,[18]PRIORIZADOS!$A:$I,9,FALSE)),"")</f>
        <v>EVALUACIÓN_CON_FINES_DE_MEJORAMIENTO.</v>
      </c>
      <c r="J2703" s="11" t="str">
        <f>IFERROR(IF(VLOOKUP(A2703,[18]PRIORIZADOS!$A:$J,10,FALSE)="","",VLOOKUP(A2703,[18]PRIORIZADOS!$A:$J,10,FALSE)),"")</f>
        <v>Verificar el funcionamiento del Gobierno Escolar e instancias de participación con base en la información sobre conformación reportada por la institución educativa.</v>
      </c>
      <c r="K2703" s="11" t="str">
        <f>IFERROR(IF(VLOOKUP(A2703,[18]PRIORIZADOS!$A:$K,11,FALSE)="","",VLOOKUP(A2703,[18]PRIORIZADOS!$A:$K,11,FALSE)),"")</f>
        <v>MIGUEL ANTONIO CARO CARO</v>
      </c>
      <c r="L2703" s="11" t="str">
        <f>IFERROR(IF(VLOOKUP(A2703,[18]PRIORIZADOS!$A:$L,12,FALSE)="","",VLOOKUP(A2703,[18]PRIORIZADOS!$A:$L,12,FALSE)),"")</f>
        <v>FRANCY LORENA RODRIGUEZ CASTRO</v>
      </c>
      <c r="M2703" s="71">
        <f>IFERROR(IF(VLOOKUP(A2703,[18]PRIORIZADOS!$A:$M,13,FALSE)="","",VLOOKUP(A2703,[18]PRIORIZADOS!$A:$M,13,FALSE)),"")</f>
        <v>45769</v>
      </c>
      <c r="N2703" s="71">
        <f>IFERROR(IF(VLOOKUP(A2703,[18]PRIORIZADOS!$A:$N,14,FALSE)="","",VLOOKUP(A2703,[18]PRIORIZADOS!$A:$N,14,FALSE)),"")</f>
        <v>45909</v>
      </c>
      <c r="O2703" s="71">
        <f>IFERROR(IF(VLOOKUP(A2703,[18]PRIORIZADOS!$A:$O,15,FALSE)="","",VLOOKUP(A2703,[18]PRIORIZADOS!$A:$O,15,FALSE)),"")</f>
        <v>45909</v>
      </c>
      <c r="P2703" s="11" t="str">
        <f>IFERROR(IF(VLOOKUP(A2703,[18]PRIORIZADOS!$A:$P,16,FALSE)="","",VLOOKUP(A2703,[18]PRIORIZADOS!$A:$P,16,FALSE)),"")</f>
        <v>Visitas de evaluación con fines de mejoramiento</v>
      </c>
      <c r="Q2703" s="60" t="s">
        <v>520</v>
      </c>
      <c r="R2703" s="11" t="str">
        <f>IFERROR(IF(VLOOKUP(A2703,[18]PRIORIZADOS!$A:$R,18,FALSE)="","",VLOOKUP(A2703,[18]PRIORIZADOS!$A:$R,18,FALSE)),"")</f>
        <v>Existe el acta de instalación -conformación del gobierno escolar, pero no se registra en actas las reuniones de las diferentes instancias de gobierno escolar .</v>
      </c>
      <c r="S2703" s="11" t="str">
        <f>IFERROR(IF(VLOOKUP(A2703,[18]PRIORIZADOS!$A:$S,19,FALSE)="","",VLOOKUP(A2703,[18]PRIORIZADOS!$A:$S,19,FALSE)),"")</f>
        <v xml:space="preserve">la Institución generará actas para órgano de gobierno escolar e instancias de participación </v>
      </c>
      <c r="T2703" s="70" t="str">
        <f>IFERROR(IF(VLOOKUP(A2703,[18]PRIORIZADOS!$A:$T,20,FALSE)="","",VLOOKUP(A2703,[18]PRIORIZADOS!$A:$T,20,FALSE)),"")</f>
        <v>Si</v>
      </c>
      <c r="U2703" s="11" t="str">
        <f>IFERROR(IF(VLOOKUP(A2703,[18]PRIORIZADOS!$A:$U,21,FALSE)="","",VLOOKUP(A2703,[18]PRIORIZADOS!$A:$U,21,FALSE)),"")</f>
        <v>Se verificara el cumplimiento del Plan de mejoramiento vigencia 2025.</v>
      </c>
    </row>
    <row r="2704" spans="1:21" s="1" customFormat="1" ht="96">
      <c r="A2704" s="69">
        <f>IF([18]PRIORIZADOS!A47="","",[18]PRIORIZADOS!A47)</f>
        <v>2693</v>
      </c>
      <c r="B2704" s="70">
        <f>IFERROR(IF(VLOOKUP(A2704,[18]PRIORIZADOS!$A:$B,2,FALSE)="","",VLOOKUP(A2704,[18]PRIORIZADOS!$A:$B,2,FALSE)),"")</f>
        <v>5</v>
      </c>
      <c r="C2704" s="11" t="str">
        <f>IFERROR(IF(VLOOKUP(A2704,[18]PRIORIZADOS!$A:$C,3,FALSE)="","",VLOOKUP(A2704,[18]PRIORIZADOS!$A:$C,3,FALSE)),"")</f>
        <v>USME</v>
      </c>
      <c r="D2704" s="11" t="str">
        <f>IFERROR(IF(VLOOKUP(A2704,[18]PRIORIZADOS!$A:$D,4,FALSE)="","",VLOOKUP(A2704,[18]PRIORIZADOS!$A:$D,4,FALSE)),"")</f>
        <v>PRIVADO</v>
      </c>
      <c r="E2704" s="11" t="str">
        <f>IFERROR(IF(VLOOKUP(A2704,[18]PRIORIZADOS!$A:$E,5,FALSE)="","",VLOOKUP(A2704,[18]PRIORIZADOS!$A:$E,5,FALSE)),"")</f>
        <v>EPBM</v>
      </c>
      <c r="F2704" s="11" t="str">
        <f>IFERROR(IF(VLOOKUP(A2704,[18]PRIORIZADOS!$A:$F,6,FALSE)="","",VLOOKUP(A2704,[18]PRIORIZADOS!$A:$F,6,FALSE)),"")</f>
        <v>COLEGIO_CENTRO_CULTURAL</v>
      </c>
      <c r="G2704" s="11" t="str">
        <f>IFERROR(IF(VLOOKUP(A2704,[18]PRIORIZADOS!$A:$G,7,FALSE)="","",VLOOKUP(A2704,[18]PRIORIZADOS!$A:$G,7,FALSE)),"")</f>
        <v>COLEGIO CENTRO CULTURAL</v>
      </c>
      <c r="H2704" s="11" t="str">
        <f>IFERROR(IF(VLOOKUP(A2704,[18]PRIORIZADOS!$A:$H,8,FALSE)="","",VLOOKUP(A2704,[18]PRIORIZADOS!$A:$H,8,FALSE)),"")</f>
        <v>Autoevaluación Institucional y Pruebas SABER 11</v>
      </c>
      <c r="I2704" s="11" t="str">
        <f>IFERROR(IF(VLOOKUP(A2704,[18]PRIORIZADOS!$A:$I,9,FALSE)="","",VLOOKUP(A2704,[18]PRIORIZADOS!$A:$I,9,FALSE)),"")</f>
        <v>EVALUACIÓN_CON_FINES_DE_MEJORAMIENTO.</v>
      </c>
      <c r="J2704" s="11" t="str">
        <f>IFERROR(IF(VLOOKUP(A2704,[18]PRIORIZADOS!$A:$J,10,FALSE)="","",VLOOKUP(A2704,[18]PRIORIZADOS!$A:$J,10,FALSE)),"")</f>
        <v>Verificar las condiciones en cuanto a: la estructura administrativa, condiciones de la planta física y medios educativos adecuados.</v>
      </c>
      <c r="K2704" s="11" t="str">
        <f>IFERROR(IF(VLOOKUP(A2704,[18]PRIORIZADOS!$A:$K,11,FALSE)="","",VLOOKUP(A2704,[18]PRIORIZADOS!$A:$K,11,FALSE)),"")</f>
        <v>MIGUEL ANTONIO CARO CARO</v>
      </c>
      <c r="L2704" s="11" t="str">
        <f>IFERROR(IF(VLOOKUP(A2704,[18]PRIORIZADOS!$A:$L,12,FALSE)="","",VLOOKUP(A2704,[18]PRIORIZADOS!$A:$L,12,FALSE)),"")</f>
        <v>FRANCY LORENA RODRIGUEZ CASTRO</v>
      </c>
      <c r="M2704" s="71">
        <f>IFERROR(IF(VLOOKUP(A2704,[18]PRIORIZADOS!$A:$M,13,FALSE)="","",VLOOKUP(A2704,[18]PRIORIZADOS!$A:$M,13,FALSE)),"")</f>
        <v>45769</v>
      </c>
      <c r="N2704" s="71">
        <f>IFERROR(IF(VLOOKUP(A2704,[18]PRIORIZADOS!$A:$N,14,FALSE)="","",VLOOKUP(A2704,[18]PRIORIZADOS!$A:$N,14,FALSE)),"")</f>
        <v>45909</v>
      </c>
      <c r="O2704" s="71">
        <f>IFERROR(IF(VLOOKUP(A2704,[18]PRIORIZADOS!$A:$O,15,FALSE)="","",VLOOKUP(A2704,[18]PRIORIZADOS!$A:$O,15,FALSE)),"")</f>
        <v>45909</v>
      </c>
      <c r="P2704" s="11" t="str">
        <f>IFERROR(IF(VLOOKUP(A2704,[18]PRIORIZADOS!$A:$P,16,FALSE)="","",VLOOKUP(A2704,[18]PRIORIZADOS!$A:$P,16,FALSE)),"")</f>
        <v>Visitas de evaluación con fines de mejoramiento</v>
      </c>
      <c r="Q2704" s="60" t="s">
        <v>520</v>
      </c>
      <c r="R2704" s="11" t="str">
        <f>IFERROR(IF(VLOOKUP(A2704,[18]PRIORIZADOS!$A:$R,18,FALSE)="","",VLOOKUP(A2704,[18]PRIORIZADOS!$A:$R,18,FALSE)),"")</f>
        <v xml:space="preserve">Aunque la Institución cuenta con suficiente salones, la dotacion es insuficientes, las condiciones no son  adecuadas,ventanas sin vidrios con bolsas  plasticos  sala de informatica con 15 equipos y uno solo conectado a internet, el laboratorio no tiene dotacion y no es funcional   la biblioteca no es usada. </v>
      </c>
      <c r="S2704" s="11" t="str">
        <f>IFERROR(IF(VLOOKUP(A2704,[18]PRIORIZADOS!$A:$S,19,FALSE)="","",VLOOKUP(A2704,[18]PRIORIZADOS!$A:$S,19,FALSE)),"")</f>
        <v>la institución se compromete a presentar un plan de mejoramiento para cada uno de los aspectos en que se realizó observaciones el 30 de octubre del 2025</v>
      </c>
      <c r="T2704" s="70" t="str">
        <f>IFERROR(IF(VLOOKUP(A2704,[18]PRIORIZADOS!$A:$T,20,FALSE)="","",VLOOKUP(A2704,[18]PRIORIZADOS!$A:$T,20,FALSE)),"")</f>
        <v>Si</v>
      </c>
      <c r="U2704" s="11" t="str">
        <f>IFERROR(IF(VLOOKUP(A2704,[18]PRIORIZADOS!$A:$U,21,FALSE)="","",VLOOKUP(A2704,[18]PRIORIZADOS!$A:$U,21,FALSE)),"")</f>
        <v xml:space="preserve">Se revisara el plan de mejoramiento y Verificara - vigencia 2026  </v>
      </c>
    </row>
    <row r="2705" spans="1:21" s="1" customFormat="1" ht="96">
      <c r="A2705" s="69">
        <f>IF([18]PRIORIZADOS!A48="","",[18]PRIORIZADOS!A48)</f>
        <v>2694</v>
      </c>
      <c r="B2705" s="70">
        <f>IFERROR(IF(VLOOKUP(A2705,[18]PRIORIZADOS!$A:$B,2,FALSE)="","",VLOOKUP(A2705,[18]PRIORIZADOS!$A:$B,2,FALSE)),"")</f>
        <v>6</v>
      </c>
      <c r="C2705" s="11" t="str">
        <f>IFERROR(IF(VLOOKUP(A2705,[18]PRIORIZADOS!$A:$C,3,FALSE)="","",VLOOKUP(A2705,[18]PRIORIZADOS!$A:$C,3,FALSE)),"")</f>
        <v>USME</v>
      </c>
      <c r="D2705" s="11" t="str">
        <f>IFERROR(IF(VLOOKUP(A2705,[18]PRIORIZADOS!$A:$D,4,FALSE)="","",VLOOKUP(A2705,[18]PRIORIZADOS!$A:$D,4,FALSE)),"")</f>
        <v>PRIVADO</v>
      </c>
      <c r="E2705" s="11" t="str">
        <f>IFERROR(IF(VLOOKUP(A2705,[18]PRIORIZADOS!$A:$E,5,FALSE)="","",VLOOKUP(A2705,[18]PRIORIZADOS!$A:$E,5,FALSE)),"")</f>
        <v>EPBM</v>
      </c>
      <c r="F2705" s="11" t="str">
        <f>IFERROR(IF(VLOOKUP(A2705,[18]PRIORIZADOS!$A:$F,6,FALSE)="","",VLOOKUP(A2705,[18]PRIORIZADOS!$A:$F,6,FALSE)),"")</f>
        <v>GIMNASIO_DE_TOLEDO</v>
      </c>
      <c r="G2705" s="11" t="str">
        <f>IFERROR(IF(VLOOKUP(A2705,[18]PRIORIZADOS!$A:$G,7,FALSE)="","",VLOOKUP(A2705,[18]PRIORIZADOS!$A:$G,7,FALSE)),"")</f>
        <v>GIMNASIO DE TOLEDO</v>
      </c>
      <c r="H2705" s="11" t="str">
        <f>IFERROR(IF(VLOOKUP(A2705,[18]PRIORIZADOS!$A:$H,8,FALSE)="","",VLOOKUP(A2705,[18]PRIORIZADOS!$A:$H,8,FALSE)),"")</f>
        <v>Autoevaluación Institucional y Pruebas SABER 11</v>
      </c>
      <c r="I2705" s="11" t="str">
        <f>IFERROR(IF(VLOOKUP(A2705,[18]PRIORIZADOS!$A:$I,9,FALSE)="","",VLOOKUP(A2705,[18]PRIORIZADOS!$A:$I,9,FALSE)),"")</f>
        <v>SEGUIMIENTO_Y_SUPERVISIÓN.</v>
      </c>
      <c r="J2705" s="11" t="str">
        <f>IFERROR(IF(VLOOKUP(A2705,[18]PRIORIZADOS!$A:$J,10,FALSE)="","",VLOOKUP(A2705,[18]PRIORIZADOS!$A:$J,10,FALSE)),"")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705" s="11" t="str">
        <f>IFERROR(IF(VLOOKUP(A2705,[18]PRIORIZADOS!$A:$K,11,FALSE)="","",VLOOKUP(A2705,[18]PRIORIZADOS!$A:$K,11,FALSE)),"")</f>
        <v>KATHERINE HERNÁNDEZ RUBIANO</v>
      </c>
      <c r="L2705" s="11" t="str">
        <f>IFERROR(IF(VLOOKUP(A2705,[18]PRIORIZADOS!$A:$L,12,FALSE)="","",VLOOKUP(A2705,[18]PRIORIZADOS!$A:$L,12,FALSE)),"")</f>
        <v>FRANCY LORENA RODRIGUEZ CASTRO</v>
      </c>
      <c r="M2705" s="71">
        <f>IFERROR(IF(VLOOKUP(A2705,[18]PRIORIZADOS!$A:$M,13,FALSE)="","",VLOOKUP(A2705,[18]PRIORIZADOS!$A:$M,13,FALSE)),"")</f>
        <v>45783</v>
      </c>
      <c r="N2705" s="71">
        <f>IFERROR(IF(VLOOKUP(A2705,[18]PRIORIZADOS!$A:$N,14,FALSE)="","",VLOOKUP(A2705,[18]PRIORIZADOS!$A:$N,14,FALSE)),"")</f>
        <v>45792</v>
      </c>
      <c r="O2705" s="71">
        <f>IFERROR(IF(VLOOKUP(A2705,[18]PRIORIZADOS!$A:$O,15,FALSE)="","",VLOOKUP(A2705,[18]PRIORIZADOS!$A:$O,15,FALSE)),"")</f>
        <v>45792</v>
      </c>
      <c r="P2705" s="11" t="str">
        <f>IFERROR(IF(VLOOKUP(A2705,[18]PRIORIZADOS!$A:$P,16,FALSE)="","",VLOOKUP(A2705,[18]PRIORIZADOS!$A:$P,16,FALSE)),"")</f>
        <v>Visitas de evaluación con fines de mejoramiento</v>
      </c>
      <c r="Q2705" s="60" t="s">
        <v>521</v>
      </c>
      <c r="R2705" s="11" t="str">
        <f>IFERROR(IF(VLOOKUP(A2705,[18]PRIORIZADOS!$A:$R,18,FALSE)="","",VLOOKUP(A2705,[18]PRIORIZADOS!$A:$R,18,FALSE)),"")</f>
        <v>Se revisa las carpetas del personal vinculado a la institución y los comprobantes de pago y afiliación al Sistema de Seguridad Social, encontrando que algunas docentes son beneficiarias de sus conyugues  y un docentes es practicante, sin aportar ela afiliciación y pago a la ARL.</v>
      </c>
      <c r="S2705" s="11" t="str">
        <f>IFERROR(IF(VLOOKUP(A2705,[18]PRIORIZADOS!$A:$S,19,FALSE)="","",VLOOKUP(A2705,[18]PRIORIZADOS!$A:$S,19,FALSE)),"")</f>
        <v>La Instituciòn Educativa, se compromete a realizar el pago de la Seguridad Social a sus docentes para la vigencia 2025</v>
      </c>
      <c r="T2705" s="70" t="str">
        <f>IFERROR(IF(VLOOKUP(A2705,[18]PRIORIZADOS!$A:$T,20,FALSE)="","",VLOOKUP(A2705,[18]PRIORIZADOS!$A:$T,20,FALSE)),"")</f>
        <v>Si</v>
      </c>
      <c r="U2705" s="11" t="str">
        <f>IFERROR(IF(VLOOKUP(A2705,[18]PRIORIZADOS!$A:$U,21,FALSE)="","",VLOOKUP(A2705,[18]PRIORIZADOS!$A:$U,21,FALSE)),"")</f>
        <v>Se verificará en visita administrativa el día 01 de agosto de 2025</v>
      </c>
    </row>
    <row r="2706" spans="1:21" s="1" customFormat="1" ht="36">
      <c r="A2706" s="69">
        <f>IF([18]PRIORIZADOS!A49="","",[18]PRIORIZADOS!A49)</f>
        <v>2695</v>
      </c>
      <c r="B2706" s="70">
        <f>IFERROR(IF(VLOOKUP(A2706,[18]PRIORIZADOS!$A:$B,2,FALSE)="","",VLOOKUP(A2706,[18]PRIORIZADOS!$A:$B,2,FALSE)),"")</f>
        <v>6</v>
      </c>
      <c r="C2706" s="11" t="str">
        <f>IFERROR(IF(VLOOKUP(A2706,[18]PRIORIZADOS!$A:$C,3,FALSE)="","",VLOOKUP(A2706,[18]PRIORIZADOS!$A:$C,3,FALSE)),"")</f>
        <v>USME</v>
      </c>
      <c r="D2706" s="11" t="str">
        <f>IFERROR(IF(VLOOKUP(A2706,[18]PRIORIZADOS!$A:$D,4,FALSE)="","",VLOOKUP(A2706,[18]PRIORIZADOS!$A:$D,4,FALSE)),"")</f>
        <v>PRIVADO</v>
      </c>
      <c r="E2706" s="11" t="str">
        <f>IFERROR(IF(VLOOKUP(A2706,[18]PRIORIZADOS!$A:$E,5,FALSE)="","",VLOOKUP(A2706,[18]PRIORIZADOS!$A:$E,5,FALSE)),"")</f>
        <v>EPBM</v>
      </c>
      <c r="F2706" s="11" t="str">
        <f>IFERROR(IF(VLOOKUP(A2706,[18]PRIORIZADOS!$A:$F,6,FALSE)="","",VLOOKUP(A2706,[18]PRIORIZADOS!$A:$F,6,FALSE)),"")</f>
        <v>GIMNASIO_DE_TOLEDO</v>
      </c>
      <c r="G2706" s="11" t="str">
        <f>IFERROR(IF(VLOOKUP(A2706,[18]PRIORIZADOS!$A:$G,7,FALSE)="","",VLOOKUP(A2706,[18]PRIORIZADOS!$A:$G,7,FALSE)),"")</f>
        <v>GIMNASIO DE TOLEDO</v>
      </c>
      <c r="H2706" s="11" t="str">
        <f>IFERROR(IF(VLOOKUP(A2706,[18]PRIORIZADOS!$A:$H,8,FALSE)="","",VLOOKUP(A2706,[18]PRIORIZADOS!$A:$H,8,FALSE)),"")</f>
        <v>Autoevaluación Institucional y Pruebas SABER 11</v>
      </c>
      <c r="I2706" s="11" t="str">
        <f>IFERROR(IF(VLOOKUP(A2706,[18]PRIORIZADOS!$A:$I,9,FALSE)="","",VLOOKUP(A2706,[18]PRIORIZADOS!$A:$I,9,FALSE)),"")</f>
        <v>SEGUIMIENTO_Y_SUPERVISIÓN.</v>
      </c>
      <c r="J2706" s="11" t="str">
        <f>IFERROR(IF(VLOOKUP(A2706,[18]PRIORIZADOS!$A:$J,10,FALSE)="","",VLOOKUP(A2706,[18]PRIORIZADOS!$A:$J,10,FALSE)),"")</f>
        <v>Realizar visitas para verificar la información registrada sobre la autoevaluación institucional en el aplicativo EVI, a los establecimientos de educación formal no oficial.</v>
      </c>
      <c r="K2706" s="11" t="str">
        <f>IFERROR(IF(VLOOKUP(A2706,[18]PRIORIZADOS!$A:$K,11,FALSE)="","",VLOOKUP(A2706,[18]PRIORIZADOS!$A:$K,11,FALSE)),"")</f>
        <v>KATHERINE HERNÁNDEZ RUBIANO</v>
      </c>
      <c r="L2706" s="11" t="str">
        <f>IFERROR(IF(VLOOKUP(A2706,[18]PRIORIZADOS!$A:$L,12,FALSE)="","",VLOOKUP(A2706,[18]PRIORIZADOS!$A:$L,12,FALSE)),"")</f>
        <v>FRANCY LORENA RODRIGUEZ CASTRO</v>
      </c>
      <c r="M2706" s="71">
        <f>IFERROR(IF(VLOOKUP(A2706,[18]PRIORIZADOS!$A:$M,13,FALSE)="","",VLOOKUP(A2706,[18]PRIORIZADOS!$A:$M,13,FALSE)),"")</f>
        <v>45783</v>
      </c>
      <c r="N2706" s="71">
        <f>IFERROR(IF(VLOOKUP(A2706,[18]PRIORIZADOS!$A:$N,14,FALSE)="","",VLOOKUP(A2706,[18]PRIORIZADOS!$A:$N,14,FALSE)),"")</f>
        <v>45792</v>
      </c>
      <c r="O2706" s="71">
        <f>IFERROR(IF(VLOOKUP(A2706,[18]PRIORIZADOS!$A:$O,15,FALSE)="","",VLOOKUP(A2706,[18]PRIORIZADOS!$A:$O,15,FALSE)),"")</f>
        <v>45792</v>
      </c>
      <c r="P2706" s="11" t="str">
        <f>IFERROR(IF(VLOOKUP(A2706,[18]PRIORIZADOS!$A:$P,16,FALSE)="","",VLOOKUP(A2706,[18]PRIORIZADOS!$A:$P,16,FALSE)),"")</f>
        <v>Visitas de evaluación con fines de mejoramiento</v>
      </c>
      <c r="Q2706" s="60" t="s">
        <v>521</v>
      </c>
      <c r="R2706" s="11" t="str">
        <f>IFERROR(IF(VLOOKUP(A2706,[18]PRIORIZADOS!$A:$R,18,FALSE)="","",VLOOKUP(A2706,[18]PRIORIZADOS!$A:$R,18,FALSE)),"")</f>
        <v>Se evidencia que la sala de sistemas esta fuera de funcionamiento y no hay biblioteca</v>
      </c>
      <c r="S2706" s="11" t="str">
        <f>IFERROR(IF(VLOOKUP(A2706,[18]PRIORIZADOS!$A:$S,19,FALSE)="","",VLOOKUP(A2706,[18]PRIORIZADOS!$A:$S,19,FALSE)),"")</f>
        <v>La institucón se compromete a poner en funcionamiento la sala de sistemas</v>
      </c>
      <c r="T2706" s="70" t="str">
        <f>IFERROR(IF(VLOOKUP(A2706,[18]PRIORIZADOS!$A:$T,20,FALSE)="","",VLOOKUP(A2706,[18]PRIORIZADOS!$A:$T,20,FALSE)),"")</f>
        <v>Si</v>
      </c>
      <c r="U2706" s="11" t="str">
        <f>IFERROR(IF(VLOOKUP(A2706,[18]PRIORIZADOS!$A:$U,21,FALSE)="","",VLOOKUP(A2706,[18]PRIORIZADOS!$A:$U,21,FALSE)),"")</f>
        <v>Se verificará en visita administrativa el día 01 de agosto de 2025</v>
      </c>
    </row>
    <row r="2707" spans="1:21" s="1" customFormat="1" ht="72">
      <c r="A2707" s="69">
        <f>IF([18]PRIORIZADOS!A50="","",[18]PRIORIZADOS!A50)</f>
        <v>2696</v>
      </c>
      <c r="B2707" s="70">
        <f>IFERROR(IF(VLOOKUP(A2707,[18]PRIORIZADOS!$A:$B,2,FALSE)="","",VLOOKUP(A2707,[18]PRIORIZADOS!$A:$B,2,FALSE)),"")</f>
        <v>6</v>
      </c>
      <c r="C2707" s="11" t="str">
        <f>IFERROR(IF(VLOOKUP(A2707,[18]PRIORIZADOS!$A:$C,3,FALSE)="","",VLOOKUP(A2707,[18]PRIORIZADOS!$A:$C,3,FALSE)),"")</f>
        <v>USME</v>
      </c>
      <c r="D2707" s="11" t="str">
        <f>IFERROR(IF(VLOOKUP(A2707,[18]PRIORIZADOS!$A:$D,4,FALSE)="","",VLOOKUP(A2707,[18]PRIORIZADOS!$A:$D,4,FALSE)),"")</f>
        <v>PRIVADO</v>
      </c>
      <c r="E2707" s="11" t="str">
        <f>IFERROR(IF(VLOOKUP(A2707,[18]PRIORIZADOS!$A:$E,5,FALSE)="","",VLOOKUP(A2707,[18]PRIORIZADOS!$A:$E,5,FALSE)),"")</f>
        <v>EPBM</v>
      </c>
      <c r="F2707" s="11" t="str">
        <f>IFERROR(IF(VLOOKUP(A2707,[18]PRIORIZADOS!$A:$F,6,FALSE)="","",VLOOKUP(A2707,[18]PRIORIZADOS!$A:$F,6,FALSE)),"")</f>
        <v>GIMNASIO_DE_TOLEDO</v>
      </c>
      <c r="G2707" s="11" t="str">
        <f>IFERROR(IF(VLOOKUP(A2707,[18]PRIORIZADOS!$A:$G,7,FALSE)="","",VLOOKUP(A2707,[18]PRIORIZADOS!$A:$G,7,FALSE)),"")</f>
        <v>GIMNASIO DE TOLEDO</v>
      </c>
      <c r="H2707" s="11" t="str">
        <f>IFERROR(IF(VLOOKUP(A2707,[18]PRIORIZADOS!$A:$H,8,FALSE)="","",VLOOKUP(A2707,[18]PRIORIZADOS!$A:$H,8,FALSE)),"")</f>
        <v>Autoevaluación Institucional y Pruebas SABER 11</v>
      </c>
      <c r="I2707" s="11" t="str">
        <f>IFERROR(IF(VLOOKUP(A2707,[18]PRIORIZADOS!$A:$I,9,FALSE)="","",VLOOKUP(A2707,[18]PRIORIZADOS!$A:$I,9,FALSE)),"")</f>
        <v>SEGUIMIENTO_Y_SUPERVISIÓN.</v>
      </c>
      <c r="J2707" s="11" t="str">
        <f>IFERROR(IF(VLOOKUP(A2707,[18]PRIORIZADOS!$A:$J,10,FALSE)="","",VLOOKUP(A2707,[18]PRIORIZADOS!$A:$J,10,FALSE)),"")</f>
        <v>Proponer estrategias en la formulación, verificar su elaboración y realizar seguimiento semestral al desarrollo de  las acciones establecidas en los planes de mejoramiento por pruebas SABER 11 de los establecimientos de educación formal.</v>
      </c>
      <c r="K2707" s="11" t="str">
        <f>IFERROR(IF(VLOOKUP(A2707,[18]PRIORIZADOS!$A:$K,11,FALSE)="","",VLOOKUP(A2707,[18]PRIORIZADOS!$A:$K,11,FALSE)),"")</f>
        <v>KATHERINE HERNÁNDEZ RUBIANO</v>
      </c>
      <c r="L2707" s="11" t="str">
        <f>IFERROR(IF(VLOOKUP(A2707,[18]PRIORIZADOS!$A:$L,12,FALSE)="","",VLOOKUP(A2707,[18]PRIORIZADOS!$A:$L,12,FALSE)),"")</f>
        <v>FRANCY LORENA RODRIGUEZ CASTRO</v>
      </c>
      <c r="M2707" s="71">
        <f>IFERROR(IF(VLOOKUP(A2707,[18]PRIORIZADOS!$A:$M,13,FALSE)="","",VLOOKUP(A2707,[18]PRIORIZADOS!$A:$M,13,FALSE)),"")</f>
        <v>45783</v>
      </c>
      <c r="N2707" s="71">
        <f>IFERROR(IF(VLOOKUP(A2707,[18]PRIORIZADOS!$A:$N,14,FALSE)="","",VLOOKUP(A2707,[18]PRIORIZADOS!$A:$N,14,FALSE)),"")</f>
        <v>45792</v>
      </c>
      <c r="O2707" s="71">
        <f>IFERROR(IF(VLOOKUP(A2707,[18]PRIORIZADOS!$A:$O,15,FALSE)="","",VLOOKUP(A2707,[18]PRIORIZADOS!$A:$O,15,FALSE)),"")</f>
        <v>45792</v>
      </c>
      <c r="P2707" s="11" t="str">
        <f>IFERROR(IF(VLOOKUP(A2707,[18]PRIORIZADOS!$A:$P,16,FALSE)="","",VLOOKUP(A2707,[18]PRIORIZADOS!$A:$P,16,FALSE)),"")</f>
        <v>Visitas de evaluación con fines de mejoramiento</v>
      </c>
      <c r="Q2707" s="60" t="s">
        <v>521</v>
      </c>
      <c r="R2707" s="11" t="str">
        <f>IFERROR(IF(VLOOKUP(A2707,[18]PRIORIZADOS!$A:$R,18,FALSE)="","",VLOOKUP(A2707,[18]PRIORIZADOS!$A:$R,18,FALSE)),"")</f>
        <v>No aplica porque la Institución Educativa, pese a tener licencia de funcionamiento para media, funciona solamente en los niveles de pre escolar y básica primaria</v>
      </c>
      <c r="S2707" s="11" t="str">
        <f>IFERROR(IF(VLOOKUP(A2707,[18]PRIORIZADOS!$A:$S,19,FALSE)="","",VLOOKUP(A2707,[18]PRIORIZADOS!$A:$S,19,FALSE)),"")</f>
        <v>La institución Educativa se compromete a solicitar la modificación de la licencia de funcionamiento Resolución 7451 del 13 de noviembre de 1998, ya que en la actualidad solo presta el servicio en los niveles de pre escolar y básica primaria.</v>
      </c>
      <c r="T2707" s="70" t="str">
        <f>IFERROR(IF(VLOOKUP(A2707,[18]PRIORIZADOS!$A:$T,20,FALSE)="","",VLOOKUP(A2707,[18]PRIORIZADOS!$A:$T,20,FALSE)),"")</f>
        <v>Si</v>
      </c>
      <c r="U2707" s="11" t="str">
        <f>IFERROR(IF(VLOOKUP(A2707,[18]PRIORIZADOS!$A:$U,21,FALSE)="","",VLOOKUP(A2707,[18]PRIORIZADOS!$A:$U,21,FALSE)),"")</f>
        <v>Se verificará la solicitud ante la DLE en visita administrativa del 01 de agosto de 2025</v>
      </c>
    </row>
    <row r="2708" spans="1:21" s="1" customFormat="1" ht="60">
      <c r="A2708" s="69">
        <f>IF([18]PRIORIZADOS!A51="","",[18]PRIORIZADOS!A51)</f>
        <v>2697</v>
      </c>
      <c r="B2708" s="70">
        <f>IFERROR(IF(VLOOKUP(A2708,[18]PRIORIZADOS!$A:$B,2,FALSE)="","",VLOOKUP(A2708,[18]PRIORIZADOS!$A:$B,2,FALSE)),"")</f>
        <v>6</v>
      </c>
      <c r="C2708" s="11" t="str">
        <f>IFERROR(IF(VLOOKUP(A2708,[18]PRIORIZADOS!$A:$C,3,FALSE)="","",VLOOKUP(A2708,[18]PRIORIZADOS!$A:$C,3,FALSE)),"")</f>
        <v>USME</v>
      </c>
      <c r="D2708" s="11" t="str">
        <f>IFERROR(IF(VLOOKUP(A2708,[18]PRIORIZADOS!$A:$D,4,FALSE)="","",VLOOKUP(A2708,[18]PRIORIZADOS!$A:$D,4,FALSE)),"")</f>
        <v>PRIVADO</v>
      </c>
      <c r="E2708" s="11" t="str">
        <f>IFERROR(IF(VLOOKUP(A2708,[18]PRIORIZADOS!$A:$E,5,FALSE)="","",VLOOKUP(A2708,[18]PRIORIZADOS!$A:$E,5,FALSE)),"")</f>
        <v>EPBM</v>
      </c>
      <c r="F2708" s="11" t="str">
        <f>IFERROR(IF(VLOOKUP(A2708,[18]PRIORIZADOS!$A:$F,6,FALSE)="","",VLOOKUP(A2708,[18]PRIORIZADOS!$A:$F,6,FALSE)),"")</f>
        <v>GIMNASIO_DE_TOLEDO</v>
      </c>
      <c r="G2708" s="11" t="str">
        <f>IFERROR(IF(VLOOKUP(A2708,[18]PRIORIZADOS!$A:$G,7,FALSE)="","",VLOOKUP(A2708,[18]PRIORIZADOS!$A:$G,7,FALSE)),"")</f>
        <v>GIMNASIO DE TOLEDO</v>
      </c>
      <c r="H2708" s="11" t="str">
        <f>IFERROR(IF(VLOOKUP(A2708,[18]PRIORIZADOS!$A:$H,8,FALSE)="","",VLOOKUP(A2708,[18]PRIORIZADOS!$A:$H,8,FALSE)),"")</f>
        <v>Autoevaluación Institucional y Pruebas SABER 11</v>
      </c>
      <c r="I2708" s="11" t="str">
        <f>IFERROR(IF(VLOOKUP(A2708,[18]PRIORIZADOS!$A:$I,9,FALSE)="","",VLOOKUP(A2708,[18]PRIORIZADOS!$A:$I,9,FALSE)),"")</f>
        <v>SEGUIMIENTO_Y_SUPERVISIÓN.</v>
      </c>
      <c r="J2708" s="11" t="str">
        <f>IFERROR(IF(VLOOKUP(A2708,[18]PRIORIZADOS!$A:$J,10,FALSE)="","",VLOOKUP(A2708,[18]PRIORIZADOS!$A:$J,10,FALSE)),"")</f>
        <v xml:space="preserve">Verificar la implementación por parte de los colegios, de acciones realizadas para la prevención y atención de las situaciones de convivencia en el entorno escolar, según lo establecido en la Directiva 01 de 2022 del MEN. </v>
      </c>
      <c r="K2708" s="11" t="str">
        <f>IFERROR(IF(VLOOKUP(A2708,[18]PRIORIZADOS!$A:$K,11,FALSE)="","",VLOOKUP(A2708,[18]PRIORIZADOS!$A:$K,11,FALSE)),"")</f>
        <v>KATHERINE HERNÁNDEZ RUBIANO</v>
      </c>
      <c r="L2708" s="11" t="str">
        <f>IFERROR(IF(VLOOKUP(A2708,[18]PRIORIZADOS!$A:$L,12,FALSE)="","",VLOOKUP(A2708,[18]PRIORIZADOS!$A:$L,12,FALSE)),"")</f>
        <v>FRANCY LORENA RODRIGUEZ CASTRO</v>
      </c>
      <c r="M2708" s="71">
        <f>IFERROR(IF(VLOOKUP(A2708,[18]PRIORIZADOS!$A:$M,13,FALSE)="","",VLOOKUP(A2708,[18]PRIORIZADOS!$A:$M,13,FALSE)),"")</f>
        <v>45783</v>
      </c>
      <c r="N2708" s="71">
        <f>IFERROR(IF(VLOOKUP(A2708,[18]PRIORIZADOS!$A:$N,14,FALSE)="","",VLOOKUP(A2708,[18]PRIORIZADOS!$A:$N,14,FALSE)),"")</f>
        <v>45792</v>
      </c>
      <c r="O2708" s="71">
        <f>IFERROR(IF(VLOOKUP(A2708,[18]PRIORIZADOS!$A:$O,15,FALSE)="","",VLOOKUP(A2708,[18]PRIORIZADOS!$A:$O,15,FALSE)),"")</f>
        <v>45792</v>
      </c>
      <c r="P2708" s="11" t="str">
        <f>IFERROR(IF(VLOOKUP(A2708,[18]PRIORIZADOS!$A:$P,16,FALSE)="","",VLOOKUP(A2708,[18]PRIORIZADOS!$A:$P,16,FALSE)),"")</f>
        <v>Visitas de evaluación con fines de mejoramiento</v>
      </c>
      <c r="Q2708" s="60" t="s">
        <v>521</v>
      </c>
      <c r="R2708" s="11" t="str">
        <f>IFERROR(IF(VLOOKUP(A2708,[18]PRIORIZADOS!$A:$R,18,FALSE)="","",VLOOKUP(A2708,[18]PRIORIZADOS!$A:$R,18,FALSE)),"")</f>
        <v>La Institución Educativa no cuenta con evidencia sobre la atención de convivencia escolar, adicionalmente no tiene usuario ni contraseña para ingresar al Sitema de Alertas</v>
      </c>
      <c r="S2708" s="11" t="str">
        <f>IFERROR(IF(VLOOKUP(A2708,[18]PRIORIZADOS!$A:$S,19,FALSE)="","",VLOOKUP(A2708,[18]PRIORIZADOS!$A:$S,19,FALSE)),"")</f>
        <v>El rector solicitará a la Oficina de Convivencia Escolar la creación del usuario y la contraseña para ingresar al Sitema de alertas y capacitación</v>
      </c>
      <c r="T2708" s="70" t="str">
        <f>IFERROR(IF(VLOOKUP(A2708,[18]PRIORIZADOS!$A:$T,20,FALSE)="","",VLOOKUP(A2708,[18]PRIORIZADOS!$A:$T,20,FALSE)),"")</f>
        <v>Si</v>
      </c>
      <c r="U2708" s="11" t="str">
        <f>IFERROR(IF(VLOOKUP(A2708,[18]PRIORIZADOS!$A:$U,21,FALSE)="","",VLOOKUP(A2708,[18]PRIORIZADOS!$A:$U,21,FALSE)),"")</f>
        <v>Se verificará en visita administrativa el día 01 de agosto de 2025</v>
      </c>
    </row>
    <row r="2709" spans="1:21" s="1" customFormat="1" ht="72">
      <c r="A2709" s="69">
        <f>IF([18]PRIORIZADOS!A52="","",[18]PRIORIZADOS!A52)</f>
        <v>2698</v>
      </c>
      <c r="B2709" s="70">
        <f>IFERROR(IF(VLOOKUP(A2709,[18]PRIORIZADOS!$A:$B,2,FALSE)="","",VLOOKUP(A2709,[18]PRIORIZADOS!$A:$B,2,FALSE)),"")</f>
        <v>6</v>
      </c>
      <c r="C2709" s="11" t="str">
        <f>IFERROR(IF(VLOOKUP(A2709,[18]PRIORIZADOS!$A:$C,3,FALSE)="","",VLOOKUP(A2709,[18]PRIORIZADOS!$A:$C,3,FALSE)),"")</f>
        <v>USME</v>
      </c>
      <c r="D2709" s="11" t="str">
        <f>IFERROR(IF(VLOOKUP(A2709,[18]PRIORIZADOS!$A:$D,4,FALSE)="","",VLOOKUP(A2709,[18]PRIORIZADOS!$A:$D,4,FALSE)),"")</f>
        <v>PRIVADO</v>
      </c>
      <c r="E2709" s="11" t="str">
        <f>IFERROR(IF(VLOOKUP(A2709,[18]PRIORIZADOS!$A:$E,5,FALSE)="","",VLOOKUP(A2709,[18]PRIORIZADOS!$A:$E,5,FALSE)),"")</f>
        <v>EPBM</v>
      </c>
      <c r="F2709" s="11" t="str">
        <f>IFERROR(IF(VLOOKUP(A2709,[18]PRIORIZADOS!$A:$F,6,FALSE)="","",VLOOKUP(A2709,[18]PRIORIZADOS!$A:$F,6,FALSE)),"")</f>
        <v>GIMNASIO_DE_TOLEDO</v>
      </c>
      <c r="G2709" s="11" t="str">
        <f>IFERROR(IF(VLOOKUP(A2709,[18]PRIORIZADOS!$A:$G,7,FALSE)="","",VLOOKUP(A2709,[18]PRIORIZADOS!$A:$G,7,FALSE)),"")</f>
        <v>GIMNASIO DE TOLEDO</v>
      </c>
      <c r="H2709" s="11" t="str">
        <f>IFERROR(IF(VLOOKUP(A2709,[18]PRIORIZADOS!$A:$H,8,FALSE)="","",VLOOKUP(A2709,[18]PRIORIZADOS!$A:$H,8,FALSE)),"")</f>
        <v>Autoevaluación Institucional y Pruebas SABER 11</v>
      </c>
      <c r="I2709" s="11" t="str">
        <f>IFERROR(IF(VLOOKUP(A2709,[18]PRIORIZADOS!$A:$I,9,FALSE)="","",VLOOKUP(A2709,[18]PRIORIZADOS!$A:$I,9,FALSE)),"")</f>
        <v>SEGUIMIENTO_Y_SUPERVISIÓN.</v>
      </c>
      <c r="J2709" s="11" t="str">
        <f>IFERROR(IF(VLOOKUP(A2709,[18]PRIORIZADOS!$A:$J,10,FALSE)="","",VLOOKUP(A2709,[18]PRIORIZADOS!$A:$J,10,FALSE)),"")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09" s="11" t="str">
        <f>IFERROR(IF(VLOOKUP(A2709,[18]PRIORIZADOS!$A:$K,11,FALSE)="","",VLOOKUP(A2709,[18]PRIORIZADOS!$A:$K,11,FALSE)),"")</f>
        <v>KATHERINE HERNÁNDEZ RUBIANO</v>
      </c>
      <c r="L2709" s="11" t="str">
        <f>IFERROR(IF(VLOOKUP(A2709,[18]PRIORIZADOS!$A:$L,12,FALSE)="","",VLOOKUP(A2709,[18]PRIORIZADOS!$A:$L,12,FALSE)),"")</f>
        <v>FRANCY LORENA RODRIGUEZ CASTRO</v>
      </c>
      <c r="M2709" s="71">
        <f>IFERROR(IF(VLOOKUP(A2709,[18]PRIORIZADOS!$A:$M,13,FALSE)="","",VLOOKUP(A2709,[18]PRIORIZADOS!$A:$M,13,FALSE)),"")</f>
        <v>45783</v>
      </c>
      <c r="N2709" s="71">
        <f>IFERROR(IF(VLOOKUP(A2709,[18]PRIORIZADOS!$A:$N,14,FALSE)="","",VLOOKUP(A2709,[18]PRIORIZADOS!$A:$N,14,FALSE)),"")</f>
        <v>45792</v>
      </c>
      <c r="O2709" s="71">
        <f>IFERROR(IF(VLOOKUP(A2709,[18]PRIORIZADOS!$A:$O,15,FALSE)="","",VLOOKUP(A2709,[18]PRIORIZADOS!$A:$O,15,FALSE)),"")</f>
        <v>45792</v>
      </c>
      <c r="P2709" s="11" t="str">
        <f>IFERROR(IF(VLOOKUP(A2709,[18]PRIORIZADOS!$A:$P,16,FALSE)="","",VLOOKUP(A2709,[18]PRIORIZADOS!$A:$P,16,FALSE)),"")</f>
        <v>Visitas de evaluación con fines de mejoramiento</v>
      </c>
      <c r="Q2709" s="60" t="s">
        <v>521</v>
      </c>
      <c r="R2709" s="11" t="str">
        <f>IFERROR(IF(VLOOKUP(A2709,[18]PRIORIZADOS!$A:$R,18,FALSE)="","",VLOOKUP(A2709,[18]PRIORIZADOS!$A:$R,18,FALSE)),"")</f>
        <v>La Institución Educativa, no cuenta con la evidencia de elaboración del PIAR, aunque menciona tener estudiantes de inclusión</v>
      </c>
      <c r="S2709" s="11" t="str">
        <f>IFERROR(IF(VLOOKUP(A2709,[18]PRIORIZADOS!$A:$S,19,FALSE)="","",VLOOKUP(A2709,[18]PRIORIZADOS!$A:$S,19,FALSE)),"")</f>
        <v>El rector se compromente a gestionar la elaboración de los PIAR</v>
      </c>
      <c r="T2709" s="70" t="str">
        <f>IFERROR(IF(VLOOKUP(A2709,[18]PRIORIZADOS!$A:$T,20,FALSE)="","",VLOOKUP(A2709,[18]PRIORIZADOS!$A:$T,20,FALSE)),"")</f>
        <v>Si</v>
      </c>
      <c r="U2709" s="11" t="str">
        <f>IFERROR(IF(VLOOKUP(A2709,[18]PRIORIZADOS!$A:$U,21,FALSE)="","",VLOOKUP(A2709,[18]PRIORIZADOS!$A:$U,21,FALSE)),"")</f>
        <v>Se verificará en visita administrativa el día 01 de agosto de 2025</v>
      </c>
    </row>
    <row r="2710" spans="1:21" s="1" customFormat="1" ht="84">
      <c r="A2710" s="69">
        <f>IF([18]PRIORIZADOS!A53="","",[18]PRIORIZADOS!A53)</f>
        <v>2699</v>
      </c>
      <c r="B2710" s="70">
        <f>IFERROR(IF(VLOOKUP(A2710,[18]PRIORIZADOS!$A:$B,2,FALSE)="","",VLOOKUP(A2710,[18]PRIORIZADOS!$A:$B,2,FALSE)),"")</f>
        <v>6</v>
      </c>
      <c r="C2710" s="11" t="str">
        <f>IFERROR(IF(VLOOKUP(A2710,[18]PRIORIZADOS!$A:$C,3,FALSE)="","",VLOOKUP(A2710,[18]PRIORIZADOS!$A:$C,3,FALSE)),"")</f>
        <v>USME</v>
      </c>
      <c r="D2710" s="11" t="str">
        <f>IFERROR(IF(VLOOKUP(A2710,[18]PRIORIZADOS!$A:$D,4,FALSE)="","",VLOOKUP(A2710,[18]PRIORIZADOS!$A:$D,4,FALSE)),"")</f>
        <v>PRIVADO</v>
      </c>
      <c r="E2710" s="11" t="str">
        <f>IFERROR(IF(VLOOKUP(A2710,[18]PRIORIZADOS!$A:$E,5,FALSE)="","",VLOOKUP(A2710,[18]PRIORIZADOS!$A:$E,5,FALSE)),"")</f>
        <v>EPBM</v>
      </c>
      <c r="F2710" s="11" t="str">
        <f>IFERROR(IF(VLOOKUP(A2710,[18]PRIORIZADOS!$A:$F,6,FALSE)="","",VLOOKUP(A2710,[18]PRIORIZADOS!$A:$F,6,FALSE)),"")</f>
        <v>GIMNASIO_DE_TOLEDO</v>
      </c>
      <c r="G2710" s="11" t="str">
        <f>IFERROR(IF(VLOOKUP(A2710,[18]PRIORIZADOS!$A:$G,7,FALSE)="","",VLOOKUP(A2710,[18]PRIORIZADOS!$A:$G,7,FALSE)),"")</f>
        <v>GIMNASIO DE TOLEDO</v>
      </c>
      <c r="H2710" s="11" t="str">
        <f>IFERROR(IF(VLOOKUP(A2710,[18]PRIORIZADOS!$A:$H,8,FALSE)="","",VLOOKUP(A2710,[18]PRIORIZADOS!$A:$H,8,FALSE)),"")</f>
        <v>Autoevaluación Institucional y Pruebas SABER 11</v>
      </c>
      <c r="I2710" s="11" t="str">
        <f>IFERROR(IF(VLOOKUP(A2710,[18]PRIORIZADOS!$A:$I,9,FALSE)="","",VLOOKUP(A2710,[18]PRIORIZADOS!$A:$I,9,FALSE)),"")</f>
        <v>EVALUACIÓN_CON_FINES_DE_MEJORAMIENTO.</v>
      </c>
      <c r="J2710" s="11" t="str">
        <f>IFERROR(IF(VLOOKUP(A2710,[18]PRIORIZADOS!$A:$J,10,FALSE)="","",VLOOKUP(A2710,[18]PRIORIZADOS!$A:$J,10,FALSE)),"")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10" s="11" t="str">
        <f>IFERROR(IF(VLOOKUP(A2710,[18]PRIORIZADOS!$A:$K,11,FALSE)="","",VLOOKUP(A2710,[18]PRIORIZADOS!$A:$K,11,FALSE)),"")</f>
        <v>KATHERINE HERNÁNDEZ RUBIANO</v>
      </c>
      <c r="L2710" s="11" t="str">
        <f>IFERROR(IF(VLOOKUP(A2710,[18]PRIORIZADOS!$A:$L,12,FALSE)="","",VLOOKUP(A2710,[18]PRIORIZADOS!$A:$L,12,FALSE)),"")</f>
        <v>FRANCY LORENA RODRIGUEZ CASTRO</v>
      </c>
      <c r="M2710" s="71">
        <f>IFERROR(IF(VLOOKUP(A2710,[18]PRIORIZADOS!$A:$M,13,FALSE)="","",VLOOKUP(A2710,[18]PRIORIZADOS!$A:$M,13,FALSE)),"")</f>
        <v>45783</v>
      </c>
      <c r="N2710" s="71">
        <f>IFERROR(IF(VLOOKUP(A2710,[18]PRIORIZADOS!$A:$N,14,FALSE)="","",VLOOKUP(A2710,[18]PRIORIZADOS!$A:$N,14,FALSE)),"")</f>
        <v>45792</v>
      </c>
      <c r="O2710" s="71">
        <f>IFERROR(IF(VLOOKUP(A2710,[18]PRIORIZADOS!$A:$O,15,FALSE)="","",VLOOKUP(A2710,[18]PRIORIZADOS!$A:$O,15,FALSE)),"")</f>
        <v>45792</v>
      </c>
      <c r="P2710" s="11" t="str">
        <f>IFERROR(IF(VLOOKUP(A2710,[18]PRIORIZADOS!$A:$P,16,FALSE)="","",VLOOKUP(A2710,[18]PRIORIZADOS!$A:$P,16,FALSE)),"")</f>
        <v>Visitas de evaluación con fines de mejoramiento</v>
      </c>
      <c r="Q2710" s="60" t="s">
        <v>521</v>
      </c>
      <c r="R2710" s="11" t="str">
        <f>IFERROR(IF(VLOOKUP(A2710,[18]PRIORIZADOS!$A:$R,18,FALSE)="","",VLOOKUP(A2710,[18]PRIORIZADOS!$A:$R,18,FALSE)),"")</f>
        <v>La Institución Educativa cuenta con un Manual de Convivencia, pero este no se encuentra alineado con la normatividad vigente, además no tiene actas de su elboración, aprobación y adopción</v>
      </c>
      <c r="S2710" s="11" t="str">
        <f>IFERROR(IF(VLOOKUP(A2710,[18]PRIORIZADOS!$A:$S,19,FALSE)="","",VLOOKUP(A2710,[18]PRIORIZADOS!$A:$S,19,FALSE)),"")</f>
        <v>El rector se compromete a realizar el proceso de actualización del manual de convivencia, teniendo en cuenta la normatividad vigente al respecto</v>
      </c>
      <c r="T2710" s="70" t="str">
        <f>IFERROR(IF(VLOOKUP(A2710,[18]PRIORIZADOS!$A:$T,20,FALSE)="","",VLOOKUP(A2710,[18]PRIORIZADOS!$A:$T,20,FALSE)),"")</f>
        <v>Si</v>
      </c>
      <c r="U2710" s="11" t="str">
        <f>IFERROR(IF(VLOOKUP(A2710,[18]PRIORIZADOS!$A:$U,21,FALSE)="","",VLOOKUP(A2710,[18]PRIORIZADOS!$A:$U,21,FALSE)),"")</f>
        <v>Se verificará en la vigencia 2026</v>
      </c>
    </row>
    <row r="2711" spans="1:21" s="1" customFormat="1" ht="72">
      <c r="A2711" s="69">
        <f>IF([18]PRIORIZADOS!A54="","",[18]PRIORIZADOS!A54)</f>
        <v>2700</v>
      </c>
      <c r="B2711" s="70">
        <f>IFERROR(IF(VLOOKUP(A2711,[18]PRIORIZADOS!$A:$B,2,FALSE)="","",VLOOKUP(A2711,[18]PRIORIZADOS!$A:$B,2,FALSE)),"")</f>
        <v>6</v>
      </c>
      <c r="C2711" s="11" t="str">
        <f>IFERROR(IF(VLOOKUP(A2711,[18]PRIORIZADOS!$A:$C,3,FALSE)="","",VLOOKUP(A2711,[18]PRIORIZADOS!$A:$C,3,FALSE)),"")</f>
        <v>USME</v>
      </c>
      <c r="D2711" s="11" t="str">
        <f>IFERROR(IF(VLOOKUP(A2711,[18]PRIORIZADOS!$A:$D,4,FALSE)="","",VLOOKUP(A2711,[18]PRIORIZADOS!$A:$D,4,FALSE)),"")</f>
        <v>PRIVADO</v>
      </c>
      <c r="E2711" s="11" t="str">
        <f>IFERROR(IF(VLOOKUP(A2711,[18]PRIORIZADOS!$A:$E,5,FALSE)="","",VLOOKUP(A2711,[18]PRIORIZADOS!$A:$E,5,FALSE)),"")</f>
        <v>EPBM</v>
      </c>
      <c r="F2711" s="11" t="str">
        <f>IFERROR(IF(VLOOKUP(A2711,[18]PRIORIZADOS!$A:$F,6,FALSE)="","",VLOOKUP(A2711,[18]PRIORIZADOS!$A:$F,6,FALSE)),"")</f>
        <v>GIMNASIO_DE_TOLEDO</v>
      </c>
      <c r="G2711" s="11" t="str">
        <f>IFERROR(IF(VLOOKUP(A2711,[18]PRIORIZADOS!$A:$G,7,FALSE)="","",VLOOKUP(A2711,[18]PRIORIZADOS!$A:$G,7,FALSE)),"")</f>
        <v>GIMNASIO DE TOLEDO</v>
      </c>
      <c r="H2711" s="11" t="str">
        <f>IFERROR(IF(VLOOKUP(A2711,[18]PRIORIZADOS!$A:$H,8,FALSE)="","",VLOOKUP(A2711,[18]PRIORIZADOS!$A:$H,8,FALSE)),"")</f>
        <v>Autoevaluación Institucional y Pruebas SABER 11</v>
      </c>
      <c r="I2711" s="11" t="str">
        <f>IFERROR(IF(VLOOKUP(A2711,[18]PRIORIZADOS!$A:$I,9,FALSE)="","",VLOOKUP(A2711,[18]PRIORIZADOS!$A:$I,9,FALSE)),"")</f>
        <v>EVALUACIÓN_CON_FINES_DE_MEJORAMIENTO.</v>
      </c>
      <c r="J2711" s="11" t="str">
        <f>IFERROR(IF(VLOOKUP(A2711,[18]PRIORIZADOS!$A:$J,10,FALSE)="","",VLOOKUP(A2711,[18]PRIORIZADOS!$A:$J,10,FALSE)),"")</f>
        <v>Revisar la actualización, socialización e implementación del Sistema Institucional de Evaluación de Estudiantes - SIEE, en articulación con la actualización del PEI y la normatividad vigente.</v>
      </c>
      <c r="K2711" s="11" t="str">
        <f>IFERROR(IF(VLOOKUP(A2711,[18]PRIORIZADOS!$A:$K,11,FALSE)="","",VLOOKUP(A2711,[18]PRIORIZADOS!$A:$K,11,FALSE)),"")</f>
        <v>KATHERINE HERNÁNDEZ RUBIANO</v>
      </c>
      <c r="L2711" s="11" t="str">
        <f>IFERROR(IF(VLOOKUP(A2711,[18]PRIORIZADOS!$A:$L,12,FALSE)="","",VLOOKUP(A2711,[18]PRIORIZADOS!$A:$L,12,FALSE)),"")</f>
        <v>FRANCY LORENA RODRIGUEZ CASTRO</v>
      </c>
      <c r="M2711" s="71">
        <f>IFERROR(IF(VLOOKUP(A2711,[18]PRIORIZADOS!$A:$M,13,FALSE)="","",VLOOKUP(A2711,[18]PRIORIZADOS!$A:$M,13,FALSE)),"")</f>
        <v>45783</v>
      </c>
      <c r="N2711" s="71">
        <f>IFERROR(IF(VLOOKUP(A2711,[18]PRIORIZADOS!$A:$N,14,FALSE)="","",VLOOKUP(A2711,[18]PRIORIZADOS!$A:$N,14,FALSE)),"")</f>
        <v>45792</v>
      </c>
      <c r="O2711" s="71">
        <f>IFERROR(IF(VLOOKUP(A2711,[18]PRIORIZADOS!$A:$O,15,FALSE)="","",VLOOKUP(A2711,[18]PRIORIZADOS!$A:$O,15,FALSE)),"")</f>
        <v>45792</v>
      </c>
      <c r="P2711" s="11" t="str">
        <f>IFERROR(IF(VLOOKUP(A2711,[18]PRIORIZADOS!$A:$P,16,FALSE)="","",VLOOKUP(A2711,[18]PRIORIZADOS!$A:$P,16,FALSE)),"")</f>
        <v>Visitas de evaluación con fines de mejoramiento</v>
      </c>
      <c r="Q2711" s="60" t="s">
        <v>521</v>
      </c>
      <c r="R2711" s="11" t="str">
        <f>IFERROR(IF(VLOOKUP(A2711,[18]PRIORIZADOS!$A:$R,18,FALSE)="","",VLOOKUP(A2711,[18]PRIORIZADOS!$A:$R,18,FALSE)),"")</f>
        <v>La institución Educativa cuenta con un documento del Sistema de Evaluación de los Estudiantes, sin embargo no cuenta con las actas de aprobación del Consejo Directivo, tampoco incluye la evaluación de los estudiantes de inclusión.</v>
      </c>
      <c r="S2711" s="11" t="str">
        <f>IFERROR(IF(VLOOKUP(A2711,[18]PRIORIZADOS!$A:$S,19,FALSE)="","",VLOOKUP(A2711,[18]PRIORIZADOS!$A:$S,19,FALSE)),"")</f>
        <v>El rector se compromete a liderar las modificaciones al SIEE y organización curricular, para que haya una relación entre estos y adicionar un capitulo para la evaluación de los estudiantes de inclusión.</v>
      </c>
      <c r="T2711" s="70" t="str">
        <f>IFERROR(IF(VLOOKUP(A2711,[18]PRIORIZADOS!$A:$T,20,FALSE)="","",VLOOKUP(A2711,[18]PRIORIZADOS!$A:$T,20,FALSE)),"")</f>
        <v>Si</v>
      </c>
      <c r="U2711" s="11" t="str">
        <f>IFERROR(IF(VLOOKUP(A2711,[18]PRIORIZADOS!$A:$U,21,FALSE)="","",VLOOKUP(A2711,[18]PRIORIZADOS!$A:$U,21,FALSE)),"")</f>
        <v>Se verificará en vigencia 2025</v>
      </c>
    </row>
    <row r="2712" spans="1:21" s="1" customFormat="1" ht="48">
      <c r="A2712" s="69">
        <f>IF([18]PRIORIZADOS!A55="","",[18]PRIORIZADOS!A55)</f>
        <v>2701</v>
      </c>
      <c r="B2712" s="70">
        <f>IFERROR(IF(VLOOKUP(A2712,[18]PRIORIZADOS!$A:$B,2,FALSE)="","",VLOOKUP(A2712,[18]PRIORIZADOS!$A:$B,2,FALSE)),"")</f>
        <v>6</v>
      </c>
      <c r="C2712" s="11" t="str">
        <f>IFERROR(IF(VLOOKUP(A2712,[18]PRIORIZADOS!$A:$C,3,FALSE)="","",VLOOKUP(A2712,[18]PRIORIZADOS!$A:$C,3,FALSE)),"")</f>
        <v>USME</v>
      </c>
      <c r="D2712" s="11" t="str">
        <f>IFERROR(IF(VLOOKUP(A2712,[18]PRIORIZADOS!$A:$D,4,FALSE)="","",VLOOKUP(A2712,[18]PRIORIZADOS!$A:$D,4,FALSE)),"")</f>
        <v>PRIVADO</v>
      </c>
      <c r="E2712" s="11" t="str">
        <f>IFERROR(IF(VLOOKUP(A2712,[18]PRIORIZADOS!$A:$E,5,FALSE)="","",VLOOKUP(A2712,[18]PRIORIZADOS!$A:$E,5,FALSE)),"")</f>
        <v>EPBM</v>
      </c>
      <c r="F2712" s="11" t="str">
        <f>IFERROR(IF(VLOOKUP(A2712,[18]PRIORIZADOS!$A:$F,6,FALSE)="","",VLOOKUP(A2712,[18]PRIORIZADOS!$A:$F,6,FALSE)),"")</f>
        <v>GIMNASIO_DE_TOLEDO</v>
      </c>
      <c r="G2712" s="11" t="str">
        <f>IFERROR(IF(VLOOKUP(A2712,[18]PRIORIZADOS!$A:$G,7,FALSE)="","",VLOOKUP(A2712,[18]PRIORIZADOS!$A:$G,7,FALSE)),"")</f>
        <v>GIMNASIO DE TOLEDO</v>
      </c>
      <c r="H2712" s="11" t="str">
        <f>IFERROR(IF(VLOOKUP(A2712,[18]PRIORIZADOS!$A:$H,8,FALSE)="","",VLOOKUP(A2712,[18]PRIORIZADOS!$A:$H,8,FALSE)),"")</f>
        <v>Autoevaluación Institucional y Pruebas SABER 11</v>
      </c>
      <c r="I2712" s="11" t="str">
        <f>IFERROR(IF(VLOOKUP(A2712,[18]PRIORIZADOS!$A:$I,9,FALSE)="","",VLOOKUP(A2712,[18]PRIORIZADOS!$A:$I,9,FALSE)),"")</f>
        <v>EVALUACIÓN_CON_FINES_DE_MEJORAMIENTO.</v>
      </c>
      <c r="J2712" s="11" t="str">
        <f>IFERROR(IF(VLOOKUP(A2712,[18]PRIORIZADOS!$A:$J,10,FALSE)="","",VLOOKUP(A2712,[18]PRIORIZADOS!$A:$J,10,FALSE)),"")</f>
        <v>Revisar el calendario escolar, jornada escolar, la intensidad horaria mínima anual en cada nivel y las modificaciones que se realicen al mismo, de acuerdo con lo previsto en la normatividad vigente.</v>
      </c>
      <c r="K2712" s="11" t="str">
        <f>IFERROR(IF(VLOOKUP(A2712,[18]PRIORIZADOS!$A:$K,11,FALSE)="","",VLOOKUP(A2712,[18]PRIORIZADOS!$A:$K,11,FALSE)),"")</f>
        <v>KATHERINE HERNÁNDEZ RUBIANO</v>
      </c>
      <c r="L2712" s="11" t="str">
        <f>IFERROR(IF(VLOOKUP(A2712,[18]PRIORIZADOS!$A:$L,12,FALSE)="","",VLOOKUP(A2712,[18]PRIORIZADOS!$A:$L,12,FALSE)),"")</f>
        <v>FRANCY LORENA RODRIGUEZ CASTRO</v>
      </c>
      <c r="M2712" s="71">
        <f>IFERROR(IF(VLOOKUP(A2712,[18]PRIORIZADOS!$A:$M,13,FALSE)="","",VLOOKUP(A2712,[18]PRIORIZADOS!$A:$M,13,FALSE)),"")</f>
        <v>45783</v>
      </c>
      <c r="N2712" s="71">
        <f>IFERROR(IF(VLOOKUP(A2712,[18]PRIORIZADOS!$A:$N,14,FALSE)="","",VLOOKUP(A2712,[18]PRIORIZADOS!$A:$N,14,FALSE)),"")</f>
        <v>45792</v>
      </c>
      <c r="O2712" s="71">
        <f>IFERROR(IF(VLOOKUP(A2712,[18]PRIORIZADOS!$A:$O,15,FALSE)="","",VLOOKUP(A2712,[18]PRIORIZADOS!$A:$O,15,FALSE)),"")</f>
        <v>45792</v>
      </c>
      <c r="P2712" s="11" t="str">
        <f>IFERROR(IF(VLOOKUP(A2712,[18]PRIORIZADOS!$A:$P,16,FALSE)="","",VLOOKUP(A2712,[18]PRIORIZADOS!$A:$P,16,FALSE)),"")</f>
        <v>Visitas de evaluación con fines de mejoramiento</v>
      </c>
      <c r="Q2712" s="60" t="s">
        <v>521</v>
      </c>
      <c r="R2712" s="11" t="str">
        <f>IFERROR(IF(VLOOKUP(A2712,[18]PRIORIZADOS!$A:$R,18,FALSE)="","",VLOOKUP(A2712,[18]PRIORIZADOS!$A:$R,18,FALSE)),"")</f>
        <v>El calendario escolar se encuentra ajustado e implementado de acuerdo con la normatividad.</v>
      </c>
      <c r="S2712" s="11" t="str">
        <f>IFERROR(IF(VLOOKUP(A2712,[18]PRIORIZADOS!$A:$S,19,FALSE)="","",VLOOKUP(A2712,[18]PRIORIZADOS!$A:$S,19,FALSE)),"")</f>
        <v xml:space="preserve">Continuar con la implematacion del calendario escolar </v>
      </c>
      <c r="T2712" s="70" t="str">
        <f>IFERROR(IF(VLOOKUP(A2712,[18]PRIORIZADOS!$A:$T,20,FALSE)="","",VLOOKUP(A2712,[18]PRIORIZADOS!$A:$T,20,FALSE)),"")</f>
        <v>No</v>
      </c>
      <c r="U2712" s="11" t="str">
        <f>IFERROR(IF(VLOOKUP(A2712,[18]PRIORIZADOS!$A:$U,21,FALSE)="","",VLOOKUP(A2712,[18]PRIORIZADOS!$A:$U,21,FALSE)),"")</f>
        <v>Verificacion para la proxima vigencia 2026</v>
      </c>
    </row>
    <row r="2713" spans="1:21" s="1" customFormat="1" ht="48">
      <c r="A2713" s="69">
        <f>IF([18]PRIORIZADOS!A56="","",[18]PRIORIZADOS!A56)</f>
        <v>2702</v>
      </c>
      <c r="B2713" s="70">
        <f>IFERROR(IF(VLOOKUP(A2713,[18]PRIORIZADOS!$A:$B,2,FALSE)="","",VLOOKUP(A2713,[18]PRIORIZADOS!$A:$B,2,FALSE)),"")</f>
        <v>6</v>
      </c>
      <c r="C2713" s="11" t="str">
        <f>IFERROR(IF(VLOOKUP(A2713,[18]PRIORIZADOS!$A:$C,3,FALSE)="","",VLOOKUP(A2713,[18]PRIORIZADOS!$A:$C,3,FALSE)),"")</f>
        <v>USME</v>
      </c>
      <c r="D2713" s="11" t="str">
        <f>IFERROR(IF(VLOOKUP(A2713,[18]PRIORIZADOS!$A:$D,4,FALSE)="","",VLOOKUP(A2713,[18]PRIORIZADOS!$A:$D,4,FALSE)),"")</f>
        <v>PRIVADO</v>
      </c>
      <c r="E2713" s="11" t="str">
        <f>IFERROR(IF(VLOOKUP(A2713,[18]PRIORIZADOS!$A:$E,5,FALSE)="","",VLOOKUP(A2713,[18]PRIORIZADOS!$A:$E,5,FALSE)),"")</f>
        <v>EPBM</v>
      </c>
      <c r="F2713" s="11" t="str">
        <f>IFERROR(IF(VLOOKUP(A2713,[18]PRIORIZADOS!$A:$F,6,FALSE)="","",VLOOKUP(A2713,[18]PRIORIZADOS!$A:$F,6,FALSE)),"")</f>
        <v>GIMNASIO_DE_TOLEDO</v>
      </c>
      <c r="G2713" s="11" t="str">
        <f>IFERROR(IF(VLOOKUP(A2713,[18]PRIORIZADOS!$A:$G,7,FALSE)="","",VLOOKUP(A2713,[18]PRIORIZADOS!$A:$G,7,FALSE)),"")</f>
        <v>GIMNASIO DE TOLEDO</v>
      </c>
      <c r="H2713" s="11" t="str">
        <f>IFERROR(IF(VLOOKUP(A2713,[18]PRIORIZADOS!$A:$H,8,FALSE)="","",VLOOKUP(A2713,[18]PRIORIZADOS!$A:$H,8,FALSE)),"")</f>
        <v>Autoevaluación Institucional y Pruebas SABER 11</v>
      </c>
      <c r="I2713" s="11" t="str">
        <f>IFERROR(IF(VLOOKUP(A2713,[18]PRIORIZADOS!$A:$I,9,FALSE)="","",VLOOKUP(A2713,[18]PRIORIZADOS!$A:$I,9,FALSE)),"")</f>
        <v>EVALUACIÓN_CON_FINES_DE_MEJORAMIENTO.</v>
      </c>
      <c r="J2713" s="11" t="str">
        <f>IFERROR(IF(VLOOKUP(A2713,[18]PRIORIZADOS!$A:$J,10,FALSE)="","",VLOOKUP(A2713,[18]PRIORIZADOS!$A:$J,10,FALSE)),"")</f>
        <v>Verificar el funcionamiento del Gobierno Escolar e instancias de participación con base en la información sobre conformación reportada por la institución educativa.</v>
      </c>
      <c r="K2713" s="11" t="str">
        <f>IFERROR(IF(VLOOKUP(A2713,[18]PRIORIZADOS!$A:$K,11,FALSE)="","",VLOOKUP(A2713,[18]PRIORIZADOS!$A:$K,11,FALSE)),"")</f>
        <v>KATHERINE HERNÁNDEZ RUBIANO</v>
      </c>
      <c r="L2713" s="11" t="str">
        <f>IFERROR(IF(VLOOKUP(A2713,[18]PRIORIZADOS!$A:$L,12,FALSE)="","",VLOOKUP(A2713,[18]PRIORIZADOS!$A:$L,12,FALSE)),"")</f>
        <v>FRANCY LORENA RODRIGUEZ CASTRO</v>
      </c>
      <c r="M2713" s="71">
        <f>IFERROR(IF(VLOOKUP(A2713,[18]PRIORIZADOS!$A:$M,13,FALSE)="","",VLOOKUP(A2713,[18]PRIORIZADOS!$A:$M,13,FALSE)),"")</f>
        <v>45783</v>
      </c>
      <c r="N2713" s="71">
        <f>IFERROR(IF(VLOOKUP(A2713,[18]PRIORIZADOS!$A:$N,14,FALSE)="","",VLOOKUP(A2713,[18]PRIORIZADOS!$A:$N,14,FALSE)),"")</f>
        <v>45792</v>
      </c>
      <c r="O2713" s="71">
        <f>IFERROR(IF(VLOOKUP(A2713,[18]PRIORIZADOS!$A:$O,15,FALSE)="","",VLOOKUP(A2713,[18]PRIORIZADOS!$A:$O,15,FALSE)),"")</f>
        <v>45792</v>
      </c>
      <c r="P2713" s="11" t="str">
        <f>IFERROR(IF(VLOOKUP(A2713,[18]PRIORIZADOS!$A:$P,16,FALSE)="","",VLOOKUP(A2713,[18]PRIORIZADOS!$A:$P,16,FALSE)),"")</f>
        <v>Visitas de evaluación con fines de mejoramiento</v>
      </c>
      <c r="Q2713" s="60" t="s">
        <v>521</v>
      </c>
      <c r="R2713" s="11" t="str">
        <f>IFERROR(IF(VLOOKUP(A2713,[18]PRIORIZADOS!$A:$R,18,FALSE)="","",VLOOKUP(A2713,[18]PRIORIZADOS!$A:$R,18,FALSE)),"")</f>
        <v>No cuenta con las actas de conformación del Gobierno Escolar ni ha hecho el registro en la plataforma de Apoyo Escolar.</v>
      </c>
      <c r="S2713" s="11" t="str">
        <f>IFERROR(IF(VLOOKUP(A2713,[18]PRIORIZADOS!$A:$S,19,FALSE)="","",VLOOKUP(A2713,[18]PRIORIZADOS!$A:$S,19,FALSE)),"")</f>
        <v>El rector se compromete a realizar las actas de conformación del Gobierno Escolar.</v>
      </c>
      <c r="T2713" s="70" t="str">
        <f>IFERROR(IF(VLOOKUP(A2713,[18]PRIORIZADOS!$A:$T,20,FALSE)="","",VLOOKUP(A2713,[18]PRIORIZADOS!$A:$T,20,FALSE)),"")</f>
        <v>Si</v>
      </c>
      <c r="U2713" s="11" t="str">
        <f>IFERROR(IF(VLOOKUP(A2713,[18]PRIORIZADOS!$A:$U,21,FALSE)="","",VLOOKUP(A2713,[18]PRIORIZADOS!$A:$U,21,FALSE)),"")</f>
        <v>Verificación en la plataforma del Sistema de Apoyo Escolar  en el mes de julio de 2025</v>
      </c>
    </row>
    <row r="2714" spans="1:21" s="1" customFormat="1" ht="36">
      <c r="A2714" s="69">
        <f>IF([18]PRIORIZADOS!A57="","",[18]PRIORIZADOS!A57)</f>
        <v>2703</v>
      </c>
      <c r="B2714" s="70">
        <f>IFERROR(IF(VLOOKUP(A2714,[18]PRIORIZADOS!$A:$B,2,FALSE)="","",VLOOKUP(A2714,[18]PRIORIZADOS!$A:$B,2,FALSE)),"")</f>
        <v>6</v>
      </c>
      <c r="C2714" s="11" t="str">
        <f>IFERROR(IF(VLOOKUP(A2714,[18]PRIORIZADOS!$A:$C,3,FALSE)="","",VLOOKUP(A2714,[18]PRIORIZADOS!$A:$C,3,FALSE)),"")</f>
        <v>USME</v>
      </c>
      <c r="D2714" s="11" t="str">
        <f>IFERROR(IF(VLOOKUP(A2714,[18]PRIORIZADOS!$A:$D,4,FALSE)="","",VLOOKUP(A2714,[18]PRIORIZADOS!$A:$D,4,FALSE)),"")</f>
        <v>PRIVADO</v>
      </c>
      <c r="E2714" s="11" t="str">
        <f>IFERROR(IF(VLOOKUP(A2714,[18]PRIORIZADOS!$A:$E,5,FALSE)="","",VLOOKUP(A2714,[18]PRIORIZADOS!$A:$E,5,FALSE)),"")</f>
        <v>EPBM</v>
      </c>
      <c r="F2714" s="11" t="str">
        <f>IFERROR(IF(VLOOKUP(A2714,[18]PRIORIZADOS!$A:$F,6,FALSE)="","",VLOOKUP(A2714,[18]PRIORIZADOS!$A:$F,6,FALSE)),"")</f>
        <v>GIMNASIO_DE_TOLEDO</v>
      </c>
      <c r="G2714" s="11" t="str">
        <f>IFERROR(IF(VLOOKUP(A2714,[18]PRIORIZADOS!$A:$G,7,FALSE)="","",VLOOKUP(A2714,[18]PRIORIZADOS!$A:$G,7,FALSE)),"")</f>
        <v>GIMNASIO DE TOLEDO</v>
      </c>
      <c r="H2714" s="11" t="str">
        <f>IFERROR(IF(VLOOKUP(A2714,[18]PRIORIZADOS!$A:$H,8,FALSE)="","",VLOOKUP(A2714,[18]PRIORIZADOS!$A:$H,8,FALSE)),"")</f>
        <v>Autoevaluación Institucional y Pruebas SABER 11</v>
      </c>
      <c r="I2714" s="11" t="str">
        <f>IFERROR(IF(VLOOKUP(A2714,[18]PRIORIZADOS!$A:$I,9,FALSE)="","",VLOOKUP(A2714,[18]PRIORIZADOS!$A:$I,9,FALSE)),"")</f>
        <v>EVALUACIÓN_CON_FINES_DE_MEJORAMIENTO.</v>
      </c>
      <c r="J2714" s="11" t="str">
        <f>IFERROR(IF(VLOOKUP(A2714,[18]PRIORIZADOS!$A:$J,10,FALSE)="","",VLOOKUP(A2714,[18]PRIORIZADOS!$A:$J,10,FALSE)),"")</f>
        <v>Verificar las condiciones en cuanto a: la estructura administrativa, condiciones de la planta física y medios educativos adecuados.</v>
      </c>
      <c r="K2714" s="11" t="str">
        <f>IFERROR(IF(VLOOKUP(A2714,[18]PRIORIZADOS!$A:$K,11,FALSE)="","",VLOOKUP(A2714,[18]PRIORIZADOS!$A:$K,11,FALSE)),"")</f>
        <v>KATHERINE HERNÁNDEZ RUBIANO</v>
      </c>
      <c r="L2714" s="11" t="str">
        <f>IFERROR(IF(VLOOKUP(A2714,[18]PRIORIZADOS!$A:$L,12,FALSE)="","",VLOOKUP(A2714,[18]PRIORIZADOS!$A:$L,12,FALSE)),"")</f>
        <v>FRANCY LORENA RODRIGUEZ CASTRO</v>
      </c>
      <c r="M2714" s="71">
        <f>IFERROR(IF(VLOOKUP(A2714,[18]PRIORIZADOS!$A:$M,13,FALSE)="","",VLOOKUP(A2714,[18]PRIORIZADOS!$A:$M,13,FALSE)),"")</f>
        <v>45783</v>
      </c>
      <c r="N2714" s="71">
        <f>IFERROR(IF(VLOOKUP(A2714,[18]PRIORIZADOS!$A:$N,14,FALSE)="","",VLOOKUP(A2714,[18]PRIORIZADOS!$A:$N,14,FALSE)),"")</f>
        <v>45792</v>
      </c>
      <c r="O2714" s="71">
        <f>IFERROR(IF(VLOOKUP(A2714,[18]PRIORIZADOS!$A:$O,15,FALSE)="","",VLOOKUP(A2714,[18]PRIORIZADOS!$A:$O,15,FALSE)),"")</f>
        <v>45792</v>
      </c>
      <c r="P2714" s="11" t="str">
        <f>IFERROR(IF(VLOOKUP(A2714,[18]PRIORIZADOS!$A:$P,16,FALSE)="","",VLOOKUP(A2714,[18]PRIORIZADOS!$A:$P,16,FALSE)),"")</f>
        <v>Visitas de evaluación con fines de mejoramiento</v>
      </c>
      <c r="Q2714" s="60" t="s">
        <v>521</v>
      </c>
      <c r="R2714" s="11" t="str">
        <f>IFERROR(IF(VLOOKUP(A2714,[18]PRIORIZADOS!$A:$R,18,FALSE)="","",VLOOKUP(A2714,[18]PRIORIZADOS!$A:$R,18,FALSE)),"")</f>
        <v>No cuenta con sala de sistemas en funcionamiento ni biblioteca</v>
      </c>
      <c r="S2714" s="11" t="str">
        <f>IFERROR(IF(VLOOKUP(A2714,[18]PRIORIZADOS!$A:$S,19,FALSE)="","",VLOOKUP(A2714,[18]PRIORIZADOS!$A:$S,19,FALSE)),"")</f>
        <v>El rector se compromete a poner en funcionamiento la sala de sistemas</v>
      </c>
      <c r="T2714" s="70" t="str">
        <f>IFERROR(IF(VLOOKUP(A2714,[18]PRIORIZADOS!$A:$T,20,FALSE)="","",VLOOKUP(A2714,[18]PRIORIZADOS!$A:$T,20,FALSE)),"")</f>
        <v>Si</v>
      </c>
      <c r="U2714" s="11" t="str">
        <f>IFERROR(IF(VLOOKUP(A2714,[18]PRIORIZADOS!$A:$U,21,FALSE)="","",VLOOKUP(A2714,[18]PRIORIZADOS!$A:$U,21,FALSE)),"")</f>
        <v>Se verificará en visita administrativa el día 01 de agosto de 2025</v>
      </c>
    </row>
    <row r="2715" spans="1:21" s="1" customFormat="1" ht="72">
      <c r="A2715" s="69">
        <f>IF([18]PRIORIZADOS!A58="","",[18]PRIORIZADOS!A58)</f>
        <v>2704</v>
      </c>
      <c r="B2715" s="70">
        <f>IFERROR(IF(VLOOKUP(A2715,[18]PRIORIZADOS!$A:$B,2,FALSE)="","",VLOOKUP(A2715,[18]PRIORIZADOS!$A:$B,2,FALSE)),"")</f>
        <v>7</v>
      </c>
      <c r="C2715" s="11" t="str">
        <f>IFERROR(IF(VLOOKUP(A2715,[18]PRIORIZADOS!$A:$C,3,FALSE)="","",VLOOKUP(A2715,[18]PRIORIZADOS!$A:$C,3,FALSE)),"")</f>
        <v>USME</v>
      </c>
      <c r="D2715" s="11" t="str">
        <f>IFERROR(IF(VLOOKUP(A2715,[18]PRIORIZADOS!$A:$D,4,FALSE)="","",VLOOKUP(A2715,[18]PRIORIZADOS!$A:$D,4,FALSE)),"")</f>
        <v>PRIVADO</v>
      </c>
      <c r="E2715" s="11" t="str">
        <f>IFERROR(IF(VLOOKUP(A2715,[18]PRIORIZADOS!$A:$E,5,FALSE)="","",VLOOKUP(A2715,[18]PRIORIZADOS!$A:$E,5,FALSE)),"")</f>
        <v>EPBM</v>
      </c>
      <c r="F2715" s="11" t="str">
        <f>IFERROR(IF(VLOOKUP(A2715,[18]PRIORIZADOS!$A:$F,6,FALSE)="","",VLOOKUP(A2715,[18]PRIORIZADOS!$A:$F,6,FALSE)),"")</f>
        <v>LICEO_MAX_PLANCK</v>
      </c>
      <c r="G2715" s="11" t="str">
        <f>IFERROR(IF(VLOOKUP(A2715,[18]PRIORIZADOS!$A:$G,7,FALSE)="","",VLOOKUP(A2715,[18]PRIORIZADOS!$A:$G,7,FALSE)),"")</f>
        <v>LICEO MAX PLANCK</v>
      </c>
      <c r="H2715" s="11" t="str">
        <f>IFERROR(IF(VLOOKUP(A2715,[18]PRIORIZADOS!$A:$H,8,FALSE)="","",VLOOKUP(A2715,[18]PRIORIZADOS!$A:$H,8,FALSE)),"")</f>
        <v>Autoevaluación Institucional y Pruebas SABER 11</v>
      </c>
      <c r="I2715" s="11" t="str">
        <f>IFERROR(IF(VLOOKUP(A2715,[18]PRIORIZADOS!$A:$I,9,FALSE)="","",VLOOKUP(A2715,[18]PRIORIZADOS!$A:$I,9,FALSE)),"")</f>
        <v>SEGUIMIENTO_Y_SUPERVISIÓN.</v>
      </c>
      <c r="J2715" s="11" t="str">
        <f>IFERROR(IF(VLOOKUP(A2715,[18]PRIORIZADOS!$A:$J,10,FALSE)="","",VLOOKUP(A2715,[18]PRIORIZADOS!$A:$J,10,FALSE)),"")</f>
        <v>Realizar visitas para verificar la información registrada sobre la autoevaluación institucional en el aplicativo EVI, a los establecimientos de educación formal no oficial.</v>
      </c>
      <c r="K2715" s="11" t="str">
        <f>IFERROR(IF(VLOOKUP(A2715,[18]PRIORIZADOS!$A:$K,11,FALSE)="","",VLOOKUP(A2715,[18]PRIORIZADOS!$A:$K,11,FALSE)),"")</f>
        <v>MIGUEL ANTONIO CARO CARO</v>
      </c>
      <c r="L2715" s="11" t="str">
        <f>IFERROR(IF(VLOOKUP(A2715,[18]PRIORIZADOS!$A:$L,12,FALSE)="","",VLOOKUP(A2715,[18]PRIORIZADOS!$A:$L,12,FALSE)),"")</f>
        <v>FRANCY LORENA RODRIGUEZ CASTRO</v>
      </c>
      <c r="M2715" s="71">
        <f>IFERROR(IF(VLOOKUP(A2715,[18]PRIORIZADOS!$A:$M,13,FALSE)="","",VLOOKUP(A2715,[18]PRIORIZADOS!$A:$M,13,FALSE)),"")</f>
        <v>45818</v>
      </c>
      <c r="N2715" s="71">
        <f>IFERROR(IF(VLOOKUP(A2715,[18]PRIORIZADOS!$A:$N,14,FALSE)="","",VLOOKUP(A2715,[18]PRIORIZADOS!$A:$N,14,FALSE)),"")</f>
        <v>45818</v>
      </c>
      <c r="O2715" s="71">
        <f>IFERROR(IF(VLOOKUP(A2715,[18]PRIORIZADOS!$A:$O,15,FALSE)="","",VLOOKUP(A2715,[18]PRIORIZADOS!$A:$O,15,FALSE)),"")</f>
        <v>45818</v>
      </c>
      <c r="P2715" s="11" t="str">
        <f>IFERROR(IF(VLOOKUP(A2715,[18]PRIORIZADOS!$A:$P,16,FALSE)="","",VLOOKUP(A2715,[18]PRIORIZADOS!$A:$P,16,FALSE)),"")</f>
        <v>Visitas de evaluación con fines de mejoramiento</v>
      </c>
      <c r="Q2715" s="22" t="s">
        <v>522</v>
      </c>
      <c r="R2715" s="11" t="str">
        <f>IFERROR(IF(VLOOKUP(A2715,[18]PRIORIZADOS!$A:$R,18,FALSE)="","",VLOOKUP(A2715,[18]PRIORIZADOS!$A:$R,18,FALSE)),"")</f>
        <v>Se evidencia pago de seguiridad social a docentes y administrativos con contratos a termino fijo a 9 meses y 15 días; sin embargo, hay tres docentes contratados por hora catedra, incluyendo a la orientadora escolar.</v>
      </c>
      <c r="S2715" s="11" t="str">
        <f>IFERROR(IF(VLOOKUP(A2715,[18]PRIORIZADOS!$A:$S,19,FALSE)="","",VLOOKUP(A2715,[18]PRIORIZADOS!$A:$S,19,FALSE)),"")</f>
        <v>La Institución expresa que mantendrá  las condiciones laborales y, mediante un plan especifico mejorarlas. Fecha entrega del plan: 14 de julio</v>
      </c>
      <c r="T2715" s="70" t="str">
        <f>IFERROR(IF(VLOOKUP(A2715,[18]PRIORIZADOS!$A:$T,20,FALSE)="","",VLOOKUP(A2715,[18]PRIORIZADOS!$A:$T,20,FALSE)),"")</f>
        <v>Si</v>
      </c>
      <c r="U2715" s="11" t="str">
        <f>IFERROR(IF(VLOOKUP(A2715,[18]PRIORIZADOS!$A:$U,21,FALSE)="","",VLOOKUP(A2715,[18]PRIORIZADOS!$A:$U,21,FALSE)),"")</f>
        <v>Se verificará la autoevaluación 2025 en EVI, revisando la vinculación laboral de los docentes.</v>
      </c>
    </row>
    <row r="2716" spans="1:21" s="1" customFormat="1" ht="60">
      <c r="A2716" s="69">
        <f>IF([18]PRIORIZADOS!A59="","",[18]PRIORIZADOS!A59)</f>
        <v>2705</v>
      </c>
      <c r="B2716" s="70">
        <f>IFERROR(IF(VLOOKUP(A2716,[18]PRIORIZADOS!$A:$B,2,FALSE)="","",VLOOKUP(A2716,[18]PRIORIZADOS!$A:$B,2,FALSE)),"")</f>
        <v>7</v>
      </c>
      <c r="C2716" s="11" t="str">
        <f>IFERROR(IF(VLOOKUP(A2716,[18]PRIORIZADOS!$A:$C,3,FALSE)="","",VLOOKUP(A2716,[18]PRIORIZADOS!$A:$C,3,FALSE)),"")</f>
        <v>USME</v>
      </c>
      <c r="D2716" s="11" t="str">
        <f>IFERROR(IF(VLOOKUP(A2716,[18]PRIORIZADOS!$A:$D,4,FALSE)="","",VLOOKUP(A2716,[18]PRIORIZADOS!$A:$D,4,FALSE)),"")</f>
        <v>PRIVADO</v>
      </c>
      <c r="E2716" s="11" t="str">
        <f>IFERROR(IF(VLOOKUP(A2716,[18]PRIORIZADOS!$A:$E,5,FALSE)="","",VLOOKUP(A2716,[18]PRIORIZADOS!$A:$E,5,FALSE)),"")</f>
        <v>EPBM</v>
      </c>
      <c r="F2716" s="11" t="str">
        <f>IFERROR(IF(VLOOKUP(A2716,[18]PRIORIZADOS!$A:$F,6,FALSE)="","",VLOOKUP(A2716,[18]PRIORIZADOS!$A:$F,6,FALSE)),"")</f>
        <v>LICEO_MAX_PLANCK</v>
      </c>
      <c r="G2716" s="11" t="str">
        <f>IFERROR(IF(VLOOKUP(A2716,[18]PRIORIZADOS!$A:$G,7,FALSE)="","",VLOOKUP(A2716,[18]PRIORIZADOS!$A:$G,7,FALSE)),"")</f>
        <v>LICEO MAX PLANCK</v>
      </c>
      <c r="H2716" s="11" t="str">
        <f>IFERROR(IF(VLOOKUP(A2716,[18]PRIORIZADOS!$A:$H,8,FALSE)="","",VLOOKUP(A2716,[18]PRIORIZADOS!$A:$H,8,FALSE)),"")</f>
        <v>Autoevaluación Institucional y Pruebas SABER 11</v>
      </c>
      <c r="I2716" s="11" t="str">
        <f>IFERROR(IF(VLOOKUP(A2716,[18]PRIORIZADOS!$A:$I,9,FALSE)="","",VLOOKUP(A2716,[18]PRIORIZADOS!$A:$I,9,FALSE)),"")</f>
        <v>SEGUIMIENTO_Y_SUPERVISIÓN.</v>
      </c>
      <c r="J2716" s="11" t="str">
        <f>IFERROR(IF(VLOOKUP(A2716,[18]PRIORIZADOS!$A:$J,10,FALSE)="","",VLOOKUP(A2716,[18]PRIORIZADOS!$A:$J,10,FALSE)),"")</f>
        <v>Proponer estrategias en la formulación, verificar su elaboración y realizar seguimiento semestral al desarrollo de  las acciones establecidas en los planes de mejoramiento por pruebas SABER 11 de los establecimientos de educación formal.</v>
      </c>
      <c r="K2716" s="11" t="str">
        <f>IFERROR(IF(VLOOKUP(A2716,[18]PRIORIZADOS!$A:$K,11,FALSE)="","",VLOOKUP(A2716,[18]PRIORIZADOS!$A:$K,11,FALSE)),"")</f>
        <v>MIGUEL ANTONIO CARO CARO</v>
      </c>
      <c r="L2716" s="11" t="str">
        <f>IFERROR(IF(VLOOKUP(A2716,[18]PRIORIZADOS!$A:$L,12,FALSE)="","",VLOOKUP(A2716,[18]PRIORIZADOS!$A:$L,12,FALSE)),"")</f>
        <v>FRANCY LORENA RODRIGUEZ CASTRO</v>
      </c>
      <c r="M2716" s="71">
        <f>IFERROR(IF(VLOOKUP(A2716,[18]PRIORIZADOS!$A:$M,13,FALSE)="","",VLOOKUP(A2716,[18]PRIORIZADOS!$A:$M,13,FALSE)),"")</f>
        <v>45818</v>
      </c>
      <c r="N2716" s="71">
        <f>IFERROR(IF(VLOOKUP(A2716,[18]PRIORIZADOS!$A:$N,14,FALSE)="","",VLOOKUP(A2716,[18]PRIORIZADOS!$A:$N,14,FALSE)),"")</f>
        <v>45818</v>
      </c>
      <c r="O2716" s="71">
        <f>IFERROR(IF(VLOOKUP(A2716,[18]PRIORIZADOS!$A:$O,15,FALSE)="","",VLOOKUP(A2716,[18]PRIORIZADOS!$A:$O,15,FALSE)),"")</f>
        <v>45818</v>
      </c>
      <c r="P2716" s="11" t="str">
        <f>IFERROR(IF(VLOOKUP(A2716,[18]PRIORIZADOS!$A:$P,16,FALSE)="","",VLOOKUP(A2716,[18]PRIORIZADOS!$A:$P,16,FALSE)),"")</f>
        <v>Visitas de evaluación con fines de mejoramiento</v>
      </c>
      <c r="Q2716" s="22" t="s">
        <v>522</v>
      </c>
      <c r="R2716" s="11" t="str">
        <f>IFERROR(IF(VLOOKUP(A2716,[18]PRIORIZADOS!$A:$R,18,FALSE)="","",VLOOKUP(A2716,[18]PRIORIZADOS!$A:$R,18,FALSE)),"")</f>
        <v>Se evidencia el análisis de resultados PRUEBA SABER, cuenta con plan de mejoramiento adoptado por Consejo Directivo, el cual incluye estrategias como simulacros y desarrollo de área pre-saber.</v>
      </c>
      <c r="S2716" s="11" t="str">
        <f>IFERROR(IF(VLOOKUP(A2716,[18]PRIORIZADOS!$A:$S,19,FALSE)="","",VLOOKUP(A2716,[18]PRIORIZADOS!$A:$S,19,FALSE)),"")</f>
        <v>Desarrollo del plan de mejoramiento con las estrategias aprobadas: simulacros y pre-saber.</v>
      </c>
      <c r="T2716" s="70" t="str">
        <f>IFERROR(IF(VLOOKUP(A2716,[18]PRIORIZADOS!$A:$T,20,FALSE)="","",VLOOKUP(A2716,[18]PRIORIZADOS!$A:$T,20,FALSE)),"")</f>
        <v>Si</v>
      </c>
      <c r="U2716" s="11" t="str">
        <f>IFERROR(IF(VLOOKUP(A2716,[18]PRIORIZADOS!$A:$U,21,FALSE)="","",VLOOKUP(A2716,[18]PRIORIZADOS!$A:$U,21,FALSE)),"")</f>
        <v xml:space="preserve">se realizará seguimiento al plan </v>
      </c>
    </row>
    <row r="2717" spans="1:21" s="1" customFormat="1" ht="72">
      <c r="A2717" s="69">
        <f>IF([18]PRIORIZADOS!A60="","",[18]PRIORIZADOS!A60)</f>
        <v>2706</v>
      </c>
      <c r="B2717" s="70">
        <f>IFERROR(IF(VLOOKUP(A2717,[18]PRIORIZADOS!$A:$B,2,FALSE)="","",VLOOKUP(A2717,[18]PRIORIZADOS!$A:$B,2,FALSE)),"")</f>
        <v>7</v>
      </c>
      <c r="C2717" s="11" t="str">
        <f>IFERROR(IF(VLOOKUP(A2717,[18]PRIORIZADOS!$A:$C,3,FALSE)="","",VLOOKUP(A2717,[18]PRIORIZADOS!$A:$C,3,FALSE)),"")</f>
        <v>USME</v>
      </c>
      <c r="D2717" s="11" t="str">
        <f>IFERROR(IF(VLOOKUP(A2717,[18]PRIORIZADOS!$A:$D,4,FALSE)="","",VLOOKUP(A2717,[18]PRIORIZADOS!$A:$D,4,FALSE)),"")</f>
        <v>PRIVADO</v>
      </c>
      <c r="E2717" s="11" t="str">
        <f>IFERROR(IF(VLOOKUP(A2717,[18]PRIORIZADOS!$A:$E,5,FALSE)="","",VLOOKUP(A2717,[18]PRIORIZADOS!$A:$E,5,FALSE)),"")</f>
        <v>EPBM</v>
      </c>
      <c r="F2717" s="11" t="str">
        <f>IFERROR(IF(VLOOKUP(A2717,[18]PRIORIZADOS!$A:$F,6,FALSE)="","",VLOOKUP(A2717,[18]PRIORIZADOS!$A:$F,6,FALSE)),"")</f>
        <v>LICEO_MAX_PLANCK</v>
      </c>
      <c r="G2717" s="11" t="str">
        <f>IFERROR(IF(VLOOKUP(A2717,[18]PRIORIZADOS!$A:$G,7,FALSE)="","",VLOOKUP(A2717,[18]PRIORIZADOS!$A:$G,7,FALSE)),"")</f>
        <v>LICEO MAX PLANCK</v>
      </c>
      <c r="H2717" s="11" t="str">
        <f>IFERROR(IF(VLOOKUP(A2717,[18]PRIORIZADOS!$A:$H,8,FALSE)="","",VLOOKUP(A2717,[18]PRIORIZADOS!$A:$H,8,FALSE)),"")</f>
        <v>Autoevaluación Institucional y Pruebas SABER 11</v>
      </c>
      <c r="I2717" s="11" t="str">
        <f>IFERROR(IF(VLOOKUP(A2717,[18]PRIORIZADOS!$A:$I,9,FALSE)="","",VLOOKUP(A2717,[18]PRIORIZADOS!$A:$I,9,FALSE)),"")</f>
        <v>SEGUIMIENTO_Y_SUPERVISIÓN.</v>
      </c>
      <c r="J2717" s="11" t="str">
        <f>IFERROR(IF(VLOOKUP(A2717,[18]PRIORIZADOS!$A:$J,10,FALSE)="","",VLOOKUP(A2717,[18]PRIORIZADOS!$A:$J,10,FALSE)),"")</f>
        <v xml:space="preserve">Verificar la implementación por parte de los colegios, de acciones realizadas para la prevención y atención de las situaciones de convivencia en el entorno escolar, según lo establecido en la Directiva 01 de 2022 del MEN. </v>
      </c>
      <c r="K2717" s="11" t="str">
        <f>IFERROR(IF(VLOOKUP(A2717,[18]PRIORIZADOS!$A:$K,11,FALSE)="","",VLOOKUP(A2717,[18]PRIORIZADOS!$A:$K,11,FALSE)),"")</f>
        <v>MIGUEL ANTONIO CARO CARO</v>
      </c>
      <c r="L2717" s="11" t="str">
        <f>IFERROR(IF(VLOOKUP(A2717,[18]PRIORIZADOS!$A:$L,12,FALSE)="","",VLOOKUP(A2717,[18]PRIORIZADOS!$A:$L,12,FALSE)),"")</f>
        <v>FRANCY LORENA RODRIGUEZ CASTRO</v>
      </c>
      <c r="M2717" s="71">
        <f>IFERROR(IF(VLOOKUP(A2717,[18]PRIORIZADOS!$A:$M,13,FALSE)="","",VLOOKUP(A2717,[18]PRIORIZADOS!$A:$M,13,FALSE)),"")</f>
        <v>45818</v>
      </c>
      <c r="N2717" s="71">
        <f>IFERROR(IF(VLOOKUP(A2717,[18]PRIORIZADOS!$A:$N,14,FALSE)="","",VLOOKUP(A2717,[18]PRIORIZADOS!$A:$N,14,FALSE)),"")</f>
        <v>45818</v>
      </c>
      <c r="O2717" s="71">
        <f>IFERROR(IF(VLOOKUP(A2717,[18]PRIORIZADOS!$A:$O,15,FALSE)="","",VLOOKUP(A2717,[18]PRIORIZADOS!$A:$O,15,FALSE)),"")</f>
        <v>45818</v>
      </c>
      <c r="P2717" s="11" t="str">
        <f>IFERROR(IF(VLOOKUP(A2717,[18]PRIORIZADOS!$A:$P,16,FALSE)="","",VLOOKUP(A2717,[18]PRIORIZADOS!$A:$P,16,FALSE)),"")</f>
        <v>Visitas de evaluación con fines de mejoramiento</v>
      </c>
      <c r="Q2717" s="22" t="s">
        <v>522</v>
      </c>
      <c r="R2717" s="11" t="str">
        <f>IFERROR(IF(VLOOKUP(A2717,[18]PRIORIZADOS!$A:$R,18,FALSE)="","",VLOOKUP(A2717,[18]PRIORIZADOS!$A:$R,18,FALSE)),"")</f>
        <v>Se evidencia el cumplimiento de la Directiva 01, sobre la consulta de inhabilidades por delitos sexuales al inicio de año escolar y reciente. Se reportan las situaciones convivenciales tipo II y III en el sistema de alertas del distrito.</v>
      </c>
      <c r="S2717" s="11" t="str">
        <f>IFERROR(IF(VLOOKUP(A2717,[18]PRIORIZADOS!$A:$S,19,FALSE)="","",VLOOKUP(A2717,[18]PRIORIZADOS!$A:$S,19,FALSE)),"")</f>
        <v>Continuar la revisón periodica del cumplimiento de la Directiva 01 de 2022, y el reporte oportuno de las situaciones convivenciales en el sistema del distrito.</v>
      </c>
      <c r="T2717" s="70" t="str">
        <f>IFERROR(IF(VLOOKUP(A2717,[18]PRIORIZADOS!$A:$T,20,FALSE)="","",VLOOKUP(A2717,[18]PRIORIZADOS!$A:$T,20,FALSE)),"")</f>
        <v>No</v>
      </c>
      <c r="U2717" s="11" t="str">
        <f>IFERROR(IF(VLOOKUP(A2717,[18]PRIORIZADOS!$A:$U,21,FALSE)="","",VLOOKUP(A2717,[18]PRIORIZADOS!$A:$U,21,FALSE)),"")</f>
        <v>Se verificara nuevamente el cumplimiento la Directiva 01, en caso de presentarse novedad.</v>
      </c>
    </row>
    <row r="2718" spans="1:21" s="1" customFormat="1" ht="72">
      <c r="A2718" s="69">
        <f>IF([18]PRIORIZADOS!A61="","",[18]PRIORIZADOS!A61)</f>
        <v>2707</v>
      </c>
      <c r="B2718" s="70">
        <f>IFERROR(IF(VLOOKUP(A2718,[18]PRIORIZADOS!$A:$B,2,FALSE)="","",VLOOKUP(A2718,[18]PRIORIZADOS!$A:$B,2,FALSE)),"")</f>
        <v>7</v>
      </c>
      <c r="C2718" s="11" t="str">
        <f>IFERROR(IF(VLOOKUP(A2718,[18]PRIORIZADOS!$A:$C,3,FALSE)="","",VLOOKUP(A2718,[18]PRIORIZADOS!$A:$C,3,FALSE)),"")</f>
        <v>USME</v>
      </c>
      <c r="D2718" s="11" t="str">
        <f>IFERROR(IF(VLOOKUP(A2718,[18]PRIORIZADOS!$A:$D,4,FALSE)="","",VLOOKUP(A2718,[18]PRIORIZADOS!$A:$D,4,FALSE)),"")</f>
        <v>PRIVADO</v>
      </c>
      <c r="E2718" s="11" t="str">
        <f>IFERROR(IF(VLOOKUP(A2718,[18]PRIORIZADOS!$A:$E,5,FALSE)="","",VLOOKUP(A2718,[18]PRIORIZADOS!$A:$E,5,FALSE)),"")</f>
        <v>EPBM</v>
      </c>
      <c r="F2718" s="11" t="str">
        <f>IFERROR(IF(VLOOKUP(A2718,[18]PRIORIZADOS!$A:$F,6,FALSE)="","",VLOOKUP(A2718,[18]PRIORIZADOS!$A:$F,6,FALSE)),"")</f>
        <v>LICEO_MAX_PLANCK</v>
      </c>
      <c r="G2718" s="11" t="str">
        <f>IFERROR(IF(VLOOKUP(A2718,[18]PRIORIZADOS!$A:$G,7,FALSE)="","",VLOOKUP(A2718,[18]PRIORIZADOS!$A:$G,7,FALSE)),"")</f>
        <v>LICEO MAX PLANCK</v>
      </c>
      <c r="H2718" s="11" t="str">
        <f>IFERROR(IF(VLOOKUP(A2718,[18]PRIORIZADOS!$A:$H,8,FALSE)="","",VLOOKUP(A2718,[18]PRIORIZADOS!$A:$H,8,FALSE)),"")</f>
        <v>Autoevaluación Institucional y Pruebas SABER 11</v>
      </c>
      <c r="I2718" s="11" t="str">
        <f>IFERROR(IF(VLOOKUP(A2718,[18]PRIORIZADOS!$A:$I,9,FALSE)="","",VLOOKUP(A2718,[18]PRIORIZADOS!$A:$I,9,FALSE)),"")</f>
        <v>SEGUIMIENTO_Y_SUPERVISIÓN.</v>
      </c>
      <c r="J2718" s="11" t="str">
        <f>IFERROR(IF(VLOOKUP(A2718,[18]PRIORIZADOS!$A:$J,10,FALSE)="","",VLOOKUP(A2718,[18]PRIORIZADOS!$A:$J,10,FALSE)),"")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18" s="11" t="str">
        <f>IFERROR(IF(VLOOKUP(A2718,[18]PRIORIZADOS!$A:$K,11,FALSE)="","",VLOOKUP(A2718,[18]PRIORIZADOS!$A:$K,11,FALSE)),"")</f>
        <v>MIGUEL ANTONIO CARO CARO</v>
      </c>
      <c r="L2718" s="11" t="str">
        <f>IFERROR(IF(VLOOKUP(A2718,[18]PRIORIZADOS!$A:$L,12,FALSE)="","",VLOOKUP(A2718,[18]PRIORIZADOS!$A:$L,12,FALSE)),"")</f>
        <v>FRANCY LORENA RODRIGUEZ CASTRO</v>
      </c>
      <c r="M2718" s="71">
        <f>IFERROR(IF(VLOOKUP(A2718,[18]PRIORIZADOS!$A:$M,13,FALSE)="","",VLOOKUP(A2718,[18]PRIORIZADOS!$A:$M,13,FALSE)),"")</f>
        <v>45818</v>
      </c>
      <c r="N2718" s="71">
        <f>IFERROR(IF(VLOOKUP(A2718,[18]PRIORIZADOS!$A:$N,14,FALSE)="","",VLOOKUP(A2718,[18]PRIORIZADOS!$A:$N,14,FALSE)),"")</f>
        <v>45818</v>
      </c>
      <c r="O2718" s="71">
        <f>IFERROR(IF(VLOOKUP(A2718,[18]PRIORIZADOS!$A:$O,15,FALSE)="","",VLOOKUP(A2718,[18]PRIORIZADOS!$A:$O,15,FALSE)),"")</f>
        <v>45818</v>
      </c>
      <c r="P2718" s="11" t="str">
        <f>IFERROR(IF(VLOOKUP(A2718,[18]PRIORIZADOS!$A:$P,16,FALSE)="","",VLOOKUP(A2718,[18]PRIORIZADOS!$A:$P,16,FALSE)),"")</f>
        <v>Visitas de evaluación con fines de mejoramiento</v>
      </c>
      <c r="Q2718" s="22" t="s">
        <v>522</v>
      </c>
      <c r="R2718" s="11" t="str">
        <f>IFERROR(IF(VLOOKUP(A2718,[18]PRIORIZADOS!$A:$R,18,FALSE)="","",VLOOKUP(A2718,[18]PRIORIZADOS!$A:$R,18,FALSE)),"")</f>
        <v>Se encuentra evidencia de elaboración de PIAR para el estudiante con discapacidad, en carpeta de orientación con anexos y compromisos.</v>
      </c>
      <c r="S2718" s="11" t="str">
        <f>IFERROR(IF(VLOOKUP(A2718,[18]PRIORIZADOS!$A:$S,19,FALSE)="","",VLOOKUP(A2718,[18]PRIORIZADOS!$A:$S,19,FALSE)),"")</f>
        <v>La institución mantendrá la revisón periodica del PIAR</v>
      </c>
      <c r="T2718" s="70" t="str">
        <f>IFERROR(IF(VLOOKUP(A2718,[18]PRIORIZADOS!$A:$T,20,FALSE)="","",VLOOKUP(A2718,[18]PRIORIZADOS!$A:$T,20,FALSE)),"")</f>
        <v>No</v>
      </c>
      <c r="U2718" s="11" t="str">
        <f>IFERROR(IF(VLOOKUP(A2718,[18]PRIORIZADOS!$A:$U,21,FALSE)="","",VLOOKUP(A2718,[18]PRIORIZADOS!$A:$U,21,FALSE)),"")</f>
        <v>En la revision de la autoevaluación 2025 en el EVI, se verificará este tema.</v>
      </c>
    </row>
    <row r="2719" spans="1:21" s="1" customFormat="1" ht="84">
      <c r="A2719" s="69">
        <f>IF([18]PRIORIZADOS!A62="","",[18]PRIORIZADOS!A62)</f>
        <v>2708</v>
      </c>
      <c r="B2719" s="70">
        <f>IFERROR(IF(VLOOKUP(A2719,[18]PRIORIZADOS!$A:$B,2,FALSE)="","",VLOOKUP(A2719,[18]PRIORIZADOS!$A:$B,2,FALSE)),"")</f>
        <v>7</v>
      </c>
      <c r="C2719" s="11" t="str">
        <f>IFERROR(IF(VLOOKUP(A2719,[18]PRIORIZADOS!$A:$C,3,FALSE)="","",VLOOKUP(A2719,[18]PRIORIZADOS!$A:$C,3,FALSE)),"")</f>
        <v>USME</v>
      </c>
      <c r="D2719" s="11" t="str">
        <f>IFERROR(IF(VLOOKUP(A2719,[18]PRIORIZADOS!$A:$D,4,FALSE)="","",VLOOKUP(A2719,[18]PRIORIZADOS!$A:$D,4,FALSE)),"")</f>
        <v>PRIVADO</v>
      </c>
      <c r="E2719" s="11" t="str">
        <f>IFERROR(IF(VLOOKUP(A2719,[18]PRIORIZADOS!$A:$E,5,FALSE)="","",VLOOKUP(A2719,[18]PRIORIZADOS!$A:$E,5,FALSE)),"")</f>
        <v>EPBM</v>
      </c>
      <c r="F2719" s="11" t="str">
        <f>IFERROR(IF(VLOOKUP(A2719,[18]PRIORIZADOS!$A:$F,6,FALSE)="","",VLOOKUP(A2719,[18]PRIORIZADOS!$A:$F,6,FALSE)),"")</f>
        <v>LICEO_MAX_PLANCK</v>
      </c>
      <c r="G2719" s="11" t="str">
        <f>IFERROR(IF(VLOOKUP(A2719,[18]PRIORIZADOS!$A:$G,7,FALSE)="","",VLOOKUP(A2719,[18]PRIORIZADOS!$A:$G,7,FALSE)),"")</f>
        <v>LICEO MAX PLANCK</v>
      </c>
      <c r="H2719" s="11" t="str">
        <f>IFERROR(IF(VLOOKUP(A2719,[18]PRIORIZADOS!$A:$H,8,FALSE)="","",VLOOKUP(A2719,[18]PRIORIZADOS!$A:$H,8,FALSE)),"")</f>
        <v>Autoevaluación Institucional y Pruebas SABER 11</v>
      </c>
      <c r="I2719" s="11" t="str">
        <f>IFERROR(IF(VLOOKUP(A2719,[18]PRIORIZADOS!$A:$I,9,FALSE)="","",VLOOKUP(A2719,[18]PRIORIZADOS!$A:$I,9,FALSE)),"")</f>
        <v>EVALUACIÓN_CON_FINES_DE_MEJORAMIENTO.</v>
      </c>
      <c r="J2719" s="11" t="str">
        <f>IFERROR(IF(VLOOKUP(A2719,[18]PRIORIZADOS!$A:$J,10,FALSE)="","",VLOOKUP(A2719,[18]PRIORIZADOS!$A:$J,10,FALSE)),"")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19" s="11" t="str">
        <f>IFERROR(IF(VLOOKUP(A2719,[18]PRIORIZADOS!$A:$K,11,FALSE)="","",VLOOKUP(A2719,[18]PRIORIZADOS!$A:$K,11,FALSE)),"")</f>
        <v>MIGUEL ANTONIO CARO CARO</v>
      </c>
      <c r="L2719" s="11" t="str">
        <f>IFERROR(IF(VLOOKUP(A2719,[18]PRIORIZADOS!$A:$L,12,FALSE)="","",VLOOKUP(A2719,[18]PRIORIZADOS!$A:$L,12,FALSE)),"")</f>
        <v>FRANCY LORENA RODRIGUEZ CASTRO</v>
      </c>
      <c r="M2719" s="71">
        <f>IFERROR(IF(VLOOKUP(A2719,[18]PRIORIZADOS!$A:$M,13,FALSE)="","",VLOOKUP(A2719,[18]PRIORIZADOS!$A:$M,13,FALSE)),"")</f>
        <v>45818</v>
      </c>
      <c r="N2719" s="71">
        <f>IFERROR(IF(VLOOKUP(A2719,[18]PRIORIZADOS!$A:$N,14,FALSE)="","",VLOOKUP(A2719,[18]PRIORIZADOS!$A:$N,14,FALSE)),"")</f>
        <v>45818</v>
      </c>
      <c r="O2719" s="71">
        <f>IFERROR(IF(VLOOKUP(A2719,[18]PRIORIZADOS!$A:$O,15,FALSE)="","",VLOOKUP(A2719,[18]PRIORIZADOS!$A:$O,15,FALSE)),"")</f>
        <v>45818</v>
      </c>
      <c r="P2719" s="11" t="str">
        <f>IFERROR(IF(VLOOKUP(A2719,[18]PRIORIZADOS!$A:$P,16,FALSE)="","",VLOOKUP(A2719,[18]PRIORIZADOS!$A:$P,16,FALSE)),"")</f>
        <v>Visitas de evaluación con fines de mejoramiento</v>
      </c>
      <c r="Q2719" s="22" t="s">
        <v>522</v>
      </c>
      <c r="R2719" s="11" t="str">
        <f>IFERROR(IF(VLOOKUP(A2719,[18]PRIORIZADOS!$A:$R,18,FALSE)="","",VLOOKUP(A2719,[18]PRIORIZADOS!$A:$R,18,FALSE)),"")</f>
        <v>Se encuentra evidencia de actualizacion, participación y socializacion y adopción del manual, que tiene documentado los protocolos y rutas de atención para las diferentes situaciones convivenciales, sin embargo requiere actualización de los enfoques diferenciales.</v>
      </c>
      <c r="S2719" s="11" t="str">
        <f>IFERROR(IF(VLOOKUP(A2719,[18]PRIORIZADOS!$A:$S,19,FALSE)="","",VLOOKUP(A2719,[18]PRIORIZADOS!$A:$S,19,FALSE)),"")</f>
        <v>La Institución ralizará la actualización del manual  e incluirá los enfoques de política pública educativa.</v>
      </c>
      <c r="T2719" s="70" t="str">
        <f>IFERROR(IF(VLOOKUP(A2719,[18]PRIORIZADOS!$A:$T,20,FALSE)="","",VLOOKUP(A2719,[18]PRIORIZADOS!$A:$T,20,FALSE)),"")</f>
        <v>Si</v>
      </c>
      <c r="U2719" s="11" t="str">
        <f>IFERROR(IF(VLOOKUP(A2719,[18]PRIORIZADOS!$A:$U,21,FALSE)="","",VLOOKUP(A2719,[18]PRIORIZADOS!$A:$U,21,FALSE)),"")</f>
        <v>Se verificara el cumplimiento del plan de mejoramiento con la inclusión completa de los enfoques y modificación   horizonte institucional en Noviembre 2025</v>
      </c>
    </row>
    <row r="2720" spans="1:21" s="1" customFormat="1" ht="48">
      <c r="A2720" s="69">
        <f>IF([18]PRIORIZADOS!A63="","",[18]PRIORIZADOS!A63)</f>
        <v>2709</v>
      </c>
      <c r="B2720" s="70">
        <f>IFERROR(IF(VLOOKUP(A2720,[18]PRIORIZADOS!$A:$B,2,FALSE)="","",VLOOKUP(A2720,[18]PRIORIZADOS!$A:$B,2,FALSE)),"")</f>
        <v>7</v>
      </c>
      <c r="C2720" s="11" t="str">
        <f>IFERROR(IF(VLOOKUP(A2720,[18]PRIORIZADOS!$A:$C,3,FALSE)="","",VLOOKUP(A2720,[18]PRIORIZADOS!$A:$C,3,FALSE)),"")</f>
        <v>USME</v>
      </c>
      <c r="D2720" s="11" t="str">
        <f>IFERROR(IF(VLOOKUP(A2720,[18]PRIORIZADOS!$A:$D,4,FALSE)="","",VLOOKUP(A2720,[18]PRIORIZADOS!$A:$D,4,FALSE)),"")</f>
        <v>PRIVADO</v>
      </c>
      <c r="E2720" s="11" t="str">
        <f>IFERROR(IF(VLOOKUP(A2720,[18]PRIORIZADOS!$A:$E,5,FALSE)="","",VLOOKUP(A2720,[18]PRIORIZADOS!$A:$E,5,FALSE)),"")</f>
        <v>EPBM</v>
      </c>
      <c r="F2720" s="11" t="str">
        <f>IFERROR(IF(VLOOKUP(A2720,[18]PRIORIZADOS!$A:$F,6,FALSE)="","",VLOOKUP(A2720,[18]PRIORIZADOS!$A:$F,6,FALSE)),"")</f>
        <v>LICEO_MAX_PLANCK</v>
      </c>
      <c r="G2720" s="11" t="str">
        <f>IFERROR(IF(VLOOKUP(A2720,[18]PRIORIZADOS!$A:$G,7,FALSE)="","",VLOOKUP(A2720,[18]PRIORIZADOS!$A:$G,7,FALSE)),"")</f>
        <v>LICEO MAX PLANCK</v>
      </c>
      <c r="H2720" s="11" t="str">
        <f>IFERROR(IF(VLOOKUP(A2720,[18]PRIORIZADOS!$A:$H,8,FALSE)="","",VLOOKUP(A2720,[18]PRIORIZADOS!$A:$H,8,FALSE)),"")</f>
        <v>Autoevaluación Institucional y Pruebas SABER 11</v>
      </c>
      <c r="I2720" s="11" t="str">
        <f>IFERROR(IF(VLOOKUP(A2720,[18]PRIORIZADOS!$A:$I,9,FALSE)="","",VLOOKUP(A2720,[18]PRIORIZADOS!$A:$I,9,FALSE)),"")</f>
        <v>EVALUACIÓN_CON_FINES_DE_MEJORAMIENTO.</v>
      </c>
      <c r="J2720" s="11" t="str">
        <f>IFERROR(IF(VLOOKUP(A2720,[18]PRIORIZADOS!$A:$J,10,FALSE)="","",VLOOKUP(A2720,[18]PRIORIZADOS!$A:$J,10,FALSE)),"")</f>
        <v>Revisar la actualización, socialización e implementación del Sistema Institucional de Evaluación de Estudiantes - SIEE, en articulación con la actualización del PEI y la normatividad vigente.</v>
      </c>
      <c r="K2720" s="11" t="str">
        <f>IFERROR(IF(VLOOKUP(A2720,[18]PRIORIZADOS!$A:$K,11,FALSE)="","",VLOOKUP(A2720,[18]PRIORIZADOS!$A:$K,11,FALSE)),"")</f>
        <v>MIGUEL ANTONIO CARO CARO</v>
      </c>
      <c r="L2720" s="11" t="str">
        <f>IFERROR(IF(VLOOKUP(A2720,[18]PRIORIZADOS!$A:$L,12,FALSE)="","",VLOOKUP(A2720,[18]PRIORIZADOS!$A:$L,12,FALSE)),"")</f>
        <v>FRANCY LORENA RODRIGUEZ CASTRO</v>
      </c>
      <c r="M2720" s="71">
        <f>IFERROR(IF(VLOOKUP(A2720,[18]PRIORIZADOS!$A:$M,13,FALSE)="","",VLOOKUP(A2720,[18]PRIORIZADOS!$A:$M,13,FALSE)),"")</f>
        <v>45818</v>
      </c>
      <c r="N2720" s="71">
        <f>IFERROR(IF(VLOOKUP(A2720,[18]PRIORIZADOS!$A:$N,14,FALSE)="","",VLOOKUP(A2720,[18]PRIORIZADOS!$A:$N,14,FALSE)),"")</f>
        <v>45818</v>
      </c>
      <c r="O2720" s="71">
        <f>IFERROR(IF(VLOOKUP(A2720,[18]PRIORIZADOS!$A:$O,15,FALSE)="","",VLOOKUP(A2720,[18]PRIORIZADOS!$A:$O,15,FALSE)),"")</f>
        <v>45818</v>
      </c>
      <c r="P2720" s="11" t="str">
        <f>IFERROR(IF(VLOOKUP(A2720,[18]PRIORIZADOS!$A:$P,16,FALSE)="","",VLOOKUP(A2720,[18]PRIORIZADOS!$A:$P,16,FALSE)),"")</f>
        <v>Visitas de evaluación con fines de mejoramiento</v>
      </c>
      <c r="Q2720" s="22" t="s">
        <v>522</v>
      </c>
      <c r="R2720" s="11" t="str">
        <f>IFERROR(IF(VLOOKUP(A2720,[18]PRIORIZADOS!$A:$R,18,FALSE)="","",VLOOKUP(A2720,[18]PRIORIZADOS!$A:$R,18,FALSE)),"")</f>
        <v>Se encuentra evidencia de SIEE, proyecto de evaluacion y promoción conforme a la norma vigente, seguimiento diario-semanal-mensual del desempeño</v>
      </c>
      <c r="S2720" s="11" t="str">
        <f>IFERROR(IF(VLOOKUP(A2720,[18]PRIORIZADOS!$A:$S,19,FALSE)="","",VLOOKUP(A2720,[18]PRIORIZADOS!$A:$S,19,FALSE)),"")</f>
        <v>La Institución continuará con la estrategia de seguimiento y nivelación según periodicidad establecida en el SIEE.</v>
      </c>
      <c r="T2720" s="70" t="str">
        <f>IFERROR(IF(VLOOKUP(A2720,[18]PRIORIZADOS!$A:$T,20,FALSE)="","",VLOOKUP(A2720,[18]PRIORIZADOS!$A:$T,20,FALSE)),"")</f>
        <v>No</v>
      </c>
      <c r="U2720" s="11" t="str">
        <f>IFERROR(IF(VLOOKUP(A2720,[18]PRIORIZADOS!$A:$U,21,FALSE)="","",VLOOKUP(A2720,[18]PRIORIZADOS!$A:$U,21,FALSE)),"")</f>
        <v>Se verificará nuevamente en caso de presentarse novedad.</v>
      </c>
    </row>
    <row r="2721" spans="1:21" s="1" customFormat="1" ht="48">
      <c r="A2721" s="69">
        <f>IF([18]PRIORIZADOS!A64="","",[18]PRIORIZADOS!A64)</f>
        <v>2710</v>
      </c>
      <c r="B2721" s="70">
        <f>IFERROR(IF(VLOOKUP(A2721,[18]PRIORIZADOS!$A:$B,2,FALSE)="","",VLOOKUP(A2721,[18]PRIORIZADOS!$A:$B,2,FALSE)),"")</f>
        <v>7</v>
      </c>
      <c r="C2721" s="11" t="str">
        <f>IFERROR(IF(VLOOKUP(A2721,[18]PRIORIZADOS!$A:$C,3,FALSE)="","",VLOOKUP(A2721,[18]PRIORIZADOS!$A:$C,3,FALSE)),"")</f>
        <v>USME</v>
      </c>
      <c r="D2721" s="11" t="str">
        <f>IFERROR(IF(VLOOKUP(A2721,[18]PRIORIZADOS!$A:$D,4,FALSE)="","",VLOOKUP(A2721,[18]PRIORIZADOS!$A:$D,4,FALSE)),"")</f>
        <v>PRIVADO</v>
      </c>
      <c r="E2721" s="11" t="str">
        <f>IFERROR(IF(VLOOKUP(A2721,[18]PRIORIZADOS!$A:$E,5,FALSE)="","",VLOOKUP(A2721,[18]PRIORIZADOS!$A:$E,5,FALSE)),"")</f>
        <v>EPBM</v>
      </c>
      <c r="F2721" s="11" t="str">
        <f>IFERROR(IF(VLOOKUP(A2721,[18]PRIORIZADOS!$A:$F,6,FALSE)="","",VLOOKUP(A2721,[18]PRIORIZADOS!$A:$F,6,FALSE)),"")</f>
        <v>LICEO_MAX_PLANCK</v>
      </c>
      <c r="G2721" s="11" t="str">
        <f>IFERROR(IF(VLOOKUP(A2721,[18]PRIORIZADOS!$A:$G,7,FALSE)="","",VLOOKUP(A2721,[18]PRIORIZADOS!$A:$G,7,FALSE)),"")</f>
        <v>LICEO MAX PLANCK</v>
      </c>
      <c r="H2721" s="11" t="str">
        <f>IFERROR(IF(VLOOKUP(A2721,[18]PRIORIZADOS!$A:$H,8,FALSE)="","",VLOOKUP(A2721,[18]PRIORIZADOS!$A:$H,8,FALSE)),"")</f>
        <v>Autoevaluación Institucional y Pruebas SABER 11</v>
      </c>
      <c r="I2721" s="11" t="str">
        <f>IFERROR(IF(VLOOKUP(A2721,[18]PRIORIZADOS!$A:$I,9,FALSE)="","",VLOOKUP(A2721,[18]PRIORIZADOS!$A:$I,9,FALSE)),"")</f>
        <v>EVALUACIÓN_CON_FINES_DE_MEJORAMIENTO.</v>
      </c>
      <c r="J2721" s="11" t="str">
        <f>IFERROR(IF(VLOOKUP(A2721,[18]PRIORIZADOS!$A:$J,10,FALSE)="","",VLOOKUP(A2721,[18]PRIORIZADOS!$A:$J,10,FALSE)),"")</f>
        <v>Revisar el calendario escolar, jornada escolar, la intensidad horaria mínima anual en cada nivel y las modificaciones que se realicen al mismo, de acuerdo con lo previsto en la normatividad vigente.</v>
      </c>
      <c r="K2721" s="11" t="str">
        <f>IFERROR(IF(VLOOKUP(A2721,[18]PRIORIZADOS!$A:$K,11,FALSE)="","",VLOOKUP(A2721,[18]PRIORIZADOS!$A:$K,11,FALSE)),"")</f>
        <v>MIGUEL ANTONIO CARO CARO</v>
      </c>
      <c r="L2721" s="11" t="str">
        <f>IFERROR(IF(VLOOKUP(A2721,[18]PRIORIZADOS!$A:$L,12,FALSE)="","",VLOOKUP(A2721,[18]PRIORIZADOS!$A:$L,12,FALSE)),"")</f>
        <v>FRANCY LORENA RODRIGUEZ CASTRO</v>
      </c>
      <c r="M2721" s="71">
        <f>IFERROR(IF(VLOOKUP(A2721,[18]PRIORIZADOS!$A:$M,13,FALSE)="","",VLOOKUP(A2721,[18]PRIORIZADOS!$A:$M,13,FALSE)),"")</f>
        <v>45818</v>
      </c>
      <c r="N2721" s="71">
        <f>IFERROR(IF(VLOOKUP(A2721,[18]PRIORIZADOS!$A:$N,14,FALSE)="","",VLOOKUP(A2721,[18]PRIORIZADOS!$A:$N,14,FALSE)),"")</f>
        <v>45818</v>
      </c>
      <c r="O2721" s="71">
        <f>IFERROR(IF(VLOOKUP(A2721,[18]PRIORIZADOS!$A:$O,15,FALSE)="","",VLOOKUP(A2721,[18]PRIORIZADOS!$A:$O,15,FALSE)),"")</f>
        <v>45818</v>
      </c>
      <c r="P2721" s="11" t="str">
        <f>IFERROR(IF(VLOOKUP(A2721,[18]PRIORIZADOS!$A:$P,16,FALSE)="","",VLOOKUP(A2721,[18]PRIORIZADOS!$A:$P,16,FALSE)),"")</f>
        <v>Visitas de evaluación con fines de mejoramiento</v>
      </c>
      <c r="Q2721" s="22" t="s">
        <v>522</v>
      </c>
      <c r="R2721" s="11" t="str">
        <f>IFERROR(IF(VLOOKUP(A2721,[18]PRIORIZADOS!$A:$R,18,FALSE)="","",VLOOKUP(A2721,[18]PRIORIZADOS!$A:$R,18,FALSE)),"")</f>
        <v xml:space="preserve">Se evidencia por horario de estudiantes, implementación de la jornada unica. </v>
      </c>
      <c r="S2721" s="11" t="str">
        <f>IFERROR(IF(VLOOKUP(A2721,[18]PRIORIZADOS!$A:$S,19,FALSE)="","",VLOOKUP(A2721,[18]PRIORIZADOS!$A:$S,19,FALSE)),"")</f>
        <v>La institución mantendra el ajuste de horario anualmente segun necesidades y plan especifico pruebas saber</v>
      </c>
      <c r="T2721" s="70" t="str">
        <f>IFERROR(IF(VLOOKUP(A2721,[18]PRIORIZADOS!$A:$T,20,FALSE)="","",VLOOKUP(A2721,[18]PRIORIZADOS!$A:$T,20,FALSE)),"")</f>
        <v>No</v>
      </c>
      <c r="U2721" s="11" t="str">
        <f>IFERROR(IF(VLOOKUP(A2721,[18]PRIORIZADOS!$A:$U,21,FALSE)="","",VLOOKUP(A2721,[18]PRIORIZADOS!$A:$U,21,FALSE)),"")</f>
        <v>Se verificará nuevamente en caso de presentarse novedad.</v>
      </c>
    </row>
    <row r="2722" spans="1:21" s="1" customFormat="1" ht="48">
      <c r="A2722" s="69">
        <f>IF([18]PRIORIZADOS!A65="","",[18]PRIORIZADOS!A65)</f>
        <v>2711</v>
      </c>
      <c r="B2722" s="70">
        <f>IFERROR(IF(VLOOKUP(A2722,[18]PRIORIZADOS!$A:$B,2,FALSE)="","",VLOOKUP(A2722,[18]PRIORIZADOS!$A:$B,2,FALSE)),"")</f>
        <v>7</v>
      </c>
      <c r="C2722" s="11" t="str">
        <f>IFERROR(IF(VLOOKUP(A2722,[18]PRIORIZADOS!$A:$C,3,FALSE)="","",VLOOKUP(A2722,[18]PRIORIZADOS!$A:$C,3,FALSE)),"")</f>
        <v>USME</v>
      </c>
      <c r="D2722" s="11" t="str">
        <f>IFERROR(IF(VLOOKUP(A2722,[18]PRIORIZADOS!$A:$D,4,FALSE)="","",VLOOKUP(A2722,[18]PRIORIZADOS!$A:$D,4,FALSE)),"")</f>
        <v>PRIVADO</v>
      </c>
      <c r="E2722" s="11" t="str">
        <f>IFERROR(IF(VLOOKUP(A2722,[18]PRIORIZADOS!$A:$E,5,FALSE)="","",VLOOKUP(A2722,[18]PRIORIZADOS!$A:$E,5,FALSE)),"")</f>
        <v>EPBM</v>
      </c>
      <c r="F2722" s="11" t="str">
        <f>IFERROR(IF(VLOOKUP(A2722,[18]PRIORIZADOS!$A:$F,6,FALSE)="","",VLOOKUP(A2722,[18]PRIORIZADOS!$A:$F,6,FALSE)),"")</f>
        <v>LICEO_MAX_PLANCK</v>
      </c>
      <c r="G2722" s="11" t="str">
        <f>IFERROR(IF(VLOOKUP(A2722,[18]PRIORIZADOS!$A:$G,7,FALSE)="","",VLOOKUP(A2722,[18]PRIORIZADOS!$A:$G,7,FALSE)),"")</f>
        <v>LICEO MAX PLANCK</v>
      </c>
      <c r="H2722" s="11" t="str">
        <f>IFERROR(IF(VLOOKUP(A2722,[18]PRIORIZADOS!$A:$H,8,FALSE)="","",VLOOKUP(A2722,[18]PRIORIZADOS!$A:$H,8,FALSE)),"")</f>
        <v>Autoevaluación Institucional y Pruebas SABER 11</v>
      </c>
      <c r="I2722" s="11" t="str">
        <f>IFERROR(IF(VLOOKUP(A2722,[18]PRIORIZADOS!$A:$I,9,FALSE)="","",VLOOKUP(A2722,[18]PRIORIZADOS!$A:$I,9,FALSE)),"")</f>
        <v>EVALUACIÓN_CON_FINES_DE_MEJORAMIENTO.</v>
      </c>
      <c r="J2722" s="11" t="str">
        <f>IFERROR(IF(VLOOKUP(A2722,[18]PRIORIZADOS!$A:$J,10,FALSE)="","",VLOOKUP(A2722,[18]PRIORIZADOS!$A:$J,10,FALSE)),"")</f>
        <v>Verificar el funcionamiento del Gobierno Escolar e instancias de participación con base en la información sobre conformación reportada por la institución educativa.</v>
      </c>
      <c r="K2722" s="11" t="str">
        <f>IFERROR(IF(VLOOKUP(A2722,[18]PRIORIZADOS!$A:$K,11,FALSE)="","",VLOOKUP(A2722,[18]PRIORIZADOS!$A:$K,11,FALSE)),"")</f>
        <v>MIGUEL ANTONIO CARO CARO</v>
      </c>
      <c r="L2722" s="11" t="str">
        <f>IFERROR(IF(VLOOKUP(A2722,[18]PRIORIZADOS!$A:$L,12,FALSE)="","",VLOOKUP(A2722,[18]PRIORIZADOS!$A:$L,12,FALSE)),"")</f>
        <v>FRANCY LORENA RODRIGUEZ CASTRO</v>
      </c>
      <c r="M2722" s="71">
        <f>IFERROR(IF(VLOOKUP(A2722,[18]PRIORIZADOS!$A:$M,13,FALSE)="","",VLOOKUP(A2722,[18]PRIORIZADOS!$A:$M,13,FALSE)),"")</f>
        <v>45818</v>
      </c>
      <c r="N2722" s="71">
        <f>IFERROR(IF(VLOOKUP(A2722,[18]PRIORIZADOS!$A:$N,14,FALSE)="","",VLOOKUP(A2722,[18]PRIORIZADOS!$A:$N,14,FALSE)),"")</f>
        <v>45818</v>
      </c>
      <c r="O2722" s="71">
        <f>IFERROR(IF(VLOOKUP(A2722,[18]PRIORIZADOS!$A:$O,15,FALSE)="","",VLOOKUP(A2722,[18]PRIORIZADOS!$A:$O,15,FALSE)),"")</f>
        <v>45818</v>
      </c>
      <c r="P2722" s="11" t="str">
        <f>IFERROR(IF(VLOOKUP(A2722,[18]PRIORIZADOS!$A:$P,16,FALSE)="","",VLOOKUP(A2722,[18]PRIORIZADOS!$A:$P,16,FALSE)),"")</f>
        <v>Visitas de evaluación con fines de mejoramiento</v>
      </c>
      <c r="Q2722" s="22" t="s">
        <v>522</v>
      </c>
      <c r="R2722" s="11" t="str">
        <f>IFERROR(IF(VLOOKUP(A2722,[18]PRIORIZADOS!$A:$R,18,FALSE)="","",VLOOKUP(A2722,[18]PRIORIZADOS!$A:$R,18,FALSE)),"")</f>
        <v>Se encuentra las actas de conformación y  de dos reuniones de Consejo Académico y una de Consejo Directivo.</v>
      </c>
      <c r="S2722" s="11" t="str">
        <f>IFERROR(IF(VLOOKUP(A2722,[18]PRIORIZADOS!$A:$S,19,FALSE)="","",VLOOKUP(A2722,[18]PRIORIZADOS!$A:$S,19,FALSE)),"")</f>
        <v>La Institución continuará con las sesiones de trabajo del gobierno e instancias de participación.</v>
      </c>
      <c r="T2722" s="70" t="str">
        <f>IFERROR(IF(VLOOKUP(A2722,[18]PRIORIZADOS!$A:$T,20,FALSE)="","",VLOOKUP(A2722,[18]PRIORIZADOS!$A:$T,20,FALSE)),"")</f>
        <v>No</v>
      </c>
      <c r="U2722" s="11" t="str">
        <f>IFERROR(IF(VLOOKUP(A2722,[18]PRIORIZADOS!$A:$U,21,FALSE)="","",VLOOKUP(A2722,[18]PRIORIZADOS!$A:$U,21,FALSE)),"")</f>
        <v>Se verificará mediante requerimiento documental el funcionamiento de gobierno y organos de participación.</v>
      </c>
    </row>
    <row r="2723" spans="1:21" s="1" customFormat="1" ht="60">
      <c r="A2723" s="69">
        <f>IF([18]PRIORIZADOS!A66="","",[18]PRIORIZADOS!A66)</f>
        <v>2712</v>
      </c>
      <c r="B2723" s="70">
        <f>IFERROR(IF(VLOOKUP(A2723,[18]PRIORIZADOS!$A:$B,2,FALSE)="","",VLOOKUP(A2723,[18]PRIORIZADOS!$A:$B,2,FALSE)),"")</f>
        <v>7</v>
      </c>
      <c r="C2723" s="11" t="str">
        <f>IFERROR(IF(VLOOKUP(A2723,[18]PRIORIZADOS!$A:$C,3,FALSE)="","",VLOOKUP(A2723,[18]PRIORIZADOS!$A:$C,3,FALSE)),"")</f>
        <v>USME</v>
      </c>
      <c r="D2723" s="11" t="str">
        <f>IFERROR(IF(VLOOKUP(A2723,[18]PRIORIZADOS!$A:$D,4,FALSE)="","",VLOOKUP(A2723,[18]PRIORIZADOS!$A:$D,4,FALSE)),"")</f>
        <v>PRIVADO</v>
      </c>
      <c r="E2723" s="11" t="str">
        <f>IFERROR(IF(VLOOKUP(A2723,[18]PRIORIZADOS!$A:$E,5,FALSE)="","",VLOOKUP(A2723,[18]PRIORIZADOS!$A:$E,5,FALSE)),"")</f>
        <v>EPBM</v>
      </c>
      <c r="F2723" s="11" t="str">
        <f>IFERROR(IF(VLOOKUP(A2723,[18]PRIORIZADOS!$A:$F,6,FALSE)="","",VLOOKUP(A2723,[18]PRIORIZADOS!$A:$F,6,FALSE)),"")</f>
        <v>LICEO_MAX_PLANCK</v>
      </c>
      <c r="G2723" s="11" t="str">
        <f>IFERROR(IF(VLOOKUP(A2723,[18]PRIORIZADOS!$A:$G,7,FALSE)="","",VLOOKUP(A2723,[18]PRIORIZADOS!$A:$G,7,FALSE)),"")</f>
        <v>LICEO MAX PLANCK</v>
      </c>
      <c r="H2723" s="11" t="str">
        <f>IFERROR(IF(VLOOKUP(A2723,[18]PRIORIZADOS!$A:$H,8,FALSE)="","",VLOOKUP(A2723,[18]PRIORIZADOS!$A:$H,8,FALSE)),"")</f>
        <v>Autoevaluación Institucional y Pruebas SABER 11</v>
      </c>
      <c r="I2723" s="11" t="str">
        <f>IFERROR(IF(VLOOKUP(A2723,[18]PRIORIZADOS!$A:$I,9,FALSE)="","",VLOOKUP(A2723,[18]PRIORIZADOS!$A:$I,9,FALSE)),"")</f>
        <v>EVALUACIÓN_CON_FINES_DE_MEJORAMIENTO.</v>
      </c>
      <c r="J2723" s="11" t="str">
        <f>IFERROR(IF(VLOOKUP(A2723,[18]PRIORIZADOS!$A:$J,10,FALSE)="","",VLOOKUP(A2723,[18]PRIORIZADOS!$A:$J,10,FALSE)),"")</f>
        <v>Verificar las condiciones en cuanto a: la estructura administrativa, condiciones de la planta física y medios educativos adecuados.</v>
      </c>
      <c r="K2723" s="11" t="str">
        <f>IFERROR(IF(VLOOKUP(A2723,[18]PRIORIZADOS!$A:$K,11,FALSE)="","",VLOOKUP(A2723,[18]PRIORIZADOS!$A:$K,11,FALSE)),"")</f>
        <v>MIGUEL ANTONIO CARO CARO</v>
      </c>
      <c r="L2723" s="11" t="str">
        <f>IFERROR(IF(VLOOKUP(A2723,[18]PRIORIZADOS!$A:$L,12,FALSE)="","",VLOOKUP(A2723,[18]PRIORIZADOS!$A:$L,12,FALSE)),"")</f>
        <v>FRANCY LORENA RODRIGUEZ CASTRO</v>
      </c>
      <c r="M2723" s="71">
        <f>IFERROR(IF(VLOOKUP(A2723,[18]PRIORIZADOS!$A:$M,13,FALSE)="","",VLOOKUP(A2723,[18]PRIORIZADOS!$A:$M,13,FALSE)),"")</f>
        <v>45818</v>
      </c>
      <c r="N2723" s="71">
        <f>IFERROR(IF(VLOOKUP(A2723,[18]PRIORIZADOS!$A:$N,14,FALSE)="","",VLOOKUP(A2723,[18]PRIORIZADOS!$A:$N,14,FALSE)),"")</f>
        <v>45818</v>
      </c>
      <c r="O2723" s="71">
        <f>IFERROR(IF(VLOOKUP(A2723,[18]PRIORIZADOS!$A:$O,15,FALSE)="","",VLOOKUP(A2723,[18]PRIORIZADOS!$A:$O,15,FALSE)),"")</f>
        <v>45818</v>
      </c>
      <c r="P2723" s="11" t="str">
        <f>IFERROR(IF(VLOOKUP(A2723,[18]PRIORIZADOS!$A:$P,16,FALSE)="","",VLOOKUP(A2723,[18]PRIORIZADOS!$A:$P,16,FALSE)),"")</f>
        <v>Visitas de evaluación con fines de mejoramiento</v>
      </c>
      <c r="Q2723" s="22" t="s">
        <v>522</v>
      </c>
      <c r="R2723" s="11" t="str">
        <f>IFERROR(IF(VLOOKUP(A2723,[18]PRIORIZADOS!$A:$R,18,FALSE)="","",VLOOKUP(A2723,[18]PRIORIZADOS!$A:$R,18,FALSE)),"")</f>
        <v xml:space="preserve">Se evidencia que: las escaleras son estrechas, no hay rutas de evacuación,  y no existen rampas de acceso para personas con discapacidad o con limitaciones en su movilidad. </v>
      </c>
      <c r="S2723" s="11" t="str">
        <f>IFERROR(IF(VLOOKUP(A2723,[18]PRIORIZADOS!$A:$S,19,FALSE)="","",VLOOKUP(A2723,[18]PRIORIZADOS!$A:$S,19,FALSE)),"")</f>
        <v>Incorporar en el plan de mejoramiento acciones relacionadas con accesibilidad, standares de escaleras y espacios abiertos.</v>
      </c>
      <c r="T2723" s="70" t="str">
        <f>IFERROR(IF(VLOOKUP(A2723,[18]PRIORIZADOS!$A:$T,20,FALSE)="","",VLOOKUP(A2723,[18]PRIORIZADOS!$A:$T,20,FALSE)),"")</f>
        <v>Si</v>
      </c>
      <c r="U2723" s="11" t="str">
        <f>IFERROR(IF(VLOOKUP(A2723,[18]PRIORIZADOS!$A:$U,21,FALSE)="","",VLOOKUP(A2723,[18]PRIORIZADOS!$A:$U,21,FALSE)),"")</f>
        <v xml:space="preserve">Se verificará el cumplimiento del Plan de mejoramiento vigencia en el segundo semestre de la presente vigencia. </v>
      </c>
    </row>
    <row r="2724" spans="1:21" s="1" customFormat="1" ht="48">
      <c r="A2724" s="69">
        <f>IF([18]PRIORIZADOS!A67="","",[18]PRIORIZADOS!A67)</f>
        <v>2713</v>
      </c>
      <c r="B2724" s="70">
        <f>IFERROR(IF(VLOOKUP(A2724,[18]PRIORIZADOS!$A:$B,2,FALSE)="","",VLOOKUP(A2724,[18]PRIORIZADOS!$A:$B,2,FALSE)),"")</f>
        <v>8</v>
      </c>
      <c r="C2724" s="11" t="str">
        <f>IFERROR(IF(VLOOKUP(A2724,[18]PRIORIZADOS!$A:$C,3,FALSE)="","",VLOOKUP(A2724,[18]PRIORIZADOS!$A:$C,3,FALSE)),"")</f>
        <v>USME</v>
      </c>
      <c r="D2724" s="11" t="str">
        <f>IFERROR(IF(VLOOKUP(A2724,[18]PRIORIZADOS!$A:$D,4,FALSE)="","",VLOOKUP(A2724,[18]PRIORIZADOS!$A:$D,4,FALSE)),"")</f>
        <v>PRIVADO</v>
      </c>
      <c r="E2724" s="11" t="str">
        <f>IFERROR(IF(VLOOKUP(A2724,[18]PRIORIZADOS!$A:$E,5,FALSE)="","",VLOOKUP(A2724,[18]PRIORIZADOS!$A:$E,5,FALSE)),"")</f>
        <v>EPBM</v>
      </c>
      <c r="F2724" s="11" t="str">
        <f>IFERROR(IF(VLOOKUP(A2724,[18]PRIORIZADOS!$A:$F,6,FALSE)="","",VLOOKUP(A2724,[18]PRIORIZADOS!$A:$F,6,FALSE)),"")</f>
        <v>INSTITUTO_SUSANA_WESLEY</v>
      </c>
      <c r="G2724" s="11" t="str">
        <f>IFERROR(IF(VLOOKUP(A2724,[18]PRIORIZADOS!$A:$G,7,FALSE)="","",VLOOKUP(A2724,[18]PRIORIZADOS!$A:$G,7,FALSE)),"")</f>
        <v>INSTITUTO SUSANA WESLEY</v>
      </c>
      <c r="H2724" s="11" t="str">
        <f>IFERROR(IF(VLOOKUP(A2724,[18]PRIORIZADOS!$A:$H,8,FALSE)="","",VLOOKUP(A2724,[18]PRIORIZADOS!$A:$H,8,FALSE)),"")</f>
        <v>Autoevaluación Institucional y Pruebas SABER 11</v>
      </c>
      <c r="I2724" s="11" t="str">
        <f>IFERROR(IF(VLOOKUP(A2724,[18]PRIORIZADOS!$A:$I,9,FALSE)="","",VLOOKUP(A2724,[18]PRIORIZADOS!$A:$I,9,FALSE)),"")</f>
        <v>SEGUIMIENTO_Y_SUPERVISIÓN.</v>
      </c>
      <c r="J2724" s="11" t="str">
        <f>IFERROR(IF(VLOOKUP(A2724,[18]PRIORIZADOS!$A:$J,10,FALSE)="","",VLOOKUP(A2724,[18]PRIORIZADOS!$A:$J,10,FALSE)),"")</f>
        <v>Realizar visitas para verificar la información registrada sobre la autoevaluación institucional en el aplicativo EVI, a los establecimientos de educación formal no oficial.</v>
      </c>
      <c r="K2724" s="11" t="str">
        <f>IFERROR(IF(VLOOKUP(A2724,[18]PRIORIZADOS!$A:$K,11,FALSE)="","",VLOOKUP(A2724,[18]PRIORIZADOS!$A:$K,11,FALSE)),"")</f>
        <v>KATHERINE HERNÁNDEZ RUBIANO</v>
      </c>
      <c r="L2724" s="11" t="str">
        <f>IFERROR(IF(VLOOKUP(A2724,[18]PRIORIZADOS!$A:$L,12,FALSE)="","",VLOOKUP(A2724,[18]PRIORIZADOS!$A:$L,12,FALSE)),"")</f>
        <v>FRANCY LORENA RODRIGUEZ CASTRO</v>
      </c>
      <c r="M2724" s="71">
        <f>IFERROR(IF(VLOOKUP(A2724,[18]PRIORIZADOS!$A:$M,13,FALSE)="","",VLOOKUP(A2724,[18]PRIORIZADOS!$A:$M,13,FALSE)),"")</f>
        <v>45811</v>
      </c>
      <c r="N2724" s="71">
        <f>IFERROR(IF(VLOOKUP(A2724,[18]PRIORIZADOS!$A:$N,14,FALSE)="","",VLOOKUP(A2724,[18]PRIORIZADOS!$A:$N,14,FALSE)),"")</f>
        <v>45783</v>
      </c>
      <c r="O2724" s="71">
        <f>IFERROR(IF(VLOOKUP(A2724,[18]PRIORIZADOS!$A:$O,15,FALSE)="","",VLOOKUP(A2724,[18]PRIORIZADOS!$A:$O,15,FALSE)),"")</f>
        <v>45783</v>
      </c>
      <c r="P2724" s="11" t="str">
        <f>IFERROR(IF(VLOOKUP(A2724,[18]PRIORIZADOS!$A:$P,16,FALSE)="","",VLOOKUP(A2724,[18]PRIORIZADOS!$A:$P,16,FALSE)),"")</f>
        <v>Visitas de evaluación con fines de mejoramiento</v>
      </c>
      <c r="Q2724" s="2" t="s">
        <v>523</v>
      </c>
      <c r="R2724" s="11" t="str">
        <f>IFERROR(IF(VLOOKUP(A2724,[18]PRIORIZADOS!$A:$R,18,FALSE)="","",VLOOKUP(A2724,[18]PRIORIZADOS!$A:$R,18,FALSE)),"")</f>
        <v>No existe correspondencia entre el número de estudiantes registrados en el EVI - SIMAT y la realidad institucional en el momento de la visita.</v>
      </c>
      <c r="S2724" s="11" t="str">
        <f>IFERROR(IF(VLOOKUP(A2724,[18]PRIORIZADOS!$A:$S,19,FALSE)="","",VLOOKUP(A2724,[18]PRIORIZADOS!$A:$S,19,FALSE)),"")</f>
        <v>La Institución Educativa se compromte a registar en el Sistema de Matriculas Estudiantil (SIMAT), los 9 estudiantes de inclusión matriculados actualmente</v>
      </c>
      <c r="T2724" s="70" t="str">
        <f>IFERROR(IF(VLOOKUP(A2724,[18]PRIORIZADOS!$A:$T,20,FALSE)="","",VLOOKUP(A2724,[18]PRIORIZADOS!$A:$T,20,FALSE)),"")</f>
        <v>Si</v>
      </c>
      <c r="U2724" s="11" t="str">
        <f>IFERROR(IF(VLOOKUP(A2724,[18]PRIORIZADOS!$A:$U,21,FALSE)="","",VLOOKUP(A2724,[18]PRIORIZADOS!$A:$U,21,FALSE)),"")</f>
        <v>Se verificará en el SIMAT en el mes de julio de 2025</v>
      </c>
    </row>
    <row r="2725" spans="1:21" s="1" customFormat="1" ht="60">
      <c r="A2725" s="69">
        <f>IF([18]PRIORIZADOS!A68="","",[18]PRIORIZADOS!A68)</f>
        <v>2714</v>
      </c>
      <c r="B2725" s="70">
        <f>IFERROR(IF(VLOOKUP(A2725,[18]PRIORIZADOS!$A:$B,2,FALSE)="","",VLOOKUP(A2725,[18]PRIORIZADOS!$A:$B,2,FALSE)),"")</f>
        <v>8</v>
      </c>
      <c r="C2725" s="11" t="str">
        <f>IFERROR(IF(VLOOKUP(A2725,[18]PRIORIZADOS!$A:$C,3,FALSE)="","",VLOOKUP(A2725,[18]PRIORIZADOS!$A:$C,3,FALSE)),"")</f>
        <v>USME</v>
      </c>
      <c r="D2725" s="11" t="str">
        <f>IFERROR(IF(VLOOKUP(A2725,[18]PRIORIZADOS!$A:$D,4,FALSE)="","",VLOOKUP(A2725,[18]PRIORIZADOS!$A:$D,4,FALSE)),"")</f>
        <v>PRIVADO</v>
      </c>
      <c r="E2725" s="11" t="str">
        <f>IFERROR(IF(VLOOKUP(A2725,[18]PRIORIZADOS!$A:$E,5,FALSE)="","",VLOOKUP(A2725,[18]PRIORIZADOS!$A:$E,5,FALSE)),"")</f>
        <v>EPBM</v>
      </c>
      <c r="F2725" s="11" t="str">
        <f>IFERROR(IF(VLOOKUP(A2725,[18]PRIORIZADOS!$A:$F,6,FALSE)="","",VLOOKUP(A2725,[18]PRIORIZADOS!$A:$F,6,FALSE)),"")</f>
        <v>INSTITUTO_SUSANA_WESLEY</v>
      </c>
      <c r="G2725" s="11" t="str">
        <f>IFERROR(IF(VLOOKUP(A2725,[18]PRIORIZADOS!$A:$G,7,FALSE)="","",VLOOKUP(A2725,[18]PRIORIZADOS!$A:$G,7,FALSE)),"")</f>
        <v>INSTITUTO SUSANA WESLEY</v>
      </c>
      <c r="H2725" s="11" t="str">
        <f>IFERROR(IF(VLOOKUP(A2725,[18]PRIORIZADOS!$A:$H,8,FALSE)="","",VLOOKUP(A2725,[18]PRIORIZADOS!$A:$H,8,FALSE)),"")</f>
        <v>Autoevaluación Institucional y Pruebas SABER 11</v>
      </c>
      <c r="I2725" s="11" t="str">
        <f>IFERROR(IF(VLOOKUP(A2725,[18]PRIORIZADOS!$A:$I,9,FALSE)="","",VLOOKUP(A2725,[18]PRIORIZADOS!$A:$I,9,FALSE)),"")</f>
        <v>SEGUIMIENTO_Y_SUPERVISIÓN.</v>
      </c>
      <c r="J2725" s="11" t="str">
        <f>IFERROR(IF(VLOOKUP(A2725,[18]PRIORIZADOS!$A:$J,10,FALSE)="","",VLOOKUP(A2725,[18]PRIORIZADOS!$A:$J,10,FALSE)),"")</f>
        <v>Proponer estrategias en la formulación, verificar su elaboración y realizar seguimiento semestral al desarrollo de  las acciones establecidas en los planes de mejoramiento por pruebas SABER 11 de los establecimientos de educación formal.</v>
      </c>
      <c r="K2725" s="11" t="str">
        <f>IFERROR(IF(VLOOKUP(A2725,[18]PRIORIZADOS!$A:$K,11,FALSE)="","",VLOOKUP(A2725,[18]PRIORIZADOS!$A:$K,11,FALSE)),"")</f>
        <v>KATHERINE HERNÁNDEZ RUBIANO</v>
      </c>
      <c r="L2725" s="11" t="str">
        <f>IFERROR(IF(VLOOKUP(A2725,[18]PRIORIZADOS!$A:$L,12,FALSE)="","",VLOOKUP(A2725,[18]PRIORIZADOS!$A:$L,12,FALSE)),"")</f>
        <v>FRANCY LORENA RODRIGUEZ CASTRO</v>
      </c>
      <c r="M2725" s="71">
        <f>IFERROR(IF(VLOOKUP(A2725,[18]PRIORIZADOS!$A:$M,13,FALSE)="","",VLOOKUP(A2725,[18]PRIORIZADOS!$A:$M,13,FALSE)),"")</f>
        <v>45811</v>
      </c>
      <c r="N2725" s="71">
        <f>IFERROR(IF(VLOOKUP(A2725,[18]PRIORIZADOS!$A:$N,14,FALSE)="","",VLOOKUP(A2725,[18]PRIORIZADOS!$A:$N,14,FALSE)),"")</f>
        <v>45813</v>
      </c>
      <c r="O2725" s="71">
        <f>IFERROR(IF(VLOOKUP(A2725,[18]PRIORIZADOS!$A:$O,15,FALSE)="","",VLOOKUP(A2725,[18]PRIORIZADOS!$A:$O,15,FALSE)),"")</f>
        <v>45814</v>
      </c>
      <c r="P2725" s="11" t="str">
        <f>IFERROR(IF(VLOOKUP(A2725,[18]PRIORIZADOS!$A:$P,16,FALSE)="","",VLOOKUP(A2725,[18]PRIORIZADOS!$A:$P,16,FALSE)),"")</f>
        <v>Visitas de evaluación con fines de mejoramiento</v>
      </c>
      <c r="Q2725" s="2" t="s">
        <v>523</v>
      </c>
      <c r="R2725" s="11" t="str">
        <f>IFERROR(IF(VLOOKUP(A2725,[18]PRIORIZADOS!$A:$R,18,FALSE)="","",VLOOKUP(A2725,[18]PRIORIZADOS!$A:$R,18,FALSE)),"")</f>
        <v xml:space="preserve">No presenta evidencia de las acciones </v>
      </c>
      <c r="S2725" s="11" t="str">
        <f>IFERROR(IF(VLOOKUP(A2725,[18]PRIORIZADOS!$A:$S,19,FALSE)="","",VLOOKUP(A2725,[18]PRIORIZADOS!$A:$S,19,FALSE)),"")</f>
        <v>La Institución Educativa se compromete a iniciar el proceso de análisis de los resultados de la prueba Saber 11 y se compromete a desarrollar un plan de mejoramiento al respecto</v>
      </c>
      <c r="T2725" s="70" t="str">
        <f>IFERROR(IF(VLOOKUP(A2725,[18]PRIORIZADOS!$A:$T,20,FALSE)="","",VLOOKUP(A2725,[18]PRIORIZADOS!$A:$T,20,FALSE)),"")</f>
        <v>Si</v>
      </c>
      <c r="U2725" s="11" t="str">
        <f>IFERROR(IF(VLOOKUP(A2725,[18]PRIORIZADOS!$A:$U,21,FALSE)="","",VLOOKUP(A2725,[18]PRIORIZADOS!$A:$U,21,FALSE)),"")</f>
        <v>Se verificará en la vigencia 2026</v>
      </c>
    </row>
    <row r="2726" spans="1:21" s="1" customFormat="1" ht="84">
      <c r="A2726" s="69">
        <f>IF([18]PRIORIZADOS!A69="","",[18]PRIORIZADOS!A69)</f>
        <v>2715</v>
      </c>
      <c r="B2726" s="70">
        <f>IFERROR(IF(VLOOKUP(A2726,[18]PRIORIZADOS!$A:$B,2,FALSE)="","",VLOOKUP(A2726,[18]PRIORIZADOS!$A:$B,2,FALSE)),"")</f>
        <v>8</v>
      </c>
      <c r="C2726" s="11" t="str">
        <f>IFERROR(IF(VLOOKUP(A2726,[18]PRIORIZADOS!$A:$C,3,FALSE)="","",VLOOKUP(A2726,[18]PRIORIZADOS!$A:$C,3,FALSE)),"")</f>
        <v>USME</v>
      </c>
      <c r="D2726" s="11" t="str">
        <f>IFERROR(IF(VLOOKUP(A2726,[18]PRIORIZADOS!$A:$D,4,FALSE)="","",VLOOKUP(A2726,[18]PRIORIZADOS!$A:$D,4,FALSE)),"")</f>
        <v>PRIVADO</v>
      </c>
      <c r="E2726" s="11" t="str">
        <f>IFERROR(IF(VLOOKUP(A2726,[18]PRIORIZADOS!$A:$E,5,FALSE)="","",VLOOKUP(A2726,[18]PRIORIZADOS!$A:$E,5,FALSE)),"")</f>
        <v>EPBM</v>
      </c>
      <c r="F2726" s="11" t="str">
        <f>IFERROR(IF(VLOOKUP(A2726,[18]PRIORIZADOS!$A:$F,6,FALSE)="","",VLOOKUP(A2726,[18]PRIORIZADOS!$A:$F,6,FALSE)),"")</f>
        <v>INSTITUTO_SUSANA_WESLEY</v>
      </c>
      <c r="G2726" s="11" t="str">
        <f>IFERROR(IF(VLOOKUP(A2726,[18]PRIORIZADOS!$A:$G,7,FALSE)="","",VLOOKUP(A2726,[18]PRIORIZADOS!$A:$G,7,FALSE)),"")</f>
        <v>INSTITUTO SUSANA WESLEY</v>
      </c>
      <c r="H2726" s="11" t="str">
        <f>IFERROR(IF(VLOOKUP(A2726,[18]PRIORIZADOS!$A:$H,8,FALSE)="","",VLOOKUP(A2726,[18]PRIORIZADOS!$A:$H,8,FALSE)),"")</f>
        <v>Autoevaluación Institucional y Pruebas SABER 11</v>
      </c>
      <c r="I2726" s="11" t="str">
        <f>IFERROR(IF(VLOOKUP(A2726,[18]PRIORIZADOS!$A:$I,9,FALSE)="","",VLOOKUP(A2726,[18]PRIORIZADOS!$A:$I,9,FALSE)),"")</f>
        <v>SEGUIMIENTO_Y_SUPERVISIÓN.</v>
      </c>
      <c r="J2726" s="11" t="str">
        <f>IFERROR(IF(VLOOKUP(A2726,[18]PRIORIZADOS!$A:$J,10,FALSE)="","",VLOOKUP(A2726,[18]PRIORIZADOS!$A:$J,10,FALSE)),"")</f>
        <v xml:space="preserve">Verificar la implementación por parte de los colegios, de acciones realizadas para la prevención y atención de las situaciones de convivencia en el entorno escolar, según lo establecido en la Directiva 01 de 2022 del MEN. </v>
      </c>
      <c r="K2726" s="11" t="str">
        <f>IFERROR(IF(VLOOKUP(A2726,[18]PRIORIZADOS!$A:$K,11,FALSE)="","",VLOOKUP(A2726,[18]PRIORIZADOS!$A:$K,11,FALSE)),"")</f>
        <v>KATHERINE HERNÁNDEZ RUBIANO</v>
      </c>
      <c r="L2726" s="11" t="str">
        <f>IFERROR(IF(VLOOKUP(A2726,[18]PRIORIZADOS!$A:$L,12,FALSE)="","",VLOOKUP(A2726,[18]PRIORIZADOS!$A:$L,12,FALSE)),"")</f>
        <v>FRANCY LORENA RODRIGUEZ CASTRO</v>
      </c>
      <c r="M2726" s="71">
        <f>IFERROR(IF(VLOOKUP(A2726,[18]PRIORIZADOS!$A:$M,13,FALSE)="","",VLOOKUP(A2726,[18]PRIORIZADOS!$A:$M,13,FALSE)),"")</f>
        <v>45811</v>
      </c>
      <c r="N2726" s="71">
        <f>IFERROR(IF(VLOOKUP(A2726,[18]PRIORIZADOS!$A:$N,14,FALSE)="","",VLOOKUP(A2726,[18]PRIORIZADOS!$A:$N,14,FALSE)),"")</f>
        <v>45813</v>
      </c>
      <c r="O2726" s="71">
        <f>IFERROR(IF(VLOOKUP(A2726,[18]PRIORIZADOS!$A:$O,15,FALSE)="","",VLOOKUP(A2726,[18]PRIORIZADOS!$A:$O,15,FALSE)),"")</f>
        <v>45817</v>
      </c>
      <c r="P2726" s="11" t="str">
        <f>IFERROR(IF(VLOOKUP(A2726,[18]PRIORIZADOS!$A:$P,16,FALSE)="","",VLOOKUP(A2726,[18]PRIORIZADOS!$A:$P,16,FALSE)),"")</f>
        <v>Visitas de evaluación con fines de mejoramiento</v>
      </c>
      <c r="Q2726" s="2" t="s">
        <v>523</v>
      </c>
      <c r="R2726" s="11" t="str">
        <f>IFERROR(IF(VLOOKUP(A2726,[18]PRIORIZADOS!$A:$R,18,FALSE)="","",VLOOKUP(A2726,[18]PRIORIZADOS!$A:$R,18,FALSE)),"")</f>
        <v>Se evidencia mediante acta que llevaron a cabo una capación con la Oficina de Convivencia Escolar (OCE) sobre el manejo de protocolos de atención integral para la convivencia escolar y también presentacn actas de reunión del Comité de Convivenca Escolar</v>
      </c>
      <c r="S2726" s="11" t="str">
        <f>IFERROR(IF(VLOOKUP(A2726,[18]PRIORIZADOS!$A:$S,19,FALSE)="","",VLOOKUP(A2726,[18]PRIORIZADOS!$A:$S,19,FALSE)),"")</f>
        <v>La institución se compromete a fortalecer el debido proceso y acciones sansionatorias para faltas tipo 1</v>
      </c>
      <c r="T2726" s="70" t="str">
        <f>IFERROR(IF(VLOOKUP(A2726,[18]PRIORIZADOS!$A:$T,20,FALSE)="","",VLOOKUP(A2726,[18]PRIORIZADOS!$A:$T,20,FALSE)),"")</f>
        <v>Si</v>
      </c>
      <c r="U2726" s="11" t="str">
        <f>IFERROR(IF(VLOOKUP(A2726,[18]PRIORIZADOS!$A:$U,21,FALSE)="","",VLOOKUP(A2726,[18]PRIORIZADOS!$A:$U,21,FALSE)),"")</f>
        <v>Se verificará en la vigencia 2026</v>
      </c>
    </row>
    <row r="2727" spans="1:21" s="1" customFormat="1" ht="72">
      <c r="A2727" s="69">
        <f>IF([18]PRIORIZADOS!A70="","",[18]PRIORIZADOS!A70)</f>
        <v>2716</v>
      </c>
      <c r="B2727" s="70">
        <f>IFERROR(IF(VLOOKUP(A2727,[18]PRIORIZADOS!$A:$B,2,FALSE)="","",VLOOKUP(A2727,[18]PRIORIZADOS!$A:$B,2,FALSE)),"")</f>
        <v>8</v>
      </c>
      <c r="C2727" s="11" t="str">
        <f>IFERROR(IF(VLOOKUP(A2727,[18]PRIORIZADOS!$A:$C,3,FALSE)="","",VLOOKUP(A2727,[18]PRIORIZADOS!$A:$C,3,FALSE)),"")</f>
        <v>USME</v>
      </c>
      <c r="D2727" s="11" t="str">
        <f>IFERROR(IF(VLOOKUP(A2727,[18]PRIORIZADOS!$A:$D,4,FALSE)="","",VLOOKUP(A2727,[18]PRIORIZADOS!$A:$D,4,FALSE)),"")</f>
        <v>PRIVADO</v>
      </c>
      <c r="E2727" s="11" t="str">
        <f>IFERROR(IF(VLOOKUP(A2727,[18]PRIORIZADOS!$A:$E,5,FALSE)="","",VLOOKUP(A2727,[18]PRIORIZADOS!$A:$E,5,FALSE)),"")</f>
        <v>EPBM</v>
      </c>
      <c r="F2727" s="11" t="str">
        <f>IFERROR(IF(VLOOKUP(A2727,[18]PRIORIZADOS!$A:$F,6,FALSE)="","",VLOOKUP(A2727,[18]PRIORIZADOS!$A:$F,6,FALSE)),"")</f>
        <v>INSTITUTO_SUSANA_WESLEY</v>
      </c>
      <c r="G2727" s="11" t="str">
        <f>IFERROR(IF(VLOOKUP(A2727,[18]PRIORIZADOS!$A:$G,7,FALSE)="","",VLOOKUP(A2727,[18]PRIORIZADOS!$A:$G,7,FALSE)),"")</f>
        <v>INSTITUTO SUSANA WESLEY</v>
      </c>
      <c r="H2727" s="11" t="str">
        <f>IFERROR(IF(VLOOKUP(A2727,[18]PRIORIZADOS!$A:$H,8,FALSE)="","",VLOOKUP(A2727,[18]PRIORIZADOS!$A:$H,8,FALSE)),"")</f>
        <v>Autoevaluación Institucional y Pruebas SABER 11</v>
      </c>
      <c r="I2727" s="11" t="str">
        <f>IFERROR(IF(VLOOKUP(A2727,[18]PRIORIZADOS!$A:$I,9,FALSE)="","",VLOOKUP(A2727,[18]PRIORIZADOS!$A:$I,9,FALSE)),"")</f>
        <v>SEGUIMIENTO_Y_SUPERVISIÓN.</v>
      </c>
      <c r="J2727" s="11" t="str">
        <f>IFERROR(IF(VLOOKUP(A2727,[18]PRIORIZADOS!$A:$J,10,FALSE)="","",VLOOKUP(A2727,[18]PRIORIZADOS!$A:$J,10,FALSE)),"")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27" s="11" t="str">
        <f>IFERROR(IF(VLOOKUP(A2727,[18]PRIORIZADOS!$A:$K,11,FALSE)="","",VLOOKUP(A2727,[18]PRIORIZADOS!$A:$K,11,FALSE)),"")</f>
        <v>KATHERINE HERNÁNDEZ RUBIANO</v>
      </c>
      <c r="L2727" s="11" t="str">
        <f>IFERROR(IF(VLOOKUP(A2727,[18]PRIORIZADOS!$A:$L,12,FALSE)="","",VLOOKUP(A2727,[18]PRIORIZADOS!$A:$L,12,FALSE)),"")</f>
        <v>FRANCY LORENA RODRIGUEZ CASTRO</v>
      </c>
      <c r="M2727" s="71">
        <f>IFERROR(IF(VLOOKUP(A2727,[18]PRIORIZADOS!$A:$M,13,FALSE)="","",VLOOKUP(A2727,[18]PRIORIZADOS!$A:$M,13,FALSE)),"")</f>
        <v>45811</v>
      </c>
      <c r="N2727" s="71">
        <f>IFERROR(IF(VLOOKUP(A2727,[18]PRIORIZADOS!$A:$N,14,FALSE)="","",VLOOKUP(A2727,[18]PRIORIZADOS!$A:$N,14,FALSE)),"")</f>
        <v>45783</v>
      </c>
      <c r="O2727" s="71">
        <f>IFERROR(IF(VLOOKUP(A2727,[18]PRIORIZADOS!$A:$O,15,FALSE)="","",VLOOKUP(A2727,[18]PRIORIZADOS!$A:$O,15,FALSE)),"")</f>
        <v>45783</v>
      </c>
      <c r="P2727" s="11" t="str">
        <f>IFERROR(IF(VLOOKUP(A2727,[18]PRIORIZADOS!$A:$P,16,FALSE)="","",VLOOKUP(A2727,[18]PRIORIZADOS!$A:$P,16,FALSE)),"")</f>
        <v>Visitas de evaluación con fines de mejoramiento</v>
      </c>
      <c r="Q2727" s="2" t="s">
        <v>523</v>
      </c>
      <c r="R2727" s="11" t="str">
        <f>IFERROR(IF(VLOOKUP(A2727,[18]PRIORIZADOS!$A:$R,18,FALSE)="","",VLOOKUP(A2727,[18]PRIORIZADOS!$A:$R,18,FALSE)),"")</f>
        <v>La institución Educativa presenta las fichas de caracterización de los estudiantes de inclusión, sin embargo aunque manejan un modelo de PIAR, este no se encuentra desarrollado para la vigencia 2025</v>
      </c>
      <c r="S2727" s="11" t="str">
        <f>IFERROR(IF(VLOOKUP(A2727,[18]PRIORIZADOS!$A:$S,19,FALSE)="","",VLOOKUP(A2727,[18]PRIORIZADOS!$A:$S,19,FALSE)),"")</f>
        <v>La rectora se compromete a liderar el proceso de elaboración del PIAR</v>
      </c>
      <c r="T2727" s="70" t="str">
        <f>IFERROR(IF(VLOOKUP(A2727,[18]PRIORIZADOS!$A:$T,20,FALSE)="","",VLOOKUP(A2727,[18]PRIORIZADOS!$A:$T,20,FALSE)),"")</f>
        <v>Si</v>
      </c>
      <c r="U2727" s="11" t="str">
        <f>IFERROR(IF(VLOOKUP(A2727,[18]PRIORIZADOS!$A:$U,21,FALSE)="","",VLOOKUP(A2727,[18]PRIORIZADOS!$A:$U,21,FALSE)),"")</f>
        <v>Se verificará en la vigencia 2026</v>
      </c>
    </row>
    <row r="2728" spans="1:21" s="1" customFormat="1" ht="84">
      <c r="A2728" s="69">
        <f>IF([18]PRIORIZADOS!A71="","",[18]PRIORIZADOS!A71)</f>
        <v>2717</v>
      </c>
      <c r="B2728" s="70">
        <f>IFERROR(IF(VLOOKUP(A2728,[18]PRIORIZADOS!$A:$B,2,FALSE)="","",VLOOKUP(A2728,[18]PRIORIZADOS!$A:$B,2,FALSE)),"")</f>
        <v>8</v>
      </c>
      <c r="C2728" s="11" t="str">
        <f>IFERROR(IF(VLOOKUP(A2728,[18]PRIORIZADOS!$A:$C,3,FALSE)="","",VLOOKUP(A2728,[18]PRIORIZADOS!$A:$C,3,FALSE)),"")</f>
        <v>USME</v>
      </c>
      <c r="D2728" s="11" t="str">
        <f>IFERROR(IF(VLOOKUP(A2728,[18]PRIORIZADOS!$A:$D,4,FALSE)="","",VLOOKUP(A2728,[18]PRIORIZADOS!$A:$D,4,FALSE)),"")</f>
        <v>PRIVADO</v>
      </c>
      <c r="E2728" s="11" t="str">
        <f>IFERROR(IF(VLOOKUP(A2728,[18]PRIORIZADOS!$A:$E,5,FALSE)="","",VLOOKUP(A2728,[18]PRIORIZADOS!$A:$E,5,FALSE)),"")</f>
        <v>EPBM</v>
      </c>
      <c r="F2728" s="11" t="str">
        <f>IFERROR(IF(VLOOKUP(A2728,[18]PRIORIZADOS!$A:$F,6,FALSE)="","",VLOOKUP(A2728,[18]PRIORIZADOS!$A:$F,6,FALSE)),"")</f>
        <v>INSTITUTO_SUSANA_WESLEY</v>
      </c>
      <c r="G2728" s="11" t="str">
        <f>IFERROR(IF(VLOOKUP(A2728,[18]PRIORIZADOS!$A:$G,7,FALSE)="","",VLOOKUP(A2728,[18]PRIORIZADOS!$A:$G,7,FALSE)),"")</f>
        <v>INSTITUTO SUSANA WESLEY</v>
      </c>
      <c r="H2728" s="11" t="str">
        <f>IFERROR(IF(VLOOKUP(A2728,[18]PRIORIZADOS!$A:$H,8,FALSE)="","",VLOOKUP(A2728,[18]PRIORIZADOS!$A:$H,8,FALSE)),"")</f>
        <v>Autoevaluación Institucional y Pruebas SABER 11</v>
      </c>
      <c r="I2728" s="11" t="str">
        <f>IFERROR(IF(VLOOKUP(A2728,[18]PRIORIZADOS!$A:$I,9,FALSE)="","",VLOOKUP(A2728,[18]PRIORIZADOS!$A:$I,9,FALSE)),"")</f>
        <v>EVALUACIÓN_CON_FINES_DE_MEJORAMIENTO.</v>
      </c>
      <c r="J2728" s="11" t="str">
        <f>IFERROR(IF(VLOOKUP(A2728,[18]PRIORIZADOS!$A:$J,10,FALSE)="","",VLOOKUP(A2728,[18]PRIORIZADOS!$A:$J,10,FALSE)),"")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28" s="11" t="str">
        <f>IFERROR(IF(VLOOKUP(A2728,[18]PRIORIZADOS!$A:$K,11,FALSE)="","",VLOOKUP(A2728,[18]PRIORIZADOS!$A:$K,11,FALSE)),"")</f>
        <v>KATHERINE HERNÁNDEZ RUBIANO</v>
      </c>
      <c r="L2728" s="11" t="str">
        <f>IFERROR(IF(VLOOKUP(A2728,[18]PRIORIZADOS!$A:$L,12,FALSE)="","",VLOOKUP(A2728,[18]PRIORIZADOS!$A:$L,12,FALSE)),"")</f>
        <v>FRANCY LORENA RODRIGUEZ CASTRO</v>
      </c>
      <c r="M2728" s="71">
        <f>IFERROR(IF(VLOOKUP(A2728,[18]PRIORIZADOS!$A:$M,13,FALSE)="","",VLOOKUP(A2728,[18]PRIORIZADOS!$A:$M,13,FALSE)),"")</f>
        <v>45811</v>
      </c>
      <c r="N2728" s="71">
        <f>IFERROR(IF(VLOOKUP(A2728,[18]PRIORIZADOS!$A:$N,14,FALSE)="","",VLOOKUP(A2728,[18]PRIORIZADOS!$A:$N,14,FALSE)),"")</f>
        <v>45783</v>
      </c>
      <c r="O2728" s="71">
        <f>IFERROR(IF(VLOOKUP(A2728,[18]PRIORIZADOS!$A:$O,15,FALSE)="","",VLOOKUP(A2728,[18]PRIORIZADOS!$A:$O,15,FALSE)),"")</f>
        <v>45783</v>
      </c>
      <c r="P2728" s="11" t="str">
        <f>IFERROR(IF(VLOOKUP(A2728,[18]PRIORIZADOS!$A:$P,16,FALSE)="","",VLOOKUP(A2728,[18]PRIORIZADOS!$A:$P,16,FALSE)),"")</f>
        <v>Visitas de evaluación con fines de mejoramiento</v>
      </c>
      <c r="Q2728" s="2" t="s">
        <v>523</v>
      </c>
      <c r="R2728" s="11" t="str">
        <f>IFERROR(IF(VLOOKUP(A2728,[18]PRIORIZADOS!$A:$R,18,FALSE)="","",VLOOKUP(A2728,[18]PRIORIZADOS!$A:$R,18,FALSE)),"")</f>
        <v>Se realiza la revisión del documento cuya ultima actualización es del 2023, el cual fue realizado solo por los docentes y no incluye la normativa vigente.</v>
      </c>
      <c r="S2728" s="11" t="str">
        <f>IFERROR(IF(VLOOKUP(A2728,[18]PRIORIZADOS!$A:$S,19,FALSE)="","",VLOOKUP(A2728,[18]PRIORIZADOS!$A:$S,19,FALSE)),"")</f>
        <v>La Institución Educativa se compromete a realizar la construccion del Manual de convivencia para la vigencia 2026 de manera participativa, teniendo en cuenta la normativa vigente al respecto.</v>
      </c>
      <c r="T2728" s="70" t="str">
        <f>IFERROR(IF(VLOOKUP(A2728,[18]PRIORIZADOS!$A:$T,20,FALSE)="","",VLOOKUP(A2728,[18]PRIORIZADOS!$A:$T,20,FALSE)),"")</f>
        <v>Si</v>
      </c>
      <c r="U2728" s="11" t="str">
        <f>IFERROR(IF(VLOOKUP(A2728,[18]PRIORIZADOS!$A:$U,21,FALSE)="","",VLOOKUP(A2728,[18]PRIORIZADOS!$A:$U,21,FALSE)),"")</f>
        <v>Se verificará en la vigencia 2026</v>
      </c>
    </row>
    <row r="2729" spans="1:21" s="1" customFormat="1" ht="48">
      <c r="A2729" s="69">
        <f>IF([18]PRIORIZADOS!A72="","",[18]PRIORIZADOS!A72)</f>
        <v>2718</v>
      </c>
      <c r="B2729" s="70">
        <f>IFERROR(IF(VLOOKUP(A2729,[18]PRIORIZADOS!$A:$B,2,FALSE)="","",VLOOKUP(A2729,[18]PRIORIZADOS!$A:$B,2,FALSE)),"")</f>
        <v>8</v>
      </c>
      <c r="C2729" s="11" t="str">
        <f>IFERROR(IF(VLOOKUP(A2729,[18]PRIORIZADOS!$A:$C,3,FALSE)="","",VLOOKUP(A2729,[18]PRIORIZADOS!$A:$C,3,FALSE)),"")</f>
        <v>USME</v>
      </c>
      <c r="D2729" s="11" t="str">
        <f>IFERROR(IF(VLOOKUP(A2729,[18]PRIORIZADOS!$A:$D,4,FALSE)="","",VLOOKUP(A2729,[18]PRIORIZADOS!$A:$D,4,FALSE)),"")</f>
        <v>PRIVADO</v>
      </c>
      <c r="E2729" s="11" t="str">
        <f>IFERROR(IF(VLOOKUP(A2729,[18]PRIORIZADOS!$A:$E,5,FALSE)="","",VLOOKUP(A2729,[18]PRIORIZADOS!$A:$E,5,FALSE)),"")</f>
        <v>EPBM</v>
      </c>
      <c r="F2729" s="11" t="str">
        <f>IFERROR(IF(VLOOKUP(A2729,[18]PRIORIZADOS!$A:$F,6,FALSE)="","",VLOOKUP(A2729,[18]PRIORIZADOS!$A:$F,6,FALSE)),"")</f>
        <v>INSTITUTO_SUSANA_WESLEY</v>
      </c>
      <c r="G2729" s="11" t="str">
        <f>IFERROR(IF(VLOOKUP(A2729,[18]PRIORIZADOS!$A:$G,7,FALSE)="","",VLOOKUP(A2729,[18]PRIORIZADOS!$A:$G,7,FALSE)),"")</f>
        <v>INSTITUTO SUSANA WESLEY</v>
      </c>
      <c r="H2729" s="11" t="str">
        <f>IFERROR(IF(VLOOKUP(A2729,[18]PRIORIZADOS!$A:$H,8,FALSE)="","",VLOOKUP(A2729,[18]PRIORIZADOS!$A:$H,8,FALSE)),"")</f>
        <v>Autoevaluación Institucional y Pruebas SABER 11</v>
      </c>
      <c r="I2729" s="11" t="str">
        <f>IFERROR(IF(VLOOKUP(A2729,[18]PRIORIZADOS!$A:$I,9,FALSE)="","",VLOOKUP(A2729,[18]PRIORIZADOS!$A:$I,9,FALSE)),"")</f>
        <v>EVALUACIÓN_CON_FINES_DE_MEJORAMIENTO.</v>
      </c>
      <c r="J2729" s="11" t="str">
        <f>IFERROR(IF(VLOOKUP(A2729,[18]PRIORIZADOS!$A:$J,10,FALSE)="","",VLOOKUP(A2729,[18]PRIORIZADOS!$A:$J,10,FALSE)),"")</f>
        <v>Revisar la actualización, socialización e implementación del Sistema Institucional de Evaluación de Estudiantes - SIEE, en articulación con la actualización del PEI y la normatividad vigente.</v>
      </c>
      <c r="K2729" s="11" t="str">
        <f>IFERROR(IF(VLOOKUP(A2729,[18]PRIORIZADOS!$A:$K,11,FALSE)="","",VLOOKUP(A2729,[18]PRIORIZADOS!$A:$K,11,FALSE)),"")</f>
        <v>KATHERINE HERNÁNDEZ RUBIANO</v>
      </c>
      <c r="L2729" s="11" t="str">
        <f>IFERROR(IF(VLOOKUP(A2729,[18]PRIORIZADOS!$A:$L,12,FALSE)="","",VLOOKUP(A2729,[18]PRIORIZADOS!$A:$L,12,FALSE)),"")</f>
        <v>FRANCY LORENA RODRIGUEZ CASTRO</v>
      </c>
      <c r="M2729" s="71">
        <f>IFERROR(IF(VLOOKUP(A2729,[18]PRIORIZADOS!$A:$M,13,FALSE)="","",VLOOKUP(A2729,[18]PRIORIZADOS!$A:$M,13,FALSE)),"")</f>
        <v>45811</v>
      </c>
      <c r="N2729" s="71">
        <f>IFERROR(IF(VLOOKUP(A2729,[18]PRIORIZADOS!$A:$N,14,FALSE)="","",VLOOKUP(A2729,[18]PRIORIZADOS!$A:$N,14,FALSE)),"")</f>
        <v>45783</v>
      </c>
      <c r="O2729" s="71">
        <f>IFERROR(IF(VLOOKUP(A2729,[18]PRIORIZADOS!$A:$O,15,FALSE)="","",VLOOKUP(A2729,[18]PRIORIZADOS!$A:$O,15,FALSE)),"")</f>
        <v>45783</v>
      </c>
      <c r="P2729" s="11" t="str">
        <f>IFERROR(IF(VLOOKUP(A2729,[18]PRIORIZADOS!$A:$P,16,FALSE)="","",VLOOKUP(A2729,[18]PRIORIZADOS!$A:$P,16,FALSE)),"")</f>
        <v>Visitas de evaluación con fines de mejoramiento</v>
      </c>
      <c r="Q2729" s="2" t="s">
        <v>523</v>
      </c>
      <c r="R2729" s="11" t="str">
        <f>IFERROR(IF(VLOOKUP(A2729,[18]PRIORIZADOS!$A:$R,18,FALSE)="","",VLOOKUP(A2729,[18]PRIORIZADOS!$A:$R,18,FALSE)),"")</f>
        <v>Se evidencia que el SIEE , no incluye la escala de valoración para los estudiantesl del Nivel de Pre escolar</v>
      </c>
      <c r="S2729" s="11" t="str">
        <f>IFERROR(IF(VLOOKUP(A2729,[18]PRIORIZADOS!$A:$S,19,FALSE)="","",VLOOKUP(A2729,[18]PRIORIZADOS!$A:$S,19,FALSE)),"")</f>
        <v>La Institución Educativa se compromete a incorporar en el SIEE, la escala de valoración para los estudiantes de preescolar.</v>
      </c>
      <c r="T2729" s="70" t="str">
        <f>IFERROR(IF(VLOOKUP(A2729,[18]PRIORIZADOS!$A:$T,20,FALSE)="","",VLOOKUP(A2729,[18]PRIORIZADOS!$A:$T,20,FALSE)),"")</f>
        <v>Si</v>
      </c>
      <c r="U2729" s="11" t="str">
        <f>IFERROR(IF(VLOOKUP(A2729,[18]PRIORIZADOS!$A:$U,21,FALSE)="","",VLOOKUP(A2729,[18]PRIORIZADOS!$A:$U,21,FALSE)),"")</f>
        <v>Se verificará actualizacion del SIEE una vez sea remitido por la IE 2026</v>
      </c>
    </row>
    <row r="2730" spans="1:21" s="1" customFormat="1" ht="48">
      <c r="A2730" s="69">
        <f>IF([18]PRIORIZADOS!A73="","",[18]PRIORIZADOS!A73)</f>
        <v>2719</v>
      </c>
      <c r="B2730" s="70">
        <f>IFERROR(IF(VLOOKUP(A2730,[18]PRIORIZADOS!$A:$B,2,FALSE)="","",VLOOKUP(A2730,[18]PRIORIZADOS!$A:$B,2,FALSE)),"")</f>
        <v>8</v>
      </c>
      <c r="C2730" s="11" t="str">
        <f>IFERROR(IF(VLOOKUP(A2730,[18]PRIORIZADOS!$A:$C,3,FALSE)="","",VLOOKUP(A2730,[18]PRIORIZADOS!$A:$C,3,FALSE)),"")</f>
        <v>USME</v>
      </c>
      <c r="D2730" s="11" t="str">
        <f>IFERROR(IF(VLOOKUP(A2730,[18]PRIORIZADOS!$A:$D,4,FALSE)="","",VLOOKUP(A2730,[18]PRIORIZADOS!$A:$D,4,FALSE)),"")</f>
        <v>PRIVADO</v>
      </c>
      <c r="E2730" s="11" t="str">
        <f>IFERROR(IF(VLOOKUP(A2730,[18]PRIORIZADOS!$A:$E,5,FALSE)="","",VLOOKUP(A2730,[18]PRIORIZADOS!$A:$E,5,FALSE)),"")</f>
        <v>EPBM</v>
      </c>
      <c r="F2730" s="11" t="str">
        <f>IFERROR(IF(VLOOKUP(A2730,[18]PRIORIZADOS!$A:$F,6,FALSE)="","",VLOOKUP(A2730,[18]PRIORIZADOS!$A:$F,6,FALSE)),"")</f>
        <v>INSTITUTO_SUSANA_WESLEY</v>
      </c>
      <c r="G2730" s="11" t="str">
        <f>IFERROR(IF(VLOOKUP(A2730,[18]PRIORIZADOS!$A:$G,7,FALSE)="","",VLOOKUP(A2730,[18]PRIORIZADOS!$A:$G,7,FALSE)),"")</f>
        <v>INSTITUTO SUSANA WESLEY</v>
      </c>
      <c r="H2730" s="11" t="str">
        <f>IFERROR(IF(VLOOKUP(A2730,[18]PRIORIZADOS!$A:$H,8,FALSE)="","",VLOOKUP(A2730,[18]PRIORIZADOS!$A:$H,8,FALSE)),"")</f>
        <v>Autoevaluación Institucional y Pruebas SABER 11</v>
      </c>
      <c r="I2730" s="11" t="str">
        <f>IFERROR(IF(VLOOKUP(A2730,[18]PRIORIZADOS!$A:$I,9,FALSE)="","",VLOOKUP(A2730,[18]PRIORIZADOS!$A:$I,9,FALSE)),"")</f>
        <v>EVALUACIÓN_CON_FINES_DE_MEJORAMIENTO.</v>
      </c>
      <c r="J2730" s="11" t="str">
        <f>IFERROR(IF(VLOOKUP(A2730,[18]PRIORIZADOS!$A:$J,10,FALSE)="","",VLOOKUP(A2730,[18]PRIORIZADOS!$A:$J,10,FALSE)),"")</f>
        <v>Revisar el calendario escolar, jornada escolar, la intensidad horaria mínima anual en cada nivel y las modificaciones que se realicen al mismo, de acuerdo con lo previsto en la normatividad vigente.</v>
      </c>
      <c r="K2730" s="11" t="str">
        <f>IFERROR(IF(VLOOKUP(A2730,[18]PRIORIZADOS!$A:$K,11,FALSE)="","",VLOOKUP(A2730,[18]PRIORIZADOS!$A:$K,11,FALSE)),"")</f>
        <v>KATHERINE HERNÁNDEZ RUBIANO</v>
      </c>
      <c r="L2730" s="11" t="str">
        <f>IFERROR(IF(VLOOKUP(A2730,[18]PRIORIZADOS!$A:$L,12,FALSE)="","",VLOOKUP(A2730,[18]PRIORIZADOS!$A:$L,12,FALSE)),"")</f>
        <v>FRANCY LORENA RODRIGUEZ CASTRO</v>
      </c>
      <c r="M2730" s="71">
        <f>IFERROR(IF(VLOOKUP(A2730,[18]PRIORIZADOS!$A:$M,13,FALSE)="","",VLOOKUP(A2730,[18]PRIORIZADOS!$A:$M,13,FALSE)),"")</f>
        <v>45811</v>
      </c>
      <c r="N2730" s="71">
        <f>IFERROR(IF(VLOOKUP(A2730,[18]PRIORIZADOS!$A:$N,14,FALSE)="","",VLOOKUP(A2730,[18]PRIORIZADOS!$A:$N,14,FALSE)),"")</f>
        <v>45783</v>
      </c>
      <c r="O2730" s="71">
        <f>IFERROR(IF(VLOOKUP(A2730,[18]PRIORIZADOS!$A:$O,15,FALSE)="","",VLOOKUP(A2730,[18]PRIORIZADOS!$A:$O,15,FALSE)),"")</f>
        <v>45783</v>
      </c>
      <c r="P2730" s="11" t="str">
        <f>IFERROR(IF(VLOOKUP(A2730,[18]PRIORIZADOS!$A:$P,16,FALSE)="","",VLOOKUP(A2730,[18]PRIORIZADOS!$A:$P,16,FALSE)),"")</f>
        <v>Visitas de evaluación con fines de mejoramiento</v>
      </c>
      <c r="Q2730" s="2" t="s">
        <v>523</v>
      </c>
      <c r="R2730" s="11" t="str">
        <f>IFERROR(IF(VLOOKUP(A2730,[18]PRIORIZADOS!$A:$R,18,FALSE)="","",VLOOKUP(A2730,[18]PRIORIZADOS!$A:$R,18,FALSE)),"")</f>
        <v>El calendario escolar se encuentra ajustado e implementado de acuerdo con la normatividad.</v>
      </c>
      <c r="S2730" s="11" t="str">
        <f>IFERROR(IF(VLOOKUP(A2730,[18]PRIORIZADOS!$A:$S,19,FALSE)="","",VLOOKUP(A2730,[18]PRIORIZADOS!$A:$S,19,FALSE)),"")</f>
        <v xml:space="preserve">Continuar con la implementación del calendario escolar </v>
      </c>
      <c r="T2730" s="70" t="str">
        <f>IFERROR(IF(VLOOKUP(A2730,[18]PRIORIZADOS!$A:$T,20,FALSE)="","",VLOOKUP(A2730,[18]PRIORIZADOS!$A:$T,20,FALSE)),"")</f>
        <v>No</v>
      </c>
      <c r="U2730" s="11" t="str">
        <f>IFERROR(IF(VLOOKUP(A2730,[18]PRIORIZADOS!$A:$U,21,FALSE)="","",VLOOKUP(A2730,[18]PRIORIZADOS!$A:$U,21,FALSE)),"")</f>
        <v>Verificacion para la proxima vigencia 2026</v>
      </c>
    </row>
    <row r="2731" spans="1:21" s="1" customFormat="1" ht="48">
      <c r="A2731" s="69">
        <f>IF([18]PRIORIZADOS!A74="","",[18]PRIORIZADOS!A74)</f>
        <v>2720</v>
      </c>
      <c r="B2731" s="70">
        <f>IFERROR(IF(VLOOKUP(A2731,[18]PRIORIZADOS!$A:$B,2,FALSE)="","",VLOOKUP(A2731,[18]PRIORIZADOS!$A:$B,2,FALSE)),"")</f>
        <v>8</v>
      </c>
      <c r="C2731" s="11" t="str">
        <f>IFERROR(IF(VLOOKUP(A2731,[18]PRIORIZADOS!$A:$C,3,FALSE)="","",VLOOKUP(A2731,[18]PRIORIZADOS!$A:$C,3,FALSE)),"")</f>
        <v>USME</v>
      </c>
      <c r="D2731" s="11" t="str">
        <f>IFERROR(IF(VLOOKUP(A2731,[18]PRIORIZADOS!$A:$D,4,FALSE)="","",VLOOKUP(A2731,[18]PRIORIZADOS!$A:$D,4,FALSE)),"")</f>
        <v>PRIVADO</v>
      </c>
      <c r="E2731" s="11" t="str">
        <f>IFERROR(IF(VLOOKUP(A2731,[18]PRIORIZADOS!$A:$E,5,FALSE)="","",VLOOKUP(A2731,[18]PRIORIZADOS!$A:$E,5,FALSE)),"")</f>
        <v>EPBM</v>
      </c>
      <c r="F2731" s="11" t="str">
        <f>IFERROR(IF(VLOOKUP(A2731,[18]PRIORIZADOS!$A:$F,6,FALSE)="","",VLOOKUP(A2731,[18]PRIORIZADOS!$A:$F,6,FALSE)),"")</f>
        <v>INSTITUTO_SUSANA_WESLEY</v>
      </c>
      <c r="G2731" s="11" t="str">
        <f>IFERROR(IF(VLOOKUP(A2731,[18]PRIORIZADOS!$A:$G,7,FALSE)="","",VLOOKUP(A2731,[18]PRIORIZADOS!$A:$G,7,FALSE)),"")</f>
        <v>INSTITUTO SUSANA WESLEY</v>
      </c>
      <c r="H2731" s="11" t="str">
        <f>IFERROR(IF(VLOOKUP(A2731,[18]PRIORIZADOS!$A:$H,8,FALSE)="","",VLOOKUP(A2731,[18]PRIORIZADOS!$A:$H,8,FALSE)),"")</f>
        <v>Autoevaluación Institucional y Pruebas SABER 11</v>
      </c>
      <c r="I2731" s="11" t="str">
        <f>IFERROR(IF(VLOOKUP(A2731,[18]PRIORIZADOS!$A:$I,9,FALSE)="","",VLOOKUP(A2731,[18]PRIORIZADOS!$A:$I,9,FALSE)),"")</f>
        <v>EVALUACIÓN_CON_FINES_DE_MEJORAMIENTO.</v>
      </c>
      <c r="J2731" s="11" t="str">
        <f>IFERROR(IF(VLOOKUP(A2731,[18]PRIORIZADOS!$A:$J,10,FALSE)="","",VLOOKUP(A2731,[18]PRIORIZADOS!$A:$J,10,FALSE)),"")</f>
        <v>Verificar el funcionamiento del Gobierno Escolar e instancias de participación con base en la información sobre conformación reportada por la institución educativa.</v>
      </c>
      <c r="K2731" s="11" t="str">
        <f>IFERROR(IF(VLOOKUP(A2731,[18]PRIORIZADOS!$A:$K,11,FALSE)="","",VLOOKUP(A2731,[18]PRIORIZADOS!$A:$K,11,FALSE)),"")</f>
        <v>KATHERINE HERNÁNDEZ RUBIANO</v>
      </c>
      <c r="L2731" s="11" t="str">
        <f>IFERROR(IF(VLOOKUP(A2731,[18]PRIORIZADOS!$A:$L,12,FALSE)="","",VLOOKUP(A2731,[18]PRIORIZADOS!$A:$L,12,FALSE)),"")</f>
        <v>FRANCY LORENA RODRIGUEZ CASTRO</v>
      </c>
      <c r="M2731" s="71">
        <f>IFERROR(IF(VLOOKUP(A2731,[18]PRIORIZADOS!$A:$M,13,FALSE)="","",VLOOKUP(A2731,[18]PRIORIZADOS!$A:$M,13,FALSE)),"")</f>
        <v>45811</v>
      </c>
      <c r="N2731" s="71">
        <f>IFERROR(IF(VLOOKUP(A2731,[18]PRIORIZADOS!$A:$N,14,FALSE)="","",VLOOKUP(A2731,[18]PRIORIZADOS!$A:$N,14,FALSE)),"")</f>
        <v>45783</v>
      </c>
      <c r="O2731" s="71">
        <f>IFERROR(IF(VLOOKUP(A2731,[18]PRIORIZADOS!$A:$O,15,FALSE)="","",VLOOKUP(A2731,[18]PRIORIZADOS!$A:$O,15,FALSE)),"")</f>
        <v>45783</v>
      </c>
      <c r="P2731" s="11" t="str">
        <f>IFERROR(IF(VLOOKUP(A2731,[18]PRIORIZADOS!$A:$P,16,FALSE)="","",VLOOKUP(A2731,[18]PRIORIZADOS!$A:$P,16,FALSE)),"")</f>
        <v>Visitas de evaluación con fines de mejoramiento</v>
      </c>
      <c r="Q2731" s="2" t="s">
        <v>523</v>
      </c>
      <c r="R2731" s="11" t="str">
        <f>IFERROR(IF(VLOOKUP(A2731,[18]PRIORIZADOS!$A:$R,18,FALSE)="","",VLOOKUP(A2731,[18]PRIORIZADOS!$A:$R,18,FALSE)),"")</f>
        <v>No cuenta con las actas de conformación del Gobierno Escolar en los formatos establecidos por la SED ni ha hecho el registro en el Sistema de Apoyo Escolar.</v>
      </c>
      <c r="S2731" s="11" t="str">
        <f>IFERROR(IF(VLOOKUP(A2731,[18]PRIORIZADOS!$A:$S,19,FALSE)="","",VLOOKUP(A2731,[18]PRIORIZADOS!$A:$S,19,FALSE)),"")</f>
        <v>El rector se compromete a realizar las actas de conformación del Gobierno Escolar y reportarlas en el SAE</v>
      </c>
      <c r="T2731" s="70" t="str">
        <f>IFERROR(IF(VLOOKUP(A2731,[18]PRIORIZADOS!$A:$T,20,FALSE)="","",VLOOKUP(A2731,[18]PRIORIZADOS!$A:$T,20,FALSE)),"")</f>
        <v>Si</v>
      </c>
      <c r="U2731" s="11" t="str">
        <f>IFERROR(IF(VLOOKUP(A2731,[18]PRIORIZADOS!$A:$U,21,FALSE)="","",VLOOKUP(A2731,[18]PRIORIZADOS!$A:$U,21,FALSE)),"")</f>
        <v>Verificación en la plataforma del Sistema de Apoyo Escolar  en el mes de julio de 2025</v>
      </c>
    </row>
    <row r="2732" spans="1:21" s="1" customFormat="1" ht="60">
      <c r="A2732" s="69">
        <f>IF([18]PRIORIZADOS!A75="","",[18]PRIORIZADOS!A75)</f>
        <v>2721</v>
      </c>
      <c r="B2732" s="70">
        <f>IFERROR(IF(VLOOKUP(A2732,[18]PRIORIZADOS!$A:$B,2,FALSE)="","",VLOOKUP(A2732,[18]PRIORIZADOS!$A:$B,2,FALSE)),"")</f>
        <v>8</v>
      </c>
      <c r="C2732" s="11" t="str">
        <f>IFERROR(IF(VLOOKUP(A2732,[18]PRIORIZADOS!$A:$C,3,FALSE)="","",VLOOKUP(A2732,[18]PRIORIZADOS!$A:$C,3,FALSE)),"")</f>
        <v>USME</v>
      </c>
      <c r="D2732" s="11" t="str">
        <f>IFERROR(IF(VLOOKUP(A2732,[18]PRIORIZADOS!$A:$D,4,FALSE)="","",VLOOKUP(A2732,[18]PRIORIZADOS!$A:$D,4,FALSE)),"")</f>
        <v>PRIVADO</v>
      </c>
      <c r="E2732" s="11" t="str">
        <f>IFERROR(IF(VLOOKUP(A2732,[18]PRIORIZADOS!$A:$E,5,FALSE)="","",VLOOKUP(A2732,[18]PRIORIZADOS!$A:$E,5,FALSE)),"")</f>
        <v>EPBM</v>
      </c>
      <c r="F2732" s="11" t="str">
        <f>IFERROR(IF(VLOOKUP(A2732,[18]PRIORIZADOS!$A:$F,6,FALSE)="","",VLOOKUP(A2732,[18]PRIORIZADOS!$A:$F,6,FALSE)),"")</f>
        <v>INSTITUTO_SUSANA_WESLEY</v>
      </c>
      <c r="G2732" s="11" t="str">
        <f>IFERROR(IF(VLOOKUP(A2732,[18]PRIORIZADOS!$A:$G,7,FALSE)="","",VLOOKUP(A2732,[18]PRIORIZADOS!$A:$G,7,FALSE)),"")</f>
        <v>INSTITUTO SUSANA WESLEY</v>
      </c>
      <c r="H2732" s="11" t="str">
        <f>IFERROR(IF(VLOOKUP(A2732,[18]PRIORIZADOS!$A:$H,8,FALSE)="","",VLOOKUP(A2732,[18]PRIORIZADOS!$A:$H,8,FALSE)),"")</f>
        <v>Autoevaluación Institucional y Pruebas SABER 11</v>
      </c>
      <c r="I2732" s="11" t="str">
        <f>IFERROR(IF(VLOOKUP(A2732,[18]PRIORIZADOS!$A:$I,9,FALSE)="","",VLOOKUP(A2732,[18]PRIORIZADOS!$A:$I,9,FALSE)),"")</f>
        <v>EVALUACIÓN_CON_FINES_DE_MEJORAMIENTO.</v>
      </c>
      <c r="J2732" s="11" t="str">
        <f>IFERROR(IF(VLOOKUP(A2732,[18]PRIORIZADOS!$A:$J,10,FALSE)="","",VLOOKUP(A2732,[18]PRIORIZADOS!$A:$J,10,FALSE)),"")</f>
        <v>Verificar las condiciones en cuanto a: la estructura administrativa, condiciones de la planta física y medios educativos adecuados.</v>
      </c>
      <c r="K2732" s="11" t="str">
        <f>IFERROR(IF(VLOOKUP(A2732,[18]PRIORIZADOS!$A:$K,11,FALSE)="","",VLOOKUP(A2732,[18]PRIORIZADOS!$A:$K,11,FALSE)),"")</f>
        <v>KATHERINE HERNÁNDEZ RUBIANO</v>
      </c>
      <c r="L2732" s="11" t="str">
        <f>IFERROR(IF(VLOOKUP(A2732,[18]PRIORIZADOS!$A:$L,12,FALSE)="","",VLOOKUP(A2732,[18]PRIORIZADOS!$A:$L,12,FALSE)),"")</f>
        <v>FRANCY LORENA RODRIGUEZ CASTRO</v>
      </c>
      <c r="M2732" s="71">
        <f>IFERROR(IF(VLOOKUP(A2732,[18]PRIORIZADOS!$A:$M,13,FALSE)="","",VLOOKUP(A2732,[18]PRIORIZADOS!$A:$M,13,FALSE)),"")</f>
        <v>45811</v>
      </c>
      <c r="N2732" s="71">
        <f>IFERROR(IF(VLOOKUP(A2732,[18]PRIORIZADOS!$A:$N,14,FALSE)="","",VLOOKUP(A2732,[18]PRIORIZADOS!$A:$N,14,FALSE)),"")</f>
        <v>45783</v>
      </c>
      <c r="O2732" s="71">
        <f>IFERROR(IF(VLOOKUP(A2732,[18]PRIORIZADOS!$A:$O,15,FALSE)="","",VLOOKUP(A2732,[18]PRIORIZADOS!$A:$O,15,FALSE)),"")</f>
        <v>45783</v>
      </c>
      <c r="P2732" s="11" t="str">
        <f>IFERROR(IF(VLOOKUP(A2732,[18]PRIORIZADOS!$A:$P,16,FALSE)="","",VLOOKUP(A2732,[18]PRIORIZADOS!$A:$P,16,FALSE)),"")</f>
        <v>Visitas de evaluación con fines de mejoramiento</v>
      </c>
      <c r="Q2732" s="2" t="s">
        <v>523</v>
      </c>
      <c r="R2732" s="11" t="str">
        <f>IFERROR(IF(VLOOKUP(A2732,[18]PRIORIZADOS!$A:$R,18,FALSE)="","",VLOOKUP(A2732,[18]PRIORIZADOS!$A:$R,18,FALSE)),"")</f>
        <v>En el recorrido por la planta física , se observa que los espacios son amplios y con luz natural, el mobiliario corresponde con el numero de estudiantes y cuenta con sala de sistemas y laboratorios.</v>
      </c>
      <c r="S2732" s="11" t="str">
        <f>IFERROR(IF(VLOOKUP(A2732,[18]PRIORIZADOS!$A:$S,19,FALSE)="","",VLOOKUP(A2732,[18]PRIORIZADOS!$A:$S,19,FALSE)),"")</f>
        <v>Continuar con el mantenimiento de la planta física</v>
      </c>
      <c r="T2732" s="70" t="str">
        <f>IFERROR(IF(VLOOKUP(A2732,[18]PRIORIZADOS!$A:$T,20,FALSE)="","",VLOOKUP(A2732,[18]PRIORIZADOS!$A:$T,20,FALSE)),"")</f>
        <v>No</v>
      </c>
      <c r="U2732" s="11" t="str">
        <f>IFERROR(IF(VLOOKUP(A2732,[18]PRIORIZADOS!$A:$U,21,FALSE)="","",VLOOKUP(A2732,[18]PRIORIZADOS!$A:$U,21,FALSE)),"")</f>
        <v>Verificación para la vigencia 2026</v>
      </c>
    </row>
    <row r="2733" spans="1:21" s="1" customFormat="1" ht="118.5">
      <c r="A2733" s="69">
        <f>IF([18]PRIORIZADOS!A76="","",[18]PRIORIZADOS!A76)</f>
        <v>2722</v>
      </c>
      <c r="B2733" s="70">
        <f>IFERROR(IF(VLOOKUP(A2733,[18]PRIORIZADOS!$A:$B,2,FALSE)="","",VLOOKUP(A2733,[18]PRIORIZADOS!$A:$B,2,FALSE)),"")</f>
        <v>9</v>
      </c>
      <c r="C2733" s="11" t="str">
        <f>IFERROR(IF(VLOOKUP(A2733,[18]PRIORIZADOS!$A:$C,3,FALSE)="","",VLOOKUP(A2733,[18]PRIORIZADOS!$A:$C,3,FALSE)),"")</f>
        <v>USME</v>
      </c>
      <c r="D2733" s="11" t="str">
        <f>IFERROR(IF(VLOOKUP(A2733,[18]PRIORIZADOS!$A:$D,4,FALSE)="","",VLOOKUP(A2733,[18]PRIORIZADOS!$A:$D,4,FALSE)),"")</f>
        <v>PRIVADO</v>
      </c>
      <c r="E2733" s="11" t="str">
        <f>IFERROR(IF(VLOOKUP(A2733,[18]PRIORIZADOS!$A:$E,5,FALSE)="","",VLOOKUP(A2733,[18]PRIORIZADOS!$A:$E,5,FALSE)),"")</f>
        <v>EPBM</v>
      </c>
      <c r="F2733" s="11" t="str">
        <f>IFERROR(IF(VLOOKUP(A2733,[18]PRIORIZADOS!$A:$F,6,FALSE)="","",VLOOKUP(A2733,[18]PRIORIZADOS!$A:$F,6,FALSE)),"")</f>
        <v>COLEGIO_ARIEL_DAVID</v>
      </c>
      <c r="G2733" s="11" t="str">
        <f>IFERROR(IF(VLOOKUP(A2733,[18]PRIORIZADOS!$A:$G,7,FALSE)="","",VLOOKUP(A2733,[18]PRIORIZADOS!$A:$G,7,FALSE)),"")</f>
        <v>COLEGIO ARIEL DAVID</v>
      </c>
      <c r="H2733" s="11" t="str">
        <f>IFERROR(IF(VLOOKUP(A2733,[18]PRIORIZADOS!$A:$H,8,FALSE)="","",VLOOKUP(A2733,[18]PRIORIZADOS!$A:$H,8,FALSE)),"")</f>
        <v>Autoevaluación Institucional y Pruebas SABER 11</v>
      </c>
      <c r="I2733" s="11" t="str">
        <f>IFERROR(IF(VLOOKUP(A2733,[18]PRIORIZADOS!$A:$I,9,FALSE)="","",VLOOKUP(A2733,[18]PRIORIZADOS!$A:$I,9,FALSE)),"")</f>
        <v>SEGUIMIENTO_Y_SUPERVISIÓN.</v>
      </c>
      <c r="J2733" s="11" t="str">
        <f>IFERROR(IF(VLOOKUP(A2733,[18]PRIORIZADOS!$A:$J,10,FALSE)="","",VLOOKUP(A2733,[18]PRIORIZADOS!$A:$J,10,FALSE)),"")</f>
        <v>Realizar seguimiento semestral a la ejecución de los planes de mejoramiento institucional -cargados en el aplicativo EVI-, de los colegios clasificados en régimen controlado, con el propósito de verificar que superen las causas que motivaron esta clasificación y mejorar la prestación del servicio educativo.</v>
      </c>
      <c r="K2733" s="11" t="str">
        <f>IFERROR(IF(VLOOKUP(A2733,[18]PRIORIZADOS!$A:$K,11,FALSE)="","",VLOOKUP(A2733,[18]PRIORIZADOS!$A:$K,11,FALSE)),"")</f>
        <v>KATHERINE HERNÁNDEZ RUBIANO</v>
      </c>
      <c r="L2733" s="11" t="str">
        <f>IFERROR(IF(VLOOKUP(A2733,[18]PRIORIZADOS!$A:$L,12,FALSE)="","",VLOOKUP(A2733,[18]PRIORIZADOS!$A:$L,12,FALSE)),"")</f>
        <v>FRANCY LORENA RODRIGUEZ CASTRO</v>
      </c>
      <c r="M2733" s="71">
        <f>IFERROR(IF(VLOOKUP(A2733,[18]PRIORIZADOS!$A:$M,13,FALSE)="","",VLOOKUP(A2733,[18]PRIORIZADOS!$A:$M,13,FALSE)),"")</f>
        <v>45860</v>
      </c>
      <c r="N2733" s="71">
        <f>IFERROR(IF(VLOOKUP(A2733,[18]PRIORIZADOS!$A:$N,14,FALSE)="","",VLOOKUP(A2733,[18]PRIORIZADOS!$A:$N,14,FALSE)),"")</f>
        <v>45861</v>
      </c>
      <c r="O2733" s="71">
        <f>IFERROR(IF(VLOOKUP(A2733,[18]PRIORIZADOS!$A:$O,15,FALSE)="","",VLOOKUP(A2733,[18]PRIORIZADOS!$A:$O,15,FALSE)),"")</f>
        <v>45862</v>
      </c>
      <c r="P2733" s="11" t="str">
        <f>IFERROR(IF(VLOOKUP(A2733,[18]PRIORIZADOS!$A:$P,16,FALSE)="","",VLOOKUP(A2733,[18]PRIORIZADOS!$A:$P,16,FALSE)),"")</f>
        <v>Visitas de evaluación con fines de mejoramiento</v>
      </c>
      <c r="Q2733" s="2" t="s">
        <v>524</v>
      </c>
      <c r="R2733" s="11" t="str">
        <f>IFERROR(IF(VLOOKUP(A2733,[18]PRIORIZADOS!$A:$R,18,FALSE)="","",VLOOKUP(A2733,[18]PRIORIZADOS!$A:$R,18,FALSE)),"")</f>
        <v>El PMI por regimen controlado, contempla el pago de Seguridad Social Integral para todo el personal vinculado a la Institución educativa, sin embaro en la revisión documental se encuentra que solo se hace el pago por este concepto a un docente.Adicional a lo anterior se encuentran contratos de los docentes que no estan ajustados a la normativativa vigente en la materia</v>
      </c>
      <c r="S2733" s="11" t="str">
        <f>IFERROR(IF(VLOOKUP(A2733,[18]PRIORIZADOS!$A:$S,19,FALSE)="","",VLOOKUP(A2733,[18]PRIORIZADOS!$A:$S,19,FALSE)),"")</f>
        <v>Cumplir con las acciones establecidas en el PMI por regimen controlado 2024,  es decir realizar la afiliación al Sistema de Seguridad Social Integral a todo el personal vinculado a la Institución Educativa.</v>
      </c>
      <c r="T2733" s="70" t="str">
        <f>IFERROR(IF(VLOOKUP(A2733,[18]PRIORIZADOS!$A:$T,20,FALSE)="","",VLOOKUP(A2733,[18]PRIORIZADOS!$A:$T,20,FALSE)),"")</f>
        <v>Si</v>
      </c>
      <c r="U2733" s="11" t="str">
        <f>IFERROR(IF(VLOOKUP(A2733,[18]PRIORIZADOS!$A:$U,21,FALSE)="","",VLOOKUP(A2733,[18]PRIORIZADOS!$A:$U,21,FALSE)),"")</f>
        <v>Verificación en el EVI 2025.</v>
      </c>
    </row>
    <row r="2734" spans="1:21" s="1" customFormat="1" ht="72">
      <c r="A2734" s="69">
        <f>IF([18]PRIORIZADOS!A77="","",[18]PRIORIZADOS!A77)</f>
        <v>2723</v>
      </c>
      <c r="B2734" s="70">
        <f>IFERROR(IF(VLOOKUP(A2734,[18]PRIORIZADOS!$A:$B,2,FALSE)="","",VLOOKUP(A2734,[18]PRIORIZADOS!$A:$B,2,FALSE)),"")</f>
        <v>9</v>
      </c>
      <c r="C2734" s="11" t="str">
        <f>IFERROR(IF(VLOOKUP(A2734,[18]PRIORIZADOS!$A:$C,3,FALSE)="","",VLOOKUP(A2734,[18]PRIORIZADOS!$A:$C,3,FALSE)),"")</f>
        <v>USME</v>
      </c>
      <c r="D2734" s="11" t="str">
        <f>IFERROR(IF(VLOOKUP(A2734,[18]PRIORIZADOS!$A:$D,4,FALSE)="","",VLOOKUP(A2734,[18]PRIORIZADOS!$A:$D,4,FALSE)),"")</f>
        <v>PRIVADO</v>
      </c>
      <c r="E2734" s="11" t="str">
        <f>IFERROR(IF(VLOOKUP(A2734,[18]PRIORIZADOS!$A:$E,5,FALSE)="","",VLOOKUP(A2734,[18]PRIORIZADOS!$A:$E,5,FALSE)),"")</f>
        <v>EPBM</v>
      </c>
      <c r="F2734" s="11" t="str">
        <f>IFERROR(IF(VLOOKUP(A2734,[18]PRIORIZADOS!$A:$F,6,FALSE)="","",VLOOKUP(A2734,[18]PRIORIZADOS!$A:$F,6,FALSE)),"")</f>
        <v>COLEGIO_ARIEL_DAVID</v>
      </c>
      <c r="G2734" s="11" t="str">
        <f>IFERROR(IF(VLOOKUP(A2734,[18]PRIORIZADOS!$A:$G,7,FALSE)="","",VLOOKUP(A2734,[18]PRIORIZADOS!$A:$G,7,FALSE)),"")</f>
        <v>COLEGIO ARIEL DAVID</v>
      </c>
      <c r="H2734" s="11" t="str">
        <f>IFERROR(IF(VLOOKUP(A2734,[18]PRIORIZADOS!$A:$H,8,FALSE)="","",VLOOKUP(A2734,[18]PRIORIZADOS!$A:$H,8,FALSE)),"")</f>
        <v>Autoevaluación Institucional y Pruebas SABER 11</v>
      </c>
      <c r="I2734" s="11" t="str">
        <f>IFERROR(IF(VLOOKUP(A2734,[18]PRIORIZADOS!$A:$I,9,FALSE)="","",VLOOKUP(A2734,[18]PRIORIZADOS!$A:$I,9,FALSE)),"")</f>
        <v>SEGUIMIENTO_Y_SUPERVISIÓN.</v>
      </c>
      <c r="J2734" s="11" t="str">
        <f>IFERROR(IF(VLOOKUP(A2734,[18]PRIORIZADOS!$A:$J,10,FALSE)="","",VLOOKUP(A2734,[18]PRIORIZADOS!$A:$J,10,FALSE)),"")</f>
        <v>Realizar visitas para verificar la información registrada sobre la autoevaluación institucional en el aplicativo EVI, a los establecimientos de educación formal no oficial.</v>
      </c>
      <c r="K2734" s="11" t="str">
        <f>IFERROR(IF(VLOOKUP(A2734,[18]PRIORIZADOS!$A:$K,11,FALSE)="","",VLOOKUP(A2734,[18]PRIORIZADOS!$A:$K,11,FALSE)),"")</f>
        <v>KATHERINE HERNÁNDEZ RUBIANO</v>
      </c>
      <c r="L2734" s="11" t="str">
        <f>IFERROR(IF(VLOOKUP(A2734,[18]PRIORIZADOS!$A:$L,12,FALSE)="","",VLOOKUP(A2734,[18]PRIORIZADOS!$A:$L,12,FALSE)),"")</f>
        <v>FRANCY LORENA RODRIGUEZ CASTRO</v>
      </c>
      <c r="M2734" s="71">
        <f>IFERROR(IF(VLOOKUP(A2734,[18]PRIORIZADOS!$A:$M,13,FALSE)="","",VLOOKUP(A2734,[18]PRIORIZADOS!$A:$M,13,FALSE)),"")</f>
        <v>45860</v>
      </c>
      <c r="N2734" s="71">
        <f>IFERROR(IF(VLOOKUP(A2734,[18]PRIORIZADOS!$A:$N,14,FALSE)="","",VLOOKUP(A2734,[18]PRIORIZADOS!$A:$N,14,FALSE)),"")</f>
        <v>45861</v>
      </c>
      <c r="O2734" s="71">
        <f>IFERROR(IF(VLOOKUP(A2734,[18]PRIORIZADOS!$A:$O,15,FALSE)="","",VLOOKUP(A2734,[18]PRIORIZADOS!$A:$O,15,FALSE)),"")</f>
        <v>45862</v>
      </c>
      <c r="P2734" s="11" t="str">
        <f>IFERROR(IF(VLOOKUP(A2734,[18]PRIORIZADOS!$A:$P,16,FALSE)="","",VLOOKUP(A2734,[18]PRIORIZADOS!$A:$P,16,FALSE)),"")</f>
        <v>Visitas de evaluación con fines de mejoramiento</v>
      </c>
      <c r="Q2734" s="2" t="s">
        <v>524</v>
      </c>
      <c r="R2734" s="11" t="str">
        <f>IFERROR(IF(VLOOKUP(A2734,[18]PRIORIZADOS!$A:$R,18,FALSE)="","",VLOOKUP(A2734,[18]PRIORIZADOS!$A:$R,18,FALSE)),"")</f>
        <v>No hay correspondencia entre el número de estudiantes registrados en el EVI - SIMAT y la matricula registrada en el momento de la visita, ni tampoco la relación de de los estudiantes de los estudiantes con discapacidad.</v>
      </c>
      <c r="S2734" s="11" t="str">
        <f>IFERROR(IF(VLOOKUP(A2734,[18]PRIORIZADOS!$A:$S,19,FALSE)="","",VLOOKUP(A2734,[18]PRIORIZADOS!$A:$S,19,FALSE)),"")</f>
        <v>La institución educativa se compromete a actualizar la información en el SIMAT.</v>
      </c>
      <c r="T2734" s="70" t="str">
        <f>IFERROR(IF(VLOOKUP(A2734,[18]PRIORIZADOS!$A:$T,20,FALSE)="","",VLOOKUP(A2734,[18]PRIORIZADOS!$A:$T,20,FALSE)),"")</f>
        <v>Si</v>
      </c>
      <c r="U2734" s="11" t="str">
        <f>IFERROR(IF(VLOOKUP(A2734,[18]PRIORIZADOS!$A:$U,21,FALSE)="","",VLOOKUP(A2734,[18]PRIORIZADOS!$A:$U,21,FALSE)),"")</f>
        <v>Verificación en el EVI 2025.</v>
      </c>
    </row>
    <row r="2735" spans="1:21" s="1" customFormat="1" ht="72">
      <c r="A2735" s="69">
        <f>IF([18]PRIORIZADOS!A78="","",[18]PRIORIZADOS!A78)</f>
        <v>2724</v>
      </c>
      <c r="B2735" s="70">
        <f>IFERROR(IF(VLOOKUP(A2735,[18]PRIORIZADOS!$A:$B,2,FALSE)="","",VLOOKUP(A2735,[18]PRIORIZADOS!$A:$B,2,FALSE)),"")</f>
        <v>9</v>
      </c>
      <c r="C2735" s="11" t="str">
        <f>IFERROR(IF(VLOOKUP(A2735,[18]PRIORIZADOS!$A:$C,3,FALSE)="","",VLOOKUP(A2735,[18]PRIORIZADOS!$A:$C,3,FALSE)),"")</f>
        <v>USME</v>
      </c>
      <c r="D2735" s="11" t="str">
        <f>IFERROR(IF(VLOOKUP(A2735,[18]PRIORIZADOS!$A:$D,4,FALSE)="","",VLOOKUP(A2735,[18]PRIORIZADOS!$A:$D,4,FALSE)),"")</f>
        <v>PRIVADO</v>
      </c>
      <c r="E2735" s="11" t="str">
        <f>IFERROR(IF(VLOOKUP(A2735,[18]PRIORIZADOS!$A:$E,5,FALSE)="","",VLOOKUP(A2735,[18]PRIORIZADOS!$A:$E,5,FALSE)),"")</f>
        <v>EPBM</v>
      </c>
      <c r="F2735" s="11" t="str">
        <f>IFERROR(IF(VLOOKUP(A2735,[18]PRIORIZADOS!$A:$F,6,FALSE)="","",VLOOKUP(A2735,[18]PRIORIZADOS!$A:$F,6,FALSE)),"")</f>
        <v>COLEGIO_ARIEL_DAVID</v>
      </c>
      <c r="G2735" s="11" t="str">
        <f>IFERROR(IF(VLOOKUP(A2735,[18]PRIORIZADOS!$A:$G,7,FALSE)="","",VLOOKUP(A2735,[18]PRIORIZADOS!$A:$G,7,FALSE)),"")</f>
        <v>COLEGIO ARIEL DAVID</v>
      </c>
      <c r="H2735" s="11" t="str">
        <f>IFERROR(IF(VLOOKUP(A2735,[18]PRIORIZADOS!$A:$H,8,FALSE)="","",VLOOKUP(A2735,[18]PRIORIZADOS!$A:$H,8,FALSE)),"")</f>
        <v>Autoevaluación Institucional y Pruebas SABER 11</v>
      </c>
      <c r="I2735" s="11" t="str">
        <f>IFERROR(IF(VLOOKUP(A2735,[18]PRIORIZADOS!$A:$I,9,FALSE)="","",VLOOKUP(A2735,[18]PRIORIZADOS!$A:$I,9,FALSE)),"")</f>
        <v>SEGUIMIENTO_Y_SUPERVISIÓN.</v>
      </c>
      <c r="J2735" s="11" t="str">
        <f>IFERROR(IF(VLOOKUP(A2735,[18]PRIORIZADOS!$A:$J,10,FALSE)="","",VLOOKUP(A2735,[18]PRIORIZADOS!$A:$J,10,FALSE)),"")</f>
        <v>Proponer estrategias en la formulación, verificar su elaboración y realizar seguimiento semestral al desarrollo de  las acciones establecidas en los planes de mejoramiento por pruebas SABER 11 de los establecimientos de educación formal.</v>
      </c>
      <c r="K2735" s="11" t="str">
        <f>IFERROR(IF(VLOOKUP(A2735,[18]PRIORIZADOS!$A:$K,11,FALSE)="","",VLOOKUP(A2735,[18]PRIORIZADOS!$A:$K,11,FALSE)),"")</f>
        <v>KATHERINE HERNÁNDEZ RUBIANO</v>
      </c>
      <c r="L2735" s="11" t="str">
        <f>IFERROR(IF(VLOOKUP(A2735,[18]PRIORIZADOS!$A:$L,12,FALSE)="","",VLOOKUP(A2735,[18]PRIORIZADOS!$A:$L,12,FALSE)),"")</f>
        <v>FRANCY LORENA RODRIGUEZ CASTRO</v>
      </c>
      <c r="M2735" s="71">
        <f>IFERROR(IF(VLOOKUP(A2735,[18]PRIORIZADOS!$A:$M,13,FALSE)="","",VLOOKUP(A2735,[18]PRIORIZADOS!$A:$M,13,FALSE)),"")</f>
        <v>45860</v>
      </c>
      <c r="N2735" s="71">
        <f>IFERROR(IF(VLOOKUP(A2735,[18]PRIORIZADOS!$A:$N,14,FALSE)="","",VLOOKUP(A2735,[18]PRIORIZADOS!$A:$N,14,FALSE)),"")</f>
        <v>45861</v>
      </c>
      <c r="O2735" s="71">
        <f>IFERROR(IF(VLOOKUP(A2735,[18]PRIORIZADOS!$A:$O,15,FALSE)="","",VLOOKUP(A2735,[18]PRIORIZADOS!$A:$O,15,FALSE)),"")</f>
        <v>45862</v>
      </c>
      <c r="P2735" s="11" t="str">
        <f>IFERROR(IF(VLOOKUP(A2735,[18]PRIORIZADOS!$A:$P,16,FALSE)="","",VLOOKUP(A2735,[18]PRIORIZADOS!$A:$P,16,FALSE)),"")</f>
        <v>Visitas de evaluación con fines de mejoramiento</v>
      </c>
      <c r="Q2735" s="2" t="s">
        <v>524</v>
      </c>
      <c r="R2735" s="11" t="str">
        <f>IFERROR(IF(VLOOKUP(A2735,[18]PRIORIZADOS!$A:$R,18,FALSE)="","",VLOOKUP(A2735,[18]PRIORIZADOS!$A:$R,18,FALSE)),"")</f>
        <v>La institución educativa, no cuenta con evidencia que permita corroborar estrategias de formulación de planes de mejoramiento respecto al resultado de las Pruebas Saber 11</v>
      </c>
      <c r="S2735" s="11" t="str">
        <f>IFERROR(IF(VLOOKUP(A2735,[18]PRIORIZADOS!$A:$S,19,FALSE)="","",VLOOKUP(A2735,[18]PRIORIZADOS!$A:$S,19,FALSE)),"")</f>
        <v>La institución educativa , se compromete a realizar el proceso de análisis y formulación de estrategias de mejora, relacionadas con este aspecto en las sesiones del Consejo Académico, documentando su proceso.</v>
      </c>
      <c r="T2735" s="70" t="str">
        <f>IFERROR(IF(VLOOKUP(A2735,[18]PRIORIZADOS!$A:$T,20,FALSE)="","",VLOOKUP(A2735,[18]PRIORIZADOS!$A:$T,20,FALSE)),"")</f>
        <v>Si</v>
      </c>
      <c r="U2735" s="11" t="str">
        <f>IFERROR(IF(VLOOKUP(A2735,[18]PRIORIZADOS!$A:$U,21,FALSE)="","",VLOOKUP(A2735,[18]PRIORIZADOS!$A:$U,21,FALSE)),"")</f>
        <v>Visita de seguimiento en el primer trimestre de 2026</v>
      </c>
    </row>
    <row r="2736" spans="1:21" s="1" customFormat="1" ht="154.5">
      <c r="A2736" s="69">
        <f>IF([18]PRIORIZADOS!A79="","",[18]PRIORIZADOS!A79)</f>
        <v>2725</v>
      </c>
      <c r="B2736" s="70">
        <f>IFERROR(IF(VLOOKUP(A2736,[18]PRIORIZADOS!$A:$B,2,FALSE)="","",VLOOKUP(A2736,[18]PRIORIZADOS!$A:$B,2,FALSE)),"")</f>
        <v>9</v>
      </c>
      <c r="C2736" s="11" t="str">
        <f>IFERROR(IF(VLOOKUP(A2736,[18]PRIORIZADOS!$A:$C,3,FALSE)="","",VLOOKUP(A2736,[18]PRIORIZADOS!$A:$C,3,FALSE)),"")</f>
        <v>USME</v>
      </c>
      <c r="D2736" s="11" t="str">
        <f>IFERROR(IF(VLOOKUP(A2736,[18]PRIORIZADOS!$A:$D,4,FALSE)="","",VLOOKUP(A2736,[18]PRIORIZADOS!$A:$D,4,FALSE)),"")</f>
        <v>PRIVADO</v>
      </c>
      <c r="E2736" s="11" t="str">
        <f>IFERROR(IF(VLOOKUP(A2736,[18]PRIORIZADOS!$A:$E,5,FALSE)="","",VLOOKUP(A2736,[18]PRIORIZADOS!$A:$E,5,FALSE)),"")</f>
        <v>EPBM</v>
      </c>
      <c r="F2736" s="11" t="str">
        <f>IFERROR(IF(VLOOKUP(A2736,[18]PRIORIZADOS!$A:$F,6,FALSE)="","",VLOOKUP(A2736,[18]PRIORIZADOS!$A:$F,6,FALSE)),"")</f>
        <v>COLEGIO_ARIEL_DAVID</v>
      </c>
      <c r="G2736" s="11" t="str">
        <f>IFERROR(IF(VLOOKUP(A2736,[18]PRIORIZADOS!$A:$G,7,FALSE)="","",VLOOKUP(A2736,[18]PRIORIZADOS!$A:$G,7,FALSE)),"")</f>
        <v>COLEGIO ARIEL DAVID</v>
      </c>
      <c r="H2736" s="11" t="str">
        <f>IFERROR(IF(VLOOKUP(A2736,[18]PRIORIZADOS!$A:$H,8,FALSE)="","",VLOOKUP(A2736,[18]PRIORIZADOS!$A:$H,8,FALSE)),"")</f>
        <v>Autoevaluación Institucional y Pruebas SABER 11</v>
      </c>
      <c r="I2736" s="11" t="str">
        <f>IFERROR(IF(VLOOKUP(A2736,[18]PRIORIZADOS!$A:$I,9,FALSE)="","",VLOOKUP(A2736,[18]PRIORIZADOS!$A:$I,9,FALSE)),"")</f>
        <v>SEGUIMIENTO_Y_SUPERVISIÓN.</v>
      </c>
      <c r="J2736" s="11" t="str">
        <f>IFERROR(IF(VLOOKUP(A2736,[18]PRIORIZADOS!$A:$J,10,FALSE)="","",VLOOKUP(A2736,[18]PRIORIZADOS!$A:$J,10,FALSE)),"")</f>
        <v xml:space="preserve">Verificar la implementación por parte de los colegios, de acciones realizadas para la prevención y atención de las situaciones de convivencia en el entorno escolar, según lo establecido en la Directiva 01 de 2022 del MEN. </v>
      </c>
      <c r="K2736" s="11" t="str">
        <f>IFERROR(IF(VLOOKUP(A2736,[18]PRIORIZADOS!$A:$K,11,FALSE)="","",VLOOKUP(A2736,[18]PRIORIZADOS!$A:$K,11,FALSE)),"")</f>
        <v>KATHERINE HERNÁNDEZ RUBIANO</v>
      </c>
      <c r="L2736" s="11" t="str">
        <f>IFERROR(IF(VLOOKUP(A2736,[18]PRIORIZADOS!$A:$L,12,FALSE)="","",VLOOKUP(A2736,[18]PRIORIZADOS!$A:$L,12,FALSE)),"")</f>
        <v>FRANCY LORENA RODRIGUEZ CASTRO</v>
      </c>
      <c r="M2736" s="71">
        <f>IFERROR(IF(VLOOKUP(A2736,[18]PRIORIZADOS!$A:$M,13,FALSE)="","",VLOOKUP(A2736,[18]PRIORIZADOS!$A:$M,13,FALSE)),"")</f>
        <v>45860</v>
      </c>
      <c r="N2736" s="71">
        <f>IFERROR(IF(VLOOKUP(A2736,[18]PRIORIZADOS!$A:$N,14,FALSE)="","",VLOOKUP(A2736,[18]PRIORIZADOS!$A:$N,14,FALSE)),"")</f>
        <v>45861</v>
      </c>
      <c r="O2736" s="71">
        <f>IFERROR(IF(VLOOKUP(A2736,[18]PRIORIZADOS!$A:$O,15,FALSE)="","",VLOOKUP(A2736,[18]PRIORIZADOS!$A:$O,15,FALSE)),"")</f>
        <v>45862</v>
      </c>
      <c r="P2736" s="11" t="str">
        <f>IFERROR(IF(VLOOKUP(A2736,[18]PRIORIZADOS!$A:$P,16,FALSE)="","",VLOOKUP(A2736,[18]PRIORIZADOS!$A:$P,16,FALSE)),"")</f>
        <v>Visitas de evaluación con fines de mejoramiento</v>
      </c>
      <c r="Q2736" s="2" t="s">
        <v>524</v>
      </c>
      <c r="R2736" s="11" t="str">
        <f>IFERROR(IF(VLOOKUP(A2736,[18]PRIORIZADOS!$A:$R,18,FALSE)="","",VLOOKUP(A2736,[18]PRIORIZADOS!$A:$R,18,FALSE)),"")</f>
        <v>En la revisión documental no  hay evidencias que permitan determinar sí se han desarrollado acciones pedagógicas ara la prevención de violencia sexual en las jornadas pedagógicas de formación a docentes, escuelas de padres , proyectos transversales o en el proyecto de convivencia escolar. Frente a la revisión cada 4 meses de las inhabilidades por delitos sexuales del personal vinculado a la IE, presenta certificados emitidos el 18/07/2025, en los otros otros meses del año no realizó la vertificación</v>
      </c>
      <c r="S2736" s="11" t="str">
        <f>IFERROR(IF(VLOOKUP(A2736,[18]PRIORIZADOS!$A:$S,19,FALSE)="","",VLOOKUP(A2736,[18]PRIORIZADOS!$A:$S,19,FALSE)),"")</f>
        <v>La institución educativa se compromete a presentar la información sobre los proyectos sociales obligatorios (educación sexual).</v>
      </c>
      <c r="T2736" s="70" t="str">
        <f>IFERROR(IF(VLOOKUP(A2736,[18]PRIORIZADOS!$A:$T,20,FALSE)="","",VLOOKUP(A2736,[18]PRIORIZADOS!$A:$T,20,FALSE)),"")</f>
        <v>Si</v>
      </c>
      <c r="U2736" s="11" t="str">
        <f>IFERROR(IF(VLOOKUP(A2736,[18]PRIORIZADOS!$A:$U,21,FALSE)="","",VLOOKUP(A2736,[18]PRIORIZADOS!$A:$U,21,FALSE)),"")</f>
        <v>Visita de seguimiento en el primer trimestre de 2026</v>
      </c>
    </row>
    <row r="2737" spans="1:21" s="1" customFormat="1" ht="72">
      <c r="A2737" s="69">
        <f>IF([18]PRIORIZADOS!A80="","",[18]PRIORIZADOS!A80)</f>
        <v>2726</v>
      </c>
      <c r="B2737" s="70">
        <f>IFERROR(IF(VLOOKUP(A2737,[18]PRIORIZADOS!$A:$B,2,FALSE)="","",VLOOKUP(A2737,[18]PRIORIZADOS!$A:$B,2,FALSE)),"")</f>
        <v>9</v>
      </c>
      <c r="C2737" s="11" t="str">
        <f>IFERROR(IF(VLOOKUP(A2737,[18]PRIORIZADOS!$A:$C,3,FALSE)="","",VLOOKUP(A2737,[18]PRIORIZADOS!$A:$C,3,FALSE)),"")</f>
        <v>USME</v>
      </c>
      <c r="D2737" s="11" t="str">
        <f>IFERROR(IF(VLOOKUP(A2737,[18]PRIORIZADOS!$A:$D,4,FALSE)="","",VLOOKUP(A2737,[18]PRIORIZADOS!$A:$D,4,FALSE)),"")</f>
        <v>PRIVADO</v>
      </c>
      <c r="E2737" s="11" t="str">
        <f>IFERROR(IF(VLOOKUP(A2737,[18]PRIORIZADOS!$A:$E,5,FALSE)="","",VLOOKUP(A2737,[18]PRIORIZADOS!$A:$E,5,FALSE)),"")</f>
        <v>EPBM</v>
      </c>
      <c r="F2737" s="11" t="str">
        <f>IFERROR(IF(VLOOKUP(A2737,[18]PRIORIZADOS!$A:$F,6,FALSE)="","",VLOOKUP(A2737,[18]PRIORIZADOS!$A:$F,6,FALSE)),"")</f>
        <v>COLEGIO_ARIEL_DAVID</v>
      </c>
      <c r="G2737" s="11" t="str">
        <f>IFERROR(IF(VLOOKUP(A2737,[18]PRIORIZADOS!$A:$G,7,FALSE)="","",VLOOKUP(A2737,[18]PRIORIZADOS!$A:$G,7,FALSE)),"")</f>
        <v>COLEGIO ARIEL DAVID</v>
      </c>
      <c r="H2737" s="11" t="str">
        <f>IFERROR(IF(VLOOKUP(A2737,[18]PRIORIZADOS!$A:$H,8,FALSE)="","",VLOOKUP(A2737,[18]PRIORIZADOS!$A:$H,8,FALSE)),"")</f>
        <v>Autoevaluación Institucional y Pruebas SABER 11</v>
      </c>
      <c r="I2737" s="11" t="str">
        <f>IFERROR(IF(VLOOKUP(A2737,[18]PRIORIZADOS!$A:$I,9,FALSE)="","",VLOOKUP(A2737,[18]PRIORIZADOS!$A:$I,9,FALSE)),"")</f>
        <v>SEGUIMIENTO_Y_SUPERVISIÓN.</v>
      </c>
      <c r="J2737" s="11" t="str">
        <f>IFERROR(IF(VLOOKUP(A2737,[18]PRIORIZADOS!$A:$J,10,FALSE)="","",VLOOKUP(A2737,[18]PRIORIZADOS!$A:$J,10,FALSE)),"")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37" s="11" t="str">
        <f>IFERROR(IF(VLOOKUP(A2737,[18]PRIORIZADOS!$A:$K,11,FALSE)="","",VLOOKUP(A2737,[18]PRIORIZADOS!$A:$K,11,FALSE)),"")</f>
        <v>KATHERINE HERNÁNDEZ RUBIANO</v>
      </c>
      <c r="L2737" s="11" t="str">
        <f>IFERROR(IF(VLOOKUP(A2737,[18]PRIORIZADOS!$A:$L,12,FALSE)="","",VLOOKUP(A2737,[18]PRIORIZADOS!$A:$L,12,FALSE)),"")</f>
        <v>FRANCY LORENA RODRIGUEZ CASTRO</v>
      </c>
      <c r="M2737" s="71">
        <f>IFERROR(IF(VLOOKUP(A2737,[18]PRIORIZADOS!$A:$M,13,FALSE)="","",VLOOKUP(A2737,[18]PRIORIZADOS!$A:$M,13,FALSE)),"")</f>
        <v>45860</v>
      </c>
      <c r="N2737" s="71">
        <f>IFERROR(IF(VLOOKUP(A2737,[18]PRIORIZADOS!$A:$N,14,FALSE)="","",VLOOKUP(A2737,[18]PRIORIZADOS!$A:$N,14,FALSE)),"")</f>
        <v>45861</v>
      </c>
      <c r="O2737" s="71">
        <f>IFERROR(IF(VLOOKUP(A2737,[18]PRIORIZADOS!$A:$O,15,FALSE)="","",VLOOKUP(A2737,[18]PRIORIZADOS!$A:$O,15,FALSE)),"")</f>
        <v>45862</v>
      </c>
      <c r="P2737" s="11" t="str">
        <f>IFERROR(IF(VLOOKUP(A2737,[18]PRIORIZADOS!$A:$P,16,FALSE)="","",VLOOKUP(A2737,[18]PRIORIZADOS!$A:$P,16,FALSE)),"")</f>
        <v>Visitas de evaluación con fines de mejoramiento</v>
      </c>
      <c r="Q2737" s="2" t="s">
        <v>524</v>
      </c>
      <c r="R2737" s="11" t="str">
        <f>IFERROR(IF(VLOOKUP(A2737,[18]PRIORIZADOS!$A:$R,18,FALSE)="","",VLOOKUP(A2737,[18]PRIORIZADOS!$A:$R,18,FALSE)),"")</f>
        <v>Presenta como evidencia documentos PIAR 2024-2025, sin embargo , algunos no contienen la caracterización pedagógica, no estan actualizados o no estan firmados por los padres de familia.</v>
      </c>
      <c r="S2737" s="11" t="str">
        <f>IFERROR(IF(VLOOKUP(A2737,[18]PRIORIZADOS!$A:$S,19,FALSE)="","",VLOOKUP(A2737,[18]PRIORIZADOS!$A:$S,19,FALSE)),"")</f>
        <v>La institución educativa se compromete a hacer la caracterización pedagógica de los estudioantes con trastornos de aprendizaje y talentos excepcionales y actualizar el PIAR  para socializarlo con los padres de familia y/o acudientes.</v>
      </c>
      <c r="T2737" s="70" t="str">
        <f>IFERROR(IF(VLOOKUP(A2737,[18]PRIORIZADOS!$A:$T,20,FALSE)="","",VLOOKUP(A2737,[18]PRIORIZADOS!$A:$T,20,FALSE)),"")</f>
        <v>Si</v>
      </c>
      <c r="U2737" s="11" t="str">
        <f>IFERROR(IF(VLOOKUP(A2737,[18]PRIORIZADOS!$A:$U,21,FALSE)="","",VLOOKUP(A2737,[18]PRIORIZADOS!$A:$U,21,FALSE)),"")</f>
        <v>Visita de seguimiento en el primer trimestre de 2026</v>
      </c>
    </row>
    <row r="2738" spans="1:21" s="1" customFormat="1" ht="84">
      <c r="A2738" s="69">
        <f>IF([18]PRIORIZADOS!A81="","",[18]PRIORIZADOS!A81)</f>
        <v>2727</v>
      </c>
      <c r="B2738" s="70">
        <f>IFERROR(IF(VLOOKUP(A2738,[18]PRIORIZADOS!$A:$B,2,FALSE)="","",VLOOKUP(A2738,[18]PRIORIZADOS!$A:$B,2,FALSE)),"")</f>
        <v>9</v>
      </c>
      <c r="C2738" s="11" t="str">
        <f>IFERROR(IF(VLOOKUP(A2738,[18]PRIORIZADOS!$A:$C,3,FALSE)="","",VLOOKUP(A2738,[18]PRIORIZADOS!$A:$C,3,FALSE)),"")</f>
        <v>USME</v>
      </c>
      <c r="D2738" s="11" t="str">
        <f>IFERROR(IF(VLOOKUP(A2738,[18]PRIORIZADOS!$A:$D,4,FALSE)="","",VLOOKUP(A2738,[18]PRIORIZADOS!$A:$D,4,FALSE)),"")</f>
        <v>PRIVADO</v>
      </c>
      <c r="E2738" s="11" t="str">
        <f>IFERROR(IF(VLOOKUP(A2738,[18]PRIORIZADOS!$A:$E,5,FALSE)="","",VLOOKUP(A2738,[18]PRIORIZADOS!$A:$E,5,FALSE)),"")</f>
        <v>EPBM</v>
      </c>
      <c r="F2738" s="11" t="str">
        <f>IFERROR(IF(VLOOKUP(A2738,[18]PRIORIZADOS!$A:$F,6,FALSE)="","",VLOOKUP(A2738,[18]PRIORIZADOS!$A:$F,6,FALSE)),"")</f>
        <v>COLEGIO_ARIEL_DAVID</v>
      </c>
      <c r="G2738" s="11" t="str">
        <f>IFERROR(IF(VLOOKUP(A2738,[18]PRIORIZADOS!$A:$G,7,FALSE)="","",VLOOKUP(A2738,[18]PRIORIZADOS!$A:$G,7,FALSE)),"")</f>
        <v>COLEGIO ARIEL DAVID</v>
      </c>
      <c r="H2738" s="11" t="str">
        <f>IFERROR(IF(VLOOKUP(A2738,[18]PRIORIZADOS!$A:$H,8,FALSE)="","",VLOOKUP(A2738,[18]PRIORIZADOS!$A:$H,8,FALSE)),"")</f>
        <v>Autoevaluación Institucional y Pruebas SABER 11</v>
      </c>
      <c r="I2738" s="11" t="str">
        <f>IFERROR(IF(VLOOKUP(A2738,[18]PRIORIZADOS!$A:$I,9,FALSE)="","",VLOOKUP(A2738,[18]PRIORIZADOS!$A:$I,9,FALSE)),"")</f>
        <v>EVALUACIÓN_CON_FINES_DE_MEJORAMIENTO.</v>
      </c>
      <c r="J2738" s="11" t="str">
        <f>IFERROR(IF(VLOOKUP(A2738,[18]PRIORIZADOS!$A:$J,10,FALSE)="","",VLOOKUP(A2738,[18]PRIORIZADOS!$A:$J,10,FALSE)),"")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38" s="11" t="str">
        <f>IFERROR(IF(VLOOKUP(A2738,[18]PRIORIZADOS!$A:$K,11,FALSE)="","",VLOOKUP(A2738,[18]PRIORIZADOS!$A:$K,11,FALSE)),"")</f>
        <v>KATHERINE HERNÁNDEZ RUBIANO</v>
      </c>
      <c r="L2738" s="11" t="str">
        <f>IFERROR(IF(VLOOKUP(A2738,[18]PRIORIZADOS!$A:$L,12,FALSE)="","",VLOOKUP(A2738,[18]PRIORIZADOS!$A:$L,12,FALSE)),"")</f>
        <v>FRANCY LORENA RODRIGUEZ CASTRO</v>
      </c>
      <c r="M2738" s="71">
        <f>IFERROR(IF(VLOOKUP(A2738,[18]PRIORIZADOS!$A:$M,13,FALSE)="","",VLOOKUP(A2738,[18]PRIORIZADOS!$A:$M,13,FALSE)),"")</f>
        <v>45860</v>
      </c>
      <c r="N2738" s="71">
        <f>IFERROR(IF(VLOOKUP(A2738,[18]PRIORIZADOS!$A:$N,14,FALSE)="","",VLOOKUP(A2738,[18]PRIORIZADOS!$A:$N,14,FALSE)),"")</f>
        <v>45861</v>
      </c>
      <c r="O2738" s="71">
        <f>IFERROR(IF(VLOOKUP(A2738,[18]PRIORIZADOS!$A:$O,15,FALSE)="","",VLOOKUP(A2738,[18]PRIORIZADOS!$A:$O,15,FALSE)),"")</f>
        <v>45862</v>
      </c>
      <c r="P2738" s="11" t="str">
        <f>IFERROR(IF(VLOOKUP(A2738,[18]PRIORIZADOS!$A:$P,16,FALSE)="","",VLOOKUP(A2738,[18]PRIORIZADOS!$A:$P,16,FALSE)),"")</f>
        <v>Visitas de evaluación con fines de mejoramiento</v>
      </c>
      <c r="Q2738" s="2" t="s">
        <v>524</v>
      </c>
      <c r="R2738" s="11" t="str">
        <f>IFERROR(IF(VLOOKUP(A2738,[18]PRIORIZADOS!$A:$R,18,FALSE)="","",VLOOKUP(A2738,[18]PRIORIZADOS!$A:$R,18,FALSE)),"")</f>
        <v xml:space="preserve">No presenta evidencia de las acciones </v>
      </c>
      <c r="S2738" s="11" t="str">
        <f>IFERROR(IF(VLOOKUP(A2738,[18]PRIORIZADOS!$A:$S,19,FALSE)="","",VLOOKUP(A2738,[18]PRIORIZADOS!$A:$S,19,FALSE)),"")</f>
        <v>La institución se compromete a ajustar el manual de convivencia , de acuerdo con la normativa vigente y las observaciones formuladas en el registro de la visita</v>
      </c>
      <c r="T2738" s="70" t="str">
        <f>IFERROR(IF(VLOOKUP(A2738,[18]PRIORIZADOS!$A:$T,20,FALSE)="","",VLOOKUP(A2738,[18]PRIORIZADOS!$A:$T,20,FALSE)),"")</f>
        <v>Si</v>
      </c>
      <c r="U2738" s="11" t="str">
        <f>IFERROR(IF(VLOOKUP(A2738,[18]PRIORIZADOS!$A:$U,21,FALSE)="","",VLOOKUP(A2738,[18]PRIORIZADOS!$A:$U,21,FALSE)),"")</f>
        <v>Visita de seguimiento en el primer trimestre de 2026</v>
      </c>
    </row>
    <row r="2739" spans="1:21" s="1" customFormat="1" ht="48">
      <c r="A2739" s="69">
        <f>IF([18]PRIORIZADOS!A82="","",[18]PRIORIZADOS!A82)</f>
        <v>2728</v>
      </c>
      <c r="B2739" s="70">
        <f>IFERROR(IF(VLOOKUP(A2739,[18]PRIORIZADOS!$A:$B,2,FALSE)="","",VLOOKUP(A2739,[18]PRIORIZADOS!$A:$B,2,FALSE)),"")</f>
        <v>9</v>
      </c>
      <c r="C2739" s="11" t="str">
        <f>IFERROR(IF(VLOOKUP(A2739,[18]PRIORIZADOS!$A:$C,3,FALSE)="","",VLOOKUP(A2739,[18]PRIORIZADOS!$A:$C,3,FALSE)),"")</f>
        <v>USME</v>
      </c>
      <c r="D2739" s="11" t="str">
        <f>IFERROR(IF(VLOOKUP(A2739,[18]PRIORIZADOS!$A:$D,4,FALSE)="","",VLOOKUP(A2739,[18]PRIORIZADOS!$A:$D,4,FALSE)),"")</f>
        <v>PRIVADO</v>
      </c>
      <c r="E2739" s="11" t="str">
        <f>IFERROR(IF(VLOOKUP(A2739,[18]PRIORIZADOS!$A:$E,5,FALSE)="","",VLOOKUP(A2739,[18]PRIORIZADOS!$A:$E,5,FALSE)),"")</f>
        <v>EPBM</v>
      </c>
      <c r="F2739" s="11" t="str">
        <f>IFERROR(IF(VLOOKUP(A2739,[18]PRIORIZADOS!$A:$F,6,FALSE)="","",VLOOKUP(A2739,[18]PRIORIZADOS!$A:$F,6,FALSE)),"")</f>
        <v>COLEGIO_ARIEL_DAVID</v>
      </c>
      <c r="G2739" s="11" t="str">
        <f>IFERROR(IF(VLOOKUP(A2739,[18]PRIORIZADOS!$A:$G,7,FALSE)="","",VLOOKUP(A2739,[18]PRIORIZADOS!$A:$G,7,FALSE)),"")</f>
        <v>COLEGIO ARIEL DAVID</v>
      </c>
      <c r="H2739" s="11" t="str">
        <f>IFERROR(IF(VLOOKUP(A2739,[18]PRIORIZADOS!$A:$H,8,FALSE)="","",VLOOKUP(A2739,[18]PRIORIZADOS!$A:$H,8,FALSE)),"")</f>
        <v>Autoevaluación Institucional y Pruebas SABER 11</v>
      </c>
      <c r="I2739" s="11" t="str">
        <f>IFERROR(IF(VLOOKUP(A2739,[18]PRIORIZADOS!$A:$I,9,FALSE)="","",VLOOKUP(A2739,[18]PRIORIZADOS!$A:$I,9,FALSE)),"")</f>
        <v>EVALUACIÓN_CON_FINES_DE_MEJORAMIENTO.</v>
      </c>
      <c r="J2739" s="11" t="str">
        <f>IFERROR(IF(VLOOKUP(A2739,[18]PRIORIZADOS!$A:$J,10,FALSE)="","",VLOOKUP(A2739,[18]PRIORIZADOS!$A:$J,10,FALSE)),"")</f>
        <v>Revisar la actualización, socialización e implementación del Sistema Institucional de Evaluación de Estudiantes - SIEE, en articulación con la actualización del PEI y la normatividad vigente.</v>
      </c>
      <c r="K2739" s="11" t="str">
        <f>IFERROR(IF(VLOOKUP(A2739,[18]PRIORIZADOS!$A:$K,11,FALSE)="","",VLOOKUP(A2739,[18]PRIORIZADOS!$A:$K,11,FALSE)),"")</f>
        <v>KATHERINE HERNÁNDEZ RUBIANO</v>
      </c>
      <c r="L2739" s="11" t="str">
        <f>IFERROR(IF(VLOOKUP(A2739,[18]PRIORIZADOS!$A:$L,12,FALSE)="","",VLOOKUP(A2739,[18]PRIORIZADOS!$A:$L,12,FALSE)),"")</f>
        <v>FRANCY LORENA RODRIGUEZ CASTRO</v>
      </c>
      <c r="M2739" s="71">
        <f>IFERROR(IF(VLOOKUP(A2739,[18]PRIORIZADOS!$A:$M,13,FALSE)="","",VLOOKUP(A2739,[18]PRIORIZADOS!$A:$M,13,FALSE)),"")</f>
        <v>45860</v>
      </c>
      <c r="N2739" s="71">
        <f>IFERROR(IF(VLOOKUP(A2739,[18]PRIORIZADOS!$A:$N,14,FALSE)="","",VLOOKUP(A2739,[18]PRIORIZADOS!$A:$N,14,FALSE)),"")</f>
        <v>45861</v>
      </c>
      <c r="O2739" s="71">
        <f>IFERROR(IF(VLOOKUP(A2739,[18]PRIORIZADOS!$A:$O,15,FALSE)="","",VLOOKUP(A2739,[18]PRIORIZADOS!$A:$O,15,FALSE)),"")</f>
        <v>45862</v>
      </c>
      <c r="P2739" s="11" t="str">
        <f>IFERROR(IF(VLOOKUP(A2739,[18]PRIORIZADOS!$A:$P,16,FALSE)="","",VLOOKUP(A2739,[18]PRIORIZADOS!$A:$P,16,FALSE)),"")</f>
        <v>Visitas de evaluación con fines de mejoramiento</v>
      </c>
      <c r="Q2739" s="2" t="s">
        <v>524</v>
      </c>
      <c r="R2739" s="11" t="str">
        <f>IFERROR(IF(VLOOKUP(A2739,[18]PRIORIZADOS!$A:$R,18,FALSE)="","",VLOOKUP(A2739,[18]PRIORIZADOS!$A:$R,18,FALSE)),"")</f>
        <v xml:space="preserve">No presenta evidencia de las acciones </v>
      </c>
      <c r="S2739" s="11" t="str">
        <f>IFERROR(IF(VLOOKUP(A2739,[18]PRIORIZADOS!$A:$S,19,FALSE)="","",VLOOKUP(A2739,[18]PRIORIZADOS!$A:$S,19,FALSE)),"")</f>
        <v>La institución educativa se compromete a documentar el proceso</v>
      </c>
      <c r="T2739" s="70" t="str">
        <f>IFERROR(IF(VLOOKUP(A2739,[18]PRIORIZADOS!$A:$T,20,FALSE)="","",VLOOKUP(A2739,[18]PRIORIZADOS!$A:$T,20,FALSE)),"")</f>
        <v>Si</v>
      </c>
      <c r="U2739" s="11" t="str">
        <f>IFERROR(IF(VLOOKUP(A2739,[18]PRIORIZADOS!$A:$U,21,FALSE)="","",VLOOKUP(A2739,[18]PRIORIZADOS!$A:$U,21,FALSE)),"")</f>
        <v>Visita de seguimiento en el primer trimestre de 2026</v>
      </c>
    </row>
    <row r="2740" spans="1:21" s="1" customFormat="1" ht="48">
      <c r="A2740" s="69">
        <f>IF([18]PRIORIZADOS!A83="","",[18]PRIORIZADOS!A83)</f>
        <v>2729</v>
      </c>
      <c r="B2740" s="70">
        <f>IFERROR(IF(VLOOKUP(A2740,[18]PRIORIZADOS!$A:$B,2,FALSE)="","",VLOOKUP(A2740,[18]PRIORIZADOS!$A:$B,2,FALSE)),"")</f>
        <v>9</v>
      </c>
      <c r="C2740" s="11" t="str">
        <f>IFERROR(IF(VLOOKUP(A2740,[18]PRIORIZADOS!$A:$C,3,FALSE)="","",VLOOKUP(A2740,[18]PRIORIZADOS!$A:$C,3,FALSE)),"")</f>
        <v>USME</v>
      </c>
      <c r="D2740" s="11" t="str">
        <f>IFERROR(IF(VLOOKUP(A2740,[18]PRIORIZADOS!$A:$D,4,FALSE)="","",VLOOKUP(A2740,[18]PRIORIZADOS!$A:$D,4,FALSE)),"")</f>
        <v>PRIVADO</v>
      </c>
      <c r="E2740" s="11" t="str">
        <f>IFERROR(IF(VLOOKUP(A2740,[18]PRIORIZADOS!$A:$E,5,FALSE)="","",VLOOKUP(A2740,[18]PRIORIZADOS!$A:$E,5,FALSE)),"")</f>
        <v>EPBM</v>
      </c>
      <c r="F2740" s="11" t="str">
        <f>IFERROR(IF(VLOOKUP(A2740,[18]PRIORIZADOS!$A:$F,6,FALSE)="","",VLOOKUP(A2740,[18]PRIORIZADOS!$A:$F,6,FALSE)),"")</f>
        <v>COLEGIO_ARIEL_DAVID</v>
      </c>
      <c r="G2740" s="11" t="str">
        <f>IFERROR(IF(VLOOKUP(A2740,[18]PRIORIZADOS!$A:$G,7,FALSE)="","",VLOOKUP(A2740,[18]PRIORIZADOS!$A:$G,7,FALSE)),"")</f>
        <v>COLEGIO ARIEL DAVID</v>
      </c>
      <c r="H2740" s="11" t="str">
        <f>IFERROR(IF(VLOOKUP(A2740,[18]PRIORIZADOS!$A:$H,8,FALSE)="","",VLOOKUP(A2740,[18]PRIORIZADOS!$A:$H,8,FALSE)),"")</f>
        <v>Autoevaluación Institucional y Pruebas SABER 11</v>
      </c>
      <c r="I2740" s="11" t="str">
        <f>IFERROR(IF(VLOOKUP(A2740,[18]PRIORIZADOS!$A:$I,9,FALSE)="","",VLOOKUP(A2740,[18]PRIORIZADOS!$A:$I,9,FALSE)),"")</f>
        <v>EVALUACIÓN_CON_FINES_DE_MEJORAMIENTO.</v>
      </c>
      <c r="J2740" s="11" t="str">
        <f>IFERROR(IF(VLOOKUP(A2740,[18]PRIORIZADOS!$A:$J,10,FALSE)="","",VLOOKUP(A2740,[18]PRIORIZADOS!$A:$J,10,FALSE)),"")</f>
        <v>Revisar el calendario escolar, jornada escolar, la intensidad horaria mínima anual en cada nivel y las modificaciones que se realicen al mismo, de acuerdo con lo previsto en la normatividad vigente.</v>
      </c>
      <c r="K2740" s="11" t="str">
        <f>IFERROR(IF(VLOOKUP(A2740,[18]PRIORIZADOS!$A:$K,11,FALSE)="","",VLOOKUP(A2740,[18]PRIORIZADOS!$A:$K,11,FALSE)),"")</f>
        <v>KATHERINE HERNÁNDEZ RUBIANO</v>
      </c>
      <c r="L2740" s="11" t="str">
        <f>IFERROR(IF(VLOOKUP(A2740,[18]PRIORIZADOS!$A:$L,12,FALSE)="","",VLOOKUP(A2740,[18]PRIORIZADOS!$A:$L,12,FALSE)),"")</f>
        <v>FRANCY LORENA RODRIGUEZ CASTRO</v>
      </c>
      <c r="M2740" s="71">
        <f>IFERROR(IF(VLOOKUP(A2740,[18]PRIORIZADOS!$A:$M,13,FALSE)="","",VLOOKUP(A2740,[18]PRIORIZADOS!$A:$M,13,FALSE)),"")</f>
        <v>45860</v>
      </c>
      <c r="N2740" s="71">
        <f>IFERROR(IF(VLOOKUP(A2740,[18]PRIORIZADOS!$A:$N,14,FALSE)="","",VLOOKUP(A2740,[18]PRIORIZADOS!$A:$N,14,FALSE)),"")</f>
        <v>45861</v>
      </c>
      <c r="O2740" s="71">
        <f>IFERROR(IF(VLOOKUP(A2740,[18]PRIORIZADOS!$A:$O,15,FALSE)="","",VLOOKUP(A2740,[18]PRIORIZADOS!$A:$O,15,FALSE)),"")</f>
        <v>45862</v>
      </c>
      <c r="P2740" s="11" t="str">
        <f>IFERROR(IF(VLOOKUP(A2740,[18]PRIORIZADOS!$A:$P,16,FALSE)="","",VLOOKUP(A2740,[18]PRIORIZADOS!$A:$P,16,FALSE)),"")</f>
        <v>Visitas de evaluación con fines de mejoramiento</v>
      </c>
      <c r="Q2740" s="2" t="s">
        <v>524</v>
      </c>
      <c r="R2740" s="11" t="str">
        <f>IFERROR(IF(VLOOKUP(A2740,[18]PRIORIZADOS!$A:$R,18,FALSE)="","",VLOOKUP(A2740,[18]PRIORIZADOS!$A:$R,18,FALSE)),"")</f>
        <v>En la revisión del calendario escolar se encuentra que la distribución horaria en el nivel de media técnica no corresponde en lo establecido en la normatividad vigente.</v>
      </c>
      <c r="S2740" s="11" t="str">
        <f>IFERROR(IF(VLOOKUP(A2740,[18]PRIORIZADOS!$A:$S,19,FALSE)="","",VLOOKUP(A2740,[18]PRIORIZADOS!$A:$S,19,FALSE)),"")</f>
        <v>La institución educativa se compromete a ajustar la intensidad horaria a 1480 horas , asi como el plan de estudios</v>
      </c>
      <c r="T2740" s="70" t="str">
        <f>IFERROR(IF(VLOOKUP(A2740,[18]PRIORIZADOS!$A:$T,20,FALSE)="","",VLOOKUP(A2740,[18]PRIORIZADOS!$A:$T,20,FALSE)),"")</f>
        <v>Si</v>
      </c>
      <c r="U2740" s="11" t="str">
        <f>IFERROR(IF(VLOOKUP(A2740,[18]PRIORIZADOS!$A:$U,21,FALSE)="","",VLOOKUP(A2740,[18]PRIORIZADOS!$A:$U,21,FALSE)),"")</f>
        <v>Visita de seguimiento en el primer trimestre de 2026</v>
      </c>
    </row>
    <row r="2741" spans="1:21" s="1" customFormat="1" ht="72">
      <c r="A2741" s="69">
        <f>IF([18]PRIORIZADOS!A84="","",[18]PRIORIZADOS!A84)</f>
        <v>2730</v>
      </c>
      <c r="B2741" s="70">
        <f>IFERROR(IF(VLOOKUP(A2741,[18]PRIORIZADOS!$A:$B,2,FALSE)="","",VLOOKUP(A2741,[18]PRIORIZADOS!$A:$B,2,FALSE)),"")</f>
        <v>9</v>
      </c>
      <c r="C2741" s="11" t="str">
        <f>IFERROR(IF(VLOOKUP(A2741,[18]PRIORIZADOS!$A:$C,3,FALSE)="","",VLOOKUP(A2741,[18]PRIORIZADOS!$A:$C,3,FALSE)),"")</f>
        <v>USME</v>
      </c>
      <c r="D2741" s="11" t="str">
        <f>IFERROR(IF(VLOOKUP(A2741,[18]PRIORIZADOS!$A:$D,4,FALSE)="","",VLOOKUP(A2741,[18]PRIORIZADOS!$A:$D,4,FALSE)),"")</f>
        <v>PRIVADO</v>
      </c>
      <c r="E2741" s="11" t="str">
        <f>IFERROR(IF(VLOOKUP(A2741,[18]PRIORIZADOS!$A:$E,5,FALSE)="","",VLOOKUP(A2741,[18]PRIORIZADOS!$A:$E,5,FALSE)),"")</f>
        <v>EPBM</v>
      </c>
      <c r="F2741" s="11" t="str">
        <f>IFERROR(IF(VLOOKUP(A2741,[18]PRIORIZADOS!$A:$F,6,FALSE)="","",VLOOKUP(A2741,[18]PRIORIZADOS!$A:$F,6,FALSE)),"")</f>
        <v>COLEGIO_ARIEL_DAVID</v>
      </c>
      <c r="G2741" s="11" t="str">
        <f>IFERROR(IF(VLOOKUP(A2741,[18]PRIORIZADOS!$A:$G,7,FALSE)="","",VLOOKUP(A2741,[18]PRIORIZADOS!$A:$G,7,FALSE)),"")</f>
        <v>COLEGIO ARIEL DAVID</v>
      </c>
      <c r="H2741" s="11" t="str">
        <f>IFERROR(IF(VLOOKUP(A2741,[18]PRIORIZADOS!$A:$H,8,FALSE)="","",VLOOKUP(A2741,[18]PRIORIZADOS!$A:$H,8,FALSE)),"")</f>
        <v>Autoevaluación Institucional y Pruebas SABER 11</v>
      </c>
      <c r="I2741" s="11" t="str">
        <f>IFERROR(IF(VLOOKUP(A2741,[18]PRIORIZADOS!$A:$I,9,FALSE)="","",VLOOKUP(A2741,[18]PRIORIZADOS!$A:$I,9,FALSE)),"")</f>
        <v>EVALUACIÓN_CON_FINES_DE_MEJORAMIENTO.</v>
      </c>
      <c r="J2741" s="11" t="str">
        <f>IFERROR(IF(VLOOKUP(A2741,[18]PRIORIZADOS!$A:$J,10,FALSE)="","",VLOOKUP(A2741,[18]PRIORIZADOS!$A:$J,10,FALSE)),"")</f>
        <v>Verificar el funcionamiento del Gobierno Escolar e instancias de participación con base en la información sobre conformación reportada por la institución educativa.</v>
      </c>
      <c r="K2741" s="11" t="str">
        <f>IFERROR(IF(VLOOKUP(A2741,[18]PRIORIZADOS!$A:$K,11,FALSE)="","",VLOOKUP(A2741,[18]PRIORIZADOS!$A:$K,11,FALSE)),"")</f>
        <v>KATHERINE HERNÁNDEZ RUBIANO</v>
      </c>
      <c r="L2741" s="11" t="str">
        <f>IFERROR(IF(VLOOKUP(A2741,[18]PRIORIZADOS!$A:$L,12,FALSE)="","",VLOOKUP(A2741,[18]PRIORIZADOS!$A:$L,12,FALSE)),"")</f>
        <v>FRANCY LORENA RODRIGUEZ CASTRO</v>
      </c>
      <c r="M2741" s="71">
        <f>IFERROR(IF(VLOOKUP(A2741,[18]PRIORIZADOS!$A:$M,13,FALSE)="","",VLOOKUP(A2741,[18]PRIORIZADOS!$A:$M,13,FALSE)),"")</f>
        <v>45860</v>
      </c>
      <c r="N2741" s="71">
        <f>IFERROR(IF(VLOOKUP(A2741,[18]PRIORIZADOS!$A:$N,14,FALSE)="","",VLOOKUP(A2741,[18]PRIORIZADOS!$A:$N,14,FALSE)),"")</f>
        <v>45861</v>
      </c>
      <c r="O2741" s="71">
        <f>IFERROR(IF(VLOOKUP(A2741,[18]PRIORIZADOS!$A:$O,15,FALSE)="","",VLOOKUP(A2741,[18]PRIORIZADOS!$A:$O,15,FALSE)),"")</f>
        <v>45862</v>
      </c>
      <c r="P2741" s="11" t="str">
        <f>IFERROR(IF(VLOOKUP(A2741,[18]PRIORIZADOS!$A:$P,16,FALSE)="","",VLOOKUP(A2741,[18]PRIORIZADOS!$A:$P,16,FALSE)),"")</f>
        <v>Visitas de evaluación con fines de mejoramiento</v>
      </c>
      <c r="Q2741" s="2" t="s">
        <v>524</v>
      </c>
      <c r="R2741" s="11" t="str">
        <f>IFERROR(IF(VLOOKUP(A2741,[18]PRIORIZADOS!$A:$R,18,FALSE)="","",VLOOKUP(A2741,[18]PRIORIZADOS!$A:$R,18,FALSE)),"")</f>
        <v>No se cuenta con evidencia que permita corroborar dicho aspecto, sin embargo la rectora menciona que en el equipo que reposan dichas actas se encuentra dañado y en proceso de recuperación de la información.</v>
      </c>
      <c r="S2741" s="11" t="str">
        <f>IFERROR(IF(VLOOKUP(A2741,[18]PRIORIZADOS!$A:$S,19,FALSE)="","",VLOOKUP(A2741,[18]PRIORIZADOS!$A:$S,19,FALSE)),"")</f>
        <v>La institución educativa se compromete a documentar el proceso</v>
      </c>
      <c r="T2741" s="70" t="str">
        <f>IFERROR(IF(VLOOKUP(A2741,[18]PRIORIZADOS!$A:$T,20,FALSE)="","",VLOOKUP(A2741,[18]PRIORIZADOS!$A:$T,20,FALSE)),"")</f>
        <v>Si</v>
      </c>
      <c r="U2741" s="11" t="str">
        <f>IFERROR(IF(VLOOKUP(A2741,[18]PRIORIZADOS!$A:$U,21,FALSE)="","",VLOOKUP(A2741,[18]PRIORIZADOS!$A:$U,21,FALSE)),"")</f>
        <v>Visita de seguimiento en el primer trimestre de 2026</v>
      </c>
    </row>
    <row r="2742" spans="1:21" s="1" customFormat="1" ht="60">
      <c r="A2742" s="69">
        <f>IF([18]PRIORIZADOS!A85="","",[18]PRIORIZADOS!A85)</f>
        <v>2731</v>
      </c>
      <c r="B2742" s="70">
        <f>IFERROR(IF(VLOOKUP(A2742,[18]PRIORIZADOS!$A:$B,2,FALSE)="","",VLOOKUP(A2742,[18]PRIORIZADOS!$A:$B,2,FALSE)),"")</f>
        <v>9</v>
      </c>
      <c r="C2742" s="11" t="str">
        <f>IFERROR(IF(VLOOKUP(A2742,[18]PRIORIZADOS!$A:$C,3,FALSE)="","",VLOOKUP(A2742,[18]PRIORIZADOS!$A:$C,3,FALSE)),"")</f>
        <v>USME</v>
      </c>
      <c r="D2742" s="11" t="str">
        <f>IFERROR(IF(VLOOKUP(A2742,[18]PRIORIZADOS!$A:$D,4,FALSE)="","",VLOOKUP(A2742,[18]PRIORIZADOS!$A:$D,4,FALSE)),"")</f>
        <v>PRIVADO</v>
      </c>
      <c r="E2742" s="11" t="str">
        <f>IFERROR(IF(VLOOKUP(A2742,[18]PRIORIZADOS!$A:$E,5,FALSE)="","",VLOOKUP(A2742,[18]PRIORIZADOS!$A:$E,5,FALSE)),"")</f>
        <v>EPBM</v>
      </c>
      <c r="F2742" s="11" t="str">
        <f>IFERROR(IF(VLOOKUP(A2742,[18]PRIORIZADOS!$A:$F,6,FALSE)="","",VLOOKUP(A2742,[18]PRIORIZADOS!$A:$F,6,FALSE)),"")</f>
        <v>COLEGIO_ARIEL_DAVID</v>
      </c>
      <c r="G2742" s="11" t="str">
        <f>IFERROR(IF(VLOOKUP(A2742,[18]PRIORIZADOS!$A:$G,7,FALSE)="","",VLOOKUP(A2742,[18]PRIORIZADOS!$A:$G,7,FALSE)),"")</f>
        <v>COLEGIO ARIEL DAVID</v>
      </c>
      <c r="H2742" s="11" t="str">
        <f>IFERROR(IF(VLOOKUP(A2742,[18]PRIORIZADOS!$A:$H,8,FALSE)="","",VLOOKUP(A2742,[18]PRIORIZADOS!$A:$H,8,FALSE)),"")</f>
        <v>Autoevaluación Institucional y Pruebas SABER 11</v>
      </c>
      <c r="I2742" s="11" t="str">
        <f>IFERROR(IF(VLOOKUP(A2742,[18]PRIORIZADOS!$A:$I,9,FALSE)="","",VLOOKUP(A2742,[18]PRIORIZADOS!$A:$I,9,FALSE)),"")</f>
        <v>EVALUACIÓN_CON_FINES_DE_MEJORAMIENTO.</v>
      </c>
      <c r="J2742" s="11" t="str">
        <f>IFERROR(IF(VLOOKUP(A2742,[18]PRIORIZADOS!$A:$J,10,FALSE)="","",VLOOKUP(A2742,[18]PRIORIZADOS!$A:$J,10,FALSE)),"")</f>
        <v>Verificar las condiciones en cuanto a: la estructura administrativa, condiciones de la planta física y medios educativos adecuados.</v>
      </c>
      <c r="K2742" s="11" t="str">
        <f>IFERROR(IF(VLOOKUP(A2742,[18]PRIORIZADOS!$A:$K,11,FALSE)="","",VLOOKUP(A2742,[18]PRIORIZADOS!$A:$K,11,FALSE)),"")</f>
        <v>KATHERINE HERNÁNDEZ RUBIANO</v>
      </c>
      <c r="L2742" s="11" t="str">
        <f>IFERROR(IF(VLOOKUP(A2742,[18]PRIORIZADOS!$A:$L,12,FALSE)="","",VLOOKUP(A2742,[18]PRIORIZADOS!$A:$L,12,FALSE)),"")</f>
        <v>FRANCY LORENA RODRIGUEZ CASTRO</v>
      </c>
      <c r="M2742" s="71">
        <f>IFERROR(IF(VLOOKUP(A2742,[18]PRIORIZADOS!$A:$M,13,FALSE)="","",VLOOKUP(A2742,[18]PRIORIZADOS!$A:$M,13,FALSE)),"")</f>
        <v>45860</v>
      </c>
      <c r="N2742" s="71">
        <f>IFERROR(IF(VLOOKUP(A2742,[18]PRIORIZADOS!$A:$N,14,FALSE)="","",VLOOKUP(A2742,[18]PRIORIZADOS!$A:$N,14,FALSE)),"")</f>
        <v>45861</v>
      </c>
      <c r="O2742" s="71">
        <f>IFERROR(IF(VLOOKUP(A2742,[18]PRIORIZADOS!$A:$O,15,FALSE)="","",VLOOKUP(A2742,[18]PRIORIZADOS!$A:$O,15,FALSE)),"")</f>
        <v>45862</v>
      </c>
      <c r="P2742" s="11" t="str">
        <f>IFERROR(IF(VLOOKUP(A2742,[18]PRIORIZADOS!$A:$P,16,FALSE)="","",VLOOKUP(A2742,[18]PRIORIZADOS!$A:$P,16,FALSE)),"")</f>
        <v>Visitas de evaluación con fines de mejoramiento</v>
      </c>
      <c r="Q2742" s="2" t="s">
        <v>524</v>
      </c>
      <c r="R2742" s="11" t="str">
        <f>IFERROR(IF(VLOOKUP(A2742,[18]PRIORIZADOS!$A:$R,18,FALSE)="","",VLOOKUP(A2742,[18]PRIORIZADOS!$A:$R,18,FALSE)),"")</f>
        <v>La planta física no cuenta con adaptaciones para  personas en situación con discapacidad física.  El concepto de la Secretaria de Salud es Favorable con requerimientos.</v>
      </c>
      <c r="S2742" s="11" t="str">
        <f>IFERROR(IF(VLOOKUP(A2742,[18]PRIORIZADOS!$A:$S,19,FALSE)="","",VLOOKUP(A2742,[18]PRIORIZADOS!$A:$S,19,FALSE)),"")</f>
        <v>La institución educativa recibirá nuevamente visita por Secretaria de salud en febrero de 2026, se compromete a entregar el nuevo concepto a el ELIV.</v>
      </c>
      <c r="T2742" s="70" t="str">
        <f>IFERROR(IF(VLOOKUP(A2742,[18]PRIORIZADOS!$A:$T,20,FALSE)="","",VLOOKUP(A2742,[18]PRIORIZADOS!$A:$T,20,FALSE)),"")</f>
        <v>Si</v>
      </c>
      <c r="U2742" s="11" t="str">
        <f>IFERROR(IF(VLOOKUP(A2742,[18]PRIORIZADOS!$A:$U,21,FALSE)="","",VLOOKUP(A2742,[18]PRIORIZADOS!$A:$U,21,FALSE)),"")</f>
        <v>Visita de seguimiento en el primer trimestre de 2026</v>
      </c>
    </row>
    <row r="2743" spans="1:21" s="1" customFormat="1" ht="48">
      <c r="A2743" s="69">
        <f>IF([18]PRIORIZADOS!A86="","",[18]PRIORIZADOS!A86)</f>
        <v>2732</v>
      </c>
      <c r="B2743" s="70">
        <f>IFERROR(IF(VLOOKUP(A2743,[18]PRIORIZADOS!$A:$B,2,FALSE)="","",VLOOKUP(A2743,[18]PRIORIZADOS!$A:$B,2,FALSE)),"")</f>
        <v>10</v>
      </c>
      <c r="C2743" s="11" t="str">
        <f>IFERROR(IF(VLOOKUP(A2743,[18]PRIORIZADOS!$A:$C,3,FALSE)="","",VLOOKUP(A2743,[18]PRIORIZADOS!$A:$C,3,FALSE)),"")</f>
        <v>USME</v>
      </c>
      <c r="D2743" s="11" t="str">
        <f>IFERROR(IF(VLOOKUP(A2743,[18]PRIORIZADOS!$A:$D,4,FALSE)="","",VLOOKUP(A2743,[18]PRIORIZADOS!$A:$D,4,FALSE)),"")</f>
        <v>PRIVADO</v>
      </c>
      <c r="E2743" s="11" t="str">
        <f>IFERROR(IF(VLOOKUP(A2743,[18]PRIORIZADOS!$A:$E,5,FALSE)="","",VLOOKUP(A2743,[18]PRIORIZADOS!$A:$E,5,FALSE)),"")</f>
        <v>EPBM</v>
      </c>
      <c r="F2743" s="11" t="str">
        <f>IFERROR(IF(VLOOKUP(A2743,[18]PRIORIZADOS!$A:$F,6,FALSE)="","",VLOOKUP(A2743,[18]PRIORIZADOS!$A:$F,6,FALSE)),"")</f>
        <v>LICEO_MARANATA</v>
      </c>
      <c r="G2743" s="11" t="str">
        <f>IFERROR(IF(VLOOKUP(A2743,[18]PRIORIZADOS!$A:$G,7,FALSE)="","",VLOOKUP(A2743,[18]PRIORIZADOS!$A:$G,7,FALSE)),"")</f>
        <v>LICEO MARANATA</v>
      </c>
      <c r="H2743" s="11" t="str">
        <f>IFERROR(IF(VLOOKUP(A2743,[18]PRIORIZADOS!$A:$H,8,FALSE)="","",VLOOKUP(A2743,[18]PRIORIZADOS!$A:$H,8,FALSE)),"")</f>
        <v>Autoevaluación Institucional y Pruebas SABER 11</v>
      </c>
      <c r="I2743" s="11" t="str">
        <f>IFERROR(IF(VLOOKUP(A2743,[18]PRIORIZADOS!$A:$I,9,FALSE)="","",VLOOKUP(A2743,[18]PRIORIZADOS!$A:$I,9,FALSE)),"")</f>
        <v>SEGUIMIENTO_Y_SUPERVISIÓN.</v>
      </c>
      <c r="J2743" s="11" t="str">
        <f>IFERROR(IF(VLOOKUP(A2743,[18]PRIORIZADOS!$A:$J,10,FALSE)="","",VLOOKUP(A2743,[18]PRIORIZADOS!$A:$J,10,FALSE)),"")</f>
        <v>Realizar visitas para verificar la información registrada sobre la autoevaluación institucional en el aplicativo EVI, a los establecimientos de educación formal no oficial.</v>
      </c>
      <c r="K2743" s="11" t="str">
        <f>IFERROR(IF(VLOOKUP(A2743,[18]PRIORIZADOS!$A:$K,11,FALSE)="","",VLOOKUP(A2743,[18]PRIORIZADOS!$A:$K,11,FALSE)),"")</f>
        <v>MIGUEL ANTONIO CARO CARO</v>
      </c>
      <c r="L2743" s="11" t="str">
        <f>IFERROR(IF(VLOOKUP(A2743,[18]PRIORIZADOS!$A:$L,12,FALSE)="","",VLOOKUP(A2743,[18]PRIORIZADOS!$A:$L,12,FALSE)),"")</f>
        <v>FRANCY LORENA RODRIGUEZ CASTRO</v>
      </c>
      <c r="M2743" s="71">
        <f>IFERROR(IF(VLOOKUP(A2743,[18]PRIORIZADOS!$A:$M,13,FALSE)="","",VLOOKUP(A2743,[18]PRIORIZADOS!$A:$M,13,FALSE)),"")</f>
        <v>45874</v>
      </c>
      <c r="N2743" s="71">
        <f>IFERROR(IF(VLOOKUP(A2743,[18]PRIORIZADOS!$A:$N,14,FALSE)="","",VLOOKUP(A2743,[18]PRIORIZADOS!$A:$N,14,FALSE)),"")</f>
        <v>45755</v>
      </c>
      <c r="O2743" s="71">
        <f>IFERROR(IF(VLOOKUP(A2743,[18]PRIORIZADOS!$A:$O,15,FALSE)="","",VLOOKUP(A2743,[18]PRIORIZADOS!$A:$O,15,FALSE)),"")</f>
        <v>45874</v>
      </c>
      <c r="P2743" s="11" t="str">
        <f>IFERROR(IF(VLOOKUP(A2743,[18]PRIORIZADOS!$A:$P,16,FALSE)="","",VLOOKUP(A2743,[18]PRIORIZADOS!$A:$P,16,FALSE)),"")</f>
        <v>Visitas de evaluación con fines de mejoramiento</v>
      </c>
      <c r="Q2743" s="60" t="s">
        <v>525</v>
      </c>
      <c r="R2743" s="11" t="str">
        <f>IFERROR(IF(VLOOKUP(A2743,[18]PRIORIZADOS!$A:$R,18,FALSE)="","",VLOOKUP(A2743,[18]PRIORIZADOS!$A:$R,18,FALSE)),"")</f>
        <v>Se evidencia pago de seguiridad social a docentes y administrativos con contratos a termino fijo , no hay inconsistencia notoria entre SIMAT- EVI y Matricula en libros</v>
      </c>
      <c r="S2743" s="11" t="str">
        <f>IFERROR(IF(VLOOKUP(A2743,[18]PRIORIZADOS!$A:$S,19,FALSE)="","",VLOOKUP(A2743,[18]PRIORIZADOS!$A:$S,19,FALSE)),"")</f>
        <v>La Institución expresa que mantendrá  las condiciones laborales.</v>
      </c>
      <c r="T2743" s="70" t="str">
        <f>IFERROR(IF(VLOOKUP(A2743,[18]PRIORIZADOS!$A:$T,20,FALSE)="","",VLOOKUP(A2743,[18]PRIORIZADOS!$A:$T,20,FALSE)),"")</f>
        <v>Si</v>
      </c>
      <c r="U2743" s="11" t="str">
        <f>IFERROR(IF(VLOOKUP(A2743,[18]PRIORIZADOS!$A:$U,21,FALSE)="","",VLOOKUP(A2743,[18]PRIORIZADOS!$A:$U,21,FALSE)),"")</f>
        <v>Se verificará la autoevaluación 2025 en EVI, revisando la vinculación laboral de la orientadora.</v>
      </c>
    </row>
    <row r="2744" spans="1:21" s="1" customFormat="1" ht="72">
      <c r="A2744" s="69">
        <f>IF([18]PRIORIZADOS!A87="","",[18]PRIORIZADOS!A87)</f>
        <v>2733</v>
      </c>
      <c r="B2744" s="70">
        <f>IFERROR(IF(VLOOKUP(A2744,[18]PRIORIZADOS!$A:$B,2,FALSE)="","",VLOOKUP(A2744,[18]PRIORIZADOS!$A:$B,2,FALSE)),"")</f>
        <v>10</v>
      </c>
      <c r="C2744" s="11" t="str">
        <f>IFERROR(IF(VLOOKUP(A2744,[18]PRIORIZADOS!$A:$C,3,FALSE)="","",VLOOKUP(A2744,[18]PRIORIZADOS!$A:$C,3,FALSE)),"")</f>
        <v>USME</v>
      </c>
      <c r="D2744" s="11" t="str">
        <f>IFERROR(IF(VLOOKUP(A2744,[18]PRIORIZADOS!$A:$D,4,FALSE)="","",VLOOKUP(A2744,[18]PRIORIZADOS!$A:$D,4,FALSE)),"")</f>
        <v>PRIVADO</v>
      </c>
      <c r="E2744" s="11" t="str">
        <f>IFERROR(IF(VLOOKUP(A2744,[18]PRIORIZADOS!$A:$E,5,FALSE)="","",VLOOKUP(A2744,[18]PRIORIZADOS!$A:$E,5,FALSE)),"")</f>
        <v>EPBM</v>
      </c>
      <c r="F2744" s="11" t="str">
        <f>IFERROR(IF(VLOOKUP(A2744,[18]PRIORIZADOS!$A:$F,6,FALSE)="","",VLOOKUP(A2744,[18]PRIORIZADOS!$A:$F,6,FALSE)),"")</f>
        <v>LICEO_MARANATA</v>
      </c>
      <c r="G2744" s="11" t="str">
        <f>IFERROR(IF(VLOOKUP(A2744,[18]PRIORIZADOS!$A:$G,7,FALSE)="","",VLOOKUP(A2744,[18]PRIORIZADOS!$A:$G,7,FALSE)),"")</f>
        <v>LICEO MARANATA</v>
      </c>
      <c r="H2744" s="11" t="str">
        <f>IFERROR(IF(VLOOKUP(A2744,[18]PRIORIZADOS!$A:$H,8,FALSE)="","",VLOOKUP(A2744,[18]PRIORIZADOS!$A:$H,8,FALSE)),"")</f>
        <v>Autoevaluación Institucional y Pruebas SABER 11</v>
      </c>
      <c r="I2744" s="11" t="str">
        <f>IFERROR(IF(VLOOKUP(A2744,[18]PRIORIZADOS!$A:$I,9,FALSE)="","",VLOOKUP(A2744,[18]PRIORIZADOS!$A:$I,9,FALSE)),"")</f>
        <v>SEGUIMIENTO_Y_SUPERVISIÓN.</v>
      </c>
      <c r="J2744" s="11" t="str">
        <f>IFERROR(IF(VLOOKUP(A2744,[18]PRIORIZADOS!$A:$J,10,FALSE)="","",VLOOKUP(A2744,[18]PRIORIZADOS!$A:$J,10,FALSE)),"")</f>
        <v>Proponer estrategias en la formulación, verificar su elaboración y realizar seguimiento semestral al desarrollo de  las acciones establecidas en los planes de mejoramiento por pruebas SABER 11 de los establecimientos de educación formal.</v>
      </c>
      <c r="K2744" s="11" t="str">
        <f>IFERROR(IF(VLOOKUP(A2744,[18]PRIORIZADOS!$A:$K,11,FALSE)="","",VLOOKUP(A2744,[18]PRIORIZADOS!$A:$K,11,FALSE)),"")</f>
        <v>MIGUEL ANTONIO CARO CARO</v>
      </c>
      <c r="L2744" s="11" t="str">
        <f>IFERROR(IF(VLOOKUP(A2744,[18]PRIORIZADOS!$A:$L,12,FALSE)="","",VLOOKUP(A2744,[18]PRIORIZADOS!$A:$L,12,FALSE)),"")</f>
        <v>FRANCY LORENA RODRIGUEZ CASTRO</v>
      </c>
      <c r="M2744" s="71">
        <f>IFERROR(IF(VLOOKUP(A2744,[18]PRIORIZADOS!$A:$M,13,FALSE)="","",VLOOKUP(A2744,[18]PRIORIZADOS!$A:$M,13,FALSE)),"")</f>
        <v>45874</v>
      </c>
      <c r="N2744" s="71">
        <f>IFERROR(IF(VLOOKUP(A2744,[18]PRIORIZADOS!$A:$N,14,FALSE)="","",VLOOKUP(A2744,[18]PRIORIZADOS!$A:$N,14,FALSE)),"")</f>
        <v>45755</v>
      </c>
      <c r="O2744" s="71">
        <f>IFERROR(IF(VLOOKUP(A2744,[18]PRIORIZADOS!$A:$O,15,FALSE)="","",VLOOKUP(A2744,[18]PRIORIZADOS!$A:$O,15,FALSE)),"")</f>
        <v>45874</v>
      </c>
      <c r="P2744" s="11" t="str">
        <f>IFERROR(IF(VLOOKUP(A2744,[18]PRIORIZADOS!$A:$P,16,FALSE)="","",VLOOKUP(A2744,[18]PRIORIZADOS!$A:$P,16,FALSE)),"")</f>
        <v>Visitas de evaluación con fines de mejoramiento</v>
      </c>
      <c r="Q2744" s="60" t="s">
        <v>525</v>
      </c>
      <c r="R2744" s="11" t="str">
        <f>IFERROR(IF(VLOOKUP(A2744,[18]PRIORIZADOS!$A:$R,18,FALSE)="","",VLOOKUP(A2744,[18]PRIORIZADOS!$A:$R,18,FALSE)),"")</f>
        <v>La institución educativa, no cuenta con evidencia que permita verificar  estrategias de formulación de planes de mejoramiento respecto al resultado de las Pruebas Saber 11</v>
      </c>
      <c r="S2744" s="11" t="str">
        <f>IFERROR(IF(VLOOKUP(A2744,[18]PRIORIZADOS!$A:$S,19,FALSE)="","",VLOOKUP(A2744,[18]PRIORIZADOS!$A:$S,19,FALSE)),"")</f>
        <v>la institución se compromete a presentar un plan de mejoramiento para cada uno de los aspectos en que se realizó observaciones el 20 de agosto del 2025 lo cual ya radico y se le realizaron observacion en reunión directa.</v>
      </c>
      <c r="T2744" s="70" t="str">
        <f>IFERROR(IF(VLOOKUP(A2744,[18]PRIORIZADOS!$A:$T,20,FALSE)="","",VLOOKUP(A2744,[18]PRIORIZADOS!$A:$T,20,FALSE)),"")</f>
        <v>Si</v>
      </c>
      <c r="U2744" s="11" t="str">
        <f>IFERROR(IF(VLOOKUP(A2744,[18]PRIORIZADOS!$A:$U,21,FALSE)="","",VLOOKUP(A2744,[18]PRIORIZADOS!$A:$U,21,FALSE)),"")</f>
        <v>Se revisara el plan de mejoramiento y Verificara - vigencia 2026</v>
      </c>
    </row>
    <row r="2745" spans="1:21" s="1" customFormat="1" ht="72">
      <c r="A2745" s="69">
        <f>IF([18]PRIORIZADOS!A88="","",[18]PRIORIZADOS!A88)</f>
        <v>2734</v>
      </c>
      <c r="B2745" s="70">
        <f>IFERROR(IF(VLOOKUP(A2745,[18]PRIORIZADOS!$A:$B,2,FALSE)="","",VLOOKUP(A2745,[18]PRIORIZADOS!$A:$B,2,FALSE)),"")</f>
        <v>10</v>
      </c>
      <c r="C2745" s="11" t="str">
        <f>IFERROR(IF(VLOOKUP(A2745,[18]PRIORIZADOS!$A:$C,3,FALSE)="","",VLOOKUP(A2745,[18]PRIORIZADOS!$A:$C,3,FALSE)),"")</f>
        <v>USME</v>
      </c>
      <c r="D2745" s="11" t="str">
        <f>IFERROR(IF(VLOOKUP(A2745,[18]PRIORIZADOS!$A:$D,4,FALSE)="","",VLOOKUP(A2745,[18]PRIORIZADOS!$A:$D,4,FALSE)),"")</f>
        <v>PRIVADO</v>
      </c>
      <c r="E2745" s="11" t="str">
        <f>IFERROR(IF(VLOOKUP(A2745,[18]PRIORIZADOS!$A:$E,5,FALSE)="","",VLOOKUP(A2745,[18]PRIORIZADOS!$A:$E,5,FALSE)),"")</f>
        <v>EPBM</v>
      </c>
      <c r="F2745" s="11" t="str">
        <f>IFERROR(IF(VLOOKUP(A2745,[18]PRIORIZADOS!$A:$F,6,FALSE)="","",VLOOKUP(A2745,[18]PRIORIZADOS!$A:$F,6,FALSE)),"")</f>
        <v>LICEO_MARANATA</v>
      </c>
      <c r="G2745" s="11" t="str">
        <f>IFERROR(IF(VLOOKUP(A2745,[18]PRIORIZADOS!$A:$G,7,FALSE)="","",VLOOKUP(A2745,[18]PRIORIZADOS!$A:$G,7,FALSE)),"")</f>
        <v>LICEO MARANATA</v>
      </c>
      <c r="H2745" s="11" t="str">
        <f>IFERROR(IF(VLOOKUP(A2745,[18]PRIORIZADOS!$A:$H,8,FALSE)="","",VLOOKUP(A2745,[18]PRIORIZADOS!$A:$H,8,FALSE)),"")</f>
        <v>Autoevaluación Institucional y Pruebas SABER 11</v>
      </c>
      <c r="I2745" s="11" t="str">
        <f>IFERROR(IF(VLOOKUP(A2745,[18]PRIORIZADOS!$A:$I,9,FALSE)="","",VLOOKUP(A2745,[18]PRIORIZADOS!$A:$I,9,FALSE)),"")</f>
        <v>SEGUIMIENTO_Y_SUPERVISIÓN.</v>
      </c>
      <c r="J2745" s="11" t="str">
        <f>IFERROR(IF(VLOOKUP(A2745,[18]PRIORIZADOS!$A:$J,10,FALSE)="","",VLOOKUP(A2745,[18]PRIORIZADOS!$A:$J,10,FALSE)),"")</f>
        <v xml:space="preserve">Verificar la implementación por parte de los colegios, de acciones realizadas para la prevención y atención de las situaciones de convivencia en el entorno escolar, según lo establecido en la Directiva 01 de 2022 del MEN. </v>
      </c>
      <c r="K2745" s="11" t="str">
        <f>IFERROR(IF(VLOOKUP(A2745,[18]PRIORIZADOS!$A:$K,11,FALSE)="","",VLOOKUP(A2745,[18]PRIORIZADOS!$A:$K,11,FALSE)),"")</f>
        <v>MIGUEL ANTONIO CARO CARO</v>
      </c>
      <c r="L2745" s="11" t="str">
        <f>IFERROR(IF(VLOOKUP(A2745,[18]PRIORIZADOS!$A:$L,12,FALSE)="","",VLOOKUP(A2745,[18]PRIORIZADOS!$A:$L,12,FALSE)),"")</f>
        <v>FRANCY LORENA RODRIGUEZ CASTRO</v>
      </c>
      <c r="M2745" s="71">
        <f>IFERROR(IF(VLOOKUP(A2745,[18]PRIORIZADOS!$A:$M,13,FALSE)="","",VLOOKUP(A2745,[18]PRIORIZADOS!$A:$M,13,FALSE)),"")</f>
        <v>45874</v>
      </c>
      <c r="N2745" s="71">
        <f>IFERROR(IF(VLOOKUP(A2745,[18]PRIORIZADOS!$A:$N,14,FALSE)="","",VLOOKUP(A2745,[18]PRIORIZADOS!$A:$N,14,FALSE)),"")</f>
        <v>45755</v>
      </c>
      <c r="O2745" s="71">
        <f>IFERROR(IF(VLOOKUP(A2745,[18]PRIORIZADOS!$A:$O,15,FALSE)="","",VLOOKUP(A2745,[18]PRIORIZADOS!$A:$O,15,FALSE)),"")</f>
        <v>45874</v>
      </c>
      <c r="P2745" s="11" t="str">
        <f>IFERROR(IF(VLOOKUP(A2745,[18]PRIORIZADOS!$A:$P,16,FALSE)="","",VLOOKUP(A2745,[18]PRIORIZADOS!$A:$P,16,FALSE)),"")</f>
        <v>Visitas de evaluación con fines de mejoramiento</v>
      </c>
      <c r="Q2745" s="2" t="s">
        <v>525</v>
      </c>
      <c r="R2745" s="11" t="str">
        <f>IFERROR(IF(VLOOKUP(A2745,[18]PRIORIZADOS!$A:$R,18,FALSE)="","",VLOOKUP(A2745,[18]PRIORIZADOS!$A:$R,18,FALSE)),"")</f>
        <v>Se evidencia el cumplimiento de la Directiva 01, sobre la consulta de inhabilidades por delitos sexuales al inicio de año escolar y reciente. Se reportan las situaciones convivenciales tipo II y III en el sistema de alertas del distrito.</v>
      </c>
      <c r="S2745" s="11" t="str">
        <f>IFERROR(IF(VLOOKUP(A2745,[18]PRIORIZADOS!$A:$S,19,FALSE)="","",VLOOKUP(A2745,[18]PRIORIZADOS!$A:$S,19,FALSE)),"")</f>
        <v>Continuar la revisón periodica del cumplimiento de la Directiva 01 de 2022, y el reporte oportuno de las situaciones convivenciales en el sistema del distrito.</v>
      </c>
      <c r="T2745" s="70" t="str">
        <f>IFERROR(IF(VLOOKUP(A2745,[18]PRIORIZADOS!$A:$T,20,FALSE)="","",VLOOKUP(A2745,[18]PRIORIZADOS!$A:$T,20,FALSE)),"")</f>
        <v>No</v>
      </c>
      <c r="U2745" s="11" t="str">
        <f>IFERROR(IF(VLOOKUP(A2745,[18]PRIORIZADOS!$A:$U,21,FALSE)="","",VLOOKUP(A2745,[18]PRIORIZADOS!$A:$U,21,FALSE)),"")</f>
        <v>Se verificara nuevamente el cumplimiento la Directiva 01, en caso de presentarse novedad.</v>
      </c>
    </row>
    <row r="2746" spans="1:21" s="1" customFormat="1" ht="72">
      <c r="A2746" s="69">
        <f>IF([18]PRIORIZADOS!A89="","",[18]PRIORIZADOS!A89)</f>
        <v>2735</v>
      </c>
      <c r="B2746" s="70">
        <f>IFERROR(IF(VLOOKUP(A2746,[18]PRIORIZADOS!$A:$B,2,FALSE)="","",VLOOKUP(A2746,[18]PRIORIZADOS!$A:$B,2,FALSE)),"")</f>
        <v>10</v>
      </c>
      <c r="C2746" s="11" t="str">
        <f>IFERROR(IF(VLOOKUP(A2746,[18]PRIORIZADOS!$A:$C,3,FALSE)="","",VLOOKUP(A2746,[18]PRIORIZADOS!$A:$C,3,FALSE)),"")</f>
        <v>USME</v>
      </c>
      <c r="D2746" s="11" t="str">
        <f>IFERROR(IF(VLOOKUP(A2746,[18]PRIORIZADOS!$A:$D,4,FALSE)="","",VLOOKUP(A2746,[18]PRIORIZADOS!$A:$D,4,FALSE)),"")</f>
        <v>PRIVADO</v>
      </c>
      <c r="E2746" s="11" t="str">
        <f>IFERROR(IF(VLOOKUP(A2746,[18]PRIORIZADOS!$A:$E,5,FALSE)="","",VLOOKUP(A2746,[18]PRIORIZADOS!$A:$E,5,FALSE)),"")</f>
        <v>EPBM</v>
      </c>
      <c r="F2746" s="11" t="str">
        <f>IFERROR(IF(VLOOKUP(A2746,[18]PRIORIZADOS!$A:$F,6,FALSE)="","",VLOOKUP(A2746,[18]PRIORIZADOS!$A:$F,6,FALSE)),"")</f>
        <v>LICEO_MARANATA</v>
      </c>
      <c r="G2746" s="11" t="str">
        <f>IFERROR(IF(VLOOKUP(A2746,[18]PRIORIZADOS!$A:$G,7,FALSE)="","",VLOOKUP(A2746,[18]PRIORIZADOS!$A:$G,7,FALSE)),"")</f>
        <v>LICEO MARANATA</v>
      </c>
      <c r="H2746" s="11" t="str">
        <f>IFERROR(IF(VLOOKUP(A2746,[18]PRIORIZADOS!$A:$H,8,FALSE)="","",VLOOKUP(A2746,[18]PRIORIZADOS!$A:$H,8,FALSE)),"")</f>
        <v>Autoevaluación Institucional y Pruebas SABER 11</v>
      </c>
      <c r="I2746" s="11" t="str">
        <f>IFERROR(IF(VLOOKUP(A2746,[18]PRIORIZADOS!$A:$I,9,FALSE)="","",VLOOKUP(A2746,[18]PRIORIZADOS!$A:$I,9,FALSE)),"")</f>
        <v>SEGUIMIENTO_Y_SUPERVISIÓN.</v>
      </c>
      <c r="J2746" s="11" t="str">
        <f>IFERROR(IF(VLOOKUP(A2746,[18]PRIORIZADOS!$A:$J,10,FALSE)="","",VLOOKUP(A2746,[18]PRIORIZADOS!$A:$J,10,FALSE)),"")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46" s="11" t="str">
        <f>IFERROR(IF(VLOOKUP(A2746,[18]PRIORIZADOS!$A:$K,11,FALSE)="","",VLOOKUP(A2746,[18]PRIORIZADOS!$A:$K,11,FALSE)),"")</f>
        <v>MIGUEL ANTONIO CARO CARO</v>
      </c>
      <c r="L2746" s="11" t="str">
        <f>IFERROR(IF(VLOOKUP(A2746,[18]PRIORIZADOS!$A:$L,12,FALSE)="","",VLOOKUP(A2746,[18]PRIORIZADOS!$A:$L,12,FALSE)),"")</f>
        <v>FRANCY LORENA RODRIGUEZ CASTRO</v>
      </c>
      <c r="M2746" s="71">
        <f>IFERROR(IF(VLOOKUP(A2746,[18]PRIORIZADOS!$A:$M,13,FALSE)="","",VLOOKUP(A2746,[18]PRIORIZADOS!$A:$M,13,FALSE)),"")</f>
        <v>45874</v>
      </c>
      <c r="N2746" s="71">
        <f>IFERROR(IF(VLOOKUP(A2746,[18]PRIORIZADOS!$A:$N,14,FALSE)="","",VLOOKUP(A2746,[18]PRIORIZADOS!$A:$N,14,FALSE)),"")</f>
        <v>45755</v>
      </c>
      <c r="O2746" s="71">
        <f>IFERROR(IF(VLOOKUP(A2746,[18]PRIORIZADOS!$A:$O,15,FALSE)="","",VLOOKUP(A2746,[18]PRIORIZADOS!$A:$O,15,FALSE)),"")</f>
        <v>45874</v>
      </c>
      <c r="P2746" s="11" t="str">
        <f>IFERROR(IF(VLOOKUP(A2746,[18]PRIORIZADOS!$A:$P,16,FALSE)="","",VLOOKUP(A2746,[18]PRIORIZADOS!$A:$P,16,FALSE)),"")</f>
        <v>Visitas de evaluación con fines de mejoramiento</v>
      </c>
      <c r="Q2746" s="2" t="s">
        <v>525</v>
      </c>
      <c r="R2746" s="11" t="str">
        <f>IFERROR(IF(VLOOKUP(A2746,[18]PRIORIZADOS!$A:$R,18,FALSE)="","",VLOOKUP(A2746,[18]PRIORIZADOS!$A:$R,18,FALSE)),"")</f>
        <v>Se encuentra evidencia de elaboración de PIAR para el estudiante con discapacidad, en carpeta de orientación con anexos y compromisos.</v>
      </c>
      <c r="S2746" s="11" t="str">
        <f>IFERROR(IF(VLOOKUP(A2746,[18]PRIORIZADOS!$A:$S,19,FALSE)="","",VLOOKUP(A2746,[18]PRIORIZADOS!$A:$S,19,FALSE)),"")</f>
        <v>La institución mantendrá la revisón periodica del PIAR</v>
      </c>
      <c r="T2746" s="70" t="str">
        <f>IFERROR(IF(VLOOKUP(A2746,[18]PRIORIZADOS!$A:$T,20,FALSE)="","",VLOOKUP(A2746,[18]PRIORIZADOS!$A:$T,20,FALSE)),"")</f>
        <v>No</v>
      </c>
      <c r="U2746" s="11" t="str">
        <f>IFERROR(IF(VLOOKUP(A2746,[18]PRIORIZADOS!$A:$U,21,FALSE)="","",VLOOKUP(A2746,[18]PRIORIZADOS!$A:$U,21,FALSE)),"")</f>
        <v>En la revision de la autoevaluación 2025 en el EVI, se verificará este tema.</v>
      </c>
    </row>
    <row r="2747" spans="1:21" s="1" customFormat="1" ht="84">
      <c r="A2747" s="69">
        <f>IF([18]PRIORIZADOS!A90="","",[18]PRIORIZADOS!A90)</f>
        <v>2736</v>
      </c>
      <c r="B2747" s="70">
        <f>IFERROR(IF(VLOOKUP(A2747,[18]PRIORIZADOS!$A:$B,2,FALSE)="","",VLOOKUP(A2747,[18]PRIORIZADOS!$A:$B,2,FALSE)),"")</f>
        <v>10</v>
      </c>
      <c r="C2747" s="11" t="str">
        <f>IFERROR(IF(VLOOKUP(A2747,[18]PRIORIZADOS!$A:$C,3,FALSE)="","",VLOOKUP(A2747,[18]PRIORIZADOS!$A:$C,3,FALSE)),"")</f>
        <v>USME</v>
      </c>
      <c r="D2747" s="11" t="str">
        <f>IFERROR(IF(VLOOKUP(A2747,[18]PRIORIZADOS!$A:$D,4,FALSE)="","",VLOOKUP(A2747,[18]PRIORIZADOS!$A:$D,4,FALSE)),"")</f>
        <v>PRIVADO</v>
      </c>
      <c r="E2747" s="11" t="str">
        <f>IFERROR(IF(VLOOKUP(A2747,[18]PRIORIZADOS!$A:$E,5,FALSE)="","",VLOOKUP(A2747,[18]PRIORIZADOS!$A:$E,5,FALSE)),"")</f>
        <v>EPBM</v>
      </c>
      <c r="F2747" s="11" t="str">
        <f>IFERROR(IF(VLOOKUP(A2747,[18]PRIORIZADOS!$A:$F,6,FALSE)="","",VLOOKUP(A2747,[18]PRIORIZADOS!$A:$F,6,FALSE)),"")</f>
        <v>LICEO_MARANATA</v>
      </c>
      <c r="G2747" s="11" t="str">
        <f>IFERROR(IF(VLOOKUP(A2747,[18]PRIORIZADOS!$A:$G,7,FALSE)="","",VLOOKUP(A2747,[18]PRIORIZADOS!$A:$G,7,FALSE)),"")</f>
        <v>LICEO MARANATA</v>
      </c>
      <c r="H2747" s="11" t="str">
        <f>IFERROR(IF(VLOOKUP(A2747,[18]PRIORIZADOS!$A:$H,8,FALSE)="","",VLOOKUP(A2747,[18]PRIORIZADOS!$A:$H,8,FALSE)),"")</f>
        <v>Autoevaluación Institucional y Pruebas SABER 11</v>
      </c>
      <c r="I2747" s="11" t="str">
        <f>IFERROR(IF(VLOOKUP(A2747,[18]PRIORIZADOS!$A:$I,9,FALSE)="","",VLOOKUP(A2747,[18]PRIORIZADOS!$A:$I,9,FALSE)),"")</f>
        <v>EVALUACIÓN_CON_FINES_DE_MEJORAMIENTO.</v>
      </c>
      <c r="J2747" s="11" t="str">
        <f>IFERROR(IF(VLOOKUP(A2747,[18]PRIORIZADOS!$A:$J,10,FALSE)="","",VLOOKUP(A2747,[18]PRIORIZADOS!$A:$J,10,FALSE)),"")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47" s="11" t="str">
        <f>IFERROR(IF(VLOOKUP(A2747,[18]PRIORIZADOS!$A:$K,11,FALSE)="","",VLOOKUP(A2747,[18]PRIORIZADOS!$A:$K,11,FALSE)),"")</f>
        <v>MIGUEL ANTONIO CARO CARO</v>
      </c>
      <c r="L2747" s="11" t="str">
        <f>IFERROR(IF(VLOOKUP(A2747,[18]PRIORIZADOS!$A:$L,12,FALSE)="","",VLOOKUP(A2747,[18]PRIORIZADOS!$A:$L,12,FALSE)),"")</f>
        <v>FRANCY LORENA RODRIGUEZ CASTRO</v>
      </c>
      <c r="M2747" s="71">
        <f>IFERROR(IF(VLOOKUP(A2747,[18]PRIORIZADOS!$A:$M,13,FALSE)="","",VLOOKUP(A2747,[18]PRIORIZADOS!$A:$M,13,FALSE)),"")</f>
        <v>45874</v>
      </c>
      <c r="N2747" s="71">
        <f>IFERROR(IF(VLOOKUP(A2747,[18]PRIORIZADOS!$A:$N,14,FALSE)="","",VLOOKUP(A2747,[18]PRIORIZADOS!$A:$N,14,FALSE)),"")</f>
        <v>45755</v>
      </c>
      <c r="O2747" s="71">
        <f>IFERROR(IF(VLOOKUP(A2747,[18]PRIORIZADOS!$A:$O,15,FALSE)="","",VLOOKUP(A2747,[18]PRIORIZADOS!$A:$O,15,FALSE)),"")</f>
        <v>45874</v>
      </c>
      <c r="P2747" s="11" t="str">
        <f>IFERROR(IF(VLOOKUP(A2747,[18]PRIORIZADOS!$A:$P,16,FALSE)="","",VLOOKUP(A2747,[18]PRIORIZADOS!$A:$P,16,FALSE)),"")</f>
        <v>Visitas de evaluación con fines de mejoramiento</v>
      </c>
      <c r="Q2747" s="2" t="s">
        <v>525</v>
      </c>
      <c r="R2747" s="11" t="str">
        <f>IFERROR(IF(VLOOKUP(A2747,[18]PRIORIZADOS!$A:$R,18,FALSE)="","",VLOOKUP(A2747,[18]PRIORIZADOS!$A:$R,18,FALSE)),"")</f>
        <v>No se aporta evidencia de su actualización y proceso participativo, pero si contitene enfoque restaurativo</v>
      </c>
      <c r="S2747" s="11" t="str">
        <f>IFERROR(IF(VLOOKUP(A2747,[18]PRIORIZADOS!$A:$S,19,FALSE)="","",VLOOKUP(A2747,[18]PRIORIZADOS!$A:$S,19,FALSE)),"")</f>
        <v>la institución se compromete a presentar un plan de mejoramiento para cada uno de los aspectos en que se realizó observaciones el 20 de agosto del 2025 lo cual ya radico y se le realizaron observacion en reunión directa.</v>
      </c>
      <c r="T2747" s="70" t="str">
        <f>IFERROR(IF(VLOOKUP(A2747,[18]PRIORIZADOS!$A:$T,20,FALSE)="","",VLOOKUP(A2747,[18]PRIORIZADOS!$A:$T,20,FALSE)),"")</f>
        <v>Si</v>
      </c>
      <c r="U2747" s="11" t="str">
        <f>IFERROR(IF(VLOOKUP(A2747,[18]PRIORIZADOS!$A:$U,21,FALSE)="","",VLOOKUP(A2747,[18]PRIORIZADOS!$A:$U,21,FALSE)),"")</f>
        <v>Se revisara el plan de mejoramiento y Verificara - vigencia 2026</v>
      </c>
    </row>
    <row r="2748" spans="1:21" s="1" customFormat="1" ht="72">
      <c r="A2748" s="69">
        <f>IF([18]PRIORIZADOS!A91="","",[18]PRIORIZADOS!A91)</f>
        <v>2737</v>
      </c>
      <c r="B2748" s="70">
        <f>IFERROR(IF(VLOOKUP(A2748,[18]PRIORIZADOS!$A:$B,2,FALSE)="","",VLOOKUP(A2748,[18]PRIORIZADOS!$A:$B,2,FALSE)),"")</f>
        <v>10</v>
      </c>
      <c r="C2748" s="11" t="str">
        <f>IFERROR(IF(VLOOKUP(A2748,[18]PRIORIZADOS!$A:$C,3,FALSE)="","",VLOOKUP(A2748,[18]PRIORIZADOS!$A:$C,3,FALSE)),"")</f>
        <v>USME</v>
      </c>
      <c r="D2748" s="11" t="str">
        <f>IFERROR(IF(VLOOKUP(A2748,[18]PRIORIZADOS!$A:$D,4,FALSE)="","",VLOOKUP(A2748,[18]PRIORIZADOS!$A:$D,4,FALSE)),"")</f>
        <v>PRIVADO</v>
      </c>
      <c r="E2748" s="11" t="str">
        <f>IFERROR(IF(VLOOKUP(A2748,[18]PRIORIZADOS!$A:$E,5,FALSE)="","",VLOOKUP(A2748,[18]PRIORIZADOS!$A:$E,5,FALSE)),"")</f>
        <v>EPBM</v>
      </c>
      <c r="F2748" s="11" t="str">
        <f>IFERROR(IF(VLOOKUP(A2748,[18]PRIORIZADOS!$A:$F,6,FALSE)="","",VLOOKUP(A2748,[18]PRIORIZADOS!$A:$F,6,FALSE)),"")</f>
        <v>LICEO_MARANATA</v>
      </c>
      <c r="G2748" s="11" t="str">
        <f>IFERROR(IF(VLOOKUP(A2748,[18]PRIORIZADOS!$A:$G,7,FALSE)="","",VLOOKUP(A2748,[18]PRIORIZADOS!$A:$G,7,FALSE)),"")</f>
        <v>LICEO MARANATA</v>
      </c>
      <c r="H2748" s="11" t="str">
        <f>IFERROR(IF(VLOOKUP(A2748,[18]PRIORIZADOS!$A:$H,8,FALSE)="","",VLOOKUP(A2748,[18]PRIORIZADOS!$A:$H,8,FALSE)),"")</f>
        <v>Autoevaluación Institucional y Pruebas SABER 11</v>
      </c>
      <c r="I2748" s="11" t="str">
        <f>IFERROR(IF(VLOOKUP(A2748,[18]PRIORIZADOS!$A:$I,9,FALSE)="","",VLOOKUP(A2748,[18]PRIORIZADOS!$A:$I,9,FALSE)),"")</f>
        <v>EVALUACIÓN_CON_FINES_DE_MEJORAMIENTO.</v>
      </c>
      <c r="J2748" s="11" t="str">
        <f>IFERROR(IF(VLOOKUP(A2748,[18]PRIORIZADOS!$A:$J,10,FALSE)="","",VLOOKUP(A2748,[18]PRIORIZADOS!$A:$J,10,FALSE)),"")</f>
        <v>Revisar la actualización, socialización e implementación del Sistema Institucional de Evaluación de Estudiantes - SIEE, en articulación con la actualización del PEI y la normatividad vigente.</v>
      </c>
      <c r="K2748" s="11" t="str">
        <f>IFERROR(IF(VLOOKUP(A2748,[18]PRIORIZADOS!$A:$K,11,FALSE)="","",VLOOKUP(A2748,[18]PRIORIZADOS!$A:$K,11,FALSE)),"")</f>
        <v>MIGUEL ANTONIO CARO CARO</v>
      </c>
      <c r="L2748" s="11" t="str">
        <f>IFERROR(IF(VLOOKUP(A2748,[18]PRIORIZADOS!$A:$L,12,FALSE)="","",VLOOKUP(A2748,[18]PRIORIZADOS!$A:$L,12,FALSE)),"")</f>
        <v>FRANCY LORENA RODRIGUEZ CASTRO</v>
      </c>
      <c r="M2748" s="71">
        <f>IFERROR(IF(VLOOKUP(A2748,[18]PRIORIZADOS!$A:$M,13,FALSE)="","",VLOOKUP(A2748,[18]PRIORIZADOS!$A:$M,13,FALSE)),"")</f>
        <v>45874</v>
      </c>
      <c r="N2748" s="71">
        <f>IFERROR(IF(VLOOKUP(A2748,[18]PRIORIZADOS!$A:$N,14,FALSE)="","",VLOOKUP(A2748,[18]PRIORIZADOS!$A:$N,14,FALSE)),"")</f>
        <v>45755</v>
      </c>
      <c r="O2748" s="71">
        <f>IFERROR(IF(VLOOKUP(A2748,[18]PRIORIZADOS!$A:$O,15,FALSE)="","",VLOOKUP(A2748,[18]PRIORIZADOS!$A:$O,15,FALSE)),"")</f>
        <v>45874</v>
      </c>
      <c r="P2748" s="11" t="str">
        <f>IFERROR(IF(VLOOKUP(A2748,[18]PRIORIZADOS!$A:$P,16,FALSE)="","",VLOOKUP(A2748,[18]PRIORIZADOS!$A:$P,16,FALSE)),"")</f>
        <v>Visitas de evaluación con fines de mejoramiento</v>
      </c>
      <c r="Q2748" s="2" t="s">
        <v>525</v>
      </c>
      <c r="R2748" s="11" t="str">
        <f>IFERROR(IF(VLOOKUP(A2748,[18]PRIORIZADOS!$A:$R,18,FALSE)="","",VLOOKUP(A2748,[18]PRIORIZADOS!$A:$R,18,FALSE)),"")</f>
        <v>existe la resolución 001 de octubre 2024, pero no se aporta evidencia de actualización ni de la socialización.</v>
      </c>
      <c r="S2748" s="11" t="str">
        <f>IFERROR(IF(VLOOKUP(A2748,[18]PRIORIZADOS!$A:$S,19,FALSE)="","",VLOOKUP(A2748,[18]PRIORIZADOS!$A:$S,19,FALSE)),"")</f>
        <v>la institución se compromete a presentar un plan de mejoramiento para cada uno de los aspectos en que se realizó observaciones el 20 de agosto del 2025 lo cual ya radico y se le realizaron observacion en reunión directa.</v>
      </c>
      <c r="T2748" s="70" t="str">
        <f>IFERROR(IF(VLOOKUP(A2748,[18]PRIORIZADOS!$A:$T,20,FALSE)="","",VLOOKUP(A2748,[18]PRIORIZADOS!$A:$T,20,FALSE)),"")</f>
        <v>Si</v>
      </c>
      <c r="U2748" s="11" t="str">
        <f>IFERROR(IF(VLOOKUP(A2748,[18]PRIORIZADOS!$A:$U,21,FALSE)="","",VLOOKUP(A2748,[18]PRIORIZADOS!$A:$U,21,FALSE)),"")</f>
        <v>Se revisara el plan de mejoramiento y Verificara - vigencia 2026</v>
      </c>
    </row>
    <row r="2749" spans="1:21" s="1" customFormat="1" ht="72">
      <c r="A2749" s="69">
        <f>IF([18]PRIORIZADOS!A92="","",[18]PRIORIZADOS!A92)</f>
        <v>2738</v>
      </c>
      <c r="B2749" s="70">
        <f>IFERROR(IF(VLOOKUP(A2749,[18]PRIORIZADOS!$A:$B,2,FALSE)="","",VLOOKUP(A2749,[18]PRIORIZADOS!$A:$B,2,FALSE)),"")</f>
        <v>10</v>
      </c>
      <c r="C2749" s="11" t="str">
        <f>IFERROR(IF(VLOOKUP(A2749,[18]PRIORIZADOS!$A:$C,3,FALSE)="","",VLOOKUP(A2749,[18]PRIORIZADOS!$A:$C,3,FALSE)),"")</f>
        <v>USME</v>
      </c>
      <c r="D2749" s="11" t="str">
        <f>IFERROR(IF(VLOOKUP(A2749,[18]PRIORIZADOS!$A:$D,4,FALSE)="","",VLOOKUP(A2749,[18]PRIORIZADOS!$A:$D,4,FALSE)),"")</f>
        <v>PRIVADO</v>
      </c>
      <c r="E2749" s="11" t="str">
        <f>IFERROR(IF(VLOOKUP(A2749,[18]PRIORIZADOS!$A:$E,5,FALSE)="","",VLOOKUP(A2749,[18]PRIORIZADOS!$A:$E,5,FALSE)),"")</f>
        <v>EPBM</v>
      </c>
      <c r="F2749" s="11" t="str">
        <f>IFERROR(IF(VLOOKUP(A2749,[18]PRIORIZADOS!$A:$F,6,FALSE)="","",VLOOKUP(A2749,[18]PRIORIZADOS!$A:$F,6,FALSE)),"")</f>
        <v>LICEO_MARANATA</v>
      </c>
      <c r="G2749" s="11" t="str">
        <f>IFERROR(IF(VLOOKUP(A2749,[18]PRIORIZADOS!$A:$G,7,FALSE)="","",VLOOKUP(A2749,[18]PRIORIZADOS!$A:$G,7,FALSE)),"")</f>
        <v>LICEO MARANATA</v>
      </c>
      <c r="H2749" s="11" t="str">
        <f>IFERROR(IF(VLOOKUP(A2749,[18]PRIORIZADOS!$A:$H,8,FALSE)="","",VLOOKUP(A2749,[18]PRIORIZADOS!$A:$H,8,FALSE)),"")</f>
        <v>Autoevaluación Institucional y Pruebas SABER 11</v>
      </c>
      <c r="I2749" s="11" t="str">
        <f>IFERROR(IF(VLOOKUP(A2749,[18]PRIORIZADOS!$A:$I,9,FALSE)="","",VLOOKUP(A2749,[18]PRIORIZADOS!$A:$I,9,FALSE)),"")</f>
        <v>EVALUACIÓN_CON_FINES_DE_MEJORAMIENTO.</v>
      </c>
      <c r="J2749" s="11" t="str">
        <f>IFERROR(IF(VLOOKUP(A2749,[18]PRIORIZADOS!$A:$J,10,FALSE)="","",VLOOKUP(A2749,[18]PRIORIZADOS!$A:$J,10,FALSE)),"")</f>
        <v>Revisar el calendario escolar, jornada escolar, la intensidad horaria mínima anual en cada nivel y las modificaciones que se realicen al mismo, de acuerdo con lo previsto en la normatividad vigente.</v>
      </c>
      <c r="K2749" s="11" t="str">
        <f>IFERROR(IF(VLOOKUP(A2749,[18]PRIORIZADOS!$A:$K,11,FALSE)="","",VLOOKUP(A2749,[18]PRIORIZADOS!$A:$K,11,FALSE)),"")</f>
        <v>MIGUEL ANTONIO CARO CARO</v>
      </c>
      <c r="L2749" s="11" t="str">
        <f>IFERROR(IF(VLOOKUP(A2749,[18]PRIORIZADOS!$A:$L,12,FALSE)="","",VLOOKUP(A2749,[18]PRIORIZADOS!$A:$L,12,FALSE)),"")</f>
        <v>FRANCY LORENA RODRIGUEZ CASTRO</v>
      </c>
      <c r="M2749" s="71">
        <f>IFERROR(IF(VLOOKUP(A2749,[18]PRIORIZADOS!$A:$M,13,FALSE)="","",VLOOKUP(A2749,[18]PRIORIZADOS!$A:$M,13,FALSE)),"")</f>
        <v>45874</v>
      </c>
      <c r="N2749" s="71">
        <f>IFERROR(IF(VLOOKUP(A2749,[18]PRIORIZADOS!$A:$N,14,FALSE)="","",VLOOKUP(A2749,[18]PRIORIZADOS!$A:$N,14,FALSE)),"")</f>
        <v>45755</v>
      </c>
      <c r="O2749" s="71">
        <f>IFERROR(IF(VLOOKUP(A2749,[18]PRIORIZADOS!$A:$O,15,FALSE)="","",VLOOKUP(A2749,[18]PRIORIZADOS!$A:$O,15,FALSE)),"")</f>
        <v>45874</v>
      </c>
      <c r="P2749" s="11" t="str">
        <f>IFERROR(IF(VLOOKUP(A2749,[18]PRIORIZADOS!$A:$P,16,FALSE)="","",VLOOKUP(A2749,[18]PRIORIZADOS!$A:$P,16,FALSE)),"")</f>
        <v>Visitas de evaluación con fines de mejoramiento</v>
      </c>
      <c r="Q2749" s="2" t="s">
        <v>525</v>
      </c>
      <c r="R2749" s="11" t="str">
        <f>IFERROR(IF(VLOOKUP(A2749,[18]PRIORIZADOS!$A:$R,18,FALSE)="","",VLOOKUP(A2749,[18]PRIORIZADOS!$A:$R,18,FALSE)),"")</f>
        <v>se encyuentra evidencia de calendario escolar adoptado, pero la intensidad horario no esta conforme a lo previsto en la normatividad en algunos niveles</v>
      </c>
      <c r="S2749" s="11" t="str">
        <f>IFERROR(IF(VLOOKUP(A2749,[18]PRIORIZADOS!$A:$S,19,FALSE)="","",VLOOKUP(A2749,[18]PRIORIZADOS!$A:$S,19,FALSE)),"")</f>
        <v>la institución se compromete a presentar un plan de mejoramiento para cada uno de los aspectos en que se realizó observaciones el 20 de agosto del 2025 lo cual ya radico y se le realizaron observacion en reunión directa.</v>
      </c>
      <c r="T2749" s="70" t="str">
        <f>IFERROR(IF(VLOOKUP(A2749,[18]PRIORIZADOS!$A:$T,20,FALSE)="","",VLOOKUP(A2749,[18]PRIORIZADOS!$A:$T,20,FALSE)),"")</f>
        <v>Si</v>
      </c>
      <c r="U2749" s="11" t="str">
        <f>IFERROR(IF(VLOOKUP(A2749,[18]PRIORIZADOS!$A:$U,21,FALSE)="","",VLOOKUP(A2749,[18]PRIORIZADOS!$A:$U,21,FALSE)),"")</f>
        <v>Se revisara el plan de mejoramiento y Verificara - vigencia 2026</v>
      </c>
    </row>
    <row r="2750" spans="1:21" s="1" customFormat="1" ht="72">
      <c r="A2750" s="69">
        <f>IF([18]PRIORIZADOS!A93="","",[18]PRIORIZADOS!A93)</f>
        <v>2739</v>
      </c>
      <c r="B2750" s="70">
        <f>IFERROR(IF(VLOOKUP(A2750,[18]PRIORIZADOS!$A:$B,2,FALSE)="","",VLOOKUP(A2750,[18]PRIORIZADOS!$A:$B,2,FALSE)),"")</f>
        <v>10</v>
      </c>
      <c r="C2750" s="11" t="str">
        <f>IFERROR(IF(VLOOKUP(A2750,[18]PRIORIZADOS!$A:$C,3,FALSE)="","",VLOOKUP(A2750,[18]PRIORIZADOS!$A:$C,3,FALSE)),"")</f>
        <v>USME</v>
      </c>
      <c r="D2750" s="11" t="str">
        <f>IFERROR(IF(VLOOKUP(A2750,[18]PRIORIZADOS!$A:$D,4,FALSE)="","",VLOOKUP(A2750,[18]PRIORIZADOS!$A:$D,4,FALSE)),"")</f>
        <v>PRIVADO</v>
      </c>
      <c r="E2750" s="11" t="str">
        <f>IFERROR(IF(VLOOKUP(A2750,[18]PRIORIZADOS!$A:$E,5,FALSE)="","",VLOOKUP(A2750,[18]PRIORIZADOS!$A:$E,5,FALSE)),"")</f>
        <v>EPBM</v>
      </c>
      <c r="F2750" s="11" t="str">
        <f>IFERROR(IF(VLOOKUP(A2750,[18]PRIORIZADOS!$A:$F,6,FALSE)="","",VLOOKUP(A2750,[18]PRIORIZADOS!$A:$F,6,FALSE)),"")</f>
        <v>LICEO_MARANATA</v>
      </c>
      <c r="G2750" s="11" t="str">
        <f>IFERROR(IF(VLOOKUP(A2750,[18]PRIORIZADOS!$A:$G,7,FALSE)="","",VLOOKUP(A2750,[18]PRIORIZADOS!$A:$G,7,FALSE)),"")</f>
        <v>LICEO MARANATA</v>
      </c>
      <c r="H2750" s="11" t="str">
        <f>IFERROR(IF(VLOOKUP(A2750,[18]PRIORIZADOS!$A:$H,8,FALSE)="","",VLOOKUP(A2750,[18]PRIORIZADOS!$A:$H,8,FALSE)),"")</f>
        <v>Autoevaluación Institucional y Pruebas SABER 11</v>
      </c>
      <c r="I2750" s="11" t="str">
        <f>IFERROR(IF(VLOOKUP(A2750,[18]PRIORIZADOS!$A:$I,9,FALSE)="","",VLOOKUP(A2750,[18]PRIORIZADOS!$A:$I,9,FALSE)),"")</f>
        <v>EVALUACIÓN_CON_FINES_DE_MEJORAMIENTO.</v>
      </c>
      <c r="J2750" s="11" t="str">
        <f>IFERROR(IF(VLOOKUP(A2750,[18]PRIORIZADOS!$A:$J,10,FALSE)="","",VLOOKUP(A2750,[18]PRIORIZADOS!$A:$J,10,FALSE)),"")</f>
        <v>Verificar el funcionamiento del Gobierno Escolar e instancias de participación con base en la información sobre conformación reportada por la institución educativa.</v>
      </c>
      <c r="K2750" s="11" t="str">
        <f>IFERROR(IF(VLOOKUP(A2750,[18]PRIORIZADOS!$A:$K,11,FALSE)="","",VLOOKUP(A2750,[18]PRIORIZADOS!$A:$K,11,FALSE)),"")</f>
        <v>MIGUEL ANTONIO CARO CARO</v>
      </c>
      <c r="L2750" s="11" t="str">
        <f>IFERROR(IF(VLOOKUP(A2750,[18]PRIORIZADOS!$A:$L,12,FALSE)="","",VLOOKUP(A2750,[18]PRIORIZADOS!$A:$L,12,FALSE)),"")</f>
        <v>FRANCY LORENA RODRIGUEZ CASTRO</v>
      </c>
      <c r="M2750" s="71">
        <f>IFERROR(IF(VLOOKUP(A2750,[18]PRIORIZADOS!$A:$M,13,FALSE)="","",VLOOKUP(A2750,[18]PRIORIZADOS!$A:$M,13,FALSE)),"")</f>
        <v>45874</v>
      </c>
      <c r="N2750" s="71">
        <f>IFERROR(IF(VLOOKUP(A2750,[18]PRIORIZADOS!$A:$N,14,FALSE)="","",VLOOKUP(A2750,[18]PRIORIZADOS!$A:$N,14,FALSE)),"")</f>
        <v>45755</v>
      </c>
      <c r="O2750" s="71">
        <f>IFERROR(IF(VLOOKUP(A2750,[18]PRIORIZADOS!$A:$O,15,FALSE)="","",VLOOKUP(A2750,[18]PRIORIZADOS!$A:$O,15,FALSE)),"")</f>
        <v>45874</v>
      </c>
      <c r="P2750" s="11" t="str">
        <f>IFERROR(IF(VLOOKUP(A2750,[18]PRIORIZADOS!$A:$P,16,FALSE)="","",VLOOKUP(A2750,[18]PRIORIZADOS!$A:$P,16,FALSE)),"")</f>
        <v>Visitas de evaluación con fines de mejoramiento</v>
      </c>
      <c r="Q2750" s="2" t="s">
        <v>525</v>
      </c>
      <c r="R2750" s="11" t="str">
        <f>IFERROR(IF(VLOOKUP(A2750,[18]PRIORIZADOS!$A:$R,18,FALSE)="","",VLOOKUP(A2750,[18]PRIORIZADOS!$A:$R,18,FALSE)),"")</f>
        <v>Existe el acta de instalación -conformación del gobierno escolar, pero no se registra en actas las reuniones de las diferentes instancias de gobierno escolar .</v>
      </c>
      <c r="S2750" s="11" t="str">
        <f>IFERROR(IF(VLOOKUP(A2750,[18]PRIORIZADOS!$A:$S,19,FALSE)="","",VLOOKUP(A2750,[18]PRIORIZADOS!$A:$S,19,FALSE)),"")</f>
        <v>la institución se compromete a presentar un plan de mejoramiento para cada uno de los aspectos en que se realizó observaciones el 20 de agosto del 2025 lo cual ya radico y se le realizaron observacion en reunión directa.</v>
      </c>
      <c r="T2750" s="70" t="str">
        <f>IFERROR(IF(VLOOKUP(A2750,[18]PRIORIZADOS!$A:$T,20,FALSE)="","",VLOOKUP(A2750,[18]PRIORIZADOS!$A:$T,20,FALSE)),"")</f>
        <v>Si</v>
      </c>
      <c r="U2750" s="11" t="str">
        <f>IFERROR(IF(VLOOKUP(A2750,[18]PRIORIZADOS!$A:$U,21,FALSE)="","",VLOOKUP(A2750,[18]PRIORIZADOS!$A:$U,21,FALSE)),"")</f>
        <v>Se verificara el cumplimiento del Plan de mejoramiento vigencia 2025.</v>
      </c>
    </row>
    <row r="2751" spans="1:21" s="1" customFormat="1" ht="36">
      <c r="A2751" s="69">
        <f>IF([18]PRIORIZADOS!A94="","",[18]PRIORIZADOS!A94)</f>
        <v>2740</v>
      </c>
      <c r="B2751" s="70">
        <f>IFERROR(IF(VLOOKUP(A2751,[18]PRIORIZADOS!$A:$B,2,FALSE)="","",VLOOKUP(A2751,[18]PRIORIZADOS!$A:$B,2,FALSE)),"")</f>
        <v>10</v>
      </c>
      <c r="C2751" s="11" t="str">
        <f>IFERROR(IF(VLOOKUP(A2751,[18]PRIORIZADOS!$A:$C,3,FALSE)="","",VLOOKUP(A2751,[18]PRIORIZADOS!$A:$C,3,FALSE)),"")</f>
        <v>USME</v>
      </c>
      <c r="D2751" s="11" t="str">
        <f>IFERROR(IF(VLOOKUP(A2751,[18]PRIORIZADOS!$A:$D,4,FALSE)="","",VLOOKUP(A2751,[18]PRIORIZADOS!$A:$D,4,FALSE)),"")</f>
        <v>PRIVADO</v>
      </c>
      <c r="E2751" s="11" t="str">
        <f>IFERROR(IF(VLOOKUP(A2751,[18]PRIORIZADOS!$A:$E,5,FALSE)="","",VLOOKUP(A2751,[18]PRIORIZADOS!$A:$E,5,FALSE)),"")</f>
        <v>EPBM</v>
      </c>
      <c r="F2751" s="11" t="str">
        <f>IFERROR(IF(VLOOKUP(A2751,[18]PRIORIZADOS!$A:$F,6,FALSE)="","",VLOOKUP(A2751,[18]PRIORIZADOS!$A:$F,6,FALSE)),"")</f>
        <v>LICEO_MARANATA</v>
      </c>
      <c r="G2751" s="11" t="str">
        <f>IFERROR(IF(VLOOKUP(A2751,[18]PRIORIZADOS!$A:$G,7,FALSE)="","",VLOOKUP(A2751,[18]PRIORIZADOS!$A:$G,7,FALSE)),"")</f>
        <v>LICEO MARANATA</v>
      </c>
      <c r="H2751" s="11" t="str">
        <f>IFERROR(IF(VLOOKUP(A2751,[18]PRIORIZADOS!$A:$H,8,FALSE)="","",VLOOKUP(A2751,[18]PRIORIZADOS!$A:$H,8,FALSE)),"")</f>
        <v>Autoevaluación Institucional y Pruebas SABER 11</v>
      </c>
      <c r="I2751" s="11" t="str">
        <f>IFERROR(IF(VLOOKUP(A2751,[18]PRIORIZADOS!$A:$I,9,FALSE)="","",VLOOKUP(A2751,[18]PRIORIZADOS!$A:$I,9,FALSE)),"")</f>
        <v>EVALUACIÓN_CON_FINES_DE_MEJORAMIENTO.</v>
      </c>
      <c r="J2751" s="11" t="str">
        <f>IFERROR(IF(VLOOKUP(A2751,[18]PRIORIZADOS!$A:$J,10,FALSE)="","",VLOOKUP(A2751,[18]PRIORIZADOS!$A:$J,10,FALSE)),"")</f>
        <v>Verificar las condiciones en cuanto a: la estructura administrativa, condiciones de la planta física y medios educativos adecuados.</v>
      </c>
      <c r="K2751" s="11" t="str">
        <f>IFERROR(IF(VLOOKUP(A2751,[18]PRIORIZADOS!$A:$K,11,FALSE)="","",VLOOKUP(A2751,[18]PRIORIZADOS!$A:$K,11,FALSE)),"")</f>
        <v>MIGUEL ANTONIO CARO CARO</v>
      </c>
      <c r="L2751" s="11" t="str">
        <f>IFERROR(IF(VLOOKUP(A2751,[18]PRIORIZADOS!$A:$L,12,FALSE)="","",VLOOKUP(A2751,[18]PRIORIZADOS!$A:$L,12,FALSE)),"")</f>
        <v>FRANCY LORENA RODRIGUEZ CASTRO</v>
      </c>
      <c r="M2751" s="71">
        <f>IFERROR(IF(VLOOKUP(A2751,[18]PRIORIZADOS!$A:$M,13,FALSE)="","",VLOOKUP(A2751,[18]PRIORIZADOS!$A:$M,13,FALSE)),"")</f>
        <v>45874</v>
      </c>
      <c r="N2751" s="71">
        <f>IFERROR(IF(VLOOKUP(A2751,[18]PRIORIZADOS!$A:$N,14,FALSE)="","",VLOOKUP(A2751,[18]PRIORIZADOS!$A:$N,14,FALSE)),"")</f>
        <v>45755</v>
      </c>
      <c r="O2751" s="71">
        <f>IFERROR(IF(VLOOKUP(A2751,[18]PRIORIZADOS!$A:$O,15,FALSE)="","",VLOOKUP(A2751,[18]PRIORIZADOS!$A:$O,15,FALSE)),"")</f>
        <v>45874</v>
      </c>
      <c r="P2751" s="11" t="str">
        <f>IFERROR(IF(VLOOKUP(A2751,[18]PRIORIZADOS!$A:$P,16,FALSE)="","",VLOOKUP(A2751,[18]PRIORIZADOS!$A:$P,16,FALSE)),"")</f>
        <v>Visitas de evaluación con fines de mejoramiento</v>
      </c>
      <c r="Q2751" s="43" t="s">
        <v>525</v>
      </c>
      <c r="R2751" s="11" t="str">
        <f>IFERROR(IF(VLOOKUP(A2751,[18]PRIORIZADOS!$A:$R,18,FALSE)="","",VLOOKUP(A2751,[18]PRIORIZADOS!$A:$R,18,FALSE)),"")</f>
        <v>la institución cuenta con aulas amplias , con iluminacion natural y ventilacion espacios abiertos y suficientes .</v>
      </c>
      <c r="S2751" s="11" t="str">
        <f>IFERROR(IF(VLOOKUP(A2751,[18]PRIORIZADOS!$A:$S,19,FALSE)="","",VLOOKUP(A2751,[18]PRIORIZADOS!$A:$S,19,FALSE)),"")</f>
        <v>mejorar la accesibilidad para personas con dificultad en su movilidad.</v>
      </c>
      <c r="T2751" s="70" t="str">
        <f>IFERROR(IF(VLOOKUP(A2751,[18]PRIORIZADOS!$A:$T,20,FALSE)="","",VLOOKUP(A2751,[18]PRIORIZADOS!$A:$T,20,FALSE)),"")</f>
        <v>Si</v>
      </c>
      <c r="U2751" s="11" t="str">
        <f>IFERROR(IF(VLOOKUP(A2751,[18]PRIORIZADOS!$A:$U,21,FALSE)="","",VLOOKUP(A2751,[18]PRIORIZADOS!$A:$U,21,FALSE)),"")</f>
        <v>Se revisara el plan de mejoramiento y Verificara - vigencia 2026</v>
      </c>
    </row>
    <row r="2752" spans="1:21" s="1" customFormat="1" ht="96">
      <c r="A2752" s="69">
        <f>IF([18]PRIORIZADOS!A95="","",[18]PRIORIZADOS!A95)</f>
        <v>2741</v>
      </c>
      <c r="B2752" s="70">
        <f>IFERROR(IF(VLOOKUP(A2752,[18]PRIORIZADOS!$A:$B,2,FALSE)="","",VLOOKUP(A2752,[18]PRIORIZADOS!$A:$B,2,FALSE)),"")</f>
        <v>11</v>
      </c>
      <c r="C2752" s="11" t="str">
        <f>IFERROR(IF(VLOOKUP(A2752,[18]PRIORIZADOS!$A:$C,3,FALSE)="","",VLOOKUP(A2752,[18]PRIORIZADOS!$A:$C,3,FALSE)),"")</f>
        <v>USME</v>
      </c>
      <c r="D2752" s="11" t="str">
        <f>IFERROR(IF(VLOOKUP(A2752,[18]PRIORIZADOS!$A:$D,4,FALSE)="","",VLOOKUP(A2752,[18]PRIORIZADOS!$A:$D,4,FALSE)),"")</f>
        <v>PRIVADO</v>
      </c>
      <c r="E2752" s="11" t="str">
        <f>IFERROR(IF(VLOOKUP(A2752,[18]PRIORIZADOS!$A:$E,5,FALSE)="","",VLOOKUP(A2752,[18]PRIORIZADOS!$A:$E,5,FALSE)),"")</f>
        <v>EPBM</v>
      </c>
      <c r="F2752" s="11" t="str">
        <f>IFERROR(IF(VLOOKUP(A2752,[18]PRIORIZADOS!$A:$F,6,FALSE)="","",VLOOKUP(A2752,[18]PRIORIZADOS!$A:$F,6,FALSE)),"")</f>
        <v>LICEO_COMERCIAL_NUEVO_ALEJANDRINO</v>
      </c>
      <c r="G2752" s="11" t="str">
        <f>IFERROR(IF(VLOOKUP(A2752,[18]PRIORIZADOS!$A:$G,7,FALSE)="","",VLOOKUP(A2752,[18]PRIORIZADOS!$A:$G,7,FALSE)),"")</f>
        <v>LICEO COMERCIAL NUEVO ALEJANDRINO</v>
      </c>
      <c r="H2752" s="11" t="str">
        <f>IFERROR(IF(VLOOKUP(A2752,[18]PRIORIZADOS!$A:$H,8,FALSE)="","",VLOOKUP(A2752,[18]PRIORIZADOS!$A:$H,8,FALSE)),"")</f>
        <v>Autoevaluación Institucional y Pruebas SABER 11</v>
      </c>
      <c r="I2752" s="11" t="str">
        <f>IFERROR(IF(VLOOKUP(A2752,[18]PRIORIZADOS!$A:$I,9,FALSE)="","",VLOOKUP(A2752,[18]PRIORIZADOS!$A:$I,9,FALSE)),"")</f>
        <v>SEGUIMIENTO_Y_SUPERVISIÓN.</v>
      </c>
      <c r="J2752" s="11" t="str">
        <f>IFERROR(IF(VLOOKUP(A2752,[18]PRIORIZADOS!$A:$J,10,FALSE)="","",VLOOKUP(A2752,[18]PRIORIZADOS!$A:$J,10,FALSE)),"")</f>
        <v>Realizar visitas para verificar la información registrada sobre la autoevaluación institucional en el aplicativo EVI, a los establecimientos de educación formal no oficial.</v>
      </c>
      <c r="K2752" s="11" t="str">
        <f>IFERROR(IF(VLOOKUP(A2752,[18]PRIORIZADOS!$A:$K,11,FALSE)="","",VLOOKUP(A2752,[18]PRIORIZADOS!$A:$K,11,FALSE)),"")</f>
        <v>MIGUEL ANTONIO CARO CARO</v>
      </c>
      <c r="L2752" s="11" t="str">
        <f>IFERROR(IF(VLOOKUP(A2752,[18]PRIORIZADOS!$A:$L,12,FALSE)="","",VLOOKUP(A2752,[18]PRIORIZADOS!$A:$L,12,FALSE)),"")</f>
        <v>FRANCY LORENA RODRIGUEZ CASTRO</v>
      </c>
      <c r="M2752" s="71">
        <f>IFERROR(IF(VLOOKUP(A2752,[18]PRIORIZADOS!$A:$M,13,FALSE)="","",VLOOKUP(A2752,[18]PRIORIZADOS!$A:$M,13,FALSE)),"")</f>
        <v>45890</v>
      </c>
      <c r="N2752" s="71">
        <f>IFERROR(IF(VLOOKUP(A2752,[18]PRIORIZADOS!$A:$N,14,FALSE)="","",VLOOKUP(A2752,[18]PRIORIZADOS!$A:$N,14,FALSE)),"")</f>
        <v>45888</v>
      </c>
      <c r="O2752" s="71">
        <f>IFERROR(IF(VLOOKUP(A2752,[18]PRIORIZADOS!$A:$O,15,FALSE)="","",VLOOKUP(A2752,[18]PRIORIZADOS!$A:$O,15,FALSE)),"")</f>
        <v>45888</v>
      </c>
      <c r="P2752" s="11" t="str">
        <f>IFERROR(IF(VLOOKUP(A2752,[18]PRIORIZADOS!$A:$P,16,FALSE)="","",VLOOKUP(A2752,[18]PRIORIZADOS!$A:$P,16,FALSE)),"")</f>
        <v>Visitas de evaluación con fines de mejoramiento</v>
      </c>
      <c r="Q2752" s="2" t="s">
        <v>526</v>
      </c>
      <c r="R2752" s="11" t="str">
        <f>IFERROR(IF(VLOOKUP(A2752,[18]PRIORIZADOS!$A:$R,18,FALSE)="","",VLOOKUP(A2752,[18]PRIORIZADOS!$A:$R,18,FALSE)),"")</f>
        <v>Se encontró que no existe correspondencia entre el número de estudiantes registrados en el EVI - SIMAT y la realidad institucional en el momento de la visita, se encontro que la aseveración del pago de parafiscales registrada en el EVI para tarifas 2025 no es concordante con lo observado.</v>
      </c>
      <c r="S2752" s="11" t="str">
        <f>IFERROR(IF(VLOOKUP(A2752,[18]PRIORIZADOS!$A:$S,19,FALSE)="","",VLOOKUP(A2752,[18]PRIORIZADOS!$A:$S,19,FALSE)),"")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2" s="70" t="str">
        <f>IFERROR(IF(VLOOKUP(A2752,[18]PRIORIZADOS!$A:$T,20,FALSE)="","",VLOOKUP(A2752,[18]PRIORIZADOS!$A:$T,20,FALSE)),"")</f>
        <v>Si</v>
      </c>
      <c r="U2752" s="11" t="str">
        <f>IFERROR(IF(VLOOKUP(A2752,[18]PRIORIZADOS!$A:$U,21,FALSE)="","",VLOOKUP(A2752,[18]PRIORIZADOS!$A:$U,21,FALSE)),"")</f>
        <v>Se revisara el plan de mejoramiento y Verificara en el SIMAT -   vigencia 2026</v>
      </c>
    </row>
    <row r="2753" spans="1:21" s="1" customFormat="1" ht="72">
      <c r="A2753" s="69">
        <f>IF([18]PRIORIZADOS!A96="","",[18]PRIORIZADOS!A96)</f>
        <v>2742</v>
      </c>
      <c r="B2753" s="70">
        <f>IFERROR(IF(VLOOKUP(A2753,[18]PRIORIZADOS!$A:$B,2,FALSE)="","",VLOOKUP(A2753,[18]PRIORIZADOS!$A:$B,2,FALSE)),"")</f>
        <v>11</v>
      </c>
      <c r="C2753" s="11" t="str">
        <f>IFERROR(IF(VLOOKUP(A2753,[18]PRIORIZADOS!$A:$C,3,FALSE)="","",VLOOKUP(A2753,[18]PRIORIZADOS!$A:$C,3,FALSE)),"")</f>
        <v>USME</v>
      </c>
      <c r="D2753" s="11" t="str">
        <f>IFERROR(IF(VLOOKUP(A2753,[18]PRIORIZADOS!$A:$D,4,FALSE)="","",VLOOKUP(A2753,[18]PRIORIZADOS!$A:$D,4,FALSE)),"")</f>
        <v>PRIVADO</v>
      </c>
      <c r="E2753" s="11" t="str">
        <f>IFERROR(IF(VLOOKUP(A2753,[18]PRIORIZADOS!$A:$E,5,FALSE)="","",VLOOKUP(A2753,[18]PRIORIZADOS!$A:$E,5,FALSE)),"")</f>
        <v>EPBM</v>
      </c>
      <c r="F2753" s="11" t="str">
        <f>IFERROR(IF(VLOOKUP(A2753,[18]PRIORIZADOS!$A:$F,6,FALSE)="","",VLOOKUP(A2753,[18]PRIORIZADOS!$A:$F,6,FALSE)),"")</f>
        <v>LICEO_COMERCIAL_NUEVO_ALEJANDRINO</v>
      </c>
      <c r="G2753" s="11" t="str">
        <f>IFERROR(IF(VLOOKUP(A2753,[18]PRIORIZADOS!$A:$G,7,FALSE)="","",VLOOKUP(A2753,[18]PRIORIZADOS!$A:$G,7,FALSE)),"")</f>
        <v>LICEO COMERCIAL NUEVO ALEJANDRINO</v>
      </c>
      <c r="H2753" s="11" t="str">
        <f>IFERROR(IF(VLOOKUP(A2753,[18]PRIORIZADOS!$A:$H,8,FALSE)="","",VLOOKUP(A2753,[18]PRIORIZADOS!$A:$H,8,FALSE)),"")</f>
        <v>Autoevaluación Institucional y Pruebas SABER 11</v>
      </c>
      <c r="I2753" s="11" t="str">
        <f>IFERROR(IF(VLOOKUP(A2753,[18]PRIORIZADOS!$A:$I,9,FALSE)="","",VLOOKUP(A2753,[18]PRIORIZADOS!$A:$I,9,FALSE)),"")</f>
        <v>SEGUIMIENTO_Y_SUPERVISIÓN.</v>
      </c>
      <c r="J2753" s="11" t="str">
        <f>IFERROR(IF(VLOOKUP(A2753,[18]PRIORIZADOS!$A:$J,10,FALSE)="","",VLOOKUP(A2753,[18]PRIORIZADOS!$A:$J,10,FALSE)),"")</f>
        <v>Proponer estrategias en la formulación, verificar su elaboración y realizar seguimiento semestral al desarrollo de  las acciones establecidas en los planes de mejoramiento por pruebas SABER 11 de los establecimientos de educación formal.</v>
      </c>
      <c r="K2753" s="11" t="str">
        <f>IFERROR(IF(VLOOKUP(A2753,[18]PRIORIZADOS!$A:$K,11,FALSE)="","",VLOOKUP(A2753,[18]PRIORIZADOS!$A:$K,11,FALSE)),"")</f>
        <v>MIGUEL ANTONIO CARO CARO</v>
      </c>
      <c r="L2753" s="11" t="str">
        <f>IFERROR(IF(VLOOKUP(A2753,[18]PRIORIZADOS!$A:$L,12,FALSE)="","",VLOOKUP(A2753,[18]PRIORIZADOS!$A:$L,12,FALSE)),"")</f>
        <v>FRANCY LORENA RODRIGUEZ CASTRO</v>
      </c>
      <c r="M2753" s="71">
        <f>IFERROR(IF(VLOOKUP(A2753,[18]PRIORIZADOS!$A:$M,13,FALSE)="","",VLOOKUP(A2753,[18]PRIORIZADOS!$A:$M,13,FALSE)),"")</f>
        <v>45890</v>
      </c>
      <c r="N2753" s="71">
        <f>IFERROR(IF(VLOOKUP(A2753,[18]PRIORIZADOS!$A:$N,14,FALSE)="","",VLOOKUP(A2753,[18]PRIORIZADOS!$A:$N,14,FALSE)),"")</f>
        <v>45888</v>
      </c>
      <c r="O2753" s="71">
        <f>IFERROR(IF(VLOOKUP(A2753,[18]PRIORIZADOS!$A:$O,15,FALSE)="","",VLOOKUP(A2753,[18]PRIORIZADOS!$A:$O,15,FALSE)),"")</f>
        <v>45888</v>
      </c>
      <c r="P2753" s="11" t="str">
        <f>IFERROR(IF(VLOOKUP(A2753,[18]PRIORIZADOS!$A:$P,16,FALSE)="","",VLOOKUP(A2753,[18]PRIORIZADOS!$A:$P,16,FALSE)),"")</f>
        <v>Visitas de evaluación con fines de mejoramiento</v>
      </c>
      <c r="Q2753" s="2" t="s">
        <v>526</v>
      </c>
      <c r="R2753" s="11" t="str">
        <f>IFERROR(IF(VLOOKUP(A2753,[18]PRIORIZADOS!$A:$R,18,FALSE)="","",VLOOKUP(A2753,[18]PRIORIZADOS!$A:$R,18,FALSE)),"")</f>
        <v>No se encontró evidencia de la revisión y análisis de resultados de pruebas Saber 11, ni de la formulación de planes de mejoramiento.</v>
      </c>
      <c r="S2753" s="11" t="str">
        <f>IFERROR(IF(VLOOKUP(A2753,[18]PRIORIZADOS!$A:$S,19,FALSE)="","",VLOOKUP(A2753,[18]PRIORIZADOS!$A:$S,19,FALSE)),"")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3" s="70" t="str">
        <f>IFERROR(IF(VLOOKUP(A2753,[18]PRIORIZADOS!$A:$T,20,FALSE)="","",VLOOKUP(A2753,[18]PRIORIZADOS!$A:$T,20,FALSE)),"")</f>
        <v>Si</v>
      </c>
      <c r="U2753" s="11" t="str">
        <f>IFERROR(IF(VLOOKUP(A2753,[18]PRIORIZADOS!$A:$U,21,FALSE)="","",VLOOKUP(A2753,[18]PRIORIZADOS!$A:$U,21,FALSE)),"")</f>
        <v>Se revisara el plan de mejoramiento y Verificara en la vigencia 2026</v>
      </c>
    </row>
    <row r="2754" spans="1:21" s="1" customFormat="1" ht="84">
      <c r="A2754" s="69">
        <f>IF([18]PRIORIZADOS!A97="","",[18]PRIORIZADOS!A97)</f>
        <v>2743</v>
      </c>
      <c r="B2754" s="70">
        <f>IFERROR(IF(VLOOKUP(A2754,[18]PRIORIZADOS!$A:$B,2,FALSE)="","",VLOOKUP(A2754,[18]PRIORIZADOS!$A:$B,2,FALSE)),"")</f>
        <v>11</v>
      </c>
      <c r="C2754" s="11" t="str">
        <f>IFERROR(IF(VLOOKUP(A2754,[18]PRIORIZADOS!$A:$C,3,FALSE)="","",VLOOKUP(A2754,[18]PRIORIZADOS!$A:$C,3,FALSE)),"")</f>
        <v>USME</v>
      </c>
      <c r="D2754" s="11" t="str">
        <f>IFERROR(IF(VLOOKUP(A2754,[18]PRIORIZADOS!$A:$D,4,FALSE)="","",VLOOKUP(A2754,[18]PRIORIZADOS!$A:$D,4,FALSE)),"")</f>
        <v>PRIVADO</v>
      </c>
      <c r="E2754" s="11" t="str">
        <f>IFERROR(IF(VLOOKUP(A2754,[18]PRIORIZADOS!$A:$E,5,FALSE)="","",VLOOKUP(A2754,[18]PRIORIZADOS!$A:$E,5,FALSE)),"")</f>
        <v>EPBM</v>
      </c>
      <c r="F2754" s="11" t="str">
        <f>IFERROR(IF(VLOOKUP(A2754,[18]PRIORIZADOS!$A:$F,6,FALSE)="","",VLOOKUP(A2754,[18]PRIORIZADOS!$A:$F,6,FALSE)),"")</f>
        <v>LICEO_COMERCIAL_NUEVO_ALEJANDRINO</v>
      </c>
      <c r="G2754" s="11" t="str">
        <f>IFERROR(IF(VLOOKUP(A2754,[18]PRIORIZADOS!$A:$G,7,FALSE)="","",VLOOKUP(A2754,[18]PRIORIZADOS!$A:$G,7,FALSE)),"")</f>
        <v>LICEO COMERCIAL NUEVO ALEJANDRINO</v>
      </c>
      <c r="H2754" s="11" t="str">
        <f>IFERROR(IF(VLOOKUP(A2754,[18]PRIORIZADOS!$A:$H,8,FALSE)="","",VLOOKUP(A2754,[18]PRIORIZADOS!$A:$H,8,FALSE)),"")</f>
        <v>Autoevaluación Institucional y Pruebas SABER 11</v>
      </c>
      <c r="I2754" s="11" t="str">
        <f>IFERROR(IF(VLOOKUP(A2754,[18]PRIORIZADOS!$A:$I,9,FALSE)="","",VLOOKUP(A2754,[18]PRIORIZADOS!$A:$I,9,FALSE)),"")</f>
        <v>SEGUIMIENTO_Y_SUPERVISIÓN.</v>
      </c>
      <c r="J2754" s="11" t="str">
        <f>IFERROR(IF(VLOOKUP(A2754,[18]PRIORIZADOS!$A:$J,10,FALSE)="","",VLOOKUP(A2754,[18]PRIORIZADOS!$A:$J,10,FALSE)),"")</f>
        <v xml:space="preserve">Verificar la implementación por parte de los colegios, de acciones realizadas para la prevención y atención de las situaciones de convivencia en el entorno escolar, según lo establecido en la Directiva 01 de 2022 del MEN. </v>
      </c>
      <c r="K2754" s="11" t="str">
        <f>IFERROR(IF(VLOOKUP(A2754,[18]PRIORIZADOS!$A:$K,11,FALSE)="","",VLOOKUP(A2754,[18]PRIORIZADOS!$A:$K,11,FALSE)),"")</f>
        <v>MIGUEL ANTONIO CARO CARO</v>
      </c>
      <c r="L2754" s="11" t="str">
        <f>IFERROR(IF(VLOOKUP(A2754,[18]PRIORIZADOS!$A:$L,12,FALSE)="","",VLOOKUP(A2754,[18]PRIORIZADOS!$A:$L,12,FALSE)),"")</f>
        <v>FRANCY LORENA RODRIGUEZ CASTRO</v>
      </c>
      <c r="M2754" s="71">
        <f>IFERROR(IF(VLOOKUP(A2754,[18]PRIORIZADOS!$A:$M,13,FALSE)="","",VLOOKUP(A2754,[18]PRIORIZADOS!$A:$M,13,FALSE)),"")</f>
        <v>45890</v>
      </c>
      <c r="N2754" s="71">
        <f>IFERROR(IF(VLOOKUP(A2754,[18]PRIORIZADOS!$A:$N,14,FALSE)="","",VLOOKUP(A2754,[18]PRIORIZADOS!$A:$N,14,FALSE)),"")</f>
        <v>45888</v>
      </c>
      <c r="O2754" s="71">
        <f>IFERROR(IF(VLOOKUP(A2754,[18]PRIORIZADOS!$A:$O,15,FALSE)="","",VLOOKUP(A2754,[18]PRIORIZADOS!$A:$O,15,FALSE)),"")</f>
        <v>45888</v>
      </c>
      <c r="P2754" s="11" t="str">
        <f>IFERROR(IF(VLOOKUP(A2754,[18]PRIORIZADOS!$A:$P,16,FALSE)="","",VLOOKUP(A2754,[18]PRIORIZADOS!$A:$P,16,FALSE)),"")</f>
        <v>Visitas de evaluación con fines de mejoramiento</v>
      </c>
      <c r="Q2754" s="60" t="s">
        <v>526</v>
      </c>
      <c r="R2754" s="11" t="str">
        <f>IFERROR(IF(VLOOKUP(A2754,[18]PRIORIZADOS!$A:$R,18,FALSE)="","",VLOOKUP(A2754,[18]PRIORIZADOS!$A:$R,18,FALSE)),"")</f>
        <v>Se evidencia el cumplimiento de la Directiva 01, sobre la consulta de inhabilidades por delitos sexuales al inicio de año escolar y reciente.  no se aportan evidencias  de reportar las situaciones convivenciales tipo II y III en el sistema de alertas del distrito.</v>
      </c>
      <c r="S2754" s="11" t="str">
        <f>IFERROR(IF(VLOOKUP(A2754,[18]PRIORIZADOS!$A:$S,19,FALSE)="","",VLOOKUP(A2754,[18]PRIORIZADOS!$A:$S,19,FALSE)),"")</f>
        <v xml:space="preserve">Continuar la revisón periodica del cumplimiento de la Directiva 01 de 2022, ypresentar un plan de mejoramiento para cada uno de los aspectos en que se realizó observaciones, el 04 de septiembre del 2025, ya radico   se le realizaron observaciones al mismo en reunión directa </v>
      </c>
      <c r="T2754" s="70" t="str">
        <f>IFERROR(IF(VLOOKUP(A2754,[18]PRIORIZADOS!$A:$T,20,FALSE)="","",VLOOKUP(A2754,[18]PRIORIZADOS!$A:$T,20,FALSE)),"")</f>
        <v>Si</v>
      </c>
      <c r="U2754" s="11" t="str">
        <f>IFERROR(IF(VLOOKUP(A2754,[18]PRIORIZADOS!$A:$U,21,FALSE)="","",VLOOKUP(A2754,[18]PRIORIZADOS!$A:$U,21,FALSE)),"")</f>
        <v>Se verificara nuevamente el cumplimiento la Directiva 01, se revisara plan de mejoramiento y se verificara en la vigencia 2026.</v>
      </c>
    </row>
    <row r="2755" spans="1:21" s="1" customFormat="1" ht="72">
      <c r="A2755" s="69">
        <f>IF([18]PRIORIZADOS!A98="","",[18]PRIORIZADOS!A98)</f>
        <v>2744</v>
      </c>
      <c r="B2755" s="70">
        <f>IFERROR(IF(VLOOKUP(A2755,[18]PRIORIZADOS!$A:$B,2,FALSE)="","",VLOOKUP(A2755,[18]PRIORIZADOS!$A:$B,2,FALSE)),"")</f>
        <v>11</v>
      </c>
      <c r="C2755" s="11" t="str">
        <f>IFERROR(IF(VLOOKUP(A2755,[18]PRIORIZADOS!$A:$C,3,FALSE)="","",VLOOKUP(A2755,[18]PRIORIZADOS!$A:$C,3,FALSE)),"")</f>
        <v>USME</v>
      </c>
      <c r="D2755" s="11" t="str">
        <f>IFERROR(IF(VLOOKUP(A2755,[18]PRIORIZADOS!$A:$D,4,FALSE)="","",VLOOKUP(A2755,[18]PRIORIZADOS!$A:$D,4,FALSE)),"")</f>
        <v>PRIVADO</v>
      </c>
      <c r="E2755" s="11" t="str">
        <f>IFERROR(IF(VLOOKUP(A2755,[18]PRIORIZADOS!$A:$E,5,FALSE)="","",VLOOKUP(A2755,[18]PRIORIZADOS!$A:$E,5,FALSE)),"")</f>
        <v>EPBM</v>
      </c>
      <c r="F2755" s="11" t="str">
        <f>IFERROR(IF(VLOOKUP(A2755,[18]PRIORIZADOS!$A:$F,6,FALSE)="","",VLOOKUP(A2755,[18]PRIORIZADOS!$A:$F,6,FALSE)),"")</f>
        <v>LICEO_COMERCIAL_NUEVO_ALEJANDRINO</v>
      </c>
      <c r="G2755" s="11" t="str">
        <f>IFERROR(IF(VLOOKUP(A2755,[18]PRIORIZADOS!$A:$G,7,FALSE)="","",VLOOKUP(A2755,[18]PRIORIZADOS!$A:$G,7,FALSE)),"")</f>
        <v>LICEO COMERCIAL NUEVO ALEJANDRINO</v>
      </c>
      <c r="H2755" s="11" t="str">
        <f>IFERROR(IF(VLOOKUP(A2755,[18]PRIORIZADOS!$A:$H,8,FALSE)="","",VLOOKUP(A2755,[18]PRIORIZADOS!$A:$H,8,FALSE)),"")</f>
        <v>Autoevaluación Institucional y Pruebas SABER 11</v>
      </c>
      <c r="I2755" s="11" t="str">
        <f>IFERROR(IF(VLOOKUP(A2755,[18]PRIORIZADOS!$A:$I,9,FALSE)="","",VLOOKUP(A2755,[18]PRIORIZADOS!$A:$I,9,FALSE)),"")</f>
        <v>SEGUIMIENTO_Y_SUPERVISIÓN.</v>
      </c>
      <c r="J2755" s="11" t="str">
        <f>IFERROR(IF(VLOOKUP(A2755,[18]PRIORIZADOS!$A:$J,10,FALSE)="","",VLOOKUP(A2755,[18]PRIORIZADOS!$A:$J,10,FALSE)),"")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55" s="11" t="str">
        <f>IFERROR(IF(VLOOKUP(A2755,[18]PRIORIZADOS!$A:$K,11,FALSE)="","",VLOOKUP(A2755,[18]PRIORIZADOS!$A:$K,11,FALSE)),"")</f>
        <v>MIGUEL ANTONIO CARO CARO</v>
      </c>
      <c r="L2755" s="11" t="str">
        <f>IFERROR(IF(VLOOKUP(A2755,[18]PRIORIZADOS!$A:$L,12,FALSE)="","",VLOOKUP(A2755,[18]PRIORIZADOS!$A:$L,12,FALSE)),"")</f>
        <v>FRANCY LORENA RODRIGUEZ CASTRO</v>
      </c>
      <c r="M2755" s="71">
        <f>IFERROR(IF(VLOOKUP(A2755,[18]PRIORIZADOS!$A:$M,13,FALSE)="","",VLOOKUP(A2755,[18]PRIORIZADOS!$A:$M,13,FALSE)),"")</f>
        <v>45890</v>
      </c>
      <c r="N2755" s="71">
        <f>IFERROR(IF(VLOOKUP(A2755,[18]PRIORIZADOS!$A:$N,14,FALSE)="","",VLOOKUP(A2755,[18]PRIORIZADOS!$A:$N,14,FALSE)),"")</f>
        <v>45888</v>
      </c>
      <c r="O2755" s="71">
        <f>IFERROR(IF(VLOOKUP(A2755,[18]PRIORIZADOS!$A:$O,15,FALSE)="","",VLOOKUP(A2755,[18]PRIORIZADOS!$A:$O,15,FALSE)),"")</f>
        <v>45888</v>
      </c>
      <c r="P2755" s="11" t="str">
        <f>IFERROR(IF(VLOOKUP(A2755,[18]PRIORIZADOS!$A:$P,16,FALSE)="","",VLOOKUP(A2755,[18]PRIORIZADOS!$A:$P,16,FALSE)),"")</f>
        <v>Visitas de evaluación con fines de mejoramiento</v>
      </c>
      <c r="Q2755" s="60" t="s">
        <v>526</v>
      </c>
      <c r="R2755" s="11" t="str">
        <f>IFERROR(IF(VLOOKUP(A2755,[18]PRIORIZADOS!$A:$R,18,FALSE)="","",VLOOKUP(A2755,[18]PRIORIZADOS!$A:$R,18,FALSE)),"")</f>
        <v>No se evidencia que se registren  casos, no hay registro en el SIMAT y no se tiene soportes para registro, acompañamiento y seguimiento.</v>
      </c>
      <c r="S2755" s="11" t="str">
        <f>IFERROR(IF(VLOOKUP(A2755,[18]PRIORIZADOS!$A:$S,19,FALSE)="","",VLOOKUP(A2755,[18]PRIORIZADOS!$A:$S,19,FALSE)),"")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5" s="70" t="str">
        <f>IFERROR(IF(VLOOKUP(A2755,[18]PRIORIZADOS!$A:$T,20,FALSE)="","",VLOOKUP(A2755,[18]PRIORIZADOS!$A:$T,20,FALSE)),"")</f>
        <v>Si</v>
      </c>
      <c r="U2755" s="11" t="str">
        <f>IFERROR(IF(VLOOKUP(A2755,[18]PRIORIZADOS!$A:$U,21,FALSE)="","",VLOOKUP(A2755,[18]PRIORIZADOS!$A:$U,21,FALSE)),"")</f>
        <v>Se revisara el plan de mejoramiento y Verificara en la vigencia 2026</v>
      </c>
    </row>
    <row r="2756" spans="1:21" s="1" customFormat="1" ht="84">
      <c r="A2756" s="69">
        <f>IF([18]PRIORIZADOS!A99="","",[18]PRIORIZADOS!A99)</f>
        <v>2745</v>
      </c>
      <c r="B2756" s="70">
        <f>IFERROR(IF(VLOOKUP(A2756,[18]PRIORIZADOS!$A:$B,2,FALSE)="","",VLOOKUP(A2756,[18]PRIORIZADOS!$A:$B,2,FALSE)),"")</f>
        <v>11</v>
      </c>
      <c r="C2756" s="11" t="str">
        <f>IFERROR(IF(VLOOKUP(A2756,[18]PRIORIZADOS!$A:$C,3,FALSE)="","",VLOOKUP(A2756,[18]PRIORIZADOS!$A:$C,3,FALSE)),"")</f>
        <v>USME</v>
      </c>
      <c r="D2756" s="11" t="str">
        <f>IFERROR(IF(VLOOKUP(A2756,[18]PRIORIZADOS!$A:$D,4,FALSE)="","",VLOOKUP(A2756,[18]PRIORIZADOS!$A:$D,4,FALSE)),"")</f>
        <v>PRIVADO</v>
      </c>
      <c r="E2756" s="11" t="str">
        <f>IFERROR(IF(VLOOKUP(A2756,[18]PRIORIZADOS!$A:$E,5,FALSE)="","",VLOOKUP(A2756,[18]PRIORIZADOS!$A:$E,5,FALSE)),"")</f>
        <v>EPBM</v>
      </c>
      <c r="F2756" s="11" t="str">
        <f>IFERROR(IF(VLOOKUP(A2756,[18]PRIORIZADOS!$A:$F,6,FALSE)="","",VLOOKUP(A2756,[18]PRIORIZADOS!$A:$F,6,FALSE)),"")</f>
        <v>LICEO_COMERCIAL_NUEVO_ALEJANDRINO</v>
      </c>
      <c r="G2756" s="11" t="str">
        <f>IFERROR(IF(VLOOKUP(A2756,[18]PRIORIZADOS!$A:$G,7,FALSE)="","",VLOOKUP(A2756,[18]PRIORIZADOS!$A:$G,7,FALSE)),"")</f>
        <v>LICEO COMERCIAL NUEVO ALEJANDRINO</v>
      </c>
      <c r="H2756" s="11" t="str">
        <f>IFERROR(IF(VLOOKUP(A2756,[18]PRIORIZADOS!$A:$H,8,FALSE)="","",VLOOKUP(A2756,[18]PRIORIZADOS!$A:$H,8,FALSE)),"")</f>
        <v>Autoevaluación Institucional y Pruebas SABER 11</v>
      </c>
      <c r="I2756" s="11" t="str">
        <f>IFERROR(IF(VLOOKUP(A2756,[18]PRIORIZADOS!$A:$I,9,FALSE)="","",VLOOKUP(A2756,[18]PRIORIZADOS!$A:$I,9,FALSE)),"")</f>
        <v>EVALUACIÓN_CON_FINES_DE_MEJORAMIENTO.</v>
      </c>
      <c r="J2756" s="11" t="str">
        <f>IFERROR(IF(VLOOKUP(A2756,[18]PRIORIZADOS!$A:$J,10,FALSE)="","",VLOOKUP(A2756,[18]PRIORIZADOS!$A:$J,10,FALSE)),"")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56" s="11" t="str">
        <f>IFERROR(IF(VLOOKUP(A2756,[18]PRIORIZADOS!$A:$K,11,FALSE)="","",VLOOKUP(A2756,[18]PRIORIZADOS!$A:$K,11,FALSE)),"")</f>
        <v>MIGUEL ANTONIO CARO CARO</v>
      </c>
      <c r="L2756" s="11" t="str">
        <f>IFERROR(IF(VLOOKUP(A2756,[18]PRIORIZADOS!$A:$L,12,FALSE)="","",VLOOKUP(A2756,[18]PRIORIZADOS!$A:$L,12,FALSE)),"")</f>
        <v>FRANCY LORENA RODRIGUEZ CASTRO</v>
      </c>
      <c r="M2756" s="71">
        <f>IFERROR(IF(VLOOKUP(A2756,[18]PRIORIZADOS!$A:$M,13,FALSE)="","",VLOOKUP(A2756,[18]PRIORIZADOS!$A:$M,13,FALSE)),"")</f>
        <v>45890</v>
      </c>
      <c r="N2756" s="71">
        <f>IFERROR(IF(VLOOKUP(A2756,[18]PRIORIZADOS!$A:$N,14,FALSE)="","",VLOOKUP(A2756,[18]PRIORIZADOS!$A:$N,14,FALSE)),"")</f>
        <v>45888</v>
      </c>
      <c r="O2756" s="71">
        <f>IFERROR(IF(VLOOKUP(A2756,[18]PRIORIZADOS!$A:$O,15,FALSE)="","",VLOOKUP(A2756,[18]PRIORIZADOS!$A:$O,15,FALSE)),"")</f>
        <v>45888</v>
      </c>
      <c r="P2756" s="11" t="str">
        <f>IFERROR(IF(VLOOKUP(A2756,[18]PRIORIZADOS!$A:$P,16,FALSE)="","",VLOOKUP(A2756,[18]PRIORIZADOS!$A:$P,16,FALSE)),"")</f>
        <v>Visitas de evaluación con fines de mejoramiento</v>
      </c>
      <c r="Q2756" s="60" t="s">
        <v>526</v>
      </c>
      <c r="R2756" s="11" t="str">
        <f>IFERROR(IF(VLOOKUP(A2756,[18]PRIORIZADOS!$A:$R,18,FALSE)="","",VLOOKUP(A2756,[18]PRIORIZADOS!$A:$R,18,FALSE)),"")</f>
        <v xml:space="preserve">No se registra  evidencia de actualizacion ni socialización </v>
      </c>
      <c r="S2756" s="11" t="str">
        <f>IFERROR(IF(VLOOKUP(A2756,[18]PRIORIZADOS!$A:$S,19,FALSE)="","",VLOOKUP(A2756,[18]PRIORIZADOS!$A:$S,19,FALSE)),"")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6" s="70" t="str">
        <f>IFERROR(IF(VLOOKUP(A2756,[18]PRIORIZADOS!$A:$T,20,FALSE)="","",VLOOKUP(A2756,[18]PRIORIZADOS!$A:$T,20,FALSE)),"")</f>
        <v>Si</v>
      </c>
      <c r="U2756" s="11" t="str">
        <f>IFERROR(IF(VLOOKUP(A2756,[18]PRIORIZADOS!$A:$U,21,FALSE)="","",VLOOKUP(A2756,[18]PRIORIZADOS!$A:$U,21,FALSE)),"")</f>
        <v>Se revisara el plan de mejoramiento y Verificara en la vigencia 2026</v>
      </c>
    </row>
    <row r="2757" spans="1:21" s="1" customFormat="1" ht="72">
      <c r="A2757" s="69">
        <f>IF([18]PRIORIZADOS!A100="","",[18]PRIORIZADOS!A100)</f>
        <v>2746</v>
      </c>
      <c r="B2757" s="70">
        <f>IFERROR(IF(VLOOKUP(A2757,[18]PRIORIZADOS!$A:$B,2,FALSE)="","",VLOOKUP(A2757,[18]PRIORIZADOS!$A:$B,2,FALSE)),"")</f>
        <v>11</v>
      </c>
      <c r="C2757" s="11" t="str">
        <f>IFERROR(IF(VLOOKUP(A2757,[18]PRIORIZADOS!$A:$C,3,FALSE)="","",VLOOKUP(A2757,[18]PRIORIZADOS!$A:$C,3,FALSE)),"")</f>
        <v>USME</v>
      </c>
      <c r="D2757" s="11" t="str">
        <f>IFERROR(IF(VLOOKUP(A2757,[18]PRIORIZADOS!$A:$D,4,FALSE)="","",VLOOKUP(A2757,[18]PRIORIZADOS!$A:$D,4,FALSE)),"")</f>
        <v>PRIVADO</v>
      </c>
      <c r="E2757" s="11" t="str">
        <f>IFERROR(IF(VLOOKUP(A2757,[18]PRIORIZADOS!$A:$E,5,FALSE)="","",VLOOKUP(A2757,[18]PRIORIZADOS!$A:$E,5,FALSE)),"")</f>
        <v>EPBM</v>
      </c>
      <c r="F2757" s="11" t="str">
        <f>IFERROR(IF(VLOOKUP(A2757,[18]PRIORIZADOS!$A:$F,6,FALSE)="","",VLOOKUP(A2757,[18]PRIORIZADOS!$A:$F,6,FALSE)),"")</f>
        <v>LICEO_COMERCIAL_NUEVO_ALEJANDRINO</v>
      </c>
      <c r="G2757" s="11" t="str">
        <f>IFERROR(IF(VLOOKUP(A2757,[18]PRIORIZADOS!$A:$G,7,FALSE)="","",VLOOKUP(A2757,[18]PRIORIZADOS!$A:$G,7,FALSE)),"")</f>
        <v>LICEO COMERCIAL NUEVO ALEJANDRINO</v>
      </c>
      <c r="H2757" s="11" t="str">
        <f>IFERROR(IF(VLOOKUP(A2757,[18]PRIORIZADOS!$A:$H,8,FALSE)="","",VLOOKUP(A2757,[18]PRIORIZADOS!$A:$H,8,FALSE)),"")</f>
        <v>Autoevaluación Institucional y Pruebas SABER 11</v>
      </c>
      <c r="I2757" s="11" t="str">
        <f>IFERROR(IF(VLOOKUP(A2757,[18]PRIORIZADOS!$A:$I,9,FALSE)="","",VLOOKUP(A2757,[18]PRIORIZADOS!$A:$I,9,FALSE)),"")</f>
        <v>EVALUACIÓN_CON_FINES_DE_MEJORAMIENTO.</v>
      </c>
      <c r="J2757" s="11" t="str">
        <f>IFERROR(IF(VLOOKUP(A2757,[18]PRIORIZADOS!$A:$J,10,FALSE)="","",VLOOKUP(A2757,[18]PRIORIZADOS!$A:$J,10,FALSE)),"")</f>
        <v>Revisar la actualización, socialización e implementación del Sistema Institucional de Evaluación de Estudiantes - SIEE, en articulación con la actualización del PEI y la normatividad vigente.</v>
      </c>
      <c r="K2757" s="11" t="str">
        <f>IFERROR(IF(VLOOKUP(A2757,[18]PRIORIZADOS!$A:$K,11,FALSE)="","",VLOOKUP(A2757,[18]PRIORIZADOS!$A:$K,11,FALSE)),"")</f>
        <v>MIGUEL ANTONIO CARO CARO</v>
      </c>
      <c r="L2757" s="11" t="str">
        <f>IFERROR(IF(VLOOKUP(A2757,[18]PRIORIZADOS!$A:$L,12,FALSE)="","",VLOOKUP(A2757,[18]PRIORIZADOS!$A:$L,12,FALSE)),"")</f>
        <v>FRANCY LORENA RODRIGUEZ CASTRO</v>
      </c>
      <c r="M2757" s="71">
        <f>IFERROR(IF(VLOOKUP(A2757,[18]PRIORIZADOS!$A:$M,13,FALSE)="","",VLOOKUP(A2757,[18]PRIORIZADOS!$A:$M,13,FALSE)),"")</f>
        <v>45890</v>
      </c>
      <c r="N2757" s="71">
        <f>IFERROR(IF(VLOOKUP(A2757,[18]PRIORIZADOS!$A:$N,14,FALSE)="","",VLOOKUP(A2757,[18]PRIORIZADOS!$A:$N,14,FALSE)),"")</f>
        <v>45888</v>
      </c>
      <c r="O2757" s="71">
        <f>IFERROR(IF(VLOOKUP(A2757,[18]PRIORIZADOS!$A:$O,15,FALSE)="","",VLOOKUP(A2757,[18]PRIORIZADOS!$A:$O,15,FALSE)),"")</f>
        <v>45888</v>
      </c>
      <c r="P2757" s="11" t="str">
        <f>IFERROR(IF(VLOOKUP(A2757,[18]PRIORIZADOS!$A:$P,16,FALSE)="","",VLOOKUP(A2757,[18]PRIORIZADOS!$A:$P,16,FALSE)),"")</f>
        <v>Visitas de evaluación con fines de mejoramiento</v>
      </c>
      <c r="Q2757" s="60" t="s">
        <v>526</v>
      </c>
      <c r="R2757" s="11" t="str">
        <f>IFERROR(IF(VLOOKUP(A2757,[18]PRIORIZADOS!$A:$R,18,FALSE)="","",VLOOKUP(A2757,[18]PRIORIZADOS!$A:$R,18,FALSE)),"")</f>
        <v>No se registra evidencia de la actualización, cuenta con un  SIEE en que registran procesos de nivelación .</v>
      </c>
      <c r="S2757" s="11" t="str">
        <f>IFERROR(IF(VLOOKUP(A2757,[18]PRIORIZADOS!$A:$S,19,FALSE)="","",VLOOKUP(A2757,[18]PRIORIZADOS!$A:$S,19,FALSE)),"")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7" s="70" t="str">
        <f>IFERROR(IF(VLOOKUP(A2757,[18]PRIORIZADOS!$A:$T,20,FALSE)="","",VLOOKUP(A2757,[18]PRIORIZADOS!$A:$T,20,FALSE)),"")</f>
        <v>Si</v>
      </c>
      <c r="U2757" s="11" t="str">
        <f>IFERROR(IF(VLOOKUP(A2757,[18]PRIORIZADOS!$A:$U,21,FALSE)="","",VLOOKUP(A2757,[18]PRIORIZADOS!$A:$U,21,FALSE)),"")</f>
        <v>Se revisara el plan de mejoramiento y Verificara en la vigencia 2026</v>
      </c>
    </row>
    <row r="2758" spans="1:21" s="1" customFormat="1" ht="72">
      <c r="A2758" s="69">
        <f>IF([18]PRIORIZADOS!A101="","",[18]PRIORIZADOS!A101)</f>
        <v>2747</v>
      </c>
      <c r="B2758" s="70">
        <f>IFERROR(IF(VLOOKUP(A2758,[18]PRIORIZADOS!$A:$B,2,FALSE)="","",VLOOKUP(A2758,[18]PRIORIZADOS!$A:$B,2,FALSE)),"")</f>
        <v>11</v>
      </c>
      <c r="C2758" s="11" t="str">
        <f>IFERROR(IF(VLOOKUP(A2758,[18]PRIORIZADOS!$A:$C,3,FALSE)="","",VLOOKUP(A2758,[18]PRIORIZADOS!$A:$C,3,FALSE)),"")</f>
        <v>USME</v>
      </c>
      <c r="D2758" s="11" t="str">
        <f>IFERROR(IF(VLOOKUP(A2758,[18]PRIORIZADOS!$A:$D,4,FALSE)="","",VLOOKUP(A2758,[18]PRIORIZADOS!$A:$D,4,FALSE)),"")</f>
        <v>PRIVADO</v>
      </c>
      <c r="E2758" s="11" t="str">
        <f>IFERROR(IF(VLOOKUP(A2758,[18]PRIORIZADOS!$A:$E,5,FALSE)="","",VLOOKUP(A2758,[18]PRIORIZADOS!$A:$E,5,FALSE)),"")</f>
        <v>EPBM</v>
      </c>
      <c r="F2758" s="11" t="str">
        <f>IFERROR(IF(VLOOKUP(A2758,[18]PRIORIZADOS!$A:$F,6,FALSE)="","",VLOOKUP(A2758,[18]PRIORIZADOS!$A:$F,6,FALSE)),"")</f>
        <v>LICEO_COMERCIAL_NUEVO_ALEJANDRINO</v>
      </c>
      <c r="G2758" s="11" t="str">
        <f>IFERROR(IF(VLOOKUP(A2758,[18]PRIORIZADOS!$A:$G,7,FALSE)="","",VLOOKUP(A2758,[18]PRIORIZADOS!$A:$G,7,FALSE)),"")</f>
        <v>LICEO COMERCIAL NUEVO ALEJANDRINO</v>
      </c>
      <c r="H2758" s="11" t="str">
        <f>IFERROR(IF(VLOOKUP(A2758,[18]PRIORIZADOS!$A:$H,8,FALSE)="","",VLOOKUP(A2758,[18]PRIORIZADOS!$A:$H,8,FALSE)),"")</f>
        <v>Autoevaluación Institucional y Pruebas SABER 11</v>
      </c>
      <c r="I2758" s="11" t="str">
        <f>IFERROR(IF(VLOOKUP(A2758,[18]PRIORIZADOS!$A:$I,9,FALSE)="","",VLOOKUP(A2758,[18]PRIORIZADOS!$A:$I,9,FALSE)),"")</f>
        <v>EVALUACIÓN_CON_FINES_DE_MEJORAMIENTO.</v>
      </c>
      <c r="J2758" s="11" t="str">
        <f>IFERROR(IF(VLOOKUP(A2758,[18]PRIORIZADOS!$A:$J,10,FALSE)="","",VLOOKUP(A2758,[18]PRIORIZADOS!$A:$J,10,FALSE)),"")</f>
        <v>Revisar el calendario escolar, jornada escolar, la intensidad horaria mínima anual en cada nivel y las modificaciones que se realicen al mismo, de acuerdo con lo previsto en la normatividad vigente.</v>
      </c>
      <c r="K2758" s="11" t="str">
        <f>IFERROR(IF(VLOOKUP(A2758,[18]PRIORIZADOS!$A:$K,11,FALSE)="","",VLOOKUP(A2758,[18]PRIORIZADOS!$A:$K,11,FALSE)),"")</f>
        <v>MIGUEL ANTONIO CARO CARO</v>
      </c>
      <c r="L2758" s="11" t="str">
        <f>IFERROR(IF(VLOOKUP(A2758,[18]PRIORIZADOS!$A:$L,12,FALSE)="","",VLOOKUP(A2758,[18]PRIORIZADOS!$A:$L,12,FALSE)),"")</f>
        <v>FRANCY LORENA RODRIGUEZ CASTRO</v>
      </c>
      <c r="M2758" s="71">
        <f>IFERROR(IF(VLOOKUP(A2758,[18]PRIORIZADOS!$A:$M,13,FALSE)="","",VLOOKUP(A2758,[18]PRIORIZADOS!$A:$M,13,FALSE)),"")</f>
        <v>45890</v>
      </c>
      <c r="N2758" s="71">
        <f>IFERROR(IF(VLOOKUP(A2758,[18]PRIORIZADOS!$A:$N,14,FALSE)="","",VLOOKUP(A2758,[18]PRIORIZADOS!$A:$N,14,FALSE)),"")</f>
        <v>45888</v>
      </c>
      <c r="O2758" s="71">
        <f>IFERROR(IF(VLOOKUP(A2758,[18]PRIORIZADOS!$A:$O,15,FALSE)="","",VLOOKUP(A2758,[18]PRIORIZADOS!$A:$O,15,FALSE)),"")</f>
        <v>45888</v>
      </c>
      <c r="P2758" s="11" t="str">
        <f>IFERROR(IF(VLOOKUP(A2758,[18]PRIORIZADOS!$A:$P,16,FALSE)="","",VLOOKUP(A2758,[18]PRIORIZADOS!$A:$P,16,FALSE)),"")</f>
        <v>Visitas de evaluación con fines de mejoramiento</v>
      </c>
      <c r="Q2758" s="60" t="s">
        <v>526</v>
      </c>
      <c r="R2758" s="11" t="str">
        <f>IFERROR(IF(VLOOKUP(A2758,[18]PRIORIZADOS!$A:$R,18,FALSE)="","",VLOOKUP(A2758,[18]PRIORIZADOS!$A:$R,18,FALSE)),"")</f>
        <v>No se registra evidencia que permita verificar el cumplimiento de intensidades minimas de comformidad con la norma y su PEI .</v>
      </c>
      <c r="S2758" s="11" t="str">
        <f>IFERROR(IF(VLOOKUP(A2758,[18]PRIORIZADOS!$A:$S,19,FALSE)="","",VLOOKUP(A2758,[18]PRIORIZADOS!$A:$S,19,FALSE)),"")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58" s="70" t="str">
        <f>IFERROR(IF(VLOOKUP(A2758,[18]PRIORIZADOS!$A:$T,20,FALSE)="","",VLOOKUP(A2758,[18]PRIORIZADOS!$A:$T,20,FALSE)),"")</f>
        <v>Si</v>
      </c>
      <c r="U2758" s="11" t="str">
        <f>IFERROR(IF(VLOOKUP(A2758,[18]PRIORIZADOS!$A:$U,21,FALSE)="","",VLOOKUP(A2758,[18]PRIORIZADOS!$A:$U,21,FALSE)),"")</f>
        <v>Se revisara el plan de mejoramiento y Verificara en la vigencia 2026</v>
      </c>
    </row>
    <row r="2759" spans="1:21" s="1" customFormat="1" ht="96">
      <c r="A2759" s="69">
        <f>IF([18]PRIORIZADOS!A102="","",[18]PRIORIZADOS!A102)</f>
        <v>2748</v>
      </c>
      <c r="B2759" s="70">
        <f>IFERROR(IF(VLOOKUP(A2759,[18]PRIORIZADOS!$A:$B,2,FALSE)="","",VLOOKUP(A2759,[18]PRIORIZADOS!$A:$B,2,FALSE)),"")</f>
        <v>11</v>
      </c>
      <c r="C2759" s="11" t="str">
        <f>IFERROR(IF(VLOOKUP(A2759,[18]PRIORIZADOS!$A:$C,3,FALSE)="","",VLOOKUP(A2759,[18]PRIORIZADOS!$A:$C,3,FALSE)),"")</f>
        <v>USME</v>
      </c>
      <c r="D2759" s="11" t="str">
        <f>IFERROR(IF(VLOOKUP(A2759,[18]PRIORIZADOS!$A:$D,4,FALSE)="","",VLOOKUP(A2759,[18]PRIORIZADOS!$A:$D,4,FALSE)),"")</f>
        <v>PRIVADO</v>
      </c>
      <c r="E2759" s="11" t="str">
        <f>IFERROR(IF(VLOOKUP(A2759,[18]PRIORIZADOS!$A:$E,5,FALSE)="","",VLOOKUP(A2759,[18]PRIORIZADOS!$A:$E,5,FALSE)),"")</f>
        <v>EPBM</v>
      </c>
      <c r="F2759" s="11" t="str">
        <f>IFERROR(IF(VLOOKUP(A2759,[18]PRIORIZADOS!$A:$F,6,FALSE)="","",VLOOKUP(A2759,[18]PRIORIZADOS!$A:$F,6,FALSE)),"")</f>
        <v>LICEO_COMERCIAL_NUEVO_ALEJANDRINO</v>
      </c>
      <c r="G2759" s="11" t="str">
        <f>IFERROR(IF(VLOOKUP(A2759,[18]PRIORIZADOS!$A:$G,7,FALSE)="","",VLOOKUP(A2759,[18]PRIORIZADOS!$A:$G,7,FALSE)),"")</f>
        <v>LICEO COMERCIAL NUEVO ALEJANDRINO</v>
      </c>
      <c r="H2759" s="11" t="str">
        <f>IFERROR(IF(VLOOKUP(A2759,[18]PRIORIZADOS!$A:$H,8,FALSE)="","",VLOOKUP(A2759,[18]PRIORIZADOS!$A:$H,8,FALSE)),"")</f>
        <v>Autoevaluación Institucional y Pruebas SABER 11</v>
      </c>
      <c r="I2759" s="11" t="str">
        <f>IFERROR(IF(VLOOKUP(A2759,[18]PRIORIZADOS!$A:$I,9,FALSE)="","",VLOOKUP(A2759,[18]PRIORIZADOS!$A:$I,9,FALSE)),"")</f>
        <v>EVALUACIÓN_CON_FINES_DE_MEJORAMIENTO.</v>
      </c>
      <c r="J2759" s="11" t="str">
        <f>IFERROR(IF(VLOOKUP(A2759,[18]PRIORIZADOS!$A:$J,10,FALSE)="","",VLOOKUP(A2759,[18]PRIORIZADOS!$A:$J,10,FALSE)),"")</f>
        <v>Verificar el funcionamiento del Gobierno Escolar e instancias de participación con base en la información sobre conformación reportada por la institución educativa.</v>
      </c>
      <c r="K2759" s="11" t="str">
        <f>IFERROR(IF(VLOOKUP(A2759,[18]PRIORIZADOS!$A:$K,11,FALSE)="","",VLOOKUP(A2759,[18]PRIORIZADOS!$A:$K,11,FALSE)),"")</f>
        <v>MIGUEL ANTONIO CARO CARO</v>
      </c>
      <c r="L2759" s="11" t="str">
        <f>IFERROR(IF(VLOOKUP(A2759,[18]PRIORIZADOS!$A:$L,12,FALSE)="","",VLOOKUP(A2759,[18]PRIORIZADOS!$A:$L,12,FALSE)),"")</f>
        <v>FRANCY LORENA RODRIGUEZ CASTRO</v>
      </c>
      <c r="M2759" s="71">
        <f>IFERROR(IF(VLOOKUP(A2759,[18]PRIORIZADOS!$A:$M,13,FALSE)="","",VLOOKUP(A2759,[18]PRIORIZADOS!$A:$M,13,FALSE)),"")</f>
        <v>45890</v>
      </c>
      <c r="N2759" s="71">
        <f>IFERROR(IF(VLOOKUP(A2759,[18]PRIORIZADOS!$A:$N,14,FALSE)="","",VLOOKUP(A2759,[18]PRIORIZADOS!$A:$N,14,FALSE)),"")</f>
        <v>45888</v>
      </c>
      <c r="O2759" s="71">
        <f>IFERROR(IF(VLOOKUP(A2759,[18]PRIORIZADOS!$A:$O,15,FALSE)="","",VLOOKUP(A2759,[18]PRIORIZADOS!$A:$O,15,FALSE)),"")</f>
        <v>45888</v>
      </c>
      <c r="P2759" s="11" t="str">
        <f>IFERROR(IF(VLOOKUP(A2759,[18]PRIORIZADOS!$A:$P,16,FALSE)="","",VLOOKUP(A2759,[18]PRIORIZADOS!$A:$P,16,FALSE)),"")</f>
        <v>Visitas de evaluación con fines de mejoramiento</v>
      </c>
      <c r="Q2759" s="60" t="s">
        <v>526</v>
      </c>
      <c r="R2759" s="11" t="str">
        <f>IFERROR(IF(VLOOKUP(A2759,[18]PRIORIZADOS!$A:$R,18,FALSE)="","",VLOOKUP(A2759,[18]PRIORIZADOS!$A:$R,18,FALSE)),"")</f>
        <v xml:space="preserve">la institución no cuenta con actas de conformacion y funcionamiento de gobierno escolar e instancias de participación </v>
      </c>
      <c r="S2759" s="11" t="str">
        <f>IFERROR(IF(VLOOKUP(A2759,[18]PRIORIZADOS!$A:$S,19,FALSE)="","",VLOOKUP(A2759,[18]PRIORIZADOS!$A:$S,19,FALSE)),"")</f>
        <v>la institución se compromete a presentar un plan de mejoramiento para cada uno de los aspectos en que se realizó observaciones, el 04 de septiembre del 2025, ya radico  y se le realizaron observaciones al mismo en reunión directa, en este aspecto se le recomendó subsanar en muy corto plazo lo correspondiente.</v>
      </c>
      <c r="T2759" s="70" t="str">
        <f>IFERROR(IF(VLOOKUP(A2759,[18]PRIORIZADOS!$A:$T,20,FALSE)="","",VLOOKUP(A2759,[18]PRIORIZADOS!$A:$T,20,FALSE)),"")</f>
        <v>Si</v>
      </c>
      <c r="U2759" s="11" t="str">
        <f>IFERROR(IF(VLOOKUP(A2759,[18]PRIORIZADOS!$A:$U,21,FALSE)="","",VLOOKUP(A2759,[18]PRIORIZADOS!$A:$U,21,FALSE)),"")</f>
        <v>Se revisara el plan de mejoramiento y Verificara en la vigencia 2026</v>
      </c>
    </row>
    <row r="2760" spans="1:21" s="1" customFormat="1" ht="72">
      <c r="A2760" s="69">
        <f>IF([18]PRIORIZADOS!A103="","",[18]PRIORIZADOS!A103)</f>
        <v>2749</v>
      </c>
      <c r="B2760" s="70">
        <f>IFERROR(IF(VLOOKUP(A2760,[18]PRIORIZADOS!$A:$B,2,FALSE)="","",VLOOKUP(A2760,[18]PRIORIZADOS!$A:$B,2,FALSE)),"")</f>
        <v>11</v>
      </c>
      <c r="C2760" s="11" t="str">
        <f>IFERROR(IF(VLOOKUP(A2760,[18]PRIORIZADOS!$A:$C,3,FALSE)="","",VLOOKUP(A2760,[18]PRIORIZADOS!$A:$C,3,FALSE)),"")</f>
        <v>USME</v>
      </c>
      <c r="D2760" s="11" t="str">
        <f>IFERROR(IF(VLOOKUP(A2760,[18]PRIORIZADOS!$A:$D,4,FALSE)="","",VLOOKUP(A2760,[18]PRIORIZADOS!$A:$D,4,FALSE)),"")</f>
        <v>PRIVADO</v>
      </c>
      <c r="E2760" s="11" t="str">
        <f>IFERROR(IF(VLOOKUP(A2760,[18]PRIORIZADOS!$A:$E,5,FALSE)="","",VLOOKUP(A2760,[18]PRIORIZADOS!$A:$E,5,FALSE)),"")</f>
        <v>EPBM</v>
      </c>
      <c r="F2760" s="11" t="str">
        <f>IFERROR(IF(VLOOKUP(A2760,[18]PRIORIZADOS!$A:$F,6,FALSE)="","",VLOOKUP(A2760,[18]PRIORIZADOS!$A:$F,6,FALSE)),"")</f>
        <v>LICEO_COMERCIAL_NUEVO_ALEJANDRINO</v>
      </c>
      <c r="G2760" s="11" t="str">
        <f>IFERROR(IF(VLOOKUP(A2760,[18]PRIORIZADOS!$A:$G,7,FALSE)="","",VLOOKUP(A2760,[18]PRIORIZADOS!$A:$G,7,FALSE)),"")</f>
        <v>LICEO COMERCIAL NUEVO ALEJANDRINO</v>
      </c>
      <c r="H2760" s="11" t="str">
        <f>IFERROR(IF(VLOOKUP(A2760,[18]PRIORIZADOS!$A:$H,8,FALSE)="","",VLOOKUP(A2760,[18]PRIORIZADOS!$A:$H,8,FALSE)),"")</f>
        <v>Autoevaluación Institucional y Pruebas SABER 11</v>
      </c>
      <c r="I2760" s="11" t="str">
        <f>IFERROR(IF(VLOOKUP(A2760,[18]PRIORIZADOS!$A:$I,9,FALSE)="","",VLOOKUP(A2760,[18]PRIORIZADOS!$A:$I,9,FALSE)),"")</f>
        <v>EVALUACIÓN_CON_FINES_DE_MEJORAMIENTO.</v>
      </c>
      <c r="J2760" s="11" t="str">
        <f>IFERROR(IF(VLOOKUP(A2760,[18]PRIORIZADOS!$A:$J,10,FALSE)="","",VLOOKUP(A2760,[18]PRIORIZADOS!$A:$J,10,FALSE)),"")</f>
        <v>Verificar las condiciones en cuanto a: la estructura administrativa, condiciones de la planta física y medios educativos adecuados.</v>
      </c>
      <c r="K2760" s="11" t="str">
        <f>IFERROR(IF(VLOOKUP(A2760,[18]PRIORIZADOS!$A:$K,11,FALSE)="","",VLOOKUP(A2760,[18]PRIORIZADOS!$A:$K,11,FALSE)),"")</f>
        <v>MIGUEL ANTONIO CARO CARO</v>
      </c>
      <c r="L2760" s="11" t="str">
        <f>IFERROR(IF(VLOOKUP(A2760,[18]PRIORIZADOS!$A:$L,12,FALSE)="","",VLOOKUP(A2760,[18]PRIORIZADOS!$A:$L,12,FALSE)),"")</f>
        <v>FRANCY LORENA RODRIGUEZ CASTRO</v>
      </c>
      <c r="M2760" s="71">
        <f>IFERROR(IF(VLOOKUP(A2760,[18]PRIORIZADOS!$A:$M,13,FALSE)="","",VLOOKUP(A2760,[18]PRIORIZADOS!$A:$M,13,FALSE)),"")</f>
        <v>45890</v>
      </c>
      <c r="N2760" s="71">
        <f>IFERROR(IF(VLOOKUP(A2760,[18]PRIORIZADOS!$A:$N,14,FALSE)="","",VLOOKUP(A2760,[18]PRIORIZADOS!$A:$N,14,FALSE)),"")</f>
        <v>45888</v>
      </c>
      <c r="O2760" s="71">
        <f>IFERROR(IF(VLOOKUP(A2760,[18]PRIORIZADOS!$A:$O,15,FALSE)="","",VLOOKUP(A2760,[18]PRIORIZADOS!$A:$O,15,FALSE)),"")</f>
        <v>45888</v>
      </c>
      <c r="P2760" s="11" t="str">
        <f>IFERROR(IF(VLOOKUP(A2760,[18]PRIORIZADOS!$A:$P,16,FALSE)="","",VLOOKUP(A2760,[18]PRIORIZADOS!$A:$P,16,FALSE)),"")</f>
        <v>Visitas de evaluación con fines de mejoramiento</v>
      </c>
      <c r="Q2760" s="60" t="s">
        <v>526</v>
      </c>
      <c r="R2760" s="11" t="str">
        <f>IFERROR(IF(VLOOKUP(A2760,[18]PRIORIZADOS!$A:$R,18,FALSE)="","",VLOOKUP(A2760,[18]PRIORIZADOS!$A:$R,18,FALSE)),"")</f>
        <v>se verifica que cuenta con salones suficientes, los espacios administrativos son reducidos, las personas con limitación fisica no tienen accesibilidad adecuada.</v>
      </c>
      <c r="S2760" s="11" t="str">
        <f>IFERROR(IF(VLOOKUP(A2760,[18]PRIORIZADOS!$A:$S,19,FALSE)="","",VLOOKUP(A2760,[18]PRIORIZADOS!$A:$S,19,FALSE)),"")</f>
        <v xml:space="preserve">la institución se compromete a presentar un plan de mejoramiento para cada uno de los aspectos en que se realizó observaciones, el 04 de septiembre del 2025, ya radico  y se le realizaron observaciones al mismo en reunión directa </v>
      </c>
      <c r="T2760" s="70" t="str">
        <f>IFERROR(IF(VLOOKUP(A2760,[18]PRIORIZADOS!$A:$T,20,FALSE)="","",VLOOKUP(A2760,[18]PRIORIZADOS!$A:$T,20,FALSE)),"")</f>
        <v>Si</v>
      </c>
      <c r="U2760" s="11" t="str">
        <f>IFERROR(IF(VLOOKUP(A2760,[18]PRIORIZADOS!$A:$U,21,FALSE)="","",VLOOKUP(A2760,[18]PRIORIZADOS!$A:$U,21,FALSE)),"")</f>
        <v>Se revisara el plan de mejoramiento y Verificara en la vigencia 2026</v>
      </c>
    </row>
    <row r="2761" spans="1:21" s="1" customFormat="1" ht="107.25">
      <c r="A2761" s="69">
        <f>IF([18]PRIORIZADOS!A104="","",[18]PRIORIZADOS!A104)</f>
        <v>2750</v>
      </c>
      <c r="B2761" s="70">
        <f>IFERROR(IF(VLOOKUP(A2761,[18]PRIORIZADOS!$A:$B,2,FALSE)="","",VLOOKUP(A2761,[18]PRIORIZADOS!$A:$B,2,FALSE)),"")</f>
        <v>12</v>
      </c>
      <c r="C2761" s="11" t="str">
        <f>IFERROR(IF(VLOOKUP(A2761,[18]PRIORIZADOS!$A:$C,3,FALSE)="","",VLOOKUP(A2761,[18]PRIORIZADOS!$A:$C,3,FALSE)),"")</f>
        <v>USME</v>
      </c>
      <c r="D2761" s="11" t="str">
        <f>IFERROR(IF(VLOOKUP(A2761,[18]PRIORIZADOS!$A:$D,4,FALSE)="","",VLOOKUP(A2761,[18]PRIORIZADOS!$A:$D,4,FALSE)),"")</f>
        <v>PRIVADO</v>
      </c>
      <c r="E2761" s="11" t="str">
        <f>IFERROR(IF(VLOOKUP(A2761,[18]PRIORIZADOS!$A:$E,5,FALSE)="","",VLOOKUP(A2761,[18]PRIORIZADOS!$A:$E,5,FALSE)),"")</f>
        <v>EPBM</v>
      </c>
      <c r="F2761" s="11" t="str">
        <f>IFERROR(IF(VLOOKUP(A2761,[18]PRIORIZADOS!$A:$F,6,FALSE)="","",VLOOKUP(A2761,[18]PRIORIZADOS!$A:$F,6,FALSE)),"")</f>
        <v>COLEGIO_SANTA_LIBRADA</v>
      </c>
      <c r="G2761" s="11" t="str">
        <f>IFERROR(IF(VLOOKUP(A2761,[18]PRIORIZADOS!$A:$G,7,FALSE)="","",VLOOKUP(A2761,[18]PRIORIZADOS!$A:$G,7,FALSE)),"")</f>
        <v>COLEGIO SANTA LIBRADA</v>
      </c>
      <c r="H2761" s="11" t="str">
        <f>IFERROR(IF(VLOOKUP(A2761,[18]PRIORIZADOS!$A:$H,8,FALSE)="","",VLOOKUP(A2761,[18]PRIORIZADOS!$A:$H,8,FALSE)),"")</f>
        <v>Autoevaluación Institucional y Pruebas SABER 11</v>
      </c>
      <c r="I2761" s="11" t="str">
        <f>IFERROR(IF(VLOOKUP(A2761,[18]PRIORIZADOS!$A:$I,9,FALSE)="","",VLOOKUP(A2761,[18]PRIORIZADOS!$A:$I,9,FALSE)),"")</f>
        <v>SEGUIMIENTO_Y_SUPERVISIÓN.</v>
      </c>
      <c r="J2761" s="11" t="str">
        <f>IFERROR(IF(VLOOKUP(A2761,[18]PRIORIZADOS!$A:$J,10,FALSE)="","",VLOOKUP(A2761,[18]PRIORIZADOS!$A:$J,10,FALSE)),"")</f>
        <v>Realizar visitas para verificar la información registrada sobre la autoevaluación institucional en el aplicativo EVI, a los establecimientos de educación formal no oficial.</v>
      </c>
      <c r="K2761" s="11" t="str">
        <f>IFERROR(IF(VLOOKUP(A2761,[18]PRIORIZADOS!$A:$K,11,FALSE)="","",VLOOKUP(A2761,[18]PRIORIZADOS!$A:$K,11,FALSE)),"")</f>
        <v>KATHERINE HERNÁNDEZ RUBIANO</v>
      </c>
      <c r="L2761" s="11" t="str">
        <f>IFERROR(IF(VLOOKUP(A2761,[18]PRIORIZADOS!$A:$L,12,FALSE)="","",VLOOKUP(A2761,[18]PRIORIZADOS!$A:$L,12,FALSE)),"")</f>
        <v>FRANCY LORENA RODRIGUEZ CASTRO</v>
      </c>
      <c r="M2761" s="71">
        <f>IFERROR(IF(VLOOKUP(A2761,[18]PRIORIZADOS!$A:$M,13,FALSE)="","",VLOOKUP(A2761,[18]PRIORIZADOS!$A:$M,13,FALSE)),"")</f>
        <v>45902</v>
      </c>
      <c r="N2761" s="71">
        <f>IFERROR(IF(VLOOKUP(A2761,[18]PRIORIZADOS!$A:$N,14,FALSE)="","",VLOOKUP(A2761,[18]PRIORIZADOS!$A:$N,14,FALSE)),"")</f>
        <v>45894</v>
      </c>
      <c r="O2761" s="71">
        <f>IFERROR(IF(VLOOKUP(A2761,[18]PRIORIZADOS!$A:$O,15,FALSE)="","",VLOOKUP(A2761,[18]PRIORIZADOS!$A:$O,15,FALSE)),"")</f>
        <v>45894</v>
      </c>
      <c r="P2761" s="11" t="str">
        <f>IFERROR(IF(VLOOKUP(A2761,[18]PRIORIZADOS!$A:$P,16,FALSE)="","",VLOOKUP(A2761,[18]PRIORIZADOS!$A:$P,16,FALSE)),"")</f>
        <v>Visitas de evaluación con fines de mejoramiento</v>
      </c>
      <c r="Q2761" s="60" t="s">
        <v>527</v>
      </c>
      <c r="R2761" s="11" t="str">
        <f>IFERROR(IF(VLOOKUP(A2761,[18]PRIORIZADOS!$A:$R,18,FALSE)="","",VLOOKUP(A2761,[18]PRIORIZADOS!$A:$R,18,FALSE)),"")</f>
        <v>No hay correspondencia entre el número de estudiantes registrados en el EVI - SIMAT y la matricula registrada en el momento de la visita, ni tampoco la relación de de los estudiantes de los estudiantes con discapacidad. El propietario del establecimiento falleció y la propiedad del colegio se definirá en un juicio de sucesión</v>
      </c>
      <c r="S2761" s="11" t="str">
        <f>IFERROR(IF(VLOOKUP(A2761,[18]PRIORIZADOS!$A:$S,19,FALSE)="","",VLOOKUP(A2761,[18]PRIORIZADOS!$A:$S,19,FALSE)),"")</f>
        <v>La institución educativa se compromete a actualizar la información en el SIMAT. El representante legal de la institución educativa, se compromete a gestionar el cambio de la licencia de funcionamiento, una vez se resuelva  la propiedad de la institución educativa.</v>
      </c>
      <c r="T2761" s="70" t="str">
        <f>IFERROR(IF(VLOOKUP(A2761,[18]PRIORIZADOS!$A:$T,20,FALSE)="","",VLOOKUP(A2761,[18]PRIORIZADOS!$A:$T,20,FALSE)),"")</f>
        <v>Si</v>
      </c>
      <c r="U2761" s="11" t="str">
        <f>IFERROR(IF(VLOOKUP(A2761,[18]PRIORIZADOS!$A:$U,21,FALSE)="","",VLOOKUP(A2761,[18]PRIORIZADOS!$A:$U,21,FALSE)),"")</f>
        <v>Verificación en el EVI 2025.</v>
      </c>
    </row>
    <row r="2762" spans="1:21" s="1" customFormat="1" ht="60">
      <c r="A2762" s="69">
        <f>IF([18]PRIORIZADOS!A105="","",[18]PRIORIZADOS!A105)</f>
        <v>2751</v>
      </c>
      <c r="B2762" s="70">
        <f>IFERROR(IF(VLOOKUP(A2762,[18]PRIORIZADOS!$A:$B,2,FALSE)="","",VLOOKUP(A2762,[18]PRIORIZADOS!$A:$B,2,FALSE)),"")</f>
        <v>12</v>
      </c>
      <c r="C2762" s="11" t="str">
        <f>IFERROR(IF(VLOOKUP(A2762,[18]PRIORIZADOS!$A:$C,3,FALSE)="","",VLOOKUP(A2762,[18]PRIORIZADOS!$A:$C,3,FALSE)),"")</f>
        <v>USME</v>
      </c>
      <c r="D2762" s="11" t="str">
        <f>IFERROR(IF(VLOOKUP(A2762,[18]PRIORIZADOS!$A:$D,4,FALSE)="","",VLOOKUP(A2762,[18]PRIORIZADOS!$A:$D,4,FALSE)),"")</f>
        <v>PRIVADO</v>
      </c>
      <c r="E2762" s="11" t="str">
        <f>IFERROR(IF(VLOOKUP(A2762,[18]PRIORIZADOS!$A:$E,5,FALSE)="","",VLOOKUP(A2762,[18]PRIORIZADOS!$A:$E,5,FALSE)),"")</f>
        <v>EPBM</v>
      </c>
      <c r="F2762" s="11" t="str">
        <f>IFERROR(IF(VLOOKUP(A2762,[18]PRIORIZADOS!$A:$F,6,FALSE)="","",VLOOKUP(A2762,[18]PRIORIZADOS!$A:$F,6,FALSE)),"")</f>
        <v>COLEGIO_SANTA_LIBRADA</v>
      </c>
      <c r="G2762" s="11" t="str">
        <f>IFERROR(IF(VLOOKUP(A2762,[18]PRIORIZADOS!$A:$G,7,FALSE)="","",VLOOKUP(A2762,[18]PRIORIZADOS!$A:$G,7,FALSE)),"")</f>
        <v>COLEGIO SANTA LIBRADA</v>
      </c>
      <c r="H2762" s="11" t="str">
        <f>IFERROR(IF(VLOOKUP(A2762,[18]PRIORIZADOS!$A:$H,8,FALSE)="","",VLOOKUP(A2762,[18]PRIORIZADOS!$A:$H,8,FALSE)),"")</f>
        <v>Autoevaluación Institucional y Pruebas SABER 11</v>
      </c>
      <c r="I2762" s="11" t="str">
        <f>IFERROR(IF(VLOOKUP(A2762,[18]PRIORIZADOS!$A:$I,9,FALSE)="","",VLOOKUP(A2762,[18]PRIORIZADOS!$A:$I,9,FALSE)),"")</f>
        <v>SEGUIMIENTO_Y_SUPERVISIÓN.</v>
      </c>
      <c r="J2762" s="11" t="str">
        <f>IFERROR(IF(VLOOKUP(A2762,[18]PRIORIZADOS!$A:$J,10,FALSE)="","",VLOOKUP(A2762,[18]PRIORIZADOS!$A:$J,10,FALSE)),"")</f>
        <v>Proponer estrategias en la formulación, verificar su elaboración y realizar seguimiento semestral al desarrollo de  las acciones establecidas en los planes de mejoramiento por pruebas SABER 11 de los establecimientos de educación formal.</v>
      </c>
      <c r="K2762" s="11" t="str">
        <f>IFERROR(IF(VLOOKUP(A2762,[18]PRIORIZADOS!$A:$K,11,FALSE)="","",VLOOKUP(A2762,[18]PRIORIZADOS!$A:$K,11,FALSE)),"")</f>
        <v>KATHERINE HERNÁNDEZ RUBIANO</v>
      </c>
      <c r="L2762" s="11" t="str">
        <f>IFERROR(IF(VLOOKUP(A2762,[18]PRIORIZADOS!$A:$L,12,FALSE)="","",VLOOKUP(A2762,[18]PRIORIZADOS!$A:$L,12,FALSE)),"")</f>
        <v>FRANCY LORENA RODRIGUEZ CASTRO</v>
      </c>
      <c r="M2762" s="71">
        <f>IFERROR(IF(VLOOKUP(A2762,[18]PRIORIZADOS!$A:$M,13,FALSE)="","",VLOOKUP(A2762,[18]PRIORIZADOS!$A:$M,13,FALSE)),"")</f>
        <v>45902</v>
      </c>
      <c r="N2762" s="71">
        <f>IFERROR(IF(VLOOKUP(A2762,[18]PRIORIZADOS!$A:$N,14,FALSE)="","",VLOOKUP(A2762,[18]PRIORIZADOS!$A:$N,14,FALSE)),"")</f>
        <v>45894</v>
      </c>
      <c r="O2762" s="71">
        <f>IFERROR(IF(VLOOKUP(A2762,[18]PRIORIZADOS!$A:$O,15,FALSE)="","",VLOOKUP(A2762,[18]PRIORIZADOS!$A:$O,15,FALSE)),"")</f>
        <v>45898</v>
      </c>
      <c r="P2762" s="11" t="str">
        <f>IFERROR(IF(VLOOKUP(A2762,[18]PRIORIZADOS!$A:$P,16,FALSE)="","",VLOOKUP(A2762,[18]PRIORIZADOS!$A:$P,16,FALSE)),"")</f>
        <v>Visitas de evaluación con fines de mejoramiento</v>
      </c>
      <c r="Q2762" s="60" t="s">
        <v>527</v>
      </c>
      <c r="R2762" s="11" t="str">
        <f>IFERROR(IF(VLOOKUP(A2762,[18]PRIORIZADOS!$A:$R,18,FALSE)="","",VLOOKUP(A2762,[18]PRIORIZADOS!$A:$R,18,FALSE)),"")</f>
        <v/>
      </c>
      <c r="S2762" s="11" t="str">
        <f>IFERROR(IF(VLOOKUP(A2762,[18]PRIORIZADOS!$A:$S,19,FALSE)="","",VLOOKUP(A2762,[18]PRIORIZADOS!$A:$S,19,FALSE)),"")</f>
        <v>La institución educativa se compromete a incorporar en el Plan de mejoramiento Institucional las acciones puntuales , relacionadas con el abordaje del resultado de la prueba Saber 11.</v>
      </c>
      <c r="T2762" s="70" t="str">
        <f>IFERROR(IF(VLOOKUP(A2762,[18]PRIORIZADOS!$A:$T,20,FALSE)="","",VLOOKUP(A2762,[18]PRIORIZADOS!$A:$T,20,FALSE)),"")</f>
        <v>Si</v>
      </c>
      <c r="U2762" s="11" t="str">
        <f>IFERROR(IF(VLOOKUP(A2762,[18]PRIORIZADOS!$A:$U,21,FALSE)="","",VLOOKUP(A2762,[18]PRIORIZADOS!$A:$U,21,FALSE)),"")</f>
        <v>Verificación en el Plan de Mejoramiento Institucional radicado por la institución educativa en septiembre de 2025 y posterior visita de seguimiento en 2026</v>
      </c>
    </row>
    <row r="2763" spans="1:21" s="1" customFormat="1" ht="154.5">
      <c r="A2763" s="69">
        <f>IF([18]PRIORIZADOS!A106="","",[18]PRIORIZADOS!A106)</f>
        <v>2752</v>
      </c>
      <c r="B2763" s="70">
        <f>IFERROR(IF(VLOOKUP(A2763,[18]PRIORIZADOS!$A:$B,2,FALSE)="","",VLOOKUP(A2763,[18]PRIORIZADOS!$A:$B,2,FALSE)),"")</f>
        <v>12</v>
      </c>
      <c r="C2763" s="11" t="str">
        <f>IFERROR(IF(VLOOKUP(A2763,[18]PRIORIZADOS!$A:$C,3,FALSE)="","",VLOOKUP(A2763,[18]PRIORIZADOS!$A:$C,3,FALSE)),"")</f>
        <v>USME</v>
      </c>
      <c r="D2763" s="11" t="str">
        <f>IFERROR(IF(VLOOKUP(A2763,[18]PRIORIZADOS!$A:$D,4,FALSE)="","",VLOOKUP(A2763,[18]PRIORIZADOS!$A:$D,4,FALSE)),"")</f>
        <v>PRIVADO</v>
      </c>
      <c r="E2763" s="11" t="str">
        <f>IFERROR(IF(VLOOKUP(A2763,[18]PRIORIZADOS!$A:$E,5,FALSE)="","",VLOOKUP(A2763,[18]PRIORIZADOS!$A:$E,5,FALSE)),"")</f>
        <v>EPBM</v>
      </c>
      <c r="F2763" s="11" t="str">
        <f>IFERROR(IF(VLOOKUP(A2763,[18]PRIORIZADOS!$A:$F,6,FALSE)="","",VLOOKUP(A2763,[18]PRIORIZADOS!$A:$F,6,FALSE)),"")</f>
        <v>COLEGIO_SANTA_LIBRADA</v>
      </c>
      <c r="G2763" s="11" t="str">
        <f>IFERROR(IF(VLOOKUP(A2763,[18]PRIORIZADOS!$A:$G,7,FALSE)="","",VLOOKUP(A2763,[18]PRIORIZADOS!$A:$G,7,FALSE)),"")</f>
        <v>COLEGIO SANTA LIBRADA</v>
      </c>
      <c r="H2763" s="11" t="str">
        <f>IFERROR(IF(VLOOKUP(A2763,[18]PRIORIZADOS!$A:$H,8,FALSE)="","",VLOOKUP(A2763,[18]PRIORIZADOS!$A:$H,8,FALSE)),"")</f>
        <v>Autoevaluación Institucional y Pruebas SABER 11</v>
      </c>
      <c r="I2763" s="11" t="str">
        <f>IFERROR(IF(VLOOKUP(A2763,[18]PRIORIZADOS!$A:$I,9,FALSE)="","",VLOOKUP(A2763,[18]PRIORIZADOS!$A:$I,9,FALSE)),"")</f>
        <v>SEGUIMIENTO_Y_SUPERVISIÓN.</v>
      </c>
      <c r="J2763" s="11" t="str">
        <f>IFERROR(IF(VLOOKUP(A2763,[18]PRIORIZADOS!$A:$J,10,FALSE)="","",VLOOKUP(A2763,[18]PRIORIZADOS!$A:$J,10,FALSE)),"")</f>
        <v xml:space="preserve">Verificar la implementación por parte de los colegios, de acciones realizadas para la prevención y atención de las situaciones de convivencia en el entorno escolar, según lo establecido en la Directiva 01 de 2022 del MEN. </v>
      </c>
      <c r="K2763" s="11" t="str">
        <f>IFERROR(IF(VLOOKUP(A2763,[18]PRIORIZADOS!$A:$K,11,FALSE)="","",VLOOKUP(A2763,[18]PRIORIZADOS!$A:$K,11,FALSE)),"")</f>
        <v>KATHERINE HERNÁNDEZ RUBIANO</v>
      </c>
      <c r="L2763" s="11" t="str">
        <f>IFERROR(IF(VLOOKUP(A2763,[18]PRIORIZADOS!$A:$L,12,FALSE)="","",VLOOKUP(A2763,[18]PRIORIZADOS!$A:$L,12,FALSE)),"")</f>
        <v>FRANCY LORENA RODRIGUEZ CASTRO</v>
      </c>
      <c r="M2763" s="71">
        <f>IFERROR(IF(VLOOKUP(A2763,[18]PRIORIZADOS!$A:$M,13,FALSE)="","",VLOOKUP(A2763,[18]PRIORIZADOS!$A:$M,13,FALSE)),"")</f>
        <v>45902</v>
      </c>
      <c r="N2763" s="71">
        <f>IFERROR(IF(VLOOKUP(A2763,[18]PRIORIZADOS!$A:$N,14,FALSE)="","",VLOOKUP(A2763,[18]PRIORIZADOS!$A:$N,14,FALSE)),"")</f>
        <v>45894</v>
      </c>
      <c r="O2763" s="71">
        <f>IFERROR(IF(VLOOKUP(A2763,[18]PRIORIZADOS!$A:$O,15,FALSE)="","",VLOOKUP(A2763,[18]PRIORIZADOS!$A:$O,15,FALSE)),"")</f>
        <v>45898</v>
      </c>
      <c r="P2763" s="11" t="str">
        <f>IFERROR(IF(VLOOKUP(A2763,[18]PRIORIZADOS!$A:$P,16,FALSE)="","",VLOOKUP(A2763,[18]PRIORIZADOS!$A:$P,16,FALSE)),"")</f>
        <v>Visitas de evaluación con fines de mejoramiento</v>
      </c>
      <c r="Q2763" s="60" t="s">
        <v>527</v>
      </c>
      <c r="R2763" s="11" t="str">
        <f>IFERROR(IF(VLOOKUP(A2763,[18]PRIORIZADOS!$A:$R,18,FALSE)="","",VLOOKUP(A2763,[18]PRIORIZADOS!$A:$R,18,FALSE)),"")</f>
        <v>En la revisión documental no  hay evidencias que permitan determinar el desarrollo  acciones pedagógicas para la prevención de violencia sexual en las jornadas pedagógicas de formación a docentes, escuelas de padres , proyectos transversales o en el proyecto de convivencia escolar. Frente a la revisión cada 4 meses de las inhabilidades por delitos sexuales del personal vinculado a la IE, presenta certificados emitidos el 18/07/2025, en los otros otros meses del año no realizó la vertificación.</v>
      </c>
      <c r="S2763" s="11" t="str">
        <f>IFERROR(IF(VLOOKUP(A2763,[18]PRIORIZADOS!$A:$S,19,FALSE)="","",VLOOKUP(A2763,[18]PRIORIZADOS!$A:$S,19,FALSE)),"")</f>
        <v>La Institución Educativa se compromete a verificar cada 4 meses los antecedentes por delitos sexuales del personal vinculado, a desarrollar los proyectos obligatorios (Educación Sexual).</v>
      </c>
      <c r="T2763" s="70" t="str">
        <f>IFERROR(IF(VLOOKUP(A2763,[18]PRIORIZADOS!$A:$T,20,FALSE)="","",VLOOKUP(A2763,[18]PRIORIZADOS!$A:$T,20,FALSE)),"")</f>
        <v>Si</v>
      </c>
      <c r="U2763" s="11" t="str">
        <f>IFERROR(IF(VLOOKUP(A2763,[18]PRIORIZADOS!$A:$U,21,FALSE)="","",VLOOKUP(A2763,[18]PRIORIZADOS!$A:$U,21,FALSE)),"")</f>
        <v>Verificación mediantes visita de seguimiento en el primer trimestre de 2026</v>
      </c>
    </row>
    <row r="2764" spans="1:21" s="1" customFormat="1" ht="72">
      <c r="A2764" s="69">
        <f>IF([18]PRIORIZADOS!A107="","",[18]PRIORIZADOS!A107)</f>
        <v>2753</v>
      </c>
      <c r="B2764" s="70">
        <f>IFERROR(IF(VLOOKUP(A2764,[18]PRIORIZADOS!$A:$B,2,FALSE)="","",VLOOKUP(A2764,[18]PRIORIZADOS!$A:$B,2,FALSE)),"")</f>
        <v>12</v>
      </c>
      <c r="C2764" s="11" t="str">
        <f>IFERROR(IF(VLOOKUP(A2764,[18]PRIORIZADOS!$A:$C,3,FALSE)="","",VLOOKUP(A2764,[18]PRIORIZADOS!$A:$C,3,FALSE)),"")</f>
        <v>USME</v>
      </c>
      <c r="D2764" s="11" t="str">
        <f>IFERROR(IF(VLOOKUP(A2764,[18]PRIORIZADOS!$A:$D,4,FALSE)="","",VLOOKUP(A2764,[18]PRIORIZADOS!$A:$D,4,FALSE)),"")</f>
        <v>PRIVADO</v>
      </c>
      <c r="E2764" s="11" t="str">
        <f>IFERROR(IF(VLOOKUP(A2764,[18]PRIORIZADOS!$A:$E,5,FALSE)="","",VLOOKUP(A2764,[18]PRIORIZADOS!$A:$E,5,FALSE)),"")</f>
        <v>EPBM</v>
      </c>
      <c r="F2764" s="11" t="str">
        <f>IFERROR(IF(VLOOKUP(A2764,[18]PRIORIZADOS!$A:$F,6,FALSE)="","",VLOOKUP(A2764,[18]PRIORIZADOS!$A:$F,6,FALSE)),"")</f>
        <v>COLEGIO_SANTA_LIBRADA</v>
      </c>
      <c r="G2764" s="11" t="str">
        <f>IFERROR(IF(VLOOKUP(A2764,[18]PRIORIZADOS!$A:$G,7,FALSE)="","",VLOOKUP(A2764,[18]PRIORIZADOS!$A:$G,7,FALSE)),"")</f>
        <v>COLEGIO SANTA LIBRADA</v>
      </c>
      <c r="H2764" s="11" t="str">
        <f>IFERROR(IF(VLOOKUP(A2764,[18]PRIORIZADOS!$A:$H,8,FALSE)="","",VLOOKUP(A2764,[18]PRIORIZADOS!$A:$H,8,FALSE)),"")</f>
        <v>Autoevaluación Institucional y Pruebas SABER 11</v>
      </c>
      <c r="I2764" s="11" t="str">
        <f>IFERROR(IF(VLOOKUP(A2764,[18]PRIORIZADOS!$A:$I,9,FALSE)="","",VLOOKUP(A2764,[18]PRIORIZADOS!$A:$I,9,FALSE)),"")</f>
        <v>SEGUIMIENTO_Y_SUPERVISIÓN.</v>
      </c>
      <c r="J2764" s="11" t="str">
        <f>IFERROR(IF(VLOOKUP(A2764,[18]PRIORIZADOS!$A:$J,10,FALSE)="","",VLOOKUP(A2764,[18]PRIORIZADOS!$A:$J,10,FALSE)),"")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64" s="11" t="str">
        <f>IFERROR(IF(VLOOKUP(A2764,[18]PRIORIZADOS!$A:$K,11,FALSE)="","",VLOOKUP(A2764,[18]PRIORIZADOS!$A:$K,11,FALSE)),"")</f>
        <v>KATHERINE HERNÁNDEZ RUBIANO</v>
      </c>
      <c r="L2764" s="11" t="str">
        <f>IFERROR(IF(VLOOKUP(A2764,[18]PRIORIZADOS!$A:$L,12,FALSE)="","",VLOOKUP(A2764,[18]PRIORIZADOS!$A:$L,12,FALSE)),"")</f>
        <v>FRANCY LORENA RODRIGUEZ CASTRO</v>
      </c>
      <c r="M2764" s="71">
        <f>IFERROR(IF(VLOOKUP(A2764,[18]PRIORIZADOS!$A:$M,13,FALSE)="","",VLOOKUP(A2764,[18]PRIORIZADOS!$A:$M,13,FALSE)),"")</f>
        <v>45902</v>
      </c>
      <c r="N2764" s="71">
        <f>IFERROR(IF(VLOOKUP(A2764,[18]PRIORIZADOS!$A:$N,14,FALSE)="","",VLOOKUP(A2764,[18]PRIORIZADOS!$A:$N,14,FALSE)),"")</f>
        <v>45894</v>
      </c>
      <c r="O2764" s="71">
        <f>IFERROR(IF(VLOOKUP(A2764,[18]PRIORIZADOS!$A:$O,15,FALSE)="","",VLOOKUP(A2764,[18]PRIORIZADOS!$A:$O,15,FALSE)),"")</f>
        <v>45898</v>
      </c>
      <c r="P2764" s="11" t="str">
        <f>IFERROR(IF(VLOOKUP(A2764,[18]PRIORIZADOS!$A:$P,16,FALSE)="","",VLOOKUP(A2764,[18]PRIORIZADOS!$A:$P,16,FALSE)),"")</f>
        <v>Visitas de evaluación con fines de mejoramiento</v>
      </c>
      <c r="Q2764" s="60" t="s">
        <v>527</v>
      </c>
      <c r="R2764" s="11" t="str">
        <f>IFERROR(IF(VLOOKUP(A2764,[18]PRIORIZADOS!$A:$R,18,FALSE)="","",VLOOKUP(A2764,[18]PRIORIZADOS!$A:$R,18,FALSE)),"")</f>
        <v>Revisión del EVI 2024</v>
      </c>
      <c r="S2764" s="11" t="str">
        <f>IFERROR(IF(VLOOKUP(A2764,[18]PRIORIZADOS!$A:$S,19,FALSE)="","",VLOOKUP(A2764,[18]PRIORIZADOS!$A:$S,19,FALSE)),"")</f>
        <v>La institución educativa indica que no tiene matricula de inclusión y que no tiene estudiantes en la presente vigencia que requieran PIAR</v>
      </c>
      <c r="T2764" s="70" t="str">
        <f>IFERROR(IF(VLOOKUP(A2764,[18]PRIORIZADOS!$A:$T,20,FALSE)="","",VLOOKUP(A2764,[18]PRIORIZADOS!$A:$T,20,FALSE)),"")</f>
        <v>No</v>
      </c>
      <c r="U2764" s="11" t="str">
        <f>IFERROR(IF(VLOOKUP(A2764,[18]PRIORIZADOS!$A:$U,21,FALSE)="","",VLOOKUP(A2764,[18]PRIORIZADOS!$A:$U,21,FALSE)),"")</f>
        <v>Valirdar en el EVI 2025 el registro de matricula de inclusión, para hacer seguimiento a la formulación del PIAR.</v>
      </c>
    </row>
    <row r="2765" spans="1:21" s="1" customFormat="1" ht="96">
      <c r="A2765" s="69">
        <f>IF([18]PRIORIZADOS!A108="","",[18]PRIORIZADOS!A108)</f>
        <v>2754</v>
      </c>
      <c r="B2765" s="70">
        <f>IFERROR(IF(VLOOKUP(A2765,[18]PRIORIZADOS!$A:$B,2,FALSE)="","",VLOOKUP(A2765,[18]PRIORIZADOS!$A:$B,2,FALSE)),"")</f>
        <v>12</v>
      </c>
      <c r="C2765" s="11" t="str">
        <f>IFERROR(IF(VLOOKUP(A2765,[18]PRIORIZADOS!$A:$C,3,FALSE)="","",VLOOKUP(A2765,[18]PRIORIZADOS!$A:$C,3,FALSE)),"")</f>
        <v>USME</v>
      </c>
      <c r="D2765" s="11" t="str">
        <f>IFERROR(IF(VLOOKUP(A2765,[18]PRIORIZADOS!$A:$D,4,FALSE)="","",VLOOKUP(A2765,[18]PRIORIZADOS!$A:$D,4,FALSE)),"")</f>
        <v>PRIVADO</v>
      </c>
      <c r="E2765" s="11" t="str">
        <f>IFERROR(IF(VLOOKUP(A2765,[18]PRIORIZADOS!$A:$E,5,FALSE)="","",VLOOKUP(A2765,[18]PRIORIZADOS!$A:$E,5,FALSE)),"")</f>
        <v>EPBM</v>
      </c>
      <c r="F2765" s="11" t="str">
        <f>IFERROR(IF(VLOOKUP(A2765,[18]PRIORIZADOS!$A:$F,6,FALSE)="","",VLOOKUP(A2765,[18]PRIORIZADOS!$A:$F,6,FALSE)),"")</f>
        <v>COLEGIO_SANTA_LIBRADA</v>
      </c>
      <c r="G2765" s="11" t="str">
        <f>IFERROR(IF(VLOOKUP(A2765,[18]PRIORIZADOS!$A:$G,7,FALSE)="","",VLOOKUP(A2765,[18]PRIORIZADOS!$A:$G,7,FALSE)),"")</f>
        <v>COLEGIO SANTA LIBRADA</v>
      </c>
      <c r="H2765" s="11" t="str">
        <f>IFERROR(IF(VLOOKUP(A2765,[18]PRIORIZADOS!$A:$H,8,FALSE)="","",VLOOKUP(A2765,[18]PRIORIZADOS!$A:$H,8,FALSE)),"")</f>
        <v>Autoevaluación Institucional y Pruebas SABER 11</v>
      </c>
      <c r="I2765" s="11" t="str">
        <f>IFERROR(IF(VLOOKUP(A2765,[18]PRIORIZADOS!$A:$I,9,FALSE)="","",VLOOKUP(A2765,[18]PRIORIZADOS!$A:$I,9,FALSE)),"")</f>
        <v>EVALUACIÓN_CON_FINES_DE_MEJORAMIENTO.</v>
      </c>
      <c r="J2765" s="11" t="str">
        <f>IFERROR(IF(VLOOKUP(A2765,[18]PRIORIZADOS!$A:$J,10,FALSE)="","",VLOOKUP(A2765,[18]PRIORIZADOS!$A:$J,10,FALSE)),"")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65" s="11" t="str">
        <f>IFERROR(IF(VLOOKUP(A2765,[18]PRIORIZADOS!$A:$K,11,FALSE)="","",VLOOKUP(A2765,[18]PRIORIZADOS!$A:$K,11,FALSE)),"")</f>
        <v>KATHERINE HERNÁNDEZ RUBIANO</v>
      </c>
      <c r="L2765" s="11" t="str">
        <f>IFERROR(IF(VLOOKUP(A2765,[18]PRIORIZADOS!$A:$L,12,FALSE)="","",VLOOKUP(A2765,[18]PRIORIZADOS!$A:$L,12,FALSE)),"")</f>
        <v>FRANCY LORENA RODRIGUEZ CASTRO</v>
      </c>
      <c r="M2765" s="71">
        <f>IFERROR(IF(VLOOKUP(A2765,[18]PRIORIZADOS!$A:$M,13,FALSE)="","",VLOOKUP(A2765,[18]PRIORIZADOS!$A:$M,13,FALSE)),"")</f>
        <v>45902</v>
      </c>
      <c r="N2765" s="71">
        <f>IFERROR(IF(VLOOKUP(A2765,[18]PRIORIZADOS!$A:$N,14,FALSE)="","",VLOOKUP(A2765,[18]PRIORIZADOS!$A:$N,14,FALSE)),"")</f>
        <v>45894</v>
      </c>
      <c r="O2765" s="71">
        <f>IFERROR(IF(VLOOKUP(A2765,[18]PRIORIZADOS!$A:$O,15,FALSE)="","",VLOOKUP(A2765,[18]PRIORIZADOS!$A:$O,15,FALSE)),"")</f>
        <v>45898</v>
      </c>
      <c r="P2765" s="11" t="str">
        <f>IFERROR(IF(VLOOKUP(A2765,[18]PRIORIZADOS!$A:$P,16,FALSE)="","",VLOOKUP(A2765,[18]PRIORIZADOS!$A:$P,16,FALSE)),"")</f>
        <v>Visitas de evaluación con fines de mejoramiento</v>
      </c>
      <c r="Q2765" s="60" t="s">
        <v>527</v>
      </c>
      <c r="R2765" s="11" t="str">
        <f>IFERROR(IF(VLOOKUP(A2765,[18]PRIORIZADOS!$A:$R,18,FALSE)="","",VLOOKUP(A2765,[18]PRIORIZADOS!$A:$R,18,FALSE)),"")</f>
        <v>Revisión del Manual de Convivencia, donde se envidencian los enfoques que fomentan el respeto, la valoración de la diversidad y el enfoque restaurativo, ademas la Ruta de Atención Integral para la Convivencia escolar, no se menciona. Se identifica la necesidad de hacer la actualización normativa.</v>
      </c>
      <c r="S2765" s="11" t="str">
        <f>IFERROR(IF(VLOOKUP(A2765,[18]PRIORIZADOS!$A:$S,19,FALSE)="","",VLOOKUP(A2765,[18]PRIORIZADOS!$A:$S,19,FALSE)),"")</f>
        <v>La institución educativa se compromete a verificar la legislación que soporta la construcción del Manual de Convivencia, incorporar en el Manual de convivencia los enfoques restaurativos y de dirversidad  y determinar el debido proceso para el tratamiento de faltas y sutauciones de convivencia escolar.</v>
      </c>
      <c r="T2765" s="70" t="str">
        <f>IFERROR(IF(VLOOKUP(A2765,[18]PRIORIZADOS!$A:$T,20,FALSE)="","",VLOOKUP(A2765,[18]PRIORIZADOS!$A:$T,20,FALSE)),"")</f>
        <v>Si</v>
      </c>
      <c r="U2765" s="11" t="str">
        <f>IFERROR(IF(VLOOKUP(A2765,[18]PRIORIZADOS!$A:$U,21,FALSE)="","",VLOOKUP(A2765,[18]PRIORIZADOS!$A:$U,21,FALSE)),"")</f>
        <v>Verificación documental en noviembre de 2025.</v>
      </c>
    </row>
    <row r="2766" spans="1:21" s="1" customFormat="1" ht="48">
      <c r="A2766" s="69">
        <f>IF([18]PRIORIZADOS!A109="","",[18]PRIORIZADOS!A109)</f>
        <v>2755</v>
      </c>
      <c r="B2766" s="70">
        <f>IFERROR(IF(VLOOKUP(A2766,[18]PRIORIZADOS!$A:$B,2,FALSE)="","",VLOOKUP(A2766,[18]PRIORIZADOS!$A:$B,2,FALSE)),"")</f>
        <v>12</v>
      </c>
      <c r="C2766" s="11" t="str">
        <f>IFERROR(IF(VLOOKUP(A2766,[18]PRIORIZADOS!$A:$C,3,FALSE)="","",VLOOKUP(A2766,[18]PRIORIZADOS!$A:$C,3,FALSE)),"")</f>
        <v>USME</v>
      </c>
      <c r="D2766" s="11" t="str">
        <f>IFERROR(IF(VLOOKUP(A2766,[18]PRIORIZADOS!$A:$D,4,FALSE)="","",VLOOKUP(A2766,[18]PRIORIZADOS!$A:$D,4,FALSE)),"")</f>
        <v>PRIVADO</v>
      </c>
      <c r="E2766" s="11" t="str">
        <f>IFERROR(IF(VLOOKUP(A2766,[18]PRIORIZADOS!$A:$E,5,FALSE)="","",VLOOKUP(A2766,[18]PRIORIZADOS!$A:$E,5,FALSE)),"")</f>
        <v>EPBM</v>
      </c>
      <c r="F2766" s="11" t="str">
        <f>IFERROR(IF(VLOOKUP(A2766,[18]PRIORIZADOS!$A:$F,6,FALSE)="","",VLOOKUP(A2766,[18]PRIORIZADOS!$A:$F,6,FALSE)),"")</f>
        <v>COLEGIO_SANTA_LIBRADA</v>
      </c>
      <c r="G2766" s="11" t="str">
        <f>IFERROR(IF(VLOOKUP(A2766,[18]PRIORIZADOS!$A:$G,7,FALSE)="","",VLOOKUP(A2766,[18]PRIORIZADOS!$A:$G,7,FALSE)),"")</f>
        <v>COLEGIO SANTA LIBRADA</v>
      </c>
      <c r="H2766" s="11" t="str">
        <f>IFERROR(IF(VLOOKUP(A2766,[18]PRIORIZADOS!$A:$H,8,FALSE)="","",VLOOKUP(A2766,[18]PRIORIZADOS!$A:$H,8,FALSE)),"")</f>
        <v>Autoevaluación Institucional y Pruebas SABER 11</v>
      </c>
      <c r="I2766" s="11" t="str">
        <f>IFERROR(IF(VLOOKUP(A2766,[18]PRIORIZADOS!$A:$I,9,FALSE)="","",VLOOKUP(A2766,[18]PRIORIZADOS!$A:$I,9,FALSE)),"")</f>
        <v>EVALUACIÓN_CON_FINES_DE_MEJORAMIENTO.</v>
      </c>
      <c r="J2766" s="11" t="str">
        <f>IFERROR(IF(VLOOKUP(A2766,[18]PRIORIZADOS!$A:$J,10,FALSE)="","",VLOOKUP(A2766,[18]PRIORIZADOS!$A:$J,10,FALSE)),"")</f>
        <v>Revisar la actualización, socialización e implementación del Sistema Institucional de Evaluación de Estudiantes - SIEE, en articulación con la actualización del PEI y la normatividad vigente.</v>
      </c>
      <c r="K2766" s="11" t="str">
        <f>IFERROR(IF(VLOOKUP(A2766,[18]PRIORIZADOS!$A:$K,11,FALSE)="","",VLOOKUP(A2766,[18]PRIORIZADOS!$A:$K,11,FALSE)),"")</f>
        <v>KATHERINE HERNÁNDEZ RUBIANO</v>
      </c>
      <c r="L2766" s="11" t="str">
        <f>IFERROR(IF(VLOOKUP(A2766,[18]PRIORIZADOS!$A:$L,12,FALSE)="","",VLOOKUP(A2766,[18]PRIORIZADOS!$A:$L,12,FALSE)),"")</f>
        <v>FRANCY LORENA RODRIGUEZ CASTRO</v>
      </c>
      <c r="M2766" s="71">
        <f>IFERROR(IF(VLOOKUP(A2766,[18]PRIORIZADOS!$A:$M,13,FALSE)="","",VLOOKUP(A2766,[18]PRIORIZADOS!$A:$M,13,FALSE)),"")</f>
        <v>45902</v>
      </c>
      <c r="N2766" s="71">
        <f>IFERROR(IF(VLOOKUP(A2766,[18]PRIORIZADOS!$A:$N,14,FALSE)="","",VLOOKUP(A2766,[18]PRIORIZADOS!$A:$N,14,FALSE)),"")</f>
        <v>45894</v>
      </c>
      <c r="O2766" s="71">
        <f>IFERROR(IF(VLOOKUP(A2766,[18]PRIORIZADOS!$A:$O,15,FALSE)="","",VLOOKUP(A2766,[18]PRIORIZADOS!$A:$O,15,FALSE)),"")</f>
        <v>45898</v>
      </c>
      <c r="P2766" s="11" t="str">
        <f>IFERROR(IF(VLOOKUP(A2766,[18]PRIORIZADOS!$A:$P,16,FALSE)="","",VLOOKUP(A2766,[18]PRIORIZADOS!$A:$P,16,FALSE)),"")</f>
        <v>Visitas de evaluación con fines de mejoramiento</v>
      </c>
      <c r="Q2766" s="60" t="s">
        <v>527</v>
      </c>
      <c r="R2766" s="11" t="str">
        <f>IFERROR(IF(VLOOKUP(A2766,[18]PRIORIZADOS!$A:$R,18,FALSE)="","",VLOOKUP(A2766,[18]PRIORIZADOS!$A:$R,18,FALSE)),"")</f>
        <v>En la Revisión del SIEE se identifica que no cuenta con estrategias de apoyo para resolver situaciones pedagógicas</v>
      </c>
      <c r="S2766" s="11" t="str">
        <f>IFERROR(IF(VLOOKUP(A2766,[18]PRIORIZADOS!$A:$S,19,FALSE)="","",VLOOKUP(A2766,[18]PRIORIZADOS!$A:$S,19,FALSE)),"")</f>
        <v>La Institución educativa se compromete a hacer la actualización normativa del SIEE</v>
      </c>
      <c r="T2766" s="70" t="str">
        <f>IFERROR(IF(VLOOKUP(A2766,[18]PRIORIZADOS!$A:$T,20,FALSE)="","",VLOOKUP(A2766,[18]PRIORIZADOS!$A:$T,20,FALSE)),"")</f>
        <v>Si</v>
      </c>
      <c r="U2766" s="11" t="str">
        <f>IFERROR(IF(VLOOKUP(A2766,[18]PRIORIZADOS!$A:$U,21,FALSE)="","",VLOOKUP(A2766,[18]PRIORIZADOS!$A:$U,21,FALSE)),"")</f>
        <v>Verificación documental noviembre de 2025</v>
      </c>
    </row>
    <row r="2767" spans="1:21" s="1" customFormat="1" ht="48">
      <c r="A2767" s="69">
        <f>IF([18]PRIORIZADOS!A110="","",[18]PRIORIZADOS!A110)</f>
        <v>2756</v>
      </c>
      <c r="B2767" s="70">
        <f>IFERROR(IF(VLOOKUP(A2767,[18]PRIORIZADOS!$A:$B,2,FALSE)="","",VLOOKUP(A2767,[18]PRIORIZADOS!$A:$B,2,FALSE)),"")</f>
        <v>12</v>
      </c>
      <c r="C2767" s="11" t="str">
        <f>IFERROR(IF(VLOOKUP(A2767,[18]PRIORIZADOS!$A:$C,3,FALSE)="","",VLOOKUP(A2767,[18]PRIORIZADOS!$A:$C,3,FALSE)),"")</f>
        <v>USME</v>
      </c>
      <c r="D2767" s="11" t="str">
        <f>IFERROR(IF(VLOOKUP(A2767,[18]PRIORIZADOS!$A:$D,4,FALSE)="","",VLOOKUP(A2767,[18]PRIORIZADOS!$A:$D,4,FALSE)),"")</f>
        <v>PRIVADO</v>
      </c>
      <c r="E2767" s="11" t="str">
        <f>IFERROR(IF(VLOOKUP(A2767,[18]PRIORIZADOS!$A:$E,5,FALSE)="","",VLOOKUP(A2767,[18]PRIORIZADOS!$A:$E,5,FALSE)),"")</f>
        <v>EPBM</v>
      </c>
      <c r="F2767" s="11" t="str">
        <f>IFERROR(IF(VLOOKUP(A2767,[18]PRIORIZADOS!$A:$F,6,FALSE)="","",VLOOKUP(A2767,[18]PRIORIZADOS!$A:$F,6,FALSE)),"")</f>
        <v>COLEGIO_SANTA_LIBRADA</v>
      </c>
      <c r="G2767" s="11" t="str">
        <f>IFERROR(IF(VLOOKUP(A2767,[18]PRIORIZADOS!$A:$G,7,FALSE)="","",VLOOKUP(A2767,[18]PRIORIZADOS!$A:$G,7,FALSE)),"")</f>
        <v>COLEGIO SANTA LIBRADA</v>
      </c>
      <c r="H2767" s="11" t="str">
        <f>IFERROR(IF(VLOOKUP(A2767,[18]PRIORIZADOS!$A:$H,8,FALSE)="","",VLOOKUP(A2767,[18]PRIORIZADOS!$A:$H,8,FALSE)),"")</f>
        <v>Autoevaluación Institucional y Pruebas SABER 11</v>
      </c>
      <c r="I2767" s="11" t="str">
        <f>IFERROR(IF(VLOOKUP(A2767,[18]PRIORIZADOS!$A:$I,9,FALSE)="","",VLOOKUP(A2767,[18]PRIORIZADOS!$A:$I,9,FALSE)),"")</f>
        <v>EVALUACIÓN_CON_FINES_DE_MEJORAMIENTO.</v>
      </c>
      <c r="J2767" s="11" t="str">
        <f>IFERROR(IF(VLOOKUP(A2767,[18]PRIORIZADOS!$A:$J,10,FALSE)="","",VLOOKUP(A2767,[18]PRIORIZADOS!$A:$J,10,FALSE)),"")</f>
        <v>Revisar el calendario escolar, jornada escolar, la intensidad horaria mínima anual en cada nivel y las modificaciones que se realicen al mismo, de acuerdo con lo previsto en la normatividad vigente.</v>
      </c>
      <c r="K2767" s="11" t="str">
        <f>IFERROR(IF(VLOOKUP(A2767,[18]PRIORIZADOS!$A:$K,11,FALSE)="","",VLOOKUP(A2767,[18]PRIORIZADOS!$A:$K,11,FALSE)),"")</f>
        <v>KATHERINE HERNÁNDEZ RUBIANO</v>
      </c>
      <c r="L2767" s="11" t="str">
        <f>IFERROR(IF(VLOOKUP(A2767,[18]PRIORIZADOS!$A:$L,12,FALSE)="","",VLOOKUP(A2767,[18]PRIORIZADOS!$A:$L,12,FALSE)),"")</f>
        <v>FRANCY LORENA RODRIGUEZ CASTRO</v>
      </c>
      <c r="M2767" s="71">
        <f>IFERROR(IF(VLOOKUP(A2767,[18]PRIORIZADOS!$A:$M,13,FALSE)="","",VLOOKUP(A2767,[18]PRIORIZADOS!$A:$M,13,FALSE)),"")</f>
        <v>45902</v>
      </c>
      <c r="N2767" s="71">
        <f>IFERROR(IF(VLOOKUP(A2767,[18]PRIORIZADOS!$A:$N,14,FALSE)="","",VLOOKUP(A2767,[18]PRIORIZADOS!$A:$N,14,FALSE)),"")</f>
        <v>45894</v>
      </c>
      <c r="O2767" s="71">
        <f>IFERROR(IF(VLOOKUP(A2767,[18]PRIORIZADOS!$A:$O,15,FALSE)="","",VLOOKUP(A2767,[18]PRIORIZADOS!$A:$O,15,FALSE)),"")</f>
        <v>45898</v>
      </c>
      <c r="P2767" s="11" t="str">
        <f>IFERROR(IF(VLOOKUP(A2767,[18]PRIORIZADOS!$A:$P,16,FALSE)="","",VLOOKUP(A2767,[18]PRIORIZADOS!$A:$P,16,FALSE)),"")</f>
        <v>Visitas de evaluación con fines de mejoramiento</v>
      </c>
      <c r="Q2767" s="60" t="s">
        <v>527</v>
      </c>
      <c r="R2767" s="11" t="str">
        <f>IFERROR(IF(VLOOKUP(A2767,[18]PRIORIZADOS!$A:$R,18,FALSE)="","",VLOOKUP(A2767,[18]PRIORIZADOS!$A:$R,18,FALSE)),"")</f>
        <v>El calendario escolar se encuentra ajustado e implementado de acuerdo con la normatividad.</v>
      </c>
      <c r="S2767" s="11" t="str">
        <f>IFERROR(IF(VLOOKUP(A2767,[18]PRIORIZADOS!$A:$S,19,FALSE)="","",VLOOKUP(A2767,[18]PRIORIZADOS!$A:$S,19,FALSE)),"")</f>
        <v xml:space="preserve">Continuar con la implementación del calendario escolar </v>
      </c>
      <c r="T2767" s="70" t="str">
        <f>IFERROR(IF(VLOOKUP(A2767,[18]PRIORIZADOS!$A:$T,20,FALSE)="","",VLOOKUP(A2767,[18]PRIORIZADOS!$A:$T,20,FALSE)),"")</f>
        <v>No</v>
      </c>
      <c r="U2767" s="11" t="str">
        <f>IFERROR(IF(VLOOKUP(A2767,[18]PRIORIZADOS!$A:$U,21,FALSE)="","",VLOOKUP(A2767,[18]PRIORIZADOS!$A:$U,21,FALSE)),"")</f>
        <v>Verificación en la vigencia 2026</v>
      </c>
    </row>
    <row r="2768" spans="1:21" s="1" customFormat="1" ht="48">
      <c r="A2768" s="69">
        <f>IF([18]PRIORIZADOS!A111="","",[18]PRIORIZADOS!A111)</f>
        <v>2757</v>
      </c>
      <c r="B2768" s="70">
        <f>IFERROR(IF(VLOOKUP(A2768,[18]PRIORIZADOS!$A:$B,2,FALSE)="","",VLOOKUP(A2768,[18]PRIORIZADOS!$A:$B,2,FALSE)),"")</f>
        <v>12</v>
      </c>
      <c r="C2768" s="11" t="str">
        <f>IFERROR(IF(VLOOKUP(A2768,[18]PRIORIZADOS!$A:$C,3,FALSE)="","",VLOOKUP(A2768,[18]PRIORIZADOS!$A:$C,3,FALSE)),"")</f>
        <v>USME</v>
      </c>
      <c r="D2768" s="11" t="str">
        <f>IFERROR(IF(VLOOKUP(A2768,[18]PRIORIZADOS!$A:$D,4,FALSE)="","",VLOOKUP(A2768,[18]PRIORIZADOS!$A:$D,4,FALSE)),"")</f>
        <v>PRIVADO</v>
      </c>
      <c r="E2768" s="11" t="str">
        <f>IFERROR(IF(VLOOKUP(A2768,[18]PRIORIZADOS!$A:$E,5,FALSE)="","",VLOOKUP(A2768,[18]PRIORIZADOS!$A:$E,5,FALSE)),"")</f>
        <v>EPBM</v>
      </c>
      <c r="F2768" s="11" t="str">
        <f>IFERROR(IF(VLOOKUP(A2768,[18]PRIORIZADOS!$A:$F,6,FALSE)="","",VLOOKUP(A2768,[18]PRIORIZADOS!$A:$F,6,FALSE)),"")</f>
        <v>COLEGIO_SANTA_LIBRADA</v>
      </c>
      <c r="G2768" s="11" t="str">
        <f>IFERROR(IF(VLOOKUP(A2768,[18]PRIORIZADOS!$A:$G,7,FALSE)="","",VLOOKUP(A2768,[18]PRIORIZADOS!$A:$G,7,FALSE)),"")</f>
        <v>COLEGIO SANTA LIBRADA</v>
      </c>
      <c r="H2768" s="11" t="str">
        <f>IFERROR(IF(VLOOKUP(A2768,[18]PRIORIZADOS!$A:$H,8,FALSE)="","",VLOOKUP(A2768,[18]PRIORIZADOS!$A:$H,8,FALSE)),"")</f>
        <v>Autoevaluación Institucional y Pruebas SABER 11</v>
      </c>
      <c r="I2768" s="11" t="str">
        <f>IFERROR(IF(VLOOKUP(A2768,[18]PRIORIZADOS!$A:$I,9,FALSE)="","",VLOOKUP(A2768,[18]PRIORIZADOS!$A:$I,9,FALSE)),"")</f>
        <v>EVALUACIÓN_CON_FINES_DE_MEJORAMIENTO.</v>
      </c>
      <c r="J2768" s="11" t="str">
        <f>IFERROR(IF(VLOOKUP(A2768,[18]PRIORIZADOS!$A:$J,10,FALSE)="","",VLOOKUP(A2768,[18]PRIORIZADOS!$A:$J,10,FALSE)),"")</f>
        <v>Verificar el funcionamiento del Gobierno Escolar e instancias de participación con base en la información sobre conformación reportada por la institución educativa.</v>
      </c>
      <c r="K2768" s="11" t="str">
        <f>IFERROR(IF(VLOOKUP(A2768,[18]PRIORIZADOS!$A:$K,11,FALSE)="","",VLOOKUP(A2768,[18]PRIORIZADOS!$A:$K,11,FALSE)),"")</f>
        <v>KATHERINE HERNÁNDEZ RUBIANO</v>
      </c>
      <c r="L2768" s="11" t="str">
        <f>IFERROR(IF(VLOOKUP(A2768,[18]PRIORIZADOS!$A:$L,12,FALSE)="","",VLOOKUP(A2768,[18]PRIORIZADOS!$A:$L,12,FALSE)),"")</f>
        <v>FRANCY LORENA RODRIGUEZ CASTRO</v>
      </c>
      <c r="M2768" s="71">
        <f>IFERROR(IF(VLOOKUP(A2768,[18]PRIORIZADOS!$A:$M,13,FALSE)="","",VLOOKUP(A2768,[18]PRIORIZADOS!$A:$M,13,FALSE)),"")</f>
        <v>45902</v>
      </c>
      <c r="N2768" s="71">
        <f>IFERROR(IF(VLOOKUP(A2768,[18]PRIORIZADOS!$A:$N,14,FALSE)="","",VLOOKUP(A2768,[18]PRIORIZADOS!$A:$N,14,FALSE)),"")</f>
        <v>45894</v>
      </c>
      <c r="O2768" s="71">
        <f>IFERROR(IF(VLOOKUP(A2768,[18]PRIORIZADOS!$A:$O,15,FALSE)="","",VLOOKUP(A2768,[18]PRIORIZADOS!$A:$O,15,FALSE)),"")</f>
        <v>45898</v>
      </c>
      <c r="P2768" s="11" t="str">
        <f>IFERROR(IF(VLOOKUP(A2768,[18]PRIORIZADOS!$A:$P,16,FALSE)="","",VLOOKUP(A2768,[18]PRIORIZADOS!$A:$P,16,FALSE)),"")</f>
        <v>Visitas de evaluación con fines de mejoramiento</v>
      </c>
      <c r="Q2768" s="60" t="s">
        <v>527</v>
      </c>
      <c r="R2768" s="11" t="str">
        <f>IFERROR(IF(VLOOKUP(A2768,[18]PRIORIZADOS!$A:$R,18,FALSE)="","",VLOOKUP(A2768,[18]PRIORIZADOS!$A:$R,18,FALSE)),"")</f>
        <v xml:space="preserve">No presentan evidencia sobre la operatividad </v>
      </c>
      <c r="S2768" s="11" t="str">
        <f>IFERROR(IF(VLOOKUP(A2768,[18]PRIORIZADOS!$A:$S,19,FALSE)="","",VLOOKUP(A2768,[18]PRIORIZADOS!$A:$S,19,FALSE)),"")</f>
        <v>La Institución Educativa, se compromete a ajustar las actas del gobierno escolar en el SAEy formalizar las actas de operatividad del gobierno escolar</v>
      </c>
      <c r="T2768" s="70" t="str">
        <f>IFERROR(IF(VLOOKUP(A2768,[18]PRIORIZADOS!$A:$T,20,FALSE)="","",VLOOKUP(A2768,[18]PRIORIZADOS!$A:$T,20,FALSE)),"")</f>
        <v>Si</v>
      </c>
      <c r="U2768" s="11" t="str">
        <f>IFERROR(IF(VLOOKUP(A2768,[18]PRIORIZADOS!$A:$U,21,FALSE)="","",VLOOKUP(A2768,[18]PRIORIZADOS!$A:$U,21,FALSE)),"")</f>
        <v>Una vez entregado el PMI por la institución educativa, se valorará este aspecto en el SAE.</v>
      </c>
    </row>
    <row r="2769" spans="1:21" s="1" customFormat="1" ht="96">
      <c r="A2769" s="69">
        <f>IF([18]PRIORIZADOS!A112="","",[18]PRIORIZADOS!A112)</f>
        <v>2758</v>
      </c>
      <c r="B2769" s="70">
        <f>IFERROR(IF(VLOOKUP(A2769,[18]PRIORIZADOS!$A:$B,2,FALSE)="","",VLOOKUP(A2769,[18]PRIORIZADOS!$A:$B,2,FALSE)),"")</f>
        <v>12</v>
      </c>
      <c r="C2769" s="11" t="str">
        <f>IFERROR(IF(VLOOKUP(A2769,[18]PRIORIZADOS!$A:$C,3,FALSE)="","",VLOOKUP(A2769,[18]PRIORIZADOS!$A:$C,3,FALSE)),"")</f>
        <v>USME</v>
      </c>
      <c r="D2769" s="11" t="str">
        <f>IFERROR(IF(VLOOKUP(A2769,[18]PRIORIZADOS!$A:$D,4,FALSE)="","",VLOOKUP(A2769,[18]PRIORIZADOS!$A:$D,4,FALSE)),"")</f>
        <v>PRIVADO</v>
      </c>
      <c r="E2769" s="11" t="str">
        <f>IFERROR(IF(VLOOKUP(A2769,[18]PRIORIZADOS!$A:$E,5,FALSE)="","",VLOOKUP(A2769,[18]PRIORIZADOS!$A:$E,5,FALSE)),"")</f>
        <v>EPBM</v>
      </c>
      <c r="F2769" s="11" t="str">
        <f>IFERROR(IF(VLOOKUP(A2769,[18]PRIORIZADOS!$A:$F,6,FALSE)="","",VLOOKUP(A2769,[18]PRIORIZADOS!$A:$F,6,FALSE)),"")</f>
        <v>COLEGIO_SANTA_LIBRADA</v>
      </c>
      <c r="G2769" s="11" t="str">
        <f>IFERROR(IF(VLOOKUP(A2769,[18]PRIORIZADOS!$A:$G,7,FALSE)="","",VLOOKUP(A2769,[18]PRIORIZADOS!$A:$G,7,FALSE)),"")</f>
        <v>COLEGIO SANTA LIBRADA</v>
      </c>
      <c r="H2769" s="11" t="str">
        <f>IFERROR(IF(VLOOKUP(A2769,[18]PRIORIZADOS!$A:$H,8,FALSE)="","",VLOOKUP(A2769,[18]PRIORIZADOS!$A:$H,8,FALSE)),"")</f>
        <v>Autoevaluación Institucional y Pruebas SABER 11</v>
      </c>
      <c r="I2769" s="11" t="str">
        <f>IFERROR(IF(VLOOKUP(A2769,[18]PRIORIZADOS!$A:$I,9,FALSE)="","",VLOOKUP(A2769,[18]PRIORIZADOS!$A:$I,9,FALSE)),"")</f>
        <v>EVALUACIÓN_CON_FINES_DE_MEJORAMIENTO.</v>
      </c>
      <c r="J2769" s="11" t="str">
        <f>IFERROR(IF(VLOOKUP(A2769,[18]PRIORIZADOS!$A:$J,10,FALSE)="","",VLOOKUP(A2769,[18]PRIORIZADOS!$A:$J,10,FALSE)),"")</f>
        <v>Verificar las condiciones en cuanto a: la estructura administrativa, condiciones de la planta física y medios educativos adecuados.</v>
      </c>
      <c r="K2769" s="11" t="str">
        <f>IFERROR(IF(VLOOKUP(A2769,[18]PRIORIZADOS!$A:$K,11,FALSE)="","",VLOOKUP(A2769,[18]PRIORIZADOS!$A:$K,11,FALSE)),"")</f>
        <v>KATHERINE HERNÁNDEZ RUBIANO</v>
      </c>
      <c r="L2769" s="11" t="str">
        <f>IFERROR(IF(VLOOKUP(A2769,[18]PRIORIZADOS!$A:$L,12,FALSE)="","",VLOOKUP(A2769,[18]PRIORIZADOS!$A:$L,12,FALSE)),"")</f>
        <v>FRANCY LORENA RODRIGUEZ CASTRO</v>
      </c>
      <c r="M2769" s="71">
        <f>IFERROR(IF(VLOOKUP(A2769,[18]PRIORIZADOS!$A:$M,13,FALSE)="","",VLOOKUP(A2769,[18]PRIORIZADOS!$A:$M,13,FALSE)),"")</f>
        <v>45902</v>
      </c>
      <c r="N2769" s="71">
        <f>IFERROR(IF(VLOOKUP(A2769,[18]PRIORIZADOS!$A:$N,14,FALSE)="","",VLOOKUP(A2769,[18]PRIORIZADOS!$A:$N,14,FALSE)),"")</f>
        <v>45894</v>
      </c>
      <c r="O2769" s="71">
        <f>IFERROR(IF(VLOOKUP(A2769,[18]PRIORIZADOS!$A:$O,15,FALSE)="","",VLOOKUP(A2769,[18]PRIORIZADOS!$A:$O,15,FALSE)),"")</f>
        <v>45898</v>
      </c>
      <c r="P2769" s="11" t="str">
        <f>IFERROR(IF(VLOOKUP(A2769,[18]PRIORIZADOS!$A:$P,16,FALSE)="","",VLOOKUP(A2769,[18]PRIORIZADOS!$A:$P,16,FALSE)),"")</f>
        <v>Visitas de evaluación con fines de mejoramiento</v>
      </c>
      <c r="Q2769" s="60" t="s">
        <v>527</v>
      </c>
      <c r="R2769" s="11" t="str">
        <f>IFERROR(IF(VLOOKUP(A2769,[18]PRIORIZADOS!$A:$R,18,FALSE)="","",VLOOKUP(A2769,[18]PRIORIZADOS!$A:$R,18,FALSE)),"")</f>
        <v>En recorrido por la planta física se identiicca que el establecimiento no cuenta con aaccesos adecuados para personas con discapacidad, o cuenta con señalización de las rutas de evacuación y el concepto emitido por Secretaria de Salud es favorable con requerimientos para 2025</v>
      </c>
      <c r="S2769" s="11" t="str">
        <f>IFERROR(IF(VLOOKUP(A2769,[18]PRIORIZADOS!$A:$S,19,FALSE)="","",VLOOKUP(A2769,[18]PRIORIZADOS!$A:$S,19,FALSE)),"")</f>
        <v>La institución Educativa, tendrá en cuenta las observaciones al respecto para incorporarlas en su PMI</v>
      </c>
      <c r="T2769" s="70" t="str">
        <f>IFERROR(IF(VLOOKUP(A2769,[18]PRIORIZADOS!$A:$T,20,FALSE)="","",VLOOKUP(A2769,[18]PRIORIZADOS!$A:$T,20,FALSE)),"")</f>
        <v>Si</v>
      </c>
      <c r="U2769" s="11" t="str">
        <f>IFERROR(IF(VLOOKUP(A2769,[18]PRIORIZADOS!$A:$U,21,FALSE)="","",VLOOKUP(A2769,[18]PRIORIZADOS!$A:$U,21,FALSE)),"")</f>
        <v>Validar el abordaje de estos temas en el PMI y luego se hará visita de seguimiento en el primer trimestre de 2026.</v>
      </c>
    </row>
    <row r="2770" spans="1:21" s="1" customFormat="1" ht="36">
      <c r="A2770" s="69">
        <f>IF([18]PRIORIZADOS!A113="","",[18]PRIORIZADOS!A113)</f>
        <v>2759</v>
      </c>
      <c r="B2770" s="70">
        <f>IFERROR(IF(VLOOKUP(A2770,[18]PRIORIZADOS!$A:$B,2,FALSE)="","",VLOOKUP(A2770,[18]PRIORIZADOS!$A:$B,2,FALSE)),"")</f>
        <v>13</v>
      </c>
      <c r="C2770" s="11" t="str">
        <f>IFERROR(IF(VLOOKUP(A2770,[18]PRIORIZADOS!$A:$C,3,FALSE)="","",VLOOKUP(A2770,[18]PRIORIZADOS!$A:$C,3,FALSE)),"")</f>
        <v>USME</v>
      </c>
      <c r="D2770" s="11" t="str">
        <f>IFERROR(IF(VLOOKUP(A2770,[18]PRIORIZADOS!$A:$D,4,FALSE)="","",VLOOKUP(A2770,[18]PRIORIZADOS!$A:$D,4,FALSE)),"")</f>
        <v>PRIVADO</v>
      </c>
      <c r="E2770" s="11" t="str">
        <f>IFERROR(IF(VLOOKUP(A2770,[18]PRIORIZADOS!$A:$E,5,FALSE)="","",VLOOKUP(A2770,[18]PRIORIZADOS!$A:$E,5,FALSE)),"")</f>
        <v>EPBM</v>
      </c>
      <c r="F2770" s="11" t="str">
        <f>IFERROR(IF(VLOOKUP(A2770,[18]PRIORIZADOS!$A:$F,6,FALSE)="","",VLOOKUP(A2770,[18]PRIORIZADOS!$A:$F,6,FALSE)),"")</f>
        <v>LICEO_LATINOAMERICANO_DEL_SUR</v>
      </c>
      <c r="G2770" s="11" t="str">
        <f>IFERROR(IF(VLOOKUP(A2770,[18]PRIORIZADOS!$A:$G,7,FALSE)="","",VLOOKUP(A2770,[18]PRIORIZADOS!$A:$G,7,FALSE)),"")</f>
        <v>LICEO LATINOAMERICANO DEL SUR</v>
      </c>
      <c r="H2770" s="11" t="str">
        <f>IFERROR(IF(VLOOKUP(A2770,[18]PRIORIZADOS!$A:$H,8,FALSE)="","",VLOOKUP(A2770,[18]PRIORIZADOS!$A:$H,8,FALSE)),"")</f>
        <v>Autoevaluación Institucional y Pruebas SABER 11</v>
      </c>
      <c r="I2770" s="11" t="str">
        <f>IFERROR(IF(VLOOKUP(A2770,[18]PRIORIZADOS!$A:$I,9,FALSE)="","",VLOOKUP(A2770,[18]PRIORIZADOS!$A:$I,9,FALSE)),"")</f>
        <v>SEGUIMIENTO_Y_SUPERVISIÓN.</v>
      </c>
      <c r="J2770" s="11" t="str">
        <f>IFERROR(IF(VLOOKUP(A2770,[18]PRIORIZADOS!$A:$J,10,FALSE)="","",VLOOKUP(A2770,[18]PRIORIZADOS!$A:$J,10,FALSE)),"")</f>
        <v>Realizar visitas para verificar la información registrada sobre la autoevaluación institucional en el aplicativo EVI, a los establecimientos de educación formal no oficial.</v>
      </c>
      <c r="K2770" s="11" t="str">
        <f>IFERROR(IF(VLOOKUP(A2770,[18]PRIORIZADOS!$A:$K,11,FALSE)="","",VLOOKUP(A2770,[18]PRIORIZADOS!$A:$K,11,FALSE)),"")</f>
        <v>KATHERINE HERNÁNDEZ RUBIANO</v>
      </c>
      <c r="L2770" s="11" t="str">
        <f>IFERROR(IF(VLOOKUP(A2770,[18]PRIORIZADOS!$A:$L,12,FALSE)="","",VLOOKUP(A2770,[18]PRIORIZADOS!$A:$L,12,FALSE)),"")</f>
        <v>FRANCY LORENA RODRIGUEZ CASTRO</v>
      </c>
      <c r="M2770" s="71">
        <f>IFERROR(IF(VLOOKUP(A2770,[18]PRIORIZADOS!$A:$M,13,FALSE)="","",VLOOKUP(A2770,[18]PRIORIZADOS!$A:$M,13,FALSE)),"")</f>
        <v>45916</v>
      </c>
      <c r="N2770" s="71">
        <f>IFERROR(IF(VLOOKUP(A2770,[18]PRIORIZADOS!$A:$N,14,FALSE)="","",VLOOKUP(A2770,[18]PRIORIZADOS!$A:$N,14,FALSE)),"")</f>
        <v>45901</v>
      </c>
      <c r="O2770" s="71">
        <f>IFERROR(IF(VLOOKUP(A2770,[18]PRIORIZADOS!$A:$O,15,FALSE)="","",VLOOKUP(A2770,[18]PRIORIZADOS!$A:$O,15,FALSE)),"")</f>
        <v>45902</v>
      </c>
      <c r="P2770" s="11" t="str">
        <f>IFERROR(IF(VLOOKUP(A2770,[18]PRIORIZADOS!$A:$P,16,FALSE)="","",VLOOKUP(A2770,[18]PRIORIZADOS!$A:$P,16,FALSE)),"")</f>
        <v>Visitas de evaluación con fines de mejoramiento</v>
      </c>
      <c r="Q2770" s="2" t="s">
        <v>528</v>
      </c>
      <c r="R2770" s="11" t="str">
        <f>IFERROR(IF(VLOOKUP(A2770,[18]PRIORIZADOS!$A:$R,18,FALSE)="","",VLOOKUP(A2770,[18]PRIORIZADOS!$A:$R,18,FALSE)),"")</f>
        <v>No hay correspondencia entre la información registrada en el SIMAT y el EVI</v>
      </c>
      <c r="S2770" s="11" t="str">
        <f>IFERROR(IF(VLOOKUP(A2770,[18]PRIORIZADOS!$A:$S,19,FALSE)="","",VLOOKUP(A2770,[18]PRIORIZADOS!$A:$S,19,FALSE)),"")</f>
        <v>La institución educativa, se compromete a hacer la actualización en el SIMAT</v>
      </c>
      <c r="T2770" s="70" t="str">
        <f>IFERROR(IF(VLOOKUP(A2770,[18]PRIORIZADOS!$A:$T,20,FALSE)="","",VLOOKUP(A2770,[18]PRIORIZADOS!$A:$T,20,FALSE)),"")</f>
        <v>Si</v>
      </c>
      <c r="U2770" s="11" t="str">
        <f>IFERROR(IF(VLOOKUP(A2770,[18]PRIORIZADOS!$A:$U,21,FALSE)="","",VLOOKUP(A2770,[18]PRIORIZADOS!$A:$U,21,FALSE)),"")</f>
        <v>Revisar el EVI para verificar el ajuste. Octubre de 2025</v>
      </c>
    </row>
    <row r="2771" spans="1:21" s="1" customFormat="1" ht="60">
      <c r="A2771" s="69">
        <f>IF([18]PRIORIZADOS!A114="","",[18]PRIORIZADOS!A114)</f>
        <v>2760</v>
      </c>
      <c r="B2771" s="70">
        <f>IFERROR(IF(VLOOKUP(A2771,[18]PRIORIZADOS!$A:$B,2,FALSE)="","",VLOOKUP(A2771,[18]PRIORIZADOS!$A:$B,2,FALSE)),"")</f>
        <v>13</v>
      </c>
      <c r="C2771" s="11" t="str">
        <f>IFERROR(IF(VLOOKUP(A2771,[18]PRIORIZADOS!$A:$C,3,FALSE)="","",VLOOKUP(A2771,[18]PRIORIZADOS!$A:$C,3,FALSE)),"")</f>
        <v>USME</v>
      </c>
      <c r="D2771" s="11" t="str">
        <f>IFERROR(IF(VLOOKUP(A2771,[18]PRIORIZADOS!$A:$D,4,FALSE)="","",VLOOKUP(A2771,[18]PRIORIZADOS!$A:$D,4,FALSE)),"")</f>
        <v>PRIVADO</v>
      </c>
      <c r="E2771" s="11" t="str">
        <f>IFERROR(IF(VLOOKUP(A2771,[18]PRIORIZADOS!$A:$E,5,FALSE)="","",VLOOKUP(A2771,[18]PRIORIZADOS!$A:$E,5,FALSE)),"")</f>
        <v>EPBM</v>
      </c>
      <c r="F2771" s="11" t="str">
        <f>IFERROR(IF(VLOOKUP(A2771,[18]PRIORIZADOS!$A:$F,6,FALSE)="","",VLOOKUP(A2771,[18]PRIORIZADOS!$A:$F,6,FALSE)),"")</f>
        <v>LICEO_LATINOAMERICANO_DEL_SUR</v>
      </c>
      <c r="G2771" s="11" t="str">
        <f>IFERROR(IF(VLOOKUP(A2771,[18]PRIORIZADOS!$A:$G,7,FALSE)="","",VLOOKUP(A2771,[18]PRIORIZADOS!$A:$G,7,FALSE)),"")</f>
        <v>LICEO LATINOAMERICANO DEL SUR</v>
      </c>
      <c r="H2771" s="11" t="str">
        <f>IFERROR(IF(VLOOKUP(A2771,[18]PRIORIZADOS!$A:$H,8,FALSE)="","",VLOOKUP(A2771,[18]PRIORIZADOS!$A:$H,8,FALSE)),"")</f>
        <v>Autoevaluación Institucional y Pruebas SABER 11</v>
      </c>
      <c r="I2771" s="11" t="str">
        <f>IFERROR(IF(VLOOKUP(A2771,[18]PRIORIZADOS!$A:$I,9,FALSE)="","",VLOOKUP(A2771,[18]PRIORIZADOS!$A:$I,9,FALSE)),"")</f>
        <v>SEGUIMIENTO_Y_SUPERVISIÓN.</v>
      </c>
      <c r="J2771" s="11" t="str">
        <f>IFERROR(IF(VLOOKUP(A2771,[18]PRIORIZADOS!$A:$J,10,FALSE)="","",VLOOKUP(A2771,[18]PRIORIZADOS!$A:$J,10,FALSE)),"")</f>
        <v>Proponer estrategias en la formulación, verificar su elaboración y realizar seguimiento semestral al desarrollo de  las acciones establecidas en los planes de mejoramiento por pruebas SABER 11 de los establecimientos de educación formal.</v>
      </c>
      <c r="K2771" s="11" t="str">
        <f>IFERROR(IF(VLOOKUP(A2771,[18]PRIORIZADOS!$A:$K,11,FALSE)="","",VLOOKUP(A2771,[18]PRIORIZADOS!$A:$K,11,FALSE)),"")</f>
        <v>KATHERINE HERNÁNDEZ RUBIANO</v>
      </c>
      <c r="L2771" s="11" t="str">
        <f>IFERROR(IF(VLOOKUP(A2771,[18]PRIORIZADOS!$A:$L,12,FALSE)="","",VLOOKUP(A2771,[18]PRIORIZADOS!$A:$L,12,FALSE)),"")</f>
        <v>FRANCY LORENA RODRIGUEZ CASTRO</v>
      </c>
      <c r="M2771" s="71">
        <f>IFERROR(IF(VLOOKUP(A2771,[18]PRIORIZADOS!$A:$M,13,FALSE)="","",VLOOKUP(A2771,[18]PRIORIZADOS!$A:$M,13,FALSE)),"")</f>
        <v>45916</v>
      </c>
      <c r="N2771" s="71">
        <f>IFERROR(IF(VLOOKUP(A2771,[18]PRIORIZADOS!$A:$N,14,FALSE)="","",VLOOKUP(A2771,[18]PRIORIZADOS!$A:$N,14,FALSE)),"")</f>
        <v>45901</v>
      </c>
      <c r="O2771" s="71">
        <f>IFERROR(IF(VLOOKUP(A2771,[18]PRIORIZADOS!$A:$O,15,FALSE)="","",VLOOKUP(A2771,[18]PRIORIZADOS!$A:$O,15,FALSE)),"")</f>
        <v>45902</v>
      </c>
      <c r="P2771" s="11" t="str">
        <f>IFERROR(IF(VLOOKUP(A2771,[18]PRIORIZADOS!$A:$P,16,FALSE)="","",VLOOKUP(A2771,[18]PRIORIZADOS!$A:$P,16,FALSE)),"")</f>
        <v>Visitas de evaluación con fines de mejoramiento</v>
      </c>
      <c r="Q2771" s="61" t="s">
        <v>528</v>
      </c>
      <c r="R2771" s="11" t="str">
        <f>IFERROR(IF(VLOOKUP(A2771,[18]PRIORIZADOS!$A:$R,18,FALSE)="","",VLOOKUP(A2771,[18]PRIORIZADOS!$A:$R,18,FALSE)),"")</f>
        <v>No cuenta con evidencia que permita validar este aspecto.</v>
      </c>
      <c r="S2771" s="11" t="str">
        <f>IFERROR(IF(VLOOKUP(A2771,[18]PRIORIZADOS!$A:$S,19,FALSE)="","",VLOOKUP(A2771,[18]PRIORIZADOS!$A:$S,19,FALSE)),"")</f>
        <v>La institución Educativa, se compromete a formalizar las actas de operatividad del gobierno escolar, entre ellas el consejo académico para que aborde el análisis de la prueba saber.</v>
      </c>
      <c r="T2771" s="70" t="str">
        <f>IFERROR(IF(VLOOKUP(A2771,[18]PRIORIZADOS!$A:$T,20,FALSE)="","",VLOOKUP(A2771,[18]PRIORIZADOS!$A:$T,20,FALSE)),"")</f>
        <v>Si</v>
      </c>
      <c r="U2771" s="11" t="str">
        <f>IFERROR(IF(VLOOKUP(A2771,[18]PRIORIZADOS!$A:$U,21,FALSE)="","",VLOOKUP(A2771,[18]PRIORIZADOS!$A:$U,21,FALSE)),"")</f>
        <v>Visita de seguimiento primer trismestre de 2026</v>
      </c>
    </row>
    <row r="2772" spans="1:21" s="1" customFormat="1" ht="48">
      <c r="A2772" s="69">
        <f>IF([18]PRIORIZADOS!A115="","",[18]PRIORIZADOS!A115)</f>
        <v>2761</v>
      </c>
      <c r="B2772" s="70">
        <f>IFERROR(IF(VLOOKUP(A2772,[18]PRIORIZADOS!$A:$B,2,FALSE)="","",VLOOKUP(A2772,[18]PRIORIZADOS!$A:$B,2,FALSE)),"")</f>
        <v>13</v>
      </c>
      <c r="C2772" s="11" t="str">
        <f>IFERROR(IF(VLOOKUP(A2772,[18]PRIORIZADOS!$A:$C,3,FALSE)="","",VLOOKUP(A2772,[18]PRIORIZADOS!$A:$C,3,FALSE)),"")</f>
        <v>USME</v>
      </c>
      <c r="D2772" s="11" t="str">
        <f>IFERROR(IF(VLOOKUP(A2772,[18]PRIORIZADOS!$A:$D,4,FALSE)="","",VLOOKUP(A2772,[18]PRIORIZADOS!$A:$D,4,FALSE)),"")</f>
        <v>PRIVADO</v>
      </c>
      <c r="E2772" s="11" t="str">
        <f>IFERROR(IF(VLOOKUP(A2772,[18]PRIORIZADOS!$A:$E,5,FALSE)="","",VLOOKUP(A2772,[18]PRIORIZADOS!$A:$E,5,FALSE)),"")</f>
        <v>EPBM</v>
      </c>
      <c r="F2772" s="11" t="str">
        <f>IFERROR(IF(VLOOKUP(A2772,[18]PRIORIZADOS!$A:$F,6,FALSE)="","",VLOOKUP(A2772,[18]PRIORIZADOS!$A:$F,6,FALSE)),"")</f>
        <v>LICEO_LATINOAMERICANO_DEL_SUR</v>
      </c>
      <c r="G2772" s="11" t="str">
        <f>IFERROR(IF(VLOOKUP(A2772,[18]PRIORIZADOS!$A:$G,7,FALSE)="","",VLOOKUP(A2772,[18]PRIORIZADOS!$A:$G,7,FALSE)),"")</f>
        <v>LICEO LATINOAMERICANO DEL SUR</v>
      </c>
      <c r="H2772" s="11" t="str">
        <f>IFERROR(IF(VLOOKUP(A2772,[18]PRIORIZADOS!$A:$H,8,FALSE)="","",VLOOKUP(A2772,[18]PRIORIZADOS!$A:$H,8,FALSE)),"")</f>
        <v>Autoevaluación Institucional y Pruebas SABER 11</v>
      </c>
      <c r="I2772" s="11" t="str">
        <f>IFERROR(IF(VLOOKUP(A2772,[18]PRIORIZADOS!$A:$I,9,FALSE)="","",VLOOKUP(A2772,[18]PRIORIZADOS!$A:$I,9,FALSE)),"")</f>
        <v>SEGUIMIENTO_Y_SUPERVISIÓN.</v>
      </c>
      <c r="J2772" s="11" t="str">
        <f>IFERROR(IF(VLOOKUP(A2772,[18]PRIORIZADOS!$A:$J,10,FALSE)="","",VLOOKUP(A2772,[18]PRIORIZADOS!$A:$J,10,FALSE)),"")</f>
        <v xml:space="preserve">Verificar la implementación por parte de los colegios, de acciones realizadas para la prevención y atención de las situaciones de convivencia en el entorno escolar, según lo establecido en la Directiva 01 de 2022 del MEN. </v>
      </c>
      <c r="K2772" s="11" t="str">
        <f>IFERROR(IF(VLOOKUP(A2772,[18]PRIORIZADOS!$A:$K,11,FALSE)="","",VLOOKUP(A2772,[18]PRIORIZADOS!$A:$K,11,FALSE)),"")</f>
        <v>KATHERINE HERNÁNDEZ RUBIANO</v>
      </c>
      <c r="L2772" s="11" t="str">
        <f>IFERROR(IF(VLOOKUP(A2772,[18]PRIORIZADOS!$A:$L,12,FALSE)="","",VLOOKUP(A2772,[18]PRIORIZADOS!$A:$L,12,FALSE)),"")</f>
        <v>FRANCY LORENA RODRIGUEZ CASTRO</v>
      </c>
      <c r="M2772" s="71">
        <f>IFERROR(IF(VLOOKUP(A2772,[18]PRIORIZADOS!$A:$M,13,FALSE)="","",VLOOKUP(A2772,[18]PRIORIZADOS!$A:$M,13,FALSE)),"")</f>
        <v>45916</v>
      </c>
      <c r="N2772" s="71">
        <f>IFERROR(IF(VLOOKUP(A2772,[18]PRIORIZADOS!$A:$N,14,FALSE)="","",VLOOKUP(A2772,[18]PRIORIZADOS!$A:$N,14,FALSE)),"")</f>
        <v>45901</v>
      </c>
      <c r="O2772" s="71">
        <f>IFERROR(IF(VLOOKUP(A2772,[18]PRIORIZADOS!$A:$O,15,FALSE)="","",VLOOKUP(A2772,[18]PRIORIZADOS!$A:$O,15,FALSE)),"")</f>
        <v>45902</v>
      </c>
      <c r="P2772" s="11" t="str">
        <f>IFERROR(IF(VLOOKUP(A2772,[18]PRIORIZADOS!$A:$P,16,FALSE)="","",VLOOKUP(A2772,[18]PRIORIZADOS!$A:$P,16,FALSE)),"")</f>
        <v>Visitas de evaluación con fines de mejoramiento</v>
      </c>
      <c r="Q2772" s="2" t="s">
        <v>528</v>
      </c>
      <c r="R2772" s="11" t="str">
        <f>IFERROR(IF(VLOOKUP(A2772,[18]PRIORIZADOS!$A:$R,18,FALSE)="","",VLOOKUP(A2772,[18]PRIORIZADOS!$A:$R,18,FALSE)),"")</f>
        <v xml:space="preserve">La institución Educativa no cuenta con el proyecto transversal de educación sexual ni actas que evidencien la operatividad del Comité de Convivencia Escolar </v>
      </c>
      <c r="S2772" s="11" t="str">
        <f>IFERROR(IF(VLOOKUP(A2772,[18]PRIORIZADOS!$A:$S,19,FALSE)="","",VLOOKUP(A2772,[18]PRIORIZADOS!$A:$S,19,FALSE)),"")</f>
        <v>La institución educativa se compromete a actualizar los proyectos transversales y  formalizar el comité de convivencia escolar, formular el proyecto de orientación escolar.</v>
      </c>
      <c r="T2772" s="70" t="str">
        <f>IFERROR(IF(VLOOKUP(A2772,[18]PRIORIZADOS!$A:$T,20,FALSE)="","",VLOOKUP(A2772,[18]PRIORIZADOS!$A:$T,20,FALSE)),"")</f>
        <v>Si</v>
      </c>
      <c r="U2772" s="11" t="str">
        <f>IFERROR(IF(VLOOKUP(A2772,[18]PRIORIZADOS!$A:$U,21,FALSE)="","",VLOOKUP(A2772,[18]PRIORIZADOS!$A:$U,21,FALSE)),"")</f>
        <v>Visita de segumiento primer trimestre de 2026</v>
      </c>
    </row>
    <row r="2773" spans="1:21" s="1" customFormat="1" ht="72">
      <c r="A2773" s="69">
        <f>IF([18]PRIORIZADOS!A116="","",[18]PRIORIZADOS!A116)</f>
        <v>2762</v>
      </c>
      <c r="B2773" s="70">
        <f>IFERROR(IF(VLOOKUP(A2773,[18]PRIORIZADOS!$A:$B,2,FALSE)="","",VLOOKUP(A2773,[18]PRIORIZADOS!$A:$B,2,FALSE)),"")</f>
        <v>13</v>
      </c>
      <c r="C2773" s="11" t="str">
        <f>IFERROR(IF(VLOOKUP(A2773,[18]PRIORIZADOS!$A:$C,3,FALSE)="","",VLOOKUP(A2773,[18]PRIORIZADOS!$A:$C,3,FALSE)),"")</f>
        <v>USME</v>
      </c>
      <c r="D2773" s="11" t="str">
        <f>IFERROR(IF(VLOOKUP(A2773,[18]PRIORIZADOS!$A:$D,4,FALSE)="","",VLOOKUP(A2773,[18]PRIORIZADOS!$A:$D,4,FALSE)),"")</f>
        <v>PRIVADO</v>
      </c>
      <c r="E2773" s="11" t="str">
        <f>IFERROR(IF(VLOOKUP(A2773,[18]PRIORIZADOS!$A:$E,5,FALSE)="","",VLOOKUP(A2773,[18]PRIORIZADOS!$A:$E,5,FALSE)),"")</f>
        <v>EPBM</v>
      </c>
      <c r="F2773" s="11" t="str">
        <f>IFERROR(IF(VLOOKUP(A2773,[18]PRIORIZADOS!$A:$F,6,FALSE)="","",VLOOKUP(A2773,[18]PRIORIZADOS!$A:$F,6,FALSE)),"")</f>
        <v>LICEO_LATINOAMERICANO_DEL_SUR</v>
      </c>
      <c r="G2773" s="11" t="str">
        <f>IFERROR(IF(VLOOKUP(A2773,[18]PRIORIZADOS!$A:$G,7,FALSE)="","",VLOOKUP(A2773,[18]PRIORIZADOS!$A:$G,7,FALSE)),"")</f>
        <v>LICEO LATINOAMERICANO DEL SUR</v>
      </c>
      <c r="H2773" s="11" t="str">
        <f>IFERROR(IF(VLOOKUP(A2773,[18]PRIORIZADOS!$A:$H,8,FALSE)="","",VLOOKUP(A2773,[18]PRIORIZADOS!$A:$H,8,FALSE)),"")</f>
        <v>Autoevaluación Institucional y Pruebas SABER 11</v>
      </c>
      <c r="I2773" s="11" t="str">
        <f>IFERROR(IF(VLOOKUP(A2773,[18]PRIORIZADOS!$A:$I,9,FALSE)="","",VLOOKUP(A2773,[18]PRIORIZADOS!$A:$I,9,FALSE)),"")</f>
        <v>SEGUIMIENTO_Y_SUPERVISIÓN.</v>
      </c>
      <c r="J2773" s="11" t="str">
        <f>IFERROR(IF(VLOOKUP(A2773,[18]PRIORIZADOS!$A:$J,10,FALSE)="","",VLOOKUP(A2773,[18]PRIORIZADOS!$A:$J,10,FALSE)),"")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73" s="11" t="str">
        <f>IFERROR(IF(VLOOKUP(A2773,[18]PRIORIZADOS!$A:$K,11,FALSE)="","",VLOOKUP(A2773,[18]PRIORIZADOS!$A:$K,11,FALSE)),"")</f>
        <v>KATHERINE HERNÁNDEZ RUBIANO</v>
      </c>
      <c r="L2773" s="11" t="str">
        <f>IFERROR(IF(VLOOKUP(A2773,[18]PRIORIZADOS!$A:$L,12,FALSE)="","",VLOOKUP(A2773,[18]PRIORIZADOS!$A:$L,12,FALSE)),"")</f>
        <v>FRANCY LORENA RODRIGUEZ CASTRO</v>
      </c>
      <c r="M2773" s="71">
        <f>IFERROR(IF(VLOOKUP(A2773,[18]PRIORIZADOS!$A:$M,13,FALSE)="","",VLOOKUP(A2773,[18]PRIORIZADOS!$A:$M,13,FALSE)),"")</f>
        <v>45916</v>
      </c>
      <c r="N2773" s="71">
        <f>IFERROR(IF(VLOOKUP(A2773,[18]PRIORIZADOS!$A:$N,14,FALSE)="","",VLOOKUP(A2773,[18]PRIORIZADOS!$A:$N,14,FALSE)),"")</f>
        <v>45901</v>
      </c>
      <c r="O2773" s="71">
        <f>IFERROR(IF(VLOOKUP(A2773,[18]PRIORIZADOS!$A:$O,15,FALSE)="","",VLOOKUP(A2773,[18]PRIORIZADOS!$A:$O,15,FALSE)),"")</f>
        <v>45902</v>
      </c>
      <c r="P2773" s="11" t="str">
        <f>IFERROR(IF(VLOOKUP(A2773,[18]PRIORIZADOS!$A:$P,16,FALSE)="","",VLOOKUP(A2773,[18]PRIORIZADOS!$A:$P,16,FALSE)),"")</f>
        <v>Visitas de evaluación con fines de mejoramiento</v>
      </c>
      <c r="Q2773" s="2" t="s">
        <v>528</v>
      </c>
      <c r="R2773" s="11" t="str">
        <f>IFERROR(IF(VLOOKUP(A2773,[18]PRIORIZADOS!$A:$R,18,FALSE)="","",VLOOKUP(A2773,[18]PRIORIZADOS!$A:$R,18,FALSE)),"")</f>
        <v xml:space="preserve">En la revisión documental indica que tiene  7 estudiantes como matricula de inclusión para la presente vigencia, sin embargo </v>
      </c>
      <c r="S2773" s="11" t="str">
        <f>IFERROR(IF(VLOOKUP(A2773,[18]PRIORIZADOS!$A:$S,19,FALSE)="","",VLOOKUP(A2773,[18]PRIORIZADOS!$A:$S,19,FALSE)),"")</f>
        <v>La institución educativa, incluirá en su plan de Mejoramiento Institucional, el abordaje de esta situación</v>
      </c>
      <c r="T2773" s="70" t="str">
        <f>IFERROR(IF(VLOOKUP(A2773,[18]PRIORIZADOS!$A:$T,20,FALSE)="","",VLOOKUP(A2773,[18]PRIORIZADOS!$A:$T,20,FALSE)),"")</f>
        <v>Si</v>
      </c>
      <c r="U2773" s="11" t="str">
        <f>IFERROR(IF(VLOOKUP(A2773,[18]PRIORIZADOS!$A:$U,21,FALSE)="","",VLOOKUP(A2773,[18]PRIORIZADOS!$A:$U,21,FALSE)),"")</f>
        <v>Visita de seguimiento primer trismestre de 2026</v>
      </c>
    </row>
    <row r="2774" spans="1:21" s="1" customFormat="1" ht="84">
      <c r="A2774" s="69">
        <f>IF([18]PRIORIZADOS!A117="","",[18]PRIORIZADOS!A117)</f>
        <v>2763</v>
      </c>
      <c r="B2774" s="70">
        <f>IFERROR(IF(VLOOKUP(A2774,[18]PRIORIZADOS!$A:$B,2,FALSE)="","",VLOOKUP(A2774,[18]PRIORIZADOS!$A:$B,2,FALSE)),"")</f>
        <v>13</v>
      </c>
      <c r="C2774" s="11" t="str">
        <f>IFERROR(IF(VLOOKUP(A2774,[18]PRIORIZADOS!$A:$C,3,FALSE)="","",VLOOKUP(A2774,[18]PRIORIZADOS!$A:$C,3,FALSE)),"")</f>
        <v>USME</v>
      </c>
      <c r="D2774" s="11" t="str">
        <f>IFERROR(IF(VLOOKUP(A2774,[18]PRIORIZADOS!$A:$D,4,FALSE)="","",VLOOKUP(A2774,[18]PRIORIZADOS!$A:$D,4,FALSE)),"")</f>
        <v>PRIVADO</v>
      </c>
      <c r="E2774" s="11" t="str">
        <f>IFERROR(IF(VLOOKUP(A2774,[18]PRIORIZADOS!$A:$E,5,FALSE)="","",VLOOKUP(A2774,[18]PRIORIZADOS!$A:$E,5,FALSE)),"")</f>
        <v>EPBM</v>
      </c>
      <c r="F2774" s="11" t="str">
        <f>IFERROR(IF(VLOOKUP(A2774,[18]PRIORIZADOS!$A:$F,6,FALSE)="","",VLOOKUP(A2774,[18]PRIORIZADOS!$A:$F,6,FALSE)),"")</f>
        <v>LICEO_LATINOAMERICANO_DEL_SUR</v>
      </c>
      <c r="G2774" s="11" t="str">
        <f>IFERROR(IF(VLOOKUP(A2774,[18]PRIORIZADOS!$A:$G,7,FALSE)="","",VLOOKUP(A2774,[18]PRIORIZADOS!$A:$G,7,FALSE)),"")</f>
        <v>LICEO LATINOAMERICANO DEL SUR</v>
      </c>
      <c r="H2774" s="11" t="str">
        <f>IFERROR(IF(VLOOKUP(A2774,[18]PRIORIZADOS!$A:$H,8,FALSE)="","",VLOOKUP(A2774,[18]PRIORIZADOS!$A:$H,8,FALSE)),"")</f>
        <v>Autoevaluación Institucional y Pruebas SABER 11</v>
      </c>
      <c r="I2774" s="11" t="str">
        <f>IFERROR(IF(VLOOKUP(A2774,[18]PRIORIZADOS!$A:$I,9,FALSE)="","",VLOOKUP(A2774,[18]PRIORIZADOS!$A:$I,9,FALSE)),"")</f>
        <v>EVALUACIÓN_CON_FINES_DE_MEJORAMIENTO.</v>
      </c>
      <c r="J2774" s="11" t="str">
        <f>IFERROR(IF(VLOOKUP(A2774,[18]PRIORIZADOS!$A:$J,10,FALSE)="","",VLOOKUP(A2774,[18]PRIORIZADOS!$A:$J,10,FALSE)),"")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74" s="11" t="str">
        <f>IFERROR(IF(VLOOKUP(A2774,[18]PRIORIZADOS!$A:$K,11,FALSE)="","",VLOOKUP(A2774,[18]PRIORIZADOS!$A:$K,11,FALSE)),"")</f>
        <v>KATHERINE HERNÁNDEZ RUBIANO</v>
      </c>
      <c r="L2774" s="11" t="str">
        <f>IFERROR(IF(VLOOKUP(A2774,[18]PRIORIZADOS!$A:$L,12,FALSE)="","",VLOOKUP(A2774,[18]PRIORIZADOS!$A:$L,12,FALSE)),"")</f>
        <v>FRANCY LORENA RODRIGUEZ CASTRO</v>
      </c>
      <c r="M2774" s="71">
        <f>IFERROR(IF(VLOOKUP(A2774,[18]PRIORIZADOS!$A:$M,13,FALSE)="","",VLOOKUP(A2774,[18]PRIORIZADOS!$A:$M,13,FALSE)),"")</f>
        <v>45916</v>
      </c>
      <c r="N2774" s="71">
        <f>IFERROR(IF(VLOOKUP(A2774,[18]PRIORIZADOS!$A:$N,14,FALSE)="","",VLOOKUP(A2774,[18]PRIORIZADOS!$A:$N,14,FALSE)),"")</f>
        <v>45901</v>
      </c>
      <c r="O2774" s="71">
        <f>IFERROR(IF(VLOOKUP(A2774,[18]PRIORIZADOS!$A:$O,15,FALSE)="","",VLOOKUP(A2774,[18]PRIORIZADOS!$A:$O,15,FALSE)),"")</f>
        <v>45902</v>
      </c>
      <c r="P2774" s="11" t="str">
        <f>IFERROR(IF(VLOOKUP(A2774,[18]PRIORIZADOS!$A:$P,16,FALSE)="","",VLOOKUP(A2774,[18]PRIORIZADOS!$A:$P,16,FALSE)),"")</f>
        <v>Visitas de evaluación con fines de mejoramiento</v>
      </c>
      <c r="Q2774" s="2" t="s">
        <v>528</v>
      </c>
      <c r="R2774" s="11" t="str">
        <f>IFERROR(IF(VLOOKUP(A2774,[18]PRIORIZADOS!$A:$R,18,FALSE)="","",VLOOKUP(A2774,[18]PRIORIZADOS!$A:$R,18,FALSE)),"")</f>
        <v>Revisión del Manual de convivencia escolar, el cual requiere ajustes en cuanto a los términos empleados , la inclusión del debido proceso y el ajuste normativo general.</v>
      </c>
      <c r="S2774" s="11" t="str">
        <f>IFERROR(IF(VLOOKUP(A2774,[18]PRIORIZADOS!$A:$S,19,FALSE)="","",VLOOKUP(A2774,[18]PRIORIZADOS!$A:$S,19,FALSE)),"")</f>
        <v>La institución educativa se compromete a hacer la revisión y actualización del Manual de Convivencia</v>
      </c>
      <c r="T2774" s="70" t="str">
        <f>IFERROR(IF(VLOOKUP(A2774,[18]PRIORIZADOS!$A:$T,20,FALSE)="","",VLOOKUP(A2774,[18]PRIORIZADOS!$A:$T,20,FALSE)),"")</f>
        <v>Si</v>
      </c>
      <c r="U2774" s="11" t="str">
        <f>IFERROR(IF(VLOOKUP(A2774,[18]PRIORIZADOS!$A:$U,21,FALSE)="","",VLOOKUP(A2774,[18]PRIORIZADOS!$A:$U,21,FALSE)),"")</f>
        <v>Revisión documental noviembre de 2025.</v>
      </c>
    </row>
    <row r="2775" spans="1:21" s="1" customFormat="1" ht="60">
      <c r="A2775" s="69">
        <f>IF([18]PRIORIZADOS!A118="","",[18]PRIORIZADOS!A118)</f>
        <v>2764</v>
      </c>
      <c r="B2775" s="70">
        <f>IFERROR(IF(VLOOKUP(A2775,[18]PRIORIZADOS!$A:$B,2,FALSE)="","",VLOOKUP(A2775,[18]PRIORIZADOS!$A:$B,2,FALSE)),"")</f>
        <v>13</v>
      </c>
      <c r="C2775" s="11" t="str">
        <f>IFERROR(IF(VLOOKUP(A2775,[18]PRIORIZADOS!$A:$C,3,FALSE)="","",VLOOKUP(A2775,[18]PRIORIZADOS!$A:$C,3,FALSE)),"")</f>
        <v>USME</v>
      </c>
      <c r="D2775" s="11" t="str">
        <f>IFERROR(IF(VLOOKUP(A2775,[18]PRIORIZADOS!$A:$D,4,FALSE)="","",VLOOKUP(A2775,[18]PRIORIZADOS!$A:$D,4,FALSE)),"")</f>
        <v>PRIVADO</v>
      </c>
      <c r="E2775" s="11" t="str">
        <f>IFERROR(IF(VLOOKUP(A2775,[18]PRIORIZADOS!$A:$E,5,FALSE)="","",VLOOKUP(A2775,[18]PRIORIZADOS!$A:$E,5,FALSE)),"")</f>
        <v>EPBM</v>
      </c>
      <c r="F2775" s="11" t="str">
        <f>IFERROR(IF(VLOOKUP(A2775,[18]PRIORIZADOS!$A:$F,6,FALSE)="","",VLOOKUP(A2775,[18]PRIORIZADOS!$A:$F,6,FALSE)),"")</f>
        <v>LICEO_LATINOAMERICANO_DEL_SUR</v>
      </c>
      <c r="G2775" s="11" t="str">
        <f>IFERROR(IF(VLOOKUP(A2775,[18]PRIORIZADOS!$A:$G,7,FALSE)="","",VLOOKUP(A2775,[18]PRIORIZADOS!$A:$G,7,FALSE)),"")</f>
        <v>LICEO LATINOAMERICANO DEL SUR</v>
      </c>
      <c r="H2775" s="11" t="str">
        <f>IFERROR(IF(VLOOKUP(A2775,[18]PRIORIZADOS!$A:$H,8,FALSE)="","",VLOOKUP(A2775,[18]PRIORIZADOS!$A:$H,8,FALSE)),"")</f>
        <v>Autoevaluación Institucional y Pruebas SABER 11</v>
      </c>
      <c r="I2775" s="11" t="str">
        <f>IFERROR(IF(VLOOKUP(A2775,[18]PRIORIZADOS!$A:$I,9,FALSE)="","",VLOOKUP(A2775,[18]PRIORIZADOS!$A:$I,9,FALSE)),"")</f>
        <v>EVALUACIÓN_CON_FINES_DE_MEJORAMIENTO.</v>
      </c>
      <c r="J2775" s="11" t="str">
        <f>IFERROR(IF(VLOOKUP(A2775,[18]PRIORIZADOS!$A:$J,10,FALSE)="","",VLOOKUP(A2775,[18]PRIORIZADOS!$A:$J,10,FALSE)),"")</f>
        <v>Revisar la actualización, socialización e implementación del Sistema Institucional de Evaluación de Estudiantes - SIEE, en articulación con la actualización del PEI y la normatividad vigente.</v>
      </c>
      <c r="K2775" s="11" t="str">
        <f>IFERROR(IF(VLOOKUP(A2775,[18]PRIORIZADOS!$A:$K,11,FALSE)="","",VLOOKUP(A2775,[18]PRIORIZADOS!$A:$K,11,FALSE)),"")</f>
        <v>KATHERINE HERNÁNDEZ RUBIANO</v>
      </c>
      <c r="L2775" s="11" t="str">
        <f>IFERROR(IF(VLOOKUP(A2775,[18]PRIORIZADOS!$A:$L,12,FALSE)="","",VLOOKUP(A2775,[18]PRIORIZADOS!$A:$L,12,FALSE)),"")</f>
        <v>FRANCY LORENA RODRIGUEZ CASTRO</v>
      </c>
      <c r="M2775" s="71">
        <f>IFERROR(IF(VLOOKUP(A2775,[18]PRIORIZADOS!$A:$M,13,FALSE)="","",VLOOKUP(A2775,[18]PRIORIZADOS!$A:$M,13,FALSE)),"")</f>
        <v>45916</v>
      </c>
      <c r="N2775" s="71">
        <f>IFERROR(IF(VLOOKUP(A2775,[18]PRIORIZADOS!$A:$N,14,FALSE)="","",VLOOKUP(A2775,[18]PRIORIZADOS!$A:$N,14,FALSE)),"")</f>
        <v>45901</v>
      </c>
      <c r="O2775" s="71">
        <f>IFERROR(IF(VLOOKUP(A2775,[18]PRIORIZADOS!$A:$O,15,FALSE)="","",VLOOKUP(A2775,[18]PRIORIZADOS!$A:$O,15,FALSE)),"")</f>
        <v>45902</v>
      </c>
      <c r="P2775" s="11" t="str">
        <f>IFERROR(IF(VLOOKUP(A2775,[18]PRIORIZADOS!$A:$P,16,FALSE)="","",VLOOKUP(A2775,[18]PRIORIZADOS!$A:$P,16,FALSE)),"")</f>
        <v>Visitas de evaluación con fines de mejoramiento</v>
      </c>
      <c r="Q2775" s="2" t="s">
        <v>528</v>
      </c>
      <c r="R2775" s="11" t="str">
        <f>IFERROR(IF(VLOOKUP(A2775,[18]PRIORIZADOS!$A:$R,18,FALSE)="","",VLOOKUP(A2775,[18]PRIORIZADOS!$A:$R,18,FALSE)),"")</f>
        <v>En la revisión del SIEE se identifica que no hay una relación entre su formulación y su ejecución, adicional no cuenta con estrategias para resolver situaciones pedagógicas en el aula.</v>
      </c>
      <c r="S2775" s="11" t="str">
        <f>IFERROR(IF(VLOOKUP(A2775,[18]PRIORIZADOS!$A:$S,19,FALSE)="","",VLOOKUP(A2775,[18]PRIORIZADOS!$A:$S,19,FALSE)),"")</f>
        <v>La institución educativa se compromete a justar el SIEE a la normatividad vigente.</v>
      </c>
      <c r="T2775" s="70" t="str">
        <f>IFERROR(IF(VLOOKUP(A2775,[18]PRIORIZADOS!$A:$T,20,FALSE)="","",VLOOKUP(A2775,[18]PRIORIZADOS!$A:$T,20,FALSE)),"")</f>
        <v>Si</v>
      </c>
      <c r="U2775" s="11" t="str">
        <f>IFERROR(IF(VLOOKUP(A2775,[18]PRIORIZADOS!$A:$U,21,FALSE)="","",VLOOKUP(A2775,[18]PRIORIZADOS!$A:$U,21,FALSE)),"")</f>
        <v>Revisión documental noviembre de 2025.</v>
      </c>
    </row>
    <row r="2776" spans="1:21" s="1" customFormat="1" ht="48">
      <c r="A2776" s="69">
        <f>IF([18]PRIORIZADOS!A119="","",[18]PRIORIZADOS!A119)</f>
        <v>2765</v>
      </c>
      <c r="B2776" s="70">
        <f>IFERROR(IF(VLOOKUP(A2776,[18]PRIORIZADOS!$A:$B,2,FALSE)="","",VLOOKUP(A2776,[18]PRIORIZADOS!$A:$B,2,FALSE)),"")</f>
        <v>13</v>
      </c>
      <c r="C2776" s="11" t="str">
        <f>IFERROR(IF(VLOOKUP(A2776,[18]PRIORIZADOS!$A:$C,3,FALSE)="","",VLOOKUP(A2776,[18]PRIORIZADOS!$A:$C,3,FALSE)),"")</f>
        <v>USME</v>
      </c>
      <c r="D2776" s="11" t="str">
        <f>IFERROR(IF(VLOOKUP(A2776,[18]PRIORIZADOS!$A:$D,4,FALSE)="","",VLOOKUP(A2776,[18]PRIORIZADOS!$A:$D,4,FALSE)),"")</f>
        <v>PRIVADO</v>
      </c>
      <c r="E2776" s="11" t="str">
        <f>IFERROR(IF(VLOOKUP(A2776,[18]PRIORIZADOS!$A:$E,5,FALSE)="","",VLOOKUP(A2776,[18]PRIORIZADOS!$A:$E,5,FALSE)),"")</f>
        <v>EPBM</v>
      </c>
      <c r="F2776" s="11" t="str">
        <f>IFERROR(IF(VLOOKUP(A2776,[18]PRIORIZADOS!$A:$F,6,FALSE)="","",VLOOKUP(A2776,[18]PRIORIZADOS!$A:$F,6,FALSE)),"")</f>
        <v>LICEO_LATINOAMERICANO_DEL_SUR</v>
      </c>
      <c r="G2776" s="11" t="str">
        <f>IFERROR(IF(VLOOKUP(A2776,[18]PRIORIZADOS!$A:$G,7,FALSE)="","",VLOOKUP(A2776,[18]PRIORIZADOS!$A:$G,7,FALSE)),"")</f>
        <v>LICEO LATINOAMERICANO DEL SUR</v>
      </c>
      <c r="H2776" s="11" t="str">
        <f>IFERROR(IF(VLOOKUP(A2776,[18]PRIORIZADOS!$A:$H,8,FALSE)="","",VLOOKUP(A2776,[18]PRIORIZADOS!$A:$H,8,FALSE)),"")</f>
        <v>Autoevaluación Institucional y Pruebas SABER 11</v>
      </c>
      <c r="I2776" s="11" t="str">
        <f>IFERROR(IF(VLOOKUP(A2776,[18]PRIORIZADOS!$A:$I,9,FALSE)="","",VLOOKUP(A2776,[18]PRIORIZADOS!$A:$I,9,FALSE)),"")</f>
        <v>EVALUACIÓN_CON_FINES_DE_MEJORAMIENTO.</v>
      </c>
      <c r="J2776" s="11" t="str">
        <f>IFERROR(IF(VLOOKUP(A2776,[18]PRIORIZADOS!$A:$J,10,FALSE)="","",VLOOKUP(A2776,[18]PRIORIZADOS!$A:$J,10,FALSE)),"")</f>
        <v>Revisar el calendario escolar, jornada escolar, la intensidad horaria mínima anual en cada nivel y las modificaciones que se realicen al mismo, de acuerdo con lo previsto en la normatividad vigente.</v>
      </c>
      <c r="K2776" s="11" t="str">
        <f>IFERROR(IF(VLOOKUP(A2776,[18]PRIORIZADOS!$A:$K,11,FALSE)="","",VLOOKUP(A2776,[18]PRIORIZADOS!$A:$K,11,FALSE)),"")</f>
        <v>KATHERINE HERNÁNDEZ RUBIANO</v>
      </c>
      <c r="L2776" s="11" t="str">
        <f>IFERROR(IF(VLOOKUP(A2776,[18]PRIORIZADOS!$A:$L,12,FALSE)="","",VLOOKUP(A2776,[18]PRIORIZADOS!$A:$L,12,FALSE)),"")</f>
        <v>FRANCY LORENA RODRIGUEZ CASTRO</v>
      </c>
      <c r="M2776" s="71">
        <f>IFERROR(IF(VLOOKUP(A2776,[18]PRIORIZADOS!$A:$M,13,FALSE)="","",VLOOKUP(A2776,[18]PRIORIZADOS!$A:$M,13,FALSE)),"")</f>
        <v>45916</v>
      </c>
      <c r="N2776" s="71">
        <f>IFERROR(IF(VLOOKUP(A2776,[18]PRIORIZADOS!$A:$N,14,FALSE)="","",VLOOKUP(A2776,[18]PRIORIZADOS!$A:$N,14,FALSE)),"")</f>
        <v>45901</v>
      </c>
      <c r="O2776" s="71">
        <f>IFERROR(IF(VLOOKUP(A2776,[18]PRIORIZADOS!$A:$O,15,FALSE)="","",VLOOKUP(A2776,[18]PRIORIZADOS!$A:$O,15,FALSE)),"")</f>
        <v>45902</v>
      </c>
      <c r="P2776" s="11" t="str">
        <f>IFERROR(IF(VLOOKUP(A2776,[18]PRIORIZADOS!$A:$P,16,FALSE)="","",VLOOKUP(A2776,[18]PRIORIZADOS!$A:$P,16,FALSE)),"")</f>
        <v>Visitas de evaluación con fines de mejoramiento</v>
      </c>
      <c r="Q2776" s="2" t="s">
        <v>528</v>
      </c>
      <c r="R2776" s="11" t="str">
        <f>IFERROR(IF(VLOOKUP(A2776,[18]PRIORIZADOS!$A:$R,18,FALSE)="","",VLOOKUP(A2776,[18]PRIORIZADOS!$A:$R,18,FALSE)),"")</f>
        <v>En la revisión de la carga académica, se identifica que la intensidad horaria de media técnica que tiene aprobada por resolución no se cumple</v>
      </c>
      <c r="S2776" s="11" t="str">
        <f>IFERROR(IF(VLOOKUP(A2776,[18]PRIORIZADOS!$A:$S,19,FALSE)="","",VLOOKUP(A2776,[18]PRIORIZADOS!$A:$S,19,FALSE)),"")</f>
        <v>La institución educativa, se compromete a incorporar el ajuste en su PMI</v>
      </c>
      <c r="T2776" s="70" t="str">
        <f>IFERROR(IF(VLOOKUP(A2776,[18]PRIORIZADOS!$A:$T,20,FALSE)="","",VLOOKUP(A2776,[18]PRIORIZADOS!$A:$T,20,FALSE)),"")</f>
        <v>Si</v>
      </c>
      <c r="U2776" s="11" t="str">
        <f>IFERROR(IF(VLOOKUP(A2776,[18]PRIORIZADOS!$A:$U,21,FALSE)="","",VLOOKUP(A2776,[18]PRIORIZADOS!$A:$U,21,FALSE)),"")</f>
        <v>Revisión documental noviembre de 2025.</v>
      </c>
    </row>
    <row r="2777" spans="1:21" s="1" customFormat="1" ht="48">
      <c r="A2777" s="69">
        <f>IF([18]PRIORIZADOS!A120="","",[18]PRIORIZADOS!A120)</f>
        <v>2766</v>
      </c>
      <c r="B2777" s="70">
        <f>IFERROR(IF(VLOOKUP(A2777,[18]PRIORIZADOS!$A:$B,2,FALSE)="","",VLOOKUP(A2777,[18]PRIORIZADOS!$A:$B,2,FALSE)),"")</f>
        <v>13</v>
      </c>
      <c r="C2777" s="11" t="str">
        <f>IFERROR(IF(VLOOKUP(A2777,[18]PRIORIZADOS!$A:$C,3,FALSE)="","",VLOOKUP(A2777,[18]PRIORIZADOS!$A:$C,3,FALSE)),"")</f>
        <v>USME</v>
      </c>
      <c r="D2777" s="11" t="str">
        <f>IFERROR(IF(VLOOKUP(A2777,[18]PRIORIZADOS!$A:$D,4,FALSE)="","",VLOOKUP(A2777,[18]PRIORIZADOS!$A:$D,4,FALSE)),"")</f>
        <v>PRIVADO</v>
      </c>
      <c r="E2777" s="11" t="str">
        <f>IFERROR(IF(VLOOKUP(A2777,[18]PRIORIZADOS!$A:$E,5,FALSE)="","",VLOOKUP(A2777,[18]PRIORIZADOS!$A:$E,5,FALSE)),"")</f>
        <v>EPBM</v>
      </c>
      <c r="F2777" s="11" t="str">
        <f>IFERROR(IF(VLOOKUP(A2777,[18]PRIORIZADOS!$A:$F,6,FALSE)="","",VLOOKUP(A2777,[18]PRIORIZADOS!$A:$F,6,FALSE)),"")</f>
        <v>LICEO_LATINOAMERICANO_DEL_SUR</v>
      </c>
      <c r="G2777" s="11" t="str">
        <f>IFERROR(IF(VLOOKUP(A2777,[18]PRIORIZADOS!$A:$G,7,FALSE)="","",VLOOKUP(A2777,[18]PRIORIZADOS!$A:$G,7,FALSE)),"")</f>
        <v>LICEO LATINOAMERICANO DEL SUR</v>
      </c>
      <c r="H2777" s="11" t="str">
        <f>IFERROR(IF(VLOOKUP(A2777,[18]PRIORIZADOS!$A:$H,8,FALSE)="","",VLOOKUP(A2777,[18]PRIORIZADOS!$A:$H,8,FALSE)),"")</f>
        <v>Autoevaluación Institucional y Pruebas SABER 11</v>
      </c>
      <c r="I2777" s="11" t="str">
        <f>IFERROR(IF(VLOOKUP(A2777,[18]PRIORIZADOS!$A:$I,9,FALSE)="","",VLOOKUP(A2777,[18]PRIORIZADOS!$A:$I,9,FALSE)),"")</f>
        <v>EVALUACIÓN_CON_FINES_DE_MEJORAMIENTO.</v>
      </c>
      <c r="J2777" s="11" t="str">
        <f>IFERROR(IF(VLOOKUP(A2777,[18]PRIORIZADOS!$A:$J,10,FALSE)="","",VLOOKUP(A2777,[18]PRIORIZADOS!$A:$J,10,FALSE)),"")</f>
        <v>Verificar el funcionamiento del Gobierno Escolar e instancias de participación con base en la información sobre conformación reportada por la institución educativa.</v>
      </c>
      <c r="K2777" s="11" t="str">
        <f>IFERROR(IF(VLOOKUP(A2777,[18]PRIORIZADOS!$A:$K,11,FALSE)="","",VLOOKUP(A2777,[18]PRIORIZADOS!$A:$K,11,FALSE)),"")</f>
        <v>KATHERINE HERNÁNDEZ RUBIANO</v>
      </c>
      <c r="L2777" s="11" t="str">
        <f>IFERROR(IF(VLOOKUP(A2777,[18]PRIORIZADOS!$A:$L,12,FALSE)="","",VLOOKUP(A2777,[18]PRIORIZADOS!$A:$L,12,FALSE)),"")</f>
        <v>FRANCY LORENA RODRIGUEZ CASTRO</v>
      </c>
      <c r="M2777" s="71">
        <f>IFERROR(IF(VLOOKUP(A2777,[18]PRIORIZADOS!$A:$M,13,FALSE)="","",VLOOKUP(A2777,[18]PRIORIZADOS!$A:$M,13,FALSE)),"")</f>
        <v>45916</v>
      </c>
      <c r="N2777" s="71">
        <f>IFERROR(IF(VLOOKUP(A2777,[18]PRIORIZADOS!$A:$N,14,FALSE)="","",VLOOKUP(A2777,[18]PRIORIZADOS!$A:$N,14,FALSE)),"")</f>
        <v>45666</v>
      </c>
      <c r="O2777" s="71">
        <f>IFERROR(IF(VLOOKUP(A2777,[18]PRIORIZADOS!$A:$O,15,FALSE)="","",VLOOKUP(A2777,[18]PRIORIZADOS!$A:$O,15,FALSE)),"")</f>
        <v>45697</v>
      </c>
      <c r="P2777" s="11" t="str">
        <f>IFERROR(IF(VLOOKUP(A2777,[18]PRIORIZADOS!$A:$P,16,FALSE)="","",VLOOKUP(A2777,[18]PRIORIZADOS!$A:$P,16,FALSE)),"")</f>
        <v>Visitas de evaluación con fines de mejoramiento</v>
      </c>
      <c r="Q2777" s="2" t="s">
        <v>528</v>
      </c>
      <c r="R2777" s="11" t="str">
        <f>IFERROR(IF(VLOOKUP(A2777,[18]PRIORIZADOS!$A:$R,18,FALSE)="","",VLOOKUP(A2777,[18]PRIORIZADOS!$A:$R,18,FALSE)),"")</f>
        <v>No hay evidencia ni registro que el gobierno escolar e instancias se encuentren funcionando</v>
      </c>
      <c r="S2777" s="11" t="str">
        <f>IFERROR(IF(VLOOKUP(A2777,[18]PRIORIZADOS!$A:$S,19,FALSE)="","",VLOOKUP(A2777,[18]PRIORIZADOS!$A:$S,19,FALSE)),"")</f>
        <v>La institución educativa se compromete a formalizar las actas que den cuenta de la operatividad del gobierno escolar</v>
      </c>
      <c r="T2777" s="70" t="str">
        <f>IFERROR(IF(VLOOKUP(A2777,[18]PRIORIZADOS!$A:$T,20,FALSE)="","",VLOOKUP(A2777,[18]PRIORIZADOS!$A:$T,20,FALSE)),"")</f>
        <v>Si</v>
      </c>
      <c r="U2777" s="11" t="str">
        <f>IFERROR(IF(VLOOKUP(A2777,[18]PRIORIZADOS!$A:$U,21,FALSE)="","",VLOOKUP(A2777,[18]PRIORIZADOS!$A:$U,21,FALSE)),"")</f>
        <v>Revisión documental noviembre de 2025.</v>
      </c>
    </row>
    <row r="2778" spans="1:21" s="1" customFormat="1" ht="60">
      <c r="A2778" s="69">
        <f>IF([18]PRIORIZADOS!A121="","",[18]PRIORIZADOS!A121)</f>
        <v>2767</v>
      </c>
      <c r="B2778" s="70">
        <f>IFERROR(IF(VLOOKUP(A2778,[18]PRIORIZADOS!$A:$B,2,FALSE)="","",VLOOKUP(A2778,[18]PRIORIZADOS!$A:$B,2,FALSE)),"")</f>
        <v>13</v>
      </c>
      <c r="C2778" s="11" t="str">
        <f>IFERROR(IF(VLOOKUP(A2778,[18]PRIORIZADOS!$A:$C,3,FALSE)="","",VLOOKUP(A2778,[18]PRIORIZADOS!$A:$C,3,FALSE)),"")</f>
        <v>USME</v>
      </c>
      <c r="D2778" s="11" t="str">
        <f>IFERROR(IF(VLOOKUP(A2778,[18]PRIORIZADOS!$A:$D,4,FALSE)="","",VLOOKUP(A2778,[18]PRIORIZADOS!$A:$D,4,FALSE)),"")</f>
        <v>PRIVADO</v>
      </c>
      <c r="E2778" s="11" t="str">
        <f>IFERROR(IF(VLOOKUP(A2778,[18]PRIORIZADOS!$A:$E,5,FALSE)="","",VLOOKUP(A2778,[18]PRIORIZADOS!$A:$E,5,FALSE)),"")</f>
        <v>EPBM</v>
      </c>
      <c r="F2778" s="11" t="str">
        <f>IFERROR(IF(VLOOKUP(A2778,[18]PRIORIZADOS!$A:$F,6,FALSE)="","",VLOOKUP(A2778,[18]PRIORIZADOS!$A:$F,6,FALSE)),"")</f>
        <v>LICEO_LATINOAMERICANO_DEL_SUR</v>
      </c>
      <c r="G2778" s="11" t="str">
        <f>IFERROR(IF(VLOOKUP(A2778,[18]PRIORIZADOS!$A:$G,7,FALSE)="","",VLOOKUP(A2778,[18]PRIORIZADOS!$A:$G,7,FALSE)),"")</f>
        <v>LICEO LATINOAMERICANO DEL SUR</v>
      </c>
      <c r="H2778" s="11" t="str">
        <f>IFERROR(IF(VLOOKUP(A2778,[18]PRIORIZADOS!$A:$H,8,FALSE)="","",VLOOKUP(A2778,[18]PRIORIZADOS!$A:$H,8,FALSE)),"")</f>
        <v>Autoevaluación Institucional y Pruebas SABER 11</v>
      </c>
      <c r="I2778" s="11" t="str">
        <f>IFERROR(IF(VLOOKUP(A2778,[18]PRIORIZADOS!$A:$I,9,FALSE)="","",VLOOKUP(A2778,[18]PRIORIZADOS!$A:$I,9,FALSE)),"")</f>
        <v>EVALUACIÓN_CON_FINES_DE_MEJORAMIENTO.</v>
      </c>
      <c r="J2778" s="11" t="str">
        <f>IFERROR(IF(VLOOKUP(A2778,[18]PRIORIZADOS!$A:$J,10,FALSE)="","",VLOOKUP(A2778,[18]PRIORIZADOS!$A:$J,10,FALSE)),"")</f>
        <v>Verificar las condiciones en cuanto a: la estructura administrativa, condiciones de la planta física y medios educativos adecuados.</v>
      </c>
      <c r="K2778" s="11" t="str">
        <f>IFERROR(IF(VLOOKUP(A2778,[18]PRIORIZADOS!$A:$K,11,FALSE)="","",VLOOKUP(A2778,[18]PRIORIZADOS!$A:$K,11,FALSE)),"")</f>
        <v>KATHERINE HERNÁNDEZ RUBIANO</v>
      </c>
      <c r="L2778" s="11" t="str">
        <f>IFERROR(IF(VLOOKUP(A2778,[18]PRIORIZADOS!$A:$L,12,FALSE)="","",VLOOKUP(A2778,[18]PRIORIZADOS!$A:$L,12,FALSE)),"")</f>
        <v>FRANCY LORENA RODRIGUEZ CASTRO</v>
      </c>
      <c r="M2778" s="71">
        <f>IFERROR(IF(VLOOKUP(A2778,[18]PRIORIZADOS!$A:$M,13,FALSE)="","",VLOOKUP(A2778,[18]PRIORIZADOS!$A:$M,13,FALSE)),"")</f>
        <v>45916</v>
      </c>
      <c r="N2778" s="71">
        <f>IFERROR(IF(VLOOKUP(A2778,[18]PRIORIZADOS!$A:$N,14,FALSE)="","",VLOOKUP(A2778,[18]PRIORIZADOS!$A:$N,14,FALSE)),"")</f>
        <v>45666</v>
      </c>
      <c r="O2778" s="71">
        <f>IFERROR(IF(VLOOKUP(A2778,[18]PRIORIZADOS!$A:$O,15,FALSE)="","",VLOOKUP(A2778,[18]PRIORIZADOS!$A:$O,15,FALSE)),"")</f>
        <v>45697</v>
      </c>
      <c r="P2778" s="11" t="str">
        <f>IFERROR(IF(VLOOKUP(A2778,[18]PRIORIZADOS!$A:$P,16,FALSE)="","",VLOOKUP(A2778,[18]PRIORIZADOS!$A:$P,16,FALSE)),"")</f>
        <v>Visitas de evaluación con fines de mejoramiento</v>
      </c>
      <c r="Q2778" s="43" t="s">
        <v>528</v>
      </c>
      <c r="R2778" s="11" t="str">
        <f>IFERROR(IF(VLOOKUP(A2778,[18]PRIORIZADOS!$A:$R,18,FALSE)="","",VLOOKUP(A2778,[18]PRIORIZADOS!$A:$R,18,FALSE)),"")</f>
        <v>En recorrido por la planta física se identiicca que el establecimiento no cuenta con aaccesos adecuados para personas con discapacidad y que los extintores estan vencidos.</v>
      </c>
      <c r="S2778" s="11" t="str">
        <f>IFERROR(IF(VLOOKUP(A2778,[18]PRIORIZADOS!$A:$S,19,FALSE)="","",VLOOKUP(A2778,[18]PRIORIZADOS!$A:$S,19,FALSE)),"")</f>
        <v>La institucion educativa se compromete a validar la opción de hacer ajustes para el acceso  para las personas con discapacidad física y de inmediato hacer la renovación de los extintores</v>
      </c>
      <c r="T2778" s="70" t="str">
        <f>IFERROR(IF(VLOOKUP(A2778,[18]PRIORIZADOS!$A:$T,20,FALSE)="","",VLOOKUP(A2778,[18]PRIORIZADOS!$A:$T,20,FALSE)),"")</f>
        <v>Si</v>
      </c>
      <c r="U2778" s="11" t="str">
        <f>IFERROR(IF(VLOOKUP(A2778,[18]PRIORIZADOS!$A:$U,21,FALSE)="","",VLOOKUP(A2778,[18]PRIORIZADOS!$A:$U,21,FALSE)),"")</f>
        <v>Visita de seguimiento octubre de 2025</v>
      </c>
    </row>
    <row r="2779" spans="1:21" s="1" customFormat="1" ht="84">
      <c r="A2779" s="69">
        <f>IF([18]PRIORIZADOS!A122="","",[18]PRIORIZADOS!A122)</f>
        <v>2768</v>
      </c>
      <c r="B2779" s="70">
        <f>IFERROR(IF(VLOOKUP(A2779,[18]PRIORIZADOS!$A:$B,2,FALSE)="","",VLOOKUP(A2779,[18]PRIORIZADOS!$A:$B,2,FALSE)),"")</f>
        <v>14</v>
      </c>
      <c r="C2779" s="11" t="str">
        <f>IFERROR(IF(VLOOKUP(A2779,[18]PRIORIZADOS!$A:$C,3,FALSE)="","",VLOOKUP(A2779,[18]PRIORIZADOS!$A:$C,3,FALSE)),"")</f>
        <v>USME</v>
      </c>
      <c r="D2779" s="11" t="str">
        <f>IFERROR(IF(VLOOKUP(A2779,[18]PRIORIZADOS!$A:$D,4,FALSE)="","",VLOOKUP(A2779,[18]PRIORIZADOS!$A:$D,4,FALSE)),"")</f>
        <v>PRIVADO</v>
      </c>
      <c r="E2779" s="11" t="str">
        <f>IFERROR(IF(VLOOKUP(A2779,[18]PRIORIZADOS!$A:$E,5,FALSE)="","",VLOOKUP(A2779,[18]PRIORIZADOS!$A:$E,5,FALSE)),"")</f>
        <v>EPBM</v>
      </c>
      <c r="F2779" s="11" t="str">
        <f>IFERROR(IF(VLOOKUP(A2779,[18]PRIORIZADOS!$A:$F,6,FALSE)="","",VLOOKUP(A2779,[18]PRIORIZADOS!$A:$F,6,FALSE)),"")</f>
        <v>LICEO_ADOLFO_LEON_GOMEZ</v>
      </c>
      <c r="G2779" s="11" t="str">
        <f>IFERROR(IF(VLOOKUP(A2779,[18]PRIORIZADOS!$A:$G,7,FALSE)="","",VLOOKUP(A2779,[18]PRIORIZADOS!$A:$G,7,FALSE)),"")</f>
        <v>LICEO ADOLFO LEON GOMEZ</v>
      </c>
      <c r="H2779" s="11" t="str">
        <f>IFERROR(IF(VLOOKUP(A2779,[18]PRIORIZADOS!$A:$H,8,FALSE)="","",VLOOKUP(A2779,[18]PRIORIZADOS!$A:$H,8,FALSE)),"")</f>
        <v>Autoevaluación Institucional y Pruebas SABER 11</v>
      </c>
      <c r="I2779" s="11" t="str">
        <f>IFERROR(IF(VLOOKUP(A2779,[18]PRIORIZADOS!$A:$I,9,FALSE)="","",VLOOKUP(A2779,[18]PRIORIZADOS!$A:$I,9,FALSE)),"")</f>
        <v>SEGUIMIENTO_Y_SUPERVISIÓN.</v>
      </c>
      <c r="J2779" s="11" t="str">
        <f>IFERROR(IF(VLOOKUP(A2779,[18]PRIORIZADOS!$A:$J,10,FALSE)="","",VLOOKUP(A2779,[18]PRIORIZADOS!$A:$J,10,FALSE)),"")</f>
        <v>Realizar visitas para verificar la información registrada sobre la autoevaluación institucional en el aplicativo EVI, a los establecimientos de educación formal no oficial.</v>
      </c>
      <c r="K2779" s="11" t="str">
        <f>IFERROR(IF(VLOOKUP(A2779,[18]PRIORIZADOS!$A:$K,11,FALSE)="","",VLOOKUP(A2779,[18]PRIORIZADOS!$A:$K,11,FALSE)),"")</f>
        <v>MIGUEL ANTONIO CARO CARO</v>
      </c>
      <c r="L2779" s="11" t="str">
        <f>IFERROR(IF(VLOOKUP(A2779,[18]PRIORIZADOS!$A:$L,12,FALSE)="","",VLOOKUP(A2779,[18]PRIORIZADOS!$A:$L,12,FALSE)),"")</f>
        <v>FRANCY LORENA RODRIGUEZ CASTRO</v>
      </c>
      <c r="M2779" s="71">
        <f>IFERROR(IF(VLOOKUP(A2779,[18]PRIORIZADOS!$A:$M,13,FALSE)="","",VLOOKUP(A2779,[18]PRIORIZADOS!$A:$M,13,FALSE)),"")</f>
        <v>45930</v>
      </c>
      <c r="N2779" s="71">
        <f>IFERROR(IF(VLOOKUP(A2779,[18]PRIORIZADOS!$A:$N,14,FALSE)="","",VLOOKUP(A2779,[18]PRIORIZADOS!$A:$N,14,FALSE)),"")</f>
        <v>45894</v>
      </c>
      <c r="O2779" s="71">
        <f>IFERROR(IF(VLOOKUP(A2779,[18]PRIORIZADOS!$A:$O,15,FALSE)="","",VLOOKUP(A2779,[18]PRIORIZADOS!$A:$O,15,FALSE)),"")</f>
        <v>45894</v>
      </c>
      <c r="P2779" s="11" t="str">
        <f>IFERROR(IF(VLOOKUP(A2779,[18]PRIORIZADOS!$A:$P,16,FALSE)="","",VLOOKUP(A2779,[18]PRIORIZADOS!$A:$P,16,FALSE)),"")</f>
        <v>Visitas de evaluación con fines de mejoramiento</v>
      </c>
      <c r="Q2779" s="2" t="s">
        <v>529</v>
      </c>
      <c r="R2779" s="11" t="str">
        <f>IFERROR(IF(VLOOKUP(A2779,[18]PRIORIZADOS!$A:$R,18,FALSE)="","",VLOOKUP(A2779,[18]PRIORIZADOS!$A:$R,18,FALSE)),"")</f>
        <v>No se evidencia inconsitencias apreciables entre matricula y registero SIMATpara la jornada duirna. presta servicio para adultos, que no registro en EVI ni en SIMAT, la Rectora presta sus servicios adhonoren y no se pagan parafiscales a los docentes</v>
      </c>
      <c r="S2779" s="11" t="str">
        <f>IFERROR(IF(VLOOKUP(A2779,[18]PRIORIZADOS!$A:$S,19,FALSE)="","",VLOOKUP(A2779,[18]PRIORIZADOS!$A:$S,19,FALSE)),"")</f>
        <v>la institución se compromete a presentar un plan de mejoramiento para cada uno de los aspectos en que se realizó observaciones el 07 de octubre del 2025</v>
      </c>
      <c r="T2779" s="70" t="str">
        <f>IFERROR(IF(VLOOKUP(A2779,[18]PRIORIZADOS!$A:$T,20,FALSE)="","",VLOOKUP(A2779,[18]PRIORIZADOS!$A:$T,20,FALSE)),"")</f>
        <v>Si</v>
      </c>
      <c r="U2779" s="11" t="str">
        <f>IFERROR(IF(VLOOKUP(A2779,[18]PRIORIZADOS!$A:$U,21,FALSE)="","",VLOOKUP(A2779,[18]PRIORIZADOS!$A:$U,21,FALSE)),"")</f>
        <v>Se revisara el plan de mejoramiento y Verificara en el SIMAT -   vigencia 2026</v>
      </c>
    </row>
    <row r="2780" spans="1:21" s="1" customFormat="1" ht="60">
      <c r="A2780" s="69">
        <f>IF([18]PRIORIZADOS!A123="","",[18]PRIORIZADOS!A123)</f>
        <v>2769</v>
      </c>
      <c r="B2780" s="70">
        <f>IFERROR(IF(VLOOKUP(A2780,[18]PRIORIZADOS!$A:$B,2,FALSE)="","",VLOOKUP(A2780,[18]PRIORIZADOS!$A:$B,2,FALSE)),"")</f>
        <v>14</v>
      </c>
      <c r="C2780" s="11" t="str">
        <f>IFERROR(IF(VLOOKUP(A2780,[18]PRIORIZADOS!$A:$C,3,FALSE)="","",VLOOKUP(A2780,[18]PRIORIZADOS!$A:$C,3,FALSE)),"")</f>
        <v>USME</v>
      </c>
      <c r="D2780" s="11" t="str">
        <f>IFERROR(IF(VLOOKUP(A2780,[18]PRIORIZADOS!$A:$D,4,FALSE)="","",VLOOKUP(A2780,[18]PRIORIZADOS!$A:$D,4,FALSE)),"")</f>
        <v>PRIVADO</v>
      </c>
      <c r="E2780" s="11" t="str">
        <f>IFERROR(IF(VLOOKUP(A2780,[18]PRIORIZADOS!$A:$E,5,FALSE)="","",VLOOKUP(A2780,[18]PRIORIZADOS!$A:$E,5,FALSE)),"")</f>
        <v>EPBM</v>
      </c>
      <c r="F2780" s="11" t="str">
        <f>IFERROR(IF(VLOOKUP(A2780,[18]PRIORIZADOS!$A:$F,6,FALSE)="","",VLOOKUP(A2780,[18]PRIORIZADOS!$A:$F,6,FALSE)),"")</f>
        <v>LICEO_ADOLFO_LEON_GOMEZ</v>
      </c>
      <c r="G2780" s="11" t="str">
        <f>IFERROR(IF(VLOOKUP(A2780,[18]PRIORIZADOS!$A:$G,7,FALSE)="","",VLOOKUP(A2780,[18]PRIORIZADOS!$A:$G,7,FALSE)),"")</f>
        <v>LICEO ADOLFO LEON GOMEZ</v>
      </c>
      <c r="H2780" s="11" t="str">
        <f>IFERROR(IF(VLOOKUP(A2780,[18]PRIORIZADOS!$A:$H,8,FALSE)="","",VLOOKUP(A2780,[18]PRIORIZADOS!$A:$H,8,FALSE)),"")</f>
        <v>Autoevaluación Institucional y Pruebas SABER 11</v>
      </c>
      <c r="I2780" s="11" t="str">
        <f>IFERROR(IF(VLOOKUP(A2780,[18]PRIORIZADOS!$A:$I,9,FALSE)="","",VLOOKUP(A2780,[18]PRIORIZADOS!$A:$I,9,FALSE)),"")</f>
        <v>SEGUIMIENTO_Y_SUPERVISIÓN.</v>
      </c>
      <c r="J2780" s="11" t="str">
        <f>IFERROR(IF(VLOOKUP(A2780,[18]PRIORIZADOS!$A:$J,10,FALSE)="","",VLOOKUP(A2780,[18]PRIORIZADOS!$A:$J,10,FALSE)),"")</f>
        <v>Proponer estrategias en la formulación, verificar su elaboración y realizar seguimiento semestral al desarrollo de  las acciones establecidas en los planes de mejoramiento por pruebas SABER 11 de los establecimientos de educación formal.</v>
      </c>
      <c r="K2780" s="11" t="str">
        <f>IFERROR(IF(VLOOKUP(A2780,[18]PRIORIZADOS!$A:$K,11,FALSE)="","",VLOOKUP(A2780,[18]PRIORIZADOS!$A:$K,11,FALSE)),"")</f>
        <v>MIGUEL ANTONIO CARO CARO</v>
      </c>
      <c r="L2780" s="11" t="str">
        <f>IFERROR(IF(VLOOKUP(A2780,[18]PRIORIZADOS!$A:$L,12,FALSE)="","",VLOOKUP(A2780,[18]PRIORIZADOS!$A:$L,12,FALSE)),"")</f>
        <v>FRANCY LORENA RODRIGUEZ CASTRO</v>
      </c>
      <c r="M2780" s="71">
        <f>IFERROR(IF(VLOOKUP(A2780,[18]PRIORIZADOS!$A:$M,13,FALSE)="","",VLOOKUP(A2780,[18]PRIORIZADOS!$A:$M,13,FALSE)),"")</f>
        <v>45930</v>
      </c>
      <c r="N2780" s="71">
        <f>IFERROR(IF(VLOOKUP(A2780,[18]PRIORIZADOS!$A:$N,14,FALSE)="","",VLOOKUP(A2780,[18]PRIORIZADOS!$A:$N,14,FALSE)),"")</f>
        <v>45894</v>
      </c>
      <c r="O2780" s="71">
        <f>IFERROR(IF(VLOOKUP(A2780,[18]PRIORIZADOS!$A:$O,15,FALSE)="","",VLOOKUP(A2780,[18]PRIORIZADOS!$A:$O,15,FALSE)),"")</f>
        <v>45894</v>
      </c>
      <c r="P2780" s="11" t="str">
        <f>IFERROR(IF(VLOOKUP(A2780,[18]PRIORIZADOS!$A:$P,16,FALSE)="","",VLOOKUP(A2780,[18]PRIORIZADOS!$A:$P,16,FALSE)),"")</f>
        <v>Visitas de evaluación con fines de mejoramiento</v>
      </c>
      <c r="Q2780" s="2" t="s">
        <v>529</v>
      </c>
      <c r="R2780" s="11" t="str">
        <f>IFERROR(IF(VLOOKUP(A2780,[18]PRIORIZADOS!$A:$R,18,FALSE)="","",VLOOKUP(A2780,[18]PRIORIZADOS!$A:$R,18,FALSE)),"")</f>
        <v>No se encontró evidencia de la revisión y análisis de resultados de pruebas Saber 11, ni de la formulación de planes de mejoramiento.</v>
      </c>
      <c r="S2780" s="11" t="str">
        <f>IFERROR(IF(VLOOKUP(A2780,[18]PRIORIZADOS!$A:$S,19,FALSE)="","",VLOOKUP(A2780,[18]PRIORIZADOS!$A:$S,19,FALSE)),"")</f>
        <v>la institución se compromete a presentar un plan de mejoramiento para cada uno de los aspectos en que se realizó observaciones el 07 de octubre del 2025</v>
      </c>
      <c r="T2780" s="70" t="str">
        <f>IFERROR(IF(VLOOKUP(A2780,[18]PRIORIZADOS!$A:$T,20,FALSE)="","",VLOOKUP(A2780,[18]PRIORIZADOS!$A:$T,20,FALSE)),"")</f>
        <v>Si</v>
      </c>
      <c r="U2780" s="11" t="str">
        <f>IFERROR(IF(VLOOKUP(A2780,[18]PRIORIZADOS!$A:$U,21,FALSE)="","",VLOOKUP(A2780,[18]PRIORIZADOS!$A:$U,21,FALSE)),"")</f>
        <v>Se revisara el plan de mejoramiento y Verificara en la  vigencia 2026</v>
      </c>
    </row>
    <row r="2781" spans="1:21" s="1" customFormat="1" ht="72">
      <c r="A2781" s="69">
        <f>IF([18]PRIORIZADOS!A124="","",[18]PRIORIZADOS!A124)</f>
        <v>2770</v>
      </c>
      <c r="B2781" s="70">
        <f>IFERROR(IF(VLOOKUP(A2781,[18]PRIORIZADOS!$A:$B,2,FALSE)="","",VLOOKUP(A2781,[18]PRIORIZADOS!$A:$B,2,FALSE)),"")</f>
        <v>14</v>
      </c>
      <c r="C2781" s="11" t="str">
        <f>IFERROR(IF(VLOOKUP(A2781,[18]PRIORIZADOS!$A:$C,3,FALSE)="","",VLOOKUP(A2781,[18]PRIORIZADOS!$A:$C,3,FALSE)),"")</f>
        <v>USME</v>
      </c>
      <c r="D2781" s="11" t="str">
        <f>IFERROR(IF(VLOOKUP(A2781,[18]PRIORIZADOS!$A:$D,4,FALSE)="","",VLOOKUP(A2781,[18]PRIORIZADOS!$A:$D,4,FALSE)),"")</f>
        <v>PRIVADO</v>
      </c>
      <c r="E2781" s="11" t="str">
        <f>IFERROR(IF(VLOOKUP(A2781,[18]PRIORIZADOS!$A:$E,5,FALSE)="","",VLOOKUP(A2781,[18]PRIORIZADOS!$A:$E,5,FALSE)),"")</f>
        <v>EPBM</v>
      </c>
      <c r="F2781" s="11" t="str">
        <f>IFERROR(IF(VLOOKUP(A2781,[18]PRIORIZADOS!$A:$F,6,FALSE)="","",VLOOKUP(A2781,[18]PRIORIZADOS!$A:$F,6,FALSE)),"")</f>
        <v>LICEO_ADOLFO_LEON_GOMEZ</v>
      </c>
      <c r="G2781" s="11" t="str">
        <f>IFERROR(IF(VLOOKUP(A2781,[18]PRIORIZADOS!$A:$G,7,FALSE)="","",VLOOKUP(A2781,[18]PRIORIZADOS!$A:$G,7,FALSE)),"")</f>
        <v>LICEO ADOLFO LEON GOMEZ</v>
      </c>
      <c r="H2781" s="11" t="str">
        <f>IFERROR(IF(VLOOKUP(A2781,[18]PRIORIZADOS!$A:$H,8,FALSE)="","",VLOOKUP(A2781,[18]PRIORIZADOS!$A:$H,8,FALSE)),"")</f>
        <v>Autoevaluación Institucional y Pruebas SABER 11</v>
      </c>
      <c r="I2781" s="11" t="str">
        <f>IFERROR(IF(VLOOKUP(A2781,[18]PRIORIZADOS!$A:$I,9,FALSE)="","",VLOOKUP(A2781,[18]PRIORIZADOS!$A:$I,9,FALSE)),"")</f>
        <v>SEGUIMIENTO_Y_SUPERVISIÓN.</v>
      </c>
      <c r="J2781" s="11" t="str">
        <f>IFERROR(IF(VLOOKUP(A2781,[18]PRIORIZADOS!$A:$J,10,FALSE)="","",VLOOKUP(A2781,[18]PRIORIZADOS!$A:$J,10,FALSE)),"")</f>
        <v xml:space="preserve">Verificar la implementación por parte de los colegios, de acciones realizadas para la prevención y atención de las situaciones de convivencia en el entorno escolar, según lo establecido en la Directiva 01 de 2022 del MEN. </v>
      </c>
      <c r="K2781" s="11" t="str">
        <f>IFERROR(IF(VLOOKUP(A2781,[18]PRIORIZADOS!$A:$K,11,FALSE)="","",VLOOKUP(A2781,[18]PRIORIZADOS!$A:$K,11,FALSE)),"")</f>
        <v>MIGUEL ANTONIO CARO CARO</v>
      </c>
      <c r="L2781" s="11" t="str">
        <f>IFERROR(IF(VLOOKUP(A2781,[18]PRIORIZADOS!$A:$L,12,FALSE)="","",VLOOKUP(A2781,[18]PRIORIZADOS!$A:$L,12,FALSE)),"")</f>
        <v>FRANCY LORENA RODRIGUEZ CASTRO</v>
      </c>
      <c r="M2781" s="71">
        <f>IFERROR(IF(VLOOKUP(A2781,[18]PRIORIZADOS!$A:$M,13,FALSE)="","",VLOOKUP(A2781,[18]PRIORIZADOS!$A:$M,13,FALSE)),"")</f>
        <v>45930</v>
      </c>
      <c r="N2781" s="71">
        <f>IFERROR(IF(VLOOKUP(A2781,[18]PRIORIZADOS!$A:$N,14,FALSE)="","",VLOOKUP(A2781,[18]PRIORIZADOS!$A:$N,14,FALSE)),"")</f>
        <v>45894</v>
      </c>
      <c r="O2781" s="71">
        <f>IFERROR(IF(VLOOKUP(A2781,[18]PRIORIZADOS!$A:$O,15,FALSE)="","",VLOOKUP(A2781,[18]PRIORIZADOS!$A:$O,15,FALSE)),"")</f>
        <v>45894</v>
      </c>
      <c r="P2781" s="11" t="str">
        <f>IFERROR(IF(VLOOKUP(A2781,[18]PRIORIZADOS!$A:$P,16,FALSE)="","",VLOOKUP(A2781,[18]PRIORIZADOS!$A:$P,16,FALSE)),"")</f>
        <v>Visitas de evaluación con fines de mejoramiento</v>
      </c>
      <c r="Q2781" s="2" t="s">
        <v>529</v>
      </c>
      <c r="R2781" s="11" t="str">
        <f>IFERROR(IF(VLOOKUP(A2781,[18]PRIORIZADOS!$A:$R,18,FALSE)="","",VLOOKUP(A2781,[18]PRIORIZADOS!$A:$R,18,FALSE)),"")</f>
        <v>Se evidencia el cumplimiento de la Directiva 01, sobre la consulta de inhabilidades por delitos sexuales al inicio de año escolar y reciente,  se aporta evidencias  de actualización del manual de convivencia.</v>
      </c>
      <c r="S2781" s="11" t="str">
        <f>IFERROR(IF(VLOOKUP(A2781,[18]PRIORIZADOS!$A:$S,19,FALSE)="","",VLOOKUP(A2781,[18]PRIORIZADOS!$A:$S,19,FALSE)),"")</f>
        <v xml:space="preserve">Continuar la revisón periodica del cumplimiento de la Directiva 01 de 2022, </v>
      </c>
      <c r="T2781" s="70" t="str">
        <f>IFERROR(IF(VLOOKUP(A2781,[18]PRIORIZADOS!$A:$T,20,FALSE)="","",VLOOKUP(A2781,[18]PRIORIZADOS!$A:$T,20,FALSE)),"")</f>
        <v>No</v>
      </c>
      <c r="U2781" s="11" t="str">
        <f>IFERROR(IF(VLOOKUP(A2781,[18]PRIORIZADOS!$A:$U,21,FALSE)="","",VLOOKUP(A2781,[18]PRIORIZADOS!$A:$U,21,FALSE)),"")</f>
        <v>Se verificara nuevamente el cumplimiento la Directiva 01.</v>
      </c>
    </row>
    <row r="2782" spans="1:21" s="1" customFormat="1" ht="72">
      <c r="A2782" s="69">
        <f>IF([18]PRIORIZADOS!A125="","",[18]PRIORIZADOS!A125)</f>
        <v>2771</v>
      </c>
      <c r="B2782" s="70">
        <f>IFERROR(IF(VLOOKUP(A2782,[18]PRIORIZADOS!$A:$B,2,FALSE)="","",VLOOKUP(A2782,[18]PRIORIZADOS!$A:$B,2,FALSE)),"")</f>
        <v>14</v>
      </c>
      <c r="C2782" s="11" t="str">
        <f>IFERROR(IF(VLOOKUP(A2782,[18]PRIORIZADOS!$A:$C,3,FALSE)="","",VLOOKUP(A2782,[18]PRIORIZADOS!$A:$C,3,FALSE)),"")</f>
        <v>USME</v>
      </c>
      <c r="D2782" s="11" t="str">
        <f>IFERROR(IF(VLOOKUP(A2782,[18]PRIORIZADOS!$A:$D,4,FALSE)="","",VLOOKUP(A2782,[18]PRIORIZADOS!$A:$D,4,FALSE)),"")</f>
        <v>PRIVADO</v>
      </c>
      <c r="E2782" s="11" t="str">
        <f>IFERROR(IF(VLOOKUP(A2782,[18]PRIORIZADOS!$A:$E,5,FALSE)="","",VLOOKUP(A2782,[18]PRIORIZADOS!$A:$E,5,FALSE)),"")</f>
        <v>EPBM</v>
      </c>
      <c r="F2782" s="11" t="str">
        <f>IFERROR(IF(VLOOKUP(A2782,[18]PRIORIZADOS!$A:$F,6,FALSE)="","",VLOOKUP(A2782,[18]PRIORIZADOS!$A:$F,6,FALSE)),"")</f>
        <v>LICEO_ADOLFO_LEON_GOMEZ</v>
      </c>
      <c r="G2782" s="11" t="str">
        <f>IFERROR(IF(VLOOKUP(A2782,[18]PRIORIZADOS!$A:$G,7,FALSE)="","",VLOOKUP(A2782,[18]PRIORIZADOS!$A:$G,7,FALSE)),"")</f>
        <v>LICEO ADOLFO LEON GOMEZ</v>
      </c>
      <c r="H2782" s="11" t="str">
        <f>IFERROR(IF(VLOOKUP(A2782,[18]PRIORIZADOS!$A:$H,8,FALSE)="","",VLOOKUP(A2782,[18]PRIORIZADOS!$A:$H,8,FALSE)),"")</f>
        <v>Autoevaluación Institucional y Pruebas SABER 11</v>
      </c>
      <c r="I2782" s="11" t="str">
        <f>IFERROR(IF(VLOOKUP(A2782,[18]PRIORIZADOS!$A:$I,9,FALSE)="","",VLOOKUP(A2782,[18]PRIORIZADOS!$A:$I,9,FALSE)),"")</f>
        <v>SEGUIMIENTO_Y_SUPERVISIÓN.</v>
      </c>
      <c r="J2782" s="11" t="str">
        <f>IFERROR(IF(VLOOKUP(A2782,[18]PRIORIZADOS!$A:$J,10,FALSE)="","",VLOOKUP(A2782,[18]PRIORIZADOS!$A:$J,10,FALSE)),"")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82" s="11" t="str">
        <f>IFERROR(IF(VLOOKUP(A2782,[18]PRIORIZADOS!$A:$K,11,FALSE)="","",VLOOKUP(A2782,[18]PRIORIZADOS!$A:$K,11,FALSE)),"")</f>
        <v>MIGUEL ANTONIO CARO CARO</v>
      </c>
      <c r="L2782" s="11" t="str">
        <f>IFERROR(IF(VLOOKUP(A2782,[18]PRIORIZADOS!$A:$L,12,FALSE)="","",VLOOKUP(A2782,[18]PRIORIZADOS!$A:$L,12,FALSE)),"")</f>
        <v>FRANCY LORENA RODRIGUEZ CASTRO</v>
      </c>
      <c r="M2782" s="71">
        <f>IFERROR(IF(VLOOKUP(A2782,[18]PRIORIZADOS!$A:$M,13,FALSE)="","",VLOOKUP(A2782,[18]PRIORIZADOS!$A:$M,13,FALSE)),"")</f>
        <v>45930</v>
      </c>
      <c r="N2782" s="71">
        <f>IFERROR(IF(VLOOKUP(A2782,[18]PRIORIZADOS!$A:$N,14,FALSE)="","",VLOOKUP(A2782,[18]PRIORIZADOS!$A:$N,14,FALSE)),"")</f>
        <v>45894</v>
      </c>
      <c r="O2782" s="71">
        <f>IFERROR(IF(VLOOKUP(A2782,[18]PRIORIZADOS!$A:$O,15,FALSE)="","",VLOOKUP(A2782,[18]PRIORIZADOS!$A:$O,15,FALSE)),"")</f>
        <v>45894</v>
      </c>
      <c r="P2782" s="11" t="str">
        <f>IFERROR(IF(VLOOKUP(A2782,[18]PRIORIZADOS!$A:$P,16,FALSE)="","",VLOOKUP(A2782,[18]PRIORIZADOS!$A:$P,16,FALSE)),"")</f>
        <v>Visitas de evaluación con fines de mejoramiento</v>
      </c>
      <c r="Q2782" s="2" t="s">
        <v>529</v>
      </c>
      <c r="R2782" s="11" t="str">
        <f>IFERROR(IF(VLOOKUP(A2782,[18]PRIORIZADOS!$A:$R,18,FALSE)="","",VLOOKUP(A2782,[18]PRIORIZADOS!$A:$R,18,FALSE)),"")</f>
        <v>No se evidencia que se registren  casos, no hay registro en el SIMAT y no se tiene soportes para registro, acompañamiento y seguimiento.</v>
      </c>
      <c r="S2782" s="11" t="str">
        <f>IFERROR(IF(VLOOKUP(A2782,[18]PRIORIZADOS!$A:$S,19,FALSE)="","",VLOOKUP(A2782,[18]PRIORIZADOS!$A:$S,19,FALSE)),"")</f>
        <v>la institución se compromete a presentar un plan de mejoramiento para cada uno de los aspectos en que se realizó observaciones el 07 de octubre del 2025</v>
      </c>
      <c r="T2782" s="70" t="str">
        <f>IFERROR(IF(VLOOKUP(A2782,[18]PRIORIZADOS!$A:$T,20,FALSE)="","",VLOOKUP(A2782,[18]PRIORIZADOS!$A:$T,20,FALSE)),"")</f>
        <v>Si</v>
      </c>
      <c r="U2782" s="11" t="str">
        <f>IFERROR(IF(VLOOKUP(A2782,[18]PRIORIZADOS!$A:$U,21,FALSE)="","",VLOOKUP(A2782,[18]PRIORIZADOS!$A:$U,21,FALSE)),"")</f>
        <v>Se revisara el plan de mejoramiento y Verificara en la  vigencia 2026</v>
      </c>
    </row>
    <row r="2783" spans="1:21" s="1" customFormat="1" ht="84">
      <c r="A2783" s="69">
        <f>IF([18]PRIORIZADOS!A126="","",[18]PRIORIZADOS!A126)</f>
        <v>2772</v>
      </c>
      <c r="B2783" s="70">
        <f>IFERROR(IF(VLOOKUP(A2783,[18]PRIORIZADOS!$A:$B,2,FALSE)="","",VLOOKUP(A2783,[18]PRIORIZADOS!$A:$B,2,FALSE)),"")</f>
        <v>14</v>
      </c>
      <c r="C2783" s="11" t="str">
        <f>IFERROR(IF(VLOOKUP(A2783,[18]PRIORIZADOS!$A:$C,3,FALSE)="","",VLOOKUP(A2783,[18]PRIORIZADOS!$A:$C,3,FALSE)),"")</f>
        <v>USME</v>
      </c>
      <c r="D2783" s="11" t="str">
        <f>IFERROR(IF(VLOOKUP(A2783,[18]PRIORIZADOS!$A:$D,4,FALSE)="","",VLOOKUP(A2783,[18]PRIORIZADOS!$A:$D,4,FALSE)),"")</f>
        <v>PRIVADO</v>
      </c>
      <c r="E2783" s="11" t="str">
        <f>IFERROR(IF(VLOOKUP(A2783,[18]PRIORIZADOS!$A:$E,5,FALSE)="","",VLOOKUP(A2783,[18]PRIORIZADOS!$A:$E,5,FALSE)),"")</f>
        <v>EPBM</v>
      </c>
      <c r="F2783" s="11" t="str">
        <f>IFERROR(IF(VLOOKUP(A2783,[18]PRIORIZADOS!$A:$F,6,FALSE)="","",VLOOKUP(A2783,[18]PRIORIZADOS!$A:$F,6,FALSE)),"")</f>
        <v>LICEO_ADOLFO_LEON_GOMEZ</v>
      </c>
      <c r="G2783" s="11" t="str">
        <f>IFERROR(IF(VLOOKUP(A2783,[18]PRIORIZADOS!$A:$G,7,FALSE)="","",VLOOKUP(A2783,[18]PRIORIZADOS!$A:$G,7,FALSE)),"")</f>
        <v>LICEO ADOLFO LEON GOMEZ</v>
      </c>
      <c r="H2783" s="11" t="str">
        <f>IFERROR(IF(VLOOKUP(A2783,[18]PRIORIZADOS!$A:$H,8,FALSE)="","",VLOOKUP(A2783,[18]PRIORIZADOS!$A:$H,8,FALSE)),"")</f>
        <v>Autoevaluación Institucional y Pruebas SABER 11</v>
      </c>
      <c r="I2783" s="11" t="str">
        <f>IFERROR(IF(VLOOKUP(A2783,[18]PRIORIZADOS!$A:$I,9,FALSE)="","",VLOOKUP(A2783,[18]PRIORIZADOS!$A:$I,9,FALSE)),"")</f>
        <v>EVALUACIÓN_CON_FINES_DE_MEJORAMIENTO.</v>
      </c>
      <c r="J2783" s="11" t="str">
        <f>IFERROR(IF(VLOOKUP(A2783,[18]PRIORIZADOS!$A:$J,10,FALSE)="","",VLOOKUP(A2783,[18]PRIORIZADOS!$A:$J,10,FALSE)),"")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83" s="11" t="str">
        <f>IFERROR(IF(VLOOKUP(A2783,[18]PRIORIZADOS!$A:$K,11,FALSE)="","",VLOOKUP(A2783,[18]PRIORIZADOS!$A:$K,11,FALSE)),"")</f>
        <v>MIGUEL ANTONIO CARO CARO</v>
      </c>
      <c r="L2783" s="11" t="str">
        <f>IFERROR(IF(VLOOKUP(A2783,[18]PRIORIZADOS!$A:$L,12,FALSE)="","",VLOOKUP(A2783,[18]PRIORIZADOS!$A:$L,12,FALSE)),"")</f>
        <v>FRANCY LORENA RODRIGUEZ CASTRO</v>
      </c>
      <c r="M2783" s="71">
        <f>IFERROR(IF(VLOOKUP(A2783,[18]PRIORIZADOS!$A:$M,13,FALSE)="","",VLOOKUP(A2783,[18]PRIORIZADOS!$A:$M,13,FALSE)),"")</f>
        <v>45930</v>
      </c>
      <c r="N2783" s="71">
        <f>IFERROR(IF(VLOOKUP(A2783,[18]PRIORIZADOS!$A:$N,14,FALSE)="","",VLOOKUP(A2783,[18]PRIORIZADOS!$A:$N,14,FALSE)),"")</f>
        <v>45894</v>
      </c>
      <c r="O2783" s="71">
        <f>IFERROR(IF(VLOOKUP(A2783,[18]PRIORIZADOS!$A:$O,15,FALSE)="","",VLOOKUP(A2783,[18]PRIORIZADOS!$A:$O,15,FALSE)),"")</f>
        <v>45894</v>
      </c>
      <c r="P2783" s="11" t="str">
        <f>IFERROR(IF(VLOOKUP(A2783,[18]PRIORIZADOS!$A:$P,16,FALSE)="","",VLOOKUP(A2783,[18]PRIORIZADOS!$A:$P,16,FALSE)),"")</f>
        <v>Visitas de evaluación con fines de mejoramiento</v>
      </c>
      <c r="Q2783" s="2" t="s">
        <v>529</v>
      </c>
      <c r="R2783" s="11" t="str">
        <f>IFERROR(IF(VLOOKUP(A2783,[18]PRIORIZADOS!$A:$R,18,FALSE)="","",VLOOKUP(A2783,[18]PRIORIZADOS!$A:$R,18,FALSE)),"")</f>
        <v>Existe documento actualizado 2025, pero no contiene los enfoques y su caracter es punitivo, no se distingue entre faltas y situaciones</v>
      </c>
      <c r="S2783" s="11" t="str">
        <f>IFERROR(IF(VLOOKUP(A2783,[18]PRIORIZADOS!$A:$S,19,FALSE)="","",VLOOKUP(A2783,[18]PRIORIZADOS!$A:$S,19,FALSE)),"")</f>
        <v>la institución se compromete a presentar un plan de mejoramiento para cada uno de los aspectos en que se realizó observaciones el 07 de octubre del 2025</v>
      </c>
      <c r="T2783" s="70" t="str">
        <f>IFERROR(IF(VLOOKUP(A2783,[18]PRIORIZADOS!$A:$T,20,FALSE)="","",VLOOKUP(A2783,[18]PRIORIZADOS!$A:$T,20,FALSE)),"")</f>
        <v>Si</v>
      </c>
      <c r="U2783" s="11" t="str">
        <f>IFERROR(IF(VLOOKUP(A2783,[18]PRIORIZADOS!$A:$U,21,FALSE)="","",VLOOKUP(A2783,[18]PRIORIZADOS!$A:$U,21,FALSE)),"")</f>
        <v>Se revisara el plan de mejoramiento y Verificara en la  vigencia 2026</v>
      </c>
    </row>
    <row r="2784" spans="1:21" s="1" customFormat="1" ht="48">
      <c r="A2784" s="69">
        <f>IF([18]PRIORIZADOS!A127="","",[18]PRIORIZADOS!A127)</f>
        <v>2773</v>
      </c>
      <c r="B2784" s="70">
        <f>IFERROR(IF(VLOOKUP(A2784,[18]PRIORIZADOS!$A:$B,2,FALSE)="","",VLOOKUP(A2784,[18]PRIORIZADOS!$A:$B,2,FALSE)),"")</f>
        <v>14</v>
      </c>
      <c r="C2784" s="11" t="str">
        <f>IFERROR(IF(VLOOKUP(A2784,[18]PRIORIZADOS!$A:$C,3,FALSE)="","",VLOOKUP(A2784,[18]PRIORIZADOS!$A:$C,3,FALSE)),"")</f>
        <v>USME</v>
      </c>
      <c r="D2784" s="11" t="str">
        <f>IFERROR(IF(VLOOKUP(A2784,[18]PRIORIZADOS!$A:$D,4,FALSE)="","",VLOOKUP(A2784,[18]PRIORIZADOS!$A:$D,4,FALSE)),"")</f>
        <v>PRIVADO</v>
      </c>
      <c r="E2784" s="11" t="str">
        <f>IFERROR(IF(VLOOKUP(A2784,[18]PRIORIZADOS!$A:$E,5,FALSE)="","",VLOOKUP(A2784,[18]PRIORIZADOS!$A:$E,5,FALSE)),"")</f>
        <v>EPBM</v>
      </c>
      <c r="F2784" s="11" t="str">
        <f>IFERROR(IF(VLOOKUP(A2784,[18]PRIORIZADOS!$A:$F,6,FALSE)="","",VLOOKUP(A2784,[18]PRIORIZADOS!$A:$F,6,FALSE)),"")</f>
        <v>LICEO_ADOLFO_LEON_GOMEZ</v>
      </c>
      <c r="G2784" s="11" t="str">
        <f>IFERROR(IF(VLOOKUP(A2784,[18]PRIORIZADOS!$A:$G,7,FALSE)="","",VLOOKUP(A2784,[18]PRIORIZADOS!$A:$G,7,FALSE)),"")</f>
        <v>LICEO ADOLFO LEON GOMEZ</v>
      </c>
      <c r="H2784" s="11" t="str">
        <f>IFERROR(IF(VLOOKUP(A2784,[18]PRIORIZADOS!$A:$H,8,FALSE)="","",VLOOKUP(A2784,[18]PRIORIZADOS!$A:$H,8,FALSE)),"")</f>
        <v>Autoevaluación Institucional y Pruebas SABER 11</v>
      </c>
      <c r="I2784" s="11" t="str">
        <f>IFERROR(IF(VLOOKUP(A2784,[18]PRIORIZADOS!$A:$I,9,FALSE)="","",VLOOKUP(A2784,[18]PRIORIZADOS!$A:$I,9,FALSE)),"")</f>
        <v>EVALUACIÓN_CON_FINES_DE_MEJORAMIENTO.</v>
      </c>
      <c r="J2784" s="11" t="str">
        <f>IFERROR(IF(VLOOKUP(A2784,[18]PRIORIZADOS!$A:$J,10,FALSE)="","",VLOOKUP(A2784,[18]PRIORIZADOS!$A:$J,10,FALSE)),"")</f>
        <v>Revisar la actualización, socialización e implementación del Sistema Institucional de Evaluación de Estudiantes - SIEE, en articulación con la actualización del PEI y la normatividad vigente.</v>
      </c>
      <c r="K2784" s="11" t="str">
        <f>IFERROR(IF(VLOOKUP(A2784,[18]PRIORIZADOS!$A:$K,11,FALSE)="","",VLOOKUP(A2784,[18]PRIORIZADOS!$A:$K,11,FALSE)),"")</f>
        <v>MIGUEL ANTONIO CARO CARO</v>
      </c>
      <c r="L2784" s="11" t="str">
        <f>IFERROR(IF(VLOOKUP(A2784,[18]PRIORIZADOS!$A:$L,12,FALSE)="","",VLOOKUP(A2784,[18]PRIORIZADOS!$A:$L,12,FALSE)),"")</f>
        <v>FRANCY LORENA RODRIGUEZ CASTRO</v>
      </c>
      <c r="M2784" s="71">
        <f>IFERROR(IF(VLOOKUP(A2784,[18]PRIORIZADOS!$A:$M,13,FALSE)="","",VLOOKUP(A2784,[18]PRIORIZADOS!$A:$M,13,FALSE)),"")</f>
        <v>45930</v>
      </c>
      <c r="N2784" s="71">
        <f>IFERROR(IF(VLOOKUP(A2784,[18]PRIORIZADOS!$A:$N,14,FALSE)="","",VLOOKUP(A2784,[18]PRIORIZADOS!$A:$N,14,FALSE)),"")</f>
        <v>45894</v>
      </c>
      <c r="O2784" s="71">
        <f>IFERROR(IF(VLOOKUP(A2784,[18]PRIORIZADOS!$A:$O,15,FALSE)="","",VLOOKUP(A2784,[18]PRIORIZADOS!$A:$O,15,FALSE)),"")</f>
        <v>45894</v>
      </c>
      <c r="P2784" s="11" t="str">
        <f>IFERROR(IF(VLOOKUP(A2784,[18]PRIORIZADOS!$A:$P,16,FALSE)="","",VLOOKUP(A2784,[18]PRIORIZADOS!$A:$P,16,FALSE)),"")</f>
        <v>Visitas de evaluación con fines de mejoramiento</v>
      </c>
      <c r="Q2784" s="2" t="s">
        <v>529</v>
      </c>
      <c r="R2784" s="11" t="str">
        <f>IFERROR(IF(VLOOKUP(A2784,[18]PRIORIZADOS!$A:$R,18,FALSE)="","",VLOOKUP(A2784,[18]PRIORIZADOS!$A:$R,18,FALSE)),"")</f>
        <v>Se encuentra evidencia de SIEE, sin embargo la valoracion de preescolar la realizan cuantitativamente</v>
      </c>
      <c r="S2784" s="11" t="str">
        <f>IFERROR(IF(VLOOKUP(A2784,[18]PRIORIZADOS!$A:$S,19,FALSE)="","",VLOOKUP(A2784,[18]PRIORIZADOS!$A:$S,19,FALSE)),"")</f>
        <v>la institución se compromete a presentar un plan de mejoramiento para cada uno de los aspectos en que se realizó observaciones el 07 de octubre del 2025</v>
      </c>
      <c r="T2784" s="70" t="str">
        <f>IFERROR(IF(VLOOKUP(A2784,[18]PRIORIZADOS!$A:$T,20,FALSE)="","",VLOOKUP(A2784,[18]PRIORIZADOS!$A:$T,20,FALSE)),"")</f>
        <v>Si</v>
      </c>
      <c r="U2784" s="11" t="str">
        <f>IFERROR(IF(VLOOKUP(A2784,[18]PRIORIZADOS!$A:$U,21,FALSE)="","",VLOOKUP(A2784,[18]PRIORIZADOS!$A:$U,21,FALSE)),"")</f>
        <v>Se revisara el plan de mejoramiento y Verificara en la  vigencia 2026</v>
      </c>
    </row>
    <row r="2785" spans="1:21" s="1" customFormat="1" ht="48">
      <c r="A2785" s="69">
        <f>IF([18]PRIORIZADOS!A128="","",[18]PRIORIZADOS!A128)</f>
        <v>2774</v>
      </c>
      <c r="B2785" s="70">
        <f>IFERROR(IF(VLOOKUP(A2785,[18]PRIORIZADOS!$A:$B,2,FALSE)="","",VLOOKUP(A2785,[18]PRIORIZADOS!$A:$B,2,FALSE)),"")</f>
        <v>14</v>
      </c>
      <c r="C2785" s="11" t="str">
        <f>IFERROR(IF(VLOOKUP(A2785,[18]PRIORIZADOS!$A:$C,3,FALSE)="","",VLOOKUP(A2785,[18]PRIORIZADOS!$A:$C,3,FALSE)),"")</f>
        <v>USME</v>
      </c>
      <c r="D2785" s="11" t="str">
        <f>IFERROR(IF(VLOOKUP(A2785,[18]PRIORIZADOS!$A:$D,4,FALSE)="","",VLOOKUP(A2785,[18]PRIORIZADOS!$A:$D,4,FALSE)),"")</f>
        <v>PRIVADO</v>
      </c>
      <c r="E2785" s="11" t="str">
        <f>IFERROR(IF(VLOOKUP(A2785,[18]PRIORIZADOS!$A:$E,5,FALSE)="","",VLOOKUP(A2785,[18]PRIORIZADOS!$A:$E,5,FALSE)),"")</f>
        <v>EPBM</v>
      </c>
      <c r="F2785" s="11" t="str">
        <f>IFERROR(IF(VLOOKUP(A2785,[18]PRIORIZADOS!$A:$F,6,FALSE)="","",VLOOKUP(A2785,[18]PRIORIZADOS!$A:$F,6,FALSE)),"")</f>
        <v>LICEO_ADOLFO_LEON_GOMEZ</v>
      </c>
      <c r="G2785" s="11" t="str">
        <f>IFERROR(IF(VLOOKUP(A2785,[18]PRIORIZADOS!$A:$G,7,FALSE)="","",VLOOKUP(A2785,[18]PRIORIZADOS!$A:$G,7,FALSE)),"")</f>
        <v>LICEO ADOLFO LEON GOMEZ</v>
      </c>
      <c r="H2785" s="11" t="str">
        <f>IFERROR(IF(VLOOKUP(A2785,[18]PRIORIZADOS!$A:$H,8,FALSE)="","",VLOOKUP(A2785,[18]PRIORIZADOS!$A:$H,8,FALSE)),"")</f>
        <v>Autoevaluación Institucional y Pruebas SABER 11</v>
      </c>
      <c r="I2785" s="11" t="str">
        <f>IFERROR(IF(VLOOKUP(A2785,[18]PRIORIZADOS!$A:$I,9,FALSE)="","",VLOOKUP(A2785,[18]PRIORIZADOS!$A:$I,9,FALSE)),"")</f>
        <v>EVALUACIÓN_CON_FINES_DE_MEJORAMIENTO.</v>
      </c>
      <c r="J2785" s="11" t="str">
        <f>IFERROR(IF(VLOOKUP(A2785,[18]PRIORIZADOS!$A:$J,10,FALSE)="","",VLOOKUP(A2785,[18]PRIORIZADOS!$A:$J,10,FALSE)),"")</f>
        <v>Revisar el calendario escolar, jornada escolar, la intensidad horaria mínima anual en cada nivel y las modificaciones que se realicen al mismo, de acuerdo con lo previsto en la normatividad vigente.</v>
      </c>
      <c r="K2785" s="11" t="str">
        <f>IFERROR(IF(VLOOKUP(A2785,[18]PRIORIZADOS!$A:$K,11,FALSE)="","",VLOOKUP(A2785,[18]PRIORIZADOS!$A:$K,11,FALSE)),"")</f>
        <v>MIGUEL ANTONIO CARO CARO</v>
      </c>
      <c r="L2785" s="11" t="str">
        <f>IFERROR(IF(VLOOKUP(A2785,[18]PRIORIZADOS!$A:$L,12,FALSE)="","",VLOOKUP(A2785,[18]PRIORIZADOS!$A:$L,12,FALSE)),"")</f>
        <v>FRANCY LORENA RODRIGUEZ CASTRO</v>
      </c>
      <c r="M2785" s="71">
        <f>IFERROR(IF(VLOOKUP(A2785,[18]PRIORIZADOS!$A:$M,13,FALSE)="","",VLOOKUP(A2785,[18]PRIORIZADOS!$A:$M,13,FALSE)),"")</f>
        <v>45930</v>
      </c>
      <c r="N2785" s="71">
        <f>IFERROR(IF(VLOOKUP(A2785,[18]PRIORIZADOS!$A:$N,14,FALSE)="","",VLOOKUP(A2785,[18]PRIORIZADOS!$A:$N,14,FALSE)),"")</f>
        <v>45894</v>
      </c>
      <c r="O2785" s="71">
        <f>IFERROR(IF(VLOOKUP(A2785,[18]PRIORIZADOS!$A:$O,15,FALSE)="","",VLOOKUP(A2785,[18]PRIORIZADOS!$A:$O,15,FALSE)),"")</f>
        <v>45894</v>
      </c>
      <c r="P2785" s="11" t="str">
        <f>IFERROR(IF(VLOOKUP(A2785,[18]PRIORIZADOS!$A:$P,16,FALSE)="","",VLOOKUP(A2785,[18]PRIORIZADOS!$A:$P,16,FALSE)),"")</f>
        <v>Visitas de evaluación con fines de mejoramiento</v>
      </c>
      <c r="Q2785" s="2" t="s">
        <v>529</v>
      </c>
      <c r="R2785" s="11" t="str">
        <f>IFERROR(IF(VLOOKUP(A2785,[18]PRIORIZADOS!$A:$R,18,FALSE)="","",VLOOKUP(A2785,[18]PRIORIZADOS!$A:$R,18,FALSE)),"")</f>
        <v xml:space="preserve">Se aporta calendario y cronograma escolar  </v>
      </c>
      <c r="S2785" s="11" t="str">
        <f>IFERROR(IF(VLOOKUP(A2785,[18]PRIORIZADOS!$A:$S,19,FALSE)="","",VLOOKUP(A2785,[18]PRIORIZADOS!$A:$S,19,FALSE)),"")</f>
        <v xml:space="preserve">Se recomienda continuar con la implemetación del calendario y gcrograma para cumplir con las intensidades horarias requeridas  </v>
      </c>
      <c r="T2785" s="70" t="str">
        <f>IFERROR(IF(VLOOKUP(A2785,[18]PRIORIZADOS!$A:$T,20,FALSE)="","",VLOOKUP(A2785,[18]PRIORIZADOS!$A:$T,20,FALSE)),"")</f>
        <v>No</v>
      </c>
      <c r="U2785" s="11" t="str">
        <f>IFERROR(IF(VLOOKUP(A2785,[18]PRIORIZADOS!$A:$U,21,FALSE)="","",VLOOKUP(A2785,[18]PRIORIZADOS!$A:$U,21,FALSE)),"")</f>
        <v>revisión del calendario en la vigencia 2026</v>
      </c>
    </row>
    <row r="2786" spans="1:21" s="1" customFormat="1" ht="72">
      <c r="A2786" s="69">
        <f>IF([18]PRIORIZADOS!A129="","",[18]PRIORIZADOS!A129)</f>
        <v>2775</v>
      </c>
      <c r="B2786" s="70">
        <f>IFERROR(IF(VLOOKUP(A2786,[18]PRIORIZADOS!$A:$B,2,FALSE)="","",VLOOKUP(A2786,[18]PRIORIZADOS!$A:$B,2,FALSE)),"")</f>
        <v>14</v>
      </c>
      <c r="C2786" s="11" t="str">
        <f>IFERROR(IF(VLOOKUP(A2786,[18]PRIORIZADOS!$A:$C,3,FALSE)="","",VLOOKUP(A2786,[18]PRIORIZADOS!$A:$C,3,FALSE)),"")</f>
        <v>USME</v>
      </c>
      <c r="D2786" s="11" t="str">
        <f>IFERROR(IF(VLOOKUP(A2786,[18]PRIORIZADOS!$A:$D,4,FALSE)="","",VLOOKUP(A2786,[18]PRIORIZADOS!$A:$D,4,FALSE)),"")</f>
        <v>PRIVADO</v>
      </c>
      <c r="E2786" s="11" t="str">
        <f>IFERROR(IF(VLOOKUP(A2786,[18]PRIORIZADOS!$A:$E,5,FALSE)="","",VLOOKUP(A2786,[18]PRIORIZADOS!$A:$E,5,FALSE)),"")</f>
        <v>EPBM</v>
      </c>
      <c r="F2786" s="11" t="str">
        <f>IFERROR(IF(VLOOKUP(A2786,[18]PRIORIZADOS!$A:$F,6,FALSE)="","",VLOOKUP(A2786,[18]PRIORIZADOS!$A:$F,6,FALSE)),"")</f>
        <v>LICEO_ADOLFO_LEON_GOMEZ</v>
      </c>
      <c r="G2786" s="11" t="str">
        <f>IFERROR(IF(VLOOKUP(A2786,[18]PRIORIZADOS!$A:$G,7,FALSE)="","",VLOOKUP(A2786,[18]PRIORIZADOS!$A:$G,7,FALSE)),"")</f>
        <v>LICEO ADOLFO LEON GOMEZ</v>
      </c>
      <c r="H2786" s="11" t="str">
        <f>IFERROR(IF(VLOOKUP(A2786,[18]PRIORIZADOS!$A:$H,8,FALSE)="","",VLOOKUP(A2786,[18]PRIORIZADOS!$A:$H,8,FALSE)),"")</f>
        <v>Autoevaluación Institucional y Pruebas SABER 11</v>
      </c>
      <c r="I2786" s="11" t="str">
        <f>IFERROR(IF(VLOOKUP(A2786,[18]PRIORIZADOS!$A:$I,9,FALSE)="","",VLOOKUP(A2786,[18]PRIORIZADOS!$A:$I,9,FALSE)),"")</f>
        <v>EVALUACIÓN_CON_FINES_DE_MEJORAMIENTO.</v>
      </c>
      <c r="J2786" s="11" t="str">
        <f>IFERROR(IF(VLOOKUP(A2786,[18]PRIORIZADOS!$A:$J,10,FALSE)="","",VLOOKUP(A2786,[18]PRIORIZADOS!$A:$J,10,FALSE)),"")</f>
        <v>Verificar el funcionamiento del Gobierno Escolar e instancias de participación con base en la información sobre conformación reportada por la institución educativa.</v>
      </c>
      <c r="K2786" s="11" t="str">
        <f>IFERROR(IF(VLOOKUP(A2786,[18]PRIORIZADOS!$A:$K,11,FALSE)="","",VLOOKUP(A2786,[18]PRIORIZADOS!$A:$K,11,FALSE)),"")</f>
        <v>MIGUEL ANTONIO CARO CARO</v>
      </c>
      <c r="L2786" s="11" t="str">
        <f>IFERROR(IF(VLOOKUP(A2786,[18]PRIORIZADOS!$A:$L,12,FALSE)="","",VLOOKUP(A2786,[18]PRIORIZADOS!$A:$L,12,FALSE)),"")</f>
        <v>FRANCY LORENA RODRIGUEZ CASTRO</v>
      </c>
      <c r="M2786" s="71">
        <f>IFERROR(IF(VLOOKUP(A2786,[18]PRIORIZADOS!$A:$M,13,FALSE)="","",VLOOKUP(A2786,[18]PRIORIZADOS!$A:$M,13,FALSE)),"")</f>
        <v>45930</v>
      </c>
      <c r="N2786" s="71">
        <f>IFERROR(IF(VLOOKUP(A2786,[18]PRIORIZADOS!$A:$N,14,FALSE)="","",VLOOKUP(A2786,[18]PRIORIZADOS!$A:$N,14,FALSE)),"")</f>
        <v>45894</v>
      </c>
      <c r="O2786" s="71">
        <f>IFERROR(IF(VLOOKUP(A2786,[18]PRIORIZADOS!$A:$O,15,FALSE)="","",VLOOKUP(A2786,[18]PRIORIZADOS!$A:$O,15,FALSE)),"")</f>
        <v>45894</v>
      </c>
      <c r="P2786" s="11" t="str">
        <f>IFERROR(IF(VLOOKUP(A2786,[18]PRIORIZADOS!$A:$P,16,FALSE)="","",VLOOKUP(A2786,[18]PRIORIZADOS!$A:$P,16,FALSE)),"")</f>
        <v>Visitas de evaluación con fines de mejoramiento</v>
      </c>
      <c r="Q2786" s="2" t="s">
        <v>529</v>
      </c>
      <c r="R2786" s="11" t="str">
        <f>IFERROR(IF(VLOOKUP(A2786,[18]PRIORIZADOS!$A:$R,18,FALSE)="","",VLOOKUP(A2786,[18]PRIORIZADOS!$A:$R,18,FALSE)),"")</f>
        <v>Aunque se conformaron las instancias del gobierno escolar no hay evidencia de su funcionamiento</v>
      </c>
      <c r="S2786" s="11" t="str">
        <f>IFERROR(IF(VLOOKUP(A2786,[18]PRIORIZADOS!$A:$S,19,FALSE)="","",VLOOKUP(A2786,[18]PRIORIZADOS!$A:$S,19,FALSE)),"")</f>
        <v>la institución se compromete a presentar un plan de mejoramiento para cada uno de los aspectos en que se realizó observaciones el 07 de octubre del 2025, en este aspecto se recomendo subsanar en el corto plazo.</v>
      </c>
      <c r="T2786" s="70" t="str">
        <f>IFERROR(IF(VLOOKUP(A2786,[18]PRIORIZADOS!$A:$T,20,FALSE)="","",VLOOKUP(A2786,[18]PRIORIZADOS!$A:$T,20,FALSE)),"")</f>
        <v>Si</v>
      </c>
      <c r="U2786" s="11" t="str">
        <f>IFERROR(IF(VLOOKUP(A2786,[18]PRIORIZADOS!$A:$U,21,FALSE)="","",VLOOKUP(A2786,[18]PRIORIZADOS!$A:$U,21,FALSE)),"")</f>
        <v>Se revisara el plan de mejoramiento y Verificara en la  vigencia 2026</v>
      </c>
    </row>
    <row r="2787" spans="1:21" s="1" customFormat="1" ht="48">
      <c r="A2787" s="69">
        <f>IF([18]PRIORIZADOS!A130="","",[18]PRIORIZADOS!A130)</f>
        <v>2776</v>
      </c>
      <c r="B2787" s="70">
        <f>IFERROR(IF(VLOOKUP(A2787,[18]PRIORIZADOS!$A:$B,2,FALSE)="","",VLOOKUP(A2787,[18]PRIORIZADOS!$A:$B,2,FALSE)),"")</f>
        <v>14</v>
      </c>
      <c r="C2787" s="11" t="str">
        <f>IFERROR(IF(VLOOKUP(A2787,[18]PRIORIZADOS!$A:$C,3,FALSE)="","",VLOOKUP(A2787,[18]PRIORIZADOS!$A:$C,3,FALSE)),"")</f>
        <v>USME</v>
      </c>
      <c r="D2787" s="11" t="str">
        <f>IFERROR(IF(VLOOKUP(A2787,[18]PRIORIZADOS!$A:$D,4,FALSE)="","",VLOOKUP(A2787,[18]PRIORIZADOS!$A:$D,4,FALSE)),"")</f>
        <v>PRIVADO</v>
      </c>
      <c r="E2787" s="11" t="str">
        <f>IFERROR(IF(VLOOKUP(A2787,[18]PRIORIZADOS!$A:$E,5,FALSE)="","",VLOOKUP(A2787,[18]PRIORIZADOS!$A:$E,5,FALSE)),"")</f>
        <v>EPBM</v>
      </c>
      <c r="F2787" s="11" t="str">
        <f>IFERROR(IF(VLOOKUP(A2787,[18]PRIORIZADOS!$A:$F,6,FALSE)="","",VLOOKUP(A2787,[18]PRIORIZADOS!$A:$F,6,FALSE)),"")</f>
        <v>LICEO_ADOLFO_LEON_GOMEZ</v>
      </c>
      <c r="G2787" s="11" t="str">
        <f>IFERROR(IF(VLOOKUP(A2787,[18]PRIORIZADOS!$A:$G,7,FALSE)="","",VLOOKUP(A2787,[18]PRIORIZADOS!$A:$G,7,FALSE)),"")</f>
        <v>LICEO ADOLFO LEON GOMEZ</v>
      </c>
      <c r="H2787" s="11" t="str">
        <f>IFERROR(IF(VLOOKUP(A2787,[18]PRIORIZADOS!$A:$H,8,FALSE)="","",VLOOKUP(A2787,[18]PRIORIZADOS!$A:$H,8,FALSE)),"")</f>
        <v>Autoevaluación Institucional y Pruebas SABER 11</v>
      </c>
      <c r="I2787" s="11" t="str">
        <f>IFERROR(IF(VLOOKUP(A2787,[18]PRIORIZADOS!$A:$I,9,FALSE)="","",VLOOKUP(A2787,[18]PRIORIZADOS!$A:$I,9,FALSE)),"")</f>
        <v>EVALUACIÓN_CON_FINES_DE_MEJORAMIENTO.</v>
      </c>
      <c r="J2787" s="11" t="str">
        <f>IFERROR(IF(VLOOKUP(A2787,[18]PRIORIZADOS!$A:$J,10,FALSE)="","",VLOOKUP(A2787,[18]PRIORIZADOS!$A:$J,10,FALSE)),"")</f>
        <v>Verificar las condiciones en cuanto a: la estructura administrativa, condiciones de la planta física y medios educativos adecuados.</v>
      </c>
      <c r="K2787" s="11" t="str">
        <f>IFERROR(IF(VLOOKUP(A2787,[18]PRIORIZADOS!$A:$K,11,FALSE)="","",VLOOKUP(A2787,[18]PRIORIZADOS!$A:$K,11,FALSE)),"")</f>
        <v>MIGUEL ANTONIO CARO CARO</v>
      </c>
      <c r="L2787" s="11" t="str">
        <f>IFERROR(IF(VLOOKUP(A2787,[18]PRIORIZADOS!$A:$L,12,FALSE)="","",VLOOKUP(A2787,[18]PRIORIZADOS!$A:$L,12,FALSE)),"")</f>
        <v>FRANCY LORENA RODRIGUEZ CASTRO</v>
      </c>
      <c r="M2787" s="71">
        <f>IFERROR(IF(VLOOKUP(A2787,[18]PRIORIZADOS!$A:$M,13,FALSE)="","",VLOOKUP(A2787,[18]PRIORIZADOS!$A:$M,13,FALSE)),"")</f>
        <v>45930</v>
      </c>
      <c r="N2787" s="71">
        <f>IFERROR(IF(VLOOKUP(A2787,[18]PRIORIZADOS!$A:$N,14,FALSE)="","",VLOOKUP(A2787,[18]PRIORIZADOS!$A:$N,14,FALSE)),"")</f>
        <v>45894</v>
      </c>
      <c r="O2787" s="71">
        <f>IFERROR(IF(VLOOKUP(A2787,[18]PRIORIZADOS!$A:$O,15,FALSE)="","",VLOOKUP(A2787,[18]PRIORIZADOS!$A:$O,15,FALSE)),"")</f>
        <v>45894</v>
      </c>
      <c r="P2787" s="11" t="str">
        <f>IFERROR(IF(VLOOKUP(A2787,[18]PRIORIZADOS!$A:$P,16,FALSE)="","",VLOOKUP(A2787,[18]PRIORIZADOS!$A:$P,16,FALSE)),"")</f>
        <v>Visitas de evaluación con fines de mejoramiento</v>
      </c>
      <c r="Q2787" s="2" t="s">
        <v>529</v>
      </c>
      <c r="R2787" s="11" t="str">
        <f>IFERROR(IF(VLOOKUP(A2787,[18]PRIORIZADOS!$A:$R,18,FALSE)="","",VLOOKUP(A2787,[18]PRIORIZADOS!$A:$R,18,FALSE)),"")</f>
        <v>se cuenta con aulas suficientes y espacios ludicos suficientes para la población matriculada, no existe adecuaciones para población con limitaciones en su movilidad.</v>
      </c>
      <c r="S2787" s="11" t="str">
        <f>IFERROR(IF(VLOOKUP(A2787,[18]PRIORIZADOS!$A:$S,19,FALSE)="","",VLOOKUP(A2787,[18]PRIORIZADOS!$A:$S,19,FALSE)),"")</f>
        <v>la institución se compromete a presentar un plan de mejoramiento para cada uno de los aspectos en que se realizó observaciones el 07 de octubre del 2025</v>
      </c>
      <c r="T2787" s="70" t="str">
        <f>IFERROR(IF(VLOOKUP(A2787,[18]PRIORIZADOS!$A:$T,20,FALSE)="","",VLOOKUP(A2787,[18]PRIORIZADOS!$A:$T,20,FALSE)),"")</f>
        <v>Si</v>
      </c>
      <c r="U2787" s="11" t="str">
        <f>IFERROR(IF(VLOOKUP(A2787,[18]PRIORIZADOS!$A:$U,21,FALSE)="","",VLOOKUP(A2787,[18]PRIORIZADOS!$A:$U,21,FALSE)),"")</f>
        <v>Se revisara el plan de mejoramiento y Verificara en la  vigencia 2026</v>
      </c>
    </row>
    <row r="2788" spans="1:21" s="1" customFormat="1" ht="72">
      <c r="A2788" s="69">
        <f>IF([18]PRIORIZADOS!A131="","",[18]PRIORIZADOS!A131)</f>
        <v>2777</v>
      </c>
      <c r="B2788" s="70">
        <f>IFERROR(IF(VLOOKUP(A2788,[18]PRIORIZADOS!$A:$B,2,FALSE)="","",VLOOKUP(A2788,[18]PRIORIZADOS!$A:$B,2,FALSE)),"")</f>
        <v>15</v>
      </c>
      <c r="C2788" s="11" t="str">
        <f>IFERROR(IF(VLOOKUP(A2788,[18]PRIORIZADOS!$A:$C,3,FALSE)="","",VLOOKUP(A2788,[18]PRIORIZADOS!$A:$C,3,FALSE)),"")</f>
        <v>USME</v>
      </c>
      <c r="D2788" s="11" t="str">
        <f>IFERROR(IF(VLOOKUP(A2788,[18]PRIORIZADOS!$A:$D,4,FALSE)="","",VLOOKUP(A2788,[18]PRIORIZADOS!$A:$D,4,FALSE)),"")</f>
        <v>PRIVADO</v>
      </c>
      <c r="E2788" s="11" t="str">
        <f>IFERROR(IF(VLOOKUP(A2788,[18]PRIORIZADOS!$A:$E,5,FALSE)="","",VLOOKUP(A2788,[18]PRIORIZADOS!$A:$E,5,FALSE)),"")</f>
        <v>EPBM</v>
      </c>
      <c r="F2788" s="11" t="str">
        <f>IFERROR(IF(VLOOKUP(A2788,[18]PRIORIZADOS!$A:$F,6,FALSE)="","",VLOOKUP(A2788,[18]PRIORIZADOS!$A:$F,6,FALSE)),"")</f>
        <v>COLEGIO_CIUDAD_BOLIVAR</v>
      </c>
      <c r="G2788" s="11" t="str">
        <f>IFERROR(IF(VLOOKUP(A2788,[18]PRIORIZADOS!$A:$G,7,FALSE)="","",VLOOKUP(A2788,[18]PRIORIZADOS!$A:$G,7,FALSE)),"")</f>
        <v>COLEGIO CIUDAD BOLIVAR</v>
      </c>
      <c r="H2788" s="11" t="str">
        <f>IFERROR(IF(VLOOKUP(A2788,[18]PRIORIZADOS!$A:$H,8,FALSE)="","",VLOOKUP(A2788,[18]PRIORIZADOS!$A:$H,8,FALSE)),"")</f>
        <v>Autoevaluación Institucional y Pruebas SABER 11</v>
      </c>
      <c r="I2788" s="11" t="str">
        <f>IFERROR(IF(VLOOKUP(A2788,[18]PRIORIZADOS!$A:$I,9,FALSE)="","",VLOOKUP(A2788,[18]PRIORIZADOS!$A:$I,9,FALSE)),"")</f>
        <v>SEGUIMIENTO_Y_SUPERVISIÓN.</v>
      </c>
      <c r="J2788" s="11" t="str">
        <f>IFERROR(IF(VLOOKUP(A2788,[18]PRIORIZADOS!$A:$J,10,FALSE)="","",VLOOKUP(A2788,[18]PRIORIZADOS!$A:$J,10,FALSE)),"")</f>
        <v>Realizar visitas para verificar la información registrada sobre la autoevaluación institucional en el aplicativo EVI, a los establecimientos de educación formal no oficial.</v>
      </c>
      <c r="K2788" s="11" t="str">
        <f>IFERROR(IF(VLOOKUP(A2788,[18]PRIORIZADOS!$A:$K,11,FALSE)="","",VLOOKUP(A2788,[18]PRIORIZADOS!$A:$K,11,FALSE)),"")</f>
        <v>MIGUEL ANTONIO CARO CARO</v>
      </c>
      <c r="L2788" s="11" t="str">
        <f>IFERROR(IF(VLOOKUP(A2788,[18]PRIORIZADOS!$A:$L,12,FALSE)="","",VLOOKUP(A2788,[18]PRIORIZADOS!$A:$L,12,FALSE)),"")</f>
        <v>FRANCY LORENA RODRIGUEZ CASTRO</v>
      </c>
      <c r="M2788" s="71">
        <f>IFERROR(IF(VLOOKUP(A2788,[18]PRIORIZADOS!$A:$M,13,FALSE)="","",VLOOKUP(A2788,[18]PRIORIZADOS!$A:$M,13,FALSE)),"")</f>
        <v>45931</v>
      </c>
      <c r="N2788" s="71">
        <f>IFERROR(IF(VLOOKUP(A2788,[18]PRIORIZADOS!$A:$N,14,FALSE)="","",VLOOKUP(A2788,[18]PRIORIZADOS!$A:$N,14,FALSE)),"")</f>
        <v>45881</v>
      </c>
      <c r="O2788" s="71">
        <f>IFERROR(IF(VLOOKUP(A2788,[18]PRIORIZADOS!$A:$O,15,FALSE)="","",VLOOKUP(A2788,[18]PRIORIZADOS!$A:$O,15,FALSE)),"")</f>
        <v>45881</v>
      </c>
      <c r="P2788" s="11" t="str">
        <f>IFERROR(IF(VLOOKUP(A2788,[18]PRIORIZADOS!$A:$P,16,FALSE)="","",VLOOKUP(A2788,[18]PRIORIZADOS!$A:$P,16,FALSE)),"")</f>
        <v>Visitas de evaluación con fines de mejoramiento</v>
      </c>
      <c r="Q2788" s="2" t="s">
        <v>530</v>
      </c>
      <c r="R2788" s="11" t="str">
        <f>IFERROR(IF(VLOOKUP(A2788,[18]PRIORIZADOS!$A:$R,18,FALSE)="","",VLOOKUP(A2788,[18]PRIORIZADOS!$A:$R,18,FALSE)),"")</f>
        <v xml:space="preserve">se encuentra inconsitencia entre lo registrado en SIMAT y la matricula real, No se pagan parafiscales y el numero de docentes tiempo completo no cubre la cantidad de cursos </v>
      </c>
      <c r="S2788" s="11" t="str">
        <f>IFERROR(IF(VLOOKUP(A2788,[18]PRIORIZADOS!$A:$S,19,FALSE)="","",VLOOKUP(A2788,[18]PRIORIZADOS!$A:$S,19,FALSE)),"")</f>
        <v>La institución se compromete a presentar un plan de mejoramiento para cada uno de los aspectos en que se realizó observaciones el 26 de septiembre del 2025, en este aspecto ( SIMAT) se recomendo subsanar en el corto plazo.</v>
      </c>
      <c r="T2788" s="70" t="str">
        <f>IFERROR(IF(VLOOKUP(A2788,[18]PRIORIZADOS!$A:$T,20,FALSE)="","",VLOOKUP(A2788,[18]PRIORIZADOS!$A:$T,20,FALSE)),"")</f>
        <v>Si</v>
      </c>
      <c r="U2788" s="11" t="str">
        <f>IFERROR(IF(VLOOKUP(A2788,[18]PRIORIZADOS!$A:$U,21,FALSE)="","",VLOOKUP(A2788,[18]PRIORIZADOS!$A:$U,21,FALSE)),"")</f>
        <v>Se revisara el plan de mejoramiento y Verificara en la  vigencia 2026</v>
      </c>
    </row>
    <row r="2789" spans="1:21" s="1" customFormat="1" ht="60">
      <c r="A2789" s="69">
        <f>IF([18]PRIORIZADOS!A132="","",[18]PRIORIZADOS!A132)</f>
        <v>2778</v>
      </c>
      <c r="B2789" s="70">
        <f>IFERROR(IF(VLOOKUP(A2789,[18]PRIORIZADOS!$A:$B,2,FALSE)="","",VLOOKUP(A2789,[18]PRIORIZADOS!$A:$B,2,FALSE)),"")</f>
        <v>15</v>
      </c>
      <c r="C2789" s="11" t="str">
        <f>IFERROR(IF(VLOOKUP(A2789,[18]PRIORIZADOS!$A:$C,3,FALSE)="","",VLOOKUP(A2789,[18]PRIORIZADOS!$A:$C,3,FALSE)),"")</f>
        <v>USME</v>
      </c>
      <c r="D2789" s="11" t="str">
        <f>IFERROR(IF(VLOOKUP(A2789,[18]PRIORIZADOS!$A:$D,4,FALSE)="","",VLOOKUP(A2789,[18]PRIORIZADOS!$A:$D,4,FALSE)),"")</f>
        <v>PRIVADO</v>
      </c>
      <c r="E2789" s="11" t="str">
        <f>IFERROR(IF(VLOOKUP(A2789,[18]PRIORIZADOS!$A:$E,5,FALSE)="","",VLOOKUP(A2789,[18]PRIORIZADOS!$A:$E,5,FALSE)),"")</f>
        <v>EPBM</v>
      </c>
      <c r="F2789" s="11" t="str">
        <f>IFERROR(IF(VLOOKUP(A2789,[18]PRIORIZADOS!$A:$F,6,FALSE)="","",VLOOKUP(A2789,[18]PRIORIZADOS!$A:$F,6,FALSE)),"")</f>
        <v>COLEGIO_CIUDAD_BOLIVAR</v>
      </c>
      <c r="G2789" s="11" t="str">
        <f>IFERROR(IF(VLOOKUP(A2789,[18]PRIORIZADOS!$A:$G,7,FALSE)="","",VLOOKUP(A2789,[18]PRIORIZADOS!$A:$G,7,FALSE)),"")</f>
        <v>COLEGIO CIUDAD BOLIVAR</v>
      </c>
      <c r="H2789" s="11" t="str">
        <f>IFERROR(IF(VLOOKUP(A2789,[18]PRIORIZADOS!$A:$H,8,FALSE)="","",VLOOKUP(A2789,[18]PRIORIZADOS!$A:$H,8,FALSE)),"")</f>
        <v>Autoevaluación Institucional y Pruebas SABER 11</v>
      </c>
      <c r="I2789" s="11" t="str">
        <f>IFERROR(IF(VLOOKUP(A2789,[18]PRIORIZADOS!$A:$I,9,FALSE)="","",VLOOKUP(A2789,[18]PRIORIZADOS!$A:$I,9,FALSE)),"")</f>
        <v>SEGUIMIENTO_Y_SUPERVISIÓN.</v>
      </c>
      <c r="J2789" s="11" t="str">
        <f>IFERROR(IF(VLOOKUP(A2789,[18]PRIORIZADOS!$A:$J,10,FALSE)="","",VLOOKUP(A2789,[18]PRIORIZADOS!$A:$J,10,FALSE)),"")</f>
        <v>Proponer estrategias en la formulación, verificar su elaboración y realizar seguimiento semestral al desarrollo de  las acciones establecidas en los planes de mejoramiento por pruebas SABER 11 de los establecimientos de educación formal.</v>
      </c>
      <c r="K2789" s="11" t="str">
        <f>IFERROR(IF(VLOOKUP(A2789,[18]PRIORIZADOS!$A:$K,11,FALSE)="","",VLOOKUP(A2789,[18]PRIORIZADOS!$A:$K,11,FALSE)),"")</f>
        <v>MIGUEL ANTONIO CARO CARO</v>
      </c>
      <c r="L2789" s="11" t="str">
        <f>IFERROR(IF(VLOOKUP(A2789,[18]PRIORIZADOS!$A:$L,12,FALSE)="","",VLOOKUP(A2789,[18]PRIORIZADOS!$A:$L,12,FALSE)),"")</f>
        <v>FRANCY LORENA RODRIGUEZ CASTRO</v>
      </c>
      <c r="M2789" s="71">
        <f>IFERROR(IF(VLOOKUP(A2789,[18]PRIORIZADOS!$A:$M,13,FALSE)="","",VLOOKUP(A2789,[18]PRIORIZADOS!$A:$M,13,FALSE)),"")</f>
        <v>45931</v>
      </c>
      <c r="N2789" s="71">
        <f>IFERROR(IF(VLOOKUP(A2789,[18]PRIORIZADOS!$A:$N,14,FALSE)="","",VLOOKUP(A2789,[18]PRIORIZADOS!$A:$N,14,FALSE)),"")</f>
        <v>45881</v>
      </c>
      <c r="O2789" s="71">
        <f>IFERROR(IF(VLOOKUP(A2789,[18]PRIORIZADOS!$A:$O,15,FALSE)="","",VLOOKUP(A2789,[18]PRIORIZADOS!$A:$O,15,FALSE)),"")</f>
        <v>45881</v>
      </c>
      <c r="P2789" s="11" t="str">
        <f>IFERROR(IF(VLOOKUP(A2789,[18]PRIORIZADOS!$A:$P,16,FALSE)="","",VLOOKUP(A2789,[18]PRIORIZADOS!$A:$P,16,FALSE)),"")</f>
        <v>Visitas de evaluación con fines de mejoramiento</v>
      </c>
      <c r="Q2789" s="2" t="s">
        <v>530</v>
      </c>
      <c r="R2789" s="11" t="str">
        <f>IFERROR(IF(VLOOKUP(A2789,[18]PRIORIZADOS!$A:$R,18,FALSE)="","",VLOOKUP(A2789,[18]PRIORIZADOS!$A:$R,18,FALSE)),"")</f>
        <v>Se evidencia el análisis de resultados PRUEBA SABER, cuenta con plan de mejoramiento adoptado el cual incluye estrategias como simulacros y actualizacion de curriculo</v>
      </c>
      <c r="S2789" s="11" t="str">
        <f>IFERROR(IF(VLOOKUP(A2789,[18]PRIORIZADOS!$A:$S,19,FALSE)="","",VLOOKUP(A2789,[18]PRIORIZADOS!$A:$S,19,FALSE)),"")</f>
        <v>Desarrollo del plan de acción con las estrategias aprobadas: simulacros y actualización de currriculo</v>
      </c>
      <c r="T2789" s="70" t="str">
        <f>IFERROR(IF(VLOOKUP(A2789,[18]PRIORIZADOS!$A:$T,20,FALSE)="","",VLOOKUP(A2789,[18]PRIORIZADOS!$A:$T,20,FALSE)),"")</f>
        <v>No</v>
      </c>
      <c r="U2789" s="11" t="str">
        <f>IFERROR(IF(VLOOKUP(A2789,[18]PRIORIZADOS!$A:$U,21,FALSE)="","",VLOOKUP(A2789,[18]PRIORIZADOS!$A:$U,21,FALSE)),"")</f>
        <v>Se revisara el plan de mejoramiento y Verificara en la  vigencia 2026</v>
      </c>
    </row>
    <row r="2790" spans="1:21" s="1" customFormat="1" ht="84">
      <c r="A2790" s="69">
        <f>IF([18]PRIORIZADOS!A133="","",[18]PRIORIZADOS!A133)</f>
        <v>2779</v>
      </c>
      <c r="B2790" s="70">
        <f>IFERROR(IF(VLOOKUP(A2790,[18]PRIORIZADOS!$A:$B,2,FALSE)="","",VLOOKUP(A2790,[18]PRIORIZADOS!$A:$B,2,FALSE)),"")</f>
        <v>15</v>
      </c>
      <c r="C2790" s="11" t="str">
        <f>IFERROR(IF(VLOOKUP(A2790,[18]PRIORIZADOS!$A:$C,3,FALSE)="","",VLOOKUP(A2790,[18]PRIORIZADOS!$A:$C,3,FALSE)),"")</f>
        <v>USME</v>
      </c>
      <c r="D2790" s="11" t="str">
        <f>IFERROR(IF(VLOOKUP(A2790,[18]PRIORIZADOS!$A:$D,4,FALSE)="","",VLOOKUP(A2790,[18]PRIORIZADOS!$A:$D,4,FALSE)),"")</f>
        <v>PRIVADO</v>
      </c>
      <c r="E2790" s="11" t="str">
        <f>IFERROR(IF(VLOOKUP(A2790,[18]PRIORIZADOS!$A:$E,5,FALSE)="","",VLOOKUP(A2790,[18]PRIORIZADOS!$A:$E,5,FALSE)),"")</f>
        <v>EPBM</v>
      </c>
      <c r="F2790" s="11" t="str">
        <f>IFERROR(IF(VLOOKUP(A2790,[18]PRIORIZADOS!$A:$F,6,FALSE)="","",VLOOKUP(A2790,[18]PRIORIZADOS!$A:$F,6,FALSE)),"")</f>
        <v>COLEGIO_CIUDAD_BOLIVAR</v>
      </c>
      <c r="G2790" s="11" t="str">
        <f>IFERROR(IF(VLOOKUP(A2790,[18]PRIORIZADOS!$A:$G,7,FALSE)="","",VLOOKUP(A2790,[18]PRIORIZADOS!$A:$G,7,FALSE)),"")</f>
        <v>COLEGIO CIUDAD BOLIVAR</v>
      </c>
      <c r="H2790" s="11" t="str">
        <f>IFERROR(IF(VLOOKUP(A2790,[18]PRIORIZADOS!$A:$H,8,FALSE)="","",VLOOKUP(A2790,[18]PRIORIZADOS!$A:$H,8,FALSE)),"")</f>
        <v>Autoevaluación Institucional y Pruebas SABER 11</v>
      </c>
      <c r="I2790" s="11" t="str">
        <f>IFERROR(IF(VLOOKUP(A2790,[18]PRIORIZADOS!$A:$I,9,FALSE)="","",VLOOKUP(A2790,[18]PRIORIZADOS!$A:$I,9,FALSE)),"")</f>
        <v>SEGUIMIENTO_Y_SUPERVISIÓN.</v>
      </c>
      <c r="J2790" s="11" t="str">
        <f>IFERROR(IF(VLOOKUP(A2790,[18]PRIORIZADOS!$A:$J,10,FALSE)="","",VLOOKUP(A2790,[18]PRIORIZADOS!$A:$J,10,FALSE)),"")</f>
        <v xml:space="preserve">Verificar la implementación por parte de los colegios, de acciones realizadas para la prevención y atención de las situaciones de convivencia en el entorno escolar, según lo establecido en la Directiva 01 de 2022 del MEN. </v>
      </c>
      <c r="K2790" s="11" t="str">
        <f>IFERROR(IF(VLOOKUP(A2790,[18]PRIORIZADOS!$A:$K,11,FALSE)="","",VLOOKUP(A2790,[18]PRIORIZADOS!$A:$K,11,FALSE)),"")</f>
        <v>MIGUEL ANTONIO CARO CARO</v>
      </c>
      <c r="L2790" s="11" t="str">
        <f>IFERROR(IF(VLOOKUP(A2790,[18]PRIORIZADOS!$A:$L,12,FALSE)="","",VLOOKUP(A2790,[18]PRIORIZADOS!$A:$L,12,FALSE)),"")</f>
        <v>FRANCY LORENA RODRIGUEZ CASTRO</v>
      </c>
      <c r="M2790" s="71">
        <f>IFERROR(IF(VLOOKUP(A2790,[18]PRIORIZADOS!$A:$M,13,FALSE)="","",VLOOKUP(A2790,[18]PRIORIZADOS!$A:$M,13,FALSE)),"")</f>
        <v>45931</v>
      </c>
      <c r="N2790" s="71">
        <f>IFERROR(IF(VLOOKUP(A2790,[18]PRIORIZADOS!$A:$N,14,FALSE)="","",VLOOKUP(A2790,[18]PRIORIZADOS!$A:$N,14,FALSE)),"")</f>
        <v>45881</v>
      </c>
      <c r="O2790" s="71">
        <f>IFERROR(IF(VLOOKUP(A2790,[18]PRIORIZADOS!$A:$O,15,FALSE)="","",VLOOKUP(A2790,[18]PRIORIZADOS!$A:$O,15,FALSE)),"")</f>
        <v>45881</v>
      </c>
      <c r="P2790" s="11" t="str">
        <f>IFERROR(IF(VLOOKUP(A2790,[18]PRIORIZADOS!$A:$P,16,FALSE)="","",VLOOKUP(A2790,[18]PRIORIZADOS!$A:$P,16,FALSE)),"")</f>
        <v>Visitas de evaluación con fines de mejoramiento</v>
      </c>
      <c r="Q2790" s="2" t="s">
        <v>530</v>
      </c>
      <c r="R2790" s="11" t="str">
        <f>IFERROR(IF(VLOOKUP(A2790,[18]PRIORIZADOS!$A:$R,18,FALSE)="","",VLOOKUP(A2790,[18]PRIORIZADOS!$A:$R,18,FALSE)),"")</f>
        <v>Se evidencia el cumplimiento de la Directiva 01, sobre la consulta de inhabilidades por delitos sexuales se encuentra actualizado el manual de convivencia .</v>
      </c>
      <c r="S2790" s="11" t="str">
        <f>IFERROR(IF(VLOOKUP(A2790,[18]PRIORIZADOS!$A:$S,19,FALSE)="","",VLOOKUP(A2790,[18]PRIORIZADOS!$A:$S,19,FALSE)),"")</f>
        <v xml:space="preserve">Continuar la revisón periodica del cumplimiento de la Directiva 01 de 2022, y presentar un plan de mejoramiento para cada uno de los aspectos en que se realizó observaciones, el 26 de septiembre del 2025, ya radico  y  se le realizaron observaciones al mismo en reunión directa </v>
      </c>
      <c r="T2790" s="70" t="str">
        <f>IFERROR(IF(VLOOKUP(A2790,[18]PRIORIZADOS!$A:$T,20,FALSE)="","",VLOOKUP(A2790,[18]PRIORIZADOS!$A:$T,20,FALSE)),"")</f>
        <v>Si</v>
      </c>
      <c r="U2790" s="11" t="str">
        <f>IFERROR(IF(VLOOKUP(A2790,[18]PRIORIZADOS!$A:$U,21,FALSE)="","",VLOOKUP(A2790,[18]PRIORIZADOS!$A:$U,21,FALSE)),"")</f>
        <v>Se verificara nuevamente el cumplimiento la Directiva 01, se revisara plan de mejoramiento y se verificara en la vigencia 2026.</v>
      </c>
    </row>
    <row r="2791" spans="1:21" s="1" customFormat="1" ht="72">
      <c r="A2791" s="69">
        <f>IF([18]PRIORIZADOS!A134="","",[18]PRIORIZADOS!A134)</f>
        <v>2780</v>
      </c>
      <c r="B2791" s="70">
        <f>IFERROR(IF(VLOOKUP(A2791,[18]PRIORIZADOS!$A:$B,2,FALSE)="","",VLOOKUP(A2791,[18]PRIORIZADOS!$A:$B,2,FALSE)),"")</f>
        <v>15</v>
      </c>
      <c r="C2791" s="11" t="str">
        <f>IFERROR(IF(VLOOKUP(A2791,[18]PRIORIZADOS!$A:$C,3,FALSE)="","",VLOOKUP(A2791,[18]PRIORIZADOS!$A:$C,3,FALSE)),"")</f>
        <v>USME</v>
      </c>
      <c r="D2791" s="11" t="str">
        <f>IFERROR(IF(VLOOKUP(A2791,[18]PRIORIZADOS!$A:$D,4,FALSE)="","",VLOOKUP(A2791,[18]PRIORIZADOS!$A:$D,4,FALSE)),"")</f>
        <v>PRIVADO</v>
      </c>
      <c r="E2791" s="11" t="str">
        <f>IFERROR(IF(VLOOKUP(A2791,[18]PRIORIZADOS!$A:$E,5,FALSE)="","",VLOOKUP(A2791,[18]PRIORIZADOS!$A:$E,5,FALSE)),"")</f>
        <v>EPBM</v>
      </c>
      <c r="F2791" s="11" t="str">
        <f>IFERROR(IF(VLOOKUP(A2791,[18]PRIORIZADOS!$A:$F,6,FALSE)="","",VLOOKUP(A2791,[18]PRIORIZADOS!$A:$F,6,FALSE)),"")</f>
        <v>COLEGIO_CIUDAD_BOLIVAR</v>
      </c>
      <c r="G2791" s="11" t="str">
        <f>IFERROR(IF(VLOOKUP(A2791,[18]PRIORIZADOS!$A:$G,7,FALSE)="","",VLOOKUP(A2791,[18]PRIORIZADOS!$A:$G,7,FALSE)),"")</f>
        <v>COLEGIO CIUDAD BOLIVAR</v>
      </c>
      <c r="H2791" s="11" t="str">
        <f>IFERROR(IF(VLOOKUP(A2791,[18]PRIORIZADOS!$A:$H,8,FALSE)="","",VLOOKUP(A2791,[18]PRIORIZADOS!$A:$H,8,FALSE)),"")</f>
        <v>Autoevaluación Institucional y Pruebas SABER 11</v>
      </c>
      <c r="I2791" s="11" t="str">
        <f>IFERROR(IF(VLOOKUP(A2791,[18]PRIORIZADOS!$A:$I,9,FALSE)="","",VLOOKUP(A2791,[18]PRIORIZADOS!$A:$I,9,FALSE)),"")</f>
        <v>SEGUIMIENTO_Y_SUPERVISIÓN.</v>
      </c>
      <c r="J2791" s="11" t="str">
        <f>IFERROR(IF(VLOOKUP(A2791,[18]PRIORIZADOS!$A:$J,10,FALSE)="","",VLOOKUP(A2791,[18]PRIORIZADOS!$A:$J,10,FALSE)),"")</f>
        <v>Verificar la elaboración, actualización y desarrollo de los Planes Individuales de Ajustes Razonables -PIAR, en marco del Decreto 1421 de 2017, de conformidad con el PEI, el manual de convivencia y en la atención a la población con discapacidad, trastornos del aprendizaje, y talentos excepcionales.</v>
      </c>
      <c r="K2791" s="11" t="str">
        <f>IFERROR(IF(VLOOKUP(A2791,[18]PRIORIZADOS!$A:$K,11,FALSE)="","",VLOOKUP(A2791,[18]PRIORIZADOS!$A:$K,11,FALSE)),"")</f>
        <v>MIGUEL ANTONIO CARO CARO</v>
      </c>
      <c r="L2791" s="11" t="str">
        <f>IFERROR(IF(VLOOKUP(A2791,[18]PRIORIZADOS!$A:$L,12,FALSE)="","",VLOOKUP(A2791,[18]PRIORIZADOS!$A:$L,12,FALSE)),"")</f>
        <v>FRANCY LORENA RODRIGUEZ CASTRO</v>
      </c>
      <c r="M2791" s="71">
        <f>IFERROR(IF(VLOOKUP(A2791,[18]PRIORIZADOS!$A:$M,13,FALSE)="","",VLOOKUP(A2791,[18]PRIORIZADOS!$A:$M,13,FALSE)),"")</f>
        <v>45931</v>
      </c>
      <c r="N2791" s="71">
        <f>IFERROR(IF(VLOOKUP(A2791,[18]PRIORIZADOS!$A:$N,14,FALSE)="","",VLOOKUP(A2791,[18]PRIORIZADOS!$A:$N,14,FALSE)),"")</f>
        <v>45881</v>
      </c>
      <c r="O2791" s="71">
        <f>IFERROR(IF(VLOOKUP(A2791,[18]PRIORIZADOS!$A:$O,15,FALSE)="","",VLOOKUP(A2791,[18]PRIORIZADOS!$A:$O,15,FALSE)),"")</f>
        <v>45881</v>
      </c>
      <c r="P2791" s="11" t="str">
        <f>IFERROR(IF(VLOOKUP(A2791,[18]PRIORIZADOS!$A:$P,16,FALSE)="","",VLOOKUP(A2791,[18]PRIORIZADOS!$A:$P,16,FALSE)),"")</f>
        <v>Visitas de evaluación con fines de mejoramiento</v>
      </c>
      <c r="Q2791" s="2" t="s">
        <v>530</v>
      </c>
      <c r="R2791" s="11" t="str">
        <f>IFERROR(IF(VLOOKUP(A2791,[18]PRIORIZADOS!$A:$R,18,FALSE)="","",VLOOKUP(A2791,[18]PRIORIZADOS!$A:$R,18,FALSE)),"")</f>
        <v>Se encuentra evidencia del cumplimiento de los PIAR , pero no se registro lo pertinente en el SIMAT</v>
      </c>
      <c r="S2791" s="11" t="str">
        <f>IFERROR(IF(VLOOKUP(A2791,[18]PRIORIZADOS!$A:$S,19,FALSE)="","",VLOOKUP(A2791,[18]PRIORIZADOS!$A:$S,19,FALSE)),"")</f>
        <v>La institución se compromete a presentar un plan de mejoramiento para cada uno de los aspectos en que se realizó observaciones el 26 de septiembre del 2025, en este aspecto ( SIMAT) se recomendo subsanar en el corto plazo.</v>
      </c>
      <c r="T2791" s="70" t="str">
        <f>IFERROR(IF(VLOOKUP(A2791,[18]PRIORIZADOS!$A:$T,20,FALSE)="","",VLOOKUP(A2791,[18]PRIORIZADOS!$A:$T,20,FALSE)),"")</f>
        <v>No</v>
      </c>
      <c r="U2791" s="11" t="str">
        <f>IFERROR(IF(VLOOKUP(A2791,[18]PRIORIZADOS!$A:$U,21,FALSE)="","",VLOOKUP(A2791,[18]PRIORIZADOS!$A:$U,21,FALSE)),"")</f>
        <v>Se revisara el plan de mejoramiento y Verificara en la  vigencia 2026</v>
      </c>
    </row>
    <row r="2792" spans="1:21" s="1" customFormat="1" ht="84">
      <c r="A2792" s="69">
        <f>IF([18]PRIORIZADOS!A135="","",[18]PRIORIZADOS!A135)</f>
        <v>2781</v>
      </c>
      <c r="B2792" s="70">
        <f>IFERROR(IF(VLOOKUP(A2792,[18]PRIORIZADOS!$A:$B,2,FALSE)="","",VLOOKUP(A2792,[18]PRIORIZADOS!$A:$B,2,FALSE)),"")</f>
        <v>15</v>
      </c>
      <c r="C2792" s="11" t="str">
        <f>IFERROR(IF(VLOOKUP(A2792,[18]PRIORIZADOS!$A:$C,3,FALSE)="","",VLOOKUP(A2792,[18]PRIORIZADOS!$A:$C,3,FALSE)),"")</f>
        <v>USME</v>
      </c>
      <c r="D2792" s="11" t="str">
        <f>IFERROR(IF(VLOOKUP(A2792,[18]PRIORIZADOS!$A:$D,4,FALSE)="","",VLOOKUP(A2792,[18]PRIORIZADOS!$A:$D,4,FALSE)),"")</f>
        <v>PRIVADO</v>
      </c>
      <c r="E2792" s="11" t="str">
        <f>IFERROR(IF(VLOOKUP(A2792,[18]PRIORIZADOS!$A:$E,5,FALSE)="","",VLOOKUP(A2792,[18]PRIORIZADOS!$A:$E,5,FALSE)),"")</f>
        <v>EPBM</v>
      </c>
      <c r="F2792" s="11" t="str">
        <f>IFERROR(IF(VLOOKUP(A2792,[18]PRIORIZADOS!$A:$F,6,FALSE)="","",VLOOKUP(A2792,[18]PRIORIZADOS!$A:$F,6,FALSE)),"")</f>
        <v>COLEGIO_CIUDAD_BOLIVAR</v>
      </c>
      <c r="G2792" s="11" t="str">
        <f>IFERROR(IF(VLOOKUP(A2792,[18]PRIORIZADOS!$A:$G,7,FALSE)="","",VLOOKUP(A2792,[18]PRIORIZADOS!$A:$G,7,FALSE)),"")</f>
        <v>COLEGIO CIUDAD BOLIVAR</v>
      </c>
      <c r="H2792" s="11" t="str">
        <f>IFERROR(IF(VLOOKUP(A2792,[18]PRIORIZADOS!$A:$H,8,FALSE)="","",VLOOKUP(A2792,[18]PRIORIZADOS!$A:$H,8,FALSE)),"")</f>
        <v>Autoevaluación Institucional y Pruebas SABER 11</v>
      </c>
      <c r="I2792" s="11" t="str">
        <f>IFERROR(IF(VLOOKUP(A2792,[18]PRIORIZADOS!$A:$I,9,FALSE)="","",VLOOKUP(A2792,[18]PRIORIZADOS!$A:$I,9,FALSE)),"")</f>
        <v>EVALUACIÓN_CON_FINES_DE_MEJORAMIENTO.</v>
      </c>
      <c r="J2792" s="11" t="str">
        <f>IFERROR(IF(VLOOKUP(A2792,[18]PRIORIZADOS!$A:$J,10,FALSE)="","",VLOOKUP(A2792,[18]PRIORIZADOS!$A:$J,10,FALSE)),"")</f>
        <v>Evaluar el Manual de Convivencia, su actualización, socialización e  implementación conforme a lo establecido en el PEI y la normatividad vigente (Constitución Política de Colombia, Ley 115 de 1994, Ley 1098 de 2006, Ley 1620 de 2013, Ley 1732 de 2014 y en la Sentencia T-478 de 2015, entre otras proferidas por la Corte Constitucional en la materia).</v>
      </c>
      <c r="K2792" s="11" t="str">
        <f>IFERROR(IF(VLOOKUP(A2792,[18]PRIORIZADOS!$A:$K,11,FALSE)="","",VLOOKUP(A2792,[18]PRIORIZADOS!$A:$K,11,FALSE)),"")</f>
        <v>MIGUEL ANTONIO CARO CARO</v>
      </c>
      <c r="L2792" s="11" t="str">
        <f>IFERROR(IF(VLOOKUP(A2792,[18]PRIORIZADOS!$A:$L,12,FALSE)="","",VLOOKUP(A2792,[18]PRIORIZADOS!$A:$L,12,FALSE)),"")</f>
        <v>FRANCY LORENA RODRIGUEZ CASTRO</v>
      </c>
      <c r="M2792" s="71">
        <f>IFERROR(IF(VLOOKUP(A2792,[18]PRIORIZADOS!$A:$M,13,FALSE)="","",VLOOKUP(A2792,[18]PRIORIZADOS!$A:$M,13,FALSE)),"")</f>
        <v>45931</v>
      </c>
      <c r="N2792" s="71">
        <f>IFERROR(IF(VLOOKUP(A2792,[18]PRIORIZADOS!$A:$N,14,FALSE)="","",VLOOKUP(A2792,[18]PRIORIZADOS!$A:$N,14,FALSE)),"")</f>
        <v>45881</v>
      </c>
      <c r="O2792" s="71">
        <f>IFERROR(IF(VLOOKUP(A2792,[18]PRIORIZADOS!$A:$O,15,FALSE)="","",VLOOKUP(A2792,[18]PRIORIZADOS!$A:$O,15,FALSE)),"")</f>
        <v>45881</v>
      </c>
      <c r="P2792" s="11" t="str">
        <f>IFERROR(IF(VLOOKUP(A2792,[18]PRIORIZADOS!$A:$P,16,FALSE)="","",VLOOKUP(A2792,[18]PRIORIZADOS!$A:$P,16,FALSE)),"")</f>
        <v>Visitas de evaluación con fines de mejoramiento</v>
      </c>
      <c r="Q2792" s="2" t="s">
        <v>530</v>
      </c>
      <c r="R2792" s="11" t="str">
        <f>IFERROR(IF(VLOOKUP(A2792,[18]PRIORIZADOS!$A:$R,18,FALSE)="","",VLOOKUP(A2792,[18]PRIORIZADOS!$A:$R,18,FALSE)),"")</f>
        <v>Se cuenta con Manual de Convivencia actualizado, pero no se regsitra ni el proceso participativo ni su socialización ni contiene los enfoque de Politica Publica</v>
      </c>
      <c r="S2792" s="11" t="str">
        <f>IFERROR(IF(VLOOKUP(A2792,[18]PRIORIZADOS!$A:$S,19,FALSE)="","",VLOOKUP(A2792,[18]PRIORIZADOS!$A:$S,19,FALSE)),"")</f>
        <v>La institución se compromete a presentar un plan de mejoramiento para cada uno de los aspectos en que se realizó observaciones el 26 de septiembre del 2025.</v>
      </c>
      <c r="T2792" s="70" t="str">
        <f>IFERROR(IF(VLOOKUP(A2792,[18]PRIORIZADOS!$A:$T,20,FALSE)="","",VLOOKUP(A2792,[18]PRIORIZADOS!$A:$T,20,FALSE)),"")</f>
        <v>Si</v>
      </c>
      <c r="U2792" s="11" t="str">
        <f>IFERROR(IF(VLOOKUP(A2792,[18]PRIORIZADOS!$A:$U,21,FALSE)="","",VLOOKUP(A2792,[18]PRIORIZADOS!$A:$U,21,FALSE)),"")</f>
        <v>Se revisara el plan de mejoramiento y Verificara en la  vigencia 2026</v>
      </c>
    </row>
    <row r="2793" spans="1:21" s="1" customFormat="1" ht="60">
      <c r="A2793" s="69">
        <f>IF([18]PRIORIZADOS!A136="","",[18]PRIORIZADOS!A136)</f>
        <v>2782</v>
      </c>
      <c r="B2793" s="70">
        <f>IFERROR(IF(VLOOKUP(A2793,[18]PRIORIZADOS!$A:$B,2,FALSE)="","",VLOOKUP(A2793,[18]PRIORIZADOS!$A:$B,2,FALSE)),"")</f>
        <v>15</v>
      </c>
      <c r="C2793" s="11" t="str">
        <f>IFERROR(IF(VLOOKUP(A2793,[18]PRIORIZADOS!$A:$C,3,FALSE)="","",VLOOKUP(A2793,[18]PRIORIZADOS!$A:$C,3,FALSE)),"")</f>
        <v>USME</v>
      </c>
      <c r="D2793" s="11" t="str">
        <f>IFERROR(IF(VLOOKUP(A2793,[18]PRIORIZADOS!$A:$D,4,FALSE)="","",VLOOKUP(A2793,[18]PRIORIZADOS!$A:$D,4,FALSE)),"")</f>
        <v>PRIVADO</v>
      </c>
      <c r="E2793" s="11" t="str">
        <f>IFERROR(IF(VLOOKUP(A2793,[18]PRIORIZADOS!$A:$E,5,FALSE)="","",VLOOKUP(A2793,[18]PRIORIZADOS!$A:$E,5,FALSE)),"")</f>
        <v>EPBM</v>
      </c>
      <c r="F2793" s="11" t="str">
        <f>IFERROR(IF(VLOOKUP(A2793,[18]PRIORIZADOS!$A:$F,6,FALSE)="","",VLOOKUP(A2793,[18]PRIORIZADOS!$A:$F,6,FALSE)),"")</f>
        <v>COLEGIO_CIUDAD_BOLIVAR</v>
      </c>
      <c r="G2793" s="11" t="str">
        <f>IFERROR(IF(VLOOKUP(A2793,[18]PRIORIZADOS!$A:$G,7,FALSE)="","",VLOOKUP(A2793,[18]PRIORIZADOS!$A:$G,7,FALSE)),"")</f>
        <v>COLEGIO CIUDAD BOLIVAR</v>
      </c>
      <c r="H2793" s="11" t="str">
        <f>IFERROR(IF(VLOOKUP(A2793,[18]PRIORIZADOS!$A:$H,8,FALSE)="","",VLOOKUP(A2793,[18]PRIORIZADOS!$A:$H,8,FALSE)),"")</f>
        <v>Autoevaluación Institucional y Pruebas SABER 11</v>
      </c>
      <c r="I2793" s="11" t="str">
        <f>IFERROR(IF(VLOOKUP(A2793,[18]PRIORIZADOS!$A:$I,9,FALSE)="","",VLOOKUP(A2793,[18]PRIORIZADOS!$A:$I,9,FALSE)),"")</f>
        <v>EVALUACIÓN_CON_FINES_DE_MEJORAMIENTO.</v>
      </c>
      <c r="J2793" s="11" t="str">
        <f>IFERROR(IF(VLOOKUP(A2793,[18]PRIORIZADOS!$A:$J,10,FALSE)="","",VLOOKUP(A2793,[18]PRIORIZADOS!$A:$J,10,FALSE)),"")</f>
        <v>Revisar la actualización, socialización e implementación del Sistema Institucional de Evaluación de Estudiantes - SIEE, en articulación con la actualización del PEI y la normatividad vigente.</v>
      </c>
      <c r="K2793" s="11" t="str">
        <f>IFERROR(IF(VLOOKUP(A2793,[18]PRIORIZADOS!$A:$K,11,FALSE)="","",VLOOKUP(A2793,[18]PRIORIZADOS!$A:$K,11,FALSE)),"")</f>
        <v>MIGUEL ANTONIO CARO CARO</v>
      </c>
      <c r="L2793" s="11" t="str">
        <f>IFERROR(IF(VLOOKUP(A2793,[18]PRIORIZADOS!$A:$L,12,FALSE)="","",VLOOKUP(A2793,[18]PRIORIZADOS!$A:$L,12,FALSE)),"")</f>
        <v>FRANCY LORENA RODRIGUEZ CASTRO</v>
      </c>
      <c r="M2793" s="71">
        <f>IFERROR(IF(VLOOKUP(A2793,[18]PRIORIZADOS!$A:$M,13,FALSE)="","",VLOOKUP(A2793,[18]PRIORIZADOS!$A:$M,13,FALSE)),"")</f>
        <v>45931</v>
      </c>
      <c r="N2793" s="71">
        <f>IFERROR(IF(VLOOKUP(A2793,[18]PRIORIZADOS!$A:$N,14,FALSE)="","",VLOOKUP(A2793,[18]PRIORIZADOS!$A:$N,14,FALSE)),"")</f>
        <v>45881</v>
      </c>
      <c r="O2793" s="71">
        <f>IFERROR(IF(VLOOKUP(A2793,[18]PRIORIZADOS!$A:$O,15,FALSE)="","",VLOOKUP(A2793,[18]PRIORIZADOS!$A:$O,15,FALSE)),"")</f>
        <v>45881</v>
      </c>
      <c r="P2793" s="11" t="str">
        <f>IFERROR(IF(VLOOKUP(A2793,[18]PRIORIZADOS!$A:$P,16,FALSE)="","",VLOOKUP(A2793,[18]PRIORIZADOS!$A:$P,16,FALSE)),"")</f>
        <v>Visitas de evaluación con fines de mejoramiento</v>
      </c>
      <c r="Q2793" s="2" t="s">
        <v>530</v>
      </c>
      <c r="R2793" s="11" t="str">
        <f>IFERROR(IF(VLOOKUP(A2793,[18]PRIORIZADOS!$A:$R,18,FALSE)="","",VLOOKUP(A2793,[18]PRIORIZADOS!$A:$R,18,FALSE)),"")</f>
        <v xml:space="preserve">Se cuenta con un SIEE que se aplica, se expide boletines y se tiene planes de mejoramiento de estudiantes por area y por tema </v>
      </c>
      <c r="S2793" s="11" t="str">
        <f>IFERROR(IF(VLOOKUP(A2793,[18]PRIORIZADOS!$A:$S,19,FALSE)="","",VLOOKUP(A2793,[18]PRIORIZADOS!$A:$S,19,FALSE)),"")</f>
        <v>La institución se compromete a presentar un plan de mejoramiento para cada uno de los aspectos en que se realizó observaciones el 26 de septiembre del 2025.</v>
      </c>
      <c r="T2793" s="70" t="str">
        <f>IFERROR(IF(VLOOKUP(A2793,[18]PRIORIZADOS!$A:$T,20,FALSE)="","",VLOOKUP(A2793,[18]PRIORIZADOS!$A:$T,20,FALSE)),"")</f>
        <v>No</v>
      </c>
      <c r="U2793" s="11" t="str">
        <f>IFERROR(IF(VLOOKUP(A2793,[18]PRIORIZADOS!$A:$U,21,FALSE)="","",VLOOKUP(A2793,[18]PRIORIZADOS!$A:$U,21,FALSE)),"")</f>
        <v>Se revisara el plan de mejoramiento y Verificara en la  vigencia 2026</v>
      </c>
    </row>
    <row r="2794" spans="1:21" s="1" customFormat="1" ht="60">
      <c r="A2794" s="69">
        <f>IF([18]PRIORIZADOS!A137="","",[18]PRIORIZADOS!A137)</f>
        <v>2783</v>
      </c>
      <c r="B2794" s="70">
        <f>IFERROR(IF(VLOOKUP(A2794,[18]PRIORIZADOS!$A:$B,2,FALSE)="","",VLOOKUP(A2794,[18]PRIORIZADOS!$A:$B,2,FALSE)),"")</f>
        <v>15</v>
      </c>
      <c r="C2794" s="11" t="str">
        <f>IFERROR(IF(VLOOKUP(A2794,[18]PRIORIZADOS!$A:$C,3,FALSE)="","",VLOOKUP(A2794,[18]PRIORIZADOS!$A:$C,3,FALSE)),"")</f>
        <v>USME</v>
      </c>
      <c r="D2794" s="11" t="str">
        <f>IFERROR(IF(VLOOKUP(A2794,[18]PRIORIZADOS!$A:$D,4,FALSE)="","",VLOOKUP(A2794,[18]PRIORIZADOS!$A:$D,4,FALSE)),"")</f>
        <v>PRIVADO</v>
      </c>
      <c r="E2794" s="11" t="str">
        <f>IFERROR(IF(VLOOKUP(A2794,[18]PRIORIZADOS!$A:$E,5,FALSE)="","",VLOOKUP(A2794,[18]PRIORIZADOS!$A:$E,5,FALSE)),"")</f>
        <v>EPBM</v>
      </c>
      <c r="F2794" s="11" t="str">
        <f>IFERROR(IF(VLOOKUP(A2794,[18]PRIORIZADOS!$A:$F,6,FALSE)="","",VLOOKUP(A2794,[18]PRIORIZADOS!$A:$F,6,FALSE)),"")</f>
        <v>COLEGIO_CIUDAD_BOLIVAR</v>
      </c>
      <c r="G2794" s="11" t="str">
        <f>IFERROR(IF(VLOOKUP(A2794,[18]PRIORIZADOS!$A:$G,7,FALSE)="","",VLOOKUP(A2794,[18]PRIORIZADOS!$A:$G,7,FALSE)),"")</f>
        <v>COLEGIO CIUDAD BOLIVAR</v>
      </c>
      <c r="H2794" s="11" t="str">
        <f>IFERROR(IF(VLOOKUP(A2794,[18]PRIORIZADOS!$A:$H,8,FALSE)="","",VLOOKUP(A2794,[18]PRIORIZADOS!$A:$H,8,FALSE)),"")</f>
        <v>Autoevaluación Institucional y Pruebas SABER 11</v>
      </c>
      <c r="I2794" s="11" t="str">
        <f>IFERROR(IF(VLOOKUP(A2794,[18]PRIORIZADOS!$A:$I,9,FALSE)="","",VLOOKUP(A2794,[18]PRIORIZADOS!$A:$I,9,FALSE)),"")</f>
        <v>EVALUACIÓN_CON_FINES_DE_MEJORAMIENTO.</v>
      </c>
      <c r="J2794" s="11" t="str">
        <f>IFERROR(IF(VLOOKUP(A2794,[18]PRIORIZADOS!$A:$J,10,FALSE)="","",VLOOKUP(A2794,[18]PRIORIZADOS!$A:$J,10,FALSE)),"")</f>
        <v>Revisar el calendario escolar, jornada escolar, la intensidad horaria mínima anual en cada nivel y las modificaciones que se realicen al mismo, de acuerdo con lo previsto en la normatividad vigente.</v>
      </c>
      <c r="K2794" s="11" t="str">
        <f>IFERROR(IF(VLOOKUP(A2794,[18]PRIORIZADOS!$A:$K,11,FALSE)="","",VLOOKUP(A2794,[18]PRIORIZADOS!$A:$K,11,FALSE)),"")</f>
        <v>MIGUEL ANTONIO CARO CARO</v>
      </c>
      <c r="L2794" s="11" t="str">
        <f>IFERROR(IF(VLOOKUP(A2794,[18]PRIORIZADOS!$A:$L,12,FALSE)="","",VLOOKUP(A2794,[18]PRIORIZADOS!$A:$L,12,FALSE)),"")</f>
        <v>FRANCY LORENA RODRIGUEZ CASTRO</v>
      </c>
      <c r="M2794" s="71">
        <f>IFERROR(IF(VLOOKUP(A2794,[18]PRIORIZADOS!$A:$M,13,FALSE)="","",VLOOKUP(A2794,[18]PRIORIZADOS!$A:$M,13,FALSE)),"")</f>
        <v>45931</v>
      </c>
      <c r="N2794" s="71">
        <f>IFERROR(IF(VLOOKUP(A2794,[18]PRIORIZADOS!$A:$N,14,FALSE)="","",VLOOKUP(A2794,[18]PRIORIZADOS!$A:$N,14,FALSE)),"")</f>
        <v>45881</v>
      </c>
      <c r="O2794" s="71">
        <f>IFERROR(IF(VLOOKUP(A2794,[18]PRIORIZADOS!$A:$O,15,FALSE)="","",VLOOKUP(A2794,[18]PRIORIZADOS!$A:$O,15,FALSE)),"")</f>
        <v>45881</v>
      </c>
      <c r="P2794" s="11" t="str">
        <f>IFERROR(IF(VLOOKUP(A2794,[18]PRIORIZADOS!$A:$P,16,FALSE)="","",VLOOKUP(A2794,[18]PRIORIZADOS!$A:$P,16,FALSE)),"")</f>
        <v>Visitas de evaluación con fines de mejoramiento</v>
      </c>
      <c r="Q2794" s="2" t="s">
        <v>530</v>
      </c>
      <c r="R2794" s="11" t="str">
        <f>IFERROR(IF(VLOOKUP(A2794,[18]PRIORIZADOS!$A:$R,18,FALSE)="","",VLOOKUP(A2794,[18]PRIORIZADOS!$A:$R,18,FALSE)),"")</f>
        <v>Se cuenta con Calendario escolar y en el registro EVI  para preescolar 998 horas y la básica 1.283 horas, se requiere que en el EVI se ajuste esta información.</v>
      </c>
      <c r="S2794" s="11" t="str">
        <f>IFERROR(IF(VLOOKUP(A2794,[18]PRIORIZADOS!$A:$S,19,FALSE)="","",VLOOKUP(A2794,[18]PRIORIZADOS!$A:$S,19,FALSE)),"")</f>
        <v>La institución se compromete a presentar un plan de mejoramiento para cada uno de los aspectos en que se realizó observaciones el 26 de septiembre del 2025.</v>
      </c>
      <c r="T2794" s="70" t="str">
        <f>IFERROR(IF(VLOOKUP(A2794,[18]PRIORIZADOS!$A:$T,20,FALSE)="","",VLOOKUP(A2794,[18]PRIORIZADOS!$A:$T,20,FALSE)),"")</f>
        <v>No</v>
      </c>
      <c r="U2794" s="11" t="str">
        <f>IFERROR(IF(VLOOKUP(A2794,[18]PRIORIZADOS!$A:$U,21,FALSE)="","",VLOOKUP(A2794,[18]PRIORIZADOS!$A:$U,21,FALSE)),"")</f>
        <v>Se revisara el plan de mejoramiento y Verificara en la  vigencia 2026</v>
      </c>
    </row>
    <row r="2795" spans="1:21" s="1" customFormat="1" ht="72">
      <c r="A2795" s="69">
        <f>IF([18]PRIORIZADOS!A138="","",[18]PRIORIZADOS!A138)</f>
        <v>2784</v>
      </c>
      <c r="B2795" s="70">
        <f>IFERROR(IF(VLOOKUP(A2795,[18]PRIORIZADOS!$A:$B,2,FALSE)="","",VLOOKUP(A2795,[18]PRIORIZADOS!$A:$B,2,FALSE)),"")</f>
        <v>15</v>
      </c>
      <c r="C2795" s="11" t="str">
        <f>IFERROR(IF(VLOOKUP(A2795,[18]PRIORIZADOS!$A:$C,3,FALSE)="","",VLOOKUP(A2795,[18]PRIORIZADOS!$A:$C,3,FALSE)),"")</f>
        <v>USME</v>
      </c>
      <c r="D2795" s="11" t="str">
        <f>IFERROR(IF(VLOOKUP(A2795,[18]PRIORIZADOS!$A:$D,4,FALSE)="","",VLOOKUP(A2795,[18]PRIORIZADOS!$A:$D,4,FALSE)),"")</f>
        <v>PRIVADO</v>
      </c>
      <c r="E2795" s="11" t="str">
        <f>IFERROR(IF(VLOOKUP(A2795,[18]PRIORIZADOS!$A:$E,5,FALSE)="","",VLOOKUP(A2795,[18]PRIORIZADOS!$A:$E,5,FALSE)),"")</f>
        <v>EPBM</v>
      </c>
      <c r="F2795" s="11" t="str">
        <f>IFERROR(IF(VLOOKUP(A2795,[18]PRIORIZADOS!$A:$F,6,FALSE)="","",VLOOKUP(A2795,[18]PRIORIZADOS!$A:$F,6,FALSE)),"")</f>
        <v>COLEGIO_CIUDAD_BOLIVAR</v>
      </c>
      <c r="G2795" s="11" t="str">
        <f>IFERROR(IF(VLOOKUP(A2795,[18]PRIORIZADOS!$A:$G,7,FALSE)="","",VLOOKUP(A2795,[18]PRIORIZADOS!$A:$G,7,FALSE)),"")</f>
        <v>COLEGIO CIUDAD BOLIVAR</v>
      </c>
      <c r="H2795" s="11" t="str">
        <f>IFERROR(IF(VLOOKUP(A2795,[18]PRIORIZADOS!$A:$H,8,FALSE)="","",VLOOKUP(A2795,[18]PRIORIZADOS!$A:$H,8,FALSE)),"")</f>
        <v>Autoevaluación Institucional y Pruebas SABER 11</v>
      </c>
      <c r="I2795" s="11" t="str">
        <f>IFERROR(IF(VLOOKUP(A2795,[18]PRIORIZADOS!$A:$I,9,FALSE)="","",VLOOKUP(A2795,[18]PRIORIZADOS!$A:$I,9,FALSE)),"")</f>
        <v>EVALUACIÓN_CON_FINES_DE_MEJORAMIENTO.</v>
      </c>
      <c r="J2795" s="11" t="str">
        <f>IFERROR(IF(VLOOKUP(A2795,[18]PRIORIZADOS!$A:$J,10,FALSE)="","",VLOOKUP(A2795,[18]PRIORIZADOS!$A:$J,10,FALSE)),"")</f>
        <v>Verificar el funcionamiento del Gobierno Escolar e instancias de participación con base en la información sobre conformación reportada por la institución educativa.</v>
      </c>
      <c r="K2795" s="11" t="str">
        <f>IFERROR(IF(VLOOKUP(A2795,[18]PRIORIZADOS!$A:$K,11,FALSE)="","",VLOOKUP(A2795,[18]PRIORIZADOS!$A:$K,11,FALSE)),"")</f>
        <v>MIGUEL ANTONIO CARO CARO</v>
      </c>
      <c r="L2795" s="11" t="str">
        <f>IFERROR(IF(VLOOKUP(A2795,[18]PRIORIZADOS!$A:$L,12,FALSE)="","",VLOOKUP(A2795,[18]PRIORIZADOS!$A:$L,12,FALSE)),"")</f>
        <v>FRANCY LORENA RODRIGUEZ CASTRO</v>
      </c>
      <c r="M2795" s="71">
        <f>IFERROR(IF(VLOOKUP(A2795,[18]PRIORIZADOS!$A:$M,13,FALSE)="","",VLOOKUP(A2795,[18]PRIORIZADOS!$A:$M,13,FALSE)),"")</f>
        <v>45931</v>
      </c>
      <c r="N2795" s="71">
        <f>IFERROR(IF(VLOOKUP(A2795,[18]PRIORIZADOS!$A:$N,14,FALSE)="","",VLOOKUP(A2795,[18]PRIORIZADOS!$A:$N,14,FALSE)),"")</f>
        <v>45881</v>
      </c>
      <c r="O2795" s="71">
        <f>IFERROR(IF(VLOOKUP(A2795,[18]PRIORIZADOS!$A:$O,15,FALSE)="","",VLOOKUP(A2795,[18]PRIORIZADOS!$A:$O,15,FALSE)),"")</f>
        <v>45881</v>
      </c>
      <c r="P2795" s="11" t="str">
        <f>IFERROR(IF(VLOOKUP(A2795,[18]PRIORIZADOS!$A:$P,16,FALSE)="","",VLOOKUP(A2795,[18]PRIORIZADOS!$A:$P,16,FALSE)),"")</f>
        <v>Visitas de evaluación con fines de mejoramiento</v>
      </c>
      <c r="Q2795" s="2" t="s">
        <v>530</v>
      </c>
      <c r="R2795" s="11" t="str">
        <f>IFERROR(IF(VLOOKUP(A2795,[18]PRIORIZADOS!$A:$R,18,FALSE)="","",VLOOKUP(A2795,[18]PRIORIZADOS!$A:$R,18,FALSE)),"")</f>
        <v>Aunque se conformaron las instancias del gobierno escolar no hay evidencia de su funcionamiento</v>
      </c>
      <c r="S2795" s="11" t="str">
        <f>IFERROR(IF(VLOOKUP(A2795,[18]PRIORIZADOS!$A:$S,19,FALSE)="","",VLOOKUP(A2795,[18]PRIORIZADOS!$A:$S,19,FALSE)),"")</f>
        <v>La institución se compromete a presentar un plan de mejoramiento para cada uno de los aspectos en que se realizó observaciones el 26 de septiembre del 2025, en este aspecto se recomendo subsanar en el corto plazo.</v>
      </c>
      <c r="T2795" s="70" t="str">
        <f>IFERROR(IF(VLOOKUP(A2795,[18]PRIORIZADOS!$A:$T,20,FALSE)="","",VLOOKUP(A2795,[18]PRIORIZADOS!$A:$T,20,FALSE)),"")</f>
        <v>Si</v>
      </c>
      <c r="U2795" s="11" t="str">
        <f>IFERROR(IF(VLOOKUP(A2795,[18]PRIORIZADOS!$A:$U,21,FALSE)="","",VLOOKUP(A2795,[18]PRIORIZADOS!$A:$U,21,FALSE)),"")</f>
        <v>Se revisara el plan de mejoramiento y Verificara en la  vigencia 2026</v>
      </c>
    </row>
    <row r="2796" spans="1:21" s="1" customFormat="1" ht="72">
      <c r="A2796" s="69">
        <f>IF([18]PRIORIZADOS!A139="","",[18]PRIORIZADOS!A139)</f>
        <v>2785</v>
      </c>
      <c r="B2796" s="70">
        <f>IFERROR(IF(VLOOKUP(A2796,[18]PRIORIZADOS!$A:$B,2,FALSE)="","",VLOOKUP(A2796,[18]PRIORIZADOS!$A:$B,2,FALSE)),"")</f>
        <v>15</v>
      </c>
      <c r="C2796" s="11" t="str">
        <f>IFERROR(IF(VLOOKUP(A2796,[18]PRIORIZADOS!$A:$C,3,FALSE)="","",VLOOKUP(A2796,[18]PRIORIZADOS!$A:$C,3,FALSE)),"")</f>
        <v>USME</v>
      </c>
      <c r="D2796" s="11" t="str">
        <f>IFERROR(IF(VLOOKUP(A2796,[18]PRIORIZADOS!$A:$D,4,FALSE)="","",VLOOKUP(A2796,[18]PRIORIZADOS!$A:$D,4,FALSE)),"")</f>
        <v>PRIVADO</v>
      </c>
      <c r="E2796" s="11" t="str">
        <f>IFERROR(IF(VLOOKUP(A2796,[18]PRIORIZADOS!$A:$E,5,FALSE)="","",VLOOKUP(A2796,[18]PRIORIZADOS!$A:$E,5,FALSE)),"")</f>
        <v>EPBM</v>
      </c>
      <c r="F2796" s="11" t="str">
        <f>IFERROR(IF(VLOOKUP(A2796,[18]PRIORIZADOS!$A:$F,6,FALSE)="","",VLOOKUP(A2796,[18]PRIORIZADOS!$A:$F,6,FALSE)),"")</f>
        <v>COLEGIO_CIUDAD_BOLIVAR</v>
      </c>
      <c r="G2796" s="11" t="str">
        <f>IFERROR(IF(VLOOKUP(A2796,[18]PRIORIZADOS!$A:$G,7,FALSE)="","",VLOOKUP(A2796,[18]PRIORIZADOS!$A:$G,7,FALSE)),"")</f>
        <v>COLEGIO CIUDAD BOLIVAR</v>
      </c>
      <c r="H2796" s="11" t="str">
        <f>IFERROR(IF(VLOOKUP(A2796,[18]PRIORIZADOS!$A:$H,8,FALSE)="","",VLOOKUP(A2796,[18]PRIORIZADOS!$A:$H,8,FALSE)),"")</f>
        <v>Autoevaluación Institucional y Pruebas SABER 11</v>
      </c>
      <c r="I2796" s="11" t="str">
        <f>IFERROR(IF(VLOOKUP(A2796,[18]PRIORIZADOS!$A:$I,9,FALSE)="","",VLOOKUP(A2796,[18]PRIORIZADOS!$A:$I,9,FALSE)),"")</f>
        <v>EVALUACIÓN_CON_FINES_DE_MEJORAMIENTO.</v>
      </c>
      <c r="J2796" s="11" t="str">
        <f>IFERROR(IF(VLOOKUP(A2796,[18]PRIORIZADOS!$A:$J,10,FALSE)="","",VLOOKUP(A2796,[18]PRIORIZADOS!$A:$J,10,FALSE)),"")</f>
        <v>Verificar las condiciones en cuanto a: la estructura administrativa, condiciones de la planta física y medios educativos adecuados.</v>
      </c>
      <c r="K2796" s="11" t="str">
        <f>IFERROR(IF(VLOOKUP(A2796,[18]PRIORIZADOS!$A:$K,11,FALSE)="","",VLOOKUP(A2796,[18]PRIORIZADOS!$A:$K,11,FALSE)),"")</f>
        <v>MIGUEL ANTONIO CARO CARO</v>
      </c>
      <c r="L2796" s="11" t="str">
        <f>IFERROR(IF(VLOOKUP(A2796,[18]PRIORIZADOS!$A:$L,12,FALSE)="","",VLOOKUP(A2796,[18]PRIORIZADOS!$A:$L,12,FALSE)),"")</f>
        <v>FRANCY LORENA RODRIGUEZ CASTRO</v>
      </c>
      <c r="M2796" s="71">
        <f>IFERROR(IF(VLOOKUP(A2796,[18]PRIORIZADOS!$A:$M,13,FALSE)="","",VLOOKUP(A2796,[18]PRIORIZADOS!$A:$M,13,FALSE)),"")</f>
        <v>45931</v>
      </c>
      <c r="N2796" s="71">
        <f>IFERROR(IF(VLOOKUP(A2796,[18]PRIORIZADOS!$A:$N,14,FALSE)="","",VLOOKUP(A2796,[18]PRIORIZADOS!$A:$N,14,FALSE)),"")</f>
        <v>45881</v>
      </c>
      <c r="O2796" s="71">
        <f>IFERROR(IF(VLOOKUP(A2796,[18]PRIORIZADOS!$A:$O,15,FALSE)="","",VLOOKUP(A2796,[18]PRIORIZADOS!$A:$O,15,FALSE)),"")</f>
        <v>45881</v>
      </c>
      <c r="P2796" s="11" t="str">
        <f>IFERROR(IF(VLOOKUP(A2796,[18]PRIORIZADOS!$A:$P,16,FALSE)="","",VLOOKUP(A2796,[18]PRIORIZADOS!$A:$P,16,FALSE)),"")</f>
        <v>Visitas de evaluación con fines de mejoramiento</v>
      </c>
      <c r="Q2796" s="2" t="s">
        <v>530</v>
      </c>
      <c r="R2796" s="11" t="str">
        <f>IFERROR(IF(VLOOKUP(A2796,[18]PRIORIZADOS!$A:$R,18,FALSE)="","",VLOOKUP(A2796,[18]PRIORIZADOS!$A:$R,18,FALSE)),"")</f>
        <v>La Institución cuenta con espacios administrativos, no tiene laboratorios, la biblioteca no est actualizada, no tien adecuación para lo personas con limitaciones en su movilidad y se requiere el mantenimiento de las instalaciones</v>
      </c>
      <c r="S2796" s="11" t="str">
        <f>IFERROR(IF(VLOOKUP(A2796,[18]PRIORIZADOS!$A:$S,19,FALSE)="","",VLOOKUP(A2796,[18]PRIORIZADOS!$A:$S,19,FALSE)),"")</f>
        <v>La institución se compromete a presentar un plan de mejoramiento para cada uno de los aspectos en que se realizó observaciones el 26 de septiembre del 2025.</v>
      </c>
      <c r="T2796" s="70" t="str">
        <f>IFERROR(IF(VLOOKUP(A2796,[18]PRIORIZADOS!$A:$T,20,FALSE)="","",VLOOKUP(A2796,[18]PRIORIZADOS!$A:$T,20,FALSE)),"")</f>
        <v>Si</v>
      </c>
      <c r="U2796" s="11" t="str">
        <f>IFERROR(IF(VLOOKUP(A2796,[18]PRIORIZADOS!$A:$U,21,FALSE)="","",VLOOKUP(A2796,[18]PRIORIZADOS!$A:$U,21,FALSE)),"")</f>
        <v>Se revisara el plan de mejoramiento y Verificara en la  vigencia 2026</v>
      </c>
    </row>
  </sheetData>
  <protectedRanges>
    <protectedRange sqref="Q197:Q349" name="Rango1"/>
    <protectedRange sqref="Q350" name="Rango1_1"/>
    <protectedRange sqref="Q351" name="Rango1_2"/>
    <protectedRange sqref="Q352" name="Rango1_3"/>
    <protectedRange sqref="Q353" name="Rango1_4"/>
    <protectedRange sqref="Q354" name="Rango1_5"/>
    <protectedRange sqref="Q355" name="Rango1_6"/>
    <protectedRange sqref="Q356" name="Rango1_7"/>
    <protectedRange sqref="Q357" name="Rango1_8"/>
    <protectedRange sqref="Q358" name="Rango1_9"/>
    <protectedRange sqref="Q359" name="Rango1_10"/>
    <protectedRange sqref="Q360" name="Rango1_11"/>
    <protectedRange sqref="Q361" name="Rango1_12"/>
    <protectedRange sqref="Q362" name="Rango1_13"/>
    <protectedRange sqref="Q363" name="Rango1_14"/>
    <protectedRange sqref="Q364" name="Rango1_15"/>
    <protectedRange sqref="Q365" name="Rango1_16"/>
    <protectedRange sqref="Q366" name="Rango1_17"/>
    <protectedRange sqref="Q367" name="Rango1_18"/>
    <protectedRange sqref="Q368" name="Rango1_19"/>
    <protectedRange sqref="Q369" name="Rango1_20"/>
    <protectedRange sqref="Q370" name="Rango1_21"/>
    <protectedRange sqref="Q371" name="Rango1_22"/>
    <protectedRange sqref="Q372" name="Rango1_23"/>
    <protectedRange sqref="Q373" name="Rango1_24"/>
    <protectedRange sqref="Q374" name="Rango1_25"/>
    <protectedRange sqref="Q375" name="Rango1_26"/>
    <protectedRange sqref="Q376" name="Rango1_27"/>
    <protectedRange sqref="Q377" name="Rango1_28"/>
    <protectedRange sqref="Q378" name="Rango1_29"/>
    <protectedRange sqref="Q379" name="Rango1_30"/>
    <protectedRange sqref="Q380" name="Rango1_31"/>
    <protectedRange sqref="Q381" name="Rango1_32"/>
    <protectedRange sqref="Q382" name="Rango1_33"/>
    <protectedRange sqref="Q383" name="Rango1_34"/>
    <protectedRange sqref="Q384" name="Rango1_35"/>
    <protectedRange sqref="Q385" name="Rango1_36"/>
    <protectedRange sqref="Q386" name="Rango1_37"/>
    <protectedRange sqref="Q387" name="Rango1_38"/>
    <protectedRange sqref="Q388" name="Rango1_39"/>
    <protectedRange sqref="Q389" name="Rango1_40"/>
    <protectedRange sqref="Q390" name="Rango1_41"/>
    <protectedRange sqref="Q391" name="Rango1_42"/>
    <protectedRange sqref="Q392" name="Rango1_43"/>
    <protectedRange sqref="Q393" name="Rango1_44"/>
    <protectedRange sqref="Q394" name="Rango1_45"/>
    <protectedRange algorithmName="SHA-512" hashValue="tFmKrvlWs4ic2kJ5nlqmZ9wtpRzgk4rmvvNccG4U/dmUITNtcMRx7rFjs46EJZ62TJwNKJxiX/RD3A5pijFo6Q==" saltValue="ZP3yR64+hbLtSS3JUWxzRw==" spinCount="100000" sqref="Q126:Q127" name="Rango1_46"/>
  </protectedRanges>
  <autoFilter ref="A6:U2796" xr:uid="{00000000-0001-0000-0000-000000000000}"/>
  <mergeCells count="5">
    <mergeCell ref="N5:U5"/>
    <mergeCell ref="A5:M5"/>
    <mergeCell ref="A1:Q2"/>
    <mergeCell ref="A3:Q3"/>
    <mergeCell ref="A4:Q4"/>
  </mergeCells>
  <conditionalFormatting sqref="I998">
    <cfRule type="containsText" dxfId="9" priority="15" operator="containsText" text="EVALUACIÓN_CON_FINES_DE_MEJORAMIENTO.">
      <formula>NOT(ISERROR(SEARCH("EVALUACIÓN_CON_FINES_DE_MEJORAMIENTO.",I998)))</formula>
    </cfRule>
    <cfRule type="containsText" dxfId="8" priority="16" operator="containsText" text="SEGUIMIENTO_Y_SUPERVISIÓN.">
      <formula>NOT(ISERROR(SEARCH("SEGUIMIENTO_Y_SUPERVISIÓN.",I998)))</formula>
    </cfRule>
  </conditionalFormatting>
  <conditionalFormatting sqref="I1205:I1206">
    <cfRule type="containsText" dxfId="7" priority="13" operator="containsText" text="EVALUACIÓN_CON_FINES_DE_MEJORAMIENTO.">
      <formula>NOT(ISERROR(SEARCH("EVALUACIÓN_CON_FINES_DE_MEJORAMIENTO.",I1205)))</formula>
    </cfRule>
    <cfRule type="containsText" dxfId="6" priority="14" operator="containsText" text="SEGUIMIENTO_Y_SUPERVISIÓN.">
      <formula>NOT(ISERROR(SEARCH("SEGUIMIENTO_Y_SUPERVISIÓN.",I1205)))</formula>
    </cfRule>
  </conditionalFormatting>
  <conditionalFormatting sqref="I1229">
    <cfRule type="containsText" dxfId="5" priority="11" operator="containsText" text="EVALUACIÓN_CON_FINES_DE_MEJORAMIENTO.">
      <formula>NOT(ISERROR(SEARCH("EVALUACIÓN_CON_FINES_DE_MEJORAMIENTO.",I1229)))</formula>
    </cfRule>
    <cfRule type="containsText" dxfId="4" priority="12" operator="containsText" text="SEGUIMIENTO_Y_SUPERVISIÓN.">
      <formula>NOT(ISERROR(SEARCH("SEGUIMIENTO_Y_SUPERVISIÓN.",I1229)))</formula>
    </cfRule>
  </conditionalFormatting>
  <conditionalFormatting sqref="I1237">
    <cfRule type="containsText" dxfId="3" priority="9" operator="containsText" text="EVALUACIÓN_CON_FINES_DE_MEJORAMIENTO.">
      <formula>NOT(ISERROR(SEARCH("EVALUACIÓN_CON_FINES_DE_MEJORAMIENTO.",I1237)))</formula>
    </cfRule>
    <cfRule type="containsText" dxfId="2" priority="10" operator="containsText" text="SEGUIMIENTO_Y_SUPERVISIÓN.">
      <formula>NOT(ISERROR(SEARCH("SEGUIMIENTO_Y_SUPERVISIÓN.",I1237)))</formula>
    </cfRule>
  </conditionalFormatting>
  <conditionalFormatting sqref="I1255">
    <cfRule type="containsText" dxfId="1" priority="7" operator="containsText" text="EVALUACIÓN_CON_FINES_DE_MEJORAMIENTO.">
      <formula>NOT(ISERROR(SEARCH("EVALUACIÓN_CON_FINES_DE_MEJORAMIENTO.",I1255)))</formula>
    </cfRule>
    <cfRule type="containsText" dxfId="0" priority="8" operator="containsText" text="SEGUIMIENTO_Y_SUPERVISIÓN.">
      <formula>NOT(ISERROR(SEARCH("SEGUIMIENTO_Y_SUPERVISIÓN.",I1255)))</formula>
    </cfRule>
  </conditionalFormatting>
  <dataValidations count="4">
    <dataValidation type="textLength" allowBlank="1" showInputMessage="1" showErrorMessage="1" sqref="Q1946:Q1960 Q1923:Q1936 Q1449:Q1455 Q206:Q394 Q2673:Q2677 Q2090 Q1421 Q1465:Q1471 Q2481:Q2491 Q1297 Q1481:Q1487 Q1962:Q1969 Q1654:Q1668 Q1413:Q1419 Q2554:Q2559 Q1356 Q2500:Q2518 Q1388:Q1393 Q1084:Q1092 Q1124:Q1130 Q590:Q642 Q1628:Q1644 Q1137:Q1143 Q1536:Q1542 Q1029:Q1034 Q1109:Q1115 Q399:Q407 Q455:Q457 Q450:Q453 Q127 Q479:Q481 Q494:Q496 Q1506:Q1514 Q1053 Q554:Q571 Q1152:Q1165 Q1291:Q1295 Q2395:Q2403" xr:uid="{1DB6E8F2-863C-45AF-9BA8-B365529646B3}">
      <formula1>0</formula1>
      <formula2>25</formula2>
    </dataValidation>
    <dataValidation type="list" allowBlank="1" showInputMessage="1" showErrorMessage="1" sqref="F476 F1205:F1206 F1229 F1237 F1255 F1302:F1310 F1844" xr:uid="{C9E659D7-DE33-47C5-8A70-7F12EDDBFCBC}">
      <formula1>INDIRECT($D476)</formula1>
    </dataValidation>
    <dataValidation type="list" allowBlank="1" showInputMessage="1" showErrorMessage="1" sqref="F476 F998 F1205:F1206 F1229 F1237 F1255 F1302:F1310 F1844" xr:uid="{BFFCA33D-4042-41C2-9A48-75300B3B5832}">
      <formula1>INDIRECT(D476)</formula1>
    </dataValidation>
    <dataValidation type="list" allowBlank="1" showInputMessage="1" showErrorMessage="1" sqref="J476 G476 J998 G998 J1205:J1206 G1205:G1206 J1229 G1229 J1237 G1237 J1255 G1255 J1296:J1310 G1302:G1310 J1844 G1844" xr:uid="{A7E7795B-88BF-4839-8C1F-13C90B9E8266}">
      <formula1>INDIRECT(F476)</formula1>
    </dataValidation>
  </dataValidations>
  <hyperlinks>
    <hyperlink ref="Q128" r:id="rId1" xr:uid="{A2FB940E-7035-4F97-9239-2A3E8A414BCD}"/>
    <hyperlink ref="Q129" r:id="rId2" xr:uid="{01059337-AB5F-4146-8416-E9F936D5A03C}"/>
    <hyperlink ref="Q130" r:id="rId3" xr:uid="{F96487A0-18C0-414B-A041-F61FFFF737EF}"/>
    <hyperlink ref="Q131" r:id="rId4" xr:uid="{A59032F9-6B89-46EE-8E04-60FF225C731B}"/>
    <hyperlink ref="Q132" r:id="rId5" xr:uid="{9CD89A2B-2E17-403D-9DB0-9140CC9ED16E}"/>
    <hyperlink ref="Q133" r:id="rId6" xr:uid="{84680C40-5D75-45CE-924B-3E60A2938FBB}"/>
    <hyperlink ref="Q134" r:id="rId7" xr:uid="{F34A5BC6-A998-4815-942B-84BB438ABF3E}"/>
    <hyperlink ref="Q135" r:id="rId8" xr:uid="{F9EF6602-5946-4E26-A326-14EA44368C07}"/>
    <hyperlink ref="Q136" r:id="rId9" xr:uid="{8430923E-FA87-49F8-883C-5242E9C7C3EC}"/>
    <hyperlink ref="Q137" r:id="rId10" xr:uid="{71FAB356-F2D5-4228-A029-1F7BFBA93C84}"/>
    <hyperlink ref="Q138" r:id="rId11" xr:uid="{258E80AF-D769-4CF1-BD6E-57E17BBB1130}"/>
    <hyperlink ref="Q139" r:id="rId12" xr:uid="{77A9450B-5377-4A7E-8D57-F23A5045B27B}"/>
    <hyperlink ref="Q140" r:id="rId13" xr:uid="{5166C488-4CA7-4C10-9DC2-62D761701DE3}"/>
    <hyperlink ref="Q141" r:id="rId14" xr:uid="{4605DF42-D3CE-4998-9C0D-EFB8D7EBF8E0}"/>
    <hyperlink ref="Q142" r:id="rId15" xr:uid="{41D7BB57-6E83-48FB-9DC2-F6BBD4464E2C}"/>
    <hyperlink ref="Q143" r:id="rId16" xr:uid="{C697DD1E-17A5-4CB1-9A0E-A2E80615E01A}"/>
    <hyperlink ref="Q144" r:id="rId17" xr:uid="{DA86EF11-B782-43B8-BCAD-B615F7E8D799}"/>
    <hyperlink ref="Q145" r:id="rId18" xr:uid="{A09AE537-433C-48FE-8EE0-02910DD5F396}"/>
    <hyperlink ref="Q146" r:id="rId19" xr:uid="{69B53368-0962-421B-AFF4-A8E2E16ABA91}"/>
    <hyperlink ref="Q147" r:id="rId20" xr:uid="{4D15EA94-F35F-44CF-9E1C-F8901A92A0D1}"/>
    <hyperlink ref="Q148" r:id="rId21" xr:uid="{6EEC5BFB-BC3D-4A83-ADEB-F73355750663}"/>
    <hyperlink ref="Q149" r:id="rId22" xr:uid="{1BA36FB5-C2C3-4A88-9F64-46F22BBC3875}"/>
    <hyperlink ref="Q150" r:id="rId23" xr:uid="{0BB3AEF8-706B-44AF-9BD5-6445FAB83146}"/>
    <hyperlink ref="Q151" r:id="rId24" xr:uid="{6DB7D8B6-EB88-4370-8C81-8C87C52363B8}"/>
    <hyperlink ref="Q152" r:id="rId25" xr:uid="{C4C4A525-89D3-4501-8336-D1511A2386AC}"/>
    <hyperlink ref="Q153" r:id="rId26" xr:uid="{7BFFBD0A-64FB-47C9-80B4-72D9641B558C}"/>
    <hyperlink ref="Q154" r:id="rId27" xr:uid="{F7DB08D1-0C44-49AF-90A6-08B1711649B2}"/>
    <hyperlink ref="Q155" r:id="rId28" xr:uid="{2EF51E02-2FEC-416B-88AB-B43EFBEA07FE}"/>
    <hyperlink ref="Q156" r:id="rId29" xr:uid="{4326C736-7F53-4039-B19F-2991A75D4BF4}"/>
    <hyperlink ref="Q157" r:id="rId30" xr:uid="{B922025F-A385-4298-A152-543E0227BFCA}"/>
    <hyperlink ref="Q158" r:id="rId31" xr:uid="{2DD01C61-7D47-4861-9AB9-E72FC9CD50BD}"/>
    <hyperlink ref="Q159" r:id="rId32" xr:uid="{5775C2B6-B0A4-4325-A3A9-3675C27DFC34}"/>
    <hyperlink ref="Q160" r:id="rId33" xr:uid="{C6B48471-D8D3-4F92-9F99-12B46D12C498}"/>
    <hyperlink ref="Q161" r:id="rId34" xr:uid="{D0BDF3B1-B626-4490-9C2D-AE9F1304FC16}"/>
    <hyperlink ref="Q162" r:id="rId35" xr:uid="{922A7DAD-42E9-42DB-8261-6589FE7C617E}"/>
    <hyperlink ref="Q172" r:id="rId36" xr:uid="{A7C7BD34-0BDB-4A8E-83AB-B421EE5D2551}"/>
    <hyperlink ref="Q173" r:id="rId37" xr:uid="{FF0333FA-52D5-4407-93E9-CF77B317FEA9}"/>
    <hyperlink ref="Q174" r:id="rId38" xr:uid="{DB370107-E0AB-438F-BAB7-284D5CC7E6F7}"/>
    <hyperlink ref="Q175" r:id="rId39" xr:uid="{532124DD-202A-4414-AB89-2C0342640ED8}"/>
    <hyperlink ref="Q176" r:id="rId40" xr:uid="{8BED5EDA-A907-47ED-B46B-33C667F42061}"/>
    <hyperlink ref="Q177" r:id="rId41" xr:uid="{1C6A6CD4-B1D8-41BD-B377-D35A532EC4C1}"/>
    <hyperlink ref="Q178" r:id="rId42" xr:uid="{54306687-853B-458B-AB1F-F34FA0AE0837}"/>
    <hyperlink ref="Q179" r:id="rId43" xr:uid="{D03B210C-0FB6-430E-BE21-BD91EF3E5B7F}"/>
    <hyperlink ref="Q180" r:id="rId44" xr:uid="{1B724A92-9275-4C80-96E3-EB322C2FF9A9}"/>
    <hyperlink ref="Q191" r:id="rId45" xr:uid="{59168003-96F0-4F58-B1CA-B3858E3948B8}"/>
    <hyperlink ref="Q192" r:id="rId46" xr:uid="{401D2276-9EB0-468D-8CF5-4B42057BB80A}"/>
    <hyperlink ref="Q193" r:id="rId47" xr:uid="{209EE41F-FA2B-4A3A-94C7-0E08E2720361}"/>
    <hyperlink ref="Q194" r:id="rId48" xr:uid="{0D17317D-D240-488E-911F-D83188398C47}"/>
    <hyperlink ref="Q195" r:id="rId49" xr:uid="{3931E7B5-05DC-43C7-87CC-E39067BA161A}"/>
    <hyperlink ref="Q196" r:id="rId50" xr:uid="{00D6EF04-A93D-490D-B29B-B13B34B04261}"/>
    <hyperlink ref="Q1851" r:id="rId51" xr:uid="{13B5E716-9411-42F9-9EB8-EC06D35E8617}"/>
    <hyperlink ref="Q1887" r:id="rId52" xr:uid="{03AFEFF6-5800-4E34-A56E-CF1AE1DF2901}"/>
    <hyperlink ref="Q1888" r:id="rId53" xr:uid="{B0A2849B-31EB-453A-A1AA-E41AC6159B5A}"/>
    <hyperlink ref="Q1889" r:id="rId54" xr:uid="{E4755048-77D1-4986-9381-84BEE8D5AB4C}"/>
    <hyperlink ref="Q1890" r:id="rId55" xr:uid="{B2771B03-760E-47C8-A1D3-37D0181CAE6A}"/>
    <hyperlink ref="Q1891" r:id="rId56" xr:uid="{81613F27-81CC-44AF-949B-31BED48BE288}"/>
    <hyperlink ref="Q1892" r:id="rId57" xr:uid="{BAF505FD-D4A3-4C48-B01A-BFE9D5D97608}"/>
    <hyperlink ref="Q1893" r:id="rId58" xr:uid="{621FCA8B-5CFC-40BA-8715-C53D035B6268}"/>
    <hyperlink ref="Q1894" r:id="rId59" xr:uid="{BE4057C0-8673-4922-BFD9-66D179C6CD7A}"/>
    <hyperlink ref="Q1895" r:id="rId60" xr:uid="{E09EB69A-F6D0-4989-82D3-2A9ACA6081FC}"/>
    <hyperlink ref="Q1905" r:id="rId61" xr:uid="{842A0DF2-C008-4A96-9E0D-64A0BCB77A45}"/>
    <hyperlink ref="Q1906" r:id="rId62" xr:uid="{F9042703-82E8-418A-8ECB-25428EC26824}"/>
    <hyperlink ref="Q1907" r:id="rId63" xr:uid="{CC440F57-DB72-4471-81FF-69E739576D19}"/>
    <hyperlink ref="Q1909" r:id="rId64" xr:uid="{7B5D2B0D-1C4E-4DB4-ACBA-FFAEFE454569}"/>
    <hyperlink ref="Q1910" r:id="rId65" xr:uid="{FAE86EC1-D912-4428-A009-495D9A27DB94}"/>
    <hyperlink ref="Q1911" r:id="rId66" xr:uid="{273E3F02-7FEA-4654-B8AE-9D480766E11C}"/>
    <hyperlink ref="Q1913" r:id="rId67" xr:uid="{88F5B144-0B59-4C9A-BBA6-C126BE90B884}"/>
    <hyperlink ref="Q1912" r:id="rId68" xr:uid="{F3D553C7-7604-48BB-81A8-0CFEC88EB257}"/>
    <hyperlink ref="Q1869" r:id="rId69" xr:uid="{2B5E6AD0-184E-4B97-ADA6-076BFA0B962F}"/>
    <hyperlink ref="Q1870" r:id="rId70" xr:uid="{DC4C4732-D3BC-413D-930D-425A3E875B0B}"/>
    <hyperlink ref="Q1871" r:id="rId71" xr:uid="{1B7A767E-8F61-4217-9BE5-14AC9A2A2ED8}"/>
    <hyperlink ref="Q1872" r:id="rId72" xr:uid="{CE401EAB-54EB-4171-87D6-0B9BAF70D4C0}"/>
    <hyperlink ref="Q1873" r:id="rId73" xr:uid="{66A5431C-E754-4B0F-BA18-0A3698396C44}"/>
    <hyperlink ref="Q1874" r:id="rId74" xr:uid="{AE606C34-B5D9-4EF2-A165-2A339B834E78}"/>
    <hyperlink ref="Q1875" r:id="rId75" xr:uid="{A58C2A8D-2CBE-4C1A-B9A7-EEE5A47D5781}"/>
    <hyperlink ref="Q1876" r:id="rId76" xr:uid="{8A241FDF-27DF-4315-AF9E-6FB8F739A35C}"/>
    <hyperlink ref="Q1877" r:id="rId77" xr:uid="{F026EF05-0BAE-48D7-A8A7-0038768A4859}"/>
    <hyperlink ref="Q1860" r:id="rId78" xr:uid="{76ADDB9E-F343-4053-8EF8-A71171C0630D}"/>
    <hyperlink ref="Q1861" r:id="rId79" xr:uid="{D3CD86BF-4F93-4F86-B033-8B1CC7E3DF19}"/>
    <hyperlink ref="Q1862" r:id="rId80" xr:uid="{985EC7B0-ACA0-4D20-A2EE-6908F4D50953}"/>
    <hyperlink ref="Q1863" r:id="rId81" xr:uid="{8EC0FD9B-DD66-4741-A07B-798D295308F0}"/>
    <hyperlink ref="Q1864" r:id="rId82" xr:uid="{F89695F1-C020-40AF-A314-07A8B6D01BC1}"/>
    <hyperlink ref="Q1865" r:id="rId83" xr:uid="{8AEF404E-C26B-41D6-B9B0-4169A14F25BC}"/>
    <hyperlink ref="Q1866" r:id="rId84" xr:uid="{BA4F38AA-F273-487E-B6BB-52A9343A1294}"/>
    <hyperlink ref="Q1867" r:id="rId85" xr:uid="{B4483782-65C7-43B5-B714-A43327BD74AE}"/>
    <hyperlink ref="Q1868" r:id="rId86" xr:uid="{3B445E13-34F1-4520-897E-54A09A68CB02}"/>
    <hyperlink ref="Q1878" r:id="rId87" xr:uid="{D95EFF9A-FAF5-49B6-B39B-E73484293623}"/>
    <hyperlink ref="Q1879" r:id="rId88" xr:uid="{CC82D43C-FA7C-4907-B9C1-266EAA25E5E7}"/>
    <hyperlink ref="Q1880" r:id="rId89" xr:uid="{F82ED12B-D8DE-4989-A3A7-0F09DFE93C6C}"/>
    <hyperlink ref="Q1881" r:id="rId90" xr:uid="{68CDE238-D229-4225-8E7E-EE7FD7DA1F25}"/>
    <hyperlink ref="Q1882" r:id="rId91" xr:uid="{368053F7-D407-43F5-8383-E9EEEFBEF89A}"/>
    <hyperlink ref="Q1883" r:id="rId92" xr:uid="{0DD1204D-2AED-4232-966E-A2D1437D9320}"/>
    <hyperlink ref="Q1884" r:id="rId93" xr:uid="{5719FCB9-9933-442F-828B-466B9B0A6CE9}"/>
    <hyperlink ref="Q1885" r:id="rId94" xr:uid="{E250F295-C127-4A82-9B39-E4AE71C8AF00}"/>
    <hyperlink ref="Q1886" r:id="rId95" xr:uid="{A24709BD-3357-46E1-966B-59A9E06FCE7E}"/>
    <hyperlink ref="Q1908" r:id="rId96" xr:uid="{BDDB0D8B-26C9-473A-AC86-63F93B8C4222}"/>
    <hyperlink ref="Q1896" r:id="rId97" xr:uid="{8969CC80-70D7-4103-9280-1FE7C7EEE3B4}"/>
    <hyperlink ref="Q1897" r:id="rId98" xr:uid="{778F7364-613D-4860-BFB5-D39DE31E7B00}"/>
    <hyperlink ref="Q1899" r:id="rId99" xr:uid="{E396472A-F97E-4511-97C2-C06475C60CD3}"/>
    <hyperlink ref="Q1900" r:id="rId100" xr:uid="{808D75DB-ADE4-4B63-9C25-CB8CCEF835F3}"/>
    <hyperlink ref="Q1901" r:id="rId101" xr:uid="{342A2B38-8C61-48FC-BF80-9EC6238F5E13}"/>
    <hyperlink ref="Q1902" r:id="rId102" xr:uid="{BC4D3431-A2EC-4205-9674-19A037F37064}"/>
    <hyperlink ref="Q1904" r:id="rId103" xr:uid="{CE677DDA-DEBF-43ED-814E-21279227F9D0}"/>
    <hyperlink ref="Q1914" r:id="rId104" xr:uid="{0C679B1F-CB1C-4E66-B138-52CAEC8AA254}"/>
    <hyperlink ref="Q1915:Q1922" r:id="rId105" display="2025 05 30 CENCABO Acta de visita.pdf" xr:uid="{9223C313-7CE6-4FA4-A2D6-C79CD06880FF}"/>
    <hyperlink ref="Q1937" r:id="rId106" xr:uid="{2ABCFD61-AC7F-42F4-B5C4-C6A7F2901B94}"/>
    <hyperlink ref="Q1938:Q1945" r:id="rId107" display="2025 06 17 Liceo Julio Cesar García Acta de visita.pdf" xr:uid="{A8E2EB62-01AA-472D-B0B0-1AA5CA2E3106}"/>
    <hyperlink ref="Q1898" r:id="rId108" xr:uid="{07ADF4C3-5FDF-4D5C-8421-E2E562A6EF42}"/>
    <hyperlink ref="Q1903" r:id="rId109" xr:uid="{9821AE76-4ADC-4C8A-8E17-6D4D0D9F5E11}"/>
    <hyperlink ref="Q1845" r:id="rId110" xr:uid="{23C4362B-5727-4967-8E5C-B5B36CCCCFE6}"/>
    <hyperlink ref="Q197" r:id="rId111" xr:uid="{118594B6-3B0B-459F-B415-DD09079F4A65}"/>
    <hyperlink ref="Q198" r:id="rId112" xr:uid="{291E3E93-1A2F-4939-80BC-C2D8FF1979DB}"/>
    <hyperlink ref="Q199" r:id="rId113" xr:uid="{02EA5AE5-5BEC-4ED9-9468-CCB666580EEC}"/>
    <hyperlink ref="Q200" r:id="rId114" xr:uid="{C1C2D223-2D1E-48E1-BF7E-36151A706E01}"/>
    <hyperlink ref="Q201" r:id="rId115" xr:uid="{182F85B0-97CF-46A3-98E4-92811C868858}"/>
    <hyperlink ref="Q202" r:id="rId116" xr:uid="{46A89839-5F43-43EF-8AD8-5DEB5B4E5134}"/>
    <hyperlink ref="Q203" r:id="rId117" xr:uid="{56620DEE-1D46-4DE0-B096-A94818536B2B}"/>
    <hyperlink ref="Q204" r:id="rId118" xr:uid="{F12E51BB-AF61-475D-8AD3-24D3B021B66D}"/>
    <hyperlink ref="Q205" r:id="rId119" xr:uid="{8FB91F4B-1EF7-454B-A8D5-9AEE8055BDDE}"/>
    <hyperlink ref="Q206" r:id="rId120" xr:uid="{A3E17258-36D7-4B1B-BB8E-E501FC2F2367}"/>
    <hyperlink ref="Q207" r:id="rId121" xr:uid="{4D99388B-ECE6-4481-836C-06B6E4CD94B1}"/>
    <hyperlink ref="Q208" r:id="rId122" xr:uid="{DE206BF3-EB87-4E81-B3F5-2048B4C64C8C}"/>
    <hyperlink ref="Q209" r:id="rId123" xr:uid="{D4797CC4-B9B5-440F-A23B-4D46E9DA4CAE}"/>
    <hyperlink ref="Q210" r:id="rId124" xr:uid="{474E4B42-E360-4555-A7B2-12B108790948}"/>
    <hyperlink ref="Q211" r:id="rId125" xr:uid="{081157B8-DC74-451B-8D27-1357F1875CA2}"/>
    <hyperlink ref="Q212" r:id="rId126" xr:uid="{00C17D64-ADCE-4BD5-AB42-EE00DC62FFA9}"/>
    <hyperlink ref="Q213" r:id="rId127" xr:uid="{32C65F46-594A-4564-B189-334939EC98B7}"/>
    <hyperlink ref="Q214" r:id="rId128" xr:uid="{E631D4D9-D6F6-4FB7-B048-B04FFF44D352}"/>
    <hyperlink ref="Q215" r:id="rId129" xr:uid="{B1F19918-5760-48ED-835C-7A0EBC019CAD}"/>
    <hyperlink ref="Q216" r:id="rId130" xr:uid="{47246B4F-87A0-440D-8FDB-9ADB4CAE1D74}"/>
    <hyperlink ref="Q217" r:id="rId131" xr:uid="{3A164F1B-84DC-440F-AD4D-6EF578021B13}"/>
    <hyperlink ref="Q218" r:id="rId132" xr:uid="{F367D7FE-3B9C-4148-8285-1294EEE398EB}"/>
    <hyperlink ref="Q219" r:id="rId133" xr:uid="{F4FC945A-2236-48F9-96EA-34634E8A7EB3}"/>
    <hyperlink ref="Q220" r:id="rId134" xr:uid="{5A034E6E-0A09-41FA-B84A-E116F7F13723}"/>
    <hyperlink ref="Q221" r:id="rId135" xr:uid="{DEDA5062-D0D1-44FA-9B99-6533AB948186}"/>
    <hyperlink ref="Q222" r:id="rId136" xr:uid="{3BE976C8-5BDC-4C2A-90A0-148B786B46A5}"/>
    <hyperlink ref="Q223" r:id="rId137" xr:uid="{0EC864C5-3D9A-495F-A0C0-834C9642CAC6}"/>
    <hyperlink ref="Q224" r:id="rId138" xr:uid="{CE5B9B2E-C893-4B45-989E-D3E73BF91B6A}"/>
    <hyperlink ref="Q225" r:id="rId139" xr:uid="{DB650C18-6E50-45BD-AC62-F9F8E9752D09}"/>
    <hyperlink ref="Q226" r:id="rId140" xr:uid="{0BD30416-BC1E-4FEF-BED4-50C6EDA44238}"/>
    <hyperlink ref="Q227" r:id="rId141" xr:uid="{0B143CE0-27A0-4CE1-B4AC-21A1980DA4E2}"/>
    <hyperlink ref="Q228" r:id="rId142" xr:uid="{60415FB2-5D47-4C52-B6BA-73785A7EB011}"/>
    <hyperlink ref="Q229" r:id="rId143" xr:uid="{2C077D41-2BED-412D-AFEA-24E8694F25DD}"/>
    <hyperlink ref="Q230" r:id="rId144" xr:uid="{F17C8A40-820F-45EC-926B-523767811070}"/>
    <hyperlink ref="Q231" r:id="rId145" xr:uid="{8E94D37B-5188-4A5A-9C01-1A9896665801}"/>
    <hyperlink ref="Q232" r:id="rId146" xr:uid="{B4A0E08E-C7A5-489E-B76E-6E7A3B1EE1DD}"/>
    <hyperlink ref="Q233" r:id="rId147" xr:uid="{3EAA8804-78AD-4D83-B2E4-A11DE008FE00}"/>
    <hyperlink ref="Q234" r:id="rId148" xr:uid="{5B3C7689-2DAD-44B8-BB88-101A6B0998E5}"/>
    <hyperlink ref="Q235" r:id="rId149" xr:uid="{2DAFE62C-7D00-4BE1-B4D7-7C5E8F52DAD2}"/>
    <hyperlink ref="Q236" r:id="rId150" xr:uid="{EDEC9B82-176C-4827-8AF0-DA207A8116ED}"/>
    <hyperlink ref="Q237" r:id="rId151" xr:uid="{FE1E7C64-F88A-40E4-8256-BD77CEEE3A78}"/>
    <hyperlink ref="Q238" r:id="rId152" xr:uid="{77E3AC18-7812-4884-8FE8-D96269F725E1}"/>
    <hyperlink ref="Q239" r:id="rId153" xr:uid="{AD8ABCA0-2149-4292-9172-2FFAAA3D3B2E}"/>
    <hyperlink ref="Q240" r:id="rId154" xr:uid="{53E20692-B149-4FEF-B1DB-63450FB5488B}"/>
    <hyperlink ref="Q241" r:id="rId155" xr:uid="{D35F573A-00C9-4526-94CE-FA600D40B857}"/>
    <hyperlink ref="Q242" r:id="rId156" xr:uid="{22C8B84B-31E9-441A-B8BF-5A3E1F076325}"/>
    <hyperlink ref="Q243" r:id="rId157" xr:uid="{68B99A09-1103-471B-8A6C-E1812B690120}"/>
    <hyperlink ref="Q244" r:id="rId158" xr:uid="{F8CAC903-2A61-4ADA-B9F8-C8F2A74403D2}"/>
    <hyperlink ref="Q245" r:id="rId159" xr:uid="{CDB14A5A-2382-4546-8345-141F63417005}"/>
    <hyperlink ref="Q246" r:id="rId160" xr:uid="{07EBA7E2-5A4D-4302-971F-4F1FADE18D98}"/>
    <hyperlink ref="Q247" r:id="rId161" xr:uid="{B2BF3043-FC5C-43C9-ABEF-13D64E145C93}"/>
    <hyperlink ref="Q248" r:id="rId162" xr:uid="{D1F07480-F22E-4F47-875F-C23DDB98952A}"/>
    <hyperlink ref="Q249" r:id="rId163" xr:uid="{D1D8346F-C17D-405C-A46F-78B41F933704}"/>
    <hyperlink ref="Q250" r:id="rId164" xr:uid="{4BDC9912-395C-4E52-A7BD-E5C451493901}"/>
    <hyperlink ref="Q251" r:id="rId165" xr:uid="{AEC82E95-CA8C-4627-A5C7-4A296054CBDF}"/>
    <hyperlink ref="Q252" r:id="rId166" xr:uid="{63987A08-29B5-472E-981B-C2E7EEDE6316}"/>
    <hyperlink ref="Q253" r:id="rId167" xr:uid="{9183106B-FC3A-4BB2-AA2B-868C0630F6C5}"/>
    <hyperlink ref="Q254" r:id="rId168" xr:uid="{23D7BB02-8551-413E-BA16-DB97A391BC8A}"/>
    <hyperlink ref="Q255" r:id="rId169" xr:uid="{ADB43D15-33A0-4B29-88ED-8D0045C5930E}"/>
    <hyperlink ref="Q256" r:id="rId170" xr:uid="{1E6EC2D7-AAAD-4ADA-8534-1E9CE62FD133}"/>
    <hyperlink ref="Q257" r:id="rId171" xr:uid="{A5F82F0D-076A-4DBD-88A3-4125A9A53AE2}"/>
    <hyperlink ref="Q258" r:id="rId172" xr:uid="{CEF54AAC-B7E9-4D15-8AEF-39607826D1A2}"/>
    <hyperlink ref="Q259" r:id="rId173" xr:uid="{06006362-6C53-4D3B-9752-9CBF22F0C2BE}"/>
    <hyperlink ref="Q260" r:id="rId174" xr:uid="{EFF117DF-6959-48E4-9F62-C043E0AB77B0}"/>
    <hyperlink ref="Q261" r:id="rId175" xr:uid="{B0A6584D-0100-4945-BD32-05EA2C062F98}"/>
    <hyperlink ref="Q262" r:id="rId176" xr:uid="{5BC2925A-F4D7-4F38-BAE4-CC5A8099A3BE}"/>
    <hyperlink ref="Q263" r:id="rId177" xr:uid="{3EF98F37-358D-436D-AC7D-2A6BA2367A7B}"/>
    <hyperlink ref="Q264" r:id="rId178" xr:uid="{D857E1B4-C9F7-44CD-BAF9-52BEDDC4BDAE}"/>
    <hyperlink ref="Q265" r:id="rId179" xr:uid="{30029ED1-B5B2-4687-97A9-D3382A1B1C87}"/>
    <hyperlink ref="Q266" r:id="rId180" xr:uid="{63C7D54A-7FA8-4070-8584-EB76EDCD5FEA}"/>
    <hyperlink ref="Q267" r:id="rId181" xr:uid="{ED06327D-7B51-48B8-8CB7-228E87BF058D}"/>
    <hyperlink ref="Q268" r:id="rId182" xr:uid="{DF607226-2634-47DF-A5E6-BE3D9D89D5EE}"/>
    <hyperlink ref="Q269" r:id="rId183" xr:uid="{74EAF0B2-59B8-464F-ACE9-E3A0414E897C}"/>
    <hyperlink ref="Q270" r:id="rId184" xr:uid="{8AFDCF73-55DD-419B-B0D4-77DEBDE6743A}"/>
    <hyperlink ref="Q271" r:id="rId185" xr:uid="{2A98867C-5F9A-4CC3-BA69-1B5F344C5E18}"/>
    <hyperlink ref="Q272" r:id="rId186" xr:uid="{DBB060C2-F2E2-483E-B309-9BA942C7A848}"/>
    <hyperlink ref="Q273" r:id="rId187" xr:uid="{2653B2CF-B7A3-487C-85DE-F8DB4AF70F68}"/>
    <hyperlink ref="Q274" r:id="rId188" xr:uid="{DC75F6F1-C82B-46AC-A0D7-2863FE9DA6DD}"/>
    <hyperlink ref="Q275" r:id="rId189" xr:uid="{53276EA4-4851-48C7-8C34-5DB3AFF2C09C}"/>
    <hyperlink ref="Q276" r:id="rId190" xr:uid="{C39188CB-4361-4BC3-855E-5DC169A6B3A5}"/>
    <hyperlink ref="Q277" r:id="rId191" xr:uid="{99F81BF2-E7B4-4FE6-8180-42B303B159F8}"/>
    <hyperlink ref="Q278" r:id="rId192" xr:uid="{8B3AC078-1F20-4F35-902D-0ED3016F76D5}"/>
    <hyperlink ref="Q279" r:id="rId193" xr:uid="{FE76059F-4345-47D0-8037-AF8213F98D6C}"/>
    <hyperlink ref="Q280" r:id="rId194" xr:uid="{5DD7BBAB-AA4A-4409-A52F-107D984D6F55}"/>
    <hyperlink ref="Q281" r:id="rId195" xr:uid="{DD3A5D29-695E-4B23-BB2A-BB0825B1D362}"/>
    <hyperlink ref="Q282" r:id="rId196" xr:uid="{567BECA0-011B-459E-A1BC-99CCC75D3F41}"/>
    <hyperlink ref="Q283" r:id="rId197" xr:uid="{7C57F30F-C3F5-4C8F-880E-4444439B3C21}"/>
    <hyperlink ref="Q284" r:id="rId198" xr:uid="{C6696777-8F36-4E15-A732-EA4AD48A0289}"/>
    <hyperlink ref="Q285" r:id="rId199" xr:uid="{B87AB87F-C442-4E37-9AD0-6D35510E564B}"/>
    <hyperlink ref="Q286" r:id="rId200" xr:uid="{4DA51453-FC89-4E16-B04C-CEC8C9B939E9}"/>
    <hyperlink ref="Q287" r:id="rId201" xr:uid="{0DE93D10-DC2E-44ED-B72B-A08627CAC91D}"/>
    <hyperlink ref="Q288" r:id="rId202" xr:uid="{3EFA9FBA-CCD8-492F-BBEE-6E2179E03675}"/>
    <hyperlink ref="Q289" r:id="rId203" xr:uid="{6AB91216-99C2-4097-AE2E-88A45B7BB9C4}"/>
    <hyperlink ref="Q290" r:id="rId204" xr:uid="{C466F6E0-E33E-4B64-8D8E-1773322670F1}"/>
    <hyperlink ref="Q291" r:id="rId205" xr:uid="{F3D95E2B-8FB8-4557-97D4-B1CBCC533BD9}"/>
    <hyperlink ref="Q292" r:id="rId206" xr:uid="{CAF0A75D-E89A-4553-9CF2-E50B6EAA1F49}"/>
    <hyperlink ref="Q293" r:id="rId207" xr:uid="{F577EC86-9950-40B5-B4E6-AE7406255D6A}"/>
    <hyperlink ref="Q294" r:id="rId208" xr:uid="{17750DD1-BDCC-4BCF-AEC1-F7257419DA39}"/>
    <hyperlink ref="Q295" r:id="rId209" xr:uid="{74BAF744-706B-4C84-A155-11A655352F67}"/>
    <hyperlink ref="Q296" r:id="rId210" xr:uid="{B70ED262-7FDE-4230-9606-C6B198B61918}"/>
    <hyperlink ref="Q297" r:id="rId211" xr:uid="{7BC21E4D-DB43-4DC8-BB28-2657D585248A}"/>
    <hyperlink ref="Q298" r:id="rId212" xr:uid="{EB61C527-8E26-4013-A299-B3B54426A8C4}"/>
    <hyperlink ref="Q299" r:id="rId213" xr:uid="{8E70096D-88CA-4BCB-AAF6-2B39D950B62D}"/>
    <hyperlink ref="Q300" r:id="rId214" xr:uid="{2BA9F0DB-BA08-427A-A7EE-A0D5006B6514}"/>
    <hyperlink ref="Q301" r:id="rId215" xr:uid="{570DF4C4-A154-4438-95C1-01533F50AF20}"/>
    <hyperlink ref="Q302" r:id="rId216" xr:uid="{D17682D1-1C59-4EB7-9EBD-5503AD658E28}"/>
    <hyperlink ref="Q303" r:id="rId217" xr:uid="{71DC5132-5DB4-40AE-8C9C-7C2E17689A83}"/>
    <hyperlink ref="Q304" r:id="rId218" xr:uid="{119DF4A9-AD52-41DF-9BCA-47A43F25001E}"/>
    <hyperlink ref="Q305" r:id="rId219" xr:uid="{D88D6E1C-DB74-44B4-8359-786078662F2B}"/>
    <hyperlink ref="Q306" r:id="rId220" xr:uid="{5077265C-6553-4C82-AE9C-D3C05736F12F}"/>
    <hyperlink ref="Q307" r:id="rId221" xr:uid="{E6F809A7-6D95-4C1E-BD3F-344785FC8D8B}"/>
    <hyperlink ref="Q308" r:id="rId222" xr:uid="{A7BAA769-1A9B-4D48-9882-1CB773ACEC97}"/>
    <hyperlink ref="Q309" r:id="rId223" xr:uid="{5A16429C-B9FA-4771-9E23-48C758EF1688}"/>
    <hyperlink ref="Q310" r:id="rId224" xr:uid="{69C31155-3D6B-4FCA-84D5-20FDB00A49F8}"/>
    <hyperlink ref="Q311" r:id="rId225" xr:uid="{913616D1-6F06-4E25-9000-315D98AB90EE}"/>
    <hyperlink ref="Q312" r:id="rId226" xr:uid="{E06507DD-465D-427E-9AD6-94266BCF2D66}"/>
    <hyperlink ref="Q313" r:id="rId227" xr:uid="{55643990-0155-456A-9418-751F6B0221D1}"/>
    <hyperlink ref="Q314" r:id="rId228" xr:uid="{2E0C9FE5-A674-4D87-A94E-FC618131D39B}"/>
    <hyperlink ref="Q315" r:id="rId229" xr:uid="{801963E8-6C0A-4764-A376-7303EACC813E}"/>
    <hyperlink ref="Q316" r:id="rId230" xr:uid="{1262461A-3466-4AA7-9F52-DC5BBB910653}"/>
    <hyperlink ref="Q317" r:id="rId231" xr:uid="{5A426D52-5762-4D5B-8E98-BE3B3F839A54}"/>
    <hyperlink ref="Q318" r:id="rId232" xr:uid="{39AD3A1B-C02E-4102-9224-3A5D560F83D6}"/>
    <hyperlink ref="Q319" r:id="rId233" xr:uid="{8711FBCF-F972-44DC-AFA8-36A1C9C22791}"/>
    <hyperlink ref="Q320" r:id="rId234" xr:uid="{8F872E8B-7BAD-43BC-8D47-93B92910356D}"/>
    <hyperlink ref="Q321" r:id="rId235" xr:uid="{B19CD802-4210-4402-827C-8B35BA32ABEF}"/>
    <hyperlink ref="Q322" r:id="rId236" xr:uid="{8253CE79-1E83-4613-929B-39337C187D74}"/>
    <hyperlink ref="Q323" r:id="rId237" xr:uid="{8EE126FB-167E-4B98-9A4D-EF5EDC022FD1}"/>
    <hyperlink ref="Q324" r:id="rId238" xr:uid="{CE685F7D-E2C6-4881-A2C4-D30488398656}"/>
    <hyperlink ref="Q325" r:id="rId239" xr:uid="{3FA33EB0-2058-4D3B-8FDE-8E3EB26B17A7}"/>
    <hyperlink ref="Q326" r:id="rId240" xr:uid="{698DBE29-78C7-4A96-A181-249A2BAAD971}"/>
    <hyperlink ref="Q327" r:id="rId241" xr:uid="{53BB03D8-26F2-4688-88B8-4C799D982397}"/>
    <hyperlink ref="Q328" r:id="rId242" xr:uid="{F01D2B65-7638-4B67-B3AE-751074A98FCB}"/>
    <hyperlink ref="Q329" r:id="rId243" xr:uid="{0790F9B4-3748-4830-8C5A-B079E49839DE}"/>
    <hyperlink ref="Q330" r:id="rId244" xr:uid="{32D7CB2C-C5DF-49D5-9CE3-DA92EDCE16DD}"/>
    <hyperlink ref="Q331" r:id="rId245" xr:uid="{506C4D55-BF06-4FA9-81BD-AA179CF848CC}"/>
    <hyperlink ref="Q332" r:id="rId246" xr:uid="{9AD05460-373F-460B-B10C-5A6750BF4C40}"/>
    <hyperlink ref="Q333" r:id="rId247" xr:uid="{07033951-6667-4513-9FD6-41B0D461985B}"/>
    <hyperlink ref="Q334" r:id="rId248" xr:uid="{11B9E794-0192-4674-BADA-394C1313857D}"/>
    <hyperlink ref="Q335" r:id="rId249" xr:uid="{D232823E-A3C6-4C84-86C9-0060EC04055C}"/>
    <hyperlink ref="Q336" r:id="rId250" xr:uid="{97BD3347-EDBA-4F86-A536-2E8EA0D6A3BB}"/>
    <hyperlink ref="Q337" r:id="rId251" xr:uid="{E3AD960E-0782-4EA7-A742-DF2D09BDBD93}"/>
    <hyperlink ref="Q338" r:id="rId252" xr:uid="{C2C5D43B-CBEB-4FA2-B8EA-6E70ED497071}"/>
    <hyperlink ref="Q339" r:id="rId253" xr:uid="{8134EA6A-C47D-457A-ABB9-033B3C721C4C}"/>
    <hyperlink ref="Q340" r:id="rId254" xr:uid="{F734A6EB-DEEF-45BB-A056-E9A2A8710672}"/>
    <hyperlink ref="Q395:Q398" r:id="rId255" display="../../../../../../../:b:/r/personal/comunicacionesdiveliv_educacionbogota_gov_co/Documents/DIRECCION DE INSPECCION Y VIGILANCIA/DIV POAIV/POAIV 2025/ELIV CHAPINERO/PRIORIZADOS/TRIM I/LICEO CERVANTES EL RETIRO/ACTA DE VISITA BILINGUISMO LICEO CERVANTES CON ANEXOS.pdf?csf=1&amp;web=1&amp;e=7hnGBP" xr:uid="{8983CA58-AEA1-4281-8CD7-632D5647B76F}"/>
    <hyperlink ref="Q399" r:id="rId256" display="../../../../../../../:b:/r/personal/comunicacionesdiveliv_educacionbogota_gov_co/Documents/DIRECCION DE INSPECCION Y VIGILANCIA/DIV POAIV/POAIV 2025/ELIV CHAPINERO/PRIORIZADOS/TRIM II/POLITECNICO UNIVERSAL UNICAP/V.5  FORMATO VISITAS CON FINES DE MEJORAMIENTO  POLITECNICO UNICAP.pdf?csf=1&amp;web=1&amp;e=99BQkx" xr:uid="{5A73CC2A-FCCF-4E2F-B256-EA11EED17B9C}"/>
    <hyperlink ref="Q400:Q403" r:id="rId257" display="POLITECNICO UNICAP" xr:uid="{43BA4BFE-375E-4862-BB96-68FD7821471B}"/>
    <hyperlink ref="Q405" r:id="rId258" display="../../../../../../../:b:/r/personal/comunicacionesdiveliv_educacionbogota_gov_co/Documents/DIRECCION DE INSPECCION Y VIGILANCIA/DIV POAIV/POAIV 2025/ELIV CHAPINERO/PRIORIZADOS/TRIM II/POLITECNICO UNIVERSAL UNICAP/V.5  FORMATO VISITAS CON FINES DE MEJORAMIENTO  POLITECNICO UNICAP.pdf?csf=1&amp;web=1&amp;e=99BQkx" xr:uid="{960788B9-E3C8-4CBC-9890-82C8C69B5DE5}"/>
    <hyperlink ref="Q406:Q407" r:id="rId259" display="POLITECNICO UNICAP" xr:uid="{C255B19F-2B16-4995-AF75-D39249079C1A}"/>
    <hyperlink ref="Q404" r:id="rId260" display="../../../../../../../:b:/r/personal/comunicacionesdiveliv_educacionbogota_gov_co/Documents/DIRECCION DE INSPECCION Y VIGILANCIA/DIV POAIV/POAIV 2025/ELIV CHAPINERO/PRIORIZADOS/TRIM II/POLITECNICO UNIVERSAL UNICAP/V.5  FORMATO VISITAS CON FINES DE MEJORAMIENTO  POLITECNICO UNICAP.pdf?csf=1&amp;web=1&amp;e=99BQkx" xr:uid="{EDF75122-9374-4700-8283-6254C1237AEF}"/>
    <hyperlink ref="Q409" r:id="rId261" display="../../../../../../../:b:/r/personal/comunicacionesdiveliv_educacionbogota_gov_co/Documents/DIRECCION DE INSPECCION Y VIGILANCIA/DIV POAIV/POAIV 2025/ELIV CHAPINERO/PRIORIZADOS/TRIM II/UNILATINA/acta visita Colegio Unilatina.pdf?csf=1&amp;web=1&amp;e=XU2S26" xr:uid="{5A4D39EF-2F20-45BB-B47E-D54039A35FBC}"/>
    <hyperlink ref="Q408" r:id="rId262" display="../../../../../../../:b:/r/personal/comunicacionesdiveliv_educacionbogota_gov_co/Documents/DIRECCION DE INSPECCION Y VIGILANCIA/DIV POAIV/POAIV 2025/ELIV CHAPINERO/PRIORIZADOS/TRIM II/UNILATINA/acta visita Colegio Unilatina.pdf?csf=1&amp;web=1&amp;e=XU2S26" xr:uid="{7AFE921B-8C76-4E58-BCAC-22CA67ED0345}"/>
    <hyperlink ref="Q410" r:id="rId263" display="../../../../../../../:b:/r/personal/comunicacionesdiveliv_educacionbogota_gov_co/Documents/DIRECCION DE INSPECCION Y VIGILANCIA/DIV POAIV/POAIV 2025/ELIV CHAPINERO/PRIORIZADOS/TRIM II/UNILATINA/acta visita Colegio Unilatina.pdf?csf=1&amp;web=1&amp;e=XU2S26" xr:uid="{72A81F0E-EA33-407A-B2BA-1B1C5D9D798B}"/>
    <hyperlink ref="Q411" r:id="rId264" display="../../../../../../../:b:/r/personal/comunicacionesdiveliv_educacionbogota_gov_co/Documents/DIRECCION DE INSPECCION Y VIGILANCIA/DIV POAIV/POAIV 2025/ELIV CHAPINERO/PRIORIZADOS/TRIM II/UNILATINA/acta visita Colegio Unilatina.pdf?csf=1&amp;web=1&amp;e=XU2S26" xr:uid="{6AC87CD3-E225-4F8D-8AF8-886AD87C09E1}"/>
    <hyperlink ref="Q412" r:id="rId265" display="../../../../../../../:b:/r/personal/comunicacionesdiveliv_educacionbogota_gov_co/Documents/DIRECCION DE INSPECCION Y VIGILANCIA/DIV POAIV/POAIV 2025/ELIV CHAPINERO/PRIORIZADOS/TRIM II/UNILATINA/acta visita Colegio Unilatina.pdf?csf=1&amp;web=1&amp;e=XU2S26" xr:uid="{6104C2BE-B652-48A2-BDEA-BF91797F2B94}"/>
    <hyperlink ref="Q413" r:id="rId266" display="../../../../../../../:b:/r/personal/comunicacionesdiveliv_educacionbogota_gov_co/Documents/DIRECCION DE INSPECCION Y VIGILANCIA/DIV POAIV/POAIV 2025/ELIV CHAPINERO/PRIORIZADOS/TRIM II/COLEGIO JORD%C3%81N DE SAJONIA/Acta de visita administrativa.pdf?csf=1&amp;web=1&amp;e=dGYvUw" xr:uid="{BB199D89-3FFF-442B-8CA3-395093032A24}"/>
    <hyperlink ref="Q414:Q420" r:id="rId267" display="Acta de visita administrativa.pdf" xr:uid="{EA1764F6-188D-4CFE-8184-781818DF003C}"/>
    <hyperlink ref="Q421" r:id="rId268" display="../../../../../../../:b:/r/personal/comunicacionesdiveliv_educacionbogota_gov_co/Documents/DIRECCION DE INSPECCION Y VIGILANCIA/DIV POAIV/POAIV 2025/ELIV CHAPINERO/PRIORIZADOS/TRIM II/FUND COLEGIO NUEVA GRANADA/ACTA FINAL FUND NUEVA GRANADA.pdf?csf=1&amp;web=1&amp;e=kF2juS" xr:uid="{6B03CFCC-F93F-4432-B114-2ACD71B9633A}"/>
    <hyperlink ref="Q422" r:id="rId269" display="../../../../../../../:b:/r/personal/comunicacionesdiveliv_educacionbogota_gov_co/Documents/DIRECCION DE INSPECCION Y VIGILANCIA/DIV POAIV/POAIV 2025/ELIV CHAPINERO/PRIORIZADOS/TRIM II/FUND COLEGIO NUEVA GRANADA/ACTA FINAL FUND NUEVA GRANADA.pdf?csf=1&amp;web=1&amp;e=kF2juS" xr:uid="{FC51BA4B-5479-4A50-BF80-84FFC8C3FFA4}"/>
    <hyperlink ref="Q423" r:id="rId270" display="../../../../../../../:b:/r/personal/comunicacionesdiveliv_educacionbogota_gov_co/Documents/DIRECCION DE INSPECCION Y VIGILANCIA/DIV POAIV/POAIV 2025/ELIV CHAPINERO/PRIORIZADOS/TRIM II/FUND COLEGIO NUEVA GRANADA/ACTA FINAL FUND NUEVA GRANADA.pdf?csf=1&amp;web=1&amp;e=kF2juS" xr:uid="{BE48E8FD-29E2-4E10-AD45-2C1D07ADE7A0}"/>
    <hyperlink ref="Q424" r:id="rId271" display="../../../../../../../:b:/r/personal/comunicacionesdiveliv_educacionbogota_gov_co/Documents/DIRECCION DE INSPECCION Y VIGILANCIA/DIV POAIV/POAIV 2025/ELIV CHAPINERO/PRIORIZADOS/TRIM II/FUND COLEGIO NUEVA GRANADA/ACTA FINAL FUND NUEVA GRANADA.pdf?csf=1&amp;web=1&amp;e=kF2juS" xr:uid="{170CEA43-3AA7-44C3-9482-184BAB48C704}"/>
    <hyperlink ref="Q425" r:id="rId272" display="../../../../../../../:b:/r/personal/comunicacionesdiveliv_educacionbogota_gov_co/Documents/DIRECCION DE INSPECCION Y VIGILANCIA/DIV POAIV/POAIV 2025/ELIV CHAPINERO/PRIORIZADOS/TRIM II/LICEO FRANCES LOUIS PASTEUR/ACTA DE VISITA LICEO FRANCES.pdf?csf=1&amp;web=1&amp;e=g0Z0uT" xr:uid="{2A770522-CBB6-4D73-9782-619D3697743E}"/>
    <hyperlink ref="Q426" r:id="rId273" display="../../../../../../../:b:/r/personal/comunicacionesdiveliv_educacionbogota_gov_co/Documents/DIRECCION DE INSPECCION Y VIGILANCIA/DIV POAIV/POAIV 2025/ELIV CHAPINERO/PRIORIZADOS/TRIM II/LICEO FRANCES LOUIS PASTEUR/ACTA DE VISITA LICEO FRANCES.pdf?csf=1&amp;web=1&amp;e=g0Z0uT" xr:uid="{A359052F-9D57-4DDC-AAA4-1224ABA92350}"/>
    <hyperlink ref="Q427" r:id="rId274" display="../../../../../../../:b:/r/personal/comunicacionesdiveliv_educacionbogota_gov_co/Documents/DIRECCION DE INSPECCION Y VIGILANCIA/DIV POAIV/POAIV 2025/ELIV CHAPINERO/PRIORIZADOS/TRIM II/LICEO FRANCES LOUIS PASTEUR/ACTA DE VISITA LICEO FRANCES.pdf?csf=1&amp;web=1&amp;e=g0Z0uT" xr:uid="{81B39C86-5745-42AB-B5C0-899FA992B6EE}"/>
    <hyperlink ref="Q429" r:id="rId275" display="../../../../../../../:b:/r/personal/comunicacionesdiveliv_educacionbogota_gov_co/Documents/DIRECCION DE INSPECCION Y VIGILANCIA/DIV POAIV/POAIV 2025/ELIV CHAPINERO/PRIORIZADOS/TRIM II/LICEO FRANCES LOUIS PASTEUR/ACTA DE VISITA LICEO FRANCES.pdf?csf=1&amp;web=1&amp;e=g0Z0uT" xr:uid="{1605E930-69FA-49EC-8EA4-C221687301C0}"/>
    <hyperlink ref="Q431" r:id="rId276" display="../../../../../../../:b:/r/personal/comunicacionesdiveliv_educacionbogota_gov_co/Documents/DIRECCION DE INSPECCION Y VIGILANCIA/DIV POAIV/POAIV 2025/ELIV CHAPINERO/PRIORIZADOS/TRIM II/LICEO FRANCES LOUIS PASTEUR/ACTA DE VISITA LICEO FRANCES.pdf?csf=1&amp;web=1&amp;e=g0Z0uT" xr:uid="{E4CE33E9-628D-47C1-9DF1-C1E4314A512B}"/>
    <hyperlink ref="Q432" r:id="rId277" display="../../../../../../../:b:/r/personal/comunicacionesdiveliv_educacionbogota_gov_co/Documents/DIRECCION DE INSPECCION Y VIGILANCIA/DIV POAIV/POAIV 2025/ELIV CHAPINERO/PRIORIZADOS/TRIM II/LICEO FRANCES LOUIS PASTEUR/ACTA DE VISITA LICEO FRANCES.pdf?csf=1&amp;web=1&amp;e=g0Z0uT" xr:uid="{E6994F09-B11C-461A-A0D5-63CF54258E4D}"/>
    <hyperlink ref="Q430" r:id="rId278" display="../../../../../../../:x:/r/personal/comunicacionesdiveliv_educacionbogota_gov_co/Documents/DIRECCION DE INSPECCION Y VIGILANCIA/DIV POAIV/POAIV 2025/ELIV CHAPINERO/PRIORIZADOS/TRIM II/LICEO FRANCES LOUIS PASTEUR/20240913_FV_Manuales_Convivencia LICEO FRANCES.xlsx?d=w9dae86f660d64ff3ab07d70b092285f9&amp;csf=1&amp;web=1&amp;e=rVrC32" xr:uid="{96305CB0-792E-4E4E-A52F-F76CA67C1653}"/>
    <hyperlink ref="Q428" r:id="rId279" display="../../../../../../../:b:/r/personal/comunicacionesdiveliv_educacionbogota_gov_co/Documents/DIRECCION DE INSPECCION Y VIGILANCIA/DIV POAIV/POAIV 2025/ELIV CHAPINERO/PRIORIZADOS/TRIM II/LICEO FRANCES LOUIS PASTEUR/ACTA DE VISITA LICEO FRANCES.pdf?csf=1&amp;web=1&amp;e=g0Z0uT" xr:uid="{90DF3DE5-4AFF-4B22-8A01-A95560834171}"/>
    <hyperlink ref="Q441" r:id="rId280" display="../../../../../../../:f:/r/personal/comunicacionesdiveliv_educacionbogota_gov_co/Documents/DIRECCION DE INSPECCION Y VIGILANCIA/DIV POAIV/POAIV 2025/ELIV CHAPINERO/PRIORIZADOS/TRIM II/COLEGIO KUEPA?csf=1&amp;web=1&amp;e=Hw7QSn" xr:uid="{4D3CB5F0-0F66-48A0-AB28-C43975086AF4}"/>
    <hyperlink ref="Q450" r:id="rId281" display="../../../../../../../:b:/r/personal/comunicacionesdiveliv_educacionbogota_gov_co/Documents/DIRECCION DE INSPECCION Y VIGILANCIA/DIV POAIV/POAIV 2025/ELIV CHAPINERO/PRIORIZADOS/TRIM II/COLEGIO FILADELFIA/V.5  FORMATO VISITAS CON FINES DE MEJORAMIENTO COLEGIO FILADELFIA.pdf?csf=1&amp;web=1&amp;e=RAVV4P" xr:uid="{6D4A9F1D-B119-4463-BD4B-CA202CF6DABF}"/>
    <hyperlink ref="Q451" r:id="rId282" display="../../../../../../../:b:/r/personal/comunicacionesdiveliv_educacionbogota_gov_co/Documents/DIRECCION DE INSPECCION Y VIGILANCIA/DIV POAIV/POAIV 2025/ELIV CHAPINERO/PRIORIZADOS/TRIM II/COLEGIO FILADELFIA/V.5  FORMATO VISITAS CON FINES DE MEJORAMIENTO COLEGIO FILADELFIA.pdf?csf=1&amp;web=1&amp;e=RAVV4P" xr:uid="{2BE84115-F5D3-4AEA-AE36-B51A37F00DFD}"/>
    <hyperlink ref="Q452" r:id="rId283" display="../../../../../../../:b:/r/personal/comunicacionesdiveliv_educacionbogota_gov_co/Documents/DIRECCION DE INSPECCION Y VIGILANCIA/DIV POAIV/POAIV 2025/ELIV CHAPINERO/PRIORIZADOS/TRIM II/COLEGIO FILADELFIA/V.5  FORMATO VISITAS CON FINES DE MEJORAMIENTO COLEGIO FILADELFIA.pdf?csf=1&amp;web=1&amp;e=RAVV4P" xr:uid="{5723D1E9-37E5-49CB-8461-8CF2CE27501A}"/>
    <hyperlink ref="Q455" r:id="rId284" display="../../../../../../../:b:/r/personal/comunicacionesdiveliv_educacionbogota_gov_co/Documents/DIRECCION DE INSPECCION Y VIGILANCIA/DIV POAIV/POAIV 2025/ELIV CHAPINERO/PRIORIZADOS/TRIM II/COLEGIO FILADELFIA/V.5  FORMATO VISITAS CON FINES DE MEJORAMIENTO COLEGIO FILADELFIA.pdf?csf=1&amp;web=1&amp;e=RAVV4P" xr:uid="{9CB1BF80-7E62-4192-B92A-ED258F233658}"/>
    <hyperlink ref="Q453" r:id="rId285" display="../../../../../../../:x:/r/personal/comunicacionesdiveliv_educacionbogota_gov_co/Documents/DIRECCION DE INSPECCION Y VIGILANCIA/DIV POAIV/POAIV 2025/ELIV CHAPINERO/PRIORIZADOS/TRIM II/COLEGIO FILADELFIA/MATRIZ MANUAL DE CONVIVENCIA colegio filadelfia.xlsx?d=wb534f456017146c5b8faa12ed33040e7&amp;csf=1&amp;web=1&amp;e=5CNZWd" xr:uid="{9CF7BE92-903F-4E3F-B5D7-9932D1652A8E}"/>
    <hyperlink ref="Q456:Q457" r:id="rId286" display="COLEGIO FILADELFIA" xr:uid="{FDD4D21D-0A87-4EE9-ADB7-EBF13250A7A3}"/>
    <hyperlink ref="Q454" r:id="rId287" display="../../../../../../../:b:/r/personal/comunicacionesdiveliv_educacionbogota_gov_co/Documents/DIRECCION DE INSPECCION Y VIGILANCIA/DIV POAIV/POAIV 2025/ELIV CHAPINERO/PRIORIZADOS/TRIM II/COLEGIO FILADELFIA/V.5  FORMATO VISITAS CON FINES DE MEJORAMIENTO COLEGIO FILADELFIA.pdf?csf=1&amp;web=1&amp;e=RAVV4P" xr:uid="{CBAAB87C-B07F-4BA8-A91D-262D9740A4BF}"/>
    <hyperlink ref="Q458" r:id="rId288" display="../../../../../../../:b:/r/personal/comunicacionesdiveliv_educacionbogota_gov_co/Documents/DIRECCION DE INSPECCION Y VIGILANCIA/DIV POAIV/POAIV 2025/ELIV CHAPINERO/PRIORIZADOS/TRIM II/SIMON RODRIGUEZ IED/ACTA DE VISITA FRIMADA.pdf?csf=1&amp;web=1&amp;e=o2gVpw" xr:uid="{D4F87139-82D6-4FEB-B3E5-3209D42E78A1}"/>
    <hyperlink ref="Q459" r:id="rId289" display="../../../../../../../:b:/r/personal/comunicacionesdiveliv_educacionbogota_gov_co/Documents/DIRECCION DE INSPECCION Y VIGILANCIA/DIV POAIV/POAIV 2025/ELIV CHAPINERO/PRIORIZADOS/TRIM II/SIMON RODRIGUEZ IED/ACTA DE VISITA FRIMADA.pdf?csf=1&amp;web=1&amp;e=o2gVpw" xr:uid="{6D0063E4-4B22-4A15-AE69-1DE968B21392}"/>
    <hyperlink ref="Q460" r:id="rId290" display="../../../../../../../:b:/r/personal/comunicacionesdiveliv_educacionbogota_gov_co/Documents/DIRECCION DE INSPECCION Y VIGILANCIA/DIV POAIV/POAIV 2025/ELIV CHAPINERO/PRIORIZADOS/TRIM II/SIMON RODRIGUEZ IED/ACTA DE VISITA FRIMADA.pdf?csf=1&amp;web=1&amp;e=o2gVpw" xr:uid="{3FA2C253-9394-4082-8803-FFA58241BF57}"/>
    <hyperlink ref="Q462" r:id="rId291" display="../../../../../../../:b:/r/personal/comunicacionesdiveliv_educacionbogota_gov_co/Documents/DIRECCION DE INSPECCION Y VIGILANCIA/DIV POAIV/POAIV 2025/ELIV CHAPINERO/PRIORIZADOS/TRIM II/SIMON RODRIGUEZ IED/ACTA DE VISITA FRIMADA.pdf?csf=1&amp;web=1&amp;e=o2gVpw" xr:uid="{34325882-9998-408A-85C5-84B28DE99BCB}"/>
    <hyperlink ref="Q463" r:id="rId292" display="../../../../../../../:b:/r/personal/comunicacionesdiveliv_educacionbogota_gov_co/Documents/DIRECCION DE INSPECCION Y VIGILANCIA/DIV POAIV/POAIV 2025/ELIV CHAPINERO/PRIORIZADOS/TRIM II/SIMON RODRIGUEZ IED/ACTA DE VISITA FRIMADA.pdf?csf=1&amp;web=1&amp;e=o2gVpw" xr:uid="{54F665CC-4B85-49C7-992C-246ACD11CB81}"/>
    <hyperlink ref="Q464" r:id="rId293" display="../../../../../../../:b:/r/personal/comunicacionesdiveliv_educacionbogota_gov_co/Documents/DIRECCION DE INSPECCION Y VIGILANCIA/DIV POAIV/POAIV 2025/ELIV CHAPINERO/PRIORIZADOS/TRIM II/SIMON RODRIGUEZ IED/ACTA DE VISITA FRIMADA.pdf?csf=1&amp;web=1&amp;e=o2gVpw" xr:uid="{BF18F950-30D3-4ADE-B95E-D62A4893A92A}"/>
    <hyperlink ref="Q461" r:id="rId294" display="../../../../../../../:x:/r/personal/comunicacionesdiveliv_educacionbogota_gov_co/Documents/DIRECCION DE INSPECCION Y VIGILANCIA/DIV POAIV/POAIV 2025/ELIV CHAPINERO/PRIORIZADOS/TRIM II/SIMON RODRIGUEZ IED/20240913_FV_Manuales_Convivencia simon rodriguez.xlsx?d=w1e65fded146a41408f4950f952ba1d9a&amp;csf=1&amp;web=1&amp;e=6N5jSg" xr:uid="{333DF7C1-928C-49ED-98B3-89AE9C35A83C}"/>
    <hyperlink ref="Q465" r:id="rId295" display="../../../../../../../:b:/r/personal/comunicacionesdiveliv_educacionbogota_gov_co/Documents/DIRECCION DE INSPECCION Y VIGILANCIA/DIV POAIV/POAIV 2025/ELIV CHAPINERO/PRIORIZADOS/TRIM II/COLEGIO MONTE VERDE/Acta Visita Campestre Monte Verde_2025.pdf?csf=1&amp;web=1&amp;e=djO6LF" xr:uid="{7768605B-D7C4-4963-B763-0210D0762D18}"/>
    <hyperlink ref="Q466" r:id="rId296" display="../../../../../../../:b:/r/personal/comunicacionesdiveliv_educacionbogota_gov_co/Documents/DIRECCION DE INSPECCION Y VIGILANCIA/DIV POAIV/POAIV 2025/ELIV CHAPINERO/PRIORIZADOS/TRIM II/COLEGIO MONTE VERDE/Acta Visita Campestre Monte Verde_2025.pdf?csf=1&amp;web=1&amp;e=djO6LF" xr:uid="{74E89B56-FB7E-446F-B3EB-2F6518A7C282}"/>
    <hyperlink ref="Q467" r:id="rId297" display="../../../../../../../:b:/r/personal/comunicacionesdiveliv_educacionbogota_gov_co/Documents/DIRECCION DE INSPECCION Y VIGILANCIA/DIV POAIV/POAIV 2025/ELIV CHAPINERO/PRIORIZADOS/TRIM II/COLEGIO MONTE VERDE/Acta Visita Campestre Monte Verde_2025.pdf?csf=1&amp;web=1&amp;e=djO6LF" xr:uid="{AD99C2FD-D5C2-4EA7-B2F5-93BB868FFF37}"/>
    <hyperlink ref="Q468" r:id="rId298" display="../../../../../../../:b:/r/personal/comunicacionesdiveliv_educacionbogota_gov_co/Documents/DIRECCION DE INSPECCION Y VIGILANCIA/DIV POAIV/POAIV 2025/ELIV CHAPINERO/PRIORIZADOS/TRIM II/COLEGIO MONTE VERDE/Acta Visita Campestre Monte Verde_2025.pdf?csf=1&amp;web=1&amp;e=djO6LF" xr:uid="{06215CC4-7E2E-4458-B57B-505003C5B8AC}"/>
    <hyperlink ref="Q469" r:id="rId299" display="../../../../../../../:b:/r/personal/comunicacionesdiveliv_educacionbogota_gov_co/Documents/DIRECCION DE INSPECCION Y VIGILANCIA/DIV POAIV/POAIV 2025/ELIV CHAPINERO/PRIORIZADOS/TRIM II/COLEGIO MONTE VERDE/Acta Visita Campestre Monte Verde_2025.pdf?csf=1&amp;web=1&amp;e=djO6LF" xr:uid="{5C06851C-CB84-401B-9268-4E642740FAE9}"/>
    <hyperlink ref="Q470" r:id="rId300" display="../../../../../../../:b:/r/personal/comunicacionesdiveliv_educacionbogota_gov_co/Documents/DIRECCION DE INSPECCION Y VIGILANCIA/DIV POAIV/POAIV 2025/ELIV CHAPINERO/PRIORIZADOS/TRIM II/COLEGIO MONTE VERDE/Acta Visita Campestre Monte Verde_2025.pdf?csf=1&amp;web=1&amp;e=djO6LF" xr:uid="{1C869AAC-3A4D-4AAD-9C80-917645F239C4}"/>
    <hyperlink ref="Q475" r:id="rId301" display="../../../../../../../:b:/r/personal/comunicacionesdiveliv_educacionbogota_gov_co/Documents/DIRECCION DE INSPECCION Y VIGILANCIA/DIV POAIV/POAIV 2025/ELIV CHAPINERO/MANUALES DE CONVIVENCIA IED/TRIM II/INFORME VERIFICACI%C3%93N Y EVALUACI%C3%93N  MANUAL DE CONVIVENCIA  COLEGIO SAN MART%C3%8DN DE PORRES IED.pdf?csf=1&amp;web=1&amp;e=hamOSH" xr:uid="{E2C72C34-14CC-491B-A185-CDAF3DCD31C6}"/>
    <hyperlink ref="Q474" r:id="rId302" display="../../../../../../../:f:/r/personal/comunicacionesdiveliv_educacionbogota_gov_co/Documents/DIRECCION DE INSPECCION Y VIGILANCIA/DIV POAIV/POAIV 2025/ELIV CHAPINERO/PRIORIZADOS/TRIM II/COLEGIO SAN MARTIN DE PORRES (IED)?csf=1&amp;web=1&amp;e=pAQbKH" xr:uid="{F2BBE437-AE4D-40AB-A1C4-3E24A71E9E17}"/>
    <hyperlink ref="Q473" r:id="rId303" display="../../../../../../../:f:/r/personal/comunicacionesdiveliv_educacionbogota_gov_co/Documents/DIRECCION DE INSPECCION Y VIGILANCIA/DIV POAIV/POAIV 2025/ELIV CHAPINERO/PRIORIZADOS/TRIM II/COLEGIO SAN MARTIN DE PORRES (IED)?csf=1&amp;web=1&amp;e=pAQbKH" xr:uid="{5C0CF304-41CA-406A-901C-593BF3DB30A7}"/>
    <hyperlink ref="Q472" r:id="rId304" display="../../../../../../../:f:/r/personal/comunicacionesdiveliv_educacionbogota_gov_co/Documents/DIRECCION DE INSPECCION Y VIGILANCIA/DIV POAIV/POAIV 2025/ELIV CHAPINERO/PRIORIZADOS/TRIM II/COLEGIO SAN MARTIN DE PORRES (IED)?csf=1&amp;web=1&amp;e=pAQbKH" xr:uid="{5DB2C89E-96AC-45FA-B6E3-D5AAA7F060ED}"/>
    <hyperlink ref="Q479" r:id="rId305" display="../../../../../../../:b:/r/personal/comunicacionesdiveliv_educacionbogota_gov_co/Documents/DIRECCION DE INSPECCION Y VIGILANCIA/DIV POAIV/POAIV 2025/ELIV CHAPINERO/PRIORIZADOS/TRIM II/ACADEMIA DE IDIOMAS SMART/ACTA DE VISITA CON FINES DE MEJORAMIENTO SMART.pdf?csf=1&amp;web=1&amp;e=sUApBX" xr:uid="{68C9C836-D0D1-4C10-A159-C66F2A781D4D}"/>
    <hyperlink ref="Q480" r:id="rId306" display="../../../../../../../:b:/r/personal/comunicacionesdiveliv_educacionbogota_gov_co/Documents/DIRECCION DE INSPECCION Y VIGILANCIA/DIV POAIV/POAIV 2025/ELIV CHAPINERO/PRIORIZADOS/TRIM II/ACADEMIA DE IDIOMAS SMART/ACTA DE VISITA CON FINES DE MEJORAMIENTO SMART.pdf?csf=1&amp;web=1&amp;e=sUApBX" xr:uid="{42E3EDBD-9DAE-4BD4-8203-82E73A775DFD}"/>
    <hyperlink ref="Q481" r:id="rId307" display="../../../../../../../:b:/r/personal/comunicacionesdiveliv_educacionbogota_gov_co/Documents/DIRECCION DE INSPECCION Y VIGILANCIA/DIV POAIV/POAIV 2025/ELIV CHAPINERO/PRIORIZADOS/TRIM II/ACADEMIA DE IDIOMAS SMART/ACTA DE VISITA CON FINES DE MEJORAMIENTO SMART.pdf?csf=1&amp;web=1&amp;e=sUApBX" xr:uid="{4E2CD901-B801-45C8-8693-A960EAADC268}"/>
    <hyperlink ref="Q488" r:id="rId308" display="../../../../../../../:b:/r/personal/comunicacionesdiveliv_educacionbogota_gov_co/Documents/DIRECCION DE INSPECCION Y VIGILANCIA/DIV POAIV/POAIV 2025/ELIV CHAPINERO/PRIORIZADOS/TRIM III/INSTITUTO  BERLITZ/ACTA BERLITZ.pdf?csf=1&amp;web=1&amp;e=7ha7j0" xr:uid="{B16C0B88-52A5-4701-9EA1-A87B4FCBD05F}"/>
    <hyperlink ref="Q489" r:id="rId309" display="../../../../../../../:b:/r/personal/comunicacionesdiveliv_educacionbogota_gov_co/Documents/DIRECCION DE INSPECCION Y VIGILANCIA/DIV POAIV/POAIV 2025/ELIV CHAPINERO/PRIORIZADOS/TRIM III/INSTITUTO  BERLITZ/ACTA BERLITZ.pdf?csf=1&amp;web=1&amp;e=7ha7j0" xr:uid="{B5837010-7A5C-4A5A-A287-F817A281367C}"/>
    <hyperlink ref="Q490" r:id="rId310" display="../../../../../../../:b:/r/personal/comunicacionesdiveliv_educacionbogota_gov_co/Documents/DIRECCION DE INSPECCION Y VIGILANCIA/DIV POAIV/POAIV 2025/ELIV CHAPINERO/PRIORIZADOS/TRIM III/INSTITUTO  BERLITZ/ACTA BERLITZ.pdf?csf=1&amp;web=1&amp;e=7ha7j0" xr:uid="{0A9181B7-3E23-4BED-9E64-DDD605CB25A4}"/>
    <hyperlink ref="Q492" r:id="rId311" display="../../../../../../../:f:/r/personal/comunicacionesdiveliv_educacionbogota_gov_co/Documents/DIRECCION DE INSPECCION Y VIGILANCIA/DIV POAIV/POAIV 2025/ELIV CHAPINERO/PRIORIZADOS/TRIM II/CENTRO DE IDIOMAS UNIVERSAL?csf=1&amp;web=1&amp;e=z3Fajv" xr:uid="{9BDE2C4E-2B89-4BBB-BFB7-E65FB7549570}"/>
    <hyperlink ref="Q491" r:id="rId312" display="../../../../../../../:f:/r/personal/comunicacionesdiveliv_educacionbogota_gov_co/Documents/DIRECCION DE INSPECCION Y VIGILANCIA/DIV POAIV/POAIV 2025/ELIV CHAPINERO/PRIORIZADOS/TRIM II/CENTRO DE IDIOMAS UNIVERSAL?csf=1&amp;web=1&amp;e=z3Fajv" xr:uid="{2D457924-25B4-4E05-9285-8BF124B8AF02}"/>
    <hyperlink ref="Q493" r:id="rId313" display="../../../../../../../:f:/r/personal/comunicacionesdiveliv_educacionbogota_gov_co/Documents/DIRECCION DE INSPECCION Y VIGILANCIA/DIV POAIV/POAIV 2025/ELIV CHAPINERO/PRIORIZADOS/TRIM II/CENTRO DE IDIOMAS UNIVERSAL?csf=1&amp;web=1&amp;e=z3Fajv" xr:uid="{07D1FA6B-BD7C-4ECB-A65C-EE778583E9E9}"/>
    <hyperlink ref="Q494" r:id="rId314" display="../../../../../../../:b:/r/personal/comunicacionesdiveliv_educacionbogota_gov_co/Documents/DIRECCION DE INSPECCION Y VIGILANCIA/DIV POAIV/POAIV 2025/ELIV CHAPINERO/PRIORIZADOS/TRIM II/CENTRO DE ALTOS ESTUDIOS INMOBILIARIOS/ACTA_VISITA_CENTRO_ALTOS_ESTUDIOS_INMOBILIARIA.pdf?csf=1&amp;web=1&amp;e=RPOeTZ" xr:uid="{41A6C592-E6EF-4E81-BF16-15FC89815215}"/>
    <hyperlink ref="Q495:Q496" r:id="rId315" display="CAEI" xr:uid="{956E4E36-A2F3-4FA9-832E-F99D8C661AF7}"/>
    <hyperlink ref="Q537:Q544" r:id="rId316" display="20250408ActaVisitaInstInstPsicopedTesoroVerdad (2) (1).pdf" xr:uid="{268C3B45-26D9-44F3-8666-A16DEA678B36}"/>
    <hyperlink ref="Q572" r:id="rId317" xr:uid="{AC91F9A4-82B2-4AC7-9C1F-EF2F3D6D83BE}"/>
    <hyperlink ref="Q518" r:id="rId318" display="../../../../../../../:b:/r/personal/comunicacionesdiveliv_educacionbogota_gov_co/Documents/DIRECCION DE INSPECCION Y VIGILANCIA/DIV POAIV/POAIV 2025/ELIV CIUDAD BOL%C3%8DVAR/PRIORIZADOS/TRIM II/20250407_Visita administrativa Colegio Nuevo Milenio.pdf?csf=1&amp;web=1&amp;e=8cJ69x" xr:uid="{AAD6FD79-7DAA-4686-B9FB-6A086ED0DF3B}"/>
    <hyperlink ref="Q519" r:id="rId319" display="../../../../../../../:b:/r/personal/comunicacionesdiveliv_educacionbogota_gov_co/Documents/DIRECCION DE INSPECCION Y VIGILANCIA/DIV POAIV/POAIV 2025/ELIV CIUDAD BOL%C3%8DVAR/PRIORIZADOS/TRIM II/20250407_Visita administrativa Colegio Nuevo Milenio.pdf?csf=1&amp;web=1&amp;e=8cJ69x" xr:uid="{D8E4DE1F-B1F6-4B0D-99ED-6D0DD5014BE1}"/>
    <hyperlink ref="Q520:Q525" r:id="rId320" display="20250407_Visita administrativa Colegio Nuevo Milenio.pdf" xr:uid="{B2E5BFD1-B004-4224-B1A5-7657FB87D222}"/>
    <hyperlink ref="Q501" r:id="rId321" display="../../../../../../../:b:/r/personal/comunicacionesdiveliv_educacionbogota_gov_co/Documents/DIRECCION DE INSPECCION Y VIGILANCIA/DIV POAIV/POAIV 2025/ELIV CIUDAD BOL%C3%8DVAR/PRIORIZADOS/TRIM II/20250422ActaVisitaAdministrativaInsCoopIsmaelPerdomo.pdf?csf=1&amp;web=1&amp;e=Xnli3z" xr:uid="{A0808F03-9219-4E16-9B4E-733C2CA80638}"/>
    <hyperlink ref="Q502" r:id="rId322" display="../../../../../../../:b:/r/personal/comunicacionesdiveliv_educacionbogota_gov_co/Documents/DIRECCION DE INSPECCION Y VIGILANCIA/DIV POAIV/POAIV 2025/ELIV CIUDAD BOL%C3%8DVAR/PRIORIZADOS/TRIM II/20250422ActaVisitaAdministrativaInsCoopIsmaelPerdomo.pdf?csf=1&amp;web=1&amp;e=Xnli3z" xr:uid="{E15A4A46-BAD1-4A6C-97A3-443886C8CE5F}"/>
    <hyperlink ref="Q503" r:id="rId323" display="../../../../../../../:b:/r/personal/comunicacionesdiveliv_educacionbogota_gov_co/Documents/DIRECCION DE INSPECCION Y VIGILANCIA/DIV POAIV/POAIV 2025/ELIV CIUDAD BOL%C3%8DVAR/PRIORIZADOS/TRIM II/20250422ActaVisitaAdministrativaInsCoopIsmaelPerdomo.pdf?csf=1&amp;web=1&amp;e=Xnli3z" xr:uid="{6E21D6F5-E17C-4D6B-A3A2-11014EE94390}"/>
    <hyperlink ref="Q504" r:id="rId324" display="../../../../../../../:b:/r/personal/comunicacionesdiveliv_educacionbogota_gov_co/Documents/DIRECCION DE INSPECCION Y VIGILANCIA/DIV POAIV/POAIV 2025/ELIV CIUDAD BOL%C3%8DVAR/PRIORIZADOS/TRIM II/20250422ActaVisitaAdministrativaInsCoopIsmaelPerdomo.pdf?csf=1&amp;web=1&amp;e=Xnli3z" xr:uid="{35C6DBF8-A1A4-4774-9668-D322DAEA66A5}"/>
    <hyperlink ref="Q505" r:id="rId325" display="../../../../../../../:b:/r/personal/comunicacionesdiveliv_educacionbogota_gov_co/Documents/DIRECCION DE INSPECCION Y VIGILANCIA/DIV POAIV/POAIV 2025/ELIV CIUDAD BOL%C3%8DVAR/PRIORIZADOS/TRIM II/20250422ActaVisitaAdministrativaInsCoopIsmaelPerdomo.pdf?csf=1&amp;web=1&amp;e=Xnli3z" xr:uid="{A4478458-5681-4A78-B43E-F6351FF6A900}"/>
    <hyperlink ref="Q506" r:id="rId326" display="../../../../../../../:b:/r/personal/comunicacionesdiveliv_educacionbogota_gov_co/Documents/DIRECCION DE INSPECCION Y VIGILANCIA/DIV POAIV/POAIV 2025/ELIV CIUDAD BOL%C3%8DVAR/PRIORIZADOS/TRIM II/20250422ActaVisitaAdministrativaInsCoopIsmaelPerdomo.pdf?csf=1&amp;web=1&amp;e=Xnli3z" xr:uid="{5507B2D7-0BAF-47CA-8DF6-571590A0F50F}"/>
    <hyperlink ref="Q507" r:id="rId327" display="../../../../../../../:b:/r/personal/comunicacionesdiveliv_educacionbogota_gov_co/Documents/DIRECCION DE INSPECCION Y VIGILANCIA/DIV POAIV/POAIV 2025/ELIV CIUDAD BOL%C3%8DVAR/PRIORIZADOS/TRIM II/20250422ActaVisitaAdministrativaInsCoopIsmaelPerdomo.pdf?csf=1&amp;web=1&amp;e=Xnli3z" xr:uid="{44A99065-2D9D-4E71-B632-53054B27EF73}"/>
    <hyperlink ref="Q508" r:id="rId328" display="../../../../../../../:b:/r/personal/comunicacionesdiveliv_educacionbogota_gov_co/Documents/DIRECCION DE INSPECCION Y VIGILANCIA/DIV POAIV/POAIV 2025/ELIV CIUDAD BOL%C3%8DVAR/PRIORIZADOS/TRIM II/20250422ActaVisitaAdministrativaInsCoopIsmaelPerdomo.pdf?csf=1&amp;web=1&amp;e=Xnli3z" xr:uid="{F099CDAF-BB47-4427-8936-43ADD1E761FA}"/>
    <hyperlink ref="Q545" r:id="rId329" display="../../../../../../../:b:/r/personal/comunicacionesdiveliv_educacionbogota_gov_co/Documents/DIRECCION DE INSPECCION Y VIGILANCIA/DIV POAIV/POAIV 2025/ELIV CIUDAD BOL%C3%8DVAR/PRIORIZADOS/TRIM II/20250515ActaVisitaInstJerusalen.pdf?csf=1&amp;web=1&amp;e=zu1WGZ" xr:uid="{0554C48C-B21A-4823-A98E-457D683EF782}"/>
    <hyperlink ref="Q546" r:id="rId330" display="../../../../../../../:b:/r/personal/comunicacionesdiveliv_educacionbogota_gov_co/Documents/DIRECCION DE INSPECCION Y VIGILANCIA/DIV POAIV/POAIV 2025/ELIV CIUDAD BOL%C3%8DVAR/PRIORIZADOS/TRIM II/20250515ActaVisitaInstJerusalen.pdf?csf=1&amp;web=1&amp;e=zu1WGZ" xr:uid="{D4A302E7-BE95-49EC-862F-303C66FB03C4}"/>
    <hyperlink ref="Q547" r:id="rId331" display="../../../../../../../:b:/r/personal/comunicacionesdiveliv_educacionbogota_gov_co/Documents/DIRECCION DE INSPECCION Y VIGILANCIA/DIV POAIV/POAIV 2025/ELIV CIUDAD BOL%C3%8DVAR/PRIORIZADOS/TRIM II/20250515ActaVisitaInstJerusalen.pdf?csf=1&amp;web=1&amp;e=zu1WGZ" xr:uid="{E229BC6C-9F6F-4555-9DB9-1FC860995816}"/>
    <hyperlink ref="Q548" r:id="rId332" display="../../../../../../../:b:/r/personal/comunicacionesdiveliv_educacionbogota_gov_co/Documents/DIRECCION DE INSPECCION Y VIGILANCIA/DIV POAIV/POAIV 2025/ELIV CIUDAD BOL%C3%8DVAR/PRIORIZADOS/TRIM II/20250515ActaVisitaInstJerusalen.pdf?csf=1&amp;web=1&amp;e=zu1WGZ" xr:uid="{E3602914-3B7D-4B5D-8863-81C9EF108CB7}"/>
    <hyperlink ref="Q549" r:id="rId333" display="../../../../../../../:b:/r/personal/comunicacionesdiveliv_educacionbogota_gov_co/Documents/DIRECCION DE INSPECCION Y VIGILANCIA/DIV POAIV/POAIV 2025/ELIV CIUDAD BOL%C3%8DVAR/PRIORIZADOS/TRIM II/20250515ActaVisitaInstJerusalen.pdf?csf=1&amp;web=1&amp;e=zu1WGZ" xr:uid="{09619C5A-BBD1-40C9-AB1D-42E1FF6CE1FB}"/>
    <hyperlink ref="Q550" r:id="rId334" display="../../../../../../../:b:/r/personal/comunicacionesdiveliv_educacionbogota_gov_co/Documents/DIRECCION DE INSPECCION Y VIGILANCIA/DIV POAIV/POAIV 2025/ELIV CIUDAD BOL%C3%8DVAR/PRIORIZADOS/TRIM II/20250515ActaVisitaInstJerusalen.pdf?csf=1&amp;web=1&amp;e=zu1WGZ" xr:uid="{905686CD-2AF9-4BFB-8753-85C84D07DA12}"/>
    <hyperlink ref="Q551" r:id="rId335" display="../../../../../../../:b:/r/personal/comunicacionesdiveliv_educacionbogota_gov_co/Documents/DIRECCION DE INSPECCION Y VIGILANCIA/DIV POAIV/POAIV 2025/ELIV CIUDAD BOL%C3%8DVAR/PRIORIZADOS/TRIM II/20250515ActaVisitaInstJerusalen.pdf?csf=1&amp;web=1&amp;e=zu1WGZ" xr:uid="{0585C4C0-7650-469A-B619-5ECCE254693F}"/>
    <hyperlink ref="Q552" r:id="rId336" display="../../../../../../../:b:/r/personal/comunicacionesdiveliv_educacionbogota_gov_co/Documents/DIRECCION DE INSPECCION Y VIGILANCIA/DIV POAIV/POAIV 2025/ELIV CIUDAD BOL%C3%8DVAR/PRIORIZADOS/TRIM II/20250515ActaVisitaInstJerusalen.pdf?csf=1&amp;web=1&amp;e=zu1WGZ" xr:uid="{443AD87C-D99E-4AD5-8AE2-CBA2CFC27165}"/>
    <hyperlink ref="Q553" r:id="rId337" display="../../../../../../../:b:/r/personal/comunicacionesdiveliv_educacionbogota_gov_co/Documents/DIRECCION DE INSPECCION Y VIGILANCIA/DIV POAIV/POAIV 2025/ELIV CIUDAD BOL%C3%8DVAR/PRIORIZADOS/TRIM II/20250515ActaVisitaInstJerusalen.pdf?csf=1&amp;web=1&amp;e=zu1WGZ" xr:uid="{8F8A318E-63BC-49B6-81A4-B3E10AFB2F28}"/>
    <hyperlink ref="Q581" r:id="rId338" display="../../../../../../../:b:/r/personal/comunicacionesdiveliv_educacionbogota_gov_co/Documents/DIRECCION DE INSPECCION Y VIGILANCIA/DIV POAIV/POAIV 2025/ELIV CIUDAD BOL%C3%8DVAR/PRIORIZADOS/TRIM II/20250612 ActaVisitaInstitutoCerrosSur.pdf?csf=1&amp;web=1&amp;e=dhMUIp" xr:uid="{CF6B6894-E6F6-4640-A97C-6A784BB66CED}"/>
    <hyperlink ref="Q582:Q589" r:id="rId339" display="20250612 ActaVisitaInstitutoCerrosSur.pdf" xr:uid="{59242928-5622-41F4-BE15-84A7CC7F0697}"/>
    <hyperlink ref="Q643" r:id="rId340" display="../../../../../../../:b:/r/personal/comunicacionesdiveliv_educacionbogota_gov_co/Documents/DIRECCION DE INSPECCION Y VIGILANCIA/DIV POAIV/POAIV 2025/ELIV ENGATIV%C3%81/PRIORIZADOS/TRIMI/20250329Acta visita corpoempresarial.pdf?csf=1&amp;web=1&amp;e=keV1Rv" xr:uid="{B4401104-2353-477C-A4DC-62D87E3604A0}"/>
    <hyperlink ref="Q644" r:id="rId341" display="../../../../../../../:b:/r/personal/comunicacionesdiveliv_educacionbogota_gov_co/Documents/DIRECCION DE INSPECCION Y VIGILANCIA/DIV POAIV/POAIV 2025/ELIV ENGATIV%C3%81/PRIORIZADOS/TRIMI/20250329Acta visita corpoempresarial.pdf?csf=1&amp;web=1&amp;e=keV1Rv" xr:uid="{B38579A4-02D2-4720-9BE9-53E0123C355A}"/>
    <hyperlink ref="Q645" r:id="rId342" display="../../../../../../../:b:/r/personal/comunicacionesdiveliv_educacionbogota_gov_co/Documents/DIRECCION DE INSPECCION Y VIGILANCIA/DIV POAIV/POAIV 2025/ELIV ENGATIV%C3%81/PRIORIZADOS/TRIMI/20250329Acta visita corpoempresarial.pdf?csf=1&amp;web=1&amp;e=keV1Rv" xr:uid="{32664A5B-CBED-4DF0-BC2F-2751192F45C0}"/>
    <hyperlink ref="Q646" r:id="rId343" display="../../../../../../../:b:/r/personal/comunicacionesdiveliv_educacionbogota_gov_co/Documents/DIRECCION DE INSPECCION Y VIGILANCIA/DIV POAIV/POAIV 2025/ELIV ENGATIV%C3%81/PRIORIZADOS/TRIMI/20250329Acta visita corpoempresarial.pdf?csf=1&amp;web=1&amp;e=keV1Rv" xr:uid="{C5B751AB-6A89-4B40-A189-FBDA62E4F8A9}"/>
    <hyperlink ref="Q647" r:id="rId344" display="../../../../../../../:b:/r/personal/comunicacionesdiveliv_educacionbogota_gov_co/Documents/DIRECCION DE INSPECCION Y VIGILANCIA/DIV POAIV/POAIV 2025/ELIV ENGATIV%C3%81/PRIORIZADOS/TRIMI/20250329Acta visita corpoempresarial.pdf?csf=1&amp;web=1&amp;e=keV1Rv" xr:uid="{7CDFE8D7-AF59-41B2-B39D-F73311C997BC}"/>
    <hyperlink ref="Q648" r:id="rId345" display="../../../../../../../:b:/r/personal/comunicacionesdiveliv_educacionbogota_gov_co/Documents/DIRECCION DE INSPECCION Y VIGILANCIA/DIV POAIV/POAIV 2025/ELIV ENGATIV%C3%81/PRIORIZADOS/TRIMI/20250329Acta visita corpoempresarial.pdf?csf=1&amp;web=1&amp;e=keV1Rv" xr:uid="{2B492B2F-FE63-4796-A719-9F4469DF93CC}"/>
    <hyperlink ref="Q649" r:id="rId346" display="../../../../../../../:b:/r/personal/comunicacionesdiveliv_educacionbogota_gov_co/Documents/DIRECCION DE INSPECCION Y VIGILANCIA/DIV POAIV/POAIV 2025/ELIV ENGATIV%C3%81/PRIORIZADOS/TRIMI/20250329Acta visita corpoempresarial.pdf?csf=1&amp;web=1&amp;e=keV1Rv" xr:uid="{3225A940-63AD-49B5-900F-3F81EE664FBA}"/>
    <hyperlink ref="Q650" r:id="rId347" display="../../../../../../../:b:/r/personal/comunicacionesdiveliv_educacionbogota_gov_co/Documents/DIRECCION DE INSPECCION Y VIGILANCIA/DIV POAIV/POAIV 2025/ELIV ENGATIV%C3%81/PRIORIZADOS/TRIMI/20250329Acta visita corpoempresarial.pdf?csf=1&amp;web=1&amp;e=keV1Rv" xr:uid="{142E4B47-FCF7-457B-ABB4-8B1DD68A8939}"/>
    <hyperlink ref="Q651" r:id="rId348" display="../../../../../../../:b:/r/personal/comunicacionesdiveliv_educacionbogota_gov_co/Documents/DIRECCION DE INSPECCION Y VIGILANCIA/DIV POAIV/POAIV 2025/ELIV ENGATIV%C3%81/PRIORIZADOS/TRIM II/06_06_2025_INSTITUTO IP EDUCANDO LA JUVENTUD FUTURO DE COLOMBIa.pdf?csf=1&amp;web=1&amp;e=yFNEGL" xr:uid="{C7ADD6F7-01A5-4B1E-AB71-1C729CAB4655}"/>
    <hyperlink ref="Q652" r:id="rId349" display="../../../../../../../:b:/r/personal/comunicacionesdiveliv_educacionbogota_gov_co/Documents/DIRECCION DE INSPECCION Y VIGILANCIA/DIV POAIV/POAIV 2025/ELIV ENGATIV%C3%81/PRIORIZADOS/TRIM II/06_06_2025_INSTITUTO IP EDUCANDO LA JUVENTUD FUTURO DE COLOMBIa.pdf?csf=1&amp;web=1&amp;e=yFNEGL" xr:uid="{32488029-013B-4D9C-994D-F66C99EBC94B}"/>
    <hyperlink ref="Q653" r:id="rId350" display="../../../../../../../:b:/r/personal/comunicacionesdiveliv_educacionbogota_gov_co/Documents/DIRECCION DE INSPECCION Y VIGILANCIA/DIV POAIV/POAIV 2025/ELIV ENGATIV%C3%81/PRIORIZADOS/TRIM II/06_06_2025_INSTITUTO IP EDUCANDO LA JUVENTUD FUTURO DE COLOMBIa.pdf?csf=1&amp;web=1&amp;e=yFNEGL" xr:uid="{82A536F0-C4E6-4E5E-B827-3BE929895660}"/>
    <hyperlink ref="Q654" r:id="rId351" display="../../../../../../../:b:/r/personal/comunicacionesdiveliv_educacionbogota_gov_co/Documents/DIRECCION DE INSPECCION Y VIGILANCIA/DIV POAIV/POAIV 2025/ELIV ENGATIV%C3%81/PRIORIZADOS/TRIM II/06_06_2025_INSTITUTO IP EDUCANDO LA JUVENTUD FUTURO DE COLOMBIa.pdf?csf=1&amp;web=1&amp;e=yFNEGL" xr:uid="{FB955D55-BF75-4C4E-9C02-25A9CC880220}"/>
    <hyperlink ref="Q655" r:id="rId352" display="../../../../../../../:b:/r/personal/comunicacionesdiveliv_educacionbogota_gov_co/Documents/DIRECCION DE INSPECCION Y VIGILANCIA/DIV POAIV/POAIV 2025/ELIV ENGATIV%C3%81/PRIORIZADOS/TRIM II/06_06_2025_INSTITUTO IP EDUCANDO LA JUVENTUD FUTURO DE COLOMBIa.pdf?csf=1&amp;web=1&amp;e=yFNEGL" xr:uid="{7F951EFC-0D20-4CEC-B413-79AAD24C42E4}"/>
    <hyperlink ref="Q656" r:id="rId353" display="../../../../../../../:b:/r/personal/comunicacionesdiveliv_educacionbogota_gov_co/Documents/DIRECCION DE INSPECCION Y VIGILANCIA/DIV POAIV/POAIV 2025/ELIV ENGATIV%C3%81/PRIORIZADOS/TRIM II/06_06_2025_INSTITUTO IP EDUCANDO LA JUVENTUD FUTURO DE COLOMBIa.pdf?csf=1&amp;web=1&amp;e=yFNEGL" xr:uid="{14266BB1-A48D-4A8A-887F-BFE7E20E9D8C}"/>
    <hyperlink ref="Q657" r:id="rId354" display="../../../../../../../:b:/r/personal/comunicacionesdiveliv_educacionbogota_gov_co/Documents/DIRECCION DE INSPECCION Y VIGILANCIA/DIV POAIV/POAIV 2025/ELIV ENGATIV%C3%81/PRIORIZADOS/TRIM II/06_06_2025_INSTITUTO IP EDUCANDO LA JUVENTUD FUTURO DE COLOMBIa.pdf?csf=1&amp;web=1&amp;e=yFNEGL" xr:uid="{FD6597F7-BC58-4726-9825-F8BFD8454CE5}"/>
    <hyperlink ref="Q658" r:id="rId355" display="../../../../../../../:b:/r/personal/comunicacionesdiveliv_educacionbogota_gov_co/Documents/DIRECCION DE INSPECCION Y VIGILANCIA/DIV POAIV/POAIV 2025/ELIV ENGATIV%C3%81/PRIORIZADOS/TRIM II/06_06_2025_INSTITUTO IP EDUCANDO LA JUVENTUD FUTURO DE COLOMBIa.pdf?csf=1&amp;web=1&amp;e=yFNEGL" xr:uid="{C6E68ADE-C885-4BCC-925B-F55E9F1E5226}"/>
    <hyperlink ref="Q659" r:id="rId356" display="../../../../../../../:b:/r/personal/comunicacionesdiveliv_educacionbogota_gov_co/Documents/DIRECCION DE INSPECCION Y VIGILANCIA/DIV POAIV/POAIV 2025/ELIV ENGATIV%C3%81/PRIORIZADOS/TRIM II/06_06_2025_INSTITUTO IP EDUCANDO LA JUVENTUD FUTURO DE COLOMBIa.pdf?csf=1&amp;web=1&amp;e=yFNEGL" xr:uid="{356D515B-AC4C-47BD-9256-B76AEF7C2102}"/>
    <hyperlink ref="Q661" r:id="rId357" display="../../../../../../../:b:/r/personal/comunicacionesdiveliv_educacionbogota_gov_co/Documents/DIRECCION DE INSPECCION Y VIGILANCIA/DIV POAIV/POAIV 2025/ELIV ENGATIV%C3%81/PRIORIZADOS/TRIM II/GIM MADRE TRINIDAD DE CALCUTA.pdf?csf=1&amp;web=1&amp;e=DkQnuy" xr:uid="{855EF0C7-26C1-4930-B344-DC254932AE02}"/>
    <hyperlink ref="Q662" r:id="rId358" display="../../../../../../../:b:/r/personal/comunicacionesdiveliv_educacionbogota_gov_co/Documents/DIRECCION DE INSPECCION Y VIGILANCIA/DIV POAIV/POAIV 2025/ELIV ENGATIV%C3%81/PRIORIZADOS/TRIM II/GIM MADRE TRINIDAD DE CALCUTA.pdf?csf=1&amp;web=1&amp;e=DkQnuy" xr:uid="{E06C4FAA-2DCB-4143-8D62-DB32E980ABAD}"/>
    <hyperlink ref="Q663" r:id="rId359" display="../../../../../../../:b:/r/personal/comunicacionesdiveliv_educacionbogota_gov_co/Documents/DIRECCION DE INSPECCION Y VIGILANCIA/DIV POAIV/POAIV 2025/ELIV ENGATIV%C3%81/PRIORIZADOS/TRIM II/GIM MADRE TRINIDAD DE CALCUTA.pdf?csf=1&amp;web=1&amp;e=DkQnuy" xr:uid="{9768DA03-44F3-476E-9C41-42AD7D436D60}"/>
    <hyperlink ref="Q664" r:id="rId360" display="../../../../../../../:b:/r/personal/comunicacionesdiveliv_educacionbogota_gov_co/Documents/DIRECCION DE INSPECCION Y VIGILANCIA/DIV POAIV/POAIV 2025/ELIV ENGATIV%C3%81/PRIORIZADOS/TRIM II/GIM MADRE TRINIDAD DE CALCUTA.pdf?csf=1&amp;web=1&amp;e=DkQnuy" xr:uid="{CDD6BB92-0982-487F-BD6B-8D0195B115E6}"/>
    <hyperlink ref="Q665" r:id="rId361" display="../../../../../../../:b:/r/personal/comunicacionesdiveliv_educacionbogota_gov_co/Documents/DIRECCION DE INSPECCION Y VIGILANCIA/DIV POAIV/POAIV 2025/ELIV ENGATIV%C3%81/PRIORIZADOS/TRIM II/GIM MADRE TRINIDAD DE CALCUTA.pdf?csf=1&amp;web=1&amp;e=DkQnuy" xr:uid="{C894FC5C-618E-4950-B9F5-3E6E1CBE8EAD}"/>
    <hyperlink ref="Q666" r:id="rId362" display="../../../../../../../:b:/r/personal/comunicacionesdiveliv_educacionbogota_gov_co/Documents/DIRECCION DE INSPECCION Y VIGILANCIA/DIV POAIV/POAIV 2025/ELIV ENGATIV%C3%81/PRIORIZADOS/TRIM II/GIM MADRE TRINIDAD DE CALCUTA.pdf?csf=1&amp;web=1&amp;e=DkQnuy" xr:uid="{90689D72-0F11-46FC-B36E-BFF256BFCA6A}"/>
    <hyperlink ref="Q667" r:id="rId363" display="../../../../../../../:b:/r/personal/comunicacionesdiveliv_educacionbogota_gov_co/Documents/DIRECCION DE INSPECCION Y VIGILANCIA/DIV POAIV/POAIV 2025/ELIV ENGATIV%C3%81/PRIORIZADOS/TRIM II/GIM MADRE TRINIDAD DE CALCUTA.pdf?csf=1&amp;web=1&amp;e=DkQnuy" xr:uid="{972389A4-D87A-467C-AA49-A29DD0107538}"/>
    <hyperlink ref="Q668" r:id="rId364" display="../../../../../../../:b:/r/personal/comunicacionesdiveliv_educacionbogota_gov_co/Documents/DIRECCION DE INSPECCION Y VIGILANCIA/DIV POAIV/POAIV 2025/ELIV ENGATIV%C3%81/PRIORIZADOS/TRIM II/GIM MADRE TRINIDAD DE CALCUTA.pdf?csf=1&amp;web=1&amp;e=DkQnuy" xr:uid="{CD53FBF1-CB82-4798-AB7D-1242DAB2832F}"/>
    <hyperlink ref="Q670" r:id="rId365" display="../../../../../../../:b:/r/personal/comunicacionesdiveliv_educacionbogota_gov_co/Documents/DIRECCION DE INSPECCION Y VIGILANCIA/DIV POAIV/POAIV 2025/ELIV ENGATIV%C3%81/PRIORIZADOS/TRIM II/Acta visita Centro Panamericano05-04-2025.pdf?csf=1&amp;web=1&amp;e=bjQ8Rz" xr:uid="{4467A14C-9C0B-4DD6-A7AF-B4FE7AC3CFAF}"/>
    <hyperlink ref="Q671" r:id="rId366" display="../../../../../../../:b:/r/personal/comunicacionesdiveliv_educacionbogota_gov_co/Documents/DIRECCION DE INSPECCION Y VIGILANCIA/DIV POAIV/POAIV 2025/ELIV ENGATIV%C3%81/PRIORIZADOS/TRIM II/Acta visita Centro Panamericano05-04-2025.pdf?csf=1&amp;web=1&amp;e=bjQ8Rz" xr:uid="{5BAE80D3-BC7B-47D6-AB70-008F52D6563E}"/>
    <hyperlink ref="Q672" r:id="rId367" display="../../../../../../../:b:/r/personal/comunicacionesdiveliv_educacionbogota_gov_co/Documents/DIRECCION DE INSPECCION Y VIGILANCIA/DIV POAIV/POAIV 2025/ELIV ENGATIV%C3%81/PRIORIZADOS/TRIM II/Acta visita Centro Panamericano05-04-2025.pdf?csf=1&amp;web=1&amp;e=bjQ8Rz" xr:uid="{040A95C5-CC2B-45A8-8B70-A7734456C6F0}"/>
    <hyperlink ref="Q673" r:id="rId368" display="../../../../../../../:b:/r/personal/comunicacionesdiveliv_educacionbogota_gov_co/Documents/DIRECCION DE INSPECCION Y VIGILANCIA/DIV POAIV/POAIV 2025/ELIV ENGATIV%C3%81/PRIORIZADOS/TRIM II/Acta visita Centro Panamericano05-04-2025.pdf?csf=1&amp;web=1&amp;e=bjQ8Rz" xr:uid="{78099519-C85C-4BD0-BC75-16A958FAB3B2}"/>
    <hyperlink ref="Q674" r:id="rId369" display="../../../../../../../:b:/r/personal/comunicacionesdiveliv_educacionbogota_gov_co/Documents/DIRECCION DE INSPECCION Y VIGILANCIA/DIV POAIV/POAIV 2025/ELIV ENGATIV%C3%81/PRIORIZADOS/TRIM II/Acta visita Centro Panamericano05-04-2025.pdf?csf=1&amp;web=1&amp;e=bjQ8Rz" xr:uid="{F835907A-BCA7-4349-B289-84DC91F73F0D}"/>
    <hyperlink ref="Q675" r:id="rId370" display="../../../../../../../:b:/r/personal/comunicacionesdiveliv_educacionbogota_gov_co/Documents/DIRECCION DE INSPECCION Y VIGILANCIA/DIV POAIV/POAIV 2025/ELIV ENGATIV%C3%81/PRIORIZADOS/TRIM II/Acta visita Centro Panamericano05-04-2025.pdf?csf=1&amp;web=1&amp;e=bjQ8Rz" xr:uid="{CFC57554-35AD-4834-9ADC-DE97CB547348}"/>
    <hyperlink ref="Q676" r:id="rId371" display="../../../../../../../:b:/r/personal/comunicacionesdiveliv_educacionbogota_gov_co/Documents/DIRECCION DE INSPECCION Y VIGILANCIA/DIV POAIV/POAIV 2025/ELIV ENGATIV%C3%81/PRIORIZADOS/TRIM II/Acta visita Centro Panamericano05-04-2025.pdf?csf=1&amp;web=1&amp;e=bjQ8Rz" xr:uid="{63AD364B-7BF9-48C0-95E4-6104F99F0626}"/>
    <hyperlink ref="Q677" r:id="rId372" display="../../../../../../../:b:/r/personal/comunicacionesdiveliv_educacionbogota_gov_co/Documents/DIRECCION DE INSPECCION Y VIGILANCIA/DIV POAIV/POAIV 2025/ELIV ENGATIV%C3%81/PRIORIZADOS/TRIM II/Acta visita Centro Panamericano05-04-2025.pdf?csf=1&amp;web=1&amp;e=bjQ8Rz" xr:uid="{78412882-3B0D-4009-BE70-51E6136B6541}"/>
    <hyperlink ref="Q679" r:id="rId373" display="../../../../../../../:b:/r/personal/comunicacionesdiveliv_educacionbogota_gov_co/Documents/DIRECCION DE INSPECCION Y VIGILANCIA/DIV POAIV/POAIV 2025/ELIV ENGATIV%C3%81/PRIORIZADOS/TRIMI/ACTA DE VISITA CENTRO DE EDUCACION LABORAL 27MAR2025 FIRMADA.pdf?csf=1&amp;web=1&amp;e=B3FW8W" xr:uid="{3E0FB70B-B029-477A-9B73-0D6533C72D15}"/>
    <hyperlink ref="Q680" r:id="rId374" display="../../../../../../../:b:/r/personal/comunicacionesdiveliv_educacionbogota_gov_co/Documents/DIRECCION DE INSPECCION Y VIGILANCIA/DIV POAIV/POAIV 2025/ELIV ENGATIV%C3%81/PRIORIZADOS/TRIMI/ACTA DE VISITA CENTRO DE EDUCACION LABORAL 27MAR2025 FIRMADA.pdf?csf=1&amp;web=1&amp;e=B3FW8W" xr:uid="{2214D6A9-8C65-4053-A430-F552C99521EE}"/>
    <hyperlink ref="Q681" r:id="rId375" display="../../../../../../../:b:/r/personal/comunicacionesdiveliv_educacionbogota_gov_co/Documents/DIRECCION DE INSPECCION Y VIGILANCIA/DIV POAIV/POAIV 2025/ELIV ENGATIV%C3%81/PRIORIZADOS/TRIMI/ACTA DE VISITA CENTRO DE EDUCACION LABORAL 27MAR2025 FIRMADA.pdf?csf=1&amp;web=1&amp;e=B3FW8W" xr:uid="{0A4EC0AE-AA9E-4D39-BE60-FE0D964C2701}"/>
    <hyperlink ref="Q682" r:id="rId376" display="../../../../../../../:b:/r/personal/comunicacionesdiveliv_educacionbogota_gov_co/Documents/DIRECCION DE INSPECCION Y VIGILANCIA/DIV POAIV/POAIV 2025/ELIV ENGATIV%C3%81/PRIORIZADOS/TRIMI/ACTA DE VISITA CENTRO DE EDUCACION LABORAL 27MAR2025 FIRMADA.pdf?csf=1&amp;web=1&amp;e=B3FW8W" xr:uid="{16697098-ECF3-44B9-AEAA-9687544F321C}"/>
    <hyperlink ref="Q683" r:id="rId377" display="../../../../../../../:b:/r/personal/comunicacionesdiveliv_educacionbogota_gov_co/Documents/DIRECCION DE INSPECCION Y VIGILANCIA/DIV POAIV/POAIV 2025/ELIV ENGATIV%C3%81/PRIORIZADOS/TRIMI/ACTA DE VISITA CENTRO DE EDUCACION LABORAL 27MAR2025 FIRMADA.pdf?csf=1&amp;web=1&amp;e=B3FW8W" xr:uid="{5441FD1D-ED58-4DF2-B7D2-15D93EF035F7}"/>
    <hyperlink ref="Q684" r:id="rId378" display="../../../../../../../:b:/r/personal/comunicacionesdiveliv_educacionbogota_gov_co/Documents/DIRECCION DE INSPECCION Y VIGILANCIA/DIV POAIV/POAIV 2025/ELIV ENGATIV%C3%81/PRIORIZADOS/TRIMI/ACTA DE VISITA CENTRO DE EDUCACION LABORAL 27MAR2025 FIRMADA.pdf?csf=1&amp;web=1&amp;e=B3FW8W" xr:uid="{C16EC89C-8429-4E29-8655-FFA14BA39085}"/>
    <hyperlink ref="Q685" r:id="rId379" display="../../../../../../../:b:/r/personal/comunicacionesdiveliv_educacionbogota_gov_co/Documents/DIRECCION DE INSPECCION Y VIGILANCIA/DIV POAIV/POAIV 2025/ELIV ENGATIV%C3%81/PRIORIZADOS/TRIMI/ACTA DE VISITA CENTRO DE EDUCACION LABORAL 27MAR2025 FIRMADA.pdf?csf=1&amp;web=1&amp;e=B3FW8W" xr:uid="{7327689D-786A-4275-BD88-E9EB3C27EAE9}"/>
    <hyperlink ref="Q686" r:id="rId380" display="../../../../../../../:b:/r/personal/comunicacionesdiveliv_educacionbogota_gov_co/Documents/DIRECCION DE INSPECCION Y VIGILANCIA/DIV POAIV/POAIV 2025/ELIV ENGATIV%C3%81/PRIORIZADOS/TRIMI/ACTA DE VISITA CENTRO DE EDUCACION LABORAL 27MAR2025 FIRMADA.pdf?csf=1&amp;web=1&amp;e=B3FW8W" xr:uid="{267AD68D-1793-4ECE-8F18-C76A7F9974C3}"/>
    <hyperlink ref="Q706" r:id="rId381" display="../../../../../../../:b:/r/personal/comunicacionesdiveliv_educacionbogota_gov_co/Documents/DIRECCION DE INSPECCION Y VIGILANCIA/DIV POAIV/POAIV 2025/ELIV ENGATIV%C3%81/PRIORIZADOS/TRIM II/30_05_2025_LICEO SAN LEON MAGNO.pdf?csf=1&amp;web=1&amp;e=6Si3iV" xr:uid="{21AA95AA-AC11-49CE-A764-D30150B7F2AD}"/>
    <hyperlink ref="Q707" r:id="rId382" display="../../../../../../../:b:/r/personal/comunicacionesdiveliv_educacionbogota_gov_co/Documents/DIRECCION DE INSPECCION Y VIGILANCIA/DIV POAIV/POAIV 2025/ELIV ENGATIV%C3%81/PRIORIZADOS/TRIM II/30_05_2025_LICEO SAN LEON MAGNO.pdf?csf=1&amp;web=1&amp;e=6Si3iV" xr:uid="{D355691F-64CA-4845-A367-6883D4BC615F}"/>
    <hyperlink ref="Q708" r:id="rId383" display="../../../../../../../:b:/r/personal/comunicacionesdiveliv_educacionbogota_gov_co/Documents/DIRECCION DE INSPECCION Y VIGILANCIA/DIV POAIV/POAIV 2025/ELIV ENGATIV%C3%81/PRIORIZADOS/TRIM II/30_05_2025_LICEO SAN LEON MAGNO.pdf?csf=1&amp;web=1&amp;e=6Si3iV" xr:uid="{120E4535-600B-4350-921F-B274C9D5595C}"/>
    <hyperlink ref="Q709" r:id="rId384" display="../../../../../../../:b:/r/personal/comunicacionesdiveliv_educacionbogota_gov_co/Documents/DIRECCION DE INSPECCION Y VIGILANCIA/DIV POAIV/POAIV 2025/ELIV ENGATIV%C3%81/PRIORIZADOS/TRIM II/30_05_2025_LICEO SAN LEON MAGNO.pdf?csf=1&amp;web=1&amp;e=6Si3iV" xr:uid="{AB579787-5273-457A-B9FB-1B7093CF97E6}"/>
    <hyperlink ref="Q710" r:id="rId385" display="../../../../../../../:b:/r/personal/comunicacionesdiveliv_educacionbogota_gov_co/Documents/DIRECCION DE INSPECCION Y VIGILANCIA/DIV POAIV/POAIV 2025/ELIV ENGATIV%C3%81/PRIORIZADOS/TRIM II/30_05_2025_LICEO SAN LEON MAGNO.pdf?csf=1&amp;web=1&amp;e=6Si3iV" xr:uid="{FF49C1B0-1AF5-4054-8C33-9803CA00221F}"/>
    <hyperlink ref="Q711" r:id="rId386" display="../../../../../../../:b:/r/personal/comunicacionesdiveliv_educacionbogota_gov_co/Documents/DIRECCION DE INSPECCION Y VIGILANCIA/DIV POAIV/POAIV 2025/ELIV ENGATIV%C3%81/PRIORIZADOS/TRIM II/30_05_2025_LICEO SAN LEON MAGNO.pdf?csf=1&amp;web=1&amp;e=6Si3iV" xr:uid="{2CB88FA4-CF2E-4865-91BA-9984D664A2FD}"/>
    <hyperlink ref="Q712" r:id="rId387" display="../../../../../../../:b:/r/personal/comunicacionesdiveliv_educacionbogota_gov_co/Documents/DIRECCION DE INSPECCION Y VIGILANCIA/DIV POAIV/POAIV 2025/ELIV ENGATIV%C3%81/PRIORIZADOS/TRIM II/30_05_2025_LICEO SAN LEON MAGNO.pdf?csf=1&amp;web=1&amp;e=6Si3iV" xr:uid="{151687B8-DBBF-45D3-82A9-076DA83B1B69}"/>
    <hyperlink ref="Q713" r:id="rId388" display="../../../../../../../:b:/r/personal/comunicacionesdiveliv_educacionbogota_gov_co/Documents/DIRECCION DE INSPECCION Y VIGILANCIA/DIV POAIV/POAIV 2025/ELIV ENGATIV%C3%81/PRIORIZADOS/TRIM II/30_05_2025_LICEO SAN LEON MAGNO.pdf?csf=1&amp;web=1&amp;e=6Si3iV" xr:uid="{A5BAE132-7923-42A8-8496-5BD86401BEE6}"/>
    <hyperlink ref="Q714" r:id="rId389" display="../../../../../../../:b:/r/personal/comunicacionesdiveliv_educacionbogota_gov_co/Documents/DIRECCION DE INSPECCION Y VIGILANCIA/DIV POAIV/POAIV 2025/ELIV ENGATIV%C3%81/PRIORIZADOS/TRIM II/30_05_2025_LICEO SAN LEON MAGNO.pdf?csf=1&amp;web=1&amp;e=6Si3iV" xr:uid="{EB2B953D-23B9-48BE-A4DC-54BB97DFE689}"/>
    <hyperlink ref="Q715" r:id="rId390" display="../../../../../../../:b:/r/personal/comunicacionesdiveliv_educacionbogota_gov_co/Documents/DIRECCION DE INSPECCION Y VIGILANCIA/DIV POAIV/POAIV 2025/ELIV ENGATIV%C3%81/PRIORIZADOS/TRIMI/20250326ActavisitaLicModLeeuwenhoek.pdf?csf=1&amp;web=1&amp;e=XZuPD8" xr:uid="{7A47483E-D13F-42AB-AE38-322F28D8F439}"/>
    <hyperlink ref="Q716" r:id="rId391" display="../../../../../../../:b:/r/personal/comunicacionesdiveliv_educacionbogota_gov_co/Documents/DIRECCION DE INSPECCION Y VIGILANCIA/DIV POAIV/POAIV 2025/ELIV ENGATIV%C3%81/PRIORIZADOS/TRIMI/20250326ActavisitaLicModLeeuwenhoek.pdf?csf=1&amp;web=1&amp;e=XZuPD8" xr:uid="{667C84E3-DA67-4F48-96EB-5B9500378479}"/>
    <hyperlink ref="Q717" r:id="rId392" display="../../../../../../../:b:/r/personal/comunicacionesdiveliv_educacionbogota_gov_co/Documents/DIRECCION DE INSPECCION Y VIGILANCIA/DIV POAIV/POAIV 2025/ELIV ENGATIV%C3%81/PRIORIZADOS/TRIMI/20250326ActavisitaLicModLeeuwenhoek.pdf?csf=1&amp;web=1&amp;e=XZuPD8" xr:uid="{8C0AD45D-FEA9-4FAB-8B15-C49E9ABFA9A3}"/>
    <hyperlink ref="Q718" r:id="rId393" display="../../../../../../../:b:/r/personal/comunicacionesdiveliv_educacionbogota_gov_co/Documents/DIRECCION DE INSPECCION Y VIGILANCIA/DIV POAIV/POAIV 2025/ELIV ENGATIV%C3%81/PRIORIZADOS/TRIMI/20250326ActavisitaLicModLeeuwenhoek.pdf?csf=1&amp;web=1&amp;e=XZuPD8" xr:uid="{0DD35F06-D382-4484-A1CC-C10F087A43B7}"/>
    <hyperlink ref="Q719" r:id="rId394" display="../../../../../../../:b:/r/personal/comunicacionesdiveliv_educacionbogota_gov_co/Documents/DIRECCION DE INSPECCION Y VIGILANCIA/DIV POAIV/POAIV 2025/ELIV ENGATIV%C3%81/PRIORIZADOS/TRIMI/20250326ActavisitaLicModLeeuwenhoek.pdf?csf=1&amp;web=1&amp;e=XZuPD8" xr:uid="{ADB347C2-E085-44B6-99AA-97DE5592F056}"/>
    <hyperlink ref="Q720" r:id="rId395" display="../../../../../../../:b:/r/personal/comunicacionesdiveliv_educacionbogota_gov_co/Documents/DIRECCION DE INSPECCION Y VIGILANCIA/DIV POAIV/POAIV 2025/ELIV ENGATIV%C3%81/PRIORIZADOS/TRIMI/20250326ActavisitaLicModLeeuwenhoek.pdf?csf=1&amp;web=1&amp;e=XZuPD8" xr:uid="{8E9C67B3-537E-45C4-A56B-7FAB2D287D75}"/>
    <hyperlink ref="Q721" r:id="rId396" display="../../../../../../../:b:/r/personal/comunicacionesdiveliv_educacionbogota_gov_co/Documents/DIRECCION DE INSPECCION Y VIGILANCIA/DIV POAIV/POAIV 2025/ELIV ENGATIV%C3%81/PRIORIZADOS/TRIMI/20250326ActavisitaLicModLeeuwenhoek.pdf?csf=1&amp;web=1&amp;e=XZuPD8" xr:uid="{2F97CECF-FB9D-4609-8A82-A116643D4BBF}"/>
    <hyperlink ref="Q722" r:id="rId397" display="../../../../../../../:b:/r/personal/comunicacionesdiveliv_educacionbogota_gov_co/Documents/DIRECCION DE INSPECCION Y VIGILANCIA/DIV POAIV/POAIV 2025/ELIV ENGATIV%C3%81/PRIORIZADOS/TRIMI/20250326ActavisitaLicModLeeuwenhoek.pdf?csf=1&amp;web=1&amp;e=XZuPD8" xr:uid="{1C994DB1-2C59-4574-9347-50DF931B2853}"/>
    <hyperlink ref="Q733" r:id="rId398" display="../../../../../../../:b:/r/personal/comunicacionesdiveliv_educacionbogota_gov_co/Documents/DIRECCION DE INSPECCION Y VIGILANCIA/DIV POAIV/POAIV 2025/ELIV ENGATIV%C3%81/PRIORIZADOS/TRIM III/ACTA JOSE MARTINEZ RUIZ.pdf?csf=1&amp;web=1&amp;e=RVjFQX" xr:uid="{9CAB7DEE-80CE-47FA-823D-00C8B9095522}"/>
    <hyperlink ref="Q734" r:id="rId399" display="../../../../../../../:b:/r/personal/comunicacionesdiveliv_educacionbogota_gov_co/Documents/DIRECCION DE INSPECCION Y VIGILANCIA/DIV POAIV/POAIV 2025/ELIV ENGATIV%C3%81/PRIORIZADOS/TRIM III/ACTA JOSE MARTINEZ RUIZ.pdf?csf=1&amp;web=1&amp;e=RVjFQX" xr:uid="{78184956-294A-421E-AB77-84D86EB98617}"/>
    <hyperlink ref="Q735" r:id="rId400" display="../../../../../../../:b:/r/personal/comunicacionesdiveliv_educacionbogota_gov_co/Documents/DIRECCION DE INSPECCION Y VIGILANCIA/DIV POAIV/POAIV 2025/ELIV ENGATIV%C3%81/PRIORIZADOS/TRIM III/ACTA JOSE MARTINEZ RUIZ.pdf?csf=1&amp;web=1&amp;e=RVjFQX" xr:uid="{E493CAB4-DC56-4087-940A-3C2A96EA0920}"/>
    <hyperlink ref="Q736" r:id="rId401" display="../../../../../../../:b:/r/personal/comunicacionesdiveliv_educacionbogota_gov_co/Documents/DIRECCION DE INSPECCION Y VIGILANCIA/DIV POAIV/POAIV 2025/ELIV ENGATIV%C3%81/PRIORIZADOS/TRIM III/ACTA JOSE MARTINEZ RUIZ.pdf?csf=1&amp;web=1&amp;e=RVjFQX" xr:uid="{97F0DCA4-A04C-4FF6-843B-A61A060266C4}"/>
    <hyperlink ref="Q737" r:id="rId402" display="../../../../../../../:b:/r/personal/comunicacionesdiveliv_educacionbogota_gov_co/Documents/DIRECCION DE INSPECCION Y VIGILANCIA/DIV POAIV/POAIV 2025/ELIV ENGATIV%C3%81/PRIORIZADOS/TRIM III/ACTA JOSE MARTINEZ RUIZ.pdf?csf=1&amp;web=1&amp;e=RVjFQX" xr:uid="{CFA8C7A0-C301-4612-95AC-A4DEC879960D}"/>
    <hyperlink ref="Q738" r:id="rId403" display="../../../../../../../:b:/r/personal/comunicacionesdiveliv_educacionbogota_gov_co/Documents/DIRECCION DE INSPECCION Y VIGILANCIA/DIV POAIV/POAIV 2025/ELIV ENGATIV%C3%81/PRIORIZADOS/TRIM III/ACTA JOSE MARTINEZ RUIZ.pdf?csf=1&amp;web=1&amp;e=RVjFQX" xr:uid="{1274C40C-5CD6-4166-AC87-15A9F79826BF}"/>
    <hyperlink ref="Q739" r:id="rId404" display="../../../../../../../:b:/r/personal/comunicacionesdiveliv_educacionbogota_gov_co/Documents/DIRECCION DE INSPECCION Y VIGILANCIA/DIV POAIV/POAIV 2025/ELIV ENGATIV%C3%81/PRIORIZADOS/TRIM III/ACTA JOSE MARTINEZ RUIZ.pdf?csf=1&amp;web=1&amp;e=RVjFQX" xr:uid="{299271B1-8E7C-483D-AA02-905D180D7459}"/>
    <hyperlink ref="Q749" r:id="rId405" display="../../../../../../../:b:/r/personal/comunicacionesdiveliv_educacionbogota_gov_co/Documents/DIRECCION DE INSPECCION Y VIGILANCIA/DIV POAIV/POAIV 2025/ELIV ENGATIV%C3%81/PRIORIZADOS/TRIM III/ACTA RAFAEL DE ALICANTE.pdf?csf=1&amp;web=1&amp;e=Cmz8wo" xr:uid="{F520EF90-4C61-4EC8-9706-1FBA1B05055F}"/>
    <hyperlink ref="Q760" r:id="rId406" display="../../../../../../../:b:/r/personal/comunicacionesdiveliv_educacionbogota_gov_co/Documents/DIRECCION DE INSPECCION Y VIGILANCIA/DIV POAIV/POAIV 2025/ELIV ENGATIV%C3%81/PRIORIZADOS/TRIM II/ACTACOLARTESABER.pdf?csf=1&amp;web=1&amp;e=uASpsd" xr:uid="{ABAE42BC-4058-4F81-86A0-30B4F7C9B03C}"/>
    <hyperlink ref="Q761" r:id="rId407" display="../../../../../../../:b:/r/personal/comunicacionesdiveliv_educacionbogota_gov_co/Documents/DIRECCION DE INSPECCION Y VIGILANCIA/DIV POAIV/POAIV 2025/ELIV ENGATIV%C3%81/PRIORIZADOS/TRIM II/ACTACOLARTESABER.pdf?csf=1&amp;web=1&amp;e=uASpsd" xr:uid="{EDEA9287-6598-40A1-9E8D-84ED150D7178}"/>
    <hyperlink ref="Q762" r:id="rId408" display="../../../../../../../:b:/r/personal/comunicacionesdiveliv_educacionbogota_gov_co/Documents/DIRECCION DE INSPECCION Y VIGILANCIA/DIV POAIV/POAIV 2025/ELIV ENGATIV%C3%81/PRIORIZADOS/TRIM II/ACTACOLARTESABER.pdf?csf=1&amp;web=1&amp;e=uASpsd" xr:uid="{42CCE65D-41DC-4743-B3C8-F93CE1881501}"/>
    <hyperlink ref="Q763" r:id="rId409" display="../../../../../../../:b:/r/personal/comunicacionesdiveliv_educacionbogota_gov_co/Documents/DIRECCION DE INSPECCION Y VIGILANCIA/DIV POAIV/POAIV 2025/ELIV ENGATIV%C3%81/PRIORIZADOS/TRIM II/ACTACOLARTESABER.pdf?csf=1&amp;web=1&amp;e=uASpsd" xr:uid="{DB5542E7-0C39-4108-B551-378911F30DEB}"/>
    <hyperlink ref="Q764" r:id="rId410" display="../../../../../../../:b:/r/personal/comunicacionesdiveliv_educacionbogota_gov_co/Documents/DIRECCION DE INSPECCION Y VIGILANCIA/DIV POAIV/POAIV 2025/ELIV ENGATIV%C3%81/PRIORIZADOS/TRIM II/ACTACOLARTESABER.pdf?csf=1&amp;web=1&amp;e=uASpsd" xr:uid="{C23E3296-AD3D-42BF-B8E7-62F3495A0A0A}"/>
    <hyperlink ref="Q765" r:id="rId411" display="../../../../../../../:b:/r/personal/comunicacionesdiveliv_educacionbogota_gov_co/Documents/DIRECCION DE INSPECCION Y VIGILANCIA/DIV POAIV/POAIV 2025/ELIV ENGATIV%C3%81/PRIORIZADOS/TRIM II/ACTACOLARTESABER.pdf?csf=1&amp;web=1&amp;e=uASpsd" xr:uid="{EA73E9A6-0C62-45A2-ACA3-66BF4C150434}"/>
    <hyperlink ref="Q766" r:id="rId412" display="../../../../../../../:b:/r/personal/comunicacionesdiveliv_educacionbogota_gov_co/Documents/DIRECCION DE INSPECCION Y VIGILANCIA/DIV POAIV/POAIV 2025/ELIV ENGATIV%C3%81/PRIORIZADOS/TRIM II/ACTACOLARTESABER.pdf?csf=1&amp;web=1&amp;e=uASpsd" xr:uid="{F69E43B4-E81B-48BE-A5E7-34EFE8EB4E31}"/>
    <hyperlink ref="Q767" r:id="rId413" display="../../../../../../../:b:/r/personal/comunicacionesdiveliv_educacionbogota_gov_co/Documents/DIRECCION DE INSPECCION Y VIGILANCIA/DIV POAIV/POAIV 2025/ELIV ENGATIV%C3%81/PRIORIZADOS/TRIM II/ACTACOLARTESABER.pdf?csf=1&amp;web=1&amp;e=uASpsd" xr:uid="{DD2AD12F-303F-476F-BB9C-B114F0991E31}"/>
    <hyperlink ref="Q778" r:id="rId414" display="../../../../../../../:b:/r/personal/comunicacionesdiveliv_educacionbogota_gov_co/Documents/DIRECCION DE INSPECCION Y VIGILANCIA/DIV POAIV/POAIV 2025/ELIV ENGATIV%C3%81/PRIORIZADOS/TRIM II/20250605ColmayEngat.pdf?csf=1&amp;web=1&amp;e=zDiIgS" xr:uid="{8DA7DD94-D26F-430E-BCC2-AA6EF6B992BE}"/>
    <hyperlink ref="Q779" r:id="rId415" display="../../../../../../../:b:/r/personal/comunicacionesdiveliv_educacionbogota_gov_co/Documents/DIRECCION DE INSPECCION Y VIGILANCIA/DIV POAIV/POAIV 2025/ELIV ENGATIV%C3%81/PRIORIZADOS/TRIM II/20250605ColmayEngat.pdf?csf=1&amp;web=1&amp;e=zDiIgS" xr:uid="{63CCAD60-C59A-4C1B-A810-662AD8F2C5F9}"/>
    <hyperlink ref="Q780" r:id="rId416" display="../../../../../../../:b:/r/personal/comunicacionesdiveliv_educacionbogota_gov_co/Documents/DIRECCION DE INSPECCION Y VIGILANCIA/DIV POAIV/POAIV 2025/ELIV ENGATIV%C3%81/PRIORIZADOS/TRIM II/20250605ColmayEngat.pdf?csf=1&amp;web=1&amp;e=zDiIgS" xr:uid="{7A5F3CA4-AC04-412D-9B69-39B448BCA842}"/>
    <hyperlink ref="Q781" r:id="rId417" display="../../../../../../../:b:/r/personal/comunicacionesdiveliv_educacionbogota_gov_co/Documents/DIRECCION DE INSPECCION Y VIGILANCIA/DIV POAIV/POAIV 2025/ELIV ENGATIV%C3%81/PRIORIZADOS/TRIM II/20250605ColmayEngat.pdf?csf=1&amp;web=1&amp;e=zDiIgS" xr:uid="{77C90024-C54B-4BFB-8D9E-865404C38054}"/>
    <hyperlink ref="Q782" r:id="rId418" display="../../../../../../../:b:/r/personal/comunicacionesdiveliv_educacionbogota_gov_co/Documents/DIRECCION DE INSPECCION Y VIGILANCIA/DIV POAIV/POAIV 2025/ELIV ENGATIV%C3%81/PRIORIZADOS/TRIM II/20250605ColmayEngat.pdf?csf=1&amp;web=1&amp;e=zDiIgS" xr:uid="{33611970-AB11-4CB1-9219-812A277266E9}"/>
    <hyperlink ref="Q783" r:id="rId419" display="../../../../../../../:b:/r/personal/comunicacionesdiveliv_educacionbogota_gov_co/Documents/DIRECCION DE INSPECCION Y VIGILANCIA/DIV POAIV/POAIV 2025/ELIV ENGATIV%C3%81/PRIORIZADOS/TRIM II/20250605ColmayEngat.pdf?csf=1&amp;web=1&amp;e=zDiIgS" xr:uid="{071EEF76-FC90-41B1-A417-A3EC2AFEC89A}"/>
    <hyperlink ref="Q784" r:id="rId420" display="../../../../../../../:b:/r/personal/comunicacionesdiveliv_educacionbogota_gov_co/Documents/DIRECCION DE INSPECCION Y VIGILANCIA/DIV POAIV/POAIV 2025/ELIV ENGATIV%C3%81/PRIORIZADOS/TRIM II/20250605ColmayEngat.pdf?csf=1&amp;web=1&amp;e=zDiIgS" xr:uid="{5658FAB8-C96E-4A05-AA31-1996B25EBD98}"/>
    <hyperlink ref="Q785" r:id="rId421" display="../../../../../../../:b:/r/personal/comunicacionesdiveliv_educacionbogota_gov_co/Documents/DIRECCION DE INSPECCION Y VIGILANCIA/DIV POAIV/POAIV 2025/ELIV ENGATIV%C3%81/PRIORIZADOS/TRIM II/20250605ColmayEngat.pdf?csf=1&amp;web=1&amp;e=zDiIgS" xr:uid="{8578B9CB-0690-4EF2-869A-0AE6D36F3795}"/>
    <hyperlink ref="Q787" r:id="rId422" display="../../../../../../../:b:/r/personal/comunicacionesdiveliv_educacionbogota_gov_co/Documents/DIRECCION DE INSPECCION Y VIGILANCIA/DIV POAIV/POAIV 2025/ELIV ENGATIV%C3%81/PRIORIZADOS/TRIM III/20250725VisitaInstHenaoyArrubla.pdf?csf=1&amp;web=1&amp;e=u5PP9b" xr:uid="{4A7A8ECD-764A-4EDD-97D0-BE2BAEBDADC9}"/>
    <hyperlink ref="Q788" r:id="rId423" display="../../../../../../../:b:/r/personal/comunicacionesdiveliv_educacionbogota_gov_co/Documents/DIRECCION DE INSPECCION Y VIGILANCIA/DIV POAIV/POAIV 2025/ELIV ENGATIV%C3%81/PRIORIZADOS/TRIM III/20250725VisitaInstHenaoyArrubla.pdf?csf=1&amp;web=1&amp;e=u5PP9b" xr:uid="{45C7AEDF-F6BA-4CED-BE43-4171BB5B30CE}"/>
    <hyperlink ref="Q789" r:id="rId424" display="../../../../../../../:b:/r/personal/comunicacionesdiveliv_educacionbogota_gov_co/Documents/DIRECCION DE INSPECCION Y VIGILANCIA/DIV POAIV/POAIV 2025/ELIV ENGATIV%C3%81/PRIORIZADOS/TRIM III/20250725VisitaInstHenaoyArrubla.pdf?csf=1&amp;web=1&amp;e=u5PP9b" xr:uid="{4EEBD768-F16C-49AF-A56F-BC35BBEBCAE2}"/>
    <hyperlink ref="Q790" r:id="rId425" display="../../../../../../../:b:/r/personal/comunicacionesdiveliv_educacionbogota_gov_co/Documents/DIRECCION DE INSPECCION Y VIGILANCIA/DIV POAIV/POAIV 2025/ELIV ENGATIV%C3%81/PRIORIZADOS/TRIM III/20250725VisitaInstHenaoyArrubla.pdf?csf=1&amp;web=1&amp;e=u5PP9b" xr:uid="{1BC32191-9CA4-4876-9F19-D6613CCC69F0}"/>
    <hyperlink ref="Q791" r:id="rId426" display="../../../../../../../:b:/r/personal/comunicacionesdiveliv_educacionbogota_gov_co/Documents/DIRECCION DE INSPECCION Y VIGILANCIA/DIV POAIV/POAIV 2025/ELIV ENGATIV%C3%81/PRIORIZADOS/TRIM III/20250725VisitaInstHenaoyArrubla.pdf?csf=1&amp;web=1&amp;e=u5PP9b" xr:uid="{7C1224C9-87D3-4655-B2A1-146BB674E5C6}"/>
    <hyperlink ref="Q792" r:id="rId427" display="../../../../../../../:b:/r/personal/comunicacionesdiveliv_educacionbogota_gov_co/Documents/DIRECCION DE INSPECCION Y VIGILANCIA/DIV POAIV/POAIV 2025/ELIV ENGATIV%C3%81/PRIORIZADOS/TRIM III/20250725VisitaInstHenaoyArrubla.pdf?csf=1&amp;web=1&amp;e=u5PP9b" xr:uid="{E79DEA25-8545-48AD-81A2-564EEE79F05A}"/>
    <hyperlink ref="Q793" r:id="rId428" display="../../../../../../../:b:/r/personal/comunicacionesdiveliv_educacionbogota_gov_co/Documents/DIRECCION DE INSPECCION Y VIGILANCIA/DIV POAIV/POAIV 2025/ELIV ENGATIV%C3%81/PRIORIZADOS/TRIM III/20250725VisitaInstHenaoyArrubla.pdf?csf=1&amp;web=1&amp;e=u5PP9b" xr:uid="{7BB9291A-8A32-4C2A-94E0-331CCBF63A4A}"/>
    <hyperlink ref="Q794" r:id="rId429" display="../../../../../../../:b:/r/personal/comunicacionesdiveliv_educacionbogota_gov_co/Documents/DIRECCION DE INSPECCION Y VIGILANCIA/DIV POAIV/POAIV 2025/ELIV ENGATIV%C3%81/PRIORIZADOS/TRIM III/20250725VisitaInstHenaoyArrubla.pdf?csf=1&amp;web=1&amp;e=u5PP9b" xr:uid="{7D96ADB0-A372-4C21-9E7F-E8A36BD11E2E}"/>
    <hyperlink ref="Q805" r:id="rId430" display="../../../../../../../:b:/r/personal/comunicacionesdiveliv_educacionbogota_gov_co/Documents/DIRECCION DE INSPECCION Y VIGILANCIA/DIV POAIV/POAIV 2025/ELIV ENGATIV%C3%81/PRIORIZADOS/TRIMI/ACTA DE VISITA PRIORIZADOS 2025 ATENEO JUAN EUDES 28-03-2025.pdf?csf=1&amp;web=1&amp;e=TjoIMc" xr:uid="{9F8C0A6D-B282-40E7-9CED-DD93BF325A22}"/>
    <hyperlink ref="Q806" r:id="rId431" display="../../../../../../../:b:/r/personal/comunicacionesdiveliv_educacionbogota_gov_co/Documents/DIRECCION DE INSPECCION Y VIGILANCIA/DIV POAIV/POAIV 2025/ELIV ENGATIV%C3%81/PRIORIZADOS/TRIMI/ACTA DE VISITA PRIORIZADOS 2025 ATENEO JUAN EUDES 28-03-2025.pdf?csf=1&amp;web=1&amp;e=TjoIMc" xr:uid="{EC7596DD-363C-4B16-BD44-D12F401E768B}"/>
    <hyperlink ref="Q807" r:id="rId432" display="../../../../../../../:b:/r/personal/comunicacionesdiveliv_educacionbogota_gov_co/Documents/DIRECCION DE INSPECCION Y VIGILANCIA/DIV POAIV/POAIV 2025/ELIV ENGATIV%C3%81/PRIORIZADOS/TRIMI/ACTA DE VISITA PRIORIZADOS 2025 ATENEO JUAN EUDES 28-03-2025.pdf?csf=1&amp;web=1&amp;e=TjoIMc" xr:uid="{1CFF854B-B5C3-4400-B9CD-C2C8FBFF9CED}"/>
    <hyperlink ref="Q808" r:id="rId433" display="../../../../../../../:b:/r/personal/comunicacionesdiveliv_educacionbogota_gov_co/Documents/DIRECCION DE INSPECCION Y VIGILANCIA/DIV POAIV/POAIV 2025/ELIV ENGATIV%C3%81/PRIORIZADOS/TRIMI/ACTA DE VISITA PRIORIZADOS 2025 ATENEO JUAN EUDES 28-03-2025.pdf?csf=1&amp;web=1&amp;e=TjoIMc" xr:uid="{496933C4-EE90-477F-9049-423A82A7A1F2}"/>
    <hyperlink ref="Q809" r:id="rId434" display="../../../../../../../:b:/r/personal/comunicacionesdiveliv_educacionbogota_gov_co/Documents/DIRECCION DE INSPECCION Y VIGILANCIA/DIV POAIV/POAIV 2025/ELIV ENGATIV%C3%81/PRIORIZADOS/TRIMI/ACTA DE VISITA PRIORIZADOS 2025 ATENEO JUAN EUDES 28-03-2025.pdf?csf=1&amp;web=1&amp;e=TjoIMc" xr:uid="{561E1D33-BD9E-4A09-A45B-CAA1175CB3D4}"/>
    <hyperlink ref="Q810" r:id="rId435" display="../../../../../../../:b:/r/personal/comunicacionesdiveliv_educacionbogota_gov_co/Documents/DIRECCION DE INSPECCION Y VIGILANCIA/DIV POAIV/POAIV 2025/ELIV ENGATIV%C3%81/PRIORIZADOS/TRIMI/ACTA DE VISITA PRIORIZADOS 2025 ATENEO JUAN EUDES 28-03-2025.pdf?csf=1&amp;web=1&amp;e=TjoIMc" xr:uid="{880322DB-33AB-4AC8-A325-BAFFBD0E1CF4}"/>
    <hyperlink ref="Q811" r:id="rId436" display="../../../../../../../:b:/r/personal/comunicacionesdiveliv_educacionbogota_gov_co/Documents/DIRECCION DE INSPECCION Y VIGILANCIA/DIV POAIV/POAIV 2025/ELIV ENGATIV%C3%81/PRIORIZADOS/TRIMI/ACTA DE VISITA PRIORIZADOS 2025 ATENEO JUAN EUDES 28-03-2025.pdf?csf=1&amp;web=1&amp;e=TjoIMc" xr:uid="{91532396-8E11-43C9-BEDD-DC928403A2DB}"/>
    <hyperlink ref="Q812" r:id="rId437" display="../../../../../../../:b:/r/personal/comunicacionesdiveliv_educacionbogota_gov_co/Documents/DIRECCION DE INSPECCION Y VIGILANCIA/DIV POAIV/POAIV 2025/ELIV ENGATIV%C3%81/PRIORIZADOS/TRIMI/ACTA DE VISITA PRIORIZADOS 2025 ATENEO JUAN EUDES 28-03-2025.pdf?csf=1&amp;web=1&amp;e=TjoIMc" xr:uid="{ED1B6342-6139-45AF-B365-6BAC9BE8A3AB}"/>
    <hyperlink ref="Q823" r:id="rId438" display="../../../../../../../:b:/r/personal/comunicacionesdiveliv_educacionbogota_gov_co/Documents/DIRECCION DE INSPECCION Y VIGILANCIA/DIV POAIV/POAIV 2025/ELIV ENGATIV%C3%81/PRIORIZADOS/TRIM II/ActaLicCelestinFrei.pdf?csf=1&amp;web=1&amp;e=o4O95s" xr:uid="{FB9DDE04-3F88-46A6-AFFC-95770B8CA3CF}"/>
    <hyperlink ref="Q824" r:id="rId439" display="../../../../../../../:b:/r/personal/comunicacionesdiveliv_educacionbogota_gov_co/Documents/DIRECCION DE INSPECCION Y VIGILANCIA/DIV POAIV/POAIV 2025/ELIV ENGATIV%C3%81/PRIORIZADOS/TRIM II/ActaLicCelestinFrei.pdf?csf=1&amp;web=1&amp;e=o4O95s" xr:uid="{D5BF594C-D8C1-487E-99AA-949797806845}"/>
    <hyperlink ref="Q825" r:id="rId440" display="../../../../../../../:b:/r/personal/comunicacionesdiveliv_educacionbogota_gov_co/Documents/DIRECCION DE INSPECCION Y VIGILANCIA/DIV POAIV/POAIV 2025/ELIV ENGATIV%C3%81/PRIORIZADOS/TRIM II/ActaLicCelestinFrei.pdf?csf=1&amp;web=1&amp;e=o4O95s" xr:uid="{91CB9E76-F5BD-4D77-AA29-EA283995BD1F}"/>
    <hyperlink ref="Q826" r:id="rId441" display="../../../../../../../:b:/r/personal/comunicacionesdiveliv_educacionbogota_gov_co/Documents/DIRECCION DE INSPECCION Y VIGILANCIA/DIV POAIV/POAIV 2025/ELIV ENGATIV%C3%81/PRIORIZADOS/TRIM II/ActaLicCelestinFrei.pdf?csf=1&amp;web=1&amp;e=o4O95s" xr:uid="{9388C5BE-659A-475E-91A0-B2D3FED43351}"/>
    <hyperlink ref="Q827" r:id="rId442" display="../../../../../../../:b:/r/personal/comunicacionesdiveliv_educacionbogota_gov_co/Documents/DIRECCION DE INSPECCION Y VIGILANCIA/DIV POAIV/POAIV 2025/ELIV ENGATIV%C3%81/PRIORIZADOS/TRIM II/ActaLicCelestinFrei.pdf?csf=1&amp;web=1&amp;e=o4O95s" xr:uid="{FB34FBBA-CD85-4A98-AA20-ED9BA6DC9B15}"/>
    <hyperlink ref="Q828" r:id="rId443" display="../../../../../../../:b:/r/personal/comunicacionesdiveliv_educacionbogota_gov_co/Documents/DIRECCION DE INSPECCION Y VIGILANCIA/DIV POAIV/POAIV 2025/ELIV ENGATIV%C3%81/PRIORIZADOS/TRIM II/ActaLicCelestinFrei.pdf?csf=1&amp;web=1&amp;e=o4O95s" xr:uid="{035658E9-B538-457E-925C-71EFBE6AB789}"/>
    <hyperlink ref="Q829" r:id="rId444" display="../../../../../../../:b:/r/personal/comunicacionesdiveliv_educacionbogota_gov_co/Documents/DIRECCION DE INSPECCION Y VIGILANCIA/DIV POAIV/POAIV 2025/ELIV ENGATIV%C3%81/PRIORIZADOS/TRIM II/ActaLicCelestinFrei.pdf?csf=1&amp;web=1&amp;e=o4O95s" xr:uid="{AA32563C-8278-4314-8623-F3EE589A9891}"/>
    <hyperlink ref="Q830" r:id="rId445" display="../../../../../../../:b:/r/personal/comunicacionesdiveliv_educacionbogota_gov_co/Documents/DIRECCION DE INSPECCION Y VIGILANCIA/DIV POAIV/POAIV 2025/ELIV ENGATIV%C3%81/PRIORIZADOS/TRIM II/ActaLicCelestinFrei.pdf?csf=1&amp;web=1&amp;e=o4O95s" xr:uid="{1D6E25EF-4D9C-4281-A8FC-6F581305F056}"/>
    <hyperlink ref="Q831" r:id="rId446" display="../../../../../../../:b:/r/personal/comunicacionesdiveliv_educacionbogota_gov_co/Documents/DIRECCION DE INSPECCION Y VIGILANCIA/DIV POAIV/POAIV 2025/ELIV ENGATIV%C3%81/PRIORIZADOS/TRIM II/ACTA DE VISITA COLEGIO HENRY WALLON 25 ABRIL DE 2025.pdf?csf=1&amp;web=1&amp;e=UvqLdo" xr:uid="{A63380E2-E7F6-4528-BEF9-08905177D001}"/>
    <hyperlink ref="Q832" r:id="rId447" display="../../../../../../../:b:/r/personal/comunicacionesdiveliv_educacionbogota_gov_co/Documents/DIRECCION DE INSPECCION Y VIGILANCIA/DIV POAIV/POAIV 2025/ELIV ENGATIV%C3%81/PRIORIZADOS/TRIM II/ACTA DE VISITA COLEGIO HENRY WALLON 25 ABRIL DE 2025.pdf?csf=1&amp;web=1&amp;e=UvqLdo" xr:uid="{E53014A5-54E6-4690-95EB-DF487C659FD8}"/>
    <hyperlink ref="Q833" r:id="rId448" display="../../../../../../../:b:/r/personal/comunicacionesdiveliv_educacionbogota_gov_co/Documents/DIRECCION DE INSPECCION Y VIGILANCIA/DIV POAIV/POAIV 2025/ELIV ENGATIV%C3%81/PRIORIZADOS/TRIM II/ACTA DE VISITA COLEGIO HENRY WALLON 25 ABRIL DE 2025.pdf?csf=1&amp;web=1&amp;e=UvqLdo" xr:uid="{5888A8E3-3646-413F-B022-3734E5721BD3}"/>
    <hyperlink ref="Q834" r:id="rId449" display="../../../../../../../:b:/r/personal/comunicacionesdiveliv_educacionbogota_gov_co/Documents/DIRECCION DE INSPECCION Y VIGILANCIA/DIV POAIV/POAIV 2025/ELIV ENGATIV%C3%81/PRIORIZADOS/TRIM II/ACTA DE VISITA COLEGIO HENRY WALLON 25 ABRIL DE 2025.pdf?csf=1&amp;web=1&amp;e=UvqLdo" xr:uid="{8AF8FE8B-EB47-4516-B1E0-50EF9A097CA9}"/>
    <hyperlink ref="Q835" r:id="rId450" display="../../../../../../../:b:/r/personal/comunicacionesdiveliv_educacionbogota_gov_co/Documents/DIRECCION DE INSPECCION Y VIGILANCIA/DIV POAIV/POAIV 2025/ELIV ENGATIV%C3%81/PRIORIZADOS/TRIM II/ACTA DE VISITA COLEGIO HENRY WALLON 25 ABRIL DE 2025.pdf?csf=1&amp;web=1&amp;e=UvqLdo" xr:uid="{82BB3A32-3AFD-485E-947A-7DC411E0B2D9}"/>
    <hyperlink ref="Q836" r:id="rId451" display="../../../../../../../:b:/r/personal/comunicacionesdiveliv_educacionbogota_gov_co/Documents/DIRECCION DE INSPECCION Y VIGILANCIA/DIV POAIV/POAIV 2025/ELIV ENGATIV%C3%81/PRIORIZADOS/TRIM II/ACTA DE VISITA COLEGIO HENRY WALLON 25 ABRIL DE 2025.pdf?csf=1&amp;web=1&amp;e=UvqLdo" xr:uid="{4EFA527D-393F-4622-A3FA-8C88C284538F}"/>
    <hyperlink ref="Q837" r:id="rId452" display="../../../../../../../:b:/r/personal/comunicacionesdiveliv_educacionbogota_gov_co/Documents/DIRECCION DE INSPECCION Y VIGILANCIA/DIV POAIV/POAIV 2025/ELIV ENGATIV%C3%81/PRIORIZADOS/TRIM II/ACTA DE VISITA COLEGIO HENRY WALLON 25 ABRIL DE 2025.pdf?csf=1&amp;web=1&amp;e=UvqLdo" xr:uid="{9CC1C18B-87E5-4AC0-9AC3-37DA0CCE4E2E}"/>
    <hyperlink ref="Q838" r:id="rId453" display="../../../../../../../:b:/r/personal/comunicacionesdiveliv_educacionbogota_gov_co/Documents/DIRECCION DE INSPECCION Y VIGILANCIA/DIV POAIV/POAIV 2025/ELIV ENGATIV%C3%81/PRIORIZADOS/TRIM II/ACTA DE VISITA COLEGIO HENRY WALLON 25 ABRIL DE 2025.pdf?csf=1&amp;web=1&amp;e=UvqLdo" xr:uid="{307161F4-1AA6-4C1C-A278-7B07B5A82AD5}"/>
    <hyperlink ref="Q839" r:id="rId454" display="../../../../../../../:b:/r/personal/comunicacionesdiveliv_educacionbogota_gov_co/Documents/DIRECCION DE INSPECCION Y VIGILANCIA/DIV POAIV/POAIV 2025/ELIV ENGATIV%C3%81/PRIORIZADOS/TRIM II/ActavisitaLiccialAmericas.pdf?csf=1&amp;web=1&amp;e=KttGfY" xr:uid="{AED7FF08-F67C-44B9-A799-A650FF01C406}"/>
    <hyperlink ref="Q840" r:id="rId455" display="../../../../../../../:b:/r/personal/comunicacionesdiveliv_educacionbogota_gov_co/Documents/DIRECCION DE INSPECCION Y VIGILANCIA/DIV POAIV/POAIV 2025/ELIV ENGATIV%C3%81/PRIORIZADOS/TRIM II/ActavisitaLiccialAmericas.pdf?csf=1&amp;web=1&amp;e=KttGfY" xr:uid="{14057D6D-3791-4B22-A21C-11BBF8D3C8F4}"/>
    <hyperlink ref="Q841" r:id="rId456" display="../../../../../../../:b:/r/personal/comunicacionesdiveliv_educacionbogota_gov_co/Documents/DIRECCION DE INSPECCION Y VIGILANCIA/DIV POAIV/POAIV 2025/ELIV ENGATIV%C3%81/PRIORIZADOS/TRIM II/ActavisitaLiccialAmericas.pdf?csf=1&amp;web=1&amp;e=KttGfY" xr:uid="{9636BFC3-AE83-47B0-88AF-DE023DD64F93}"/>
    <hyperlink ref="Q842" r:id="rId457" display="../../../../../../../:b:/r/personal/comunicacionesdiveliv_educacionbogota_gov_co/Documents/DIRECCION DE INSPECCION Y VIGILANCIA/DIV POAIV/POAIV 2025/ELIV ENGATIV%C3%81/PRIORIZADOS/TRIM II/ActavisitaLiccialAmericas.pdf?csf=1&amp;web=1&amp;e=KttGfY" xr:uid="{2766A079-EFE4-4984-A671-108F974142C6}"/>
    <hyperlink ref="Q843" r:id="rId458" display="../../../../../../../:b:/r/personal/comunicacionesdiveliv_educacionbogota_gov_co/Documents/DIRECCION DE INSPECCION Y VIGILANCIA/DIV POAIV/POAIV 2025/ELIV ENGATIV%C3%81/PRIORIZADOS/TRIM II/ActavisitaLiccialAmericas.pdf?csf=1&amp;web=1&amp;e=KttGfY" xr:uid="{E6505A95-0B30-45BB-A5DB-69E52714109C}"/>
    <hyperlink ref="Q844" r:id="rId459" display="../../../../../../../:b:/r/personal/comunicacionesdiveliv_educacionbogota_gov_co/Documents/DIRECCION DE INSPECCION Y VIGILANCIA/DIV POAIV/POAIV 2025/ELIV ENGATIV%C3%81/PRIORIZADOS/TRIM II/ActavisitaLiccialAmericas.pdf?csf=1&amp;web=1&amp;e=KttGfY" xr:uid="{1A54BAE2-53D0-487E-A672-E232D91C4499}"/>
    <hyperlink ref="Q845" r:id="rId460" display="../../../../../../../:b:/r/personal/comunicacionesdiveliv_educacionbogota_gov_co/Documents/DIRECCION DE INSPECCION Y VIGILANCIA/DIV POAIV/POAIV 2025/ELIV ENGATIV%C3%81/PRIORIZADOS/TRIM II/ActavisitaLiccialAmericas.pdf?csf=1&amp;web=1&amp;e=KttGfY" xr:uid="{1000AE18-92D9-4846-8310-217D0AED8937}"/>
    <hyperlink ref="Q846" r:id="rId461" display="../../../../../../../:b:/r/personal/comunicacionesdiveliv_educacionbogota_gov_co/Documents/DIRECCION DE INSPECCION Y VIGILANCIA/DIV POAIV/POAIV 2025/ELIV ENGATIV%C3%81/PRIORIZADOS/TRIM II/ActavisitaLiccialAmericas.pdf?csf=1&amp;web=1&amp;e=KttGfY" xr:uid="{B178FDFF-DB71-461F-88EC-3AFE416FCDD9}"/>
    <hyperlink ref="Q847" r:id="rId462" display="../../../../../../../:b:/r/personal/comunicacionesdiveliv_educacionbogota_gov_co/Documents/DIRECCION DE INSPECCION Y VIGILANCIA/DIV POAIV/POAIV 2025/ELIV ENGATIV%C3%81/PRIORIZADOS/TRIM II/ActavisitaLiccialAmericas.pdf?csf=1&amp;web=1&amp;e=KttGfY" xr:uid="{10A1926B-7C77-4E47-8DD5-8A8E0DE974FF}"/>
    <hyperlink ref="Q848" r:id="rId463" display="../../../../../../../:b:/r/personal/comunicacionesdiveliv_educacionbogota_gov_co/Documents/DIRECCION DE INSPECCION Y VIGILANCIA/DIV POAIV/POAIV 2025/ELIV ENGATIV%C3%81/PRIORIZADOS/TRIM II/VISITA MARIA AUXILIADORA.pdf?csf=1&amp;web=1&amp;e=RZnE9u" xr:uid="{BDCC8449-9B65-498F-A799-0BF8E3D193F8}"/>
    <hyperlink ref="Q849" r:id="rId464" display="../../../../../../../:b:/r/personal/comunicacionesdiveliv_educacionbogota_gov_co/Documents/DIRECCION DE INSPECCION Y VIGILANCIA/DIV POAIV/POAIV 2025/ELIV ENGATIV%C3%81/PRIORIZADOS/TRIM II/VISITA MARIA AUXILIADORA.pdf?csf=1&amp;web=1&amp;e=RZnE9u" xr:uid="{597A9069-778F-49D7-AFFC-7BE70DADFB7B}"/>
    <hyperlink ref="Q850" r:id="rId465" display="../../../../../../../:b:/r/personal/comunicacionesdiveliv_educacionbogota_gov_co/Documents/DIRECCION DE INSPECCION Y VIGILANCIA/DIV POAIV/POAIV 2025/ELIV ENGATIV%C3%81/PRIORIZADOS/TRIM II/VISITA MARIA AUXILIADORA.pdf?csf=1&amp;web=1&amp;e=RZnE9u" xr:uid="{AD9BBA48-618A-49DF-A07F-89E7A8486413}"/>
    <hyperlink ref="Q851" r:id="rId466" display="../../../../../../../:b:/r/personal/comunicacionesdiveliv_educacionbogota_gov_co/Documents/DIRECCION DE INSPECCION Y VIGILANCIA/DIV POAIV/POAIV 2025/ELIV ENGATIV%C3%81/PRIORIZADOS/TRIM II/VISITA MARIA AUXILIADORA.pdf?csf=1&amp;web=1&amp;e=RZnE9u" xr:uid="{1EE13711-F57C-4424-B3BE-730A9C04633C}"/>
    <hyperlink ref="Q852" r:id="rId467" display="../../../../../../../:b:/r/personal/comunicacionesdiveliv_educacionbogota_gov_co/Documents/DIRECCION DE INSPECCION Y VIGILANCIA/DIV POAIV/POAIV 2025/ELIV ENGATIV%C3%81/PRIORIZADOS/TRIM II/VISITA MARIA AUXILIADORA.pdf?csf=1&amp;web=1&amp;e=RZnE9u" xr:uid="{D7031A45-51C1-484A-BCD1-E52490BF966E}"/>
    <hyperlink ref="Q853" r:id="rId468" display="../../../../../../../:b:/r/personal/comunicacionesdiveliv_educacionbogota_gov_co/Documents/DIRECCION DE INSPECCION Y VIGILANCIA/DIV POAIV/POAIV 2025/ELIV ENGATIV%C3%81/PRIORIZADOS/TRIM II/VISITA MARIA AUXILIADORA.pdf?csf=1&amp;web=1&amp;e=RZnE9u" xr:uid="{4A4A0E81-00F6-48AF-A733-C4A543739A3F}"/>
    <hyperlink ref="Q854" r:id="rId469" display="../../../../../../../:b:/r/personal/comunicacionesdiveliv_educacionbogota_gov_co/Documents/DIRECCION DE INSPECCION Y VIGILANCIA/DIV POAIV/POAIV 2025/ELIV ENGATIV%C3%81/PRIORIZADOS/TRIM II/VISITA MARIA AUXILIADORA.pdf?csf=1&amp;web=1&amp;e=RZnE9u" xr:uid="{ECFFF87E-B7AB-4268-A50C-ADA4FF83427D}"/>
    <hyperlink ref="Q855" r:id="rId470" display="../../../../../../../:b:/r/personal/comunicacionesdiveliv_educacionbogota_gov_co/Documents/DIRECCION DE INSPECCION Y VIGILANCIA/DIV POAIV/POAIV 2025/ELIV ENGATIV%C3%81/PRIORIZADOS/TRIM II/VISITA MARIA AUXILIADORA.pdf?csf=1&amp;web=1&amp;e=RZnE9u" xr:uid="{3C19CCB0-117F-4C4D-8532-A68A31E56EFC}"/>
    <hyperlink ref="Q857" r:id="rId471" display="../../../../../../../:b:/r/personal/comunicacionesdiveliv_educacionbogota_gov_co/Documents/DIRECCION DE INSPECCION Y VIGILANCIA/DIV POAIV/POAIV 2025/ELIV ENGATIV%C3%81/PRIORIZADOS/TRIM II/ACTA VISITA COOP ALAMOS 11JUN2025.pdf?csf=1&amp;web=1&amp;e=4d0Mll" xr:uid="{05910678-6194-4272-9C8F-CBFD4B398747}"/>
    <hyperlink ref="Q858" r:id="rId472" display="../../../../../../../:b:/r/personal/comunicacionesdiveliv_educacionbogota_gov_co/Documents/DIRECCION DE INSPECCION Y VIGILANCIA/DIV POAIV/POAIV 2025/ELIV ENGATIV%C3%81/PRIORIZADOS/TRIM II/ACTA VISITA COOP ALAMOS 11JUN2025.pdf?csf=1&amp;web=1&amp;e=4d0Mll" xr:uid="{63889101-A075-4AF9-8B98-11B578DDAE4C}"/>
    <hyperlink ref="Q859" r:id="rId473" display="../../../../../../../:b:/r/personal/comunicacionesdiveliv_educacionbogota_gov_co/Documents/DIRECCION DE INSPECCION Y VIGILANCIA/DIV POAIV/POAIV 2025/ELIV ENGATIV%C3%81/PRIORIZADOS/TRIM II/ACTA VISITA COOP ALAMOS 11JUN2025.pdf?csf=1&amp;web=1&amp;e=4d0Mll" xr:uid="{AAA80320-9A2B-4B1B-9627-E80A2032F71C}"/>
    <hyperlink ref="Q860" r:id="rId474" display="../../../../../../../:b:/r/personal/comunicacionesdiveliv_educacionbogota_gov_co/Documents/DIRECCION DE INSPECCION Y VIGILANCIA/DIV POAIV/POAIV 2025/ELIV ENGATIV%C3%81/PRIORIZADOS/TRIM II/ACTA VISITA COOP ALAMOS 11JUN2025.pdf?csf=1&amp;web=1&amp;e=4d0Mll" xr:uid="{03B6C60F-EB9D-44A1-871F-6F2EFEC3C3BC}"/>
    <hyperlink ref="Q861" r:id="rId475" display="../../../../../../../:b:/r/personal/comunicacionesdiveliv_educacionbogota_gov_co/Documents/DIRECCION DE INSPECCION Y VIGILANCIA/DIV POAIV/POAIV 2025/ELIV ENGATIV%C3%81/PRIORIZADOS/TRIM II/ACTA VISITA COOP ALAMOS 11JUN2025.pdf?csf=1&amp;web=1&amp;e=4d0Mll" xr:uid="{902629C3-F797-417E-999A-6B08927085CD}"/>
    <hyperlink ref="Q862" r:id="rId476" display="../../../../../../../:b:/r/personal/comunicacionesdiveliv_educacionbogota_gov_co/Documents/DIRECCION DE INSPECCION Y VIGILANCIA/DIV POAIV/POAIV 2025/ELIV ENGATIV%C3%81/PRIORIZADOS/TRIM II/ACTA VISITA COOP ALAMOS 11JUN2025.pdf?csf=1&amp;web=1&amp;e=4d0Mll" xr:uid="{7DC5FBFD-740C-40AF-8080-DEFAD9F4008E}"/>
    <hyperlink ref="Q863" r:id="rId477" display="../../../../../../../:b:/r/personal/comunicacionesdiveliv_educacionbogota_gov_co/Documents/DIRECCION DE INSPECCION Y VIGILANCIA/DIV POAIV/POAIV 2025/ELIV ENGATIV%C3%81/PRIORIZADOS/TRIM II/ACTA VISITA COOP ALAMOS 11JUN2025.pdf?csf=1&amp;web=1&amp;e=4d0Mll" xr:uid="{CADBBD35-B925-4EBD-95A7-5650D0D9E5DD}"/>
    <hyperlink ref="Q864" r:id="rId478" display="../../../../../../../:b:/r/personal/comunicacionesdiveliv_educacionbogota_gov_co/Documents/DIRECCION DE INSPECCION Y VIGILANCIA/DIV POAIV/POAIV 2025/ELIV ENGATIV%C3%81/PRIORIZADOS/TRIM II/ACTA VISITA COOP ALAMOS 11JUN2025.pdf?csf=1&amp;web=1&amp;e=4d0Mll" xr:uid="{273B5FED-950C-4053-8BA5-7A41C118F9FA}"/>
    <hyperlink ref="Q892" r:id="rId479" display="../../../../../../../:b:/r/personal/comunicacionesdiveliv_educacionbogota_gov_co/Documents/DIRECCION DE INSPECCION Y VIGILANCIA/DIV POAIV/POAIV 2025/ELIV ENGATIV%C3%81/PRIORIZADOS/TRIM III/ACTA VISITA GENERAL SANTANDER.pdf?csf=1&amp;web=1&amp;e=hPfejy" xr:uid="{02DDC089-DAF8-4026-8B6C-0C0B0B7180C0}"/>
    <hyperlink ref="Q893" r:id="rId480" display="../../../../../../../:b:/r/personal/comunicacionesdiveliv_educacionbogota_gov_co/Documents/DIRECCION DE INSPECCION Y VIGILANCIA/DIV POAIV/POAIV 2025/ELIV ENGATIV%C3%81/PRIORIZADOS/TRIM III/ACTA VISITA GENERAL SANTANDER.pdf?csf=1&amp;web=1&amp;e=hPfejy" xr:uid="{52252237-809C-455C-9999-6451459E9C08}"/>
    <hyperlink ref="Q894" r:id="rId481" display="../../../../../../../:b:/r/personal/comunicacionesdiveliv_educacionbogota_gov_co/Documents/DIRECCION DE INSPECCION Y VIGILANCIA/DIV POAIV/POAIV 2025/ELIV ENGATIV%C3%81/PRIORIZADOS/TRIM III/ACTA VISITA GENERAL SANTANDER.pdf?csf=1&amp;web=1&amp;e=hPfejy" xr:uid="{7CD051F5-A3F1-47C6-B716-638657AA2C4A}"/>
    <hyperlink ref="Q895" r:id="rId482" display="../../../../../../../:b:/r/personal/comunicacionesdiveliv_educacionbogota_gov_co/Documents/DIRECCION DE INSPECCION Y VIGILANCIA/DIV POAIV/POAIV 2025/ELIV ENGATIV%C3%81/PRIORIZADOS/TRIM III/ACTA VISITA GENERAL SANTANDER.pdf?csf=1&amp;web=1&amp;e=hPfejy" xr:uid="{7200928C-C081-47C5-8925-4F52F1210862}"/>
    <hyperlink ref="Q896" r:id="rId483" display="../../../../../../../:b:/r/personal/comunicacionesdiveliv_educacionbogota_gov_co/Documents/DIRECCION DE INSPECCION Y VIGILANCIA/DIV POAIV/POAIV 2025/ELIV ENGATIV%C3%81/PRIORIZADOS/TRIM III/ACTA VISITA GENERAL SANTANDER.pdf?csf=1&amp;web=1&amp;e=hPfejy" xr:uid="{3DF024F5-1E36-4FDE-8E20-6D571183FCEC}"/>
    <hyperlink ref="Q897" r:id="rId484" display="../../../../../../../:b:/r/personal/comunicacionesdiveliv_educacionbogota_gov_co/Documents/DIRECCION DE INSPECCION Y VIGILANCIA/DIV POAIV/POAIV 2025/ELIV ENGATIV%C3%81/PRIORIZADOS/TRIM III/ACTA VISITA GENERAL SANTANDER.pdf?csf=1&amp;web=1&amp;e=hPfejy" xr:uid="{07520C9E-AB51-4014-98FE-670756265997}"/>
    <hyperlink ref="Q906" r:id="rId485" display="../../../../../../../:b:/r/personal/comunicacionesdiveliv_educacionbogota_gov_co/Documents/DIRECCION DE INSPECCION Y VIGILANCIA/DIV POAIV/POAIV 2025/ELIV ENGATIV%C3%81/PRIORIZADOS/TRIM II/Acta visita Tom%C3%A1s Moro.pdf?csf=1&amp;web=1&amp;e=wxSqUX" xr:uid="{58FBE484-73B9-4F60-A400-1E4FEF14E588}"/>
    <hyperlink ref="Q907" r:id="rId486" display="../../../../../../../:b:/r/personal/comunicacionesdiveliv_educacionbogota_gov_co/Documents/DIRECCION DE INSPECCION Y VIGILANCIA/DIV POAIV/POAIV 2025/ELIV ENGATIV%C3%81/PRIORIZADOS/TRIM II/Acta visita Tom%C3%A1s Moro.pdf?csf=1&amp;web=1&amp;e=wxSqUX" xr:uid="{C841CDA5-83E2-413B-B2AC-393DE28F630E}"/>
    <hyperlink ref="Q908" r:id="rId487" display="../../../../../../../:b:/r/personal/comunicacionesdiveliv_educacionbogota_gov_co/Documents/DIRECCION DE INSPECCION Y VIGILANCIA/DIV POAIV/POAIV 2025/ELIV ENGATIV%C3%81/PRIORIZADOS/TRIM II/Acta visita Tom%C3%A1s Moro.pdf?csf=1&amp;web=1&amp;e=wxSqUX" xr:uid="{6825E617-507F-4D5E-A112-9BC8469B44DF}"/>
    <hyperlink ref="Q909" r:id="rId488" display="../../../../../../../:b:/r/personal/comunicacionesdiveliv_educacionbogota_gov_co/Documents/DIRECCION DE INSPECCION Y VIGILANCIA/DIV POAIV/POAIV 2025/ELIV ENGATIV%C3%81/PRIORIZADOS/TRIM II/Acta visita Tom%C3%A1s Moro.pdf?csf=1&amp;web=1&amp;e=wxSqUX" xr:uid="{981E4EC4-5F23-4E26-96F7-CE19BA50BEE2}"/>
    <hyperlink ref="Q910" r:id="rId489" display="../../../../../../../:b:/r/personal/comunicacionesdiveliv_educacionbogota_gov_co/Documents/DIRECCION DE INSPECCION Y VIGILANCIA/DIV POAIV/POAIV 2025/ELIV ENGATIV%C3%81/PRIORIZADOS/TRIM II/Acta visita Tom%C3%A1s Moro.pdf?csf=1&amp;web=1&amp;e=wxSqUX" xr:uid="{D0FD41B3-555D-41DD-A4E5-F3C58009F28B}"/>
    <hyperlink ref="Q911" r:id="rId490" display="../../../../../../../:b:/r/personal/comunicacionesdiveliv_educacionbogota_gov_co/Documents/DIRECCION DE INSPECCION Y VIGILANCIA/DIV POAIV/POAIV 2025/ELIV ENGATIV%C3%81/PRIORIZADOS/TRIM II/Acta visita Tom%C3%A1s Moro.pdf?csf=1&amp;web=1&amp;e=wxSqUX" xr:uid="{0F605512-C58E-4918-980E-B718BEF245FE}"/>
    <hyperlink ref="Q912" r:id="rId491" display="../../../../../../../:b:/r/personal/comunicacionesdiveliv_educacionbogota_gov_co/Documents/DIRECCION DE INSPECCION Y VIGILANCIA/DIV POAIV/POAIV 2025/ELIV ENGATIV%C3%81/PRIORIZADOS/TRIM II/Acta visita Tom%C3%A1s Moro.pdf?csf=1&amp;web=1&amp;e=wxSqUX" xr:uid="{69754F1B-BA7E-49C6-A5C9-ACDCA5390150}"/>
    <hyperlink ref="Q921" r:id="rId492" display="../../../../../../../:b:/r/personal/comunicacionesdiveliv_educacionbogota_gov_co/Documents/DIRECCION DE INSPECCION Y VIGILANCIA/DIV POAIV/POAIV 2025/ELIV ENGATIV%C3%81/PRIORIZADOS/TRIM II/20250401 Acta visita Col la Palestina.pdf?csf=1&amp;web=1&amp;e=jzteDF" xr:uid="{15FEA464-0F8E-4533-BDBE-D480E96BAECA}"/>
    <hyperlink ref="Q922" r:id="rId493" display="../../../../../../../:b:/r/personal/comunicacionesdiveliv_educacionbogota_gov_co/Documents/DIRECCION DE INSPECCION Y VIGILANCIA/DIV POAIV/POAIV 2025/ELIV ENGATIV%C3%81/PRIORIZADOS/TRIM II/20250401 Acta visita Col la Palestina.pdf?csf=1&amp;web=1&amp;e=jzteDF" xr:uid="{9F966383-3BB7-4238-9E91-CDB5EBDDA885}"/>
    <hyperlink ref="Q923" r:id="rId494" display="../../../../../../../:b:/r/personal/comunicacionesdiveliv_educacionbogota_gov_co/Documents/DIRECCION DE INSPECCION Y VIGILANCIA/DIV POAIV/POAIV 2025/ELIV ENGATIV%C3%81/PRIORIZADOS/TRIM II/20250401 Acta visita Col la Palestina.pdf?csf=1&amp;web=1&amp;e=jzteDF" xr:uid="{0C90C69C-53C8-40FA-8D12-84436C2CA8DA}"/>
    <hyperlink ref="Q924" r:id="rId495" display="../../../../../../../:b:/r/personal/comunicacionesdiveliv_educacionbogota_gov_co/Documents/DIRECCION DE INSPECCION Y VIGILANCIA/DIV POAIV/POAIV 2025/ELIV ENGATIV%C3%81/PRIORIZADOS/TRIM II/20250401 Acta visita Col la Palestina.pdf?csf=1&amp;web=1&amp;e=jzteDF" xr:uid="{668348B1-AEA2-4177-93C0-54B4155D75EB}"/>
    <hyperlink ref="Q925" r:id="rId496" display="../../../../../../../:b:/r/personal/comunicacionesdiveliv_educacionbogota_gov_co/Documents/DIRECCION DE INSPECCION Y VIGILANCIA/DIV POAIV/POAIV 2025/ELIV ENGATIV%C3%81/PRIORIZADOS/TRIM II/20250401 Acta visita Col la Palestina.pdf?csf=1&amp;web=1&amp;e=jzteDF" xr:uid="{9C1A1550-EB9F-4E2E-BA72-8D605B0DA99F}"/>
    <hyperlink ref="Q7" r:id="rId497" display="../../../../../../../:b:/r/personal/comunicacionesdiveliv_educacionbogota_gov_co/Documents/DIRECCION DE INSPECCION Y VIGILANCIA/DIV POAIV/POAIV 2025/ELIV ANTONIO NARI%C3%91O/PRIORIZADOS/TRIM II/06. Acta de visita Integral - Col. CENCOSISTEMAS.pdf?csf=1&amp;web=1&amp;e=DHNbRD" xr:uid="{329DB005-3E11-43F0-875D-C983725C57E3}"/>
    <hyperlink ref="Q8" r:id="rId498" display="../../../../../../../:b:/r/personal/comunicacionesdiveliv_educacionbogota_gov_co/Documents/DIRECCION DE INSPECCION Y VIGILANCIA/DIV POAIV/POAIV 2025/ELIV ANTONIO NARI%C3%91O/PRIORIZADOS/TRIM II/06. Acta de visita Integral - Col. CENCOSISTEMAS.pdf?csf=1&amp;web=1&amp;e=DHNbRD" xr:uid="{D634781B-8D8D-486A-A14E-93113EAB3F54}"/>
    <hyperlink ref="Q9" r:id="rId499" display="../../../../../../../:b:/r/personal/comunicacionesdiveliv_educacionbogota_gov_co/Documents/DIRECCION DE INSPECCION Y VIGILANCIA/DIV POAIV/POAIV 2025/ELIV ANTONIO NARI%C3%91O/PRIORIZADOS/TRIM II/06. Acta de visita Integral - Col. CENCOSISTEMAS.pdf?csf=1&amp;web=1&amp;e=DHNbRD" xr:uid="{BA62B54C-0C0D-4A5A-B12A-71468B84BC95}"/>
    <hyperlink ref="Q10" r:id="rId500" display="../../../../../../../:b:/r/personal/comunicacionesdiveliv_educacionbogota_gov_co/Documents/DIRECCION DE INSPECCION Y VIGILANCIA/DIV POAIV/POAIV 2025/ELIV ANTONIO NARI%C3%91O/PRIORIZADOS/TRIM II/06. Acta de visita Integral - Col. CENCOSISTEMAS.pdf?csf=1&amp;web=1&amp;e=DHNbRD" xr:uid="{D1F04786-3B50-46F0-A239-E497746789D6}"/>
    <hyperlink ref="Q11" r:id="rId501" display="../../../../../../../:b:/r/personal/comunicacionesdiveliv_educacionbogota_gov_co/Documents/DIRECCION DE INSPECCION Y VIGILANCIA/DIV POAIV/POAIV 2025/ELIV ANTONIO NARI%C3%91O/PRIORIZADOS/TRIM II/06. Acta de visita Integral - Col. CENCOSISTEMAS.pdf?csf=1&amp;web=1&amp;e=DHNbRD" xr:uid="{B852EEDC-3BB9-4F97-ABB3-CEDB50019274}"/>
    <hyperlink ref="Q12" r:id="rId502" display="../../../../../../../:b:/r/personal/comunicacionesdiveliv_educacionbogota_gov_co/Documents/DIRECCION DE INSPECCION Y VIGILANCIA/DIV POAIV/POAIV 2025/ELIV ANTONIO NARI%C3%91O/PRIORIZADOS/TRIM II/06. Acta de visita Integral - Col. CENCOSISTEMAS.pdf?csf=1&amp;web=1&amp;e=DHNbRD" xr:uid="{D56EAD48-9F69-4F80-A84C-92DF688C0319}"/>
    <hyperlink ref="Q13" r:id="rId503" display="../../../../../../../:b:/r/personal/comunicacionesdiveliv_educacionbogota_gov_co/Documents/DIRECCION DE INSPECCION Y VIGILANCIA/DIV POAIV/POAIV 2025/ELIV ANTONIO NARI%C3%91O/PRIORIZADOS/TRIM II/06. Acta de visita Integral - Col. CENCOSISTEMAS.pdf?csf=1&amp;web=1&amp;e=DHNbRD" xr:uid="{4CDF891F-AE5F-4053-9C32-2EBB242567BD}"/>
    <hyperlink ref="Q14" r:id="rId504" display="../../../../../../../:b:/r/personal/comunicacionesdiveliv_educacionbogota_gov_co/Documents/DIRECCION DE INSPECCION Y VIGILANCIA/DIV POAIV/POAIV 2025/ELIV ANTONIO NARI%C3%91O/PRIORIZADOS/TRIM II/06. Acta de visita Integral - Col. CENCOSISTEMAS.pdf?csf=1&amp;web=1&amp;e=DHNbRD" xr:uid="{044FBD79-D4D3-41D7-AF3B-D6A3243DECB5}"/>
    <hyperlink ref="Q15" r:id="rId505" display="../../../../../../../:b:/r/personal/comunicacionesdiveliv_educacionbogota_gov_co/Documents/DIRECCION DE INSPECCION Y VIGILANCIA/DIV POAIV/POAIV 2025/ELIV ANTONIO NARI%C3%91O/PRIORIZADOS/TRIM II/06. Acta de visita Integral - Col. CENCOSISTEMAS.pdf?csf=1&amp;web=1&amp;e=DHNbRD" xr:uid="{EA44E8B1-2CEE-4409-A0FC-D0872F54EFF8}"/>
    <hyperlink ref="Q16" r:id="rId506" display="../../../../../../../:b:/r/personal/comunicacionesdiveliv_educacionbogota_gov_co/Documents/DIRECCION DE INSPECCION Y VIGILANCIA/DIV POAIV/POAIV 2025/ELIV ANTONIO NARI%C3%91O/PRIORIZADOS/TRIM II/04. Acta de visita Integral - Col. Ctro Panamericano de Capacitaci%C3%B3n.pdf?csf=1&amp;web=1&amp;e=Obbz7H" xr:uid="{C62E69A7-27D2-4551-B3E7-250F05D0EA26}"/>
    <hyperlink ref="Q17" r:id="rId507" display="../../../../../../../:b:/r/personal/comunicacionesdiveliv_educacionbogota_gov_co/Documents/DIRECCION DE INSPECCION Y VIGILANCIA/DIV POAIV/POAIV 2025/ELIV ANTONIO NARI%C3%91O/PRIORIZADOS/TRIM II/04. Acta de visita Integral - Col. Ctro Panamericano de Capacitaci%C3%B3n.pdf?csf=1&amp;web=1&amp;e=Obbz7H" xr:uid="{AFFDCF49-BE8D-409D-A026-F9A46FB31659}"/>
    <hyperlink ref="Q18" r:id="rId508" display="../../../../../../../:b:/r/personal/comunicacionesdiveliv_educacionbogota_gov_co/Documents/DIRECCION DE INSPECCION Y VIGILANCIA/DIV POAIV/POAIV 2025/ELIV ANTONIO NARI%C3%91O/PRIORIZADOS/TRIM II/04. Acta de visita Integral - Col. Ctro Panamericano de Capacitaci%C3%B3n.pdf?csf=1&amp;web=1&amp;e=Obbz7H" xr:uid="{66A0933B-CC75-40A1-A4B6-96BFEA8A7F82}"/>
    <hyperlink ref="Q19" r:id="rId509" display="../../../../../../../:b:/r/personal/comunicacionesdiveliv_educacionbogota_gov_co/Documents/DIRECCION DE INSPECCION Y VIGILANCIA/DIV POAIV/POAIV 2025/ELIV ANTONIO NARI%C3%91O/PRIORIZADOS/TRIM II/04. Acta de visita Integral - Col. Ctro Panamericano de Capacitaci%C3%B3n.pdf?csf=1&amp;web=1&amp;e=Obbz7H" xr:uid="{B1B970DE-41E7-4FEF-99C0-8372F148D659}"/>
    <hyperlink ref="Q20" r:id="rId510" display="../../../../../../../:b:/r/personal/comunicacionesdiveliv_educacionbogota_gov_co/Documents/DIRECCION DE INSPECCION Y VIGILANCIA/DIV POAIV/POAIV 2025/ELIV ANTONIO NARI%C3%91O/PRIORIZADOS/TRIM II/04. Acta de visita Integral - Col. Ctro Panamericano de Capacitaci%C3%B3n.pdf?csf=1&amp;web=1&amp;e=Obbz7H" xr:uid="{49AE1422-149E-45E0-80F1-05A1788D4DDA}"/>
    <hyperlink ref="Q21" r:id="rId511" display="../../../../../../../:b:/r/personal/comunicacionesdiveliv_educacionbogota_gov_co/Documents/DIRECCION DE INSPECCION Y VIGILANCIA/DIV POAIV/POAIV 2025/ELIV ANTONIO NARI%C3%91O/PRIORIZADOS/TRIM II/04. Acta de visita Integral - Col. Ctro Panamericano de Capacitaci%C3%B3n.pdf?csf=1&amp;web=1&amp;e=Obbz7H" xr:uid="{2178FAB5-C2BE-4729-A824-D183AAFCDB5D}"/>
    <hyperlink ref="Q22" r:id="rId512" display="../../../../../../../:b:/r/personal/comunicacionesdiveliv_educacionbogota_gov_co/Documents/DIRECCION DE INSPECCION Y VIGILANCIA/DIV POAIV/POAIV 2025/ELIV ANTONIO NARI%C3%91O/PRIORIZADOS/TRIM II/04. Acta de visita Integral - Col. Ctro Panamericano de Capacitaci%C3%B3n.pdf?csf=1&amp;web=1&amp;e=Obbz7H" xr:uid="{33787FE4-39C9-4448-B01D-2A7A028EBAFA}"/>
    <hyperlink ref="Q23" r:id="rId513" display="../../../../../../../:b:/r/personal/comunicacionesdiveliv_educacionbogota_gov_co/Documents/DIRECCION DE INSPECCION Y VIGILANCIA/DIV POAIV/POAIV 2025/ELIV ANTONIO NARI%C3%91O/PRIORIZADOS/TRIM II/04. Acta de visita Integral - Col. Ctro Panamericano de Capacitaci%C3%B3n.pdf?csf=1&amp;web=1&amp;e=Obbz7H" xr:uid="{6A51A417-EB5C-4025-82ED-58B3CF7A0738}"/>
    <hyperlink ref="Q24" r:id="rId514" display="../../../../../../../:b:/r/personal/comunicacionesdiveliv_educacionbogota_gov_co/Documents/DIRECCION DE INSPECCION Y VIGILANCIA/DIV POAIV/POAIV 2025/ELIV ANTONIO NARI%C3%91O/PRIORIZADOS/TRIM II/04. Acta de visita Integral - Col. Ctro Panamericano de Capacitaci%C3%B3n.pdf?csf=1&amp;web=1&amp;e=Obbz7H" xr:uid="{45628408-623D-438B-9FE6-EC9069F040B3}"/>
    <hyperlink ref="Q25" r:id="rId515" display="../../../../../../../:b:/r/personal/comunicacionesdiveliv_educacionbogota_gov_co/Documents/DIRECCION DE INSPECCION Y VIGILANCIA/DIV POAIV/POAIV 2025/ELIV ANTONIO NARI%C3%91O/PRIORIZADOS/TRIM I/02. Acta de visita Integral - Liceo Moderno Walt Withman.pdf?csf=1&amp;web=1&amp;e=DqvCkU" xr:uid="{5BF97B6D-8065-44B8-8345-F0909B75DB30}"/>
    <hyperlink ref="Q34" r:id="rId516" display="../../../../../../../:b:/r/personal/comunicacionesdiveliv_educacionbogota_gov_co/Documents/DIRECCION DE INSPECCION Y VIGILANCIA/DIV POAIV/POAIV 2025/ELIV ANTONIO NARI%C3%91O/PRIORIZADOS/TRIM II/03. Acta de visita Integral - COL. COOP MAGISTERIO DE CMARCA.pdf?csf=1&amp;web=1&amp;e=0gYYWb" xr:uid="{9043931F-C616-44E8-B250-3ADEC42E23D9}"/>
    <hyperlink ref="Q35" r:id="rId517" display="../../../../../../../:b:/r/personal/comunicacionesdiveliv_educacionbogota_gov_co/Documents/DIRECCION DE INSPECCION Y VIGILANCIA/DIV POAIV/POAIV 2025/ELIV ANTONIO NARI%C3%91O/PRIORIZADOS/TRIM II/03. Acta de visita Integral - COL. COOP MAGISTERIO DE CMARCA.pdf?csf=1&amp;web=1&amp;e=0gYYWb" xr:uid="{E0E216B5-CBFB-4B01-B2CC-AB7A18B3042B}"/>
    <hyperlink ref="Q36" r:id="rId518" display="../../../../../../../:b:/r/personal/comunicacionesdiveliv_educacionbogota_gov_co/Documents/DIRECCION DE INSPECCION Y VIGILANCIA/DIV POAIV/POAIV 2025/ELIV ANTONIO NARI%C3%91O/PRIORIZADOS/TRIM II/03. Acta de visita Integral - COL. COOP MAGISTERIO DE CMARCA.pdf?csf=1&amp;web=1&amp;e=0gYYWb" xr:uid="{3FD52AA5-26CE-49C7-A211-4F03D34AD033}"/>
    <hyperlink ref="Q37" r:id="rId519" display="../../../../../../../:b:/r/personal/comunicacionesdiveliv_educacionbogota_gov_co/Documents/DIRECCION DE INSPECCION Y VIGILANCIA/DIV POAIV/POAIV 2025/ELIV ANTONIO NARI%C3%91O/PRIORIZADOS/TRIM II/03. Acta de visita Integral - COL. COOP MAGISTERIO DE CMARCA.pdf?csf=1&amp;web=1&amp;e=0gYYWb" xr:uid="{C5C7EB57-576C-4B46-9F6A-B09ADA911F1E}"/>
    <hyperlink ref="Q38" r:id="rId520" display="../../../../../../../:b:/r/personal/comunicacionesdiveliv_educacionbogota_gov_co/Documents/DIRECCION DE INSPECCION Y VIGILANCIA/DIV POAIV/POAIV 2025/ELIV ANTONIO NARI%C3%91O/PRIORIZADOS/TRIM II/03. Acta de visita Integral - COL. COOP MAGISTERIO DE CMARCA.pdf?csf=1&amp;web=1&amp;e=0gYYWb" xr:uid="{A276A34E-ECF0-40B4-92C0-2EDBAEC42690}"/>
    <hyperlink ref="Q39" r:id="rId521" display="../../../../../../../:b:/r/personal/comunicacionesdiveliv_educacionbogota_gov_co/Documents/DIRECCION DE INSPECCION Y VIGILANCIA/DIV POAIV/POAIV 2025/ELIV ANTONIO NARI%C3%91O/PRIORIZADOS/TRIM II/03. Acta de visita Integral - COL. COOP MAGISTERIO DE CMARCA.pdf?csf=1&amp;web=1&amp;e=0gYYWb" xr:uid="{CB36BEBE-6CB6-439A-9F8B-6817A7A64555}"/>
    <hyperlink ref="Q40" r:id="rId522" display="../../../../../../../:b:/r/personal/comunicacionesdiveliv_educacionbogota_gov_co/Documents/DIRECCION DE INSPECCION Y VIGILANCIA/DIV POAIV/POAIV 2025/ELIV ANTONIO NARI%C3%91O/PRIORIZADOS/TRIM II/03. Acta de visita Integral - COL. COOP MAGISTERIO DE CMARCA.pdf?csf=1&amp;web=1&amp;e=0gYYWb" xr:uid="{298D65CF-780E-426E-9B39-C55C53B49373}"/>
    <hyperlink ref="Q41" r:id="rId523" display="../../../../../../../:b:/r/personal/comunicacionesdiveliv_educacionbogota_gov_co/Documents/DIRECCION DE INSPECCION Y VIGILANCIA/DIV POAIV/POAIV 2025/ELIV ANTONIO NARI%C3%91O/PRIORIZADOS/TRIM II/03. Acta de visita Integral - COL. COOP MAGISTERIO DE CMARCA.pdf?csf=1&amp;web=1&amp;e=0gYYWb" xr:uid="{F343B71E-85AF-4F35-B453-05498D68B0C5}"/>
    <hyperlink ref="Q42" r:id="rId524" display="../../../../../../../:b:/r/personal/comunicacionesdiveliv_educacionbogota_gov_co/Documents/DIRECCION DE INSPECCION Y VIGILANCIA/DIV POAIV/POAIV 2025/ELIV ANTONIO NARI%C3%91O/PRIORIZADOS/TRIM II/03. Acta de visita Integral - COL. COOP MAGISTERIO DE CMARCA.pdf?csf=1&amp;web=1&amp;e=0gYYWb" xr:uid="{C892D523-B757-42BD-A7D1-A8B2CA076D7D}"/>
    <hyperlink ref="Q43" r:id="rId525" display="../../../../../../../:b:/r/personal/comunicacionesdiveliv_educacionbogota_gov_co/Documents/DIRECCION DE INSPECCION Y VIGILANCIA/DIV POAIV/POAIV 2025/ELIV ANTONIO NARI%C3%91O/PRIORIZADOS/TRIM II/11. Acta de visita Integral - Col. Parroquial Ntra Sra de la Valvanera.pdf?csf=1&amp;web=1&amp;e=o8ce2I" xr:uid="{D3EFE819-86BB-4E33-A8FB-FF88B91201CF}"/>
    <hyperlink ref="Q44" r:id="rId526" display="../../../../../../../:b:/r/personal/comunicacionesdiveliv_educacionbogota_gov_co/Documents/DIRECCION DE INSPECCION Y VIGILANCIA/DIV POAIV/POAIV 2025/ELIV ANTONIO NARI%C3%91O/PRIORIZADOS/TRIM II/11. Acta de visita Integral - Col. Parroquial Ntra Sra de la Valvanera.pdf?csf=1&amp;web=1&amp;e=o8ce2I" xr:uid="{033CB459-A069-415D-92EF-41C973B44282}"/>
    <hyperlink ref="Q45" r:id="rId527" display="../../../../../../../:b:/r/personal/comunicacionesdiveliv_educacionbogota_gov_co/Documents/DIRECCION DE INSPECCION Y VIGILANCIA/DIV POAIV/POAIV 2025/ELIV ANTONIO NARI%C3%91O/PRIORIZADOS/TRIM II/11. Acta de visita Integral - Col. Parroquial Ntra Sra de la Valvanera.pdf?csf=1&amp;web=1&amp;e=o8ce2I" xr:uid="{F379ED22-58E7-499C-B5F4-6B771F986383}"/>
    <hyperlink ref="Q46" r:id="rId528" display="../../../../../../../:b:/r/personal/comunicacionesdiveliv_educacionbogota_gov_co/Documents/DIRECCION DE INSPECCION Y VIGILANCIA/DIV POAIV/POAIV 2025/ELIV ANTONIO NARI%C3%91O/PRIORIZADOS/TRIM II/11. Acta de visita Integral - Col. Parroquial Ntra Sra de la Valvanera.pdf?csf=1&amp;web=1&amp;e=o8ce2I" xr:uid="{C0AFBFEC-CF53-4870-A319-F9D753268E8B}"/>
    <hyperlink ref="Q47" r:id="rId529" display="../../../../../../../:b:/r/personal/comunicacionesdiveliv_educacionbogota_gov_co/Documents/DIRECCION DE INSPECCION Y VIGILANCIA/DIV POAIV/POAIV 2025/ELIV ANTONIO NARI%C3%91O/PRIORIZADOS/TRIM II/11. Acta de visita Integral - Col. Parroquial Ntra Sra de la Valvanera.pdf?csf=1&amp;web=1&amp;e=o8ce2I" xr:uid="{87CF06B3-097F-4B21-846B-C5281169C6CA}"/>
    <hyperlink ref="Q48" r:id="rId530" display="../../../../../../../:b:/r/personal/comunicacionesdiveliv_educacionbogota_gov_co/Documents/DIRECCION DE INSPECCION Y VIGILANCIA/DIV POAIV/POAIV 2025/ELIV ANTONIO NARI%C3%91O/PRIORIZADOS/TRIM II/11. Acta de visita Integral - Col. Parroquial Ntra Sra de la Valvanera.pdf?csf=1&amp;web=1&amp;e=o8ce2I" xr:uid="{5E7D1F75-ECA6-4ED0-8CC6-656575F7F8B6}"/>
    <hyperlink ref="Q49" r:id="rId531" display="../../../../../../../:b:/r/personal/comunicacionesdiveliv_educacionbogota_gov_co/Documents/DIRECCION DE INSPECCION Y VIGILANCIA/DIV POAIV/POAIV 2025/ELIV ANTONIO NARI%C3%91O/PRIORIZADOS/TRIM II/11. Acta de visita Integral - Col. Parroquial Ntra Sra de la Valvanera.pdf?csf=1&amp;web=1&amp;e=o8ce2I" xr:uid="{88917C90-9808-4501-9E31-3135450EE83E}"/>
    <hyperlink ref="Q50" r:id="rId532" display="../../../../../../../:b:/r/personal/comunicacionesdiveliv_educacionbogota_gov_co/Documents/DIRECCION DE INSPECCION Y VIGILANCIA/DIV POAIV/POAIV 2025/ELIV ANTONIO NARI%C3%91O/PRIORIZADOS/TRIM II/11. Acta de visita Integral - Col. Parroquial Ntra Sra de la Valvanera.pdf?csf=1&amp;web=1&amp;e=o8ce2I" xr:uid="{E460D74A-7403-4568-9DED-57CFE884376F}"/>
    <hyperlink ref="Q51" r:id="rId533" display="../../../../../../../:b:/r/personal/comunicacionesdiveliv_educacionbogota_gov_co/Documents/DIRECCION DE INSPECCION Y VIGILANCIA/DIV POAIV/POAIV 2025/ELIV ANTONIO NARI%C3%91O/PRIORIZADOS/TRIM II/11. Acta de visita Integral - Col. Parroquial Ntra Sra de la Valvanera.pdf?csf=1&amp;web=1&amp;e=o8ce2I" xr:uid="{B8B0BED4-F268-4801-94E7-5A2B2CD670AE}"/>
    <hyperlink ref="Q52" r:id="rId534" display="../../../../../../../:b:/r/personal/comunicacionesdiveliv_educacionbogota_gov_co/Documents/DIRECCION DE INSPECCION Y VIGILANCIA/DIV POAIV/POAIV 2025/ELIV ANTONIO NARI%C3%91O/PRIORIZADOS/TRIM II/13. Acta Col Cristo Rey del Sur.pdf?csf=1&amp;web=1&amp;e=8N5yyZ" xr:uid="{6E16B426-2E25-47C9-95A1-7FC8A5A1BC4E}"/>
    <hyperlink ref="Q53" r:id="rId535" display="../../../../../../../:b:/r/personal/comunicacionesdiveliv_educacionbogota_gov_co/Documents/DIRECCION DE INSPECCION Y VIGILANCIA/DIV POAIV/POAIV 2025/ELIV ANTONIO NARI%C3%91O/PRIORIZADOS/TRIM II/13. Acta Col Cristo Rey del Sur.pdf?csf=1&amp;web=1&amp;e=8N5yyZ" xr:uid="{5DDB2E79-7D0F-4586-BC26-259017597F47}"/>
    <hyperlink ref="Q54" r:id="rId536" display="../../../../../../../:b:/r/personal/comunicacionesdiveliv_educacionbogota_gov_co/Documents/DIRECCION DE INSPECCION Y VIGILANCIA/DIV POAIV/POAIV 2025/ELIV ANTONIO NARI%C3%91O/PRIORIZADOS/TRIM II/13. Acta Col Cristo Rey del Sur.pdf?csf=1&amp;web=1&amp;e=8N5yyZ" xr:uid="{9B6ACEB8-FE1D-40DB-AE49-D0C1416C5C7C}"/>
    <hyperlink ref="Q55" r:id="rId537" display="../../../../../../../:b:/r/personal/comunicacionesdiveliv_educacionbogota_gov_co/Documents/DIRECCION DE INSPECCION Y VIGILANCIA/DIV POAIV/POAIV 2025/ELIV ANTONIO NARI%C3%91O/PRIORIZADOS/TRIM II/13. Acta Col Cristo Rey del Sur.pdf?csf=1&amp;web=1&amp;e=8N5yyZ" xr:uid="{A45522C5-BBDA-44E2-894E-30AFC59433F5}"/>
    <hyperlink ref="Q56" r:id="rId538" display="../../../../../../../:b:/r/personal/comunicacionesdiveliv_educacionbogota_gov_co/Documents/DIRECCION DE INSPECCION Y VIGILANCIA/DIV POAIV/POAIV 2025/ELIV ANTONIO NARI%C3%91O/PRIORIZADOS/TRIM II/13. Acta Col Cristo Rey del Sur.pdf?csf=1&amp;web=1&amp;e=8N5yyZ" xr:uid="{0336EF5B-1A35-400F-82F0-98AC5330034E}"/>
    <hyperlink ref="Q57" r:id="rId539" display="../../../../../../../:b:/r/personal/comunicacionesdiveliv_educacionbogota_gov_co/Documents/DIRECCION DE INSPECCION Y VIGILANCIA/DIV POAIV/POAIV 2025/ELIV ANTONIO NARI%C3%91O/PRIORIZADOS/TRIM II/13. Acta Col Cristo Rey del Sur.pdf?csf=1&amp;web=1&amp;e=8N5yyZ" xr:uid="{BF2EAF76-C6F9-41CD-870A-55D5C48B8F2B}"/>
    <hyperlink ref="Q58" r:id="rId540" display="../../../../../../../:b:/r/personal/comunicacionesdiveliv_educacionbogota_gov_co/Documents/DIRECCION DE INSPECCION Y VIGILANCIA/DIV POAIV/POAIV 2025/ELIV ANTONIO NARI%C3%91O/PRIORIZADOS/TRIM II/13. Acta Col Cristo Rey del Sur.pdf?csf=1&amp;web=1&amp;e=8N5yyZ" xr:uid="{E7ECE33E-57B7-45C9-8EA3-8AE8C3C637A5}"/>
    <hyperlink ref="Q59" r:id="rId541" display="../../../../../../../:b:/r/personal/comunicacionesdiveliv_educacionbogota_gov_co/Documents/DIRECCION DE INSPECCION Y VIGILANCIA/DIV POAIV/POAIV 2025/ELIV ANTONIO NARI%C3%91O/PRIORIZADOS/TRIM II/13. Acta Col Cristo Rey del Sur.pdf?csf=1&amp;web=1&amp;e=8N5yyZ" xr:uid="{8374B0D8-0E04-4F57-A008-421945608E68}"/>
    <hyperlink ref="Q61" r:id="rId542" display="../../../../../../../:b:/r/personal/comunicacionesdiveliv_educacionbogota_gov_co/Documents/DIRECCION DE INSPECCION Y VIGILANCIA/DIV POAIV/POAIV 2025/ELIV ANTONIO NARI%C3%91O/PRIORIZADOS/TRIM II/08. Acta de visita Integral - COLEGIO EDUARDO.pdf?csf=1&amp;web=1&amp;e=rxyaIx" xr:uid="{2CD2D39D-66D1-4C5E-98AD-8913382F27AB}"/>
    <hyperlink ref="Q62" r:id="rId543" display="../../../../../../../:b:/r/personal/comunicacionesdiveliv_educacionbogota_gov_co/Documents/DIRECCION DE INSPECCION Y VIGILANCIA/DIV POAIV/POAIV 2025/ELIV ANTONIO NARI%C3%91O/PRIORIZADOS/TRIM II/08. Acta de visita Integral - COLEGIO EDUARDO.pdf?csf=1&amp;web=1&amp;e=rxyaIx" xr:uid="{54549356-BB72-43C7-92D9-EC76BACD79A1}"/>
    <hyperlink ref="Q63" r:id="rId544" display="../../../../../../../:b:/r/personal/comunicacionesdiveliv_educacionbogota_gov_co/Documents/DIRECCION DE INSPECCION Y VIGILANCIA/DIV POAIV/POAIV 2025/ELIV ANTONIO NARI%C3%91O/PRIORIZADOS/TRIM II/08. Acta de visita Integral - COLEGIO EDUARDO.pdf?csf=1&amp;web=1&amp;e=rxyaIx" xr:uid="{52F2C24C-5D02-47EE-A4A0-E4F2560978C9}"/>
    <hyperlink ref="Q64" r:id="rId545" display="../../../../../../../:b:/r/personal/comunicacionesdiveliv_educacionbogota_gov_co/Documents/DIRECCION DE INSPECCION Y VIGILANCIA/DIV POAIV/POAIV 2025/ELIV ANTONIO NARI%C3%91O/PRIORIZADOS/TRIM II/08. Acta de visita Integral - COLEGIO EDUARDO.pdf?csf=1&amp;web=1&amp;e=rxyaIx" xr:uid="{94622DFE-6B99-4AED-AE5B-CBB95C824AB7}"/>
    <hyperlink ref="Q65" r:id="rId546" display="../../../../../../../:b:/r/personal/comunicacionesdiveliv_educacionbogota_gov_co/Documents/DIRECCION DE INSPECCION Y VIGILANCIA/DIV POAIV/POAIV 2025/ELIV ANTONIO NARI%C3%91O/PRIORIZADOS/TRIM II/08. Acta de visita Integral - COLEGIO EDUARDO.pdf?csf=1&amp;web=1&amp;e=rxyaIx" xr:uid="{51621683-200A-4283-9047-3F531AFB647A}"/>
    <hyperlink ref="Q66" r:id="rId547" display="../../../../../../../:b:/r/personal/comunicacionesdiveliv_educacionbogota_gov_co/Documents/DIRECCION DE INSPECCION Y VIGILANCIA/DIV POAIV/POAIV 2025/ELIV ANTONIO NARI%C3%91O/PRIORIZADOS/TRIM II/08. Acta de visita Integral - COLEGIO EDUARDO.pdf?csf=1&amp;web=1&amp;e=rxyaIx" xr:uid="{116FD3D6-B5A3-4713-B112-DF89DFCFA4BF}"/>
    <hyperlink ref="Q67" r:id="rId548" display="../../../../../../../:b:/r/personal/comunicacionesdiveliv_educacionbogota_gov_co/Documents/DIRECCION DE INSPECCION Y VIGILANCIA/DIV POAIV/POAIV 2025/ELIV ANTONIO NARI%C3%91O/PRIORIZADOS/TRIM II/08. Acta de visita Integral - COLEGIO EDUARDO.pdf?csf=1&amp;web=1&amp;e=rxyaIx" xr:uid="{639C515B-B6F3-43AD-AAED-D37DF2959095}"/>
    <hyperlink ref="Q70" r:id="rId549" display="../../../../../../../:b:/r/personal/comunicacionesdiveliv_educacionbogota_gov_co/Documents/DIRECCION DE INSPECCION Y VIGILANCIA/DIV POAIV/POAIV 2025/ELIV ANTONIO NARI%C3%91O/PRIORIZADOS/TRIM II/09. Acta de visita Integral - INSTITUTO BOGOTA.pdf?csf=1&amp;web=1&amp;e=hCLehH" xr:uid="{CA8D11C8-ED43-45D9-B937-620BB3C8C239}"/>
    <hyperlink ref="Q71" r:id="rId550" display="../../../../../../../:b:/r/personal/comunicacionesdiveliv_educacionbogota_gov_co/Documents/DIRECCION DE INSPECCION Y VIGILANCIA/DIV POAIV/POAIV 2025/ELIV ANTONIO NARI%C3%91O/PRIORIZADOS/TRIM II/09. Acta de visita Integral - INSTITUTO BOGOTA.pdf?csf=1&amp;web=1&amp;e=hCLehH" xr:uid="{7668FD1F-7BD6-4A0B-9B4C-AA84E3E378B4}"/>
    <hyperlink ref="Q72" r:id="rId551" display="../../../../../../../:b:/r/personal/comunicacionesdiveliv_educacionbogota_gov_co/Documents/DIRECCION DE INSPECCION Y VIGILANCIA/DIV POAIV/POAIV 2025/ELIV ANTONIO NARI%C3%91O/PRIORIZADOS/TRIM II/09. Acta de visita Integral - INSTITUTO BOGOTA.pdf?csf=1&amp;web=1&amp;e=hCLehH" xr:uid="{3FA6CE05-3798-4814-8080-6A281E87703C}"/>
    <hyperlink ref="Q73" r:id="rId552" display="../../../../../../../:b:/r/personal/comunicacionesdiveliv_educacionbogota_gov_co/Documents/DIRECCION DE INSPECCION Y VIGILANCIA/DIV POAIV/POAIV 2025/ELIV ANTONIO NARI%C3%91O/PRIORIZADOS/TRIM II/09. Acta de visita Integral - INSTITUTO BOGOTA.pdf?csf=1&amp;web=1&amp;e=hCLehH" xr:uid="{0779FF6A-FB4C-420D-81AD-B2CE7A18EF1D}"/>
    <hyperlink ref="Q74" r:id="rId553" display="../../../../../../../:b:/r/personal/comunicacionesdiveliv_educacionbogota_gov_co/Documents/DIRECCION DE INSPECCION Y VIGILANCIA/DIV POAIV/POAIV 2025/ELIV ANTONIO NARI%C3%91O/PRIORIZADOS/TRIM II/09. Acta de visita Integral - INSTITUTO BOGOTA.pdf?csf=1&amp;web=1&amp;e=hCLehH" xr:uid="{3A570A89-64CC-4F68-AA98-F04DD06CFE5B}"/>
    <hyperlink ref="Q75" r:id="rId554" display="../../../../../../../:b:/r/personal/comunicacionesdiveliv_educacionbogota_gov_co/Documents/DIRECCION DE INSPECCION Y VIGILANCIA/DIV POAIV/POAIV 2025/ELIV ANTONIO NARI%C3%91O/PRIORIZADOS/TRIM II/09. Acta de visita Integral - INSTITUTO BOGOTA.pdf?csf=1&amp;web=1&amp;e=hCLehH" xr:uid="{B287C7A0-42DE-4B07-A52D-B1261D1C6B51}"/>
    <hyperlink ref="Q79" r:id="rId555" display="../../../../../../../:b:/r/personal/comunicacionesdiveliv_educacionbogota_gov_co/Documents/DIRECCION DE INSPECCION Y VIGILANCIA/DIV POAIV/POAIV 2025/ELIV ANTONIO NARI%C3%91O/PRIORIZADOS/TRIM II/10. Acta Inst. Julio Maria Matovelle.pdf?csf=1&amp;web=1&amp;e=moXQ26" xr:uid="{37CC4EEA-7D38-46B5-85D5-9E180F57652E}"/>
    <hyperlink ref="Q80" r:id="rId556" display="../../../../../../../:b:/r/personal/comunicacionesdiveliv_educacionbogota_gov_co/Documents/DIRECCION DE INSPECCION Y VIGILANCIA/DIV POAIV/POAIV 2025/ELIV ANTONIO NARI%C3%91O/PRIORIZADOS/TRIM II/10. Acta Inst. Julio Maria Matovelle.pdf?csf=1&amp;web=1&amp;e=moXQ26" xr:uid="{2867EDA6-D378-4CA0-BD78-86279B7832B8}"/>
    <hyperlink ref="Q81" r:id="rId557" display="../../../../../../../:b:/r/personal/comunicacionesdiveliv_educacionbogota_gov_co/Documents/DIRECCION DE INSPECCION Y VIGILANCIA/DIV POAIV/POAIV 2025/ELIV ANTONIO NARI%C3%91O/PRIORIZADOS/TRIM II/10. Acta Inst. Julio Maria Matovelle.pdf?csf=1&amp;web=1&amp;e=moXQ26" xr:uid="{5EB5D873-B831-479F-B68B-4187033D5542}"/>
    <hyperlink ref="Q82" r:id="rId558" display="../../../../../../../:b:/r/personal/comunicacionesdiveliv_educacionbogota_gov_co/Documents/DIRECCION DE INSPECCION Y VIGILANCIA/DIV POAIV/POAIV 2025/ELIV ANTONIO NARI%C3%91O/PRIORIZADOS/TRIM II/10. Acta Inst. Julio Maria Matovelle.pdf?csf=1&amp;web=1&amp;e=moXQ26" xr:uid="{570F0103-8080-4FE2-BEA6-26D50C78BAC2}"/>
    <hyperlink ref="Q83" r:id="rId559" display="../../../../../../../:b:/r/personal/comunicacionesdiveliv_educacionbogota_gov_co/Documents/DIRECCION DE INSPECCION Y VIGILANCIA/DIV POAIV/POAIV 2025/ELIV ANTONIO NARI%C3%91O/PRIORIZADOS/TRIM II/10. Acta Inst. Julio Maria Matovelle.pdf?csf=1&amp;web=1&amp;e=moXQ26" xr:uid="{67F9618C-702D-46C6-B2A2-CEF99EE39EC0}"/>
    <hyperlink ref="Q88" r:id="rId560" display="../../../../../../../:b:/r/personal/comunicacionesdiveliv_educacionbogota_gov_co/Documents/DIRECCION DE INSPECCION Y VIGILANCIA/DIV POAIV/POAIV 2025/ELIV ANTONIO NARI%C3%91O/PRIORIZADOS/TRIM II/12. Acta Centro Educativo CE Ntra Sra de la Paz.pdf?csf=1&amp;web=1&amp;e=jfyGbn" xr:uid="{D06C61F4-0F42-4F14-BD4A-1AEC5EF04D25}"/>
    <hyperlink ref="Q89" r:id="rId561" display="../../../../../../../:b:/r/personal/comunicacionesdiveliv_educacionbogota_gov_co/Documents/DIRECCION DE INSPECCION Y VIGILANCIA/DIV POAIV/POAIV 2025/ELIV ANTONIO NARI%C3%91O/PRIORIZADOS/TRIM II/12. Acta Centro Educativo CE Ntra Sra de la Paz.pdf?csf=1&amp;web=1&amp;e=jfyGbn" xr:uid="{F3D387FC-E569-4CE3-BADB-A2346E856871}"/>
    <hyperlink ref="Q90" r:id="rId562" display="../../../../../../../:b:/r/personal/comunicacionesdiveliv_educacionbogota_gov_co/Documents/DIRECCION DE INSPECCION Y VIGILANCIA/DIV POAIV/POAIV 2025/ELIV ANTONIO NARI%C3%91O/PRIORIZADOS/TRIM II/12. Acta Centro Educativo CE Ntra Sra de la Paz.pdf?csf=1&amp;web=1&amp;e=jfyGbn" xr:uid="{99919CE8-B460-4334-932A-1DEFCE47CA9A}"/>
    <hyperlink ref="Q95" r:id="rId563" display="../../../../../../../:b:/r/personal/comunicacionesdiveliv_educacionbogota_gov_co/Documents/DIRECCION DE INSPECCION Y VIGILANCIA/DIV POAIV/POAIV 2025/ELIV ANTONIO NARI%C3%91O/PRIORIZADOS/TRIM II/16. Acta Col Francisco de Paula Santander (IED)_signed.pdf?csf=1&amp;web=1&amp;e=W9nNCW" xr:uid="{1EEF6BFF-B29D-4AFF-852E-ACF653E09D3B}"/>
    <hyperlink ref="Q96" r:id="rId564" display="../../../../../../../:b:/r/personal/comunicacionesdiveliv_educacionbogota_gov_co/Documents/DIRECCION DE INSPECCION Y VIGILANCIA/DIV POAIV/POAIV 2025/ELIV ANTONIO NARI%C3%91O/PRIORIZADOS/TRIM II/16. Acta Col Francisco de Paula Santander (IED)_signed.pdf?csf=1&amp;web=1&amp;e=W9nNCW" xr:uid="{A5105785-23C2-44DB-9168-940D8A695272}"/>
    <hyperlink ref="Q97" r:id="rId565" display="../../../../../../../:b:/r/personal/comunicacionesdiveliv_educacionbogota_gov_co/Documents/DIRECCION DE INSPECCION Y VIGILANCIA/DIV POAIV/POAIV 2025/ELIV ANTONIO NARI%C3%91O/PRIORIZADOS/TRIM II/16. Acta Col Francisco de Paula Santander (IED)_signed.pdf?csf=1&amp;web=1&amp;e=W9nNCW" xr:uid="{0DF26B35-562A-4BDD-B473-8ED8507CC850}"/>
    <hyperlink ref="Q98" r:id="rId566" display="../../../../../../../:b:/r/personal/comunicacionesdiveliv_educacionbogota_gov_co/Documents/DIRECCION DE INSPECCION Y VIGILANCIA/DIV POAIV/POAIV 2025/ELIV ANTONIO NARI%C3%91O/PRIORIZADOS/TRIM II/16. Acta Col Francisco de Paula Santander (IED)_signed.pdf?csf=1&amp;web=1&amp;e=W9nNCW" xr:uid="{8BC1BAF8-AA07-44CE-8BE7-39C2C003B0BE}"/>
    <hyperlink ref="Q103" r:id="rId567" display="../../../../../../../:b:/r/personal/comunicacionesdiveliv_educacionbogota_gov_co/Documents/DIRECCION DE INSPECCION Y VIGILANCIA/DIV POAIV/POAIV 2025/ELIV ANTONIO NARI%C3%91O/PRIORIZADOS/TRIM II/15. Acta Col. Guillermo Le%C3%B3n Valencia IED.pdf?csf=1&amp;web=1&amp;e=VMKPfa" xr:uid="{746F78FE-EA47-449B-A007-4190CB5B7303}"/>
    <hyperlink ref="Q104" r:id="rId568" display="../../../../../../../:b:/r/personal/comunicacionesdiveliv_educacionbogota_gov_co/Documents/DIRECCION DE INSPECCION Y VIGILANCIA/DIV POAIV/POAIV 2025/ELIV ANTONIO NARI%C3%91O/PRIORIZADOS/TRIM II/15. Acta Col. Guillermo Le%C3%B3n Valencia IED.pdf?csf=1&amp;web=1&amp;e=VMKPfa" xr:uid="{8D06294E-19C6-447B-8950-5AF0A73470FC}"/>
    <hyperlink ref="Q109" r:id="rId569" display="../../../../../../../:b:/r/personal/comunicacionesdiveliv_educacionbogota_gov_co/Documents/DIRECCION DE INSPECCION Y VIGILANCIA/DIV POAIV/POAIV 2025/ELIV ANTONIO NARI%C3%91O/PRIORIZADOS/TRIM II/14. Acta de visita Integral - COLEGIO ENSDM Montessori IED.pdf?csf=1&amp;web=1&amp;e=RczWEm" xr:uid="{3D4F822F-D0ED-4900-B265-E7C8186C9C5F}"/>
    <hyperlink ref="Q115" r:id="rId570" display="../../../../../../../:b:/r/personal/comunicacionesdiveliv_educacionbogota_gov_co/Documents/DIRECCION DE INSPECCION Y VIGILANCIA/DIV POAIV/POAIV 2025/ELIV ANTONIO NARI%C3%91O/PRIORIZADOS/TRIM I/01. Acta de visita Integral - Colegio Integral San Jorge Central.pdf?csf=1&amp;web=1&amp;e=kiC5Wq" xr:uid="{2CC659A5-BEAD-428B-AA8A-5464F7D45292}"/>
    <hyperlink ref="Q116" r:id="rId571" display="../../../../../../../:b:/r/personal/comunicacionesdiveliv_educacionbogota_gov_co/Documents/DIRECCION DE INSPECCION Y VIGILANCIA/DIV POAIV/POAIV 2025/ELIV ANTONIO NARI%C3%91O/PRIORIZADOS/TRIM I/01. Acta de visita Integral - Colegio Integral San Jorge Central.pdf?csf=1&amp;web=1&amp;e=kiC5Wq" xr:uid="{B684310E-7B5B-49FB-B383-EC881C792262}"/>
    <hyperlink ref="Q117" r:id="rId572" display="../../../../../../../:b:/r/personal/comunicacionesdiveliv_educacionbogota_gov_co/Documents/DIRECCION DE INSPECCION Y VIGILANCIA/DIV POAIV/POAIV 2025/ELIV ANTONIO NARI%C3%91O/PRIORIZADOS/TRIM I/01. Acta de visita Integral - Colegio Integral San Jorge Central.pdf?csf=1&amp;web=1&amp;e=kiC5Wq" xr:uid="{7C3A4C4C-5BA2-4548-A567-2A88A2F5310A}"/>
    <hyperlink ref="Q118" r:id="rId573" display="../../../../../../../:b:/r/personal/comunicacionesdiveliv_educacionbogota_gov_co/Documents/DIRECCION DE INSPECCION Y VIGILANCIA/DIV POAIV/POAIV 2025/ELIV ANTONIO NARI%C3%91O/PRIORIZADOS/TRIM I/01. Acta de visita Integral - Colegio Integral San Jorge Central.pdf?csf=1&amp;web=1&amp;e=kiC5Wq" xr:uid="{EB3D3C7A-44A6-4F53-B39F-77823CF1A358}"/>
    <hyperlink ref="Q119" r:id="rId574" display="../../../../../../../:b:/r/personal/comunicacionesdiveliv_educacionbogota_gov_co/Documents/DIRECCION DE INSPECCION Y VIGILANCIA/DIV POAIV/POAIV 2025/ELIV ANTONIO NARI%C3%91O/PRIORIZADOS/TRIM I/01. Acta de visita Integral - Colegio Integral San Jorge Central.pdf?csf=1&amp;web=1&amp;e=kiC5Wq" xr:uid="{0F166664-DD31-4C37-9C77-4948C1078D1B}"/>
    <hyperlink ref="Q1030" r:id="rId575" display="../../../../../../../:b:/r/personal/comunicacionesdiveliv_educacionbogota_gov_co/Documents/DIRECCION DE INSPECCION Y VIGILANCIA/DIV POAIV/POAIV 2025/ELIV KENNEDY/PRIORIZADOS/TRIM II/ACTA DE VISITA COLEGIO ROBERT HOOKE.pdf?csf=1&amp;web=1&amp;e=HJMilf" xr:uid="{4928F658-D3AE-4650-B3CA-6735BF67AB13}"/>
    <hyperlink ref="Q1031" r:id="rId576" display="../../../../../../../:b:/r/personal/comunicacionesdiveliv_educacionbogota_gov_co/Documents/DIRECCION DE INSPECCION Y VIGILANCIA/DIV POAIV/POAIV 2025/ELIV KENNEDY/PRIORIZADOS/TRIM II/ACTA DE VISITA COLEGIO ROBERT HOOKE.pdf?csf=1&amp;web=1&amp;e=HJMilf" xr:uid="{052E4801-A0E1-4AFB-B62F-A4A5A36B4E66}"/>
    <hyperlink ref="Q1032" r:id="rId577" display="../../../../../../../:b:/r/personal/comunicacionesdiveliv_educacionbogota_gov_co/Documents/DIRECCION DE INSPECCION Y VIGILANCIA/DIV POAIV/POAIV 2025/ELIV KENNEDY/PRIORIZADOS/TRIM II/ACTA DE VISITA COLEGIO ROBERT HOOKE.pdf?csf=1&amp;web=1&amp;e=HJMilf" xr:uid="{2D474EE3-7CAF-490A-88A6-A5CEF6B81409}"/>
    <hyperlink ref="Q1033" r:id="rId578" display="../../../../../../../:b:/r/personal/comunicacionesdiveliv_educacionbogota_gov_co/Documents/DIRECCION DE INSPECCION Y VIGILANCIA/DIV POAIV/POAIV 2025/ELIV KENNEDY/PRIORIZADOS/TRIM II/ACTA DE VISITA COLEGIO ROBERT HOOKE.pdf?csf=1&amp;web=1&amp;e=HJMilf" xr:uid="{C3A2F0C1-8655-455F-969D-3B92900B8A95}"/>
    <hyperlink ref="Q1034" r:id="rId579" display="../../../../../../../:b:/r/personal/comunicacionesdiveliv_educacionbogota_gov_co/Documents/DIRECCION DE INSPECCION Y VIGILANCIA/DIV POAIV/POAIV 2025/ELIV KENNEDY/PRIORIZADOS/TRIM II/ACTA DE VISITA COLEGIO ROBERT HOOKE.pdf?csf=1&amp;web=1&amp;e=HJMilf" xr:uid="{0AA8BACE-623B-4CAD-907E-0A14740A9DA0}"/>
    <hyperlink ref="Q1056" r:id="rId580" display="../../../../../../../:b:/r/personal/comunicacionesdiveliv_educacionbogota_gov_co/Documents/DIRECCION DE INSPECCION Y VIGILANCIA/DIV POAIV/POAIV 2025/ELIV KENNEDY/PRIORIZADOS/TRIM I/ACTA VISITA COLEGIO_ATENIENSE.pdf?csf=1&amp;web=1&amp;e=N8Ck5b" xr:uid="{CE9BC7C9-AF6A-4ABB-9D82-B710DB7E82A0}"/>
    <hyperlink ref="Q1055" r:id="rId581" display="../../../../../../../:b:/r/personal/comunicacionesdiveliv_educacionbogota_gov_co/Documents/DIRECCION DE INSPECCION Y VIGILANCIA/DIV POAIV/POAIV 2025/ELIV KENNEDY/PRIORIZADOS/TRIM I/ACTA VISITA COLEGIO_ATENIENSE.pdf?csf=1&amp;web=1&amp;e=N8Ck5b" xr:uid="{7724DB7B-6E64-4D6F-8F99-BB59C701B701}"/>
    <hyperlink ref="Q1054" r:id="rId582" display="../../../../../../../:b:/r/personal/comunicacionesdiveliv_educacionbogota_gov_co/Documents/DIRECCION DE INSPECCION Y VIGILANCIA/DIV POAIV/POAIV 2025/ELIV KENNEDY/PRIORIZADOS/TRIM I/ACTA VISITA COLEGIO_ATENIENSE.pdf?csf=1&amp;web=1&amp;e=N8Ck5b" xr:uid="{E1021856-05DA-4D8E-86C4-7D50428F068A}"/>
    <hyperlink ref="Q1053" r:id="rId583" display="../../../../../../../:b:/r/personal/comunicacionesdiveliv_educacionbogota_gov_co/Documents/DIRECCION DE INSPECCION Y VIGILANCIA/DIV POAIV/POAIV 2025/ELIV KENNEDY/PRIORIZADOS/TRIM I/ACTA VISITA COLEGIO_ATENIENSE.pdf?csf=1&amp;web=1&amp;e=N8Ck5b" xr:uid="{59CBF69A-F726-467B-87D4-4EE8A317B87C}"/>
    <hyperlink ref="Q1060" r:id="rId584" display="../../../../../../../:b:/r/personal/comunicacionesdiveliv_educacionbogota_gov_co/Documents/DIRECCION DE INSPECCION Y VIGILANCIA/DIV POAIV/POAIV 2025/ELIV KENNEDY/PRIORIZADOS/TRIM II/ACTA VISITA COLEGIO BRITANICO.pdf?csf=1&amp;web=1&amp;e=SsIZ94" xr:uid="{A2AB15A7-B478-4548-9C62-869E5E50AC9D}"/>
    <hyperlink ref="Q1059" r:id="rId585" display="../../../../../../../:b:/r/personal/comunicacionesdiveliv_educacionbogota_gov_co/Documents/DIRECCION DE INSPECCION Y VIGILANCIA/DIV POAIV/POAIV 2025/ELIV KENNEDY/PRIORIZADOS/TRIM II/ACTA VISITA COLEGIO BRITANICO.pdf?csf=1&amp;web=1&amp;e=SsIZ94" xr:uid="{E5C8F95F-0A75-4A92-94C3-4ADB91660FDA}"/>
    <hyperlink ref="Q1058" r:id="rId586" display="../../../../../../../:b:/r/personal/comunicacionesdiveliv_educacionbogota_gov_co/Documents/DIRECCION DE INSPECCION Y VIGILANCIA/DIV POAIV/POAIV 2025/ELIV KENNEDY/PRIORIZADOS/TRIM II/ACTA VISITA COLEGIO BRITANICO.pdf?csf=1&amp;web=1&amp;e=SsIZ94" xr:uid="{8CB6C48B-5D91-4308-A061-32BDE35F2B6C}"/>
    <hyperlink ref="Q1057" r:id="rId587" display="../../../../../../../:b:/r/personal/comunicacionesdiveliv_educacionbogota_gov_co/Documents/DIRECCION DE INSPECCION Y VIGILANCIA/DIV POAIV/POAIV 2025/ELIV KENNEDY/PRIORIZADOS/TRIM II/ACTA VISITA COLEGIO BRITANICO.pdf?csf=1&amp;web=1&amp;e=SsIZ94" xr:uid="{AAF36570-F214-421A-B45F-D406DC7F9825}"/>
    <hyperlink ref="Q1064" r:id="rId588" display="../../../../../../../:b:/r/personal/comunicacionesdiveliv_educacionbogota_gov_co/Documents/DIRECCION DE INSPECCION Y VIGILANCIA/DIV POAIV/POAIV 2025/ELIV KENNEDY/PRIORIZADOS/TRIM II/ACTA VISITA COLEGIO CENTRO DE INSTRUCCION SISTEMATIZADA CEIS.pdf?csf=1&amp;web=1&amp;e=Xzzhws" xr:uid="{48E8841A-1530-452D-B901-9787B6F5E9B9}"/>
    <hyperlink ref="Q1063" r:id="rId589" display="../../../../../../../:b:/r/personal/comunicacionesdiveliv_educacionbogota_gov_co/Documents/DIRECCION DE INSPECCION Y VIGILANCIA/DIV POAIV/POAIV 2025/ELIV KENNEDY/PRIORIZADOS/TRIM II/ACTA VISITA COLEGIO CENTRO DE INSTRUCCION SISTEMATIZADA CEIS.pdf?csf=1&amp;web=1&amp;e=Xzzhws" xr:uid="{883F5067-248B-40FA-AC37-319E1CEEF190}"/>
    <hyperlink ref="Q1062" r:id="rId590" display="../../../../../../../:b:/r/personal/comunicacionesdiveliv_educacionbogota_gov_co/Documents/DIRECCION DE INSPECCION Y VIGILANCIA/DIV POAIV/POAIV 2025/ELIV KENNEDY/PRIORIZADOS/TRIM II/ACTA VISITA COLEGIO CENTRO DE INSTRUCCION SISTEMATIZADA CEIS.pdf?csf=1&amp;web=1&amp;e=Xzzhws" xr:uid="{B732FAC3-ECAC-49FB-A5DD-B9C8DC3A61B1}"/>
    <hyperlink ref="Q1061" r:id="rId591" display="../../../../../../../:b:/r/personal/comunicacionesdiveliv_educacionbogota_gov_co/Documents/DIRECCION DE INSPECCION Y VIGILANCIA/DIV POAIV/POAIV 2025/ELIV KENNEDY/PRIORIZADOS/TRIM II/ACTA VISITA COLEGIO CENTRO DE INSTRUCCION SISTEMATIZADA CEIS.pdf?csf=1&amp;web=1&amp;e=Xzzhws" xr:uid="{BE48493B-26D0-4265-B93C-0AE6CAEF1800}"/>
    <hyperlink ref="Q1069" r:id="rId592" display="../../../../../../../:b:/r/personal/comunicacionesdiveliv_educacionbogota_gov_co/Documents/DIRECCION DE INSPECCION Y VIGILANCIA/DIV POAIV/POAIV 2025/ELIV KENNEDY/PRIORIZADOS/TRIM II/ACTA VISITA COLEGIO_CHARLES_BABAGGE.pdf?csf=1&amp;web=1&amp;e=Qhnwfp" xr:uid="{E6B7E4D8-58E4-4452-A22F-AA7515319B9A}"/>
    <hyperlink ref="Q1068" r:id="rId593" display="../../../../../../../:b:/r/personal/comunicacionesdiveliv_educacionbogota_gov_co/Documents/DIRECCION DE INSPECCION Y VIGILANCIA/DIV POAIV/POAIV 2025/ELIV KENNEDY/PRIORIZADOS/TRIM II/ACTA VISITA COLEGIO_CHARLES_BABAGGE.pdf?csf=1&amp;web=1&amp;e=Qhnwfp" xr:uid="{76E6E270-51FF-4A1C-A71A-CD64601C0DB7}"/>
    <hyperlink ref="Q1067" r:id="rId594" display="../../../../../../../:b:/r/personal/comunicacionesdiveliv_educacionbogota_gov_co/Documents/DIRECCION DE INSPECCION Y VIGILANCIA/DIV POAIV/POAIV 2025/ELIV KENNEDY/PRIORIZADOS/TRIM II/ACTA VISITA COLEGIO_CHARLES_BABAGGE.pdf?csf=1&amp;web=1&amp;e=Qhnwfp" xr:uid="{943F06C1-8839-471C-B8CD-A0439FB00772}"/>
    <hyperlink ref="Q1066" r:id="rId595" display="../../../../../../../:b:/r/personal/comunicacionesdiveliv_educacionbogota_gov_co/Documents/DIRECCION DE INSPECCION Y VIGILANCIA/DIV POAIV/POAIV 2025/ELIV KENNEDY/PRIORIZADOS/TRIM II/ACTA VISITA COLEGIO_CHARLES_BABAGGE.pdf?csf=1&amp;web=1&amp;e=Qhnwfp" xr:uid="{B3387B2E-E54A-4B77-8F28-E913A2884F61}"/>
    <hyperlink ref="Q1065" r:id="rId596" display="../../../../../../../:b:/r/personal/comunicacionesdiveliv_educacionbogota_gov_co/Documents/DIRECCION DE INSPECCION Y VIGILANCIA/DIV POAIV/POAIV 2025/ELIV KENNEDY/PRIORIZADOS/TRIM II/ACTA VISITA COLEGIO_CHARLES_BABAGGE.pdf?csf=1&amp;web=1&amp;e=Qhnwfp" xr:uid="{56E4B3C5-7CF3-4E88-9D2C-DF3CEA988109}"/>
    <hyperlink ref="Q1075" r:id="rId597" display="../../../../../../../:b:/r/personal/comunicacionesdiveliv_educacionbogota_gov_co/Documents/DIRECCION DE INSPECCION Y VIGILANCIA/DIV POAIV/POAIV 2025/ELIV KENNEDY/PRIORIZADOS/TRIM II/ACTA VISITA CIUDAD DE CALI.pdf?csf=1&amp;web=1&amp;e=tPsLKr" xr:uid="{95F9F3F4-3375-4393-9A89-3700662252DD}"/>
    <hyperlink ref="Q1074" r:id="rId598" display="../../../../../../../:b:/r/personal/comunicacionesdiveliv_educacionbogota_gov_co/Documents/DIRECCION DE INSPECCION Y VIGILANCIA/DIV POAIV/POAIV 2025/ELIV KENNEDY/PRIORIZADOS/TRIM II/ACTA VISITA CIUDAD DE CALI.pdf?csf=1&amp;web=1&amp;e=tPsLKr" xr:uid="{6F494B4A-3501-440E-91AC-729EDFF297E7}"/>
    <hyperlink ref="Q1073" r:id="rId599" display="../../../../../../../:b:/r/personal/comunicacionesdiveliv_educacionbogota_gov_co/Documents/DIRECCION DE INSPECCION Y VIGILANCIA/DIV POAIV/POAIV 2025/ELIV KENNEDY/PRIORIZADOS/TRIM II/ACTA VISITA CIUDAD DE CALI.pdf?csf=1&amp;web=1&amp;e=tPsLKr" xr:uid="{32255C13-F1BC-4D05-8BB6-6DFB6B2E06B3}"/>
    <hyperlink ref="Q1072" r:id="rId600" display="../../../../../../../:b:/r/personal/comunicacionesdiveliv_educacionbogota_gov_co/Documents/DIRECCION DE INSPECCION Y VIGILANCIA/DIV POAIV/POAIV 2025/ELIV KENNEDY/PRIORIZADOS/TRIM II/ACTA VISITA CIUDAD DE CALI.pdf?csf=1&amp;web=1&amp;e=tPsLKr" xr:uid="{C6D70C46-CA65-44D6-94BC-1771B15894BA}"/>
    <hyperlink ref="Q1071" r:id="rId601" display="../../../../../../../:b:/r/personal/comunicacionesdiveliv_educacionbogota_gov_co/Documents/DIRECCION DE INSPECCION Y VIGILANCIA/DIV POAIV/POAIV 2025/ELIV KENNEDY/PRIORIZADOS/TRIM II/ACTA VISITA CIUDAD DE CALI.pdf?csf=1&amp;web=1&amp;e=tPsLKr" xr:uid="{DACAC4BA-E451-4338-8F46-B10D15B8327D}"/>
    <hyperlink ref="Q1070" r:id="rId602" display="../../../../../../../:b:/r/personal/comunicacionesdiveliv_educacionbogota_gov_co/Documents/DIRECCION DE INSPECCION Y VIGILANCIA/DIV POAIV/POAIV 2025/ELIV KENNEDY/PRIORIZADOS/TRIM II/ACTA VISITA CIUDAD DE CALI.pdf?csf=1&amp;web=1&amp;e=tPsLKr" xr:uid="{7830DF97-6DD6-49C6-8303-6B9AB94F6F6D}"/>
    <hyperlink ref="Q1083" r:id="rId603" display="../../../../../../../:b:/r/personal/comunicacionesdiveliv_educacionbogota_gov_co/Documents/DIRECCION DE INSPECCION Y VIGILANCIA/DIV POAIV/POAIV 2025/ELIV KENNEDY/PRIORIZADOS/TRIM II/ACTA VISITA COLEGIO CIUDAD DE FOMEQUE.pdf?csf=1&amp;web=1&amp;e=3xCjqy" xr:uid="{39AE44D5-7641-4938-ADAC-EFE4D5B94941}"/>
    <hyperlink ref="Q1082" r:id="rId604" display="../../../../../../../:b:/r/personal/comunicacionesdiveliv_educacionbogota_gov_co/Documents/DIRECCION DE INSPECCION Y VIGILANCIA/DIV POAIV/POAIV 2025/ELIV KENNEDY/PRIORIZADOS/TRIM II/ACTA VISITA COLEGIO CIUDAD DE FOMEQUE.pdf?csf=1&amp;web=1&amp;e=3xCjqy" xr:uid="{A04F72A3-2F2E-4929-B7EB-0C762F56CA0C}"/>
    <hyperlink ref="Q1081" r:id="rId605" display="../../../../../../../:b:/r/personal/comunicacionesdiveliv_educacionbogota_gov_co/Documents/DIRECCION DE INSPECCION Y VIGILANCIA/DIV POAIV/POAIV 2025/ELIV KENNEDY/PRIORIZADOS/TRIM II/ACTA VISITA COLEGIO CIUDAD DE FOMEQUE.pdf?csf=1&amp;web=1&amp;e=3xCjqy" xr:uid="{A0EA932F-2C4B-4853-A110-35EE0C1ABFB4}"/>
    <hyperlink ref="Q1080" r:id="rId606" display="../../../../../../../:b:/r/personal/comunicacionesdiveliv_educacionbogota_gov_co/Documents/DIRECCION DE INSPECCION Y VIGILANCIA/DIV POAIV/POAIV 2025/ELIV KENNEDY/PRIORIZADOS/TRIM II/ACTA VISITA COLEGIO CIUDAD DE FOMEQUE.pdf?csf=1&amp;web=1&amp;e=3xCjqy" xr:uid="{562A69BE-4C13-4CE1-9C98-AA48D6E5C121}"/>
    <hyperlink ref="Q1079" r:id="rId607" display="../../../../../../../:b:/r/personal/comunicacionesdiveliv_educacionbogota_gov_co/Documents/DIRECCION DE INSPECCION Y VIGILANCIA/DIV POAIV/POAIV 2025/ELIV KENNEDY/PRIORIZADOS/TRIM II/ACTA VISITA COLEGIO CIUDAD DE FOMEQUE.pdf?csf=1&amp;web=1&amp;e=3xCjqy" xr:uid="{F7F5E9AE-D640-421F-B175-73DF47B3B36C}"/>
    <hyperlink ref="Q1078" r:id="rId608" display="../../../../../../../:b:/r/personal/comunicacionesdiveliv_educacionbogota_gov_co/Documents/DIRECCION DE INSPECCION Y VIGILANCIA/DIV POAIV/POAIV 2025/ELIV KENNEDY/PRIORIZADOS/TRIM II/ACTA VISITA COLEGIO CIUDAD DE FOMEQUE.pdf?csf=1&amp;web=1&amp;e=3xCjqy" xr:uid="{761843A9-D99E-40E8-B639-D0D108E3B387}"/>
    <hyperlink ref="Q1077" r:id="rId609" display="../../../../../../../:b:/r/personal/comunicacionesdiveliv_educacionbogota_gov_co/Documents/DIRECCION DE INSPECCION Y VIGILANCIA/DIV POAIV/POAIV 2025/ELIV KENNEDY/PRIORIZADOS/TRIM II/ACTA VISITA COLEGIO CIUDAD DE FOMEQUE.pdf?csf=1&amp;web=1&amp;e=3xCjqy" xr:uid="{7669A03B-1AA5-4172-85AE-2DBC5050F108}"/>
    <hyperlink ref="Q1076" r:id="rId610" display="../../../../../../../:b:/r/personal/comunicacionesdiveliv_educacionbogota_gov_co/Documents/DIRECCION DE INSPECCION Y VIGILANCIA/DIV POAIV/POAIV 2025/ELIV KENNEDY/PRIORIZADOS/TRIM II/ACTA VISITA COLEGIO CIUDAD DE FOMEQUE.pdf?csf=1&amp;web=1&amp;e=3xCjqy" xr:uid="{705BA154-EDFA-4A38-9C78-AF18641D3B4A}"/>
    <hyperlink ref="Q1087" r:id="rId611" display="../../../../../../../:b:/r/personal/comunicacionesdiveliv_educacionbogota_gov_co/Documents/DIRECCION DE INSPECCION Y VIGILANCIA/DIV POAIV/POAIV 2025/ELIV KENNEDY/PRIORIZADOS/TRIM II/ACTA DE VISITA CIUDAD DE PATIO BONITO.pdf?csf=1&amp;web=1&amp;e=OsFFGq" xr:uid="{C9CFC445-B14B-4668-97E7-A77C0C8B629C}"/>
    <hyperlink ref="Q1086" r:id="rId612" display="../../../../../../../:b:/r/personal/comunicacionesdiveliv_educacionbogota_gov_co/Documents/DIRECCION DE INSPECCION Y VIGILANCIA/DIV POAIV/POAIV 2025/ELIV KENNEDY/PRIORIZADOS/TRIM II/ACTA DE VISITA CIUDAD DE PATIO BONITO.pdf?csf=1&amp;web=1&amp;e=OsFFGq" xr:uid="{9E44903C-A87A-4636-8A10-AE0275E74D06}"/>
    <hyperlink ref="Q1085" r:id="rId613" display="../../../../../../../:b:/r/personal/comunicacionesdiveliv_educacionbogota_gov_co/Documents/DIRECCION DE INSPECCION Y VIGILANCIA/DIV POAIV/POAIV 2025/ELIV KENNEDY/PRIORIZADOS/TRIM II/ACTA DE VISITA CIUDAD DE PATIO BONITO.pdf?csf=1&amp;web=1&amp;e=OsFFGq" xr:uid="{1DC3E9CE-9858-466B-8C25-80C334BDB264}"/>
    <hyperlink ref="Q1084" r:id="rId614" display="../../../../../../../:b:/r/personal/comunicacionesdiveliv_educacionbogota_gov_co/Documents/DIRECCION DE INSPECCION Y VIGILANCIA/DIV POAIV/POAIV 2025/ELIV KENNEDY/PRIORIZADOS/TRIM II/ACTA DE VISITA CIUDAD DE PATIO BONITO.pdf?csf=1&amp;web=1&amp;e=OsFFGq" xr:uid="{4C308117-5D09-4C18-8A80-E38999B184D7}"/>
    <hyperlink ref="Q1093" r:id="rId615" display="../../../../../../../:b:/r/personal/comunicacionesdiveliv_educacionbogota_gov_co/Documents/DIRECCION DE INSPECCION Y VIGILANCIA/DIV POAIV/POAIV 2025/ELIV KENNEDY/PRIORIZADOS/TRIM II/ACTA VISITA COLEGIO INCADE KENNEDY.pdf?csf=1&amp;web=1&amp;e=T14S6b" xr:uid="{F4975C03-E854-4AAA-89F6-93279CAE7C84}"/>
    <hyperlink ref="Q1092" r:id="rId616" display="../../../../../../../:b:/r/personal/comunicacionesdiveliv_educacionbogota_gov_co/Documents/DIRECCION DE INSPECCION Y VIGILANCIA/DIV POAIV/POAIV 2025/ELIV KENNEDY/PRIORIZADOS/TRIM II/ACTA VISITA COLEGIO INCADE KENNEDY.pdf?csf=1&amp;web=1&amp;e=T14S6b" xr:uid="{EDADD9E1-B2CB-433A-88D6-187CF20882A9}"/>
    <hyperlink ref="Q1091" r:id="rId617" display="../../../../../../../:b:/r/personal/comunicacionesdiveliv_educacionbogota_gov_co/Documents/DIRECCION DE INSPECCION Y VIGILANCIA/DIV POAIV/POAIV 2025/ELIV KENNEDY/PRIORIZADOS/TRIM II/ACTA VISITA COLEGIO INCADE KENNEDY.pdf?csf=1&amp;web=1&amp;e=T14S6b" xr:uid="{13C34F84-7EFE-48BD-B664-7C3D4740ACE7}"/>
    <hyperlink ref="Q1090" r:id="rId618" display="../../../../../../../:b:/r/personal/comunicacionesdiveliv_educacionbogota_gov_co/Documents/DIRECCION DE INSPECCION Y VIGILANCIA/DIV POAIV/POAIV 2025/ELIV KENNEDY/PRIORIZADOS/TRIM II/ACTA VISITA COLEGIO INCADE KENNEDY.pdf?csf=1&amp;web=1&amp;e=T14S6b" xr:uid="{29AB2FAC-E1AD-4ED1-ADEB-6F284342F8F7}"/>
    <hyperlink ref="Q1089" r:id="rId619" display="../../../../../../../:b:/r/personal/comunicacionesdiveliv_educacionbogota_gov_co/Documents/DIRECCION DE INSPECCION Y VIGILANCIA/DIV POAIV/POAIV 2025/ELIV KENNEDY/PRIORIZADOS/TRIM II/ACTA VISITA COLEGIO INCADE KENNEDY.pdf?csf=1&amp;web=1&amp;e=T14S6b" xr:uid="{C5FA0130-596D-4A3B-AFA7-A6ABAC9F8A41}"/>
    <hyperlink ref="Q1088" r:id="rId620" display="../../../../../../../:b:/r/personal/comunicacionesdiveliv_educacionbogota_gov_co/Documents/DIRECCION DE INSPECCION Y VIGILANCIA/DIV POAIV/POAIV 2025/ELIV KENNEDY/PRIORIZADOS/TRIM II/ACTA VISITA COLEGIO INCADE KENNEDY.pdf?csf=1&amp;web=1&amp;e=T14S6b" xr:uid="{AB390CF4-75DF-48E9-9342-97D02DF8AFCD}"/>
    <hyperlink ref="Q1097" r:id="rId621" display="../../../../../../../:b:/r/personal/comunicacionesdiveliv_educacionbogota_gov_co/Documents/DIRECCION DE INSPECCION Y VIGILANCIA/DIV POAIV/POAIV 2025/ELIV KENNEDY/PRIORIZADOS/TRIM II/ACTA DE VISITA COLEGIO JAIME QUIJANO.pdf?csf=1&amp;web=1&amp;e=tljaP9" xr:uid="{D9EE6985-3D12-4201-8684-5D8329D43279}"/>
    <hyperlink ref="Q1096" r:id="rId622" display="../../../../../../../:b:/r/personal/comunicacionesdiveliv_educacionbogota_gov_co/Documents/DIRECCION DE INSPECCION Y VIGILANCIA/DIV POAIV/POAIV 2025/ELIV KENNEDY/PRIORIZADOS/TRIM II/ACTA DE VISITA COLEGIO JAIME QUIJANO.pdf?csf=1&amp;web=1&amp;e=tljaP9" xr:uid="{8CD94EB0-C820-4098-9BB3-4B80326CADAB}"/>
    <hyperlink ref="Q1095" r:id="rId623" display="../../../../../../../:b:/r/personal/comunicacionesdiveliv_educacionbogota_gov_co/Documents/DIRECCION DE INSPECCION Y VIGILANCIA/DIV POAIV/POAIV 2025/ELIV KENNEDY/PRIORIZADOS/TRIM II/ACTA DE VISITA COLEGIO JAIME QUIJANO.pdf?csf=1&amp;web=1&amp;e=tljaP9" xr:uid="{7C4E362C-84E7-422E-8E52-62A2307D6DB9}"/>
    <hyperlink ref="Q1094" r:id="rId624" display="../../../../../../../:b:/r/personal/comunicacionesdiveliv_educacionbogota_gov_co/Documents/DIRECCION DE INSPECCION Y VIGILANCIA/DIV POAIV/POAIV 2025/ELIV KENNEDY/PRIORIZADOS/TRIM II/ACTA DE VISITA COLEGIO JAIME QUIJANO.pdf?csf=1&amp;web=1&amp;e=tljaP9" xr:uid="{435AEA29-219D-4F02-9C07-84C018711E0F}"/>
    <hyperlink ref="Q1101" r:id="rId625" display="../../../../../../../:b:/r/personal/comunicacionesdiveliv_educacionbogota_gov_co/Documents/DIRECCION DE INSPECCION Y VIGILANCIA/DIV POAIV/POAIV 2025/ELIV KENNEDY/PRIORIZADOS/TRIM II/ACTA DE VISITA COLEGIO JAZMIN OCCIDENTAL.pdf?csf=1&amp;web=1&amp;e=QuUYDS" xr:uid="{17FE78D6-F696-4357-8DC0-34A5CB02A63A}"/>
    <hyperlink ref="Q1100" r:id="rId626" display="../../../../../../../:b:/r/personal/comunicacionesdiveliv_educacionbogota_gov_co/Documents/DIRECCION DE INSPECCION Y VIGILANCIA/DIV POAIV/POAIV 2025/ELIV KENNEDY/PRIORIZADOS/TRIM II/ACTA DE VISITA COLEGIO JAZMIN OCCIDENTAL.pdf?csf=1&amp;web=1&amp;e=QuUYDS" xr:uid="{13EE2CBD-36CE-4BE6-882A-7706D235DD09}"/>
    <hyperlink ref="Q1099" r:id="rId627" display="../../../../../../../:b:/r/personal/comunicacionesdiveliv_educacionbogota_gov_co/Documents/DIRECCION DE INSPECCION Y VIGILANCIA/DIV POAIV/POAIV 2025/ELIV KENNEDY/PRIORIZADOS/TRIM II/ACTA DE VISITA COLEGIO JAZMIN OCCIDENTAL.pdf?csf=1&amp;web=1&amp;e=QuUYDS" xr:uid="{B4E7FFD6-A244-45A2-B816-8140EDE1DCED}"/>
    <hyperlink ref="Q1098" r:id="rId628" display="../../../../../../../:b:/r/personal/comunicacionesdiveliv_educacionbogota_gov_co/Documents/DIRECCION DE INSPECCION Y VIGILANCIA/DIV POAIV/POAIV 2025/ELIV KENNEDY/PRIORIZADOS/TRIM II/ACTA DE VISITA COLEGIO JAZMIN OCCIDENTAL.pdf?csf=1&amp;web=1&amp;e=QuUYDS" xr:uid="{BB6A36C7-690A-499C-A3AC-3F77C8BFA8C4}"/>
    <hyperlink ref="Q1106" r:id="rId629" display="../../../../../../../:b:/r/personal/comunicacionesdiveliv_educacionbogota_gov_co/Documents/DIRECCION DE INSPECCION Y VIGILANCIA/DIV POAIV/POAIV 2025/ELIV KENNEDY/PRIORIZADOS/TRIM II/ACTA DE VISITA COLEGIO LAZARILLO DE TORMES.pdf?csf=1&amp;web=1&amp;e=xTKGSa" xr:uid="{08B9D8FE-21B5-4CC2-A12D-D4938D6B2941}"/>
    <hyperlink ref="Q1105" r:id="rId630" display="../../../../../../../:b:/r/personal/comunicacionesdiveliv_educacionbogota_gov_co/Documents/DIRECCION DE INSPECCION Y VIGILANCIA/DIV POAIV/POAIV 2025/ELIV KENNEDY/PRIORIZADOS/TRIM II/ACTA DE VISITA COLEGIO LAZARILLO DE TORMES.pdf?csf=1&amp;web=1&amp;e=xTKGSa" xr:uid="{D0919D7F-3BE7-4A92-9D28-2A0F551B1DAE}"/>
    <hyperlink ref="Q1104" r:id="rId631" display="../../../../../../../:b:/r/personal/comunicacionesdiveliv_educacionbogota_gov_co/Documents/DIRECCION DE INSPECCION Y VIGILANCIA/DIV POAIV/POAIV 2025/ELIV KENNEDY/PRIORIZADOS/TRIM II/ACTA DE VISITA COLEGIO LAZARILLO DE TORMES.pdf?csf=1&amp;web=1&amp;e=xTKGSa" xr:uid="{9C22CEEE-4EE0-4AC4-B56B-8340F9264D6D}"/>
    <hyperlink ref="Q1103" r:id="rId632" display="../../../../../../../:b:/r/personal/comunicacionesdiveliv_educacionbogota_gov_co/Documents/DIRECCION DE INSPECCION Y VIGILANCIA/DIV POAIV/POAIV 2025/ELIV KENNEDY/PRIORIZADOS/TRIM II/ACTA DE VISITA COLEGIO LAZARILLO DE TORMES.pdf?csf=1&amp;web=1&amp;e=xTKGSa" xr:uid="{6B65F30F-0EA9-4DD2-B924-D3E93E8FD768}"/>
    <hyperlink ref="Q1102" r:id="rId633" display="../../../../../../../:b:/r/personal/comunicacionesdiveliv_educacionbogota_gov_co/Documents/DIRECCION DE INSPECCION Y VIGILANCIA/DIV POAIV/POAIV 2025/ELIV KENNEDY/PRIORIZADOS/TRIM II/ACTA DE VISITA COLEGIO LAZARILLO DE TORMES.pdf?csf=1&amp;web=1&amp;e=xTKGSa" xr:uid="{64DB0E4B-132A-4AFE-BB68-8BBB6F25A6DC}"/>
    <hyperlink ref="Q1110" r:id="rId634" display="../../../../../../../:b:/r/personal/comunicacionesdiveliv_educacionbogota_gov_co/Documents/DIRECCION DE INSPECCION Y VIGILANCIA/DIV POAIV/POAIV 2025/ELIV KENNEDY/PRIORIZADOS/TRIM II/ACTA VISITA COLEGIO MANDALAY.pdf?csf=1&amp;web=1&amp;e=Fig97B" xr:uid="{4EE72BB3-FC19-49A6-99F0-DC860087BDB7}"/>
    <hyperlink ref="Q1109" r:id="rId635" display="../../../../../../../:b:/r/personal/comunicacionesdiveliv_educacionbogota_gov_co/Documents/DIRECCION DE INSPECCION Y VIGILANCIA/DIV POAIV/POAIV 2025/ELIV KENNEDY/PRIORIZADOS/TRIM II/ACTA VISITA COLEGIO MANDALAY.pdf?csf=1&amp;web=1&amp;e=Fig97B" xr:uid="{01A2C9DD-9A9D-44E7-83E2-8B691043D43E}"/>
    <hyperlink ref="Q1108" r:id="rId636" display="../../../../../../../:b:/r/personal/comunicacionesdiveliv_educacionbogota_gov_co/Documents/DIRECCION DE INSPECCION Y VIGILANCIA/DIV POAIV/POAIV 2025/ELIV KENNEDY/PRIORIZADOS/TRIM II/ACTA VISITA COLEGIO MANDALAY.pdf?csf=1&amp;web=1&amp;e=Fig97B" xr:uid="{6FAA3A33-8C68-4926-8B31-843A5E24D86F}"/>
    <hyperlink ref="Q1107" r:id="rId637" display="../../../../../../../:b:/r/personal/comunicacionesdiveliv_educacionbogota_gov_co/Documents/DIRECCION DE INSPECCION Y VIGILANCIA/DIV POAIV/POAIV 2025/ELIV KENNEDY/PRIORIZADOS/TRIM II/ACTA VISITA COLEGIO MANDALAY.pdf?csf=1&amp;web=1&amp;e=Fig97B" xr:uid="{CE42FF94-9D6E-4303-950B-F2B7E2B19D8A}"/>
    <hyperlink ref="Q1114" r:id="rId638" display="../../../../../../../:b:/r/personal/comunicacionesdiveliv_educacionbogota_gov_co/Documents/DIRECCION DE INSPECCION Y VIGILANCIA/DIV POAIV/POAIV 2025/ELIV KENNEDY/PRIORIZADOS/TRIM II/ACTA VISITA GIMNASIO MODERNO EL TINTAL.pdf?csf=1&amp;web=1&amp;e=RiLl0l" xr:uid="{0BF45EDA-54F4-406A-861C-B45D95317A9D}"/>
    <hyperlink ref="Q1113" r:id="rId639" display="../../../../../../../:b:/r/personal/comunicacionesdiveliv_educacionbogota_gov_co/Documents/DIRECCION DE INSPECCION Y VIGILANCIA/DIV POAIV/POAIV 2025/ELIV KENNEDY/PRIORIZADOS/TRIM II/ACTA VISITA GIMNASIO MODERNO EL TINTAL.pdf?csf=1&amp;web=1&amp;e=RiLl0l" xr:uid="{708C3291-5DAD-496E-9D1E-CDE44B31C1DF}"/>
    <hyperlink ref="Q1112" r:id="rId640" display="../../../../../../../:b:/r/personal/comunicacionesdiveliv_educacionbogota_gov_co/Documents/DIRECCION DE INSPECCION Y VIGILANCIA/DIV POAIV/POAIV 2025/ELIV KENNEDY/PRIORIZADOS/TRIM II/ACTA VISITA GIMNASIO MODERNO EL TINTAL.pdf?csf=1&amp;web=1&amp;e=RiLl0l" xr:uid="{062A192D-9CDA-42FF-BA1D-93434A279B3D}"/>
    <hyperlink ref="Q1111" r:id="rId641" display="../../../../../../../:b:/r/personal/comunicacionesdiveliv_educacionbogota_gov_co/Documents/DIRECCION DE INSPECCION Y VIGILANCIA/DIV POAIV/POAIV 2025/ELIV KENNEDY/PRIORIZADOS/TRIM II/ACTA VISITA GIMNASIO MODERNO EL TINTAL.pdf?csf=1&amp;web=1&amp;e=RiLl0l" xr:uid="{6B7DFFF1-1904-4165-AD96-796A4D54DB06}"/>
    <hyperlink ref="Q1118" r:id="rId642" display="../../../../../../../:b:/r/personal/comunicacionesdiveliv_educacionbogota_gov_co/Documents/DIRECCION DE INSPECCION Y VIGILANCIA/DIV POAIV/POAIV 2025/ELIV KENNEDY/PRIORIZADOS/TRIM II/ACTA DE VISITA COLEGIO MI PATRIA.pdf?csf=1&amp;web=1&amp;e=0fTK6k" xr:uid="{08B0FA3C-0BE1-451F-881B-22B31856010E}"/>
    <hyperlink ref="Q1117" r:id="rId643" display="../../../../../../../:b:/r/personal/comunicacionesdiveliv_educacionbogota_gov_co/Documents/DIRECCION DE INSPECCION Y VIGILANCIA/DIV POAIV/POAIV 2025/ELIV KENNEDY/PRIORIZADOS/TRIM II/ACTA DE VISITA COLEGIO MI PATRIA.pdf?csf=1&amp;web=1&amp;e=0fTK6k" xr:uid="{BD258E1D-971B-4E78-BE7C-CEF7A47B0106}"/>
    <hyperlink ref="Q1116" r:id="rId644" display="../../../../../../../:b:/r/personal/comunicacionesdiveliv_educacionbogota_gov_co/Documents/DIRECCION DE INSPECCION Y VIGILANCIA/DIV POAIV/POAIV 2025/ELIV KENNEDY/PRIORIZADOS/TRIM II/ACTA DE VISITA COLEGIO MI PATRIA.pdf?csf=1&amp;web=1&amp;e=0fTK6k" xr:uid="{FFF2C708-A37B-49B9-8D21-C090770EE96C}"/>
    <hyperlink ref="Q1115" r:id="rId645" display="../../../../../../../:b:/r/personal/comunicacionesdiveliv_educacionbogota_gov_co/Documents/DIRECCION DE INSPECCION Y VIGILANCIA/DIV POAIV/POAIV 2025/ELIV KENNEDY/PRIORIZADOS/TRIM II/ACTA DE VISITA COLEGIO MI PATRIA.pdf?csf=1&amp;web=1&amp;e=0fTK6k" xr:uid="{6298CC78-36F0-482C-B8DE-7205018FE4B9}"/>
    <hyperlink ref="Q1125" r:id="rId646" display="../../../../../../../:b:/r/personal/comunicacionesdiveliv_educacionbogota_gov_co/Documents/DIRECCION DE INSPECCION Y VIGILANCIA/DIV POAIV/POAIV 2025/ELIV KENNEDY/PRIORIZADOS/TRIM II/ACTA DE VISITA COLEGIO MILITAR ANTONIA SANTOS.pdf?csf=1&amp;web=1&amp;e=nepqlI" xr:uid="{DDB1502E-18B6-4345-8DF8-ADF54F09B5E3}"/>
    <hyperlink ref="Q1124" r:id="rId647" display="../../../../../../../:b:/r/personal/comunicacionesdiveliv_educacionbogota_gov_co/Documents/DIRECCION DE INSPECCION Y VIGILANCIA/DIV POAIV/POAIV 2025/ELIV KENNEDY/PRIORIZADOS/TRIM II/ACTA DE VISITA COLEGIO MILITAR ANTONIA SANTOS.pdf?csf=1&amp;web=1&amp;e=nepqlI" xr:uid="{F8D1BDD1-1F6C-449F-A290-7D754DC6C540}"/>
    <hyperlink ref="Q1123" r:id="rId648" display="../../../../../../../:b:/r/personal/comunicacionesdiveliv_educacionbogota_gov_co/Documents/DIRECCION DE INSPECCION Y VIGILANCIA/DIV POAIV/POAIV 2025/ELIV KENNEDY/PRIORIZADOS/TRIM II/ACTA DE VISITA COLEGIO MILITAR ANTONIA SANTOS.pdf?csf=1&amp;web=1&amp;e=nepqlI" xr:uid="{AA6763AD-ABD4-4C3D-97B4-BB922681253F}"/>
    <hyperlink ref="Q1122" r:id="rId649" display="../../../../../../../:b:/r/personal/comunicacionesdiveliv_educacionbogota_gov_co/Documents/DIRECCION DE INSPECCION Y VIGILANCIA/DIV POAIV/POAIV 2025/ELIV KENNEDY/PRIORIZADOS/TRIM II/ACTA DE VISITA COLEGIO MILITAR ANTONIA SANTOS.pdf?csf=1&amp;web=1&amp;e=nepqlI" xr:uid="{74152352-F87E-4AC9-9350-1731549FDF68}"/>
    <hyperlink ref="Q1121" r:id="rId650" display="../../../../../../../:b:/r/personal/comunicacionesdiveliv_educacionbogota_gov_co/Documents/DIRECCION DE INSPECCION Y VIGILANCIA/DIV POAIV/POAIV 2025/ELIV KENNEDY/PRIORIZADOS/TRIM II/ACTA DE VISITA COLEGIO MILITAR ANTONIA SANTOS.pdf?csf=1&amp;web=1&amp;e=nepqlI" xr:uid="{ACCCA3CF-1E7B-4507-B407-452E2ECC8CF2}"/>
    <hyperlink ref="Q1120" r:id="rId651" display="../../../../../../../:b:/r/personal/comunicacionesdiveliv_educacionbogota_gov_co/Documents/DIRECCION DE INSPECCION Y VIGILANCIA/DIV POAIV/POAIV 2025/ELIV KENNEDY/PRIORIZADOS/TRIM II/ACTA DE VISITA COLEGIO MILITAR ANTONIA SANTOS.pdf?csf=1&amp;web=1&amp;e=nepqlI" xr:uid="{822C6A79-4C54-496E-A67B-DD55F425B2FA}"/>
    <hyperlink ref="Q1119" r:id="rId652" display="../../../../../../../:b:/r/personal/comunicacionesdiveliv_educacionbogota_gov_co/Documents/DIRECCION DE INSPECCION Y VIGILANCIA/DIV POAIV/POAIV 2025/ELIV KENNEDY/PRIORIZADOS/TRIM II/ACTA DE VISITA COLEGIO MILITAR ANTONIA SANTOS.pdf?csf=1&amp;web=1&amp;e=nepqlI" xr:uid="{BC0A8359-7422-40CB-9D23-1712EEA0D02E}"/>
    <hyperlink ref="Q1131" r:id="rId653" display="../../../../../../../:b:/r/personal/comunicacionesdiveliv_educacionbogota_gov_co/Documents/DIRECCION DE INSPECCION Y VIGILANCIA/DIV POAIV/POAIV 2025/ELIV KENNEDY/PRIORIZADOS/TRIM II/ACTA DE VISITA COLEGIO COOPERATIVO MILITAR JUSTINIANO QUI%C3%91ONEZ ANGULO.pdf?csf=1&amp;web=1&amp;e=KkLyIg" xr:uid="{81046B83-E835-4D80-A39C-660F2939D82F}"/>
    <hyperlink ref="Q1130" r:id="rId654" display="../../../../../../../:b:/r/personal/comunicacionesdiveliv_educacionbogota_gov_co/Documents/DIRECCION DE INSPECCION Y VIGILANCIA/DIV POAIV/POAIV 2025/ELIV KENNEDY/PRIORIZADOS/TRIM II/ACTA DE VISITA COLEGIO COOPERATIVO MILITAR JUSTINIANO QUI%C3%91ONEZ ANGULO.pdf?csf=1&amp;web=1&amp;e=KkLyIg" xr:uid="{2B752548-7085-4DCA-AF0E-3D04ED44D29E}"/>
    <hyperlink ref="Q1129" r:id="rId655" display="../../../../../../../:b:/r/personal/comunicacionesdiveliv_educacionbogota_gov_co/Documents/DIRECCION DE INSPECCION Y VIGILANCIA/DIV POAIV/POAIV 2025/ELIV KENNEDY/PRIORIZADOS/TRIM II/ACTA DE VISITA COLEGIO COOPERATIVO MILITAR JUSTINIANO QUI%C3%91ONEZ ANGULO.pdf?csf=1&amp;web=1&amp;e=KkLyIg" xr:uid="{85E57DBA-FB00-428E-A8CF-99F204992913}"/>
    <hyperlink ref="Q1128" r:id="rId656" display="../../../../../../../:b:/r/personal/comunicacionesdiveliv_educacionbogota_gov_co/Documents/DIRECCION DE INSPECCION Y VIGILANCIA/DIV POAIV/POAIV 2025/ELIV KENNEDY/PRIORIZADOS/TRIM II/ACTA DE VISITA COLEGIO COOPERATIVO MILITAR JUSTINIANO QUI%C3%91ONEZ ANGULO.pdf?csf=1&amp;web=1&amp;e=KkLyIg" xr:uid="{A5678A05-8E53-43CF-90EB-D92B0536042C}"/>
    <hyperlink ref="Q1127" r:id="rId657" display="../../../../../../../:b:/r/personal/comunicacionesdiveliv_educacionbogota_gov_co/Documents/DIRECCION DE INSPECCION Y VIGILANCIA/DIV POAIV/POAIV 2025/ELIV KENNEDY/PRIORIZADOS/TRIM II/ACTA DE VISITA COLEGIO COOPERATIVO MILITAR JUSTINIANO QUI%C3%91ONEZ ANGULO.pdf?csf=1&amp;web=1&amp;e=KkLyIg" xr:uid="{F69C9AF7-AC40-40F1-9049-DC3BA5B56B94}"/>
    <hyperlink ref="Q1126" r:id="rId658" display="../../../../../../../:b:/r/personal/comunicacionesdiveliv_educacionbogota_gov_co/Documents/DIRECCION DE INSPECCION Y VIGILANCIA/DIV POAIV/POAIV 2025/ELIV KENNEDY/PRIORIZADOS/TRIM II/ACTA DE VISITA COLEGIO COOPERATIVO MILITAR JUSTINIANO QUI%C3%91ONEZ ANGULO.pdf?csf=1&amp;web=1&amp;e=KkLyIg" xr:uid="{4328A8C1-7251-43CB-A505-D3B8B0357782}"/>
    <hyperlink ref="Q1135" r:id="rId659" display="../../../../../../../:b:/r/personal/comunicacionesdiveliv_educacionbogota_gov_co/Documents/DIRECCION DE INSPECCION Y VIGILANCIA/DIV POAIV/POAIV 2025/ELIV KENNEDY/PRIORIZADOS/TRIM II/ACTA VISITA COLEGIO RAFAEL GOBERNA.pdf?csf=1&amp;web=1&amp;e=6KxOWT" xr:uid="{E4814885-A0B9-40F7-B886-63F6B313EEF7}"/>
    <hyperlink ref="Q1134" r:id="rId660" display="../../../../../../../:b:/r/personal/comunicacionesdiveliv_educacionbogota_gov_co/Documents/DIRECCION DE INSPECCION Y VIGILANCIA/DIV POAIV/POAIV 2025/ELIV KENNEDY/PRIORIZADOS/TRIM II/ACTA VISITA COLEGIO RAFAEL GOBERNA.pdf?csf=1&amp;web=1&amp;e=6KxOWT" xr:uid="{7CABE5F2-4824-4EDF-899F-C6B730E66260}"/>
    <hyperlink ref="Q1133" r:id="rId661" display="../../../../../../../:b:/r/personal/comunicacionesdiveliv_educacionbogota_gov_co/Documents/DIRECCION DE INSPECCION Y VIGILANCIA/DIV POAIV/POAIV 2025/ELIV KENNEDY/PRIORIZADOS/TRIM II/ACTA VISITA COLEGIO RAFAEL GOBERNA.pdf?csf=1&amp;web=1&amp;e=6KxOWT" xr:uid="{1F8AF0AA-B13A-40F8-B070-E90848653BC5}"/>
    <hyperlink ref="Q1132" r:id="rId662" display="../../../../../../../:b:/r/personal/comunicacionesdiveliv_educacionbogota_gov_co/Documents/DIRECCION DE INSPECCION Y VIGILANCIA/DIV POAIV/POAIV 2025/ELIV KENNEDY/PRIORIZADOS/TRIM II/ACTA VISITA COLEGIO RAFAEL GOBERNA.pdf?csf=1&amp;web=1&amp;e=6KxOWT" xr:uid="{0170D83C-8037-4504-81AD-C9506CDA0044}"/>
    <hyperlink ref="Q1139" r:id="rId663" display="../../../../../../../:b:/r/personal/comunicacionesdiveliv_educacionbogota_gov_co/Documents/DIRECCION DE INSPECCION Y VIGILANCIA/DIV POAIV/POAIV 2025/ELIV KENNEDY/PRIORIZADOS/TRIM II/ACTA DE VISITA COLEGIO SAGRADO CORAZON.pdf?csf=1&amp;web=1&amp;e=VDW5fC" xr:uid="{AE4A6C41-11A0-4490-A160-E640651BC94E}"/>
    <hyperlink ref="Q1138" r:id="rId664" display="../../../../../../../:b:/r/personal/comunicacionesdiveliv_educacionbogota_gov_co/Documents/DIRECCION DE INSPECCION Y VIGILANCIA/DIV POAIV/POAIV 2025/ELIV KENNEDY/PRIORIZADOS/TRIM II/ACTA DE VISITA COLEGIO SAGRADO CORAZON.pdf?csf=1&amp;web=1&amp;e=VDW5fC" xr:uid="{D033ADD5-0575-42CF-8FCF-4CE8ADC49E58}"/>
    <hyperlink ref="Q1137" r:id="rId665" display="../../../../../../../:b:/r/personal/comunicacionesdiveliv_educacionbogota_gov_co/Documents/DIRECCION DE INSPECCION Y VIGILANCIA/DIV POAIV/POAIV 2025/ELIV KENNEDY/PRIORIZADOS/TRIM II/ACTA DE VISITA COLEGIO SAGRADO CORAZON.pdf?csf=1&amp;web=1&amp;e=VDW5fC" xr:uid="{FB6EC185-964B-4D05-971C-67703091A07B}"/>
    <hyperlink ref="Q1136" r:id="rId666" display="../../../../../../../:b:/r/personal/comunicacionesdiveliv_educacionbogota_gov_co/Documents/DIRECCION DE INSPECCION Y VIGILANCIA/DIV POAIV/POAIV 2025/ELIV KENNEDY/PRIORIZADOS/TRIM II/ACTA DE VISITA COLEGIO SAGRADO CORAZON.pdf?csf=1&amp;web=1&amp;e=VDW5fC" xr:uid="{6A8C5B42-7D1A-41A9-9F63-45BEA06A933D}"/>
    <hyperlink ref="Q1144" r:id="rId667" display="../../../../../../../:b:/r/personal/comunicacionesdiveliv_educacionbogota_gov_co/Documents/DIRECCION DE INSPECCION Y VIGILANCIA/DIV POAIV/POAIV 2025/ELIV KENNEDY/PRIORIZADOS/TRIM II/ACTA DE VISITA_COLEGIO SAN ANGEL.pdf?csf=1&amp;web=1&amp;e=moyaWZ" xr:uid="{B6D7860C-96E4-46D9-897F-1846856D138A}"/>
    <hyperlink ref="Q1143" r:id="rId668" display="../../../../../../../:b:/r/personal/comunicacionesdiveliv_educacionbogota_gov_co/Documents/DIRECCION DE INSPECCION Y VIGILANCIA/DIV POAIV/POAIV 2025/ELIV KENNEDY/PRIORIZADOS/TRIM II/ACTA DE VISITA_COLEGIO SAN ANGEL.pdf?csf=1&amp;web=1&amp;e=moyaWZ" xr:uid="{98A620E9-D8C3-410A-8988-8C879DC26AA5}"/>
    <hyperlink ref="Q1142" r:id="rId669" display="../../../../../../../:b:/r/personal/comunicacionesdiveliv_educacionbogota_gov_co/Documents/DIRECCION DE INSPECCION Y VIGILANCIA/DIV POAIV/POAIV 2025/ELIV KENNEDY/PRIORIZADOS/TRIM II/ACTA DE VISITA_COLEGIO SAN ANGEL.pdf?csf=1&amp;web=1&amp;e=moyaWZ" xr:uid="{7E3200CA-326D-4EE3-9A0A-ED3C76F63DC2}"/>
    <hyperlink ref="Q1141" r:id="rId670" display="../../../../../../../:b:/r/personal/comunicacionesdiveliv_educacionbogota_gov_co/Documents/DIRECCION DE INSPECCION Y VIGILANCIA/DIV POAIV/POAIV 2025/ELIV KENNEDY/PRIORIZADOS/TRIM II/ACTA DE VISITA_COLEGIO SAN ANGEL.pdf?csf=1&amp;web=1&amp;e=moyaWZ" xr:uid="{E717068F-5357-4640-84E9-F9C6FD1ABF6F}"/>
    <hyperlink ref="Q1140" r:id="rId671" display="../../../../../../../:b:/r/personal/comunicacionesdiveliv_educacionbogota_gov_co/Documents/DIRECCION DE INSPECCION Y VIGILANCIA/DIV POAIV/POAIV 2025/ELIV KENNEDY/PRIORIZADOS/TRIM II/ACTA DE VISITA_COLEGIO SAN ANGEL.pdf?csf=1&amp;web=1&amp;e=moyaWZ" xr:uid="{AF13C248-69F2-4ADC-A169-3C45A70A432A}"/>
    <hyperlink ref="Q1147" r:id="rId672" display="../../../../../../../:b:/r/personal/comunicacionesdiveliv_educacionbogota_gov_co/Documents/DIRECCION DE INSPECCION Y VIGILANCIA/DIV POAIV/POAIV 2025/ELIV KENNEDY/PRIORIZADOS/TRIM II/ACTA VISITA COLEGIO SUPERIOR DE OCCIDENTE.pdf?csf=1&amp;web=1&amp;e=0FE7E7" xr:uid="{3539371F-9BD4-4F84-BAC8-91DA6BAF59E3}"/>
    <hyperlink ref="Q1151" r:id="rId673" display="../../../../../../../:b:/r/personal/comunicacionesdiveliv_educacionbogota_gov_co/Documents/DIRECCION DE INSPECCION Y VIGILANCIA/DIV POAIV/POAIV 2025/ELIV KENNEDY/PRIORIZADOS/TRIM II/ACTA VISITA COLEGIO SUPERIOR DE OCCIDENTE.pdf?csf=1&amp;web=1&amp;e=0FE7E7" xr:uid="{FA425140-3D16-4ECA-AA18-2CA39482DED0}"/>
    <hyperlink ref="Q1150" r:id="rId674" display="../../../../../../../:b:/r/personal/comunicacionesdiveliv_educacionbogota_gov_co/Documents/DIRECCION DE INSPECCION Y VIGILANCIA/DIV POAIV/POAIV 2025/ELIV KENNEDY/PRIORIZADOS/TRIM II/ACTA VISITA COLEGIO SUPERIOR DE OCCIDENTE.pdf?csf=1&amp;web=1&amp;e=0FE7E7" xr:uid="{568C8727-65F5-469D-A1CD-EB90D73D8BF1}"/>
    <hyperlink ref="Q1149" r:id="rId675" display="../../../../../../../:b:/r/personal/comunicacionesdiveliv_educacionbogota_gov_co/Documents/DIRECCION DE INSPECCION Y VIGILANCIA/DIV POAIV/POAIV 2025/ELIV KENNEDY/PRIORIZADOS/TRIM II/ACTA VISITA COLEGIO SUPERIOR DE OCCIDENTE.pdf?csf=1&amp;web=1&amp;e=0FE7E7" xr:uid="{56568D0B-8C74-43F1-9C8E-AF698B0FA43E}"/>
    <hyperlink ref="Q1148" r:id="rId676" display="../../../../../../../:b:/r/personal/comunicacionesdiveliv_educacionbogota_gov_co/Documents/DIRECCION DE INSPECCION Y VIGILANCIA/DIV POAIV/POAIV 2025/ELIV KENNEDY/PRIORIZADOS/TRIM II/ACTA VISITA COLEGIO SUPERIOR DE OCCIDENTE.pdf?csf=1&amp;web=1&amp;e=0FE7E7" xr:uid="{432C84CA-110B-4123-91AE-00C47CC19DD4}"/>
    <hyperlink ref="Q1146" r:id="rId677" display="../../../../../../../:b:/r/personal/comunicacionesdiveliv_educacionbogota_gov_co/Documents/DIRECCION DE INSPECCION Y VIGILANCIA/DIV POAIV/POAIV 2025/ELIV KENNEDY/PRIORIZADOS/TRIM II/ACTA VISITA COLEGIO SUPERIOR DE OCCIDENTE.pdf?csf=1&amp;web=1&amp;e=0FE7E7" xr:uid="{3A64226A-2A05-4D97-9792-186347B89886}"/>
    <hyperlink ref="Q1145" r:id="rId678" display="../../../../../../../:b:/r/personal/comunicacionesdiveliv_educacionbogota_gov_co/Documents/DIRECCION DE INSPECCION Y VIGILANCIA/DIV POAIV/POAIV 2025/ELIV KENNEDY/PRIORIZADOS/TRIM II/ACTA VISITA COLEGIO SUPERIOR DE OCCIDENTE.pdf?csf=1&amp;web=1&amp;e=0FE7E7" xr:uid="{CE130EE5-1D73-4198-9F82-5DFE291D6BD6}"/>
    <hyperlink ref="Q1159:Q1165" r:id="rId679" display="ACTA DE VISITA COLEGIO TECNISISTEMAS.pdf" xr:uid="{19D3E5A7-5180-4730-BC82-65076043C5F5}"/>
    <hyperlink ref="Q1166" r:id="rId680" display="../../../../../../../:b:/r/personal/comunicacionesdiveliv_educacionbogota_gov_co/Documents/DIRECCION DE INSPECCION Y VIGILANCIA/DIV POAIV/POAIV 2025/ELIV KENNEDY/PRIORIZADOS/TRIM II/ACTA DE VISITA COLEGIO TRIANGULO KENNEDY_29_05_2025.pdf?csf=1&amp;web=1&amp;e=bnL5gY" xr:uid="{0FD5B5E1-7A6C-4035-8590-0471B9B38F03}"/>
    <hyperlink ref="Q1175" r:id="rId681" display="../../../../../../../:b:/r/personal/comunicacionesdiveliv_educacionbogota_gov_co/Documents/DIRECCION DE INSPECCION Y VIGILANCIA/DIV POAIV/POAIV 2025/ELIV KENNEDY/PRIORIZADOS/TRIM II/ACTA DE VISITA COLEGIO TRIANGULO.pdf?csf=1&amp;web=1&amp;e=z5dGWo" xr:uid="{073E18B0-5590-46E0-AEED-6793C522C1A7}"/>
    <hyperlink ref="Q1179" r:id="rId682" display="../../../../../../../:b:/r/personal/comunicacionesdiveliv_educacionbogota_gov_co/Documents/DIRECCION DE INSPECCION Y VIGILANCIA/DIV POAIV/POAIV 2025/ELIV KENNEDY/PRIORIZADOS/TRIM II/ACTA DE VISITA COLEGIO TRIANGULO.pdf?csf=1&amp;web=1&amp;e=z5dGWo" xr:uid="{46ED0472-BC2E-4DCD-A744-2A7BB3297D4D}"/>
    <hyperlink ref="Q1178" r:id="rId683" display="../../../../../../../:b:/r/personal/comunicacionesdiveliv_educacionbogota_gov_co/Documents/DIRECCION DE INSPECCION Y VIGILANCIA/DIV POAIV/POAIV 2025/ELIV KENNEDY/PRIORIZADOS/TRIM II/ACTA DE VISITA COLEGIO TRIANGULO.pdf?csf=1&amp;web=1&amp;e=z5dGWo" xr:uid="{581B384A-F979-49A8-B79A-AE3173B14E4C}"/>
    <hyperlink ref="Q1177" r:id="rId684" display="../../../../../../../:b:/r/personal/comunicacionesdiveliv_educacionbogota_gov_co/Documents/DIRECCION DE INSPECCION Y VIGILANCIA/DIV POAIV/POAIV 2025/ELIV KENNEDY/PRIORIZADOS/TRIM II/ACTA DE VISITA COLEGIO TRIANGULO.pdf?csf=1&amp;web=1&amp;e=z5dGWo" xr:uid="{391F7C9C-6F70-442A-805D-B934FB1C1FCB}"/>
    <hyperlink ref="Q1176" r:id="rId685" display="../../../../../../../:b:/r/personal/comunicacionesdiveliv_educacionbogota_gov_co/Documents/DIRECCION DE INSPECCION Y VIGILANCIA/DIV POAIV/POAIV 2025/ELIV KENNEDY/PRIORIZADOS/TRIM II/ACTA DE VISITA COLEGIO TRIANGULO.pdf?csf=1&amp;web=1&amp;e=z5dGWo" xr:uid="{9DCA6ECB-53BB-4739-89EE-3EF6D74703C3}"/>
    <hyperlink ref="Q1187" r:id="rId686" display="../../../../../../../:b:/r/personal/comunicacionesdiveliv_educacionbogota_gov_co/Documents/DIRECCION DE INSPECCION Y VIGILANCIA/DIV POAIV/POAIV 2025/ELIV KENNEDY/PRIORIZADOS/TRIM II/ACTA VISITA COLEGIO GIMNASIO IGNACIA CAMACHO DE CIPHUENTES.pdf?csf=1&amp;web=1&amp;e=aQglW2" xr:uid="{E23F5C9E-BCE8-480B-9E96-D5EE043431E7}"/>
    <hyperlink ref="Q1186" r:id="rId687" display="../../../../../../../:b:/r/personal/comunicacionesdiveliv_educacionbogota_gov_co/Documents/DIRECCION DE INSPECCION Y VIGILANCIA/DIV POAIV/POAIV 2025/ELIV KENNEDY/PRIORIZADOS/TRIM II/ACTA VISITA COLEGIO GIMNASIO IGNACIA CAMACHO DE CIPHUENTES.pdf?csf=1&amp;web=1&amp;e=aQglW2" xr:uid="{E3863F15-37E0-4081-BD92-77022B98497C}"/>
    <hyperlink ref="Q1185" r:id="rId688" display="../../../../../../../:b:/r/personal/comunicacionesdiveliv_educacionbogota_gov_co/Documents/DIRECCION DE INSPECCION Y VIGILANCIA/DIV POAIV/POAIV 2025/ELIV KENNEDY/PRIORIZADOS/TRIM II/ACTA VISITA COLEGIO GIMNASIO IGNACIA CAMACHO DE CIPHUENTES.pdf?csf=1&amp;web=1&amp;e=aQglW2" xr:uid="{27FDCBF4-B3E2-4DFC-B668-916B0144F6FE}"/>
    <hyperlink ref="Q1184" r:id="rId689" display="../../../../../../../:b:/r/personal/comunicacionesdiveliv_educacionbogota_gov_co/Documents/DIRECCION DE INSPECCION Y VIGILANCIA/DIV POAIV/POAIV 2025/ELIV KENNEDY/PRIORIZADOS/TRIM II/ACTA VISITA COLEGIO GIMNASIO IGNACIA CAMACHO DE CIPHUENTES.pdf?csf=1&amp;web=1&amp;e=aQglW2" xr:uid="{170F531D-01D6-491B-8834-ECC0F8694529}"/>
    <hyperlink ref="Q1183" r:id="rId690" display="../../../../../../../:b:/r/personal/comunicacionesdiveliv_educacionbogota_gov_co/Documents/DIRECCION DE INSPECCION Y VIGILANCIA/DIV POAIV/POAIV 2025/ELIV KENNEDY/PRIORIZADOS/TRIM II/ACTA VISITA COLEGIO GIMNASIO IGNACIA CAMACHO DE CIPHUENTES.pdf?csf=1&amp;web=1&amp;e=aQglW2" xr:uid="{6C7BF67E-8206-442C-A37F-29977B0A6541}"/>
    <hyperlink ref="Q1182" r:id="rId691" display="../../../../../../../:b:/r/personal/comunicacionesdiveliv_educacionbogota_gov_co/Documents/DIRECCION DE INSPECCION Y VIGILANCIA/DIV POAIV/POAIV 2025/ELIV KENNEDY/PRIORIZADOS/TRIM II/ACTA VISITA COLEGIO GIMNASIO IGNACIA CAMACHO DE CIPHUENTES.pdf?csf=1&amp;web=1&amp;e=aQglW2" xr:uid="{9515DDDF-1E90-4B6D-B339-1CD6CEF1DD6D}"/>
    <hyperlink ref="Q1181" r:id="rId692" display="../../../../../../../:b:/r/personal/comunicacionesdiveliv_educacionbogota_gov_co/Documents/DIRECCION DE INSPECCION Y VIGILANCIA/DIV POAIV/POAIV 2025/ELIV KENNEDY/PRIORIZADOS/TRIM II/ACTA VISITA COLEGIO GIMNASIO IGNACIA CAMACHO DE CIPHUENTES.pdf?csf=1&amp;web=1&amp;e=aQglW2" xr:uid="{9F11861D-7D74-430F-AD2F-4D7DB0E28EE1}"/>
    <hyperlink ref="Q1180" r:id="rId693" display="../../../../../../../:b:/r/personal/comunicacionesdiveliv_educacionbogota_gov_co/Documents/DIRECCION DE INSPECCION Y VIGILANCIA/DIV POAIV/POAIV 2025/ELIV KENNEDY/PRIORIZADOS/TRIM II/ACTA VISITA COLEGIO GIMNASIO IGNACIA CAMACHO DE CIPHUENTES.pdf?csf=1&amp;web=1&amp;e=aQglW2" xr:uid="{68F464DF-D9F8-4536-9C74-CAD7E04FC13F}"/>
    <hyperlink ref="Q1189" r:id="rId694" display="../../../../../../../:b:/r/personal/comunicacionesdiveliv_educacionbogota_gov_co/Documents/DIRECCION DE INSPECCION Y VIGILANCIA/DIV POAIV/POAIV 2025/ELIV KENNEDY/PRIORIZADOS/TRIM II/ACTA LORETO SEDE B.pdf?csf=1&amp;web=1&amp;e=TZOdNW" xr:uid="{D2D9EDAA-78B0-4AE6-9A01-0A630189726D}"/>
    <hyperlink ref="Q1194" r:id="rId695" display="../../../../../../../:b:/r/personal/comunicacionesdiveliv_educacionbogota_gov_co/Documents/DIRECCION DE INSPECCION Y VIGILANCIA/DIV POAIV/POAIV 2025/ELIV KENNEDY/PRIORIZADOS/TRIM II/ACTA LORETO SEDE B.pdf?csf=1&amp;web=1&amp;e=TZOdNW" xr:uid="{D9344C3D-B264-43B6-8705-7D53A03C31C7}"/>
    <hyperlink ref="Q1193" r:id="rId696" display="../../../../../../../:b:/r/personal/comunicacionesdiveliv_educacionbogota_gov_co/Documents/DIRECCION DE INSPECCION Y VIGILANCIA/DIV POAIV/POAIV 2025/ELIV KENNEDY/PRIORIZADOS/TRIM II/ACTA LORETO SEDE B.pdf?csf=1&amp;web=1&amp;e=TZOdNW" xr:uid="{AED6A889-7C03-4D11-9B20-1691E3487C6F}"/>
    <hyperlink ref="Q1192" r:id="rId697" display="../../../../../../../:b:/r/personal/comunicacionesdiveliv_educacionbogota_gov_co/Documents/DIRECCION DE INSPECCION Y VIGILANCIA/DIV POAIV/POAIV 2025/ELIV KENNEDY/PRIORIZADOS/TRIM II/ACTA LORETO SEDE B.pdf?csf=1&amp;web=1&amp;e=TZOdNW" xr:uid="{C0221505-8F1B-4E46-8F87-E11BB079C6D9}"/>
    <hyperlink ref="Q1191" r:id="rId698" display="../../../../../../../:b:/r/personal/comunicacionesdiveliv_educacionbogota_gov_co/Documents/DIRECCION DE INSPECCION Y VIGILANCIA/DIV POAIV/POAIV 2025/ELIV KENNEDY/PRIORIZADOS/TRIM II/ACTA LORETO SEDE B.pdf?csf=1&amp;web=1&amp;e=TZOdNW" xr:uid="{DA58D98F-CC2A-420E-8BD3-7D88259E7DA3}"/>
    <hyperlink ref="Q1190" r:id="rId699" display="../../../../../../../:b:/r/personal/comunicacionesdiveliv_educacionbogota_gov_co/Documents/DIRECCION DE INSPECCION Y VIGILANCIA/DIV POAIV/POAIV 2025/ELIV KENNEDY/PRIORIZADOS/TRIM II/ACTA LORETO SEDE B.pdf?csf=1&amp;web=1&amp;e=TZOdNW" xr:uid="{50AD7539-8E48-43BB-8FFA-9AB64E30A305}"/>
    <hyperlink ref="Q1188" r:id="rId700" display="../../../../../../../:b:/r/personal/comunicacionesdiveliv_educacionbogota_gov_co/Documents/DIRECCION DE INSPECCION Y VIGILANCIA/DIV POAIV/POAIV 2025/ELIV KENNEDY/PRIORIZADOS/TRIM II/ACTA LORETO SEDE B.pdf?csf=1&amp;web=1&amp;e=TZOdNW" xr:uid="{5263F67B-39A3-4F15-8307-39F85CF98056}"/>
    <hyperlink ref="Q1207" r:id="rId701" display="../../../../../../../:b:/r/personal/comunicacionesdiveliv_educacionbogota_gov_co/Documents/DIRECCION DE INSPECCION Y VIGILANCIA/DIV POAIV/POAIV 2025/ELIV KENNEDY/PRIORIZADOS/TRIM II/ACTA DE VISITA_INSTITUTO DE EDUCACION EMAUS_22_05_25.pdf?csf=1&amp;web=1&amp;e=964GAv" xr:uid="{6BE7F62A-F711-4E33-B721-007BD972F345}"/>
    <hyperlink ref="Q1204" r:id="rId702" display="../../../../../../../:b:/r/personal/comunicacionesdiveliv_educacionbogota_gov_co/Documents/DIRECCION DE INSPECCION Y VIGILANCIA/DIV POAIV/POAIV 2025/ELIV KENNEDY/PRIORIZADOS/TRIM II/ACTA DE VISITA_INSTITUTO DE EDUCACION EMAUS_22_05_25.pdf?csf=1&amp;web=1&amp;e=964GAv" xr:uid="{0CC7DFB4-5E6D-4F1F-B156-E414ACF39446}"/>
    <hyperlink ref="Q1210" r:id="rId703" display="../../../../../../../:b:/r/personal/comunicacionesdiveliv_educacionbogota_gov_co/Documents/DIRECCION DE INSPECCION Y VIGILANCIA/DIV POAIV/POAIV 2025/ELIV KENNEDY/PRIORIZADOS/TRIM III/INSTITUTO LEONARD EULER.pdf?csf=1&amp;web=1&amp;e=NqZgS7" xr:uid="{A3C9F23C-72AC-4FD3-A2DC-D2C715C00C72}"/>
    <hyperlink ref="Q1215:Q1222" r:id="rId704" display="INSTITUTO SAN RICARDO PAMPURI.pdf" xr:uid="{065AB58D-1902-4A22-99AF-1CC4D8CF3543}"/>
    <hyperlink ref="Q1236" r:id="rId705" display="../../../../../../../:b:/r/personal/comunicacionesdiveliv_educacionbogota_gov_co/Documents/DIRECCION DE INSPECCION Y VIGILANCIA/DIV POAIV/POAIV 2025/ELIV KENNEDY/PRIORIZADOS/TRIM III/ACTA DE VISITA INSTITUTO YOLKIN.pdf?csf=1&amp;web=1&amp;e=2KP3s5" xr:uid="{5BA2FF08-8969-4FED-98BA-A3BA258B8504}"/>
    <hyperlink ref="Q1235" r:id="rId706" display="../../../../../../../:b:/r/personal/comunicacionesdiveliv_educacionbogota_gov_co/Documents/DIRECCION DE INSPECCION Y VIGILANCIA/DIV POAIV/POAIV 2025/ELIV KENNEDY/PRIORIZADOS/TRIM III/ACTA DE VISITA INSTITUTO YOLKIN.pdf?csf=1&amp;web=1&amp;e=2KP3s5" xr:uid="{526F6BCA-7728-424E-8112-16EB8E6E531D}"/>
    <hyperlink ref="Q1239:Q1246" r:id="rId707" display="LICEO EMANUEL MARLUI.pdf" xr:uid="{0B2EBAD6-3898-4EAC-8CC4-8C9D5CCAA0AE}"/>
    <hyperlink ref="Q1251:Q1254" r:id="rId708" display="LICEO LUTHER KING.pdf" xr:uid="{7D09B2DB-3EAB-48A7-86D3-E601F04B1CCA}"/>
    <hyperlink ref="Q1399" r:id="rId709" display="../../../../../../../:b:/r/personal/comunicacionesdiveliv_educacionbogota_gov_co/Documents/DIRECCION DE INSPECCION Y VIGILANCIA/DIV POAIV/POAIV 2025/ELIV PUENTE ARANDA/PRIORIZADOS/TRIM I/ACTA DE VISITA ADMINISTRATIVA COLEGIO PARROQUIAL DE LA DOTRINA CRISTIANA.pdf?csf=1&amp;web=1&amp;e=QrSX3U" xr:uid="{7CA50B96-F4C8-45E7-B706-939D1BD2EB0F}"/>
    <hyperlink ref="Q1400" r:id="rId710" display="../../../../../../../:b:/r/personal/comunicacionesdiveliv_educacionbogota_gov_co/Documents/DIRECCION DE INSPECCION Y VIGILANCIA/DIV POAIV/POAIV 2025/ELIV PUENTE ARANDA/PRIORIZADOS/TRIM I/ACTA DE VISITA ADMINISTRATIVA COLEGIO PARROQUIAL DE LA DOTRINA CRISTIANA.pdf?csf=1&amp;web=1&amp;e=QrSX3U" xr:uid="{C559DD71-6664-449E-80AC-538072E90A8B}"/>
    <hyperlink ref="Q1403" r:id="rId711" display="../../../../../../../:b:/r/personal/comunicacionesdiveliv_educacionbogota_gov_co/Documents/DIRECCION DE INSPECCION Y VIGILANCIA/DIV POAIV/POAIV 2025/ELIV PUENTE ARANDA/PRIORIZADOS/TRIM I/ACTA DE VISITA ADMINISTRATIVA COLEGIO PARROQUIAL DE LA DOTRINA CRISTIANA.pdf?csf=1&amp;web=1&amp;e=QrSX3U" xr:uid="{87D31634-C446-4A69-BC3D-1F0F5AF9B9AD}"/>
    <hyperlink ref="Q1394" r:id="rId712" display="../../../../../../../:b:/r/personal/comunicacionesdiveliv_educacionbogota_gov_co/Documents/DIRECCION DE INSPECCION Y VIGILANCIA/DIV POAIV/POAIV 2025/ELIV PUENTE ARANDA/PRIORIZADOS/TRIM I/25 03 26 acta Luis Concha Cordoba.pdf?csf=1&amp;web=1&amp;e=H3PtWv" xr:uid="{3BA96DB1-8F7C-4C15-BD7F-F8E12F1EC1A2}"/>
    <hyperlink ref="Q1395" r:id="rId713" display="../../../../../../../:b:/r/personal/comunicacionesdiveliv_educacionbogota_gov_co/Documents/DIRECCION DE INSPECCION Y VIGILANCIA/DIV POAIV/POAIV 2025/ELIV PUENTE ARANDA/PRIORIZADOS/TRIM I/25 03 26 acta Luis Concha Cordoba.pdf?csf=1&amp;web=1&amp;e=H3PtWv" xr:uid="{AEA540DC-5F98-4484-9177-1387044EBFEF}"/>
    <hyperlink ref="Q1408" r:id="rId714" display="../../../../../../../:f:/r/personal/comunicacionesdiveliv_educacionbogota_gov_co/Documents/DIRECCION DE INSPECCION Y VIGILANCIA/DIV POAIV/POAIV 2025/ELIV PUENTE ARANDA/PRIORIZADOS/TRIM II/VISITA CON FINES DE MEJORAMIENTO COLEGIO SANTA TERESITA?csf=1&amp;web=1&amp;e=kOkShk" xr:uid="{5FB59DD4-1613-4A7E-A03C-D61BC3B69E44}"/>
    <hyperlink ref="Q1412" r:id="rId715" display="../../../../../../../:f:/r/personal/comunicacionesdiveliv_educacionbogota_gov_co/Documents/DIRECCION DE INSPECCION Y VIGILANCIA/DIV POAIV/POAIV 2025/ELIV PUENTE ARANDA/PRIORIZADOS/TRIM II/VISITA CON FINES DE MEJORAMIENTO COLEGIO SANTA TERESITA?csf=1&amp;web=1&amp;e=kOkShk" xr:uid="{50362478-A619-46BA-B356-00A9D73620EE}"/>
    <hyperlink ref="Q1409" r:id="rId716" display="../../../../../../../:f:/r/personal/comunicacionesdiveliv_educacionbogota_gov_co/Documents/DIRECCION DE INSPECCION Y VIGILANCIA/DIV POAIV/POAIV 2025/ELIV PUENTE ARANDA/PRIORIZADOS/TRIM II/VISITA CON FINES DE MEJORAMIENTO COLEGIO SANTA TERESITA?csf=1&amp;web=1&amp;e=kOkShk" xr:uid="{0B1E2E41-5C91-404E-8CBD-C75CD33DDBE1}"/>
    <hyperlink ref="Q1410" r:id="rId717" display="../../../../../../../:f:/r/personal/comunicacionesdiveliv_educacionbogota_gov_co/Documents/DIRECCION DE INSPECCION Y VIGILANCIA/DIV POAIV/POAIV 2025/ELIV PUENTE ARANDA/PRIORIZADOS/TRIM II/VISITA CON FINES DE MEJORAMIENTO COLEGIO SANTA TERESITA?csf=1&amp;web=1&amp;e=kOkShk" xr:uid="{F906505C-1E05-48AC-A058-62A31D1B96C6}"/>
    <hyperlink ref="Q1411" r:id="rId718" display="../../../../../../../:f:/r/personal/comunicacionesdiveliv_educacionbogota_gov_co/Documents/DIRECCION DE INSPECCION Y VIGILANCIA/DIV POAIV/POAIV 2025/ELIV PUENTE ARANDA/PRIORIZADOS/TRIM II/VISITA CON FINES DE MEJORAMIENTO COLEGIO SANTA TERESITA?csf=1&amp;web=1&amp;e=kOkShk" xr:uid="{83D58AC7-B409-49CE-BC83-7974338D5A49}"/>
    <hyperlink ref="Q1424" r:id="rId719" display="../../../../../../../:b:/r/personal/comunicacionesdiveliv_educacionbogota_gov_co/Documents/DIRECCION DE INSPECCION Y VIGILANCIA/DIV POAIV/POAIV 2025/ELIV PUENTE ARANDA/PRIORIZADOS/TRIM II/20250430_Visita fines mejoramiento LPNSS/S-2025-118820 Visita administrativa LPNSS.pdf?csf=1&amp;web=1&amp;e=bUXWbL" xr:uid="{FAF3397F-70C5-4F7B-A167-18F00D2C613E}"/>
    <hyperlink ref="Q1436" r:id="rId720" display="../../../../../../../:b:/r/personal/comunicacionesdiveliv_educacionbogota_gov_co/Documents/DIRECCION DE INSPECCION Y VIGILANCIA/DIV POAIV/POAIV 2025/ELIV PUENTE ARANDA/PRIORIZADOS/TRIM II/20250429_Visita fines mejoramiento Liceo Coquibacoa/20250429_F visitas mejoramiento_LC v2.pdf?csf=1&amp;web=1&amp;e=M9i4d9" xr:uid="{A7984662-85E7-4B72-ADB0-6C8ABBCD4A24}"/>
    <hyperlink ref="Q1437" r:id="rId721" display="../../../../../../../:b:/r/personal/comunicacionesdiveliv_educacionbogota_gov_co/Documents/DIRECCION DE INSPECCION Y VIGILANCIA/DIV POAIV/POAIV 2025/ELIV PUENTE ARANDA/PRIORIZADOS/TRIM II/20250429_Visita fines mejoramiento Liceo Coquibacoa/20250429_F visitas mejoramiento_LC v2.pdf?csf=1&amp;web=1&amp;e=M9i4d9" xr:uid="{D8CD9222-274B-407E-B493-7C74939390C8}"/>
    <hyperlink ref="Q1438" r:id="rId722" display="../../../../../../../:b:/r/personal/comunicacionesdiveliv_educacionbogota_gov_co/Documents/DIRECCION DE INSPECCION Y VIGILANCIA/DIV POAIV/POAIV 2025/ELIV PUENTE ARANDA/PRIORIZADOS/TRIM II/20250429_Visita fines mejoramiento Liceo Coquibacoa/20250429_F visitas mejoramiento_LC v2.pdf?csf=1&amp;web=1&amp;e=M9i4d9" xr:uid="{479D6011-1190-4679-BC64-15E6CB2CEE58}"/>
    <hyperlink ref="Q1439" r:id="rId723" display="../../../../../../../:b:/r/personal/comunicacionesdiveliv_educacionbogota_gov_co/Documents/DIRECCION DE INSPECCION Y VIGILANCIA/DIV POAIV/POAIV 2025/ELIV PUENTE ARANDA/PRIORIZADOS/TRIM II/20250429_Visita fines mejoramiento Liceo Coquibacoa/20250429_F visitas mejoramiento_LC v2.pdf?csf=1&amp;web=1&amp;e=M9i4d9" xr:uid="{E8AB0DAF-D206-4A22-BCE6-A2C9637BB92D}"/>
    <hyperlink ref="Q1404" r:id="rId724" display="../../../../../../../:b:/r/personal/comunicacionesdiveliv_educacionbogota_gov_co/Documents/DIRECCION DE INSPECCION Y VIGILANCIA/DIV POAIV/POAIV 2025/ELIV PUENTE ARANDA/PRIORIZADOS/TRIM II/20250409 visita Colegio Emilio Brigard/25 04 09 acta visita Emilio Brigard.pdf?csf=1&amp;web=1&amp;e=pjprRc" xr:uid="{F4CAE459-8AC1-4714-B8CE-91C9E5C463C9}"/>
    <hyperlink ref="Q1405:Q1406" r:id="rId725" display="25 04 09 acta visita Emilio Brigard.pdf" xr:uid="{42436CFE-2768-4E08-9441-A28B7C26B488}"/>
    <hyperlink ref="Q1407" r:id="rId726" display="25 04 09 acta visita Emilio Brigard.pdf" xr:uid="{01E2CB45-5FC9-4BBA-B783-E8437BCEA162}"/>
    <hyperlink ref="Q1401" r:id="rId727" display="../../../../../../../:b:/r/personal/comunicacionesdiveliv_educacionbogota_gov_co/Documents/DIRECCION DE INSPECCION Y VIGILANCIA/DIV POAIV/POAIV 2025/ELIV PUENTE ARANDA/PRIORIZADOS/TRIM I/ACTA DE VISITA ADMINISTRATIVA COLEGIO PARROQUIAL DE LA DOTRINA CRISTIANA.pdf?csf=1&amp;web=1&amp;e=QrSX3U" xr:uid="{CDDBF86C-D722-438F-A9D8-0415E5A6A7E9}"/>
    <hyperlink ref="Q1402" r:id="rId728" display="../../../../../../../:b:/r/personal/comunicacionesdiveliv_educacionbogota_gov_co/Documents/DIRECCION DE INSPECCION Y VIGILANCIA/DIV POAIV/POAIV 2025/ELIV PUENTE ARANDA/PRIORIZADOS/TRIM I/ACTA DE VISITA ADMINISTRATIVA COLEGIO PARROQUIAL DE LA DOTRINA CRISTIANA.pdf?csf=1&amp;web=1&amp;e=QrSX3U" xr:uid="{A1BB57FA-6585-4317-8D47-58CFB00ADC9D}"/>
    <hyperlink ref="Q1481" r:id="rId729" display="../../../../../../../:b:/r/personal/comunicacionesdiveliv_educacionbogota_gov_co/Documents/DIRECCION DE INSPECCION Y VIGILANCIA/DIV POAIV/POAIV 2025/ELIV PUENTE ARANDA/PRIORIZADOS/TRIM II/20250512_Visita fines mejoramiento La Merced/20250519_F visitas mejoramiento_La Merced.pdf?csf=1&amp;web=1&amp;e=eqsfPI" xr:uid="{BEFFCF5F-FA0B-4295-B905-9757C0C7312D}"/>
    <hyperlink ref="Q1482" r:id="rId730" display="../../../../../../../:b:/r/personal/comunicacionesdiveliv_educacionbogota_gov_co/Documents/DIRECCION DE INSPECCION Y VIGILANCIA/DIV POAIV/POAIV 2025/ELIV PUENTE ARANDA/PRIORIZADOS/TRIM II/20250512_Visita fines mejoramiento La Merced/20250519_F visitas mejoramiento_La Merced.pdf?csf=1&amp;web=1&amp;e=eqsfPI" xr:uid="{48B442FA-D143-436B-BD12-6A32AAB7124E}"/>
    <hyperlink ref="Q1483" r:id="rId731" display="../../../../../../../:b:/r/personal/comunicacionesdiveliv_educacionbogota_gov_co/Documents/DIRECCION DE INSPECCION Y VIGILANCIA/DIV POAIV/POAIV 2025/ELIV PUENTE ARANDA/PRIORIZADOS/TRIM II/20250512_Visita fines mejoramiento La Merced/20250519_F visitas mejoramiento_La Merced.pdf?csf=1&amp;web=1&amp;e=eqsfPI" xr:uid="{C1701B1D-60CE-42F5-B1FF-24BCF71F9932}"/>
    <hyperlink ref="Q1484" r:id="rId732" display="../../../../../../../:b:/r/personal/comunicacionesdiveliv_educacionbogota_gov_co/Documents/DIRECCION DE INSPECCION Y VIGILANCIA/DIV POAIV/POAIV 2025/ELIV PUENTE ARANDA/PRIORIZADOS/TRIM II/20250512_Visita fines mejoramiento La Merced/20250519_F visitas mejoramiento_La Merced.pdf?csf=1&amp;web=1&amp;e=eqsfPI" xr:uid="{F923A47F-DC00-4F80-8E3D-FD2A7F8521AE}"/>
    <hyperlink ref="Q1485" r:id="rId733" display="../../../../../../../:b:/r/personal/comunicacionesdiveliv_educacionbogota_gov_co/Documents/DIRECCION DE INSPECCION Y VIGILANCIA/DIV POAIV/POAIV 2025/ELIV PUENTE ARANDA/PRIORIZADOS/TRIM II/20250512_Visita fines mejoramiento La Merced/20250519_F visitas mejoramiento_La Merced.pdf?csf=1&amp;web=1&amp;e=eqsfPI" xr:uid="{C493B680-DC24-4EF2-BBB1-C1E7DCE9F371}"/>
    <hyperlink ref="Q1486" r:id="rId734" display="../../../../../../../:b:/r/personal/comunicacionesdiveliv_educacionbogota_gov_co/Documents/DIRECCION DE INSPECCION Y VIGILANCIA/DIV POAIV/POAIV 2025/ELIV PUENTE ARANDA/PRIORIZADOS/TRIM II/20250512_Visita fines mejoramiento La Merced/20250519_F visitas mejoramiento_La Merced.pdf?csf=1&amp;web=1&amp;e=eqsfPI" xr:uid="{9EB4A013-B13A-4411-8CB4-F5E268E8EA0A}"/>
    <hyperlink ref="Q1487" r:id="rId735" display="../../../../../../../:b:/r/personal/comunicacionesdiveliv_educacionbogota_gov_co/Documents/DIRECCION DE INSPECCION Y VIGILANCIA/DIV POAIV/POAIV 2025/ELIV PUENTE ARANDA/PRIORIZADOS/TRIM II/20250512_Visita fines mejoramiento La Merced/20250519_F visitas mejoramiento_La Merced.pdf?csf=1&amp;web=1&amp;e=eqsfPI" xr:uid="{D561A47B-27A1-4D80-8730-B4597A574891}"/>
    <hyperlink ref="Q1480" r:id="rId736" display="../../../../../../../:b:/r/personal/comunicacionesdiveliv_educacionbogota_gov_co/Documents/DIRECCION DE INSPECCION Y VIGILANCIA/DIV POAIV/POAIV 2025/ELIV PUENTE ARANDA/PRIORIZADOS/TRIM II/20250512_Visita fines mejoramiento La Merced/20250519_F visitas mejoramiento_La Merced.pdf?csf=1&amp;web=1&amp;e=eqsfPI" xr:uid="{62228F94-46A4-4127-B0EF-D4C1A4B46BE6}"/>
    <hyperlink ref="Q1449" r:id="rId737" display="../../../../../../../:b:/r/personal/comunicacionesdiveliv_educacionbogota_gov_co/Documents/DIRECCION DE INSPECCION Y VIGILANCIA/DIV POAIV/POAIV 2025/ELIV PUENTE ARANDA/PRIORIZADOS/TRIM II/20250530 J I Angelitos Traviesos/Acta Final Visita AngelesTraviesos.pdf?csf=1&amp;web=1&amp;e=FPUP27" xr:uid="{5B982443-D4BA-4C10-BFB3-B62C2F26B3EE}"/>
    <hyperlink ref="Q1450" r:id="rId738" display="../../../../../../../:b:/r/personal/comunicacionesdiveliv_educacionbogota_gov_co/Documents/DIRECCION DE INSPECCION Y VIGILANCIA/DIV POAIV/POAIV 2025/ELIV PUENTE ARANDA/PRIORIZADOS/TRIM II/20250530 J I Angelitos Traviesos/Acta Final Visita AngelesTraviesos.pdf?csf=1&amp;web=1&amp;e=FPUP27" xr:uid="{7C183EFA-FA09-4023-BF76-A05DFB50A98A}"/>
    <hyperlink ref="Q1451" r:id="rId739" display="../../../../../../../:b:/r/personal/comunicacionesdiveliv_educacionbogota_gov_co/Documents/DIRECCION DE INSPECCION Y VIGILANCIA/DIV POAIV/POAIV 2025/ELIV PUENTE ARANDA/PRIORIZADOS/TRIM II/20250530 J I Angelitos Traviesos/Acta Final Visita AngelesTraviesos.pdf?csf=1&amp;web=1&amp;e=FPUP27" xr:uid="{FA4417CF-059F-4D28-BA12-AA93030DD67B}"/>
    <hyperlink ref="Q1452" r:id="rId740" display="../../../../../../../:b:/r/personal/comunicacionesdiveliv_educacionbogota_gov_co/Documents/DIRECCION DE INSPECCION Y VIGILANCIA/DIV POAIV/POAIV 2025/ELIV PUENTE ARANDA/PRIORIZADOS/TRIM II/20250530 J I Angelitos Traviesos/Acta Final Visita AngelesTraviesos.pdf?csf=1&amp;web=1&amp;e=FPUP27" xr:uid="{0D34BB93-D945-418F-8DFD-D83725EEF3E9}"/>
    <hyperlink ref="Q1453" r:id="rId741" display="../../../../../../../:b:/r/personal/comunicacionesdiveliv_educacionbogota_gov_co/Documents/DIRECCION DE INSPECCION Y VIGILANCIA/DIV POAIV/POAIV 2025/ELIV PUENTE ARANDA/PRIORIZADOS/TRIM II/20250530 J I Angelitos Traviesos/Acta Final Visita AngelesTraviesos.pdf?csf=1&amp;web=1&amp;e=FPUP27" xr:uid="{272086B8-A91D-4EA5-8F0C-6C1072BC9599}"/>
    <hyperlink ref="Q1454" r:id="rId742" display="../../../../../../../:b:/r/personal/comunicacionesdiveliv_educacionbogota_gov_co/Documents/DIRECCION DE INSPECCION Y VIGILANCIA/DIV POAIV/POAIV 2025/ELIV PUENTE ARANDA/PRIORIZADOS/TRIM II/20250530 J I Angelitos Traviesos/Acta Final Visita AngelesTraviesos.pdf?csf=1&amp;web=1&amp;e=FPUP27" xr:uid="{82295B52-07A2-4A08-A031-ADFA066CE221}"/>
    <hyperlink ref="Q1455" r:id="rId743" display="../../../../../../../:b:/r/personal/comunicacionesdiveliv_educacionbogota_gov_co/Documents/DIRECCION DE INSPECCION Y VIGILANCIA/DIV POAIV/POAIV 2025/ELIV PUENTE ARANDA/PRIORIZADOS/TRIM II/20250530 J I Angelitos Traviesos/Acta Final Visita AngelesTraviesos.pdf?csf=1&amp;web=1&amp;e=FPUP27" xr:uid="{0D627965-1A69-41DA-966E-4432D68486D1}"/>
    <hyperlink ref="Q1440" r:id="rId744" display="../../../../../../../:b:/r/personal/comunicacionesdiveliv_educacionbogota_gov_co/Documents/DIRECCION DE INSPECCION Y VIGILANCIA/DIV POAIV/POAIV 2025/ELIV PUENTE ARANDA/PRIORIZADOS/TRIM II/20250529_Visita fines mejoramiento Instituto Camargo Le%C3%B3n/20250611_F visitas mejoramiento_ICL v2.pdf?csf=1&amp;web=1&amp;e=nD8C4W" xr:uid="{B01E7190-D181-4F2A-89F2-EA2D86B02BF7}"/>
    <hyperlink ref="Q1441:Q1448" r:id="rId745" display="20250611_F visitas mejoramiento_ICL v2.pdf" xr:uid="{8467EC85-66F9-4BBB-B4DB-C7FD6E69DB4A}"/>
    <hyperlink ref="Q1425" r:id="rId746" display="../../../../../../../:b:/r/personal/comunicacionesdiveliv_educacionbogota_gov_co/Documents/DIRECCION DE INSPECCION Y VIGILANCIA/DIV POAIV/POAIV 2025/ELIV PUENTE ARANDA/PRIORIZADOS/TRIM II/20250430_Visita fines mejoramiento LPNSS/S-2025-118820 Visita administrativa LPNSS.pdf?csf=1&amp;web=1&amp;e=bUXWbL" xr:uid="{73D1A197-6897-428D-979A-8AFAB3883B34}"/>
    <hyperlink ref="Q1426" r:id="rId747" display="../../../../../../../:b:/r/personal/comunicacionesdiveliv_educacionbogota_gov_co/Documents/DIRECCION DE INSPECCION Y VIGILANCIA/DIV POAIV/POAIV 2025/ELIV PUENTE ARANDA/PRIORIZADOS/TRIM II/20250409 visita Colegio Emilio Brigard/25 04 09 acta visita Emilio Brigard.pdf?csf=1&amp;web=1&amp;e=pjprRc" xr:uid="{BFDA28E4-2340-4DCD-8617-FC30582CEC6F}"/>
    <hyperlink ref="Q1427" r:id="rId748" display="../../../../../../../:b:/r/personal/comunicacionesdiveliv_educacionbogota_gov_co/Documents/DIRECCION DE INSPECCION Y VIGILANCIA/DIV POAIV/POAIV 2025/ELIV PUENTE ARANDA/PRIORIZADOS/TRIM II/VIISITA CON FINES DE MEJORAMIENTO LICEO ROMULO GALLEGOS/20250527visitaAdministrativaRomuloGallegos.pdf?csf=1&amp;web=1&amp;e=hZJ8Kd" xr:uid="{56978A89-055F-4DDD-B8F4-3A8F7659A8DA}"/>
    <hyperlink ref="Q1428:Q1435" r:id="rId749" display="20250527visitaAdministrativaRomuloGallegos.pdf" xr:uid="{A51E2E98-F060-491A-854A-2AF4CBFA72FE}"/>
    <hyperlink ref="Q1396" r:id="rId750" display="../../../../../../../:b:/r/personal/comunicacionesdiveliv_educacionbogota_gov_co/Documents/DIRECCION DE INSPECCION Y VIGILANCIA/DIV POAIV/POAIV 2025/ELIV PUENTE ARANDA/PRIORIZADOS/TRIM I/25 03 26 acta Luis Concha Cordoba.pdf?csf=1&amp;web=1&amp;e=H3PtWv" xr:uid="{332AA175-F063-4315-A0B2-DA2F66EFA92F}"/>
    <hyperlink ref="Q1398" r:id="rId751" display="../../../../../../../:f:/r/personal/comunicacionesdiveliv_educacionbogota_gov_co/Documents/DIRECCION DE INSPECCION Y VIGILANCIA/DIV POAIV/POAIV 2025/ELIV PUENTE ARANDA/PRIORIZADOS/TRIM I/Actas Gobierno Escolare Luis Concha Cordoba?csf=1&amp;web=1&amp;e=tH0mYd" xr:uid="{2AE5F71C-2F11-4550-A563-562E40C6E228}"/>
    <hyperlink ref="Q1397" r:id="rId752" display="25 03 26 acta Luis Concha Cordoba " xr:uid="{56A16356-9645-49BC-9853-0C94F912FAC5}"/>
    <hyperlink ref="Q1464" r:id="rId753" display="../../../../../../../:b:/r/personal/comunicacionesdiveliv_educacionbogota_gov_co/Documents/DIRECCION DE INSPECCION Y VIGILANCIA/DIV POAIV/POAIV 2025/ELIV PUENTE ARANDA/PRIORIZADOS/TRIM II/20250611 Colegio Silveria Espinosa de Rendon/25 06 11 acta visita Silveria.pdf?csf=1&amp;web=1&amp;e=dNW6ZH" xr:uid="{41ACEA7A-FC31-41B8-8E28-79FD70D09602}"/>
    <hyperlink ref="Q1465" r:id="rId754" display="../../../../../../../:b:/r/personal/comunicacionesdiveliv_educacionbogota_gov_co/Documents/DIRECCION DE INSPECCION Y VIGILANCIA/DIV POAIV/POAIV 2025/ELIV PUENTE ARANDA/PRIORIZADOS/TRIM II/20250611 Colegio Silveria Espinosa de Rendon/25 06 11 acta visita Silveria.pdf?csf=1&amp;web=1&amp;e=dNW6ZH" xr:uid="{2FB4AE63-6248-4B9F-9003-D9F3451A12BA}"/>
    <hyperlink ref="Q1466" r:id="rId755" display="../../../../../../../:b:/r/personal/comunicacionesdiveliv_educacionbogota_gov_co/Documents/DIRECCION DE INSPECCION Y VIGILANCIA/DIV POAIV/POAIV 2025/ELIV PUENTE ARANDA/PRIORIZADOS/TRIM II/20250611 Colegio Silveria Espinosa de Rendon/25 06 11 acta visita Silveria.pdf?csf=1&amp;web=1&amp;e=dNW6ZH" xr:uid="{8AB41C55-73EB-430C-8B91-38B67655477A}"/>
    <hyperlink ref="Q1467" r:id="rId756" display="../../../../../../../:b:/r/personal/comunicacionesdiveliv_educacionbogota_gov_co/Documents/DIRECCION DE INSPECCION Y VIGILANCIA/DIV POAIV/POAIV 2025/ELIV PUENTE ARANDA/PRIORIZADOS/TRIM II/20250611 Colegio Silveria Espinosa de Rendon/25 06 11 acta visita Silveria.pdf?csf=1&amp;web=1&amp;e=dNW6ZH" xr:uid="{BAECA6CA-9D21-4D2B-9F42-9EA04799FAFA}"/>
    <hyperlink ref="Q1468" r:id="rId757" display="../../../../../../../:b:/r/personal/comunicacionesdiveliv_educacionbogota_gov_co/Documents/DIRECCION DE INSPECCION Y VIGILANCIA/DIV POAIV/POAIV 2025/ELIV PUENTE ARANDA/PRIORIZADOS/TRIM II/20250611 Colegio Silveria Espinosa de Rendon/25 06 11 acta visita Silveria.pdf?csf=1&amp;web=1&amp;e=dNW6ZH" xr:uid="{6F1081C4-C8FD-4723-8F3D-FEBA15A1A1B3}"/>
    <hyperlink ref="Q1469" r:id="rId758" display="../../../../../../../:b:/r/personal/comunicacionesdiveliv_educacionbogota_gov_co/Documents/DIRECCION DE INSPECCION Y VIGILANCIA/DIV POAIV/POAIV 2025/ELIV PUENTE ARANDA/PRIORIZADOS/TRIM II/20250611 Colegio Silveria Espinosa de Rendon/25 06 11 acta visita Silveria.pdf?csf=1&amp;web=1&amp;e=dNW6ZH" xr:uid="{5496076D-32A8-40BF-8191-F0FC6ABCAF8F}"/>
    <hyperlink ref="Q1470" r:id="rId759" display="../../../../../../../:b:/r/personal/comunicacionesdiveliv_educacionbogota_gov_co/Documents/DIRECCION DE INSPECCION Y VIGILANCIA/DIV POAIV/POAIV 2025/ELIV PUENTE ARANDA/PRIORIZADOS/TRIM II/20250611 Colegio Silveria Espinosa de Rendon/25 06 11 acta visita Silveria.pdf?csf=1&amp;web=1&amp;e=dNW6ZH" xr:uid="{51972C67-1533-429A-80AB-3F0000A736DD}"/>
    <hyperlink ref="Q1471" r:id="rId760" display="../../../../../../../:b:/r/personal/comunicacionesdiveliv_educacionbogota_gov_co/Documents/DIRECCION DE INSPECCION Y VIGILANCIA/DIV POAIV/POAIV 2025/ELIV PUENTE ARANDA/PRIORIZADOS/TRIM II/20250611 Colegio Silveria Espinosa de Rendon/25 06 11 acta visita Silveria.pdf?csf=1&amp;web=1&amp;e=dNW6ZH" xr:uid="{36FF1754-87C7-46A3-8385-FB19F10BBF5A}"/>
    <hyperlink ref="Q1472" r:id="rId761"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E6353F4F-F820-46AB-A472-09165944F783}"/>
    <hyperlink ref="Q1473" r:id="rId762"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1E2EB402-94E3-4DB6-A3E4-F04A2F15B878}"/>
    <hyperlink ref="Q1475" r:id="rId763"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B4C47DB9-0B32-4F06-963C-59887156A8AD}"/>
    <hyperlink ref="Q1476" r:id="rId764"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9AD1B21E-4660-45F4-8099-2543C7357CC4}"/>
    <hyperlink ref="Q1477" r:id="rId765"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3B1972C8-D3F6-4133-B58F-5639113214CE}"/>
    <hyperlink ref="Q1478" r:id="rId766"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68CF8257-A5DF-49CB-9F08-0E21B7DE8975}"/>
    <hyperlink ref="Q1456" r:id="rId767" display="../../../../../../../:b:/r/personal/comunicacionesdiveliv_educacionbogota_gov_co/Documents/DIRECCION DE INSPECCION Y VIGILANCIA/DIV POAIV/POAIV 2025/ELIV PUENTE ARANDA/PRIORIZADOS/TRIM III/25 07 23 Palomitos traviesos/25 07 23 acta visita PalomitosTraviesos.pdf?csf=1&amp;web=1&amp;e=XaUDWi" xr:uid="{3F05E780-A2C5-4BEC-B337-60134C1CFEB4}"/>
    <hyperlink ref="Q1457" r:id="rId768" display="../../../../../../../:b:/r/personal/comunicacionesdiveliv_educacionbogota_gov_co/Documents/DIRECCION DE INSPECCION Y VIGILANCIA/DIV POAIV/POAIV 2025/ELIV PUENTE ARANDA/PRIORIZADOS/TRIM III/25 07 23 Palomitos traviesos/25 07 23 acta visita PalomitosTraviesos.pdf?csf=1&amp;web=1&amp;e=XaUDWi" xr:uid="{25F61999-E546-4DD7-AF4B-C76E3136C8AF}"/>
    <hyperlink ref="Q1458:Q1463" r:id="rId769" display="25 07 23 acta visita PalomitosTraviesos.pdf" xr:uid="{F2011001-179B-41F2-817B-AFB910FA9133}"/>
    <hyperlink ref="Q1474" r:id="rId770"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78AA6F2B-1CF5-47F6-B139-4FC06751BB16}"/>
    <hyperlink ref="Q1479" r:id="rId771" display="../../../../../../../:b:/r/personal/comunicacionesdiveliv_educacionbogota_gov_co/Documents/DIRECCION DE INSPECCION Y VIGILANCIA/DIV POAIV/POAIV 2025/ELIV PUENTE ARANDA/PRIORIZADOS/TRIM III/VISITA CON FINES DE MEJORAMIENTO COLEGIO ESPA%C3%91A IED/V.5.Acta de visita con fines de mejoramiento Colegio Espa%C3%B1a..pdf?csf=1&amp;web=1&amp;e=QcAb7M" xr:uid="{15497482-4A81-4CB9-B33C-8AB10E36E085}"/>
    <hyperlink ref="Q1488" r:id="rId772" display="../../../../../../../:b:/r/personal/comunicacionesdiveliv_educacionbogota_gov_co/Documents/DIRECCION DE INSPECCION Y VIGILANCIA/DIV POAIV/POAIV 2025/ELIV PUENTE ARANDA/PRIORIZADOS/TRIM III/25 08 01 visita CEA Bogota Vial 1/20250801_Acta Visita CEA Bgta Vial.pdf?csf=1&amp;web=1&amp;e=gcC9VF" xr:uid="{A319EC62-91B8-4178-AC6A-3B6EFC828D85}"/>
    <hyperlink ref="Q1489:Q1490" r:id="rId773" display="../../../../../../../:b:/r/personal/comunicacionesdiveliv_educacionbogota_gov_co/Documents/DIRECCION DE INSPECCION Y VIGILANCIA/DIV POAIV/POAIV 2025/ELIV PUENTE ARANDA/PRIORIZADOS/TRIM III/25 08 01 visita CEA Bogota Vial 1/20250801_Acta Visita CEA Bgta Vial.pdf?csf=1&amp;web=1&amp;e=gcC9VF" xr:uid="{AF745311-194C-4000-9A8B-A767DEDCD980}"/>
    <hyperlink ref="Q1689" r:id="rId774" display="../../../../../../../:b:/r/personal/comunicacionesdiveliv_educacionbogota_gov_co/Documents/DIRECCION DE INSPECCION Y VIGILANCIA/DIV POAIV/POAIV 2025/SAN CRIST%C3%93BAL/PRIORIZADOS/TRIM I/ACTA VISITA ADMINISTRATIVA COLEGIO INTEGRAL AVANCEMOS.pdf?csf=1&amp;web=1&amp;e=DbivjX" xr:uid="{434C8E3A-85C2-4B04-9818-7E61BDD55300}"/>
    <hyperlink ref="Q1792" r:id="rId775" display="../../../../../../../:x:/r/personal/comunicacionesdiveliv_educacionbogota_gov_co/Documents/DIRECCION DE INSPECCION Y VIGILANCIA/DIV POAIV/POAIV 2025/SAN CRIST%C3%93BAL/PRIORIZADOS/TRIM I/Revisi%C3%B3n calendario acad%C3%A9mico 2025.xlsx?d=w35e8840f795d40bf8fbb8afda88987ca&amp;csf=1&amp;web=1&amp;e=h2cHDf" xr:uid="{52494A99-E39C-4291-AB03-75CF7980BD7B}"/>
    <hyperlink ref="Q1835" r:id="rId776" display="../../../../../../../:b:/r/personal/comunicacionesdiveliv_educacionbogota_gov_co/Documents/DIRECCION DE INSPECCION Y VIGILANCIA/DIV POAIV/POAIV 2025/SAN CRIST%C3%93BAL/PRIORIZADOS/TRIM II/0403 Acta visita administrativa Fundesco ETDH.pdf?csf=1&amp;web=1&amp;e=Pa12B7" xr:uid="{13DC7A06-A5AE-4421-B401-2592073B794B}"/>
    <hyperlink ref="Q1699" r:id="rId777" display="../../../../../../../:b:/r/personal/comunicacionesdiveliv_educacionbogota_gov_co/Documents/DIRECCION DE INSPECCION Y VIGILANCIA/DIV POAIV/POAIV 2025/SAN CRIST%C3%93BAL/PRIORIZADOS/TRIM II/0411 Acta de visita administrativa Isaac Newton.pdf?csf=1&amp;web=1&amp;e=GY4TjW" xr:uid="{0F0A1EAB-7D40-493B-85CB-D687A0665CB4}"/>
    <hyperlink ref="Q1700" r:id="rId778" display="../../../../../../../:b:/r/personal/comunicacionesdiveliv_educacionbogota_gov_co/Documents/DIRECCION DE INSPECCION Y VIGILANCIA/DIV POAIV/POAIV 2025/SAN CRIST%C3%93BAL/PRIORIZADOS/TRIM II/0411 Acta de visita administrativa Isaac Newton.pdf?csf=1&amp;web=1&amp;e=GY4TjW" xr:uid="{650A7C65-E933-4C39-A4DE-F77FAAB6DF08}"/>
    <hyperlink ref="Q1807" r:id="rId779" display="../../../../../../../:b:/r/personal/comunicacionesdiveliv_educacionbogota_gov_co/Documents/DIRECCION DE INSPECCION Y VIGILANCIA/DIV POAIV/POAIV 2025/SAN CRIST%C3%93BAL/PRIORIZADOS/TRIM II/0430 Acta visita Liceo San Jos%C3%A9 Oriental.pdf?csf=1&amp;web=1&amp;e=ycTSDg" xr:uid="{1DF67BA9-2B7F-4BE1-976E-9F49508426EC}"/>
    <hyperlink ref="Q1815" r:id="rId780" display="../../../../../../../:b:/r/personal/comunicacionesdiveliv_educacionbogota_gov_co/Documents/DIRECCION DE INSPECCION Y VIGILANCIA/DIV POAIV/POAIV 2025/SAN CRIST%C3%93BAL/PRIORIZADOS/TRIM II/0411 Acta visita Liceo Sendero del Saber  11042025.pdf?csf=1&amp;web=1&amp;e=3bnIPU" xr:uid="{9E40F625-506A-49D4-806E-2125B1DE5C66}"/>
    <hyperlink ref="Q1816" r:id="rId781" display="../../../../../../../:b:/r/personal/comunicacionesdiveliv_educacionbogota_gov_co/Documents/DIRECCION DE INSPECCION Y VIGILANCIA/DIV POAIV/POAIV 2025/SAN CRIST%C3%93BAL/PRIORIZADOS/TRIM II/0411 Acta visita Liceo Sendero del Saber  11042025.pdf?csf=1&amp;web=1&amp;e=3bnIPU" xr:uid="{D29A43CB-B186-4087-85F3-B863BABBBD21}"/>
    <hyperlink ref="Q1678" r:id="rId782" display="../../../../../../../:b:/r/personal/comunicacionesdiveliv_educacionbogota_gov_co/Documents/DIRECCION DE INSPECCION Y VIGILANCIA/DIV POAIV/POAIV 2025/ELIV SAN CRIST%C3%93BAL/PRIORIZADOS/TRIM II/0605 Acta de visita administrativa Centro Ccial. Madre Elisa Roncallo.pdf?csf=1&amp;web=1&amp;e=n0jYh9" xr:uid="{CAAAAA76-0DEF-4D3F-92BB-ECC4EC8A8AFD}"/>
    <hyperlink ref="Q1679" r:id="rId783" display="../../../../../../../:b:/r/personal/comunicacionesdiveliv_educacionbogota_gov_co/Documents/DIRECCION DE INSPECCION Y VIGILANCIA/DIV POAIV/POAIV 2025/ELIV SAN CRIST%C3%93BAL/PRIORIZADOS/TRIM II/0605 Acta de visita administrativa Centro Ccial. Madre Elisa Roncallo.pdf?csf=1&amp;web=1&amp;e=n0jYh9" xr:uid="{81BD6E2E-D410-4066-8F41-05B279D1B99E}"/>
    <hyperlink ref="Q1680" r:id="rId784" display="../../../../../../../:b:/r/personal/comunicacionesdiveliv_educacionbogota_gov_co/Documents/DIRECCION DE INSPECCION Y VIGILANCIA/DIV POAIV/POAIV 2025/ELIV SAN CRIST%C3%93BAL/PRIORIZADOS/TRIM II/0605 Acta de visita administrativa Centro Ccial. Madre Elisa Roncallo.pdf?csf=1&amp;web=1&amp;e=n0jYh9" xr:uid="{F8907C87-40B3-4A35-A0CC-18FB14B6D04F}"/>
    <hyperlink ref="Q1681" r:id="rId785" display="../../../../../../../:b:/r/personal/comunicacionesdiveliv_educacionbogota_gov_co/Documents/DIRECCION DE INSPECCION Y VIGILANCIA/DIV POAIV/POAIV 2025/ELIV SAN CRIST%C3%93BAL/PRIORIZADOS/TRIM II/0605 Acta de visita administrativa Centro Ccial. Madre Elisa Roncallo.pdf?csf=1&amp;web=1&amp;e=n0jYh9" xr:uid="{71296007-EE29-4E96-94C8-301B0FD83BAC}"/>
    <hyperlink ref="Q1682" r:id="rId786" display="../../../../../../../:b:/r/personal/comunicacionesdiveliv_educacionbogota_gov_co/Documents/DIRECCION DE INSPECCION Y VIGILANCIA/DIV POAIV/POAIV 2025/ELIV SAN CRIST%C3%93BAL/PRIORIZADOS/TRIM II/0605 Acta de visita administrativa Centro Ccial. Madre Elisa Roncallo.pdf?csf=1&amp;web=1&amp;e=n0jYh9" xr:uid="{F43992D8-AF96-466D-AAA5-845F8A5F7840}"/>
    <hyperlink ref="Q1683" r:id="rId787" display="../../../../../../../:b:/r/personal/comunicacionesdiveliv_educacionbogota_gov_co/Documents/DIRECCION DE INSPECCION Y VIGILANCIA/DIV POAIV/POAIV 2025/ELIV SAN CRIST%C3%93BAL/PRIORIZADOS/TRIM II/0605 Acta de visita administrativa Centro Ccial. Madre Elisa Roncallo.pdf?csf=1&amp;web=1&amp;e=n0jYh9" xr:uid="{B013A467-5728-4AA6-AD4A-1D1050BD2FD2}"/>
    <hyperlink ref="Q1684" r:id="rId788" display="../../../../../../../:b:/r/personal/comunicacionesdiveliv_educacionbogota_gov_co/Documents/DIRECCION DE INSPECCION Y VIGILANCIA/DIV POAIV/POAIV 2025/ELIV SAN CRIST%C3%93BAL/PRIORIZADOS/TRIM II/0605 Acta de visita administrativa Centro Ccial. Madre Elisa Roncallo.pdf?csf=1&amp;web=1&amp;e=n0jYh9" xr:uid="{946C85A0-51C4-462F-B837-3CBBA7E8DF42}"/>
    <hyperlink ref="Q1685" r:id="rId789" display="../../../../../../../:b:/r/personal/comunicacionesdiveliv_educacionbogota_gov_co/Documents/DIRECCION DE INSPECCION Y VIGILANCIA/DIV POAIV/POAIV 2025/ELIV SAN CRIST%C3%93BAL/PRIORIZADOS/TRIM II/0605 Acta de visita administrativa Centro Ccial. Madre Elisa Roncallo.pdf?csf=1&amp;web=1&amp;e=n0jYh9" xr:uid="{ADAF3D6E-0559-483C-894F-1BD3DBDB52B9}"/>
    <hyperlink ref="Q1686" r:id="rId790" display="../../../../../../../:b:/r/personal/comunicacionesdiveliv_educacionbogota_gov_co/Documents/DIRECCION DE INSPECCION Y VIGILANCIA/DIV POAIV/POAIV 2025/ELIV SAN CRIST%C3%93BAL/PRIORIZADOS/TRIM II/0605 Acta de visita administrativa Centro Ccial. Madre Elisa Roncallo.pdf?csf=1&amp;web=1&amp;e=n0jYh9" xr:uid="{74D84E6C-9F35-48E6-B1E7-98615EFEF0F8}"/>
    <hyperlink ref="Q1723" r:id="rId791" display="../../../../../../../:b:/r/personal/comunicacionesdiveliv_educacionbogota_gov_co/Documents/DIRECCION DE INSPECCION Y VIGILANCIA/DIV POAIV/POAIV 2025/ELIV SAN CRIST%C3%93BAL/PRIORIZADOS/TRIM II/0519 Acta de Visita Colegio Monse%C3%B1or Bernardo S%C3%A1nchez final.pdf?csf=1&amp;web=1&amp;e=woxYap" xr:uid="{EBFC885E-05F7-4EB8-865A-1710E0631BB2}"/>
    <hyperlink ref="Q1725" r:id="rId792" display="../../../../../../../:b:/r/personal/comunicacionesdiveliv_educacionbogota_gov_co/Documents/DIRECCION DE INSPECCION Y VIGILANCIA/DIV POAIV/POAIV 2025/ELIV SAN CRIST%C3%93BAL/PRIORIZADOS/TRIM II/0519 Acta de Visita Colegio Monse%C3%B1or Bernardo S%C3%A1nchez final.pdf?csf=1&amp;web=1&amp;e=woxYap" xr:uid="{B63706AB-0758-4C12-AAF0-D7DCAC69D85B}"/>
    <hyperlink ref="Q1750" r:id="rId793" display="../../../../../../../:b:/r/personal/comunicacionesdiveliv_educacionbogota_gov_co/Documents/DIRECCION DE INSPECCION Y VIGILANCIA/DIV POAIV/POAIV 2025/ELIV SAN CRIST%C3%93BAL/PRIORIZADOS/TRIM II/0523 Visita Colegio SANTA CATALINA DEL SUR ORIENTE.pdf?csf=1&amp;web=1&amp;e=JyH7st" xr:uid="{3DB3F1B7-ED64-4F7B-B873-4AC0DC3FFBD4}"/>
    <hyperlink ref="Q1751:Q1758" r:id="rId794" display="0523 Visita Colegio SANTA CATALINA DEL SUR ORIENTE.pdf" xr:uid="{B0C84156-856E-4197-97DC-8FD389CF2079}"/>
    <hyperlink ref="Q1795" r:id="rId795" display="../../../../../../../:b:/r/personal/comunicacionesdiveliv_educacionbogota_gov_co/Documents/DIRECCION DE INSPECCION Y VIGILANCIA/DIV POAIV/POAIV 2025/ELIV SAN CRIST%C3%93BAL/PRIORIZADOS/TRIM II/0509 Acta visita Liceo el Encanto.pdf?csf=1&amp;web=1&amp;e=70Z0cq" xr:uid="{9F2BDD56-8B48-435F-8074-14003AB53AA3}"/>
    <hyperlink ref="Q1796:Q1803" r:id="rId796" display="0509 Acta visita Liceo el Encanto.pdf" xr:uid="{0CD23D20-C9B3-442F-8D82-FA415894B02C}"/>
    <hyperlink ref="Q1741" r:id="rId797" display="../../../../../../../:b:/r/personal/comunicacionesdiveliv_educacionbogota_gov_co/Documents/DIRECCION DE INSPECCION Y VIGILANCIA/DIV POAIV/POAIV 2025/ELIV SAN CRIST%C3%93BAL/PRIORIZADOS/TRIM II/6-06 VISITAS CON FINES DE MEJORAMIENTO COL. PRINCIPE DE PAZ.pdf?csf=1&amp;web=1&amp;e=5xWrnx" xr:uid="{024596A7-19E4-416C-9165-09AD181BD3C7}"/>
    <hyperlink ref="Q1742:Q1749" r:id="rId798" display="6-06 VISITAS CON FINES DE MEJORAMIENTO COL. PRINCIPE DE PAZ.pdf" xr:uid="{52306524-0F6C-421A-BA6F-908EE1817C33}"/>
    <hyperlink ref="Q1759" r:id="rId799" display="../../../../../../../:b:/r/personal/comunicacionesdiveliv_educacionbogota_gov_co/Documents/DIRECCION DE INSPECCION Y VIGILANCIA/DIV POAIV/POAIV 2025/ELIV SAN CRIST%C3%93BAL/PRIORIZADOS/TRIM II/0613 Acta de Visita Colegio Sur Oriental Panamericano.pdf?csf=1&amp;web=1&amp;e=B995c1" xr:uid="{12FBF68A-CEC6-4910-9A33-CD5716CB958A}"/>
    <hyperlink ref="Q1761" r:id="rId800" display="../../../../../../../:b:/r/personal/comunicacionesdiveliv_educacionbogota_gov_co/Documents/DIRECCION DE INSPECCION Y VIGILANCIA/DIV POAIV/POAIV 2025/ELIV SAN CRIST%C3%93BAL/PRIORIZADOS/TRIM II/0613 Acta de Visita Colegio Sur Oriental Panamericano.pdf?csf=1&amp;web=1&amp;e=B995c1" xr:uid="{CAE44142-744F-4030-B015-0F15DD42335D}"/>
    <hyperlink ref="Q1762" r:id="rId801" display="../../../../../../../:b:/r/personal/comunicacionesdiveliv_educacionbogota_gov_co/Documents/DIRECCION DE INSPECCION Y VIGILANCIA/DIV POAIV/POAIV 2025/ELIV SAN CRIST%C3%93BAL/PRIORIZADOS/TRIM II/0613 Acta de Visita Colegio Sur Oriental Panamericano.pdf?csf=1&amp;web=1&amp;e=B995c1" xr:uid="{9B32DC6B-A383-48CD-8A8D-5E0CBB1AB4F5}"/>
    <hyperlink ref="Q1763" r:id="rId802" display="../../../../../../../:b:/r/personal/comunicacionesdiveliv_educacionbogota_gov_co/Documents/DIRECCION DE INSPECCION Y VIGILANCIA/DIV POAIV/POAIV 2025/ELIV SAN CRIST%C3%93BAL/PRIORIZADOS/TRIM II/0613 Acta de Visita Colegio Sur Oriental Panamericano.pdf?csf=1&amp;web=1&amp;e=B995c1" xr:uid="{3A26C018-542E-45D9-A0F6-5DE0A97A794B}"/>
    <hyperlink ref="Q1764" r:id="rId803" display="../../../../../../../:b:/r/personal/comunicacionesdiveliv_educacionbogota_gov_co/Documents/DIRECCION DE INSPECCION Y VIGILANCIA/DIV POAIV/POAIV 2025/ELIV SAN CRIST%C3%93BAL/PRIORIZADOS/TRIM II/0613 Acta de Visita Colegio Sur Oriental Panamericano.pdf?csf=1&amp;web=1&amp;e=B995c1" xr:uid="{5B76D721-E445-46AD-957D-F2E3A865D0B4}"/>
    <hyperlink ref="Q1765" r:id="rId804" display="../../../../../../../:b:/r/personal/comunicacionesdiveliv_educacionbogota_gov_co/Documents/DIRECCION DE INSPECCION Y VIGILANCIA/DIV POAIV/POAIV 2025/ELIV SAN CRIST%C3%93BAL/PRIORIZADOS/TRIM II/0613 Acta de Visita Colegio Sur Oriental Panamericano.pdf?csf=1&amp;web=1&amp;e=B995c1" xr:uid="{2AEB7159-2299-41EE-A313-9F8E615767C7}"/>
    <hyperlink ref="Q1766" r:id="rId805" display="../../../../../../../:b:/r/personal/comunicacionesdiveliv_educacionbogota_gov_co/Documents/DIRECCION DE INSPECCION Y VIGILANCIA/DIV POAIV/POAIV 2025/ELIV SAN CRIST%C3%93BAL/PRIORIZADOS/TRIM II/0613 Acta de Visita Colegio Sur Oriental Panamericano.pdf?csf=1&amp;web=1&amp;e=B995c1" xr:uid="{2C794A91-21D9-4E2F-86EB-9DDCE2B6288D}"/>
    <hyperlink ref="Q1767" r:id="rId806" display="../../../../../../../:b:/r/personal/comunicacionesdiveliv_educacionbogota_gov_co/Documents/DIRECCION DE INSPECCION Y VIGILANCIA/DIV POAIV/POAIV 2025/ELIV SAN CRIST%C3%93BAL/PRIORIZADOS/TRIM II/0613 Acta de Visita Colegio Sur Oriental Panamericano.pdf?csf=1&amp;web=1&amp;e=B995c1" xr:uid="{9F22A5DD-D654-452D-AB86-5E1F5544F0C9}"/>
    <hyperlink ref="Q1778" r:id="rId807" display="../../../../../../../:b:/r/personal/comunicacionesdiveliv_educacionbogota_gov_co/Documents/DIRECCION DE INSPECCION Y VIGILANCIA/DIV POAIV/POAIV 2025/ELIV SAN CRIST%C3%93BAL/PRIORIZADOS/TRIM II/0613 Acta de visita administrativa Instituto Ccial. Eduardo Torres Quintero.pdf?csf=1&amp;web=1&amp;e=LBi1wp" xr:uid="{B3775B9B-82E6-43C1-B5CA-B1DD7F8DDFFD}"/>
    <hyperlink ref="Q1779" r:id="rId808" display="../../../../../../../:b:/r/personal/comunicacionesdiveliv_educacionbogota_gov_co/Documents/DIRECCION DE INSPECCION Y VIGILANCIA/DIV POAIV/POAIV 2025/ELIV SAN CRIST%C3%93BAL/PRIORIZADOS/TRIM II/0613 Acta de visita administrativa Instituto Ccial. Eduardo Torres Quintero.pdf?csf=1&amp;web=1&amp;e=LBi1wp" xr:uid="{862D3E75-533B-4027-8D5F-0C4C46FE8B15}"/>
    <hyperlink ref="Q1780" r:id="rId809" display="../../../../../../../:b:/r/personal/comunicacionesdiveliv_educacionbogota_gov_co/Documents/DIRECCION DE INSPECCION Y VIGILANCIA/DIV POAIV/POAIV 2025/ELIV SAN CRIST%C3%93BAL/PRIORIZADOS/TRIM II/0613 Acta de visita administrativa Instituto Ccial. Eduardo Torres Quintero.pdf?csf=1&amp;web=1&amp;e=LBi1wp" xr:uid="{1A63DE7A-4E84-4CD4-8292-B5141F85EB4D}"/>
    <hyperlink ref="Q1781" r:id="rId810" display="../../../../../../../:b:/r/personal/comunicacionesdiveliv_educacionbogota_gov_co/Documents/DIRECCION DE INSPECCION Y VIGILANCIA/DIV POAIV/POAIV 2025/ELIV SAN CRIST%C3%93BAL/PRIORIZADOS/TRIM II/0613 Acta de visita administrativa Instituto Ccial. Eduardo Torres Quintero.pdf?csf=1&amp;web=1&amp;e=LBi1wp" xr:uid="{D778CC72-3485-4740-B488-E2106E87DCAD}"/>
    <hyperlink ref="Q1782" r:id="rId811" display="../../../../../../../:b:/r/personal/comunicacionesdiveliv_educacionbogota_gov_co/Documents/DIRECCION DE INSPECCION Y VIGILANCIA/DIV POAIV/POAIV 2025/ELIV SAN CRIST%C3%93BAL/PRIORIZADOS/TRIM II/0613 Acta de visita administrativa Instituto Ccial. Eduardo Torres Quintero.pdf?csf=1&amp;web=1&amp;e=LBi1wp" xr:uid="{1459F6EE-3591-45E1-84A9-BACF6C29CC23}"/>
    <hyperlink ref="Q1783" r:id="rId812" display="../../../../../../../:b:/r/personal/comunicacionesdiveliv_educacionbogota_gov_co/Documents/DIRECCION DE INSPECCION Y VIGILANCIA/DIV POAIV/POAIV 2025/ELIV SAN CRIST%C3%93BAL/PRIORIZADOS/TRIM II/0613 Acta de visita administrativa Instituto Ccial. Eduardo Torres Quintero.pdf?csf=1&amp;web=1&amp;e=LBi1wp" xr:uid="{F64BE88D-D855-49F3-BED4-3612216AE659}"/>
    <hyperlink ref="Q1784" r:id="rId813" display="../../../../../../../:b:/r/personal/comunicacionesdiveliv_educacionbogota_gov_co/Documents/DIRECCION DE INSPECCION Y VIGILANCIA/DIV POAIV/POAIV 2025/ELIV SAN CRIST%C3%93BAL/PRIORIZADOS/TRIM II/0613 Acta de visita administrativa Instituto Ccial. Eduardo Torres Quintero.pdf?csf=1&amp;web=1&amp;e=LBi1wp" xr:uid="{4071A417-781A-40F2-AB1D-A4B5DE12D2BD}"/>
    <hyperlink ref="Q1785" r:id="rId814" display="../../../../../../../:b:/r/personal/comunicacionesdiveliv_educacionbogota_gov_co/Documents/DIRECCION DE INSPECCION Y VIGILANCIA/DIV POAIV/POAIV 2025/ELIV SAN CRIST%C3%93BAL/PRIORIZADOS/TRIM II/0613 Acta de visita administrativa Instituto Ccial. Eduardo Torres Quintero.pdf?csf=1&amp;web=1&amp;e=LBi1wp" xr:uid="{2C7D96AA-EF85-4B80-BD7E-EB88EC640370}"/>
    <hyperlink ref="Q1687" r:id="rId815" display="../../../../../../../:b:/r/personal/comunicacionesdiveliv_educacionbogota_gov_co/Documents/DIRECCION DE INSPECCION Y VIGILANCIA/DIV POAIV/POAIV 2025/ELIV SAN CRIST%C3%93BAL/PRIORIZADOS/TRIM I/ACTA VISITA ADMINISTRATIVA COLEGIO INTEGRAL AVANCEMOS.pdf?csf=1&amp;web=1&amp;e=Dg8EFe" xr:uid="{86361351-C915-4089-B04C-A9212D4A690F}"/>
    <hyperlink ref="Q1688" r:id="rId816" display="../../../../../../../:b:/r/personal/comunicacionesdiveliv_educacionbogota_gov_co/Documents/DIRECCION DE INSPECCION Y VIGILANCIA/DIV POAIV/POAIV 2025/ELIV SAN CRIST%C3%93BAL/PRIORIZADOS/TRIM I/ACTA VISITA ADMINISTRATIVA COLEGIO INTEGRAL AVANCEMOS.pdf?csf=1&amp;web=1&amp;e=Dg8EFe" xr:uid="{94566C02-C1EF-4B11-A7F2-EE63555FCBF5}"/>
    <hyperlink ref="Q1690" r:id="rId817" display="../../../../../../../:b:/r/personal/comunicacionesdiveliv_educacionbogota_gov_co/Documents/DIRECCION DE INSPECCION Y VIGILANCIA/DIV POAIV/POAIV 2025/ELIV SAN CRIST%C3%93BAL/PRIORIZADOS/TRIM I/ACTA VISITA ADMINISTRATIVA COLEGIO INTEGRAL AVANCEMOS.pdf?csf=1&amp;web=1&amp;e=Dg8EFe" xr:uid="{E088AD8F-D0A6-48E9-9816-81727F3D7F1E}"/>
    <hyperlink ref="Q1691" r:id="rId818" display="../../../../../../../:b:/r/personal/comunicacionesdiveliv_educacionbogota_gov_co/Documents/DIRECCION DE INSPECCION Y VIGILANCIA/DIV POAIV/POAIV 2025/ELIV SAN CRIST%C3%93BAL/PRIORIZADOS/TRIM I/ACTA VISITA ADMINISTRATIVA COLEGIO INTEGRAL AVANCEMOS.pdf?csf=1&amp;web=1&amp;e=Dg8EFe" xr:uid="{B0077030-1660-4FE8-B855-6942772EEE36}"/>
    <hyperlink ref="Q1693" r:id="rId819" display="../../../../../../../:x:/r/personal/comunicacionesdiveliv_educacionbogota_gov_co/Documents/DIRECCION DE INSPECCION Y VIGILANCIA/DIV POAIV/POAIV 2025/SAN CRIST%C3%93BAL/PRIORIZADOS/TRIM I/Revisi%C3%B3n calendario acad%C3%A9mico 2025.xlsx?d=w35e8840f795d40bf8fbb8afda88987ca&amp;csf=1&amp;web=1&amp;e=h2cHDf" xr:uid="{37B372C1-4993-4CEE-9F40-19EF1BFDE8DF}"/>
    <hyperlink ref="Q1692" r:id="rId820" display="../../../../../../../:b:/r/personal/comunicacionesdiveliv_educacionbogota_gov_co/Documents/DIRECCION DE INSPECCION Y VIGILANCIA/DIV POAIV/POAIV 2025/SAN CRIST%C3%93BAL/PRIORIZADOS/TRIM I/ACTA VISITA ADMINISTRATIVA COLEGIO INTEGRAL AVANCEMOS.pdf?csf=1&amp;web=1&amp;e=DbivjX" xr:uid="{7A0B58F7-657E-4D34-8D19-11E9A85EE1CE}"/>
    <hyperlink ref="Q1694" r:id="rId821" display="../../../../../../../:b:/r/personal/comunicacionesdiveliv_educacionbogota_gov_co/Documents/DIRECCION DE INSPECCION Y VIGILANCIA/DIV POAIV/POAIV 2025/SAN CRIST%C3%93BAL/PRIORIZADOS/TRIM I/ACTA VISITA ADMINISTRATIVA COLEGIO INTEGRAL AVANCEMOS.pdf?csf=1&amp;web=1&amp;e=DbivjX" xr:uid="{1198BEA5-0915-4D8B-941E-9148F729095D}"/>
    <hyperlink ref="Q1695" r:id="rId822" display="../../../../../../../:b:/r/personal/comunicacionesdiveliv_educacionbogota_gov_co/Documents/DIRECCION DE INSPECCION Y VIGILANCIA/DIV POAIV/POAIV 2025/SAN CRIST%C3%93BAL/PRIORIZADOS/TRIM I/ACTA VISITA ADMINISTRATIVA COLEGIO INTEGRAL AVANCEMOS.pdf?csf=1&amp;web=1&amp;e=DbivjX" xr:uid="{A165DE9D-4443-4CC5-8DBE-C801E0FD0E97}"/>
    <hyperlink ref="Q1696" r:id="rId823" display="../../../../../../../:b:/r/personal/comunicacionesdiveliv_educacionbogota_gov_co/Documents/DIRECCION DE INSPECCION Y VIGILANCIA/DIV POAIV/POAIV 2025/ELIV SAN CRIST%C3%93BAL/PRIORIZADOS/TRIM II/0411 Acta de visita administrativa Isaac Newton.pdf?csf=1&amp;web=1&amp;e=DFE6DM" xr:uid="{E0E62A30-4612-405F-83A5-4A2B7F63ACD4}"/>
    <hyperlink ref="Q1697" r:id="rId824" display="../../../../../../../:b:/r/personal/comunicacionesdiveliv_educacionbogota_gov_co/Documents/DIRECCION DE INSPECCION Y VIGILANCIA/DIV POAIV/POAIV 2025/ELIV SAN CRIST%C3%93BAL/PRIORIZADOS/TRIM II/0411 Acta de visita administrativa Isaac Newton.pdf?csf=1&amp;web=1&amp;e=DFE6DM" xr:uid="{8190D962-DA6E-462B-ACA4-8BEC58A16328}"/>
    <hyperlink ref="Q1698" r:id="rId825" display="../../../../../../../:b:/r/personal/comunicacionesdiveliv_educacionbogota_gov_co/Documents/DIRECCION DE INSPECCION Y VIGILANCIA/DIV POAIV/POAIV 2025/ELIV SAN CRIST%C3%93BAL/PRIORIZADOS/TRIM II/0411 Acta de visita administrativa Isaac Newton.pdf?csf=1&amp;web=1&amp;e=DFE6DM" xr:uid="{479AF381-B660-4845-9A80-1BA714D24E2E}"/>
    <hyperlink ref="Q1701" r:id="rId826" display="../../../../../../../:b:/r/personal/comunicacionesdiveliv_educacionbogota_gov_co/Documents/DIRECCION DE INSPECCION Y VIGILANCIA/DIV POAIV/POAIV 2025/ELIV SAN CRIST%C3%93BAL/PRIORIZADOS/TRIM II/0411 Acta de visita administrativa Isaac Newton.pdf?csf=1&amp;web=1&amp;e=DFE6DM" xr:uid="{D623E417-D435-496F-BA9A-9871A85E67AE}"/>
    <hyperlink ref="Q1702" r:id="rId827" display="../../../../../../../:b:/r/personal/comunicacionesdiveliv_educacionbogota_gov_co/Documents/DIRECCION DE INSPECCION Y VIGILANCIA/DIV POAIV/POAIV 2025/ELIV SAN CRIST%C3%93BAL/PRIORIZADOS/TRIM II/0411 Acta de visita administrativa Isaac Newton.pdf?csf=1&amp;web=1&amp;e=DFE6DM" xr:uid="{226F2AFB-BCBA-40F7-8192-B90EB79D8C9F}"/>
    <hyperlink ref="Q1703" r:id="rId828" display="../../../../../../../:b:/r/personal/comunicacionesdiveliv_educacionbogota_gov_co/Documents/DIRECCION DE INSPECCION Y VIGILANCIA/DIV POAIV/POAIV 2025/ELIV SAN CRIST%C3%93BAL/PRIORIZADOS/TRIM II/0411 Acta de visita administrativa Isaac Newton.pdf?csf=1&amp;web=1&amp;e=DFE6DM" xr:uid="{0619818E-D44A-4DD8-801B-D677DC6FCD3D}"/>
    <hyperlink ref="Q1704" r:id="rId829" display="../../../../../../../:b:/r/personal/comunicacionesdiveliv_educacionbogota_gov_co/Documents/DIRECCION DE INSPECCION Y VIGILANCIA/DIV POAIV/POAIV 2025/ELIV SAN CRIST%C3%93BAL/PRIORIZADOS/TRIM II/0411 Acta de visita administrativa Isaac Newton.pdf?csf=1&amp;web=1&amp;e=DFE6DM" xr:uid="{9F54703D-2C0B-4603-BEDE-32CF4FD4A2FD}"/>
    <hyperlink ref="Q1705" r:id="rId830" display="../../../../../../../:b:/r/personal/comunicacionesdiveliv_educacionbogota_gov_co/Documents/DIRECCION DE INSPECCION Y VIGILANCIA/DIV POAIV/POAIV 2025/ELIV SAN CRIST%C3%93BAL/PRIORIZADOS/TRIM II/0530 Visita Administrativa Colegio Lorenzo de Alcantuz .pdf?csf=1&amp;web=1&amp;e=5rSePG" xr:uid="{17EC4D20-512D-41F2-B571-659EEE40D9F2}"/>
    <hyperlink ref="Q1706" r:id="rId831" display="../../../../../../../:b:/r/personal/comunicacionesdiveliv_educacionbogota_gov_co/Documents/DIRECCION DE INSPECCION Y VIGILANCIA/DIV POAIV/POAIV 2025/ELIV SAN CRIST%C3%93BAL/PRIORIZADOS/TRIM II/0530 Visita Administrativa Colegio Lorenzo de Alcantuz .pdf?csf=1&amp;web=1&amp;e=5rSePG" xr:uid="{A05FC2DF-A0B4-40D1-9FDE-C50CD23CFF46}"/>
    <hyperlink ref="Q1707" r:id="rId832" display="../../../../../../../:b:/r/personal/comunicacionesdiveliv_educacionbogota_gov_co/Documents/DIRECCION DE INSPECCION Y VIGILANCIA/DIV POAIV/POAIV 2025/ELIV SAN CRIST%C3%93BAL/PRIORIZADOS/TRIM II/0530 Visita Administrativa Colegio Lorenzo de Alcantuz .pdf?csf=1&amp;web=1&amp;e=5rSePG" xr:uid="{F018BFF8-2738-482B-95B6-16A1A919EEBA}"/>
    <hyperlink ref="Q1708" r:id="rId833" display="../../../../../../../:b:/r/personal/comunicacionesdiveliv_educacionbogota_gov_co/Documents/DIRECCION DE INSPECCION Y VIGILANCIA/DIV POAIV/POAIV 2025/ELIV SAN CRIST%C3%93BAL/PRIORIZADOS/TRIM II/0530 Visita Administrativa Colegio Lorenzo de Alcantuz .pdf?csf=1&amp;web=1&amp;e=5rSePG" xr:uid="{20F38311-FD31-4A65-B50A-F818DCB3E321}"/>
    <hyperlink ref="Q1709" r:id="rId834" display="../../../../../../../:b:/r/personal/comunicacionesdiveliv_educacionbogota_gov_co/Documents/DIRECCION DE INSPECCION Y VIGILANCIA/DIV POAIV/POAIV 2025/ELIV SAN CRIST%C3%93BAL/PRIORIZADOS/TRIM II/0530 Visita Administrativa Colegio Lorenzo de Alcantuz .pdf?csf=1&amp;web=1&amp;e=5rSePG" xr:uid="{08BB5C9D-8DE1-4D07-A28E-3BED4B1B5C72}"/>
    <hyperlink ref="Q1710" r:id="rId835" display="../../../../../../../:b:/r/personal/comunicacionesdiveliv_educacionbogota_gov_co/Documents/DIRECCION DE INSPECCION Y VIGILANCIA/DIV POAIV/POAIV 2025/ELIV SAN CRIST%C3%93BAL/PRIORIZADOS/TRIM II/0530 Visita Administrativa Colegio Lorenzo de Alcantuz .pdf?csf=1&amp;web=1&amp;e=5rSePG" xr:uid="{13334754-F6AD-467A-B7F8-E98AEFC85603}"/>
    <hyperlink ref="Q1711" r:id="rId836" display="../../../../../../../:b:/r/personal/comunicacionesdiveliv_educacionbogota_gov_co/Documents/DIRECCION DE INSPECCION Y VIGILANCIA/DIV POAIV/POAIV 2025/ELIV SAN CRIST%C3%93BAL/PRIORIZADOS/TRIM II/0530 Visita Administrativa Colegio Lorenzo de Alcantuz .pdf?csf=1&amp;web=1&amp;e=5rSePG" xr:uid="{C88A7423-11D0-42A8-9564-5B3297A2B4F0}"/>
    <hyperlink ref="Q1712" r:id="rId837" display="../../../../../../../:b:/r/personal/comunicacionesdiveliv_educacionbogota_gov_co/Documents/DIRECCION DE INSPECCION Y VIGILANCIA/DIV POAIV/POAIV 2025/ELIV SAN CRIST%C3%93BAL/PRIORIZADOS/TRIM II/0530 Visita Administrativa Colegio Lorenzo de Alcantuz .pdf?csf=1&amp;web=1&amp;e=5rSePG" xr:uid="{5A0023DC-DEAD-4920-B694-33643BD9E4B2}"/>
    <hyperlink ref="Q1713" r:id="rId838" display="../../../../../../../:b:/r/personal/comunicacionesdiveliv_educacionbogota_gov_co/Documents/DIRECCION DE INSPECCION Y VIGILANCIA/DIV POAIV/POAIV 2025/ELIV SAN CRIST%C3%93BAL/PRIORIZADOS/TRIM II/0530 Visita Administrativa Colegio Lorenzo de Alcantuz .pdf?csf=1&amp;web=1&amp;e=5rSePG" xr:uid="{6918199C-3E02-4BDB-A120-4E19A377A170}"/>
    <hyperlink ref="Q1714" r:id="rId839" display="../../../../../../../:b:/r/personal/comunicacionesdiveliv_educacionbogota_gov_co/Documents/DIRECCION DE INSPECCION Y VIGILANCIA/DIV POAIV/POAIV 2025/ELIV SAN CRIST%C3%93BAL/PRIORIZADOS/TRIM II/0523 Acta de visita administrativa Col. Madre Paula Montal.pdf?csf=1&amp;web=1&amp;e=Wl38g7" xr:uid="{5B965007-B5BD-4BC7-9C5F-95BD8BFAC3EC}"/>
    <hyperlink ref="Q1715" r:id="rId840" display="../../../../../../../:b:/r/personal/comunicacionesdiveliv_educacionbogota_gov_co/Documents/DIRECCION DE INSPECCION Y VIGILANCIA/DIV POAIV/POAIV 2025/ELIV SAN CRIST%C3%93BAL/PRIORIZADOS/TRIM II/0523 Acta de visita administrativa Col. Madre Paula Montal.pdf?csf=1&amp;web=1&amp;e=Wl38g7" xr:uid="{D2E94FE9-733B-4A74-8282-50677CCD9530}"/>
    <hyperlink ref="Q1716" r:id="rId841" display="../../../../../../../:b:/r/personal/comunicacionesdiveliv_educacionbogota_gov_co/Documents/DIRECCION DE INSPECCION Y VIGILANCIA/DIV POAIV/POAIV 2025/ELIV SAN CRIST%C3%93BAL/PRIORIZADOS/TRIM II/0523 Acta de visita administrativa Col. Madre Paula Montal.pdf?csf=1&amp;web=1&amp;e=Wl38g7" xr:uid="{5E6AF3F3-5E1F-4FAA-83CB-D0C7642BE086}"/>
    <hyperlink ref="Q1717" r:id="rId842" display="../../../../../../../:b:/r/personal/comunicacionesdiveliv_educacionbogota_gov_co/Documents/DIRECCION DE INSPECCION Y VIGILANCIA/DIV POAIV/POAIV 2025/ELIV SAN CRIST%C3%93BAL/PRIORIZADOS/TRIM II/0523 Acta de visita administrativa Col. Madre Paula Montal.pdf?csf=1&amp;web=1&amp;e=Wl38g7" xr:uid="{708094B0-551B-4978-B4F6-4C3CBDE6C3DC}"/>
    <hyperlink ref="Q1718" r:id="rId843" display="../../../../../../../:b:/r/personal/comunicacionesdiveliv_educacionbogota_gov_co/Documents/DIRECCION DE INSPECCION Y VIGILANCIA/DIV POAIV/POAIV 2025/ELIV SAN CRIST%C3%93BAL/PRIORIZADOS/TRIM II/0523 Acta de visita administrativa Col. Madre Paula Montal.pdf?csf=1&amp;web=1&amp;e=Wl38g7" xr:uid="{CB514A6D-B704-458F-A89F-954A7D64DFAD}"/>
    <hyperlink ref="Q1719" r:id="rId844" display="../../../../../../../:b:/r/personal/comunicacionesdiveliv_educacionbogota_gov_co/Documents/DIRECCION DE INSPECCION Y VIGILANCIA/DIV POAIV/POAIV 2025/ELIV SAN CRIST%C3%93BAL/PRIORIZADOS/TRIM II/0523 Acta de visita administrativa Col. Madre Paula Montal.pdf?csf=1&amp;web=1&amp;e=Wl38g7" xr:uid="{58575E38-62A3-43D8-B7F7-79B9F3343361}"/>
    <hyperlink ref="Q1720" r:id="rId845" display="../../../../../../../:b:/r/personal/comunicacionesdiveliv_educacionbogota_gov_co/Documents/DIRECCION DE INSPECCION Y VIGILANCIA/DIV POAIV/POAIV 2025/ELIV SAN CRIST%C3%93BAL/PRIORIZADOS/TRIM II/0523 Acta de visita administrativa Col. Madre Paula Montal.pdf?csf=1&amp;web=1&amp;e=Wl38g7" xr:uid="{844DA925-7028-4CB0-B4FC-220EAFFEB599}"/>
    <hyperlink ref="Q1721" r:id="rId846" display="../../../../../../../:b:/r/personal/comunicacionesdiveliv_educacionbogota_gov_co/Documents/DIRECCION DE INSPECCION Y VIGILANCIA/DIV POAIV/POAIV 2025/ELIV SAN CRIST%C3%93BAL/PRIORIZADOS/TRIM II/0523 Acta de visita administrativa Col. Madre Paula Montal.pdf?csf=1&amp;web=1&amp;e=Wl38g7" xr:uid="{270C7A53-F4F0-49F9-8B0E-806C9B1BB6D0}"/>
    <hyperlink ref="Q1722" r:id="rId847" display="../../../../../../../:b:/r/personal/comunicacionesdiveliv_educacionbogota_gov_co/Documents/DIRECCION DE INSPECCION Y VIGILANCIA/DIV POAIV/POAIV 2025/ELIV SAN CRIST%C3%93BAL/PRIORIZADOS/TRIM II/0523 Acta de visita administrativa Col. Madre Paula Montal.pdf?csf=1&amp;web=1&amp;e=Wl38g7" xr:uid="{4ACD5991-5D48-4445-9466-8317C5274E84}"/>
    <hyperlink ref="Q1726" r:id="rId848" display="../../../../../../../:b:/r/personal/comunicacionesdiveliv_educacionbogota_gov_co/Documents/DIRECCION DE INSPECCION Y VIGILANCIA/DIV POAIV/POAIV 2025/ELIV SAN CRIST%C3%93BAL/PRIORIZADOS/TRIM II/0519 Acta de Visita Colegio Monse%C3%B1or Bernardo S%C3%A1nchez final.pdf?csf=1&amp;web=1&amp;e=woxYap" xr:uid="{DD27C48B-980F-4205-951B-2399FDF4CB00}"/>
    <hyperlink ref="Q1727" r:id="rId849" display="../../../../../../../:b:/r/personal/comunicacionesdiveliv_educacionbogota_gov_co/Documents/DIRECCION DE INSPECCION Y VIGILANCIA/DIV POAIV/POAIV 2025/ELIV SAN CRIST%C3%93BAL/PRIORIZADOS/TRIM II/0519 Acta de Visita Colegio Monse%C3%B1or Bernardo S%C3%A1nchez final.pdf?csf=1&amp;web=1&amp;e=woxYap" xr:uid="{9C4B6289-D2BD-4663-BF85-BEFEFFB6D5AF}"/>
    <hyperlink ref="Q1728" r:id="rId850" display="../../../../../../../:b:/r/personal/comunicacionesdiveliv_educacionbogota_gov_co/Documents/DIRECCION DE INSPECCION Y VIGILANCIA/DIV POAIV/POAIV 2025/ELIV SAN CRIST%C3%93BAL/PRIORIZADOS/TRIM II/0519 Acta de Visita Colegio Monse%C3%B1or Bernardo S%C3%A1nchez final.pdf?csf=1&amp;web=1&amp;e=woxYap" xr:uid="{40F0B42B-B9BE-4095-8884-479B63E50C5B}"/>
    <hyperlink ref="Q1729" r:id="rId851" display="../../../../../../../:b:/r/personal/comunicacionesdiveliv_educacionbogota_gov_co/Documents/DIRECCION DE INSPECCION Y VIGILANCIA/DIV POAIV/POAIV 2025/ELIV SAN CRIST%C3%93BAL/PRIORIZADOS/TRIM II/0519 Acta de Visita Colegio Monse%C3%B1or Bernardo S%C3%A1nchez final.pdf?csf=1&amp;web=1&amp;e=woxYap" xr:uid="{0852D216-0E36-4276-8746-099F343448A8}"/>
    <hyperlink ref="Q1730" r:id="rId852" display="../../../../../../../:b:/r/personal/comunicacionesdiveliv_educacionbogota_gov_co/Documents/DIRECCION DE INSPECCION Y VIGILANCIA/DIV POAIV/POAIV 2025/ELIV SAN CRIST%C3%93BAL/PRIORIZADOS/TRIM II/0519 Acta de Visita Colegio Monse%C3%B1or Bernardo S%C3%A1nchez final.pdf?csf=1&amp;web=1&amp;e=woxYap" xr:uid="{1A4050B1-FCF8-4C56-8E95-4091A7A651E6}"/>
    <hyperlink ref="Q1731" r:id="rId853" display="../../../../../../../:b:/r/personal/comunicacionesdiveliv_educacionbogota_gov_co/Documents/DIRECCION DE INSPECCION Y VIGILANCIA/DIV POAIV/POAIV 2025/ELIV SAN CRIST%C3%93BAL/PRIORIZADOS/TRIM II/0519 Acta de Visita Colegio Monse%C3%B1or Bernardo S%C3%A1nchez final.pdf?csf=1&amp;web=1&amp;e=woxYap" xr:uid="{BD9D1CC8-A665-4FE4-9084-05ED8632C05C}"/>
    <hyperlink ref="Q1732" r:id="rId854" display="../../../../../../../:b:/r/personal/comunicacionesdiveliv_educacionbogota_gov_co/Documents/DIRECCION DE INSPECCION Y VIGILANCIA/DIV POAIV/POAIV 2025/ELIV SAN CRIST%C3%93BAL/PRIORIZADOS/TRIM II/3004 Visita Administrativa Col Nueva Generacion Altamira.pdf?csf=1&amp;web=1&amp;e=p1cSk6" xr:uid="{7D1B0381-6DF6-4385-BDE1-E204CE59E687}"/>
    <hyperlink ref="Q1733" r:id="rId855" display="../../../../../../../:b:/r/personal/comunicacionesdiveliv_educacionbogota_gov_co/Documents/DIRECCION DE INSPECCION Y VIGILANCIA/DIV POAIV/POAIV 2025/ELIV SAN CRIST%C3%93BAL/PRIORIZADOS/TRIM II/3004 Visita Administrativa Col Nueva Generacion Altamira.pdf?csf=1&amp;web=1&amp;e=p1cSk6" xr:uid="{03CCC740-CB1C-4F64-9817-ADA6F0CBA5EE}"/>
    <hyperlink ref="Q1734" r:id="rId856" display="../../../../../../../:b:/r/personal/comunicacionesdiveliv_educacionbogota_gov_co/Documents/DIRECCION DE INSPECCION Y VIGILANCIA/DIV POAIV/POAIV 2025/ELIV SAN CRIST%C3%93BAL/PRIORIZADOS/TRIM II/3004 Visita Administrativa Col Nueva Generacion Altamira.pdf?csf=1&amp;web=1&amp;e=p1cSk6" xr:uid="{D0709B7B-E2F3-4F03-8B6D-3406CA58FCA0}"/>
    <hyperlink ref="Q1735" r:id="rId857" display="../../../../../../../:b:/r/personal/comunicacionesdiveliv_educacionbogota_gov_co/Documents/DIRECCION DE INSPECCION Y VIGILANCIA/DIV POAIV/POAIV 2025/ELIV SAN CRIST%C3%93BAL/PRIORIZADOS/TRIM II/3004 Visita Administrativa Col Nueva Generacion Altamira.pdf?csf=1&amp;web=1&amp;e=p1cSk6" xr:uid="{CBC055D3-EAF8-4E50-9E4E-52D0B93FE954}"/>
    <hyperlink ref="Q1736" r:id="rId858" display="../../../../../../../:b:/r/personal/comunicacionesdiveliv_educacionbogota_gov_co/Documents/DIRECCION DE INSPECCION Y VIGILANCIA/DIV POAIV/POAIV 2025/ELIV SAN CRIST%C3%93BAL/PRIORIZADOS/TRIM II/3004 Visita Administrativa Col Nueva Generacion Altamira.pdf?csf=1&amp;web=1&amp;e=p1cSk6" xr:uid="{2E6218F9-C5A0-4B62-BBBD-86A8F8EDE297}"/>
    <hyperlink ref="Q1737" r:id="rId859" display="../../../../../../../:b:/r/personal/comunicacionesdiveliv_educacionbogota_gov_co/Documents/DIRECCION DE INSPECCION Y VIGILANCIA/DIV POAIV/POAIV 2025/ELIV SAN CRIST%C3%93BAL/PRIORIZADOS/TRIM II/3004 Visita Administrativa Col Nueva Generacion Altamira.pdf?csf=1&amp;web=1&amp;e=p1cSk6" xr:uid="{BB946BD8-FB67-41C4-BF6F-F214BF0FF281}"/>
    <hyperlink ref="Q1738" r:id="rId860" display="../../../../../../../:b:/r/personal/comunicacionesdiveliv_educacionbogota_gov_co/Documents/DIRECCION DE INSPECCION Y VIGILANCIA/DIV POAIV/POAIV 2025/ELIV SAN CRIST%C3%93BAL/PRIORIZADOS/TRIM II/3004 Visita Administrativa Col Nueva Generacion Altamira.pdf?csf=1&amp;web=1&amp;e=p1cSk6" xr:uid="{D36169C8-C8B1-4991-8092-64726E0A93BA}"/>
    <hyperlink ref="Q1739" r:id="rId861" display="../../../../../../../:b:/r/personal/comunicacionesdiveliv_educacionbogota_gov_co/Documents/DIRECCION DE INSPECCION Y VIGILANCIA/DIV POAIV/POAIV 2025/ELIV SAN CRIST%C3%93BAL/PRIORIZADOS/TRIM II/3004 Visita Administrativa Col Nueva Generacion Altamira.pdf?csf=1&amp;web=1&amp;e=p1cSk6" xr:uid="{88407A0E-6808-425B-BBDA-4C0BD995D4F0}"/>
    <hyperlink ref="Q1740" r:id="rId862" display="../../../../../../../:b:/r/personal/comunicacionesdiveliv_educacionbogota_gov_co/Documents/DIRECCION DE INSPECCION Y VIGILANCIA/DIV POAIV/POAIV 2025/ELIV SAN CRIST%C3%93BAL/PRIORIZADOS/TRIM II/3004 Visita Administrativa Col Nueva Generacion Altamira.pdf?csf=1&amp;web=1&amp;e=p1cSk6" xr:uid="{1EDAB340-DB25-4004-8CBB-39938BEFA8A0}"/>
    <hyperlink ref="Q1760" r:id="rId863" display="../../../../../../../:b:/r/personal/comunicacionesdiveliv_educacionbogota_gov_co/Documents/DIRECCION DE INSPECCION Y VIGILANCIA/DIV POAIV/POAIV 2025/ELIV SAN CRIST%C3%93BAL/PRIORIZADOS/TRIM II/0613 Acta de Visita Colegio Sur Oriental Panamericano.pdf?csf=1&amp;web=1&amp;e=B995c1" xr:uid="{473D0D9C-92BA-44D5-8F97-9DC4545C218E}"/>
    <hyperlink ref="Q1768" r:id="rId864" display="../../../../../../../:b:/r/personal/comunicacionesdiveliv_educacionbogota_gov_co/Documents/DIRECCION DE INSPECCION Y VIGILANCIA/DIV POAIV/POAIV 2025/ELIV SAN CRIST%C3%93BAL/PRIORIZADOS/TRIM II/0403 Acta visita administrativa Fundesco adultos.pdf?csf=1&amp;web=1&amp;e=xv7Sfs" xr:uid="{4D5C8340-D384-4614-820A-DA31D454B749}"/>
    <hyperlink ref="Q1769" r:id="rId865" display="../../../../../../../:b:/r/personal/comunicacionesdiveliv_educacionbogota_gov_co/Documents/DIRECCION DE INSPECCION Y VIGILANCIA/DIV POAIV/POAIV 2025/ELIV SAN CRIST%C3%93BAL/PRIORIZADOS/TRIM II/0403 Acta visita administrativa Fundesco adultos.pdf?csf=1&amp;web=1&amp;e=xv7Sfs" xr:uid="{ECF6507F-0C77-4864-8510-DF002AD78106}"/>
    <hyperlink ref="Q1770" r:id="rId866" display="../../../../../../../:b:/r/personal/comunicacionesdiveliv_educacionbogota_gov_co/Documents/DIRECCION DE INSPECCION Y VIGILANCIA/DIV POAIV/POAIV 2025/ELIV SAN CRIST%C3%93BAL/PRIORIZADOS/TRIM II/0403 Acta visita administrativa Fundesco adultos.pdf?csf=1&amp;web=1&amp;e=xv7Sfs" xr:uid="{20D64D4E-25C2-46E7-936B-7CE55A6BF633}"/>
    <hyperlink ref="Q1771" r:id="rId867" display="../../../../../../../:b:/r/personal/comunicacionesdiveliv_educacionbogota_gov_co/Documents/DIRECCION DE INSPECCION Y VIGILANCIA/DIV POAIV/POAIV 2025/ELIV SAN CRIST%C3%93BAL/PRIORIZADOS/TRIM II/0403 Acta visita administrativa Fundesco adultos.pdf?csf=1&amp;web=1&amp;e=xv7Sfs" xr:uid="{FDCC22A8-C4A0-40C6-A6FB-CAC863FB3D39}"/>
    <hyperlink ref="Q1772" r:id="rId868" display="../../../../../../../:b:/r/personal/comunicacionesdiveliv_educacionbogota_gov_co/Documents/DIRECCION DE INSPECCION Y VIGILANCIA/DIV POAIV/POAIV 2025/ELIV SAN CRIST%C3%93BAL/PRIORIZADOS/TRIM II/0403 Acta visita administrativa Fundesco adultos.pdf?csf=1&amp;web=1&amp;e=xv7Sfs" xr:uid="{81368F88-8FD9-4391-B71F-C3DA4160DAD0}"/>
    <hyperlink ref="Q1773" r:id="rId869" display="../../../../../../../:b:/r/personal/comunicacionesdiveliv_educacionbogota_gov_co/Documents/DIRECCION DE INSPECCION Y VIGILANCIA/DIV POAIV/POAIV 2025/ELIV SAN CRIST%C3%93BAL/PRIORIZADOS/TRIM II/0403 Acta visita administrativa Fundesco adultos.pdf?csf=1&amp;web=1&amp;e=xv7Sfs" xr:uid="{178B03AD-BE94-48E7-A0BF-EEB8E23F4E5A}"/>
    <hyperlink ref="Q1774" r:id="rId870" display="../../../../../../../:b:/r/personal/comunicacionesdiveliv_educacionbogota_gov_co/Documents/DIRECCION DE INSPECCION Y VIGILANCIA/DIV POAIV/POAIV 2025/ELIV SAN CRIST%C3%93BAL/PRIORIZADOS/TRIM II/0403 Acta visita administrativa Fundesco adultos.pdf?csf=1&amp;web=1&amp;e=xv7Sfs" xr:uid="{625DD764-0AC1-4AA3-8D6B-F1EA4D2E74D4}"/>
    <hyperlink ref="Q1775" r:id="rId871" display="../../../../../../../:b:/r/personal/comunicacionesdiveliv_educacionbogota_gov_co/Documents/DIRECCION DE INSPECCION Y VIGILANCIA/DIV POAIV/POAIV 2025/ELIV SAN CRIST%C3%93BAL/PRIORIZADOS/TRIM II/0403 Acta visita administrativa Fundesco adultos.pdf?csf=1&amp;web=1&amp;e=xv7Sfs" xr:uid="{80B57F8C-3E71-4FA3-8726-FB4B4586E338}"/>
    <hyperlink ref="Q1776" r:id="rId872" display="../../../../../../../:b:/r/personal/comunicacionesdiveliv_educacionbogota_gov_co/Documents/DIRECCION DE INSPECCION Y VIGILANCIA/DIV POAIV/POAIV 2025/ELIV SAN CRIST%C3%93BAL/PRIORIZADOS/TRIM II/0403 Acta visita administrativa Fundesco adultos.pdf?csf=1&amp;web=1&amp;e=xv7Sfs" xr:uid="{9CA1E751-8991-432E-BB55-173EA29ECAA9}"/>
    <hyperlink ref="Q1777" r:id="rId873" display="../../../../../../../:b:/r/personal/comunicacionesdiveliv_educacionbogota_gov_co/Documents/DIRECCION DE INSPECCION Y VIGILANCIA/DIV POAIV/POAIV 2025/ELIV SAN CRIST%C3%93BAL/PRIORIZADOS/TRIM II/0613 Acta de visita administrativa Instituto Ccial. Eduardo Torres Quintero.pdf?csf=1&amp;web=1&amp;e=LBi1wp" xr:uid="{639FA7C7-EDD8-46AD-BBC1-C91A28AA56CD}"/>
    <hyperlink ref="Q1786" r:id="rId874"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50A81D72-5CFF-4EEF-A416-76C0B364A5A5}"/>
    <hyperlink ref="Q1787" r:id="rId875"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C3C87A98-0739-4805-B3E0-CB919F6B0EFB}"/>
    <hyperlink ref="Q1788" r:id="rId876"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CA76AADF-FEEF-418C-BD4C-5F27AE78C81B}"/>
    <hyperlink ref="Q1789" r:id="rId877"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D1082DFD-55BB-4382-A1AF-D99F4D75A09A}"/>
    <hyperlink ref="Q1790" r:id="rId878"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3EE1DF7B-907F-4C1A-A960-EBEA93C29CC5}"/>
    <hyperlink ref="Q1791" r:id="rId879"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A630F466-2E6C-4DCF-A36C-56758CFD477A}"/>
    <hyperlink ref="Q1793" r:id="rId880"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CDC28E86-A02D-46D5-A9E4-FF2CA2E96D79}"/>
    <hyperlink ref="Q1794" r:id="rId881" display="../../../../../../../:b:/r/personal/comunicacionesdiveliv_educacionbogota_gov_co/Documents/DIRECCION DE INSPECCION Y VIGILANCIA/DIV POAIV/POAIV 2025/ELIV SAN CRIST%C3%93BAL/PRIORIZADOS/TRIM I/ACTA VISITA ADMINISTRATIVA INSTITUTO DE EDUCACION FORMAL DE ADULTOS EL PENSAMIENTO DE PITAGORAS.pdf?csf=1&amp;web=1&amp;e=PL44My" xr:uid="{B7A8BBFF-C08C-49E2-A69F-43588231415B}"/>
    <hyperlink ref="Q1804" r:id="rId882" display="../../../../../../../:b:/r/personal/comunicacionesdiveliv_educacionbogota_gov_co/Documents/DIRECCION DE INSPECCION Y VIGILANCIA/DIV POAIV/POAIV 2025/ELIV SAN CRIST%C3%93BAL/PRIORIZADOS/TRIM II/0430 Acta visita Liceo San Jos%C3%A9 Oriental.pdf?csf=1&amp;web=1&amp;e=icSsrC" xr:uid="{F28D674C-3222-4B2D-B635-1EA0C09A92AD}"/>
    <hyperlink ref="Q1805" r:id="rId883" display="../../../../../../../:b:/r/personal/comunicacionesdiveliv_educacionbogota_gov_co/Documents/DIRECCION DE INSPECCION Y VIGILANCIA/DIV POAIV/POAIV 2025/ELIV SAN CRIST%C3%93BAL/PRIORIZADOS/TRIM II/0430 Acta visita Liceo San Jos%C3%A9 Oriental.pdf?csf=1&amp;web=1&amp;e=icSsrC" xr:uid="{5CAB7ED2-8303-4357-84E4-40081408C0E5}"/>
    <hyperlink ref="Q1806" r:id="rId884" display="../../../../../../../:b:/r/personal/comunicacionesdiveliv_educacionbogota_gov_co/Documents/DIRECCION DE INSPECCION Y VIGILANCIA/DIV POAIV/POAIV 2025/ELIV SAN CRIST%C3%93BAL/PRIORIZADOS/TRIM II/0430 Acta visita Liceo San Jos%C3%A9 Oriental.pdf?csf=1&amp;web=1&amp;e=icSsrC" xr:uid="{FD36ABB3-AFF6-4E2D-97EF-7A56AC3BFE1B}"/>
    <hyperlink ref="Q1808" r:id="rId885" display="../../../../../../../:b:/r/personal/comunicacionesdiveliv_educacionbogota_gov_co/Documents/DIRECCION DE INSPECCION Y VIGILANCIA/DIV POAIV/POAIV 2025/ELIV SAN CRIST%C3%93BAL/PRIORIZADOS/TRIM II/0430 Acta visita Liceo San Jos%C3%A9 Oriental.pdf?csf=1&amp;web=1&amp;e=icSsrC" xr:uid="{55D6E1B4-B37C-40EB-9860-949A0E8E0122}"/>
    <hyperlink ref="Q1809" r:id="rId886" display="../../../../../../../:b:/r/personal/comunicacionesdiveliv_educacionbogota_gov_co/Documents/DIRECCION DE INSPECCION Y VIGILANCIA/DIV POAIV/POAIV 2025/ELIV SAN CRIST%C3%93BAL/PRIORIZADOS/TRIM II/0430 Acta visita Liceo San Jos%C3%A9 Oriental.pdf?csf=1&amp;web=1&amp;e=icSsrC" xr:uid="{289B050F-F0AD-4570-832D-A578D1ED0F90}"/>
    <hyperlink ref="Q1810" r:id="rId887" display="../../../../../../../:b:/r/personal/comunicacionesdiveliv_educacionbogota_gov_co/Documents/DIRECCION DE INSPECCION Y VIGILANCIA/DIV POAIV/POAIV 2025/ELIV SAN CRIST%C3%93BAL/PRIORIZADOS/TRIM II/0430 Acta visita Liceo San Jos%C3%A9 Oriental.pdf?csf=1&amp;web=1&amp;e=icSsrC" xr:uid="{F08DFF88-E393-44E7-8BD8-B87B162B40EC}"/>
    <hyperlink ref="Q1811" r:id="rId888" display="../../../../../../../:b:/r/personal/comunicacionesdiveliv_educacionbogota_gov_co/Documents/DIRECCION DE INSPECCION Y VIGILANCIA/DIV POAIV/POAIV 2025/ELIV SAN CRIST%C3%93BAL/PRIORIZADOS/TRIM II/0430 Acta visita Liceo San Jos%C3%A9 Oriental.pdf?csf=1&amp;web=1&amp;e=icSsrC" xr:uid="{1557169B-5583-47A3-B796-4E1FF5BA7E49}"/>
    <hyperlink ref="Q1812" r:id="rId889" display="../../../../../../../:b:/r/personal/comunicacionesdiveliv_educacionbogota_gov_co/Documents/DIRECCION DE INSPECCION Y VIGILANCIA/DIV POAIV/POAIV 2025/ELIV SAN CRIST%C3%93BAL/PRIORIZADOS/TRIM II/0430 Acta visita Liceo San Jos%C3%A9 Oriental.pdf?csf=1&amp;web=1&amp;e=icSsrC" xr:uid="{369BF5D2-F222-42EA-8B7C-B5D33456EC36}"/>
    <hyperlink ref="Q1813" r:id="rId890" display="../../../../../../../:b:/r/personal/comunicacionesdiveliv_educacionbogota_gov_co/Documents/DIRECCION DE INSPECCION Y VIGILANCIA/DIV POAIV/POAIV 2025/ELIV SAN CRIST%C3%93BAL/PRIORIZADOS/TRIM II/0411 Acta visita Liceo Sendero del Saber  11042025.pdf?csf=1&amp;web=1&amp;e=blIhcv" xr:uid="{F6DB0C46-F61B-452E-93F4-534E2B0A2B6A}"/>
    <hyperlink ref="Q1814" r:id="rId891" display="../../../../../../../:b:/r/personal/comunicacionesdiveliv_educacionbogota_gov_co/Documents/DIRECCION DE INSPECCION Y VIGILANCIA/DIV POAIV/POAIV 2025/ELIV SAN CRIST%C3%93BAL/PRIORIZADOS/TRIM II/0411 Acta visita Liceo Sendero del Saber  11042025.pdf?csf=1&amp;web=1&amp;e=blIhcv" xr:uid="{47B1670F-4B44-4A21-9C44-ABC76537982D}"/>
    <hyperlink ref="Q1817" r:id="rId892" display="../../../../../../../:b:/r/personal/comunicacionesdiveliv_educacionbogota_gov_co/Documents/DIRECCION DE INSPECCION Y VIGILANCIA/DIV POAIV/POAIV 2025/ELIV SAN CRIST%C3%93BAL/PRIORIZADOS/TRIM II/0411 Acta visita Liceo Sendero del Saber  11042025.pdf?csf=1&amp;web=1&amp;e=blIhcv" xr:uid="{4AAACF3D-9E80-4C75-A9BF-A09C6AFAD2D4}"/>
    <hyperlink ref="Q1818" r:id="rId893" display="../../../../../../../:b:/r/personal/comunicacionesdiveliv_educacionbogota_gov_co/Documents/DIRECCION DE INSPECCION Y VIGILANCIA/DIV POAIV/POAIV 2025/ELIV SAN CRIST%C3%93BAL/PRIORIZADOS/TRIM II/0411 Acta visita Liceo Sendero del Saber  11042025.pdf?csf=1&amp;web=1&amp;e=blIhcv" xr:uid="{8FF2C79E-6D75-4EEE-A07C-31297666E33F}"/>
    <hyperlink ref="Q1819" r:id="rId894" display="../../../../../../../:b:/r/personal/comunicacionesdiveliv_educacionbogota_gov_co/Documents/DIRECCION DE INSPECCION Y VIGILANCIA/DIV POAIV/POAIV 2025/ELIV SAN CRIST%C3%93BAL/PRIORIZADOS/TRIM II/0411 Acta visita Liceo Sendero del Saber  11042025.pdf?csf=1&amp;web=1&amp;e=blIhcv" xr:uid="{4FB81833-AAC6-4FC2-8283-03600625F4BB}"/>
    <hyperlink ref="Q1820" r:id="rId895" display="../../../../../../../:b:/r/personal/comunicacionesdiveliv_educacionbogota_gov_co/Documents/DIRECCION DE INSPECCION Y VIGILANCIA/DIV POAIV/POAIV 2025/ELIV SAN CRIST%C3%93BAL/PRIORIZADOS/TRIM II/0411 Acta visita Liceo Sendero del Saber  11042025.pdf?csf=1&amp;web=1&amp;e=blIhcv" xr:uid="{39721BDC-F7DF-4B6A-832A-44F596E8E2E6}"/>
    <hyperlink ref="Q1821" r:id="rId896" display="../../../../../../../:b:/r/personal/comunicacionesdiveliv_educacionbogota_gov_co/Documents/DIRECCION DE INSPECCION Y VIGILANCIA/DIV POAIV/POAIV 2025/ELIV SAN CRIST%C3%93BAL/PRIORIZADOS/TRIM II/0411 Acta visita Liceo Sendero del Saber  11042025.pdf?csf=1&amp;web=1&amp;e=blIhcv" xr:uid="{5F76D9FB-C645-4A9D-9749-B18CFEACE77B}"/>
    <hyperlink ref="Q1822" r:id="rId897" display="../../../../../../../:b:/r/personal/comunicacionesdiveliv_educacionbogota_gov_co/Documents/DIRECCION DE INSPECCION Y VIGILANCIA/DIV POAIV/POAIV 2025/ELIV SAN CRIST%C3%93BAL/PRIORIZADOS/TRIM II/0509 Acta Visita Liceo Infantil Nuevos Fundadores.pdf?csf=1&amp;web=1&amp;e=S4m0g9" xr:uid="{6FE1A181-7CEF-4C01-8C9F-D85890B76D77}"/>
    <hyperlink ref="Q1823" r:id="rId898" display="../../../../../../../:b:/r/personal/comunicacionesdiveliv_educacionbogota_gov_co/Documents/DIRECCION DE INSPECCION Y VIGILANCIA/DIV POAIV/POAIV 2025/ELIV SAN CRIST%C3%93BAL/PRIORIZADOS/TRIM II/0509 Acta Visita Liceo Infantil Nuevos Fundadores.pdf?csf=1&amp;web=1&amp;e=S4m0g9" xr:uid="{17F4EBDB-9744-4ADA-B685-53E069FBB4B5}"/>
    <hyperlink ref="Q1824" r:id="rId899" display="../../../../../../../:b:/r/personal/comunicacionesdiveliv_educacionbogota_gov_co/Documents/DIRECCION DE INSPECCION Y VIGILANCIA/DIV POAIV/POAIV 2025/ELIV SAN CRIST%C3%93BAL/PRIORIZADOS/TRIM II/0509 Acta Visita Liceo Infantil Nuevos Fundadores.pdf?csf=1&amp;web=1&amp;e=S4m0g9" xr:uid="{044942DE-3970-4016-94D8-8B6059108815}"/>
    <hyperlink ref="Q1825" r:id="rId900" display="../../../../../../../:b:/r/personal/comunicacionesdiveliv_educacionbogota_gov_co/Documents/DIRECCION DE INSPECCION Y VIGILANCIA/DIV POAIV/POAIV 2025/ELIV SAN CRIST%C3%93BAL/PRIORIZADOS/TRIM II/0509 Acta Visita Liceo Infantil Nuevos Fundadores.pdf?csf=1&amp;web=1&amp;e=S4m0g9" xr:uid="{4A8201EC-622E-460E-A6D9-659440C077FA}"/>
    <hyperlink ref="Q1826" r:id="rId901" display="../../../../../../../:b:/r/personal/comunicacionesdiveliv_educacionbogota_gov_co/Documents/DIRECCION DE INSPECCION Y VIGILANCIA/DIV POAIV/POAIV 2025/ELIV SAN CRIST%C3%93BAL/PRIORIZADOS/TRIM II/0509 Acta Visita Liceo Infantil Nuevos Fundadores.pdf?csf=1&amp;web=1&amp;e=S4m0g9" xr:uid="{788E78A8-30AC-4A59-8BB1-0899BCDDC63F}"/>
    <hyperlink ref="Q1827" r:id="rId902" display="../../../../../../../:b:/r/personal/comunicacionesdiveliv_educacionbogota_gov_co/Documents/DIRECCION DE INSPECCION Y VIGILANCIA/DIV POAIV/POAIV 2025/ELIV SAN CRIST%C3%93BAL/PRIORIZADOS/TRIM II/0509 Acta Visita Liceo Infantil Nuevos Fundadores.pdf?csf=1&amp;web=1&amp;e=S4m0g9" xr:uid="{98617BF6-EEFC-4318-94C3-F1F0CACCD88C}"/>
    <hyperlink ref="Q1828" r:id="rId903" display="../../../../../../../:b:/r/personal/comunicacionesdiveliv_educacionbogota_gov_co/Documents/DIRECCION DE INSPECCION Y VIGILANCIA/DIV POAIV/POAIV 2025/ELIV SAN CRIST%C3%93BAL/PRIORIZADOS/TRIM II/0509 Acta Visita Liceo Infantil Nuevos Fundadores.pdf?csf=1&amp;web=1&amp;e=S4m0g9" xr:uid="{87E35FF2-542D-4A99-86A2-B06E12654EA6}"/>
    <hyperlink ref="Q1829" r:id="rId904" display="../../../../../../../:b:/r/personal/comunicacionesdiveliv_educacionbogota_gov_co/Documents/DIRECCION DE INSPECCION Y VIGILANCIA/DIV POAIV/POAIV 2025/ELIV SAN CRIST%C3%93BAL/PRIORIZADOS/TRIM II/0509 Acta Visita Liceo Infantil Nuevos Fundadores.pdf?csf=1&amp;web=1&amp;e=S4m0g9" xr:uid="{0A1C80F2-DBFA-456D-A895-4B44396B0D99}"/>
    <hyperlink ref="Q1830" r:id="rId905" display="../../../../../../../:b:/r/personal/comunicacionesdiveliv_educacionbogota_gov_co/Documents/DIRECCION DE INSPECCION Y VIGILANCIA/DIV POAIV/POAIV 2025/ELIV SAN CRIST%C3%93BAL/PRIORIZADOS/TRIM I/ACTA VISITA ADMINISTRATIVA IETDH FRANCIS COLLINS.pdf?csf=1&amp;web=1&amp;e=wXhWlU" xr:uid="{DC99EDD6-F9D5-405B-8804-CC865E8D540F}"/>
    <hyperlink ref="Q1831" r:id="rId906" display="../../../../../../../:b:/r/personal/comunicacionesdiveliv_educacionbogota_gov_co/Documents/DIRECCION DE INSPECCION Y VIGILANCIA/DIV POAIV/POAIV 2025/ELIV SAN CRIST%C3%93BAL/PRIORIZADOS/TRIM I/ACTA VISITA ADMINISTRATIVA IETDH FRANCIS COLLINS.pdf?csf=1&amp;web=1&amp;e=wXhWlU" xr:uid="{9D101D54-F58D-4739-8009-2314393C09DC}"/>
    <hyperlink ref="Q1832" r:id="rId907" display="../../../../../../../:b:/r/personal/comunicacionesdiveliv_educacionbogota_gov_co/Documents/DIRECCION DE INSPECCION Y VIGILANCIA/DIV POAIV/POAIV 2025/ELIV SAN CRIST%C3%93BAL/PRIORIZADOS/TRIM I/ACTA VISITA ADMINISTRATIVA IETDH FRANCIS COLLINS.pdf?csf=1&amp;web=1&amp;e=wXhWlU" xr:uid="{10BB1756-897A-414F-89FB-D553274542E6}"/>
    <hyperlink ref="Q1833" r:id="rId908" display="../../../../../../../:b:/r/personal/comunicacionesdiveliv_educacionbogota_gov_co/Documents/DIRECCION DE INSPECCION Y VIGILANCIA/DIV POAIV/POAIV 2025/ELIV SAN CRIST%C3%93BAL/PRIORIZADOS/TRIM II/0403 Acta visita administrativa Fundesco ETDH.pdf?csf=1&amp;web=1&amp;e=44Y5UO" xr:uid="{DEA4268C-F845-4A78-AB86-14E156550A70}"/>
    <hyperlink ref="Q1834" r:id="rId909" display="../../../../../../../:b:/r/personal/comunicacionesdiveliv_educacionbogota_gov_co/Documents/DIRECCION DE INSPECCION Y VIGILANCIA/DIV POAIV/POAIV 2025/ELIV SAN CRIST%C3%93BAL/PRIORIZADOS/TRIM II/0403 Acta visita administrativa Fundesco ETDH.pdf?csf=1&amp;web=1&amp;e=44Y5UO" xr:uid="{BAB15FD3-F73E-412D-8621-6814E5D7F089}"/>
    <hyperlink ref="Q1836" r:id="rId910" display="../../../../../../../:b:/r/personal/comunicacionesdiveliv_educacionbogota_gov_co/Documents/DIRECCION DE INSPECCION Y VIGILANCIA/DIV POAIV/POAIV 2025/ELIV SAN CRIST%C3%93BAL/PRIORIZADOS/TRIM II/0403 Acta de Visita Autodominio final.pdf?csf=1&amp;web=1&amp;e=T4LQsq" xr:uid="{91ECF39B-E469-4EC1-AE55-570EFC5425A7}"/>
    <hyperlink ref="Q1837" r:id="rId911" display="../../../../../../../:b:/r/personal/comunicacionesdiveliv_educacionbogota_gov_co/Documents/DIRECCION DE INSPECCION Y VIGILANCIA/DIV POAIV/POAIV 2025/ELIV SAN CRIST%C3%93BAL/PRIORIZADOS/TRIM II/0403 Acta de Visita Autodominio final.pdf?csf=1&amp;web=1&amp;e=T4LQsq" xr:uid="{4AAEBAF8-064D-41B3-A98D-7885ECD9E9C4}"/>
    <hyperlink ref="Q1838" r:id="rId912" display="../../../../../../../:b:/r/personal/comunicacionesdiveliv_educacionbogota_gov_co/Documents/DIRECCION DE INSPECCION Y VIGILANCIA/DIV POAIV/POAIV 2025/ELIV SAN CRIST%C3%93BAL/PRIORIZADOS/TRIM II/0403 Acta de Visita Autodominio final.pdf?csf=1&amp;web=1&amp;e=T4LQsq" xr:uid="{F3B28A3B-A054-4BCB-BE78-430D287D2D93}"/>
    <hyperlink ref="Q1839" r:id="rId913" display="../../../../../../../:b:/r/personal/comunicacionesdiveliv_educacionbogota_gov_co/Documents/DIRECCION DE INSPECCION Y VIGILANCIA/DIV POAIV/POAIV 2025/ELIV SAN CRIST%C3%93BAL/PRIORIZADOS/TRIM II/0508 Acta visita administrativa Centro de Capacitaci%C3%B3n Laboral Miquelina.pdf?csf=1&amp;web=1&amp;e=IOmSP9" xr:uid="{AB9DB082-A36A-4E2B-8B38-5CE616F9AB2C}"/>
    <hyperlink ref="Q1840" r:id="rId914" display="../../../../../../../:b:/r/personal/comunicacionesdiveliv_educacionbogota_gov_co/Documents/DIRECCION DE INSPECCION Y VIGILANCIA/DIV POAIV/POAIV 2025/ELIV SAN CRIST%C3%93BAL/PRIORIZADOS/TRIM II/0508 Acta visita administrativa Centro de Capacitaci%C3%B3n Laboral Miquelina.pdf?csf=1&amp;web=1&amp;e=IOmSP9" xr:uid="{87E8A510-FB16-4155-9010-3B31A5CE7619}"/>
    <hyperlink ref="Q1841" r:id="rId915" display="../../../../../../../:b:/r/personal/comunicacionesdiveliv_educacionbogota_gov_co/Documents/DIRECCION DE INSPECCION Y VIGILANCIA/DIV POAIV/POAIV 2025/ELIV SAN CRIST%C3%93BAL/PRIORIZADOS/TRIM II/0508 Acta visita administrativa Centro de Capacitaci%C3%B3n Laboral Miquelina.pdf?csf=1&amp;web=1&amp;e=IOmSP9" xr:uid="{30766AA7-1BF3-4DB4-9210-86DD473E020B}"/>
    <hyperlink ref="Q2489" r:id="rId916" display="../../../../../../../:f:/r/personal/comunicacionesdiveliv_educacionbogota_gov_co/Documents/DIRECCION DE INSPECCION Y VIGILANCIA/DIV POAIV/POAIV 2025/ELIV TUNJUELITO/PRIORIZADOS/TRIM I/GIMNASIO_COMERCIAL_LOS_ANDES?csf=1&amp;web=1&amp;e=CyjAGX" xr:uid="{AC09DDDD-4A60-4D3E-960C-C1A439C2A1FF}"/>
    <hyperlink ref="Q2457" r:id="rId917" display="../../../../../../../:b:/r/personal/comunicacionesdiveliv_educacionbogota_gov_co/Documents/DIRECCION DE INSPECCION Y VIGILANCIA/DIV POAIV/POAIV 2025/ELIV TUNJUELITO/PRIORIZADOS/TRIM II/COLEGIO INCADE/ACTA VISITA COLEGIO INCADE 25042025.pdf?csf=1&amp;web=1&amp;e=lbQzbO" xr:uid="{E4AD5A67-CF50-4518-94AB-83CBA8A0639C}"/>
    <hyperlink ref="Q2458" r:id="rId918" display="../../../../../../../:b:/r/personal/comunicacionesdiveliv_educacionbogota_gov_co/Documents/DIRECCION DE INSPECCION Y VIGILANCIA/DIV POAIV/POAIV 2025/ELIV TUNJUELITO/PRIORIZADOS/TRIM II/COLEGIO INCADE/ACTA VISITA COLEGIO INCADE 25042025.pdf?csf=1&amp;web=1&amp;e=lbQzbO" xr:uid="{4ED38DF3-10F8-4491-8F14-E4B8E4F6F424}"/>
    <hyperlink ref="Q2459" r:id="rId919" display="../../../../../../../:b:/r/personal/comunicacionesdiveliv_educacionbogota_gov_co/Documents/DIRECCION DE INSPECCION Y VIGILANCIA/DIV POAIV/POAIV 2025/ELIV TUNJUELITO/PRIORIZADOS/TRIM II/COLEGIO INCADE/ACTA VISITA COLEGIO INCADE 25042025.pdf?csf=1&amp;web=1&amp;e=lbQzbO" xr:uid="{B7493A52-930A-4F1B-9BC2-A8B1ACB8FA71}"/>
    <hyperlink ref="Q2460" r:id="rId920" display="../../../../../../../:b:/r/personal/comunicacionesdiveliv_educacionbogota_gov_co/Documents/DIRECCION DE INSPECCION Y VIGILANCIA/DIV POAIV/POAIV 2025/ELIV TUNJUELITO/PRIORIZADOS/TRIM II/COLEGIO INCADE/ACTA VISITA COLEGIO INCADE 25042025.pdf?csf=1&amp;web=1&amp;e=lbQzbO" xr:uid="{F3ACABEA-EDA6-447E-8FFA-26CFE8BB54B2}"/>
    <hyperlink ref="Q2461" r:id="rId921" display="../../../../../../../:b:/r/personal/comunicacionesdiveliv_educacionbogota_gov_co/Documents/DIRECCION DE INSPECCION Y VIGILANCIA/DIV POAIV/POAIV 2025/ELIV TUNJUELITO/PRIORIZADOS/TRIM II/COLEGIO INCADE/ACTA VISITA COLEGIO INCADE 25042025.pdf?csf=1&amp;web=1&amp;e=lbQzbO" xr:uid="{F9049B48-B837-4D40-9731-178A4487E760}"/>
    <hyperlink ref="Q2462" r:id="rId922" display="../../../../../../../:b:/r/personal/comunicacionesdiveliv_educacionbogota_gov_co/Documents/DIRECCION DE INSPECCION Y VIGILANCIA/DIV POAIV/POAIV 2025/ELIV TUNJUELITO/PRIORIZADOS/TRIM II/COLEGIO INCADE/ACTA VISITA COLEGIO INCADE 25042025.pdf?csf=1&amp;web=1&amp;e=lbQzbO" xr:uid="{69AA0A79-23C6-4E32-8F70-5275BE9E2444}"/>
    <hyperlink ref="Q2465" r:id="rId923" display="../../../../../../../:b:/r/personal/comunicacionesdiveliv_educacionbogota_gov_co/Documents/DIRECCION DE INSPECCION Y VIGILANCIA/DIV POAIV/POAIV 2025/ELIV TUNJUELITO/PRIORIZADOS/TRIM II/COL. NTRA SE%C3%91ORA DE LAS VICTORIAS/Visitita Col. Ntra Se%C3%B1ora de las Victorias.pdf?csf=1&amp;web=1&amp;e=vrlN9v" xr:uid="{EBFE2038-86BB-4DD2-9398-FD3E181C74A5}"/>
    <hyperlink ref="Q2419" r:id="rId924" display="../../../../../../../:b:/r/personal/comunicacionesdiveliv_educacionbogota_gov_co/Documents/DIRECCION DE INSPECCION Y VIGILANCIA/DIV POAIV/POAIV 2025/ELIV TUNJUELITO/PRIORIZADOS/TRIM II/CENTRO EDUCATIVO SURAMERICANO/C.E. SURAMERICANO 16-5-2025_250527_08125527052025.pdf?csf=1&amp;web=1&amp;e=jpKfIY" xr:uid="{77936D67-441D-4573-8E7A-6EA8525A035E}"/>
    <hyperlink ref="Q2420:Q2428" r:id="rId925" display="C.E. SURAMERICANO 16-5-2025_250527_08125527052025.pdf" xr:uid="{A1EE670C-CCF5-4AF1-96F2-1C09E104E639}"/>
    <hyperlink ref="Q2447" r:id="rId926" display="../../../../../../../:b:/r/personal/comunicacionesdiveliv_educacionbogota_gov_co/Documents/DIRECCION DE INSPECCION Y VIGILANCIA/DIV POAIV/POAIV 2025/ELIV TUNJUELITO/PRIORIZADOS/TRIM II/COLEGIO COOPERATIVO VENECIA/ACTA VISITA COL COOPERATIVO VENECIA 16062025.pdf?csf=1&amp;web=1&amp;e=xmzePO" xr:uid="{73378EBD-09E7-4BC0-9946-6B21709A0597}"/>
    <hyperlink ref="Q2448:Q2452" r:id="rId927" display="ACTA VISITA COL COOPERATIVO VENECIA 16062025.pdf" xr:uid="{4B51F99D-1230-459A-BFD4-07C1D205A462}"/>
    <hyperlink ref="Q2429" r:id="rId928" display="../../../../../../../:b:/r/personal/comunicacionesdiveliv_educacionbogota_gov_co/Documents/DIRECCION DE INSPECCION Y VIGILANCIA/DIV POAIV/POAIV 2025/ELIV TUNJUELITO/PRIORIZADOS/TRIM II/COLEGIO BRITANICO/COLEGIO BRITANICO 13-6-2025_250617_07543317062025.pdf?csf=1&amp;web=1&amp;e=HESoos" xr:uid="{8424140E-624D-4182-BBA2-67BF3238502B}"/>
    <hyperlink ref="Q2430" r:id="rId929" display="../../../../../../../:b:/r/personal/comunicacionesdiveliv_educacionbogota_gov_co/Documents/DIRECCION DE INSPECCION Y VIGILANCIA/DIV POAIV/POAIV 2025/ELIV TUNJUELITO/PRIORIZADOS/TRIM II/COLEGIO BRITANICO/COLEGIO BRITANICO 13-6-2025_250617_07543317062025.pdf?csf=1&amp;web=1&amp;e=HESoos" xr:uid="{ADE0E2E1-FF53-48DA-BA75-74D3E92EED0B}"/>
    <hyperlink ref="Q2431" r:id="rId930" display="../../../../../../../:b:/r/personal/comunicacionesdiveliv_educacionbogota_gov_co/Documents/DIRECCION DE INSPECCION Y VIGILANCIA/DIV POAIV/POAIV 2025/ELIV TUNJUELITO/PRIORIZADOS/TRIM II/COLEGIO BRITANICO/COLEGIO BRITANICO 13-6-2025_250617_07543317062025.pdf?csf=1&amp;web=1&amp;e=HESoos" xr:uid="{21DFEE9C-E09C-40CD-B0A5-97DA32C6A3DE}"/>
    <hyperlink ref="Q2432" r:id="rId931" display="../../../../../../../:b:/r/personal/comunicacionesdiveliv_educacionbogota_gov_co/Documents/DIRECCION DE INSPECCION Y VIGILANCIA/DIV POAIV/POAIV 2025/ELIV TUNJUELITO/PRIORIZADOS/TRIM II/COLEGIO BRITANICO/COLEGIO BRITANICO 13-6-2025_250617_07543317062025.pdf?csf=1&amp;web=1&amp;e=HESoos" xr:uid="{DBB71E5C-6BDB-4BA1-B7A4-73172BCB3557}"/>
    <hyperlink ref="Q2433" r:id="rId932" display="../../../../../../../:b:/r/personal/comunicacionesdiveliv_educacionbogota_gov_co/Documents/DIRECCION DE INSPECCION Y VIGILANCIA/DIV POAIV/POAIV 2025/ELIV TUNJUELITO/PRIORIZADOS/TRIM II/COLEGIO BRITANICO/COLEGIO BRITANICO 13-6-2025_250617_07543317062025.pdf?csf=1&amp;web=1&amp;e=HESoos" xr:uid="{227346DF-98E4-4F46-8ACC-A4059271F3D9}"/>
    <hyperlink ref="Q2434" r:id="rId933" display="../../../../../../../:b:/r/personal/comunicacionesdiveliv_educacionbogota_gov_co/Documents/DIRECCION DE INSPECCION Y VIGILANCIA/DIV POAIV/POAIV 2025/ELIV TUNJUELITO/PRIORIZADOS/TRIM II/COLEGIO BRITANICO/COLEGIO BRITANICO 13-6-2025_250617_07543317062025.pdf?csf=1&amp;web=1&amp;e=HESoos" xr:uid="{71E674D9-45A1-4115-A494-05C18C5653A1}"/>
    <hyperlink ref="Q2435" r:id="rId934" display="../../../../../../../:b:/r/personal/comunicacionesdiveliv_educacionbogota_gov_co/Documents/DIRECCION DE INSPECCION Y VIGILANCIA/DIV POAIV/POAIV 2025/ELIV TUNJUELITO/PRIORIZADOS/TRIM II/COLEGIO BRITANICO/COLEGIO BRITANICO 13-6-2025_250617_07543317062025.pdf?csf=1&amp;web=1&amp;e=HESoos" xr:uid="{99A2B460-CDE6-4670-AC79-34781EE9247C}"/>
    <hyperlink ref="Q2436" r:id="rId935" display="../../../../../../../:b:/r/personal/comunicacionesdiveliv_educacionbogota_gov_co/Documents/DIRECCION DE INSPECCION Y VIGILANCIA/DIV POAIV/POAIV 2025/ELIV TUNJUELITO/PRIORIZADOS/TRIM II/COLEGIO BRITANICO/COLEGIO BRITANICO 13-6-2025_250617_07543317062025.pdf?csf=1&amp;web=1&amp;e=HESoos" xr:uid="{6179429B-C7A5-4E24-B89B-F1E4DA649F60}"/>
    <hyperlink ref="Q2437" r:id="rId936" display="../../../../../../../:b:/r/personal/comunicacionesdiveliv_educacionbogota_gov_co/Documents/DIRECCION DE INSPECCION Y VIGILANCIA/DIV POAIV/POAIV 2025/ELIV TUNJUELITO/PRIORIZADOS/TRIM II/COLEGIO BRITANICO/COLEGIO BRITANICO 13-6-2025_250617_07543317062025.pdf?csf=1&amp;web=1&amp;e=HESoos" xr:uid="{8CD79A25-1AEB-4A1A-BDE8-BEFE53DDB526}"/>
    <hyperlink ref="Q2453" r:id="rId937" display="../../../../../../../:b:/r/personal/comunicacionesdiveliv_educacionbogota_gov_co/Documents/DIRECCION DE INSPECCION Y VIGILANCIA/DIV POAIV/POAIV 2025/ELIV TUNJUELITO/PRIORIZADOS/TRIM II/COLEGIO COOPERATIVO VENECIA/ACTA VISITA COL COOPERATIVO VENECIA 16062025.pdf?csf=1&amp;web=1&amp;e=xmzePO" xr:uid="{0CA26E03-876E-4659-974F-B80674A9B07C}"/>
    <hyperlink ref="Q1526" r:id="rId938" display="../../../../../../../:b:/r/personal/comunicacionesdiveliv_educacionbogota_gov_co/Documents/DIRECCION DE INSPECCION Y VIGILANCIA/DIV POAIV/POAIV 2025/ELIV RAFAEL URIBE URIBE/PRIORIZADOS/TRIM II/1-04-2025 Nuevo Liceo Santa Clara.pdf?csf=1&amp;web=1&amp;e=T8rv4D" xr:uid="{FD830FDB-2124-41CF-BAF8-173C6EDFB97D}"/>
    <hyperlink ref="Q1527" r:id="rId939" display="../../../../../../../:b:/r/personal/comunicacionesdiveliv_educacionbogota_gov_co/Documents/DIRECCION DE INSPECCION Y VIGILANCIA/DIV POAIV/POAIV 2025/ELIV RAFAEL URIBE URIBE/PRIORIZADOS/TRIM II/1-04-2025 Nuevo Liceo Santa Clara.pdf?csf=1&amp;web=1&amp;e=T8rv4D" xr:uid="{FB5218F6-00C7-4982-BB56-F39E19F648F7}"/>
    <hyperlink ref="Q1528" r:id="rId940" display="../../../../../../../:b:/r/personal/comunicacionesdiveliv_educacionbogota_gov_co/Documents/DIRECCION DE INSPECCION Y VIGILANCIA/DIV POAIV/POAIV 2025/ELIV RAFAEL URIBE URIBE/PRIORIZADOS/TRIM II/1-04-2025 Nuevo Liceo Santa Clara.pdf?csf=1&amp;web=1&amp;e=T8rv4D" xr:uid="{E8CDE0BF-60B3-45CC-80A6-C41537A9F08C}"/>
    <hyperlink ref="Q1529" r:id="rId941" display="../../../../../../../:b:/r/personal/comunicacionesdiveliv_educacionbogota_gov_co/Documents/DIRECCION DE INSPECCION Y VIGILANCIA/DIV POAIV/POAIV 2025/ELIV RAFAEL URIBE URIBE/PRIORIZADOS/TRIM II/1-04-2025 Nuevo Liceo Santa Clara.pdf?csf=1&amp;web=1&amp;e=T8rv4D" xr:uid="{FFC25900-F0DE-42FD-87D3-0A135F55BA83}"/>
    <hyperlink ref="Q1530" r:id="rId942" display="../../../../../../../:b:/r/personal/comunicacionesdiveliv_educacionbogota_gov_co/Documents/DIRECCION DE INSPECCION Y VIGILANCIA/DIV POAIV/POAIV 2025/ELIV RAFAEL URIBE URIBE/PRIORIZADOS/TRIM II/1-04-2025 Nuevo Liceo Santa Clara.pdf?csf=1&amp;web=1&amp;e=T8rv4D" xr:uid="{F0F4EBD7-D81D-4027-8EEA-ED468DF993B5}"/>
    <hyperlink ref="Q1531" r:id="rId943" display="../../../../../../../:b:/r/personal/comunicacionesdiveliv_educacionbogota_gov_co/Documents/DIRECCION DE INSPECCION Y VIGILANCIA/DIV POAIV/POAIV 2025/ELIV RAFAEL URIBE URIBE/PRIORIZADOS/TRIM II/1-04-2025 Nuevo Liceo Santa Clara.pdf?csf=1&amp;web=1&amp;e=T8rv4D" xr:uid="{0375115E-CA3D-44DA-80D3-662FCB907D8C}"/>
    <hyperlink ref="Q1532" r:id="rId944" display="../../../../../../../:b:/r/personal/comunicacionesdiveliv_educacionbogota_gov_co/Documents/DIRECCION DE INSPECCION Y VIGILANCIA/DIV POAIV/POAIV 2025/ELIV RAFAEL URIBE URIBE/PRIORIZADOS/TRIM II/1-04-2025 Nuevo Liceo Santa Clara.pdf?csf=1&amp;web=1&amp;e=T8rv4D" xr:uid="{5E5EB4C8-B1A5-4D64-9E20-ABC055DBBC9F}"/>
    <hyperlink ref="Q1533" r:id="rId945" display="../../../../../../../:b:/r/personal/comunicacionesdiveliv_educacionbogota_gov_co/Documents/DIRECCION DE INSPECCION Y VIGILANCIA/DIV POAIV/POAIV 2025/ELIV RAFAEL URIBE URIBE/PRIORIZADOS/TRIM II/1-04-2025 Nuevo Liceo Santa Clara.pdf?csf=1&amp;web=1&amp;e=T8rv4D" xr:uid="{96FAB5C8-6A12-426D-A746-6C758EB89B37}"/>
    <hyperlink ref="Q1497" r:id="rId946" display="../../../../../../../:b:/r/personal/comunicacionesdiveliv_educacionbogota_gov_co/Documents/DIRECCION DE INSPECCION Y VIGILANCIA/DIV POAIV/POAIV 2025/ELIV RAFAEL URIBE URIBE/PRIORIZADOS/TRIMI/19-03-2025 Robert Hooke.pdf?csf=1&amp;web=1&amp;e=Ddzxfl" xr:uid="{4574AEC8-96A6-48E8-8781-7322E14D8C13}"/>
    <hyperlink ref="Q1498" r:id="rId947" display="../../../../../../../:b:/r/personal/comunicacionesdiveliv_educacionbogota_gov_co/Documents/DIRECCION DE INSPECCION Y VIGILANCIA/DIV POAIV/POAIV 2025/ELIV RAFAEL URIBE URIBE/PRIORIZADOS/TRIMI/19-03-2025 Robert Hooke.pdf?csf=1&amp;web=1&amp;e=Ddzxfl" xr:uid="{DC8ADC40-4FF4-4F64-9A25-C695020D8C74}"/>
    <hyperlink ref="Q1499" r:id="rId948" display="../../../../../../../:b:/r/personal/comunicacionesdiveliv_educacionbogota_gov_co/Documents/DIRECCION DE INSPECCION Y VIGILANCIA/DIV POAIV/POAIV 2025/ELIV RAFAEL URIBE URIBE/PRIORIZADOS/TRIMI/19-03-2025 Robert Hooke.pdf?csf=1&amp;web=1&amp;e=Ddzxfl" xr:uid="{D27B1124-A52F-4909-80DF-3A8CC412C3EB}"/>
    <hyperlink ref="Q1500" r:id="rId949" display="../../../../../../../:b:/r/personal/comunicacionesdiveliv_educacionbogota_gov_co/Documents/DIRECCION DE INSPECCION Y VIGILANCIA/DIV POAIV/POAIV 2025/ELIV RAFAEL URIBE URIBE/PRIORIZADOS/TRIMI/19-03-2025 Robert Hooke.pdf?csf=1&amp;web=1&amp;e=Ddzxfl" xr:uid="{5782BC36-3B2D-47F9-A41D-0F6C5F333433}"/>
    <hyperlink ref="Q1501" r:id="rId950" display="../../../../../../../:b:/r/personal/comunicacionesdiveliv_educacionbogota_gov_co/Documents/DIRECCION DE INSPECCION Y VIGILANCIA/DIV POAIV/POAIV 2025/ELIV RAFAEL URIBE URIBE/PRIORIZADOS/TRIMI/19-03-2025 Robert Hooke.pdf?csf=1&amp;web=1&amp;e=Ddzxfl" xr:uid="{C4C0C5EF-38B6-4ECC-AB13-0EB24F6BF4FF}"/>
    <hyperlink ref="Q1502" r:id="rId951" display="../../../../../../../:b:/r/personal/comunicacionesdiveliv_educacionbogota_gov_co/Documents/DIRECCION DE INSPECCION Y VIGILANCIA/DIV POAIV/POAIV 2025/ELIV RAFAEL URIBE URIBE/PRIORIZADOS/TRIMI/19-03-2025 Robert Hooke.pdf?csf=1&amp;web=1&amp;e=Ddzxfl" xr:uid="{717059B4-1B5D-4D22-A0A9-DFE53498285C}"/>
    <hyperlink ref="Q1503" r:id="rId952" display="../../../../../../../:b:/r/personal/comunicacionesdiveliv_educacionbogota_gov_co/Documents/DIRECCION DE INSPECCION Y VIGILANCIA/DIV POAIV/POAIV 2025/ELIV RAFAEL URIBE URIBE/PRIORIZADOS/TRIMI/19-03-2025 Robert Hooke.pdf?csf=1&amp;web=1&amp;e=Ddzxfl" xr:uid="{5EC4229D-B661-482D-8AE9-58884A768F03}"/>
    <hyperlink ref="Q1504" r:id="rId953" display="../../../../../../../:b:/r/personal/comunicacionesdiveliv_educacionbogota_gov_co/Documents/DIRECCION DE INSPECCION Y VIGILANCIA/DIV POAIV/POAIV 2025/ELIV RAFAEL URIBE URIBE/PRIORIZADOS/TRIMI/19-03-2025 Robert Hooke.pdf?csf=1&amp;web=1&amp;e=Ddzxfl" xr:uid="{495FA8E3-AA05-4691-8892-94C2948848D0}"/>
    <hyperlink ref="Q1505" r:id="rId954" display="../../../../../../../:b:/r/personal/comunicacionesdiveliv_educacionbogota_gov_co/Documents/DIRECCION DE INSPECCION Y VIGILANCIA/DIV POAIV/POAIV 2025/ELIV RAFAEL URIBE URIBE/PRIORIZADOS/TRIMI/19-03-2025 Robert Hooke.pdf?csf=1&amp;web=1&amp;e=Ddzxfl" xr:uid="{3BBE81F3-45DA-4058-9837-DBE808702B93}"/>
    <hyperlink ref="Q1516" r:id="rId955" display="../../../../../../../:b:/r/personal/comunicacionesdiveliv_educacionbogota_gov_co/Documents/DIRECCION DE INSPECCION Y VIGILANCIA/DIV POAIV/POAIV 2025/ELIV RAFAEL URIBE URIBE/PRIORIZADOS/TRIMI/27-03-2025 Robert Owen.pdf?csf=1&amp;web=1&amp;e=hydKF7" xr:uid="{12BB1E60-13FA-4CEB-A293-319A1B4E4D76}"/>
    <hyperlink ref="Q1517" r:id="rId956" display="../../../../../../../:b:/r/personal/comunicacionesdiveliv_educacionbogota_gov_co/Documents/DIRECCION DE INSPECCION Y VIGILANCIA/DIV POAIV/POAIV 2025/ELIV RAFAEL URIBE URIBE/PRIORIZADOS/TRIMI/27-03-2025 Robert Owen.pdf?csf=1&amp;web=1&amp;e=hydKF7" xr:uid="{66BD87AF-BE03-4BFD-8261-7789513CE281}"/>
    <hyperlink ref="Q1518" r:id="rId957" display="../../../../../../../:b:/r/personal/comunicacionesdiveliv_educacionbogota_gov_co/Documents/DIRECCION DE INSPECCION Y VIGILANCIA/DIV POAIV/POAIV 2025/ELIV RAFAEL URIBE URIBE/PRIORIZADOS/TRIMI/27-03-2025 Robert Owen.pdf?csf=1&amp;web=1&amp;e=hydKF7" xr:uid="{9C72E1BF-32D3-4125-9519-E38D967C7C01}"/>
    <hyperlink ref="Q1519" r:id="rId958" display="../../../../../../../:b:/r/personal/comunicacionesdiveliv_educacionbogota_gov_co/Documents/DIRECCION DE INSPECCION Y VIGILANCIA/DIV POAIV/POAIV 2025/ELIV RAFAEL URIBE URIBE/PRIORIZADOS/TRIMI/27-03-2025 Robert Owen.pdf?csf=1&amp;web=1&amp;e=hydKF7" xr:uid="{C6EF7531-A5CF-4D61-B326-9F170B17A462}"/>
    <hyperlink ref="Q1520" r:id="rId959" display="../../../../../../../:b:/r/personal/comunicacionesdiveliv_educacionbogota_gov_co/Documents/DIRECCION DE INSPECCION Y VIGILANCIA/DIV POAIV/POAIV 2025/ELIV RAFAEL URIBE URIBE/PRIORIZADOS/TRIMI/27-03-2025 Robert Owen.pdf?csf=1&amp;web=1&amp;e=hydKF7" xr:uid="{E7DB88D7-8AF0-4FC4-9217-82CFC32F3384}"/>
    <hyperlink ref="Q1521" r:id="rId960" display="../../../../../../../:b:/r/personal/comunicacionesdiveliv_educacionbogota_gov_co/Documents/DIRECCION DE INSPECCION Y VIGILANCIA/DIV POAIV/POAIV 2025/ELIV RAFAEL URIBE URIBE/PRIORIZADOS/TRIMI/27-03-2025 Robert Owen.pdf?csf=1&amp;web=1&amp;e=hydKF7" xr:uid="{F7AA2788-C346-42EE-BDFF-3C595ADF1604}"/>
    <hyperlink ref="Q1522" r:id="rId961" display="../../../../../../../:b:/r/personal/comunicacionesdiveliv_educacionbogota_gov_co/Documents/DIRECCION DE INSPECCION Y VIGILANCIA/DIV POAIV/POAIV 2025/ELIV RAFAEL URIBE URIBE/PRIORIZADOS/TRIMI/27-03-2025 Robert Owen.pdf?csf=1&amp;web=1&amp;e=hydKF7" xr:uid="{876E3886-69CA-4F70-996D-1741F98DB57F}"/>
    <hyperlink ref="Q1523" r:id="rId962" display="../../../../../../../:b:/r/personal/comunicacionesdiveliv_educacionbogota_gov_co/Documents/DIRECCION DE INSPECCION Y VIGILANCIA/DIV POAIV/POAIV 2025/ELIV RAFAEL URIBE URIBE/PRIORIZADOS/TRIMI/27-03-2025 Robert Owen.pdf?csf=1&amp;web=1&amp;e=hydKF7" xr:uid="{26F2DD5B-38C6-4B9A-B09F-181B636C44AD}"/>
    <hyperlink ref="Q1524" r:id="rId963" display="../../../../../../../:b:/r/personal/comunicacionesdiveliv_educacionbogota_gov_co/Documents/DIRECCION DE INSPECCION Y VIGILANCIA/DIV POAIV/POAIV 2025/ELIV RAFAEL URIBE URIBE/PRIORIZADOS/TRIMI/27-03-2025 Robert Owen.pdf?csf=1&amp;web=1&amp;e=hydKF7" xr:uid="{150BE845-0007-4CA8-ADFB-A393B265B9A5}"/>
    <hyperlink ref="Q1646" r:id="rId964" display="../../../../../../../:b:/r/personal/comunicacionesdiveliv_educacionbogota_gov_co/Documents/DIRECCION DE INSPECCION Y VIGILANCIA/DIV POAIV/POAIV 2025/ELIV RAFAEL URIBE URIBE/PRIORIZADOS/TRIM II/11-04-2025 Alexander Fleming.pdf?csf=1&amp;web=1&amp;e=VWrsYo" xr:uid="{A61C4B3B-48D7-4837-AD1B-F43C280EA0B9}"/>
    <hyperlink ref="Q1647" r:id="rId965" display="../../../../../../../:b:/r/personal/comunicacionesdiveliv_educacionbogota_gov_co/Documents/DIRECCION DE INSPECCION Y VIGILANCIA/DIV POAIV/POAIV 2025/ELIV RAFAEL URIBE URIBE/PRIORIZADOS/TRIM II/11-04-2025 Alexander Fleming.pdf?csf=1&amp;web=1&amp;e=VWrsYo" xr:uid="{14193837-EF86-46B4-93BA-6A5122A1594D}"/>
    <hyperlink ref="Q1648" r:id="rId966" display="../../../../../../../:b:/r/personal/comunicacionesdiveliv_educacionbogota_gov_co/Documents/DIRECCION DE INSPECCION Y VIGILANCIA/DIV POAIV/POAIV 2025/ELIV RAFAEL URIBE URIBE/PRIORIZADOS/TRIM II/11-04-2025 Alexander Fleming.pdf?csf=1&amp;web=1&amp;e=VWrsYo" xr:uid="{B452818B-8758-4CBF-889B-1785DC4BD319}"/>
    <hyperlink ref="Q1649" r:id="rId967" display="../../../../../../../:b:/r/personal/comunicacionesdiveliv_educacionbogota_gov_co/Documents/DIRECCION DE INSPECCION Y VIGILANCIA/DIV POAIV/POAIV 2025/ELIV RAFAEL URIBE URIBE/PRIORIZADOS/TRIM II/11-04-2025 Alexander Fleming.pdf?csf=1&amp;web=1&amp;e=VWrsYo" xr:uid="{0C2C407E-55E6-44F6-9429-942937A80EF3}"/>
    <hyperlink ref="Q1650" r:id="rId968" display="../../../../../../../:b:/r/personal/comunicacionesdiveliv_educacionbogota_gov_co/Documents/DIRECCION DE INSPECCION Y VIGILANCIA/DIV POAIV/POAIV 2025/ELIV RAFAEL URIBE URIBE/PRIORIZADOS/TRIM II/11-04-2025 Alexander Fleming.pdf?csf=1&amp;web=1&amp;e=VWrsYo" xr:uid="{D3E43F3D-5BDC-4A2A-8B2B-593836A93874}"/>
    <hyperlink ref="Q1651" r:id="rId969" display="../../../../../../../:b:/r/personal/comunicacionesdiveliv_educacionbogota_gov_co/Documents/DIRECCION DE INSPECCION Y VIGILANCIA/DIV POAIV/POAIV 2025/ELIV RAFAEL URIBE URIBE/PRIORIZADOS/TRIM II/11-04-2025 Alexander Fleming.pdf?csf=1&amp;web=1&amp;e=VWrsYo" xr:uid="{AB973C8B-F75F-4927-94E4-42EB55F4F62F}"/>
    <hyperlink ref="Q1652" r:id="rId970" display="../../../../../../../:b:/r/personal/comunicacionesdiveliv_educacionbogota_gov_co/Documents/DIRECCION DE INSPECCION Y VIGILANCIA/DIV POAIV/POAIV 2025/ELIV RAFAEL URIBE URIBE/PRIORIZADOS/TRIM II/11-04-2025 Alexander Fleming.pdf?csf=1&amp;web=1&amp;e=VWrsYo" xr:uid="{F9E94389-6A2F-42B7-8E81-5E26E75FFE24}"/>
    <hyperlink ref="Q1544" r:id="rId971" display="../../../../../../../:b:/r/personal/comunicacionesdiveliv_educacionbogota_gov_co/Documents/DIRECCION DE INSPECCION Y VIGILANCIA/DIV POAIV/POAIV 2025/ELIV RAFAEL URIBE URIBE/PRIORIZADOS/TRIM II/29-04-2025 Lic Psicop San Pablo.pdf?csf=1&amp;web=1&amp;e=btaknD" xr:uid="{AC81B0F8-6817-4570-9923-2279F111C64B}"/>
    <hyperlink ref="Q1545" r:id="rId972" display="../../../../../../../:b:/r/personal/comunicacionesdiveliv_educacionbogota_gov_co/Documents/DIRECCION DE INSPECCION Y VIGILANCIA/DIV POAIV/POAIV 2025/ELIV RAFAEL URIBE URIBE/PRIORIZADOS/TRIM II/29-04-2025 Lic Psicop San Pablo.pdf?csf=1&amp;web=1&amp;e=btaknD" xr:uid="{1309368D-27D8-4E9A-ADD2-AE6E5D75CE98}"/>
    <hyperlink ref="Q1546" r:id="rId973" display="../../../../../../../:b:/r/personal/comunicacionesdiveliv_educacionbogota_gov_co/Documents/DIRECCION DE INSPECCION Y VIGILANCIA/DIV POAIV/POAIV 2025/ELIV RAFAEL URIBE URIBE/PRIORIZADOS/TRIM II/29-04-2025 Lic Psicop San Pablo.pdf?csf=1&amp;web=1&amp;e=btaknD" xr:uid="{20D3D2FC-4658-4449-B805-F20703D9524D}"/>
    <hyperlink ref="Q1547" r:id="rId974" display="../../../../../../../:b:/r/personal/comunicacionesdiveliv_educacionbogota_gov_co/Documents/DIRECCION DE INSPECCION Y VIGILANCIA/DIV POAIV/POAIV 2025/ELIV RAFAEL URIBE URIBE/PRIORIZADOS/TRIM II/29-04-2025 Lic Psicop San Pablo.pdf?csf=1&amp;web=1&amp;e=btaknD" xr:uid="{7CF59D4F-7D44-41C8-A9A5-C9F73555ABCF}"/>
    <hyperlink ref="Q1548" r:id="rId975" display="../../../../../../../:b:/r/personal/comunicacionesdiveliv_educacionbogota_gov_co/Documents/DIRECCION DE INSPECCION Y VIGILANCIA/DIV POAIV/POAIV 2025/ELIV RAFAEL URIBE URIBE/PRIORIZADOS/TRIM II/29-04-2025 Lic Psicop San Pablo.pdf?csf=1&amp;web=1&amp;e=btaknD" xr:uid="{B0AB323D-9637-481C-9404-30812B8F2AEC}"/>
    <hyperlink ref="Q1549" r:id="rId976" display="../../../../../../../:b:/r/personal/comunicacionesdiveliv_educacionbogota_gov_co/Documents/DIRECCION DE INSPECCION Y VIGILANCIA/DIV POAIV/POAIV 2025/ELIV RAFAEL URIBE URIBE/PRIORIZADOS/TRIM II/29-04-2025 Lic Psicop San Pablo.pdf?csf=1&amp;web=1&amp;e=btaknD" xr:uid="{98E60CF2-7E13-4198-8573-88EE8D95D474}"/>
    <hyperlink ref="Q1550" r:id="rId977" display="../../../../../../../:b:/r/personal/comunicacionesdiveliv_educacionbogota_gov_co/Documents/DIRECCION DE INSPECCION Y VIGILANCIA/DIV POAIV/POAIV 2025/ELIV RAFAEL URIBE URIBE/PRIORIZADOS/TRIM II/29-04-2025 Lic Psicop San Pablo.pdf?csf=1&amp;web=1&amp;e=btaknD" xr:uid="{96283F03-69CA-440F-A51C-7A1AB580C570}"/>
    <hyperlink ref="Q1551" r:id="rId978" display="../../../../../../../:b:/r/personal/comunicacionesdiveliv_educacionbogota_gov_co/Documents/DIRECCION DE INSPECCION Y VIGILANCIA/DIV POAIV/POAIV 2025/ELIV RAFAEL URIBE URIBE/PRIORIZADOS/TRIM II/29-04-2025 Lic Psicop San Pablo.pdf?csf=1&amp;web=1&amp;e=btaknD" xr:uid="{6AF44C51-3E45-4B9F-A0D6-706A604CB7E9}"/>
    <hyperlink ref="Q1552" r:id="rId979" display="../../../../../../../:b:/r/personal/comunicacionesdiveliv_educacionbogota_gov_co/Documents/DIRECCION DE INSPECCION Y VIGILANCIA/DIV POAIV/POAIV 2025/ELIV RAFAEL URIBE URIBE/PRIORIZADOS/TRIM II/29-04-2025 Lic Psicop San Pablo.pdf?csf=1&amp;web=1&amp;e=btaknD" xr:uid="{7A9046EB-559A-492E-ABCF-9A0E6B825460}"/>
    <hyperlink ref="Q1554" r:id="rId980" display="../../../../../../../:b:/r/personal/comunicacionesdiveliv_educacionbogota_gov_co/Documents/DIRECCION DE INSPECCION Y VIGILANCIA/DIV POAIV/POAIV 2025/ELIV RAFAEL URIBE URIBE/PRIORIZADOS/TRIM II/9-05-2025 Liceo Juan Miguel.pdf?csf=1&amp;web=1&amp;e=ePfKvd" xr:uid="{D49CE573-25BB-4109-8A21-BEC362950A16}"/>
    <hyperlink ref="Q1555" r:id="rId981" display="../../../../../../../:b:/r/personal/comunicacionesdiveliv_educacionbogota_gov_co/Documents/DIRECCION DE INSPECCION Y VIGILANCIA/DIV POAIV/POAIV 2025/ELIV RAFAEL URIBE URIBE/PRIORIZADOS/TRIM II/9-05-2025 Liceo Juan Miguel.pdf?csf=1&amp;web=1&amp;e=ePfKvd" xr:uid="{6013E07A-E8F8-4105-85A1-B389810DAF2F}"/>
    <hyperlink ref="Q1556" r:id="rId982" display="../../../../../../../:b:/r/personal/comunicacionesdiveliv_educacionbogota_gov_co/Documents/DIRECCION DE INSPECCION Y VIGILANCIA/DIV POAIV/POAIV 2025/ELIV RAFAEL URIBE URIBE/PRIORIZADOS/TRIM II/9-05-2025 Liceo Juan Miguel.pdf?csf=1&amp;web=1&amp;e=ePfKvd" xr:uid="{49B48EA2-0A09-4CFE-80AB-347F0FD209C1}"/>
    <hyperlink ref="Q1557" r:id="rId983" display="../../../../../../../:b:/r/personal/comunicacionesdiveliv_educacionbogota_gov_co/Documents/DIRECCION DE INSPECCION Y VIGILANCIA/DIV POAIV/POAIV 2025/ELIV RAFAEL URIBE URIBE/PRIORIZADOS/TRIM II/9-05-2025 Liceo Juan Miguel.pdf?csf=1&amp;web=1&amp;e=ePfKvd" xr:uid="{7A0B067E-F37C-49B5-9EFF-04CA19068EC1}"/>
    <hyperlink ref="Q1558" r:id="rId984" display="../../../../../../../:b:/r/personal/comunicacionesdiveliv_educacionbogota_gov_co/Documents/DIRECCION DE INSPECCION Y VIGILANCIA/DIV POAIV/POAIV 2025/ELIV RAFAEL URIBE URIBE/PRIORIZADOS/TRIM II/9-05-2025 Liceo Juan Miguel.pdf?csf=1&amp;web=1&amp;e=ePfKvd" xr:uid="{2248B887-ECB3-40AC-966B-E1D81682ECE9}"/>
    <hyperlink ref="Q1559" r:id="rId985" display="../../../../../../../:b:/r/personal/comunicacionesdiveliv_educacionbogota_gov_co/Documents/DIRECCION DE INSPECCION Y VIGILANCIA/DIV POAIV/POAIV 2025/ELIV RAFAEL URIBE URIBE/PRIORIZADOS/TRIM II/9-05-2025 Liceo Juan Miguel.pdf?csf=1&amp;web=1&amp;e=ePfKvd" xr:uid="{4E51C307-47BF-4D56-93F0-2EE614575EF8}"/>
    <hyperlink ref="Q1560" r:id="rId986" display="../../../../../../../:b:/r/personal/comunicacionesdiveliv_educacionbogota_gov_co/Documents/DIRECCION DE INSPECCION Y VIGILANCIA/DIV POAIV/POAIV 2025/ELIV RAFAEL URIBE URIBE/PRIORIZADOS/TRIM II/9-05-2025 Liceo Juan Miguel.pdf?csf=1&amp;web=1&amp;e=ePfKvd" xr:uid="{A13A1857-9347-4290-8B21-F1AC12801EAA}"/>
    <hyperlink ref="Q1561" r:id="rId987" display="../../../../../../../:b:/r/personal/comunicacionesdiveliv_educacionbogota_gov_co/Documents/DIRECCION DE INSPECCION Y VIGILANCIA/DIV POAIV/POAIV 2025/ELIV RAFAEL URIBE URIBE/PRIORIZADOS/TRIM II/9-05-2025 Liceo Juan Miguel.pdf?csf=1&amp;web=1&amp;e=ePfKvd" xr:uid="{EBA90073-F9F7-4612-91E2-6DC6F03B05F0}"/>
    <hyperlink ref="Q1563" r:id="rId988" display="../../../../../../../:b:/r/personal/comunicacionesdiveliv_educacionbogota_gov_co/Documents/DIRECCION DE INSPECCION Y VIGILANCIA/DIV POAIV/POAIV 2025/ELIV RAFAEL URIBE URIBE/PRIORIZADOS/TRIM II/14 y 20 Mayo 2025 Cristiano de Colombia.pdf?csf=1&amp;web=1&amp;e=UjPSLs" xr:uid="{0022DF44-8297-46B4-B98E-AA74711FD54C}"/>
    <hyperlink ref="Q1564" r:id="rId989" display="../../../../../../../:b:/r/personal/comunicacionesdiveliv_educacionbogota_gov_co/Documents/DIRECCION DE INSPECCION Y VIGILANCIA/DIV POAIV/POAIV 2025/ELIV RAFAEL URIBE URIBE/PRIORIZADOS/TRIM II/14 y 20 Mayo 2025 Cristiano de Colombia.pdf?csf=1&amp;web=1&amp;e=UjPSLs" xr:uid="{D831B21F-0F4B-4682-AB76-25B4CD1FFFD0}"/>
    <hyperlink ref="Q1565" r:id="rId990" display="../../../../../../../:b:/r/personal/comunicacionesdiveliv_educacionbogota_gov_co/Documents/DIRECCION DE INSPECCION Y VIGILANCIA/DIV POAIV/POAIV 2025/ELIV RAFAEL URIBE URIBE/PRIORIZADOS/TRIM II/14 y 20 Mayo 2025 Cristiano de Colombia.pdf?csf=1&amp;web=1&amp;e=UjPSLs" xr:uid="{015FDABB-D545-4670-B790-F8FB1E5F5A0E}"/>
    <hyperlink ref="Q1566" r:id="rId991" display="../../../../../../../:b:/r/personal/comunicacionesdiveliv_educacionbogota_gov_co/Documents/DIRECCION DE INSPECCION Y VIGILANCIA/DIV POAIV/POAIV 2025/ELIV RAFAEL URIBE URIBE/PRIORIZADOS/TRIM II/14 y 20 Mayo 2025 Cristiano de Colombia.pdf?csf=1&amp;web=1&amp;e=UjPSLs" xr:uid="{DBF8E12E-BB3F-48F9-B8C7-BFD0EF38F9F5}"/>
    <hyperlink ref="Q1567" r:id="rId992" display="../../../../../../../:b:/r/personal/comunicacionesdiveliv_educacionbogota_gov_co/Documents/DIRECCION DE INSPECCION Y VIGILANCIA/DIV POAIV/POAIV 2025/ELIV RAFAEL URIBE URIBE/PRIORIZADOS/TRIM II/14 y 20 Mayo 2025 Cristiano de Colombia.pdf?csf=1&amp;web=1&amp;e=UjPSLs" xr:uid="{7BAF227F-0D43-49FD-8E0B-16C219760B81}"/>
    <hyperlink ref="Q1568" r:id="rId993" display="../../../../../../../:b:/r/personal/comunicacionesdiveliv_educacionbogota_gov_co/Documents/DIRECCION DE INSPECCION Y VIGILANCIA/DIV POAIV/POAIV 2025/ELIV RAFAEL URIBE URIBE/PRIORIZADOS/TRIM II/14 y 20 Mayo 2025 Cristiano de Colombia.pdf?csf=1&amp;web=1&amp;e=UjPSLs" xr:uid="{879C16FB-11E5-48CC-9023-326D6454BD06}"/>
    <hyperlink ref="Q1569" r:id="rId994" display="../../../../../../../:b:/r/personal/comunicacionesdiveliv_educacionbogota_gov_co/Documents/DIRECCION DE INSPECCION Y VIGILANCIA/DIV POAIV/POAIV 2025/ELIV RAFAEL URIBE URIBE/PRIORIZADOS/TRIM II/14 y 20 Mayo 2025 Cristiano de Colombia.pdf?csf=1&amp;web=1&amp;e=UjPSLs" xr:uid="{269E70C2-B465-43C0-B495-C85EB2A17601}"/>
    <hyperlink ref="Q1570" r:id="rId995" display="../../../../../../../:b:/r/personal/comunicacionesdiveliv_educacionbogota_gov_co/Documents/DIRECCION DE INSPECCION Y VIGILANCIA/DIV POAIV/POAIV 2025/ELIV RAFAEL URIBE URIBE/PRIORIZADOS/TRIM II/14 y 20 Mayo 2025 Cristiano de Colombia.pdf?csf=1&amp;web=1&amp;e=UjPSLs" xr:uid="{71CA4C57-BB78-4DD7-9089-DB8CA02C4325}"/>
    <hyperlink ref="Q1571" r:id="rId996" display="../../../../../../../:b:/r/personal/comunicacionesdiveliv_educacionbogota_gov_co/Documents/DIRECCION DE INSPECCION Y VIGILANCIA/DIV POAIV/POAIV 2025/ELIV RAFAEL URIBE URIBE/PRIORIZADOS/TRIM II/14 y 20 Mayo 2025 Cristiano de Colombia.pdf?csf=1&amp;web=1&amp;e=UjPSLs" xr:uid="{7DB0CA89-3A81-49BE-B99D-B5A32A4119EF}"/>
    <hyperlink ref="Q1670" r:id="rId997" display="../../../../../../../:b:/r/personal/comunicacionesdiveliv_educacionbogota_gov_co/Documents/DIRECCION DE INSPECCION Y VIGILANCIA/DIV POAIV/POAIV 2025/ELIV RAFAEL URIBE URIBE/PRIORIZADOS/TRIM II/21 y 26 Mayo 2025 Gimnasio Nuestra Se%C3%B1ora Esperanza.pdf?csf=1&amp;web=1&amp;e=OcIpJK" xr:uid="{F762C72C-DEE6-4929-9936-7DA2C11F6B38}"/>
    <hyperlink ref="Q1671" r:id="rId998" display="../../../../../../../:b:/r/personal/comunicacionesdiveliv_educacionbogota_gov_co/Documents/DIRECCION DE INSPECCION Y VIGILANCIA/DIV POAIV/POAIV 2025/ELIV RAFAEL URIBE URIBE/PRIORIZADOS/TRIM II/21 y 26 Mayo 2025 Gimnasio Nuestra Se%C3%B1ora Esperanza.pdf?csf=1&amp;web=1&amp;e=OcIpJK" xr:uid="{62C8FF0D-5C49-4787-8634-88EF55036477}"/>
    <hyperlink ref="Q1672" r:id="rId999" display="../../../../../../../:b:/r/personal/comunicacionesdiveliv_educacionbogota_gov_co/Documents/DIRECCION DE INSPECCION Y VIGILANCIA/DIV POAIV/POAIV 2025/ELIV RAFAEL URIBE URIBE/PRIORIZADOS/TRIM II/21 y 26 Mayo 2025 Gimnasio Nuestra Se%C3%B1ora Esperanza.pdf?csf=1&amp;web=1&amp;e=OcIpJK" xr:uid="{E12350D0-18B6-4501-9E4F-B7C942364039}"/>
    <hyperlink ref="Q1673" r:id="rId1000" display="../../../../../../../:b:/r/personal/comunicacionesdiveliv_educacionbogota_gov_co/Documents/DIRECCION DE INSPECCION Y VIGILANCIA/DIV POAIV/POAIV 2025/ELIV RAFAEL URIBE URIBE/PRIORIZADOS/TRIM II/21 y 26 Mayo 2025 Gimnasio Nuestra Se%C3%B1ora Esperanza.pdf?csf=1&amp;web=1&amp;e=OcIpJK" xr:uid="{1871B99F-7070-4E1A-8B36-5D654C063D5B}"/>
    <hyperlink ref="Q1674" r:id="rId1001" display="../../../../../../../:b:/r/personal/comunicacionesdiveliv_educacionbogota_gov_co/Documents/DIRECCION DE INSPECCION Y VIGILANCIA/DIV POAIV/POAIV 2025/ELIV RAFAEL URIBE URIBE/PRIORIZADOS/TRIM II/21 y 26 Mayo 2025 Gimnasio Nuestra Se%C3%B1ora Esperanza.pdf?csf=1&amp;web=1&amp;e=OcIpJK" xr:uid="{619A2E40-7D89-49A9-8C35-7F4E8538BDBD}"/>
    <hyperlink ref="Q1675" r:id="rId1002" display="../../../../../../../:b:/r/personal/comunicacionesdiveliv_educacionbogota_gov_co/Documents/DIRECCION DE INSPECCION Y VIGILANCIA/DIV POAIV/POAIV 2025/ELIV RAFAEL URIBE URIBE/PRIORIZADOS/TRIM II/21 y 26 Mayo 2025 Gimnasio Nuestra Se%C3%B1ora Esperanza.pdf?csf=1&amp;web=1&amp;e=OcIpJK" xr:uid="{957FEBE7-21C7-4564-BE6F-542903D7C742}"/>
    <hyperlink ref="Q1676" r:id="rId1003" display="../../../../../../../:b:/r/personal/comunicacionesdiveliv_educacionbogota_gov_co/Documents/DIRECCION DE INSPECCION Y VIGILANCIA/DIV POAIV/POAIV 2025/ELIV RAFAEL URIBE URIBE/PRIORIZADOS/TRIM II/21 y 26 Mayo 2025 Gimnasio Nuestra Se%C3%B1ora Esperanza.pdf?csf=1&amp;web=1&amp;e=OcIpJK" xr:uid="{9610A857-1367-4215-A71E-E9BAE0FA42C4}"/>
    <hyperlink ref="Q1677" r:id="rId1004" display="../../../../../../../:b:/r/personal/comunicacionesdiveliv_educacionbogota_gov_co/Documents/DIRECCION DE INSPECCION Y VIGILANCIA/DIV POAIV/POAIV 2025/ELIV RAFAEL URIBE URIBE/PRIORIZADOS/TRIM II/21 y 26 Mayo 2025 Gimnasio Nuestra Se%C3%B1ora Esperanza.pdf?csf=1&amp;web=1&amp;e=OcIpJK" xr:uid="{CC95215B-9BDA-458D-829A-9BCB5F56ED2D}"/>
    <hyperlink ref="Q1582" r:id="rId1005" display="../../../../../../../:b:/r/personal/comunicacionesdiveliv_educacionbogota_gov_co/Documents/DIRECCION DE INSPECCION Y VIGILANCIA/DIV POAIV/POAIV 2025/ELIV RAFAEL URIBE URIBE/PRIORIZADOS/TRIM II/6 y 11 junio 2025 Feyser Gordillo.pdf?csf=1&amp;web=1&amp;e=w3Ybix" xr:uid="{F5C88C0A-7084-415B-9C24-5603132474CD}"/>
    <hyperlink ref="Q1583" r:id="rId1006" display="../../../../../../../:b:/r/personal/comunicacionesdiveliv_educacionbogota_gov_co/Documents/DIRECCION DE INSPECCION Y VIGILANCIA/DIV POAIV/POAIV 2025/ELIV RAFAEL URIBE URIBE/PRIORIZADOS/TRIM II/6 y 11 junio 2025 Feyser Gordillo.pdf?csf=1&amp;web=1&amp;e=w3Ybix" xr:uid="{0A8EA2CD-179A-4657-A4F6-19A5A095A560}"/>
    <hyperlink ref="Q1584" r:id="rId1007" display="../../../../../../../:b:/r/personal/comunicacionesdiveliv_educacionbogota_gov_co/Documents/DIRECCION DE INSPECCION Y VIGILANCIA/DIV POAIV/POAIV 2025/ELIV RAFAEL URIBE URIBE/PRIORIZADOS/TRIM II/6 y 11 junio 2025 Feyser Gordillo.pdf?csf=1&amp;web=1&amp;e=w3Ybix" xr:uid="{D562124E-6BAB-455B-8BB9-ED9281BB7227}"/>
    <hyperlink ref="Q1585" r:id="rId1008" display="../../../../../../../:b:/r/personal/comunicacionesdiveliv_educacionbogota_gov_co/Documents/DIRECCION DE INSPECCION Y VIGILANCIA/DIV POAIV/POAIV 2025/ELIV RAFAEL URIBE URIBE/PRIORIZADOS/TRIM II/6 y 11 junio 2025 Feyser Gordillo.pdf?csf=1&amp;web=1&amp;e=w3Ybix" xr:uid="{78849DF0-9E84-40AF-95EF-115529E89E8C}"/>
    <hyperlink ref="Q1586" r:id="rId1009" display="../../../../../../../:b:/r/personal/comunicacionesdiveliv_educacionbogota_gov_co/Documents/DIRECCION DE INSPECCION Y VIGILANCIA/DIV POAIV/POAIV 2025/ELIV RAFAEL URIBE URIBE/PRIORIZADOS/TRIM II/6 y 11 junio 2025 Feyser Gordillo.pdf?csf=1&amp;web=1&amp;e=w3Ybix" xr:uid="{0B1D449F-E83B-426A-A36B-EEE2F44EB982}"/>
    <hyperlink ref="Q1587" r:id="rId1010" display="../../../../../../../:b:/r/personal/comunicacionesdiveliv_educacionbogota_gov_co/Documents/DIRECCION DE INSPECCION Y VIGILANCIA/DIV POAIV/POAIV 2025/ELIV RAFAEL URIBE URIBE/PRIORIZADOS/TRIM II/6 y 11 junio 2025 Feyser Gordillo.pdf?csf=1&amp;web=1&amp;e=w3Ybix" xr:uid="{5F8439A1-F8F4-4373-99CA-4AC3DC09E861}"/>
    <hyperlink ref="Q1588" r:id="rId1011" display="../../../../../../../:b:/r/personal/comunicacionesdiveliv_educacionbogota_gov_co/Documents/DIRECCION DE INSPECCION Y VIGILANCIA/DIV POAIV/POAIV 2025/ELIV RAFAEL URIBE URIBE/PRIORIZADOS/TRIM II/6 y 11 junio 2025 Feyser Gordillo.pdf?csf=1&amp;web=1&amp;e=w3Ybix" xr:uid="{04D3B584-2572-47E2-A2FD-33DCA749D9ED}"/>
    <hyperlink ref="Q1589" r:id="rId1012" display="../../../../../../../:b:/r/personal/comunicacionesdiveliv_educacionbogota_gov_co/Documents/DIRECCION DE INSPECCION Y VIGILANCIA/DIV POAIV/POAIV 2025/ELIV RAFAEL URIBE URIBE/PRIORIZADOS/TRIM II/6 y 11 junio 2025 Feyser Gordillo.pdf?csf=1&amp;web=1&amp;e=w3Ybix" xr:uid="{48B51118-2D45-4FE0-8FF2-8CD5D6B45D41}"/>
    <hyperlink ref="Q1590" r:id="rId1013" display="../../../../../../../:b:/r/personal/comunicacionesdiveliv_educacionbogota_gov_co/Documents/DIRECCION DE INSPECCION Y VIGILANCIA/DIV POAIV/POAIV 2025/ELIV RAFAEL URIBE URIBE/PRIORIZADOS/TRIM II/6 y 11 junio 2025 Feyser Gordillo.pdf?csf=1&amp;web=1&amp;e=w3Ybix" xr:uid="{F924A0FB-B7D9-4798-ABCB-B8B69DB9537C}"/>
    <hyperlink ref="Q1592" r:id="rId1014" display="../../../../../../../:b:/r/personal/comunicacionesdiveliv_educacionbogota_gov_co/Documents/DIRECCION DE INSPECCION Y VIGILANCIA/DIV POAIV/POAIV 2025/ELIV RAFAEL URIBE URIBE/PRIORIZADOS/TRIM II/11 y 16 junio 2025 Danilo Cifuentes.pdf?csf=1&amp;web=1&amp;e=ZGfenX" xr:uid="{C0B06B46-274C-44D9-B1D8-138AED512341}"/>
    <hyperlink ref="Q1593" r:id="rId1015" display="../../../../../../../:b:/r/personal/comunicacionesdiveliv_educacionbogota_gov_co/Documents/DIRECCION DE INSPECCION Y VIGILANCIA/DIV POAIV/POAIV 2025/ELIV RAFAEL URIBE URIBE/PRIORIZADOS/TRIM II/11 y 16 junio 2025 Danilo Cifuentes.pdf?csf=1&amp;web=1&amp;e=ZGfenX" xr:uid="{AEA09E62-9350-4D2F-A0E9-BB9C8FDE1787}"/>
    <hyperlink ref="Q1594" r:id="rId1016" display="../../../../../../../:b:/r/personal/comunicacionesdiveliv_educacionbogota_gov_co/Documents/DIRECCION DE INSPECCION Y VIGILANCIA/DIV POAIV/POAIV 2025/ELIV RAFAEL URIBE URIBE/PRIORIZADOS/TRIM II/11 y 16 junio 2025 Danilo Cifuentes.pdf?csf=1&amp;web=1&amp;e=ZGfenX" xr:uid="{DBE3BF0E-6AA4-4E36-B4CC-D42A5108DBB6}"/>
    <hyperlink ref="Q1595" r:id="rId1017" display="../../../../../../../:b:/r/personal/comunicacionesdiveliv_educacionbogota_gov_co/Documents/DIRECCION DE INSPECCION Y VIGILANCIA/DIV POAIV/POAIV 2025/ELIV RAFAEL URIBE URIBE/PRIORIZADOS/TRIM II/11 y 16 junio 2025 Danilo Cifuentes.pdf?csf=1&amp;web=1&amp;e=ZGfenX" xr:uid="{A76DB3A0-CEB7-4ABC-99FF-14A2A33DD043}"/>
    <hyperlink ref="Q1596" r:id="rId1018" display="../../../../../../../:b:/r/personal/comunicacionesdiveliv_educacionbogota_gov_co/Documents/DIRECCION DE INSPECCION Y VIGILANCIA/DIV POAIV/POAIV 2025/ELIV RAFAEL URIBE URIBE/PRIORIZADOS/TRIM II/11 y 16 junio 2025 Danilo Cifuentes.pdf?csf=1&amp;web=1&amp;e=ZGfenX" xr:uid="{96AC3716-AE4B-481F-AD73-7C9004B42514}"/>
    <hyperlink ref="Q1597" r:id="rId1019" display="../../../../../../../:b:/r/personal/comunicacionesdiveliv_educacionbogota_gov_co/Documents/DIRECCION DE INSPECCION Y VIGILANCIA/DIV POAIV/POAIV 2025/ELIV RAFAEL URIBE URIBE/PRIORIZADOS/TRIM II/11 y 16 junio 2025 Danilo Cifuentes.pdf?csf=1&amp;web=1&amp;e=ZGfenX" xr:uid="{6684A0F0-102D-40CE-BA4C-E20CBDA3B875}"/>
    <hyperlink ref="Q1598" r:id="rId1020" display="../../../../../../../:b:/r/personal/comunicacionesdiveliv_educacionbogota_gov_co/Documents/DIRECCION DE INSPECCION Y VIGILANCIA/DIV POAIV/POAIV 2025/ELIV RAFAEL URIBE URIBE/PRIORIZADOS/TRIM II/11 y 16 junio 2025 Danilo Cifuentes.pdf?csf=1&amp;web=1&amp;e=ZGfenX" xr:uid="{80C870A0-A613-4295-8FF7-5FF1A9505B17}"/>
    <hyperlink ref="Q1599" r:id="rId1021" display="../../../../../../../:b:/r/personal/comunicacionesdiveliv_educacionbogota_gov_co/Documents/DIRECCION DE INSPECCION Y VIGILANCIA/DIV POAIV/POAIV 2025/ELIV RAFAEL URIBE URIBE/PRIORIZADOS/TRIM II/11 y 16 junio 2025 Danilo Cifuentes.pdf?csf=1&amp;web=1&amp;e=ZGfenX" xr:uid="{575254D6-0746-4A58-9E87-BA88B89CC647}"/>
    <hyperlink ref="Q936" r:id="rId1022" display="../../../../../../../:b:/r/personal/comunicacionesdiveliv_educacionbogota_gov_co/Documents/DIRECCION DE INSPECCION Y VIGILANCIA/DIV POAIV/POAIV 2025/ELIV FONTIB%C3%93N/PRIORIZADOS/TRIM II/POLITECNICO MAYOR ANDINO/POLITECNICO MAYOR ANDINO.pdf?csf=1&amp;web=1&amp;e=pyqYBg" xr:uid="{C2D8F5AC-7717-4B55-A64E-B6D16165C92C}"/>
    <hyperlink ref="Q937" r:id="rId1023" display="../../../../../../../:b:/r/personal/comunicacionesdiveliv_educacionbogota_gov_co/Documents/DIRECCION DE INSPECCION Y VIGILANCIA/DIV POAIV/POAIV 2025/ELIV FONTIB%C3%93N/PRIORIZADOS/TRIM II/POLITECNICO MAYOR ANDINO/POLITECNICO MAYOR ANDINO.pdf?csf=1&amp;web=1&amp;e=pyqYBg" xr:uid="{66A8B5D7-23AF-4A65-ABB1-86BB80A8DE23}"/>
    <hyperlink ref="Q938" r:id="rId1024" display="../../../../../../../:b:/r/personal/comunicacionesdiveliv_educacionbogota_gov_co/Documents/DIRECCION DE INSPECCION Y VIGILANCIA/DIV POAIV/POAIV 2025/ELIV FONTIB%C3%93N/PRIORIZADOS/TRIM II/POLITECNICO MAYOR ANDINO/POLITECNICO MAYOR ANDINO.pdf?csf=1&amp;web=1&amp;e=pyqYBg" xr:uid="{39CFFDE1-9EB4-4A00-88B1-1D76CA2D60BC}"/>
    <hyperlink ref="Q939" r:id="rId1025" display="../../../../../../../:b:/r/personal/comunicacionesdiveliv_educacionbogota_gov_co/Documents/DIRECCION DE INSPECCION Y VIGILANCIA/DIV POAIV/POAIV 2025/ELIV FONTIB%C3%93N/PRIORIZADOS/TRIM II/POLITECNICO MAYOR ANDINO/POLITECNICO MAYOR ANDINO.pdf?csf=1&amp;web=1&amp;e=pyqYBg" xr:uid="{A137C5D7-5309-4B45-92E8-1331AF94391A}"/>
    <hyperlink ref="Q940" r:id="rId1026" display="../../../../../../../:b:/r/personal/comunicacionesdiveliv_educacionbogota_gov_co/Documents/DIRECCION DE INSPECCION Y VIGILANCIA/DIV POAIV/POAIV 2025/ELIV FONTIB%C3%93N/PRIORIZADOS/TRIM II/POLITECNICO MAYOR ANDINO/POLITECNICO MAYOR ANDINO.pdf?csf=1&amp;web=1&amp;e=pyqYBg" xr:uid="{EE3EB8BC-5E7F-49D3-8730-C437294E7CF6}"/>
    <hyperlink ref="Q941" r:id="rId1027" display="../../../../../../../:b:/r/personal/comunicacionesdiveliv_educacionbogota_gov_co/Documents/DIRECCION DE INSPECCION Y VIGILANCIA/DIV POAIV/POAIV 2025/ELIV FONTIB%C3%93N/PRIORIZADOS/TRIM II/POLITECNICO MAYOR ANDINO/POLITECNICO MAYOR ANDINO.pdf?csf=1&amp;web=1&amp;e=pyqYBg" xr:uid="{4F2A45D6-5587-4987-B53B-790DF7C6A9C3}"/>
    <hyperlink ref="Q942" r:id="rId1028" display="../../../../../../../:b:/r/personal/comunicacionesdiveliv_educacionbogota_gov_co/Documents/DIRECCION DE INSPECCION Y VIGILANCIA/DIV POAIV/POAIV 2025/ELIV FONTIB%C3%93N/PRIORIZADOS/TRIM II/POLITECNICO MAYOR ANDINO/POLITECNICO MAYOR ANDINO.pdf?csf=1&amp;web=1&amp;e=pyqYBg" xr:uid="{E30AA611-3643-4427-AE88-4F9E5158C2D0}"/>
    <hyperlink ref="Q945" r:id="rId1029" display="../../../../../../../:b:/r/personal/comunicacionesdiveliv_educacionbogota_gov_co/Documents/DIRECCION DE INSPECCION Y VIGILANCIA/DIV POAIV/POAIV 2025/ELIV FONTIB%C3%93N/PRIORIZADOS/TRIM II/COLEGIO TECNISISTEMAS/acta visita firmada.pdf?csf=1&amp;web=1&amp;e=ZWF8fi" xr:uid="{77A9F472-1AD2-43E5-B4D0-7ACE264569A2}"/>
    <hyperlink ref="Q946" r:id="rId1030" display="../../../../../../../:b:/r/personal/comunicacionesdiveliv_educacionbogota_gov_co/Documents/DIRECCION DE INSPECCION Y VIGILANCIA/DIV POAIV/POAIV 2025/ELIV FONTIB%C3%93N/PRIORIZADOS/TRIM II/COLEGIO TECNISISTEMAS/acta visita firmada.pdf?csf=1&amp;web=1&amp;e=ZWF8fi" xr:uid="{00DAF378-8A75-4927-916B-6D350C52504D}"/>
    <hyperlink ref="Q947" r:id="rId1031" display="../../../../../../../:b:/r/personal/comunicacionesdiveliv_educacionbogota_gov_co/Documents/DIRECCION DE INSPECCION Y VIGILANCIA/DIV POAIV/POAIV 2025/ELIV FONTIB%C3%93N/PRIORIZADOS/TRIM II/COLEGIO TECNISISTEMAS/acta visita firmada.pdf?csf=1&amp;web=1&amp;e=ZWF8fi" xr:uid="{C3A3B076-11AC-4C90-B287-45A7B7919E5A}"/>
    <hyperlink ref="Q948" r:id="rId1032" display="../../../../../../../:b:/r/personal/comunicacionesdiveliv_educacionbogota_gov_co/Documents/DIRECCION DE INSPECCION Y VIGILANCIA/DIV POAIV/POAIV 2025/ELIV FONTIB%C3%93N/PRIORIZADOS/TRIM II/COLEGIO TECNISISTEMAS/acta visita firmada.pdf?csf=1&amp;web=1&amp;e=ZWF8fi" xr:uid="{0D466499-60DD-47F8-B63A-10BAFAE67B7D}"/>
    <hyperlink ref="Q949" r:id="rId1033" display="../../../../../../../:b:/r/personal/comunicacionesdiveliv_educacionbogota_gov_co/Documents/DIRECCION DE INSPECCION Y VIGILANCIA/DIV POAIV/POAIV 2025/ELIV FONTIB%C3%93N/PRIORIZADOS/TRIM II/COLEGIO TECNISISTEMAS/acta visita firmada.pdf?csf=1&amp;web=1&amp;e=ZWF8fi" xr:uid="{3A37DCAE-B02C-4405-B3F5-C241ABB7445B}"/>
    <hyperlink ref="Q950" r:id="rId1034" display="../../../../../../../:b:/r/personal/comunicacionesdiveliv_educacionbogota_gov_co/Documents/DIRECCION DE INSPECCION Y VIGILANCIA/DIV POAIV/POAIV 2025/ELIV FONTIB%C3%93N/PRIORIZADOS/TRIM II/COLEGIO TECNISISTEMAS/acta visita firmada.pdf?csf=1&amp;web=1&amp;e=ZWF8fi" xr:uid="{93169EE6-1C60-4F30-85B5-133E5DFBC262}"/>
    <hyperlink ref="Q951" r:id="rId1035" display="../../../../../../../:b:/r/personal/comunicacionesdiveliv_educacionbogota_gov_co/Documents/DIRECCION DE INSPECCION Y VIGILANCIA/DIV POAIV/POAIV 2025/ELIV FONTIB%C3%93N/PRIORIZADOS/TRIM II/COLEGIO TECNISISTEMAS/acta visita firmada.pdf?csf=1&amp;web=1&amp;e=ZWF8fi" xr:uid="{EB7A0B99-1302-41A3-B82F-CDAE514049ED}"/>
    <hyperlink ref="Q952" r:id="rId1036" display="../../../../../../../:b:/r/personal/comunicacionesdiveliv_educacionbogota_gov_co/Documents/DIRECCION DE INSPECCION Y VIGILANCIA/DIV POAIV/POAIV 2025/ELIV FONTIB%C3%93N/PRIORIZADOS/TRIM II/COLEGIO TECNISISTEMAS/acta visita firmada.pdf?csf=1&amp;web=1&amp;e=ZWF8fi" xr:uid="{D5222755-1AC2-4903-AE69-22C0F1B2D603}"/>
    <hyperlink ref="Q954" r:id="rId1037" display="../../../../../../../:b:/r/personal/comunicacionesdiveliv_educacionbogota_gov_co/Documents/DIRECCION DE INSPECCION Y VIGILANCIA/DIV POAIV/POAIV 2025/ELIV FONTIB%C3%93N/PRIORIZADOS/TRIM III/UNIDAD EDUCATIVA BAHIA SOLANO/FORMATO UNIDAD EDUCATIVA BAHIA SOLANO.pdf?csf=1&amp;web=1&amp;e=tWRSAh" xr:uid="{3287C734-D121-4905-BD25-C88551564473}"/>
    <hyperlink ref="Q955" r:id="rId1038" display="../../../../../../../:b:/r/personal/comunicacionesdiveliv_educacionbogota_gov_co/Documents/DIRECCION DE INSPECCION Y VIGILANCIA/DIV POAIV/POAIV 2025/ELIV FONTIB%C3%93N/PRIORIZADOS/TRIM III/UNIDAD EDUCATIVA BAHIA SOLANO/FORMATO UNIDAD EDUCATIVA BAHIA SOLANO.pdf?csf=1&amp;web=1&amp;e=tWRSAh" xr:uid="{1EF0992A-B908-466E-B3A5-0F2AA36F316D}"/>
    <hyperlink ref="Q956" r:id="rId1039" display="../../../../../../../:b:/r/personal/comunicacionesdiveliv_educacionbogota_gov_co/Documents/DIRECCION DE INSPECCION Y VIGILANCIA/DIV POAIV/POAIV 2025/ELIV FONTIB%C3%93N/PRIORIZADOS/TRIM III/UNIDAD EDUCATIVA BAHIA SOLANO/FORMATO UNIDAD EDUCATIVA BAHIA SOLANO.pdf?csf=1&amp;web=1&amp;e=tWRSAh" xr:uid="{EF49AE1A-016A-4F94-825A-91066FE66523}"/>
    <hyperlink ref="Q957" r:id="rId1040" display="../../../../../../../:b:/r/personal/comunicacionesdiveliv_educacionbogota_gov_co/Documents/DIRECCION DE INSPECCION Y VIGILANCIA/DIV POAIV/POAIV 2025/ELIV FONTIB%C3%93N/PRIORIZADOS/TRIM III/UNIDAD EDUCATIVA BAHIA SOLANO/FORMATO UNIDAD EDUCATIVA BAHIA SOLANO.pdf?csf=1&amp;web=1&amp;e=tWRSAh" xr:uid="{646D2F6C-BF1D-4C80-B76F-4E4C9C2B20F4}"/>
    <hyperlink ref="Q958" r:id="rId1041" display="../../../../../../../:b:/r/personal/comunicacionesdiveliv_educacionbogota_gov_co/Documents/DIRECCION DE INSPECCION Y VIGILANCIA/DIV POAIV/POAIV 2025/ELIV FONTIB%C3%93N/PRIORIZADOS/TRIM III/UNIDAD EDUCATIVA BAHIA SOLANO/FORMATO UNIDAD EDUCATIVA BAHIA SOLANO.pdf?csf=1&amp;web=1&amp;e=tWRSAh" xr:uid="{31CE5B9E-A6B6-4508-9CDD-5ED5B1C48842}"/>
    <hyperlink ref="Q2560" r:id="rId1042" display="../../../../../../../:b:/r/personal/comunicacionesdiveliv_educacionbogota_gov_co/Documents/DIRECCION DE INSPECCION Y VIGILANCIA/DIV POAIV/POAIV 2025/ELIV USAQU%C3%89N/PRIORIZADOS/TRIM II/Acta_Visita_Alfred_Marshall.pdf?csf=1&amp;web=1&amp;e=RqQHAK" xr:uid="{8EB2CDD9-48C9-49F4-B959-7770F9C0ACB9}"/>
    <hyperlink ref="Q2561" r:id="rId1043" display="../../../../../../../:b:/r/personal/comunicacionesdiveliv_educacionbogota_gov_co/Documents/DIRECCION DE INSPECCION Y VIGILANCIA/DIV POAIV/POAIV 2025/ELIV USAQU%C3%89N/PRIORIZADOS/TRIM II/Acta_Visita_Alfred_Marshall.pdf?csf=1&amp;web=1&amp;e=RqQHAK" xr:uid="{92C6712C-CE48-4104-9101-032DA1F3E913}"/>
    <hyperlink ref="Q2562" r:id="rId1044" display="../../../../../../../:b:/r/personal/comunicacionesdiveliv_educacionbogota_gov_co/Documents/DIRECCION DE INSPECCION Y VIGILANCIA/DIV POAIV/POAIV 2025/ELIV USAQU%C3%89N/PRIORIZADOS/TRIM II/Acta_Visita_Alfred_Marshall.pdf?csf=1&amp;web=1&amp;e=RqQHAK" xr:uid="{6BCF9A44-B118-44EB-A15A-F8CD2AE9FBC3}"/>
    <hyperlink ref="Q2563" r:id="rId1045" display="../../../../../../../:b:/r/personal/comunicacionesdiveliv_educacionbogota_gov_co/Documents/DIRECCION DE INSPECCION Y VIGILANCIA/DIV POAIV/POAIV 2025/ELIV USAQU%C3%89N/PRIORIZADOS/TRIM II/Acta_Visita_Alfred_Marshall.pdf?csf=1&amp;web=1&amp;e=RqQHAK" xr:uid="{6360E2AA-EE6F-4906-BBC2-79EB7ABD69B8}"/>
    <hyperlink ref="Q2564" r:id="rId1046" display="../../../../../../../:b:/r/personal/comunicacionesdiveliv_educacionbogota_gov_co/Documents/DIRECCION DE INSPECCION Y VIGILANCIA/DIV POAIV/POAIV 2025/ELIV USAQU%C3%89N/PRIORIZADOS/TRIM II/Acta_Visita_Alfred_Marshall.pdf?csf=1&amp;web=1&amp;e=RqQHAK" xr:uid="{E35801ED-978B-4857-9E50-89F06AEC103A}"/>
    <hyperlink ref="Q2565" r:id="rId1047" display="../../../../../../../:b:/r/personal/comunicacionesdiveliv_educacionbogota_gov_co/Documents/DIRECCION DE INSPECCION Y VIGILANCIA/DIV POAIV/POAIV 2025/ELIV USAQU%C3%89N/PRIORIZADOS/TRIM II/Acta_Visita_Alfred_Marshall.pdf?csf=1&amp;web=1&amp;e=RqQHAK" xr:uid="{E41A4948-335F-48D3-A249-F51D474389D9}"/>
    <hyperlink ref="Q2566" r:id="rId1048" display="../../../../../../../:b:/r/personal/comunicacionesdiveliv_educacionbogota_gov_co/Documents/DIRECCION DE INSPECCION Y VIGILANCIA/DIV POAIV/POAIV 2025/ELIV USAQU%C3%89N/PRIORIZADOS/TRIM II/Acta_Visita_Alfred_Marshall.pdf?csf=1&amp;web=1&amp;e=RqQHAK" xr:uid="{55446E13-38AB-4040-BF64-44054E371CAF}"/>
    <hyperlink ref="Q2567" r:id="rId1049" display="../../../../../../../:b:/r/personal/comunicacionesdiveliv_educacionbogota_gov_co/Documents/DIRECCION DE INSPECCION Y VIGILANCIA/DIV POAIV/POAIV 2025/ELIV USAQU%C3%89N/PRIORIZADOS/TRIM II/Acta_Visita_Alfred_Marshall.pdf?csf=1&amp;web=1&amp;e=RqQHAK" xr:uid="{E92A3AE9-A16E-4F1E-BBE1-7B7B4F9EBDB7}"/>
    <hyperlink ref="Q2568" r:id="rId1050" display="../../../../../../../:b:/r/personal/comunicacionesdiveliv_educacionbogota_gov_co/Documents/DIRECCION DE INSPECCION Y VIGILANCIA/DIV POAIV/POAIV 2025/ELIV USAQU%C3%89N/PRIORIZADOS/TRIM II/Acta_Visita_Alfred_Marshall.pdf?csf=1&amp;web=1&amp;e=RqQHAK" xr:uid="{F033C0F4-8005-4A0E-8EBA-5DF2353EDF6B}"/>
    <hyperlink ref="Q2569" r:id="rId1051" display="../../../../../../../:b:/r/personal/comunicacionesdiveliv_educacionbogota_gov_co/Documents/DIRECCION DE INSPECCION Y VIGILANCIA/DIV POAIV/POAIV 2025/ELIV USAQU%C3%89N/PRIORIZADOS/TRIM II/Acta_visita_Gimnasio_Cultural_Libertad.pdf?csf=1&amp;web=1&amp;e=2ofgLu" xr:uid="{EC29B849-A79D-49D3-8D7C-805194F2E78B}"/>
    <hyperlink ref="Q2570" r:id="rId1052" display="../../../../../../../:b:/r/personal/comunicacionesdiveliv_educacionbogota_gov_co/Documents/DIRECCION DE INSPECCION Y VIGILANCIA/DIV POAIV/POAIV 2025/ELIV USAQU%C3%89N/PRIORIZADOS/TRIM II/Acta_visita_Gimnasio_Cultural_Libertad.pdf?csf=1&amp;web=1&amp;e=2ofgLu" xr:uid="{BF3DC587-1C8D-4E68-8724-AE6074953840}"/>
    <hyperlink ref="Q2571" r:id="rId1053" display="../../../../../../../:b:/r/personal/comunicacionesdiveliv_educacionbogota_gov_co/Documents/DIRECCION DE INSPECCION Y VIGILANCIA/DIV POAIV/POAIV 2025/ELIV USAQU%C3%89N/PRIORIZADOS/TRIM II/Acta_visita_Gimnasio_Cultural_Libertad.pdf?csf=1&amp;web=1&amp;e=2ofgLu" xr:uid="{8B489A29-AF3D-4CED-8A23-539123CD6F8B}"/>
    <hyperlink ref="Q2572" r:id="rId1054" display="../../../../../../../:b:/r/personal/comunicacionesdiveliv_educacionbogota_gov_co/Documents/DIRECCION DE INSPECCION Y VIGILANCIA/DIV POAIV/POAIV 2025/ELIV USAQU%C3%89N/PRIORIZADOS/TRIM II/Acta_visita_Gimnasio_Cultural_Libertad.pdf?csf=1&amp;web=1&amp;e=2ofgLu" xr:uid="{85441FBC-DE6B-4D6A-B3FD-80129D534FEE}"/>
    <hyperlink ref="Q2573" r:id="rId1055" display="../../../../../../../:b:/r/personal/comunicacionesdiveliv_educacionbogota_gov_co/Documents/DIRECCION DE INSPECCION Y VIGILANCIA/DIV POAIV/POAIV 2025/ELIV USAQU%C3%89N/PRIORIZADOS/TRIM II/Acta_visita_Gimnasio_Cultural_Libertad.pdf?csf=1&amp;web=1&amp;e=2ofgLu" xr:uid="{9E99CE60-9961-4C8D-985B-7F566636F0F4}"/>
    <hyperlink ref="Q2574" r:id="rId1056" display="../../../../../../../:b:/r/personal/comunicacionesdiveliv_educacionbogota_gov_co/Documents/DIRECCION DE INSPECCION Y VIGILANCIA/DIV POAIV/POAIV 2025/ELIV USAQU%C3%89N/PRIORIZADOS/TRIM II/Acta_visita_Gimnasio_Cultural_Libertad.pdf?csf=1&amp;web=1&amp;e=2ofgLu" xr:uid="{0B48EF4E-B586-4424-A5F4-47D2F785393A}"/>
    <hyperlink ref="Q2575" r:id="rId1057" display="../../../../../../../:b:/r/personal/comunicacionesdiveliv_educacionbogota_gov_co/Documents/DIRECCION DE INSPECCION Y VIGILANCIA/DIV POAIV/POAIV 2025/ELIV USAQU%C3%89N/PRIORIZADOS/TRIM II/Acta_visita_Gimnasio_Cultural_Libertad.pdf?csf=1&amp;web=1&amp;e=2ofgLu" xr:uid="{CB0DFBD8-51A0-453D-BB36-34ADACA3CA37}"/>
    <hyperlink ref="Q2576" r:id="rId1058" display="../../../../../../../:b:/r/personal/comunicacionesdiveliv_educacionbogota_gov_co/Documents/DIRECCION DE INSPECCION Y VIGILANCIA/DIV POAIV/POAIV 2025/ELIV USAQU%C3%89N/PRIORIZADOS/TRIM II/Acta_visita_Gimnasio_Cultural_Libertad.pdf?csf=1&amp;web=1&amp;e=2ofgLu" xr:uid="{B23F26EB-1484-4270-8DA2-8325F5D0CE33}"/>
    <hyperlink ref="Q2577" r:id="rId1059" display="../../../../../../../:b:/r/personal/comunicacionesdiveliv_educacionbogota_gov_co/Documents/DIRECCION DE INSPECCION Y VIGILANCIA/DIV POAIV/POAIV 2025/ELIV USAQU%C3%89N/PRIORIZADOS/TRIM II/Acta_visita_Gimnasio_Cultural_Libertad.pdf?csf=1&amp;web=1&amp;e=2ofgLu" xr:uid="{F347D0DB-80E6-4E11-9030-03DFDBFB59B5}"/>
    <hyperlink ref="Q2578" r:id="rId1060" display="../../../../../../../:b:/r/personal/comunicacionesdiveliv_educacionbogota_gov_co/Documents/DIRECCION DE INSPECCION Y VIGILANCIA/DIV POAIV/POAIV 2025/ELIV USAQU%C3%89N/PRIORIZADOS/TRIM II/Acta_Visita_Instituto_el_roble.pdf?csf=1&amp;web=1&amp;e=xXvcJT" xr:uid="{A4A334CE-4F42-419F-A48B-429B2B81FEF6}"/>
    <hyperlink ref="Q2579" r:id="rId1061" display="../../../../../../../:b:/r/personal/comunicacionesdiveliv_educacionbogota_gov_co/Documents/DIRECCION DE INSPECCION Y VIGILANCIA/DIV POAIV/POAIV 2025/ELIV USAQU%C3%89N/PRIORIZADOS/TRIM II/Acta_Visita_Instituto_el_roble.pdf?csf=1&amp;web=1&amp;e=xXvcJT" xr:uid="{0658897E-475E-48AB-A7F0-B316213ED21F}"/>
    <hyperlink ref="Q2580" r:id="rId1062" display="../../../../../../../:b:/r/personal/comunicacionesdiveliv_educacionbogota_gov_co/Documents/DIRECCION DE INSPECCION Y VIGILANCIA/DIV POAIV/POAIV 2025/ELIV USAQU%C3%89N/PRIORIZADOS/TRIM II/Acta_Visita_Instituto_el_roble.pdf?csf=1&amp;web=1&amp;e=xXvcJT" xr:uid="{DF09803D-CF8C-479E-9274-53EF5FF749F8}"/>
    <hyperlink ref="Q2581" r:id="rId1063" display="../../../../../../../:b:/r/personal/comunicacionesdiveliv_educacionbogota_gov_co/Documents/DIRECCION DE INSPECCION Y VIGILANCIA/DIV POAIV/POAIV 2025/ELIV USAQU%C3%89N/PRIORIZADOS/TRIM II/Acta_Visita_Instituto_el_roble.pdf?csf=1&amp;web=1&amp;e=xXvcJT" xr:uid="{37CEDCA8-63F2-49E3-8CBB-274144D250E7}"/>
    <hyperlink ref="Q2582" r:id="rId1064" display="../../../../../../../:b:/r/personal/comunicacionesdiveliv_educacionbogota_gov_co/Documents/DIRECCION DE INSPECCION Y VIGILANCIA/DIV POAIV/POAIV 2025/ELIV USAQU%C3%89N/PRIORIZADOS/TRIM II/Acta_Visita_Instituto_el_roble.pdf?csf=1&amp;web=1&amp;e=xXvcJT" xr:uid="{069D9A20-0102-4FA9-8187-FFC21C8E1C2B}"/>
    <hyperlink ref="Q2583" r:id="rId1065" display="../../../../../../../:b:/r/personal/comunicacionesdiveliv_educacionbogota_gov_co/Documents/DIRECCION DE INSPECCION Y VIGILANCIA/DIV POAIV/POAIV 2025/ELIV USAQU%C3%89N/PRIORIZADOS/TRIM II/Acta_Visita_Instituto_el_roble.pdf?csf=1&amp;web=1&amp;e=xXvcJT" xr:uid="{3EA5C2A2-FE61-4B00-8E92-3BCE1E79A599}"/>
    <hyperlink ref="Q2584" r:id="rId1066" display="../../../../../../../:b:/r/personal/comunicacionesdiveliv_educacionbogota_gov_co/Documents/DIRECCION DE INSPECCION Y VIGILANCIA/DIV POAIV/POAIV 2025/ELIV USAQU%C3%89N/PRIORIZADOS/TRIM II/Acta_Visita_Instituto_el_roble.pdf?csf=1&amp;web=1&amp;e=xXvcJT" xr:uid="{A216D67B-8367-4BF5-9B37-2731C24D1984}"/>
    <hyperlink ref="Q2585" r:id="rId1067" display="../../../../../../../:b:/r/personal/comunicacionesdiveliv_educacionbogota_gov_co/Documents/DIRECCION DE INSPECCION Y VIGILANCIA/DIV POAIV/POAIV 2025/ELIV USAQU%C3%89N/PRIORIZADOS/TRIM II/Acta_Visita_Instituto_el_roble.pdf?csf=1&amp;web=1&amp;e=xXvcJT" xr:uid="{9116A13D-F181-4261-829C-036F3E0D1962}"/>
    <hyperlink ref="Q2586" r:id="rId1068" display="../../../../../../../:b:/r/personal/comunicacionesdiveliv_educacionbogota_gov_co/Documents/DIRECCION DE INSPECCION Y VIGILANCIA/DIV POAIV/POAIV 2025/ELIV USAQU%C3%89N/PRIORIZADOS/TRIM II/Acta_Visita_Instituto_el_roble.pdf?csf=1&amp;web=1&amp;e=xXvcJT" xr:uid="{B150DFC1-8976-43DA-8029-D18BF1AEC51C}"/>
    <hyperlink ref="Q2587" r:id="rId1069" display="../../../../../../../:b:/r/personal/comunicacionesdiveliv_educacionbogota_gov_co/Documents/DIRECCION DE INSPECCION Y VIGILANCIA/DIV POAIV/POAIV 2025/ELIV USAQU%C3%89N/PRIORIZADOS/TRIM II/Acta_Visita_Colegio_Giovanni_Pascoli.pdf?csf=1&amp;web=1&amp;e=nYdJ0X" xr:uid="{7858D607-0B57-42CF-AD19-C0512E79295B}"/>
    <hyperlink ref="Q2588" r:id="rId1070" display="../../../../../../../:b:/r/personal/comunicacionesdiveliv_educacionbogota_gov_co/Documents/DIRECCION DE INSPECCION Y VIGILANCIA/DIV POAIV/POAIV 2025/ELIV USAQU%C3%89N/PRIORIZADOS/TRIM II/Acta_Visita_Colegio_Giovanni_Pascoli.pdf?csf=1&amp;web=1&amp;e=nYdJ0X" xr:uid="{6B78DBED-669A-4AFF-A9FC-8B36C4EE5C47}"/>
    <hyperlink ref="Q2589" r:id="rId1071" display="../../../../../../../:b:/r/personal/comunicacionesdiveliv_educacionbogota_gov_co/Documents/DIRECCION DE INSPECCION Y VIGILANCIA/DIV POAIV/POAIV 2025/ELIV USAQU%C3%89N/PRIORIZADOS/TRIM II/Acta_Visita_Colegio_Giovanni_Pascoli.pdf?csf=1&amp;web=1&amp;e=nYdJ0X" xr:uid="{E746BA8C-FBC1-498D-BD48-5EB5E236BF72}"/>
    <hyperlink ref="Q2590" r:id="rId1072" display="../../../../../../../:b:/r/personal/comunicacionesdiveliv_educacionbogota_gov_co/Documents/DIRECCION DE INSPECCION Y VIGILANCIA/DIV POAIV/POAIV 2025/ELIV USAQU%C3%89N/PRIORIZADOS/TRIM II/Acta_Visita_Colegio_Giovanni_Pascoli.pdf?csf=1&amp;web=1&amp;e=nYdJ0X" xr:uid="{E1322C33-F9B8-4D32-A410-D6F5D5A18D3A}"/>
    <hyperlink ref="Q2591" r:id="rId1073" display="../../../../../../../:b:/r/personal/comunicacionesdiveliv_educacionbogota_gov_co/Documents/DIRECCION DE INSPECCION Y VIGILANCIA/DIV POAIV/POAIV 2025/ELIV USAQU%C3%89N/PRIORIZADOS/TRIM II/Acta_Visita_Colegio_Giovanni_Pascoli.pdf?csf=1&amp;web=1&amp;e=nYdJ0X" xr:uid="{64CC255B-8C42-4A04-AF3D-5B5F59784C4D}"/>
    <hyperlink ref="Q2592" r:id="rId1074" display="../../../../../../../:b:/r/personal/comunicacionesdiveliv_educacionbogota_gov_co/Documents/DIRECCION DE INSPECCION Y VIGILANCIA/DIV POAIV/POAIV 2025/ELIV USAQU%C3%89N/PRIORIZADOS/TRIM II/Acta_Visita_Colegio_Giovanni_Pascoli.pdf?csf=1&amp;web=1&amp;e=nYdJ0X" xr:uid="{7742F6F2-5835-479A-871C-31D76D66C1B1}"/>
    <hyperlink ref="Q2593" r:id="rId1075" display="../../../../../../../:b:/r/personal/comunicacionesdiveliv_educacionbogota_gov_co/Documents/DIRECCION DE INSPECCION Y VIGILANCIA/DIV POAIV/POAIV 2025/ELIV USAQU%C3%89N/PRIORIZADOS/TRIM II/Acta_Visita_Colegio_Giovanni_Pascoli.pdf?csf=1&amp;web=1&amp;e=nYdJ0X" xr:uid="{F79EC7A1-C7EB-4E79-AE20-8A15EFBC32BF}"/>
    <hyperlink ref="Q2594" r:id="rId1076" display="../../../../../../../:b:/r/personal/comunicacionesdiveliv_educacionbogota_gov_co/Documents/DIRECCION DE INSPECCION Y VIGILANCIA/DIV POAIV/POAIV 2025/ELIV USAQU%C3%89N/PRIORIZADOS/TRIM II/Acta_Visita_Colegio_Giovanni_Pascoli.pdf?csf=1&amp;web=1&amp;e=nYdJ0X" xr:uid="{9F404676-76BE-424D-AB4D-1EBF60B53150}"/>
    <hyperlink ref="Q2595" r:id="rId1077" display="../../../../../../../:b:/r/personal/comunicacionesdiveliv_educacionbogota_gov_co/Documents/DIRECCION DE INSPECCION Y VIGILANCIA/DIV POAIV/POAIV 2025/ELIV USAQU%C3%89N/PRIORIZADOS/TRIM II/Acta_Visita_Colegio_Giovanni_Pascoli.pdf?csf=1&amp;web=1&amp;e=nYdJ0X" xr:uid="{13E2C9A5-6226-4484-A6DB-BF1C2C8B2FF7}"/>
    <hyperlink ref="Q2596" r:id="rId1078" display="../../../../../../../:b:/r/personal/comunicacionesdiveliv_educacionbogota_gov_co/Documents/DIRECCION DE INSPECCION Y VIGILANCIA/DIV POAIV/POAIV 2025/ELIV USAQU%C3%89N/PRIORIZADOS/TRIM II/Acta_Visita_Psicopegagogico_Tibabita.pdf?csf=1&amp;web=1&amp;e=4zsNvX" xr:uid="{368DAF6C-0EE2-4C5B-974D-0AC123CEC297}"/>
    <hyperlink ref="Q2597" r:id="rId1079" display="../../../../../../../:b:/r/personal/comunicacionesdiveliv_educacionbogota_gov_co/Documents/DIRECCION DE INSPECCION Y VIGILANCIA/DIV POAIV/POAIV 2025/ELIV USAQU%C3%89N/PRIORIZADOS/TRIM II/Acta_Visita_Psicopegagogico_Tibabita.pdf?csf=1&amp;web=1&amp;e=4zsNvX" xr:uid="{2C361234-8076-4245-B68F-B86F3684E483}"/>
    <hyperlink ref="Q2598" r:id="rId1080" display="../../../../../../../:b:/r/personal/comunicacionesdiveliv_educacionbogota_gov_co/Documents/DIRECCION DE INSPECCION Y VIGILANCIA/DIV POAIV/POAIV 2025/ELIV USAQU%C3%89N/PRIORIZADOS/TRIM II/Acta_Visita_Psicopegagogico_Tibabita.pdf?csf=1&amp;web=1&amp;e=4zsNvX" xr:uid="{8EA04D95-FC46-42EA-B5C1-6D704DB0C880}"/>
    <hyperlink ref="Q2599" r:id="rId1081" display="../../../../../../../:b:/r/personal/comunicacionesdiveliv_educacionbogota_gov_co/Documents/DIRECCION DE INSPECCION Y VIGILANCIA/DIV POAIV/POAIV 2025/ELIV USAQU%C3%89N/PRIORIZADOS/TRIM II/Acta_Visita_Psicopegagogico_Tibabita.pdf?csf=1&amp;web=1&amp;e=4zsNvX" xr:uid="{54A99B46-F7F8-4D9D-9985-CB10AB5DD695}"/>
    <hyperlink ref="Q2600" r:id="rId1082" display="../../../../../../../:b:/r/personal/comunicacionesdiveliv_educacionbogota_gov_co/Documents/DIRECCION DE INSPECCION Y VIGILANCIA/DIV POAIV/POAIV 2025/ELIV USAQU%C3%89N/PRIORIZADOS/TRIM II/Acta_Visita_Psicopegagogico_Tibabita.pdf?csf=1&amp;web=1&amp;e=4zsNvX" xr:uid="{B697FD06-6DCD-47E1-9F1D-0551710E7B37}"/>
    <hyperlink ref="Q2601" r:id="rId1083" display="../../../../../../../:b:/r/personal/comunicacionesdiveliv_educacionbogota_gov_co/Documents/DIRECCION DE INSPECCION Y VIGILANCIA/DIV POAIV/POAIV 2025/ELIV USAQU%C3%89N/PRIORIZADOS/TRIM II/Acta_Visita_Psicopegagogico_Tibabita.pdf?csf=1&amp;web=1&amp;e=4zsNvX" xr:uid="{B7FF02C5-CEC4-4376-8CE0-547FE648A9F8}"/>
    <hyperlink ref="Q2602" r:id="rId1084" display="../../../../../../../:b:/r/personal/comunicacionesdiveliv_educacionbogota_gov_co/Documents/DIRECCION DE INSPECCION Y VIGILANCIA/DIV POAIV/POAIV 2025/ELIV USAQU%C3%89N/PRIORIZADOS/TRIM II/Acta_Visita_Psicopegagogico_Tibabita.pdf?csf=1&amp;web=1&amp;e=4zsNvX" xr:uid="{5D1F2696-C6E8-4283-B659-F7644B5A44D8}"/>
    <hyperlink ref="Q2603" r:id="rId1085" display="../../../../../../../:b:/r/personal/comunicacionesdiveliv_educacionbogota_gov_co/Documents/DIRECCION DE INSPECCION Y VIGILANCIA/DIV POAIV/POAIV 2025/ELIV USAQU%C3%89N/PRIORIZADOS/TRIM II/Acta_Visita_Psicopegagogico_Tibabita.pdf?csf=1&amp;web=1&amp;e=4zsNvX" xr:uid="{4D9B41EA-6649-4FEE-A4A9-98BCF098E3E5}"/>
    <hyperlink ref="Q2604" r:id="rId1086" display="../../../../../../../:b:/r/personal/comunicacionesdiveliv_educacionbogota_gov_co/Documents/DIRECCION DE INSPECCION Y VIGILANCIA/DIV POAIV/POAIV 2025/ELIV USAQU%C3%89N/PRIORIZADOS/TRIM II/Acta_Visita_Psicopegagogico_Tibabita.pdf?csf=1&amp;web=1&amp;e=4zsNvX" xr:uid="{39664F30-D300-4110-9E15-58781023904F}"/>
    <hyperlink ref="Q2605" r:id="rId1087" display="../../../../../../../:b:/r/personal/comunicacionesdiveliv_educacionbogota_gov_co/Documents/DIRECCION DE INSPECCION Y VIGILANCIA/DIV POAIV/POAIV 2025/ELIV USAQU%C3%89N/PRIORIZADOS/TRIM II/Acta Visita_Colegio_Monterosales_Ciclos.pdf?csf=1&amp;web=1&amp;e=dbZ1g8" xr:uid="{06DB74F6-F30D-4B15-B338-2B202F051BFD}"/>
    <hyperlink ref="Q2606" r:id="rId1088" display="../../../../../../../:b:/r/personal/comunicacionesdiveliv_educacionbogota_gov_co/Documents/DIRECCION DE INSPECCION Y VIGILANCIA/DIV POAIV/POAIV 2025/ELIV USAQU%C3%89N/PRIORIZADOS/TRIM II/Acta Visita_Colegio_Monterosales_Ciclos.pdf?csf=1&amp;web=1&amp;e=dbZ1g8" xr:uid="{DCA11D19-C170-4FB6-8550-DF2F4ABD0433}"/>
    <hyperlink ref="Q2607" r:id="rId1089" display="../../../../../../../:b:/r/personal/comunicacionesdiveliv_educacionbogota_gov_co/Documents/DIRECCION DE INSPECCION Y VIGILANCIA/DIV POAIV/POAIV 2025/ELIV USAQU%C3%89N/PRIORIZADOS/TRIM II/Acta Visita_Colegio_Monterosales_Ciclos.pdf?csf=1&amp;web=1&amp;e=dbZ1g8" xr:uid="{80BBB1FC-CEB7-447C-9F44-45D1C62DC0CC}"/>
    <hyperlink ref="Q2608" r:id="rId1090" display="../../../../../../../:b:/r/personal/comunicacionesdiveliv_educacionbogota_gov_co/Documents/DIRECCION DE INSPECCION Y VIGILANCIA/DIV POAIV/POAIV 2025/ELIV USAQU%C3%89N/PRIORIZADOS/TRIM II/Acta Visita_Colegio_Monterosales_Ciclos.pdf?csf=1&amp;web=1&amp;e=dbZ1g8" xr:uid="{B28BD8C3-3EE4-47FD-B532-36151021809D}"/>
    <hyperlink ref="Q2609" r:id="rId1091" display="../../../../../../../:b:/r/personal/comunicacionesdiveliv_educacionbogota_gov_co/Documents/DIRECCION DE INSPECCION Y VIGILANCIA/DIV POAIV/POAIV 2025/ELIV USAQU%C3%89N/PRIORIZADOS/TRIM II/Acta Visita_Colegio_Monterosales_Ciclos.pdf?csf=1&amp;web=1&amp;e=dbZ1g8" xr:uid="{BD1A8B20-EED7-42F0-AE20-4867AEF57CF2}"/>
    <hyperlink ref="Q2610" r:id="rId1092" display="../../../../../../../:b:/r/personal/comunicacionesdiveliv_educacionbogota_gov_co/Documents/DIRECCION DE INSPECCION Y VIGILANCIA/DIV POAIV/POAIV 2025/ELIV USAQU%C3%89N/PRIORIZADOS/TRIM II/Acta Visita_Colegio_Monterosales_Ciclos.pdf?csf=1&amp;web=1&amp;e=dbZ1g8" xr:uid="{D04291CB-59AB-4C02-809B-EB607E3A62C9}"/>
    <hyperlink ref="Q2611" r:id="rId1093" display="../../../../../../../:b:/r/personal/comunicacionesdiveliv_educacionbogota_gov_co/Documents/DIRECCION DE INSPECCION Y VIGILANCIA/DIV POAIV/POAIV 2025/ELIV USAQU%C3%89N/PRIORIZADOS/TRIM II/Acta Visita_Colegio_Monterosales_Ciclos.pdf?csf=1&amp;web=1&amp;e=dbZ1g8" xr:uid="{0A36EC84-A9C0-47BB-9A0E-36D17ED958F8}"/>
    <hyperlink ref="Q2612" r:id="rId1094" display="../../../../../../../:b:/r/personal/comunicacionesdiveliv_educacionbogota_gov_co/Documents/DIRECCION DE INSPECCION Y VIGILANCIA/DIV POAIV/POAIV 2025/ELIV USAQU%C3%89N/PRIORIZADOS/TRIM II/Acta Visita_Colegio_Monterosales_Ciclos.pdf?csf=1&amp;web=1&amp;e=dbZ1g8" xr:uid="{E0F47DEB-B388-43BB-A864-8599C2D1147B}"/>
    <hyperlink ref="Q2613" r:id="rId1095" display="../../../../../../../:b:/r/personal/comunicacionesdiveliv_educacionbogota_gov_co/Documents/DIRECCION DE INSPECCION Y VIGILANCIA/DIV POAIV/POAIV 2025/ELIV USAQU%C3%89N/PRIORIZADOS/TRIM II/Acta Visita_Colegio_Monterosales_Ciclos.pdf?csf=1&amp;web=1&amp;e=dbZ1g8" xr:uid="{EE9939F3-9CF5-428D-9596-7BBC6E9378DB}"/>
    <hyperlink ref="Q2614" r:id="rId1096" display="../../../../../../../:b:/r/personal/comunicacionesdiveliv_educacionbogota_gov_co/Documents/DIRECCION DE INSPECCION Y VIGILANCIA/DIV POAIV/POAIV 2025/ELIV USAQU%C3%89N/PRIORIZADOS/TRIM II/Acta_visita_Ana_Restrepo_del_Corral.pdf?csf=1&amp;web=1&amp;e=m9fJhh" xr:uid="{24E40E7B-1BAD-4482-BD2E-B791D929548A}"/>
    <hyperlink ref="Q2615" r:id="rId1097" display="../../../../../../../:b:/r/personal/comunicacionesdiveliv_educacionbogota_gov_co/Documents/DIRECCION DE INSPECCION Y VIGILANCIA/DIV POAIV/POAIV 2025/ELIV USAQU%C3%89N/PRIORIZADOS/TRIM II/Acta_visita_Ana_Restrepo_del_Corral.pdf?csf=1&amp;web=1&amp;e=m9fJhh" xr:uid="{D94AD158-D385-4F44-B9E7-A3ED99897A12}"/>
    <hyperlink ref="Q2616" r:id="rId1098" display="../../../../../../../:b:/r/personal/comunicacionesdiveliv_educacionbogota_gov_co/Documents/DIRECCION DE INSPECCION Y VIGILANCIA/DIV POAIV/POAIV 2025/ELIV USAQU%C3%89N/PRIORIZADOS/TRIM II/Acta_visita_Ana_Restrepo_del_Corral.pdf?csf=1&amp;web=1&amp;e=m9fJhh" xr:uid="{E6BBAA20-48FA-4938-8CCB-F2B0E5743F96}"/>
    <hyperlink ref="Q2617" r:id="rId1099" display="../../../../../../../:b:/r/personal/comunicacionesdiveliv_educacionbogota_gov_co/Documents/DIRECCION DE INSPECCION Y VIGILANCIA/DIV POAIV/POAIV 2025/ELIV USAQU%C3%89N/PRIORIZADOS/TRIM II/Acta_visita_Ana_Restrepo_del_Corral.pdf?csf=1&amp;web=1&amp;e=m9fJhh" xr:uid="{AD005973-F486-4DF5-A720-3126ED9B41BC}"/>
    <hyperlink ref="Q2618" r:id="rId1100" display="../../../../../../../:b:/r/personal/comunicacionesdiveliv_educacionbogota_gov_co/Documents/DIRECCION DE INSPECCION Y VIGILANCIA/DIV POAIV/POAIV 2025/ELIV USAQU%C3%89N/PRIORIZADOS/TRIM II/Acta_visita_Ana_Restrepo_del_Corral.pdf?csf=1&amp;web=1&amp;e=m9fJhh" xr:uid="{8A40F79A-A504-4338-94D7-8EC8B19B312B}"/>
    <hyperlink ref="Q2619" r:id="rId1101" display="../../../../../../../:b:/r/personal/comunicacionesdiveliv_educacionbogota_gov_co/Documents/DIRECCION DE INSPECCION Y VIGILANCIA/DIV POAIV/POAIV 2025/ELIV USAQU%C3%89N/PRIORIZADOS/TRIM II/Acta_visita_Ana_Restrepo_del_Corral.pdf?csf=1&amp;web=1&amp;e=m9fJhh" xr:uid="{8C7E27A9-5AED-4284-B6EE-415DFD7DE05A}"/>
    <hyperlink ref="Q2620" r:id="rId1102" display="../../../../../../../:b:/r/personal/comunicacionesdiveliv_educacionbogota_gov_co/Documents/DIRECCION DE INSPECCION Y VIGILANCIA/DIV POAIV/POAIV 2025/ELIV USAQU%C3%89N/PRIORIZADOS/TRIM II/Acta_visita_Ana_Restrepo_del_Corral.pdf?csf=1&amp;web=1&amp;e=m9fJhh" xr:uid="{5590C4E3-1AED-44AC-B422-D276873C57B4}"/>
    <hyperlink ref="Q2621" r:id="rId1103" display="../../../../../../../:b:/r/personal/comunicacionesdiveliv_educacionbogota_gov_co/Documents/DIRECCION DE INSPECCION Y VIGILANCIA/DIV POAIV/POAIV 2025/ELIV USAQU%C3%89N/PRIORIZADOS/TRIM II/Acta_visita_Ana_Restrepo_del_Corral.pdf?csf=1&amp;web=1&amp;e=m9fJhh" xr:uid="{8FCE1C4F-2D2E-42A0-B001-6C4584A7F05C}"/>
    <hyperlink ref="Q2650" r:id="rId1104" display="../../../../../../../:b:/r/personal/comunicacionesdiveliv_educacionbogota_gov_co/Documents/DIRECCION DE INSPECCION Y VIGILANCIA/DIV POAIV/POAIV 2025/ELIV USAQU%C3%89N/PRIORIZADOS/TRIM II/Acta Visita_Colegio_Monterosales_Ciclos.pdf?csf=1&amp;web=1&amp;e=dbZ1g8" xr:uid="{BBB28DEF-4F20-4971-A4E6-8153F94DD007}"/>
    <hyperlink ref="Q2651" r:id="rId1105" display="../../../../../../../:b:/r/personal/comunicacionesdiveliv_educacionbogota_gov_co/Documents/DIRECCION DE INSPECCION Y VIGILANCIA/DIV POAIV/POAIV 2025/ELIV USAQU%C3%89N/PRIORIZADOS/TRIM II/Acta Visita_Colegio_Monterosales_Ciclos.pdf?csf=1&amp;web=1&amp;e=dbZ1g8" xr:uid="{A53510BA-DAEB-4864-B52B-0C18CDF4145D}"/>
    <hyperlink ref="Q2652" r:id="rId1106" display="../../../../../../../:b:/r/personal/comunicacionesdiveliv_educacionbogota_gov_co/Documents/DIRECCION DE INSPECCION Y VIGILANCIA/DIV POAIV/POAIV 2025/ELIV USAQU%C3%89N/PRIORIZADOS/TRIM II/Acta Visita_Colegio_Monterosales_Ciclos.pdf?csf=1&amp;web=1&amp;e=dbZ1g8" xr:uid="{1C92F3A4-F076-4863-819F-B338364CE5B9}"/>
    <hyperlink ref="Q2653" r:id="rId1107" display="../../../../../../../:b:/r/personal/comunicacionesdiveliv_educacionbogota_gov_co/Documents/DIRECCION DE INSPECCION Y VIGILANCIA/DIV POAIV/POAIV 2025/ELIV USAQU%C3%89N/PRIORIZADOS/TRIM II/Acta Visita_Colegio_Monterosales_Ciclos.pdf?csf=1&amp;web=1&amp;e=dbZ1g8" xr:uid="{A3D638F7-2F01-4379-AE65-971F9A27D9C3}"/>
    <hyperlink ref="Q2654" r:id="rId1108" display="../../../../../../../:b:/r/personal/comunicacionesdiveliv_educacionbogota_gov_co/Documents/DIRECCION DE INSPECCION Y VIGILANCIA/DIV POAIV/POAIV 2025/ELIV USAQU%C3%89N/PRIORIZADOS/TRIM II/Acta Visita_Colegio_Monterosales_Ciclos.pdf?csf=1&amp;web=1&amp;e=dbZ1g8" xr:uid="{FDB518E9-4225-435B-B8A3-71B4AFD68283}"/>
    <hyperlink ref="Q2655" r:id="rId1109" display="../../../../../../../:b:/r/personal/comunicacionesdiveliv_educacionbogota_gov_co/Documents/DIRECCION DE INSPECCION Y VIGILANCIA/DIV POAIV/POAIV 2025/ELIV USAQU%C3%89N/PRIORIZADOS/TRIM II/Acta Visita_Colegio_Monterosales_Ciclos.pdf?csf=1&amp;web=1&amp;e=dbZ1g8" xr:uid="{AEE9AA7F-978A-41F9-B3D3-7D0C72F61B46}"/>
    <hyperlink ref="Q2656" r:id="rId1110" display="../../../../../../../:b:/r/personal/comunicacionesdiveliv_educacionbogota_gov_co/Documents/DIRECCION DE INSPECCION Y VIGILANCIA/DIV POAIV/POAIV 2025/ELIV USAQU%C3%89N/PRIORIZADOS/TRIM II/Acta Visita_Colegio_Monterosales_Ciclos.pdf?csf=1&amp;web=1&amp;e=dbZ1g8" xr:uid="{1C758073-5C9E-47C7-AEF0-83F818766259}"/>
    <hyperlink ref="Q2658" r:id="rId1111" display="../../../../../../../:b:/r/personal/comunicacionesdiveliv_educacionbogota_gov_co/Documents/DIRECCION DE INSPECCION Y VIGILANCIA/DIV POAIV/POAIV 2025/ELIV USAQU%C3%89N/PRIORIZADOS/TRIMI/Acta definitiva Visita Integral Colegio la Estrellita.pdf?csf=1&amp;web=1&amp;e=uCJggp" xr:uid="{3A5A9054-2D08-4E29-9093-83B3D0453680}"/>
    <hyperlink ref="Q2659" r:id="rId1112" display="../../../../../../../:b:/r/personal/comunicacionesdiveliv_educacionbogota_gov_co/Documents/DIRECCION DE INSPECCION Y VIGILANCIA/DIV POAIV/POAIV 2025/ELIV USAQU%C3%89N/PRIORIZADOS/TRIMI/Acta definitiva Visita Integral Colegio la Estrellita.pdf?csf=1&amp;web=1&amp;e=uCJggp" xr:uid="{76E08EF4-AD4C-4F37-8790-5B5F5C2A1ECA}"/>
    <hyperlink ref="Q2660" r:id="rId1113" display="../../../../../../../:b:/r/personal/comunicacionesdiveliv_educacionbogota_gov_co/Documents/DIRECCION DE INSPECCION Y VIGILANCIA/DIV POAIV/POAIV 2025/ELIV USAQU%C3%89N/PRIORIZADOS/TRIMI/Acta definitiva Visita Integral Colegio la Estrellita.pdf?csf=1&amp;web=1&amp;e=uCJggp" xr:uid="{8D6EAA4A-230D-4A37-BE86-1975DFACB500}"/>
    <hyperlink ref="Q2661" r:id="rId1114" display="../../../../../../../:b:/r/personal/comunicacionesdiveliv_educacionbogota_gov_co/Documents/DIRECCION DE INSPECCION Y VIGILANCIA/DIV POAIV/POAIV 2025/ELIV USAQU%C3%89N/PRIORIZADOS/TRIMI/Acta definitiva Visita Integral Colegio la Estrellita.pdf?csf=1&amp;web=1&amp;e=uCJggp" xr:uid="{79D6C1A8-AE97-40E1-A7D9-1FD8A1A75DD2}"/>
    <hyperlink ref="Q2662" r:id="rId1115" display="../../../../../../../:b:/r/personal/comunicacionesdiveliv_educacionbogota_gov_co/Documents/DIRECCION DE INSPECCION Y VIGILANCIA/DIV POAIV/POAIV 2025/ELIV USAQU%C3%89N/PRIORIZADOS/TRIMI/Acta definitiva Visita Integral Colegio la Estrellita.pdf?csf=1&amp;web=1&amp;e=uCJggp" xr:uid="{9D1E1A45-710F-43D7-BA5D-8788748A2099}"/>
    <hyperlink ref="Q2663" r:id="rId1116" display="../../../../../../../:b:/r/personal/comunicacionesdiveliv_educacionbogota_gov_co/Documents/DIRECCION DE INSPECCION Y VIGILANCIA/DIV POAIV/POAIV 2025/ELIV USAQU%C3%89N/PRIORIZADOS/TRIMI/Acta definitiva Visita Integral Colegio la Estrellita.pdf?csf=1&amp;web=1&amp;e=uCJggp" xr:uid="{33BC4E6C-E863-47C8-A0B2-2FFA0B52924F}"/>
    <hyperlink ref="Q2664" r:id="rId1117" display="../../../../../../../:b:/r/personal/comunicacionesdiveliv_educacionbogota_gov_co/Documents/DIRECCION DE INSPECCION Y VIGILANCIA/DIV POAIV/POAIV 2025/ELIV USAQU%C3%89N/PRIORIZADOS/TRIMI/Acta definitiva Visita Integral Colegio la Estrellita.pdf?csf=1&amp;web=1&amp;e=uCJggp" xr:uid="{6895C263-24BD-44CC-803E-B5CAC5675E10}"/>
    <hyperlink ref="Q482" r:id="rId1118" display="../../../../../../../:b:/r/personal/comunicacionesdiveliv_educacionbogota_gov_co/Documents/DIRECCION DE INSPECCION Y VIGILANCIA/DIV POAIV/POAIV 2025/ELIV CHAPINERO/PRIORIZADOS/TRIM III/INCAP/Acta IETDH INCAP.pdf?csf=1&amp;web=1&amp;e=PMTeWY" xr:uid="{E7266C26-AC90-45A0-8E65-EC1F056AD3F8}"/>
    <hyperlink ref="Q483" r:id="rId1119" display="../../../../../../../:b:/r/personal/comunicacionesdiveliv_educacionbogota_gov_co/Documents/DIRECCION DE INSPECCION Y VIGILANCIA/DIV POAIV/POAIV 2025/ELIV CHAPINERO/PRIORIZADOS/TRIM III/INCAP/Acta IETDH INCAP.pdf?csf=1&amp;web=1&amp;e=PMTeWY" xr:uid="{2DD8438F-83C9-4B5B-A2FC-FA2982B59A3D}"/>
    <hyperlink ref="Q484" r:id="rId1120" display="../../../../../../../:b:/r/personal/comunicacionesdiveliv_educacionbogota_gov_co/Documents/DIRECCION DE INSPECCION Y VIGILANCIA/DIV POAIV/POAIV 2025/ELIV CHAPINERO/PRIORIZADOS/TRIM III/INCAP/Acta IETDH INCAP.pdf?csf=1&amp;web=1&amp;e=PMTeWY" xr:uid="{0DFC5FE3-142B-4121-A121-05DF187D7D4E}"/>
    <hyperlink ref="Q1923" r:id="rId1121" xr:uid="{B0AF615E-7A50-4855-9CB1-E5535614505A}"/>
    <hyperlink ref="Q1924:Q1927" r:id="rId1122" xr:uid="{65817586-7E09-49ED-8771-F03E5B677D84}"/>
    <hyperlink ref="Q1928:Q1929" r:id="rId1123" xr:uid="{6DE9EF7F-9852-45C7-98E3-D55014064219}"/>
    <hyperlink ref="Q1930" r:id="rId1124" xr:uid="{364C948A-E79B-4CFB-BA5B-064D3808F636}"/>
    <hyperlink ref="Q1931" r:id="rId1125" xr:uid="{68909134-BEF5-43FC-BDB1-EE1B3E22C3A7}"/>
    <hyperlink ref="Q1932" r:id="rId1126" xr:uid="{C579F020-3EE4-4903-9038-C56A3D29AE41}"/>
    <hyperlink ref="Q1933" r:id="rId1127" xr:uid="{A8E31FB2-D40B-422C-AE5A-C201E120CAC6}"/>
    <hyperlink ref="Q1934" r:id="rId1128" xr:uid="{F8C85A4D-5718-45EB-BA4C-0A5DA4867DE4}"/>
    <hyperlink ref="Q1935" r:id="rId1129" xr:uid="{B019A52F-40B4-4D87-93C8-9B15F79CE561}"/>
    <hyperlink ref="Q1936" r:id="rId1130" xr:uid="{CFD15ECD-90B8-47AF-B8A1-AA3B873B8552}"/>
    <hyperlink ref="Q1960" r:id="rId1131" xr:uid="{4D5428CA-0F2E-46BC-BF5D-0076BEB466AF}"/>
    <hyperlink ref="Q1959" r:id="rId1132" xr:uid="{13F5222F-287F-40B4-984A-7BBD6B059A49}"/>
    <hyperlink ref="Q1958" r:id="rId1133" xr:uid="{DE4673C9-DD1D-49C3-9DC5-925BB09F166E}"/>
    <hyperlink ref="Q1957" r:id="rId1134" xr:uid="{9ABE199B-679C-4CFB-94E7-D8FC0C318991}"/>
    <hyperlink ref="Q1956" r:id="rId1135" xr:uid="{C2E3DC6C-A62A-4509-AB8F-30A7D8B8DC8F}"/>
    <hyperlink ref="Q1955" r:id="rId1136" xr:uid="{12DA47D7-3F1B-4705-9072-A7670FEF69DE}"/>
    <hyperlink ref="Q1954" r:id="rId1137" xr:uid="{8831654F-9A3D-4336-B2E8-E013A74ECD9F}"/>
    <hyperlink ref="Q1953" r:id="rId1138" xr:uid="{8B3CE2A6-36D4-4FEF-BA27-DBB536F00D71}"/>
    <hyperlink ref="Q1952" r:id="rId1139" xr:uid="{64BD18B6-67E1-4632-98E0-4131CFE0F89D}"/>
    <hyperlink ref="Q368" r:id="rId1140" xr:uid="{024B3D21-A72E-49E9-9D40-848D02EB98DE}"/>
    <hyperlink ref="Q369" r:id="rId1141" xr:uid="{1D4C477E-4A90-4F87-B72D-9466090FFDF8}"/>
    <hyperlink ref="Q370" r:id="rId1142" xr:uid="{1C16561F-8921-488F-8658-230A854C264C}"/>
    <hyperlink ref="Q371" r:id="rId1143" xr:uid="{422C41CA-3A78-4120-B12E-B9B01315A06C}"/>
    <hyperlink ref="Q372" r:id="rId1144" xr:uid="{594DB4D9-44B1-4C23-B72E-38093CAA3A8D}"/>
    <hyperlink ref="Q373" r:id="rId1145" xr:uid="{2FF54D7D-E829-4362-B3C4-8A1956C19C0C}"/>
    <hyperlink ref="Q374" r:id="rId1146" xr:uid="{F5334AC5-4E83-46FC-A316-70E04DCA1F46}"/>
    <hyperlink ref="Q375" r:id="rId1147" xr:uid="{0B646FD0-A152-4158-9A74-133424B035BD}"/>
    <hyperlink ref="Q376" r:id="rId1148" xr:uid="{9B1B7883-4B30-4064-8182-E412E2B0A4EE}"/>
    <hyperlink ref="Q377" r:id="rId1149" xr:uid="{37FBDB56-DEAD-4F3F-B1E6-CA24B3051EF1}"/>
    <hyperlink ref="Q378" r:id="rId1150" xr:uid="{D54414C0-201B-4FF5-9A7E-F5D39825A9DA}"/>
    <hyperlink ref="Q379" r:id="rId1151" xr:uid="{F356E3BC-A3A4-4761-96A5-7A9F304FD13C}"/>
    <hyperlink ref="Q380" r:id="rId1152" xr:uid="{87C6301D-8CCE-47FB-9E5D-FC9FED108695}"/>
    <hyperlink ref="Q381" r:id="rId1153" xr:uid="{38D51311-CB29-46AA-A64D-37A1E47FAE46}"/>
    <hyperlink ref="Q382" r:id="rId1154" xr:uid="{9C5D1696-7B5F-45CE-9585-2A53DB9DACAA}"/>
    <hyperlink ref="Q383" r:id="rId1155" xr:uid="{22B8C743-A352-49EA-84E6-9E18CF944E69}"/>
    <hyperlink ref="Q384" r:id="rId1156" xr:uid="{28F45F96-8251-4E33-B42F-A034A9B13A99}"/>
    <hyperlink ref="Q385" r:id="rId1157" xr:uid="{76A089FC-5D80-4AAE-B7BC-EE04622CC73F}"/>
    <hyperlink ref="Q386" r:id="rId1158" xr:uid="{14D5F011-A276-4755-AC52-35AF56F24254}"/>
    <hyperlink ref="Q387" r:id="rId1159" xr:uid="{A294C1F1-BBE3-4053-8A58-8446CEE229D9}"/>
    <hyperlink ref="Q388" r:id="rId1160" xr:uid="{02A247E7-6BE4-4C2A-86BB-F0951EE5B802}"/>
    <hyperlink ref="Q389" r:id="rId1161" xr:uid="{300F1369-D395-4BAB-A18C-E36F00C836C8}"/>
    <hyperlink ref="Q390" r:id="rId1162" xr:uid="{FFC1E003-8B3C-475F-BB82-E3B4347D6165}"/>
    <hyperlink ref="Q391" r:id="rId1163" xr:uid="{E6B500A3-B17E-4FB6-A8C0-74F22E02DB4B}"/>
    <hyperlink ref="Q392" r:id="rId1164" xr:uid="{E9A60163-FB7A-472E-BE98-90ECCB8687AA}"/>
    <hyperlink ref="Q393" r:id="rId1165" xr:uid="{CCDD47B1-53FA-4F40-9667-1B29E3490988}"/>
    <hyperlink ref="Q394" r:id="rId1166" xr:uid="{AE00264F-DEA8-4832-AAED-7E96ADD3963B}"/>
    <hyperlink ref="Q190" r:id="rId1167" xr:uid="{81C4350F-C9F4-455D-B19B-6646D8E819C7}"/>
    <hyperlink ref="Q69" r:id="rId1168" display="../../../../../../../:b:/r/personal/comunicacionesdiveliv_educacionbogota_gov_co/Documents/DIRECCION DE INSPECCION Y VIGILANCIA/DIV POAIV/POAIV 2025/ELIV ANTONIO NARI%C3%91O/PRIORIZADOS/TRIM II/09. Acta de visita Integral - INSTITUTO BOGOTA.pdf?csf=1&amp;web=1&amp;e=hCLehH" xr:uid="{0113D1CA-5D6E-4A93-9948-7C04EEBA92E6}"/>
    <hyperlink ref="Q68" r:id="rId1169" display="../../../../../../../:b:/r/personal/comunicacionesdiveliv_educacionbogota_gov_co/Documents/DIRECCION DE INSPECCION Y VIGILANCIA/DIV POAIV/POAIV 2025/ELIV ANTONIO NARI%C3%91O/PRIORIZADOS/TRIM II/09. Acta de visita Integral - INSTITUTO BOGOTA.pdf?csf=1&amp;web=1&amp;e=hCLehH" xr:uid="{CB425B18-A9C5-4D2D-A133-58CD3172D851}"/>
    <hyperlink ref="Q78" r:id="rId1170" display="../../../../../../../:b:/r/personal/comunicacionesdiveliv_educacionbogota_gov_co/Documents/DIRECCION DE INSPECCION Y VIGILANCIA/DIV POAIV/POAIV 2025/ELIV ANTONIO NARI%C3%91O/PRIORIZADOS/TRIM II/10. Acta Inst. Julio Maria Matovelle.pdf?csf=1&amp;web=1&amp;e=moXQ26" xr:uid="{A24D54C2-800B-4C1E-A6F0-B089C111306C}"/>
    <hyperlink ref="Q77" r:id="rId1171" display="../../../../../../../:b:/r/personal/comunicacionesdiveliv_educacionbogota_gov_co/Documents/DIRECCION DE INSPECCION Y VIGILANCIA/DIV POAIV/POAIV 2025/ELIV ANTONIO NARI%C3%91O/PRIORIZADOS/TRIM II/10. Acta Inst. Julio Maria Matovelle.pdf?csf=1&amp;web=1&amp;e=moXQ26" xr:uid="{2AD9B863-BAEB-46FF-BC6B-1032BBBFECE1}"/>
    <hyperlink ref="Q76" r:id="rId1172" display="../../../../../../../:b:/r/personal/comunicacionesdiveliv_educacionbogota_gov_co/Documents/DIRECCION DE INSPECCION Y VIGILANCIA/DIV POAIV/POAIV 2025/ELIV ANTONIO NARI%C3%91O/PRIORIZADOS/TRIM II/10. Acta Inst. Julio Maria Matovelle.pdf?csf=1&amp;web=1&amp;e=moXQ26" xr:uid="{CCEF951E-A7B7-438A-9F07-83A3FBA3F519}"/>
    <hyperlink ref="Q87" r:id="rId1173" display="../../../../../../../:b:/r/personal/comunicacionesdiveliv_educacionbogota_gov_co/Documents/DIRECCION DE INSPECCION Y VIGILANCIA/DIV POAIV/POAIV 2025/ELIV ANTONIO NARI%C3%91O/PRIORIZADOS/TRIM II/12. Acta Centro Educativo CE Ntra Sra de la Paz.pdf?csf=1&amp;web=1&amp;e=jfyGbn" xr:uid="{544DB42C-7042-4010-B697-23BF5AE344FD}"/>
    <hyperlink ref="Q84:Q86" r:id="rId1174" display="../../../../../../../:b:/r/personal/comunicacionesdiveliv_educacionbogota_gov_co/Documents/DIRECCION DE INSPECCION Y VIGILANCIA/DIV POAIV/POAIV 2025/ELIV ANTONIO NARI%C3%91O/PRIORIZADOS/TRIM II/12. Acta Centro Educativo CE Ntra Sra de la Paz.pdf?csf=1&amp;web=1&amp;e=jfyGbn" xr:uid="{6FBB0355-6F2A-413F-9C81-8D33BD3E1122}"/>
    <hyperlink ref="Q91:Q94" r:id="rId1175" display="../../../../../../../:b:/r/personal/comunicacionesdiveliv_educacionbogota_gov_co/Documents/DIRECCION DE INSPECCION Y VIGILANCIA/DIV POAIV/POAIV 2025/ELIV ANTONIO NARI%C3%91O/PRIORIZADOS/TRIM II/16. Acta Col Francisco de Paula Santander (IED)_signed.pdf?csf=1&amp;web=1&amp;e=W9nNCW" xr:uid="{1EE7F716-73FE-436B-AD23-251CCF462EB1}"/>
    <hyperlink ref="Q99:Q102" r:id="rId1176" display="../../../../../../../:b:/r/personal/comunicacionesdiveliv_educacionbogota_gov_co/Documents/DIRECCION DE INSPECCION Y VIGILANCIA/DIV POAIV/POAIV 2025/ELIV ANTONIO NARI%C3%91O/PRIORIZADOS/TRIM II/15. Acta Col. Guillermo Le%C3%B3n Valencia IED.pdf?csf=1&amp;web=1&amp;e=VMKPfa" xr:uid="{F47AB73A-C754-42EB-B69E-4B735C00E647}"/>
    <hyperlink ref="Q105:Q108" r:id="rId1177" display="../../../../../../../:b:/r/personal/comunicacionesdiveliv_educacionbogota_gov_co/Documents/DIRECCION DE INSPECCION Y VIGILANCIA/DIV POAIV/POAIV 2025/ELIV ANTONIO NARI%C3%91O/PRIORIZADOS/TRIM II/14. Acta de visita Integral - COLEGIO ENSDM Montessori IED.pdf?csf=1&amp;web=1&amp;e=RczWEm" xr:uid="{CEAF4CD7-BF0F-48D6-B33E-3068F7237B86}"/>
    <hyperlink ref="Q111:Q114" r:id="rId1178" display="../../../../../../../:b:/r/personal/comunicacionesdiveliv_educacionbogota_gov_co/Documents/DIRECCION DE INSPECCION Y VIGILANCIA/DIV POAIV/POAIV 2025/ELIV ANTONIO NARI%C3%91O/PRIORIZADOS/TRIM I/01. Acta de visita Integral - Colegio Integral San Jorge Central.pdf?csf=1&amp;web=1&amp;e=kiC5Wq" xr:uid="{DF56BCC6-5F07-4817-928B-9727F07E8826}"/>
    <hyperlink ref="Q120:Q121" r:id="rId1179" display="../../../../../../../:b:/r/personal/comunicacionesdiveliv_educacionbogota_gov_co/Documents/DIRECCION DE INSPECCION Y VIGILANCIA/DIV POAIV/POAIV 2025/ELIV ANTONIO NARI%C3%91O/PRIORIZADOS/TRIM II/07. Acta de visita Integral - ETDH CENCOSISTEMAS.pdf?csf=1&amp;web=1&amp;e=agxH19" xr:uid="{729090B7-A9E3-44B7-BF41-A13A67AFCEFA}"/>
    <hyperlink ref="Q122:Q125" r:id="rId1180" display="../../../../../../../:b:/r/personal/comunicacionesdiveliv_educacionbogota_gov_co/Documents/DIRECCION DE INSPECCION Y VIGILANCIA/DIV POAIV/POAIV 2025/ELIV ANTONIO NARI%C3%91O/PRIORIZADOS/TRIM II/18. Acta de Visita Integral - CEA PORCHE.pdf?csf=1&amp;web=1&amp;e=Y0MNiO" xr:uid="{13368A77-601C-486B-972F-3BD58F2BB056}"/>
    <hyperlink ref="Q60" r:id="rId1181" display="../../../../../../../:b:/r/personal/comunicacionesdiveliv_educacionbogota_gov_co/Documents/DIRECCION DE INSPECCION Y VIGILANCIA/DIV POAIV/POAIV 2025/ELIV ANTONIO NARI%C3%91O/PRIORIZADOS/TRIM II/08. Acta de visita Integral - COLEGIO EDUARDO.pdf?csf=1&amp;web=1&amp;e=rxyaIx" xr:uid="{839C9916-A542-4283-BC73-EC2902D5AAB7}"/>
    <hyperlink ref="Q126" r:id="rId1182" display="../../../../../../../:b:/r/personal/comunicacionesdiveliv_educacionbogota_gov_co/Documents/DIRECCION DE INSPECCION Y VIGILANCIA/DIV POAIV/POAIV 2025/ELIV ANTONIO NARI%C3%91O/PRIORIZADOS/TRIM II/05. Acta de Visita Ctro de Idiomas ULA.pdf?csf=1&amp;web=1&amp;e=ObILuj" xr:uid="{9D934D07-6B98-4521-8164-3764190C510A}"/>
    <hyperlink ref="Q127" r:id="rId1183" display="../../../../../../../:b:/r/personal/comunicacionesdiveliv_educacionbogota_gov_co/Documents/DIRECCION DE INSPECCION Y VIGILANCIA/DIV POAIV/POAIV 2025/ELIV ANTONIO NARI%C3%91O/PRIORIZADOS/TRIM II/05. Acta de Visita Ctro de Idiomas ULA.pdf?csf=1&amp;web=1&amp;e=ObILuj" xr:uid="{5AC93595-DC70-4AD0-BEE2-6DF23BABC44E}"/>
    <hyperlink ref="Q348" r:id="rId1184" xr:uid="{D7663D4A-D823-4A5D-A1A8-2C699FEBF890}"/>
    <hyperlink ref="Q349" r:id="rId1185" xr:uid="{6ABAA793-E442-474C-8035-DB6CAE6260FC}"/>
    <hyperlink ref="Q350" r:id="rId1186" xr:uid="{0F417215-7335-4F60-865F-5581D1890D7F}"/>
    <hyperlink ref="Q346" r:id="rId1187" xr:uid="{3DA345D7-3360-481F-A1D9-B5A723D34289}"/>
    <hyperlink ref="Q347" r:id="rId1188" xr:uid="{109C3FBC-F169-4931-B981-BCC2C922F65C}"/>
    <hyperlink ref="Q437" r:id="rId1189" xr:uid="{1FBE3A26-3DD8-4427-BA93-EB690B6F061C}"/>
    <hyperlink ref="Q438:Q440" r:id="rId1190" display="Acta JARDIN INFANTIL EL TALLER DEL ARCO IRIS.pdf" xr:uid="{F6E7B1E6-9DE6-40C2-A12C-C049E6C5BC95}"/>
    <hyperlink ref="Q433:Q436" r:id="rId1191" display="Acta JARDIN INFANTIL EL TALLER DEL ARCO IRIS.pdf" xr:uid="{BAE07811-E67F-43E0-B198-2A945E39AE06}"/>
    <hyperlink ref="Q471" r:id="rId1192" display="../../../../../../../:f:/r/personal/comunicacionesdiveliv_educacionbogota_gov_co/Documents/DIRECCION DE INSPECCION Y VIGILANCIA/DIV POAIV/POAIV 2025/ELIV CHAPINERO/PRIORIZADOS/TRIM II/COLEGIO SAN MARTIN DE PORRES (IED)?csf=1&amp;web=1&amp;e=pAQbKH" xr:uid="{221E711B-6D00-4FA7-BDAD-3A44E466152A}"/>
    <hyperlink ref="Q498" r:id="rId1193" xr:uid="{CD6C908A-3A5B-4814-B160-F226D1B301F0}"/>
    <hyperlink ref="Q499:Q500" r:id="rId1194" display="ACADEMIA DANZA DESARROLLO CON PROPOSITO ADDA" xr:uid="{7B47D90B-FC2D-408B-96C4-2AF1446AA79B}"/>
    <hyperlink ref="Q497" r:id="rId1195" xr:uid="{2E484632-BE2C-4E6A-8125-812E408E812A}"/>
    <hyperlink ref="Q509" r:id="rId1196" xr:uid="{3F7540D5-97A3-4AC5-9C10-2D3AD38C4A89}"/>
    <hyperlink ref="Q510" r:id="rId1197" xr:uid="{3C7B9768-3D3E-481A-98F4-33C4E877EF38}"/>
    <hyperlink ref="Q511" r:id="rId1198" xr:uid="{CA804859-2F00-4001-8142-0DAAF9D55F8B}"/>
    <hyperlink ref="Q512" r:id="rId1199" xr:uid="{120DE9FE-9ECE-424A-B652-E0751C00D6F1}"/>
    <hyperlink ref="Q513" r:id="rId1200" xr:uid="{8F850FE7-B364-43FF-9984-D8A6F86B0ADA}"/>
    <hyperlink ref="Q514" r:id="rId1201" xr:uid="{927B493C-576B-482F-8A95-123CD7950EDB}"/>
    <hyperlink ref="Q515" r:id="rId1202" xr:uid="{CD43EEDB-B16F-4865-8BD3-1E077DF5C613}"/>
    <hyperlink ref="Q516" r:id="rId1203" xr:uid="{BC88F805-5817-411F-9E7E-1024F4C2A4BA}"/>
    <hyperlink ref="Q517" r:id="rId1204" xr:uid="{E894FDC2-A630-409B-8D09-7EB502D4544F}"/>
    <hyperlink ref="Q526" r:id="rId1205" display="../../../../../../../:b:/r/personal/comunicacionesdiveliv_educacionbogota_gov_co/Documents/DIRECCION DE INSPECCION Y VIGILANCIA/DIV POAIV/POAIV 2025/ELIV CIUDAD BOL%C3%8DVAR/PRIORIZADOS/TRIM II/20250407_Visita administrativa Colegio Nuevo Milenio.pdf?csf=1&amp;web=1&amp;e=8cJ69x" xr:uid="{1736E753-5772-4374-A15C-0B9E19E95644}"/>
    <hyperlink ref="Q527" r:id="rId1206" xr:uid="{C63C4D78-ACDA-4687-954B-E9EB43D1E1E9}"/>
    <hyperlink ref="Q528" r:id="rId1207" xr:uid="{4AAE1C55-6612-496B-AB4B-05A89B350D54}"/>
    <hyperlink ref="Q529" r:id="rId1208" xr:uid="{0A6A3AA6-CCF0-465B-BF45-01C7126F338A}"/>
    <hyperlink ref="Q530" r:id="rId1209" xr:uid="{709A8B37-698E-487E-A461-1923351ECEC6}"/>
    <hyperlink ref="Q531" r:id="rId1210" xr:uid="{FC947B68-0CEA-49D6-BC7D-157E082D0225}"/>
    <hyperlink ref="Q532" r:id="rId1211" xr:uid="{9955A46B-9FB5-48C8-BFDD-FF994ABE3CA1}"/>
    <hyperlink ref="Q533" r:id="rId1212" xr:uid="{A61EF7D3-604E-4B62-BDFF-7DBF62F7D394}"/>
    <hyperlink ref="Q534" r:id="rId1213" xr:uid="{29B0AAB1-1CB4-4184-9823-A3861157DDC5}"/>
    <hyperlink ref="Q536" r:id="rId1214" display="../../../../../../../:b:/r/personal/comunicacionesdiveliv_educacionbogota_gov_co/Documents/DIRECCION DE INSPECCION Y VIGILANCIA/DIV POAIV/POAIV 2025/ELIV CIUDAD BOL%C3%8DVAR/PRIORIZADOS/TRIM II/20250408ActaVisitaInstInstPsicopedTesoroVerdad (2) (1).pdf?csf=1&amp;web=1&amp;e=WBrwFi" xr:uid="{75C7E96C-ACCC-4434-8C0D-3875DAD8A80F}"/>
    <hyperlink ref="Q535" r:id="rId1215" xr:uid="{E37089F5-B14A-44C6-83C2-270FE9625B5D}"/>
    <hyperlink ref="Q554" r:id="rId1216" xr:uid="{DA196B93-3A6F-4F12-B7C3-27DEFBFB0928}"/>
    <hyperlink ref="Q555" r:id="rId1217" xr:uid="{B87B5BB1-80DE-42A3-8041-26B5242FBF90}"/>
    <hyperlink ref="Q556" r:id="rId1218" xr:uid="{EB189EDF-3245-4D12-8DA7-1B47B7C9EA8E}"/>
    <hyperlink ref="Q557" r:id="rId1219" xr:uid="{14B23482-4CBA-4A22-BFE0-0D399CCEF3CB}"/>
    <hyperlink ref="Q558" r:id="rId1220" xr:uid="{1E291E2A-81CF-4872-9F75-7D3706FA8C31}"/>
    <hyperlink ref="Q559" r:id="rId1221" xr:uid="{E5880A0E-DD98-4416-AB2B-2307D86AC3D6}"/>
    <hyperlink ref="Q560" r:id="rId1222" xr:uid="{C5AA40B4-C59A-4275-BCA9-A6B1DF6D535D}"/>
    <hyperlink ref="Q561" r:id="rId1223" xr:uid="{FBA7A7D5-38BE-412E-AA0E-7E94D3E1B8F3}"/>
    <hyperlink ref="Q562" r:id="rId1224" xr:uid="{DC93BAFB-2C5F-48F6-8B0C-8B7455B2734B}"/>
    <hyperlink ref="Q590" r:id="rId1225" xr:uid="{BEE17597-67BE-4EAE-8999-F7FB021E1EC7}"/>
    <hyperlink ref="Q591" r:id="rId1226" xr:uid="{285330E4-229C-42E7-8249-168680191F6E}"/>
    <hyperlink ref="Q592" r:id="rId1227" xr:uid="{99412F94-B4B1-4DC3-9022-775AF9DF1F33}"/>
    <hyperlink ref="Q593" r:id="rId1228" xr:uid="{ECB580CE-D09B-4793-AC52-ADC0572133BF}"/>
    <hyperlink ref="Q594" r:id="rId1229" xr:uid="{E98CC8A5-F9B7-4F34-9AD3-5B470FEEEEFE}"/>
    <hyperlink ref="Q595" r:id="rId1230" xr:uid="{4F16B0FE-B75A-42C6-A11F-EF618A21610A}"/>
    <hyperlink ref="Q596" r:id="rId1231" xr:uid="{448EEE4C-E2EC-4D8E-83BE-D2E7311327EF}"/>
    <hyperlink ref="Q597" r:id="rId1232" xr:uid="{B0BE04D0-77B3-4662-B15A-E8C0B50984B9}"/>
    <hyperlink ref="Q598" r:id="rId1233" xr:uid="{68B5CD00-D194-4DEE-95D4-973C3D6BA28C}"/>
    <hyperlink ref="Q599" r:id="rId1234" xr:uid="{A54DF8D3-2AED-4325-BB95-4FD86F45907D}"/>
    <hyperlink ref="Q600" r:id="rId1235" xr:uid="{51EE4EF0-0A59-4BC7-A814-34B4E53E612B}"/>
    <hyperlink ref="Q601:Q607" r:id="rId1236" display="20250812_Col Cofraternidad de San Fernando.pdf" xr:uid="{4B60CF4F-04AC-4D48-8F7D-8806B0B289A1}"/>
    <hyperlink ref="Q608" r:id="rId1237" xr:uid="{653F88A8-A378-477A-BB86-3A1F6C7A6149}"/>
    <hyperlink ref="Q609" r:id="rId1238" xr:uid="{ACE355A9-69BC-49B5-AB21-23C329648E54}"/>
    <hyperlink ref="Q610" r:id="rId1239" xr:uid="{391F0F8F-A6DF-436B-AB74-1A1A9C81AB8A}"/>
    <hyperlink ref="Q611" r:id="rId1240" xr:uid="{9ACE6486-D123-4414-BB0B-F61C5E7B0E8F}"/>
    <hyperlink ref="Q612" r:id="rId1241" xr:uid="{B57903F1-4AB3-441D-AA69-AF1AFCDB660A}"/>
    <hyperlink ref="Q613" r:id="rId1242" xr:uid="{82D30EBA-E14A-4777-9B41-684E2D8804B1}"/>
    <hyperlink ref="Q614" r:id="rId1243" xr:uid="{F07EA3E5-2333-4F22-ACED-D0056D243042}"/>
    <hyperlink ref="Q615" r:id="rId1244" xr:uid="{4273B2DD-A6CD-4308-85E4-F1DC74BD4AC0}"/>
    <hyperlink ref="Q616" r:id="rId1245" xr:uid="{4C6FF7C8-3503-4964-8197-68DA1B8AD2FA}"/>
    <hyperlink ref="Q617" r:id="rId1246" xr:uid="{85C90511-361C-487A-9AD9-BB2D786030E5}"/>
    <hyperlink ref="Q618:Q625" r:id="rId1247" display="20250903 LICEO LA CORUÑA" xr:uid="{D8190FDF-798C-45BF-8484-D97659D413CF}"/>
    <hyperlink ref="Q626" r:id="rId1248" xr:uid="{21AF908E-82F1-471F-94A6-F29EE1BB4465}"/>
    <hyperlink ref="Q627" r:id="rId1249" xr:uid="{C937401E-B2CE-43E0-A1A0-135F35DFAC71}"/>
    <hyperlink ref="Q628" r:id="rId1250" xr:uid="{24E29304-4716-408F-ACB4-7442C337F4B0}"/>
    <hyperlink ref="Q629" r:id="rId1251" xr:uid="{650A8EBC-759F-4736-9342-AB9CD2B5358C}"/>
    <hyperlink ref="Q630" r:id="rId1252" xr:uid="{A09ECEF8-0A2D-48D2-9F10-7B833BFB6B09}"/>
    <hyperlink ref="Q631" r:id="rId1253" xr:uid="{971ADC6B-AAB9-47B6-AFA9-E57364BC32AD}"/>
    <hyperlink ref="Q632" r:id="rId1254" xr:uid="{7395EBC3-39C9-4D9C-BE51-D8DC5204ECE4}"/>
    <hyperlink ref="Q633" r:id="rId1255" xr:uid="{1E9FBEDE-B3E3-47AD-A37B-8B4DE0CFF50C}"/>
    <hyperlink ref="Q634" r:id="rId1256" xr:uid="{1374E51C-B40A-4F5B-9BFE-0839AF86F72B}"/>
    <hyperlink ref="Q635" r:id="rId1257" xr:uid="{F784756F-1A8E-4561-AFB1-CDC6CAB242E5}"/>
    <hyperlink ref="Q636" r:id="rId1258" xr:uid="{C628C959-1944-4E40-98EF-1BD14FD6E967}"/>
    <hyperlink ref="Q637" r:id="rId1259" xr:uid="{CB38A06D-F00C-4BB3-83B3-2A30B4F7DACE}"/>
    <hyperlink ref="Q638" r:id="rId1260" xr:uid="{0E9E27D0-2E84-40A7-9018-508BEB4FA3F9}"/>
    <hyperlink ref="Q639" r:id="rId1261" xr:uid="{1C162BCE-2DB7-4F27-A9CE-5D20D93901CB}"/>
    <hyperlink ref="Q640" r:id="rId1262" xr:uid="{3F019882-B1A5-442F-810D-24CF31B7753B}"/>
    <hyperlink ref="Q641" r:id="rId1263" xr:uid="{3B8A992A-932E-4267-A993-5751A91D7FE4}"/>
    <hyperlink ref="Q642" r:id="rId1264" xr:uid="{BC1D8500-26A9-4FBE-BD49-72D29AA913E5}"/>
    <hyperlink ref="Q660" r:id="rId1265" display="../../../../../../../:b:/r/personal/comunicacionesdiveliv_educacionbogota_gov_co/Documents/DIRECCION DE INSPECCION Y VIGILANCIA/DIV POAIV/POAIV 2025/ELIV ENGATIV%C3%81/PRIORIZADOS/TRIM II/06_06_2025_INSTITUTO IP EDUCANDO LA JUVENTUD FUTURO DE COLOMBIa.pdf?csf=1&amp;web=1&amp;e=yFNEGL" xr:uid="{E0A5E408-8248-467D-A5FF-877C5A5B4C80}"/>
    <hyperlink ref="Q669" r:id="rId1266" display="../../../../../../../:b:/r/personal/comunicacionesdiveliv_educacionbogota_gov_co/Documents/DIRECCION DE INSPECCION Y VIGILANCIA/DIV POAIV/POAIV 2025/ELIV ENGATIV%C3%81/PRIORIZADOS/TRIM II/GIM MADRE TRINIDAD DE CALCUTA.pdf?csf=1&amp;web=1&amp;e=DkQnuy" xr:uid="{0FDB68D7-CD98-4403-8E0F-27F93AE1CEC0}"/>
    <hyperlink ref="Q678" r:id="rId1267" display="../../../../../../../:b:/r/personal/comunicacionesdiveliv_educacionbogota_gov_co/Documents/DIRECCION DE INSPECCION Y VIGILANCIA/DIV POAIV/POAIV 2025/ELIV ENGATIV%C3%81/PRIORIZADOS/TRIM II/Acta visita Centro Panamericano05-04-2025.pdf?csf=1&amp;web=1&amp;e=bjQ8Rz" xr:uid="{C89E0740-A34F-4C3E-AB6F-80E1C8F6868D}"/>
    <hyperlink ref="Q687" r:id="rId1268" display="../../../../../../../:b:/r/personal/comunicacionesdiveliv_educacionbogota_gov_co/Documents/DIRECCION DE INSPECCION Y VIGILANCIA/DIV POAIV/POAIV 2025/ELIV ENGATIV%C3%81/PRIORIZADOS/TRIMI/ACTA DE VISITA CENTRO DE EDUCACION LABORAL 27MAR2025 FIRMADA.pdf?csf=1&amp;web=1&amp;e=B3FW8W" xr:uid="{886DF12D-87AD-4AF3-B1B2-1E70D2B858D1}"/>
    <hyperlink ref="Q688" r:id="rId1269" xr:uid="{482CA509-5BE6-4085-9702-4A0E07140840}"/>
    <hyperlink ref="Q689:Q696" r:id="rId1270" display="ACTA MAYOR DE GALES.pdf" xr:uid="{082100C7-E621-481A-9E7E-69F1C729589C}"/>
    <hyperlink ref="Q697" r:id="rId1271" xr:uid="{5285B15D-5345-4E1B-8D69-00007153B1E3}"/>
    <hyperlink ref="Q698" r:id="rId1272" xr:uid="{0910A046-ED14-474B-AF26-5FB6984D67E3}"/>
    <hyperlink ref="Q699" r:id="rId1273" xr:uid="{EAF89A97-CC6E-47BE-82FF-9D9BE4BB4D99}"/>
    <hyperlink ref="Q700" r:id="rId1274" xr:uid="{C7FDE600-B68E-4AE8-AE9B-3A0A02785890}"/>
    <hyperlink ref="Q701" r:id="rId1275" xr:uid="{DD6C20E1-3161-42AD-A436-9B120A061B8A}"/>
    <hyperlink ref="Q702" r:id="rId1276" xr:uid="{4F7D2E28-4FE6-457C-B87F-8F023FB4B82C}"/>
    <hyperlink ref="Q703" r:id="rId1277" xr:uid="{EBD3DEFF-8083-4AB8-9654-7282A40E3888}"/>
    <hyperlink ref="Q704" r:id="rId1278" xr:uid="{5D2FCD23-0767-4C15-A364-FC8748B494E7}"/>
    <hyperlink ref="Q705" r:id="rId1279" xr:uid="{BFE02804-789D-4237-A8D4-353759ED738C}"/>
    <hyperlink ref="Q723" r:id="rId1280" display="../../../../../../../:b:/r/personal/comunicacionesdiveliv_educacionbogota_gov_co/Documents/DIRECCION DE INSPECCION Y VIGILANCIA/DIV POAIV/POAIV 2025/ELIV ENGATIV%C3%81/PRIORIZADOS/TRIMI/20250326ActavisitaLicModLeeuwenhoek.pdf?csf=1&amp;web=1&amp;e=XZuPD8" xr:uid="{B0E9782D-F1C2-4634-9B46-8488A6516A6A}"/>
    <hyperlink ref="Q727:Q731" r:id="rId1281" display="LUIS MARIANO 12_08_2025.pdf" xr:uid="{1B1BA0D1-8581-48CF-83BF-37705F14D0D1}"/>
    <hyperlink ref="Q724" r:id="rId1282" xr:uid="{3A50BB8B-810B-4745-8443-0DB47146B00E}"/>
    <hyperlink ref="Q725:Q728" r:id="rId1283" display="COLEGIO LUIS MARIANO 12_08_2025.pdf" xr:uid="{94AE64F3-E87E-4481-998B-AF447659FB2E}"/>
    <hyperlink ref="Q729:Q732" r:id="rId1284" display="COLEGIO LUIS MARIANO 12_08_2025.pdf" xr:uid="{9FA3EAB0-AC2B-4D11-94D6-30CD66FAFA58}"/>
    <hyperlink ref="Q748" r:id="rId1285" display="../../../../../../../:b:/r/personal/comunicacionesdiveliv_educacionbogota_gov_co/Documents/DIRECCION DE INSPECCION Y VIGILANCIA/DIV POAIV/POAIV 2025/ELIV ENGATIV%C3%81/PRIORIZADOS/TRIM III/ACTA RAFAEL DE ALICANTE.pdf?csf=1&amp;web=1&amp;e=Cmz8wo" xr:uid="{2B387BC0-9436-455B-8C50-4AF739F58A31}"/>
    <hyperlink ref="Q747" r:id="rId1286" display="../../../../../../../:b:/r/personal/comunicacionesdiveliv_educacionbogota_gov_co/Documents/DIRECCION DE INSPECCION Y VIGILANCIA/DIV POAIV/POAIV 2025/ELIV ENGATIV%C3%81/PRIORIZADOS/TRIM III/ACTA RAFAEL DE ALICANTE.pdf?csf=1&amp;web=1&amp;e=Cmz8wo" xr:uid="{429E2CEE-7C2F-49C2-818B-8BB84A7476AF}"/>
    <hyperlink ref="Q746" r:id="rId1287" display="../../../../../../../:b:/r/personal/comunicacionesdiveliv_educacionbogota_gov_co/Documents/DIRECCION DE INSPECCION Y VIGILANCIA/DIV POAIV/POAIV 2025/ELIV ENGATIV%C3%81/PRIORIZADOS/TRIM III/ACTA RAFAEL DE ALICANTE.pdf?csf=1&amp;web=1&amp;e=Cmz8wo" xr:uid="{17186E5C-9819-4FB0-9EFC-55D9DE3651BA}"/>
    <hyperlink ref="Q745" r:id="rId1288" display="../../../../../../../:b:/r/personal/comunicacionesdiveliv_educacionbogota_gov_co/Documents/DIRECCION DE INSPECCION Y VIGILANCIA/DIV POAIV/POAIV 2025/ELIV ENGATIV%C3%81/PRIORIZADOS/TRIM III/ACTA RAFAEL DE ALICANTE.pdf?csf=1&amp;web=1&amp;e=Cmz8wo" xr:uid="{6A61216B-571A-43AB-9156-3CA61C3E93C4}"/>
    <hyperlink ref="Q744" r:id="rId1289" display="../../../../../../../:b:/r/personal/comunicacionesdiveliv_educacionbogota_gov_co/Documents/DIRECCION DE INSPECCION Y VIGILANCIA/DIV POAIV/POAIV 2025/ELIV ENGATIV%C3%81/PRIORIZADOS/TRIM III/ACTA RAFAEL DE ALICANTE.pdf?csf=1&amp;web=1&amp;e=Cmz8wo" xr:uid="{E94EE58A-4704-4C0E-9775-3F6739AFE8C5}"/>
    <hyperlink ref="Q743" r:id="rId1290" display="../../../../../../../:b:/r/personal/comunicacionesdiveliv_educacionbogota_gov_co/Documents/DIRECCION DE INSPECCION Y VIGILANCIA/DIV POAIV/POAIV 2025/ELIV ENGATIV%C3%81/PRIORIZADOS/TRIM III/ACTA RAFAEL DE ALICANTE.pdf?csf=1&amp;web=1&amp;e=Cmz8wo" xr:uid="{7E1D338B-B15D-404A-B8E4-4938009E878A}"/>
    <hyperlink ref="Q742" r:id="rId1291" display="../../../../../../../:b:/r/personal/comunicacionesdiveliv_educacionbogota_gov_co/Documents/DIRECCION DE INSPECCION Y VIGILANCIA/DIV POAIV/POAIV 2025/ELIV ENGATIV%C3%81/PRIORIZADOS/TRIM III/ACTA RAFAEL DE ALICANTE.pdf?csf=1&amp;web=1&amp;e=Cmz8wo" xr:uid="{64754429-9D40-4C7B-84CD-9B2818A6C598}"/>
    <hyperlink ref="Q740" r:id="rId1292" display="../../../../../../../:b:/r/personal/comunicacionesdiveliv_educacionbogota_gov_co/Documents/DIRECCION DE INSPECCION Y VIGILANCIA/DIV POAIV/POAIV 2025/ELIV ENGATIV%C3%81/PRIORIZADOS/TRIM III/ACTA JOSE MARTINEZ RUIZ.pdf?csf=1&amp;web=1&amp;e=RVjFQX" xr:uid="{0048A7AD-3D17-4656-89EF-2908E5FE3C4B}"/>
    <hyperlink ref="Q741" r:id="rId1293" display="../../../../../../../:b:/r/personal/comunicacionesdiveliv_educacionbogota_gov_co/Documents/DIRECCION DE INSPECCION Y VIGILANCIA/DIV POAIV/POAIV 2025/ELIV ENGATIV%C3%81/PRIORIZADOS/TRIM III/ACTA JOSE MARTINEZ RUIZ.pdf?csf=1&amp;web=1&amp;e=RVjFQX" xr:uid="{83C0CEC2-27A1-4D0A-8E14-1271B96ED62F}"/>
    <hyperlink ref="Q750" r:id="rId1294" display="../../../../../../../:b:/r/personal/comunicacionesdiveliv_educacionbogota_gov_co/Documents/DIRECCION DE INSPECCION Y VIGILANCIA/DIV POAIV/POAIV 2025/ELIV ENGATIV%C3%81/PRIORIZADOS/TRIM III/ACTA RAFAEL DE ALICANTE.pdf?csf=1&amp;web=1&amp;e=Cmz8wo" xr:uid="{644ADEC9-96E3-4E92-A855-E7168F49BF94}"/>
    <hyperlink ref="Q768" r:id="rId1295" display="../../../../../../../:b:/r/personal/comunicacionesdiveliv_educacionbogota_gov_co/Documents/DIRECCION DE INSPECCION Y VIGILANCIA/DIV POAIV/POAIV 2025/ELIV ENGATIV%C3%81/PRIORIZADOS/TRIM II/ACTACOLARTESABER.pdf?csf=1&amp;web=1&amp;e=uASpsd" xr:uid="{62517651-07F7-46C0-A5BC-E2820B8C0503}"/>
    <hyperlink ref="Q769" r:id="rId1296" xr:uid="{73EE35B8-B65A-47F0-98FF-5BF938F49197}"/>
    <hyperlink ref="Q770:Q777" r:id="rId1297" display="ACTAS J.J. VARGAS.pdf" xr:uid="{5EA1EDAA-554B-4398-9468-70BAE019DF7B}"/>
    <hyperlink ref="Q786" r:id="rId1298" display="../../../../../../../:b:/r/personal/comunicacionesdiveliv_educacionbogota_gov_co/Documents/DIRECCION DE INSPECCION Y VIGILANCIA/DIV POAIV/POAIV 2025/ELIV ENGATIV%C3%81/PRIORIZADOS/TRIM II/20250605ColmayEngat.pdf?csf=1&amp;web=1&amp;e=zDiIgS" xr:uid="{D6F722E6-624A-4C88-98F9-7A706CAD2BFB}"/>
    <hyperlink ref="Q795" r:id="rId1299" display="../../../../../../../:b:/r/personal/comunicacionesdiveliv_educacionbogota_gov_co/Documents/DIRECCION DE INSPECCION Y VIGILANCIA/DIV POAIV/POAIV 2025/ELIV ENGATIV%C3%81/PRIORIZADOS/TRIM III/20250725VisitaInstHenaoyArrubla.pdf?csf=1&amp;web=1&amp;e=u5PP9b" xr:uid="{422100D5-A7C1-40DA-9221-77C2EE5E03C1}"/>
    <hyperlink ref="Q796" r:id="rId1300" xr:uid="{99809BC5-0CDE-4256-B795-87FDA70C876D}"/>
    <hyperlink ref="Q797" r:id="rId1301" xr:uid="{68A8CB74-76B2-4271-82B3-BBD7894BD557}"/>
    <hyperlink ref="Q798" r:id="rId1302" xr:uid="{3AFA5AC6-BC8A-40B8-A141-9E5890C8A415}"/>
    <hyperlink ref="Q799" r:id="rId1303" xr:uid="{9EFBEFE5-E5E5-4B00-AE8C-7F723B3637C2}"/>
    <hyperlink ref="Q800" r:id="rId1304" xr:uid="{98595519-6FB0-4DE2-8BF7-A1DAB52ACC9E}"/>
    <hyperlink ref="Q801" r:id="rId1305" xr:uid="{78EEC84D-575B-4774-A80C-0EE7D58F53A2}"/>
    <hyperlink ref="Q802" r:id="rId1306" xr:uid="{03D24B8A-8BED-4037-A48B-39EFF423FFE7}"/>
    <hyperlink ref="Q803" r:id="rId1307" xr:uid="{71C87354-F733-49A8-878D-89F5F5FE7952}"/>
    <hyperlink ref="Q804" r:id="rId1308" xr:uid="{1CB8EC45-56FB-4FE7-A0F8-FBA8D1F85FD1}"/>
    <hyperlink ref="Q813" r:id="rId1309" display="../../../../../../../:b:/r/personal/comunicacionesdiveliv_educacionbogota_gov_co/Documents/DIRECCION DE INSPECCION Y VIGILANCIA/DIV POAIV/POAIV 2025/ELIV ENGATIV%C3%81/PRIORIZADOS/TRIMI/ACTA DE VISITA PRIORIZADOS 2025 ATENEO JUAN EUDES 28-03-2025.pdf?csf=1&amp;web=1&amp;e=TjoIMc" xr:uid="{22FE797E-4694-4E31-B755-D6B2ACD94461}"/>
    <hyperlink ref="Q814" r:id="rId1310" display="../../../../../../../:b:/g/personal/comunicacionesdiveliv_educacionbogota_gov_co/EX50lx968y9GrquDjOwdiocBRlOHdbt1HVUni9Xd0AOfyQ?e=eNDjsk" xr:uid="{8511998F-E0BB-436B-9D4A-74AC89FE9DCE}"/>
    <hyperlink ref="Q815" r:id="rId1311" display="../../../../../../../:b:/g/personal/comunicacionesdiveliv_educacionbogota_gov_co/EX50lx968y9GrquDjOwdiocBRlOHdbt1HVUni9Xd0AOfyQ?e=eNDjsk" xr:uid="{4B6AEAF3-20DA-441B-8A75-6EC5D7BB28C9}"/>
    <hyperlink ref="Q816" r:id="rId1312" display="../../../../../../../:b:/g/personal/comunicacionesdiveliv_educacionbogota_gov_co/EX50lx968y9GrquDjOwdiocBRlOHdbt1HVUni9Xd0AOfyQ?e=eNDjsk" xr:uid="{1B19DB3F-92B0-4291-9043-8D8EEBC41878}"/>
    <hyperlink ref="Q817" r:id="rId1313" display="../../../../../../../:b:/g/personal/comunicacionesdiveliv_educacionbogota_gov_co/EX50lx968y9GrquDjOwdiocBRlOHdbt1HVUni9Xd0AOfyQ?e=eNDjsk" xr:uid="{7AC1113B-DD22-423C-8782-A169D1DBE536}"/>
    <hyperlink ref="Q818" r:id="rId1314" display="../../../../../../../:b:/g/personal/comunicacionesdiveliv_educacionbogota_gov_co/EX50lx968y9GrquDjOwdiocBRlOHdbt1HVUni9Xd0AOfyQ?e=eNDjsk" xr:uid="{B2459542-0066-4F6D-86EC-6E8FFB62DB19}"/>
    <hyperlink ref="Q819" r:id="rId1315" display="../../../../../../../:b:/g/personal/comunicacionesdiveliv_educacionbogota_gov_co/EX50lx968y9GrquDjOwdiocBRlOHdbt1HVUni9Xd0AOfyQ?e=eNDjsk" xr:uid="{A5D7F9B4-3F4A-4D9F-851F-592F11F74F1A}"/>
    <hyperlink ref="Q820" r:id="rId1316" display="../../../../../../../:b:/g/personal/comunicacionesdiveliv_educacionbogota_gov_co/EX50lx968y9GrquDjOwdiocBRlOHdbt1HVUni9Xd0AOfyQ?e=eNDjsk" xr:uid="{C1BBC952-F3E0-4670-80AC-E57C7B901579}"/>
    <hyperlink ref="Q821" r:id="rId1317" display="../../../../../../../:b:/g/personal/comunicacionesdiveliv_educacionbogota_gov_co/EX50lx968y9GrquDjOwdiocBRlOHdbt1HVUni9Xd0AOfyQ?e=eNDjsk" xr:uid="{8AA49FA4-4647-4062-B52C-22AE9C561A55}"/>
    <hyperlink ref="Q822" r:id="rId1318" display="../../../../../../../:b:/g/personal/comunicacionesdiveliv_educacionbogota_gov_co/EX50lx968y9GrquDjOwdiocBRlOHdbt1HVUni9Xd0AOfyQ?e=eNDjsk" xr:uid="{94455E70-7A82-45A2-B5AB-22F94B2EC395}"/>
    <hyperlink ref="Q856" r:id="rId1319" display="../../../../../../../:b:/r/personal/comunicacionesdiveliv_educacionbogota_gov_co/Documents/DIRECCION DE INSPECCION Y VIGILANCIA/DIV POAIV/POAIV 2025/ELIV ENGATIV%C3%81/PRIORIZADOS/TRIM II/ACTA VISITA COOP ALAMOS 11JUN2025.pdf?csf=1&amp;web=1&amp;e=4d0Mll" xr:uid="{0CA1B09D-F5BD-41DA-80FA-AC2E071CDAB9}"/>
    <hyperlink ref="Q865" r:id="rId1320" xr:uid="{DBC5FBE2-94F3-4CD0-ACDF-C2A536A1E947}"/>
    <hyperlink ref="Q867:Q872" r:id="rId1321" display="../../../../../../../:b:/r/personal/comunicacionesdiveliv_educacionbogota_gov_co/Documents/DIRECCION DE INSPECCION Y VIGILANCIA/DIV POAIV/POAIV 2025/ELIV ENGATIV%C3%81/PRIORIZADOS/TRIM II/COLEGIO REAL DE COLOMBIA.pdf?csf=1&amp;web=1&amp;e=I772Z7" xr:uid="{8984DA95-9C33-46B5-A0E3-5B0A4DCE4BB1}"/>
    <hyperlink ref="Q866:Q871" r:id="rId1322" xr:uid="{BB957D8D-49FE-423E-9B15-2CD57CF89515}"/>
    <hyperlink ref="Q881" r:id="rId1323" xr:uid="{E11BF5D1-C7A2-46B8-BD9D-8A7E33FCBE5C}"/>
    <hyperlink ref="Q880" r:id="rId1324" xr:uid="{F1A00F4D-FB49-4B19-A98A-DC891444D348}"/>
    <hyperlink ref="Q873" r:id="rId1325" xr:uid="{55910041-24B0-42AA-8FEB-078CDF4034CA}"/>
    <hyperlink ref="Q874" r:id="rId1326" xr:uid="{24A83522-A0C6-4297-A9F4-FC53297F9292}"/>
    <hyperlink ref="Q875" r:id="rId1327" xr:uid="{6EE4E636-A741-46F0-9BF0-52FAF8248778}"/>
    <hyperlink ref="Q876" r:id="rId1328" xr:uid="{81FC6074-012C-476F-87A5-B0CCF2A41094}"/>
    <hyperlink ref="Q877" r:id="rId1329" xr:uid="{9FC49D03-D98B-4318-9455-9E44867E110E}"/>
    <hyperlink ref="Q878" r:id="rId1330" xr:uid="{95179BCF-1535-48F8-B9A8-B3DC9FB0A2E0}"/>
    <hyperlink ref="Q879" r:id="rId1331" xr:uid="{EA016589-0016-4419-AEA5-8439B2D5D138}"/>
    <hyperlink ref="Q891" r:id="rId1332" display="../../../../../../../:b:/r/personal/comunicacionesdiveliv_educacionbogota_gov_co/Documents/DIRECCION DE INSPECCION Y VIGILANCIA/DIV POAIV/POAIV 2025/ELIV ENGATIV%C3%81/PRIORIZADOS/TRIM III/ACTA VISITA GENERAL SANTANDER.pdf?csf=1&amp;web=1&amp;e=hPfejy" xr:uid="{755FCF6A-C593-47F2-8E57-955C529D02E8}"/>
    <hyperlink ref="Q898" r:id="rId1333" xr:uid="{A402CE52-5AA6-4CC7-9507-C354F7ED60DC}"/>
    <hyperlink ref="Q899:Q904" r:id="rId1334" display="ACTA ABEL RODRIGUEZ CÉSPEDES_09_09_2025.pdf" xr:uid="{C0AACFD2-2675-4744-AC47-64B681DB1578}"/>
    <hyperlink ref="Q905" r:id="rId1335" display="../../../../../../../:b:/r/personal/comunicacionesdiveliv_educacionbogota_gov_co/Documents/DIRECCION DE INSPECCION Y VIGILANCIA/DIV POAIV/POAIV 2025/ELIV ENGATIV%C3%81/PRIORIZADOS/TRIM II/Acta visita Tom%C3%A1s Moro.pdf?csf=1&amp;web=1&amp;e=wxSqUX" xr:uid="{7EA7DB95-8F5B-4F8F-ADB3-7975B860E3EF}"/>
    <hyperlink ref="Q913" r:id="rId1336" display="../../../../../../../:b:/g/personal/comunicacionesdiveliv_educacionbogota_gov_co/EecCk4zFb4xPtleMLk22xdYBqn9dGakDd5QQ53y47hOrbg?e=DOsDlF" xr:uid="{C566641A-5003-4716-95D8-9E6B871D5F81}"/>
    <hyperlink ref="Q914" r:id="rId1337" display="../../../../../../../:b:/g/personal/comunicacionesdiveliv_educacionbogota_gov_co/EecCk4zFb4xPtleMLk22xdYBqn9dGakDd5QQ53y47hOrbg?e=DOsDlF" xr:uid="{7A08EEC1-B5B6-41DD-82A6-623DB09B15F9}"/>
    <hyperlink ref="Q915" r:id="rId1338" display="../../../../../../../:b:/g/personal/comunicacionesdiveliv_educacionbogota_gov_co/EecCk4zFb4xPtleMLk22xdYBqn9dGakDd5QQ53y47hOrbg?e=DOsDlF" xr:uid="{3A1A1B06-34C7-44E4-8AED-E1BAB9B969B1}"/>
    <hyperlink ref="Q916" r:id="rId1339" display="../../../../../../../:b:/g/personal/comunicacionesdiveliv_educacionbogota_gov_co/EecCk4zFb4xPtleMLk22xdYBqn9dGakDd5QQ53y47hOrbg?e=DOsDlF" xr:uid="{89787C93-2326-44F6-856F-6EFE88DC8082}"/>
    <hyperlink ref="Q917" r:id="rId1340" display="../../../../../../../:b:/g/personal/comunicacionesdiveliv_educacionbogota_gov_co/EecCk4zFb4xPtleMLk22xdYBqn9dGakDd5QQ53y47hOrbg?e=DOsDlF" xr:uid="{84F13571-896E-4DF0-9AA1-1C461FFB9530}"/>
    <hyperlink ref="Q918" r:id="rId1341" display="../../../../../../../:b:/g/personal/comunicacionesdiveliv_educacionbogota_gov_co/EecCk4zFb4xPtleMLk22xdYBqn9dGakDd5QQ53y47hOrbg?e=DOsDlF" xr:uid="{8AABF808-554A-4CC0-93D4-8232B78109CF}"/>
    <hyperlink ref="Q919" r:id="rId1342" display="../../../../../../../:b:/g/personal/comunicacionesdiveliv_educacionbogota_gov_co/EecCk4zFb4xPtleMLk22xdYBqn9dGakDd5QQ53y47hOrbg?e=DOsDlF" xr:uid="{2F3F73EA-2FC0-4A3A-9C0B-4E8103017A83}"/>
    <hyperlink ref="Q920" r:id="rId1343" display="../../../../../../../:b:/r/personal/comunicacionesdiveliv_educacionbogota_gov_co/Documents/DIRECCION DE INSPECCION Y VIGILANCIA/DIV POAIV/POAIV 2025/ELIV ENGATIV%C3%81/PRIORIZADOS/TRIM II/20250401 Acta visita Col la Palestina.pdf?csf=1&amp;web=1&amp;e=jzteDF" xr:uid="{E0CB275C-1558-4C51-8985-3D3CC9632E77}"/>
    <hyperlink ref="Q926" r:id="rId1344" xr:uid="{22A6287F-1335-42BD-80EB-9D01E913112B}"/>
    <hyperlink ref="Q927" r:id="rId1345" xr:uid="{C97BF94B-AE6A-4156-A920-E98806CA869D}"/>
    <hyperlink ref="Q928" r:id="rId1346" xr:uid="{35CF24C5-949D-4394-98EA-934907023319}"/>
    <hyperlink ref="Q929" r:id="rId1347" xr:uid="{4EAA0D08-9CE8-4548-AE91-AEC1A7D6BFE2}"/>
    <hyperlink ref="Q930" r:id="rId1348" xr:uid="{E9DFA40D-575B-4252-B82C-914A42C60733}"/>
    <hyperlink ref="Q931" r:id="rId1349" xr:uid="{580F052C-AE76-482A-94F1-386A0DD3E7FF}"/>
    <hyperlink ref="Q932" r:id="rId1350" xr:uid="{A9868068-B225-4478-8D26-00776DEC4183}"/>
    <hyperlink ref="Q933" r:id="rId1351" display="../../../../../../../:b:/r/personal/comunicacionesdiveliv_educacionbogota_gov_co/Documents/DIRECCION DE INSPECCION Y VIGILANCIA/DIV POAIV/POAIV 2025/ELIV ENGATIV%C3%81/PRIORIZADOS/TRIM III/ACTA VISITA SIDEP SAS IETDH 12JUL2025.pdf?csf=1&amp;web=1&amp;e=DT9N4R" xr:uid="{24381A95-EC49-4B1A-BD90-7A50968B9F59}"/>
    <hyperlink ref="Q934" r:id="rId1352" display="../../../../../../../:b:/r/personal/comunicacionesdiveliv_educacionbogota_gov_co/Documents/DIRECCION DE INSPECCION Y VIGILANCIA/DIV POAIV/POAIV 2025/ELIV ENGATIV%C3%81/PRIORIZADOS/TRIM III/ACTA VISITA SIDEP SAS IETDH 12JUL2025.pdf?csf=1&amp;web=1&amp;e=DT9N4R" xr:uid="{4E41DBB7-6ACC-4454-A8B6-DEDD4C04F170}"/>
    <hyperlink ref="Q943:Q944" r:id="rId1353" display="../../../../../../../:b:/r/personal/comunicacionesdiveliv_educacionbogota_gov_co/Documents/DIRECCION DE INSPECCION Y VIGILANCIA/DIV POAIV/POAIV 2025/ELIV FONTIB%C3%93N/PRIORIZADOS/TRIM II/COLEGIO TECNISISTEMAS/acta visita firmada.pdf?csf=1&amp;web=1&amp;e=ZWF8fi" xr:uid="{181E449B-2A7E-4E71-9832-85037DCE8964}"/>
    <hyperlink ref="Q959" r:id="rId1354" xr:uid="{1DE93A87-24B6-49EC-8846-6045ADA9D0A3}"/>
    <hyperlink ref="Q960" r:id="rId1355" xr:uid="{4A22FDA9-961F-4AA0-99C8-A8354CB23A39}"/>
    <hyperlink ref="Q961" r:id="rId1356" xr:uid="{8F33734B-22B5-4948-B14E-BC92789A2439}"/>
    <hyperlink ref="Q962" r:id="rId1357" xr:uid="{1BD15841-A2AB-4490-B789-F012FEBAD48D}"/>
    <hyperlink ref="Q963" r:id="rId1358" xr:uid="{3CA95E04-2EBC-487E-9C08-B449D68B7A3C}"/>
    <hyperlink ref="Q964" r:id="rId1359" xr:uid="{0B90423B-4103-406F-AE6F-697FF507021D}"/>
    <hyperlink ref="Q965" r:id="rId1360" xr:uid="{696901AE-121B-493A-A6EA-8C4D57CCDBB5}"/>
    <hyperlink ref="Q966" r:id="rId1361" xr:uid="{B02817AC-FB0E-4E0D-B2C9-A2246BC700D0}"/>
    <hyperlink ref="Q967" r:id="rId1362" xr:uid="{27D0B31F-6DF6-4783-AF87-E4E0D3C5B623}"/>
    <hyperlink ref="Q968" r:id="rId1363" xr:uid="{13F57564-7D50-4443-BA6C-1C163CDBE6AE}"/>
    <hyperlink ref="Q969" r:id="rId1364" xr:uid="{9BACD724-4C86-4BBF-9363-038B0DE94497}"/>
    <hyperlink ref="Q970" r:id="rId1365" xr:uid="{8B7521C9-4853-4A9E-93AA-E888B3FA7D32}"/>
    <hyperlink ref="Q971" r:id="rId1366" xr:uid="{9D65BFE8-DCAE-4977-88E5-BA5B7CA0FA15}"/>
    <hyperlink ref="Q972" r:id="rId1367" xr:uid="{5F717002-DC66-4516-ACE6-52570D517E2D}"/>
    <hyperlink ref="Q973" r:id="rId1368" xr:uid="{6424A343-D3AA-478E-9E0F-70E66E947FC3}"/>
    <hyperlink ref="Q974" r:id="rId1369" xr:uid="{89CF223F-CF65-4BC1-8350-B0A1487F1D37}"/>
    <hyperlink ref="Q977" r:id="rId1370" xr:uid="{0B357318-2E0A-492E-BE0D-B12D0715DE2B}"/>
    <hyperlink ref="Q982" r:id="rId1371" xr:uid="{8EFFDBAB-0285-4BD4-B6E9-867E888AE775}"/>
    <hyperlink ref="Q975" r:id="rId1372" xr:uid="{E0B214AA-30F1-4463-A691-1B43978D60B6}"/>
    <hyperlink ref="Q976" r:id="rId1373" xr:uid="{2672241B-58C1-4613-BE36-B4CE49BA3492}"/>
    <hyperlink ref="Q979" r:id="rId1374" xr:uid="{8446B066-6F43-40C4-8392-B0052C9DC353}"/>
    <hyperlink ref="Q978" r:id="rId1375" xr:uid="{5E410D2B-C0A9-481F-BF83-6D4AA474053B}"/>
    <hyperlink ref="Q980" r:id="rId1376" xr:uid="{013A7E0D-54DB-42C7-AE60-73080079ABCD}"/>
    <hyperlink ref="Q981" r:id="rId1377" xr:uid="{3AB739E8-6AD3-4F9A-9D05-0583951BE428}"/>
    <hyperlink ref="Q983" r:id="rId1378" xr:uid="{64F326EA-3988-49F7-84CA-CC2FFE295E2F}"/>
    <hyperlink ref="Q984" r:id="rId1379" xr:uid="{F3313221-47CD-4A9E-9FE8-7A96F00F6776}"/>
    <hyperlink ref="Q985" r:id="rId1380" xr:uid="{FA84EF4F-5730-423E-AD2D-E90A140C85B4}"/>
    <hyperlink ref="Q986" r:id="rId1381" xr:uid="{195D55D3-A161-4F15-AAED-B92C2B4D2A9A}"/>
    <hyperlink ref="Q987" r:id="rId1382" xr:uid="{A5DCB703-DACB-43D8-A089-6E49FF752A46}"/>
    <hyperlink ref="Q988" r:id="rId1383" xr:uid="{7C8C10FA-7AF7-436D-B207-3984A45539A4}"/>
    <hyperlink ref="Q989" r:id="rId1384" xr:uid="{1CC4E346-5DEB-4368-8163-0F573679DFB1}"/>
    <hyperlink ref="Q990" r:id="rId1385" xr:uid="{77EF4F1D-EC86-4779-AD94-9D34FDCA75C0}"/>
    <hyperlink ref="Q991" r:id="rId1386" xr:uid="{C3E857C8-68E2-410A-957B-81FD6A6C9C21}"/>
    <hyperlink ref="Q992" r:id="rId1387" xr:uid="{9A35D1FC-D3CF-471A-A877-6B9C1FA08CD2}"/>
    <hyperlink ref="Q993" r:id="rId1388" xr:uid="{8010B86C-4D41-4C46-9261-D496318B181A}"/>
    <hyperlink ref="Q994" r:id="rId1389" xr:uid="{9C0B13B9-C1D5-4CB5-B305-412E26383C3F}"/>
    <hyperlink ref="Q995" r:id="rId1390" xr:uid="{80D2E94D-9E1C-4861-A642-1304B972371A}"/>
    <hyperlink ref="Q996" r:id="rId1391" xr:uid="{0BEDDFB0-795E-4C31-A586-825A815F5057}"/>
    <hyperlink ref="Q997" r:id="rId1392" xr:uid="{6039215F-AFC0-4B06-AED3-138057184C0C}"/>
    <hyperlink ref="Q998" r:id="rId1393" xr:uid="{B67F5084-25DC-4FD9-B954-06A219C52838}"/>
    <hyperlink ref="Q999" r:id="rId1394" xr:uid="{98CDE621-077B-4549-BE10-07116706466F}"/>
    <hyperlink ref="Q1000" r:id="rId1395" xr:uid="{7320BB4A-D5ED-4F16-9EA5-EB0920BBB3D1}"/>
    <hyperlink ref="Q1001" r:id="rId1396" xr:uid="{673364EC-1FEC-4FC3-BFD0-7C473CEF1609}"/>
    <hyperlink ref="Q1002" r:id="rId1397" xr:uid="{7A16C363-179D-42B2-877C-40A75478D444}"/>
    <hyperlink ref="Q1003" r:id="rId1398" xr:uid="{BE4BA0E4-4119-4518-A428-38F50BF2EEB3}"/>
    <hyperlink ref="Q1004" r:id="rId1399" xr:uid="{EDCD1DB6-CF5C-4822-8E26-B26E77092C55}"/>
    <hyperlink ref="Q1005" r:id="rId1400" xr:uid="{78FAEBBA-CE77-4B6F-8CE6-030C4F309364}"/>
    <hyperlink ref="Q1006" r:id="rId1401" xr:uid="{CAD128ED-B4EB-4C7A-8D3C-ABF565AB2DEA}"/>
    <hyperlink ref="Q1007" r:id="rId1402" xr:uid="{09DE39DF-98CF-41DE-9687-5F3B57E2792F}"/>
    <hyperlink ref="Q1008" r:id="rId1403" xr:uid="{C17426BC-18D7-413E-AC5A-0DCDB2E8F2B4}"/>
    <hyperlink ref="Q1009" r:id="rId1404" xr:uid="{B2BD3AE0-5003-4C6A-AE38-F1D96250365A}"/>
    <hyperlink ref="Q1010" r:id="rId1405" xr:uid="{1C58033E-9A80-49C0-BECF-4765A530B191}"/>
    <hyperlink ref="Q1011" r:id="rId1406" xr:uid="{0F95FDC0-6A31-4346-A546-9D559C142DEE}"/>
    <hyperlink ref="Q1012" r:id="rId1407" xr:uid="{00E4E309-9E85-433A-A144-4C8E4E233DAC}"/>
    <hyperlink ref="Q1013" r:id="rId1408" xr:uid="{4DACA327-0DA2-46E9-A755-7EBC0C8FAD81}"/>
    <hyperlink ref="Q1014" r:id="rId1409" xr:uid="{7741EE7B-E128-493C-912C-8194C89DCBDA}"/>
    <hyperlink ref="Q1015" r:id="rId1410" xr:uid="{FC50169C-6664-4F8E-9D89-2BB806E48CF3}"/>
    <hyperlink ref="Q1016" r:id="rId1411" xr:uid="{BBBBC083-1087-433F-BC41-6F424F6B2BD5}"/>
    <hyperlink ref="Q1017" r:id="rId1412" xr:uid="{D27FEB36-43C2-4E23-A17A-BED47E9ABAB1}"/>
    <hyperlink ref="Q1018" r:id="rId1413" xr:uid="{FCB0E55D-8DF1-430B-ABE5-7AEEE75CF729}"/>
    <hyperlink ref="Q1019" r:id="rId1414" xr:uid="{399FF497-824D-41B3-855D-621C4E45851F}"/>
    <hyperlink ref="Q1020" r:id="rId1415" xr:uid="{8A8FC5D2-89D9-4731-AD76-7DD956F2755B}"/>
    <hyperlink ref="Q1021" r:id="rId1416" xr:uid="{F5CC7A53-A29B-4181-9020-7916CF2D0E8E}"/>
    <hyperlink ref="Q1022" r:id="rId1417" xr:uid="{406FE679-A707-4279-8AEC-5369B48432D6}"/>
    <hyperlink ref="Q1023" r:id="rId1418" xr:uid="{0ED87BE0-0E7F-46D3-9A8F-D751F20E41B5}"/>
    <hyperlink ref="Q1024" r:id="rId1419" xr:uid="{93381E54-16C8-4A80-9755-C0A982DBD932}"/>
    <hyperlink ref="Q1025" r:id="rId1420" xr:uid="{C4E800DF-F7F5-4A1C-A7B1-F7BCD081C6E9}"/>
    <hyperlink ref="Q1026" r:id="rId1421" xr:uid="{F1534EB1-38CA-44EF-8CD1-FEB1ABDEA90D}"/>
    <hyperlink ref="Q1027" r:id="rId1422" xr:uid="{38445C01-30F0-420D-A7BB-149C99A7ECC0}"/>
    <hyperlink ref="Q1028" r:id="rId1423" xr:uid="{5B32664B-E6CB-4F09-8207-705EEB50DE4A}"/>
    <hyperlink ref="Q1029" r:id="rId1424" display="../../../../../../../:b:/r/personal/comunicacionesdiveliv_educacionbogota_gov_co/Documents/DIRECCION DE INSPECCION Y VIGILANCIA/DIV POAIV/POAIV 2025/ELIV KENNEDY/PRIORIZADOS/TRIM II/ACTA DE VISITA COLEGIO ROBERT HOOKE.pdf?csf=1&amp;web=1&amp;e=HJMilf" xr:uid="{9875586F-0F48-4607-9A8D-25734582CFE8}"/>
    <hyperlink ref="Q1035" r:id="rId1425" xr:uid="{1F1DED38-35A3-4D17-9B6C-CD29C247022C}"/>
    <hyperlink ref="Q1036:Q1043" r:id="rId1426" display="COLEGIO ALEXANDER FLEMING.pdf" xr:uid="{1C86E378-F565-4C9E-B9CC-F276E36B4B68}"/>
    <hyperlink ref="Q1044" r:id="rId1427" xr:uid="{5F741395-411E-4F7D-9541-38FA6D187345}"/>
    <hyperlink ref="Q1045:Q1052" r:id="rId1428" display="COLEGIO ANTARES.pdf" xr:uid="{7A3CBAE0-6D6E-423C-B694-798D4CB099D3}"/>
    <hyperlink ref="Q1158" r:id="rId1429" display="../../../../../../../:b:/r/personal/comunicacionesdiveliv_educacionbogota_gov_co/Documents/DIRECCION DE INSPECCION Y VIGILANCIA/DIV POAIV/POAIV 2025/ELIV KENNEDY/PRIORIZADOS/TRIM II/ACTA DE VISITA COLEGIO TECNISISTEMAS.pdf?csf=1&amp;web=1&amp;e=DolaAx" xr:uid="{3FD8908F-0D62-4991-B33E-ECCD7DE0606F}"/>
    <hyperlink ref="Q1152" r:id="rId1430" xr:uid="{00B18465-9817-4DD0-AF4E-5F752122A160}"/>
    <hyperlink ref="Q1153:Q1157" r:id="rId1431" display="Acta Talentos" xr:uid="{51E559A8-9E51-497F-9499-DD48C94FAD60}"/>
    <hyperlink ref="Q1195" r:id="rId1432" xr:uid="{74132B54-DFC5-40C1-B069-EE96F0CBDB97}"/>
    <hyperlink ref="Q1196:Q1203" r:id="rId1433" display="INSTITUTO CULTURAL CIUDAD DE KENNEDY" xr:uid="{62314673-3C22-4812-8D5E-96B17883BE37}"/>
    <hyperlink ref="Q1205" r:id="rId1434" xr:uid="{D8032D1C-CD3A-4471-A2A7-382B7CA06F27}"/>
    <hyperlink ref="Q1206" r:id="rId1435" xr:uid="{2CBA2B24-D7F3-43B1-853C-481C2DD5705B}"/>
    <hyperlink ref="Q1208:Q1209" r:id="rId1436" display="../../../../../../../:b:/r/personal/comunicacionesdiveliv_educacionbogota_gov_co/Documents/DIRECCION DE INSPECCION Y VIGILANCIA/DIV POAIV/POAIV 2025/ELIV KENNEDY/PRIORIZADOS/TRIM II/ACTA DE VISITA_INSTITUTO DE EDUCACION EMAUS_22_05_25.pdf?csf=1&amp;web=1&amp;e=964GAv" xr:uid="{976029CD-E707-4E13-A567-A65BE808EB6D}"/>
    <hyperlink ref="Q1211:Q1216" r:id="rId1437" display="../../../../../../../:b:/r/personal/comunicacionesdiveliv_educacionbogota_gov_co/Documents/DIRECCION DE INSPECCION Y VIGILANCIA/DIV POAIV/POAIV 2025/ELIV KENNEDY/PRIORIZADOS/TRIM III/INSTITUTO LEONARD EULER.pdf?csf=1&amp;web=1&amp;e=NqZgS7" xr:uid="{B4B1B164-C8EA-4ED5-95C7-1BEC64C77ADA}"/>
    <hyperlink ref="Q1229" r:id="rId1438" xr:uid="{34621F0B-12A7-4810-A22C-87C1C955E60D}"/>
    <hyperlink ref="Q1229" r:id="rId1439" xr:uid="{F110223E-6312-44B0-B5E4-5559623A7A7C}"/>
    <hyperlink ref="Q1237" r:id="rId1440" xr:uid="{DB5B5CE1-2BEF-438E-AE65-BAC5D80E66C1}"/>
    <hyperlink ref="Q1238:Q1242" r:id="rId1441" xr:uid="{4EF6D707-5F5D-40E5-9CD2-C8F5C54F0D1A}"/>
    <hyperlink ref="Q1247:Q1251" r:id="rId1442" display="LICEO EMANUEL MARLUI.pdf" xr:uid="{CB028CE1-1D8A-439A-BD19-99D5455B8D37}"/>
    <hyperlink ref="Q1255" r:id="rId1443" xr:uid="{C81D89C4-823A-4B55-8D1D-087133CA3E54}"/>
    <hyperlink ref="Q1256:Q1260" r:id="rId1444" xr:uid="{CAFE1342-BBCF-4AA9-9DDA-48314595A4EA}"/>
    <hyperlink ref="Q1261" r:id="rId1445" xr:uid="{886BBDD5-AE57-477B-A18C-84C22174EABC}"/>
    <hyperlink ref="Q1262:Q1269" r:id="rId1446" display="LICEO MODERNO LEON BAEZ" xr:uid="{7B24FE28-E10A-4552-A28B-338B835F3A71}"/>
    <hyperlink ref="Q1270" r:id="rId1447" xr:uid="{84129671-EF2E-4429-AE51-16F9C99BBAE5}"/>
    <hyperlink ref="Q1271:Q1278" r:id="rId1448" display="LICEO NUEVA BRITALIA.pdf" xr:uid="{062C39C2-50EB-45EF-B531-C2D72851865E}"/>
    <hyperlink ref="Q1279" r:id="rId1449" xr:uid="{A84BA925-13BE-44EF-9CBC-7435ECA04D60}"/>
    <hyperlink ref="Q1280:Q1286" r:id="rId1450" display="LICEO PIÑEROS CORTES.pdf" xr:uid="{48B3FBC7-7615-4739-814D-E7117B957312}"/>
    <hyperlink ref="Q1287" r:id="rId1451" xr:uid="{9195909B-E154-4227-913C-F4D069270196}"/>
    <hyperlink ref="Q1290" r:id="rId1452" xr:uid="{187DEB23-CD55-4B56-9754-09A1FD5B0B76}"/>
    <hyperlink ref="Q1291:Q1296" r:id="rId1453" display="LICEO REYNEL.pdf" xr:uid="{2680B443-9875-4836-B29F-1B8948E6F67A}"/>
    <hyperlink ref="Q1288:Q1289" r:id="rId1454" display="LICEO REYNEL.pdf" xr:uid="{ABF2B5AF-94F9-4177-88BE-DF5DC696967B}"/>
    <hyperlink ref="Q1296" r:id="rId1455" xr:uid="{ADF4B2B2-1829-4D34-99D7-60F6A4D8DAEE}"/>
    <hyperlink ref="Q1297" r:id="rId1456" xr:uid="{458E901B-DD14-4DD4-905A-7039172F1AAB}"/>
    <hyperlink ref="Q1298" r:id="rId1457" xr:uid="{6875F647-24A5-44A7-88EF-CD1C95D0A6DB}"/>
    <hyperlink ref="Q1299:Q1301" r:id="rId1458" display="ACTA DE VISITA UNIDAD FUTURO DEL MAÑANA" xr:uid="{3F960B17-0AC7-4947-8DB7-499D21348FC7}"/>
    <hyperlink ref="Q1302" r:id="rId1459" xr:uid="{B21A7517-0ECB-4B7C-B34C-5C81C9938815}"/>
    <hyperlink ref="Q1303:Q1309" r:id="rId1460" display="UNIDAD EDUCATIVA JEAN PIAGET.pdf" xr:uid="{19D9E4A4-FDEF-447D-B742-F26BDD1B893B}"/>
    <hyperlink ref="Q1310" r:id="rId1461" xr:uid="{E8DB3BBA-C7E6-4D1E-9026-C62C522BA7CA}"/>
    <hyperlink ref="Q1305" r:id="rId1462" xr:uid="{D199004C-709A-4879-B1CB-96D692D0448D}"/>
    <hyperlink ref="Q1319" r:id="rId1463" xr:uid="{2E8D26A0-CCC6-4805-B40E-6E3FA5EF435D}"/>
    <hyperlink ref="Q1320:Q1325" r:id="rId1464" display="V.3 Formato visita COL_REP BOL VZLA I.E.D..pdf" xr:uid="{C5A8519C-0D64-464F-8BD3-AF8035349966}"/>
    <hyperlink ref="Q1329" r:id="rId1465" xr:uid="{2B3C2BC1-1C1F-4562-9249-BAC5847C9B0E}"/>
    <hyperlink ref="Q1331" r:id="rId1466" xr:uid="{0247C73F-BD57-49D5-9D22-69E9A36DC033}"/>
    <hyperlink ref="Q1330" r:id="rId1467" xr:uid="{70672ACF-1212-4BD3-80BE-CAD4CEE885C8}"/>
    <hyperlink ref="Q1311" r:id="rId1468" xr:uid="{9741126D-210A-4F40-9F6C-32484DA0186F}"/>
    <hyperlink ref="Q1312" r:id="rId1469" xr:uid="{A64AA4CF-B4AA-49EE-AE50-9EFDB8B58FF1}"/>
    <hyperlink ref="Q1313" r:id="rId1470" xr:uid="{1D6E4624-C760-4857-8978-3E2616440369}"/>
    <hyperlink ref="Q1315" r:id="rId1471" xr:uid="{44BDEFD0-4048-4D1C-960D-FB8213725417}"/>
    <hyperlink ref="Q1317" r:id="rId1472" xr:uid="{1E4EA4D6-7100-4262-A095-F1E16892F02D}"/>
    <hyperlink ref="Q1318" r:id="rId1473" xr:uid="{57E48A32-BDA9-46A6-9A68-AD4A86F9CCC4}"/>
    <hyperlink ref="Q1314" r:id="rId1474" xr:uid="{B9BCD0D9-6E56-4266-9908-17089EBC5B7B}"/>
    <hyperlink ref="Q1316" r:id="rId1475" xr:uid="{85F5BDA2-C2E0-42C3-82F0-E7D96F9E4609}"/>
    <hyperlink ref="Q1340" r:id="rId1476" xr:uid="{2247E4B0-F07F-425F-8FAD-81FD6577ADBB}"/>
    <hyperlink ref="Q1341" r:id="rId1477" xr:uid="{063DF293-37A0-49AC-A624-2FFD09F1732C}"/>
    <hyperlink ref="Q1342" r:id="rId1478" xr:uid="{D3EEE674-4585-43E2-AE14-530ED12A3902}"/>
    <hyperlink ref="Q1343" r:id="rId1479" xr:uid="{86FD4E36-ADDA-404A-BF47-A6799434285C}"/>
    <hyperlink ref="Q1344" r:id="rId1480" xr:uid="{BB9F76F0-BD94-42E4-B261-8A74B60A4DBD}"/>
    <hyperlink ref="Q1345" r:id="rId1481" xr:uid="{36DCDEBC-1CA6-4B35-A9DF-6836136A55E8}"/>
    <hyperlink ref="Q1346" r:id="rId1482" xr:uid="{0EC01194-2C60-4FE6-8ADA-392944CAE523}"/>
    <hyperlink ref="Q1347" r:id="rId1483" xr:uid="{EBE5DF1B-E111-494B-A91D-C31F71764CD7}"/>
    <hyperlink ref="Q1334" r:id="rId1484" xr:uid="{E3DE4A53-E8B2-4F48-8637-7864CC612CB8}"/>
    <hyperlink ref="Q1333" r:id="rId1485" xr:uid="{1762FF0A-F409-4A3A-91D0-A0F96834FE1D}"/>
    <hyperlink ref="Q1332" r:id="rId1486" xr:uid="{F1A5F670-2AD8-4262-8E46-625A72C9E4E6}"/>
    <hyperlink ref="Q1339" r:id="rId1487" xr:uid="{EB517CF5-733C-4EC3-ADE0-62CA7A746B86}"/>
    <hyperlink ref="Q1338" r:id="rId1488" xr:uid="{56D8287B-54C0-40DD-8C9A-7324280FF73E}"/>
    <hyperlink ref="Q1337" r:id="rId1489" xr:uid="{A60AF1E1-0900-43E7-8241-584F9EF74298}"/>
    <hyperlink ref="Q1335" r:id="rId1490" xr:uid="{A4D45422-FF0C-4B7B-B14B-CBB9962CE095}"/>
    <hyperlink ref="Q1336" r:id="rId1491" xr:uid="{F23193E2-518D-4AB4-93E4-69E9C6EE342F}"/>
    <hyperlink ref="Q1371" r:id="rId1492" xr:uid="{F5286B86-AA41-49F7-9F18-DFE82E6C7DD2}"/>
    <hyperlink ref="Q1372" r:id="rId1493" xr:uid="{7B572D47-8EFB-413E-8728-961D9C468F09}"/>
    <hyperlink ref="Q1374" r:id="rId1494" xr:uid="{36EE2783-22F4-4AB4-BCC3-F69E6303243C}"/>
    <hyperlink ref="Q1373" r:id="rId1495" xr:uid="{C98975E9-CF37-4AD9-8CB7-F9D11E90179E}"/>
    <hyperlink ref="Q1348" r:id="rId1496" xr:uid="{F6FD0753-5D89-4204-98D2-8526B0060809}"/>
    <hyperlink ref="Q1349" r:id="rId1497" xr:uid="{6308FC8A-BC49-4CFF-8C7A-D7F4E7709675}"/>
    <hyperlink ref="Q1350" r:id="rId1498" xr:uid="{AABB7EA3-95F2-4981-A9E5-1CBA9212D093}"/>
    <hyperlink ref="Q1351" r:id="rId1499" xr:uid="{4BE38174-C686-4DAE-B4A1-7365C557B11B}"/>
    <hyperlink ref="Q1352" r:id="rId1500" xr:uid="{DFA14DCC-FDED-42FE-AE80-77ADC91FC48D}"/>
    <hyperlink ref="Q1353" r:id="rId1501" xr:uid="{19C93161-5D0D-4F5B-AA6E-5381C35EAD18}"/>
    <hyperlink ref="Q1354" r:id="rId1502" xr:uid="{3F995532-CC8D-418A-A1D6-1422620F6FF5}"/>
    <hyperlink ref="Q1355" r:id="rId1503" xr:uid="{E25BDDE9-18BA-4026-8270-7ABE8369059B}"/>
    <hyperlink ref="Q1326" r:id="rId1504" xr:uid="{9691EB3A-25CC-4C0B-B854-02F7E4DF2FDB}"/>
    <hyperlink ref="Q1327" r:id="rId1505" xr:uid="{506CC0E0-7AC2-48F3-8D1A-5C56BAE566D8}"/>
    <hyperlink ref="Q1328" r:id="rId1506" xr:uid="{3E7AEB7F-AF36-4D06-80F1-9928D3A8CE6B}"/>
    <hyperlink ref="Q1359" r:id="rId1507" xr:uid="{089332E8-27A7-4E82-8509-92BF2F0522B6}"/>
    <hyperlink ref="Q1367" r:id="rId1508" xr:uid="{8359FDED-7AE0-47F5-866B-CAB6BB1ADE2D}"/>
    <hyperlink ref="Q1366" r:id="rId1509" xr:uid="{12CFD7A3-B1C4-4B02-A01D-48BF4BBA1DB2}"/>
    <hyperlink ref="Q1365" r:id="rId1510" xr:uid="{640EB6D0-50F3-45E1-86DB-8DBCB8E4768D}"/>
    <hyperlink ref="Q1364" r:id="rId1511" xr:uid="{FC1D31F4-13D3-4B65-86A9-161B2B32A912}"/>
    <hyperlink ref="Q1363" r:id="rId1512" xr:uid="{C936D72A-D018-46A7-966B-003BBAD3766D}"/>
    <hyperlink ref="Q1362" r:id="rId1513" xr:uid="{F145586F-0320-42D7-BA50-D01D1EB0DA22}"/>
    <hyperlink ref="Q1361" r:id="rId1514" xr:uid="{8AF57438-1E7F-4270-9D39-09796B6CDE5F}"/>
    <hyperlink ref="Q1360" r:id="rId1515" xr:uid="{80E4B046-C392-4EB1-BD38-967CF4F3FDFE}"/>
    <hyperlink ref="Q1368" r:id="rId1516" xr:uid="{D6834E70-7FA5-4A6D-966C-9D70022440AD}"/>
    <hyperlink ref="Q1369" r:id="rId1517" xr:uid="{B54FEC42-8CB8-41A7-A64D-2816A4B3D5F5}"/>
    <hyperlink ref="Q1370" r:id="rId1518" xr:uid="{C8307D0A-4604-4B6E-B3E8-37F94F8DB6EE}"/>
    <hyperlink ref="Q1375" r:id="rId1519" xr:uid="{8D2DF4AE-5BEC-45E5-8125-CEB461CFD738}"/>
    <hyperlink ref="Q1376" r:id="rId1520" xr:uid="{3D555DB3-7E8D-42B0-85F4-7920491BD8C8}"/>
    <hyperlink ref="Q1377" r:id="rId1521" xr:uid="{9977D025-E2C5-42F8-8AEE-A881872DB0CB}"/>
    <hyperlink ref="Q1378" r:id="rId1522" xr:uid="{2C74C337-887F-48FE-920C-210582649095}"/>
    <hyperlink ref="Q1379" r:id="rId1523" xr:uid="{596AEBD4-9D6F-4B58-BB44-4E2C01C410F2}"/>
    <hyperlink ref="Q1380" r:id="rId1524" xr:uid="{5DBDD2A0-8471-4182-B3AF-F41DA67A4BC0}"/>
    <hyperlink ref="Q1357" r:id="rId1525" xr:uid="{F4DABB29-21EA-483A-96AA-0B6243829C26}"/>
    <hyperlink ref="Q1358" r:id="rId1526" xr:uid="{676F038C-55AB-4D94-9665-43744328307E}"/>
    <hyperlink ref="Q1381" r:id="rId1527" xr:uid="{FF8FA2CF-52D9-416E-B6E3-F44213434643}"/>
    <hyperlink ref="Q1382" r:id="rId1528" xr:uid="{56D164F3-0577-4C02-9216-595E88D6FA87}"/>
    <hyperlink ref="Q1383" r:id="rId1529" xr:uid="{358E5A4A-FC14-4F9F-BAEC-CB62A739932D}"/>
    <hyperlink ref="Q1384" r:id="rId1530" xr:uid="{609E6A7F-624E-41A0-B14B-B6DFE4379DD4}"/>
    <hyperlink ref="Q1385" r:id="rId1531" xr:uid="{F64FEA09-8B06-4B18-8400-817416417583}"/>
    <hyperlink ref="Q1386" r:id="rId1532" xr:uid="{37FA9B6D-4AB1-4E0B-BAFC-353EEE384130}"/>
    <hyperlink ref="Q1387" r:id="rId1533" xr:uid="{DDADE009-CD62-47F2-AF58-783CF81D101C}"/>
    <hyperlink ref="Q1413" r:id="rId1534" xr:uid="{B355E842-F0BA-4EE3-820F-7EFB5FF126C3}"/>
    <hyperlink ref="Q1414" r:id="rId1535" xr:uid="{6D4FE810-33DE-42AB-B877-CA19062EA0CB}"/>
    <hyperlink ref="Q1415" r:id="rId1536" xr:uid="{7B2A018C-FBF2-4F92-928D-8689EDA88C4D}"/>
    <hyperlink ref="Q1491" r:id="rId1537" xr:uid="{D883D0FC-FB07-4E75-8546-8D42B1489A8A}"/>
    <hyperlink ref="Q1492" r:id="rId1538" xr:uid="{5F81B19C-4CEF-4155-A0B1-2D2A23021963}"/>
    <hyperlink ref="Q1493" r:id="rId1539" xr:uid="{30892496-CDF3-4736-94C1-3105DB07F1D3}"/>
    <hyperlink ref="Q1494" r:id="rId1540" xr:uid="{ECEE4C3D-622B-47B3-B8AB-1C31AD95B01C}"/>
    <hyperlink ref="Q1495" r:id="rId1541" xr:uid="{074F012C-BEF3-48F6-ABC0-701B3F3F6A25}"/>
    <hyperlink ref="Q1496" r:id="rId1542" xr:uid="{D4C463A2-522F-4C99-848D-C2DDDB29C964}"/>
    <hyperlink ref="Q1506" r:id="rId1543" xr:uid="{2D13EE0D-8533-4258-9B87-1E2E0ABEA79C}"/>
    <hyperlink ref="Q1507" r:id="rId1544" xr:uid="{233BFDDB-2042-495C-B0CF-14F3A36849BB}"/>
    <hyperlink ref="Q1508" r:id="rId1545" xr:uid="{6E628BA7-F38E-48A6-B6C1-923C88FACE41}"/>
    <hyperlink ref="Q1509" r:id="rId1546" xr:uid="{9E167DA8-446A-42DC-A4A7-3FCEF4E318AE}"/>
    <hyperlink ref="Q1510" r:id="rId1547" xr:uid="{3256B6FD-A441-4E1C-B7BA-00EF05FDEF90}"/>
    <hyperlink ref="Q1511" r:id="rId1548" xr:uid="{57ECDF26-A9BF-41D2-B3F3-7CE823F906B9}"/>
    <hyperlink ref="Q1512" r:id="rId1549" xr:uid="{D504A6E6-2DB5-448C-A4A9-E5BF9AC0BC35}"/>
    <hyperlink ref="Q1513" r:id="rId1550" xr:uid="{495EA71C-41E7-4602-9C4C-BB3B44B15629}"/>
    <hyperlink ref="Q1514" r:id="rId1551" xr:uid="{05519816-53D2-4F10-80FC-578C6F1495D9}"/>
    <hyperlink ref="Q1515" r:id="rId1552" display="../../../../../../../:b:/r/personal/comunicacionesdiveliv_educacionbogota_gov_co/Documents/DIRECCION DE INSPECCION Y VIGILANCIA/DIV POAIV/POAIV 2025/ELIV RAFAEL URIBE URIBE/PRIORIZADOS/TRIMI/27-03-2025 Robert Owen.pdf?csf=1&amp;web=1&amp;e=hydKF7" xr:uid="{6E0B14D7-542A-4D44-8D32-462052270BDA}"/>
    <hyperlink ref="Q1525" r:id="rId1553" display="../../../../../../../:b:/r/personal/comunicacionesdiveliv_educacionbogota_gov_co/Documents/DIRECCION DE INSPECCION Y VIGILANCIA/DIV POAIV/POAIV 2025/ELIV RAFAEL URIBE URIBE/PRIORIZADOS/TRIM II/1-04-2025 Nuevo Liceo Santa Clara.pdf?csf=1&amp;web=1&amp;e=T8rv4D" xr:uid="{5D6E1A33-89A3-42A5-B660-F72C775EF935}"/>
    <hyperlink ref="Q1543" r:id="rId1554" display="../../../../../../../:b:/r/personal/comunicacionesdiveliv_educacionbogota_gov_co/Documents/DIRECCION DE INSPECCION Y VIGILANCIA/DIV POAIV/POAIV 2025/ELIV RAFAEL URIBE URIBE/PRIORIZADOS/TRIM II/29-04-2025 Lic Psicop San Pablo.pdf?csf=1&amp;web=1&amp;e=btaknD" xr:uid="{7826CB93-535C-499A-9B64-0484B823695E}"/>
    <hyperlink ref="Q1534" r:id="rId1555" xr:uid="{BB26CC4C-0F83-4C27-90ED-46C989030FCF}"/>
    <hyperlink ref="Q1535" r:id="rId1556" xr:uid="{C605DEEE-4378-4D4C-8729-418729AEAA20}"/>
    <hyperlink ref="Q1536" r:id="rId1557" xr:uid="{CA4212D1-9797-41DB-806E-0A6528127035}"/>
    <hyperlink ref="Q1537" r:id="rId1558" xr:uid="{8093890D-530C-4ACD-A619-D9617BE32ABB}"/>
    <hyperlink ref="Q1538" r:id="rId1559" xr:uid="{3F24DEC5-D364-4F62-AB1F-68AEB2BB4CBA}"/>
    <hyperlink ref="Q1539" r:id="rId1560" xr:uid="{EFE6A930-9AA3-4946-86F7-A277BDEDA6E5}"/>
    <hyperlink ref="Q1540" r:id="rId1561" xr:uid="{AF21A0FD-99E5-4493-BB89-9D2BE093335C}"/>
    <hyperlink ref="Q1541" r:id="rId1562" xr:uid="{94118352-655D-47EE-8D6C-2018163E73DE}"/>
    <hyperlink ref="Q1542" r:id="rId1563" xr:uid="{528EC8FC-04C5-4615-A5A6-CB7545E3CCAF}"/>
    <hyperlink ref="Q1553" r:id="rId1564" display="../../../../../../../:b:/r/personal/comunicacionesdiveliv_educacionbogota_gov_co/Documents/DIRECCION DE INSPECCION Y VIGILANCIA/DIV POAIV/POAIV 2025/ELIV RAFAEL URIBE URIBE/PRIORIZADOS/TRIM II/9-05-2025 Liceo Juan Miguel.pdf?csf=1&amp;web=1&amp;e=ePfKvd" xr:uid="{58441DC0-4710-4C5A-9818-6D4867EE1705}"/>
    <hyperlink ref="Q1562" r:id="rId1565" display="../../../../../../../:b:/r/personal/comunicacionesdiveliv_educacionbogota_gov_co/Documents/DIRECCION DE INSPECCION Y VIGILANCIA/DIV POAIV/POAIV 2025/ELIV RAFAEL URIBE URIBE/PRIORIZADOS/TRIM II/14 y 20 Mayo 2025 Cristiano de Colombia.pdf?csf=1&amp;web=1&amp;e=UjPSLs" xr:uid="{6CBB8DAB-F8B7-4D76-AFD3-8FFC8B244C77}"/>
    <hyperlink ref="Q1581" r:id="rId1566" display="../../../../../../../:b:/r/personal/comunicacionesdiveliv_educacionbogota_gov_co/Documents/DIRECCION DE INSPECCION Y VIGILANCIA/DIV POAIV/POAIV 2025/ELIV RAFAEL URIBE URIBE/PRIORIZADOS/TRIM II/6 y 11 junio 2025 Feyser Gordillo.pdf?csf=1&amp;web=1&amp;e=w3Ybix" xr:uid="{A01E0EA8-84D9-4B6F-8A08-597A171706C6}"/>
    <hyperlink ref="Q1572" r:id="rId1567" xr:uid="{E42C0A1C-DB97-40BF-A1A5-ECAC14451346}"/>
    <hyperlink ref="Q1573:Q1580" r:id="rId1568" display="17 y 24 junio 2025 Liceo Mayor Palermo.pdf" xr:uid="{BB70BB0F-9135-42B1-89F0-2461BADDFA2D}"/>
    <hyperlink ref="Q1591" r:id="rId1569" display="../../../../../../../:b:/r/personal/comunicacionesdiveliv_educacionbogota_gov_co/Documents/DIRECCION DE INSPECCION Y VIGILANCIA/DIV POAIV/POAIV 2025/ELIV RAFAEL URIBE URIBE/PRIORIZADOS/TRIM II/11 y 16 junio 2025 Danilo Cifuentes.pdf?csf=1&amp;web=1&amp;e=ZGfenX" xr:uid="{C205ECB1-720B-414D-89B7-1CDBE88BAFD4}"/>
    <hyperlink ref="Q1609" r:id="rId1570" xr:uid="{F1491456-112F-4505-83A0-EBA77855E3CD}"/>
    <hyperlink ref="Q1610:Q1617" r:id="rId1571" display="15 y 17 Julio 2025 Principio Sabiduría.pdf" xr:uid="{554939E1-D8CC-4E82-841A-6F9C37968991}"/>
    <hyperlink ref="Q1618" r:id="rId1572" xr:uid="{F77E9F1F-ED1D-47B0-B385-54A1D5CA92E1}"/>
    <hyperlink ref="Q1619" r:id="rId1573" xr:uid="{30937896-B0E4-4B98-B347-E8FA685D16C7}"/>
    <hyperlink ref="Q1620" r:id="rId1574" xr:uid="{8C918911-F725-46A8-8FA7-BA8AFD5B5907}"/>
    <hyperlink ref="Q1621" r:id="rId1575" xr:uid="{67EF425B-20A5-44A1-87B0-C52E1F56A7AB}"/>
    <hyperlink ref="Q1622" r:id="rId1576" xr:uid="{71DD17A5-0B6E-416C-9E73-BC5525A0F790}"/>
    <hyperlink ref="Q1623" r:id="rId1577" xr:uid="{950057CD-F908-465E-B772-E066E54100A2}"/>
    <hyperlink ref="Q1624" r:id="rId1578" xr:uid="{91FE3E1B-7B55-4925-BA10-4CF96A048EED}"/>
    <hyperlink ref="Q1625" r:id="rId1579" xr:uid="{4468DA66-C932-41C0-9C16-8B096AD91911}"/>
    <hyperlink ref="Q1626" r:id="rId1580" xr:uid="{27F11079-71C5-4DD9-8095-54E8D0907C2B}"/>
    <hyperlink ref="Q1627" r:id="rId1581" xr:uid="{4A2C011D-AB17-435D-A054-14722710A77A}"/>
    <hyperlink ref="Q1628" r:id="rId1582" xr:uid="{4916516D-7845-4A34-9458-E7FBECE129D9}"/>
    <hyperlink ref="Q1629" r:id="rId1583" xr:uid="{E38787F8-AC64-45E2-A9A4-CEE14614EE06}"/>
    <hyperlink ref="Q1630" r:id="rId1584" xr:uid="{FF605FEE-CED3-4DC7-A161-6DF52C9F527F}"/>
    <hyperlink ref="Q1631" r:id="rId1585" xr:uid="{6B7DCC9D-0559-40A6-B3C0-A31AF785BF5C}"/>
    <hyperlink ref="Q1632" r:id="rId1586" xr:uid="{463C251E-557F-4405-BF7A-163B2F40D2CF}"/>
    <hyperlink ref="Q1633" r:id="rId1587" xr:uid="{4DF27C68-1E00-4ACD-BA04-1621DC08988C}"/>
    <hyperlink ref="Q1634" r:id="rId1588" xr:uid="{60A4077E-9DE1-4775-A9C1-37E715827326}"/>
    <hyperlink ref="Q1635" r:id="rId1589" xr:uid="{302B3426-1B7D-4BEE-81D6-B15D317BB58A}"/>
    <hyperlink ref="Q1636" r:id="rId1590" xr:uid="{0C5FD23C-5EE0-4D6A-8130-D26B1032633E}"/>
    <hyperlink ref="Q1637:Q1644" r:id="rId1591" display="5 y 11 agosto Lic Parroq San Jose.pdf" xr:uid="{A93C25A7-6A5F-42DA-8824-195324C290BE}"/>
    <hyperlink ref="Q1645" r:id="rId1592" display="../../../../../../../:b:/r/personal/comunicacionesdiveliv_educacionbogota_gov_co/Documents/DIRECCION DE INSPECCION Y VIGILANCIA/DIV POAIV/POAIV 2025/ELIV RAFAEL URIBE URIBE/PRIORIZADOS/TRIM II/11-04-2025 Alexander Fleming.pdf?csf=1&amp;web=1&amp;e=VWrsYo" xr:uid="{17014164-48C0-4F59-A4AF-C08BC31E2BE6}"/>
    <hyperlink ref="Q1653" r:id="rId1593" xr:uid="{B347F038-7A22-4A14-8A1C-10847E11E875}"/>
    <hyperlink ref="Q1654:Q1660" r:id="rId1594" display="Sept 16 Misael Pastrana.pdf" xr:uid="{15317001-CF86-49B9-B681-98F9E9F8134F}"/>
    <hyperlink ref="Q1661" r:id="rId1595" xr:uid="{ADBDA834-A7BE-439A-A7A9-EA1400141988}"/>
    <hyperlink ref="Q1662" r:id="rId1596" xr:uid="{9C0DB43C-CD08-4F56-8A91-69F23A2C4334}"/>
    <hyperlink ref="Q1663" r:id="rId1597" xr:uid="{AE2A48EC-F100-493B-ADB7-C934A54A8130}"/>
    <hyperlink ref="Q1664" r:id="rId1598" xr:uid="{E8C2BE7D-2CCC-4269-899D-CBB7271DE30F}"/>
    <hyperlink ref="Q1665" r:id="rId1599" xr:uid="{38758C1D-F53A-4485-89E0-84FA88A4DDC0}"/>
    <hyperlink ref="Q1666" r:id="rId1600" xr:uid="{D6A1E16B-F75C-42B0-841D-9F82DD4A0C99}"/>
    <hyperlink ref="Q1667" r:id="rId1601" xr:uid="{3AB1F82C-1451-4A13-B34F-B084CEE09471}"/>
    <hyperlink ref="Q1668" r:id="rId1602" xr:uid="{65A37A1B-6782-4345-B060-B2D93E807125}"/>
    <hyperlink ref="Q1669" r:id="rId1603" display="../../../../../../../:b:/r/personal/comunicacionesdiveliv_educacionbogota_gov_co/Documents/DIRECCION DE INSPECCION Y VIGILANCIA/DIV POAIV/POAIV 2025/ELIV RAFAEL URIBE URIBE/PRIORIZADOS/TRIM II/21 y 26 Mayo 2025 Gimnasio Nuestra Se%C3%B1ora Esperanza.pdf?csf=1&amp;web=1&amp;e=OcIpJK" xr:uid="{88E32EF8-6E3E-4903-BEFB-3875FBF1F5B5}"/>
    <hyperlink ref="Q1946" r:id="rId1604" xr:uid="{1F166D14-AB6D-4BFE-AB1A-5B64A855101F}"/>
    <hyperlink ref="Q1947" r:id="rId1605" xr:uid="{62D6E1D9-506A-46F0-9E65-920F5510D7D1}"/>
    <hyperlink ref="Q1948" r:id="rId1606" xr:uid="{EF14CD50-2864-4CC8-898A-D49C4D66EF61}"/>
    <hyperlink ref="Q1949" r:id="rId1607" xr:uid="{6E54081F-5A49-4465-9C07-4109B4755D63}"/>
    <hyperlink ref="Q1950:Q1951" r:id="rId1608" display="2025 08 27 CENTRO ANDINO ESTUDIOS" xr:uid="{E94DD3EC-EDDD-4853-A3A2-605F942D8805}"/>
    <hyperlink ref="Q1961" r:id="rId1609" xr:uid="{C3ED41BC-EE7D-4536-96C8-863726114756}"/>
    <hyperlink ref="Q1962" r:id="rId1610" xr:uid="{C13D2F93-365D-4E95-B90F-A2A1D73C1B44}"/>
    <hyperlink ref="Q1963" r:id="rId1611" xr:uid="{4E00A7E7-2FFF-4F51-95C4-2E45EFE0E75F}"/>
    <hyperlink ref="Q1964" r:id="rId1612" xr:uid="{E65F23E5-8D1B-4457-A466-FAC8DA348F83}"/>
    <hyperlink ref="Q1965" r:id="rId1613" xr:uid="{010F478E-031E-4B02-9D55-94FB2F434B5A}"/>
    <hyperlink ref="Q1966" r:id="rId1614" xr:uid="{9983D551-D546-40F2-A2DA-547229394FC2}"/>
    <hyperlink ref="Q1967" r:id="rId1615" xr:uid="{41D48FE5-64BF-45E7-9F7C-188B79003A38}"/>
    <hyperlink ref="Q1968" r:id="rId1616" xr:uid="{3C0326F8-161D-48C4-95EA-8CFA15CAD8F1}"/>
    <hyperlink ref="Q1969" r:id="rId1617" xr:uid="{165C444D-590C-4EB9-B977-A4D6B1B6D38B}"/>
    <hyperlink ref="Q2073" r:id="rId1618" display="../../../../../../../:b:/r/personal/comunicacionesdiveliv_educacionbogota_gov_co/Documents/DIRECCION DE INSPECCION Y VIGILANCIA/DIV POAIV/POAIV 2025/ELIV SUBA/PRIORIZADOS/TRIMI/28032025 Instituto Central de estudios.pdf?csf=1&amp;web=1&amp;e=yZI4nr" xr:uid="{569D5BA8-9D46-4E4C-924C-C31D8879CD9C}"/>
    <hyperlink ref="Q2074:Q2081" r:id="rId1619" display="../../../../../../../:b:/r/personal/comunicacionesdiveliv_educacionbogota_gov_co/Documents/DIRECCION DE INSPECCION Y VIGILANCIA/DIV POAIV/POAIV 2025/ELIV SUBA/PRIORIZADOS/TRIMI/28032025 Instituto Central de estudios.pdf?csf=1&amp;web=1&amp;e=yZI4nr" xr:uid="{98C767DB-1165-4553-83C5-AA5CE6C13F34}"/>
    <hyperlink ref="Q2308:Q2315" r:id="rId1620" display="../../../../../../../:b:/r/personal/comunicacionesdiveliv_educacionbogota_gov_co/Documents/DIRECCION DE INSPECCION Y VIGILANCIA/DIV POAIV/POAIV 2025/ELIV SUBA/PRIORIZADOS/TRIMI/26032025 Col santo Toribo de Mongrovejo.pdf?csf=1&amp;web=1&amp;e=jMZorD" xr:uid="{A6BD5F4E-E3D2-4736-AC36-0C865F46AD0E}"/>
    <hyperlink ref="Q2145" r:id="rId1621" display="../../../../../../../:b:/r/personal/comunicacionesdiveliv_educacionbogota_gov_co/Documents/DIRECCION DE INSPECCION Y VIGILANCIA/DIV POAIV/POAIV 2025/ELIV SUBA/PRIORIZADOS/TRIM II/29042025 Visita Gim moderno futuro.pdf?csf=1&amp;web=1&amp;e=ACE8m4" xr:uid="{15F41D30-05E6-4A21-98CD-8A8821D6E731}"/>
    <hyperlink ref="Q2146:Q2153" r:id="rId1622" display="../../../../../../../:b:/r/personal/comunicacionesdiveliv_educacionbogota_gov_co/Documents/DIRECCION DE INSPECCION Y VIGILANCIA/DIV POAIV/POAIV 2025/ELIV SUBA/PRIORIZADOS/TRIM II/29042025 Visita Gim moderno futuro.pdf?csf=1&amp;web=1&amp;e=ACE8m4" xr:uid="{BA9D175A-F141-457E-8472-5F947C65F842}"/>
    <hyperlink ref="Q2343" r:id="rId1623" xr:uid="{CB0B1747-20D9-4885-8F64-A0E0AF8815B6}"/>
    <hyperlink ref="Q2344" r:id="rId1624" xr:uid="{40A93B89-510E-4248-B86A-3CCD74E825B9}"/>
    <hyperlink ref="Q2345" r:id="rId1625" xr:uid="{D4039B1F-8EE6-43E2-965D-388B7B59E477}"/>
    <hyperlink ref="Q2346" r:id="rId1626" xr:uid="{68769E03-6F3A-414A-B435-66E83DE1FC5A}"/>
    <hyperlink ref="Q2347" r:id="rId1627" xr:uid="{19B0B237-141A-4148-BDC3-9F5AD780F4C9}"/>
    <hyperlink ref="Q2348" r:id="rId1628" xr:uid="{5C7E3DB1-6AB7-4048-B28B-7A5CC9960981}"/>
    <hyperlink ref="Q2349" r:id="rId1629" xr:uid="{A32D35DF-C31B-4296-9A87-C435EF0C843B}"/>
    <hyperlink ref="Q2172" r:id="rId1630" display="../../../../../../../:b:/r/personal/comunicacionesdiveliv_educacionbogota_gov_co/Documents/DIRECCION DE INSPECCION Y VIGILANCIA/DIV POAIV/POAIV 2025/ELIV SUBA/PRIORIZADOS/TRIM II/Acta de Visita Integral LICEO HOMERICO.pdf?csf=1&amp;web=1&amp;e=fqb0rJ" xr:uid="{FBB64B72-C726-4141-A9FF-F533066CCE1E}"/>
    <hyperlink ref="Q2173:Q2180" r:id="rId1631" display="../../../../../../../:b:/r/personal/comunicacionesdiveliv_educacionbogota_gov_co/Documents/DIRECCION DE INSPECCION Y VIGILANCIA/DIV POAIV/POAIV 2025/ELIV SUBA/PRIORIZADOS/TRIM II/Acta de Visita Integral LICEO HOMERICO.pdf?csf=1&amp;web=1&amp;e=fqb0rJ" xr:uid="{013A6AB9-450A-4E51-93BB-ED480DF5BCE6}"/>
    <hyperlink ref="Q2118" r:id="rId1632" display="../../../../../../../:b:/r/personal/comunicacionesdiveliv_educacionbogota_gov_co/Documents/DIRECCION DE INSPECCION Y VIGILANCIA/DIV POAIV/POAIV 2025/ELIV SUBA/PRIORIZADOS/TRIM II/01042025 colegio reina de gales.pdf?csf=1&amp;web=1&amp;e=QIMIcy" xr:uid="{271EF28C-8E80-4893-AAD8-6DDD297F6CC4}"/>
    <hyperlink ref="Q2119:Q2126" r:id="rId1633" display="../../../../../../../:b:/r/personal/comunicacionesdiveliv_educacionbogota_gov_co/Documents/DIRECCION DE INSPECCION Y VIGILANCIA/DIV POAIV/POAIV 2025/ELIV SUBA/PRIORIZADOS/TRIM II/01042025 colegio reina de gales.pdf?csf=1&amp;web=1&amp;e=QIMIcy" xr:uid="{0491CFF6-0A63-4C4D-AD0F-1980309672F4}"/>
    <hyperlink ref="Q2190" r:id="rId1634" display="../../../../../../../:b:/r/personal/comunicacionesdiveliv_educacionbogota_gov_co/Documents/DIRECCION DE INSPECCION Y VIGILANCIA/DIV POAIV/POAIV 2025/ELIV SUBA/PRIORIZADOS/TRIM II/03042025 GIMNASIO ESPECIALIZADO DEL NORTE.pdf?csf=1&amp;web=1&amp;e=QbJdmb" xr:uid="{203B65AA-2CC9-4505-A2FE-0A0E24CFA2BE}"/>
    <hyperlink ref="Q2191:Q2198" r:id="rId1635" display="../../../../../../../:b:/r/personal/comunicacionesdiveliv_educacionbogota_gov_co/Documents/DIRECCION DE INSPECCION Y VIGILANCIA/DIV POAIV/POAIV 2025/ELIV SUBA/PRIORIZADOS/TRIM II/03042025 GIMNASIO ESPECIALIZADO DEL NORTE.pdf?csf=1&amp;web=1&amp;e=QbJdmb" xr:uid="{14206F3D-1C56-449E-B29C-A31EA0CE6C32}"/>
    <hyperlink ref="Q2226" r:id="rId1636" display="../../../../../../../:b:/r/personal/comunicacionesdiveliv_educacionbogota_gov_co/Documents/DIRECCION DE INSPECCION Y VIGILANCIA/DIV POAIV/POAIV 2025/ELIV SUBA/PRIORIZADOS/TRIM II/29042025 Acta gim campestre de guilford.pdf?csf=1&amp;web=1&amp;e=NiWHHu" xr:uid="{5D27D2E5-395F-4A0F-AA96-6BD98BDC35F8}"/>
    <hyperlink ref="Q2227:Q2234" r:id="rId1637" display="../../../../../../../:b:/r/personal/comunicacionesdiveliv_educacionbogota_gov_co/Documents/DIRECCION DE INSPECCION Y VIGILANCIA/DIV POAIV/POAIV 2025/ELIV SUBA/PRIORIZADOS/TRIM II/29042025 Acta gim campestre de guilford.pdf?csf=1&amp;web=1&amp;e=NiWHHu" xr:uid="{515B1865-91D6-4B9F-8739-61FAD2D0DBE9}"/>
    <hyperlink ref="Q2082" r:id="rId1638" display="../../../../../../../:b:/r/personal/comunicacionesdiveliv_educacionbogota_gov_co/Documents/DIRECCION DE INSPECCION Y VIGILANCIA/DIV POAIV/POAIV 2025/ELIV SUBA/PRIORIZADOS/TRIM II/23042025 acta visita Gimnasio Franciscano de Suba.pdf?csf=1&amp;web=1&amp;e=DZnptm" xr:uid="{719AE1B8-FE33-494D-8676-6495A6109222}"/>
    <hyperlink ref="Q2181" r:id="rId1639" display="../../../../../../../:b:/r/personal/comunicacionesdiveliv_educacionbogota_gov_co/Documents/DIRECCION DE INSPECCION Y VIGILANCIA/DIV POAIV/POAIV 2025/ELIV SUBA/PRIORIZADOS/TRIM II/13052025 Acta de visita administrativa Liceo Riobamba.pdf?csf=1&amp;web=1&amp;e=ZHPqdn" xr:uid="{7D7F3472-F37A-4FAF-989E-3396FF6BA970}"/>
    <hyperlink ref="Q2182:Q2189" r:id="rId1640" display="../../../../../../../:b:/r/personal/comunicacionesdiveliv_educacionbogota_gov_co/Documents/DIRECCION DE INSPECCION Y VIGILANCIA/DIV POAIV/POAIV 2025/ELIV SUBA/PRIORIZADOS/TRIM II/13052025 Acta de visita administrativa Liceo Riobamba.pdf?csf=1&amp;web=1&amp;e=ZHPqdn" xr:uid="{A67547B0-C5A3-4429-B55C-1916E358338D}"/>
    <hyperlink ref="Q2154:Q2162" r:id="rId1641" display="../../../../../../../:b:/r/personal/comunicacionesdiveliv_educacionbogota_gov_co/Documents/DIRECCION DE INSPECCION Y VIGILANCIA/DIV POAIV/POAIV 2025/ELIV SUBA/PRIORIZADOS/TRIM II/23052025 Acta de visita Colegio Instituto Santiago de Compostela.pdf?csf=1&amp;web=1&amp;e=x0epHo" xr:uid="{2C58652C-B961-4704-A1B7-A980CBE4D903}"/>
    <hyperlink ref="Q2342" r:id="rId1642" xr:uid="{CF20A132-9E5C-46FB-A17E-DA5A109E4F48}"/>
    <hyperlink ref="Q2334" r:id="rId1643" display="../../../../../../../:b:/r/personal/comunicacionesdiveliv_educacionbogota_gov_co/Documents/DIRECCION DE INSPECCION Y VIGILANCIA/DIV POAIV/POAIV 2025/ELIV SUBA/PRIORIZADOS/TRIM II/ACTA DE VISITA COLEGIO %C3%81LVARO G%C3%93MEZ HURTADO.pdf?csf=1&amp;web=1&amp;e=JUqTbx" xr:uid="{B83C48D7-2C8B-4BAB-942F-5D0721921F78}"/>
    <hyperlink ref="Q2335:Q2341" r:id="rId1644" display="../../../../../../../:b:/r/personal/comunicacionesdiveliv_educacionbogota_gov_co/Documents/DIRECCION DE INSPECCION Y VIGILANCIA/DIV POAIV/POAIV 2025/ELIV SUBA/PRIORIZADOS/TRIM II/ACTA DE VISITA COLEGIO %C3%81LVARO G%C3%93MEZ HURTADO.pdf?csf=1&amp;web=1&amp;e=JUqTbx" xr:uid="{D1A42007-076D-4B61-A5A8-14FF9EA8B7C0}"/>
    <hyperlink ref="Q2136" r:id="rId1645" display="../../../../../../../:b:/r/personal/comunicacionesdiveliv_educacionbogota_gov_co/Documents/DIRECCION DE INSPECCION Y VIGILANCIA/DIV POAIV/POAIV 2025/ELIV SUBA/PRIORIZADOS/TRIM II/ACTA DE VISITA COLEGIO VAN LEEUWENHOEK.pdf?csf=1&amp;web=1&amp;e=FJuiAI" xr:uid="{2130896D-A9AA-48C1-859B-A5EAA5B204C1}"/>
    <hyperlink ref="Q2137" r:id="rId1646" display="../../../../../../../:b:/r/personal/comunicacionesdiveliv_educacionbogota_gov_co/Documents/DIRECCION DE INSPECCION Y VIGILANCIA/DIV POAIV/POAIV 2025/ELIV SUBA/PRIORIZADOS/TRIM II/ACTA DE VISITA COLEGIO VAN LEEUWENHOEK.pdf?csf=1&amp;web=1&amp;e=FJuiAI" xr:uid="{C3A4ADC9-02F8-4E91-B4FB-B64E9085EB76}"/>
    <hyperlink ref="Q2138:Q2143" r:id="rId1647" display="../../../../../../../:b:/r/personal/comunicacionesdiveliv_educacionbogota_gov_co/Documents/DIRECCION DE INSPECCION Y VIGILANCIA/DIV POAIV/POAIV 2025/ELIV SUBA/PRIORIZADOS/TRIM II/ACTA DE VISITA COLEGIO VAN LEEUWENHOEK.pdf?csf=1&amp;web=1&amp;e=FJuiAI" xr:uid="{F407173F-54A4-484A-B65A-A14B5E34850E}"/>
    <hyperlink ref="Q2144" r:id="rId1648" display="../../../../../../../:b:/r/personal/comunicacionesdiveliv_educacionbogota_gov_co/Documents/DIRECCION DE INSPECCION Y VIGILANCIA/DIV POAIV/POAIV 2025/ELIV SUBA/PRIORIZADOS/TRIM II/ACTA DE VISITA COLEGIO VAN LEEUWENHOEK.pdf?csf=1&amp;web=1&amp;e=FJuiAI" xr:uid="{EC286C3D-2F16-4BD5-AE38-7318E4DAAE30}"/>
    <hyperlink ref="Q2244" r:id="rId1649" xr:uid="{1D33B7B6-848B-48ED-BFB7-E275FE319E52}"/>
    <hyperlink ref="Q2245" r:id="rId1650" xr:uid="{DCC70BBE-52BF-4DFB-ADB2-2642CFC9E066}"/>
    <hyperlink ref="Q2246" r:id="rId1651" xr:uid="{EDA176BC-7F74-485F-B508-67CFD710C52F}"/>
    <hyperlink ref="Q2247" r:id="rId1652" xr:uid="{E906163D-AE63-4547-9C5F-4CE0EBC6DF8C}"/>
    <hyperlink ref="Q2248" r:id="rId1653" xr:uid="{7F5317A8-FAC5-4A9E-A585-1B24574D21BB}"/>
    <hyperlink ref="Q2249" r:id="rId1654" xr:uid="{36D0861C-2542-423E-9A1E-22467FFA44DF}"/>
    <hyperlink ref="Q2250" r:id="rId1655" xr:uid="{A896F2CD-3D85-4365-82BF-6C46B1E2462C}"/>
    <hyperlink ref="Q2251" r:id="rId1656" xr:uid="{5D242BA9-ED69-4D0A-977C-3B6767B8BCC0}"/>
    <hyperlink ref="Q2252" r:id="rId1657" xr:uid="{85254806-3C1F-4BE1-A4F4-F9342DEF36A3}"/>
    <hyperlink ref="Q2100" r:id="rId1658" xr:uid="{5267D66B-4ED5-46EA-8053-8B66230F3EB4}"/>
    <hyperlink ref="Q2101:Q2108" r:id="rId1659" display="30062025 acta visita col eduardo caballero calderon.pdf" xr:uid="{E9185970-8B6D-4C8B-A422-2607D5B33F64}"/>
    <hyperlink ref="Q2253" r:id="rId1660" display="../../../../../../../:b:/r/personal/comunicacionesdiveliv_educacionbogota_gov_co/Documents/DIRECCION DE INSPECCION Y VIGILANCIA/DIV POAIV/POAIV 2025/ELIV SUBA/PRIORIZADOS/TRIM II/ACTA VISITA INTEGRAL INST TEC COM CERROS DE SUBRA Jun10_2025.pdf?csf=1&amp;web=1&amp;e=oDw1MS" xr:uid="{5EB0E199-D3E3-4C13-9DD6-D3FC30AA172D}"/>
    <hyperlink ref="Q2254" r:id="rId1661" display="../../../../../../../:b:/r/personal/comunicacionesdiveliv_educacionbogota_gov_co/Documents/DIRECCION DE INSPECCION Y VIGILANCIA/DIV POAIV/POAIV 2025/ELIV SUBA/PRIORIZADOS/TRIM II/ACTA VISITA INTEGRAL INST TEC COM CERROS DE SUBRA Jun10_2025.pdf?csf=1&amp;web=1&amp;e=oDw1MS" xr:uid="{991245D0-6FCC-4B19-A2AA-A8EF672315DB}"/>
    <hyperlink ref="Q2255:Q2261" r:id="rId1662" display="../../../../../../../:b:/r/personal/comunicacionesdiveliv_educacionbogota_gov_co/Documents/DIRECCION DE INSPECCION Y VIGILANCIA/DIV POAIV/POAIV 2025/ELIV SUBA/PRIORIZADOS/TRIM II/ACTA VISITA INTEGRAL INST TEC COM CERROS DE SUBRA Jun10_2025.pdf?csf=1&amp;web=1&amp;e=oDw1MS" xr:uid="{0FCBA011-4B6B-4D7F-8997-FAC8807DA331}"/>
    <hyperlink ref="Q2036" r:id="rId1663" xr:uid="{B3DB3B0E-0CC6-4F62-9FED-4D89AC5A159C}"/>
    <hyperlink ref="Q2037" r:id="rId1664" xr:uid="{E9995F52-87D7-4492-A7B4-BD92A5933F07}"/>
    <hyperlink ref="Q2038" r:id="rId1665" xr:uid="{FB88C034-3302-4DC7-8C08-C071EA3F8D40}"/>
    <hyperlink ref="Q2039" r:id="rId1666" xr:uid="{D6EEA0EB-A577-4582-8AC0-90750BCA9361}"/>
    <hyperlink ref="Q2040" r:id="rId1667" xr:uid="{720DFB1B-D748-4652-94BA-2FF97E79A06A}"/>
    <hyperlink ref="Q2041" r:id="rId1668" xr:uid="{C1288A9C-F679-497A-AB16-D8CA059B4DD6}"/>
    <hyperlink ref="Q2042" r:id="rId1669" xr:uid="{79EE5794-FC76-4B99-9033-6A4C00EE44CC}"/>
    <hyperlink ref="Q2043" r:id="rId1670" xr:uid="{2C9A992A-C427-48CE-BAE9-7C228678EDDC}"/>
    <hyperlink ref="Q2044" r:id="rId1671" xr:uid="{F1EDAF51-1AF9-460F-BC93-147684DD569B}"/>
    <hyperlink ref="Q2054" r:id="rId1672" xr:uid="{B0519AC7-4A8B-45D2-A966-1C534858D3AB}"/>
    <hyperlink ref="Q2055" r:id="rId1673" xr:uid="{6D960074-3703-44C2-8227-55BDC74A8364}"/>
    <hyperlink ref="Q2056" r:id="rId1674" xr:uid="{57AECC79-760C-461C-83FC-238385FB3198}"/>
    <hyperlink ref="Q2057" r:id="rId1675" xr:uid="{77A4F672-8549-46D7-A9C3-C825E7C8C57B}"/>
    <hyperlink ref="Q2058" r:id="rId1676" xr:uid="{190C9EA9-8948-4678-8B09-33897742C127}"/>
    <hyperlink ref="Q2059" r:id="rId1677" xr:uid="{29B7FD1C-93C8-4A3F-A2DE-4DAA4947564C}"/>
    <hyperlink ref="Q2060" r:id="rId1678" xr:uid="{3159212E-DE84-484C-AD4B-BEA3F8E003BA}"/>
    <hyperlink ref="Q2061" r:id="rId1679" xr:uid="{B2B4A562-E58D-465E-91FE-6C2B040E6CEA}"/>
    <hyperlink ref="Q2062" r:id="rId1680" xr:uid="{716C6DC8-C21F-450F-8898-17A31D346136}"/>
    <hyperlink ref="Q2127" r:id="rId1681" xr:uid="{9417C235-B65C-4E0B-B2A2-B4A08B68D6A0}"/>
    <hyperlink ref="Q2128" r:id="rId1682" xr:uid="{6AA5DA2C-1257-4167-ABD9-ACEADBCCB2A5}"/>
    <hyperlink ref="Q2129" r:id="rId1683" xr:uid="{09EE7191-5692-4CCF-BC93-92C8C5885354}"/>
    <hyperlink ref="Q2130" r:id="rId1684" xr:uid="{52E7D16C-0228-43D8-800C-5C693895AC5B}"/>
    <hyperlink ref="Q2131" r:id="rId1685" xr:uid="{BC3B2076-D3B5-4FE5-A29D-1162966218C9}"/>
    <hyperlink ref="Q2132" r:id="rId1686" xr:uid="{4D291883-A057-4528-A41F-F6AFED4B0A8B}"/>
    <hyperlink ref="Q2133" r:id="rId1687" xr:uid="{52B8023E-D185-446A-9506-A9E75F68E77B}"/>
    <hyperlink ref="Q2134" r:id="rId1688" xr:uid="{D1C27F49-D961-43EC-9111-FEBA9F2458C1}"/>
    <hyperlink ref="Q2135" r:id="rId1689" xr:uid="{0BA0C4A8-D71C-4765-8B0E-437422785F5C}"/>
    <hyperlink ref="Q2262" r:id="rId1690" xr:uid="{C2B7093F-8CAB-40AA-A0A1-E2DD622BE922}"/>
    <hyperlink ref="Q2263" r:id="rId1691" xr:uid="{A20A9114-9445-4C5F-AFAB-4A04B95F5CF5}"/>
    <hyperlink ref="Q2264" r:id="rId1692" xr:uid="{55AD8D6A-03B6-431A-A4EC-5C31708BD1A0}"/>
    <hyperlink ref="Q2265" r:id="rId1693" xr:uid="{C6A24B6D-A9AA-40BE-9C1C-80CCE0D6CD51}"/>
    <hyperlink ref="Q2266" r:id="rId1694" xr:uid="{6B168D23-D679-494C-8426-DA765DE01474}"/>
    <hyperlink ref="Q2267" r:id="rId1695" xr:uid="{0DE877A3-3A0C-4FF2-A853-742AF786AE89}"/>
    <hyperlink ref="Q2268" r:id="rId1696" xr:uid="{69E547B2-4F4C-4A4B-9BEF-348C837ED403}"/>
    <hyperlink ref="Q2269" r:id="rId1697" xr:uid="{3E4E3261-4FB2-4F62-9BAF-9F78CD07551F}"/>
    <hyperlink ref="Q2270" r:id="rId1698" xr:uid="{0A048FBA-5DCE-4A93-BB7E-333F6D4BAD3D}"/>
    <hyperlink ref="Q2018" r:id="rId1699" xr:uid="{21B8205D-5407-41DF-9FEB-6025DDB45521}"/>
    <hyperlink ref="Q2019" r:id="rId1700" xr:uid="{97D0BFF6-F298-4EFE-A67F-B2823389582D}"/>
    <hyperlink ref="Q2020" r:id="rId1701" xr:uid="{7292AEC5-3CA7-4708-8287-BF06CD5B9DF3}"/>
    <hyperlink ref="Q2021" r:id="rId1702" xr:uid="{17493AFE-E901-489E-B4D0-95E2C49E9B5D}"/>
    <hyperlink ref="Q2022" r:id="rId1703" xr:uid="{9BA8CDFA-0DA2-4F3E-B4C9-8C6E94B15009}"/>
    <hyperlink ref="Q2023" r:id="rId1704" xr:uid="{284181F1-4277-4C30-8172-845066B28C02}"/>
    <hyperlink ref="Q2024" r:id="rId1705" xr:uid="{3BB7BFC1-35F8-45C2-BC77-15B8DF4D0180}"/>
    <hyperlink ref="Q2025" r:id="rId1706" xr:uid="{C516A469-9D1A-4198-A8A4-CCD10969510C}"/>
    <hyperlink ref="Q2026" r:id="rId1707" xr:uid="{2F92904E-AC2B-43DE-BF51-BB45DF43E7C9}"/>
    <hyperlink ref="Q2017" r:id="rId1708" xr:uid="{CBB5662E-1AEE-4B4E-AEE9-95A292D36259}"/>
    <hyperlink ref="Q2045" r:id="rId1709" display="../../../../../../../:b:/r/personal/comunicacionesdiveliv_educacionbogota_gov_co/Documents/DIRECCION DE INSPECCION Y VIGILANCIA/DIV POAIV/POAIV 2025/ELIV SUBA/PRIORIZADOS/TRIM III/acta visita col CENCOSISTEMAS.pdf?csf=1&amp;web=1&amp;e=KKGIsx" xr:uid="{16DAA11D-7AD8-4127-8408-FC2046211F17}"/>
    <hyperlink ref="Q2046" r:id="rId1710" display="../../../../../../../:b:/r/personal/comunicacionesdiveliv_educacionbogota_gov_co/Documents/DIRECCION DE INSPECCION Y VIGILANCIA/DIV POAIV/POAIV 2025/ELIV SUBA/PRIORIZADOS/TRIM III/acta visita col CENCOSISTEMAS.pdf?csf=1&amp;web=1&amp;e=KKGIsx" xr:uid="{9B7CDD83-ED63-4A30-B34D-B9E3089FC7B3}"/>
    <hyperlink ref="Q2047:Q2053" r:id="rId1711" display="../../../../../../../:b:/r/personal/comunicacionesdiveliv_educacionbogota_gov_co/Documents/DIRECCION DE INSPECCION Y VIGILANCIA/DIV POAIV/POAIV 2025/ELIV SUBA/PRIORIZADOS/TRIM III/acta visita col CENCOSISTEMAS.pdf?csf=1&amp;web=1&amp;e=KKGIsx" xr:uid="{8D3838B2-93B7-49B8-9031-20C222FBB3E2}"/>
    <hyperlink ref="Q2063" r:id="rId1712" display="../../../../../../../:b:/r/personal/comunicacionesdiveliv_educacionbogota_gov_co/Documents/DIRECCION DE INSPECCION Y VIGILANCIA/DIV POAIV/POAIV 2025/ELIV SUBA/PRIORIZADOS/TRIM III/ACTA DE VISITA INST INTEGRADO DE SUBA.pdf?csf=1&amp;web=1&amp;e=OznwHT" xr:uid="{4CC7A749-91B6-4785-9293-7D3E57A92B5E}"/>
    <hyperlink ref="Q2064:Q2072" r:id="rId1713" display="../../../../../../../:b:/r/personal/comunicacionesdiveliv_educacionbogota_gov_co/Documents/DIRECCION DE INSPECCION Y VIGILANCIA/DIV POAIV/POAIV 2025/ELIV SUBA/PRIORIZADOS/TRIM III/ACTA DE VISITA INST INTEGRADO DE SUBA.pdf?csf=1&amp;web=1&amp;e=OznwHT" xr:uid="{B841458F-9D21-4E7A-BE82-55E88674350D}"/>
    <hyperlink ref="Q1979" r:id="rId1714" display="../../../../../../../:b:/r/personal/comunicacionesdiveliv_educacionbogota_gov_co/Documents/DIRECCION DE INSPECCION Y VIGILANCIA/DIV POAIV/POAIV 2025/ELIV SUBA/PRIORIZADOS/TRIM III/ACTA DE VISITA INSTITUCIONAL CENTRO DE ESTUDIOS PROPYMES.pdf?csf=1&amp;web=1&amp;e=fcDdYr" xr:uid="{2BD9F4A7-63BF-4564-96E5-A58EB522E7E2}"/>
    <hyperlink ref="Q1980:Q1987" r:id="rId1715" display="../../../../../../../:b:/r/personal/comunicacionesdiveliv_educacionbogota_gov_co/Documents/DIRECCION DE INSPECCION Y VIGILANCIA/DIV POAIV/POAIV 2025/ELIV SUBA/PRIORIZADOS/TRIM III/ACTA DE VISITA INSTITUCIONAL CENTRO DE ESTUDIOS PROPYMES.pdf?csf=1&amp;web=1&amp;e=fcDdYr" xr:uid="{248C7D15-291D-4160-B874-2170C31FBD64}"/>
    <hyperlink ref="Q2271" r:id="rId1716" display="../../../../../../../:b:/r/personal/comunicacionesdiveliv_educacionbogota_gov_co/Documents/DIRECCION DE INSPECCION Y VIGILANCIA/DIV POAIV/POAIV 2025/ELIV SUBA/PRIORIZADOS/TRIM III/acta visita col bosques del nogal.pdf?csf=1&amp;web=1&amp;e=E3vJXw" xr:uid="{847CEC5D-ABAB-4D93-A928-25535896C476}"/>
    <hyperlink ref="Q2272:Q2275" r:id="rId1717" display="../../../../../../../:b:/r/personal/comunicacionesdiveliv_educacionbogota_gov_co/Documents/DIRECCION DE INSPECCION Y VIGILANCIA/DIV POAIV/POAIV 2025/ELIV SUBA/PRIORIZADOS/TRIM III/acta visita col bosques del nogal.pdf?csf=1&amp;web=1&amp;e=E3vJXw" xr:uid="{C4801E66-6CA6-46EF-AA72-0F6393E7450D}"/>
    <hyperlink ref="Q2276:Q2279" r:id="rId1718" display="../../../../../../../:b:/r/personal/comunicacionesdiveliv_educacionbogota_gov_co/Documents/DIRECCION DE INSPECCION Y VIGILANCIA/DIV POAIV/POAIV 2025/ELIV SUBA/PRIORIZADOS/TRIM III/acta visita col bosques del nogal.pdf?csf=1&amp;web=1&amp;e=E3vJXw" xr:uid="{15A4A588-CC89-4F01-8EFF-36282F2D4874}"/>
    <hyperlink ref="Q2325" r:id="rId1719" xr:uid="{F5993EFA-A0D5-41D6-B377-8073AC2BBC13}"/>
    <hyperlink ref="Q2326:Q2333" r:id="rId1720" display="GIMANSIO LA CIMA.pdf" xr:uid="{DBDE7073-019A-4EF7-8838-FA57BE697248}"/>
    <hyperlink ref="Q2091" r:id="rId1721" xr:uid="{BF419E9C-B145-4842-91A2-36C94CD57D20}"/>
    <hyperlink ref="Q2092" r:id="rId1722" xr:uid="{6FB77369-4D51-450B-A472-984B0176DC70}"/>
    <hyperlink ref="Q2093" r:id="rId1723" xr:uid="{E2592E76-B37D-4F35-B9DC-9A35C4ABB40B}"/>
    <hyperlink ref="Q2094" r:id="rId1724" xr:uid="{76E97821-3344-4917-8DF3-4759BA6C2DC8}"/>
    <hyperlink ref="Q2095" r:id="rId1725" xr:uid="{258FE00A-0660-4D95-982C-A408EE2EF883}"/>
    <hyperlink ref="Q2096" r:id="rId1726" xr:uid="{42B2DDA5-A1D1-4717-895B-4E44E9FED884}"/>
    <hyperlink ref="Q2097" r:id="rId1727" xr:uid="{4EE24228-0DE9-4C5A-BD12-EB5AD388DA6F}"/>
    <hyperlink ref="Q2098" r:id="rId1728" xr:uid="{64DA92D3-777B-41B3-830A-48D149AF8CBC}"/>
    <hyperlink ref="Q2099" r:id="rId1729" xr:uid="{3F090001-A81C-40B9-B880-3CA2CA3948E3}"/>
    <hyperlink ref="Q2035" r:id="rId1730" xr:uid="{EDCC4319-AFA8-44C4-9F6C-908219067C60}"/>
    <hyperlink ref="Q2034" r:id="rId1731" xr:uid="{8E882355-7575-4C1F-BB37-28A602AF3347}"/>
    <hyperlink ref="Q2033" r:id="rId1732" xr:uid="{21291926-7938-421C-AAC0-94C142F69797}"/>
    <hyperlink ref="Q2032" r:id="rId1733" xr:uid="{0D54A16A-BC09-4982-BE91-2B644D39BC68}"/>
    <hyperlink ref="Q2031" r:id="rId1734" xr:uid="{679F955D-C4BE-4029-9564-8334E01E44D4}"/>
    <hyperlink ref="Q2030" r:id="rId1735" xr:uid="{557EBE53-EFC0-422D-88D7-C6C70AF99117}"/>
    <hyperlink ref="Q2029" r:id="rId1736" xr:uid="{6A36A477-7550-475C-9944-118029CD5CC2}"/>
    <hyperlink ref="Q2028" r:id="rId1737" xr:uid="{0A341345-36B9-4711-BC6B-725616D14611}"/>
    <hyperlink ref="Q2027" r:id="rId1738" xr:uid="{1C853EEE-ECB6-4635-B5A4-0E077D3C7679}"/>
    <hyperlink ref="Q2199" r:id="rId1739" xr:uid="{9595D12C-BDFF-46EF-8F97-B1A90780CD7F}"/>
    <hyperlink ref="Q2200" r:id="rId1740" xr:uid="{F1722D0B-676A-4501-B325-0212C5BE67D8}"/>
    <hyperlink ref="Q2201" r:id="rId1741" xr:uid="{1D7E380B-016E-4E78-81DB-B38C0470364A}"/>
    <hyperlink ref="Q2202" r:id="rId1742" xr:uid="{F5C4DE21-0297-48E1-89E9-548C72AAC4EC}"/>
    <hyperlink ref="Q2203" r:id="rId1743" xr:uid="{F150BB06-5951-4EE0-A1E1-8B962105FA0B}"/>
    <hyperlink ref="Q2204" r:id="rId1744" xr:uid="{943EB6AE-C2B4-4FBA-ADDD-4C511C8887F8}"/>
    <hyperlink ref="Q2205" r:id="rId1745" xr:uid="{CE348B2E-CDB0-490E-9783-6A7DA2720BD2}"/>
    <hyperlink ref="Q2206" r:id="rId1746" xr:uid="{A7371EF6-C180-44D7-B944-23D6DB18E48E}"/>
    <hyperlink ref="Q2207" r:id="rId1747" xr:uid="{993849E0-70C0-4028-B845-A6DED1ECA188}"/>
    <hyperlink ref="Q2299" r:id="rId1748" xr:uid="{39DCC27E-2DD3-441D-BE56-2A676BF4F89F}"/>
    <hyperlink ref="Q2300:Q2306" r:id="rId1749" display="acta visita CMAN 21082025.pdf" xr:uid="{DB9CC430-5F25-4F7B-B0C3-155B35319F39}"/>
    <hyperlink ref="Q2007" r:id="rId1750" xr:uid="{A13749BA-259B-4D6B-BD42-D26F59CD97B6}"/>
    <hyperlink ref="Q2008" r:id="rId1751" xr:uid="{FFA7E73D-CFBA-490A-BAE8-87B3BAFACBE3}"/>
    <hyperlink ref="Q2009" r:id="rId1752" xr:uid="{FD34173F-5EC8-4677-80BC-9609BE822A85}"/>
    <hyperlink ref="Q2010" r:id="rId1753" xr:uid="{80BDC6AB-16F9-4D82-A36D-33E5441BA2D4}"/>
    <hyperlink ref="Q2011" r:id="rId1754" xr:uid="{23E25AAB-33F4-4995-B80F-51FDF0A49A3A}"/>
    <hyperlink ref="Q2012" r:id="rId1755" xr:uid="{D467B453-8522-498E-B1A7-F83E196459BF}"/>
    <hyperlink ref="Q2013" r:id="rId1756" xr:uid="{585DFE8E-C20C-40C3-9E1A-C3FB4CD69430}"/>
    <hyperlink ref="Q2014" r:id="rId1757" xr:uid="{7BBEE0F7-1BFD-49F5-9DCF-FC94A028508F}"/>
    <hyperlink ref="Q2015" r:id="rId1758" xr:uid="{950421C9-61FF-4AB5-8191-752140D463BA}"/>
    <hyperlink ref="Q2016" r:id="rId1759" xr:uid="{93E489E0-217B-48B8-90B7-C2469B0DB2C2}"/>
    <hyperlink ref="Q2217" r:id="rId1760" xr:uid="{E279A47D-A7DB-45DA-9599-C90469EF0672}"/>
    <hyperlink ref="Q2218" r:id="rId1761" xr:uid="{2CC0FEED-FDF8-474D-91D4-C186D0E8B592}"/>
    <hyperlink ref="Q2219" r:id="rId1762" xr:uid="{F087712D-AC10-48D9-A1EC-ED2E33950B42}"/>
    <hyperlink ref="Q2220" r:id="rId1763" xr:uid="{2ECE2766-EC84-485E-9230-56CAD5C7F8D3}"/>
    <hyperlink ref="Q2221" r:id="rId1764" xr:uid="{41F48AC7-65D8-4A0D-B379-C789C0C59354}"/>
    <hyperlink ref="Q2222" r:id="rId1765" xr:uid="{1C4E77CD-D7AA-45F2-BA90-1A4F6791F979}"/>
    <hyperlink ref="Q2223" r:id="rId1766" xr:uid="{C6C787D1-1DCC-49E5-869C-51231964A5CC}"/>
    <hyperlink ref="Q2224" r:id="rId1767" xr:uid="{1E7971ED-187B-4EC9-B544-5E0F11D8097B}"/>
    <hyperlink ref="Q2225" r:id="rId1768" xr:uid="{F6AEF3AD-3FD1-42D8-870C-28C86F81C017}"/>
    <hyperlink ref="Q2307" r:id="rId1769" display="../../../../../../../:b:/r/personal/comunicacionesdiveliv_educacionbogota_gov_co/Documents/DIRECCION DE INSPECCION Y VIGILANCIA/DIV POAIV/POAIV 2025/ELIV SUBA/PRIORIZADOS/TRIMI/26032025 Col santo Toribo de Mongrovejo.pdf?csf=1&amp;web=1&amp;e=jMZorD" xr:uid="{4E2E3F17-B8CD-4FFA-A24E-F09A1AC9BB07}"/>
    <hyperlink ref="Q1997" r:id="rId1770" xr:uid="{77B54D4C-44F4-47AF-ADBD-0C41B50656C3}"/>
    <hyperlink ref="Q1998:Q2001" r:id="rId1771" display="Acta de visita de fecha 4-09-2025.pdf" xr:uid="{89E0595D-EBF2-401B-BD36-4EA1B85336F8}"/>
    <hyperlink ref="Q2002:Q2006" r:id="rId1772" display="Acta de visita de fecha 4-09-2025.pdf" xr:uid="{3DC85987-3CD5-48CE-965C-2566614B2232}"/>
    <hyperlink ref="Q1988" r:id="rId1773" display="../../../../../../../:b:/g/personal/comunicacionesdiveliv_educacionbogota_gov_co/ETOHp7ZTshJGt6fi0SC2_BQB1CSeny_sXhtolLIqnd63hw?e=ad9eMb" xr:uid="{E6CE729F-4CB8-4B87-8343-08B17FD847EE}"/>
    <hyperlink ref="Q1989:Q1996" r:id="rId1774" display="../../../../../../../:b:/g/personal/comunicacionesdiveliv_educacionbogota_gov_co/ETOHp7ZTshJGt6fi0SC2_BQB1CSeny_sXhtolLIqnd63hw?e=ad9eMb" xr:uid="{70BC4786-DB36-491F-B616-428CA5B7F044}"/>
    <hyperlink ref="Q2298" r:id="rId1775" xr:uid="{4DDC6458-7BF2-4505-BE4F-51290F72B441}"/>
    <hyperlink ref="Q2163" r:id="rId1776" xr:uid="{9C3520EC-BB8A-46AA-A69B-8688FDAD0F80}"/>
    <hyperlink ref="Q2164:Q2171" r:id="rId1777" display="ACTA VISITA INTEGRAL GIMNASIO ROMANO MIXTO.pdf" xr:uid="{1338C222-F536-405A-88B5-A30404DCF28F}"/>
    <hyperlink ref="Q2208" r:id="rId1778" xr:uid="{6C91464E-AA4F-4330-AF1D-BA4E218CAE8A}"/>
    <hyperlink ref="Q2209:Q2211" r:id="rId1779" display="20250926GimnasioArtisticodeSuba.pdf" xr:uid="{91AE4024-DAB0-46DA-8120-EB534F05A28D}"/>
    <hyperlink ref="Q2212" r:id="rId1780" xr:uid="{6F6B9372-A816-490C-9163-846223D7006E}"/>
    <hyperlink ref="Q2213:Q2216" r:id="rId1781" display="20250926GimnasioArtisticodeSuba.pdf" xr:uid="{97449C16-1538-460B-A578-0C686FAD3AC4}"/>
    <hyperlink ref="Q2316" r:id="rId1782" xr:uid="{050CE6BD-CD9F-44C2-B1DF-BDBD6F68F87E}"/>
    <hyperlink ref="Q2317" r:id="rId1783" xr:uid="{D7B1C19C-925B-41E4-A26B-DAD956A44F33}"/>
    <hyperlink ref="Q2318:Q2319" r:id="rId1784" display="20252509ActaLiceoEmpresarialDelCampo.pdf" xr:uid="{63DE0463-AC74-4FBC-AF87-37C2191F8FF4}"/>
    <hyperlink ref="Q2320:Q2324" r:id="rId1785" display="20252509ActaLiceoEmpresarialDelCampo.pdf" xr:uid="{BE97B4B6-C8BA-479B-8158-34C69EF5D411}"/>
    <hyperlink ref="Q1970" r:id="rId1786" xr:uid="{46D48140-9F54-4055-8AAD-84A4F3B0DE5F}"/>
    <hyperlink ref="Q1971" r:id="rId1787" xr:uid="{37DAFC3E-7160-4D2F-A5A3-6D30373A0A1B}"/>
    <hyperlink ref="Q1972" r:id="rId1788" xr:uid="{6F332C1E-E46D-4ED2-9D2A-D9D93C2A8B93}"/>
    <hyperlink ref="Q1973" r:id="rId1789" xr:uid="{14A4F8B9-9E71-4371-A871-A55E66AA42E2}"/>
    <hyperlink ref="Q1974" r:id="rId1790" xr:uid="{B648AB8C-5F87-4DBD-891C-B5E8FF11F2F4}"/>
    <hyperlink ref="Q1975" r:id="rId1791" xr:uid="{DCAB9F7D-9FA4-4EB5-843A-EEB3E49C936A}"/>
    <hyperlink ref="Q1976" r:id="rId1792" xr:uid="{D7FE9D58-36FC-467E-863A-DC94D1BB517A}"/>
    <hyperlink ref="Q1977" r:id="rId1793" xr:uid="{EDABCFEC-3592-4515-B8E6-546101DB2EF2}"/>
    <hyperlink ref="Q1978" r:id="rId1794" xr:uid="{C87276D3-C565-4E31-B531-D480D02126F0}"/>
    <hyperlink ref="Q2281" r:id="rId1795" xr:uid="{51B96D9F-D018-4765-8F00-3FAF62087B52}"/>
    <hyperlink ref="Q2282" r:id="rId1796" xr:uid="{C3DBCB20-5C10-4A4A-BA4F-F52036FB39B7}"/>
    <hyperlink ref="Q2283" r:id="rId1797" xr:uid="{C9E11738-E050-4A61-8775-EED50EB59390}"/>
    <hyperlink ref="Q2284" r:id="rId1798" xr:uid="{70BA8CBE-AFEF-4DFF-BDA3-AB520C3E25FA}"/>
    <hyperlink ref="Q2285" r:id="rId1799" xr:uid="{1FDA309F-DC71-4551-807C-C720D0AAA037}"/>
    <hyperlink ref="Q2286" r:id="rId1800" xr:uid="{E95C856F-0A58-4EA1-8CBF-9C9BABABA498}"/>
    <hyperlink ref="Q2287" r:id="rId1801" xr:uid="{546F5E6E-9D77-4486-B56E-2A1E8415BF08}"/>
    <hyperlink ref="Q2288" r:id="rId1802" xr:uid="{94AE913F-C497-4C83-BAA5-9A239C421E2C}"/>
    <hyperlink ref="Q2280" r:id="rId1803" xr:uid="{2DD95CAC-0349-47B3-B18C-91B552AB04AE}"/>
    <hyperlink ref="Q2289" r:id="rId1804" xr:uid="{BBBF17A9-29D4-4669-B08B-A150522791AF}"/>
    <hyperlink ref="Q2290:Q2292" r:id="rId1805" display="20250930LiceoTécnicoBiliguePauloFreire.pdf" xr:uid="{BED666AF-2DDC-4800-A28E-41CC550FD5FE}"/>
    <hyperlink ref="Q2293:Q2296" r:id="rId1806" display="20250930LiceoTécnicoBiliguePauloFreire.pdf" xr:uid="{F9E19F57-E1B8-4FF6-9C4F-B1E8E126B4B0}"/>
    <hyperlink ref="Q2297" r:id="rId1807" xr:uid="{D4557150-B67F-42C7-93D4-85F4A4860CFB}"/>
    <hyperlink ref="Q2367" r:id="rId1808" xr:uid="{47205DF8-B2A8-4500-B13B-0115BB6E321D}"/>
    <hyperlink ref="Q2368" r:id="rId1809" xr:uid="{07187D09-F34D-43CB-83CC-B89938B333B3}"/>
    <hyperlink ref="Q2369" r:id="rId1810" xr:uid="{A5529A82-1E39-4065-90D9-04A535FCC4EE}"/>
    <hyperlink ref="Q2370" r:id="rId1811" xr:uid="{94916B67-60F2-4BC9-96D9-DED9A25A25B6}"/>
    <hyperlink ref="Q2371" r:id="rId1812" xr:uid="{94247FDC-20CD-474D-AAF0-97883D6C9EB8}"/>
    <hyperlink ref="Q2372" r:id="rId1813" xr:uid="{A7B8BF88-65A1-400C-9336-DEC96F759651}"/>
    <hyperlink ref="Q2373" r:id="rId1814" xr:uid="{7B2534A7-D858-4F8E-88BE-3166CC9B161E}"/>
    <hyperlink ref="Q2374" r:id="rId1815" xr:uid="{54A1985A-60D1-4B38-8316-4C81587E3C9F}"/>
    <hyperlink ref="Q2375" r:id="rId1816" xr:uid="{1E907010-E988-48A2-B6CF-8383B49F68C5}"/>
    <hyperlink ref="Q2376" r:id="rId1817" xr:uid="{8674CD93-1412-4F24-9894-4C2A6B45CEDF}"/>
    <hyperlink ref="Q2377" r:id="rId1818" xr:uid="{239AE8B4-C332-4B2D-9382-CE1DF2B56E9B}"/>
    <hyperlink ref="Q2378" r:id="rId1819" xr:uid="{F1A47F9F-EB0D-4D1D-8D98-250093AF7B76}"/>
    <hyperlink ref="Q2379" r:id="rId1820" xr:uid="{3FB0F703-994E-480D-A6D4-8AF12288B7D3}"/>
    <hyperlink ref="Q2380" r:id="rId1821" xr:uid="{8D99A55D-5CC6-4A98-9C02-1D364E59D8E1}"/>
    <hyperlink ref="Q2381" r:id="rId1822" xr:uid="{983E0EF8-4E2F-430E-B08D-83A61A251D6C}"/>
    <hyperlink ref="Q2382" r:id="rId1823" xr:uid="{927C2C74-F7DA-4E6E-A5C2-7A035FE37083}"/>
    <hyperlink ref="Q2383" r:id="rId1824" xr:uid="{09D653FE-3C92-415C-B18D-87EF17E27B3B}"/>
    <hyperlink ref="Q2384" r:id="rId1825" xr:uid="{9D2AD25D-3D17-4EC5-8BA1-B7C8E036B265}"/>
    <hyperlink ref="Q2385" r:id="rId1826" xr:uid="{D82847A1-936D-4167-9A71-81B23973EFED}"/>
    <hyperlink ref="Q2386" r:id="rId1827" xr:uid="{561B4940-9114-4CD9-9C6B-3917BDFC643D}"/>
    <hyperlink ref="Q2387" r:id="rId1828" xr:uid="{395EFF48-3B4A-4549-8D08-AE50A6D78141}"/>
    <hyperlink ref="Q2388" r:id="rId1829" xr:uid="{95A54CFB-048C-4874-BF5B-1D73EDC16552}"/>
    <hyperlink ref="Q2389" r:id="rId1830" xr:uid="{1928D00C-F22E-43D3-A995-7C61410B1BA7}"/>
    <hyperlink ref="Q2390" r:id="rId1831" xr:uid="{30815E73-4584-43A3-A812-2E9E5D429672}"/>
    <hyperlink ref="Q2391" r:id="rId1832" xr:uid="{FC536C60-BCDF-412B-8103-52747F61DEA5}"/>
    <hyperlink ref="Q2392" r:id="rId1833" xr:uid="{1912BAEB-07C0-4882-8961-227F45FCC6F1}"/>
    <hyperlink ref="Q2393" r:id="rId1834" xr:uid="{46D3611E-5267-4D27-A5C0-D7949D5AA10D}"/>
    <hyperlink ref="Q2394" r:id="rId1835" xr:uid="{112B4E7E-F8C5-4238-AB49-3B954DDD3F3E}"/>
    <hyperlink ref="Q2410" r:id="rId1836" xr:uid="{A1F406B0-9A0A-4F83-AC8A-8E5E8AB2421F}"/>
    <hyperlink ref="Q2411" r:id="rId1837" xr:uid="{ACECDBCA-9A9D-4680-B51C-F0D95B3CEE13}"/>
    <hyperlink ref="Q2412" r:id="rId1838" xr:uid="{388B6D20-2D25-4F5D-A54A-D0981B450E44}"/>
    <hyperlink ref="Q2404" r:id="rId1839" xr:uid="{8CB2503C-4B0E-461E-AC04-5071899F1B5F}"/>
    <hyperlink ref="Q2405" r:id="rId1840" xr:uid="{B8E1EE21-9F37-4707-A959-47633612D47E}"/>
    <hyperlink ref="Q2406" r:id="rId1841" xr:uid="{D03886F5-15B4-40FC-BC8B-358440035F61}"/>
    <hyperlink ref="Q2416" r:id="rId1842" xr:uid="{C3F0EB99-1F4A-4067-900D-60B376DA5700}"/>
    <hyperlink ref="Q2417" r:id="rId1843" xr:uid="{22EDD79A-1BD6-4E5D-A9D0-7D61935E0906}"/>
    <hyperlink ref="Q2418" r:id="rId1844" xr:uid="{E614BCD6-8AF4-4CF3-99FA-E2188C14E6B3}"/>
    <hyperlink ref="Q2413" r:id="rId1845" xr:uid="{C4E837D8-DEA5-44AA-AE28-9E36FDD1D19B}"/>
    <hyperlink ref="Q2414" r:id="rId1846" xr:uid="{869F38BA-8422-4EC6-8550-7D135C17D836}"/>
    <hyperlink ref="Q2415" r:id="rId1847" xr:uid="{8E67A374-D287-4753-8037-CC31DAB0555F}"/>
    <hyperlink ref="Q2358" r:id="rId1848" xr:uid="{45132ECF-1F8A-4C8C-8E61-A818C11B2F83}"/>
    <hyperlink ref="Q2359:Q2366" r:id="rId1849" xr:uid="{D1259EBE-55E7-418A-9A55-93954BA6E3E4}"/>
    <hyperlink ref="Q2445:Q2446" r:id="rId1850" display="../../../../../../../:b:/r/personal/comunicacionesdiveliv_educacionbogota_gov_co/Documents/DIRECCION DE INSPECCION Y VIGILANCIA/DIV POAIV/POAIV 2025/ELIV TUNJUELITO/PRIORIZADOS/TRIM II/COLEGIO COOPERATIVO VENECIA/ACTA VISITA COL COOPERATIVO VENECIA 16062025.pdf?csf=1&amp;web=1&amp;e=xmzePO" xr:uid="{140294D0-82A4-4530-8AD3-AE1F95E5BC00}"/>
    <hyperlink ref="Q2454:Q2456" r:id="rId1851" display="../../../../../../../:b:/r/personal/comunicacionesdiveliv_educacionbogota_gov_co/Documents/DIRECCION DE INSPECCION Y VIGILANCIA/DIV POAIV/POAIV 2025/ELIV TUNJUELITO/PRIORIZADOS/TRIM II/COLEGIO INCADE/ACTA VISITA COLEGIO INCADE 25042025.pdf?csf=1&amp;web=1&amp;e=lbQzbO" xr:uid="{0300770F-7A05-4E63-A6E8-3E33058A7153}"/>
    <hyperlink ref="Q2463:Q2464" r:id="rId1852" display="../../../../../../../:b:/r/personal/comunicacionesdiveliv_educacionbogota_gov_co/Documents/DIRECCION DE INSPECCION Y VIGILANCIA/DIV POAIV/POAIV 2025/ELIV TUNJUELITO/PRIORIZADOS/TRIM II/COL. NTRA SE%C3%91ORA DE LAS VICTORIAS/Visitita Col. Ntra Se%C3%B1ora de las Victorias.pdf?csf=1&amp;web=1&amp;e=vrlN9v" xr:uid="{3EBD8DDC-6E8B-436E-8544-4B21E535A8F2}"/>
    <hyperlink ref="Q2483:Q2488" r:id="rId1853" display="../../../../../../../:f:/r/personal/comunicacionesdiveliv_educacionbogota_gov_co/Documents/DIRECCION DE INSPECCION Y VIGILANCIA/DIV POAIV/POAIV 2025/ELIV TUNJUELITO/PRIORIZADOS/TRIM I/GIMNASIO_COMERCIAL_LOS_ANDES?csf=1&amp;web=1&amp;e=CyjAGX" xr:uid="{F4540233-E8D6-4D35-B842-FF9FF61731CE}"/>
    <hyperlink ref="Q2481:Q2482" r:id="rId1854" display="../../../../../../../:f:/r/personal/comunicacionesdiveliv_educacionbogota_gov_co/Documents/DIRECCION DE INSPECCION Y VIGILANCIA/DIV POAIV/POAIV 2025/ELIV TUNJUELITO/PRIORIZADOS/TRIM I/GIMNASIO_COMERCIAL_LOS_ANDES?csf=1&amp;web=1&amp;e=CyjAGX" xr:uid="{8EB6D03C-CE34-447E-8991-458546818EC5}"/>
    <hyperlink ref="Q2490" r:id="rId1855" xr:uid="{A011DE1F-9172-46FF-B5B4-0E9C8437E310}"/>
    <hyperlink ref="Q2491" r:id="rId1856" xr:uid="{AF253E56-5562-4CDE-90FC-FFEB845E741E}"/>
    <hyperlink ref="Q2492" r:id="rId1857" xr:uid="{5C7B59E6-4CDC-4F76-BE87-D068CDCBAF1A}"/>
    <hyperlink ref="Q2493" r:id="rId1858" xr:uid="{237E62F7-6254-4574-870D-5D994571D79E}"/>
    <hyperlink ref="Q2496" r:id="rId1859" xr:uid="{0EAF07AD-6EB8-4FC0-8864-297C81530479}"/>
    <hyperlink ref="Q2498" r:id="rId1860" xr:uid="{7FEAF4C2-9A58-4325-B32D-26A250A449E0}"/>
    <hyperlink ref="Q2497" r:id="rId1861" xr:uid="{ACDBF8CE-EC04-4CA0-B56A-66105322ACE8}"/>
    <hyperlink ref="Q2494" r:id="rId1862" xr:uid="{3371FA72-C114-44FF-8FD2-23F69A898C52}"/>
    <hyperlink ref="Q2495" r:id="rId1863" xr:uid="{EB580AFA-38BA-4551-90CB-822E322F1777}"/>
    <hyperlink ref="Q2499" r:id="rId1864" xr:uid="{26818998-38D6-4955-B7A0-88E7C068F320}"/>
    <hyperlink ref="Q2500:Q2506" r:id="rId1865" display="JARDIN INFANTIL MIS PEQUEÑOS TIMPANITOS" xr:uid="{EEDFFA07-B6D8-41CF-9147-1F3BA616AE90}"/>
    <hyperlink ref="Q2557" r:id="rId1866" xr:uid="{70F16BE4-4281-439C-B013-C413B540FE30}"/>
    <hyperlink ref="Q2559" r:id="rId1867" xr:uid="{A2F5F434-B7F5-4E3B-849F-AC3479305094}"/>
    <hyperlink ref="Q2558" r:id="rId1868" xr:uid="{C6323774-995F-4D33-8D5A-B6A6CC00E17B}"/>
    <hyperlink ref="Q2523" r:id="rId1869" xr:uid="{2F170DEC-C57E-4230-8BF2-18BA21C36195}"/>
    <hyperlink ref="Q2524" r:id="rId1870" xr:uid="{F0596DD6-CD52-4142-A8A0-D27E17B0202A}"/>
    <hyperlink ref="Q2525" r:id="rId1871" xr:uid="{2EB454B8-EC1D-4447-8049-E26C468E61E1}"/>
    <hyperlink ref="Q2526" r:id="rId1872" xr:uid="{96B9BA51-BBC1-4FC7-A858-37857E4258A3}"/>
    <hyperlink ref="Q2527" r:id="rId1873" xr:uid="{561BF5A3-8FC3-42D4-82F5-6D39739BB028}"/>
    <hyperlink ref="Q2529" r:id="rId1874" xr:uid="{CF4504E5-9A94-48BD-9C9F-5A3961697498}"/>
    <hyperlink ref="Q2530" r:id="rId1875" xr:uid="{520427CE-4322-4BEC-B0A5-51359135D55C}"/>
    <hyperlink ref="Q2536" r:id="rId1876" xr:uid="{C042E331-8FB8-4443-971B-0A152F82C963}"/>
    <hyperlink ref="Q2531" r:id="rId1877" xr:uid="{3EE103B5-AC33-4C5E-BE2A-F695FAEBAA7D}"/>
    <hyperlink ref="Q2532" r:id="rId1878" xr:uid="{71D8D77B-3335-42BC-8513-D79A84B695AF}"/>
    <hyperlink ref="Q2533" r:id="rId1879" xr:uid="{F9F2EAB9-6F0C-4E9F-914B-8E77D37CCF46}"/>
    <hyperlink ref="Q2534" r:id="rId1880" xr:uid="{5EFA4E8D-8DFE-4516-BB2F-2C9DBC86C19C}"/>
    <hyperlink ref="Q2535" r:id="rId1881" xr:uid="{B8CC7263-F283-4088-8909-33B361F18540}"/>
    <hyperlink ref="Q2537" r:id="rId1882" xr:uid="{1D78C3C6-E0E5-4C64-B605-0A4F011D514D}"/>
    <hyperlink ref="Q2522" r:id="rId1883" xr:uid="{1A128593-4903-414C-908C-7BF362A9DF72}"/>
    <hyperlink ref="Q2514" r:id="rId1884" xr:uid="{41B0DE0E-49E6-4B46-A43C-4D99ED45C3ED}"/>
    <hyperlink ref="Q2515" r:id="rId1885" xr:uid="{F89CCBAC-72F1-4C20-8EA6-B3896F2F7303}"/>
    <hyperlink ref="Q2516" r:id="rId1886" xr:uid="{62E0B920-D2C2-4C15-9DC1-0438B45B113D}"/>
    <hyperlink ref="Q2517" r:id="rId1887" xr:uid="{F2AB0317-0613-4539-8761-150639B5CEE9}"/>
    <hyperlink ref="Q2518" r:id="rId1888" xr:uid="{2E1D30C0-A016-4268-90D2-50ADA73B48D7}"/>
    <hyperlink ref="Q2519" r:id="rId1889" xr:uid="{B3C18854-35A5-4D3C-9960-721EF3984F31}"/>
    <hyperlink ref="Q2520" r:id="rId1890" xr:uid="{306D0C95-C0BA-4C18-90C0-6D6C0CECD782}"/>
    <hyperlink ref="Q2521" r:id="rId1891" xr:uid="{CE32BA19-746F-45BF-8D97-7943AEB7CBE8}"/>
    <hyperlink ref="Q2528" r:id="rId1892" xr:uid="{8BA43757-5C1C-4B5F-8831-DD7A450368D3}"/>
    <hyperlink ref="Q2538" r:id="rId1893" xr:uid="{600BD532-A70A-4B85-9EED-15B9874F2614}"/>
    <hyperlink ref="Q2554" r:id="rId1894" xr:uid="{580D8402-EC9B-4FAA-905D-A5CC18CCEE53}"/>
    <hyperlink ref="Q2555:Q2556" r:id="rId1895" display="ACADEMIA FLOR DE LIZ NEW ESTHETIC ACADEMY SAS" xr:uid="{CBB41190-B606-438A-BA6F-BDD1D9C5DBF9}"/>
    <hyperlink ref="Q2539:Q2544" r:id="rId1896" xr:uid="{D6684EE2-724B-4126-991E-865CA30B3EA6}"/>
    <hyperlink ref="Q2632" r:id="rId1897" xr:uid="{C9C5AA7C-66B2-4CEF-BF34-96C6480F7BDD}"/>
    <hyperlink ref="Q2633:Q2634" r:id="rId1898" display="Acta_visita_Escuela_Pedagogica_Experimental.pdf" xr:uid="{E6EFA715-C730-4EF4-ACFA-BFEBCAE74DD0}"/>
    <hyperlink ref="Q2635" r:id="rId1899" xr:uid="{412A4B2B-D9F0-4268-838C-0E43C873FC56}"/>
    <hyperlink ref="Q2636" r:id="rId1900" xr:uid="{2E4D10A2-91AF-4239-8AEB-BC609AB2226F}"/>
    <hyperlink ref="Q2637" r:id="rId1901" xr:uid="{66C91EBB-02BC-46EA-A691-CBEF4AB36029}"/>
    <hyperlink ref="Q2638:Q2639" r:id="rId1902" display="Acta_visita_Escuela_Pedagogica_Experimental.pdf" xr:uid="{9EB0E837-917B-4F9F-A697-CF560D28B86C}"/>
    <hyperlink ref="Q2640" r:id="rId1903" xr:uid="{EBC53518-5DBD-47BA-BE57-555EBCFD931F}"/>
    <hyperlink ref="Q2641:Q2648" r:id="rId1904" display="Acta_visita_Instituto_Colombo_Sueco.pdf" xr:uid="{4D07B70B-4C6A-45C3-9051-CB08AC0F75C5}"/>
    <hyperlink ref="Q2649" r:id="rId1905" display="../../../../../../../:b:/r/personal/comunicacionesdiveliv_educacionbogota_gov_co/Documents/DIRECCION DE INSPECCION Y VIGILANCIA/DIV POAIV/POAIV 2025/ELIV USAQU%C3%89N/PRIORIZADOS/TRIM II/Acta Visita_Colegio_Monterosales_Ciclos.pdf?csf=1&amp;web=1&amp;e=dbZ1g8" xr:uid="{0B315853-0BA1-4286-ACF1-82C2D2A4B3FD}"/>
    <hyperlink ref="Q2673" r:id="rId1906" xr:uid="{3E75D310-731D-4A3D-A108-15EBA1143A3C}"/>
    <hyperlink ref="Q2674:Q2676" r:id="rId1907" display="02ActaVisitaAdministrativaColegioJuanRulfo12032025.pdf" xr:uid="{036D26D1-CA0B-4D16-8D9B-1A0400905761}"/>
    <hyperlink ref="Q2666:Q2672" r:id="rId1908" display="01ActaVisitaAdministrativaColegioSanGregorioHernandez28022025.pdf" xr:uid="{3ADA5EBA-2AF1-4B92-B631-8CD96BC650F1}"/>
    <hyperlink ref="Q2677" r:id="rId1909" xr:uid="{65E05FB7-964B-49E8-8099-008373082D36}"/>
    <hyperlink ref="Q2687" r:id="rId1910" xr:uid="{1746E21B-D5FA-430E-9E40-015958941775}"/>
    <hyperlink ref="Q2688:Q2695" r:id="rId1911" display="02ActaVisitaAdministrativaColegioSanMarino23052025.pdf" xr:uid="{017DC9A5-08B3-471E-A300-03A9B585BC9F}"/>
    <hyperlink ref="Q2724" r:id="rId1912" xr:uid="{921ED8D8-CFA1-48C7-A354-ECA1034CCEF7}"/>
    <hyperlink ref="Q2725" r:id="rId1913" xr:uid="{D657B0F0-8F21-4B7D-8B4D-E76F23578EC9}"/>
    <hyperlink ref="Q2726" r:id="rId1914" xr:uid="{48C8FE43-1F47-4497-8CEA-59DD0F6D0BCE}"/>
    <hyperlink ref="Q2727" r:id="rId1915" xr:uid="{DDF344D2-FA33-43A3-92AD-43101252D6BF}"/>
    <hyperlink ref="Q2728" r:id="rId1916" xr:uid="{086418F9-32D0-4A43-93D6-EB218C1A3DC1}"/>
    <hyperlink ref="Q2729" r:id="rId1917" xr:uid="{FBEC4D48-3CC7-4BF7-B23B-C761082289CB}"/>
    <hyperlink ref="Q2730" r:id="rId1918" xr:uid="{72135306-AA13-4297-AAC7-03D22464EC2D}"/>
    <hyperlink ref="Q2731" r:id="rId1919" xr:uid="{FEE3ECD4-67B2-4D8F-B782-9DD727377A74}"/>
    <hyperlink ref="Q2732" r:id="rId1920" xr:uid="{5E13197B-326B-4B81-8625-FA07878D8DD2}"/>
    <hyperlink ref="Q2665" r:id="rId1921" xr:uid="{2704C809-FA80-4A59-913E-15C257C8B5B3}"/>
    <hyperlink ref="Q2715" r:id="rId1922" xr:uid="{A1463D4B-4E0D-45E9-8CA8-DDC6BF2C6A02}"/>
    <hyperlink ref="Q2716" r:id="rId1923" xr:uid="{9103D971-0968-4DD6-8CA0-69F7A9494D45}"/>
    <hyperlink ref="Q2717" r:id="rId1924" xr:uid="{0B019E5F-DDBF-48D1-AEDB-6C03E797046C}"/>
    <hyperlink ref="Q2718" r:id="rId1925" xr:uid="{03E80744-5951-43E5-B29B-A22CC3C455C2}"/>
    <hyperlink ref="Q2719" r:id="rId1926" xr:uid="{B407870D-C029-4D17-A472-0FAC3C360695}"/>
    <hyperlink ref="Q2720" r:id="rId1927" xr:uid="{10B5D6E2-8443-4F07-8D74-F448EF577AD9}"/>
    <hyperlink ref="Q2721" r:id="rId1928" xr:uid="{AD7700FC-EFA0-4C5F-B062-D8E1C35D96A1}"/>
    <hyperlink ref="Q2722" r:id="rId1929" xr:uid="{36FD0AA2-340B-4830-A784-AE5FD77CF0C5}"/>
    <hyperlink ref="Q2723" r:id="rId1930" xr:uid="{B9BF68EC-E63F-4CBD-B2F9-D1A73B5E40A2}"/>
    <hyperlink ref="Q2697" r:id="rId1931" xr:uid="{D9B425F6-6B1E-4F3B-AF8B-A38089283990}"/>
    <hyperlink ref="Q2696" r:id="rId1932" xr:uid="{5E63ED79-60F0-4DA1-8452-9CABAD0FCD2B}"/>
    <hyperlink ref="Q2698" r:id="rId1933" xr:uid="{5BBBBF98-85F1-4D0D-BF4C-03F23CB8C23F}"/>
    <hyperlink ref="Q2699" r:id="rId1934" xr:uid="{6AE5DEDB-C76B-43B2-BFED-A47E84284A32}"/>
    <hyperlink ref="Q2700" r:id="rId1935" xr:uid="{1BEF9E07-9A62-4358-8710-3E21FC12EC08}"/>
    <hyperlink ref="Q2701" r:id="rId1936" xr:uid="{A3F0DB07-F9A6-4FE9-9C10-883771B545BA}"/>
    <hyperlink ref="Q2702" r:id="rId1937" xr:uid="{1D469982-12A0-4E45-85CC-D531F89D7B4F}"/>
    <hyperlink ref="Q2703" r:id="rId1938" xr:uid="{2E3FD40D-0F62-4FAD-9507-C8C5ADE1DB3C}"/>
    <hyperlink ref="Q2704" r:id="rId1939" xr:uid="{F548493A-1191-419C-80ED-5954CB187A8C}"/>
    <hyperlink ref="Q2678" r:id="rId1940" xr:uid="{57588F45-D469-4441-AF8E-A98088583643}"/>
    <hyperlink ref="Q2679:Q2686" r:id="rId1941" display="ActaVisitaAdministrativaColegioSantaMariaDeLaPaz280725.pdf" xr:uid="{D16F4BF4-1974-4103-9BE9-698E4605CE3D}"/>
    <hyperlink ref="Q2733" r:id="rId1942" xr:uid="{8ED31CB5-F247-4E58-968D-79B92C919AA1}"/>
    <hyperlink ref="Q2734" r:id="rId1943" xr:uid="{ABED7449-3670-4B0B-93B3-C06BBC2241B1}"/>
    <hyperlink ref="Q2735:Q2742" r:id="rId1944" display="ActaVisitaAdministrativaColegioArielDavid23072025.pdf" xr:uid="{BCF79BED-EEAE-4F57-B67F-011FD0A75872}"/>
    <hyperlink ref="Q2761" r:id="rId1945" xr:uid="{6776BD38-2F86-4770-B1E2-3B39979E37CB}"/>
    <hyperlink ref="Q2762" r:id="rId1946" xr:uid="{1FE42893-C812-4DE7-B6AB-EDAA75FC16BF}"/>
    <hyperlink ref="Q2763:Q2769" r:id="rId1947" display="ActaVisitaAdministrativa ColegioSantaLibrada25082025.pdf" xr:uid="{A32920DF-5FC9-4135-B086-4183ED09E069}"/>
    <hyperlink ref="Q2770" r:id="rId1948" xr:uid="{B2ECD1AC-FFE9-4F5F-8AFF-E9C17C90B919}"/>
    <hyperlink ref="Q2771:Q2778" r:id="rId1949" display="ActaVisitaAdministrativaColegioLatinoamericanoDelSur01092025.pdf" xr:uid="{6532DC67-7932-4E0C-8551-F6CC585C85FD}"/>
    <hyperlink ref="Q2743" r:id="rId1950" xr:uid="{8A4A8B5A-FDE6-439A-8BA1-05205CB007BD}"/>
    <hyperlink ref="Q2744:Q2751" r:id="rId1951" display="ActaVisitaAdministrativaLiceoMarata05082025.pdf" xr:uid="{BBD266FC-FBA6-48F1-A667-C1752D09EF76}"/>
    <hyperlink ref="Q2752" r:id="rId1952" xr:uid="{5F0BB5D5-875F-4BC1-960F-4448113107B9}"/>
    <hyperlink ref="Q2753" r:id="rId1953" xr:uid="{BDC2C912-9E31-4A09-AD9B-4538198BABD1}"/>
    <hyperlink ref="Q2754" r:id="rId1954" xr:uid="{945A5063-E972-4B3A-B4D2-DB41E89F2BB5}"/>
    <hyperlink ref="Q2755" r:id="rId1955" xr:uid="{B7E42668-9FEB-41BC-A82B-B1589748139E}"/>
    <hyperlink ref="Q2756" r:id="rId1956" xr:uid="{EDB97879-1F42-4029-8C92-ED1EAD12FDC6}"/>
    <hyperlink ref="Q2757" r:id="rId1957" xr:uid="{7CA9746D-948E-45AB-9D90-7043B1F69ECF}"/>
    <hyperlink ref="Q2758" r:id="rId1958" xr:uid="{F11799B6-2652-4612-8BE4-C3009ECBDC5A}"/>
    <hyperlink ref="Q2759" r:id="rId1959" xr:uid="{4AB7362A-FEE5-487E-A0D8-4A40625E11AA}"/>
    <hyperlink ref="Q2760" r:id="rId1960" xr:uid="{D3A5F98F-489E-442D-85AD-E2F8F4BF7006}"/>
    <hyperlink ref="Q2779" r:id="rId1961" xr:uid="{87CBA405-CD4D-47A9-A79B-0413584BF11A}"/>
    <hyperlink ref="Q2780" r:id="rId1962" xr:uid="{BE30C392-E071-4940-BCB3-FDCFBDFA2587}"/>
    <hyperlink ref="Q2781" r:id="rId1963" xr:uid="{1583DCE4-E1C6-4283-8673-9B09DEAD734D}"/>
    <hyperlink ref="Q2782" r:id="rId1964" xr:uid="{316978EB-089E-4C81-B171-68FAFE9E25DD}"/>
    <hyperlink ref="Q2783" r:id="rId1965" xr:uid="{0435F271-2BE3-4911-B80F-EB1E9E46AE14}"/>
    <hyperlink ref="Q2784" r:id="rId1966" xr:uid="{CE81536D-F3C7-4E2B-9B50-5D361CF5898B}"/>
    <hyperlink ref="Q2785" r:id="rId1967" xr:uid="{3010D916-4731-4FAE-8EB2-5686E4665A99}"/>
    <hyperlink ref="Q2786" r:id="rId1968" xr:uid="{0BA22761-8BA4-4EB8-A46F-D02FB51A66D8}"/>
    <hyperlink ref="Q2787" r:id="rId1969" xr:uid="{99320F4F-FD89-43EA-8A48-4C2508A4E1A3}"/>
    <hyperlink ref="Q2788" r:id="rId1970" xr:uid="{C6DC9E62-C9E5-4403-A43E-25D3825D8A64}"/>
    <hyperlink ref="Q2789" r:id="rId1971" xr:uid="{367D4414-C9FD-43AC-8776-A9A81100D32E}"/>
    <hyperlink ref="Q2790" r:id="rId1972" xr:uid="{61BCCDE7-3026-4283-AC74-3D1F5F14D31A}"/>
    <hyperlink ref="Q2791" r:id="rId1973" xr:uid="{6EDD6D1D-3957-4326-BD3E-39DF5EADD7CB}"/>
    <hyperlink ref="Q2792" r:id="rId1974" xr:uid="{12E6E6E2-066B-486C-9D63-B98F9A7DC4F2}"/>
    <hyperlink ref="Q2793" r:id="rId1975" xr:uid="{F9946189-3B2E-46F8-9E1A-C392D28006C6}"/>
    <hyperlink ref="Q2794" r:id="rId1976" xr:uid="{F241F960-155A-4CA9-A8A0-9C434AFAC821}"/>
    <hyperlink ref="Q2795" r:id="rId1977" xr:uid="{A5FEE275-4C76-455E-8399-337B8EB12A10}"/>
    <hyperlink ref="Q2796" r:id="rId1978" xr:uid="{13F532F4-F5D1-4FA8-87E2-8FDEAD3FCFF4}"/>
    <hyperlink ref="Q1600" r:id="rId1979" xr:uid="{B4FAAD3D-E78C-48BC-BF55-AFBAC312FB3E}"/>
    <hyperlink ref="Q1601:Q1608" r:id="rId1980" display="18 y 23 Julio 2025 Col Hermanos Beltrán.pdf" xr:uid="{4F9C473B-9B49-4128-B20F-6B33FD689F4A}"/>
    <hyperlink ref="Q2705" r:id="rId1981" xr:uid="{033D0530-8D42-4945-A908-84A5DF6E44A1}"/>
    <hyperlink ref="Q2706:Q2714" r:id="rId1982" xr:uid="{D9553268-10B3-447C-A77B-6F294CC36CC0}"/>
    <hyperlink ref="Q2438" r:id="rId1983" xr:uid="{2AB60021-1E95-499D-9245-59C83FF74227}"/>
    <hyperlink ref="Q2439:Q2444" r:id="rId1984" display="Visita Nuevo Muzu" xr:uid="{9BA3880E-3D0F-4BAC-8981-2768E9C581A0}"/>
    <hyperlink ref="Q2551" r:id="rId1985" xr:uid="{2C99C104-1DFE-431A-AE83-5740FFCBBB90}"/>
    <hyperlink ref="Q2552:Q2553" r:id="rId1986" display="Visita Instituto Britanico" xr:uid="{7692187E-27CC-4F9B-B345-DC73F5E20E64}"/>
    <hyperlink ref="Q2545" r:id="rId1987" xr:uid="{A64813B2-C2D8-4747-B2CB-4005F9A07E48}"/>
    <hyperlink ref="Q2546:Q2550" r:id="rId1988" display="Instituto técnico Piloto" xr:uid="{9AFDE634-702E-41C1-8156-DD5EC6B5A3E7}"/>
    <hyperlink ref="Q2507" r:id="rId1989" xr:uid="{4AC57454-46BC-4B19-96A1-931163C4E15C}"/>
    <hyperlink ref="Q2508:Q2513" r:id="rId1990" display="Bilingue del Sur" xr:uid="{50D51D62-E6E9-4E23-81E8-7D19AE613FB0}"/>
    <hyperlink ref="Q2472" r:id="rId1991" xr:uid="{AF5C2288-471A-4DBF-9E22-5FA5C7EE7B41}"/>
    <hyperlink ref="Q2473:Q2480" r:id="rId1992" display="Tecnisistemas" xr:uid="{D5ABED0C-F027-4050-9E20-483DB1406652}"/>
    <hyperlink ref="Q563" r:id="rId1993" xr:uid="{62C86D36-12BD-42F4-B588-D1BC8795BB2F}"/>
    <hyperlink ref="Q564:Q571" r:id="rId1994" display="Popular Bolivariano" xr:uid="{2AF6412F-1C1A-4427-80FB-A085321AD47E}"/>
    <hyperlink ref="Q573:Q580" r:id="rId1995" display="Santa Ana Luz del Carmen" xr:uid="{CD25A66C-9226-470A-B544-E03B013C2D91}"/>
    <hyperlink ref="Q1846:Q1850" r:id="rId1996" display="Jorge Soto del Corral" xr:uid="{FE9913A4-E76E-47E2-9E2C-FEF3EC9DA8AC}"/>
    <hyperlink ref="Q1852:Q1859" r:id="rId1997" display="El Santisismo Rosario" xr:uid="{1811F509-9A61-4C27-94EA-0A3510FF9A6A}"/>
    <hyperlink ref="Q442:Q449" r:id="rId1998" display="../../../../../../../:f:/r/personal/comunicacionesdiveliv_educacionbogota_gov_co/Documents/DIRECCION DE INSPECCION Y VIGILANCIA/DIV POAIV/POAIV 2025/ELIV CHAPINERO/PRIORIZADOS/TRIM II/COLEGIO KUEPA?csf=1&amp;web=1&amp;e=Hw7QSn" xr:uid="{916461F3-9B55-40E1-B051-FAA0AC284E32}"/>
    <hyperlink ref="Q476" r:id="rId1999" xr:uid="{CED51B7B-463A-4EFA-8EFC-62A05474B4DF}"/>
    <hyperlink ref="Q477:Q478" r:id="rId2000" display="Escuela auxiliares en enfermeria hospital militar central" xr:uid="{17861406-0A20-4005-836C-C56A390E8B69}"/>
    <hyperlink ref="Q485" r:id="rId2001" xr:uid="{8B713942-E610-4F12-8298-966868EC4C31}"/>
    <hyperlink ref="Q486:Q487" r:id="rId2002" display="Visita EAC" xr:uid="{DA97A729-C994-46FD-B7CA-B55AC921C1D5}"/>
    <hyperlink ref="Q2622" r:id="rId2003" xr:uid="{A9A08A83-5CAB-4DBE-BF1F-97AF9364EC7D}"/>
    <hyperlink ref="Q2623:Q2630" r:id="rId2004" display="Acta_visita_Gimnasio_Marroquin_Campestre.pdf" xr:uid="{B2E73526-DFE7-41F3-9B8D-B4DD2331363B}"/>
    <hyperlink ref="Q2109" r:id="rId2005" xr:uid="{0AD10442-E336-45B4-A515-DE5C46412103}"/>
    <hyperlink ref="Q2110" r:id="rId2006" xr:uid="{331F6BAE-AEE1-46BF-A6A8-2BA303120E58}"/>
    <hyperlink ref="Q2111" r:id="rId2007" xr:uid="{514D66C4-8985-43E7-B6C8-6486EEC6E103}"/>
    <hyperlink ref="Q2112" r:id="rId2008" xr:uid="{7CC8CB36-51C1-4928-85FD-F671A150DB25}"/>
    <hyperlink ref="Q2113" r:id="rId2009" xr:uid="{F4C9BBC2-2A7D-47E2-A32D-8F9F742BD154}"/>
    <hyperlink ref="Q2114" r:id="rId2010" xr:uid="{3C1D23B7-F858-4B2A-8322-45CC1F57817B}"/>
    <hyperlink ref="Q2115" r:id="rId2011" xr:uid="{D0535DF5-F124-4DA4-A0D3-57DB5B8DC9EE}"/>
    <hyperlink ref="Q2116" r:id="rId2012" xr:uid="{1EEE3314-C921-4D88-829B-0A4F07F3DA17}"/>
    <hyperlink ref="Q2117" r:id="rId2013" xr:uid="{1AADCDE1-1EE3-4889-817B-57962AAD8F06}"/>
    <hyperlink ref="Q2235" r:id="rId2014" xr:uid="{1C5A3783-DA4E-4D45-8F3F-3F58AEE570D7}"/>
    <hyperlink ref="Q2236" r:id="rId2015" xr:uid="{9C253493-9166-4AE6-924C-C52399A5286A}"/>
    <hyperlink ref="Q2238" r:id="rId2016" xr:uid="{CA430C45-302A-4864-8A6F-37D562C21174}"/>
    <hyperlink ref="Q2237" r:id="rId2017" xr:uid="{209D5A54-CC31-4078-80E9-DA83A8898062}"/>
    <hyperlink ref="Q2239" r:id="rId2018" xr:uid="{E488632F-03EF-445B-AB86-DEC991A3B450}"/>
    <hyperlink ref="Q2240" r:id="rId2019" xr:uid="{A6EC872D-B588-4222-B766-98D9346B4D65}"/>
    <hyperlink ref="Q2241" r:id="rId2020" xr:uid="{FCCB36C9-0C3E-4D81-9AD4-F6085C575B50}"/>
    <hyperlink ref="Q2243" r:id="rId2021" xr:uid="{6DCCEAF3-525C-4720-906A-9059B01A7FC2}"/>
    <hyperlink ref="Q2242" r:id="rId2022" xr:uid="{D52521C8-CF66-4D09-81C8-B51C0F46E937}"/>
    <hyperlink ref="Q2350" r:id="rId2023" xr:uid="{DA154FA8-5CA8-47A9-8545-BB9D4C62B7D2}"/>
    <hyperlink ref="Q2351" r:id="rId2024" xr:uid="{2CBA1E33-436B-4407-BD61-6D402BF129F9}"/>
    <hyperlink ref="Q2352" r:id="rId2025" xr:uid="{DE5005DB-1820-4B99-B490-3378D61ED2DF}"/>
    <hyperlink ref="Q2353" r:id="rId2026" xr:uid="{3E9E6349-85F0-4334-ACEB-5BEC24DA007E}"/>
    <hyperlink ref="Q2354" r:id="rId2027" xr:uid="{80E27ABD-11F6-4EE3-97AC-A0611D769752}"/>
    <hyperlink ref="Q2355" r:id="rId2028" xr:uid="{3089E71F-56D8-4BD1-B3E1-0914851A716B}"/>
    <hyperlink ref="Q2356" r:id="rId2029" xr:uid="{7000FDC5-F417-4107-B627-FCB7F60BB401}"/>
    <hyperlink ref="Q2357" r:id="rId2030" xr:uid="{DD387DED-1CBD-461D-B048-1DDAC7B61873}"/>
    <hyperlink ref="Q751" r:id="rId2031" display="../../../../../../../:b:/g/personal/comunicacionesdiveliv_educacionbogota_gov_co/IQDGOU2PwYn2R7UkmejMYcAaAW3pxD0XlK9My2B4RACpRTk?e=mIMJEQ" xr:uid="{073B4942-C8FD-47CA-9D6E-BD60F982E9E8}"/>
    <hyperlink ref="Q752:Q759" r:id="rId2032" display="../../../../../../../:b:/g/personal/comunicacionesdiveliv_educacionbogota_gov_co/IQDGOU2PwYn2R7UkmejMYcAaAW3pxD0XlK9My2B4RACpRTk?e=mIMJEQ" xr:uid="{169FFD4A-4D21-435F-A596-2F371D63DB3A}"/>
    <hyperlink ref="Q882" r:id="rId2033" xr:uid="{028B431A-452E-4985-B139-B9AAB3E90A4E}"/>
    <hyperlink ref="Q883" r:id="rId2034" xr:uid="{BFCFE609-05DB-4232-B6AB-6E47D6283AE4}"/>
    <hyperlink ref="Q884" r:id="rId2035" xr:uid="{24B43547-FA76-4921-92E8-5A2324086C61}"/>
    <hyperlink ref="Q885" r:id="rId2036" xr:uid="{24B8D628-E809-4A9C-A366-CA899F47EDA1}"/>
    <hyperlink ref="Q886" r:id="rId2037" xr:uid="{3815F35A-207C-4DE8-91C2-B53C6C636609}"/>
    <hyperlink ref="Q887" r:id="rId2038" xr:uid="{F23BC4BF-BE59-448A-9E9B-BE3F83CCDA5A}"/>
    <hyperlink ref="Q888" r:id="rId2039" xr:uid="{385FF63A-F4EC-4C1F-8859-4C2663CFD991}"/>
    <hyperlink ref="Q889" r:id="rId2040" xr:uid="{FDA1ACB6-1F28-436E-A2AB-52B922863333}"/>
    <hyperlink ref="Q890" r:id="rId2041" xr:uid="{2E77AB6A-3AC3-455C-965D-968092FFC8BF}"/>
    <hyperlink ref="Q2395" r:id="rId2042" xr:uid="{809ACDCC-904C-4161-896D-4E68A0B519F5}"/>
    <hyperlink ref="Q2396:Q2403" r:id="rId2043" display="Charles Perrault" xr:uid="{515D3339-1E07-4559-8011-5D4DE565AF74}"/>
    <hyperlink ref="Q2407" r:id="rId2044" xr:uid="{32879FAD-11EF-441B-A021-EAD942226C47}"/>
    <hyperlink ref="Q2408:Q2409" r:id="rId2045" display="Asesorias Integrales" xr:uid="{A629369C-ED24-4861-BA10-C0217AF2B7D1}"/>
    <hyperlink ref="Q1388" r:id="rId2046" xr:uid="{1C5C6E1E-465D-4C7C-8777-DCE9A946E389}"/>
    <hyperlink ref="Q1389" r:id="rId2047" xr:uid="{D8F56CCE-3F11-47F0-92AB-741C554C8FDF}"/>
    <hyperlink ref="Q1390" r:id="rId2048" xr:uid="{8503E51E-8CF1-47D3-B5CA-5E3534727FE6}"/>
    <hyperlink ref="Q1391" r:id="rId2049" xr:uid="{A3F84E49-7ED5-4924-AD4C-E823EB53BA70}"/>
    <hyperlink ref="Q1392" r:id="rId2050" xr:uid="{F0E82D99-2A70-44C6-A0B3-5EE360D40C66}"/>
    <hyperlink ref="Q1393" r:id="rId2051" xr:uid="{1968F4CC-CBBA-4C99-9E5E-30DC82183E73}"/>
    <hyperlink ref="Q1842" r:id="rId2052" xr:uid="{61432E6A-F0F1-4254-B348-6B1834EB36D6}"/>
    <hyperlink ref="Q1843" r:id="rId2053" xr:uid="{F401EA91-CF01-4A89-8E32-4F256D19EBAA}"/>
    <hyperlink ref="Q1844" r:id="rId2054" xr:uid="{9FB85CB6-7111-4235-8DA4-E471ADBFC4F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9FA555-8D6F-4F3F-BAC7-5FEF861C1573}"/>
</file>

<file path=customXml/itemProps2.xml><?xml version="1.0" encoding="utf-8"?>
<ds:datastoreItem xmlns:ds="http://schemas.openxmlformats.org/officeDocument/2006/customXml" ds:itemID="{E0FC5E4D-3896-4560-8C5A-D70F349D7348}"/>
</file>

<file path=customXml/itemProps3.xml><?xml version="1.0" encoding="utf-8"?>
<ds:datastoreItem xmlns:ds="http://schemas.openxmlformats.org/officeDocument/2006/customXml" ds:itemID="{82DBEC0A-781F-452B-BA9B-105ADC03620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2025-06-10T15:07:05Z</dcterms:created>
  <dcterms:modified xsi:type="dcterms:W3CDTF">2026-02-08T23:11:10Z</dcterms:modified>
  <cp:category/>
  <cp:contentStatus/>
</cp:coreProperties>
</file>